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a372db36a904caa" /></Relationships>
</file>

<file path=xl/workbook.xml><?xml version="1.0" encoding="utf-8"?>
<x:workbook xmlns:x="http://schemas.openxmlformats.org/spreadsheetml/2006/main">
  <x:sheets>
    <x:sheet xmlns:r="http://schemas.openxmlformats.org/officeDocument/2006/relationships" name="Dashboard" sheetId="1" r:id="R009155df233a483e"/>
    <x:sheet xmlns:r="http://schemas.openxmlformats.org/officeDocument/2006/relationships" name="Calculations" sheetId="2" r:id="Re14801fd950c476e"/>
  </x:sheets>
  <x:calcPr calcMode="auto" fullCalcOnLoad="1" forceFullCalc="1" calcId="0"/>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0.0"/>
  </x:numFmts>
  <x:fonts count="21">
    <x:font>
      <x:sz val="11"/>
      <x:name val="Citi Sans Display"/>
    </x:font>
    <x:font>
      <x:sz val="11"/>
      <x:color rgb="FF0F1632"/>
      <x:name val="Citi Sans Display"/>
    </x:font>
    <x:font>
      <x:sz val="10"/>
      <x:color rgb="FF0F1632"/>
      <x:name val="Citi Sans Display"/>
    </x:font>
    <x:font>
      <x:b/>
      <x:sz val="25"/>
      <x:color rgb="FF0F1632"/>
      <x:name val="Citi Sans Display"/>
    </x:font>
    <x:font>
      <x:b/>
      <x:sz val="23"/>
      <x:color rgb="FF255BE3"/>
      <x:name val="Citi Sans Display"/>
    </x:font>
    <x:font>
      <x:sz val="10"/>
      <x:color rgb="FF617083"/>
      <x:name val="Citi Sans Display"/>
    </x:font>
    <x:font>
      <x:b/>
      <x:sz val="10"/>
      <x:color rgb="FF255BE3"/>
      <x:name val="Citi Sans Display"/>
    </x:font>
    <x:font>
      <x:b/>
      <x:sz val="11"/>
      <x:color rgb="FF255BE3"/>
      <x:name val="Citi Sans Display"/>
    </x:font>
    <x:font>
      <x:sz val="11"/>
      <x:color rgb="FF617083"/>
      <x:name val="Citi Sans Display"/>
    </x:font>
    <x:font>
      <x:b/>
      <x:sz val="28"/>
      <x:color rgb="FF255BE3"/>
      <x:name val="Citi Sans Display"/>
    </x:font>
    <x:font>
      <x:sz val="10"/>
      <x:color rgb="FF875F14"/>
      <x:name val="Citi Sans Display"/>
    </x:font>
    <x:font>
      <x:b/>
      <x:sz val="18"/>
      <x:color rgb="FF17355F"/>
      <x:name val="Citi Sans Display"/>
    </x:font>
    <x:font>
      <x:sz val="16"/>
      <x:color rgb="FF17355F"/>
      <x:name val="Citi Sans Display"/>
    </x:font>
    <x:font>
      <x:b/>
      <x:sz val="10"/>
      <x:color rgb="FF17355F"/>
      <x:name val="Citi Sans Display"/>
    </x:font>
    <x:font>
      <x:sz val="9"/>
      <x:color rgb="FF617083"/>
      <x:name val="Citi Sans Display"/>
    </x:font>
    <x:font>
      <x:b/>
      <x:sz val="10"/>
      <x:color rgb="FFFFFFFF"/>
      <x:name val="Citi Sans Display"/>
    </x:font>
    <x:font>
      <x:sz val="10"/>
      <x:color rgb="FF255BE3"/>
      <x:name val="Citi Sans Display"/>
    </x:font>
    <x:font>
      <x:sz val="11"/>
      <x:color rgb="FF17355F"/>
      <x:name val="Citi Sans Display"/>
    </x:font>
    <x:font>
      <x:sz val="10"/>
      <x:name val="Citi Sans Display"/>
    </x:font>
    <x:font>
      <x:sz val="11"/>
      <x:name val="Citi Sans Display"/>
    </x:font>
    <x:font>
      <x:b/>
      <x:sz val="11"/>
      <x:color rgb="FFFFFFFF"/>
      <x:name val="Citi Sans Display"/>
    </x:font>
  </x:fonts>
  <x:fills count="7">
    <x:fill>
      <x:patternFill patternType="none"/>
    </x:fill>
    <x:fill>
      <x:patternFill patternType="gray125"/>
    </x:fill>
    <x:fill>
      <x:patternFill patternType="solid">
        <x:fgColor rgb="FFF5F7FB"/>
      </x:patternFill>
    </x:fill>
    <x:fill>
      <x:patternFill patternType="solid">
        <x:fgColor rgb="FFEDF2F9"/>
      </x:patternFill>
    </x:fill>
    <x:fill>
      <x:patternFill patternType="solid">
        <x:fgColor rgb="FFFFFFFF"/>
      </x:patternFill>
    </x:fill>
    <x:fill>
      <x:patternFill patternType="solid">
        <x:fgColor rgb="FF17355F"/>
      </x:patternFill>
    </x:fill>
    <x:fill>
      <x:patternFill patternType="solid">
        <x:fgColor rgb="FFEDF3FE"/>
      </x:patternFill>
    </x:fill>
  </x:fills>
  <x:borders count="1">
    <x:border>
      <x:left/>
      <x:right/>
      <x:top/>
      <x:bottom/>
      <x:diagonal/>
    </x:border>
  </x:borders>
  <x:cellStyleXfs count="1">
    <x:xf numFmtId="0" fontId="0" fillId="0" borderId="0"/>
  </x:cellStyleXfs>
  <x:cellXfs count="8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right" vertical="center"/>
    </x:xf>
    <x:xf numFmtId="0" fontId="5"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6" fillId="3" borderId="0" xfId="0" applyNumberFormat="1" applyFont="1" applyFill="1" applyBorder="1" applyAlignment="1">
      <x:alignment vertical="center"/>
    </x:xf>
    <x:xf numFmtId="0" fontId="6" fillId="3" borderId="0"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7" fillId="4" borderId="0" xfId="0" applyNumberFormat="1" applyFont="1" applyFill="1" applyBorder="1" applyAlignment="1">
      <x:alignment vertical="center"/>
    </x:xf>
    <x:xf numFmtId="0" fontId="8" fillId="4" borderId="0" xfId="0" applyNumberFormat="1" applyFont="1" applyFill="1" applyBorder="1" applyAlignment="1">
      <x:alignment vertical="center"/>
    </x:xf>
    <x:xf numFmtId="0" fontId="8" fillId="4" borderId="0" xfId="0" applyNumberFormat="1" applyFont="1" applyFill="1" applyBorder="1" applyAlignment="1">
      <x:alignment horizontal="center" vertical="center"/>
    </x:xf>
    <x:xf numFmtId="0" fontId="9" fillId="4" borderId="0" xfId="0" applyNumberFormat="1" applyFont="1" applyFill="1" applyBorder="1" applyAlignment="1">
      <x:alignment vertical="center"/>
    </x:xf>
    <x:xf numFmtId="0" fontId="9" fillId="4" borderId="0" xfId="0" applyNumberFormat="1" applyFont="1" applyFill="1" applyBorder="1" applyAlignment="1">
      <x:alignment horizontal="center" vertical="center"/>
    </x:xf>
    <x:xf numFmtId="200" fontId="2" fillId="0" borderId="0" xfId="0" applyNumberFormat="1" applyFont="1" applyFill="1" applyBorder="1"/>
    <x:xf numFmtId="200" fontId="9" fillId="4" borderId="0" xfId="0" applyNumberFormat="1" applyFont="1" applyFill="1" applyBorder="1" applyAlignment="1">
      <x:alignment horizontal="center" vertical="center"/>
    </x:xf>
    <x:xf numFmtId="0" fontId="10" fillId="2" borderId="0" xfId="0" applyNumberFormat="1" applyFont="1" applyFill="1" applyBorder="1" applyAlignment="1">
      <x:alignment vertical="center"/>
    </x:xf>
    <x:xf numFmtId="0" fontId="8" fillId="2" borderId="0" xfId="0" applyNumberFormat="1" applyFont="1" applyFill="1" applyBorder="1" applyAlignment="1">
      <x:alignment vertical="center"/>
    </x:xf>
    <x:xf numFmtId="0" fontId="11" fillId="2" borderId="0" xfId="0" applyNumberFormat="1" applyFont="1" applyFill="1" applyBorder="1" applyAlignment="1">
      <x:alignment vertical="center"/>
    </x:xf>
    <x:xf numFmtId="0" fontId="12" fillId="4" borderId="0" xfId="0" applyNumberFormat="1" applyFont="1" applyFill="1" applyBorder="1" applyAlignment="1">
      <x:alignment vertical="center"/>
    </x:xf>
    <x:xf numFmtId="0" fontId="13" fillId="3" borderId="0" xfId="0" applyNumberFormat="1" applyFont="1" applyFill="1" applyBorder="1" applyAlignment="1">
      <x:alignment vertical="center"/>
    </x:xf>
    <x:xf numFmtId="0" fontId="13" fillId="3"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x:xf>
    <x:xf numFmtId="200" fontId="1" fillId="4" borderId="0" xfId="0" applyNumberFormat="1" applyFont="1" applyFill="1" applyBorder="1" applyAlignment="1">
      <x:alignment horizontal="center" vertical="center"/>
    </x:xf>
    <x:xf numFmtId="201" fontId="1" fillId="4" borderId="0"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x:xf>
    <x:xf numFmtId="200" fontId="1" fillId="2" borderId="0" xfId="0" applyNumberFormat="1" applyFont="1" applyFill="1" applyBorder="1" applyAlignment="1">
      <x:alignment horizontal="center" vertical="center"/>
    </x:xf>
    <x:xf numFmtId="201" fontId="1" fillId="2" borderId="0" xfId="0" applyNumberFormat="1" applyFont="1" applyFill="1" applyBorder="1" applyAlignment="1">
      <x:alignment horizontal="center" vertical="center"/>
    </x:xf>
    <x:xf numFmtId="0" fontId="14" fillId="4" borderId="0" xfId="0" applyNumberFormat="1" applyFont="1" applyFill="1" applyBorder="1" applyAlignment="1">
      <x:alignment vertical="center"/>
    </x:xf>
    <x:xf numFmtId="0" fontId="14" fillId="4" borderId="0" xfId="0" applyNumberFormat="1" applyFont="1" applyFill="1" applyBorder="1" applyAlignment="1">
      <x:alignment vertical="center" wrapText="1"/>
    </x:xf>
    <x:xf numFmtId="0" fontId="12" fillId="2" borderId="0" xfId="0" applyNumberFormat="1" applyFont="1" applyFill="1" applyBorder="1" applyAlignment="1">
      <x:alignment vertical="center"/>
    </x:xf>
    <x:xf numFmtId="0" fontId="7" fillId="4" borderId="0" xfId="0" applyNumberFormat="1" applyFont="1" applyFill="1" applyBorder="1" applyAlignment="1">
      <x:alignment horizontal="center" vertical="center"/>
    </x:xf>
    <x:xf numFmtId="0" fontId="13" fillId="3" borderId="0" xfId="0" applyNumberFormat="1" applyFont="1" applyFill="1" applyBorder="1" applyAlignment="1">
      <x:alignment vertical="center" wrapText="1"/>
    </x:xf>
    <x:xf numFmtId="0" fontId="13" fillId="3" borderId="0" xfId="0" applyNumberFormat="1" applyFont="1" applyFill="1" applyBorder="1" applyAlignment="1">
      <x:alignment horizontal="left" vertical="center" wrapText="1"/>
    </x:xf>
    <x:xf numFmtId="0" fontId="13" fillId="3" borderId="0" xfId="0" applyNumberFormat="1" applyFont="1" applyFill="1" applyBorder="1" applyAlignment="1">
      <x:alignment horizontal="center" vertical="center" wrapText="1"/>
    </x:xf>
    <x:xf numFmtId="0" fontId="2" fillId="4" borderId="0" xfId="0" applyNumberFormat="1" applyFont="1" applyFill="1" applyBorder="1" applyAlignment="1">
      <x:alignment vertical="center"/>
    </x:xf>
    <x:xf numFmtId="0" fontId="2" fillId="4" borderId="0" xfId="0" applyNumberFormat="1" applyFont="1" applyFill="1" applyBorder="1" applyAlignment="1">
      <x:alignment vertical="center" wrapText="1"/>
    </x:xf>
    <x:xf numFmtId="0" fontId="2" fillId="4" borderId="0" xfId="0" applyNumberFormat="1" applyFont="1" applyFill="1" applyBorder="1" applyAlignment="1">
      <x:alignment horizontal="left" vertical="center" wrapText="1"/>
    </x:xf>
    <x:xf numFmtId="0" fontId="2" fillId="4" borderId="0" xfId="0" applyNumberFormat="1" applyFont="1" applyFill="1" applyBorder="1" applyAlignment="1">
      <x:alignment horizontal="center" vertical="center" wrapText="1"/>
    </x:xf>
    <x:xf numFmtId="200" fontId="2" fillId="4" borderId="0" xfId="0" applyNumberFormat="1" applyFont="1" applyFill="1" applyBorder="1" applyAlignment="1">
      <x:alignment horizontal="center" vertical="center" wrapText="1"/>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left" vertical="center" wrapText="1"/>
    </x:xf>
    <x:xf numFmtId="0" fontId="2" fillId="2" borderId="0" xfId="0" applyNumberFormat="1" applyFont="1" applyFill="1" applyBorder="1" applyAlignment="1">
      <x:alignment horizontal="center" vertical="center" wrapText="1"/>
    </x:xf>
    <x:xf numFmtId="200" fontId="2" fillId="2" borderId="0" xfId="0" applyNumberFormat="1" applyFont="1" applyFill="1" applyBorder="1" applyAlignment="1">
      <x:alignment horizontal="center" vertical="center" wrapText="1"/>
    </x:xf>
    <x:xf numFmtId="200" fontId="13" fillId="3" borderId="0" xfId="0" applyNumberFormat="1" applyFont="1" applyFill="1" applyBorder="1" applyAlignment="1">
      <x:alignment horizontal="center" vertical="center" wrapText="1"/>
    </x:xf>
    <x:xf numFmtId="0" fontId="5" fillId="2"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15" fillId="5" borderId="0" xfId="0" applyNumberFormat="1" applyFont="1" applyFill="1" applyBorder="1" applyAlignment="1">
      <x:alignment vertical="center"/>
    </x:xf>
    <x:xf numFmtId="0" fontId="15" fillId="5" borderId="0" xfId="0" applyNumberFormat="1" applyFont="1" applyFill="1" applyBorder="1" applyAlignment="1">
      <x:alignment vertical="center" wrapText="1"/>
    </x:xf>
    <x:xf numFmtId="0" fontId="2" fillId="6" borderId="0" xfId="0" applyNumberFormat="1" applyFont="1" applyFill="1" applyBorder="1" applyAlignment="1">
      <x:alignment vertical="center" wrapText="1"/>
    </x:xf>
    <x:xf numFmtId="0" fontId="16" fillId="6" borderId="0" xfId="0" applyNumberFormat="1" applyFont="1" applyFill="1" applyBorder="1" applyAlignment="1">
      <x:alignment vertical="center" wrapText="1"/>
    </x:xf>
    <x:xf numFmtId="200" fontId="16" fillId="6" borderId="0" xfId="0" applyNumberFormat="1" applyFont="1" applyFill="1" applyBorder="1" applyAlignment="1">
      <x:alignment vertical="center" wrapText="1"/>
    </x:xf>
    <x:xf numFmtId="200" fontId="2" fillId="4" borderId="0" xfId="0" applyNumberFormat="1" applyFont="1" applyFill="1" applyBorder="1" applyAlignment="1">
      <x:alignment vertical="center" wrapText="1"/>
    </x:xf>
    <x:xf numFmtId="200" fontId="2" fillId="6" borderId="0" xfId="0" applyNumberFormat="1" applyFont="1" applyFill="1" applyBorder="1" applyAlignment="1">
      <x:alignment vertical="center" wrapText="1"/>
    </x:xf>
    <x:xf numFmtId="0" fontId="17" fillId="4" borderId="0" xfId="0" applyNumberFormat="1" applyFont="1" applyFill="1" applyBorder="1" applyAlignment="1">
      <x:alignment vertical="center"/>
    </x:xf>
    <x:xf numFmtId="0" fontId="17" fillId="4" borderId="0" xfId="0" applyNumberFormat="1" applyFont="1" applyFill="1" applyBorder="1" applyAlignment="1">
      <x:alignment horizontal="left" vertical="center"/>
    </x:xf>
    <x:xf numFmtId="0" fontId="17" fillId="4" borderId="0" xfId="0" applyNumberFormat="1" applyFont="1" applyFill="1" applyBorder="1" applyAlignment="1">
      <x:alignment horizontal="right" vertical="center"/>
    </x:xf>
    <x:xf numFmtId="200" fontId="17" fillId="4" borderId="0" xfId="0" applyNumberFormat="1" applyFont="1" applyFill="1" applyBorder="1" applyAlignment="1">
      <x:alignment horizontal="right" vertical="center"/>
    </x:xf>
    <x:xf numFmtId="201" fontId="17" fillId="4" borderId="0" xfId="0" applyNumberFormat="1" applyFont="1" applyFill="1" applyBorder="1" applyAlignment="1">
      <x:alignment horizontal="right" vertical="center"/>
    </x:xf>
    <x:xf numFmtId="0" fontId="17" fillId="3" borderId="0" xfId="0" applyNumberFormat="1" applyFont="1" applyFill="1" applyBorder="1" applyAlignment="1">
      <x:alignment vertical="center"/>
    </x:xf>
    <x:xf numFmtId="0" fontId="17" fillId="3" borderId="0" xfId="0" applyNumberFormat="1" applyFont="1" applyFill="1" applyBorder="1" applyAlignment="1">
      <x:alignment horizontal="left" vertical="center"/>
    </x:xf>
    <x:xf numFmtId="0" fontId="17" fillId="3" borderId="0" xfId="0" applyNumberFormat="1" applyFont="1" applyFill="1" applyBorder="1" applyAlignment="1">
      <x:alignment horizontal="right" vertical="center"/>
    </x:xf>
    <x:xf numFmtId="200" fontId="17" fillId="3" borderId="0" xfId="0" applyNumberFormat="1" applyFont="1" applyFill="1" applyBorder="1" applyAlignment="1">
      <x:alignment horizontal="right" vertical="center"/>
    </x:xf>
    <x:xf numFmtId="201" fontId="17" fillId="3" borderId="0" xfId="0" applyNumberFormat="1" applyFont="1" applyFill="1" applyBorder="1" applyAlignment="1">
      <x:alignment horizontal="right" vertical="center"/>
    </x:xf>
    <x:xf numFmtId="0" fontId="8" fillId="2" borderId="0" xfId="0" applyNumberFormat="1" applyFont="1" applyFill="1" applyBorder="1" applyAlignment="1">
      <x:alignment vertical="center" wrapText="1"/>
    </x:xf>
    <x:xf numFmtId="0" fontId="5" fillId="4" borderId="0" xfId="0" applyNumberFormat="1" applyFont="1" applyFill="1" applyBorder="1" applyAlignment="1">
      <x:alignment vertical="center"/>
    </x:xf>
    <x:xf numFmtId="0" fontId="18" fillId="0" borderId="0" xfId="0" applyNumberFormat="1" applyFont="1" applyFill="1" applyBorder="1"/>
    <x:xf numFmtId="0" fontId="19" fillId="0" borderId="0" xfId="0" applyNumberFormat="1" applyFont="1" applyFill="1" applyBorder="1"/>
    <x:xf numFmtId="0" fontId="2" fillId="2" borderId="0" xfId="0" applyNumberFormat="1" applyFont="1" applyFill="1" applyBorder="1"/>
    <x:xf numFmtId="200" fontId="2" fillId="2" borderId="0" xfId="0" applyNumberFormat="1" applyFont="1" applyFill="1" applyBorder="1"/>
    <x:xf numFmtId="0" fontId="17" fillId="2" borderId="0" xfId="0" applyNumberFormat="1" applyFont="1" applyFill="1" applyBorder="1"/>
    <x:xf numFmtId="200" fontId="17" fillId="2" borderId="0" xfId="0" applyNumberFormat="1" applyFont="1" applyFill="1" applyBorder="1"/>
    <x:xf numFmtId="0" fontId="19" fillId="2" borderId="0" xfId="0" applyNumberFormat="1" applyFont="1" applyFill="1" applyBorder="1"/>
    <x:xf numFmtId="0" fontId="17" fillId="2" borderId="0" xfId="0" applyNumberFormat="1" applyFont="1" applyFill="1" applyBorder="1" applyAlignment="1">
      <x:alignment wrapText="1"/>
    </x:xf>
    <x:xf numFmtId="0" fontId="17" fillId="5" borderId="0" xfId="0" applyNumberFormat="1" applyFont="1" applyFill="1" applyBorder="1"/>
    <x:xf numFmtId="0" fontId="20" fillId="5" borderId="0" xfId="0" applyNumberFormat="1" applyFont="1" applyFill="1" applyBorder="1"/>
  </x:cellXfs>
  <x:cellStyles count="1">
    <x:cellStyle name="Normal" xfId="0"/>
  </x:cellStyles>
  <x:dxfs count="2">
    <x:dxf>
      <x:font>
        <x:b/>
        <x:color rgb="FFC62828"/>
      </x:font>
      <x:fill>
        <x:patternFill patternType="solid">
          <x:bgColor rgb="FFFDE9E9"/>
        </x:patternFill>
      </x:fill>
    </x:dxf>
    <x:dxf>
      <x:font>
        <x:color rgb="FF25815D"/>
      </x:font>
      <x:fill>
        <x:patternFill patternType="solid">
          <x:bgColor rgb="FFE8F3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58bb25d300d4e1d" /><Relationship Type="http://schemas.openxmlformats.org/officeDocument/2006/relationships/theme" Target="/xl/theme/theme1.xml" Id="R2e8419d9cffa482f" /><Relationship Type="http://schemas.openxmlformats.org/officeDocument/2006/relationships/sharedStrings" Target="/xl/sharedStrings.xml" Id="R2fb72cd107034238" /><Relationship Type="http://schemas.openxmlformats.org/officeDocument/2006/relationships/worksheet" Target="/xl/worksheets/sheet1.xml" Id="R009155df233a483e" /><Relationship Type="http://schemas.openxmlformats.org/officeDocument/2006/relationships/worksheet" Target="/xl/worksheets/sheet2.xml" Id="Re14801fd950c476e" /></Relationships>
</file>

<file path=xl/drawings/_rels/drawing1.xml.rels>&#65279;<?xml version="1.0" encoding="utf-8"?><Relationships xmlns="http://schemas.openxmlformats.org/package/2006/relationships"><Relationship Type="http://schemas.openxmlformats.org/officeDocument/2006/relationships/chart" Target="/xl/drawings/charts/chart1.xml" Id="Rc31eb573ea5c4682" /><Relationship Type="http://schemas.openxmlformats.org/officeDocument/2006/relationships/chart" Target="/xl/drawings/charts/chart2.xml" Id="R775287811fbc4b54" /><Relationship Type="http://schemas.openxmlformats.org/officeDocument/2006/relationships/chart" Target="/xl/drawings/charts/chart3.xml" Id="Rf74781a6a67344ca" /><Relationship Type="http://schemas.openxmlformats.org/officeDocument/2006/relationships/chart" Target="/xl/drawings/charts/chart4.xml" Id="Raadec9aa508f403b" /><Relationship Type="http://schemas.openxmlformats.org/officeDocument/2006/relationships/chart" Target="/xl/drawings/charts/chart5.xml" Id="R2fcbbd86ab2f4d9c" /><Relationship Type="http://schemas.openxmlformats.org/officeDocument/2006/relationships/chart" Target="/xl/drawings/charts/chart6.xml" Id="R04ba56b7363c4fd8" /></Relationships>
</file>

<file path=xl/drawings/charts/chart1.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Combined category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Actual</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'Calculations'!$AF$21:$AF$24</c:f>
              <c:strCache>
                <c:ptCount val="4"/>
                <c:pt idx="0">
                  <c:v>High</c:v>
                </c:pt>
                <c:pt idx="1">
                  <c:v>Strong</c:v>
                </c:pt>
                <c:pt idx="2">
                  <c:v>Solid</c:v>
                </c:pt>
                <c:pt idx="3">
                  <c:v>Low</c:v>
                </c:pt>
              </c:strCache>
            </c:strRef>
          </c:cat>
          <c:val>
            <c:numRef>
              <c:f>'Calculations'!$AH$21:$AH$24</c:f>
              <c:numCache>
                <c:formatCode>0.0%</c:formatCode>
                <c:ptCount val="4"/>
              </c:numCache>
            </c:numRef>
          </c:val>
        </c:ser>
        <c:gapWidth val="85"/>
        <c:axId val="48650112"/>
        <c:axId val="48672768"/>
      </c:barChart>
      <c:lineChart>
        <c:grouping val="standard"/>
        <c:varyColors val="0"/>
        <c:ser>
          <c:idx val="1"/>
          <c:order val="1"/>
          <c:tx>
            <c:v>Threshold</c:v>
          </c:tx>
          <c:spPr>
            <ns1:ln xmlns:ns1="http://schemas.openxmlformats.org/drawingml/2006/main" w="0">
              <ns1:noFill/>
            </ns1:ln>
          </c:spPr>
          <c:marker>
            <c:symbol val="diamond"/>
            <c:size val="9"/>
            <c:spPr>
              <ns1:solidFill xmlns:ns1="http://schemas.openxmlformats.org/drawingml/2006/main">
                <ns1:srgbClr val="0F1632"/>
              </ns1:solidFill>
              <ns2:ln xmlns:ns2="http://schemas.openxmlformats.org/drawingml/2006/main" w="9525">
                <ns2:solidFill>
                  <ns2:srgbClr val="FFFFFF"/>
                </ns2:solidFill>
              </ns2:ln>
            </c:spPr>
          </c:marker>
          <c:cat>
            <c:strRef>
              <c:f>'Calculations'!$AF$21:$AF$24</c:f>
              <c:strCache>
                <c:ptCount val="4"/>
                <c:pt idx="0">
                  <c:v>High</c:v>
                </c:pt>
                <c:pt idx="1">
                  <c:v>Strong</c:v>
                </c:pt>
                <c:pt idx="2">
                  <c:v>Solid</c:v>
                </c:pt>
                <c:pt idx="3">
                  <c:v>Low</c:v>
                </c:pt>
              </c:strCache>
            </c:strRef>
          </c:cat>
          <c:val>
            <c:numRef>
              <c:f>'Calculations'!$AI$21:$AI$24</c:f>
              <c:numCache>
                <c:formatCode>0.0%</c:formatCode>
                <c:ptCount val="4"/>
                <c:pt idx="0">
                  <c:v>0.1</c:v>
                </c:pt>
                <c:pt idx="1">
                  <c:v>0.3</c:v>
                </c:pt>
                <c:pt idx="2">
                  <c:v>0.65</c:v>
                </c:pt>
                <c:pt idx="3">
                  <c:v>0.07</c:v>
                </c:pt>
              </c:numCache>
            </c:numRef>
          </c:val>
          <c:smooth val="0"/>
        </c:ser>
        <c:marker val="1"/>
        <c:smooth val="0"/>
        <c:axId val="48650112"/>
        <c:axId val="48672768"/>
      </c:line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2.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What rating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Actual</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'Calculations'!$AF$211:$AF$214</c:f>
              <c:strCache>
                <c:ptCount val="4"/>
                <c:pt idx="0">
                  <c:v>1 Exemplary</c:v>
                </c:pt>
                <c:pt idx="1">
                  <c:v>2 Exceeds</c:v>
                </c:pt>
                <c:pt idx="2">
                  <c:v>3 Valued</c:v>
                </c:pt>
                <c:pt idx="3">
                  <c:v>4 Needs impr.</c:v>
                </c:pt>
              </c:strCache>
            </c:strRef>
          </c:cat>
          <c:val>
            <c:numRef>
              <c:f>'Calculations'!$AH$211:$AH$214</c:f>
              <c:numCache>
                <c:formatCode>0.0%</c:formatCode>
                <c:ptCount val="4"/>
              </c:numCache>
            </c:numRef>
          </c:val>
        </c:ser>
        <c:gapWidth val="85"/>
        <c:axId val="48650112"/>
        <c:axId val="48672768"/>
      </c:barChart>
      <c:lineChart>
        <c:grouping val="standard"/>
        <c:varyColors val="0"/>
        <c:ser>
          <c:idx val="1"/>
          <c:order val="1"/>
          <c:tx>
            <c:v>Threshold</c:v>
          </c:tx>
          <c:spPr>
            <ns1:ln xmlns:ns1="http://schemas.openxmlformats.org/drawingml/2006/main" w="0">
              <ns1:noFill/>
            </ns1:ln>
          </c:spPr>
          <c:marker>
            <c:symbol val="diamond"/>
            <c:size val="9"/>
            <c:spPr>
              <ns1:solidFill xmlns:ns1="http://schemas.openxmlformats.org/drawingml/2006/main">
                <ns1:srgbClr val="0F1632"/>
              </ns1:solidFill>
              <ns2:ln xmlns:ns2="http://schemas.openxmlformats.org/drawingml/2006/main" w="9525">
                <ns2:solidFill>
                  <ns2:srgbClr val="FFFFFF"/>
                </ns2:solidFill>
              </ns2:ln>
            </c:spPr>
          </c:marker>
          <c:cat>
            <c:strRef>
              <c:f>'Calculations'!$AF$211:$AF$214</c:f>
              <c:strCache>
                <c:ptCount val="4"/>
                <c:pt idx="0">
                  <c:v>1 Exemplary</c:v>
                </c:pt>
                <c:pt idx="1">
                  <c:v>2 Exceeds</c:v>
                </c:pt>
                <c:pt idx="2">
                  <c:v>3 Valued</c:v>
                </c:pt>
                <c:pt idx="3">
                  <c:v>4 Needs impr.</c:v>
                </c:pt>
              </c:strCache>
            </c:strRef>
          </c:cat>
          <c:val>
            <c:numRef>
              <c:f>'Calculations'!$AI$211:$AI$214</c:f>
              <c:numCache>
                <c:formatCode>0.0%</c:formatCode>
                <c:ptCount val="4"/>
                <c:pt idx="0">
                  <c:v>0.1</c:v>
                </c:pt>
                <c:pt idx="1">
                  <c:v>0.3</c:v>
                </c:pt>
                <c:pt idx="2">
                  <c:v>0.65</c:v>
                </c:pt>
                <c:pt idx="3">
                  <c:v>0.07</c:v>
                </c:pt>
              </c:numCache>
            </c:numRef>
          </c:val>
          <c:smooth val="0"/>
        </c:ser>
        <c:marker val="1"/>
        <c:smooth val="0"/>
        <c:axId val="48650112"/>
        <c:axId val="48672768"/>
      </c:line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3.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What by officer category</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bar"/>
        <c:grouping val="stacked"/>
        <c:varyColors val="0"/>
        <c:ser>
          <c:idx val="0"/>
          <c:order val="0"/>
          <c:tx>
            <c:strRef>
              <c:f>'Calculations'!$AO$220</c:f>
              <c:strCache>
                <c:ptCount val="1"/>
                <c:pt idx="0">
                  <c:v>Rating 1</c:v>
                </c:pt>
              </c:strCache>
            </c:strRef>
          </c:tx>
          <c:spPr>
            <ns0:solidFill xmlns:ns0="http://schemas.openxmlformats.org/drawingml/2006/main">
              <ns0:srgbClr val="17355F"/>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'Calculations'!$AO$221:$AO$227</c:f>
              <c:numCache>
                <c:formatCode>0.0%</c:formatCode>
                <c:ptCount val="7"/>
                <c:pt idx="0">
                  <c:v>0.0</c:v>
                </c:pt>
                <c:pt idx="1">
                  <c:v>0.0</c:v>
                </c:pt>
                <c:pt idx="2">
                  <c:v>0.0</c:v>
                </c:pt>
                <c:pt idx="3">
                  <c:v>0.0</c:v>
                </c:pt>
                <c:pt idx="4">
                  <c:v>0.0</c:v>
                </c:pt>
                <c:pt idx="5">
                  <c:v>0.0</c:v>
                </c:pt>
                <c:pt idx="6">
                  <c:v>0.0</c:v>
                </c:pt>
              </c:numCache>
            </c:numRef>
          </c:val>
        </c:ser>
        <c:ser>
          <c:idx val="1"/>
          <c:order val="1"/>
          <c:tx>
            <c:strRef>
              <c:f>'Calculations'!$AP$220</c:f>
              <c:strCache>
                <c:ptCount val="1"/>
                <c:pt idx="0">
                  <c:v>Rating 2</c:v>
                </c:pt>
              </c:strCache>
            </c:strRef>
          </c:tx>
          <c:spPr>
            <ns0:solidFill xmlns:ns0="http://schemas.openxmlformats.org/drawingml/2006/main">
              <ns0:srgbClr val="255BE3"/>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'Calculations'!$AP$221:$AP$227</c:f>
              <c:numCache>
                <c:formatCode>0.0%</c:formatCode>
                <c:ptCount val="7"/>
                <c:pt idx="0">
                  <c:v>0.0</c:v>
                </c:pt>
                <c:pt idx="1">
                  <c:v>0.0</c:v>
                </c:pt>
                <c:pt idx="2">
                  <c:v>0.0</c:v>
                </c:pt>
                <c:pt idx="3">
                  <c:v>0.0</c:v>
                </c:pt>
                <c:pt idx="4">
                  <c:v>0.0</c:v>
                </c:pt>
                <c:pt idx="5">
                  <c:v>0.0</c:v>
                </c:pt>
                <c:pt idx="6">
                  <c:v>0.0</c:v>
                </c:pt>
              </c:numCache>
            </c:numRef>
          </c:val>
        </c:ser>
        <c:ser>
          <c:idx val="2"/>
          <c:order val="2"/>
          <c:tx>
            <c:strRef>
              <c:f>'Calculations'!$AQ$220</c:f>
              <c:strCache>
                <c:ptCount val="1"/>
                <c:pt idx="0">
                  <c:v>Rating 3</c:v>
                </c:pt>
              </c:strCache>
            </c:strRef>
          </c:tx>
          <c:spPr>
            <ns0:solidFill xmlns:ns0="http://schemas.openxmlformats.org/drawingml/2006/main">
              <ns0:srgbClr val="9BB5DC"/>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'Calculations'!$AQ$221:$AQ$227</c:f>
              <c:numCache>
                <c:formatCode>0.0%</c:formatCode>
                <c:ptCount val="7"/>
                <c:pt idx="0">
                  <c:v>0.0</c:v>
                </c:pt>
                <c:pt idx="1">
                  <c:v>0.0</c:v>
                </c:pt>
                <c:pt idx="2">
                  <c:v>0.0</c:v>
                </c:pt>
                <c:pt idx="3">
                  <c:v>0.0</c:v>
                </c:pt>
                <c:pt idx="4">
                  <c:v>0.0</c:v>
                </c:pt>
                <c:pt idx="5">
                  <c:v>0.0</c:v>
                </c:pt>
                <c:pt idx="6">
                  <c:v>0.0</c:v>
                </c:pt>
              </c:numCache>
            </c:numRef>
          </c:val>
        </c:ser>
        <c:ser>
          <c:idx val="3"/>
          <c:order val="3"/>
          <c:tx>
            <c:strRef>
              <c:f>'Calculations'!$AR$220</c:f>
              <c:strCache>
                <c:ptCount val="1"/>
                <c:pt idx="0">
                  <c:v>Rating 4</c:v>
                </c:pt>
              </c:strCache>
            </c:strRef>
          </c:tx>
          <c:spPr>
            <ns0:solidFill xmlns:ns0="http://schemas.openxmlformats.org/drawingml/2006/main">
              <ns0:srgbClr val="BE9B57"/>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'Calculations'!$AR$221:$AR$227</c:f>
              <c:numCache>
                <c:formatCode>0.0%</c:formatCode>
                <c:ptCount val="7"/>
                <c:pt idx="0">
                  <c:v>0.0</c:v>
                </c:pt>
                <c:pt idx="1">
                  <c:v>0.0</c:v>
                </c:pt>
                <c:pt idx="2">
                  <c:v>0.0</c:v>
                </c:pt>
                <c:pt idx="3">
                  <c:v>0.0</c:v>
                </c:pt>
                <c:pt idx="4">
                  <c:v>0.0</c:v>
                </c:pt>
                <c:pt idx="5">
                  <c:v>0.0</c:v>
                </c:pt>
                <c:pt idx="6">
                  <c:v>0.0</c:v>
                </c:pt>
              </c:numCache>
            </c:numRef>
          </c:val>
        </c:ser>
        <c:gapWidth val="85"/>
        <c:overlap val="100"/>
        <c:axId val="48650112"/>
        <c:axId val="48672768"/>
      </c:barChart>
      <c:catAx>
        <c:axId val="48650112"/>
        <c:scaling>
          <c:orientation val="maxMin"/>
        </c:scaling>
        <c:delete val="0"/>
        <c:axPos val="l"/>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b"/>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4.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How rating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Actual</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'Calculations'!$AF$261:$AF$264</c:f>
              <c:strCache>
                <c:ptCount val="4"/>
                <c:pt idx="0">
                  <c:v>1 Exemplary</c:v>
                </c:pt>
                <c:pt idx="1">
                  <c:v>2 Exceeds</c:v>
                </c:pt>
                <c:pt idx="2">
                  <c:v>3 Valued</c:v>
                </c:pt>
                <c:pt idx="3">
                  <c:v>4 Needs impr.</c:v>
                </c:pt>
              </c:strCache>
            </c:strRef>
          </c:cat>
          <c:val>
            <c:numRef>
              <c:f>'Calculations'!$AH$261:$AH$264</c:f>
              <c:numCache>
                <c:formatCode>0.0%</c:formatCode>
                <c:ptCount val="4"/>
              </c:numCache>
            </c:numRef>
          </c:val>
        </c:ser>
        <c:gapWidth val="85"/>
        <c:axId val="48650112"/>
        <c:axId val="48672768"/>
      </c:barChart>
      <c:lineChart>
        <c:grouping val="standard"/>
        <c:varyColors val="0"/>
        <c:ser>
          <c:idx val="1"/>
          <c:order val="1"/>
          <c:tx>
            <c:v>Threshold</c:v>
          </c:tx>
          <c:spPr>
            <ns1:ln xmlns:ns1="http://schemas.openxmlformats.org/drawingml/2006/main" w="0">
              <ns1:noFill/>
            </ns1:ln>
          </c:spPr>
          <c:marker>
            <c:symbol val="diamond"/>
            <c:size val="9"/>
            <c:spPr>
              <ns1:solidFill xmlns:ns1="http://schemas.openxmlformats.org/drawingml/2006/main">
                <ns1:srgbClr val="0F1632"/>
              </ns1:solidFill>
              <ns2:ln xmlns:ns2="http://schemas.openxmlformats.org/drawingml/2006/main" w="9525">
                <ns2:solidFill>
                  <ns2:srgbClr val="FFFFFF"/>
                </ns2:solidFill>
              </ns2:ln>
            </c:spPr>
          </c:marker>
          <c:cat>
            <c:strRef>
              <c:f>'Calculations'!$AF$261:$AF$264</c:f>
              <c:strCache>
                <c:ptCount val="4"/>
                <c:pt idx="0">
                  <c:v>1 Exemplary</c:v>
                </c:pt>
                <c:pt idx="1">
                  <c:v>2 Exceeds</c:v>
                </c:pt>
                <c:pt idx="2">
                  <c:v>3 Valued</c:v>
                </c:pt>
                <c:pt idx="3">
                  <c:v>4 Needs impr.</c:v>
                </c:pt>
              </c:strCache>
            </c:strRef>
          </c:cat>
          <c:val>
            <c:numRef>
              <c:f>'Calculations'!$AI$261:$AI$264</c:f>
              <c:numCache>
                <c:formatCode>0.0%</c:formatCode>
                <c:ptCount val="4"/>
                <c:pt idx="0">
                  <c:v>0.1</c:v>
                </c:pt>
                <c:pt idx="1">
                  <c:v>0.3</c:v>
                </c:pt>
                <c:pt idx="2">
                  <c:v>0.65</c:v>
                </c:pt>
                <c:pt idx="3">
                  <c:v>0.07</c:v>
                </c:pt>
              </c:numCache>
            </c:numRef>
          </c:val>
          <c:smooth val="0"/>
        </c:ser>
        <c:marker val="1"/>
        <c:smooth val="0"/>
        <c:axId val="48650112"/>
        <c:axId val="48672768"/>
      </c:line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5.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How by officer category</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bar"/>
        <c:grouping val="stacked"/>
        <c:varyColors val="0"/>
        <c:ser>
          <c:idx val="0"/>
          <c:order val="0"/>
          <c:tx>
            <c:strRef>
              <c:f>'Calculations'!$AO$270</c:f>
              <c:strCache>
                <c:ptCount val="1"/>
                <c:pt idx="0">
                  <c:v>Rating 1</c:v>
                </c:pt>
              </c:strCache>
            </c:strRef>
          </c:tx>
          <c:spPr>
            <ns0:solidFill xmlns:ns0="http://schemas.openxmlformats.org/drawingml/2006/main">
              <ns0:srgbClr val="17355F"/>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'Calculations'!$AO$271:$AO$277</c:f>
              <c:numCache>
                <c:formatCode>0.0%</c:formatCode>
                <c:ptCount val="7"/>
                <c:pt idx="0">
                  <c:v>0.0</c:v>
                </c:pt>
                <c:pt idx="1">
                  <c:v>0.0</c:v>
                </c:pt>
                <c:pt idx="2">
                  <c:v>0.0</c:v>
                </c:pt>
                <c:pt idx="3">
                  <c:v>0.0</c:v>
                </c:pt>
                <c:pt idx="4">
                  <c:v>0.0</c:v>
                </c:pt>
                <c:pt idx="5">
                  <c:v>0.0</c:v>
                </c:pt>
                <c:pt idx="6">
                  <c:v>0.0</c:v>
                </c:pt>
              </c:numCache>
            </c:numRef>
          </c:val>
        </c:ser>
        <c:ser>
          <c:idx val="1"/>
          <c:order val="1"/>
          <c:tx>
            <c:strRef>
              <c:f>'Calculations'!$AP$270</c:f>
              <c:strCache>
                <c:ptCount val="1"/>
                <c:pt idx="0">
                  <c:v>Rating 2</c:v>
                </c:pt>
              </c:strCache>
            </c:strRef>
          </c:tx>
          <c:spPr>
            <ns0:solidFill xmlns:ns0="http://schemas.openxmlformats.org/drawingml/2006/main">
              <ns0:srgbClr val="255BE3"/>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'Calculations'!$AP$271:$AP$277</c:f>
              <c:numCache>
                <c:formatCode>0.0%</c:formatCode>
                <c:ptCount val="7"/>
                <c:pt idx="0">
                  <c:v>0.0</c:v>
                </c:pt>
                <c:pt idx="1">
                  <c:v>0.0</c:v>
                </c:pt>
                <c:pt idx="2">
                  <c:v>0.0</c:v>
                </c:pt>
                <c:pt idx="3">
                  <c:v>0.0</c:v>
                </c:pt>
                <c:pt idx="4">
                  <c:v>0.0</c:v>
                </c:pt>
                <c:pt idx="5">
                  <c:v>0.0</c:v>
                </c:pt>
                <c:pt idx="6">
                  <c:v>0.0</c:v>
                </c:pt>
              </c:numCache>
            </c:numRef>
          </c:val>
        </c:ser>
        <c:ser>
          <c:idx val="2"/>
          <c:order val="2"/>
          <c:tx>
            <c:strRef>
              <c:f>'Calculations'!$AQ$270</c:f>
              <c:strCache>
                <c:ptCount val="1"/>
                <c:pt idx="0">
                  <c:v>Rating 3</c:v>
                </c:pt>
              </c:strCache>
            </c:strRef>
          </c:tx>
          <c:spPr>
            <ns0:solidFill xmlns:ns0="http://schemas.openxmlformats.org/drawingml/2006/main">
              <ns0:srgbClr val="9BB5DC"/>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'Calculations'!$AQ$271:$AQ$277</c:f>
              <c:numCache>
                <c:formatCode>0.0%</c:formatCode>
                <c:ptCount val="7"/>
                <c:pt idx="0">
                  <c:v>0.0</c:v>
                </c:pt>
                <c:pt idx="1">
                  <c:v>0.0</c:v>
                </c:pt>
                <c:pt idx="2">
                  <c:v>0.0</c:v>
                </c:pt>
                <c:pt idx="3">
                  <c:v>0.0</c:v>
                </c:pt>
                <c:pt idx="4">
                  <c:v>0.0</c:v>
                </c:pt>
                <c:pt idx="5">
                  <c:v>0.0</c:v>
                </c:pt>
                <c:pt idx="6">
                  <c:v>0.0</c:v>
                </c:pt>
              </c:numCache>
            </c:numRef>
          </c:val>
        </c:ser>
        <c:ser>
          <c:idx val="3"/>
          <c:order val="3"/>
          <c:tx>
            <c:strRef>
              <c:f>'Calculations'!$AR$270</c:f>
              <c:strCache>
                <c:ptCount val="1"/>
                <c:pt idx="0">
                  <c:v>Rating 4</c:v>
                </c:pt>
              </c:strCache>
            </c:strRef>
          </c:tx>
          <c:spPr>
            <ns0:solidFill xmlns:ns0="http://schemas.openxmlformats.org/drawingml/2006/main">
              <ns0:srgbClr val="BE9B57"/>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'Calculations'!$AR$271:$AR$277</c:f>
              <c:numCache>
                <c:formatCode>0.0%</c:formatCode>
                <c:ptCount val="7"/>
                <c:pt idx="0">
                  <c:v>0.0</c:v>
                </c:pt>
                <c:pt idx="1">
                  <c:v>0.0</c:v>
                </c:pt>
                <c:pt idx="2">
                  <c:v>0.0</c:v>
                </c:pt>
                <c:pt idx="3">
                  <c:v>0.0</c:v>
                </c:pt>
                <c:pt idx="4">
                  <c:v>0.0</c:v>
                </c:pt>
                <c:pt idx="5">
                  <c:v>0.0</c:v>
                </c:pt>
                <c:pt idx="6">
                  <c:v>0.0</c:v>
                </c:pt>
              </c:numCache>
            </c:numRef>
          </c:val>
        </c:ser>
        <c:gapWidth val="85"/>
        <c:overlap val="100"/>
        <c:axId val="48650112"/>
        <c:axId val="48672768"/>
      </c:barChart>
      <c:catAx>
        <c:axId val="48650112"/>
        <c:scaling>
          <c:orientation val="maxMin"/>
        </c:scaling>
        <c:delete val="0"/>
        <c:axPos val="l"/>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b"/>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6.xml><?xml version="1.0" encoding="utf-8"?>
<c:chartSpace xmlns:c="http://schemas.openxmlformats.org/drawingml/2006/chart">
  <c:lang val="en-US"/>
  <c:roundedCorners val="1"/>
  <c:chart>
    <c:title>
      <c:tx>
        <c:strRef>
          <c:f>'Calculations'!AF69</c:f>
          <c:strCache>
            <c:ptCount val="1"/>
            <c:pt idx="0">
              <c:v>What — actual vs threshold</c:v>
            </c:pt>
          </c:strCache>
        </c:strRef>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Actual</c:v>
          </c:tx>
          <c:spPr>
            <a:solidFill xmlns:a="http://schemas.openxmlformats.org/drawingml/2006/main">
              <a:srgbClr val="255BE3"/>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'Calculations'!$AV$71:$AV$74</c:f>
              <c:strCache>
                <c:ptCount val="4"/>
                <c:pt idx="0">
                  <c:v>1 Exemplary</c:v>
                </c:pt>
                <c:pt idx="1">
                  <c:v>2 Exceeds</c:v>
                </c:pt>
                <c:pt idx="2">
                  <c:v>3 Valued</c:v>
                </c:pt>
                <c:pt idx="3">
                  <c:v>4 Needs impr.</c:v>
                </c:pt>
              </c:strCache>
            </c:strRef>
          </c:cat>
          <c:val>
            <c:numRef>
              <c:f>'Calculations'!$AW$71:$AW$74</c:f>
              <c:numCache>
                <c:formatCode>0.0%</c:formatCode>
                <c:ptCount val="4"/>
              </c:numCache>
            </c:numRef>
          </c:val>
        </c:ser>
        <c:gapWidth val="85"/>
        <c:axId val="48650112"/>
        <c:axId val="48672768"/>
      </c:barChart>
      <c:lineChart>
        <c:grouping val="standard"/>
        <c:varyColors val="0"/>
        <c:ser>
          <c:idx val="1"/>
          <c:order val="1"/>
          <c:tx>
            <c:v>Threshold</c:v>
          </c:tx>
          <c:spPr>
            <ns1:ln xmlns:ns1="http://schemas.openxmlformats.org/drawingml/2006/main" w="0">
              <ns1:noFill/>
            </ns1:ln>
          </c:spPr>
          <c:marker>
            <c:symbol val="diamond"/>
            <c:size val="9"/>
            <c:spPr>
              <ns1:solidFill xmlns:ns1="http://schemas.openxmlformats.org/drawingml/2006/main">
                <ns1:srgbClr val="0F1632"/>
              </ns1:solidFill>
              <ns2:ln xmlns:ns2="http://schemas.openxmlformats.org/drawingml/2006/main" w="9525">
                <ns2:solidFill>
                  <ns2:srgbClr val="FFFFFF"/>
                </ns2:solidFill>
              </ns2:ln>
            </c:spPr>
          </c:marker>
          <c:cat>
            <c:strRef>
              <c:f>'Calculations'!$AV$71:$AV$74</c:f>
              <c:strCache>
                <c:ptCount val="4"/>
                <c:pt idx="0">
                  <c:v>1 Exemplary</c:v>
                </c:pt>
                <c:pt idx="1">
                  <c:v>2 Exceeds</c:v>
                </c:pt>
                <c:pt idx="2">
                  <c:v>3 Valued</c:v>
                </c:pt>
                <c:pt idx="3">
                  <c:v>4 Needs impr.</c:v>
                </c:pt>
              </c:strCache>
            </c:strRef>
          </c:cat>
          <c:val>
            <c:numRef>
              <c:f>'Calculations'!$AX$71:$AX$74</c:f>
              <c:numCache>
                <c:formatCode>0.0%</c:formatCode>
                <c:ptCount val="4"/>
                <c:pt idx="0">
                  <c:v>0.1</c:v>
                </c:pt>
                <c:pt idx="1">
                  <c:v>0.3</c:v>
                </c:pt>
                <c:pt idx="2">
                  <c:v>0.65</c:v>
                </c:pt>
                <c:pt idx="3">
                  <c:v>0.07</c:v>
                </c:pt>
              </c:numCache>
            </c:numRef>
          </c:val>
          <c:smooth val="0"/>
        </c:ser>
        <c:marker val="1"/>
        <c:smooth val="0"/>
        <c:axId val="48650112"/>
        <c:axId val="48672768"/>
      </c:line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drawing1.xml><?xml version="1.0" encoding="utf-8"?>
<xdr:wsDr xmlns:xdr="http://schemas.openxmlformats.org/drawingml/2006/spreadsheetDrawing">
  <xdr:twoCellAnchor editAs="absolute">
    <xdr:from>
      <xdr:col>1</xdr:col>
      <xdr:colOff>0</xdr:colOff>
      <xdr:row>18</xdr:row>
      <xdr:rowOff>0</xdr:rowOff>
    </xdr:from>
    <xdr:to>
      <xdr:col>29</xdr:col>
      <xdr:colOff>0</xdr:colOff>
      <xdr:row>38</xdr:row>
      <xdr:rowOff>0</xdr:rowOff>
    </xdr:to>
    <xdr:sp>
      <xdr:nvSpPr>
        <xdr:cNvPr id="1" name="Combined background"/>
        <xdr:cNvSpPr>
          <a:spLocks xmlns:a="http://schemas.openxmlformats.org/drawingml/2006/main" noGrp="1"/>
        </xdr:cNvSpPr>
      </xdr:nvSpPr>
      <xdr:spPr>
        <a:xfrm xmlns:a="http://schemas.openxmlformats.org/drawingml/2006/main">
          <a:off x="0" y="0"/>
          <a:ext cx="1146810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42</xdr:row>
      <xdr:rowOff>0</xdr:rowOff>
    </xdr:from>
    <xdr:to>
      <xdr:col>14</xdr:col>
      <xdr:colOff>295275</xdr:colOff>
      <xdr:row>62</xdr:row>
      <xdr:rowOff>0</xdr:rowOff>
    </xdr:to>
    <xdr:sp>
      <xdr:nvSpPr>
        <xdr:cNvPr id="2" name="What distribution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15</xdr:col>
      <xdr:colOff>114300</xdr:colOff>
      <xdr:row>42</xdr:row>
      <xdr:rowOff>0</xdr:rowOff>
    </xdr:from>
    <xdr:to>
      <xdr:col>29</xdr:col>
      <xdr:colOff>0</xdr:colOff>
      <xdr:row>62</xdr:row>
      <xdr:rowOff>0</xdr:rowOff>
    </xdr:to>
    <xdr:sp>
      <xdr:nvSpPr>
        <xdr:cNvPr id="3" name="What officers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62</xdr:row>
      <xdr:rowOff>228600</xdr:rowOff>
    </xdr:from>
    <xdr:to>
      <xdr:col>14</xdr:col>
      <xdr:colOff>295275</xdr:colOff>
      <xdr:row>62</xdr:row>
      <xdr:rowOff>4800600</xdr:rowOff>
    </xdr:to>
    <xdr:sp>
      <xdr:nvSpPr>
        <xdr:cNvPr id="4" name="How distribution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15</xdr:col>
      <xdr:colOff>114300</xdr:colOff>
      <xdr:row>62</xdr:row>
      <xdr:rowOff>228600</xdr:rowOff>
    </xdr:from>
    <xdr:to>
      <xdr:col>29</xdr:col>
      <xdr:colOff>0</xdr:colOff>
      <xdr:row>62</xdr:row>
      <xdr:rowOff>4800600</xdr:rowOff>
    </xdr:to>
    <xdr:sp>
      <xdr:nvSpPr>
        <xdr:cNvPr id="5" name="How officers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70</xdr:row>
      <xdr:rowOff>0</xdr:rowOff>
    </xdr:from>
    <xdr:to>
      <xdr:col>14</xdr:col>
      <xdr:colOff>295275</xdr:colOff>
      <xdr:row>90</xdr:row>
      <xdr:rowOff>0</xdr:rowOff>
    </xdr:to>
    <xdr:sp>
      <xdr:nvSpPr>
        <xdr:cNvPr id="6" name="Actual target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171450</xdr:colOff>
      <xdr:row>18</xdr:row>
      <xdr:rowOff>133350</xdr:rowOff>
    </xdr:from>
    <xdr:to>
      <xdr:col>28</xdr:col>
      <xdr:colOff>238125</xdr:colOff>
      <xdr:row>37</xdr:row>
      <xdr:rowOff>95250</xdr:rowOff>
    </xdr:to>
    <xdr:graphicFrame macro="">
      <xdr:nvGraphicFramePr>
        <xdr:cNvPr id="7" name="Combined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31eb573ea5c4682"/>
        </a:graphicData>
      </a:graphic>
    </xdr:graphicFrame>
    <xdr:clientData/>
  </xdr:twoCellAnchor>
  <xdr:twoCellAnchor editAs="absolute">
    <xdr:from>
      <xdr:col>1</xdr:col>
      <xdr:colOff>171450</xdr:colOff>
      <xdr:row>42</xdr:row>
      <xdr:rowOff>133350</xdr:rowOff>
    </xdr:from>
    <xdr:to>
      <xdr:col>14</xdr:col>
      <xdr:colOff>123825</xdr:colOff>
      <xdr:row>61</xdr:row>
      <xdr:rowOff>95250</xdr:rowOff>
    </xdr:to>
    <xdr:graphicFrame macro="">
      <xdr:nvGraphicFramePr>
        <xdr:cNvPr id="8" name="What distribution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75287811fbc4b54"/>
        </a:graphicData>
      </a:graphic>
    </xdr:graphicFrame>
    <xdr:clientData/>
  </xdr:twoCellAnchor>
  <xdr:twoCellAnchor editAs="absolute">
    <xdr:from>
      <xdr:col>15</xdr:col>
      <xdr:colOff>285750</xdr:colOff>
      <xdr:row>42</xdr:row>
      <xdr:rowOff>133350</xdr:rowOff>
    </xdr:from>
    <xdr:to>
      <xdr:col>28</xdr:col>
      <xdr:colOff>238125</xdr:colOff>
      <xdr:row>61</xdr:row>
      <xdr:rowOff>95250</xdr:rowOff>
    </xdr:to>
    <xdr:graphicFrame macro="">
      <xdr:nvGraphicFramePr>
        <xdr:cNvPr id="9" name="What officers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74781a6a67344ca"/>
        </a:graphicData>
      </a:graphic>
    </xdr:graphicFrame>
    <xdr:clientData/>
  </xdr:twoCellAnchor>
  <xdr:twoCellAnchor editAs="absolute">
    <xdr:from>
      <xdr:col>1</xdr:col>
      <xdr:colOff>171450</xdr:colOff>
      <xdr:row>62</xdr:row>
      <xdr:rowOff>361950</xdr:rowOff>
    </xdr:from>
    <xdr:to>
      <xdr:col>14</xdr:col>
      <xdr:colOff>123825</xdr:colOff>
      <xdr:row>62</xdr:row>
      <xdr:rowOff>4667250</xdr:rowOff>
    </xdr:to>
    <xdr:graphicFrame macro="">
      <xdr:nvGraphicFramePr>
        <xdr:cNvPr id="10" name="How distribution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adec9aa508f403b"/>
        </a:graphicData>
      </a:graphic>
    </xdr:graphicFrame>
    <xdr:clientData/>
  </xdr:twoCellAnchor>
  <xdr:twoCellAnchor editAs="absolute">
    <xdr:from>
      <xdr:col>15</xdr:col>
      <xdr:colOff>285750</xdr:colOff>
      <xdr:row>62</xdr:row>
      <xdr:rowOff>361950</xdr:rowOff>
    </xdr:from>
    <xdr:to>
      <xdr:col>28</xdr:col>
      <xdr:colOff>238125</xdr:colOff>
      <xdr:row>62</xdr:row>
      <xdr:rowOff>4667250</xdr:rowOff>
    </xdr:to>
    <xdr:graphicFrame macro="">
      <xdr:nvGraphicFramePr>
        <xdr:cNvPr id="11" name="How officers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fcbbd86ab2f4d9c"/>
        </a:graphicData>
      </a:graphic>
    </xdr:graphicFrame>
    <xdr:clientData/>
  </xdr:twoCellAnchor>
  <xdr:twoCellAnchor editAs="absolute">
    <xdr:from>
      <xdr:col>1</xdr:col>
      <xdr:colOff>171450</xdr:colOff>
      <xdr:row>70</xdr:row>
      <xdr:rowOff>133350</xdr:rowOff>
    </xdr:from>
    <xdr:to>
      <xdr:col>14</xdr:col>
      <xdr:colOff>123825</xdr:colOff>
      <xdr:row>89</xdr:row>
      <xdr:rowOff>95250</xdr:rowOff>
    </xdr:to>
    <xdr:graphicFrame macro="">
      <xdr:nvGraphicFramePr>
        <xdr:cNvPr id="12" name="Actual target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4ba56b7363c4fd8"/>
        </a:graphicData>
      </a:graphic>
    </xdr:graphicFrame>
    <xdr:clientData/>
  </xdr:twoCellAnchor>
  <xdr:twoCellAnchor editAs="absolute">
    <xdr:from>
      <xdr:col>1</xdr:col>
      <xdr:colOff>0</xdr:colOff>
      <xdr:row>10</xdr:row>
      <xdr:rowOff>0</xdr:rowOff>
    </xdr:from>
    <xdr:to>
      <xdr:col>8</xdr:col>
      <xdr:colOff>0</xdr:colOff>
      <xdr:row>16</xdr:row>
      <xdr:rowOff>0</xdr:rowOff>
    </xdr:to>
    <xdr:sp>
      <xdr:nvSpPr>
        <xdr:cNvPr id="13" name="Employees card"/>
        <xdr:cNvSpPr>
          <a:spLocks xmlns:a="http://schemas.openxmlformats.org/drawingml/2006/main" noGrp="1"/>
        </xdr:cNvSpPr>
      </xdr:nvSpPr>
      <xdr:spPr>
        <a:xfrm xmlns:a="http://schemas.openxmlformats.org/drawingml/2006/main">
          <a:off x="0" y="0"/>
          <a:ext cx="2867025" cy="1371600"/>
        </a:xfrm>
        <a:prstGeom xmlns:a="http://schemas.openxmlformats.org/drawingml/2006/main" prst="roundRect">
          <a:avLst>
            <a:gd name="adj" fmla="val 5556"/>
          </a:avLst>
        </a:prstGeom>
        <ns0:noFill xmlns:ns0="http://schemas.openxmlformats.org/drawingml/2006/main"/>
        <ns0:ln xmlns:ns0="http://schemas.openxmlformats.org/drawingml/2006/main" w="12700">
          <ns0:solidFill>
            <ns0:srgbClr val="DCE4EE"/>
          </ns0:solidFill>
        </ns0:ln>
      </xdr:spPr>
    </xdr:sp>
    <xdr:clientData/>
  </xdr:twoCellAnchor>
  <xdr:twoCellAnchor editAs="absolute">
    <xdr:from>
      <xdr:col>9</xdr:col>
      <xdr:colOff>0</xdr:colOff>
      <xdr:row>10</xdr:row>
      <xdr:rowOff>0</xdr:rowOff>
    </xdr:from>
    <xdr:to>
      <xdr:col>16</xdr:col>
      <xdr:colOff>0</xdr:colOff>
      <xdr:row>16</xdr:row>
      <xdr:rowOff>0</xdr:rowOff>
    </xdr:to>
    <xdr:sp>
      <xdr:nvSpPr>
        <xdr:cNvPr id="14" name="Fully rated card"/>
        <xdr:cNvSpPr>
          <a:spLocks xmlns:a="http://schemas.openxmlformats.org/drawingml/2006/main" noGrp="1"/>
        </xdr:cNvSpPr>
      </xdr:nvSpPr>
      <xdr:spPr>
        <a:xfrm xmlns:a="http://schemas.openxmlformats.org/drawingml/2006/main">
          <a:off x="0" y="0"/>
          <a:ext cx="2867025" cy="1371600"/>
        </a:xfrm>
        <a:prstGeom xmlns:a="http://schemas.openxmlformats.org/drawingml/2006/main" prst="roundRect">
          <a:avLst>
            <a:gd name="adj" fmla="val 5556"/>
          </a:avLst>
        </a:prstGeom>
        <ns0:noFill xmlns:ns0="http://schemas.openxmlformats.org/drawingml/2006/main"/>
        <ns1:ln xmlns:ns1="http://schemas.openxmlformats.org/drawingml/2006/main" w="12700">
          <ns1:solidFill>
            <ns1:srgbClr val="DCE4EE"/>
          </ns1:solidFill>
        </ns1:ln>
      </xdr:spPr>
    </xdr:sp>
    <xdr:clientData/>
  </xdr:twoCellAnchor>
  <xdr:twoCellAnchor editAs="absolute">
    <xdr:from>
      <xdr:col>17</xdr:col>
      <xdr:colOff>0</xdr:colOff>
      <xdr:row>10</xdr:row>
      <xdr:rowOff>0</xdr:rowOff>
    </xdr:from>
    <xdr:to>
      <xdr:col>23</xdr:col>
      <xdr:colOff>0</xdr:colOff>
      <xdr:row>16</xdr:row>
      <xdr:rowOff>0</xdr:rowOff>
    </xdr:to>
    <xdr:sp>
      <xdr:nvSpPr>
        <xdr:cNvPr id="15" name="Completion card"/>
        <xdr:cNvSpPr>
          <a:spLocks xmlns:a="http://schemas.openxmlformats.org/drawingml/2006/main" noGrp="1"/>
        </xdr:cNvSpPr>
      </xdr:nvSpPr>
      <xdr:spPr>
        <a:xfrm xmlns:a="http://schemas.openxmlformats.org/drawingml/2006/main">
          <a:off x="0" y="0"/>
          <a:ext cx="2457450" cy="1371600"/>
        </a:xfrm>
        <a:prstGeom xmlns:a="http://schemas.openxmlformats.org/drawingml/2006/main" prst="roundRect">
          <a:avLst>
            <a:gd name="adj" fmla="val 5556"/>
          </a:avLst>
        </a:prstGeom>
        <ns0:noFill xmlns:ns0="http://schemas.openxmlformats.org/drawingml/2006/main"/>
        <ns2:ln xmlns:ns2="http://schemas.openxmlformats.org/drawingml/2006/main" w="12700">
          <ns2:solidFill>
            <ns2:srgbClr val="DCE4EE"/>
          </ns2:solidFill>
        </ns2:ln>
      </xdr:spPr>
    </xdr:sp>
    <xdr:clientData/>
  </xdr:twoCellAnchor>
  <xdr:twoCellAnchor editAs="absolute">
    <xdr:from>
      <xdr:col>24</xdr:col>
      <xdr:colOff>0</xdr:colOff>
      <xdr:row>10</xdr:row>
      <xdr:rowOff>0</xdr:rowOff>
    </xdr:from>
    <xdr:to>
      <xdr:col>29</xdr:col>
      <xdr:colOff>0</xdr:colOff>
      <xdr:row>16</xdr:row>
      <xdr:rowOff>0</xdr:rowOff>
    </xdr:to>
    <xdr:sp>
      <xdr:nvSpPr>
        <xdr:cNvPr id="16" name="Pending card"/>
        <xdr:cNvSpPr>
          <a:spLocks xmlns:a="http://schemas.openxmlformats.org/drawingml/2006/main" noGrp="1"/>
        </xdr:cNvSpPr>
      </xdr:nvSpPr>
      <xdr:spPr>
        <a:xfrm xmlns:a="http://schemas.openxmlformats.org/drawingml/2006/main">
          <a:off x="0" y="0"/>
          <a:ext cx="2047875" cy="1371600"/>
        </a:xfrm>
        <a:prstGeom xmlns:a="http://schemas.openxmlformats.org/drawingml/2006/main" prst="roundRect">
          <a:avLst>
            <a:gd name="adj" fmla="val 5556"/>
          </a:avLst>
        </a:prstGeom>
        <ns0:noFill xmlns:ns0="http://schemas.openxmlformats.org/drawingml/2006/main"/>
        <ns3:ln xmlns:ns3="http://schemas.openxmlformats.org/drawingml/2006/main" w="12700">
          <ns3:solidFill>
            <ns3:srgbClr val="DCE4EE"/>
          </ns3:solidFill>
        </ns3:ln>
      </xdr:spPr>
    </xdr:sp>
    <xdr:clientData/>
  </xdr:twoCellAnchor>
  <xdr:twoCellAnchor editAs="absolute">
    <xdr:from>
      <xdr:col>16</xdr:col>
      <xdr:colOff>0</xdr:colOff>
      <xdr:row>70</xdr:row>
      <xdr:rowOff>0</xdr:rowOff>
    </xdr:from>
    <xdr:to>
      <xdr:col>29</xdr:col>
      <xdr:colOff>0</xdr:colOff>
      <xdr:row>90</xdr:row>
      <xdr:rowOff>0</xdr:rowOff>
    </xdr:to>
    <xdr:sp>
      <xdr:nvSpPr>
        <xdr:cNvPr id="17" name="Calibration values card"/>
        <xdr:cNvSpPr>
          <a:spLocks xmlns:a="http://schemas.openxmlformats.org/drawingml/2006/main" noGrp="1"/>
        </xdr:cNvSpPr>
      </xdr:nvSpPr>
      <xdr:spPr>
        <a:xfrm xmlns:a="http://schemas.openxmlformats.org/drawingml/2006/main">
          <a:off x="0" y="0"/>
          <a:ext cx="5324475" cy="4572000"/>
        </a:xfrm>
        <a:prstGeom xmlns:a="http://schemas.openxmlformats.org/drawingml/2006/main" prst="roundRect">
          <a:avLst>
            <a:gd name="adj" fmla="val 1667"/>
          </a:avLst>
        </a:prstGeom>
        <ns0:noFill xmlns:ns0="http://schemas.openxmlformats.org/drawingml/2006/main"/>
        <ns4:ln xmlns:ns4="http://schemas.openxmlformats.org/drawingml/2006/main" w="12700">
          <ns4:solidFill>
            <ns4:srgbClr val="DCE4EE"/>
          </ns4:solidFill>
        </ns4:ln>
      </xdr:spPr>
    </xdr:sp>
    <xdr:clientData/>
  </xdr:twoCellAnchor>
  <xdr:twoCellAnchor editAs="absolute">
    <xdr:from>
      <xdr:col>0</xdr:col>
      <xdr:colOff>333375</xdr:colOff>
      <xdr:row>92</xdr:row>
      <xdr:rowOff>0</xdr:rowOff>
    </xdr:from>
    <xdr:to>
      <xdr:col>29</xdr:col>
      <xdr:colOff>76200</xdr:colOff>
      <xdr:row>122</xdr:row>
      <xdr:rowOff>0</xdr:rowOff>
    </xdr:to>
    <xdr:sp>
      <xdr:nvSpPr>
        <xdr:cNvPr id="18" name="Team comparison frame"/>
        <xdr:cNvSpPr>
          <a:spLocks xmlns:a="http://schemas.openxmlformats.org/drawingml/2006/main" noGrp="1"/>
        </xdr:cNvSpPr>
      </xdr:nvSpPr>
      <xdr:spPr>
        <a:xfrm xmlns:a="http://schemas.openxmlformats.org/drawingml/2006/main">
          <a:off x="0" y="0"/>
          <a:ext cx="11620500" cy="11430000"/>
        </a:xfrm>
        <a:prstGeom xmlns:a="http://schemas.openxmlformats.org/drawingml/2006/main" prst="roundRect">
          <a:avLst>
            <a:gd name="adj" fmla="val 714"/>
          </a:avLst>
        </a:prstGeom>
        <ns0:noFill xmlns:ns0="http://schemas.openxmlformats.org/drawingml/2006/main"/>
        <ns5:ln xmlns:ns5="http://schemas.openxmlformats.org/drawingml/2006/main" w="12700">
          <ns5:solidFill>
            <ns5:srgbClr val="DCE4EE"/>
          </ns5:solidFill>
        </ns5:ln>
      </xdr:spPr>
    </xdr:sp>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iti Sans Display"/>
        <a:ea typeface="Citi Sans Display"/>
        <a:cs typeface="Citi Sans Display"/>
      </a:majorFont>
      <a:minorFont>
        <a:latin typeface="Citi Sans Display"/>
        <a:ea typeface="Citi Sans Display"/>
        <a:cs typeface="Citi Sans Display"/>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9a754da8afc4f72" /></Relationships>
</file>

<file path=xl/worksheets/sheet1.xml><?xml version="1.0" encoding="utf-8"?>
<x:worksheet xmlns:x="http://schemas.openxmlformats.org/spreadsheetml/2006/main">
  <x:sheetPr>
    <x:tabColor rgb="FF255BE3"/>
  </x:sheetPr>
  <x:sheetViews>
    <x:sheetView showGridLines="0" workbookViewId="0">
      <x:pane ySplit="9" topLeftCell="A10" activePane="bottomLeft" state="frozen"/>
    </x:sheetView>
  </x:sheetViews>
  <x:sheetFormatPr defaultRowHeight="15"/>
  <x:cols>
    <x:col min="1" max="1" width="4.78000020980835" hidden="0" customWidth="1"/>
    <x:col min="2" max="2" width="4.78000020980835" hidden="0" customWidth="1"/>
    <x:col min="3" max="3" width="4.78000020980835" hidden="0" customWidth="1"/>
    <x:col min="4" max="4" width="4.78000020980835" hidden="0" customWidth="1"/>
    <x:col min="5" max="5" width="4.78000020980835" hidden="0" customWidth="1"/>
    <x:col min="6" max="6" width="4.78000020980835" hidden="0" customWidth="1"/>
    <x:col min="7" max="7" width="4.78000020980835" hidden="0" customWidth="1"/>
    <x:col min="8" max="8" width="4.78000020980835" hidden="0" customWidth="1"/>
    <x:col min="9" max="9" width="4.78000020980835" hidden="0" customWidth="1"/>
    <x:col min="10" max="10" width="4.78000020980835" hidden="0" customWidth="1"/>
    <x:col min="11" max="11" width="4.78000020980835" hidden="0" customWidth="1"/>
    <x:col min="12" max="12" width="4.78000020980835" hidden="0" customWidth="1"/>
    <x:col min="13" max="13" width="4.78000020980835" hidden="0" customWidth="1"/>
    <x:col min="14" max="14" width="4.78000020980835" hidden="0" customWidth="1"/>
    <x:col min="15" max="15" width="4.78000020980835" hidden="0" customWidth="1"/>
    <x:col min="16" max="16" width="4.78000020980835" hidden="0" customWidth="1"/>
    <x:col min="17" max="17" width="4.78000020980835" hidden="0" customWidth="1"/>
    <x:col min="18" max="18" width="4.78000020980835" hidden="0" customWidth="1"/>
    <x:col min="19" max="19" width="4.78000020980835" hidden="0" customWidth="1"/>
    <x:col min="20" max="20" width="4.78000020980835" hidden="0" customWidth="1"/>
    <x:col min="21" max="21" width="4.78000020980835" hidden="0" customWidth="1"/>
    <x:col min="22" max="22" width="4.78000020980835" hidden="0" customWidth="1"/>
    <x:col min="23" max="23" width="4.78000020980835" hidden="0" customWidth="1"/>
    <x:col min="24" max="24" width="4.78000020980835" hidden="0" customWidth="1"/>
    <x:col min="25" max="25" width="4.78000020980835" hidden="0" customWidth="1"/>
    <x:col min="26" max="26" width="4.78000020980835" hidden="0" customWidth="1"/>
    <x:col min="27" max="27" width="4.78000020980835" hidden="0" customWidth="1"/>
    <x:col min="28" max="28" width="4.78000020980835" hidden="0" customWidth="1"/>
    <x:col min="29" max="29" width="4.78000020980835" hidden="0" customWidth="1"/>
    <x:col min="30" max="30" width="4.78000020980835" hidden="0" customWidth="1"/>
    <x:col min="32" max="32" width="4.78000020980835" hidden="0" customWidth="1"/>
    <x:col min="33" max="33" width="4.78000020980835" hidden="0" customWidth="1"/>
    <x:col min="34" max="34" width="4.78000020980835" hidden="0" customWidth="1"/>
    <x:col min="35" max="35" width="4.78000020980835" hidden="0" customWidth="1"/>
    <x:col min="36" max="36" width="4.78000020980835" hidden="0" customWidth="1"/>
    <x:col min="37" max="37" width="4.78000020980835" hidden="0" customWidth="1"/>
    <x:col min="38" max="38" width="4.78000020980835" hidden="0" customWidth="1"/>
    <x:col min="39" max="39" width="4.78000020980835" hidden="0" customWidth="1"/>
    <x:col min="40" max="40" width="4.78000020980835" hidden="0" customWidth="1"/>
    <x:col min="41" max="41" width="4.78000020980835" hidden="0" customWidth="1"/>
    <x:col min="42" max="42" width="4.78000020980835" hidden="0" customWidth="1"/>
    <x:col min="43" max="43" width="4.78000020980835" hidden="0" customWidth="1"/>
    <x:col min="44" max="44" width="4.78000020980835" hidden="0" customWidth="1"/>
    <x:col min="45" max="45" width="4.78000020980835" hidden="0" customWidth="1"/>
    <x:col min="46" max="46" width="4.78000020980835" hidden="0" customWidth="1"/>
    <x:col min="47" max="47" width="4.78000020980835" hidden="0" customWidth="1"/>
    <x:col min="48" max="48" width="10" hidden="1" customWidth="1"/>
    <x:col min="49" max="49" width="10" hidden="1" customWidth="1"/>
    <x:col min="50" max="50" width="10" hidden="1" customWidth="1"/>
    <x:col min="51" max="51" width="10" hidden="1" customWidth="1"/>
    <x:col min="52" max="52" width="10" hidden="1" customWidth="1"/>
    <x:col min="53" max="53" width="10" hidden="1" customWidth="1"/>
    <x:col min="54" max="54" width="10" hidden="1" customWidth="1"/>
    <x:col min="55" max="55" width="10" hidden="1" customWidth="1"/>
    <x:col min="56" max="56" width="10" hidden="1" customWidth="1"/>
    <x:col min="57" max="57" width="10" hidden="1" customWidth="1"/>
    <x:col min="58" max="58" width="10" hidden="1" customWidth="1"/>
    <x:col min="59" max="59" width="10" hidden="1" customWidth="1"/>
    <x:col min="60" max="60" width="10" hidden="1" customWidth="1"/>
    <x:col min="61" max="61" width="10" hidden="1" customWidth="1"/>
    <x:col min="62" max="62" width="10" hidden="1" customWidth="1"/>
    <x:col min="63" max="63" width="10" hidden="1" customWidth="1"/>
    <x:col min="64" max="64" width="10" hidden="1" customWidth="1"/>
    <x:col min="65" max="65" width="10" hidden="1" customWidth="1"/>
    <x:col min="66" max="66" width="10" hidden="1" customWidth="1"/>
    <x:col min="67" max="67" width="10" hidden="1" customWidth="1"/>
    <x:col min="68" max="68" width="10" hidden="1" customWidth="1"/>
    <x:col min="69" max="69" width="10" hidden="1" customWidth="1"/>
    <x:col min="70" max="70" width="10" hidden="1" customWidth="1"/>
    <x:col min="71" max="71" width="10" hidden="1" customWidth="1"/>
    <x:col min="72" max="72" width="10" hidden="1" customWidth="1"/>
    <x:col min="73" max="73" width="10" hidden="1" customWidth="1"/>
    <x:col min="74" max="74" width="10" hidden="1" customWidth="1"/>
    <x:col min="75" max="75" width="10" hidden="1" customWidth="1"/>
    <x:col min="76" max="76" width="10" hidden="1" customWidth="1"/>
    <x:col min="77" max="77" width="10" hidden="1" customWidth="1"/>
    <x:col min="78" max="78" width="10" hidden="1" customWidth="1"/>
    <x:col min="79" max="79" width="10" hidden="1" customWidth="1"/>
    <x:col min="80" max="80" width="10" hidden="1" customWidth="1"/>
    <x:col min="81" max="81" width="10" hidden="1" customWidth="1"/>
    <x:col min="82" max="82" width="10" hidden="1" customWidth="1"/>
    <x:col min="83" max="83" width="10" hidden="1" customWidth="1"/>
    <x:col min="84" max="84" width="10" hidden="1" customWidth="1"/>
    <x:col min="85" max="85" width="10" hidden="1" customWidth="1"/>
    <x:col min="86" max="86" width="10" hidden="1" customWidth="1"/>
    <x:col min="87" max="87" width="10" hidden="1" customWidth="1"/>
    <x:col min="88" max="88" width="10" hidden="1" customWidth="1"/>
    <x:col min="89" max="89" width="10" hidden="1" customWidth="1"/>
    <x:col min="90" max="90" width="10" hidden="1" customWidth="1"/>
    <x:col min="91" max="91" width="10" hidden="1" customWidth="1"/>
    <x:col min="92" max="92" width="10" hidden="1" customWidth="1"/>
    <x:col min="93" max="93" width="10" hidden="1" customWidth="1"/>
    <x:col min="94" max="94" width="10" hidden="1" customWidth="1"/>
    <x:col min="95" max="95" width="10" hidden="1" customWidth="1"/>
    <x:col min="96" max="96" width="10" hidden="1" customWidth="1"/>
    <x:col min="97" max="97" width="10" hidden="1" customWidth="1"/>
    <x:col min="98" max="98" width="10" hidden="1" customWidth="1"/>
    <x:col min="99" max="99" width="10" hidden="1" customWidth="1"/>
    <x:col min="100" max="100" width="10" hidden="1" customWidth="1"/>
    <x:col min="101" max="101" width="10" hidden="1" customWidth="1"/>
    <x:col min="102" max="102" width="10" hidden="1" customWidth="1"/>
    <x:col min="103" max="103" width="10" hidden="1" customWidth="1"/>
    <x:col min="104" max="104" width="10" hidden="1" customWidth="1"/>
    <x:col min="105" max="105" width="10" hidden="1" customWidth="1"/>
    <x:col min="106" max="106" width="10" hidden="1" customWidth="1"/>
    <x:col min="107" max="107" width="10" hidden="1" customWidth="1"/>
    <x:col min="108" max="108" width="10" hidden="1" customWidth="1"/>
    <x:col min="109" max="109" width="10" hidden="1" customWidth="1"/>
    <x:col min="110" max="110" width="10" hidden="1" customWidth="1"/>
    <x:col min="111" max="111" width="10" hidden="1" customWidth="1"/>
    <x:col min="112" max="112" width="10" hidden="1" customWidth="1"/>
    <x:col min="113" max="113" width="10" hidden="1" customWidth="1"/>
    <x:col min="114" max="114" width="10" hidden="1" customWidth="1"/>
    <x:col min="115" max="115" width="10" hidden="1" customWidth="1"/>
    <x:col min="116" max="116" width="10" hidden="1" customWidth="1"/>
    <x:col min="117" max="117" width="10" hidden="1" customWidth="1"/>
    <x:col min="118" max="118" width="10" hidden="1" customWidth="1"/>
    <x:col min="119" max="119" width="10" hidden="1" customWidth="1"/>
    <x:col min="120" max="120" width="10" hidden="1" customWidth="1"/>
    <x:col min="121" max="121" width="10" hidden="1" customWidth="1"/>
    <x:col min="122" max="122" width="10" hidden="1" customWidth="1"/>
    <x:col min="123" max="123" width="10" hidden="1" customWidth="1"/>
    <x:col min="124" max="124" width="10" hidden="1" customWidth="1"/>
    <x:col min="125" max="125" width="10" hidden="1" customWidth="1"/>
    <x:col min="126" max="126" width="10" hidden="1" customWidth="1"/>
    <x:col min="127" max="127" width="10" hidden="1" customWidth="1"/>
    <x:col min="128" max="128" width="10" hidden="1" customWidth="1"/>
    <x:col min="129" max="129" width="10" hidden="1" customWidth="1"/>
    <x:col min="130" max="130" width="10" hidden="1" customWidth="1"/>
    <x:col min="131" max="131" width="10" hidden="1" customWidth="1"/>
    <x:col min="132" max="132" width="10" hidden="1" customWidth="1"/>
    <x:col min="133" max="133" width="10" hidden="1" customWidth="1"/>
    <x:col min="134" max="134" width="10" hidden="1" customWidth="1"/>
    <x:col min="135" max="135" width="10" hidden="1" customWidth="1"/>
    <x:col min="136" max="136" width="10" hidden="1" customWidth="1"/>
    <x:col min="137" max="137" width="10" hidden="1" customWidth="1"/>
    <x:col min="138" max="138" width="10" hidden="1" customWidth="1"/>
    <x:col min="139" max="139" width="10" hidden="1" customWidth="1"/>
    <x:col min="140" max="140" width="10" hidden="1" customWidth="1"/>
    <x:col min="141" max="141" width="10" hidden="1" customWidth="1"/>
    <x:col min="142" max="142" width="10" hidden="1" customWidth="1"/>
    <x:col min="143" max="143" width="10" hidden="1" customWidth="1"/>
    <x:col min="144" max="144" width="10" hidden="1" customWidth="1"/>
    <x:col min="145" max="145" width="10" hidden="1" customWidth="1"/>
    <x:col min="146" max="146" width="10" hidden="1" customWidth="1"/>
    <x:col min="147" max="147" width="10" hidden="1" customWidth="1"/>
    <x:col min="148" max="148" width="10" hidden="1" customWidth="1"/>
    <x:col min="149" max="149" width="10" hidden="1" customWidth="1"/>
    <x:col min="150" max="150" width="10" hidden="1" customWidth="1"/>
    <x:col min="151" max="151" width="10" hidden="1" customWidth="1"/>
    <x:col min="152" max="152" width="10" hidden="1" customWidth="1"/>
    <x:col min="153" max="153" width="10" hidden="1" customWidth="1"/>
    <x:col min="154" max="154" width="10" hidden="1" customWidth="1"/>
    <x:col min="155" max="155" width="10" hidden="1" customWidth="1"/>
    <x:col min="156" max="156" width="10" hidden="1" customWidth="1"/>
    <x:col min="157" max="157" width="10" hidden="1" customWidth="1"/>
    <x:col min="158" max="158" width="10" hidden="1" customWidth="1"/>
    <x:col min="159" max="159" width="10" hidden="1" customWidth="1"/>
    <x:col min="160" max="160" width="10" hidden="1" customWidth="1"/>
    <x:col min="161" max="161" width="10" hidden="1" customWidth="1"/>
    <x:col min="162" max="162" width="10" hidden="1" customWidth="1"/>
    <x:col min="163" max="163" width="10" hidden="1" customWidth="1"/>
    <x:col min="164" max="164" width="10" hidden="1" customWidth="1"/>
    <x:col min="165" max="165" width="10" hidden="1" customWidth="1"/>
    <x:col min="166" max="166" width="10" hidden="1" customWidth="1"/>
    <x:col min="167" max="167" width="10" hidden="1" customWidth="1"/>
    <x:col min="168" max="168" width="10" hidden="1" customWidth="1"/>
    <x:col min="169" max="169" width="10" hidden="1" customWidth="1"/>
    <x:col min="170" max="170" width="10" hidden="1" customWidth="1"/>
    <x:col min="171" max="171" width="10" hidden="1" customWidth="1"/>
    <x:col min="31" max="31" width="2" hidden="0" customWidth="1"/>
  </x:cols>
  <x:sheetData>
    <x:row r="1" ht="18" customHeight="1">
      <x:c r="A1" s="3"/>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77"/>
      <x:c r="AF1" s="75"/>
      <x:c r="AG1" s="75"/>
      <x:c r="AH1" s="75"/>
      <x:c r="AI1" s="75"/>
      <x:c r="AJ1" s="75"/>
      <x:c r="AK1" s="75"/>
      <x:c r="AL1" s="75"/>
      <x:c r="AM1" s="75"/>
      <x:c r="AN1" s="75"/>
      <x:c r="AO1" s="75"/>
      <x:c r="AP1" s="75"/>
      <x:c r="AQ1" s="75"/>
      <x:c r="AR1" s="75"/>
      <x:c r="AS1" s="75"/>
      <x:c r="AT1" s="75"/>
      <x:c r="AU1" s="75"/>
      <x:c r="AV1" s="4"/>
      <x:c r="AW1" s="4"/>
      <x:c r="AX1" s="4"/>
      <x:c r="AY1" s="4"/>
      <x:c r="AZ1" s="4"/>
      <x:c r="BA1" s="4"/>
      <x:c r="BB1" s="4"/>
      <x:c r="BC1" s="4"/>
      <x:c r="BD1" s="4"/>
      <x:c r="BE1" s="4"/>
      <x:c r="BF1" s="4"/>
      <x:c r="BG1" s="4"/>
      <x:c r="BH1" s="4"/>
      <x:c r="BI1" s="4"/>
      <x:c r="BJ1" s="4"/>
      <x:c r="BK1" s="4"/>
      <x:c r="BL1" s="4"/>
      <x:c r="BM1" s="4"/>
      <x:c r="BN1" s="4"/>
      <x:c r="BO1" s="4"/>
      <x:c r="BP1" s="4"/>
      <x:c r="BQ1" s="4"/>
      <x:c r="BR1" s="4"/>
      <x:c r="BS1" s="4"/>
      <x:c r="BT1" s="4"/>
      <x:c r="BU1" s="4"/>
      <x:c r="BV1" s="4"/>
      <x:c r="BW1" s="4"/>
      <x:c r="BX1" s="4"/>
      <x:c r="BY1" s="4"/>
      <x:c r="BZ1" s="4"/>
      <x:c r="CA1" s="4"/>
      <x:c r="CB1" s="4"/>
      <x:c r="CC1" s="4"/>
      <x:c r="CD1" s="4"/>
      <x:c r="CE1" s="4"/>
      <x:c r="CF1" s="4"/>
      <x:c r="CG1" s="4"/>
      <x:c r="CH1" s="4"/>
      <x:c r="CI1" s="4"/>
      <x:c r="CJ1" s="4"/>
      <x:c r="CK1" s="4"/>
      <x:c r="CL1" s="4"/>
      <x:c r="CM1" s="4"/>
      <x:c r="CN1" s="4"/>
      <x:c r="CO1" s="4"/>
      <x:c r="CP1" s="4"/>
      <x:c r="CQ1" s="4"/>
      <x:c r="CR1" s="4"/>
      <x:c r="CS1" s="4"/>
      <x:c r="CT1" s="4"/>
      <x:c r="CU1" s="4"/>
      <x:c r="CV1" s="4"/>
      <x:c r="CW1" s="4"/>
      <x:c r="CX1" s="4"/>
      <x:c r="CY1" s="4"/>
      <x:c r="CZ1" s="4"/>
      <x:c r="DA1" s="4"/>
      <x:c r="DB1" s="4"/>
      <x:c r="DC1" s="4"/>
      <x:c r="DD1" s="4"/>
      <x:c r="DE1" s="4"/>
      <x:c r="DF1" s="4"/>
      <x:c r="DG1" s="4"/>
      <x:c r="DH1" s="4"/>
      <x:c r="DI1" s="4"/>
      <x:c r="DJ1" s="4"/>
      <x:c r="DK1" s="4"/>
      <x:c r="DL1" s="4"/>
      <x:c r="DM1" s="4"/>
      <x:c r="DN1" s="4"/>
      <x:c r="DO1" s="4"/>
      <x:c r="DP1" s="4"/>
      <x:c r="DQ1" s="4"/>
      <x:c r="DR1" s="4"/>
      <x:c r="DS1" s="4"/>
      <x:c r="DT1" s="4"/>
      <x:c r="DU1" s="4"/>
      <x:c r="DV1" s="4"/>
      <x:c r="DW1" s="4"/>
      <x:c r="DX1" s="4"/>
      <x:c r="DY1" s="4"/>
      <x:c r="DZ1" s="4"/>
      <x:c r="EA1" s="4"/>
      <x:c r="EB1" s="4"/>
      <x:c r="EC1" s="4"/>
      <x:c r="ED1" s="4"/>
      <x:c r="EE1" s="4"/>
      <x:c r="EF1" s="4"/>
      <x:c r="EG1" s="4"/>
      <x:c r="EH1" s="4"/>
      <x:c r="EI1" s="4"/>
      <x:c r="EJ1" s="4"/>
      <x:c r="EK1" s="4"/>
      <x:c r="EL1" s="4"/>
      <x:c r="EM1" s="4"/>
      <x:c r="EN1" s="4"/>
      <x:c r="EO1" s="4"/>
      <x:c r="EP1" s="4"/>
      <x:c r="EQ1" s="4"/>
      <x:c r="ER1" s="4"/>
      <x:c r="ES1" s="4"/>
      <x:c r="ET1" s="4"/>
      <x:c r="EU1" s="4"/>
      <x:c r="EV1" s="4"/>
      <x:c r="EW1" s="4"/>
      <x:c r="EX1" s="4"/>
      <x:c r="EY1" s="4"/>
      <x:c r="EZ1" s="4"/>
      <x:c r="FA1" s="4"/>
      <x:c r="FB1" s="4"/>
      <x:c r="FC1" s="4"/>
      <x:c r="FD1" s="4"/>
      <x:c r="FE1" s="4"/>
      <x:c r="FF1" s="4"/>
      <x:c r="FG1" s="4"/>
      <x:c r="FH1" s="4"/>
      <x:c r="FI1" s="4"/>
      <x:c r="FJ1" s="4"/>
      <x:c r="FK1" s="4"/>
      <x:c r="FL1" s="4"/>
      <x:c r="FM1" s="4"/>
      <x:c r="FN1" s="4"/>
      <x:c r="FO1" s="4"/>
    </x:row>
    <x:row r="2" ht="18" customHeight="1">
      <x:c r="A2" s="3"/>
      <x:c r="B2" s="5" t="str">
        <x:v>Wealth Calibration Hub</x:v>
      </x:c>
      <x:c r="C2" s="5" t="str">
        <x:v>Wealth Calibration Hub</x:v>
      </x:c>
      <x:c r="D2" s="5" t="str">
        <x:v>Wealth Calibration Hub</x:v>
      </x:c>
      <x:c r="E2" s="5" t="str">
        <x:v>Wealth Calibration Hub</x:v>
      </x:c>
      <x:c r="F2" s="5" t="str">
        <x:v>Wealth Calibration Hub</x:v>
      </x:c>
      <x:c r="G2" s="5" t="str">
        <x:v>Wealth Calibration Hub</x:v>
      </x:c>
      <x:c r="H2" s="5" t="str">
        <x:v>Wealth Calibration Hub</x:v>
      </x:c>
      <x:c r="I2" s="5" t="str">
        <x:v>Wealth Calibration Hub</x:v>
      </x:c>
      <x:c r="J2" s="5" t="str">
        <x:v>Wealth Calibration Hub</x:v>
      </x:c>
      <x:c r="K2" s="5" t="str">
        <x:v>Wealth Calibration Hub</x:v>
      </x:c>
      <x:c r="L2" s="5" t="str">
        <x:v>Wealth Calibration Hub</x:v>
      </x:c>
      <x:c r="M2" s="5" t="str">
        <x:v>Wealth Calibration Hub</x:v>
      </x:c>
      <x:c r="N2" s="5" t="str">
        <x:v>Wealth Calibration Hub</x:v>
      </x:c>
      <x:c r="O2" s="5" t="str">
        <x:v>Wealth Calibration Hub</x:v>
      </x:c>
      <x:c r="P2" s="5" t="str">
        <x:v>Wealth Calibration Hub</x:v>
      </x:c>
      <x:c r="Q2" s="5" t="str">
        <x:v>Wealth Calibration Hub</x:v>
      </x:c>
      <x:c r="R2" s="5" t="str">
        <x:v>Wealth Calibration Hub</x:v>
      </x:c>
      <x:c r="S2" s="5" t="str">
        <x:v>Wealth Calibration Hub</x:v>
      </x:c>
      <x:c r="T2" s="5" t="str">
        <x:v>Wealth Calibration Hub</x:v>
      </x:c>
      <x:c r="U2" s="5" t="str">
        <x:v>Wealth Calibration Hub</x:v>
      </x:c>
      <x:c r="V2" s="5" t="str">
        <x:v>Wealth Calibration Hub</x:v>
      </x:c>
      <x:c r="W2" s="5" t="str">
        <x:v>Wealth Calibration Hub</x:v>
      </x:c>
      <x:c r="X2" s="5" t="str">
        <x:v>Wealth Calibration Hub</x:v>
      </x:c>
      <x:c r="Y2" s="5" t="str">
        <x:v>Wealth Calibration Hub</x:v>
      </x:c>
      <x:c r="Z2" s="7" t="n">
        <x:v>2026</x:v>
      </x:c>
      <x:c r="AA2" s="7" t="n">
        <x:v>2026</x:v>
      </x:c>
      <x:c r="AB2" s="7" t="n">
        <x:v>2026</x:v>
      </x:c>
      <x:c r="AC2" s="7" t="n">
        <x:v>2026</x:v>
      </x:c>
      <x:c r="AD2" s="3"/>
      <x:c r="AE2" s="77"/>
      <x:c r="AF2" s="75"/>
      <x:c r="AG2" s="75"/>
      <x:c r="AH2" s="75"/>
      <x:c r="AI2" s="75"/>
      <x:c r="AJ2" s="75"/>
      <x:c r="AK2" s="75"/>
      <x:c r="AL2" s="75"/>
      <x:c r="AM2" s="75"/>
      <x:c r="AN2" s="75"/>
      <x:c r="AO2" s="75"/>
      <x:c r="AP2" s="75"/>
      <x:c r="AQ2" s="75"/>
      <x:c r="AR2" s="75"/>
      <x:c r="AS2" s="75"/>
      <x:c r="AT2" s="75"/>
      <x:c r="AU2" s="75"/>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4"/>
      <x:c r="DQ2" s="4"/>
      <x:c r="DR2" s="4"/>
      <x:c r="DS2" s="4"/>
      <x:c r="DT2" s="4"/>
      <x:c r="DU2" s="4"/>
      <x:c r="DV2" s="4"/>
      <x:c r="DW2" s="4"/>
      <x:c r="DX2" s="4"/>
      <x:c r="DY2" s="4"/>
      <x:c r="DZ2" s="4"/>
      <x:c r="EA2" s="4"/>
      <x:c r="EB2" s="4"/>
      <x:c r="EC2" s="4"/>
      <x:c r="ED2" s="4"/>
      <x:c r="EE2" s="4"/>
      <x:c r="EF2" s="4"/>
      <x:c r="EG2" s="4"/>
      <x:c r="EH2" s="4"/>
      <x:c r="EI2" s="4"/>
      <x:c r="EJ2" s="4"/>
      <x:c r="EK2" s="4"/>
      <x:c r="EL2" s="4"/>
      <x:c r="EM2" s="4"/>
      <x:c r="EN2" s="4"/>
      <x:c r="EO2" s="4"/>
      <x:c r="EP2" s="4"/>
      <x:c r="EQ2" s="4"/>
      <x:c r="ER2" s="4"/>
      <x:c r="ES2" s="4"/>
      <x:c r="ET2" s="4"/>
      <x:c r="EU2" s="4"/>
      <x:c r="EV2" s="4"/>
      <x:c r="EW2" s="4"/>
      <x:c r="EX2" s="4"/>
      <x:c r="EY2" s="4"/>
      <x:c r="EZ2" s="4"/>
      <x:c r="FA2" s="4"/>
      <x:c r="FB2" s="4"/>
      <x:c r="FC2" s="4"/>
      <x:c r="FD2" s="4"/>
      <x:c r="FE2" s="4"/>
      <x:c r="FF2" s="4"/>
      <x:c r="FG2" s="4"/>
      <x:c r="FH2" s="4"/>
      <x:c r="FI2" s="4"/>
      <x:c r="FJ2" s="4"/>
      <x:c r="FK2" s="4"/>
      <x:c r="FL2" s="4"/>
      <x:c r="FM2" s="4"/>
      <x:c r="FN2" s="4"/>
      <x:c r="FO2" s="4"/>
    </x:row>
    <x:row r="3" ht="18" customHeight="1">
      <x:c r="A3" s="3"/>
      <x:c r="B3" s="5" t="str">
        <x:v>Wealth Calibration Hub</x:v>
      </x:c>
      <x:c r="C3" s="5" t="str">
        <x:v>Wealth Calibration Hub</x:v>
      </x:c>
      <x:c r="D3" s="5" t="str">
        <x:v>Wealth Calibration Hub</x:v>
      </x:c>
      <x:c r="E3" s="5" t="str">
        <x:v>Wealth Calibration Hub</x:v>
      </x:c>
      <x:c r="F3" s="5" t="str">
        <x:v>Wealth Calibration Hub</x:v>
      </x:c>
      <x:c r="G3" s="5" t="str">
        <x:v>Wealth Calibration Hub</x:v>
      </x:c>
      <x:c r="H3" s="5" t="str">
        <x:v>Wealth Calibration Hub</x:v>
      </x:c>
      <x:c r="I3" s="5" t="str">
        <x:v>Wealth Calibration Hub</x:v>
      </x:c>
      <x:c r="J3" s="5" t="str">
        <x:v>Wealth Calibration Hub</x:v>
      </x:c>
      <x:c r="K3" s="5" t="str">
        <x:v>Wealth Calibration Hub</x:v>
      </x:c>
      <x:c r="L3" s="5" t="str">
        <x:v>Wealth Calibration Hub</x:v>
      </x:c>
      <x:c r="M3" s="5" t="str">
        <x:v>Wealth Calibration Hub</x:v>
      </x:c>
      <x:c r="N3" s="5" t="str">
        <x:v>Wealth Calibration Hub</x:v>
      </x:c>
      <x:c r="O3" s="5" t="str">
        <x:v>Wealth Calibration Hub</x:v>
      </x:c>
      <x:c r="P3" s="5" t="str">
        <x:v>Wealth Calibration Hub</x:v>
      </x:c>
      <x:c r="Q3" s="5" t="str">
        <x:v>Wealth Calibration Hub</x:v>
      </x:c>
      <x:c r="R3" s="5" t="str">
        <x:v>Wealth Calibration Hub</x:v>
      </x:c>
      <x:c r="S3" s="5" t="str">
        <x:v>Wealth Calibration Hub</x:v>
      </x:c>
      <x:c r="T3" s="5" t="str">
        <x:v>Wealth Calibration Hub</x:v>
      </x:c>
      <x:c r="U3" s="5" t="str">
        <x:v>Wealth Calibration Hub</x:v>
      </x:c>
      <x:c r="V3" s="5" t="str">
        <x:v>Wealth Calibration Hub</x:v>
      </x:c>
      <x:c r="W3" s="5" t="str">
        <x:v>Wealth Calibration Hub</x:v>
      </x:c>
      <x:c r="X3" s="5" t="str">
        <x:v>Wealth Calibration Hub</x:v>
      </x:c>
      <x:c r="Y3" s="5" t="str">
        <x:v>Wealth Calibration Hub</x:v>
      </x:c>
      <x:c r="Z3" s="7" t="n">
        <x:v>2026</x:v>
      </x:c>
      <x:c r="AA3" s="7" t="n">
        <x:v>2026</x:v>
      </x:c>
      <x:c r="AB3" s="7" t="n">
        <x:v>2026</x:v>
      </x:c>
      <x:c r="AC3" s="7" t="n">
        <x:v>2026</x:v>
      </x:c>
      <x:c r="AD3" s="3"/>
      <x:c r="AE3" s="77"/>
      <x:c r="AF3" s="75"/>
      <x:c r="AG3" s="75"/>
      <x:c r="AH3" s="75"/>
      <x:c r="AI3" s="75"/>
      <x:c r="AJ3" s="75"/>
      <x:c r="AK3" s="75"/>
      <x:c r="AL3" s="75"/>
      <x:c r="AM3" s="75"/>
      <x:c r="AN3" s="75"/>
      <x:c r="AO3" s="75"/>
      <x:c r="AP3" s="75"/>
      <x:c r="AQ3" s="75"/>
      <x:c r="AR3" s="75"/>
      <x:c r="AS3" s="75"/>
      <x:c r="AT3" s="75"/>
      <x:c r="AU3" s="75"/>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4"/>
      <x:c r="DQ3" s="4"/>
      <x:c r="DR3" s="4"/>
      <x:c r="DS3" s="4"/>
      <x:c r="DT3" s="4"/>
      <x:c r="DU3" s="4"/>
      <x:c r="DV3" s="4"/>
      <x:c r="DW3" s="4"/>
      <x:c r="DX3" s="4"/>
      <x:c r="DY3" s="4"/>
      <x:c r="DZ3" s="4"/>
      <x:c r="EA3" s="4"/>
      <x:c r="EB3" s="4"/>
      <x:c r="EC3" s="4"/>
      <x:c r="ED3" s="4"/>
      <x:c r="EE3" s="4"/>
      <x:c r="EF3" s="4"/>
      <x:c r="EG3" s="4"/>
      <x:c r="EH3" s="4"/>
      <x:c r="EI3" s="4"/>
      <x:c r="EJ3" s="4"/>
      <x:c r="EK3" s="4"/>
      <x:c r="EL3" s="4"/>
      <x:c r="EM3" s="4"/>
      <x:c r="EN3" s="4"/>
      <x:c r="EO3" s="4"/>
      <x:c r="EP3" s="4"/>
      <x:c r="EQ3" s="4"/>
      <x:c r="ER3" s="4"/>
      <x:c r="ES3" s="4"/>
      <x:c r="ET3" s="4"/>
      <x:c r="EU3" s="4"/>
      <x:c r="EV3" s="4"/>
      <x:c r="EW3" s="4"/>
      <x:c r="EX3" s="4"/>
      <x:c r="EY3" s="4"/>
      <x:c r="EZ3" s="4"/>
      <x:c r="FA3" s="4"/>
      <x:c r="FB3" s="4"/>
      <x:c r="FC3" s="4"/>
      <x:c r="FD3" s="4"/>
      <x:c r="FE3" s="4"/>
      <x:c r="FF3" s="4"/>
      <x:c r="FG3" s="4"/>
      <x:c r="FH3" s="4"/>
      <x:c r="FI3" s="4"/>
      <x:c r="FJ3" s="4"/>
      <x:c r="FK3" s="4"/>
      <x:c r="FL3" s="4"/>
      <x:c r="FM3" s="4"/>
      <x:c r="FN3" s="4"/>
      <x:c r="FO3" s="4"/>
    </x:row>
    <x:row r="4" ht="18" customHeight="1">
      <x:c r="A4" s="3"/>
      <x:c r="B4" s="8" t="str">
        <x:v>Year-end ratings and calibration · Select a product/region and direct manager to update every view.</x:v>
      </x:c>
      <x:c r="C4" s="8" t="str">
        <x:v>Year-end ratings and calibration · Select a product/region and direct manager to update every view.</x:v>
      </x:c>
      <x:c r="D4" s="8" t="str">
        <x:v>Year-end ratings and calibration · Select a product/region and direct manager to update every view.</x:v>
      </x:c>
      <x:c r="E4" s="8" t="str">
        <x:v>Year-end ratings and calibration · Select a product/region and direct manager to update every view.</x:v>
      </x:c>
      <x:c r="F4" s="8" t="str">
        <x:v>Year-end ratings and calibration · Select a product/region and direct manager to update every view.</x:v>
      </x:c>
      <x:c r="G4" s="8" t="str">
        <x:v>Year-end ratings and calibration · Select a product/region and direct manager to update every view.</x:v>
      </x:c>
      <x:c r="H4" s="8" t="str">
        <x:v>Year-end ratings and calibration · Select a product/region and direct manager to update every view.</x:v>
      </x:c>
      <x:c r="I4" s="8" t="str">
        <x:v>Year-end ratings and calibration · Select a product/region and direct manager to update every view.</x:v>
      </x:c>
      <x:c r="J4" s="8" t="str">
        <x:v>Year-end ratings and calibration · Select a product/region and direct manager to update every view.</x:v>
      </x:c>
      <x:c r="K4" s="8" t="str">
        <x:v>Year-end ratings and calibration · Select a product/region and direct manager to update every view.</x:v>
      </x:c>
      <x:c r="L4" s="8" t="str">
        <x:v>Year-end ratings and calibration · Select a product/region and direct manager to update every view.</x:v>
      </x:c>
      <x:c r="M4" s="8" t="str">
        <x:v>Year-end ratings and calibration · Select a product/region and direct manager to update every view.</x:v>
      </x:c>
      <x:c r="N4" s="8" t="str">
        <x:v>Year-end ratings and calibration · Select a product/region and direct manager to update every view.</x:v>
      </x:c>
      <x:c r="O4" s="8" t="str">
        <x:v>Year-end ratings and calibration · Select a product/region and direct manager to update every view.</x:v>
      </x:c>
      <x:c r="P4" s="8" t="str">
        <x:v>Year-end ratings and calibration · Select a product/region and direct manager to update every view.</x:v>
      </x:c>
      <x:c r="Q4" s="8" t="str">
        <x:v>Year-end ratings and calibration · Select a product/region and direct manager to update every view.</x:v>
      </x:c>
      <x:c r="R4" s="8" t="str">
        <x:v>Year-end ratings and calibration · Select a product/region and direct manager to update every view.</x:v>
      </x:c>
      <x:c r="S4" s="8" t="str">
        <x:v>Year-end ratings and calibration · Select a product/region and direct manager to update every view.</x:v>
      </x:c>
      <x:c r="T4" s="8" t="str">
        <x:v>Year-end ratings and calibration · Select a product/region and direct manager to update every view.</x:v>
      </x:c>
      <x:c r="U4" s="8" t="str">
        <x:v>Year-end ratings and calibration · Select a product/region and direct manager to update every view.</x:v>
      </x:c>
      <x:c r="V4" s="8" t="str">
        <x:v>Year-end ratings and calibration · Select a product/region and direct manager to update every view.</x:v>
      </x:c>
      <x:c r="W4" s="8" t="str">
        <x:v>Year-end ratings and calibration · Select a product/region and direct manager to update every view.</x:v>
      </x:c>
      <x:c r="X4" s="8" t="str">
        <x:v>Year-end ratings and calibration · Select a product/region and direct manager to update every view.</x:v>
      </x:c>
      <x:c r="Y4" s="8" t="str">
        <x:v>Year-end ratings and calibration · Select a product/region and direct manager to update every view.</x:v>
      </x:c>
      <x:c r="Z4" s="8" t="str">
        <x:v>Year-end ratings and calibration · Select a product/region and direct manager to update every view.</x:v>
      </x:c>
      <x:c r="AA4" s="8" t="str">
        <x:v>Year-end ratings and calibration · Select a product/region and direct manager to update every view.</x:v>
      </x:c>
      <x:c r="AB4" s="8" t="str">
        <x:v>Year-end ratings and calibration · Select a product/region and direct manager to update every view.</x:v>
      </x:c>
      <x:c r="AC4" s="8" t="str">
        <x:v>Year-end ratings and calibration · Select a product/region and direct manager to update every view.</x:v>
      </x:c>
      <x:c r="AD4" s="3"/>
      <x:c r="AE4" s="77"/>
      <x:c r="AF4" s="75"/>
      <x:c r="AG4" s="75"/>
      <x:c r="AH4" s="75"/>
      <x:c r="AI4" s="75"/>
      <x:c r="AJ4" s="75"/>
      <x:c r="AK4" s="75"/>
      <x:c r="AL4" s="75"/>
      <x:c r="AM4" s="75"/>
      <x:c r="AN4" s="75"/>
      <x:c r="AO4" s="75"/>
      <x:c r="AP4" s="75"/>
      <x:c r="AQ4" s="75"/>
      <x:c r="AR4" s="75"/>
      <x:c r="AS4" s="75"/>
      <x:c r="AT4" s="75"/>
      <x:c r="AU4" s="75"/>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4"/>
      <x:c r="DQ4" s="4"/>
      <x:c r="DR4" s="4"/>
      <x:c r="DS4" s="4"/>
      <x:c r="DT4" s="4"/>
      <x:c r="DU4" s="4"/>
      <x:c r="DV4" s="4"/>
      <x:c r="DW4" s="4"/>
      <x:c r="DX4" s="4"/>
      <x:c r="DY4" s="4"/>
      <x:c r="DZ4" s="4"/>
      <x:c r="EA4" s="4"/>
      <x:c r="EB4" s="4"/>
      <x:c r="EC4" s="4"/>
      <x:c r="ED4" s="4"/>
      <x:c r="EE4" s="4"/>
      <x:c r="EF4" s="4"/>
      <x:c r="EG4" s="4"/>
      <x:c r="EH4" s="4"/>
      <x:c r="EI4" s="4"/>
      <x:c r="EJ4" s="4"/>
      <x:c r="EK4" s="4"/>
      <x:c r="EL4" s="4"/>
      <x:c r="EM4" s="4"/>
      <x:c r="EN4" s="4"/>
      <x:c r="EO4" s="4"/>
      <x:c r="EP4" s="4"/>
      <x:c r="EQ4" s="4"/>
      <x:c r="ER4" s="4"/>
      <x:c r="ES4" s="4"/>
      <x:c r="ET4" s="4"/>
      <x:c r="EU4" s="4"/>
      <x:c r="EV4" s="4"/>
      <x:c r="EW4" s="4"/>
      <x:c r="EX4" s="4"/>
      <x:c r="EY4" s="4"/>
      <x:c r="EZ4" s="4"/>
      <x:c r="FA4" s="4"/>
      <x:c r="FB4" s="4"/>
      <x:c r="FC4" s="4"/>
      <x:c r="FD4" s="4"/>
      <x:c r="FE4" s="4"/>
      <x:c r="FF4" s="4"/>
      <x:c r="FG4" s="4"/>
      <x:c r="FH4" s="4"/>
      <x:c r="FI4" s="4"/>
      <x:c r="FJ4" s="4"/>
      <x:c r="FK4" s="4"/>
      <x:c r="FL4" s="4"/>
      <x:c r="FM4" s="4"/>
      <x:c r="FN4" s="4"/>
      <x:c r="FO4" s="4"/>
    </x:row>
    <x:row r="5" ht="18" customHeight="1">
      <x:c r="A5" s="3"/>
      <x:c r="B5" s="11" t="inlineStr">
        <x:is>
          <x:t>Overview</x:t>
        </x:is>
      </x:c>
      <x:c r="C5" s="11" t="str">
        <x:v>Overview</x:v>
      </x:c>
      <x:c r="D5" s="11" t="str">
        <x:v>Overview</x:v>
      </x:c>
      <x:c r="E5" s="11" t="str">
        <x:v>Overview</x:v>
      </x:c>
      <x:c r="F5" s="11" t="str">
        <x:v>Overview</x:v>
      </x:c>
      <x:c r="G5" s="3"/>
      <x:c r="H5" s="11" t="inlineStr">
        <x:is>
          <x:t>Distributions</x:t>
        </x:is>
      </x:c>
      <x:c r="I5" s="11" t="str">
        <x:v>Distributions</x:v>
      </x:c>
      <x:c r="J5" s="11" t="str">
        <x:v>Distributions</x:v>
      </x:c>
      <x:c r="K5" s="11" t="str">
        <x:v>Distributions</x:v>
      </x:c>
      <x:c r="L5" s="11" t="str">
        <x:v>Distributions</x:v>
      </x:c>
      <x:c r="M5" s="3"/>
      <x:c r="N5" s="11" t="inlineStr">
        <x:is>
          <x:t>Calibration</x:t>
        </x:is>
      </x:c>
      <x:c r="O5" s="11" t="str">
        <x:v>Calibration</x:v>
      </x:c>
      <x:c r="P5" s="11" t="str">
        <x:v>Calibration</x:v>
      </x:c>
      <x:c r="Q5" s="11" t="str">
        <x:v>Calibration</x:v>
      </x:c>
      <x:c r="R5" s="11" t="str">
        <x:v>Calibration</x:v>
      </x:c>
      <x:c r="S5" s="3"/>
      <x:c r="T5" s="11" t="inlineStr">
        <x:is>
          <x:t>Team comparison</x:t>
        </x:is>
      </x:c>
      <x:c r="U5" s="11" t="str">
        <x:v>Team comparison</x:v>
      </x:c>
      <x:c r="V5" s="11" t="str">
        <x:v>Team comparison</x:v>
      </x:c>
      <x:c r="W5" s="11" t="str">
        <x:v>Team comparison</x:v>
      </x:c>
      <x:c r="X5" s="11" t="str">
        <x:v>Team comparison</x:v>
      </x:c>
      <x:c r="Y5" s="3"/>
      <x:c r="Z5" s="11" t="inlineStr">
        <x:is>
          <x:t>Source &amp; checks</x:t>
        </x:is>
      </x:c>
      <x:c r="AA5" s="11" t="str">
        <x:v>Source &amp; checks</x:v>
      </x:c>
      <x:c r="AB5" s="11" t="str">
        <x:v>Source &amp; checks</x:v>
      </x:c>
      <x:c r="AC5" s="11" t="str">
        <x:v>Source &amp; checks</x:v>
      </x:c>
      <x:c r="AD5" s="3"/>
      <x:c r="AE5" s="77"/>
      <x:c r="AF5" s="75"/>
      <x:c r="AG5" s="75"/>
      <x:c r="AH5" s="75"/>
      <x:c r="AI5" s="75"/>
      <x:c r="AJ5" s="75"/>
      <x:c r="AK5" s="75"/>
      <x:c r="AL5" s="75"/>
      <x:c r="AM5" s="75"/>
      <x:c r="AN5" s="75"/>
      <x:c r="AO5" s="75"/>
      <x:c r="AP5" s="75"/>
      <x:c r="AQ5" s="75"/>
      <x:c r="AR5" s="75"/>
      <x:c r="AS5" s="75"/>
      <x:c r="AT5" s="75"/>
      <x:c r="AU5" s="75"/>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4"/>
      <x:c r="DQ5" s="4"/>
      <x:c r="DR5" s="4"/>
      <x:c r="DS5" s="4"/>
      <x:c r="DT5" s="4"/>
      <x:c r="DU5" s="4"/>
      <x:c r="DV5" s="4"/>
      <x:c r="DW5" s="4"/>
      <x:c r="DX5" s="4"/>
      <x:c r="DY5" s="4"/>
      <x:c r="DZ5" s="4"/>
      <x:c r="EA5" s="4"/>
      <x:c r="EB5" s="4"/>
      <x:c r="EC5" s="4"/>
      <x:c r="ED5" s="4"/>
      <x:c r="EE5" s="4"/>
      <x:c r="EF5" s="4"/>
      <x:c r="EG5" s="4"/>
      <x:c r="EH5" s="4"/>
      <x:c r="EI5" s="4"/>
      <x:c r="EJ5" s="4"/>
      <x:c r="EK5" s="4"/>
      <x:c r="EL5" s="4"/>
      <x:c r="EM5" s="4"/>
      <x:c r="EN5" s="4"/>
      <x:c r="EO5" s="4"/>
      <x:c r="EP5" s="4"/>
      <x:c r="EQ5" s="4"/>
      <x:c r="ER5" s="4"/>
      <x:c r="ES5" s="4"/>
      <x:c r="ET5" s="4"/>
      <x:c r="EU5" s="4"/>
      <x:c r="EV5" s="4"/>
      <x:c r="EW5" s="4"/>
      <x:c r="EX5" s="4"/>
      <x:c r="EY5" s="4"/>
      <x:c r="EZ5" s="4"/>
      <x:c r="FA5" s="4"/>
      <x:c r="FB5" s="4"/>
      <x:c r="FC5" s="4"/>
      <x:c r="FD5" s="4"/>
      <x:c r="FE5" s="4"/>
      <x:c r="FF5" s="4"/>
      <x:c r="FG5" s="4"/>
      <x:c r="FH5" s="4"/>
      <x:c r="FI5" s="4"/>
      <x:c r="FJ5" s="4"/>
      <x:c r="FK5" s="4"/>
      <x:c r="FL5" s="4"/>
      <x:c r="FM5" s="4"/>
      <x:c r="FN5" s="4"/>
      <x:c r="FO5" s="4"/>
    </x:row>
    <x:row r="6" ht="18" customHeight="1">
      <x:c r="A6" s="3"/>
      <x:c r="B6" s="8" t="str">
        <x:v>Product/Region</x:v>
      </x:c>
      <x:c r="C6" s="8" t="str">
        <x:v>Product/Region</x:v>
      </x:c>
      <x:c r="D6" s="8" t="str">
        <x:v>Product/Region</x:v>
      </x:c>
      <x:c r="E6" s="8" t="str">
        <x:v>Product/Region</x:v>
      </x:c>
      <x:c r="F6" s="8" t="str">
        <x:v>Product/Region</x:v>
      </x:c>
      <x:c r="G6" s="8" t="str">
        <x:v>Product/Region</x:v>
      </x:c>
      <x:c r="H6" s="8" t="str">
        <x:v>Product/Region</x:v>
      </x:c>
      <x:c r="I6" s="3"/>
      <x:c r="J6" s="8" t="str">
        <x:v>Manager · all reporting levels</x:v>
      </x:c>
      <x:c r="K6" s="8" t="str">
        <x:v>Manager · all reporting levels</x:v>
      </x:c>
      <x:c r="L6" s="8" t="str">
        <x:v>Manager · all reporting levels</x:v>
      </x:c>
      <x:c r="M6" s="8" t="str">
        <x:v>Manager · all reporting levels</x:v>
      </x:c>
      <x:c r="N6" s="8" t="str">
        <x:v>Manager · all reporting levels</x:v>
      </x:c>
      <x:c r="O6" s="8" t="str">
        <x:v>Manager · all reporting levels</x:v>
      </x:c>
      <x:c r="P6" s="8" t="str">
        <x:v>Manager · all reporting levels</x:v>
      </x:c>
      <x:c r="Q6" s="8" t="str">
        <x:v>Manager · all reporting levels</x:v>
      </x:c>
      <x:c r="R6" s="8" t="str">
        <x:v>Manager · all reporting levels</x:v>
      </x:c>
      <x:c r="S6" s="8" t="str">
        <x:v>Manager · all reporting levels</x:v>
      </x:c>
      <x:c r="T6" s="3"/>
      <x:c r="U6" s="8" t="str">
        <x:v>Below direct / Sub-manager</x:v>
      </x:c>
      <x:c r="V6" s="8" t="str">
        <x:v>Below direct / Sub-manager</x:v>
      </x:c>
      <x:c r="W6" s="8" t="str">
        <x:v>Below direct / Sub-manager</x:v>
      </x:c>
      <x:c r="X6" s="8" t="str">
        <x:v>Below direct / Sub-manager</x:v>
      </x:c>
      <x:c r="Y6" s="8" t="str">
        <x:v>Below direct / Sub-manager</x:v>
      </x:c>
      <x:c r="Z6" s="8" t="str">
        <x:v>Below direct / Sub-manager</x:v>
      </x:c>
      <x:c r="AA6" s="8" t="str">
        <x:v>Below direct / Sub-manager</x:v>
      </x:c>
      <x:c r="AB6" s="8" t="str">
        <x:v>Below direct / Sub-manager</x:v>
      </x:c>
      <x:c r="AC6" s="8" t="str">
        <x:v>Below direct / Sub-manager</x:v>
      </x:c>
      <x:c r="AD6" s="3"/>
      <x:c r="AE6" s="77"/>
      <x:c r="AF6" s="75"/>
      <x:c r="AG6" s="75"/>
      <x:c r="AH6" s="75"/>
      <x:c r="AI6" s="76"/>
      <x:c r="AJ6" s="75"/>
      <x:c r="AK6" s="75"/>
      <x:c r="AL6" s="75"/>
      <x:c r="AM6" s="75"/>
      <x:c r="AN6" s="75"/>
      <x:c r="AO6" s="75"/>
      <x:c r="AP6" s="75"/>
      <x:c r="AQ6" s="75"/>
      <x:c r="AR6" s="75"/>
      <x:c r="AS6" s="75"/>
      <x:c r="AT6" s="75"/>
      <x:c r="AU6" s="75"/>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4"/>
      <x:c r="DQ6" s="4"/>
      <x:c r="DR6" s="4"/>
      <x:c r="DS6" s="4"/>
      <x:c r="DT6" s="4"/>
      <x:c r="DU6" s="4"/>
      <x:c r="DV6" s="4"/>
      <x:c r="DW6" s="4"/>
      <x:c r="DX6" s="4"/>
      <x:c r="DY6" s="4"/>
      <x:c r="DZ6" s="4"/>
      <x:c r="EA6" s="4"/>
      <x:c r="EB6" s="4"/>
      <x:c r="EC6" s="4"/>
      <x:c r="ED6" s="4"/>
      <x:c r="EE6" s="4"/>
      <x:c r="EF6" s="4"/>
      <x:c r="EG6" s="4"/>
      <x:c r="EH6" s="4"/>
      <x:c r="EI6" s="4"/>
      <x:c r="EJ6" s="4"/>
      <x:c r="EK6" s="4"/>
      <x:c r="EL6" s="4"/>
      <x:c r="EM6" s="4"/>
      <x:c r="EN6" s="4"/>
      <x:c r="EO6" s="4"/>
      <x:c r="EP6" s="4"/>
      <x:c r="EQ6" s="4"/>
      <x:c r="ER6" s="4"/>
      <x:c r="ES6" s="4"/>
      <x:c r="ET6" s="4"/>
      <x:c r="EU6" s="4"/>
      <x:c r="EV6" s="4"/>
      <x:c r="EW6" s="4"/>
      <x:c r="EX6" s="4"/>
      <x:c r="EY6" s="4"/>
      <x:c r="EZ6" s="4"/>
      <x:c r="FA6" s="4"/>
      <x:c r="FB6" s="4"/>
      <x:c r="FC6" s="4"/>
      <x:c r="FD6" s="4"/>
      <x:c r="FE6" s="4"/>
      <x:c r="FF6" s="4"/>
      <x:c r="FG6" s="4"/>
      <x:c r="FH6" s="4"/>
      <x:c r="FI6" s="4"/>
      <x:c r="FJ6" s="4"/>
      <x:c r="FK6" s="4"/>
      <x:c r="FL6" s="4"/>
      <x:c r="FM6" s="4"/>
      <x:c r="FN6" s="4"/>
      <x:c r="FO6" s="4"/>
    </x:row>
    <x:row r="7" ht="18" customHeight="1">
      <x:c r="A7" s="3"/>
      <x:c r="B7" s="13" t="str">
        <x:v>All</x:v>
      </x:c>
      <x:c r="C7" s="13" t="str">
        <x:v>All</x:v>
      </x:c>
      <x:c r="D7" s="13" t="str">
        <x:v>All</x:v>
      </x:c>
      <x:c r="E7" s="13" t="str">
        <x:v>All</x:v>
      </x:c>
      <x:c r="F7" s="13" t="str">
        <x:v>All</x:v>
      </x:c>
      <x:c r="G7" s="13" t="str">
        <x:v>All</x:v>
      </x:c>
      <x:c r="H7" s="13" t="str">
        <x:v>All</x:v>
      </x:c>
      <x:c r="I7" s="3"/>
      <x:c r="J7" s="13" t="str">
        <x:v>All</x:v>
      </x:c>
      <x:c r="K7" s="13" t="str">
        <x:v>All</x:v>
      </x:c>
      <x:c r="L7" s="13" t="str">
        <x:v>All</x:v>
      </x:c>
      <x:c r="M7" s="13" t="str">
        <x:v>All</x:v>
      </x:c>
      <x:c r="N7" s="13" t="str">
        <x:v>All</x:v>
      </x:c>
      <x:c r="O7" s="13" t="str">
        <x:v>All</x:v>
      </x:c>
      <x:c r="P7" s="13" t="str">
        <x:v>All</x:v>
      </x:c>
      <x:c r="Q7" s="13" t="str">
        <x:v>All</x:v>
      </x:c>
      <x:c r="R7" s="13" t="str">
        <x:v>All</x:v>
      </x:c>
      <x:c r="S7" s="13" t="str">
        <x:v>All</x:v>
      </x:c>
      <x:c r="T7" s="3"/>
      <x:c r="U7" s="13" t="str">
        <x:v>All</x:v>
      </x:c>
      <x:c r="V7" s="13" t="str">
        <x:v>All</x:v>
      </x:c>
      <x:c r="W7" s="13" t="str">
        <x:v>All</x:v>
      </x:c>
      <x:c r="X7" s="13" t="str">
        <x:v>All</x:v>
      </x:c>
      <x:c r="Y7" s="13" t="str">
        <x:v>All</x:v>
      </x:c>
      <x:c r="Z7" s="13" t="str">
        <x:v>All</x:v>
      </x:c>
      <x:c r="AA7" s="13" t="str">
        <x:v>All</x:v>
      </x:c>
      <x:c r="AB7" s="13" t="str">
        <x:v>All</x:v>
      </x:c>
      <x:c r="AC7" s="13" t="str">
        <x:v>All</x:v>
      </x:c>
      <x:c r="AD7" s="3"/>
      <x:c r="AE7" s="77"/>
      <x:c r="AF7" s="75"/>
      <x:c r="AG7" s="75"/>
      <x:c r="AH7" s="75"/>
      <x:c r="AI7" s="75"/>
      <x:c r="AJ7" s="75"/>
      <x:c r="AK7" s="75"/>
      <x:c r="AL7" s="75"/>
      <x:c r="AM7" s="75"/>
      <x:c r="AN7" s="75"/>
      <x:c r="AO7" s="75"/>
      <x:c r="AP7" s="75"/>
      <x:c r="AQ7" s="75"/>
      <x:c r="AR7" s="75"/>
      <x:c r="AS7" s="75"/>
      <x:c r="AT7" s="75"/>
      <x:c r="AU7" s="75"/>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4"/>
      <x:c r="DQ7" s="4"/>
      <x:c r="DR7" s="4"/>
      <x:c r="DS7" s="4"/>
      <x:c r="DT7" s="4"/>
      <x:c r="DU7" s="4"/>
      <x:c r="DV7" s="4"/>
      <x:c r="DW7" s="4"/>
      <x:c r="DX7" s="4"/>
      <x:c r="DY7" s="4"/>
      <x:c r="DZ7" s="4"/>
      <x:c r="EA7" s="4"/>
      <x:c r="EB7" s="4"/>
      <x:c r="EC7" s="4"/>
      <x:c r="ED7" s="4"/>
      <x:c r="EE7" s="4"/>
      <x:c r="EF7" s="4"/>
      <x:c r="EG7" s="4"/>
      <x:c r="EH7" s="4"/>
      <x:c r="EI7" s="4"/>
      <x:c r="EJ7" s="4"/>
      <x:c r="EK7" s="4"/>
      <x:c r="EL7" s="4"/>
      <x:c r="EM7" s="4"/>
      <x:c r="EN7" s="4"/>
      <x:c r="EO7" s="4"/>
      <x:c r="EP7" s="4"/>
      <x:c r="EQ7" s="4"/>
      <x:c r="ER7" s="4"/>
      <x:c r="ES7" s="4"/>
      <x:c r="ET7" s="4"/>
      <x:c r="EU7" s="4"/>
      <x:c r="EV7" s="4"/>
      <x:c r="EW7" s="4"/>
      <x:c r="EX7" s="4"/>
      <x:c r="EY7" s="4"/>
      <x:c r="EZ7" s="4"/>
      <x:c r="FA7" s="4"/>
      <x:c r="FB7" s="4"/>
      <x:c r="FC7" s="4"/>
      <x:c r="FD7" s="4"/>
      <x:c r="FE7" s="4"/>
      <x:c r="FF7" s="4"/>
      <x:c r="FG7" s="4"/>
      <x:c r="FH7" s="4"/>
      <x:c r="FI7" s="4"/>
      <x:c r="FJ7" s="4"/>
      <x:c r="FK7" s="4"/>
      <x:c r="FL7" s="4"/>
      <x:c r="FM7" s="4"/>
      <x:c r="FN7" s="4"/>
      <x:c r="FO7" s="4"/>
    </x:row>
    <x:row r="8" ht="18" customHeight="1">
      <x:c r="A8" s="3"/>
      <x:c r="B8" s="3"/>
      <x:c r="C8" s="3"/>
      <x:c r="D8" s="3"/>
      <x:c r="E8" s="3"/>
      <x:c r="F8" s="3"/>
      <x:c r="G8" s="3"/>
      <x:c r="H8" s="3"/>
      <x:c r="I8" s="3"/>
      <x:c r="J8" s="3"/>
      <x:c r="K8" s="3"/>
      <x:c r="L8" s="3"/>
      <x:c r="M8" s="3"/>
      <x:c r="N8" s="3"/>
      <x:c r="O8" s="3"/>
      <x:c r="P8" s="3"/>
      <x:c r="Q8" s="3"/>
      <x:c r="R8" s="3"/>
      <x:c r="S8" s="3"/>
      <x:c r="T8" s="3"/>
      <x:c r="U8" s="3"/>
      <x:c r="V8" s="3"/>
      <x:c r="W8" s="3"/>
      <x:c r="X8" s="3"/>
      <x:c r="Y8" s="3"/>
      <x:c r="Z8" s="3"/>
      <x:c r="AA8" s="3"/>
      <x:c r="AB8" s="3"/>
      <x:c r="AC8" s="3"/>
      <x:c r="AD8" s="3"/>
      <x:c r="AE8" s="77"/>
      <x:c r="AF8" s="75"/>
      <x:c r="AG8" s="75"/>
      <x:c r="AH8" s="75"/>
      <x:c r="AI8" s="75"/>
      <x:c r="AJ8" s="75"/>
      <x:c r="AK8" s="75"/>
      <x:c r="AL8" s="75"/>
      <x:c r="AM8" s="75"/>
      <x:c r="AN8" s="75"/>
      <x:c r="AO8" s="75"/>
      <x:c r="AP8" s="75"/>
      <x:c r="AQ8" s="75"/>
      <x:c r="AR8" s="75"/>
      <x:c r="AS8" s="75"/>
      <x:c r="AT8" s="75"/>
      <x:c r="AU8" s="75"/>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4"/>
      <x:c r="DQ8" s="4"/>
      <x:c r="DR8" s="4"/>
      <x:c r="DS8" s="4"/>
      <x:c r="DT8" s="4"/>
      <x:c r="DU8" s="4"/>
      <x:c r="DV8" s="4"/>
      <x:c r="DW8" s="4"/>
      <x:c r="DX8" s="4"/>
      <x:c r="DY8" s="4"/>
      <x:c r="DZ8" s="4"/>
      <x:c r="EA8" s="4"/>
      <x:c r="EB8" s="4"/>
      <x:c r="EC8" s="4"/>
      <x:c r="ED8" s="4"/>
      <x:c r="EE8" s="4"/>
      <x:c r="EF8" s="4"/>
      <x:c r="EG8" s="4"/>
      <x:c r="EH8" s="4"/>
      <x:c r="EI8" s="4"/>
      <x:c r="EJ8" s="4"/>
      <x:c r="EK8" s="4"/>
      <x:c r="EL8" s="4"/>
      <x:c r="EM8" s="4"/>
      <x:c r="EN8" s="4"/>
      <x:c r="EO8" s="4"/>
      <x:c r="EP8" s="4"/>
      <x:c r="EQ8" s="4"/>
      <x:c r="ER8" s="4"/>
      <x:c r="ES8" s="4"/>
      <x:c r="ET8" s="4"/>
      <x:c r="EU8" s="4"/>
      <x:c r="EV8" s="4"/>
      <x:c r="EW8" s="4"/>
      <x:c r="EX8" s="4"/>
      <x:c r="EY8" s="4"/>
      <x:c r="EZ8" s="4"/>
      <x:c r="FA8" s="4"/>
      <x:c r="FB8" s="4"/>
      <x:c r="FC8" s="4"/>
      <x:c r="FD8" s="4"/>
      <x:c r="FE8" s="4"/>
      <x:c r="FF8" s="4"/>
      <x:c r="FG8" s="4"/>
      <x:c r="FH8" s="4"/>
      <x:c r="FI8" s="4"/>
      <x:c r="FJ8" s="4"/>
      <x:c r="FK8" s="4"/>
      <x:c r="FL8" s="4"/>
      <x:c r="FM8" s="4"/>
      <x:c r="FN8" s="4"/>
      <x:c r="FO8" s="4"/>
    </x:row>
    <x:row r="9" ht="18" customHeight="1">
      <x:c r="A9" s="3"/>
      <x:c r="B9" s="8" t="str">
        <x:f>'Calculations'!$GB$9</x:f>
        <x:v>Copy WCM Calibration Final into this workbook</x:v>
      </x:c>
      <x:c r="C9" s="8"/>
      <x:c r="D9" s="8"/>
      <x:c r="E9" s="8"/>
      <x:c r="F9" s="8"/>
      <x:c r="G9" s="8"/>
      <x:c r="H9" s="8"/>
      <x:c r="I9" s="8"/>
      <x:c r="J9" s="8"/>
      <x:c r="K9" s="8"/>
      <x:c r="L9" s="8"/>
      <x:c r="M9" s="8"/>
      <x:c r="N9" s="8"/>
      <x:c r="O9" s="8"/>
      <x:c r="P9" s="8"/>
      <x:c r="Q9" s="8"/>
      <x:c r="R9" s="8"/>
      <x:c r="S9" s="8"/>
      <x:c r="T9" s="8"/>
      <x:c r="U9" s="8"/>
      <x:c r="V9" s="8"/>
      <x:c r="W9" s="8"/>
      <x:c r="X9" s="8"/>
      <x:c r="Y9" s="8"/>
      <x:c r="Z9" s="8"/>
      <x:c r="AA9" s="8"/>
      <x:c r="AB9" s="8"/>
      <x:c r="AC9" s="8"/>
      <x:c r="AD9" s="3"/>
      <x:c r="AE9" s="77"/>
      <x:c r="AF9" s="75"/>
      <x:c r="AG9" s="75"/>
      <x:c r="AH9" s="75"/>
      <x:c r="AI9" s="75"/>
      <x:c r="AJ9" s="75"/>
      <x:c r="AK9" s="75"/>
      <x:c r="AL9" s="75"/>
      <x:c r="AM9" s="75"/>
      <x:c r="AN9" s="75"/>
      <x:c r="AO9" s="75"/>
      <x:c r="AP9" s="75"/>
      <x:c r="AQ9" s="75"/>
      <x:c r="AR9" s="75"/>
      <x:c r="AS9" s="75"/>
      <x:c r="AT9" s="75"/>
      <x:c r="AU9" s="75"/>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4"/>
      <x:c r="DQ9" s="4"/>
      <x:c r="DR9" s="4"/>
      <x:c r="DS9" s="4"/>
      <x:c r="DT9" s="4"/>
      <x:c r="DU9" s="4"/>
      <x:c r="DV9" s="4"/>
      <x:c r="DW9" s="4"/>
      <x:c r="DX9" s="4"/>
      <x:c r="DY9" s="4"/>
      <x:c r="DZ9" s="4"/>
      <x:c r="EA9" s="4"/>
      <x:c r="EB9" s="4"/>
      <x:c r="EC9" s="4"/>
      <x:c r="ED9" s="4"/>
      <x:c r="EE9" s="4"/>
      <x:c r="EF9" s="4"/>
      <x:c r="EG9" s="4"/>
      <x:c r="EH9" s="4"/>
      <x:c r="EI9" s="4"/>
      <x:c r="EJ9" s="4"/>
      <x:c r="EK9" s="4"/>
      <x:c r="EL9" s="4"/>
      <x:c r="EM9" s="4"/>
      <x:c r="EN9" s="4"/>
      <x:c r="EO9" s="4"/>
      <x:c r="EP9" s="4"/>
      <x:c r="EQ9" s="4"/>
      <x:c r="ER9" s="4"/>
      <x:c r="ES9" s="4"/>
      <x:c r="ET9" s="4"/>
      <x:c r="EU9" s="4"/>
      <x:c r="EV9" s="4"/>
      <x:c r="EW9" s="4"/>
      <x:c r="EX9" s="4"/>
      <x:c r="EY9" s="4"/>
      <x:c r="EZ9" s="4"/>
      <x:c r="FA9" s="4"/>
      <x:c r="FB9" s="4"/>
      <x:c r="FC9" s="4"/>
      <x:c r="FD9" s="4"/>
      <x:c r="FE9" s="4"/>
      <x:c r="FF9" s="4"/>
      <x:c r="FG9" s="4"/>
      <x:c r="FH9" s="4"/>
      <x:c r="FI9" s="4"/>
      <x:c r="FJ9" s="4"/>
      <x:c r="FK9" s="4"/>
      <x:c r="FL9" s="4"/>
      <x:c r="FM9" s="4"/>
      <x:c r="FN9" s="4"/>
      <x:c r="FO9" s="4"/>
    </x:row>
    <x:row r="10" ht="18" customHeight="1">
      <x:c r="A10" s="3"/>
      <x:c r="B10" s="3"/>
      <x:c r="C10" s="3"/>
      <x:c r="D10" s="3"/>
      <x:c r="E10" s="3"/>
      <x:c r="F10" s="3"/>
      <x:c r="G10" s="3"/>
      <x:c r="H10" s="3"/>
      <x:c r="I10" s="3"/>
      <x:c r="J10" s="3"/>
      <x:c r="K10" s="3"/>
      <x:c r="L10" s="3"/>
      <x:c r="M10" s="3"/>
      <x:c r="N10" s="3"/>
      <x:c r="O10" s="3"/>
      <x:c r="P10" s="3"/>
      <x:c r="Q10" s="3"/>
      <x:c r="R10" s="3"/>
      <x:c r="S10" s="3"/>
      <x:c r="T10" s="3"/>
      <x:c r="U10" s="3"/>
      <x:c r="V10" s="3"/>
      <x:c r="W10" s="3"/>
      <x:c r="X10" s="3"/>
      <x:c r="Y10" s="3"/>
      <x:c r="Z10" s="3"/>
      <x:c r="AA10" s="3"/>
      <x:c r="AB10" s="3"/>
      <x:c r="AC10" s="3"/>
      <x:c r="AD10" s="3"/>
      <x:c r="AE10" s="77"/>
      <x:c r="AF10" s="75"/>
      <x:c r="AG10" s="75"/>
      <x:c r="AH10" s="75"/>
      <x:c r="AI10" s="75"/>
      <x:c r="AJ10" s="75"/>
      <x:c r="AK10" s="75"/>
      <x:c r="AL10" s="75"/>
      <x:c r="AM10" s="75"/>
      <x:c r="AN10" s="75"/>
      <x:c r="AO10" s="75"/>
      <x:c r="AP10" s="75"/>
      <x:c r="AQ10" s="75"/>
      <x:c r="AR10" s="75"/>
      <x:c r="AS10" s="75"/>
      <x:c r="AT10" s="75"/>
      <x:c r="AU10" s="75"/>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4"/>
      <x:c r="DQ10" s="4"/>
      <x:c r="DR10" s="4"/>
      <x:c r="DS10" s="4"/>
      <x:c r="DT10" s="4"/>
      <x:c r="DU10" s="4"/>
      <x:c r="DV10" s="4"/>
      <x:c r="DW10" s="4"/>
      <x:c r="DX10" s="4"/>
      <x:c r="DY10" s="4"/>
      <x:c r="DZ10" s="4"/>
      <x:c r="EA10" s="4"/>
      <x:c r="EB10" s="4"/>
      <x:c r="EC10" s="4"/>
      <x:c r="ED10" s="4"/>
      <x:c r="EE10" s="4"/>
      <x:c r="EF10" s="4"/>
      <x:c r="EG10" s="4"/>
      <x:c r="EH10" s="4"/>
      <x:c r="EI10" s="4"/>
      <x:c r="EJ10" s="4"/>
      <x:c r="EK10" s="4"/>
      <x:c r="EL10" s="4"/>
      <x:c r="EM10" s="4"/>
      <x:c r="EN10" s="4"/>
      <x:c r="EO10" s="4"/>
      <x:c r="EP10" s="4"/>
      <x:c r="EQ10" s="4"/>
      <x:c r="ER10" s="4"/>
      <x:c r="ES10" s="4"/>
      <x:c r="ET10" s="4"/>
      <x:c r="EU10" s="4"/>
      <x:c r="EV10" s="4"/>
      <x:c r="EW10" s="4"/>
      <x:c r="EX10" s="4"/>
      <x:c r="EY10" s="4"/>
      <x:c r="EZ10" s="4"/>
      <x:c r="FA10" s="4"/>
      <x:c r="FB10" s="4"/>
      <x:c r="FC10" s="4"/>
      <x:c r="FD10" s="4"/>
      <x:c r="FE10" s="4"/>
      <x:c r="FF10" s="4"/>
      <x:c r="FG10" s="4"/>
      <x:c r="FH10" s="4"/>
      <x:c r="FI10" s="4"/>
      <x:c r="FJ10" s="4"/>
      <x:c r="FK10" s="4"/>
      <x:c r="FL10" s="4"/>
      <x:c r="FM10" s="4"/>
      <x:c r="FN10" s="4"/>
      <x:c r="FO10" s="4"/>
    </x:row>
    <x:row r="11" ht="18" customHeight="1">
      <x:c r="A11" s="3"/>
      <x:c r="B11" s="12"/>
      <x:c r="C11" s="12"/>
      <x:c r="D11" s="12"/>
      <x:c r="E11" s="12"/>
      <x:c r="F11" s="12"/>
      <x:c r="G11" s="12"/>
      <x:c r="H11" s="12"/>
      <x:c r="I11" s="3"/>
      <x:c r="J11" s="12"/>
      <x:c r="K11" s="12"/>
      <x:c r="L11" s="12"/>
      <x:c r="M11" s="12"/>
      <x:c r="N11" s="12"/>
      <x:c r="O11" s="12"/>
      <x:c r="P11" s="12"/>
      <x:c r="Q11" s="3"/>
      <x:c r="R11" s="12"/>
      <x:c r="S11" s="12"/>
      <x:c r="T11" s="12"/>
      <x:c r="U11" s="12"/>
      <x:c r="V11" s="12"/>
      <x:c r="W11" s="12"/>
      <x:c r="X11" s="3"/>
      <x:c r="Y11" s="12"/>
      <x:c r="Z11" s="12"/>
      <x:c r="AA11" s="12"/>
      <x:c r="AB11" s="12"/>
      <x:c r="AC11" s="12"/>
      <x:c r="AD11" s="3"/>
      <x:c r="AE11" s="77"/>
      <x:c r="AF11" s="75"/>
      <x:c r="AG11" s="75"/>
      <x:c r="AH11" s="75"/>
      <x:c r="AI11" s="75"/>
      <x:c r="AJ11" s="75"/>
      <x:c r="AK11" s="75"/>
      <x:c r="AL11" s="75"/>
      <x:c r="AM11" s="75"/>
      <x:c r="AN11" s="75"/>
      <x:c r="AO11" s="75"/>
      <x:c r="AP11" s="75"/>
      <x:c r="AQ11" s="75"/>
      <x:c r="AR11" s="75"/>
      <x:c r="AS11" s="75"/>
      <x:c r="AT11" s="75"/>
      <x:c r="AU11" s="75"/>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4"/>
      <x:c r="DQ11" s="4"/>
      <x:c r="DR11" s="4"/>
      <x:c r="DS11" s="4"/>
      <x:c r="DT11" s="4"/>
      <x:c r="DU11" s="4"/>
      <x:c r="DV11" s="4"/>
      <x:c r="DW11" s="4"/>
      <x:c r="DX11" s="4"/>
      <x:c r="DY11" s="4"/>
      <x:c r="DZ11" s="4"/>
      <x:c r="EA11" s="4"/>
      <x:c r="EB11" s="4"/>
      <x:c r="EC11" s="4"/>
      <x:c r="ED11" s="4"/>
      <x:c r="EE11" s="4"/>
      <x:c r="EF11" s="4"/>
      <x:c r="EG11" s="4"/>
      <x:c r="EH11" s="4"/>
      <x:c r="EI11" s="4"/>
      <x:c r="EJ11" s="4"/>
      <x:c r="EK11" s="4"/>
      <x:c r="EL11" s="4"/>
      <x:c r="EM11" s="4"/>
      <x:c r="EN11" s="4"/>
      <x:c r="EO11" s="4"/>
      <x:c r="EP11" s="4"/>
      <x:c r="EQ11" s="4"/>
      <x:c r="ER11" s="4"/>
      <x:c r="ES11" s="4"/>
      <x:c r="ET11" s="4"/>
      <x:c r="EU11" s="4"/>
      <x:c r="EV11" s="4"/>
      <x:c r="EW11" s="4"/>
      <x:c r="EX11" s="4"/>
      <x:c r="EY11" s="4"/>
      <x:c r="EZ11" s="4"/>
      <x:c r="FA11" s="4"/>
      <x:c r="FB11" s="4"/>
      <x:c r="FC11" s="4"/>
      <x:c r="FD11" s="4"/>
      <x:c r="FE11" s="4"/>
      <x:c r="FF11" s="4"/>
      <x:c r="FG11" s="4"/>
      <x:c r="FH11" s="4"/>
      <x:c r="FI11" s="4"/>
      <x:c r="FJ11" s="4"/>
      <x:c r="FK11" s="4"/>
      <x:c r="FL11" s="4"/>
      <x:c r="FM11" s="4"/>
      <x:c r="FN11" s="4"/>
      <x:c r="FO11" s="4"/>
    </x:row>
    <x:row r="12" ht="18" customHeight="1">
      <x:c r="A12" s="3"/>
      <x:c r="B12" s="15" t="str">
        <x:v>Employees</x:v>
      </x:c>
      <x:c r="C12" s="15" t="str">
        <x:v>Employees</x:v>
      </x:c>
      <x:c r="D12" s="15" t="str">
        <x:v>Employees</x:v>
      </x:c>
      <x:c r="E12" s="15" t="str">
        <x:v>Employees</x:v>
      </x:c>
      <x:c r="F12" s="15" t="str">
        <x:v>Employees</x:v>
      </x:c>
      <x:c r="G12" s="15" t="str">
        <x:v>Employees</x:v>
      </x:c>
      <x:c r="H12" s="15" t="str">
        <x:v>Employees</x:v>
      </x:c>
      <x:c r="I12" s="3"/>
      <x:c r="J12" s="15" t="str">
        <x:v>Fully rated</x:v>
      </x:c>
      <x:c r="K12" s="15" t="str">
        <x:v>Fully rated</x:v>
      </x:c>
      <x:c r="L12" s="15" t="str">
        <x:v>Fully rated</x:v>
      </x:c>
      <x:c r="M12" s="15" t="str">
        <x:v>Fully rated</x:v>
      </x:c>
      <x:c r="N12" s="15" t="str">
        <x:v>Fully rated</x:v>
      </x:c>
      <x:c r="O12" s="15" t="str">
        <x:v>Fully rated</x:v>
      </x:c>
      <x:c r="P12" s="15" t="str">
        <x:v>Fully rated</x:v>
      </x:c>
      <x:c r="Q12" s="3"/>
      <x:c r="R12" s="15" t="str">
        <x:v>Completion</x:v>
      </x:c>
      <x:c r="S12" s="15" t="str">
        <x:v>Completion</x:v>
      </x:c>
      <x:c r="T12" s="15" t="str">
        <x:v>Completion</x:v>
      </x:c>
      <x:c r="U12" s="15" t="str">
        <x:v>Completion</x:v>
      </x:c>
      <x:c r="V12" s="15" t="str">
        <x:v>Completion</x:v>
      </x:c>
      <x:c r="W12" s="15" t="str">
        <x:v>Completion</x:v>
      </x:c>
      <x:c r="X12" s="3"/>
      <x:c r="Y12" s="15" t="str">
        <x:v>Pending</x:v>
      </x:c>
      <x:c r="Z12" s="15" t="str">
        <x:v>Pending</x:v>
      </x:c>
      <x:c r="AA12" s="15" t="str">
        <x:v>Pending</x:v>
      </x:c>
      <x:c r="AB12" s="15" t="str">
        <x:v>Pending</x:v>
      </x:c>
      <x:c r="AC12" s="15" t="str">
        <x:v>Pending</x:v>
      </x:c>
      <x:c r="AD12" s="3"/>
      <x:c r="AE12" s="77"/>
      <x:c r="AF12" s="75"/>
      <x:c r="AG12" s="75"/>
      <x:c r="AH12" s="75"/>
      <x:c r="AI12" s="75"/>
      <x:c r="AJ12" s="75"/>
      <x:c r="AK12" s="75"/>
      <x:c r="AL12" s="75"/>
      <x:c r="AM12" s="75"/>
      <x:c r="AN12" s="75"/>
      <x:c r="AO12" s="75"/>
      <x:c r="AP12" s="75"/>
      <x:c r="AQ12" s="75"/>
      <x:c r="AR12" s="75"/>
      <x:c r="AS12" s="75"/>
      <x:c r="AT12" s="75"/>
      <x:c r="AU12" s="75"/>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4"/>
      <x:c r="DQ12" s="4"/>
      <x:c r="DR12" s="4"/>
      <x:c r="DS12" s="4"/>
      <x:c r="DT12" s="4"/>
      <x:c r="DU12" s="4"/>
      <x:c r="DV12" s="4"/>
      <x:c r="DW12" s="4"/>
      <x:c r="DX12" s="4"/>
      <x:c r="DY12" s="4"/>
      <x:c r="DZ12" s="4"/>
      <x:c r="EA12" s="4"/>
      <x:c r="EB12" s="4"/>
      <x:c r="EC12" s="4"/>
      <x:c r="ED12" s="4"/>
      <x:c r="EE12" s="4"/>
      <x:c r="EF12" s="4"/>
      <x:c r="EG12" s="4"/>
      <x:c r="EH12" s="4"/>
      <x:c r="EI12" s="4"/>
      <x:c r="EJ12" s="4"/>
      <x:c r="EK12" s="4"/>
      <x:c r="EL12" s="4"/>
      <x:c r="EM12" s="4"/>
      <x:c r="EN12" s="4"/>
      <x:c r="EO12" s="4"/>
      <x:c r="EP12" s="4"/>
      <x:c r="EQ12" s="4"/>
      <x:c r="ER12" s="4"/>
      <x:c r="ES12" s="4"/>
      <x:c r="ET12" s="4"/>
      <x:c r="EU12" s="4"/>
      <x:c r="EV12" s="4"/>
      <x:c r="EW12" s="4"/>
      <x:c r="EX12" s="4"/>
      <x:c r="EY12" s="4"/>
      <x:c r="EZ12" s="4"/>
      <x:c r="FA12" s="4"/>
      <x:c r="FB12" s="4"/>
      <x:c r="FC12" s="4"/>
      <x:c r="FD12" s="4"/>
      <x:c r="FE12" s="4"/>
      <x:c r="FF12" s="4"/>
      <x:c r="FG12" s="4"/>
      <x:c r="FH12" s="4"/>
      <x:c r="FI12" s="4"/>
      <x:c r="FJ12" s="4"/>
      <x:c r="FK12" s="4"/>
      <x:c r="FL12" s="4"/>
      <x:c r="FM12" s="4"/>
      <x:c r="FN12" s="4"/>
      <x:c r="FO12" s="4"/>
    </x:row>
    <x:row r="13" ht="18" customHeight="1">
      <x:c r="A13" s="3"/>
      <x:c r="B13" s="17" t="str">
        <x:f>'Calculations'!$GB$13</x:f>
        <x:v>—</x:v>
      </x:c>
      <x:c r="C13" s="17"/>
      <x:c r="D13" s="17"/>
      <x:c r="E13" s="17"/>
      <x:c r="F13" s="17"/>
      <x:c r="G13" s="17"/>
      <x:c r="H13" s="17"/>
      <x:c r="I13" s="3"/>
      <x:c r="J13" s="17" t="str">
        <x:f>'Calculations'!$GJ$13</x:f>
        <x:v>—</x:v>
      </x:c>
      <x:c r="K13" s="17"/>
      <x:c r="L13" s="17"/>
      <x:c r="M13" s="17"/>
      <x:c r="N13" s="17"/>
      <x:c r="O13" s="17"/>
      <x:c r="P13" s="17"/>
      <x:c r="Q13" s="3"/>
      <x:c r="R13" s="19" t="str">
        <x:f>'Calculations'!$GR$13</x:f>
        <x:v>—</x:v>
      </x:c>
      <x:c r="S13" s="17"/>
      <x:c r="T13" s="17"/>
      <x:c r="U13" s="17"/>
      <x:c r="V13" s="17"/>
      <x:c r="W13" s="17"/>
      <x:c r="X13" s="3"/>
      <x:c r="Y13" s="17" t="str">
        <x:f>'Calculations'!$GY$13</x:f>
        <x:v>—</x:v>
      </x:c>
      <x:c r="Z13" s="17"/>
      <x:c r="AA13" s="17"/>
      <x:c r="AB13" s="17"/>
      <x:c r="AC13" s="17"/>
      <x:c r="AD13" s="3"/>
      <x:c r="AE13" s="77"/>
      <x:c r="AF13" s="75"/>
      <x:c r="AG13" s="75"/>
      <x:c r="AH13" s="75"/>
      <x:c r="AI13" s="75"/>
      <x:c r="AJ13" s="75"/>
      <x:c r="AK13" s="75"/>
      <x:c r="AL13" s="75"/>
      <x:c r="AM13" s="75"/>
      <x:c r="AN13" s="75"/>
      <x:c r="AO13" s="75"/>
      <x:c r="AP13" s="75"/>
      <x:c r="AQ13" s="75"/>
      <x:c r="AR13" s="75"/>
      <x:c r="AS13" s="75"/>
      <x:c r="AT13" s="75"/>
      <x:c r="AU13" s="75"/>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4"/>
      <x:c r="DQ13" s="4"/>
      <x:c r="DR13" s="4"/>
      <x:c r="DS13" s="4"/>
      <x:c r="DT13" s="4"/>
      <x:c r="DU13" s="4"/>
      <x:c r="DV13" s="4"/>
      <x:c r="DW13" s="4"/>
      <x:c r="DX13" s="4"/>
      <x:c r="DY13" s="4"/>
      <x:c r="DZ13" s="4"/>
      <x:c r="EA13" s="4"/>
      <x:c r="EB13" s="4"/>
      <x:c r="EC13" s="4"/>
      <x:c r="ED13" s="4"/>
      <x:c r="EE13" s="4"/>
      <x:c r="EF13" s="4"/>
      <x:c r="EG13" s="4"/>
      <x:c r="EH13" s="4"/>
      <x:c r="EI13" s="4"/>
      <x:c r="EJ13" s="4"/>
      <x:c r="EK13" s="4"/>
      <x:c r="EL13" s="4"/>
      <x:c r="EM13" s="4"/>
      <x:c r="EN13" s="4"/>
      <x:c r="EO13" s="4"/>
      <x:c r="EP13" s="4"/>
      <x:c r="EQ13" s="4"/>
      <x:c r="ER13" s="4"/>
      <x:c r="ES13" s="4"/>
      <x:c r="ET13" s="4"/>
      <x:c r="EU13" s="4"/>
      <x:c r="EV13" s="4"/>
      <x:c r="EW13" s="4"/>
      <x:c r="EX13" s="4"/>
      <x:c r="EY13" s="4"/>
      <x:c r="EZ13" s="4"/>
      <x:c r="FA13" s="4"/>
      <x:c r="FB13" s="4"/>
      <x:c r="FC13" s="4"/>
      <x:c r="FD13" s="4"/>
      <x:c r="FE13" s="4"/>
      <x:c r="FF13" s="4"/>
      <x:c r="FG13" s="4"/>
      <x:c r="FH13" s="4"/>
      <x:c r="FI13" s="4"/>
      <x:c r="FJ13" s="4"/>
      <x:c r="FK13" s="4"/>
      <x:c r="FL13" s="4"/>
      <x:c r="FM13" s="4"/>
      <x:c r="FN13" s="4"/>
      <x:c r="FO13" s="4"/>
    </x:row>
    <x:row r="14" ht="18" customHeight="1">
      <x:c r="A14" s="3"/>
      <x:c r="B14" s="17"/>
      <x:c r="C14" s="17"/>
      <x:c r="D14" s="17"/>
      <x:c r="E14" s="17"/>
      <x:c r="F14" s="17"/>
      <x:c r="G14" s="17"/>
      <x:c r="H14" s="17"/>
      <x:c r="I14" s="3"/>
      <x:c r="J14" s="17"/>
      <x:c r="K14" s="17"/>
      <x:c r="L14" s="17"/>
      <x:c r="M14" s="17"/>
      <x:c r="N14" s="17"/>
      <x:c r="O14" s="17"/>
      <x:c r="P14" s="17"/>
      <x:c r="Q14" s="3"/>
      <x:c r="R14" s="17"/>
      <x:c r="S14" s="17"/>
      <x:c r="T14" s="17"/>
      <x:c r="U14" s="17"/>
      <x:c r="V14" s="17"/>
      <x:c r="W14" s="17"/>
      <x:c r="X14" s="3"/>
      <x:c r="Y14" s="17"/>
      <x:c r="Z14" s="17"/>
      <x:c r="AA14" s="17"/>
      <x:c r="AB14" s="17"/>
      <x:c r="AC14" s="17"/>
      <x:c r="AD14" s="3"/>
      <x:c r="AE14" s="77"/>
      <x:c r="AF14" s="75"/>
      <x:c r="AG14" s="75"/>
      <x:c r="AH14" s="75"/>
      <x:c r="AI14" s="75"/>
      <x:c r="AJ14" s="75"/>
      <x:c r="AK14" s="75"/>
      <x:c r="AL14" s="75"/>
      <x:c r="AM14" s="75"/>
      <x:c r="AN14" s="75"/>
      <x:c r="AO14" s="75"/>
      <x:c r="AP14" s="75"/>
      <x:c r="AQ14" s="75"/>
      <x:c r="AR14" s="75"/>
      <x:c r="AS14" s="75"/>
      <x:c r="AT14" s="75"/>
      <x:c r="AU14" s="75"/>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4"/>
      <x:c r="DQ14" s="4"/>
      <x:c r="DR14" s="4"/>
      <x:c r="DS14" s="4"/>
      <x:c r="DT14" s="4"/>
      <x:c r="DU14" s="4"/>
      <x:c r="DV14" s="4"/>
      <x:c r="DW14" s="4"/>
      <x:c r="DX14" s="4"/>
      <x:c r="DY14" s="4"/>
      <x:c r="DZ14" s="4"/>
      <x:c r="EA14" s="4"/>
      <x:c r="EB14" s="4"/>
      <x:c r="EC14" s="4"/>
      <x:c r="ED14" s="4"/>
      <x:c r="EE14" s="4"/>
      <x:c r="EF14" s="4"/>
      <x:c r="EG14" s="4"/>
      <x:c r="EH14" s="4"/>
      <x:c r="EI14" s="4"/>
      <x:c r="EJ14" s="4"/>
      <x:c r="EK14" s="4"/>
      <x:c r="EL14" s="4"/>
      <x:c r="EM14" s="4"/>
      <x:c r="EN14" s="4"/>
      <x:c r="EO14" s="4"/>
      <x:c r="EP14" s="4"/>
      <x:c r="EQ14" s="4"/>
      <x:c r="ER14" s="4"/>
      <x:c r="ES14" s="4"/>
      <x:c r="ET14" s="4"/>
      <x:c r="EU14" s="4"/>
      <x:c r="EV14" s="4"/>
      <x:c r="EW14" s="4"/>
      <x:c r="EX14" s="4"/>
      <x:c r="EY14" s="4"/>
      <x:c r="EZ14" s="4"/>
      <x:c r="FA14" s="4"/>
      <x:c r="FB14" s="4"/>
      <x:c r="FC14" s="4"/>
      <x:c r="FD14" s="4"/>
      <x:c r="FE14" s="4"/>
      <x:c r="FF14" s="4"/>
      <x:c r="FG14" s="4"/>
      <x:c r="FH14" s="4"/>
      <x:c r="FI14" s="4"/>
      <x:c r="FJ14" s="4"/>
      <x:c r="FK14" s="4"/>
      <x:c r="FL14" s="4"/>
      <x:c r="FM14" s="4"/>
      <x:c r="FN14" s="4"/>
      <x:c r="FO14" s="4"/>
    </x:row>
    <x:row r="15" ht="18" customHeight="1">
      <x:c r="A15" s="3"/>
      <x:c r="B15" s="17"/>
      <x:c r="C15" s="17"/>
      <x:c r="D15" s="17"/>
      <x:c r="E15" s="17"/>
      <x:c r="F15" s="17"/>
      <x:c r="G15" s="17"/>
      <x:c r="H15" s="17"/>
      <x:c r="I15" s="3"/>
      <x:c r="J15" s="17"/>
      <x:c r="K15" s="17"/>
      <x:c r="L15" s="17"/>
      <x:c r="M15" s="17"/>
      <x:c r="N15" s="17"/>
      <x:c r="O15" s="17"/>
      <x:c r="P15" s="17"/>
      <x:c r="Q15" s="3"/>
      <x:c r="R15" s="17"/>
      <x:c r="S15" s="17"/>
      <x:c r="T15" s="17"/>
      <x:c r="U15" s="17"/>
      <x:c r="V15" s="17"/>
      <x:c r="W15" s="17"/>
      <x:c r="X15" s="3"/>
      <x:c r="Y15" s="17"/>
      <x:c r="Z15" s="17"/>
      <x:c r="AA15" s="17"/>
      <x:c r="AB15" s="17"/>
      <x:c r="AC15" s="17"/>
      <x:c r="AD15" s="3"/>
      <x:c r="AE15" s="77"/>
      <x:c r="AF15" s="75"/>
      <x:c r="AG15" s="75"/>
      <x:c r="AH15" s="75"/>
      <x:c r="AI15" s="75"/>
      <x:c r="AJ15" s="75"/>
      <x:c r="AK15" s="75"/>
      <x:c r="AL15" s="75"/>
      <x:c r="AM15" s="75"/>
      <x:c r="AN15" s="75"/>
      <x:c r="AO15" s="75"/>
      <x:c r="AP15" s="75"/>
      <x:c r="AQ15" s="75"/>
      <x:c r="AR15" s="75"/>
      <x:c r="AS15" s="75"/>
      <x:c r="AT15" s="75"/>
      <x:c r="AU15" s="75"/>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4"/>
      <x:c r="DQ15" s="4"/>
      <x:c r="DR15" s="4"/>
      <x:c r="DS15" s="4"/>
      <x:c r="DT15" s="4"/>
      <x:c r="DU15" s="4"/>
      <x:c r="DV15" s="4"/>
      <x:c r="DW15" s="4"/>
      <x:c r="DX15" s="4"/>
      <x:c r="DY15" s="4"/>
      <x:c r="DZ15" s="4"/>
      <x:c r="EA15" s="4"/>
      <x:c r="EB15" s="4"/>
      <x:c r="EC15" s="4"/>
      <x:c r="ED15" s="4"/>
      <x:c r="EE15" s="4"/>
      <x:c r="EF15" s="4"/>
      <x:c r="EG15" s="4"/>
      <x:c r="EH15" s="4"/>
      <x:c r="EI15" s="4"/>
      <x:c r="EJ15" s="4"/>
      <x:c r="EK15" s="4"/>
      <x:c r="EL15" s="4"/>
      <x:c r="EM15" s="4"/>
      <x:c r="EN15" s="4"/>
      <x:c r="EO15" s="4"/>
      <x:c r="EP15" s="4"/>
      <x:c r="EQ15" s="4"/>
      <x:c r="ER15" s="4"/>
      <x:c r="ES15" s="4"/>
      <x:c r="ET15" s="4"/>
      <x:c r="EU15" s="4"/>
      <x:c r="EV15" s="4"/>
      <x:c r="EW15" s="4"/>
      <x:c r="EX15" s="4"/>
      <x:c r="EY15" s="4"/>
      <x:c r="EZ15" s="4"/>
      <x:c r="FA15" s="4"/>
      <x:c r="FB15" s="4"/>
      <x:c r="FC15" s="4"/>
      <x:c r="FD15" s="4"/>
      <x:c r="FE15" s="4"/>
      <x:c r="FF15" s="4"/>
      <x:c r="FG15" s="4"/>
      <x:c r="FH15" s="4"/>
      <x:c r="FI15" s="4"/>
      <x:c r="FJ15" s="4"/>
      <x:c r="FK15" s="4"/>
      <x:c r="FL15" s="4"/>
      <x:c r="FM15" s="4"/>
      <x:c r="FN15" s="4"/>
      <x:c r="FO15" s="4"/>
    </x:row>
    <x:row r="16" ht="18" customHeight="1">
      <x:c r="A16" s="3"/>
      <x:c r="B16" s="12"/>
      <x:c r="C16" s="12"/>
      <x:c r="D16" s="12"/>
      <x:c r="E16" s="12"/>
      <x:c r="F16" s="12"/>
      <x:c r="G16" s="12"/>
      <x:c r="H16" s="12"/>
      <x:c r="I16" s="3"/>
      <x:c r="J16" s="12"/>
      <x:c r="K16" s="12"/>
      <x:c r="L16" s="12"/>
      <x:c r="M16" s="12"/>
      <x:c r="N16" s="12"/>
      <x:c r="O16" s="12"/>
      <x:c r="P16" s="12"/>
      <x:c r="Q16" s="3"/>
      <x:c r="R16" s="12"/>
      <x:c r="S16" s="12"/>
      <x:c r="T16" s="12"/>
      <x:c r="U16" s="12"/>
      <x:c r="V16" s="12"/>
      <x:c r="W16" s="12"/>
      <x:c r="X16" s="3"/>
      <x:c r="Y16" s="12"/>
      <x:c r="Z16" s="12"/>
      <x:c r="AA16" s="12"/>
      <x:c r="AB16" s="12"/>
      <x:c r="AC16" s="12"/>
      <x:c r="AD16" s="3"/>
      <x:c r="AE16" s="77"/>
      <x:c r="AF16" s="75"/>
      <x:c r="AG16" s="75"/>
      <x:c r="AH16" s="75"/>
      <x:c r="AI16" s="75"/>
      <x:c r="AJ16" s="75"/>
      <x:c r="AK16" s="75"/>
      <x:c r="AL16" s="75"/>
      <x:c r="AM16" s="75"/>
      <x:c r="AN16" s="75"/>
      <x:c r="AO16" s="75"/>
      <x:c r="AP16" s="75"/>
      <x:c r="AQ16" s="75"/>
      <x:c r="AR16" s="75"/>
      <x:c r="AS16" s="75"/>
      <x:c r="AT16" s="75"/>
      <x:c r="AU16" s="75"/>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4"/>
      <x:c r="DQ16" s="4"/>
      <x:c r="DR16" s="4"/>
      <x:c r="DS16" s="4"/>
      <x:c r="DT16" s="4"/>
      <x:c r="DU16" s="4"/>
      <x:c r="DV16" s="4"/>
      <x:c r="DW16" s="4"/>
      <x:c r="DX16" s="4"/>
      <x:c r="DY16" s="4"/>
      <x:c r="DZ16" s="4"/>
      <x:c r="EA16" s="4"/>
      <x:c r="EB16" s="4"/>
      <x:c r="EC16" s="4"/>
      <x:c r="ED16" s="4"/>
      <x:c r="EE16" s="4"/>
      <x:c r="EF16" s="4"/>
      <x:c r="EG16" s="4"/>
      <x:c r="EH16" s="4"/>
      <x:c r="EI16" s="4"/>
      <x:c r="EJ16" s="4"/>
      <x:c r="EK16" s="4"/>
      <x:c r="EL16" s="4"/>
      <x:c r="EM16" s="4"/>
      <x:c r="EN16" s="4"/>
      <x:c r="EO16" s="4"/>
      <x:c r="EP16" s="4"/>
      <x:c r="EQ16" s="4"/>
      <x:c r="ER16" s="4"/>
      <x:c r="ES16" s="4"/>
      <x:c r="ET16" s="4"/>
      <x:c r="EU16" s="4"/>
      <x:c r="EV16" s="4"/>
      <x:c r="EW16" s="4"/>
      <x:c r="EX16" s="4"/>
      <x:c r="EY16" s="4"/>
      <x:c r="EZ16" s="4"/>
      <x:c r="FA16" s="4"/>
      <x:c r="FB16" s="4"/>
      <x:c r="FC16" s="4"/>
      <x:c r="FD16" s="4"/>
      <x:c r="FE16" s="4"/>
      <x:c r="FF16" s="4"/>
      <x:c r="FG16" s="4"/>
      <x:c r="FH16" s="4"/>
      <x:c r="FI16" s="4"/>
      <x:c r="FJ16" s="4"/>
      <x:c r="FK16" s="4"/>
      <x:c r="FL16" s="4"/>
      <x:c r="FM16" s="4"/>
      <x:c r="FN16" s="4"/>
      <x:c r="FO16" s="4"/>
    </x:row>
    <x:row r="17" ht="18" customHeight="1">
      <x:c r="A17" s="3"/>
      <x:c r="B17" s="20" t="str">
        <x:f>'Calculations'!$GB$17</x:f>
        <x:v>What = K (already rounded); How = L. K is used as supplied; M:N:O are not calibrated separately.</x:v>
      </x:c>
      <x:c r="C17" s="20"/>
      <x:c r="D17" s="20"/>
      <x:c r="E17" s="20"/>
      <x:c r="F17" s="20"/>
      <x:c r="G17" s="20"/>
      <x:c r="H17" s="20"/>
      <x:c r="I17" s="20"/>
      <x:c r="J17" s="20"/>
      <x:c r="K17" s="20"/>
      <x:c r="L17" s="20"/>
      <x:c r="M17" s="20"/>
      <x:c r="N17" s="20"/>
      <x:c r="O17" s="20"/>
      <x:c r="P17" s="20"/>
      <x:c r="Q17" s="20"/>
      <x:c r="R17" s="20"/>
      <x:c r="S17" s="20"/>
      <x:c r="T17" s="20"/>
      <x:c r="U17" s="20"/>
      <x:c r="V17" s="20"/>
      <x:c r="W17" s="20"/>
      <x:c r="X17" s="20"/>
      <x:c r="Y17" s="20"/>
      <x:c r="Z17" s="20"/>
      <x:c r="AA17" s="20"/>
      <x:c r="AB17" s="20"/>
      <x:c r="AC17" s="20"/>
      <x:c r="AD17" s="3"/>
      <x:c r="AE17" s="77"/>
      <x:c r="AF17" s="75"/>
      <x:c r="AG17" s="75"/>
      <x:c r="AH17" s="75"/>
      <x:c r="AI17" s="75"/>
      <x:c r="AJ17" s="75"/>
      <x:c r="AK17" s="75"/>
      <x:c r="AL17" s="75"/>
      <x:c r="AM17" s="75"/>
      <x:c r="AN17" s="75"/>
      <x:c r="AO17" s="75"/>
      <x:c r="AP17" s="75"/>
      <x:c r="AQ17" s="75"/>
      <x:c r="AR17" s="75"/>
      <x:c r="AS17" s="75"/>
      <x:c r="AT17" s="75"/>
      <x:c r="AU17" s="75"/>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4"/>
      <x:c r="DQ17" s="4"/>
      <x:c r="DR17" s="4"/>
      <x:c r="DS17" s="4"/>
      <x:c r="DT17" s="4"/>
      <x:c r="DU17" s="4"/>
      <x:c r="DV17" s="4"/>
      <x:c r="DW17" s="4"/>
      <x:c r="DX17" s="4"/>
      <x:c r="DY17" s="4"/>
      <x:c r="DZ17" s="4"/>
      <x:c r="EA17" s="4"/>
      <x:c r="EB17" s="4"/>
      <x:c r="EC17" s="4"/>
      <x:c r="ED17" s="4"/>
      <x:c r="EE17" s="4"/>
      <x:c r="EF17" s="4"/>
      <x:c r="EG17" s="4"/>
      <x:c r="EH17" s="4"/>
      <x:c r="EI17" s="4"/>
      <x:c r="EJ17" s="4"/>
      <x:c r="EK17" s="4"/>
      <x:c r="EL17" s="4"/>
      <x:c r="EM17" s="4"/>
      <x:c r="EN17" s="4"/>
      <x:c r="EO17" s="4"/>
      <x:c r="EP17" s="4"/>
      <x:c r="EQ17" s="4"/>
      <x:c r="ER17" s="4"/>
      <x:c r="ES17" s="4"/>
      <x:c r="ET17" s="4"/>
      <x:c r="EU17" s="4"/>
      <x:c r="EV17" s="4"/>
      <x:c r="EW17" s="4"/>
      <x:c r="EX17" s="4"/>
      <x:c r="EY17" s="4"/>
      <x:c r="EZ17" s="4"/>
      <x:c r="FA17" s="4"/>
      <x:c r="FB17" s="4"/>
      <x:c r="FC17" s="4"/>
      <x:c r="FD17" s="4"/>
      <x:c r="FE17" s="4"/>
      <x:c r="FF17" s="4"/>
      <x:c r="FG17" s="4"/>
      <x:c r="FH17" s="4"/>
      <x:c r="FI17" s="4"/>
      <x:c r="FJ17" s="4"/>
      <x:c r="FK17" s="4"/>
      <x:c r="FL17" s="4"/>
      <x:c r="FM17" s="4"/>
      <x:c r="FN17" s="4"/>
      <x:c r="FO17" s="4"/>
    </x:row>
    <x:row r="18" ht="18" customHeight="1">
      <x:c r="A18" s="3"/>
      <x:c r="B18" s="3"/>
      <x:c r="C18" s="3"/>
      <x:c r="D18" s="3"/>
      <x:c r="E18" s="3"/>
      <x:c r="F18" s="3"/>
      <x:c r="G18" s="3"/>
      <x:c r="H18" s="3"/>
      <x:c r="I18" s="3"/>
      <x:c r="J18" s="3"/>
      <x:c r="K18" s="3"/>
      <x:c r="L18" s="3"/>
      <x:c r="M18" s="3"/>
      <x:c r="N18" s="3"/>
      <x:c r="O18" s="3"/>
      <x:c r="P18" s="3"/>
      <x:c r="Q18" s="3"/>
      <x:c r="R18" s="3"/>
      <x:c r="S18" s="3"/>
      <x:c r="T18" s="3"/>
      <x:c r="U18" s="3"/>
      <x:c r="V18" s="3"/>
      <x:c r="W18" s="3"/>
      <x:c r="X18" s="3"/>
      <x:c r="Y18" s="3"/>
      <x:c r="Z18" s="3"/>
      <x:c r="AA18" s="3"/>
      <x:c r="AB18" s="3"/>
      <x:c r="AC18" s="3"/>
      <x:c r="AD18" s="3"/>
      <x:c r="AE18" s="77"/>
      <x:c r="AF18" s="75"/>
      <x:c r="AG18" s="75"/>
      <x:c r="AH18" s="75"/>
      <x:c r="AI18" s="75"/>
      <x:c r="AJ18" s="75"/>
      <x:c r="AK18" s="75"/>
      <x:c r="AL18" s="75"/>
      <x:c r="AM18" s="75"/>
      <x:c r="AN18" s="75"/>
      <x:c r="AO18" s="75"/>
      <x:c r="AP18" s="75"/>
      <x:c r="AQ18" s="75"/>
      <x:c r="AR18" s="75"/>
      <x:c r="AS18" s="75"/>
      <x:c r="AT18" s="75"/>
      <x:c r="AU18" s="75"/>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4"/>
      <x:c r="DQ18" s="4"/>
      <x:c r="DR18" s="4"/>
      <x:c r="DS18" s="4"/>
      <x:c r="DT18" s="4"/>
      <x:c r="DU18" s="4"/>
      <x:c r="DV18" s="4"/>
      <x:c r="DW18" s="4"/>
      <x:c r="DX18" s="4"/>
      <x:c r="DY18" s="4"/>
      <x:c r="DZ18" s="4"/>
      <x:c r="EA18" s="4"/>
      <x:c r="EB18" s="4"/>
      <x:c r="EC18" s="4"/>
      <x:c r="ED18" s="4"/>
      <x:c r="EE18" s="4"/>
      <x:c r="EF18" s="4"/>
      <x:c r="EG18" s="4"/>
      <x:c r="EH18" s="4"/>
      <x:c r="EI18" s="4"/>
      <x:c r="EJ18" s="4"/>
      <x:c r="EK18" s="4"/>
      <x:c r="EL18" s="4"/>
      <x:c r="EM18" s="4"/>
      <x:c r="EN18" s="4"/>
      <x:c r="EO18" s="4"/>
      <x:c r="EP18" s="4"/>
      <x:c r="EQ18" s="4"/>
      <x:c r="ER18" s="4"/>
      <x:c r="ES18" s="4"/>
      <x:c r="ET18" s="4"/>
      <x:c r="EU18" s="4"/>
      <x:c r="EV18" s="4"/>
      <x:c r="EW18" s="4"/>
      <x:c r="EX18" s="4"/>
      <x:c r="EY18" s="4"/>
      <x:c r="EZ18" s="4"/>
      <x:c r="FA18" s="4"/>
      <x:c r="FB18" s="4"/>
      <x:c r="FC18" s="4"/>
      <x:c r="FD18" s="4"/>
      <x:c r="FE18" s="4"/>
      <x:c r="FF18" s="4"/>
      <x:c r="FG18" s="4"/>
      <x:c r="FH18" s="4"/>
      <x:c r="FI18" s="4"/>
      <x:c r="FJ18" s="4"/>
      <x:c r="FK18" s="4"/>
      <x:c r="FL18" s="4"/>
      <x:c r="FM18" s="4"/>
      <x:c r="FN18" s="4"/>
      <x:c r="FO18" s="4"/>
    </x:row>
    <x:row r="19" ht="18" customHeight="1">
      <x:c r="A19" s="3"/>
      <x:c r="B19" s="3"/>
      <x:c r="C19" s="3"/>
      <x:c r="D19" s="3"/>
      <x:c r="E19" s="3"/>
      <x:c r="F19" s="3"/>
      <x:c r="G19" s="3"/>
      <x:c r="H19" s="3"/>
      <x:c r="I19" s="3"/>
      <x:c r="J19" s="3"/>
      <x:c r="K19" s="3"/>
      <x:c r="L19" s="3"/>
      <x:c r="M19" s="3"/>
      <x:c r="N19" s="3"/>
      <x:c r="O19" s="3"/>
      <x:c r="P19" s="3"/>
      <x:c r="Q19" s="3"/>
      <x:c r="R19" s="3"/>
      <x:c r="S19" s="3"/>
      <x:c r="T19" s="3"/>
      <x:c r="U19" s="3"/>
      <x:c r="V19" s="3"/>
      <x:c r="W19" s="3"/>
      <x:c r="X19" s="3"/>
      <x:c r="Y19" s="3"/>
      <x:c r="Z19" s="3"/>
      <x:c r="AA19" s="3"/>
      <x:c r="AB19" s="3"/>
      <x:c r="AC19" s="3"/>
      <x:c r="AD19" s="3"/>
      <x:c r="AE19" s="77"/>
      <x:c r="AF19" s="75"/>
      <x:c r="AG19" s="75"/>
      <x:c r="AH19" s="75"/>
      <x:c r="AI19" s="75"/>
      <x:c r="AJ19" s="75"/>
      <x:c r="AK19" s="75"/>
      <x:c r="AL19" s="75"/>
      <x:c r="AM19" s="75"/>
      <x:c r="AN19" s="75"/>
      <x:c r="AO19" s="75"/>
      <x:c r="AP19" s="75"/>
      <x:c r="AQ19" s="75"/>
      <x:c r="AR19" s="75"/>
      <x:c r="AS19" s="75"/>
      <x:c r="AT19" s="75"/>
      <x:c r="AU19" s="75"/>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4"/>
      <x:c r="DQ19" s="4"/>
      <x:c r="DR19" s="4"/>
      <x:c r="DS19" s="4"/>
      <x:c r="DT19" s="4"/>
      <x:c r="DU19" s="4"/>
      <x:c r="DV19" s="4"/>
      <x:c r="DW19" s="4"/>
      <x:c r="DX19" s="4"/>
      <x:c r="DY19" s="4"/>
      <x:c r="DZ19" s="4"/>
      <x:c r="EA19" s="4"/>
      <x:c r="EB19" s="4"/>
      <x:c r="EC19" s="4"/>
      <x:c r="ED19" s="4"/>
      <x:c r="EE19" s="4"/>
      <x:c r="EF19" s="4"/>
      <x:c r="EG19" s="4"/>
      <x:c r="EH19" s="4"/>
      <x:c r="EI19" s="4"/>
      <x:c r="EJ19" s="4"/>
      <x:c r="EK19" s="4"/>
      <x:c r="EL19" s="4"/>
      <x:c r="EM19" s="4"/>
      <x:c r="EN19" s="4"/>
      <x:c r="EO19" s="4"/>
      <x:c r="EP19" s="4"/>
      <x:c r="EQ19" s="4"/>
      <x:c r="ER19" s="4"/>
      <x:c r="ES19" s="4"/>
      <x:c r="ET19" s="4"/>
      <x:c r="EU19" s="4"/>
      <x:c r="EV19" s="4"/>
      <x:c r="EW19" s="4"/>
      <x:c r="EX19" s="4"/>
      <x:c r="EY19" s="4"/>
      <x:c r="EZ19" s="4"/>
      <x:c r="FA19" s="4"/>
      <x:c r="FB19" s="4"/>
      <x:c r="FC19" s="4"/>
      <x:c r="FD19" s="4"/>
      <x:c r="FE19" s="4"/>
      <x:c r="FF19" s="4"/>
      <x:c r="FG19" s="4"/>
      <x:c r="FH19" s="4"/>
      <x:c r="FI19" s="4"/>
      <x:c r="FJ19" s="4"/>
      <x:c r="FK19" s="4"/>
      <x:c r="FL19" s="4"/>
      <x:c r="FM19" s="4"/>
      <x:c r="FN19" s="4"/>
      <x:c r="FO19" s="4"/>
    </x:row>
    <x:row r="20" ht="18" customHeight="1">
      <x:c r="A20" s="3"/>
      <x:c r="B20" s="3"/>
      <x:c r="C20" s="3"/>
      <x:c r="D20" s="3"/>
      <x:c r="E20" s="3"/>
      <x:c r="F20" s="3"/>
      <x:c r="G20" s="3"/>
      <x:c r="H20" s="3"/>
      <x:c r="I20" s="3"/>
      <x:c r="J20" s="3"/>
      <x:c r="K20" s="3"/>
      <x:c r="L20" s="3"/>
      <x:c r="M20" s="3"/>
      <x:c r="N20" s="3"/>
      <x:c r="O20" s="3"/>
      <x:c r="P20" s="3"/>
      <x:c r="Q20" s="3"/>
      <x:c r="R20" s="3"/>
      <x:c r="S20" s="3"/>
      <x:c r="T20" s="3"/>
      <x:c r="U20" s="3"/>
      <x:c r="V20" s="3"/>
      <x:c r="W20" s="3"/>
      <x:c r="X20" s="3"/>
      <x:c r="Y20" s="3"/>
      <x:c r="Z20" s="3"/>
      <x:c r="AA20" s="3"/>
      <x:c r="AB20" s="3"/>
      <x:c r="AC20" s="3"/>
      <x:c r="AD20" s="3"/>
      <x:c r="AE20" s="77"/>
      <x:c r="AF20" s="75"/>
      <x:c r="AG20" s="75"/>
      <x:c r="AH20" s="75"/>
      <x:c r="AI20" s="75"/>
      <x:c r="AJ20" s="75"/>
      <x:c r="AK20" s="75"/>
      <x:c r="AL20" s="75"/>
      <x:c r="AM20" s="75"/>
      <x:c r="AN20" s="75"/>
      <x:c r="AO20" s="75"/>
      <x:c r="AP20" s="75"/>
      <x:c r="AQ20" s="75"/>
      <x:c r="AR20" s="75"/>
      <x:c r="AS20" s="75"/>
      <x:c r="AT20" s="75"/>
      <x:c r="AU20" s="75"/>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4"/>
      <x:c r="DQ20" s="4"/>
      <x:c r="DR20" s="4"/>
      <x:c r="DS20" s="4"/>
      <x:c r="DT20" s="4"/>
      <x:c r="DU20" s="4"/>
      <x:c r="DV20" s="4"/>
      <x:c r="DW20" s="4"/>
      <x:c r="DX20" s="4"/>
      <x:c r="DY20" s="4"/>
      <x:c r="DZ20" s="4"/>
      <x:c r="EA20" s="4"/>
      <x:c r="EB20" s="4"/>
      <x:c r="EC20" s="4"/>
      <x:c r="ED20" s="4"/>
      <x:c r="EE20" s="4"/>
      <x:c r="EF20" s="4"/>
      <x:c r="EG20" s="4"/>
      <x:c r="EH20" s="4"/>
      <x:c r="EI20" s="4"/>
      <x:c r="EJ20" s="4"/>
      <x:c r="EK20" s="4"/>
      <x:c r="EL20" s="4"/>
      <x:c r="EM20" s="4"/>
      <x:c r="EN20" s="4"/>
      <x:c r="EO20" s="4"/>
      <x:c r="EP20" s="4"/>
      <x:c r="EQ20" s="4"/>
      <x:c r="ER20" s="4"/>
      <x:c r="ES20" s="4"/>
      <x:c r="ET20" s="4"/>
      <x:c r="EU20" s="4"/>
      <x:c r="EV20" s="4"/>
      <x:c r="EW20" s="4"/>
      <x:c r="EX20" s="4"/>
      <x:c r="EY20" s="4"/>
      <x:c r="EZ20" s="4"/>
      <x:c r="FA20" s="4"/>
      <x:c r="FB20" s="4"/>
      <x:c r="FC20" s="4"/>
      <x:c r="FD20" s="4"/>
      <x:c r="FE20" s="4"/>
      <x:c r="FF20" s="4"/>
      <x:c r="FG20" s="4"/>
      <x:c r="FH20" s="4"/>
      <x:c r="FI20" s="4"/>
      <x:c r="FJ20" s="4"/>
      <x:c r="FK20" s="4"/>
      <x:c r="FL20" s="4"/>
      <x:c r="FM20" s="4"/>
      <x:c r="FN20" s="4"/>
      <x:c r="FO20" s="4"/>
    </x:row>
    <x:row r="21" ht="18" customHeight="1">
      <x:c r="A21" s="3"/>
      <x:c r="B21" s="3"/>
      <x:c r="C21" s="3"/>
      <x:c r="D21" s="3"/>
      <x:c r="E21" s="3"/>
      <x:c r="F21" s="3"/>
      <x:c r="G21" s="3"/>
      <x:c r="H21" s="3"/>
      <x:c r="I21" s="3"/>
      <x:c r="J21" s="3"/>
      <x:c r="K21" s="3"/>
      <x:c r="L21" s="3"/>
      <x:c r="M21" s="3"/>
      <x:c r="N21" s="3"/>
      <x:c r="O21" s="3"/>
      <x:c r="P21" s="3"/>
      <x:c r="Q21" s="3"/>
      <x:c r="R21" s="3"/>
      <x:c r="S21" s="3"/>
      <x:c r="T21" s="3"/>
      <x:c r="U21" s="3"/>
      <x:c r="V21" s="3"/>
      <x:c r="W21" s="3"/>
      <x:c r="X21" s="3"/>
      <x:c r="Y21" s="3"/>
      <x:c r="Z21" s="3"/>
      <x:c r="AA21" s="3"/>
      <x:c r="AB21" s="3"/>
      <x:c r="AC21" s="3"/>
      <x:c r="AD21" s="3"/>
      <x:c r="AE21" s="77"/>
      <x:c r="AF21" s="75"/>
      <x:c r="AG21" s="75"/>
      <x:c r="AH21" s="75"/>
      <x:c r="AI21" s="75"/>
      <x:c r="AJ21" s="75"/>
      <x:c r="AK21" s="75"/>
      <x:c r="AL21" s="75"/>
      <x:c r="AM21" s="75"/>
      <x:c r="AN21" s="75"/>
      <x:c r="AO21" s="75"/>
      <x:c r="AP21" s="75"/>
      <x:c r="AQ21" s="75"/>
      <x:c r="AR21" s="75"/>
      <x:c r="AS21" s="75"/>
      <x:c r="AT21" s="75"/>
      <x:c r="AU21" s="75"/>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4"/>
      <x:c r="DQ21" s="4"/>
      <x:c r="DR21" s="4"/>
      <x:c r="DS21" s="4"/>
      <x:c r="DT21" s="4"/>
      <x:c r="DU21" s="4"/>
      <x:c r="DV21" s="4"/>
      <x:c r="DW21" s="4"/>
      <x:c r="DX21" s="4"/>
      <x:c r="DY21" s="4"/>
      <x:c r="DZ21" s="4"/>
      <x:c r="EA21" s="4"/>
      <x:c r="EB21" s="4"/>
      <x:c r="EC21" s="4"/>
      <x:c r="ED21" s="4"/>
      <x:c r="EE21" s="4"/>
      <x:c r="EF21" s="4"/>
      <x:c r="EG21" s="4"/>
      <x:c r="EH21" s="4"/>
      <x:c r="EI21" s="4"/>
      <x:c r="EJ21" s="4"/>
      <x:c r="EK21" s="4"/>
      <x:c r="EL21" s="4"/>
      <x:c r="EM21" s="4"/>
      <x:c r="EN21" s="4"/>
      <x:c r="EO21" s="4"/>
      <x:c r="EP21" s="4"/>
      <x:c r="EQ21" s="4"/>
      <x:c r="ER21" s="4"/>
      <x:c r="ES21" s="4"/>
      <x:c r="ET21" s="4"/>
      <x:c r="EU21" s="4"/>
      <x:c r="EV21" s="4"/>
      <x:c r="EW21" s="4"/>
      <x:c r="EX21" s="4"/>
      <x:c r="EY21" s="4"/>
      <x:c r="EZ21" s="4"/>
      <x:c r="FA21" s="4"/>
      <x:c r="FB21" s="4"/>
      <x:c r="FC21" s="4"/>
      <x:c r="FD21" s="4"/>
      <x:c r="FE21" s="4"/>
      <x:c r="FF21" s="4"/>
      <x:c r="FG21" s="4"/>
      <x:c r="FH21" s="4"/>
      <x:c r="FI21" s="4"/>
      <x:c r="FJ21" s="4"/>
      <x:c r="FK21" s="4"/>
      <x:c r="FL21" s="4"/>
      <x:c r="FM21" s="4"/>
      <x:c r="FN21" s="4"/>
      <x:c r="FO21" s="4"/>
    </x:row>
    <x:row r="22" ht="18" customHeight="1">
      <x:c r="A22" s="3"/>
      <x:c r="B22" s="3"/>
      <x:c r="C22" s="3"/>
      <x:c r="D22" s="3"/>
      <x:c r="E22" s="3"/>
      <x:c r="F22" s="3"/>
      <x:c r="G22" s="3"/>
      <x:c r="H22" s="3"/>
      <x:c r="I22" s="3"/>
      <x:c r="J22" s="3"/>
      <x:c r="K22" s="3"/>
      <x:c r="L22" s="3"/>
      <x:c r="M22" s="3"/>
      <x:c r="N22" s="3"/>
      <x:c r="O22" s="3"/>
      <x:c r="P22" s="3"/>
      <x:c r="Q22" s="3"/>
      <x:c r="R22" s="3"/>
      <x:c r="S22" s="3"/>
      <x:c r="T22" s="3"/>
      <x:c r="U22" s="3"/>
      <x:c r="V22" s="3"/>
      <x:c r="W22" s="3"/>
      <x:c r="X22" s="3"/>
      <x:c r="Y22" s="3"/>
      <x:c r="Z22" s="3"/>
      <x:c r="AA22" s="3"/>
      <x:c r="AB22" s="3"/>
      <x:c r="AC22" s="3"/>
      <x:c r="AD22" s="3"/>
      <x:c r="AE22" s="77"/>
      <x:c r="AF22" s="75"/>
      <x:c r="AG22" s="75"/>
      <x:c r="AH22" s="75"/>
      <x:c r="AI22" s="75"/>
      <x:c r="AJ22" s="75"/>
      <x:c r="AK22" s="75"/>
      <x:c r="AL22" s="75"/>
      <x:c r="AM22" s="75"/>
      <x:c r="AN22" s="75"/>
      <x:c r="AO22" s="75"/>
      <x:c r="AP22" s="75"/>
      <x:c r="AQ22" s="75"/>
      <x:c r="AR22" s="75"/>
      <x:c r="AS22" s="75"/>
      <x:c r="AT22" s="75"/>
      <x:c r="AU22" s="75"/>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4"/>
      <x:c r="DQ22" s="4"/>
      <x:c r="DR22" s="4"/>
      <x:c r="DS22" s="4"/>
      <x:c r="DT22" s="4"/>
      <x:c r="DU22" s="4"/>
      <x:c r="DV22" s="4"/>
      <x:c r="DW22" s="4"/>
      <x:c r="DX22" s="4"/>
      <x:c r="DY22" s="4"/>
      <x:c r="DZ22" s="4"/>
      <x:c r="EA22" s="4"/>
      <x:c r="EB22" s="4"/>
      <x:c r="EC22" s="4"/>
      <x:c r="ED22" s="4"/>
      <x:c r="EE22" s="4"/>
      <x:c r="EF22" s="4"/>
      <x:c r="EG22" s="4"/>
      <x:c r="EH22" s="4"/>
      <x:c r="EI22" s="4"/>
      <x:c r="EJ22" s="4"/>
      <x:c r="EK22" s="4"/>
      <x:c r="EL22" s="4"/>
      <x:c r="EM22" s="4"/>
      <x:c r="EN22" s="4"/>
      <x:c r="EO22" s="4"/>
      <x:c r="EP22" s="4"/>
      <x:c r="EQ22" s="4"/>
      <x:c r="ER22" s="4"/>
      <x:c r="ES22" s="4"/>
      <x:c r="ET22" s="4"/>
      <x:c r="EU22" s="4"/>
      <x:c r="EV22" s="4"/>
      <x:c r="EW22" s="4"/>
      <x:c r="EX22" s="4"/>
      <x:c r="EY22" s="4"/>
      <x:c r="EZ22" s="4"/>
      <x:c r="FA22" s="4"/>
      <x:c r="FB22" s="4"/>
      <x:c r="FC22" s="4"/>
      <x:c r="FD22" s="4"/>
      <x:c r="FE22" s="4"/>
      <x:c r="FF22" s="4"/>
      <x:c r="FG22" s="4"/>
      <x:c r="FH22" s="4"/>
      <x:c r="FI22" s="4"/>
      <x:c r="FJ22" s="4"/>
      <x:c r="FK22" s="4"/>
      <x:c r="FL22" s="4"/>
      <x:c r="FM22" s="4"/>
      <x:c r="FN22" s="4"/>
      <x:c r="FO22" s="4"/>
    </x:row>
    <x:row r="23" ht="18" customHeight="1">
      <x:c r="A23" s="3"/>
      <x:c r="B23" s="3"/>
      <x:c r="C23" s="3"/>
      <x:c r="D23" s="3"/>
      <x:c r="E23" s="3"/>
      <x:c r="F23" s="3"/>
      <x:c r="G23" s="3"/>
      <x:c r="H23" s="3"/>
      <x:c r="I23" s="3"/>
      <x:c r="J23" s="3"/>
      <x:c r="K23" s="3"/>
      <x:c r="L23" s="3"/>
      <x:c r="M23" s="3"/>
      <x:c r="N23" s="3"/>
      <x:c r="O23" s="3"/>
      <x:c r="P23" s="3"/>
      <x:c r="Q23" s="3"/>
      <x:c r="R23" s="3"/>
      <x:c r="S23" s="3"/>
      <x:c r="T23" s="3"/>
      <x:c r="U23" s="3"/>
      <x:c r="V23" s="3"/>
      <x:c r="W23" s="3"/>
      <x:c r="X23" s="3"/>
      <x:c r="Y23" s="3"/>
      <x:c r="Z23" s="3"/>
      <x:c r="AA23" s="3"/>
      <x:c r="AB23" s="3"/>
      <x:c r="AC23" s="3"/>
      <x:c r="AD23" s="3"/>
      <x:c r="AE23" s="77"/>
      <x:c r="AF23" s="75"/>
      <x:c r="AG23" s="75"/>
      <x:c r="AH23" s="75"/>
      <x:c r="AI23" s="75"/>
      <x:c r="AJ23" s="75"/>
      <x:c r="AK23" s="75"/>
      <x:c r="AL23" s="75"/>
      <x:c r="AM23" s="75"/>
      <x:c r="AN23" s="75"/>
      <x:c r="AO23" s="75"/>
      <x:c r="AP23" s="75"/>
      <x:c r="AQ23" s="75"/>
      <x:c r="AR23" s="75"/>
      <x:c r="AS23" s="75"/>
      <x:c r="AT23" s="75"/>
      <x:c r="AU23" s="75"/>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4"/>
      <x:c r="DQ23" s="4"/>
      <x:c r="DR23" s="4"/>
      <x:c r="DS23" s="4"/>
      <x:c r="DT23" s="4"/>
      <x:c r="DU23" s="4"/>
      <x:c r="DV23" s="4"/>
      <x:c r="DW23" s="4"/>
      <x:c r="DX23" s="4"/>
      <x:c r="DY23" s="4"/>
      <x:c r="DZ23" s="4"/>
      <x:c r="EA23" s="4"/>
      <x:c r="EB23" s="4"/>
      <x:c r="EC23" s="4"/>
      <x:c r="ED23" s="4"/>
      <x:c r="EE23" s="4"/>
      <x:c r="EF23" s="4"/>
      <x:c r="EG23" s="4"/>
      <x:c r="EH23" s="4"/>
      <x:c r="EI23" s="4"/>
      <x:c r="EJ23" s="4"/>
      <x:c r="EK23" s="4"/>
      <x:c r="EL23" s="4"/>
      <x:c r="EM23" s="4"/>
      <x:c r="EN23" s="4"/>
      <x:c r="EO23" s="4"/>
      <x:c r="EP23" s="4"/>
      <x:c r="EQ23" s="4"/>
      <x:c r="ER23" s="4"/>
      <x:c r="ES23" s="4"/>
      <x:c r="ET23" s="4"/>
      <x:c r="EU23" s="4"/>
      <x:c r="EV23" s="4"/>
      <x:c r="EW23" s="4"/>
      <x:c r="EX23" s="4"/>
      <x:c r="EY23" s="4"/>
      <x:c r="EZ23" s="4"/>
      <x:c r="FA23" s="4"/>
      <x:c r="FB23" s="4"/>
      <x:c r="FC23" s="4"/>
      <x:c r="FD23" s="4"/>
      <x:c r="FE23" s="4"/>
      <x:c r="FF23" s="4"/>
      <x:c r="FG23" s="4"/>
      <x:c r="FH23" s="4"/>
      <x:c r="FI23" s="4"/>
      <x:c r="FJ23" s="4"/>
      <x:c r="FK23" s="4"/>
      <x:c r="FL23" s="4"/>
      <x:c r="FM23" s="4"/>
      <x:c r="FN23" s="4"/>
      <x:c r="FO23" s="4"/>
    </x:row>
    <x:row r="24" ht="18" customHeight="1">
      <x:c r="A24" s="3"/>
      <x:c r="B24" s="3"/>
      <x:c r="C24" s="3"/>
      <x:c r="D24" s="3"/>
      <x:c r="E24" s="3"/>
      <x:c r="F24" s="3"/>
      <x:c r="G24" s="3"/>
      <x:c r="H24" s="3"/>
      <x:c r="I24" s="3"/>
      <x:c r="J24" s="3"/>
      <x:c r="K24" s="3"/>
      <x:c r="L24" s="3"/>
      <x:c r="M24" s="3"/>
      <x:c r="N24" s="3"/>
      <x:c r="O24" s="3"/>
      <x:c r="P24" s="3"/>
      <x:c r="Q24" s="3"/>
      <x:c r="R24" s="3"/>
      <x:c r="S24" s="3"/>
      <x:c r="T24" s="3"/>
      <x:c r="U24" s="3"/>
      <x:c r="V24" s="3"/>
      <x:c r="W24" s="3"/>
      <x:c r="X24" s="3"/>
      <x:c r="Y24" s="3"/>
      <x:c r="Z24" s="3"/>
      <x:c r="AA24" s="3"/>
      <x:c r="AB24" s="3"/>
      <x:c r="AC24" s="3"/>
      <x:c r="AD24" s="3"/>
      <x:c r="AE24" s="77"/>
      <x:c r="AF24" s="75"/>
      <x:c r="AG24" s="75"/>
      <x:c r="AH24" s="75"/>
      <x:c r="AI24" s="75"/>
      <x:c r="AJ24" s="75"/>
      <x:c r="AK24" s="75"/>
      <x:c r="AL24" s="75"/>
      <x:c r="AM24" s="75"/>
      <x:c r="AN24" s="75"/>
      <x:c r="AO24" s="75"/>
      <x:c r="AP24" s="75"/>
      <x:c r="AQ24" s="75"/>
      <x:c r="AR24" s="75"/>
      <x:c r="AS24" s="75"/>
      <x:c r="AT24" s="75"/>
      <x:c r="AU24" s="75"/>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4"/>
      <x:c r="DQ24" s="4"/>
      <x:c r="DR24" s="4"/>
      <x:c r="DS24" s="4"/>
      <x:c r="DT24" s="4"/>
      <x:c r="DU24" s="4"/>
      <x:c r="DV24" s="4"/>
      <x:c r="DW24" s="4"/>
      <x:c r="DX24" s="4"/>
      <x:c r="DY24" s="4"/>
      <x:c r="DZ24" s="4"/>
      <x:c r="EA24" s="4"/>
      <x:c r="EB24" s="4"/>
      <x:c r="EC24" s="4"/>
      <x:c r="ED24" s="4"/>
      <x:c r="EE24" s="4"/>
      <x:c r="EF24" s="4"/>
      <x:c r="EG24" s="4"/>
      <x:c r="EH24" s="4"/>
      <x:c r="EI24" s="4"/>
      <x:c r="EJ24" s="4"/>
      <x:c r="EK24" s="4"/>
      <x:c r="EL24" s="4"/>
      <x:c r="EM24" s="4"/>
      <x:c r="EN24" s="4"/>
      <x:c r="EO24" s="4"/>
      <x:c r="EP24" s="4"/>
      <x:c r="EQ24" s="4"/>
      <x:c r="ER24" s="4"/>
      <x:c r="ES24" s="4"/>
      <x:c r="ET24" s="4"/>
      <x:c r="EU24" s="4"/>
      <x:c r="EV24" s="4"/>
      <x:c r="EW24" s="4"/>
      <x:c r="EX24" s="4"/>
      <x:c r="EY24" s="4"/>
      <x:c r="EZ24" s="4"/>
      <x:c r="FA24" s="4"/>
      <x:c r="FB24" s="4"/>
      <x:c r="FC24" s="4"/>
      <x:c r="FD24" s="4"/>
      <x:c r="FE24" s="4"/>
      <x:c r="FF24" s="4"/>
      <x:c r="FG24" s="4"/>
      <x:c r="FH24" s="4"/>
      <x:c r="FI24" s="4"/>
      <x:c r="FJ24" s="4"/>
      <x:c r="FK24" s="4"/>
      <x:c r="FL24" s="4"/>
      <x:c r="FM24" s="4"/>
      <x:c r="FN24" s="4"/>
      <x:c r="FO24" s="4"/>
    </x:row>
    <x:row r="25" ht="18" customHeight="1">
      <x:c r="A25" s="3"/>
      <x:c r="B25" s="3"/>
      <x:c r="C25" s="3"/>
      <x:c r="D25" s="3"/>
      <x:c r="E25" s="3"/>
      <x:c r="F25" s="3"/>
      <x:c r="G25" s="3"/>
      <x:c r="H25" s="3"/>
      <x:c r="I25" s="3"/>
      <x:c r="J25" s="3"/>
      <x:c r="K25" s="3"/>
      <x:c r="L25" s="3"/>
      <x:c r="M25" s="3"/>
      <x:c r="N25" s="3"/>
      <x:c r="O25" s="3"/>
      <x:c r="P25" s="3"/>
      <x:c r="Q25" s="3"/>
      <x:c r="R25" s="3"/>
      <x:c r="S25" s="3"/>
      <x:c r="T25" s="3"/>
      <x:c r="U25" s="3"/>
      <x:c r="V25" s="3"/>
      <x:c r="W25" s="3"/>
      <x:c r="X25" s="3"/>
      <x:c r="Y25" s="3"/>
      <x:c r="Z25" s="3"/>
      <x:c r="AA25" s="3"/>
      <x:c r="AB25" s="3"/>
      <x:c r="AC25" s="3"/>
      <x:c r="AD25" s="3"/>
      <x:c r="AE25" s="77"/>
      <x:c r="AF25" s="75"/>
      <x:c r="AG25" s="75"/>
      <x:c r="AH25" s="75"/>
      <x:c r="AI25" s="75"/>
      <x:c r="AJ25" s="75"/>
      <x:c r="AK25" s="75"/>
      <x:c r="AL25" s="75"/>
      <x:c r="AM25" s="75"/>
      <x:c r="AN25" s="75"/>
      <x:c r="AO25" s="75"/>
      <x:c r="AP25" s="75"/>
      <x:c r="AQ25" s="75"/>
      <x:c r="AR25" s="75"/>
      <x:c r="AS25" s="75"/>
      <x:c r="AT25" s="75"/>
      <x:c r="AU25" s="75"/>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4"/>
      <x:c r="DQ25" s="4"/>
      <x:c r="DR25" s="4"/>
      <x:c r="DS25" s="4"/>
      <x:c r="DT25" s="4"/>
      <x:c r="DU25" s="4"/>
      <x:c r="DV25" s="4"/>
      <x:c r="DW25" s="4"/>
      <x:c r="DX25" s="4"/>
      <x:c r="DY25" s="4"/>
      <x:c r="DZ25" s="4"/>
      <x:c r="EA25" s="4"/>
      <x:c r="EB25" s="4"/>
      <x:c r="EC25" s="4"/>
      <x:c r="ED25" s="4"/>
      <x:c r="EE25" s="4"/>
      <x:c r="EF25" s="4"/>
      <x:c r="EG25" s="4"/>
      <x:c r="EH25" s="4"/>
      <x:c r="EI25" s="4"/>
      <x:c r="EJ25" s="4"/>
      <x:c r="EK25" s="4"/>
      <x:c r="EL25" s="4"/>
      <x:c r="EM25" s="4"/>
      <x:c r="EN25" s="4"/>
      <x:c r="EO25" s="4"/>
      <x:c r="EP25" s="4"/>
      <x:c r="EQ25" s="4"/>
      <x:c r="ER25" s="4"/>
      <x:c r="ES25" s="4"/>
      <x:c r="ET25" s="4"/>
      <x:c r="EU25" s="4"/>
      <x:c r="EV25" s="4"/>
      <x:c r="EW25" s="4"/>
      <x:c r="EX25" s="4"/>
      <x:c r="EY25" s="4"/>
      <x:c r="EZ25" s="4"/>
      <x:c r="FA25" s="4"/>
      <x:c r="FB25" s="4"/>
      <x:c r="FC25" s="4"/>
      <x:c r="FD25" s="4"/>
      <x:c r="FE25" s="4"/>
      <x:c r="FF25" s="4"/>
      <x:c r="FG25" s="4"/>
      <x:c r="FH25" s="4"/>
      <x:c r="FI25" s="4"/>
      <x:c r="FJ25" s="4"/>
      <x:c r="FK25" s="4"/>
      <x:c r="FL25" s="4"/>
      <x:c r="FM25" s="4"/>
      <x:c r="FN25" s="4"/>
      <x:c r="FO25" s="4"/>
    </x:row>
    <x:row r="26" ht="18" customHeight="1">
      <x:c r="A26" s="3"/>
      <x:c r="B26" s="3"/>
      <x:c r="C26" s="3"/>
      <x:c r="D26" s="3"/>
      <x:c r="E26" s="3"/>
      <x:c r="F26" s="3"/>
      <x:c r="G26" s="3"/>
      <x:c r="H26" s="3"/>
      <x:c r="I26" s="3"/>
      <x:c r="J26" s="3"/>
      <x:c r="K26" s="3"/>
      <x:c r="L26" s="3"/>
      <x:c r="M26" s="3"/>
      <x:c r="N26" s="3"/>
      <x:c r="O26" s="3"/>
      <x:c r="P26" s="3"/>
      <x:c r="Q26" s="3"/>
      <x:c r="R26" s="3"/>
      <x:c r="S26" s="3"/>
      <x:c r="T26" s="3"/>
      <x:c r="U26" s="3"/>
      <x:c r="V26" s="3"/>
      <x:c r="W26" s="3"/>
      <x:c r="X26" s="3"/>
      <x:c r="Y26" s="3"/>
      <x:c r="Z26" s="3"/>
      <x:c r="AA26" s="3"/>
      <x:c r="AB26" s="3"/>
      <x:c r="AC26" s="3"/>
      <x:c r="AD26" s="3"/>
      <x:c r="AE26" s="77"/>
      <x:c r="AF26" s="75"/>
      <x:c r="AG26" s="75"/>
      <x:c r="AH26" s="75"/>
      <x:c r="AI26" s="75"/>
      <x:c r="AJ26" s="75"/>
      <x:c r="AK26" s="75"/>
      <x:c r="AL26" s="75"/>
      <x:c r="AM26" s="75"/>
      <x:c r="AN26" s="75"/>
      <x:c r="AO26" s="75"/>
      <x:c r="AP26" s="75"/>
      <x:c r="AQ26" s="75"/>
      <x:c r="AR26" s="75"/>
      <x:c r="AS26" s="75"/>
      <x:c r="AT26" s="75"/>
      <x:c r="AU26" s="75"/>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4"/>
      <x:c r="DQ26" s="4"/>
      <x:c r="DR26" s="4"/>
      <x:c r="DS26" s="4"/>
      <x:c r="DT26" s="4"/>
      <x:c r="DU26" s="4"/>
      <x:c r="DV26" s="4"/>
      <x:c r="DW26" s="4"/>
      <x:c r="DX26" s="4"/>
      <x:c r="DY26" s="4"/>
      <x:c r="DZ26" s="4"/>
      <x:c r="EA26" s="4"/>
      <x:c r="EB26" s="4"/>
      <x:c r="EC26" s="4"/>
      <x:c r="ED26" s="4"/>
      <x:c r="EE26" s="4"/>
      <x:c r="EF26" s="4"/>
      <x:c r="EG26" s="4"/>
      <x:c r="EH26" s="4"/>
      <x:c r="EI26" s="4"/>
      <x:c r="EJ26" s="4"/>
      <x:c r="EK26" s="4"/>
      <x:c r="EL26" s="4"/>
      <x:c r="EM26" s="4"/>
      <x:c r="EN26" s="4"/>
      <x:c r="EO26" s="4"/>
      <x:c r="EP26" s="4"/>
      <x:c r="EQ26" s="4"/>
      <x:c r="ER26" s="4"/>
      <x:c r="ES26" s="4"/>
      <x:c r="ET26" s="4"/>
      <x:c r="EU26" s="4"/>
      <x:c r="EV26" s="4"/>
      <x:c r="EW26" s="4"/>
      <x:c r="EX26" s="4"/>
      <x:c r="EY26" s="4"/>
      <x:c r="EZ26" s="4"/>
      <x:c r="FA26" s="4"/>
      <x:c r="FB26" s="4"/>
      <x:c r="FC26" s="4"/>
      <x:c r="FD26" s="4"/>
      <x:c r="FE26" s="4"/>
      <x:c r="FF26" s="4"/>
      <x:c r="FG26" s="4"/>
      <x:c r="FH26" s="4"/>
      <x:c r="FI26" s="4"/>
      <x:c r="FJ26" s="4"/>
      <x:c r="FK26" s="4"/>
      <x:c r="FL26" s="4"/>
      <x:c r="FM26" s="4"/>
      <x:c r="FN26" s="4"/>
      <x:c r="FO26" s="4"/>
    </x:row>
    <x:row r="27" ht="18" customHeight="1">
      <x:c r="A27" s="3"/>
      <x:c r="B27" s="3"/>
      <x:c r="C27" s="3"/>
      <x:c r="D27" s="3"/>
      <x:c r="E27" s="3"/>
      <x:c r="F27" s="3"/>
      <x:c r="G27" s="3"/>
      <x:c r="H27" s="3"/>
      <x:c r="I27" s="3"/>
      <x:c r="J27" s="3"/>
      <x:c r="K27" s="3"/>
      <x:c r="L27" s="3"/>
      <x:c r="M27" s="3"/>
      <x:c r="N27" s="3"/>
      <x:c r="O27" s="3"/>
      <x:c r="P27" s="3"/>
      <x:c r="Q27" s="3"/>
      <x:c r="R27" s="3"/>
      <x:c r="S27" s="3"/>
      <x:c r="T27" s="3"/>
      <x:c r="U27" s="3"/>
      <x:c r="V27" s="3"/>
      <x:c r="W27" s="3"/>
      <x:c r="X27" s="3"/>
      <x:c r="Y27" s="3"/>
      <x:c r="Z27" s="3"/>
      <x:c r="AA27" s="3"/>
      <x:c r="AB27" s="3"/>
      <x:c r="AC27" s="3"/>
      <x:c r="AD27" s="3"/>
      <x:c r="AE27" s="77"/>
      <x:c r="AF27" s="75"/>
      <x:c r="AG27" s="75"/>
      <x:c r="AH27" s="75"/>
      <x:c r="AI27" s="75"/>
      <x:c r="AJ27" s="75"/>
      <x:c r="AK27" s="75"/>
      <x:c r="AL27" s="75"/>
      <x:c r="AM27" s="75"/>
      <x:c r="AN27" s="75"/>
      <x:c r="AO27" s="75"/>
      <x:c r="AP27" s="75"/>
      <x:c r="AQ27" s="75"/>
      <x:c r="AR27" s="75"/>
      <x:c r="AS27" s="75"/>
      <x:c r="AT27" s="75"/>
      <x:c r="AU27" s="75"/>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4"/>
      <x:c r="DQ27" s="4"/>
      <x:c r="DR27" s="4"/>
      <x:c r="DS27" s="4"/>
      <x:c r="DT27" s="4"/>
      <x:c r="DU27" s="4"/>
      <x:c r="DV27" s="4"/>
      <x:c r="DW27" s="4"/>
      <x:c r="DX27" s="4"/>
      <x:c r="DY27" s="4"/>
      <x:c r="DZ27" s="4"/>
      <x:c r="EA27" s="4"/>
      <x:c r="EB27" s="4"/>
      <x:c r="EC27" s="4"/>
      <x:c r="ED27" s="4"/>
      <x:c r="EE27" s="4"/>
      <x:c r="EF27" s="4"/>
      <x:c r="EG27" s="4"/>
      <x:c r="EH27" s="4"/>
      <x:c r="EI27" s="4"/>
      <x:c r="EJ27" s="4"/>
      <x:c r="EK27" s="4"/>
      <x:c r="EL27" s="4"/>
      <x:c r="EM27" s="4"/>
      <x:c r="EN27" s="4"/>
      <x:c r="EO27" s="4"/>
      <x:c r="EP27" s="4"/>
      <x:c r="EQ27" s="4"/>
      <x:c r="ER27" s="4"/>
      <x:c r="ES27" s="4"/>
      <x:c r="ET27" s="4"/>
      <x:c r="EU27" s="4"/>
      <x:c r="EV27" s="4"/>
      <x:c r="EW27" s="4"/>
      <x:c r="EX27" s="4"/>
      <x:c r="EY27" s="4"/>
      <x:c r="EZ27" s="4"/>
      <x:c r="FA27" s="4"/>
      <x:c r="FB27" s="4"/>
      <x:c r="FC27" s="4"/>
      <x:c r="FD27" s="4"/>
      <x:c r="FE27" s="4"/>
      <x:c r="FF27" s="4"/>
      <x:c r="FG27" s="4"/>
      <x:c r="FH27" s="4"/>
      <x:c r="FI27" s="4"/>
      <x:c r="FJ27" s="4"/>
      <x:c r="FK27" s="4"/>
      <x:c r="FL27" s="4"/>
      <x:c r="FM27" s="4"/>
      <x:c r="FN27" s="4"/>
      <x:c r="FO27" s="4"/>
    </x:row>
    <x:row r="28" ht="18" customHeight="1">
      <x:c r="A28" s="3"/>
      <x:c r="B28" s="3"/>
      <x:c r="C28" s="3"/>
      <x:c r="D28" s="3"/>
      <x:c r="E28" s="3"/>
      <x:c r="F28" s="3"/>
      <x:c r="G28" s="3"/>
      <x:c r="H28" s="3"/>
      <x:c r="I28" s="3"/>
      <x:c r="J28" s="3"/>
      <x:c r="K28" s="3"/>
      <x:c r="L28" s="3"/>
      <x:c r="M28" s="3"/>
      <x:c r="N28" s="3"/>
      <x:c r="O28" s="3"/>
      <x:c r="P28" s="3"/>
      <x:c r="Q28" s="3"/>
      <x:c r="R28" s="3"/>
      <x:c r="S28" s="3"/>
      <x:c r="T28" s="3"/>
      <x:c r="U28" s="3"/>
      <x:c r="V28" s="3"/>
      <x:c r="W28" s="3"/>
      <x:c r="X28" s="3"/>
      <x:c r="Y28" s="3"/>
      <x:c r="Z28" s="3"/>
      <x:c r="AA28" s="3"/>
      <x:c r="AB28" s="3"/>
      <x:c r="AC28" s="3"/>
      <x:c r="AD28" s="3"/>
      <x:c r="AE28" s="77"/>
      <x:c r="AF28" s="75"/>
      <x:c r="AG28" s="75"/>
      <x:c r="AH28" s="75"/>
      <x:c r="AI28" s="75"/>
      <x:c r="AJ28" s="75"/>
      <x:c r="AK28" s="75"/>
      <x:c r="AL28" s="75"/>
      <x:c r="AM28" s="75"/>
      <x:c r="AN28" s="75"/>
      <x:c r="AO28" s="75"/>
      <x:c r="AP28" s="75"/>
      <x:c r="AQ28" s="75"/>
      <x:c r="AR28" s="75"/>
      <x:c r="AS28" s="75"/>
      <x:c r="AT28" s="75"/>
      <x:c r="AU28" s="75"/>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4"/>
      <x:c r="DQ28" s="4"/>
      <x:c r="DR28" s="4"/>
      <x:c r="DS28" s="4"/>
      <x:c r="DT28" s="4"/>
      <x:c r="DU28" s="4"/>
      <x:c r="DV28" s="4"/>
      <x:c r="DW28" s="4"/>
      <x:c r="DX28" s="4"/>
      <x:c r="DY28" s="4"/>
      <x:c r="DZ28" s="4"/>
      <x:c r="EA28" s="4"/>
      <x:c r="EB28" s="4"/>
      <x:c r="EC28" s="4"/>
      <x:c r="ED28" s="4"/>
      <x:c r="EE28" s="4"/>
      <x:c r="EF28" s="4"/>
      <x:c r="EG28" s="4"/>
      <x:c r="EH28" s="4"/>
      <x:c r="EI28" s="4"/>
      <x:c r="EJ28" s="4"/>
      <x:c r="EK28" s="4"/>
      <x:c r="EL28" s="4"/>
      <x:c r="EM28" s="4"/>
      <x:c r="EN28" s="4"/>
      <x:c r="EO28" s="4"/>
      <x:c r="EP28" s="4"/>
      <x:c r="EQ28" s="4"/>
      <x:c r="ER28" s="4"/>
      <x:c r="ES28" s="4"/>
      <x:c r="ET28" s="4"/>
      <x:c r="EU28" s="4"/>
      <x:c r="EV28" s="4"/>
      <x:c r="EW28" s="4"/>
      <x:c r="EX28" s="4"/>
      <x:c r="EY28" s="4"/>
      <x:c r="EZ28" s="4"/>
      <x:c r="FA28" s="4"/>
      <x:c r="FB28" s="4"/>
      <x:c r="FC28" s="4"/>
      <x:c r="FD28" s="4"/>
      <x:c r="FE28" s="4"/>
      <x:c r="FF28" s="4"/>
      <x:c r="FG28" s="4"/>
      <x:c r="FH28" s="4"/>
      <x:c r="FI28" s="4"/>
      <x:c r="FJ28" s="4"/>
      <x:c r="FK28" s="4"/>
      <x:c r="FL28" s="4"/>
      <x:c r="FM28" s="4"/>
      <x:c r="FN28" s="4"/>
      <x:c r="FO28" s="4"/>
    </x:row>
    <x:row r="29" ht="18" customHeight="1">
      <x:c r="A29" s="3"/>
      <x:c r="B29" s="3"/>
      <x:c r="C29" s="3"/>
      <x:c r="D29" s="3"/>
      <x:c r="E29" s="3"/>
      <x:c r="F29" s="3"/>
      <x:c r="G29" s="3"/>
      <x:c r="H29" s="3"/>
      <x:c r="I29" s="3"/>
      <x:c r="J29" s="3"/>
      <x:c r="K29" s="3"/>
      <x:c r="L29" s="3"/>
      <x:c r="M29" s="3"/>
      <x:c r="N29" s="3"/>
      <x:c r="O29" s="3"/>
      <x:c r="P29" s="3"/>
      <x:c r="Q29" s="3"/>
      <x:c r="R29" s="3"/>
      <x:c r="S29" s="3"/>
      <x:c r="T29" s="3"/>
      <x:c r="U29" s="3"/>
      <x:c r="V29" s="3"/>
      <x:c r="W29" s="3"/>
      <x:c r="X29" s="3"/>
      <x:c r="Y29" s="3"/>
      <x:c r="Z29" s="3"/>
      <x:c r="AA29" s="3"/>
      <x:c r="AB29" s="3"/>
      <x:c r="AC29" s="3"/>
      <x:c r="AD29" s="3"/>
      <x:c r="AE29" s="77"/>
      <x:c r="AF29" s="75"/>
      <x:c r="AG29" s="75"/>
      <x:c r="AH29" s="75"/>
      <x:c r="AI29" s="75"/>
      <x:c r="AJ29" s="75"/>
      <x:c r="AK29" s="75"/>
      <x:c r="AL29" s="75"/>
      <x:c r="AM29" s="75"/>
      <x:c r="AN29" s="75"/>
      <x:c r="AO29" s="75"/>
      <x:c r="AP29" s="75"/>
      <x:c r="AQ29" s="75"/>
      <x:c r="AR29" s="75"/>
      <x:c r="AS29" s="75"/>
      <x:c r="AT29" s="75"/>
      <x:c r="AU29" s="75"/>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4"/>
      <x:c r="DQ29" s="4"/>
      <x:c r="DR29" s="4"/>
      <x:c r="DS29" s="4"/>
      <x:c r="DT29" s="4"/>
      <x:c r="DU29" s="4"/>
      <x:c r="DV29" s="4"/>
      <x:c r="DW29" s="4"/>
      <x:c r="DX29" s="4"/>
      <x:c r="DY29" s="4"/>
      <x:c r="DZ29" s="4"/>
      <x:c r="EA29" s="4"/>
      <x:c r="EB29" s="4"/>
      <x:c r="EC29" s="4"/>
      <x:c r="ED29" s="4"/>
      <x:c r="EE29" s="4"/>
      <x:c r="EF29" s="4"/>
      <x:c r="EG29" s="4"/>
      <x:c r="EH29" s="4"/>
      <x:c r="EI29" s="4"/>
      <x:c r="EJ29" s="4"/>
      <x:c r="EK29" s="4"/>
      <x:c r="EL29" s="4"/>
      <x:c r="EM29" s="4"/>
      <x:c r="EN29" s="4"/>
      <x:c r="EO29" s="4"/>
      <x:c r="EP29" s="4"/>
      <x:c r="EQ29" s="4"/>
      <x:c r="ER29" s="4"/>
      <x:c r="ES29" s="4"/>
      <x:c r="ET29" s="4"/>
      <x:c r="EU29" s="4"/>
      <x:c r="EV29" s="4"/>
      <x:c r="EW29" s="4"/>
      <x:c r="EX29" s="4"/>
      <x:c r="EY29" s="4"/>
      <x:c r="EZ29" s="4"/>
      <x:c r="FA29" s="4"/>
      <x:c r="FB29" s="4"/>
      <x:c r="FC29" s="4"/>
      <x:c r="FD29" s="4"/>
      <x:c r="FE29" s="4"/>
      <x:c r="FF29" s="4"/>
      <x:c r="FG29" s="4"/>
      <x:c r="FH29" s="4"/>
      <x:c r="FI29" s="4"/>
      <x:c r="FJ29" s="4"/>
      <x:c r="FK29" s="4"/>
      <x:c r="FL29" s="4"/>
      <x:c r="FM29" s="4"/>
      <x:c r="FN29" s="4"/>
      <x:c r="FO29" s="4"/>
    </x:row>
    <x:row r="30" ht="18" customHeight="1">
      <x:c r="A30" s="3"/>
      <x:c r="B30" s="3"/>
      <x:c r="C30" s="3"/>
      <x:c r="D30" s="3"/>
      <x:c r="E30" s="3"/>
      <x:c r="F30" s="3"/>
      <x:c r="G30" s="3"/>
      <x:c r="H30" s="3"/>
      <x:c r="I30" s="3"/>
      <x:c r="J30" s="3"/>
      <x:c r="K30" s="3"/>
      <x:c r="L30" s="3"/>
      <x:c r="M30" s="3"/>
      <x:c r="N30" s="3"/>
      <x:c r="O30" s="3"/>
      <x:c r="P30" s="3"/>
      <x:c r="Q30" s="3"/>
      <x:c r="R30" s="3"/>
      <x:c r="S30" s="3"/>
      <x:c r="T30" s="3"/>
      <x:c r="U30" s="3"/>
      <x:c r="V30" s="3"/>
      <x:c r="W30" s="3"/>
      <x:c r="X30" s="3"/>
      <x:c r="Y30" s="3"/>
      <x:c r="Z30" s="3"/>
      <x:c r="AA30" s="3"/>
      <x:c r="AB30" s="3"/>
      <x:c r="AC30" s="3"/>
      <x:c r="AD30" s="3"/>
      <x:c r="AE30" s="77"/>
      <x:c r="AF30" s="75"/>
      <x:c r="AG30" s="75"/>
      <x:c r="AH30" s="75"/>
      <x:c r="AI30" s="75"/>
      <x:c r="AJ30" s="75"/>
      <x:c r="AK30" s="75"/>
      <x:c r="AL30" s="75"/>
      <x:c r="AM30" s="75"/>
      <x:c r="AN30" s="75"/>
      <x:c r="AO30" s="75"/>
      <x:c r="AP30" s="75"/>
      <x:c r="AQ30" s="75"/>
      <x:c r="AR30" s="75"/>
      <x:c r="AS30" s="75"/>
      <x:c r="AT30" s="75"/>
      <x:c r="AU30" s="75"/>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4"/>
      <x:c r="DQ30" s="4"/>
      <x:c r="DR30" s="4"/>
      <x:c r="DS30" s="4"/>
      <x:c r="DT30" s="4"/>
      <x:c r="DU30" s="4"/>
      <x:c r="DV30" s="4"/>
      <x:c r="DW30" s="4"/>
      <x:c r="DX30" s="4"/>
      <x:c r="DY30" s="4"/>
      <x:c r="DZ30" s="4"/>
      <x:c r="EA30" s="4"/>
      <x:c r="EB30" s="4"/>
      <x:c r="EC30" s="4"/>
      <x:c r="ED30" s="4"/>
      <x:c r="EE30" s="4"/>
      <x:c r="EF30" s="4"/>
      <x:c r="EG30" s="4"/>
      <x:c r="EH30" s="4"/>
      <x:c r="EI30" s="4"/>
      <x:c r="EJ30" s="4"/>
      <x:c r="EK30" s="4"/>
      <x:c r="EL30" s="4"/>
      <x:c r="EM30" s="4"/>
      <x:c r="EN30" s="4"/>
      <x:c r="EO30" s="4"/>
      <x:c r="EP30" s="4"/>
      <x:c r="EQ30" s="4"/>
      <x:c r="ER30" s="4"/>
      <x:c r="ES30" s="4"/>
      <x:c r="ET30" s="4"/>
      <x:c r="EU30" s="4"/>
      <x:c r="EV30" s="4"/>
      <x:c r="EW30" s="4"/>
      <x:c r="EX30" s="4"/>
      <x:c r="EY30" s="4"/>
      <x:c r="EZ30" s="4"/>
      <x:c r="FA30" s="4"/>
      <x:c r="FB30" s="4"/>
      <x:c r="FC30" s="4"/>
      <x:c r="FD30" s="4"/>
      <x:c r="FE30" s="4"/>
      <x:c r="FF30" s="4"/>
      <x:c r="FG30" s="4"/>
      <x:c r="FH30" s="4"/>
      <x:c r="FI30" s="4"/>
      <x:c r="FJ30" s="4"/>
      <x:c r="FK30" s="4"/>
      <x:c r="FL30" s="4"/>
      <x:c r="FM30" s="4"/>
      <x:c r="FN30" s="4"/>
      <x:c r="FO30" s="4"/>
    </x:row>
    <x:row r="31" ht="18" customHeight="1">
      <x:c r="A31" s="3"/>
      <x:c r="B31" s="3"/>
      <x:c r="C31" s="3"/>
      <x:c r="D31" s="3"/>
      <x:c r="E31" s="3"/>
      <x:c r="F31" s="3"/>
      <x:c r="G31" s="3"/>
      <x:c r="H31" s="3"/>
      <x:c r="I31" s="3"/>
      <x:c r="J31" s="3"/>
      <x:c r="K31" s="3"/>
      <x:c r="L31" s="3"/>
      <x:c r="M31" s="3"/>
      <x:c r="N31" s="3"/>
      <x:c r="O31" s="3"/>
      <x:c r="P31" s="3"/>
      <x:c r="Q31" s="3"/>
      <x:c r="R31" s="3"/>
      <x:c r="S31" s="3"/>
      <x:c r="T31" s="3"/>
      <x:c r="U31" s="3"/>
      <x:c r="V31" s="3"/>
      <x:c r="W31" s="3"/>
      <x:c r="X31" s="3"/>
      <x:c r="Y31" s="3"/>
      <x:c r="Z31" s="3"/>
      <x:c r="AA31" s="3"/>
      <x:c r="AB31" s="3"/>
      <x:c r="AC31" s="3"/>
      <x:c r="AD31" s="3"/>
      <x:c r="AE31" s="77"/>
      <x:c r="AF31" s="75"/>
      <x:c r="AG31" s="75"/>
      <x:c r="AH31" s="75"/>
      <x:c r="AI31" s="75"/>
      <x:c r="AJ31" s="75"/>
      <x:c r="AK31" s="75"/>
      <x:c r="AL31" s="75"/>
      <x:c r="AM31" s="75"/>
      <x:c r="AN31" s="75"/>
      <x:c r="AO31" s="75"/>
      <x:c r="AP31" s="75"/>
      <x:c r="AQ31" s="75"/>
      <x:c r="AR31" s="75"/>
      <x:c r="AS31" s="75"/>
      <x:c r="AT31" s="75"/>
      <x:c r="AU31" s="75"/>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4"/>
      <x:c r="DQ31" s="4"/>
      <x:c r="DR31" s="4"/>
      <x:c r="DS31" s="4"/>
      <x:c r="DT31" s="4"/>
      <x:c r="DU31" s="4"/>
      <x:c r="DV31" s="4"/>
      <x:c r="DW31" s="4"/>
      <x:c r="DX31" s="4"/>
      <x:c r="DY31" s="4"/>
      <x:c r="DZ31" s="4"/>
      <x:c r="EA31" s="4"/>
      <x:c r="EB31" s="4"/>
      <x:c r="EC31" s="4"/>
      <x:c r="ED31" s="4"/>
      <x:c r="EE31" s="4"/>
      <x:c r="EF31" s="4"/>
      <x:c r="EG31" s="4"/>
      <x:c r="EH31" s="4"/>
      <x:c r="EI31" s="4"/>
      <x:c r="EJ31" s="4"/>
      <x:c r="EK31" s="4"/>
      <x:c r="EL31" s="4"/>
      <x:c r="EM31" s="4"/>
      <x:c r="EN31" s="4"/>
      <x:c r="EO31" s="4"/>
      <x:c r="EP31" s="4"/>
      <x:c r="EQ31" s="4"/>
      <x:c r="ER31" s="4"/>
      <x:c r="ES31" s="4"/>
      <x:c r="ET31" s="4"/>
      <x:c r="EU31" s="4"/>
      <x:c r="EV31" s="4"/>
      <x:c r="EW31" s="4"/>
      <x:c r="EX31" s="4"/>
      <x:c r="EY31" s="4"/>
      <x:c r="EZ31" s="4"/>
      <x:c r="FA31" s="4"/>
      <x:c r="FB31" s="4"/>
      <x:c r="FC31" s="4"/>
      <x:c r="FD31" s="4"/>
      <x:c r="FE31" s="4"/>
      <x:c r="FF31" s="4"/>
      <x:c r="FG31" s="4"/>
      <x:c r="FH31" s="4"/>
      <x:c r="FI31" s="4"/>
      <x:c r="FJ31" s="4"/>
      <x:c r="FK31" s="4"/>
      <x:c r="FL31" s="4"/>
      <x:c r="FM31" s="4"/>
      <x:c r="FN31" s="4"/>
      <x:c r="FO31" s="4"/>
    </x:row>
    <x:row r="32" ht="18" customHeight="1">
      <x:c r="A32" s="3"/>
      <x:c r="B32" s="3"/>
      <x:c r="C32" s="3"/>
      <x:c r="D32" s="3"/>
      <x:c r="E32" s="3"/>
      <x:c r="F32" s="3"/>
      <x:c r="G32" s="3"/>
      <x:c r="H32" s="3"/>
      <x:c r="I32" s="3"/>
      <x:c r="J32" s="3"/>
      <x:c r="K32" s="3"/>
      <x:c r="L32" s="3"/>
      <x:c r="M32" s="3"/>
      <x:c r="N32" s="3"/>
      <x:c r="O32" s="3"/>
      <x:c r="P32" s="3"/>
      <x:c r="Q32" s="3"/>
      <x:c r="R32" s="3"/>
      <x:c r="S32" s="3"/>
      <x:c r="T32" s="3"/>
      <x:c r="U32" s="3"/>
      <x:c r="V32" s="3"/>
      <x:c r="W32" s="3"/>
      <x:c r="X32" s="3"/>
      <x:c r="Y32" s="3"/>
      <x:c r="Z32" s="3"/>
      <x:c r="AA32" s="3"/>
      <x:c r="AB32" s="3"/>
      <x:c r="AC32" s="3"/>
      <x:c r="AD32" s="3"/>
      <x:c r="AE32" s="77"/>
      <x:c r="AF32" s="75"/>
      <x:c r="AG32" s="75"/>
      <x:c r="AH32" s="75"/>
      <x:c r="AI32" s="75"/>
      <x:c r="AJ32" s="75"/>
      <x:c r="AK32" s="75"/>
      <x:c r="AL32" s="75"/>
      <x:c r="AM32" s="75"/>
      <x:c r="AN32" s="75"/>
      <x:c r="AO32" s="75"/>
      <x:c r="AP32" s="75"/>
      <x:c r="AQ32" s="75"/>
      <x:c r="AR32" s="75"/>
      <x:c r="AS32" s="75"/>
      <x:c r="AT32" s="75"/>
      <x:c r="AU32" s="75"/>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4"/>
      <x:c r="DQ32" s="4"/>
      <x:c r="DR32" s="4"/>
      <x:c r="DS32" s="4"/>
      <x:c r="DT32" s="4"/>
      <x:c r="DU32" s="4"/>
      <x:c r="DV32" s="4"/>
      <x:c r="DW32" s="4"/>
      <x:c r="DX32" s="4"/>
      <x:c r="DY32" s="4"/>
      <x:c r="DZ32" s="4"/>
      <x:c r="EA32" s="4"/>
      <x:c r="EB32" s="4"/>
      <x:c r="EC32" s="4"/>
      <x:c r="ED32" s="4"/>
      <x:c r="EE32" s="4"/>
      <x:c r="EF32" s="4"/>
      <x:c r="EG32" s="4"/>
      <x:c r="EH32" s="4"/>
      <x:c r="EI32" s="4"/>
      <x:c r="EJ32" s="4"/>
      <x:c r="EK32" s="4"/>
      <x:c r="EL32" s="4"/>
      <x:c r="EM32" s="4"/>
      <x:c r="EN32" s="4"/>
      <x:c r="EO32" s="4"/>
      <x:c r="EP32" s="4"/>
      <x:c r="EQ32" s="4"/>
      <x:c r="ER32" s="4"/>
      <x:c r="ES32" s="4"/>
      <x:c r="ET32" s="4"/>
      <x:c r="EU32" s="4"/>
      <x:c r="EV32" s="4"/>
      <x:c r="EW32" s="4"/>
      <x:c r="EX32" s="4"/>
      <x:c r="EY32" s="4"/>
      <x:c r="EZ32" s="4"/>
      <x:c r="FA32" s="4"/>
      <x:c r="FB32" s="4"/>
      <x:c r="FC32" s="4"/>
      <x:c r="FD32" s="4"/>
      <x:c r="FE32" s="4"/>
      <x:c r="FF32" s="4"/>
      <x:c r="FG32" s="4"/>
      <x:c r="FH32" s="4"/>
      <x:c r="FI32" s="4"/>
      <x:c r="FJ32" s="4"/>
      <x:c r="FK32" s="4"/>
      <x:c r="FL32" s="4"/>
      <x:c r="FM32" s="4"/>
      <x:c r="FN32" s="4"/>
      <x:c r="FO32" s="4"/>
    </x:row>
    <x:row r="33" ht="18" customHeight="1">
      <x:c r="A33" s="3"/>
      <x:c r="B33" s="3"/>
      <x:c r="C33" s="3"/>
      <x:c r="D33" s="3"/>
      <x:c r="E33" s="3"/>
      <x:c r="F33" s="3"/>
      <x:c r="G33" s="3"/>
      <x:c r="H33" s="3"/>
      <x:c r="I33" s="3"/>
      <x:c r="J33" s="3"/>
      <x:c r="K33" s="3"/>
      <x:c r="L33" s="3"/>
      <x:c r="M33" s="3"/>
      <x:c r="N33" s="3"/>
      <x:c r="O33" s="3"/>
      <x:c r="P33" s="3"/>
      <x:c r="Q33" s="3"/>
      <x:c r="R33" s="3"/>
      <x:c r="S33" s="3"/>
      <x:c r="T33" s="3"/>
      <x:c r="U33" s="3"/>
      <x:c r="V33" s="3"/>
      <x:c r="W33" s="3"/>
      <x:c r="X33" s="3"/>
      <x:c r="Y33" s="3"/>
      <x:c r="Z33" s="3"/>
      <x:c r="AA33" s="3"/>
      <x:c r="AB33" s="3"/>
      <x:c r="AC33" s="3"/>
      <x:c r="AD33" s="3"/>
      <x:c r="AE33" s="77"/>
      <x:c r="AF33" s="75"/>
      <x:c r="AG33" s="75"/>
      <x:c r="AH33" s="75"/>
      <x:c r="AI33" s="75"/>
      <x:c r="AJ33" s="75"/>
      <x:c r="AK33" s="75"/>
      <x:c r="AL33" s="75"/>
      <x:c r="AM33" s="75"/>
      <x:c r="AN33" s="75"/>
      <x:c r="AO33" s="75"/>
      <x:c r="AP33" s="75"/>
      <x:c r="AQ33" s="75"/>
      <x:c r="AR33" s="75"/>
      <x:c r="AS33" s="75"/>
      <x:c r="AT33" s="75"/>
      <x:c r="AU33" s="75"/>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4"/>
      <x:c r="DQ33" s="4"/>
      <x:c r="DR33" s="4"/>
      <x:c r="DS33" s="4"/>
      <x:c r="DT33" s="4"/>
      <x:c r="DU33" s="4"/>
      <x:c r="DV33" s="4"/>
      <x:c r="DW33" s="4"/>
      <x:c r="DX33" s="4"/>
      <x:c r="DY33" s="4"/>
      <x:c r="DZ33" s="4"/>
      <x:c r="EA33" s="4"/>
      <x:c r="EB33" s="4"/>
      <x:c r="EC33" s="4"/>
      <x:c r="ED33" s="4"/>
      <x:c r="EE33" s="4"/>
      <x:c r="EF33" s="4"/>
      <x:c r="EG33" s="4"/>
      <x:c r="EH33" s="4"/>
      <x:c r="EI33" s="4"/>
      <x:c r="EJ33" s="4"/>
      <x:c r="EK33" s="4"/>
      <x:c r="EL33" s="4"/>
      <x:c r="EM33" s="4"/>
      <x:c r="EN33" s="4"/>
      <x:c r="EO33" s="4"/>
      <x:c r="EP33" s="4"/>
      <x:c r="EQ33" s="4"/>
      <x:c r="ER33" s="4"/>
      <x:c r="ES33" s="4"/>
      <x:c r="ET33" s="4"/>
      <x:c r="EU33" s="4"/>
      <x:c r="EV33" s="4"/>
      <x:c r="EW33" s="4"/>
      <x:c r="EX33" s="4"/>
      <x:c r="EY33" s="4"/>
      <x:c r="EZ33" s="4"/>
      <x:c r="FA33" s="4"/>
      <x:c r="FB33" s="4"/>
      <x:c r="FC33" s="4"/>
      <x:c r="FD33" s="4"/>
      <x:c r="FE33" s="4"/>
      <x:c r="FF33" s="4"/>
      <x:c r="FG33" s="4"/>
      <x:c r="FH33" s="4"/>
      <x:c r="FI33" s="4"/>
      <x:c r="FJ33" s="4"/>
      <x:c r="FK33" s="4"/>
      <x:c r="FL33" s="4"/>
      <x:c r="FM33" s="4"/>
      <x:c r="FN33" s="4"/>
      <x:c r="FO33" s="4"/>
    </x:row>
    <x:row r="34" ht="18" customHeight="1">
      <x:c r="A34" s="3"/>
      <x:c r="B34" s="3"/>
      <x:c r="C34" s="3"/>
      <x:c r="D34" s="3"/>
      <x:c r="E34" s="3"/>
      <x:c r="F34" s="3"/>
      <x:c r="G34" s="3"/>
      <x:c r="H34" s="3"/>
      <x:c r="I34" s="3"/>
      <x:c r="J34" s="3"/>
      <x:c r="K34" s="3"/>
      <x:c r="L34" s="3"/>
      <x:c r="M34" s="3"/>
      <x:c r="N34" s="3"/>
      <x:c r="O34" s="3"/>
      <x:c r="P34" s="3"/>
      <x:c r="Q34" s="3"/>
      <x:c r="R34" s="3"/>
      <x:c r="S34" s="3"/>
      <x:c r="T34" s="3"/>
      <x:c r="U34" s="3"/>
      <x:c r="V34" s="3"/>
      <x:c r="W34" s="3"/>
      <x:c r="X34" s="3"/>
      <x:c r="Y34" s="3"/>
      <x:c r="Z34" s="3"/>
      <x:c r="AA34" s="3"/>
      <x:c r="AB34" s="3"/>
      <x:c r="AC34" s="3"/>
      <x:c r="AD34" s="3"/>
      <x:c r="AE34" s="77"/>
      <x:c r="AF34" s="75"/>
      <x:c r="AG34" s="75"/>
      <x:c r="AH34" s="75"/>
      <x:c r="AI34" s="75"/>
      <x:c r="AJ34" s="75"/>
      <x:c r="AK34" s="75"/>
      <x:c r="AL34" s="75"/>
      <x:c r="AM34" s="75"/>
      <x:c r="AN34" s="75"/>
      <x:c r="AO34" s="75"/>
      <x:c r="AP34" s="75"/>
      <x:c r="AQ34" s="75"/>
      <x:c r="AR34" s="75"/>
      <x:c r="AS34" s="75"/>
      <x:c r="AT34" s="75"/>
      <x:c r="AU34" s="75"/>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4"/>
      <x:c r="DQ34" s="4"/>
      <x:c r="DR34" s="4"/>
      <x:c r="DS34" s="4"/>
      <x:c r="DT34" s="4"/>
      <x:c r="DU34" s="4"/>
      <x:c r="DV34" s="4"/>
      <x:c r="DW34" s="4"/>
      <x:c r="DX34" s="4"/>
      <x:c r="DY34" s="4"/>
      <x:c r="DZ34" s="4"/>
      <x:c r="EA34" s="4"/>
      <x:c r="EB34" s="4"/>
      <x:c r="EC34" s="4"/>
      <x:c r="ED34" s="4"/>
      <x:c r="EE34" s="4"/>
      <x:c r="EF34" s="4"/>
      <x:c r="EG34" s="4"/>
      <x:c r="EH34" s="4"/>
      <x:c r="EI34" s="4"/>
      <x:c r="EJ34" s="4"/>
      <x:c r="EK34" s="4"/>
      <x:c r="EL34" s="4"/>
      <x:c r="EM34" s="4"/>
      <x:c r="EN34" s="4"/>
      <x:c r="EO34" s="4"/>
      <x:c r="EP34" s="4"/>
      <x:c r="EQ34" s="4"/>
      <x:c r="ER34" s="4"/>
      <x:c r="ES34" s="4"/>
      <x:c r="ET34" s="4"/>
      <x:c r="EU34" s="4"/>
      <x:c r="EV34" s="4"/>
      <x:c r="EW34" s="4"/>
      <x:c r="EX34" s="4"/>
      <x:c r="EY34" s="4"/>
      <x:c r="EZ34" s="4"/>
      <x:c r="FA34" s="4"/>
      <x:c r="FB34" s="4"/>
      <x:c r="FC34" s="4"/>
      <x:c r="FD34" s="4"/>
      <x:c r="FE34" s="4"/>
      <x:c r="FF34" s="4"/>
      <x:c r="FG34" s="4"/>
      <x:c r="FH34" s="4"/>
      <x:c r="FI34" s="4"/>
      <x:c r="FJ34" s="4"/>
      <x:c r="FK34" s="4"/>
      <x:c r="FL34" s="4"/>
      <x:c r="FM34" s="4"/>
      <x:c r="FN34" s="4"/>
      <x:c r="FO34" s="4"/>
    </x:row>
    <x:row r="35" ht="18" customHeight="1">
      <x:c r="A35" s="3"/>
      <x:c r="B35" s="3"/>
      <x:c r="C35" s="3"/>
      <x:c r="D35" s="3"/>
      <x:c r="E35" s="3"/>
      <x:c r="F35" s="3"/>
      <x:c r="G35" s="3"/>
      <x:c r="H35" s="3"/>
      <x:c r="I35" s="3"/>
      <x:c r="J35" s="3"/>
      <x:c r="K35" s="3"/>
      <x:c r="L35" s="3"/>
      <x:c r="M35" s="3"/>
      <x:c r="N35" s="3"/>
      <x:c r="O35" s="3"/>
      <x:c r="P35" s="3"/>
      <x:c r="Q35" s="3"/>
      <x:c r="R35" s="3"/>
      <x:c r="S35" s="3"/>
      <x:c r="T35" s="3"/>
      <x:c r="U35" s="3"/>
      <x:c r="V35" s="3"/>
      <x:c r="W35" s="3"/>
      <x:c r="X35" s="3"/>
      <x:c r="Y35" s="3"/>
      <x:c r="Z35" s="3"/>
      <x:c r="AA35" s="3"/>
      <x:c r="AB35" s="3"/>
      <x:c r="AC35" s="3"/>
      <x:c r="AD35" s="3"/>
      <x:c r="AE35" s="77"/>
      <x:c r="AF35" s="75"/>
      <x:c r="AG35" s="75"/>
      <x:c r="AH35" s="75"/>
      <x:c r="AI35" s="75"/>
      <x:c r="AJ35" s="75"/>
      <x:c r="AK35" s="75"/>
      <x:c r="AL35" s="75"/>
      <x:c r="AM35" s="75"/>
      <x:c r="AN35" s="75"/>
      <x:c r="AO35" s="75"/>
      <x:c r="AP35" s="75"/>
      <x:c r="AQ35" s="75"/>
      <x:c r="AR35" s="75"/>
      <x:c r="AS35" s="75"/>
      <x:c r="AT35" s="75"/>
      <x:c r="AU35" s="75"/>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4"/>
      <x:c r="DQ35" s="4"/>
      <x:c r="DR35" s="4"/>
      <x:c r="DS35" s="4"/>
      <x:c r="DT35" s="4"/>
      <x:c r="DU35" s="4"/>
      <x:c r="DV35" s="4"/>
      <x:c r="DW35" s="4"/>
      <x:c r="DX35" s="4"/>
      <x:c r="DY35" s="4"/>
      <x:c r="DZ35" s="4"/>
      <x:c r="EA35" s="4"/>
      <x:c r="EB35" s="4"/>
      <x:c r="EC35" s="4"/>
      <x:c r="ED35" s="4"/>
      <x:c r="EE35" s="4"/>
      <x:c r="EF35" s="4"/>
      <x:c r="EG35" s="4"/>
      <x:c r="EH35" s="4"/>
      <x:c r="EI35" s="4"/>
      <x:c r="EJ35" s="4"/>
      <x:c r="EK35" s="4"/>
      <x:c r="EL35" s="4"/>
      <x:c r="EM35" s="4"/>
      <x:c r="EN35" s="4"/>
      <x:c r="EO35" s="4"/>
      <x:c r="EP35" s="4"/>
      <x:c r="EQ35" s="4"/>
      <x:c r="ER35" s="4"/>
      <x:c r="ES35" s="4"/>
      <x:c r="ET35" s="4"/>
      <x:c r="EU35" s="4"/>
      <x:c r="EV35" s="4"/>
      <x:c r="EW35" s="4"/>
      <x:c r="EX35" s="4"/>
      <x:c r="EY35" s="4"/>
      <x:c r="EZ35" s="4"/>
      <x:c r="FA35" s="4"/>
      <x:c r="FB35" s="4"/>
      <x:c r="FC35" s="4"/>
      <x:c r="FD35" s="4"/>
      <x:c r="FE35" s="4"/>
      <x:c r="FF35" s="4"/>
      <x:c r="FG35" s="4"/>
      <x:c r="FH35" s="4"/>
      <x:c r="FI35" s="4"/>
      <x:c r="FJ35" s="4"/>
      <x:c r="FK35" s="4"/>
      <x:c r="FL35" s="4"/>
      <x:c r="FM35" s="4"/>
      <x:c r="FN35" s="4"/>
      <x:c r="FO35" s="4"/>
    </x:row>
    <x:row r="36" ht="18" customHeight="1">
      <x:c r="A36" s="3"/>
      <x:c r="B36" s="3"/>
      <x:c r="C36" s="3"/>
      <x:c r="D36" s="3"/>
      <x:c r="E36" s="3"/>
      <x:c r="F36" s="3"/>
      <x:c r="G36" s="3"/>
      <x:c r="H36" s="3"/>
      <x:c r="I36" s="3"/>
      <x:c r="J36" s="3"/>
      <x:c r="K36" s="3"/>
      <x:c r="L36" s="3"/>
      <x:c r="M36" s="3"/>
      <x:c r="N36" s="3"/>
      <x:c r="O36" s="3"/>
      <x:c r="P36" s="3"/>
      <x:c r="Q36" s="3"/>
      <x:c r="R36" s="3"/>
      <x:c r="S36" s="3"/>
      <x:c r="T36" s="3"/>
      <x:c r="U36" s="3"/>
      <x:c r="V36" s="3"/>
      <x:c r="W36" s="3"/>
      <x:c r="X36" s="3"/>
      <x:c r="Y36" s="3"/>
      <x:c r="Z36" s="3"/>
      <x:c r="AA36" s="3"/>
      <x:c r="AB36" s="3"/>
      <x:c r="AC36" s="3"/>
      <x:c r="AD36" s="3"/>
      <x:c r="AE36" s="77"/>
      <x:c r="AF36" s="75"/>
      <x:c r="AG36" s="75"/>
      <x:c r="AH36" s="75"/>
      <x:c r="AI36" s="75"/>
      <x:c r="AJ36" s="75"/>
      <x:c r="AK36" s="75"/>
      <x:c r="AL36" s="75"/>
      <x:c r="AM36" s="75"/>
      <x:c r="AN36" s="75"/>
      <x:c r="AO36" s="75"/>
      <x:c r="AP36" s="75"/>
      <x:c r="AQ36" s="75"/>
      <x:c r="AR36" s="75"/>
      <x:c r="AS36" s="75"/>
      <x:c r="AT36" s="75"/>
      <x:c r="AU36" s="75"/>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4"/>
      <x:c r="DQ36" s="4"/>
      <x:c r="DR36" s="4"/>
      <x:c r="DS36" s="4"/>
      <x:c r="DT36" s="4"/>
      <x:c r="DU36" s="4"/>
      <x:c r="DV36" s="4"/>
      <x:c r="DW36" s="4"/>
      <x:c r="DX36" s="4"/>
      <x:c r="DY36" s="4"/>
      <x:c r="DZ36" s="4"/>
      <x:c r="EA36" s="4"/>
      <x:c r="EB36" s="4"/>
      <x:c r="EC36" s="4"/>
      <x:c r="ED36" s="4"/>
      <x:c r="EE36" s="4"/>
      <x:c r="EF36" s="4"/>
      <x:c r="EG36" s="4"/>
      <x:c r="EH36" s="4"/>
      <x:c r="EI36" s="4"/>
      <x:c r="EJ36" s="4"/>
      <x:c r="EK36" s="4"/>
      <x:c r="EL36" s="4"/>
      <x:c r="EM36" s="4"/>
      <x:c r="EN36" s="4"/>
      <x:c r="EO36" s="4"/>
      <x:c r="EP36" s="4"/>
      <x:c r="EQ36" s="4"/>
      <x:c r="ER36" s="4"/>
      <x:c r="ES36" s="4"/>
      <x:c r="ET36" s="4"/>
      <x:c r="EU36" s="4"/>
      <x:c r="EV36" s="4"/>
      <x:c r="EW36" s="4"/>
      <x:c r="EX36" s="4"/>
      <x:c r="EY36" s="4"/>
      <x:c r="EZ36" s="4"/>
      <x:c r="FA36" s="4"/>
      <x:c r="FB36" s="4"/>
      <x:c r="FC36" s="4"/>
      <x:c r="FD36" s="4"/>
      <x:c r="FE36" s="4"/>
      <x:c r="FF36" s="4"/>
      <x:c r="FG36" s="4"/>
      <x:c r="FH36" s="4"/>
      <x:c r="FI36" s="4"/>
      <x:c r="FJ36" s="4"/>
      <x:c r="FK36" s="4"/>
      <x:c r="FL36" s="4"/>
      <x:c r="FM36" s="4"/>
      <x:c r="FN36" s="4"/>
      <x:c r="FO36" s="4"/>
    </x:row>
    <x:row r="37" ht="18" customHeight="1">
      <x:c r="A37" s="3"/>
      <x:c r="B37" s="3"/>
      <x:c r="C37" s="3"/>
      <x:c r="D37" s="3"/>
      <x:c r="E37" s="3"/>
      <x:c r="F37" s="3"/>
      <x:c r="G37" s="3"/>
      <x:c r="H37" s="3"/>
      <x:c r="I37" s="3"/>
      <x:c r="J37" s="3"/>
      <x:c r="K37" s="3"/>
      <x:c r="L37" s="3"/>
      <x:c r="M37" s="3"/>
      <x:c r="N37" s="3"/>
      <x:c r="O37" s="3"/>
      <x:c r="P37" s="3"/>
      <x:c r="Q37" s="3"/>
      <x:c r="R37" s="3"/>
      <x:c r="S37" s="3"/>
      <x:c r="T37" s="3"/>
      <x:c r="U37" s="3"/>
      <x:c r="V37" s="3"/>
      <x:c r="W37" s="3"/>
      <x:c r="X37" s="3"/>
      <x:c r="Y37" s="3"/>
      <x:c r="Z37" s="3"/>
      <x:c r="AA37" s="3"/>
      <x:c r="AB37" s="3"/>
      <x:c r="AC37" s="3"/>
      <x:c r="AD37" s="3"/>
      <x:c r="AE37" s="77"/>
      <x:c r="AF37" s="75"/>
      <x:c r="AG37" s="75"/>
      <x:c r="AH37" s="75"/>
      <x:c r="AI37" s="75"/>
      <x:c r="AJ37" s="75"/>
      <x:c r="AK37" s="75"/>
      <x:c r="AL37" s="75"/>
      <x:c r="AM37" s="75"/>
      <x:c r="AN37" s="75"/>
      <x:c r="AO37" s="75"/>
      <x:c r="AP37" s="75"/>
      <x:c r="AQ37" s="75"/>
      <x:c r="AR37" s="75"/>
      <x:c r="AS37" s="75"/>
      <x:c r="AT37" s="75"/>
      <x:c r="AU37" s="75"/>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4"/>
      <x:c r="DQ37" s="4"/>
      <x:c r="DR37" s="4"/>
      <x:c r="DS37" s="4"/>
      <x:c r="DT37" s="4"/>
      <x:c r="DU37" s="4"/>
      <x:c r="DV37" s="4"/>
      <x:c r="DW37" s="4"/>
      <x:c r="DX37" s="4"/>
      <x:c r="DY37" s="4"/>
      <x:c r="DZ37" s="4"/>
      <x:c r="EA37" s="4"/>
      <x:c r="EB37" s="4"/>
      <x:c r="EC37" s="4"/>
      <x:c r="ED37" s="4"/>
      <x:c r="EE37" s="4"/>
      <x:c r="EF37" s="4"/>
      <x:c r="EG37" s="4"/>
      <x:c r="EH37" s="4"/>
      <x:c r="EI37" s="4"/>
      <x:c r="EJ37" s="4"/>
      <x:c r="EK37" s="4"/>
      <x:c r="EL37" s="4"/>
      <x:c r="EM37" s="4"/>
      <x:c r="EN37" s="4"/>
      <x:c r="EO37" s="4"/>
      <x:c r="EP37" s="4"/>
      <x:c r="EQ37" s="4"/>
      <x:c r="ER37" s="4"/>
      <x:c r="ES37" s="4"/>
      <x:c r="ET37" s="4"/>
      <x:c r="EU37" s="4"/>
      <x:c r="EV37" s="4"/>
      <x:c r="EW37" s="4"/>
      <x:c r="EX37" s="4"/>
      <x:c r="EY37" s="4"/>
      <x:c r="EZ37" s="4"/>
      <x:c r="FA37" s="4"/>
      <x:c r="FB37" s="4"/>
      <x:c r="FC37" s="4"/>
      <x:c r="FD37" s="4"/>
      <x:c r="FE37" s="4"/>
      <x:c r="FF37" s="4"/>
      <x:c r="FG37" s="4"/>
      <x:c r="FH37" s="4"/>
      <x:c r="FI37" s="4"/>
      <x:c r="FJ37" s="4"/>
      <x:c r="FK37" s="4"/>
      <x:c r="FL37" s="4"/>
      <x:c r="FM37" s="4"/>
      <x:c r="FN37" s="4"/>
      <x:c r="FO37" s="4"/>
    </x:row>
    <x:row r="38" ht="18" customHeight="1">
      <x:c r="A38" s="3"/>
      <x:c r="B38" s="3"/>
      <x:c r="C38" s="3"/>
      <x:c r="D38" s="3"/>
      <x:c r="E38" s="3"/>
      <x:c r="F38" s="3"/>
      <x:c r="G38" s="3"/>
      <x:c r="H38" s="3"/>
      <x:c r="I38" s="3"/>
      <x:c r="J38" s="3"/>
      <x:c r="K38" s="3"/>
      <x:c r="L38" s="3"/>
      <x:c r="M38" s="3"/>
      <x:c r="N38" s="3"/>
      <x:c r="O38" s="3"/>
      <x:c r="P38" s="3"/>
      <x:c r="Q38" s="3"/>
      <x:c r="R38" s="3"/>
      <x:c r="S38" s="3"/>
      <x:c r="T38" s="3"/>
      <x:c r="U38" s="3"/>
      <x:c r="V38" s="3"/>
      <x:c r="W38" s="3"/>
      <x:c r="X38" s="3"/>
      <x:c r="Y38" s="3"/>
      <x:c r="Z38" s="3"/>
      <x:c r="AA38" s="3"/>
      <x:c r="AB38" s="3"/>
      <x:c r="AC38" s="3"/>
      <x:c r="AD38" s="3"/>
      <x:c r="AE38" s="77"/>
      <x:c r="AF38" s="75"/>
      <x:c r="AG38" s="75"/>
      <x:c r="AH38" s="75"/>
      <x:c r="AI38" s="75"/>
      <x:c r="AJ38" s="75"/>
      <x:c r="AK38" s="75"/>
      <x:c r="AL38" s="75"/>
      <x:c r="AM38" s="75"/>
      <x:c r="AN38" s="75"/>
      <x:c r="AO38" s="75"/>
      <x:c r="AP38" s="75"/>
      <x:c r="AQ38" s="75"/>
      <x:c r="AR38" s="75"/>
      <x:c r="AS38" s="75"/>
      <x:c r="AT38" s="75"/>
      <x:c r="AU38" s="75"/>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4"/>
      <x:c r="DQ38" s="4"/>
      <x:c r="DR38" s="4"/>
      <x:c r="DS38" s="4"/>
      <x:c r="DT38" s="4"/>
      <x:c r="DU38" s="4"/>
      <x:c r="DV38" s="4"/>
      <x:c r="DW38" s="4"/>
      <x:c r="DX38" s="4"/>
      <x:c r="DY38" s="4"/>
      <x:c r="DZ38" s="4"/>
      <x:c r="EA38" s="4"/>
      <x:c r="EB38" s="4"/>
      <x:c r="EC38" s="4"/>
      <x:c r="ED38" s="4"/>
      <x:c r="EE38" s="4"/>
      <x:c r="EF38" s="4"/>
      <x:c r="EG38" s="4"/>
      <x:c r="EH38" s="4"/>
      <x:c r="EI38" s="4"/>
      <x:c r="EJ38" s="4"/>
      <x:c r="EK38" s="4"/>
      <x:c r="EL38" s="4"/>
      <x:c r="EM38" s="4"/>
      <x:c r="EN38" s="4"/>
      <x:c r="EO38" s="4"/>
      <x:c r="EP38" s="4"/>
      <x:c r="EQ38" s="4"/>
      <x:c r="ER38" s="4"/>
      <x:c r="ES38" s="4"/>
      <x:c r="ET38" s="4"/>
      <x:c r="EU38" s="4"/>
      <x:c r="EV38" s="4"/>
      <x:c r="EW38" s="4"/>
      <x:c r="EX38" s="4"/>
      <x:c r="EY38" s="4"/>
      <x:c r="EZ38" s="4"/>
      <x:c r="FA38" s="4"/>
      <x:c r="FB38" s="4"/>
      <x:c r="FC38" s="4"/>
      <x:c r="FD38" s="4"/>
      <x:c r="FE38" s="4"/>
      <x:c r="FF38" s="4"/>
      <x:c r="FG38" s="4"/>
      <x:c r="FH38" s="4"/>
      <x:c r="FI38" s="4"/>
      <x:c r="FJ38" s="4"/>
      <x:c r="FK38" s="4"/>
      <x:c r="FL38" s="4"/>
      <x:c r="FM38" s="4"/>
      <x:c r="FN38" s="4"/>
      <x:c r="FO38" s="4"/>
    </x:row>
    <x:row r="39" ht="18" customHeight="1">
      <x:c r="A39" s="3"/>
      <x:c r="B39" s="3"/>
      <x:c r="C39" s="3"/>
      <x:c r="D39" s="3"/>
      <x:c r="E39" s="3"/>
      <x:c r="F39" s="3"/>
      <x:c r="G39" s="3"/>
      <x:c r="H39" s="3"/>
      <x:c r="I39" s="3"/>
      <x:c r="J39" s="3"/>
      <x:c r="K39" s="3"/>
      <x:c r="L39" s="3"/>
      <x:c r="M39" s="3"/>
      <x:c r="N39" s="3"/>
      <x:c r="O39" s="3"/>
      <x:c r="P39" s="3"/>
      <x:c r="Q39" s="3"/>
      <x:c r="R39" s="3"/>
      <x:c r="S39" s="3"/>
      <x:c r="T39" s="3"/>
      <x:c r="U39" s="3"/>
      <x:c r="V39" s="3"/>
      <x:c r="W39" s="3"/>
      <x:c r="X39" s="3"/>
      <x:c r="Y39" s="3"/>
      <x:c r="Z39" s="3"/>
      <x:c r="AA39" s="3"/>
      <x:c r="AB39" s="3"/>
      <x:c r="AC39" s="3"/>
      <x:c r="AD39" s="3"/>
      <x:c r="AE39" s="77"/>
      <x:c r="AF39" s="75"/>
      <x:c r="AG39" s="75"/>
      <x:c r="AH39" s="75"/>
      <x:c r="AI39" s="75"/>
      <x:c r="AJ39" s="75"/>
      <x:c r="AK39" s="75"/>
      <x:c r="AL39" s="75"/>
      <x:c r="AM39" s="75"/>
      <x:c r="AN39" s="75"/>
      <x:c r="AO39" s="75"/>
      <x:c r="AP39" s="75"/>
      <x:c r="AQ39" s="75"/>
      <x:c r="AR39" s="75"/>
      <x:c r="AS39" s="75"/>
      <x:c r="AT39" s="75"/>
      <x:c r="AU39" s="75"/>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4"/>
      <x:c r="DQ39" s="4"/>
      <x:c r="DR39" s="4"/>
      <x:c r="DS39" s="4"/>
      <x:c r="DT39" s="4"/>
      <x:c r="DU39" s="4"/>
      <x:c r="DV39" s="4"/>
      <x:c r="DW39" s="4"/>
      <x:c r="DX39" s="4"/>
      <x:c r="DY39" s="4"/>
      <x:c r="DZ39" s="4"/>
      <x:c r="EA39" s="4"/>
      <x:c r="EB39" s="4"/>
      <x:c r="EC39" s="4"/>
      <x:c r="ED39" s="4"/>
      <x:c r="EE39" s="4"/>
      <x:c r="EF39" s="4"/>
      <x:c r="EG39" s="4"/>
      <x:c r="EH39" s="4"/>
      <x:c r="EI39" s="4"/>
      <x:c r="EJ39" s="4"/>
      <x:c r="EK39" s="4"/>
      <x:c r="EL39" s="4"/>
      <x:c r="EM39" s="4"/>
      <x:c r="EN39" s="4"/>
      <x:c r="EO39" s="4"/>
      <x:c r="EP39" s="4"/>
      <x:c r="EQ39" s="4"/>
      <x:c r="ER39" s="4"/>
      <x:c r="ES39" s="4"/>
      <x:c r="ET39" s="4"/>
      <x:c r="EU39" s="4"/>
      <x:c r="EV39" s="4"/>
      <x:c r="EW39" s="4"/>
      <x:c r="EX39" s="4"/>
      <x:c r="EY39" s="4"/>
      <x:c r="EZ39" s="4"/>
      <x:c r="FA39" s="4"/>
      <x:c r="FB39" s="4"/>
      <x:c r="FC39" s="4"/>
      <x:c r="FD39" s="4"/>
      <x:c r="FE39" s="4"/>
      <x:c r="FF39" s="4"/>
      <x:c r="FG39" s="4"/>
      <x:c r="FH39" s="4"/>
      <x:c r="FI39" s="4"/>
      <x:c r="FJ39" s="4"/>
      <x:c r="FK39" s="4"/>
      <x:c r="FL39" s="4"/>
      <x:c r="FM39" s="4"/>
      <x:c r="FN39" s="4"/>
      <x:c r="FO39" s="4"/>
    </x:row>
    <x:row r="40" ht="18" customHeight="1">
      <x:c r="A40" s="3"/>
      <x:c r="B40" s="21" t="str">
        <x:v>Rating distributions · Diamonds show maximum-share thresholds</x:v>
      </x:c>
      <x:c r="C40" s="21" t="str">
        <x:v>Rating distributions · Diamonds show maximum-share thresholds</x:v>
      </x:c>
      <x:c r="D40" s="21" t="str">
        <x:v>Rating distributions · Diamonds show maximum-share thresholds</x:v>
      </x:c>
      <x:c r="E40" s="21" t="str">
        <x:v>Rating distributions · Diamonds show maximum-share thresholds</x:v>
      </x:c>
      <x:c r="F40" s="21" t="str">
        <x:v>Rating distributions · Diamonds show maximum-share thresholds</x:v>
      </x:c>
      <x:c r="G40" s="21" t="str">
        <x:v>Rating distributions · Diamonds show maximum-share thresholds</x:v>
      </x:c>
      <x:c r="H40" s="21" t="str">
        <x:v>Rating distributions · Diamonds show maximum-share thresholds</x:v>
      </x:c>
      <x:c r="I40" s="21" t="str">
        <x:v>Rating distributions · Diamonds show maximum-share thresholds</x:v>
      </x:c>
      <x:c r="J40" s="21" t="str">
        <x:v>Rating distributions · Diamonds show maximum-share thresholds</x:v>
      </x:c>
      <x:c r="K40" s="21" t="str">
        <x:v>Rating distributions · Diamonds show maximum-share thresholds</x:v>
      </x:c>
      <x:c r="L40" s="21" t="str">
        <x:v>Rating distributions · Diamonds show maximum-share thresholds</x:v>
      </x:c>
      <x:c r="M40" s="21" t="str">
        <x:v>Rating distributions · Diamonds show maximum-share thresholds</x:v>
      </x:c>
      <x:c r="N40" s="21" t="str">
        <x:v>Rating distributions · Diamonds show maximum-share thresholds</x:v>
      </x:c>
      <x:c r="O40" s="21" t="str">
        <x:v>Rating distributions · Diamonds show maximum-share thresholds</x:v>
      </x:c>
      <x:c r="P40" s="21" t="str">
        <x:v>Rating distributions · Diamonds show maximum-share thresholds</x:v>
      </x:c>
      <x:c r="Q40" s="21" t="str">
        <x:v>Rating distributions · Diamonds show maximum-share thresholds</x:v>
      </x:c>
      <x:c r="R40" s="21" t="str">
        <x:v>Rating distributions · Diamonds show maximum-share thresholds</x:v>
      </x:c>
      <x:c r="S40" s="21" t="str">
        <x:v>Rating distributions · Diamonds show maximum-share thresholds</x:v>
      </x:c>
      <x:c r="T40" s="21" t="str">
        <x:v>Rating distributions · Diamonds show maximum-share thresholds</x:v>
      </x:c>
      <x:c r="U40" s="21" t="str">
        <x:v>Rating distributions · Diamonds show maximum-share thresholds</x:v>
      </x:c>
      <x:c r="V40" s="21" t="str">
        <x:v>Rating distributions · Diamonds show maximum-share thresholds</x:v>
      </x:c>
      <x:c r="W40" s="21" t="str">
        <x:v>Rating distributions · Diamonds show maximum-share thresholds</x:v>
      </x:c>
      <x:c r="X40" s="21" t="str">
        <x:v>Rating distributions · Diamonds show maximum-share thresholds</x:v>
      </x:c>
      <x:c r="Y40" s="21" t="str">
        <x:v>Rating distributions · Diamonds show maximum-share thresholds</x:v>
      </x:c>
      <x:c r="Z40" s="21" t="str">
        <x:v>Rating distributions · Diamonds show maximum-share thresholds</x:v>
      </x:c>
      <x:c r="AA40" s="21" t="str">
        <x:v>Rating distributions · Diamonds show maximum-share thresholds</x:v>
      </x:c>
      <x:c r="AB40" s="21" t="str">
        <x:v>Rating distributions · Diamonds show maximum-share thresholds</x:v>
      </x:c>
      <x:c r="AC40" s="21" t="str">
        <x:v>Rating distributions · Diamonds show maximum-share thresholds</x:v>
      </x:c>
      <x:c r="AD40" s="3"/>
      <x:c r="AE40" s="77"/>
      <x:c r="AF40" s="75"/>
      <x:c r="AG40" s="75"/>
      <x:c r="AH40" s="75"/>
      <x:c r="AI40" s="75"/>
      <x:c r="AJ40" s="75"/>
      <x:c r="AK40" s="75"/>
      <x:c r="AL40" s="75"/>
      <x:c r="AM40" s="75"/>
      <x:c r="AN40" s="75"/>
      <x:c r="AO40" s="75"/>
      <x:c r="AP40" s="75"/>
      <x:c r="AQ40" s="75"/>
      <x:c r="AR40" s="75"/>
      <x:c r="AS40" s="75"/>
      <x:c r="AT40" s="75"/>
      <x:c r="AU40" s="75"/>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4"/>
      <x:c r="DQ40" s="4"/>
      <x:c r="DR40" s="4"/>
      <x:c r="DS40" s="4"/>
      <x:c r="DT40" s="4"/>
      <x:c r="DU40" s="4"/>
      <x:c r="DV40" s="4"/>
      <x:c r="DW40" s="4"/>
      <x:c r="DX40" s="4"/>
      <x:c r="DY40" s="4"/>
      <x:c r="DZ40" s="4"/>
      <x:c r="EA40" s="4"/>
      <x:c r="EB40" s="4"/>
      <x:c r="EC40" s="4"/>
      <x:c r="ED40" s="4"/>
      <x:c r="EE40" s="4"/>
      <x:c r="EF40" s="4"/>
      <x:c r="EG40" s="4"/>
      <x:c r="EH40" s="4"/>
      <x:c r="EI40" s="4"/>
      <x:c r="EJ40" s="4"/>
      <x:c r="EK40" s="4"/>
      <x:c r="EL40" s="4"/>
      <x:c r="EM40" s="4"/>
      <x:c r="EN40" s="4"/>
      <x:c r="EO40" s="4"/>
      <x:c r="EP40" s="4"/>
      <x:c r="EQ40" s="4"/>
      <x:c r="ER40" s="4"/>
      <x:c r="ES40" s="4"/>
      <x:c r="ET40" s="4"/>
      <x:c r="EU40" s="4"/>
      <x:c r="EV40" s="4"/>
      <x:c r="EW40" s="4"/>
      <x:c r="EX40" s="4"/>
      <x:c r="EY40" s="4"/>
      <x:c r="EZ40" s="4"/>
      <x:c r="FA40" s="4"/>
      <x:c r="FB40" s="4"/>
      <x:c r="FC40" s="4"/>
      <x:c r="FD40" s="4"/>
      <x:c r="FE40" s="4"/>
      <x:c r="FF40" s="4"/>
      <x:c r="FG40" s="4"/>
      <x:c r="FH40" s="4"/>
      <x:c r="FI40" s="4"/>
      <x:c r="FJ40" s="4"/>
      <x:c r="FK40" s="4"/>
      <x:c r="FL40" s="4"/>
      <x:c r="FM40" s="4"/>
      <x:c r="FN40" s="4"/>
      <x:c r="FO40" s="4"/>
    </x:row>
    <x:row r="41" ht="18" customHeight="1">
      <x:c r="A41" s="3"/>
      <x:c r="B41" s="3"/>
      <x:c r="C41" s="3"/>
      <x:c r="D41" s="3"/>
      <x:c r="E41" s="3"/>
      <x:c r="F41" s="3"/>
      <x:c r="G41" s="3"/>
      <x:c r="H41" s="3"/>
      <x:c r="I41" s="3"/>
      <x:c r="J41" s="3"/>
      <x:c r="K41" s="3"/>
      <x:c r="L41" s="3"/>
      <x:c r="M41" s="3"/>
      <x:c r="N41" s="3"/>
      <x:c r="O41" s="3"/>
      <x:c r="P41" s="3"/>
      <x:c r="Q41" s="3"/>
      <x:c r="R41" s="3"/>
      <x:c r="S41" s="3"/>
      <x:c r="T41" s="3"/>
      <x:c r="U41" s="3"/>
      <x:c r="V41" s="3"/>
      <x:c r="W41" s="3"/>
      <x:c r="X41" s="3"/>
      <x:c r="Y41" s="3"/>
      <x:c r="Z41" s="3"/>
      <x:c r="AA41" s="3"/>
      <x:c r="AB41" s="3"/>
      <x:c r="AC41" s="3"/>
      <x:c r="AD41" s="3"/>
      <x:c r="AE41" s="77"/>
      <x:c r="AF41" s="75"/>
      <x:c r="AG41" s="75"/>
      <x:c r="AH41" s="75"/>
      <x:c r="AI41" s="75"/>
      <x:c r="AJ41" s="75"/>
      <x:c r="AK41" s="75"/>
      <x:c r="AL41" s="75"/>
      <x:c r="AM41" s="75"/>
      <x:c r="AN41" s="75"/>
      <x:c r="AO41" s="75"/>
      <x:c r="AP41" s="75"/>
      <x:c r="AQ41" s="75"/>
      <x:c r="AR41" s="75"/>
      <x:c r="AS41" s="75"/>
      <x:c r="AT41" s="75"/>
      <x:c r="AU41" s="75"/>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4"/>
      <x:c r="DQ41" s="4"/>
      <x:c r="DR41" s="4"/>
      <x:c r="DS41" s="4"/>
      <x:c r="DT41" s="4"/>
      <x:c r="DU41" s="4"/>
      <x:c r="DV41" s="4"/>
      <x:c r="DW41" s="4"/>
      <x:c r="DX41" s="4"/>
      <x:c r="DY41" s="4"/>
      <x:c r="DZ41" s="4"/>
      <x:c r="EA41" s="4"/>
      <x:c r="EB41" s="4"/>
      <x:c r="EC41" s="4"/>
      <x:c r="ED41" s="4"/>
      <x:c r="EE41" s="4"/>
      <x:c r="EF41" s="4"/>
      <x:c r="EG41" s="4"/>
      <x:c r="EH41" s="4"/>
      <x:c r="EI41" s="4"/>
      <x:c r="EJ41" s="4"/>
      <x:c r="EK41" s="4"/>
      <x:c r="EL41" s="4"/>
      <x:c r="EM41" s="4"/>
      <x:c r="EN41" s="4"/>
      <x:c r="EO41" s="4"/>
      <x:c r="EP41" s="4"/>
      <x:c r="EQ41" s="4"/>
      <x:c r="ER41" s="4"/>
      <x:c r="ES41" s="4"/>
      <x:c r="ET41" s="4"/>
      <x:c r="EU41" s="4"/>
      <x:c r="EV41" s="4"/>
      <x:c r="EW41" s="4"/>
      <x:c r="EX41" s="4"/>
      <x:c r="EY41" s="4"/>
      <x:c r="EZ41" s="4"/>
      <x:c r="FA41" s="4"/>
      <x:c r="FB41" s="4"/>
      <x:c r="FC41" s="4"/>
      <x:c r="FD41" s="4"/>
      <x:c r="FE41" s="4"/>
      <x:c r="FF41" s="4"/>
      <x:c r="FG41" s="4"/>
      <x:c r="FH41" s="4"/>
      <x:c r="FI41" s="4"/>
      <x:c r="FJ41" s="4"/>
      <x:c r="FK41" s="4"/>
      <x:c r="FL41" s="4"/>
      <x:c r="FM41" s="4"/>
      <x:c r="FN41" s="4"/>
      <x:c r="FO41" s="4"/>
    </x:row>
    <x:row r="42" ht="18" customHeight="1">
      <x:c r="A42" s="3"/>
      <x:c r="B42" s="3"/>
      <x:c r="C42" s="3"/>
      <x:c r="D42" s="3"/>
      <x:c r="E42" s="3"/>
      <x:c r="F42" s="3"/>
      <x:c r="G42" s="3"/>
      <x:c r="H42" s="3"/>
      <x:c r="I42" s="3"/>
      <x:c r="J42" s="3"/>
      <x:c r="K42" s="3"/>
      <x:c r="L42" s="3"/>
      <x:c r="M42" s="3"/>
      <x:c r="N42" s="3"/>
      <x:c r="O42" s="3"/>
      <x:c r="P42" s="3"/>
      <x:c r="Q42" s="3"/>
      <x:c r="R42" s="3"/>
      <x:c r="S42" s="3"/>
      <x:c r="T42" s="3"/>
      <x:c r="U42" s="3"/>
      <x:c r="V42" s="3"/>
      <x:c r="W42" s="3"/>
      <x:c r="X42" s="3"/>
      <x:c r="Y42" s="3"/>
      <x:c r="Z42" s="3"/>
      <x:c r="AA42" s="3"/>
      <x:c r="AB42" s="3"/>
      <x:c r="AC42" s="3"/>
      <x:c r="AD42" s="3"/>
      <x:c r="AE42" s="77"/>
      <x:c r="AF42" s="75"/>
      <x:c r="AG42" s="75"/>
      <x:c r="AH42" s="75"/>
      <x:c r="AI42" s="75"/>
      <x:c r="AJ42" s="75"/>
      <x:c r="AK42" s="75"/>
      <x:c r="AL42" s="75"/>
      <x:c r="AM42" s="75"/>
      <x:c r="AN42" s="75"/>
      <x:c r="AO42" s="75"/>
      <x:c r="AP42" s="75"/>
      <x:c r="AQ42" s="75"/>
      <x:c r="AR42" s="75"/>
      <x:c r="AS42" s="75"/>
      <x:c r="AT42" s="75"/>
      <x:c r="AU42" s="75"/>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4"/>
      <x:c r="DQ42" s="4"/>
      <x:c r="DR42" s="4"/>
      <x:c r="DS42" s="4"/>
      <x:c r="DT42" s="4"/>
      <x:c r="DU42" s="4"/>
      <x:c r="DV42" s="4"/>
      <x:c r="DW42" s="4"/>
      <x:c r="DX42" s="4"/>
      <x:c r="DY42" s="4"/>
      <x:c r="DZ42" s="4"/>
      <x:c r="EA42" s="4"/>
      <x:c r="EB42" s="4"/>
      <x:c r="EC42" s="4"/>
      <x:c r="ED42" s="4"/>
      <x:c r="EE42" s="4"/>
      <x:c r="EF42" s="4"/>
      <x:c r="EG42" s="4"/>
      <x:c r="EH42" s="4"/>
      <x:c r="EI42" s="4"/>
      <x:c r="EJ42" s="4"/>
      <x:c r="EK42" s="4"/>
      <x:c r="EL42" s="4"/>
      <x:c r="EM42" s="4"/>
      <x:c r="EN42" s="4"/>
      <x:c r="EO42" s="4"/>
      <x:c r="EP42" s="4"/>
      <x:c r="EQ42" s="4"/>
      <x:c r="ER42" s="4"/>
      <x:c r="ES42" s="4"/>
      <x:c r="ET42" s="4"/>
      <x:c r="EU42" s="4"/>
      <x:c r="EV42" s="4"/>
      <x:c r="EW42" s="4"/>
      <x:c r="EX42" s="4"/>
      <x:c r="EY42" s="4"/>
      <x:c r="EZ42" s="4"/>
      <x:c r="FA42" s="4"/>
      <x:c r="FB42" s="4"/>
      <x:c r="FC42" s="4"/>
      <x:c r="FD42" s="4"/>
      <x:c r="FE42" s="4"/>
      <x:c r="FF42" s="4"/>
      <x:c r="FG42" s="4"/>
      <x:c r="FH42" s="4"/>
      <x:c r="FI42" s="4"/>
      <x:c r="FJ42" s="4"/>
      <x:c r="FK42" s="4"/>
      <x:c r="FL42" s="4"/>
      <x:c r="FM42" s="4"/>
      <x:c r="FN42" s="4"/>
      <x:c r="FO42" s="4"/>
    </x:row>
    <x:row r="43" ht="18" customHeight="1">
      <x:c r="A43" s="3"/>
      <x:c r="B43" s="3"/>
      <x:c r="C43" s="3"/>
      <x:c r="D43" s="3"/>
      <x:c r="E43" s="3"/>
      <x:c r="F43" s="3"/>
      <x:c r="G43" s="3"/>
      <x:c r="H43" s="3"/>
      <x:c r="I43" s="3"/>
      <x:c r="J43" s="3"/>
      <x:c r="K43" s="3"/>
      <x:c r="L43" s="3"/>
      <x:c r="M43" s="3"/>
      <x:c r="N43" s="3"/>
      <x:c r="O43" s="3"/>
      <x:c r="P43" s="3"/>
      <x:c r="Q43" s="3"/>
      <x:c r="R43" s="3"/>
      <x:c r="S43" s="3"/>
      <x:c r="T43" s="3"/>
      <x:c r="U43" s="3"/>
      <x:c r="V43" s="3"/>
      <x:c r="W43" s="3"/>
      <x:c r="X43" s="3"/>
      <x:c r="Y43" s="3"/>
      <x:c r="Z43" s="3"/>
      <x:c r="AA43" s="3"/>
      <x:c r="AB43" s="3"/>
      <x:c r="AC43" s="3"/>
      <x:c r="AD43" s="3"/>
      <x:c r="AE43" s="77"/>
      <x:c r="AF43" s="75"/>
      <x:c r="AG43" s="75"/>
      <x:c r="AH43" s="75"/>
      <x:c r="AI43" s="75"/>
      <x:c r="AJ43" s="75"/>
      <x:c r="AK43" s="75"/>
      <x:c r="AL43" s="75"/>
      <x:c r="AM43" s="75"/>
      <x:c r="AN43" s="75"/>
      <x:c r="AO43" s="75"/>
      <x:c r="AP43" s="75"/>
      <x:c r="AQ43" s="75"/>
      <x:c r="AR43" s="75"/>
      <x:c r="AS43" s="75"/>
      <x:c r="AT43" s="75"/>
      <x:c r="AU43" s="75"/>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4"/>
      <x:c r="DQ43" s="4"/>
      <x:c r="DR43" s="4"/>
      <x:c r="DS43" s="4"/>
      <x:c r="DT43" s="4"/>
      <x:c r="DU43" s="4"/>
      <x:c r="DV43" s="4"/>
      <x:c r="DW43" s="4"/>
      <x:c r="DX43" s="4"/>
      <x:c r="DY43" s="4"/>
      <x:c r="DZ43" s="4"/>
      <x:c r="EA43" s="4"/>
      <x:c r="EB43" s="4"/>
      <x:c r="EC43" s="4"/>
      <x:c r="ED43" s="4"/>
      <x:c r="EE43" s="4"/>
      <x:c r="EF43" s="4"/>
      <x:c r="EG43" s="4"/>
      <x:c r="EH43" s="4"/>
      <x:c r="EI43" s="4"/>
      <x:c r="EJ43" s="4"/>
      <x:c r="EK43" s="4"/>
      <x:c r="EL43" s="4"/>
      <x:c r="EM43" s="4"/>
      <x:c r="EN43" s="4"/>
      <x:c r="EO43" s="4"/>
      <x:c r="EP43" s="4"/>
      <x:c r="EQ43" s="4"/>
      <x:c r="ER43" s="4"/>
      <x:c r="ES43" s="4"/>
      <x:c r="ET43" s="4"/>
      <x:c r="EU43" s="4"/>
      <x:c r="EV43" s="4"/>
      <x:c r="EW43" s="4"/>
      <x:c r="EX43" s="4"/>
      <x:c r="EY43" s="4"/>
      <x:c r="EZ43" s="4"/>
      <x:c r="FA43" s="4"/>
      <x:c r="FB43" s="4"/>
      <x:c r="FC43" s="4"/>
      <x:c r="FD43" s="4"/>
      <x:c r="FE43" s="4"/>
      <x:c r="FF43" s="4"/>
      <x:c r="FG43" s="4"/>
      <x:c r="FH43" s="4"/>
      <x:c r="FI43" s="4"/>
      <x:c r="FJ43" s="4"/>
      <x:c r="FK43" s="4"/>
      <x:c r="FL43" s="4"/>
      <x:c r="FM43" s="4"/>
      <x:c r="FN43" s="4"/>
      <x:c r="FO43" s="4"/>
    </x:row>
    <x:row r="44" ht="18" customHeight="1">
      <x:c r="A44" s="3"/>
      <x:c r="B44" s="3"/>
      <x:c r="C44" s="3"/>
      <x:c r="D44" s="3"/>
      <x:c r="E44" s="3"/>
      <x:c r="F44" s="3"/>
      <x:c r="G44" s="3"/>
      <x:c r="H44" s="3"/>
      <x:c r="I44" s="3"/>
      <x:c r="J44" s="3"/>
      <x:c r="K44" s="3"/>
      <x:c r="L44" s="3"/>
      <x:c r="M44" s="3"/>
      <x:c r="N44" s="3"/>
      <x:c r="O44" s="3"/>
      <x:c r="P44" s="3"/>
      <x:c r="Q44" s="3"/>
      <x:c r="R44" s="3"/>
      <x:c r="S44" s="3"/>
      <x:c r="T44" s="3"/>
      <x:c r="U44" s="3"/>
      <x:c r="V44" s="3"/>
      <x:c r="W44" s="3"/>
      <x:c r="X44" s="3"/>
      <x:c r="Y44" s="3"/>
      <x:c r="Z44" s="3"/>
      <x:c r="AA44" s="3"/>
      <x:c r="AB44" s="3"/>
      <x:c r="AC44" s="3"/>
      <x:c r="AD44" s="3"/>
      <x:c r="AE44" s="77"/>
      <x:c r="AF44" s="75"/>
      <x:c r="AG44" s="75"/>
      <x:c r="AH44" s="75"/>
      <x:c r="AI44" s="75"/>
      <x:c r="AJ44" s="75"/>
      <x:c r="AK44" s="75"/>
      <x:c r="AL44" s="75"/>
      <x:c r="AM44" s="75"/>
      <x:c r="AN44" s="75"/>
      <x:c r="AO44" s="75"/>
      <x:c r="AP44" s="75"/>
      <x:c r="AQ44" s="75"/>
      <x:c r="AR44" s="75"/>
      <x:c r="AS44" s="75"/>
      <x:c r="AT44" s="75"/>
      <x:c r="AU44" s="75"/>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4"/>
      <x:c r="DQ44" s="4"/>
      <x:c r="DR44" s="4"/>
      <x:c r="DS44" s="4"/>
      <x:c r="DT44" s="4"/>
      <x:c r="DU44" s="4"/>
      <x:c r="DV44" s="4"/>
      <x:c r="DW44" s="4"/>
      <x:c r="DX44" s="4"/>
      <x:c r="DY44" s="4"/>
      <x:c r="DZ44" s="4"/>
      <x:c r="EA44" s="4"/>
      <x:c r="EB44" s="4"/>
      <x:c r="EC44" s="4"/>
      <x:c r="ED44" s="4"/>
      <x:c r="EE44" s="4"/>
      <x:c r="EF44" s="4"/>
      <x:c r="EG44" s="4"/>
      <x:c r="EH44" s="4"/>
      <x:c r="EI44" s="4"/>
      <x:c r="EJ44" s="4"/>
      <x:c r="EK44" s="4"/>
      <x:c r="EL44" s="4"/>
      <x:c r="EM44" s="4"/>
      <x:c r="EN44" s="4"/>
      <x:c r="EO44" s="4"/>
      <x:c r="EP44" s="4"/>
      <x:c r="EQ44" s="4"/>
      <x:c r="ER44" s="4"/>
      <x:c r="ES44" s="4"/>
      <x:c r="ET44" s="4"/>
      <x:c r="EU44" s="4"/>
      <x:c r="EV44" s="4"/>
      <x:c r="EW44" s="4"/>
      <x:c r="EX44" s="4"/>
      <x:c r="EY44" s="4"/>
      <x:c r="EZ44" s="4"/>
      <x:c r="FA44" s="4"/>
      <x:c r="FB44" s="4"/>
      <x:c r="FC44" s="4"/>
      <x:c r="FD44" s="4"/>
      <x:c r="FE44" s="4"/>
      <x:c r="FF44" s="4"/>
      <x:c r="FG44" s="4"/>
      <x:c r="FH44" s="4"/>
      <x:c r="FI44" s="4"/>
      <x:c r="FJ44" s="4"/>
      <x:c r="FK44" s="4"/>
      <x:c r="FL44" s="4"/>
      <x:c r="FM44" s="4"/>
      <x:c r="FN44" s="4"/>
      <x:c r="FO44" s="4"/>
    </x:row>
    <x:row r="45" ht="18" customHeight="1">
      <x:c r="A45" s="3"/>
      <x:c r="B45" s="3"/>
      <x:c r="C45" s="3"/>
      <x:c r="D45" s="3"/>
      <x:c r="E45" s="3"/>
      <x:c r="F45" s="3"/>
      <x:c r="G45" s="3"/>
      <x:c r="H45" s="3"/>
      <x:c r="I45" s="3"/>
      <x:c r="J45" s="3"/>
      <x:c r="K45" s="3"/>
      <x:c r="L45" s="3"/>
      <x:c r="M45" s="3"/>
      <x:c r="N45" s="3"/>
      <x:c r="O45" s="3"/>
      <x:c r="P45" s="3"/>
      <x:c r="Q45" s="3"/>
      <x:c r="R45" s="3"/>
      <x:c r="S45" s="3"/>
      <x:c r="T45" s="3"/>
      <x:c r="U45" s="3"/>
      <x:c r="V45" s="3"/>
      <x:c r="W45" s="3"/>
      <x:c r="X45" s="3"/>
      <x:c r="Y45" s="3"/>
      <x:c r="Z45" s="3"/>
      <x:c r="AA45" s="3"/>
      <x:c r="AB45" s="3"/>
      <x:c r="AC45" s="3"/>
      <x:c r="AD45" s="3"/>
      <x:c r="AE45" s="77"/>
      <x:c r="AF45" s="75"/>
      <x:c r="AG45" s="75"/>
      <x:c r="AH45" s="75"/>
      <x:c r="AI45" s="75"/>
      <x:c r="AJ45" s="75"/>
      <x:c r="AK45" s="75"/>
      <x:c r="AL45" s="75"/>
      <x:c r="AM45" s="75"/>
      <x:c r="AN45" s="75"/>
      <x:c r="AO45" s="75"/>
      <x:c r="AP45" s="75"/>
      <x:c r="AQ45" s="75"/>
      <x:c r="AR45" s="75"/>
      <x:c r="AS45" s="75"/>
      <x:c r="AT45" s="75"/>
      <x:c r="AU45" s="75"/>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4"/>
      <x:c r="DQ45" s="4"/>
      <x:c r="DR45" s="4"/>
      <x:c r="DS45" s="4"/>
      <x:c r="DT45" s="4"/>
      <x:c r="DU45" s="4"/>
      <x:c r="DV45" s="4"/>
      <x:c r="DW45" s="4"/>
      <x:c r="DX45" s="4"/>
      <x:c r="DY45" s="4"/>
      <x:c r="DZ45" s="4"/>
      <x:c r="EA45" s="4"/>
      <x:c r="EB45" s="4"/>
      <x:c r="EC45" s="4"/>
      <x:c r="ED45" s="4"/>
      <x:c r="EE45" s="4"/>
      <x:c r="EF45" s="4"/>
      <x:c r="EG45" s="4"/>
      <x:c r="EH45" s="4"/>
      <x:c r="EI45" s="4"/>
      <x:c r="EJ45" s="4"/>
      <x:c r="EK45" s="4"/>
      <x:c r="EL45" s="4"/>
      <x:c r="EM45" s="4"/>
      <x:c r="EN45" s="4"/>
      <x:c r="EO45" s="4"/>
      <x:c r="EP45" s="4"/>
      <x:c r="EQ45" s="4"/>
      <x:c r="ER45" s="4"/>
      <x:c r="ES45" s="4"/>
      <x:c r="ET45" s="4"/>
      <x:c r="EU45" s="4"/>
      <x:c r="EV45" s="4"/>
      <x:c r="EW45" s="4"/>
      <x:c r="EX45" s="4"/>
      <x:c r="EY45" s="4"/>
      <x:c r="EZ45" s="4"/>
      <x:c r="FA45" s="4"/>
      <x:c r="FB45" s="4"/>
      <x:c r="FC45" s="4"/>
      <x:c r="FD45" s="4"/>
      <x:c r="FE45" s="4"/>
      <x:c r="FF45" s="4"/>
      <x:c r="FG45" s="4"/>
      <x:c r="FH45" s="4"/>
      <x:c r="FI45" s="4"/>
      <x:c r="FJ45" s="4"/>
      <x:c r="FK45" s="4"/>
      <x:c r="FL45" s="4"/>
      <x:c r="FM45" s="4"/>
      <x:c r="FN45" s="4"/>
      <x:c r="FO45" s="4"/>
    </x:row>
    <x:row r="46" ht="18" customHeight="1">
      <x:c r="A46" s="3"/>
      <x:c r="B46" s="3"/>
      <x:c r="C46" s="3"/>
      <x:c r="D46" s="3"/>
      <x:c r="E46" s="3"/>
      <x:c r="F46" s="3"/>
      <x:c r="G46" s="3"/>
      <x:c r="H46" s="3"/>
      <x:c r="I46" s="3"/>
      <x:c r="J46" s="3"/>
      <x:c r="K46" s="3"/>
      <x:c r="L46" s="3"/>
      <x:c r="M46" s="3"/>
      <x:c r="N46" s="3"/>
      <x:c r="O46" s="3"/>
      <x:c r="P46" s="3"/>
      <x:c r="Q46" s="3"/>
      <x:c r="R46" s="3"/>
      <x:c r="S46" s="3"/>
      <x:c r="T46" s="3"/>
      <x:c r="U46" s="3"/>
      <x:c r="V46" s="3"/>
      <x:c r="W46" s="3"/>
      <x:c r="X46" s="3"/>
      <x:c r="Y46" s="3"/>
      <x:c r="Z46" s="3"/>
      <x:c r="AA46" s="3"/>
      <x:c r="AB46" s="3"/>
      <x:c r="AC46" s="3"/>
      <x:c r="AD46" s="3"/>
      <x:c r="AE46" s="77"/>
      <x:c r="AF46" s="75"/>
      <x:c r="AG46" s="75"/>
      <x:c r="AH46" s="75"/>
      <x:c r="AI46" s="75"/>
      <x:c r="AJ46" s="75"/>
      <x:c r="AK46" s="75"/>
      <x:c r="AL46" s="75"/>
      <x:c r="AM46" s="75"/>
      <x:c r="AN46" s="75"/>
      <x:c r="AO46" s="75"/>
      <x:c r="AP46" s="75"/>
      <x:c r="AQ46" s="75"/>
      <x:c r="AR46" s="75"/>
      <x:c r="AS46" s="75"/>
      <x:c r="AT46" s="75"/>
      <x:c r="AU46" s="75"/>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4"/>
      <x:c r="DQ46" s="4"/>
      <x:c r="DR46" s="4"/>
      <x:c r="DS46" s="4"/>
      <x:c r="DT46" s="4"/>
      <x:c r="DU46" s="4"/>
      <x:c r="DV46" s="4"/>
      <x:c r="DW46" s="4"/>
      <x:c r="DX46" s="4"/>
      <x:c r="DY46" s="4"/>
      <x:c r="DZ46" s="4"/>
      <x:c r="EA46" s="4"/>
      <x:c r="EB46" s="4"/>
      <x:c r="EC46" s="4"/>
      <x:c r="ED46" s="4"/>
      <x:c r="EE46" s="4"/>
      <x:c r="EF46" s="4"/>
      <x:c r="EG46" s="4"/>
      <x:c r="EH46" s="4"/>
      <x:c r="EI46" s="4"/>
      <x:c r="EJ46" s="4"/>
      <x:c r="EK46" s="4"/>
      <x:c r="EL46" s="4"/>
      <x:c r="EM46" s="4"/>
      <x:c r="EN46" s="4"/>
      <x:c r="EO46" s="4"/>
      <x:c r="EP46" s="4"/>
      <x:c r="EQ46" s="4"/>
      <x:c r="ER46" s="4"/>
      <x:c r="ES46" s="4"/>
      <x:c r="ET46" s="4"/>
      <x:c r="EU46" s="4"/>
      <x:c r="EV46" s="4"/>
      <x:c r="EW46" s="4"/>
      <x:c r="EX46" s="4"/>
      <x:c r="EY46" s="4"/>
      <x:c r="EZ46" s="4"/>
      <x:c r="FA46" s="4"/>
      <x:c r="FB46" s="4"/>
      <x:c r="FC46" s="4"/>
      <x:c r="FD46" s="4"/>
      <x:c r="FE46" s="4"/>
      <x:c r="FF46" s="4"/>
      <x:c r="FG46" s="4"/>
      <x:c r="FH46" s="4"/>
      <x:c r="FI46" s="4"/>
      <x:c r="FJ46" s="4"/>
      <x:c r="FK46" s="4"/>
      <x:c r="FL46" s="4"/>
      <x:c r="FM46" s="4"/>
      <x:c r="FN46" s="4"/>
      <x:c r="FO46" s="4"/>
    </x:row>
    <x:row r="47" ht="18" customHeight="1">
      <x:c r="A47" s="3"/>
      <x:c r="B47" s="3"/>
      <x:c r="C47" s="3"/>
      <x:c r="D47" s="3"/>
      <x:c r="E47" s="3"/>
      <x:c r="F47" s="3"/>
      <x:c r="G47" s="3"/>
      <x:c r="H47" s="3"/>
      <x:c r="I47" s="3"/>
      <x:c r="J47" s="3"/>
      <x:c r="K47" s="3"/>
      <x:c r="L47" s="3"/>
      <x:c r="M47" s="3"/>
      <x:c r="N47" s="3"/>
      <x:c r="O47" s="3"/>
      <x:c r="P47" s="3"/>
      <x:c r="Q47" s="3"/>
      <x:c r="R47" s="3"/>
      <x:c r="S47" s="3"/>
      <x:c r="T47" s="3"/>
      <x:c r="U47" s="3"/>
      <x:c r="V47" s="3"/>
      <x:c r="W47" s="3"/>
      <x:c r="X47" s="3"/>
      <x:c r="Y47" s="3"/>
      <x:c r="Z47" s="3"/>
      <x:c r="AA47" s="3"/>
      <x:c r="AB47" s="3"/>
      <x:c r="AC47" s="3"/>
      <x:c r="AD47" s="3"/>
      <x:c r="AE47" s="77"/>
      <x:c r="AF47" s="75"/>
      <x:c r="AG47" s="75"/>
      <x:c r="AH47" s="75"/>
      <x:c r="AI47" s="75"/>
      <x:c r="AJ47" s="75"/>
      <x:c r="AK47" s="75"/>
      <x:c r="AL47" s="75"/>
      <x:c r="AM47" s="75"/>
      <x:c r="AN47" s="75"/>
      <x:c r="AO47" s="75"/>
      <x:c r="AP47" s="75"/>
      <x:c r="AQ47" s="75"/>
      <x:c r="AR47" s="75"/>
      <x:c r="AS47" s="75"/>
      <x:c r="AT47" s="75"/>
      <x:c r="AU47" s="75"/>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4"/>
      <x:c r="DQ47" s="4"/>
      <x:c r="DR47" s="4"/>
      <x:c r="DS47" s="4"/>
      <x:c r="DT47" s="4"/>
      <x:c r="DU47" s="4"/>
      <x:c r="DV47" s="4"/>
      <x:c r="DW47" s="4"/>
      <x:c r="DX47" s="4"/>
      <x:c r="DY47" s="4"/>
      <x:c r="DZ47" s="4"/>
      <x:c r="EA47" s="4"/>
      <x:c r="EB47" s="4"/>
      <x:c r="EC47" s="4"/>
      <x:c r="ED47" s="4"/>
      <x:c r="EE47" s="4"/>
      <x:c r="EF47" s="4"/>
      <x:c r="EG47" s="4"/>
      <x:c r="EH47" s="4"/>
      <x:c r="EI47" s="4"/>
      <x:c r="EJ47" s="4"/>
      <x:c r="EK47" s="4"/>
      <x:c r="EL47" s="4"/>
      <x:c r="EM47" s="4"/>
      <x:c r="EN47" s="4"/>
      <x:c r="EO47" s="4"/>
      <x:c r="EP47" s="4"/>
      <x:c r="EQ47" s="4"/>
      <x:c r="ER47" s="4"/>
      <x:c r="ES47" s="4"/>
      <x:c r="ET47" s="4"/>
      <x:c r="EU47" s="4"/>
      <x:c r="EV47" s="4"/>
      <x:c r="EW47" s="4"/>
      <x:c r="EX47" s="4"/>
      <x:c r="EY47" s="4"/>
      <x:c r="EZ47" s="4"/>
      <x:c r="FA47" s="4"/>
      <x:c r="FB47" s="4"/>
      <x:c r="FC47" s="4"/>
      <x:c r="FD47" s="4"/>
      <x:c r="FE47" s="4"/>
      <x:c r="FF47" s="4"/>
      <x:c r="FG47" s="4"/>
      <x:c r="FH47" s="4"/>
      <x:c r="FI47" s="4"/>
      <x:c r="FJ47" s="4"/>
      <x:c r="FK47" s="4"/>
      <x:c r="FL47" s="4"/>
      <x:c r="FM47" s="4"/>
      <x:c r="FN47" s="4"/>
      <x:c r="FO47" s="4"/>
    </x:row>
    <x:row r="48" ht="18" customHeight="1">
      <x:c r="A48" s="3"/>
      <x:c r="B48" s="3"/>
      <x:c r="C48" s="3"/>
      <x:c r="D48" s="3"/>
      <x:c r="E48" s="3"/>
      <x:c r="F48" s="3"/>
      <x:c r="G48" s="3"/>
      <x:c r="H48" s="3"/>
      <x:c r="I48" s="3"/>
      <x:c r="J48" s="3"/>
      <x:c r="K48" s="3"/>
      <x:c r="L48" s="3"/>
      <x:c r="M48" s="3"/>
      <x:c r="N48" s="3"/>
      <x:c r="O48" s="3"/>
      <x:c r="P48" s="3"/>
      <x:c r="Q48" s="3"/>
      <x:c r="R48" s="3"/>
      <x:c r="S48" s="3"/>
      <x:c r="T48" s="3"/>
      <x:c r="U48" s="3"/>
      <x:c r="V48" s="3"/>
      <x:c r="W48" s="3"/>
      <x:c r="X48" s="3"/>
      <x:c r="Y48" s="3"/>
      <x:c r="Z48" s="3"/>
      <x:c r="AA48" s="3"/>
      <x:c r="AB48" s="3"/>
      <x:c r="AC48" s="3"/>
      <x:c r="AD48" s="3"/>
      <x:c r="AE48" s="77"/>
      <x:c r="AF48" s="75"/>
      <x:c r="AG48" s="75"/>
      <x:c r="AH48" s="75"/>
      <x:c r="AI48" s="75"/>
      <x:c r="AJ48" s="75"/>
      <x:c r="AK48" s="75"/>
      <x:c r="AL48" s="75"/>
      <x:c r="AM48" s="75"/>
      <x:c r="AN48" s="75"/>
      <x:c r="AO48" s="75"/>
      <x:c r="AP48" s="75"/>
      <x:c r="AQ48" s="75"/>
      <x:c r="AR48" s="75"/>
      <x:c r="AS48" s="75"/>
      <x:c r="AT48" s="75"/>
      <x:c r="AU48" s="75"/>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4"/>
      <x:c r="DQ48" s="4"/>
      <x:c r="DR48" s="4"/>
      <x:c r="DS48" s="4"/>
      <x:c r="DT48" s="4"/>
      <x:c r="DU48" s="4"/>
      <x:c r="DV48" s="4"/>
      <x:c r="DW48" s="4"/>
      <x:c r="DX48" s="4"/>
      <x:c r="DY48" s="4"/>
      <x:c r="DZ48" s="4"/>
      <x:c r="EA48" s="4"/>
      <x:c r="EB48" s="4"/>
      <x:c r="EC48" s="4"/>
      <x:c r="ED48" s="4"/>
      <x:c r="EE48" s="4"/>
      <x:c r="EF48" s="4"/>
      <x:c r="EG48" s="4"/>
      <x:c r="EH48" s="4"/>
      <x:c r="EI48" s="4"/>
      <x:c r="EJ48" s="4"/>
      <x:c r="EK48" s="4"/>
      <x:c r="EL48" s="4"/>
      <x:c r="EM48" s="4"/>
      <x:c r="EN48" s="4"/>
      <x:c r="EO48" s="4"/>
      <x:c r="EP48" s="4"/>
      <x:c r="EQ48" s="4"/>
      <x:c r="ER48" s="4"/>
      <x:c r="ES48" s="4"/>
      <x:c r="ET48" s="4"/>
      <x:c r="EU48" s="4"/>
      <x:c r="EV48" s="4"/>
      <x:c r="EW48" s="4"/>
      <x:c r="EX48" s="4"/>
      <x:c r="EY48" s="4"/>
      <x:c r="EZ48" s="4"/>
      <x:c r="FA48" s="4"/>
      <x:c r="FB48" s="4"/>
      <x:c r="FC48" s="4"/>
      <x:c r="FD48" s="4"/>
      <x:c r="FE48" s="4"/>
      <x:c r="FF48" s="4"/>
      <x:c r="FG48" s="4"/>
      <x:c r="FH48" s="4"/>
      <x:c r="FI48" s="4"/>
      <x:c r="FJ48" s="4"/>
      <x:c r="FK48" s="4"/>
      <x:c r="FL48" s="4"/>
      <x:c r="FM48" s="4"/>
      <x:c r="FN48" s="4"/>
      <x:c r="FO48" s="4"/>
    </x:row>
    <x:row r="49" ht="18" customHeight="1">
      <x:c r="A49" s="3"/>
      <x:c r="B49" s="3"/>
      <x:c r="C49" s="3"/>
      <x:c r="D49" s="3"/>
      <x:c r="E49" s="3"/>
      <x:c r="F49" s="3"/>
      <x:c r="G49" s="3"/>
      <x:c r="H49" s="3"/>
      <x:c r="I49" s="3"/>
      <x:c r="J49" s="3"/>
      <x:c r="K49" s="3"/>
      <x:c r="L49" s="3"/>
      <x:c r="M49" s="3"/>
      <x:c r="N49" s="3"/>
      <x:c r="O49" s="3"/>
      <x:c r="P49" s="3"/>
      <x:c r="Q49" s="3"/>
      <x:c r="R49" s="3"/>
      <x:c r="S49" s="3"/>
      <x:c r="T49" s="3"/>
      <x:c r="U49" s="3"/>
      <x:c r="V49" s="3"/>
      <x:c r="W49" s="3"/>
      <x:c r="X49" s="3"/>
      <x:c r="Y49" s="3"/>
      <x:c r="Z49" s="3"/>
      <x:c r="AA49" s="3"/>
      <x:c r="AB49" s="3"/>
      <x:c r="AC49" s="3"/>
      <x:c r="AD49" s="3"/>
      <x:c r="AE49" s="77"/>
      <x:c r="AF49" s="75"/>
      <x:c r="AG49" s="75"/>
      <x:c r="AH49" s="75"/>
      <x:c r="AI49" s="75"/>
      <x:c r="AJ49" s="75"/>
      <x:c r="AK49" s="75"/>
      <x:c r="AL49" s="75"/>
      <x:c r="AM49" s="75"/>
      <x:c r="AN49" s="75"/>
      <x:c r="AO49" s="75"/>
      <x:c r="AP49" s="75"/>
      <x:c r="AQ49" s="75"/>
      <x:c r="AR49" s="75"/>
      <x:c r="AS49" s="75"/>
      <x:c r="AT49" s="75"/>
      <x:c r="AU49" s="75"/>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4"/>
      <x:c r="DQ49" s="4"/>
      <x:c r="DR49" s="4"/>
      <x:c r="DS49" s="4"/>
      <x:c r="DT49" s="4"/>
      <x:c r="DU49" s="4"/>
      <x:c r="DV49" s="4"/>
      <x:c r="DW49" s="4"/>
      <x:c r="DX49" s="4"/>
      <x:c r="DY49" s="4"/>
      <x:c r="DZ49" s="4"/>
      <x:c r="EA49" s="4"/>
      <x:c r="EB49" s="4"/>
      <x:c r="EC49" s="4"/>
      <x:c r="ED49" s="4"/>
      <x:c r="EE49" s="4"/>
      <x:c r="EF49" s="4"/>
      <x:c r="EG49" s="4"/>
      <x:c r="EH49" s="4"/>
      <x:c r="EI49" s="4"/>
      <x:c r="EJ49" s="4"/>
      <x:c r="EK49" s="4"/>
      <x:c r="EL49" s="4"/>
      <x:c r="EM49" s="4"/>
      <x:c r="EN49" s="4"/>
      <x:c r="EO49" s="4"/>
      <x:c r="EP49" s="4"/>
      <x:c r="EQ49" s="4"/>
      <x:c r="ER49" s="4"/>
      <x:c r="ES49" s="4"/>
      <x:c r="ET49" s="4"/>
      <x:c r="EU49" s="4"/>
      <x:c r="EV49" s="4"/>
      <x:c r="EW49" s="4"/>
      <x:c r="EX49" s="4"/>
      <x:c r="EY49" s="4"/>
      <x:c r="EZ49" s="4"/>
      <x:c r="FA49" s="4"/>
      <x:c r="FB49" s="4"/>
      <x:c r="FC49" s="4"/>
      <x:c r="FD49" s="4"/>
      <x:c r="FE49" s="4"/>
      <x:c r="FF49" s="4"/>
      <x:c r="FG49" s="4"/>
      <x:c r="FH49" s="4"/>
      <x:c r="FI49" s="4"/>
      <x:c r="FJ49" s="4"/>
      <x:c r="FK49" s="4"/>
      <x:c r="FL49" s="4"/>
      <x:c r="FM49" s="4"/>
      <x:c r="FN49" s="4"/>
      <x:c r="FO49" s="4"/>
    </x:row>
    <x:row r="50" ht="18" customHeight="1">
      <x:c r="A50" s="3"/>
      <x:c r="B50" s="3"/>
      <x:c r="C50" s="3"/>
      <x:c r="D50" s="3"/>
      <x:c r="E50" s="3"/>
      <x:c r="F50" s="3"/>
      <x:c r="G50" s="3"/>
      <x:c r="H50" s="3"/>
      <x:c r="I50" s="3"/>
      <x:c r="J50" s="3"/>
      <x:c r="K50" s="3"/>
      <x:c r="L50" s="3"/>
      <x:c r="M50" s="3"/>
      <x:c r="N50" s="3"/>
      <x:c r="O50" s="3"/>
      <x:c r="P50" s="3"/>
      <x:c r="Q50" s="3"/>
      <x:c r="R50" s="3"/>
      <x:c r="S50" s="3"/>
      <x:c r="T50" s="3"/>
      <x:c r="U50" s="3"/>
      <x:c r="V50" s="3"/>
      <x:c r="W50" s="3"/>
      <x:c r="X50" s="3"/>
      <x:c r="Y50" s="3"/>
      <x:c r="Z50" s="3"/>
      <x:c r="AA50" s="3"/>
      <x:c r="AB50" s="3"/>
      <x:c r="AC50" s="3"/>
      <x:c r="AD50" s="3"/>
      <x:c r="AE50" s="77"/>
      <x:c r="AF50" s="75"/>
      <x:c r="AG50" s="75"/>
      <x:c r="AH50" s="75"/>
      <x:c r="AI50" s="75"/>
      <x:c r="AJ50" s="75"/>
      <x:c r="AK50" s="75"/>
      <x:c r="AL50" s="75"/>
      <x:c r="AM50" s="75"/>
      <x:c r="AN50" s="75"/>
      <x:c r="AO50" s="75"/>
      <x:c r="AP50" s="75"/>
      <x:c r="AQ50" s="75"/>
      <x:c r="AR50" s="75"/>
      <x:c r="AS50" s="75"/>
      <x:c r="AT50" s="75"/>
      <x:c r="AU50" s="75"/>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4"/>
      <x:c r="DQ50" s="4"/>
      <x:c r="DR50" s="4"/>
      <x:c r="DS50" s="4"/>
      <x:c r="DT50" s="4"/>
      <x:c r="DU50" s="4"/>
      <x:c r="DV50" s="4"/>
      <x:c r="DW50" s="4"/>
      <x:c r="DX50" s="4"/>
      <x:c r="DY50" s="4"/>
      <x:c r="DZ50" s="4"/>
      <x:c r="EA50" s="4"/>
      <x:c r="EB50" s="4"/>
      <x:c r="EC50" s="4"/>
      <x:c r="ED50" s="4"/>
      <x:c r="EE50" s="4"/>
      <x:c r="EF50" s="4"/>
      <x:c r="EG50" s="4"/>
      <x:c r="EH50" s="4"/>
      <x:c r="EI50" s="4"/>
      <x:c r="EJ50" s="4"/>
      <x:c r="EK50" s="4"/>
      <x:c r="EL50" s="4"/>
      <x:c r="EM50" s="4"/>
      <x:c r="EN50" s="4"/>
      <x:c r="EO50" s="4"/>
      <x:c r="EP50" s="4"/>
      <x:c r="EQ50" s="4"/>
      <x:c r="ER50" s="4"/>
      <x:c r="ES50" s="4"/>
      <x:c r="ET50" s="4"/>
      <x:c r="EU50" s="4"/>
      <x:c r="EV50" s="4"/>
      <x:c r="EW50" s="4"/>
      <x:c r="EX50" s="4"/>
      <x:c r="EY50" s="4"/>
      <x:c r="EZ50" s="4"/>
      <x:c r="FA50" s="4"/>
      <x:c r="FB50" s="4"/>
      <x:c r="FC50" s="4"/>
      <x:c r="FD50" s="4"/>
      <x:c r="FE50" s="4"/>
      <x:c r="FF50" s="4"/>
      <x:c r="FG50" s="4"/>
      <x:c r="FH50" s="4"/>
      <x:c r="FI50" s="4"/>
      <x:c r="FJ50" s="4"/>
      <x:c r="FK50" s="4"/>
      <x:c r="FL50" s="4"/>
      <x:c r="FM50" s="4"/>
      <x:c r="FN50" s="4"/>
      <x:c r="FO50" s="4"/>
    </x:row>
    <x:row r="51" ht="18" customHeight="1">
      <x:c r="A51" s="3"/>
      <x:c r="B51" s="3"/>
      <x:c r="C51" s="3"/>
      <x:c r="D51" s="3"/>
      <x:c r="E51" s="3"/>
      <x:c r="F51" s="3"/>
      <x:c r="G51" s="3"/>
      <x:c r="H51" s="3"/>
      <x:c r="I51" s="3"/>
      <x:c r="J51" s="3"/>
      <x:c r="K51" s="3"/>
      <x:c r="L51" s="3"/>
      <x:c r="M51" s="3"/>
      <x:c r="N51" s="3"/>
      <x:c r="O51" s="3"/>
      <x:c r="P51" s="3"/>
      <x:c r="Q51" s="3"/>
      <x:c r="R51" s="3"/>
      <x:c r="S51" s="3"/>
      <x:c r="T51" s="3"/>
      <x:c r="U51" s="3"/>
      <x:c r="V51" s="3"/>
      <x:c r="W51" s="3"/>
      <x:c r="X51" s="3"/>
      <x:c r="Y51" s="3"/>
      <x:c r="Z51" s="3"/>
      <x:c r="AA51" s="3"/>
      <x:c r="AB51" s="3"/>
      <x:c r="AC51" s="3"/>
      <x:c r="AD51" s="3"/>
      <x:c r="AE51" s="77"/>
      <x:c r="AF51" s="75"/>
      <x:c r="AG51" s="75"/>
      <x:c r="AH51" s="75"/>
      <x:c r="AI51" s="75"/>
      <x:c r="AJ51" s="75"/>
      <x:c r="AK51" s="75"/>
      <x:c r="AL51" s="75"/>
      <x:c r="AM51" s="75"/>
      <x:c r="AN51" s="75"/>
      <x:c r="AO51" s="75"/>
      <x:c r="AP51" s="75"/>
      <x:c r="AQ51" s="75"/>
      <x:c r="AR51" s="75"/>
      <x:c r="AS51" s="75"/>
      <x:c r="AT51" s="75"/>
      <x:c r="AU51" s="75"/>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4"/>
      <x:c r="DQ51" s="4"/>
      <x:c r="DR51" s="4"/>
      <x:c r="DS51" s="4"/>
      <x:c r="DT51" s="4"/>
      <x:c r="DU51" s="4"/>
      <x:c r="DV51" s="4"/>
      <x:c r="DW51" s="4"/>
      <x:c r="DX51" s="4"/>
      <x:c r="DY51" s="4"/>
      <x:c r="DZ51" s="4"/>
      <x:c r="EA51" s="4"/>
      <x:c r="EB51" s="4"/>
      <x:c r="EC51" s="4"/>
      <x:c r="ED51" s="4"/>
      <x:c r="EE51" s="4"/>
      <x:c r="EF51" s="4"/>
      <x:c r="EG51" s="4"/>
      <x:c r="EH51" s="4"/>
      <x:c r="EI51" s="4"/>
      <x:c r="EJ51" s="4"/>
      <x:c r="EK51" s="4"/>
      <x:c r="EL51" s="4"/>
      <x:c r="EM51" s="4"/>
      <x:c r="EN51" s="4"/>
      <x:c r="EO51" s="4"/>
      <x:c r="EP51" s="4"/>
      <x:c r="EQ51" s="4"/>
      <x:c r="ER51" s="4"/>
      <x:c r="ES51" s="4"/>
      <x:c r="ET51" s="4"/>
      <x:c r="EU51" s="4"/>
      <x:c r="EV51" s="4"/>
      <x:c r="EW51" s="4"/>
      <x:c r="EX51" s="4"/>
      <x:c r="EY51" s="4"/>
      <x:c r="EZ51" s="4"/>
      <x:c r="FA51" s="4"/>
      <x:c r="FB51" s="4"/>
      <x:c r="FC51" s="4"/>
      <x:c r="FD51" s="4"/>
      <x:c r="FE51" s="4"/>
      <x:c r="FF51" s="4"/>
      <x:c r="FG51" s="4"/>
      <x:c r="FH51" s="4"/>
      <x:c r="FI51" s="4"/>
      <x:c r="FJ51" s="4"/>
      <x:c r="FK51" s="4"/>
      <x:c r="FL51" s="4"/>
      <x:c r="FM51" s="4"/>
      <x:c r="FN51" s="4"/>
      <x:c r="FO51" s="4"/>
    </x:row>
    <x:row r="52" ht="18" customHeight="1">
      <x:c r="A52" s="3"/>
      <x:c r="B52" s="3"/>
      <x:c r="C52" s="3"/>
      <x:c r="D52" s="3"/>
      <x:c r="E52" s="3"/>
      <x:c r="F52" s="3"/>
      <x:c r="G52" s="3"/>
      <x:c r="H52" s="3"/>
      <x:c r="I52" s="3"/>
      <x:c r="J52" s="3"/>
      <x:c r="K52" s="3"/>
      <x:c r="L52" s="3"/>
      <x:c r="M52" s="3"/>
      <x:c r="N52" s="3"/>
      <x:c r="O52" s="3"/>
      <x:c r="P52" s="3"/>
      <x:c r="Q52" s="3"/>
      <x:c r="R52" s="3"/>
      <x:c r="S52" s="3"/>
      <x:c r="T52" s="3"/>
      <x:c r="U52" s="3"/>
      <x:c r="V52" s="3"/>
      <x:c r="W52" s="3"/>
      <x:c r="X52" s="3"/>
      <x:c r="Y52" s="3"/>
      <x:c r="Z52" s="3"/>
      <x:c r="AA52" s="3"/>
      <x:c r="AB52" s="3"/>
      <x:c r="AC52" s="3"/>
      <x:c r="AD52" s="3"/>
      <x:c r="AE52" s="77"/>
      <x:c r="AF52" s="75"/>
      <x:c r="AG52" s="75"/>
      <x:c r="AH52" s="75"/>
      <x:c r="AI52" s="75"/>
      <x:c r="AJ52" s="75"/>
      <x:c r="AK52" s="75"/>
      <x:c r="AL52" s="75"/>
      <x:c r="AM52" s="75"/>
      <x:c r="AN52" s="75"/>
      <x:c r="AO52" s="75"/>
      <x:c r="AP52" s="75"/>
      <x:c r="AQ52" s="75"/>
      <x:c r="AR52" s="75"/>
      <x:c r="AS52" s="75"/>
      <x:c r="AT52" s="75"/>
      <x:c r="AU52" s="75"/>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4"/>
      <x:c r="DQ52" s="4"/>
      <x:c r="DR52" s="4"/>
      <x:c r="DS52" s="4"/>
      <x:c r="DT52" s="4"/>
      <x:c r="DU52" s="4"/>
      <x:c r="DV52" s="4"/>
      <x:c r="DW52" s="4"/>
      <x:c r="DX52" s="4"/>
      <x:c r="DY52" s="4"/>
      <x:c r="DZ52" s="4"/>
      <x:c r="EA52" s="4"/>
      <x:c r="EB52" s="4"/>
      <x:c r="EC52" s="4"/>
      <x:c r="ED52" s="4"/>
      <x:c r="EE52" s="4"/>
      <x:c r="EF52" s="4"/>
      <x:c r="EG52" s="4"/>
      <x:c r="EH52" s="4"/>
      <x:c r="EI52" s="4"/>
      <x:c r="EJ52" s="4"/>
      <x:c r="EK52" s="4"/>
      <x:c r="EL52" s="4"/>
      <x:c r="EM52" s="4"/>
      <x:c r="EN52" s="4"/>
      <x:c r="EO52" s="4"/>
      <x:c r="EP52" s="4"/>
      <x:c r="EQ52" s="4"/>
      <x:c r="ER52" s="4"/>
      <x:c r="ES52" s="4"/>
      <x:c r="ET52" s="4"/>
      <x:c r="EU52" s="4"/>
      <x:c r="EV52" s="4"/>
      <x:c r="EW52" s="4"/>
      <x:c r="EX52" s="4"/>
      <x:c r="EY52" s="4"/>
      <x:c r="EZ52" s="4"/>
      <x:c r="FA52" s="4"/>
      <x:c r="FB52" s="4"/>
      <x:c r="FC52" s="4"/>
      <x:c r="FD52" s="4"/>
      <x:c r="FE52" s="4"/>
      <x:c r="FF52" s="4"/>
      <x:c r="FG52" s="4"/>
      <x:c r="FH52" s="4"/>
      <x:c r="FI52" s="4"/>
      <x:c r="FJ52" s="4"/>
      <x:c r="FK52" s="4"/>
      <x:c r="FL52" s="4"/>
      <x:c r="FM52" s="4"/>
      <x:c r="FN52" s="4"/>
      <x:c r="FO52" s="4"/>
    </x:row>
    <x:row r="53" ht="18" customHeight="1">
      <x:c r="A53" s="3"/>
      <x:c r="B53" s="3"/>
      <x:c r="C53" s="3"/>
      <x:c r="D53" s="3"/>
      <x:c r="E53" s="3"/>
      <x:c r="F53" s="3"/>
      <x:c r="G53" s="3"/>
      <x:c r="H53" s="3"/>
      <x:c r="I53" s="3"/>
      <x:c r="J53" s="3"/>
      <x:c r="K53" s="3"/>
      <x:c r="L53" s="3"/>
      <x:c r="M53" s="3"/>
      <x:c r="N53" s="3"/>
      <x:c r="O53" s="3"/>
      <x:c r="P53" s="3"/>
      <x:c r="Q53" s="3"/>
      <x:c r="R53" s="3"/>
      <x:c r="S53" s="3"/>
      <x:c r="T53" s="3"/>
      <x:c r="U53" s="3"/>
      <x:c r="V53" s="3"/>
      <x:c r="W53" s="3"/>
      <x:c r="X53" s="3"/>
      <x:c r="Y53" s="3"/>
      <x:c r="Z53" s="3"/>
      <x:c r="AA53" s="3"/>
      <x:c r="AB53" s="3"/>
      <x:c r="AC53" s="3"/>
      <x:c r="AD53" s="3"/>
      <x:c r="AE53" s="77"/>
      <x:c r="AF53" s="75"/>
      <x:c r="AG53" s="75"/>
      <x:c r="AH53" s="75"/>
      <x:c r="AI53" s="75"/>
      <x:c r="AJ53" s="75"/>
      <x:c r="AK53" s="75"/>
      <x:c r="AL53" s="75"/>
      <x:c r="AM53" s="75"/>
      <x:c r="AN53" s="75"/>
      <x:c r="AO53" s="75"/>
      <x:c r="AP53" s="75"/>
      <x:c r="AQ53" s="75"/>
      <x:c r="AR53" s="75"/>
      <x:c r="AS53" s="75"/>
      <x:c r="AT53" s="75"/>
      <x:c r="AU53" s="75"/>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4"/>
      <x:c r="DQ53" s="4"/>
      <x:c r="DR53" s="4"/>
      <x:c r="DS53" s="4"/>
      <x:c r="DT53" s="4"/>
      <x:c r="DU53" s="4"/>
      <x:c r="DV53" s="4"/>
      <x:c r="DW53" s="4"/>
      <x:c r="DX53" s="4"/>
      <x:c r="DY53" s="4"/>
      <x:c r="DZ53" s="4"/>
      <x:c r="EA53" s="4"/>
      <x:c r="EB53" s="4"/>
      <x:c r="EC53" s="4"/>
      <x:c r="ED53" s="4"/>
      <x:c r="EE53" s="4"/>
      <x:c r="EF53" s="4"/>
      <x:c r="EG53" s="4"/>
      <x:c r="EH53" s="4"/>
      <x:c r="EI53" s="4"/>
      <x:c r="EJ53" s="4"/>
      <x:c r="EK53" s="4"/>
      <x:c r="EL53" s="4"/>
      <x:c r="EM53" s="4"/>
      <x:c r="EN53" s="4"/>
      <x:c r="EO53" s="4"/>
      <x:c r="EP53" s="4"/>
      <x:c r="EQ53" s="4"/>
      <x:c r="ER53" s="4"/>
      <x:c r="ES53" s="4"/>
      <x:c r="ET53" s="4"/>
      <x:c r="EU53" s="4"/>
      <x:c r="EV53" s="4"/>
      <x:c r="EW53" s="4"/>
      <x:c r="EX53" s="4"/>
      <x:c r="EY53" s="4"/>
      <x:c r="EZ53" s="4"/>
      <x:c r="FA53" s="4"/>
      <x:c r="FB53" s="4"/>
      <x:c r="FC53" s="4"/>
      <x:c r="FD53" s="4"/>
      <x:c r="FE53" s="4"/>
      <x:c r="FF53" s="4"/>
      <x:c r="FG53" s="4"/>
      <x:c r="FH53" s="4"/>
      <x:c r="FI53" s="4"/>
      <x:c r="FJ53" s="4"/>
      <x:c r="FK53" s="4"/>
      <x:c r="FL53" s="4"/>
      <x:c r="FM53" s="4"/>
      <x:c r="FN53" s="4"/>
      <x:c r="FO53" s="4"/>
    </x:row>
    <x:row r="54" ht="18" customHeight="1">
      <x:c r="A54" s="3"/>
      <x:c r="B54" s="3"/>
      <x:c r="C54" s="3"/>
      <x:c r="D54" s="3"/>
      <x:c r="E54" s="3"/>
      <x:c r="F54" s="3"/>
      <x:c r="G54" s="3"/>
      <x:c r="H54" s="3"/>
      <x:c r="I54" s="3"/>
      <x:c r="J54" s="3"/>
      <x:c r="K54" s="3"/>
      <x:c r="L54" s="3"/>
      <x:c r="M54" s="3"/>
      <x:c r="N54" s="3"/>
      <x:c r="O54" s="3"/>
      <x:c r="P54" s="3"/>
      <x:c r="Q54" s="3"/>
      <x:c r="R54" s="3"/>
      <x:c r="S54" s="3"/>
      <x:c r="T54" s="3"/>
      <x:c r="U54" s="3"/>
      <x:c r="V54" s="3"/>
      <x:c r="W54" s="3"/>
      <x:c r="X54" s="3"/>
      <x:c r="Y54" s="3"/>
      <x:c r="Z54" s="3"/>
      <x:c r="AA54" s="3"/>
      <x:c r="AB54" s="3"/>
      <x:c r="AC54" s="3"/>
      <x:c r="AD54" s="3"/>
      <x:c r="AE54" s="77"/>
      <x:c r="AF54" s="75"/>
      <x:c r="AG54" s="75"/>
      <x:c r="AH54" s="75"/>
      <x:c r="AI54" s="75"/>
      <x:c r="AJ54" s="75"/>
      <x:c r="AK54" s="75"/>
      <x:c r="AL54" s="75"/>
      <x:c r="AM54" s="75"/>
      <x:c r="AN54" s="75"/>
      <x:c r="AO54" s="75"/>
      <x:c r="AP54" s="75"/>
      <x:c r="AQ54" s="75"/>
      <x:c r="AR54" s="75"/>
      <x:c r="AS54" s="75"/>
      <x:c r="AT54" s="75"/>
      <x:c r="AU54" s="75"/>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4"/>
      <x:c r="DQ54" s="4"/>
      <x:c r="DR54" s="4"/>
      <x:c r="DS54" s="4"/>
      <x:c r="DT54" s="4"/>
      <x:c r="DU54" s="4"/>
      <x:c r="DV54" s="4"/>
      <x:c r="DW54" s="4"/>
      <x:c r="DX54" s="4"/>
      <x:c r="DY54" s="4"/>
      <x:c r="DZ54" s="4"/>
      <x:c r="EA54" s="4"/>
      <x:c r="EB54" s="4"/>
      <x:c r="EC54" s="4"/>
      <x:c r="ED54" s="4"/>
      <x:c r="EE54" s="4"/>
      <x:c r="EF54" s="4"/>
      <x:c r="EG54" s="4"/>
      <x:c r="EH54" s="4"/>
      <x:c r="EI54" s="4"/>
      <x:c r="EJ54" s="4"/>
      <x:c r="EK54" s="4"/>
      <x:c r="EL54" s="4"/>
      <x:c r="EM54" s="4"/>
      <x:c r="EN54" s="4"/>
      <x:c r="EO54" s="4"/>
      <x:c r="EP54" s="4"/>
      <x:c r="EQ54" s="4"/>
      <x:c r="ER54" s="4"/>
      <x:c r="ES54" s="4"/>
      <x:c r="ET54" s="4"/>
      <x:c r="EU54" s="4"/>
      <x:c r="EV54" s="4"/>
      <x:c r="EW54" s="4"/>
      <x:c r="EX54" s="4"/>
      <x:c r="EY54" s="4"/>
      <x:c r="EZ54" s="4"/>
      <x:c r="FA54" s="4"/>
      <x:c r="FB54" s="4"/>
      <x:c r="FC54" s="4"/>
      <x:c r="FD54" s="4"/>
      <x:c r="FE54" s="4"/>
      <x:c r="FF54" s="4"/>
      <x:c r="FG54" s="4"/>
      <x:c r="FH54" s="4"/>
      <x:c r="FI54" s="4"/>
      <x:c r="FJ54" s="4"/>
      <x:c r="FK54" s="4"/>
      <x:c r="FL54" s="4"/>
      <x:c r="FM54" s="4"/>
      <x:c r="FN54" s="4"/>
      <x:c r="FO54" s="4"/>
    </x:row>
    <x:row r="55" ht="18" customHeight="1">
      <x:c r="A55" s="3"/>
      <x:c r="B55" s="3"/>
      <x:c r="C55" s="3"/>
      <x:c r="D55" s="3"/>
      <x:c r="E55" s="3"/>
      <x:c r="F55" s="3"/>
      <x:c r="G55" s="3"/>
      <x:c r="H55" s="3"/>
      <x:c r="I55" s="3"/>
      <x:c r="J55" s="3"/>
      <x:c r="K55" s="3"/>
      <x:c r="L55" s="3"/>
      <x:c r="M55" s="3"/>
      <x:c r="N55" s="3"/>
      <x:c r="O55" s="3"/>
      <x:c r="P55" s="3"/>
      <x:c r="Q55" s="3"/>
      <x:c r="R55" s="3"/>
      <x:c r="S55" s="3"/>
      <x:c r="T55" s="3"/>
      <x:c r="U55" s="3"/>
      <x:c r="V55" s="3"/>
      <x:c r="W55" s="3"/>
      <x:c r="X55" s="3"/>
      <x:c r="Y55" s="3"/>
      <x:c r="Z55" s="3"/>
      <x:c r="AA55" s="3"/>
      <x:c r="AB55" s="3"/>
      <x:c r="AC55" s="3"/>
      <x:c r="AD55" s="3"/>
      <x:c r="AE55" s="77"/>
      <x:c r="AF55" s="75"/>
      <x:c r="AG55" s="75"/>
      <x:c r="AH55" s="75"/>
      <x:c r="AI55" s="75"/>
      <x:c r="AJ55" s="75"/>
      <x:c r="AK55" s="75"/>
      <x:c r="AL55" s="75"/>
      <x:c r="AM55" s="75"/>
      <x:c r="AN55" s="75"/>
      <x:c r="AO55" s="75"/>
      <x:c r="AP55" s="75"/>
      <x:c r="AQ55" s="75"/>
      <x:c r="AR55" s="75"/>
      <x:c r="AS55" s="75"/>
      <x:c r="AT55" s="75"/>
      <x:c r="AU55" s="75"/>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4"/>
      <x:c r="DQ55" s="4"/>
      <x:c r="DR55" s="4"/>
      <x:c r="DS55" s="4"/>
      <x:c r="DT55" s="4"/>
      <x:c r="DU55" s="4"/>
      <x:c r="DV55" s="4"/>
      <x:c r="DW55" s="4"/>
      <x:c r="DX55" s="4"/>
      <x:c r="DY55" s="4"/>
      <x:c r="DZ55" s="4"/>
      <x:c r="EA55" s="4"/>
      <x:c r="EB55" s="4"/>
      <x:c r="EC55" s="4"/>
      <x:c r="ED55" s="4"/>
      <x:c r="EE55" s="4"/>
      <x:c r="EF55" s="4"/>
      <x:c r="EG55" s="4"/>
      <x:c r="EH55" s="4"/>
      <x:c r="EI55" s="4"/>
      <x:c r="EJ55" s="4"/>
      <x:c r="EK55" s="4"/>
      <x:c r="EL55" s="4"/>
      <x:c r="EM55" s="4"/>
      <x:c r="EN55" s="4"/>
      <x:c r="EO55" s="4"/>
      <x:c r="EP55" s="4"/>
      <x:c r="EQ55" s="4"/>
      <x:c r="ER55" s="4"/>
      <x:c r="ES55" s="4"/>
      <x:c r="ET55" s="4"/>
      <x:c r="EU55" s="4"/>
      <x:c r="EV55" s="4"/>
      <x:c r="EW55" s="4"/>
      <x:c r="EX55" s="4"/>
      <x:c r="EY55" s="4"/>
      <x:c r="EZ55" s="4"/>
      <x:c r="FA55" s="4"/>
      <x:c r="FB55" s="4"/>
      <x:c r="FC55" s="4"/>
      <x:c r="FD55" s="4"/>
      <x:c r="FE55" s="4"/>
      <x:c r="FF55" s="4"/>
      <x:c r="FG55" s="4"/>
      <x:c r="FH55" s="4"/>
      <x:c r="FI55" s="4"/>
      <x:c r="FJ55" s="4"/>
      <x:c r="FK55" s="4"/>
      <x:c r="FL55" s="4"/>
      <x:c r="FM55" s="4"/>
      <x:c r="FN55" s="4"/>
      <x:c r="FO55" s="4"/>
    </x:row>
    <x:row r="56" ht="18" customHeight="1">
      <x:c r="A56" s="3"/>
      <x:c r="B56" s="3"/>
      <x:c r="C56" s="3"/>
      <x:c r="D56" s="3"/>
      <x:c r="E56" s="3"/>
      <x:c r="F56" s="3"/>
      <x:c r="G56" s="3"/>
      <x:c r="H56" s="3"/>
      <x:c r="I56" s="3"/>
      <x:c r="J56" s="3"/>
      <x:c r="K56" s="3"/>
      <x:c r="L56" s="3"/>
      <x:c r="M56" s="3"/>
      <x:c r="N56" s="3"/>
      <x:c r="O56" s="3"/>
      <x:c r="P56" s="3"/>
      <x:c r="Q56" s="3"/>
      <x:c r="R56" s="3"/>
      <x:c r="S56" s="3"/>
      <x:c r="T56" s="3"/>
      <x:c r="U56" s="3"/>
      <x:c r="V56" s="3"/>
      <x:c r="W56" s="3"/>
      <x:c r="X56" s="3"/>
      <x:c r="Y56" s="3"/>
      <x:c r="Z56" s="3"/>
      <x:c r="AA56" s="3"/>
      <x:c r="AB56" s="3"/>
      <x:c r="AC56" s="3"/>
      <x:c r="AD56" s="3"/>
      <x:c r="AE56" s="77"/>
      <x:c r="AF56" s="75"/>
      <x:c r="AG56" s="75"/>
      <x:c r="AH56" s="75"/>
      <x:c r="AI56" s="75"/>
      <x:c r="AJ56" s="75"/>
      <x:c r="AK56" s="75"/>
      <x:c r="AL56" s="75"/>
      <x:c r="AM56" s="75"/>
      <x:c r="AN56" s="75"/>
      <x:c r="AO56" s="75"/>
      <x:c r="AP56" s="75"/>
      <x:c r="AQ56" s="75"/>
      <x:c r="AR56" s="75"/>
      <x:c r="AS56" s="75"/>
      <x:c r="AT56" s="75"/>
      <x:c r="AU56" s="75"/>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4"/>
      <x:c r="DQ56" s="4"/>
      <x:c r="DR56" s="4"/>
      <x:c r="DS56" s="4"/>
      <x:c r="DT56" s="4"/>
      <x:c r="DU56" s="4"/>
      <x:c r="DV56" s="4"/>
      <x:c r="DW56" s="4"/>
      <x:c r="DX56" s="4"/>
      <x:c r="DY56" s="4"/>
      <x:c r="DZ56" s="4"/>
      <x:c r="EA56" s="4"/>
      <x:c r="EB56" s="4"/>
      <x:c r="EC56" s="4"/>
      <x:c r="ED56" s="4"/>
      <x:c r="EE56" s="4"/>
      <x:c r="EF56" s="4"/>
      <x:c r="EG56" s="4"/>
      <x:c r="EH56" s="4"/>
      <x:c r="EI56" s="4"/>
      <x:c r="EJ56" s="4"/>
      <x:c r="EK56" s="4"/>
      <x:c r="EL56" s="4"/>
      <x:c r="EM56" s="4"/>
      <x:c r="EN56" s="4"/>
      <x:c r="EO56" s="4"/>
      <x:c r="EP56" s="4"/>
      <x:c r="EQ56" s="4"/>
      <x:c r="ER56" s="4"/>
      <x:c r="ES56" s="4"/>
      <x:c r="ET56" s="4"/>
      <x:c r="EU56" s="4"/>
      <x:c r="EV56" s="4"/>
      <x:c r="EW56" s="4"/>
      <x:c r="EX56" s="4"/>
      <x:c r="EY56" s="4"/>
      <x:c r="EZ56" s="4"/>
      <x:c r="FA56" s="4"/>
      <x:c r="FB56" s="4"/>
      <x:c r="FC56" s="4"/>
      <x:c r="FD56" s="4"/>
      <x:c r="FE56" s="4"/>
      <x:c r="FF56" s="4"/>
      <x:c r="FG56" s="4"/>
      <x:c r="FH56" s="4"/>
      <x:c r="FI56" s="4"/>
      <x:c r="FJ56" s="4"/>
      <x:c r="FK56" s="4"/>
      <x:c r="FL56" s="4"/>
      <x:c r="FM56" s="4"/>
      <x:c r="FN56" s="4"/>
      <x:c r="FO56" s="4"/>
    </x:row>
    <x:row r="57" ht="18" customHeight="1">
      <x:c r="A57" s="3"/>
      <x:c r="B57" s="3"/>
      <x:c r="C57" s="3"/>
      <x:c r="D57" s="3"/>
      <x:c r="E57" s="3"/>
      <x:c r="F57" s="3"/>
      <x:c r="G57" s="3"/>
      <x:c r="H57" s="3"/>
      <x:c r="I57" s="3"/>
      <x:c r="J57" s="3"/>
      <x:c r="K57" s="3"/>
      <x:c r="L57" s="3"/>
      <x:c r="M57" s="3"/>
      <x:c r="N57" s="3"/>
      <x:c r="O57" s="3"/>
      <x:c r="P57" s="3"/>
      <x:c r="Q57" s="3"/>
      <x:c r="R57" s="3"/>
      <x:c r="S57" s="3"/>
      <x:c r="T57" s="3"/>
      <x:c r="U57" s="3"/>
      <x:c r="V57" s="3"/>
      <x:c r="W57" s="3"/>
      <x:c r="X57" s="3"/>
      <x:c r="Y57" s="3"/>
      <x:c r="Z57" s="3"/>
      <x:c r="AA57" s="3"/>
      <x:c r="AB57" s="3"/>
      <x:c r="AC57" s="3"/>
      <x:c r="AD57" s="3"/>
      <x:c r="AE57" s="77"/>
      <x:c r="AF57" s="75"/>
      <x:c r="AG57" s="75"/>
      <x:c r="AH57" s="75"/>
      <x:c r="AI57" s="75"/>
      <x:c r="AJ57" s="75"/>
      <x:c r="AK57" s="75"/>
      <x:c r="AL57" s="75"/>
      <x:c r="AM57" s="75"/>
      <x:c r="AN57" s="75"/>
      <x:c r="AO57" s="75"/>
      <x:c r="AP57" s="75"/>
      <x:c r="AQ57" s="75"/>
      <x:c r="AR57" s="75"/>
      <x:c r="AS57" s="75"/>
      <x:c r="AT57" s="75"/>
      <x:c r="AU57" s="75"/>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4"/>
      <x:c r="DQ57" s="4"/>
      <x:c r="DR57" s="4"/>
      <x:c r="DS57" s="4"/>
      <x:c r="DT57" s="4"/>
      <x:c r="DU57" s="4"/>
      <x:c r="DV57" s="4"/>
      <x:c r="DW57" s="4"/>
      <x:c r="DX57" s="4"/>
      <x:c r="DY57" s="4"/>
      <x:c r="DZ57" s="4"/>
      <x:c r="EA57" s="4"/>
      <x:c r="EB57" s="4"/>
      <x:c r="EC57" s="4"/>
      <x:c r="ED57" s="4"/>
      <x:c r="EE57" s="4"/>
      <x:c r="EF57" s="4"/>
      <x:c r="EG57" s="4"/>
      <x:c r="EH57" s="4"/>
      <x:c r="EI57" s="4"/>
      <x:c r="EJ57" s="4"/>
      <x:c r="EK57" s="4"/>
      <x:c r="EL57" s="4"/>
      <x:c r="EM57" s="4"/>
      <x:c r="EN57" s="4"/>
      <x:c r="EO57" s="4"/>
      <x:c r="EP57" s="4"/>
      <x:c r="EQ57" s="4"/>
      <x:c r="ER57" s="4"/>
      <x:c r="ES57" s="4"/>
      <x:c r="ET57" s="4"/>
      <x:c r="EU57" s="4"/>
      <x:c r="EV57" s="4"/>
      <x:c r="EW57" s="4"/>
      <x:c r="EX57" s="4"/>
      <x:c r="EY57" s="4"/>
      <x:c r="EZ57" s="4"/>
      <x:c r="FA57" s="4"/>
      <x:c r="FB57" s="4"/>
      <x:c r="FC57" s="4"/>
      <x:c r="FD57" s="4"/>
      <x:c r="FE57" s="4"/>
      <x:c r="FF57" s="4"/>
      <x:c r="FG57" s="4"/>
      <x:c r="FH57" s="4"/>
      <x:c r="FI57" s="4"/>
      <x:c r="FJ57" s="4"/>
      <x:c r="FK57" s="4"/>
      <x:c r="FL57" s="4"/>
      <x:c r="FM57" s="4"/>
      <x:c r="FN57" s="4"/>
      <x:c r="FO57" s="4"/>
    </x:row>
    <x:row r="58" ht="18" customHeight="1">
      <x:c r="A58" s="3"/>
      <x:c r="B58" s="3"/>
      <x:c r="C58" s="3"/>
      <x:c r="D58" s="3"/>
      <x:c r="E58" s="3"/>
      <x:c r="F58" s="3"/>
      <x:c r="G58" s="3"/>
      <x:c r="H58" s="3"/>
      <x:c r="I58" s="3"/>
      <x:c r="J58" s="3"/>
      <x:c r="K58" s="3"/>
      <x:c r="L58" s="3"/>
      <x:c r="M58" s="3"/>
      <x:c r="N58" s="3"/>
      <x:c r="O58" s="3"/>
      <x:c r="P58" s="3"/>
      <x:c r="Q58" s="3"/>
      <x:c r="R58" s="3"/>
      <x:c r="S58" s="3"/>
      <x:c r="T58" s="3"/>
      <x:c r="U58" s="3"/>
      <x:c r="V58" s="3"/>
      <x:c r="W58" s="3"/>
      <x:c r="X58" s="3"/>
      <x:c r="Y58" s="3"/>
      <x:c r="Z58" s="3"/>
      <x:c r="AA58" s="3"/>
      <x:c r="AB58" s="3"/>
      <x:c r="AC58" s="3"/>
      <x:c r="AD58" s="3"/>
      <x:c r="AE58" s="77"/>
      <x:c r="AF58" s="75"/>
      <x:c r="AG58" s="75"/>
      <x:c r="AH58" s="75"/>
      <x:c r="AI58" s="75"/>
      <x:c r="AJ58" s="75"/>
      <x:c r="AK58" s="75"/>
      <x:c r="AL58" s="75"/>
      <x:c r="AM58" s="75"/>
      <x:c r="AN58" s="75"/>
      <x:c r="AO58" s="75"/>
      <x:c r="AP58" s="75"/>
      <x:c r="AQ58" s="75"/>
      <x:c r="AR58" s="75"/>
      <x:c r="AS58" s="75"/>
      <x:c r="AT58" s="75"/>
      <x:c r="AU58" s="75"/>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4"/>
      <x:c r="DQ58" s="4"/>
      <x:c r="DR58" s="4"/>
      <x:c r="DS58" s="4"/>
      <x:c r="DT58" s="4"/>
      <x:c r="DU58" s="4"/>
      <x:c r="DV58" s="4"/>
      <x:c r="DW58" s="4"/>
      <x:c r="DX58" s="4"/>
      <x:c r="DY58" s="4"/>
      <x:c r="DZ58" s="4"/>
      <x:c r="EA58" s="4"/>
      <x:c r="EB58" s="4"/>
      <x:c r="EC58" s="4"/>
      <x:c r="ED58" s="4"/>
      <x:c r="EE58" s="4"/>
      <x:c r="EF58" s="4"/>
      <x:c r="EG58" s="4"/>
      <x:c r="EH58" s="4"/>
      <x:c r="EI58" s="4"/>
      <x:c r="EJ58" s="4"/>
      <x:c r="EK58" s="4"/>
      <x:c r="EL58" s="4"/>
      <x:c r="EM58" s="4"/>
      <x:c r="EN58" s="4"/>
      <x:c r="EO58" s="4"/>
      <x:c r="EP58" s="4"/>
      <x:c r="EQ58" s="4"/>
      <x:c r="ER58" s="4"/>
      <x:c r="ES58" s="4"/>
      <x:c r="ET58" s="4"/>
      <x:c r="EU58" s="4"/>
      <x:c r="EV58" s="4"/>
      <x:c r="EW58" s="4"/>
      <x:c r="EX58" s="4"/>
      <x:c r="EY58" s="4"/>
      <x:c r="EZ58" s="4"/>
      <x:c r="FA58" s="4"/>
      <x:c r="FB58" s="4"/>
      <x:c r="FC58" s="4"/>
      <x:c r="FD58" s="4"/>
      <x:c r="FE58" s="4"/>
      <x:c r="FF58" s="4"/>
      <x:c r="FG58" s="4"/>
      <x:c r="FH58" s="4"/>
      <x:c r="FI58" s="4"/>
      <x:c r="FJ58" s="4"/>
      <x:c r="FK58" s="4"/>
      <x:c r="FL58" s="4"/>
      <x:c r="FM58" s="4"/>
      <x:c r="FN58" s="4"/>
      <x:c r="FO58" s="4"/>
    </x:row>
    <x:row r="59" ht="18" customHeight="1">
      <x:c r="A59" s="3"/>
      <x:c r="B59" s="3"/>
      <x:c r="C59" s="3"/>
      <x:c r="D59" s="3"/>
      <x:c r="E59" s="3"/>
      <x:c r="F59" s="3"/>
      <x:c r="G59" s="3"/>
      <x:c r="H59" s="3"/>
      <x:c r="I59" s="3"/>
      <x:c r="J59" s="3"/>
      <x:c r="K59" s="3"/>
      <x:c r="L59" s="3"/>
      <x:c r="M59" s="3"/>
      <x:c r="N59" s="3"/>
      <x:c r="O59" s="3"/>
      <x:c r="P59" s="3"/>
      <x:c r="Q59" s="3"/>
      <x:c r="R59" s="3"/>
      <x:c r="S59" s="3"/>
      <x:c r="T59" s="3"/>
      <x:c r="U59" s="3"/>
      <x:c r="V59" s="3"/>
      <x:c r="W59" s="3"/>
      <x:c r="X59" s="3"/>
      <x:c r="Y59" s="3"/>
      <x:c r="Z59" s="3"/>
      <x:c r="AA59" s="3"/>
      <x:c r="AB59" s="3"/>
      <x:c r="AC59" s="3"/>
      <x:c r="AD59" s="3"/>
      <x:c r="AE59" s="77"/>
      <x:c r="AF59" s="75"/>
      <x:c r="AG59" s="75"/>
      <x:c r="AH59" s="75"/>
      <x:c r="AI59" s="75"/>
      <x:c r="AJ59" s="75"/>
      <x:c r="AK59" s="75"/>
      <x:c r="AL59" s="75"/>
      <x:c r="AM59" s="75"/>
      <x:c r="AN59" s="75"/>
      <x:c r="AO59" s="75"/>
      <x:c r="AP59" s="75"/>
      <x:c r="AQ59" s="75"/>
      <x:c r="AR59" s="75"/>
      <x:c r="AS59" s="75"/>
      <x:c r="AT59" s="75"/>
      <x:c r="AU59" s="75"/>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4"/>
      <x:c r="DQ59" s="4"/>
      <x:c r="DR59" s="4"/>
      <x:c r="DS59" s="4"/>
      <x:c r="DT59" s="4"/>
      <x:c r="DU59" s="4"/>
      <x:c r="DV59" s="4"/>
      <x:c r="DW59" s="4"/>
      <x:c r="DX59" s="4"/>
      <x:c r="DY59" s="4"/>
      <x:c r="DZ59" s="4"/>
      <x:c r="EA59" s="4"/>
      <x:c r="EB59" s="4"/>
      <x:c r="EC59" s="4"/>
      <x:c r="ED59" s="4"/>
      <x:c r="EE59" s="4"/>
      <x:c r="EF59" s="4"/>
      <x:c r="EG59" s="4"/>
      <x:c r="EH59" s="4"/>
      <x:c r="EI59" s="4"/>
      <x:c r="EJ59" s="4"/>
      <x:c r="EK59" s="4"/>
      <x:c r="EL59" s="4"/>
      <x:c r="EM59" s="4"/>
      <x:c r="EN59" s="4"/>
      <x:c r="EO59" s="4"/>
      <x:c r="EP59" s="4"/>
      <x:c r="EQ59" s="4"/>
      <x:c r="ER59" s="4"/>
      <x:c r="ES59" s="4"/>
      <x:c r="ET59" s="4"/>
      <x:c r="EU59" s="4"/>
      <x:c r="EV59" s="4"/>
      <x:c r="EW59" s="4"/>
      <x:c r="EX59" s="4"/>
      <x:c r="EY59" s="4"/>
      <x:c r="EZ59" s="4"/>
      <x:c r="FA59" s="4"/>
      <x:c r="FB59" s="4"/>
      <x:c r="FC59" s="4"/>
      <x:c r="FD59" s="4"/>
      <x:c r="FE59" s="4"/>
      <x:c r="FF59" s="4"/>
      <x:c r="FG59" s="4"/>
      <x:c r="FH59" s="4"/>
      <x:c r="FI59" s="4"/>
      <x:c r="FJ59" s="4"/>
      <x:c r="FK59" s="4"/>
      <x:c r="FL59" s="4"/>
      <x:c r="FM59" s="4"/>
      <x:c r="FN59" s="4"/>
      <x:c r="FO59" s="4"/>
    </x:row>
    <x:row r="60" ht="18" customHeight="1">
      <x:c r="A60" s="3"/>
      <x:c r="B60" s="3"/>
      <x:c r="C60" s="3"/>
      <x:c r="D60" s="3"/>
      <x:c r="E60" s="3"/>
      <x:c r="F60" s="3"/>
      <x:c r="G60" s="3"/>
      <x:c r="H60" s="3"/>
      <x:c r="I60" s="3"/>
      <x:c r="J60" s="3"/>
      <x:c r="K60" s="3"/>
      <x:c r="L60" s="3"/>
      <x:c r="M60" s="3"/>
      <x:c r="N60" s="3"/>
      <x:c r="O60" s="3"/>
      <x:c r="P60" s="3"/>
      <x:c r="Q60" s="3"/>
      <x:c r="R60" s="3"/>
      <x:c r="S60" s="3"/>
      <x:c r="T60" s="3"/>
      <x:c r="U60" s="3"/>
      <x:c r="V60" s="3"/>
      <x:c r="W60" s="3"/>
      <x:c r="X60" s="3"/>
      <x:c r="Y60" s="3"/>
      <x:c r="Z60" s="3"/>
      <x:c r="AA60" s="3"/>
      <x:c r="AB60" s="3"/>
      <x:c r="AC60" s="3"/>
      <x:c r="AD60" s="3"/>
      <x:c r="AE60" s="77"/>
      <x:c r="AF60" s="75"/>
      <x:c r="AG60" s="75"/>
      <x:c r="AH60" s="75"/>
      <x:c r="AI60" s="75"/>
      <x:c r="AJ60" s="75"/>
      <x:c r="AK60" s="75"/>
      <x:c r="AL60" s="75"/>
      <x:c r="AM60" s="75"/>
      <x:c r="AN60" s="75"/>
      <x:c r="AO60" s="75"/>
      <x:c r="AP60" s="75"/>
      <x:c r="AQ60" s="75"/>
      <x:c r="AR60" s="75"/>
      <x:c r="AS60" s="75"/>
      <x:c r="AT60" s="75"/>
      <x:c r="AU60" s="75"/>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4"/>
      <x:c r="DQ60" s="4"/>
      <x:c r="DR60" s="4"/>
      <x:c r="DS60" s="4"/>
      <x:c r="DT60" s="4"/>
      <x:c r="DU60" s="4"/>
      <x:c r="DV60" s="4"/>
      <x:c r="DW60" s="4"/>
      <x:c r="DX60" s="4"/>
      <x:c r="DY60" s="4"/>
      <x:c r="DZ60" s="4"/>
      <x:c r="EA60" s="4"/>
      <x:c r="EB60" s="4"/>
      <x:c r="EC60" s="4"/>
      <x:c r="ED60" s="4"/>
      <x:c r="EE60" s="4"/>
      <x:c r="EF60" s="4"/>
      <x:c r="EG60" s="4"/>
      <x:c r="EH60" s="4"/>
      <x:c r="EI60" s="4"/>
      <x:c r="EJ60" s="4"/>
      <x:c r="EK60" s="4"/>
      <x:c r="EL60" s="4"/>
      <x:c r="EM60" s="4"/>
      <x:c r="EN60" s="4"/>
      <x:c r="EO60" s="4"/>
      <x:c r="EP60" s="4"/>
      <x:c r="EQ60" s="4"/>
      <x:c r="ER60" s="4"/>
      <x:c r="ES60" s="4"/>
      <x:c r="ET60" s="4"/>
      <x:c r="EU60" s="4"/>
      <x:c r="EV60" s="4"/>
      <x:c r="EW60" s="4"/>
      <x:c r="EX60" s="4"/>
      <x:c r="EY60" s="4"/>
      <x:c r="EZ60" s="4"/>
      <x:c r="FA60" s="4"/>
      <x:c r="FB60" s="4"/>
      <x:c r="FC60" s="4"/>
      <x:c r="FD60" s="4"/>
      <x:c r="FE60" s="4"/>
      <x:c r="FF60" s="4"/>
      <x:c r="FG60" s="4"/>
      <x:c r="FH60" s="4"/>
      <x:c r="FI60" s="4"/>
      <x:c r="FJ60" s="4"/>
      <x:c r="FK60" s="4"/>
      <x:c r="FL60" s="4"/>
      <x:c r="FM60" s="4"/>
      <x:c r="FN60" s="4"/>
      <x:c r="FO60" s="4"/>
    </x:row>
    <x:row r="61" ht="18" customHeight="1">
      <x:c r="A61" s="3"/>
      <x:c r="B61" s="3"/>
      <x:c r="C61" s="3"/>
      <x:c r="D61" s="3"/>
      <x:c r="E61" s="3"/>
      <x:c r="F61" s="3"/>
      <x:c r="G61" s="3"/>
      <x:c r="H61" s="3"/>
      <x:c r="I61" s="3"/>
      <x:c r="J61" s="3"/>
      <x:c r="K61" s="3"/>
      <x:c r="L61" s="3"/>
      <x:c r="M61" s="3"/>
      <x:c r="N61" s="3"/>
      <x:c r="O61" s="3"/>
      <x:c r="P61" s="3"/>
      <x:c r="Q61" s="3"/>
      <x:c r="R61" s="3"/>
      <x:c r="S61" s="3"/>
      <x:c r="T61" s="3"/>
      <x:c r="U61" s="3"/>
      <x:c r="V61" s="3"/>
      <x:c r="W61" s="3"/>
      <x:c r="X61" s="3"/>
      <x:c r="Y61" s="3"/>
      <x:c r="Z61" s="3"/>
      <x:c r="AA61" s="3"/>
      <x:c r="AB61" s="3"/>
      <x:c r="AC61" s="3"/>
      <x:c r="AD61" s="3"/>
      <x:c r="AE61" s="77"/>
      <x:c r="AF61" s="75"/>
      <x:c r="AG61" s="75"/>
      <x:c r="AH61" s="75"/>
      <x:c r="AI61" s="75"/>
      <x:c r="AJ61" s="75"/>
      <x:c r="AK61" s="75"/>
      <x:c r="AL61" s="75"/>
      <x:c r="AM61" s="75"/>
      <x:c r="AN61" s="75"/>
      <x:c r="AO61" s="75"/>
      <x:c r="AP61" s="75"/>
      <x:c r="AQ61" s="75"/>
      <x:c r="AR61" s="75"/>
      <x:c r="AS61" s="75"/>
      <x:c r="AT61" s="75"/>
      <x:c r="AU61" s="75"/>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4"/>
      <x:c r="DQ61" s="4"/>
      <x:c r="DR61" s="4"/>
      <x:c r="DS61" s="4"/>
      <x:c r="DT61" s="4"/>
      <x:c r="DU61" s="4"/>
      <x:c r="DV61" s="4"/>
      <x:c r="DW61" s="4"/>
      <x:c r="DX61" s="4"/>
      <x:c r="DY61" s="4"/>
      <x:c r="DZ61" s="4"/>
      <x:c r="EA61" s="4"/>
      <x:c r="EB61" s="4"/>
      <x:c r="EC61" s="4"/>
      <x:c r="ED61" s="4"/>
      <x:c r="EE61" s="4"/>
      <x:c r="EF61" s="4"/>
      <x:c r="EG61" s="4"/>
      <x:c r="EH61" s="4"/>
      <x:c r="EI61" s="4"/>
      <x:c r="EJ61" s="4"/>
      <x:c r="EK61" s="4"/>
      <x:c r="EL61" s="4"/>
      <x:c r="EM61" s="4"/>
      <x:c r="EN61" s="4"/>
      <x:c r="EO61" s="4"/>
      <x:c r="EP61" s="4"/>
      <x:c r="EQ61" s="4"/>
      <x:c r="ER61" s="4"/>
      <x:c r="ES61" s="4"/>
      <x:c r="ET61" s="4"/>
      <x:c r="EU61" s="4"/>
      <x:c r="EV61" s="4"/>
      <x:c r="EW61" s="4"/>
      <x:c r="EX61" s="4"/>
      <x:c r="EY61" s="4"/>
      <x:c r="EZ61" s="4"/>
      <x:c r="FA61" s="4"/>
      <x:c r="FB61" s="4"/>
      <x:c r="FC61" s="4"/>
      <x:c r="FD61" s="4"/>
      <x:c r="FE61" s="4"/>
      <x:c r="FF61" s="4"/>
      <x:c r="FG61" s="4"/>
      <x:c r="FH61" s="4"/>
      <x:c r="FI61" s="4"/>
      <x:c r="FJ61" s="4"/>
      <x:c r="FK61" s="4"/>
      <x:c r="FL61" s="4"/>
      <x:c r="FM61" s="4"/>
      <x:c r="FN61" s="4"/>
      <x:c r="FO61" s="4"/>
    </x:row>
    <x:row r="62" ht="18" customHeight="1">
      <x:c r="A62" s="3"/>
      <x:c r="B62" s="3"/>
      <x:c r="C62" s="3"/>
      <x:c r="D62" s="3"/>
      <x:c r="E62" s="3"/>
      <x:c r="F62" s="3"/>
      <x:c r="G62" s="3"/>
      <x:c r="H62" s="3"/>
      <x:c r="I62" s="3"/>
      <x:c r="J62" s="3"/>
      <x:c r="K62" s="3"/>
      <x:c r="L62" s="3"/>
      <x:c r="M62" s="3"/>
      <x:c r="N62" s="3"/>
      <x:c r="O62" s="3"/>
      <x:c r="P62" s="3"/>
      <x:c r="Q62" s="3"/>
      <x:c r="R62" s="3"/>
      <x:c r="S62" s="3"/>
      <x:c r="T62" s="3"/>
      <x:c r="U62" s="3"/>
      <x:c r="V62" s="3"/>
      <x:c r="W62" s="3"/>
      <x:c r="X62" s="3"/>
      <x:c r="Y62" s="3"/>
      <x:c r="Z62" s="3"/>
      <x:c r="AA62" s="3"/>
      <x:c r="AB62" s="3"/>
      <x:c r="AC62" s="3"/>
      <x:c r="AD62" s="3"/>
      <x:c r="AE62" s="77"/>
      <x:c r="AF62" s="75"/>
      <x:c r="AG62" s="75"/>
      <x:c r="AH62" s="75"/>
      <x:c r="AI62" s="75"/>
      <x:c r="AJ62" s="75"/>
      <x:c r="AK62" s="75"/>
      <x:c r="AL62" s="75"/>
      <x:c r="AM62" s="75"/>
      <x:c r="AN62" s="75"/>
      <x:c r="AO62" s="75"/>
      <x:c r="AP62" s="75"/>
      <x:c r="AQ62" s="75"/>
      <x:c r="AR62" s="75"/>
      <x:c r="AS62" s="75"/>
      <x:c r="AT62" s="75"/>
      <x:c r="AU62" s="75"/>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4"/>
      <x:c r="DQ62" s="4"/>
      <x:c r="DR62" s="4"/>
      <x:c r="DS62" s="4"/>
      <x:c r="DT62" s="4"/>
      <x:c r="DU62" s="4"/>
      <x:c r="DV62" s="4"/>
      <x:c r="DW62" s="4"/>
      <x:c r="DX62" s="4"/>
      <x:c r="DY62" s="4"/>
      <x:c r="DZ62" s="4"/>
      <x:c r="EA62" s="4"/>
      <x:c r="EB62" s="4"/>
      <x:c r="EC62" s="4"/>
      <x:c r="ED62" s="4"/>
      <x:c r="EE62" s="4"/>
      <x:c r="EF62" s="4"/>
      <x:c r="EG62" s="4"/>
      <x:c r="EH62" s="4"/>
      <x:c r="EI62" s="4"/>
      <x:c r="EJ62" s="4"/>
      <x:c r="EK62" s="4"/>
      <x:c r="EL62" s="4"/>
      <x:c r="EM62" s="4"/>
      <x:c r="EN62" s="4"/>
      <x:c r="EO62" s="4"/>
      <x:c r="EP62" s="4"/>
      <x:c r="EQ62" s="4"/>
      <x:c r="ER62" s="4"/>
      <x:c r="ES62" s="4"/>
      <x:c r="ET62" s="4"/>
      <x:c r="EU62" s="4"/>
      <x:c r="EV62" s="4"/>
      <x:c r="EW62" s="4"/>
      <x:c r="EX62" s="4"/>
      <x:c r="EY62" s="4"/>
      <x:c r="EZ62" s="4"/>
      <x:c r="FA62" s="4"/>
      <x:c r="FB62" s="4"/>
      <x:c r="FC62" s="4"/>
      <x:c r="FD62" s="4"/>
      <x:c r="FE62" s="4"/>
      <x:c r="FF62" s="4"/>
      <x:c r="FG62" s="4"/>
      <x:c r="FH62" s="4"/>
      <x:c r="FI62" s="4"/>
      <x:c r="FJ62" s="4"/>
      <x:c r="FK62" s="4"/>
      <x:c r="FL62" s="4"/>
      <x:c r="FM62" s="4"/>
      <x:c r="FN62" s="4"/>
      <x:c r="FO62" s="4"/>
    </x:row>
    <x:row r="63" ht="396" customHeight="1">
      <x:c r="A63" s="3"/>
      <x:c r="B63" s="3"/>
      <x:c r="C63" s="3"/>
      <x:c r="D63" s="3"/>
      <x:c r="E63" s="3"/>
      <x:c r="F63" s="3"/>
      <x:c r="G63" s="3"/>
      <x:c r="H63" s="3"/>
      <x:c r="I63" s="3"/>
      <x:c r="J63" s="3"/>
      <x:c r="K63" s="3"/>
      <x:c r="L63" s="3"/>
      <x:c r="M63" s="3"/>
      <x:c r="N63" s="3"/>
      <x:c r="O63" s="3"/>
      <x:c r="P63" s="3"/>
      <x:c r="Q63" s="3"/>
      <x:c r="R63" s="3"/>
      <x:c r="S63" s="3"/>
      <x:c r="T63" s="3"/>
      <x:c r="U63" s="3"/>
      <x:c r="V63" s="3"/>
      <x:c r="W63" s="3"/>
      <x:c r="X63" s="3"/>
      <x:c r="Y63" s="3"/>
      <x:c r="Z63" s="3"/>
      <x:c r="AA63" s="3"/>
      <x:c r="AB63" s="3"/>
      <x:c r="AC63" s="3"/>
      <x:c r="AD63" s="3"/>
      <x:c r="AE63" s="77"/>
      <x:c r="AF63" s="75"/>
      <x:c r="AG63" s="75"/>
      <x:c r="AH63" s="75"/>
      <x:c r="AI63" s="75"/>
      <x:c r="AJ63" s="75"/>
      <x:c r="AK63" s="75"/>
      <x:c r="AL63" s="75"/>
      <x:c r="AM63" s="75"/>
      <x:c r="AN63" s="75"/>
      <x:c r="AO63" s="75"/>
      <x:c r="AP63" s="75"/>
      <x:c r="AQ63" s="75"/>
      <x:c r="AR63" s="75"/>
      <x:c r="AS63" s="75"/>
      <x:c r="AT63" s="75"/>
      <x:c r="AU63" s="75"/>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4"/>
      <x:c r="DQ63" s="4"/>
      <x:c r="DR63" s="4"/>
      <x:c r="DS63" s="4"/>
      <x:c r="DT63" s="4"/>
      <x:c r="DU63" s="4"/>
      <x:c r="DV63" s="4"/>
      <x:c r="DW63" s="4"/>
      <x:c r="DX63" s="4"/>
      <x:c r="DY63" s="4"/>
      <x:c r="DZ63" s="4"/>
      <x:c r="EA63" s="4"/>
      <x:c r="EB63" s="4"/>
      <x:c r="EC63" s="4"/>
      <x:c r="ED63" s="4"/>
      <x:c r="EE63" s="4"/>
      <x:c r="EF63" s="4"/>
      <x:c r="EG63" s="4"/>
      <x:c r="EH63" s="4"/>
      <x:c r="EI63" s="4"/>
      <x:c r="EJ63" s="4"/>
      <x:c r="EK63" s="4"/>
      <x:c r="EL63" s="4"/>
      <x:c r="EM63" s="4"/>
      <x:c r="EN63" s="4"/>
      <x:c r="EO63" s="4"/>
      <x:c r="EP63" s="4"/>
      <x:c r="EQ63" s="4"/>
      <x:c r="ER63" s="4"/>
      <x:c r="ES63" s="4"/>
      <x:c r="ET63" s="4"/>
      <x:c r="EU63" s="4"/>
      <x:c r="EV63" s="4"/>
      <x:c r="EW63" s="4"/>
      <x:c r="EX63" s="4"/>
      <x:c r="EY63" s="4"/>
      <x:c r="EZ63" s="4"/>
      <x:c r="FA63" s="4"/>
      <x:c r="FB63" s="4"/>
      <x:c r="FC63" s="4"/>
      <x:c r="FD63" s="4"/>
      <x:c r="FE63" s="4"/>
      <x:c r="FF63" s="4"/>
      <x:c r="FG63" s="4"/>
      <x:c r="FH63" s="4"/>
      <x:c r="FI63" s="4"/>
      <x:c r="FJ63" s="4"/>
      <x:c r="FK63" s="4"/>
      <x:c r="FL63" s="4"/>
      <x:c r="FM63" s="4"/>
      <x:c r="FN63" s="4"/>
      <x:c r="FO63" s="4"/>
    </x:row>
    <x:row r="64" ht="18" customHeight="1">
      <x:c r="A64" s="3"/>
      <x:c r="B64" s="22" t="str">
        <x:v>Officer calibration</x:v>
      </x:c>
      <x:c r="C64" s="22" t="str">
        <x:v>Officer calibration</x:v>
      </x:c>
      <x:c r="D64" s="22" t="str">
        <x:v>Officer calibration</x:v>
      </x:c>
      <x:c r="E64" s="22" t="str">
        <x:v>Officer calibration</x:v>
      </x:c>
      <x:c r="F64" s="22" t="str">
        <x:v>Officer calibration</x:v>
      </x:c>
      <x:c r="G64" s="22" t="str">
        <x:v>Officer calibration</x:v>
      </x:c>
      <x:c r="H64" s="22" t="str">
        <x:v>Officer calibration</x:v>
      </x:c>
      <x:c r="I64" s="22" t="str">
        <x:v>Officer calibration</x:v>
      </x:c>
      <x:c r="J64" s="22" t="str">
        <x:v>Officer calibration</x:v>
      </x:c>
      <x:c r="K64" s="22" t="str">
        <x:v>Officer calibration</x:v>
      </x:c>
      <x:c r="L64" s="22" t="str">
        <x:v>Officer calibration</x:v>
      </x:c>
      <x:c r="M64" s="22" t="str">
        <x:v>Officer calibration</x:v>
      </x:c>
      <x:c r="N64" s="22" t="str">
        <x:v>Officer calibration</x:v>
      </x:c>
      <x:c r="O64" s="22" t="str">
        <x:v>Officer calibration</x:v>
      </x:c>
      <x:c r="P64" s="22" t="str">
        <x:v>Officer calibration</x:v>
      </x:c>
      <x:c r="Q64" s="22" t="str">
        <x:v>Officer calibration</x:v>
      </x:c>
      <x:c r="R64" s="22" t="str">
        <x:v>Officer calibration</x:v>
      </x:c>
      <x:c r="S64" s="22" t="str">
        <x:v>Officer calibration</x:v>
      </x:c>
      <x:c r="T64" s="22" t="str">
        <x:v>Officer calibration</x:v>
      </x:c>
      <x:c r="U64" s="22" t="str">
        <x:v>Officer calibration</x:v>
      </x:c>
      <x:c r="V64" s="22" t="str">
        <x:v>Officer calibration</x:v>
      </x:c>
      <x:c r="W64" s="22" t="str">
        <x:v>Officer calibration</x:v>
      </x:c>
      <x:c r="X64" s="22" t="str">
        <x:v>Officer calibration</x:v>
      </x:c>
      <x:c r="Y64" s="22" t="str">
        <x:v>Officer calibration</x:v>
      </x:c>
      <x:c r="Z64" s="22" t="str">
        <x:v>Officer calibration</x:v>
      </x:c>
      <x:c r="AA64" s="22" t="str">
        <x:v>Officer calibration</x:v>
      </x:c>
      <x:c r="AB64" s="22" t="str">
        <x:v>Officer calibration</x:v>
      </x:c>
      <x:c r="AC64" s="22" t="str">
        <x:v>Officer calibration</x:v>
      </x:c>
      <x:c r="AD64" s="3"/>
      <x:c r="AE64" s="77"/>
      <x:c r="AF64" s="75"/>
      <x:c r="AG64" s="75"/>
      <x:c r="AH64" s="75"/>
      <x:c r="AI64" s="75"/>
      <x:c r="AJ64" s="75"/>
      <x:c r="AK64" s="75"/>
      <x:c r="AL64" s="75"/>
      <x:c r="AM64" s="75"/>
      <x:c r="AN64" s="75"/>
      <x:c r="AO64" s="75"/>
      <x:c r="AP64" s="75"/>
      <x:c r="AQ64" s="75"/>
      <x:c r="AR64" s="75"/>
      <x:c r="AS64" s="75"/>
      <x:c r="AT64" s="75"/>
      <x:c r="AU64" s="75"/>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4"/>
      <x:c r="DQ64" s="4"/>
      <x:c r="DR64" s="4"/>
      <x:c r="DS64" s="4"/>
      <x:c r="DT64" s="4"/>
      <x:c r="DU64" s="4"/>
      <x:c r="DV64" s="4"/>
      <x:c r="DW64" s="4"/>
      <x:c r="DX64" s="4"/>
      <x:c r="DY64" s="4"/>
      <x:c r="DZ64" s="4"/>
      <x:c r="EA64" s="4"/>
      <x:c r="EB64" s="4"/>
      <x:c r="EC64" s="4"/>
      <x:c r="ED64" s="4"/>
      <x:c r="EE64" s="4"/>
      <x:c r="EF64" s="4"/>
      <x:c r="EG64" s="4"/>
      <x:c r="EH64" s="4"/>
      <x:c r="EI64" s="4"/>
      <x:c r="EJ64" s="4"/>
      <x:c r="EK64" s="4"/>
      <x:c r="EL64" s="4"/>
      <x:c r="EM64" s="4"/>
      <x:c r="EN64" s="4"/>
      <x:c r="EO64" s="4"/>
      <x:c r="EP64" s="4"/>
      <x:c r="EQ64" s="4"/>
      <x:c r="ER64" s="4"/>
      <x:c r="ES64" s="4"/>
      <x:c r="ET64" s="4"/>
      <x:c r="EU64" s="4"/>
      <x:c r="EV64" s="4"/>
      <x:c r="EW64" s="4"/>
      <x:c r="EX64" s="4"/>
      <x:c r="EY64" s="4"/>
      <x:c r="EZ64" s="4"/>
      <x:c r="FA64" s="4"/>
      <x:c r="FB64" s="4"/>
      <x:c r="FC64" s="4"/>
      <x:c r="FD64" s="4"/>
      <x:c r="FE64" s="4"/>
      <x:c r="FF64" s="4"/>
      <x:c r="FG64" s="4"/>
      <x:c r="FH64" s="4"/>
      <x:c r="FI64" s="4"/>
      <x:c r="FJ64" s="4"/>
      <x:c r="FK64" s="4"/>
      <x:c r="FL64" s="4"/>
      <x:c r="FM64" s="4"/>
      <x:c r="FN64" s="4"/>
      <x:c r="FO64" s="4"/>
    </x:row>
    <x:row r="65" ht="18" customHeight="1">
      <x:c r="A65" s="3"/>
      <x:c r="B65" s="22" t="str">
        <x:v>Officer calibration</x:v>
      </x:c>
      <x:c r="C65" s="22" t="str">
        <x:v>Officer calibration</x:v>
      </x:c>
      <x:c r="D65" s="22" t="str">
        <x:v>Officer calibration</x:v>
      </x:c>
      <x:c r="E65" s="22" t="str">
        <x:v>Officer calibration</x:v>
      </x:c>
      <x:c r="F65" s="22" t="str">
        <x:v>Officer calibration</x:v>
      </x:c>
      <x:c r="G65" s="22" t="str">
        <x:v>Officer calibration</x:v>
      </x:c>
      <x:c r="H65" s="22" t="str">
        <x:v>Officer calibration</x:v>
      </x:c>
      <x:c r="I65" s="22" t="str">
        <x:v>Officer calibration</x:v>
      </x:c>
      <x:c r="J65" s="22" t="str">
        <x:v>Officer calibration</x:v>
      </x:c>
      <x:c r="K65" s="22" t="str">
        <x:v>Officer calibration</x:v>
      </x:c>
      <x:c r="L65" s="22" t="str">
        <x:v>Officer calibration</x:v>
      </x:c>
      <x:c r="M65" s="22" t="str">
        <x:v>Officer calibration</x:v>
      </x:c>
      <x:c r="N65" s="22" t="str">
        <x:v>Officer calibration</x:v>
      </x:c>
      <x:c r="O65" s="22" t="str">
        <x:v>Officer calibration</x:v>
      </x:c>
      <x:c r="P65" s="22" t="str">
        <x:v>Officer calibration</x:v>
      </x:c>
      <x:c r="Q65" s="22" t="str">
        <x:v>Officer calibration</x:v>
      </x:c>
      <x:c r="R65" s="22" t="str">
        <x:v>Officer calibration</x:v>
      </x:c>
      <x:c r="S65" s="22" t="str">
        <x:v>Officer calibration</x:v>
      </x:c>
      <x:c r="T65" s="22" t="str">
        <x:v>Officer calibration</x:v>
      </x:c>
      <x:c r="U65" s="22" t="str">
        <x:v>Officer calibration</x:v>
      </x:c>
      <x:c r="V65" s="22" t="str">
        <x:v>Officer calibration</x:v>
      </x:c>
      <x:c r="W65" s="22" t="str">
        <x:v>Officer calibration</x:v>
      </x:c>
      <x:c r="X65" s="22" t="str">
        <x:v>Officer calibration</x:v>
      </x:c>
      <x:c r="Y65" s="22" t="str">
        <x:v>Officer calibration</x:v>
      </x:c>
      <x:c r="Z65" s="22" t="str">
        <x:v>Officer calibration</x:v>
      </x:c>
      <x:c r="AA65" s="22" t="str">
        <x:v>Officer calibration</x:v>
      </x:c>
      <x:c r="AB65" s="22" t="str">
        <x:v>Officer calibration</x:v>
      </x:c>
      <x:c r="AC65" s="22" t="str">
        <x:v>Officer calibration</x:v>
      </x:c>
      <x:c r="AD65" s="3"/>
      <x:c r="AE65" s="77"/>
      <x:c r="AF65" s="75"/>
      <x:c r="AG65" s="75"/>
      <x:c r="AH65" s="75"/>
      <x:c r="AI65" s="75"/>
      <x:c r="AJ65" s="75"/>
      <x:c r="AK65" s="75"/>
      <x:c r="AL65" s="75"/>
      <x:c r="AM65" s="75"/>
      <x:c r="AN65" s="75"/>
      <x:c r="AO65" s="75"/>
      <x:c r="AP65" s="75"/>
      <x:c r="AQ65" s="75"/>
      <x:c r="AR65" s="75"/>
      <x:c r="AS65" s="75"/>
      <x:c r="AT65" s="75"/>
      <x:c r="AU65" s="75"/>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4"/>
      <x:c r="DQ65" s="4"/>
      <x:c r="DR65" s="4"/>
      <x:c r="DS65" s="4"/>
      <x:c r="DT65" s="4"/>
      <x:c r="DU65" s="4"/>
      <x:c r="DV65" s="4"/>
      <x:c r="DW65" s="4"/>
      <x:c r="DX65" s="4"/>
      <x:c r="DY65" s="4"/>
      <x:c r="DZ65" s="4"/>
      <x:c r="EA65" s="4"/>
      <x:c r="EB65" s="4"/>
      <x:c r="EC65" s="4"/>
      <x:c r="ED65" s="4"/>
      <x:c r="EE65" s="4"/>
      <x:c r="EF65" s="4"/>
      <x:c r="EG65" s="4"/>
      <x:c r="EH65" s="4"/>
      <x:c r="EI65" s="4"/>
      <x:c r="EJ65" s="4"/>
      <x:c r="EK65" s="4"/>
      <x:c r="EL65" s="4"/>
      <x:c r="EM65" s="4"/>
      <x:c r="EN65" s="4"/>
      <x:c r="EO65" s="4"/>
      <x:c r="EP65" s="4"/>
      <x:c r="EQ65" s="4"/>
      <x:c r="ER65" s="4"/>
      <x:c r="ES65" s="4"/>
      <x:c r="ET65" s="4"/>
      <x:c r="EU65" s="4"/>
      <x:c r="EV65" s="4"/>
      <x:c r="EW65" s="4"/>
      <x:c r="EX65" s="4"/>
      <x:c r="EY65" s="4"/>
      <x:c r="EZ65" s="4"/>
      <x:c r="FA65" s="4"/>
      <x:c r="FB65" s="4"/>
      <x:c r="FC65" s="4"/>
      <x:c r="FD65" s="4"/>
      <x:c r="FE65" s="4"/>
      <x:c r="FF65" s="4"/>
      <x:c r="FG65" s="4"/>
      <x:c r="FH65" s="4"/>
      <x:c r="FI65" s="4"/>
      <x:c r="FJ65" s="4"/>
      <x:c r="FK65" s="4"/>
      <x:c r="FL65" s="4"/>
      <x:c r="FM65" s="4"/>
      <x:c r="FN65" s="4"/>
      <x:c r="FO65" s="4"/>
    </x:row>
    <x:row r="66" ht="18" customHeight="1">
      <x:c r="A66" s="3"/>
      <x:c r="B66" s="8" t="str">
        <x:v>Maximum share of rated immediate direct reports. Below Direct changes the assessed manager. Above the cap = red.</x:v>
      </x:c>
      <x:c r="C66" s="8" t="str">
        <x:v>Maximum share of rated immediate direct reports. Below Direct changes the assessed manager. Above the cap = red.</x:v>
      </x:c>
      <x:c r="D66" s="8" t="str">
        <x:v>Maximum share of rated immediate direct reports. Below Direct changes the assessed manager. Above the cap = red.</x:v>
      </x:c>
      <x:c r="E66" s="8" t="str">
        <x:v>Maximum share of rated immediate direct reports. Below Direct changes the assessed manager. Above the cap = red.</x:v>
      </x:c>
      <x:c r="F66" s="8" t="str">
        <x:v>Maximum share of rated immediate direct reports. Below Direct changes the assessed manager. Above the cap = red.</x:v>
      </x:c>
      <x:c r="G66" s="8" t="str">
        <x:v>Maximum share of rated immediate direct reports. Below Direct changes the assessed manager. Above the cap = red.</x:v>
      </x:c>
      <x:c r="H66" s="8" t="str">
        <x:v>Maximum share of rated immediate direct reports. Below Direct changes the assessed manager. Above the cap = red.</x:v>
      </x:c>
      <x:c r="I66" s="8" t="str">
        <x:v>Maximum share of rated immediate direct reports. Below Direct changes the assessed manager. Above the cap = red.</x:v>
      </x:c>
      <x:c r="J66" s="8" t="str">
        <x:v>Maximum share of rated immediate direct reports. Below Direct changes the assessed manager. Above the cap = red.</x:v>
      </x:c>
      <x:c r="K66" s="8" t="str">
        <x:v>Maximum share of rated immediate direct reports. Below Direct changes the assessed manager. Above the cap = red.</x:v>
      </x:c>
      <x:c r="L66" s="8" t="str">
        <x:v>Maximum share of rated immediate direct reports. Below Direct changes the assessed manager. Above the cap = red.</x:v>
      </x:c>
      <x:c r="M66" s="8" t="str">
        <x:v>Maximum share of rated immediate direct reports. Below Direct changes the assessed manager. Above the cap = red.</x:v>
      </x:c>
      <x:c r="N66" s="8" t="str">
        <x:v>Maximum share of rated immediate direct reports. Below Direct changes the assessed manager. Above the cap = red.</x:v>
      </x:c>
      <x:c r="O66" s="8" t="str">
        <x:v>Maximum share of rated immediate direct reports. Below Direct changes the assessed manager. Above the cap = red.</x:v>
      </x:c>
      <x:c r="P66" s="8" t="str">
        <x:v>Maximum share of rated immediate direct reports. Below Direct changes the assessed manager. Above the cap = red.</x:v>
      </x:c>
      <x:c r="Q66" s="8" t="str">
        <x:v>Maximum share of rated immediate direct reports. Below Direct changes the assessed manager. Above the cap = red.</x:v>
      </x:c>
      <x:c r="R66" s="8" t="str">
        <x:v>Maximum share of rated immediate direct reports. Below Direct changes the assessed manager. Above the cap = red.</x:v>
      </x:c>
      <x:c r="S66" s="8" t="str">
        <x:v>Maximum share of rated immediate direct reports. Below Direct changes the assessed manager. Above the cap = red.</x:v>
      </x:c>
      <x:c r="T66" s="8" t="str">
        <x:v>Maximum share of rated immediate direct reports. Below Direct changes the assessed manager. Above the cap = red.</x:v>
      </x:c>
      <x:c r="U66" s="8" t="str">
        <x:v>Maximum share of rated immediate direct reports. Below Direct changes the assessed manager. Above the cap = red.</x:v>
      </x:c>
      <x:c r="V66" s="8" t="str">
        <x:v>Maximum share of rated immediate direct reports. Below Direct changes the assessed manager. Above the cap = red.</x:v>
      </x:c>
      <x:c r="W66" s="8" t="str">
        <x:v>Maximum share of rated immediate direct reports. Below Direct changes the assessed manager. Above the cap = red.</x:v>
      </x:c>
      <x:c r="X66" s="8" t="str">
        <x:v>Maximum share of rated immediate direct reports. Below Direct changes the assessed manager. Above the cap = red.</x:v>
      </x:c>
      <x:c r="Y66" s="8" t="str">
        <x:v>Maximum share of rated immediate direct reports. Below Direct changes the assessed manager. Above the cap = red.</x:v>
      </x:c>
      <x:c r="Z66" s="8" t="str">
        <x:v>Maximum share of rated immediate direct reports. Below Direct changes the assessed manager. Above the cap = red.</x:v>
      </x:c>
      <x:c r="AA66" s="8" t="str">
        <x:v>Maximum share of rated immediate direct reports. Below Direct changes the assessed manager. Above the cap = red.</x:v>
      </x:c>
      <x:c r="AB66" s="8" t="str">
        <x:v>Maximum share of rated immediate direct reports. Below Direct changes the assessed manager. Above the cap = red.</x:v>
      </x:c>
      <x:c r="AC66" s="8" t="str">
        <x:v>Maximum share of rated immediate direct reports. Below Direct changes the assessed manager. Above the cap = red.</x:v>
      </x:c>
      <x:c r="AD66" s="3"/>
      <x:c r="AE66" s="77"/>
      <x:c r="AF66" s="75"/>
      <x:c r="AG66" s="75"/>
      <x:c r="AH66" s="75"/>
      <x:c r="AI66" s="75"/>
      <x:c r="AJ66" s="75"/>
      <x:c r="AK66" s="75"/>
      <x:c r="AL66" s="75"/>
      <x:c r="AM66" s="75"/>
      <x:c r="AN66" s="75"/>
      <x:c r="AO66" s="75"/>
      <x:c r="AP66" s="75"/>
      <x:c r="AQ66" s="75"/>
      <x:c r="AR66" s="75"/>
      <x:c r="AS66" s="75"/>
      <x:c r="AT66" s="75"/>
      <x:c r="AU66" s="75"/>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4"/>
      <x:c r="DQ66" s="4"/>
      <x:c r="DR66" s="4"/>
      <x:c r="DS66" s="4"/>
      <x:c r="DT66" s="4"/>
      <x:c r="DU66" s="4"/>
      <x:c r="DV66" s="4"/>
      <x:c r="DW66" s="4"/>
      <x:c r="DX66" s="4"/>
      <x:c r="DY66" s="4"/>
      <x:c r="DZ66" s="4"/>
      <x:c r="EA66" s="4"/>
      <x:c r="EB66" s="4"/>
      <x:c r="EC66" s="4"/>
      <x:c r="ED66" s="4"/>
      <x:c r="EE66" s="4"/>
      <x:c r="EF66" s="4"/>
      <x:c r="EG66" s="4"/>
      <x:c r="EH66" s="4"/>
      <x:c r="EI66" s="4"/>
      <x:c r="EJ66" s="4"/>
      <x:c r="EK66" s="4"/>
      <x:c r="EL66" s="4"/>
      <x:c r="EM66" s="4"/>
      <x:c r="EN66" s="4"/>
      <x:c r="EO66" s="4"/>
      <x:c r="EP66" s="4"/>
      <x:c r="EQ66" s="4"/>
      <x:c r="ER66" s="4"/>
      <x:c r="ES66" s="4"/>
      <x:c r="ET66" s="4"/>
      <x:c r="EU66" s="4"/>
      <x:c r="EV66" s="4"/>
      <x:c r="EW66" s="4"/>
      <x:c r="EX66" s="4"/>
      <x:c r="EY66" s="4"/>
      <x:c r="EZ66" s="4"/>
      <x:c r="FA66" s="4"/>
      <x:c r="FB66" s="4"/>
      <x:c r="FC66" s="4"/>
      <x:c r="FD66" s="4"/>
      <x:c r="FE66" s="4"/>
      <x:c r="FF66" s="4"/>
      <x:c r="FG66" s="4"/>
      <x:c r="FH66" s="4"/>
      <x:c r="FI66" s="4"/>
      <x:c r="FJ66" s="4"/>
      <x:c r="FK66" s="4"/>
      <x:c r="FL66" s="4"/>
      <x:c r="FM66" s="4"/>
      <x:c r="FN66" s="4"/>
      <x:c r="FO66" s="4"/>
    </x:row>
    <x:row r="67" ht="18" customHeight="1">
      <x:c r="A67" s="3"/>
      <x:c r="B67" s="21" t="str">
        <x:v>Rating</x:v>
      </x:c>
      <x:c r="C67" s="21" t="str">
        <x:v>Rating</x:v>
      </x:c>
      <x:c r="D67" s="21" t="str">
        <x:v>Rating</x:v>
      </x:c>
      <x:c r="E67" s="13" t="str">
        <x:v>What</x:v>
      </x:c>
      <x:c r="F67" s="13" t="str">
        <x:v>What</x:v>
      </x:c>
      <x:c r="G67" s="13" t="str">
        <x:v>What</x:v>
      </x:c>
      <x:c r="H67" s="13" t="str">
        <x:v>What</x:v>
      </x:c>
      <x:c r="I67" s="3"/>
      <x:c r="J67" s="21" t="str">
        <x:v>Officer</x:v>
      </x:c>
      <x:c r="K67" s="21" t="str">
        <x:v>Officer</x:v>
      </x:c>
      <x:c r="L67" s="21" t="str">
        <x:v>Officer</x:v>
      </x:c>
      <x:c r="M67" s="21" t="str">
        <x:v>Officer</x:v>
      </x:c>
      <x:c r="N67" s="13" t="str">
        <x:v>All categories</x:v>
      </x:c>
      <x:c r="O67" s="13" t="str">
        <x:v>All categories</x:v>
      </x:c>
      <x:c r="P67" s="13" t="str">
        <x:v>All categories</x:v>
      </x:c>
      <x:c r="Q67" s="13" t="str">
        <x:v>All categories</x:v>
      </x:c>
      <x:c r="R67" s="13" t="str">
        <x:v>All categories</x:v>
      </x:c>
      <x:c r="S67" s="13" t="str">
        <x:v>All categories</x:v>
      </x:c>
      <x:c r="T67" s="13" t="str">
        <x:v>All categories</x:v>
      </x:c>
      <x:c r="U67" s="13" t="str">
        <x:v>All categories</x:v>
      </x:c>
      <x:c r="V67" s="13" t="str">
        <x:v>All categories</x:v>
      </x:c>
      <x:c r="W67" s="13" t="str">
        <x:v>All categories</x:v>
      </x:c>
      <x:c r="X67" s="13" t="str">
        <x:v>All categories</x:v>
      </x:c>
      <x:c r="Y67" s="13" t="str">
        <x:v>All categories</x:v>
      </x:c>
      <x:c r="Z67" s="13" t="str">
        <x:v>All categories</x:v>
      </x:c>
      <x:c r="AA67" s="13" t="str">
        <x:v>All categories</x:v>
      </x:c>
      <x:c r="AB67" s="13" t="str">
        <x:v>All categories</x:v>
      </x:c>
      <x:c r="AC67" s="13" t="str">
        <x:v>All categories</x:v>
      </x:c>
      <x:c r="AD67" s="3"/>
      <x:c r="AE67" s="77"/>
      <x:c r="AF67" s="75"/>
      <x:c r="AG67" s="75"/>
      <x:c r="AH67" s="75"/>
      <x:c r="AI67" s="75"/>
      <x:c r="AJ67" s="75"/>
      <x:c r="AK67" s="75"/>
      <x:c r="AL67" s="75"/>
      <x:c r="AM67" s="75"/>
      <x:c r="AN67" s="75"/>
      <x:c r="AO67" s="75"/>
      <x:c r="AP67" s="75"/>
      <x:c r="AQ67" s="75"/>
      <x:c r="AR67" s="75"/>
      <x:c r="AS67" s="75"/>
      <x:c r="AT67" s="75"/>
      <x:c r="AU67" s="75"/>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4"/>
      <x:c r="DQ67" s="4"/>
      <x:c r="DR67" s="4"/>
      <x:c r="DS67" s="4"/>
      <x:c r="DT67" s="4"/>
      <x:c r="DU67" s="4"/>
      <x:c r="DV67" s="4"/>
      <x:c r="DW67" s="4"/>
      <x:c r="DX67" s="4"/>
      <x:c r="DY67" s="4"/>
      <x:c r="DZ67" s="4"/>
      <x:c r="EA67" s="4"/>
      <x:c r="EB67" s="4"/>
      <x:c r="EC67" s="4"/>
      <x:c r="ED67" s="4"/>
      <x:c r="EE67" s="4"/>
      <x:c r="EF67" s="4"/>
      <x:c r="EG67" s="4"/>
      <x:c r="EH67" s="4"/>
      <x:c r="EI67" s="4"/>
      <x:c r="EJ67" s="4"/>
      <x:c r="EK67" s="4"/>
      <x:c r="EL67" s="4"/>
      <x:c r="EM67" s="4"/>
      <x:c r="EN67" s="4"/>
      <x:c r="EO67" s="4"/>
      <x:c r="EP67" s="4"/>
      <x:c r="EQ67" s="4"/>
      <x:c r="ER67" s="4"/>
      <x:c r="ES67" s="4"/>
      <x:c r="ET67" s="4"/>
      <x:c r="EU67" s="4"/>
      <x:c r="EV67" s="4"/>
      <x:c r="EW67" s="4"/>
      <x:c r="EX67" s="4"/>
      <x:c r="EY67" s="4"/>
      <x:c r="EZ67" s="4"/>
      <x:c r="FA67" s="4"/>
      <x:c r="FB67" s="4"/>
      <x:c r="FC67" s="4"/>
      <x:c r="FD67" s="4"/>
      <x:c r="FE67" s="4"/>
      <x:c r="FF67" s="4"/>
      <x:c r="FG67" s="4"/>
      <x:c r="FH67" s="4"/>
      <x:c r="FI67" s="4"/>
      <x:c r="FJ67" s="4"/>
      <x:c r="FK67" s="4"/>
      <x:c r="FL67" s="4"/>
      <x:c r="FM67" s="4"/>
      <x:c r="FN67" s="4"/>
      <x:c r="FO67" s="4"/>
    </x:row>
    <x:row r="68" ht="18" customHeight="1">
      <x:c r="A68" s="3"/>
      <x:c r="B68" s="21" t="str">
        <x:v>Rating</x:v>
      </x:c>
      <x:c r="C68" s="21" t="str">
        <x:v>Rating</x:v>
      </x:c>
      <x:c r="D68" s="21" t="str">
        <x:v>Rating</x:v>
      </x:c>
      <x:c r="E68" s="13" t="str">
        <x:v>What</x:v>
      </x:c>
      <x:c r="F68" s="13" t="str">
        <x:v>What</x:v>
      </x:c>
      <x:c r="G68" s="13" t="str">
        <x:v>What</x:v>
      </x:c>
      <x:c r="H68" s="13" t="str">
        <x:v>What</x:v>
      </x:c>
      <x:c r="I68" s="3"/>
      <x:c r="J68" s="21" t="str">
        <x:v>Officer</x:v>
      </x:c>
      <x:c r="K68" s="21" t="str">
        <x:v>Officer</x:v>
      </x:c>
      <x:c r="L68" s="21" t="str">
        <x:v>Officer</x:v>
      </x:c>
      <x:c r="M68" s="21" t="str">
        <x:v>Officer</x:v>
      </x:c>
      <x:c r="N68" s="13" t="str">
        <x:v>All categories</x:v>
      </x:c>
      <x:c r="O68" s="13" t="str">
        <x:v>All categories</x:v>
      </x:c>
      <x:c r="P68" s="13" t="str">
        <x:v>All categories</x:v>
      </x:c>
      <x:c r="Q68" s="13" t="str">
        <x:v>All categories</x:v>
      </x:c>
      <x:c r="R68" s="13" t="str">
        <x:v>All categories</x:v>
      </x:c>
      <x:c r="S68" s="13" t="str">
        <x:v>All categories</x:v>
      </x:c>
      <x:c r="T68" s="13" t="str">
        <x:v>All categories</x:v>
      </x:c>
      <x:c r="U68" s="13" t="str">
        <x:v>All categories</x:v>
      </x:c>
      <x:c r="V68" s="13" t="str">
        <x:v>All categories</x:v>
      </x:c>
      <x:c r="W68" s="13" t="str">
        <x:v>All categories</x:v>
      </x:c>
      <x:c r="X68" s="13" t="str">
        <x:v>All categories</x:v>
      </x:c>
      <x:c r="Y68" s="13" t="str">
        <x:v>All categories</x:v>
      </x:c>
      <x:c r="Z68" s="13" t="str">
        <x:v>All categories</x:v>
      </x:c>
      <x:c r="AA68" s="13" t="str">
        <x:v>All categories</x:v>
      </x:c>
      <x:c r="AB68" s="13" t="str">
        <x:v>All categories</x:v>
      </x:c>
      <x:c r="AC68" s="13" t="str">
        <x:v>All categories</x:v>
      </x:c>
      <x:c r="AD68" s="3"/>
      <x:c r="AE68" s="77"/>
      <x:c r="AF68" s="75"/>
      <x:c r="AG68" s="75"/>
      <x:c r="AH68" s="75"/>
      <x:c r="AI68" s="75"/>
      <x:c r="AJ68" s="75"/>
      <x:c r="AK68" s="75"/>
      <x:c r="AL68" s="75"/>
      <x:c r="AM68" s="75"/>
      <x:c r="AN68" s="75"/>
      <x:c r="AO68" s="75"/>
      <x:c r="AP68" s="75"/>
      <x:c r="AQ68" s="75"/>
      <x:c r="AR68" s="75"/>
      <x:c r="AS68" s="75"/>
      <x:c r="AT68" s="75"/>
      <x:c r="AU68" s="75"/>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4"/>
      <x:c r="DQ68" s="4"/>
      <x:c r="DR68" s="4"/>
      <x:c r="DS68" s="4"/>
      <x:c r="DT68" s="4"/>
      <x:c r="DU68" s="4"/>
      <x:c r="DV68" s="4"/>
      <x:c r="DW68" s="4"/>
      <x:c r="DX68" s="4"/>
      <x:c r="DY68" s="4"/>
      <x:c r="DZ68" s="4"/>
      <x:c r="EA68" s="4"/>
      <x:c r="EB68" s="4"/>
      <x:c r="EC68" s="4"/>
      <x:c r="ED68" s="4"/>
      <x:c r="EE68" s="4"/>
      <x:c r="EF68" s="4"/>
      <x:c r="EG68" s="4"/>
      <x:c r="EH68" s="4"/>
      <x:c r="EI68" s="4"/>
      <x:c r="EJ68" s="4"/>
      <x:c r="EK68" s="4"/>
      <x:c r="EL68" s="4"/>
      <x:c r="EM68" s="4"/>
      <x:c r="EN68" s="4"/>
      <x:c r="EO68" s="4"/>
      <x:c r="EP68" s="4"/>
      <x:c r="EQ68" s="4"/>
      <x:c r="ER68" s="4"/>
      <x:c r="ES68" s="4"/>
      <x:c r="ET68" s="4"/>
      <x:c r="EU68" s="4"/>
      <x:c r="EV68" s="4"/>
      <x:c r="EW68" s="4"/>
      <x:c r="EX68" s="4"/>
      <x:c r="EY68" s="4"/>
      <x:c r="EZ68" s="4"/>
      <x:c r="FA68" s="4"/>
      <x:c r="FB68" s="4"/>
      <x:c r="FC68" s="4"/>
      <x:c r="FD68" s="4"/>
      <x:c r="FE68" s="4"/>
      <x:c r="FF68" s="4"/>
      <x:c r="FG68" s="4"/>
      <x:c r="FH68" s="4"/>
      <x:c r="FI68" s="4"/>
      <x:c r="FJ68" s="4"/>
      <x:c r="FK68" s="4"/>
      <x:c r="FL68" s="4"/>
      <x:c r="FM68" s="4"/>
      <x:c r="FN68" s="4"/>
      <x:c r="FO68" s="4"/>
    </x:row>
    <x:row r="69" ht="18" customHeight="1">
      <x:c r="A69" s="3"/>
      <x:c r="B69" s="8" t="str">
        <x:f>'Calculations'!$GB$69</x:f>
        <x:v>No valid What ratings in this view. Blank or error ratings are not plotted.</x:v>
      </x:c>
      <x:c r="C69" s="8"/>
      <x:c r="D69" s="8"/>
      <x:c r="E69" s="8"/>
      <x:c r="F69" s="8"/>
      <x:c r="G69" s="8"/>
      <x:c r="H69" s="8"/>
      <x:c r="I69" s="8"/>
      <x:c r="J69" s="8"/>
      <x:c r="K69" s="8"/>
      <x:c r="L69" s="8"/>
      <x:c r="M69" s="8"/>
      <x:c r="N69" s="8"/>
      <x:c r="O69" s="8"/>
      <x:c r="P69" s="8"/>
      <x:c r="Q69" s="8"/>
      <x:c r="R69" s="8"/>
      <x:c r="S69" s="8"/>
      <x:c r="T69" s="8"/>
      <x:c r="U69" s="8"/>
      <x:c r="V69" s="8"/>
      <x:c r="W69" s="8"/>
      <x:c r="X69" s="8"/>
      <x:c r="Y69" s="8"/>
      <x:c r="Z69" s="8"/>
      <x:c r="AA69" s="8"/>
      <x:c r="AB69" s="8"/>
      <x:c r="AC69" s="8"/>
      <x:c r="AD69" s="3"/>
      <x:c r="AE69" s="77"/>
      <x:c r="AF69" s="75"/>
      <x:c r="AG69" s="75"/>
      <x:c r="AH69" s="75"/>
      <x:c r="AI69" s="75"/>
      <x:c r="AJ69" s="75"/>
      <x:c r="AK69" s="75"/>
      <x:c r="AL69" s="75"/>
      <x:c r="AM69" s="75"/>
      <x:c r="AN69" s="75"/>
      <x:c r="AO69" s="75"/>
      <x:c r="AP69" s="75"/>
      <x:c r="AQ69" s="75"/>
      <x:c r="AR69" s="75"/>
      <x:c r="AS69" s="75"/>
      <x:c r="AT69" s="75"/>
      <x:c r="AU69" s="75"/>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4"/>
      <x:c r="DQ69" s="4"/>
      <x:c r="DR69" s="4"/>
      <x:c r="DS69" s="4"/>
      <x:c r="DT69" s="4"/>
      <x:c r="DU69" s="4"/>
      <x:c r="DV69" s="4"/>
      <x:c r="DW69" s="4"/>
      <x:c r="DX69" s="4"/>
      <x:c r="DY69" s="4"/>
      <x:c r="DZ69" s="4"/>
      <x:c r="EA69" s="4"/>
      <x:c r="EB69" s="4"/>
      <x:c r="EC69" s="4"/>
      <x:c r="ED69" s="4"/>
      <x:c r="EE69" s="4"/>
      <x:c r="EF69" s="4"/>
      <x:c r="EG69" s="4"/>
      <x:c r="EH69" s="4"/>
      <x:c r="EI69" s="4"/>
      <x:c r="EJ69" s="4"/>
      <x:c r="EK69" s="4"/>
      <x:c r="EL69" s="4"/>
      <x:c r="EM69" s="4"/>
      <x:c r="EN69" s="4"/>
      <x:c r="EO69" s="4"/>
      <x:c r="EP69" s="4"/>
      <x:c r="EQ69" s="4"/>
      <x:c r="ER69" s="4"/>
      <x:c r="ES69" s="4"/>
      <x:c r="ET69" s="4"/>
      <x:c r="EU69" s="4"/>
      <x:c r="EV69" s="4"/>
      <x:c r="EW69" s="4"/>
      <x:c r="EX69" s="4"/>
      <x:c r="EY69" s="4"/>
      <x:c r="EZ69" s="4"/>
      <x:c r="FA69" s="4"/>
      <x:c r="FB69" s="4"/>
      <x:c r="FC69" s="4"/>
      <x:c r="FD69" s="4"/>
      <x:c r="FE69" s="4"/>
      <x:c r="FF69" s="4"/>
      <x:c r="FG69" s="4"/>
      <x:c r="FH69" s="4"/>
      <x:c r="FI69" s="4"/>
      <x:c r="FJ69" s="4"/>
      <x:c r="FK69" s="4"/>
      <x:c r="FL69" s="4"/>
      <x:c r="FM69" s="4"/>
      <x:c r="FN69" s="4"/>
      <x:c r="FO69" s="4"/>
    </x:row>
    <x:row r="70" ht="18" customHeight="1">
      <x:c r="A70" s="3"/>
      <x:c r="B70" s="3"/>
      <x:c r="C70" s="3"/>
      <x:c r="D70" s="3"/>
      <x:c r="E70" s="3"/>
      <x:c r="F70" s="3"/>
      <x:c r="G70" s="3"/>
      <x:c r="H70" s="3"/>
      <x:c r="I70" s="3"/>
      <x:c r="J70" s="3"/>
      <x:c r="K70" s="3"/>
      <x:c r="L70" s="3"/>
      <x:c r="M70" s="3"/>
      <x:c r="N70" s="3"/>
      <x:c r="O70" s="3"/>
      <x:c r="P70" s="3"/>
      <x:c r="Q70" s="3"/>
      <x:c r="R70" s="3"/>
      <x:c r="S70" s="3"/>
      <x:c r="T70" s="3"/>
      <x:c r="U70" s="3"/>
      <x:c r="V70" s="3"/>
      <x:c r="W70" s="3"/>
      <x:c r="X70" s="3"/>
      <x:c r="Y70" s="3"/>
      <x:c r="Z70" s="3"/>
      <x:c r="AA70" s="3"/>
      <x:c r="AB70" s="3"/>
      <x:c r="AC70" s="3"/>
      <x:c r="AD70" s="3"/>
      <x:c r="AE70" s="77"/>
      <x:c r="AF70" s="75"/>
      <x:c r="AG70" s="75"/>
      <x:c r="AH70" s="75"/>
      <x:c r="AI70" s="75"/>
      <x:c r="AJ70" s="75"/>
      <x:c r="AK70" s="75"/>
      <x:c r="AL70" s="75"/>
      <x:c r="AM70" s="75"/>
      <x:c r="AN70" s="75"/>
      <x:c r="AO70" s="75"/>
      <x:c r="AP70" s="75"/>
      <x:c r="AQ70" s="75"/>
      <x:c r="AR70" s="75"/>
      <x:c r="AS70" s="75"/>
      <x:c r="AT70" s="75"/>
      <x:c r="AU70" s="75"/>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4"/>
      <x:c r="DQ70" s="4"/>
      <x:c r="DR70" s="4"/>
      <x:c r="DS70" s="4"/>
      <x:c r="DT70" s="4"/>
      <x:c r="DU70" s="4"/>
      <x:c r="DV70" s="4"/>
      <x:c r="DW70" s="4"/>
      <x:c r="DX70" s="4"/>
      <x:c r="DY70" s="4"/>
      <x:c r="DZ70" s="4"/>
      <x:c r="EA70" s="4"/>
      <x:c r="EB70" s="4"/>
      <x:c r="EC70" s="4"/>
      <x:c r="ED70" s="4"/>
      <x:c r="EE70" s="4"/>
      <x:c r="EF70" s="4"/>
      <x:c r="EG70" s="4"/>
      <x:c r="EH70" s="4"/>
      <x:c r="EI70" s="4"/>
      <x:c r="EJ70" s="4"/>
      <x:c r="EK70" s="4"/>
      <x:c r="EL70" s="4"/>
      <x:c r="EM70" s="4"/>
      <x:c r="EN70" s="4"/>
      <x:c r="EO70" s="4"/>
      <x:c r="EP70" s="4"/>
      <x:c r="EQ70" s="4"/>
      <x:c r="ER70" s="4"/>
      <x:c r="ES70" s="4"/>
      <x:c r="ET70" s="4"/>
      <x:c r="EU70" s="4"/>
      <x:c r="EV70" s="4"/>
      <x:c r="EW70" s="4"/>
      <x:c r="EX70" s="4"/>
      <x:c r="EY70" s="4"/>
      <x:c r="EZ70" s="4"/>
      <x:c r="FA70" s="4"/>
      <x:c r="FB70" s="4"/>
      <x:c r="FC70" s="4"/>
      <x:c r="FD70" s="4"/>
      <x:c r="FE70" s="4"/>
      <x:c r="FF70" s="4"/>
      <x:c r="FG70" s="4"/>
      <x:c r="FH70" s="4"/>
      <x:c r="FI70" s="4"/>
      <x:c r="FJ70" s="4"/>
      <x:c r="FK70" s="4"/>
      <x:c r="FL70" s="4"/>
      <x:c r="FM70" s="4"/>
      <x:c r="FN70" s="4"/>
      <x:c r="FO70" s="4"/>
    </x:row>
    <x:row r="71" ht="18" customHeight="1">
      <x:c r="A71" s="3"/>
      <x:c r="B71" s="3"/>
      <x:c r="C71" s="3"/>
      <x:c r="D71" s="3"/>
      <x:c r="E71" s="3"/>
      <x:c r="F71" s="3"/>
      <x:c r="G71" s="3"/>
      <x:c r="H71" s="3"/>
      <x:c r="I71" s="3"/>
      <x:c r="J71" s="3"/>
      <x:c r="K71" s="3"/>
      <x:c r="L71" s="3"/>
      <x:c r="M71" s="3"/>
      <x:c r="N71" s="3"/>
      <x:c r="O71" s="3"/>
      <x:c r="P71" s="3"/>
      <x:c r="Q71" s="12"/>
      <x:c r="R71" s="12"/>
      <x:c r="S71" s="12"/>
      <x:c r="T71" s="12"/>
      <x:c r="U71" s="12"/>
      <x:c r="V71" s="12"/>
      <x:c r="W71" s="12"/>
      <x:c r="X71" s="12"/>
      <x:c r="Y71" s="12"/>
      <x:c r="Z71" s="12"/>
      <x:c r="AA71" s="12"/>
      <x:c r="AB71" s="12"/>
      <x:c r="AC71" s="12"/>
      <x:c r="AD71" s="3"/>
      <x:c r="AE71" s="77"/>
      <x:c r="AF71" s="75"/>
      <x:c r="AG71" s="75"/>
      <x:c r="AH71" s="75"/>
      <x:c r="AI71" s="75"/>
      <x:c r="AJ71" s="75"/>
      <x:c r="AK71" s="75"/>
      <x:c r="AL71" s="75"/>
      <x:c r="AM71" s="75"/>
      <x:c r="AN71" s="75"/>
      <x:c r="AO71" s="75"/>
      <x:c r="AP71" s="75"/>
      <x:c r="AQ71" s="75"/>
      <x:c r="AR71" s="75"/>
      <x:c r="AS71" s="75"/>
      <x:c r="AT71" s="75"/>
      <x:c r="AU71" s="75"/>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4"/>
      <x:c r="DQ71" s="4"/>
      <x:c r="DR71" s="4"/>
      <x:c r="DS71" s="4"/>
      <x:c r="DT71" s="4"/>
      <x:c r="DU71" s="4"/>
      <x:c r="DV71" s="4"/>
      <x:c r="DW71" s="4"/>
      <x:c r="DX71" s="4"/>
      <x:c r="DY71" s="4"/>
      <x:c r="DZ71" s="4"/>
      <x:c r="EA71" s="4"/>
      <x:c r="EB71" s="4"/>
      <x:c r="EC71" s="4"/>
      <x:c r="ED71" s="4"/>
      <x:c r="EE71" s="4"/>
      <x:c r="EF71" s="4"/>
      <x:c r="EG71" s="4"/>
      <x:c r="EH71" s="4"/>
      <x:c r="EI71" s="4"/>
      <x:c r="EJ71" s="4"/>
      <x:c r="EK71" s="4"/>
      <x:c r="EL71" s="4"/>
      <x:c r="EM71" s="4"/>
      <x:c r="EN71" s="4"/>
      <x:c r="EO71" s="4"/>
      <x:c r="EP71" s="4"/>
      <x:c r="EQ71" s="4"/>
      <x:c r="ER71" s="4"/>
      <x:c r="ES71" s="4"/>
      <x:c r="ET71" s="4"/>
      <x:c r="EU71" s="4"/>
      <x:c r="EV71" s="4"/>
      <x:c r="EW71" s="4"/>
      <x:c r="EX71" s="4"/>
      <x:c r="EY71" s="4"/>
      <x:c r="EZ71" s="4"/>
      <x:c r="FA71" s="4"/>
      <x:c r="FB71" s="4"/>
      <x:c r="FC71" s="4"/>
      <x:c r="FD71" s="4"/>
      <x:c r="FE71" s="4"/>
      <x:c r="FF71" s="4"/>
      <x:c r="FG71" s="4"/>
      <x:c r="FH71" s="4"/>
      <x:c r="FI71" s="4"/>
      <x:c r="FJ71" s="4"/>
      <x:c r="FK71" s="4"/>
      <x:c r="FL71" s="4"/>
      <x:c r="FM71" s="4"/>
      <x:c r="FN71" s="4"/>
      <x:c r="FO71" s="4"/>
    </x:row>
    <x:row r="72" ht="18" customHeight="1">
      <x:c r="A72" s="3"/>
      <x:c r="B72" s="3"/>
      <x:c r="C72" s="3"/>
      <x:c r="D72" s="3"/>
      <x:c r="E72" s="3"/>
      <x:c r="F72" s="3"/>
      <x:c r="G72" s="3"/>
      <x:c r="H72" s="3"/>
      <x:c r="I72" s="3"/>
      <x:c r="J72" s="3"/>
      <x:c r="K72" s="3"/>
      <x:c r="L72" s="3"/>
      <x:c r="M72" s="3"/>
      <x:c r="N72" s="3"/>
      <x:c r="O72" s="3"/>
      <x:c r="P72" s="3"/>
      <x:c r="Q72" s="12"/>
      <x:c r="R72" s="23" t="str">
        <x:v>Calibration values</x:v>
      </x:c>
      <x:c r="S72" s="23" t="str">
        <x:v>Calibration values</x:v>
      </x:c>
      <x:c r="T72" s="23" t="str">
        <x:v>Calibration values</x:v>
      </x:c>
      <x:c r="U72" s="23" t="str">
        <x:v>Calibration values</x:v>
      </x:c>
      <x:c r="V72" s="23" t="str">
        <x:v>Calibration values</x:v>
      </x:c>
      <x:c r="W72" s="23" t="str">
        <x:v>Calibration values</x:v>
      </x:c>
      <x:c r="X72" s="23" t="str">
        <x:v>Calibration values</x:v>
      </x:c>
      <x:c r="Y72" s="23" t="str">
        <x:v>Calibration values</x:v>
      </x:c>
      <x:c r="Z72" s="23" t="str">
        <x:v>Calibration values</x:v>
      </x:c>
      <x:c r="AA72" s="23" t="str">
        <x:v>Calibration values</x:v>
      </x:c>
      <x:c r="AB72" s="23" t="str">
        <x:v>Calibration values</x:v>
      </x:c>
      <x:c r="AC72" s="12"/>
      <x:c r="AD72" s="3"/>
      <x:c r="AE72" s="77"/>
      <x:c r="AF72" s="75"/>
      <x:c r="AG72" s="75"/>
      <x:c r="AH72" s="75"/>
      <x:c r="AI72" s="75"/>
      <x:c r="AJ72" s="75"/>
      <x:c r="AK72" s="75"/>
      <x:c r="AL72" s="75"/>
      <x:c r="AM72" s="75"/>
      <x:c r="AN72" s="75"/>
      <x:c r="AO72" s="75"/>
      <x:c r="AP72" s="75"/>
      <x:c r="AQ72" s="75"/>
      <x:c r="AR72" s="75"/>
      <x:c r="AS72" s="75"/>
      <x:c r="AT72" s="75"/>
      <x:c r="AU72" s="75"/>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4"/>
      <x:c r="DQ72" s="4"/>
      <x:c r="DR72" s="4"/>
      <x:c r="DS72" s="4"/>
      <x:c r="DT72" s="4"/>
      <x:c r="DU72" s="4"/>
      <x:c r="DV72" s="4"/>
      <x:c r="DW72" s="4"/>
      <x:c r="DX72" s="4"/>
      <x:c r="DY72" s="4"/>
      <x:c r="DZ72" s="4"/>
      <x:c r="EA72" s="4"/>
      <x:c r="EB72" s="4"/>
      <x:c r="EC72" s="4"/>
      <x:c r="ED72" s="4"/>
      <x:c r="EE72" s="4"/>
      <x:c r="EF72" s="4"/>
      <x:c r="EG72" s="4"/>
      <x:c r="EH72" s="4"/>
      <x:c r="EI72" s="4"/>
      <x:c r="EJ72" s="4"/>
      <x:c r="EK72" s="4"/>
      <x:c r="EL72" s="4"/>
      <x:c r="EM72" s="4"/>
      <x:c r="EN72" s="4"/>
      <x:c r="EO72" s="4"/>
      <x:c r="EP72" s="4"/>
      <x:c r="EQ72" s="4"/>
      <x:c r="ER72" s="4"/>
      <x:c r="ES72" s="4"/>
      <x:c r="ET72" s="4"/>
      <x:c r="EU72" s="4"/>
      <x:c r="EV72" s="4"/>
      <x:c r="EW72" s="4"/>
      <x:c r="EX72" s="4"/>
      <x:c r="EY72" s="4"/>
      <x:c r="EZ72" s="4"/>
      <x:c r="FA72" s="4"/>
      <x:c r="FB72" s="4"/>
      <x:c r="FC72" s="4"/>
      <x:c r="FD72" s="4"/>
      <x:c r="FE72" s="4"/>
      <x:c r="FF72" s="4"/>
      <x:c r="FG72" s="4"/>
      <x:c r="FH72" s="4"/>
      <x:c r="FI72" s="4"/>
      <x:c r="FJ72" s="4"/>
      <x:c r="FK72" s="4"/>
      <x:c r="FL72" s="4"/>
      <x:c r="FM72" s="4"/>
      <x:c r="FN72" s="4"/>
      <x:c r="FO72" s="4"/>
    </x:row>
    <x:row r="73" ht="18" customHeight="1">
      <x:c r="A73" s="3"/>
      <x:c r="B73" s="3"/>
      <x:c r="C73" s="3"/>
      <x:c r="D73" s="3"/>
      <x:c r="E73" s="3"/>
      <x:c r="F73" s="3"/>
      <x:c r="G73" s="3"/>
      <x:c r="H73" s="3"/>
      <x:c r="I73" s="3"/>
      <x:c r="J73" s="3"/>
      <x:c r="K73" s="3"/>
      <x:c r="L73" s="3"/>
      <x:c r="M73" s="3"/>
      <x:c r="N73" s="3"/>
      <x:c r="O73" s="3"/>
      <x:c r="P73" s="3"/>
      <x:c r="Q73" s="12"/>
      <x:c r="R73" s="23" t="str">
        <x:v>Calibration values</x:v>
      </x:c>
      <x:c r="S73" s="23" t="str">
        <x:v>Calibration values</x:v>
      </x:c>
      <x:c r="T73" s="23" t="str">
        <x:v>Calibration values</x:v>
      </x:c>
      <x:c r="U73" s="23" t="str">
        <x:v>Calibration values</x:v>
      </x:c>
      <x:c r="V73" s="23" t="str">
        <x:v>Calibration values</x:v>
      </x:c>
      <x:c r="W73" s="23" t="str">
        <x:v>Calibration values</x:v>
      </x:c>
      <x:c r="X73" s="23" t="str">
        <x:v>Calibration values</x:v>
      </x:c>
      <x:c r="Y73" s="23" t="str">
        <x:v>Calibration values</x:v>
      </x:c>
      <x:c r="Z73" s="23" t="str">
        <x:v>Calibration values</x:v>
      </x:c>
      <x:c r="AA73" s="23" t="str">
        <x:v>Calibration values</x:v>
      </x:c>
      <x:c r="AB73" s="23" t="str">
        <x:v>Calibration values</x:v>
      </x:c>
      <x:c r="AC73" s="12"/>
      <x:c r="AD73" s="3"/>
      <x:c r="AE73" s="77"/>
      <x:c r="AF73" s="75"/>
      <x:c r="AG73" s="75"/>
      <x:c r="AH73" s="75"/>
      <x:c r="AI73" s="75"/>
      <x:c r="AJ73" s="75"/>
      <x:c r="AK73" s="75"/>
      <x:c r="AL73" s="75"/>
      <x:c r="AM73" s="75"/>
      <x:c r="AN73" s="75"/>
      <x:c r="AO73" s="75"/>
      <x:c r="AP73" s="75"/>
      <x:c r="AQ73" s="75"/>
      <x:c r="AR73" s="75"/>
      <x:c r="AS73" s="75"/>
      <x:c r="AT73" s="75"/>
      <x:c r="AU73" s="75"/>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4"/>
      <x:c r="DQ73" s="4"/>
      <x:c r="DR73" s="4"/>
      <x:c r="DS73" s="4"/>
      <x:c r="DT73" s="4"/>
      <x:c r="DU73" s="4"/>
      <x:c r="DV73" s="4"/>
      <x:c r="DW73" s="4"/>
      <x:c r="DX73" s="4"/>
      <x:c r="DY73" s="4"/>
      <x:c r="DZ73" s="4"/>
      <x:c r="EA73" s="4"/>
      <x:c r="EB73" s="4"/>
      <x:c r="EC73" s="4"/>
      <x:c r="ED73" s="4"/>
      <x:c r="EE73" s="4"/>
      <x:c r="EF73" s="4"/>
      <x:c r="EG73" s="4"/>
      <x:c r="EH73" s="4"/>
      <x:c r="EI73" s="4"/>
      <x:c r="EJ73" s="4"/>
      <x:c r="EK73" s="4"/>
      <x:c r="EL73" s="4"/>
      <x:c r="EM73" s="4"/>
      <x:c r="EN73" s="4"/>
      <x:c r="EO73" s="4"/>
      <x:c r="EP73" s="4"/>
      <x:c r="EQ73" s="4"/>
      <x:c r="ER73" s="4"/>
      <x:c r="ES73" s="4"/>
      <x:c r="ET73" s="4"/>
      <x:c r="EU73" s="4"/>
      <x:c r="EV73" s="4"/>
      <x:c r="EW73" s="4"/>
      <x:c r="EX73" s="4"/>
      <x:c r="EY73" s="4"/>
      <x:c r="EZ73" s="4"/>
      <x:c r="FA73" s="4"/>
      <x:c r="FB73" s="4"/>
      <x:c r="FC73" s="4"/>
      <x:c r="FD73" s="4"/>
      <x:c r="FE73" s="4"/>
      <x:c r="FF73" s="4"/>
      <x:c r="FG73" s="4"/>
      <x:c r="FH73" s="4"/>
      <x:c r="FI73" s="4"/>
      <x:c r="FJ73" s="4"/>
      <x:c r="FK73" s="4"/>
      <x:c r="FL73" s="4"/>
      <x:c r="FM73" s="4"/>
      <x:c r="FN73" s="4"/>
      <x:c r="FO73" s="4"/>
    </x:row>
    <x:row r="74" ht="18" customHeight="1">
      <x:c r="A74" s="3"/>
      <x:c r="B74" s="3"/>
      <x:c r="C74" s="3"/>
      <x:c r="D74" s="3"/>
      <x:c r="E74" s="3"/>
      <x:c r="F74" s="3"/>
      <x:c r="G74" s="3"/>
      <x:c r="H74" s="3"/>
      <x:c r="I74" s="3"/>
      <x:c r="J74" s="3"/>
      <x:c r="K74" s="3"/>
      <x:c r="L74" s="3"/>
      <x:c r="M74" s="3"/>
      <x:c r="N74" s="3"/>
      <x:c r="O74" s="3"/>
      <x:c r="P74" s="3"/>
      <x:c r="Q74" s="12"/>
      <x:c r="R74" s="70" t="str">
        <x:f>'Calculations'!$GR$74</x:f>
        <x:v>What rating · 0 rated employees in officer view</x:v>
      </x:c>
      <x:c r="S74" s="70"/>
      <x:c r="T74" s="70"/>
      <x:c r="U74" s="70"/>
      <x:c r="V74" s="70"/>
      <x:c r="W74" s="70"/>
      <x:c r="X74" s="70"/>
      <x:c r="Y74" s="70"/>
      <x:c r="Z74" s="70"/>
      <x:c r="AA74" s="70"/>
      <x:c r="AB74" s="70"/>
      <x:c r="AC74" s="12"/>
      <x:c r="AD74" s="3"/>
      <x:c r="AE74" s="77"/>
      <x:c r="AF74" s="75"/>
      <x:c r="AG74" s="75"/>
      <x:c r="AH74" s="75"/>
      <x:c r="AI74" s="75"/>
      <x:c r="AJ74" s="75"/>
      <x:c r="AK74" s="75"/>
      <x:c r="AL74" s="75"/>
      <x:c r="AM74" s="75"/>
      <x:c r="AN74" s="75"/>
      <x:c r="AO74" s="75"/>
      <x:c r="AP74" s="75"/>
      <x:c r="AQ74" s="75"/>
      <x:c r="AR74" s="75"/>
      <x:c r="AS74" s="75"/>
      <x:c r="AT74" s="75"/>
      <x:c r="AU74" s="75"/>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4"/>
      <x:c r="DQ74" s="4"/>
      <x:c r="DR74" s="4"/>
      <x:c r="DS74" s="4"/>
      <x:c r="DT74" s="4"/>
      <x:c r="DU74" s="4"/>
      <x:c r="DV74" s="4"/>
      <x:c r="DW74" s="4"/>
      <x:c r="DX74" s="4"/>
      <x:c r="DY74" s="4"/>
      <x:c r="DZ74" s="4"/>
      <x:c r="EA74" s="4"/>
      <x:c r="EB74" s="4"/>
      <x:c r="EC74" s="4"/>
      <x:c r="ED74" s="4"/>
      <x:c r="EE74" s="4"/>
      <x:c r="EF74" s="4"/>
      <x:c r="EG74" s="4"/>
      <x:c r="EH74" s="4"/>
      <x:c r="EI74" s="4"/>
      <x:c r="EJ74" s="4"/>
      <x:c r="EK74" s="4"/>
      <x:c r="EL74" s="4"/>
      <x:c r="EM74" s="4"/>
      <x:c r="EN74" s="4"/>
      <x:c r="EO74" s="4"/>
      <x:c r="EP74" s="4"/>
      <x:c r="EQ74" s="4"/>
      <x:c r="ER74" s="4"/>
      <x:c r="ES74" s="4"/>
      <x:c r="ET74" s="4"/>
      <x:c r="EU74" s="4"/>
      <x:c r="EV74" s="4"/>
      <x:c r="EW74" s="4"/>
      <x:c r="EX74" s="4"/>
      <x:c r="EY74" s="4"/>
      <x:c r="EZ74" s="4"/>
      <x:c r="FA74" s="4"/>
      <x:c r="FB74" s="4"/>
      <x:c r="FC74" s="4"/>
      <x:c r="FD74" s="4"/>
      <x:c r="FE74" s="4"/>
      <x:c r="FF74" s="4"/>
      <x:c r="FG74" s="4"/>
      <x:c r="FH74" s="4"/>
      <x:c r="FI74" s="4"/>
      <x:c r="FJ74" s="4"/>
      <x:c r="FK74" s="4"/>
      <x:c r="FL74" s="4"/>
      <x:c r="FM74" s="4"/>
      <x:c r="FN74" s="4"/>
      <x:c r="FO74" s="4"/>
    </x:row>
    <x:row r="75" ht="18" customHeight="1">
      <x:c r="A75" s="3"/>
      <x:c r="B75" s="3"/>
      <x:c r="C75" s="3"/>
      <x:c r="D75" s="3"/>
      <x:c r="E75" s="3"/>
      <x:c r="F75" s="3"/>
      <x:c r="G75" s="3"/>
      <x:c r="H75" s="3"/>
      <x:c r="I75" s="3"/>
      <x:c r="J75" s="3"/>
      <x:c r="K75" s="3"/>
      <x:c r="L75" s="3"/>
      <x:c r="M75" s="3"/>
      <x:c r="N75" s="3"/>
      <x:c r="O75" s="3"/>
      <x:c r="P75" s="3"/>
      <x:c r="Q75" s="12"/>
      <x:c r="R75" s="25" t="str">
        <x:v>Rating</x:v>
      </x:c>
      <x:c r="S75" s="25" t="str">
        <x:v>Rating</x:v>
      </x:c>
      <x:c r="T75" s="25" t="str">
        <x:v>Count</x:v>
      </x:c>
      <x:c r="U75" s="25" t="str">
        <x:v>Count</x:v>
      </x:c>
      <x:c r="V75" s="25" t="str">
        <x:v>Actual</x:v>
      </x:c>
      <x:c r="W75" s="25" t="str">
        <x:v>Actual</x:v>
      </x:c>
      <x:c r="X75" s="25" t="str">
        <x:v>Threshold</x:v>
      </x:c>
      <x:c r="Y75" s="25" t="str">
        <x:v>Threshold</x:v>
      </x:c>
      <x:c r="Z75" s="25" t="str">
        <x:v>Gap pp</x:v>
      </x:c>
      <x:c r="AA75" s="25" t="str">
        <x:v>Gap pp</x:v>
      </x:c>
      <x:c r="AB75" s="25" t="str">
        <x:v>Gap pp</x:v>
      </x:c>
      <x:c r="AC75" s="12"/>
      <x:c r="AD75" s="3"/>
      <x:c r="AE75" s="77"/>
      <x:c r="AF75" s="75"/>
      <x:c r="AG75" s="75"/>
      <x:c r="AH75" s="75"/>
      <x:c r="AI75" s="75"/>
      <x:c r="AJ75" s="75"/>
      <x:c r="AK75" s="75"/>
      <x:c r="AL75" s="75"/>
      <x:c r="AM75" s="75"/>
      <x:c r="AN75" s="75"/>
      <x:c r="AO75" s="75"/>
      <x:c r="AP75" s="75"/>
      <x:c r="AQ75" s="75"/>
      <x:c r="AR75" s="75"/>
      <x:c r="AS75" s="75"/>
      <x:c r="AT75" s="75"/>
      <x:c r="AU75" s="75"/>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4"/>
      <x:c r="DQ75" s="4"/>
      <x:c r="DR75" s="4"/>
      <x:c r="DS75" s="4"/>
      <x:c r="DT75" s="4"/>
      <x:c r="DU75" s="4"/>
      <x:c r="DV75" s="4"/>
      <x:c r="DW75" s="4"/>
      <x:c r="DX75" s="4"/>
      <x:c r="DY75" s="4"/>
      <x:c r="DZ75" s="4"/>
      <x:c r="EA75" s="4"/>
      <x:c r="EB75" s="4"/>
      <x:c r="EC75" s="4"/>
      <x:c r="ED75" s="4"/>
      <x:c r="EE75" s="4"/>
      <x:c r="EF75" s="4"/>
      <x:c r="EG75" s="4"/>
      <x:c r="EH75" s="4"/>
      <x:c r="EI75" s="4"/>
      <x:c r="EJ75" s="4"/>
      <x:c r="EK75" s="4"/>
      <x:c r="EL75" s="4"/>
      <x:c r="EM75" s="4"/>
      <x:c r="EN75" s="4"/>
      <x:c r="EO75" s="4"/>
      <x:c r="EP75" s="4"/>
      <x:c r="EQ75" s="4"/>
      <x:c r="ER75" s="4"/>
      <x:c r="ES75" s="4"/>
      <x:c r="ET75" s="4"/>
      <x:c r="EU75" s="4"/>
      <x:c r="EV75" s="4"/>
      <x:c r="EW75" s="4"/>
      <x:c r="EX75" s="4"/>
      <x:c r="EY75" s="4"/>
      <x:c r="EZ75" s="4"/>
      <x:c r="FA75" s="4"/>
      <x:c r="FB75" s="4"/>
      <x:c r="FC75" s="4"/>
      <x:c r="FD75" s="4"/>
      <x:c r="FE75" s="4"/>
      <x:c r="FF75" s="4"/>
      <x:c r="FG75" s="4"/>
      <x:c r="FH75" s="4"/>
      <x:c r="FI75" s="4"/>
      <x:c r="FJ75" s="4"/>
      <x:c r="FK75" s="4"/>
      <x:c r="FL75" s="4"/>
      <x:c r="FM75" s="4"/>
      <x:c r="FN75" s="4"/>
      <x:c r="FO75" s="4"/>
    </x:row>
    <x:row r="76" ht="18" customHeight="1">
      <x:c r="A76" s="3"/>
      <x:c r="B76" s="3"/>
      <x:c r="C76" s="3"/>
      <x:c r="D76" s="3"/>
      <x:c r="E76" s="3"/>
      <x:c r="F76" s="3"/>
      <x:c r="G76" s="3"/>
      <x:c r="H76" s="3"/>
      <x:c r="I76" s="3"/>
      <x:c r="J76" s="3"/>
      <x:c r="K76" s="3"/>
      <x:c r="L76" s="3"/>
      <x:c r="M76" s="3"/>
      <x:c r="N76" s="3"/>
      <x:c r="O76" s="3"/>
      <x:c r="P76" s="3"/>
      <x:c r="Q76" s="12"/>
      <x:c r="R76" s="25" t="str">
        <x:v>Rating</x:v>
      </x:c>
      <x:c r="S76" s="25" t="str">
        <x:v>Rating</x:v>
      </x:c>
      <x:c r="T76" s="25" t="str">
        <x:v>Count</x:v>
      </x:c>
      <x:c r="U76" s="25" t="str">
        <x:v>Count</x:v>
      </x:c>
      <x:c r="V76" s="25" t="str">
        <x:v>Actual</x:v>
      </x:c>
      <x:c r="W76" s="25" t="str">
        <x:v>Actual</x:v>
      </x:c>
      <x:c r="X76" s="25" t="str">
        <x:v>Threshold</x:v>
      </x:c>
      <x:c r="Y76" s="25" t="str">
        <x:v>Threshold</x:v>
      </x:c>
      <x:c r="Z76" s="25" t="str">
        <x:v>Gap pp</x:v>
      </x:c>
      <x:c r="AA76" s="25" t="str">
        <x:v>Gap pp</x:v>
      </x:c>
      <x:c r="AB76" s="25" t="str">
        <x:v>Gap pp</x:v>
      </x:c>
      <x:c r="AC76" s="12"/>
      <x:c r="AD76" s="3"/>
      <x:c r="AE76" s="77"/>
      <x:c r="AF76" s="75"/>
      <x:c r="AG76" s="75"/>
      <x:c r="AH76" s="75"/>
      <x:c r="AI76" s="75"/>
      <x:c r="AJ76" s="75"/>
      <x:c r="AK76" s="75"/>
      <x:c r="AL76" s="75"/>
      <x:c r="AM76" s="75"/>
      <x:c r="AN76" s="75"/>
      <x:c r="AO76" s="75"/>
      <x:c r="AP76" s="75"/>
      <x:c r="AQ76" s="75"/>
      <x:c r="AR76" s="75"/>
      <x:c r="AS76" s="75"/>
      <x:c r="AT76" s="75"/>
      <x:c r="AU76" s="75"/>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4"/>
      <x:c r="DQ76" s="4"/>
      <x:c r="DR76" s="4"/>
      <x:c r="DS76" s="4"/>
      <x:c r="DT76" s="4"/>
      <x:c r="DU76" s="4"/>
      <x:c r="DV76" s="4"/>
      <x:c r="DW76" s="4"/>
      <x:c r="DX76" s="4"/>
      <x:c r="DY76" s="4"/>
      <x:c r="DZ76" s="4"/>
      <x:c r="EA76" s="4"/>
      <x:c r="EB76" s="4"/>
      <x:c r="EC76" s="4"/>
      <x:c r="ED76" s="4"/>
      <x:c r="EE76" s="4"/>
      <x:c r="EF76" s="4"/>
      <x:c r="EG76" s="4"/>
      <x:c r="EH76" s="4"/>
      <x:c r="EI76" s="4"/>
      <x:c r="EJ76" s="4"/>
      <x:c r="EK76" s="4"/>
      <x:c r="EL76" s="4"/>
      <x:c r="EM76" s="4"/>
      <x:c r="EN76" s="4"/>
      <x:c r="EO76" s="4"/>
      <x:c r="EP76" s="4"/>
      <x:c r="EQ76" s="4"/>
      <x:c r="ER76" s="4"/>
      <x:c r="ES76" s="4"/>
      <x:c r="ET76" s="4"/>
      <x:c r="EU76" s="4"/>
      <x:c r="EV76" s="4"/>
      <x:c r="EW76" s="4"/>
      <x:c r="EX76" s="4"/>
      <x:c r="EY76" s="4"/>
      <x:c r="EZ76" s="4"/>
      <x:c r="FA76" s="4"/>
      <x:c r="FB76" s="4"/>
      <x:c r="FC76" s="4"/>
      <x:c r="FD76" s="4"/>
      <x:c r="FE76" s="4"/>
      <x:c r="FF76" s="4"/>
      <x:c r="FG76" s="4"/>
      <x:c r="FH76" s="4"/>
      <x:c r="FI76" s="4"/>
      <x:c r="FJ76" s="4"/>
      <x:c r="FK76" s="4"/>
      <x:c r="FL76" s="4"/>
      <x:c r="FM76" s="4"/>
      <x:c r="FN76" s="4"/>
      <x:c r="FO76" s="4"/>
    </x:row>
    <x:row r="77" ht="18" customHeight="1">
      <x:c r="A77" s="3"/>
      <x:c r="B77" s="3"/>
      <x:c r="C77" s="3"/>
      <x:c r="D77" s="3"/>
      <x:c r="E77" s="3"/>
      <x:c r="F77" s="3"/>
      <x:c r="G77" s="3"/>
      <x:c r="H77" s="3"/>
      <x:c r="I77" s="3"/>
      <x:c r="J77" s="3"/>
      <x:c r="K77" s="3"/>
      <x:c r="L77" s="3"/>
      <x:c r="M77" s="3"/>
      <x:c r="N77" s="3"/>
      <x:c r="O77" s="3"/>
      <x:c r="P77" s="3"/>
      <x:c r="Q77" s="12"/>
      <x:c r="R77" s="26" t="str">
        <x:f>'Calculations'!$GR$77</x:f>
        <x:v>1</x:v>
      </x:c>
      <x:c r="S77" s="26"/>
      <x:c r="T77" s="26" t="n">
        <x:f>'Calculations'!$GT$77</x:f>
        <x:v>0</x:v>
      </x:c>
      <x:c r="U77" s="26"/>
      <x:c r="V77" s="27" t="str">
        <x:f>'Calculations'!$GV$77</x:f>
        <x:v>n.a.</x:v>
      </x:c>
      <x:c r="W77" s="26"/>
      <x:c r="X77" s="27" t="n">
        <x:f>'Calculations'!$GX$77</x:f>
        <x:v>0.1</x:v>
      </x:c>
      <x:c r="Y77" s="26"/>
      <x:c r="Z77" s="28" t="str">
        <x:f>'Calculations'!$GZ$77</x:f>
        <x:v>—</x:v>
      </x:c>
      <x:c r="AA77" s="26"/>
      <x:c r="AB77" s="26"/>
      <x:c r="AC77" s="12"/>
      <x:c r="AD77" s="3"/>
      <x:c r="AE77" s="77"/>
      <x:c r="AF77" s="75"/>
      <x:c r="AG77" s="75"/>
      <x:c r="AH77" s="75"/>
      <x:c r="AI77" s="75"/>
      <x:c r="AJ77" s="75"/>
      <x:c r="AK77" s="75"/>
      <x:c r="AL77" s="75"/>
      <x:c r="AM77" s="75"/>
      <x:c r="AN77" s="75"/>
      <x:c r="AO77" s="75"/>
      <x:c r="AP77" s="75"/>
      <x:c r="AQ77" s="75"/>
      <x:c r="AR77" s="75"/>
      <x:c r="AS77" s="75"/>
      <x:c r="AT77" s="75"/>
      <x:c r="AU77" s="75"/>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4"/>
      <x:c r="DQ77" s="4"/>
      <x:c r="DR77" s="4"/>
      <x:c r="DS77" s="4"/>
      <x:c r="DT77" s="4"/>
      <x:c r="DU77" s="4"/>
      <x:c r="DV77" s="4"/>
      <x:c r="DW77" s="4"/>
      <x:c r="DX77" s="4"/>
      <x:c r="DY77" s="4"/>
      <x:c r="DZ77" s="4"/>
      <x:c r="EA77" s="4"/>
      <x:c r="EB77" s="4"/>
      <x:c r="EC77" s="4"/>
      <x:c r="ED77" s="4"/>
      <x:c r="EE77" s="4"/>
      <x:c r="EF77" s="4"/>
      <x:c r="EG77" s="4"/>
      <x:c r="EH77" s="4"/>
      <x:c r="EI77" s="4"/>
      <x:c r="EJ77" s="4"/>
      <x:c r="EK77" s="4"/>
      <x:c r="EL77" s="4"/>
      <x:c r="EM77" s="4"/>
      <x:c r="EN77" s="4"/>
      <x:c r="EO77" s="4"/>
      <x:c r="EP77" s="4"/>
      <x:c r="EQ77" s="4"/>
      <x:c r="ER77" s="4"/>
      <x:c r="ES77" s="4"/>
      <x:c r="ET77" s="4"/>
      <x:c r="EU77" s="4"/>
      <x:c r="EV77" s="4"/>
      <x:c r="EW77" s="4"/>
      <x:c r="EX77" s="4"/>
      <x:c r="EY77" s="4"/>
      <x:c r="EZ77" s="4"/>
      <x:c r="FA77" s="4"/>
      <x:c r="FB77" s="4"/>
      <x:c r="FC77" s="4"/>
      <x:c r="FD77" s="4"/>
      <x:c r="FE77" s="4"/>
      <x:c r="FF77" s="4"/>
      <x:c r="FG77" s="4"/>
      <x:c r="FH77" s="4"/>
      <x:c r="FI77" s="4"/>
      <x:c r="FJ77" s="4"/>
      <x:c r="FK77" s="4"/>
      <x:c r="FL77" s="4"/>
      <x:c r="FM77" s="4"/>
      <x:c r="FN77" s="4"/>
      <x:c r="FO77" s="4"/>
    </x:row>
    <x:row r="78" ht="18" customHeight="1">
      <x:c r="A78" s="3"/>
      <x:c r="B78" s="3"/>
      <x:c r="C78" s="3"/>
      <x:c r="D78" s="3"/>
      <x:c r="E78" s="3"/>
      <x:c r="F78" s="3"/>
      <x:c r="G78" s="3"/>
      <x:c r="H78" s="3"/>
      <x:c r="I78" s="3"/>
      <x:c r="J78" s="3"/>
      <x:c r="K78" s="3"/>
      <x:c r="L78" s="3"/>
      <x:c r="M78" s="3"/>
      <x:c r="N78" s="3"/>
      <x:c r="O78" s="3"/>
      <x:c r="P78" s="3"/>
      <x:c r="Q78" s="12"/>
      <x:c r="R78" s="26"/>
      <x:c r="S78" s="26"/>
      <x:c r="T78" s="26"/>
      <x:c r="U78" s="26"/>
      <x:c r="V78" s="26"/>
      <x:c r="W78" s="26"/>
      <x:c r="X78" s="26"/>
      <x:c r="Y78" s="26"/>
      <x:c r="Z78" s="26"/>
      <x:c r="AA78" s="26"/>
      <x:c r="AB78" s="26"/>
      <x:c r="AC78" s="12"/>
      <x:c r="AD78" s="3"/>
      <x:c r="AE78" s="77"/>
      <x:c r="AF78" s="75"/>
      <x:c r="AG78" s="75"/>
      <x:c r="AH78" s="75"/>
      <x:c r="AI78" s="75"/>
      <x:c r="AJ78" s="75"/>
      <x:c r="AK78" s="75"/>
      <x:c r="AL78" s="75"/>
      <x:c r="AM78" s="75"/>
      <x:c r="AN78" s="75"/>
      <x:c r="AO78" s="75"/>
      <x:c r="AP78" s="75"/>
      <x:c r="AQ78" s="75"/>
      <x:c r="AR78" s="75"/>
      <x:c r="AS78" s="75"/>
      <x:c r="AT78" s="75"/>
      <x:c r="AU78" s="75"/>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4"/>
      <x:c r="DQ78" s="4"/>
      <x:c r="DR78" s="4"/>
      <x:c r="DS78" s="4"/>
      <x:c r="DT78" s="4"/>
      <x:c r="DU78" s="4"/>
      <x:c r="DV78" s="4"/>
      <x:c r="DW78" s="4"/>
      <x:c r="DX78" s="4"/>
      <x:c r="DY78" s="4"/>
      <x:c r="DZ78" s="4"/>
      <x:c r="EA78" s="4"/>
      <x:c r="EB78" s="4"/>
      <x:c r="EC78" s="4"/>
      <x:c r="ED78" s="4"/>
      <x:c r="EE78" s="4"/>
      <x:c r="EF78" s="4"/>
      <x:c r="EG78" s="4"/>
      <x:c r="EH78" s="4"/>
      <x:c r="EI78" s="4"/>
      <x:c r="EJ78" s="4"/>
      <x:c r="EK78" s="4"/>
      <x:c r="EL78" s="4"/>
      <x:c r="EM78" s="4"/>
      <x:c r="EN78" s="4"/>
      <x:c r="EO78" s="4"/>
      <x:c r="EP78" s="4"/>
      <x:c r="EQ78" s="4"/>
      <x:c r="ER78" s="4"/>
      <x:c r="ES78" s="4"/>
      <x:c r="ET78" s="4"/>
      <x:c r="EU78" s="4"/>
      <x:c r="EV78" s="4"/>
      <x:c r="EW78" s="4"/>
      <x:c r="EX78" s="4"/>
      <x:c r="EY78" s="4"/>
      <x:c r="EZ78" s="4"/>
      <x:c r="FA78" s="4"/>
      <x:c r="FB78" s="4"/>
      <x:c r="FC78" s="4"/>
      <x:c r="FD78" s="4"/>
      <x:c r="FE78" s="4"/>
      <x:c r="FF78" s="4"/>
      <x:c r="FG78" s="4"/>
      <x:c r="FH78" s="4"/>
      <x:c r="FI78" s="4"/>
      <x:c r="FJ78" s="4"/>
      <x:c r="FK78" s="4"/>
      <x:c r="FL78" s="4"/>
      <x:c r="FM78" s="4"/>
      <x:c r="FN78" s="4"/>
      <x:c r="FO78" s="4"/>
    </x:row>
    <x:row r="79" ht="18" customHeight="1">
      <x:c r="A79" s="3"/>
      <x:c r="B79" s="3"/>
      <x:c r="C79" s="3"/>
      <x:c r="D79" s="3"/>
      <x:c r="E79" s="3"/>
      <x:c r="F79" s="3"/>
      <x:c r="G79" s="3"/>
      <x:c r="H79" s="3"/>
      <x:c r="I79" s="3"/>
      <x:c r="J79" s="3"/>
      <x:c r="K79" s="3"/>
      <x:c r="L79" s="3"/>
      <x:c r="M79" s="3"/>
      <x:c r="N79" s="3"/>
      <x:c r="O79" s="3"/>
      <x:c r="P79" s="3"/>
      <x:c r="Q79" s="12"/>
      <x:c r="R79" s="29" t="str">
        <x:f>'Calculations'!$GR$79</x:f>
        <x:v>2</x:v>
      </x:c>
      <x:c r="S79" s="29"/>
      <x:c r="T79" s="29" t="n">
        <x:f>'Calculations'!$GT$79</x:f>
        <x:v>0</x:v>
      </x:c>
      <x:c r="U79" s="29"/>
      <x:c r="V79" s="30" t="str">
        <x:f>'Calculations'!$GV$79</x:f>
        <x:v>n.a.</x:v>
      </x:c>
      <x:c r="W79" s="29"/>
      <x:c r="X79" s="30" t="n">
        <x:f>'Calculations'!$GX$79</x:f>
        <x:v>0.3</x:v>
      </x:c>
      <x:c r="Y79" s="29"/>
      <x:c r="Z79" s="31" t="str">
        <x:f>'Calculations'!$GZ$79</x:f>
        <x:v>—</x:v>
      </x:c>
      <x:c r="AA79" s="29"/>
      <x:c r="AB79" s="29"/>
      <x:c r="AC79" s="12"/>
      <x:c r="AD79" s="3"/>
      <x:c r="AE79" s="77"/>
      <x:c r="AF79" s="75"/>
      <x:c r="AG79" s="75"/>
      <x:c r="AH79" s="75"/>
      <x:c r="AI79" s="75"/>
      <x:c r="AJ79" s="75"/>
      <x:c r="AK79" s="75"/>
      <x:c r="AL79" s="75"/>
      <x:c r="AM79" s="75"/>
      <x:c r="AN79" s="75"/>
      <x:c r="AO79" s="75"/>
      <x:c r="AP79" s="75"/>
      <x:c r="AQ79" s="75"/>
      <x:c r="AR79" s="75"/>
      <x:c r="AS79" s="75"/>
      <x:c r="AT79" s="75"/>
      <x:c r="AU79" s="75"/>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4"/>
      <x:c r="DQ79" s="4"/>
      <x:c r="DR79" s="4"/>
      <x:c r="DS79" s="4"/>
      <x:c r="DT79" s="4"/>
      <x:c r="DU79" s="4"/>
      <x:c r="DV79" s="4"/>
      <x:c r="DW79" s="4"/>
      <x:c r="DX79" s="4"/>
      <x:c r="DY79" s="4"/>
      <x:c r="DZ79" s="4"/>
      <x:c r="EA79" s="4"/>
      <x:c r="EB79" s="4"/>
      <x:c r="EC79" s="4"/>
      <x:c r="ED79" s="4"/>
      <x:c r="EE79" s="4"/>
      <x:c r="EF79" s="4"/>
      <x:c r="EG79" s="4"/>
      <x:c r="EH79" s="4"/>
      <x:c r="EI79" s="4"/>
      <x:c r="EJ79" s="4"/>
      <x:c r="EK79" s="4"/>
      <x:c r="EL79" s="4"/>
      <x:c r="EM79" s="4"/>
      <x:c r="EN79" s="4"/>
      <x:c r="EO79" s="4"/>
      <x:c r="EP79" s="4"/>
      <x:c r="EQ79" s="4"/>
      <x:c r="ER79" s="4"/>
      <x:c r="ES79" s="4"/>
      <x:c r="ET79" s="4"/>
      <x:c r="EU79" s="4"/>
      <x:c r="EV79" s="4"/>
      <x:c r="EW79" s="4"/>
      <x:c r="EX79" s="4"/>
      <x:c r="EY79" s="4"/>
      <x:c r="EZ79" s="4"/>
      <x:c r="FA79" s="4"/>
      <x:c r="FB79" s="4"/>
      <x:c r="FC79" s="4"/>
      <x:c r="FD79" s="4"/>
      <x:c r="FE79" s="4"/>
      <x:c r="FF79" s="4"/>
      <x:c r="FG79" s="4"/>
      <x:c r="FH79" s="4"/>
      <x:c r="FI79" s="4"/>
      <x:c r="FJ79" s="4"/>
      <x:c r="FK79" s="4"/>
      <x:c r="FL79" s="4"/>
      <x:c r="FM79" s="4"/>
      <x:c r="FN79" s="4"/>
      <x:c r="FO79" s="4"/>
    </x:row>
    <x:row r="80" ht="18" customHeight="1">
      <x:c r="A80" s="3"/>
      <x:c r="B80" s="3"/>
      <x:c r="C80" s="3"/>
      <x:c r="D80" s="3"/>
      <x:c r="E80" s="3"/>
      <x:c r="F80" s="3"/>
      <x:c r="G80" s="3"/>
      <x:c r="H80" s="3"/>
      <x:c r="I80" s="3"/>
      <x:c r="J80" s="3"/>
      <x:c r="K80" s="3"/>
      <x:c r="L80" s="3"/>
      <x:c r="M80" s="3"/>
      <x:c r="N80" s="3"/>
      <x:c r="O80" s="3"/>
      <x:c r="P80" s="3"/>
      <x:c r="Q80" s="12"/>
      <x:c r="R80" s="29"/>
      <x:c r="S80" s="29"/>
      <x:c r="T80" s="29"/>
      <x:c r="U80" s="29"/>
      <x:c r="V80" s="29"/>
      <x:c r="W80" s="29"/>
      <x:c r="X80" s="29"/>
      <x:c r="Y80" s="29"/>
      <x:c r="Z80" s="29"/>
      <x:c r="AA80" s="29"/>
      <x:c r="AB80" s="29"/>
      <x:c r="AC80" s="12"/>
      <x:c r="AD80" s="3"/>
      <x:c r="AE80" s="77"/>
      <x:c r="AF80" s="75"/>
      <x:c r="AG80" s="75"/>
      <x:c r="AH80" s="75"/>
      <x:c r="AI80" s="75"/>
      <x:c r="AJ80" s="75"/>
      <x:c r="AK80" s="75"/>
      <x:c r="AL80" s="75"/>
      <x:c r="AM80" s="75"/>
      <x:c r="AN80" s="75"/>
      <x:c r="AO80" s="75"/>
      <x:c r="AP80" s="75"/>
      <x:c r="AQ80" s="75"/>
      <x:c r="AR80" s="75"/>
      <x:c r="AS80" s="75"/>
      <x:c r="AT80" s="75"/>
      <x:c r="AU80" s="75"/>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4"/>
      <x:c r="DQ80" s="4"/>
      <x:c r="DR80" s="4"/>
      <x:c r="DS80" s="4"/>
      <x:c r="DT80" s="4"/>
      <x:c r="DU80" s="4"/>
      <x:c r="DV80" s="4"/>
      <x:c r="DW80" s="4"/>
      <x:c r="DX80" s="4"/>
      <x:c r="DY80" s="4"/>
      <x:c r="DZ80" s="4"/>
      <x:c r="EA80" s="4"/>
      <x:c r="EB80" s="4"/>
      <x:c r="EC80" s="4"/>
      <x:c r="ED80" s="4"/>
      <x:c r="EE80" s="4"/>
      <x:c r="EF80" s="4"/>
      <x:c r="EG80" s="4"/>
      <x:c r="EH80" s="4"/>
      <x:c r="EI80" s="4"/>
      <x:c r="EJ80" s="4"/>
      <x:c r="EK80" s="4"/>
      <x:c r="EL80" s="4"/>
      <x:c r="EM80" s="4"/>
      <x:c r="EN80" s="4"/>
      <x:c r="EO80" s="4"/>
      <x:c r="EP80" s="4"/>
      <x:c r="EQ80" s="4"/>
      <x:c r="ER80" s="4"/>
      <x:c r="ES80" s="4"/>
      <x:c r="ET80" s="4"/>
      <x:c r="EU80" s="4"/>
      <x:c r="EV80" s="4"/>
      <x:c r="EW80" s="4"/>
      <x:c r="EX80" s="4"/>
      <x:c r="EY80" s="4"/>
      <x:c r="EZ80" s="4"/>
      <x:c r="FA80" s="4"/>
      <x:c r="FB80" s="4"/>
      <x:c r="FC80" s="4"/>
      <x:c r="FD80" s="4"/>
      <x:c r="FE80" s="4"/>
      <x:c r="FF80" s="4"/>
      <x:c r="FG80" s="4"/>
      <x:c r="FH80" s="4"/>
      <x:c r="FI80" s="4"/>
      <x:c r="FJ80" s="4"/>
      <x:c r="FK80" s="4"/>
      <x:c r="FL80" s="4"/>
      <x:c r="FM80" s="4"/>
      <x:c r="FN80" s="4"/>
      <x:c r="FO80" s="4"/>
    </x:row>
    <x:row r="81" ht="18" customHeight="1">
      <x:c r="A81" s="3"/>
      <x:c r="B81" s="3"/>
      <x:c r="C81" s="3"/>
      <x:c r="D81" s="3"/>
      <x:c r="E81" s="3"/>
      <x:c r="F81" s="3"/>
      <x:c r="G81" s="3"/>
      <x:c r="H81" s="3"/>
      <x:c r="I81" s="3"/>
      <x:c r="J81" s="3"/>
      <x:c r="K81" s="3"/>
      <x:c r="L81" s="3"/>
      <x:c r="M81" s="3"/>
      <x:c r="N81" s="3"/>
      <x:c r="O81" s="3"/>
      <x:c r="P81" s="3"/>
      <x:c r="Q81" s="12"/>
      <x:c r="R81" s="26" t="str">
        <x:f>'Calculations'!$GR$81</x:f>
        <x:v>3</x:v>
      </x:c>
      <x:c r="S81" s="26"/>
      <x:c r="T81" s="26" t="n">
        <x:f>'Calculations'!$GT$81</x:f>
        <x:v>0</x:v>
      </x:c>
      <x:c r="U81" s="26"/>
      <x:c r="V81" s="27" t="str">
        <x:f>'Calculations'!$GV$81</x:f>
        <x:v>n.a.</x:v>
      </x:c>
      <x:c r="W81" s="26"/>
      <x:c r="X81" s="27" t="n">
        <x:f>'Calculations'!$GX$81</x:f>
        <x:v>0.65</x:v>
      </x:c>
      <x:c r="Y81" s="26"/>
      <x:c r="Z81" s="28" t="str">
        <x:f>'Calculations'!$GZ$81</x:f>
        <x:v>—</x:v>
      </x:c>
      <x:c r="AA81" s="26"/>
      <x:c r="AB81" s="26"/>
      <x:c r="AC81" s="12"/>
      <x:c r="AD81" s="3"/>
      <x:c r="AE81" s="77"/>
      <x:c r="AF81" s="75"/>
      <x:c r="AG81" s="75"/>
      <x:c r="AH81" s="75"/>
      <x:c r="AI81" s="75"/>
      <x:c r="AJ81" s="75"/>
      <x:c r="AK81" s="75"/>
      <x:c r="AL81" s="75"/>
      <x:c r="AM81" s="75"/>
      <x:c r="AN81" s="75"/>
      <x:c r="AO81" s="75"/>
      <x:c r="AP81" s="75"/>
      <x:c r="AQ81" s="75"/>
      <x:c r="AR81" s="75"/>
      <x:c r="AS81" s="75"/>
      <x:c r="AT81" s="75"/>
      <x:c r="AU81" s="75"/>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4"/>
      <x:c r="DQ81" s="4"/>
      <x:c r="DR81" s="4"/>
      <x:c r="DS81" s="4"/>
      <x:c r="DT81" s="4"/>
      <x:c r="DU81" s="4"/>
      <x:c r="DV81" s="4"/>
      <x:c r="DW81" s="4"/>
      <x:c r="DX81" s="4"/>
      <x:c r="DY81" s="4"/>
      <x:c r="DZ81" s="4"/>
      <x:c r="EA81" s="4"/>
      <x:c r="EB81" s="4"/>
      <x:c r="EC81" s="4"/>
      <x:c r="ED81" s="4"/>
      <x:c r="EE81" s="4"/>
      <x:c r="EF81" s="4"/>
      <x:c r="EG81" s="4"/>
      <x:c r="EH81" s="4"/>
      <x:c r="EI81" s="4"/>
      <x:c r="EJ81" s="4"/>
      <x:c r="EK81" s="4"/>
      <x:c r="EL81" s="4"/>
      <x:c r="EM81" s="4"/>
      <x:c r="EN81" s="4"/>
      <x:c r="EO81" s="4"/>
      <x:c r="EP81" s="4"/>
      <x:c r="EQ81" s="4"/>
      <x:c r="ER81" s="4"/>
      <x:c r="ES81" s="4"/>
      <x:c r="ET81" s="4"/>
      <x:c r="EU81" s="4"/>
      <x:c r="EV81" s="4"/>
      <x:c r="EW81" s="4"/>
      <x:c r="EX81" s="4"/>
      <x:c r="EY81" s="4"/>
      <x:c r="EZ81" s="4"/>
      <x:c r="FA81" s="4"/>
      <x:c r="FB81" s="4"/>
      <x:c r="FC81" s="4"/>
      <x:c r="FD81" s="4"/>
      <x:c r="FE81" s="4"/>
      <x:c r="FF81" s="4"/>
      <x:c r="FG81" s="4"/>
      <x:c r="FH81" s="4"/>
      <x:c r="FI81" s="4"/>
      <x:c r="FJ81" s="4"/>
      <x:c r="FK81" s="4"/>
      <x:c r="FL81" s="4"/>
      <x:c r="FM81" s="4"/>
      <x:c r="FN81" s="4"/>
      <x:c r="FO81" s="4"/>
    </x:row>
    <x:row r="82" ht="18" customHeight="1">
      <x:c r="A82" s="3"/>
      <x:c r="B82" s="3"/>
      <x:c r="C82" s="3"/>
      <x:c r="D82" s="3"/>
      <x:c r="E82" s="3"/>
      <x:c r="F82" s="3"/>
      <x:c r="G82" s="3"/>
      <x:c r="H82" s="3"/>
      <x:c r="I82" s="3"/>
      <x:c r="J82" s="3"/>
      <x:c r="K82" s="3"/>
      <x:c r="L82" s="3"/>
      <x:c r="M82" s="3"/>
      <x:c r="N82" s="3"/>
      <x:c r="O82" s="3"/>
      <x:c r="P82" s="3"/>
      <x:c r="Q82" s="12"/>
      <x:c r="R82" s="26"/>
      <x:c r="S82" s="26"/>
      <x:c r="T82" s="26"/>
      <x:c r="U82" s="26"/>
      <x:c r="V82" s="26"/>
      <x:c r="W82" s="26"/>
      <x:c r="X82" s="26"/>
      <x:c r="Y82" s="26"/>
      <x:c r="Z82" s="26"/>
      <x:c r="AA82" s="26"/>
      <x:c r="AB82" s="26"/>
      <x:c r="AC82" s="12"/>
      <x:c r="AD82" s="3"/>
      <x:c r="AE82" s="77"/>
      <x:c r="AF82" s="75"/>
      <x:c r="AG82" s="75"/>
      <x:c r="AH82" s="75"/>
      <x:c r="AI82" s="75"/>
      <x:c r="AJ82" s="75"/>
      <x:c r="AK82" s="75"/>
      <x:c r="AL82" s="75"/>
      <x:c r="AM82" s="75"/>
      <x:c r="AN82" s="75"/>
      <x:c r="AO82" s="75"/>
      <x:c r="AP82" s="75"/>
      <x:c r="AQ82" s="75"/>
      <x:c r="AR82" s="75"/>
      <x:c r="AS82" s="75"/>
      <x:c r="AT82" s="75"/>
      <x:c r="AU82" s="75"/>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4"/>
      <x:c r="DQ82" s="4"/>
      <x:c r="DR82" s="4"/>
      <x:c r="DS82" s="4"/>
      <x:c r="DT82" s="4"/>
      <x:c r="DU82" s="4"/>
      <x:c r="DV82" s="4"/>
      <x:c r="DW82" s="4"/>
      <x:c r="DX82" s="4"/>
      <x:c r="DY82" s="4"/>
      <x:c r="DZ82" s="4"/>
      <x:c r="EA82" s="4"/>
      <x:c r="EB82" s="4"/>
      <x:c r="EC82" s="4"/>
      <x:c r="ED82" s="4"/>
      <x:c r="EE82" s="4"/>
      <x:c r="EF82" s="4"/>
      <x:c r="EG82" s="4"/>
      <x:c r="EH82" s="4"/>
      <x:c r="EI82" s="4"/>
      <x:c r="EJ82" s="4"/>
      <x:c r="EK82" s="4"/>
      <x:c r="EL82" s="4"/>
      <x:c r="EM82" s="4"/>
      <x:c r="EN82" s="4"/>
      <x:c r="EO82" s="4"/>
      <x:c r="EP82" s="4"/>
      <x:c r="EQ82" s="4"/>
      <x:c r="ER82" s="4"/>
      <x:c r="ES82" s="4"/>
      <x:c r="ET82" s="4"/>
      <x:c r="EU82" s="4"/>
      <x:c r="EV82" s="4"/>
      <x:c r="EW82" s="4"/>
      <x:c r="EX82" s="4"/>
      <x:c r="EY82" s="4"/>
      <x:c r="EZ82" s="4"/>
      <x:c r="FA82" s="4"/>
      <x:c r="FB82" s="4"/>
      <x:c r="FC82" s="4"/>
      <x:c r="FD82" s="4"/>
      <x:c r="FE82" s="4"/>
      <x:c r="FF82" s="4"/>
      <x:c r="FG82" s="4"/>
      <x:c r="FH82" s="4"/>
      <x:c r="FI82" s="4"/>
      <x:c r="FJ82" s="4"/>
      <x:c r="FK82" s="4"/>
      <x:c r="FL82" s="4"/>
      <x:c r="FM82" s="4"/>
      <x:c r="FN82" s="4"/>
      <x:c r="FO82" s="4"/>
    </x:row>
    <x:row r="83" ht="18" customHeight="1">
      <x:c r="A83" s="3"/>
      <x:c r="B83" s="3"/>
      <x:c r="C83" s="3"/>
      <x:c r="D83" s="3"/>
      <x:c r="E83" s="3"/>
      <x:c r="F83" s="3"/>
      <x:c r="G83" s="3"/>
      <x:c r="H83" s="3"/>
      <x:c r="I83" s="3"/>
      <x:c r="J83" s="3"/>
      <x:c r="K83" s="3"/>
      <x:c r="L83" s="3"/>
      <x:c r="M83" s="3"/>
      <x:c r="N83" s="3"/>
      <x:c r="O83" s="3"/>
      <x:c r="P83" s="3"/>
      <x:c r="Q83" s="12"/>
      <x:c r="R83" s="29" t="str">
        <x:f>'Calculations'!$GR$83</x:f>
        <x:v>4</x:v>
      </x:c>
      <x:c r="S83" s="29"/>
      <x:c r="T83" s="29" t="n">
        <x:f>'Calculations'!$GT$83</x:f>
        <x:v>0</x:v>
      </x:c>
      <x:c r="U83" s="29"/>
      <x:c r="V83" s="30" t="str">
        <x:f>'Calculations'!$GV$83</x:f>
        <x:v>n.a.</x:v>
      </x:c>
      <x:c r="W83" s="29"/>
      <x:c r="X83" s="30" t="n">
        <x:f>'Calculations'!$GX$83</x:f>
        <x:v>0.07</x:v>
      </x:c>
      <x:c r="Y83" s="29"/>
      <x:c r="Z83" s="31" t="str">
        <x:f>'Calculations'!$GZ$83</x:f>
        <x:v>—</x:v>
      </x:c>
      <x:c r="AA83" s="29"/>
      <x:c r="AB83" s="29"/>
      <x:c r="AC83" s="12"/>
      <x:c r="AD83" s="3"/>
      <x:c r="AE83" s="77"/>
      <x:c r="AF83" s="75"/>
      <x:c r="AG83" s="75"/>
      <x:c r="AH83" s="75"/>
      <x:c r="AI83" s="75"/>
      <x:c r="AJ83" s="75"/>
      <x:c r="AK83" s="75"/>
      <x:c r="AL83" s="75"/>
      <x:c r="AM83" s="75"/>
      <x:c r="AN83" s="75"/>
      <x:c r="AO83" s="75"/>
      <x:c r="AP83" s="75"/>
      <x:c r="AQ83" s="75"/>
      <x:c r="AR83" s="75"/>
      <x:c r="AS83" s="75"/>
      <x:c r="AT83" s="75"/>
      <x:c r="AU83" s="75"/>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4"/>
      <x:c r="DQ83" s="4"/>
      <x:c r="DR83" s="4"/>
      <x:c r="DS83" s="4"/>
      <x:c r="DT83" s="4"/>
      <x:c r="DU83" s="4"/>
      <x:c r="DV83" s="4"/>
      <x:c r="DW83" s="4"/>
      <x:c r="DX83" s="4"/>
      <x:c r="DY83" s="4"/>
      <x:c r="DZ83" s="4"/>
      <x:c r="EA83" s="4"/>
      <x:c r="EB83" s="4"/>
      <x:c r="EC83" s="4"/>
      <x:c r="ED83" s="4"/>
      <x:c r="EE83" s="4"/>
      <x:c r="EF83" s="4"/>
      <x:c r="EG83" s="4"/>
      <x:c r="EH83" s="4"/>
      <x:c r="EI83" s="4"/>
      <x:c r="EJ83" s="4"/>
      <x:c r="EK83" s="4"/>
      <x:c r="EL83" s="4"/>
      <x:c r="EM83" s="4"/>
      <x:c r="EN83" s="4"/>
      <x:c r="EO83" s="4"/>
      <x:c r="EP83" s="4"/>
      <x:c r="EQ83" s="4"/>
      <x:c r="ER83" s="4"/>
      <x:c r="ES83" s="4"/>
      <x:c r="ET83" s="4"/>
      <x:c r="EU83" s="4"/>
      <x:c r="EV83" s="4"/>
      <x:c r="EW83" s="4"/>
      <x:c r="EX83" s="4"/>
      <x:c r="EY83" s="4"/>
      <x:c r="EZ83" s="4"/>
      <x:c r="FA83" s="4"/>
      <x:c r="FB83" s="4"/>
      <x:c r="FC83" s="4"/>
      <x:c r="FD83" s="4"/>
      <x:c r="FE83" s="4"/>
      <x:c r="FF83" s="4"/>
      <x:c r="FG83" s="4"/>
      <x:c r="FH83" s="4"/>
      <x:c r="FI83" s="4"/>
      <x:c r="FJ83" s="4"/>
      <x:c r="FK83" s="4"/>
      <x:c r="FL83" s="4"/>
      <x:c r="FM83" s="4"/>
      <x:c r="FN83" s="4"/>
      <x:c r="FO83" s="4"/>
    </x:row>
    <x:row r="84" ht="18" customHeight="1">
      <x:c r="A84" s="3"/>
      <x:c r="B84" s="3"/>
      <x:c r="C84" s="3"/>
      <x:c r="D84" s="3"/>
      <x:c r="E84" s="3"/>
      <x:c r="F84" s="3"/>
      <x:c r="G84" s="3"/>
      <x:c r="H84" s="3"/>
      <x:c r="I84" s="3"/>
      <x:c r="J84" s="3"/>
      <x:c r="K84" s="3"/>
      <x:c r="L84" s="3"/>
      <x:c r="M84" s="3"/>
      <x:c r="N84" s="3"/>
      <x:c r="O84" s="3"/>
      <x:c r="P84" s="3"/>
      <x:c r="Q84" s="12"/>
      <x:c r="R84" s="29"/>
      <x:c r="S84" s="29"/>
      <x:c r="T84" s="29"/>
      <x:c r="U84" s="29"/>
      <x:c r="V84" s="29"/>
      <x:c r="W84" s="29"/>
      <x:c r="X84" s="29"/>
      <x:c r="Y84" s="29"/>
      <x:c r="Z84" s="29"/>
      <x:c r="AA84" s="29"/>
      <x:c r="AB84" s="29"/>
      <x:c r="AC84" s="12"/>
      <x:c r="AD84" s="3"/>
      <x:c r="AE84" s="77"/>
      <x:c r="AF84" s="75"/>
      <x:c r="AG84" s="75"/>
      <x:c r="AH84" s="75"/>
      <x:c r="AI84" s="75"/>
      <x:c r="AJ84" s="75"/>
      <x:c r="AK84" s="75"/>
      <x:c r="AL84" s="75"/>
      <x:c r="AM84" s="75"/>
      <x:c r="AN84" s="75"/>
      <x:c r="AO84" s="75"/>
      <x:c r="AP84" s="75"/>
      <x:c r="AQ84" s="75"/>
      <x:c r="AR84" s="75"/>
      <x:c r="AS84" s="75"/>
      <x:c r="AT84" s="75"/>
      <x:c r="AU84" s="75"/>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4"/>
      <x:c r="DQ84" s="4"/>
      <x:c r="DR84" s="4"/>
      <x:c r="DS84" s="4"/>
      <x:c r="DT84" s="4"/>
      <x:c r="DU84" s="4"/>
      <x:c r="DV84" s="4"/>
      <x:c r="DW84" s="4"/>
      <x:c r="DX84" s="4"/>
      <x:c r="DY84" s="4"/>
      <x:c r="DZ84" s="4"/>
      <x:c r="EA84" s="4"/>
      <x:c r="EB84" s="4"/>
      <x:c r="EC84" s="4"/>
      <x:c r="ED84" s="4"/>
      <x:c r="EE84" s="4"/>
      <x:c r="EF84" s="4"/>
      <x:c r="EG84" s="4"/>
      <x:c r="EH84" s="4"/>
      <x:c r="EI84" s="4"/>
      <x:c r="EJ84" s="4"/>
      <x:c r="EK84" s="4"/>
      <x:c r="EL84" s="4"/>
      <x:c r="EM84" s="4"/>
      <x:c r="EN84" s="4"/>
      <x:c r="EO84" s="4"/>
      <x:c r="EP84" s="4"/>
      <x:c r="EQ84" s="4"/>
      <x:c r="ER84" s="4"/>
      <x:c r="ES84" s="4"/>
      <x:c r="ET84" s="4"/>
      <x:c r="EU84" s="4"/>
      <x:c r="EV84" s="4"/>
      <x:c r="EW84" s="4"/>
      <x:c r="EX84" s="4"/>
      <x:c r="EY84" s="4"/>
      <x:c r="EZ84" s="4"/>
      <x:c r="FA84" s="4"/>
      <x:c r="FB84" s="4"/>
      <x:c r="FC84" s="4"/>
      <x:c r="FD84" s="4"/>
      <x:c r="FE84" s="4"/>
      <x:c r="FF84" s="4"/>
      <x:c r="FG84" s="4"/>
      <x:c r="FH84" s="4"/>
      <x:c r="FI84" s="4"/>
      <x:c r="FJ84" s="4"/>
      <x:c r="FK84" s="4"/>
      <x:c r="FL84" s="4"/>
      <x:c r="FM84" s="4"/>
      <x:c r="FN84" s="4"/>
      <x:c r="FO84" s="4"/>
    </x:row>
    <x:row r="85" ht="18" customHeight="1">
      <x:c r="A85" s="3"/>
      <x:c r="B85" s="3"/>
      <x:c r="C85" s="3"/>
      <x:c r="D85" s="3"/>
      <x:c r="E85" s="3"/>
      <x:c r="F85" s="3"/>
      <x:c r="G85" s="3"/>
      <x:c r="H85" s="3"/>
      <x:c r="I85" s="3"/>
      <x:c r="J85" s="3"/>
      <x:c r="K85" s="3"/>
      <x:c r="L85" s="3"/>
      <x:c r="M85" s="3"/>
      <x:c r="N85" s="3"/>
      <x:c r="O85" s="3"/>
      <x:c r="P85" s="3"/>
      <x:c r="Q85" s="12"/>
      <x:c r="R85" s="12"/>
      <x:c r="S85" s="12"/>
      <x:c r="T85" s="12"/>
      <x:c r="U85" s="12"/>
      <x:c r="V85" s="12"/>
      <x:c r="W85" s="12"/>
      <x:c r="X85" s="12"/>
      <x:c r="Y85" s="12"/>
      <x:c r="Z85" s="12"/>
      <x:c r="AA85" s="12"/>
      <x:c r="AB85" s="12"/>
      <x:c r="AC85" s="12"/>
      <x:c r="AD85" s="3"/>
      <x:c r="AE85" s="77"/>
      <x:c r="AF85" s="75"/>
      <x:c r="AG85" s="75"/>
      <x:c r="AH85" s="75"/>
      <x:c r="AI85" s="75"/>
      <x:c r="AJ85" s="75"/>
      <x:c r="AK85" s="75"/>
      <x:c r="AL85" s="75"/>
      <x:c r="AM85" s="75"/>
      <x:c r="AN85" s="75"/>
      <x:c r="AO85" s="75"/>
      <x:c r="AP85" s="75"/>
      <x:c r="AQ85" s="75"/>
      <x:c r="AR85" s="75"/>
      <x:c r="AS85" s="75"/>
      <x:c r="AT85" s="75"/>
      <x:c r="AU85" s="75"/>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4"/>
      <x:c r="DQ85" s="4"/>
      <x:c r="DR85" s="4"/>
      <x:c r="DS85" s="4"/>
      <x:c r="DT85" s="4"/>
      <x:c r="DU85" s="4"/>
      <x:c r="DV85" s="4"/>
      <x:c r="DW85" s="4"/>
      <x:c r="DX85" s="4"/>
      <x:c r="DY85" s="4"/>
      <x:c r="DZ85" s="4"/>
      <x:c r="EA85" s="4"/>
      <x:c r="EB85" s="4"/>
      <x:c r="EC85" s="4"/>
      <x:c r="ED85" s="4"/>
      <x:c r="EE85" s="4"/>
      <x:c r="EF85" s="4"/>
      <x:c r="EG85" s="4"/>
      <x:c r="EH85" s="4"/>
      <x:c r="EI85" s="4"/>
      <x:c r="EJ85" s="4"/>
      <x:c r="EK85" s="4"/>
      <x:c r="EL85" s="4"/>
      <x:c r="EM85" s="4"/>
      <x:c r="EN85" s="4"/>
      <x:c r="EO85" s="4"/>
      <x:c r="EP85" s="4"/>
      <x:c r="EQ85" s="4"/>
      <x:c r="ER85" s="4"/>
      <x:c r="ES85" s="4"/>
      <x:c r="ET85" s="4"/>
      <x:c r="EU85" s="4"/>
      <x:c r="EV85" s="4"/>
      <x:c r="EW85" s="4"/>
      <x:c r="EX85" s="4"/>
      <x:c r="EY85" s="4"/>
      <x:c r="EZ85" s="4"/>
      <x:c r="FA85" s="4"/>
      <x:c r="FB85" s="4"/>
      <x:c r="FC85" s="4"/>
      <x:c r="FD85" s="4"/>
      <x:c r="FE85" s="4"/>
      <x:c r="FF85" s="4"/>
      <x:c r="FG85" s="4"/>
      <x:c r="FH85" s="4"/>
      <x:c r="FI85" s="4"/>
      <x:c r="FJ85" s="4"/>
      <x:c r="FK85" s="4"/>
      <x:c r="FL85" s="4"/>
      <x:c r="FM85" s="4"/>
      <x:c r="FN85" s="4"/>
      <x:c r="FO85" s="4"/>
    </x:row>
    <x:row r="86" ht="18" customHeight="1">
      <x:c r="A86" s="3"/>
      <x:c r="B86" s="3"/>
      <x:c r="C86" s="3"/>
      <x:c r="D86" s="3"/>
      <x:c r="E86" s="3"/>
      <x:c r="F86" s="3"/>
      <x:c r="G86" s="3"/>
      <x:c r="H86" s="3"/>
      <x:c r="I86" s="3"/>
      <x:c r="J86" s="3"/>
      <x:c r="K86" s="3"/>
      <x:c r="L86" s="3"/>
      <x:c r="M86" s="3"/>
      <x:c r="N86" s="3"/>
      <x:c r="O86" s="3"/>
      <x:c r="P86" s="3"/>
      <x:c r="Q86" s="12"/>
      <x:c r="R86" s="12"/>
      <x:c r="S86" s="12"/>
      <x:c r="T86" s="12"/>
      <x:c r="U86" s="12"/>
      <x:c r="V86" s="12"/>
      <x:c r="W86" s="12"/>
      <x:c r="X86" s="12"/>
      <x:c r="Y86" s="12"/>
      <x:c r="Z86" s="12"/>
      <x:c r="AA86" s="12"/>
      <x:c r="AB86" s="12"/>
      <x:c r="AC86" s="12"/>
      <x:c r="AD86" s="3"/>
      <x:c r="AE86" s="77"/>
      <x:c r="AF86" s="75"/>
      <x:c r="AG86" s="75"/>
      <x:c r="AH86" s="75"/>
      <x:c r="AI86" s="75"/>
      <x:c r="AJ86" s="75"/>
      <x:c r="AK86" s="75"/>
      <x:c r="AL86" s="75"/>
      <x:c r="AM86" s="75"/>
      <x:c r="AN86" s="75"/>
      <x:c r="AO86" s="75"/>
      <x:c r="AP86" s="75"/>
      <x:c r="AQ86" s="75"/>
      <x:c r="AR86" s="75"/>
      <x:c r="AS86" s="75"/>
      <x:c r="AT86" s="75"/>
      <x:c r="AU86" s="75"/>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4"/>
      <x:c r="DQ86" s="4"/>
      <x:c r="DR86" s="4"/>
      <x:c r="DS86" s="4"/>
      <x:c r="DT86" s="4"/>
      <x:c r="DU86" s="4"/>
      <x:c r="DV86" s="4"/>
      <x:c r="DW86" s="4"/>
      <x:c r="DX86" s="4"/>
      <x:c r="DY86" s="4"/>
      <x:c r="DZ86" s="4"/>
      <x:c r="EA86" s="4"/>
      <x:c r="EB86" s="4"/>
      <x:c r="EC86" s="4"/>
      <x:c r="ED86" s="4"/>
      <x:c r="EE86" s="4"/>
      <x:c r="EF86" s="4"/>
      <x:c r="EG86" s="4"/>
      <x:c r="EH86" s="4"/>
      <x:c r="EI86" s="4"/>
      <x:c r="EJ86" s="4"/>
      <x:c r="EK86" s="4"/>
      <x:c r="EL86" s="4"/>
      <x:c r="EM86" s="4"/>
      <x:c r="EN86" s="4"/>
      <x:c r="EO86" s="4"/>
      <x:c r="EP86" s="4"/>
      <x:c r="EQ86" s="4"/>
      <x:c r="ER86" s="4"/>
      <x:c r="ES86" s="4"/>
      <x:c r="ET86" s="4"/>
      <x:c r="EU86" s="4"/>
      <x:c r="EV86" s="4"/>
      <x:c r="EW86" s="4"/>
      <x:c r="EX86" s="4"/>
      <x:c r="EY86" s="4"/>
      <x:c r="EZ86" s="4"/>
      <x:c r="FA86" s="4"/>
      <x:c r="FB86" s="4"/>
      <x:c r="FC86" s="4"/>
      <x:c r="FD86" s="4"/>
      <x:c r="FE86" s="4"/>
      <x:c r="FF86" s="4"/>
      <x:c r="FG86" s="4"/>
      <x:c r="FH86" s="4"/>
      <x:c r="FI86" s="4"/>
      <x:c r="FJ86" s="4"/>
      <x:c r="FK86" s="4"/>
      <x:c r="FL86" s="4"/>
      <x:c r="FM86" s="4"/>
      <x:c r="FN86" s="4"/>
      <x:c r="FO86" s="4"/>
    </x:row>
    <x:row r="87" ht="18" customHeight="1">
      <x:c r="A87" s="3"/>
      <x:c r="B87" s="3"/>
      <x:c r="C87" s="3"/>
      <x:c r="D87" s="3"/>
      <x:c r="E87" s="3"/>
      <x:c r="F87" s="3"/>
      <x:c r="G87" s="3"/>
      <x:c r="H87" s="3"/>
      <x:c r="I87" s="3"/>
      <x:c r="J87" s="3"/>
      <x:c r="K87" s="3"/>
      <x:c r="L87" s="3"/>
      <x:c r="M87" s="3"/>
      <x:c r="N87" s="3"/>
      <x:c r="O87" s="3"/>
      <x:c r="P87" s="3"/>
      <x:c r="Q87" s="12"/>
      <x:c r="R87" s="12"/>
      <x:c r="S87" s="12"/>
      <x:c r="T87" s="12"/>
      <x:c r="U87" s="12"/>
      <x:c r="V87" s="12"/>
      <x:c r="W87" s="12"/>
      <x:c r="X87" s="12"/>
      <x:c r="Y87" s="12"/>
      <x:c r="Z87" s="12"/>
      <x:c r="AA87" s="12"/>
      <x:c r="AB87" s="12"/>
      <x:c r="AC87" s="12"/>
      <x:c r="AD87" s="3"/>
      <x:c r="AE87" s="77"/>
      <x:c r="AF87" s="75"/>
      <x:c r="AG87" s="75"/>
      <x:c r="AH87" s="75"/>
      <x:c r="AI87" s="75"/>
      <x:c r="AJ87" s="75"/>
      <x:c r="AK87" s="75"/>
      <x:c r="AL87" s="75"/>
      <x:c r="AM87" s="75"/>
      <x:c r="AN87" s="75"/>
      <x:c r="AO87" s="75"/>
      <x:c r="AP87" s="75"/>
      <x:c r="AQ87" s="75"/>
      <x:c r="AR87" s="75"/>
      <x:c r="AS87" s="75"/>
      <x:c r="AT87" s="75"/>
      <x:c r="AU87" s="75"/>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4"/>
      <x:c r="DQ87" s="4"/>
      <x:c r="DR87" s="4"/>
      <x:c r="DS87" s="4"/>
      <x:c r="DT87" s="4"/>
      <x:c r="DU87" s="4"/>
      <x:c r="DV87" s="4"/>
      <x:c r="DW87" s="4"/>
      <x:c r="DX87" s="4"/>
      <x:c r="DY87" s="4"/>
      <x:c r="DZ87" s="4"/>
      <x:c r="EA87" s="4"/>
      <x:c r="EB87" s="4"/>
      <x:c r="EC87" s="4"/>
      <x:c r="ED87" s="4"/>
      <x:c r="EE87" s="4"/>
      <x:c r="EF87" s="4"/>
      <x:c r="EG87" s="4"/>
      <x:c r="EH87" s="4"/>
      <x:c r="EI87" s="4"/>
      <x:c r="EJ87" s="4"/>
      <x:c r="EK87" s="4"/>
      <x:c r="EL87" s="4"/>
      <x:c r="EM87" s="4"/>
      <x:c r="EN87" s="4"/>
      <x:c r="EO87" s="4"/>
      <x:c r="EP87" s="4"/>
      <x:c r="EQ87" s="4"/>
      <x:c r="ER87" s="4"/>
      <x:c r="ES87" s="4"/>
      <x:c r="ET87" s="4"/>
      <x:c r="EU87" s="4"/>
      <x:c r="EV87" s="4"/>
      <x:c r="EW87" s="4"/>
      <x:c r="EX87" s="4"/>
      <x:c r="EY87" s="4"/>
      <x:c r="EZ87" s="4"/>
      <x:c r="FA87" s="4"/>
      <x:c r="FB87" s="4"/>
      <x:c r="FC87" s="4"/>
      <x:c r="FD87" s="4"/>
      <x:c r="FE87" s="4"/>
      <x:c r="FF87" s="4"/>
      <x:c r="FG87" s="4"/>
      <x:c r="FH87" s="4"/>
      <x:c r="FI87" s="4"/>
      <x:c r="FJ87" s="4"/>
      <x:c r="FK87" s="4"/>
      <x:c r="FL87" s="4"/>
      <x:c r="FM87" s="4"/>
      <x:c r="FN87" s="4"/>
      <x:c r="FO87" s="4"/>
    </x:row>
    <x:row r="88" ht="18" customHeight="1">
      <x:c r="A88" s="3"/>
      <x:c r="B88" s="3"/>
      <x:c r="C88" s="3"/>
      <x:c r="D88" s="3"/>
      <x:c r="E88" s="3"/>
      <x:c r="F88" s="3"/>
      <x:c r="G88" s="3"/>
      <x:c r="H88" s="3"/>
      <x:c r="I88" s="3"/>
      <x:c r="J88" s="3"/>
      <x:c r="K88" s="3"/>
      <x:c r="L88" s="3"/>
      <x:c r="M88" s="3"/>
      <x:c r="N88" s="3"/>
      <x:c r="O88" s="3"/>
      <x:c r="P88" s="3"/>
      <x:c r="Q88" s="12"/>
      <x:c r="R88" s="33" t="str">
        <x:v>Actual − threshold, percentage points. Blank thresholds are not treated as zero.</x:v>
      </x:c>
      <x:c r="S88" s="33" t="str">
        <x:v>Actual − threshold, percentage points. Blank thresholds are not treated as zero.</x:v>
      </x:c>
      <x:c r="T88" s="33" t="str">
        <x:v>Actual − threshold, percentage points. Blank thresholds are not treated as zero.</x:v>
      </x:c>
      <x:c r="U88" s="33" t="str">
        <x:v>Actual − threshold, percentage points. Blank thresholds are not treated as zero.</x:v>
      </x:c>
      <x:c r="V88" s="33" t="str">
        <x:v>Actual − threshold, percentage points. Blank thresholds are not treated as zero.</x:v>
      </x:c>
      <x:c r="W88" s="33" t="str">
        <x:v>Actual − threshold, percentage points. Blank thresholds are not treated as zero.</x:v>
      </x:c>
      <x:c r="X88" s="33" t="str">
        <x:v>Actual − threshold, percentage points. Blank thresholds are not treated as zero.</x:v>
      </x:c>
      <x:c r="Y88" s="33" t="str">
        <x:v>Actual − threshold, percentage points. Blank thresholds are not treated as zero.</x:v>
      </x:c>
      <x:c r="Z88" s="33" t="str">
        <x:v>Actual − threshold, percentage points. Blank thresholds are not treated as zero.</x:v>
      </x:c>
      <x:c r="AA88" s="33" t="str">
        <x:v>Actual − threshold, percentage points. Blank thresholds are not treated as zero.</x:v>
      </x:c>
      <x:c r="AB88" s="33" t="str">
        <x:v>Actual − threshold, percentage points. Blank thresholds are not treated as zero.</x:v>
      </x:c>
      <x:c r="AC88" s="12"/>
      <x:c r="AD88" s="3"/>
      <x:c r="AE88" s="77"/>
      <x:c r="AF88" s="75"/>
      <x:c r="AG88" s="75"/>
      <x:c r="AH88" s="75"/>
      <x:c r="AI88" s="75"/>
      <x:c r="AJ88" s="75"/>
      <x:c r="AK88" s="75"/>
      <x:c r="AL88" s="75"/>
      <x:c r="AM88" s="75"/>
      <x:c r="AN88" s="75"/>
      <x:c r="AO88" s="75"/>
      <x:c r="AP88" s="75"/>
      <x:c r="AQ88" s="75"/>
      <x:c r="AR88" s="75"/>
      <x:c r="AS88" s="75"/>
      <x:c r="AT88" s="75"/>
      <x:c r="AU88" s="75"/>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4"/>
      <x:c r="DQ88" s="4"/>
      <x:c r="DR88" s="4"/>
      <x:c r="DS88" s="4"/>
      <x:c r="DT88" s="4"/>
      <x:c r="DU88" s="4"/>
      <x:c r="DV88" s="4"/>
      <x:c r="DW88" s="4"/>
      <x:c r="DX88" s="4"/>
      <x:c r="DY88" s="4"/>
      <x:c r="DZ88" s="4"/>
      <x:c r="EA88" s="4"/>
      <x:c r="EB88" s="4"/>
      <x:c r="EC88" s="4"/>
      <x:c r="ED88" s="4"/>
      <x:c r="EE88" s="4"/>
      <x:c r="EF88" s="4"/>
      <x:c r="EG88" s="4"/>
      <x:c r="EH88" s="4"/>
      <x:c r="EI88" s="4"/>
      <x:c r="EJ88" s="4"/>
      <x:c r="EK88" s="4"/>
      <x:c r="EL88" s="4"/>
      <x:c r="EM88" s="4"/>
      <x:c r="EN88" s="4"/>
      <x:c r="EO88" s="4"/>
      <x:c r="EP88" s="4"/>
      <x:c r="EQ88" s="4"/>
      <x:c r="ER88" s="4"/>
      <x:c r="ES88" s="4"/>
      <x:c r="ET88" s="4"/>
      <x:c r="EU88" s="4"/>
      <x:c r="EV88" s="4"/>
      <x:c r="EW88" s="4"/>
      <x:c r="EX88" s="4"/>
      <x:c r="EY88" s="4"/>
      <x:c r="EZ88" s="4"/>
      <x:c r="FA88" s="4"/>
      <x:c r="FB88" s="4"/>
      <x:c r="FC88" s="4"/>
      <x:c r="FD88" s="4"/>
      <x:c r="FE88" s="4"/>
      <x:c r="FF88" s="4"/>
      <x:c r="FG88" s="4"/>
      <x:c r="FH88" s="4"/>
      <x:c r="FI88" s="4"/>
      <x:c r="FJ88" s="4"/>
      <x:c r="FK88" s="4"/>
      <x:c r="FL88" s="4"/>
      <x:c r="FM88" s="4"/>
      <x:c r="FN88" s="4"/>
      <x:c r="FO88" s="4"/>
    </x:row>
    <x:row r="89" ht="18" customHeight="1">
      <x:c r="A89" s="3"/>
      <x:c r="B89" s="3"/>
      <x:c r="C89" s="3"/>
      <x:c r="D89" s="3"/>
      <x:c r="E89" s="3"/>
      <x:c r="F89" s="3"/>
      <x:c r="G89" s="3"/>
      <x:c r="H89" s="3"/>
      <x:c r="I89" s="3"/>
      <x:c r="J89" s="3"/>
      <x:c r="K89" s="3"/>
      <x:c r="L89" s="3"/>
      <x:c r="M89" s="3"/>
      <x:c r="N89" s="3"/>
      <x:c r="O89" s="3"/>
      <x:c r="P89" s="3"/>
      <x:c r="Q89" s="12"/>
      <x:c r="R89" s="33" t="str">
        <x:v>Actual − threshold, percentage points. Blank thresholds are not treated as zero.</x:v>
      </x:c>
      <x:c r="S89" s="33" t="str">
        <x:v>Actual − threshold, percentage points. Blank thresholds are not treated as zero.</x:v>
      </x:c>
      <x:c r="T89" s="33" t="str">
        <x:v>Actual − threshold, percentage points. Blank thresholds are not treated as zero.</x:v>
      </x:c>
      <x:c r="U89" s="33" t="str">
        <x:v>Actual − threshold, percentage points. Blank thresholds are not treated as zero.</x:v>
      </x:c>
      <x:c r="V89" s="33" t="str">
        <x:v>Actual − threshold, percentage points. Blank thresholds are not treated as zero.</x:v>
      </x:c>
      <x:c r="W89" s="33" t="str">
        <x:v>Actual − threshold, percentage points. Blank thresholds are not treated as zero.</x:v>
      </x:c>
      <x:c r="X89" s="33" t="str">
        <x:v>Actual − threshold, percentage points. Blank thresholds are not treated as zero.</x:v>
      </x:c>
      <x:c r="Y89" s="33" t="str">
        <x:v>Actual − threshold, percentage points. Blank thresholds are not treated as zero.</x:v>
      </x:c>
      <x:c r="Z89" s="33" t="str">
        <x:v>Actual − threshold, percentage points. Blank thresholds are not treated as zero.</x:v>
      </x:c>
      <x:c r="AA89" s="33" t="str">
        <x:v>Actual − threshold, percentage points. Blank thresholds are not treated as zero.</x:v>
      </x:c>
      <x:c r="AB89" s="33" t="str">
        <x:v>Actual − threshold, percentage points. Blank thresholds are not treated as zero.</x:v>
      </x:c>
      <x:c r="AC89" s="12"/>
      <x:c r="AD89" s="3"/>
      <x:c r="AE89" s="77"/>
      <x:c r="AF89" s="75"/>
      <x:c r="AG89" s="75"/>
      <x:c r="AH89" s="75"/>
      <x:c r="AI89" s="75"/>
      <x:c r="AJ89" s="75"/>
      <x:c r="AK89" s="75"/>
      <x:c r="AL89" s="75"/>
      <x:c r="AM89" s="75"/>
      <x:c r="AN89" s="75"/>
      <x:c r="AO89" s="75"/>
      <x:c r="AP89" s="75"/>
      <x:c r="AQ89" s="75"/>
      <x:c r="AR89" s="75"/>
      <x:c r="AS89" s="75"/>
      <x:c r="AT89" s="75"/>
      <x:c r="AU89" s="75"/>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4"/>
      <x:c r="DQ89" s="4"/>
      <x:c r="DR89" s="4"/>
      <x:c r="DS89" s="4"/>
      <x:c r="DT89" s="4"/>
      <x:c r="DU89" s="4"/>
      <x:c r="DV89" s="4"/>
      <x:c r="DW89" s="4"/>
      <x:c r="DX89" s="4"/>
      <x:c r="DY89" s="4"/>
      <x:c r="DZ89" s="4"/>
      <x:c r="EA89" s="4"/>
      <x:c r="EB89" s="4"/>
      <x:c r="EC89" s="4"/>
      <x:c r="ED89" s="4"/>
      <x:c r="EE89" s="4"/>
      <x:c r="EF89" s="4"/>
      <x:c r="EG89" s="4"/>
      <x:c r="EH89" s="4"/>
      <x:c r="EI89" s="4"/>
      <x:c r="EJ89" s="4"/>
      <x:c r="EK89" s="4"/>
      <x:c r="EL89" s="4"/>
      <x:c r="EM89" s="4"/>
      <x:c r="EN89" s="4"/>
      <x:c r="EO89" s="4"/>
      <x:c r="EP89" s="4"/>
      <x:c r="EQ89" s="4"/>
      <x:c r="ER89" s="4"/>
      <x:c r="ES89" s="4"/>
      <x:c r="ET89" s="4"/>
      <x:c r="EU89" s="4"/>
      <x:c r="EV89" s="4"/>
      <x:c r="EW89" s="4"/>
      <x:c r="EX89" s="4"/>
      <x:c r="EY89" s="4"/>
      <x:c r="EZ89" s="4"/>
      <x:c r="FA89" s="4"/>
      <x:c r="FB89" s="4"/>
      <x:c r="FC89" s="4"/>
      <x:c r="FD89" s="4"/>
      <x:c r="FE89" s="4"/>
      <x:c r="FF89" s="4"/>
      <x:c r="FG89" s="4"/>
      <x:c r="FH89" s="4"/>
      <x:c r="FI89" s="4"/>
      <x:c r="FJ89" s="4"/>
      <x:c r="FK89" s="4"/>
      <x:c r="FL89" s="4"/>
      <x:c r="FM89" s="4"/>
      <x:c r="FN89" s="4"/>
      <x:c r="FO89" s="4"/>
    </x:row>
    <x:row r="90" ht="18" customHeight="1">
      <x:c r="A90" s="3"/>
      <x:c r="B90" s="3"/>
      <x:c r="C90" s="3"/>
      <x:c r="D90" s="3"/>
      <x:c r="E90" s="3"/>
      <x:c r="F90" s="3"/>
      <x:c r="G90" s="3"/>
      <x:c r="H90" s="3"/>
      <x:c r="I90" s="3"/>
      <x:c r="J90" s="3"/>
      <x:c r="K90" s="3"/>
      <x:c r="L90" s="3"/>
      <x:c r="M90" s="3"/>
      <x:c r="N90" s="3"/>
      <x:c r="O90" s="3"/>
      <x:c r="P90" s="3"/>
      <x:c r="Q90" s="12"/>
      <x:c r="R90" s="12"/>
      <x:c r="S90" s="12"/>
      <x:c r="T90" s="12"/>
      <x:c r="U90" s="12"/>
      <x:c r="V90" s="12"/>
      <x:c r="W90" s="12"/>
      <x:c r="X90" s="12"/>
      <x:c r="Y90" s="12"/>
      <x:c r="Z90" s="12"/>
      <x:c r="AA90" s="12"/>
      <x:c r="AB90" s="12"/>
      <x:c r="AC90" s="12"/>
      <x:c r="AD90" s="3"/>
      <x:c r="AE90" s="77"/>
      <x:c r="AF90" s="75"/>
      <x:c r="AG90" s="75"/>
      <x:c r="AH90" s="75"/>
      <x:c r="AI90" s="75"/>
      <x:c r="AJ90" s="75"/>
      <x:c r="AK90" s="75"/>
      <x:c r="AL90" s="75"/>
      <x:c r="AM90" s="75"/>
      <x:c r="AN90" s="75"/>
      <x:c r="AO90" s="75"/>
      <x:c r="AP90" s="75"/>
      <x:c r="AQ90" s="75"/>
      <x:c r="AR90" s="75"/>
      <x:c r="AS90" s="75"/>
      <x:c r="AT90" s="75"/>
      <x:c r="AU90" s="75"/>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4"/>
      <x:c r="DQ90" s="4"/>
      <x:c r="DR90" s="4"/>
      <x:c r="DS90" s="4"/>
      <x:c r="DT90" s="4"/>
      <x:c r="DU90" s="4"/>
      <x:c r="DV90" s="4"/>
      <x:c r="DW90" s="4"/>
      <x:c r="DX90" s="4"/>
      <x:c r="DY90" s="4"/>
      <x:c r="DZ90" s="4"/>
      <x:c r="EA90" s="4"/>
      <x:c r="EB90" s="4"/>
      <x:c r="EC90" s="4"/>
      <x:c r="ED90" s="4"/>
      <x:c r="EE90" s="4"/>
      <x:c r="EF90" s="4"/>
      <x:c r="EG90" s="4"/>
      <x:c r="EH90" s="4"/>
      <x:c r="EI90" s="4"/>
      <x:c r="EJ90" s="4"/>
      <x:c r="EK90" s="4"/>
      <x:c r="EL90" s="4"/>
      <x:c r="EM90" s="4"/>
      <x:c r="EN90" s="4"/>
      <x:c r="EO90" s="4"/>
      <x:c r="EP90" s="4"/>
      <x:c r="EQ90" s="4"/>
      <x:c r="ER90" s="4"/>
      <x:c r="ES90" s="4"/>
      <x:c r="ET90" s="4"/>
      <x:c r="EU90" s="4"/>
      <x:c r="EV90" s="4"/>
      <x:c r="EW90" s="4"/>
      <x:c r="EX90" s="4"/>
      <x:c r="EY90" s="4"/>
      <x:c r="EZ90" s="4"/>
      <x:c r="FA90" s="4"/>
      <x:c r="FB90" s="4"/>
      <x:c r="FC90" s="4"/>
      <x:c r="FD90" s="4"/>
      <x:c r="FE90" s="4"/>
      <x:c r="FF90" s="4"/>
      <x:c r="FG90" s="4"/>
      <x:c r="FH90" s="4"/>
      <x:c r="FI90" s="4"/>
      <x:c r="FJ90" s="4"/>
      <x:c r="FK90" s="4"/>
      <x:c r="FL90" s="4"/>
      <x:c r="FM90" s="4"/>
      <x:c r="FN90" s="4"/>
      <x:c r="FO90" s="4"/>
    </x:row>
    <x:row r="91" ht="18" customHeight="1">
      <x:c r="A91" s="3"/>
      <x:c r="B91" s="3"/>
      <x:c r="C91" s="3"/>
      <x:c r="D91" s="3"/>
      <x:c r="E91" s="3"/>
      <x:c r="F91" s="3"/>
      <x:c r="G91" s="3"/>
      <x:c r="H91" s="3"/>
      <x:c r="I91" s="3"/>
      <x:c r="J91" s="3"/>
      <x:c r="K91" s="3"/>
      <x:c r="L91" s="3"/>
      <x:c r="M91" s="3"/>
      <x:c r="N91" s="3"/>
      <x:c r="O91" s="3"/>
      <x:c r="P91" s="3"/>
      <x:c r="Q91" s="3"/>
      <x:c r="R91" s="3"/>
      <x:c r="S91" s="3"/>
      <x:c r="T91" s="3"/>
      <x:c r="U91" s="3"/>
      <x:c r="V91" s="3"/>
      <x:c r="W91" s="3"/>
      <x:c r="X91" s="3"/>
      <x:c r="Y91" s="3"/>
      <x:c r="Z91" s="3"/>
      <x:c r="AA91" s="3"/>
      <x:c r="AB91" s="3"/>
      <x:c r="AC91" s="3"/>
      <x:c r="AD91" s="3"/>
      <x:c r="AE91" s="77"/>
      <x:c r="AF91" s="75"/>
      <x:c r="AG91" s="75"/>
      <x:c r="AH91" s="75"/>
      <x:c r="AI91" s="75"/>
      <x:c r="AJ91" s="75"/>
      <x:c r="AK91" s="75"/>
      <x:c r="AL91" s="75"/>
      <x:c r="AM91" s="75"/>
      <x:c r="AN91" s="75"/>
      <x:c r="AO91" s="75"/>
      <x:c r="AP91" s="75"/>
      <x:c r="AQ91" s="75"/>
      <x:c r="AR91" s="75"/>
      <x:c r="AS91" s="75"/>
      <x:c r="AT91" s="75"/>
      <x:c r="AU91" s="75"/>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4"/>
      <x:c r="DQ91" s="4"/>
      <x:c r="DR91" s="4"/>
      <x:c r="DS91" s="4"/>
      <x:c r="DT91" s="4"/>
      <x:c r="DU91" s="4"/>
      <x:c r="DV91" s="4"/>
      <x:c r="DW91" s="4"/>
      <x:c r="DX91" s="4"/>
      <x:c r="DY91" s="4"/>
      <x:c r="DZ91" s="4"/>
      <x:c r="EA91" s="4"/>
      <x:c r="EB91" s="4"/>
      <x:c r="EC91" s="4"/>
      <x:c r="ED91" s="4"/>
      <x:c r="EE91" s="4"/>
      <x:c r="EF91" s="4"/>
      <x:c r="EG91" s="4"/>
      <x:c r="EH91" s="4"/>
      <x:c r="EI91" s="4"/>
      <x:c r="EJ91" s="4"/>
      <x:c r="EK91" s="4"/>
      <x:c r="EL91" s="4"/>
      <x:c r="EM91" s="4"/>
      <x:c r="EN91" s="4"/>
      <x:c r="EO91" s="4"/>
      <x:c r="EP91" s="4"/>
      <x:c r="EQ91" s="4"/>
      <x:c r="ER91" s="4"/>
      <x:c r="ES91" s="4"/>
      <x:c r="ET91" s="4"/>
      <x:c r="EU91" s="4"/>
      <x:c r="EV91" s="4"/>
      <x:c r="EW91" s="4"/>
      <x:c r="EX91" s="4"/>
      <x:c r="EY91" s="4"/>
      <x:c r="EZ91" s="4"/>
      <x:c r="FA91" s="4"/>
      <x:c r="FB91" s="4"/>
      <x:c r="FC91" s="4"/>
      <x:c r="FD91" s="4"/>
      <x:c r="FE91" s="4"/>
      <x:c r="FF91" s="4"/>
      <x:c r="FG91" s="4"/>
      <x:c r="FH91" s="4"/>
      <x:c r="FI91" s="4"/>
      <x:c r="FJ91" s="4"/>
      <x:c r="FK91" s="4"/>
      <x:c r="FL91" s="4"/>
      <x:c r="FM91" s="4"/>
      <x:c r="FN91" s="4"/>
      <x:c r="FO91" s="4"/>
    </x:row>
    <x:row r="92" ht="18" customHeight="1">
      <x:c r="A92" s="3"/>
      <x:c r="B92" s="3"/>
      <x:c r="C92" s="3"/>
      <x:c r="D92" s="3"/>
      <x:c r="E92" s="3"/>
      <x:c r="F92" s="3"/>
      <x:c r="G92" s="3"/>
      <x:c r="H92" s="3"/>
      <x:c r="I92" s="3"/>
      <x:c r="J92" s="3"/>
      <x:c r="K92" s="3"/>
      <x:c r="L92" s="3"/>
      <x:c r="M92" s="3"/>
      <x:c r="N92" s="3"/>
      <x:c r="O92" s="3"/>
      <x:c r="P92" s="3"/>
      <x:c r="Q92" s="3"/>
      <x:c r="R92" s="3"/>
      <x:c r="S92" s="3"/>
      <x:c r="T92" s="3"/>
      <x:c r="U92" s="3"/>
      <x:c r="V92" s="3"/>
      <x:c r="W92" s="3"/>
      <x:c r="X92" s="3"/>
      <x:c r="Y92" s="3"/>
      <x:c r="Z92" s="3"/>
      <x:c r="AA92" s="3"/>
      <x:c r="AB92" s="3"/>
      <x:c r="AC92" s="3"/>
      <x:c r="AD92" s="3"/>
      <x:c r="AE92" s="77"/>
      <x:c r="AF92" s="75"/>
      <x:c r="AG92" s="75"/>
      <x:c r="AH92" s="75"/>
      <x:c r="AI92" s="75"/>
      <x:c r="AJ92" s="75"/>
      <x:c r="AK92" s="75"/>
      <x:c r="AL92" s="75"/>
      <x:c r="AM92" s="75"/>
      <x:c r="AN92" s="75"/>
      <x:c r="AO92" s="75"/>
      <x:c r="AP92" s="75"/>
      <x:c r="AQ92" s="75"/>
      <x:c r="AR92" s="75"/>
      <x:c r="AS92" s="75"/>
      <x:c r="AT92" s="75"/>
      <x:c r="AU92" s="75"/>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4"/>
      <x:c r="DQ92" s="4"/>
      <x:c r="DR92" s="4"/>
      <x:c r="DS92" s="4"/>
      <x:c r="DT92" s="4"/>
      <x:c r="DU92" s="4"/>
      <x:c r="DV92" s="4"/>
      <x:c r="DW92" s="4"/>
      <x:c r="DX92" s="4"/>
      <x:c r="DY92" s="4"/>
      <x:c r="DZ92" s="4"/>
      <x:c r="EA92" s="4"/>
      <x:c r="EB92" s="4"/>
      <x:c r="EC92" s="4"/>
      <x:c r="ED92" s="4"/>
      <x:c r="EE92" s="4"/>
      <x:c r="EF92" s="4"/>
      <x:c r="EG92" s="4"/>
      <x:c r="EH92" s="4"/>
      <x:c r="EI92" s="4"/>
      <x:c r="EJ92" s="4"/>
      <x:c r="EK92" s="4"/>
      <x:c r="EL92" s="4"/>
      <x:c r="EM92" s="4"/>
      <x:c r="EN92" s="4"/>
      <x:c r="EO92" s="4"/>
      <x:c r="EP92" s="4"/>
      <x:c r="EQ92" s="4"/>
      <x:c r="ER92" s="4"/>
      <x:c r="ES92" s="4"/>
      <x:c r="ET92" s="4"/>
      <x:c r="EU92" s="4"/>
      <x:c r="EV92" s="4"/>
      <x:c r="EW92" s="4"/>
      <x:c r="EX92" s="4"/>
      <x:c r="EY92" s="4"/>
      <x:c r="EZ92" s="4"/>
      <x:c r="FA92" s="4"/>
      <x:c r="FB92" s="4"/>
      <x:c r="FC92" s="4"/>
      <x:c r="FD92" s="4"/>
      <x:c r="FE92" s="4"/>
      <x:c r="FF92" s="4"/>
      <x:c r="FG92" s="4"/>
      <x:c r="FH92" s="4"/>
      <x:c r="FI92" s="4"/>
      <x:c r="FJ92" s="4"/>
      <x:c r="FK92" s="4"/>
      <x:c r="FL92" s="4"/>
      <x:c r="FM92" s="4"/>
      <x:c r="FN92" s="4"/>
      <x:c r="FO92" s="4"/>
    </x:row>
    <x:row r="93" ht="18" customHeight="1">
      <x:c r="A93" s="3"/>
      <x:c r="B93" s="34" t="str">
        <x:v>Reporting branches · use Manager and Below direct to explore</x:v>
      </x:c>
      <x:c r="C93" s="34" t="str">
        <x:v>Reporting branches · use Manager and Below direct to explore</x:v>
      </x:c>
      <x:c r="D93" s="34" t="str">
        <x:v>Reporting branches · use Manager and Below direct to explore</x:v>
      </x:c>
      <x:c r="E93" s="34" t="str">
        <x:v>Reporting branches · use Manager and Below direct to explore</x:v>
      </x:c>
      <x:c r="F93" s="34" t="str">
        <x:v>Reporting branches · use Manager and Below direct to explore</x:v>
      </x:c>
      <x:c r="G93" s="34" t="str">
        <x:v>Reporting branches · use Manager and Below direct to explore</x:v>
      </x:c>
      <x:c r="H93" s="34" t="str">
        <x:v>Reporting branches · use Manager and Below direct to explore</x:v>
      </x:c>
      <x:c r="I93" s="34" t="str">
        <x:v>Reporting branches · use Manager and Below direct to explore</x:v>
      </x:c>
      <x:c r="J93" s="34" t="str">
        <x:v>Reporting branches · use Manager and Below direct to explore</x:v>
      </x:c>
      <x:c r="K93" s="34" t="str">
        <x:v>Reporting branches · use Manager and Below direct to explore</x:v>
      </x:c>
      <x:c r="L93" s="34" t="str">
        <x:v>Reporting branches · use Manager and Below direct to explore</x:v>
      </x:c>
      <x:c r="M93" s="34" t="str">
        <x:v>Reporting branches · use Manager and Below direct to explore</x:v>
      </x:c>
      <x:c r="N93" s="34" t="str">
        <x:v>Reporting branches · use Manager and Below direct to explore</x:v>
      </x:c>
      <x:c r="O93" s="34" t="str">
        <x:v>Reporting branches · use Manager and Below direct to explore</x:v>
      </x:c>
      <x:c r="P93" s="34" t="str">
        <x:v>Reporting branches · use Manager and Below direct to explore</x:v>
      </x:c>
      <x:c r="Q93" s="34" t="str">
        <x:v>Reporting branches · use Manager and Below direct to explore</x:v>
      </x:c>
      <x:c r="R93" s="34" t="str">
        <x:v>Reporting branches · use Manager and Below direct to explore</x:v>
      </x:c>
      <x:c r="S93" s="34" t="str">
        <x:v>Reporting branches · use Manager and Below direct to explore</x:v>
      </x:c>
      <x:c r="T93" s="34" t="str">
        <x:v>Reporting branches · use Manager and Below direct to explore</x:v>
      </x:c>
      <x:c r="U93" s="34" t="str">
        <x:v>Reporting branches · use Manager and Below direct to explore</x:v>
      </x:c>
      <x:c r="V93" s="34" t="str">
        <x:v>Reporting branches · use Manager and Below direct to explore</x:v>
      </x:c>
      <x:c r="W93" s="8" t="str">
        <x:v>Page</x:v>
      </x:c>
      <x:c r="X93" s="8" t="str">
        <x:v>Page</x:v>
      </x:c>
      <x:c r="Y93" s="8" t="str">
        <x:v>Page</x:v>
      </x:c>
      <x:c r="Z93" s="35" t="n">
        <x:v>1</x:v>
      </x:c>
      <x:c r="AA93" s="35" t="n">
        <x:v>1</x:v>
      </x:c>
      <x:c r="AB93" s="8" t="str">
        <x:f>'Calculations'!$HB$93</x:f>
        <x:v>/ 1</x:v>
      </x:c>
      <x:c r="AC93" s="8"/>
      <x:c r="AD93" s="3"/>
      <x:c r="AE93" s="77"/>
      <x:c r="AF93" s="75"/>
      <x:c r="AG93" s="75"/>
      <x:c r="AH93" s="75"/>
      <x:c r="AI93" s="75"/>
      <x:c r="AJ93" s="75"/>
      <x:c r="AK93" s="75"/>
      <x:c r="AL93" s="75"/>
      <x:c r="AM93" s="75"/>
      <x:c r="AN93" s="75"/>
      <x:c r="AO93" s="75"/>
      <x:c r="AP93" s="75"/>
      <x:c r="AQ93" s="75"/>
      <x:c r="AR93" s="75"/>
      <x:c r="AS93" s="75"/>
      <x:c r="AT93" s="75"/>
      <x:c r="AU93" s="75"/>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4"/>
      <x:c r="DQ93" s="4"/>
      <x:c r="DR93" s="4"/>
      <x:c r="DS93" s="4"/>
      <x:c r="DT93" s="4"/>
      <x:c r="DU93" s="4"/>
      <x:c r="DV93" s="4"/>
      <x:c r="DW93" s="4"/>
      <x:c r="DX93" s="4"/>
      <x:c r="DY93" s="4"/>
      <x:c r="DZ93" s="4"/>
      <x:c r="EA93" s="4"/>
      <x:c r="EB93" s="4"/>
      <x:c r="EC93" s="4"/>
      <x:c r="ED93" s="4"/>
      <x:c r="EE93" s="4"/>
      <x:c r="EF93" s="4"/>
      <x:c r="EG93" s="4"/>
      <x:c r="EH93" s="4"/>
      <x:c r="EI93" s="4"/>
      <x:c r="EJ93" s="4"/>
      <x:c r="EK93" s="4"/>
      <x:c r="EL93" s="4"/>
      <x:c r="EM93" s="4"/>
      <x:c r="EN93" s="4"/>
      <x:c r="EO93" s="4"/>
      <x:c r="EP93" s="4"/>
      <x:c r="EQ93" s="4"/>
      <x:c r="ER93" s="4"/>
      <x:c r="ES93" s="4"/>
      <x:c r="ET93" s="4"/>
      <x:c r="EU93" s="4"/>
      <x:c r="EV93" s="4"/>
      <x:c r="EW93" s="4"/>
      <x:c r="EX93" s="4"/>
      <x:c r="EY93" s="4"/>
      <x:c r="EZ93" s="4"/>
      <x:c r="FA93" s="4"/>
      <x:c r="FB93" s="4"/>
      <x:c r="FC93" s="4"/>
      <x:c r="FD93" s="4"/>
      <x:c r="FE93" s="4"/>
      <x:c r="FF93" s="4"/>
      <x:c r="FG93" s="4"/>
      <x:c r="FH93" s="4"/>
      <x:c r="FI93" s="4"/>
      <x:c r="FJ93" s="4"/>
      <x:c r="FK93" s="4"/>
      <x:c r="FL93" s="4"/>
      <x:c r="FM93" s="4"/>
      <x:c r="FN93" s="4"/>
      <x:c r="FO93" s="4"/>
    </x:row>
    <x:row r="94" ht="18" customHeight="1">
      <x:c r="A94" s="3"/>
      <x:c r="B94" s="34" t="str">
        <x:v>Reporting branches · use Manager and Below direct to explore</x:v>
      </x:c>
      <x:c r="C94" s="34" t="str">
        <x:v>Reporting branches · use Manager and Below direct to explore</x:v>
      </x:c>
      <x:c r="D94" s="34" t="str">
        <x:v>Reporting branches · use Manager and Below direct to explore</x:v>
      </x:c>
      <x:c r="E94" s="34" t="str">
        <x:v>Reporting branches · use Manager and Below direct to explore</x:v>
      </x:c>
      <x:c r="F94" s="34" t="str">
        <x:v>Reporting branches · use Manager and Below direct to explore</x:v>
      </x:c>
      <x:c r="G94" s="34" t="str">
        <x:v>Reporting branches · use Manager and Below direct to explore</x:v>
      </x:c>
      <x:c r="H94" s="34" t="str">
        <x:v>Reporting branches · use Manager and Below direct to explore</x:v>
      </x:c>
      <x:c r="I94" s="34" t="str">
        <x:v>Reporting branches · use Manager and Below direct to explore</x:v>
      </x:c>
      <x:c r="J94" s="34" t="str">
        <x:v>Reporting branches · use Manager and Below direct to explore</x:v>
      </x:c>
      <x:c r="K94" s="34" t="str">
        <x:v>Reporting branches · use Manager and Below direct to explore</x:v>
      </x:c>
      <x:c r="L94" s="34" t="str">
        <x:v>Reporting branches · use Manager and Below direct to explore</x:v>
      </x:c>
      <x:c r="M94" s="34" t="str">
        <x:v>Reporting branches · use Manager and Below direct to explore</x:v>
      </x:c>
      <x:c r="N94" s="34" t="str">
        <x:v>Reporting branches · use Manager and Below direct to explore</x:v>
      </x:c>
      <x:c r="O94" s="34" t="str">
        <x:v>Reporting branches · use Manager and Below direct to explore</x:v>
      </x:c>
      <x:c r="P94" s="34" t="str">
        <x:v>Reporting branches · use Manager and Below direct to explore</x:v>
      </x:c>
      <x:c r="Q94" s="34" t="str">
        <x:v>Reporting branches · use Manager and Below direct to explore</x:v>
      </x:c>
      <x:c r="R94" s="34" t="str">
        <x:v>Reporting branches · use Manager and Below direct to explore</x:v>
      </x:c>
      <x:c r="S94" s="34" t="str">
        <x:v>Reporting branches · use Manager and Below direct to explore</x:v>
      </x:c>
      <x:c r="T94" s="34" t="str">
        <x:v>Reporting branches · use Manager and Below direct to explore</x:v>
      </x:c>
      <x:c r="U94" s="34" t="str">
        <x:v>Reporting branches · use Manager and Below direct to explore</x:v>
      </x:c>
      <x:c r="V94" s="34" t="str">
        <x:v>Reporting branches · use Manager and Below direct to explore</x:v>
      </x:c>
      <x:c r="W94" s="8" t="str">
        <x:v>Page</x:v>
      </x:c>
      <x:c r="X94" s="8" t="str">
        <x:v>Page</x:v>
      </x:c>
      <x:c r="Y94" s="8" t="str">
        <x:v>Page</x:v>
      </x:c>
      <x:c r="Z94" s="35" t="n">
        <x:v>1</x:v>
      </x:c>
      <x:c r="AA94" s="35" t="n">
        <x:v>1</x:v>
      </x:c>
      <x:c r="AB94" s="8"/>
      <x:c r="AC94" s="8"/>
      <x:c r="AD94" s="3"/>
      <x:c r="AE94" s="77"/>
      <x:c r="AF94" s="75"/>
      <x:c r="AG94" s="75"/>
      <x:c r="AH94" s="75"/>
      <x:c r="AI94" s="75"/>
      <x:c r="AJ94" s="75"/>
      <x:c r="AK94" s="75"/>
      <x:c r="AL94" s="75"/>
      <x:c r="AM94" s="75"/>
      <x:c r="AN94" s="75"/>
      <x:c r="AO94" s="75"/>
      <x:c r="AP94" s="75"/>
      <x:c r="AQ94" s="75"/>
      <x:c r="AR94" s="75"/>
      <x:c r="AS94" s="75"/>
      <x:c r="AT94" s="75"/>
      <x:c r="AU94" s="75"/>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4"/>
      <x:c r="DQ94" s="4"/>
      <x:c r="DR94" s="4"/>
      <x:c r="DS94" s="4"/>
      <x:c r="DT94" s="4"/>
      <x:c r="DU94" s="4"/>
      <x:c r="DV94" s="4"/>
      <x:c r="DW94" s="4"/>
      <x:c r="DX94" s="4"/>
      <x:c r="DY94" s="4"/>
      <x:c r="DZ94" s="4"/>
      <x:c r="EA94" s="4"/>
      <x:c r="EB94" s="4"/>
      <x:c r="EC94" s="4"/>
      <x:c r="ED94" s="4"/>
      <x:c r="EE94" s="4"/>
      <x:c r="EF94" s="4"/>
      <x:c r="EG94" s="4"/>
      <x:c r="EH94" s="4"/>
      <x:c r="EI94" s="4"/>
      <x:c r="EJ94" s="4"/>
      <x:c r="EK94" s="4"/>
      <x:c r="EL94" s="4"/>
      <x:c r="EM94" s="4"/>
      <x:c r="EN94" s="4"/>
      <x:c r="EO94" s="4"/>
      <x:c r="EP94" s="4"/>
      <x:c r="EQ94" s="4"/>
      <x:c r="ER94" s="4"/>
      <x:c r="ES94" s="4"/>
      <x:c r="ET94" s="4"/>
      <x:c r="EU94" s="4"/>
      <x:c r="EV94" s="4"/>
      <x:c r="EW94" s="4"/>
      <x:c r="EX94" s="4"/>
      <x:c r="EY94" s="4"/>
      <x:c r="EZ94" s="4"/>
      <x:c r="FA94" s="4"/>
      <x:c r="FB94" s="4"/>
      <x:c r="FC94" s="4"/>
      <x:c r="FD94" s="4"/>
      <x:c r="FE94" s="4"/>
      <x:c r="FF94" s="4"/>
      <x:c r="FG94" s="4"/>
      <x:c r="FH94" s="4"/>
      <x:c r="FI94" s="4"/>
      <x:c r="FJ94" s="4"/>
      <x:c r="FK94" s="4"/>
      <x:c r="FL94" s="4"/>
      <x:c r="FM94" s="4"/>
      <x:c r="FN94" s="4"/>
      <x:c r="FO94" s="4"/>
    </x:row>
    <x:row r="95" ht="18" customHeight="1">
      <x:c r="A95" s="3"/>
      <x:c r="B95" s="3"/>
      <x:c r="C95" s="3"/>
      <x:c r="D95" s="3"/>
      <x:c r="E95" s="3"/>
      <x:c r="F95" s="3"/>
      <x:c r="G95" s="3"/>
      <x:c r="H95" s="3"/>
      <x:c r="I95" s="3"/>
      <x:c r="J95" s="3"/>
      <x:c r="K95" s="3"/>
      <x:c r="L95" s="3"/>
      <x:c r="M95" s="3"/>
      <x:c r="N95" s="3"/>
      <x:c r="O95" s="3"/>
      <x:c r="P95" s="3"/>
      <x:c r="Q95" s="3"/>
      <x:c r="R95" s="3"/>
      <x:c r="S95" s="3"/>
      <x:c r="T95" s="3"/>
      <x:c r="U95" s="3"/>
      <x:c r="V95" s="3"/>
      <x:c r="W95" s="3"/>
      <x:c r="X95" s="3"/>
      <x:c r="Y95" s="3"/>
      <x:c r="Z95" s="3"/>
      <x:c r="AA95" s="3"/>
      <x:c r="AB95" s="3"/>
      <x:c r="AC95" s="3"/>
      <x:c r="AD95" s="3"/>
      <x:c r="AE95" s="77"/>
      <x:c r="AF95" s="75"/>
      <x:c r="AG95" s="75"/>
      <x:c r="AH95" s="75"/>
      <x:c r="AI95" s="75"/>
      <x:c r="AJ95" s="75"/>
      <x:c r="AK95" s="75"/>
      <x:c r="AL95" s="75"/>
      <x:c r="AM95" s="75"/>
      <x:c r="AN95" s="75"/>
      <x:c r="AO95" s="75"/>
      <x:c r="AP95" s="75"/>
      <x:c r="AQ95" s="75"/>
      <x:c r="AR95" s="75"/>
      <x:c r="AS95" s="75"/>
      <x:c r="AT95" s="75"/>
      <x:c r="AU95" s="75"/>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4"/>
      <x:c r="DQ95" s="4"/>
      <x:c r="DR95" s="4"/>
      <x:c r="DS95" s="4"/>
      <x:c r="DT95" s="4"/>
      <x:c r="DU95" s="4"/>
      <x:c r="DV95" s="4"/>
      <x:c r="DW95" s="4"/>
      <x:c r="DX95" s="4"/>
      <x:c r="DY95" s="4"/>
      <x:c r="DZ95" s="4"/>
      <x:c r="EA95" s="4"/>
      <x:c r="EB95" s="4"/>
      <x:c r="EC95" s="4"/>
      <x:c r="ED95" s="4"/>
      <x:c r="EE95" s="4"/>
      <x:c r="EF95" s="4"/>
      <x:c r="EG95" s="4"/>
      <x:c r="EH95" s="4"/>
      <x:c r="EI95" s="4"/>
      <x:c r="EJ95" s="4"/>
      <x:c r="EK95" s="4"/>
      <x:c r="EL95" s="4"/>
      <x:c r="EM95" s="4"/>
      <x:c r="EN95" s="4"/>
      <x:c r="EO95" s="4"/>
      <x:c r="EP95" s="4"/>
      <x:c r="EQ95" s="4"/>
      <x:c r="ER95" s="4"/>
      <x:c r="ES95" s="4"/>
      <x:c r="ET95" s="4"/>
      <x:c r="EU95" s="4"/>
      <x:c r="EV95" s="4"/>
      <x:c r="EW95" s="4"/>
      <x:c r="EX95" s="4"/>
      <x:c r="EY95" s="4"/>
      <x:c r="EZ95" s="4"/>
      <x:c r="FA95" s="4"/>
      <x:c r="FB95" s="4"/>
      <x:c r="FC95" s="4"/>
      <x:c r="FD95" s="4"/>
      <x:c r="FE95" s="4"/>
      <x:c r="FF95" s="4"/>
      <x:c r="FG95" s="4"/>
      <x:c r="FH95" s="4"/>
      <x:c r="FI95" s="4"/>
      <x:c r="FJ95" s="4"/>
      <x:c r="FK95" s="4"/>
      <x:c r="FL95" s="4"/>
      <x:c r="FM95" s="4"/>
      <x:c r="FN95" s="4"/>
      <x:c r="FO95" s="4"/>
    </x:row>
    <x:row r="96" ht="18" customHeight="1">
      <x:c r="A96" s="3"/>
      <x:c r="B96" s="37" t="str">
        <x:v>Below direct / branch</x:v>
      </x:c>
      <x:c r="C96" s="37" t="str">
        <x:v>Below direct / branch</x:v>
      </x:c>
      <x:c r="D96" s="37" t="str">
        <x:v>Below direct / branch</x:v>
      </x:c>
      <x:c r="E96" s="37" t="str">
        <x:v>Below direct / branch</x:v>
      </x:c>
      <x:c r="F96" s="37" t="str">
        <x:v>Below direct / branch</x:v>
      </x:c>
      <x:c r="G96" s="37" t="str">
        <x:v>Below direct / branch</x:v>
      </x:c>
      <x:c r="H96" s="37" t="str">
        <x:v>Below direct / branch</x:v>
      </x:c>
      <x:c r="I96" s="38" t="str">
        <x:v>Population</x:v>
      </x:c>
      <x:c r="J96" s="38" t="str">
        <x:v>Population</x:v>
      </x:c>
      <x:c r="K96" s="38" t="str">
        <x:v>Fully rated</x:v>
      </x:c>
      <x:c r="L96" s="38" t="str">
        <x:v>Fully rated</x:v>
      </x:c>
      <x:c r="M96" s="38" t="str">
        <x:v>Pending</x:v>
      </x:c>
      <x:c r="N96" s="38" t="str">
        <x:v>Pending</x:v>
      </x:c>
      <x:c r="O96" s="38" t="str">
        <x:v>Completion</x:v>
      </x:c>
      <x:c r="P96" s="38" t="str">
        <x:v>Completion</x:v>
      </x:c>
      <x:c r="Q96" s="38" t="str">
        <x:v>High</x:v>
      </x:c>
      <x:c r="R96" s="38" t="str">
        <x:v>High</x:v>
      </x:c>
      <x:c r="S96" s="38" t="str">
        <x:v>Strong</x:v>
      </x:c>
      <x:c r="T96" s="38" t="str">
        <x:v>Strong</x:v>
      </x:c>
      <x:c r="U96" s="38" t="str">
        <x:v>Solid</x:v>
      </x:c>
      <x:c r="V96" s="38" t="str">
        <x:v>Solid</x:v>
      </x:c>
      <x:c r="W96" s="38" t="str">
        <x:v>Low</x:v>
      </x:c>
      <x:c r="X96" s="38" t="str">
        <x:v>Low</x:v>
      </x:c>
      <x:c r="Y96" s="38" t="str">
        <x:v>Direct reports</x:v>
      </x:c>
      <x:c r="Z96" s="38" t="str">
        <x:v>Direct reports</x:v>
      </x:c>
      <x:c r="AA96" s="38" t="str">
        <x:v>High + Strong</x:v>
      </x:c>
      <x:c r="AB96" s="38" t="str">
        <x:v>High + Strong</x:v>
      </x:c>
      <x:c r="AC96" s="38" t="str">
        <x:v>High + Strong</x:v>
      </x:c>
      <x:c r="AD96" s="3"/>
      <x:c r="AE96" s="77"/>
      <x:c r="AF96" s="75"/>
      <x:c r="AG96" s="75"/>
      <x:c r="AH96" s="75"/>
      <x:c r="AI96" s="75"/>
      <x:c r="AJ96" s="75"/>
      <x:c r="AK96" s="75"/>
      <x:c r="AL96" s="75"/>
      <x:c r="AM96" s="75"/>
      <x:c r="AN96" s="75"/>
      <x:c r="AO96" s="75"/>
      <x:c r="AP96" s="75"/>
      <x:c r="AQ96" s="75"/>
      <x:c r="AR96" s="75"/>
      <x:c r="AS96" s="75"/>
      <x:c r="AT96" s="75"/>
      <x:c r="AU96" s="75"/>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4"/>
      <x:c r="DQ96" s="4"/>
      <x:c r="DR96" s="4"/>
      <x:c r="DS96" s="4"/>
      <x:c r="DT96" s="4"/>
      <x:c r="DU96" s="4"/>
      <x:c r="DV96" s="4"/>
      <x:c r="DW96" s="4"/>
      <x:c r="DX96" s="4"/>
      <x:c r="DY96" s="4"/>
      <x:c r="DZ96" s="4"/>
      <x:c r="EA96" s="4"/>
      <x:c r="EB96" s="4"/>
      <x:c r="EC96" s="4"/>
      <x:c r="ED96" s="4"/>
      <x:c r="EE96" s="4"/>
      <x:c r="EF96" s="4"/>
      <x:c r="EG96" s="4"/>
      <x:c r="EH96" s="4"/>
      <x:c r="EI96" s="4"/>
      <x:c r="EJ96" s="4"/>
      <x:c r="EK96" s="4"/>
      <x:c r="EL96" s="4"/>
      <x:c r="EM96" s="4"/>
      <x:c r="EN96" s="4"/>
      <x:c r="EO96" s="4"/>
      <x:c r="EP96" s="4"/>
      <x:c r="EQ96" s="4"/>
      <x:c r="ER96" s="4"/>
      <x:c r="ES96" s="4"/>
      <x:c r="ET96" s="4"/>
      <x:c r="EU96" s="4"/>
      <x:c r="EV96" s="4"/>
      <x:c r="EW96" s="4"/>
      <x:c r="EX96" s="4"/>
      <x:c r="EY96" s="4"/>
      <x:c r="EZ96" s="4"/>
      <x:c r="FA96" s="4"/>
      <x:c r="FB96" s="4"/>
      <x:c r="FC96" s="4"/>
      <x:c r="FD96" s="4"/>
      <x:c r="FE96" s="4"/>
      <x:c r="FF96" s="4"/>
      <x:c r="FG96" s="4"/>
      <x:c r="FH96" s="4"/>
      <x:c r="FI96" s="4"/>
      <x:c r="FJ96" s="4"/>
      <x:c r="FK96" s="4"/>
      <x:c r="FL96" s="4"/>
      <x:c r="FM96" s="4"/>
      <x:c r="FN96" s="4"/>
      <x:c r="FO96" s="4"/>
    </x:row>
    <x:row r="97" ht="18" customHeight="1">
      <x:c r="A97" s="3"/>
      <x:c r="B97" s="37" t="str">
        <x:v>Below direct / branch</x:v>
      </x:c>
      <x:c r="C97" s="37" t="str">
        <x:v>Below direct / branch</x:v>
      </x:c>
      <x:c r="D97" s="37" t="str">
        <x:v>Below direct / branch</x:v>
      </x:c>
      <x:c r="E97" s="37" t="str">
        <x:v>Below direct / branch</x:v>
      </x:c>
      <x:c r="F97" s="37" t="str">
        <x:v>Below direct / branch</x:v>
      </x:c>
      <x:c r="G97" s="37" t="str">
        <x:v>Below direct / branch</x:v>
      </x:c>
      <x:c r="H97" s="37" t="str">
        <x:v>Below direct / branch</x:v>
      </x:c>
      <x:c r="I97" s="38" t="str">
        <x:v>Population</x:v>
      </x:c>
      <x:c r="J97" s="38" t="str">
        <x:v>Population</x:v>
      </x:c>
      <x:c r="K97" s="38" t="str">
        <x:v>Fully rated</x:v>
      </x:c>
      <x:c r="L97" s="38" t="str">
        <x:v>Fully rated</x:v>
      </x:c>
      <x:c r="M97" s="38" t="str">
        <x:v>Pending</x:v>
      </x:c>
      <x:c r="N97" s="38" t="str">
        <x:v>Pending</x:v>
      </x:c>
      <x:c r="O97" s="38" t="str">
        <x:v>Completion</x:v>
      </x:c>
      <x:c r="P97" s="38" t="str">
        <x:v>Completion</x:v>
      </x:c>
      <x:c r="Q97" s="38" t="str">
        <x:v>High</x:v>
      </x:c>
      <x:c r="R97" s="38" t="str">
        <x:v>High</x:v>
      </x:c>
      <x:c r="S97" s="38" t="str">
        <x:v>Strong</x:v>
      </x:c>
      <x:c r="T97" s="38" t="str">
        <x:v>Strong</x:v>
      </x:c>
      <x:c r="U97" s="38" t="str">
        <x:v>Solid</x:v>
      </x:c>
      <x:c r="V97" s="38" t="str">
        <x:v>Solid</x:v>
      </x:c>
      <x:c r="W97" s="38" t="str">
        <x:v>Low</x:v>
      </x:c>
      <x:c r="X97" s="38" t="str">
        <x:v>Low</x:v>
      </x:c>
      <x:c r="Y97" s="38" t="str">
        <x:v>Direct reports</x:v>
      </x:c>
      <x:c r="Z97" s="38" t="str">
        <x:v>Direct reports</x:v>
      </x:c>
      <x:c r="AA97" s="38" t="str">
        <x:v>High + Strong</x:v>
      </x:c>
      <x:c r="AB97" s="38" t="str">
        <x:v>High + Strong</x:v>
      </x:c>
      <x:c r="AC97" s="38" t="str">
        <x:v>High + Strong</x:v>
      </x:c>
      <x:c r="AD97" s="3"/>
      <x:c r="AE97" s="77"/>
      <x:c r="AF97" s="75"/>
      <x:c r="AG97" s="75"/>
      <x:c r="AH97" s="75"/>
      <x:c r="AI97" s="75"/>
      <x:c r="AJ97" s="75"/>
      <x:c r="AK97" s="75"/>
      <x:c r="AL97" s="75"/>
      <x:c r="AM97" s="75"/>
      <x:c r="AN97" s="75"/>
      <x:c r="AO97" s="75"/>
      <x:c r="AP97" s="75"/>
      <x:c r="AQ97" s="75"/>
      <x:c r="AR97" s="75"/>
      <x:c r="AS97" s="75"/>
      <x:c r="AT97" s="75"/>
      <x:c r="AU97" s="75"/>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4"/>
      <x:c r="DQ97" s="4"/>
      <x:c r="DR97" s="4"/>
      <x:c r="DS97" s="4"/>
      <x:c r="DT97" s="4"/>
      <x:c r="DU97" s="4"/>
      <x:c r="DV97" s="4"/>
      <x:c r="DW97" s="4"/>
      <x:c r="DX97" s="4"/>
      <x:c r="DY97" s="4"/>
      <x:c r="DZ97" s="4"/>
      <x:c r="EA97" s="4"/>
      <x:c r="EB97" s="4"/>
      <x:c r="EC97" s="4"/>
      <x:c r="ED97" s="4"/>
      <x:c r="EE97" s="4"/>
      <x:c r="EF97" s="4"/>
      <x:c r="EG97" s="4"/>
      <x:c r="EH97" s="4"/>
      <x:c r="EI97" s="4"/>
      <x:c r="EJ97" s="4"/>
      <x:c r="EK97" s="4"/>
      <x:c r="EL97" s="4"/>
      <x:c r="EM97" s="4"/>
      <x:c r="EN97" s="4"/>
      <x:c r="EO97" s="4"/>
      <x:c r="EP97" s="4"/>
      <x:c r="EQ97" s="4"/>
      <x:c r="ER97" s="4"/>
      <x:c r="ES97" s="4"/>
      <x:c r="ET97" s="4"/>
      <x:c r="EU97" s="4"/>
      <x:c r="EV97" s="4"/>
      <x:c r="EW97" s="4"/>
      <x:c r="EX97" s="4"/>
      <x:c r="EY97" s="4"/>
      <x:c r="EZ97" s="4"/>
      <x:c r="FA97" s="4"/>
      <x:c r="FB97" s="4"/>
      <x:c r="FC97" s="4"/>
      <x:c r="FD97" s="4"/>
      <x:c r="FE97" s="4"/>
      <x:c r="FF97" s="4"/>
      <x:c r="FG97" s="4"/>
      <x:c r="FH97" s="4"/>
      <x:c r="FI97" s="4"/>
      <x:c r="FJ97" s="4"/>
      <x:c r="FK97" s="4"/>
      <x:c r="FL97" s="4"/>
      <x:c r="FM97" s="4"/>
      <x:c r="FN97" s="4"/>
      <x:c r="FO97" s="4"/>
    </x:row>
    <x:row r="98" ht="33" customHeight="1">
      <x:c r="A98" s="3"/>
      <x:c r="B98" s="41" t="n">
        <x:f>'Calculations'!$GB$98</x:f>
        <x:v>0</x:v>
      </x:c>
      <x:c r="C98" s="41"/>
      <x:c r="D98" s="41"/>
      <x:c r="E98" s="41"/>
      <x:c r="F98" s="41"/>
      <x:c r="G98" s="41"/>
      <x:c r="H98" s="41"/>
      <x:c r="I98" s="42" t="n">
        <x:f>'Calculations'!$GI$98</x:f>
        <x:v>0</x:v>
      </x:c>
      <x:c r="J98" s="42"/>
      <x:c r="K98" s="42" t="n">
        <x:f>'Calculations'!$GK$98</x:f>
        <x:v>0</x:v>
      </x:c>
      <x:c r="L98" s="42"/>
      <x:c r="M98" s="42" t="n">
        <x:f>'Calculations'!$GM$98</x:f>
        <x:v>0</x:v>
      </x:c>
      <x:c r="N98" s="42"/>
      <x:c r="O98" s="43" t="n">
        <x:f>'Calculations'!$GO$98</x:f>
        <x:v>0</x:v>
      </x:c>
      <x:c r="P98" s="42"/>
      <x:c r="Q98" s="42" t="n">
        <x:f>'Calculations'!$GQ$98</x:f>
        <x:v>0</x:v>
      </x:c>
      <x:c r="R98" s="42"/>
      <x:c r="S98" s="42" t="n">
        <x:f>'Calculations'!$GS$98</x:f>
        <x:v>0</x:v>
      </x:c>
      <x:c r="T98" s="42"/>
      <x:c r="U98" s="42" t="n">
        <x:f>'Calculations'!$GU$98</x:f>
        <x:v>0</x:v>
      </x:c>
      <x:c r="V98" s="42"/>
      <x:c r="W98" s="42" t="n">
        <x:f>'Calculations'!$GW$98</x:f>
        <x:v>0</x:v>
      </x:c>
      <x:c r="X98" s="42"/>
      <x:c r="Y98" s="42" t="n">
        <x:f>'Calculations'!$GY$98</x:f>
        <x:v>0</x:v>
      </x:c>
      <x:c r="Z98" s="42"/>
      <x:c r="AA98" s="43" t="n">
        <x:f>'Calculations'!$HA$98</x:f>
        <x:v>0</x:v>
      </x:c>
      <x:c r="AB98" s="42"/>
      <x:c r="AC98" s="42"/>
      <x:c r="AD98" s="3"/>
      <x:c r="AE98" s="77"/>
      <x:c r="AF98" s="75"/>
      <x:c r="AG98" s="75"/>
      <x:c r="AH98" s="75"/>
      <x:c r="AI98" s="75"/>
      <x:c r="AJ98" s="75"/>
      <x:c r="AK98" s="75"/>
      <x:c r="AL98" s="75"/>
      <x:c r="AM98" s="75"/>
      <x:c r="AN98" s="75"/>
      <x:c r="AO98" s="75"/>
      <x:c r="AP98" s="75"/>
      <x:c r="AQ98" s="75"/>
      <x:c r="AR98" s="75"/>
      <x:c r="AS98" s="75"/>
      <x:c r="AT98" s="75"/>
      <x:c r="AU98" s="75"/>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4"/>
      <x:c r="DQ98" s="4"/>
      <x:c r="DR98" s="4"/>
      <x:c r="DS98" s="4"/>
      <x:c r="DT98" s="4"/>
      <x:c r="DU98" s="4"/>
      <x:c r="DV98" s="4"/>
      <x:c r="DW98" s="4"/>
      <x:c r="DX98" s="4"/>
      <x:c r="DY98" s="4"/>
      <x:c r="DZ98" s="4"/>
      <x:c r="EA98" s="4"/>
      <x:c r="EB98" s="4"/>
      <x:c r="EC98" s="4"/>
      <x:c r="ED98" s="4"/>
      <x:c r="EE98" s="4"/>
      <x:c r="EF98" s="4"/>
      <x:c r="EG98" s="4"/>
      <x:c r="EH98" s="4"/>
      <x:c r="EI98" s="4"/>
      <x:c r="EJ98" s="4"/>
      <x:c r="EK98" s="4"/>
      <x:c r="EL98" s="4"/>
      <x:c r="EM98" s="4"/>
      <x:c r="EN98" s="4"/>
      <x:c r="EO98" s="4"/>
      <x:c r="EP98" s="4"/>
      <x:c r="EQ98" s="4"/>
      <x:c r="ER98" s="4"/>
      <x:c r="ES98" s="4"/>
      <x:c r="ET98" s="4"/>
      <x:c r="EU98" s="4"/>
      <x:c r="EV98" s="4"/>
      <x:c r="EW98" s="4"/>
      <x:c r="EX98" s="4"/>
      <x:c r="EY98" s="4"/>
      <x:c r="EZ98" s="4"/>
      <x:c r="FA98" s="4"/>
      <x:c r="FB98" s="4"/>
      <x:c r="FC98" s="4"/>
      <x:c r="FD98" s="4"/>
      <x:c r="FE98" s="4"/>
      <x:c r="FF98" s="4"/>
      <x:c r="FG98" s="4"/>
      <x:c r="FH98" s="4"/>
      <x:c r="FI98" s="4"/>
      <x:c r="FJ98" s="4"/>
      <x:c r="FK98" s="4"/>
      <x:c r="FL98" s="4"/>
      <x:c r="FM98" s="4"/>
      <x:c r="FN98" s="4"/>
      <x:c r="FO98" s="4"/>
    </x:row>
    <x:row r="99" ht="33" customHeight="1">
      <x:c r="A99" s="3"/>
      <x:c r="B99" s="46" t="n">
        <x:f>'Calculations'!$GB$99</x:f>
        <x:v>0</x:v>
      </x:c>
      <x:c r="C99" s="46"/>
      <x:c r="D99" s="46"/>
      <x:c r="E99" s="46"/>
      <x:c r="F99" s="46"/>
      <x:c r="G99" s="46"/>
      <x:c r="H99" s="46"/>
      <x:c r="I99" s="47" t="n">
        <x:f>'Calculations'!$GI$99</x:f>
        <x:v>0</x:v>
      </x:c>
      <x:c r="J99" s="47"/>
      <x:c r="K99" s="47" t="n">
        <x:f>'Calculations'!$GK$99</x:f>
        <x:v>0</x:v>
      </x:c>
      <x:c r="L99" s="47"/>
      <x:c r="M99" s="47" t="n">
        <x:f>'Calculations'!$GM$99</x:f>
        <x:v>0</x:v>
      </x:c>
      <x:c r="N99" s="47"/>
      <x:c r="O99" s="48" t="n">
        <x:f>'Calculations'!$GO$99</x:f>
        <x:v>0</x:v>
      </x:c>
      <x:c r="P99" s="47"/>
      <x:c r="Q99" s="47" t="n">
        <x:f>'Calculations'!$GQ$99</x:f>
        <x:v>0</x:v>
      </x:c>
      <x:c r="R99" s="47"/>
      <x:c r="S99" s="47" t="n">
        <x:f>'Calculations'!$GS$99</x:f>
        <x:v>0</x:v>
      </x:c>
      <x:c r="T99" s="47"/>
      <x:c r="U99" s="47" t="n">
        <x:f>'Calculations'!$GU$99</x:f>
        <x:v>0</x:v>
      </x:c>
      <x:c r="V99" s="47"/>
      <x:c r="W99" s="47" t="n">
        <x:f>'Calculations'!$GW$99</x:f>
        <x:v>0</x:v>
      </x:c>
      <x:c r="X99" s="47"/>
      <x:c r="Y99" s="47" t="n">
        <x:f>'Calculations'!$GY$99</x:f>
        <x:v>0</x:v>
      </x:c>
      <x:c r="Z99" s="47"/>
      <x:c r="AA99" s="48" t="n">
        <x:f>'Calculations'!$HA$99</x:f>
        <x:v>0</x:v>
      </x:c>
      <x:c r="AB99" s="47"/>
      <x:c r="AC99" s="47"/>
      <x:c r="AD99" s="3"/>
      <x:c r="AE99" s="77"/>
      <x:c r="AF99" s="75"/>
      <x:c r="AG99" s="75"/>
      <x:c r="AH99" s="75"/>
      <x:c r="AI99" s="75"/>
      <x:c r="AJ99" s="75"/>
      <x:c r="AK99" s="75"/>
      <x:c r="AL99" s="75"/>
      <x:c r="AM99" s="75"/>
      <x:c r="AN99" s="75"/>
      <x:c r="AO99" s="75"/>
      <x:c r="AP99" s="75"/>
      <x:c r="AQ99" s="75"/>
      <x:c r="AR99" s="75"/>
      <x:c r="AS99" s="75"/>
      <x:c r="AT99" s="75"/>
      <x:c r="AU99" s="75"/>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4"/>
      <x:c r="DQ99" s="4"/>
      <x:c r="DR99" s="4"/>
      <x:c r="DS99" s="4"/>
      <x:c r="DT99" s="4"/>
      <x:c r="DU99" s="4"/>
      <x:c r="DV99" s="4"/>
      <x:c r="DW99" s="4"/>
      <x:c r="DX99" s="4"/>
      <x:c r="DY99" s="4"/>
      <x:c r="DZ99" s="4"/>
      <x:c r="EA99" s="4"/>
      <x:c r="EB99" s="4"/>
      <x:c r="EC99" s="4"/>
      <x:c r="ED99" s="4"/>
      <x:c r="EE99" s="4"/>
      <x:c r="EF99" s="4"/>
      <x:c r="EG99" s="4"/>
      <x:c r="EH99" s="4"/>
      <x:c r="EI99" s="4"/>
      <x:c r="EJ99" s="4"/>
      <x:c r="EK99" s="4"/>
      <x:c r="EL99" s="4"/>
      <x:c r="EM99" s="4"/>
      <x:c r="EN99" s="4"/>
      <x:c r="EO99" s="4"/>
      <x:c r="EP99" s="4"/>
      <x:c r="EQ99" s="4"/>
      <x:c r="ER99" s="4"/>
      <x:c r="ES99" s="4"/>
      <x:c r="ET99" s="4"/>
      <x:c r="EU99" s="4"/>
      <x:c r="EV99" s="4"/>
      <x:c r="EW99" s="4"/>
      <x:c r="EX99" s="4"/>
      <x:c r="EY99" s="4"/>
      <x:c r="EZ99" s="4"/>
      <x:c r="FA99" s="4"/>
      <x:c r="FB99" s="4"/>
      <x:c r="FC99" s="4"/>
      <x:c r="FD99" s="4"/>
      <x:c r="FE99" s="4"/>
      <x:c r="FF99" s="4"/>
      <x:c r="FG99" s="4"/>
      <x:c r="FH99" s="4"/>
      <x:c r="FI99" s="4"/>
      <x:c r="FJ99" s="4"/>
      <x:c r="FK99" s="4"/>
      <x:c r="FL99" s="4"/>
      <x:c r="FM99" s="4"/>
      <x:c r="FN99" s="4"/>
      <x:c r="FO99" s="4"/>
    </x:row>
    <x:row r="100" ht="33" customHeight="1">
      <x:c r="A100" s="3"/>
      <x:c r="B100" s="41" t="n">
        <x:f>'Calculations'!$GB$100</x:f>
        <x:v>0</x:v>
      </x:c>
      <x:c r="C100" s="41"/>
      <x:c r="D100" s="41"/>
      <x:c r="E100" s="41"/>
      <x:c r="F100" s="41"/>
      <x:c r="G100" s="41"/>
      <x:c r="H100" s="41"/>
      <x:c r="I100" s="42" t="n">
        <x:f>'Calculations'!$GI$100</x:f>
        <x:v>0</x:v>
      </x:c>
      <x:c r="J100" s="42"/>
      <x:c r="K100" s="42" t="n">
        <x:f>'Calculations'!$GK$100</x:f>
        <x:v>0</x:v>
      </x:c>
      <x:c r="L100" s="42"/>
      <x:c r="M100" s="42" t="n">
        <x:f>'Calculations'!$GM$100</x:f>
        <x:v>0</x:v>
      </x:c>
      <x:c r="N100" s="42"/>
      <x:c r="O100" s="43" t="n">
        <x:f>'Calculations'!$GO$100</x:f>
        <x:v>0</x:v>
      </x:c>
      <x:c r="P100" s="42"/>
      <x:c r="Q100" s="42" t="n">
        <x:f>'Calculations'!$GQ$100</x:f>
        <x:v>0</x:v>
      </x:c>
      <x:c r="R100" s="42"/>
      <x:c r="S100" s="42" t="n">
        <x:f>'Calculations'!$GS$100</x:f>
        <x:v>0</x:v>
      </x:c>
      <x:c r="T100" s="42"/>
      <x:c r="U100" s="42" t="n">
        <x:f>'Calculations'!$GU$100</x:f>
        <x:v>0</x:v>
      </x:c>
      <x:c r="V100" s="42"/>
      <x:c r="W100" s="42" t="n">
        <x:f>'Calculations'!$GW$100</x:f>
        <x:v>0</x:v>
      </x:c>
      <x:c r="X100" s="42"/>
      <x:c r="Y100" s="42" t="n">
        <x:f>'Calculations'!$GY$100</x:f>
        <x:v>0</x:v>
      </x:c>
      <x:c r="Z100" s="42"/>
      <x:c r="AA100" s="43" t="n">
        <x:f>'Calculations'!$HA$100</x:f>
        <x:v>0</x:v>
      </x:c>
      <x:c r="AB100" s="42"/>
      <x:c r="AC100" s="42"/>
      <x:c r="AD100" s="3"/>
      <x:c r="AE100" s="77"/>
      <x:c r="AF100" s="75"/>
      <x:c r="AG100" s="75"/>
      <x:c r="AH100" s="75"/>
      <x:c r="AI100" s="75"/>
      <x:c r="AJ100" s="75"/>
      <x:c r="AK100" s="75"/>
      <x:c r="AL100" s="75"/>
      <x:c r="AM100" s="75"/>
      <x:c r="AN100" s="75"/>
      <x:c r="AO100" s="75"/>
      <x:c r="AP100" s="75"/>
      <x:c r="AQ100" s="75"/>
      <x:c r="AR100" s="75"/>
      <x:c r="AS100" s="75"/>
      <x:c r="AT100" s="75"/>
      <x:c r="AU100" s="75"/>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4"/>
      <x:c r="DQ100" s="4"/>
      <x:c r="DR100" s="4"/>
      <x:c r="DS100" s="4"/>
      <x:c r="DT100" s="4"/>
      <x:c r="DU100" s="4"/>
      <x:c r="DV100" s="4"/>
      <x:c r="DW100" s="4"/>
      <x:c r="DX100" s="4"/>
      <x:c r="DY100" s="4"/>
      <x:c r="DZ100" s="4"/>
      <x:c r="EA100" s="4"/>
      <x:c r="EB100" s="4"/>
      <x:c r="EC100" s="4"/>
      <x:c r="ED100" s="4"/>
      <x:c r="EE100" s="4"/>
      <x:c r="EF100" s="4"/>
      <x:c r="EG100" s="4"/>
      <x:c r="EH100" s="4"/>
      <x:c r="EI100" s="4"/>
      <x:c r="EJ100" s="4"/>
      <x:c r="EK100" s="4"/>
      <x:c r="EL100" s="4"/>
      <x:c r="EM100" s="4"/>
      <x:c r="EN100" s="4"/>
      <x:c r="EO100" s="4"/>
      <x:c r="EP100" s="4"/>
      <x:c r="EQ100" s="4"/>
      <x:c r="ER100" s="4"/>
      <x:c r="ES100" s="4"/>
      <x:c r="ET100" s="4"/>
      <x:c r="EU100" s="4"/>
      <x:c r="EV100" s="4"/>
      <x:c r="EW100" s="4"/>
      <x:c r="EX100" s="4"/>
      <x:c r="EY100" s="4"/>
      <x:c r="EZ100" s="4"/>
      <x:c r="FA100" s="4"/>
      <x:c r="FB100" s="4"/>
      <x:c r="FC100" s="4"/>
      <x:c r="FD100" s="4"/>
      <x:c r="FE100" s="4"/>
      <x:c r="FF100" s="4"/>
      <x:c r="FG100" s="4"/>
      <x:c r="FH100" s="4"/>
      <x:c r="FI100" s="4"/>
      <x:c r="FJ100" s="4"/>
      <x:c r="FK100" s="4"/>
      <x:c r="FL100" s="4"/>
      <x:c r="FM100" s="4"/>
      <x:c r="FN100" s="4"/>
      <x:c r="FO100" s="4"/>
    </x:row>
    <x:row r="101" ht="33" customHeight="1">
      <x:c r="A101" s="3"/>
      <x:c r="B101" s="46" t="n">
        <x:f>'Calculations'!$GB$101</x:f>
        <x:v>0</x:v>
      </x:c>
      <x:c r="C101" s="46"/>
      <x:c r="D101" s="46"/>
      <x:c r="E101" s="46"/>
      <x:c r="F101" s="46"/>
      <x:c r="G101" s="46"/>
      <x:c r="H101" s="46"/>
      <x:c r="I101" s="47" t="n">
        <x:f>'Calculations'!$GI$101</x:f>
        <x:v>0</x:v>
      </x:c>
      <x:c r="J101" s="47"/>
      <x:c r="K101" s="47" t="n">
        <x:f>'Calculations'!$GK$101</x:f>
        <x:v>0</x:v>
      </x:c>
      <x:c r="L101" s="47"/>
      <x:c r="M101" s="47" t="n">
        <x:f>'Calculations'!$GM$101</x:f>
        <x:v>0</x:v>
      </x:c>
      <x:c r="N101" s="47"/>
      <x:c r="O101" s="48" t="n">
        <x:f>'Calculations'!$GO$101</x:f>
        <x:v>0</x:v>
      </x:c>
      <x:c r="P101" s="47"/>
      <x:c r="Q101" s="47" t="n">
        <x:f>'Calculations'!$GQ$101</x:f>
        <x:v>0</x:v>
      </x:c>
      <x:c r="R101" s="47"/>
      <x:c r="S101" s="47" t="n">
        <x:f>'Calculations'!$GS$101</x:f>
        <x:v>0</x:v>
      </x:c>
      <x:c r="T101" s="47"/>
      <x:c r="U101" s="47" t="n">
        <x:f>'Calculations'!$GU$101</x:f>
        <x:v>0</x:v>
      </x:c>
      <x:c r="V101" s="47"/>
      <x:c r="W101" s="47" t="n">
        <x:f>'Calculations'!$GW$101</x:f>
        <x:v>0</x:v>
      </x:c>
      <x:c r="X101" s="47"/>
      <x:c r="Y101" s="47" t="n">
        <x:f>'Calculations'!$GY$101</x:f>
        <x:v>0</x:v>
      </x:c>
      <x:c r="Z101" s="47"/>
      <x:c r="AA101" s="48" t="n">
        <x:f>'Calculations'!$HA$101</x:f>
        <x:v>0</x:v>
      </x:c>
      <x:c r="AB101" s="47"/>
      <x:c r="AC101" s="47"/>
      <x:c r="AD101" s="3"/>
      <x:c r="AE101" s="77"/>
      <x:c r="AF101" s="75"/>
      <x:c r="AG101" s="75"/>
      <x:c r="AH101" s="75"/>
      <x:c r="AI101" s="75"/>
      <x:c r="AJ101" s="75"/>
      <x:c r="AK101" s="75"/>
      <x:c r="AL101" s="75"/>
      <x:c r="AM101" s="75"/>
      <x:c r="AN101" s="75"/>
      <x:c r="AO101" s="75"/>
      <x:c r="AP101" s="75"/>
      <x:c r="AQ101" s="75"/>
      <x:c r="AR101" s="75"/>
      <x:c r="AS101" s="75"/>
      <x:c r="AT101" s="75"/>
      <x:c r="AU101" s="75"/>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4"/>
      <x:c r="DQ101" s="4"/>
      <x:c r="DR101" s="4"/>
      <x:c r="DS101" s="4"/>
      <x:c r="DT101" s="4"/>
      <x:c r="DU101" s="4"/>
      <x:c r="DV101" s="4"/>
      <x:c r="DW101" s="4"/>
      <x:c r="DX101" s="4"/>
      <x:c r="DY101" s="4"/>
      <x:c r="DZ101" s="4"/>
      <x:c r="EA101" s="4"/>
      <x:c r="EB101" s="4"/>
      <x:c r="EC101" s="4"/>
      <x:c r="ED101" s="4"/>
      <x:c r="EE101" s="4"/>
      <x:c r="EF101" s="4"/>
      <x:c r="EG101" s="4"/>
      <x:c r="EH101" s="4"/>
      <x:c r="EI101" s="4"/>
      <x:c r="EJ101" s="4"/>
      <x:c r="EK101" s="4"/>
      <x:c r="EL101" s="4"/>
      <x:c r="EM101" s="4"/>
      <x:c r="EN101" s="4"/>
      <x:c r="EO101" s="4"/>
      <x:c r="EP101" s="4"/>
      <x:c r="EQ101" s="4"/>
      <x:c r="ER101" s="4"/>
      <x:c r="ES101" s="4"/>
      <x:c r="ET101" s="4"/>
      <x:c r="EU101" s="4"/>
      <x:c r="EV101" s="4"/>
      <x:c r="EW101" s="4"/>
      <x:c r="EX101" s="4"/>
      <x:c r="EY101" s="4"/>
      <x:c r="EZ101" s="4"/>
      <x:c r="FA101" s="4"/>
      <x:c r="FB101" s="4"/>
      <x:c r="FC101" s="4"/>
      <x:c r="FD101" s="4"/>
      <x:c r="FE101" s="4"/>
      <x:c r="FF101" s="4"/>
      <x:c r="FG101" s="4"/>
      <x:c r="FH101" s="4"/>
      <x:c r="FI101" s="4"/>
      <x:c r="FJ101" s="4"/>
      <x:c r="FK101" s="4"/>
      <x:c r="FL101" s="4"/>
      <x:c r="FM101" s="4"/>
      <x:c r="FN101" s="4"/>
      <x:c r="FO101" s="4"/>
    </x:row>
    <x:row r="102" ht="33" customHeight="1">
      <x:c r="A102" s="3"/>
      <x:c r="B102" s="41" t="n">
        <x:f>'Calculations'!$GB$102</x:f>
        <x:v>0</x:v>
      </x:c>
      <x:c r="C102" s="41"/>
      <x:c r="D102" s="41"/>
      <x:c r="E102" s="41"/>
      <x:c r="F102" s="41"/>
      <x:c r="G102" s="41"/>
      <x:c r="H102" s="41"/>
      <x:c r="I102" s="42" t="n">
        <x:f>'Calculations'!$GI$102</x:f>
        <x:v>0</x:v>
      </x:c>
      <x:c r="J102" s="42"/>
      <x:c r="K102" s="42" t="n">
        <x:f>'Calculations'!$GK$102</x:f>
        <x:v>0</x:v>
      </x:c>
      <x:c r="L102" s="42"/>
      <x:c r="M102" s="42" t="n">
        <x:f>'Calculations'!$GM$102</x:f>
        <x:v>0</x:v>
      </x:c>
      <x:c r="N102" s="42"/>
      <x:c r="O102" s="43" t="n">
        <x:f>'Calculations'!$GO$102</x:f>
        <x:v>0</x:v>
      </x:c>
      <x:c r="P102" s="42"/>
      <x:c r="Q102" s="42" t="n">
        <x:f>'Calculations'!$GQ$102</x:f>
        <x:v>0</x:v>
      </x:c>
      <x:c r="R102" s="42"/>
      <x:c r="S102" s="42" t="n">
        <x:f>'Calculations'!$GS$102</x:f>
        <x:v>0</x:v>
      </x:c>
      <x:c r="T102" s="42"/>
      <x:c r="U102" s="42" t="n">
        <x:f>'Calculations'!$GU$102</x:f>
        <x:v>0</x:v>
      </x:c>
      <x:c r="V102" s="42"/>
      <x:c r="W102" s="42" t="n">
        <x:f>'Calculations'!$GW$102</x:f>
        <x:v>0</x:v>
      </x:c>
      <x:c r="X102" s="42"/>
      <x:c r="Y102" s="42" t="n">
        <x:f>'Calculations'!$GY$102</x:f>
        <x:v>0</x:v>
      </x:c>
      <x:c r="Z102" s="42"/>
      <x:c r="AA102" s="43" t="n">
        <x:f>'Calculations'!$HA$102</x:f>
        <x:v>0</x:v>
      </x:c>
      <x:c r="AB102" s="42"/>
      <x:c r="AC102" s="42"/>
      <x:c r="AD102" s="3"/>
      <x:c r="AE102" s="77"/>
      <x:c r="AF102" s="75"/>
      <x:c r="AG102" s="75"/>
      <x:c r="AH102" s="75"/>
      <x:c r="AI102" s="75"/>
      <x:c r="AJ102" s="75"/>
      <x:c r="AK102" s="75"/>
      <x:c r="AL102" s="75"/>
      <x:c r="AM102" s="75"/>
      <x:c r="AN102" s="75"/>
      <x:c r="AO102" s="75"/>
      <x:c r="AP102" s="75"/>
      <x:c r="AQ102" s="75"/>
      <x:c r="AR102" s="75"/>
      <x:c r="AS102" s="75"/>
      <x:c r="AT102" s="75"/>
      <x:c r="AU102" s="75"/>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4"/>
      <x:c r="DQ102" s="4"/>
      <x:c r="DR102" s="4"/>
      <x:c r="DS102" s="4"/>
      <x:c r="DT102" s="4"/>
      <x:c r="DU102" s="4"/>
      <x:c r="DV102" s="4"/>
      <x:c r="DW102" s="4"/>
      <x:c r="DX102" s="4"/>
      <x:c r="DY102" s="4"/>
      <x:c r="DZ102" s="4"/>
      <x:c r="EA102" s="4"/>
      <x:c r="EB102" s="4"/>
      <x:c r="EC102" s="4"/>
      <x:c r="ED102" s="4"/>
      <x:c r="EE102" s="4"/>
      <x:c r="EF102" s="4"/>
      <x:c r="EG102" s="4"/>
      <x:c r="EH102" s="4"/>
      <x:c r="EI102" s="4"/>
      <x:c r="EJ102" s="4"/>
      <x:c r="EK102" s="4"/>
      <x:c r="EL102" s="4"/>
      <x:c r="EM102" s="4"/>
      <x:c r="EN102" s="4"/>
      <x:c r="EO102" s="4"/>
      <x:c r="EP102" s="4"/>
      <x:c r="EQ102" s="4"/>
      <x:c r="ER102" s="4"/>
      <x:c r="ES102" s="4"/>
      <x:c r="ET102" s="4"/>
      <x:c r="EU102" s="4"/>
      <x:c r="EV102" s="4"/>
      <x:c r="EW102" s="4"/>
      <x:c r="EX102" s="4"/>
      <x:c r="EY102" s="4"/>
      <x:c r="EZ102" s="4"/>
      <x:c r="FA102" s="4"/>
      <x:c r="FB102" s="4"/>
      <x:c r="FC102" s="4"/>
      <x:c r="FD102" s="4"/>
      <x:c r="FE102" s="4"/>
      <x:c r="FF102" s="4"/>
      <x:c r="FG102" s="4"/>
      <x:c r="FH102" s="4"/>
      <x:c r="FI102" s="4"/>
      <x:c r="FJ102" s="4"/>
      <x:c r="FK102" s="4"/>
      <x:c r="FL102" s="4"/>
      <x:c r="FM102" s="4"/>
      <x:c r="FN102" s="4"/>
      <x:c r="FO102" s="4"/>
    </x:row>
    <x:row r="103" ht="33" customHeight="1">
      <x:c r="A103" s="3"/>
      <x:c r="B103" s="46" t="n">
        <x:f>'Calculations'!$GB$103</x:f>
        <x:v>0</x:v>
      </x:c>
      <x:c r="C103" s="46"/>
      <x:c r="D103" s="46"/>
      <x:c r="E103" s="46"/>
      <x:c r="F103" s="46"/>
      <x:c r="G103" s="46"/>
      <x:c r="H103" s="46"/>
      <x:c r="I103" s="47" t="n">
        <x:f>'Calculations'!$GI$103</x:f>
        <x:v>0</x:v>
      </x:c>
      <x:c r="J103" s="47"/>
      <x:c r="K103" s="47" t="n">
        <x:f>'Calculations'!$GK$103</x:f>
        <x:v>0</x:v>
      </x:c>
      <x:c r="L103" s="47"/>
      <x:c r="M103" s="47" t="n">
        <x:f>'Calculations'!$GM$103</x:f>
        <x:v>0</x:v>
      </x:c>
      <x:c r="N103" s="47"/>
      <x:c r="O103" s="48" t="n">
        <x:f>'Calculations'!$GO$103</x:f>
        <x:v>0</x:v>
      </x:c>
      <x:c r="P103" s="47"/>
      <x:c r="Q103" s="47" t="n">
        <x:f>'Calculations'!$GQ$103</x:f>
        <x:v>0</x:v>
      </x:c>
      <x:c r="R103" s="47"/>
      <x:c r="S103" s="47" t="n">
        <x:f>'Calculations'!$GS$103</x:f>
        <x:v>0</x:v>
      </x:c>
      <x:c r="T103" s="47"/>
      <x:c r="U103" s="47" t="n">
        <x:f>'Calculations'!$GU$103</x:f>
        <x:v>0</x:v>
      </x:c>
      <x:c r="V103" s="47"/>
      <x:c r="W103" s="47" t="n">
        <x:f>'Calculations'!$GW$103</x:f>
        <x:v>0</x:v>
      </x:c>
      <x:c r="X103" s="47"/>
      <x:c r="Y103" s="47" t="n">
        <x:f>'Calculations'!$GY$103</x:f>
        <x:v>0</x:v>
      </x:c>
      <x:c r="Z103" s="47"/>
      <x:c r="AA103" s="48" t="n">
        <x:f>'Calculations'!$HA$103</x:f>
        <x:v>0</x:v>
      </x:c>
      <x:c r="AB103" s="47"/>
      <x:c r="AC103" s="47"/>
      <x:c r="AD103" s="3"/>
      <x:c r="AE103" s="77"/>
      <x:c r="AF103" s="75"/>
      <x:c r="AG103" s="75"/>
      <x:c r="AH103" s="75"/>
      <x:c r="AI103" s="75"/>
      <x:c r="AJ103" s="75"/>
      <x:c r="AK103" s="75"/>
      <x:c r="AL103" s="75"/>
      <x:c r="AM103" s="75"/>
      <x:c r="AN103" s="75"/>
      <x:c r="AO103" s="75"/>
      <x:c r="AP103" s="75"/>
      <x:c r="AQ103" s="75"/>
      <x:c r="AR103" s="75"/>
      <x:c r="AS103" s="75"/>
      <x:c r="AT103" s="75"/>
      <x:c r="AU103" s="75"/>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4"/>
      <x:c r="DQ103" s="4"/>
      <x:c r="DR103" s="4"/>
      <x:c r="DS103" s="4"/>
      <x:c r="DT103" s="4"/>
      <x:c r="DU103" s="4"/>
      <x:c r="DV103" s="4"/>
      <x:c r="DW103" s="4"/>
      <x:c r="DX103" s="4"/>
      <x:c r="DY103" s="4"/>
      <x:c r="DZ103" s="4"/>
      <x:c r="EA103" s="4"/>
      <x:c r="EB103" s="4"/>
      <x:c r="EC103" s="4"/>
      <x:c r="ED103" s="4"/>
      <x:c r="EE103" s="4"/>
      <x:c r="EF103" s="4"/>
      <x:c r="EG103" s="4"/>
      <x:c r="EH103" s="4"/>
      <x:c r="EI103" s="4"/>
      <x:c r="EJ103" s="4"/>
      <x:c r="EK103" s="4"/>
      <x:c r="EL103" s="4"/>
      <x:c r="EM103" s="4"/>
      <x:c r="EN103" s="4"/>
      <x:c r="EO103" s="4"/>
      <x:c r="EP103" s="4"/>
      <x:c r="EQ103" s="4"/>
      <x:c r="ER103" s="4"/>
      <x:c r="ES103" s="4"/>
      <x:c r="ET103" s="4"/>
      <x:c r="EU103" s="4"/>
      <x:c r="EV103" s="4"/>
      <x:c r="EW103" s="4"/>
      <x:c r="EX103" s="4"/>
      <x:c r="EY103" s="4"/>
      <x:c r="EZ103" s="4"/>
      <x:c r="FA103" s="4"/>
      <x:c r="FB103" s="4"/>
      <x:c r="FC103" s="4"/>
      <x:c r="FD103" s="4"/>
      <x:c r="FE103" s="4"/>
      <x:c r="FF103" s="4"/>
      <x:c r="FG103" s="4"/>
      <x:c r="FH103" s="4"/>
      <x:c r="FI103" s="4"/>
      <x:c r="FJ103" s="4"/>
      <x:c r="FK103" s="4"/>
      <x:c r="FL103" s="4"/>
      <x:c r="FM103" s="4"/>
      <x:c r="FN103" s="4"/>
      <x:c r="FO103" s="4"/>
    </x:row>
    <x:row r="104" ht="33" customHeight="1">
      <x:c r="A104" s="3"/>
      <x:c r="B104" s="41" t="n">
        <x:f>'Calculations'!$GB$104</x:f>
        <x:v>0</x:v>
      </x:c>
      <x:c r="C104" s="41"/>
      <x:c r="D104" s="41"/>
      <x:c r="E104" s="41"/>
      <x:c r="F104" s="41"/>
      <x:c r="G104" s="41"/>
      <x:c r="H104" s="41"/>
      <x:c r="I104" s="42" t="n">
        <x:f>'Calculations'!$GI$104</x:f>
        <x:v>0</x:v>
      </x:c>
      <x:c r="J104" s="42"/>
      <x:c r="K104" s="42" t="n">
        <x:f>'Calculations'!$GK$104</x:f>
        <x:v>0</x:v>
      </x:c>
      <x:c r="L104" s="42"/>
      <x:c r="M104" s="42" t="n">
        <x:f>'Calculations'!$GM$104</x:f>
        <x:v>0</x:v>
      </x:c>
      <x:c r="N104" s="42"/>
      <x:c r="O104" s="43" t="n">
        <x:f>'Calculations'!$GO$104</x:f>
        <x:v>0</x:v>
      </x:c>
      <x:c r="P104" s="42"/>
      <x:c r="Q104" s="42" t="n">
        <x:f>'Calculations'!$GQ$104</x:f>
        <x:v>0</x:v>
      </x:c>
      <x:c r="R104" s="42"/>
      <x:c r="S104" s="42" t="n">
        <x:f>'Calculations'!$GS$104</x:f>
        <x:v>0</x:v>
      </x:c>
      <x:c r="T104" s="42"/>
      <x:c r="U104" s="42" t="n">
        <x:f>'Calculations'!$GU$104</x:f>
        <x:v>0</x:v>
      </x:c>
      <x:c r="V104" s="42"/>
      <x:c r="W104" s="42" t="n">
        <x:f>'Calculations'!$GW$104</x:f>
        <x:v>0</x:v>
      </x:c>
      <x:c r="X104" s="42"/>
      <x:c r="Y104" s="42" t="n">
        <x:f>'Calculations'!$GY$104</x:f>
        <x:v>0</x:v>
      </x:c>
      <x:c r="Z104" s="42"/>
      <x:c r="AA104" s="43" t="n">
        <x:f>'Calculations'!$HA$104</x:f>
        <x:v>0</x:v>
      </x:c>
      <x:c r="AB104" s="42"/>
      <x:c r="AC104" s="42"/>
      <x:c r="AD104" s="3"/>
      <x:c r="AE104" s="77"/>
      <x:c r="AF104" s="75"/>
      <x:c r="AG104" s="75"/>
      <x:c r="AH104" s="75"/>
      <x:c r="AI104" s="75"/>
      <x:c r="AJ104" s="75"/>
      <x:c r="AK104" s="75"/>
      <x:c r="AL104" s="75"/>
      <x:c r="AM104" s="75"/>
      <x:c r="AN104" s="75"/>
      <x:c r="AO104" s="75"/>
      <x:c r="AP104" s="75"/>
      <x:c r="AQ104" s="75"/>
      <x:c r="AR104" s="75"/>
      <x:c r="AS104" s="75"/>
      <x:c r="AT104" s="75"/>
      <x:c r="AU104" s="75"/>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4"/>
      <x:c r="DQ104" s="4"/>
      <x:c r="DR104" s="4"/>
      <x:c r="DS104" s="4"/>
      <x:c r="DT104" s="4"/>
      <x:c r="DU104" s="4"/>
      <x:c r="DV104" s="4"/>
      <x:c r="DW104" s="4"/>
      <x:c r="DX104" s="4"/>
      <x:c r="DY104" s="4"/>
      <x:c r="DZ104" s="4"/>
      <x:c r="EA104" s="4"/>
      <x:c r="EB104" s="4"/>
      <x:c r="EC104" s="4"/>
      <x:c r="ED104" s="4"/>
      <x:c r="EE104" s="4"/>
      <x:c r="EF104" s="4"/>
      <x:c r="EG104" s="4"/>
      <x:c r="EH104" s="4"/>
      <x:c r="EI104" s="4"/>
      <x:c r="EJ104" s="4"/>
      <x:c r="EK104" s="4"/>
      <x:c r="EL104" s="4"/>
      <x:c r="EM104" s="4"/>
      <x:c r="EN104" s="4"/>
      <x:c r="EO104" s="4"/>
      <x:c r="EP104" s="4"/>
      <x:c r="EQ104" s="4"/>
      <x:c r="ER104" s="4"/>
      <x:c r="ES104" s="4"/>
      <x:c r="ET104" s="4"/>
      <x:c r="EU104" s="4"/>
      <x:c r="EV104" s="4"/>
      <x:c r="EW104" s="4"/>
      <x:c r="EX104" s="4"/>
      <x:c r="EY104" s="4"/>
      <x:c r="EZ104" s="4"/>
      <x:c r="FA104" s="4"/>
      <x:c r="FB104" s="4"/>
      <x:c r="FC104" s="4"/>
      <x:c r="FD104" s="4"/>
      <x:c r="FE104" s="4"/>
      <x:c r="FF104" s="4"/>
      <x:c r="FG104" s="4"/>
      <x:c r="FH104" s="4"/>
      <x:c r="FI104" s="4"/>
      <x:c r="FJ104" s="4"/>
      <x:c r="FK104" s="4"/>
      <x:c r="FL104" s="4"/>
      <x:c r="FM104" s="4"/>
      <x:c r="FN104" s="4"/>
      <x:c r="FO104" s="4"/>
    </x:row>
    <x:row r="105" ht="33" customHeight="1">
      <x:c r="A105" s="3"/>
      <x:c r="B105" s="46" t="n">
        <x:f>'Calculations'!$GB$105</x:f>
        <x:v>0</x:v>
      </x:c>
      <x:c r="C105" s="46"/>
      <x:c r="D105" s="46"/>
      <x:c r="E105" s="46"/>
      <x:c r="F105" s="46"/>
      <x:c r="G105" s="46"/>
      <x:c r="H105" s="46"/>
      <x:c r="I105" s="47" t="n">
        <x:f>'Calculations'!$GI$105</x:f>
        <x:v>0</x:v>
      </x:c>
      <x:c r="J105" s="47"/>
      <x:c r="K105" s="47" t="n">
        <x:f>'Calculations'!$GK$105</x:f>
        <x:v>0</x:v>
      </x:c>
      <x:c r="L105" s="47"/>
      <x:c r="M105" s="47" t="n">
        <x:f>'Calculations'!$GM$105</x:f>
        <x:v>0</x:v>
      </x:c>
      <x:c r="N105" s="47"/>
      <x:c r="O105" s="48" t="n">
        <x:f>'Calculations'!$GO$105</x:f>
        <x:v>0</x:v>
      </x:c>
      <x:c r="P105" s="47"/>
      <x:c r="Q105" s="47" t="n">
        <x:f>'Calculations'!$GQ$105</x:f>
        <x:v>0</x:v>
      </x:c>
      <x:c r="R105" s="47"/>
      <x:c r="S105" s="47" t="n">
        <x:f>'Calculations'!$GS$105</x:f>
        <x:v>0</x:v>
      </x:c>
      <x:c r="T105" s="47"/>
      <x:c r="U105" s="47" t="n">
        <x:f>'Calculations'!$GU$105</x:f>
        <x:v>0</x:v>
      </x:c>
      <x:c r="V105" s="47"/>
      <x:c r="W105" s="47" t="n">
        <x:f>'Calculations'!$GW$105</x:f>
        <x:v>0</x:v>
      </x:c>
      <x:c r="X105" s="47"/>
      <x:c r="Y105" s="47" t="n">
        <x:f>'Calculations'!$GY$105</x:f>
        <x:v>0</x:v>
      </x:c>
      <x:c r="Z105" s="47"/>
      <x:c r="AA105" s="48" t="n">
        <x:f>'Calculations'!$HA$105</x:f>
        <x:v>0</x:v>
      </x:c>
      <x:c r="AB105" s="47"/>
      <x:c r="AC105" s="47"/>
      <x:c r="AD105" s="3"/>
      <x:c r="AE105" s="77"/>
      <x:c r="AF105" s="75"/>
      <x:c r="AG105" s="75"/>
      <x:c r="AH105" s="75"/>
      <x:c r="AI105" s="75"/>
      <x:c r="AJ105" s="75"/>
      <x:c r="AK105" s="75"/>
      <x:c r="AL105" s="75"/>
      <x:c r="AM105" s="75"/>
      <x:c r="AN105" s="75"/>
      <x:c r="AO105" s="75"/>
      <x:c r="AP105" s="75"/>
      <x:c r="AQ105" s="75"/>
      <x:c r="AR105" s="75"/>
      <x:c r="AS105" s="75"/>
      <x:c r="AT105" s="75"/>
      <x:c r="AU105" s="75"/>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4"/>
      <x:c r="DQ105" s="4"/>
      <x:c r="DR105" s="4"/>
      <x:c r="DS105" s="4"/>
      <x:c r="DT105" s="4"/>
      <x:c r="DU105" s="4"/>
      <x:c r="DV105" s="4"/>
      <x:c r="DW105" s="4"/>
      <x:c r="DX105" s="4"/>
      <x:c r="DY105" s="4"/>
      <x:c r="DZ105" s="4"/>
      <x:c r="EA105" s="4"/>
      <x:c r="EB105" s="4"/>
      <x:c r="EC105" s="4"/>
      <x:c r="ED105" s="4"/>
      <x:c r="EE105" s="4"/>
      <x:c r="EF105" s="4"/>
      <x:c r="EG105" s="4"/>
      <x:c r="EH105" s="4"/>
      <x:c r="EI105" s="4"/>
      <x:c r="EJ105" s="4"/>
      <x:c r="EK105" s="4"/>
      <x:c r="EL105" s="4"/>
      <x:c r="EM105" s="4"/>
      <x:c r="EN105" s="4"/>
      <x:c r="EO105" s="4"/>
      <x:c r="EP105" s="4"/>
      <x:c r="EQ105" s="4"/>
      <x:c r="ER105" s="4"/>
      <x:c r="ES105" s="4"/>
      <x:c r="ET105" s="4"/>
      <x:c r="EU105" s="4"/>
      <x:c r="EV105" s="4"/>
      <x:c r="EW105" s="4"/>
      <x:c r="EX105" s="4"/>
      <x:c r="EY105" s="4"/>
      <x:c r="EZ105" s="4"/>
      <x:c r="FA105" s="4"/>
      <x:c r="FB105" s="4"/>
      <x:c r="FC105" s="4"/>
      <x:c r="FD105" s="4"/>
      <x:c r="FE105" s="4"/>
      <x:c r="FF105" s="4"/>
      <x:c r="FG105" s="4"/>
      <x:c r="FH105" s="4"/>
      <x:c r="FI105" s="4"/>
      <x:c r="FJ105" s="4"/>
      <x:c r="FK105" s="4"/>
      <x:c r="FL105" s="4"/>
      <x:c r="FM105" s="4"/>
      <x:c r="FN105" s="4"/>
      <x:c r="FO105" s="4"/>
    </x:row>
    <x:row r="106" ht="33" customHeight="1">
      <x:c r="A106" s="3"/>
      <x:c r="B106" s="41" t="n">
        <x:f>'Calculations'!$GB$106</x:f>
        <x:v>0</x:v>
      </x:c>
      <x:c r="C106" s="41"/>
      <x:c r="D106" s="41"/>
      <x:c r="E106" s="41"/>
      <x:c r="F106" s="41"/>
      <x:c r="G106" s="41"/>
      <x:c r="H106" s="41"/>
      <x:c r="I106" s="42" t="n">
        <x:f>'Calculations'!$GI$106</x:f>
        <x:v>0</x:v>
      </x:c>
      <x:c r="J106" s="42"/>
      <x:c r="K106" s="42" t="n">
        <x:f>'Calculations'!$GK$106</x:f>
        <x:v>0</x:v>
      </x:c>
      <x:c r="L106" s="42"/>
      <x:c r="M106" s="42" t="n">
        <x:f>'Calculations'!$GM$106</x:f>
        <x:v>0</x:v>
      </x:c>
      <x:c r="N106" s="42"/>
      <x:c r="O106" s="43" t="n">
        <x:f>'Calculations'!$GO$106</x:f>
        <x:v>0</x:v>
      </x:c>
      <x:c r="P106" s="42"/>
      <x:c r="Q106" s="42" t="n">
        <x:f>'Calculations'!$GQ$106</x:f>
        <x:v>0</x:v>
      </x:c>
      <x:c r="R106" s="42"/>
      <x:c r="S106" s="42" t="n">
        <x:f>'Calculations'!$GS$106</x:f>
        <x:v>0</x:v>
      </x:c>
      <x:c r="T106" s="42"/>
      <x:c r="U106" s="42" t="n">
        <x:f>'Calculations'!$GU$106</x:f>
        <x:v>0</x:v>
      </x:c>
      <x:c r="V106" s="42"/>
      <x:c r="W106" s="42" t="n">
        <x:f>'Calculations'!$GW$106</x:f>
        <x:v>0</x:v>
      </x:c>
      <x:c r="X106" s="42"/>
      <x:c r="Y106" s="42" t="n">
        <x:f>'Calculations'!$GY$106</x:f>
        <x:v>0</x:v>
      </x:c>
      <x:c r="Z106" s="42"/>
      <x:c r="AA106" s="43" t="n">
        <x:f>'Calculations'!$HA$106</x:f>
        <x:v>0</x:v>
      </x:c>
      <x:c r="AB106" s="42"/>
      <x:c r="AC106" s="42"/>
      <x:c r="AD106" s="3"/>
      <x:c r="AE106" s="77"/>
      <x:c r="AF106" s="75"/>
      <x:c r="AG106" s="75"/>
      <x:c r="AH106" s="75"/>
      <x:c r="AI106" s="75"/>
      <x:c r="AJ106" s="75"/>
      <x:c r="AK106" s="75"/>
      <x:c r="AL106" s="75"/>
      <x:c r="AM106" s="75"/>
      <x:c r="AN106" s="75"/>
      <x:c r="AO106" s="75"/>
      <x:c r="AP106" s="75"/>
      <x:c r="AQ106" s="75"/>
      <x:c r="AR106" s="75"/>
      <x:c r="AS106" s="75"/>
      <x:c r="AT106" s="75"/>
      <x:c r="AU106" s="75"/>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4"/>
      <x:c r="DQ106" s="4"/>
      <x:c r="DR106" s="4"/>
      <x:c r="DS106" s="4"/>
      <x:c r="DT106" s="4"/>
      <x:c r="DU106" s="4"/>
      <x:c r="DV106" s="4"/>
      <x:c r="DW106" s="4"/>
      <x:c r="DX106" s="4"/>
      <x:c r="DY106" s="4"/>
      <x:c r="DZ106" s="4"/>
      <x:c r="EA106" s="4"/>
      <x:c r="EB106" s="4"/>
      <x:c r="EC106" s="4"/>
      <x:c r="ED106" s="4"/>
      <x:c r="EE106" s="4"/>
      <x:c r="EF106" s="4"/>
      <x:c r="EG106" s="4"/>
      <x:c r="EH106" s="4"/>
      <x:c r="EI106" s="4"/>
      <x:c r="EJ106" s="4"/>
      <x:c r="EK106" s="4"/>
      <x:c r="EL106" s="4"/>
      <x:c r="EM106" s="4"/>
      <x:c r="EN106" s="4"/>
      <x:c r="EO106" s="4"/>
      <x:c r="EP106" s="4"/>
      <x:c r="EQ106" s="4"/>
      <x:c r="ER106" s="4"/>
      <x:c r="ES106" s="4"/>
      <x:c r="ET106" s="4"/>
      <x:c r="EU106" s="4"/>
      <x:c r="EV106" s="4"/>
      <x:c r="EW106" s="4"/>
      <x:c r="EX106" s="4"/>
      <x:c r="EY106" s="4"/>
      <x:c r="EZ106" s="4"/>
      <x:c r="FA106" s="4"/>
      <x:c r="FB106" s="4"/>
      <x:c r="FC106" s="4"/>
      <x:c r="FD106" s="4"/>
      <x:c r="FE106" s="4"/>
      <x:c r="FF106" s="4"/>
      <x:c r="FG106" s="4"/>
      <x:c r="FH106" s="4"/>
      <x:c r="FI106" s="4"/>
      <x:c r="FJ106" s="4"/>
      <x:c r="FK106" s="4"/>
      <x:c r="FL106" s="4"/>
      <x:c r="FM106" s="4"/>
      <x:c r="FN106" s="4"/>
      <x:c r="FO106" s="4"/>
    </x:row>
    <x:row r="107" ht="33" customHeight="1">
      <x:c r="A107" s="3"/>
      <x:c r="B107" s="46" t="n">
        <x:f>'Calculations'!$GB$107</x:f>
        <x:v>0</x:v>
      </x:c>
      <x:c r="C107" s="46"/>
      <x:c r="D107" s="46"/>
      <x:c r="E107" s="46"/>
      <x:c r="F107" s="46"/>
      <x:c r="G107" s="46"/>
      <x:c r="H107" s="46"/>
      <x:c r="I107" s="47" t="n">
        <x:f>'Calculations'!$GI$107</x:f>
        <x:v>0</x:v>
      </x:c>
      <x:c r="J107" s="47"/>
      <x:c r="K107" s="47" t="n">
        <x:f>'Calculations'!$GK$107</x:f>
        <x:v>0</x:v>
      </x:c>
      <x:c r="L107" s="47"/>
      <x:c r="M107" s="47" t="n">
        <x:f>'Calculations'!$GM$107</x:f>
        <x:v>0</x:v>
      </x:c>
      <x:c r="N107" s="47"/>
      <x:c r="O107" s="48" t="n">
        <x:f>'Calculations'!$GO$107</x:f>
        <x:v>0</x:v>
      </x:c>
      <x:c r="P107" s="47"/>
      <x:c r="Q107" s="47" t="n">
        <x:f>'Calculations'!$GQ$107</x:f>
        <x:v>0</x:v>
      </x:c>
      <x:c r="R107" s="47"/>
      <x:c r="S107" s="47" t="n">
        <x:f>'Calculations'!$GS$107</x:f>
        <x:v>0</x:v>
      </x:c>
      <x:c r="T107" s="47"/>
      <x:c r="U107" s="47" t="n">
        <x:f>'Calculations'!$GU$107</x:f>
        <x:v>0</x:v>
      </x:c>
      <x:c r="V107" s="47"/>
      <x:c r="W107" s="47" t="n">
        <x:f>'Calculations'!$GW$107</x:f>
        <x:v>0</x:v>
      </x:c>
      <x:c r="X107" s="47"/>
      <x:c r="Y107" s="47" t="n">
        <x:f>'Calculations'!$GY$107</x:f>
        <x:v>0</x:v>
      </x:c>
      <x:c r="Z107" s="47"/>
      <x:c r="AA107" s="48" t="n">
        <x:f>'Calculations'!$HA$107</x:f>
        <x:v>0</x:v>
      </x:c>
      <x:c r="AB107" s="47"/>
      <x:c r="AC107" s="47"/>
      <x:c r="AD107" s="3"/>
      <x:c r="AE107" s="77"/>
      <x:c r="AF107" s="75"/>
      <x:c r="AG107" s="75"/>
      <x:c r="AH107" s="75"/>
      <x:c r="AI107" s="75"/>
      <x:c r="AJ107" s="75"/>
      <x:c r="AK107" s="75"/>
      <x:c r="AL107" s="75"/>
      <x:c r="AM107" s="75"/>
      <x:c r="AN107" s="75"/>
      <x:c r="AO107" s="75"/>
      <x:c r="AP107" s="75"/>
      <x:c r="AQ107" s="75"/>
      <x:c r="AR107" s="75"/>
      <x:c r="AS107" s="75"/>
      <x:c r="AT107" s="75"/>
      <x:c r="AU107" s="75"/>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4"/>
      <x:c r="DQ107" s="4"/>
      <x:c r="DR107" s="4"/>
      <x:c r="DS107" s="4"/>
      <x:c r="DT107" s="4"/>
      <x:c r="DU107" s="4"/>
      <x:c r="DV107" s="4"/>
      <x:c r="DW107" s="4"/>
      <x:c r="DX107" s="4"/>
      <x:c r="DY107" s="4"/>
      <x:c r="DZ107" s="4"/>
      <x:c r="EA107" s="4"/>
      <x:c r="EB107" s="4"/>
      <x:c r="EC107" s="4"/>
      <x:c r="ED107" s="4"/>
      <x:c r="EE107" s="4"/>
      <x:c r="EF107" s="4"/>
      <x:c r="EG107" s="4"/>
      <x:c r="EH107" s="4"/>
      <x:c r="EI107" s="4"/>
      <x:c r="EJ107" s="4"/>
      <x:c r="EK107" s="4"/>
      <x:c r="EL107" s="4"/>
      <x:c r="EM107" s="4"/>
      <x:c r="EN107" s="4"/>
      <x:c r="EO107" s="4"/>
      <x:c r="EP107" s="4"/>
      <x:c r="EQ107" s="4"/>
      <x:c r="ER107" s="4"/>
      <x:c r="ES107" s="4"/>
      <x:c r="ET107" s="4"/>
      <x:c r="EU107" s="4"/>
      <x:c r="EV107" s="4"/>
      <x:c r="EW107" s="4"/>
      <x:c r="EX107" s="4"/>
      <x:c r="EY107" s="4"/>
      <x:c r="EZ107" s="4"/>
      <x:c r="FA107" s="4"/>
      <x:c r="FB107" s="4"/>
      <x:c r="FC107" s="4"/>
      <x:c r="FD107" s="4"/>
      <x:c r="FE107" s="4"/>
      <x:c r="FF107" s="4"/>
      <x:c r="FG107" s="4"/>
      <x:c r="FH107" s="4"/>
      <x:c r="FI107" s="4"/>
      <x:c r="FJ107" s="4"/>
      <x:c r="FK107" s="4"/>
      <x:c r="FL107" s="4"/>
      <x:c r="FM107" s="4"/>
      <x:c r="FN107" s="4"/>
      <x:c r="FO107" s="4"/>
    </x:row>
    <x:row r="108" ht="33" customHeight="1">
      <x:c r="A108" s="3"/>
      <x:c r="B108" s="41" t="n">
        <x:f>'Calculations'!$GB$108</x:f>
        <x:v>0</x:v>
      </x:c>
      <x:c r="C108" s="41"/>
      <x:c r="D108" s="41"/>
      <x:c r="E108" s="41"/>
      <x:c r="F108" s="41"/>
      <x:c r="G108" s="41"/>
      <x:c r="H108" s="41"/>
      <x:c r="I108" s="42" t="n">
        <x:f>'Calculations'!$GI$108</x:f>
        <x:v>0</x:v>
      </x:c>
      <x:c r="J108" s="42"/>
      <x:c r="K108" s="42" t="n">
        <x:f>'Calculations'!$GK$108</x:f>
        <x:v>0</x:v>
      </x:c>
      <x:c r="L108" s="42"/>
      <x:c r="M108" s="42" t="n">
        <x:f>'Calculations'!$GM$108</x:f>
        <x:v>0</x:v>
      </x:c>
      <x:c r="N108" s="42"/>
      <x:c r="O108" s="43" t="n">
        <x:f>'Calculations'!$GO$108</x:f>
        <x:v>0</x:v>
      </x:c>
      <x:c r="P108" s="42"/>
      <x:c r="Q108" s="42" t="n">
        <x:f>'Calculations'!$GQ$108</x:f>
        <x:v>0</x:v>
      </x:c>
      <x:c r="R108" s="42"/>
      <x:c r="S108" s="42" t="n">
        <x:f>'Calculations'!$GS$108</x:f>
        <x:v>0</x:v>
      </x:c>
      <x:c r="T108" s="42"/>
      <x:c r="U108" s="42" t="n">
        <x:f>'Calculations'!$GU$108</x:f>
        <x:v>0</x:v>
      </x:c>
      <x:c r="V108" s="42"/>
      <x:c r="W108" s="42" t="n">
        <x:f>'Calculations'!$GW$108</x:f>
        <x:v>0</x:v>
      </x:c>
      <x:c r="X108" s="42"/>
      <x:c r="Y108" s="42" t="n">
        <x:f>'Calculations'!$GY$108</x:f>
        <x:v>0</x:v>
      </x:c>
      <x:c r="Z108" s="42"/>
      <x:c r="AA108" s="43" t="n">
        <x:f>'Calculations'!$HA$108</x:f>
        <x:v>0</x:v>
      </x:c>
      <x:c r="AB108" s="42"/>
      <x:c r="AC108" s="42"/>
      <x:c r="AD108" s="3"/>
      <x:c r="AE108" s="77"/>
      <x:c r="AF108" s="75"/>
      <x:c r="AG108" s="75"/>
      <x:c r="AH108" s="75"/>
      <x:c r="AI108" s="75"/>
      <x:c r="AJ108" s="75"/>
      <x:c r="AK108" s="75"/>
      <x:c r="AL108" s="75"/>
      <x:c r="AM108" s="75"/>
      <x:c r="AN108" s="75"/>
      <x:c r="AO108" s="75"/>
      <x:c r="AP108" s="75"/>
      <x:c r="AQ108" s="75"/>
      <x:c r="AR108" s="75"/>
      <x:c r="AS108" s="75"/>
      <x:c r="AT108" s="75"/>
      <x:c r="AU108" s="75"/>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4"/>
      <x:c r="DQ108" s="4"/>
      <x:c r="DR108" s="4"/>
      <x:c r="DS108" s="4"/>
      <x:c r="DT108" s="4"/>
      <x:c r="DU108" s="4"/>
      <x:c r="DV108" s="4"/>
      <x:c r="DW108" s="4"/>
      <x:c r="DX108" s="4"/>
      <x:c r="DY108" s="4"/>
      <x:c r="DZ108" s="4"/>
      <x:c r="EA108" s="4"/>
      <x:c r="EB108" s="4"/>
      <x:c r="EC108" s="4"/>
      <x:c r="ED108" s="4"/>
      <x:c r="EE108" s="4"/>
      <x:c r="EF108" s="4"/>
      <x:c r="EG108" s="4"/>
      <x:c r="EH108" s="4"/>
      <x:c r="EI108" s="4"/>
      <x:c r="EJ108" s="4"/>
      <x:c r="EK108" s="4"/>
      <x:c r="EL108" s="4"/>
      <x:c r="EM108" s="4"/>
      <x:c r="EN108" s="4"/>
      <x:c r="EO108" s="4"/>
      <x:c r="EP108" s="4"/>
      <x:c r="EQ108" s="4"/>
      <x:c r="ER108" s="4"/>
      <x:c r="ES108" s="4"/>
      <x:c r="ET108" s="4"/>
      <x:c r="EU108" s="4"/>
      <x:c r="EV108" s="4"/>
      <x:c r="EW108" s="4"/>
      <x:c r="EX108" s="4"/>
      <x:c r="EY108" s="4"/>
      <x:c r="EZ108" s="4"/>
      <x:c r="FA108" s="4"/>
      <x:c r="FB108" s="4"/>
      <x:c r="FC108" s="4"/>
      <x:c r="FD108" s="4"/>
      <x:c r="FE108" s="4"/>
      <x:c r="FF108" s="4"/>
      <x:c r="FG108" s="4"/>
      <x:c r="FH108" s="4"/>
      <x:c r="FI108" s="4"/>
      <x:c r="FJ108" s="4"/>
      <x:c r="FK108" s="4"/>
      <x:c r="FL108" s="4"/>
      <x:c r="FM108" s="4"/>
      <x:c r="FN108" s="4"/>
      <x:c r="FO108" s="4"/>
    </x:row>
    <x:row r="109" ht="33" customHeight="1">
      <x:c r="A109" s="3"/>
      <x:c r="B109" s="46" t="n">
        <x:f>'Calculations'!$GB$109</x:f>
        <x:v>0</x:v>
      </x:c>
      <x:c r="C109" s="46"/>
      <x:c r="D109" s="46"/>
      <x:c r="E109" s="46"/>
      <x:c r="F109" s="46"/>
      <x:c r="G109" s="46"/>
      <x:c r="H109" s="46"/>
      <x:c r="I109" s="47" t="n">
        <x:f>'Calculations'!$GI$109</x:f>
        <x:v>0</x:v>
      </x:c>
      <x:c r="J109" s="47"/>
      <x:c r="K109" s="47" t="n">
        <x:f>'Calculations'!$GK$109</x:f>
        <x:v>0</x:v>
      </x:c>
      <x:c r="L109" s="47"/>
      <x:c r="M109" s="47" t="n">
        <x:f>'Calculations'!$GM$109</x:f>
        <x:v>0</x:v>
      </x:c>
      <x:c r="N109" s="47"/>
      <x:c r="O109" s="48" t="n">
        <x:f>'Calculations'!$GO$109</x:f>
        <x:v>0</x:v>
      </x:c>
      <x:c r="P109" s="47"/>
      <x:c r="Q109" s="47" t="n">
        <x:f>'Calculations'!$GQ$109</x:f>
        <x:v>0</x:v>
      </x:c>
      <x:c r="R109" s="47"/>
      <x:c r="S109" s="47" t="n">
        <x:f>'Calculations'!$GS$109</x:f>
        <x:v>0</x:v>
      </x:c>
      <x:c r="T109" s="47"/>
      <x:c r="U109" s="47" t="n">
        <x:f>'Calculations'!$GU$109</x:f>
        <x:v>0</x:v>
      </x:c>
      <x:c r="V109" s="47"/>
      <x:c r="W109" s="47" t="n">
        <x:f>'Calculations'!$GW$109</x:f>
        <x:v>0</x:v>
      </x:c>
      <x:c r="X109" s="47"/>
      <x:c r="Y109" s="47" t="n">
        <x:f>'Calculations'!$GY$109</x:f>
        <x:v>0</x:v>
      </x:c>
      <x:c r="Z109" s="47"/>
      <x:c r="AA109" s="48" t="n">
        <x:f>'Calculations'!$HA$109</x:f>
        <x:v>0</x:v>
      </x:c>
      <x:c r="AB109" s="47"/>
      <x:c r="AC109" s="47"/>
      <x:c r="AD109" s="3"/>
      <x:c r="AE109" s="77"/>
      <x:c r="AF109" s="75"/>
      <x:c r="AG109" s="75"/>
      <x:c r="AH109" s="75"/>
      <x:c r="AI109" s="75"/>
      <x:c r="AJ109" s="75"/>
      <x:c r="AK109" s="75"/>
      <x:c r="AL109" s="75"/>
      <x:c r="AM109" s="75"/>
      <x:c r="AN109" s="75"/>
      <x:c r="AO109" s="75"/>
      <x:c r="AP109" s="75"/>
      <x:c r="AQ109" s="75"/>
      <x:c r="AR109" s="75"/>
      <x:c r="AS109" s="75"/>
      <x:c r="AT109" s="75"/>
      <x:c r="AU109" s="75"/>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4"/>
      <x:c r="DQ109" s="4"/>
      <x:c r="DR109" s="4"/>
      <x:c r="DS109" s="4"/>
      <x:c r="DT109" s="4"/>
      <x:c r="DU109" s="4"/>
      <x:c r="DV109" s="4"/>
      <x:c r="DW109" s="4"/>
      <x:c r="DX109" s="4"/>
      <x:c r="DY109" s="4"/>
      <x:c r="DZ109" s="4"/>
      <x:c r="EA109" s="4"/>
      <x:c r="EB109" s="4"/>
      <x:c r="EC109" s="4"/>
      <x:c r="ED109" s="4"/>
      <x:c r="EE109" s="4"/>
      <x:c r="EF109" s="4"/>
      <x:c r="EG109" s="4"/>
      <x:c r="EH109" s="4"/>
      <x:c r="EI109" s="4"/>
      <x:c r="EJ109" s="4"/>
      <x:c r="EK109" s="4"/>
      <x:c r="EL109" s="4"/>
      <x:c r="EM109" s="4"/>
      <x:c r="EN109" s="4"/>
      <x:c r="EO109" s="4"/>
      <x:c r="EP109" s="4"/>
      <x:c r="EQ109" s="4"/>
      <x:c r="ER109" s="4"/>
      <x:c r="ES109" s="4"/>
      <x:c r="ET109" s="4"/>
      <x:c r="EU109" s="4"/>
      <x:c r="EV109" s="4"/>
      <x:c r="EW109" s="4"/>
      <x:c r="EX109" s="4"/>
      <x:c r="EY109" s="4"/>
      <x:c r="EZ109" s="4"/>
      <x:c r="FA109" s="4"/>
      <x:c r="FB109" s="4"/>
      <x:c r="FC109" s="4"/>
      <x:c r="FD109" s="4"/>
      <x:c r="FE109" s="4"/>
      <x:c r="FF109" s="4"/>
      <x:c r="FG109" s="4"/>
      <x:c r="FH109" s="4"/>
      <x:c r="FI109" s="4"/>
      <x:c r="FJ109" s="4"/>
      <x:c r="FK109" s="4"/>
      <x:c r="FL109" s="4"/>
      <x:c r="FM109" s="4"/>
      <x:c r="FN109" s="4"/>
      <x:c r="FO109" s="4"/>
    </x:row>
    <x:row r="110" ht="33" customHeight="1">
      <x:c r="A110" s="3"/>
      <x:c r="B110" s="41" t="n">
        <x:f>'Calculations'!$GB$110</x:f>
        <x:v>0</x:v>
      </x:c>
      <x:c r="C110" s="41"/>
      <x:c r="D110" s="41"/>
      <x:c r="E110" s="41"/>
      <x:c r="F110" s="41"/>
      <x:c r="G110" s="41"/>
      <x:c r="H110" s="41"/>
      <x:c r="I110" s="42" t="n">
        <x:f>'Calculations'!$GI$110</x:f>
        <x:v>0</x:v>
      </x:c>
      <x:c r="J110" s="42"/>
      <x:c r="K110" s="42" t="n">
        <x:f>'Calculations'!$GK$110</x:f>
        <x:v>0</x:v>
      </x:c>
      <x:c r="L110" s="42"/>
      <x:c r="M110" s="42" t="n">
        <x:f>'Calculations'!$GM$110</x:f>
        <x:v>0</x:v>
      </x:c>
      <x:c r="N110" s="42"/>
      <x:c r="O110" s="43" t="n">
        <x:f>'Calculations'!$GO$110</x:f>
        <x:v>0</x:v>
      </x:c>
      <x:c r="P110" s="42"/>
      <x:c r="Q110" s="42" t="n">
        <x:f>'Calculations'!$GQ$110</x:f>
        <x:v>0</x:v>
      </x:c>
      <x:c r="R110" s="42"/>
      <x:c r="S110" s="42" t="n">
        <x:f>'Calculations'!$GS$110</x:f>
        <x:v>0</x:v>
      </x:c>
      <x:c r="T110" s="42"/>
      <x:c r="U110" s="42" t="n">
        <x:f>'Calculations'!$GU$110</x:f>
        <x:v>0</x:v>
      </x:c>
      <x:c r="V110" s="42"/>
      <x:c r="W110" s="42" t="n">
        <x:f>'Calculations'!$GW$110</x:f>
        <x:v>0</x:v>
      </x:c>
      <x:c r="X110" s="42"/>
      <x:c r="Y110" s="42" t="n">
        <x:f>'Calculations'!$GY$110</x:f>
        <x:v>0</x:v>
      </x:c>
      <x:c r="Z110" s="42"/>
      <x:c r="AA110" s="43" t="n">
        <x:f>'Calculations'!$HA$110</x:f>
        <x:v>0</x:v>
      </x:c>
      <x:c r="AB110" s="42"/>
      <x:c r="AC110" s="42"/>
      <x:c r="AD110" s="3"/>
      <x:c r="AE110" s="77"/>
      <x:c r="AF110" s="75"/>
      <x:c r="AG110" s="75"/>
      <x:c r="AH110" s="75"/>
      <x:c r="AI110" s="75"/>
      <x:c r="AJ110" s="75"/>
      <x:c r="AK110" s="75"/>
      <x:c r="AL110" s="75"/>
      <x:c r="AM110" s="75"/>
      <x:c r="AN110" s="75"/>
      <x:c r="AO110" s="75"/>
      <x:c r="AP110" s="75"/>
      <x:c r="AQ110" s="75"/>
      <x:c r="AR110" s="75"/>
      <x:c r="AS110" s="75"/>
      <x:c r="AT110" s="75"/>
      <x:c r="AU110" s="75"/>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4"/>
      <x:c r="DQ110" s="4"/>
      <x:c r="DR110" s="4"/>
      <x:c r="DS110" s="4"/>
      <x:c r="DT110" s="4"/>
      <x:c r="DU110" s="4"/>
      <x:c r="DV110" s="4"/>
      <x:c r="DW110" s="4"/>
      <x:c r="DX110" s="4"/>
      <x:c r="DY110" s="4"/>
      <x:c r="DZ110" s="4"/>
      <x:c r="EA110" s="4"/>
      <x:c r="EB110" s="4"/>
      <x:c r="EC110" s="4"/>
      <x:c r="ED110" s="4"/>
      <x:c r="EE110" s="4"/>
      <x:c r="EF110" s="4"/>
      <x:c r="EG110" s="4"/>
      <x:c r="EH110" s="4"/>
      <x:c r="EI110" s="4"/>
      <x:c r="EJ110" s="4"/>
      <x:c r="EK110" s="4"/>
      <x:c r="EL110" s="4"/>
      <x:c r="EM110" s="4"/>
      <x:c r="EN110" s="4"/>
      <x:c r="EO110" s="4"/>
      <x:c r="EP110" s="4"/>
      <x:c r="EQ110" s="4"/>
      <x:c r="ER110" s="4"/>
      <x:c r="ES110" s="4"/>
      <x:c r="ET110" s="4"/>
      <x:c r="EU110" s="4"/>
      <x:c r="EV110" s="4"/>
      <x:c r="EW110" s="4"/>
      <x:c r="EX110" s="4"/>
      <x:c r="EY110" s="4"/>
      <x:c r="EZ110" s="4"/>
      <x:c r="FA110" s="4"/>
      <x:c r="FB110" s="4"/>
      <x:c r="FC110" s="4"/>
      <x:c r="FD110" s="4"/>
      <x:c r="FE110" s="4"/>
      <x:c r="FF110" s="4"/>
      <x:c r="FG110" s="4"/>
      <x:c r="FH110" s="4"/>
      <x:c r="FI110" s="4"/>
      <x:c r="FJ110" s="4"/>
      <x:c r="FK110" s="4"/>
      <x:c r="FL110" s="4"/>
      <x:c r="FM110" s="4"/>
      <x:c r="FN110" s="4"/>
      <x:c r="FO110" s="4"/>
    </x:row>
    <x:row r="111" ht="33" customHeight="1">
      <x:c r="A111" s="3"/>
      <x:c r="B111" s="46" t="n">
        <x:f>'Calculations'!$GB$111</x:f>
        <x:v>0</x:v>
      </x:c>
      <x:c r="C111" s="46"/>
      <x:c r="D111" s="46"/>
      <x:c r="E111" s="46"/>
      <x:c r="F111" s="46"/>
      <x:c r="G111" s="46"/>
      <x:c r="H111" s="46"/>
      <x:c r="I111" s="47" t="n">
        <x:f>'Calculations'!$GI$111</x:f>
        <x:v>0</x:v>
      </x:c>
      <x:c r="J111" s="47"/>
      <x:c r="K111" s="47" t="n">
        <x:f>'Calculations'!$GK$111</x:f>
        <x:v>0</x:v>
      </x:c>
      <x:c r="L111" s="47"/>
      <x:c r="M111" s="47" t="n">
        <x:f>'Calculations'!$GM$111</x:f>
        <x:v>0</x:v>
      </x:c>
      <x:c r="N111" s="47"/>
      <x:c r="O111" s="48" t="n">
        <x:f>'Calculations'!$GO$111</x:f>
        <x:v>0</x:v>
      </x:c>
      <x:c r="P111" s="47"/>
      <x:c r="Q111" s="47" t="n">
        <x:f>'Calculations'!$GQ$111</x:f>
        <x:v>0</x:v>
      </x:c>
      <x:c r="R111" s="47"/>
      <x:c r="S111" s="47" t="n">
        <x:f>'Calculations'!$GS$111</x:f>
        <x:v>0</x:v>
      </x:c>
      <x:c r="T111" s="47"/>
      <x:c r="U111" s="47" t="n">
        <x:f>'Calculations'!$GU$111</x:f>
        <x:v>0</x:v>
      </x:c>
      <x:c r="V111" s="47"/>
      <x:c r="W111" s="47" t="n">
        <x:f>'Calculations'!$GW$111</x:f>
        <x:v>0</x:v>
      </x:c>
      <x:c r="X111" s="47"/>
      <x:c r="Y111" s="47" t="n">
        <x:f>'Calculations'!$GY$111</x:f>
        <x:v>0</x:v>
      </x:c>
      <x:c r="Z111" s="47"/>
      <x:c r="AA111" s="48" t="n">
        <x:f>'Calculations'!$HA$111</x:f>
        <x:v>0</x:v>
      </x:c>
      <x:c r="AB111" s="47"/>
      <x:c r="AC111" s="47"/>
      <x:c r="AD111" s="3"/>
      <x:c r="AE111" s="77"/>
      <x:c r="AF111" s="75"/>
      <x:c r="AG111" s="75"/>
      <x:c r="AH111" s="75"/>
      <x:c r="AI111" s="75"/>
      <x:c r="AJ111" s="75"/>
      <x:c r="AK111" s="75"/>
      <x:c r="AL111" s="75"/>
      <x:c r="AM111" s="75"/>
      <x:c r="AN111" s="75"/>
      <x:c r="AO111" s="75"/>
      <x:c r="AP111" s="75"/>
      <x:c r="AQ111" s="75"/>
      <x:c r="AR111" s="75"/>
      <x:c r="AS111" s="75"/>
      <x:c r="AT111" s="75"/>
      <x:c r="AU111" s="75"/>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4"/>
      <x:c r="DQ111" s="4"/>
      <x:c r="DR111" s="4"/>
      <x:c r="DS111" s="4"/>
      <x:c r="DT111" s="4"/>
      <x:c r="DU111" s="4"/>
      <x:c r="DV111" s="4"/>
      <x:c r="DW111" s="4"/>
      <x:c r="DX111" s="4"/>
      <x:c r="DY111" s="4"/>
      <x:c r="DZ111" s="4"/>
      <x:c r="EA111" s="4"/>
      <x:c r="EB111" s="4"/>
      <x:c r="EC111" s="4"/>
      <x:c r="ED111" s="4"/>
      <x:c r="EE111" s="4"/>
      <x:c r="EF111" s="4"/>
      <x:c r="EG111" s="4"/>
      <x:c r="EH111" s="4"/>
      <x:c r="EI111" s="4"/>
      <x:c r="EJ111" s="4"/>
      <x:c r="EK111" s="4"/>
      <x:c r="EL111" s="4"/>
      <x:c r="EM111" s="4"/>
      <x:c r="EN111" s="4"/>
      <x:c r="EO111" s="4"/>
      <x:c r="EP111" s="4"/>
      <x:c r="EQ111" s="4"/>
      <x:c r="ER111" s="4"/>
      <x:c r="ES111" s="4"/>
      <x:c r="ET111" s="4"/>
      <x:c r="EU111" s="4"/>
      <x:c r="EV111" s="4"/>
      <x:c r="EW111" s="4"/>
      <x:c r="EX111" s="4"/>
      <x:c r="EY111" s="4"/>
      <x:c r="EZ111" s="4"/>
      <x:c r="FA111" s="4"/>
      <x:c r="FB111" s="4"/>
      <x:c r="FC111" s="4"/>
      <x:c r="FD111" s="4"/>
      <x:c r="FE111" s="4"/>
      <x:c r="FF111" s="4"/>
      <x:c r="FG111" s="4"/>
      <x:c r="FH111" s="4"/>
      <x:c r="FI111" s="4"/>
      <x:c r="FJ111" s="4"/>
      <x:c r="FK111" s="4"/>
      <x:c r="FL111" s="4"/>
      <x:c r="FM111" s="4"/>
      <x:c r="FN111" s="4"/>
      <x:c r="FO111" s="4"/>
    </x:row>
    <x:row r="112" ht="33" customHeight="1">
      <x:c r="A112" s="3"/>
      <x:c r="B112" s="41" t="n">
        <x:f>'Calculations'!$GB$112</x:f>
        <x:v>0</x:v>
      </x:c>
      <x:c r="C112" s="41"/>
      <x:c r="D112" s="41"/>
      <x:c r="E112" s="41"/>
      <x:c r="F112" s="41"/>
      <x:c r="G112" s="41"/>
      <x:c r="H112" s="41"/>
      <x:c r="I112" s="42" t="n">
        <x:f>'Calculations'!$GI$112</x:f>
        <x:v>0</x:v>
      </x:c>
      <x:c r="J112" s="42"/>
      <x:c r="K112" s="42" t="n">
        <x:f>'Calculations'!$GK$112</x:f>
        <x:v>0</x:v>
      </x:c>
      <x:c r="L112" s="42"/>
      <x:c r="M112" s="42" t="n">
        <x:f>'Calculations'!$GM$112</x:f>
        <x:v>0</x:v>
      </x:c>
      <x:c r="N112" s="42"/>
      <x:c r="O112" s="43" t="n">
        <x:f>'Calculations'!$GO$112</x:f>
        <x:v>0</x:v>
      </x:c>
      <x:c r="P112" s="42"/>
      <x:c r="Q112" s="42" t="n">
        <x:f>'Calculations'!$GQ$112</x:f>
        <x:v>0</x:v>
      </x:c>
      <x:c r="R112" s="42"/>
      <x:c r="S112" s="42" t="n">
        <x:f>'Calculations'!$GS$112</x:f>
        <x:v>0</x:v>
      </x:c>
      <x:c r="T112" s="42"/>
      <x:c r="U112" s="42" t="n">
        <x:f>'Calculations'!$GU$112</x:f>
        <x:v>0</x:v>
      </x:c>
      <x:c r="V112" s="42"/>
      <x:c r="W112" s="42" t="n">
        <x:f>'Calculations'!$GW$112</x:f>
        <x:v>0</x:v>
      </x:c>
      <x:c r="X112" s="42"/>
      <x:c r="Y112" s="42" t="n">
        <x:f>'Calculations'!$GY$112</x:f>
        <x:v>0</x:v>
      </x:c>
      <x:c r="Z112" s="42"/>
      <x:c r="AA112" s="43" t="n">
        <x:f>'Calculations'!$HA$112</x:f>
        <x:v>0</x:v>
      </x:c>
      <x:c r="AB112" s="42"/>
      <x:c r="AC112" s="42"/>
      <x:c r="AD112" s="3"/>
      <x:c r="AE112" s="77"/>
      <x:c r="AF112" s="75"/>
      <x:c r="AG112" s="75"/>
      <x:c r="AH112" s="75"/>
      <x:c r="AI112" s="75"/>
      <x:c r="AJ112" s="75"/>
      <x:c r="AK112" s="75"/>
      <x:c r="AL112" s="75"/>
      <x:c r="AM112" s="75"/>
      <x:c r="AN112" s="75"/>
      <x:c r="AO112" s="75"/>
      <x:c r="AP112" s="75"/>
      <x:c r="AQ112" s="75"/>
      <x:c r="AR112" s="75"/>
      <x:c r="AS112" s="75"/>
      <x:c r="AT112" s="75"/>
      <x:c r="AU112" s="75"/>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4"/>
      <x:c r="DQ112" s="4"/>
      <x:c r="DR112" s="4"/>
      <x:c r="DS112" s="4"/>
      <x:c r="DT112" s="4"/>
      <x:c r="DU112" s="4"/>
      <x:c r="DV112" s="4"/>
      <x:c r="DW112" s="4"/>
      <x:c r="DX112" s="4"/>
      <x:c r="DY112" s="4"/>
      <x:c r="DZ112" s="4"/>
      <x:c r="EA112" s="4"/>
      <x:c r="EB112" s="4"/>
      <x:c r="EC112" s="4"/>
      <x:c r="ED112" s="4"/>
      <x:c r="EE112" s="4"/>
      <x:c r="EF112" s="4"/>
      <x:c r="EG112" s="4"/>
      <x:c r="EH112" s="4"/>
      <x:c r="EI112" s="4"/>
      <x:c r="EJ112" s="4"/>
      <x:c r="EK112" s="4"/>
      <x:c r="EL112" s="4"/>
      <x:c r="EM112" s="4"/>
      <x:c r="EN112" s="4"/>
      <x:c r="EO112" s="4"/>
      <x:c r="EP112" s="4"/>
      <x:c r="EQ112" s="4"/>
      <x:c r="ER112" s="4"/>
      <x:c r="ES112" s="4"/>
      <x:c r="ET112" s="4"/>
      <x:c r="EU112" s="4"/>
      <x:c r="EV112" s="4"/>
      <x:c r="EW112" s="4"/>
      <x:c r="EX112" s="4"/>
      <x:c r="EY112" s="4"/>
      <x:c r="EZ112" s="4"/>
      <x:c r="FA112" s="4"/>
      <x:c r="FB112" s="4"/>
      <x:c r="FC112" s="4"/>
      <x:c r="FD112" s="4"/>
      <x:c r="FE112" s="4"/>
      <x:c r="FF112" s="4"/>
      <x:c r="FG112" s="4"/>
      <x:c r="FH112" s="4"/>
      <x:c r="FI112" s="4"/>
      <x:c r="FJ112" s="4"/>
      <x:c r="FK112" s="4"/>
      <x:c r="FL112" s="4"/>
      <x:c r="FM112" s="4"/>
      <x:c r="FN112" s="4"/>
      <x:c r="FO112" s="4"/>
    </x:row>
    <x:row r="113" ht="33" customHeight="1">
      <x:c r="A113" s="3"/>
      <x:c r="B113" s="46" t="n">
        <x:f>'Calculations'!$GB$113</x:f>
        <x:v>0</x:v>
      </x:c>
      <x:c r="C113" s="46"/>
      <x:c r="D113" s="46"/>
      <x:c r="E113" s="46"/>
      <x:c r="F113" s="46"/>
      <x:c r="G113" s="46"/>
      <x:c r="H113" s="46"/>
      <x:c r="I113" s="47" t="n">
        <x:f>'Calculations'!$GI$113</x:f>
        <x:v>0</x:v>
      </x:c>
      <x:c r="J113" s="47"/>
      <x:c r="K113" s="47" t="n">
        <x:f>'Calculations'!$GK$113</x:f>
        <x:v>0</x:v>
      </x:c>
      <x:c r="L113" s="47"/>
      <x:c r="M113" s="47" t="n">
        <x:f>'Calculations'!$GM$113</x:f>
        <x:v>0</x:v>
      </x:c>
      <x:c r="N113" s="47"/>
      <x:c r="O113" s="48" t="n">
        <x:f>'Calculations'!$GO$113</x:f>
        <x:v>0</x:v>
      </x:c>
      <x:c r="P113" s="47"/>
      <x:c r="Q113" s="47" t="n">
        <x:f>'Calculations'!$GQ$113</x:f>
        <x:v>0</x:v>
      </x:c>
      <x:c r="R113" s="47"/>
      <x:c r="S113" s="47" t="n">
        <x:f>'Calculations'!$GS$113</x:f>
        <x:v>0</x:v>
      </x:c>
      <x:c r="T113" s="47"/>
      <x:c r="U113" s="47" t="n">
        <x:f>'Calculations'!$GU$113</x:f>
        <x:v>0</x:v>
      </x:c>
      <x:c r="V113" s="47"/>
      <x:c r="W113" s="47" t="n">
        <x:f>'Calculations'!$GW$113</x:f>
        <x:v>0</x:v>
      </x:c>
      <x:c r="X113" s="47"/>
      <x:c r="Y113" s="47" t="n">
        <x:f>'Calculations'!$GY$113</x:f>
        <x:v>0</x:v>
      </x:c>
      <x:c r="Z113" s="47"/>
      <x:c r="AA113" s="48" t="n">
        <x:f>'Calculations'!$HA$113</x:f>
        <x:v>0</x:v>
      </x:c>
      <x:c r="AB113" s="47"/>
      <x:c r="AC113" s="47"/>
      <x:c r="AD113" s="3"/>
      <x:c r="AE113" s="77"/>
      <x:c r="AF113" s="75"/>
      <x:c r="AG113" s="75"/>
      <x:c r="AH113" s="75"/>
      <x:c r="AI113" s="75"/>
      <x:c r="AJ113" s="75"/>
      <x:c r="AK113" s="75"/>
      <x:c r="AL113" s="75"/>
      <x:c r="AM113" s="75"/>
      <x:c r="AN113" s="75"/>
      <x:c r="AO113" s="75"/>
      <x:c r="AP113" s="75"/>
      <x:c r="AQ113" s="75"/>
      <x:c r="AR113" s="75"/>
      <x:c r="AS113" s="75"/>
      <x:c r="AT113" s="75"/>
      <x:c r="AU113" s="75"/>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4"/>
      <x:c r="DQ113" s="4"/>
      <x:c r="DR113" s="4"/>
      <x:c r="DS113" s="4"/>
      <x:c r="DT113" s="4"/>
      <x:c r="DU113" s="4"/>
      <x:c r="DV113" s="4"/>
      <x:c r="DW113" s="4"/>
      <x:c r="DX113" s="4"/>
      <x:c r="DY113" s="4"/>
      <x:c r="DZ113" s="4"/>
      <x:c r="EA113" s="4"/>
      <x:c r="EB113" s="4"/>
      <x:c r="EC113" s="4"/>
      <x:c r="ED113" s="4"/>
      <x:c r="EE113" s="4"/>
      <x:c r="EF113" s="4"/>
      <x:c r="EG113" s="4"/>
      <x:c r="EH113" s="4"/>
      <x:c r="EI113" s="4"/>
      <x:c r="EJ113" s="4"/>
      <x:c r="EK113" s="4"/>
      <x:c r="EL113" s="4"/>
      <x:c r="EM113" s="4"/>
      <x:c r="EN113" s="4"/>
      <x:c r="EO113" s="4"/>
      <x:c r="EP113" s="4"/>
      <x:c r="EQ113" s="4"/>
      <x:c r="ER113" s="4"/>
      <x:c r="ES113" s="4"/>
      <x:c r="ET113" s="4"/>
      <x:c r="EU113" s="4"/>
      <x:c r="EV113" s="4"/>
      <x:c r="EW113" s="4"/>
      <x:c r="EX113" s="4"/>
      <x:c r="EY113" s="4"/>
      <x:c r="EZ113" s="4"/>
      <x:c r="FA113" s="4"/>
      <x:c r="FB113" s="4"/>
      <x:c r="FC113" s="4"/>
      <x:c r="FD113" s="4"/>
      <x:c r="FE113" s="4"/>
      <x:c r="FF113" s="4"/>
      <x:c r="FG113" s="4"/>
      <x:c r="FH113" s="4"/>
      <x:c r="FI113" s="4"/>
      <x:c r="FJ113" s="4"/>
      <x:c r="FK113" s="4"/>
      <x:c r="FL113" s="4"/>
      <x:c r="FM113" s="4"/>
      <x:c r="FN113" s="4"/>
      <x:c r="FO113" s="4"/>
    </x:row>
    <x:row r="114" ht="33" customHeight="1">
      <x:c r="A114" s="3"/>
      <x:c r="B114" s="41" t="n">
        <x:f>'Calculations'!$GB$114</x:f>
        <x:v>0</x:v>
      </x:c>
      <x:c r="C114" s="41"/>
      <x:c r="D114" s="41"/>
      <x:c r="E114" s="41"/>
      <x:c r="F114" s="41"/>
      <x:c r="G114" s="41"/>
      <x:c r="H114" s="41"/>
      <x:c r="I114" s="42" t="n">
        <x:f>'Calculations'!$GI$114</x:f>
        <x:v>0</x:v>
      </x:c>
      <x:c r="J114" s="42"/>
      <x:c r="K114" s="42" t="n">
        <x:f>'Calculations'!$GK$114</x:f>
        <x:v>0</x:v>
      </x:c>
      <x:c r="L114" s="42"/>
      <x:c r="M114" s="42" t="n">
        <x:f>'Calculations'!$GM$114</x:f>
        <x:v>0</x:v>
      </x:c>
      <x:c r="N114" s="42"/>
      <x:c r="O114" s="43" t="n">
        <x:f>'Calculations'!$GO$114</x:f>
        <x:v>0</x:v>
      </x:c>
      <x:c r="P114" s="42"/>
      <x:c r="Q114" s="42" t="n">
        <x:f>'Calculations'!$GQ$114</x:f>
        <x:v>0</x:v>
      </x:c>
      <x:c r="R114" s="42"/>
      <x:c r="S114" s="42" t="n">
        <x:f>'Calculations'!$GS$114</x:f>
        <x:v>0</x:v>
      </x:c>
      <x:c r="T114" s="42"/>
      <x:c r="U114" s="42" t="n">
        <x:f>'Calculations'!$GU$114</x:f>
        <x:v>0</x:v>
      </x:c>
      <x:c r="V114" s="42"/>
      <x:c r="W114" s="42" t="n">
        <x:f>'Calculations'!$GW$114</x:f>
        <x:v>0</x:v>
      </x:c>
      <x:c r="X114" s="42"/>
      <x:c r="Y114" s="42" t="n">
        <x:f>'Calculations'!$GY$114</x:f>
        <x:v>0</x:v>
      </x:c>
      <x:c r="Z114" s="42"/>
      <x:c r="AA114" s="43" t="n">
        <x:f>'Calculations'!$HA$114</x:f>
        <x:v>0</x:v>
      </x:c>
      <x:c r="AB114" s="42"/>
      <x:c r="AC114" s="42"/>
      <x:c r="AD114" s="3"/>
      <x:c r="AE114" s="77"/>
      <x:c r="AF114" s="75"/>
      <x:c r="AG114" s="75"/>
      <x:c r="AH114" s="75"/>
      <x:c r="AI114" s="75"/>
      <x:c r="AJ114" s="75"/>
      <x:c r="AK114" s="75"/>
      <x:c r="AL114" s="75"/>
      <x:c r="AM114" s="75"/>
      <x:c r="AN114" s="75"/>
      <x:c r="AO114" s="75"/>
      <x:c r="AP114" s="75"/>
      <x:c r="AQ114" s="75"/>
      <x:c r="AR114" s="75"/>
      <x:c r="AS114" s="75"/>
      <x:c r="AT114" s="75"/>
      <x:c r="AU114" s="75"/>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4"/>
      <x:c r="DQ114" s="4"/>
      <x:c r="DR114" s="4"/>
      <x:c r="DS114" s="4"/>
      <x:c r="DT114" s="4"/>
      <x:c r="DU114" s="4"/>
      <x:c r="DV114" s="4"/>
      <x:c r="DW114" s="4"/>
      <x:c r="DX114" s="4"/>
      <x:c r="DY114" s="4"/>
      <x:c r="DZ114" s="4"/>
      <x:c r="EA114" s="4"/>
      <x:c r="EB114" s="4"/>
      <x:c r="EC114" s="4"/>
      <x:c r="ED114" s="4"/>
      <x:c r="EE114" s="4"/>
      <x:c r="EF114" s="4"/>
      <x:c r="EG114" s="4"/>
      <x:c r="EH114" s="4"/>
      <x:c r="EI114" s="4"/>
      <x:c r="EJ114" s="4"/>
      <x:c r="EK114" s="4"/>
      <x:c r="EL114" s="4"/>
      <x:c r="EM114" s="4"/>
      <x:c r="EN114" s="4"/>
      <x:c r="EO114" s="4"/>
      <x:c r="EP114" s="4"/>
      <x:c r="EQ114" s="4"/>
      <x:c r="ER114" s="4"/>
      <x:c r="ES114" s="4"/>
      <x:c r="ET114" s="4"/>
      <x:c r="EU114" s="4"/>
      <x:c r="EV114" s="4"/>
      <x:c r="EW114" s="4"/>
      <x:c r="EX114" s="4"/>
      <x:c r="EY114" s="4"/>
      <x:c r="EZ114" s="4"/>
      <x:c r="FA114" s="4"/>
      <x:c r="FB114" s="4"/>
      <x:c r="FC114" s="4"/>
      <x:c r="FD114" s="4"/>
      <x:c r="FE114" s="4"/>
      <x:c r="FF114" s="4"/>
      <x:c r="FG114" s="4"/>
      <x:c r="FH114" s="4"/>
      <x:c r="FI114" s="4"/>
      <x:c r="FJ114" s="4"/>
      <x:c r="FK114" s="4"/>
      <x:c r="FL114" s="4"/>
      <x:c r="FM114" s="4"/>
      <x:c r="FN114" s="4"/>
      <x:c r="FO114" s="4"/>
    </x:row>
    <x:row r="115" ht="33" customHeight="1">
      <x:c r="A115" s="3"/>
      <x:c r="B115" s="46" t="n">
        <x:f>'Calculations'!$GB$115</x:f>
        <x:v>0</x:v>
      </x:c>
      <x:c r="C115" s="46"/>
      <x:c r="D115" s="46"/>
      <x:c r="E115" s="46"/>
      <x:c r="F115" s="46"/>
      <x:c r="G115" s="46"/>
      <x:c r="H115" s="46"/>
      <x:c r="I115" s="47" t="n">
        <x:f>'Calculations'!$GI$115</x:f>
        <x:v>0</x:v>
      </x:c>
      <x:c r="J115" s="47"/>
      <x:c r="K115" s="47" t="n">
        <x:f>'Calculations'!$GK$115</x:f>
        <x:v>0</x:v>
      </x:c>
      <x:c r="L115" s="47"/>
      <x:c r="M115" s="47" t="n">
        <x:f>'Calculations'!$GM$115</x:f>
        <x:v>0</x:v>
      </x:c>
      <x:c r="N115" s="47"/>
      <x:c r="O115" s="48" t="n">
        <x:f>'Calculations'!$GO$115</x:f>
        <x:v>0</x:v>
      </x:c>
      <x:c r="P115" s="47"/>
      <x:c r="Q115" s="47" t="n">
        <x:f>'Calculations'!$GQ$115</x:f>
        <x:v>0</x:v>
      </x:c>
      <x:c r="R115" s="47"/>
      <x:c r="S115" s="47" t="n">
        <x:f>'Calculations'!$GS$115</x:f>
        <x:v>0</x:v>
      </x:c>
      <x:c r="T115" s="47"/>
      <x:c r="U115" s="47" t="n">
        <x:f>'Calculations'!$GU$115</x:f>
        <x:v>0</x:v>
      </x:c>
      <x:c r="V115" s="47"/>
      <x:c r="W115" s="47" t="n">
        <x:f>'Calculations'!$GW$115</x:f>
        <x:v>0</x:v>
      </x:c>
      <x:c r="X115" s="47"/>
      <x:c r="Y115" s="47" t="n">
        <x:f>'Calculations'!$GY$115</x:f>
        <x:v>0</x:v>
      </x:c>
      <x:c r="Z115" s="47"/>
      <x:c r="AA115" s="48" t="n">
        <x:f>'Calculations'!$HA$115</x:f>
        <x:v>0</x:v>
      </x:c>
      <x:c r="AB115" s="47"/>
      <x:c r="AC115" s="47"/>
      <x:c r="AD115" s="3"/>
      <x:c r="AE115" s="77"/>
      <x:c r="AF115" s="75"/>
      <x:c r="AG115" s="75"/>
      <x:c r="AH115" s="75"/>
      <x:c r="AI115" s="75"/>
      <x:c r="AJ115" s="75"/>
      <x:c r="AK115" s="75"/>
      <x:c r="AL115" s="75"/>
      <x:c r="AM115" s="75"/>
      <x:c r="AN115" s="75"/>
      <x:c r="AO115" s="75"/>
      <x:c r="AP115" s="75"/>
      <x:c r="AQ115" s="75"/>
      <x:c r="AR115" s="75"/>
      <x:c r="AS115" s="75"/>
      <x:c r="AT115" s="75"/>
      <x:c r="AU115" s="75"/>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4"/>
      <x:c r="DQ115" s="4"/>
      <x:c r="DR115" s="4"/>
      <x:c r="DS115" s="4"/>
      <x:c r="DT115" s="4"/>
      <x:c r="DU115" s="4"/>
      <x:c r="DV115" s="4"/>
      <x:c r="DW115" s="4"/>
      <x:c r="DX115" s="4"/>
      <x:c r="DY115" s="4"/>
      <x:c r="DZ115" s="4"/>
      <x:c r="EA115" s="4"/>
      <x:c r="EB115" s="4"/>
      <x:c r="EC115" s="4"/>
      <x:c r="ED115" s="4"/>
      <x:c r="EE115" s="4"/>
      <x:c r="EF115" s="4"/>
      <x:c r="EG115" s="4"/>
      <x:c r="EH115" s="4"/>
      <x:c r="EI115" s="4"/>
      <x:c r="EJ115" s="4"/>
      <x:c r="EK115" s="4"/>
      <x:c r="EL115" s="4"/>
      <x:c r="EM115" s="4"/>
      <x:c r="EN115" s="4"/>
      <x:c r="EO115" s="4"/>
      <x:c r="EP115" s="4"/>
      <x:c r="EQ115" s="4"/>
      <x:c r="ER115" s="4"/>
      <x:c r="ES115" s="4"/>
      <x:c r="ET115" s="4"/>
      <x:c r="EU115" s="4"/>
      <x:c r="EV115" s="4"/>
      <x:c r="EW115" s="4"/>
      <x:c r="EX115" s="4"/>
      <x:c r="EY115" s="4"/>
      <x:c r="EZ115" s="4"/>
      <x:c r="FA115" s="4"/>
      <x:c r="FB115" s="4"/>
      <x:c r="FC115" s="4"/>
      <x:c r="FD115" s="4"/>
      <x:c r="FE115" s="4"/>
      <x:c r="FF115" s="4"/>
      <x:c r="FG115" s="4"/>
      <x:c r="FH115" s="4"/>
      <x:c r="FI115" s="4"/>
      <x:c r="FJ115" s="4"/>
      <x:c r="FK115" s="4"/>
      <x:c r="FL115" s="4"/>
      <x:c r="FM115" s="4"/>
      <x:c r="FN115" s="4"/>
      <x:c r="FO115" s="4"/>
    </x:row>
    <x:row r="116" ht="33" customHeight="1">
      <x:c r="A116" s="3"/>
      <x:c r="B116" s="41" t="n">
        <x:f>'Calculations'!$GB$116</x:f>
        <x:v>0</x:v>
      </x:c>
      <x:c r="C116" s="41"/>
      <x:c r="D116" s="41"/>
      <x:c r="E116" s="41"/>
      <x:c r="F116" s="41"/>
      <x:c r="G116" s="41"/>
      <x:c r="H116" s="41"/>
      <x:c r="I116" s="42" t="n">
        <x:f>'Calculations'!$GI$116</x:f>
        <x:v>0</x:v>
      </x:c>
      <x:c r="J116" s="42"/>
      <x:c r="K116" s="42" t="n">
        <x:f>'Calculations'!$GK$116</x:f>
        <x:v>0</x:v>
      </x:c>
      <x:c r="L116" s="42"/>
      <x:c r="M116" s="42" t="n">
        <x:f>'Calculations'!$GM$116</x:f>
        <x:v>0</x:v>
      </x:c>
      <x:c r="N116" s="42"/>
      <x:c r="O116" s="43" t="n">
        <x:f>'Calculations'!$GO$116</x:f>
        <x:v>0</x:v>
      </x:c>
      <x:c r="P116" s="42"/>
      <x:c r="Q116" s="42" t="n">
        <x:f>'Calculations'!$GQ$116</x:f>
        <x:v>0</x:v>
      </x:c>
      <x:c r="R116" s="42"/>
      <x:c r="S116" s="42" t="n">
        <x:f>'Calculations'!$GS$116</x:f>
        <x:v>0</x:v>
      </x:c>
      <x:c r="T116" s="42"/>
      <x:c r="U116" s="42" t="n">
        <x:f>'Calculations'!$GU$116</x:f>
        <x:v>0</x:v>
      </x:c>
      <x:c r="V116" s="42"/>
      <x:c r="W116" s="42" t="n">
        <x:f>'Calculations'!$GW$116</x:f>
        <x:v>0</x:v>
      </x:c>
      <x:c r="X116" s="42"/>
      <x:c r="Y116" s="42" t="n">
        <x:f>'Calculations'!$GY$116</x:f>
        <x:v>0</x:v>
      </x:c>
      <x:c r="Z116" s="42"/>
      <x:c r="AA116" s="43" t="n">
        <x:f>'Calculations'!$HA$116</x:f>
        <x:v>0</x:v>
      </x:c>
      <x:c r="AB116" s="42"/>
      <x:c r="AC116" s="42"/>
      <x:c r="AD116" s="3"/>
      <x:c r="AE116" s="77"/>
      <x:c r="AF116" s="75"/>
      <x:c r="AG116" s="75"/>
      <x:c r="AH116" s="75"/>
      <x:c r="AI116" s="75"/>
      <x:c r="AJ116" s="75"/>
      <x:c r="AK116" s="75"/>
      <x:c r="AL116" s="75"/>
      <x:c r="AM116" s="75"/>
      <x:c r="AN116" s="75"/>
      <x:c r="AO116" s="75"/>
      <x:c r="AP116" s="75"/>
      <x:c r="AQ116" s="75"/>
      <x:c r="AR116" s="75"/>
      <x:c r="AS116" s="75"/>
      <x:c r="AT116" s="75"/>
      <x:c r="AU116" s="75"/>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4"/>
      <x:c r="DQ116" s="4"/>
      <x:c r="DR116" s="4"/>
      <x:c r="DS116" s="4"/>
      <x:c r="DT116" s="4"/>
      <x:c r="DU116" s="4"/>
      <x:c r="DV116" s="4"/>
      <x:c r="DW116" s="4"/>
      <x:c r="DX116" s="4"/>
      <x:c r="DY116" s="4"/>
      <x:c r="DZ116" s="4"/>
      <x:c r="EA116" s="4"/>
      <x:c r="EB116" s="4"/>
      <x:c r="EC116" s="4"/>
      <x:c r="ED116" s="4"/>
      <x:c r="EE116" s="4"/>
      <x:c r="EF116" s="4"/>
      <x:c r="EG116" s="4"/>
      <x:c r="EH116" s="4"/>
      <x:c r="EI116" s="4"/>
      <x:c r="EJ116" s="4"/>
      <x:c r="EK116" s="4"/>
      <x:c r="EL116" s="4"/>
      <x:c r="EM116" s="4"/>
      <x:c r="EN116" s="4"/>
      <x:c r="EO116" s="4"/>
      <x:c r="EP116" s="4"/>
      <x:c r="EQ116" s="4"/>
      <x:c r="ER116" s="4"/>
      <x:c r="ES116" s="4"/>
      <x:c r="ET116" s="4"/>
      <x:c r="EU116" s="4"/>
      <x:c r="EV116" s="4"/>
      <x:c r="EW116" s="4"/>
      <x:c r="EX116" s="4"/>
      <x:c r="EY116" s="4"/>
      <x:c r="EZ116" s="4"/>
      <x:c r="FA116" s="4"/>
      <x:c r="FB116" s="4"/>
      <x:c r="FC116" s="4"/>
      <x:c r="FD116" s="4"/>
      <x:c r="FE116" s="4"/>
      <x:c r="FF116" s="4"/>
      <x:c r="FG116" s="4"/>
      <x:c r="FH116" s="4"/>
      <x:c r="FI116" s="4"/>
      <x:c r="FJ116" s="4"/>
      <x:c r="FK116" s="4"/>
      <x:c r="FL116" s="4"/>
      <x:c r="FM116" s="4"/>
      <x:c r="FN116" s="4"/>
      <x:c r="FO116" s="4"/>
    </x:row>
    <x:row r="117" ht="33" customHeight="1">
      <x:c r="A117" s="3"/>
      <x:c r="B117" s="46" t="n">
        <x:f>'Calculations'!$GB$117</x:f>
        <x:v>0</x:v>
      </x:c>
      <x:c r="C117" s="46"/>
      <x:c r="D117" s="46"/>
      <x:c r="E117" s="46"/>
      <x:c r="F117" s="46"/>
      <x:c r="G117" s="46"/>
      <x:c r="H117" s="46"/>
      <x:c r="I117" s="47" t="n">
        <x:f>'Calculations'!$GI$117</x:f>
        <x:v>0</x:v>
      </x:c>
      <x:c r="J117" s="47"/>
      <x:c r="K117" s="47" t="n">
        <x:f>'Calculations'!$GK$117</x:f>
        <x:v>0</x:v>
      </x:c>
      <x:c r="L117" s="47"/>
      <x:c r="M117" s="47" t="n">
        <x:f>'Calculations'!$GM$117</x:f>
        <x:v>0</x:v>
      </x:c>
      <x:c r="N117" s="47"/>
      <x:c r="O117" s="48" t="n">
        <x:f>'Calculations'!$GO$117</x:f>
        <x:v>0</x:v>
      </x:c>
      <x:c r="P117" s="47"/>
      <x:c r="Q117" s="47" t="n">
        <x:f>'Calculations'!$GQ$117</x:f>
        <x:v>0</x:v>
      </x:c>
      <x:c r="R117" s="47"/>
      <x:c r="S117" s="47" t="n">
        <x:f>'Calculations'!$GS$117</x:f>
        <x:v>0</x:v>
      </x:c>
      <x:c r="T117" s="47"/>
      <x:c r="U117" s="47" t="n">
        <x:f>'Calculations'!$GU$117</x:f>
        <x:v>0</x:v>
      </x:c>
      <x:c r="V117" s="47"/>
      <x:c r="W117" s="47" t="n">
        <x:f>'Calculations'!$GW$117</x:f>
        <x:v>0</x:v>
      </x:c>
      <x:c r="X117" s="47"/>
      <x:c r="Y117" s="47" t="n">
        <x:f>'Calculations'!$GY$117</x:f>
        <x:v>0</x:v>
      </x:c>
      <x:c r="Z117" s="47"/>
      <x:c r="AA117" s="48" t="n">
        <x:f>'Calculations'!$HA$117</x:f>
        <x:v>0</x:v>
      </x:c>
      <x:c r="AB117" s="47"/>
      <x:c r="AC117" s="47"/>
      <x:c r="AD117" s="3"/>
      <x:c r="AE117" s="77"/>
      <x:c r="AF117" s="75"/>
      <x:c r="AG117" s="75"/>
      <x:c r="AH117" s="75"/>
      <x:c r="AI117" s="75"/>
      <x:c r="AJ117" s="75"/>
      <x:c r="AK117" s="75"/>
      <x:c r="AL117" s="75"/>
      <x:c r="AM117" s="75"/>
      <x:c r="AN117" s="75"/>
      <x:c r="AO117" s="75"/>
      <x:c r="AP117" s="75"/>
      <x:c r="AQ117" s="75"/>
      <x:c r="AR117" s="75"/>
      <x:c r="AS117" s="75"/>
      <x:c r="AT117" s="75"/>
      <x:c r="AU117" s="75"/>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4"/>
      <x:c r="DQ117" s="4"/>
      <x:c r="DR117" s="4"/>
      <x:c r="DS117" s="4"/>
      <x:c r="DT117" s="4"/>
      <x:c r="DU117" s="4"/>
      <x:c r="DV117" s="4"/>
      <x:c r="DW117" s="4"/>
      <x:c r="DX117" s="4"/>
      <x:c r="DY117" s="4"/>
      <x:c r="DZ117" s="4"/>
      <x:c r="EA117" s="4"/>
      <x:c r="EB117" s="4"/>
      <x:c r="EC117" s="4"/>
      <x:c r="ED117" s="4"/>
      <x:c r="EE117" s="4"/>
      <x:c r="EF117" s="4"/>
      <x:c r="EG117" s="4"/>
      <x:c r="EH117" s="4"/>
      <x:c r="EI117" s="4"/>
      <x:c r="EJ117" s="4"/>
      <x:c r="EK117" s="4"/>
      <x:c r="EL117" s="4"/>
      <x:c r="EM117" s="4"/>
      <x:c r="EN117" s="4"/>
      <x:c r="EO117" s="4"/>
      <x:c r="EP117" s="4"/>
      <x:c r="EQ117" s="4"/>
      <x:c r="ER117" s="4"/>
      <x:c r="ES117" s="4"/>
      <x:c r="ET117" s="4"/>
      <x:c r="EU117" s="4"/>
      <x:c r="EV117" s="4"/>
      <x:c r="EW117" s="4"/>
      <x:c r="EX117" s="4"/>
      <x:c r="EY117" s="4"/>
      <x:c r="EZ117" s="4"/>
      <x:c r="FA117" s="4"/>
      <x:c r="FB117" s="4"/>
      <x:c r="FC117" s="4"/>
      <x:c r="FD117" s="4"/>
      <x:c r="FE117" s="4"/>
      <x:c r="FF117" s="4"/>
      <x:c r="FG117" s="4"/>
      <x:c r="FH117" s="4"/>
      <x:c r="FI117" s="4"/>
      <x:c r="FJ117" s="4"/>
      <x:c r="FK117" s="4"/>
      <x:c r="FL117" s="4"/>
      <x:c r="FM117" s="4"/>
      <x:c r="FN117" s="4"/>
      <x:c r="FO117" s="4"/>
    </x:row>
    <x:row r="118" ht="18" customHeight="1">
      <x:c r="A118" s="3"/>
      <x:c r="B118" s="37" t="str">
        <x:f>'Calculations'!$GB$118</x:f>
        <x:v>Total · all branches</x:v>
      </x:c>
      <x:c r="C118" s="37"/>
      <x:c r="D118" s="37"/>
      <x:c r="E118" s="37"/>
      <x:c r="F118" s="37"/>
      <x:c r="G118" s="37"/>
      <x:c r="H118" s="37"/>
      <x:c r="I118" s="38" t="n">
        <x:f>'Calculations'!$GI$118</x:f>
        <x:v>0</x:v>
      </x:c>
      <x:c r="J118" s="38"/>
      <x:c r="K118" s="38" t="n">
        <x:f>'Calculations'!$GK$118</x:f>
        <x:v>0</x:v>
      </x:c>
      <x:c r="L118" s="38"/>
      <x:c r="M118" s="38" t="n">
        <x:f>'Calculations'!$GM$118</x:f>
        <x:v>0</x:v>
      </x:c>
      <x:c r="N118" s="38"/>
      <x:c r="O118" s="49" t="str">
        <x:f>'Calculations'!$GO$118</x:f>
        <x:v>n.a.</x:v>
      </x:c>
      <x:c r="P118" s="38"/>
      <x:c r="Q118" s="38" t="str">
        <x:f>'Calculations'!$GQ$118</x:f>
        <x:v>0 · n.a.</x:v>
      </x:c>
      <x:c r="R118" s="38"/>
      <x:c r="S118" s="38" t="str">
        <x:f>'Calculations'!$GS$118</x:f>
        <x:v>0 · n.a.</x:v>
      </x:c>
      <x:c r="T118" s="38"/>
      <x:c r="U118" s="38" t="str">
        <x:f>'Calculations'!$GU$118</x:f>
        <x:v>0 · n.a.</x:v>
      </x:c>
      <x:c r="V118" s="38"/>
      <x:c r="W118" s="38" t="str">
        <x:f>'Calculations'!$GW$118</x:f>
        <x:v>0 · n.a.</x:v>
      </x:c>
      <x:c r="X118" s="38"/>
      <x:c r="Y118" s="38" t="n">
        <x:f>'Calculations'!$GY$118</x:f>
        <x:v>0</x:v>
      </x:c>
      <x:c r="Z118" s="38"/>
      <x:c r="AA118" s="49" t="str">
        <x:f>'Calculations'!$HA$118</x:f>
        <x:v>n.a.</x:v>
      </x:c>
      <x:c r="AB118" s="38"/>
      <x:c r="AC118" s="38"/>
      <x:c r="AD118" s="3"/>
      <x:c r="AE118" s="77"/>
      <x:c r="AF118" s="75"/>
      <x:c r="AG118" s="75"/>
      <x:c r="AH118" s="75"/>
      <x:c r="AI118" s="75"/>
      <x:c r="AJ118" s="75"/>
      <x:c r="AK118" s="75"/>
      <x:c r="AL118" s="75"/>
      <x:c r="AM118" s="75"/>
      <x:c r="AN118" s="75"/>
      <x:c r="AO118" s="75"/>
      <x:c r="AP118" s="75"/>
      <x:c r="AQ118" s="75"/>
      <x:c r="AR118" s="75"/>
      <x:c r="AS118" s="75"/>
      <x:c r="AT118" s="75"/>
      <x:c r="AU118" s="75"/>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4"/>
      <x:c r="DQ118" s="4"/>
      <x:c r="DR118" s="4"/>
      <x:c r="DS118" s="4"/>
      <x:c r="DT118" s="4"/>
      <x:c r="DU118" s="4"/>
      <x:c r="DV118" s="4"/>
      <x:c r="DW118" s="4"/>
      <x:c r="DX118" s="4"/>
      <x:c r="DY118" s="4"/>
      <x:c r="DZ118" s="4"/>
      <x:c r="EA118" s="4"/>
      <x:c r="EB118" s="4"/>
      <x:c r="EC118" s="4"/>
      <x:c r="ED118" s="4"/>
      <x:c r="EE118" s="4"/>
      <x:c r="EF118" s="4"/>
      <x:c r="EG118" s="4"/>
      <x:c r="EH118" s="4"/>
      <x:c r="EI118" s="4"/>
      <x:c r="EJ118" s="4"/>
      <x:c r="EK118" s="4"/>
      <x:c r="EL118" s="4"/>
      <x:c r="EM118" s="4"/>
      <x:c r="EN118" s="4"/>
      <x:c r="EO118" s="4"/>
      <x:c r="EP118" s="4"/>
      <x:c r="EQ118" s="4"/>
      <x:c r="ER118" s="4"/>
      <x:c r="ES118" s="4"/>
      <x:c r="ET118" s="4"/>
      <x:c r="EU118" s="4"/>
      <x:c r="EV118" s="4"/>
      <x:c r="EW118" s="4"/>
      <x:c r="EX118" s="4"/>
      <x:c r="EY118" s="4"/>
      <x:c r="EZ118" s="4"/>
      <x:c r="FA118" s="4"/>
      <x:c r="FB118" s="4"/>
      <x:c r="FC118" s="4"/>
      <x:c r="FD118" s="4"/>
      <x:c r="FE118" s="4"/>
      <x:c r="FF118" s="4"/>
      <x:c r="FG118" s="4"/>
      <x:c r="FH118" s="4"/>
      <x:c r="FI118" s="4"/>
      <x:c r="FJ118" s="4"/>
      <x:c r="FK118" s="4"/>
      <x:c r="FL118" s="4"/>
      <x:c r="FM118" s="4"/>
      <x:c r="FN118" s="4"/>
      <x:c r="FO118" s="4"/>
    </x:row>
    <x:row r="119" ht="18" customHeight="1">
      <x:c r="A119" s="3"/>
      <x:c r="B119" s="37"/>
      <x:c r="C119" s="37"/>
      <x:c r="D119" s="37"/>
      <x:c r="E119" s="37"/>
      <x:c r="F119" s="37"/>
      <x:c r="G119" s="37"/>
      <x:c r="H119" s="37"/>
      <x:c r="I119" s="38"/>
      <x:c r="J119" s="38"/>
      <x:c r="K119" s="38"/>
      <x:c r="L119" s="38"/>
      <x:c r="M119" s="38"/>
      <x:c r="N119" s="38"/>
      <x:c r="O119" s="38"/>
      <x:c r="P119" s="38"/>
      <x:c r="Q119" s="38"/>
      <x:c r="R119" s="38"/>
      <x:c r="S119" s="38"/>
      <x:c r="T119" s="38"/>
      <x:c r="U119" s="38"/>
      <x:c r="V119" s="38"/>
      <x:c r="W119" s="38"/>
      <x:c r="X119" s="38"/>
      <x:c r="Y119" s="38"/>
      <x:c r="Z119" s="38"/>
      <x:c r="AA119" s="38"/>
      <x:c r="AB119" s="38"/>
      <x:c r="AC119" s="38"/>
      <x:c r="AD119" s="3"/>
      <x:c r="AE119" s="77"/>
      <x:c r="AF119" s="75"/>
      <x:c r="AG119" s="75"/>
      <x:c r="AH119" s="75"/>
      <x:c r="AI119" s="75"/>
      <x:c r="AJ119" s="75"/>
      <x:c r="AK119" s="75"/>
      <x:c r="AL119" s="75"/>
      <x:c r="AM119" s="75"/>
      <x:c r="AN119" s="75"/>
      <x:c r="AO119" s="75"/>
      <x:c r="AP119" s="75"/>
      <x:c r="AQ119" s="75"/>
      <x:c r="AR119" s="75"/>
      <x:c r="AS119" s="75"/>
      <x:c r="AT119" s="75"/>
      <x:c r="AU119" s="75"/>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4"/>
      <x:c r="DQ119" s="4"/>
      <x:c r="DR119" s="4"/>
      <x:c r="DS119" s="4"/>
      <x:c r="DT119" s="4"/>
      <x:c r="DU119" s="4"/>
      <x:c r="DV119" s="4"/>
      <x:c r="DW119" s="4"/>
      <x:c r="DX119" s="4"/>
      <x:c r="DY119" s="4"/>
      <x:c r="DZ119" s="4"/>
      <x:c r="EA119" s="4"/>
      <x:c r="EB119" s="4"/>
      <x:c r="EC119" s="4"/>
      <x:c r="ED119" s="4"/>
      <x:c r="EE119" s="4"/>
      <x:c r="EF119" s="4"/>
      <x:c r="EG119" s="4"/>
      <x:c r="EH119" s="4"/>
      <x:c r="EI119" s="4"/>
      <x:c r="EJ119" s="4"/>
      <x:c r="EK119" s="4"/>
      <x:c r="EL119" s="4"/>
      <x:c r="EM119" s="4"/>
      <x:c r="EN119" s="4"/>
      <x:c r="EO119" s="4"/>
      <x:c r="EP119" s="4"/>
      <x:c r="EQ119" s="4"/>
      <x:c r="ER119" s="4"/>
      <x:c r="ES119" s="4"/>
      <x:c r="ET119" s="4"/>
      <x:c r="EU119" s="4"/>
      <x:c r="EV119" s="4"/>
      <x:c r="EW119" s="4"/>
      <x:c r="EX119" s="4"/>
      <x:c r="EY119" s="4"/>
      <x:c r="EZ119" s="4"/>
      <x:c r="FA119" s="4"/>
      <x:c r="FB119" s="4"/>
      <x:c r="FC119" s="4"/>
      <x:c r="FD119" s="4"/>
      <x:c r="FE119" s="4"/>
      <x:c r="FF119" s="4"/>
      <x:c r="FG119" s="4"/>
      <x:c r="FH119" s="4"/>
      <x:c r="FI119" s="4"/>
      <x:c r="FJ119" s="4"/>
      <x:c r="FK119" s="4"/>
      <x:c r="FL119" s="4"/>
      <x:c r="FM119" s="4"/>
      <x:c r="FN119" s="4"/>
      <x:c r="FO119" s="4"/>
    </x:row>
    <x:row r="120" ht="18" customHeight="1">
      <x:c r="A120" s="3"/>
      <x:c r="B120" s="3"/>
      <x:c r="C120" s="3"/>
      <x:c r="D120" s="3"/>
      <x:c r="E120" s="3"/>
      <x:c r="F120" s="3"/>
      <x:c r="G120" s="3"/>
      <x:c r="H120" s="3"/>
      <x:c r="I120" s="3"/>
      <x:c r="J120" s="3"/>
      <x:c r="K120" s="3"/>
      <x:c r="L120" s="3"/>
      <x:c r="M120" s="3"/>
      <x:c r="N120" s="3"/>
      <x:c r="O120" s="3"/>
      <x:c r="P120" s="3"/>
      <x:c r="Q120" s="3"/>
      <x:c r="R120" s="3"/>
      <x:c r="S120" s="3"/>
      <x:c r="T120" s="3"/>
      <x:c r="U120" s="3"/>
      <x:c r="V120" s="3"/>
      <x:c r="W120" s="3"/>
      <x:c r="X120" s="3"/>
      <x:c r="Y120" s="3"/>
      <x:c r="Z120" s="3"/>
      <x:c r="AA120" s="3"/>
      <x:c r="AB120" s="3"/>
      <x:c r="AC120" s="3"/>
      <x:c r="AD120" s="3"/>
      <x:c r="AE120" s="77"/>
      <x:c r="AF120" s="75"/>
      <x:c r="AG120" s="75"/>
      <x:c r="AH120" s="75"/>
      <x:c r="AI120" s="75"/>
      <x:c r="AJ120" s="75"/>
      <x:c r="AK120" s="75"/>
      <x:c r="AL120" s="75"/>
      <x:c r="AM120" s="75"/>
      <x:c r="AN120" s="75"/>
      <x:c r="AO120" s="75"/>
      <x:c r="AP120" s="75"/>
      <x:c r="AQ120" s="75"/>
      <x:c r="AR120" s="75"/>
      <x:c r="AS120" s="75"/>
      <x:c r="AT120" s="75"/>
      <x:c r="AU120" s="75"/>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4"/>
      <x:c r="DQ120" s="4"/>
      <x:c r="DR120" s="4"/>
      <x:c r="DS120" s="4"/>
      <x:c r="DT120" s="4"/>
      <x:c r="DU120" s="4"/>
      <x:c r="DV120" s="4"/>
      <x:c r="DW120" s="4"/>
      <x:c r="DX120" s="4"/>
      <x:c r="DY120" s="4"/>
      <x:c r="DZ120" s="4"/>
      <x:c r="EA120" s="4"/>
      <x:c r="EB120" s="4"/>
      <x:c r="EC120" s="4"/>
      <x:c r="ED120" s="4"/>
      <x:c r="EE120" s="4"/>
      <x:c r="EF120" s="4"/>
      <x:c r="EG120" s="4"/>
      <x:c r="EH120" s="4"/>
      <x:c r="EI120" s="4"/>
      <x:c r="EJ120" s="4"/>
      <x:c r="EK120" s="4"/>
      <x:c r="EL120" s="4"/>
      <x:c r="EM120" s="4"/>
      <x:c r="EN120" s="4"/>
      <x:c r="EO120" s="4"/>
      <x:c r="EP120" s="4"/>
      <x:c r="EQ120" s="4"/>
      <x:c r="ER120" s="4"/>
      <x:c r="ES120" s="4"/>
      <x:c r="ET120" s="4"/>
      <x:c r="EU120" s="4"/>
      <x:c r="EV120" s="4"/>
      <x:c r="EW120" s="4"/>
      <x:c r="EX120" s="4"/>
      <x:c r="EY120" s="4"/>
      <x:c r="EZ120" s="4"/>
      <x:c r="FA120" s="4"/>
      <x:c r="FB120" s="4"/>
      <x:c r="FC120" s="4"/>
      <x:c r="FD120" s="4"/>
      <x:c r="FE120" s="4"/>
      <x:c r="FF120" s="4"/>
      <x:c r="FG120" s="4"/>
      <x:c r="FH120" s="4"/>
      <x:c r="FI120" s="4"/>
      <x:c r="FJ120" s="4"/>
      <x:c r="FK120" s="4"/>
      <x:c r="FL120" s="4"/>
      <x:c r="FM120" s="4"/>
      <x:c r="FN120" s="4"/>
      <x:c r="FO120" s="4"/>
    </x:row>
    <x:row r="121" ht="18" customHeight="1">
      <x:c r="A121" s="3"/>
      <x:c r="B121" s="50" t="str">
        <x:v>Each row represents an immediate report and their reporting branch. Manager and Below direct selections exclude the selected people from all population counts, ratings and totals. All managers includes the full roster and groups by top reporting root.</x:v>
      </x:c>
      <x:c r="C121" s="50" t="str">
        <x:v>Each row represents an immediate report and their reporting branch. Manager and Below direct selections exclude the selected people from all population counts, ratings and totals. All managers includes the full roster and groups by top reporting root.</x:v>
      </x:c>
      <x:c r="D121" s="50" t="str">
        <x:v>Each row represents an immediate report and their reporting branch. Manager and Below direct selections exclude the selected people from all population counts, ratings and totals. All managers includes the full roster and groups by top reporting root.</x:v>
      </x:c>
      <x:c r="E121" s="50" t="str">
        <x:v>Each row represents an immediate report and their reporting branch. Manager and Below direct selections exclude the selected people from all population counts, ratings and totals. All managers includes the full roster and groups by top reporting root.</x:v>
      </x:c>
      <x:c r="F121" s="50" t="str">
        <x:v>Each row represents an immediate report and their reporting branch. Manager and Below direct selections exclude the selected people from all population counts, ratings and totals. All managers includes the full roster and groups by top reporting root.</x:v>
      </x:c>
      <x:c r="G121" s="50" t="str">
        <x:v>Each row represents an immediate report and their reporting branch. Manager and Below direct selections exclude the selected people from all population counts, ratings and totals. All managers includes the full roster and groups by top reporting root.</x:v>
      </x:c>
      <x:c r="H121" s="50" t="str">
        <x:v>Each row represents an immediate report and their reporting branch. Manager and Below direct selections exclude the selected people from all population counts, ratings and totals. All managers includes the full roster and groups by top reporting root.</x:v>
      </x:c>
      <x:c r="I121" s="50" t="str">
        <x:v>Each row represents an immediate report and their reporting branch. Manager and Below direct selections exclude the selected people from all population counts, ratings and totals. All managers includes the full roster and groups by top reporting root.</x:v>
      </x:c>
      <x:c r="J121" s="50" t="str">
        <x:v>Each row represents an immediate report and their reporting branch. Manager and Below direct selections exclude the selected people from all population counts, ratings and totals. All managers includes the full roster and groups by top reporting root.</x:v>
      </x:c>
      <x:c r="K121" s="50" t="str">
        <x:v>Each row represents an immediate report and their reporting branch. Manager and Below direct selections exclude the selected people from all population counts, ratings and totals. All managers includes the full roster and groups by top reporting root.</x:v>
      </x:c>
      <x:c r="L121" s="50" t="str">
        <x:v>Each row represents an immediate report and their reporting branch. Manager and Below direct selections exclude the selected people from all population counts, ratings and totals. All managers includes the full roster and groups by top reporting root.</x:v>
      </x:c>
      <x:c r="M121" s="50" t="str">
        <x:v>Each row represents an immediate report and their reporting branch. Manager and Below direct selections exclude the selected people from all population counts, ratings and totals. All managers includes the full roster and groups by top reporting root.</x:v>
      </x:c>
      <x:c r="N121" s="50" t="str">
        <x:v>Each row represents an immediate report and their reporting branch. Manager and Below direct selections exclude the selected people from all population counts, ratings and totals. All managers includes the full roster and groups by top reporting root.</x:v>
      </x:c>
      <x:c r="O121" s="50" t="str">
        <x:v>Each row represents an immediate report and their reporting branch. Manager and Below direct selections exclude the selected people from all population counts, ratings and totals. All managers includes the full roster and groups by top reporting root.</x:v>
      </x:c>
      <x:c r="P121" s="50" t="str">
        <x:v>Each row represents an immediate report and their reporting branch. Manager and Below direct selections exclude the selected people from all population counts, ratings and totals. All managers includes the full roster and groups by top reporting root.</x:v>
      </x:c>
      <x:c r="Q121" s="50" t="str">
        <x:v>Each row represents an immediate report and their reporting branch. Manager and Below direct selections exclude the selected people from all population counts, ratings and totals. All managers includes the full roster and groups by top reporting root.</x:v>
      </x:c>
      <x:c r="R121" s="50" t="str">
        <x:v>Each row represents an immediate report and their reporting branch. Manager and Below direct selections exclude the selected people from all population counts, ratings and totals. All managers includes the full roster and groups by top reporting root.</x:v>
      </x:c>
      <x:c r="S121" s="50" t="str">
        <x:v>Each row represents an immediate report and their reporting branch. Manager and Below direct selections exclude the selected people from all population counts, ratings and totals. All managers includes the full roster and groups by top reporting root.</x:v>
      </x:c>
      <x:c r="T121" s="50" t="str">
        <x:v>Each row represents an immediate report and their reporting branch. Manager and Below direct selections exclude the selected people from all population counts, ratings and totals. All managers includes the full roster and groups by top reporting root.</x:v>
      </x:c>
      <x:c r="U121" s="50" t="str">
        <x:v>Each row represents an immediate report and their reporting branch. Manager and Below direct selections exclude the selected people from all population counts, ratings and totals. All managers includes the full roster and groups by top reporting root.</x:v>
      </x:c>
      <x:c r="V121" s="50" t="str">
        <x:v>Each row represents an immediate report and their reporting branch. Manager and Below direct selections exclude the selected people from all population counts, ratings and totals. All managers includes the full roster and groups by top reporting root.</x:v>
      </x:c>
      <x:c r="W121" s="50" t="str">
        <x:v>Each row represents an immediate report and their reporting branch. Manager and Below direct selections exclude the selected people from all population counts, ratings and totals. All managers includes the full roster and groups by top reporting root.</x:v>
      </x:c>
      <x:c r="X121" s="50" t="str">
        <x:v>Each row represents an immediate report and their reporting branch. Manager and Below direct selections exclude the selected people from all population counts, ratings and totals. All managers includes the full roster and groups by top reporting root.</x:v>
      </x:c>
      <x:c r="Y121" s="50" t="str">
        <x:v>Each row represents an immediate report and their reporting branch. Manager and Below direct selections exclude the selected people from all population counts, ratings and totals. All managers includes the full roster and groups by top reporting root.</x:v>
      </x:c>
      <x:c r="Z121" s="50" t="str">
        <x:v>Each row represents an immediate report and their reporting branch. Manager and Below direct selections exclude the selected people from all population counts, ratings and totals. All managers includes the full roster and groups by top reporting root.</x:v>
      </x:c>
      <x:c r="AA121" s="50" t="str">
        <x:v>Each row represents an immediate report and their reporting branch. Manager and Below direct selections exclude the selected people from all population counts, ratings and totals. All managers includes the full roster and groups by top reporting root.</x:v>
      </x:c>
      <x:c r="AB121" s="50" t="str">
        <x:v>Each row represents an immediate report and their reporting branch. Manager and Below direct selections exclude the selected people from all population counts, ratings and totals. All managers includes the full roster and groups by top reporting root.</x:v>
      </x:c>
      <x:c r="AC121" s="50" t="str">
        <x:v>Each row represents an immediate report and their reporting branch. Manager and Below direct selections exclude the selected people from all population counts, ratings and totals. All managers includes the full roster and groups by top reporting root.</x:v>
      </x:c>
      <x:c r="AD121" s="3"/>
      <x:c r="AE121" s="77"/>
      <x:c r="AF121" s="75"/>
      <x:c r="AG121" s="75"/>
      <x:c r="AH121" s="75"/>
      <x:c r="AI121" s="75"/>
      <x:c r="AJ121" s="75"/>
      <x:c r="AK121" s="75"/>
      <x:c r="AL121" s="75"/>
      <x:c r="AM121" s="75"/>
      <x:c r="AN121" s="75"/>
      <x:c r="AO121" s="75"/>
      <x:c r="AP121" s="75"/>
      <x:c r="AQ121" s="75"/>
      <x:c r="AR121" s="75"/>
      <x:c r="AS121" s="75"/>
      <x:c r="AT121" s="75"/>
      <x:c r="AU121" s="75"/>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4"/>
      <x:c r="DQ121" s="4"/>
      <x:c r="DR121" s="4"/>
      <x:c r="DS121" s="4"/>
      <x:c r="DT121" s="4"/>
      <x:c r="DU121" s="4"/>
      <x:c r="DV121" s="4"/>
      <x:c r="DW121" s="4"/>
      <x:c r="DX121" s="4"/>
      <x:c r="DY121" s="4"/>
      <x:c r="DZ121" s="4"/>
      <x:c r="EA121" s="4"/>
      <x:c r="EB121" s="4"/>
      <x:c r="EC121" s="4"/>
      <x:c r="ED121" s="4"/>
      <x:c r="EE121" s="4"/>
      <x:c r="EF121" s="4"/>
      <x:c r="EG121" s="4"/>
      <x:c r="EH121" s="4"/>
      <x:c r="EI121" s="4"/>
      <x:c r="EJ121" s="4"/>
      <x:c r="EK121" s="4"/>
      <x:c r="EL121" s="4"/>
      <x:c r="EM121" s="4"/>
      <x:c r="EN121" s="4"/>
      <x:c r="EO121" s="4"/>
      <x:c r="EP121" s="4"/>
      <x:c r="EQ121" s="4"/>
      <x:c r="ER121" s="4"/>
      <x:c r="ES121" s="4"/>
      <x:c r="ET121" s="4"/>
      <x:c r="EU121" s="4"/>
      <x:c r="EV121" s="4"/>
      <x:c r="EW121" s="4"/>
      <x:c r="EX121" s="4"/>
      <x:c r="EY121" s="4"/>
      <x:c r="EZ121" s="4"/>
      <x:c r="FA121" s="4"/>
      <x:c r="FB121" s="4"/>
      <x:c r="FC121" s="4"/>
      <x:c r="FD121" s="4"/>
      <x:c r="FE121" s="4"/>
      <x:c r="FF121" s="4"/>
      <x:c r="FG121" s="4"/>
      <x:c r="FH121" s="4"/>
      <x:c r="FI121" s="4"/>
      <x:c r="FJ121" s="4"/>
      <x:c r="FK121" s="4"/>
      <x:c r="FL121" s="4"/>
      <x:c r="FM121" s="4"/>
      <x:c r="FN121" s="4"/>
      <x:c r="FO121" s="4"/>
    </x:row>
    <x:row r="122" ht="18" customHeight="1">
      <x:c r="A122" s="3"/>
      <x:c r="B122" s="50" t="str">
        <x:v>Each row represents an immediate report and their reporting branch. Manager and Below direct selections exclude the selected people from all population counts, ratings and totals. All managers includes the full roster and groups by top reporting root.</x:v>
      </x:c>
      <x:c r="C122" s="50" t="str">
        <x:v>Each row represents an immediate report and their reporting branch. Manager and Below direct selections exclude the selected people from all population counts, ratings and totals. All managers includes the full roster and groups by top reporting root.</x:v>
      </x:c>
      <x:c r="D122" s="50" t="str">
        <x:v>Each row represents an immediate report and their reporting branch. Manager and Below direct selections exclude the selected people from all population counts, ratings and totals. All managers includes the full roster and groups by top reporting root.</x:v>
      </x:c>
      <x:c r="E122" s="50" t="str">
        <x:v>Each row represents an immediate report and their reporting branch. Manager and Below direct selections exclude the selected people from all population counts, ratings and totals. All managers includes the full roster and groups by top reporting root.</x:v>
      </x:c>
      <x:c r="F122" s="50" t="str">
        <x:v>Each row represents an immediate report and their reporting branch. Manager and Below direct selections exclude the selected people from all population counts, ratings and totals. All managers includes the full roster and groups by top reporting root.</x:v>
      </x:c>
      <x:c r="G122" s="50" t="str">
        <x:v>Each row represents an immediate report and their reporting branch. Manager and Below direct selections exclude the selected people from all population counts, ratings and totals. All managers includes the full roster and groups by top reporting root.</x:v>
      </x:c>
      <x:c r="H122" s="50" t="str">
        <x:v>Each row represents an immediate report and their reporting branch. Manager and Below direct selections exclude the selected people from all population counts, ratings and totals. All managers includes the full roster and groups by top reporting root.</x:v>
      </x:c>
      <x:c r="I122" s="50" t="str">
        <x:v>Each row represents an immediate report and their reporting branch. Manager and Below direct selections exclude the selected people from all population counts, ratings and totals. All managers includes the full roster and groups by top reporting root.</x:v>
      </x:c>
      <x:c r="J122" s="50" t="str">
        <x:v>Each row represents an immediate report and their reporting branch. Manager and Below direct selections exclude the selected people from all population counts, ratings and totals. All managers includes the full roster and groups by top reporting root.</x:v>
      </x:c>
      <x:c r="K122" s="50" t="str">
        <x:v>Each row represents an immediate report and their reporting branch. Manager and Below direct selections exclude the selected people from all population counts, ratings and totals. All managers includes the full roster and groups by top reporting root.</x:v>
      </x:c>
      <x:c r="L122" s="50" t="str">
        <x:v>Each row represents an immediate report and their reporting branch. Manager and Below direct selections exclude the selected people from all population counts, ratings and totals. All managers includes the full roster and groups by top reporting root.</x:v>
      </x:c>
      <x:c r="M122" s="50" t="str">
        <x:v>Each row represents an immediate report and their reporting branch. Manager and Below direct selections exclude the selected people from all population counts, ratings and totals. All managers includes the full roster and groups by top reporting root.</x:v>
      </x:c>
      <x:c r="N122" s="50" t="str">
        <x:v>Each row represents an immediate report and their reporting branch. Manager and Below direct selections exclude the selected people from all population counts, ratings and totals. All managers includes the full roster and groups by top reporting root.</x:v>
      </x:c>
      <x:c r="O122" s="50" t="str">
        <x:v>Each row represents an immediate report and their reporting branch. Manager and Below direct selections exclude the selected people from all population counts, ratings and totals. All managers includes the full roster and groups by top reporting root.</x:v>
      </x:c>
      <x:c r="P122" s="50" t="str">
        <x:v>Each row represents an immediate report and their reporting branch. Manager and Below direct selections exclude the selected people from all population counts, ratings and totals. All managers includes the full roster and groups by top reporting root.</x:v>
      </x:c>
      <x:c r="Q122" s="50" t="str">
        <x:v>Each row represents an immediate report and their reporting branch. Manager and Below direct selections exclude the selected people from all population counts, ratings and totals. All managers includes the full roster and groups by top reporting root.</x:v>
      </x:c>
      <x:c r="R122" s="50" t="str">
        <x:v>Each row represents an immediate report and their reporting branch. Manager and Below direct selections exclude the selected people from all population counts, ratings and totals. All managers includes the full roster and groups by top reporting root.</x:v>
      </x:c>
      <x:c r="S122" s="50" t="str">
        <x:v>Each row represents an immediate report and their reporting branch. Manager and Below direct selections exclude the selected people from all population counts, ratings and totals. All managers includes the full roster and groups by top reporting root.</x:v>
      </x:c>
      <x:c r="T122" s="50" t="str">
        <x:v>Each row represents an immediate report and their reporting branch. Manager and Below direct selections exclude the selected people from all population counts, ratings and totals. All managers includes the full roster and groups by top reporting root.</x:v>
      </x:c>
      <x:c r="U122" s="50" t="str">
        <x:v>Each row represents an immediate report and their reporting branch. Manager and Below direct selections exclude the selected people from all population counts, ratings and totals. All managers includes the full roster and groups by top reporting root.</x:v>
      </x:c>
      <x:c r="V122" s="50" t="str">
        <x:v>Each row represents an immediate report and their reporting branch. Manager and Below direct selections exclude the selected people from all population counts, ratings and totals. All managers includes the full roster and groups by top reporting root.</x:v>
      </x:c>
      <x:c r="W122" s="50" t="str">
        <x:v>Each row represents an immediate report and their reporting branch. Manager and Below direct selections exclude the selected people from all population counts, ratings and totals. All managers includes the full roster and groups by top reporting root.</x:v>
      </x:c>
      <x:c r="X122" s="50" t="str">
        <x:v>Each row represents an immediate report and their reporting branch. Manager and Below direct selections exclude the selected people from all population counts, ratings and totals. All managers includes the full roster and groups by top reporting root.</x:v>
      </x:c>
      <x:c r="Y122" s="50" t="str">
        <x:v>Each row represents an immediate report and their reporting branch. Manager and Below direct selections exclude the selected people from all population counts, ratings and totals. All managers includes the full roster and groups by top reporting root.</x:v>
      </x:c>
      <x:c r="Z122" s="50" t="str">
        <x:v>Each row represents an immediate report and their reporting branch. Manager and Below direct selections exclude the selected people from all population counts, ratings and totals. All managers includes the full roster and groups by top reporting root.</x:v>
      </x:c>
      <x:c r="AA122" s="50" t="str">
        <x:v>Each row represents an immediate report and their reporting branch. Manager and Below direct selections exclude the selected people from all population counts, ratings and totals. All managers includes the full roster and groups by top reporting root.</x:v>
      </x:c>
      <x:c r="AB122" s="50" t="str">
        <x:v>Each row represents an immediate report and their reporting branch. Manager and Below direct selections exclude the selected people from all population counts, ratings and totals. All managers includes the full roster and groups by top reporting root.</x:v>
      </x:c>
      <x:c r="AC122" s="50" t="str">
        <x:v>Each row represents an immediate report and their reporting branch. Manager and Below direct selections exclude the selected people from all population counts, ratings and totals. All managers includes the full roster and groups by top reporting root.</x:v>
      </x:c>
      <x:c r="AD122" s="3"/>
      <x:c r="AE122" s="77"/>
      <x:c r="AF122" s="75"/>
      <x:c r="AG122" s="75"/>
      <x:c r="AH122" s="75"/>
      <x:c r="AI122" s="75"/>
      <x:c r="AJ122" s="75"/>
      <x:c r="AK122" s="75"/>
      <x:c r="AL122" s="75"/>
      <x:c r="AM122" s="75"/>
      <x:c r="AN122" s="75"/>
      <x:c r="AO122" s="75"/>
      <x:c r="AP122" s="75"/>
      <x:c r="AQ122" s="75"/>
      <x:c r="AR122" s="75"/>
      <x:c r="AS122" s="75"/>
      <x:c r="AT122" s="75"/>
      <x:c r="AU122" s="75"/>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4"/>
      <x:c r="DQ122" s="4"/>
      <x:c r="DR122" s="4"/>
      <x:c r="DS122" s="4"/>
      <x:c r="DT122" s="4"/>
      <x:c r="DU122" s="4"/>
      <x:c r="DV122" s="4"/>
      <x:c r="DW122" s="4"/>
      <x:c r="DX122" s="4"/>
      <x:c r="DY122" s="4"/>
      <x:c r="DZ122" s="4"/>
      <x:c r="EA122" s="4"/>
      <x:c r="EB122" s="4"/>
      <x:c r="EC122" s="4"/>
      <x:c r="ED122" s="4"/>
      <x:c r="EE122" s="4"/>
      <x:c r="EF122" s="4"/>
      <x:c r="EG122" s="4"/>
      <x:c r="EH122" s="4"/>
      <x:c r="EI122" s="4"/>
      <x:c r="EJ122" s="4"/>
      <x:c r="EK122" s="4"/>
      <x:c r="EL122" s="4"/>
      <x:c r="EM122" s="4"/>
      <x:c r="EN122" s="4"/>
      <x:c r="EO122" s="4"/>
      <x:c r="EP122" s="4"/>
      <x:c r="EQ122" s="4"/>
      <x:c r="ER122" s="4"/>
      <x:c r="ES122" s="4"/>
      <x:c r="ET122" s="4"/>
      <x:c r="EU122" s="4"/>
      <x:c r="EV122" s="4"/>
      <x:c r="EW122" s="4"/>
      <x:c r="EX122" s="4"/>
      <x:c r="EY122" s="4"/>
      <x:c r="EZ122" s="4"/>
      <x:c r="FA122" s="4"/>
      <x:c r="FB122" s="4"/>
      <x:c r="FC122" s="4"/>
      <x:c r="FD122" s="4"/>
      <x:c r="FE122" s="4"/>
      <x:c r="FF122" s="4"/>
      <x:c r="FG122" s="4"/>
      <x:c r="FH122" s="4"/>
      <x:c r="FI122" s="4"/>
      <x:c r="FJ122" s="4"/>
      <x:c r="FK122" s="4"/>
      <x:c r="FL122" s="4"/>
      <x:c r="FM122" s="4"/>
      <x:c r="FN122" s="4"/>
      <x:c r="FO122" s="4"/>
    </x:row>
    <x:row r="123" ht="18" customHeight="1">
      <x:c r="A123" s="3"/>
      <x:c r="B123" s="3"/>
      <x:c r="C123" s="3"/>
      <x:c r="D123" s="3"/>
      <x:c r="E123" s="3"/>
      <x:c r="F123" s="3"/>
      <x:c r="G123" s="3"/>
      <x:c r="H123" s="3"/>
      <x:c r="I123" s="3"/>
      <x:c r="J123" s="3"/>
      <x:c r="K123" s="3"/>
      <x:c r="L123" s="3"/>
      <x:c r="M123" s="3"/>
      <x:c r="N123" s="3"/>
      <x:c r="O123" s="3"/>
      <x:c r="P123" s="3"/>
      <x:c r="Q123" s="3"/>
      <x:c r="R123" s="3"/>
      <x:c r="S123" s="3"/>
      <x:c r="T123" s="3"/>
      <x:c r="U123" s="3"/>
      <x:c r="V123" s="3"/>
      <x:c r="W123" s="3"/>
      <x:c r="X123" s="3"/>
      <x:c r="Y123" s="3"/>
      <x:c r="Z123" s="3"/>
      <x:c r="AA123" s="3"/>
      <x:c r="AB123" s="3"/>
      <x:c r="AC123" s="3"/>
      <x:c r="AD123" s="3"/>
      <x:c r="AE123" s="77"/>
      <x:c r="AF123" s="75"/>
      <x:c r="AG123" s="75"/>
      <x:c r="AH123" s="75"/>
      <x:c r="AI123" s="75"/>
      <x:c r="AJ123" s="75"/>
      <x:c r="AK123" s="75"/>
      <x:c r="AL123" s="75"/>
      <x:c r="AM123" s="75"/>
      <x:c r="AN123" s="75"/>
      <x:c r="AO123" s="75"/>
      <x:c r="AP123" s="75"/>
      <x:c r="AQ123" s="75"/>
      <x:c r="AR123" s="75"/>
      <x:c r="AS123" s="75"/>
      <x:c r="AT123" s="75"/>
      <x:c r="AU123" s="75"/>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4"/>
      <x:c r="DQ123" s="4"/>
      <x:c r="DR123" s="4"/>
      <x:c r="DS123" s="4"/>
      <x:c r="DT123" s="4"/>
      <x:c r="DU123" s="4"/>
      <x:c r="DV123" s="4"/>
      <x:c r="DW123" s="4"/>
      <x:c r="DX123" s="4"/>
      <x:c r="DY123" s="4"/>
      <x:c r="DZ123" s="4"/>
      <x:c r="EA123" s="4"/>
      <x:c r="EB123" s="4"/>
      <x:c r="EC123" s="4"/>
      <x:c r="ED123" s="4"/>
      <x:c r="EE123" s="4"/>
      <x:c r="EF123" s="4"/>
      <x:c r="EG123" s="4"/>
      <x:c r="EH123" s="4"/>
      <x:c r="EI123" s="4"/>
      <x:c r="EJ123" s="4"/>
      <x:c r="EK123" s="4"/>
      <x:c r="EL123" s="4"/>
      <x:c r="EM123" s="4"/>
      <x:c r="EN123" s="4"/>
      <x:c r="EO123" s="4"/>
      <x:c r="EP123" s="4"/>
      <x:c r="EQ123" s="4"/>
      <x:c r="ER123" s="4"/>
      <x:c r="ES123" s="4"/>
      <x:c r="ET123" s="4"/>
      <x:c r="EU123" s="4"/>
      <x:c r="EV123" s="4"/>
      <x:c r="EW123" s="4"/>
      <x:c r="EX123" s="4"/>
      <x:c r="EY123" s="4"/>
      <x:c r="EZ123" s="4"/>
      <x:c r="FA123" s="4"/>
      <x:c r="FB123" s="4"/>
      <x:c r="FC123" s="4"/>
      <x:c r="FD123" s="4"/>
      <x:c r="FE123" s="4"/>
      <x:c r="FF123" s="4"/>
      <x:c r="FG123" s="4"/>
      <x:c r="FH123" s="4"/>
      <x:c r="FI123" s="4"/>
      <x:c r="FJ123" s="4"/>
      <x:c r="FK123" s="4"/>
      <x:c r="FL123" s="4"/>
      <x:c r="FM123" s="4"/>
      <x:c r="FN123" s="4"/>
      <x:c r="FO123" s="4"/>
    </x:row>
    <x:row r="124" ht="18" customHeight="1">
      <x:c r="A124" s="3"/>
      <x:c r="B124" s="3"/>
      <x:c r="C124" s="3"/>
      <x:c r="D124" s="3"/>
      <x:c r="E124" s="3"/>
      <x:c r="F124" s="3"/>
      <x:c r="G124" s="3"/>
      <x:c r="H124" s="3"/>
      <x:c r="I124" s="3"/>
      <x:c r="J124" s="3"/>
      <x:c r="K124" s="3"/>
      <x:c r="L124" s="3"/>
      <x:c r="M124" s="3"/>
      <x:c r="N124" s="3"/>
      <x:c r="O124" s="3"/>
      <x:c r="P124" s="3"/>
      <x:c r="Q124" s="3"/>
      <x:c r="R124" s="3"/>
      <x:c r="S124" s="3"/>
      <x:c r="T124" s="3"/>
      <x:c r="U124" s="3"/>
      <x:c r="V124" s="3"/>
      <x:c r="W124" s="3"/>
      <x:c r="X124" s="3"/>
      <x:c r="Y124" s="3"/>
      <x:c r="Z124" s="3"/>
      <x:c r="AA124" s="3"/>
      <x:c r="AB124" s="3"/>
      <x:c r="AC124" s="3"/>
      <x:c r="AD124" s="3"/>
      <x:c r="AE124" s="77"/>
      <x:c r="AF124" s="75"/>
      <x:c r="AG124" s="75"/>
      <x:c r="AH124" s="75"/>
      <x:c r="AI124" s="75"/>
      <x:c r="AJ124" s="75"/>
      <x:c r="AK124" s="75"/>
      <x:c r="AL124" s="75"/>
      <x:c r="AM124" s="75"/>
      <x:c r="AN124" s="75"/>
      <x:c r="AO124" s="75"/>
      <x:c r="AP124" s="75"/>
      <x:c r="AQ124" s="75"/>
      <x:c r="AR124" s="75"/>
      <x:c r="AS124" s="75"/>
      <x:c r="AT124" s="75"/>
      <x:c r="AU124" s="75"/>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4"/>
      <x:c r="DQ124" s="4"/>
      <x:c r="DR124" s="4"/>
      <x:c r="DS124" s="4"/>
      <x:c r="DT124" s="4"/>
      <x:c r="DU124" s="4"/>
      <x:c r="DV124" s="4"/>
      <x:c r="DW124" s="4"/>
      <x:c r="DX124" s="4"/>
      <x:c r="DY124" s="4"/>
      <x:c r="DZ124" s="4"/>
      <x:c r="EA124" s="4"/>
      <x:c r="EB124" s="4"/>
      <x:c r="EC124" s="4"/>
      <x:c r="ED124" s="4"/>
      <x:c r="EE124" s="4"/>
      <x:c r="EF124" s="4"/>
      <x:c r="EG124" s="4"/>
      <x:c r="EH124" s="4"/>
      <x:c r="EI124" s="4"/>
      <x:c r="EJ124" s="4"/>
      <x:c r="EK124" s="4"/>
      <x:c r="EL124" s="4"/>
      <x:c r="EM124" s="4"/>
      <x:c r="EN124" s="4"/>
      <x:c r="EO124" s="4"/>
      <x:c r="EP124" s="4"/>
      <x:c r="EQ124" s="4"/>
      <x:c r="ER124" s="4"/>
      <x:c r="ES124" s="4"/>
      <x:c r="ET124" s="4"/>
      <x:c r="EU124" s="4"/>
      <x:c r="EV124" s="4"/>
      <x:c r="EW124" s="4"/>
      <x:c r="EX124" s="4"/>
      <x:c r="EY124" s="4"/>
      <x:c r="EZ124" s="4"/>
      <x:c r="FA124" s="4"/>
      <x:c r="FB124" s="4"/>
      <x:c r="FC124" s="4"/>
      <x:c r="FD124" s="4"/>
      <x:c r="FE124" s="4"/>
      <x:c r="FF124" s="4"/>
      <x:c r="FG124" s="4"/>
      <x:c r="FH124" s="4"/>
      <x:c r="FI124" s="4"/>
      <x:c r="FJ124" s="4"/>
      <x:c r="FK124" s="4"/>
      <x:c r="FL124" s="4"/>
      <x:c r="FM124" s="4"/>
      <x:c r="FN124" s="4"/>
      <x:c r="FO124" s="4"/>
    </x:row>
    <x:row r="125" ht="18" customHeight="1">
      <x:c r="A125" s="3"/>
      <x:c r="B125" s="22" t="str">
        <x:v>Calibration thresholds · maximum percentages</x:v>
      </x:c>
      <x:c r="C125" s="22" t="str">
        <x:v>Calibration thresholds · maximum percentages</x:v>
      </x:c>
      <x:c r="D125" s="22" t="str">
        <x:v>Calibration thresholds · maximum percentages</x:v>
      </x:c>
      <x:c r="E125" s="22" t="str">
        <x:v>Calibration thresholds · maximum percentages</x:v>
      </x:c>
      <x:c r="F125" s="22" t="str">
        <x:v>Calibration thresholds · maximum percentages</x:v>
      </x:c>
      <x:c r="G125" s="22" t="str">
        <x:v>Calibration thresholds · maximum percentages</x:v>
      </x:c>
      <x:c r="H125" s="22" t="str">
        <x:v>Calibration thresholds · maximum percentages</x:v>
      </x:c>
      <x:c r="I125" s="22" t="str">
        <x:v>Calibration thresholds · maximum percentages</x:v>
      </x:c>
      <x:c r="J125" s="22" t="str">
        <x:v>Calibration thresholds · maximum percentages</x:v>
      </x:c>
      <x:c r="K125" s="22" t="str">
        <x:v>Calibration thresholds · maximum percentages</x:v>
      </x:c>
      <x:c r="L125" s="22" t="str">
        <x:v>Calibration thresholds · maximum percentages</x:v>
      </x:c>
      <x:c r="M125" s="22" t="str">
        <x:v>Calibration thresholds · maximum percentages</x:v>
      </x:c>
      <x:c r="N125" s="22" t="str">
        <x:v>Calibration thresholds · maximum percentages</x:v>
      </x:c>
      <x:c r="O125" s="22" t="str">
        <x:v>Calibration thresholds · maximum percentages</x:v>
      </x:c>
      <x:c r="P125" s="22" t="str">
        <x:v>Calibration thresholds · maximum percentages</x:v>
      </x:c>
      <x:c r="Q125" s="22" t="str">
        <x:v>Calibration thresholds · maximum percentages</x:v>
      </x:c>
      <x:c r="R125" s="22" t="str">
        <x:v>Calibration thresholds · maximum percentages</x:v>
      </x:c>
      <x:c r="S125" s="22" t="str">
        <x:v>Calibration thresholds · maximum percentages</x:v>
      </x:c>
      <x:c r="T125" s="22" t="str">
        <x:v>Calibration thresholds · maximum percentages</x:v>
      </x:c>
      <x:c r="U125" s="22" t="str">
        <x:v>Calibration thresholds · maximum percentages</x:v>
      </x:c>
      <x:c r="V125" s="22" t="str">
        <x:v>Calibration thresholds · maximum percentages</x:v>
      </x:c>
      <x:c r="W125" s="22" t="str">
        <x:v>Calibration thresholds · maximum percentages</x:v>
      </x:c>
      <x:c r="X125" s="22" t="str">
        <x:v>Calibration thresholds · maximum percentages</x:v>
      </x:c>
      <x:c r="Y125" s="22" t="str">
        <x:v>Calibration thresholds · maximum percentages</x:v>
      </x:c>
      <x:c r="Z125" s="22" t="str">
        <x:v>Calibration thresholds · maximum percentages</x:v>
      </x:c>
      <x:c r="AA125" s="22" t="str">
        <x:v>Calibration thresholds · maximum percentages</x:v>
      </x:c>
      <x:c r="AB125" s="22" t="str">
        <x:v>Calibration thresholds · maximum percentages</x:v>
      </x:c>
      <x:c r="AC125" s="22" t="str">
        <x:v>Calibration thresholds · maximum percentages</x:v>
      </x:c>
      <x:c r="AD125" s="3"/>
      <x:c r="AE125" s="77"/>
      <x:c r="AF125" s="75"/>
      <x:c r="AG125" s="75"/>
      <x:c r="AH125" s="75"/>
      <x:c r="AI125" s="75"/>
      <x:c r="AJ125" s="75"/>
      <x:c r="AK125" s="75"/>
      <x:c r="AL125" s="75"/>
      <x:c r="AM125" s="75"/>
      <x:c r="AN125" s="75"/>
      <x:c r="AO125" s="75"/>
      <x:c r="AP125" s="75"/>
      <x:c r="AQ125" s="75"/>
      <x:c r="AR125" s="75"/>
      <x:c r="AS125" s="75"/>
      <x:c r="AT125" s="75"/>
      <x:c r="AU125" s="75"/>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4"/>
      <x:c r="DQ125" s="4"/>
      <x:c r="DR125" s="4"/>
      <x:c r="DS125" s="4"/>
      <x:c r="DT125" s="4"/>
      <x:c r="DU125" s="4"/>
      <x:c r="DV125" s="4"/>
      <x:c r="DW125" s="4"/>
      <x:c r="DX125" s="4"/>
      <x:c r="DY125" s="4"/>
      <x:c r="DZ125" s="4"/>
      <x:c r="EA125" s="4"/>
      <x:c r="EB125" s="4"/>
      <x:c r="EC125" s="4"/>
      <x:c r="ED125" s="4"/>
      <x:c r="EE125" s="4"/>
      <x:c r="EF125" s="4"/>
      <x:c r="EG125" s="4"/>
      <x:c r="EH125" s="4"/>
      <x:c r="EI125" s="4"/>
      <x:c r="EJ125" s="4"/>
      <x:c r="EK125" s="4"/>
      <x:c r="EL125" s="4"/>
      <x:c r="EM125" s="4"/>
      <x:c r="EN125" s="4"/>
      <x:c r="EO125" s="4"/>
      <x:c r="EP125" s="4"/>
      <x:c r="EQ125" s="4"/>
      <x:c r="ER125" s="4"/>
      <x:c r="ES125" s="4"/>
      <x:c r="ET125" s="4"/>
      <x:c r="EU125" s="4"/>
      <x:c r="EV125" s="4"/>
      <x:c r="EW125" s="4"/>
      <x:c r="EX125" s="4"/>
      <x:c r="EY125" s="4"/>
      <x:c r="EZ125" s="4"/>
      <x:c r="FA125" s="4"/>
      <x:c r="FB125" s="4"/>
      <x:c r="FC125" s="4"/>
      <x:c r="FD125" s="4"/>
      <x:c r="FE125" s="4"/>
      <x:c r="FF125" s="4"/>
      <x:c r="FG125" s="4"/>
      <x:c r="FH125" s="4"/>
      <x:c r="FI125" s="4"/>
      <x:c r="FJ125" s="4"/>
      <x:c r="FK125" s="4"/>
      <x:c r="FL125" s="4"/>
      <x:c r="FM125" s="4"/>
      <x:c r="FN125" s="4"/>
      <x:c r="FO125" s="4"/>
    </x:row>
    <x:row r="126" ht="18" customHeight="1">
      <x:c r="A126" s="3"/>
      <x:c r="B126" s="22" t="str">
        <x:v>Calibration thresholds · maximum percentages</x:v>
      </x:c>
      <x:c r="C126" s="22" t="str">
        <x:v>Calibration thresholds · maximum percentages</x:v>
      </x:c>
      <x:c r="D126" s="22" t="str">
        <x:v>Calibration thresholds · maximum percentages</x:v>
      </x:c>
      <x:c r="E126" s="22" t="str">
        <x:v>Calibration thresholds · maximum percentages</x:v>
      </x:c>
      <x:c r="F126" s="22" t="str">
        <x:v>Calibration thresholds · maximum percentages</x:v>
      </x:c>
      <x:c r="G126" s="22" t="str">
        <x:v>Calibration thresholds · maximum percentages</x:v>
      </x:c>
      <x:c r="H126" s="22" t="str">
        <x:v>Calibration thresholds · maximum percentages</x:v>
      </x:c>
      <x:c r="I126" s="22" t="str">
        <x:v>Calibration thresholds · maximum percentages</x:v>
      </x:c>
      <x:c r="J126" s="22" t="str">
        <x:v>Calibration thresholds · maximum percentages</x:v>
      </x:c>
      <x:c r="K126" s="22" t="str">
        <x:v>Calibration thresholds · maximum percentages</x:v>
      </x:c>
      <x:c r="L126" s="22" t="str">
        <x:v>Calibration thresholds · maximum percentages</x:v>
      </x:c>
      <x:c r="M126" s="22" t="str">
        <x:v>Calibration thresholds · maximum percentages</x:v>
      </x:c>
      <x:c r="N126" s="22" t="str">
        <x:v>Calibration thresholds · maximum percentages</x:v>
      </x:c>
      <x:c r="O126" s="22" t="str">
        <x:v>Calibration thresholds · maximum percentages</x:v>
      </x:c>
      <x:c r="P126" s="22" t="str">
        <x:v>Calibration thresholds · maximum percentages</x:v>
      </x:c>
      <x:c r="Q126" s="22" t="str">
        <x:v>Calibration thresholds · maximum percentages</x:v>
      </x:c>
      <x:c r="R126" s="22" t="str">
        <x:v>Calibration thresholds · maximum percentages</x:v>
      </x:c>
      <x:c r="S126" s="22" t="str">
        <x:v>Calibration thresholds · maximum percentages</x:v>
      </x:c>
      <x:c r="T126" s="22" t="str">
        <x:v>Calibration thresholds · maximum percentages</x:v>
      </x:c>
      <x:c r="U126" s="22" t="str">
        <x:v>Calibration thresholds · maximum percentages</x:v>
      </x:c>
      <x:c r="V126" s="22" t="str">
        <x:v>Calibration thresholds · maximum percentages</x:v>
      </x:c>
      <x:c r="W126" s="22" t="str">
        <x:v>Calibration thresholds · maximum percentages</x:v>
      </x:c>
      <x:c r="X126" s="22" t="str">
        <x:v>Calibration thresholds · maximum percentages</x:v>
      </x:c>
      <x:c r="Y126" s="22" t="str">
        <x:v>Calibration thresholds · maximum percentages</x:v>
      </x:c>
      <x:c r="Z126" s="22" t="str">
        <x:v>Calibration thresholds · maximum percentages</x:v>
      </x:c>
      <x:c r="AA126" s="22" t="str">
        <x:v>Calibration thresholds · maximum percentages</x:v>
      </x:c>
      <x:c r="AB126" s="22" t="str">
        <x:v>Calibration thresholds · maximum percentages</x:v>
      </x:c>
      <x:c r="AC126" s="22" t="str">
        <x:v>Calibration thresholds · maximum percentages</x:v>
      </x:c>
      <x:c r="AD126" s="3"/>
      <x:c r="AE126" s="77"/>
      <x:c r="AF126" s="75"/>
      <x:c r="AG126" s="75"/>
      <x:c r="AH126" s="75"/>
      <x:c r="AI126" s="75"/>
      <x:c r="AJ126" s="75"/>
      <x:c r="AK126" s="75"/>
      <x:c r="AL126" s="75"/>
      <x:c r="AM126" s="75"/>
      <x:c r="AN126" s="75"/>
      <x:c r="AO126" s="75"/>
      <x:c r="AP126" s="75"/>
      <x:c r="AQ126" s="75"/>
      <x:c r="AR126" s="75"/>
      <x:c r="AS126" s="75"/>
      <x:c r="AT126" s="75"/>
      <x:c r="AU126" s="75"/>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4"/>
      <x:c r="DQ126" s="4"/>
      <x:c r="DR126" s="4"/>
      <x:c r="DS126" s="4"/>
      <x:c r="DT126" s="4"/>
      <x:c r="DU126" s="4"/>
      <x:c r="DV126" s="4"/>
      <x:c r="DW126" s="4"/>
      <x:c r="DX126" s="4"/>
      <x:c r="DY126" s="4"/>
      <x:c r="DZ126" s="4"/>
      <x:c r="EA126" s="4"/>
      <x:c r="EB126" s="4"/>
      <x:c r="EC126" s="4"/>
      <x:c r="ED126" s="4"/>
      <x:c r="EE126" s="4"/>
      <x:c r="EF126" s="4"/>
      <x:c r="EG126" s="4"/>
      <x:c r="EH126" s="4"/>
      <x:c r="EI126" s="4"/>
      <x:c r="EJ126" s="4"/>
      <x:c r="EK126" s="4"/>
      <x:c r="EL126" s="4"/>
      <x:c r="EM126" s="4"/>
      <x:c r="EN126" s="4"/>
      <x:c r="EO126" s="4"/>
      <x:c r="EP126" s="4"/>
      <x:c r="EQ126" s="4"/>
      <x:c r="ER126" s="4"/>
      <x:c r="ES126" s="4"/>
      <x:c r="ET126" s="4"/>
      <x:c r="EU126" s="4"/>
      <x:c r="EV126" s="4"/>
      <x:c r="EW126" s="4"/>
      <x:c r="EX126" s="4"/>
      <x:c r="EY126" s="4"/>
      <x:c r="EZ126" s="4"/>
      <x:c r="FA126" s="4"/>
      <x:c r="FB126" s="4"/>
      <x:c r="FC126" s="4"/>
      <x:c r="FD126" s="4"/>
      <x:c r="FE126" s="4"/>
      <x:c r="FF126" s="4"/>
      <x:c r="FG126" s="4"/>
      <x:c r="FH126" s="4"/>
      <x:c r="FI126" s="4"/>
      <x:c r="FJ126" s="4"/>
      <x:c r="FK126" s="4"/>
      <x:c r="FL126" s="4"/>
      <x:c r="FM126" s="4"/>
      <x:c r="FN126" s="4"/>
      <x:c r="FO126" s="4"/>
    </x:row>
    <x:row r="127" ht="18" customHeight="1">
      <x:c r="A127" s="3"/>
      <x:c r="B127" s="3"/>
      <x:c r="C127" s="3"/>
      <x:c r="D127" s="3"/>
      <x:c r="E127" s="3"/>
      <x:c r="F127" s="3"/>
      <x:c r="G127" s="3"/>
      <x:c r="H127" s="3"/>
      <x:c r="I127" s="3"/>
      <x:c r="J127" s="3"/>
      <x:c r="K127" s="3"/>
      <x:c r="L127" s="3"/>
      <x:c r="M127" s="3"/>
      <x:c r="N127" s="3"/>
      <x:c r="O127" s="3"/>
      <x:c r="P127" s="3"/>
      <x:c r="Q127" s="3"/>
      <x:c r="R127" s="3"/>
      <x:c r="S127" s="3"/>
      <x:c r="T127" s="3"/>
      <x:c r="U127" s="3"/>
      <x:c r="V127" s="3"/>
      <x:c r="W127" s="3"/>
      <x:c r="X127" s="3"/>
      <x:c r="Y127" s="3"/>
      <x:c r="Z127" s="3"/>
      <x:c r="AA127" s="3"/>
      <x:c r="AB127" s="3"/>
      <x:c r="AC127" s="3"/>
      <x:c r="AD127" s="3"/>
      <x:c r="AE127" s="77"/>
      <x:c r="AF127" s="75"/>
      <x:c r="AG127" s="75"/>
      <x:c r="AH127" s="75"/>
      <x:c r="AI127" s="75"/>
      <x:c r="AJ127" s="75"/>
      <x:c r="AK127" s="75"/>
      <x:c r="AL127" s="75"/>
      <x:c r="AM127" s="75"/>
      <x:c r="AN127" s="75"/>
      <x:c r="AO127" s="75"/>
      <x:c r="AP127" s="75"/>
      <x:c r="AQ127" s="75"/>
      <x:c r="AR127" s="75"/>
      <x:c r="AS127" s="75"/>
      <x:c r="AT127" s="75"/>
      <x:c r="AU127" s="75"/>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4"/>
      <x:c r="DQ127" s="4"/>
      <x:c r="DR127" s="4"/>
      <x:c r="DS127" s="4"/>
      <x:c r="DT127" s="4"/>
      <x:c r="DU127" s="4"/>
      <x:c r="DV127" s="4"/>
      <x:c r="DW127" s="4"/>
      <x:c r="DX127" s="4"/>
      <x:c r="DY127" s="4"/>
      <x:c r="DZ127" s="4"/>
      <x:c r="EA127" s="4"/>
      <x:c r="EB127" s="4"/>
      <x:c r="EC127" s="4"/>
      <x:c r="ED127" s="4"/>
      <x:c r="EE127" s="4"/>
      <x:c r="EF127" s="4"/>
      <x:c r="EG127" s="4"/>
      <x:c r="EH127" s="4"/>
      <x:c r="EI127" s="4"/>
      <x:c r="EJ127" s="4"/>
      <x:c r="EK127" s="4"/>
      <x:c r="EL127" s="4"/>
      <x:c r="EM127" s="4"/>
      <x:c r="EN127" s="4"/>
      <x:c r="EO127" s="4"/>
      <x:c r="EP127" s="4"/>
      <x:c r="EQ127" s="4"/>
      <x:c r="ER127" s="4"/>
      <x:c r="ES127" s="4"/>
      <x:c r="ET127" s="4"/>
      <x:c r="EU127" s="4"/>
      <x:c r="EV127" s="4"/>
      <x:c r="EW127" s="4"/>
      <x:c r="EX127" s="4"/>
      <x:c r="EY127" s="4"/>
      <x:c r="EZ127" s="4"/>
      <x:c r="FA127" s="4"/>
      <x:c r="FB127" s="4"/>
      <x:c r="FC127" s="4"/>
      <x:c r="FD127" s="4"/>
      <x:c r="FE127" s="4"/>
      <x:c r="FF127" s="4"/>
      <x:c r="FG127" s="4"/>
      <x:c r="FH127" s="4"/>
      <x:c r="FI127" s="4"/>
      <x:c r="FJ127" s="4"/>
      <x:c r="FK127" s="4"/>
      <x:c r="FL127" s="4"/>
      <x:c r="FM127" s="4"/>
      <x:c r="FN127" s="4"/>
      <x:c r="FO127" s="4"/>
    </x:row>
    <x:row r="128" ht="18" customHeight="1">
      <x:c r="A128" s="3"/>
      <x:c r="B128" s="53" t="str">
        <x:v>Dimension</x:v>
      </x:c>
      <x:c r="C128" s="53" t="str">
        <x:v>Dimension</x:v>
      </x:c>
      <x:c r="D128" s="53" t="str">
        <x:v>Dimension</x:v>
      </x:c>
      <x:c r="E128" s="53" t="str">
        <x:v>Dimension</x:v>
      </x:c>
      <x:c r="F128" s="53" t="str">
        <x:v>Officer category</x:v>
      </x:c>
      <x:c r="G128" s="53" t="str">
        <x:v>Officer category</x:v>
      </x:c>
      <x:c r="H128" s="53" t="str">
        <x:v>Officer category</x:v>
      </x:c>
      <x:c r="I128" s="53" t="str">
        <x:v>Officer category</x:v>
      </x:c>
      <x:c r="J128" s="53" t="str">
        <x:v>Officer category</x:v>
      </x:c>
      <x:c r="K128" s="53" t="str">
        <x:v>Officer category</x:v>
      </x:c>
      <x:c r="L128" s="53" t="str">
        <x:v>Officer category</x:v>
      </x:c>
      <x:c r="M128" s="53" t="str">
        <x:v>Officer category</x:v>
      </x:c>
      <x:c r="N128" s="53" t="str">
        <x:v>1</x:v>
      </x:c>
      <x:c r="O128" s="53" t="str">
        <x:v>1</x:v>
      </x:c>
      <x:c r="P128" s="53" t="str">
        <x:v>2</x:v>
      </x:c>
      <x:c r="Q128" s="53" t="str">
        <x:v>2</x:v>
      </x:c>
      <x:c r="R128" s="53" t="str">
        <x:v>3</x:v>
      </x:c>
      <x:c r="S128" s="53" t="str">
        <x:v>3</x:v>
      </x:c>
      <x:c r="T128" s="53" t="str">
        <x:v>4</x:v>
      </x:c>
      <x:c r="U128" s="53" t="str">
        <x:v>4</x:v>
      </x:c>
      <x:c r="V128" s="3"/>
      <x:c r="W128" s="3"/>
      <x:c r="X128" s="53" t="str">
        <x:v>Sum of caps</x:v>
      </x:c>
      <x:c r="Y128" s="53" t="str">
        <x:v>Sum of caps</x:v>
      </x:c>
      <x:c r="Z128" s="53" t="str">
        <x:v>Sum of caps</x:v>
      </x:c>
      <x:c r="AA128" s="53" t="str">
        <x:v>Sum of caps</x:v>
      </x:c>
      <x:c r="AB128" s="53" t="str">
        <x:v>Sum of caps</x:v>
      </x:c>
      <x:c r="AC128" s="53" t="str">
        <x:v>Sum of caps</x:v>
      </x:c>
      <x:c r="AD128" s="3"/>
      <x:c r="AE128" s="77"/>
      <x:c r="AF128" s="75"/>
      <x:c r="AG128" s="75"/>
      <x:c r="AH128" s="75"/>
      <x:c r="AI128" s="75"/>
      <x:c r="AJ128" s="75"/>
      <x:c r="AK128" s="75"/>
      <x:c r="AL128" s="75"/>
      <x:c r="AM128" s="75"/>
      <x:c r="AN128" s="75"/>
      <x:c r="AO128" s="75"/>
      <x:c r="AP128" s="75"/>
      <x:c r="AQ128" s="75"/>
      <x:c r="AR128" s="75"/>
      <x:c r="AS128" s="75"/>
      <x:c r="AT128" s="75"/>
      <x:c r="AU128" s="75"/>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4"/>
      <x:c r="DQ128" s="4"/>
      <x:c r="DR128" s="4"/>
      <x:c r="DS128" s="4"/>
      <x:c r="DT128" s="4"/>
      <x:c r="DU128" s="4"/>
      <x:c r="DV128" s="4"/>
      <x:c r="DW128" s="4"/>
      <x:c r="DX128" s="4"/>
      <x:c r="DY128" s="4"/>
      <x:c r="DZ128" s="4"/>
      <x:c r="EA128" s="4"/>
      <x:c r="EB128" s="4"/>
      <x:c r="EC128" s="4"/>
      <x:c r="ED128" s="4"/>
      <x:c r="EE128" s="4"/>
      <x:c r="EF128" s="4"/>
      <x:c r="EG128" s="4"/>
      <x:c r="EH128" s="4"/>
      <x:c r="EI128" s="4"/>
      <x:c r="EJ128" s="4"/>
      <x:c r="EK128" s="4"/>
      <x:c r="EL128" s="4"/>
      <x:c r="EM128" s="4"/>
      <x:c r="EN128" s="4"/>
      <x:c r="EO128" s="4"/>
      <x:c r="EP128" s="4"/>
      <x:c r="EQ128" s="4"/>
      <x:c r="ER128" s="4"/>
      <x:c r="ES128" s="4"/>
      <x:c r="ET128" s="4"/>
      <x:c r="EU128" s="4"/>
      <x:c r="EV128" s="4"/>
      <x:c r="EW128" s="4"/>
      <x:c r="EX128" s="4"/>
      <x:c r="EY128" s="4"/>
      <x:c r="EZ128" s="4"/>
      <x:c r="FA128" s="4"/>
      <x:c r="FB128" s="4"/>
      <x:c r="FC128" s="4"/>
      <x:c r="FD128" s="4"/>
      <x:c r="FE128" s="4"/>
      <x:c r="FF128" s="4"/>
      <x:c r="FG128" s="4"/>
      <x:c r="FH128" s="4"/>
      <x:c r="FI128" s="4"/>
      <x:c r="FJ128" s="4"/>
      <x:c r="FK128" s="4"/>
      <x:c r="FL128" s="4"/>
      <x:c r="FM128" s="4"/>
      <x:c r="FN128" s="4"/>
      <x:c r="FO128" s="4"/>
    </x:row>
    <x:row r="129" ht="27" customHeight="1">
      <x:c r="A129" s="3"/>
      <x:c r="B129" s="40" t="str">
        <x:v>What</x:v>
      </x:c>
      <x:c r="C129" s="40"/>
      <x:c r="D129" s="40"/>
      <x:c r="E129" s="40"/>
      <x:c r="F129" s="40" t="str">
        <x:v>MANAGING DIRECTOR</x:v>
      </x:c>
      <x:c r="G129" s="40"/>
      <x:c r="H129" s="40"/>
      <x:c r="I129" s="40"/>
      <x:c r="J129" s="40"/>
      <x:c r="K129" s="40"/>
      <x:c r="L129" s="40"/>
      <x:c r="M129" s="40"/>
      <x:c r="N129" s="56" t="n">
        <x:v>0.1</x:v>
      </x:c>
      <x:c r="O129" s="40"/>
      <x:c r="P129" s="56" t="n">
        <x:v>0.3</x:v>
      </x:c>
      <x:c r="Q129" s="40"/>
      <x:c r="R129" s="56" t="n">
        <x:v>0.65</x:v>
      </x:c>
      <x:c r="S129" s="40"/>
      <x:c r="T129" s="56" t="n">
        <x:v>0.07</x:v>
      </x:c>
      <x:c r="U129" s="40"/>
      <x:c r="V129" s="3"/>
      <x:c r="W129" s="3"/>
      <x:c r="X129" s="40" t="str">
        <x:f>'Calculations'!$GX$129</x:f>
        <x:v>112% - separate caps</x:v>
      </x:c>
      <x:c r="Y129" s="40"/>
      <x:c r="Z129" s="40"/>
      <x:c r="AA129" s="40"/>
      <x:c r="AB129" s="40"/>
      <x:c r="AC129" s="40"/>
      <x:c r="AD129" s="3"/>
      <x:c r="AE129" s="77"/>
      <x:c r="AF129" s="75"/>
      <x:c r="AG129" s="75"/>
      <x:c r="AH129" s="75"/>
      <x:c r="AI129" s="75"/>
      <x:c r="AJ129" s="75"/>
      <x:c r="AK129" s="75"/>
      <x:c r="AL129" s="75"/>
      <x:c r="AM129" s="75"/>
      <x:c r="AN129" s="75"/>
      <x:c r="AO129" s="75"/>
      <x:c r="AP129" s="75"/>
      <x:c r="AQ129" s="75"/>
      <x:c r="AR129" s="75"/>
      <x:c r="AS129" s="75"/>
      <x:c r="AT129" s="75"/>
      <x:c r="AU129" s="75"/>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4"/>
      <x:c r="DQ129" s="4"/>
      <x:c r="DR129" s="4"/>
      <x:c r="DS129" s="4"/>
      <x:c r="DT129" s="4"/>
      <x:c r="DU129" s="4"/>
      <x:c r="DV129" s="4"/>
      <x:c r="DW129" s="4"/>
      <x:c r="DX129" s="4"/>
      <x:c r="DY129" s="4"/>
      <x:c r="DZ129" s="4"/>
      <x:c r="EA129" s="4"/>
      <x:c r="EB129" s="4"/>
      <x:c r="EC129" s="4"/>
      <x:c r="ED129" s="4"/>
      <x:c r="EE129" s="4"/>
      <x:c r="EF129" s="4"/>
      <x:c r="EG129" s="4"/>
      <x:c r="EH129" s="4"/>
      <x:c r="EI129" s="4"/>
      <x:c r="EJ129" s="4"/>
      <x:c r="EK129" s="4"/>
      <x:c r="EL129" s="4"/>
      <x:c r="EM129" s="4"/>
      <x:c r="EN129" s="4"/>
      <x:c r="EO129" s="4"/>
      <x:c r="EP129" s="4"/>
      <x:c r="EQ129" s="4"/>
      <x:c r="ER129" s="4"/>
      <x:c r="ES129" s="4"/>
      <x:c r="ET129" s="4"/>
      <x:c r="EU129" s="4"/>
      <x:c r="EV129" s="4"/>
      <x:c r="EW129" s="4"/>
      <x:c r="EX129" s="4"/>
      <x:c r="EY129" s="4"/>
      <x:c r="EZ129" s="4"/>
      <x:c r="FA129" s="4"/>
      <x:c r="FB129" s="4"/>
      <x:c r="FC129" s="4"/>
      <x:c r="FD129" s="4"/>
      <x:c r="FE129" s="4"/>
      <x:c r="FF129" s="4"/>
      <x:c r="FG129" s="4"/>
      <x:c r="FH129" s="4"/>
      <x:c r="FI129" s="4"/>
      <x:c r="FJ129" s="4"/>
      <x:c r="FK129" s="4"/>
      <x:c r="FL129" s="4"/>
      <x:c r="FM129" s="4"/>
      <x:c r="FN129" s="4"/>
      <x:c r="FO129" s="4"/>
    </x:row>
    <x:row r="130" ht="27" customHeight="1">
      <x:c r="A130" s="3"/>
      <x:c r="B130" s="45" t="str">
        <x:v>What</x:v>
      </x:c>
      <x:c r="C130" s="45"/>
      <x:c r="D130" s="45"/>
      <x:c r="E130" s="45"/>
      <x:c r="F130" s="45" t="str">
        <x:v>DIRECTOR</x:v>
      </x:c>
      <x:c r="G130" s="45"/>
      <x:c r="H130" s="45"/>
      <x:c r="I130" s="45"/>
      <x:c r="J130" s="45"/>
      <x:c r="K130" s="45"/>
      <x:c r="L130" s="45"/>
      <x:c r="M130" s="45"/>
      <x:c r="N130" s="56" t="n">
        <x:v>0.1</x:v>
      </x:c>
      <x:c r="O130" s="45"/>
      <x:c r="P130" s="56" t="n">
        <x:v>0.3</x:v>
      </x:c>
      <x:c r="Q130" s="45"/>
      <x:c r="R130" s="56" t="n">
        <x:v>0.65</x:v>
      </x:c>
      <x:c r="S130" s="45"/>
      <x:c r="T130" s="56" t="n">
        <x:v>0.07</x:v>
      </x:c>
      <x:c r="U130" s="45"/>
      <x:c r="V130" s="3"/>
      <x:c r="W130" s="3"/>
      <x:c r="X130" s="45" t="str">
        <x:f>'Calculations'!$GX$130</x:f>
        <x:v>112% - separate caps</x:v>
      </x:c>
      <x:c r="Y130" s="45"/>
      <x:c r="Z130" s="45"/>
      <x:c r="AA130" s="45"/>
      <x:c r="AB130" s="45"/>
      <x:c r="AC130" s="45"/>
      <x:c r="AD130" s="3"/>
      <x:c r="AE130" s="77"/>
      <x:c r="AF130" s="75"/>
      <x:c r="AG130" s="75"/>
      <x:c r="AH130" s="75"/>
      <x:c r="AI130" s="75"/>
      <x:c r="AJ130" s="75"/>
      <x:c r="AK130" s="75"/>
      <x:c r="AL130" s="75"/>
      <x:c r="AM130" s="75"/>
      <x:c r="AN130" s="75"/>
      <x:c r="AO130" s="75"/>
      <x:c r="AP130" s="75"/>
      <x:c r="AQ130" s="75"/>
      <x:c r="AR130" s="75"/>
      <x:c r="AS130" s="75"/>
      <x:c r="AT130" s="75"/>
      <x:c r="AU130" s="75"/>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4"/>
      <x:c r="DQ130" s="4"/>
      <x:c r="DR130" s="4"/>
      <x:c r="DS130" s="4"/>
      <x:c r="DT130" s="4"/>
      <x:c r="DU130" s="4"/>
      <x:c r="DV130" s="4"/>
      <x:c r="DW130" s="4"/>
      <x:c r="DX130" s="4"/>
      <x:c r="DY130" s="4"/>
      <x:c r="DZ130" s="4"/>
      <x:c r="EA130" s="4"/>
      <x:c r="EB130" s="4"/>
      <x:c r="EC130" s="4"/>
      <x:c r="ED130" s="4"/>
      <x:c r="EE130" s="4"/>
      <x:c r="EF130" s="4"/>
      <x:c r="EG130" s="4"/>
      <x:c r="EH130" s="4"/>
      <x:c r="EI130" s="4"/>
      <x:c r="EJ130" s="4"/>
      <x:c r="EK130" s="4"/>
      <x:c r="EL130" s="4"/>
      <x:c r="EM130" s="4"/>
      <x:c r="EN130" s="4"/>
      <x:c r="EO130" s="4"/>
      <x:c r="EP130" s="4"/>
      <x:c r="EQ130" s="4"/>
      <x:c r="ER130" s="4"/>
      <x:c r="ES130" s="4"/>
      <x:c r="ET130" s="4"/>
      <x:c r="EU130" s="4"/>
      <x:c r="EV130" s="4"/>
      <x:c r="EW130" s="4"/>
      <x:c r="EX130" s="4"/>
      <x:c r="EY130" s="4"/>
      <x:c r="EZ130" s="4"/>
      <x:c r="FA130" s="4"/>
      <x:c r="FB130" s="4"/>
      <x:c r="FC130" s="4"/>
      <x:c r="FD130" s="4"/>
      <x:c r="FE130" s="4"/>
      <x:c r="FF130" s="4"/>
      <x:c r="FG130" s="4"/>
      <x:c r="FH130" s="4"/>
      <x:c r="FI130" s="4"/>
      <x:c r="FJ130" s="4"/>
      <x:c r="FK130" s="4"/>
      <x:c r="FL130" s="4"/>
      <x:c r="FM130" s="4"/>
      <x:c r="FN130" s="4"/>
      <x:c r="FO130" s="4"/>
    </x:row>
    <x:row r="131" ht="27" customHeight="1">
      <x:c r="A131" s="3"/>
      <x:c r="B131" s="40" t="str">
        <x:v>What</x:v>
      </x:c>
      <x:c r="C131" s="40"/>
      <x:c r="D131" s="40"/>
      <x:c r="E131" s="40"/>
      <x:c r="F131" s="40" t="str">
        <x:v>SENIOR VICE PRESIDENT</x:v>
      </x:c>
      <x:c r="G131" s="40"/>
      <x:c r="H131" s="40"/>
      <x:c r="I131" s="40"/>
      <x:c r="J131" s="40"/>
      <x:c r="K131" s="40"/>
      <x:c r="L131" s="40"/>
      <x:c r="M131" s="40"/>
      <x:c r="N131" s="56" t="n">
        <x:v>0.1</x:v>
      </x:c>
      <x:c r="O131" s="40"/>
      <x:c r="P131" s="56" t="n">
        <x:v>0.3</x:v>
      </x:c>
      <x:c r="Q131" s="40"/>
      <x:c r="R131" s="56" t="n">
        <x:v>0.65</x:v>
      </x:c>
      <x:c r="S131" s="40"/>
      <x:c r="T131" s="56" t="n">
        <x:v>0.07</x:v>
      </x:c>
      <x:c r="U131" s="40"/>
      <x:c r="V131" s="3"/>
      <x:c r="W131" s="3"/>
      <x:c r="X131" s="40" t="str">
        <x:f>'Calculations'!$GX$131</x:f>
        <x:v>112% - separate caps</x:v>
      </x:c>
      <x:c r="Y131" s="40"/>
      <x:c r="Z131" s="40"/>
      <x:c r="AA131" s="40"/>
      <x:c r="AB131" s="40"/>
      <x:c r="AC131" s="40"/>
      <x:c r="AD131" s="3"/>
      <x:c r="AE131" s="77"/>
      <x:c r="AF131" s="75"/>
      <x:c r="AG131" s="75"/>
      <x:c r="AH131" s="75"/>
      <x:c r="AI131" s="75"/>
      <x:c r="AJ131" s="75"/>
      <x:c r="AK131" s="75"/>
      <x:c r="AL131" s="75"/>
      <x:c r="AM131" s="75"/>
      <x:c r="AN131" s="75"/>
      <x:c r="AO131" s="75"/>
      <x:c r="AP131" s="75"/>
      <x:c r="AQ131" s="75"/>
      <x:c r="AR131" s="75"/>
      <x:c r="AS131" s="75"/>
      <x:c r="AT131" s="75"/>
      <x:c r="AU131" s="75"/>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4"/>
      <x:c r="DQ131" s="4"/>
      <x:c r="DR131" s="4"/>
      <x:c r="DS131" s="4"/>
      <x:c r="DT131" s="4"/>
      <x:c r="DU131" s="4"/>
      <x:c r="DV131" s="4"/>
      <x:c r="DW131" s="4"/>
      <x:c r="DX131" s="4"/>
      <x:c r="DY131" s="4"/>
      <x:c r="DZ131" s="4"/>
      <x:c r="EA131" s="4"/>
      <x:c r="EB131" s="4"/>
      <x:c r="EC131" s="4"/>
      <x:c r="ED131" s="4"/>
      <x:c r="EE131" s="4"/>
      <x:c r="EF131" s="4"/>
      <x:c r="EG131" s="4"/>
      <x:c r="EH131" s="4"/>
      <x:c r="EI131" s="4"/>
      <x:c r="EJ131" s="4"/>
      <x:c r="EK131" s="4"/>
      <x:c r="EL131" s="4"/>
      <x:c r="EM131" s="4"/>
      <x:c r="EN131" s="4"/>
      <x:c r="EO131" s="4"/>
      <x:c r="EP131" s="4"/>
      <x:c r="EQ131" s="4"/>
      <x:c r="ER131" s="4"/>
      <x:c r="ES131" s="4"/>
      <x:c r="ET131" s="4"/>
      <x:c r="EU131" s="4"/>
      <x:c r="EV131" s="4"/>
      <x:c r="EW131" s="4"/>
      <x:c r="EX131" s="4"/>
      <x:c r="EY131" s="4"/>
      <x:c r="EZ131" s="4"/>
      <x:c r="FA131" s="4"/>
      <x:c r="FB131" s="4"/>
      <x:c r="FC131" s="4"/>
      <x:c r="FD131" s="4"/>
      <x:c r="FE131" s="4"/>
      <x:c r="FF131" s="4"/>
      <x:c r="FG131" s="4"/>
      <x:c r="FH131" s="4"/>
      <x:c r="FI131" s="4"/>
      <x:c r="FJ131" s="4"/>
      <x:c r="FK131" s="4"/>
      <x:c r="FL131" s="4"/>
      <x:c r="FM131" s="4"/>
      <x:c r="FN131" s="4"/>
      <x:c r="FO131" s="4"/>
    </x:row>
    <x:row r="132" ht="27" customHeight="1">
      <x:c r="A132" s="3"/>
      <x:c r="B132" s="45" t="str">
        <x:v>What</x:v>
      </x:c>
      <x:c r="C132" s="45"/>
      <x:c r="D132" s="45"/>
      <x:c r="E132" s="45"/>
      <x:c r="F132" s="45" t="str">
        <x:v>VICE PRESIDENT</x:v>
      </x:c>
      <x:c r="G132" s="45"/>
      <x:c r="H132" s="45"/>
      <x:c r="I132" s="45"/>
      <x:c r="J132" s="45"/>
      <x:c r="K132" s="45"/>
      <x:c r="L132" s="45"/>
      <x:c r="M132" s="45"/>
      <x:c r="N132" s="56" t="n">
        <x:v>0.1</x:v>
      </x:c>
      <x:c r="O132" s="45"/>
      <x:c r="P132" s="56" t="n">
        <x:v>0.3</x:v>
      </x:c>
      <x:c r="Q132" s="45"/>
      <x:c r="R132" s="56" t="n">
        <x:v>0.65</x:v>
      </x:c>
      <x:c r="S132" s="45"/>
      <x:c r="T132" s="56" t="n">
        <x:v>0.07</x:v>
      </x:c>
      <x:c r="U132" s="45"/>
      <x:c r="V132" s="3"/>
      <x:c r="W132" s="3"/>
      <x:c r="X132" s="45" t="str">
        <x:f>'Calculations'!$GX$132</x:f>
        <x:v>112% - separate caps</x:v>
      </x:c>
      <x:c r="Y132" s="45"/>
      <x:c r="Z132" s="45"/>
      <x:c r="AA132" s="45"/>
      <x:c r="AB132" s="45"/>
      <x:c r="AC132" s="45"/>
      <x:c r="AD132" s="3"/>
      <x:c r="AE132" s="77"/>
      <x:c r="AF132" s="75"/>
      <x:c r="AG132" s="75"/>
      <x:c r="AH132" s="75"/>
      <x:c r="AI132" s="75"/>
      <x:c r="AJ132" s="75"/>
      <x:c r="AK132" s="75"/>
      <x:c r="AL132" s="75"/>
      <x:c r="AM132" s="75"/>
      <x:c r="AN132" s="75"/>
      <x:c r="AO132" s="75"/>
      <x:c r="AP132" s="75"/>
      <x:c r="AQ132" s="75"/>
      <x:c r="AR132" s="75"/>
      <x:c r="AS132" s="75"/>
      <x:c r="AT132" s="75"/>
      <x:c r="AU132" s="75"/>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4"/>
      <x:c r="DQ132" s="4"/>
      <x:c r="DR132" s="4"/>
      <x:c r="DS132" s="4"/>
      <x:c r="DT132" s="4"/>
      <x:c r="DU132" s="4"/>
      <x:c r="DV132" s="4"/>
      <x:c r="DW132" s="4"/>
      <x:c r="DX132" s="4"/>
      <x:c r="DY132" s="4"/>
      <x:c r="DZ132" s="4"/>
      <x:c r="EA132" s="4"/>
      <x:c r="EB132" s="4"/>
      <x:c r="EC132" s="4"/>
      <x:c r="ED132" s="4"/>
      <x:c r="EE132" s="4"/>
      <x:c r="EF132" s="4"/>
      <x:c r="EG132" s="4"/>
      <x:c r="EH132" s="4"/>
      <x:c r="EI132" s="4"/>
      <x:c r="EJ132" s="4"/>
      <x:c r="EK132" s="4"/>
      <x:c r="EL132" s="4"/>
      <x:c r="EM132" s="4"/>
      <x:c r="EN132" s="4"/>
      <x:c r="EO132" s="4"/>
      <x:c r="EP132" s="4"/>
      <x:c r="EQ132" s="4"/>
      <x:c r="ER132" s="4"/>
      <x:c r="ES132" s="4"/>
      <x:c r="ET132" s="4"/>
      <x:c r="EU132" s="4"/>
      <x:c r="EV132" s="4"/>
      <x:c r="EW132" s="4"/>
      <x:c r="EX132" s="4"/>
      <x:c r="EY132" s="4"/>
      <x:c r="EZ132" s="4"/>
      <x:c r="FA132" s="4"/>
      <x:c r="FB132" s="4"/>
      <x:c r="FC132" s="4"/>
      <x:c r="FD132" s="4"/>
      <x:c r="FE132" s="4"/>
      <x:c r="FF132" s="4"/>
      <x:c r="FG132" s="4"/>
      <x:c r="FH132" s="4"/>
      <x:c r="FI132" s="4"/>
      <x:c r="FJ132" s="4"/>
      <x:c r="FK132" s="4"/>
      <x:c r="FL132" s="4"/>
      <x:c r="FM132" s="4"/>
      <x:c r="FN132" s="4"/>
      <x:c r="FO132" s="4"/>
    </x:row>
    <x:row r="133" ht="27" customHeight="1">
      <x:c r="A133" s="3"/>
      <x:c r="B133" s="40" t="str">
        <x:v>What</x:v>
      </x:c>
      <x:c r="C133" s="40"/>
      <x:c r="D133" s="40"/>
      <x:c r="E133" s="40"/>
      <x:c r="F133" s="40" t="str">
        <x:v>ASSISTANT VICE PRESIDENT</x:v>
      </x:c>
      <x:c r="G133" s="40"/>
      <x:c r="H133" s="40"/>
      <x:c r="I133" s="40"/>
      <x:c r="J133" s="40"/>
      <x:c r="K133" s="40"/>
      <x:c r="L133" s="40"/>
      <x:c r="M133" s="40"/>
      <x:c r="N133" s="56" t="n">
        <x:v>0.1</x:v>
      </x:c>
      <x:c r="O133" s="40"/>
      <x:c r="P133" s="56" t="n">
        <x:v>0.3</x:v>
      </x:c>
      <x:c r="Q133" s="40"/>
      <x:c r="R133" s="56" t="n">
        <x:v>0.65</x:v>
      </x:c>
      <x:c r="S133" s="40"/>
      <x:c r="T133" s="56" t="n">
        <x:v>0.07</x:v>
      </x:c>
      <x:c r="U133" s="40"/>
      <x:c r="V133" s="3"/>
      <x:c r="W133" s="3"/>
      <x:c r="X133" s="40" t="str">
        <x:f>'Calculations'!$GX$133</x:f>
        <x:v>112% - separate caps</x:v>
      </x:c>
      <x:c r="Y133" s="40"/>
      <x:c r="Z133" s="40"/>
      <x:c r="AA133" s="40"/>
      <x:c r="AB133" s="40"/>
      <x:c r="AC133" s="40"/>
      <x:c r="AD133" s="3"/>
      <x:c r="AE133" s="77"/>
      <x:c r="AF133" s="75"/>
      <x:c r="AG133" s="75"/>
      <x:c r="AH133" s="75"/>
      <x:c r="AI133" s="75"/>
      <x:c r="AJ133" s="75"/>
      <x:c r="AK133" s="75"/>
      <x:c r="AL133" s="75"/>
      <x:c r="AM133" s="75"/>
      <x:c r="AN133" s="75"/>
      <x:c r="AO133" s="75"/>
      <x:c r="AP133" s="75"/>
      <x:c r="AQ133" s="75"/>
      <x:c r="AR133" s="75"/>
      <x:c r="AS133" s="75"/>
      <x:c r="AT133" s="75"/>
      <x:c r="AU133" s="75"/>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4"/>
      <x:c r="DQ133" s="4"/>
      <x:c r="DR133" s="4"/>
      <x:c r="DS133" s="4"/>
      <x:c r="DT133" s="4"/>
      <x:c r="DU133" s="4"/>
      <x:c r="DV133" s="4"/>
      <x:c r="DW133" s="4"/>
      <x:c r="DX133" s="4"/>
      <x:c r="DY133" s="4"/>
      <x:c r="DZ133" s="4"/>
      <x:c r="EA133" s="4"/>
      <x:c r="EB133" s="4"/>
      <x:c r="EC133" s="4"/>
      <x:c r="ED133" s="4"/>
      <x:c r="EE133" s="4"/>
      <x:c r="EF133" s="4"/>
      <x:c r="EG133" s="4"/>
      <x:c r="EH133" s="4"/>
      <x:c r="EI133" s="4"/>
      <x:c r="EJ133" s="4"/>
      <x:c r="EK133" s="4"/>
      <x:c r="EL133" s="4"/>
      <x:c r="EM133" s="4"/>
      <x:c r="EN133" s="4"/>
      <x:c r="EO133" s="4"/>
      <x:c r="EP133" s="4"/>
      <x:c r="EQ133" s="4"/>
      <x:c r="ER133" s="4"/>
      <x:c r="ES133" s="4"/>
      <x:c r="ET133" s="4"/>
      <x:c r="EU133" s="4"/>
      <x:c r="EV133" s="4"/>
      <x:c r="EW133" s="4"/>
      <x:c r="EX133" s="4"/>
      <x:c r="EY133" s="4"/>
      <x:c r="EZ133" s="4"/>
      <x:c r="FA133" s="4"/>
      <x:c r="FB133" s="4"/>
      <x:c r="FC133" s="4"/>
      <x:c r="FD133" s="4"/>
      <x:c r="FE133" s="4"/>
      <x:c r="FF133" s="4"/>
      <x:c r="FG133" s="4"/>
      <x:c r="FH133" s="4"/>
      <x:c r="FI133" s="4"/>
      <x:c r="FJ133" s="4"/>
      <x:c r="FK133" s="4"/>
      <x:c r="FL133" s="4"/>
      <x:c r="FM133" s="4"/>
      <x:c r="FN133" s="4"/>
      <x:c r="FO133" s="4"/>
    </x:row>
    <x:row r="134" ht="27" customHeight="1">
      <x:c r="A134" s="3"/>
      <x:c r="B134" s="45" t="str">
        <x:v>What</x:v>
      </x:c>
      <x:c r="C134" s="45"/>
      <x:c r="D134" s="45"/>
      <x:c r="E134" s="45"/>
      <x:c r="F134" s="45" t="str">
        <x:v>OFFICER</x:v>
      </x:c>
      <x:c r="G134" s="45"/>
      <x:c r="H134" s="45"/>
      <x:c r="I134" s="45"/>
      <x:c r="J134" s="45"/>
      <x:c r="K134" s="45"/>
      <x:c r="L134" s="45"/>
      <x:c r="M134" s="45"/>
      <x:c r="N134" s="56" t="n">
        <x:v>0.1</x:v>
      </x:c>
      <x:c r="O134" s="45"/>
      <x:c r="P134" s="56" t="n">
        <x:v>0.3</x:v>
      </x:c>
      <x:c r="Q134" s="45"/>
      <x:c r="R134" s="56" t="n">
        <x:v>0.65</x:v>
      </x:c>
      <x:c r="S134" s="45"/>
      <x:c r="T134" s="56" t="n">
        <x:v>0.07</x:v>
      </x:c>
      <x:c r="U134" s="45"/>
      <x:c r="V134" s="3"/>
      <x:c r="W134" s="3"/>
      <x:c r="X134" s="45" t="str">
        <x:f>'Calculations'!$GX$134</x:f>
        <x:v>112% - separate caps</x:v>
      </x:c>
      <x:c r="Y134" s="45"/>
      <x:c r="Z134" s="45"/>
      <x:c r="AA134" s="45"/>
      <x:c r="AB134" s="45"/>
      <x:c r="AC134" s="45"/>
      <x:c r="AD134" s="3"/>
      <x:c r="AE134" s="77"/>
      <x:c r="AF134" s="75"/>
      <x:c r="AG134" s="75"/>
      <x:c r="AH134" s="75"/>
      <x:c r="AI134" s="75"/>
      <x:c r="AJ134" s="75"/>
      <x:c r="AK134" s="75"/>
      <x:c r="AL134" s="75"/>
      <x:c r="AM134" s="75"/>
      <x:c r="AN134" s="75"/>
      <x:c r="AO134" s="75"/>
      <x:c r="AP134" s="75"/>
      <x:c r="AQ134" s="75"/>
      <x:c r="AR134" s="75"/>
      <x:c r="AS134" s="75"/>
      <x:c r="AT134" s="75"/>
      <x:c r="AU134" s="75"/>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4"/>
      <x:c r="DQ134" s="4"/>
      <x:c r="DR134" s="4"/>
      <x:c r="DS134" s="4"/>
      <x:c r="DT134" s="4"/>
      <x:c r="DU134" s="4"/>
      <x:c r="DV134" s="4"/>
      <x:c r="DW134" s="4"/>
      <x:c r="DX134" s="4"/>
      <x:c r="DY134" s="4"/>
      <x:c r="DZ134" s="4"/>
      <x:c r="EA134" s="4"/>
      <x:c r="EB134" s="4"/>
      <x:c r="EC134" s="4"/>
      <x:c r="ED134" s="4"/>
      <x:c r="EE134" s="4"/>
      <x:c r="EF134" s="4"/>
      <x:c r="EG134" s="4"/>
      <x:c r="EH134" s="4"/>
      <x:c r="EI134" s="4"/>
      <x:c r="EJ134" s="4"/>
      <x:c r="EK134" s="4"/>
      <x:c r="EL134" s="4"/>
      <x:c r="EM134" s="4"/>
      <x:c r="EN134" s="4"/>
      <x:c r="EO134" s="4"/>
      <x:c r="EP134" s="4"/>
      <x:c r="EQ134" s="4"/>
      <x:c r="ER134" s="4"/>
      <x:c r="ES134" s="4"/>
      <x:c r="ET134" s="4"/>
      <x:c r="EU134" s="4"/>
      <x:c r="EV134" s="4"/>
      <x:c r="EW134" s="4"/>
      <x:c r="EX134" s="4"/>
      <x:c r="EY134" s="4"/>
      <x:c r="EZ134" s="4"/>
      <x:c r="FA134" s="4"/>
      <x:c r="FB134" s="4"/>
      <x:c r="FC134" s="4"/>
      <x:c r="FD134" s="4"/>
      <x:c r="FE134" s="4"/>
      <x:c r="FF134" s="4"/>
      <x:c r="FG134" s="4"/>
      <x:c r="FH134" s="4"/>
      <x:c r="FI134" s="4"/>
      <x:c r="FJ134" s="4"/>
      <x:c r="FK134" s="4"/>
      <x:c r="FL134" s="4"/>
      <x:c r="FM134" s="4"/>
      <x:c r="FN134" s="4"/>
      <x:c r="FO134" s="4"/>
    </x:row>
    <x:row r="135" ht="27" customHeight="1">
      <x:c r="A135" s="3"/>
      <x:c r="B135" s="40" t="str">
        <x:v>What</x:v>
      </x:c>
      <x:c r="C135" s="40"/>
      <x:c r="D135" s="40"/>
      <x:c r="E135" s="40"/>
      <x:c r="F135" s="40" t="str">
        <x:v>Other</x:v>
      </x:c>
      <x:c r="G135" s="40"/>
      <x:c r="H135" s="40"/>
      <x:c r="I135" s="40"/>
      <x:c r="J135" s="40"/>
      <x:c r="K135" s="40"/>
      <x:c r="L135" s="40"/>
      <x:c r="M135" s="40"/>
      <x:c r="N135" s="56" t="n">
        <x:v>0.1</x:v>
      </x:c>
      <x:c r="O135" s="40"/>
      <x:c r="P135" s="56" t="n">
        <x:v>0.3</x:v>
      </x:c>
      <x:c r="Q135" s="40"/>
      <x:c r="R135" s="56" t="n">
        <x:v>0.65</x:v>
      </x:c>
      <x:c r="S135" s="40"/>
      <x:c r="T135" s="56" t="n">
        <x:v>0.07</x:v>
      </x:c>
      <x:c r="U135" s="40"/>
      <x:c r="V135" s="3"/>
      <x:c r="W135" s="3"/>
      <x:c r="X135" s="40" t="str">
        <x:f>'Calculations'!$GX$135</x:f>
        <x:v>112% - separate caps</x:v>
      </x:c>
      <x:c r="Y135" s="40"/>
      <x:c r="Z135" s="40"/>
      <x:c r="AA135" s="40"/>
      <x:c r="AB135" s="40"/>
      <x:c r="AC135" s="40"/>
      <x:c r="AD135" s="3"/>
      <x:c r="AE135" s="77"/>
      <x:c r="AF135" s="75"/>
      <x:c r="AG135" s="75"/>
      <x:c r="AH135" s="75"/>
      <x:c r="AI135" s="75"/>
      <x:c r="AJ135" s="75"/>
      <x:c r="AK135" s="75"/>
      <x:c r="AL135" s="75"/>
      <x:c r="AM135" s="75"/>
      <x:c r="AN135" s="75"/>
      <x:c r="AO135" s="75"/>
      <x:c r="AP135" s="75"/>
      <x:c r="AQ135" s="75"/>
      <x:c r="AR135" s="75"/>
      <x:c r="AS135" s="75"/>
      <x:c r="AT135" s="75"/>
      <x:c r="AU135" s="75"/>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4"/>
      <x:c r="DQ135" s="4"/>
      <x:c r="DR135" s="4"/>
      <x:c r="DS135" s="4"/>
      <x:c r="DT135" s="4"/>
      <x:c r="DU135" s="4"/>
      <x:c r="DV135" s="4"/>
      <x:c r="DW135" s="4"/>
      <x:c r="DX135" s="4"/>
      <x:c r="DY135" s="4"/>
      <x:c r="DZ135" s="4"/>
      <x:c r="EA135" s="4"/>
      <x:c r="EB135" s="4"/>
      <x:c r="EC135" s="4"/>
      <x:c r="ED135" s="4"/>
      <x:c r="EE135" s="4"/>
      <x:c r="EF135" s="4"/>
      <x:c r="EG135" s="4"/>
      <x:c r="EH135" s="4"/>
      <x:c r="EI135" s="4"/>
      <x:c r="EJ135" s="4"/>
      <x:c r="EK135" s="4"/>
      <x:c r="EL135" s="4"/>
      <x:c r="EM135" s="4"/>
      <x:c r="EN135" s="4"/>
      <x:c r="EO135" s="4"/>
      <x:c r="EP135" s="4"/>
      <x:c r="EQ135" s="4"/>
      <x:c r="ER135" s="4"/>
      <x:c r="ES135" s="4"/>
      <x:c r="ET135" s="4"/>
      <x:c r="EU135" s="4"/>
      <x:c r="EV135" s="4"/>
      <x:c r="EW135" s="4"/>
      <x:c r="EX135" s="4"/>
      <x:c r="EY135" s="4"/>
      <x:c r="EZ135" s="4"/>
      <x:c r="FA135" s="4"/>
      <x:c r="FB135" s="4"/>
      <x:c r="FC135" s="4"/>
      <x:c r="FD135" s="4"/>
      <x:c r="FE135" s="4"/>
      <x:c r="FF135" s="4"/>
      <x:c r="FG135" s="4"/>
      <x:c r="FH135" s="4"/>
      <x:c r="FI135" s="4"/>
      <x:c r="FJ135" s="4"/>
      <x:c r="FK135" s="4"/>
      <x:c r="FL135" s="4"/>
      <x:c r="FM135" s="4"/>
      <x:c r="FN135" s="4"/>
      <x:c r="FO135" s="4"/>
    </x:row>
    <x:row r="136" ht="27" customHeight="1">
      <x:c r="A136" s="3"/>
      <x:c r="B136" s="45" t="str">
        <x:v>How</x:v>
      </x:c>
      <x:c r="C136" s="45"/>
      <x:c r="D136" s="45"/>
      <x:c r="E136" s="45"/>
      <x:c r="F136" s="45" t="str">
        <x:v>MANAGING DIRECTOR</x:v>
      </x:c>
      <x:c r="G136" s="45"/>
      <x:c r="H136" s="45"/>
      <x:c r="I136" s="45"/>
      <x:c r="J136" s="45"/>
      <x:c r="K136" s="45"/>
      <x:c r="L136" s="45"/>
      <x:c r="M136" s="45"/>
      <x:c r="N136" s="56" t="n">
        <x:v>0.1</x:v>
      </x:c>
      <x:c r="O136" s="45"/>
      <x:c r="P136" s="56" t="n">
        <x:v>0.3</x:v>
      </x:c>
      <x:c r="Q136" s="45"/>
      <x:c r="R136" s="56" t="n">
        <x:v>0.65</x:v>
      </x:c>
      <x:c r="S136" s="45"/>
      <x:c r="T136" s="56" t="n">
        <x:v>0.07</x:v>
      </x:c>
      <x:c r="U136" s="45"/>
      <x:c r="V136" s="3"/>
      <x:c r="W136" s="3"/>
      <x:c r="X136" s="45" t="str">
        <x:f>'Calculations'!$GX$136</x:f>
        <x:v>112% - separate caps</x:v>
      </x:c>
      <x:c r="Y136" s="45"/>
      <x:c r="Z136" s="45"/>
      <x:c r="AA136" s="45"/>
      <x:c r="AB136" s="45"/>
      <x:c r="AC136" s="45"/>
      <x:c r="AD136" s="3"/>
      <x:c r="AE136" s="77"/>
      <x:c r="AF136" s="75"/>
      <x:c r="AG136" s="75"/>
      <x:c r="AH136" s="75"/>
      <x:c r="AI136" s="75"/>
      <x:c r="AJ136" s="75"/>
      <x:c r="AK136" s="75"/>
      <x:c r="AL136" s="75"/>
      <x:c r="AM136" s="75"/>
      <x:c r="AN136" s="75"/>
      <x:c r="AO136" s="75"/>
      <x:c r="AP136" s="75"/>
      <x:c r="AQ136" s="75"/>
      <x:c r="AR136" s="75"/>
      <x:c r="AS136" s="75"/>
      <x:c r="AT136" s="75"/>
      <x:c r="AU136" s="75"/>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4"/>
      <x:c r="DQ136" s="4"/>
      <x:c r="DR136" s="4"/>
      <x:c r="DS136" s="4"/>
      <x:c r="DT136" s="4"/>
      <x:c r="DU136" s="4"/>
      <x:c r="DV136" s="4"/>
      <x:c r="DW136" s="4"/>
      <x:c r="DX136" s="4"/>
      <x:c r="DY136" s="4"/>
      <x:c r="DZ136" s="4"/>
      <x:c r="EA136" s="4"/>
      <x:c r="EB136" s="4"/>
      <x:c r="EC136" s="4"/>
      <x:c r="ED136" s="4"/>
      <x:c r="EE136" s="4"/>
      <x:c r="EF136" s="4"/>
      <x:c r="EG136" s="4"/>
      <x:c r="EH136" s="4"/>
      <x:c r="EI136" s="4"/>
      <x:c r="EJ136" s="4"/>
      <x:c r="EK136" s="4"/>
      <x:c r="EL136" s="4"/>
      <x:c r="EM136" s="4"/>
      <x:c r="EN136" s="4"/>
      <x:c r="EO136" s="4"/>
      <x:c r="EP136" s="4"/>
      <x:c r="EQ136" s="4"/>
      <x:c r="ER136" s="4"/>
      <x:c r="ES136" s="4"/>
      <x:c r="ET136" s="4"/>
      <x:c r="EU136" s="4"/>
      <x:c r="EV136" s="4"/>
      <x:c r="EW136" s="4"/>
      <x:c r="EX136" s="4"/>
      <x:c r="EY136" s="4"/>
      <x:c r="EZ136" s="4"/>
      <x:c r="FA136" s="4"/>
      <x:c r="FB136" s="4"/>
      <x:c r="FC136" s="4"/>
      <x:c r="FD136" s="4"/>
      <x:c r="FE136" s="4"/>
      <x:c r="FF136" s="4"/>
      <x:c r="FG136" s="4"/>
      <x:c r="FH136" s="4"/>
      <x:c r="FI136" s="4"/>
      <x:c r="FJ136" s="4"/>
      <x:c r="FK136" s="4"/>
      <x:c r="FL136" s="4"/>
      <x:c r="FM136" s="4"/>
      <x:c r="FN136" s="4"/>
      <x:c r="FO136" s="4"/>
    </x:row>
    <x:row r="137" ht="27" customHeight="1">
      <x:c r="A137" s="3"/>
      <x:c r="B137" s="40" t="str">
        <x:v>How</x:v>
      </x:c>
      <x:c r="C137" s="40"/>
      <x:c r="D137" s="40"/>
      <x:c r="E137" s="40"/>
      <x:c r="F137" s="40" t="str">
        <x:v>DIRECTOR</x:v>
      </x:c>
      <x:c r="G137" s="40"/>
      <x:c r="H137" s="40"/>
      <x:c r="I137" s="40"/>
      <x:c r="J137" s="40"/>
      <x:c r="K137" s="40"/>
      <x:c r="L137" s="40"/>
      <x:c r="M137" s="40"/>
      <x:c r="N137" s="56" t="n">
        <x:v>0.1</x:v>
      </x:c>
      <x:c r="O137" s="40"/>
      <x:c r="P137" s="56" t="n">
        <x:v>0.3</x:v>
      </x:c>
      <x:c r="Q137" s="40"/>
      <x:c r="R137" s="56" t="n">
        <x:v>0.65</x:v>
      </x:c>
      <x:c r="S137" s="40"/>
      <x:c r="T137" s="56" t="n">
        <x:v>0.07</x:v>
      </x:c>
      <x:c r="U137" s="40"/>
      <x:c r="V137" s="3"/>
      <x:c r="W137" s="3"/>
      <x:c r="X137" s="40" t="str">
        <x:f>'Calculations'!$GX$137</x:f>
        <x:v>112% - separate caps</x:v>
      </x:c>
      <x:c r="Y137" s="40"/>
      <x:c r="Z137" s="40"/>
      <x:c r="AA137" s="40"/>
      <x:c r="AB137" s="40"/>
      <x:c r="AC137" s="40"/>
      <x:c r="AD137" s="3"/>
      <x:c r="AE137" s="77"/>
      <x:c r="AF137" s="75"/>
      <x:c r="AG137" s="75"/>
      <x:c r="AH137" s="75"/>
      <x:c r="AI137" s="75"/>
      <x:c r="AJ137" s="75"/>
      <x:c r="AK137" s="75"/>
      <x:c r="AL137" s="75"/>
      <x:c r="AM137" s="75"/>
      <x:c r="AN137" s="75"/>
      <x:c r="AO137" s="75"/>
      <x:c r="AP137" s="75"/>
      <x:c r="AQ137" s="75"/>
      <x:c r="AR137" s="75"/>
      <x:c r="AS137" s="75"/>
      <x:c r="AT137" s="75"/>
      <x:c r="AU137" s="75"/>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4"/>
      <x:c r="DQ137" s="4"/>
      <x:c r="DR137" s="4"/>
      <x:c r="DS137" s="4"/>
      <x:c r="DT137" s="4"/>
      <x:c r="DU137" s="4"/>
      <x:c r="DV137" s="4"/>
      <x:c r="DW137" s="4"/>
      <x:c r="DX137" s="4"/>
      <x:c r="DY137" s="4"/>
      <x:c r="DZ137" s="4"/>
      <x:c r="EA137" s="4"/>
      <x:c r="EB137" s="4"/>
      <x:c r="EC137" s="4"/>
      <x:c r="ED137" s="4"/>
      <x:c r="EE137" s="4"/>
      <x:c r="EF137" s="4"/>
      <x:c r="EG137" s="4"/>
      <x:c r="EH137" s="4"/>
      <x:c r="EI137" s="4"/>
      <x:c r="EJ137" s="4"/>
      <x:c r="EK137" s="4"/>
      <x:c r="EL137" s="4"/>
      <x:c r="EM137" s="4"/>
      <x:c r="EN137" s="4"/>
      <x:c r="EO137" s="4"/>
      <x:c r="EP137" s="4"/>
      <x:c r="EQ137" s="4"/>
      <x:c r="ER137" s="4"/>
      <x:c r="ES137" s="4"/>
      <x:c r="ET137" s="4"/>
      <x:c r="EU137" s="4"/>
      <x:c r="EV137" s="4"/>
      <x:c r="EW137" s="4"/>
      <x:c r="EX137" s="4"/>
      <x:c r="EY137" s="4"/>
      <x:c r="EZ137" s="4"/>
      <x:c r="FA137" s="4"/>
      <x:c r="FB137" s="4"/>
      <x:c r="FC137" s="4"/>
      <x:c r="FD137" s="4"/>
      <x:c r="FE137" s="4"/>
      <x:c r="FF137" s="4"/>
      <x:c r="FG137" s="4"/>
      <x:c r="FH137" s="4"/>
      <x:c r="FI137" s="4"/>
      <x:c r="FJ137" s="4"/>
      <x:c r="FK137" s="4"/>
      <x:c r="FL137" s="4"/>
      <x:c r="FM137" s="4"/>
      <x:c r="FN137" s="4"/>
      <x:c r="FO137" s="4"/>
    </x:row>
    <x:row r="138" ht="27" customHeight="1">
      <x:c r="A138" s="3"/>
      <x:c r="B138" s="45" t="str">
        <x:v>How</x:v>
      </x:c>
      <x:c r="C138" s="45"/>
      <x:c r="D138" s="45"/>
      <x:c r="E138" s="45"/>
      <x:c r="F138" s="45" t="str">
        <x:v>SENIOR VICE PRESIDENT</x:v>
      </x:c>
      <x:c r="G138" s="45"/>
      <x:c r="H138" s="45"/>
      <x:c r="I138" s="45"/>
      <x:c r="J138" s="45"/>
      <x:c r="K138" s="45"/>
      <x:c r="L138" s="45"/>
      <x:c r="M138" s="45"/>
      <x:c r="N138" s="56" t="n">
        <x:v>0.1</x:v>
      </x:c>
      <x:c r="O138" s="45"/>
      <x:c r="P138" s="56" t="n">
        <x:v>0.3</x:v>
      </x:c>
      <x:c r="Q138" s="45"/>
      <x:c r="R138" s="56" t="n">
        <x:v>0.65</x:v>
      </x:c>
      <x:c r="S138" s="45"/>
      <x:c r="T138" s="56" t="n">
        <x:v>0.07</x:v>
      </x:c>
      <x:c r="U138" s="45"/>
      <x:c r="V138" s="3"/>
      <x:c r="W138" s="3"/>
      <x:c r="X138" s="45" t="str">
        <x:f>'Calculations'!$GX$138</x:f>
        <x:v>112% - separate caps</x:v>
      </x:c>
      <x:c r="Y138" s="45"/>
      <x:c r="Z138" s="45"/>
      <x:c r="AA138" s="45"/>
      <x:c r="AB138" s="45"/>
      <x:c r="AC138" s="45"/>
      <x:c r="AD138" s="3"/>
      <x:c r="AE138" s="77"/>
      <x:c r="AF138" s="75"/>
      <x:c r="AG138" s="75"/>
      <x:c r="AH138" s="75"/>
      <x:c r="AI138" s="75"/>
      <x:c r="AJ138" s="75"/>
      <x:c r="AK138" s="75"/>
      <x:c r="AL138" s="75"/>
      <x:c r="AM138" s="75"/>
      <x:c r="AN138" s="75"/>
      <x:c r="AO138" s="75"/>
      <x:c r="AP138" s="75"/>
      <x:c r="AQ138" s="75"/>
      <x:c r="AR138" s="75"/>
      <x:c r="AS138" s="75"/>
      <x:c r="AT138" s="75"/>
      <x:c r="AU138" s="75"/>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4"/>
      <x:c r="DQ138" s="4"/>
      <x:c r="DR138" s="4"/>
      <x:c r="DS138" s="4"/>
      <x:c r="DT138" s="4"/>
      <x:c r="DU138" s="4"/>
      <x:c r="DV138" s="4"/>
      <x:c r="DW138" s="4"/>
      <x:c r="DX138" s="4"/>
      <x:c r="DY138" s="4"/>
      <x:c r="DZ138" s="4"/>
      <x:c r="EA138" s="4"/>
      <x:c r="EB138" s="4"/>
      <x:c r="EC138" s="4"/>
      <x:c r="ED138" s="4"/>
      <x:c r="EE138" s="4"/>
      <x:c r="EF138" s="4"/>
      <x:c r="EG138" s="4"/>
      <x:c r="EH138" s="4"/>
      <x:c r="EI138" s="4"/>
      <x:c r="EJ138" s="4"/>
      <x:c r="EK138" s="4"/>
      <x:c r="EL138" s="4"/>
      <x:c r="EM138" s="4"/>
      <x:c r="EN138" s="4"/>
      <x:c r="EO138" s="4"/>
      <x:c r="EP138" s="4"/>
      <x:c r="EQ138" s="4"/>
      <x:c r="ER138" s="4"/>
      <x:c r="ES138" s="4"/>
      <x:c r="ET138" s="4"/>
      <x:c r="EU138" s="4"/>
      <x:c r="EV138" s="4"/>
      <x:c r="EW138" s="4"/>
      <x:c r="EX138" s="4"/>
      <x:c r="EY138" s="4"/>
      <x:c r="EZ138" s="4"/>
      <x:c r="FA138" s="4"/>
      <x:c r="FB138" s="4"/>
      <x:c r="FC138" s="4"/>
      <x:c r="FD138" s="4"/>
      <x:c r="FE138" s="4"/>
      <x:c r="FF138" s="4"/>
      <x:c r="FG138" s="4"/>
      <x:c r="FH138" s="4"/>
      <x:c r="FI138" s="4"/>
      <x:c r="FJ138" s="4"/>
      <x:c r="FK138" s="4"/>
      <x:c r="FL138" s="4"/>
      <x:c r="FM138" s="4"/>
      <x:c r="FN138" s="4"/>
      <x:c r="FO138" s="4"/>
    </x:row>
    <x:row r="139" ht="27" customHeight="1">
      <x:c r="A139" s="3"/>
      <x:c r="B139" s="40" t="str">
        <x:v>How</x:v>
      </x:c>
      <x:c r="C139" s="40"/>
      <x:c r="D139" s="40"/>
      <x:c r="E139" s="40"/>
      <x:c r="F139" s="40" t="str">
        <x:v>VICE PRESIDENT</x:v>
      </x:c>
      <x:c r="G139" s="40"/>
      <x:c r="H139" s="40"/>
      <x:c r="I139" s="40"/>
      <x:c r="J139" s="40"/>
      <x:c r="K139" s="40"/>
      <x:c r="L139" s="40"/>
      <x:c r="M139" s="40"/>
      <x:c r="N139" s="56" t="n">
        <x:v>0.1</x:v>
      </x:c>
      <x:c r="O139" s="40"/>
      <x:c r="P139" s="56" t="n">
        <x:v>0.3</x:v>
      </x:c>
      <x:c r="Q139" s="40"/>
      <x:c r="R139" s="56" t="n">
        <x:v>0.65</x:v>
      </x:c>
      <x:c r="S139" s="40"/>
      <x:c r="T139" s="56" t="n">
        <x:v>0.07</x:v>
      </x:c>
      <x:c r="U139" s="40"/>
      <x:c r="V139" s="3"/>
      <x:c r="W139" s="3"/>
      <x:c r="X139" s="40" t="str">
        <x:f>'Calculations'!$GX$139</x:f>
        <x:v>112% - separate caps</x:v>
      </x:c>
      <x:c r="Y139" s="40"/>
      <x:c r="Z139" s="40"/>
      <x:c r="AA139" s="40"/>
      <x:c r="AB139" s="40"/>
      <x:c r="AC139" s="40"/>
      <x:c r="AD139" s="3"/>
      <x:c r="AE139" s="77"/>
      <x:c r="AF139" s="75"/>
      <x:c r="AG139" s="75"/>
      <x:c r="AH139" s="75"/>
      <x:c r="AI139" s="75"/>
      <x:c r="AJ139" s="75"/>
      <x:c r="AK139" s="75"/>
      <x:c r="AL139" s="75"/>
      <x:c r="AM139" s="75"/>
      <x:c r="AN139" s="75"/>
      <x:c r="AO139" s="75"/>
      <x:c r="AP139" s="75"/>
      <x:c r="AQ139" s="75"/>
      <x:c r="AR139" s="75"/>
      <x:c r="AS139" s="75"/>
      <x:c r="AT139" s="75"/>
      <x:c r="AU139" s="75"/>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4"/>
      <x:c r="DQ139" s="4"/>
      <x:c r="DR139" s="4"/>
      <x:c r="DS139" s="4"/>
      <x:c r="DT139" s="4"/>
      <x:c r="DU139" s="4"/>
      <x:c r="DV139" s="4"/>
      <x:c r="DW139" s="4"/>
      <x:c r="DX139" s="4"/>
      <x:c r="DY139" s="4"/>
      <x:c r="DZ139" s="4"/>
      <x:c r="EA139" s="4"/>
      <x:c r="EB139" s="4"/>
      <x:c r="EC139" s="4"/>
      <x:c r="ED139" s="4"/>
      <x:c r="EE139" s="4"/>
      <x:c r="EF139" s="4"/>
      <x:c r="EG139" s="4"/>
      <x:c r="EH139" s="4"/>
      <x:c r="EI139" s="4"/>
      <x:c r="EJ139" s="4"/>
      <x:c r="EK139" s="4"/>
      <x:c r="EL139" s="4"/>
      <x:c r="EM139" s="4"/>
      <x:c r="EN139" s="4"/>
      <x:c r="EO139" s="4"/>
      <x:c r="EP139" s="4"/>
      <x:c r="EQ139" s="4"/>
      <x:c r="ER139" s="4"/>
      <x:c r="ES139" s="4"/>
      <x:c r="ET139" s="4"/>
      <x:c r="EU139" s="4"/>
      <x:c r="EV139" s="4"/>
      <x:c r="EW139" s="4"/>
      <x:c r="EX139" s="4"/>
      <x:c r="EY139" s="4"/>
      <x:c r="EZ139" s="4"/>
      <x:c r="FA139" s="4"/>
      <x:c r="FB139" s="4"/>
      <x:c r="FC139" s="4"/>
      <x:c r="FD139" s="4"/>
      <x:c r="FE139" s="4"/>
      <x:c r="FF139" s="4"/>
      <x:c r="FG139" s="4"/>
      <x:c r="FH139" s="4"/>
      <x:c r="FI139" s="4"/>
      <x:c r="FJ139" s="4"/>
      <x:c r="FK139" s="4"/>
      <x:c r="FL139" s="4"/>
      <x:c r="FM139" s="4"/>
      <x:c r="FN139" s="4"/>
      <x:c r="FO139" s="4"/>
    </x:row>
    <x:row r="140" ht="27" customHeight="1">
      <x:c r="A140" s="3"/>
      <x:c r="B140" s="45" t="str">
        <x:v>How</x:v>
      </x:c>
      <x:c r="C140" s="45"/>
      <x:c r="D140" s="45"/>
      <x:c r="E140" s="45"/>
      <x:c r="F140" s="45" t="str">
        <x:v>ASSISTANT VICE PRESIDENT</x:v>
      </x:c>
      <x:c r="G140" s="45"/>
      <x:c r="H140" s="45"/>
      <x:c r="I140" s="45"/>
      <x:c r="J140" s="45"/>
      <x:c r="K140" s="45"/>
      <x:c r="L140" s="45"/>
      <x:c r="M140" s="45"/>
      <x:c r="N140" s="56" t="n">
        <x:v>0.1</x:v>
      </x:c>
      <x:c r="O140" s="45"/>
      <x:c r="P140" s="56" t="n">
        <x:v>0.3</x:v>
      </x:c>
      <x:c r="Q140" s="45"/>
      <x:c r="R140" s="56" t="n">
        <x:v>0.65</x:v>
      </x:c>
      <x:c r="S140" s="45"/>
      <x:c r="T140" s="56" t="n">
        <x:v>0.07</x:v>
      </x:c>
      <x:c r="U140" s="45"/>
      <x:c r="V140" s="3"/>
      <x:c r="W140" s="3"/>
      <x:c r="X140" s="45" t="str">
        <x:f>'Calculations'!$GX$140</x:f>
        <x:v>112% - separate caps</x:v>
      </x:c>
      <x:c r="Y140" s="45"/>
      <x:c r="Z140" s="45"/>
      <x:c r="AA140" s="45"/>
      <x:c r="AB140" s="45"/>
      <x:c r="AC140" s="45"/>
      <x:c r="AD140" s="3"/>
      <x:c r="AE140" s="77"/>
      <x:c r="AF140" s="75"/>
      <x:c r="AG140" s="75"/>
      <x:c r="AH140" s="75"/>
      <x:c r="AI140" s="75"/>
      <x:c r="AJ140" s="75"/>
      <x:c r="AK140" s="75"/>
      <x:c r="AL140" s="75"/>
      <x:c r="AM140" s="75"/>
      <x:c r="AN140" s="75"/>
      <x:c r="AO140" s="75"/>
      <x:c r="AP140" s="75"/>
      <x:c r="AQ140" s="75"/>
      <x:c r="AR140" s="75"/>
      <x:c r="AS140" s="75"/>
      <x:c r="AT140" s="75"/>
      <x:c r="AU140" s="75"/>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4"/>
      <x:c r="DQ140" s="4"/>
      <x:c r="DR140" s="4"/>
      <x:c r="DS140" s="4"/>
      <x:c r="DT140" s="4"/>
      <x:c r="DU140" s="4"/>
      <x:c r="DV140" s="4"/>
      <x:c r="DW140" s="4"/>
      <x:c r="DX140" s="4"/>
      <x:c r="DY140" s="4"/>
      <x:c r="DZ140" s="4"/>
      <x:c r="EA140" s="4"/>
      <x:c r="EB140" s="4"/>
      <x:c r="EC140" s="4"/>
      <x:c r="ED140" s="4"/>
      <x:c r="EE140" s="4"/>
      <x:c r="EF140" s="4"/>
      <x:c r="EG140" s="4"/>
      <x:c r="EH140" s="4"/>
      <x:c r="EI140" s="4"/>
      <x:c r="EJ140" s="4"/>
      <x:c r="EK140" s="4"/>
      <x:c r="EL140" s="4"/>
      <x:c r="EM140" s="4"/>
      <x:c r="EN140" s="4"/>
      <x:c r="EO140" s="4"/>
      <x:c r="EP140" s="4"/>
      <x:c r="EQ140" s="4"/>
      <x:c r="ER140" s="4"/>
      <x:c r="ES140" s="4"/>
      <x:c r="ET140" s="4"/>
      <x:c r="EU140" s="4"/>
      <x:c r="EV140" s="4"/>
      <x:c r="EW140" s="4"/>
      <x:c r="EX140" s="4"/>
      <x:c r="EY140" s="4"/>
      <x:c r="EZ140" s="4"/>
      <x:c r="FA140" s="4"/>
      <x:c r="FB140" s="4"/>
      <x:c r="FC140" s="4"/>
      <x:c r="FD140" s="4"/>
      <x:c r="FE140" s="4"/>
      <x:c r="FF140" s="4"/>
      <x:c r="FG140" s="4"/>
      <x:c r="FH140" s="4"/>
      <x:c r="FI140" s="4"/>
      <x:c r="FJ140" s="4"/>
      <x:c r="FK140" s="4"/>
      <x:c r="FL140" s="4"/>
      <x:c r="FM140" s="4"/>
      <x:c r="FN140" s="4"/>
      <x:c r="FO140" s="4"/>
    </x:row>
    <x:row r="141" ht="27" customHeight="1">
      <x:c r="A141" s="3"/>
      <x:c r="B141" s="40" t="str">
        <x:v>How</x:v>
      </x:c>
      <x:c r="C141" s="40"/>
      <x:c r="D141" s="40"/>
      <x:c r="E141" s="40"/>
      <x:c r="F141" s="40" t="str">
        <x:v>OFFICER</x:v>
      </x:c>
      <x:c r="G141" s="40"/>
      <x:c r="H141" s="40"/>
      <x:c r="I141" s="40"/>
      <x:c r="J141" s="40"/>
      <x:c r="K141" s="40"/>
      <x:c r="L141" s="40"/>
      <x:c r="M141" s="40"/>
      <x:c r="N141" s="56" t="n">
        <x:v>0.1</x:v>
      </x:c>
      <x:c r="O141" s="40"/>
      <x:c r="P141" s="56" t="n">
        <x:v>0.3</x:v>
      </x:c>
      <x:c r="Q141" s="40"/>
      <x:c r="R141" s="56" t="n">
        <x:v>0.65</x:v>
      </x:c>
      <x:c r="S141" s="40"/>
      <x:c r="T141" s="56" t="n">
        <x:v>0.07</x:v>
      </x:c>
      <x:c r="U141" s="40"/>
      <x:c r="V141" s="3"/>
      <x:c r="W141" s="3"/>
      <x:c r="X141" s="40" t="str">
        <x:f>'Calculations'!$GX$141</x:f>
        <x:v>112% - separate caps</x:v>
      </x:c>
      <x:c r="Y141" s="40"/>
      <x:c r="Z141" s="40"/>
      <x:c r="AA141" s="40"/>
      <x:c r="AB141" s="40"/>
      <x:c r="AC141" s="40"/>
      <x:c r="AD141" s="3"/>
      <x:c r="AE141" s="77"/>
      <x:c r="AF141" s="75"/>
      <x:c r="AG141" s="75"/>
      <x:c r="AH141" s="75"/>
      <x:c r="AI141" s="75"/>
      <x:c r="AJ141" s="75"/>
      <x:c r="AK141" s="75"/>
      <x:c r="AL141" s="75"/>
      <x:c r="AM141" s="75"/>
      <x:c r="AN141" s="75"/>
      <x:c r="AO141" s="75"/>
      <x:c r="AP141" s="75"/>
      <x:c r="AQ141" s="75"/>
      <x:c r="AR141" s="75"/>
      <x:c r="AS141" s="75"/>
      <x:c r="AT141" s="75"/>
      <x:c r="AU141" s="75"/>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4"/>
      <x:c r="DQ141" s="4"/>
      <x:c r="DR141" s="4"/>
      <x:c r="DS141" s="4"/>
      <x:c r="DT141" s="4"/>
      <x:c r="DU141" s="4"/>
      <x:c r="DV141" s="4"/>
      <x:c r="DW141" s="4"/>
      <x:c r="DX141" s="4"/>
      <x:c r="DY141" s="4"/>
      <x:c r="DZ141" s="4"/>
      <x:c r="EA141" s="4"/>
      <x:c r="EB141" s="4"/>
      <x:c r="EC141" s="4"/>
      <x:c r="ED141" s="4"/>
      <x:c r="EE141" s="4"/>
      <x:c r="EF141" s="4"/>
      <x:c r="EG141" s="4"/>
      <x:c r="EH141" s="4"/>
      <x:c r="EI141" s="4"/>
      <x:c r="EJ141" s="4"/>
      <x:c r="EK141" s="4"/>
      <x:c r="EL141" s="4"/>
      <x:c r="EM141" s="4"/>
      <x:c r="EN141" s="4"/>
      <x:c r="EO141" s="4"/>
      <x:c r="EP141" s="4"/>
      <x:c r="EQ141" s="4"/>
      <x:c r="ER141" s="4"/>
      <x:c r="ES141" s="4"/>
      <x:c r="ET141" s="4"/>
      <x:c r="EU141" s="4"/>
      <x:c r="EV141" s="4"/>
      <x:c r="EW141" s="4"/>
      <x:c r="EX141" s="4"/>
      <x:c r="EY141" s="4"/>
      <x:c r="EZ141" s="4"/>
      <x:c r="FA141" s="4"/>
      <x:c r="FB141" s="4"/>
      <x:c r="FC141" s="4"/>
      <x:c r="FD141" s="4"/>
      <x:c r="FE141" s="4"/>
      <x:c r="FF141" s="4"/>
      <x:c r="FG141" s="4"/>
      <x:c r="FH141" s="4"/>
      <x:c r="FI141" s="4"/>
      <x:c r="FJ141" s="4"/>
      <x:c r="FK141" s="4"/>
      <x:c r="FL141" s="4"/>
      <x:c r="FM141" s="4"/>
      <x:c r="FN141" s="4"/>
      <x:c r="FO141" s="4"/>
    </x:row>
    <x:row r="142" ht="27" customHeight="1">
      <x:c r="A142" s="3"/>
      <x:c r="B142" s="45" t="str">
        <x:v>How</x:v>
      </x:c>
      <x:c r="C142" s="45"/>
      <x:c r="D142" s="45"/>
      <x:c r="E142" s="45"/>
      <x:c r="F142" s="45" t="str">
        <x:v>Other</x:v>
      </x:c>
      <x:c r="G142" s="45"/>
      <x:c r="H142" s="45"/>
      <x:c r="I142" s="45"/>
      <x:c r="J142" s="45"/>
      <x:c r="K142" s="45"/>
      <x:c r="L142" s="45"/>
      <x:c r="M142" s="45"/>
      <x:c r="N142" s="56" t="n">
        <x:v>0.1</x:v>
      </x:c>
      <x:c r="O142" s="45"/>
      <x:c r="P142" s="56" t="n">
        <x:v>0.3</x:v>
      </x:c>
      <x:c r="Q142" s="45"/>
      <x:c r="R142" s="56" t="n">
        <x:v>0.65</x:v>
      </x:c>
      <x:c r="S142" s="45"/>
      <x:c r="T142" s="56" t="n">
        <x:v>0.07</x:v>
      </x:c>
      <x:c r="U142" s="45"/>
      <x:c r="V142" s="3"/>
      <x:c r="W142" s="3"/>
      <x:c r="X142" s="45" t="str">
        <x:f>'Calculations'!$GX$142</x:f>
        <x:v>112% - separate caps</x:v>
      </x:c>
      <x:c r="Y142" s="45"/>
      <x:c r="Z142" s="45"/>
      <x:c r="AA142" s="45"/>
      <x:c r="AB142" s="45"/>
      <x:c r="AC142" s="45"/>
      <x:c r="AD142" s="3"/>
      <x:c r="AE142" s="77"/>
      <x:c r="AF142" s="75"/>
      <x:c r="AG142" s="75"/>
      <x:c r="AH142" s="75"/>
      <x:c r="AI142" s="75"/>
      <x:c r="AJ142" s="75"/>
      <x:c r="AK142" s="75"/>
      <x:c r="AL142" s="75"/>
      <x:c r="AM142" s="75"/>
      <x:c r="AN142" s="75"/>
      <x:c r="AO142" s="75"/>
      <x:c r="AP142" s="75"/>
      <x:c r="AQ142" s="75"/>
      <x:c r="AR142" s="75"/>
      <x:c r="AS142" s="75"/>
      <x:c r="AT142" s="75"/>
      <x:c r="AU142" s="75"/>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4"/>
      <x:c r="DQ142" s="4"/>
      <x:c r="DR142" s="4"/>
      <x:c r="DS142" s="4"/>
      <x:c r="DT142" s="4"/>
      <x:c r="DU142" s="4"/>
      <x:c r="DV142" s="4"/>
      <x:c r="DW142" s="4"/>
      <x:c r="DX142" s="4"/>
      <x:c r="DY142" s="4"/>
      <x:c r="DZ142" s="4"/>
      <x:c r="EA142" s="4"/>
      <x:c r="EB142" s="4"/>
      <x:c r="EC142" s="4"/>
      <x:c r="ED142" s="4"/>
      <x:c r="EE142" s="4"/>
      <x:c r="EF142" s="4"/>
      <x:c r="EG142" s="4"/>
      <x:c r="EH142" s="4"/>
      <x:c r="EI142" s="4"/>
      <x:c r="EJ142" s="4"/>
      <x:c r="EK142" s="4"/>
      <x:c r="EL142" s="4"/>
      <x:c r="EM142" s="4"/>
      <x:c r="EN142" s="4"/>
      <x:c r="EO142" s="4"/>
      <x:c r="EP142" s="4"/>
      <x:c r="EQ142" s="4"/>
      <x:c r="ER142" s="4"/>
      <x:c r="ES142" s="4"/>
      <x:c r="ET142" s="4"/>
      <x:c r="EU142" s="4"/>
      <x:c r="EV142" s="4"/>
      <x:c r="EW142" s="4"/>
      <x:c r="EX142" s="4"/>
      <x:c r="EY142" s="4"/>
      <x:c r="EZ142" s="4"/>
      <x:c r="FA142" s="4"/>
      <x:c r="FB142" s="4"/>
      <x:c r="FC142" s="4"/>
      <x:c r="FD142" s="4"/>
      <x:c r="FE142" s="4"/>
      <x:c r="FF142" s="4"/>
      <x:c r="FG142" s="4"/>
      <x:c r="FH142" s="4"/>
      <x:c r="FI142" s="4"/>
      <x:c r="FJ142" s="4"/>
      <x:c r="FK142" s="4"/>
      <x:c r="FL142" s="4"/>
      <x:c r="FM142" s="4"/>
      <x:c r="FN142" s="4"/>
      <x:c r="FO142" s="4"/>
    </x:row>
    <x:row r="143" ht="27" customHeight="1">
      <x:c r="A143" s="3"/>
      <x:c r="B143" s="40" t="str">
        <x:v>What</x:v>
      </x:c>
      <x:c r="C143" s="40"/>
      <x:c r="D143" s="40"/>
      <x:c r="E143" s="40"/>
      <x:c r="F143" s="40" t="str">
        <x:v>All categories</x:v>
      </x:c>
      <x:c r="G143" s="40"/>
      <x:c r="H143" s="40"/>
      <x:c r="I143" s="40"/>
      <x:c r="J143" s="40"/>
      <x:c r="K143" s="40"/>
      <x:c r="L143" s="40"/>
      <x:c r="M143" s="40"/>
      <x:c r="N143" s="56" t="n">
        <x:v>0.1</x:v>
      </x:c>
      <x:c r="O143" s="40"/>
      <x:c r="P143" s="56" t="n">
        <x:v>0.3</x:v>
      </x:c>
      <x:c r="Q143" s="40"/>
      <x:c r="R143" s="56" t="n">
        <x:v>0.65</x:v>
      </x:c>
      <x:c r="S143" s="40"/>
      <x:c r="T143" s="56" t="n">
        <x:v>0.07</x:v>
      </x:c>
      <x:c r="U143" s="40"/>
      <x:c r="V143" s="3"/>
      <x:c r="W143" s="3"/>
      <x:c r="X143" s="40" t="str">
        <x:f>'Calculations'!$GX$143</x:f>
        <x:v>112% - separate caps</x:v>
      </x:c>
      <x:c r="Y143" s="40"/>
      <x:c r="Z143" s="40"/>
      <x:c r="AA143" s="40"/>
      <x:c r="AB143" s="40"/>
      <x:c r="AC143" s="40"/>
      <x:c r="AD143" s="3"/>
      <x:c r="AE143" s="77"/>
      <x:c r="AF143" s="75"/>
      <x:c r="AG143" s="75"/>
      <x:c r="AH143" s="75"/>
      <x:c r="AI143" s="75"/>
      <x:c r="AJ143" s="75"/>
      <x:c r="AK143" s="75"/>
      <x:c r="AL143" s="75"/>
      <x:c r="AM143" s="75"/>
      <x:c r="AN143" s="75"/>
      <x:c r="AO143" s="75"/>
      <x:c r="AP143" s="75"/>
      <x:c r="AQ143" s="75"/>
      <x:c r="AR143" s="75"/>
      <x:c r="AS143" s="75"/>
      <x:c r="AT143" s="75"/>
      <x:c r="AU143" s="75"/>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4"/>
      <x:c r="DQ143" s="4"/>
      <x:c r="DR143" s="4"/>
      <x:c r="DS143" s="4"/>
      <x:c r="DT143" s="4"/>
      <x:c r="DU143" s="4"/>
      <x:c r="DV143" s="4"/>
      <x:c r="DW143" s="4"/>
      <x:c r="DX143" s="4"/>
      <x:c r="DY143" s="4"/>
      <x:c r="DZ143" s="4"/>
      <x:c r="EA143" s="4"/>
      <x:c r="EB143" s="4"/>
      <x:c r="EC143" s="4"/>
      <x:c r="ED143" s="4"/>
      <x:c r="EE143" s="4"/>
      <x:c r="EF143" s="4"/>
      <x:c r="EG143" s="4"/>
      <x:c r="EH143" s="4"/>
      <x:c r="EI143" s="4"/>
      <x:c r="EJ143" s="4"/>
      <x:c r="EK143" s="4"/>
      <x:c r="EL143" s="4"/>
      <x:c r="EM143" s="4"/>
      <x:c r="EN143" s="4"/>
      <x:c r="EO143" s="4"/>
      <x:c r="EP143" s="4"/>
      <x:c r="EQ143" s="4"/>
      <x:c r="ER143" s="4"/>
      <x:c r="ES143" s="4"/>
      <x:c r="ET143" s="4"/>
      <x:c r="EU143" s="4"/>
      <x:c r="EV143" s="4"/>
      <x:c r="EW143" s="4"/>
      <x:c r="EX143" s="4"/>
      <x:c r="EY143" s="4"/>
      <x:c r="EZ143" s="4"/>
      <x:c r="FA143" s="4"/>
      <x:c r="FB143" s="4"/>
      <x:c r="FC143" s="4"/>
      <x:c r="FD143" s="4"/>
      <x:c r="FE143" s="4"/>
      <x:c r="FF143" s="4"/>
      <x:c r="FG143" s="4"/>
      <x:c r="FH143" s="4"/>
      <x:c r="FI143" s="4"/>
      <x:c r="FJ143" s="4"/>
      <x:c r="FK143" s="4"/>
      <x:c r="FL143" s="4"/>
      <x:c r="FM143" s="4"/>
      <x:c r="FN143" s="4"/>
      <x:c r="FO143" s="4"/>
    </x:row>
    <x:row r="144" ht="27" customHeight="1">
      <x:c r="A144" s="3"/>
      <x:c r="B144" s="45" t="str">
        <x:v>How</x:v>
      </x:c>
      <x:c r="C144" s="45"/>
      <x:c r="D144" s="45"/>
      <x:c r="E144" s="45"/>
      <x:c r="F144" s="45" t="str">
        <x:v>All categories</x:v>
      </x:c>
      <x:c r="G144" s="45"/>
      <x:c r="H144" s="45"/>
      <x:c r="I144" s="45"/>
      <x:c r="J144" s="45"/>
      <x:c r="K144" s="45"/>
      <x:c r="L144" s="45"/>
      <x:c r="M144" s="45"/>
      <x:c r="N144" s="56" t="n">
        <x:v>0.1</x:v>
      </x:c>
      <x:c r="O144" s="45"/>
      <x:c r="P144" s="56" t="n">
        <x:v>0.3</x:v>
      </x:c>
      <x:c r="Q144" s="45"/>
      <x:c r="R144" s="56" t="n">
        <x:v>0.65</x:v>
      </x:c>
      <x:c r="S144" s="45"/>
      <x:c r="T144" s="56" t="n">
        <x:v>0.07</x:v>
      </x:c>
      <x:c r="U144" s="45"/>
      <x:c r="V144" s="3"/>
      <x:c r="W144" s="3"/>
      <x:c r="X144" s="45" t="str">
        <x:f>'Calculations'!$GX$144</x:f>
        <x:v>112% - separate caps</x:v>
      </x:c>
      <x:c r="Y144" s="45"/>
      <x:c r="Z144" s="45"/>
      <x:c r="AA144" s="45"/>
      <x:c r="AB144" s="45"/>
      <x:c r="AC144" s="45"/>
      <x:c r="AD144" s="3"/>
      <x:c r="AE144" s="77"/>
      <x:c r="AF144" s="75"/>
      <x:c r="AG144" s="75"/>
      <x:c r="AH144" s="75"/>
      <x:c r="AI144" s="75"/>
      <x:c r="AJ144" s="75"/>
      <x:c r="AK144" s="75"/>
      <x:c r="AL144" s="75"/>
      <x:c r="AM144" s="75"/>
      <x:c r="AN144" s="75"/>
      <x:c r="AO144" s="75"/>
      <x:c r="AP144" s="75"/>
      <x:c r="AQ144" s="75"/>
      <x:c r="AR144" s="75"/>
      <x:c r="AS144" s="75"/>
      <x:c r="AT144" s="75"/>
      <x:c r="AU144" s="75"/>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4"/>
      <x:c r="DQ144" s="4"/>
      <x:c r="DR144" s="4"/>
      <x:c r="DS144" s="4"/>
      <x:c r="DT144" s="4"/>
      <x:c r="DU144" s="4"/>
      <x:c r="DV144" s="4"/>
      <x:c r="DW144" s="4"/>
      <x:c r="DX144" s="4"/>
      <x:c r="DY144" s="4"/>
      <x:c r="DZ144" s="4"/>
      <x:c r="EA144" s="4"/>
      <x:c r="EB144" s="4"/>
      <x:c r="EC144" s="4"/>
      <x:c r="ED144" s="4"/>
      <x:c r="EE144" s="4"/>
      <x:c r="EF144" s="4"/>
      <x:c r="EG144" s="4"/>
      <x:c r="EH144" s="4"/>
      <x:c r="EI144" s="4"/>
      <x:c r="EJ144" s="4"/>
      <x:c r="EK144" s="4"/>
      <x:c r="EL144" s="4"/>
      <x:c r="EM144" s="4"/>
      <x:c r="EN144" s="4"/>
      <x:c r="EO144" s="4"/>
      <x:c r="EP144" s="4"/>
      <x:c r="EQ144" s="4"/>
      <x:c r="ER144" s="4"/>
      <x:c r="ES144" s="4"/>
      <x:c r="ET144" s="4"/>
      <x:c r="EU144" s="4"/>
      <x:c r="EV144" s="4"/>
      <x:c r="EW144" s="4"/>
      <x:c r="EX144" s="4"/>
      <x:c r="EY144" s="4"/>
      <x:c r="EZ144" s="4"/>
      <x:c r="FA144" s="4"/>
      <x:c r="FB144" s="4"/>
      <x:c r="FC144" s="4"/>
      <x:c r="FD144" s="4"/>
      <x:c r="FE144" s="4"/>
      <x:c r="FF144" s="4"/>
      <x:c r="FG144" s="4"/>
      <x:c r="FH144" s="4"/>
      <x:c r="FI144" s="4"/>
      <x:c r="FJ144" s="4"/>
      <x:c r="FK144" s="4"/>
      <x:c r="FL144" s="4"/>
      <x:c r="FM144" s="4"/>
      <x:c r="FN144" s="4"/>
      <x:c r="FO144" s="4"/>
    </x:row>
    <x:row r="145" ht="18" customHeight="1">
      <x:c r="A145" s="3"/>
      <x:c r="B145" s="3"/>
      <x:c r="C145" s="3"/>
      <x:c r="D145" s="3"/>
      <x:c r="E145" s="3"/>
      <x:c r="F145" s="3"/>
      <x:c r="G145" s="3"/>
      <x:c r="H145" s="3"/>
      <x:c r="I145" s="3"/>
      <x:c r="J145" s="3"/>
      <x:c r="K145" s="3"/>
      <x:c r="L145" s="3"/>
      <x:c r="M145" s="3"/>
      <x:c r="N145" s="3"/>
      <x:c r="O145" s="3"/>
      <x:c r="P145" s="3"/>
      <x:c r="Q145" s="3"/>
      <x:c r="R145" s="3"/>
      <x:c r="S145" s="3"/>
      <x:c r="T145" s="3"/>
      <x:c r="U145" s="3"/>
      <x:c r="V145" s="3"/>
      <x:c r="W145" s="3"/>
      <x:c r="X145" s="3"/>
      <x:c r="Y145" s="3"/>
      <x:c r="Z145" s="3"/>
      <x:c r="AA145" s="3"/>
      <x:c r="AB145" s="3"/>
      <x:c r="AC145" s="3"/>
      <x:c r="AD145" s="3"/>
      <x:c r="AE145" s="77"/>
      <x:c r="AF145" s="75"/>
      <x:c r="AG145" s="75"/>
      <x:c r="AH145" s="75"/>
      <x:c r="AI145" s="75"/>
      <x:c r="AJ145" s="75"/>
      <x:c r="AK145" s="75"/>
      <x:c r="AL145" s="75"/>
      <x:c r="AM145" s="75"/>
      <x:c r="AN145" s="75"/>
      <x:c r="AO145" s="75"/>
      <x:c r="AP145" s="75"/>
      <x:c r="AQ145" s="75"/>
      <x:c r="AR145" s="75"/>
      <x:c r="AS145" s="75"/>
      <x:c r="AT145" s="75"/>
      <x:c r="AU145" s="75"/>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4"/>
      <x:c r="DQ145" s="4"/>
      <x:c r="DR145" s="4"/>
      <x:c r="DS145" s="4"/>
      <x:c r="DT145" s="4"/>
      <x:c r="DU145" s="4"/>
      <x:c r="DV145" s="4"/>
      <x:c r="DW145" s="4"/>
      <x:c r="DX145" s="4"/>
      <x:c r="DY145" s="4"/>
      <x:c r="DZ145" s="4"/>
      <x:c r="EA145" s="4"/>
      <x:c r="EB145" s="4"/>
      <x:c r="EC145" s="4"/>
      <x:c r="ED145" s="4"/>
      <x:c r="EE145" s="4"/>
      <x:c r="EF145" s="4"/>
      <x:c r="EG145" s="4"/>
      <x:c r="EH145" s="4"/>
      <x:c r="EI145" s="4"/>
      <x:c r="EJ145" s="4"/>
      <x:c r="EK145" s="4"/>
      <x:c r="EL145" s="4"/>
      <x:c r="EM145" s="4"/>
      <x:c r="EN145" s="4"/>
      <x:c r="EO145" s="4"/>
      <x:c r="EP145" s="4"/>
      <x:c r="EQ145" s="4"/>
      <x:c r="ER145" s="4"/>
      <x:c r="ES145" s="4"/>
      <x:c r="ET145" s="4"/>
      <x:c r="EU145" s="4"/>
      <x:c r="EV145" s="4"/>
      <x:c r="EW145" s="4"/>
      <x:c r="EX145" s="4"/>
      <x:c r="EY145" s="4"/>
      <x:c r="EZ145" s="4"/>
      <x:c r="FA145" s="4"/>
      <x:c r="FB145" s="4"/>
      <x:c r="FC145" s="4"/>
      <x:c r="FD145" s="4"/>
      <x:c r="FE145" s="4"/>
      <x:c r="FF145" s="4"/>
      <x:c r="FG145" s="4"/>
      <x:c r="FH145" s="4"/>
      <x:c r="FI145" s="4"/>
      <x:c r="FJ145" s="4"/>
      <x:c r="FK145" s="4"/>
      <x:c r="FL145" s="4"/>
      <x:c r="FM145" s="4"/>
      <x:c r="FN145" s="4"/>
      <x:c r="FO145" s="4"/>
    </x:row>
    <x:row r="146" ht="18" customHeight="1">
      <x:c r="A146" s="3"/>
      <x:c r="B146" s="52" t="str">
        <x:v>Dimension</x:v>
      </x:c>
      <x:c r="C146" s="52" t="str">
        <x:v>Dimension</x:v>
      </x:c>
      <x:c r="D146" s="52" t="str">
        <x:v>Dimension</x:v>
      </x:c>
      <x:c r="E146" s="52" t="str">
        <x:v>Dimension</x:v>
      </x:c>
      <x:c r="F146" s="52" t="str">
        <x:v>Population</x:v>
      </x:c>
      <x:c r="G146" s="52" t="str">
        <x:v>Population</x:v>
      </x:c>
      <x:c r="H146" s="52" t="str">
        <x:v>Population</x:v>
      </x:c>
      <x:c r="I146" s="52" t="str">
        <x:v>Population</x:v>
      </x:c>
      <x:c r="J146" s="52" t="str">
        <x:v>Population</x:v>
      </x:c>
      <x:c r="K146" s="52" t="str">
        <x:v>Population</x:v>
      </x:c>
      <x:c r="L146" s="52" t="str">
        <x:v>Population</x:v>
      </x:c>
      <x:c r="M146" s="52" t="str">
        <x:v>Population</x:v>
      </x:c>
      <x:c r="N146" s="52" t="str">
        <x:v>High</x:v>
      </x:c>
      <x:c r="O146" s="52" t="str">
        <x:v>High</x:v>
      </x:c>
      <x:c r="P146" s="52" t="str">
        <x:v>Strong</x:v>
      </x:c>
      <x:c r="Q146" s="52" t="str">
        <x:v>Strong</x:v>
      </x:c>
      <x:c r="R146" s="52" t="str">
        <x:v>Solid</x:v>
      </x:c>
      <x:c r="S146" s="52" t="str">
        <x:v>Solid</x:v>
      </x:c>
      <x:c r="T146" s="52" t="str">
        <x:v>Low</x:v>
      </x:c>
      <x:c r="U146" s="52" t="str">
        <x:v>Low</x:v>
      </x:c>
      <x:c r="V146" s="3"/>
      <x:c r="W146" s="3"/>
      <x:c r="X146" s="52" t="str">
        <x:v>Sum of caps</x:v>
      </x:c>
      <x:c r="Y146" s="52" t="str">
        <x:v>Sum of caps</x:v>
      </x:c>
      <x:c r="Z146" s="52" t="str">
        <x:v>Sum of caps</x:v>
      </x:c>
      <x:c r="AA146" s="52" t="str">
        <x:v>Sum of caps</x:v>
      </x:c>
      <x:c r="AB146" s="52" t="str">
        <x:v>Sum of caps</x:v>
      </x:c>
      <x:c r="AC146" s="52" t="str">
        <x:v>Sum of caps</x:v>
      </x:c>
      <x:c r="AD146" s="3"/>
      <x:c r="AE146" s="77"/>
      <x:c r="AF146" s="75"/>
      <x:c r="AG146" s="75"/>
      <x:c r="AH146" s="75"/>
      <x:c r="AI146" s="75"/>
      <x:c r="AJ146" s="75"/>
      <x:c r="AK146" s="75"/>
      <x:c r="AL146" s="75"/>
      <x:c r="AM146" s="75"/>
      <x:c r="AN146" s="75"/>
      <x:c r="AO146" s="75"/>
      <x:c r="AP146" s="75"/>
      <x:c r="AQ146" s="75"/>
      <x:c r="AR146" s="75"/>
      <x:c r="AS146" s="75"/>
      <x:c r="AT146" s="75"/>
      <x:c r="AU146" s="75"/>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4"/>
      <x:c r="DQ146" s="4"/>
      <x:c r="DR146" s="4"/>
      <x:c r="DS146" s="4"/>
      <x:c r="DT146" s="4"/>
      <x:c r="DU146" s="4"/>
      <x:c r="DV146" s="4"/>
      <x:c r="DW146" s="4"/>
      <x:c r="DX146" s="4"/>
      <x:c r="DY146" s="4"/>
      <x:c r="DZ146" s="4"/>
      <x:c r="EA146" s="4"/>
      <x:c r="EB146" s="4"/>
      <x:c r="EC146" s="4"/>
      <x:c r="ED146" s="4"/>
      <x:c r="EE146" s="4"/>
      <x:c r="EF146" s="4"/>
      <x:c r="EG146" s="4"/>
      <x:c r="EH146" s="4"/>
      <x:c r="EI146" s="4"/>
      <x:c r="EJ146" s="4"/>
      <x:c r="EK146" s="4"/>
      <x:c r="EL146" s="4"/>
      <x:c r="EM146" s="4"/>
      <x:c r="EN146" s="4"/>
      <x:c r="EO146" s="4"/>
      <x:c r="EP146" s="4"/>
      <x:c r="EQ146" s="4"/>
      <x:c r="ER146" s="4"/>
      <x:c r="ES146" s="4"/>
      <x:c r="ET146" s="4"/>
      <x:c r="EU146" s="4"/>
      <x:c r="EV146" s="4"/>
      <x:c r="EW146" s="4"/>
      <x:c r="EX146" s="4"/>
      <x:c r="EY146" s="4"/>
      <x:c r="EZ146" s="4"/>
      <x:c r="FA146" s="4"/>
      <x:c r="FB146" s="4"/>
      <x:c r="FC146" s="4"/>
      <x:c r="FD146" s="4"/>
      <x:c r="FE146" s="4"/>
      <x:c r="FF146" s="4"/>
      <x:c r="FG146" s="4"/>
      <x:c r="FH146" s="4"/>
      <x:c r="FI146" s="4"/>
      <x:c r="FJ146" s="4"/>
      <x:c r="FK146" s="4"/>
      <x:c r="FL146" s="4"/>
      <x:c r="FM146" s="4"/>
      <x:c r="FN146" s="4"/>
      <x:c r="FO146" s="4"/>
    </x:row>
    <x:row r="147" ht="30" customHeight="1">
      <x:c r="A147" s="3"/>
      <x:c r="B147" s="40" t="str">
        <x:v>Combined</x:v>
      </x:c>
      <x:c r="C147" s="40"/>
      <x:c r="D147" s="40"/>
      <x:c r="E147" s="40"/>
      <x:c r="F147" s="40" t="str">
        <x:v>Fully rated employees</x:v>
      </x:c>
      <x:c r="G147" s="40"/>
      <x:c r="H147" s="40"/>
      <x:c r="I147" s="40"/>
      <x:c r="J147" s="40"/>
      <x:c r="K147" s="40"/>
      <x:c r="L147" s="40"/>
      <x:c r="M147" s="40"/>
      <x:c r="N147" s="56" t="n">
        <x:v>0.1</x:v>
      </x:c>
      <x:c r="O147" s="40"/>
      <x:c r="P147" s="56" t="n">
        <x:v>0.3</x:v>
      </x:c>
      <x:c r="Q147" s="40"/>
      <x:c r="R147" s="56" t="n">
        <x:v>0.65</x:v>
      </x:c>
      <x:c r="S147" s="40"/>
      <x:c r="T147" s="56" t="n">
        <x:v>0.07</x:v>
      </x:c>
      <x:c r="U147" s="40"/>
      <x:c r="V147" s="3"/>
      <x:c r="W147" s="3"/>
      <x:c r="X147" s="40" t="str">
        <x:f>'Calculations'!$GX$147</x:f>
        <x:v>112% - separate caps</x:v>
      </x:c>
      <x:c r="Y147" s="40"/>
      <x:c r="Z147" s="40"/>
      <x:c r="AA147" s="40"/>
      <x:c r="AB147" s="40"/>
      <x:c r="AC147" s="40"/>
      <x:c r="AD147" s="3"/>
      <x:c r="AE147" s="77"/>
      <x:c r="AF147" s="75"/>
      <x:c r="AG147" s="75"/>
      <x:c r="AH147" s="75"/>
      <x:c r="AI147" s="75"/>
      <x:c r="AJ147" s="75"/>
      <x:c r="AK147" s="75"/>
      <x:c r="AL147" s="75"/>
      <x:c r="AM147" s="75"/>
      <x:c r="AN147" s="75"/>
      <x:c r="AO147" s="75"/>
      <x:c r="AP147" s="75"/>
      <x:c r="AQ147" s="75"/>
      <x:c r="AR147" s="75"/>
      <x:c r="AS147" s="75"/>
      <x:c r="AT147" s="75"/>
      <x:c r="AU147" s="75"/>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4"/>
      <x:c r="DQ147" s="4"/>
      <x:c r="DR147" s="4"/>
      <x:c r="DS147" s="4"/>
      <x:c r="DT147" s="4"/>
      <x:c r="DU147" s="4"/>
      <x:c r="DV147" s="4"/>
      <x:c r="DW147" s="4"/>
      <x:c r="DX147" s="4"/>
      <x:c r="DY147" s="4"/>
      <x:c r="DZ147" s="4"/>
      <x:c r="EA147" s="4"/>
      <x:c r="EB147" s="4"/>
      <x:c r="EC147" s="4"/>
      <x:c r="ED147" s="4"/>
      <x:c r="EE147" s="4"/>
      <x:c r="EF147" s="4"/>
      <x:c r="EG147" s="4"/>
      <x:c r="EH147" s="4"/>
      <x:c r="EI147" s="4"/>
      <x:c r="EJ147" s="4"/>
      <x:c r="EK147" s="4"/>
      <x:c r="EL147" s="4"/>
      <x:c r="EM147" s="4"/>
      <x:c r="EN147" s="4"/>
      <x:c r="EO147" s="4"/>
      <x:c r="EP147" s="4"/>
      <x:c r="EQ147" s="4"/>
      <x:c r="ER147" s="4"/>
      <x:c r="ES147" s="4"/>
      <x:c r="ET147" s="4"/>
      <x:c r="EU147" s="4"/>
      <x:c r="EV147" s="4"/>
      <x:c r="EW147" s="4"/>
      <x:c r="EX147" s="4"/>
      <x:c r="EY147" s="4"/>
      <x:c r="EZ147" s="4"/>
      <x:c r="FA147" s="4"/>
      <x:c r="FB147" s="4"/>
      <x:c r="FC147" s="4"/>
      <x:c r="FD147" s="4"/>
      <x:c r="FE147" s="4"/>
      <x:c r="FF147" s="4"/>
      <x:c r="FG147" s="4"/>
      <x:c r="FH147" s="4"/>
      <x:c r="FI147" s="4"/>
      <x:c r="FJ147" s="4"/>
      <x:c r="FK147" s="4"/>
      <x:c r="FL147" s="4"/>
      <x:c r="FM147" s="4"/>
      <x:c r="FN147" s="4"/>
      <x:c r="FO147" s="4"/>
    </x:row>
    <x:row r="148" ht="18" customHeight="1">
      <x:c r="A148" s="3"/>
      <x:c r="B148" s="3"/>
      <x:c r="C148" s="3"/>
      <x:c r="D148" s="3"/>
      <x:c r="E148" s="3"/>
      <x:c r="F148" s="3"/>
      <x:c r="G148" s="3"/>
      <x:c r="H148" s="3"/>
      <x:c r="I148" s="3"/>
      <x:c r="J148" s="3"/>
      <x:c r="K148" s="3"/>
      <x:c r="L148" s="3"/>
      <x:c r="M148" s="3"/>
      <x:c r="N148" s="3"/>
      <x:c r="O148" s="3"/>
      <x:c r="P148" s="3"/>
      <x:c r="Q148" s="3"/>
      <x:c r="R148" s="3"/>
      <x:c r="S148" s="3"/>
      <x:c r="T148" s="3"/>
      <x:c r="U148" s="3"/>
      <x:c r="V148" s="3"/>
      <x:c r="W148" s="3"/>
      <x:c r="X148" s="3"/>
      <x:c r="Y148" s="3"/>
      <x:c r="Z148" s="3"/>
      <x:c r="AA148" s="3"/>
      <x:c r="AB148" s="3"/>
      <x:c r="AC148" s="3"/>
      <x:c r="AD148" s="3"/>
      <x:c r="AE148" s="77"/>
      <x:c r="AF148" s="75"/>
      <x:c r="AG148" s="75"/>
      <x:c r="AH148" s="75"/>
      <x:c r="AI148" s="75"/>
      <x:c r="AJ148" s="75"/>
      <x:c r="AK148" s="75"/>
      <x:c r="AL148" s="75"/>
      <x:c r="AM148" s="75"/>
      <x:c r="AN148" s="75"/>
      <x:c r="AO148" s="75"/>
      <x:c r="AP148" s="75"/>
      <x:c r="AQ148" s="75"/>
      <x:c r="AR148" s="75"/>
      <x:c r="AS148" s="75"/>
      <x:c r="AT148" s="75"/>
      <x:c r="AU148" s="75"/>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4"/>
      <x:c r="DQ148" s="4"/>
      <x:c r="DR148" s="4"/>
      <x:c r="DS148" s="4"/>
      <x:c r="DT148" s="4"/>
      <x:c r="DU148" s="4"/>
      <x:c r="DV148" s="4"/>
      <x:c r="DW148" s="4"/>
      <x:c r="DX148" s="4"/>
      <x:c r="DY148" s="4"/>
      <x:c r="DZ148" s="4"/>
      <x:c r="EA148" s="4"/>
      <x:c r="EB148" s="4"/>
      <x:c r="EC148" s="4"/>
      <x:c r="ED148" s="4"/>
      <x:c r="EE148" s="4"/>
      <x:c r="EF148" s="4"/>
      <x:c r="EG148" s="4"/>
      <x:c r="EH148" s="4"/>
      <x:c r="EI148" s="4"/>
      <x:c r="EJ148" s="4"/>
      <x:c r="EK148" s="4"/>
      <x:c r="EL148" s="4"/>
      <x:c r="EM148" s="4"/>
      <x:c r="EN148" s="4"/>
      <x:c r="EO148" s="4"/>
      <x:c r="EP148" s="4"/>
      <x:c r="EQ148" s="4"/>
      <x:c r="ER148" s="4"/>
      <x:c r="ES148" s="4"/>
      <x:c r="ET148" s="4"/>
      <x:c r="EU148" s="4"/>
      <x:c r="EV148" s="4"/>
      <x:c r="EW148" s="4"/>
      <x:c r="EX148" s="4"/>
      <x:c r="EY148" s="4"/>
      <x:c r="EZ148" s="4"/>
      <x:c r="FA148" s="4"/>
      <x:c r="FB148" s="4"/>
      <x:c r="FC148" s="4"/>
      <x:c r="FD148" s="4"/>
      <x:c r="FE148" s="4"/>
      <x:c r="FF148" s="4"/>
      <x:c r="FG148" s="4"/>
      <x:c r="FH148" s="4"/>
      <x:c r="FI148" s="4"/>
      <x:c r="FJ148" s="4"/>
      <x:c r="FK148" s="4"/>
      <x:c r="FL148" s="4"/>
      <x:c r="FM148" s="4"/>
      <x:c r="FN148" s="4"/>
      <x:c r="FO148" s="4"/>
    </x:row>
    <x:row r="149" ht="18" customHeight="1">
      <x:c r="A149" s="3"/>
      <x:c r="B149" s="3"/>
      <x:c r="C149" s="3"/>
      <x:c r="D149" s="3"/>
      <x:c r="E149" s="3"/>
      <x:c r="F149" s="3"/>
      <x:c r="G149" s="3"/>
      <x:c r="H149" s="3"/>
      <x:c r="I149" s="3"/>
      <x:c r="J149" s="3"/>
      <x:c r="K149" s="3"/>
      <x:c r="L149" s="3"/>
      <x:c r="M149" s="3"/>
      <x:c r="N149" s="3"/>
      <x:c r="O149" s="3"/>
      <x:c r="P149" s="3"/>
      <x:c r="Q149" s="3"/>
      <x:c r="R149" s="3"/>
      <x:c r="S149" s="3"/>
      <x:c r="T149" s="3"/>
      <x:c r="U149" s="3"/>
      <x:c r="V149" s="3"/>
      <x:c r="W149" s="3"/>
      <x:c r="X149" s="3"/>
      <x:c r="Y149" s="3"/>
      <x:c r="Z149" s="3"/>
      <x:c r="AA149" s="3"/>
      <x:c r="AB149" s="3"/>
      <x:c r="AC149" s="3"/>
      <x:c r="AD149" s="3"/>
      <x:c r="AE149" s="77"/>
      <x:c r="AF149" s="75"/>
      <x:c r="AG149" s="75"/>
      <x:c r="AH149" s="75"/>
      <x:c r="AI149" s="75"/>
      <x:c r="AJ149" s="75"/>
      <x:c r="AK149" s="75"/>
      <x:c r="AL149" s="75"/>
      <x:c r="AM149" s="75"/>
      <x:c r="AN149" s="75"/>
      <x:c r="AO149" s="75"/>
      <x:c r="AP149" s="75"/>
      <x:c r="AQ149" s="75"/>
      <x:c r="AR149" s="75"/>
      <x:c r="AS149" s="75"/>
      <x:c r="AT149" s="75"/>
      <x:c r="AU149" s="75"/>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4"/>
      <x:c r="DQ149" s="4"/>
      <x:c r="DR149" s="4"/>
      <x:c r="DS149" s="4"/>
      <x:c r="DT149" s="4"/>
      <x:c r="DU149" s="4"/>
      <x:c r="DV149" s="4"/>
      <x:c r="DW149" s="4"/>
      <x:c r="DX149" s="4"/>
      <x:c r="DY149" s="4"/>
      <x:c r="DZ149" s="4"/>
      <x:c r="EA149" s="4"/>
      <x:c r="EB149" s="4"/>
      <x:c r="EC149" s="4"/>
      <x:c r="ED149" s="4"/>
      <x:c r="EE149" s="4"/>
      <x:c r="EF149" s="4"/>
      <x:c r="EG149" s="4"/>
      <x:c r="EH149" s="4"/>
      <x:c r="EI149" s="4"/>
      <x:c r="EJ149" s="4"/>
      <x:c r="EK149" s="4"/>
      <x:c r="EL149" s="4"/>
      <x:c r="EM149" s="4"/>
      <x:c r="EN149" s="4"/>
      <x:c r="EO149" s="4"/>
      <x:c r="EP149" s="4"/>
      <x:c r="EQ149" s="4"/>
      <x:c r="ER149" s="4"/>
      <x:c r="ES149" s="4"/>
      <x:c r="ET149" s="4"/>
      <x:c r="EU149" s="4"/>
      <x:c r="EV149" s="4"/>
      <x:c r="EW149" s="4"/>
      <x:c r="EX149" s="4"/>
      <x:c r="EY149" s="4"/>
      <x:c r="EZ149" s="4"/>
      <x:c r="FA149" s="4"/>
      <x:c r="FB149" s="4"/>
      <x:c r="FC149" s="4"/>
      <x:c r="FD149" s="4"/>
      <x:c r="FE149" s="4"/>
      <x:c r="FF149" s="4"/>
      <x:c r="FG149" s="4"/>
      <x:c r="FH149" s="4"/>
      <x:c r="FI149" s="4"/>
      <x:c r="FJ149" s="4"/>
      <x:c r="FK149" s="4"/>
      <x:c r="FL149" s="4"/>
      <x:c r="FM149" s="4"/>
      <x:c r="FN149" s="4"/>
      <x:c r="FO149" s="4"/>
    </x:row>
    <x:row r="150" ht="18" customHeight="1">
      <x:c r="A150" s="3"/>
      <x:c r="B150" s="3"/>
      <x:c r="C150" s="3"/>
      <x:c r="D150" s="3"/>
      <x:c r="E150" s="3"/>
      <x:c r="F150" s="3"/>
      <x:c r="G150" s="3"/>
      <x:c r="H150" s="3"/>
      <x:c r="I150" s="3"/>
      <x:c r="J150" s="3"/>
      <x:c r="K150" s="3"/>
      <x:c r="L150" s="3"/>
      <x:c r="M150" s="3"/>
      <x:c r="N150" s="3"/>
      <x:c r="O150" s="3"/>
      <x:c r="P150" s="3"/>
      <x:c r="Q150" s="3"/>
      <x:c r="R150" s="3"/>
      <x:c r="S150" s="3"/>
      <x:c r="T150" s="3"/>
      <x:c r="U150" s="3"/>
      <x:c r="V150" s="3"/>
      <x:c r="W150" s="3"/>
      <x:c r="X150" s="3"/>
      <x:c r="Y150" s="3"/>
      <x:c r="Z150" s="3"/>
      <x:c r="AA150" s="3"/>
      <x:c r="AB150" s="3"/>
      <x:c r="AC150" s="3"/>
      <x:c r="AD150" s="3"/>
      <x:c r="AE150" s="77"/>
      <x:c r="AF150" s="75"/>
      <x:c r="AG150" s="75"/>
      <x:c r="AH150" s="75"/>
      <x:c r="AI150" s="75"/>
      <x:c r="AJ150" s="75"/>
      <x:c r="AK150" s="75"/>
      <x:c r="AL150" s="75"/>
      <x:c r="AM150" s="75"/>
      <x:c r="AN150" s="75"/>
      <x:c r="AO150" s="75"/>
      <x:c r="AP150" s="75"/>
      <x:c r="AQ150" s="75"/>
      <x:c r="AR150" s="75"/>
      <x:c r="AS150" s="75"/>
      <x:c r="AT150" s="75"/>
      <x:c r="AU150" s="75"/>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4"/>
      <x:c r="DQ150" s="4"/>
      <x:c r="DR150" s="4"/>
      <x:c r="DS150" s="4"/>
      <x:c r="DT150" s="4"/>
      <x:c r="DU150" s="4"/>
      <x:c r="DV150" s="4"/>
      <x:c r="DW150" s="4"/>
      <x:c r="DX150" s="4"/>
      <x:c r="DY150" s="4"/>
      <x:c r="DZ150" s="4"/>
      <x:c r="EA150" s="4"/>
      <x:c r="EB150" s="4"/>
      <x:c r="EC150" s="4"/>
      <x:c r="ED150" s="4"/>
      <x:c r="EE150" s="4"/>
      <x:c r="EF150" s="4"/>
      <x:c r="EG150" s="4"/>
      <x:c r="EH150" s="4"/>
      <x:c r="EI150" s="4"/>
      <x:c r="EJ150" s="4"/>
      <x:c r="EK150" s="4"/>
      <x:c r="EL150" s="4"/>
      <x:c r="EM150" s="4"/>
      <x:c r="EN150" s="4"/>
      <x:c r="EO150" s="4"/>
      <x:c r="EP150" s="4"/>
      <x:c r="EQ150" s="4"/>
      <x:c r="ER150" s="4"/>
      <x:c r="ES150" s="4"/>
      <x:c r="ET150" s="4"/>
      <x:c r="EU150" s="4"/>
      <x:c r="EV150" s="4"/>
      <x:c r="EW150" s="4"/>
      <x:c r="EX150" s="4"/>
      <x:c r="EY150" s="4"/>
      <x:c r="EZ150" s="4"/>
      <x:c r="FA150" s="4"/>
      <x:c r="FB150" s="4"/>
      <x:c r="FC150" s="4"/>
      <x:c r="FD150" s="4"/>
      <x:c r="FE150" s="4"/>
      <x:c r="FF150" s="4"/>
      <x:c r="FG150" s="4"/>
      <x:c r="FH150" s="4"/>
      <x:c r="FI150" s="4"/>
      <x:c r="FJ150" s="4"/>
      <x:c r="FK150" s="4"/>
      <x:c r="FL150" s="4"/>
      <x:c r="FM150" s="4"/>
      <x:c r="FN150" s="4"/>
      <x:c r="FO150" s="4"/>
    </x:row>
    <x:row r="151" ht="18" customHeight="1">
      <x:c r="A151" s="3"/>
      <x:c r="B151" s="22" t="str">
        <x:v>Assessment against thresholds · Combined, What and How</x:v>
      </x:c>
      <x:c r="C151" s="22" t="str">
        <x:v>Assessment against thresholds · Combined, What and How</x:v>
      </x:c>
      <x:c r="D151" s="22" t="str">
        <x:v>Assessment against thresholds · Combined, What and How</x:v>
      </x:c>
      <x:c r="E151" s="22" t="str">
        <x:v>Assessment against thresholds · Combined, What and How</x:v>
      </x:c>
      <x:c r="F151" s="22" t="str">
        <x:v>Assessment against thresholds · Combined, What and How</x:v>
      </x:c>
      <x:c r="G151" s="22" t="str">
        <x:v>Assessment against thresholds · Combined, What and How</x:v>
      </x:c>
      <x:c r="H151" s="22" t="str">
        <x:v>Assessment against thresholds · Combined, What and How</x:v>
      </x:c>
      <x:c r="I151" s="22" t="str">
        <x:v>Assessment against thresholds · Combined, What and How</x:v>
      </x:c>
      <x:c r="J151" s="22" t="str">
        <x:v>Assessment against thresholds · Combined, What and How</x:v>
      </x:c>
      <x:c r="K151" s="22" t="str">
        <x:v>Assessment against thresholds · Combined, What and How</x:v>
      </x:c>
      <x:c r="L151" s="22" t="str">
        <x:v>Assessment against thresholds · Combined, What and How</x:v>
      </x:c>
      <x:c r="M151" s="22" t="str">
        <x:v>Assessment against thresholds · Combined, What and How</x:v>
      </x:c>
      <x:c r="N151" s="22" t="str">
        <x:v>Assessment against thresholds · Combined, What and How</x:v>
      </x:c>
      <x:c r="O151" s="22" t="str">
        <x:v>Assessment against thresholds · Combined, What and How</x:v>
      </x:c>
      <x:c r="P151" s="22" t="str">
        <x:v>Assessment against thresholds · Combined, What and How</x:v>
      </x:c>
      <x:c r="Q151" s="22" t="str">
        <x:v>Assessment against thresholds · Combined, What and How</x:v>
      </x:c>
      <x:c r="R151" s="22" t="str">
        <x:v>Assessment against thresholds · Combined, What and How</x:v>
      </x:c>
      <x:c r="S151" s="22" t="str">
        <x:v>Assessment against thresholds · Combined, What and How</x:v>
      </x:c>
      <x:c r="T151" s="22" t="str">
        <x:v>Assessment against thresholds · Combined, What and How</x:v>
      </x:c>
      <x:c r="U151" s="22" t="str">
        <x:v>Assessment against thresholds · Combined, What and How</x:v>
      </x:c>
      <x:c r="V151" s="22" t="str">
        <x:v>Assessment against thresholds · Combined, What and How</x:v>
      </x:c>
      <x:c r="W151" s="22" t="str">
        <x:v>Assessment against thresholds · Combined, What and How</x:v>
      </x:c>
      <x:c r="X151" s="22" t="str">
        <x:v>Assessment against thresholds · Combined, What and How</x:v>
      </x:c>
      <x:c r="Y151" s="22" t="str">
        <x:v>Assessment against thresholds · Combined, What and How</x:v>
      </x:c>
      <x:c r="Z151" s="22" t="str">
        <x:v>Assessment against thresholds · Combined, What and How</x:v>
      </x:c>
      <x:c r="AA151" s="22" t="str">
        <x:v>Assessment against thresholds · Combined, What and How</x:v>
      </x:c>
      <x:c r="AB151" s="22" t="str">
        <x:v>Assessment against thresholds · Combined, What and How</x:v>
      </x:c>
      <x:c r="AC151" s="22" t="str">
        <x:v>Assessment against thresholds · Combined, What and How</x:v>
      </x:c>
      <x:c r="AD151" s="3"/>
      <x:c r="AE151" s="77"/>
      <x:c r="AF151" s="75"/>
      <x:c r="AG151" s="75"/>
      <x:c r="AH151" s="75"/>
      <x:c r="AI151" s="75"/>
      <x:c r="AJ151" s="75"/>
      <x:c r="AK151" s="75"/>
      <x:c r="AL151" s="75"/>
      <x:c r="AM151" s="75"/>
      <x:c r="AN151" s="75"/>
      <x:c r="AO151" s="75"/>
      <x:c r="AP151" s="75"/>
      <x:c r="AQ151" s="75"/>
      <x:c r="AR151" s="75"/>
      <x:c r="AS151" s="75"/>
      <x:c r="AT151" s="75"/>
      <x:c r="AU151" s="75"/>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4"/>
      <x:c r="DQ151" s="4"/>
      <x:c r="DR151" s="4"/>
      <x:c r="DS151" s="4"/>
      <x:c r="DT151" s="4"/>
      <x:c r="DU151" s="4"/>
      <x:c r="DV151" s="4"/>
      <x:c r="DW151" s="4"/>
      <x:c r="DX151" s="4"/>
      <x:c r="DY151" s="4"/>
      <x:c r="DZ151" s="4"/>
      <x:c r="EA151" s="4"/>
      <x:c r="EB151" s="4"/>
      <x:c r="EC151" s="4"/>
      <x:c r="ED151" s="4"/>
      <x:c r="EE151" s="4"/>
      <x:c r="EF151" s="4"/>
      <x:c r="EG151" s="4"/>
      <x:c r="EH151" s="4"/>
      <x:c r="EI151" s="4"/>
      <x:c r="EJ151" s="4"/>
      <x:c r="EK151" s="4"/>
      <x:c r="EL151" s="4"/>
      <x:c r="EM151" s="4"/>
      <x:c r="EN151" s="4"/>
      <x:c r="EO151" s="4"/>
      <x:c r="EP151" s="4"/>
      <x:c r="EQ151" s="4"/>
      <x:c r="ER151" s="4"/>
      <x:c r="ES151" s="4"/>
      <x:c r="ET151" s="4"/>
      <x:c r="EU151" s="4"/>
      <x:c r="EV151" s="4"/>
      <x:c r="EW151" s="4"/>
      <x:c r="EX151" s="4"/>
      <x:c r="EY151" s="4"/>
      <x:c r="EZ151" s="4"/>
      <x:c r="FA151" s="4"/>
      <x:c r="FB151" s="4"/>
      <x:c r="FC151" s="4"/>
      <x:c r="FD151" s="4"/>
      <x:c r="FE151" s="4"/>
      <x:c r="FF151" s="4"/>
      <x:c r="FG151" s="4"/>
      <x:c r="FH151" s="4"/>
      <x:c r="FI151" s="4"/>
      <x:c r="FJ151" s="4"/>
      <x:c r="FK151" s="4"/>
      <x:c r="FL151" s="4"/>
      <x:c r="FM151" s="4"/>
      <x:c r="FN151" s="4"/>
      <x:c r="FO151" s="4"/>
    </x:row>
    <x:row r="152" ht="18" customHeight="1">
      <x:c r="A152" s="3"/>
      <x:c r="B152" s="22" t="str">
        <x:v>Assessment against thresholds · Combined, What and How</x:v>
      </x:c>
      <x:c r="C152" s="22" t="str">
        <x:v>Assessment against thresholds · Combined, What and How</x:v>
      </x:c>
      <x:c r="D152" s="22" t="str">
        <x:v>Assessment against thresholds · Combined, What and How</x:v>
      </x:c>
      <x:c r="E152" s="22" t="str">
        <x:v>Assessment against thresholds · Combined, What and How</x:v>
      </x:c>
      <x:c r="F152" s="22" t="str">
        <x:v>Assessment against thresholds · Combined, What and How</x:v>
      </x:c>
      <x:c r="G152" s="22" t="str">
        <x:v>Assessment against thresholds · Combined, What and How</x:v>
      </x:c>
      <x:c r="H152" s="22" t="str">
        <x:v>Assessment against thresholds · Combined, What and How</x:v>
      </x:c>
      <x:c r="I152" s="22" t="str">
        <x:v>Assessment against thresholds · Combined, What and How</x:v>
      </x:c>
      <x:c r="J152" s="22" t="str">
        <x:v>Assessment against thresholds · Combined, What and How</x:v>
      </x:c>
      <x:c r="K152" s="22" t="str">
        <x:v>Assessment against thresholds · Combined, What and How</x:v>
      </x:c>
      <x:c r="L152" s="22" t="str">
        <x:v>Assessment against thresholds · Combined, What and How</x:v>
      </x:c>
      <x:c r="M152" s="22" t="str">
        <x:v>Assessment against thresholds · Combined, What and How</x:v>
      </x:c>
      <x:c r="N152" s="22" t="str">
        <x:v>Assessment against thresholds · Combined, What and How</x:v>
      </x:c>
      <x:c r="O152" s="22" t="str">
        <x:v>Assessment against thresholds · Combined, What and How</x:v>
      </x:c>
      <x:c r="P152" s="22" t="str">
        <x:v>Assessment against thresholds · Combined, What and How</x:v>
      </x:c>
      <x:c r="Q152" s="22" t="str">
        <x:v>Assessment against thresholds · Combined, What and How</x:v>
      </x:c>
      <x:c r="R152" s="22" t="str">
        <x:v>Assessment against thresholds · Combined, What and How</x:v>
      </x:c>
      <x:c r="S152" s="22" t="str">
        <x:v>Assessment against thresholds · Combined, What and How</x:v>
      </x:c>
      <x:c r="T152" s="22" t="str">
        <x:v>Assessment against thresholds · Combined, What and How</x:v>
      </x:c>
      <x:c r="U152" s="22" t="str">
        <x:v>Assessment against thresholds · Combined, What and How</x:v>
      </x:c>
      <x:c r="V152" s="22" t="str">
        <x:v>Assessment against thresholds · Combined, What and How</x:v>
      </x:c>
      <x:c r="W152" s="22" t="str">
        <x:v>Assessment against thresholds · Combined, What and How</x:v>
      </x:c>
      <x:c r="X152" s="22" t="str">
        <x:v>Assessment against thresholds · Combined, What and How</x:v>
      </x:c>
      <x:c r="Y152" s="22" t="str">
        <x:v>Assessment against thresholds · Combined, What and How</x:v>
      </x:c>
      <x:c r="Z152" s="22" t="str">
        <x:v>Assessment against thresholds · Combined, What and How</x:v>
      </x:c>
      <x:c r="AA152" s="22" t="str">
        <x:v>Assessment against thresholds · Combined, What and How</x:v>
      </x:c>
      <x:c r="AB152" s="22" t="str">
        <x:v>Assessment against thresholds · Combined, What and How</x:v>
      </x:c>
      <x:c r="AC152" s="22" t="str">
        <x:v>Assessment against thresholds · Combined, What and How</x:v>
      </x:c>
      <x:c r="AD152" s="3"/>
      <x:c r="AE152" s="77"/>
      <x:c r="AF152" s="75"/>
      <x:c r="AG152" s="75"/>
      <x:c r="AH152" s="75"/>
      <x:c r="AI152" s="75"/>
      <x:c r="AJ152" s="75"/>
      <x:c r="AK152" s="75"/>
      <x:c r="AL152" s="75"/>
      <x:c r="AM152" s="75"/>
      <x:c r="AN152" s="75"/>
      <x:c r="AO152" s="75"/>
      <x:c r="AP152" s="75"/>
      <x:c r="AQ152" s="75"/>
      <x:c r="AR152" s="75"/>
      <x:c r="AS152" s="75"/>
      <x:c r="AT152" s="75"/>
      <x:c r="AU152" s="75"/>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4"/>
      <x:c r="DQ152" s="4"/>
      <x:c r="DR152" s="4"/>
      <x:c r="DS152" s="4"/>
      <x:c r="DT152" s="4"/>
      <x:c r="DU152" s="4"/>
      <x:c r="DV152" s="4"/>
      <x:c r="DW152" s="4"/>
      <x:c r="DX152" s="4"/>
      <x:c r="DY152" s="4"/>
      <x:c r="DZ152" s="4"/>
      <x:c r="EA152" s="4"/>
      <x:c r="EB152" s="4"/>
      <x:c r="EC152" s="4"/>
      <x:c r="ED152" s="4"/>
      <x:c r="EE152" s="4"/>
      <x:c r="EF152" s="4"/>
      <x:c r="EG152" s="4"/>
      <x:c r="EH152" s="4"/>
      <x:c r="EI152" s="4"/>
      <x:c r="EJ152" s="4"/>
      <x:c r="EK152" s="4"/>
      <x:c r="EL152" s="4"/>
      <x:c r="EM152" s="4"/>
      <x:c r="EN152" s="4"/>
      <x:c r="EO152" s="4"/>
      <x:c r="EP152" s="4"/>
      <x:c r="EQ152" s="4"/>
      <x:c r="ER152" s="4"/>
      <x:c r="ES152" s="4"/>
      <x:c r="ET152" s="4"/>
      <x:c r="EU152" s="4"/>
      <x:c r="EV152" s="4"/>
      <x:c r="EW152" s="4"/>
      <x:c r="EX152" s="4"/>
      <x:c r="EY152" s="4"/>
      <x:c r="EZ152" s="4"/>
      <x:c r="FA152" s="4"/>
      <x:c r="FB152" s="4"/>
      <x:c r="FC152" s="4"/>
      <x:c r="FD152" s="4"/>
      <x:c r="FE152" s="4"/>
      <x:c r="FF152" s="4"/>
      <x:c r="FG152" s="4"/>
      <x:c r="FH152" s="4"/>
      <x:c r="FI152" s="4"/>
      <x:c r="FJ152" s="4"/>
      <x:c r="FK152" s="4"/>
      <x:c r="FL152" s="4"/>
      <x:c r="FM152" s="4"/>
      <x:c r="FN152" s="4"/>
      <x:c r="FO152" s="4"/>
    </x:row>
    <x:row r="153" ht="18" customHeight="1">
      <x:c r="A153" s="3"/>
      <x:c r="B153" s="8" t="str">
        <x:f>'Calculations'!$GB$153</x:f>
        <x:v>All managers: aggregate overview only. Select a Manager to assess their immediate direct reports.</x:v>
      </x:c>
      <x:c r="C153" s="8"/>
      <x:c r="D153" s="8"/>
      <x:c r="E153" s="8"/>
      <x:c r="F153" s="8"/>
      <x:c r="G153" s="8"/>
      <x:c r="H153" s="8"/>
      <x:c r="I153" s="8"/>
      <x:c r="J153" s="8"/>
      <x:c r="K153" s="8"/>
      <x:c r="L153" s="8"/>
      <x:c r="M153" s="8"/>
      <x:c r="N153" s="8"/>
      <x:c r="O153" s="8"/>
      <x:c r="P153" s="8"/>
      <x:c r="Q153" s="8"/>
      <x:c r="R153" s="8"/>
      <x:c r="S153" s="8"/>
      <x:c r="T153" s="8"/>
      <x:c r="U153" s="8"/>
      <x:c r="V153" s="8"/>
      <x:c r="W153" s="8"/>
      <x:c r="X153" s="8"/>
      <x:c r="Y153" s="8"/>
      <x:c r="Z153" s="8"/>
      <x:c r="AA153" s="8"/>
      <x:c r="AB153" s="8"/>
      <x:c r="AC153" s="8"/>
      <x:c r="AD153" s="3"/>
      <x:c r="AE153" s="77"/>
      <x:c r="AF153" s="75"/>
      <x:c r="AG153" s="75"/>
      <x:c r="AH153" s="75"/>
      <x:c r="AI153" s="75"/>
      <x:c r="AJ153" s="75"/>
      <x:c r="AK153" s="75"/>
      <x:c r="AL153" s="75"/>
      <x:c r="AM153" s="75"/>
      <x:c r="AN153" s="75"/>
      <x:c r="AO153" s="75"/>
      <x:c r="AP153" s="75"/>
      <x:c r="AQ153" s="75"/>
      <x:c r="AR153" s="75"/>
      <x:c r="AS153" s="75"/>
      <x:c r="AT153" s="75"/>
      <x:c r="AU153" s="75"/>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4"/>
      <x:c r="DQ153" s="4"/>
      <x:c r="DR153" s="4"/>
      <x:c r="DS153" s="4"/>
      <x:c r="DT153" s="4"/>
      <x:c r="DU153" s="4"/>
      <x:c r="DV153" s="4"/>
      <x:c r="DW153" s="4"/>
      <x:c r="DX153" s="4"/>
      <x:c r="DY153" s="4"/>
      <x:c r="DZ153" s="4"/>
      <x:c r="EA153" s="4"/>
      <x:c r="EB153" s="4"/>
      <x:c r="EC153" s="4"/>
      <x:c r="ED153" s="4"/>
      <x:c r="EE153" s="4"/>
      <x:c r="EF153" s="4"/>
      <x:c r="EG153" s="4"/>
      <x:c r="EH153" s="4"/>
      <x:c r="EI153" s="4"/>
      <x:c r="EJ153" s="4"/>
      <x:c r="EK153" s="4"/>
      <x:c r="EL153" s="4"/>
      <x:c r="EM153" s="4"/>
      <x:c r="EN153" s="4"/>
      <x:c r="EO153" s="4"/>
      <x:c r="EP153" s="4"/>
      <x:c r="EQ153" s="4"/>
      <x:c r="ER153" s="4"/>
      <x:c r="ES153" s="4"/>
      <x:c r="ET153" s="4"/>
      <x:c r="EU153" s="4"/>
      <x:c r="EV153" s="4"/>
      <x:c r="EW153" s="4"/>
      <x:c r="EX153" s="4"/>
      <x:c r="EY153" s="4"/>
      <x:c r="EZ153" s="4"/>
      <x:c r="FA153" s="4"/>
      <x:c r="FB153" s="4"/>
      <x:c r="FC153" s="4"/>
      <x:c r="FD153" s="4"/>
      <x:c r="FE153" s="4"/>
      <x:c r="FF153" s="4"/>
      <x:c r="FG153" s="4"/>
      <x:c r="FH153" s="4"/>
      <x:c r="FI153" s="4"/>
      <x:c r="FJ153" s="4"/>
      <x:c r="FK153" s="4"/>
      <x:c r="FL153" s="4"/>
      <x:c r="FM153" s="4"/>
      <x:c r="FN153" s="4"/>
      <x:c r="FO153" s="4"/>
    </x:row>
    <x:row r="154" ht="18" customHeight="1">
      <x:c r="A154" s="3"/>
      <x:c r="B154" s="52" t="str">
        <x:v>Distribution</x:v>
      </x:c>
      <x:c r="C154" s="52" t="str">
        <x:v>Distribution</x:v>
      </x:c>
      <x:c r="D154" s="52" t="str">
        <x:v>Distribution</x:v>
      </x:c>
      <x:c r="E154" s="52" t="str">
        <x:v>Distribution</x:v>
      </x:c>
      <x:c r="F154" s="52" t="str">
        <x:v>Rating / category</x:v>
      </x:c>
      <x:c r="G154" s="52" t="str">
        <x:v>Rating / category</x:v>
      </x:c>
      <x:c r="H154" s="52" t="str">
        <x:v>Rating / category</x:v>
      </x:c>
      <x:c r="I154" s="52" t="str">
        <x:v>Rating / category</x:v>
      </x:c>
      <x:c r="J154" s="52" t="str">
        <x:v>Rating / category</x:v>
      </x:c>
      <x:c r="K154" s="52" t="str">
        <x:v>Rating / category</x:v>
      </x:c>
      <x:c r="L154" s="52" t="str">
        <x:v>Count</x:v>
      </x:c>
      <x:c r="M154" s="52" t="str">
        <x:v>Count</x:v>
      </x:c>
      <x:c r="N154" s="52" t="str">
        <x:v>Count</x:v>
      </x:c>
      <x:c r="O154" s="52" t="str">
        <x:v>Actual</x:v>
      </x:c>
      <x:c r="P154" s="52" t="str">
        <x:v>Actual</x:v>
      </x:c>
      <x:c r="Q154" s="52" t="str">
        <x:v>Actual</x:v>
      </x:c>
      <x:c r="R154" s="52" t="str">
        <x:v>Threshold</x:v>
      </x:c>
      <x:c r="S154" s="52" t="str">
        <x:v>Threshold</x:v>
      </x:c>
      <x:c r="T154" s="52" t="str">
        <x:v>Threshold</x:v>
      </x:c>
      <x:c r="U154" s="52" t="str">
        <x:v>Gap (pp)</x:v>
      </x:c>
      <x:c r="V154" s="52" t="str">
        <x:v>Gap (pp)</x:v>
      </x:c>
      <x:c r="W154" s="52" t="str">
        <x:v>Gap (pp)</x:v>
      </x:c>
      <x:c r="X154" s="52" t="str">
        <x:v>Assessment</x:v>
      </x:c>
      <x:c r="Y154" s="52" t="str">
        <x:v>Assessment</x:v>
      </x:c>
      <x:c r="Z154" s="52" t="str">
        <x:v>Assessment</x:v>
      </x:c>
      <x:c r="AA154" s="52" t="str">
        <x:v>Assessment</x:v>
      </x:c>
      <x:c r="AB154" s="52" t="str">
        <x:v>Assessment</x:v>
      </x:c>
      <x:c r="AC154" s="52" t="str">
        <x:v>Assessment</x:v>
      </x:c>
      <x:c r="AD154" s="3"/>
      <x:c r="AE154" s="77"/>
      <x:c r="AF154" s="75"/>
      <x:c r="AG154" s="75"/>
      <x:c r="AH154" s="75"/>
      <x:c r="AI154" s="75"/>
      <x:c r="AJ154" s="75"/>
      <x:c r="AK154" s="75"/>
      <x:c r="AL154" s="75"/>
      <x:c r="AM154" s="75"/>
      <x:c r="AN154" s="75"/>
      <x:c r="AO154" s="75"/>
      <x:c r="AP154" s="75"/>
      <x:c r="AQ154" s="75"/>
      <x:c r="AR154" s="75"/>
      <x:c r="AS154" s="75"/>
      <x:c r="AT154" s="75"/>
      <x:c r="AU154" s="75"/>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4"/>
      <x:c r="DQ154" s="4"/>
      <x:c r="DR154" s="4"/>
      <x:c r="DS154" s="4"/>
      <x:c r="DT154" s="4"/>
      <x:c r="DU154" s="4"/>
      <x:c r="DV154" s="4"/>
      <x:c r="DW154" s="4"/>
      <x:c r="DX154" s="4"/>
      <x:c r="DY154" s="4"/>
      <x:c r="DZ154" s="4"/>
      <x:c r="EA154" s="4"/>
      <x:c r="EB154" s="4"/>
      <x:c r="EC154" s="4"/>
      <x:c r="ED154" s="4"/>
      <x:c r="EE154" s="4"/>
      <x:c r="EF154" s="4"/>
      <x:c r="EG154" s="4"/>
      <x:c r="EH154" s="4"/>
      <x:c r="EI154" s="4"/>
      <x:c r="EJ154" s="4"/>
      <x:c r="EK154" s="4"/>
      <x:c r="EL154" s="4"/>
      <x:c r="EM154" s="4"/>
      <x:c r="EN154" s="4"/>
      <x:c r="EO154" s="4"/>
      <x:c r="EP154" s="4"/>
      <x:c r="EQ154" s="4"/>
      <x:c r="ER154" s="4"/>
      <x:c r="ES154" s="4"/>
      <x:c r="ET154" s="4"/>
      <x:c r="EU154" s="4"/>
      <x:c r="EV154" s="4"/>
      <x:c r="EW154" s="4"/>
      <x:c r="EX154" s="4"/>
      <x:c r="EY154" s="4"/>
      <x:c r="EZ154" s="4"/>
      <x:c r="FA154" s="4"/>
      <x:c r="FB154" s="4"/>
      <x:c r="FC154" s="4"/>
      <x:c r="FD154" s="4"/>
      <x:c r="FE154" s="4"/>
      <x:c r="FF154" s="4"/>
      <x:c r="FG154" s="4"/>
      <x:c r="FH154" s="4"/>
      <x:c r="FI154" s="4"/>
      <x:c r="FJ154" s="4"/>
      <x:c r="FK154" s="4"/>
      <x:c r="FL154" s="4"/>
      <x:c r="FM154" s="4"/>
      <x:c r="FN154" s="4"/>
      <x:c r="FO154" s="4"/>
    </x:row>
    <x:row r="155" ht="24" customHeight="1">
      <x:c r="A155" s="3"/>
      <x:c r="B155" s="60" t="str">
        <x:v>Combined</x:v>
      </x:c>
      <x:c r="C155" s="60"/>
      <x:c r="D155" s="60"/>
      <x:c r="E155" s="60"/>
      <x:c r="F155" s="60" t="str">
        <x:v>High</x:v>
      </x:c>
      <x:c r="G155" s="60"/>
      <x:c r="H155" s="60"/>
      <x:c r="I155" s="60"/>
      <x:c r="J155" s="60"/>
      <x:c r="K155" s="60"/>
      <x:c r="L155" s="61" t="n">
        <x:f>'Calculations'!$GL$155</x:f>
        <x:v>0</x:v>
      </x:c>
      <x:c r="M155" s="61"/>
      <x:c r="N155" s="61"/>
      <x:c r="O155" s="62" t="str">
        <x:f>IF(ISNUMBER('Calculations'!$GO$155),'Calculations'!$GO$155,"")</x:f>
      </x:c>
      <x:c r="P155" s="61"/>
      <x:c r="Q155" s="61"/>
      <x:c r="R155" s="62" t="n">
        <x:f>IF(ISNUMBER('Calculations'!$GR$155),'Calculations'!$GR$155,"")</x:f>
        <x:v>0.1</x:v>
      </x:c>
      <x:c r="S155" s="61"/>
      <x:c r="T155" s="61"/>
      <x:c r="U155" s="63" t="str">
        <x:f>IF(ISNUMBER('Calculations'!$GU$155),'Calculations'!$GU$155,"")</x:f>
      </x:c>
      <x:c r="V155" s="61"/>
      <x:c r="W155" s="61"/>
      <x:c r="X155" s="60" t="str">
        <x:f>'Calculations'!$GX$155</x:f>
        <x:v>Source unavailable</x:v>
      </x:c>
      <x:c r="Y155" s="60"/>
      <x:c r="Z155" s="60"/>
      <x:c r="AA155" s="60"/>
      <x:c r="AB155" s="60"/>
      <x:c r="AC155" s="60"/>
      <x:c r="AD155" s="3"/>
      <x:c r="AE155" s="77"/>
      <x:c r="AF155" s="75"/>
      <x:c r="AG155" s="75"/>
      <x:c r="AH155" s="75"/>
      <x:c r="AI155" s="75"/>
      <x:c r="AJ155" s="75"/>
      <x:c r="AK155" s="75"/>
      <x:c r="AL155" s="75"/>
      <x:c r="AM155" s="75"/>
      <x:c r="AN155" s="75"/>
      <x:c r="AO155" s="75"/>
      <x:c r="AP155" s="75"/>
      <x:c r="AQ155" s="75"/>
      <x:c r="AR155" s="75"/>
      <x:c r="AS155" s="75"/>
      <x:c r="AT155" s="75"/>
      <x:c r="AU155" s="75"/>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4"/>
      <x:c r="DQ155" s="4"/>
      <x:c r="DR155" s="4"/>
      <x:c r="DS155" s="4"/>
      <x:c r="DT155" s="4"/>
      <x:c r="DU155" s="4"/>
      <x:c r="DV155" s="4"/>
      <x:c r="DW155" s="4"/>
      <x:c r="DX155" s="4"/>
      <x:c r="DY155" s="4"/>
      <x:c r="DZ155" s="4"/>
      <x:c r="EA155" s="4"/>
      <x:c r="EB155" s="4"/>
      <x:c r="EC155" s="4"/>
      <x:c r="ED155" s="4"/>
      <x:c r="EE155" s="4"/>
      <x:c r="EF155" s="4"/>
      <x:c r="EG155" s="4"/>
      <x:c r="EH155" s="4"/>
      <x:c r="EI155" s="4"/>
      <x:c r="EJ155" s="4"/>
      <x:c r="EK155" s="4"/>
      <x:c r="EL155" s="4"/>
      <x:c r="EM155" s="4"/>
      <x:c r="EN155" s="4"/>
      <x:c r="EO155" s="4"/>
      <x:c r="EP155" s="4"/>
      <x:c r="EQ155" s="4"/>
      <x:c r="ER155" s="4"/>
      <x:c r="ES155" s="4"/>
      <x:c r="ET155" s="4"/>
      <x:c r="EU155" s="4"/>
      <x:c r="EV155" s="4"/>
      <x:c r="EW155" s="4"/>
      <x:c r="EX155" s="4"/>
      <x:c r="EY155" s="4"/>
      <x:c r="EZ155" s="4"/>
      <x:c r="FA155" s="4"/>
      <x:c r="FB155" s="4"/>
      <x:c r="FC155" s="4"/>
      <x:c r="FD155" s="4"/>
      <x:c r="FE155" s="4"/>
      <x:c r="FF155" s="4"/>
      <x:c r="FG155" s="4"/>
      <x:c r="FH155" s="4"/>
      <x:c r="FI155" s="4"/>
      <x:c r="FJ155" s="4"/>
      <x:c r="FK155" s="4"/>
      <x:c r="FL155" s="4"/>
      <x:c r="FM155" s="4"/>
      <x:c r="FN155" s="4"/>
      <x:c r="FO155" s="4"/>
    </x:row>
    <x:row r="156" ht="24" customHeight="1">
      <x:c r="A156" s="3"/>
      <x:c r="B156" s="60" t="str">
        <x:v>Combined</x:v>
      </x:c>
      <x:c r="C156" s="60"/>
      <x:c r="D156" s="60"/>
      <x:c r="E156" s="60"/>
      <x:c r="F156" s="60" t="str">
        <x:v>Strong</x:v>
      </x:c>
      <x:c r="G156" s="60"/>
      <x:c r="H156" s="60"/>
      <x:c r="I156" s="60"/>
      <x:c r="J156" s="60"/>
      <x:c r="K156" s="60"/>
      <x:c r="L156" s="61" t="n">
        <x:f>'Calculations'!$GL$156</x:f>
        <x:v>0</x:v>
      </x:c>
      <x:c r="M156" s="61"/>
      <x:c r="N156" s="61"/>
      <x:c r="O156" s="62" t="str">
        <x:f>IF(ISNUMBER('Calculations'!$GO$156),'Calculations'!$GO$156,"")</x:f>
      </x:c>
      <x:c r="P156" s="61"/>
      <x:c r="Q156" s="61"/>
      <x:c r="R156" s="62" t="n">
        <x:f>IF(ISNUMBER('Calculations'!$GR$156),'Calculations'!$GR$156,"")</x:f>
        <x:v>0.3</x:v>
      </x:c>
      <x:c r="S156" s="61"/>
      <x:c r="T156" s="61"/>
      <x:c r="U156" s="63" t="str">
        <x:f>IF(ISNUMBER('Calculations'!$GU$156),'Calculations'!$GU$156,"")</x:f>
      </x:c>
      <x:c r="V156" s="61"/>
      <x:c r="W156" s="61"/>
      <x:c r="X156" s="60" t="str">
        <x:f>'Calculations'!$GX$156</x:f>
        <x:v>Source unavailable</x:v>
      </x:c>
      <x:c r="Y156" s="60"/>
      <x:c r="Z156" s="60"/>
      <x:c r="AA156" s="60"/>
      <x:c r="AB156" s="60"/>
      <x:c r="AC156" s="60"/>
      <x:c r="AD156" s="3"/>
      <x:c r="AE156" s="77"/>
      <x:c r="AF156" s="75"/>
      <x:c r="AG156" s="75"/>
      <x:c r="AH156" s="75"/>
      <x:c r="AI156" s="75"/>
      <x:c r="AJ156" s="75"/>
      <x:c r="AK156" s="75"/>
      <x:c r="AL156" s="75"/>
      <x:c r="AM156" s="75"/>
      <x:c r="AN156" s="75"/>
      <x:c r="AO156" s="75"/>
      <x:c r="AP156" s="75"/>
      <x:c r="AQ156" s="75"/>
      <x:c r="AR156" s="75"/>
      <x:c r="AS156" s="75"/>
      <x:c r="AT156" s="75"/>
      <x:c r="AU156" s="75"/>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4"/>
      <x:c r="DQ156" s="4"/>
      <x:c r="DR156" s="4"/>
      <x:c r="DS156" s="4"/>
      <x:c r="DT156" s="4"/>
      <x:c r="DU156" s="4"/>
      <x:c r="DV156" s="4"/>
      <x:c r="DW156" s="4"/>
      <x:c r="DX156" s="4"/>
      <x:c r="DY156" s="4"/>
      <x:c r="DZ156" s="4"/>
      <x:c r="EA156" s="4"/>
      <x:c r="EB156" s="4"/>
      <x:c r="EC156" s="4"/>
      <x:c r="ED156" s="4"/>
      <x:c r="EE156" s="4"/>
      <x:c r="EF156" s="4"/>
      <x:c r="EG156" s="4"/>
      <x:c r="EH156" s="4"/>
      <x:c r="EI156" s="4"/>
      <x:c r="EJ156" s="4"/>
      <x:c r="EK156" s="4"/>
      <x:c r="EL156" s="4"/>
      <x:c r="EM156" s="4"/>
      <x:c r="EN156" s="4"/>
      <x:c r="EO156" s="4"/>
      <x:c r="EP156" s="4"/>
      <x:c r="EQ156" s="4"/>
      <x:c r="ER156" s="4"/>
      <x:c r="ES156" s="4"/>
      <x:c r="ET156" s="4"/>
      <x:c r="EU156" s="4"/>
      <x:c r="EV156" s="4"/>
      <x:c r="EW156" s="4"/>
      <x:c r="EX156" s="4"/>
      <x:c r="EY156" s="4"/>
      <x:c r="EZ156" s="4"/>
      <x:c r="FA156" s="4"/>
      <x:c r="FB156" s="4"/>
      <x:c r="FC156" s="4"/>
      <x:c r="FD156" s="4"/>
      <x:c r="FE156" s="4"/>
      <x:c r="FF156" s="4"/>
      <x:c r="FG156" s="4"/>
      <x:c r="FH156" s="4"/>
      <x:c r="FI156" s="4"/>
      <x:c r="FJ156" s="4"/>
      <x:c r="FK156" s="4"/>
      <x:c r="FL156" s="4"/>
      <x:c r="FM156" s="4"/>
      <x:c r="FN156" s="4"/>
      <x:c r="FO156" s="4"/>
    </x:row>
    <x:row r="157" ht="24" customHeight="1">
      <x:c r="A157" s="3"/>
      <x:c r="B157" s="60" t="str">
        <x:v>Combined</x:v>
      </x:c>
      <x:c r="C157" s="60"/>
      <x:c r="D157" s="60"/>
      <x:c r="E157" s="60"/>
      <x:c r="F157" s="60" t="str">
        <x:v>Solid</x:v>
      </x:c>
      <x:c r="G157" s="60"/>
      <x:c r="H157" s="60"/>
      <x:c r="I157" s="60"/>
      <x:c r="J157" s="60"/>
      <x:c r="K157" s="60"/>
      <x:c r="L157" s="61" t="n">
        <x:f>'Calculations'!$GL$157</x:f>
        <x:v>0</x:v>
      </x:c>
      <x:c r="M157" s="61"/>
      <x:c r="N157" s="61"/>
      <x:c r="O157" s="62" t="str">
        <x:f>IF(ISNUMBER('Calculations'!$GO$157),'Calculations'!$GO$157,"")</x:f>
      </x:c>
      <x:c r="P157" s="61"/>
      <x:c r="Q157" s="61"/>
      <x:c r="R157" s="62" t="n">
        <x:f>IF(ISNUMBER('Calculations'!$GR$157),'Calculations'!$GR$157,"")</x:f>
        <x:v>0.65</x:v>
      </x:c>
      <x:c r="S157" s="61"/>
      <x:c r="T157" s="61"/>
      <x:c r="U157" s="63" t="str">
        <x:f>IF(ISNUMBER('Calculations'!$GU$157),'Calculations'!$GU$157,"")</x:f>
      </x:c>
      <x:c r="V157" s="61"/>
      <x:c r="W157" s="61"/>
      <x:c r="X157" s="60" t="str">
        <x:f>'Calculations'!$GX$157</x:f>
        <x:v>Source unavailable</x:v>
      </x:c>
      <x:c r="Y157" s="60"/>
      <x:c r="Z157" s="60"/>
      <x:c r="AA157" s="60"/>
      <x:c r="AB157" s="60"/>
      <x:c r="AC157" s="60"/>
      <x:c r="AD157" s="3"/>
      <x:c r="AE157" s="77"/>
      <x:c r="AF157" s="75"/>
      <x:c r="AG157" s="75"/>
      <x:c r="AH157" s="75"/>
      <x:c r="AI157" s="75"/>
      <x:c r="AJ157" s="75"/>
      <x:c r="AK157" s="75"/>
      <x:c r="AL157" s="75"/>
      <x:c r="AM157" s="75"/>
      <x:c r="AN157" s="75"/>
      <x:c r="AO157" s="75"/>
      <x:c r="AP157" s="75"/>
      <x:c r="AQ157" s="75"/>
      <x:c r="AR157" s="75"/>
      <x:c r="AS157" s="75"/>
      <x:c r="AT157" s="75"/>
      <x:c r="AU157" s="75"/>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4"/>
      <x:c r="DQ157" s="4"/>
      <x:c r="DR157" s="4"/>
      <x:c r="DS157" s="4"/>
      <x:c r="DT157" s="4"/>
      <x:c r="DU157" s="4"/>
      <x:c r="DV157" s="4"/>
      <x:c r="DW157" s="4"/>
      <x:c r="DX157" s="4"/>
      <x:c r="DY157" s="4"/>
      <x:c r="DZ157" s="4"/>
      <x:c r="EA157" s="4"/>
      <x:c r="EB157" s="4"/>
      <x:c r="EC157" s="4"/>
      <x:c r="ED157" s="4"/>
      <x:c r="EE157" s="4"/>
      <x:c r="EF157" s="4"/>
      <x:c r="EG157" s="4"/>
      <x:c r="EH157" s="4"/>
      <x:c r="EI157" s="4"/>
      <x:c r="EJ157" s="4"/>
      <x:c r="EK157" s="4"/>
      <x:c r="EL157" s="4"/>
      <x:c r="EM157" s="4"/>
      <x:c r="EN157" s="4"/>
      <x:c r="EO157" s="4"/>
      <x:c r="EP157" s="4"/>
      <x:c r="EQ157" s="4"/>
      <x:c r="ER157" s="4"/>
      <x:c r="ES157" s="4"/>
      <x:c r="ET157" s="4"/>
      <x:c r="EU157" s="4"/>
      <x:c r="EV157" s="4"/>
      <x:c r="EW157" s="4"/>
      <x:c r="EX157" s="4"/>
      <x:c r="EY157" s="4"/>
      <x:c r="EZ157" s="4"/>
      <x:c r="FA157" s="4"/>
      <x:c r="FB157" s="4"/>
      <x:c r="FC157" s="4"/>
      <x:c r="FD157" s="4"/>
      <x:c r="FE157" s="4"/>
      <x:c r="FF157" s="4"/>
      <x:c r="FG157" s="4"/>
      <x:c r="FH157" s="4"/>
      <x:c r="FI157" s="4"/>
      <x:c r="FJ157" s="4"/>
      <x:c r="FK157" s="4"/>
      <x:c r="FL157" s="4"/>
      <x:c r="FM157" s="4"/>
      <x:c r="FN157" s="4"/>
      <x:c r="FO157" s="4"/>
    </x:row>
    <x:row r="158" ht="24" customHeight="1">
      <x:c r="A158" s="3"/>
      <x:c r="B158" s="60" t="str">
        <x:v>Combined</x:v>
      </x:c>
      <x:c r="C158" s="60"/>
      <x:c r="D158" s="60"/>
      <x:c r="E158" s="60"/>
      <x:c r="F158" s="60" t="str">
        <x:v>Low</x:v>
      </x:c>
      <x:c r="G158" s="60"/>
      <x:c r="H158" s="60"/>
      <x:c r="I158" s="60"/>
      <x:c r="J158" s="60"/>
      <x:c r="K158" s="60"/>
      <x:c r="L158" s="61" t="n">
        <x:f>'Calculations'!$GL$158</x:f>
        <x:v>0</x:v>
      </x:c>
      <x:c r="M158" s="61"/>
      <x:c r="N158" s="61"/>
      <x:c r="O158" s="62" t="str">
        <x:f>IF(ISNUMBER('Calculations'!$GO$158),'Calculations'!$GO$158,"")</x:f>
      </x:c>
      <x:c r="P158" s="61"/>
      <x:c r="Q158" s="61"/>
      <x:c r="R158" s="62" t="n">
        <x:f>IF(ISNUMBER('Calculations'!$GR$158),'Calculations'!$GR$158,"")</x:f>
        <x:v>0.07</x:v>
      </x:c>
      <x:c r="S158" s="61"/>
      <x:c r="T158" s="61"/>
      <x:c r="U158" s="63" t="str">
        <x:f>IF(ISNUMBER('Calculations'!$GU$158),'Calculations'!$GU$158,"")</x:f>
      </x:c>
      <x:c r="V158" s="61"/>
      <x:c r="W158" s="61"/>
      <x:c r="X158" s="60" t="str">
        <x:f>'Calculations'!$GX$158</x:f>
        <x:v>Source unavailable</x:v>
      </x:c>
      <x:c r="Y158" s="60"/>
      <x:c r="Z158" s="60"/>
      <x:c r="AA158" s="60"/>
      <x:c r="AB158" s="60"/>
      <x:c r="AC158" s="60"/>
      <x:c r="AD158" s="3"/>
      <x:c r="AE158" s="77"/>
      <x:c r="AF158" s="75"/>
      <x:c r="AG158" s="75"/>
      <x:c r="AH158" s="75"/>
      <x:c r="AI158" s="75"/>
      <x:c r="AJ158" s="75"/>
      <x:c r="AK158" s="75"/>
      <x:c r="AL158" s="75"/>
      <x:c r="AM158" s="75"/>
      <x:c r="AN158" s="75"/>
      <x:c r="AO158" s="75"/>
      <x:c r="AP158" s="75"/>
      <x:c r="AQ158" s="75"/>
      <x:c r="AR158" s="75"/>
      <x:c r="AS158" s="75"/>
      <x:c r="AT158" s="75"/>
      <x:c r="AU158" s="75"/>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4"/>
      <x:c r="DQ158" s="4"/>
      <x:c r="DR158" s="4"/>
      <x:c r="DS158" s="4"/>
      <x:c r="DT158" s="4"/>
      <x:c r="DU158" s="4"/>
      <x:c r="DV158" s="4"/>
      <x:c r="DW158" s="4"/>
      <x:c r="DX158" s="4"/>
      <x:c r="DY158" s="4"/>
      <x:c r="DZ158" s="4"/>
      <x:c r="EA158" s="4"/>
      <x:c r="EB158" s="4"/>
      <x:c r="EC158" s="4"/>
      <x:c r="ED158" s="4"/>
      <x:c r="EE158" s="4"/>
      <x:c r="EF158" s="4"/>
      <x:c r="EG158" s="4"/>
      <x:c r="EH158" s="4"/>
      <x:c r="EI158" s="4"/>
      <x:c r="EJ158" s="4"/>
      <x:c r="EK158" s="4"/>
      <x:c r="EL158" s="4"/>
      <x:c r="EM158" s="4"/>
      <x:c r="EN158" s="4"/>
      <x:c r="EO158" s="4"/>
      <x:c r="EP158" s="4"/>
      <x:c r="EQ158" s="4"/>
      <x:c r="ER158" s="4"/>
      <x:c r="ES158" s="4"/>
      <x:c r="ET158" s="4"/>
      <x:c r="EU158" s="4"/>
      <x:c r="EV158" s="4"/>
      <x:c r="EW158" s="4"/>
      <x:c r="EX158" s="4"/>
      <x:c r="EY158" s="4"/>
      <x:c r="EZ158" s="4"/>
      <x:c r="FA158" s="4"/>
      <x:c r="FB158" s="4"/>
      <x:c r="FC158" s="4"/>
      <x:c r="FD158" s="4"/>
      <x:c r="FE158" s="4"/>
      <x:c r="FF158" s="4"/>
      <x:c r="FG158" s="4"/>
      <x:c r="FH158" s="4"/>
      <x:c r="FI158" s="4"/>
      <x:c r="FJ158" s="4"/>
      <x:c r="FK158" s="4"/>
      <x:c r="FL158" s="4"/>
      <x:c r="FM158" s="4"/>
      <x:c r="FN158" s="4"/>
      <x:c r="FO158" s="4"/>
    </x:row>
    <x:row r="159" ht="24" customHeight="1">
      <x:c r="A159" s="3"/>
      <x:c r="B159" s="65" t="str">
        <x:v>What</x:v>
      </x:c>
      <x:c r="C159" s="65"/>
      <x:c r="D159" s="65"/>
      <x:c r="E159" s="65"/>
      <x:c r="F159" s="65" t="str">
        <x:v>1 Exemplary</x:v>
      </x:c>
      <x:c r="G159" s="65"/>
      <x:c r="H159" s="65"/>
      <x:c r="I159" s="65"/>
      <x:c r="J159" s="65"/>
      <x:c r="K159" s="65"/>
      <x:c r="L159" s="66" t="n">
        <x:f>'Calculations'!$GL$159</x:f>
        <x:v>0</x:v>
      </x:c>
      <x:c r="M159" s="66"/>
      <x:c r="N159" s="66"/>
      <x:c r="O159" s="67" t="str">
        <x:f>IF(ISNUMBER('Calculations'!$GO$159),'Calculations'!$GO$159,"")</x:f>
      </x:c>
      <x:c r="P159" s="66"/>
      <x:c r="Q159" s="66"/>
      <x:c r="R159" s="67" t="n">
        <x:f>IF(ISNUMBER('Calculations'!$GR$159),'Calculations'!$GR$159,"")</x:f>
        <x:v>0.1</x:v>
      </x:c>
      <x:c r="S159" s="66"/>
      <x:c r="T159" s="66"/>
      <x:c r="U159" s="68" t="str">
        <x:f>IF(ISNUMBER('Calculations'!$GU$159),'Calculations'!$GU$159,"")</x:f>
      </x:c>
      <x:c r="V159" s="66"/>
      <x:c r="W159" s="66"/>
      <x:c r="X159" s="65" t="str">
        <x:f>'Calculations'!$GX$159</x:f>
        <x:v>Source unavailable</x:v>
      </x:c>
      <x:c r="Y159" s="65"/>
      <x:c r="Z159" s="65"/>
      <x:c r="AA159" s="65"/>
      <x:c r="AB159" s="65"/>
      <x:c r="AC159" s="65"/>
      <x:c r="AD159" s="3"/>
      <x:c r="AE159" s="77"/>
      <x:c r="AF159" s="75"/>
      <x:c r="AG159" s="75"/>
      <x:c r="AH159" s="75"/>
      <x:c r="AI159" s="75"/>
      <x:c r="AJ159" s="75"/>
      <x:c r="AK159" s="75"/>
      <x:c r="AL159" s="75"/>
      <x:c r="AM159" s="75"/>
      <x:c r="AN159" s="75"/>
      <x:c r="AO159" s="75"/>
      <x:c r="AP159" s="75"/>
      <x:c r="AQ159" s="75"/>
      <x:c r="AR159" s="75"/>
      <x:c r="AS159" s="75"/>
      <x:c r="AT159" s="75"/>
      <x:c r="AU159" s="75"/>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4"/>
      <x:c r="DQ159" s="4"/>
      <x:c r="DR159" s="4"/>
      <x:c r="DS159" s="4"/>
      <x:c r="DT159" s="4"/>
      <x:c r="DU159" s="4"/>
      <x:c r="DV159" s="4"/>
      <x:c r="DW159" s="4"/>
      <x:c r="DX159" s="4"/>
      <x:c r="DY159" s="4"/>
      <x:c r="DZ159" s="4"/>
      <x:c r="EA159" s="4"/>
      <x:c r="EB159" s="4"/>
      <x:c r="EC159" s="4"/>
      <x:c r="ED159" s="4"/>
      <x:c r="EE159" s="4"/>
      <x:c r="EF159" s="4"/>
      <x:c r="EG159" s="4"/>
      <x:c r="EH159" s="4"/>
      <x:c r="EI159" s="4"/>
      <x:c r="EJ159" s="4"/>
      <x:c r="EK159" s="4"/>
      <x:c r="EL159" s="4"/>
      <x:c r="EM159" s="4"/>
      <x:c r="EN159" s="4"/>
      <x:c r="EO159" s="4"/>
      <x:c r="EP159" s="4"/>
      <x:c r="EQ159" s="4"/>
      <x:c r="ER159" s="4"/>
      <x:c r="ES159" s="4"/>
      <x:c r="ET159" s="4"/>
      <x:c r="EU159" s="4"/>
      <x:c r="EV159" s="4"/>
      <x:c r="EW159" s="4"/>
      <x:c r="EX159" s="4"/>
      <x:c r="EY159" s="4"/>
      <x:c r="EZ159" s="4"/>
      <x:c r="FA159" s="4"/>
      <x:c r="FB159" s="4"/>
      <x:c r="FC159" s="4"/>
      <x:c r="FD159" s="4"/>
      <x:c r="FE159" s="4"/>
      <x:c r="FF159" s="4"/>
      <x:c r="FG159" s="4"/>
      <x:c r="FH159" s="4"/>
      <x:c r="FI159" s="4"/>
      <x:c r="FJ159" s="4"/>
      <x:c r="FK159" s="4"/>
      <x:c r="FL159" s="4"/>
      <x:c r="FM159" s="4"/>
      <x:c r="FN159" s="4"/>
      <x:c r="FO159" s="4"/>
    </x:row>
    <x:row r="160" ht="24" customHeight="1">
      <x:c r="A160" s="3"/>
      <x:c r="B160" s="65" t="str">
        <x:v>What</x:v>
      </x:c>
      <x:c r="C160" s="65"/>
      <x:c r="D160" s="65"/>
      <x:c r="E160" s="65"/>
      <x:c r="F160" s="65" t="str">
        <x:v>2 Exceeds</x:v>
      </x:c>
      <x:c r="G160" s="65"/>
      <x:c r="H160" s="65"/>
      <x:c r="I160" s="65"/>
      <x:c r="J160" s="65"/>
      <x:c r="K160" s="65"/>
      <x:c r="L160" s="66" t="n">
        <x:f>'Calculations'!$GL$160</x:f>
        <x:v>0</x:v>
      </x:c>
      <x:c r="M160" s="66"/>
      <x:c r="N160" s="66"/>
      <x:c r="O160" s="67" t="str">
        <x:f>IF(ISNUMBER('Calculations'!$GO$160),'Calculations'!$GO$160,"")</x:f>
      </x:c>
      <x:c r="P160" s="66"/>
      <x:c r="Q160" s="66"/>
      <x:c r="R160" s="67" t="n">
        <x:f>IF(ISNUMBER('Calculations'!$GR$160),'Calculations'!$GR$160,"")</x:f>
        <x:v>0.3</x:v>
      </x:c>
      <x:c r="S160" s="66"/>
      <x:c r="T160" s="66"/>
      <x:c r="U160" s="68" t="str">
        <x:f>IF(ISNUMBER('Calculations'!$GU$160),'Calculations'!$GU$160,"")</x:f>
      </x:c>
      <x:c r="V160" s="66"/>
      <x:c r="W160" s="66"/>
      <x:c r="X160" s="65" t="str">
        <x:f>'Calculations'!$GX$160</x:f>
        <x:v>Source unavailable</x:v>
      </x:c>
      <x:c r="Y160" s="65"/>
      <x:c r="Z160" s="65"/>
      <x:c r="AA160" s="65"/>
      <x:c r="AB160" s="65"/>
      <x:c r="AC160" s="65"/>
      <x:c r="AD160" s="3"/>
      <x:c r="AE160" s="77"/>
      <x:c r="AF160" s="75"/>
      <x:c r="AG160" s="75"/>
      <x:c r="AH160" s="75"/>
      <x:c r="AI160" s="75"/>
      <x:c r="AJ160" s="75"/>
      <x:c r="AK160" s="75"/>
      <x:c r="AL160" s="75"/>
      <x:c r="AM160" s="75"/>
      <x:c r="AN160" s="75"/>
      <x:c r="AO160" s="75"/>
      <x:c r="AP160" s="75"/>
      <x:c r="AQ160" s="75"/>
      <x:c r="AR160" s="75"/>
      <x:c r="AS160" s="75"/>
      <x:c r="AT160" s="75"/>
      <x:c r="AU160" s="75"/>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4"/>
      <x:c r="DQ160" s="4"/>
      <x:c r="DR160" s="4"/>
      <x:c r="DS160" s="4"/>
      <x:c r="DT160" s="4"/>
      <x:c r="DU160" s="4"/>
      <x:c r="DV160" s="4"/>
      <x:c r="DW160" s="4"/>
      <x:c r="DX160" s="4"/>
      <x:c r="DY160" s="4"/>
      <x:c r="DZ160" s="4"/>
      <x:c r="EA160" s="4"/>
      <x:c r="EB160" s="4"/>
      <x:c r="EC160" s="4"/>
      <x:c r="ED160" s="4"/>
      <x:c r="EE160" s="4"/>
      <x:c r="EF160" s="4"/>
      <x:c r="EG160" s="4"/>
      <x:c r="EH160" s="4"/>
      <x:c r="EI160" s="4"/>
      <x:c r="EJ160" s="4"/>
      <x:c r="EK160" s="4"/>
      <x:c r="EL160" s="4"/>
      <x:c r="EM160" s="4"/>
      <x:c r="EN160" s="4"/>
      <x:c r="EO160" s="4"/>
      <x:c r="EP160" s="4"/>
      <x:c r="EQ160" s="4"/>
      <x:c r="ER160" s="4"/>
      <x:c r="ES160" s="4"/>
      <x:c r="ET160" s="4"/>
      <x:c r="EU160" s="4"/>
      <x:c r="EV160" s="4"/>
      <x:c r="EW160" s="4"/>
      <x:c r="EX160" s="4"/>
      <x:c r="EY160" s="4"/>
      <x:c r="EZ160" s="4"/>
      <x:c r="FA160" s="4"/>
      <x:c r="FB160" s="4"/>
      <x:c r="FC160" s="4"/>
      <x:c r="FD160" s="4"/>
      <x:c r="FE160" s="4"/>
      <x:c r="FF160" s="4"/>
      <x:c r="FG160" s="4"/>
      <x:c r="FH160" s="4"/>
      <x:c r="FI160" s="4"/>
      <x:c r="FJ160" s="4"/>
      <x:c r="FK160" s="4"/>
      <x:c r="FL160" s="4"/>
      <x:c r="FM160" s="4"/>
      <x:c r="FN160" s="4"/>
      <x:c r="FO160" s="4"/>
    </x:row>
    <x:row r="161" ht="24" customHeight="1">
      <x:c r="A161" s="3"/>
      <x:c r="B161" s="65" t="str">
        <x:v>What</x:v>
      </x:c>
      <x:c r="C161" s="65"/>
      <x:c r="D161" s="65"/>
      <x:c r="E161" s="65"/>
      <x:c r="F161" s="65" t="str">
        <x:v>3 Valued</x:v>
      </x:c>
      <x:c r="G161" s="65"/>
      <x:c r="H161" s="65"/>
      <x:c r="I161" s="65"/>
      <x:c r="J161" s="65"/>
      <x:c r="K161" s="65"/>
      <x:c r="L161" s="66" t="n">
        <x:f>'Calculations'!$GL$161</x:f>
        <x:v>0</x:v>
      </x:c>
      <x:c r="M161" s="66"/>
      <x:c r="N161" s="66"/>
      <x:c r="O161" s="67" t="str">
        <x:f>IF(ISNUMBER('Calculations'!$GO$161),'Calculations'!$GO$161,"")</x:f>
      </x:c>
      <x:c r="P161" s="66"/>
      <x:c r="Q161" s="66"/>
      <x:c r="R161" s="67" t="n">
        <x:f>IF(ISNUMBER('Calculations'!$GR$161),'Calculations'!$GR$161,"")</x:f>
        <x:v>0.65</x:v>
      </x:c>
      <x:c r="S161" s="66"/>
      <x:c r="T161" s="66"/>
      <x:c r="U161" s="68" t="str">
        <x:f>IF(ISNUMBER('Calculations'!$GU$161),'Calculations'!$GU$161,"")</x:f>
      </x:c>
      <x:c r="V161" s="66"/>
      <x:c r="W161" s="66"/>
      <x:c r="X161" s="65" t="str">
        <x:f>'Calculations'!$GX$161</x:f>
        <x:v>Source unavailable</x:v>
      </x:c>
      <x:c r="Y161" s="65"/>
      <x:c r="Z161" s="65"/>
      <x:c r="AA161" s="65"/>
      <x:c r="AB161" s="65"/>
      <x:c r="AC161" s="65"/>
      <x:c r="AD161" s="3"/>
      <x:c r="AE161" s="77"/>
      <x:c r="AF161" s="75"/>
      <x:c r="AG161" s="75"/>
      <x:c r="AH161" s="75"/>
      <x:c r="AI161" s="75"/>
      <x:c r="AJ161" s="75"/>
      <x:c r="AK161" s="75"/>
      <x:c r="AL161" s="75"/>
      <x:c r="AM161" s="75"/>
      <x:c r="AN161" s="75"/>
      <x:c r="AO161" s="75"/>
      <x:c r="AP161" s="75"/>
      <x:c r="AQ161" s="75"/>
      <x:c r="AR161" s="75"/>
      <x:c r="AS161" s="75"/>
      <x:c r="AT161" s="75"/>
      <x:c r="AU161" s="75"/>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4"/>
      <x:c r="DQ161" s="4"/>
      <x:c r="DR161" s="4"/>
      <x:c r="DS161" s="4"/>
      <x:c r="DT161" s="4"/>
      <x:c r="DU161" s="4"/>
      <x:c r="DV161" s="4"/>
      <x:c r="DW161" s="4"/>
      <x:c r="DX161" s="4"/>
      <x:c r="DY161" s="4"/>
      <x:c r="DZ161" s="4"/>
      <x:c r="EA161" s="4"/>
      <x:c r="EB161" s="4"/>
      <x:c r="EC161" s="4"/>
      <x:c r="ED161" s="4"/>
      <x:c r="EE161" s="4"/>
      <x:c r="EF161" s="4"/>
      <x:c r="EG161" s="4"/>
      <x:c r="EH161" s="4"/>
      <x:c r="EI161" s="4"/>
      <x:c r="EJ161" s="4"/>
      <x:c r="EK161" s="4"/>
      <x:c r="EL161" s="4"/>
      <x:c r="EM161" s="4"/>
      <x:c r="EN161" s="4"/>
      <x:c r="EO161" s="4"/>
      <x:c r="EP161" s="4"/>
      <x:c r="EQ161" s="4"/>
      <x:c r="ER161" s="4"/>
      <x:c r="ES161" s="4"/>
      <x:c r="ET161" s="4"/>
      <x:c r="EU161" s="4"/>
      <x:c r="EV161" s="4"/>
      <x:c r="EW161" s="4"/>
      <x:c r="EX161" s="4"/>
      <x:c r="EY161" s="4"/>
      <x:c r="EZ161" s="4"/>
      <x:c r="FA161" s="4"/>
      <x:c r="FB161" s="4"/>
      <x:c r="FC161" s="4"/>
      <x:c r="FD161" s="4"/>
      <x:c r="FE161" s="4"/>
      <x:c r="FF161" s="4"/>
      <x:c r="FG161" s="4"/>
      <x:c r="FH161" s="4"/>
      <x:c r="FI161" s="4"/>
      <x:c r="FJ161" s="4"/>
      <x:c r="FK161" s="4"/>
      <x:c r="FL161" s="4"/>
      <x:c r="FM161" s="4"/>
      <x:c r="FN161" s="4"/>
      <x:c r="FO161" s="4"/>
    </x:row>
    <x:row r="162" ht="24" customHeight="1">
      <x:c r="A162" s="3"/>
      <x:c r="B162" s="65" t="str">
        <x:v>What</x:v>
      </x:c>
      <x:c r="C162" s="65"/>
      <x:c r="D162" s="65"/>
      <x:c r="E162" s="65"/>
      <x:c r="F162" s="65" t="str">
        <x:v>4 Needs impr.</x:v>
      </x:c>
      <x:c r="G162" s="65"/>
      <x:c r="H162" s="65"/>
      <x:c r="I162" s="65"/>
      <x:c r="J162" s="65"/>
      <x:c r="K162" s="65"/>
      <x:c r="L162" s="66" t="n">
        <x:f>'Calculations'!$GL$162</x:f>
        <x:v>0</x:v>
      </x:c>
      <x:c r="M162" s="66"/>
      <x:c r="N162" s="66"/>
      <x:c r="O162" s="67" t="str">
        <x:f>IF(ISNUMBER('Calculations'!$GO$162),'Calculations'!$GO$162,"")</x:f>
      </x:c>
      <x:c r="P162" s="66"/>
      <x:c r="Q162" s="66"/>
      <x:c r="R162" s="67" t="n">
        <x:f>IF(ISNUMBER('Calculations'!$GR$162),'Calculations'!$GR$162,"")</x:f>
        <x:v>0.07</x:v>
      </x:c>
      <x:c r="S162" s="66"/>
      <x:c r="T162" s="66"/>
      <x:c r="U162" s="68" t="str">
        <x:f>IF(ISNUMBER('Calculations'!$GU$162),'Calculations'!$GU$162,"")</x:f>
      </x:c>
      <x:c r="V162" s="66"/>
      <x:c r="W162" s="66"/>
      <x:c r="X162" s="65" t="str">
        <x:f>'Calculations'!$GX$162</x:f>
        <x:v>Source unavailable</x:v>
      </x:c>
      <x:c r="Y162" s="65"/>
      <x:c r="Z162" s="65"/>
      <x:c r="AA162" s="65"/>
      <x:c r="AB162" s="65"/>
      <x:c r="AC162" s="65"/>
      <x:c r="AD162" s="3"/>
      <x:c r="AE162" s="77"/>
      <x:c r="AF162" s="75"/>
      <x:c r="AG162" s="75"/>
      <x:c r="AH162" s="75"/>
      <x:c r="AI162" s="75"/>
      <x:c r="AJ162" s="75"/>
      <x:c r="AK162" s="75"/>
      <x:c r="AL162" s="75"/>
      <x:c r="AM162" s="75"/>
      <x:c r="AN162" s="75"/>
      <x:c r="AO162" s="75"/>
      <x:c r="AP162" s="75"/>
      <x:c r="AQ162" s="75"/>
      <x:c r="AR162" s="75"/>
      <x:c r="AS162" s="75"/>
      <x:c r="AT162" s="75"/>
      <x:c r="AU162" s="75"/>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4"/>
      <x:c r="DQ162" s="4"/>
      <x:c r="DR162" s="4"/>
      <x:c r="DS162" s="4"/>
      <x:c r="DT162" s="4"/>
      <x:c r="DU162" s="4"/>
      <x:c r="DV162" s="4"/>
      <x:c r="DW162" s="4"/>
      <x:c r="DX162" s="4"/>
      <x:c r="DY162" s="4"/>
      <x:c r="DZ162" s="4"/>
      <x:c r="EA162" s="4"/>
      <x:c r="EB162" s="4"/>
      <x:c r="EC162" s="4"/>
      <x:c r="ED162" s="4"/>
      <x:c r="EE162" s="4"/>
      <x:c r="EF162" s="4"/>
      <x:c r="EG162" s="4"/>
      <x:c r="EH162" s="4"/>
      <x:c r="EI162" s="4"/>
      <x:c r="EJ162" s="4"/>
      <x:c r="EK162" s="4"/>
      <x:c r="EL162" s="4"/>
      <x:c r="EM162" s="4"/>
      <x:c r="EN162" s="4"/>
      <x:c r="EO162" s="4"/>
      <x:c r="EP162" s="4"/>
      <x:c r="EQ162" s="4"/>
      <x:c r="ER162" s="4"/>
      <x:c r="ES162" s="4"/>
      <x:c r="ET162" s="4"/>
      <x:c r="EU162" s="4"/>
      <x:c r="EV162" s="4"/>
      <x:c r="EW162" s="4"/>
      <x:c r="EX162" s="4"/>
      <x:c r="EY162" s="4"/>
      <x:c r="EZ162" s="4"/>
      <x:c r="FA162" s="4"/>
      <x:c r="FB162" s="4"/>
      <x:c r="FC162" s="4"/>
      <x:c r="FD162" s="4"/>
      <x:c r="FE162" s="4"/>
      <x:c r="FF162" s="4"/>
      <x:c r="FG162" s="4"/>
      <x:c r="FH162" s="4"/>
      <x:c r="FI162" s="4"/>
      <x:c r="FJ162" s="4"/>
      <x:c r="FK162" s="4"/>
      <x:c r="FL162" s="4"/>
      <x:c r="FM162" s="4"/>
      <x:c r="FN162" s="4"/>
      <x:c r="FO162" s="4"/>
    </x:row>
    <x:row r="163" ht="24" customHeight="1">
      <x:c r="A163" s="3"/>
      <x:c r="B163" s="60" t="str">
        <x:v>How</x:v>
      </x:c>
      <x:c r="C163" s="60"/>
      <x:c r="D163" s="60"/>
      <x:c r="E163" s="60"/>
      <x:c r="F163" s="60" t="str">
        <x:v>1 Exemplary</x:v>
      </x:c>
      <x:c r="G163" s="60"/>
      <x:c r="H163" s="60"/>
      <x:c r="I163" s="60"/>
      <x:c r="J163" s="60"/>
      <x:c r="K163" s="60"/>
      <x:c r="L163" s="61" t="n">
        <x:f>'Calculations'!$GL$163</x:f>
        <x:v>0</x:v>
      </x:c>
      <x:c r="M163" s="61"/>
      <x:c r="N163" s="61"/>
      <x:c r="O163" s="62" t="str">
        <x:f>IF(ISNUMBER('Calculations'!$GO$163),'Calculations'!$GO$163,"")</x:f>
      </x:c>
      <x:c r="P163" s="61"/>
      <x:c r="Q163" s="61"/>
      <x:c r="R163" s="62" t="n">
        <x:f>IF(ISNUMBER('Calculations'!$GR$163),'Calculations'!$GR$163,"")</x:f>
        <x:v>0.1</x:v>
      </x:c>
      <x:c r="S163" s="61"/>
      <x:c r="T163" s="61"/>
      <x:c r="U163" s="63" t="str">
        <x:f>IF(ISNUMBER('Calculations'!$GU$163),'Calculations'!$GU$163,"")</x:f>
      </x:c>
      <x:c r="V163" s="61"/>
      <x:c r="W163" s="61"/>
      <x:c r="X163" s="60" t="str">
        <x:f>'Calculations'!$GX$163</x:f>
        <x:v>Source unavailable</x:v>
      </x:c>
      <x:c r="Y163" s="60"/>
      <x:c r="Z163" s="60"/>
      <x:c r="AA163" s="60"/>
      <x:c r="AB163" s="60"/>
      <x:c r="AC163" s="60"/>
      <x:c r="AD163" s="3"/>
      <x:c r="AE163" s="77"/>
      <x:c r="AF163" s="75"/>
      <x:c r="AG163" s="75"/>
      <x:c r="AH163" s="75"/>
      <x:c r="AI163" s="75"/>
      <x:c r="AJ163" s="75"/>
      <x:c r="AK163" s="75"/>
      <x:c r="AL163" s="75"/>
      <x:c r="AM163" s="75"/>
      <x:c r="AN163" s="75"/>
      <x:c r="AO163" s="75"/>
      <x:c r="AP163" s="75"/>
      <x:c r="AQ163" s="75"/>
      <x:c r="AR163" s="75"/>
      <x:c r="AS163" s="75"/>
      <x:c r="AT163" s="75"/>
      <x:c r="AU163" s="75"/>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4"/>
      <x:c r="DQ163" s="4"/>
      <x:c r="DR163" s="4"/>
      <x:c r="DS163" s="4"/>
      <x:c r="DT163" s="4"/>
      <x:c r="DU163" s="4"/>
      <x:c r="DV163" s="4"/>
      <x:c r="DW163" s="4"/>
      <x:c r="DX163" s="4"/>
      <x:c r="DY163" s="4"/>
      <x:c r="DZ163" s="4"/>
      <x:c r="EA163" s="4"/>
      <x:c r="EB163" s="4"/>
      <x:c r="EC163" s="4"/>
      <x:c r="ED163" s="4"/>
      <x:c r="EE163" s="4"/>
      <x:c r="EF163" s="4"/>
      <x:c r="EG163" s="4"/>
      <x:c r="EH163" s="4"/>
      <x:c r="EI163" s="4"/>
      <x:c r="EJ163" s="4"/>
      <x:c r="EK163" s="4"/>
      <x:c r="EL163" s="4"/>
      <x:c r="EM163" s="4"/>
      <x:c r="EN163" s="4"/>
      <x:c r="EO163" s="4"/>
      <x:c r="EP163" s="4"/>
      <x:c r="EQ163" s="4"/>
      <x:c r="ER163" s="4"/>
      <x:c r="ES163" s="4"/>
      <x:c r="ET163" s="4"/>
      <x:c r="EU163" s="4"/>
      <x:c r="EV163" s="4"/>
      <x:c r="EW163" s="4"/>
      <x:c r="EX163" s="4"/>
      <x:c r="EY163" s="4"/>
      <x:c r="EZ163" s="4"/>
      <x:c r="FA163" s="4"/>
      <x:c r="FB163" s="4"/>
      <x:c r="FC163" s="4"/>
      <x:c r="FD163" s="4"/>
      <x:c r="FE163" s="4"/>
      <x:c r="FF163" s="4"/>
      <x:c r="FG163" s="4"/>
      <x:c r="FH163" s="4"/>
      <x:c r="FI163" s="4"/>
      <x:c r="FJ163" s="4"/>
      <x:c r="FK163" s="4"/>
      <x:c r="FL163" s="4"/>
      <x:c r="FM163" s="4"/>
      <x:c r="FN163" s="4"/>
      <x:c r="FO163" s="4"/>
    </x:row>
    <x:row r="164" ht="24" customHeight="1">
      <x:c r="A164" s="3"/>
      <x:c r="B164" s="60" t="str">
        <x:v>How</x:v>
      </x:c>
      <x:c r="C164" s="60"/>
      <x:c r="D164" s="60"/>
      <x:c r="E164" s="60"/>
      <x:c r="F164" s="60" t="str">
        <x:v>2 Exceeds</x:v>
      </x:c>
      <x:c r="G164" s="60"/>
      <x:c r="H164" s="60"/>
      <x:c r="I164" s="60"/>
      <x:c r="J164" s="60"/>
      <x:c r="K164" s="60"/>
      <x:c r="L164" s="61" t="n">
        <x:f>'Calculations'!$GL$164</x:f>
        <x:v>0</x:v>
      </x:c>
      <x:c r="M164" s="61"/>
      <x:c r="N164" s="61"/>
      <x:c r="O164" s="62" t="str">
        <x:f>IF(ISNUMBER('Calculations'!$GO$164),'Calculations'!$GO$164,"")</x:f>
      </x:c>
      <x:c r="P164" s="61"/>
      <x:c r="Q164" s="61"/>
      <x:c r="R164" s="62" t="n">
        <x:f>IF(ISNUMBER('Calculations'!$GR$164),'Calculations'!$GR$164,"")</x:f>
        <x:v>0.3</x:v>
      </x:c>
      <x:c r="S164" s="61"/>
      <x:c r="T164" s="61"/>
      <x:c r="U164" s="63" t="str">
        <x:f>IF(ISNUMBER('Calculations'!$GU$164),'Calculations'!$GU$164,"")</x:f>
      </x:c>
      <x:c r="V164" s="61"/>
      <x:c r="W164" s="61"/>
      <x:c r="X164" s="60" t="str">
        <x:f>'Calculations'!$GX$164</x:f>
        <x:v>Source unavailable</x:v>
      </x:c>
      <x:c r="Y164" s="60"/>
      <x:c r="Z164" s="60"/>
      <x:c r="AA164" s="60"/>
      <x:c r="AB164" s="60"/>
      <x:c r="AC164" s="60"/>
      <x:c r="AD164" s="3"/>
      <x:c r="AE164" s="77"/>
      <x:c r="AF164" s="75"/>
      <x:c r="AG164" s="75"/>
      <x:c r="AH164" s="75"/>
      <x:c r="AI164" s="75"/>
      <x:c r="AJ164" s="75"/>
      <x:c r="AK164" s="75"/>
      <x:c r="AL164" s="75"/>
      <x:c r="AM164" s="75"/>
      <x:c r="AN164" s="75"/>
      <x:c r="AO164" s="75"/>
      <x:c r="AP164" s="75"/>
      <x:c r="AQ164" s="75"/>
      <x:c r="AR164" s="75"/>
      <x:c r="AS164" s="75"/>
      <x:c r="AT164" s="75"/>
      <x:c r="AU164" s="75"/>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4"/>
      <x:c r="DQ164" s="4"/>
      <x:c r="DR164" s="4"/>
      <x:c r="DS164" s="4"/>
      <x:c r="DT164" s="4"/>
      <x:c r="DU164" s="4"/>
      <x:c r="DV164" s="4"/>
      <x:c r="DW164" s="4"/>
      <x:c r="DX164" s="4"/>
      <x:c r="DY164" s="4"/>
      <x:c r="DZ164" s="4"/>
      <x:c r="EA164" s="4"/>
      <x:c r="EB164" s="4"/>
      <x:c r="EC164" s="4"/>
      <x:c r="ED164" s="4"/>
      <x:c r="EE164" s="4"/>
      <x:c r="EF164" s="4"/>
      <x:c r="EG164" s="4"/>
      <x:c r="EH164" s="4"/>
      <x:c r="EI164" s="4"/>
      <x:c r="EJ164" s="4"/>
      <x:c r="EK164" s="4"/>
      <x:c r="EL164" s="4"/>
      <x:c r="EM164" s="4"/>
      <x:c r="EN164" s="4"/>
      <x:c r="EO164" s="4"/>
      <x:c r="EP164" s="4"/>
      <x:c r="EQ164" s="4"/>
      <x:c r="ER164" s="4"/>
      <x:c r="ES164" s="4"/>
      <x:c r="ET164" s="4"/>
      <x:c r="EU164" s="4"/>
      <x:c r="EV164" s="4"/>
      <x:c r="EW164" s="4"/>
      <x:c r="EX164" s="4"/>
      <x:c r="EY164" s="4"/>
      <x:c r="EZ164" s="4"/>
      <x:c r="FA164" s="4"/>
      <x:c r="FB164" s="4"/>
      <x:c r="FC164" s="4"/>
      <x:c r="FD164" s="4"/>
      <x:c r="FE164" s="4"/>
      <x:c r="FF164" s="4"/>
      <x:c r="FG164" s="4"/>
      <x:c r="FH164" s="4"/>
      <x:c r="FI164" s="4"/>
      <x:c r="FJ164" s="4"/>
      <x:c r="FK164" s="4"/>
      <x:c r="FL164" s="4"/>
      <x:c r="FM164" s="4"/>
      <x:c r="FN164" s="4"/>
      <x:c r="FO164" s="4"/>
    </x:row>
    <x:row r="165" ht="24" customHeight="1">
      <x:c r="A165" s="3"/>
      <x:c r="B165" s="60" t="str">
        <x:v>How</x:v>
      </x:c>
      <x:c r="C165" s="60"/>
      <x:c r="D165" s="60"/>
      <x:c r="E165" s="60"/>
      <x:c r="F165" s="60" t="str">
        <x:v>3 Valued</x:v>
      </x:c>
      <x:c r="G165" s="60"/>
      <x:c r="H165" s="60"/>
      <x:c r="I165" s="60"/>
      <x:c r="J165" s="60"/>
      <x:c r="K165" s="60"/>
      <x:c r="L165" s="61" t="n">
        <x:f>'Calculations'!$GL$165</x:f>
        <x:v>0</x:v>
      </x:c>
      <x:c r="M165" s="61"/>
      <x:c r="N165" s="61"/>
      <x:c r="O165" s="62" t="str">
        <x:f>IF(ISNUMBER('Calculations'!$GO$165),'Calculations'!$GO$165,"")</x:f>
      </x:c>
      <x:c r="P165" s="61"/>
      <x:c r="Q165" s="61"/>
      <x:c r="R165" s="62" t="n">
        <x:f>IF(ISNUMBER('Calculations'!$GR$165),'Calculations'!$GR$165,"")</x:f>
        <x:v>0.65</x:v>
      </x:c>
      <x:c r="S165" s="61"/>
      <x:c r="T165" s="61"/>
      <x:c r="U165" s="63" t="str">
        <x:f>IF(ISNUMBER('Calculations'!$GU$165),'Calculations'!$GU$165,"")</x:f>
      </x:c>
      <x:c r="V165" s="61"/>
      <x:c r="W165" s="61"/>
      <x:c r="X165" s="60" t="str">
        <x:f>'Calculations'!$GX$165</x:f>
        <x:v>Source unavailable</x:v>
      </x:c>
      <x:c r="Y165" s="60"/>
      <x:c r="Z165" s="60"/>
      <x:c r="AA165" s="60"/>
      <x:c r="AB165" s="60"/>
      <x:c r="AC165" s="60"/>
      <x:c r="AD165" s="3"/>
      <x:c r="AE165" s="77"/>
      <x:c r="AF165" s="75"/>
      <x:c r="AG165" s="75"/>
      <x:c r="AH165" s="75"/>
      <x:c r="AI165" s="75"/>
      <x:c r="AJ165" s="75"/>
      <x:c r="AK165" s="75"/>
      <x:c r="AL165" s="75"/>
      <x:c r="AM165" s="75"/>
      <x:c r="AN165" s="75"/>
      <x:c r="AO165" s="75"/>
      <x:c r="AP165" s="75"/>
      <x:c r="AQ165" s="75"/>
      <x:c r="AR165" s="75"/>
      <x:c r="AS165" s="75"/>
      <x:c r="AT165" s="75"/>
      <x:c r="AU165" s="75"/>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4"/>
      <x:c r="DQ165" s="4"/>
      <x:c r="DR165" s="4"/>
      <x:c r="DS165" s="4"/>
      <x:c r="DT165" s="4"/>
      <x:c r="DU165" s="4"/>
      <x:c r="DV165" s="4"/>
      <x:c r="DW165" s="4"/>
      <x:c r="DX165" s="4"/>
      <x:c r="DY165" s="4"/>
      <x:c r="DZ165" s="4"/>
      <x:c r="EA165" s="4"/>
      <x:c r="EB165" s="4"/>
      <x:c r="EC165" s="4"/>
      <x:c r="ED165" s="4"/>
      <x:c r="EE165" s="4"/>
      <x:c r="EF165" s="4"/>
      <x:c r="EG165" s="4"/>
      <x:c r="EH165" s="4"/>
      <x:c r="EI165" s="4"/>
      <x:c r="EJ165" s="4"/>
      <x:c r="EK165" s="4"/>
      <x:c r="EL165" s="4"/>
      <x:c r="EM165" s="4"/>
      <x:c r="EN165" s="4"/>
      <x:c r="EO165" s="4"/>
      <x:c r="EP165" s="4"/>
      <x:c r="EQ165" s="4"/>
      <x:c r="ER165" s="4"/>
      <x:c r="ES165" s="4"/>
      <x:c r="ET165" s="4"/>
      <x:c r="EU165" s="4"/>
      <x:c r="EV165" s="4"/>
      <x:c r="EW165" s="4"/>
      <x:c r="EX165" s="4"/>
      <x:c r="EY165" s="4"/>
      <x:c r="EZ165" s="4"/>
      <x:c r="FA165" s="4"/>
      <x:c r="FB165" s="4"/>
      <x:c r="FC165" s="4"/>
      <x:c r="FD165" s="4"/>
      <x:c r="FE165" s="4"/>
      <x:c r="FF165" s="4"/>
      <x:c r="FG165" s="4"/>
      <x:c r="FH165" s="4"/>
      <x:c r="FI165" s="4"/>
      <x:c r="FJ165" s="4"/>
      <x:c r="FK165" s="4"/>
      <x:c r="FL165" s="4"/>
      <x:c r="FM165" s="4"/>
      <x:c r="FN165" s="4"/>
      <x:c r="FO165" s="4"/>
    </x:row>
    <x:row r="166" ht="24" customHeight="1">
      <x:c r="A166" s="3"/>
      <x:c r="B166" s="60" t="str">
        <x:v>How</x:v>
      </x:c>
      <x:c r="C166" s="60"/>
      <x:c r="D166" s="60"/>
      <x:c r="E166" s="60"/>
      <x:c r="F166" s="60" t="str">
        <x:v>4 Needs impr.</x:v>
      </x:c>
      <x:c r="G166" s="60"/>
      <x:c r="H166" s="60"/>
      <x:c r="I166" s="60"/>
      <x:c r="J166" s="60"/>
      <x:c r="K166" s="60"/>
      <x:c r="L166" s="61" t="n">
        <x:f>'Calculations'!$GL$166</x:f>
        <x:v>0</x:v>
      </x:c>
      <x:c r="M166" s="61"/>
      <x:c r="N166" s="61"/>
      <x:c r="O166" s="62" t="str">
        <x:f>IF(ISNUMBER('Calculations'!$GO$166),'Calculations'!$GO$166,"")</x:f>
      </x:c>
      <x:c r="P166" s="61"/>
      <x:c r="Q166" s="61"/>
      <x:c r="R166" s="62" t="n">
        <x:f>IF(ISNUMBER('Calculations'!$GR$166),'Calculations'!$GR$166,"")</x:f>
        <x:v>0.07</x:v>
      </x:c>
      <x:c r="S166" s="61"/>
      <x:c r="T166" s="61"/>
      <x:c r="U166" s="63" t="str">
        <x:f>IF(ISNUMBER('Calculations'!$GU$166),'Calculations'!$GU$166,"")</x:f>
      </x:c>
      <x:c r="V166" s="61"/>
      <x:c r="W166" s="61"/>
      <x:c r="X166" s="60" t="str">
        <x:f>'Calculations'!$GX$166</x:f>
        <x:v>Source unavailable</x:v>
      </x:c>
      <x:c r="Y166" s="60"/>
      <x:c r="Z166" s="60"/>
      <x:c r="AA166" s="60"/>
      <x:c r="AB166" s="60"/>
      <x:c r="AC166" s="60"/>
      <x:c r="AD166" s="3"/>
      <x:c r="AE166" s="77"/>
      <x:c r="AF166" s="75"/>
      <x:c r="AG166" s="75"/>
      <x:c r="AH166" s="75"/>
      <x:c r="AI166" s="75"/>
      <x:c r="AJ166" s="75"/>
      <x:c r="AK166" s="75"/>
      <x:c r="AL166" s="75"/>
      <x:c r="AM166" s="75"/>
      <x:c r="AN166" s="75"/>
      <x:c r="AO166" s="75"/>
      <x:c r="AP166" s="75"/>
      <x:c r="AQ166" s="75"/>
      <x:c r="AR166" s="75"/>
      <x:c r="AS166" s="75"/>
      <x:c r="AT166" s="75"/>
      <x:c r="AU166" s="75"/>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4"/>
      <x:c r="DQ166" s="4"/>
      <x:c r="DR166" s="4"/>
      <x:c r="DS166" s="4"/>
      <x:c r="DT166" s="4"/>
      <x:c r="DU166" s="4"/>
      <x:c r="DV166" s="4"/>
      <x:c r="DW166" s="4"/>
      <x:c r="DX166" s="4"/>
      <x:c r="DY166" s="4"/>
      <x:c r="DZ166" s="4"/>
      <x:c r="EA166" s="4"/>
      <x:c r="EB166" s="4"/>
      <x:c r="EC166" s="4"/>
      <x:c r="ED166" s="4"/>
      <x:c r="EE166" s="4"/>
      <x:c r="EF166" s="4"/>
      <x:c r="EG166" s="4"/>
      <x:c r="EH166" s="4"/>
      <x:c r="EI166" s="4"/>
      <x:c r="EJ166" s="4"/>
      <x:c r="EK166" s="4"/>
      <x:c r="EL166" s="4"/>
      <x:c r="EM166" s="4"/>
      <x:c r="EN166" s="4"/>
      <x:c r="EO166" s="4"/>
      <x:c r="EP166" s="4"/>
      <x:c r="EQ166" s="4"/>
      <x:c r="ER166" s="4"/>
      <x:c r="ES166" s="4"/>
      <x:c r="ET166" s="4"/>
      <x:c r="EU166" s="4"/>
      <x:c r="EV166" s="4"/>
      <x:c r="EW166" s="4"/>
      <x:c r="EX166" s="4"/>
      <x:c r="EY166" s="4"/>
      <x:c r="EZ166" s="4"/>
      <x:c r="FA166" s="4"/>
      <x:c r="FB166" s="4"/>
      <x:c r="FC166" s="4"/>
      <x:c r="FD166" s="4"/>
      <x:c r="FE166" s="4"/>
      <x:c r="FF166" s="4"/>
      <x:c r="FG166" s="4"/>
      <x:c r="FH166" s="4"/>
      <x:c r="FI166" s="4"/>
      <x:c r="FJ166" s="4"/>
      <x:c r="FK166" s="4"/>
      <x:c r="FL166" s="4"/>
      <x:c r="FM166" s="4"/>
      <x:c r="FN166" s="4"/>
      <x:c r="FO166" s="4"/>
    </x:row>
    <x:row r="167" ht="18" customHeight="1">
      <x:c r="A167" s="3"/>
      <x:c r="B167" s="3"/>
      <x:c r="C167" s="3"/>
      <x:c r="D167" s="3"/>
      <x:c r="E167" s="3"/>
      <x:c r="F167" s="3"/>
      <x:c r="G167" s="3"/>
      <x:c r="H167" s="3"/>
      <x:c r="I167" s="3"/>
      <x:c r="J167" s="3"/>
      <x:c r="K167" s="3"/>
      <x:c r="L167" s="3"/>
      <x:c r="M167" s="3"/>
      <x:c r="N167" s="3"/>
      <x:c r="O167" s="3"/>
      <x:c r="P167" s="3"/>
      <x:c r="Q167" s="3"/>
      <x:c r="R167" s="3"/>
      <x:c r="S167" s="3"/>
      <x:c r="T167" s="3"/>
      <x:c r="U167" s="3"/>
      <x:c r="V167" s="3"/>
      <x:c r="W167" s="3"/>
      <x:c r="X167" s="3"/>
      <x:c r="Y167" s="3"/>
      <x:c r="Z167" s="3"/>
      <x:c r="AA167" s="3"/>
      <x:c r="AB167" s="3"/>
      <x:c r="AC167" s="3"/>
      <x:c r="AD167" s="3"/>
      <x:c r="AE167" s="77"/>
      <x:c r="AF167" s="75"/>
      <x:c r="AG167" s="75"/>
      <x:c r="AH167" s="75"/>
      <x:c r="AI167" s="75"/>
      <x:c r="AJ167" s="75"/>
      <x:c r="AK167" s="75"/>
      <x:c r="AL167" s="75"/>
      <x:c r="AM167" s="75"/>
      <x:c r="AN167" s="75"/>
      <x:c r="AO167" s="75"/>
      <x:c r="AP167" s="75"/>
      <x:c r="AQ167" s="75"/>
      <x:c r="AR167" s="75"/>
      <x:c r="AS167" s="75"/>
      <x:c r="AT167" s="75"/>
      <x:c r="AU167" s="75"/>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4"/>
      <x:c r="DQ167" s="4"/>
      <x:c r="DR167" s="4"/>
      <x:c r="DS167" s="4"/>
      <x:c r="DT167" s="4"/>
      <x:c r="DU167" s="4"/>
      <x:c r="DV167" s="4"/>
      <x:c r="DW167" s="4"/>
      <x:c r="DX167" s="4"/>
      <x:c r="DY167" s="4"/>
      <x:c r="DZ167" s="4"/>
      <x:c r="EA167" s="4"/>
      <x:c r="EB167" s="4"/>
      <x:c r="EC167" s="4"/>
      <x:c r="ED167" s="4"/>
      <x:c r="EE167" s="4"/>
      <x:c r="EF167" s="4"/>
      <x:c r="EG167" s="4"/>
      <x:c r="EH167" s="4"/>
      <x:c r="EI167" s="4"/>
      <x:c r="EJ167" s="4"/>
      <x:c r="EK167" s="4"/>
      <x:c r="EL167" s="4"/>
      <x:c r="EM167" s="4"/>
      <x:c r="EN167" s="4"/>
      <x:c r="EO167" s="4"/>
      <x:c r="EP167" s="4"/>
      <x:c r="EQ167" s="4"/>
      <x:c r="ER167" s="4"/>
      <x:c r="ES167" s="4"/>
      <x:c r="ET167" s="4"/>
      <x:c r="EU167" s="4"/>
      <x:c r="EV167" s="4"/>
      <x:c r="EW167" s="4"/>
      <x:c r="EX167" s="4"/>
      <x:c r="EY167" s="4"/>
      <x:c r="EZ167" s="4"/>
      <x:c r="FA167" s="4"/>
      <x:c r="FB167" s="4"/>
      <x:c r="FC167" s="4"/>
      <x:c r="FD167" s="4"/>
      <x:c r="FE167" s="4"/>
      <x:c r="FF167" s="4"/>
      <x:c r="FG167" s="4"/>
      <x:c r="FH167" s="4"/>
      <x:c r="FI167" s="4"/>
      <x:c r="FJ167" s="4"/>
      <x:c r="FK167" s="4"/>
      <x:c r="FL167" s="4"/>
      <x:c r="FM167" s="4"/>
      <x:c r="FN167" s="4"/>
      <x:c r="FO167" s="4"/>
    </x:row>
    <x:row r="168" ht="18" customHeight="1">
      <x:c r="A168" s="3"/>
      <x:c r="B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C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D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E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F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G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H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I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J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K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L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M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N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O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P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Q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R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S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T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U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V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W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X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Y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Z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A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B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C168"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D168" s="3"/>
      <x:c r="AE168" s="77"/>
      <x:c r="AF168" s="75"/>
      <x:c r="AG168" s="75"/>
      <x:c r="AH168" s="75"/>
      <x:c r="AI168" s="75"/>
      <x:c r="AJ168" s="75"/>
      <x:c r="AK168" s="75"/>
      <x:c r="AL168" s="75"/>
      <x:c r="AM168" s="75"/>
      <x:c r="AN168" s="75"/>
      <x:c r="AO168" s="75"/>
      <x:c r="AP168" s="75"/>
      <x:c r="AQ168" s="75"/>
      <x:c r="AR168" s="75"/>
      <x:c r="AS168" s="75"/>
      <x:c r="AT168" s="75"/>
      <x:c r="AU168" s="75"/>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4"/>
      <x:c r="DQ168" s="4"/>
      <x:c r="DR168" s="4"/>
      <x:c r="DS168" s="4"/>
      <x:c r="DT168" s="4"/>
      <x:c r="DU168" s="4"/>
      <x:c r="DV168" s="4"/>
      <x:c r="DW168" s="4"/>
      <x:c r="DX168" s="4"/>
      <x:c r="DY168" s="4"/>
      <x:c r="DZ168" s="4"/>
      <x:c r="EA168" s="4"/>
      <x:c r="EB168" s="4"/>
      <x:c r="EC168" s="4"/>
      <x:c r="ED168" s="4"/>
      <x:c r="EE168" s="4"/>
      <x:c r="EF168" s="4"/>
      <x:c r="EG168" s="4"/>
      <x:c r="EH168" s="4"/>
      <x:c r="EI168" s="4"/>
      <x:c r="EJ168" s="4"/>
      <x:c r="EK168" s="4"/>
      <x:c r="EL168" s="4"/>
      <x:c r="EM168" s="4"/>
      <x:c r="EN168" s="4"/>
      <x:c r="EO168" s="4"/>
      <x:c r="EP168" s="4"/>
      <x:c r="EQ168" s="4"/>
      <x:c r="ER168" s="4"/>
      <x:c r="ES168" s="4"/>
      <x:c r="ET168" s="4"/>
      <x:c r="EU168" s="4"/>
      <x:c r="EV168" s="4"/>
      <x:c r="EW168" s="4"/>
      <x:c r="EX168" s="4"/>
      <x:c r="EY168" s="4"/>
      <x:c r="EZ168" s="4"/>
      <x:c r="FA168" s="4"/>
      <x:c r="FB168" s="4"/>
      <x:c r="FC168" s="4"/>
      <x:c r="FD168" s="4"/>
      <x:c r="FE168" s="4"/>
      <x:c r="FF168" s="4"/>
      <x:c r="FG168" s="4"/>
      <x:c r="FH168" s="4"/>
      <x:c r="FI168" s="4"/>
      <x:c r="FJ168" s="4"/>
      <x:c r="FK168" s="4"/>
      <x:c r="FL168" s="4"/>
      <x:c r="FM168" s="4"/>
      <x:c r="FN168" s="4"/>
      <x:c r="FO168" s="4"/>
    </x:row>
    <x:row r="169" ht="18" customHeight="1">
      <x:c r="A169" s="3"/>
      <x:c r="B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C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D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E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F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G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H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I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J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K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L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M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N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O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P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Q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R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S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T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U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V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W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X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Y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Z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A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B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C169"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D169" s="3"/>
      <x:c r="AE169" s="77"/>
      <x:c r="AF169" s="75"/>
      <x:c r="AG169" s="75"/>
      <x:c r="AH169" s="75"/>
      <x:c r="AI169" s="75"/>
      <x:c r="AJ169" s="75"/>
      <x:c r="AK169" s="75"/>
      <x:c r="AL169" s="75"/>
      <x:c r="AM169" s="75"/>
      <x:c r="AN169" s="75"/>
      <x:c r="AO169" s="75"/>
      <x:c r="AP169" s="75"/>
      <x:c r="AQ169" s="75"/>
      <x:c r="AR169" s="75"/>
      <x:c r="AS169" s="75"/>
      <x:c r="AT169" s="75"/>
      <x:c r="AU169" s="75"/>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4"/>
      <x:c r="DQ169" s="4"/>
      <x:c r="DR169" s="4"/>
      <x:c r="DS169" s="4"/>
      <x:c r="DT169" s="4"/>
      <x:c r="DU169" s="4"/>
      <x:c r="DV169" s="4"/>
      <x:c r="DW169" s="4"/>
      <x:c r="DX169" s="4"/>
      <x:c r="DY169" s="4"/>
      <x:c r="DZ169" s="4"/>
      <x:c r="EA169" s="4"/>
      <x:c r="EB169" s="4"/>
      <x:c r="EC169" s="4"/>
      <x:c r="ED169" s="4"/>
      <x:c r="EE169" s="4"/>
      <x:c r="EF169" s="4"/>
      <x:c r="EG169" s="4"/>
      <x:c r="EH169" s="4"/>
      <x:c r="EI169" s="4"/>
      <x:c r="EJ169" s="4"/>
      <x:c r="EK169" s="4"/>
      <x:c r="EL169" s="4"/>
      <x:c r="EM169" s="4"/>
      <x:c r="EN169" s="4"/>
      <x:c r="EO169" s="4"/>
      <x:c r="EP169" s="4"/>
      <x:c r="EQ169" s="4"/>
      <x:c r="ER169" s="4"/>
      <x:c r="ES169" s="4"/>
      <x:c r="ET169" s="4"/>
      <x:c r="EU169" s="4"/>
      <x:c r="EV169" s="4"/>
      <x:c r="EW169" s="4"/>
      <x:c r="EX169" s="4"/>
      <x:c r="EY169" s="4"/>
      <x:c r="EZ169" s="4"/>
      <x:c r="FA169" s="4"/>
      <x:c r="FB169" s="4"/>
      <x:c r="FC169" s="4"/>
      <x:c r="FD169" s="4"/>
      <x:c r="FE169" s="4"/>
      <x:c r="FF169" s="4"/>
      <x:c r="FG169" s="4"/>
      <x:c r="FH169" s="4"/>
      <x:c r="FI169" s="4"/>
      <x:c r="FJ169" s="4"/>
      <x:c r="FK169" s="4"/>
      <x:c r="FL169" s="4"/>
      <x:c r="FM169" s="4"/>
      <x:c r="FN169" s="4"/>
      <x:c r="FO169" s="4"/>
    </x:row>
    <x:row r="170" ht="18" customHeight="1">
      <x:c r="A170" s="3"/>
      <x:c r="B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C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D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E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F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G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H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I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J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K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L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M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N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O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P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Q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R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S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T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U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V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W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X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Y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Z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A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B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C170" s="50" t="str">
        <x:v>Maximum percentages for Combined, What and How: 10%, 30%, 65%, 7%. These are separate caps and do not need to total 100%. Above the cap is red; equal to or below it is within the limit. Rated immediate reports only: Combined needs both K and L; What uses valid K; How uses valid L. Below Direct selects that person as manager. All managers is an aggregate overview, not a manager compliance check.</x:v>
      </x:c>
      <x:c r="AD170" s="3"/>
      <x:c r="AE170" s="77"/>
      <x:c r="AF170" s="75"/>
      <x:c r="AG170" s="75"/>
      <x:c r="AH170" s="75"/>
      <x:c r="AI170" s="75"/>
      <x:c r="AJ170" s="75"/>
      <x:c r="AK170" s="75"/>
      <x:c r="AL170" s="75"/>
      <x:c r="AM170" s="75"/>
      <x:c r="AN170" s="75"/>
      <x:c r="AO170" s="75"/>
      <x:c r="AP170" s="75"/>
      <x:c r="AQ170" s="75"/>
      <x:c r="AR170" s="75"/>
      <x:c r="AS170" s="75"/>
      <x:c r="AT170" s="75"/>
      <x:c r="AU170" s="75"/>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4"/>
      <x:c r="DQ170" s="4"/>
      <x:c r="DR170" s="4"/>
      <x:c r="DS170" s="4"/>
      <x:c r="DT170" s="4"/>
      <x:c r="DU170" s="4"/>
      <x:c r="DV170" s="4"/>
      <x:c r="DW170" s="4"/>
      <x:c r="DX170" s="4"/>
      <x:c r="DY170" s="4"/>
      <x:c r="DZ170" s="4"/>
      <x:c r="EA170" s="4"/>
      <x:c r="EB170" s="4"/>
      <x:c r="EC170" s="4"/>
      <x:c r="ED170" s="4"/>
      <x:c r="EE170" s="4"/>
      <x:c r="EF170" s="4"/>
      <x:c r="EG170" s="4"/>
      <x:c r="EH170" s="4"/>
      <x:c r="EI170" s="4"/>
      <x:c r="EJ170" s="4"/>
      <x:c r="EK170" s="4"/>
      <x:c r="EL170" s="4"/>
      <x:c r="EM170" s="4"/>
      <x:c r="EN170" s="4"/>
      <x:c r="EO170" s="4"/>
      <x:c r="EP170" s="4"/>
      <x:c r="EQ170" s="4"/>
      <x:c r="ER170" s="4"/>
      <x:c r="ES170" s="4"/>
      <x:c r="ET170" s="4"/>
      <x:c r="EU170" s="4"/>
      <x:c r="EV170" s="4"/>
      <x:c r="EW170" s="4"/>
      <x:c r="EX170" s="4"/>
      <x:c r="EY170" s="4"/>
      <x:c r="EZ170" s="4"/>
      <x:c r="FA170" s="4"/>
      <x:c r="FB170" s="4"/>
      <x:c r="FC170" s="4"/>
      <x:c r="FD170" s="4"/>
      <x:c r="FE170" s="4"/>
      <x:c r="FF170" s="4"/>
      <x:c r="FG170" s="4"/>
      <x:c r="FH170" s="4"/>
      <x:c r="FI170" s="4"/>
      <x:c r="FJ170" s="4"/>
      <x:c r="FK170" s="4"/>
      <x:c r="FL170" s="4"/>
      <x:c r="FM170" s="4"/>
      <x:c r="FN170" s="4"/>
      <x:c r="FO170" s="4"/>
    </x:row>
    <x:row r="171" ht="18" customHeight="1">
      <x:c r="A171" s="3"/>
      <x:c r="B171" s="3"/>
      <x:c r="C171" s="3"/>
      <x:c r="D171" s="3"/>
      <x:c r="E171" s="3"/>
      <x:c r="F171" s="3"/>
      <x:c r="G171" s="3"/>
      <x:c r="H171" s="3"/>
      <x:c r="I171" s="3"/>
      <x:c r="J171" s="3"/>
      <x:c r="K171" s="3"/>
      <x:c r="L171" s="3"/>
      <x:c r="M171" s="3"/>
      <x:c r="N171" s="3"/>
      <x:c r="O171" s="3"/>
      <x:c r="P171" s="3"/>
      <x:c r="Q171" s="3"/>
      <x:c r="R171" s="3"/>
      <x:c r="S171" s="3"/>
      <x:c r="T171" s="3"/>
      <x:c r="U171" s="3"/>
      <x:c r="V171" s="3"/>
      <x:c r="W171" s="3"/>
      <x:c r="X171" s="3"/>
      <x:c r="Y171" s="3"/>
      <x:c r="Z171" s="3"/>
      <x:c r="AA171" s="3"/>
      <x:c r="AB171" s="3"/>
      <x:c r="AC171" s="3"/>
      <x:c r="AD171" s="3"/>
      <x:c r="AE171" s="77"/>
      <x:c r="AF171" s="75"/>
      <x:c r="AG171" s="75"/>
      <x:c r="AH171" s="75"/>
      <x:c r="AI171" s="75"/>
      <x:c r="AJ171" s="75"/>
      <x:c r="AK171" s="75"/>
      <x:c r="AL171" s="75"/>
      <x:c r="AM171" s="75"/>
      <x:c r="AN171" s="75"/>
      <x:c r="AO171" s="75"/>
      <x:c r="AP171" s="75"/>
      <x:c r="AQ171" s="75"/>
      <x:c r="AR171" s="75"/>
      <x:c r="AS171" s="75"/>
      <x:c r="AT171" s="75"/>
      <x:c r="AU171" s="75"/>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4"/>
      <x:c r="DQ171" s="4"/>
      <x:c r="DR171" s="4"/>
      <x:c r="DS171" s="4"/>
      <x:c r="DT171" s="4"/>
      <x:c r="DU171" s="4"/>
      <x:c r="DV171" s="4"/>
      <x:c r="DW171" s="4"/>
      <x:c r="DX171" s="4"/>
      <x:c r="DY171" s="4"/>
      <x:c r="DZ171" s="4"/>
      <x:c r="EA171" s="4"/>
      <x:c r="EB171" s="4"/>
      <x:c r="EC171" s="4"/>
      <x:c r="ED171" s="4"/>
      <x:c r="EE171" s="4"/>
      <x:c r="EF171" s="4"/>
      <x:c r="EG171" s="4"/>
      <x:c r="EH171" s="4"/>
      <x:c r="EI171" s="4"/>
      <x:c r="EJ171" s="4"/>
      <x:c r="EK171" s="4"/>
      <x:c r="EL171" s="4"/>
      <x:c r="EM171" s="4"/>
      <x:c r="EN171" s="4"/>
      <x:c r="EO171" s="4"/>
      <x:c r="EP171" s="4"/>
      <x:c r="EQ171" s="4"/>
      <x:c r="ER171" s="4"/>
      <x:c r="ES171" s="4"/>
      <x:c r="ET171" s="4"/>
      <x:c r="EU171" s="4"/>
      <x:c r="EV171" s="4"/>
      <x:c r="EW171" s="4"/>
      <x:c r="EX171" s="4"/>
      <x:c r="EY171" s="4"/>
      <x:c r="EZ171" s="4"/>
      <x:c r="FA171" s="4"/>
      <x:c r="FB171" s="4"/>
      <x:c r="FC171" s="4"/>
      <x:c r="FD171" s="4"/>
      <x:c r="FE171" s="4"/>
      <x:c r="FF171" s="4"/>
      <x:c r="FG171" s="4"/>
      <x:c r="FH171" s="4"/>
      <x:c r="FI171" s="4"/>
      <x:c r="FJ171" s="4"/>
      <x:c r="FK171" s="4"/>
      <x:c r="FL171" s="4"/>
      <x:c r="FM171" s="4"/>
      <x:c r="FN171" s="4"/>
      <x:c r="FO171" s="4"/>
    </x:row>
    <x:row r="172" ht="18" customHeight="1">
      <x:c r="A172" s="3"/>
      <x:c r="B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2"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2" s="3"/>
      <x:c r="AE172" s="77"/>
      <x:c r="AF172" s="75"/>
      <x:c r="AG172" s="75"/>
      <x:c r="AH172" s="75"/>
      <x:c r="AI172" s="75"/>
      <x:c r="AJ172" s="75"/>
      <x:c r="AK172" s="75"/>
      <x:c r="AL172" s="75"/>
      <x:c r="AM172" s="75"/>
      <x:c r="AN172" s="75"/>
      <x:c r="AO172" s="75"/>
      <x:c r="AP172" s="75"/>
      <x:c r="AQ172" s="75"/>
      <x:c r="AR172" s="75"/>
      <x:c r="AS172" s="75"/>
      <x:c r="AT172" s="75"/>
      <x:c r="AU172" s="75"/>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4"/>
      <x:c r="DQ172" s="4"/>
      <x:c r="DR172" s="4"/>
      <x:c r="DS172" s="4"/>
      <x:c r="DT172" s="4"/>
      <x:c r="DU172" s="4"/>
      <x:c r="DV172" s="4"/>
      <x:c r="DW172" s="4"/>
      <x:c r="DX172" s="4"/>
      <x:c r="DY172" s="4"/>
      <x:c r="DZ172" s="4"/>
      <x:c r="EA172" s="4"/>
      <x:c r="EB172" s="4"/>
      <x:c r="EC172" s="4"/>
      <x:c r="ED172" s="4"/>
      <x:c r="EE172" s="4"/>
      <x:c r="EF172" s="4"/>
      <x:c r="EG172" s="4"/>
      <x:c r="EH172" s="4"/>
      <x:c r="EI172" s="4"/>
      <x:c r="EJ172" s="4"/>
      <x:c r="EK172" s="4"/>
      <x:c r="EL172" s="4"/>
      <x:c r="EM172" s="4"/>
      <x:c r="EN172" s="4"/>
      <x:c r="EO172" s="4"/>
      <x:c r="EP172" s="4"/>
      <x:c r="EQ172" s="4"/>
      <x:c r="ER172" s="4"/>
      <x:c r="ES172" s="4"/>
      <x:c r="ET172" s="4"/>
      <x:c r="EU172" s="4"/>
      <x:c r="EV172" s="4"/>
      <x:c r="EW172" s="4"/>
      <x:c r="EX172" s="4"/>
      <x:c r="EY172" s="4"/>
      <x:c r="EZ172" s="4"/>
      <x:c r="FA172" s="4"/>
      <x:c r="FB172" s="4"/>
      <x:c r="FC172" s="4"/>
      <x:c r="FD172" s="4"/>
      <x:c r="FE172" s="4"/>
      <x:c r="FF172" s="4"/>
      <x:c r="FG172" s="4"/>
      <x:c r="FH172" s="4"/>
      <x:c r="FI172" s="4"/>
      <x:c r="FJ172" s="4"/>
      <x:c r="FK172" s="4"/>
      <x:c r="FL172" s="4"/>
      <x:c r="FM172" s="4"/>
      <x:c r="FN172" s="4"/>
      <x:c r="FO172" s="4"/>
    </x:row>
    <x:row r="173" ht="18" customHeight="1">
      <x:c r="A173" s="3"/>
      <x:c r="B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3"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3" s="3"/>
      <x:c r="AE173" s="77"/>
      <x:c r="AF173" s="75"/>
      <x:c r="AG173" s="75"/>
      <x:c r="AH173" s="75"/>
      <x:c r="AI173" s="75"/>
      <x:c r="AJ173" s="75"/>
      <x:c r="AK173" s="75"/>
      <x:c r="AL173" s="75"/>
      <x:c r="AM173" s="75"/>
      <x:c r="AN173" s="75"/>
      <x:c r="AO173" s="75"/>
      <x:c r="AP173" s="75"/>
      <x:c r="AQ173" s="75"/>
      <x:c r="AR173" s="75"/>
      <x:c r="AS173" s="75"/>
      <x:c r="AT173" s="75"/>
      <x:c r="AU173" s="75"/>
      <x:c r="AV173" s="4"/>
      <x:c r="AW173" s="4"/>
      <x:c r="AX173" s="4"/>
      <x:c r="AY173" s="4"/>
      <x:c r="AZ173" s="4"/>
      <x:c r="BA173" s="4"/>
      <x:c r="BB173" s="4"/>
      <x:c r="BC173" s="4"/>
      <x:c r="BD173" s="4"/>
      <x:c r="BE173" s="4"/>
      <x:c r="BF173" s="4"/>
      <x:c r="BG173" s="4"/>
      <x:c r="BH173" s="4"/>
      <x:c r="BI173" s="4"/>
      <x:c r="BJ173" s="4"/>
      <x:c r="BK173" s="4"/>
      <x:c r="BL173" s="4"/>
      <x:c r="BM173" s="4"/>
      <x:c r="BN173" s="4"/>
      <x:c r="BO173" s="4"/>
      <x:c r="BP173" s="4"/>
      <x:c r="BQ173" s="4"/>
      <x:c r="BR173" s="4"/>
      <x:c r="BS173" s="4"/>
      <x:c r="BT173" s="4"/>
      <x:c r="BU173" s="4"/>
      <x:c r="BV173" s="4"/>
      <x:c r="BW173" s="4"/>
      <x:c r="BX173" s="4"/>
      <x:c r="BY173" s="4"/>
      <x:c r="BZ173" s="4"/>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x:c r="DB173" s="4"/>
      <x:c r="DC173" s="4"/>
      <x:c r="DD173" s="4"/>
      <x:c r="DE173" s="4"/>
      <x:c r="DF173" s="4"/>
      <x:c r="DG173" s="4"/>
      <x:c r="DH173" s="4"/>
      <x:c r="DI173" s="4"/>
      <x:c r="DJ173" s="4"/>
      <x:c r="DK173" s="4"/>
      <x:c r="DL173" s="4"/>
      <x:c r="DM173" s="4"/>
      <x:c r="DN173" s="4"/>
      <x:c r="DO173" s="4"/>
      <x:c r="DP173" s="4"/>
      <x:c r="DQ173" s="4"/>
      <x:c r="DR173" s="4"/>
      <x:c r="DS173" s="4"/>
      <x:c r="DT173" s="4"/>
      <x:c r="DU173" s="4"/>
      <x:c r="DV173" s="4"/>
      <x:c r="DW173" s="4"/>
      <x:c r="DX173" s="4"/>
      <x:c r="DY173" s="4"/>
      <x:c r="DZ173" s="4"/>
      <x:c r="EA173" s="4"/>
      <x:c r="EB173" s="4"/>
      <x:c r="EC173" s="4"/>
      <x:c r="ED173" s="4"/>
      <x:c r="EE173" s="4"/>
      <x:c r="EF173" s="4"/>
      <x:c r="EG173" s="4"/>
      <x:c r="EH173" s="4"/>
      <x:c r="EI173" s="4"/>
      <x:c r="EJ173" s="4"/>
      <x:c r="EK173" s="4"/>
      <x:c r="EL173" s="4"/>
      <x:c r="EM173" s="4"/>
      <x:c r="EN173" s="4"/>
      <x:c r="EO173" s="4"/>
      <x:c r="EP173" s="4"/>
      <x:c r="EQ173" s="4"/>
      <x:c r="ER173" s="4"/>
      <x:c r="ES173" s="4"/>
      <x:c r="ET173" s="4"/>
      <x:c r="EU173" s="4"/>
      <x:c r="EV173" s="4"/>
      <x:c r="EW173" s="4"/>
      <x:c r="EX173" s="4"/>
      <x:c r="EY173" s="4"/>
      <x:c r="EZ173" s="4"/>
      <x:c r="FA173" s="4"/>
      <x:c r="FB173" s="4"/>
      <x:c r="FC173" s="4"/>
      <x:c r="FD173" s="4"/>
      <x:c r="FE173" s="4"/>
      <x:c r="FF173" s="4"/>
      <x:c r="FG173" s="4"/>
      <x:c r="FH173" s="4"/>
      <x:c r="FI173" s="4"/>
      <x:c r="FJ173" s="4"/>
      <x:c r="FK173" s="4"/>
      <x:c r="FL173" s="4"/>
      <x:c r="FM173" s="4"/>
      <x:c r="FN173" s="4"/>
      <x:c r="FO173" s="4"/>
    </x:row>
    <x:row r="174" ht="18" customHeight="1">
      <x:c r="A174" s="3"/>
      <x:c r="B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4" s="50"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4" s="3"/>
      <x:c r="AE174" s="77"/>
      <x:c r="AF174" s="75"/>
      <x:c r="AG174" s="75"/>
      <x:c r="AH174" s="75"/>
      <x:c r="AI174" s="75"/>
      <x:c r="AJ174" s="75"/>
      <x:c r="AK174" s="75"/>
      <x:c r="AL174" s="75"/>
      <x:c r="AM174" s="75"/>
      <x:c r="AN174" s="75"/>
      <x:c r="AO174" s="75"/>
      <x:c r="AP174" s="75"/>
      <x:c r="AQ174" s="75"/>
      <x:c r="AR174" s="75"/>
      <x:c r="AS174" s="75"/>
      <x:c r="AT174" s="75"/>
      <x:c r="AU174" s="75"/>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4"/>
      <x:c r="DQ174" s="4"/>
      <x:c r="DR174" s="4"/>
      <x:c r="DS174" s="4"/>
      <x:c r="DT174" s="4"/>
      <x:c r="DU174" s="4"/>
      <x:c r="DV174" s="4"/>
      <x:c r="DW174" s="4"/>
      <x:c r="DX174" s="4"/>
      <x:c r="DY174" s="4"/>
      <x:c r="DZ174" s="4"/>
      <x:c r="EA174" s="4"/>
      <x:c r="EB174" s="4"/>
      <x:c r="EC174" s="4"/>
      <x:c r="ED174" s="4"/>
      <x:c r="EE174" s="4"/>
      <x:c r="EF174" s="4"/>
      <x:c r="EG174" s="4"/>
      <x:c r="EH174" s="4"/>
      <x:c r="EI174" s="4"/>
      <x:c r="EJ174" s="4"/>
      <x:c r="EK174" s="4"/>
      <x:c r="EL174" s="4"/>
      <x:c r="EM174" s="4"/>
      <x:c r="EN174" s="4"/>
      <x:c r="EO174" s="4"/>
      <x:c r="EP174" s="4"/>
      <x:c r="EQ174" s="4"/>
      <x:c r="ER174" s="4"/>
      <x:c r="ES174" s="4"/>
      <x:c r="ET174" s="4"/>
      <x:c r="EU174" s="4"/>
      <x:c r="EV174" s="4"/>
      <x:c r="EW174" s="4"/>
      <x:c r="EX174" s="4"/>
      <x:c r="EY174" s="4"/>
      <x:c r="EZ174" s="4"/>
      <x:c r="FA174" s="4"/>
      <x:c r="FB174" s="4"/>
      <x:c r="FC174" s="4"/>
      <x:c r="FD174" s="4"/>
      <x:c r="FE174" s="4"/>
      <x:c r="FF174" s="4"/>
      <x:c r="FG174" s="4"/>
      <x:c r="FH174" s="4"/>
      <x:c r="FI174" s="4"/>
      <x:c r="FJ174" s="4"/>
      <x:c r="FK174" s="4"/>
      <x:c r="FL174" s="4"/>
      <x:c r="FM174" s="4"/>
      <x:c r="FN174" s="4"/>
      <x:c r="FO174" s="4"/>
    </x:row>
    <x:row r="175" ht="18" customHeight="1">
      <x:c r="A175" s="3"/>
      <x:c r="B175" s="3"/>
      <x:c r="C175" s="3"/>
      <x:c r="D175" s="3"/>
      <x:c r="E175" s="3"/>
      <x:c r="F175" s="3"/>
      <x:c r="G175" s="3"/>
      <x:c r="H175" s="3"/>
      <x:c r="I175" s="3"/>
      <x:c r="J175" s="3"/>
      <x:c r="K175" s="3"/>
      <x:c r="L175" s="3"/>
      <x:c r="M175" s="3"/>
      <x:c r="N175" s="3"/>
      <x:c r="O175" s="3"/>
      <x:c r="P175" s="3"/>
      <x:c r="Q175" s="3"/>
      <x:c r="R175" s="3"/>
      <x:c r="S175" s="3"/>
      <x:c r="T175" s="3"/>
      <x:c r="U175" s="3"/>
      <x:c r="V175" s="3"/>
      <x:c r="W175" s="3"/>
      <x:c r="X175" s="3"/>
      <x:c r="Y175" s="3"/>
      <x:c r="Z175" s="3"/>
      <x:c r="AA175" s="3"/>
      <x:c r="AB175" s="3"/>
      <x:c r="AC175" s="3"/>
      <x:c r="AD175" s="3"/>
      <x:c r="AE175" s="77"/>
      <x:c r="AF175" s="75"/>
      <x:c r="AG175" s="75"/>
      <x:c r="AH175" s="75"/>
      <x:c r="AI175" s="75"/>
      <x:c r="AJ175" s="75"/>
      <x:c r="AK175" s="75"/>
      <x:c r="AL175" s="75"/>
      <x:c r="AM175" s="75"/>
      <x:c r="AN175" s="75"/>
      <x:c r="AO175" s="75"/>
      <x:c r="AP175" s="75"/>
      <x:c r="AQ175" s="75"/>
      <x:c r="AR175" s="75"/>
      <x:c r="AS175" s="75"/>
      <x:c r="AT175" s="75"/>
      <x:c r="AU175" s="75"/>
      <x:c r="AV175" s="4"/>
      <x:c r="AW175" s="4"/>
      <x:c r="AX175" s="4"/>
      <x:c r="AY175" s="4"/>
      <x:c r="AZ175" s="4"/>
      <x:c r="BA175" s="4"/>
      <x:c r="BB175" s="4"/>
      <x:c r="BC175" s="4"/>
      <x:c r="BD175" s="4"/>
      <x:c r="BE175" s="4"/>
      <x:c r="BF175" s="4"/>
      <x:c r="BG175" s="4"/>
      <x:c r="BH175" s="4"/>
      <x:c r="BI175" s="4"/>
      <x:c r="BJ175" s="4"/>
      <x:c r="BK175" s="4"/>
      <x:c r="BL175" s="4"/>
      <x:c r="BM175" s="4"/>
      <x:c r="BN175" s="4"/>
      <x:c r="BO175" s="4"/>
      <x:c r="BP175" s="4"/>
      <x:c r="BQ175" s="4"/>
      <x:c r="BR175" s="4"/>
      <x:c r="BS175" s="4"/>
      <x:c r="BT175" s="4"/>
      <x:c r="BU175" s="4"/>
      <x:c r="BV175" s="4"/>
      <x:c r="BW175" s="4"/>
      <x:c r="BX175" s="4"/>
      <x:c r="BY175" s="4"/>
      <x:c r="BZ175" s="4"/>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x:c r="DB175" s="4"/>
      <x:c r="DC175" s="4"/>
      <x:c r="DD175" s="4"/>
      <x:c r="DE175" s="4"/>
      <x:c r="DF175" s="4"/>
      <x:c r="DG175" s="4"/>
      <x:c r="DH175" s="4"/>
      <x:c r="DI175" s="4"/>
      <x:c r="DJ175" s="4"/>
      <x:c r="DK175" s="4"/>
      <x:c r="DL175" s="4"/>
      <x:c r="DM175" s="4"/>
      <x:c r="DN175" s="4"/>
      <x:c r="DO175" s="4"/>
      <x:c r="DP175" s="4"/>
      <x:c r="DQ175" s="4"/>
      <x:c r="DR175" s="4"/>
      <x:c r="DS175" s="4"/>
      <x:c r="DT175" s="4"/>
      <x:c r="DU175" s="4"/>
      <x:c r="DV175" s="4"/>
      <x:c r="DW175" s="4"/>
      <x:c r="DX175" s="4"/>
      <x:c r="DY175" s="4"/>
      <x:c r="DZ175" s="4"/>
      <x:c r="EA175" s="4"/>
      <x:c r="EB175" s="4"/>
      <x:c r="EC175" s="4"/>
      <x:c r="ED175" s="4"/>
      <x:c r="EE175" s="4"/>
      <x:c r="EF175" s="4"/>
      <x:c r="EG175" s="4"/>
      <x:c r="EH175" s="4"/>
      <x:c r="EI175" s="4"/>
      <x:c r="EJ175" s="4"/>
      <x:c r="EK175" s="4"/>
      <x:c r="EL175" s="4"/>
      <x:c r="EM175" s="4"/>
      <x:c r="EN175" s="4"/>
      <x:c r="EO175" s="4"/>
      <x:c r="EP175" s="4"/>
      <x:c r="EQ175" s="4"/>
      <x:c r="ER175" s="4"/>
      <x:c r="ES175" s="4"/>
      <x:c r="ET175" s="4"/>
      <x:c r="EU175" s="4"/>
      <x:c r="EV175" s="4"/>
      <x:c r="EW175" s="4"/>
      <x:c r="EX175" s="4"/>
      <x:c r="EY175" s="4"/>
      <x:c r="EZ175" s="4"/>
      <x:c r="FA175" s="4"/>
      <x:c r="FB175" s="4"/>
      <x:c r="FC175" s="4"/>
      <x:c r="FD175" s="4"/>
      <x:c r="FE175" s="4"/>
      <x:c r="FF175" s="4"/>
      <x:c r="FG175" s="4"/>
      <x:c r="FH175" s="4"/>
      <x:c r="FI175" s="4"/>
      <x:c r="FJ175" s="4"/>
      <x:c r="FK175" s="4"/>
      <x:c r="FL175" s="4"/>
      <x:c r="FM175" s="4"/>
      <x:c r="FN175" s="4"/>
      <x:c r="FO175" s="4"/>
    </x:row>
    <x:row r="176" ht="18" customHeight="1">
      <x:c r="A176" s="3"/>
      <x:c r="B176" s="22" t="str">
        <x:v>Source &amp; calculation notes</x:v>
      </x:c>
      <x:c r="C176" s="22" t="str">
        <x:v>Source &amp; calculation notes</x:v>
      </x:c>
      <x:c r="D176" s="22" t="str">
        <x:v>Source &amp; calculation notes</x:v>
      </x:c>
      <x:c r="E176" s="22" t="str">
        <x:v>Source &amp; calculation notes</x:v>
      </x:c>
      <x:c r="F176" s="22" t="str">
        <x:v>Source &amp; calculation notes</x:v>
      </x:c>
      <x:c r="G176" s="22" t="str">
        <x:v>Source &amp; calculation notes</x:v>
      </x:c>
      <x:c r="H176" s="22" t="str">
        <x:v>Source &amp; calculation notes</x:v>
      </x:c>
      <x:c r="I176" s="22" t="str">
        <x:v>Source &amp; calculation notes</x:v>
      </x:c>
      <x:c r="J176" s="22" t="str">
        <x:v>Source &amp; calculation notes</x:v>
      </x:c>
      <x:c r="K176" s="22" t="str">
        <x:v>Source &amp; calculation notes</x:v>
      </x:c>
      <x:c r="L176" s="22" t="str">
        <x:v>Source &amp; calculation notes</x:v>
      </x:c>
      <x:c r="M176" s="22" t="str">
        <x:v>Source &amp; calculation notes</x:v>
      </x:c>
      <x:c r="N176" s="22" t="str">
        <x:v>Source &amp; calculation notes</x:v>
      </x:c>
      <x:c r="O176" s="22" t="str">
        <x:v>Source &amp; calculation notes</x:v>
      </x:c>
      <x:c r="P176" s="22" t="str">
        <x:v>Source &amp; calculation notes</x:v>
      </x:c>
      <x:c r="Q176" s="22" t="str">
        <x:v>Source &amp; calculation notes</x:v>
      </x:c>
      <x:c r="R176" s="22" t="str">
        <x:v>Source &amp; calculation notes</x:v>
      </x:c>
      <x:c r="S176" s="22" t="str">
        <x:v>Source &amp; calculation notes</x:v>
      </x:c>
      <x:c r="T176" s="22" t="str">
        <x:v>Source &amp; calculation notes</x:v>
      </x:c>
      <x:c r="U176" s="22" t="str">
        <x:v>Source &amp; calculation notes</x:v>
      </x:c>
      <x:c r="V176" s="22" t="str">
        <x:v>Source &amp; calculation notes</x:v>
      </x:c>
      <x:c r="W176" s="22" t="str">
        <x:v>Source &amp; calculation notes</x:v>
      </x:c>
      <x:c r="X176" s="22" t="str">
        <x:v>Source &amp; calculation notes</x:v>
      </x:c>
      <x:c r="Y176" s="22" t="str">
        <x:v>Source &amp; calculation notes</x:v>
      </x:c>
      <x:c r="Z176" s="22" t="str">
        <x:v>Source &amp; calculation notes</x:v>
      </x:c>
      <x:c r="AA176" s="22" t="str">
        <x:v>Source &amp; calculation notes</x:v>
      </x:c>
      <x:c r="AB176" s="22" t="str">
        <x:v>Source &amp; calculation notes</x:v>
      </x:c>
      <x:c r="AC176" s="22" t="str">
        <x:v>Source &amp; calculation notes</x:v>
      </x:c>
      <x:c r="AD176" s="3"/>
      <x:c r="AE176" s="77"/>
      <x:c r="AF176" s="75"/>
      <x:c r="AG176" s="75"/>
      <x:c r="AH176" s="75"/>
      <x:c r="AI176" s="75"/>
      <x:c r="AJ176" s="75"/>
      <x:c r="AK176" s="75"/>
      <x:c r="AL176" s="75"/>
      <x:c r="AM176" s="75"/>
      <x:c r="AN176" s="75"/>
      <x:c r="AO176" s="75"/>
      <x:c r="AP176" s="75"/>
      <x:c r="AQ176" s="75"/>
      <x:c r="AR176" s="75"/>
      <x:c r="AS176" s="75"/>
      <x:c r="AT176" s="75"/>
      <x:c r="AU176" s="75"/>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4"/>
      <x:c r="DQ176" s="4"/>
      <x:c r="DR176" s="4"/>
      <x:c r="DS176" s="4"/>
      <x:c r="DT176" s="4"/>
      <x:c r="DU176" s="4"/>
      <x:c r="DV176" s="4"/>
      <x:c r="DW176" s="4"/>
      <x:c r="DX176" s="4"/>
      <x:c r="DY176" s="4"/>
      <x:c r="DZ176" s="4"/>
      <x:c r="EA176" s="4"/>
      <x:c r="EB176" s="4"/>
      <x:c r="EC176" s="4"/>
      <x:c r="ED176" s="4"/>
      <x:c r="EE176" s="4"/>
      <x:c r="EF176" s="4"/>
      <x:c r="EG176" s="4"/>
      <x:c r="EH176" s="4"/>
      <x:c r="EI176" s="4"/>
      <x:c r="EJ176" s="4"/>
      <x:c r="EK176" s="4"/>
      <x:c r="EL176" s="4"/>
      <x:c r="EM176" s="4"/>
      <x:c r="EN176" s="4"/>
      <x:c r="EO176" s="4"/>
      <x:c r="EP176" s="4"/>
      <x:c r="EQ176" s="4"/>
      <x:c r="ER176" s="4"/>
      <x:c r="ES176" s="4"/>
      <x:c r="ET176" s="4"/>
      <x:c r="EU176" s="4"/>
      <x:c r="EV176" s="4"/>
      <x:c r="EW176" s="4"/>
      <x:c r="EX176" s="4"/>
      <x:c r="EY176" s="4"/>
      <x:c r="EZ176" s="4"/>
      <x:c r="FA176" s="4"/>
      <x:c r="FB176" s="4"/>
      <x:c r="FC176" s="4"/>
      <x:c r="FD176" s="4"/>
      <x:c r="FE176" s="4"/>
      <x:c r="FF176" s="4"/>
      <x:c r="FG176" s="4"/>
      <x:c r="FH176" s="4"/>
      <x:c r="FI176" s="4"/>
      <x:c r="FJ176" s="4"/>
      <x:c r="FK176" s="4"/>
      <x:c r="FL176" s="4"/>
      <x:c r="FM176" s="4"/>
      <x:c r="FN176" s="4"/>
      <x:c r="FO176" s="4"/>
    </x:row>
    <x:row r="177" ht="18" customHeight="1">
      <x:c r="A177" s="3"/>
      <x:c r="B177" s="22" t="str">
        <x:v>Source &amp; calculation notes</x:v>
      </x:c>
      <x:c r="C177" s="22" t="str">
        <x:v>Source &amp; calculation notes</x:v>
      </x:c>
      <x:c r="D177" s="22" t="str">
        <x:v>Source &amp; calculation notes</x:v>
      </x:c>
      <x:c r="E177" s="22" t="str">
        <x:v>Source &amp; calculation notes</x:v>
      </x:c>
      <x:c r="F177" s="22" t="str">
        <x:v>Source &amp; calculation notes</x:v>
      </x:c>
      <x:c r="G177" s="22" t="str">
        <x:v>Source &amp; calculation notes</x:v>
      </x:c>
      <x:c r="H177" s="22" t="str">
        <x:v>Source &amp; calculation notes</x:v>
      </x:c>
      <x:c r="I177" s="22" t="str">
        <x:v>Source &amp; calculation notes</x:v>
      </x:c>
      <x:c r="J177" s="22" t="str">
        <x:v>Source &amp; calculation notes</x:v>
      </x:c>
      <x:c r="K177" s="22" t="str">
        <x:v>Source &amp; calculation notes</x:v>
      </x:c>
      <x:c r="L177" s="22" t="str">
        <x:v>Source &amp; calculation notes</x:v>
      </x:c>
      <x:c r="M177" s="22" t="str">
        <x:v>Source &amp; calculation notes</x:v>
      </x:c>
      <x:c r="N177" s="22" t="str">
        <x:v>Source &amp; calculation notes</x:v>
      </x:c>
      <x:c r="O177" s="22" t="str">
        <x:v>Source &amp; calculation notes</x:v>
      </x:c>
      <x:c r="P177" s="22" t="str">
        <x:v>Source &amp; calculation notes</x:v>
      </x:c>
      <x:c r="Q177" s="22" t="str">
        <x:v>Source &amp; calculation notes</x:v>
      </x:c>
      <x:c r="R177" s="22" t="str">
        <x:v>Source &amp; calculation notes</x:v>
      </x:c>
      <x:c r="S177" s="22" t="str">
        <x:v>Source &amp; calculation notes</x:v>
      </x:c>
      <x:c r="T177" s="22" t="str">
        <x:v>Source &amp; calculation notes</x:v>
      </x:c>
      <x:c r="U177" s="22" t="str">
        <x:v>Source &amp; calculation notes</x:v>
      </x:c>
      <x:c r="V177" s="22" t="str">
        <x:v>Source &amp; calculation notes</x:v>
      </x:c>
      <x:c r="W177" s="22" t="str">
        <x:v>Source &amp; calculation notes</x:v>
      </x:c>
      <x:c r="X177" s="22" t="str">
        <x:v>Source &amp; calculation notes</x:v>
      </x:c>
      <x:c r="Y177" s="22" t="str">
        <x:v>Source &amp; calculation notes</x:v>
      </x:c>
      <x:c r="Z177" s="22" t="str">
        <x:v>Source &amp; calculation notes</x:v>
      </x:c>
      <x:c r="AA177" s="22" t="str">
        <x:v>Source &amp; calculation notes</x:v>
      </x:c>
      <x:c r="AB177" s="22" t="str">
        <x:v>Source &amp; calculation notes</x:v>
      </x:c>
      <x:c r="AC177" s="22" t="str">
        <x:v>Source &amp; calculation notes</x:v>
      </x:c>
      <x:c r="AD177" s="3"/>
      <x:c r="AE177" s="77"/>
      <x:c r="AF177" s="75"/>
      <x:c r="AG177" s="75"/>
      <x:c r="AH177" s="75"/>
      <x:c r="AI177" s="75"/>
      <x:c r="AJ177" s="75"/>
      <x:c r="AK177" s="75"/>
      <x:c r="AL177" s="75"/>
      <x:c r="AM177" s="75"/>
      <x:c r="AN177" s="75"/>
      <x:c r="AO177" s="75"/>
      <x:c r="AP177" s="75"/>
      <x:c r="AQ177" s="75"/>
      <x:c r="AR177" s="75"/>
      <x:c r="AS177" s="75"/>
      <x:c r="AT177" s="75"/>
      <x:c r="AU177" s="75"/>
      <x:c r="AV177" s="4"/>
      <x:c r="AW177" s="4"/>
      <x:c r="AX177" s="4"/>
      <x:c r="AY177" s="4"/>
      <x:c r="AZ177" s="4"/>
      <x:c r="BA177" s="4"/>
      <x:c r="BB177" s="4"/>
      <x:c r="BC177" s="4"/>
      <x:c r="BD177" s="4"/>
      <x:c r="BE177" s="4"/>
      <x:c r="BF177" s="4"/>
      <x:c r="BG177" s="4"/>
      <x:c r="BH177" s="4"/>
      <x:c r="BI177" s="4"/>
      <x:c r="BJ177" s="4"/>
      <x:c r="BK177" s="4"/>
      <x:c r="BL177" s="4"/>
      <x:c r="BM177" s="4"/>
      <x:c r="BN177" s="4"/>
      <x:c r="BO177" s="4"/>
      <x:c r="BP177" s="4"/>
      <x:c r="BQ177" s="4"/>
      <x:c r="BR177" s="4"/>
      <x:c r="BS177" s="4"/>
      <x:c r="BT177" s="4"/>
      <x:c r="BU177" s="4"/>
      <x:c r="BV177" s="4"/>
      <x:c r="BW177" s="4"/>
      <x:c r="BX177" s="4"/>
      <x:c r="BY177" s="4"/>
      <x:c r="BZ177" s="4"/>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x:c r="DB177" s="4"/>
      <x:c r="DC177" s="4"/>
      <x:c r="DD177" s="4"/>
      <x:c r="DE177" s="4"/>
      <x:c r="DF177" s="4"/>
      <x:c r="DG177" s="4"/>
      <x:c r="DH177" s="4"/>
      <x:c r="DI177" s="4"/>
      <x:c r="DJ177" s="4"/>
      <x:c r="DK177" s="4"/>
      <x:c r="DL177" s="4"/>
      <x:c r="DM177" s="4"/>
      <x:c r="DN177" s="4"/>
      <x:c r="DO177" s="4"/>
      <x:c r="DP177" s="4"/>
      <x:c r="DQ177" s="4"/>
      <x:c r="DR177" s="4"/>
      <x:c r="DS177" s="4"/>
      <x:c r="DT177" s="4"/>
      <x:c r="DU177" s="4"/>
      <x:c r="DV177" s="4"/>
      <x:c r="DW177" s="4"/>
      <x:c r="DX177" s="4"/>
      <x:c r="DY177" s="4"/>
      <x:c r="DZ177" s="4"/>
      <x:c r="EA177" s="4"/>
      <x:c r="EB177" s="4"/>
      <x:c r="EC177" s="4"/>
      <x:c r="ED177" s="4"/>
      <x:c r="EE177" s="4"/>
      <x:c r="EF177" s="4"/>
      <x:c r="EG177" s="4"/>
      <x:c r="EH177" s="4"/>
      <x:c r="EI177" s="4"/>
      <x:c r="EJ177" s="4"/>
      <x:c r="EK177" s="4"/>
      <x:c r="EL177" s="4"/>
      <x:c r="EM177" s="4"/>
      <x:c r="EN177" s="4"/>
      <x:c r="EO177" s="4"/>
      <x:c r="EP177" s="4"/>
      <x:c r="EQ177" s="4"/>
      <x:c r="ER177" s="4"/>
      <x:c r="ES177" s="4"/>
      <x:c r="ET177" s="4"/>
      <x:c r="EU177" s="4"/>
      <x:c r="EV177" s="4"/>
      <x:c r="EW177" s="4"/>
      <x:c r="EX177" s="4"/>
      <x:c r="EY177" s="4"/>
      <x:c r="EZ177" s="4"/>
      <x:c r="FA177" s="4"/>
      <x:c r="FB177" s="4"/>
      <x:c r="FC177" s="4"/>
      <x:c r="FD177" s="4"/>
      <x:c r="FE177" s="4"/>
      <x:c r="FF177" s="4"/>
      <x:c r="FG177" s="4"/>
      <x:c r="FH177" s="4"/>
      <x:c r="FI177" s="4"/>
      <x:c r="FJ177" s="4"/>
      <x:c r="FK177" s="4"/>
      <x:c r="FL177" s="4"/>
      <x:c r="FM177" s="4"/>
      <x:c r="FN177" s="4"/>
      <x:c r="FO177" s="4"/>
    </x:row>
    <x:row r="178" ht="18" customHeight="1">
      <x:c r="A178" s="3"/>
      <x:c r="B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78"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78" s="3"/>
      <x:c r="AE178" s="77"/>
      <x:c r="AF178" s="75"/>
      <x:c r="AG178" s="75"/>
      <x:c r="AH178" s="75"/>
      <x:c r="AI178" s="75"/>
      <x:c r="AJ178" s="75"/>
      <x:c r="AK178" s="75"/>
      <x:c r="AL178" s="75"/>
      <x:c r="AM178" s="75"/>
      <x:c r="AN178" s="75"/>
      <x:c r="AO178" s="75"/>
      <x:c r="AP178" s="75"/>
      <x:c r="AQ178" s="75"/>
      <x:c r="AR178" s="75"/>
      <x:c r="AS178" s="75"/>
      <x:c r="AT178" s="75"/>
      <x:c r="AU178" s="75"/>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4"/>
      <x:c r="DQ178" s="4"/>
      <x:c r="DR178" s="4"/>
      <x:c r="DS178" s="4"/>
      <x:c r="DT178" s="4"/>
      <x:c r="DU178" s="4"/>
      <x:c r="DV178" s="4"/>
      <x:c r="DW178" s="4"/>
      <x:c r="DX178" s="4"/>
      <x:c r="DY178" s="4"/>
      <x:c r="DZ178" s="4"/>
      <x:c r="EA178" s="4"/>
      <x:c r="EB178" s="4"/>
      <x:c r="EC178" s="4"/>
      <x:c r="ED178" s="4"/>
      <x:c r="EE178" s="4"/>
      <x:c r="EF178" s="4"/>
      <x:c r="EG178" s="4"/>
      <x:c r="EH178" s="4"/>
      <x:c r="EI178" s="4"/>
      <x:c r="EJ178" s="4"/>
      <x:c r="EK178" s="4"/>
      <x:c r="EL178" s="4"/>
      <x:c r="EM178" s="4"/>
      <x:c r="EN178" s="4"/>
      <x:c r="EO178" s="4"/>
      <x:c r="EP178" s="4"/>
      <x:c r="EQ178" s="4"/>
      <x:c r="ER178" s="4"/>
      <x:c r="ES178" s="4"/>
      <x:c r="ET178" s="4"/>
      <x:c r="EU178" s="4"/>
      <x:c r="EV178" s="4"/>
      <x:c r="EW178" s="4"/>
      <x:c r="EX178" s="4"/>
      <x:c r="EY178" s="4"/>
      <x:c r="EZ178" s="4"/>
      <x:c r="FA178" s="4"/>
      <x:c r="FB178" s="4"/>
      <x:c r="FC178" s="4"/>
      <x:c r="FD178" s="4"/>
      <x:c r="FE178" s="4"/>
      <x:c r="FF178" s="4"/>
      <x:c r="FG178" s="4"/>
      <x:c r="FH178" s="4"/>
      <x:c r="FI178" s="4"/>
      <x:c r="FJ178" s="4"/>
      <x:c r="FK178" s="4"/>
      <x:c r="FL178" s="4"/>
      <x:c r="FM178" s="4"/>
      <x:c r="FN178" s="4"/>
      <x:c r="FO178" s="4"/>
    </x:row>
    <x:row r="179" ht="18" customHeight="1">
      <x:c r="A179" s="3"/>
      <x:c r="B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79"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79" s="3"/>
      <x:c r="AE179" s="77"/>
      <x:c r="AF179" s="75"/>
      <x:c r="AG179" s="75"/>
      <x:c r="AH179" s="75"/>
      <x:c r="AI179" s="75"/>
      <x:c r="AJ179" s="75"/>
      <x:c r="AK179" s="75"/>
      <x:c r="AL179" s="75"/>
      <x:c r="AM179" s="75"/>
      <x:c r="AN179" s="75"/>
      <x:c r="AO179" s="75"/>
      <x:c r="AP179" s="75"/>
      <x:c r="AQ179" s="75"/>
      <x:c r="AR179" s="75"/>
      <x:c r="AS179" s="75"/>
      <x:c r="AT179" s="75"/>
      <x:c r="AU179" s="75"/>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4"/>
      <x:c r="DQ179" s="4"/>
      <x:c r="DR179" s="4"/>
      <x:c r="DS179" s="4"/>
      <x:c r="DT179" s="4"/>
      <x:c r="DU179" s="4"/>
      <x:c r="DV179" s="4"/>
      <x:c r="DW179" s="4"/>
      <x:c r="DX179" s="4"/>
      <x:c r="DY179" s="4"/>
      <x:c r="DZ179" s="4"/>
      <x:c r="EA179" s="4"/>
      <x:c r="EB179" s="4"/>
      <x:c r="EC179" s="4"/>
      <x:c r="ED179" s="4"/>
      <x:c r="EE179" s="4"/>
      <x:c r="EF179" s="4"/>
      <x:c r="EG179" s="4"/>
      <x:c r="EH179" s="4"/>
      <x:c r="EI179" s="4"/>
      <x:c r="EJ179" s="4"/>
      <x:c r="EK179" s="4"/>
      <x:c r="EL179" s="4"/>
      <x:c r="EM179" s="4"/>
      <x:c r="EN179" s="4"/>
      <x:c r="EO179" s="4"/>
      <x:c r="EP179" s="4"/>
      <x:c r="EQ179" s="4"/>
      <x:c r="ER179" s="4"/>
      <x:c r="ES179" s="4"/>
      <x:c r="ET179" s="4"/>
      <x:c r="EU179" s="4"/>
      <x:c r="EV179" s="4"/>
      <x:c r="EW179" s="4"/>
      <x:c r="EX179" s="4"/>
      <x:c r="EY179" s="4"/>
      <x:c r="EZ179" s="4"/>
      <x:c r="FA179" s="4"/>
      <x:c r="FB179" s="4"/>
      <x:c r="FC179" s="4"/>
      <x:c r="FD179" s="4"/>
      <x:c r="FE179" s="4"/>
      <x:c r="FF179" s="4"/>
      <x:c r="FG179" s="4"/>
      <x:c r="FH179" s="4"/>
      <x:c r="FI179" s="4"/>
      <x:c r="FJ179" s="4"/>
      <x:c r="FK179" s="4"/>
      <x:c r="FL179" s="4"/>
      <x:c r="FM179" s="4"/>
      <x:c r="FN179" s="4"/>
      <x:c r="FO179" s="4"/>
    </x:row>
    <x:row r="180" ht="18" customHeight="1">
      <x:c r="A180" s="3"/>
      <x:c r="B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80" s="69"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80" s="3"/>
      <x:c r="AE180" s="77"/>
      <x:c r="AF180" s="75"/>
      <x:c r="AG180" s="75"/>
      <x:c r="AH180" s="75"/>
      <x:c r="AI180" s="75"/>
      <x:c r="AJ180" s="75"/>
      <x:c r="AK180" s="75"/>
      <x:c r="AL180" s="75"/>
      <x:c r="AM180" s="75"/>
      <x:c r="AN180" s="75"/>
      <x:c r="AO180" s="75"/>
      <x:c r="AP180" s="75"/>
      <x:c r="AQ180" s="75"/>
      <x:c r="AR180" s="75"/>
      <x:c r="AS180" s="75"/>
      <x:c r="AT180" s="75"/>
      <x:c r="AU180" s="75"/>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4"/>
      <x:c r="DQ180" s="4"/>
      <x:c r="DR180" s="4"/>
      <x:c r="DS180" s="4"/>
      <x:c r="DT180" s="4"/>
      <x:c r="DU180" s="4"/>
      <x:c r="DV180" s="4"/>
      <x:c r="DW180" s="4"/>
      <x:c r="DX180" s="4"/>
      <x:c r="DY180" s="4"/>
      <x:c r="DZ180" s="4"/>
      <x:c r="EA180" s="4"/>
      <x:c r="EB180" s="4"/>
      <x:c r="EC180" s="4"/>
      <x:c r="ED180" s="4"/>
      <x:c r="EE180" s="4"/>
      <x:c r="EF180" s="4"/>
      <x:c r="EG180" s="4"/>
      <x:c r="EH180" s="4"/>
      <x:c r="EI180" s="4"/>
      <x:c r="EJ180" s="4"/>
      <x:c r="EK180" s="4"/>
      <x:c r="EL180" s="4"/>
      <x:c r="EM180" s="4"/>
      <x:c r="EN180" s="4"/>
      <x:c r="EO180" s="4"/>
      <x:c r="EP180" s="4"/>
      <x:c r="EQ180" s="4"/>
      <x:c r="ER180" s="4"/>
      <x:c r="ES180" s="4"/>
      <x:c r="ET180" s="4"/>
      <x:c r="EU180" s="4"/>
      <x:c r="EV180" s="4"/>
      <x:c r="EW180" s="4"/>
      <x:c r="EX180" s="4"/>
      <x:c r="EY180" s="4"/>
      <x:c r="EZ180" s="4"/>
      <x:c r="FA180" s="4"/>
      <x:c r="FB180" s="4"/>
      <x:c r="FC180" s="4"/>
      <x:c r="FD180" s="4"/>
      <x:c r="FE180" s="4"/>
      <x:c r="FF180" s="4"/>
      <x:c r="FG180" s="4"/>
      <x:c r="FH180" s="4"/>
      <x:c r="FI180" s="4"/>
      <x:c r="FJ180" s="4"/>
      <x:c r="FK180" s="4"/>
      <x:c r="FL180" s="4"/>
      <x:c r="FM180" s="4"/>
      <x:c r="FN180" s="4"/>
      <x:c r="FO180" s="4"/>
    </x:row>
    <x:row r="181" ht="18" customHeight="1">
      <x:c r="A181" s="3"/>
      <x:c r="B181" s="3"/>
      <x:c r="C181" s="3"/>
      <x:c r="D181" s="3"/>
      <x:c r="E181" s="3"/>
      <x:c r="F181" s="3"/>
      <x:c r="G181" s="3"/>
      <x:c r="H181" s="3"/>
      <x:c r="I181" s="3"/>
      <x:c r="J181" s="3"/>
      <x:c r="K181" s="3"/>
      <x:c r="L181" s="3"/>
      <x:c r="M181" s="3"/>
      <x:c r="N181" s="3"/>
      <x:c r="O181" s="3"/>
      <x:c r="P181" s="3"/>
      <x:c r="Q181" s="3"/>
      <x:c r="R181" s="3"/>
      <x:c r="S181" s="3"/>
      <x:c r="T181" s="3"/>
      <x:c r="U181" s="3"/>
      <x:c r="V181" s="3"/>
      <x:c r="W181" s="3"/>
      <x:c r="X181" s="3"/>
      <x:c r="Y181" s="3"/>
      <x:c r="Z181" s="3"/>
      <x:c r="AA181" s="3"/>
      <x:c r="AB181" s="3"/>
      <x:c r="AC181" s="3"/>
      <x:c r="AD181" s="3"/>
      <x:c r="AE181" s="77"/>
      <x:c r="AF181" s="75"/>
      <x:c r="AG181" s="75"/>
      <x:c r="AH181" s="75"/>
      <x:c r="AI181" s="75"/>
      <x:c r="AJ181" s="75"/>
      <x:c r="AK181" s="75"/>
      <x:c r="AL181" s="75"/>
      <x:c r="AM181" s="75"/>
      <x:c r="AN181" s="75"/>
      <x:c r="AO181" s="75"/>
      <x:c r="AP181" s="75"/>
      <x:c r="AQ181" s="75"/>
      <x:c r="AR181" s="75"/>
      <x:c r="AS181" s="75"/>
      <x:c r="AT181" s="75"/>
      <x:c r="AU181" s="75"/>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4"/>
      <x:c r="DQ181" s="4"/>
      <x:c r="DR181" s="4"/>
      <x:c r="DS181" s="4"/>
      <x:c r="DT181" s="4"/>
      <x:c r="DU181" s="4"/>
      <x:c r="DV181" s="4"/>
      <x:c r="DW181" s="4"/>
      <x:c r="DX181" s="4"/>
      <x:c r="DY181" s="4"/>
      <x:c r="DZ181" s="4"/>
      <x:c r="EA181" s="4"/>
      <x:c r="EB181" s="4"/>
      <x:c r="EC181" s="4"/>
      <x:c r="ED181" s="4"/>
      <x:c r="EE181" s="4"/>
      <x:c r="EF181" s="4"/>
      <x:c r="EG181" s="4"/>
      <x:c r="EH181" s="4"/>
      <x:c r="EI181" s="4"/>
      <x:c r="EJ181" s="4"/>
      <x:c r="EK181" s="4"/>
      <x:c r="EL181" s="4"/>
      <x:c r="EM181" s="4"/>
      <x:c r="EN181" s="4"/>
      <x:c r="EO181" s="4"/>
      <x:c r="EP181" s="4"/>
      <x:c r="EQ181" s="4"/>
      <x:c r="ER181" s="4"/>
      <x:c r="ES181" s="4"/>
      <x:c r="ET181" s="4"/>
      <x:c r="EU181" s="4"/>
      <x:c r="EV181" s="4"/>
      <x:c r="EW181" s="4"/>
      <x:c r="EX181" s="4"/>
      <x:c r="EY181" s="4"/>
      <x:c r="EZ181" s="4"/>
      <x:c r="FA181" s="4"/>
      <x:c r="FB181" s="4"/>
      <x:c r="FC181" s="4"/>
      <x:c r="FD181" s="4"/>
      <x:c r="FE181" s="4"/>
      <x:c r="FF181" s="4"/>
      <x:c r="FG181" s="4"/>
      <x:c r="FH181" s="4"/>
      <x:c r="FI181" s="4"/>
      <x:c r="FJ181" s="4"/>
      <x:c r="FK181" s="4"/>
      <x:c r="FL181" s="4"/>
      <x:c r="FM181" s="4"/>
      <x:c r="FN181" s="4"/>
      <x:c r="FO181" s="4"/>
    </x:row>
    <x:row r="182" ht="18" customHeight="1">
      <x:c r="A182" s="3"/>
      <x:c r="B182" s="52" t="str">
        <x:v>Dashboard measure</x:v>
      </x:c>
      <x:c r="C182" s="52" t="str">
        <x:v>Dashboard measure</x:v>
      </x:c>
      <x:c r="D182" s="52" t="str">
        <x:v>Dashboard measure</x:v>
      </x:c>
      <x:c r="E182" s="52" t="str">
        <x:v>Dashboard measure</x:v>
      </x:c>
      <x:c r="F182" s="52" t="str">
        <x:v>Dashboard measure</x:v>
      </x:c>
      <x:c r="G182" s="52" t="str">
        <x:v>Dashboard measure</x:v>
      </x:c>
      <x:c r="H182" s="52" t="str">
        <x:v>Dashboard measure</x:v>
      </x:c>
      <x:c r="I182" s="52" t="str">
        <x:v>Source column</x:v>
      </x:c>
      <x:c r="J182" s="52" t="str">
        <x:v>Source column</x:v>
      </x:c>
      <x:c r="K182" s="52" t="str">
        <x:v>Source column</x:v>
      </x:c>
      <x:c r="L182" s="52" t="str">
        <x:v>Source column</x:v>
      </x:c>
      <x:c r="M182" s="52" t="str">
        <x:v>Source column</x:v>
      </x:c>
      <x:c r="N182" s="52" t="str">
        <x:v>Treatment</x:v>
      </x:c>
      <x:c r="O182" s="52" t="str">
        <x:v>Treatment</x:v>
      </x:c>
      <x:c r="P182" s="52" t="str">
        <x:v>Treatment</x:v>
      </x:c>
      <x:c r="Q182" s="52" t="str">
        <x:v>Treatment</x:v>
      </x:c>
      <x:c r="R182" s="52" t="str">
        <x:v>Treatment</x:v>
      </x:c>
      <x:c r="S182" s="52" t="str">
        <x:v>Treatment</x:v>
      </x:c>
      <x:c r="T182" s="52" t="str">
        <x:v>Treatment</x:v>
      </x:c>
      <x:c r="U182" s="52" t="str">
        <x:v>Treatment</x:v>
      </x:c>
      <x:c r="V182" s="52" t="str">
        <x:v>Treatment</x:v>
      </x:c>
      <x:c r="W182" s="52" t="str">
        <x:v>Treatment</x:v>
      </x:c>
      <x:c r="X182" s="52" t="str">
        <x:v>Treatment</x:v>
      </x:c>
      <x:c r="Y182" s="52" t="str">
        <x:v>Treatment</x:v>
      </x:c>
      <x:c r="Z182" s="52" t="str">
        <x:v>Treatment</x:v>
      </x:c>
      <x:c r="AA182" s="52" t="str">
        <x:v>Treatment</x:v>
      </x:c>
      <x:c r="AB182" s="52" t="str">
        <x:v>Treatment</x:v>
      </x:c>
      <x:c r="AC182" s="52" t="str">
        <x:v>Treatment</x:v>
      </x:c>
      <x:c r="AD182" s="3"/>
      <x:c r="AE182" s="77"/>
      <x:c r="AF182" s="75"/>
      <x:c r="AG182" s="75"/>
      <x:c r="AH182" s="75"/>
      <x:c r="AI182" s="75"/>
      <x:c r="AJ182" s="75"/>
      <x:c r="AK182" s="75"/>
      <x:c r="AL182" s="75"/>
      <x:c r="AM182" s="75"/>
      <x:c r="AN182" s="75"/>
      <x:c r="AO182" s="75"/>
      <x:c r="AP182" s="75"/>
      <x:c r="AQ182" s="75"/>
      <x:c r="AR182" s="75"/>
      <x:c r="AS182" s="75"/>
      <x:c r="AT182" s="75"/>
      <x:c r="AU182" s="75"/>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4"/>
      <x:c r="DQ182" s="4"/>
      <x:c r="DR182" s="4"/>
      <x:c r="DS182" s="4"/>
      <x:c r="DT182" s="4"/>
      <x:c r="DU182" s="4"/>
      <x:c r="DV182" s="4"/>
      <x:c r="DW182" s="4"/>
      <x:c r="DX182" s="4"/>
      <x:c r="DY182" s="4"/>
      <x:c r="DZ182" s="4"/>
      <x:c r="EA182" s="4"/>
      <x:c r="EB182" s="4"/>
      <x:c r="EC182" s="4"/>
      <x:c r="ED182" s="4"/>
      <x:c r="EE182" s="4"/>
      <x:c r="EF182" s="4"/>
      <x:c r="EG182" s="4"/>
      <x:c r="EH182" s="4"/>
      <x:c r="EI182" s="4"/>
      <x:c r="EJ182" s="4"/>
      <x:c r="EK182" s="4"/>
      <x:c r="EL182" s="4"/>
      <x:c r="EM182" s="4"/>
      <x:c r="EN182" s="4"/>
      <x:c r="EO182" s="4"/>
      <x:c r="EP182" s="4"/>
      <x:c r="EQ182" s="4"/>
      <x:c r="ER182" s="4"/>
      <x:c r="ES182" s="4"/>
      <x:c r="ET182" s="4"/>
      <x:c r="EU182" s="4"/>
      <x:c r="EV182" s="4"/>
      <x:c r="EW182" s="4"/>
      <x:c r="EX182" s="4"/>
      <x:c r="EY182" s="4"/>
      <x:c r="EZ182" s="4"/>
      <x:c r="FA182" s="4"/>
      <x:c r="FB182" s="4"/>
      <x:c r="FC182" s="4"/>
      <x:c r="FD182" s="4"/>
      <x:c r="FE182" s="4"/>
      <x:c r="FF182" s="4"/>
      <x:c r="FG182" s="4"/>
      <x:c r="FH182" s="4"/>
      <x:c r="FI182" s="4"/>
      <x:c r="FJ182" s="4"/>
      <x:c r="FK182" s="4"/>
      <x:c r="FL182" s="4"/>
      <x:c r="FM182" s="4"/>
      <x:c r="FN182" s="4"/>
      <x:c r="FO182" s="4"/>
    </x:row>
    <x:row r="183" ht="27" customHeight="1">
      <x:c r="A183" s="3"/>
      <x:c r="B183" s="40" t="str">
        <x:v>What</x:v>
      </x:c>
      <x:c r="C183" s="40" t="str">
        <x:v>What</x:v>
      </x:c>
      <x:c r="D183" s="40" t="str">
        <x:v>What</x:v>
      </x:c>
      <x:c r="E183" s="40" t="str">
        <x:v>What</x:v>
      </x:c>
      <x:c r="F183" s="40" t="str">
        <x:v>What</x:v>
      </x:c>
      <x:c r="G183" s="40" t="str">
        <x:v>What</x:v>
      </x:c>
      <x:c r="H183" s="40" t="str">
        <x:v>What</x:v>
      </x:c>
      <x:c r="I183" s="40" t="str">
        <x:v>K</x:v>
      </x:c>
      <x:c r="J183" s="40" t="str">
        <x:v>K</x:v>
      </x:c>
      <x:c r="K183" s="40" t="str">
        <x:v>K</x:v>
      </x:c>
      <x:c r="L183" s="40" t="str">
        <x:v>K</x:v>
      </x:c>
      <x:c r="M183" s="40" t="str">
        <x:v>K</x:v>
      </x:c>
      <x:c r="N183" s="40" t="str">
        <x:v>Approved rounded average of M:N:O. Read as supplied; no extra rounding.</x:v>
      </x:c>
      <x:c r="O183" s="40" t="str">
        <x:v>Approved rounded average of M:N:O. Read as supplied; no extra rounding.</x:v>
      </x:c>
      <x:c r="P183" s="40" t="str">
        <x:v>Approved rounded average of M:N:O. Read as supplied; no extra rounding.</x:v>
      </x:c>
      <x:c r="Q183" s="40" t="str">
        <x:v>Approved rounded average of M:N:O. Read as supplied; no extra rounding.</x:v>
      </x:c>
      <x:c r="R183" s="40" t="str">
        <x:v>Approved rounded average of M:N:O. Read as supplied; no extra rounding.</x:v>
      </x:c>
      <x:c r="S183" s="40" t="str">
        <x:v>Approved rounded average of M:N:O. Read as supplied; no extra rounding.</x:v>
      </x:c>
      <x:c r="T183" s="40" t="str">
        <x:v>Approved rounded average of M:N:O. Read as supplied; no extra rounding.</x:v>
      </x:c>
      <x:c r="U183" s="40" t="str">
        <x:v>Approved rounded average of M:N:O. Read as supplied; no extra rounding.</x:v>
      </x:c>
      <x:c r="V183" s="40" t="str">
        <x:v>Approved rounded average of M:N:O. Read as supplied; no extra rounding.</x:v>
      </x:c>
      <x:c r="W183" s="40" t="str">
        <x:v>Approved rounded average of M:N:O. Read as supplied; no extra rounding.</x:v>
      </x:c>
      <x:c r="X183" s="40" t="str">
        <x:v>Approved rounded average of M:N:O. Read as supplied; no extra rounding.</x:v>
      </x:c>
      <x:c r="Y183" s="40" t="str">
        <x:v>Approved rounded average of M:N:O. Read as supplied; no extra rounding.</x:v>
      </x:c>
      <x:c r="Z183" s="40" t="str">
        <x:v>Approved rounded average of M:N:O. Read as supplied; no extra rounding.</x:v>
      </x:c>
      <x:c r="AA183" s="40" t="str">
        <x:v>Approved rounded average of M:N:O. Read as supplied; no extra rounding.</x:v>
      </x:c>
      <x:c r="AB183" s="40" t="str">
        <x:v>Approved rounded average of M:N:O. Read as supplied; no extra rounding.</x:v>
      </x:c>
      <x:c r="AC183" s="40" t="str">
        <x:v>Approved rounded average of M:N:O. Read as supplied; no extra rounding.</x:v>
      </x:c>
      <x:c r="AD183" s="3"/>
      <x:c r="AE183" s="77"/>
      <x:c r="AF183" s="75"/>
      <x:c r="AG183" s="75"/>
      <x:c r="AH183" s="75"/>
      <x:c r="AI183" s="75"/>
      <x:c r="AJ183" s="75"/>
      <x:c r="AK183" s="75"/>
      <x:c r="AL183" s="75"/>
      <x:c r="AM183" s="75"/>
      <x:c r="AN183" s="75"/>
      <x:c r="AO183" s="75"/>
      <x:c r="AP183" s="75"/>
      <x:c r="AQ183" s="75"/>
      <x:c r="AR183" s="75"/>
      <x:c r="AS183" s="75"/>
      <x:c r="AT183" s="75"/>
      <x:c r="AU183" s="75"/>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4"/>
      <x:c r="DQ183" s="4"/>
      <x:c r="DR183" s="4"/>
      <x:c r="DS183" s="4"/>
      <x:c r="DT183" s="4"/>
      <x:c r="DU183" s="4"/>
      <x:c r="DV183" s="4"/>
      <x:c r="DW183" s="4"/>
      <x:c r="DX183" s="4"/>
      <x:c r="DY183" s="4"/>
      <x:c r="DZ183" s="4"/>
      <x:c r="EA183" s="4"/>
      <x:c r="EB183" s="4"/>
      <x:c r="EC183" s="4"/>
      <x:c r="ED183" s="4"/>
      <x:c r="EE183" s="4"/>
      <x:c r="EF183" s="4"/>
      <x:c r="EG183" s="4"/>
      <x:c r="EH183" s="4"/>
      <x:c r="EI183" s="4"/>
      <x:c r="EJ183" s="4"/>
      <x:c r="EK183" s="4"/>
      <x:c r="EL183" s="4"/>
      <x:c r="EM183" s="4"/>
      <x:c r="EN183" s="4"/>
      <x:c r="EO183" s="4"/>
      <x:c r="EP183" s="4"/>
      <x:c r="EQ183" s="4"/>
      <x:c r="ER183" s="4"/>
      <x:c r="ES183" s="4"/>
      <x:c r="ET183" s="4"/>
      <x:c r="EU183" s="4"/>
      <x:c r="EV183" s="4"/>
      <x:c r="EW183" s="4"/>
      <x:c r="EX183" s="4"/>
      <x:c r="EY183" s="4"/>
      <x:c r="EZ183" s="4"/>
      <x:c r="FA183" s="4"/>
      <x:c r="FB183" s="4"/>
      <x:c r="FC183" s="4"/>
      <x:c r="FD183" s="4"/>
      <x:c r="FE183" s="4"/>
      <x:c r="FF183" s="4"/>
      <x:c r="FG183" s="4"/>
      <x:c r="FH183" s="4"/>
      <x:c r="FI183" s="4"/>
      <x:c r="FJ183" s="4"/>
      <x:c r="FK183" s="4"/>
      <x:c r="FL183" s="4"/>
      <x:c r="FM183" s="4"/>
      <x:c r="FN183" s="4"/>
      <x:c r="FO183" s="4"/>
    </x:row>
    <x:row r="184" ht="27" customHeight="1">
      <x:c r="A184" s="3"/>
      <x:c r="B184" s="45" t="str">
        <x:v>How</x:v>
      </x:c>
      <x:c r="C184" s="45" t="str">
        <x:v>How</x:v>
      </x:c>
      <x:c r="D184" s="45" t="str">
        <x:v>How</x:v>
      </x:c>
      <x:c r="E184" s="45" t="str">
        <x:v>How</x:v>
      </x:c>
      <x:c r="F184" s="45" t="str">
        <x:v>How</x:v>
      </x:c>
      <x:c r="G184" s="45" t="str">
        <x:v>How</x:v>
      </x:c>
      <x:c r="H184" s="45" t="str">
        <x:v>How</x:v>
      </x:c>
      <x:c r="I184" s="45" t="str">
        <x:v>L</x:v>
      </x:c>
      <x:c r="J184" s="45" t="str">
        <x:v>L</x:v>
      </x:c>
      <x:c r="K184" s="45" t="str">
        <x:v>L</x:v>
      </x:c>
      <x:c r="L184" s="45" t="str">
        <x:v>L</x:v>
      </x:c>
      <x:c r="M184" s="45" t="str">
        <x:v>L</x:v>
      </x:c>
      <x:c r="N184" s="45" t="str">
        <x:v>Manager-entered rating. Valid integer ratings 1–4 only. Other values remain pending.</x:v>
      </x:c>
      <x:c r="O184" s="45" t="str">
        <x:v>Manager-entered rating. Valid integer ratings 1–4 only. Other values remain pending.</x:v>
      </x:c>
      <x:c r="P184" s="45" t="str">
        <x:v>Manager-entered rating. Valid integer ratings 1–4 only. Other values remain pending.</x:v>
      </x:c>
      <x:c r="Q184" s="45" t="str">
        <x:v>Manager-entered rating. Valid integer ratings 1–4 only. Other values remain pending.</x:v>
      </x:c>
      <x:c r="R184" s="45" t="str">
        <x:v>Manager-entered rating. Valid integer ratings 1–4 only. Other values remain pending.</x:v>
      </x:c>
      <x:c r="S184" s="45" t="str">
        <x:v>Manager-entered rating. Valid integer ratings 1–4 only. Other values remain pending.</x:v>
      </x:c>
      <x:c r="T184" s="45" t="str">
        <x:v>Manager-entered rating. Valid integer ratings 1–4 only. Other values remain pending.</x:v>
      </x:c>
      <x:c r="U184" s="45" t="str">
        <x:v>Manager-entered rating. Valid integer ratings 1–4 only. Other values remain pending.</x:v>
      </x:c>
      <x:c r="V184" s="45" t="str">
        <x:v>Manager-entered rating. Valid integer ratings 1–4 only. Other values remain pending.</x:v>
      </x:c>
      <x:c r="W184" s="45" t="str">
        <x:v>Manager-entered rating. Valid integer ratings 1–4 only. Other values remain pending.</x:v>
      </x:c>
      <x:c r="X184" s="45" t="str">
        <x:v>Manager-entered rating. Valid integer ratings 1–4 only. Other values remain pending.</x:v>
      </x:c>
      <x:c r="Y184" s="45" t="str">
        <x:v>Manager-entered rating. Valid integer ratings 1–4 only. Other values remain pending.</x:v>
      </x:c>
      <x:c r="Z184" s="45" t="str">
        <x:v>Manager-entered rating. Valid integer ratings 1–4 only. Other values remain pending.</x:v>
      </x:c>
      <x:c r="AA184" s="45" t="str">
        <x:v>Manager-entered rating. Valid integer ratings 1–4 only. Other values remain pending.</x:v>
      </x:c>
      <x:c r="AB184" s="45" t="str">
        <x:v>Manager-entered rating. Valid integer ratings 1–4 only. Other values remain pending.</x:v>
      </x:c>
      <x:c r="AC184" s="45" t="str">
        <x:v>Manager-entered rating. Valid integer ratings 1–4 only. Other values remain pending.</x:v>
      </x:c>
      <x:c r="AD184" s="3"/>
      <x:c r="AE184" s="77"/>
      <x:c r="AF184" s="75"/>
      <x:c r="AG184" s="75"/>
      <x:c r="AH184" s="75"/>
      <x:c r="AI184" s="75"/>
      <x:c r="AJ184" s="75"/>
      <x:c r="AK184" s="75"/>
      <x:c r="AL184" s="75"/>
      <x:c r="AM184" s="75"/>
      <x:c r="AN184" s="75"/>
      <x:c r="AO184" s="75"/>
      <x:c r="AP184" s="75"/>
      <x:c r="AQ184" s="75"/>
      <x:c r="AR184" s="75"/>
      <x:c r="AS184" s="75"/>
      <x:c r="AT184" s="75"/>
      <x:c r="AU184" s="75"/>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4"/>
      <x:c r="DQ184" s="4"/>
      <x:c r="DR184" s="4"/>
      <x:c r="DS184" s="4"/>
      <x:c r="DT184" s="4"/>
      <x:c r="DU184" s="4"/>
      <x:c r="DV184" s="4"/>
      <x:c r="DW184" s="4"/>
      <x:c r="DX184" s="4"/>
      <x:c r="DY184" s="4"/>
      <x:c r="DZ184" s="4"/>
      <x:c r="EA184" s="4"/>
      <x:c r="EB184" s="4"/>
      <x:c r="EC184" s="4"/>
      <x:c r="ED184" s="4"/>
      <x:c r="EE184" s="4"/>
      <x:c r="EF184" s="4"/>
      <x:c r="EG184" s="4"/>
      <x:c r="EH184" s="4"/>
      <x:c r="EI184" s="4"/>
      <x:c r="EJ184" s="4"/>
      <x:c r="EK184" s="4"/>
      <x:c r="EL184" s="4"/>
      <x:c r="EM184" s="4"/>
      <x:c r="EN184" s="4"/>
      <x:c r="EO184" s="4"/>
      <x:c r="EP184" s="4"/>
      <x:c r="EQ184" s="4"/>
      <x:c r="ER184" s="4"/>
      <x:c r="ES184" s="4"/>
      <x:c r="ET184" s="4"/>
      <x:c r="EU184" s="4"/>
      <x:c r="EV184" s="4"/>
      <x:c r="EW184" s="4"/>
      <x:c r="EX184" s="4"/>
      <x:c r="EY184" s="4"/>
      <x:c r="EZ184" s="4"/>
      <x:c r="FA184" s="4"/>
      <x:c r="FB184" s="4"/>
      <x:c r="FC184" s="4"/>
      <x:c r="FD184" s="4"/>
      <x:c r="FE184" s="4"/>
      <x:c r="FF184" s="4"/>
      <x:c r="FG184" s="4"/>
      <x:c r="FH184" s="4"/>
      <x:c r="FI184" s="4"/>
      <x:c r="FJ184" s="4"/>
      <x:c r="FK184" s="4"/>
      <x:c r="FL184" s="4"/>
      <x:c r="FM184" s="4"/>
      <x:c r="FN184" s="4"/>
      <x:c r="FO184" s="4"/>
    </x:row>
    <x:row r="185" ht="36" customHeight="1">
      <x:c r="A185" s="3"/>
      <x:c r="B185" s="40" t="str">
        <x:v>Combined category</x:v>
      </x:c>
      <x:c r="C185" s="40" t="str">
        <x:v>Combined category</x:v>
      </x:c>
      <x:c r="D185" s="40" t="str">
        <x:v>Combined category</x:v>
      </x:c>
      <x:c r="E185" s="40" t="str">
        <x:v>Combined category</x:v>
      </x:c>
      <x:c r="F185" s="40" t="str">
        <x:v>Combined category</x:v>
      </x:c>
      <x:c r="G185" s="40" t="str">
        <x:v>Combined category</x:v>
      </x:c>
      <x:c r="H185" s="40" t="str">
        <x:v>Combined category</x:v>
      </x:c>
      <x:c r="I185" s="40" t="str">
        <x:v>K + L</x:v>
      </x:c>
      <x:c r="J185" s="40" t="str">
        <x:v>K + L</x:v>
      </x:c>
      <x:c r="K185" s="40" t="str">
        <x:v>K + L</x:v>
      </x:c>
      <x:c r="L185" s="40" t="str">
        <x:v>K + L</x:v>
      </x:c>
      <x:c r="M185" s="40" t="str">
        <x:v>K + L</x:v>
      </x:c>
      <x:c r="N185" s="40" t="str">
        <x:v>High: 1/1, 1/2, 2/1. Strong: 2/2, 1/3, 3/1. Solid: 3/3, 2/3, 3/2. Otherwise Low.</x:v>
      </x:c>
      <x:c r="O185" s="40" t="str">
        <x:v>High: 1/1, 1/2, 2/1. Strong: 2/2, 1/3, 3/1. Solid: 3/3, 2/3, 3/2. Otherwise Low.</x:v>
      </x:c>
      <x:c r="P185" s="40" t="str">
        <x:v>High: 1/1, 1/2, 2/1. Strong: 2/2, 1/3, 3/1. Solid: 3/3, 2/3, 3/2. Otherwise Low.</x:v>
      </x:c>
      <x:c r="Q185" s="40" t="str">
        <x:v>High: 1/1, 1/2, 2/1. Strong: 2/2, 1/3, 3/1. Solid: 3/3, 2/3, 3/2. Otherwise Low.</x:v>
      </x:c>
      <x:c r="R185" s="40" t="str">
        <x:v>High: 1/1, 1/2, 2/1. Strong: 2/2, 1/3, 3/1. Solid: 3/3, 2/3, 3/2. Otherwise Low.</x:v>
      </x:c>
      <x:c r="S185" s="40" t="str">
        <x:v>High: 1/1, 1/2, 2/1. Strong: 2/2, 1/3, 3/1. Solid: 3/3, 2/3, 3/2. Otherwise Low.</x:v>
      </x:c>
      <x:c r="T185" s="40" t="str">
        <x:v>High: 1/1, 1/2, 2/1. Strong: 2/2, 1/3, 3/1. Solid: 3/3, 2/3, 3/2. Otherwise Low.</x:v>
      </x:c>
      <x:c r="U185" s="40" t="str">
        <x:v>High: 1/1, 1/2, 2/1. Strong: 2/2, 1/3, 3/1. Solid: 3/3, 2/3, 3/2. Otherwise Low.</x:v>
      </x:c>
      <x:c r="V185" s="40" t="str">
        <x:v>High: 1/1, 1/2, 2/1. Strong: 2/2, 1/3, 3/1. Solid: 3/3, 2/3, 3/2. Otherwise Low.</x:v>
      </x:c>
      <x:c r="W185" s="40" t="str">
        <x:v>High: 1/1, 1/2, 2/1. Strong: 2/2, 1/3, 3/1. Solid: 3/3, 2/3, 3/2. Otherwise Low.</x:v>
      </x:c>
      <x:c r="X185" s="40" t="str">
        <x:v>High: 1/1, 1/2, 2/1. Strong: 2/2, 1/3, 3/1. Solid: 3/3, 2/3, 3/2. Otherwise Low.</x:v>
      </x:c>
      <x:c r="Y185" s="40" t="str">
        <x:v>High: 1/1, 1/2, 2/1. Strong: 2/2, 1/3, 3/1. Solid: 3/3, 2/3, 3/2. Otherwise Low.</x:v>
      </x:c>
      <x:c r="Z185" s="40" t="str">
        <x:v>High: 1/1, 1/2, 2/1. Strong: 2/2, 1/3, 3/1. Solid: 3/3, 2/3, 3/2. Otherwise Low.</x:v>
      </x:c>
      <x:c r="AA185" s="40" t="str">
        <x:v>High: 1/1, 1/2, 2/1. Strong: 2/2, 1/3, 3/1. Solid: 3/3, 2/3, 3/2. Otherwise Low.</x:v>
      </x:c>
      <x:c r="AB185" s="40" t="str">
        <x:v>High: 1/1, 1/2, 2/1. Strong: 2/2, 1/3, 3/1. Solid: 3/3, 2/3, 3/2. Otherwise Low.</x:v>
      </x:c>
      <x:c r="AC185" s="40" t="str">
        <x:v>High: 1/1, 1/2, 2/1. Strong: 2/2, 1/3, 3/1. Solid: 3/3, 2/3, 3/2. Otherwise Low.</x:v>
      </x:c>
      <x:c r="AD185" s="3"/>
      <x:c r="AE185" s="77"/>
      <x:c r="AF185" s="75"/>
      <x:c r="AG185" s="75"/>
      <x:c r="AH185" s="75"/>
      <x:c r="AI185" s="75"/>
      <x:c r="AJ185" s="75"/>
      <x:c r="AK185" s="75"/>
      <x:c r="AL185" s="75"/>
      <x:c r="AM185" s="75"/>
      <x:c r="AN185" s="75"/>
      <x:c r="AO185" s="75"/>
      <x:c r="AP185" s="75"/>
      <x:c r="AQ185" s="75"/>
      <x:c r="AR185" s="75"/>
      <x:c r="AS185" s="75"/>
      <x:c r="AT185" s="75"/>
      <x:c r="AU185" s="75"/>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4"/>
      <x:c r="DQ185" s="4"/>
      <x:c r="DR185" s="4"/>
      <x:c r="DS185" s="4"/>
      <x:c r="DT185" s="4"/>
      <x:c r="DU185" s="4"/>
      <x:c r="DV185" s="4"/>
      <x:c r="DW185" s="4"/>
      <x:c r="DX185" s="4"/>
      <x:c r="DY185" s="4"/>
      <x:c r="DZ185" s="4"/>
      <x:c r="EA185" s="4"/>
      <x:c r="EB185" s="4"/>
      <x:c r="EC185" s="4"/>
      <x:c r="ED185" s="4"/>
      <x:c r="EE185" s="4"/>
      <x:c r="EF185" s="4"/>
      <x:c r="EG185" s="4"/>
      <x:c r="EH185" s="4"/>
      <x:c r="EI185" s="4"/>
      <x:c r="EJ185" s="4"/>
      <x:c r="EK185" s="4"/>
      <x:c r="EL185" s="4"/>
      <x:c r="EM185" s="4"/>
      <x:c r="EN185" s="4"/>
      <x:c r="EO185" s="4"/>
      <x:c r="EP185" s="4"/>
      <x:c r="EQ185" s="4"/>
      <x:c r="ER185" s="4"/>
      <x:c r="ES185" s="4"/>
      <x:c r="ET185" s="4"/>
      <x:c r="EU185" s="4"/>
      <x:c r="EV185" s="4"/>
      <x:c r="EW185" s="4"/>
      <x:c r="EX185" s="4"/>
      <x:c r="EY185" s="4"/>
      <x:c r="EZ185" s="4"/>
      <x:c r="FA185" s="4"/>
      <x:c r="FB185" s="4"/>
      <x:c r="FC185" s="4"/>
      <x:c r="FD185" s="4"/>
      <x:c r="FE185" s="4"/>
      <x:c r="FF185" s="4"/>
      <x:c r="FG185" s="4"/>
      <x:c r="FH185" s="4"/>
      <x:c r="FI185" s="4"/>
      <x:c r="FJ185" s="4"/>
      <x:c r="FK185" s="4"/>
      <x:c r="FL185" s="4"/>
      <x:c r="FM185" s="4"/>
      <x:c r="FN185" s="4"/>
      <x:c r="FO185" s="4"/>
    </x:row>
    <x:row r="186" ht="27" customHeight="1">
      <x:c r="A186" s="3"/>
      <x:c r="B186" s="45" t="str">
        <x:v>Components</x:v>
      </x:c>
      <x:c r="C186" s="45" t="str">
        <x:v>Components</x:v>
      </x:c>
      <x:c r="D186" s="45" t="str">
        <x:v>Components</x:v>
      </x:c>
      <x:c r="E186" s="45" t="str">
        <x:v>Components</x:v>
      </x:c>
      <x:c r="F186" s="45" t="str">
        <x:v>Components</x:v>
      </x:c>
      <x:c r="G186" s="45" t="str">
        <x:v>Components</x:v>
      </x:c>
      <x:c r="H186" s="45" t="str">
        <x:v>Components</x:v>
      </x:c>
      <x:c r="I186" s="45" t="str">
        <x:v>M / N / O</x:v>
      </x:c>
      <x:c r="J186" s="45" t="str">
        <x:v>M / N / O</x:v>
      </x:c>
      <x:c r="K186" s="45" t="str">
        <x:v>M / N / O</x:v>
      </x:c>
      <x:c r="L186" s="45" t="str">
        <x:v>M / N / O</x:v>
      </x:c>
      <x:c r="M186" s="45" t="str">
        <x:v>M / N / O</x:v>
      </x:c>
      <x:c r="N186" s="45" t="str">
        <x:v>Remain inputs to the source What formula. No separate component calibration.</x:v>
      </x:c>
      <x:c r="O186" s="45" t="str">
        <x:v>Remain inputs to the source What formula. No separate component calibration.</x:v>
      </x:c>
      <x:c r="P186" s="45" t="str">
        <x:v>Remain inputs to the source What formula. No separate component calibration.</x:v>
      </x:c>
      <x:c r="Q186" s="45" t="str">
        <x:v>Remain inputs to the source What formula. No separate component calibration.</x:v>
      </x:c>
      <x:c r="R186" s="45" t="str">
        <x:v>Remain inputs to the source What formula. No separate component calibration.</x:v>
      </x:c>
      <x:c r="S186" s="45" t="str">
        <x:v>Remain inputs to the source What formula. No separate component calibration.</x:v>
      </x:c>
      <x:c r="T186" s="45" t="str">
        <x:v>Remain inputs to the source What formula. No separate component calibration.</x:v>
      </x:c>
      <x:c r="U186" s="45" t="str">
        <x:v>Remain inputs to the source What formula. No separate component calibration.</x:v>
      </x:c>
      <x:c r="V186" s="45" t="str">
        <x:v>Remain inputs to the source What formula. No separate component calibration.</x:v>
      </x:c>
      <x:c r="W186" s="45" t="str">
        <x:v>Remain inputs to the source What formula. No separate component calibration.</x:v>
      </x:c>
      <x:c r="X186" s="45" t="str">
        <x:v>Remain inputs to the source What formula. No separate component calibration.</x:v>
      </x:c>
      <x:c r="Y186" s="45" t="str">
        <x:v>Remain inputs to the source What formula. No separate component calibration.</x:v>
      </x:c>
      <x:c r="Z186" s="45" t="str">
        <x:v>Remain inputs to the source What formula. No separate component calibration.</x:v>
      </x:c>
      <x:c r="AA186" s="45" t="str">
        <x:v>Remain inputs to the source What formula. No separate component calibration.</x:v>
      </x:c>
      <x:c r="AB186" s="45" t="str">
        <x:v>Remain inputs to the source What formula. No separate component calibration.</x:v>
      </x:c>
      <x:c r="AC186" s="45" t="str">
        <x:v>Remain inputs to the source What formula. No separate component calibration.</x:v>
      </x:c>
      <x:c r="AD186" s="3"/>
      <x:c r="AE186" s="77"/>
      <x:c r="AF186" s="75"/>
      <x:c r="AG186" s="75"/>
      <x:c r="AH186" s="75"/>
      <x:c r="AI186" s="75"/>
      <x:c r="AJ186" s="75"/>
      <x:c r="AK186" s="75"/>
      <x:c r="AL186" s="75"/>
      <x:c r="AM186" s="75"/>
      <x:c r="AN186" s="75"/>
      <x:c r="AO186" s="75"/>
      <x:c r="AP186" s="75"/>
      <x:c r="AQ186" s="75"/>
      <x:c r="AR186" s="75"/>
      <x:c r="AS186" s="75"/>
      <x:c r="AT186" s="75"/>
      <x:c r="AU186" s="75"/>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4"/>
      <x:c r="DQ186" s="4"/>
      <x:c r="DR186" s="4"/>
      <x:c r="DS186" s="4"/>
      <x:c r="DT186" s="4"/>
      <x:c r="DU186" s="4"/>
      <x:c r="DV186" s="4"/>
      <x:c r="DW186" s="4"/>
      <x:c r="DX186" s="4"/>
      <x:c r="DY186" s="4"/>
      <x:c r="DZ186" s="4"/>
      <x:c r="EA186" s="4"/>
      <x:c r="EB186" s="4"/>
      <x:c r="EC186" s="4"/>
      <x:c r="ED186" s="4"/>
      <x:c r="EE186" s="4"/>
      <x:c r="EF186" s="4"/>
      <x:c r="EG186" s="4"/>
      <x:c r="EH186" s="4"/>
      <x:c r="EI186" s="4"/>
      <x:c r="EJ186" s="4"/>
      <x:c r="EK186" s="4"/>
      <x:c r="EL186" s="4"/>
      <x:c r="EM186" s="4"/>
      <x:c r="EN186" s="4"/>
      <x:c r="EO186" s="4"/>
      <x:c r="EP186" s="4"/>
      <x:c r="EQ186" s="4"/>
      <x:c r="ER186" s="4"/>
      <x:c r="ES186" s="4"/>
      <x:c r="ET186" s="4"/>
      <x:c r="EU186" s="4"/>
      <x:c r="EV186" s="4"/>
      <x:c r="EW186" s="4"/>
      <x:c r="EX186" s="4"/>
      <x:c r="EY186" s="4"/>
      <x:c r="EZ186" s="4"/>
      <x:c r="FA186" s="4"/>
      <x:c r="FB186" s="4"/>
      <x:c r="FC186" s="4"/>
      <x:c r="FD186" s="4"/>
      <x:c r="FE186" s="4"/>
      <x:c r="FF186" s="4"/>
      <x:c r="FG186" s="4"/>
      <x:c r="FH186" s="4"/>
      <x:c r="FI186" s="4"/>
      <x:c r="FJ186" s="4"/>
      <x:c r="FK186" s="4"/>
      <x:c r="FL186" s="4"/>
      <x:c r="FM186" s="4"/>
      <x:c r="FN186" s="4"/>
      <x:c r="FO186" s="4"/>
    </x:row>
    <x:row r="187" ht="27" customHeight="1">
      <x:c r="A187" s="3"/>
      <x:c r="B187" s="40" t="str">
        <x:v>Officer / team / country</x:v>
      </x:c>
      <x:c r="C187" s="40" t="str">
        <x:v>Officer / team / country</x:v>
      </x:c>
      <x:c r="D187" s="40" t="str">
        <x:v>Officer / team / country</x:v>
      </x:c>
      <x:c r="E187" s="40" t="str">
        <x:v>Officer / team / country</x:v>
      </x:c>
      <x:c r="F187" s="40" t="str">
        <x:v>Officer / team / country</x:v>
      </x:c>
      <x:c r="G187" s="40" t="str">
        <x:v>Officer / team / country</x:v>
      </x:c>
      <x:c r="H187" s="40" t="str">
        <x:v>Officer / team / country</x:v>
      </x:c>
      <x:c r="I187" s="40" t="str">
        <x:v>H / I / J</x:v>
      </x:c>
      <x:c r="J187" s="40" t="str">
        <x:v>H / I / J</x:v>
      </x:c>
      <x:c r="K187" s="40" t="str">
        <x:v>H / I / J</x:v>
      </x:c>
      <x:c r="L187" s="40" t="str">
        <x:v>H / I / J</x:v>
      </x:c>
      <x:c r="M187" s="40" t="str">
        <x:v>H / I / J</x:v>
      </x:c>
      <x:c r="N187" s="40" t="str">
        <x:v>Officer category uses H. Reporting branches replace the previous team grouping.</x:v>
      </x:c>
      <x:c r="O187" s="40" t="str">
        <x:v>Officer category uses H. Reporting branches replace the previous team grouping.</x:v>
      </x:c>
      <x:c r="P187" s="40" t="str">
        <x:v>Officer category uses H. Reporting branches replace the previous team grouping.</x:v>
      </x:c>
      <x:c r="Q187" s="40" t="str">
        <x:v>Officer category uses H. Reporting branches replace the previous team grouping.</x:v>
      </x:c>
      <x:c r="R187" s="40" t="str">
        <x:v>Officer category uses H. Reporting branches replace the previous team grouping.</x:v>
      </x:c>
      <x:c r="S187" s="40" t="str">
        <x:v>Officer category uses H. Reporting branches replace the previous team grouping.</x:v>
      </x:c>
      <x:c r="T187" s="40" t="str">
        <x:v>Officer category uses H. Reporting branches replace the previous team grouping.</x:v>
      </x:c>
      <x:c r="U187" s="40" t="str">
        <x:v>Officer category uses H. Reporting branches replace the previous team grouping.</x:v>
      </x:c>
      <x:c r="V187" s="40" t="str">
        <x:v>Officer category uses H. Reporting branches replace the previous team grouping.</x:v>
      </x:c>
      <x:c r="W187" s="40" t="str">
        <x:v>Officer category uses H. Reporting branches replace the previous team grouping.</x:v>
      </x:c>
      <x:c r="X187" s="40" t="str">
        <x:v>Officer category uses H. Reporting branches replace the previous team grouping.</x:v>
      </x:c>
      <x:c r="Y187" s="40" t="str">
        <x:v>Officer category uses H. Reporting branches replace the previous team grouping.</x:v>
      </x:c>
      <x:c r="Z187" s="40" t="str">
        <x:v>Officer category uses H. Reporting branches replace the previous team grouping.</x:v>
      </x:c>
      <x:c r="AA187" s="40" t="str">
        <x:v>Officer category uses H. Reporting branches replace the previous team grouping.</x:v>
      </x:c>
      <x:c r="AB187" s="40" t="str">
        <x:v>Officer category uses H. Reporting branches replace the previous team grouping.</x:v>
      </x:c>
      <x:c r="AC187" s="40" t="str">
        <x:v>Officer category uses H. Reporting branches replace the previous team grouping.</x:v>
      </x:c>
      <x:c r="AD187" s="3"/>
      <x:c r="AE187" s="77"/>
      <x:c r="AF187" s="75"/>
      <x:c r="AG187" s="75"/>
      <x:c r="AH187" s="75"/>
      <x:c r="AI187" s="75"/>
      <x:c r="AJ187" s="75"/>
      <x:c r="AK187" s="75"/>
      <x:c r="AL187" s="75"/>
      <x:c r="AM187" s="75"/>
      <x:c r="AN187" s="75"/>
      <x:c r="AO187" s="75"/>
      <x:c r="AP187" s="75"/>
      <x:c r="AQ187" s="75"/>
      <x:c r="AR187" s="75"/>
      <x:c r="AS187" s="75"/>
      <x:c r="AT187" s="75"/>
      <x:c r="AU187" s="75"/>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4"/>
      <x:c r="DQ187" s="4"/>
      <x:c r="DR187" s="4"/>
      <x:c r="DS187" s="4"/>
      <x:c r="DT187" s="4"/>
      <x:c r="DU187" s="4"/>
      <x:c r="DV187" s="4"/>
      <x:c r="DW187" s="4"/>
      <x:c r="DX187" s="4"/>
      <x:c r="DY187" s="4"/>
      <x:c r="DZ187" s="4"/>
      <x:c r="EA187" s="4"/>
      <x:c r="EB187" s="4"/>
      <x:c r="EC187" s="4"/>
      <x:c r="ED187" s="4"/>
      <x:c r="EE187" s="4"/>
      <x:c r="EF187" s="4"/>
      <x:c r="EG187" s="4"/>
      <x:c r="EH187" s="4"/>
      <x:c r="EI187" s="4"/>
      <x:c r="EJ187" s="4"/>
      <x:c r="EK187" s="4"/>
      <x:c r="EL187" s="4"/>
      <x:c r="EM187" s="4"/>
      <x:c r="EN187" s="4"/>
      <x:c r="EO187" s="4"/>
      <x:c r="EP187" s="4"/>
      <x:c r="EQ187" s="4"/>
      <x:c r="ER187" s="4"/>
      <x:c r="ES187" s="4"/>
      <x:c r="ET187" s="4"/>
      <x:c r="EU187" s="4"/>
      <x:c r="EV187" s="4"/>
      <x:c r="EW187" s="4"/>
      <x:c r="EX187" s="4"/>
      <x:c r="EY187" s="4"/>
      <x:c r="EZ187" s="4"/>
      <x:c r="FA187" s="4"/>
      <x:c r="FB187" s="4"/>
      <x:c r="FC187" s="4"/>
      <x:c r="FD187" s="4"/>
      <x:c r="FE187" s="4"/>
      <x:c r="FF187" s="4"/>
      <x:c r="FG187" s="4"/>
      <x:c r="FH187" s="4"/>
      <x:c r="FI187" s="4"/>
      <x:c r="FJ187" s="4"/>
      <x:c r="FK187" s="4"/>
      <x:c r="FL187" s="4"/>
      <x:c r="FM187" s="4"/>
      <x:c r="FN187" s="4"/>
      <x:c r="FO187" s="4"/>
    </x:row>
    <x:row r="188" ht="27" customHeight="1">
      <x:c r="A188" s="3"/>
      <x:c r="B188" s="45" t="str">
        <x:v>Employee / manager key</x:v>
      </x:c>
      <x:c r="C188" s="45" t="str">
        <x:v>Employee / manager key</x:v>
      </x:c>
      <x:c r="D188" s="45" t="str">
        <x:v>Employee / manager key</x:v>
      </x:c>
      <x:c r="E188" s="45" t="str">
        <x:v>Employee / manager key</x:v>
      </x:c>
      <x:c r="F188" s="45" t="str">
        <x:v>Employee / manager key</x:v>
      </x:c>
      <x:c r="G188" s="45" t="str">
        <x:v>Employee / manager key</x:v>
      </x:c>
      <x:c r="H188" s="45" t="str">
        <x:v>Employee / manager key</x:v>
      </x:c>
      <x:c r="I188" s="45" t="str">
        <x:v>A / D</x:v>
      </x:c>
      <x:c r="J188" s="45" t="str">
        <x:v>A / D</x:v>
      </x:c>
      <x:c r="K188" s="45" t="str">
        <x:v>A / D</x:v>
      </x:c>
      <x:c r="L188" s="45" t="str">
        <x:v>A / D</x:v>
      </x:c>
      <x:c r="M188" s="45" t="str">
        <x:v>A / D</x:v>
      </x:c>
      <x:c r="N188" s="45" t="str">
        <x:v>GEID links distinguish people with the same name. SOEID C is the employee fallback.</x:v>
      </x:c>
      <x:c r="O188" s="45" t="str">
        <x:v>GEID links distinguish people with the same name. SOEID C is the employee fallback.</x:v>
      </x:c>
      <x:c r="P188" s="45" t="str">
        <x:v>GEID links distinguish people with the same name. SOEID C is the employee fallback.</x:v>
      </x:c>
      <x:c r="Q188" s="45" t="str">
        <x:v>GEID links distinguish people with the same name. SOEID C is the employee fallback.</x:v>
      </x:c>
      <x:c r="R188" s="45" t="str">
        <x:v>GEID links distinguish people with the same name. SOEID C is the employee fallback.</x:v>
      </x:c>
      <x:c r="S188" s="45" t="str">
        <x:v>GEID links distinguish people with the same name. SOEID C is the employee fallback.</x:v>
      </x:c>
      <x:c r="T188" s="45" t="str">
        <x:v>GEID links distinguish people with the same name. SOEID C is the employee fallback.</x:v>
      </x:c>
      <x:c r="U188" s="45" t="str">
        <x:v>GEID links distinguish people with the same name. SOEID C is the employee fallback.</x:v>
      </x:c>
      <x:c r="V188" s="45" t="str">
        <x:v>GEID links distinguish people with the same name. SOEID C is the employee fallback.</x:v>
      </x:c>
      <x:c r="W188" s="45" t="str">
        <x:v>GEID links distinguish people with the same name. SOEID C is the employee fallback.</x:v>
      </x:c>
      <x:c r="X188" s="45" t="str">
        <x:v>GEID links distinguish people with the same name. SOEID C is the employee fallback.</x:v>
      </x:c>
      <x:c r="Y188" s="45" t="str">
        <x:v>GEID links distinguish people with the same name. SOEID C is the employee fallback.</x:v>
      </x:c>
      <x:c r="Z188" s="45" t="str">
        <x:v>GEID links distinguish people with the same name. SOEID C is the employee fallback.</x:v>
      </x:c>
      <x:c r="AA188" s="45" t="str">
        <x:v>GEID links distinguish people with the same name. SOEID C is the employee fallback.</x:v>
      </x:c>
      <x:c r="AB188" s="45" t="str">
        <x:v>GEID links distinguish people with the same name. SOEID C is the employee fallback.</x:v>
      </x:c>
      <x:c r="AC188" s="45" t="str">
        <x:v>GEID links distinguish people with the same name. SOEID C is the employee fallback.</x:v>
      </x:c>
      <x:c r="AD188" s="3"/>
      <x:c r="AE188" s="77"/>
      <x:c r="AF188" s="75"/>
      <x:c r="AG188" s="75"/>
      <x:c r="AH188" s="75"/>
      <x:c r="AI188" s="75"/>
      <x:c r="AJ188" s="75"/>
      <x:c r="AK188" s="75"/>
      <x:c r="AL188" s="75"/>
      <x:c r="AM188" s="75"/>
      <x:c r="AN188" s="75"/>
      <x:c r="AO188" s="75"/>
      <x:c r="AP188" s="75"/>
      <x:c r="AQ188" s="75"/>
      <x:c r="AR188" s="75"/>
      <x:c r="AS188" s="75"/>
      <x:c r="AT188" s="75"/>
      <x:c r="AU188" s="75"/>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4"/>
      <x:c r="DQ188" s="4"/>
      <x:c r="DR188" s="4"/>
      <x:c r="DS188" s="4"/>
      <x:c r="DT188" s="4"/>
      <x:c r="DU188" s="4"/>
      <x:c r="DV188" s="4"/>
      <x:c r="DW188" s="4"/>
      <x:c r="DX188" s="4"/>
      <x:c r="DY188" s="4"/>
      <x:c r="DZ188" s="4"/>
      <x:c r="EA188" s="4"/>
      <x:c r="EB188" s="4"/>
      <x:c r="EC188" s="4"/>
      <x:c r="ED188" s="4"/>
      <x:c r="EE188" s="4"/>
      <x:c r="EF188" s="4"/>
      <x:c r="EG188" s="4"/>
      <x:c r="EH188" s="4"/>
      <x:c r="EI188" s="4"/>
      <x:c r="EJ188" s="4"/>
      <x:c r="EK188" s="4"/>
      <x:c r="EL188" s="4"/>
      <x:c r="EM188" s="4"/>
      <x:c r="EN188" s="4"/>
      <x:c r="EO188" s="4"/>
      <x:c r="EP188" s="4"/>
      <x:c r="EQ188" s="4"/>
      <x:c r="ER188" s="4"/>
      <x:c r="ES188" s="4"/>
      <x:c r="ET188" s="4"/>
      <x:c r="EU188" s="4"/>
      <x:c r="EV188" s="4"/>
      <x:c r="EW188" s="4"/>
      <x:c r="EX188" s="4"/>
      <x:c r="EY188" s="4"/>
      <x:c r="EZ188" s="4"/>
      <x:c r="FA188" s="4"/>
      <x:c r="FB188" s="4"/>
      <x:c r="FC188" s="4"/>
      <x:c r="FD188" s="4"/>
      <x:c r="FE188" s="4"/>
      <x:c r="FF188" s="4"/>
      <x:c r="FG188" s="4"/>
      <x:c r="FH188" s="4"/>
      <x:c r="FI188" s="4"/>
      <x:c r="FJ188" s="4"/>
      <x:c r="FK188" s="4"/>
      <x:c r="FL188" s="4"/>
      <x:c r="FM188" s="4"/>
      <x:c r="FN188" s="4"/>
      <x:c r="FO188" s="4"/>
    </x:row>
    <x:row r="189" ht="27" customHeight="1">
      <x:c r="A189" s="3"/>
      <x:c r="B189" s="40" t="str">
        <x:v>Source category</x:v>
      </x:c>
      <x:c r="C189" s="40" t="str">
        <x:v>Source category</x:v>
      </x:c>
      <x:c r="D189" s="40" t="str">
        <x:v>Source category</x:v>
      </x:c>
      <x:c r="E189" s="40" t="str">
        <x:v>Source category</x:v>
      </x:c>
      <x:c r="F189" s="40" t="str">
        <x:v>Source category</x:v>
      </x:c>
      <x:c r="G189" s="40" t="str">
        <x:v>Source category</x:v>
      </x:c>
      <x:c r="H189" s="40" t="str">
        <x:v>Source category</x:v>
      </x:c>
      <x:c r="I189" s="40" t="str">
        <x:v>P</x:v>
      </x:c>
      <x:c r="J189" s="40" t="str">
        <x:v>P</x:v>
      </x:c>
      <x:c r="K189" s="40" t="str">
        <x:v>P</x:v>
      </x:c>
      <x:c r="L189" s="40" t="str">
        <x:v>P</x:v>
      </x:c>
      <x:c r="M189" s="40" t="str">
        <x:v>P</x:v>
      </x:c>
      <x:c r="N189" s="40" t="str">
        <x:v>Preserved. Dashboard combined categories are calculated consistently from K and L.</x:v>
      </x:c>
      <x:c r="O189" s="40" t="str">
        <x:v>Preserved. Dashboard combined categories are calculated consistently from K and L.</x:v>
      </x:c>
      <x:c r="P189" s="40" t="str">
        <x:v>Preserved. Dashboard combined categories are calculated consistently from K and L.</x:v>
      </x:c>
      <x:c r="Q189" s="40" t="str">
        <x:v>Preserved. Dashboard combined categories are calculated consistently from K and L.</x:v>
      </x:c>
      <x:c r="R189" s="40" t="str">
        <x:v>Preserved. Dashboard combined categories are calculated consistently from K and L.</x:v>
      </x:c>
      <x:c r="S189" s="40" t="str">
        <x:v>Preserved. Dashboard combined categories are calculated consistently from K and L.</x:v>
      </x:c>
      <x:c r="T189" s="40" t="str">
        <x:v>Preserved. Dashboard combined categories are calculated consistently from K and L.</x:v>
      </x:c>
      <x:c r="U189" s="40" t="str">
        <x:v>Preserved. Dashboard combined categories are calculated consistently from K and L.</x:v>
      </x:c>
      <x:c r="V189" s="40" t="str">
        <x:v>Preserved. Dashboard combined categories are calculated consistently from K and L.</x:v>
      </x:c>
      <x:c r="W189" s="40" t="str">
        <x:v>Preserved. Dashboard combined categories are calculated consistently from K and L.</x:v>
      </x:c>
      <x:c r="X189" s="40" t="str">
        <x:v>Preserved. Dashboard combined categories are calculated consistently from K and L.</x:v>
      </x:c>
      <x:c r="Y189" s="40" t="str">
        <x:v>Preserved. Dashboard combined categories are calculated consistently from K and L.</x:v>
      </x:c>
      <x:c r="Z189" s="40" t="str">
        <x:v>Preserved. Dashboard combined categories are calculated consistently from K and L.</x:v>
      </x:c>
      <x:c r="AA189" s="40" t="str">
        <x:v>Preserved. Dashboard combined categories are calculated consistently from K and L.</x:v>
      </x:c>
      <x:c r="AB189" s="40" t="str">
        <x:v>Preserved. Dashboard combined categories are calculated consistently from K and L.</x:v>
      </x:c>
      <x:c r="AC189" s="40" t="str">
        <x:v>Preserved. Dashboard combined categories are calculated consistently from K and L.</x:v>
      </x:c>
      <x:c r="AD189" s="3"/>
      <x:c r="AE189" s="77"/>
      <x:c r="AF189" s="75"/>
      <x:c r="AG189" s="75"/>
      <x:c r="AH189" s="75"/>
      <x:c r="AI189" s="75"/>
      <x:c r="AJ189" s="75"/>
      <x:c r="AK189" s="75"/>
      <x:c r="AL189" s="75"/>
      <x:c r="AM189" s="75"/>
      <x:c r="AN189" s="75"/>
      <x:c r="AO189" s="75"/>
      <x:c r="AP189" s="75"/>
      <x:c r="AQ189" s="75"/>
      <x:c r="AR189" s="75"/>
      <x:c r="AS189" s="75"/>
      <x:c r="AT189" s="75"/>
      <x:c r="AU189" s="75"/>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4"/>
      <x:c r="DQ189" s="4"/>
      <x:c r="DR189" s="4"/>
      <x:c r="DS189" s="4"/>
      <x:c r="DT189" s="4"/>
      <x:c r="DU189" s="4"/>
      <x:c r="DV189" s="4"/>
      <x:c r="DW189" s="4"/>
      <x:c r="DX189" s="4"/>
      <x:c r="DY189" s="4"/>
      <x:c r="DZ189" s="4"/>
      <x:c r="EA189" s="4"/>
      <x:c r="EB189" s="4"/>
      <x:c r="EC189" s="4"/>
      <x:c r="ED189" s="4"/>
      <x:c r="EE189" s="4"/>
      <x:c r="EF189" s="4"/>
      <x:c r="EG189" s="4"/>
      <x:c r="EH189" s="4"/>
      <x:c r="EI189" s="4"/>
      <x:c r="EJ189" s="4"/>
      <x:c r="EK189" s="4"/>
      <x:c r="EL189" s="4"/>
      <x:c r="EM189" s="4"/>
      <x:c r="EN189" s="4"/>
      <x:c r="EO189" s="4"/>
      <x:c r="EP189" s="4"/>
      <x:c r="EQ189" s="4"/>
      <x:c r="ER189" s="4"/>
      <x:c r="ES189" s="4"/>
      <x:c r="ET189" s="4"/>
      <x:c r="EU189" s="4"/>
      <x:c r="EV189" s="4"/>
      <x:c r="EW189" s="4"/>
      <x:c r="EX189" s="4"/>
      <x:c r="EY189" s="4"/>
      <x:c r="EZ189" s="4"/>
      <x:c r="FA189" s="4"/>
      <x:c r="FB189" s="4"/>
      <x:c r="FC189" s="4"/>
      <x:c r="FD189" s="4"/>
      <x:c r="FE189" s="4"/>
      <x:c r="FF189" s="4"/>
      <x:c r="FG189" s="4"/>
      <x:c r="FH189" s="4"/>
      <x:c r="FI189" s="4"/>
      <x:c r="FJ189" s="4"/>
      <x:c r="FK189" s="4"/>
      <x:c r="FL189" s="4"/>
      <x:c r="FM189" s="4"/>
      <x:c r="FN189" s="4"/>
      <x:c r="FO189" s="4"/>
    </x:row>
    <x:row r="190" ht="27" customHeight="1">
      <x:c r="A190" s="3"/>
      <x:c r="B190" s="45" t="str">
        <x:v>Calibration thresholds</x:v>
      </x:c>
      <x:c r="C190" s="45" t="str">
        <x:v>Calibration thresholds</x:v>
      </x:c>
      <x:c r="D190" s="45" t="str">
        <x:v>Calibration thresholds</x:v>
      </x:c>
      <x:c r="E190" s="45" t="str">
        <x:v>Calibration thresholds</x:v>
      </x:c>
      <x:c r="F190" s="45" t="str">
        <x:v>Calibration thresholds</x:v>
      </x:c>
      <x:c r="G190" s="45" t="str">
        <x:v>Calibration thresholds</x:v>
      </x:c>
      <x:c r="H190" s="45" t="str">
        <x:v>Calibration thresholds</x:v>
      </x:c>
      <x:c r="I190" s="45" t="str">
        <x:v>Dashboard threshold table</x:v>
      </x:c>
      <x:c r="J190" s="45" t="str">
        <x:v>Dashboard threshold table</x:v>
      </x:c>
      <x:c r="K190" s="45" t="str">
        <x:v>Dashboard threshold table</x:v>
      </x:c>
      <x:c r="L190" s="45" t="str">
        <x:v>Dashboard threshold table</x:v>
      </x:c>
      <x:c r="M190" s="45" t="str">
        <x:v>Dashboard threshold table</x:v>
      </x:c>
      <x:c r="N190" s="45" t="str">
        <x:v>Maximum What and How percentages by officer category. Blank thresholds are not zero.</x:v>
      </x:c>
      <x:c r="O190" s="45" t="str">
        <x:v>Maximum What and How percentages by officer category. Blank thresholds are not zero.</x:v>
      </x:c>
      <x:c r="P190" s="45" t="str">
        <x:v>Maximum What and How percentages by officer category. Blank thresholds are not zero.</x:v>
      </x:c>
      <x:c r="Q190" s="45" t="str">
        <x:v>Maximum What and How percentages by officer category. Blank thresholds are not zero.</x:v>
      </x:c>
      <x:c r="R190" s="45" t="str">
        <x:v>Maximum What and How percentages by officer category. Blank thresholds are not zero.</x:v>
      </x:c>
      <x:c r="S190" s="45" t="str">
        <x:v>Maximum What and How percentages by officer category. Blank thresholds are not zero.</x:v>
      </x:c>
      <x:c r="T190" s="45" t="str">
        <x:v>Maximum What and How percentages by officer category. Blank thresholds are not zero.</x:v>
      </x:c>
      <x:c r="U190" s="45" t="str">
        <x:v>Maximum What and How percentages by officer category. Blank thresholds are not zero.</x:v>
      </x:c>
      <x:c r="V190" s="45" t="str">
        <x:v>Maximum What and How percentages by officer category. Blank thresholds are not zero.</x:v>
      </x:c>
      <x:c r="W190" s="45" t="str">
        <x:v>Maximum What and How percentages by officer category. Blank thresholds are not zero.</x:v>
      </x:c>
      <x:c r="X190" s="45" t="str">
        <x:v>Maximum What and How percentages by officer category. Blank thresholds are not zero.</x:v>
      </x:c>
      <x:c r="Y190" s="45" t="str">
        <x:v>Maximum What and How percentages by officer category. Blank thresholds are not zero.</x:v>
      </x:c>
      <x:c r="Z190" s="45" t="str">
        <x:v>Maximum What and How percentages by officer category. Blank thresholds are not zero.</x:v>
      </x:c>
      <x:c r="AA190" s="45" t="str">
        <x:v>Maximum What and How percentages by officer category. Blank thresholds are not zero.</x:v>
      </x:c>
      <x:c r="AB190" s="45" t="str">
        <x:v>Maximum What and How percentages by officer category. Blank thresholds are not zero.</x:v>
      </x:c>
      <x:c r="AC190" s="45" t="str">
        <x:v>Maximum What and How percentages by officer category. Blank thresholds are not zero.</x:v>
      </x:c>
      <x:c r="AD190" s="3"/>
      <x:c r="AE190" s="77"/>
      <x:c r="AF190" s="75"/>
      <x:c r="AG190" s="75"/>
      <x:c r="AH190" s="75"/>
      <x:c r="AI190" s="75"/>
      <x:c r="AJ190" s="75"/>
      <x:c r="AK190" s="75"/>
      <x:c r="AL190" s="75"/>
      <x:c r="AM190" s="75"/>
      <x:c r="AN190" s="75"/>
      <x:c r="AO190" s="75"/>
      <x:c r="AP190" s="75"/>
      <x:c r="AQ190" s="75"/>
      <x:c r="AR190" s="75"/>
      <x:c r="AS190" s="75"/>
      <x:c r="AT190" s="75"/>
      <x:c r="AU190" s="75"/>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4"/>
      <x:c r="DQ190" s="4"/>
      <x:c r="DR190" s="4"/>
      <x:c r="DS190" s="4"/>
      <x:c r="DT190" s="4"/>
      <x:c r="DU190" s="4"/>
      <x:c r="DV190" s="4"/>
      <x:c r="DW190" s="4"/>
      <x:c r="DX190" s="4"/>
      <x:c r="DY190" s="4"/>
      <x:c r="DZ190" s="4"/>
      <x:c r="EA190" s="4"/>
      <x:c r="EB190" s="4"/>
      <x:c r="EC190" s="4"/>
      <x:c r="ED190" s="4"/>
      <x:c r="EE190" s="4"/>
      <x:c r="EF190" s="4"/>
      <x:c r="EG190" s="4"/>
      <x:c r="EH190" s="4"/>
      <x:c r="EI190" s="4"/>
      <x:c r="EJ190" s="4"/>
      <x:c r="EK190" s="4"/>
      <x:c r="EL190" s="4"/>
      <x:c r="EM190" s="4"/>
      <x:c r="EN190" s="4"/>
      <x:c r="EO190" s="4"/>
      <x:c r="EP190" s="4"/>
      <x:c r="EQ190" s="4"/>
      <x:c r="ER190" s="4"/>
      <x:c r="ES190" s="4"/>
      <x:c r="ET190" s="4"/>
      <x:c r="EU190" s="4"/>
      <x:c r="EV190" s="4"/>
      <x:c r="EW190" s="4"/>
      <x:c r="EX190" s="4"/>
      <x:c r="EY190" s="4"/>
      <x:c r="EZ190" s="4"/>
      <x:c r="FA190" s="4"/>
      <x:c r="FB190" s="4"/>
      <x:c r="FC190" s="4"/>
      <x:c r="FD190" s="4"/>
      <x:c r="FE190" s="4"/>
      <x:c r="FF190" s="4"/>
      <x:c r="FG190" s="4"/>
      <x:c r="FH190" s="4"/>
      <x:c r="FI190" s="4"/>
      <x:c r="FJ190" s="4"/>
      <x:c r="FK190" s="4"/>
      <x:c r="FL190" s="4"/>
      <x:c r="FM190" s="4"/>
      <x:c r="FN190" s="4"/>
      <x:c r="FO190" s="4"/>
    </x:row>
    <x:row r="191" ht="18" customHeight="1">
      <x:c r="A191" s="3"/>
      <x:c r="B191" s="3"/>
      <x:c r="C191" s="3"/>
      <x:c r="D191" s="3"/>
      <x:c r="E191" s="3"/>
      <x:c r="F191" s="3"/>
      <x:c r="G191" s="3"/>
      <x:c r="H191" s="3"/>
      <x:c r="I191" s="3"/>
      <x:c r="J191" s="3"/>
      <x:c r="K191" s="3"/>
      <x:c r="L191" s="3"/>
      <x:c r="M191" s="3"/>
      <x:c r="N191" s="3"/>
      <x:c r="O191" s="3"/>
      <x:c r="P191" s="3"/>
      <x:c r="Q191" s="3"/>
      <x:c r="R191" s="3"/>
      <x:c r="S191" s="3"/>
      <x:c r="T191" s="3"/>
      <x:c r="U191" s="3"/>
      <x:c r="V191" s="3"/>
      <x:c r="W191" s="3"/>
      <x:c r="X191" s="3"/>
      <x:c r="Y191" s="3"/>
      <x:c r="Z191" s="3"/>
      <x:c r="AA191" s="3"/>
      <x:c r="AB191" s="3"/>
      <x:c r="AC191" s="3"/>
      <x:c r="AD191" s="3"/>
      <x:c r="AE191" s="77"/>
      <x:c r="AF191" s="75"/>
      <x:c r="AG191" s="75"/>
      <x:c r="AH191" s="75"/>
      <x:c r="AI191" s="75"/>
      <x:c r="AJ191" s="75"/>
      <x:c r="AK191" s="75"/>
      <x:c r="AL191" s="75"/>
      <x:c r="AM191" s="75"/>
      <x:c r="AN191" s="75"/>
      <x:c r="AO191" s="75"/>
      <x:c r="AP191" s="75"/>
      <x:c r="AQ191" s="75"/>
      <x:c r="AR191" s="75"/>
      <x:c r="AS191" s="75"/>
      <x:c r="AT191" s="75"/>
      <x:c r="AU191" s="75"/>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4"/>
      <x:c r="DQ191" s="4"/>
      <x:c r="DR191" s="4"/>
      <x:c r="DS191" s="4"/>
      <x:c r="DT191" s="4"/>
      <x:c r="DU191" s="4"/>
      <x:c r="DV191" s="4"/>
      <x:c r="DW191" s="4"/>
      <x:c r="DX191" s="4"/>
      <x:c r="DY191" s="4"/>
      <x:c r="DZ191" s="4"/>
      <x:c r="EA191" s="4"/>
      <x:c r="EB191" s="4"/>
      <x:c r="EC191" s="4"/>
      <x:c r="ED191" s="4"/>
      <x:c r="EE191" s="4"/>
      <x:c r="EF191" s="4"/>
      <x:c r="EG191" s="4"/>
      <x:c r="EH191" s="4"/>
      <x:c r="EI191" s="4"/>
      <x:c r="EJ191" s="4"/>
      <x:c r="EK191" s="4"/>
      <x:c r="EL191" s="4"/>
      <x:c r="EM191" s="4"/>
      <x:c r="EN191" s="4"/>
      <x:c r="EO191" s="4"/>
      <x:c r="EP191" s="4"/>
      <x:c r="EQ191" s="4"/>
      <x:c r="ER191" s="4"/>
      <x:c r="ES191" s="4"/>
      <x:c r="ET191" s="4"/>
      <x:c r="EU191" s="4"/>
      <x:c r="EV191" s="4"/>
      <x:c r="EW191" s="4"/>
      <x:c r="EX191" s="4"/>
      <x:c r="EY191" s="4"/>
      <x:c r="EZ191" s="4"/>
      <x:c r="FA191" s="4"/>
      <x:c r="FB191" s="4"/>
      <x:c r="FC191" s="4"/>
      <x:c r="FD191" s="4"/>
      <x:c r="FE191" s="4"/>
      <x:c r="FF191" s="4"/>
      <x:c r="FG191" s="4"/>
      <x:c r="FH191" s="4"/>
      <x:c r="FI191" s="4"/>
      <x:c r="FJ191" s="4"/>
      <x:c r="FK191" s="4"/>
      <x:c r="FL191" s="4"/>
      <x:c r="FM191" s="4"/>
      <x:c r="FN191" s="4"/>
      <x:c r="FO191" s="4"/>
    </x:row>
    <x:row r="192" ht="18" customHeight="1">
      <x:c r="A192" s="3"/>
      <x:c r="B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2"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2" s="3"/>
      <x:c r="AE192" s="77"/>
      <x:c r="AF192" s="75"/>
      <x:c r="AG192" s="75"/>
      <x:c r="AH192" s="75"/>
      <x:c r="AI192" s="75"/>
      <x:c r="AJ192" s="75"/>
      <x:c r="AK192" s="75"/>
      <x:c r="AL192" s="75"/>
      <x:c r="AM192" s="75"/>
      <x:c r="AN192" s="75"/>
      <x:c r="AO192" s="75"/>
      <x:c r="AP192" s="75"/>
      <x:c r="AQ192" s="75"/>
      <x:c r="AR192" s="75"/>
      <x:c r="AS192" s="75"/>
      <x:c r="AT192" s="75"/>
      <x:c r="AU192" s="75"/>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4"/>
      <x:c r="DQ192" s="4"/>
      <x:c r="DR192" s="4"/>
      <x:c r="DS192" s="4"/>
      <x:c r="DT192" s="4"/>
      <x:c r="DU192" s="4"/>
      <x:c r="DV192" s="4"/>
      <x:c r="DW192" s="4"/>
      <x:c r="DX192" s="4"/>
      <x:c r="DY192" s="4"/>
      <x:c r="DZ192" s="4"/>
      <x:c r="EA192" s="4"/>
      <x:c r="EB192" s="4"/>
      <x:c r="EC192" s="4"/>
      <x:c r="ED192" s="4"/>
      <x:c r="EE192" s="4"/>
      <x:c r="EF192" s="4"/>
      <x:c r="EG192" s="4"/>
      <x:c r="EH192" s="4"/>
      <x:c r="EI192" s="4"/>
      <x:c r="EJ192" s="4"/>
      <x:c r="EK192" s="4"/>
      <x:c r="EL192" s="4"/>
      <x:c r="EM192" s="4"/>
      <x:c r="EN192" s="4"/>
      <x:c r="EO192" s="4"/>
      <x:c r="EP192" s="4"/>
      <x:c r="EQ192" s="4"/>
      <x:c r="ER192" s="4"/>
      <x:c r="ES192" s="4"/>
      <x:c r="ET192" s="4"/>
      <x:c r="EU192" s="4"/>
      <x:c r="EV192" s="4"/>
      <x:c r="EW192" s="4"/>
      <x:c r="EX192" s="4"/>
      <x:c r="EY192" s="4"/>
      <x:c r="EZ192" s="4"/>
      <x:c r="FA192" s="4"/>
      <x:c r="FB192" s="4"/>
      <x:c r="FC192" s="4"/>
      <x:c r="FD192" s="4"/>
      <x:c r="FE192" s="4"/>
      <x:c r="FF192" s="4"/>
      <x:c r="FG192" s="4"/>
      <x:c r="FH192" s="4"/>
      <x:c r="FI192" s="4"/>
      <x:c r="FJ192" s="4"/>
      <x:c r="FK192" s="4"/>
      <x:c r="FL192" s="4"/>
      <x:c r="FM192" s="4"/>
      <x:c r="FN192" s="4"/>
      <x:c r="FO192" s="4"/>
    </x:row>
    <x:row r="193" ht="18" customHeight="1">
      <x:c r="A193" s="3"/>
      <x:c r="B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3"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3" s="3"/>
      <x:c r="AE193" s="77"/>
      <x:c r="AF193" s="75"/>
      <x:c r="AG193" s="75"/>
      <x:c r="AH193" s="75"/>
      <x:c r="AI193" s="75"/>
      <x:c r="AJ193" s="75"/>
      <x:c r="AK193" s="75"/>
      <x:c r="AL193" s="75"/>
      <x:c r="AM193" s="75"/>
      <x:c r="AN193" s="75"/>
      <x:c r="AO193" s="75"/>
      <x:c r="AP193" s="75"/>
      <x:c r="AQ193" s="75"/>
      <x:c r="AR193" s="75"/>
      <x:c r="AS193" s="75"/>
      <x:c r="AT193" s="75"/>
      <x:c r="AU193" s="75"/>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4"/>
      <x:c r="DQ193" s="4"/>
      <x:c r="DR193" s="4"/>
      <x:c r="DS193" s="4"/>
      <x:c r="DT193" s="4"/>
      <x:c r="DU193" s="4"/>
      <x:c r="DV193" s="4"/>
      <x:c r="DW193" s="4"/>
      <x:c r="DX193" s="4"/>
      <x:c r="DY193" s="4"/>
      <x:c r="DZ193" s="4"/>
      <x:c r="EA193" s="4"/>
      <x:c r="EB193" s="4"/>
      <x:c r="EC193" s="4"/>
      <x:c r="ED193" s="4"/>
      <x:c r="EE193" s="4"/>
      <x:c r="EF193" s="4"/>
      <x:c r="EG193" s="4"/>
      <x:c r="EH193" s="4"/>
      <x:c r="EI193" s="4"/>
      <x:c r="EJ193" s="4"/>
      <x:c r="EK193" s="4"/>
      <x:c r="EL193" s="4"/>
      <x:c r="EM193" s="4"/>
      <x:c r="EN193" s="4"/>
      <x:c r="EO193" s="4"/>
      <x:c r="EP193" s="4"/>
      <x:c r="EQ193" s="4"/>
      <x:c r="ER193" s="4"/>
      <x:c r="ES193" s="4"/>
      <x:c r="ET193" s="4"/>
      <x:c r="EU193" s="4"/>
      <x:c r="EV193" s="4"/>
      <x:c r="EW193" s="4"/>
      <x:c r="EX193" s="4"/>
      <x:c r="EY193" s="4"/>
      <x:c r="EZ193" s="4"/>
      <x:c r="FA193" s="4"/>
      <x:c r="FB193" s="4"/>
      <x:c r="FC193" s="4"/>
      <x:c r="FD193" s="4"/>
      <x:c r="FE193" s="4"/>
      <x:c r="FF193" s="4"/>
      <x:c r="FG193" s="4"/>
      <x:c r="FH193" s="4"/>
      <x:c r="FI193" s="4"/>
      <x:c r="FJ193" s="4"/>
      <x:c r="FK193" s="4"/>
      <x:c r="FL193" s="4"/>
      <x:c r="FM193" s="4"/>
      <x:c r="FN193" s="4"/>
      <x:c r="FO193" s="4"/>
    </x:row>
    <x:row r="194" ht="18" customHeight="1">
      <x:c r="A194" s="3"/>
      <x:c r="B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4" s="69"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4" s="3"/>
      <x:c r="AE194" s="77"/>
      <x:c r="AF194" s="75"/>
      <x:c r="AG194" s="75"/>
      <x:c r="AH194" s="75"/>
      <x:c r="AI194" s="75"/>
      <x:c r="AJ194" s="75"/>
      <x:c r="AK194" s="75"/>
      <x:c r="AL194" s="75"/>
      <x:c r="AM194" s="75"/>
      <x:c r="AN194" s="75"/>
      <x:c r="AO194" s="75"/>
      <x:c r="AP194" s="75"/>
      <x:c r="AQ194" s="75"/>
      <x:c r="AR194" s="75"/>
      <x:c r="AS194" s="75"/>
      <x:c r="AT194" s="75"/>
      <x:c r="AU194" s="75"/>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4"/>
      <x:c r="DQ194" s="4"/>
      <x:c r="DR194" s="4"/>
      <x:c r="DS194" s="4"/>
      <x:c r="DT194" s="4"/>
      <x:c r="DU194" s="4"/>
      <x:c r="DV194" s="4"/>
      <x:c r="DW194" s="4"/>
      <x:c r="DX194" s="4"/>
      <x:c r="DY194" s="4"/>
      <x:c r="DZ194" s="4"/>
      <x:c r="EA194" s="4"/>
      <x:c r="EB194" s="4"/>
      <x:c r="EC194" s="4"/>
      <x:c r="ED194" s="4"/>
      <x:c r="EE194" s="4"/>
      <x:c r="EF194" s="4"/>
      <x:c r="EG194" s="4"/>
      <x:c r="EH194" s="4"/>
      <x:c r="EI194" s="4"/>
      <x:c r="EJ194" s="4"/>
      <x:c r="EK194" s="4"/>
      <x:c r="EL194" s="4"/>
      <x:c r="EM194" s="4"/>
      <x:c r="EN194" s="4"/>
      <x:c r="EO194" s="4"/>
      <x:c r="EP194" s="4"/>
      <x:c r="EQ194" s="4"/>
      <x:c r="ER194" s="4"/>
      <x:c r="ES194" s="4"/>
      <x:c r="ET194" s="4"/>
      <x:c r="EU194" s="4"/>
      <x:c r="EV194" s="4"/>
      <x:c r="EW194" s="4"/>
      <x:c r="EX194" s="4"/>
      <x:c r="EY194" s="4"/>
      <x:c r="EZ194" s="4"/>
      <x:c r="FA194" s="4"/>
      <x:c r="FB194" s="4"/>
      <x:c r="FC194" s="4"/>
      <x:c r="FD194" s="4"/>
      <x:c r="FE194" s="4"/>
      <x:c r="FF194" s="4"/>
      <x:c r="FG194" s="4"/>
      <x:c r="FH194" s="4"/>
      <x:c r="FI194" s="4"/>
      <x:c r="FJ194" s="4"/>
      <x:c r="FK194" s="4"/>
      <x:c r="FL194" s="4"/>
      <x:c r="FM194" s="4"/>
      <x:c r="FN194" s="4"/>
      <x:c r="FO194" s="4"/>
    </x:row>
    <x:row r="195" ht="18" customHeight="1">
      <x:c r="A195" s="3"/>
      <x:c r="B195" s="3"/>
      <x:c r="C195" s="3"/>
      <x:c r="D195" s="3"/>
      <x:c r="E195" s="3"/>
      <x:c r="F195" s="3"/>
      <x:c r="G195" s="3"/>
      <x:c r="H195" s="3"/>
      <x:c r="I195" s="3"/>
      <x:c r="J195" s="3"/>
      <x:c r="K195" s="3"/>
      <x:c r="L195" s="3"/>
      <x:c r="M195" s="3"/>
      <x:c r="N195" s="3"/>
      <x:c r="O195" s="3"/>
      <x:c r="P195" s="3"/>
      <x:c r="Q195" s="3"/>
      <x:c r="R195" s="3"/>
      <x:c r="S195" s="3"/>
      <x:c r="T195" s="3"/>
      <x:c r="U195" s="3"/>
      <x:c r="V195" s="3"/>
      <x:c r="W195" s="3"/>
      <x:c r="X195" s="3"/>
      <x:c r="Y195" s="3"/>
      <x:c r="Z195" s="3"/>
      <x:c r="AA195" s="3"/>
      <x:c r="AB195" s="3"/>
      <x:c r="AC195" s="3"/>
      <x:c r="AD195" s="3"/>
      <x:c r="AE195" s="77"/>
      <x:c r="AF195" s="75"/>
      <x:c r="AG195" s="75"/>
      <x:c r="AH195" s="75"/>
      <x:c r="AI195" s="75"/>
      <x:c r="AJ195" s="75"/>
      <x:c r="AK195" s="75"/>
      <x:c r="AL195" s="75"/>
      <x:c r="AM195" s="75"/>
      <x:c r="AN195" s="75"/>
      <x:c r="AO195" s="75"/>
      <x:c r="AP195" s="75"/>
      <x:c r="AQ195" s="75"/>
      <x:c r="AR195" s="75"/>
      <x:c r="AS195" s="75"/>
      <x:c r="AT195" s="75"/>
      <x:c r="AU195" s="75"/>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4"/>
      <x:c r="DQ195" s="4"/>
      <x:c r="DR195" s="4"/>
      <x:c r="DS195" s="4"/>
      <x:c r="DT195" s="4"/>
      <x:c r="DU195" s="4"/>
      <x:c r="DV195" s="4"/>
      <x:c r="DW195" s="4"/>
      <x:c r="DX195" s="4"/>
      <x:c r="DY195" s="4"/>
      <x:c r="DZ195" s="4"/>
      <x:c r="EA195" s="4"/>
      <x:c r="EB195" s="4"/>
      <x:c r="EC195" s="4"/>
      <x:c r="ED195" s="4"/>
      <x:c r="EE195" s="4"/>
      <x:c r="EF195" s="4"/>
      <x:c r="EG195" s="4"/>
      <x:c r="EH195" s="4"/>
      <x:c r="EI195" s="4"/>
      <x:c r="EJ195" s="4"/>
      <x:c r="EK195" s="4"/>
      <x:c r="EL195" s="4"/>
      <x:c r="EM195" s="4"/>
      <x:c r="EN195" s="4"/>
      <x:c r="EO195" s="4"/>
      <x:c r="EP195" s="4"/>
      <x:c r="EQ195" s="4"/>
      <x:c r="ER195" s="4"/>
      <x:c r="ES195" s="4"/>
      <x:c r="ET195" s="4"/>
      <x:c r="EU195" s="4"/>
      <x:c r="EV195" s="4"/>
      <x:c r="EW195" s="4"/>
      <x:c r="EX195" s="4"/>
      <x:c r="EY195" s="4"/>
      <x:c r="EZ195" s="4"/>
      <x:c r="FA195" s="4"/>
      <x:c r="FB195" s="4"/>
      <x:c r="FC195" s="4"/>
      <x:c r="FD195" s="4"/>
      <x:c r="FE195" s="4"/>
      <x:c r="FF195" s="4"/>
      <x:c r="FG195" s="4"/>
      <x:c r="FH195" s="4"/>
      <x:c r="FI195" s="4"/>
      <x:c r="FJ195" s="4"/>
      <x:c r="FK195" s="4"/>
      <x:c r="FL195" s="4"/>
      <x:c r="FM195" s="4"/>
      <x:c r="FN195" s="4"/>
      <x:c r="FO195" s="4"/>
    </x:row>
    <x:row r="196" ht="18" customHeight="1">
      <x:c r="A196" s="3"/>
      <x:c r="B196" s="69" t="str">
        <x:v>Example: 20 of 100 assessed employees are rating 1. Actual 20% exceeds a 10% maximum by 10 percentage points and is red. Actual 10% or lower is within the limit.</x:v>
      </x:c>
      <x:c r="C196" s="69" t="str">
        <x:v>Example: 20 of 100 assessed employees are rating 1. Actual 20% exceeds a 10% maximum by 10 percentage points and is red. Actual 10% or lower is within the limit.</x:v>
      </x:c>
      <x:c r="D196" s="69" t="str">
        <x:v>Example: 20 of 100 assessed employees are rating 1. Actual 20% exceeds a 10% maximum by 10 percentage points and is red. Actual 10% or lower is within the limit.</x:v>
      </x:c>
      <x:c r="E196" s="69" t="str">
        <x:v>Example: 20 of 100 assessed employees are rating 1. Actual 20% exceeds a 10% maximum by 10 percentage points and is red. Actual 10% or lower is within the limit.</x:v>
      </x:c>
      <x:c r="F196" s="69" t="str">
        <x:v>Example: 20 of 100 assessed employees are rating 1. Actual 20% exceeds a 10% maximum by 10 percentage points and is red. Actual 10% or lower is within the limit.</x:v>
      </x:c>
      <x:c r="G196" s="69" t="str">
        <x:v>Example: 20 of 100 assessed employees are rating 1. Actual 20% exceeds a 10% maximum by 10 percentage points and is red. Actual 10% or lower is within the limit.</x:v>
      </x:c>
      <x:c r="H196" s="69" t="str">
        <x:v>Example: 20 of 100 assessed employees are rating 1. Actual 20% exceeds a 10% maximum by 10 percentage points and is red. Actual 10% or lower is within the limit.</x:v>
      </x:c>
      <x:c r="I196" s="69" t="str">
        <x:v>Example: 20 of 100 assessed employees are rating 1. Actual 20% exceeds a 10% maximum by 10 percentage points and is red. Actual 10% or lower is within the limit.</x:v>
      </x:c>
      <x:c r="J196" s="69" t="str">
        <x:v>Example: 20 of 100 assessed employees are rating 1. Actual 20% exceeds a 10% maximum by 10 percentage points and is red. Actual 10% or lower is within the limit.</x:v>
      </x:c>
      <x:c r="K196" s="69" t="str">
        <x:v>Example: 20 of 100 assessed employees are rating 1. Actual 20% exceeds a 10% maximum by 10 percentage points and is red. Actual 10% or lower is within the limit.</x:v>
      </x:c>
      <x:c r="L196" s="69" t="str">
        <x:v>Example: 20 of 100 assessed employees are rating 1. Actual 20% exceeds a 10% maximum by 10 percentage points and is red. Actual 10% or lower is within the limit.</x:v>
      </x:c>
      <x:c r="M196" s="69" t="str">
        <x:v>Example: 20 of 100 assessed employees are rating 1. Actual 20% exceeds a 10% maximum by 10 percentage points and is red. Actual 10% or lower is within the limit.</x:v>
      </x:c>
      <x:c r="N196" s="69" t="str">
        <x:v>Example: 20 of 100 assessed employees are rating 1. Actual 20% exceeds a 10% maximum by 10 percentage points and is red. Actual 10% or lower is within the limit.</x:v>
      </x:c>
      <x:c r="O196" s="69" t="str">
        <x:v>Example: 20 of 100 assessed employees are rating 1. Actual 20% exceeds a 10% maximum by 10 percentage points and is red. Actual 10% or lower is within the limit.</x:v>
      </x:c>
      <x:c r="P196" s="69" t="str">
        <x:v>Example: 20 of 100 assessed employees are rating 1. Actual 20% exceeds a 10% maximum by 10 percentage points and is red. Actual 10% or lower is within the limit.</x:v>
      </x:c>
      <x:c r="Q196" s="69" t="str">
        <x:v>Example: 20 of 100 assessed employees are rating 1. Actual 20% exceeds a 10% maximum by 10 percentage points and is red. Actual 10% or lower is within the limit.</x:v>
      </x:c>
      <x:c r="R196" s="69" t="str">
        <x:v>Example: 20 of 100 assessed employees are rating 1. Actual 20% exceeds a 10% maximum by 10 percentage points and is red. Actual 10% or lower is within the limit.</x:v>
      </x:c>
      <x:c r="S196" s="69" t="str">
        <x:v>Example: 20 of 100 assessed employees are rating 1. Actual 20% exceeds a 10% maximum by 10 percentage points and is red. Actual 10% or lower is within the limit.</x:v>
      </x:c>
      <x:c r="T196" s="69" t="str">
        <x:v>Example: 20 of 100 assessed employees are rating 1. Actual 20% exceeds a 10% maximum by 10 percentage points and is red. Actual 10% or lower is within the limit.</x:v>
      </x:c>
      <x:c r="U196" s="69" t="str">
        <x:v>Example: 20 of 100 assessed employees are rating 1. Actual 20% exceeds a 10% maximum by 10 percentage points and is red. Actual 10% or lower is within the limit.</x:v>
      </x:c>
      <x:c r="V196" s="69" t="str">
        <x:v>Example: 20 of 100 assessed employees are rating 1. Actual 20% exceeds a 10% maximum by 10 percentage points and is red. Actual 10% or lower is within the limit.</x:v>
      </x:c>
      <x:c r="W196" s="69" t="str">
        <x:v>Example: 20 of 100 assessed employees are rating 1. Actual 20% exceeds a 10% maximum by 10 percentage points and is red. Actual 10% or lower is within the limit.</x:v>
      </x:c>
      <x:c r="X196" s="69" t="str">
        <x:v>Example: 20 of 100 assessed employees are rating 1. Actual 20% exceeds a 10% maximum by 10 percentage points and is red. Actual 10% or lower is within the limit.</x:v>
      </x:c>
      <x:c r="Y196" s="69" t="str">
        <x:v>Example: 20 of 100 assessed employees are rating 1. Actual 20% exceeds a 10% maximum by 10 percentage points and is red. Actual 10% or lower is within the limit.</x:v>
      </x:c>
      <x:c r="Z196" s="69" t="str">
        <x:v>Example: 20 of 100 assessed employees are rating 1. Actual 20% exceeds a 10% maximum by 10 percentage points and is red. Actual 10% or lower is within the limit.</x:v>
      </x:c>
      <x:c r="AA196" s="69" t="str">
        <x:v>Example: 20 of 100 assessed employees are rating 1. Actual 20% exceeds a 10% maximum by 10 percentage points and is red. Actual 10% or lower is within the limit.</x:v>
      </x:c>
      <x:c r="AB196" s="69" t="str">
        <x:v>Example: 20 of 100 assessed employees are rating 1. Actual 20% exceeds a 10% maximum by 10 percentage points and is red. Actual 10% or lower is within the limit.</x:v>
      </x:c>
      <x:c r="AC196" s="69" t="str">
        <x:v>Example: 20 of 100 assessed employees are rating 1. Actual 20% exceeds a 10% maximum by 10 percentage points and is red. Actual 10% or lower is within the limit.</x:v>
      </x:c>
      <x:c r="AD196" s="3"/>
      <x:c r="AE196" s="77"/>
      <x:c r="AF196" s="75"/>
      <x:c r="AG196" s="75"/>
      <x:c r="AH196" s="75"/>
      <x:c r="AI196" s="75"/>
      <x:c r="AJ196" s="75"/>
      <x:c r="AK196" s="75"/>
      <x:c r="AL196" s="75"/>
      <x:c r="AM196" s="75"/>
      <x:c r="AN196" s="75"/>
      <x:c r="AO196" s="75"/>
      <x:c r="AP196" s="75"/>
      <x:c r="AQ196" s="75"/>
      <x:c r="AR196" s="75"/>
      <x:c r="AS196" s="75"/>
      <x:c r="AT196" s="75"/>
      <x:c r="AU196" s="75"/>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4"/>
      <x:c r="DQ196" s="4"/>
      <x:c r="DR196" s="4"/>
      <x:c r="DS196" s="4"/>
      <x:c r="DT196" s="4"/>
      <x:c r="DU196" s="4"/>
      <x:c r="DV196" s="4"/>
      <x:c r="DW196" s="4"/>
      <x:c r="DX196" s="4"/>
      <x:c r="DY196" s="4"/>
      <x:c r="DZ196" s="4"/>
      <x:c r="EA196" s="4"/>
      <x:c r="EB196" s="4"/>
      <x:c r="EC196" s="4"/>
      <x:c r="ED196" s="4"/>
      <x:c r="EE196" s="4"/>
      <x:c r="EF196" s="4"/>
      <x:c r="EG196" s="4"/>
      <x:c r="EH196" s="4"/>
      <x:c r="EI196" s="4"/>
      <x:c r="EJ196" s="4"/>
      <x:c r="EK196" s="4"/>
      <x:c r="EL196" s="4"/>
      <x:c r="EM196" s="4"/>
      <x:c r="EN196" s="4"/>
      <x:c r="EO196" s="4"/>
      <x:c r="EP196" s="4"/>
      <x:c r="EQ196" s="4"/>
      <x:c r="ER196" s="4"/>
      <x:c r="ES196" s="4"/>
      <x:c r="ET196" s="4"/>
      <x:c r="EU196" s="4"/>
      <x:c r="EV196" s="4"/>
      <x:c r="EW196" s="4"/>
      <x:c r="EX196" s="4"/>
      <x:c r="EY196" s="4"/>
      <x:c r="EZ196" s="4"/>
      <x:c r="FA196" s="4"/>
      <x:c r="FB196" s="4"/>
      <x:c r="FC196" s="4"/>
      <x:c r="FD196" s="4"/>
      <x:c r="FE196" s="4"/>
      <x:c r="FF196" s="4"/>
      <x:c r="FG196" s="4"/>
      <x:c r="FH196" s="4"/>
      <x:c r="FI196" s="4"/>
      <x:c r="FJ196" s="4"/>
      <x:c r="FK196" s="4"/>
      <x:c r="FL196" s="4"/>
      <x:c r="FM196" s="4"/>
      <x:c r="FN196" s="4"/>
      <x:c r="FO196" s="4"/>
    </x:row>
    <x:row r="197" ht="18" customHeight="1">
      <x:c r="A197" s="3"/>
      <x:c r="B197" s="69" t="str">
        <x:v>Example: 20 of 100 assessed employees are rating 1. Actual 20% exceeds a 10% maximum by 10 percentage points and is red. Actual 10% or lower is within the limit.</x:v>
      </x:c>
      <x:c r="C197" s="69" t="str">
        <x:v>Example: 20 of 100 assessed employees are rating 1. Actual 20% exceeds a 10% maximum by 10 percentage points and is red. Actual 10% or lower is within the limit.</x:v>
      </x:c>
      <x:c r="D197" s="69" t="str">
        <x:v>Example: 20 of 100 assessed employees are rating 1. Actual 20% exceeds a 10% maximum by 10 percentage points and is red. Actual 10% or lower is within the limit.</x:v>
      </x:c>
      <x:c r="E197" s="69" t="str">
        <x:v>Example: 20 of 100 assessed employees are rating 1. Actual 20% exceeds a 10% maximum by 10 percentage points and is red. Actual 10% or lower is within the limit.</x:v>
      </x:c>
      <x:c r="F197" s="69" t="str">
        <x:v>Example: 20 of 100 assessed employees are rating 1. Actual 20% exceeds a 10% maximum by 10 percentage points and is red. Actual 10% or lower is within the limit.</x:v>
      </x:c>
      <x:c r="G197" s="69" t="str">
        <x:v>Example: 20 of 100 assessed employees are rating 1. Actual 20% exceeds a 10% maximum by 10 percentage points and is red. Actual 10% or lower is within the limit.</x:v>
      </x:c>
      <x:c r="H197" s="69" t="str">
        <x:v>Example: 20 of 100 assessed employees are rating 1. Actual 20% exceeds a 10% maximum by 10 percentage points and is red. Actual 10% or lower is within the limit.</x:v>
      </x:c>
      <x:c r="I197" s="69" t="str">
        <x:v>Example: 20 of 100 assessed employees are rating 1. Actual 20% exceeds a 10% maximum by 10 percentage points and is red. Actual 10% or lower is within the limit.</x:v>
      </x:c>
      <x:c r="J197" s="69" t="str">
        <x:v>Example: 20 of 100 assessed employees are rating 1. Actual 20% exceeds a 10% maximum by 10 percentage points and is red. Actual 10% or lower is within the limit.</x:v>
      </x:c>
      <x:c r="K197" s="69" t="str">
        <x:v>Example: 20 of 100 assessed employees are rating 1. Actual 20% exceeds a 10% maximum by 10 percentage points and is red. Actual 10% or lower is within the limit.</x:v>
      </x:c>
      <x:c r="L197" s="69" t="str">
        <x:v>Example: 20 of 100 assessed employees are rating 1. Actual 20% exceeds a 10% maximum by 10 percentage points and is red. Actual 10% or lower is within the limit.</x:v>
      </x:c>
      <x:c r="M197" s="69" t="str">
        <x:v>Example: 20 of 100 assessed employees are rating 1. Actual 20% exceeds a 10% maximum by 10 percentage points and is red. Actual 10% or lower is within the limit.</x:v>
      </x:c>
      <x:c r="N197" s="69" t="str">
        <x:v>Example: 20 of 100 assessed employees are rating 1. Actual 20% exceeds a 10% maximum by 10 percentage points and is red. Actual 10% or lower is within the limit.</x:v>
      </x:c>
      <x:c r="O197" s="69" t="str">
        <x:v>Example: 20 of 100 assessed employees are rating 1. Actual 20% exceeds a 10% maximum by 10 percentage points and is red. Actual 10% or lower is within the limit.</x:v>
      </x:c>
      <x:c r="P197" s="69" t="str">
        <x:v>Example: 20 of 100 assessed employees are rating 1. Actual 20% exceeds a 10% maximum by 10 percentage points and is red. Actual 10% or lower is within the limit.</x:v>
      </x:c>
      <x:c r="Q197" s="69" t="str">
        <x:v>Example: 20 of 100 assessed employees are rating 1. Actual 20% exceeds a 10% maximum by 10 percentage points and is red. Actual 10% or lower is within the limit.</x:v>
      </x:c>
      <x:c r="R197" s="69" t="str">
        <x:v>Example: 20 of 100 assessed employees are rating 1. Actual 20% exceeds a 10% maximum by 10 percentage points and is red. Actual 10% or lower is within the limit.</x:v>
      </x:c>
      <x:c r="S197" s="69" t="str">
        <x:v>Example: 20 of 100 assessed employees are rating 1. Actual 20% exceeds a 10% maximum by 10 percentage points and is red. Actual 10% or lower is within the limit.</x:v>
      </x:c>
      <x:c r="T197" s="69" t="str">
        <x:v>Example: 20 of 100 assessed employees are rating 1. Actual 20% exceeds a 10% maximum by 10 percentage points and is red. Actual 10% or lower is within the limit.</x:v>
      </x:c>
      <x:c r="U197" s="69" t="str">
        <x:v>Example: 20 of 100 assessed employees are rating 1. Actual 20% exceeds a 10% maximum by 10 percentage points and is red. Actual 10% or lower is within the limit.</x:v>
      </x:c>
      <x:c r="V197" s="69" t="str">
        <x:v>Example: 20 of 100 assessed employees are rating 1. Actual 20% exceeds a 10% maximum by 10 percentage points and is red. Actual 10% or lower is within the limit.</x:v>
      </x:c>
      <x:c r="W197" s="69" t="str">
        <x:v>Example: 20 of 100 assessed employees are rating 1. Actual 20% exceeds a 10% maximum by 10 percentage points and is red. Actual 10% or lower is within the limit.</x:v>
      </x:c>
      <x:c r="X197" s="69" t="str">
        <x:v>Example: 20 of 100 assessed employees are rating 1. Actual 20% exceeds a 10% maximum by 10 percentage points and is red. Actual 10% or lower is within the limit.</x:v>
      </x:c>
      <x:c r="Y197" s="69" t="str">
        <x:v>Example: 20 of 100 assessed employees are rating 1. Actual 20% exceeds a 10% maximum by 10 percentage points and is red. Actual 10% or lower is within the limit.</x:v>
      </x:c>
      <x:c r="Z197" s="69" t="str">
        <x:v>Example: 20 of 100 assessed employees are rating 1. Actual 20% exceeds a 10% maximum by 10 percentage points and is red. Actual 10% or lower is within the limit.</x:v>
      </x:c>
      <x:c r="AA197" s="69" t="str">
        <x:v>Example: 20 of 100 assessed employees are rating 1. Actual 20% exceeds a 10% maximum by 10 percentage points and is red. Actual 10% or lower is within the limit.</x:v>
      </x:c>
      <x:c r="AB197" s="69" t="str">
        <x:v>Example: 20 of 100 assessed employees are rating 1. Actual 20% exceeds a 10% maximum by 10 percentage points and is red. Actual 10% or lower is within the limit.</x:v>
      </x:c>
      <x:c r="AC197" s="69" t="str">
        <x:v>Example: 20 of 100 assessed employees are rating 1. Actual 20% exceeds a 10% maximum by 10 percentage points and is red. Actual 10% or lower is within the limit.</x:v>
      </x:c>
      <x:c r="AD197" s="3"/>
      <x:c r="AE197" s="77"/>
      <x:c r="AF197" s="75"/>
      <x:c r="AG197" s="75"/>
      <x:c r="AH197" s="75"/>
      <x:c r="AI197" s="75"/>
      <x:c r="AJ197" s="75"/>
      <x:c r="AK197" s="75"/>
      <x:c r="AL197" s="75"/>
      <x:c r="AM197" s="75"/>
      <x:c r="AN197" s="75"/>
      <x:c r="AO197" s="75"/>
      <x:c r="AP197" s="75"/>
      <x:c r="AQ197" s="75"/>
      <x:c r="AR197" s="75"/>
      <x:c r="AS197" s="75"/>
      <x:c r="AT197" s="75"/>
      <x:c r="AU197" s="75"/>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4"/>
      <x:c r="DQ197" s="4"/>
      <x:c r="DR197" s="4"/>
      <x:c r="DS197" s="4"/>
      <x:c r="DT197" s="4"/>
      <x:c r="DU197" s="4"/>
      <x:c r="DV197" s="4"/>
      <x:c r="DW197" s="4"/>
      <x:c r="DX197" s="4"/>
      <x:c r="DY197" s="4"/>
      <x:c r="DZ197" s="4"/>
      <x:c r="EA197" s="4"/>
      <x:c r="EB197" s="4"/>
      <x:c r="EC197" s="4"/>
      <x:c r="ED197" s="4"/>
      <x:c r="EE197" s="4"/>
      <x:c r="EF197" s="4"/>
      <x:c r="EG197" s="4"/>
      <x:c r="EH197" s="4"/>
      <x:c r="EI197" s="4"/>
      <x:c r="EJ197" s="4"/>
      <x:c r="EK197" s="4"/>
      <x:c r="EL197" s="4"/>
      <x:c r="EM197" s="4"/>
      <x:c r="EN197" s="4"/>
      <x:c r="EO197" s="4"/>
      <x:c r="EP197" s="4"/>
      <x:c r="EQ197" s="4"/>
      <x:c r="ER197" s="4"/>
      <x:c r="ES197" s="4"/>
      <x:c r="ET197" s="4"/>
      <x:c r="EU197" s="4"/>
      <x:c r="EV197" s="4"/>
      <x:c r="EW197" s="4"/>
      <x:c r="EX197" s="4"/>
      <x:c r="EY197" s="4"/>
      <x:c r="EZ197" s="4"/>
      <x:c r="FA197" s="4"/>
      <x:c r="FB197" s="4"/>
      <x:c r="FC197" s="4"/>
      <x:c r="FD197" s="4"/>
      <x:c r="FE197" s="4"/>
      <x:c r="FF197" s="4"/>
      <x:c r="FG197" s="4"/>
      <x:c r="FH197" s="4"/>
      <x:c r="FI197" s="4"/>
      <x:c r="FJ197" s="4"/>
      <x:c r="FK197" s="4"/>
      <x:c r="FL197" s="4"/>
      <x:c r="FM197" s="4"/>
      <x:c r="FN197" s="4"/>
      <x:c r="FO197" s="4"/>
    </x:row>
    <x:row r="198" ht="18" customHeight="1">
      <x:c r="A198" s="3"/>
      <x:c r="B198" s="69" t="str">
        <x:v>Example: 20 of 100 assessed employees are rating 1. Actual 20% exceeds a 10% maximum by 10 percentage points and is red. Actual 10% or lower is within the limit.</x:v>
      </x:c>
      <x:c r="C198" s="69" t="str">
        <x:v>Example: 20 of 100 assessed employees are rating 1. Actual 20% exceeds a 10% maximum by 10 percentage points and is red. Actual 10% or lower is within the limit.</x:v>
      </x:c>
      <x:c r="D198" s="69" t="str">
        <x:v>Example: 20 of 100 assessed employees are rating 1. Actual 20% exceeds a 10% maximum by 10 percentage points and is red. Actual 10% or lower is within the limit.</x:v>
      </x:c>
      <x:c r="E198" s="69" t="str">
        <x:v>Example: 20 of 100 assessed employees are rating 1. Actual 20% exceeds a 10% maximum by 10 percentage points and is red. Actual 10% or lower is within the limit.</x:v>
      </x:c>
      <x:c r="F198" s="69" t="str">
        <x:v>Example: 20 of 100 assessed employees are rating 1. Actual 20% exceeds a 10% maximum by 10 percentage points and is red. Actual 10% or lower is within the limit.</x:v>
      </x:c>
      <x:c r="G198" s="69" t="str">
        <x:v>Example: 20 of 100 assessed employees are rating 1. Actual 20% exceeds a 10% maximum by 10 percentage points and is red. Actual 10% or lower is within the limit.</x:v>
      </x:c>
      <x:c r="H198" s="69" t="str">
        <x:v>Example: 20 of 100 assessed employees are rating 1. Actual 20% exceeds a 10% maximum by 10 percentage points and is red. Actual 10% or lower is within the limit.</x:v>
      </x:c>
      <x:c r="I198" s="69" t="str">
        <x:v>Example: 20 of 100 assessed employees are rating 1. Actual 20% exceeds a 10% maximum by 10 percentage points and is red. Actual 10% or lower is within the limit.</x:v>
      </x:c>
      <x:c r="J198" s="69" t="str">
        <x:v>Example: 20 of 100 assessed employees are rating 1. Actual 20% exceeds a 10% maximum by 10 percentage points and is red. Actual 10% or lower is within the limit.</x:v>
      </x:c>
      <x:c r="K198" s="69" t="str">
        <x:v>Example: 20 of 100 assessed employees are rating 1. Actual 20% exceeds a 10% maximum by 10 percentage points and is red. Actual 10% or lower is within the limit.</x:v>
      </x:c>
      <x:c r="L198" s="69" t="str">
        <x:v>Example: 20 of 100 assessed employees are rating 1. Actual 20% exceeds a 10% maximum by 10 percentage points and is red. Actual 10% or lower is within the limit.</x:v>
      </x:c>
      <x:c r="M198" s="69" t="str">
        <x:v>Example: 20 of 100 assessed employees are rating 1. Actual 20% exceeds a 10% maximum by 10 percentage points and is red. Actual 10% or lower is within the limit.</x:v>
      </x:c>
      <x:c r="N198" s="69" t="str">
        <x:v>Example: 20 of 100 assessed employees are rating 1. Actual 20% exceeds a 10% maximum by 10 percentage points and is red. Actual 10% or lower is within the limit.</x:v>
      </x:c>
      <x:c r="O198" s="69" t="str">
        <x:v>Example: 20 of 100 assessed employees are rating 1. Actual 20% exceeds a 10% maximum by 10 percentage points and is red. Actual 10% or lower is within the limit.</x:v>
      </x:c>
      <x:c r="P198" s="69" t="str">
        <x:v>Example: 20 of 100 assessed employees are rating 1. Actual 20% exceeds a 10% maximum by 10 percentage points and is red. Actual 10% or lower is within the limit.</x:v>
      </x:c>
      <x:c r="Q198" s="69" t="str">
        <x:v>Example: 20 of 100 assessed employees are rating 1. Actual 20% exceeds a 10% maximum by 10 percentage points and is red. Actual 10% or lower is within the limit.</x:v>
      </x:c>
      <x:c r="R198" s="69" t="str">
        <x:v>Example: 20 of 100 assessed employees are rating 1. Actual 20% exceeds a 10% maximum by 10 percentage points and is red. Actual 10% or lower is within the limit.</x:v>
      </x:c>
      <x:c r="S198" s="69" t="str">
        <x:v>Example: 20 of 100 assessed employees are rating 1. Actual 20% exceeds a 10% maximum by 10 percentage points and is red. Actual 10% or lower is within the limit.</x:v>
      </x:c>
      <x:c r="T198" s="69" t="str">
        <x:v>Example: 20 of 100 assessed employees are rating 1. Actual 20% exceeds a 10% maximum by 10 percentage points and is red. Actual 10% or lower is within the limit.</x:v>
      </x:c>
      <x:c r="U198" s="69" t="str">
        <x:v>Example: 20 of 100 assessed employees are rating 1. Actual 20% exceeds a 10% maximum by 10 percentage points and is red. Actual 10% or lower is within the limit.</x:v>
      </x:c>
      <x:c r="V198" s="69" t="str">
        <x:v>Example: 20 of 100 assessed employees are rating 1. Actual 20% exceeds a 10% maximum by 10 percentage points and is red. Actual 10% or lower is within the limit.</x:v>
      </x:c>
      <x:c r="W198" s="69" t="str">
        <x:v>Example: 20 of 100 assessed employees are rating 1. Actual 20% exceeds a 10% maximum by 10 percentage points and is red. Actual 10% or lower is within the limit.</x:v>
      </x:c>
      <x:c r="X198" s="69" t="str">
        <x:v>Example: 20 of 100 assessed employees are rating 1. Actual 20% exceeds a 10% maximum by 10 percentage points and is red. Actual 10% or lower is within the limit.</x:v>
      </x:c>
      <x:c r="Y198" s="69" t="str">
        <x:v>Example: 20 of 100 assessed employees are rating 1. Actual 20% exceeds a 10% maximum by 10 percentage points and is red. Actual 10% or lower is within the limit.</x:v>
      </x:c>
      <x:c r="Z198" s="69" t="str">
        <x:v>Example: 20 of 100 assessed employees are rating 1. Actual 20% exceeds a 10% maximum by 10 percentage points and is red. Actual 10% or lower is within the limit.</x:v>
      </x:c>
      <x:c r="AA198" s="69" t="str">
        <x:v>Example: 20 of 100 assessed employees are rating 1. Actual 20% exceeds a 10% maximum by 10 percentage points and is red. Actual 10% or lower is within the limit.</x:v>
      </x:c>
      <x:c r="AB198" s="69" t="str">
        <x:v>Example: 20 of 100 assessed employees are rating 1. Actual 20% exceeds a 10% maximum by 10 percentage points and is red. Actual 10% or lower is within the limit.</x:v>
      </x:c>
      <x:c r="AC198" s="69" t="str">
        <x:v>Example: 20 of 100 assessed employees are rating 1. Actual 20% exceeds a 10% maximum by 10 percentage points and is red. Actual 10% or lower is within the limit.</x:v>
      </x:c>
      <x:c r="AD198" s="3"/>
      <x:c r="AE198" s="77"/>
      <x:c r="AF198" s="75"/>
      <x:c r="AG198" s="75"/>
      <x:c r="AH198" s="75"/>
      <x:c r="AI198" s="75"/>
      <x:c r="AJ198" s="75"/>
      <x:c r="AK198" s="75"/>
      <x:c r="AL198" s="75"/>
      <x:c r="AM198" s="75"/>
      <x:c r="AN198" s="75"/>
      <x:c r="AO198" s="75"/>
      <x:c r="AP198" s="75"/>
      <x:c r="AQ198" s="75"/>
      <x:c r="AR198" s="75"/>
      <x:c r="AS198" s="75"/>
      <x:c r="AT198" s="75"/>
      <x:c r="AU198" s="75"/>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4"/>
      <x:c r="DQ198" s="4"/>
      <x:c r="DR198" s="4"/>
      <x:c r="DS198" s="4"/>
      <x:c r="DT198" s="4"/>
      <x:c r="DU198" s="4"/>
      <x:c r="DV198" s="4"/>
      <x:c r="DW198" s="4"/>
      <x:c r="DX198" s="4"/>
      <x:c r="DY198" s="4"/>
      <x:c r="DZ198" s="4"/>
      <x:c r="EA198" s="4"/>
      <x:c r="EB198" s="4"/>
      <x:c r="EC198" s="4"/>
      <x:c r="ED198" s="4"/>
      <x:c r="EE198" s="4"/>
      <x:c r="EF198" s="4"/>
      <x:c r="EG198" s="4"/>
      <x:c r="EH198" s="4"/>
      <x:c r="EI198" s="4"/>
      <x:c r="EJ198" s="4"/>
      <x:c r="EK198" s="4"/>
      <x:c r="EL198" s="4"/>
      <x:c r="EM198" s="4"/>
      <x:c r="EN198" s="4"/>
      <x:c r="EO198" s="4"/>
      <x:c r="EP198" s="4"/>
      <x:c r="EQ198" s="4"/>
      <x:c r="ER198" s="4"/>
      <x:c r="ES198" s="4"/>
      <x:c r="ET198" s="4"/>
      <x:c r="EU198" s="4"/>
      <x:c r="EV198" s="4"/>
      <x:c r="EW198" s="4"/>
      <x:c r="EX198" s="4"/>
      <x:c r="EY198" s="4"/>
      <x:c r="EZ198" s="4"/>
      <x:c r="FA198" s="4"/>
      <x:c r="FB198" s="4"/>
      <x:c r="FC198" s="4"/>
      <x:c r="FD198" s="4"/>
      <x:c r="FE198" s="4"/>
      <x:c r="FF198" s="4"/>
      <x:c r="FG198" s="4"/>
      <x:c r="FH198" s="4"/>
      <x:c r="FI198" s="4"/>
      <x:c r="FJ198" s="4"/>
      <x:c r="FK198" s="4"/>
      <x:c r="FL198" s="4"/>
      <x:c r="FM198" s="4"/>
      <x:c r="FN198" s="4"/>
      <x:c r="FO198" s="4"/>
    </x:row>
    <x:row r="199" ht="18" customHeight="1">
      <x:c r="A199" s="3"/>
      <x:c r="B199" s="3"/>
      <x:c r="C199" s="3"/>
      <x:c r="D199" s="3"/>
      <x:c r="E199" s="3"/>
      <x:c r="F199" s="3"/>
      <x:c r="G199" s="3"/>
      <x:c r="H199" s="3"/>
      <x:c r="I199" s="3"/>
      <x:c r="J199" s="3"/>
      <x:c r="K199" s="3"/>
      <x:c r="L199" s="3"/>
      <x:c r="M199" s="3"/>
      <x:c r="N199" s="3"/>
      <x:c r="O199" s="3"/>
      <x:c r="P199" s="3"/>
      <x:c r="Q199" s="3"/>
      <x:c r="R199" s="3"/>
      <x:c r="S199" s="3"/>
      <x:c r="T199" s="3"/>
      <x:c r="U199" s="3"/>
      <x:c r="V199" s="3"/>
      <x:c r="W199" s="3"/>
      <x:c r="X199" s="3"/>
      <x:c r="Y199" s="3"/>
      <x:c r="Z199" s="3"/>
      <x:c r="AA199" s="3"/>
      <x:c r="AB199" s="3"/>
      <x:c r="AC199" s="3"/>
      <x:c r="AD199" s="3"/>
      <x:c r="AE199" s="77"/>
      <x:c r="AF199" s="75"/>
      <x:c r="AG199" s="75"/>
      <x:c r="AH199" s="75"/>
      <x:c r="AI199" s="75"/>
      <x:c r="AJ199" s="75"/>
      <x:c r="AK199" s="75"/>
      <x:c r="AL199" s="75"/>
      <x:c r="AM199" s="75"/>
      <x:c r="AN199" s="75"/>
      <x:c r="AO199" s="75"/>
      <x:c r="AP199" s="75"/>
      <x:c r="AQ199" s="75"/>
      <x:c r="AR199" s="75"/>
      <x:c r="AS199" s="75"/>
      <x:c r="AT199" s="75"/>
      <x:c r="AU199" s="75"/>
      <x:c r="AV199" s="4"/>
      <x:c r="AW199" s="4"/>
      <x:c r="AX199" s="4"/>
      <x:c r="AY199" s="4"/>
      <x:c r="AZ199" s="4"/>
      <x:c r="BA199" s="4"/>
      <x:c r="BB199" s="4"/>
      <x:c r="BC199" s="4"/>
      <x:c r="BD199" s="4"/>
      <x:c r="BE199" s="4"/>
      <x:c r="BF199" s="4"/>
      <x:c r="BG199" s="4"/>
      <x:c r="BH199" s="4"/>
      <x:c r="BI199" s="4"/>
      <x:c r="BJ199" s="4"/>
      <x:c r="BK199" s="4"/>
      <x:c r="BL199" s="4"/>
      <x:c r="BM199" s="4"/>
      <x:c r="BN199" s="4"/>
      <x:c r="BO199" s="4"/>
      <x:c r="BP199" s="4"/>
      <x:c r="BQ199" s="4"/>
      <x:c r="BR199" s="4"/>
      <x:c r="BS199" s="4"/>
      <x:c r="BT199" s="4"/>
      <x:c r="BU199" s="4"/>
      <x:c r="BV199" s="4"/>
      <x:c r="BW199" s="4"/>
      <x:c r="BX199" s="4"/>
      <x:c r="BY199" s="4"/>
      <x:c r="BZ199" s="4"/>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x:c r="DB199" s="4"/>
      <x:c r="DC199" s="4"/>
      <x:c r="DD199" s="4"/>
      <x:c r="DE199" s="4"/>
      <x:c r="DF199" s="4"/>
      <x:c r="DG199" s="4"/>
      <x:c r="DH199" s="4"/>
      <x:c r="DI199" s="4"/>
      <x:c r="DJ199" s="4"/>
      <x:c r="DK199" s="4"/>
      <x:c r="DL199" s="4"/>
      <x:c r="DM199" s="4"/>
      <x:c r="DN199" s="4"/>
      <x:c r="DO199" s="4"/>
      <x:c r="DP199" s="4"/>
      <x:c r="DQ199" s="4"/>
      <x:c r="DR199" s="4"/>
      <x:c r="DS199" s="4"/>
      <x:c r="DT199" s="4"/>
      <x:c r="DU199" s="4"/>
      <x:c r="DV199" s="4"/>
      <x:c r="DW199" s="4"/>
      <x:c r="DX199" s="4"/>
      <x:c r="DY199" s="4"/>
      <x:c r="DZ199" s="4"/>
      <x:c r="EA199" s="4"/>
      <x:c r="EB199" s="4"/>
      <x:c r="EC199" s="4"/>
      <x:c r="ED199" s="4"/>
      <x:c r="EE199" s="4"/>
      <x:c r="EF199" s="4"/>
      <x:c r="EG199" s="4"/>
      <x:c r="EH199" s="4"/>
      <x:c r="EI199" s="4"/>
      <x:c r="EJ199" s="4"/>
      <x:c r="EK199" s="4"/>
      <x:c r="EL199" s="4"/>
      <x:c r="EM199" s="4"/>
      <x:c r="EN199" s="4"/>
      <x:c r="EO199" s="4"/>
      <x:c r="EP199" s="4"/>
      <x:c r="EQ199" s="4"/>
      <x:c r="ER199" s="4"/>
      <x:c r="ES199" s="4"/>
      <x:c r="ET199" s="4"/>
      <x:c r="EU199" s="4"/>
      <x:c r="EV199" s="4"/>
      <x:c r="EW199" s="4"/>
      <x:c r="EX199" s="4"/>
      <x:c r="EY199" s="4"/>
      <x:c r="EZ199" s="4"/>
      <x:c r="FA199" s="4"/>
      <x:c r="FB199" s="4"/>
      <x:c r="FC199" s="4"/>
      <x:c r="FD199" s="4"/>
      <x:c r="FE199" s="4"/>
      <x:c r="FF199" s="4"/>
      <x:c r="FG199" s="4"/>
      <x:c r="FH199" s="4"/>
      <x:c r="FI199" s="4"/>
      <x:c r="FJ199" s="4"/>
      <x:c r="FK199" s="4"/>
      <x:c r="FL199" s="4"/>
      <x:c r="FM199" s="4"/>
      <x:c r="FN199" s="4"/>
      <x:c r="FO199" s="4"/>
    </x:row>
    <x:row r="200" ht="18" customHeight="1">
      <x:c r="A200" s="3"/>
      <x:c r="B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C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D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E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F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G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H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I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J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K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L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M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N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O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P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Q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R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S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T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U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V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W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X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Y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Z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A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B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C200"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D200" s="3"/>
      <x:c r="AE200" s="77"/>
      <x:c r="AF200" s="75"/>
      <x:c r="AG200" s="75"/>
      <x:c r="AH200" s="75"/>
      <x:c r="AI200" s="75"/>
      <x:c r="AJ200" s="75"/>
      <x:c r="AK200" s="75"/>
      <x:c r="AL200" s="75"/>
      <x:c r="AM200" s="75"/>
      <x:c r="AN200" s="75"/>
      <x:c r="AO200" s="75"/>
      <x:c r="AP200" s="75"/>
      <x:c r="AQ200" s="75"/>
      <x:c r="AR200" s="75"/>
      <x:c r="AS200" s="75"/>
      <x:c r="AT200" s="75"/>
      <x:c r="AU200" s="75"/>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4"/>
      <x:c r="DQ200" s="4"/>
      <x:c r="DR200" s="4"/>
      <x:c r="DS200" s="4"/>
      <x:c r="DT200" s="4"/>
      <x:c r="DU200" s="4"/>
      <x:c r="DV200" s="4"/>
      <x:c r="DW200" s="4"/>
      <x:c r="DX200" s="4"/>
      <x:c r="DY200" s="4"/>
      <x:c r="DZ200" s="4"/>
      <x:c r="EA200" s="4"/>
      <x:c r="EB200" s="4"/>
      <x:c r="EC200" s="4"/>
      <x:c r="ED200" s="4"/>
      <x:c r="EE200" s="4"/>
      <x:c r="EF200" s="4"/>
      <x:c r="EG200" s="4"/>
      <x:c r="EH200" s="4"/>
      <x:c r="EI200" s="4"/>
      <x:c r="EJ200" s="4"/>
      <x:c r="EK200" s="4"/>
      <x:c r="EL200" s="4"/>
      <x:c r="EM200" s="4"/>
      <x:c r="EN200" s="4"/>
      <x:c r="EO200" s="4"/>
      <x:c r="EP200" s="4"/>
      <x:c r="EQ200" s="4"/>
      <x:c r="ER200" s="4"/>
      <x:c r="ES200" s="4"/>
      <x:c r="ET200" s="4"/>
      <x:c r="EU200" s="4"/>
      <x:c r="EV200" s="4"/>
      <x:c r="EW200" s="4"/>
      <x:c r="EX200" s="4"/>
      <x:c r="EY200" s="4"/>
      <x:c r="EZ200" s="4"/>
      <x:c r="FA200" s="4"/>
      <x:c r="FB200" s="4"/>
      <x:c r="FC200" s="4"/>
      <x:c r="FD200" s="4"/>
      <x:c r="FE200" s="4"/>
      <x:c r="FF200" s="4"/>
      <x:c r="FG200" s="4"/>
      <x:c r="FH200" s="4"/>
      <x:c r="FI200" s="4"/>
      <x:c r="FJ200" s="4"/>
      <x:c r="FK200" s="4"/>
      <x:c r="FL200" s="4"/>
      <x:c r="FM200" s="4"/>
      <x:c r="FN200" s="4"/>
      <x:c r="FO200" s="4"/>
    </x:row>
    <x:row r="201" ht="18" customHeight="1">
      <x:c r="A201" s="3"/>
      <x:c r="B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C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D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E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F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G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H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I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J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K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L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M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N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O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P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Q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R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S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T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U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V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W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X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Y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Z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A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B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C201"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D201" s="3"/>
      <x:c r="AE201" s="77"/>
      <x:c r="AF201" s="75"/>
      <x:c r="AG201" s="75"/>
      <x:c r="AH201" s="75"/>
      <x:c r="AI201" s="75"/>
      <x:c r="AJ201" s="75"/>
      <x:c r="AK201" s="75"/>
      <x:c r="AL201" s="75"/>
      <x:c r="AM201" s="75"/>
      <x:c r="AN201" s="75"/>
      <x:c r="AO201" s="75"/>
      <x:c r="AP201" s="75"/>
      <x:c r="AQ201" s="75"/>
      <x:c r="AR201" s="75"/>
      <x:c r="AS201" s="75"/>
      <x:c r="AT201" s="75"/>
      <x:c r="AU201" s="75"/>
      <x:c r="AV201" s="4"/>
      <x:c r="AW201" s="4"/>
      <x:c r="AX201" s="4"/>
      <x:c r="AY201" s="4"/>
      <x:c r="AZ201" s="4"/>
      <x:c r="BA201" s="4"/>
      <x:c r="BB201" s="4"/>
      <x:c r="BC201" s="4"/>
      <x:c r="BD201" s="4"/>
      <x:c r="BE201" s="4"/>
      <x:c r="BF201" s="4"/>
      <x:c r="BG201" s="4"/>
      <x:c r="BH201" s="4"/>
      <x:c r="BI201" s="4"/>
      <x:c r="BJ201" s="4"/>
      <x:c r="BK201" s="4"/>
      <x:c r="BL201" s="4"/>
      <x:c r="BM201" s="4"/>
      <x:c r="BN201" s="4"/>
      <x:c r="BO201" s="4"/>
      <x:c r="BP201" s="4"/>
      <x:c r="BQ201" s="4"/>
      <x:c r="BR201" s="4"/>
      <x:c r="BS201" s="4"/>
      <x:c r="BT201" s="4"/>
      <x:c r="BU201" s="4"/>
      <x:c r="BV201" s="4"/>
      <x:c r="BW201" s="4"/>
      <x:c r="BX201" s="4"/>
      <x:c r="BY201" s="4"/>
      <x:c r="BZ201" s="4"/>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x:c r="DB201" s="4"/>
      <x:c r="DC201" s="4"/>
      <x:c r="DD201" s="4"/>
      <x:c r="DE201" s="4"/>
      <x:c r="DF201" s="4"/>
      <x:c r="DG201" s="4"/>
      <x:c r="DH201" s="4"/>
      <x:c r="DI201" s="4"/>
      <x:c r="DJ201" s="4"/>
      <x:c r="DK201" s="4"/>
      <x:c r="DL201" s="4"/>
      <x:c r="DM201" s="4"/>
      <x:c r="DN201" s="4"/>
      <x:c r="DO201" s="4"/>
      <x:c r="DP201" s="4"/>
      <x:c r="DQ201" s="4"/>
      <x:c r="DR201" s="4"/>
      <x:c r="DS201" s="4"/>
      <x:c r="DT201" s="4"/>
      <x:c r="DU201" s="4"/>
      <x:c r="DV201" s="4"/>
      <x:c r="DW201" s="4"/>
      <x:c r="DX201" s="4"/>
      <x:c r="DY201" s="4"/>
      <x:c r="DZ201" s="4"/>
      <x:c r="EA201" s="4"/>
      <x:c r="EB201" s="4"/>
      <x:c r="EC201" s="4"/>
      <x:c r="ED201" s="4"/>
      <x:c r="EE201" s="4"/>
      <x:c r="EF201" s="4"/>
      <x:c r="EG201" s="4"/>
      <x:c r="EH201" s="4"/>
      <x:c r="EI201" s="4"/>
      <x:c r="EJ201" s="4"/>
      <x:c r="EK201" s="4"/>
      <x:c r="EL201" s="4"/>
      <x:c r="EM201" s="4"/>
      <x:c r="EN201" s="4"/>
      <x:c r="EO201" s="4"/>
      <x:c r="EP201" s="4"/>
      <x:c r="EQ201" s="4"/>
      <x:c r="ER201" s="4"/>
      <x:c r="ES201" s="4"/>
      <x:c r="ET201" s="4"/>
      <x:c r="EU201" s="4"/>
      <x:c r="EV201" s="4"/>
      <x:c r="EW201" s="4"/>
      <x:c r="EX201" s="4"/>
      <x:c r="EY201" s="4"/>
      <x:c r="EZ201" s="4"/>
      <x:c r="FA201" s="4"/>
      <x:c r="FB201" s="4"/>
      <x:c r="FC201" s="4"/>
      <x:c r="FD201" s="4"/>
      <x:c r="FE201" s="4"/>
      <x:c r="FF201" s="4"/>
      <x:c r="FG201" s="4"/>
      <x:c r="FH201" s="4"/>
      <x:c r="FI201" s="4"/>
      <x:c r="FJ201" s="4"/>
      <x:c r="FK201" s="4"/>
      <x:c r="FL201" s="4"/>
      <x:c r="FM201" s="4"/>
      <x:c r="FN201" s="4"/>
      <x:c r="FO201" s="4"/>
    </x:row>
    <x:row r="202" ht="18" customHeight="1">
      <x:c r="A202" s="3"/>
      <x:c r="B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C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D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E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F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G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H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I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J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K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L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M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N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O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P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Q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R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S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T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U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V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W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X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Y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Z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A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B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C202" s="69" t="str">
        <x:v>Select Product, then Manager, then Below direct. Reset a lower filter to All if its previous choice is no longer available. The org chart shows six immediate reports per page; use the filters to move down the hierarchy. Context manager cards show their own ratings. Duplicate links, cycles and paths beyond 20 levels remain under All but are excluded from named branches.</x:v>
      </x:c>
      <x:c r="AD202" s="3"/>
      <x:c r="AE202" s="77"/>
      <x:c r="AF202" s="75"/>
      <x:c r="AG202" s="75"/>
      <x:c r="AH202" s="75"/>
      <x:c r="AI202" s="75"/>
      <x:c r="AJ202" s="75"/>
      <x:c r="AK202" s="75"/>
      <x:c r="AL202" s="75"/>
      <x:c r="AM202" s="75"/>
      <x:c r="AN202" s="75"/>
      <x:c r="AO202" s="75"/>
      <x:c r="AP202" s="75"/>
      <x:c r="AQ202" s="75"/>
      <x:c r="AR202" s="75"/>
      <x:c r="AS202" s="75"/>
      <x:c r="AT202" s="75"/>
      <x:c r="AU202" s="75"/>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4"/>
      <x:c r="DQ202" s="4"/>
      <x:c r="DR202" s="4"/>
      <x:c r="DS202" s="4"/>
      <x:c r="DT202" s="4"/>
      <x:c r="DU202" s="4"/>
      <x:c r="DV202" s="4"/>
      <x:c r="DW202" s="4"/>
      <x:c r="DX202" s="4"/>
      <x:c r="DY202" s="4"/>
      <x:c r="DZ202" s="4"/>
      <x:c r="EA202" s="4"/>
      <x:c r="EB202" s="4"/>
      <x:c r="EC202" s="4"/>
      <x:c r="ED202" s="4"/>
      <x:c r="EE202" s="4"/>
      <x:c r="EF202" s="4"/>
      <x:c r="EG202" s="4"/>
      <x:c r="EH202" s="4"/>
      <x:c r="EI202" s="4"/>
      <x:c r="EJ202" s="4"/>
      <x:c r="EK202" s="4"/>
      <x:c r="EL202" s="4"/>
      <x:c r="EM202" s="4"/>
      <x:c r="EN202" s="4"/>
      <x:c r="EO202" s="4"/>
      <x:c r="EP202" s="4"/>
      <x:c r="EQ202" s="4"/>
      <x:c r="ER202" s="4"/>
      <x:c r="ES202" s="4"/>
      <x:c r="ET202" s="4"/>
      <x:c r="EU202" s="4"/>
      <x:c r="EV202" s="4"/>
      <x:c r="EW202" s="4"/>
      <x:c r="EX202" s="4"/>
      <x:c r="EY202" s="4"/>
      <x:c r="EZ202" s="4"/>
      <x:c r="FA202" s="4"/>
      <x:c r="FB202" s="4"/>
      <x:c r="FC202" s="4"/>
      <x:c r="FD202" s="4"/>
      <x:c r="FE202" s="4"/>
      <x:c r="FF202" s="4"/>
      <x:c r="FG202" s="4"/>
      <x:c r="FH202" s="4"/>
      <x:c r="FI202" s="4"/>
      <x:c r="FJ202" s="4"/>
      <x:c r="FK202" s="4"/>
      <x:c r="FL202" s="4"/>
      <x:c r="FM202" s="4"/>
      <x:c r="FN202" s="4"/>
      <x:c r="FO202" s="4"/>
    </x:row>
    <x:row r="203" ht="18" customHeight="1">
      <x:c r="A203" s="3"/>
      <x:c r="B203" s="3"/>
      <x:c r="C203" s="3"/>
      <x:c r="D203" s="3"/>
      <x:c r="E203" s="3"/>
      <x:c r="F203" s="3"/>
      <x:c r="G203" s="3"/>
      <x:c r="H203" s="3"/>
      <x:c r="I203" s="3"/>
      <x:c r="J203" s="3"/>
      <x:c r="K203" s="3"/>
      <x:c r="L203" s="3"/>
      <x:c r="M203" s="3"/>
      <x:c r="N203" s="3"/>
      <x:c r="O203" s="3"/>
      <x:c r="P203" s="3"/>
      <x:c r="Q203" s="3"/>
      <x:c r="R203" s="3"/>
      <x:c r="S203" s="3"/>
      <x:c r="T203" s="3"/>
      <x:c r="U203" s="3"/>
      <x:c r="V203" s="3"/>
      <x:c r="W203" s="3"/>
      <x:c r="X203" s="3"/>
      <x:c r="Y203" s="3"/>
      <x:c r="Z203" s="3"/>
      <x:c r="AA203" s="3"/>
      <x:c r="AB203" s="3"/>
      <x:c r="AC203" s="3"/>
      <x:c r="AD203" s="3"/>
      <x:c r="AE203" s="77"/>
      <x:c r="AF203" s="75"/>
      <x:c r="AG203" s="75"/>
      <x:c r="AH203" s="75"/>
      <x:c r="AI203" s="75"/>
      <x:c r="AJ203" s="75"/>
      <x:c r="AK203" s="75"/>
      <x:c r="AL203" s="75"/>
      <x:c r="AM203" s="75"/>
      <x:c r="AN203" s="75"/>
      <x:c r="AO203" s="75"/>
      <x:c r="AP203" s="75"/>
      <x:c r="AQ203" s="75"/>
      <x:c r="AR203" s="75"/>
      <x:c r="AS203" s="75"/>
      <x:c r="AT203" s="75"/>
      <x:c r="AU203" s="75"/>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4"/>
      <x:c r="DQ203" s="4"/>
      <x:c r="DR203" s="4"/>
      <x:c r="DS203" s="4"/>
      <x:c r="DT203" s="4"/>
      <x:c r="DU203" s="4"/>
      <x:c r="DV203" s="4"/>
      <x:c r="DW203" s="4"/>
      <x:c r="DX203" s="4"/>
      <x:c r="DY203" s="4"/>
      <x:c r="DZ203" s="4"/>
      <x:c r="EA203" s="4"/>
      <x:c r="EB203" s="4"/>
      <x:c r="EC203" s="4"/>
      <x:c r="ED203" s="4"/>
      <x:c r="EE203" s="4"/>
      <x:c r="EF203" s="4"/>
      <x:c r="EG203" s="4"/>
      <x:c r="EH203" s="4"/>
      <x:c r="EI203" s="4"/>
      <x:c r="EJ203" s="4"/>
      <x:c r="EK203" s="4"/>
      <x:c r="EL203" s="4"/>
      <x:c r="EM203" s="4"/>
      <x:c r="EN203" s="4"/>
      <x:c r="EO203" s="4"/>
      <x:c r="EP203" s="4"/>
      <x:c r="EQ203" s="4"/>
      <x:c r="ER203" s="4"/>
      <x:c r="ES203" s="4"/>
      <x:c r="ET203" s="4"/>
      <x:c r="EU203" s="4"/>
      <x:c r="EV203" s="4"/>
      <x:c r="EW203" s="4"/>
      <x:c r="EX203" s="4"/>
      <x:c r="EY203" s="4"/>
      <x:c r="EZ203" s="4"/>
      <x:c r="FA203" s="4"/>
      <x:c r="FB203" s="4"/>
      <x:c r="FC203" s="4"/>
      <x:c r="FD203" s="4"/>
      <x:c r="FE203" s="4"/>
      <x:c r="FF203" s="4"/>
      <x:c r="FG203" s="4"/>
      <x:c r="FH203" s="4"/>
      <x:c r="FI203" s="4"/>
      <x:c r="FJ203" s="4"/>
      <x:c r="FK203" s="4"/>
      <x:c r="FL203" s="4"/>
      <x:c r="FM203" s="4"/>
      <x:c r="FN203" s="4"/>
      <x:c r="FO203" s="4"/>
    </x:row>
    <x:row r="204" ht="18" customHeight="1">
      <x:c r="A204" s="3"/>
      <x:c r="B204" s="3"/>
      <x:c r="C204" s="3"/>
      <x:c r="D204" s="3"/>
      <x:c r="E204" s="3"/>
      <x:c r="F204" s="3"/>
      <x:c r="G204" s="3"/>
      <x:c r="H204" s="3"/>
      <x:c r="I204" s="3"/>
      <x:c r="J204" s="3"/>
      <x:c r="K204" s="3"/>
      <x:c r="L204" s="3"/>
      <x:c r="M204" s="3"/>
      <x:c r="N204" s="3"/>
      <x:c r="O204" s="3"/>
      <x:c r="P204" s="3"/>
      <x:c r="Q204" s="3"/>
      <x:c r="R204" s="3"/>
      <x:c r="S204" s="3"/>
      <x:c r="T204" s="3"/>
      <x:c r="U204" s="3"/>
      <x:c r="V204" s="3"/>
      <x:c r="W204" s="3"/>
      <x:c r="X204" s="3"/>
      <x:c r="Y204" s="3"/>
      <x:c r="Z204" s="3"/>
      <x:c r="AA204" s="3"/>
      <x:c r="AB204" s="3"/>
      <x:c r="AC204" s="3"/>
      <x:c r="AD204" s="3"/>
      <x:c r="AE204" s="77"/>
      <x:c r="AF204" s="75"/>
      <x:c r="AG204" s="75"/>
      <x:c r="AH204" s="75"/>
      <x:c r="AI204" s="75"/>
      <x:c r="AJ204" s="75"/>
      <x:c r="AK204" s="75"/>
      <x:c r="AL204" s="75"/>
      <x:c r="AM204" s="75"/>
      <x:c r="AN204" s="75"/>
      <x:c r="AO204" s="75"/>
      <x:c r="AP204" s="75"/>
      <x:c r="AQ204" s="75"/>
      <x:c r="AR204" s="75"/>
      <x:c r="AS204" s="75"/>
      <x:c r="AT204" s="75"/>
      <x:c r="AU204" s="75"/>
      <x:c r="AV204" s="4"/>
      <x:c r="AW204" s="4"/>
      <x:c r="AX204" s="4"/>
      <x:c r="AY204" s="4"/>
      <x:c r="AZ204" s="4"/>
      <x:c r="BA204" s="4"/>
      <x:c r="BB204" s="4"/>
      <x:c r="BC204" s="4"/>
      <x:c r="BD204" s="4"/>
      <x:c r="BE204" s="4"/>
      <x:c r="BF204" s="4"/>
      <x:c r="BG204" s="4"/>
      <x:c r="BH204" s="4"/>
      <x:c r="BI204" s="4"/>
      <x:c r="BJ204" s="4"/>
      <x:c r="BK204" s="4"/>
      <x:c r="BL204" s="4"/>
      <x:c r="BM204" s="4"/>
      <x:c r="BN204" s="4"/>
      <x:c r="BO204" s="4"/>
      <x:c r="BP204" s="4"/>
      <x:c r="BQ204" s="4"/>
      <x:c r="BR204" s="4"/>
      <x:c r="BS204" s="4"/>
      <x:c r="BT204" s="4"/>
      <x:c r="BU204" s="4"/>
      <x:c r="BV204" s="4"/>
      <x:c r="BW204" s="4"/>
      <x:c r="BX204" s="4"/>
      <x:c r="BY204" s="4"/>
      <x:c r="BZ204" s="4"/>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x:c r="DB204" s="4"/>
      <x:c r="DC204" s="4"/>
      <x:c r="DD204" s="4"/>
      <x:c r="DE204" s="4"/>
      <x:c r="DF204" s="4"/>
      <x:c r="DG204" s="4"/>
      <x:c r="DH204" s="4"/>
      <x:c r="DI204" s="4"/>
      <x:c r="DJ204" s="4"/>
      <x:c r="DK204" s="4"/>
      <x:c r="DL204" s="4"/>
      <x:c r="DM204" s="4"/>
      <x:c r="DN204" s="4"/>
      <x:c r="DO204" s="4"/>
      <x:c r="DP204" s="4"/>
      <x:c r="DQ204" s="4"/>
      <x:c r="DR204" s="4"/>
      <x:c r="DS204" s="4"/>
      <x:c r="DT204" s="4"/>
      <x:c r="DU204" s="4"/>
      <x:c r="DV204" s="4"/>
      <x:c r="DW204" s="4"/>
      <x:c r="DX204" s="4"/>
      <x:c r="DY204" s="4"/>
      <x:c r="DZ204" s="4"/>
      <x:c r="EA204" s="4"/>
      <x:c r="EB204" s="4"/>
      <x:c r="EC204" s="4"/>
      <x:c r="ED204" s="4"/>
      <x:c r="EE204" s="4"/>
      <x:c r="EF204" s="4"/>
      <x:c r="EG204" s="4"/>
      <x:c r="EH204" s="4"/>
      <x:c r="EI204" s="4"/>
      <x:c r="EJ204" s="4"/>
      <x:c r="EK204" s="4"/>
      <x:c r="EL204" s="4"/>
      <x:c r="EM204" s="4"/>
      <x:c r="EN204" s="4"/>
      <x:c r="EO204" s="4"/>
      <x:c r="EP204" s="4"/>
      <x:c r="EQ204" s="4"/>
      <x:c r="ER204" s="4"/>
      <x:c r="ES204" s="4"/>
      <x:c r="ET204" s="4"/>
      <x:c r="EU204" s="4"/>
      <x:c r="EV204" s="4"/>
      <x:c r="EW204" s="4"/>
      <x:c r="EX204" s="4"/>
      <x:c r="EY204" s="4"/>
      <x:c r="EZ204" s="4"/>
      <x:c r="FA204" s="4"/>
      <x:c r="FB204" s="4"/>
      <x:c r="FC204" s="4"/>
      <x:c r="FD204" s="4"/>
      <x:c r="FE204" s="4"/>
      <x:c r="FF204" s="4"/>
      <x:c r="FG204" s="4"/>
      <x:c r="FH204" s="4"/>
      <x:c r="FI204" s="4"/>
      <x:c r="FJ204" s="4"/>
      <x:c r="FK204" s="4"/>
      <x:c r="FL204" s="4"/>
      <x:c r="FM204" s="4"/>
      <x:c r="FN204" s="4"/>
      <x:c r="FO204" s="4"/>
    </x:row>
    <x:row r="205">
      <x:c r="A205" s="72"/>
      <x:c r="B205" s="72"/>
      <x:c r="C205" s="72"/>
      <x:c r="D205" s="72"/>
      <x:c r="E205" s="72"/>
      <x:c r="F205" s="72"/>
      <x:c r="G205" s="72"/>
      <x:c r="H205" s="72"/>
      <x:c r="I205" s="72"/>
      <x:c r="J205" s="72"/>
      <x:c r="K205" s="72"/>
      <x:c r="L205" s="72"/>
      <x:c r="M205" s="72"/>
      <x:c r="N205" s="72"/>
      <x:c r="O205" s="72"/>
      <x:c r="P205" s="72"/>
      <x:c r="Q205" s="72"/>
      <x:c r="R205" s="72"/>
      <x:c r="S205" s="72"/>
      <x:c r="T205" s="72"/>
      <x:c r="U205" s="72"/>
      <x:c r="V205" s="72"/>
      <x:c r="W205" s="72"/>
      <x:c r="X205" s="72"/>
      <x:c r="Y205" s="72"/>
      <x:c r="Z205" s="72"/>
      <x:c r="AA205" s="72"/>
      <x:c r="AB205" s="72"/>
      <x:c r="AC205" s="72"/>
      <x:c r="AD205" s="72"/>
      <x:c r="AE205" s="72"/>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x:c r="BN205" s="4"/>
      <x:c r="BO205" s="4"/>
      <x:c r="BP205" s="4"/>
      <x:c r="BQ205" s="4"/>
      <x:c r="BR205" s="4"/>
      <x:c r="BS205" s="4"/>
      <x:c r="BT205" s="4"/>
      <x:c r="BU205" s="4"/>
      <x:c r="BV205" s="4"/>
      <x:c r="BW205" s="4"/>
      <x:c r="BX205" s="4"/>
      <x:c r="BY205" s="4"/>
      <x:c r="BZ205" s="4"/>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x:c r="DB205" s="4"/>
      <x:c r="DC205" s="4"/>
      <x:c r="DD205" s="4"/>
      <x:c r="DE205" s="4"/>
      <x:c r="DF205" s="4"/>
      <x:c r="DG205" s="4"/>
      <x:c r="DH205" s="4"/>
      <x:c r="DI205" s="4"/>
      <x:c r="DJ205" s="4"/>
      <x:c r="DK205" s="4"/>
      <x:c r="DL205" s="4"/>
      <x:c r="DM205" s="4"/>
      <x:c r="DN205" s="4"/>
      <x:c r="DO205" s="4"/>
      <x:c r="DP205" s="4"/>
      <x:c r="DQ205" s="4"/>
      <x:c r="DR205" s="4"/>
      <x:c r="DS205" s="4"/>
      <x:c r="DT205" s="4"/>
      <x:c r="DU205" s="4"/>
      <x:c r="DV205" s="4"/>
      <x:c r="DW205" s="4"/>
      <x:c r="DX205" s="4"/>
      <x:c r="DY205" s="4"/>
      <x:c r="DZ205" s="4"/>
      <x:c r="EA205" s="4"/>
      <x:c r="EB205" s="4"/>
      <x:c r="EC205" s="4"/>
      <x:c r="ED205" s="4"/>
      <x:c r="EE205" s="4"/>
      <x:c r="EF205" s="4"/>
      <x:c r="EG205" s="4"/>
      <x:c r="EH205" s="4"/>
      <x:c r="EI205" s="4"/>
      <x:c r="EJ205" s="4"/>
      <x:c r="EK205" s="4"/>
      <x:c r="EL205" s="4"/>
      <x:c r="EM205" s="4"/>
      <x:c r="EN205" s="4"/>
      <x:c r="EO205" s="4"/>
      <x:c r="EP205" s="4"/>
      <x:c r="EQ205" s="4"/>
      <x:c r="ER205" s="4"/>
      <x:c r="ES205" s="4"/>
      <x:c r="ET205" s="4"/>
      <x:c r="EU205" s="4"/>
      <x:c r="EV205" s="4"/>
      <x:c r="EW205" s="4"/>
      <x:c r="EX205" s="4"/>
      <x:c r="EY205" s="4"/>
      <x:c r="EZ205" s="4"/>
      <x:c r="FA205" s="4"/>
      <x:c r="FB205" s="4"/>
      <x:c r="FC205" s="4"/>
      <x:c r="FD205" s="4"/>
      <x:c r="FE205" s="4"/>
      <x:c r="FF205" s="4"/>
      <x:c r="FG205" s="4"/>
      <x:c r="FH205" s="4"/>
      <x:c r="FI205" s="4"/>
      <x:c r="FJ205" s="4"/>
      <x:c r="FK205" s="4"/>
      <x:c r="FL205" s="4"/>
      <x:c r="FM205" s="4"/>
      <x:c r="FN205" s="4"/>
      <x:c r="FO205" s="4"/>
    </x:row>
    <x:row r="206">
      <x:c r="A206" s="72"/>
      <x:c r="B206" s="72"/>
      <x:c r="C206" s="72"/>
      <x:c r="D206" s="72"/>
      <x:c r="E206" s="72"/>
      <x:c r="F206" s="72"/>
      <x:c r="G206" s="72"/>
      <x:c r="H206" s="72"/>
      <x:c r="I206" s="72"/>
      <x:c r="J206" s="72"/>
      <x:c r="K206" s="72"/>
      <x:c r="L206" s="72"/>
      <x:c r="M206" s="72"/>
      <x:c r="N206" s="72"/>
      <x:c r="O206" s="72"/>
      <x:c r="P206" s="72"/>
      <x:c r="Q206" s="72"/>
      <x:c r="R206" s="72"/>
      <x:c r="S206" s="72"/>
      <x:c r="T206" s="72"/>
      <x:c r="U206" s="72"/>
      <x:c r="V206" s="72"/>
      <x:c r="W206" s="72"/>
      <x:c r="X206" s="72"/>
      <x:c r="Y206" s="72"/>
      <x:c r="Z206" s="72"/>
      <x:c r="AA206" s="72"/>
      <x:c r="AB206" s="72"/>
      <x:c r="AC206" s="72"/>
      <x:c r="AD206" s="72"/>
      <x:c r="AE206" s="72"/>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4"/>
      <x:c r="DQ206" s="4"/>
      <x:c r="DR206" s="4"/>
      <x:c r="DS206" s="4"/>
      <x:c r="DT206" s="4"/>
      <x:c r="DU206" s="4"/>
      <x:c r="DV206" s="4"/>
      <x:c r="DW206" s="4"/>
      <x:c r="DX206" s="4"/>
      <x:c r="DY206" s="4"/>
      <x:c r="DZ206" s="4"/>
      <x:c r="EA206" s="4"/>
      <x:c r="EB206" s="4"/>
      <x:c r="EC206" s="4"/>
      <x:c r="ED206" s="4"/>
      <x:c r="EE206" s="4"/>
      <x:c r="EF206" s="4"/>
      <x:c r="EG206" s="4"/>
      <x:c r="EH206" s="4"/>
      <x:c r="EI206" s="4"/>
      <x:c r="EJ206" s="4"/>
      <x:c r="EK206" s="4"/>
      <x:c r="EL206" s="4"/>
      <x:c r="EM206" s="4"/>
      <x:c r="EN206" s="4"/>
      <x:c r="EO206" s="4"/>
      <x:c r="EP206" s="4"/>
      <x:c r="EQ206" s="4"/>
      <x:c r="ER206" s="4"/>
      <x:c r="ES206" s="4"/>
      <x:c r="ET206" s="4"/>
      <x:c r="EU206" s="4"/>
      <x:c r="EV206" s="4"/>
      <x:c r="EW206" s="4"/>
      <x:c r="EX206" s="4"/>
      <x:c r="EY206" s="4"/>
      <x:c r="EZ206" s="4"/>
      <x:c r="FA206" s="4"/>
      <x:c r="FB206" s="4"/>
      <x:c r="FC206" s="4"/>
      <x:c r="FD206" s="4"/>
      <x:c r="FE206" s="4"/>
      <x:c r="FF206" s="4"/>
      <x:c r="FG206" s="4"/>
      <x:c r="FH206" s="4"/>
      <x:c r="FI206" s="4"/>
      <x:c r="FJ206" s="4"/>
      <x:c r="FK206" s="4"/>
      <x:c r="FL206" s="4"/>
      <x:c r="FM206" s="4"/>
      <x:c r="FN206" s="4"/>
      <x:c r="FO206" s="4"/>
    </x:row>
    <x:row r="207">
      <x:c r="A207" s="72"/>
      <x:c r="B207" s="72"/>
      <x:c r="C207" s="72"/>
      <x:c r="D207" s="72"/>
      <x:c r="E207" s="72"/>
      <x:c r="F207" s="72"/>
      <x:c r="G207" s="72"/>
      <x:c r="H207" s="72"/>
      <x:c r="I207" s="72"/>
      <x:c r="J207" s="72"/>
      <x:c r="K207" s="72"/>
      <x:c r="L207" s="72"/>
      <x:c r="M207" s="72"/>
      <x:c r="N207" s="72"/>
      <x:c r="O207" s="72"/>
      <x:c r="P207" s="72"/>
      <x:c r="Q207" s="72"/>
      <x:c r="R207" s="72"/>
      <x:c r="S207" s="72"/>
      <x:c r="T207" s="72"/>
      <x:c r="U207" s="72"/>
      <x:c r="V207" s="72"/>
      <x:c r="W207" s="72"/>
      <x:c r="X207" s="72"/>
      <x:c r="Y207" s="72"/>
      <x:c r="Z207" s="72"/>
      <x:c r="AA207" s="72"/>
      <x:c r="AB207" s="72"/>
      <x:c r="AC207" s="72"/>
      <x:c r="AD207" s="72"/>
      <x:c r="AE207" s="72"/>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x:c r="BN207" s="4"/>
      <x:c r="BO207" s="4"/>
      <x:c r="BP207" s="4"/>
      <x:c r="BQ207" s="4"/>
      <x:c r="BR207" s="4"/>
      <x:c r="BS207" s="4"/>
      <x:c r="BT207" s="4"/>
      <x:c r="BU207" s="4"/>
      <x:c r="BV207" s="4"/>
      <x:c r="BW207" s="4"/>
      <x:c r="BX207" s="4"/>
      <x:c r="BY207" s="4"/>
      <x:c r="BZ207" s="4"/>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x:c r="DB207" s="4"/>
      <x:c r="DC207" s="4"/>
      <x:c r="DD207" s="4"/>
      <x:c r="DE207" s="4"/>
      <x:c r="DF207" s="4"/>
      <x:c r="DG207" s="4"/>
      <x:c r="DH207" s="4"/>
      <x:c r="DI207" s="4"/>
      <x:c r="DJ207" s="4"/>
      <x:c r="DK207" s="4"/>
      <x:c r="DL207" s="4"/>
      <x:c r="DM207" s="4"/>
      <x:c r="DN207" s="4"/>
      <x:c r="DO207" s="4"/>
      <x:c r="DP207" s="4"/>
      <x:c r="DQ207" s="4"/>
      <x:c r="DR207" s="4"/>
      <x:c r="DS207" s="4"/>
      <x:c r="DT207" s="4"/>
      <x:c r="DU207" s="4"/>
      <x:c r="DV207" s="4"/>
      <x:c r="DW207" s="4"/>
      <x:c r="DX207" s="4"/>
      <x:c r="DY207" s="4"/>
      <x:c r="DZ207" s="4"/>
      <x:c r="EA207" s="4"/>
      <x:c r="EB207" s="4"/>
      <x:c r="EC207" s="4"/>
      <x:c r="ED207" s="4"/>
      <x:c r="EE207" s="4"/>
      <x:c r="EF207" s="4"/>
      <x:c r="EG207" s="4"/>
      <x:c r="EH207" s="4"/>
      <x:c r="EI207" s="4"/>
      <x:c r="EJ207" s="4"/>
      <x:c r="EK207" s="4"/>
      <x:c r="EL207" s="4"/>
      <x:c r="EM207" s="4"/>
      <x:c r="EN207" s="4"/>
      <x:c r="EO207" s="4"/>
      <x:c r="EP207" s="4"/>
      <x:c r="EQ207" s="4"/>
      <x:c r="ER207" s="4"/>
      <x:c r="ES207" s="4"/>
      <x:c r="ET207" s="4"/>
      <x:c r="EU207" s="4"/>
      <x:c r="EV207" s="4"/>
      <x:c r="EW207" s="4"/>
      <x:c r="EX207" s="4"/>
      <x:c r="EY207" s="4"/>
      <x:c r="EZ207" s="4"/>
      <x:c r="FA207" s="4"/>
      <x:c r="FB207" s="4"/>
      <x:c r="FC207" s="4"/>
      <x:c r="FD207" s="4"/>
      <x:c r="FE207" s="4"/>
      <x:c r="FF207" s="4"/>
      <x:c r="FG207" s="4"/>
      <x:c r="FH207" s="4"/>
      <x:c r="FI207" s="4"/>
      <x:c r="FJ207" s="4"/>
      <x:c r="FK207" s="4"/>
      <x:c r="FL207" s="4"/>
      <x:c r="FM207" s="4"/>
      <x:c r="FN207" s="4"/>
      <x:c r="FO207" s="4"/>
    </x:row>
    <x:row r="208">
      <x:c r="A208" s="72"/>
      <x:c r="B208" s="72"/>
      <x:c r="C208" s="72"/>
      <x:c r="D208" s="72"/>
      <x:c r="E208" s="72"/>
      <x:c r="F208" s="72"/>
      <x:c r="G208" s="72"/>
      <x:c r="H208" s="72"/>
      <x:c r="I208" s="72"/>
      <x:c r="J208" s="72"/>
      <x:c r="K208" s="72"/>
      <x:c r="L208" s="72"/>
      <x:c r="M208" s="72"/>
      <x:c r="N208" s="72"/>
      <x:c r="O208" s="72"/>
      <x:c r="P208" s="72"/>
      <x:c r="Q208" s="72"/>
      <x:c r="R208" s="72"/>
      <x:c r="S208" s="72"/>
      <x:c r="T208" s="72"/>
      <x:c r="U208" s="72"/>
      <x:c r="V208" s="72"/>
      <x:c r="W208" s="72"/>
      <x:c r="X208" s="72"/>
      <x:c r="Y208" s="72"/>
      <x:c r="Z208" s="72"/>
      <x:c r="AA208" s="72"/>
      <x:c r="AB208" s="72"/>
      <x:c r="AC208" s="72"/>
      <x:c r="AD208" s="72"/>
      <x:c r="AE208" s="72"/>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4"/>
      <x:c r="DQ208" s="4"/>
      <x:c r="DR208" s="4"/>
      <x:c r="DS208" s="4"/>
      <x:c r="DT208" s="4"/>
      <x:c r="DU208" s="4"/>
      <x:c r="DV208" s="4"/>
      <x:c r="DW208" s="4"/>
      <x:c r="DX208" s="4"/>
      <x:c r="DY208" s="4"/>
      <x:c r="DZ208" s="4"/>
      <x:c r="EA208" s="4"/>
      <x:c r="EB208" s="4"/>
      <x:c r="EC208" s="4"/>
      <x:c r="ED208" s="4"/>
      <x:c r="EE208" s="4"/>
      <x:c r="EF208" s="4"/>
      <x:c r="EG208" s="4"/>
      <x:c r="EH208" s="4"/>
      <x:c r="EI208" s="4"/>
      <x:c r="EJ208" s="4"/>
      <x:c r="EK208" s="4"/>
      <x:c r="EL208" s="4"/>
      <x:c r="EM208" s="4"/>
      <x:c r="EN208" s="4"/>
      <x:c r="EO208" s="4"/>
      <x:c r="EP208" s="4"/>
      <x:c r="EQ208" s="4"/>
      <x:c r="ER208" s="4"/>
      <x:c r="ES208" s="4"/>
      <x:c r="ET208" s="4"/>
      <x:c r="EU208" s="4"/>
      <x:c r="EV208" s="4"/>
      <x:c r="EW208" s="4"/>
      <x:c r="EX208" s="4"/>
      <x:c r="EY208" s="4"/>
      <x:c r="EZ208" s="4"/>
      <x:c r="FA208" s="4"/>
      <x:c r="FB208" s="4"/>
      <x:c r="FC208" s="4"/>
      <x:c r="FD208" s="4"/>
      <x:c r="FE208" s="4"/>
      <x:c r="FF208" s="4"/>
      <x:c r="FG208" s="4"/>
      <x:c r="FH208" s="4"/>
      <x:c r="FI208" s="4"/>
      <x:c r="FJ208" s="4"/>
      <x:c r="FK208" s="4"/>
      <x:c r="FL208" s="4"/>
      <x:c r="FM208" s="4"/>
      <x:c r="FN208" s="4"/>
      <x:c r="FO208" s="4"/>
    </x:row>
    <x:row r="209">
      <x:c r="A209" s="72"/>
      <x:c r="B209" s="72"/>
      <x:c r="C209" s="72"/>
      <x:c r="D209" s="72"/>
      <x:c r="E209" s="72"/>
      <x:c r="F209" s="72"/>
      <x:c r="G209" s="72"/>
      <x:c r="H209" s="72"/>
      <x:c r="I209" s="72"/>
      <x:c r="J209" s="72"/>
      <x:c r="K209" s="72"/>
      <x:c r="L209" s="72"/>
      <x:c r="M209" s="72"/>
      <x:c r="N209" s="72"/>
      <x:c r="O209" s="72"/>
      <x:c r="P209" s="72"/>
      <x:c r="Q209" s="72"/>
      <x:c r="R209" s="72"/>
      <x:c r="S209" s="72"/>
      <x:c r="T209" s="72"/>
      <x:c r="U209" s="72"/>
      <x:c r="V209" s="72"/>
      <x:c r="W209" s="72"/>
      <x:c r="X209" s="72"/>
      <x:c r="Y209" s="72"/>
      <x:c r="Z209" s="72"/>
      <x:c r="AA209" s="72"/>
      <x:c r="AB209" s="72"/>
      <x:c r="AC209" s="72"/>
      <x:c r="AD209" s="72"/>
      <x:c r="AE209" s="72"/>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4"/>
      <x:c r="DQ209" s="4"/>
      <x:c r="DR209" s="4"/>
      <x:c r="DS209" s="4"/>
      <x:c r="DT209" s="4"/>
      <x:c r="DU209" s="4"/>
      <x:c r="DV209" s="4"/>
      <x:c r="DW209" s="4"/>
      <x:c r="DX209" s="4"/>
      <x:c r="DY209" s="4"/>
      <x:c r="DZ209" s="4"/>
      <x:c r="EA209" s="4"/>
      <x:c r="EB209" s="4"/>
      <x:c r="EC209" s="4"/>
      <x:c r="ED209" s="4"/>
      <x:c r="EE209" s="4"/>
      <x:c r="EF209" s="4"/>
      <x:c r="EG209" s="4"/>
      <x:c r="EH209" s="4"/>
      <x:c r="EI209" s="4"/>
      <x:c r="EJ209" s="4"/>
      <x:c r="EK209" s="4"/>
      <x:c r="EL209" s="4"/>
      <x:c r="EM209" s="4"/>
      <x:c r="EN209" s="4"/>
      <x:c r="EO209" s="4"/>
      <x:c r="EP209" s="4"/>
      <x:c r="EQ209" s="4"/>
      <x:c r="ER209" s="4"/>
      <x:c r="ES209" s="4"/>
      <x:c r="ET209" s="4"/>
      <x:c r="EU209" s="4"/>
      <x:c r="EV209" s="4"/>
      <x:c r="EW209" s="4"/>
      <x:c r="EX209" s="4"/>
      <x:c r="EY209" s="4"/>
      <x:c r="EZ209" s="4"/>
      <x:c r="FA209" s="4"/>
      <x:c r="FB209" s="4"/>
      <x:c r="FC209" s="4"/>
      <x:c r="FD209" s="4"/>
      <x:c r="FE209" s="4"/>
      <x:c r="FF209" s="4"/>
      <x:c r="FG209" s="4"/>
      <x:c r="FH209" s="4"/>
      <x:c r="FI209" s="4"/>
      <x:c r="FJ209" s="4"/>
      <x:c r="FK209" s="4"/>
      <x:c r="FL209" s="4"/>
      <x:c r="FM209" s="4"/>
      <x:c r="FN209" s="4"/>
      <x:c r="FO209" s="4"/>
    </x:row>
    <x:row r="210">
      <x:c r="A210" s="72"/>
      <x:c r="B210" s="72"/>
      <x:c r="C210" s="72"/>
      <x:c r="D210" s="72"/>
      <x:c r="E210" s="72"/>
      <x:c r="F210" s="72"/>
      <x:c r="G210" s="72"/>
      <x:c r="H210" s="72"/>
      <x:c r="I210" s="72"/>
      <x:c r="J210" s="72"/>
      <x:c r="K210" s="72"/>
      <x:c r="L210" s="72"/>
      <x:c r="M210" s="72"/>
      <x:c r="N210" s="72"/>
      <x:c r="O210" s="72"/>
      <x:c r="P210" s="72"/>
      <x:c r="Q210" s="72"/>
      <x:c r="R210" s="72"/>
      <x:c r="S210" s="72"/>
      <x:c r="T210" s="72"/>
      <x:c r="U210" s="72"/>
      <x:c r="V210" s="72"/>
      <x:c r="W210" s="72"/>
      <x:c r="X210" s="72"/>
      <x:c r="Y210" s="72"/>
      <x:c r="Z210" s="72"/>
      <x:c r="AA210" s="72"/>
      <x:c r="AB210" s="72"/>
      <x:c r="AC210" s="72"/>
      <x:c r="AD210" s="72"/>
      <x:c r="AE210" s="72"/>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4"/>
      <x:c r="DQ210" s="4"/>
      <x:c r="DR210" s="4"/>
      <x:c r="DS210" s="4"/>
      <x:c r="DT210" s="4"/>
      <x:c r="DU210" s="4"/>
      <x:c r="DV210" s="4"/>
      <x:c r="DW210" s="4"/>
      <x:c r="DX210" s="4"/>
      <x:c r="DY210" s="4"/>
      <x:c r="DZ210" s="4"/>
      <x:c r="EA210" s="4"/>
      <x:c r="EB210" s="4"/>
      <x:c r="EC210" s="4"/>
      <x:c r="ED210" s="4"/>
      <x:c r="EE210" s="4"/>
      <x:c r="EF210" s="4"/>
      <x:c r="EG210" s="4"/>
      <x:c r="EH210" s="4"/>
      <x:c r="EI210" s="4"/>
      <x:c r="EJ210" s="4"/>
      <x:c r="EK210" s="4"/>
      <x:c r="EL210" s="4"/>
      <x:c r="EM210" s="4"/>
      <x:c r="EN210" s="4"/>
      <x:c r="EO210" s="4"/>
      <x:c r="EP210" s="4"/>
      <x:c r="EQ210" s="4"/>
      <x:c r="ER210" s="4"/>
      <x:c r="ES210" s="4"/>
      <x:c r="ET210" s="4"/>
      <x:c r="EU210" s="4"/>
      <x:c r="EV210" s="4"/>
      <x:c r="EW210" s="4"/>
      <x:c r="EX210" s="4"/>
      <x:c r="EY210" s="4"/>
      <x:c r="EZ210" s="4"/>
      <x:c r="FA210" s="4"/>
      <x:c r="FB210" s="4"/>
      <x:c r="FC210" s="4"/>
      <x:c r="FD210" s="4"/>
      <x:c r="FE210" s="4"/>
      <x:c r="FF210" s="4"/>
      <x:c r="FG210" s="4"/>
      <x:c r="FH210" s="4"/>
      <x:c r="FI210" s="4"/>
      <x:c r="FJ210" s="4"/>
      <x:c r="FK210" s="4"/>
      <x:c r="FL210" s="4"/>
      <x:c r="FM210" s="4"/>
      <x:c r="FN210" s="4"/>
      <x:c r="FO210" s="4"/>
    </x:row>
    <x:row r="211">
      <x:c r="A211" s="72"/>
      <x:c r="B211" s="72"/>
      <x:c r="C211" s="72"/>
      <x:c r="D211" s="72"/>
      <x:c r="E211" s="72"/>
      <x:c r="F211" s="72"/>
      <x:c r="G211" s="72"/>
      <x:c r="H211" s="72"/>
      <x:c r="I211" s="72"/>
      <x:c r="J211" s="72"/>
      <x:c r="K211" s="72"/>
      <x:c r="L211" s="72"/>
      <x:c r="M211" s="72"/>
      <x:c r="N211" s="72"/>
      <x:c r="O211" s="72"/>
      <x:c r="P211" s="72"/>
      <x:c r="Q211" s="72"/>
      <x:c r="R211" s="72"/>
      <x:c r="S211" s="72"/>
      <x:c r="T211" s="72"/>
      <x:c r="U211" s="72"/>
      <x:c r="V211" s="72"/>
      <x:c r="W211" s="72"/>
      <x:c r="X211" s="72"/>
      <x:c r="Y211" s="72"/>
      <x:c r="Z211" s="72"/>
      <x:c r="AA211" s="72"/>
      <x:c r="AB211" s="72"/>
      <x:c r="AC211" s="72"/>
      <x:c r="AD211" s="72"/>
      <x:c r="AE211" s="72"/>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4"/>
      <x:c r="DQ211" s="4"/>
      <x:c r="DR211" s="4"/>
      <x:c r="DS211" s="4"/>
      <x:c r="DT211" s="4"/>
      <x:c r="DU211" s="4"/>
      <x:c r="DV211" s="4"/>
      <x:c r="DW211" s="4"/>
      <x:c r="DX211" s="4"/>
      <x:c r="DY211" s="4"/>
      <x:c r="DZ211" s="4"/>
      <x:c r="EA211" s="4"/>
      <x:c r="EB211" s="4"/>
      <x:c r="EC211" s="4"/>
      <x:c r="ED211" s="4"/>
      <x:c r="EE211" s="4"/>
      <x:c r="EF211" s="4"/>
      <x:c r="EG211" s="4"/>
      <x:c r="EH211" s="4"/>
      <x:c r="EI211" s="4"/>
      <x:c r="EJ211" s="4"/>
      <x:c r="EK211" s="4"/>
      <x:c r="EL211" s="4"/>
      <x:c r="EM211" s="4"/>
      <x:c r="EN211" s="4"/>
      <x:c r="EO211" s="4"/>
      <x:c r="EP211" s="4"/>
      <x:c r="EQ211" s="4"/>
      <x:c r="ER211" s="4"/>
      <x:c r="ES211" s="4"/>
      <x:c r="ET211" s="4"/>
      <x:c r="EU211" s="4"/>
      <x:c r="EV211" s="4"/>
      <x:c r="EW211" s="4"/>
      <x:c r="EX211" s="4"/>
      <x:c r="EY211" s="4"/>
      <x:c r="EZ211" s="4"/>
      <x:c r="FA211" s="4"/>
      <x:c r="FB211" s="4"/>
      <x:c r="FC211" s="4"/>
      <x:c r="FD211" s="4"/>
      <x:c r="FE211" s="4"/>
      <x:c r="FF211" s="4"/>
      <x:c r="FG211" s="4"/>
      <x:c r="FH211" s="4"/>
      <x:c r="FI211" s="4"/>
      <x:c r="FJ211" s="4"/>
      <x:c r="FK211" s="4"/>
      <x:c r="FL211" s="4"/>
      <x:c r="FM211" s="4"/>
      <x:c r="FN211" s="4"/>
      <x:c r="FO211" s="4"/>
    </x:row>
    <x:row r="212">
      <x:c r="A212" s="72"/>
      <x:c r="B212" s="72"/>
      <x:c r="C212" s="72"/>
      <x:c r="D212" s="72"/>
      <x:c r="E212" s="72"/>
      <x:c r="F212" s="72"/>
      <x:c r="G212" s="72"/>
      <x:c r="H212" s="72"/>
      <x:c r="I212" s="72"/>
      <x:c r="J212" s="72"/>
      <x:c r="K212" s="72"/>
      <x:c r="L212" s="72"/>
      <x:c r="M212" s="72"/>
      <x:c r="N212" s="72"/>
      <x:c r="O212" s="72"/>
      <x:c r="P212" s="72"/>
      <x:c r="Q212" s="72"/>
      <x:c r="R212" s="72"/>
      <x:c r="S212" s="72"/>
      <x:c r="T212" s="72"/>
      <x:c r="U212" s="72"/>
      <x:c r="V212" s="72"/>
      <x:c r="W212" s="72"/>
      <x:c r="X212" s="72"/>
      <x:c r="Y212" s="72"/>
      <x:c r="Z212" s="72"/>
      <x:c r="AA212" s="72"/>
      <x:c r="AB212" s="72"/>
      <x:c r="AC212" s="72"/>
      <x:c r="AD212" s="72"/>
      <x:c r="AE212" s="72"/>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4"/>
      <x:c r="DQ212" s="4"/>
      <x:c r="DR212" s="4"/>
      <x:c r="DS212" s="4"/>
      <x:c r="DT212" s="4"/>
      <x:c r="DU212" s="4"/>
      <x:c r="DV212" s="4"/>
      <x:c r="DW212" s="4"/>
      <x:c r="DX212" s="4"/>
      <x:c r="DY212" s="4"/>
      <x:c r="DZ212" s="4"/>
      <x:c r="EA212" s="4"/>
      <x:c r="EB212" s="4"/>
      <x:c r="EC212" s="4"/>
      <x:c r="ED212" s="4"/>
      <x:c r="EE212" s="4"/>
      <x:c r="EF212" s="4"/>
      <x:c r="EG212" s="4"/>
      <x:c r="EH212" s="4"/>
      <x:c r="EI212" s="4"/>
      <x:c r="EJ212" s="4"/>
      <x:c r="EK212" s="4"/>
      <x:c r="EL212" s="4"/>
      <x:c r="EM212" s="4"/>
      <x:c r="EN212" s="4"/>
      <x:c r="EO212" s="4"/>
      <x:c r="EP212" s="4"/>
      <x:c r="EQ212" s="4"/>
      <x:c r="ER212" s="4"/>
      <x:c r="ES212" s="4"/>
      <x:c r="ET212" s="4"/>
      <x:c r="EU212" s="4"/>
      <x:c r="EV212" s="4"/>
      <x:c r="EW212" s="4"/>
      <x:c r="EX212" s="4"/>
      <x:c r="EY212" s="4"/>
      <x:c r="EZ212" s="4"/>
      <x:c r="FA212" s="4"/>
      <x:c r="FB212" s="4"/>
      <x:c r="FC212" s="4"/>
      <x:c r="FD212" s="4"/>
      <x:c r="FE212" s="4"/>
      <x:c r="FF212" s="4"/>
      <x:c r="FG212" s="4"/>
      <x:c r="FH212" s="4"/>
      <x:c r="FI212" s="4"/>
      <x:c r="FJ212" s="4"/>
      <x:c r="FK212" s="4"/>
      <x:c r="FL212" s="4"/>
      <x:c r="FM212" s="4"/>
      <x:c r="FN212" s="4"/>
      <x:c r="FO212" s="4"/>
    </x:row>
    <x:row r="213">
      <x:c r="A213" s="72"/>
      <x:c r="B213" s="72"/>
      <x:c r="C213" s="72"/>
      <x:c r="D213" s="72"/>
      <x:c r="E213" s="72"/>
      <x:c r="F213" s="72"/>
      <x:c r="G213" s="72"/>
      <x:c r="H213" s="72"/>
      <x:c r="I213" s="72"/>
      <x:c r="J213" s="72"/>
      <x:c r="K213" s="72"/>
      <x:c r="L213" s="72"/>
      <x:c r="M213" s="72"/>
      <x:c r="N213" s="72"/>
      <x:c r="O213" s="72"/>
      <x:c r="P213" s="72"/>
      <x:c r="Q213" s="72"/>
      <x:c r="R213" s="72"/>
      <x:c r="S213" s="72"/>
      <x:c r="T213" s="72"/>
      <x:c r="U213" s="72"/>
      <x:c r="V213" s="72"/>
      <x:c r="W213" s="72"/>
      <x:c r="X213" s="72"/>
      <x:c r="Y213" s="72"/>
      <x:c r="Z213" s="72"/>
      <x:c r="AA213" s="72"/>
      <x:c r="AB213" s="72"/>
      <x:c r="AC213" s="72"/>
      <x:c r="AD213" s="72"/>
      <x:c r="AE213" s="72"/>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4"/>
      <x:c r="DQ213" s="4"/>
      <x:c r="DR213" s="4"/>
      <x:c r="DS213" s="4"/>
      <x:c r="DT213" s="4"/>
      <x:c r="DU213" s="4"/>
      <x:c r="DV213" s="4"/>
      <x:c r="DW213" s="4"/>
      <x:c r="DX213" s="4"/>
      <x:c r="DY213" s="4"/>
      <x:c r="DZ213" s="4"/>
      <x:c r="EA213" s="4"/>
      <x:c r="EB213" s="4"/>
      <x:c r="EC213" s="4"/>
      <x:c r="ED213" s="4"/>
      <x:c r="EE213" s="4"/>
      <x:c r="EF213" s="4"/>
      <x:c r="EG213" s="4"/>
      <x:c r="EH213" s="4"/>
      <x:c r="EI213" s="4"/>
      <x:c r="EJ213" s="4"/>
      <x:c r="EK213" s="4"/>
      <x:c r="EL213" s="4"/>
      <x:c r="EM213" s="4"/>
      <x:c r="EN213" s="4"/>
      <x:c r="EO213" s="4"/>
      <x:c r="EP213" s="4"/>
      <x:c r="EQ213" s="4"/>
      <x:c r="ER213" s="4"/>
      <x:c r="ES213" s="4"/>
      <x:c r="ET213" s="4"/>
      <x:c r="EU213" s="4"/>
      <x:c r="EV213" s="4"/>
      <x:c r="EW213" s="4"/>
      <x:c r="EX213" s="4"/>
      <x:c r="EY213" s="4"/>
      <x:c r="EZ213" s="4"/>
      <x:c r="FA213" s="4"/>
      <x:c r="FB213" s="4"/>
      <x:c r="FC213" s="4"/>
      <x:c r="FD213" s="4"/>
      <x:c r="FE213" s="4"/>
      <x:c r="FF213" s="4"/>
      <x:c r="FG213" s="4"/>
      <x:c r="FH213" s="4"/>
      <x:c r="FI213" s="4"/>
      <x:c r="FJ213" s="4"/>
      <x:c r="FK213" s="4"/>
      <x:c r="FL213" s="4"/>
      <x:c r="FM213" s="4"/>
      <x:c r="FN213" s="4"/>
      <x:c r="FO213" s="4"/>
    </x:row>
    <x:row r="214">
      <x:c r="A214" s="72"/>
      <x:c r="B214" s="72"/>
      <x:c r="C214" s="72"/>
      <x:c r="D214" s="72"/>
      <x:c r="E214" s="72"/>
      <x:c r="F214" s="72"/>
      <x:c r="G214" s="72"/>
      <x:c r="H214" s="72"/>
      <x:c r="I214" s="72"/>
      <x:c r="J214" s="72"/>
      <x:c r="K214" s="72"/>
      <x:c r="L214" s="72"/>
      <x:c r="M214" s="72"/>
      <x:c r="N214" s="72"/>
      <x:c r="O214" s="72"/>
      <x:c r="P214" s="72"/>
      <x:c r="Q214" s="72"/>
      <x:c r="R214" s="72"/>
      <x:c r="S214" s="72"/>
      <x:c r="T214" s="72"/>
      <x:c r="U214" s="72"/>
      <x:c r="V214" s="72"/>
      <x:c r="W214" s="72"/>
      <x:c r="X214" s="72"/>
      <x:c r="Y214" s="72"/>
      <x:c r="Z214" s="72"/>
      <x:c r="AA214" s="72"/>
      <x:c r="AB214" s="72"/>
      <x:c r="AC214" s="72"/>
      <x:c r="AD214" s="72"/>
      <x:c r="AE214" s="72"/>
      <x:c r="AF214" s="4"/>
      <x:c r="AG214" s="4"/>
      <x:c r="AH214" s="4"/>
      <x:c r="AI214" s="4"/>
      <x:c r="AJ214" s="4"/>
      <x:c r="AK214" s="4"/>
      <x:c r="AL214" s="4"/>
      <x:c r="AM214" s="4"/>
      <x:c r="AN214" s="4"/>
      <x:c r="AO214" s="4"/>
      <x:c r="AP214" s="4"/>
      <x:c r="AQ214" s="4"/>
      <x:c r="AR214" s="4"/>
      <x:c r="AS214" s="4"/>
      <x:c r="AT214" s="4"/>
      <x:c r="AU214" s="4"/>
      <x:c r="AV214" s="4"/>
      <x:c r="AW214" s="4"/>
      <x:c r="AX214" s="4"/>
      <x:c r="AY214" s="4"/>
      <x:c r="AZ214" s="4"/>
      <x:c r="BA214" s="4"/>
      <x:c r="BB214" s="4"/>
      <x:c r="BC214" s="4"/>
      <x:c r="BD214" s="4"/>
      <x:c r="BE214" s="4"/>
      <x:c r="BF214" s="4"/>
      <x:c r="BG214" s="4"/>
      <x:c r="BH214" s="4"/>
      <x:c r="BI214" s="4"/>
      <x:c r="BJ214" s="4"/>
      <x:c r="BK214" s="4"/>
      <x:c r="BL214" s="4"/>
      <x:c r="BM214" s="4"/>
      <x:c r="BN214" s="4"/>
      <x:c r="BO214" s="4"/>
      <x:c r="BP214" s="4"/>
      <x:c r="BQ214" s="4"/>
      <x:c r="BR214" s="4"/>
      <x:c r="BS214" s="4"/>
      <x:c r="BT214" s="4"/>
      <x:c r="BU214" s="4"/>
      <x:c r="BV214" s="4"/>
      <x:c r="BW214" s="4"/>
      <x:c r="BX214" s="4"/>
      <x:c r="BY214" s="4"/>
      <x:c r="BZ214" s="4"/>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x:c r="DB214" s="4"/>
      <x:c r="DC214" s="4"/>
      <x:c r="DD214" s="4"/>
      <x:c r="DE214" s="4"/>
      <x:c r="DF214" s="4"/>
      <x:c r="DG214" s="4"/>
      <x:c r="DH214" s="4"/>
      <x:c r="DI214" s="4"/>
      <x:c r="DJ214" s="4"/>
      <x:c r="DK214" s="4"/>
      <x:c r="DL214" s="4"/>
      <x:c r="DM214" s="4"/>
      <x:c r="DN214" s="4"/>
      <x:c r="DO214" s="4"/>
      <x:c r="DP214" s="4"/>
      <x:c r="DQ214" s="4"/>
      <x:c r="DR214" s="4"/>
      <x:c r="DS214" s="4"/>
      <x:c r="DT214" s="4"/>
      <x:c r="DU214" s="4"/>
      <x:c r="DV214" s="4"/>
      <x:c r="DW214" s="4"/>
      <x:c r="DX214" s="4"/>
      <x:c r="DY214" s="4"/>
      <x:c r="DZ214" s="4"/>
      <x:c r="EA214" s="4"/>
      <x:c r="EB214" s="4"/>
      <x:c r="EC214" s="4"/>
      <x:c r="ED214" s="4"/>
      <x:c r="EE214" s="4"/>
      <x:c r="EF214" s="4"/>
      <x:c r="EG214" s="4"/>
      <x:c r="EH214" s="4"/>
      <x:c r="EI214" s="4"/>
      <x:c r="EJ214" s="4"/>
      <x:c r="EK214" s="4"/>
      <x:c r="EL214" s="4"/>
      <x:c r="EM214" s="4"/>
      <x:c r="EN214" s="4"/>
      <x:c r="EO214" s="4"/>
      <x:c r="EP214" s="4"/>
      <x:c r="EQ214" s="4"/>
      <x:c r="ER214" s="4"/>
      <x:c r="ES214" s="4"/>
      <x:c r="ET214" s="4"/>
      <x:c r="EU214" s="4"/>
      <x:c r="EV214" s="4"/>
      <x:c r="EW214" s="4"/>
      <x:c r="EX214" s="4"/>
      <x:c r="EY214" s="4"/>
      <x:c r="EZ214" s="4"/>
      <x:c r="FA214" s="4"/>
      <x:c r="FB214" s="4"/>
      <x:c r="FC214" s="4"/>
      <x:c r="FD214" s="4"/>
      <x:c r="FE214" s="4"/>
      <x:c r="FF214" s="4"/>
      <x:c r="FG214" s="4"/>
      <x:c r="FH214" s="4"/>
      <x:c r="FI214" s="4"/>
      <x:c r="FJ214" s="4"/>
      <x:c r="FK214" s="4"/>
      <x:c r="FL214" s="4"/>
      <x:c r="FM214" s="4"/>
      <x:c r="FN214" s="4"/>
      <x:c r="FO214" s="4"/>
    </x:row>
    <x:row r="215">
      <x:c r="A215" s="72"/>
      <x:c r="B215" s="72"/>
      <x:c r="C215" s="72"/>
      <x:c r="D215" s="72"/>
      <x:c r="E215" s="72"/>
      <x:c r="F215" s="72"/>
      <x:c r="G215" s="72"/>
      <x:c r="H215" s="72"/>
      <x:c r="I215" s="72"/>
      <x:c r="J215" s="72"/>
      <x:c r="K215" s="72"/>
      <x:c r="L215" s="72"/>
      <x:c r="M215" s="72"/>
      <x:c r="N215" s="72"/>
      <x:c r="O215" s="72"/>
      <x:c r="P215" s="72"/>
      <x:c r="Q215" s="72"/>
      <x:c r="R215" s="72"/>
      <x:c r="S215" s="72"/>
      <x:c r="T215" s="72"/>
      <x:c r="U215" s="72"/>
      <x:c r="V215" s="72"/>
      <x:c r="W215" s="72"/>
      <x:c r="X215" s="72"/>
      <x:c r="Y215" s="72"/>
      <x:c r="Z215" s="72"/>
      <x:c r="AA215" s="72"/>
      <x:c r="AB215" s="72"/>
      <x:c r="AC215" s="72"/>
      <x:c r="AD215" s="72"/>
      <x:c r="AE215" s="72"/>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4"/>
      <x:c r="DQ215" s="4"/>
      <x:c r="DR215" s="4"/>
      <x:c r="DS215" s="4"/>
      <x:c r="DT215" s="4"/>
      <x:c r="DU215" s="4"/>
      <x:c r="DV215" s="4"/>
      <x:c r="DW215" s="4"/>
      <x:c r="DX215" s="4"/>
      <x:c r="DY215" s="4"/>
      <x:c r="DZ215" s="4"/>
      <x:c r="EA215" s="4"/>
      <x:c r="EB215" s="4"/>
      <x:c r="EC215" s="4"/>
      <x:c r="ED215" s="4"/>
      <x:c r="EE215" s="4"/>
      <x:c r="EF215" s="4"/>
      <x:c r="EG215" s="4"/>
      <x:c r="EH215" s="4"/>
      <x:c r="EI215" s="4"/>
      <x:c r="EJ215" s="4"/>
      <x:c r="EK215" s="4"/>
      <x:c r="EL215" s="4"/>
      <x:c r="EM215" s="4"/>
      <x:c r="EN215" s="4"/>
      <x:c r="EO215" s="4"/>
      <x:c r="EP215" s="4"/>
      <x:c r="EQ215" s="4"/>
      <x:c r="ER215" s="4"/>
      <x:c r="ES215" s="4"/>
      <x:c r="ET215" s="4"/>
      <x:c r="EU215" s="4"/>
      <x:c r="EV215" s="4"/>
      <x:c r="EW215" s="4"/>
      <x:c r="EX215" s="4"/>
      <x:c r="EY215" s="4"/>
      <x:c r="EZ215" s="4"/>
      <x:c r="FA215" s="4"/>
      <x:c r="FB215" s="4"/>
      <x:c r="FC215" s="4"/>
      <x:c r="FD215" s="4"/>
      <x:c r="FE215" s="4"/>
      <x:c r="FF215" s="4"/>
      <x:c r="FG215" s="4"/>
      <x:c r="FH215" s="4"/>
      <x:c r="FI215" s="4"/>
      <x:c r="FJ215" s="4"/>
      <x:c r="FK215" s="4"/>
      <x:c r="FL215" s="4"/>
      <x:c r="FM215" s="4"/>
      <x:c r="FN215" s="4"/>
      <x:c r="FO215" s="4"/>
    </x:row>
    <x:row r="216">
      <x:c r="A216" s="72"/>
      <x:c r="B216" s="72"/>
      <x:c r="C216" s="72"/>
      <x:c r="D216" s="72"/>
      <x:c r="E216" s="72"/>
      <x:c r="F216" s="72"/>
      <x:c r="G216" s="72"/>
      <x:c r="H216" s="72"/>
      <x:c r="I216" s="72"/>
      <x:c r="J216" s="72"/>
      <x:c r="K216" s="72"/>
      <x:c r="L216" s="72"/>
      <x:c r="M216" s="72"/>
      <x:c r="N216" s="72"/>
      <x:c r="O216" s="72"/>
      <x:c r="P216" s="72"/>
      <x:c r="Q216" s="72"/>
      <x:c r="R216" s="72"/>
      <x:c r="S216" s="72"/>
      <x:c r="T216" s="72"/>
      <x:c r="U216" s="72"/>
      <x:c r="V216" s="72"/>
      <x:c r="W216" s="72"/>
      <x:c r="X216" s="72"/>
      <x:c r="Y216" s="72"/>
      <x:c r="Z216" s="72"/>
      <x:c r="AA216" s="72"/>
      <x:c r="AB216" s="72"/>
      <x:c r="AC216" s="72"/>
      <x:c r="AD216" s="72"/>
      <x:c r="AE216" s="72"/>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4"/>
      <x:c r="DQ216" s="4"/>
      <x:c r="DR216" s="4"/>
      <x:c r="DS216" s="4"/>
      <x:c r="DT216" s="4"/>
      <x:c r="DU216" s="4"/>
      <x:c r="DV216" s="4"/>
      <x:c r="DW216" s="4"/>
      <x:c r="DX216" s="4"/>
      <x:c r="DY216" s="4"/>
      <x:c r="DZ216" s="4"/>
      <x:c r="EA216" s="4"/>
      <x:c r="EB216" s="4"/>
      <x:c r="EC216" s="4"/>
      <x:c r="ED216" s="4"/>
      <x:c r="EE216" s="4"/>
      <x:c r="EF216" s="4"/>
      <x:c r="EG216" s="4"/>
      <x:c r="EH216" s="4"/>
      <x:c r="EI216" s="4"/>
      <x:c r="EJ216" s="4"/>
      <x:c r="EK216" s="4"/>
      <x:c r="EL216" s="4"/>
      <x:c r="EM216" s="4"/>
      <x:c r="EN216" s="4"/>
      <x:c r="EO216" s="4"/>
      <x:c r="EP216" s="4"/>
      <x:c r="EQ216" s="4"/>
      <x:c r="ER216" s="4"/>
      <x:c r="ES216" s="4"/>
      <x:c r="ET216" s="4"/>
      <x:c r="EU216" s="4"/>
      <x:c r="EV216" s="4"/>
      <x:c r="EW216" s="4"/>
      <x:c r="EX216" s="4"/>
      <x:c r="EY216" s="4"/>
      <x:c r="EZ216" s="4"/>
      <x:c r="FA216" s="4"/>
      <x:c r="FB216" s="4"/>
      <x:c r="FC216" s="4"/>
      <x:c r="FD216" s="4"/>
      <x:c r="FE216" s="4"/>
      <x:c r="FF216" s="4"/>
      <x:c r="FG216" s="4"/>
      <x:c r="FH216" s="4"/>
      <x:c r="FI216" s="4"/>
      <x:c r="FJ216" s="4"/>
      <x:c r="FK216" s="4"/>
      <x:c r="FL216" s="4"/>
      <x:c r="FM216" s="4"/>
      <x:c r="FN216" s="4"/>
      <x:c r="FO216" s="4"/>
    </x:row>
    <x:row r="217">
      <x:c r="A217" s="72"/>
      <x:c r="B217" s="72"/>
      <x:c r="C217" s="72"/>
      <x:c r="D217" s="72"/>
      <x:c r="E217" s="72"/>
      <x:c r="F217" s="72"/>
      <x:c r="G217" s="72"/>
      <x:c r="H217" s="72"/>
      <x:c r="I217" s="72"/>
      <x:c r="J217" s="72"/>
      <x:c r="K217" s="72"/>
      <x:c r="L217" s="72"/>
      <x:c r="M217" s="72"/>
      <x:c r="N217" s="72"/>
      <x:c r="O217" s="72"/>
      <x:c r="P217" s="72"/>
      <x:c r="Q217" s="72"/>
      <x:c r="R217" s="72"/>
      <x:c r="S217" s="72"/>
      <x:c r="T217" s="72"/>
      <x:c r="U217" s="72"/>
      <x:c r="V217" s="72"/>
      <x:c r="W217" s="72"/>
      <x:c r="X217" s="72"/>
      <x:c r="Y217" s="72"/>
      <x:c r="Z217" s="72"/>
      <x:c r="AA217" s="72"/>
      <x:c r="AB217" s="72"/>
      <x:c r="AC217" s="72"/>
      <x:c r="AD217" s="72"/>
      <x:c r="AE217" s="72"/>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4"/>
      <x:c r="DQ217" s="4"/>
      <x:c r="DR217" s="4"/>
      <x:c r="DS217" s="4"/>
      <x:c r="DT217" s="4"/>
      <x:c r="DU217" s="4"/>
      <x:c r="DV217" s="4"/>
      <x:c r="DW217" s="4"/>
      <x:c r="DX217" s="4"/>
      <x:c r="DY217" s="4"/>
      <x:c r="DZ217" s="4"/>
      <x:c r="EA217" s="4"/>
      <x:c r="EB217" s="4"/>
      <x:c r="EC217" s="4"/>
      <x:c r="ED217" s="4"/>
      <x:c r="EE217" s="4"/>
      <x:c r="EF217" s="4"/>
      <x:c r="EG217" s="4"/>
      <x:c r="EH217" s="4"/>
      <x:c r="EI217" s="4"/>
      <x:c r="EJ217" s="4"/>
      <x:c r="EK217" s="4"/>
      <x:c r="EL217" s="4"/>
      <x:c r="EM217" s="4"/>
      <x:c r="EN217" s="4"/>
      <x:c r="EO217" s="4"/>
      <x:c r="EP217" s="4"/>
      <x:c r="EQ217" s="4"/>
      <x:c r="ER217" s="4"/>
      <x:c r="ES217" s="4"/>
      <x:c r="ET217" s="4"/>
      <x:c r="EU217" s="4"/>
      <x:c r="EV217" s="4"/>
      <x:c r="EW217" s="4"/>
      <x:c r="EX217" s="4"/>
      <x:c r="EY217" s="4"/>
      <x:c r="EZ217" s="4"/>
      <x:c r="FA217" s="4"/>
      <x:c r="FB217" s="4"/>
      <x:c r="FC217" s="4"/>
      <x:c r="FD217" s="4"/>
      <x:c r="FE217" s="4"/>
      <x:c r="FF217" s="4"/>
      <x:c r="FG217" s="4"/>
      <x:c r="FH217" s="4"/>
      <x:c r="FI217" s="4"/>
      <x:c r="FJ217" s="4"/>
      <x:c r="FK217" s="4"/>
      <x:c r="FL217" s="4"/>
      <x:c r="FM217" s="4"/>
      <x:c r="FN217" s="4"/>
      <x:c r="FO217" s="4"/>
    </x:row>
    <x:row r="218">
      <x:c r="A218" s="72"/>
      <x:c r="B218" s="72"/>
      <x:c r="C218" s="72"/>
      <x:c r="D218" s="72"/>
      <x:c r="E218" s="72"/>
      <x:c r="F218" s="72"/>
      <x:c r="G218" s="72"/>
      <x:c r="H218" s="72"/>
      <x:c r="I218" s="72"/>
      <x:c r="J218" s="72"/>
      <x:c r="K218" s="72"/>
      <x:c r="L218" s="72"/>
      <x:c r="M218" s="72"/>
      <x:c r="N218" s="72"/>
      <x:c r="O218" s="72"/>
      <x:c r="P218" s="72"/>
      <x:c r="Q218" s="72"/>
      <x:c r="R218" s="72"/>
      <x:c r="S218" s="72"/>
      <x:c r="T218" s="72"/>
      <x:c r="U218" s="72"/>
      <x:c r="V218" s="72"/>
      <x:c r="W218" s="72"/>
      <x:c r="X218" s="72"/>
      <x:c r="Y218" s="72"/>
      <x:c r="Z218" s="72"/>
      <x:c r="AA218" s="72"/>
      <x:c r="AB218" s="72"/>
      <x:c r="AC218" s="72"/>
      <x:c r="AD218" s="72"/>
      <x:c r="AE218" s="72"/>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4"/>
      <x:c r="DQ218" s="4"/>
      <x:c r="DR218" s="4"/>
      <x:c r="DS218" s="4"/>
      <x:c r="DT218" s="4"/>
      <x:c r="DU218" s="4"/>
      <x:c r="DV218" s="4"/>
      <x:c r="DW218" s="4"/>
      <x:c r="DX218" s="4"/>
      <x:c r="DY218" s="4"/>
      <x:c r="DZ218" s="4"/>
      <x:c r="EA218" s="4"/>
      <x:c r="EB218" s="4"/>
      <x:c r="EC218" s="4"/>
      <x:c r="ED218" s="4"/>
      <x:c r="EE218" s="4"/>
      <x:c r="EF218" s="4"/>
      <x:c r="EG218" s="4"/>
      <x:c r="EH218" s="4"/>
      <x:c r="EI218" s="4"/>
      <x:c r="EJ218" s="4"/>
      <x:c r="EK218" s="4"/>
      <x:c r="EL218" s="4"/>
      <x:c r="EM218" s="4"/>
      <x:c r="EN218" s="4"/>
      <x:c r="EO218" s="4"/>
      <x:c r="EP218" s="4"/>
      <x:c r="EQ218" s="4"/>
      <x:c r="ER218" s="4"/>
      <x:c r="ES218" s="4"/>
      <x:c r="ET218" s="4"/>
      <x:c r="EU218" s="4"/>
      <x:c r="EV218" s="4"/>
      <x:c r="EW218" s="4"/>
      <x:c r="EX218" s="4"/>
      <x:c r="EY218" s="4"/>
      <x:c r="EZ218" s="4"/>
      <x:c r="FA218" s="4"/>
      <x:c r="FB218" s="4"/>
      <x:c r="FC218" s="4"/>
      <x:c r="FD218" s="4"/>
      <x:c r="FE218" s="4"/>
      <x:c r="FF218" s="4"/>
      <x:c r="FG218" s="4"/>
      <x:c r="FH218" s="4"/>
      <x:c r="FI218" s="4"/>
      <x:c r="FJ218" s="4"/>
      <x:c r="FK218" s="4"/>
      <x:c r="FL218" s="4"/>
      <x:c r="FM218" s="4"/>
      <x:c r="FN218" s="4"/>
      <x:c r="FO218" s="4"/>
    </x:row>
    <x:row r="219">
      <x:c r="A219" s="72"/>
      <x:c r="B219" s="72"/>
      <x:c r="C219" s="72"/>
      <x:c r="D219" s="72"/>
      <x:c r="E219" s="72"/>
      <x:c r="F219" s="72"/>
      <x:c r="G219" s="72"/>
      <x:c r="H219" s="72"/>
      <x:c r="I219" s="72"/>
      <x:c r="J219" s="72"/>
      <x:c r="K219" s="72"/>
      <x:c r="L219" s="72"/>
      <x:c r="M219" s="72"/>
      <x:c r="N219" s="72"/>
      <x:c r="O219" s="72"/>
      <x:c r="P219" s="72"/>
      <x:c r="Q219" s="72"/>
      <x:c r="R219" s="72"/>
      <x:c r="S219" s="72"/>
      <x:c r="T219" s="72"/>
      <x:c r="U219" s="72"/>
      <x:c r="V219" s="72"/>
      <x:c r="W219" s="72"/>
      <x:c r="X219" s="72"/>
      <x:c r="Y219" s="72"/>
      <x:c r="Z219" s="72"/>
      <x:c r="AA219" s="72"/>
      <x:c r="AB219" s="72"/>
      <x:c r="AC219" s="72"/>
      <x:c r="AD219" s="72"/>
      <x:c r="AE219" s="72"/>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4"/>
      <x:c r="DQ219" s="4"/>
      <x:c r="DR219" s="4"/>
      <x:c r="DS219" s="4"/>
      <x:c r="DT219" s="4"/>
      <x:c r="DU219" s="4"/>
      <x:c r="DV219" s="4"/>
      <x:c r="DW219" s="4"/>
      <x:c r="DX219" s="4"/>
      <x:c r="DY219" s="4"/>
      <x:c r="DZ219" s="4"/>
      <x:c r="EA219" s="4"/>
      <x:c r="EB219" s="4"/>
      <x:c r="EC219" s="4"/>
      <x:c r="ED219" s="4"/>
      <x:c r="EE219" s="4"/>
      <x:c r="EF219" s="4"/>
      <x:c r="EG219" s="4"/>
      <x:c r="EH219" s="4"/>
      <x:c r="EI219" s="4"/>
      <x:c r="EJ219" s="4"/>
      <x:c r="EK219" s="4"/>
      <x:c r="EL219" s="4"/>
      <x:c r="EM219" s="4"/>
      <x:c r="EN219" s="4"/>
      <x:c r="EO219" s="4"/>
      <x:c r="EP219" s="4"/>
      <x:c r="EQ219" s="4"/>
      <x:c r="ER219" s="4"/>
      <x:c r="ES219" s="4"/>
      <x:c r="ET219" s="4"/>
      <x:c r="EU219" s="4"/>
      <x:c r="EV219" s="4"/>
      <x:c r="EW219" s="4"/>
      <x:c r="EX219" s="4"/>
      <x:c r="EY219" s="4"/>
      <x:c r="EZ219" s="4"/>
      <x:c r="FA219" s="4"/>
      <x:c r="FB219" s="4"/>
      <x:c r="FC219" s="4"/>
      <x:c r="FD219" s="4"/>
      <x:c r="FE219" s="4"/>
      <x:c r="FF219" s="4"/>
      <x:c r="FG219" s="4"/>
      <x:c r="FH219" s="4"/>
      <x:c r="FI219" s="4"/>
      <x:c r="FJ219" s="4"/>
      <x:c r="FK219" s="4"/>
      <x:c r="FL219" s="4"/>
      <x:c r="FM219" s="4"/>
      <x:c r="FN219" s="4"/>
      <x:c r="FO219" s="4"/>
    </x:row>
    <x:row r="220">
      <x:c r="A220" s="72"/>
      <x:c r="B220" s="72"/>
      <x:c r="C220" s="72"/>
      <x:c r="D220" s="72"/>
      <x:c r="E220" s="72"/>
      <x:c r="F220" s="72"/>
      <x:c r="G220" s="72"/>
      <x:c r="H220" s="72"/>
      <x:c r="I220" s="72"/>
      <x:c r="J220" s="72"/>
      <x:c r="K220" s="72"/>
      <x:c r="L220" s="72"/>
      <x:c r="M220" s="72"/>
      <x:c r="N220" s="72"/>
      <x:c r="O220" s="72"/>
      <x:c r="P220" s="72"/>
      <x:c r="Q220" s="72"/>
      <x:c r="R220" s="72"/>
      <x:c r="S220" s="72"/>
      <x:c r="T220" s="72"/>
      <x:c r="U220" s="72"/>
      <x:c r="V220" s="72"/>
      <x:c r="W220" s="72"/>
      <x:c r="X220" s="72"/>
      <x:c r="Y220" s="72"/>
      <x:c r="Z220" s="72"/>
      <x:c r="AA220" s="72"/>
      <x:c r="AB220" s="72"/>
      <x:c r="AC220" s="72"/>
      <x:c r="AD220" s="72"/>
      <x:c r="AE220" s="72"/>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4"/>
      <x:c r="DQ220" s="4"/>
      <x:c r="DR220" s="4"/>
      <x:c r="DS220" s="4"/>
      <x:c r="DT220" s="4"/>
      <x:c r="DU220" s="4"/>
      <x:c r="DV220" s="4"/>
      <x:c r="DW220" s="4"/>
      <x:c r="DX220" s="4"/>
      <x:c r="DY220" s="4"/>
      <x:c r="DZ220" s="4"/>
      <x:c r="EA220" s="4"/>
      <x:c r="EB220" s="4"/>
      <x:c r="EC220" s="4"/>
      <x:c r="ED220" s="4"/>
      <x:c r="EE220" s="4"/>
      <x:c r="EF220" s="4"/>
      <x:c r="EG220" s="4"/>
      <x:c r="EH220" s="4"/>
      <x:c r="EI220" s="4"/>
      <x:c r="EJ220" s="4"/>
      <x:c r="EK220" s="4"/>
      <x:c r="EL220" s="4"/>
      <x:c r="EM220" s="4"/>
      <x:c r="EN220" s="4"/>
      <x:c r="EO220" s="4"/>
      <x:c r="EP220" s="4"/>
      <x:c r="EQ220" s="4"/>
      <x:c r="ER220" s="4"/>
      <x:c r="ES220" s="4"/>
      <x:c r="ET220" s="4"/>
      <x:c r="EU220" s="4"/>
      <x:c r="EV220" s="4"/>
      <x:c r="EW220" s="4"/>
      <x:c r="EX220" s="4"/>
      <x:c r="EY220" s="4"/>
      <x:c r="EZ220" s="4"/>
      <x:c r="FA220" s="4"/>
      <x:c r="FB220" s="4"/>
      <x:c r="FC220" s="4"/>
      <x:c r="FD220" s="4"/>
      <x:c r="FE220" s="4"/>
      <x:c r="FF220" s="4"/>
      <x:c r="FG220" s="4"/>
      <x:c r="FH220" s="4"/>
      <x:c r="FI220" s="4"/>
      <x:c r="FJ220" s="4"/>
      <x:c r="FK220" s="4"/>
      <x:c r="FL220" s="4"/>
      <x:c r="FM220" s="4"/>
      <x:c r="FN220" s="4"/>
      <x:c r="FO220" s="4"/>
    </x:row>
    <x:row r="221">
      <x:c r="A221" s="72"/>
      <x:c r="B221" s="72"/>
      <x:c r="C221" s="72"/>
      <x:c r="D221" s="72"/>
      <x:c r="E221" s="72"/>
      <x:c r="F221" s="72"/>
      <x:c r="G221" s="72"/>
      <x:c r="H221" s="72"/>
      <x:c r="I221" s="72"/>
      <x:c r="J221" s="72"/>
      <x:c r="K221" s="72"/>
      <x:c r="L221" s="72"/>
      <x:c r="M221" s="72"/>
      <x:c r="N221" s="72"/>
      <x:c r="O221" s="72"/>
      <x:c r="P221" s="72"/>
      <x:c r="Q221" s="72"/>
      <x:c r="R221" s="72"/>
      <x:c r="S221" s="72"/>
      <x:c r="T221" s="72"/>
      <x:c r="U221" s="72"/>
      <x:c r="V221" s="72"/>
      <x:c r="W221" s="72"/>
      <x:c r="X221" s="72"/>
      <x:c r="Y221" s="72"/>
      <x:c r="Z221" s="72"/>
      <x:c r="AA221" s="72"/>
      <x:c r="AB221" s="72"/>
      <x:c r="AC221" s="72"/>
      <x:c r="AD221" s="72"/>
      <x:c r="AE221" s="72"/>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4"/>
      <x:c r="DQ221" s="4"/>
      <x:c r="DR221" s="4"/>
      <x:c r="DS221" s="4"/>
      <x:c r="DT221" s="4"/>
      <x:c r="DU221" s="4"/>
      <x:c r="DV221" s="4"/>
      <x:c r="DW221" s="4"/>
      <x:c r="DX221" s="4"/>
      <x:c r="DY221" s="4"/>
      <x:c r="DZ221" s="4"/>
      <x:c r="EA221" s="4"/>
      <x:c r="EB221" s="4"/>
      <x:c r="EC221" s="4"/>
      <x:c r="ED221" s="4"/>
      <x:c r="EE221" s="4"/>
      <x:c r="EF221" s="4"/>
      <x:c r="EG221" s="4"/>
      <x:c r="EH221" s="4"/>
      <x:c r="EI221" s="4"/>
      <x:c r="EJ221" s="4"/>
      <x:c r="EK221" s="4"/>
      <x:c r="EL221" s="4"/>
      <x:c r="EM221" s="4"/>
      <x:c r="EN221" s="4"/>
      <x:c r="EO221" s="4"/>
      <x:c r="EP221" s="4"/>
      <x:c r="EQ221" s="4"/>
      <x:c r="ER221" s="4"/>
      <x:c r="ES221" s="4"/>
      <x:c r="ET221" s="4"/>
      <x:c r="EU221" s="4"/>
      <x:c r="EV221" s="4"/>
      <x:c r="EW221" s="4"/>
      <x:c r="EX221" s="4"/>
      <x:c r="EY221" s="4"/>
      <x:c r="EZ221" s="4"/>
      <x:c r="FA221" s="4"/>
      <x:c r="FB221" s="4"/>
      <x:c r="FC221" s="4"/>
      <x:c r="FD221" s="4"/>
      <x:c r="FE221" s="4"/>
      <x:c r="FF221" s="4"/>
      <x:c r="FG221" s="4"/>
      <x:c r="FH221" s="4"/>
      <x:c r="FI221" s="4"/>
      <x:c r="FJ221" s="4"/>
      <x:c r="FK221" s="4"/>
      <x:c r="FL221" s="4"/>
      <x:c r="FM221" s="4"/>
      <x:c r="FN221" s="4"/>
      <x:c r="FO221" s="4"/>
    </x:row>
    <x:row r="222">
      <x:c r="A222" s="72"/>
      <x:c r="B222" s="72"/>
      <x:c r="C222" s="72"/>
      <x:c r="D222" s="72"/>
      <x:c r="E222" s="72"/>
      <x:c r="F222" s="72"/>
      <x:c r="G222" s="72"/>
      <x:c r="H222" s="72"/>
      <x:c r="I222" s="72"/>
      <x:c r="J222" s="72"/>
      <x:c r="K222" s="72"/>
      <x:c r="L222" s="72"/>
      <x:c r="M222" s="72"/>
      <x:c r="N222" s="72"/>
      <x:c r="O222" s="72"/>
      <x:c r="P222" s="72"/>
      <x:c r="Q222" s="72"/>
      <x:c r="R222" s="72"/>
      <x:c r="S222" s="72"/>
      <x:c r="T222" s="72"/>
      <x:c r="U222" s="72"/>
      <x:c r="V222" s="72"/>
      <x:c r="W222" s="72"/>
      <x:c r="X222" s="72"/>
      <x:c r="Y222" s="72"/>
      <x:c r="Z222" s="72"/>
      <x:c r="AA222" s="72"/>
      <x:c r="AB222" s="72"/>
      <x:c r="AC222" s="72"/>
      <x:c r="AD222" s="72"/>
      <x:c r="AE222" s="72"/>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4"/>
      <x:c r="DQ222" s="4"/>
      <x:c r="DR222" s="4"/>
      <x:c r="DS222" s="4"/>
      <x:c r="DT222" s="4"/>
      <x:c r="DU222" s="4"/>
      <x:c r="DV222" s="4"/>
      <x:c r="DW222" s="4"/>
      <x:c r="DX222" s="4"/>
      <x:c r="DY222" s="4"/>
      <x:c r="DZ222" s="4"/>
      <x:c r="EA222" s="4"/>
      <x:c r="EB222" s="4"/>
      <x:c r="EC222" s="4"/>
      <x:c r="ED222" s="4"/>
      <x:c r="EE222" s="4"/>
      <x:c r="EF222" s="4"/>
      <x:c r="EG222" s="4"/>
      <x:c r="EH222" s="4"/>
      <x:c r="EI222" s="4"/>
      <x:c r="EJ222" s="4"/>
      <x:c r="EK222" s="4"/>
      <x:c r="EL222" s="4"/>
      <x:c r="EM222" s="4"/>
      <x:c r="EN222" s="4"/>
      <x:c r="EO222" s="4"/>
      <x:c r="EP222" s="4"/>
      <x:c r="EQ222" s="4"/>
      <x:c r="ER222" s="4"/>
      <x:c r="ES222" s="4"/>
      <x:c r="ET222" s="4"/>
      <x:c r="EU222" s="4"/>
      <x:c r="EV222" s="4"/>
      <x:c r="EW222" s="4"/>
      <x:c r="EX222" s="4"/>
      <x:c r="EY222" s="4"/>
      <x:c r="EZ222" s="4"/>
      <x:c r="FA222" s="4"/>
      <x:c r="FB222" s="4"/>
      <x:c r="FC222" s="4"/>
      <x:c r="FD222" s="4"/>
      <x:c r="FE222" s="4"/>
      <x:c r="FF222" s="4"/>
      <x:c r="FG222" s="4"/>
      <x:c r="FH222" s="4"/>
      <x:c r="FI222" s="4"/>
      <x:c r="FJ222" s="4"/>
      <x:c r="FK222" s="4"/>
      <x:c r="FL222" s="4"/>
      <x:c r="FM222" s="4"/>
      <x:c r="FN222" s="4"/>
      <x:c r="FO222" s="4"/>
    </x:row>
    <x:row r="223">
      <x:c r="A223" s="72"/>
      <x:c r="B223" s="72"/>
      <x:c r="C223" s="72"/>
      <x:c r="D223" s="72"/>
      <x:c r="E223" s="72"/>
      <x:c r="F223" s="72"/>
      <x:c r="G223" s="72"/>
      <x:c r="H223" s="72"/>
      <x:c r="I223" s="72"/>
      <x:c r="J223" s="72"/>
      <x:c r="K223" s="72"/>
      <x:c r="L223" s="72"/>
      <x:c r="M223" s="72"/>
      <x:c r="N223" s="72"/>
      <x:c r="O223" s="72"/>
      <x:c r="P223" s="72"/>
      <x:c r="Q223" s="72"/>
      <x:c r="R223" s="72"/>
      <x:c r="S223" s="72"/>
      <x:c r="T223" s="72"/>
      <x:c r="U223" s="72"/>
      <x:c r="V223" s="72"/>
      <x:c r="W223" s="72"/>
      <x:c r="X223" s="72"/>
      <x:c r="Y223" s="72"/>
      <x:c r="Z223" s="72"/>
      <x:c r="AA223" s="72"/>
      <x:c r="AB223" s="72"/>
      <x:c r="AC223" s="72"/>
      <x:c r="AD223" s="72"/>
      <x:c r="AE223" s="72"/>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4"/>
      <x:c r="DQ223" s="4"/>
      <x:c r="DR223" s="4"/>
      <x:c r="DS223" s="4"/>
      <x:c r="DT223" s="4"/>
      <x:c r="DU223" s="4"/>
      <x:c r="DV223" s="4"/>
      <x:c r="DW223" s="4"/>
      <x:c r="DX223" s="4"/>
      <x:c r="DY223" s="4"/>
      <x:c r="DZ223" s="4"/>
      <x:c r="EA223" s="4"/>
      <x:c r="EB223" s="4"/>
      <x:c r="EC223" s="4"/>
      <x:c r="ED223" s="4"/>
      <x:c r="EE223" s="4"/>
      <x:c r="EF223" s="4"/>
      <x:c r="EG223" s="4"/>
      <x:c r="EH223" s="4"/>
      <x:c r="EI223" s="4"/>
      <x:c r="EJ223" s="4"/>
      <x:c r="EK223" s="4"/>
      <x:c r="EL223" s="4"/>
      <x:c r="EM223" s="4"/>
      <x:c r="EN223" s="4"/>
      <x:c r="EO223" s="4"/>
      <x:c r="EP223" s="4"/>
      <x:c r="EQ223" s="4"/>
      <x:c r="ER223" s="4"/>
      <x:c r="ES223" s="4"/>
      <x:c r="ET223" s="4"/>
      <x:c r="EU223" s="4"/>
      <x:c r="EV223" s="4"/>
      <x:c r="EW223" s="4"/>
      <x:c r="EX223" s="4"/>
      <x:c r="EY223" s="4"/>
      <x:c r="EZ223" s="4"/>
      <x:c r="FA223" s="4"/>
      <x:c r="FB223" s="4"/>
      <x:c r="FC223" s="4"/>
      <x:c r="FD223" s="4"/>
      <x:c r="FE223" s="4"/>
      <x:c r="FF223" s="4"/>
      <x:c r="FG223" s="4"/>
      <x:c r="FH223" s="4"/>
      <x:c r="FI223" s="4"/>
      <x:c r="FJ223" s="4"/>
      <x:c r="FK223" s="4"/>
      <x:c r="FL223" s="4"/>
      <x:c r="FM223" s="4"/>
      <x:c r="FN223" s="4"/>
      <x:c r="FO223" s="4"/>
    </x:row>
    <x:row r="224">
      <x:c r="A224" s="72"/>
      <x:c r="B224" s="72"/>
      <x:c r="C224" s="72"/>
      <x:c r="D224" s="72"/>
      <x:c r="E224" s="72"/>
      <x:c r="F224" s="72"/>
      <x:c r="G224" s="72"/>
      <x:c r="H224" s="72"/>
      <x:c r="I224" s="72"/>
      <x:c r="J224" s="72"/>
      <x:c r="K224" s="72"/>
      <x:c r="L224" s="72"/>
      <x:c r="M224" s="72"/>
      <x:c r="N224" s="72"/>
      <x:c r="O224" s="72"/>
      <x:c r="P224" s="72"/>
      <x:c r="Q224" s="72"/>
      <x:c r="R224" s="72"/>
      <x:c r="S224" s="72"/>
      <x:c r="T224" s="72"/>
      <x:c r="U224" s="72"/>
      <x:c r="V224" s="72"/>
      <x:c r="W224" s="72"/>
      <x:c r="X224" s="72"/>
      <x:c r="Y224" s="72"/>
      <x:c r="Z224" s="72"/>
      <x:c r="AA224" s="72"/>
      <x:c r="AB224" s="72"/>
      <x:c r="AC224" s="72"/>
      <x:c r="AD224" s="72"/>
      <x:c r="AE224" s="72"/>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4"/>
      <x:c r="DQ224" s="4"/>
      <x:c r="DR224" s="4"/>
      <x:c r="DS224" s="4"/>
      <x:c r="DT224" s="4"/>
      <x:c r="DU224" s="4"/>
      <x:c r="DV224" s="4"/>
      <x:c r="DW224" s="4"/>
      <x:c r="DX224" s="4"/>
      <x:c r="DY224" s="4"/>
      <x:c r="DZ224" s="4"/>
      <x:c r="EA224" s="4"/>
      <x:c r="EB224" s="4"/>
      <x:c r="EC224" s="4"/>
      <x:c r="ED224" s="4"/>
      <x:c r="EE224" s="4"/>
      <x:c r="EF224" s="4"/>
      <x:c r="EG224" s="4"/>
      <x:c r="EH224" s="4"/>
      <x:c r="EI224" s="4"/>
      <x:c r="EJ224" s="4"/>
      <x:c r="EK224" s="4"/>
      <x:c r="EL224" s="4"/>
      <x:c r="EM224" s="4"/>
      <x:c r="EN224" s="4"/>
      <x:c r="EO224" s="4"/>
      <x:c r="EP224" s="4"/>
      <x:c r="EQ224" s="4"/>
      <x:c r="ER224" s="4"/>
      <x:c r="ES224" s="4"/>
      <x:c r="ET224" s="4"/>
      <x:c r="EU224" s="4"/>
      <x:c r="EV224" s="4"/>
      <x:c r="EW224" s="4"/>
      <x:c r="EX224" s="4"/>
      <x:c r="EY224" s="4"/>
      <x:c r="EZ224" s="4"/>
      <x:c r="FA224" s="4"/>
      <x:c r="FB224" s="4"/>
      <x:c r="FC224" s="4"/>
      <x:c r="FD224" s="4"/>
      <x:c r="FE224" s="4"/>
      <x:c r="FF224" s="4"/>
      <x:c r="FG224" s="4"/>
      <x:c r="FH224" s="4"/>
      <x:c r="FI224" s="4"/>
      <x:c r="FJ224" s="4"/>
      <x:c r="FK224" s="4"/>
      <x:c r="FL224" s="4"/>
      <x:c r="FM224" s="4"/>
      <x:c r="FN224" s="4"/>
      <x:c r="FO224" s="4"/>
    </x:row>
    <x:row r="225">
      <x:c r="A225" s="72"/>
      <x:c r="B225" s="72"/>
      <x:c r="C225" s="72"/>
      <x:c r="D225" s="72"/>
      <x:c r="E225" s="72"/>
      <x:c r="F225" s="72"/>
      <x:c r="G225" s="72"/>
      <x:c r="H225" s="72"/>
      <x:c r="I225" s="72"/>
      <x:c r="J225" s="72"/>
      <x:c r="K225" s="72"/>
      <x:c r="L225" s="72"/>
      <x:c r="M225" s="72"/>
      <x:c r="N225" s="72"/>
      <x:c r="O225" s="72"/>
      <x:c r="P225" s="72"/>
      <x:c r="Q225" s="72"/>
      <x:c r="R225" s="72"/>
      <x:c r="S225" s="72"/>
      <x:c r="T225" s="72"/>
      <x:c r="U225" s="72"/>
      <x:c r="V225" s="72"/>
      <x:c r="W225" s="72"/>
      <x:c r="X225" s="72"/>
      <x:c r="Y225" s="72"/>
      <x:c r="Z225" s="72"/>
      <x:c r="AA225" s="72"/>
      <x:c r="AB225" s="72"/>
      <x:c r="AC225" s="72"/>
      <x:c r="AD225" s="72"/>
      <x:c r="AE225" s="72"/>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4"/>
      <x:c r="DQ225" s="4"/>
      <x:c r="DR225" s="4"/>
      <x:c r="DS225" s="4"/>
      <x:c r="DT225" s="4"/>
      <x:c r="DU225" s="4"/>
      <x:c r="DV225" s="4"/>
      <x:c r="DW225" s="4"/>
      <x:c r="DX225" s="4"/>
      <x:c r="DY225" s="4"/>
      <x:c r="DZ225" s="4"/>
      <x:c r="EA225" s="4"/>
      <x:c r="EB225" s="4"/>
      <x:c r="EC225" s="4"/>
      <x:c r="ED225" s="4"/>
      <x:c r="EE225" s="4"/>
      <x:c r="EF225" s="4"/>
      <x:c r="EG225" s="4"/>
      <x:c r="EH225" s="4"/>
      <x:c r="EI225" s="4"/>
      <x:c r="EJ225" s="4"/>
      <x:c r="EK225" s="4"/>
      <x:c r="EL225" s="4"/>
      <x:c r="EM225" s="4"/>
      <x:c r="EN225" s="4"/>
      <x:c r="EO225" s="4"/>
      <x:c r="EP225" s="4"/>
      <x:c r="EQ225" s="4"/>
      <x:c r="ER225" s="4"/>
      <x:c r="ES225" s="4"/>
      <x:c r="ET225" s="4"/>
      <x:c r="EU225" s="4"/>
      <x:c r="EV225" s="4"/>
      <x:c r="EW225" s="4"/>
      <x:c r="EX225" s="4"/>
      <x:c r="EY225" s="4"/>
      <x:c r="EZ225" s="4"/>
      <x:c r="FA225" s="4"/>
      <x:c r="FB225" s="4"/>
      <x:c r="FC225" s="4"/>
      <x:c r="FD225" s="4"/>
      <x:c r="FE225" s="4"/>
      <x:c r="FF225" s="4"/>
      <x:c r="FG225" s="4"/>
      <x:c r="FH225" s="4"/>
      <x:c r="FI225" s="4"/>
      <x:c r="FJ225" s="4"/>
      <x:c r="FK225" s="4"/>
      <x:c r="FL225" s="4"/>
      <x:c r="FM225" s="4"/>
      <x:c r="FN225" s="4"/>
      <x:c r="FO225" s="4"/>
    </x:row>
    <x:row r="226">
      <x:c r="A226" s="72"/>
      <x:c r="B226" s="72"/>
      <x:c r="C226" s="72"/>
      <x:c r="D226" s="72"/>
      <x:c r="E226" s="72"/>
      <x:c r="F226" s="72"/>
      <x:c r="G226" s="72"/>
      <x:c r="H226" s="72"/>
      <x:c r="I226" s="72"/>
      <x:c r="J226" s="72"/>
      <x:c r="K226" s="72"/>
      <x:c r="L226" s="72"/>
      <x:c r="M226" s="72"/>
      <x:c r="N226" s="72"/>
      <x:c r="O226" s="72"/>
      <x:c r="P226" s="72"/>
      <x:c r="Q226" s="72"/>
      <x:c r="R226" s="72"/>
      <x:c r="S226" s="72"/>
      <x:c r="T226" s="72"/>
      <x:c r="U226" s="72"/>
      <x:c r="V226" s="72"/>
      <x:c r="W226" s="72"/>
      <x:c r="X226" s="72"/>
      <x:c r="Y226" s="72"/>
      <x:c r="Z226" s="72"/>
      <x:c r="AA226" s="72"/>
      <x:c r="AB226" s="72"/>
      <x:c r="AC226" s="72"/>
      <x:c r="AD226" s="72"/>
      <x:c r="AE226" s="72"/>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4"/>
      <x:c r="DQ226" s="4"/>
      <x:c r="DR226" s="4"/>
      <x:c r="DS226" s="4"/>
      <x:c r="DT226" s="4"/>
      <x:c r="DU226" s="4"/>
      <x:c r="DV226" s="4"/>
      <x:c r="DW226" s="4"/>
      <x:c r="DX226" s="4"/>
      <x:c r="DY226" s="4"/>
      <x:c r="DZ226" s="4"/>
      <x:c r="EA226" s="4"/>
      <x:c r="EB226" s="4"/>
      <x:c r="EC226" s="4"/>
      <x:c r="ED226" s="4"/>
      <x:c r="EE226" s="4"/>
      <x:c r="EF226" s="4"/>
      <x:c r="EG226" s="4"/>
      <x:c r="EH226" s="4"/>
      <x:c r="EI226" s="4"/>
      <x:c r="EJ226" s="4"/>
      <x:c r="EK226" s="4"/>
      <x:c r="EL226" s="4"/>
      <x:c r="EM226" s="4"/>
      <x:c r="EN226" s="4"/>
      <x:c r="EO226" s="4"/>
      <x:c r="EP226" s="4"/>
      <x:c r="EQ226" s="4"/>
      <x:c r="ER226" s="4"/>
      <x:c r="ES226" s="4"/>
      <x:c r="ET226" s="4"/>
      <x:c r="EU226" s="4"/>
      <x:c r="EV226" s="4"/>
      <x:c r="EW226" s="4"/>
      <x:c r="EX226" s="4"/>
      <x:c r="EY226" s="4"/>
      <x:c r="EZ226" s="4"/>
      <x:c r="FA226" s="4"/>
      <x:c r="FB226" s="4"/>
      <x:c r="FC226" s="4"/>
      <x:c r="FD226" s="4"/>
      <x:c r="FE226" s="4"/>
      <x:c r="FF226" s="4"/>
      <x:c r="FG226" s="4"/>
      <x:c r="FH226" s="4"/>
      <x:c r="FI226" s="4"/>
      <x:c r="FJ226" s="4"/>
      <x:c r="FK226" s="4"/>
      <x:c r="FL226" s="4"/>
      <x:c r="FM226" s="4"/>
      <x:c r="FN226" s="4"/>
      <x:c r="FO226" s="4"/>
    </x:row>
    <x:row r="227">
      <x:c r="A227" s="72"/>
      <x:c r="B227" s="72"/>
      <x:c r="C227" s="72"/>
      <x:c r="D227" s="72"/>
      <x:c r="E227" s="72"/>
      <x:c r="F227" s="72"/>
      <x:c r="G227" s="72"/>
      <x:c r="H227" s="72"/>
      <x:c r="I227" s="72"/>
      <x:c r="J227" s="72"/>
      <x:c r="K227" s="72"/>
      <x:c r="L227" s="72"/>
      <x:c r="M227" s="72"/>
      <x:c r="N227" s="72"/>
      <x:c r="O227" s="72"/>
      <x:c r="P227" s="72"/>
      <x:c r="Q227" s="72"/>
      <x:c r="R227" s="72"/>
      <x:c r="S227" s="72"/>
      <x:c r="T227" s="72"/>
      <x:c r="U227" s="72"/>
      <x:c r="V227" s="72"/>
      <x:c r="W227" s="72"/>
      <x:c r="X227" s="72"/>
      <x:c r="Y227" s="72"/>
      <x:c r="Z227" s="72"/>
      <x:c r="AA227" s="72"/>
      <x:c r="AB227" s="72"/>
      <x:c r="AC227" s="72"/>
      <x:c r="AD227" s="72"/>
      <x:c r="AE227" s="72"/>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4"/>
      <x:c r="DQ227" s="4"/>
      <x:c r="DR227" s="4"/>
      <x:c r="DS227" s="4"/>
      <x:c r="DT227" s="4"/>
      <x:c r="DU227" s="4"/>
      <x:c r="DV227" s="4"/>
      <x:c r="DW227" s="4"/>
      <x:c r="DX227" s="4"/>
      <x:c r="DY227" s="4"/>
      <x:c r="DZ227" s="4"/>
      <x:c r="EA227" s="4"/>
      <x:c r="EB227" s="4"/>
      <x:c r="EC227" s="4"/>
      <x:c r="ED227" s="4"/>
      <x:c r="EE227" s="4"/>
      <x:c r="EF227" s="4"/>
      <x:c r="EG227" s="4"/>
      <x:c r="EH227" s="4"/>
      <x:c r="EI227" s="4"/>
      <x:c r="EJ227" s="4"/>
      <x:c r="EK227" s="4"/>
      <x:c r="EL227" s="4"/>
      <x:c r="EM227" s="4"/>
      <x:c r="EN227" s="4"/>
      <x:c r="EO227" s="4"/>
      <x:c r="EP227" s="4"/>
      <x:c r="EQ227" s="4"/>
      <x:c r="ER227" s="4"/>
      <x:c r="ES227" s="4"/>
      <x:c r="ET227" s="4"/>
      <x:c r="EU227" s="4"/>
      <x:c r="EV227" s="4"/>
      <x:c r="EW227" s="4"/>
      <x:c r="EX227" s="4"/>
      <x:c r="EY227" s="4"/>
      <x:c r="EZ227" s="4"/>
      <x:c r="FA227" s="4"/>
      <x:c r="FB227" s="4"/>
      <x:c r="FC227" s="4"/>
      <x:c r="FD227" s="4"/>
      <x:c r="FE227" s="4"/>
      <x:c r="FF227" s="4"/>
      <x:c r="FG227" s="4"/>
      <x:c r="FH227" s="4"/>
      <x:c r="FI227" s="4"/>
      <x:c r="FJ227" s="4"/>
      <x:c r="FK227" s="4"/>
      <x:c r="FL227" s="4"/>
      <x:c r="FM227" s="4"/>
      <x:c r="FN227" s="4"/>
      <x:c r="FO227" s="4"/>
    </x:row>
    <x:row r="228">
      <x:c r="A228" s="72"/>
      <x:c r="B228" s="72"/>
      <x:c r="C228" s="72"/>
      <x:c r="D228" s="72"/>
      <x:c r="E228" s="72"/>
      <x:c r="F228" s="72"/>
      <x:c r="G228" s="72"/>
      <x:c r="H228" s="72"/>
      <x:c r="I228" s="72"/>
      <x:c r="J228" s="72"/>
      <x:c r="K228" s="72"/>
      <x:c r="L228" s="72"/>
      <x:c r="M228" s="72"/>
      <x:c r="N228" s="72"/>
      <x:c r="O228" s="72"/>
      <x:c r="P228" s="72"/>
      <x:c r="Q228" s="72"/>
      <x:c r="R228" s="72"/>
      <x:c r="S228" s="72"/>
      <x:c r="T228" s="72"/>
      <x:c r="U228" s="72"/>
      <x:c r="V228" s="72"/>
      <x:c r="W228" s="72"/>
      <x:c r="X228" s="72"/>
      <x:c r="Y228" s="72"/>
      <x:c r="Z228" s="72"/>
      <x:c r="AA228" s="72"/>
      <x:c r="AB228" s="72"/>
      <x:c r="AC228" s="72"/>
      <x:c r="AD228" s="72"/>
      <x:c r="AE228" s="72"/>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4"/>
      <x:c r="DQ228" s="4"/>
      <x:c r="DR228" s="4"/>
      <x:c r="DS228" s="4"/>
      <x:c r="DT228" s="4"/>
      <x:c r="DU228" s="4"/>
      <x:c r="DV228" s="4"/>
      <x:c r="DW228" s="4"/>
      <x:c r="DX228" s="4"/>
      <x:c r="DY228" s="4"/>
      <x:c r="DZ228" s="4"/>
      <x:c r="EA228" s="4"/>
      <x:c r="EB228" s="4"/>
      <x:c r="EC228" s="4"/>
      <x:c r="ED228" s="4"/>
      <x:c r="EE228" s="4"/>
      <x:c r="EF228" s="4"/>
      <x:c r="EG228" s="4"/>
      <x:c r="EH228" s="4"/>
      <x:c r="EI228" s="4"/>
      <x:c r="EJ228" s="4"/>
      <x:c r="EK228" s="4"/>
      <x:c r="EL228" s="4"/>
      <x:c r="EM228" s="4"/>
      <x:c r="EN228" s="4"/>
      <x:c r="EO228" s="4"/>
      <x:c r="EP228" s="4"/>
      <x:c r="EQ228" s="4"/>
      <x:c r="ER228" s="4"/>
      <x:c r="ES228" s="4"/>
      <x:c r="ET228" s="4"/>
      <x:c r="EU228" s="4"/>
      <x:c r="EV228" s="4"/>
      <x:c r="EW228" s="4"/>
      <x:c r="EX228" s="4"/>
      <x:c r="EY228" s="4"/>
      <x:c r="EZ228" s="4"/>
      <x:c r="FA228" s="4"/>
      <x:c r="FB228" s="4"/>
      <x:c r="FC228" s="4"/>
      <x:c r="FD228" s="4"/>
      <x:c r="FE228" s="4"/>
      <x:c r="FF228" s="4"/>
      <x:c r="FG228" s="4"/>
      <x:c r="FH228" s="4"/>
      <x:c r="FI228" s="4"/>
      <x:c r="FJ228" s="4"/>
      <x:c r="FK228" s="4"/>
      <x:c r="FL228" s="4"/>
      <x:c r="FM228" s="4"/>
      <x:c r="FN228" s="4"/>
      <x:c r="FO228" s="4"/>
    </x:row>
    <x:row r="229">
      <x:c r="A229" s="72"/>
      <x:c r="B229" s="72"/>
      <x:c r="C229" s="72"/>
      <x:c r="D229" s="72"/>
      <x:c r="E229" s="72"/>
      <x:c r="F229" s="72"/>
      <x:c r="G229" s="72"/>
      <x:c r="H229" s="72"/>
      <x:c r="I229" s="72"/>
      <x:c r="J229" s="72"/>
      <x:c r="K229" s="72"/>
      <x:c r="L229" s="72"/>
      <x:c r="M229" s="72"/>
      <x:c r="N229" s="72"/>
      <x:c r="O229" s="72"/>
      <x:c r="P229" s="72"/>
      <x:c r="Q229" s="72"/>
      <x:c r="R229" s="72"/>
      <x:c r="S229" s="72"/>
      <x:c r="T229" s="72"/>
      <x:c r="U229" s="72"/>
      <x:c r="V229" s="72"/>
      <x:c r="W229" s="72"/>
      <x:c r="X229" s="72"/>
      <x:c r="Y229" s="72"/>
      <x:c r="Z229" s="72"/>
      <x:c r="AA229" s="72"/>
      <x:c r="AB229" s="72"/>
      <x:c r="AC229" s="72"/>
      <x:c r="AD229" s="72"/>
      <x:c r="AE229" s="72"/>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4"/>
      <x:c r="DQ229" s="4"/>
      <x:c r="DR229" s="4"/>
      <x:c r="DS229" s="4"/>
      <x:c r="DT229" s="4"/>
      <x:c r="DU229" s="4"/>
      <x:c r="DV229" s="4"/>
      <x:c r="DW229" s="4"/>
      <x:c r="DX229" s="4"/>
      <x:c r="DY229" s="4"/>
      <x:c r="DZ229" s="4"/>
      <x:c r="EA229" s="4"/>
      <x:c r="EB229" s="4"/>
      <x:c r="EC229" s="4"/>
      <x:c r="ED229" s="4"/>
      <x:c r="EE229" s="4"/>
      <x:c r="EF229" s="4"/>
      <x:c r="EG229" s="4"/>
      <x:c r="EH229" s="4"/>
      <x:c r="EI229" s="4"/>
      <x:c r="EJ229" s="4"/>
      <x:c r="EK229" s="4"/>
      <x:c r="EL229" s="4"/>
      <x:c r="EM229" s="4"/>
      <x:c r="EN229" s="4"/>
      <x:c r="EO229" s="4"/>
      <x:c r="EP229" s="4"/>
      <x:c r="EQ229" s="4"/>
      <x:c r="ER229" s="4"/>
      <x:c r="ES229" s="4"/>
      <x:c r="ET229" s="4"/>
      <x:c r="EU229" s="4"/>
      <x:c r="EV229" s="4"/>
      <x:c r="EW229" s="4"/>
      <x:c r="EX229" s="4"/>
      <x:c r="EY229" s="4"/>
      <x:c r="EZ229" s="4"/>
      <x:c r="FA229" s="4"/>
      <x:c r="FB229" s="4"/>
      <x:c r="FC229" s="4"/>
      <x:c r="FD229" s="4"/>
      <x:c r="FE229" s="4"/>
      <x:c r="FF229" s="4"/>
      <x:c r="FG229" s="4"/>
      <x:c r="FH229" s="4"/>
      <x:c r="FI229" s="4"/>
      <x:c r="FJ229" s="4"/>
      <x:c r="FK229" s="4"/>
      <x:c r="FL229" s="4"/>
      <x:c r="FM229" s="4"/>
      <x:c r="FN229" s="4"/>
      <x:c r="FO229" s="4"/>
    </x:row>
    <x:row r="230">
      <x:c r="A230" s="72"/>
      <x:c r="B230" s="72"/>
      <x:c r="C230" s="72"/>
      <x:c r="D230" s="72"/>
      <x:c r="E230" s="72"/>
      <x:c r="F230" s="72"/>
      <x:c r="G230" s="72"/>
      <x:c r="H230" s="72"/>
      <x:c r="I230" s="72"/>
      <x:c r="J230" s="72"/>
      <x:c r="K230" s="72"/>
      <x:c r="L230" s="72"/>
      <x:c r="M230" s="72"/>
      <x:c r="N230" s="72"/>
      <x:c r="O230" s="72"/>
      <x:c r="P230" s="72"/>
      <x:c r="Q230" s="72"/>
      <x:c r="R230" s="72"/>
      <x:c r="S230" s="72"/>
      <x:c r="T230" s="72"/>
      <x:c r="U230" s="72"/>
      <x:c r="V230" s="72"/>
      <x:c r="W230" s="72"/>
      <x:c r="X230" s="72"/>
      <x:c r="Y230" s="72"/>
      <x:c r="Z230" s="72"/>
      <x:c r="AA230" s="72"/>
      <x:c r="AB230" s="72"/>
      <x:c r="AC230" s="72"/>
      <x:c r="AD230" s="72"/>
      <x:c r="AE230" s="72"/>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4"/>
      <x:c r="DQ230" s="4"/>
      <x:c r="DR230" s="4"/>
      <x:c r="DS230" s="4"/>
      <x:c r="DT230" s="4"/>
      <x:c r="DU230" s="4"/>
      <x:c r="DV230" s="4"/>
      <x:c r="DW230" s="4"/>
      <x:c r="DX230" s="4"/>
      <x:c r="DY230" s="4"/>
      <x:c r="DZ230" s="4"/>
      <x:c r="EA230" s="4"/>
      <x:c r="EB230" s="4"/>
      <x:c r="EC230" s="4"/>
      <x:c r="ED230" s="4"/>
      <x:c r="EE230" s="4"/>
      <x:c r="EF230" s="4"/>
      <x:c r="EG230" s="4"/>
      <x:c r="EH230" s="4"/>
      <x:c r="EI230" s="4"/>
      <x:c r="EJ230" s="4"/>
      <x:c r="EK230" s="4"/>
      <x:c r="EL230" s="4"/>
      <x:c r="EM230" s="4"/>
      <x:c r="EN230" s="4"/>
      <x:c r="EO230" s="4"/>
      <x:c r="EP230" s="4"/>
      <x:c r="EQ230" s="4"/>
      <x:c r="ER230" s="4"/>
      <x:c r="ES230" s="4"/>
      <x:c r="ET230" s="4"/>
      <x:c r="EU230" s="4"/>
      <x:c r="EV230" s="4"/>
      <x:c r="EW230" s="4"/>
      <x:c r="EX230" s="4"/>
      <x:c r="EY230" s="4"/>
      <x:c r="EZ230" s="4"/>
      <x:c r="FA230" s="4"/>
      <x:c r="FB230" s="4"/>
      <x:c r="FC230" s="4"/>
      <x:c r="FD230" s="4"/>
      <x:c r="FE230" s="4"/>
      <x:c r="FF230" s="4"/>
      <x:c r="FG230" s="4"/>
      <x:c r="FH230" s="4"/>
      <x:c r="FI230" s="4"/>
      <x:c r="FJ230" s="4"/>
      <x:c r="FK230" s="4"/>
      <x:c r="FL230" s="4"/>
      <x:c r="FM230" s="4"/>
      <x:c r="FN230" s="4"/>
      <x:c r="FO230" s="4"/>
    </x:row>
    <x:row r="231">
      <x:c r="A231" s="72"/>
      <x:c r="B231" s="72"/>
      <x:c r="C231" s="72"/>
      <x:c r="D231" s="72"/>
      <x:c r="E231" s="72"/>
      <x:c r="F231" s="72"/>
      <x:c r="G231" s="72"/>
      <x:c r="H231" s="72"/>
      <x:c r="I231" s="72"/>
      <x:c r="J231" s="72"/>
      <x:c r="K231" s="72"/>
      <x:c r="L231" s="72"/>
      <x:c r="M231" s="72"/>
      <x:c r="N231" s="72"/>
      <x:c r="O231" s="72"/>
      <x:c r="P231" s="72"/>
      <x:c r="Q231" s="72"/>
      <x:c r="R231" s="72"/>
      <x:c r="S231" s="72"/>
      <x:c r="T231" s="72"/>
      <x:c r="U231" s="72"/>
      <x:c r="V231" s="72"/>
      <x:c r="W231" s="72"/>
      <x:c r="X231" s="72"/>
      <x:c r="Y231" s="72"/>
      <x:c r="Z231" s="72"/>
      <x:c r="AA231" s="72"/>
      <x:c r="AB231" s="72"/>
      <x:c r="AC231" s="72"/>
      <x:c r="AD231" s="72"/>
      <x:c r="AE231" s="72"/>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4"/>
      <x:c r="DQ231" s="4"/>
      <x:c r="DR231" s="4"/>
      <x:c r="DS231" s="4"/>
      <x:c r="DT231" s="4"/>
      <x:c r="DU231" s="4"/>
      <x:c r="DV231" s="4"/>
      <x:c r="DW231" s="4"/>
      <x:c r="DX231" s="4"/>
      <x:c r="DY231" s="4"/>
      <x:c r="DZ231" s="4"/>
      <x:c r="EA231" s="4"/>
      <x:c r="EB231" s="4"/>
      <x:c r="EC231" s="4"/>
      <x:c r="ED231" s="4"/>
      <x:c r="EE231" s="4"/>
      <x:c r="EF231" s="4"/>
      <x:c r="EG231" s="4"/>
      <x:c r="EH231" s="4"/>
      <x:c r="EI231" s="4"/>
      <x:c r="EJ231" s="4"/>
      <x:c r="EK231" s="4"/>
      <x:c r="EL231" s="4"/>
      <x:c r="EM231" s="4"/>
      <x:c r="EN231" s="4"/>
      <x:c r="EO231" s="4"/>
      <x:c r="EP231" s="4"/>
      <x:c r="EQ231" s="4"/>
      <x:c r="ER231" s="4"/>
      <x:c r="ES231" s="4"/>
      <x:c r="ET231" s="4"/>
      <x:c r="EU231" s="4"/>
      <x:c r="EV231" s="4"/>
      <x:c r="EW231" s="4"/>
      <x:c r="EX231" s="4"/>
      <x:c r="EY231" s="4"/>
      <x:c r="EZ231" s="4"/>
      <x:c r="FA231" s="4"/>
      <x:c r="FB231" s="4"/>
      <x:c r="FC231" s="4"/>
      <x:c r="FD231" s="4"/>
      <x:c r="FE231" s="4"/>
      <x:c r="FF231" s="4"/>
      <x:c r="FG231" s="4"/>
      <x:c r="FH231" s="4"/>
      <x:c r="FI231" s="4"/>
      <x:c r="FJ231" s="4"/>
      <x:c r="FK231" s="4"/>
      <x:c r="FL231" s="4"/>
      <x:c r="FM231" s="4"/>
      <x:c r="FN231" s="4"/>
      <x:c r="FO231" s="4"/>
    </x:row>
    <x:row r="232">
      <x:c r="A232" s="72"/>
      <x:c r="B232" s="72"/>
      <x:c r="C232" s="72"/>
      <x:c r="D232" s="72"/>
      <x:c r="E232" s="72"/>
      <x:c r="F232" s="72"/>
      <x:c r="G232" s="72"/>
      <x:c r="H232" s="72"/>
      <x:c r="I232" s="72"/>
      <x:c r="J232" s="72"/>
      <x:c r="K232" s="72"/>
      <x:c r="L232" s="72"/>
      <x:c r="M232" s="72"/>
      <x:c r="N232" s="72"/>
      <x:c r="O232" s="72"/>
      <x:c r="P232" s="72"/>
      <x:c r="Q232" s="72"/>
      <x:c r="R232" s="72"/>
      <x:c r="S232" s="72"/>
      <x:c r="T232" s="72"/>
      <x:c r="U232" s="72"/>
      <x:c r="V232" s="72"/>
      <x:c r="W232" s="72"/>
      <x:c r="X232" s="72"/>
      <x:c r="Y232" s="72"/>
      <x:c r="Z232" s="72"/>
      <x:c r="AA232" s="72"/>
      <x:c r="AB232" s="72"/>
      <x:c r="AC232" s="72"/>
      <x:c r="AD232" s="72"/>
      <x:c r="AE232" s="72"/>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4"/>
      <x:c r="DQ232" s="4"/>
      <x:c r="DR232" s="4"/>
      <x:c r="DS232" s="4"/>
      <x:c r="DT232" s="4"/>
      <x:c r="DU232" s="4"/>
      <x:c r="DV232" s="4"/>
      <x:c r="DW232" s="4"/>
      <x:c r="DX232" s="4"/>
      <x:c r="DY232" s="4"/>
      <x:c r="DZ232" s="4"/>
      <x:c r="EA232" s="4"/>
      <x:c r="EB232" s="4"/>
      <x:c r="EC232" s="4"/>
      <x:c r="ED232" s="4"/>
      <x:c r="EE232" s="4"/>
      <x:c r="EF232" s="4"/>
      <x:c r="EG232" s="4"/>
      <x:c r="EH232" s="4"/>
      <x:c r="EI232" s="4"/>
      <x:c r="EJ232" s="4"/>
      <x:c r="EK232" s="4"/>
      <x:c r="EL232" s="4"/>
      <x:c r="EM232" s="4"/>
      <x:c r="EN232" s="4"/>
      <x:c r="EO232" s="4"/>
      <x:c r="EP232" s="4"/>
      <x:c r="EQ232" s="4"/>
      <x:c r="ER232" s="4"/>
      <x:c r="ES232" s="4"/>
      <x:c r="ET232" s="4"/>
      <x:c r="EU232" s="4"/>
      <x:c r="EV232" s="4"/>
      <x:c r="EW232" s="4"/>
      <x:c r="EX232" s="4"/>
      <x:c r="EY232" s="4"/>
      <x:c r="EZ232" s="4"/>
      <x:c r="FA232" s="4"/>
      <x:c r="FB232" s="4"/>
      <x:c r="FC232" s="4"/>
      <x:c r="FD232" s="4"/>
      <x:c r="FE232" s="4"/>
      <x:c r="FF232" s="4"/>
      <x:c r="FG232" s="4"/>
      <x:c r="FH232" s="4"/>
      <x:c r="FI232" s="4"/>
      <x:c r="FJ232" s="4"/>
      <x:c r="FK232" s="4"/>
      <x:c r="FL232" s="4"/>
      <x:c r="FM232" s="4"/>
      <x:c r="FN232" s="4"/>
      <x:c r="FO232" s="4"/>
    </x:row>
    <x:row r="233">
      <x:c r="A233" s="72"/>
      <x:c r="B233" s="72"/>
      <x:c r="C233" s="72"/>
      <x:c r="D233" s="72"/>
      <x:c r="E233" s="72"/>
      <x:c r="F233" s="72"/>
      <x:c r="G233" s="72"/>
      <x:c r="H233" s="72"/>
      <x:c r="I233" s="72"/>
      <x:c r="J233" s="72"/>
      <x:c r="K233" s="72"/>
      <x:c r="L233" s="72"/>
      <x:c r="M233" s="72"/>
      <x:c r="N233" s="72"/>
      <x:c r="O233" s="72"/>
      <x:c r="P233" s="72"/>
      <x:c r="Q233" s="72"/>
      <x:c r="R233" s="72"/>
      <x:c r="S233" s="72"/>
      <x:c r="T233" s="72"/>
      <x:c r="U233" s="72"/>
      <x:c r="V233" s="72"/>
      <x:c r="W233" s="72"/>
      <x:c r="X233" s="72"/>
      <x:c r="Y233" s="72"/>
      <x:c r="Z233" s="72"/>
      <x:c r="AA233" s="72"/>
      <x:c r="AB233" s="72"/>
      <x:c r="AC233" s="72"/>
      <x:c r="AD233" s="72"/>
      <x:c r="AE233" s="72"/>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x:c r="BN233" s="4"/>
      <x:c r="BO233" s="4"/>
      <x:c r="BP233" s="4"/>
      <x:c r="BQ233" s="4"/>
      <x:c r="BR233" s="4"/>
      <x:c r="BS233" s="4"/>
      <x:c r="BT233" s="4"/>
      <x:c r="BU233" s="4"/>
      <x:c r="BV233" s="4"/>
      <x:c r="BW233" s="4"/>
      <x:c r="BX233" s="4"/>
      <x:c r="BY233" s="4"/>
      <x:c r="BZ233" s="4"/>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x:c r="DB233" s="4"/>
      <x:c r="DC233" s="4"/>
      <x:c r="DD233" s="4"/>
      <x:c r="DE233" s="4"/>
      <x:c r="DF233" s="4"/>
      <x:c r="DG233" s="4"/>
      <x:c r="DH233" s="4"/>
      <x:c r="DI233" s="4"/>
      <x:c r="DJ233" s="4"/>
      <x:c r="DK233" s="4"/>
      <x:c r="DL233" s="4"/>
      <x:c r="DM233" s="4"/>
      <x:c r="DN233" s="4"/>
      <x:c r="DO233" s="4"/>
      <x:c r="DP233" s="4"/>
      <x:c r="DQ233" s="4"/>
      <x:c r="DR233" s="4"/>
      <x:c r="DS233" s="4"/>
      <x:c r="DT233" s="4"/>
      <x:c r="DU233" s="4"/>
      <x:c r="DV233" s="4"/>
      <x:c r="DW233" s="4"/>
      <x:c r="DX233" s="4"/>
      <x:c r="DY233" s="4"/>
      <x:c r="DZ233" s="4"/>
      <x:c r="EA233" s="4"/>
      <x:c r="EB233" s="4"/>
      <x:c r="EC233" s="4"/>
      <x:c r="ED233" s="4"/>
      <x:c r="EE233" s="4"/>
      <x:c r="EF233" s="4"/>
      <x:c r="EG233" s="4"/>
      <x:c r="EH233" s="4"/>
      <x:c r="EI233" s="4"/>
      <x:c r="EJ233" s="4"/>
      <x:c r="EK233" s="4"/>
      <x:c r="EL233" s="4"/>
      <x:c r="EM233" s="4"/>
      <x:c r="EN233" s="4"/>
      <x:c r="EO233" s="4"/>
      <x:c r="EP233" s="4"/>
      <x:c r="EQ233" s="4"/>
      <x:c r="ER233" s="4"/>
      <x:c r="ES233" s="4"/>
      <x:c r="ET233" s="4"/>
      <x:c r="EU233" s="4"/>
      <x:c r="EV233" s="4"/>
      <x:c r="EW233" s="4"/>
      <x:c r="EX233" s="4"/>
      <x:c r="EY233" s="4"/>
      <x:c r="EZ233" s="4"/>
      <x:c r="FA233" s="4"/>
      <x:c r="FB233" s="4"/>
      <x:c r="FC233" s="4"/>
      <x:c r="FD233" s="4"/>
      <x:c r="FE233" s="4"/>
      <x:c r="FF233" s="4"/>
      <x:c r="FG233" s="4"/>
      <x:c r="FH233" s="4"/>
      <x:c r="FI233" s="4"/>
      <x:c r="FJ233" s="4"/>
      <x:c r="FK233" s="4"/>
      <x:c r="FL233" s="4"/>
      <x:c r="FM233" s="4"/>
      <x:c r="FN233" s="4"/>
      <x:c r="FO233" s="4"/>
    </x:row>
    <x:row r="234">
      <x:c r="A234" s="72"/>
      <x:c r="B234" s="72"/>
      <x:c r="C234" s="72"/>
      <x:c r="D234" s="72"/>
      <x:c r="E234" s="72"/>
      <x:c r="F234" s="72"/>
      <x:c r="G234" s="72"/>
      <x:c r="H234" s="72"/>
      <x:c r="I234" s="72"/>
      <x:c r="J234" s="72"/>
      <x:c r="K234" s="72"/>
      <x:c r="L234" s="72"/>
      <x:c r="M234" s="72"/>
      <x:c r="N234" s="72"/>
      <x:c r="O234" s="72"/>
      <x:c r="P234" s="72"/>
      <x:c r="Q234" s="72"/>
      <x:c r="R234" s="72"/>
      <x:c r="S234" s="72"/>
      <x:c r="T234" s="72"/>
      <x:c r="U234" s="72"/>
      <x:c r="V234" s="72"/>
      <x:c r="W234" s="72"/>
      <x:c r="X234" s="72"/>
      <x:c r="Y234" s="72"/>
      <x:c r="Z234" s="72"/>
      <x:c r="AA234" s="72"/>
      <x:c r="AB234" s="72"/>
      <x:c r="AC234" s="72"/>
      <x:c r="AD234" s="72"/>
      <x:c r="AE234" s="72"/>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x:c r="BN234" s="4"/>
      <x:c r="BO234" s="4"/>
      <x:c r="BP234" s="4"/>
      <x:c r="BQ234" s="4"/>
      <x:c r="BR234" s="4"/>
      <x:c r="BS234" s="4"/>
      <x:c r="BT234" s="4"/>
      <x:c r="BU234" s="4"/>
      <x:c r="BV234" s="4"/>
      <x:c r="BW234" s="4"/>
      <x:c r="BX234" s="4"/>
      <x:c r="BY234" s="4"/>
      <x:c r="BZ234" s="4"/>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x:c r="DB234" s="4"/>
      <x:c r="DC234" s="4"/>
      <x:c r="DD234" s="4"/>
      <x:c r="DE234" s="4"/>
      <x:c r="DF234" s="4"/>
      <x:c r="DG234" s="4"/>
      <x:c r="DH234" s="4"/>
      <x:c r="DI234" s="4"/>
      <x:c r="DJ234" s="4"/>
      <x:c r="DK234" s="4"/>
      <x:c r="DL234" s="4"/>
      <x:c r="DM234" s="4"/>
      <x:c r="DN234" s="4"/>
      <x:c r="DO234" s="4"/>
      <x:c r="DP234" s="4"/>
      <x:c r="DQ234" s="4"/>
      <x:c r="DR234" s="4"/>
      <x:c r="DS234" s="4"/>
      <x:c r="DT234" s="4"/>
      <x:c r="DU234" s="4"/>
      <x:c r="DV234" s="4"/>
      <x:c r="DW234" s="4"/>
      <x:c r="DX234" s="4"/>
      <x:c r="DY234" s="4"/>
      <x:c r="DZ234" s="4"/>
      <x:c r="EA234" s="4"/>
      <x:c r="EB234" s="4"/>
      <x:c r="EC234" s="4"/>
      <x:c r="ED234" s="4"/>
      <x:c r="EE234" s="4"/>
      <x:c r="EF234" s="4"/>
      <x:c r="EG234" s="4"/>
      <x:c r="EH234" s="4"/>
      <x:c r="EI234" s="4"/>
      <x:c r="EJ234" s="4"/>
      <x:c r="EK234" s="4"/>
      <x:c r="EL234" s="4"/>
      <x:c r="EM234" s="4"/>
      <x:c r="EN234" s="4"/>
      <x:c r="EO234" s="4"/>
      <x:c r="EP234" s="4"/>
      <x:c r="EQ234" s="4"/>
      <x:c r="ER234" s="4"/>
      <x:c r="ES234" s="4"/>
      <x:c r="ET234" s="4"/>
      <x:c r="EU234" s="4"/>
      <x:c r="EV234" s="4"/>
      <x:c r="EW234" s="4"/>
      <x:c r="EX234" s="4"/>
      <x:c r="EY234" s="4"/>
      <x:c r="EZ234" s="4"/>
      <x:c r="FA234" s="4"/>
      <x:c r="FB234" s="4"/>
      <x:c r="FC234" s="4"/>
      <x:c r="FD234" s="4"/>
      <x:c r="FE234" s="4"/>
      <x:c r="FF234" s="4"/>
      <x:c r="FG234" s="4"/>
      <x:c r="FH234" s="4"/>
      <x:c r="FI234" s="4"/>
      <x:c r="FJ234" s="4"/>
      <x:c r="FK234" s="4"/>
      <x:c r="FL234" s="4"/>
      <x:c r="FM234" s="4"/>
      <x:c r="FN234" s="4"/>
      <x:c r="FO234" s="4"/>
    </x:row>
    <x:row r="235">
      <x:c r="A235" s="72"/>
      <x:c r="B235" s="72"/>
      <x:c r="C235" s="72"/>
      <x:c r="D235" s="72"/>
      <x:c r="E235" s="72"/>
      <x:c r="F235" s="72"/>
      <x:c r="G235" s="72"/>
      <x:c r="H235" s="72"/>
      <x:c r="I235" s="72"/>
      <x:c r="J235" s="72"/>
      <x:c r="K235" s="72"/>
      <x:c r="L235" s="72"/>
      <x:c r="M235" s="72"/>
      <x:c r="N235" s="72"/>
      <x:c r="O235" s="72"/>
      <x:c r="P235" s="72"/>
      <x:c r="Q235" s="72"/>
      <x:c r="R235" s="72"/>
      <x:c r="S235" s="72"/>
      <x:c r="T235" s="72"/>
      <x:c r="U235" s="72"/>
      <x:c r="V235" s="72"/>
      <x:c r="W235" s="72"/>
      <x:c r="X235" s="72"/>
      <x:c r="Y235" s="72"/>
      <x:c r="Z235" s="72"/>
      <x:c r="AA235" s="72"/>
      <x:c r="AB235" s="72"/>
      <x:c r="AC235" s="72"/>
      <x:c r="AD235" s="72"/>
      <x:c r="AE235" s="72"/>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x:c r="BN235" s="4"/>
      <x:c r="BO235" s="4"/>
      <x:c r="BP235" s="4"/>
      <x:c r="BQ235" s="4"/>
      <x:c r="BR235" s="4"/>
      <x:c r="BS235" s="4"/>
      <x:c r="BT235" s="4"/>
      <x:c r="BU235" s="4"/>
      <x:c r="BV235" s="4"/>
      <x:c r="BW235" s="4"/>
      <x:c r="BX235" s="4"/>
      <x:c r="BY235" s="4"/>
      <x:c r="BZ235" s="4"/>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x:c r="DB235" s="4"/>
      <x:c r="DC235" s="4"/>
      <x:c r="DD235" s="4"/>
      <x:c r="DE235" s="4"/>
      <x:c r="DF235" s="4"/>
      <x:c r="DG235" s="4"/>
      <x:c r="DH235" s="4"/>
      <x:c r="DI235" s="4"/>
      <x:c r="DJ235" s="4"/>
      <x:c r="DK235" s="4"/>
      <x:c r="DL235" s="4"/>
      <x:c r="DM235" s="4"/>
      <x:c r="DN235" s="4"/>
      <x:c r="DO235" s="4"/>
      <x:c r="DP235" s="4"/>
      <x:c r="DQ235" s="4"/>
      <x:c r="DR235" s="4"/>
      <x:c r="DS235" s="4"/>
      <x:c r="DT235" s="4"/>
      <x:c r="DU235" s="4"/>
      <x:c r="DV235" s="4"/>
      <x:c r="DW235" s="4"/>
      <x:c r="DX235" s="4"/>
      <x:c r="DY235" s="4"/>
      <x:c r="DZ235" s="4"/>
      <x:c r="EA235" s="4"/>
      <x:c r="EB235" s="4"/>
      <x:c r="EC235" s="4"/>
      <x:c r="ED235" s="4"/>
      <x:c r="EE235" s="4"/>
      <x:c r="EF235" s="4"/>
      <x:c r="EG235" s="4"/>
      <x:c r="EH235" s="4"/>
      <x:c r="EI235" s="4"/>
      <x:c r="EJ235" s="4"/>
      <x:c r="EK235" s="4"/>
      <x:c r="EL235" s="4"/>
      <x:c r="EM235" s="4"/>
      <x:c r="EN235" s="4"/>
      <x:c r="EO235" s="4"/>
      <x:c r="EP235" s="4"/>
      <x:c r="EQ235" s="4"/>
      <x:c r="ER235" s="4"/>
      <x:c r="ES235" s="4"/>
      <x:c r="ET235" s="4"/>
      <x:c r="EU235" s="4"/>
      <x:c r="EV235" s="4"/>
      <x:c r="EW235" s="4"/>
      <x:c r="EX235" s="4"/>
      <x:c r="EY235" s="4"/>
      <x:c r="EZ235" s="4"/>
      <x:c r="FA235" s="4"/>
      <x:c r="FB235" s="4"/>
      <x:c r="FC235" s="4"/>
      <x:c r="FD235" s="4"/>
      <x:c r="FE235" s="4"/>
      <x:c r="FF235" s="4"/>
      <x:c r="FG235" s="4"/>
      <x:c r="FH235" s="4"/>
      <x:c r="FI235" s="4"/>
      <x:c r="FJ235" s="4"/>
      <x:c r="FK235" s="4"/>
      <x:c r="FL235" s="4"/>
      <x:c r="FM235" s="4"/>
      <x:c r="FN235" s="4"/>
      <x:c r="FO235" s="4"/>
    </x:row>
    <x:row r="236">
      <x:c r="A236" s="72"/>
      <x:c r="B236" s="72"/>
      <x:c r="C236" s="72"/>
      <x:c r="D236" s="72"/>
      <x:c r="E236" s="72"/>
      <x:c r="F236" s="72"/>
      <x:c r="G236" s="72"/>
      <x:c r="H236" s="72"/>
      <x:c r="I236" s="72"/>
      <x:c r="J236" s="72"/>
      <x:c r="K236" s="72"/>
      <x:c r="L236" s="72"/>
      <x:c r="M236" s="72"/>
      <x:c r="N236" s="72"/>
      <x:c r="O236" s="72"/>
      <x:c r="P236" s="72"/>
      <x:c r="Q236" s="72"/>
      <x:c r="R236" s="72"/>
      <x:c r="S236" s="72"/>
      <x:c r="T236" s="72"/>
      <x:c r="U236" s="72"/>
      <x:c r="V236" s="72"/>
      <x:c r="W236" s="72"/>
      <x:c r="X236" s="72"/>
      <x:c r="Y236" s="72"/>
      <x:c r="Z236" s="72"/>
      <x:c r="AA236" s="72"/>
      <x:c r="AB236" s="72"/>
      <x:c r="AC236" s="72"/>
      <x:c r="AD236" s="72"/>
      <x:c r="AE236" s="72"/>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x:c r="BN236" s="4"/>
      <x:c r="BO236" s="4"/>
      <x:c r="BP236" s="4"/>
      <x:c r="BQ236" s="4"/>
      <x:c r="BR236" s="4"/>
      <x:c r="BS236" s="4"/>
      <x:c r="BT236" s="4"/>
      <x:c r="BU236" s="4"/>
      <x:c r="BV236" s="4"/>
      <x:c r="BW236" s="4"/>
      <x:c r="BX236" s="4"/>
      <x:c r="BY236" s="4"/>
      <x:c r="BZ236" s="4"/>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x:c r="DB236" s="4"/>
      <x:c r="DC236" s="4"/>
      <x:c r="DD236" s="4"/>
      <x:c r="DE236" s="4"/>
      <x:c r="DF236" s="4"/>
      <x:c r="DG236" s="4"/>
      <x:c r="DH236" s="4"/>
      <x:c r="DI236" s="4"/>
      <x:c r="DJ236" s="4"/>
      <x:c r="DK236" s="4"/>
      <x:c r="DL236" s="4"/>
      <x:c r="DM236" s="4"/>
      <x:c r="DN236" s="4"/>
      <x:c r="DO236" s="4"/>
      <x:c r="DP236" s="4"/>
      <x:c r="DQ236" s="4"/>
      <x:c r="DR236" s="4"/>
      <x:c r="DS236" s="4"/>
      <x:c r="DT236" s="4"/>
      <x:c r="DU236" s="4"/>
      <x:c r="DV236" s="4"/>
      <x:c r="DW236" s="4"/>
      <x:c r="DX236" s="4"/>
      <x:c r="DY236" s="4"/>
      <x:c r="DZ236" s="4"/>
      <x:c r="EA236" s="4"/>
      <x:c r="EB236" s="4"/>
      <x:c r="EC236" s="4"/>
      <x:c r="ED236" s="4"/>
      <x:c r="EE236" s="4"/>
      <x:c r="EF236" s="4"/>
      <x:c r="EG236" s="4"/>
      <x:c r="EH236" s="4"/>
      <x:c r="EI236" s="4"/>
      <x:c r="EJ236" s="4"/>
      <x:c r="EK236" s="4"/>
      <x:c r="EL236" s="4"/>
      <x:c r="EM236" s="4"/>
      <x:c r="EN236" s="4"/>
      <x:c r="EO236" s="4"/>
      <x:c r="EP236" s="4"/>
      <x:c r="EQ236" s="4"/>
      <x:c r="ER236" s="4"/>
      <x:c r="ES236" s="4"/>
      <x:c r="ET236" s="4"/>
      <x:c r="EU236" s="4"/>
      <x:c r="EV236" s="4"/>
      <x:c r="EW236" s="4"/>
      <x:c r="EX236" s="4"/>
      <x:c r="EY236" s="4"/>
      <x:c r="EZ236" s="4"/>
      <x:c r="FA236" s="4"/>
      <x:c r="FB236" s="4"/>
      <x:c r="FC236" s="4"/>
      <x:c r="FD236" s="4"/>
      <x:c r="FE236" s="4"/>
      <x:c r="FF236" s="4"/>
      <x:c r="FG236" s="4"/>
      <x:c r="FH236" s="4"/>
      <x:c r="FI236" s="4"/>
      <x:c r="FJ236" s="4"/>
      <x:c r="FK236" s="4"/>
      <x:c r="FL236" s="4"/>
      <x:c r="FM236" s="4"/>
      <x:c r="FN236" s="4"/>
      <x:c r="FO236" s="4"/>
    </x:row>
    <x:row r="237">
      <x:c r="A237" s="72"/>
      <x:c r="B237" s="72"/>
      <x:c r="C237" s="72"/>
      <x:c r="D237" s="72"/>
      <x:c r="E237" s="72"/>
      <x:c r="F237" s="72"/>
      <x:c r="G237" s="72"/>
      <x:c r="H237" s="72"/>
      <x:c r="I237" s="72"/>
      <x:c r="J237" s="72"/>
      <x:c r="K237" s="72"/>
      <x:c r="L237" s="72"/>
      <x:c r="M237" s="72"/>
      <x:c r="N237" s="72"/>
      <x:c r="O237" s="72"/>
      <x:c r="P237" s="72"/>
      <x:c r="Q237" s="72"/>
      <x:c r="R237" s="72"/>
      <x:c r="S237" s="72"/>
      <x:c r="T237" s="72"/>
      <x:c r="U237" s="72"/>
      <x:c r="V237" s="72"/>
      <x:c r="W237" s="72"/>
      <x:c r="X237" s="72"/>
      <x:c r="Y237" s="72"/>
      <x:c r="Z237" s="72"/>
      <x:c r="AA237" s="72"/>
      <x:c r="AB237" s="72"/>
      <x:c r="AC237" s="72"/>
      <x:c r="AD237" s="72"/>
      <x:c r="AE237" s="72"/>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x:c r="BN237" s="4"/>
      <x:c r="BO237" s="4"/>
      <x:c r="BP237" s="4"/>
      <x:c r="BQ237" s="4"/>
      <x:c r="BR237" s="4"/>
      <x:c r="BS237" s="4"/>
      <x:c r="BT237" s="4"/>
      <x:c r="BU237" s="4"/>
      <x:c r="BV237" s="4"/>
      <x:c r="BW237" s="4"/>
      <x:c r="BX237" s="4"/>
      <x:c r="BY237" s="4"/>
      <x:c r="BZ237" s="4"/>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x:c r="DB237" s="4"/>
      <x:c r="DC237" s="4"/>
      <x:c r="DD237" s="4"/>
      <x:c r="DE237" s="4"/>
      <x:c r="DF237" s="4"/>
      <x:c r="DG237" s="4"/>
      <x:c r="DH237" s="4"/>
      <x:c r="DI237" s="4"/>
      <x:c r="DJ237" s="4"/>
      <x:c r="DK237" s="4"/>
      <x:c r="DL237" s="4"/>
      <x:c r="DM237" s="4"/>
      <x:c r="DN237" s="4"/>
      <x:c r="DO237" s="4"/>
      <x:c r="DP237" s="4"/>
      <x:c r="DQ237" s="4"/>
      <x:c r="DR237" s="4"/>
      <x:c r="DS237" s="4"/>
      <x:c r="DT237" s="4"/>
      <x:c r="DU237" s="4"/>
      <x:c r="DV237" s="4"/>
      <x:c r="DW237" s="4"/>
      <x:c r="DX237" s="4"/>
      <x:c r="DY237" s="4"/>
      <x:c r="DZ237" s="4"/>
      <x:c r="EA237" s="4"/>
      <x:c r="EB237" s="4"/>
      <x:c r="EC237" s="4"/>
      <x:c r="ED237" s="4"/>
      <x:c r="EE237" s="4"/>
      <x:c r="EF237" s="4"/>
      <x:c r="EG237" s="4"/>
      <x:c r="EH237" s="4"/>
      <x:c r="EI237" s="4"/>
      <x:c r="EJ237" s="4"/>
      <x:c r="EK237" s="4"/>
      <x:c r="EL237" s="4"/>
      <x:c r="EM237" s="4"/>
      <x:c r="EN237" s="4"/>
      <x:c r="EO237" s="4"/>
      <x:c r="EP237" s="4"/>
      <x:c r="EQ237" s="4"/>
      <x:c r="ER237" s="4"/>
      <x:c r="ES237" s="4"/>
      <x:c r="ET237" s="4"/>
      <x:c r="EU237" s="4"/>
      <x:c r="EV237" s="4"/>
      <x:c r="EW237" s="4"/>
      <x:c r="EX237" s="4"/>
      <x:c r="EY237" s="4"/>
      <x:c r="EZ237" s="4"/>
      <x:c r="FA237" s="4"/>
      <x:c r="FB237" s="4"/>
      <x:c r="FC237" s="4"/>
      <x:c r="FD237" s="4"/>
      <x:c r="FE237" s="4"/>
      <x:c r="FF237" s="4"/>
      <x:c r="FG237" s="4"/>
      <x:c r="FH237" s="4"/>
      <x:c r="FI237" s="4"/>
      <x:c r="FJ237" s="4"/>
      <x:c r="FK237" s="4"/>
      <x:c r="FL237" s="4"/>
      <x:c r="FM237" s="4"/>
      <x:c r="FN237" s="4"/>
      <x:c r="FO237" s="4"/>
    </x:row>
    <x:row r="238">
      <x:c r="A238" s="72"/>
      <x:c r="B238" s="72"/>
      <x:c r="C238" s="72"/>
      <x:c r="D238" s="72"/>
      <x:c r="E238" s="72"/>
      <x:c r="F238" s="72"/>
      <x:c r="G238" s="72"/>
      <x:c r="H238" s="72"/>
      <x:c r="I238" s="72"/>
      <x:c r="J238" s="72"/>
      <x:c r="K238" s="72"/>
      <x:c r="L238" s="72"/>
      <x:c r="M238" s="72"/>
      <x:c r="N238" s="72"/>
      <x:c r="O238" s="72"/>
      <x:c r="P238" s="72"/>
      <x:c r="Q238" s="72"/>
      <x:c r="R238" s="72"/>
      <x:c r="S238" s="72"/>
      <x:c r="T238" s="72"/>
      <x:c r="U238" s="72"/>
      <x:c r="V238" s="72"/>
      <x:c r="W238" s="72"/>
      <x:c r="X238" s="72"/>
      <x:c r="Y238" s="72"/>
      <x:c r="Z238" s="72"/>
      <x:c r="AA238" s="72"/>
      <x:c r="AB238" s="72"/>
      <x:c r="AC238" s="72"/>
      <x:c r="AD238" s="72"/>
      <x:c r="AE238" s="72"/>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x:c r="BN238" s="4"/>
      <x:c r="BO238" s="4"/>
      <x:c r="BP238" s="4"/>
      <x:c r="BQ238" s="4"/>
      <x:c r="BR238" s="4"/>
      <x:c r="BS238" s="4"/>
      <x:c r="BT238" s="4"/>
      <x:c r="BU238" s="4"/>
      <x:c r="BV238" s="4"/>
      <x:c r="BW238" s="4"/>
      <x:c r="BX238" s="4"/>
      <x:c r="BY238" s="4"/>
      <x:c r="BZ238" s="4"/>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x:c r="DB238" s="4"/>
      <x:c r="DC238" s="4"/>
      <x:c r="DD238" s="4"/>
      <x:c r="DE238" s="4"/>
      <x:c r="DF238" s="4"/>
      <x:c r="DG238" s="4"/>
      <x:c r="DH238" s="4"/>
      <x:c r="DI238" s="4"/>
      <x:c r="DJ238" s="4"/>
      <x:c r="DK238" s="4"/>
      <x:c r="DL238" s="4"/>
      <x:c r="DM238" s="4"/>
      <x:c r="DN238" s="4"/>
      <x:c r="DO238" s="4"/>
      <x:c r="DP238" s="4"/>
      <x:c r="DQ238" s="4"/>
      <x:c r="DR238" s="4"/>
      <x:c r="DS238" s="4"/>
      <x:c r="DT238" s="4"/>
      <x:c r="DU238" s="4"/>
      <x:c r="DV238" s="4"/>
      <x:c r="DW238" s="4"/>
      <x:c r="DX238" s="4"/>
      <x:c r="DY238" s="4"/>
      <x:c r="DZ238" s="4"/>
      <x:c r="EA238" s="4"/>
      <x:c r="EB238" s="4"/>
      <x:c r="EC238" s="4"/>
      <x:c r="ED238" s="4"/>
      <x:c r="EE238" s="4"/>
      <x:c r="EF238" s="4"/>
      <x:c r="EG238" s="4"/>
      <x:c r="EH238" s="4"/>
      <x:c r="EI238" s="4"/>
      <x:c r="EJ238" s="4"/>
      <x:c r="EK238" s="4"/>
      <x:c r="EL238" s="4"/>
      <x:c r="EM238" s="4"/>
      <x:c r="EN238" s="4"/>
      <x:c r="EO238" s="4"/>
      <x:c r="EP238" s="4"/>
      <x:c r="EQ238" s="4"/>
      <x:c r="ER238" s="4"/>
      <x:c r="ES238" s="4"/>
      <x:c r="ET238" s="4"/>
      <x:c r="EU238" s="4"/>
      <x:c r="EV238" s="4"/>
      <x:c r="EW238" s="4"/>
      <x:c r="EX238" s="4"/>
      <x:c r="EY238" s="4"/>
      <x:c r="EZ238" s="4"/>
      <x:c r="FA238" s="4"/>
      <x:c r="FB238" s="4"/>
      <x:c r="FC238" s="4"/>
      <x:c r="FD238" s="4"/>
      <x:c r="FE238" s="4"/>
      <x:c r="FF238" s="4"/>
      <x:c r="FG238" s="4"/>
      <x:c r="FH238" s="4"/>
      <x:c r="FI238" s="4"/>
      <x:c r="FJ238" s="4"/>
      <x:c r="FK238" s="4"/>
      <x:c r="FL238" s="4"/>
      <x:c r="FM238" s="4"/>
      <x:c r="FN238" s="4"/>
      <x:c r="FO238" s="4"/>
    </x:row>
    <x:row r="239">
      <x:c r="A239" s="72"/>
      <x:c r="B239" s="72"/>
      <x:c r="C239" s="72"/>
      <x:c r="D239" s="72"/>
      <x:c r="E239" s="72"/>
      <x:c r="F239" s="72"/>
      <x:c r="G239" s="72"/>
      <x:c r="H239" s="72"/>
      <x:c r="I239" s="72"/>
      <x:c r="J239" s="72"/>
      <x:c r="K239" s="72"/>
      <x:c r="L239" s="72"/>
      <x:c r="M239" s="72"/>
      <x:c r="N239" s="72"/>
      <x:c r="O239" s="72"/>
      <x:c r="P239" s="72"/>
      <x:c r="Q239" s="72"/>
      <x:c r="R239" s="72"/>
      <x:c r="S239" s="72"/>
      <x:c r="T239" s="72"/>
      <x:c r="U239" s="72"/>
      <x:c r="V239" s="72"/>
      <x:c r="W239" s="72"/>
      <x:c r="X239" s="72"/>
      <x:c r="Y239" s="72"/>
      <x:c r="Z239" s="72"/>
      <x:c r="AA239" s="72"/>
      <x:c r="AB239" s="72"/>
      <x:c r="AC239" s="72"/>
      <x:c r="AD239" s="72"/>
      <x:c r="AE239" s="72"/>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x:c r="BN239" s="4"/>
      <x:c r="BO239" s="4"/>
      <x:c r="BP239" s="4"/>
      <x:c r="BQ239" s="4"/>
      <x:c r="BR239" s="4"/>
      <x:c r="BS239" s="4"/>
      <x:c r="BT239" s="4"/>
      <x:c r="BU239" s="4"/>
      <x:c r="BV239" s="4"/>
      <x:c r="BW239" s="4"/>
      <x:c r="BX239" s="4"/>
      <x:c r="BY239" s="4"/>
      <x:c r="BZ239" s="4"/>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x:c r="DB239" s="4"/>
      <x:c r="DC239" s="4"/>
      <x:c r="DD239" s="4"/>
      <x:c r="DE239" s="4"/>
      <x:c r="DF239" s="4"/>
      <x:c r="DG239" s="4"/>
      <x:c r="DH239" s="4"/>
      <x:c r="DI239" s="4"/>
      <x:c r="DJ239" s="4"/>
      <x:c r="DK239" s="4"/>
      <x:c r="DL239" s="4"/>
      <x:c r="DM239" s="4"/>
      <x:c r="DN239" s="4"/>
      <x:c r="DO239" s="4"/>
      <x:c r="DP239" s="4"/>
      <x:c r="DQ239" s="4"/>
      <x:c r="DR239" s="4"/>
      <x:c r="DS239" s="4"/>
      <x:c r="DT239" s="4"/>
      <x:c r="DU239" s="4"/>
      <x:c r="DV239" s="4"/>
      <x:c r="DW239" s="4"/>
      <x:c r="DX239" s="4"/>
      <x:c r="DY239" s="4"/>
      <x:c r="DZ239" s="4"/>
      <x:c r="EA239" s="4"/>
      <x:c r="EB239" s="4"/>
      <x:c r="EC239" s="4"/>
      <x:c r="ED239" s="4"/>
      <x:c r="EE239" s="4"/>
      <x:c r="EF239" s="4"/>
      <x:c r="EG239" s="4"/>
      <x:c r="EH239" s="4"/>
      <x:c r="EI239" s="4"/>
      <x:c r="EJ239" s="4"/>
      <x:c r="EK239" s="4"/>
      <x:c r="EL239" s="4"/>
      <x:c r="EM239" s="4"/>
      <x:c r="EN239" s="4"/>
      <x:c r="EO239" s="4"/>
      <x:c r="EP239" s="4"/>
      <x:c r="EQ239" s="4"/>
      <x:c r="ER239" s="4"/>
      <x:c r="ES239" s="4"/>
      <x:c r="ET239" s="4"/>
      <x:c r="EU239" s="4"/>
      <x:c r="EV239" s="4"/>
      <x:c r="EW239" s="4"/>
      <x:c r="EX239" s="4"/>
      <x:c r="EY239" s="4"/>
      <x:c r="EZ239" s="4"/>
      <x:c r="FA239" s="4"/>
      <x:c r="FB239" s="4"/>
      <x:c r="FC239" s="4"/>
      <x:c r="FD239" s="4"/>
      <x:c r="FE239" s="4"/>
      <x:c r="FF239" s="4"/>
      <x:c r="FG239" s="4"/>
      <x:c r="FH239" s="4"/>
      <x:c r="FI239" s="4"/>
      <x:c r="FJ239" s="4"/>
      <x:c r="FK239" s="4"/>
      <x:c r="FL239" s="4"/>
      <x:c r="FM239" s="4"/>
      <x:c r="FN239" s="4"/>
      <x:c r="FO239" s="4"/>
    </x:row>
    <x:row r="240">
      <x:c r="A240" s="72"/>
      <x:c r="B240" s="72"/>
      <x:c r="C240" s="72"/>
      <x:c r="D240" s="72"/>
      <x:c r="E240" s="72"/>
      <x:c r="F240" s="72"/>
      <x:c r="G240" s="72"/>
      <x:c r="H240" s="72"/>
      <x:c r="I240" s="72"/>
      <x:c r="J240" s="72"/>
      <x:c r="K240" s="72"/>
      <x:c r="L240" s="72"/>
      <x:c r="M240" s="72"/>
      <x:c r="N240" s="72"/>
      <x:c r="O240" s="72"/>
      <x:c r="P240" s="72"/>
      <x:c r="Q240" s="72"/>
      <x:c r="R240" s="72"/>
      <x:c r="S240" s="72"/>
      <x:c r="T240" s="72"/>
      <x:c r="U240" s="72"/>
      <x:c r="V240" s="72"/>
      <x:c r="W240" s="72"/>
      <x:c r="X240" s="72"/>
      <x:c r="Y240" s="72"/>
      <x:c r="Z240" s="72"/>
      <x:c r="AA240" s="72"/>
      <x:c r="AB240" s="72"/>
      <x:c r="AC240" s="72"/>
      <x:c r="AD240" s="72"/>
      <x:c r="AE240" s="72"/>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x:c r="BN240" s="4"/>
      <x:c r="BO240" s="4"/>
      <x:c r="BP240" s="4"/>
      <x:c r="BQ240" s="4"/>
      <x:c r="BR240" s="4"/>
      <x:c r="BS240" s="4"/>
      <x:c r="BT240" s="4"/>
      <x:c r="BU240" s="4"/>
      <x:c r="BV240" s="4"/>
      <x:c r="BW240" s="4"/>
      <x:c r="BX240" s="4"/>
      <x:c r="BY240" s="4"/>
      <x:c r="BZ240" s="4"/>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x:c r="DB240" s="4"/>
      <x:c r="DC240" s="4"/>
      <x:c r="DD240" s="4"/>
      <x:c r="DE240" s="4"/>
      <x:c r="DF240" s="4"/>
      <x:c r="DG240" s="4"/>
      <x:c r="DH240" s="4"/>
      <x:c r="DI240" s="4"/>
      <x:c r="DJ240" s="4"/>
      <x:c r="DK240" s="4"/>
      <x:c r="DL240" s="4"/>
      <x:c r="DM240" s="4"/>
      <x:c r="DN240" s="4"/>
      <x:c r="DO240" s="4"/>
      <x:c r="DP240" s="4"/>
      <x:c r="DQ240" s="4"/>
      <x:c r="DR240" s="4"/>
      <x:c r="DS240" s="4"/>
      <x:c r="DT240" s="4"/>
      <x:c r="DU240" s="4"/>
      <x:c r="DV240" s="4"/>
      <x:c r="DW240" s="4"/>
      <x:c r="DX240" s="4"/>
      <x:c r="DY240" s="4"/>
      <x:c r="DZ240" s="4"/>
      <x:c r="EA240" s="4"/>
      <x:c r="EB240" s="4"/>
      <x:c r="EC240" s="4"/>
      <x:c r="ED240" s="4"/>
      <x:c r="EE240" s="4"/>
      <x:c r="EF240" s="4"/>
      <x:c r="EG240" s="4"/>
      <x:c r="EH240" s="4"/>
      <x:c r="EI240" s="4"/>
      <x:c r="EJ240" s="4"/>
      <x:c r="EK240" s="4"/>
      <x:c r="EL240" s="4"/>
      <x:c r="EM240" s="4"/>
      <x:c r="EN240" s="4"/>
      <x:c r="EO240" s="4"/>
      <x:c r="EP240" s="4"/>
      <x:c r="EQ240" s="4"/>
      <x:c r="ER240" s="4"/>
      <x:c r="ES240" s="4"/>
      <x:c r="ET240" s="4"/>
      <x:c r="EU240" s="4"/>
      <x:c r="EV240" s="4"/>
      <x:c r="EW240" s="4"/>
      <x:c r="EX240" s="4"/>
      <x:c r="EY240" s="4"/>
      <x:c r="EZ240" s="4"/>
      <x:c r="FA240" s="4"/>
      <x:c r="FB240" s="4"/>
      <x:c r="FC240" s="4"/>
      <x:c r="FD240" s="4"/>
      <x:c r="FE240" s="4"/>
      <x:c r="FF240" s="4"/>
      <x:c r="FG240" s="4"/>
      <x:c r="FH240" s="4"/>
      <x:c r="FI240" s="4"/>
      <x:c r="FJ240" s="4"/>
      <x:c r="FK240" s="4"/>
      <x:c r="FL240" s="4"/>
      <x:c r="FM240" s="4"/>
      <x:c r="FN240" s="4"/>
      <x:c r="FO240" s="4"/>
    </x:row>
    <x:row r="241">
      <x:c r="A241" s="72"/>
      <x:c r="B241" s="72"/>
      <x:c r="C241" s="72"/>
      <x:c r="D241" s="72"/>
      <x:c r="E241" s="72"/>
      <x:c r="F241" s="72"/>
      <x:c r="G241" s="72"/>
      <x:c r="H241" s="72"/>
      <x:c r="I241" s="72"/>
      <x:c r="J241" s="72"/>
      <x:c r="K241" s="72"/>
      <x:c r="L241" s="72"/>
      <x:c r="M241" s="72"/>
      <x:c r="N241" s="72"/>
      <x:c r="O241" s="72"/>
      <x:c r="P241" s="72"/>
      <x:c r="Q241" s="72"/>
      <x:c r="R241" s="72"/>
      <x:c r="S241" s="72"/>
      <x:c r="T241" s="72"/>
      <x:c r="U241" s="72"/>
      <x:c r="V241" s="72"/>
      <x:c r="W241" s="72"/>
      <x:c r="X241" s="72"/>
      <x:c r="Y241" s="72"/>
      <x:c r="Z241" s="72"/>
      <x:c r="AA241" s="72"/>
      <x:c r="AB241" s="72"/>
      <x:c r="AC241" s="72"/>
      <x:c r="AD241" s="72"/>
      <x:c r="AE241" s="72"/>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x:c r="BN241" s="4"/>
      <x:c r="BO241" s="4"/>
      <x:c r="BP241" s="4"/>
      <x:c r="BQ241" s="4"/>
      <x:c r="BR241" s="4"/>
      <x:c r="BS241" s="4"/>
      <x:c r="BT241" s="4"/>
      <x:c r="BU241" s="4"/>
      <x:c r="BV241" s="4"/>
      <x:c r="BW241" s="4"/>
      <x:c r="BX241" s="4"/>
      <x:c r="BY241" s="4"/>
      <x:c r="BZ241" s="4"/>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x:c r="DB241" s="4"/>
      <x:c r="DC241" s="4"/>
      <x:c r="DD241" s="4"/>
      <x:c r="DE241" s="4"/>
      <x:c r="DF241" s="4"/>
      <x:c r="DG241" s="4"/>
      <x:c r="DH241" s="4"/>
      <x:c r="DI241" s="4"/>
      <x:c r="DJ241" s="4"/>
      <x:c r="DK241" s="4"/>
      <x:c r="DL241" s="4"/>
      <x:c r="DM241" s="4"/>
      <x:c r="DN241" s="4"/>
      <x:c r="DO241" s="4"/>
      <x:c r="DP241" s="4"/>
      <x:c r="DQ241" s="4"/>
      <x:c r="DR241" s="4"/>
      <x:c r="DS241" s="4"/>
      <x:c r="DT241" s="4"/>
      <x:c r="DU241" s="4"/>
      <x:c r="DV241" s="4"/>
      <x:c r="DW241" s="4"/>
      <x:c r="DX241" s="4"/>
      <x:c r="DY241" s="4"/>
      <x:c r="DZ241" s="4"/>
      <x:c r="EA241" s="4"/>
      <x:c r="EB241" s="4"/>
      <x:c r="EC241" s="4"/>
      <x:c r="ED241" s="4"/>
      <x:c r="EE241" s="4"/>
      <x:c r="EF241" s="4"/>
      <x:c r="EG241" s="4"/>
      <x:c r="EH241" s="4"/>
      <x:c r="EI241" s="4"/>
      <x:c r="EJ241" s="4"/>
      <x:c r="EK241" s="4"/>
      <x:c r="EL241" s="4"/>
      <x:c r="EM241" s="4"/>
      <x:c r="EN241" s="4"/>
      <x:c r="EO241" s="4"/>
      <x:c r="EP241" s="4"/>
      <x:c r="EQ241" s="4"/>
      <x:c r="ER241" s="4"/>
      <x:c r="ES241" s="4"/>
      <x:c r="ET241" s="4"/>
      <x:c r="EU241" s="4"/>
      <x:c r="EV241" s="4"/>
      <x:c r="EW241" s="4"/>
      <x:c r="EX241" s="4"/>
      <x:c r="EY241" s="4"/>
      <x:c r="EZ241" s="4"/>
      <x:c r="FA241" s="4"/>
      <x:c r="FB241" s="4"/>
      <x:c r="FC241" s="4"/>
      <x:c r="FD241" s="4"/>
      <x:c r="FE241" s="4"/>
      <x:c r="FF241" s="4"/>
      <x:c r="FG241" s="4"/>
      <x:c r="FH241" s="4"/>
      <x:c r="FI241" s="4"/>
      <x:c r="FJ241" s="4"/>
      <x:c r="FK241" s="4"/>
      <x:c r="FL241" s="4"/>
      <x:c r="FM241" s="4"/>
      <x:c r="FN241" s="4"/>
      <x:c r="FO241" s="4"/>
    </x:row>
    <x:row r="242">
      <x:c r="A242" s="72"/>
      <x:c r="B242" s="72"/>
      <x:c r="C242" s="72"/>
      <x:c r="D242" s="72"/>
      <x:c r="E242" s="72"/>
      <x:c r="F242" s="72"/>
      <x:c r="G242" s="72"/>
      <x:c r="H242" s="72"/>
      <x:c r="I242" s="72"/>
      <x:c r="J242" s="72"/>
      <x:c r="K242" s="72"/>
      <x:c r="L242" s="72"/>
      <x:c r="M242" s="72"/>
      <x:c r="N242" s="72"/>
      <x:c r="O242" s="72"/>
      <x:c r="P242" s="72"/>
      <x:c r="Q242" s="72"/>
      <x:c r="R242" s="72"/>
      <x:c r="S242" s="72"/>
      <x:c r="T242" s="72"/>
      <x:c r="U242" s="72"/>
      <x:c r="V242" s="72"/>
      <x:c r="W242" s="72"/>
      <x:c r="X242" s="72"/>
      <x:c r="Y242" s="72"/>
      <x:c r="Z242" s="72"/>
      <x:c r="AA242" s="72"/>
      <x:c r="AB242" s="72"/>
      <x:c r="AC242" s="72"/>
      <x:c r="AD242" s="72"/>
      <x:c r="AE242" s="72"/>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x:c r="BN242" s="4"/>
      <x:c r="BO242" s="4"/>
      <x:c r="BP242" s="4"/>
      <x:c r="BQ242" s="4"/>
      <x:c r="BR242" s="4"/>
      <x:c r="BS242" s="4"/>
      <x:c r="BT242" s="4"/>
      <x:c r="BU242" s="4"/>
      <x:c r="BV242" s="4"/>
      <x:c r="BW242" s="4"/>
      <x:c r="BX242" s="4"/>
      <x:c r="BY242" s="4"/>
      <x:c r="BZ242" s="4"/>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x:c r="DB242" s="4"/>
      <x:c r="DC242" s="4"/>
      <x:c r="DD242" s="4"/>
      <x:c r="DE242" s="4"/>
      <x:c r="DF242" s="4"/>
      <x:c r="DG242" s="4"/>
      <x:c r="DH242" s="4"/>
      <x:c r="DI242" s="4"/>
      <x:c r="DJ242" s="4"/>
      <x:c r="DK242" s="4"/>
      <x:c r="DL242" s="4"/>
      <x:c r="DM242" s="4"/>
      <x:c r="DN242" s="4"/>
      <x:c r="DO242" s="4"/>
      <x:c r="DP242" s="4"/>
      <x:c r="DQ242" s="4"/>
      <x:c r="DR242" s="4"/>
      <x:c r="DS242" s="4"/>
      <x:c r="DT242" s="4"/>
      <x:c r="DU242" s="4"/>
      <x:c r="DV242" s="4"/>
      <x:c r="DW242" s="4"/>
      <x:c r="DX242" s="4"/>
      <x:c r="DY242" s="4"/>
      <x:c r="DZ242" s="4"/>
      <x:c r="EA242" s="4"/>
      <x:c r="EB242" s="4"/>
      <x:c r="EC242" s="4"/>
      <x:c r="ED242" s="4"/>
      <x:c r="EE242" s="4"/>
      <x:c r="EF242" s="4"/>
      <x:c r="EG242" s="4"/>
      <x:c r="EH242" s="4"/>
      <x:c r="EI242" s="4"/>
      <x:c r="EJ242" s="4"/>
      <x:c r="EK242" s="4"/>
      <x:c r="EL242" s="4"/>
      <x:c r="EM242" s="4"/>
      <x:c r="EN242" s="4"/>
      <x:c r="EO242" s="4"/>
      <x:c r="EP242" s="4"/>
      <x:c r="EQ242" s="4"/>
      <x:c r="ER242" s="4"/>
      <x:c r="ES242" s="4"/>
      <x:c r="ET242" s="4"/>
      <x:c r="EU242" s="4"/>
      <x:c r="EV242" s="4"/>
      <x:c r="EW242" s="4"/>
      <x:c r="EX242" s="4"/>
      <x:c r="EY242" s="4"/>
      <x:c r="EZ242" s="4"/>
      <x:c r="FA242" s="4"/>
      <x:c r="FB242" s="4"/>
      <x:c r="FC242" s="4"/>
      <x:c r="FD242" s="4"/>
      <x:c r="FE242" s="4"/>
      <x:c r="FF242" s="4"/>
      <x:c r="FG242" s="4"/>
      <x:c r="FH242" s="4"/>
      <x:c r="FI242" s="4"/>
      <x:c r="FJ242" s="4"/>
      <x:c r="FK242" s="4"/>
      <x:c r="FL242" s="4"/>
      <x:c r="FM242" s="4"/>
      <x:c r="FN242" s="4"/>
      <x:c r="FO242" s="4"/>
    </x:row>
    <x:row r="243">
      <x:c r="A243" s="72"/>
      <x:c r="B243" s="72"/>
      <x:c r="C243" s="72"/>
      <x:c r="D243" s="72"/>
      <x:c r="E243" s="72"/>
      <x:c r="F243" s="72"/>
      <x:c r="G243" s="72"/>
      <x:c r="H243" s="72"/>
      <x:c r="I243" s="72"/>
      <x:c r="J243" s="72"/>
      <x:c r="K243" s="72"/>
      <x:c r="L243" s="72"/>
      <x:c r="M243" s="72"/>
      <x:c r="N243" s="72"/>
      <x:c r="O243" s="72"/>
      <x:c r="P243" s="72"/>
      <x:c r="Q243" s="72"/>
      <x:c r="R243" s="72"/>
      <x:c r="S243" s="72"/>
      <x:c r="T243" s="72"/>
      <x:c r="U243" s="72"/>
      <x:c r="V243" s="72"/>
      <x:c r="W243" s="72"/>
      <x:c r="X243" s="72"/>
      <x:c r="Y243" s="72"/>
      <x:c r="Z243" s="72"/>
      <x:c r="AA243" s="72"/>
      <x:c r="AB243" s="72"/>
      <x:c r="AC243" s="72"/>
      <x:c r="AD243" s="72"/>
      <x:c r="AE243" s="72"/>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x:c r="BN243" s="4"/>
      <x:c r="BO243" s="4"/>
      <x:c r="BP243" s="4"/>
      <x:c r="BQ243" s="4"/>
      <x:c r="BR243" s="4"/>
      <x:c r="BS243" s="4"/>
      <x:c r="BT243" s="4"/>
      <x:c r="BU243" s="4"/>
      <x:c r="BV243" s="4"/>
      <x:c r="BW243" s="4"/>
      <x:c r="BX243" s="4"/>
      <x:c r="BY243" s="4"/>
      <x:c r="BZ243" s="4"/>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x:c r="DB243" s="4"/>
      <x:c r="DC243" s="4"/>
      <x:c r="DD243" s="4"/>
      <x:c r="DE243" s="4"/>
      <x:c r="DF243" s="4"/>
      <x:c r="DG243" s="4"/>
      <x:c r="DH243" s="4"/>
      <x:c r="DI243" s="4"/>
      <x:c r="DJ243" s="4"/>
      <x:c r="DK243" s="4"/>
      <x:c r="DL243" s="4"/>
      <x:c r="DM243" s="4"/>
      <x:c r="DN243" s="4"/>
      <x:c r="DO243" s="4"/>
      <x:c r="DP243" s="4"/>
      <x:c r="DQ243" s="4"/>
      <x:c r="DR243" s="4"/>
      <x:c r="DS243" s="4"/>
      <x:c r="DT243" s="4"/>
      <x:c r="DU243" s="4"/>
      <x:c r="DV243" s="4"/>
      <x:c r="DW243" s="4"/>
      <x:c r="DX243" s="4"/>
      <x:c r="DY243" s="4"/>
      <x:c r="DZ243" s="4"/>
      <x:c r="EA243" s="4"/>
      <x:c r="EB243" s="4"/>
      <x:c r="EC243" s="4"/>
      <x:c r="ED243" s="4"/>
      <x:c r="EE243" s="4"/>
      <x:c r="EF243" s="4"/>
      <x:c r="EG243" s="4"/>
      <x:c r="EH243" s="4"/>
      <x:c r="EI243" s="4"/>
      <x:c r="EJ243" s="4"/>
      <x:c r="EK243" s="4"/>
      <x:c r="EL243" s="4"/>
      <x:c r="EM243" s="4"/>
      <x:c r="EN243" s="4"/>
      <x:c r="EO243" s="4"/>
      <x:c r="EP243" s="4"/>
      <x:c r="EQ243" s="4"/>
      <x:c r="ER243" s="4"/>
      <x:c r="ES243" s="4"/>
      <x:c r="ET243" s="4"/>
      <x:c r="EU243" s="4"/>
      <x:c r="EV243" s="4"/>
      <x:c r="EW243" s="4"/>
      <x:c r="EX243" s="4"/>
      <x:c r="EY243" s="4"/>
      <x:c r="EZ243" s="4"/>
      <x:c r="FA243" s="4"/>
      <x:c r="FB243" s="4"/>
      <x:c r="FC243" s="4"/>
      <x:c r="FD243" s="4"/>
      <x:c r="FE243" s="4"/>
      <x:c r="FF243" s="4"/>
      <x:c r="FG243" s="4"/>
      <x:c r="FH243" s="4"/>
      <x:c r="FI243" s="4"/>
      <x:c r="FJ243" s="4"/>
      <x:c r="FK243" s="4"/>
      <x:c r="FL243" s="4"/>
      <x:c r="FM243" s="4"/>
      <x:c r="FN243" s="4"/>
      <x:c r="FO243" s="4"/>
    </x:row>
    <x:row r="244">
      <x:c r="A244" s="72"/>
      <x:c r="B244" s="72"/>
      <x:c r="C244" s="72"/>
      <x:c r="D244" s="72"/>
      <x:c r="E244" s="72"/>
      <x:c r="F244" s="72"/>
      <x:c r="G244" s="72"/>
      <x:c r="H244" s="72"/>
      <x:c r="I244" s="72"/>
      <x:c r="J244" s="72"/>
      <x:c r="K244" s="72"/>
      <x:c r="L244" s="72"/>
      <x:c r="M244" s="72"/>
      <x:c r="N244" s="72"/>
      <x:c r="O244" s="72"/>
      <x:c r="P244" s="72"/>
      <x:c r="Q244" s="72"/>
      <x:c r="R244" s="72"/>
      <x:c r="S244" s="72"/>
      <x:c r="T244" s="72"/>
      <x:c r="U244" s="72"/>
      <x:c r="V244" s="72"/>
      <x:c r="W244" s="72"/>
      <x:c r="X244" s="72"/>
      <x:c r="Y244" s="72"/>
      <x:c r="Z244" s="72"/>
      <x:c r="AA244" s="72"/>
      <x:c r="AB244" s="72"/>
      <x:c r="AC244" s="72"/>
      <x:c r="AD244" s="72"/>
      <x:c r="AE244" s="72"/>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x:c r="BN244" s="4"/>
      <x:c r="BO244" s="4"/>
      <x:c r="BP244" s="4"/>
      <x:c r="BQ244" s="4"/>
      <x:c r="BR244" s="4"/>
      <x:c r="BS244" s="4"/>
      <x:c r="BT244" s="4"/>
      <x:c r="BU244" s="4"/>
      <x:c r="BV244" s="4"/>
      <x:c r="BW244" s="4"/>
      <x:c r="BX244" s="4"/>
      <x:c r="BY244" s="4"/>
      <x:c r="BZ244" s="4"/>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x:c r="DB244" s="4"/>
      <x:c r="DC244" s="4"/>
      <x:c r="DD244" s="4"/>
      <x:c r="DE244" s="4"/>
      <x:c r="DF244" s="4"/>
      <x:c r="DG244" s="4"/>
      <x:c r="DH244" s="4"/>
      <x:c r="DI244" s="4"/>
      <x:c r="DJ244" s="4"/>
      <x:c r="DK244" s="4"/>
      <x:c r="DL244" s="4"/>
      <x:c r="DM244" s="4"/>
      <x:c r="DN244" s="4"/>
      <x:c r="DO244" s="4"/>
      <x:c r="DP244" s="4"/>
      <x:c r="DQ244" s="4"/>
      <x:c r="DR244" s="4"/>
      <x:c r="DS244" s="4"/>
      <x:c r="DT244" s="4"/>
      <x:c r="DU244" s="4"/>
      <x:c r="DV244" s="4"/>
      <x:c r="DW244" s="4"/>
      <x:c r="DX244" s="4"/>
      <x:c r="DY244" s="4"/>
      <x:c r="DZ244" s="4"/>
      <x:c r="EA244" s="4"/>
      <x:c r="EB244" s="4"/>
      <x:c r="EC244" s="4"/>
      <x:c r="ED244" s="4"/>
      <x:c r="EE244" s="4"/>
      <x:c r="EF244" s="4"/>
      <x:c r="EG244" s="4"/>
      <x:c r="EH244" s="4"/>
      <x:c r="EI244" s="4"/>
      <x:c r="EJ244" s="4"/>
      <x:c r="EK244" s="4"/>
      <x:c r="EL244" s="4"/>
      <x:c r="EM244" s="4"/>
      <x:c r="EN244" s="4"/>
      <x:c r="EO244" s="4"/>
      <x:c r="EP244" s="4"/>
      <x:c r="EQ244" s="4"/>
      <x:c r="ER244" s="4"/>
      <x:c r="ES244" s="4"/>
      <x:c r="ET244" s="4"/>
      <x:c r="EU244" s="4"/>
      <x:c r="EV244" s="4"/>
      <x:c r="EW244" s="4"/>
      <x:c r="EX244" s="4"/>
      <x:c r="EY244" s="4"/>
      <x:c r="EZ244" s="4"/>
      <x:c r="FA244" s="4"/>
      <x:c r="FB244" s="4"/>
      <x:c r="FC244" s="4"/>
      <x:c r="FD244" s="4"/>
      <x:c r="FE244" s="4"/>
      <x:c r="FF244" s="4"/>
      <x:c r="FG244" s="4"/>
      <x:c r="FH244" s="4"/>
      <x:c r="FI244" s="4"/>
      <x:c r="FJ244" s="4"/>
      <x:c r="FK244" s="4"/>
      <x:c r="FL244" s="4"/>
      <x:c r="FM244" s="4"/>
      <x:c r="FN244" s="4"/>
      <x:c r="FO244" s="4"/>
    </x:row>
    <x:row r="245">
      <x:c r="A245" s="72"/>
      <x:c r="B245" s="72"/>
      <x:c r="C245" s="72"/>
      <x:c r="D245" s="72"/>
      <x:c r="E245" s="72"/>
      <x:c r="F245" s="72"/>
      <x:c r="G245" s="72"/>
      <x:c r="H245" s="72"/>
      <x:c r="I245" s="72"/>
      <x:c r="J245" s="72"/>
      <x:c r="K245" s="72"/>
      <x:c r="L245" s="72"/>
      <x:c r="M245" s="72"/>
      <x:c r="N245" s="72"/>
      <x:c r="O245" s="72"/>
      <x:c r="P245" s="72"/>
      <x:c r="Q245" s="72"/>
      <x:c r="R245" s="72"/>
      <x:c r="S245" s="72"/>
      <x:c r="T245" s="72"/>
      <x:c r="U245" s="72"/>
      <x:c r="V245" s="72"/>
      <x:c r="W245" s="72"/>
      <x:c r="X245" s="72"/>
      <x:c r="Y245" s="72"/>
      <x:c r="Z245" s="72"/>
      <x:c r="AA245" s="72"/>
      <x:c r="AB245" s="72"/>
      <x:c r="AC245" s="72"/>
      <x:c r="AD245" s="72"/>
      <x:c r="AE245" s="72"/>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x:c r="BN245" s="4"/>
      <x:c r="BO245" s="4"/>
      <x:c r="BP245" s="4"/>
      <x:c r="BQ245" s="4"/>
      <x:c r="BR245" s="4"/>
      <x:c r="BS245" s="4"/>
      <x:c r="BT245" s="4"/>
      <x:c r="BU245" s="4"/>
      <x:c r="BV245" s="4"/>
      <x:c r="BW245" s="4"/>
      <x:c r="BX245" s="4"/>
      <x:c r="BY245" s="4"/>
      <x:c r="BZ245" s="4"/>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x:c r="DB245" s="4"/>
      <x:c r="DC245" s="4"/>
      <x:c r="DD245" s="4"/>
      <x:c r="DE245" s="4"/>
      <x:c r="DF245" s="4"/>
      <x:c r="DG245" s="4"/>
      <x:c r="DH245" s="4"/>
      <x:c r="DI245" s="4"/>
      <x:c r="DJ245" s="4"/>
      <x:c r="DK245" s="4"/>
      <x:c r="DL245" s="4"/>
      <x:c r="DM245" s="4"/>
      <x:c r="DN245" s="4"/>
      <x:c r="DO245" s="4"/>
      <x:c r="DP245" s="4"/>
      <x:c r="DQ245" s="4"/>
      <x:c r="DR245" s="4"/>
      <x:c r="DS245" s="4"/>
      <x:c r="DT245" s="4"/>
      <x:c r="DU245" s="4"/>
      <x:c r="DV245" s="4"/>
      <x:c r="DW245" s="4"/>
      <x:c r="DX245" s="4"/>
      <x:c r="DY245" s="4"/>
      <x:c r="DZ245" s="4"/>
      <x:c r="EA245" s="4"/>
      <x:c r="EB245" s="4"/>
      <x:c r="EC245" s="4"/>
      <x:c r="ED245" s="4"/>
      <x:c r="EE245" s="4"/>
      <x:c r="EF245" s="4"/>
      <x:c r="EG245" s="4"/>
      <x:c r="EH245" s="4"/>
      <x:c r="EI245" s="4"/>
      <x:c r="EJ245" s="4"/>
      <x:c r="EK245" s="4"/>
      <x:c r="EL245" s="4"/>
      <x:c r="EM245" s="4"/>
      <x:c r="EN245" s="4"/>
      <x:c r="EO245" s="4"/>
      <x:c r="EP245" s="4"/>
      <x:c r="EQ245" s="4"/>
      <x:c r="ER245" s="4"/>
      <x:c r="ES245" s="4"/>
      <x:c r="ET245" s="4"/>
      <x:c r="EU245" s="4"/>
      <x:c r="EV245" s="4"/>
      <x:c r="EW245" s="4"/>
      <x:c r="EX245" s="4"/>
      <x:c r="EY245" s="4"/>
      <x:c r="EZ245" s="4"/>
      <x:c r="FA245" s="4"/>
      <x:c r="FB245" s="4"/>
      <x:c r="FC245" s="4"/>
      <x:c r="FD245" s="4"/>
      <x:c r="FE245" s="4"/>
      <x:c r="FF245" s="4"/>
      <x:c r="FG245" s="4"/>
      <x:c r="FH245" s="4"/>
      <x:c r="FI245" s="4"/>
      <x:c r="FJ245" s="4"/>
      <x:c r="FK245" s="4"/>
      <x:c r="FL245" s="4"/>
      <x:c r="FM245" s="4"/>
      <x:c r="FN245" s="4"/>
      <x:c r="FO245" s="4"/>
    </x:row>
    <x:row r="246">
      <x:c r="A246" s="72"/>
      <x:c r="B246" s="72"/>
      <x:c r="C246" s="72"/>
      <x:c r="D246" s="72"/>
      <x:c r="E246" s="72"/>
      <x:c r="F246" s="72"/>
      <x:c r="G246" s="72"/>
      <x:c r="H246" s="72"/>
      <x:c r="I246" s="72"/>
      <x:c r="J246" s="72"/>
      <x:c r="K246" s="72"/>
      <x:c r="L246" s="72"/>
      <x:c r="M246" s="72"/>
      <x:c r="N246" s="72"/>
      <x:c r="O246" s="72"/>
      <x:c r="P246" s="72"/>
      <x:c r="Q246" s="72"/>
      <x:c r="R246" s="72"/>
      <x:c r="S246" s="72"/>
      <x:c r="T246" s="72"/>
      <x:c r="U246" s="72"/>
      <x:c r="V246" s="72"/>
      <x:c r="W246" s="72"/>
      <x:c r="X246" s="72"/>
      <x:c r="Y246" s="72"/>
      <x:c r="Z246" s="72"/>
      <x:c r="AA246" s="72"/>
      <x:c r="AB246" s="72"/>
      <x:c r="AC246" s="72"/>
      <x:c r="AD246" s="72"/>
      <x:c r="AE246" s="72"/>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x:c r="BN246" s="4"/>
      <x:c r="BO246" s="4"/>
      <x:c r="BP246" s="4"/>
      <x:c r="BQ246" s="4"/>
      <x:c r="BR246" s="4"/>
      <x:c r="BS246" s="4"/>
      <x:c r="BT246" s="4"/>
      <x:c r="BU246" s="4"/>
      <x:c r="BV246" s="4"/>
      <x:c r="BW246" s="4"/>
      <x:c r="BX246" s="4"/>
      <x:c r="BY246" s="4"/>
      <x:c r="BZ246" s="4"/>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x:c r="DB246" s="4"/>
      <x:c r="DC246" s="4"/>
      <x:c r="DD246" s="4"/>
      <x:c r="DE246" s="4"/>
      <x:c r="DF246" s="4"/>
      <x:c r="DG246" s="4"/>
      <x:c r="DH246" s="4"/>
      <x:c r="DI246" s="4"/>
      <x:c r="DJ246" s="4"/>
      <x:c r="DK246" s="4"/>
      <x:c r="DL246" s="4"/>
      <x:c r="DM246" s="4"/>
      <x:c r="DN246" s="4"/>
      <x:c r="DO246" s="4"/>
      <x:c r="DP246" s="4"/>
      <x:c r="DQ246" s="4"/>
      <x:c r="DR246" s="4"/>
      <x:c r="DS246" s="4"/>
      <x:c r="DT246" s="4"/>
      <x:c r="DU246" s="4"/>
      <x:c r="DV246" s="4"/>
      <x:c r="DW246" s="4"/>
      <x:c r="DX246" s="4"/>
      <x:c r="DY246" s="4"/>
      <x:c r="DZ246" s="4"/>
      <x:c r="EA246" s="4"/>
      <x:c r="EB246" s="4"/>
      <x:c r="EC246" s="4"/>
      <x:c r="ED246" s="4"/>
      <x:c r="EE246" s="4"/>
      <x:c r="EF246" s="4"/>
      <x:c r="EG246" s="4"/>
      <x:c r="EH246" s="4"/>
      <x:c r="EI246" s="4"/>
      <x:c r="EJ246" s="4"/>
      <x:c r="EK246" s="4"/>
      <x:c r="EL246" s="4"/>
      <x:c r="EM246" s="4"/>
      <x:c r="EN246" s="4"/>
      <x:c r="EO246" s="4"/>
      <x:c r="EP246" s="4"/>
      <x:c r="EQ246" s="4"/>
      <x:c r="ER246" s="4"/>
      <x:c r="ES246" s="4"/>
      <x:c r="ET246" s="4"/>
      <x:c r="EU246" s="4"/>
      <x:c r="EV246" s="4"/>
      <x:c r="EW246" s="4"/>
      <x:c r="EX246" s="4"/>
      <x:c r="EY246" s="4"/>
      <x:c r="EZ246" s="4"/>
      <x:c r="FA246" s="4"/>
      <x:c r="FB246" s="4"/>
      <x:c r="FC246" s="4"/>
      <x:c r="FD246" s="4"/>
      <x:c r="FE246" s="4"/>
      <x:c r="FF246" s="4"/>
      <x:c r="FG246" s="4"/>
      <x:c r="FH246" s="4"/>
      <x:c r="FI246" s="4"/>
      <x:c r="FJ246" s="4"/>
      <x:c r="FK246" s="4"/>
      <x:c r="FL246" s="4"/>
      <x:c r="FM246" s="4"/>
      <x:c r="FN246" s="4"/>
      <x:c r="FO246" s="4"/>
    </x:row>
    <x:row r="247">
      <x:c r="A247" s="72"/>
      <x:c r="B247" s="72"/>
      <x:c r="C247" s="72"/>
      <x:c r="D247" s="72"/>
      <x:c r="E247" s="72"/>
      <x:c r="F247" s="72"/>
      <x:c r="G247" s="72"/>
      <x:c r="H247" s="72"/>
      <x:c r="I247" s="72"/>
      <x:c r="J247" s="72"/>
      <x:c r="K247" s="72"/>
      <x:c r="L247" s="72"/>
      <x:c r="M247" s="72"/>
      <x:c r="N247" s="72"/>
      <x:c r="O247" s="72"/>
      <x:c r="P247" s="72"/>
      <x:c r="Q247" s="72"/>
      <x:c r="R247" s="72"/>
      <x:c r="S247" s="72"/>
      <x:c r="T247" s="72"/>
      <x:c r="U247" s="72"/>
      <x:c r="V247" s="72"/>
      <x:c r="W247" s="72"/>
      <x:c r="X247" s="72"/>
      <x:c r="Y247" s="72"/>
      <x:c r="Z247" s="72"/>
      <x:c r="AA247" s="72"/>
      <x:c r="AB247" s="72"/>
      <x:c r="AC247" s="72"/>
      <x:c r="AD247" s="72"/>
      <x:c r="AE247" s="72"/>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x:c r="BN247" s="4"/>
      <x:c r="BO247" s="4"/>
      <x:c r="BP247" s="4"/>
      <x:c r="BQ247" s="4"/>
      <x:c r="BR247" s="4"/>
      <x:c r="BS247" s="4"/>
      <x:c r="BT247" s="4"/>
      <x:c r="BU247" s="4"/>
      <x:c r="BV247" s="4"/>
      <x:c r="BW247" s="4"/>
      <x:c r="BX247" s="4"/>
      <x:c r="BY247" s="4"/>
      <x:c r="BZ247" s="4"/>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x:c r="DB247" s="4"/>
      <x:c r="DC247" s="4"/>
      <x:c r="DD247" s="4"/>
      <x:c r="DE247" s="4"/>
      <x:c r="DF247" s="4"/>
      <x:c r="DG247" s="4"/>
      <x:c r="DH247" s="4"/>
      <x:c r="DI247" s="4"/>
      <x:c r="DJ247" s="4"/>
      <x:c r="DK247" s="4"/>
      <x:c r="DL247" s="4"/>
      <x:c r="DM247" s="4"/>
      <x:c r="DN247" s="4"/>
      <x:c r="DO247" s="4"/>
      <x:c r="DP247" s="4"/>
      <x:c r="DQ247" s="4"/>
      <x:c r="DR247" s="4"/>
      <x:c r="DS247" s="4"/>
      <x:c r="DT247" s="4"/>
      <x:c r="DU247" s="4"/>
      <x:c r="DV247" s="4"/>
      <x:c r="DW247" s="4"/>
      <x:c r="DX247" s="4"/>
      <x:c r="DY247" s="4"/>
      <x:c r="DZ247" s="4"/>
      <x:c r="EA247" s="4"/>
      <x:c r="EB247" s="4"/>
      <x:c r="EC247" s="4"/>
      <x:c r="ED247" s="4"/>
      <x:c r="EE247" s="4"/>
      <x:c r="EF247" s="4"/>
      <x:c r="EG247" s="4"/>
      <x:c r="EH247" s="4"/>
      <x:c r="EI247" s="4"/>
      <x:c r="EJ247" s="4"/>
      <x:c r="EK247" s="4"/>
      <x:c r="EL247" s="4"/>
      <x:c r="EM247" s="4"/>
      <x:c r="EN247" s="4"/>
      <x:c r="EO247" s="4"/>
      <x:c r="EP247" s="4"/>
      <x:c r="EQ247" s="4"/>
      <x:c r="ER247" s="4"/>
      <x:c r="ES247" s="4"/>
      <x:c r="ET247" s="4"/>
      <x:c r="EU247" s="4"/>
      <x:c r="EV247" s="4"/>
      <x:c r="EW247" s="4"/>
      <x:c r="EX247" s="4"/>
      <x:c r="EY247" s="4"/>
      <x:c r="EZ247" s="4"/>
      <x:c r="FA247" s="4"/>
      <x:c r="FB247" s="4"/>
      <x:c r="FC247" s="4"/>
      <x:c r="FD247" s="4"/>
      <x:c r="FE247" s="4"/>
      <x:c r="FF247" s="4"/>
      <x:c r="FG247" s="4"/>
      <x:c r="FH247" s="4"/>
      <x:c r="FI247" s="4"/>
      <x:c r="FJ247" s="4"/>
      <x:c r="FK247" s="4"/>
      <x:c r="FL247" s="4"/>
      <x:c r="FM247" s="4"/>
      <x:c r="FN247" s="4"/>
      <x:c r="FO247" s="4"/>
    </x:row>
    <x:row r="248">
      <x:c r="A248" s="72"/>
      <x:c r="B248" s="72"/>
      <x:c r="C248" s="72"/>
      <x:c r="D248" s="72"/>
      <x:c r="E248" s="72"/>
      <x:c r="F248" s="72"/>
      <x:c r="G248" s="72"/>
      <x:c r="H248" s="72"/>
      <x:c r="I248" s="72"/>
      <x:c r="J248" s="72"/>
      <x:c r="K248" s="72"/>
      <x:c r="L248" s="72"/>
      <x:c r="M248" s="72"/>
      <x:c r="N248" s="72"/>
      <x:c r="O248" s="72"/>
      <x:c r="P248" s="72"/>
      <x:c r="Q248" s="72"/>
      <x:c r="R248" s="72"/>
      <x:c r="S248" s="72"/>
      <x:c r="T248" s="72"/>
      <x:c r="U248" s="72"/>
      <x:c r="V248" s="72"/>
      <x:c r="W248" s="72"/>
      <x:c r="X248" s="72"/>
      <x:c r="Y248" s="72"/>
      <x:c r="Z248" s="72"/>
      <x:c r="AA248" s="72"/>
      <x:c r="AB248" s="72"/>
      <x:c r="AC248" s="72"/>
      <x:c r="AD248" s="72"/>
      <x:c r="AE248" s="72"/>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x:c r="BN248" s="4"/>
      <x:c r="BO248" s="4"/>
      <x:c r="BP248" s="4"/>
      <x:c r="BQ248" s="4"/>
      <x:c r="BR248" s="4"/>
      <x:c r="BS248" s="4"/>
      <x:c r="BT248" s="4"/>
      <x:c r="BU248" s="4"/>
      <x:c r="BV248" s="4"/>
      <x:c r="BW248" s="4"/>
      <x:c r="BX248" s="4"/>
      <x:c r="BY248" s="4"/>
      <x:c r="BZ248" s="4"/>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x:c r="DB248" s="4"/>
      <x:c r="DC248" s="4"/>
      <x:c r="DD248" s="4"/>
      <x:c r="DE248" s="4"/>
      <x:c r="DF248" s="4"/>
      <x:c r="DG248" s="4"/>
      <x:c r="DH248" s="4"/>
      <x:c r="DI248" s="4"/>
      <x:c r="DJ248" s="4"/>
      <x:c r="DK248" s="4"/>
      <x:c r="DL248" s="4"/>
      <x:c r="DM248" s="4"/>
      <x:c r="DN248" s="4"/>
      <x:c r="DO248" s="4"/>
      <x:c r="DP248" s="4"/>
      <x:c r="DQ248" s="4"/>
      <x:c r="DR248" s="4"/>
      <x:c r="DS248" s="4"/>
      <x:c r="DT248" s="4"/>
      <x:c r="DU248" s="4"/>
      <x:c r="DV248" s="4"/>
      <x:c r="DW248" s="4"/>
      <x:c r="DX248" s="4"/>
      <x:c r="DY248" s="4"/>
      <x:c r="DZ248" s="4"/>
      <x:c r="EA248" s="4"/>
      <x:c r="EB248" s="4"/>
      <x:c r="EC248" s="4"/>
      <x:c r="ED248" s="4"/>
      <x:c r="EE248" s="4"/>
      <x:c r="EF248" s="4"/>
      <x:c r="EG248" s="4"/>
      <x:c r="EH248" s="4"/>
      <x:c r="EI248" s="4"/>
      <x:c r="EJ248" s="4"/>
      <x:c r="EK248" s="4"/>
      <x:c r="EL248" s="4"/>
      <x:c r="EM248" s="4"/>
      <x:c r="EN248" s="4"/>
      <x:c r="EO248" s="4"/>
      <x:c r="EP248" s="4"/>
      <x:c r="EQ248" s="4"/>
      <x:c r="ER248" s="4"/>
      <x:c r="ES248" s="4"/>
      <x:c r="ET248" s="4"/>
      <x:c r="EU248" s="4"/>
      <x:c r="EV248" s="4"/>
      <x:c r="EW248" s="4"/>
      <x:c r="EX248" s="4"/>
      <x:c r="EY248" s="4"/>
      <x:c r="EZ248" s="4"/>
      <x:c r="FA248" s="4"/>
      <x:c r="FB248" s="4"/>
      <x:c r="FC248" s="4"/>
      <x:c r="FD248" s="4"/>
      <x:c r="FE248" s="4"/>
      <x:c r="FF248" s="4"/>
      <x:c r="FG248" s="4"/>
      <x:c r="FH248" s="4"/>
      <x:c r="FI248" s="4"/>
      <x:c r="FJ248" s="4"/>
      <x:c r="FK248" s="4"/>
      <x:c r="FL248" s="4"/>
      <x:c r="FM248" s="4"/>
      <x:c r="FN248" s="4"/>
      <x:c r="FO248" s="4"/>
    </x:row>
    <x:row r="249">
      <x:c r="A249" s="72"/>
      <x:c r="B249" s="72"/>
      <x:c r="C249" s="72"/>
      <x:c r="D249" s="72"/>
      <x:c r="E249" s="72"/>
      <x:c r="F249" s="72"/>
      <x:c r="G249" s="72"/>
      <x:c r="H249" s="72"/>
      <x:c r="I249" s="72"/>
      <x:c r="J249" s="72"/>
      <x:c r="K249" s="72"/>
      <x:c r="L249" s="72"/>
      <x:c r="M249" s="72"/>
      <x:c r="N249" s="72"/>
      <x:c r="O249" s="72"/>
      <x:c r="P249" s="72"/>
      <x:c r="Q249" s="72"/>
      <x:c r="R249" s="72"/>
      <x:c r="S249" s="72"/>
      <x:c r="T249" s="72"/>
      <x:c r="U249" s="72"/>
      <x:c r="V249" s="72"/>
      <x:c r="W249" s="72"/>
      <x:c r="X249" s="72"/>
      <x:c r="Y249" s="72"/>
      <x:c r="Z249" s="72"/>
      <x:c r="AA249" s="72"/>
      <x:c r="AB249" s="72"/>
      <x:c r="AC249" s="72"/>
      <x:c r="AD249" s="72"/>
      <x:c r="AE249" s="72"/>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x:c r="BN249" s="4"/>
      <x:c r="BO249" s="4"/>
      <x:c r="BP249" s="4"/>
      <x:c r="BQ249" s="4"/>
      <x:c r="BR249" s="4"/>
      <x:c r="BS249" s="4"/>
      <x:c r="BT249" s="4"/>
      <x:c r="BU249" s="4"/>
      <x:c r="BV249" s="4"/>
      <x:c r="BW249" s="4"/>
      <x:c r="BX249" s="4"/>
      <x:c r="BY249" s="4"/>
      <x:c r="BZ249" s="4"/>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x:c r="DB249" s="4"/>
      <x:c r="DC249" s="4"/>
      <x:c r="DD249" s="4"/>
      <x:c r="DE249" s="4"/>
      <x:c r="DF249" s="4"/>
      <x:c r="DG249" s="4"/>
      <x:c r="DH249" s="4"/>
      <x:c r="DI249" s="4"/>
      <x:c r="DJ249" s="4"/>
      <x:c r="DK249" s="4"/>
      <x:c r="DL249" s="4"/>
      <x:c r="DM249" s="4"/>
      <x:c r="DN249" s="4"/>
      <x:c r="DO249" s="4"/>
      <x:c r="DP249" s="4"/>
      <x:c r="DQ249" s="4"/>
      <x:c r="DR249" s="4"/>
      <x:c r="DS249" s="4"/>
      <x:c r="DT249" s="4"/>
      <x:c r="DU249" s="4"/>
      <x:c r="DV249" s="4"/>
      <x:c r="DW249" s="4"/>
      <x:c r="DX249" s="4"/>
      <x:c r="DY249" s="4"/>
      <x:c r="DZ249" s="4"/>
      <x:c r="EA249" s="4"/>
      <x:c r="EB249" s="4"/>
      <x:c r="EC249" s="4"/>
      <x:c r="ED249" s="4"/>
      <x:c r="EE249" s="4"/>
      <x:c r="EF249" s="4"/>
      <x:c r="EG249" s="4"/>
      <x:c r="EH249" s="4"/>
      <x:c r="EI249" s="4"/>
      <x:c r="EJ249" s="4"/>
      <x:c r="EK249" s="4"/>
      <x:c r="EL249" s="4"/>
      <x:c r="EM249" s="4"/>
      <x:c r="EN249" s="4"/>
      <x:c r="EO249" s="4"/>
      <x:c r="EP249" s="4"/>
      <x:c r="EQ249" s="4"/>
      <x:c r="ER249" s="4"/>
      <x:c r="ES249" s="4"/>
      <x:c r="ET249" s="4"/>
      <x:c r="EU249" s="4"/>
      <x:c r="EV249" s="4"/>
      <x:c r="EW249" s="4"/>
      <x:c r="EX249" s="4"/>
      <x:c r="EY249" s="4"/>
      <x:c r="EZ249" s="4"/>
      <x:c r="FA249" s="4"/>
      <x:c r="FB249" s="4"/>
      <x:c r="FC249" s="4"/>
      <x:c r="FD249" s="4"/>
      <x:c r="FE249" s="4"/>
      <x:c r="FF249" s="4"/>
      <x:c r="FG249" s="4"/>
      <x:c r="FH249" s="4"/>
      <x:c r="FI249" s="4"/>
      <x:c r="FJ249" s="4"/>
      <x:c r="FK249" s="4"/>
      <x:c r="FL249" s="4"/>
      <x:c r="FM249" s="4"/>
      <x:c r="FN249" s="4"/>
      <x:c r="FO249" s="4"/>
    </x:row>
    <x:row r="250">
      <x:c r="A250" s="72"/>
      <x:c r="B250" s="72"/>
      <x:c r="C250" s="72"/>
      <x:c r="D250" s="72"/>
      <x:c r="E250" s="72"/>
      <x:c r="F250" s="72"/>
      <x:c r="G250" s="72"/>
      <x:c r="H250" s="72"/>
      <x:c r="I250" s="72"/>
      <x:c r="J250" s="72"/>
      <x:c r="K250" s="72"/>
      <x:c r="L250" s="72"/>
      <x:c r="M250" s="72"/>
      <x:c r="N250" s="72"/>
      <x:c r="O250" s="72"/>
      <x:c r="P250" s="72"/>
      <x:c r="Q250" s="72"/>
      <x:c r="R250" s="72"/>
      <x:c r="S250" s="72"/>
      <x:c r="T250" s="72"/>
      <x:c r="U250" s="72"/>
      <x:c r="V250" s="72"/>
      <x:c r="W250" s="72"/>
      <x:c r="X250" s="72"/>
      <x:c r="Y250" s="72"/>
      <x:c r="Z250" s="72"/>
      <x:c r="AA250" s="72"/>
      <x:c r="AB250" s="72"/>
      <x:c r="AC250" s="72"/>
      <x:c r="AD250" s="72"/>
      <x:c r="AE250" s="72"/>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x:c r="BN250" s="4"/>
      <x:c r="BO250" s="4"/>
      <x:c r="BP250" s="4"/>
      <x:c r="BQ250" s="4"/>
      <x:c r="BR250" s="4"/>
      <x:c r="BS250" s="4"/>
      <x:c r="BT250" s="4"/>
      <x:c r="BU250" s="4"/>
      <x:c r="BV250" s="4"/>
      <x:c r="BW250" s="4"/>
      <x:c r="BX250" s="4"/>
      <x:c r="BY250" s="4"/>
      <x:c r="BZ250" s="4"/>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x:c r="DB250" s="4"/>
      <x:c r="DC250" s="4"/>
      <x:c r="DD250" s="4"/>
      <x:c r="DE250" s="4"/>
      <x:c r="DF250" s="4"/>
      <x:c r="DG250" s="4"/>
      <x:c r="DH250" s="4"/>
      <x:c r="DI250" s="4"/>
      <x:c r="DJ250" s="4"/>
      <x:c r="DK250" s="4"/>
      <x:c r="DL250" s="4"/>
      <x:c r="DM250" s="4"/>
      <x:c r="DN250" s="4"/>
      <x:c r="DO250" s="4"/>
      <x:c r="DP250" s="4"/>
      <x:c r="DQ250" s="4"/>
      <x:c r="DR250" s="4"/>
      <x:c r="DS250" s="4"/>
      <x:c r="DT250" s="4"/>
      <x:c r="DU250" s="4"/>
      <x:c r="DV250" s="4"/>
      <x:c r="DW250" s="4"/>
      <x:c r="DX250" s="4"/>
      <x:c r="DY250" s="4"/>
      <x:c r="DZ250" s="4"/>
      <x:c r="EA250" s="4"/>
      <x:c r="EB250" s="4"/>
      <x:c r="EC250" s="4"/>
      <x:c r="ED250" s="4"/>
      <x:c r="EE250" s="4"/>
      <x:c r="EF250" s="4"/>
      <x:c r="EG250" s="4"/>
      <x:c r="EH250" s="4"/>
      <x:c r="EI250" s="4"/>
      <x:c r="EJ250" s="4"/>
      <x:c r="EK250" s="4"/>
      <x:c r="EL250" s="4"/>
      <x:c r="EM250" s="4"/>
      <x:c r="EN250" s="4"/>
      <x:c r="EO250" s="4"/>
      <x:c r="EP250" s="4"/>
      <x:c r="EQ250" s="4"/>
      <x:c r="ER250" s="4"/>
      <x:c r="ES250" s="4"/>
      <x:c r="ET250" s="4"/>
      <x:c r="EU250" s="4"/>
      <x:c r="EV250" s="4"/>
      <x:c r="EW250" s="4"/>
      <x:c r="EX250" s="4"/>
      <x:c r="EY250" s="4"/>
      <x:c r="EZ250" s="4"/>
      <x:c r="FA250" s="4"/>
      <x:c r="FB250" s="4"/>
      <x:c r="FC250" s="4"/>
      <x:c r="FD250" s="4"/>
      <x:c r="FE250" s="4"/>
      <x:c r="FF250" s="4"/>
      <x:c r="FG250" s="4"/>
      <x:c r="FH250" s="4"/>
      <x:c r="FI250" s="4"/>
      <x:c r="FJ250" s="4"/>
      <x:c r="FK250" s="4"/>
      <x:c r="FL250" s="4"/>
      <x:c r="FM250" s="4"/>
      <x:c r="FN250" s="4"/>
      <x:c r="FO250" s="4"/>
    </x:row>
    <x:row r="251">
      <x:c r="A251" s="72"/>
      <x:c r="B251" s="72"/>
      <x:c r="C251" s="72"/>
      <x:c r="D251" s="72"/>
      <x:c r="E251" s="72"/>
      <x:c r="F251" s="72"/>
      <x:c r="G251" s="72"/>
      <x:c r="H251" s="72"/>
      <x:c r="I251" s="72"/>
      <x:c r="J251" s="72"/>
      <x:c r="K251" s="72"/>
      <x:c r="L251" s="72"/>
      <x:c r="M251" s="72"/>
      <x:c r="N251" s="72"/>
      <x:c r="O251" s="72"/>
      <x:c r="P251" s="72"/>
      <x:c r="Q251" s="72"/>
      <x:c r="R251" s="72"/>
      <x:c r="S251" s="72"/>
      <x:c r="T251" s="72"/>
      <x:c r="U251" s="72"/>
      <x:c r="V251" s="72"/>
      <x:c r="W251" s="72"/>
      <x:c r="X251" s="72"/>
      <x:c r="Y251" s="72"/>
      <x:c r="Z251" s="72"/>
      <x:c r="AA251" s="72"/>
      <x:c r="AB251" s="72"/>
      <x:c r="AC251" s="72"/>
      <x:c r="AD251" s="72"/>
      <x:c r="AE251" s="72"/>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x:c r="BN251" s="4"/>
      <x:c r="BO251" s="4"/>
      <x:c r="BP251" s="4"/>
      <x:c r="BQ251" s="4"/>
      <x:c r="BR251" s="4"/>
      <x:c r="BS251" s="4"/>
      <x:c r="BT251" s="4"/>
      <x:c r="BU251" s="4"/>
      <x:c r="BV251" s="4"/>
      <x:c r="BW251" s="4"/>
      <x:c r="BX251" s="4"/>
      <x:c r="BY251" s="4"/>
      <x:c r="BZ251" s="4"/>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x:c r="DB251" s="4"/>
      <x:c r="DC251" s="4"/>
      <x:c r="DD251" s="4"/>
      <x:c r="DE251" s="4"/>
      <x:c r="DF251" s="4"/>
      <x:c r="DG251" s="4"/>
      <x:c r="DH251" s="4"/>
      <x:c r="DI251" s="4"/>
      <x:c r="DJ251" s="4"/>
      <x:c r="DK251" s="4"/>
      <x:c r="DL251" s="4"/>
      <x:c r="DM251" s="4"/>
      <x:c r="DN251" s="4"/>
      <x:c r="DO251" s="4"/>
      <x:c r="DP251" s="4"/>
      <x:c r="DQ251" s="4"/>
      <x:c r="DR251" s="4"/>
      <x:c r="DS251" s="4"/>
      <x:c r="DT251" s="4"/>
      <x:c r="DU251" s="4"/>
      <x:c r="DV251" s="4"/>
      <x:c r="DW251" s="4"/>
      <x:c r="DX251" s="4"/>
      <x:c r="DY251" s="4"/>
      <x:c r="DZ251" s="4"/>
      <x:c r="EA251" s="4"/>
      <x:c r="EB251" s="4"/>
      <x:c r="EC251" s="4"/>
      <x:c r="ED251" s="4"/>
      <x:c r="EE251" s="4"/>
      <x:c r="EF251" s="4"/>
      <x:c r="EG251" s="4"/>
      <x:c r="EH251" s="4"/>
      <x:c r="EI251" s="4"/>
      <x:c r="EJ251" s="4"/>
      <x:c r="EK251" s="4"/>
      <x:c r="EL251" s="4"/>
      <x:c r="EM251" s="4"/>
      <x:c r="EN251" s="4"/>
      <x:c r="EO251" s="4"/>
      <x:c r="EP251" s="4"/>
      <x:c r="EQ251" s="4"/>
      <x:c r="ER251" s="4"/>
      <x:c r="ES251" s="4"/>
      <x:c r="ET251" s="4"/>
      <x:c r="EU251" s="4"/>
      <x:c r="EV251" s="4"/>
      <x:c r="EW251" s="4"/>
      <x:c r="EX251" s="4"/>
      <x:c r="EY251" s="4"/>
      <x:c r="EZ251" s="4"/>
      <x:c r="FA251" s="4"/>
      <x:c r="FB251" s="4"/>
      <x:c r="FC251" s="4"/>
      <x:c r="FD251" s="4"/>
      <x:c r="FE251" s="4"/>
      <x:c r="FF251" s="4"/>
      <x:c r="FG251" s="4"/>
      <x:c r="FH251" s="4"/>
      <x:c r="FI251" s="4"/>
      <x:c r="FJ251" s="4"/>
      <x:c r="FK251" s="4"/>
      <x:c r="FL251" s="4"/>
      <x:c r="FM251" s="4"/>
      <x:c r="FN251" s="4"/>
      <x:c r="FO251" s="4"/>
    </x:row>
    <x:row r="252">
      <x:c r="A252" s="72"/>
      <x:c r="B252" s="72"/>
      <x:c r="C252" s="72"/>
      <x:c r="D252" s="72"/>
      <x:c r="E252" s="72"/>
      <x:c r="F252" s="72"/>
      <x:c r="G252" s="72"/>
      <x:c r="H252" s="72"/>
      <x:c r="I252" s="72"/>
      <x:c r="J252" s="72"/>
      <x:c r="K252" s="72"/>
      <x:c r="L252" s="72"/>
      <x:c r="M252" s="72"/>
      <x:c r="N252" s="72"/>
      <x:c r="O252" s="72"/>
      <x:c r="P252" s="72"/>
      <x:c r="Q252" s="72"/>
      <x:c r="R252" s="72"/>
      <x:c r="S252" s="72"/>
      <x:c r="T252" s="72"/>
      <x:c r="U252" s="72"/>
      <x:c r="V252" s="72"/>
      <x:c r="W252" s="72"/>
      <x:c r="X252" s="72"/>
      <x:c r="Y252" s="72"/>
      <x:c r="Z252" s="72"/>
      <x:c r="AA252" s="72"/>
      <x:c r="AB252" s="72"/>
      <x:c r="AC252" s="72"/>
      <x:c r="AD252" s="72"/>
      <x:c r="AE252" s="72"/>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x:c r="BN252" s="4"/>
      <x:c r="BO252" s="4"/>
      <x:c r="BP252" s="4"/>
      <x:c r="BQ252" s="4"/>
      <x:c r="BR252" s="4"/>
      <x:c r="BS252" s="4"/>
      <x:c r="BT252" s="4"/>
      <x:c r="BU252" s="4"/>
      <x:c r="BV252" s="4"/>
      <x:c r="BW252" s="4"/>
      <x:c r="BX252" s="4"/>
      <x:c r="BY252" s="4"/>
      <x:c r="BZ252" s="4"/>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x:c r="DB252" s="4"/>
      <x:c r="DC252" s="4"/>
      <x:c r="DD252" s="4"/>
      <x:c r="DE252" s="4"/>
      <x:c r="DF252" s="4"/>
      <x:c r="DG252" s="4"/>
      <x:c r="DH252" s="4"/>
      <x:c r="DI252" s="4"/>
      <x:c r="DJ252" s="4"/>
      <x:c r="DK252" s="4"/>
      <x:c r="DL252" s="4"/>
      <x:c r="DM252" s="4"/>
      <x:c r="DN252" s="4"/>
      <x:c r="DO252" s="4"/>
      <x:c r="DP252" s="4"/>
      <x:c r="DQ252" s="4"/>
      <x:c r="DR252" s="4"/>
      <x:c r="DS252" s="4"/>
      <x:c r="DT252" s="4"/>
      <x:c r="DU252" s="4"/>
      <x:c r="DV252" s="4"/>
      <x:c r="DW252" s="4"/>
      <x:c r="DX252" s="4"/>
      <x:c r="DY252" s="4"/>
      <x:c r="DZ252" s="4"/>
      <x:c r="EA252" s="4"/>
      <x:c r="EB252" s="4"/>
      <x:c r="EC252" s="4"/>
      <x:c r="ED252" s="4"/>
      <x:c r="EE252" s="4"/>
      <x:c r="EF252" s="4"/>
      <x:c r="EG252" s="4"/>
      <x:c r="EH252" s="4"/>
      <x:c r="EI252" s="4"/>
      <x:c r="EJ252" s="4"/>
      <x:c r="EK252" s="4"/>
      <x:c r="EL252" s="4"/>
      <x:c r="EM252" s="4"/>
      <x:c r="EN252" s="4"/>
      <x:c r="EO252" s="4"/>
      <x:c r="EP252" s="4"/>
      <x:c r="EQ252" s="4"/>
      <x:c r="ER252" s="4"/>
      <x:c r="ES252" s="4"/>
      <x:c r="ET252" s="4"/>
      <x:c r="EU252" s="4"/>
      <x:c r="EV252" s="4"/>
      <x:c r="EW252" s="4"/>
      <x:c r="EX252" s="4"/>
      <x:c r="EY252" s="4"/>
      <x:c r="EZ252" s="4"/>
      <x:c r="FA252" s="4"/>
      <x:c r="FB252" s="4"/>
      <x:c r="FC252" s="4"/>
      <x:c r="FD252" s="4"/>
      <x:c r="FE252" s="4"/>
      <x:c r="FF252" s="4"/>
      <x:c r="FG252" s="4"/>
      <x:c r="FH252" s="4"/>
      <x:c r="FI252" s="4"/>
      <x:c r="FJ252" s="4"/>
      <x:c r="FK252" s="4"/>
      <x:c r="FL252" s="4"/>
      <x:c r="FM252" s="4"/>
      <x:c r="FN252" s="4"/>
      <x:c r="FO252" s="4"/>
    </x:row>
    <x:row r="253">
      <x:c r="A253" s="72"/>
      <x:c r="B253" s="72"/>
      <x:c r="C253" s="72"/>
      <x:c r="D253" s="72"/>
      <x:c r="E253" s="72"/>
      <x:c r="F253" s="72"/>
      <x:c r="G253" s="72"/>
      <x:c r="H253" s="72"/>
      <x:c r="I253" s="72"/>
      <x:c r="J253" s="72"/>
      <x:c r="K253" s="72"/>
      <x:c r="L253" s="72"/>
      <x:c r="M253" s="72"/>
      <x:c r="N253" s="72"/>
      <x:c r="O253" s="72"/>
      <x:c r="P253" s="72"/>
      <x:c r="Q253" s="72"/>
      <x:c r="R253" s="72"/>
      <x:c r="S253" s="72"/>
      <x:c r="T253" s="72"/>
      <x:c r="U253" s="72"/>
      <x:c r="V253" s="72"/>
      <x:c r="W253" s="72"/>
      <x:c r="X253" s="72"/>
      <x:c r="Y253" s="72"/>
      <x:c r="Z253" s="72"/>
      <x:c r="AA253" s="72"/>
      <x:c r="AB253" s="72"/>
      <x:c r="AC253" s="72"/>
      <x:c r="AD253" s="72"/>
      <x:c r="AE253" s="72"/>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x:c r="BN253" s="4"/>
      <x:c r="BO253" s="4"/>
      <x:c r="BP253" s="4"/>
      <x:c r="BQ253" s="4"/>
      <x:c r="BR253" s="4"/>
      <x:c r="BS253" s="4"/>
      <x:c r="BT253" s="4"/>
      <x:c r="BU253" s="4"/>
      <x:c r="BV253" s="4"/>
      <x:c r="BW253" s="4"/>
      <x:c r="BX253" s="4"/>
      <x:c r="BY253" s="4"/>
      <x:c r="BZ253" s="4"/>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x:c r="DB253" s="4"/>
      <x:c r="DC253" s="4"/>
      <x:c r="DD253" s="4"/>
      <x:c r="DE253" s="4"/>
      <x:c r="DF253" s="4"/>
      <x:c r="DG253" s="4"/>
      <x:c r="DH253" s="4"/>
      <x:c r="DI253" s="4"/>
      <x:c r="DJ253" s="4"/>
      <x:c r="DK253" s="4"/>
      <x:c r="DL253" s="4"/>
      <x:c r="DM253" s="4"/>
      <x:c r="DN253" s="4"/>
      <x:c r="DO253" s="4"/>
      <x:c r="DP253" s="4"/>
      <x:c r="DQ253" s="4"/>
      <x:c r="DR253" s="4"/>
      <x:c r="DS253" s="4"/>
      <x:c r="DT253" s="4"/>
      <x:c r="DU253" s="4"/>
      <x:c r="DV253" s="4"/>
      <x:c r="DW253" s="4"/>
      <x:c r="DX253" s="4"/>
      <x:c r="DY253" s="4"/>
      <x:c r="DZ253" s="4"/>
      <x:c r="EA253" s="4"/>
      <x:c r="EB253" s="4"/>
      <x:c r="EC253" s="4"/>
      <x:c r="ED253" s="4"/>
      <x:c r="EE253" s="4"/>
      <x:c r="EF253" s="4"/>
      <x:c r="EG253" s="4"/>
      <x:c r="EH253" s="4"/>
      <x:c r="EI253" s="4"/>
      <x:c r="EJ253" s="4"/>
      <x:c r="EK253" s="4"/>
      <x:c r="EL253" s="4"/>
      <x:c r="EM253" s="4"/>
      <x:c r="EN253" s="4"/>
      <x:c r="EO253" s="4"/>
      <x:c r="EP253" s="4"/>
      <x:c r="EQ253" s="4"/>
      <x:c r="ER253" s="4"/>
      <x:c r="ES253" s="4"/>
      <x:c r="ET253" s="4"/>
      <x:c r="EU253" s="4"/>
      <x:c r="EV253" s="4"/>
      <x:c r="EW253" s="4"/>
      <x:c r="EX253" s="4"/>
      <x:c r="EY253" s="4"/>
      <x:c r="EZ253" s="4"/>
      <x:c r="FA253" s="4"/>
      <x:c r="FB253" s="4"/>
      <x:c r="FC253" s="4"/>
      <x:c r="FD253" s="4"/>
      <x:c r="FE253" s="4"/>
      <x:c r="FF253" s="4"/>
      <x:c r="FG253" s="4"/>
      <x:c r="FH253" s="4"/>
      <x:c r="FI253" s="4"/>
      <x:c r="FJ253" s="4"/>
      <x:c r="FK253" s="4"/>
      <x:c r="FL253" s="4"/>
      <x:c r="FM253" s="4"/>
      <x:c r="FN253" s="4"/>
      <x:c r="FO253" s="4"/>
    </x:row>
    <x:row r="254">
      <x:c r="A254" s="72"/>
      <x:c r="B254" s="72"/>
      <x:c r="C254" s="72"/>
      <x:c r="D254" s="72"/>
      <x:c r="E254" s="72"/>
      <x:c r="F254" s="72"/>
      <x:c r="G254" s="72"/>
      <x:c r="H254" s="72"/>
      <x:c r="I254" s="72"/>
      <x:c r="J254" s="72"/>
      <x:c r="K254" s="72"/>
      <x:c r="L254" s="72"/>
      <x:c r="M254" s="72"/>
      <x:c r="N254" s="72"/>
      <x:c r="O254" s="72"/>
      <x:c r="P254" s="72"/>
      <x:c r="Q254" s="72"/>
      <x:c r="R254" s="72"/>
      <x:c r="S254" s="72"/>
      <x:c r="T254" s="72"/>
      <x:c r="U254" s="72"/>
      <x:c r="V254" s="72"/>
      <x:c r="W254" s="72"/>
      <x:c r="X254" s="72"/>
      <x:c r="Y254" s="72"/>
      <x:c r="Z254" s="72"/>
      <x:c r="AA254" s="72"/>
      <x:c r="AB254" s="72"/>
      <x:c r="AC254" s="72"/>
      <x:c r="AD254" s="72"/>
      <x:c r="AE254" s="72"/>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x:c r="BN254" s="4"/>
      <x:c r="BO254" s="4"/>
      <x:c r="BP254" s="4"/>
      <x:c r="BQ254" s="4"/>
      <x:c r="BR254" s="4"/>
      <x:c r="BS254" s="4"/>
      <x:c r="BT254" s="4"/>
      <x:c r="BU254" s="4"/>
      <x:c r="BV254" s="4"/>
      <x:c r="BW254" s="4"/>
      <x:c r="BX254" s="4"/>
      <x:c r="BY254" s="4"/>
      <x:c r="BZ254" s="4"/>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x:c r="DB254" s="4"/>
      <x:c r="DC254" s="4"/>
      <x:c r="DD254" s="4"/>
      <x:c r="DE254" s="4"/>
      <x:c r="DF254" s="4"/>
      <x:c r="DG254" s="4"/>
      <x:c r="DH254" s="4"/>
      <x:c r="DI254" s="4"/>
      <x:c r="DJ254" s="4"/>
      <x:c r="DK254" s="4"/>
      <x:c r="DL254" s="4"/>
      <x:c r="DM254" s="4"/>
      <x:c r="DN254" s="4"/>
      <x:c r="DO254" s="4"/>
      <x:c r="DP254" s="4"/>
      <x:c r="DQ254" s="4"/>
      <x:c r="DR254" s="4"/>
      <x:c r="DS254" s="4"/>
      <x:c r="DT254" s="4"/>
      <x:c r="DU254" s="4"/>
      <x:c r="DV254" s="4"/>
      <x:c r="DW254" s="4"/>
      <x:c r="DX254" s="4"/>
      <x:c r="DY254" s="4"/>
      <x:c r="DZ254" s="4"/>
      <x:c r="EA254" s="4"/>
      <x:c r="EB254" s="4"/>
      <x:c r="EC254" s="4"/>
      <x:c r="ED254" s="4"/>
      <x:c r="EE254" s="4"/>
      <x:c r="EF254" s="4"/>
      <x:c r="EG254" s="4"/>
      <x:c r="EH254" s="4"/>
      <x:c r="EI254" s="4"/>
      <x:c r="EJ254" s="4"/>
      <x:c r="EK254" s="4"/>
      <x:c r="EL254" s="4"/>
      <x:c r="EM254" s="4"/>
      <x:c r="EN254" s="4"/>
      <x:c r="EO254" s="4"/>
      <x:c r="EP254" s="4"/>
      <x:c r="EQ254" s="4"/>
      <x:c r="ER254" s="4"/>
      <x:c r="ES254" s="4"/>
      <x:c r="ET254" s="4"/>
      <x:c r="EU254" s="4"/>
      <x:c r="EV254" s="4"/>
      <x:c r="EW254" s="4"/>
      <x:c r="EX254" s="4"/>
      <x:c r="EY254" s="4"/>
      <x:c r="EZ254" s="4"/>
      <x:c r="FA254" s="4"/>
      <x:c r="FB254" s="4"/>
      <x:c r="FC254" s="4"/>
      <x:c r="FD254" s="4"/>
      <x:c r="FE254" s="4"/>
      <x:c r="FF254" s="4"/>
      <x:c r="FG254" s="4"/>
      <x:c r="FH254" s="4"/>
      <x:c r="FI254" s="4"/>
      <x:c r="FJ254" s="4"/>
      <x:c r="FK254" s="4"/>
      <x:c r="FL254" s="4"/>
      <x:c r="FM254" s="4"/>
      <x:c r="FN254" s="4"/>
      <x:c r="FO254" s="4"/>
    </x:row>
    <x:row r="255">
      <x:c r="A255" s="72"/>
      <x:c r="B255" s="72"/>
      <x:c r="C255" s="72"/>
      <x:c r="D255" s="72"/>
      <x:c r="E255" s="72"/>
      <x:c r="F255" s="72"/>
      <x:c r="G255" s="72"/>
      <x:c r="H255" s="72"/>
      <x:c r="I255" s="72"/>
      <x:c r="J255" s="72"/>
      <x:c r="K255" s="72"/>
      <x:c r="L255" s="72"/>
      <x:c r="M255" s="72"/>
      <x:c r="N255" s="72"/>
      <x:c r="O255" s="72"/>
      <x:c r="P255" s="72"/>
      <x:c r="Q255" s="72"/>
      <x:c r="R255" s="72"/>
      <x:c r="S255" s="72"/>
      <x:c r="T255" s="72"/>
      <x:c r="U255" s="72"/>
      <x:c r="V255" s="72"/>
      <x:c r="W255" s="72"/>
      <x:c r="X255" s="72"/>
      <x:c r="Y255" s="72"/>
      <x:c r="Z255" s="72"/>
      <x:c r="AA255" s="72"/>
      <x:c r="AB255" s="72"/>
      <x:c r="AC255" s="72"/>
      <x:c r="AD255" s="72"/>
      <x:c r="AE255" s="72"/>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x:c r="BN255" s="4"/>
      <x:c r="BO255" s="4"/>
      <x:c r="BP255" s="4"/>
      <x:c r="BQ255" s="4"/>
      <x:c r="BR255" s="4"/>
      <x:c r="BS255" s="4"/>
      <x:c r="BT255" s="4"/>
      <x:c r="BU255" s="4"/>
      <x:c r="BV255" s="4"/>
      <x:c r="BW255" s="4"/>
      <x:c r="BX255" s="4"/>
      <x:c r="BY255" s="4"/>
      <x:c r="BZ255" s="4"/>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x:c r="DB255" s="4"/>
      <x:c r="DC255" s="4"/>
      <x:c r="DD255" s="4"/>
      <x:c r="DE255" s="4"/>
      <x:c r="DF255" s="4"/>
      <x:c r="DG255" s="4"/>
      <x:c r="DH255" s="4"/>
      <x:c r="DI255" s="4"/>
      <x:c r="DJ255" s="4"/>
      <x:c r="DK255" s="4"/>
      <x:c r="DL255" s="4"/>
      <x:c r="DM255" s="4"/>
      <x:c r="DN255" s="4"/>
      <x:c r="DO255" s="4"/>
      <x:c r="DP255" s="4"/>
      <x:c r="DQ255" s="4"/>
      <x:c r="DR255" s="4"/>
      <x:c r="DS255" s="4"/>
      <x:c r="DT255" s="4"/>
      <x:c r="DU255" s="4"/>
      <x:c r="DV255" s="4"/>
      <x:c r="DW255" s="4"/>
      <x:c r="DX255" s="4"/>
      <x:c r="DY255" s="4"/>
      <x:c r="DZ255" s="4"/>
      <x:c r="EA255" s="4"/>
      <x:c r="EB255" s="4"/>
      <x:c r="EC255" s="4"/>
      <x:c r="ED255" s="4"/>
      <x:c r="EE255" s="4"/>
      <x:c r="EF255" s="4"/>
      <x:c r="EG255" s="4"/>
      <x:c r="EH255" s="4"/>
      <x:c r="EI255" s="4"/>
      <x:c r="EJ255" s="4"/>
      <x:c r="EK255" s="4"/>
      <x:c r="EL255" s="4"/>
      <x:c r="EM255" s="4"/>
      <x:c r="EN255" s="4"/>
      <x:c r="EO255" s="4"/>
      <x:c r="EP255" s="4"/>
      <x:c r="EQ255" s="4"/>
      <x:c r="ER255" s="4"/>
      <x:c r="ES255" s="4"/>
      <x:c r="ET255" s="4"/>
      <x:c r="EU255" s="4"/>
      <x:c r="EV255" s="4"/>
      <x:c r="EW255" s="4"/>
      <x:c r="EX255" s="4"/>
      <x:c r="EY255" s="4"/>
      <x:c r="EZ255" s="4"/>
      <x:c r="FA255" s="4"/>
      <x:c r="FB255" s="4"/>
      <x:c r="FC255" s="4"/>
      <x:c r="FD255" s="4"/>
      <x:c r="FE255" s="4"/>
      <x:c r="FF255" s="4"/>
      <x:c r="FG255" s="4"/>
      <x:c r="FH255" s="4"/>
      <x:c r="FI255" s="4"/>
      <x:c r="FJ255" s="4"/>
      <x:c r="FK255" s="4"/>
      <x:c r="FL255" s="4"/>
      <x:c r="FM255" s="4"/>
      <x:c r="FN255" s="4"/>
      <x:c r="FO255" s="4"/>
    </x:row>
    <x:row r="256">
      <x:c r="A256" s="72"/>
      <x:c r="B256" s="72"/>
      <x:c r="C256" s="72"/>
      <x:c r="D256" s="72"/>
      <x:c r="E256" s="72"/>
      <x:c r="F256" s="72"/>
      <x:c r="G256" s="72"/>
      <x:c r="H256" s="72"/>
      <x:c r="I256" s="72"/>
      <x:c r="J256" s="72"/>
      <x:c r="K256" s="72"/>
      <x:c r="L256" s="72"/>
      <x:c r="M256" s="72"/>
      <x:c r="N256" s="72"/>
      <x:c r="O256" s="72"/>
      <x:c r="P256" s="72"/>
      <x:c r="Q256" s="72"/>
      <x:c r="R256" s="72"/>
      <x:c r="S256" s="72"/>
      <x:c r="T256" s="72"/>
      <x:c r="U256" s="72"/>
      <x:c r="V256" s="72"/>
      <x:c r="W256" s="72"/>
      <x:c r="X256" s="72"/>
      <x:c r="Y256" s="72"/>
      <x:c r="Z256" s="72"/>
      <x:c r="AA256" s="72"/>
      <x:c r="AB256" s="72"/>
      <x:c r="AC256" s="72"/>
      <x:c r="AD256" s="72"/>
      <x:c r="AE256" s="72"/>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x:c r="BN256" s="4"/>
      <x:c r="BO256" s="4"/>
      <x:c r="BP256" s="4"/>
      <x:c r="BQ256" s="4"/>
      <x:c r="BR256" s="4"/>
      <x:c r="BS256" s="4"/>
      <x:c r="BT256" s="4"/>
      <x:c r="BU256" s="4"/>
      <x:c r="BV256" s="4"/>
      <x:c r="BW256" s="4"/>
      <x:c r="BX256" s="4"/>
      <x:c r="BY256" s="4"/>
      <x:c r="BZ256" s="4"/>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x:c r="DB256" s="4"/>
      <x:c r="DC256" s="4"/>
      <x:c r="DD256" s="4"/>
      <x:c r="DE256" s="4"/>
      <x:c r="DF256" s="4"/>
      <x:c r="DG256" s="4"/>
      <x:c r="DH256" s="4"/>
      <x:c r="DI256" s="4"/>
      <x:c r="DJ256" s="4"/>
      <x:c r="DK256" s="4"/>
      <x:c r="DL256" s="4"/>
      <x:c r="DM256" s="4"/>
      <x:c r="DN256" s="4"/>
      <x:c r="DO256" s="4"/>
      <x:c r="DP256" s="4"/>
      <x:c r="DQ256" s="4"/>
      <x:c r="DR256" s="4"/>
      <x:c r="DS256" s="4"/>
      <x:c r="DT256" s="4"/>
      <x:c r="DU256" s="4"/>
      <x:c r="DV256" s="4"/>
      <x:c r="DW256" s="4"/>
      <x:c r="DX256" s="4"/>
      <x:c r="DY256" s="4"/>
      <x:c r="DZ256" s="4"/>
      <x:c r="EA256" s="4"/>
      <x:c r="EB256" s="4"/>
      <x:c r="EC256" s="4"/>
      <x:c r="ED256" s="4"/>
      <x:c r="EE256" s="4"/>
      <x:c r="EF256" s="4"/>
      <x:c r="EG256" s="4"/>
      <x:c r="EH256" s="4"/>
      <x:c r="EI256" s="4"/>
      <x:c r="EJ256" s="4"/>
      <x:c r="EK256" s="4"/>
      <x:c r="EL256" s="4"/>
      <x:c r="EM256" s="4"/>
      <x:c r="EN256" s="4"/>
      <x:c r="EO256" s="4"/>
      <x:c r="EP256" s="4"/>
      <x:c r="EQ256" s="4"/>
      <x:c r="ER256" s="4"/>
      <x:c r="ES256" s="4"/>
      <x:c r="ET256" s="4"/>
      <x:c r="EU256" s="4"/>
      <x:c r="EV256" s="4"/>
      <x:c r="EW256" s="4"/>
      <x:c r="EX256" s="4"/>
      <x:c r="EY256" s="4"/>
      <x:c r="EZ256" s="4"/>
      <x:c r="FA256" s="4"/>
      <x:c r="FB256" s="4"/>
      <x:c r="FC256" s="4"/>
      <x:c r="FD256" s="4"/>
      <x:c r="FE256" s="4"/>
      <x:c r="FF256" s="4"/>
      <x:c r="FG256" s="4"/>
      <x:c r="FH256" s="4"/>
      <x:c r="FI256" s="4"/>
      <x:c r="FJ256" s="4"/>
      <x:c r="FK256" s="4"/>
      <x:c r="FL256" s="4"/>
      <x:c r="FM256" s="4"/>
      <x:c r="FN256" s="4"/>
      <x:c r="FO256" s="4"/>
    </x:row>
    <x:row r="257">
      <x:c r="A257" s="72"/>
      <x:c r="B257" s="72"/>
      <x:c r="C257" s="72"/>
      <x:c r="D257" s="72"/>
      <x:c r="E257" s="72"/>
      <x:c r="F257" s="72"/>
      <x:c r="G257" s="72"/>
      <x:c r="H257" s="72"/>
      <x:c r="I257" s="72"/>
      <x:c r="J257" s="72"/>
      <x:c r="K257" s="72"/>
      <x:c r="L257" s="72"/>
      <x:c r="M257" s="72"/>
      <x:c r="N257" s="72"/>
      <x:c r="O257" s="72"/>
      <x:c r="P257" s="72"/>
      <x:c r="Q257" s="72"/>
      <x:c r="R257" s="72"/>
      <x:c r="S257" s="72"/>
      <x:c r="T257" s="72"/>
      <x:c r="U257" s="72"/>
      <x:c r="V257" s="72"/>
      <x:c r="W257" s="72"/>
      <x:c r="X257" s="72"/>
      <x:c r="Y257" s="72"/>
      <x:c r="Z257" s="72"/>
      <x:c r="AA257" s="72"/>
      <x:c r="AB257" s="72"/>
      <x:c r="AC257" s="72"/>
      <x:c r="AD257" s="72"/>
      <x:c r="AE257" s="72"/>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x:c r="BN257" s="4"/>
      <x:c r="BO257" s="4"/>
      <x:c r="BP257" s="4"/>
      <x:c r="BQ257" s="4"/>
      <x:c r="BR257" s="4"/>
      <x:c r="BS257" s="4"/>
      <x:c r="BT257" s="4"/>
      <x:c r="BU257" s="4"/>
      <x:c r="BV257" s="4"/>
      <x:c r="BW257" s="4"/>
      <x:c r="BX257" s="4"/>
      <x:c r="BY257" s="4"/>
      <x:c r="BZ257" s="4"/>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x:c r="DB257" s="4"/>
      <x:c r="DC257" s="4"/>
      <x:c r="DD257" s="4"/>
      <x:c r="DE257" s="4"/>
      <x:c r="DF257" s="4"/>
      <x:c r="DG257" s="4"/>
      <x:c r="DH257" s="4"/>
      <x:c r="DI257" s="4"/>
      <x:c r="DJ257" s="4"/>
      <x:c r="DK257" s="4"/>
      <x:c r="DL257" s="4"/>
      <x:c r="DM257" s="4"/>
      <x:c r="DN257" s="4"/>
      <x:c r="DO257" s="4"/>
      <x:c r="DP257" s="4"/>
      <x:c r="DQ257" s="4"/>
      <x:c r="DR257" s="4"/>
      <x:c r="DS257" s="4"/>
      <x:c r="DT257" s="4"/>
      <x:c r="DU257" s="4"/>
      <x:c r="DV257" s="4"/>
      <x:c r="DW257" s="4"/>
      <x:c r="DX257" s="4"/>
      <x:c r="DY257" s="4"/>
      <x:c r="DZ257" s="4"/>
      <x:c r="EA257" s="4"/>
      <x:c r="EB257" s="4"/>
      <x:c r="EC257" s="4"/>
      <x:c r="ED257" s="4"/>
      <x:c r="EE257" s="4"/>
      <x:c r="EF257" s="4"/>
      <x:c r="EG257" s="4"/>
      <x:c r="EH257" s="4"/>
      <x:c r="EI257" s="4"/>
      <x:c r="EJ257" s="4"/>
      <x:c r="EK257" s="4"/>
      <x:c r="EL257" s="4"/>
      <x:c r="EM257" s="4"/>
      <x:c r="EN257" s="4"/>
      <x:c r="EO257" s="4"/>
      <x:c r="EP257" s="4"/>
      <x:c r="EQ257" s="4"/>
      <x:c r="ER257" s="4"/>
      <x:c r="ES257" s="4"/>
      <x:c r="ET257" s="4"/>
      <x:c r="EU257" s="4"/>
      <x:c r="EV257" s="4"/>
      <x:c r="EW257" s="4"/>
      <x:c r="EX257" s="4"/>
      <x:c r="EY257" s="4"/>
      <x:c r="EZ257" s="4"/>
      <x:c r="FA257" s="4"/>
      <x:c r="FB257" s="4"/>
      <x:c r="FC257" s="4"/>
      <x:c r="FD257" s="4"/>
      <x:c r="FE257" s="4"/>
      <x:c r="FF257" s="4"/>
      <x:c r="FG257" s="4"/>
      <x:c r="FH257" s="4"/>
      <x:c r="FI257" s="4"/>
      <x:c r="FJ257" s="4"/>
      <x:c r="FK257" s="4"/>
      <x:c r="FL257" s="4"/>
      <x:c r="FM257" s="4"/>
      <x:c r="FN257" s="4"/>
      <x:c r="FO257" s="4"/>
    </x:row>
    <x:row r="258">
      <x:c r="A258" s="72"/>
      <x:c r="B258" s="72"/>
      <x:c r="C258" s="72"/>
      <x:c r="D258" s="72"/>
      <x:c r="E258" s="72"/>
      <x:c r="F258" s="72"/>
      <x:c r="G258" s="72"/>
      <x:c r="H258" s="72"/>
      <x:c r="I258" s="72"/>
      <x:c r="J258" s="72"/>
      <x:c r="K258" s="72"/>
      <x:c r="L258" s="72"/>
      <x:c r="M258" s="72"/>
      <x:c r="N258" s="72"/>
      <x:c r="O258" s="72"/>
      <x:c r="P258" s="72"/>
      <x:c r="Q258" s="72"/>
      <x:c r="R258" s="72"/>
      <x:c r="S258" s="72"/>
      <x:c r="T258" s="72"/>
      <x:c r="U258" s="72"/>
      <x:c r="V258" s="72"/>
      <x:c r="W258" s="72"/>
      <x:c r="X258" s="72"/>
      <x:c r="Y258" s="72"/>
      <x:c r="Z258" s="72"/>
      <x:c r="AA258" s="72"/>
      <x:c r="AB258" s="72"/>
      <x:c r="AC258" s="72"/>
      <x:c r="AD258" s="72"/>
      <x:c r="AE258" s="72"/>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x:c r="BN258" s="4"/>
      <x:c r="BO258" s="4"/>
      <x:c r="BP258" s="4"/>
      <x:c r="BQ258" s="4"/>
      <x:c r="BR258" s="4"/>
      <x:c r="BS258" s="4"/>
      <x:c r="BT258" s="4"/>
      <x:c r="BU258" s="4"/>
      <x:c r="BV258" s="4"/>
      <x:c r="BW258" s="4"/>
      <x:c r="BX258" s="4"/>
      <x:c r="BY258" s="4"/>
      <x:c r="BZ258" s="4"/>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x:c r="DB258" s="4"/>
      <x:c r="DC258" s="4"/>
      <x:c r="DD258" s="4"/>
      <x:c r="DE258" s="4"/>
      <x:c r="DF258" s="4"/>
      <x:c r="DG258" s="4"/>
      <x:c r="DH258" s="4"/>
      <x:c r="DI258" s="4"/>
      <x:c r="DJ258" s="4"/>
      <x:c r="DK258" s="4"/>
      <x:c r="DL258" s="4"/>
      <x:c r="DM258" s="4"/>
      <x:c r="DN258" s="4"/>
      <x:c r="DO258" s="4"/>
      <x:c r="DP258" s="4"/>
      <x:c r="DQ258" s="4"/>
      <x:c r="DR258" s="4"/>
      <x:c r="DS258" s="4"/>
      <x:c r="DT258" s="4"/>
      <x:c r="DU258" s="4"/>
      <x:c r="DV258" s="4"/>
      <x:c r="DW258" s="4"/>
      <x:c r="DX258" s="4"/>
      <x:c r="DY258" s="4"/>
      <x:c r="DZ258" s="4"/>
      <x:c r="EA258" s="4"/>
      <x:c r="EB258" s="4"/>
      <x:c r="EC258" s="4"/>
      <x:c r="ED258" s="4"/>
      <x:c r="EE258" s="4"/>
      <x:c r="EF258" s="4"/>
      <x:c r="EG258" s="4"/>
      <x:c r="EH258" s="4"/>
      <x:c r="EI258" s="4"/>
      <x:c r="EJ258" s="4"/>
      <x:c r="EK258" s="4"/>
      <x:c r="EL258" s="4"/>
      <x:c r="EM258" s="4"/>
      <x:c r="EN258" s="4"/>
      <x:c r="EO258" s="4"/>
      <x:c r="EP258" s="4"/>
      <x:c r="EQ258" s="4"/>
      <x:c r="ER258" s="4"/>
      <x:c r="ES258" s="4"/>
      <x:c r="ET258" s="4"/>
      <x:c r="EU258" s="4"/>
      <x:c r="EV258" s="4"/>
      <x:c r="EW258" s="4"/>
      <x:c r="EX258" s="4"/>
      <x:c r="EY258" s="4"/>
      <x:c r="EZ258" s="4"/>
      <x:c r="FA258" s="4"/>
      <x:c r="FB258" s="4"/>
      <x:c r="FC258" s="4"/>
      <x:c r="FD258" s="4"/>
      <x:c r="FE258" s="4"/>
      <x:c r="FF258" s="4"/>
      <x:c r="FG258" s="4"/>
      <x:c r="FH258" s="4"/>
      <x:c r="FI258" s="4"/>
      <x:c r="FJ258" s="4"/>
      <x:c r="FK258" s="4"/>
      <x:c r="FL258" s="4"/>
      <x:c r="FM258" s="4"/>
      <x:c r="FN258" s="4"/>
      <x:c r="FO258" s="4"/>
    </x:row>
    <x:row r="259">
      <x:c r="A259" s="72"/>
      <x:c r="B259" s="72"/>
      <x:c r="C259" s="72"/>
      <x:c r="D259" s="72"/>
      <x:c r="E259" s="72"/>
      <x:c r="F259" s="72"/>
      <x:c r="G259" s="72"/>
      <x:c r="H259" s="72"/>
      <x:c r="I259" s="72"/>
      <x:c r="J259" s="72"/>
      <x:c r="K259" s="72"/>
      <x:c r="L259" s="72"/>
      <x:c r="M259" s="72"/>
      <x:c r="N259" s="72"/>
      <x:c r="O259" s="72"/>
      <x:c r="P259" s="72"/>
      <x:c r="Q259" s="72"/>
      <x:c r="R259" s="72"/>
      <x:c r="S259" s="72"/>
      <x:c r="T259" s="72"/>
      <x:c r="U259" s="72"/>
      <x:c r="V259" s="72"/>
      <x:c r="W259" s="72"/>
      <x:c r="X259" s="72"/>
      <x:c r="Y259" s="72"/>
      <x:c r="Z259" s="72"/>
      <x:c r="AA259" s="72"/>
      <x:c r="AB259" s="72"/>
      <x:c r="AC259" s="72"/>
      <x:c r="AD259" s="72"/>
      <x:c r="AE259" s="72"/>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x:c r="BN259" s="4"/>
      <x:c r="BO259" s="4"/>
      <x:c r="BP259" s="4"/>
      <x:c r="BQ259" s="4"/>
      <x:c r="BR259" s="4"/>
      <x:c r="BS259" s="4"/>
      <x:c r="BT259" s="4"/>
      <x:c r="BU259" s="4"/>
      <x:c r="BV259" s="4"/>
      <x:c r="BW259" s="4"/>
      <x:c r="BX259" s="4"/>
      <x:c r="BY259" s="4"/>
      <x:c r="BZ259" s="4"/>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x:c r="DB259" s="4"/>
      <x:c r="DC259" s="4"/>
      <x:c r="DD259" s="4"/>
      <x:c r="DE259" s="4"/>
      <x:c r="DF259" s="4"/>
      <x:c r="DG259" s="4"/>
      <x:c r="DH259" s="4"/>
      <x:c r="DI259" s="4"/>
      <x:c r="DJ259" s="4"/>
      <x:c r="DK259" s="4"/>
      <x:c r="DL259" s="4"/>
      <x:c r="DM259" s="4"/>
      <x:c r="DN259" s="4"/>
      <x:c r="DO259" s="4"/>
      <x:c r="DP259" s="4"/>
      <x:c r="DQ259" s="4"/>
      <x:c r="DR259" s="4"/>
      <x:c r="DS259" s="4"/>
      <x:c r="DT259" s="4"/>
      <x:c r="DU259" s="4"/>
      <x:c r="DV259" s="4"/>
      <x:c r="DW259" s="4"/>
      <x:c r="DX259" s="4"/>
      <x:c r="DY259" s="4"/>
      <x:c r="DZ259" s="4"/>
      <x:c r="EA259" s="4"/>
      <x:c r="EB259" s="4"/>
      <x:c r="EC259" s="4"/>
      <x:c r="ED259" s="4"/>
      <x:c r="EE259" s="4"/>
      <x:c r="EF259" s="4"/>
      <x:c r="EG259" s="4"/>
      <x:c r="EH259" s="4"/>
      <x:c r="EI259" s="4"/>
      <x:c r="EJ259" s="4"/>
      <x:c r="EK259" s="4"/>
      <x:c r="EL259" s="4"/>
      <x:c r="EM259" s="4"/>
      <x:c r="EN259" s="4"/>
      <x:c r="EO259" s="4"/>
      <x:c r="EP259" s="4"/>
      <x:c r="EQ259" s="4"/>
      <x:c r="ER259" s="4"/>
      <x:c r="ES259" s="4"/>
      <x:c r="ET259" s="4"/>
      <x:c r="EU259" s="4"/>
      <x:c r="EV259" s="4"/>
      <x:c r="EW259" s="4"/>
      <x:c r="EX259" s="4"/>
      <x:c r="EY259" s="4"/>
      <x:c r="EZ259" s="4"/>
      <x:c r="FA259" s="4"/>
      <x:c r="FB259" s="4"/>
      <x:c r="FC259" s="4"/>
      <x:c r="FD259" s="4"/>
      <x:c r="FE259" s="4"/>
      <x:c r="FF259" s="4"/>
      <x:c r="FG259" s="4"/>
      <x:c r="FH259" s="4"/>
      <x:c r="FI259" s="4"/>
      <x:c r="FJ259" s="4"/>
      <x:c r="FK259" s="4"/>
      <x:c r="FL259" s="4"/>
      <x:c r="FM259" s="4"/>
      <x:c r="FN259" s="4"/>
      <x:c r="FO259" s="4"/>
    </x:row>
    <x:row r="260">
      <x:c r="A260" s="72"/>
      <x:c r="B260" s="72"/>
      <x:c r="C260" s="72"/>
      <x:c r="D260" s="72"/>
      <x:c r="E260" s="72"/>
      <x:c r="F260" s="72"/>
      <x:c r="G260" s="72"/>
      <x:c r="H260" s="72"/>
      <x:c r="I260" s="72"/>
      <x:c r="J260" s="72"/>
      <x:c r="K260" s="72"/>
      <x:c r="L260" s="72"/>
      <x:c r="M260" s="72"/>
      <x:c r="N260" s="72"/>
      <x:c r="O260" s="72"/>
      <x:c r="P260" s="72"/>
      <x:c r="Q260" s="72"/>
      <x:c r="R260" s="72"/>
      <x:c r="S260" s="72"/>
      <x:c r="T260" s="72"/>
      <x:c r="U260" s="72"/>
      <x:c r="V260" s="72"/>
      <x:c r="W260" s="72"/>
      <x:c r="X260" s="72"/>
      <x:c r="Y260" s="72"/>
      <x:c r="Z260" s="72"/>
      <x:c r="AA260" s="72"/>
      <x:c r="AB260" s="72"/>
      <x:c r="AC260" s="72"/>
      <x:c r="AD260" s="72"/>
      <x:c r="AE260" s="72"/>
      <x:c r="AF260" s="4"/>
      <x:c r="AG260" s="4"/>
      <x:c r="AH260" s="4"/>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x:c r="BN260" s="4"/>
      <x:c r="BO260" s="4"/>
      <x:c r="BP260" s="4"/>
      <x:c r="BQ260" s="4"/>
      <x:c r="BR260" s="4"/>
      <x:c r="BS260" s="4"/>
      <x:c r="BT260" s="4"/>
      <x:c r="BU260" s="4"/>
      <x:c r="BV260" s="4"/>
      <x:c r="BW260" s="4"/>
      <x:c r="BX260" s="4"/>
      <x:c r="BY260" s="4"/>
      <x:c r="BZ260" s="4"/>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x:c r="DB260" s="4"/>
      <x:c r="DC260" s="4"/>
      <x:c r="DD260" s="4"/>
      <x:c r="DE260" s="4"/>
      <x:c r="DF260" s="4"/>
      <x:c r="DG260" s="4"/>
      <x:c r="DH260" s="4"/>
      <x:c r="DI260" s="4"/>
      <x:c r="DJ260" s="4"/>
      <x:c r="DK260" s="4"/>
      <x:c r="DL260" s="4"/>
      <x:c r="DM260" s="4"/>
      <x:c r="DN260" s="4"/>
      <x:c r="DO260" s="4"/>
      <x:c r="DP260" s="4"/>
      <x:c r="DQ260" s="4"/>
      <x:c r="DR260" s="4"/>
      <x:c r="DS260" s="4"/>
      <x:c r="DT260" s="4"/>
      <x:c r="DU260" s="4"/>
      <x:c r="DV260" s="4"/>
      <x:c r="DW260" s="4"/>
      <x:c r="DX260" s="4"/>
      <x:c r="DY260" s="4"/>
      <x:c r="DZ260" s="4"/>
      <x:c r="EA260" s="4"/>
      <x:c r="EB260" s="4"/>
      <x:c r="EC260" s="4"/>
      <x:c r="ED260" s="4"/>
      <x:c r="EE260" s="4"/>
      <x:c r="EF260" s="4"/>
      <x:c r="EG260" s="4"/>
      <x:c r="EH260" s="4"/>
      <x:c r="EI260" s="4"/>
      <x:c r="EJ260" s="4"/>
      <x:c r="EK260" s="4"/>
      <x:c r="EL260" s="4"/>
      <x:c r="EM260" s="4"/>
      <x:c r="EN260" s="4"/>
      <x:c r="EO260" s="4"/>
      <x:c r="EP260" s="4"/>
      <x:c r="EQ260" s="4"/>
      <x:c r="ER260" s="4"/>
      <x:c r="ES260" s="4"/>
      <x:c r="ET260" s="4"/>
      <x:c r="EU260" s="4"/>
      <x:c r="EV260" s="4"/>
      <x:c r="EW260" s="4"/>
      <x:c r="EX260" s="4"/>
      <x:c r="EY260" s="4"/>
      <x:c r="EZ260" s="4"/>
      <x:c r="FA260" s="4"/>
      <x:c r="FB260" s="4"/>
      <x:c r="FC260" s="4"/>
      <x:c r="FD260" s="4"/>
      <x:c r="FE260" s="4"/>
      <x:c r="FF260" s="4"/>
      <x:c r="FG260" s="4"/>
      <x:c r="FH260" s="4"/>
      <x:c r="FI260" s="4"/>
      <x:c r="FJ260" s="4"/>
      <x:c r="FK260" s="4"/>
      <x:c r="FL260" s="4"/>
      <x:c r="FM260" s="4"/>
      <x:c r="FN260" s="4"/>
      <x:c r="FO260" s="4"/>
    </x:row>
    <x:row r="261">
      <x:c r="A261" s="72"/>
      <x:c r="B261" s="72"/>
      <x:c r="C261" s="72"/>
      <x:c r="D261" s="72"/>
      <x:c r="E261" s="72"/>
      <x:c r="F261" s="72"/>
      <x:c r="G261" s="72"/>
      <x:c r="H261" s="72"/>
      <x:c r="I261" s="72"/>
      <x:c r="J261" s="72"/>
      <x:c r="K261" s="72"/>
      <x:c r="L261" s="72"/>
      <x:c r="M261" s="72"/>
      <x:c r="N261" s="72"/>
      <x:c r="O261" s="72"/>
      <x:c r="P261" s="72"/>
      <x:c r="Q261" s="72"/>
      <x:c r="R261" s="72"/>
      <x:c r="S261" s="72"/>
      <x:c r="T261" s="72"/>
      <x:c r="U261" s="72"/>
      <x:c r="V261" s="72"/>
      <x:c r="W261" s="72"/>
      <x:c r="X261" s="72"/>
      <x:c r="Y261" s="72"/>
      <x:c r="Z261" s="72"/>
      <x:c r="AA261" s="72"/>
      <x:c r="AB261" s="72"/>
      <x:c r="AC261" s="72"/>
      <x:c r="AD261" s="72"/>
      <x:c r="AE261" s="72"/>
      <x:c r="AF261" s="4"/>
      <x:c r="AG261" s="4"/>
      <x:c r="AH261" s="4"/>
      <x:c r="AI261" s="4"/>
      <x:c r="AJ261" s="4"/>
      <x:c r="AK261" s="4"/>
      <x:c r="AL261" s="4"/>
      <x:c r="AM261" s="4"/>
      <x:c r="AN261" s="4"/>
      <x:c r="AO261" s="4"/>
      <x:c r="AP261" s="4"/>
      <x:c r="AQ261" s="4"/>
      <x:c r="AR261" s="4"/>
      <x:c r="AS261" s="4"/>
      <x:c r="AT261" s="4"/>
      <x:c r="AU261" s="4"/>
      <x:c r="AV261" s="4"/>
      <x:c r="AW261" s="4"/>
      <x:c r="AX261" s="4"/>
      <x:c r="AY261" s="4"/>
      <x:c r="AZ261" s="4"/>
      <x:c r="BA261" s="4"/>
      <x:c r="BB261" s="4"/>
      <x:c r="BC261" s="4"/>
      <x:c r="BD261" s="4"/>
      <x:c r="BE261" s="4"/>
      <x:c r="BF261" s="4"/>
      <x:c r="BG261" s="4"/>
      <x:c r="BH261" s="4"/>
      <x:c r="BI261" s="4"/>
      <x:c r="BJ261" s="4"/>
      <x:c r="BK261" s="4"/>
      <x:c r="BL261" s="4"/>
      <x:c r="BM261" s="4"/>
      <x:c r="BN261" s="4"/>
      <x:c r="BO261" s="4"/>
      <x:c r="BP261" s="4"/>
      <x:c r="BQ261" s="4"/>
      <x:c r="BR261" s="4"/>
      <x:c r="BS261" s="4"/>
      <x:c r="BT261" s="4"/>
      <x:c r="BU261" s="4"/>
      <x:c r="BV261" s="4"/>
      <x:c r="BW261" s="4"/>
      <x:c r="BX261" s="4"/>
      <x:c r="BY261" s="4"/>
      <x:c r="BZ261" s="4"/>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x:c r="DB261" s="4"/>
      <x:c r="DC261" s="4"/>
      <x:c r="DD261" s="4"/>
      <x:c r="DE261" s="4"/>
      <x:c r="DF261" s="4"/>
      <x:c r="DG261" s="4"/>
      <x:c r="DH261" s="4"/>
      <x:c r="DI261" s="4"/>
      <x:c r="DJ261" s="4"/>
      <x:c r="DK261" s="4"/>
      <x:c r="DL261" s="4"/>
      <x:c r="DM261" s="4"/>
      <x:c r="DN261" s="4"/>
      <x:c r="DO261" s="4"/>
      <x:c r="DP261" s="4"/>
      <x:c r="DQ261" s="4"/>
      <x:c r="DR261" s="4"/>
      <x:c r="DS261" s="4"/>
      <x:c r="DT261" s="4"/>
      <x:c r="DU261" s="4"/>
      <x:c r="DV261" s="4"/>
      <x:c r="DW261" s="4"/>
      <x:c r="DX261" s="4"/>
      <x:c r="DY261" s="4"/>
      <x:c r="DZ261" s="4"/>
      <x:c r="EA261" s="4"/>
      <x:c r="EB261" s="4"/>
      <x:c r="EC261" s="4"/>
      <x:c r="ED261" s="4"/>
      <x:c r="EE261" s="4"/>
      <x:c r="EF261" s="4"/>
      <x:c r="EG261" s="4"/>
      <x:c r="EH261" s="4"/>
      <x:c r="EI261" s="4"/>
      <x:c r="EJ261" s="4"/>
      <x:c r="EK261" s="4"/>
      <x:c r="EL261" s="4"/>
      <x:c r="EM261" s="4"/>
      <x:c r="EN261" s="4"/>
      <x:c r="EO261" s="4"/>
      <x:c r="EP261" s="4"/>
      <x:c r="EQ261" s="4"/>
      <x:c r="ER261" s="4"/>
      <x:c r="ES261" s="4"/>
      <x:c r="ET261" s="4"/>
      <x:c r="EU261" s="4"/>
      <x:c r="EV261" s="4"/>
      <x:c r="EW261" s="4"/>
      <x:c r="EX261" s="4"/>
      <x:c r="EY261" s="4"/>
      <x:c r="EZ261" s="4"/>
      <x:c r="FA261" s="4"/>
      <x:c r="FB261" s="4"/>
      <x:c r="FC261" s="4"/>
      <x:c r="FD261" s="4"/>
      <x:c r="FE261" s="4"/>
      <x:c r="FF261" s="4"/>
      <x:c r="FG261" s="4"/>
      <x:c r="FH261" s="4"/>
      <x:c r="FI261" s="4"/>
      <x:c r="FJ261" s="4"/>
      <x:c r="FK261" s="4"/>
      <x:c r="FL261" s="4"/>
      <x:c r="FM261" s="4"/>
      <x:c r="FN261" s="4"/>
      <x:c r="FO261" s="4"/>
    </x:row>
    <x:row r="262">
      <x:c r="A262" s="72"/>
      <x:c r="B262" s="72"/>
      <x:c r="C262" s="72"/>
      <x:c r="D262" s="72"/>
      <x:c r="E262" s="72"/>
      <x:c r="F262" s="72"/>
      <x:c r="G262" s="72"/>
      <x:c r="H262" s="72"/>
      <x:c r="I262" s="72"/>
      <x:c r="J262" s="72"/>
      <x:c r="K262" s="72"/>
      <x:c r="L262" s="72"/>
      <x:c r="M262" s="72"/>
      <x:c r="N262" s="72"/>
      <x:c r="O262" s="72"/>
      <x:c r="P262" s="72"/>
      <x:c r="Q262" s="72"/>
      <x:c r="R262" s="72"/>
      <x:c r="S262" s="72"/>
      <x:c r="T262" s="72"/>
      <x:c r="U262" s="72"/>
      <x:c r="V262" s="72"/>
      <x:c r="W262" s="72"/>
      <x:c r="X262" s="72"/>
      <x:c r="Y262" s="72"/>
      <x:c r="Z262" s="72"/>
      <x:c r="AA262" s="72"/>
      <x:c r="AB262" s="72"/>
      <x:c r="AC262" s="72"/>
      <x:c r="AD262" s="72"/>
      <x:c r="AE262" s="72"/>
      <x:c r="AF262" s="4"/>
      <x:c r="AG262" s="4"/>
      <x:c r="AH262" s="4"/>
      <x:c r="AI262" s="4"/>
      <x:c r="AJ262" s="4"/>
      <x:c r="AK262" s="4"/>
      <x:c r="AL262" s="4"/>
      <x:c r="AM262" s="4"/>
      <x:c r="AN262" s="4"/>
      <x:c r="AO262" s="4"/>
      <x:c r="AP262" s="4"/>
      <x:c r="AQ262" s="4"/>
      <x:c r="AR262" s="4"/>
      <x:c r="AS262" s="4"/>
      <x:c r="AT262" s="4"/>
      <x:c r="AU262" s="4"/>
      <x:c r="AV262" s="4"/>
      <x:c r="AW262" s="4"/>
      <x:c r="AX262" s="4"/>
      <x:c r="AY262" s="4"/>
      <x:c r="AZ262" s="4"/>
      <x:c r="BA262" s="4"/>
      <x:c r="BB262" s="4"/>
      <x:c r="BC262" s="4"/>
      <x:c r="BD262" s="4"/>
      <x:c r="BE262" s="4"/>
      <x:c r="BF262" s="4"/>
      <x:c r="BG262" s="4"/>
      <x:c r="BH262" s="4"/>
      <x:c r="BI262" s="4"/>
      <x:c r="BJ262" s="4"/>
      <x:c r="BK262" s="4"/>
      <x:c r="BL262" s="4"/>
      <x:c r="BM262" s="4"/>
      <x:c r="BN262" s="4"/>
      <x:c r="BO262" s="4"/>
      <x:c r="BP262" s="4"/>
      <x:c r="BQ262" s="4"/>
      <x:c r="BR262" s="4"/>
      <x:c r="BS262" s="4"/>
      <x:c r="BT262" s="4"/>
      <x:c r="BU262" s="4"/>
      <x:c r="BV262" s="4"/>
      <x:c r="BW262" s="4"/>
      <x:c r="BX262" s="4"/>
      <x:c r="BY262" s="4"/>
      <x:c r="BZ262" s="4"/>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x:c r="DB262" s="4"/>
      <x:c r="DC262" s="4"/>
      <x:c r="DD262" s="4"/>
      <x:c r="DE262" s="4"/>
      <x:c r="DF262" s="4"/>
      <x:c r="DG262" s="4"/>
      <x:c r="DH262" s="4"/>
      <x:c r="DI262" s="4"/>
      <x:c r="DJ262" s="4"/>
      <x:c r="DK262" s="4"/>
      <x:c r="DL262" s="4"/>
      <x:c r="DM262" s="4"/>
      <x:c r="DN262" s="4"/>
      <x:c r="DO262" s="4"/>
      <x:c r="DP262" s="4"/>
      <x:c r="DQ262" s="4"/>
      <x:c r="DR262" s="4"/>
      <x:c r="DS262" s="4"/>
      <x:c r="DT262" s="4"/>
      <x:c r="DU262" s="4"/>
      <x:c r="DV262" s="4"/>
      <x:c r="DW262" s="4"/>
      <x:c r="DX262" s="4"/>
      <x:c r="DY262" s="4"/>
      <x:c r="DZ262" s="4"/>
      <x:c r="EA262" s="4"/>
      <x:c r="EB262" s="4"/>
      <x:c r="EC262" s="4"/>
      <x:c r="ED262" s="4"/>
      <x:c r="EE262" s="4"/>
      <x:c r="EF262" s="4"/>
      <x:c r="EG262" s="4"/>
      <x:c r="EH262" s="4"/>
      <x:c r="EI262" s="4"/>
      <x:c r="EJ262" s="4"/>
      <x:c r="EK262" s="4"/>
      <x:c r="EL262" s="4"/>
      <x:c r="EM262" s="4"/>
      <x:c r="EN262" s="4"/>
      <x:c r="EO262" s="4"/>
      <x:c r="EP262" s="4"/>
      <x:c r="EQ262" s="4"/>
      <x:c r="ER262" s="4"/>
      <x:c r="ES262" s="4"/>
      <x:c r="ET262" s="4"/>
      <x:c r="EU262" s="4"/>
      <x:c r="EV262" s="4"/>
      <x:c r="EW262" s="4"/>
      <x:c r="EX262" s="4"/>
      <x:c r="EY262" s="4"/>
      <x:c r="EZ262" s="4"/>
      <x:c r="FA262" s="4"/>
      <x:c r="FB262" s="4"/>
      <x:c r="FC262" s="4"/>
      <x:c r="FD262" s="4"/>
      <x:c r="FE262" s="4"/>
      <x:c r="FF262" s="4"/>
      <x:c r="FG262" s="4"/>
      <x:c r="FH262" s="4"/>
      <x:c r="FI262" s="4"/>
      <x:c r="FJ262" s="4"/>
      <x:c r="FK262" s="4"/>
      <x:c r="FL262" s="4"/>
      <x:c r="FM262" s="4"/>
      <x:c r="FN262" s="4"/>
      <x:c r="FO262" s="4"/>
    </x:row>
    <x:row r="263">
      <x:c r="A263" s="72"/>
      <x:c r="B263" s="72"/>
      <x:c r="C263" s="72"/>
      <x:c r="D263" s="72"/>
      <x:c r="E263" s="72"/>
      <x:c r="F263" s="72"/>
      <x:c r="G263" s="72"/>
      <x:c r="H263" s="72"/>
      <x:c r="I263" s="72"/>
      <x:c r="J263" s="72"/>
      <x:c r="K263" s="72"/>
      <x:c r="L263" s="72"/>
      <x:c r="M263" s="72"/>
      <x:c r="N263" s="72"/>
      <x:c r="O263" s="72"/>
      <x:c r="P263" s="72"/>
      <x:c r="Q263" s="72"/>
      <x:c r="R263" s="72"/>
      <x:c r="S263" s="72"/>
      <x:c r="T263" s="72"/>
      <x:c r="U263" s="72"/>
      <x:c r="V263" s="72"/>
      <x:c r="W263" s="72"/>
      <x:c r="X263" s="72"/>
      <x:c r="Y263" s="72"/>
      <x:c r="Z263" s="72"/>
      <x:c r="AA263" s="72"/>
      <x:c r="AB263" s="72"/>
      <x:c r="AC263" s="72"/>
      <x:c r="AD263" s="72"/>
      <x:c r="AE263" s="72"/>
      <x:c r="AF263" s="4"/>
      <x:c r="AG263" s="4"/>
      <x:c r="AH263" s="4"/>
      <x:c r="AI263" s="4"/>
      <x:c r="AJ263" s="4"/>
      <x:c r="AK263" s="4"/>
      <x:c r="AL263" s="4"/>
      <x:c r="AM263" s="4"/>
      <x:c r="AN263" s="4"/>
      <x:c r="AO263" s="4"/>
      <x:c r="AP263" s="4"/>
      <x:c r="AQ263" s="4"/>
      <x:c r="AR263" s="4"/>
      <x:c r="AS263" s="4"/>
      <x:c r="AT263" s="4"/>
      <x:c r="AU263" s="4"/>
      <x:c r="AV263" s="4"/>
      <x:c r="AW263" s="4"/>
      <x:c r="AX263" s="4"/>
      <x:c r="AY263" s="4"/>
      <x:c r="AZ263" s="4"/>
      <x:c r="BA263" s="4"/>
      <x:c r="BB263" s="4"/>
      <x:c r="BC263" s="4"/>
      <x:c r="BD263" s="4"/>
      <x:c r="BE263" s="4"/>
      <x:c r="BF263" s="4"/>
      <x:c r="BG263" s="4"/>
      <x:c r="BH263" s="4"/>
      <x:c r="BI263" s="4"/>
      <x:c r="BJ263" s="4"/>
      <x:c r="BK263" s="4"/>
      <x:c r="BL263" s="4"/>
      <x:c r="BM263" s="4"/>
      <x:c r="BN263" s="4"/>
      <x:c r="BO263" s="4"/>
      <x:c r="BP263" s="4"/>
      <x:c r="BQ263" s="4"/>
      <x:c r="BR263" s="4"/>
      <x:c r="BS263" s="4"/>
      <x:c r="BT263" s="4"/>
      <x:c r="BU263" s="4"/>
      <x:c r="BV263" s="4"/>
      <x:c r="BW263" s="4"/>
      <x:c r="BX263" s="4"/>
      <x:c r="BY263" s="4"/>
      <x:c r="BZ263" s="4"/>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x:c r="DB263" s="4"/>
      <x:c r="DC263" s="4"/>
      <x:c r="DD263" s="4"/>
      <x:c r="DE263" s="4"/>
      <x:c r="DF263" s="4"/>
      <x:c r="DG263" s="4"/>
      <x:c r="DH263" s="4"/>
      <x:c r="DI263" s="4"/>
      <x:c r="DJ263" s="4"/>
      <x:c r="DK263" s="4"/>
      <x:c r="DL263" s="4"/>
      <x:c r="DM263" s="4"/>
      <x:c r="DN263" s="4"/>
      <x:c r="DO263" s="4"/>
      <x:c r="DP263" s="4"/>
      <x:c r="DQ263" s="4"/>
      <x:c r="DR263" s="4"/>
      <x:c r="DS263" s="4"/>
      <x:c r="DT263" s="4"/>
      <x:c r="DU263" s="4"/>
      <x:c r="DV263" s="4"/>
      <x:c r="DW263" s="4"/>
      <x:c r="DX263" s="4"/>
      <x:c r="DY263" s="4"/>
      <x:c r="DZ263" s="4"/>
      <x:c r="EA263" s="4"/>
      <x:c r="EB263" s="4"/>
      <x:c r="EC263" s="4"/>
      <x:c r="ED263" s="4"/>
      <x:c r="EE263" s="4"/>
      <x:c r="EF263" s="4"/>
      <x:c r="EG263" s="4"/>
      <x:c r="EH263" s="4"/>
      <x:c r="EI263" s="4"/>
      <x:c r="EJ263" s="4"/>
      <x:c r="EK263" s="4"/>
      <x:c r="EL263" s="4"/>
      <x:c r="EM263" s="4"/>
      <x:c r="EN263" s="4"/>
      <x:c r="EO263" s="4"/>
      <x:c r="EP263" s="4"/>
      <x:c r="EQ263" s="4"/>
      <x:c r="ER263" s="4"/>
      <x:c r="ES263" s="4"/>
      <x:c r="ET263" s="4"/>
      <x:c r="EU263" s="4"/>
      <x:c r="EV263" s="4"/>
      <x:c r="EW263" s="4"/>
      <x:c r="EX263" s="4"/>
      <x:c r="EY263" s="4"/>
      <x:c r="EZ263" s="4"/>
      <x:c r="FA263" s="4"/>
      <x:c r="FB263" s="4"/>
      <x:c r="FC263" s="4"/>
      <x:c r="FD263" s="4"/>
      <x:c r="FE263" s="4"/>
      <x:c r="FF263" s="4"/>
      <x:c r="FG263" s="4"/>
      <x:c r="FH263" s="4"/>
      <x:c r="FI263" s="4"/>
      <x:c r="FJ263" s="4"/>
      <x:c r="FK263" s="4"/>
      <x:c r="FL263" s="4"/>
      <x:c r="FM263" s="4"/>
      <x:c r="FN263" s="4"/>
      <x:c r="FO263" s="4"/>
    </x:row>
    <x:row r="264">
      <x:c r="A264" s="72"/>
      <x:c r="B264" s="72"/>
      <x:c r="C264" s="72"/>
      <x:c r="D264" s="72"/>
      <x:c r="E264" s="72"/>
      <x:c r="F264" s="72"/>
      <x:c r="G264" s="72"/>
      <x:c r="H264" s="72"/>
      <x:c r="I264" s="72"/>
      <x:c r="J264" s="72"/>
      <x:c r="K264" s="72"/>
      <x:c r="L264" s="72"/>
      <x:c r="M264" s="72"/>
      <x:c r="N264" s="72"/>
      <x:c r="O264" s="72"/>
      <x:c r="P264" s="72"/>
      <x:c r="Q264" s="72"/>
      <x:c r="R264" s="72"/>
      <x:c r="S264" s="72"/>
      <x:c r="T264" s="72"/>
      <x:c r="U264" s="72"/>
      <x:c r="V264" s="72"/>
      <x:c r="W264" s="72"/>
      <x:c r="X264" s="72"/>
      <x:c r="Y264" s="72"/>
      <x:c r="Z264" s="72"/>
      <x:c r="AA264" s="72"/>
      <x:c r="AB264" s="72"/>
      <x:c r="AC264" s="72"/>
      <x:c r="AD264" s="72"/>
      <x:c r="AE264" s="72"/>
      <x:c r="AF264" s="4"/>
      <x:c r="AG264" s="4"/>
      <x:c r="AH264" s="4"/>
      <x:c r="AI264" s="4"/>
      <x:c r="AJ264" s="4"/>
      <x:c r="AK264" s="4"/>
      <x:c r="AL264" s="4"/>
      <x:c r="AM264" s="4"/>
      <x:c r="AN264" s="4"/>
      <x:c r="AO264" s="4"/>
      <x:c r="AP264" s="4"/>
      <x:c r="AQ264" s="4"/>
      <x:c r="AR264" s="4"/>
      <x:c r="AS264" s="4"/>
      <x:c r="AT264" s="4"/>
      <x:c r="AU264" s="4"/>
      <x:c r="AV264" s="4"/>
      <x:c r="AW264" s="4"/>
      <x:c r="AX264" s="4"/>
      <x:c r="AY264" s="4"/>
      <x:c r="AZ264" s="4"/>
      <x:c r="BA264" s="4"/>
      <x:c r="BB264" s="4"/>
      <x:c r="BC264" s="4"/>
      <x:c r="BD264" s="4"/>
      <x:c r="BE264" s="4"/>
      <x:c r="BF264" s="4"/>
      <x:c r="BG264" s="4"/>
      <x:c r="BH264" s="4"/>
      <x:c r="BI264" s="4"/>
      <x:c r="BJ264" s="4"/>
      <x:c r="BK264" s="4"/>
      <x:c r="BL264" s="4"/>
      <x:c r="BM264" s="4"/>
      <x:c r="BN264" s="4"/>
      <x:c r="BO264" s="4"/>
      <x:c r="BP264" s="4"/>
      <x:c r="BQ264" s="4"/>
      <x:c r="BR264" s="4"/>
      <x:c r="BS264" s="4"/>
      <x:c r="BT264" s="4"/>
      <x:c r="BU264" s="4"/>
      <x:c r="BV264" s="4"/>
      <x:c r="BW264" s="4"/>
      <x:c r="BX264" s="4"/>
      <x:c r="BY264" s="4"/>
      <x:c r="BZ264" s="4"/>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x:c r="DB264" s="4"/>
      <x:c r="DC264" s="4"/>
      <x:c r="DD264" s="4"/>
      <x:c r="DE264" s="4"/>
      <x:c r="DF264" s="4"/>
      <x:c r="DG264" s="4"/>
      <x:c r="DH264" s="4"/>
      <x:c r="DI264" s="4"/>
      <x:c r="DJ264" s="4"/>
      <x:c r="DK264" s="4"/>
      <x:c r="DL264" s="4"/>
      <x:c r="DM264" s="4"/>
      <x:c r="DN264" s="4"/>
      <x:c r="DO264" s="4"/>
      <x:c r="DP264" s="4"/>
      <x:c r="DQ264" s="4"/>
      <x:c r="DR264" s="4"/>
      <x:c r="DS264" s="4"/>
      <x:c r="DT264" s="4"/>
      <x:c r="DU264" s="4"/>
      <x:c r="DV264" s="4"/>
      <x:c r="DW264" s="4"/>
      <x:c r="DX264" s="4"/>
      <x:c r="DY264" s="4"/>
      <x:c r="DZ264" s="4"/>
      <x:c r="EA264" s="4"/>
      <x:c r="EB264" s="4"/>
      <x:c r="EC264" s="4"/>
      <x:c r="ED264" s="4"/>
      <x:c r="EE264" s="4"/>
      <x:c r="EF264" s="4"/>
      <x:c r="EG264" s="4"/>
      <x:c r="EH264" s="4"/>
      <x:c r="EI264" s="4"/>
      <x:c r="EJ264" s="4"/>
      <x:c r="EK264" s="4"/>
      <x:c r="EL264" s="4"/>
      <x:c r="EM264" s="4"/>
      <x:c r="EN264" s="4"/>
      <x:c r="EO264" s="4"/>
      <x:c r="EP264" s="4"/>
      <x:c r="EQ264" s="4"/>
      <x:c r="ER264" s="4"/>
      <x:c r="ES264" s="4"/>
      <x:c r="ET264" s="4"/>
      <x:c r="EU264" s="4"/>
      <x:c r="EV264" s="4"/>
      <x:c r="EW264" s="4"/>
      <x:c r="EX264" s="4"/>
      <x:c r="EY264" s="4"/>
      <x:c r="EZ264" s="4"/>
      <x:c r="FA264" s="4"/>
      <x:c r="FB264" s="4"/>
      <x:c r="FC264" s="4"/>
      <x:c r="FD264" s="4"/>
      <x:c r="FE264" s="4"/>
      <x:c r="FF264" s="4"/>
      <x:c r="FG264" s="4"/>
      <x:c r="FH264" s="4"/>
      <x:c r="FI264" s="4"/>
      <x:c r="FJ264" s="4"/>
      <x:c r="FK264" s="4"/>
      <x:c r="FL264" s="4"/>
      <x:c r="FM264" s="4"/>
      <x:c r="FN264" s="4"/>
      <x:c r="FO264" s="4"/>
    </x:row>
    <x:row r="265">
      <x:c r="A265" s="72"/>
      <x:c r="B265" s="72"/>
      <x:c r="C265" s="72"/>
      <x:c r="D265" s="72"/>
      <x:c r="E265" s="72"/>
      <x:c r="F265" s="72"/>
      <x:c r="G265" s="72"/>
      <x:c r="H265" s="72"/>
      <x:c r="I265" s="72"/>
      <x:c r="J265" s="72"/>
      <x:c r="K265" s="72"/>
      <x:c r="L265" s="72"/>
      <x:c r="M265" s="72"/>
      <x:c r="N265" s="72"/>
      <x:c r="O265" s="72"/>
      <x:c r="P265" s="72"/>
      <x:c r="Q265" s="72"/>
      <x:c r="R265" s="72"/>
      <x:c r="S265" s="72"/>
      <x:c r="T265" s="72"/>
      <x:c r="U265" s="72"/>
      <x:c r="V265" s="72"/>
      <x:c r="W265" s="72"/>
      <x:c r="X265" s="72"/>
      <x:c r="Y265" s="72"/>
      <x:c r="Z265" s="72"/>
      <x:c r="AA265" s="72"/>
      <x:c r="AB265" s="72"/>
      <x:c r="AC265" s="72"/>
      <x:c r="AD265" s="72"/>
      <x:c r="AE265" s="72"/>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x:c r="BN265" s="4"/>
      <x:c r="BO265" s="4"/>
      <x:c r="BP265" s="4"/>
      <x:c r="BQ265" s="4"/>
      <x:c r="BR265" s="4"/>
      <x:c r="BS265" s="4"/>
      <x:c r="BT265" s="4"/>
      <x:c r="BU265" s="4"/>
      <x:c r="BV265" s="4"/>
      <x:c r="BW265" s="4"/>
      <x:c r="BX265" s="4"/>
      <x:c r="BY265" s="4"/>
      <x:c r="BZ265" s="4"/>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x:c r="DB265" s="4"/>
      <x:c r="DC265" s="4"/>
      <x:c r="DD265" s="4"/>
      <x:c r="DE265" s="4"/>
      <x:c r="DF265" s="4"/>
      <x:c r="DG265" s="4"/>
      <x:c r="DH265" s="4"/>
      <x:c r="DI265" s="4"/>
      <x:c r="DJ265" s="4"/>
      <x:c r="DK265" s="4"/>
      <x:c r="DL265" s="4"/>
      <x:c r="DM265" s="4"/>
      <x:c r="DN265" s="4"/>
      <x:c r="DO265" s="4"/>
      <x:c r="DP265" s="4"/>
      <x:c r="DQ265" s="4"/>
      <x:c r="DR265" s="4"/>
      <x:c r="DS265" s="4"/>
      <x:c r="DT265" s="4"/>
      <x:c r="DU265" s="4"/>
      <x:c r="DV265" s="4"/>
      <x:c r="DW265" s="4"/>
      <x:c r="DX265" s="4"/>
      <x:c r="DY265" s="4"/>
      <x:c r="DZ265" s="4"/>
      <x:c r="EA265" s="4"/>
      <x:c r="EB265" s="4"/>
      <x:c r="EC265" s="4"/>
      <x:c r="ED265" s="4"/>
      <x:c r="EE265" s="4"/>
      <x:c r="EF265" s="4"/>
      <x:c r="EG265" s="4"/>
      <x:c r="EH265" s="4"/>
      <x:c r="EI265" s="4"/>
      <x:c r="EJ265" s="4"/>
      <x:c r="EK265" s="4"/>
      <x:c r="EL265" s="4"/>
      <x:c r="EM265" s="4"/>
      <x:c r="EN265" s="4"/>
      <x:c r="EO265" s="4"/>
      <x:c r="EP265" s="4"/>
      <x:c r="EQ265" s="4"/>
      <x:c r="ER265" s="4"/>
      <x:c r="ES265" s="4"/>
      <x:c r="ET265" s="4"/>
      <x:c r="EU265" s="4"/>
      <x:c r="EV265" s="4"/>
      <x:c r="EW265" s="4"/>
      <x:c r="EX265" s="4"/>
      <x:c r="EY265" s="4"/>
      <x:c r="EZ265" s="4"/>
      <x:c r="FA265" s="4"/>
      <x:c r="FB265" s="4"/>
      <x:c r="FC265" s="4"/>
      <x:c r="FD265" s="4"/>
      <x:c r="FE265" s="4"/>
      <x:c r="FF265" s="4"/>
      <x:c r="FG265" s="4"/>
      <x:c r="FH265" s="4"/>
      <x:c r="FI265" s="4"/>
      <x:c r="FJ265" s="4"/>
      <x:c r="FK265" s="4"/>
      <x:c r="FL265" s="4"/>
      <x:c r="FM265" s="4"/>
      <x:c r="FN265" s="4"/>
      <x:c r="FO265" s="4"/>
    </x:row>
    <x:row r="266">
      <x:c r="A266" s="72"/>
      <x:c r="B266" s="72"/>
      <x:c r="C266" s="72"/>
      <x:c r="D266" s="72"/>
      <x:c r="E266" s="72"/>
      <x:c r="F266" s="72"/>
      <x:c r="G266" s="72"/>
      <x:c r="H266" s="72"/>
      <x:c r="I266" s="72"/>
      <x:c r="J266" s="72"/>
      <x:c r="K266" s="72"/>
      <x:c r="L266" s="72"/>
      <x:c r="M266" s="72"/>
      <x:c r="N266" s="72"/>
      <x:c r="O266" s="72"/>
      <x:c r="P266" s="72"/>
      <x:c r="Q266" s="72"/>
      <x:c r="R266" s="72"/>
      <x:c r="S266" s="72"/>
      <x:c r="T266" s="72"/>
      <x:c r="U266" s="72"/>
      <x:c r="V266" s="72"/>
      <x:c r="W266" s="72"/>
      <x:c r="X266" s="72"/>
      <x:c r="Y266" s="72"/>
      <x:c r="Z266" s="72"/>
      <x:c r="AA266" s="72"/>
      <x:c r="AB266" s="72"/>
      <x:c r="AC266" s="72"/>
      <x:c r="AD266" s="72"/>
      <x:c r="AE266" s="72"/>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x:c r="BN266" s="4"/>
      <x:c r="BO266" s="4"/>
      <x:c r="BP266" s="4"/>
      <x:c r="BQ266" s="4"/>
      <x:c r="BR266" s="4"/>
      <x:c r="BS266" s="4"/>
      <x:c r="BT266" s="4"/>
      <x:c r="BU266" s="4"/>
      <x:c r="BV266" s="4"/>
      <x:c r="BW266" s="4"/>
      <x:c r="BX266" s="4"/>
      <x:c r="BY266" s="4"/>
      <x:c r="BZ266" s="4"/>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x:c r="DB266" s="4"/>
      <x:c r="DC266" s="4"/>
      <x:c r="DD266" s="4"/>
      <x:c r="DE266" s="4"/>
      <x:c r="DF266" s="4"/>
      <x:c r="DG266" s="4"/>
      <x:c r="DH266" s="4"/>
      <x:c r="DI266" s="4"/>
      <x:c r="DJ266" s="4"/>
      <x:c r="DK266" s="4"/>
      <x:c r="DL266" s="4"/>
      <x:c r="DM266" s="4"/>
      <x:c r="DN266" s="4"/>
      <x:c r="DO266" s="4"/>
      <x:c r="DP266" s="4"/>
      <x:c r="DQ266" s="4"/>
      <x:c r="DR266" s="4"/>
      <x:c r="DS266" s="4"/>
      <x:c r="DT266" s="4"/>
      <x:c r="DU266" s="4"/>
      <x:c r="DV266" s="4"/>
      <x:c r="DW266" s="4"/>
      <x:c r="DX266" s="4"/>
      <x:c r="DY266" s="4"/>
      <x:c r="DZ266" s="4"/>
      <x:c r="EA266" s="4"/>
      <x:c r="EB266" s="4"/>
      <x:c r="EC266" s="4"/>
      <x:c r="ED266" s="4"/>
      <x:c r="EE266" s="4"/>
      <x:c r="EF266" s="4"/>
      <x:c r="EG266" s="4"/>
      <x:c r="EH266" s="4"/>
      <x:c r="EI266" s="4"/>
      <x:c r="EJ266" s="4"/>
      <x:c r="EK266" s="4"/>
      <x:c r="EL266" s="4"/>
      <x:c r="EM266" s="4"/>
      <x:c r="EN266" s="4"/>
      <x:c r="EO266" s="4"/>
      <x:c r="EP266" s="4"/>
      <x:c r="EQ266" s="4"/>
      <x:c r="ER266" s="4"/>
      <x:c r="ES266" s="4"/>
      <x:c r="ET266" s="4"/>
      <x:c r="EU266" s="4"/>
      <x:c r="EV266" s="4"/>
      <x:c r="EW266" s="4"/>
      <x:c r="EX266" s="4"/>
      <x:c r="EY266" s="4"/>
      <x:c r="EZ266" s="4"/>
      <x:c r="FA266" s="4"/>
      <x:c r="FB266" s="4"/>
      <x:c r="FC266" s="4"/>
      <x:c r="FD266" s="4"/>
      <x:c r="FE266" s="4"/>
      <x:c r="FF266" s="4"/>
      <x:c r="FG266" s="4"/>
      <x:c r="FH266" s="4"/>
      <x:c r="FI266" s="4"/>
      <x:c r="FJ266" s="4"/>
      <x:c r="FK266" s="4"/>
      <x:c r="FL266" s="4"/>
      <x:c r="FM266" s="4"/>
      <x:c r="FN266" s="4"/>
      <x:c r="FO266" s="4"/>
    </x:row>
    <x:row r="267">
      <x:c r="A267" s="72"/>
      <x:c r="B267" s="72"/>
      <x:c r="C267" s="72"/>
      <x:c r="D267" s="72"/>
      <x:c r="E267" s="72"/>
      <x:c r="F267" s="72"/>
      <x:c r="G267" s="72"/>
      <x:c r="H267" s="72"/>
      <x:c r="I267" s="72"/>
      <x:c r="J267" s="72"/>
      <x:c r="K267" s="72"/>
      <x:c r="L267" s="72"/>
      <x:c r="M267" s="72"/>
      <x:c r="N267" s="72"/>
      <x:c r="O267" s="72"/>
      <x:c r="P267" s="72"/>
      <x:c r="Q267" s="72"/>
      <x:c r="R267" s="72"/>
      <x:c r="S267" s="72"/>
      <x:c r="T267" s="72"/>
      <x:c r="U267" s="72"/>
      <x:c r="V267" s="72"/>
      <x:c r="W267" s="72"/>
      <x:c r="X267" s="72"/>
      <x:c r="Y267" s="72"/>
      <x:c r="Z267" s="72"/>
      <x:c r="AA267" s="72"/>
      <x:c r="AB267" s="72"/>
      <x:c r="AC267" s="72"/>
      <x:c r="AD267" s="72"/>
      <x:c r="AE267" s="72"/>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x:c r="BN267" s="4"/>
      <x:c r="BO267" s="4"/>
      <x:c r="BP267" s="4"/>
      <x:c r="BQ267" s="4"/>
      <x:c r="BR267" s="4"/>
      <x:c r="BS267" s="4"/>
      <x:c r="BT267" s="4"/>
      <x:c r="BU267" s="4"/>
      <x:c r="BV267" s="4"/>
      <x:c r="BW267" s="4"/>
      <x:c r="BX267" s="4"/>
      <x:c r="BY267" s="4"/>
      <x:c r="BZ267" s="4"/>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x:c r="DB267" s="4"/>
      <x:c r="DC267" s="4"/>
      <x:c r="DD267" s="4"/>
      <x:c r="DE267" s="4"/>
      <x:c r="DF267" s="4"/>
      <x:c r="DG267" s="4"/>
      <x:c r="DH267" s="4"/>
      <x:c r="DI267" s="4"/>
      <x:c r="DJ267" s="4"/>
      <x:c r="DK267" s="4"/>
      <x:c r="DL267" s="4"/>
      <x:c r="DM267" s="4"/>
      <x:c r="DN267" s="4"/>
      <x:c r="DO267" s="4"/>
      <x:c r="DP267" s="4"/>
      <x:c r="DQ267" s="4"/>
      <x:c r="DR267" s="4"/>
      <x:c r="DS267" s="4"/>
      <x:c r="DT267" s="4"/>
      <x:c r="DU267" s="4"/>
      <x:c r="DV267" s="4"/>
      <x:c r="DW267" s="4"/>
      <x:c r="DX267" s="4"/>
      <x:c r="DY267" s="4"/>
      <x:c r="DZ267" s="4"/>
      <x:c r="EA267" s="4"/>
      <x:c r="EB267" s="4"/>
      <x:c r="EC267" s="4"/>
      <x:c r="ED267" s="4"/>
      <x:c r="EE267" s="4"/>
      <x:c r="EF267" s="4"/>
      <x:c r="EG267" s="4"/>
      <x:c r="EH267" s="4"/>
      <x:c r="EI267" s="4"/>
      <x:c r="EJ267" s="4"/>
      <x:c r="EK267" s="4"/>
      <x:c r="EL267" s="4"/>
      <x:c r="EM267" s="4"/>
      <x:c r="EN267" s="4"/>
      <x:c r="EO267" s="4"/>
      <x:c r="EP267" s="4"/>
      <x:c r="EQ267" s="4"/>
      <x:c r="ER267" s="4"/>
      <x:c r="ES267" s="4"/>
      <x:c r="ET267" s="4"/>
      <x:c r="EU267" s="4"/>
      <x:c r="EV267" s="4"/>
      <x:c r="EW267" s="4"/>
      <x:c r="EX267" s="4"/>
      <x:c r="EY267" s="4"/>
      <x:c r="EZ267" s="4"/>
      <x:c r="FA267" s="4"/>
      <x:c r="FB267" s="4"/>
      <x:c r="FC267" s="4"/>
      <x:c r="FD267" s="4"/>
      <x:c r="FE267" s="4"/>
      <x:c r="FF267" s="4"/>
      <x:c r="FG267" s="4"/>
      <x:c r="FH267" s="4"/>
      <x:c r="FI267" s="4"/>
      <x:c r="FJ267" s="4"/>
      <x:c r="FK267" s="4"/>
      <x:c r="FL267" s="4"/>
      <x:c r="FM267" s="4"/>
      <x:c r="FN267" s="4"/>
      <x:c r="FO267" s="4"/>
    </x:row>
    <x:row r="268">
      <x:c r="A268" s="72"/>
      <x:c r="B268" s="72"/>
      <x:c r="C268" s="72"/>
      <x:c r="D268" s="72"/>
      <x:c r="E268" s="72"/>
      <x:c r="F268" s="72"/>
      <x:c r="G268" s="72"/>
      <x:c r="H268" s="72"/>
      <x:c r="I268" s="72"/>
      <x:c r="J268" s="72"/>
      <x:c r="K268" s="72"/>
      <x:c r="L268" s="72"/>
      <x:c r="M268" s="72"/>
      <x:c r="N268" s="72"/>
      <x:c r="O268" s="72"/>
      <x:c r="P268" s="72"/>
      <x:c r="Q268" s="72"/>
      <x:c r="R268" s="72"/>
      <x:c r="S268" s="72"/>
      <x:c r="T268" s="72"/>
      <x:c r="U268" s="72"/>
      <x:c r="V268" s="72"/>
      <x:c r="W268" s="72"/>
      <x:c r="X268" s="72"/>
      <x:c r="Y268" s="72"/>
      <x:c r="Z268" s="72"/>
      <x:c r="AA268" s="72"/>
      <x:c r="AB268" s="72"/>
      <x:c r="AC268" s="72"/>
      <x:c r="AD268" s="72"/>
      <x:c r="AE268" s="72"/>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x:c r="BN268" s="4"/>
      <x:c r="BO268" s="4"/>
      <x:c r="BP268" s="4"/>
      <x:c r="BQ268" s="4"/>
      <x:c r="BR268" s="4"/>
      <x:c r="BS268" s="4"/>
      <x:c r="BT268" s="4"/>
      <x:c r="BU268" s="4"/>
      <x:c r="BV268" s="4"/>
      <x:c r="BW268" s="4"/>
      <x:c r="BX268" s="4"/>
      <x:c r="BY268" s="4"/>
      <x:c r="BZ268" s="4"/>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x:c r="DB268" s="4"/>
      <x:c r="DC268" s="4"/>
      <x:c r="DD268" s="4"/>
      <x:c r="DE268" s="4"/>
      <x:c r="DF268" s="4"/>
      <x:c r="DG268" s="4"/>
      <x:c r="DH268" s="4"/>
      <x:c r="DI268" s="4"/>
      <x:c r="DJ268" s="4"/>
      <x:c r="DK268" s="4"/>
      <x:c r="DL268" s="4"/>
      <x:c r="DM268" s="4"/>
      <x:c r="DN268" s="4"/>
      <x:c r="DO268" s="4"/>
      <x:c r="DP268" s="4"/>
      <x:c r="DQ268" s="4"/>
      <x:c r="DR268" s="4"/>
      <x:c r="DS268" s="4"/>
      <x:c r="DT268" s="4"/>
      <x:c r="DU268" s="4"/>
      <x:c r="DV268" s="4"/>
      <x:c r="DW268" s="4"/>
      <x:c r="DX268" s="4"/>
      <x:c r="DY268" s="4"/>
      <x:c r="DZ268" s="4"/>
      <x:c r="EA268" s="4"/>
      <x:c r="EB268" s="4"/>
      <x:c r="EC268" s="4"/>
      <x:c r="ED268" s="4"/>
      <x:c r="EE268" s="4"/>
      <x:c r="EF268" s="4"/>
      <x:c r="EG268" s="4"/>
      <x:c r="EH268" s="4"/>
      <x:c r="EI268" s="4"/>
      <x:c r="EJ268" s="4"/>
      <x:c r="EK268" s="4"/>
      <x:c r="EL268" s="4"/>
      <x:c r="EM268" s="4"/>
      <x:c r="EN268" s="4"/>
      <x:c r="EO268" s="4"/>
      <x:c r="EP268" s="4"/>
      <x:c r="EQ268" s="4"/>
      <x:c r="ER268" s="4"/>
      <x:c r="ES268" s="4"/>
      <x:c r="ET268" s="4"/>
      <x:c r="EU268" s="4"/>
      <x:c r="EV268" s="4"/>
      <x:c r="EW268" s="4"/>
      <x:c r="EX268" s="4"/>
      <x:c r="EY268" s="4"/>
      <x:c r="EZ268" s="4"/>
      <x:c r="FA268" s="4"/>
      <x:c r="FB268" s="4"/>
      <x:c r="FC268" s="4"/>
      <x:c r="FD268" s="4"/>
      <x:c r="FE268" s="4"/>
      <x:c r="FF268" s="4"/>
      <x:c r="FG268" s="4"/>
      <x:c r="FH268" s="4"/>
      <x:c r="FI268" s="4"/>
      <x:c r="FJ268" s="4"/>
      <x:c r="FK268" s="4"/>
      <x:c r="FL268" s="4"/>
      <x:c r="FM268" s="4"/>
      <x:c r="FN268" s="4"/>
      <x:c r="FO268" s="4"/>
    </x:row>
    <x:row r="269">
      <x:c r="A269" s="72"/>
      <x:c r="B269" s="72"/>
      <x:c r="C269" s="72"/>
      <x:c r="D269" s="72"/>
      <x:c r="E269" s="72"/>
      <x:c r="F269" s="72"/>
      <x:c r="G269" s="72"/>
      <x:c r="H269" s="72"/>
      <x:c r="I269" s="72"/>
      <x:c r="J269" s="72"/>
      <x:c r="K269" s="72"/>
      <x:c r="L269" s="72"/>
      <x:c r="M269" s="72"/>
      <x:c r="N269" s="72"/>
      <x:c r="O269" s="72"/>
      <x:c r="P269" s="72"/>
      <x:c r="Q269" s="72"/>
      <x:c r="R269" s="72"/>
      <x:c r="S269" s="72"/>
      <x:c r="T269" s="72"/>
      <x:c r="U269" s="72"/>
      <x:c r="V269" s="72"/>
      <x:c r="W269" s="72"/>
      <x:c r="X269" s="72"/>
      <x:c r="Y269" s="72"/>
      <x:c r="Z269" s="72"/>
      <x:c r="AA269" s="72"/>
      <x:c r="AB269" s="72"/>
      <x:c r="AC269" s="72"/>
      <x:c r="AD269" s="72"/>
      <x:c r="AE269" s="72"/>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x:c r="BN269" s="4"/>
      <x:c r="BO269" s="4"/>
      <x:c r="BP269" s="4"/>
      <x:c r="BQ269" s="4"/>
      <x:c r="BR269" s="4"/>
      <x:c r="BS269" s="4"/>
      <x:c r="BT269" s="4"/>
      <x:c r="BU269" s="4"/>
      <x:c r="BV269" s="4"/>
      <x:c r="BW269" s="4"/>
      <x:c r="BX269" s="4"/>
      <x:c r="BY269" s="4"/>
      <x:c r="BZ269" s="4"/>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x:c r="DB269" s="4"/>
      <x:c r="DC269" s="4"/>
      <x:c r="DD269" s="4"/>
      <x:c r="DE269" s="4"/>
      <x:c r="DF269" s="4"/>
      <x:c r="DG269" s="4"/>
      <x:c r="DH269" s="4"/>
      <x:c r="DI269" s="4"/>
      <x:c r="DJ269" s="4"/>
      <x:c r="DK269" s="4"/>
      <x:c r="DL269" s="4"/>
      <x:c r="DM269" s="4"/>
      <x:c r="DN269" s="4"/>
      <x:c r="DO269" s="4"/>
      <x:c r="DP269" s="4"/>
      <x:c r="DQ269" s="4"/>
      <x:c r="DR269" s="4"/>
      <x:c r="DS269" s="4"/>
      <x:c r="DT269" s="4"/>
      <x:c r="DU269" s="4"/>
      <x:c r="DV269" s="4"/>
      <x:c r="DW269" s="4"/>
      <x:c r="DX269" s="4"/>
      <x:c r="DY269" s="4"/>
      <x:c r="DZ269" s="4"/>
      <x:c r="EA269" s="4"/>
      <x:c r="EB269" s="4"/>
      <x:c r="EC269" s="4"/>
      <x:c r="ED269" s="4"/>
      <x:c r="EE269" s="4"/>
      <x:c r="EF269" s="4"/>
      <x:c r="EG269" s="4"/>
      <x:c r="EH269" s="4"/>
      <x:c r="EI269" s="4"/>
      <x:c r="EJ269" s="4"/>
      <x:c r="EK269" s="4"/>
      <x:c r="EL269" s="4"/>
      <x:c r="EM269" s="4"/>
      <x:c r="EN269" s="4"/>
      <x:c r="EO269" s="4"/>
      <x:c r="EP269" s="4"/>
      <x:c r="EQ269" s="4"/>
      <x:c r="ER269" s="4"/>
      <x:c r="ES269" s="4"/>
      <x:c r="ET269" s="4"/>
      <x:c r="EU269" s="4"/>
      <x:c r="EV269" s="4"/>
      <x:c r="EW269" s="4"/>
      <x:c r="EX269" s="4"/>
      <x:c r="EY269" s="4"/>
      <x:c r="EZ269" s="4"/>
      <x:c r="FA269" s="4"/>
      <x:c r="FB269" s="4"/>
      <x:c r="FC269" s="4"/>
      <x:c r="FD269" s="4"/>
      <x:c r="FE269" s="4"/>
      <x:c r="FF269" s="4"/>
      <x:c r="FG269" s="4"/>
      <x:c r="FH269" s="4"/>
      <x:c r="FI269" s="4"/>
      <x:c r="FJ269" s="4"/>
      <x:c r="FK269" s="4"/>
      <x:c r="FL269" s="4"/>
      <x:c r="FM269" s="4"/>
      <x:c r="FN269" s="4"/>
      <x:c r="FO269" s="4"/>
    </x:row>
    <x:row r="270">
      <x:c r="A270" s="72"/>
      <x:c r="B270" s="72"/>
      <x:c r="C270" s="72"/>
      <x:c r="D270" s="72"/>
      <x:c r="E270" s="72"/>
      <x:c r="F270" s="72"/>
      <x:c r="G270" s="72"/>
      <x:c r="H270" s="72"/>
      <x:c r="I270" s="72"/>
      <x:c r="J270" s="72"/>
      <x:c r="K270" s="72"/>
      <x:c r="L270" s="72"/>
      <x:c r="M270" s="72"/>
      <x:c r="N270" s="72"/>
      <x:c r="O270" s="72"/>
      <x:c r="P270" s="72"/>
      <x:c r="Q270" s="72"/>
      <x:c r="R270" s="72"/>
      <x:c r="S270" s="72"/>
      <x:c r="T270" s="72"/>
      <x:c r="U270" s="72"/>
      <x:c r="V270" s="72"/>
      <x:c r="W270" s="72"/>
      <x:c r="X270" s="72"/>
      <x:c r="Y270" s="72"/>
      <x:c r="Z270" s="72"/>
      <x:c r="AA270" s="72"/>
      <x:c r="AB270" s="72"/>
      <x:c r="AC270" s="72"/>
      <x:c r="AD270" s="72"/>
      <x:c r="AE270" s="72"/>
      <x:c r="AF270" s="4"/>
      <x:c r="AG270" s="4"/>
      <x:c r="AH270" s="4"/>
      <x:c r="AI270" s="4"/>
      <x:c r="AJ270" s="4"/>
      <x:c r="AK270" s="4"/>
      <x:c r="AL270" s="4"/>
      <x:c r="AM270" s="4"/>
      <x:c r="AN270" s="4"/>
      <x:c r="AO270" s="4"/>
      <x:c r="AP270" s="4"/>
      <x:c r="AQ270" s="4"/>
      <x:c r="AR270" s="4"/>
      <x:c r="AS270" s="4"/>
      <x:c r="AT270" s="4"/>
      <x:c r="AU270" s="4"/>
      <x:c r="AV270" s="4"/>
      <x:c r="AW270" s="4"/>
      <x:c r="AX270" s="4"/>
      <x:c r="AY270" s="4"/>
      <x:c r="AZ270" s="4"/>
      <x:c r="BA270" s="4"/>
      <x:c r="BB270" s="4"/>
      <x:c r="BC270" s="4"/>
      <x:c r="BD270" s="4"/>
      <x:c r="BE270" s="4"/>
      <x:c r="BF270" s="4"/>
      <x:c r="BG270" s="4"/>
      <x:c r="BH270" s="4"/>
      <x:c r="BI270" s="4"/>
      <x:c r="BJ270" s="4"/>
      <x:c r="BK270" s="4"/>
      <x:c r="BL270" s="4"/>
      <x:c r="BM270" s="4"/>
      <x:c r="BN270" s="4"/>
      <x:c r="BO270" s="4"/>
      <x:c r="BP270" s="4"/>
      <x:c r="BQ270" s="4"/>
      <x:c r="BR270" s="4"/>
      <x:c r="BS270" s="4"/>
      <x:c r="BT270" s="4"/>
      <x:c r="BU270" s="4"/>
      <x:c r="BV270" s="4"/>
      <x:c r="BW270" s="4"/>
      <x:c r="BX270" s="4"/>
      <x:c r="BY270" s="4"/>
      <x:c r="BZ270" s="4"/>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x:c r="DB270" s="4"/>
      <x:c r="DC270" s="4"/>
      <x:c r="DD270" s="4"/>
      <x:c r="DE270" s="4"/>
      <x:c r="DF270" s="4"/>
      <x:c r="DG270" s="4"/>
      <x:c r="DH270" s="4"/>
      <x:c r="DI270" s="4"/>
      <x:c r="DJ270" s="4"/>
      <x:c r="DK270" s="4"/>
      <x:c r="DL270" s="4"/>
      <x:c r="DM270" s="4"/>
      <x:c r="DN270" s="4"/>
      <x:c r="DO270" s="4"/>
      <x:c r="DP270" s="4"/>
      <x:c r="DQ270" s="4"/>
      <x:c r="DR270" s="4"/>
      <x:c r="DS270" s="4"/>
      <x:c r="DT270" s="4"/>
      <x:c r="DU270" s="4"/>
      <x:c r="DV270" s="4"/>
      <x:c r="DW270" s="4"/>
      <x:c r="DX270" s="4"/>
      <x:c r="DY270" s="4"/>
      <x:c r="DZ270" s="4"/>
      <x:c r="EA270" s="4"/>
      <x:c r="EB270" s="4"/>
      <x:c r="EC270" s="4"/>
      <x:c r="ED270" s="4"/>
      <x:c r="EE270" s="4"/>
      <x:c r="EF270" s="4"/>
      <x:c r="EG270" s="4"/>
      <x:c r="EH270" s="4"/>
      <x:c r="EI270" s="4"/>
      <x:c r="EJ270" s="4"/>
      <x:c r="EK270" s="4"/>
      <x:c r="EL270" s="4"/>
      <x:c r="EM270" s="4"/>
      <x:c r="EN270" s="4"/>
      <x:c r="EO270" s="4"/>
      <x:c r="EP270" s="4"/>
      <x:c r="EQ270" s="4"/>
      <x:c r="ER270" s="4"/>
      <x:c r="ES270" s="4"/>
      <x:c r="ET270" s="4"/>
      <x:c r="EU270" s="4"/>
      <x:c r="EV270" s="4"/>
      <x:c r="EW270" s="4"/>
      <x:c r="EX270" s="4"/>
      <x:c r="EY270" s="4"/>
      <x:c r="EZ270" s="4"/>
      <x:c r="FA270" s="4"/>
      <x:c r="FB270" s="4"/>
      <x:c r="FC270" s="4"/>
      <x:c r="FD270" s="4"/>
      <x:c r="FE270" s="4"/>
      <x:c r="FF270" s="4"/>
      <x:c r="FG270" s="4"/>
      <x:c r="FH270" s="4"/>
      <x:c r="FI270" s="4"/>
      <x:c r="FJ270" s="4"/>
      <x:c r="FK270" s="4"/>
      <x:c r="FL270" s="4"/>
      <x:c r="FM270" s="4"/>
      <x:c r="FN270" s="4"/>
      <x:c r="FO270" s="4"/>
    </x:row>
    <x:row r="271">
      <x:c r="A271" s="72"/>
      <x:c r="B271" s="72"/>
      <x:c r="C271" s="72"/>
      <x:c r="D271" s="72"/>
      <x:c r="E271" s="72"/>
      <x:c r="F271" s="72"/>
      <x:c r="G271" s="72"/>
      <x:c r="H271" s="72"/>
      <x:c r="I271" s="72"/>
      <x:c r="J271" s="72"/>
      <x:c r="K271" s="72"/>
      <x:c r="L271" s="72"/>
      <x:c r="M271" s="72"/>
      <x:c r="N271" s="72"/>
      <x:c r="O271" s="72"/>
      <x:c r="P271" s="72"/>
      <x:c r="Q271" s="72"/>
      <x:c r="R271" s="72"/>
      <x:c r="S271" s="72"/>
      <x:c r="T271" s="72"/>
      <x:c r="U271" s="72"/>
      <x:c r="V271" s="72"/>
      <x:c r="W271" s="72"/>
      <x:c r="X271" s="72"/>
      <x:c r="Y271" s="72"/>
      <x:c r="Z271" s="72"/>
      <x:c r="AA271" s="72"/>
      <x:c r="AB271" s="72"/>
      <x:c r="AC271" s="72"/>
      <x:c r="AD271" s="72"/>
      <x:c r="AE271" s="72"/>
      <x:c r="AF271" s="4"/>
      <x:c r="AG271" s="4"/>
      <x:c r="AH271" s="4"/>
      <x:c r="AI271" s="4"/>
      <x:c r="AJ271" s="4"/>
      <x:c r="AK271" s="4"/>
      <x:c r="AL271" s="4"/>
      <x:c r="AM271" s="4"/>
      <x:c r="AN271" s="4"/>
      <x:c r="AO271" s="4"/>
      <x:c r="AP271" s="4"/>
      <x:c r="AQ271" s="4"/>
      <x:c r="AR271" s="4"/>
      <x:c r="AS271" s="4"/>
      <x:c r="AT271" s="4"/>
      <x:c r="AU271" s="4"/>
      <x:c r="AV271" s="4"/>
      <x:c r="AW271" s="4"/>
      <x:c r="AX271" s="4"/>
      <x:c r="AY271" s="4"/>
      <x:c r="AZ271" s="4"/>
      <x:c r="BA271" s="4"/>
      <x:c r="BB271" s="4"/>
      <x:c r="BC271" s="4"/>
      <x:c r="BD271" s="4"/>
      <x:c r="BE271" s="4"/>
      <x:c r="BF271" s="4"/>
      <x:c r="BG271" s="4"/>
      <x:c r="BH271" s="4"/>
      <x:c r="BI271" s="4"/>
      <x:c r="BJ271" s="4"/>
      <x:c r="BK271" s="4"/>
      <x:c r="BL271" s="4"/>
      <x:c r="BM271" s="4"/>
      <x:c r="BN271" s="4"/>
      <x:c r="BO271" s="4"/>
      <x:c r="BP271" s="4"/>
      <x:c r="BQ271" s="4"/>
      <x:c r="BR271" s="4"/>
      <x:c r="BS271" s="4"/>
      <x:c r="BT271" s="4"/>
      <x:c r="BU271" s="4"/>
      <x:c r="BV271" s="4"/>
      <x:c r="BW271" s="4"/>
      <x:c r="BX271" s="4"/>
      <x:c r="BY271" s="4"/>
      <x:c r="BZ271" s="4"/>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x:c r="DB271" s="4"/>
      <x:c r="DC271" s="4"/>
      <x:c r="DD271" s="4"/>
      <x:c r="DE271" s="4"/>
      <x:c r="DF271" s="4"/>
      <x:c r="DG271" s="4"/>
      <x:c r="DH271" s="4"/>
      <x:c r="DI271" s="4"/>
      <x:c r="DJ271" s="4"/>
      <x:c r="DK271" s="4"/>
      <x:c r="DL271" s="4"/>
      <x:c r="DM271" s="4"/>
      <x:c r="DN271" s="4"/>
      <x:c r="DO271" s="4"/>
      <x:c r="DP271" s="4"/>
      <x:c r="DQ271" s="4"/>
      <x:c r="DR271" s="4"/>
      <x:c r="DS271" s="4"/>
      <x:c r="DT271" s="4"/>
      <x:c r="DU271" s="4"/>
      <x:c r="DV271" s="4"/>
      <x:c r="DW271" s="4"/>
      <x:c r="DX271" s="4"/>
      <x:c r="DY271" s="4"/>
      <x:c r="DZ271" s="4"/>
      <x:c r="EA271" s="4"/>
      <x:c r="EB271" s="4"/>
      <x:c r="EC271" s="4"/>
      <x:c r="ED271" s="4"/>
      <x:c r="EE271" s="4"/>
      <x:c r="EF271" s="4"/>
      <x:c r="EG271" s="4"/>
      <x:c r="EH271" s="4"/>
      <x:c r="EI271" s="4"/>
      <x:c r="EJ271" s="4"/>
      <x:c r="EK271" s="4"/>
      <x:c r="EL271" s="4"/>
      <x:c r="EM271" s="4"/>
      <x:c r="EN271" s="4"/>
      <x:c r="EO271" s="4"/>
      <x:c r="EP271" s="4"/>
      <x:c r="EQ271" s="4"/>
      <x:c r="ER271" s="4"/>
      <x:c r="ES271" s="4"/>
      <x:c r="ET271" s="4"/>
      <x:c r="EU271" s="4"/>
      <x:c r="EV271" s="4"/>
      <x:c r="EW271" s="4"/>
      <x:c r="EX271" s="4"/>
      <x:c r="EY271" s="4"/>
      <x:c r="EZ271" s="4"/>
      <x:c r="FA271" s="4"/>
      <x:c r="FB271" s="4"/>
      <x:c r="FC271" s="4"/>
      <x:c r="FD271" s="4"/>
      <x:c r="FE271" s="4"/>
      <x:c r="FF271" s="4"/>
      <x:c r="FG271" s="4"/>
      <x:c r="FH271" s="4"/>
      <x:c r="FI271" s="4"/>
      <x:c r="FJ271" s="4"/>
      <x:c r="FK271" s="4"/>
      <x:c r="FL271" s="4"/>
      <x:c r="FM271" s="4"/>
      <x:c r="FN271" s="4"/>
      <x:c r="FO271" s="4"/>
    </x:row>
    <x:row r="272">
      <x:c r="A272" s="72"/>
      <x:c r="B272" s="72"/>
      <x:c r="C272" s="72"/>
      <x:c r="D272" s="72"/>
      <x:c r="E272" s="72"/>
      <x:c r="F272" s="72"/>
      <x:c r="G272" s="72"/>
      <x:c r="H272" s="72"/>
      <x:c r="I272" s="72"/>
      <x:c r="J272" s="72"/>
      <x:c r="K272" s="72"/>
      <x:c r="L272" s="72"/>
      <x:c r="M272" s="72"/>
      <x:c r="N272" s="72"/>
      <x:c r="O272" s="72"/>
      <x:c r="P272" s="72"/>
      <x:c r="Q272" s="72"/>
      <x:c r="R272" s="72"/>
      <x:c r="S272" s="72"/>
      <x:c r="T272" s="72"/>
      <x:c r="U272" s="72"/>
      <x:c r="V272" s="72"/>
      <x:c r="W272" s="72"/>
      <x:c r="X272" s="72"/>
      <x:c r="Y272" s="72"/>
      <x:c r="Z272" s="72"/>
      <x:c r="AA272" s="72"/>
      <x:c r="AB272" s="72"/>
      <x:c r="AC272" s="72"/>
      <x:c r="AD272" s="72"/>
      <x:c r="AE272" s="72"/>
      <x:c r="AF272" s="4"/>
      <x:c r="AG272" s="4"/>
      <x:c r="AH272" s="4"/>
      <x:c r="AI272" s="4"/>
      <x:c r="AJ272" s="4"/>
      <x:c r="AK272" s="4"/>
      <x:c r="AL272" s="4"/>
      <x:c r="AM272" s="4"/>
      <x:c r="AN272" s="4"/>
      <x:c r="AO272" s="4"/>
      <x:c r="AP272" s="4"/>
      <x:c r="AQ272" s="4"/>
      <x:c r="AR272" s="4"/>
      <x:c r="AS272" s="4"/>
      <x:c r="AT272" s="4"/>
      <x:c r="AU272" s="4"/>
      <x:c r="AV272" s="4"/>
      <x:c r="AW272" s="4"/>
      <x:c r="AX272" s="4"/>
      <x:c r="AY272" s="4"/>
      <x:c r="AZ272" s="4"/>
      <x:c r="BA272" s="4"/>
      <x:c r="BB272" s="4"/>
      <x:c r="BC272" s="4"/>
      <x:c r="BD272" s="4"/>
      <x:c r="BE272" s="4"/>
      <x:c r="BF272" s="4"/>
      <x:c r="BG272" s="4"/>
      <x:c r="BH272" s="4"/>
      <x:c r="BI272" s="4"/>
      <x:c r="BJ272" s="4"/>
      <x:c r="BK272" s="4"/>
      <x:c r="BL272" s="4"/>
      <x:c r="BM272" s="4"/>
      <x:c r="BN272" s="4"/>
      <x:c r="BO272" s="4"/>
      <x:c r="BP272" s="4"/>
      <x:c r="BQ272" s="4"/>
      <x:c r="BR272" s="4"/>
      <x:c r="BS272" s="4"/>
      <x:c r="BT272" s="4"/>
      <x:c r="BU272" s="4"/>
      <x:c r="BV272" s="4"/>
      <x:c r="BW272" s="4"/>
      <x:c r="BX272" s="4"/>
      <x:c r="BY272" s="4"/>
      <x:c r="BZ272" s="4"/>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x:c r="DB272" s="4"/>
      <x:c r="DC272" s="4"/>
      <x:c r="DD272" s="4"/>
      <x:c r="DE272" s="4"/>
      <x:c r="DF272" s="4"/>
      <x:c r="DG272" s="4"/>
      <x:c r="DH272" s="4"/>
      <x:c r="DI272" s="4"/>
      <x:c r="DJ272" s="4"/>
      <x:c r="DK272" s="4"/>
      <x:c r="DL272" s="4"/>
      <x:c r="DM272" s="4"/>
      <x:c r="DN272" s="4"/>
      <x:c r="DO272" s="4"/>
      <x:c r="DP272" s="4"/>
      <x:c r="DQ272" s="4"/>
      <x:c r="DR272" s="4"/>
      <x:c r="DS272" s="4"/>
      <x:c r="DT272" s="4"/>
      <x:c r="DU272" s="4"/>
      <x:c r="DV272" s="4"/>
      <x:c r="DW272" s="4"/>
      <x:c r="DX272" s="4"/>
      <x:c r="DY272" s="4"/>
      <x:c r="DZ272" s="4"/>
      <x:c r="EA272" s="4"/>
      <x:c r="EB272" s="4"/>
      <x:c r="EC272" s="4"/>
      <x:c r="ED272" s="4"/>
      <x:c r="EE272" s="4"/>
      <x:c r="EF272" s="4"/>
      <x:c r="EG272" s="4"/>
      <x:c r="EH272" s="4"/>
      <x:c r="EI272" s="4"/>
      <x:c r="EJ272" s="4"/>
      <x:c r="EK272" s="4"/>
      <x:c r="EL272" s="4"/>
      <x:c r="EM272" s="4"/>
      <x:c r="EN272" s="4"/>
      <x:c r="EO272" s="4"/>
      <x:c r="EP272" s="4"/>
      <x:c r="EQ272" s="4"/>
      <x:c r="ER272" s="4"/>
      <x:c r="ES272" s="4"/>
      <x:c r="ET272" s="4"/>
      <x:c r="EU272" s="4"/>
      <x:c r="EV272" s="4"/>
      <x:c r="EW272" s="4"/>
      <x:c r="EX272" s="4"/>
      <x:c r="EY272" s="4"/>
      <x:c r="EZ272" s="4"/>
      <x:c r="FA272" s="4"/>
      <x:c r="FB272" s="4"/>
      <x:c r="FC272" s="4"/>
      <x:c r="FD272" s="4"/>
      <x:c r="FE272" s="4"/>
      <x:c r="FF272" s="4"/>
      <x:c r="FG272" s="4"/>
      <x:c r="FH272" s="4"/>
      <x:c r="FI272" s="4"/>
      <x:c r="FJ272" s="4"/>
      <x:c r="FK272" s="4"/>
      <x:c r="FL272" s="4"/>
      <x:c r="FM272" s="4"/>
      <x:c r="FN272" s="4"/>
      <x:c r="FO272" s="4"/>
    </x:row>
    <x:row r="273">
      <x:c r="A273" s="72"/>
      <x:c r="B273" s="72"/>
      <x:c r="C273" s="72"/>
      <x:c r="D273" s="72"/>
      <x:c r="E273" s="72"/>
      <x:c r="F273" s="72"/>
      <x:c r="G273" s="72"/>
      <x:c r="H273" s="72"/>
      <x:c r="I273" s="72"/>
      <x:c r="J273" s="72"/>
      <x:c r="K273" s="72"/>
      <x:c r="L273" s="72"/>
      <x:c r="M273" s="72"/>
      <x:c r="N273" s="72"/>
      <x:c r="O273" s="72"/>
      <x:c r="P273" s="72"/>
      <x:c r="Q273" s="72"/>
      <x:c r="R273" s="72"/>
      <x:c r="S273" s="72"/>
      <x:c r="T273" s="72"/>
      <x:c r="U273" s="72"/>
      <x:c r="V273" s="72"/>
      <x:c r="W273" s="72"/>
      <x:c r="X273" s="72"/>
      <x:c r="Y273" s="72"/>
      <x:c r="Z273" s="72"/>
      <x:c r="AA273" s="72"/>
      <x:c r="AB273" s="72"/>
      <x:c r="AC273" s="72"/>
      <x:c r="AD273" s="72"/>
      <x:c r="AE273" s="72"/>
      <x:c r="AF273" s="4"/>
      <x:c r="AG273" s="4"/>
      <x:c r="AH273" s="4"/>
      <x:c r="AI273" s="4"/>
      <x:c r="AJ273" s="4"/>
      <x:c r="AK273" s="4"/>
      <x:c r="AL273" s="4"/>
      <x:c r="AM273" s="4"/>
      <x:c r="AN273" s="4"/>
      <x:c r="AO273" s="4"/>
      <x:c r="AP273" s="4"/>
      <x:c r="AQ273" s="4"/>
      <x:c r="AR273" s="4"/>
      <x:c r="AS273" s="4"/>
      <x:c r="AT273" s="4"/>
      <x:c r="AU273" s="4"/>
      <x:c r="AV273" s="4"/>
      <x:c r="AW273" s="4"/>
      <x:c r="AX273" s="4"/>
      <x:c r="AY273" s="4"/>
      <x:c r="AZ273" s="4"/>
      <x:c r="BA273" s="4"/>
      <x:c r="BB273" s="4"/>
      <x:c r="BC273" s="4"/>
      <x:c r="BD273" s="4"/>
      <x:c r="BE273" s="4"/>
      <x:c r="BF273" s="4"/>
      <x:c r="BG273" s="4"/>
      <x:c r="BH273" s="4"/>
      <x:c r="BI273" s="4"/>
      <x:c r="BJ273" s="4"/>
      <x:c r="BK273" s="4"/>
      <x:c r="BL273" s="4"/>
      <x:c r="BM273" s="4"/>
      <x:c r="BN273" s="4"/>
      <x:c r="BO273" s="4"/>
      <x:c r="BP273" s="4"/>
      <x:c r="BQ273" s="4"/>
      <x:c r="BR273" s="4"/>
      <x:c r="BS273" s="4"/>
      <x:c r="BT273" s="4"/>
      <x:c r="BU273" s="4"/>
      <x:c r="BV273" s="4"/>
      <x:c r="BW273" s="4"/>
      <x:c r="BX273" s="4"/>
      <x:c r="BY273" s="4"/>
      <x:c r="BZ273" s="4"/>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x:c r="DB273" s="4"/>
      <x:c r="DC273" s="4"/>
      <x:c r="DD273" s="4"/>
      <x:c r="DE273" s="4"/>
      <x:c r="DF273" s="4"/>
      <x:c r="DG273" s="4"/>
      <x:c r="DH273" s="4"/>
      <x:c r="DI273" s="4"/>
      <x:c r="DJ273" s="4"/>
      <x:c r="DK273" s="4"/>
      <x:c r="DL273" s="4"/>
      <x:c r="DM273" s="4"/>
      <x:c r="DN273" s="4"/>
      <x:c r="DO273" s="4"/>
      <x:c r="DP273" s="4"/>
      <x:c r="DQ273" s="4"/>
      <x:c r="DR273" s="4"/>
      <x:c r="DS273" s="4"/>
      <x:c r="DT273" s="4"/>
      <x:c r="DU273" s="4"/>
      <x:c r="DV273" s="4"/>
      <x:c r="DW273" s="4"/>
      <x:c r="DX273" s="4"/>
      <x:c r="DY273" s="4"/>
      <x:c r="DZ273" s="4"/>
      <x:c r="EA273" s="4"/>
      <x:c r="EB273" s="4"/>
      <x:c r="EC273" s="4"/>
      <x:c r="ED273" s="4"/>
      <x:c r="EE273" s="4"/>
      <x:c r="EF273" s="4"/>
      <x:c r="EG273" s="4"/>
      <x:c r="EH273" s="4"/>
      <x:c r="EI273" s="4"/>
      <x:c r="EJ273" s="4"/>
      <x:c r="EK273" s="4"/>
      <x:c r="EL273" s="4"/>
      <x:c r="EM273" s="4"/>
      <x:c r="EN273" s="4"/>
      <x:c r="EO273" s="4"/>
      <x:c r="EP273" s="4"/>
      <x:c r="EQ273" s="4"/>
      <x:c r="ER273" s="4"/>
      <x:c r="ES273" s="4"/>
      <x:c r="ET273" s="4"/>
      <x:c r="EU273" s="4"/>
      <x:c r="EV273" s="4"/>
      <x:c r="EW273" s="4"/>
      <x:c r="EX273" s="4"/>
      <x:c r="EY273" s="4"/>
      <x:c r="EZ273" s="4"/>
      <x:c r="FA273" s="4"/>
      <x:c r="FB273" s="4"/>
      <x:c r="FC273" s="4"/>
      <x:c r="FD273" s="4"/>
      <x:c r="FE273" s="4"/>
      <x:c r="FF273" s="4"/>
      <x:c r="FG273" s="4"/>
      <x:c r="FH273" s="4"/>
      <x:c r="FI273" s="4"/>
      <x:c r="FJ273" s="4"/>
      <x:c r="FK273" s="4"/>
      <x:c r="FL273" s="4"/>
      <x:c r="FM273" s="4"/>
      <x:c r="FN273" s="4"/>
      <x:c r="FO273" s="4"/>
    </x:row>
    <x:row r="274">
      <x:c r="A274" s="72"/>
      <x:c r="B274" s="72"/>
      <x:c r="C274" s="72"/>
      <x:c r="D274" s="72"/>
      <x:c r="E274" s="72"/>
      <x:c r="F274" s="72"/>
      <x:c r="G274" s="72"/>
      <x:c r="H274" s="72"/>
      <x:c r="I274" s="72"/>
      <x:c r="J274" s="72"/>
      <x:c r="K274" s="72"/>
      <x:c r="L274" s="72"/>
      <x:c r="M274" s="72"/>
      <x:c r="N274" s="72"/>
      <x:c r="O274" s="72"/>
      <x:c r="P274" s="72"/>
      <x:c r="Q274" s="72"/>
      <x:c r="R274" s="72"/>
      <x:c r="S274" s="72"/>
      <x:c r="T274" s="72"/>
      <x:c r="U274" s="72"/>
      <x:c r="V274" s="72"/>
      <x:c r="W274" s="72"/>
      <x:c r="X274" s="72"/>
      <x:c r="Y274" s="72"/>
      <x:c r="Z274" s="72"/>
      <x:c r="AA274" s="72"/>
      <x:c r="AB274" s="72"/>
      <x:c r="AC274" s="72"/>
      <x:c r="AD274" s="72"/>
      <x:c r="AE274" s="72"/>
      <x:c r="AF274" s="4"/>
      <x:c r="AG274" s="4"/>
      <x:c r="AH274" s="4"/>
      <x:c r="AI274" s="4"/>
      <x:c r="AJ274" s="4"/>
      <x:c r="AK274" s="4"/>
      <x:c r="AL274" s="4"/>
      <x:c r="AM274" s="4"/>
      <x:c r="AN274" s="4"/>
      <x:c r="AO274" s="4"/>
      <x:c r="AP274" s="4"/>
      <x:c r="AQ274" s="4"/>
      <x:c r="AR274" s="4"/>
      <x:c r="AS274" s="4"/>
      <x:c r="AT274" s="4"/>
      <x:c r="AU274" s="4"/>
      <x:c r="AV274" s="4"/>
      <x:c r="AW274" s="4"/>
      <x:c r="AX274" s="4"/>
      <x:c r="AY274" s="4"/>
      <x:c r="AZ274" s="4"/>
      <x:c r="BA274" s="4"/>
      <x:c r="BB274" s="4"/>
      <x:c r="BC274" s="4"/>
      <x:c r="BD274" s="4"/>
      <x:c r="BE274" s="4"/>
      <x:c r="BF274" s="4"/>
      <x:c r="BG274" s="4"/>
      <x:c r="BH274" s="4"/>
      <x:c r="BI274" s="4"/>
      <x:c r="BJ274" s="4"/>
      <x:c r="BK274" s="4"/>
      <x:c r="BL274" s="4"/>
      <x:c r="BM274" s="4"/>
      <x:c r="BN274" s="4"/>
      <x:c r="BO274" s="4"/>
      <x:c r="BP274" s="4"/>
      <x:c r="BQ274" s="4"/>
      <x:c r="BR274" s="4"/>
      <x:c r="BS274" s="4"/>
      <x:c r="BT274" s="4"/>
      <x:c r="BU274" s="4"/>
      <x:c r="BV274" s="4"/>
      <x:c r="BW274" s="4"/>
      <x:c r="BX274" s="4"/>
      <x:c r="BY274" s="4"/>
      <x:c r="BZ274" s="4"/>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x:c r="DB274" s="4"/>
      <x:c r="DC274" s="4"/>
      <x:c r="DD274" s="4"/>
      <x:c r="DE274" s="4"/>
      <x:c r="DF274" s="4"/>
      <x:c r="DG274" s="4"/>
      <x:c r="DH274" s="4"/>
      <x:c r="DI274" s="4"/>
      <x:c r="DJ274" s="4"/>
      <x:c r="DK274" s="4"/>
      <x:c r="DL274" s="4"/>
      <x:c r="DM274" s="4"/>
      <x:c r="DN274" s="4"/>
      <x:c r="DO274" s="4"/>
      <x:c r="DP274" s="4"/>
      <x:c r="DQ274" s="4"/>
      <x:c r="DR274" s="4"/>
      <x:c r="DS274" s="4"/>
      <x:c r="DT274" s="4"/>
      <x:c r="DU274" s="4"/>
      <x:c r="DV274" s="4"/>
      <x:c r="DW274" s="4"/>
      <x:c r="DX274" s="4"/>
      <x:c r="DY274" s="4"/>
      <x:c r="DZ274" s="4"/>
      <x:c r="EA274" s="4"/>
      <x:c r="EB274" s="4"/>
      <x:c r="EC274" s="4"/>
      <x:c r="ED274" s="4"/>
      <x:c r="EE274" s="4"/>
      <x:c r="EF274" s="4"/>
      <x:c r="EG274" s="4"/>
      <x:c r="EH274" s="4"/>
      <x:c r="EI274" s="4"/>
      <x:c r="EJ274" s="4"/>
      <x:c r="EK274" s="4"/>
      <x:c r="EL274" s="4"/>
      <x:c r="EM274" s="4"/>
      <x:c r="EN274" s="4"/>
      <x:c r="EO274" s="4"/>
      <x:c r="EP274" s="4"/>
      <x:c r="EQ274" s="4"/>
      <x:c r="ER274" s="4"/>
      <x:c r="ES274" s="4"/>
      <x:c r="ET274" s="4"/>
      <x:c r="EU274" s="4"/>
      <x:c r="EV274" s="4"/>
      <x:c r="EW274" s="4"/>
      <x:c r="EX274" s="4"/>
      <x:c r="EY274" s="4"/>
      <x:c r="EZ274" s="4"/>
      <x:c r="FA274" s="4"/>
      <x:c r="FB274" s="4"/>
      <x:c r="FC274" s="4"/>
      <x:c r="FD274" s="4"/>
      <x:c r="FE274" s="4"/>
      <x:c r="FF274" s="4"/>
      <x:c r="FG274" s="4"/>
      <x:c r="FH274" s="4"/>
      <x:c r="FI274" s="4"/>
      <x:c r="FJ274" s="4"/>
      <x:c r="FK274" s="4"/>
      <x:c r="FL274" s="4"/>
      <x:c r="FM274" s="4"/>
      <x:c r="FN274" s="4"/>
      <x:c r="FO274" s="4"/>
    </x:row>
    <x:row r="275">
      <x:c r="A275" s="72"/>
      <x:c r="B275" s="72"/>
      <x:c r="C275" s="72"/>
      <x:c r="D275" s="72"/>
      <x:c r="E275" s="72"/>
      <x:c r="F275" s="72"/>
      <x:c r="G275" s="72"/>
      <x:c r="H275" s="72"/>
      <x:c r="I275" s="72"/>
      <x:c r="J275" s="72"/>
      <x:c r="K275" s="72"/>
      <x:c r="L275" s="72"/>
      <x:c r="M275" s="72"/>
      <x:c r="N275" s="72"/>
      <x:c r="O275" s="72"/>
      <x:c r="P275" s="72"/>
      <x:c r="Q275" s="72"/>
      <x:c r="R275" s="72"/>
      <x:c r="S275" s="72"/>
      <x:c r="T275" s="72"/>
      <x:c r="U275" s="72"/>
      <x:c r="V275" s="72"/>
      <x:c r="W275" s="72"/>
      <x:c r="X275" s="72"/>
      <x:c r="Y275" s="72"/>
      <x:c r="Z275" s="72"/>
      <x:c r="AA275" s="72"/>
      <x:c r="AB275" s="72"/>
      <x:c r="AC275" s="72"/>
      <x:c r="AD275" s="72"/>
      <x:c r="AE275" s="72"/>
      <x:c r="AF275" s="4"/>
      <x:c r="AG275" s="4"/>
      <x:c r="AH275" s="4"/>
      <x:c r="AI275" s="4"/>
      <x:c r="AJ275" s="4"/>
      <x:c r="AK275" s="4"/>
      <x:c r="AL275" s="4"/>
      <x:c r="AM275" s="4"/>
      <x:c r="AN275" s="4"/>
      <x:c r="AO275" s="4"/>
      <x:c r="AP275" s="4"/>
      <x:c r="AQ275" s="4"/>
      <x:c r="AR275" s="4"/>
      <x:c r="AS275" s="4"/>
      <x:c r="AT275" s="4"/>
      <x:c r="AU275" s="4"/>
      <x:c r="AV275" s="4"/>
      <x:c r="AW275" s="4"/>
      <x:c r="AX275" s="4"/>
      <x:c r="AY275" s="4"/>
      <x:c r="AZ275" s="4"/>
      <x:c r="BA275" s="4"/>
      <x:c r="BB275" s="4"/>
      <x:c r="BC275" s="4"/>
      <x:c r="BD275" s="4"/>
      <x:c r="BE275" s="4"/>
      <x:c r="BF275" s="4"/>
      <x:c r="BG275" s="4"/>
      <x:c r="BH275" s="4"/>
      <x:c r="BI275" s="4"/>
      <x:c r="BJ275" s="4"/>
      <x:c r="BK275" s="4"/>
      <x:c r="BL275" s="4"/>
      <x:c r="BM275" s="4"/>
      <x:c r="BN275" s="4"/>
      <x:c r="BO275" s="4"/>
      <x:c r="BP275" s="4"/>
      <x:c r="BQ275" s="4"/>
      <x:c r="BR275" s="4"/>
      <x:c r="BS275" s="4"/>
      <x:c r="BT275" s="4"/>
      <x:c r="BU275" s="4"/>
      <x:c r="BV275" s="4"/>
      <x:c r="BW275" s="4"/>
      <x:c r="BX275" s="4"/>
      <x:c r="BY275" s="4"/>
      <x:c r="BZ275" s="4"/>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x:c r="DB275" s="4"/>
      <x:c r="DC275" s="4"/>
      <x:c r="DD275" s="4"/>
      <x:c r="DE275" s="4"/>
      <x:c r="DF275" s="4"/>
      <x:c r="DG275" s="4"/>
      <x:c r="DH275" s="4"/>
      <x:c r="DI275" s="4"/>
      <x:c r="DJ275" s="4"/>
      <x:c r="DK275" s="4"/>
      <x:c r="DL275" s="4"/>
      <x:c r="DM275" s="4"/>
      <x:c r="DN275" s="4"/>
      <x:c r="DO275" s="4"/>
      <x:c r="DP275" s="4"/>
      <x:c r="DQ275" s="4"/>
      <x:c r="DR275" s="4"/>
      <x:c r="DS275" s="4"/>
      <x:c r="DT275" s="4"/>
      <x:c r="DU275" s="4"/>
      <x:c r="DV275" s="4"/>
      <x:c r="DW275" s="4"/>
      <x:c r="DX275" s="4"/>
      <x:c r="DY275" s="4"/>
      <x:c r="DZ275" s="4"/>
      <x:c r="EA275" s="4"/>
      <x:c r="EB275" s="4"/>
      <x:c r="EC275" s="4"/>
      <x:c r="ED275" s="4"/>
      <x:c r="EE275" s="4"/>
      <x:c r="EF275" s="4"/>
      <x:c r="EG275" s="4"/>
      <x:c r="EH275" s="4"/>
      <x:c r="EI275" s="4"/>
      <x:c r="EJ275" s="4"/>
      <x:c r="EK275" s="4"/>
      <x:c r="EL275" s="4"/>
      <x:c r="EM275" s="4"/>
      <x:c r="EN275" s="4"/>
      <x:c r="EO275" s="4"/>
      <x:c r="EP275" s="4"/>
      <x:c r="EQ275" s="4"/>
      <x:c r="ER275" s="4"/>
      <x:c r="ES275" s="4"/>
      <x:c r="ET275" s="4"/>
      <x:c r="EU275" s="4"/>
      <x:c r="EV275" s="4"/>
      <x:c r="EW275" s="4"/>
      <x:c r="EX275" s="4"/>
      <x:c r="EY275" s="4"/>
      <x:c r="EZ275" s="4"/>
      <x:c r="FA275" s="4"/>
      <x:c r="FB275" s="4"/>
      <x:c r="FC275" s="4"/>
      <x:c r="FD275" s="4"/>
      <x:c r="FE275" s="4"/>
      <x:c r="FF275" s="4"/>
      <x:c r="FG275" s="4"/>
      <x:c r="FH275" s="4"/>
      <x:c r="FI275" s="4"/>
      <x:c r="FJ275" s="4"/>
      <x:c r="FK275" s="4"/>
      <x:c r="FL275" s="4"/>
      <x:c r="FM275" s="4"/>
      <x:c r="FN275" s="4"/>
      <x:c r="FO275" s="4"/>
    </x:row>
    <x:row r="276">
      <x:c r="A276" s="72"/>
      <x:c r="B276" s="72"/>
      <x:c r="C276" s="72"/>
      <x:c r="D276" s="72"/>
      <x:c r="E276" s="72"/>
      <x:c r="F276" s="72"/>
      <x:c r="G276" s="72"/>
      <x:c r="H276" s="72"/>
      <x:c r="I276" s="72"/>
      <x:c r="J276" s="72"/>
      <x:c r="K276" s="72"/>
      <x:c r="L276" s="72"/>
      <x:c r="M276" s="72"/>
      <x:c r="N276" s="72"/>
      <x:c r="O276" s="72"/>
      <x:c r="P276" s="72"/>
      <x:c r="Q276" s="72"/>
      <x:c r="R276" s="72"/>
      <x:c r="S276" s="72"/>
      <x:c r="T276" s="72"/>
      <x:c r="U276" s="72"/>
      <x:c r="V276" s="72"/>
      <x:c r="W276" s="72"/>
      <x:c r="X276" s="72"/>
      <x:c r="Y276" s="72"/>
      <x:c r="Z276" s="72"/>
      <x:c r="AA276" s="72"/>
      <x:c r="AB276" s="72"/>
      <x:c r="AC276" s="72"/>
      <x:c r="AD276" s="72"/>
      <x:c r="AE276" s="72"/>
      <x:c r="AF276" s="4"/>
      <x:c r="AG276" s="4"/>
      <x:c r="AH276" s="4"/>
      <x:c r="AI276" s="4"/>
      <x:c r="AJ276" s="4"/>
      <x:c r="AK276" s="4"/>
      <x:c r="AL276" s="4"/>
      <x:c r="AM276" s="4"/>
      <x:c r="AN276" s="4"/>
      <x:c r="AO276" s="4"/>
      <x:c r="AP276" s="4"/>
      <x:c r="AQ276" s="4"/>
      <x:c r="AR276" s="4"/>
      <x:c r="AS276" s="4"/>
      <x:c r="AT276" s="4"/>
      <x:c r="AU276" s="4"/>
      <x:c r="AV276" s="4"/>
      <x:c r="AW276" s="4"/>
      <x:c r="AX276" s="4"/>
      <x:c r="AY276" s="4"/>
      <x:c r="AZ276" s="4"/>
      <x:c r="BA276" s="4"/>
      <x:c r="BB276" s="4"/>
      <x:c r="BC276" s="4"/>
      <x:c r="BD276" s="4"/>
      <x:c r="BE276" s="4"/>
      <x:c r="BF276" s="4"/>
      <x:c r="BG276" s="4"/>
      <x:c r="BH276" s="4"/>
      <x:c r="BI276" s="4"/>
      <x:c r="BJ276" s="4"/>
      <x:c r="BK276" s="4"/>
      <x:c r="BL276" s="4"/>
      <x:c r="BM276" s="4"/>
      <x:c r="BN276" s="4"/>
      <x:c r="BO276" s="4"/>
      <x:c r="BP276" s="4"/>
      <x:c r="BQ276" s="4"/>
      <x:c r="BR276" s="4"/>
      <x:c r="BS276" s="4"/>
      <x:c r="BT276" s="4"/>
      <x:c r="BU276" s="4"/>
      <x:c r="BV276" s="4"/>
      <x:c r="BW276" s="4"/>
      <x:c r="BX276" s="4"/>
      <x:c r="BY276" s="4"/>
      <x:c r="BZ276" s="4"/>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x:c r="DB276" s="4"/>
      <x:c r="DC276" s="4"/>
      <x:c r="DD276" s="4"/>
      <x:c r="DE276" s="4"/>
      <x:c r="DF276" s="4"/>
      <x:c r="DG276" s="4"/>
      <x:c r="DH276" s="4"/>
      <x:c r="DI276" s="4"/>
      <x:c r="DJ276" s="4"/>
      <x:c r="DK276" s="4"/>
      <x:c r="DL276" s="4"/>
      <x:c r="DM276" s="4"/>
      <x:c r="DN276" s="4"/>
      <x:c r="DO276" s="4"/>
      <x:c r="DP276" s="4"/>
      <x:c r="DQ276" s="4"/>
      <x:c r="DR276" s="4"/>
      <x:c r="DS276" s="4"/>
      <x:c r="DT276" s="4"/>
      <x:c r="DU276" s="4"/>
      <x:c r="DV276" s="4"/>
      <x:c r="DW276" s="4"/>
      <x:c r="DX276" s="4"/>
      <x:c r="DY276" s="4"/>
      <x:c r="DZ276" s="4"/>
      <x:c r="EA276" s="4"/>
      <x:c r="EB276" s="4"/>
      <x:c r="EC276" s="4"/>
      <x:c r="ED276" s="4"/>
      <x:c r="EE276" s="4"/>
      <x:c r="EF276" s="4"/>
      <x:c r="EG276" s="4"/>
      <x:c r="EH276" s="4"/>
      <x:c r="EI276" s="4"/>
      <x:c r="EJ276" s="4"/>
      <x:c r="EK276" s="4"/>
      <x:c r="EL276" s="4"/>
      <x:c r="EM276" s="4"/>
      <x:c r="EN276" s="4"/>
      <x:c r="EO276" s="4"/>
      <x:c r="EP276" s="4"/>
      <x:c r="EQ276" s="4"/>
      <x:c r="ER276" s="4"/>
      <x:c r="ES276" s="4"/>
      <x:c r="ET276" s="4"/>
      <x:c r="EU276" s="4"/>
      <x:c r="EV276" s="4"/>
      <x:c r="EW276" s="4"/>
      <x:c r="EX276" s="4"/>
      <x:c r="EY276" s="4"/>
      <x:c r="EZ276" s="4"/>
      <x:c r="FA276" s="4"/>
      <x:c r="FB276" s="4"/>
      <x:c r="FC276" s="4"/>
      <x:c r="FD276" s="4"/>
      <x:c r="FE276" s="4"/>
      <x:c r="FF276" s="4"/>
      <x:c r="FG276" s="4"/>
      <x:c r="FH276" s="4"/>
      <x:c r="FI276" s="4"/>
      <x:c r="FJ276" s="4"/>
      <x:c r="FK276" s="4"/>
      <x:c r="FL276" s="4"/>
      <x:c r="FM276" s="4"/>
      <x:c r="FN276" s="4"/>
      <x:c r="FO276" s="4"/>
    </x:row>
    <x:row r="277">
      <x:c r="A277" s="72"/>
      <x:c r="B277" s="72"/>
      <x:c r="C277" s="72"/>
      <x:c r="D277" s="72"/>
      <x:c r="E277" s="72"/>
      <x:c r="F277" s="72"/>
      <x:c r="G277" s="72"/>
      <x:c r="H277" s="72"/>
      <x:c r="I277" s="72"/>
      <x:c r="J277" s="72"/>
      <x:c r="K277" s="72"/>
      <x:c r="L277" s="72"/>
      <x:c r="M277" s="72"/>
      <x:c r="N277" s="72"/>
      <x:c r="O277" s="72"/>
      <x:c r="P277" s="72"/>
      <x:c r="Q277" s="72"/>
      <x:c r="R277" s="72"/>
      <x:c r="S277" s="72"/>
      <x:c r="T277" s="72"/>
      <x:c r="U277" s="72"/>
      <x:c r="V277" s="72"/>
      <x:c r="W277" s="72"/>
      <x:c r="X277" s="72"/>
      <x:c r="Y277" s="72"/>
      <x:c r="Z277" s="72"/>
      <x:c r="AA277" s="72"/>
      <x:c r="AB277" s="72"/>
      <x:c r="AC277" s="72"/>
      <x:c r="AD277" s="72"/>
      <x:c r="AE277" s="72"/>
      <x:c r="AF277" s="4"/>
      <x:c r="AG277" s="4"/>
      <x:c r="AH277" s="4"/>
      <x:c r="AI277" s="4"/>
      <x:c r="AJ277" s="4"/>
      <x:c r="AK277" s="4"/>
      <x:c r="AL277" s="4"/>
      <x:c r="AM277" s="4"/>
      <x:c r="AN277" s="4"/>
      <x:c r="AO277" s="4"/>
      <x:c r="AP277" s="4"/>
      <x:c r="AQ277" s="4"/>
      <x:c r="AR277" s="4"/>
      <x:c r="AS277" s="4"/>
      <x:c r="AT277" s="4"/>
      <x:c r="AU277" s="4"/>
      <x:c r="AV277" s="4"/>
      <x:c r="AW277" s="4"/>
      <x:c r="AX277" s="4"/>
      <x:c r="AY277" s="4"/>
      <x:c r="AZ277" s="4"/>
      <x:c r="BA277" s="4"/>
      <x:c r="BB277" s="4"/>
      <x:c r="BC277" s="4"/>
      <x:c r="BD277" s="4"/>
      <x:c r="BE277" s="4"/>
      <x:c r="BF277" s="4"/>
      <x:c r="BG277" s="4"/>
      <x:c r="BH277" s="4"/>
      <x:c r="BI277" s="4"/>
      <x:c r="BJ277" s="4"/>
      <x:c r="BK277" s="4"/>
      <x:c r="BL277" s="4"/>
      <x:c r="BM277" s="4"/>
      <x:c r="BN277" s="4"/>
      <x:c r="BO277" s="4"/>
      <x:c r="BP277" s="4"/>
      <x:c r="BQ277" s="4"/>
      <x:c r="BR277" s="4"/>
      <x:c r="BS277" s="4"/>
      <x:c r="BT277" s="4"/>
      <x:c r="BU277" s="4"/>
      <x:c r="BV277" s="4"/>
      <x:c r="BW277" s="4"/>
      <x:c r="BX277" s="4"/>
      <x:c r="BY277" s="4"/>
      <x:c r="BZ277" s="4"/>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x:c r="DB277" s="4"/>
      <x:c r="DC277" s="4"/>
      <x:c r="DD277" s="4"/>
      <x:c r="DE277" s="4"/>
      <x:c r="DF277" s="4"/>
      <x:c r="DG277" s="4"/>
      <x:c r="DH277" s="4"/>
      <x:c r="DI277" s="4"/>
      <x:c r="DJ277" s="4"/>
      <x:c r="DK277" s="4"/>
      <x:c r="DL277" s="4"/>
      <x:c r="DM277" s="4"/>
      <x:c r="DN277" s="4"/>
      <x:c r="DO277" s="4"/>
      <x:c r="DP277" s="4"/>
      <x:c r="DQ277" s="4"/>
      <x:c r="DR277" s="4"/>
      <x:c r="DS277" s="4"/>
      <x:c r="DT277" s="4"/>
      <x:c r="DU277" s="4"/>
      <x:c r="DV277" s="4"/>
      <x:c r="DW277" s="4"/>
      <x:c r="DX277" s="4"/>
      <x:c r="DY277" s="4"/>
      <x:c r="DZ277" s="4"/>
      <x:c r="EA277" s="4"/>
      <x:c r="EB277" s="4"/>
      <x:c r="EC277" s="4"/>
      <x:c r="ED277" s="4"/>
      <x:c r="EE277" s="4"/>
      <x:c r="EF277" s="4"/>
      <x:c r="EG277" s="4"/>
      <x:c r="EH277" s="4"/>
      <x:c r="EI277" s="4"/>
      <x:c r="EJ277" s="4"/>
      <x:c r="EK277" s="4"/>
      <x:c r="EL277" s="4"/>
      <x:c r="EM277" s="4"/>
      <x:c r="EN277" s="4"/>
      <x:c r="EO277" s="4"/>
      <x:c r="EP277" s="4"/>
      <x:c r="EQ277" s="4"/>
      <x:c r="ER277" s="4"/>
      <x:c r="ES277" s="4"/>
      <x:c r="ET277" s="4"/>
      <x:c r="EU277" s="4"/>
      <x:c r="EV277" s="4"/>
      <x:c r="EW277" s="4"/>
      <x:c r="EX277" s="4"/>
      <x:c r="EY277" s="4"/>
      <x:c r="EZ277" s="4"/>
      <x:c r="FA277" s="4"/>
      <x:c r="FB277" s="4"/>
      <x:c r="FC277" s="4"/>
      <x:c r="FD277" s="4"/>
      <x:c r="FE277" s="4"/>
      <x:c r="FF277" s="4"/>
      <x:c r="FG277" s="4"/>
      <x:c r="FH277" s="4"/>
      <x:c r="FI277" s="4"/>
      <x:c r="FJ277" s="4"/>
      <x:c r="FK277" s="4"/>
      <x:c r="FL277" s="4"/>
      <x:c r="FM277" s="4"/>
      <x:c r="FN277" s="4"/>
      <x:c r="FO277" s="4"/>
    </x:row>
    <x:row r="278">
      <x:c r="A278" s="72"/>
      <x:c r="B278" s="72"/>
      <x:c r="C278" s="72"/>
      <x:c r="D278" s="72"/>
      <x:c r="E278" s="72"/>
      <x:c r="F278" s="72"/>
      <x:c r="G278" s="72"/>
      <x:c r="H278" s="72"/>
      <x:c r="I278" s="72"/>
      <x:c r="J278" s="72"/>
      <x:c r="K278" s="72"/>
      <x:c r="L278" s="72"/>
      <x:c r="M278" s="72"/>
      <x:c r="N278" s="72"/>
      <x:c r="O278" s="72"/>
      <x:c r="P278" s="72"/>
      <x:c r="Q278" s="72"/>
      <x:c r="R278" s="72"/>
      <x:c r="S278" s="72"/>
      <x:c r="T278" s="72"/>
      <x:c r="U278" s="72"/>
      <x:c r="V278" s="72"/>
      <x:c r="W278" s="72"/>
      <x:c r="X278" s="72"/>
      <x:c r="Y278" s="72"/>
      <x:c r="Z278" s="72"/>
      <x:c r="AA278" s="72"/>
      <x:c r="AB278" s="72"/>
      <x:c r="AC278" s="72"/>
      <x:c r="AD278" s="72"/>
      <x:c r="AE278" s="72"/>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x:c r="BN278" s="4"/>
      <x:c r="BO278" s="4"/>
      <x:c r="BP278" s="4"/>
      <x:c r="BQ278" s="4"/>
      <x:c r="BR278" s="4"/>
      <x:c r="BS278" s="4"/>
      <x:c r="BT278" s="4"/>
      <x:c r="BU278" s="4"/>
      <x:c r="BV278" s="4"/>
      <x:c r="BW278" s="4"/>
      <x:c r="BX278" s="4"/>
      <x:c r="BY278" s="4"/>
      <x:c r="BZ278" s="4"/>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x:c r="DB278" s="4"/>
      <x:c r="DC278" s="4"/>
      <x:c r="DD278" s="4"/>
      <x:c r="DE278" s="4"/>
      <x:c r="DF278" s="4"/>
      <x:c r="DG278" s="4"/>
      <x:c r="DH278" s="4"/>
      <x:c r="DI278" s="4"/>
      <x:c r="DJ278" s="4"/>
      <x:c r="DK278" s="4"/>
      <x:c r="DL278" s="4"/>
      <x:c r="DM278" s="4"/>
      <x:c r="DN278" s="4"/>
      <x:c r="DO278" s="4"/>
      <x:c r="DP278" s="4"/>
      <x:c r="DQ278" s="4"/>
      <x:c r="DR278" s="4"/>
      <x:c r="DS278" s="4"/>
      <x:c r="DT278" s="4"/>
      <x:c r="DU278" s="4"/>
      <x:c r="DV278" s="4"/>
      <x:c r="DW278" s="4"/>
      <x:c r="DX278" s="4"/>
      <x:c r="DY278" s="4"/>
      <x:c r="DZ278" s="4"/>
      <x:c r="EA278" s="4"/>
      <x:c r="EB278" s="4"/>
      <x:c r="EC278" s="4"/>
      <x:c r="ED278" s="4"/>
      <x:c r="EE278" s="4"/>
      <x:c r="EF278" s="4"/>
      <x:c r="EG278" s="4"/>
      <x:c r="EH278" s="4"/>
      <x:c r="EI278" s="4"/>
      <x:c r="EJ278" s="4"/>
      <x:c r="EK278" s="4"/>
      <x:c r="EL278" s="4"/>
      <x:c r="EM278" s="4"/>
      <x:c r="EN278" s="4"/>
      <x:c r="EO278" s="4"/>
      <x:c r="EP278" s="4"/>
      <x:c r="EQ278" s="4"/>
      <x:c r="ER278" s="4"/>
      <x:c r="ES278" s="4"/>
      <x:c r="ET278" s="4"/>
      <x:c r="EU278" s="4"/>
      <x:c r="EV278" s="4"/>
      <x:c r="EW278" s="4"/>
      <x:c r="EX278" s="4"/>
      <x:c r="EY278" s="4"/>
      <x:c r="EZ278" s="4"/>
      <x:c r="FA278" s="4"/>
      <x:c r="FB278" s="4"/>
      <x:c r="FC278" s="4"/>
      <x:c r="FD278" s="4"/>
      <x:c r="FE278" s="4"/>
      <x:c r="FF278" s="4"/>
      <x:c r="FG278" s="4"/>
      <x:c r="FH278" s="4"/>
      <x:c r="FI278" s="4"/>
      <x:c r="FJ278" s="4"/>
      <x:c r="FK278" s="4"/>
      <x:c r="FL278" s="4"/>
      <x:c r="FM278" s="4"/>
      <x:c r="FN278" s="4"/>
      <x:c r="FO278" s="4"/>
    </x:row>
    <x:row r="279">
      <x:c r="A279" s="72"/>
      <x:c r="B279" s="72"/>
      <x:c r="C279" s="72"/>
      <x:c r="D279" s="72"/>
      <x:c r="E279" s="72"/>
      <x:c r="F279" s="72"/>
      <x:c r="G279" s="72"/>
      <x:c r="H279" s="72"/>
      <x:c r="I279" s="72"/>
      <x:c r="J279" s="72"/>
      <x:c r="K279" s="72"/>
      <x:c r="L279" s="72"/>
      <x:c r="M279" s="72"/>
      <x:c r="N279" s="72"/>
      <x:c r="O279" s="72"/>
      <x:c r="P279" s="72"/>
      <x:c r="Q279" s="72"/>
      <x:c r="R279" s="72"/>
      <x:c r="S279" s="72"/>
      <x:c r="T279" s="72"/>
      <x:c r="U279" s="72"/>
      <x:c r="V279" s="72"/>
      <x:c r="W279" s="72"/>
      <x:c r="X279" s="72"/>
      <x:c r="Y279" s="72"/>
      <x:c r="Z279" s="72"/>
      <x:c r="AA279" s="72"/>
      <x:c r="AB279" s="72"/>
      <x:c r="AC279" s="72"/>
      <x:c r="AD279" s="72"/>
      <x:c r="AE279" s="72"/>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x:c r="BN279" s="4"/>
      <x:c r="BO279" s="4"/>
      <x:c r="BP279" s="4"/>
      <x:c r="BQ279" s="4"/>
      <x:c r="BR279" s="4"/>
      <x:c r="BS279" s="4"/>
      <x:c r="BT279" s="4"/>
      <x:c r="BU279" s="4"/>
      <x:c r="BV279" s="4"/>
      <x:c r="BW279" s="4"/>
      <x:c r="BX279" s="4"/>
      <x:c r="BY279" s="4"/>
      <x:c r="BZ279" s="4"/>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x:c r="DB279" s="4"/>
      <x:c r="DC279" s="4"/>
      <x:c r="DD279" s="4"/>
      <x:c r="DE279" s="4"/>
      <x:c r="DF279" s="4"/>
      <x:c r="DG279" s="4"/>
      <x:c r="DH279" s="4"/>
      <x:c r="DI279" s="4"/>
      <x:c r="DJ279" s="4"/>
      <x:c r="DK279" s="4"/>
      <x:c r="DL279" s="4"/>
      <x:c r="DM279" s="4"/>
      <x:c r="DN279" s="4"/>
      <x:c r="DO279" s="4"/>
      <x:c r="DP279" s="4"/>
      <x:c r="DQ279" s="4"/>
      <x:c r="DR279" s="4"/>
      <x:c r="DS279" s="4"/>
      <x:c r="DT279" s="4"/>
      <x:c r="DU279" s="4"/>
      <x:c r="DV279" s="4"/>
      <x:c r="DW279" s="4"/>
      <x:c r="DX279" s="4"/>
      <x:c r="DY279" s="4"/>
      <x:c r="DZ279" s="4"/>
      <x:c r="EA279" s="4"/>
      <x:c r="EB279" s="4"/>
      <x:c r="EC279" s="4"/>
      <x:c r="ED279" s="4"/>
      <x:c r="EE279" s="4"/>
      <x:c r="EF279" s="4"/>
      <x:c r="EG279" s="4"/>
      <x:c r="EH279" s="4"/>
      <x:c r="EI279" s="4"/>
      <x:c r="EJ279" s="4"/>
      <x:c r="EK279" s="4"/>
      <x:c r="EL279" s="4"/>
      <x:c r="EM279" s="4"/>
      <x:c r="EN279" s="4"/>
      <x:c r="EO279" s="4"/>
      <x:c r="EP279" s="4"/>
      <x:c r="EQ279" s="4"/>
      <x:c r="ER279" s="4"/>
      <x:c r="ES279" s="4"/>
      <x:c r="ET279" s="4"/>
      <x:c r="EU279" s="4"/>
      <x:c r="EV279" s="4"/>
      <x:c r="EW279" s="4"/>
      <x:c r="EX279" s="4"/>
      <x:c r="EY279" s="4"/>
      <x:c r="EZ279" s="4"/>
      <x:c r="FA279" s="4"/>
      <x:c r="FB279" s="4"/>
      <x:c r="FC279" s="4"/>
      <x:c r="FD279" s="4"/>
      <x:c r="FE279" s="4"/>
      <x:c r="FF279" s="4"/>
      <x:c r="FG279" s="4"/>
      <x:c r="FH279" s="4"/>
      <x:c r="FI279" s="4"/>
      <x:c r="FJ279" s="4"/>
      <x:c r="FK279" s="4"/>
      <x:c r="FL279" s="4"/>
      <x:c r="FM279" s="4"/>
      <x:c r="FN279" s="4"/>
      <x:c r="FO279" s="4"/>
    </x:row>
    <x:row r="280">
      <x:c r="A280" s="72"/>
      <x:c r="B280" s="72"/>
      <x:c r="C280" s="72"/>
      <x:c r="D280" s="72"/>
      <x:c r="E280" s="72"/>
      <x:c r="F280" s="72"/>
      <x:c r="G280" s="72"/>
      <x:c r="H280" s="72"/>
      <x:c r="I280" s="72"/>
      <x:c r="J280" s="72"/>
      <x:c r="K280" s="72"/>
      <x:c r="L280" s="72"/>
      <x:c r="M280" s="72"/>
      <x:c r="N280" s="72"/>
      <x:c r="O280" s="72"/>
      <x:c r="P280" s="72"/>
      <x:c r="Q280" s="72"/>
      <x:c r="R280" s="72"/>
      <x:c r="S280" s="72"/>
      <x:c r="T280" s="72"/>
      <x:c r="U280" s="72"/>
      <x:c r="V280" s="72"/>
      <x:c r="W280" s="72"/>
      <x:c r="X280" s="72"/>
      <x:c r="Y280" s="72"/>
      <x:c r="Z280" s="72"/>
      <x:c r="AA280" s="72"/>
      <x:c r="AB280" s="72"/>
      <x:c r="AC280" s="72"/>
      <x:c r="AD280" s="72"/>
      <x:c r="AE280" s="72"/>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x:c r="BN280" s="4"/>
      <x:c r="BO280" s="4"/>
      <x:c r="BP280" s="4"/>
      <x:c r="BQ280" s="4"/>
      <x:c r="BR280" s="4"/>
      <x:c r="BS280" s="4"/>
      <x:c r="BT280" s="4"/>
      <x:c r="BU280" s="4"/>
      <x:c r="BV280" s="4"/>
      <x:c r="BW280" s="4"/>
      <x:c r="BX280" s="4"/>
      <x:c r="BY280" s="4"/>
      <x:c r="BZ280" s="4"/>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x:c r="DB280" s="4"/>
      <x:c r="DC280" s="4"/>
      <x:c r="DD280" s="4"/>
      <x:c r="DE280" s="4"/>
      <x:c r="DF280" s="4"/>
      <x:c r="DG280" s="4"/>
      <x:c r="DH280" s="4"/>
      <x:c r="DI280" s="4"/>
      <x:c r="DJ280" s="4"/>
      <x:c r="DK280" s="4"/>
      <x:c r="DL280" s="4"/>
      <x:c r="DM280" s="4"/>
      <x:c r="DN280" s="4"/>
      <x:c r="DO280" s="4"/>
      <x:c r="DP280" s="4"/>
      <x:c r="DQ280" s="4"/>
      <x:c r="DR280" s="4"/>
      <x:c r="DS280" s="4"/>
      <x:c r="DT280" s="4"/>
      <x:c r="DU280" s="4"/>
      <x:c r="DV280" s="4"/>
      <x:c r="DW280" s="4"/>
      <x:c r="DX280" s="4"/>
      <x:c r="DY280" s="4"/>
      <x:c r="DZ280" s="4"/>
      <x:c r="EA280" s="4"/>
      <x:c r="EB280" s="4"/>
      <x:c r="EC280" s="4"/>
      <x:c r="ED280" s="4"/>
      <x:c r="EE280" s="4"/>
      <x:c r="EF280" s="4"/>
      <x:c r="EG280" s="4"/>
      <x:c r="EH280" s="4"/>
      <x:c r="EI280" s="4"/>
      <x:c r="EJ280" s="4"/>
      <x:c r="EK280" s="4"/>
      <x:c r="EL280" s="4"/>
      <x:c r="EM280" s="4"/>
      <x:c r="EN280" s="4"/>
      <x:c r="EO280" s="4"/>
      <x:c r="EP280" s="4"/>
      <x:c r="EQ280" s="4"/>
      <x:c r="ER280" s="4"/>
      <x:c r="ES280" s="4"/>
      <x:c r="ET280" s="4"/>
      <x:c r="EU280" s="4"/>
      <x:c r="EV280" s="4"/>
      <x:c r="EW280" s="4"/>
      <x:c r="EX280" s="4"/>
      <x:c r="EY280" s="4"/>
      <x:c r="EZ280" s="4"/>
      <x:c r="FA280" s="4"/>
      <x:c r="FB280" s="4"/>
      <x:c r="FC280" s="4"/>
      <x:c r="FD280" s="4"/>
      <x:c r="FE280" s="4"/>
      <x:c r="FF280" s="4"/>
      <x:c r="FG280" s="4"/>
      <x:c r="FH280" s="4"/>
      <x:c r="FI280" s="4"/>
      <x:c r="FJ280" s="4"/>
      <x:c r="FK280" s="4"/>
      <x:c r="FL280" s="4"/>
      <x:c r="FM280" s="4"/>
      <x:c r="FN280" s="4"/>
      <x:c r="FO280" s="4"/>
    </x:row>
    <x:row r="281">
      <x:c r="A281" s="72"/>
      <x:c r="B281" s="72"/>
      <x:c r="C281" s="72"/>
      <x:c r="D281" s="72"/>
      <x:c r="E281" s="72"/>
      <x:c r="F281" s="72"/>
      <x:c r="G281" s="72"/>
      <x:c r="H281" s="72"/>
      <x:c r="I281" s="72"/>
      <x:c r="J281" s="72"/>
      <x:c r="K281" s="72"/>
      <x:c r="L281" s="72"/>
      <x:c r="M281" s="72"/>
      <x:c r="N281" s="72"/>
      <x:c r="O281" s="72"/>
      <x:c r="P281" s="72"/>
      <x:c r="Q281" s="72"/>
      <x:c r="R281" s="72"/>
      <x:c r="S281" s="72"/>
      <x:c r="T281" s="72"/>
      <x:c r="U281" s="72"/>
      <x:c r="V281" s="72"/>
      <x:c r="W281" s="72"/>
      <x:c r="X281" s="72"/>
      <x:c r="Y281" s="72"/>
      <x:c r="Z281" s="72"/>
      <x:c r="AA281" s="72"/>
      <x:c r="AB281" s="72"/>
      <x:c r="AC281" s="72"/>
      <x:c r="AD281" s="72"/>
      <x:c r="AE281" s="72"/>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x:c r="BN281" s="4"/>
      <x:c r="BO281" s="4"/>
      <x:c r="BP281" s="4"/>
      <x:c r="BQ281" s="4"/>
      <x:c r="BR281" s="4"/>
      <x:c r="BS281" s="4"/>
      <x:c r="BT281" s="4"/>
      <x:c r="BU281" s="4"/>
      <x:c r="BV281" s="4"/>
      <x:c r="BW281" s="4"/>
      <x:c r="BX281" s="4"/>
      <x:c r="BY281" s="4"/>
      <x:c r="BZ281" s="4"/>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x:c r="DB281" s="4"/>
      <x:c r="DC281" s="4"/>
      <x:c r="DD281" s="4"/>
      <x:c r="DE281" s="4"/>
      <x:c r="DF281" s="4"/>
      <x:c r="DG281" s="4"/>
      <x:c r="DH281" s="4"/>
      <x:c r="DI281" s="4"/>
      <x:c r="DJ281" s="4"/>
      <x:c r="DK281" s="4"/>
      <x:c r="DL281" s="4"/>
      <x:c r="DM281" s="4"/>
      <x:c r="DN281" s="4"/>
      <x:c r="DO281" s="4"/>
      <x:c r="DP281" s="4"/>
      <x:c r="DQ281" s="4"/>
      <x:c r="DR281" s="4"/>
      <x:c r="DS281" s="4"/>
      <x:c r="DT281" s="4"/>
      <x:c r="DU281" s="4"/>
      <x:c r="DV281" s="4"/>
      <x:c r="DW281" s="4"/>
      <x:c r="DX281" s="4"/>
      <x:c r="DY281" s="4"/>
      <x:c r="DZ281" s="4"/>
      <x:c r="EA281" s="4"/>
      <x:c r="EB281" s="4"/>
      <x:c r="EC281" s="4"/>
      <x:c r="ED281" s="4"/>
      <x:c r="EE281" s="4"/>
      <x:c r="EF281" s="4"/>
      <x:c r="EG281" s="4"/>
      <x:c r="EH281" s="4"/>
      <x:c r="EI281" s="4"/>
      <x:c r="EJ281" s="4"/>
      <x:c r="EK281" s="4"/>
      <x:c r="EL281" s="4"/>
      <x:c r="EM281" s="4"/>
      <x:c r="EN281" s="4"/>
      <x:c r="EO281" s="4"/>
      <x:c r="EP281" s="4"/>
      <x:c r="EQ281" s="4"/>
      <x:c r="ER281" s="4"/>
      <x:c r="ES281" s="4"/>
      <x:c r="ET281" s="4"/>
      <x:c r="EU281" s="4"/>
      <x:c r="EV281" s="4"/>
      <x:c r="EW281" s="4"/>
      <x:c r="EX281" s="4"/>
      <x:c r="EY281" s="4"/>
      <x:c r="EZ281" s="4"/>
      <x:c r="FA281" s="4"/>
      <x:c r="FB281" s="4"/>
      <x:c r="FC281" s="4"/>
      <x:c r="FD281" s="4"/>
      <x:c r="FE281" s="4"/>
      <x:c r="FF281" s="4"/>
      <x:c r="FG281" s="4"/>
      <x:c r="FH281" s="4"/>
      <x:c r="FI281" s="4"/>
      <x:c r="FJ281" s="4"/>
      <x:c r="FK281" s="4"/>
      <x:c r="FL281" s="4"/>
      <x:c r="FM281" s="4"/>
      <x:c r="FN281" s="4"/>
      <x:c r="FO281" s="4"/>
    </x:row>
    <x:row r="282">
      <x:c r="A282" s="72"/>
      <x:c r="B282" s="72"/>
      <x:c r="C282" s="72"/>
      <x:c r="D282" s="72"/>
      <x:c r="E282" s="72"/>
      <x:c r="F282" s="72"/>
      <x:c r="G282" s="72"/>
      <x:c r="H282" s="72"/>
      <x:c r="I282" s="72"/>
      <x:c r="J282" s="72"/>
      <x:c r="K282" s="72"/>
      <x:c r="L282" s="72"/>
      <x:c r="M282" s="72"/>
      <x:c r="N282" s="72"/>
      <x:c r="O282" s="72"/>
      <x:c r="P282" s="72"/>
      <x:c r="Q282" s="72"/>
      <x:c r="R282" s="72"/>
      <x:c r="S282" s="72"/>
      <x:c r="T282" s="72"/>
      <x:c r="U282" s="72"/>
      <x:c r="V282" s="72"/>
      <x:c r="W282" s="72"/>
      <x:c r="X282" s="72"/>
      <x:c r="Y282" s="72"/>
      <x:c r="Z282" s="72"/>
      <x:c r="AA282" s="72"/>
      <x:c r="AB282" s="72"/>
      <x:c r="AC282" s="72"/>
      <x:c r="AD282" s="72"/>
      <x:c r="AE282" s="72"/>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x:c r="BN282" s="4"/>
      <x:c r="BO282" s="4"/>
      <x:c r="BP282" s="4"/>
      <x:c r="BQ282" s="4"/>
      <x:c r="BR282" s="4"/>
      <x:c r="BS282" s="4"/>
      <x:c r="BT282" s="4"/>
      <x:c r="BU282" s="4"/>
      <x:c r="BV282" s="4"/>
      <x:c r="BW282" s="4"/>
      <x:c r="BX282" s="4"/>
      <x:c r="BY282" s="4"/>
      <x:c r="BZ282" s="4"/>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x:c r="DB282" s="4"/>
      <x:c r="DC282" s="4"/>
      <x:c r="DD282" s="4"/>
      <x:c r="DE282" s="4"/>
      <x:c r="DF282" s="4"/>
      <x:c r="DG282" s="4"/>
      <x:c r="DH282" s="4"/>
      <x:c r="DI282" s="4"/>
      <x:c r="DJ282" s="4"/>
      <x:c r="DK282" s="4"/>
      <x:c r="DL282" s="4"/>
      <x:c r="DM282" s="4"/>
      <x:c r="DN282" s="4"/>
      <x:c r="DO282" s="4"/>
      <x:c r="DP282" s="4"/>
      <x:c r="DQ282" s="4"/>
      <x:c r="DR282" s="4"/>
      <x:c r="DS282" s="4"/>
      <x:c r="DT282" s="4"/>
      <x:c r="DU282" s="4"/>
      <x:c r="DV282" s="4"/>
      <x:c r="DW282" s="4"/>
      <x:c r="DX282" s="4"/>
      <x:c r="DY282" s="4"/>
      <x:c r="DZ282" s="4"/>
      <x:c r="EA282" s="4"/>
      <x:c r="EB282" s="4"/>
      <x:c r="EC282" s="4"/>
      <x:c r="ED282" s="4"/>
      <x:c r="EE282" s="4"/>
      <x:c r="EF282" s="4"/>
      <x:c r="EG282" s="4"/>
      <x:c r="EH282" s="4"/>
      <x:c r="EI282" s="4"/>
      <x:c r="EJ282" s="4"/>
      <x:c r="EK282" s="4"/>
      <x:c r="EL282" s="4"/>
      <x:c r="EM282" s="4"/>
      <x:c r="EN282" s="4"/>
      <x:c r="EO282" s="4"/>
      <x:c r="EP282" s="4"/>
      <x:c r="EQ282" s="4"/>
      <x:c r="ER282" s="4"/>
      <x:c r="ES282" s="4"/>
      <x:c r="ET282" s="4"/>
      <x:c r="EU282" s="4"/>
      <x:c r="EV282" s="4"/>
      <x:c r="EW282" s="4"/>
      <x:c r="EX282" s="4"/>
      <x:c r="EY282" s="4"/>
      <x:c r="EZ282" s="4"/>
      <x:c r="FA282" s="4"/>
      <x:c r="FB282" s="4"/>
      <x:c r="FC282" s="4"/>
      <x:c r="FD282" s="4"/>
      <x:c r="FE282" s="4"/>
      <x:c r="FF282" s="4"/>
      <x:c r="FG282" s="4"/>
      <x:c r="FH282" s="4"/>
      <x:c r="FI282" s="4"/>
      <x:c r="FJ282" s="4"/>
      <x:c r="FK282" s="4"/>
      <x:c r="FL282" s="4"/>
      <x:c r="FM282" s="4"/>
      <x:c r="FN282" s="4"/>
      <x:c r="FO282" s="4"/>
    </x:row>
    <x:row r="283">
      <x:c r="A283" s="72"/>
      <x:c r="B283" s="72"/>
      <x:c r="C283" s="72"/>
      <x:c r="D283" s="72"/>
      <x:c r="E283" s="72"/>
      <x:c r="F283" s="72"/>
      <x:c r="G283" s="72"/>
      <x:c r="H283" s="72"/>
      <x:c r="I283" s="72"/>
      <x:c r="J283" s="72"/>
      <x:c r="K283" s="72"/>
      <x:c r="L283" s="72"/>
      <x:c r="M283" s="72"/>
      <x:c r="N283" s="72"/>
      <x:c r="O283" s="72"/>
      <x:c r="P283" s="72"/>
      <x:c r="Q283" s="72"/>
      <x:c r="R283" s="72"/>
      <x:c r="S283" s="72"/>
      <x:c r="T283" s="72"/>
      <x:c r="U283" s="72"/>
      <x:c r="V283" s="72"/>
      <x:c r="W283" s="72"/>
      <x:c r="X283" s="72"/>
      <x:c r="Y283" s="72"/>
      <x:c r="Z283" s="72"/>
      <x:c r="AA283" s="72"/>
      <x:c r="AB283" s="72"/>
      <x:c r="AC283" s="72"/>
      <x:c r="AD283" s="72"/>
      <x:c r="AE283" s="72"/>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x:c r="BN283" s="4"/>
      <x:c r="BO283" s="4"/>
      <x:c r="BP283" s="4"/>
      <x:c r="BQ283" s="4"/>
      <x:c r="BR283" s="4"/>
      <x:c r="BS283" s="4"/>
      <x:c r="BT283" s="4"/>
      <x:c r="BU283" s="4"/>
      <x:c r="BV283" s="4"/>
      <x:c r="BW283" s="4"/>
      <x:c r="BX283" s="4"/>
      <x:c r="BY283" s="4"/>
      <x:c r="BZ283" s="4"/>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x:c r="DB283" s="4"/>
      <x:c r="DC283" s="4"/>
      <x:c r="DD283" s="4"/>
      <x:c r="DE283" s="4"/>
      <x:c r="DF283" s="4"/>
      <x:c r="DG283" s="4"/>
      <x:c r="DH283" s="4"/>
      <x:c r="DI283" s="4"/>
      <x:c r="DJ283" s="4"/>
      <x:c r="DK283" s="4"/>
      <x:c r="DL283" s="4"/>
      <x:c r="DM283" s="4"/>
      <x:c r="DN283" s="4"/>
      <x:c r="DO283" s="4"/>
      <x:c r="DP283" s="4"/>
      <x:c r="DQ283" s="4"/>
      <x:c r="DR283" s="4"/>
      <x:c r="DS283" s="4"/>
      <x:c r="DT283" s="4"/>
      <x:c r="DU283" s="4"/>
      <x:c r="DV283" s="4"/>
      <x:c r="DW283" s="4"/>
      <x:c r="DX283" s="4"/>
      <x:c r="DY283" s="4"/>
      <x:c r="DZ283" s="4"/>
      <x:c r="EA283" s="4"/>
      <x:c r="EB283" s="4"/>
      <x:c r="EC283" s="4"/>
      <x:c r="ED283" s="4"/>
      <x:c r="EE283" s="4"/>
      <x:c r="EF283" s="4"/>
      <x:c r="EG283" s="4"/>
      <x:c r="EH283" s="4"/>
      <x:c r="EI283" s="4"/>
      <x:c r="EJ283" s="4"/>
      <x:c r="EK283" s="4"/>
      <x:c r="EL283" s="4"/>
      <x:c r="EM283" s="4"/>
      <x:c r="EN283" s="4"/>
      <x:c r="EO283" s="4"/>
      <x:c r="EP283" s="4"/>
      <x:c r="EQ283" s="4"/>
      <x:c r="ER283" s="4"/>
      <x:c r="ES283" s="4"/>
      <x:c r="ET283" s="4"/>
      <x:c r="EU283" s="4"/>
      <x:c r="EV283" s="4"/>
      <x:c r="EW283" s="4"/>
      <x:c r="EX283" s="4"/>
      <x:c r="EY283" s="4"/>
      <x:c r="EZ283" s="4"/>
      <x:c r="FA283" s="4"/>
      <x:c r="FB283" s="4"/>
      <x:c r="FC283" s="4"/>
      <x:c r="FD283" s="4"/>
      <x:c r="FE283" s="4"/>
      <x:c r="FF283" s="4"/>
      <x:c r="FG283" s="4"/>
      <x:c r="FH283" s="4"/>
      <x:c r="FI283" s="4"/>
      <x:c r="FJ283" s="4"/>
      <x:c r="FK283" s="4"/>
      <x:c r="FL283" s="4"/>
      <x:c r="FM283" s="4"/>
      <x:c r="FN283" s="4"/>
      <x:c r="FO283" s="4"/>
    </x:row>
    <x:row r="284">
      <x:c r="A284" s="72"/>
      <x:c r="B284" s="72"/>
      <x:c r="C284" s="72"/>
      <x:c r="D284" s="72"/>
      <x:c r="E284" s="72"/>
      <x:c r="F284" s="72"/>
      <x:c r="G284" s="72"/>
      <x:c r="H284" s="72"/>
      <x:c r="I284" s="72"/>
      <x:c r="J284" s="72"/>
      <x:c r="K284" s="72"/>
      <x:c r="L284" s="72"/>
      <x:c r="M284" s="72"/>
      <x:c r="N284" s="72"/>
      <x:c r="O284" s="72"/>
      <x:c r="P284" s="72"/>
      <x:c r="Q284" s="72"/>
      <x:c r="R284" s="72"/>
      <x:c r="S284" s="72"/>
      <x:c r="T284" s="72"/>
      <x:c r="U284" s="72"/>
      <x:c r="V284" s="72"/>
      <x:c r="W284" s="72"/>
      <x:c r="X284" s="72"/>
      <x:c r="Y284" s="72"/>
      <x:c r="Z284" s="72"/>
      <x:c r="AA284" s="72"/>
      <x:c r="AB284" s="72"/>
      <x:c r="AC284" s="72"/>
      <x:c r="AD284" s="72"/>
      <x:c r="AE284" s="72"/>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x:c r="BN284" s="4"/>
      <x:c r="BO284" s="4"/>
      <x:c r="BP284" s="4"/>
      <x:c r="BQ284" s="4"/>
      <x:c r="BR284" s="4"/>
      <x:c r="BS284" s="4"/>
      <x:c r="BT284" s="4"/>
      <x:c r="BU284" s="4"/>
      <x:c r="BV284" s="4"/>
      <x:c r="BW284" s="4"/>
      <x:c r="BX284" s="4"/>
      <x:c r="BY284" s="4"/>
      <x:c r="BZ284" s="4"/>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x:c r="DB284" s="4"/>
      <x:c r="DC284" s="4"/>
      <x:c r="DD284" s="4"/>
      <x:c r="DE284" s="4"/>
      <x:c r="DF284" s="4"/>
      <x:c r="DG284" s="4"/>
      <x:c r="DH284" s="4"/>
      <x:c r="DI284" s="4"/>
      <x:c r="DJ284" s="4"/>
      <x:c r="DK284" s="4"/>
      <x:c r="DL284" s="4"/>
      <x:c r="DM284" s="4"/>
      <x:c r="DN284" s="4"/>
      <x:c r="DO284" s="4"/>
      <x:c r="DP284" s="4"/>
      <x:c r="DQ284" s="4"/>
      <x:c r="DR284" s="4"/>
      <x:c r="DS284" s="4"/>
      <x:c r="DT284" s="4"/>
      <x:c r="DU284" s="4"/>
      <x:c r="DV284" s="4"/>
      <x:c r="DW284" s="4"/>
      <x:c r="DX284" s="4"/>
      <x:c r="DY284" s="4"/>
      <x:c r="DZ284" s="4"/>
      <x:c r="EA284" s="4"/>
      <x:c r="EB284" s="4"/>
      <x:c r="EC284" s="4"/>
      <x:c r="ED284" s="4"/>
      <x:c r="EE284" s="4"/>
      <x:c r="EF284" s="4"/>
      <x:c r="EG284" s="4"/>
      <x:c r="EH284" s="4"/>
      <x:c r="EI284" s="4"/>
      <x:c r="EJ284" s="4"/>
      <x:c r="EK284" s="4"/>
      <x:c r="EL284" s="4"/>
      <x:c r="EM284" s="4"/>
      <x:c r="EN284" s="4"/>
      <x:c r="EO284" s="4"/>
      <x:c r="EP284" s="4"/>
      <x:c r="EQ284" s="4"/>
      <x:c r="ER284" s="4"/>
      <x:c r="ES284" s="4"/>
      <x:c r="ET284" s="4"/>
      <x:c r="EU284" s="4"/>
      <x:c r="EV284" s="4"/>
      <x:c r="EW284" s="4"/>
      <x:c r="EX284" s="4"/>
      <x:c r="EY284" s="4"/>
      <x:c r="EZ284" s="4"/>
      <x:c r="FA284" s="4"/>
      <x:c r="FB284" s="4"/>
      <x:c r="FC284" s="4"/>
      <x:c r="FD284" s="4"/>
      <x:c r="FE284" s="4"/>
      <x:c r="FF284" s="4"/>
      <x:c r="FG284" s="4"/>
      <x:c r="FH284" s="4"/>
      <x:c r="FI284" s="4"/>
      <x:c r="FJ284" s="4"/>
      <x:c r="FK284" s="4"/>
      <x:c r="FL284" s="4"/>
      <x:c r="FM284" s="4"/>
      <x:c r="FN284" s="4"/>
      <x:c r="FO284" s="4"/>
    </x:row>
    <x:row r="285">
      <x:c r="A285" s="72"/>
      <x:c r="B285" s="72"/>
      <x:c r="C285" s="72"/>
      <x:c r="D285" s="72"/>
      <x:c r="E285" s="72"/>
      <x:c r="F285" s="72"/>
      <x:c r="G285" s="72"/>
      <x:c r="H285" s="72"/>
      <x:c r="I285" s="72"/>
      <x:c r="J285" s="72"/>
      <x:c r="K285" s="72"/>
      <x:c r="L285" s="72"/>
      <x:c r="M285" s="72"/>
      <x:c r="N285" s="72"/>
      <x:c r="O285" s="72"/>
      <x:c r="P285" s="72"/>
      <x:c r="Q285" s="72"/>
      <x:c r="R285" s="72"/>
      <x:c r="S285" s="72"/>
      <x:c r="T285" s="72"/>
      <x:c r="U285" s="72"/>
      <x:c r="V285" s="72"/>
      <x:c r="W285" s="72"/>
      <x:c r="X285" s="72"/>
      <x:c r="Y285" s="72"/>
      <x:c r="Z285" s="72"/>
      <x:c r="AA285" s="72"/>
      <x:c r="AB285" s="72"/>
      <x:c r="AC285" s="72"/>
      <x:c r="AD285" s="72"/>
      <x:c r="AE285" s="72"/>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x:c r="BN285" s="4"/>
      <x:c r="BO285" s="4"/>
      <x:c r="BP285" s="4"/>
      <x:c r="BQ285" s="4"/>
      <x:c r="BR285" s="4"/>
      <x:c r="BS285" s="4"/>
      <x:c r="BT285" s="4"/>
      <x:c r="BU285" s="4"/>
      <x:c r="BV285" s="4"/>
      <x:c r="BW285" s="4"/>
      <x:c r="BX285" s="4"/>
      <x:c r="BY285" s="4"/>
      <x:c r="BZ285" s="4"/>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x:c r="DB285" s="4"/>
      <x:c r="DC285" s="4"/>
      <x:c r="DD285" s="4"/>
      <x:c r="DE285" s="4"/>
      <x:c r="DF285" s="4"/>
      <x:c r="DG285" s="4"/>
      <x:c r="DH285" s="4"/>
      <x:c r="DI285" s="4"/>
      <x:c r="DJ285" s="4"/>
      <x:c r="DK285" s="4"/>
      <x:c r="DL285" s="4"/>
      <x:c r="DM285" s="4"/>
      <x:c r="DN285" s="4"/>
      <x:c r="DO285" s="4"/>
      <x:c r="DP285" s="4"/>
      <x:c r="DQ285" s="4"/>
      <x:c r="DR285" s="4"/>
      <x:c r="DS285" s="4"/>
      <x:c r="DT285" s="4"/>
      <x:c r="DU285" s="4"/>
      <x:c r="DV285" s="4"/>
      <x:c r="DW285" s="4"/>
      <x:c r="DX285" s="4"/>
      <x:c r="DY285" s="4"/>
      <x:c r="DZ285" s="4"/>
      <x:c r="EA285" s="4"/>
      <x:c r="EB285" s="4"/>
      <x:c r="EC285" s="4"/>
      <x:c r="ED285" s="4"/>
      <x:c r="EE285" s="4"/>
      <x:c r="EF285" s="4"/>
      <x:c r="EG285" s="4"/>
      <x:c r="EH285" s="4"/>
      <x:c r="EI285" s="4"/>
      <x:c r="EJ285" s="4"/>
      <x:c r="EK285" s="4"/>
      <x:c r="EL285" s="4"/>
      <x:c r="EM285" s="4"/>
      <x:c r="EN285" s="4"/>
      <x:c r="EO285" s="4"/>
      <x:c r="EP285" s="4"/>
      <x:c r="EQ285" s="4"/>
      <x:c r="ER285" s="4"/>
      <x:c r="ES285" s="4"/>
      <x:c r="ET285" s="4"/>
      <x:c r="EU285" s="4"/>
      <x:c r="EV285" s="4"/>
      <x:c r="EW285" s="4"/>
      <x:c r="EX285" s="4"/>
      <x:c r="EY285" s="4"/>
      <x:c r="EZ285" s="4"/>
      <x:c r="FA285" s="4"/>
      <x:c r="FB285" s="4"/>
      <x:c r="FC285" s="4"/>
      <x:c r="FD285" s="4"/>
      <x:c r="FE285" s="4"/>
      <x:c r="FF285" s="4"/>
      <x:c r="FG285" s="4"/>
      <x:c r="FH285" s="4"/>
      <x:c r="FI285" s="4"/>
      <x:c r="FJ285" s="4"/>
      <x:c r="FK285" s="4"/>
      <x:c r="FL285" s="4"/>
      <x:c r="FM285" s="4"/>
      <x:c r="FN285" s="4"/>
      <x:c r="FO285" s="4"/>
    </x:row>
    <x:row r="286">
      <x:c r="A286" s="72"/>
      <x:c r="B286" s="72"/>
      <x:c r="C286" s="72"/>
      <x:c r="D286" s="72"/>
      <x:c r="E286" s="72"/>
      <x:c r="F286" s="72"/>
      <x:c r="G286" s="72"/>
      <x:c r="H286" s="72"/>
      <x:c r="I286" s="72"/>
      <x:c r="J286" s="72"/>
      <x:c r="K286" s="72"/>
      <x:c r="L286" s="72"/>
      <x:c r="M286" s="72"/>
      <x:c r="N286" s="72"/>
      <x:c r="O286" s="72"/>
      <x:c r="P286" s="72"/>
      <x:c r="Q286" s="72"/>
      <x:c r="R286" s="72"/>
      <x:c r="S286" s="72"/>
      <x:c r="T286" s="72"/>
      <x:c r="U286" s="72"/>
      <x:c r="V286" s="72"/>
      <x:c r="W286" s="72"/>
      <x:c r="X286" s="72"/>
      <x:c r="Y286" s="72"/>
      <x:c r="Z286" s="72"/>
      <x:c r="AA286" s="72"/>
      <x:c r="AB286" s="72"/>
      <x:c r="AC286" s="72"/>
      <x:c r="AD286" s="72"/>
      <x:c r="AE286" s="72"/>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x:c r="BN286" s="4"/>
      <x:c r="BO286" s="4"/>
      <x:c r="BP286" s="4"/>
      <x:c r="BQ286" s="4"/>
      <x:c r="BR286" s="4"/>
      <x:c r="BS286" s="4"/>
      <x:c r="BT286" s="4"/>
      <x:c r="BU286" s="4"/>
      <x:c r="BV286" s="4"/>
      <x:c r="BW286" s="4"/>
      <x:c r="BX286" s="4"/>
      <x:c r="BY286" s="4"/>
      <x:c r="BZ286" s="4"/>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x:c r="DB286" s="4"/>
      <x:c r="DC286" s="4"/>
      <x:c r="DD286" s="4"/>
      <x:c r="DE286" s="4"/>
      <x:c r="DF286" s="4"/>
      <x:c r="DG286" s="4"/>
      <x:c r="DH286" s="4"/>
      <x:c r="DI286" s="4"/>
      <x:c r="DJ286" s="4"/>
      <x:c r="DK286" s="4"/>
      <x:c r="DL286" s="4"/>
      <x:c r="DM286" s="4"/>
      <x:c r="DN286" s="4"/>
      <x:c r="DO286" s="4"/>
      <x:c r="DP286" s="4"/>
      <x:c r="DQ286" s="4"/>
      <x:c r="DR286" s="4"/>
      <x:c r="DS286" s="4"/>
      <x:c r="DT286" s="4"/>
      <x:c r="DU286" s="4"/>
      <x:c r="DV286" s="4"/>
      <x:c r="DW286" s="4"/>
      <x:c r="DX286" s="4"/>
      <x:c r="DY286" s="4"/>
      <x:c r="DZ286" s="4"/>
      <x:c r="EA286" s="4"/>
      <x:c r="EB286" s="4"/>
      <x:c r="EC286" s="4"/>
      <x:c r="ED286" s="4"/>
      <x:c r="EE286" s="4"/>
      <x:c r="EF286" s="4"/>
      <x:c r="EG286" s="4"/>
      <x:c r="EH286" s="4"/>
      <x:c r="EI286" s="4"/>
      <x:c r="EJ286" s="4"/>
      <x:c r="EK286" s="4"/>
      <x:c r="EL286" s="4"/>
      <x:c r="EM286" s="4"/>
      <x:c r="EN286" s="4"/>
      <x:c r="EO286" s="4"/>
      <x:c r="EP286" s="4"/>
      <x:c r="EQ286" s="4"/>
      <x:c r="ER286" s="4"/>
      <x:c r="ES286" s="4"/>
      <x:c r="ET286" s="4"/>
      <x:c r="EU286" s="4"/>
      <x:c r="EV286" s="4"/>
      <x:c r="EW286" s="4"/>
      <x:c r="EX286" s="4"/>
      <x:c r="EY286" s="4"/>
      <x:c r="EZ286" s="4"/>
      <x:c r="FA286" s="4"/>
      <x:c r="FB286" s="4"/>
      <x:c r="FC286" s="4"/>
      <x:c r="FD286" s="4"/>
      <x:c r="FE286" s="4"/>
      <x:c r="FF286" s="4"/>
      <x:c r="FG286" s="4"/>
      <x:c r="FH286" s="4"/>
      <x:c r="FI286" s="4"/>
      <x:c r="FJ286" s="4"/>
      <x:c r="FK286" s="4"/>
      <x:c r="FL286" s="4"/>
      <x:c r="FM286" s="4"/>
      <x:c r="FN286" s="4"/>
      <x:c r="FO286" s="4"/>
    </x:row>
    <x:row r="287">
      <x:c r="A287" s="72"/>
      <x:c r="B287" s="72"/>
      <x:c r="C287" s="72"/>
      <x:c r="D287" s="72"/>
      <x:c r="E287" s="72"/>
      <x:c r="F287" s="72"/>
      <x:c r="G287" s="72"/>
      <x:c r="H287" s="72"/>
      <x:c r="I287" s="72"/>
      <x:c r="J287" s="72"/>
      <x:c r="K287" s="72"/>
      <x:c r="L287" s="72"/>
      <x:c r="M287" s="72"/>
      <x:c r="N287" s="72"/>
      <x:c r="O287" s="72"/>
      <x:c r="P287" s="72"/>
      <x:c r="Q287" s="72"/>
      <x:c r="R287" s="72"/>
      <x:c r="S287" s="72"/>
      <x:c r="T287" s="72"/>
      <x:c r="U287" s="72"/>
      <x:c r="V287" s="72"/>
      <x:c r="W287" s="72"/>
      <x:c r="X287" s="72"/>
      <x:c r="Y287" s="72"/>
      <x:c r="Z287" s="72"/>
      <x:c r="AA287" s="72"/>
      <x:c r="AB287" s="72"/>
      <x:c r="AC287" s="72"/>
      <x:c r="AD287" s="72"/>
      <x:c r="AE287" s="72"/>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x:c r="BN287" s="4"/>
      <x:c r="BO287" s="4"/>
      <x:c r="BP287" s="4"/>
      <x:c r="BQ287" s="4"/>
      <x:c r="BR287" s="4"/>
      <x:c r="BS287" s="4"/>
      <x:c r="BT287" s="4"/>
      <x:c r="BU287" s="4"/>
      <x:c r="BV287" s="4"/>
      <x:c r="BW287" s="4"/>
      <x:c r="BX287" s="4"/>
      <x:c r="BY287" s="4"/>
      <x:c r="BZ287" s="4"/>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x:c r="DB287" s="4"/>
      <x:c r="DC287" s="4"/>
      <x:c r="DD287" s="4"/>
      <x:c r="DE287" s="4"/>
      <x:c r="DF287" s="4"/>
      <x:c r="DG287" s="4"/>
      <x:c r="DH287" s="4"/>
      <x:c r="DI287" s="4"/>
      <x:c r="DJ287" s="4"/>
      <x:c r="DK287" s="4"/>
      <x:c r="DL287" s="4"/>
      <x:c r="DM287" s="4"/>
      <x:c r="DN287" s="4"/>
      <x:c r="DO287" s="4"/>
      <x:c r="DP287" s="4"/>
      <x:c r="DQ287" s="4"/>
      <x:c r="DR287" s="4"/>
      <x:c r="DS287" s="4"/>
      <x:c r="DT287" s="4"/>
      <x:c r="DU287" s="4"/>
      <x:c r="DV287" s="4"/>
      <x:c r="DW287" s="4"/>
      <x:c r="DX287" s="4"/>
      <x:c r="DY287" s="4"/>
      <x:c r="DZ287" s="4"/>
      <x:c r="EA287" s="4"/>
      <x:c r="EB287" s="4"/>
      <x:c r="EC287" s="4"/>
      <x:c r="ED287" s="4"/>
      <x:c r="EE287" s="4"/>
      <x:c r="EF287" s="4"/>
      <x:c r="EG287" s="4"/>
      <x:c r="EH287" s="4"/>
      <x:c r="EI287" s="4"/>
      <x:c r="EJ287" s="4"/>
      <x:c r="EK287" s="4"/>
      <x:c r="EL287" s="4"/>
      <x:c r="EM287" s="4"/>
      <x:c r="EN287" s="4"/>
      <x:c r="EO287" s="4"/>
      <x:c r="EP287" s="4"/>
      <x:c r="EQ287" s="4"/>
      <x:c r="ER287" s="4"/>
      <x:c r="ES287" s="4"/>
      <x:c r="ET287" s="4"/>
      <x:c r="EU287" s="4"/>
      <x:c r="EV287" s="4"/>
      <x:c r="EW287" s="4"/>
      <x:c r="EX287" s="4"/>
      <x:c r="EY287" s="4"/>
      <x:c r="EZ287" s="4"/>
      <x:c r="FA287" s="4"/>
      <x:c r="FB287" s="4"/>
      <x:c r="FC287" s="4"/>
      <x:c r="FD287" s="4"/>
      <x:c r="FE287" s="4"/>
      <x:c r="FF287" s="4"/>
      <x:c r="FG287" s="4"/>
      <x:c r="FH287" s="4"/>
      <x:c r="FI287" s="4"/>
      <x:c r="FJ287" s="4"/>
      <x:c r="FK287" s="4"/>
      <x:c r="FL287" s="4"/>
      <x:c r="FM287" s="4"/>
      <x:c r="FN287" s="4"/>
      <x:c r="FO287" s="4"/>
    </x:row>
    <x:row r="288">
      <x:c r="A288" s="72"/>
      <x:c r="B288" s="72"/>
      <x:c r="C288" s="72"/>
      <x:c r="D288" s="72"/>
      <x:c r="E288" s="72"/>
      <x:c r="F288" s="72"/>
      <x:c r="G288" s="72"/>
      <x:c r="H288" s="72"/>
      <x:c r="I288" s="72"/>
      <x:c r="J288" s="72"/>
      <x:c r="K288" s="72"/>
      <x:c r="L288" s="72"/>
      <x:c r="M288" s="72"/>
      <x:c r="N288" s="72"/>
      <x:c r="O288" s="72"/>
      <x:c r="P288" s="72"/>
      <x:c r="Q288" s="72"/>
      <x:c r="R288" s="72"/>
      <x:c r="S288" s="72"/>
      <x:c r="T288" s="72"/>
      <x:c r="U288" s="72"/>
      <x:c r="V288" s="72"/>
      <x:c r="W288" s="72"/>
      <x:c r="X288" s="72"/>
      <x:c r="Y288" s="72"/>
      <x:c r="Z288" s="72"/>
      <x:c r="AA288" s="72"/>
      <x:c r="AB288" s="72"/>
      <x:c r="AC288" s="72"/>
      <x:c r="AD288" s="72"/>
      <x:c r="AE288" s="72"/>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x:c r="BN288" s="4"/>
      <x:c r="BO288" s="4"/>
      <x:c r="BP288" s="4"/>
      <x:c r="BQ288" s="4"/>
      <x:c r="BR288" s="4"/>
      <x:c r="BS288" s="4"/>
      <x:c r="BT288" s="4"/>
      <x:c r="BU288" s="4"/>
      <x:c r="BV288" s="4"/>
      <x:c r="BW288" s="4"/>
      <x:c r="BX288" s="4"/>
      <x:c r="BY288" s="4"/>
      <x:c r="BZ288" s="4"/>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x:c r="DB288" s="4"/>
      <x:c r="DC288" s="4"/>
      <x:c r="DD288" s="4"/>
      <x:c r="DE288" s="4"/>
      <x:c r="DF288" s="4"/>
      <x:c r="DG288" s="4"/>
      <x:c r="DH288" s="4"/>
      <x:c r="DI288" s="4"/>
      <x:c r="DJ288" s="4"/>
      <x:c r="DK288" s="4"/>
      <x:c r="DL288" s="4"/>
      <x:c r="DM288" s="4"/>
      <x:c r="DN288" s="4"/>
      <x:c r="DO288" s="4"/>
      <x:c r="DP288" s="4"/>
      <x:c r="DQ288" s="4"/>
      <x:c r="DR288" s="4"/>
      <x:c r="DS288" s="4"/>
      <x:c r="DT288" s="4"/>
      <x:c r="DU288" s="4"/>
      <x:c r="DV288" s="4"/>
      <x:c r="DW288" s="4"/>
      <x:c r="DX288" s="4"/>
      <x:c r="DY288" s="4"/>
      <x:c r="DZ288" s="4"/>
      <x:c r="EA288" s="4"/>
      <x:c r="EB288" s="4"/>
      <x:c r="EC288" s="4"/>
      <x:c r="ED288" s="4"/>
      <x:c r="EE288" s="4"/>
      <x:c r="EF288" s="4"/>
      <x:c r="EG288" s="4"/>
      <x:c r="EH288" s="4"/>
      <x:c r="EI288" s="4"/>
      <x:c r="EJ288" s="4"/>
      <x:c r="EK288" s="4"/>
      <x:c r="EL288" s="4"/>
      <x:c r="EM288" s="4"/>
      <x:c r="EN288" s="4"/>
      <x:c r="EO288" s="4"/>
      <x:c r="EP288" s="4"/>
      <x:c r="EQ288" s="4"/>
      <x:c r="ER288" s="4"/>
      <x:c r="ES288" s="4"/>
      <x:c r="ET288" s="4"/>
      <x:c r="EU288" s="4"/>
      <x:c r="EV288" s="4"/>
      <x:c r="EW288" s="4"/>
      <x:c r="EX288" s="4"/>
      <x:c r="EY288" s="4"/>
      <x:c r="EZ288" s="4"/>
      <x:c r="FA288" s="4"/>
      <x:c r="FB288" s="4"/>
      <x:c r="FC288" s="4"/>
      <x:c r="FD288" s="4"/>
      <x:c r="FE288" s="4"/>
      <x:c r="FF288" s="4"/>
      <x:c r="FG288" s="4"/>
      <x:c r="FH288" s="4"/>
      <x:c r="FI288" s="4"/>
      <x:c r="FJ288" s="4"/>
      <x:c r="FK288" s="4"/>
      <x:c r="FL288" s="4"/>
      <x:c r="FM288" s="4"/>
      <x:c r="FN288" s="4"/>
      <x:c r="FO288" s="4"/>
    </x:row>
    <x:row r="289">
      <x:c r="A289" s="72"/>
      <x:c r="B289" s="72"/>
      <x:c r="C289" s="72"/>
      <x:c r="D289" s="72"/>
      <x:c r="E289" s="72"/>
      <x:c r="F289" s="72"/>
      <x:c r="G289" s="72"/>
      <x:c r="H289" s="72"/>
      <x:c r="I289" s="72"/>
      <x:c r="J289" s="72"/>
      <x:c r="K289" s="72"/>
      <x:c r="L289" s="72"/>
      <x:c r="M289" s="72"/>
      <x:c r="N289" s="72"/>
      <x:c r="O289" s="72"/>
      <x:c r="P289" s="72"/>
      <x:c r="Q289" s="72"/>
      <x:c r="R289" s="72"/>
      <x:c r="S289" s="72"/>
      <x:c r="T289" s="72"/>
      <x:c r="U289" s="72"/>
      <x:c r="V289" s="72"/>
      <x:c r="W289" s="72"/>
      <x:c r="X289" s="72"/>
      <x:c r="Y289" s="72"/>
      <x:c r="Z289" s="72"/>
      <x:c r="AA289" s="72"/>
      <x:c r="AB289" s="72"/>
      <x:c r="AC289" s="72"/>
      <x:c r="AD289" s="72"/>
      <x:c r="AE289" s="72"/>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x:c r="BN289" s="4"/>
      <x:c r="BO289" s="4"/>
      <x:c r="BP289" s="4"/>
      <x:c r="BQ289" s="4"/>
      <x:c r="BR289" s="4"/>
      <x:c r="BS289" s="4"/>
      <x:c r="BT289" s="4"/>
      <x:c r="BU289" s="4"/>
      <x:c r="BV289" s="4"/>
      <x:c r="BW289" s="4"/>
      <x:c r="BX289" s="4"/>
      <x:c r="BY289" s="4"/>
      <x:c r="BZ289" s="4"/>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x:c r="DB289" s="4"/>
      <x:c r="DC289" s="4"/>
      <x:c r="DD289" s="4"/>
      <x:c r="DE289" s="4"/>
      <x:c r="DF289" s="4"/>
      <x:c r="DG289" s="4"/>
      <x:c r="DH289" s="4"/>
      <x:c r="DI289" s="4"/>
      <x:c r="DJ289" s="4"/>
      <x:c r="DK289" s="4"/>
      <x:c r="DL289" s="4"/>
      <x:c r="DM289" s="4"/>
      <x:c r="DN289" s="4"/>
      <x:c r="DO289" s="4"/>
      <x:c r="DP289" s="4"/>
      <x:c r="DQ289" s="4"/>
      <x:c r="DR289" s="4"/>
      <x:c r="DS289" s="4"/>
      <x:c r="DT289" s="4"/>
      <x:c r="DU289" s="4"/>
      <x:c r="DV289" s="4"/>
      <x:c r="DW289" s="4"/>
      <x:c r="DX289" s="4"/>
      <x:c r="DY289" s="4"/>
      <x:c r="DZ289" s="4"/>
      <x:c r="EA289" s="4"/>
      <x:c r="EB289" s="4"/>
      <x:c r="EC289" s="4"/>
      <x:c r="ED289" s="4"/>
      <x:c r="EE289" s="4"/>
      <x:c r="EF289" s="4"/>
      <x:c r="EG289" s="4"/>
      <x:c r="EH289" s="4"/>
      <x:c r="EI289" s="4"/>
      <x:c r="EJ289" s="4"/>
      <x:c r="EK289" s="4"/>
      <x:c r="EL289" s="4"/>
      <x:c r="EM289" s="4"/>
      <x:c r="EN289" s="4"/>
      <x:c r="EO289" s="4"/>
      <x:c r="EP289" s="4"/>
      <x:c r="EQ289" s="4"/>
      <x:c r="ER289" s="4"/>
      <x:c r="ES289" s="4"/>
      <x:c r="ET289" s="4"/>
      <x:c r="EU289" s="4"/>
      <x:c r="EV289" s="4"/>
      <x:c r="EW289" s="4"/>
      <x:c r="EX289" s="4"/>
      <x:c r="EY289" s="4"/>
      <x:c r="EZ289" s="4"/>
      <x:c r="FA289" s="4"/>
      <x:c r="FB289" s="4"/>
      <x:c r="FC289" s="4"/>
      <x:c r="FD289" s="4"/>
      <x:c r="FE289" s="4"/>
      <x:c r="FF289" s="4"/>
      <x:c r="FG289" s="4"/>
      <x:c r="FH289" s="4"/>
      <x:c r="FI289" s="4"/>
      <x:c r="FJ289" s="4"/>
      <x:c r="FK289" s="4"/>
      <x:c r="FL289" s="4"/>
      <x:c r="FM289" s="4"/>
      <x:c r="FN289" s="4"/>
      <x:c r="FO289" s="4"/>
    </x:row>
    <x:row r="290">
      <x:c r="A290" s="72"/>
      <x:c r="B290" s="72"/>
      <x:c r="C290" s="72"/>
      <x:c r="D290" s="72"/>
      <x:c r="E290" s="72"/>
      <x:c r="F290" s="72"/>
      <x:c r="G290" s="72"/>
      <x:c r="H290" s="72"/>
      <x:c r="I290" s="72"/>
      <x:c r="J290" s="72"/>
      <x:c r="K290" s="72"/>
      <x:c r="L290" s="72"/>
      <x:c r="M290" s="72"/>
      <x:c r="N290" s="72"/>
      <x:c r="O290" s="72"/>
      <x:c r="P290" s="72"/>
      <x:c r="Q290" s="72"/>
      <x:c r="R290" s="72"/>
      <x:c r="S290" s="72"/>
      <x:c r="T290" s="72"/>
      <x:c r="U290" s="72"/>
      <x:c r="V290" s="72"/>
      <x:c r="W290" s="72"/>
      <x:c r="X290" s="72"/>
      <x:c r="Y290" s="72"/>
      <x:c r="Z290" s="72"/>
      <x:c r="AA290" s="72"/>
      <x:c r="AB290" s="72"/>
      <x:c r="AC290" s="72"/>
      <x:c r="AD290" s="72"/>
      <x:c r="AE290" s="72"/>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x:c r="BN290" s="4"/>
      <x:c r="BO290" s="4"/>
      <x:c r="BP290" s="4"/>
      <x:c r="BQ290" s="4"/>
      <x:c r="BR290" s="4"/>
      <x:c r="BS290" s="4"/>
      <x:c r="BT290" s="4"/>
      <x:c r="BU290" s="4"/>
      <x:c r="BV290" s="4"/>
      <x:c r="BW290" s="4"/>
      <x:c r="BX290" s="4"/>
      <x:c r="BY290" s="4"/>
      <x:c r="BZ290" s="4"/>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x:c r="DB290" s="4"/>
      <x:c r="DC290" s="4"/>
      <x:c r="DD290" s="4"/>
      <x:c r="DE290" s="4"/>
      <x:c r="DF290" s="4"/>
      <x:c r="DG290" s="4"/>
      <x:c r="DH290" s="4"/>
      <x:c r="DI290" s="4"/>
      <x:c r="DJ290" s="4"/>
      <x:c r="DK290" s="4"/>
      <x:c r="DL290" s="4"/>
      <x:c r="DM290" s="4"/>
      <x:c r="DN290" s="4"/>
      <x:c r="DO290" s="4"/>
      <x:c r="DP290" s="4"/>
      <x:c r="DQ290" s="4"/>
      <x:c r="DR290" s="4"/>
      <x:c r="DS290" s="4"/>
      <x:c r="DT290" s="4"/>
      <x:c r="DU290" s="4"/>
      <x:c r="DV290" s="4"/>
      <x:c r="DW290" s="4"/>
      <x:c r="DX290" s="4"/>
      <x:c r="DY290" s="4"/>
      <x:c r="DZ290" s="4"/>
      <x:c r="EA290" s="4"/>
      <x:c r="EB290" s="4"/>
      <x:c r="EC290" s="4"/>
      <x:c r="ED290" s="4"/>
      <x:c r="EE290" s="4"/>
      <x:c r="EF290" s="4"/>
      <x:c r="EG290" s="4"/>
      <x:c r="EH290" s="4"/>
      <x:c r="EI290" s="4"/>
      <x:c r="EJ290" s="4"/>
      <x:c r="EK290" s="4"/>
      <x:c r="EL290" s="4"/>
      <x:c r="EM290" s="4"/>
      <x:c r="EN290" s="4"/>
      <x:c r="EO290" s="4"/>
      <x:c r="EP290" s="4"/>
      <x:c r="EQ290" s="4"/>
      <x:c r="ER290" s="4"/>
      <x:c r="ES290" s="4"/>
      <x:c r="ET290" s="4"/>
      <x:c r="EU290" s="4"/>
      <x:c r="EV290" s="4"/>
      <x:c r="EW290" s="4"/>
      <x:c r="EX290" s="4"/>
      <x:c r="EY290" s="4"/>
      <x:c r="EZ290" s="4"/>
      <x:c r="FA290" s="4"/>
      <x:c r="FB290" s="4"/>
      <x:c r="FC290" s="4"/>
      <x:c r="FD290" s="4"/>
      <x:c r="FE290" s="4"/>
      <x:c r="FF290" s="4"/>
      <x:c r="FG290" s="4"/>
      <x:c r="FH290" s="4"/>
      <x:c r="FI290" s="4"/>
      <x:c r="FJ290" s="4"/>
      <x:c r="FK290" s="4"/>
      <x:c r="FL290" s="4"/>
      <x:c r="FM290" s="4"/>
      <x:c r="FN290" s="4"/>
      <x:c r="FO290" s="4"/>
    </x:row>
    <x:row r="291">
      <x:c r="A291" s="72"/>
      <x:c r="B291" s="72"/>
      <x:c r="C291" s="72"/>
      <x:c r="D291" s="72"/>
      <x:c r="E291" s="72"/>
      <x:c r="F291" s="72"/>
      <x:c r="G291" s="72"/>
      <x:c r="H291" s="72"/>
      <x:c r="I291" s="72"/>
      <x:c r="J291" s="72"/>
      <x:c r="K291" s="72"/>
      <x:c r="L291" s="72"/>
      <x:c r="M291" s="72"/>
      <x:c r="N291" s="72"/>
      <x:c r="O291" s="72"/>
      <x:c r="P291" s="72"/>
      <x:c r="Q291" s="72"/>
      <x:c r="R291" s="72"/>
      <x:c r="S291" s="72"/>
      <x:c r="T291" s="72"/>
      <x:c r="U291" s="72"/>
      <x:c r="V291" s="72"/>
      <x:c r="W291" s="72"/>
      <x:c r="X291" s="72"/>
      <x:c r="Y291" s="72"/>
      <x:c r="Z291" s="72"/>
      <x:c r="AA291" s="72"/>
      <x:c r="AB291" s="72"/>
      <x:c r="AC291" s="72"/>
      <x:c r="AD291" s="72"/>
      <x:c r="AE291" s="72"/>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x:c r="BN291" s="4"/>
      <x:c r="BO291" s="4"/>
      <x:c r="BP291" s="4"/>
      <x:c r="BQ291" s="4"/>
      <x:c r="BR291" s="4"/>
      <x:c r="BS291" s="4"/>
      <x:c r="BT291" s="4"/>
      <x:c r="BU291" s="4"/>
      <x:c r="BV291" s="4"/>
      <x:c r="BW291" s="4"/>
      <x:c r="BX291" s="4"/>
      <x:c r="BY291" s="4"/>
      <x:c r="BZ291" s="4"/>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x:c r="DB291" s="4"/>
      <x:c r="DC291" s="4"/>
      <x:c r="DD291" s="4"/>
      <x:c r="DE291" s="4"/>
      <x:c r="DF291" s="4"/>
      <x:c r="DG291" s="4"/>
      <x:c r="DH291" s="4"/>
      <x:c r="DI291" s="4"/>
      <x:c r="DJ291" s="4"/>
      <x:c r="DK291" s="4"/>
      <x:c r="DL291" s="4"/>
      <x:c r="DM291" s="4"/>
      <x:c r="DN291" s="4"/>
      <x:c r="DO291" s="4"/>
      <x:c r="DP291" s="4"/>
      <x:c r="DQ291" s="4"/>
      <x:c r="DR291" s="4"/>
      <x:c r="DS291" s="4"/>
      <x:c r="DT291" s="4"/>
      <x:c r="DU291" s="4"/>
      <x:c r="DV291" s="4"/>
      <x:c r="DW291" s="4"/>
      <x:c r="DX291" s="4"/>
      <x:c r="DY291" s="4"/>
      <x:c r="DZ291" s="4"/>
      <x:c r="EA291" s="4"/>
      <x:c r="EB291" s="4"/>
      <x:c r="EC291" s="4"/>
      <x:c r="ED291" s="4"/>
      <x:c r="EE291" s="4"/>
      <x:c r="EF291" s="4"/>
      <x:c r="EG291" s="4"/>
      <x:c r="EH291" s="4"/>
      <x:c r="EI291" s="4"/>
      <x:c r="EJ291" s="4"/>
      <x:c r="EK291" s="4"/>
      <x:c r="EL291" s="4"/>
      <x:c r="EM291" s="4"/>
      <x:c r="EN291" s="4"/>
      <x:c r="EO291" s="4"/>
      <x:c r="EP291" s="4"/>
      <x:c r="EQ291" s="4"/>
      <x:c r="ER291" s="4"/>
      <x:c r="ES291" s="4"/>
      <x:c r="ET291" s="4"/>
      <x:c r="EU291" s="4"/>
      <x:c r="EV291" s="4"/>
      <x:c r="EW291" s="4"/>
      <x:c r="EX291" s="4"/>
      <x:c r="EY291" s="4"/>
      <x:c r="EZ291" s="4"/>
      <x:c r="FA291" s="4"/>
      <x:c r="FB291" s="4"/>
      <x:c r="FC291" s="4"/>
      <x:c r="FD291" s="4"/>
      <x:c r="FE291" s="4"/>
      <x:c r="FF291" s="4"/>
      <x:c r="FG291" s="4"/>
      <x:c r="FH291" s="4"/>
      <x:c r="FI291" s="4"/>
      <x:c r="FJ291" s="4"/>
      <x:c r="FK291" s="4"/>
      <x:c r="FL291" s="4"/>
      <x:c r="FM291" s="4"/>
      <x:c r="FN291" s="4"/>
      <x:c r="FO291" s="4"/>
    </x:row>
    <x:row r="292">
      <x:c r="A292" s="72"/>
      <x:c r="B292" s="72"/>
      <x:c r="C292" s="72"/>
      <x:c r="D292" s="72"/>
      <x:c r="E292" s="72"/>
      <x:c r="F292" s="72"/>
      <x:c r="G292" s="72"/>
      <x:c r="H292" s="72"/>
      <x:c r="I292" s="72"/>
      <x:c r="J292" s="72"/>
      <x:c r="K292" s="72"/>
      <x:c r="L292" s="72"/>
      <x:c r="M292" s="72"/>
      <x:c r="N292" s="72"/>
      <x:c r="O292" s="72"/>
      <x:c r="P292" s="72"/>
      <x:c r="Q292" s="72"/>
      <x:c r="R292" s="72"/>
      <x:c r="S292" s="72"/>
      <x:c r="T292" s="72"/>
      <x:c r="U292" s="72"/>
      <x:c r="V292" s="72"/>
      <x:c r="W292" s="72"/>
      <x:c r="X292" s="72"/>
      <x:c r="Y292" s="72"/>
      <x:c r="Z292" s="72"/>
      <x:c r="AA292" s="72"/>
      <x:c r="AB292" s="72"/>
      <x:c r="AC292" s="72"/>
      <x:c r="AD292" s="72"/>
      <x:c r="AE292" s="72"/>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x:c r="BN292" s="4"/>
      <x:c r="BO292" s="4"/>
      <x:c r="BP292" s="4"/>
      <x:c r="BQ292" s="4"/>
      <x:c r="BR292" s="4"/>
      <x:c r="BS292" s="4"/>
      <x:c r="BT292" s="4"/>
      <x:c r="BU292" s="4"/>
      <x:c r="BV292" s="4"/>
      <x:c r="BW292" s="4"/>
      <x:c r="BX292" s="4"/>
      <x:c r="BY292" s="4"/>
      <x:c r="BZ292" s="4"/>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x:c r="DB292" s="4"/>
      <x:c r="DC292" s="4"/>
      <x:c r="DD292" s="4"/>
      <x:c r="DE292" s="4"/>
      <x:c r="DF292" s="4"/>
      <x:c r="DG292" s="4"/>
      <x:c r="DH292" s="4"/>
      <x:c r="DI292" s="4"/>
      <x:c r="DJ292" s="4"/>
      <x:c r="DK292" s="4"/>
      <x:c r="DL292" s="4"/>
      <x:c r="DM292" s="4"/>
      <x:c r="DN292" s="4"/>
      <x:c r="DO292" s="4"/>
      <x:c r="DP292" s="4"/>
      <x:c r="DQ292" s="4"/>
      <x:c r="DR292" s="4"/>
      <x:c r="DS292" s="4"/>
      <x:c r="DT292" s="4"/>
      <x:c r="DU292" s="4"/>
      <x:c r="DV292" s="4"/>
      <x:c r="DW292" s="4"/>
      <x:c r="DX292" s="4"/>
      <x:c r="DY292" s="4"/>
      <x:c r="DZ292" s="4"/>
      <x:c r="EA292" s="4"/>
      <x:c r="EB292" s="4"/>
      <x:c r="EC292" s="4"/>
      <x:c r="ED292" s="4"/>
      <x:c r="EE292" s="4"/>
      <x:c r="EF292" s="4"/>
      <x:c r="EG292" s="4"/>
      <x:c r="EH292" s="4"/>
      <x:c r="EI292" s="4"/>
      <x:c r="EJ292" s="4"/>
      <x:c r="EK292" s="4"/>
      <x:c r="EL292" s="4"/>
      <x:c r="EM292" s="4"/>
      <x:c r="EN292" s="4"/>
      <x:c r="EO292" s="4"/>
      <x:c r="EP292" s="4"/>
      <x:c r="EQ292" s="4"/>
      <x:c r="ER292" s="4"/>
      <x:c r="ES292" s="4"/>
      <x:c r="ET292" s="4"/>
      <x:c r="EU292" s="4"/>
      <x:c r="EV292" s="4"/>
      <x:c r="EW292" s="4"/>
      <x:c r="EX292" s="4"/>
      <x:c r="EY292" s="4"/>
      <x:c r="EZ292" s="4"/>
      <x:c r="FA292" s="4"/>
      <x:c r="FB292" s="4"/>
      <x:c r="FC292" s="4"/>
      <x:c r="FD292" s="4"/>
      <x:c r="FE292" s="4"/>
      <x:c r="FF292" s="4"/>
      <x:c r="FG292" s="4"/>
      <x:c r="FH292" s="4"/>
      <x:c r="FI292" s="4"/>
      <x:c r="FJ292" s="4"/>
      <x:c r="FK292" s="4"/>
      <x:c r="FL292" s="4"/>
      <x:c r="FM292" s="4"/>
      <x:c r="FN292" s="4"/>
      <x:c r="FO292" s="4"/>
    </x:row>
    <x:row r="293">
      <x:c r="A293" s="72"/>
      <x:c r="B293" s="72"/>
      <x:c r="C293" s="72"/>
      <x:c r="D293" s="72"/>
      <x:c r="E293" s="72"/>
      <x:c r="F293" s="72"/>
      <x:c r="G293" s="72"/>
      <x:c r="H293" s="72"/>
      <x:c r="I293" s="72"/>
      <x:c r="J293" s="72"/>
      <x:c r="K293" s="72"/>
      <x:c r="L293" s="72"/>
      <x:c r="M293" s="72"/>
      <x:c r="N293" s="72"/>
      <x:c r="O293" s="72"/>
      <x:c r="P293" s="72"/>
      <x:c r="Q293" s="72"/>
      <x:c r="R293" s="72"/>
      <x:c r="S293" s="72"/>
      <x:c r="T293" s="72"/>
      <x:c r="U293" s="72"/>
      <x:c r="V293" s="72"/>
      <x:c r="W293" s="72"/>
      <x:c r="X293" s="72"/>
      <x:c r="Y293" s="72"/>
      <x:c r="Z293" s="72"/>
      <x:c r="AA293" s="72"/>
      <x:c r="AB293" s="72"/>
      <x:c r="AC293" s="72"/>
      <x:c r="AD293" s="72"/>
      <x:c r="AE293" s="72"/>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x:c r="BN293" s="4"/>
      <x:c r="BO293" s="4"/>
      <x:c r="BP293" s="4"/>
      <x:c r="BQ293" s="4"/>
      <x:c r="BR293" s="4"/>
      <x:c r="BS293" s="4"/>
      <x:c r="BT293" s="4"/>
      <x:c r="BU293" s="4"/>
      <x:c r="BV293" s="4"/>
      <x:c r="BW293" s="4"/>
      <x:c r="BX293" s="4"/>
      <x:c r="BY293" s="4"/>
      <x:c r="BZ293" s="4"/>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x:c r="DB293" s="4"/>
      <x:c r="DC293" s="4"/>
      <x:c r="DD293" s="4"/>
      <x:c r="DE293" s="4"/>
      <x:c r="DF293" s="4"/>
      <x:c r="DG293" s="4"/>
      <x:c r="DH293" s="4"/>
      <x:c r="DI293" s="4"/>
      <x:c r="DJ293" s="4"/>
      <x:c r="DK293" s="4"/>
      <x:c r="DL293" s="4"/>
      <x:c r="DM293" s="4"/>
      <x:c r="DN293" s="4"/>
      <x:c r="DO293" s="4"/>
      <x:c r="DP293" s="4"/>
      <x:c r="DQ293" s="4"/>
      <x:c r="DR293" s="4"/>
      <x:c r="DS293" s="4"/>
      <x:c r="DT293" s="4"/>
      <x:c r="DU293" s="4"/>
      <x:c r="DV293" s="4"/>
      <x:c r="DW293" s="4"/>
      <x:c r="DX293" s="4"/>
      <x:c r="DY293" s="4"/>
      <x:c r="DZ293" s="4"/>
      <x:c r="EA293" s="4"/>
      <x:c r="EB293" s="4"/>
      <x:c r="EC293" s="4"/>
      <x:c r="ED293" s="4"/>
      <x:c r="EE293" s="4"/>
      <x:c r="EF293" s="4"/>
      <x:c r="EG293" s="4"/>
      <x:c r="EH293" s="4"/>
      <x:c r="EI293" s="4"/>
      <x:c r="EJ293" s="4"/>
      <x:c r="EK293" s="4"/>
      <x:c r="EL293" s="4"/>
      <x:c r="EM293" s="4"/>
      <x:c r="EN293" s="4"/>
      <x:c r="EO293" s="4"/>
      <x:c r="EP293" s="4"/>
      <x:c r="EQ293" s="4"/>
      <x:c r="ER293" s="4"/>
      <x:c r="ES293" s="4"/>
      <x:c r="ET293" s="4"/>
      <x:c r="EU293" s="4"/>
      <x:c r="EV293" s="4"/>
      <x:c r="EW293" s="4"/>
      <x:c r="EX293" s="4"/>
      <x:c r="EY293" s="4"/>
      <x:c r="EZ293" s="4"/>
      <x:c r="FA293" s="4"/>
      <x:c r="FB293" s="4"/>
      <x:c r="FC293" s="4"/>
      <x:c r="FD293" s="4"/>
      <x:c r="FE293" s="4"/>
      <x:c r="FF293" s="4"/>
      <x:c r="FG293" s="4"/>
      <x:c r="FH293" s="4"/>
      <x:c r="FI293" s="4"/>
      <x:c r="FJ293" s="4"/>
      <x:c r="FK293" s="4"/>
      <x:c r="FL293" s="4"/>
      <x:c r="FM293" s="4"/>
      <x:c r="FN293" s="4"/>
      <x:c r="FO293" s="4"/>
    </x:row>
    <x:row r="294">
      <x:c r="A294" s="72"/>
      <x:c r="B294" s="72"/>
      <x:c r="C294" s="72"/>
      <x:c r="D294" s="72"/>
      <x:c r="E294" s="72"/>
      <x:c r="F294" s="72"/>
      <x:c r="G294" s="72"/>
      <x:c r="H294" s="72"/>
      <x:c r="I294" s="72"/>
      <x:c r="J294" s="72"/>
      <x:c r="K294" s="72"/>
      <x:c r="L294" s="72"/>
      <x:c r="M294" s="72"/>
      <x:c r="N294" s="72"/>
      <x:c r="O294" s="72"/>
      <x:c r="P294" s="72"/>
      <x:c r="Q294" s="72"/>
      <x:c r="R294" s="72"/>
      <x:c r="S294" s="72"/>
      <x:c r="T294" s="72"/>
      <x:c r="U294" s="72"/>
      <x:c r="V294" s="72"/>
      <x:c r="W294" s="72"/>
      <x:c r="X294" s="72"/>
      <x:c r="Y294" s="72"/>
      <x:c r="Z294" s="72"/>
      <x:c r="AA294" s="72"/>
      <x:c r="AB294" s="72"/>
      <x:c r="AC294" s="72"/>
      <x:c r="AD294" s="72"/>
      <x:c r="AE294" s="72"/>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x:c r="BN294" s="4"/>
      <x:c r="BO294" s="4"/>
      <x:c r="BP294" s="4"/>
      <x:c r="BQ294" s="4"/>
      <x:c r="BR294" s="4"/>
      <x:c r="BS294" s="4"/>
      <x:c r="BT294" s="4"/>
      <x:c r="BU294" s="4"/>
      <x:c r="BV294" s="4"/>
      <x:c r="BW294" s="4"/>
      <x:c r="BX294" s="4"/>
      <x:c r="BY294" s="4"/>
      <x:c r="BZ294" s="4"/>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x:c r="DB294" s="4"/>
      <x:c r="DC294" s="4"/>
      <x:c r="DD294" s="4"/>
      <x:c r="DE294" s="4"/>
      <x:c r="DF294" s="4"/>
      <x:c r="DG294" s="4"/>
      <x:c r="DH294" s="4"/>
      <x:c r="DI294" s="4"/>
      <x:c r="DJ294" s="4"/>
      <x:c r="DK294" s="4"/>
      <x:c r="DL294" s="4"/>
      <x:c r="DM294" s="4"/>
      <x:c r="DN294" s="4"/>
      <x:c r="DO294" s="4"/>
      <x:c r="DP294" s="4"/>
      <x:c r="DQ294" s="4"/>
      <x:c r="DR294" s="4"/>
      <x:c r="DS294" s="4"/>
      <x:c r="DT294" s="4"/>
      <x:c r="DU294" s="4"/>
      <x:c r="DV294" s="4"/>
      <x:c r="DW294" s="4"/>
      <x:c r="DX294" s="4"/>
      <x:c r="DY294" s="4"/>
      <x:c r="DZ294" s="4"/>
      <x:c r="EA294" s="4"/>
      <x:c r="EB294" s="4"/>
      <x:c r="EC294" s="4"/>
      <x:c r="ED294" s="4"/>
      <x:c r="EE294" s="4"/>
      <x:c r="EF294" s="4"/>
      <x:c r="EG294" s="4"/>
      <x:c r="EH294" s="4"/>
      <x:c r="EI294" s="4"/>
      <x:c r="EJ294" s="4"/>
      <x:c r="EK294" s="4"/>
      <x:c r="EL294" s="4"/>
      <x:c r="EM294" s="4"/>
      <x:c r="EN294" s="4"/>
      <x:c r="EO294" s="4"/>
      <x:c r="EP294" s="4"/>
      <x:c r="EQ294" s="4"/>
      <x:c r="ER294" s="4"/>
      <x:c r="ES294" s="4"/>
      <x:c r="ET294" s="4"/>
      <x:c r="EU294" s="4"/>
      <x:c r="EV294" s="4"/>
      <x:c r="EW294" s="4"/>
      <x:c r="EX294" s="4"/>
      <x:c r="EY294" s="4"/>
      <x:c r="EZ294" s="4"/>
      <x:c r="FA294" s="4"/>
      <x:c r="FB294" s="4"/>
      <x:c r="FC294" s="4"/>
      <x:c r="FD294" s="4"/>
      <x:c r="FE294" s="4"/>
      <x:c r="FF294" s="4"/>
      <x:c r="FG294" s="4"/>
      <x:c r="FH294" s="4"/>
      <x:c r="FI294" s="4"/>
      <x:c r="FJ294" s="4"/>
      <x:c r="FK294" s="4"/>
      <x:c r="FL294" s="4"/>
      <x:c r="FM294" s="4"/>
      <x:c r="FN294" s="4"/>
      <x:c r="FO294" s="4"/>
    </x:row>
    <x:row r="295">
      <x:c r="A295" s="72"/>
      <x:c r="B295" s="72"/>
      <x:c r="C295" s="72"/>
      <x:c r="D295" s="72"/>
      <x:c r="E295" s="72"/>
      <x:c r="F295" s="72"/>
      <x:c r="G295" s="72"/>
      <x:c r="H295" s="72"/>
      <x:c r="I295" s="72"/>
      <x:c r="J295" s="72"/>
      <x:c r="K295" s="72"/>
      <x:c r="L295" s="72"/>
      <x:c r="M295" s="72"/>
      <x:c r="N295" s="72"/>
      <x:c r="O295" s="72"/>
      <x:c r="P295" s="72"/>
      <x:c r="Q295" s="72"/>
      <x:c r="R295" s="72"/>
      <x:c r="S295" s="72"/>
      <x:c r="T295" s="72"/>
      <x:c r="U295" s="72"/>
      <x:c r="V295" s="72"/>
      <x:c r="W295" s="72"/>
      <x:c r="X295" s="72"/>
      <x:c r="Y295" s="72"/>
      <x:c r="Z295" s="72"/>
      <x:c r="AA295" s="72"/>
      <x:c r="AB295" s="72"/>
      <x:c r="AC295" s="72"/>
      <x:c r="AD295" s="72"/>
      <x:c r="AE295" s="72"/>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x:c r="BN295" s="4"/>
      <x:c r="BO295" s="4"/>
      <x:c r="BP295" s="4"/>
      <x:c r="BQ295" s="4"/>
      <x:c r="BR295" s="4"/>
      <x:c r="BS295" s="4"/>
      <x:c r="BT295" s="4"/>
      <x:c r="BU295" s="4"/>
      <x:c r="BV295" s="4"/>
      <x:c r="BW295" s="4"/>
      <x:c r="BX295" s="4"/>
      <x:c r="BY295" s="4"/>
      <x:c r="BZ295" s="4"/>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x:c r="DB295" s="4"/>
      <x:c r="DC295" s="4"/>
      <x:c r="DD295" s="4"/>
      <x:c r="DE295" s="4"/>
      <x:c r="DF295" s="4"/>
      <x:c r="DG295" s="4"/>
      <x:c r="DH295" s="4"/>
      <x:c r="DI295" s="4"/>
      <x:c r="DJ295" s="4"/>
      <x:c r="DK295" s="4"/>
      <x:c r="DL295" s="4"/>
      <x:c r="DM295" s="4"/>
      <x:c r="DN295" s="4"/>
      <x:c r="DO295" s="4"/>
      <x:c r="DP295" s="4"/>
      <x:c r="DQ295" s="4"/>
      <x:c r="DR295" s="4"/>
      <x:c r="DS295" s="4"/>
      <x:c r="DT295" s="4"/>
      <x:c r="DU295" s="4"/>
      <x:c r="DV295" s="4"/>
      <x:c r="DW295" s="4"/>
      <x:c r="DX295" s="4"/>
      <x:c r="DY295" s="4"/>
      <x:c r="DZ295" s="4"/>
      <x:c r="EA295" s="4"/>
      <x:c r="EB295" s="4"/>
      <x:c r="EC295" s="4"/>
      <x:c r="ED295" s="4"/>
      <x:c r="EE295" s="4"/>
      <x:c r="EF295" s="4"/>
      <x:c r="EG295" s="4"/>
      <x:c r="EH295" s="4"/>
      <x:c r="EI295" s="4"/>
      <x:c r="EJ295" s="4"/>
      <x:c r="EK295" s="4"/>
      <x:c r="EL295" s="4"/>
      <x:c r="EM295" s="4"/>
      <x:c r="EN295" s="4"/>
      <x:c r="EO295" s="4"/>
      <x:c r="EP295" s="4"/>
      <x:c r="EQ295" s="4"/>
      <x:c r="ER295" s="4"/>
      <x:c r="ES295" s="4"/>
      <x:c r="ET295" s="4"/>
      <x:c r="EU295" s="4"/>
      <x:c r="EV295" s="4"/>
      <x:c r="EW295" s="4"/>
      <x:c r="EX295" s="4"/>
      <x:c r="EY295" s="4"/>
      <x:c r="EZ295" s="4"/>
      <x:c r="FA295" s="4"/>
      <x:c r="FB295" s="4"/>
      <x:c r="FC295" s="4"/>
      <x:c r="FD295" s="4"/>
      <x:c r="FE295" s="4"/>
      <x:c r="FF295" s="4"/>
      <x:c r="FG295" s="4"/>
      <x:c r="FH295" s="4"/>
      <x:c r="FI295" s="4"/>
      <x:c r="FJ295" s="4"/>
      <x:c r="FK295" s="4"/>
      <x:c r="FL295" s="4"/>
      <x:c r="FM295" s="4"/>
      <x:c r="FN295" s="4"/>
      <x:c r="FO295" s="4"/>
    </x:row>
    <x:row r="296">
      <x:c r="A296" s="72"/>
      <x:c r="B296" s="72"/>
      <x:c r="C296" s="72"/>
      <x:c r="D296" s="72"/>
      <x:c r="E296" s="72"/>
      <x:c r="F296" s="72"/>
      <x:c r="G296" s="72"/>
      <x:c r="H296" s="72"/>
      <x:c r="I296" s="72"/>
      <x:c r="J296" s="72"/>
      <x:c r="K296" s="72"/>
      <x:c r="L296" s="72"/>
      <x:c r="M296" s="72"/>
      <x:c r="N296" s="72"/>
      <x:c r="O296" s="72"/>
      <x:c r="P296" s="72"/>
      <x:c r="Q296" s="72"/>
      <x:c r="R296" s="72"/>
      <x:c r="S296" s="72"/>
      <x:c r="T296" s="72"/>
      <x:c r="U296" s="72"/>
      <x:c r="V296" s="72"/>
      <x:c r="W296" s="72"/>
      <x:c r="X296" s="72"/>
      <x:c r="Y296" s="72"/>
      <x:c r="Z296" s="72"/>
      <x:c r="AA296" s="72"/>
      <x:c r="AB296" s="72"/>
      <x:c r="AC296" s="72"/>
      <x:c r="AD296" s="72"/>
      <x:c r="AE296" s="72"/>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x:c r="BN296" s="4"/>
      <x:c r="BO296" s="4"/>
      <x:c r="BP296" s="4"/>
      <x:c r="BQ296" s="4"/>
      <x:c r="BR296" s="4"/>
      <x:c r="BS296" s="4"/>
      <x:c r="BT296" s="4"/>
      <x:c r="BU296" s="4"/>
      <x:c r="BV296" s="4"/>
      <x:c r="BW296" s="4"/>
      <x:c r="BX296" s="4"/>
      <x:c r="BY296" s="4"/>
      <x:c r="BZ296" s="4"/>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x:c r="DB296" s="4"/>
      <x:c r="DC296" s="4"/>
      <x:c r="DD296" s="4"/>
      <x:c r="DE296" s="4"/>
      <x:c r="DF296" s="4"/>
      <x:c r="DG296" s="4"/>
      <x:c r="DH296" s="4"/>
      <x:c r="DI296" s="4"/>
      <x:c r="DJ296" s="4"/>
      <x:c r="DK296" s="4"/>
      <x:c r="DL296" s="4"/>
      <x:c r="DM296" s="4"/>
      <x:c r="DN296" s="4"/>
      <x:c r="DO296" s="4"/>
      <x:c r="DP296" s="4"/>
      <x:c r="DQ296" s="4"/>
      <x:c r="DR296" s="4"/>
      <x:c r="DS296" s="4"/>
      <x:c r="DT296" s="4"/>
      <x:c r="DU296" s="4"/>
      <x:c r="DV296" s="4"/>
      <x:c r="DW296" s="4"/>
      <x:c r="DX296" s="4"/>
      <x:c r="DY296" s="4"/>
      <x:c r="DZ296" s="4"/>
      <x:c r="EA296" s="4"/>
      <x:c r="EB296" s="4"/>
      <x:c r="EC296" s="4"/>
      <x:c r="ED296" s="4"/>
      <x:c r="EE296" s="4"/>
      <x:c r="EF296" s="4"/>
      <x:c r="EG296" s="4"/>
      <x:c r="EH296" s="4"/>
      <x:c r="EI296" s="4"/>
      <x:c r="EJ296" s="4"/>
      <x:c r="EK296" s="4"/>
      <x:c r="EL296" s="4"/>
      <x:c r="EM296" s="4"/>
      <x:c r="EN296" s="4"/>
      <x:c r="EO296" s="4"/>
      <x:c r="EP296" s="4"/>
      <x:c r="EQ296" s="4"/>
      <x:c r="ER296" s="4"/>
      <x:c r="ES296" s="4"/>
      <x:c r="ET296" s="4"/>
      <x:c r="EU296" s="4"/>
      <x:c r="EV296" s="4"/>
      <x:c r="EW296" s="4"/>
      <x:c r="EX296" s="4"/>
      <x:c r="EY296" s="4"/>
      <x:c r="EZ296" s="4"/>
      <x:c r="FA296" s="4"/>
      <x:c r="FB296" s="4"/>
      <x:c r="FC296" s="4"/>
      <x:c r="FD296" s="4"/>
      <x:c r="FE296" s="4"/>
      <x:c r="FF296" s="4"/>
      <x:c r="FG296" s="4"/>
      <x:c r="FH296" s="4"/>
      <x:c r="FI296" s="4"/>
      <x:c r="FJ296" s="4"/>
      <x:c r="FK296" s="4"/>
      <x:c r="FL296" s="4"/>
      <x:c r="FM296" s="4"/>
      <x:c r="FN296" s="4"/>
      <x:c r="FO296" s="4"/>
    </x:row>
    <x:row r="297">
      <x:c r="A297" s="72"/>
      <x:c r="B297" s="72"/>
      <x:c r="C297" s="72"/>
      <x:c r="D297" s="72"/>
      <x:c r="E297" s="72"/>
      <x:c r="F297" s="72"/>
      <x:c r="G297" s="72"/>
      <x:c r="H297" s="72"/>
      <x:c r="I297" s="72"/>
      <x:c r="J297" s="72"/>
      <x:c r="K297" s="72"/>
      <x:c r="L297" s="72"/>
      <x:c r="M297" s="72"/>
      <x:c r="N297" s="72"/>
      <x:c r="O297" s="72"/>
      <x:c r="P297" s="72"/>
      <x:c r="Q297" s="72"/>
      <x:c r="R297" s="72"/>
      <x:c r="S297" s="72"/>
      <x:c r="T297" s="72"/>
      <x:c r="U297" s="72"/>
      <x:c r="V297" s="72"/>
      <x:c r="W297" s="72"/>
      <x:c r="X297" s="72"/>
      <x:c r="Y297" s="72"/>
      <x:c r="Z297" s="72"/>
      <x:c r="AA297" s="72"/>
      <x:c r="AB297" s="72"/>
      <x:c r="AC297" s="72"/>
      <x:c r="AD297" s="72"/>
      <x:c r="AE297" s="72"/>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x:c r="BN297" s="4"/>
      <x:c r="BO297" s="4"/>
      <x:c r="BP297" s="4"/>
      <x:c r="BQ297" s="4"/>
      <x:c r="BR297" s="4"/>
      <x:c r="BS297" s="4"/>
      <x:c r="BT297" s="4"/>
      <x:c r="BU297" s="4"/>
      <x:c r="BV297" s="4"/>
      <x:c r="BW297" s="4"/>
      <x:c r="BX297" s="4"/>
      <x:c r="BY297" s="4"/>
      <x:c r="BZ297" s="4"/>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x:c r="DB297" s="4"/>
      <x:c r="DC297" s="4"/>
      <x:c r="DD297" s="4"/>
      <x:c r="DE297" s="4"/>
      <x:c r="DF297" s="4"/>
      <x:c r="DG297" s="4"/>
      <x:c r="DH297" s="4"/>
      <x:c r="DI297" s="4"/>
      <x:c r="DJ297" s="4"/>
      <x:c r="DK297" s="4"/>
      <x:c r="DL297" s="4"/>
      <x:c r="DM297" s="4"/>
      <x:c r="DN297" s="4"/>
      <x:c r="DO297" s="4"/>
      <x:c r="DP297" s="4"/>
      <x:c r="DQ297" s="4"/>
      <x:c r="DR297" s="4"/>
      <x:c r="DS297" s="4"/>
      <x:c r="DT297" s="4"/>
      <x:c r="DU297" s="4"/>
      <x:c r="DV297" s="4"/>
      <x:c r="DW297" s="4"/>
      <x:c r="DX297" s="4"/>
      <x:c r="DY297" s="4"/>
      <x:c r="DZ297" s="4"/>
      <x:c r="EA297" s="4"/>
      <x:c r="EB297" s="4"/>
      <x:c r="EC297" s="4"/>
      <x:c r="ED297" s="4"/>
      <x:c r="EE297" s="4"/>
      <x:c r="EF297" s="4"/>
      <x:c r="EG297" s="4"/>
      <x:c r="EH297" s="4"/>
      <x:c r="EI297" s="4"/>
      <x:c r="EJ297" s="4"/>
      <x:c r="EK297" s="4"/>
      <x:c r="EL297" s="4"/>
      <x:c r="EM297" s="4"/>
      <x:c r="EN297" s="4"/>
      <x:c r="EO297" s="4"/>
      <x:c r="EP297" s="4"/>
      <x:c r="EQ297" s="4"/>
      <x:c r="ER297" s="4"/>
      <x:c r="ES297" s="4"/>
      <x:c r="ET297" s="4"/>
      <x:c r="EU297" s="4"/>
      <x:c r="EV297" s="4"/>
      <x:c r="EW297" s="4"/>
      <x:c r="EX297" s="4"/>
      <x:c r="EY297" s="4"/>
      <x:c r="EZ297" s="4"/>
      <x:c r="FA297" s="4"/>
      <x:c r="FB297" s="4"/>
      <x:c r="FC297" s="4"/>
      <x:c r="FD297" s="4"/>
      <x:c r="FE297" s="4"/>
      <x:c r="FF297" s="4"/>
      <x:c r="FG297" s="4"/>
      <x:c r="FH297" s="4"/>
      <x:c r="FI297" s="4"/>
      <x:c r="FJ297" s="4"/>
      <x:c r="FK297" s="4"/>
      <x:c r="FL297" s="4"/>
      <x:c r="FM297" s="4"/>
      <x:c r="FN297" s="4"/>
      <x:c r="FO297" s="4"/>
    </x:row>
    <x:row r="298">
      <x:c r="A298" s="72"/>
      <x:c r="B298" s="72"/>
      <x:c r="C298" s="72"/>
      <x:c r="D298" s="72"/>
      <x:c r="E298" s="72"/>
      <x:c r="F298" s="72"/>
      <x:c r="G298" s="72"/>
      <x:c r="H298" s="72"/>
      <x:c r="I298" s="72"/>
      <x:c r="J298" s="72"/>
      <x:c r="K298" s="72"/>
      <x:c r="L298" s="72"/>
      <x:c r="M298" s="72"/>
      <x:c r="N298" s="72"/>
      <x:c r="O298" s="72"/>
      <x:c r="P298" s="72"/>
      <x:c r="Q298" s="72"/>
      <x:c r="R298" s="72"/>
      <x:c r="S298" s="72"/>
      <x:c r="T298" s="72"/>
      <x:c r="U298" s="72"/>
      <x:c r="V298" s="72"/>
      <x:c r="W298" s="72"/>
      <x:c r="X298" s="72"/>
      <x:c r="Y298" s="72"/>
      <x:c r="Z298" s="72"/>
      <x:c r="AA298" s="72"/>
      <x:c r="AB298" s="72"/>
      <x:c r="AC298" s="72"/>
      <x:c r="AD298" s="72"/>
      <x:c r="AE298" s="72"/>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x:c r="BN298" s="4"/>
      <x:c r="BO298" s="4"/>
      <x:c r="BP298" s="4"/>
      <x:c r="BQ298" s="4"/>
      <x:c r="BR298" s="4"/>
      <x:c r="BS298" s="4"/>
      <x:c r="BT298" s="4"/>
      <x:c r="BU298" s="4"/>
      <x:c r="BV298" s="4"/>
      <x:c r="BW298" s="4"/>
      <x:c r="BX298" s="4"/>
      <x:c r="BY298" s="4"/>
      <x:c r="BZ298" s="4"/>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x:c r="DB298" s="4"/>
      <x:c r="DC298" s="4"/>
      <x:c r="DD298" s="4"/>
      <x:c r="DE298" s="4"/>
      <x:c r="DF298" s="4"/>
      <x:c r="DG298" s="4"/>
      <x:c r="DH298" s="4"/>
      <x:c r="DI298" s="4"/>
      <x:c r="DJ298" s="4"/>
      <x:c r="DK298" s="4"/>
      <x:c r="DL298" s="4"/>
      <x:c r="DM298" s="4"/>
      <x:c r="DN298" s="4"/>
      <x:c r="DO298" s="4"/>
      <x:c r="DP298" s="4"/>
      <x:c r="DQ298" s="4"/>
      <x:c r="DR298" s="4"/>
      <x:c r="DS298" s="4"/>
      <x:c r="DT298" s="4"/>
      <x:c r="DU298" s="4"/>
      <x:c r="DV298" s="4"/>
      <x:c r="DW298" s="4"/>
      <x:c r="DX298" s="4"/>
      <x:c r="DY298" s="4"/>
      <x:c r="DZ298" s="4"/>
      <x:c r="EA298" s="4"/>
      <x:c r="EB298" s="4"/>
      <x:c r="EC298" s="4"/>
      <x:c r="ED298" s="4"/>
      <x:c r="EE298" s="4"/>
      <x:c r="EF298" s="4"/>
      <x:c r="EG298" s="4"/>
      <x:c r="EH298" s="4"/>
      <x:c r="EI298" s="4"/>
      <x:c r="EJ298" s="4"/>
      <x:c r="EK298" s="4"/>
      <x:c r="EL298" s="4"/>
      <x:c r="EM298" s="4"/>
      <x:c r="EN298" s="4"/>
      <x:c r="EO298" s="4"/>
      <x:c r="EP298" s="4"/>
      <x:c r="EQ298" s="4"/>
      <x:c r="ER298" s="4"/>
      <x:c r="ES298" s="4"/>
      <x:c r="ET298" s="4"/>
      <x:c r="EU298" s="4"/>
      <x:c r="EV298" s="4"/>
      <x:c r="EW298" s="4"/>
      <x:c r="EX298" s="4"/>
      <x:c r="EY298" s="4"/>
      <x:c r="EZ298" s="4"/>
      <x:c r="FA298" s="4"/>
      <x:c r="FB298" s="4"/>
      <x:c r="FC298" s="4"/>
      <x:c r="FD298" s="4"/>
      <x:c r="FE298" s="4"/>
      <x:c r="FF298" s="4"/>
      <x:c r="FG298" s="4"/>
      <x:c r="FH298" s="4"/>
      <x:c r="FI298" s="4"/>
      <x:c r="FJ298" s="4"/>
      <x:c r="FK298" s="4"/>
      <x:c r="FL298" s="4"/>
      <x:c r="FM298" s="4"/>
      <x:c r="FN298" s="4"/>
      <x:c r="FO298" s="4"/>
    </x:row>
    <x:row r="299">
      <x:c r="A299" s="72"/>
      <x:c r="B299" s="72"/>
      <x:c r="C299" s="72"/>
      <x:c r="D299" s="72"/>
      <x:c r="E299" s="72"/>
      <x:c r="F299" s="72"/>
      <x:c r="G299" s="72"/>
      <x:c r="H299" s="72"/>
      <x:c r="I299" s="72"/>
      <x:c r="J299" s="72"/>
      <x:c r="K299" s="72"/>
      <x:c r="L299" s="72"/>
      <x:c r="M299" s="72"/>
      <x:c r="N299" s="72"/>
      <x:c r="O299" s="72"/>
      <x:c r="P299" s="72"/>
      <x:c r="Q299" s="72"/>
      <x:c r="R299" s="72"/>
      <x:c r="S299" s="72"/>
      <x:c r="T299" s="72"/>
      <x:c r="U299" s="72"/>
      <x:c r="V299" s="72"/>
      <x:c r="W299" s="72"/>
      <x:c r="X299" s="72"/>
      <x:c r="Y299" s="72"/>
      <x:c r="Z299" s="72"/>
      <x:c r="AA299" s="72"/>
      <x:c r="AB299" s="72"/>
      <x:c r="AC299" s="72"/>
      <x:c r="AD299" s="72"/>
      <x:c r="AE299" s="72"/>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x:c r="BN299" s="4"/>
      <x:c r="BO299" s="4"/>
      <x:c r="BP299" s="4"/>
      <x:c r="BQ299" s="4"/>
      <x:c r="BR299" s="4"/>
      <x:c r="BS299" s="4"/>
      <x:c r="BT299" s="4"/>
      <x:c r="BU299" s="4"/>
      <x:c r="BV299" s="4"/>
      <x:c r="BW299" s="4"/>
      <x:c r="BX299" s="4"/>
      <x:c r="BY299" s="4"/>
      <x:c r="BZ299" s="4"/>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x:c r="DB299" s="4"/>
      <x:c r="DC299" s="4"/>
      <x:c r="DD299" s="4"/>
      <x:c r="DE299" s="4"/>
      <x:c r="DF299" s="4"/>
      <x:c r="DG299" s="4"/>
      <x:c r="DH299" s="4"/>
      <x:c r="DI299" s="4"/>
      <x:c r="DJ299" s="4"/>
      <x:c r="DK299" s="4"/>
      <x:c r="DL299" s="4"/>
      <x:c r="DM299" s="4"/>
      <x:c r="DN299" s="4"/>
      <x:c r="DO299" s="4"/>
      <x:c r="DP299" s="4"/>
      <x:c r="DQ299" s="4"/>
      <x:c r="DR299" s="4"/>
      <x:c r="DS299" s="4"/>
      <x:c r="DT299" s="4"/>
      <x:c r="DU299" s="4"/>
      <x:c r="DV299" s="4"/>
      <x:c r="DW299" s="4"/>
      <x:c r="DX299" s="4"/>
      <x:c r="DY299" s="4"/>
      <x:c r="DZ299" s="4"/>
      <x:c r="EA299" s="4"/>
      <x:c r="EB299" s="4"/>
      <x:c r="EC299" s="4"/>
      <x:c r="ED299" s="4"/>
      <x:c r="EE299" s="4"/>
      <x:c r="EF299" s="4"/>
      <x:c r="EG299" s="4"/>
      <x:c r="EH299" s="4"/>
      <x:c r="EI299" s="4"/>
      <x:c r="EJ299" s="4"/>
      <x:c r="EK299" s="4"/>
      <x:c r="EL299" s="4"/>
      <x:c r="EM299" s="4"/>
      <x:c r="EN299" s="4"/>
      <x:c r="EO299" s="4"/>
      <x:c r="EP299" s="4"/>
      <x:c r="EQ299" s="4"/>
      <x:c r="ER299" s="4"/>
      <x:c r="ES299" s="4"/>
      <x:c r="ET299" s="4"/>
      <x:c r="EU299" s="4"/>
      <x:c r="EV299" s="4"/>
      <x:c r="EW299" s="4"/>
      <x:c r="EX299" s="4"/>
      <x:c r="EY299" s="4"/>
      <x:c r="EZ299" s="4"/>
      <x:c r="FA299" s="4"/>
      <x:c r="FB299" s="4"/>
      <x:c r="FC299" s="4"/>
      <x:c r="FD299" s="4"/>
      <x:c r="FE299" s="4"/>
      <x:c r="FF299" s="4"/>
      <x:c r="FG299" s="4"/>
      <x:c r="FH299" s="4"/>
      <x:c r="FI299" s="4"/>
      <x:c r="FJ299" s="4"/>
      <x:c r="FK299" s="4"/>
      <x:c r="FL299" s="4"/>
      <x:c r="FM299" s="4"/>
      <x:c r="FN299" s="4"/>
      <x:c r="FO299" s="4"/>
    </x:row>
    <x:row r="300">
      <x:c r="A300" s="72"/>
      <x:c r="B300" s="72"/>
      <x:c r="C300" s="72"/>
      <x:c r="D300" s="72"/>
      <x:c r="E300" s="72"/>
      <x:c r="F300" s="72"/>
      <x:c r="G300" s="72"/>
      <x:c r="H300" s="72"/>
      <x:c r="I300" s="72"/>
      <x:c r="J300" s="72"/>
      <x:c r="K300" s="72"/>
      <x:c r="L300" s="72"/>
      <x:c r="M300" s="72"/>
      <x:c r="N300" s="72"/>
      <x:c r="O300" s="72"/>
      <x:c r="P300" s="72"/>
      <x:c r="Q300" s="72"/>
      <x:c r="R300" s="72"/>
      <x:c r="S300" s="72"/>
      <x:c r="T300" s="72"/>
      <x:c r="U300" s="72"/>
      <x:c r="V300" s="72"/>
      <x:c r="W300" s="72"/>
      <x:c r="X300" s="72"/>
      <x:c r="Y300" s="72"/>
      <x:c r="Z300" s="72"/>
      <x:c r="AA300" s="72"/>
      <x:c r="AB300" s="72"/>
      <x:c r="AC300" s="72"/>
      <x:c r="AD300" s="72"/>
      <x:c r="AE300" s="72"/>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x:c r="BN300" s="4"/>
      <x:c r="BO300" s="4"/>
      <x:c r="BP300" s="4"/>
      <x:c r="BQ300" s="4"/>
      <x:c r="BR300" s="4"/>
      <x:c r="BS300" s="4"/>
      <x:c r="BT300" s="4"/>
      <x:c r="BU300" s="4"/>
      <x:c r="BV300" s="4"/>
      <x:c r="BW300" s="4"/>
      <x:c r="BX300" s="4"/>
      <x:c r="BY300" s="4"/>
      <x:c r="BZ300" s="4"/>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x:c r="DB300" s="4"/>
      <x:c r="DC300" s="4"/>
      <x:c r="DD300" s="4"/>
      <x:c r="DE300" s="4"/>
      <x:c r="DF300" s="4"/>
      <x:c r="DG300" s="4"/>
      <x:c r="DH300" s="4"/>
      <x:c r="DI300" s="4"/>
      <x:c r="DJ300" s="4"/>
      <x:c r="DK300" s="4"/>
      <x:c r="DL300" s="4"/>
      <x:c r="DM300" s="4"/>
      <x:c r="DN300" s="4"/>
      <x:c r="DO300" s="4"/>
      <x:c r="DP300" s="4"/>
      <x:c r="DQ300" s="4"/>
      <x:c r="DR300" s="4"/>
      <x:c r="DS300" s="4"/>
      <x:c r="DT300" s="4"/>
      <x:c r="DU300" s="4"/>
      <x:c r="DV300" s="4"/>
      <x:c r="DW300" s="4"/>
      <x:c r="DX300" s="4"/>
      <x:c r="DY300" s="4"/>
      <x:c r="DZ300" s="4"/>
      <x:c r="EA300" s="4"/>
      <x:c r="EB300" s="4"/>
      <x:c r="EC300" s="4"/>
      <x:c r="ED300" s="4"/>
      <x:c r="EE300" s="4"/>
      <x:c r="EF300" s="4"/>
      <x:c r="EG300" s="4"/>
      <x:c r="EH300" s="4"/>
      <x:c r="EI300" s="4"/>
      <x:c r="EJ300" s="4"/>
      <x:c r="EK300" s="4"/>
      <x:c r="EL300" s="4"/>
      <x:c r="EM300" s="4"/>
      <x:c r="EN300" s="4"/>
      <x:c r="EO300" s="4"/>
      <x:c r="EP300" s="4"/>
      <x:c r="EQ300" s="4"/>
      <x:c r="ER300" s="4"/>
      <x:c r="ES300" s="4"/>
      <x:c r="ET300" s="4"/>
      <x:c r="EU300" s="4"/>
      <x:c r="EV300" s="4"/>
      <x:c r="EW300" s="4"/>
      <x:c r="EX300" s="4"/>
      <x:c r="EY300" s="4"/>
      <x:c r="EZ300" s="4"/>
      <x:c r="FA300" s="4"/>
      <x:c r="FB300" s="4"/>
      <x:c r="FC300" s="4"/>
      <x:c r="FD300" s="4"/>
      <x:c r="FE300" s="4"/>
      <x:c r="FF300" s="4"/>
      <x:c r="FG300" s="4"/>
      <x:c r="FH300" s="4"/>
      <x:c r="FI300" s="4"/>
      <x:c r="FJ300" s="4"/>
      <x:c r="FK300" s="4"/>
      <x:c r="FL300" s="4"/>
      <x:c r="FM300" s="4"/>
      <x:c r="FN300" s="4"/>
      <x:c r="FO300" s="4"/>
    </x:row>
    <x:row r="301">
      <x:c r="A301" s="72"/>
      <x:c r="B301" s="72"/>
      <x:c r="C301" s="72"/>
      <x:c r="D301" s="72"/>
      <x:c r="E301" s="72"/>
      <x:c r="F301" s="72"/>
      <x:c r="G301" s="72"/>
      <x:c r="H301" s="72"/>
      <x:c r="I301" s="72"/>
      <x:c r="J301" s="72"/>
      <x:c r="K301" s="72"/>
      <x:c r="L301" s="72"/>
      <x:c r="M301" s="72"/>
      <x:c r="N301" s="72"/>
      <x:c r="O301" s="72"/>
      <x:c r="P301" s="72"/>
      <x:c r="Q301" s="72"/>
      <x:c r="R301" s="72"/>
      <x:c r="S301" s="72"/>
      <x:c r="T301" s="72"/>
      <x:c r="U301" s="72"/>
      <x:c r="V301" s="72"/>
      <x:c r="W301" s="72"/>
      <x:c r="X301" s="72"/>
      <x:c r="Y301" s="72"/>
      <x:c r="Z301" s="72"/>
      <x:c r="AA301" s="72"/>
      <x:c r="AB301" s="72"/>
      <x:c r="AC301" s="72"/>
      <x:c r="AD301" s="72"/>
      <x:c r="AE301" s="72"/>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x:c r="BN301" s="4"/>
      <x:c r="BO301" s="4"/>
      <x:c r="BP301" s="4"/>
      <x:c r="BQ301" s="4"/>
      <x:c r="BR301" s="4"/>
      <x:c r="BS301" s="4"/>
      <x:c r="BT301" s="4"/>
      <x:c r="BU301" s="4"/>
      <x:c r="BV301" s="4"/>
      <x:c r="BW301" s="4"/>
      <x:c r="BX301" s="4"/>
      <x:c r="BY301" s="4"/>
      <x:c r="BZ301" s="4"/>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x:c r="DB301" s="4"/>
      <x:c r="DC301" s="4"/>
      <x:c r="DD301" s="4"/>
      <x:c r="DE301" s="4"/>
      <x:c r="DF301" s="4"/>
      <x:c r="DG301" s="4"/>
      <x:c r="DH301" s="4"/>
      <x:c r="DI301" s="4"/>
      <x:c r="DJ301" s="4"/>
      <x:c r="DK301" s="4"/>
      <x:c r="DL301" s="4"/>
      <x:c r="DM301" s="4"/>
      <x:c r="DN301" s="4"/>
      <x:c r="DO301" s="4"/>
      <x:c r="DP301" s="4"/>
      <x:c r="DQ301" s="4"/>
      <x:c r="DR301" s="4"/>
      <x:c r="DS301" s="4"/>
      <x:c r="DT301" s="4"/>
      <x:c r="DU301" s="4"/>
      <x:c r="DV301" s="4"/>
      <x:c r="DW301" s="4"/>
      <x:c r="DX301" s="4"/>
      <x:c r="DY301" s="4"/>
      <x:c r="DZ301" s="4"/>
      <x:c r="EA301" s="4"/>
      <x:c r="EB301" s="4"/>
      <x:c r="EC301" s="4"/>
      <x:c r="ED301" s="4"/>
      <x:c r="EE301" s="4"/>
      <x:c r="EF301" s="4"/>
      <x:c r="EG301" s="4"/>
      <x:c r="EH301" s="4"/>
      <x:c r="EI301" s="4"/>
      <x:c r="EJ301" s="4"/>
      <x:c r="EK301" s="4"/>
      <x:c r="EL301" s="4"/>
      <x:c r="EM301" s="4"/>
      <x:c r="EN301" s="4"/>
      <x:c r="EO301" s="4"/>
      <x:c r="EP301" s="4"/>
      <x:c r="EQ301" s="4"/>
      <x:c r="ER301" s="4"/>
      <x:c r="ES301" s="4"/>
      <x:c r="ET301" s="4"/>
      <x:c r="EU301" s="4"/>
      <x:c r="EV301" s="4"/>
      <x:c r="EW301" s="4"/>
      <x:c r="EX301" s="4"/>
      <x:c r="EY301" s="4"/>
      <x:c r="EZ301" s="4"/>
      <x:c r="FA301" s="4"/>
      <x:c r="FB301" s="4"/>
      <x:c r="FC301" s="4"/>
      <x:c r="FD301" s="4"/>
      <x:c r="FE301" s="4"/>
      <x:c r="FF301" s="4"/>
      <x:c r="FG301" s="4"/>
      <x:c r="FH301" s="4"/>
      <x:c r="FI301" s="4"/>
      <x:c r="FJ301" s="4"/>
      <x:c r="FK301" s="4"/>
      <x:c r="FL301" s="4"/>
      <x:c r="FM301" s="4"/>
      <x:c r="FN301" s="4"/>
      <x:c r="FO301" s="4"/>
    </x:row>
    <x:row r="302">
      <x:c r="A302" s="72"/>
      <x:c r="B302" s="72"/>
      <x:c r="C302" s="72"/>
      <x:c r="D302" s="72"/>
      <x:c r="E302" s="72"/>
      <x:c r="F302" s="72"/>
      <x:c r="G302" s="72"/>
      <x:c r="H302" s="72"/>
      <x:c r="I302" s="72"/>
      <x:c r="J302" s="72"/>
      <x:c r="K302" s="72"/>
      <x:c r="L302" s="72"/>
      <x:c r="M302" s="72"/>
      <x:c r="N302" s="72"/>
      <x:c r="O302" s="72"/>
      <x:c r="P302" s="72"/>
      <x:c r="Q302" s="72"/>
      <x:c r="R302" s="72"/>
      <x:c r="S302" s="72"/>
      <x:c r="T302" s="72"/>
      <x:c r="U302" s="72"/>
      <x:c r="V302" s="72"/>
      <x:c r="W302" s="72"/>
      <x:c r="X302" s="72"/>
      <x:c r="Y302" s="72"/>
      <x:c r="Z302" s="72"/>
      <x:c r="AA302" s="72"/>
      <x:c r="AB302" s="72"/>
      <x:c r="AC302" s="72"/>
      <x:c r="AD302" s="72"/>
      <x:c r="AE302" s="72"/>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x:c r="BN302" s="4"/>
      <x:c r="BO302" s="4"/>
      <x:c r="BP302" s="4"/>
      <x:c r="BQ302" s="4"/>
      <x:c r="BR302" s="4"/>
      <x:c r="BS302" s="4"/>
      <x:c r="BT302" s="4"/>
      <x:c r="BU302" s="4"/>
      <x:c r="BV302" s="4"/>
      <x:c r="BW302" s="4"/>
      <x:c r="BX302" s="4"/>
      <x:c r="BY302" s="4"/>
      <x:c r="BZ302" s="4"/>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x:c r="DB302" s="4"/>
      <x:c r="DC302" s="4"/>
      <x:c r="DD302" s="4"/>
      <x:c r="DE302" s="4"/>
      <x:c r="DF302" s="4"/>
      <x:c r="DG302" s="4"/>
      <x:c r="DH302" s="4"/>
      <x:c r="DI302" s="4"/>
      <x:c r="DJ302" s="4"/>
      <x:c r="DK302" s="4"/>
      <x:c r="DL302" s="4"/>
      <x:c r="DM302" s="4"/>
      <x:c r="DN302" s="4"/>
      <x:c r="DO302" s="4"/>
      <x:c r="DP302" s="4"/>
      <x:c r="DQ302" s="4"/>
      <x:c r="DR302" s="4"/>
      <x:c r="DS302" s="4"/>
      <x:c r="DT302" s="4"/>
      <x:c r="DU302" s="4"/>
      <x:c r="DV302" s="4"/>
      <x:c r="DW302" s="4"/>
      <x:c r="DX302" s="4"/>
      <x:c r="DY302" s="4"/>
      <x:c r="DZ302" s="4"/>
      <x:c r="EA302" s="4"/>
      <x:c r="EB302" s="4"/>
      <x:c r="EC302" s="4"/>
      <x:c r="ED302" s="4"/>
      <x:c r="EE302" s="4"/>
      <x:c r="EF302" s="4"/>
      <x:c r="EG302" s="4"/>
      <x:c r="EH302" s="4"/>
      <x:c r="EI302" s="4"/>
      <x:c r="EJ302" s="4"/>
      <x:c r="EK302" s="4"/>
      <x:c r="EL302" s="4"/>
      <x:c r="EM302" s="4"/>
      <x:c r="EN302" s="4"/>
      <x:c r="EO302" s="4"/>
      <x:c r="EP302" s="4"/>
      <x:c r="EQ302" s="4"/>
      <x:c r="ER302" s="4"/>
      <x:c r="ES302" s="4"/>
      <x:c r="ET302" s="4"/>
      <x:c r="EU302" s="4"/>
      <x:c r="EV302" s="4"/>
      <x:c r="EW302" s="4"/>
      <x:c r="EX302" s="4"/>
      <x:c r="EY302" s="4"/>
      <x:c r="EZ302" s="4"/>
      <x:c r="FA302" s="4"/>
      <x:c r="FB302" s="4"/>
      <x:c r="FC302" s="4"/>
      <x:c r="FD302" s="4"/>
      <x:c r="FE302" s="4"/>
      <x:c r="FF302" s="4"/>
      <x:c r="FG302" s="4"/>
      <x:c r="FH302" s="4"/>
      <x:c r="FI302" s="4"/>
      <x:c r="FJ302" s="4"/>
      <x:c r="FK302" s="4"/>
      <x:c r="FL302" s="4"/>
      <x:c r="FM302" s="4"/>
      <x:c r="FN302" s="4"/>
      <x:c r="FO302" s="4"/>
    </x:row>
    <x:row r="303">
      <x:c r="A303" s="72"/>
      <x:c r="B303" s="72"/>
      <x:c r="C303" s="72"/>
      <x:c r="D303" s="72"/>
      <x:c r="E303" s="72"/>
      <x:c r="F303" s="72"/>
      <x:c r="G303" s="72"/>
      <x:c r="H303" s="72"/>
      <x:c r="I303" s="72"/>
      <x:c r="J303" s="72"/>
      <x:c r="K303" s="72"/>
      <x:c r="L303" s="72"/>
      <x:c r="M303" s="72"/>
      <x:c r="N303" s="72"/>
      <x:c r="O303" s="72"/>
      <x:c r="P303" s="72"/>
      <x:c r="Q303" s="72"/>
      <x:c r="R303" s="72"/>
      <x:c r="S303" s="72"/>
      <x:c r="T303" s="72"/>
      <x:c r="U303" s="72"/>
      <x:c r="V303" s="72"/>
      <x:c r="W303" s="72"/>
      <x:c r="X303" s="72"/>
      <x:c r="Y303" s="72"/>
      <x:c r="Z303" s="72"/>
      <x:c r="AA303" s="72"/>
      <x:c r="AB303" s="72"/>
      <x:c r="AC303" s="72"/>
      <x:c r="AD303" s="72"/>
      <x:c r="AE303" s="72"/>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x:c r="BN303" s="4"/>
      <x:c r="BO303" s="4"/>
      <x:c r="BP303" s="4"/>
      <x:c r="BQ303" s="4"/>
      <x:c r="BR303" s="4"/>
      <x:c r="BS303" s="4"/>
      <x:c r="BT303" s="4"/>
      <x:c r="BU303" s="4"/>
      <x:c r="BV303" s="4"/>
      <x:c r="BW303" s="4"/>
      <x:c r="BX303" s="4"/>
      <x:c r="BY303" s="4"/>
      <x:c r="BZ303" s="4"/>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x:c r="DB303" s="4"/>
      <x:c r="DC303" s="4"/>
      <x:c r="DD303" s="4"/>
      <x:c r="DE303" s="4"/>
      <x:c r="DF303" s="4"/>
      <x:c r="DG303" s="4"/>
      <x:c r="DH303" s="4"/>
      <x:c r="DI303" s="4"/>
      <x:c r="DJ303" s="4"/>
      <x:c r="DK303" s="4"/>
      <x:c r="DL303" s="4"/>
      <x:c r="DM303" s="4"/>
      <x:c r="DN303" s="4"/>
      <x:c r="DO303" s="4"/>
      <x:c r="DP303" s="4"/>
      <x:c r="DQ303" s="4"/>
      <x:c r="DR303" s="4"/>
      <x:c r="DS303" s="4"/>
      <x:c r="DT303" s="4"/>
      <x:c r="DU303" s="4"/>
      <x:c r="DV303" s="4"/>
      <x:c r="DW303" s="4"/>
      <x:c r="DX303" s="4"/>
      <x:c r="DY303" s="4"/>
      <x:c r="DZ303" s="4"/>
      <x:c r="EA303" s="4"/>
      <x:c r="EB303" s="4"/>
      <x:c r="EC303" s="4"/>
      <x:c r="ED303" s="4"/>
      <x:c r="EE303" s="4"/>
      <x:c r="EF303" s="4"/>
      <x:c r="EG303" s="4"/>
      <x:c r="EH303" s="4"/>
      <x:c r="EI303" s="4"/>
      <x:c r="EJ303" s="4"/>
      <x:c r="EK303" s="4"/>
      <x:c r="EL303" s="4"/>
      <x:c r="EM303" s="4"/>
      <x:c r="EN303" s="4"/>
      <x:c r="EO303" s="4"/>
      <x:c r="EP303" s="4"/>
      <x:c r="EQ303" s="4"/>
      <x:c r="ER303" s="4"/>
      <x:c r="ES303" s="4"/>
      <x:c r="ET303" s="4"/>
      <x:c r="EU303" s="4"/>
      <x:c r="EV303" s="4"/>
      <x:c r="EW303" s="4"/>
      <x:c r="EX303" s="4"/>
      <x:c r="EY303" s="4"/>
      <x:c r="EZ303" s="4"/>
      <x:c r="FA303" s="4"/>
      <x:c r="FB303" s="4"/>
      <x:c r="FC303" s="4"/>
      <x:c r="FD303" s="4"/>
      <x:c r="FE303" s="4"/>
      <x:c r="FF303" s="4"/>
      <x:c r="FG303" s="4"/>
      <x:c r="FH303" s="4"/>
      <x:c r="FI303" s="4"/>
      <x:c r="FJ303" s="4"/>
      <x:c r="FK303" s="4"/>
      <x:c r="FL303" s="4"/>
      <x:c r="FM303" s="4"/>
      <x:c r="FN303" s="4"/>
      <x:c r="FO303" s="4"/>
    </x:row>
    <x:row r="304">
      <x:c r="A304" s="72"/>
      <x:c r="B304" s="72"/>
      <x:c r="C304" s="72"/>
      <x:c r="D304" s="72"/>
      <x:c r="E304" s="72"/>
      <x:c r="F304" s="72"/>
      <x:c r="G304" s="72"/>
      <x:c r="H304" s="72"/>
      <x:c r="I304" s="72"/>
      <x:c r="J304" s="72"/>
      <x:c r="K304" s="72"/>
      <x:c r="L304" s="72"/>
      <x:c r="M304" s="72"/>
      <x:c r="N304" s="72"/>
      <x:c r="O304" s="72"/>
      <x:c r="P304" s="72"/>
      <x:c r="Q304" s="72"/>
      <x:c r="R304" s="72"/>
      <x:c r="S304" s="72"/>
      <x:c r="T304" s="72"/>
      <x:c r="U304" s="72"/>
      <x:c r="V304" s="72"/>
      <x:c r="W304" s="72"/>
      <x:c r="X304" s="72"/>
      <x:c r="Y304" s="72"/>
      <x:c r="Z304" s="72"/>
      <x:c r="AA304" s="72"/>
      <x:c r="AB304" s="72"/>
      <x:c r="AC304" s="72"/>
      <x:c r="AD304" s="72"/>
      <x:c r="AE304" s="72"/>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x:c r="BN304" s="4"/>
      <x:c r="BO304" s="4"/>
      <x:c r="BP304" s="4"/>
      <x:c r="BQ304" s="4"/>
      <x:c r="BR304" s="4"/>
      <x:c r="BS304" s="4"/>
      <x:c r="BT304" s="4"/>
      <x:c r="BU304" s="4"/>
      <x:c r="BV304" s="4"/>
      <x:c r="BW304" s="4"/>
      <x:c r="BX304" s="4"/>
      <x:c r="BY304" s="4"/>
      <x:c r="BZ304" s="4"/>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x:c r="DB304" s="4"/>
      <x:c r="DC304" s="4"/>
      <x:c r="DD304" s="4"/>
      <x:c r="DE304" s="4"/>
      <x:c r="DF304" s="4"/>
      <x:c r="DG304" s="4"/>
      <x:c r="DH304" s="4"/>
      <x:c r="DI304" s="4"/>
      <x:c r="DJ304" s="4"/>
      <x:c r="DK304" s="4"/>
      <x:c r="DL304" s="4"/>
      <x:c r="DM304" s="4"/>
      <x:c r="DN304" s="4"/>
      <x:c r="DO304" s="4"/>
      <x:c r="DP304" s="4"/>
      <x:c r="DQ304" s="4"/>
      <x:c r="DR304" s="4"/>
      <x:c r="DS304" s="4"/>
      <x:c r="DT304" s="4"/>
      <x:c r="DU304" s="4"/>
      <x:c r="DV304" s="4"/>
      <x:c r="DW304" s="4"/>
      <x:c r="DX304" s="4"/>
      <x:c r="DY304" s="4"/>
      <x:c r="DZ304" s="4"/>
      <x:c r="EA304" s="4"/>
      <x:c r="EB304" s="4"/>
      <x:c r="EC304" s="4"/>
      <x:c r="ED304" s="4"/>
      <x:c r="EE304" s="4"/>
      <x:c r="EF304" s="4"/>
      <x:c r="EG304" s="4"/>
      <x:c r="EH304" s="4"/>
      <x:c r="EI304" s="4"/>
      <x:c r="EJ304" s="4"/>
      <x:c r="EK304" s="4"/>
      <x:c r="EL304" s="4"/>
      <x:c r="EM304" s="4"/>
      <x:c r="EN304" s="4"/>
      <x:c r="EO304" s="4"/>
      <x:c r="EP304" s="4"/>
      <x:c r="EQ304" s="4"/>
      <x:c r="ER304" s="4"/>
      <x:c r="ES304" s="4"/>
      <x:c r="ET304" s="4"/>
      <x:c r="EU304" s="4"/>
      <x:c r="EV304" s="4"/>
      <x:c r="EW304" s="4"/>
      <x:c r="EX304" s="4"/>
      <x:c r="EY304" s="4"/>
      <x:c r="EZ304" s="4"/>
      <x:c r="FA304" s="4"/>
      <x:c r="FB304" s="4"/>
      <x:c r="FC304" s="4"/>
      <x:c r="FD304" s="4"/>
      <x:c r="FE304" s="4"/>
      <x:c r="FF304" s="4"/>
      <x:c r="FG304" s="4"/>
      <x:c r="FH304" s="4"/>
      <x:c r="FI304" s="4"/>
      <x:c r="FJ304" s="4"/>
      <x:c r="FK304" s="4"/>
      <x:c r="FL304" s="4"/>
      <x:c r="FM304" s="4"/>
      <x:c r="FN304" s="4"/>
      <x:c r="FO304" s="4"/>
    </x:row>
    <x:row r="305">
      <x:c r="A305" s="72"/>
      <x:c r="B305" s="72"/>
      <x:c r="C305" s="72"/>
      <x:c r="D305" s="72"/>
      <x:c r="E305" s="72"/>
      <x:c r="F305" s="72"/>
      <x:c r="G305" s="72"/>
      <x:c r="H305" s="72"/>
      <x:c r="I305" s="72"/>
      <x:c r="J305" s="72"/>
      <x:c r="K305" s="72"/>
      <x:c r="L305" s="72"/>
      <x:c r="M305" s="72"/>
      <x:c r="N305" s="72"/>
      <x:c r="O305" s="72"/>
      <x:c r="P305" s="72"/>
      <x:c r="Q305" s="72"/>
      <x:c r="R305" s="72"/>
      <x:c r="S305" s="72"/>
      <x:c r="T305" s="72"/>
      <x:c r="U305" s="72"/>
      <x:c r="V305" s="72"/>
      <x:c r="W305" s="72"/>
      <x:c r="X305" s="72"/>
      <x:c r="Y305" s="72"/>
      <x:c r="Z305" s="72"/>
      <x:c r="AA305" s="72"/>
      <x:c r="AB305" s="72"/>
      <x:c r="AC305" s="72"/>
      <x:c r="AD305" s="72"/>
      <x:c r="AE305" s="72"/>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x:c r="BN305" s="4"/>
      <x:c r="BO305" s="4"/>
      <x:c r="BP305" s="4"/>
      <x:c r="BQ305" s="4"/>
      <x:c r="BR305" s="4"/>
      <x:c r="BS305" s="4"/>
      <x:c r="BT305" s="4"/>
      <x:c r="BU305" s="4"/>
      <x:c r="BV305" s="4"/>
      <x:c r="BW305" s="4"/>
      <x:c r="BX305" s="4"/>
      <x:c r="BY305" s="4"/>
      <x:c r="BZ305" s="4"/>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x:c r="DB305" s="4"/>
      <x:c r="DC305" s="4"/>
      <x:c r="DD305" s="4"/>
      <x:c r="DE305" s="4"/>
      <x:c r="DF305" s="4"/>
      <x:c r="DG305" s="4"/>
      <x:c r="DH305" s="4"/>
      <x:c r="DI305" s="4"/>
      <x:c r="DJ305" s="4"/>
      <x:c r="DK305" s="4"/>
      <x:c r="DL305" s="4"/>
      <x:c r="DM305" s="4"/>
      <x:c r="DN305" s="4"/>
      <x:c r="DO305" s="4"/>
      <x:c r="DP305" s="4"/>
      <x:c r="DQ305" s="4"/>
      <x:c r="DR305" s="4"/>
      <x:c r="DS305" s="4"/>
      <x:c r="DT305" s="4"/>
      <x:c r="DU305" s="4"/>
      <x:c r="DV305" s="4"/>
      <x:c r="DW305" s="4"/>
      <x:c r="DX305" s="4"/>
      <x:c r="DY305" s="4"/>
      <x:c r="DZ305" s="4"/>
      <x:c r="EA305" s="4"/>
      <x:c r="EB305" s="4"/>
      <x:c r="EC305" s="4"/>
      <x:c r="ED305" s="4"/>
      <x:c r="EE305" s="4"/>
      <x:c r="EF305" s="4"/>
      <x:c r="EG305" s="4"/>
      <x:c r="EH305" s="4"/>
      <x:c r="EI305" s="4"/>
      <x:c r="EJ305" s="4"/>
      <x:c r="EK305" s="4"/>
      <x:c r="EL305" s="4"/>
      <x:c r="EM305" s="4"/>
      <x:c r="EN305" s="4"/>
      <x:c r="EO305" s="4"/>
      <x:c r="EP305" s="4"/>
      <x:c r="EQ305" s="4"/>
      <x:c r="ER305" s="4"/>
      <x:c r="ES305" s="4"/>
      <x:c r="ET305" s="4"/>
      <x:c r="EU305" s="4"/>
      <x:c r="EV305" s="4"/>
      <x:c r="EW305" s="4"/>
      <x:c r="EX305" s="4"/>
      <x:c r="EY305" s="4"/>
      <x:c r="EZ305" s="4"/>
      <x:c r="FA305" s="4"/>
      <x:c r="FB305" s="4"/>
      <x:c r="FC305" s="4"/>
      <x:c r="FD305" s="4"/>
      <x:c r="FE305" s="4"/>
      <x:c r="FF305" s="4"/>
      <x:c r="FG305" s="4"/>
      <x:c r="FH305" s="4"/>
      <x:c r="FI305" s="4"/>
      <x:c r="FJ305" s="4"/>
      <x:c r="FK305" s="4"/>
      <x:c r="FL305" s="4"/>
      <x:c r="FM305" s="4"/>
      <x:c r="FN305" s="4"/>
      <x:c r="FO305" s="4"/>
    </x:row>
    <x:row r="306">
      <x:c r="A306" s="72"/>
      <x:c r="B306" s="72"/>
      <x:c r="C306" s="72"/>
      <x:c r="D306" s="72"/>
      <x:c r="E306" s="72"/>
      <x:c r="F306" s="72"/>
      <x:c r="G306" s="72"/>
      <x:c r="H306" s="72"/>
      <x:c r="I306" s="72"/>
      <x:c r="J306" s="72"/>
      <x:c r="K306" s="72"/>
      <x:c r="L306" s="72"/>
      <x:c r="M306" s="72"/>
      <x:c r="N306" s="72"/>
      <x:c r="O306" s="72"/>
      <x:c r="P306" s="72"/>
      <x:c r="Q306" s="72"/>
      <x:c r="R306" s="72"/>
      <x:c r="S306" s="72"/>
      <x:c r="T306" s="72"/>
      <x:c r="U306" s="72"/>
      <x:c r="V306" s="72"/>
      <x:c r="W306" s="72"/>
      <x:c r="X306" s="72"/>
      <x:c r="Y306" s="72"/>
      <x:c r="Z306" s="72"/>
      <x:c r="AA306" s="72"/>
      <x:c r="AB306" s="72"/>
      <x:c r="AC306" s="72"/>
      <x:c r="AD306" s="72"/>
      <x:c r="AE306" s="72"/>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x:c r="BN306" s="4"/>
      <x:c r="BO306" s="4"/>
      <x:c r="BP306" s="4"/>
      <x:c r="BQ306" s="4"/>
      <x:c r="BR306" s="4"/>
      <x:c r="BS306" s="4"/>
      <x:c r="BT306" s="4"/>
      <x:c r="BU306" s="4"/>
      <x:c r="BV306" s="4"/>
      <x:c r="BW306" s="4"/>
      <x:c r="BX306" s="4"/>
      <x:c r="BY306" s="4"/>
      <x:c r="BZ306" s="4"/>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x:c r="DB306" s="4"/>
      <x:c r="DC306" s="4"/>
      <x:c r="DD306" s="4"/>
      <x:c r="DE306" s="4"/>
      <x:c r="DF306" s="4"/>
      <x:c r="DG306" s="4"/>
      <x:c r="DH306" s="4"/>
      <x:c r="DI306" s="4"/>
      <x:c r="DJ306" s="4"/>
      <x:c r="DK306" s="4"/>
      <x:c r="DL306" s="4"/>
      <x:c r="DM306" s="4"/>
      <x:c r="DN306" s="4"/>
      <x:c r="DO306" s="4"/>
      <x:c r="DP306" s="4"/>
      <x:c r="DQ306" s="4"/>
      <x:c r="DR306" s="4"/>
      <x:c r="DS306" s="4"/>
      <x:c r="DT306" s="4"/>
      <x:c r="DU306" s="4"/>
      <x:c r="DV306" s="4"/>
      <x:c r="DW306" s="4"/>
      <x:c r="DX306" s="4"/>
      <x:c r="DY306" s="4"/>
      <x:c r="DZ306" s="4"/>
      <x:c r="EA306" s="4"/>
      <x:c r="EB306" s="4"/>
      <x:c r="EC306" s="4"/>
      <x:c r="ED306" s="4"/>
      <x:c r="EE306" s="4"/>
      <x:c r="EF306" s="4"/>
      <x:c r="EG306" s="4"/>
      <x:c r="EH306" s="4"/>
      <x:c r="EI306" s="4"/>
      <x:c r="EJ306" s="4"/>
      <x:c r="EK306" s="4"/>
      <x:c r="EL306" s="4"/>
      <x:c r="EM306" s="4"/>
      <x:c r="EN306" s="4"/>
      <x:c r="EO306" s="4"/>
      <x:c r="EP306" s="4"/>
      <x:c r="EQ306" s="4"/>
      <x:c r="ER306" s="4"/>
      <x:c r="ES306" s="4"/>
      <x:c r="ET306" s="4"/>
      <x:c r="EU306" s="4"/>
      <x:c r="EV306" s="4"/>
      <x:c r="EW306" s="4"/>
      <x:c r="EX306" s="4"/>
      <x:c r="EY306" s="4"/>
      <x:c r="EZ306" s="4"/>
      <x:c r="FA306" s="4"/>
      <x:c r="FB306" s="4"/>
      <x:c r="FC306" s="4"/>
      <x:c r="FD306" s="4"/>
      <x:c r="FE306" s="4"/>
      <x:c r="FF306" s="4"/>
      <x:c r="FG306" s="4"/>
      <x:c r="FH306" s="4"/>
      <x:c r="FI306" s="4"/>
      <x:c r="FJ306" s="4"/>
      <x:c r="FK306" s="4"/>
      <x:c r="FL306" s="4"/>
      <x:c r="FM306" s="4"/>
      <x:c r="FN306" s="4"/>
      <x:c r="FO306" s="4"/>
    </x:row>
    <x:row r="307">
      <x:c r="A307" s="72"/>
      <x:c r="B307" s="72"/>
      <x:c r="C307" s="72"/>
      <x:c r="D307" s="72"/>
      <x:c r="E307" s="72"/>
      <x:c r="F307" s="72"/>
      <x:c r="G307" s="72"/>
      <x:c r="H307" s="72"/>
      <x:c r="I307" s="72"/>
      <x:c r="J307" s="72"/>
      <x:c r="K307" s="72"/>
      <x:c r="L307" s="72"/>
      <x:c r="M307" s="72"/>
      <x:c r="N307" s="72"/>
      <x:c r="O307" s="72"/>
      <x:c r="P307" s="72"/>
      <x:c r="Q307" s="72"/>
      <x:c r="R307" s="72"/>
      <x:c r="S307" s="72"/>
      <x:c r="T307" s="72"/>
      <x:c r="U307" s="72"/>
      <x:c r="V307" s="72"/>
      <x:c r="W307" s="72"/>
      <x:c r="X307" s="72"/>
      <x:c r="Y307" s="72"/>
      <x:c r="Z307" s="72"/>
      <x:c r="AA307" s="72"/>
      <x:c r="AB307" s="72"/>
      <x:c r="AC307" s="72"/>
      <x:c r="AD307" s="72"/>
      <x:c r="AE307" s="72"/>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x:c r="BN307" s="4"/>
      <x:c r="BO307" s="4"/>
      <x:c r="BP307" s="4"/>
      <x:c r="BQ307" s="4"/>
      <x:c r="BR307" s="4"/>
      <x:c r="BS307" s="4"/>
      <x:c r="BT307" s="4"/>
      <x:c r="BU307" s="4"/>
      <x:c r="BV307" s="4"/>
      <x:c r="BW307" s="4"/>
      <x:c r="BX307" s="4"/>
      <x:c r="BY307" s="4"/>
      <x:c r="BZ307" s="4"/>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x:c r="DB307" s="4"/>
      <x:c r="DC307" s="4"/>
      <x:c r="DD307" s="4"/>
      <x:c r="DE307" s="4"/>
      <x:c r="DF307" s="4"/>
      <x:c r="DG307" s="4"/>
      <x:c r="DH307" s="4"/>
      <x:c r="DI307" s="4"/>
      <x:c r="DJ307" s="4"/>
      <x:c r="DK307" s="4"/>
      <x:c r="DL307" s="4"/>
      <x:c r="DM307" s="4"/>
      <x:c r="DN307" s="4"/>
      <x:c r="DO307" s="4"/>
      <x:c r="DP307" s="4"/>
      <x:c r="DQ307" s="4"/>
      <x:c r="DR307" s="4"/>
      <x:c r="DS307" s="4"/>
      <x:c r="DT307" s="4"/>
      <x:c r="DU307" s="4"/>
      <x:c r="DV307" s="4"/>
      <x:c r="DW307" s="4"/>
      <x:c r="DX307" s="4"/>
      <x:c r="DY307" s="4"/>
      <x:c r="DZ307" s="4"/>
      <x:c r="EA307" s="4"/>
      <x:c r="EB307" s="4"/>
      <x:c r="EC307" s="4"/>
      <x:c r="ED307" s="4"/>
      <x:c r="EE307" s="4"/>
      <x:c r="EF307" s="4"/>
      <x:c r="EG307" s="4"/>
      <x:c r="EH307" s="4"/>
      <x:c r="EI307" s="4"/>
      <x:c r="EJ307" s="4"/>
      <x:c r="EK307" s="4"/>
      <x:c r="EL307" s="4"/>
      <x:c r="EM307" s="4"/>
      <x:c r="EN307" s="4"/>
      <x:c r="EO307" s="4"/>
      <x:c r="EP307" s="4"/>
      <x:c r="EQ307" s="4"/>
      <x:c r="ER307" s="4"/>
      <x:c r="ES307" s="4"/>
      <x:c r="ET307" s="4"/>
      <x:c r="EU307" s="4"/>
      <x:c r="EV307" s="4"/>
      <x:c r="EW307" s="4"/>
      <x:c r="EX307" s="4"/>
      <x:c r="EY307" s="4"/>
      <x:c r="EZ307" s="4"/>
      <x:c r="FA307" s="4"/>
      <x:c r="FB307" s="4"/>
      <x:c r="FC307" s="4"/>
      <x:c r="FD307" s="4"/>
      <x:c r="FE307" s="4"/>
      <x:c r="FF307" s="4"/>
      <x:c r="FG307" s="4"/>
      <x:c r="FH307" s="4"/>
      <x:c r="FI307" s="4"/>
      <x:c r="FJ307" s="4"/>
      <x:c r="FK307" s="4"/>
      <x:c r="FL307" s="4"/>
      <x:c r="FM307" s="4"/>
      <x:c r="FN307" s="4"/>
      <x:c r="FO307" s="4"/>
    </x:row>
    <x:row r="308">
      <x:c r="A308" s="72"/>
      <x:c r="B308" s="72"/>
      <x:c r="C308" s="72"/>
      <x:c r="D308" s="72"/>
      <x:c r="E308" s="72"/>
      <x:c r="F308" s="72"/>
      <x:c r="G308" s="72"/>
      <x:c r="H308" s="72"/>
      <x:c r="I308" s="72"/>
      <x:c r="J308" s="72"/>
      <x:c r="K308" s="72"/>
      <x:c r="L308" s="72"/>
      <x:c r="M308" s="72"/>
      <x:c r="N308" s="72"/>
      <x:c r="O308" s="72"/>
      <x:c r="P308" s="72"/>
      <x:c r="Q308" s="72"/>
      <x:c r="R308" s="72"/>
      <x:c r="S308" s="72"/>
      <x:c r="T308" s="72"/>
      <x:c r="U308" s="72"/>
      <x:c r="V308" s="72"/>
      <x:c r="W308" s="72"/>
      <x:c r="X308" s="72"/>
      <x:c r="Y308" s="72"/>
      <x:c r="Z308" s="72"/>
      <x:c r="AA308" s="72"/>
      <x:c r="AB308" s="72"/>
      <x:c r="AC308" s="72"/>
      <x:c r="AD308" s="72"/>
      <x:c r="AE308" s="72"/>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x:c r="BN308" s="4"/>
      <x:c r="BO308" s="4"/>
      <x:c r="BP308" s="4"/>
      <x:c r="BQ308" s="4"/>
      <x:c r="BR308" s="4"/>
      <x:c r="BS308" s="4"/>
      <x:c r="BT308" s="4"/>
      <x:c r="BU308" s="4"/>
      <x:c r="BV308" s="4"/>
      <x:c r="BW308" s="4"/>
      <x:c r="BX308" s="4"/>
      <x:c r="BY308" s="4"/>
      <x:c r="BZ308" s="4"/>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x:c r="DB308" s="4"/>
      <x:c r="DC308" s="4"/>
      <x:c r="DD308" s="4"/>
      <x:c r="DE308" s="4"/>
      <x:c r="DF308" s="4"/>
      <x:c r="DG308" s="4"/>
      <x:c r="DH308" s="4"/>
      <x:c r="DI308" s="4"/>
      <x:c r="DJ308" s="4"/>
      <x:c r="DK308" s="4"/>
      <x:c r="DL308" s="4"/>
      <x:c r="DM308" s="4"/>
      <x:c r="DN308" s="4"/>
      <x:c r="DO308" s="4"/>
      <x:c r="DP308" s="4"/>
      <x:c r="DQ308" s="4"/>
      <x:c r="DR308" s="4"/>
      <x:c r="DS308" s="4"/>
      <x:c r="DT308" s="4"/>
      <x:c r="DU308" s="4"/>
      <x:c r="DV308" s="4"/>
      <x:c r="DW308" s="4"/>
      <x:c r="DX308" s="4"/>
      <x:c r="DY308" s="4"/>
      <x:c r="DZ308" s="4"/>
      <x:c r="EA308" s="4"/>
      <x:c r="EB308" s="4"/>
      <x:c r="EC308" s="4"/>
      <x:c r="ED308" s="4"/>
      <x:c r="EE308" s="4"/>
      <x:c r="EF308" s="4"/>
      <x:c r="EG308" s="4"/>
      <x:c r="EH308" s="4"/>
      <x:c r="EI308" s="4"/>
      <x:c r="EJ308" s="4"/>
      <x:c r="EK308" s="4"/>
      <x:c r="EL308" s="4"/>
      <x:c r="EM308" s="4"/>
      <x:c r="EN308" s="4"/>
      <x:c r="EO308" s="4"/>
      <x:c r="EP308" s="4"/>
      <x:c r="EQ308" s="4"/>
      <x:c r="ER308" s="4"/>
      <x:c r="ES308" s="4"/>
      <x:c r="ET308" s="4"/>
      <x:c r="EU308" s="4"/>
      <x:c r="EV308" s="4"/>
      <x:c r="EW308" s="4"/>
      <x:c r="EX308" s="4"/>
      <x:c r="EY308" s="4"/>
      <x:c r="EZ308" s="4"/>
      <x:c r="FA308" s="4"/>
      <x:c r="FB308" s="4"/>
      <x:c r="FC308" s="4"/>
      <x:c r="FD308" s="4"/>
      <x:c r="FE308" s="4"/>
      <x:c r="FF308" s="4"/>
      <x:c r="FG308" s="4"/>
      <x:c r="FH308" s="4"/>
      <x:c r="FI308" s="4"/>
      <x:c r="FJ308" s="4"/>
      <x:c r="FK308" s="4"/>
      <x:c r="FL308" s="4"/>
      <x:c r="FM308" s="4"/>
      <x:c r="FN308" s="4"/>
      <x:c r="FO308" s="4"/>
    </x:row>
    <x:row r="309">
      <x:c r="A309" s="72"/>
      <x:c r="B309" s="72"/>
      <x:c r="C309" s="72"/>
      <x:c r="D309" s="72"/>
      <x:c r="E309" s="72"/>
      <x:c r="F309" s="72"/>
      <x:c r="G309" s="72"/>
      <x:c r="H309" s="72"/>
      <x:c r="I309" s="72"/>
      <x:c r="J309" s="72"/>
      <x:c r="K309" s="72"/>
      <x:c r="L309" s="72"/>
      <x:c r="M309" s="72"/>
      <x:c r="N309" s="72"/>
      <x:c r="O309" s="72"/>
      <x:c r="P309" s="72"/>
      <x:c r="Q309" s="72"/>
      <x:c r="R309" s="72"/>
      <x:c r="S309" s="72"/>
      <x:c r="T309" s="72"/>
      <x:c r="U309" s="72"/>
      <x:c r="V309" s="72"/>
      <x:c r="W309" s="72"/>
      <x:c r="X309" s="72"/>
      <x:c r="Y309" s="72"/>
      <x:c r="Z309" s="72"/>
      <x:c r="AA309" s="72"/>
      <x:c r="AB309" s="72"/>
      <x:c r="AC309" s="72"/>
      <x:c r="AD309" s="72"/>
      <x:c r="AE309" s="72"/>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x:c r="BN309" s="4"/>
      <x:c r="BO309" s="4"/>
      <x:c r="BP309" s="4"/>
      <x:c r="BQ309" s="4"/>
      <x:c r="BR309" s="4"/>
      <x:c r="BS309" s="4"/>
      <x:c r="BT309" s="4"/>
      <x:c r="BU309" s="4"/>
      <x:c r="BV309" s="4"/>
      <x:c r="BW309" s="4"/>
      <x:c r="BX309" s="4"/>
      <x:c r="BY309" s="4"/>
      <x:c r="BZ309" s="4"/>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x:c r="DB309" s="4"/>
      <x:c r="DC309" s="4"/>
      <x:c r="DD309" s="4"/>
      <x:c r="DE309" s="4"/>
      <x:c r="DF309" s="4"/>
      <x:c r="DG309" s="4"/>
      <x:c r="DH309" s="4"/>
      <x:c r="DI309" s="4"/>
      <x:c r="DJ309" s="4"/>
      <x:c r="DK309" s="4"/>
      <x:c r="DL309" s="4"/>
      <x:c r="DM309" s="4"/>
      <x:c r="DN309" s="4"/>
      <x:c r="DO309" s="4"/>
      <x:c r="DP309" s="4"/>
      <x:c r="DQ309" s="4"/>
      <x:c r="DR309" s="4"/>
      <x:c r="DS309" s="4"/>
      <x:c r="DT309" s="4"/>
      <x:c r="DU309" s="4"/>
      <x:c r="DV309" s="4"/>
      <x:c r="DW309" s="4"/>
      <x:c r="DX309" s="4"/>
      <x:c r="DY309" s="4"/>
      <x:c r="DZ309" s="4"/>
      <x:c r="EA309" s="4"/>
      <x:c r="EB309" s="4"/>
      <x:c r="EC309" s="4"/>
      <x:c r="ED309" s="4"/>
      <x:c r="EE309" s="4"/>
      <x:c r="EF309" s="4"/>
      <x:c r="EG309" s="4"/>
      <x:c r="EH309" s="4"/>
      <x:c r="EI309" s="4"/>
      <x:c r="EJ309" s="4"/>
      <x:c r="EK309" s="4"/>
      <x:c r="EL309" s="4"/>
      <x:c r="EM309" s="4"/>
      <x:c r="EN309" s="4"/>
      <x:c r="EO309" s="4"/>
      <x:c r="EP309" s="4"/>
      <x:c r="EQ309" s="4"/>
      <x:c r="ER309" s="4"/>
      <x:c r="ES309" s="4"/>
      <x:c r="ET309" s="4"/>
      <x:c r="EU309" s="4"/>
      <x:c r="EV309" s="4"/>
      <x:c r="EW309" s="4"/>
      <x:c r="EX309" s="4"/>
      <x:c r="EY309" s="4"/>
      <x:c r="EZ309" s="4"/>
      <x:c r="FA309" s="4"/>
      <x:c r="FB309" s="4"/>
      <x:c r="FC309" s="4"/>
      <x:c r="FD309" s="4"/>
      <x:c r="FE309" s="4"/>
      <x:c r="FF309" s="4"/>
      <x:c r="FG309" s="4"/>
      <x:c r="FH309" s="4"/>
      <x:c r="FI309" s="4"/>
      <x:c r="FJ309" s="4"/>
      <x:c r="FK309" s="4"/>
      <x:c r="FL309" s="4"/>
      <x:c r="FM309" s="4"/>
      <x:c r="FN309" s="4"/>
      <x:c r="FO309" s="4"/>
    </x:row>
    <x:row r="310">
      <x:c r="A310" s="72"/>
      <x:c r="B310" s="72"/>
      <x:c r="C310" s="72"/>
      <x:c r="D310" s="72"/>
      <x:c r="E310" s="72"/>
      <x:c r="F310" s="72"/>
      <x:c r="G310" s="72"/>
      <x:c r="H310" s="72"/>
      <x:c r="I310" s="72"/>
      <x:c r="J310" s="72"/>
      <x:c r="K310" s="72"/>
      <x:c r="L310" s="72"/>
      <x:c r="M310" s="72"/>
      <x:c r="N310" s="72"/>
      <x:c r="O310" s="72"/>
      <x:c r="P310" s="72"/>
      <x:c r="Q310" s="72"/>
      <x:c r="R310" s="72"/>
      <x:c r="S310" s="72"/>
      <x:c r="T310" s="72"/>
      <x:c r="U310" s="72"/>
      <x:c r="V310" s="72"/>
      <x:c r="W310" s="72"/>
      <x:c r="X310" s="72"/>
      <x:c r="Y310" s="72"/>
      <x:c r="Z310" s="72"/>
      <x:c r="AA310" s="72"/>
      <x:c r="AB310" s="72"/>
      <x:c r="AC310" s="72"/>
      <x:c r="AD310" s="72"/>
      <x:c r="AE310" s="72"/>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x:c r="BN310" s="4"/>
      <x:c r="BO310" s="4"/>
      <x:c r="BP310" s="4"/>
      <x:c r="BQ310" s="4"/>
      <x:c r="BR310" s="4"/>
      <x:c r="BS310" s="4"/>
      <x:c r="BT310" s="4"/>
      <x:c r="BU310" s="4"/>
      <x:c r="BV310" s="4"/>
      <x:c r="BW310" s="4"/>
      <x:c r="BX310" s="4"/>
      <x:c r="BY310" s="4"/>
      <x:c r="BZ310" s="4"/>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x:c r="DB310" s="4"/>
      <x:c r="DC310" s="4"/>
      <x:c r="DD310" s="4"/>
      <x:c r="DE310" s="4"/>
      <x:c r="DF310" s="4"/>
      <x:c r="DG310" s="4"/>
      <x:c r="DH310" s="4"/>
      <x:c r="DI310" s="4"/>
      <x:c r="DJ310" s="4"/>
      <x:c r="DK310" s="4"/>
      <x:c r="DL310" s="4"/>
      <x:c r="DM310" s="4"/>
      <x:c r="DN310" s="4"/>
      <x:c r="DO310" s="4"/>
      <x:c r="DP310" s="4"/>
      <x:c r="DQ310" s="4"/>
      <x:c r="DR310" s="4"/>
      <x:c r="DS310" s="4"/>
      <x:c r="DT310" s="4"/>
      <x:c r="DU310" s="4"/>
      <x:c r="DV310" s="4"/>
      <x:c r="DW310" s="4"/>
      <x:c r="DX310" s="4"/>
      <x:c r="DY310" s="4"/>
      <x:c r="DZ310" s="4"/>
      <x:c r="EA310" s="4"/>
      <x:c r="EB310" s="4"/>
      <x:c r="EC310" s="4"/>
      <x:c r="ED310" s="4"/>
      <x:c r="EE310" s="4"/>
      <x:c r="EF310" s="4"/>
      <x:c r="EG310" s="4"/>
      <x:c r="EH310" s="4"/>
      <x:c r="EI310" s="4"/>
      <x:c r="EJ310" s="4"/>
      <x:c r="EK310" s="4"/>
      <x:c r="EL310" s="4"/>
      <x:c r="EM310" s="4"/>
      <x:c r="EN310" s="4"/>
      <x:c r="EO310" s="4"/>
      <x:c r="EP310" s="4"/>
      <x:c r="EQ310" s="4"/>
      <x:c r="ER310" s="4"/>
      <x:c r="ES310" s="4"/>
      <x:c r="ET310" s="4"/>
      <x:c r="EU310" s="4"/>
      <x:c r="EV310" s="4"/>
      <x:c r="EW310" s="4"/>
      <x:c r="EX310" s="4"/>
      <x:c r="EY310" s="4"/>
      <x:c r="EZ310" s="4"/>
      <x:c r="FA310" s="4"/>
      <x:c r="FB310" s="4"/>
      <x:c r="FC310" s="4"/>
      <x:c r="FD310" s="4"/>
      <x:c r="FE310" s="4"/>
      <x:c r="FF310" s="4"/>
      <x:c r="FG310" s="4"/>
      <x:c r="FH310" s="4"/>
      <x:c r="FI310" s="4"/>
      <x:c r="FJ310" s="4"/>
      <x:c r="FK310" s="4"/>
      <x:c r="FL310" s="4"/>
      <x:c r="FM310" s="4"/>
      <x:c r="FN310" s="4"/>
      <x:c r="FO310" s="4"/>
    </x:row>
    <x:row r="311">
      <x:c r="A311" s="72"/>
      <x:c r="B311" s="72"/>
      <x:c r="C311" s="72"/>
      <x:c r="D311" s="72"/>
      <x:c r="E311" s="72"/>
      <x:c r="F311" s="72"/>
      <x:c r="G311" s="72"/>
      <x:c r="H311" s="72"/>
      <x:c r="I311" s="72"/>
      <x:c r="J311" s="72"/>
      <x:c r="K311" s="72"/>
      <x:c r="L311" s="72"/>
      <x:c r="M311" s="72"/>
      <x:c r="N311" s="72"/>
      <x:c r="O311" s="72"/>
      <x:c r="P311" s="72"/>
      <x:c r="Q311" s="72"/>
      <x:c r="R311" s="72"/>
      <x:c r="S311" s="72"/>
      <x:c r="T311" s="72"/>
      <x:c r="U311" s="72"/>
      <x:c r="V311" s="72"/>
      <x:c r="W311" s="72"/>
      <x:c r="X311" s="72"/>
      <x:c r="Y311" s="72"/>
      <x:c r="Z311" s="72"/>
      <x:c r="AA311" s="72"/>
      <x:c r="AB311" s="72"/>
      <x:c r="AC311" s="72"/>
      <x:c r="AD311" s="72"/>
      <x:c r="AE311" s="72"/>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x:c r="BN311" s="4"/>
      <x:c r="BO311" s="4"/>
      <x:c r="BP311" s="4"/>
      <x:c r="BQ311" s="4"/>
      <x:c r="BR311" s="4"/>
      <x:c r="BS311" s="4"/>
      <x:c r="BT311" s="4"/>
      <x:c r="BU311" s="4"/>
      <x:c r="BV311" s="4"/>
      <x:c r="BW311" s="4"/>
      <x:c r="BX311" s="4"/>
      <x:c r="BY311" s="4"/>
      <x:c r="BZ311" s="4"/>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x:c r="DB311" s="4"/>
      <x:c r="DC311" s="4"/>
      <x:c r="DD311" s="4"/>
      <x:c r="DE311" s="4"/>
      <x:c r="DF311" s="4"/>
      <x:c r="DG311" s="4"/>
      <x:c r="DH311" s="4"/>
      <x:c r="DI311" s="4"/>
      <x:c r="DJ311" s="4"/>
      <x:c r="DK311" s="4"/>
      <x:c r="DL311" s="4"/>
      <x:c r="DM311" s="4"/>
      <x:c r="DN311" s="4"/>
      <x:c r="DO311" s="4"/>
      <x:c r="DP311" s="4"/>
      <x:c r="DQ311" s="4"/>
      <x:c r="DR311" s="4"/>
      <x:c r="DS311" s="4"/>
      <x:c r="DT311" s="4"/>
      <x:c r="DU311" s="4"/>
      <x:c r="DV311" s="4"/>
      <x:c r="DW311" s="4"/>
      <x:c r="DX311" s="4"/>
      <x:c r="DY311" s="4"/>
      <x:c r="DZ311" s="4"/>
      <x:c r="EA311" s="4"/>
      <x:c r="EB311" s="4"/>
      <x:c r="EC311" s="4"/>
      <x:c r="ED311" s="4"/>
      <x:c r="EE311" s="4"/>
      <x:c r="EF311" s="4"/>
      <x:c r="EG311" s="4"/>
      <x:c r="EH311" s="4"/>
      <x:c r="EI311" s="4"/>
      <x:c r="EJ311" s="4"/>
      <x:c r="EK311" s="4"/>
      <x:c r="EL311" s="4"/>
      <x:c r="EM311" s="4"/>
      <x:c r="EN311" s="4"/>
      <x:c r="EO311" s="4"/>
      <x:c r="EP311" s="4"/>
      <x:c r="EQ311" s="4"/>
      <x:c r="ER311" s="4"/>
      <x:c r="ES311" s="4"/>
      <x:c r="ET311" s="4"/>
      <x:c r="EU311" s="4"/>
      <x:c r="EV311" s="4"/>
      <x:c r="EW311" s="4"/>
      <x:c r="EX311" s="4"/>
      <x:c r="EY311" s="4"/>
      <x:c r="EZ311" s="4"/>
      <x:c r="FA311" s="4"/>
      <x:c r="FB311" s="4"/>
      <x:c r="FC311" s="4"/>
      <x:c r="FD311" s="4"/>
      <x:c r="FE311" s="4"/>
      <x:c r="FF311" s="4"/>
      <x:c r="FG311" s="4"/>
      <x:c r="FH311" s="4"/>
      <x:c r="FI311" s="4"/>
      <x:c r="FJ311" s="4"/>
      <x:c r="FK311" s="4"/>
      <x:c r="FL311" s="4"/>
      <x:c r="FM311" s="4"/>
      <x:c r="FN311" s="4"/>
      <x:c r="FO311" s="4"/>
    </x:row>
    <x:row r="312">
      <x:c r="A312" s="72"/>
      <x:c r="B312" s="72"/>
      <x:c r="C312" s="72"/>
      <x:c r="D312" s="72"/>
      <x:c r="E312" s="72"/>
      <x:c r="F312" s="72"/>
      <x:c r="G312" s="72"/>
      <x:c r="H312" s="72"/>
      <x:c r="I312" s="72"/>
      <x:c r="J312" s="72"/>
      <x:c r="K312" s="72"/>
      <x:c r="L312" s="72"/>
      <x:c r="M312" s="72"/>
      <x:c r="N312" s="72"/>
      <x:c r="O312" s="72"/>
      <x:c r="P312" s="72"/>
      <x:c r="Q312" s="72"/>
      <x:c r="R312" s="72"/>
      <x:c r="S312" s="72"/>
      <x:c r="T312" s="72"/>
      <x:c r="U312" s="72"/>
      <x:c r="V312" s="72"/>
      <x:c r="W312" s="72"/>
      <x:c r="X312" s="72"/>
      <x:c r="Y312" s="72"/>
      <x:c r="Z312" s="72"/>
      <x:c r="AA312" s="72"/>
      <x:c r="AB312" s="72"/>
      <x:c r="AC312" s="72"/>
      <x:c r="AD312" s="72"/>
      <x:c r="AE312" s="72"/>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x:c r="BN312" s="4"/>
      <x:c r="BO312" s="4"/>
      <x:c r="BP312" s="4"/>
      <x:c r="BQ312" s="4"/>
      <x:c r="BR312" s="4"/>
      <x:c r="BS312" s="4"/>
      <x:c r="BT312" s="4"/>
      <x:c r="BU312" s="4"/>
      <x:c r="BV312" s="4"/>
      <x:c r="BW312" s="4"/>
      <x:c r="BX312" s="4"/>
      <x:c r="BY312" s="4"/>
      <x:c r="BZ312" s="4"/>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x:c r="DB312" s="4"/>
      <x:c r="DC312" s="4"/>
      <x:c r="DD312" s="4"/>
      <x:c r="DE312" s="4"/>
      <x:c r="DF312" s="4"/>
      <x:c r="DG312" s="4"/>
      <x:c r="DH312" s="4"/>
      <x:c r="DI312" s="4"/>
      <x:c r="DJ312" s="4"/>
      <x:c r="DK312" s="4"/>
      <x:c r="DL312" s="4"/>
      <x:c r="DM312" s="4"/>
      <x:c r="DN312" s="4"/>
      <x:c r="DO312" s="4"/>
      <x:c r="DP312" s="4"/>
      <x:c r="DQ312" s="4"/>
      <x:c r="DR312" s="4"/>
      <x:c r="DS312" s="4"/>
      <x:c r="DT312" s="4"/>
      <x:c r="DU312" s="4"/>
      <x:c r="DV312" s="4"/>
      <x:c r="DW312" s="4"/>
      <x:c r="DX312" s="4"/>
      <x:c r="DY312" s="4"/>
      <x:c r="DZ312" s="4"/>
      <x:c r="EA312" s="4"/>
      <x:c r="EB312" s="4"/>
      <x:c r="EC312" s="4"/>
      <x:c r="ED312" s="4"/>
      <x:c r="EE312" s="4"/>
      <x:c r="EF312" s="4"/>
      <x:c r="EG312" s="4"/>
      <x:c r="EH312" s="4"/>
      <x:c r="EI312" s="4"/>
      <x:c r="EJ312" s="4"/>
      <x:c r="EK312" s="4"/>
      <x:c r="EL312" s="4"/>
      <x:c r="EM312" s="4"/>
      <x:c r="EN312" s="4"/>
      <x:c r="EO312" s="4"/>
      <x:c r="EP312" s="4"/>
      <x:c r="EQ312" s="4"/>
      <x:c r="ER312" s="4"/>
      <x:c r="ES312" s="4"/>
      <x:c r="ET312" s="4"/>
      <x:c r="EU312" s="4"/>
      <x:c r="EV312" s="4"/>
      <x:c r="EW312" s="4"/>
      <x:c r="EX312" s="4"/>
      <x:c r="EY312" s="4"/>
      <x:c r="EZ312" s="4"/>
      <x:c r="FA312" s="4"/>
      <x:c r="FB312" s="4"/>
      <x:c r="FC312" s="4"/>
      <x:c r="FD312" s="4"/>
      <x:c r="FE312" s="4"/>
      <x:c r="FF312" s="4"/>
      <x:c r="FG312" s="4"/>
      <x:c r="FH312" s="4"/>
      <x:c r="FI312" s="4"/>
      <x:c r="FJ312" s="4"/>
      <x:c r="FK312" s="4"/>
      <x:c r="FL312" s="4"/>
      <x:c r="FM312" s="4"/>
      <x:c r="FN312" s="4"/>
      <x:c r="FO312" s="4"/>
    </x:row>
    <x:row r="313">
      <x:c r="A313" s="72"/>
      <x:c r="B313" s="72"/>
      <x:c r="C313" s="72"/>
      <x:c r="D313" s="72"/>
      <x:c r="E313" s="72"/>
      <x:c r="F313" s="72"/>
      <x:c r="G313" s="72"/>
      <x:c r="H313" s="72"/>
      <x:c r="I313" s="72"/>
      <x:c r="J313" s="72"/>
      <x:c r="K313" s="72"/>
      <x:c r="L313" s="72"/>
      <x:c r="M313" s="72"/>
      <x:c r="N313" s="72"/>
      <x:c r="O313" s="72"/>
      <x:c r="P313" s="72"/>
      <x:c r="Q313" s="72"/>
      <x:c r="R313" s="72"/>
      <x:c r="S313" s="72"/>
      <x:c r="T313" s="72"/>
      <x:c r="U313" s="72"/>
      <x:c r="V313" s="72"/>
      <x:c r="W313" s="72"/>
      <x:c r="X313" s="72"/>
      <x:c r="Y313" s="72"/>
      <x:c r="Z313" s="72"/>
      <x:c r="AA313" s="72"/>
      <x:c r="AB313" s="72"/>
      <x:c r="AC313" s="72"/>
      <x:c r="AD313" s="72"/>
      <x:c r="AE313" s="72"/>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x:c r="BN313" s="4"/>
      <x:c r="BO313" s="4"/>
      <x:c r="BP313" s="4"/>
      <x:c r="BQ313" s="4"/>
      <x:c r="BR313" s="4"/>
      <x:c r="BS313" s="4"/>
      <x:c r="BT313" s="4"/>
      <x:c r="BU313" s="4"/>
      <x:c r="BV313" s="4"/>
      <x:c r="BW313" s="4"/>
      <x:c r="BX313" s="4"/>
      <x:c r="BY313" s="4"/>
      <x:c r="BZ313" s="4"/>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x:c r="DB313" s="4"/>
      <x:c r="DC313" s="4"/>
      <x:c r="DD313" s="4"/>
      <x:c r="DE313" s="4"/>
      <x:c r="DF313" s="4"/>
      <x:c r="DG313" s="4"/>
      <x:c r="DH313" s="4"/>
      <x:c r="DI313" s="4"/>
      <x:c r="DJ313" s="4"/>
      <x:c r="DK313" s="4"/>
      <x:c r="DL313" s="4"/>
      <x:c r="DM313" s="4"/>
      <x:c r="DN313" s="4"/>
      <x:c r="DO313" s="4"/>
      <x:c r="DP313" s="4"/>
      <x:c r="DQ313" s="4"/>
      <x:c r="DR313" s="4"/>
      <x:c r="DS313" s="4"/>
      <x:c r="DT313" s="4"/>
      <x:c r="DU313" s="4"/>
      <x:c r="DV313" s="4"/>
      <x:c r="DW313" s="4"/>
      <x:c r="DX313" s="4"/>
      <x:c r="DY313" s="4"/>
      <x:c r="DZ313" s="4"/>
      <x:c r="EA313" s="4"/>
      <x:c r="EB313" s="4"/>
      <x:c r="EC313" s="4"/>
      <x:c r="ED313" s="4"/>
      <x:c r="EE313" s="4"/>
      <x:c r="EF313" s="4"/>
      <x:c r="EG313" s="4"/>
      <x:c r="EH313" s="4"/>
      <x:c r="EI313" s="4"/>
      <x:c r="EJ313" s="4"/>
      <x:c r="EK313" s="4"/>
      <x:c r="EL313" s="4"/>
      <x:c r="EM313" s="4"/>
      <x:c r="EN313" s="4"/>
      <x:c r="EO313" s="4"/>
      <x:c r="EP313" s="4"/>
      <x:c r="EQ313" s="4"/>
      <x:c r="ER313" s="4"/>
      <x:c r="ES313" s="4"/>
      <x:c r="ET313" s="4"/>
      <x:c r="EU313" s="4"/>
      <x:c r="EV313" s="4"/>
      <x:c r="EW313" s="4"/>
      <x:c r="EX313" s="4"/>
      <x:c r="EY313" s="4"/>
      <x:c r="EZ313" s="4"/>
      <x:c r="FA313" s="4"/>
      <x:c r="FB313" s="4"/>
      <x:c r="FC313" s="4"/>
      <x:c r="FD313" s="4"/>
      <x:c r="FE313" s="4"/>
      <x:c r="FF313" s="4"/>
      <x:c r="FG313" s="4"/>
      <x:c r="FH313" s="4"/>
      <x:c r="FI313" s="4"/>
      <x:c r="FJ313" s="4"/>
      <x:c r="FK313" s="4"/>
      <x:c r="FL313" s="4"/>
      <x:c r="FM313" s="4"/>
      <x:c r="FN313" s="4"/>
      <x:c r="FO313" s="4"/>
    </x:row>
    <x:row r="314">
      <x:c r="A314" s="72"/>
      <x:c r="B314" s="72"/>
      <x:c r="C314" s="72"/>
      <x:c r="D314" s="72"/>
      <x:c r="E314" s="72"/>
      <x:c r="F314" s="72"/>
      <x:c r="G314" s="72"/>
      <x:c r="H314" s="72"/>
      <x:c r="I314" s="72"/>
      <x:c r="J314" s="72"/>
      <x:c r="K314" s="72"/>
      <x:c r="L314" s="72"/>
      <x:c r="M314" s="72"/>
      <x:c r="N314" s="72"/>
      <x:c r="O314" s="72"/>
      <x:c r="P314" s="72"/>
      <x:c r="Q314" s="72"/>
      <x:c r="R314" s="72"/>
      <x:c r="S314" s="72"/>
      <x:c r="T314" s="72"/>
      <x:c r="U314" s="72"/>
      <x:c r="V314" s="72"/>
      <x:c r="W314" s="72"/>
      <x:c r="X314" s="72"/>
      <x:c r="Y314" s="72"/>
      <x:c r="Z314" s="72"/>
      <x:c r="AA314" s="72"/>
      <x:c r="AB314" s="72"/>
      <x:c r="AC314" s="72"/>
      <x:c r="AD314" s="72"/>
      <x:c r="AE314" s="72"/>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x:c r="BN314" s="4"/>
      <x:c r="BO314" s="4"/>
      <x:c r="BP314" s="4"/>
      <x:c r="BQ314" s="4"/>
      <x:c r="BR314" s="4"/>
      <x:c r="BS314" s="4"/>
      <x:c r="BT314" s="4"/>
      <x:c r="BU314" s="4"/>
      <x:c r="BV314" s="4"/>
      <x:c r="BW314" s="4"/>
      <x:c r="BX314" s="4"/>
      <x:c r="BY314" s="4"/>
      <x:c r="BZ314" s="4"/>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x:c r="DB314" s="4"/>
      <x:c r="DC314" s="4"/>
      <x:c r="DD314" s="4"/>
      <x:c r="DE314" s="4"/>
      <x:c r="DF314" s="4"/>
      <x:c r="DG314" s="4"/>
      <x:c r="DH314" s="4"/>
      <x:c r="DI314" s="4"/>
      <x:c r="DJ314" s="4"/>
      <x:c r="DK314" s="4"/>
      <x:c r="DL314" s="4"/>
      <x:c r="DM314" s="4"/>
      <x:c r="DN314" s="4"/>
      <x:c r="DO314" s="4"/>
      <x:c r="DP314" s="4"/>
      <x:c r="DQ314" s="4"/>
      <x:c r="DR314" s="4"/>
      <x:c r="DS314" s="4"/>
      <x:c r="DT314" s="4"/>
      <x:c r="DU314" s="4"/>
      <x:c r="DV314" s="4"/>
      <x:c r="DW314" s="4"/>
      <x:c r="DX314" s="4"/>
      <x:c r="DY314" s="4"/>
      <x:c r="DZ314" s="4"/>
      <x:c r="EA314" s="4"/>
      <x:c r="EB314" s="4"/>
      <x:c r="EC314" s="4"/>
      <x:c r="ED314" s="4"/>
      <x:c r="EE314" s="4"/>
      <x:c r="EF314" s="4"/>
      <x:c r="EG314" s="4"/>
      <x:c r="EH314" s="4"/>
      <x:c r="EI314" s="4"/>
      <x:c r="EJ314" s="4"/>
      <x:c r="EK314" s="4"/>
      <x:c r="EL314" s="4"/>
      <x:c r="EM314" s="4"/>
      <x:c r="EN314" s="4"/>
      <x:c r="EO314" s="4"/>
      <x:c r="EP314" s="4"/>
      <x:c r="EQ314" s="4"/>
      <x:c r="ER314" s="4"/>
      <x:c r="ES314" s="4"/>
      <x:c r="ET314" s="4"/>
      <x:c r="EU314" s="4"/>
      <x:c r="EV314" s="4"/>
      <x:c r="EW314" s="4"/>
      <x:c r="EX314" s="4"/>
      <x:c r="EY314" s="4"/>
      <x:c r="EZ314" s="4"/>
      <x:c r="FA314" s="4"/>
      <x:c r="FB314" s="4"/>
      <x:c r="FC314" s="4"/>
      <x:c r="FD314" s="4"/>
      <x:c r="FE314" s="4"/>
      <x:c r="FF314" s="4"/>
      <x:c r="FG314" s="4"/>
      <x:c r="FH314" s="4"/>
      <x:c r="FI314" s="4"/>
      <x:c r="FJ314" s="4"/>
      <x:c r="FK314" s="4"/>
      <x:c r="FL314" s="4"/>
      <x:c r="FM314" s="4"/>
      <x:c r="FN314" s="4"/>
      <x:c r="FO314" s="4"/>
    </x:row>
    <x:row r="315">
      <x:c r="A315" s="72"/>
      <x:c r="B315" s="72"/>
      <x:c r="C315" s="72"/>
      <x:c r="D315" s="72"/>
      <x:c r="E315" s="72"/>
      <x:c r="F315" s="72"/>
      <x:c r="G315" s="72"/>
      <x:c r="H315" s="72"/>
      <x:c r="I315" s="72"/>
      <x:c r="J315" s="72"/>
      <x:c r="K315" s="72"/>
      <x:c r="L315" s="72"/>
      <x:c r="M315" s="72"/>
      <x:c r="N315" s="72"/>
      <x:c r="O315" s="72"/>
      <x:c r="P315" s="72"/>
      <x:c r="Q315" s="72"/>
      <x:c r="R315" s="72"/>
      <x:c r="S315" s="72"/>
      <x:c r="T315" s="72"/>
      <x:c r="U315" s="72"/>
      <x:c r="V315" s="72"/>
      <x:c r="W315" s="72"/>
      <x:c r="X315" s="72"/>
      <x:c r="Y315" s="72"/>
      <x:c r="Z315" s="72"/>
      <x:c r="AA315" s="72"/>
      <x:c r="AB315" s="72"/>
      <x:c r="AC315" s="72"/>
      <x:c r="AD315" s="72"/>
      <x:c r="AE315" s="72"/>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x:c r="BN315" s="4"/>
      <x:c r="BO315" s="4"/>
      <x:c r="BP315" s="4"/>
      <x:c r="BQ315" s="4"/>
      <x:c r="BR315" s="4"/>
      <x:c r="BS315" s="4"/>
      <x:c r="BT315" s="4"/>
      <x:c r="BU315" s="4"/>
      <x:c r="BV315" s="4"/>
      <x:c r="BW315" s="4"/>
      <x:c r="BX315" s="4"/>
      <x:c r="BY315" s="4"/>
      <x:c r="BZ315" s="4"/>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x:c r="DB315" s="4"/>
      <x:c r="DC315" s="4"/>
      <x:c r="DD315" s="4"/>
      <x:c r="DE315" s="4"/>
      <x:c r="DF315" s="4"/>
      <x:c r="DG315" s="4"/>
      <x:c r="DH315" s="4"/>
      <x:c r="DI315" s="4"/>
      <x:c r="DJ315" s="4"/>
      <x:c r="DK315" s="4"/>
      <x:c r="DL315" s="4"/>
      <x:c r="DM315" s="4"/>
      <x:c r="DN315" s="4"/>
      <x:c r="DO315" s="4"/>
      <x:c r="DP315" s="4"/>
      <x:c r="DQ315" s="4"/>
      <x:c r="DR315" s="4"/>
      <x:c r="DS315" s="4"/>
      <x:c r="DT315" s="4"/>
      <x:c r="DU315" s="4"/>
      <x:c r="DV315" s="4"/>
      <x:c r="DW315" s="4"/>
      <x:c r="DX315" s="4"/>
      <x:c r="DY315" s="4"/>
      <x:c r="DZ315" s="4"/>
      <x:c r="EA315" s="4"/>
      <x:c r="EB315" s="4"/>
      <x:c r="EC315" s="4"/>
      <x:c r="ED315" s="4"/>
      <x:c r="EE315" s="4"/>
      <x:c r="EF315" s="4"/>
      <x:c r="EG315" s="4"/>
      <x:c r="EH315" s="4"/>
      <x:c r="EI315" s="4"/>
      <x:c r="EJ315" s="4"/>
      <x:c r="EK315" s="4"/>
      <x:c r="EL315" s="4"/>
      <x:c r="EM315" s="4"/>
      <x:c r="EN315" s="4"/>
      <x:c r="EO315" s="4"/>
      <x:c r="EP315" s="4"/>
      <x:c r="EQ315" s="4"/>
      <x:c r="ER315" s="4"/>
      <x:c r="ES315" s="4"/>
      <x:c r="ET315" s="4"/>
      <x:c r="EU315" s="4"/>
      <x:c r="EV315" s="4"/>
      <x:c r="EW315" s="4"/>
      <x:c r="EX315" s="4"/>
      <x:c r="EY315" s="4"/>
      <x:c r="EZ315" s="4"/>
      <x:c r="FA315" s="4"/>
      <x:c r="FB315" s="4"/>
      <x:c r="FC315" s="4"/>
      <x:c r="FD315" s="4"/>
      <x:c r="FE315" s="4"/>
      <x:c r="FF315" s="4"/>
      <x:c r="FG315" s="4"/>
      <x:c r="FH315" s="4"/>
      <x:c r="FI315" s="4"/>
      <x:c r="FJ315" s="4"/>
      <x:c r="FK315" s="4"/>
      <x:c r="FL315" s="4"/>
      <x:c r="FM315" s="4"/>
      <x:c r="FN315" s="4"/>
      <x:c r="FO315" s="4"/>
    </x:row>
    <x:row r="316">
      <x:c r="A316" s="72"/>
      <x:c r="B316" s="72"/>
      <x:c r="C316" s="72"/>
      <x:c r="D316" s="72"/>
      <x:c r="E316" s="72"/>
      <x:c r="F316" s="72"/>
      <x:c r="G316" s="72"/>
      <x:c r="H316" s="72"/>
      <x:c r="I316" s="72"/>
      <x:c r="J316" s="72"/>
      <x:c r="K316" s="72"/>
      <x:c r="L316" s="72"/>
      <x:c r="M316" s="72"/>
      <x:c r="N316" s="72"/>
      <x:c r="O316" s="72"/>
      <x:c r="P316" s="72"/>
      <x:c r="Q316" s="72"/>
      <x:c r="R316" s="72"/>
      <x:c r="S316" s="72"/>
      <x:c r="T316" s="72"/>
      <x:c r="U316" s="72"/>
      <x:c r="V316" s="72"/>
      <x:c r="W316" s="72"/>
      <x:c r="X316" s="72"/>
      <x:c r="Y316" s="72"/>
      <x:c r="Z316" s="72"/>
      <x:c r="AA316" s="72"/>
      <x:c r="AB316" s="72"/>
      <x:c r="AC316" s="72"/>
      <x:c r="AD316" s="72"/>
      <x:c r="AE316" s="72"/>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x:c r="BN316" s="4"/>
      <x:c r="BO316" s="4"/>
      <x:c r="BP316" s="4"/>
      <x:c r="BQ316" s="4"/>
      <x:c r="BR316" s="4"/>
      <x:c r="BS316" s="4"/>
      <x:c r="BT316" s="4"/>
      <x:c r="BU316" s="4"/>
      <x:c r="BV316" s="4"/>
      <x:c r="BW316" s="4"/>
      <x:c r="BX316" s="4"/>
      <x:c r="BY316" s="4"/>
      <x:c r="BZ316" s="4"/>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x:c r="DB316" s="4"/>
      <x:c r="DC316" s="4"/>
      <x:c r="DD316" s="4"/>
      <x:c r="DE316" s="4"/>
      <x:c r="DF316" s="4"/>
      <x:c r="DG316" s="4"/>
      <x:c r="DH316" s="4"/>
      <x:c r="DI316" s="4"/>
      <x:c r="DJ316" s="4"/>
      <x:c r="DK316" s="4"/>
      <x:c r="DL316" s="4"/>
      <x:c r="DM316" s="4"/>
      <x:c r="DN316" s="4"/>
      <x:c r="DO316" s="4"/>
      <x:c r="DP316" s="4"/>
      <x:c r="DQ316" s="4"/>
      <x:c r="DR316" s="4"/>
      <x:c r="DS316" s="4"/>
      <x:c r="DT316" s="4"/>
      <x:c r="DU316" s="4"/>
      <x:c r="DV316" s="4"/>
      <x:c r="DW316" s="4"/>
      <x:c r="DX316" s="4"/>
      <x:c r="DY316" s="4"/>
      <x:c r="DZ316" s="4"/>
      <x:c r="EA316" s="4"/>
      <x:c r="EB316" s="4"/>
      <x:c r="EC316" s="4"/>
      <x:c r="ED316" s="4"/>
      <x:c r="EE316" s="4"/>
      <x:c r="EF316" s="4"/>
      <x:c r="EG316" s="4"/>
      <x:c r="EH316" s="4"/>
      <x:c r="EI316" s="4"/>
      <x:c r="EJ316" s="4"/>
      <x:c r="EK316" s="4"/>
      <x:c r="EL316" s="4"/>
      <x:c r="EM316" s="4"/>
      <x:c r="EN316" s="4"/>
      <x:c r="EO316" s="4"/>
      <x:c r="EP316" s="4"/>
      <x:c r="EQ316" s="4"/>
      <x:c r="ER316" s="4"/>
      <x:c r="ES316" s="4"/>
      <x:c r="ET316" s="4"/>
      <x:c r="EU316" s="4"/>
      <x:c r="EV316" s="4"/>
      <x:c r="EW316" s="4"/>
      <x:c r="EX316" s="4"/>
      <x:c r="EY316" s="4"/>
      <x:c r="EZ316" s="4"/>
      <x:c r="FA316" s="4"/>
      <x:c r="FB316" s="4"/>
      <x:c r="FC316" s="4"/>
      <x:c r="FD316" s="4"/>
      <x:c r="FE316" s="4"/>
      <x:c r="FF316" s="4"/>
      <x:c r="FG316" s="4"/>
      <x:c r="FH316" s="4"/>
      <x:c r="FI316" s="4"/>
      <x:c r="FJ316" s="4"/>
      <x:c r="FK316" s="4"/>
      <x:c r="FL316" s="4"/>
      <x:c r="FM316" s="4"/>
      <x:c r="FN316" s="4"/>
      <x:c r="FO316" s="4"/>
    </x:row>
    <x:row r="317">
      <x:c r="A317" s="72"/>
      <x:c r="B317" s="72"/>
      <x:c r="C317" s="72"/>
      <x:c r="D317" s="72"/>
      <x:c r="E317" s="72"/>
      <x:c r="F317" s="72"/>
      <x:c r="G317" s="72"/>
      <x:c r="H317" s="72"/>
      <x:c r="I317" s="72"/>
      <x:c r="J317" s="72"/>
      <x:c r="K317" s="72"/>
      <x:c r="L317" s="72"/>
      <x:c r="M317" s="72"/>
      <x:c r="N317" s="72"/>
      <x:c r="O317" s="72"/>
      <x:c r="P317" s="72"/>
      <x:c r="Q317" s="72"/>
      <x:c r="R317" s="72"/>
      <x:c r="S317" s="72"/>
      <x:c r="T317" s="72"/>
      <x:c r="U317" s="72"/>
      <x:c r="V317" s="72"/>
      <x:c r="W317" s="72"/>
      <x:c r="X317" s="72"/>
      <x:c r="Y317" s="72"/>
      <x:c r="Z317" s="72"/>
      <x:c r="AA317" s="72"/>
      <x:c r="AB317" s="72"/>
      <x:c r="AC317" s="72"/>
      <x:c r="AD317" s="72"/>
      <x:c r="AE317" s="72"/>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x:c r="BN317" s="4"/>
      <x:c r="BO317" s="4"/>
      <x:c r="BP317" s="4"/>
      <x:c r="BQ317" s="4"/>
      <x:c r="BR317" s="4"/>
      <x:c r="BS317" s="4"/>
      <x:c r="BT317" s="4"/>
      <x:c r="BU317" s="4"/>
      <x:c r="BV317" s="4"/>
      <x:c r="BW317" s="4"/>
      <x:c r="BX317" s="4"/>
      <x:c r="BY317" s="4"/>
      <x:c r="BZ317" s="4"/>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x:c r="DB317" s="4"/>
      <x:c r="DC317" s="4"/>
      <x:c r="DD317" s="4"/>
      <x:c r="DE317" s="4"/>
      <x:c r="DF317" s="4"/>
      <x:c r="DG317" s="4"/>
      <x:c r="DH317" s="4"/>
      <x:c r="DI317" s="4"/>
      <x:c r="DJ317" s="4"/>
      <x:c r="DK317" s="4"/>
      <x:c r="DL317" s="4"/>
      <x:c r="DM317" s="4"/>
      <x:c r="DN317" s="4"/>
      <x:c r="DO317" s="4"/>
      <x:c r="DP317" s="4"/>
      <x:c r="DQ317" s="4"/>
      <x:c r="DR317" s="4"/>
      <x:c r="DS317" s="4"/>
      <x:c r="DT317" s="4"/>
      <x:c r="DU317" s="4"/>
      <x:c r="DV317" s="4"/>
      <x:c r="DW317" s="4"/>
      <x:c r="DX317" s="4"/>
      <x:c r="DY317" s="4"/>
      <x:c r="DZ317" s="4"/>
      <x:c r="EA317" s="4"/>
      <x:c r="EB317" s="4"/>
      <x:c r="EC317" s="4"/>
      <x:c r="ED317" s="4"/>
      <x:c r="EE317" s="4"/>
      <x:c r="EF317" s="4"/>
      <x:c r="EG317" s="4"/>
      <x:c r="EH317" s="4"/>
      <x:c r="EI317" s="4"/>
      <x:c r="EJ317" s="4"/>
      <x:c r="EK317" s="4"/>
      <x:c r="EL317" s="4"/>
      <x:c r="EM317" s="4"/>
      <x:c r="EN317" s="4"/>
      <x:c r="EO317" s="4"/>
      <x:c r="EP317" s="4"/>
      <x:c r="EQ317" s="4"/>
      <x:c r="ER317" s="4"/>
      <x:c r="ES317" s="4"/>
      <x:c r="ET317" s="4"/>
      <x:c r="EU317" s="4"/>
      <x:c r="EV317" s="4"/>
      <x:c r="EW317" s="4"/>
      <x:c r="EX317" s="4"/>
      <x:c r="EY317" s="4"/>
      <x:c r="EZ317" s="4"/>
      <x:c r="FA317" s="4"/>
      <x:c r="FB317" s="4"/>
      <x:c r="FC317" s="4"/>
      <x:c r="FD317" s="4"/>
      <x:c r="FE317" s="4"/>
      <x:c r="FF317" s="4"/>
      <x:c r="FG317" s="4"/>
      <x:c r="FH317" s="4"/>
      <x:c r="FI317" s="4"/>
      <x:c r="FJ317" s="4"/>
      <x:c r="FK317" s="4"/>
      <x:c r="FL317" s="4"/>
      <x:c r="FM317" s="4"/>
      <x:c r="FN317" s="4"/>
      <x:c r="FO317" s="4"/>
    </x:row>
    <x:row r="318">
      <x:c r="A318" s="72"/>
      <x:c r="B318" s="72"/>
      <x:c r="C318" s="72"/>
      <x:c r="D318" s="72"/>
      <x:c r="E318" s="72"/>
      <x:c r="F318" s="72"/>
      <x:c r="G318" s="72"/>
      <x:c r="H318" s="72"/>
      <x:c r="I318" s="72"/>
      <x:c r="J318" s="72"/>
      <x:c r="K318" s="72"/>
      <x:c r="L318" s="72"/>
      <x:c r="M318" s="72"/>
      <x:c r="N318" s="72"/>
      <x:c r="O318" s="72"/>
      <x:c r="P318" s="72"/>
      <x:c r="Q318" s="72"/>
      <x:c r="R318" s="72"/>
      <x:c r="S318" s="72"/>
      <x:c r="T318" s="72"/>
      <x:c r="U318" s="72"/>
      <x:c r="V318" s="72"/>
      <x:c r="W318" s="72"/>
      <x:c r="X318" s="72"/>
      <x:c r="Y318" s="72"/>
      <x:c r="Z318" s="72"/>
      <x:c r="AA318" s="72"/>
      <x:c r="AB318" s="72"/>
      <x:c r="AC318" s="72"/>
      <x:c r="AD318" s="72"/>
      <x:c r="AE318" s="72"/>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x:c r="BN318" s="4"/>
      <x:c r="BO318" s="4"/>
      <x:c r="BP318" s="4"/>
      <x:c r="BQ318" s="4"/>
      <x:c r="BR318" s="4"/>
      <x:c r="BS318" s="4"/>
      <x:c r="BT318" s="4"/>
      <x:c r="BU318" s="4"/>
      <x:c r="BV318" s="4"/>
      <x:c r="BW318" s="4"/>
      <x:c r="BX318" s="4"/>
      <x:c r="BY318" s="4"/>
      <x:c r="BZ318" s="4"/>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x:c r="DB318" s="4"/>
      <x:c r="DC318" s="4"/>
      <x:c r="DD318" s="4"/>
      <x:c r="DE318" s="4"/>
      <x:c r="DF318" s="4"/>
      <x:c r="DG318" s="4"/>
      <x:c r="DH318" s="4"/>
      <x:c r="DI318" s="4"/>
      <x:c r="DJ318" s="4"/>
      <x:c r="DK318" s="4"/>
      <x:c r="DL318" s="4"/>
      <x:c r="DM318" s="4"/>
      <x:c r="DN318" s="4"/>
      <x:c r="DO318" s="4"/>
      <x:c r="DP318" s="4"/>
      <x:c r="DQ318" s="4"/>
      <x:c r="DR318" s="4"/>
      <x:c r="DS318" s="4"/>
      <x:c r="DT318" s="4"/>
      <x:c r="DU318" s="4"/>
      <x:c r="DV318" s="4"/>
      <x:c r="DW318" s="4"/>
      <x:c r="DX318" s="4"/>
      <x:c r="DY318" s="4"/>
      <x:c r="DZ318" s="4"/>
      <x:c r="EA318" s="4"/>
      <x:c r="EB318" s="4"/>
      <x:c r="EC318" s="4"/>
      <x:c r="ED318" s="4"/>
      <x:c r="EE318" s="4"/>
      <x:c r="EF318" s="4"/>
      <x:c r="EG318" s="4"/>
      <x:c r="EH318" s="4"/>
      <x:c r="EI318" s="4"/>
      <x:c r="EJ318" s="4"/>
      <x:c r="EK318" s="4"/>
      <x:c r="EL318" s="4"/>
      <x:c r="EM318" s="4"/>
      <x:c r="EN318" s="4"/>
      <x:c r="EO318" s="4"/>
      <x:c r="EP318" s="4"/>
      <x:c r="EQ318" s="4"/>
      <x:c r="ER318" s="4"/>
      <x:c r="ES318" s="4"/>
      <x:c r="ET318" s="4"/>
      <x:c r="EU318" s="4"/>
      <x:c r="EV318" s="4"/>
      <x:c r="EW318" s="4"/>
      <x:c r="EX318" s="4"/>
      <x:c r="EY318" s="4"/>
      <x:c r="EZ318" s="4"/>
      <x:c r="FA318" s="4"/>
      <x:c r="FB318" s="4"/>
      <x:c r="FC318" s="4"/>
      <x:c r="FD318" s="4"/>
      <x:c r="FE318" s="4"/>
      <x:c r="FF318" s="4"/>
      <x:c r="FG318" s="4"/>
      <x:c r="FH318" s="4"/>
      <x:c r="FI318" s="4"/>
      <x:c r="FJ318" s="4"/>
      <x:c r="FK318" s="4"/>
      <x:c r="FL318" s="4"/>
      <x:c r="FM318" s="4"/>
      <x:c r="FN318" s="4"/>
      <x:c r="FO318" s="4"/>
    </x:row>
    <x:row r="319">
      <x:c r="A319" s="72"/>
      <x:c r="B319" s="72"/>
      <x:c r="C319" s="72"/>
      <x:c r="D319" s="72"/>
      <x:c r="E319" s="72"/>
      <x:c r="F319" s="72"/>
      <x:c r="G319" s="72"/>
      <x:c r="H319" s="72"/>
      <x:c r="I319" s="72"/>
      <x:c r="J319" s="72"/>
      <x:c r="K319" s="72"/>
      <x:c r="L319" s="72"/>
      <x:c r="M319" s="72"/>
      <x:c r="N319" s="72"/>
      <x:c r="O319" s="72"/>
      <x:c r="P319" s="72"/>
      <x:c r="Q319" s="72"/>
      <x:c r="R319" s="72"/>
      <x:c r="S319" s="72"/>
      <x:c r="T319" s="72"/>
      <x:c r="U319" s="72"/>
      <x:c r="V319" s="72"/>
      <x:c r="W319" s="72"/>
      <x:c r="X319" s="72"/>
      <x:c r="Y319" s="72"/>
      <x:c r="Z319" s="72"/>
      <x:c r="AA319" s="72"/>
      <x:c r="AB319" s="72"/>
      <x:c r="AC319" s="72"/>
      <x:c r="AD319" s="72"/>
      <x:c r="AE319" s="72"/>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x:c r="BN319" s="4"/>
      <x:c r="BO319" s="4"/>
      <x:c r="BP319" s="4"/>
      <x:c r="BQ319" s="4"/>
      <x:c r="BR319" s="4"/>
      <x:c r="BS319" s="4"/>
      <x:c r="BT319" s="4"/>
      <x:c r="BU319" s="4"/>
      <x:c r="BV319" s="4"/>
      <x:c r="BW319" s="4"/>
      <x:c r="BX319" s="4"/>
      <x:c r="BY319" s="4"/>
      <x:c r="BZ319" s="4"/>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x:c r="DB319" s="4"/>
      <x:c r="DC319" s="4"/>
      <x:c r="DD319" s="4"/>
      <x:c r="DE319" s="4"/>
      <x:c r="DF319" s="4"/>
      <x:c r="DG319" s="4"/>
      <x:c r="DH319" s="4"/>
      <x:c r="DI319" s="4"/>
      <x:c r="DJ319" s="4"/>
      <x:c r="DK319" s="4"/>
      <x:c r="DL319" s="4"/>
      <x:c r="DM319" s="4"/>
      <x:c r="DN319" s="4"/>
      <x:c r="DO319" s="4"/>
      <x:c r="DP319" s="4"/>
      <x:c r="DQ319" s="4"/>
      <x:c r="DR319" s="4"/>
      <x:c r="DS319" s="4"/>
      <x:c r="DT319" s="4"/>
      <x:c r="DU319" s="4"/>
      <x:c r="DV319" s="4"/>
      <x:c r="DW319" s="4"/>
      <x:c r="DX319" s="4"/>
      <x:c r="DY319" s="4"/>
      <x:c r="DZ319" s="4"/>
      <x:c r="EA319" s="4"/>
      <x:c r="EB319" s="4"/>
      <x:c r="EC319" s="4"/>
      <x:c r="ED319" s="4"/>
      <x:c r="EE319" s="4"/>
      <x:c r="EF319" s="4"/>
      <x:c r="EG319" s="4"/>
      <x:c r="EH319" s="4"/>
      <x:c r="EI319" s="4"/>
      <x:c r="EJ319" s="4"/>
      <x:c r="EK319" s="4"/>
      <x:c r="EL319" s="4"/>
      <x:c r="EM319" s="4"/>
      <x:c r="EN319" s="4"/>
      <x:c r="EO319" s="4"/>
      <x:c r="EP319" s="4"/>
      <x:c r="EQ319" s="4"/>
      <x:c r="ER319" s="4"/>
      <x:c r="ES319" s="4"/>
      <x:c r="ET319" s="4"/>
      <x:c r="EU319" s="4"/>
      <x:c r="EV319" s="4"/>
      <x:c r="EW319" s="4"/>
      <x:c r="EX319" s="4"/>
      <x:c r="EY319" s="4"/>
      <x:c r="EZ319" s="4"/>
      <x:c r="FA319" s="4"/>
      <x:c r="FB319" s="4"/>
      <x:c r="FC319" s="4"/>
      <x:c r="FD319" s="4"/>
      <x:c r="FE319" s="4"/>
      <x:c r="FF319" s="4"/>
      <x:c r="FG319" s="4"/>
      <x:c r="FH319" s="4"/>
      <x:c r="FI319" s="4"/>
      <x:c r="FJ319" s="4"/>
      <x:c r="FK319" s="4"/>
      <x:c r="FL319" s="4"/>
      <x:c r="FM319" s="4"/>
      <x:c r="FN319" s="4"/>
      <x:c r="FO319" s="4"/>
    </x:row>
    <x:row r="320">
      <x:c r="A320" s="72"/>
      <x:c r="B320" s="72"/>
      <x:c r="C320" s="72"/>
      <x:c r="D320" s="72"/>
      <x:c r="E320" s="72"/>
      <x:c r="F320" s="72"/>
      <x:c r="G320" s="72"/>
      <x:c r="H320" s="72"/>
      <x:c r="I320" s="72"/>
      <x:c r="J320" s="72"/>
      <x:c r="K320" s="72"/>
      <x:c r="L320" s="72"/>
      <x:c r="M320" s="72"/>
      <x:c r="N320" s="72"/>
      <x:c r="O320" s="72"/>
      <x:c r="P320" s="72"/>
      <x:c r="Q320" s="72"/>
      <x:c r="R320" s="72"/>
      <x:c r="S320" s="72"/>
      <x:c r="T320" s="72"/>
      <x:c r="U320" s="72"/>
      <x:c r="V320" s="72"/>
      <x:c r="W320" s="72"/>
      <x:c r="X320" s="72"/>
      <x:c r="Y320" s="72"/>
      <x:c r="Z320" s="72"/>
      <x:c r="AA320" s="72"/>
      <x:c r="AB320" s="72"/>
      <x:c r="AC320" s="72"/>
      <x:c r="AD320" s="72"/>
      <x:c r="AE320" s="72"/>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x:c r="BN320" s="4"/>
      <x:c r="BO320" s="4"/>
      <x:c r="BP320" s="4"/>
      <x:c r="BQ320" s="4"/>
      <x:c r="BR320" s="4"/>
      <x:c r="BS320" s="4"/>
      <x:c r="BT320" s="4"/>
      <x:c r="BU320" s="4"/>
      <x:c r="BV320" s="4"/>
      <x:c r="BW320" s="4"/>
      <x:c r="BX320" s="4"/>
      <x:c r="BY320" s="4"/>
      <x:c r="BZ320" s="4"/>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x:c r="DB320" s="4"/>
      <x:c r="DC320" s="4"/>
      <x:c r="DD320" s="4"/>
      <x:c r="DE320" s="4"/>
      <x:c r="DF320" s="4"/>
      <x:c r="DG320" s="4"/>
      <x:c r="DH320" s="4"/>
      <x:c r="DI320" s="4"/>
      <x:c r="DJ320" s="4"/>
      <x:c r="DK320" s="4"/>
      <x:c r="DL320" s="4"/>
      <x:c r="DM320" s="4"/>
      <x:c r="DN320" s="4"/>
      <x:c r="DO320" s="4"/>
      <x:c r="DP320" s="4"/>
      <x:c r="DQ320" s="4"/>
      <x:c r="DR320" s="4"/>
      <x:c r="DS320" s="4"/>
      <x:c r="DT320" s="4"/>
      <x:c r="DU320" s="4"/>
      <x:c r="DV320" s="4"/>
      <x:c r="DW320" s="4"/>
      <x:c r="DX320" s="4"/>
      <x:c r="DY320" s="4"/>
      <x:c r="DZ320" s="4"/>
      <x:c r="EA320" s="4"/>
      <x:c r="EB320" s="4"/>
      <x:c r="EC320" s="4"/>
      <x:c r="ED320" s="4"/>
      <x:c r="EE320" s="4"/>
      <x:c r="EF320" s="4"/>
      <x:c r="EG320" s="4"/>
      <x:c r="EH320" s="4"/>
      <x:c r="EI320" s="4"/>
      <x:c r="EJ320" s="4"/>
      <x:c r="EK320" s="4"/>
      <x:c r="EL320" s="4"/>
      <x:c r="EM320" s="4"/>
      <x:c r="EN320" s="4"/>
      <x:c r="EO320" s="4"/>
      <x:c r="EP320" s="4"/>
      <x:c r="EQ320" s="4"/>
      <x:c r="ER320" s="4"/>
      <x:c r="ES320" s="4"/>
      <x:c r="ET320" s="4"/>
      <x:c r="EU320" s="4"/>
      <x:c r="EV320" s="4"/>
      <x:c r="EW320" s="4"/>
      <x:c r="EX320" s="4"/>
      <x:c r="EY320" s="4"/>
      <x:c r="EZ320" s="4"/>
      <x:c r="FA320" s="4"/>
      <x:c r="FB320" s="4"/>
      <x:c r="FC320" s="4"/>
      <x:c r="FD320" s="4"/>
      <x:c r="FE320" s="4"/>
      <x:c r="FF320" s="4"/>
      <x:c r="FG320" s="4"/>
      <x:c r="FH320" s="4"/>
      <x:c r="FI320" s="4"/>
      <x:c r="FJ320" s="4"/>
      <x:c r="FK320" s="4"/>
      <x:c r="FL320" s="4"/>
      <x:c r="FM320" s="4"/>
      <x:c r="FN320" s="4"/>
      <x:c r="FO320" s="4"/>
    </x:row>
    <x:row r="321">
      <x:c r="A321" s="72"/>
      <x:c r="B321" s="72"/>
      <x:c r="C321" s="72"/>
      <x:c r="D321" s="72"/>
      <x:c r="E321" s="72"/>
      <x:c r="F321" s="72"/>
      <x:c r="G321" s="72"/>
      <x:c r="H321" s="72"/>
      <x:c r="I321" s="72"/>
      <x:c r="J321" s="72"/>
      <x:c r="K321" s="72"/>
      <x:c r="L321" s="72"/>
      <x:c r="M321" s="72"/>
      <x:c r="N321" s="72"/>
      <x:c r="O321" s="72"/>
      <x:c r="P321" s="72"/>
      <x:c r="Q321" s="72"/>
      <x:c r="R321" s="72"/>
      <x:c r="S321" s="72"/>
      <x:c r="T321" s="72"/>
      <x:c r="U321" s="72"/>
      <x:c r="V321" s="72"/>
      <x:c r="W321" s="72"/>
      <x:c r="X321" s="72"/>
      <x:c r="Y321" s="72"/>
      <x:c r="Z321" s="72"/>
      <x:c r="AA321" s="72"/>
      <x:c r="AB321" s="72"/>
      <x:c r="AC321" s="72"/>
      <x:c r="AD321" s="72"/>
      <x:c r="AE321" s="72"/>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x:c r="BN321" s="4"/>
      <x:c r="BO321" s="4"/>
      <x:c r="BP321" s="4"/>
      <x:c r="BQ321" s="4"/>
      <x:c r="BR321" s="4"/>
      <x:c r="BS321" s="4"/>
      <x:c r="BT321" s="4"/>
      <x:c r="BU321" s="4"/>
      <x:c r="BV321" s="4"/>
      <x:c r="BW321" s="4"/>
      <x:c r="BX321" s="4"/>
      <x:c r="BY321" s="4"/>
      <x:c r="BZ321" s="4"/>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x:c r="DB321" s="4"/>
      <x:c r="DC321" s="4"/>
      <x:c r="DD321" s="4"/>
      <x:c r="DE321" s="4"/>
      <x:c r="DF321" s="4"/>
      <x:c r="DG321" s="4"/>
      <x:c r="DH321" s="4"/>
      <x:c r="DI321" s="4"/>
      <x:c r="DJ321" s="4"/>
      <x:c r="DK321" s="4"/>
      <x:c r="DL321" s="4"/>
      <x:c r="DM321" s="4"/>
      <x:c r="DN321" s="4"/>
      <x:c r="DO321" s="4"/>
      <x:c r="DP321" s="4"/>
      <x:c r="DQ321" s="4"/>
      <x:c r="DR321" s="4"/>
      <x:c r="DS321" s="4"/>
      <x:c r="DT321" s="4"/>
      <x:c r="DU321" s="4"/>
      <x:c r="DV321" s="4"/>
      <x:c r="DW321" s="4"/>
      <x:c r="DX321" s="4"/>
      <x:c r="DY321" s="4"/>
      <x:c r="DZ321" s="4"/>
      <x:c r="EA321" s="4"/>
      <x:c r="EB321" s="4"/>
      <x:c r="EC321" s="4"/>
      <x:c r="ED321" s="4"/>
      <x:c r="EE321" s="4"/>
      <x:c r="EF321" s="4"/>
      <x:c r="EG321" s="4"/>
      <x:c r="EH321" s="4"/>
      <x:c r="EI321" s="4"/>
      <x:c r="EJ321" s="4"/>
      <x:c r="EK321" s="4"/>
      <x:c r="EL321" s="4"/>
      <x:c r="EM321" s="4"/>
      <x:c r="EN321" s="4"/>
      <x:c r="EO321" s="4"/>
      <x:c r="EP321" s="4"/>
      <x:c r="EQ321" s="4"/>
      <x:c r="ER321" s="4"/>
      <x:c r="ES321" s="4"/>
      <x:c r="ET321" s="4"/>
      <x:c r="EU321" s="4"/>
      <x:c r="EV321" s="4"/>
      <x:c r="EW321" s="4"/>
      <x:c r="EX321" s="4"/>
      <x:c r="EY321" s="4"/>
      <x:c r="EZ321" s="4"/>
      <x:c r="FA321" s="4"/>
      <x:c r="FB321" s="4"/>
      <x:c r="FC321" s="4"/>
      <x:c r="FD321" s="4"/>
      <x:c r="FE321" s="4"/>
      <x:c r="FF321" s="4"/>
      <x:c r="FG321" s="4"/>
      <x:c r="FH321" s="4"/>
      <x:c r="FI321" s="4"/>
      <x:c r="FJ321" s="4"/>
      <x:c r="FK321" s="4"/>
      <x:c r="FL321" s="4"/>
      <x:c r="FM321" s="4"/>
      <x:c r="FN321" s="4"/>
      <x:c r="FO321" s="4"/>
    </x:row>
    <x:row r="322">
      <x:c r="A322" s="72"/>
      <x:c r="B322" s="72"/>
      <x:c r="C322" s="72"/>
      <x:c r="D322" s="72"/>
      <x:c r="E322" s="72"/>
      <x:c r="F322" s="72"/>
      <x:c r="G322" s="72"/>
      <x:c r="H322" s="72"/>
      <x:c r="I322" s="72"/>
      <x:c r="J322" s="72"/>
      <x:c r="K322" s="72"/>
      <x:c r="L322" s="72"/>
      <x:c r="M322" s="72"/>
      <x:c r="N322" s="72"/>
      <x:c r="O322" s="72"/>
      <x:c r="P322" s="72"/>
      <x:c r="Q322" s="72"/>
      <x:c r="R322" s="72"/>
      <x:c r="S322" s="72"/>
      <x:c r="T322" s="72"/>
      <x:c r="U322" s="72"/>
      <x:c r="V322" s="72"/>
      <x:c r="W322" s="72"/>
      <x:c r="X322" s="72"/>
      <x:c r="Y322" s="72"/>
      <x:c r="Z322" s="72"/>
      <x:c r="AA322" s="72"/>
      <x:c r="AB322" s="72"/>
      <x:c r="AC322" s="72"/>
      <x:c r="AD322" s="72"/>
      <x:c r="AE322" s="72"/>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x:c r="BN322" s="4"/>
      <x:c r="BO322" s="4"/>
      <x:c r="BP322" s="4"/>
      <x:c r="BQ322" s="4"/>
      <x:c r="BR322" s="4"/>
      <x:c r="BS322" s="4"/>
      <x:c r="BT322" s="4"/>
      <x:c r="BU322" s="4"/>
      <x:c r="BV322" s="4"/>
      <x:c r="BW322" s="4"/>
      <x:c r="BX322" s="4"/>
      <x:c r="BY322" s="4"/>
      <x:c r="BZ322" s="4"/>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x:c r="DB322" s="4"/>
      <x:c r="DC322" s="4"/>
      <x:c r="DD322" s="4"/>
      <x:c r="DE322" s="4"/>
      <x:c r="DF322" s="4"/>
      <x:c r="DG322" s="4"/>
      <x:c r="DH322" s="4"/>
      <x:c r="DI322" s="4"/>
      <x:c r="DJ322" s="4"/>
      <x:c r="DK322" s="4"/>
      <x:c r="DL322" s="4"/>
      <x:c r="DM322" s="4"/>
      <x:c r="DN322" s="4"/>
      <x:c r="DO322" s="4"/>
      <x:c r="DP322" s="4"/>
      <x:c r="DQ322" s="4"/>
      <x:c r="DR322" s="4"/>
      <x:c r="DS322" s="4"/>
      <x:c r="DT322" s="4"/>
      <x:c r="DU322" s="4"/>
      <x:c r="DV322" s="4"/>
      <x:c r="DW322" s="4"/>
      <x:c r="DX322" s="4"/>
      <x:c r="DY322" s="4"/>
      <x:c r="DZ322" s="4"/>
      <x:c r="EA322" s="4"/>
      <x:c r="EB322" s="4"/>
      <x:c r="EC322" s="4"/>
      <x:c r="ED322" s="4"/>
      <x:c r="EE322" s="4"/>
      <x:c r="EF322" s="4"/>
      <x:c r="EG322" s="4"/>
      <x:c r="EH322" s="4"/>
      <x:c r="EI322" s="4"/>
      <x:c r="EJ322" s="4"/>
      <x:c r="EK322" s="4"/>
      <x:c r="EL322" s="4"/>
      <x:c r="EM322" s="4"/>
      <x:c r="EN322" s="4"/>
      <x:c r="EO322" s="4"/>
      <x:c r="EP322" s="4"/>
      <x:c r="EQ322" s="4"/>
      <x:c r="ER322" s="4"/>
      <x:c r="ES322" s="4"/>
      <x:c r="ET322" s="4"/>
      <x:c r="EU322" s="4"/>
      <x:c r="EV322" s="4"/>
      <x:c r="EW322" s="4"/>
      <x:c r="EX322" s="4"/>
      <x:c r="EY322" s="4"/>
      <x:c r="EZ322" s="4"/>
      <x:c r="FA322" s="4"/>
      <x:c r="FB322" s="4"/>
      <x:c r="FC322" s="4"/>
      <x:c r="FD322" s="4"/>
      <x:c r="FE322" s="4"/>
      <x:c r="FF322" s="4"/>
      <x:c r="FG322" s="4"/>
      <x:c r="FH322" s="4"/>
      <x:c r="FI322" s="4"/>
      <x:c r="FJ322" s="4"/>
      <x:c r="FK322" s="4"/>
      <x:c r="FL322" s="4"/>
      <x:c r="FM322" s="4"/>
      <x:c r="FN322" s="4"/>
      <x:c r="FO322" s="4"/>
    </x:row>
    <x:row r="323">
      <x:c r="A323" s="72"/>
      <x:c r="B323" s="72"/>
      <x:c r="C323" s="72"/>
      <x:c r="D323" s="72"/>
      <x:c r="E323" s="72"/>
      <x:c r="F323" s="72"/>
      <x:c r="G323" s="72"/>
      <x:c r="H323" s="72"/>
      <x:c r="I323" s="72"/>
      <x:c r="J323" s="72"/>
      <x:c r="K323" s="72"/>
      <x:c r="L323" s="72"/>
      <x:c r="M323" s="72"/>
      <x:c r="N323" s="72"/>
      <x:c r="O323" s="72"/>
      <x:c r="P323" s="72"/>
      <x:c r="Q323" s="72"/>
      <x:c r="R323" s="72"/>
      <x:c r="S323" s="72"/>
      <x:c r="T323" s="72"/>
      <x:c r="U323" s="72"/>
      <x:c r="V323" s="72"/>
      <x:c r="W323" s="72"/>
      <x:c r="X323" s="72"/>
      <x:c r="Y323" s="72"/>
      <x:c r="Z323" s="72"/>
      <x:c r="AA323" s="72"/>
      <x:c r="AB323" s="72"/>
      <x:c r="AC323" s="72"/>
      <x:c r="AD323" s="72"/>
      <x:c r="AE323" s="72"/>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x:c r="BN323" s="4"/>
      <x:c r="BO323" s="4"/>
      <x:c r="BP323" s="4"/>
      <x:c r="BQ323" s="4"/>
      <x:c r="BR323" s="4"/>
      <x:c r="BS323" s="4"/>
      <x:c r="BT323" s="4"/>
      <x:c r="BU323" s="4"/>
      <x:c r="BV323" s="4"/>
      <x:c r="BW323" s="4"/>
      <x:c r="BX323" s="4"/>
      <x:c r="BY323" s="4"/>
      <x:c r="BZ323" s="4"/>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x:c r="DB323" s="4"/>
      <x:c r="DC323" s="4"/>
      <x:c r="DD323" s="4"/>
      <x:c r="DE323" s="4"/>
      <x:c r="DF323" s="4"/>
      <x:c r="DG323" s="4"/>
      <x:c r="DH323" s="4"/>
      <x:c r="DI323" s="4"/>
      <x:c r="DJ323" s="4"/>
      <x:c r="DK323" s="4"/>
      <x:c r="DL323" s="4"/>
      <x:c r="DM323" s="4"/>
      <x:c r="DN323" s="4"/>
      <x:c r="DO323" s="4"/>
      <x:c r="DP323" s="4"/>
      <x:c r="DQ323" s="4"/>
      <x:c r="DR323" s="4"/>
      <x:c r="DS323" s="4"/>
      <x:c r="DT323" s="4"/>
      <x:c r="DU323" s="4"/>
      <x:c r="DV323" s="4"/>
      <x:c r="DW323" s="4"/>
      <x:c r="DX323" s="4"/>
      <x:c r="DY323" s="4"/>
      <x:c r="DZ323" s="4"/>
      <x:c r="EA323" s="4"/>
      <x:c r="EB323" s="4"/>
      <x:c r="EC323" s="4"/>
      <x:c r="ED323" s="4"/>
      <x:c r="EE323" s="4"/>
      <x:c r="EF323" s="4"/>
      <x:c r="EG323" s="4"/>
      <x:c r="EH323" s="4"/>
      <x:c r="EI323" s="4"/>
      <x:c r="EJ323" s="4"/>
      <x:c r="EK323" s="4"/>
      <x:c r="EL323" s="4"/>
      <x:c r="EM323" s="4"/>
      <x:c r="EN323" s="4"/>
      <x:c r="EO323" s="4"/>
      <x:c r="EP323" s="4"/>
      <x:c r="EQ323" s="4"/>
      <x:c r="ER323" s="4"/>
      <x:c r="ES323" s="4"/>
      <x:c r="ET323" s="4"/>
      <x:c r="EU323" s="4"/>
      <x:c r="EV323" s="4"/>
      <x:c r="EW323" s="4"/>
      <x:c r="EX323" s="4"/>
      <x:c r="EY323" s="4"/>
      <x:c r="EZ323" s="4"/>
      <x:c r="FA323" s="4"/>
      <x:c r="FB323" s="4"/>
      <x:c r="FC323" s="4"/>
      <x:c r="FD323" s="4"/>
      <x:c r="FE323" s="4"/>
      <x:c r="FF323" s="4"/>
      <x:c r="FG323" s="4"/>
      <x:c r="FH323" s="4"/>
      <x:c r="FI323" s="4"/>
      <x:c r="FJ323" s="4"/>
      <x:c r="FK323" s="4"/>
      <x:c r="FL323" s="4"/>
      <x:c r="FM323" s="4"/>
      <x:c r="FN323" s="4"/>
      <x:c r="FO323" s="4"/>
    </x:row>
    <x:row r="324">
      <x:c r="A324" s="72"/>
      <x:c r="B324" s="72"/>
      <x:c r="C324" s="72"/>
      <x:c r="D324" s="72"/>
      <x:c r="E324" s="72"/>
      <x:c r="F324" s="72"/>
      <x:c r="G324" s="72"/>
      <x:c r="H324" s="72"/>
      <x:c r="I324" s="72"/>
      <x:c r="J324" s="72"/>
      <x:c r="K324" s="72"/>
      <x:c r="L324" s="72"/>
      <x:c r="M324" s="72"/>
      <x:c r="N324" s="72"/>
      <x:c r="O324" s="72"/>
      <x:c r="P324" s="72"/>
      <x:c r="Q324" s="72"/>
      <x:c r="R324" s="72"/>
      <x:c r="S324" s="72"/>
      <x:c r="T324" s="72"/>
      <x:c r="U324" s="72"/>
      <x:c r="V324" s="72"/>
      <x:c r="W324" s="72"/>
      <x:c r="X324" s="72"/>
      <x:c r="Y324" s="72"/>
      <x:c r="Z324" s="72"/>
      <x:c r="AA324" s="72"/>
      <x:c r="AB324" s="72"/>
      <x:c r="AC324" s="72"/>
      <x:c r="AD324" s="72"/>
      <x:c r="AE324" s="72"/>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x:c r="BN324" s="4"/>
      <x:c r="BO324" s="4"/>
      <x:c r="BP324" s="4"/>
      <x:c r="BQ324" s="4"/>
      <x:c r="BR324" s="4"/>
      <x:c r="BS324" s="4"/>
      <x:c r="BT324" s="4"/>
      <x:c r="BU324" s="4"/>
      <x:c r="BV324" s="4"/>
      <x:c r="BW324" s="4"/>
      <x:c r="BX324" s="4"/>
      <x:c r="BY324" s="4"/>
      <x:c r="BZ324" s="4"/>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x:c r="DB324" s="4"/>
      <x:c r="DC324" s="4"/>
      <x:c r="DD324" s="4"/>
      <x:c r="DE324" s="4"/>
      <x:c r="DF324" s="4"/>
      <x:c r="DG324" s="4"/>
      <x:c r="DH324" s="4"/>
      <x:c r="DI324" s="4"/>
      <x:c r="DJ324" s="4"/>
      <x:c r="DK324" s="4"/>
      <x:c r="DL324" s="4"/>
      <x:c r="DM324" s="4"/>
      <x:c r="DN324" s="4"/>
      <x:c r="DO324" s="4"/>
      <x:c r="DP324" s="4"/>
      <x:c r="DQ324" s="4"/>
      <x:c r="DR324" s="4"/>
      <x:c r="DS324" s="4"/>
      <x:c r="DT324" s="4"/>
      <x:c r="DU324" s="4"/>
      <x:c r="DV324" s="4"/>
      <x:c r="DW324" s="4"/>
      <x:c r="DX324" s="4"/>
      <x:c r="DY324" s="4"/>
      <x:c r="DZ324" s="4"/>
      <x:c r="EA324" s="4"/>
      <x:c r="EB324" s="4"/>
      <x:c r="EC324" s="4"/>
      <x:c r="ED324" s="4"/>
      <x:c r="EE324" s="4"/>
      <x:c r="EF324" s="4"/>
      <x:c r="EG324" s="4"/>
      <x:c r="EH324" s="4"/>
      <x:c r="EI324" s="4"/>
      <x:c r="EJ324" s="4"/>
      <x:c r="EK324" s="4"/>
      <x:c r="EL324" s="4"/>
      <x:c r="EM324" s="4"/>
      <x:c r="EN324" s="4"/>
      <x:c r="EO324" s="4"/>
      <x:c r="EP324" s="4"/>
      <x:c r="EQ324" s="4"/>
      <x:c r="ER324" s="4"/>
      <x:c r="ES324" s="4"/>
      <x:c r="ET324" s="4"/>
      <x:c r="EU324" s="4"/>
      <x:c r="EV324" s="4"/>
      <x:c r="EW324" s="4"/>
      <x:c r="EX324" s="4"/>
      <x:c r="EY324" s="4"/>
      <x:c r="EZ324" s="4"/>
      <x:c r="FA324" s="4"/>
      <x:c r="FB324" s="4"/>
      <x:c r="FC324" s="4"/>
      <x:c r="FD324" s="4"/>
      <x:c r="FE324" s="4"/>
      <x:c r="FF324" s="4"/>
      <x:c r="FG324" s="4"/>
      <x:c r="FH324" s="4"/>
      <x:c r="FI324" s="4"/>
      <x:c r="FJ324" s="4"/>
      <x:c r="FK324" s="4"/>
      <x:c r="FL324" s="4"/>
      <x:c r="FM324" s="4"/>
      <x:c r="FN324" s="4"/>
      <x:c r="FO324" s="4"/>
    </x:row>
    <x:row r="325">
      <x:c r="A325" s="72"/>
      <x:c r="B325" s="72"/>
      <x:c r="C325" s="72"/>
      <x:c r="D325" s="72"/>
      <x:c r="E325" s="72"/>
      <x:c r="F325" s="72"/>
      <x:c r="G325" s="72"/>
      <x:c r="H325" s="72"/>
      <x:c r="I325" s="72"/>
      <x:c r="J325" s="72"/>
      <x:c r="K325" s="72"/>
      <x:c r="L325" s="72"/>
      <x:c r="M325" s="72"/>
      <x:c r="N325" s="72"/>
      <x:c r="O325" s="72"/>
      <x:c r="P325" s="72"/>
      <x:c r="Q325" s="72"/>
      <x:c r="R325" s="72"/>
      <x:c r="S325" s="72"/>
      <x:c r="T325" s="72"/>
      <x:c r="U325" s="72"/>
      <x:c r="V325" s="72"/>
      <x:c r="W325" s="72"/>
      <x:c r="X325" s="72"/>
      <x:c r="Y325" s="72"/>
      <x:c r="Z325" s="72"/>
      <x:c r="AA325" s="72"/>
      <x:c r="AB325" s="72"/>
      <x:c r="AC325" s="72"/>
      <x:c r="AD325" s="72"/>
      <x:c r="AE325" s="72"/>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x:c r="BN325" s="4"/>
      <x:c r="BO325" s="4"/>
      <x:c r="BP325" s="4"/>
      <x:c r="BQ325" s="4"/>
      <x:c r="BR325" s="4"/>
      <x:c r="BS325" s="4"/>
      <x:c r="BT325" s="4"/>
      <x:c r="BU325" s="4"/>
      <x:c r="BV325" s="4"/>
      <x:c r="BW325" s="4"/>
      <x:c r="BX325" s="4"/>
      <x:c r="BY325" s="4"/>
      <x:c r="BZ325" s="4"/>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x:c r="DB325" s="4"/>
      <x:c r="DC325" s="4"/>
      <x:c r="DD325" s="4"/>
      <x:c r="DE325" s="4"/>
      <x:c r="DF325" s="4"/>
      <x:c r="DG325" s="4"/>
      <x:c r="DH325" s="4"/>
      <x:c r="DI325" s="4"/>
      <x:c r="DJ325" s="4"/>
      <x:c r="DK325" s="4"/>
      <x:c r="DL325" s="4"/>
      <x:c r="DM325" s="4"/>
      <x:c r="DN325" s="4"/>
      <x:c r="DO325" s="4"/>
      <x:c r="DP325" s="4"/>
      <x:c r="DQ325" s="4"/>
      <x:c r="DR325" s="4"/>
      <x:c r="DS325" s="4"/>
      <x:c r="DT325" s="4"/>
      <x:c r="DU325" s="4"/>
      <x:c r="DV325" s="4"/>
      <x:c r="DW325" s="4"/>
      <x:c r="DX325" s="4"/>
      <x:c r="DY325" s="4"/>
      <x:c r="DZ325" s="4"/>
      <x:c r="EA325" s="4"/>
      <x:c r="EB325" s="4"/>
      <x:c r="EC325" s="4"/>
      <x:c r="ED325" s="4"/>
      <x:c r="EE325" s="4"/>
      <x:c r="EF325" s="4"/>
      <x:c r="EG325" s="4"/>
      <x:c r="EH325" s="4"/>
      <x:c r="EI325" s="4"/>
      <x:c r="EJ325" s="4"/>
      <x:c r="EK325" s="4"/>
      <x:c r="EL325" s="4"/>
      <x:c r="EM325" s="4"/>
      <x:c r="EN325" s="4"/>
      <x:c r="EO325" s="4"/>
      <x:c r="EP325" s="4"/>
      <x:c r="EQ325" s="4"/>
      <x:c r="ER325" s="4"/>
      <x:c r="ES325" s="4"/>
      <x:c r="ET325" s="4"/>
      <x:c r="EU325" s="4"/>
      <x:c r="EV325" s="4"/>
      <x:c r="EW325" s="4"/>
      <x:c r="EX325" s="4"/>
      <x:c r="EY325" s="4"/>
      <x:c r="EZ325" s="4"/>
      <x:c r="FA325" s="4"/>
      <x:c r="FB325" s="4"/>
      <x:c r="FC325" s="4"/>
      <x:c r="FD325" s="4"/>
      <x:c r="FE325" s="4"/>
      <x:c r="FF325" s="4"/>
      <x:c r="FG325" s="4"/>
      <x:c r="FH325" s="4"/>
      <x:c r="FI325" s="4"/>
      <x:c r="FJ325" s="4"/>
      <x:c r="FK325" s="4"/>
      <x:c r="FL325" s="4"/>
      <x:c r="FM325" s="4"/>
      <x:c r="FN325" s="4"/>
      <x:c r="FO325" s="4"/>
    </x:row>
    <x:row r="326">
      <x:c r="A326" s="72"/>
      <x:c r="B326" s="72"/>
      <x:c r="C326" s="72"/>
      <x:c r="D326" s="72"/>
      <x:c r="E326" s="72"/>
      <x:c r="F326" s="72"/>
      <x:c r="G326" s="72"/>
      <x:c r="H326" s="72"/>
      <x:c r="I326" s="72"/>
      <x:c r="J326" s="72"/>
      <x:c r="K326" s="72"/>
      <x:c r="L326" s="72"/>
      <x:c r="M326" s="72"/>
      <x:c r="N326" s="72"/>
      <x:c r="O326" s="72"/>
      <x:c r="P326" s="72"/>
      <x:c r="Q326" s="72"/>
      <x:c r="R326" s="72"/>
      <x:c r="S326" s="72"/>
      <x:c r="T326" s="72"/>
      <x:c r="U326" s="72"/>
      <x:c r="V326" s="72"/>
      <x:c r="W326" s="72"/>
      <x:c r="X326" s="72"/>
      <x:c r="Y326" s="72"/>
      <x:c r="Z326" s="72"/>
      <x:c r="AA326" s="72"/>
      <x:c r="AB326" s="72"/>
      <x:c r="AC326" s="72"/>
      <x:c r="AD326" s="72"/>
      <x:c r="AE326" s="72"/>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x:c r="BN326" s="4"/>
      <x:c r="BO326" s="4"/>
      <x:c r="BP326" s="4"/>
      <x:c r="BQ326" s="4"/>
      <x:c r="BR326" s="4"/>
      <x:c r="BS326" s="4"/>
      <x:c r="BT326" s="4"/>
      <x:c r="BU326" s="4"/>
      <x:c r="BV326" s="4"/>
      <x:c r="BW326" s="4"/>
      <x:c r="BX326" s="4"/>
      <x:c r="BY326" s="4"/>
      <x:c r="BZ326" s="4"/>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x:c r="DB326" s="4"/>
      <x:c r="DC326" s="4"/>
      <x:c r="DD326" s="4"/>
      <x:c r="DE326" s="4"/>
      <x:c r="DF326" s="4"/>
      <x:c r="DG326" s="4"/>
      <x:c r="DH326" s="4"/>
      <x:c r="DI326" s="4"/>
      <x:c r="DJ326" s="4"/>
      <x:c r="DK326" s="4"/>
      <x:c r="DL326" s="4"/>
      <x:c r="DM326" s="4"/>
      <x:c r="DN326" s="4"/>
      <x:c r="DO326" s="4"/>
      <x:c r="DP326" s="4"/>
      <x:c r="DQ326" s="4"/>
      <x:c r="DR326" s="4"/>
      <x:c r="DS326" s="4"/>
      <x:c r="DT326" s="4"/>
      <x:c r="DU326" s="4"/>
      <x:c r="DV326" s="4"/>
      <x:c r="DW326" s="4"/>
      <x:c r="DX326" s="4"/>
      <x:c r="DY326" s="4"/>
      <x:c r="DZ326" s="4"/>
      <x:c r="EA326" s="4"/>
      <x:c r="EB326" s="4"/>
      <x:c r="EC326" s="4"/>
      <x:c r="ED326" s="4"/>
      <x:c r="EE326" s="4"/>
      <x:c r="EF326" s="4"/>
      <x:c r="EG326" s="4"/>
      <x:c r="EH326" s="4"/>
      <x:c r="EI326" s="4"/>
      <x:c r="EJ326" s="4"/>
      <x:c r="EK326" s="4"/>
      <x:c r="EL326" s="4"/>
      <x:c r="EM326" s="4"/>
      <x:c r="EN326" s="4"/>
      <x:c r="EO326" s="4"/>
      <x:c r="EP326" s="4"/>
      <x:c r="EQ326" s="4"/>
      <x:c r="ER326" s="4"/>
      <x:c r="ES326" s="4"/>
      <x:c r="ET326" s="4"/>
      <x:c r="EU326" s="4"/>
      <x:c r="EV326" s="4"/>
      <x:c r="EW326" s="4"/>
      <x:c r="EX326" s="4"/>
      <x:c r="EY326" s="4"/>
      <x:c r="EZ326" s="4"/>
      <x:c r="FA326" s="4"/>
      <x:c r="FB326" s="4"/>
      <x:c r="FC326" s="4"/>
      <x:c r="FD326" s="4"/>
      <x:c r="FE326" s="4"/>
      <x:c r="FF326" s="4"/>
      <x:c r="FG326" s="4"/>
      <x:c r="FH326" s="4"/>
      <x:c r="FI326" s="4"/>
      <x:c r="FJ326" s="4"/>
      <x:c r="FK326" s="4"/>
      <x:c r="FL326" s="4"/>
      <x:c r="FM326" s="4"/>
      <x:c r="FN326" s="4"/>
      <x:c r="FO326" s="4"/>
    </x:row>
    <x:row r="327">
      <x:c r="A327" s="72"/>
      <x:c r="B327" s="72"/>
      <x:c r="C327" s="72"/>
      <x:c r="D327" s="72"/>
      <x:c r="E327" s="72"/>
      <x:c r="F327" s="72"/>
      <x:c r="G327" s="72"/>
      <x:c r="H327" s="72"/>
      <x:c r="I327" s="72"/>
      <x:c r="J327" s="72"/>
      <x:c r="K327" s="72"/>
      <x:c r="L327" s="72"/>
      <x:c r="M327" s="72"/>
      <x:c r="N327" s="72"/>
      <x:c r="O327" s="72"/>
      <x:c r="P327" s="72"/>
      <x:c r="Q327" s="72"/>
      <x:c r="R327" s="72"/>
      <x:c r="S327" s="72"/>
      <x:c r="T327" s="72"/>
      <x:c r="U327" s="72"/>
      <x:c r="V327" s="72"/>
      <x:c r="W327" s="72"/>
      <x:c r="X327" s="72"/>
      <x:c r="Y327" s="72"/>
      <x:c r="Z327" s="72"/>
      <x:c r="AA327" s="72"/>
      <x:c r="AB327" s="72"/>
      <x:c r="AC327" s="72"/>
      <x:c r="AD327" s="72"/>
      <x:c r="AE327" s="72"/>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x:c r="BN327" s="4"/>
      <x:c r="BO327" s="4"/>
      <x:c r="BP327" s="4"/>
      <x:c r="BQ327" s="4"/>
      <x:c r="BR327" s="4"/>
      <x:c r="BS327" s="4"/>
      <x:c r="BT327" s="4"/>
      <x:c r="BU327" s="4"/>
      <x:c r="BV327" s="4"/>
      <x:c r="BW327" s="4"/>
      <x:c r="BX327" s="4"/>
      <x:c r="BY327" s="4"/>
      <x:c r="BZ327" s="4"/>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x:c r="DB327" s="4"/>
      <x:c r="DC327" s="4"/>
      <x:c r="DD327" s="4"/>
      <x:c r="DE327" s="4"/>
      <x:c r="DF327" s="4"/>
      <x:c r="DG327" s="4"/>
      <x:c r="DH327" s="4"/>
      <x:c r="DI327" s="4"/>
      <x:c r="DJ327" s="4"/>
      <x:c r="DK327" s="4"/>
      <x:c r="DL327" s="4"/>
      <x:c r="DM327" s="4"/>
      <x:c r="DN327" s="4"/>
      <x:c r="DO327" s="4"/>
      <x:c r="DP327" s="4"/>
      <x:c r="DQ327" s="4"/>
      <x:c r="DR327" s="4"/>
      <x:c r="DS327" s="4"/>
      <x:c r="DT327" s="4"/>
      <x:c r="DU327" s="4"/>
      <x:c r="DV327" s="4"/>
      <x:c r="DW327" s="4"/>
      <x:c r="DX327" s="4"/>
      <x:c r="DY327" s="4"/>
      <x:c r="DZ327" s="4"/>
      <x:c r="EA327" s="4"/>
      <x:c r="EB327" s="4"/>
      <x:c r="EC327" s="4"/>
      <x:c r="ED327" s="4"/>
      <x:c r="EE327" s="4"/>
      <x:c r="EF327" s="4"/>
      <x:c r="EG327" s="4"/>
      <x:c r="EH327" s="4"/>
      <x:c r="EI327" s="4"/>
      <x:c r="EJ327" s="4"/>
      <x:c r="EK327" s="4"/>
      <x:c r="EL327" s="4"/>
      <x:c r="EM327" s="4"/>
      <x:c r="EN327" s="4"/>
      <x:c r="EO327" s="4"/>
      <x:c r="EP327" s="4"/>
      <x:c r="EQ327" s="4"/>
      <x:c r="ER327" s="4"/>
      <x:c r="ES327" s="4"/>
      <x:c r="ET327" s="4"/>
      <x:c r="EU327" s="4"/>
      <x:c r="EV327" s="4"/>
      <x:c r="EW327" s="4"/>
      <x:c r="EX327" s="4"/>
      <x:c r="EY327" s="4"/>
      <x:c r="EZ327" s="4"/>
      <x:c r="FA327" s="4"/>
      <x:c r="FB327" s="4"/>
      <x:c r="FC327" s="4"/>
      <x:c r="FD327" s="4"/>
      <x:c r="FE327" s="4"/>
      <x:c r="FF327" s="4"/>
      <x:c r="FG327" s="4"/>
      <x:c r="FH327" s="4"/>
      <x:c r="FI327" s="4"/>
      <x:c r="FJ327" s="4"/>
      <x:c r="FK327" s="4"/>
      <x:c r="FL327" s="4"/>
      <x:c r="FM327" s="4"/>
      <x:c r="FN327" s="4"/>
      <x:c r="FO327" s="4"/>
    </x:row>
    <x:row r="328">
      <x:c r="A328" s="72"/>
      <x:c r="B328" s="72"/>
      <x:c r="C328" s="72"/>
      <x:c r="D328" s="72"/>
      <x:c r="E328" s="72"/>
      <x:c r="F328" s="72"/>
      <x:c r="G328" s="72"/>
      <x:c r="H328" s="72"/>
      <x:c r="I328" s="72"/>
      <x:c r="J328" s="72"/>
      <x:c r="K328" s="72"/>
      <x:c r="L328" s="72"/>
      <x:c r="M328" s="72"/>
      <x:c r="N328" s="72"/>
      <x:c r="O328" s="72"/>
      <x:c r="P328" s="72"/>
      <x:c r="Q328" s="72"/>
      <x:c r="R328" s="72"/>
      <x:c r="S328" s="72"/>
      <x:c r="T328" s="72"/>
      <x:c r="U328" s="72"/>
      <x:c r="V328" s="72"/>
      <x:c r="W328" s="72"/>
      <x:c r="X328" s="72"/>
      <x:c r="Y328" s="72"/>
      <x:c r="Z328" s="72"/>
      <x:c r="AA328" s="72"/>
      <x:c r="AB328" s="72"/>
      <x:c r="AC328" s="72"/>
      <x:c r="AD328" s="72"/>
      <x:c r="AE328" s="72"/>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x:c r="BN328" s="4"/>
      <x:c r="BO328" s="4"/>
      <x:c r="BP328" s="4"/>
      <x:c r="BQ328" s="4"/>
      <x:c r="BR328" s="4"/>
      <x:c r="BS328" s="4"/>
      <x:c r="BT328" s="4"/>
      <x:c r="BU328" s="4"/>
      <x:c r="BV328" s="4"/>
      <x:c r="BW328" s="4"/>
      <x:c r="BX328" s="4"/>
      <x:c r="BY328" s="4"/>
      <x:c r="BZ328" s="4"/>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x:c r="DB328" s="4"/>
      <x:c r="DC328" s="4"/>
      <x:c r="DD328" s="4"/>
      <x:c r="DE328" s="4"/>
      <x:c r="DF328" s="4"/>
      <x:c r="DG328" s="4"/>
      <x:c r="DH328" s="4"/>
      <x:c r="DI328" s="4"/>
      <x:c r="DJ328" s="4"/>
      <x:c r="DK328" s="4"/>
      <x:c r="DL328" s="4"/>
      <x:c r="DM328" s="4"/>
      <x:c r="DN328" s="4"/>
      <x:c r="DO328" s="4"/>
      <x:c r="DP328" s="4"/>
      <x:c r="DQ328" s="4"/>
      <x:c r="DR328" s="4"/>
      <x:c r="DS328" s="4"/>
      <x:c r="DT328" s="4"/>
      <x:c r="DU328" s="4"/>
      <x:c r="DV328" s="4"/>
      <x:c r="DW328" s="4"/>
      <x:c r="DX328" s="4"/>
      <x:c r="DY328" s="4"/>
      <x:c r="DZ328" s="4"/>
      <x:c r="EA328" s="4"/>
      <x:c r="EB328" s="4"/>
      <x:c r="EC328" s="4"/>
      <x:c r="ED328" s="4"/>
      <x:c r="EE328" s="4"/>
      <x:c r="EF328" s="4"/>
      <x:c r="EG328" s="4"/>
      <x:c r="EH328" s="4"/>
      <x:c r="EI328" s="4"/>
      <x:c r="EJ328" s="4"/>
      <x:c r="EK328" s="4"/>
      <x:c r="EL328" s="4"/>
      <x:c r="EM328" s="4"/>
      <x:c r="EN328" s="4"/>
      <x:c r="EO328" s="4"/>
      <x:c r="EP328" s="4"/>
      <x:c r="EQ328" s="4"/>
      <x:c r="ER328" s="4"/>
      <x:c r="ES328" s="4"/>
      <x:c r="ET328" s="4"/>
      <x:c r="EU328" s="4"/>
      <x:c r="EV328" s="4"/>
      <x:c r="EW328" s="4"/>
      <x:c r="EX328" s="4"/>
      <x:c r="EY328" s="4"/>
      <x:c r="EZ328" s="4"/>
      <x:c r="FA328" s="4"/>
      <x:c r="FB328" s="4"/>
      <x:c r="FC328" s="4"/>
      <x:c r="FD328" s="4"/>
      <x:c r="FE328" s="4"/>
      <x:c r="FF328" s="4"/>
      <x:c r="FG328" s="4"/>
      <x:c r="FH328" s="4"/>
      <x:c r="FI328" s="4"/>
      <x:c r="FJ328" s="4"/>
      <x:c r="FK328" s="4"/>
      <x:c r="FL328" s="4"/>
      <x:c r="FM328" s="4"/>
      <x:c r="FN328" s="4"/>
      <x:c r="FO328" s="4"/>
    </x:row>
    <x:row r="329">
      <x:c r="A329" s="72"/>
      <x:c r="B329" s="72"/>
      <x:c r="C329" s="72"/>
      <x:c r="D329" s="72"/>
      <x:c r="E329" s="72"/>
      <x:c r="F329" s="72"/>
      <x:c r="G329" s="72"/>
      <x:c r="H329" s="72"/>
      <x:c r="I329" s="72"/>
      <x:c r="J329" s="72"/>
      <x:c r="K329" s="72"/>
      <x:c r="L329" s="72"/>
      <x:c r="M329" s="72"/>
      <x:c r="N329" s="72"/>
      <x:c r="O329" s="72"/>
      <x:c r="P329" s="72"/>
      <x:c r="Q329" s="72"/>
      <x:c r="R329" s="72"/>
      <x:c r="S329" s="72"/>
      <x:c r="T329" s="72"/>
      <x:c r="U329" s="72"/>
      <x:c r="V329" s="72"/>
      <x:c r="W329" s="72"/>
      <x:c r="X329" s="72"/>
      <x:c r="Y329" s="72"/>
      <x:c r="Z329" s="72"/>
      <x:c r="AA329" s="72"/>
      <x:c r="AB329" s="72"/>
      <x:c r="AC329" s="72"/>
      <x:c r="AD329" s="72"/>
      <x:c r="AE329" s="72"/>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x:c r="BN329" s="4"/>
      <x:c r="BO329" s="4"/>
      <x:c r="BP329" s="4"/>
      <x:c r="BQ329" s="4"/>
      <x:c r="BR329" s="4"/>
      <x:c r="BS329" s="4"/>
      <x:c r="BT329" s="4"/>
      <x:c r="BU329" s="4"/>
      <x:c r="BV329" s="4"/>
      <x:c r="BW329" s="4"/>
      <x:c r="BX329" s="4"/>
      <x:c r="BY329" s="4"/>
      <x:c r="BZ329" s="4"/>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x:c r="DB329" s="4"/>
      <x:c r="DC329" s="4"/>
      <x:c r="DD329" s="4"/>
      <x:c r="DE329" s="4"/>
      <x:c r="DF329" s="4"/>
      <x:c r="DG329" s="4"/>
      <x:c r="DH329" s="4"/>
      <x:c r="DI329" s="4"/>
      <x:c r="DJ329" s="4"/>
      <x:c r="DK329" s="4"/>
      <x:c r="DL329" s="4"/>
      <x:c r="DM329" s="4"/>
      <x:c r="DN329" s="4"/>
      <x:c r="DO329" s="4"/>
      <x:c r="DP329" s="4"/>
      <x:c r="DQ329" s="4"/>
      <x:c r="DR329" s="4"/>
      <x:c r="DS329" s="4"/>
      <x:c r="DT329" s="4"/>
      <x:c r="DU329" s="4"/>
      <x:c r="DV329" s="4"/>
      <x:c r="DW329" s="4"/>
      <x:c r="DX329" s="4"/>
      <x:c r="DY329" s="4"/>
      <x:c r="DZ329" s="4"/>
      <x:c r="EA329" s="4"/>
      <x:c r="EB329" s="4"/>
      <x:c r="EC329" s="4"/>
      <x:c r="ED329" s="4"/>
      <x:c r="EE329" s="4"/>
      <x:c r="EF329" s="4"/>
      <x:c r="EG329" s="4"/>
      <x:c r="EH329" s="4"/>
      <x:c r="EI329" s="4"/>
      <x:c r="EJ329" s="4"/>
      <x:c r="EK329" s="4"/>
      <x:c r="EL329" s="4"/>
      <x:c r="EM329" s="4"/>
      <x:c r="EN329" s="4"/>
      <x:c r="EO329" s="4"/>
      <x:c r="EP329" s="4"/>
      <x:c r="EQ329" s="4"/>
      <x:c r="ER329" s="4"/>
      <x:c r="ES329" s="4"/>
      <x:c r="ET329" s="4"/>
      <x:c r="EU329" s="4"/>
      <x:c r="EV329" s="4"/>
      <x:c r="EW329" s="4"/>
      <x:c r="EX329" s="4"/>
      <x:c r="EY329" s="4"/>
      <x:c r="EZ329" s="4"/>
      <x:c r="FA329" s="4"/>
      <x:c r="FB329" s="4"/>
      <x:c r="FC329" s="4"/>
      <x:c r="FD329" s="4"/>
      <x:c r="FE329" s="4"/>
      <x:c r="FF329" s="4"/>
      <x:c r="FG329" s="4"/>
      <x:c r="FH329" s="4"/>
      <x:c r="FI329" s="4"/>
      <x:c r="FJ329" s="4"/>
      <x:c r="FK329" s="4"/>
      <x:c r="FL329" s="4"/>
      <x:c r="FM329" s="4"/>
      <x:c r="FN329" s="4"/>
      <x:c r="FO329" s="4"/>
    </x:row>
    <x:row r="330">
      <x:c r="A330" s="72"/>
      <x:c r="B330" s="72"/>
      <x:c r="C330" s="72"/>
      <x:c r="D330" s="72"/>
      <x:c r="E330" s="72"/>
      <x:c r="F330" s="72"/>
      <x:c r="G330" s="72"/>
      <x:c r="H330" s="72"/>
      <x:c r="I330" s="72"/>
      <x:c r="J330" s="72"/>
      <x:c r="K330" s="72"/>
      <x:c r="L330" s="72"/>
      <x:c r="M330" s="72"/>
      <x:c r="N330" s="72"/>
      <x:c r="O330" s="72"/>
      <x:c r="P330" s="72"/>
      <x:c r="Q330" s="72"/>
      <x:c r="R330" s="72"/>
      <x:c r="S330" s="72"/>
      <x:c r="T330" s="72"/>
      <x:c r="U330" s="72"/>
      <x:c r="V330" s="72"/>
      <x:c r="W330" s="72"/>
      <x:c r="X330" s="72"/>
      <x:c r="Y330" s="72"/>
      <x:c r="Z330" s="72"/>
      <x:c r="AA330" s="72"/>
      <x:c r="AB330" s="72"/>
      <x:c r="AC330" s="72"/>
      <x:c r="AD330" s="72"/>
      <x:c r="AE330" s="72"/>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x:c r="BN330" s="4"/>
      <x:c r="BO330" s="4"/>
      <x:c r="BP330" s="4"/>
      <x:c r="BQ330" s="4"/>
      <x:c r="BR330" s="4"/>
      <x:c r="BS330" s="4"/>
      <x:c r="BT330" s="4"/>
      <x:c r="BU330" s="4"/>
      <x:c r="BV330" s="4"/>
      <x:c r="BW330" s="4"/>
      <x:c r="BX330" s="4"/>
      <x:c r="BY330" s="4"/>
      <x:c r="BZ330" s="4"/>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x:c r="DB330" s="4"/>
      <x:c r="DC330" s="4"/>
      <x:c r="DD330" s="4"/>
      <x:c r="DE330" s="4"/>
      <x:c r="DF330" s="4"/>
      <x:c r="DG330" s="4"/>
      <x:c r="DH330" s="4"/>
      <x:c r="DI330" s="4"/>
      <x:c r="DJ330" s="4"/>
      <x:c r="DK330" s="4"/>
      <x:c r="DL330" s="4"/>
      <x:c r="DM330" s="4"/>
      <x:c r="DN330" s="4"/>
      <x:c r="DO330" s="4"/>
      <x:c r="DP330" s="4"/>
      <x:c r="DQ330" s="4"/>
      <x:c r="DR330" s="4"/>
      <x:c r="DS330" s="4"/>
      <x:c r="DT330" s="4"/>
      <x:c r="DU330" s="4"/>
      <x:c r="DV330" s="4"/>
      <x:c r="DW330" s="4"/>
      <x:c r="DX330" s="4"/>
      <x:c r="DY330" s="4"/>
      <x:c r="DZ330" s="4"/>
      <x:c r="EA330" s="4"/>
      <x:c r="EB330" s="4"/>
      <x:c r="EC330" s="4"/>
      <x:c r="ED330" s="4"/>
      <x:c r="EE330" s="4"/>
      <x:c r="EF330" s="4"/>
      <x:c r="EG330" s="4"/>
      <x:c r="EH330" s="4"/>
      <x:c r="EI330" s="4"/>
      <x:c r="EJ330" s="4"/>
      <x:c r="EK330" s="4"/>
      <x:c r="EL330" s="4"/>
      <x:c r="EM330" s="4"/>
      <x:c r="EN330" s="4"/>
      <x:c r="EO330" s="4"/>
      <x:c r="EP330" s="4"/>
      <x:c r="EQ330" s="4"/>
      <x:c r="ER330" s="4"/>
      <x:c r="ES330" s="4"/>
      <x:c r="ET330" s="4"/>
      <x:c r="EU330" s="4"/>
      <x:c r="EV330" s="4"/>
      <x:c r="EW330" s="4"/>
      <x:c r="EX330" s="4"/>
      <x:c r="EY330" s="4"/>
      <x:c r="EZ330" s="4"/>
      <x:c r="FA330" s="4"/>
      <x:c r="FB330" s="4"/>
      <x:c r="FC330" s="4"/>
      <x:c r="FD330" s="4"/>
      <x:c r="FE330" s="4"/>
      <x:c r="FF330" s="4"/>
      <x:c r="FG330" s="4"/>
      <x:c r="FH330" s="4"/>
      <x:c r="FI330" s="4"/>
      <x:c r="FJ330" s="4"/>
      <x:c r="FK330" s="4"/>
      <x:c r="FL330" s="4"/>
      <x:c r="FM330" s="4"/>
      <x:c r="FN330" s="4"/>
      <x:c r="FO330" s="4"/>
    </x:row>
    <x:row r="331">
      <x:c r="A331" s="72"/>
      <x:c r="B331" s="72"/>
      <x:c r="C331" s="72"/>
      <x:c r="D331" s="72"/>
      <x:c r="E331" s="72"/>
      <x:c r="F331" s="72"/>
      <x:c r="G331" s="72"/>
      <x:c r="H331" s="72"/>
      <x:c r="I331" s="72"/>
      <x:c r="J331" s="72"/>
      <x:c r="K331" s="72"/>
      <x:c r="L331" s="72"/>
      <x:c r="M331" s="72"/>
      <x:c r="N331" s="72"/>
      <x:c r="O331" s="72"/>
      <x:c r="P331" s="72"/>
      <x:c r="Q331" s="72"/>
      <x:c r="R331" s="72"/>
      <x:c r="S331" s="72"/>
      <x:c r="T331" s="72"/>
      <x:c r="U331" s="72"/>
      <x:c r="V331" s="72"/>
      <x:c r="W331" s="72"/>
      <x:c r="X331" s="72"/>
      <x:c r="Y331" s="72"/>
      <x:c r="Z331" s="72"/>
      <x:c r="AA331" s="72"/>
      <x:c r="AB331" s="72"/>
      <x:c r="AC331" s="72"/>
      <x:c r="AD331" s="72"/>
      <x:c r="AE331" s="72"/>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x:c r="BN331" s="4"/>
      <x:c r="BO331" s="4"/>
      <x:c r="BP331" s="4"/>
      <x:c r="BQ331" s="4"/>
      <x:c r="BR331" s="4"/>
      <x:c r="BS331" s="4"/>
      <x:c r="BT331" s="4"/>
      <x:c r="BU331" s="4"/>
      <x:c r="BV331" s="4"/>
      <x:c r="BW331" s="4"/>
      <x:c r="BX331" s="4"/>
      <x:c r="BY331" s="4"/>
      <x:c r="BZ331" s="4"/>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x:c r="DB331" s="4"/>
      <x:c r="DC331" s="4"/>
      <x:c r="DD331" s="4"/>
      <x:c r="DE331" s="4"/>
      <x:c r="DF331" s="4"/>
      <x:c r="DG331" s="4"/>
      <x:c r="DH331" s="4"/>
      <x:c r="DI331" s="4"/>
      <x:c r="DJ331" s="4"/>
      <x:c r="DK331" s="4"/>
      <x:c r="DL331" s="4"/>
      <x:c r="DM331" s="4"/>
      <x:c r="DN331" s="4"/>
      <x:c r="DO331" s="4"/>
      <x:c r="DP331" s="4"/>
      <x:c r="DQ331" s="4"/>
      <x:c r="DR331" s="4"/>
      <x:c r="DS331" s="4"/>
      <x:c r="DT331" s="4"/>
      <x:c r="DU331" s="4"/>
      <x:c r="DV331" s="4"/>
      <x:c r="DW331" s="4"/>
      <x:c r="DX331" s="4"/>
      <x:c r="DY331" s="4"/>
      <x:c r="DZ331" s="4"/>
      <x:c r="EA331" s="4"/>
      <x:c r="EB331" s="4"/>
      <x:c r="EC331" s="4"/>
      <x:c r="ED331" s="4"/>
      <x:c r="EE331" s="4"/>
      <x:c r="EF331" s="4"/>
      <x:c r="EG331" s="4"/>
      <x:c r="EH331" s="4"/>
      <x:c r="EI331" s="4"/>
      <x:c r="EJ331" s="4"/>
      <x:c r="EK331" s="4"/>
      <x:c r="EL331" s="4"/>
      <x:c r="EM331" s="4"/>
      <x:c r="EN331" s="4"/>
      <x:c r="EO331" s="4"/>
      <x:c r="EP331" s="4"/>
      <x:c r="EQ331" s="4"/>
      <x:c r="ER331" s="4"/>
      <x:c r="ES331" s="4"/>
      <x:c r="ET331" s="4"/>
      <x:c r="EU331" s="4"/>
      <x:c r="EV331" s="4"/>
      <x:c r="EW331" s="4"/>
      <x:c r="EX331" s="4"/>
      <x:c r="EY331" s="4"/>
      <x:c r="EZ331" s="4"/>
      <x:c r="FA331" s="4"/>
      <x:c r="FB331" s="4"/>
      <x:c r="FC331" s="4"/>
      <x:c r="FD331" s="4"/>
      <x:c r="FE331" s="4"/>
      <x:c r="FF331" s="4"/>
      <x:c r="FG331" s="4"/>
      <x:c r="FH331" s="4"/>
      <x:c r="FI331" s="4"/>
      <x:c r="FJ331" s="4"/>
      <x:c r="FK331" s="4"/>
      <x:c r="FL331" s="4"/>
      <x:c r="FM331" s="4"/>
      <x:c r="FN331" s="4"/>
      <x:c r="FO331" s="4"/>
    </x:row>
    <x:row r="332">
      <x:c r="A332" s="72"/>
      <x:c r="B332" s="72"/>
      <x:c r="C332" s="72"/>
      <x:c r="D332" s="72"/>
      <x:c r="E332" s="72"/>
      <x:c r="F332" s="72"/>
      <x:c r="G332" s="72"/>
      <x:c r="H332" s="72"/>
      <x:c r="I332" s="72"/>
      <x:c r="J332" s="72"/>
      <x:c r="K332" s="72"/>
      <x:c r="L332" s="72"/>
      <x:c r="M332" s="72"/>
      <x:c r="N332" s="72"/>
      <x:c r="O332" s="72"/>
      <x:c r="P332" s="72"/>
      <x:c r="Q332" s="72"/>
      <x:c r="R332" s="72"/>
      <x:c r="S332" s="72"/>
      <x:c r="T332" s="72"/>
      <x:c r="U332" s="72"/>
      <x:c r="V332" s="72"/>
      <x:c r="W332" s="72"/>
      <x:c r="X332" s="72"/>
      <x:c r="Y332" s="72"/>
      <x:c r="Z332" s="72"/>
      <x:c r="AA332" s="72"/>
      <x:c r="AB332" s="72"/>
      <x:c r="AC332" s="72"/>
      <x:c r="AD332" s="72"/>
      <x:c r="AE332" s="72"/>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x:c r="BN332" s="4"/>
      <x:c r="BO332" s="4"/>
      <x:c r="BP332" s="4"/>
      <x:c r="BQ332" s="4"/>
      <x:c r="BR332" s="4"/>
      <x:c r="BS332" s="4"/>
      <x:c r="BT332" s="4"/>
      <x:c r="BU332" s="4"/>
      <x:c r="BV332" s="4"/>
      <x:c r="BW332" s="4"/>
      <x:c r="BX332" s="4"/>
      <x:c r="BY332" s="4"/>
      <x:c r="BZ332" s="4"/>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x:c r="DB332" s="4"/>
      <x:c r="DC332" s="4"/>
      <x:c r="DD332" s="4"/>
      <x:c r="DE332" s="4"/>
      <x:c r="DF332" s="4"/>
      <x:c r="DG332" s="4"/>
      <x:c r="DH332" s="4"/>
      <x:c r="DI332" s="4"/>
      <x:c r="DJ332" s="4"/>
      <x:c r="DK332" s="4"/>
      <x:c r="DL332" s="4"/>
      <x:c r="DM332" s="4"/>
      <x:c r="DN332" s="4"/>
      <x:c r="DO332" s="4"/>
      <x:c r="DP332" s="4"/>
      <x:c r="DQ332" s="4"/>
      <x:c r="DR332" s="4"/>
      <x:c r="DS332" s="4"/>
      <x:c r="DT332" s="4"/>
      <x:c r="DU332" s="4"/>
      <x:c r="DV332" s="4"/>
      <x:c r="DW332" s="4"/>
      <x:c r="DX332" s="4"/>
      <x:c r="DY332" s="4"/>
      <x:c r="DZ332" s="4"/>
      <x:c r="EA332" s="4"/>
      <x:c r="EB332" s="4"/>
      <x:c r="EC332" s="4"/>
      <x:c r="ED332" s="4"/>
      <x:c r="EE332" s="4"/>
      <x:c r="EF332" s="4"/>
      <x:c r="EG332" s="4"/>
      <x:c r="EH332" s="4"/>
      <x:c r="EI332" s="4"/>
      <x:c r="EJ332" s="4"/>
      <x:c r="EK332" s="4"/>
      <x:c r="EL332" s="4"/>
      <x:c r="EM332" s="4"/>
      <x:c r="EN332" s="4"/>
      <x:c r="EO332" s="4"/>
      <x:c r="EP332" s="4"/>
      <x:c r="EQ332" s="4"/>
      <x:c r="ER332" s="4"/>
      <x:c r="ES332" s="4"/>
      <x:c r="ET332" s="4"/>
      <x:c r="EU332" s="4"/>
      <x:c r="EV332" s="4"/>
      <x:c r="EW332" s="4"/>
      <x:c r="EX332" s="4"/>
      <x:c r="EY332" s="4"/>
      <x:c r="EZ332" s="4"/>
      <x:c r="FA332" s="4"/>
      <x:c r="FB332" s="4"/>
      <x:c r="FC332" s="4"/>
      <x:c r="FD332" s="4"/>
      <x:c r="FE332" s="4"/>
      <x:c r="FF332" s="4"/>
      <x:c r="FG332" s="4"/>
      <x:c r="FH332" s="4"/>
      <x:c r="FI332" s="4"/>
      <x:c r="FJ332" s="4"/>
      <x:c r="FK332" s="4"/>
      <x:c r="FL332" s="4"/>
      <x:c r="FM332" s="4"/>
      <x:c r="FN332" s="4"/>
      <x:c r="FO332" s="4"/>
    </x:row>
    <x:row r="333">
      <x:c r="A333" s="72"/>
      <x:c r="B333" s="72"/>
      <x:c r="C333" s="72"/>
      <x:c r="D333" s="72"/>
      <x:c r="E333" s="72"/>
      <x:c r="F333" s="72"/>
      <x:c r="G333" s="72"/>
      <x:c r="H333" s="72"/>
      <x:c r="I333" s="72"/>
      <x:c r="J333" s="72"/>
      <x:c r="K333" s="72"/>
      <x:c r="L333" s="72"/>
      <x:c r="M333" s="72"/>
      <x:c r="N333" s="72"/>
      <x:c r="O333" s="72"/>
      <x:c r="P333" s="72"/>
      <x:c r="Q333" s="72"/>
      <x:c r="R333" s="72"/>
      <x:c r="S333" s="72"/>
      <x:c r="T333" s="72"/>
      <x:c r="U333" s="72"/>
      <x:c r="V333" s="72"/>
      <x:c r="W333" s="72"/>
      <x:c r="X333" s="72"/>
      <x:c r="Y333" s="72"/>
      <x:c r="Z333" s="72"/>
      <x:c r="AA333" s="72"/>
      <x:c r="AB333" s="72"/>
      <x:c r="AC333" s="72"/>
      <x:c r="AD333" s="72"/>
      <x:c r="AE333" s="72"/>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x:c r="BN333" s="4"/>
      <x:c r="BO333" s="4"/>
      <x:c r="BP333" s="4"/>
      <x:c r="BQ333" s="4"/>
      <x:c r="BR333" s="4"/>
      <x:c r="BS333" s="4"/>
      <x:c r="BT333" s="4"/>
      <x:c r="BU333" s="4"/>
      <x:c r="BV333" s="4"/>
      <x:c r="BW333" s="4"/>
      <x:c r="BX333" s="4"/>
      <x:c r="BY333" s="4"/>
      <x:c r="BZ333" s="4"/>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x:c r="DB333" s="4"/>
      <x:c r="DC333" s="4"/>
      <x:c r="DD333" s="4"/>
      <x:c r="DE333" s="4"/>
      <x:c r="DF333" s="4"/>
      <x:c r="DG333" s="4"/>
      <x:c r="DH333" s="4"/>
      <x:c r="DI333" s="4"/>
      <x:c r="DJ333" s="4"/>
      <x:c r="DK333" s="4"/>
      <x:c r="DL333" s="4"/>
      <x:c r="DM333" s="4"/>
      <x:c r="DN333" s="4"/>
      <x:c r="DO333" s="4"/>
      <x:c r="DP333" s="4"/>
      <x:c r="DQ333" s="4"/>
      <x:c r="DR333" s="4"/>
      <x:c r="DS333" s="4"/>
      <x:c r="DT333" s="4"/>
      <x:c r="DU333" s="4"/>
      <x:c r="DV333" s="4"/>
      <x:c r="DW333" s="4"/>
      <x:c r="DX333" s="4"/>
      <x:c r="DY333" s="4"/>
      <x:c r="DZ333" s="4"/>
      <x:c r="EA333" s="4"/>
      <x:c r="EB333" s="4"/>
      <x:c r="EC333" s="4"/>
      <x:c r="ED333" s="4"/>
      <x:c r="EE333" s="4"/>
      <x:c r="EF333" s="4"/>
      <x:c r="EG333" s="4"/>
      <x:c r="EH333" s="4"/>
      <x:c r="EI333" s="4"/>
      <x:c r="EJ333" s="4"/>
      <x:c r="EK333" s="4"/>
      <x:c r="EL333" s="4"/>
      <x:c r="EM333" s="4"/>
      <x:c r="EN333" s="4"/>
      <x:c r="EO333" s="4"/>
      <x:c r="EP333" s="4"/>
      <x:c r="EQ333" s="4"/>
      <x:c r="ER333" s="4"/>
      <x:c r="ES333" s="4"/>
      <x:c r="ET333" s="4"/>
      <x:c r="EU333" s="4"/>
      <x:c r="EV333" s="4"/>
      <x:c r="EW333" s="4"/>
      <x:c r="EX333" s="4"/>
      <x:c r="EY333" s="4"/>
      <x:c r="EZ333" s="4"/>
      <x:c r="FA333" s="4"/>
      <x:c r="FB333" s="4"/>
      <x:c r="FC333" s="4"/>
      <x:c r="FD333" s="4"/>
      <x:c r="FE333" s="4"/>
      <x:c r="FF333" s="4"/>
      <x:c r="FG333" s="4"/>
      <x:c r="FH333" s="4"/>
      <x:c r="FI333" s="4"/>
      <x:c r="FJ333" s="4"/>
      <x:c r="FK333" s="4"/>
      <x:c r="FL333" s="4"/>
      <x:c r="FM333" s="4"/>
      <x:c r="FN333" s="4"/>
      <x:c r="FO333" s="4"/>
    </x:row>
    <x:row r="334">
      <x:c r="A334" s="72"/>
      <x:c r="B334" s="72"/>
      <x:c r="C334" s="72"/>
      <x:c r="D334" s="72"/>
      <x:c r="E334" s="72"/>
      <x:c r="F334" s="72"/>
      <x:c r="G334" s="72"/>
      <x:c r="H334" s="72"/>
      <x:c r="I334" s="72"/>
      <x:c r="J334" s="72"/>
      <x:c r="K334" s="72"/>
      <x:c r="L334" s="72"/>
      <x:c r="M334" s="72"/>
      <x:c r="N334" s="72"/>
      <x:c r="O334" s="72"/>
      <x:c r="P334" s="72"/>
      <x:c r="Q334" s="72"/>
      <x:c r="R334" s="72"/>
      <x:c r="S334" s="72"/>
      <x:c r="T334" s="72"/>
      <x:c r="U334" s="72"/>
      <x:c r="V334" s="72"/>
      <x:c r="W334" s="72"/>
      <x:c r="X334" s="72"/>
      <x:c r="Y334" s="72"/>
      <x:c r="Z334" s="72"/>
      <x:c r="AA334" s="72"/>
      <x:c r="AB334" s="72"/>
      <x:c r="AC334" s="72"/>
      <x:c r="AD334" s="72"/>
      <x:c r="AE334" s="72"/>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x:c r="BN334" s="4"/>
      <x:c r="BO334" s="4"/>
      <x:c r="BP334" s="4"/>
      <x:c r="BQ334" s="4"/>
      <x:c r="BR334" s="4"/>
      <x:c r="BS334" s="4"/>
      <x:c r="BT334" s="4"/>
      <x:c r="BU334" s="4"/>
      <x:c r="BV334" s="4"/>
      <x:c r="BW334" s="4"/>
      <x:c r="BX334" s="4"/>
      <x:c r="BY334" s="4"/>
      <x:c r="BZ334" s="4"/>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x:c r="DB334" s="4"/>
      <x:c r="DC334" s="4"/>
      <x:c r="DD334" s="4"/>
      <x:c r="DE334" s="4"/>
      <x:c r="DF334" s="4"/>
      <x:c r="DG334" s="4"/>
      <x:c r="DH334" s="4"/>
      <x:c r="DI334" s="4"/>
      <x:c r="DJ334" s="4"/>
      <x:c r="DK334" s="4"/>
      <x:c r="DL334" s="4"/>
      <x:c r="DM334" s="4"/>
      <x:c r="DN334" s="4"/>
      <x:c r="DO334" s="4"/>
      <x:c r="DP334" s="4"/>
      <x:c r="DQ334" s="4"/>
      <x:c r="DR334" s="4"/>
      <x:c r="DS334" s="4"/>
      <x:c r="DT334" s="4"/>
      <x:c r="DU334" s="4"/>
      <x:c r="DV334" s="4"/>
      <x:c r="DW334" s="4"/>
      <x:c r="DX334" s="4"/>
      <x:c r="DY334" s="4"/>
      <x:c r="DZ334" s="4"/>
      <x:c r="EA334" s="4"/>
      <x:c r="EB334" s="4"/>
      <x:c r="EC334" s="4"/>
      <x:c r="ED334" s="4"/>
      <x:c r="EE334" s="4"/>
      <x:c r="EF334" s="4"/>
      <x:c r="EG334" s="4"/>
      <x:c r="EH334" s="4"/>
      <x:c r="EI334" s="4"/>
      <x:c r="EJ334" s="4"/>
      <x:c r="EK334" s="4"/>
      <x:c r="EL334" s="4"/>
      <x:c r="EM334" s="4"/>
      <x:c r="EN334" s="4"/>
      <x:c r="EO334" s="4"/>
      <x:c r="EP334" s="4"/>
      <x:c r="EQ334" s="4"/>
      <x:c r="ER334" s="4"/>
      <x:c r="ES334" s="4"/>
      <x:c r="ET334" s="4"/>
      <x:c r="EU334" s="4"/>
      <x:c r="EV334" s="4"/>
      <x:c r="EW334" s="4"/>
      <x:c r="EX334" s="4"/>
      <x:c r="EY334" s="4"/>
      <x:c r="EZ334" s="4"/>
      <x:c r="FA334" s="4"/>
      <x:c r="FB334" s="4"/>
      <x:c r="FC334" s="4"/>
      <x:c r="FD334" s="4"/>
      <x:c r="FE334" s="4"/>
      <x:c r="FF334" s="4"/>
      <x:c r="FG334" s="4"/>
      <x:c r="FH334" s="4"/>
      <x:c r="FI334" s="4"/>
      <x:c r="FJ334" s="4"/>
      <x:c r="FK334" s="4"/>
      <x:c r="FL334" s="4"/>
      <x:c r="FM334" s="4"/>
      <x:c r="FN334" s="4"/>
      <x:c r="FO334" s="4"/>
    </x:row>
    <x:row r="335">
      <x:c r="A335" s="72"/>
      <x:c r="B335" s="72"/>
      <x:c r="C335" s="72"/>
      <x:c r="D335" s="72"/>
      <x:c r="E335" s="72"/>
      <x:c r="F335" s="72"/>
      <x:c r="G335" s="72"/>
      <x:c r="H335" s="72"/>
      <x:c r="I335" s="72"/>
      <x:c r="J335" s="72"/>
      <x:c r="K335" s="72"/>
      <x:c r="L335" s="72"/>
      <x:c r="M335" s="72"/>
      <x:c r="N335" s="72"/>
      <x:c r="O335" s="72"/>
      <x:c r="P335" s="72"/>
      <x:c r="Q335" s="72"/>
      <x:c r="R335" s="72"/>
      <x:c r="S335" s="72"/>
      <x:c r="T335" s="72"/>
      <x:c r="U335" s="72"/>
      <x:c r="V335" s="72"/>
      <x:c r="W335" s="72"/>
      <x:c r="X335" s="72"/>
      <x:c r="Y335" s="72"/>
      <x:c r="Z335" s="72"/>
      <x:c r="AA335" s="72"/>
      <x:c r="AB335" s="72"/>
      <x:c r="AC335" s="72"/>
      <x:c r="AD335" s="72"/>
      <x:c r="AE335" s="72"/>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x:c r="BN335" s="4"/>
      <x:c r="BO335" s="4"/>
      <x:c r="BP335" s="4"/>
      <x:c r="BQ335" s="4"/>
      <x:c r="BR335" s="4"/>
      <x:c r="BS335" s="4"/>
      <x:c r="BT335" s="4"/>
      <x:c r="BU335" s="4"/>
      <x:c r="BV335" s="4"/>
      <x:c r="BW335" s="4"/>
      <x:c r="BX335" s="4"/>
      <x:c r="BY335" s="4"/>
      <x:c r="BZ335" s="4"/>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x:c r="DB335" s="4"/>
      <x:c r="DC335" s="4"/>
      <x:c r="DD335" s="4"/>
      <x:c r="DE335" s="4"/>
      <x:c r="DF335" s="4"/>
      <x:c r="DG335" s="4"/>
      <x:c r="DH335" s="4"/>
      <x:c r="DI335" s="4"/>
      <x:c r="DJ335" s="4"/>
      <x:c r="DK335" s="4"/>
      <x:c r="DL335" s="4"/>
      <x:c r="DM335" s="4"/>
      <x:c r="DN335" s="4"/>
      <x:c r="DO335" s="4"/>
      <x:c r="DP335" s="4"/>
      <x:c r="DQ335" s="4"/>
      <x:c r="DR335" s="4"/>
      <x:c r="DS335" s="4"/>
      <x:c r="DT335" s="4"/>
      <x:c r="DU335" s="4"/>
      <x:c r="DV335" s="4"/>
      <x:c r="DW335" s="4"/>
      <x:c r="DX335" s="4"/>
      <x:c r="DY335" s="4"/>
      <x:c r="DZ335" s="4"/>
      <x:c r="EA335" s="4"/>
      <x:c r="EB335" s="4"/>
      <x:c r="EC335" s="4"/>
      <x:c r="ED335" s="4"/>
      <x:c r="EE335" s="4"/>
      <x:c r="EF335" s="4"/>
      <x:c r="EG335" s="4"/>
      <x:c r="EH335" s="4"/>
      <x:c r="EI335" s="4"/>
      <x:c r="EJ335" s="4"/>
      <x:c r="EK335" s="4"/>
      <x:c r="EL335" s="4"/>
      <x:c r="EM335" s="4"/>
      <x:c r="EN335" s="4"/>
      <x:c r="EO335" s="4"/>
      <x:c r="EP335" s="4"/>
      <x:c r="EQ335" s="4"/>
      <x:c r="ER335" s="4"/>
      <x:c r="ES335" s="4"/>
      <x:c r="ET335" s="4"/>
      <x:c r="EU335" s="4"/>
      <x:c r="EV335" s="4"/>
      <x:c r="EW335" s="4"/>
      <x:c r="EX335" s="4"/>
      <x:c r="EY335" s="4"/>
      <x:c r="EZ335" s="4"/>
      <x:c r="FA335" s="4"/>
      <x:c r="FB335" s="4"/>
      <x:c r="FC335" s="4"/>
      <x:c r="FD335" s="4"/>
      <x:c r="FE335" s="4"/>
      <x:c r="FF335" s="4"/>
      <x:c r="FG335" s="4"/>
      <x:c r="FH335" s="4"/>
      <x:c r="FI335" s="4"/>
      <x:c r="FJ335" s="4"/>
      <x:c r="FK335" s="4"/>
      <x:c r="FL335" s="4"/>
      <x:c r="FM335" s="4"/>
      <x:c r="FN335" s="4"/>
      <x:c r="FO335" s="4"/>
    </x:row>
    <x:row r="336">
      <x:c r="A336" s="72"/>
      <x:c r="B336" s="72"/>
      <x:c r="C336" s="72"/>
      <x:c r="D336" s="72"/>
      <x:c r="E336" s="72"/>
      <x:c r="F336" s="72"/>
      <x:c r="G336" s="72"/>
      <x:c r="H336" s="72"/>
      <x:c r="I336" s="72"/>
      <x:c r="J336" s="72"/>
      <x:c r="K336" s="72"/>
      <x:c r="L336" s="72"/>
      <x:c r="M336" s="72"/>
      <x:c r="N336" s="72"/>
      <x:c r="O336" s="72"/>
      <x:c r="P336" s="72"/>
      <x:c r="Q336" s="72"/>
      <x:c r="R336" s="72"/>
      <x:c r="S336" s="72"/>
      <x:c r="T336" s="72"/>
      <x:c r="U336" s="72"/>
      <x:c r="V336" s="72"/>
      <x:c r="W336" s="72"/>
      <x:c r="X336" s="72"/>
      <x:c r="Y336" s="72"/>
      <x:c r="Z336" s="72"/>
      <x:c r="AA336" s="72"/>
      <x:c r="AB336" s="72"/>
      <x:c r="AC336" s="72"/>
      <x:c r="AD336" s="72"/>
      <x:c r="AE336" s="72"/>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x:c r="BN336" s="4"/>
      <x:c r="BO336" s="4"/>
      <x:c r="BP336" s="4"/>
      <x:c r="BQ336" s="4"/>
      <x:c r="BR336" s="4"/>
      <x:c r="BS336" s="4"/>
      <x:c r="BT336" s="4"/>
      <x:c r="BU336" s="4"/>
      <x:c r="BV336" s="4"/>
      <x:c r="BW336" s="4"/>
      <x:c r="BX336" s="4"/>
      <x:c r="BY336" s="4"/>
      <x:c r="BZ336" s="4"/>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x:c r="DB336" s="4"/>
      <x:c r="DC336" s="4"/>
      <x:c r="DD336" s="4"/>
      <x:c r="DE336" s="4"/>
      <x:c r="DF336" s="4"/>
      <x:c r="DG336" s="4"/>
      <x:c r="DH336" s="4"/>
      <x:c r="DI336" s="4"/>
      <x:c r="DJ336" s="4"/>
      <x:c r="DK336" s="4"/>
      <x:c r="DL336" s="4"/>
      <x:c r="DM336" s="4"/>
      <x:c r="DN336" s="4"/>
      <x:c r="DO336" s="4"/>
      <x:c r="DP336" s="4"/>
      <x:c r="DQ336" s="4"/>
      <x:c r="DR336" s="4"/>
      <x:c r="DS336" s="4"/>
      <x:c r="DT336" s="4"/>
      <x:c r="DU336" s="4"/>
      <x:c r="DV336" s="4"/>
      <x:c r="DW336" s="4"/>
      <x:c r="DX336" s="4"/>
      <x:c r="DY336" s="4"/>
      <x:c r="DZ336" s="4"/>
      <x:c r="EA336" s="4"/>
      <x:c r="EB336" s="4"/>
      <x:c r="EC336" s="4"/>
      <x:c r="ED336" s="4"/>
      <x:c r="EE336" s="4"/>
      <x:c r="EF336" s="4"/>
      <x:c r="EG336" s="4"/>
      <x:c r="EH336" s="4"/>
      <x:c r="EI336" s="4"/>
      <x:c r="EJ336" s="4"/>
      <x:c r="EK336" s="4"/>
      <x:c r="EL336" s="4"/>
      <x:c r="EM336" s="4"/>
      <x:c r="EN336" s="4"/>
      <x:c r="EO336" s="4"/>
      <x:c r="EP336" s="4"/>
      <x:c r="EQ336" s="4"/>
      <x:c r="ER336" s="4"/>
      <x:c r="ES336" s="4"/>
      <x:c r="ET336" s="4"/>
      <x:c r="EU336" s="4"/>
      <x:c r="EV336" s="4"/>
      <x:c r="EW336" s="4"/>
      <x:c r="EX336" s="4"/>
      <x:c r="EY336" s="4"/>
      <x:c r="EZ336" s="4"/>
      <x:c r="FA336" s="4"/>
      <x:c r="FB336" s="4"/>
      <x:c r="FC336" s="4"/>
      <x:c r="FD336" s="4"/>
      <x:c r="FE336" s="4"/>
      <x:c r="FF336" s="4"/>
      <x:c r="FG336" s="4"/>
      <x:c r="FH336" s="4"/>
      <x:c r="FI336" s="4"/>
      <x:c r="FJ336" s="4"/>
      <x:c r="FK336" s="4"/>
      <x:c r="FL336" s="4"/>
      <x:c r="FM336" s="4"/>
      <x:c r="FN336" s="4"/>
      <x:c r="FO336" s="4"/>
    </x:row>
    <x:row r="337">
      <x:c r="A337" s="72"/>
      <x:c r="B337" s="72"/>
      <x:c r="C337" s="72"/>
      <x:c r="D337" s="72"/>
      <x:c r="E337" s="72"/>
      <x:c r="F337" s="72"/>
      <x:c r="G337" s="72"/>
      <x:c r="H337" s="72"/>
      <x:c r="I337" s="72"/>
      <x:c r="J337" s="72"/>
      <x:c r="K337" s="72"/>
      <x:c r="L337" s="72"/>
      <x:c r="M337" s="72"/>
      <x:c r="N337" s="72"/>
      <x:c r="O337" s="72"/>
      <x:c r="P337" s="72"/>
      <x:c r="Q337" s="72"/>
      <x:c r="R337" s="72"/>
      <x:c r="S337" s="72"/>
      <x:c r="T337" s="72"/>
      <x:c r="U337" s="72"/>
      <x:c r="V337" s="72"/>
      <x:c r="W337" s="72"/>
      <x:c r="X337" s="72"/>
      <x:c r="Y337" s="72"/>
      <x:c r="Z337" s="72"/>
      <x:c r="AA337" s="72"/>
      <x:c r="AB337" s="72"/>
      <x:c r="AC337" s="72"/>
      <x:c r="AD337" s="72"/>
      <x:c r="AE337" s="72"/>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x:c r="BN337" s="4"/>
      <x:c r="BO337" s="4"/>
      <x:c r="BP337" s="4"/>
      <x:c r="BQ337" s="4"/>
      <x:c r="BR337" s="4"/>
      <x:c r="BS337" s="4"/>
      <x:c r="BT337" s="4"/>
      <x:c r="BU337" s="4"/>
      <x:c r="BV337" s="4"/>
      <x:c r="BW337" s="4"/>
      <x:c r="BX337" s="4"/>
      <x:c r="BY337" s="4"/>
      <x:c r="BZ337" s="4"/>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x:c r="DB337" s="4"/>
      <x:c r="DC337" s="4"/>
      <x:c r="DD337" s="4"/>
      <x:c r="DE337" s="4"/>
      <x:c r="DF337" s="4"/>
      <x:c r="DG337" s="4"/>
      <x:c r="DH337" s="4"/>
      <x:c r="DI337" s="4"/>
      <x:c r="DJ337" s="4"/>
      <x:c r="DK337" s="4"/>
      <x:c r="DL337" s="4"/>
      <x:c r="DM337" s="4"/>
      <x:c r="DN337" s="4"/>
      <x:c r="DO337" s="4"/>
      <x:c r="DP337" s="4"/>
      <x:c r="DQ337" s="4"/>
      <x:c r="DR337" s="4"/>
      <x:c r="DS337" s="4"/>
      <x:c r="DT337" s="4"/>
      <x:c r="DU337" s="4"/>
      <x:c r="DV337" s="4"/>
      <x:c r="DW337" s="4"/>
      <x:c r="DX337" s="4"/>
      <x:c r="DY337" s="4"/>
      <x:c r="DZ337" s="4"/>
      <x:c r="EA337" s="4"/>
      <x:c r="EB337" s="4"/>
      <x:c r="EC337" s="4"/>
      <x:c r="ED337" s="4"/>
      <x:c r="EE337" s="4"/>
      <x:c r="EF337" s="4"/>
      <x:c r="EG337" s="4"/>
      <x:c r="EH337" s="4"/>
      <x:c r="EI337" s="4"/>
      <x:c r="EJ337" s="4"/>
      <x:c r="EK337" s="4"/>
      <x:c r="EL337" s="4"/>
      <x:c r="EM337" s="4"/>
      <x:c r="EN337" s="4"/>
      <x:c r="EO337" s="4"/>
      <x:c r="EP337" s="4"/>
      <x:c r="EQ337" s="4"/>
      <x:c r="ER337" s="4"/>
      <x:c r="ES337" s="4"/>
      <x:c r="ET337" s="4"/>
      <x:c r="EU337" s="4"/>
      <x:c r="EV337" s="4"/>
      <x:c r="EW337" s="4"/>
      <x:c r="EX337" s="4"/>
      <x:c r="EY337" s="4"/>
      <x:c r="EZ337" s="4"/>
      <x:c r="FA337" s="4"/>
      <x:c r="FB337" s="4"/>
      <x:c r="FC337" s="4"/>
      <x:c r="FD337" s="4"/>
      <x:c r="FE337" s="4"/>
      <x:c r="FF337" s="4"/>
      <x:c r="FG337" s="4"/>
      <x:c r="FH337" s="4"/>
      <x:c r="FI337" s="4"/>
      <x:c r="FJ337" s="4"/>
      <x:c r="FK337" s="4"/>
      <x:c r="FL337" s="4"/>
      <x:c r="FM337" s="4"/>
      <x:c r="FN337" s="4"/>
      <x:c r="FO337" s="4"/>
    </x:row>
    <x:row r="338">
      <x:c r="A338" s="72"/>
      <x:c r="B338" s="72"/>
      <x:c r="C338" s="72"/>
      <x:c r="D338" s="72"/>
      <x:c r="E338" s="72"/>
      <x:c r="F338" s="72"/>
      <x:c r="G338" s="72"/>
      <x:c r="H338" s="72"/>
      <x:c r="I338" s="72"/>
      <x:c r="J338" s="72"/>
      <x:c r="K338" s="72"/>
      <x:c r="L338" s="72"/>
      <x:c r="M338" s="72"/>
      <x:c r="N338" s="72"/>
      <x:c r="O338" s="72"/>
      <x:c r="P338" s="72"/>
      <x:c r="Q338" s="72"/>
      <x:c r="R338" s="72"/>
      <x:c r="S338" s="72"/>
      <x:c r="T338" s="72"/>
      <x:c r="U338" s="72"/>
      <x:c r="V338" s="72"/>
      <x:c r="W338" s="72"/>
      <x:c r="X338" s="72"/>
      <x:c r="Y338" s="72"/>
      <x:c r="Z338" s="72"/>
      <x:c r="AA338" s="72"/>
      <x:c r="AB338" s="72"/>
      <x:c r="AC338" s="72"/>
      <x:c r="AD338" s="72"/>
      <x:c r="AE338" s="72"/>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x:c r="BN338" s="4"/>
      <x:c r="BO338" s="4"/>
      <x:c r="BP338" s="4"/>
      <x:c r="BQ338" s="4"/>
      <x:c r="BR338" s="4"/>
      <x:c r="BS338" s="4"/>
      <x:c r="BT338" s="4"/>
      <x:c r="BU338" s="4"/>
      <x:c r="BV338" s="4"/>
      <x:c r="BW338" s="4"/>
      <x:c r="BX338" s="4"/>
      <x:c r="BY338" s="4"/>
      <x:c r="BZ338" s="4"/>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x:c r="DB338" s="4"/>
      <x:c r="DC338" s="4"/>
      <x:c r="DD338" s="4"/>
      <x:c r="DE338" s="4"/>
      <x:c r="DF338" s="4"/>
      <x:c r="DG338" s="4"/>
      <x:c r="DH338" s="4"/>
      <x:c r="DI338" s="4"/>
      <x:c r="DJ338" s="4"/>
      <x:c r="DK338" s="4"/>
      <x:c r="DL338" s="4"/>
      <x:c r="DM338" s="4"/>
      <x:c r="DN338" s="4"/>
      <x:c r="DO338" s="4"/>
      <x:c r="DP338" s="4"/>
      <x:c r="DQ338" s="4"/>
      <x:c r="DR338" s="4"/>
      <x:c r="DS338" s="4"/>
      <x:c r="DT338" s="4"/>
      <x:c r="DU338" s="4"/>
      <x:c r="DV338" s="4"/>
      <x:c r="DW338" s="4"/>
      <x:c r="DX338" s="4"/>
      <x:c r="DY338" s="4"/>
      <x:c r="DZ338" s="4"/>
      <x:c r="EA338" s="4"/>
      <x:c r="EB338" s="4"/>
      <x:c r="EC338" s="4"/>
      <x:c r="ED338" s="4"/>
      <x:c r="EE338" s="4"/>
      <x:c r="EF338" s="4"/>
      <x:c r="EG338" s="4"/>
      <x:c r="EH338" s="4"/>
      <x:c r="EI338" s="4"/>
      <x:c r="EJ338" s="4"/>
      <x:c r="EK338" s="4"/>
      <x:c r="EL338" s="4"/>
      <x:c r="EM338" s="4"/>
      <x:c r="EN338" s="4"/>
      <x:c r="EO338" s="4"/>
      <x:c r="EP338" s="4"/>
      <x:c r="EQ338" s="4"/>
      <x:c r="ER338" s="4"/>
      <x:c r="ES338" s="4"/>
      <x:c r="ET338" s="4"/>
      <x:c r="EU338" s="4"/>
      <x:c r="EV338" s="4"/>
      <x:c r="EW338" s="4"/>
      <x:c r="EX338" s="4"/>
      <x:c r="EY338" s="4"/>
      <x:c r="EZ338" s="4"/>
      <x:c r="FA338" s="4"/>
      <x:c r="FB338" s="4"/>
      <x:c r="FC338" s="4"/>
      <x:c r="FD338" s="4"/>
      <x:c r="FE338" s="4"/>
      <x:c r="FF338" s="4"/>
      <x:c r="FG338" s="4"/>
      <x:c r="FH338" s="4"/>
      <x:c r="FI338" s="4"/>
      <x:c r="FJ338" s="4"/>
      <x:c r="FK338" s="4"/>
      <x:c r="FL338" s="4"/>
      <x:c r="FM338" s="4"/>
      <x:c r="FN338" s="4"/>
      <x:c r="FO338" s="4"/>
    </x:row>
    <x:row r="339">
      <x:c r="A339" s="72"/>
      <x:c r="B339" s="72"/>
      <x:c r="C339" s="72"/>
      <x:c r="D339" s="72"/>
      <x:c r="E339" s="72"/>
      <x:c r="F339" s="72"/>
      <x:c r="G339" s="72"/>
      <x:c r="H339" s="72"/>
      <x:c r="I339" s="72"/>
      <x:c r="J339" s="72"/>
      <x:c r="K339" s="72"/>
      <x:c r="L339" s="72"/>
      <x:c r="M339" s="72"/>
      <x:c r="N339" s="72"/>
      <x:c r="O339" s="72"/>
      <x:c r="P339" s="72"/>
      <x:c r="Q339" s="72"/>
      <x:c r="R339" s="72"/>
      <x:c r="S339" s="72"/>
      <x:c r="T339" s="72"/>
      <x:c r="U339" s="72"/>
      <x:c r="V339" s="72"/>
      <x:c r="W339" s="72"/>
      <x:c r="X339" s="72"/>
      <x:c r="Y339" s="72"/>
      <x:c r="Z339" s="72"/>
      <x:c r="AA339" s="72"/>
      <x:c r="AB339" s="72"/>
      <x:c r="AC339" s="72"/>
      <x:c r="AD339" s="72"/>
      <x:c r="AE339" s="72"/>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x:c r="BN339" s="4"/>
      <x:c r="BO339" s="4"/>
      <x:c r="BP339" s="4"/>
      <x:c r="BQ339" s="4"/>
      <x:c r="BR339" s="4"/>
      <x:c r="BS339" s="4"/>
      <x:c r="BT339" s="4"/>
      <x:c r="BU339" s="4"/>
      <x:c r="BV339" s="4"/>
      <x:c r="BW339" s="4"/>
      <x:c r="BX339" s="4"/>
      <x:c r="BY339" s="4"/>
      <x:c r="BZ339" s="4"/>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x:c r="DB339" s="4"/>
      <x:c r="DC339" s="4"/>
      <x:c r="DD339" s="4"/>
      <x:c r="DE339" s="4"/>
      <x:c r="DF339" s="4"/>
      <x:c r="DG339" s="4"/>
      <x:c r="DH339" s="4"/>
      <x:c r="DI339" s="4"/>
      <x:c r="DJ339" s="4"/>
      <x:c r="DK339" s="4"/>
      <x:c r="DL339" s="4"/>
      <x:c r="DM339" s="4"/>
      <x:c r="DN339" s="4"/>
      <x:c r="DO339" s="4"/>
      <x:c r="DP339" s="4"/>
      <x:c r="DQ339" s="4"/>
      <x:c r="DR339" s="4"/>
      <x:c r="DS339" s="4"/>
      <x:c r="DT339" s="4"/>
      <x:c r="DU339" s="4"/>
      <x:c r="DV339" s="4"/>
      <x:c r="DW339" s="4"/>
      <x:c r="DX339" s="4"/>
      <x:c r="DY339" s="4"/>
      <x:c r="DZ339" s="4"/>
      <x:c r="EA339" s="4"/>
      <x:c r="EB339" s="4"/>
      <x:c r="EC339" s="4"/>
      <x:c r="ED339" s="4"/>
      <x:c r="EE339" s="4"/>
      <x:c r="EF339" s="4"/>
      <x:c r="EG339" s="4"/>
      <x:c r="EH339" s="4"/>
      <x:c r="EI339" s="4"/>
      <x:c r="EJ339" s="4"/>
      <x:c r="EK339" s="4"/>
      <x:c r="EL339" s="4"/>
      <x:c r="EM339" s="4"/>
      <x:c r="EN339" s="4"/>
      <x:c r="EO339" s="4"/>
      <x:c r="EP339" s="4"/>
      <x:c r="EQ339" s="4"/>
      <x:c r="ER339" s="4"/>
      <x:c r="ES339" s="4"/>
      <x:c r="ET339" s="4"/>
      <x:c r="EU339" s="4"/>
      <x:c r="EV339" s="4"/>
      <x:c r="EW339" s="4"/>
      <x:c r="EX339" s="4"/>
      <x:c r="EY339" s="4"/>
      <x:c r="EZ339" s="4"/>
      <x:c r="FA339" s="4"/>
      <x:c r="FB339" s="4"/>
      <x:c r="FC339" s="4"/>
      <x:c r="FD339" s="4"/>
      <x:c r="FE339" s="4"/>
      <x:c r="FF339" s="4"/>
      <x:c r="FG339" s="4"/>
      <x:c r="FH339" s="4"/>
      <x:c r="FI339" s="4"/>
      <x:c r="FJ339" s="4"/>
      <x:c r="FK339" s="4"/>
      <x:c r="FL339" s="4"/>
      <x:c r="FM339" s="4"/>
      <x:c r="FN339" s="4"/>
      <x:c r="FO339" s="4"/>
    </x:row>
    <x:row r="340">
      <x:c r="A340" s="72"/>
      <x:c r="B340" s="72"/>
      <x:c r="C340" s="72"/>
      <x:c r="D340" s="72"/>
      <x:c r="E340" s="72"/>
      <x:c r="F340" s="72"/>
      <x:c r="G340" s="72"/>
      <x:c r="H340" s="72"/>
      <x:c r="I340" s="72"/>
      <x:c r="J340" s="72"/>
      <x:c r="K340" s="72"/>
      <x:c r="L340" s="72"/>
      <x:c r="M340" s="72"/>
      <x:c r="N340" s="72"/>
      <x:c r="O340" s="72"/>
      <x:c r="P340" s="72"/>
      <x:c r="Q340" s="72"/>
      <x:c r="R340" s="72"/>
      <x:c r="S340" s="72"/>
      <x:c r="T340" s="72"/>
      <x:c r="U340" s="72"/>
      <x:c r="V340" s="72"/>
      <x:c r="W340" s="72"/>
      <x:c r="X340" s="72"/>
      <x:c r="Y340" s="72"/>
      <x:c r="Z340" s="72"/>
      <x:c r="AA340" s="72"/>
      <x:c r="AB340" s="72"/>
      <x:c r="AC340" s="72"/>
      <x:c r="AD340" s="72"/>
      <x:c r="AE340" s="72"/>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x:c r="BN340" s="4"/>
      <x:c r="BO340" s="4"/>
      <x:c r="BP340" s="4"/>
      <x:c r="BQ340" s="4"/>
      <x:c r="BR340" s="4"/>
      <x:c r="BS340" s="4"/>
      <x:c r="BT340" s="4"/>
      <x:c r="BU340" s="4"/>
      <x:c r="BV340" s="4"/>
      <x:c r="BW340" s="4"/>
      <x:c r="BX340" s="4"/>
      <x:c r="BY340" s="4"/>
      <x:c r="BZ340" s="4"/>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x:c r="DB340" s="4"/>
      <x:c r="DC340" s="4"/>
      <x:c r="DD340" s="4"/>
      <x:c r="DE340" s="4"/>
      <x:c r="DF340" s="4"/>
      <x:c r="DG340" s="4"/>
      <x:c r="DH340" s="4"/>
      <x:c r="DI340" s="4"/>
      <x:c r="DJ340" s="4"/>
      <x:c r="DK340" s="4"/>
      <x:c r="DL340" s="4"/>
      <x:c r="DM340" s="4"/>
      <x:c r="DN340" s="4"/>
      <x:c r="DO340" s="4"/>
      <x:c r="DP340" s="4"/>
      <x:c r="DQ340" s="4"/>
      <x:c r="DR340" s="4"/>
      <x:c r="DS340" s="4"/>
      <x:c r="DT340" s="4"/>
      <x:c r="DU340" s="4"/>
      <x:c r="DV340" s="4"/>
      <x:c r="DW340" s="4"/>
      <x:c r="DX340" s="4"/>
      <x:c r="DY340" s="4"/>
      <x:c r="DZ340" s="4"/>
      <x:c r="EA340" s="4"/>
      <x:c r="EB340" s="4"/>
      <x:c r="EC340" s="4"/>
      <x:c r="ED340" s="4"/>
      <x:c r="EE340" s="4"/>
      <x:c r="EF340" s="4"/>
      <x:c r="EG340" s="4"/>
      <x:c r="EH340" s="4"/>
      <x:c r="EI340" s="4"/>
      <x:c r="EJ340" s="4"/>
      <x:c r="EK340" s="4"/>
      <x:c r="EL340" s="4"/>
      <x:c r="EM340" s="4"/>
      <x:c r="EN340" s="4"/>
      <x:c r="EO340" s="4"/>
      <x:c r="EP340" s="4"/>
      <x:c r="EQ340" s="4"/>
      <x:c r="ER340" s="4"/>
      <x:c r="ES340" s="4"/>
      <x:c r="ET340" s="4"/>
      <x:c r="EU340" s="4"/>
      <x:c r="EV340" s="4"/>
      <x:c r="EW340" s="4"/>
      <x:c r="EX340" s="4"/>
      <x:c r="EY340" s="4"/>
      <x:c r="EZ340" s="4"/>
      <x:c r="FA340" s="4"/>
      <x:c r="FB340" s="4"/>
      <x:c r="FC340" s="4"/>
      <x:c r="FD340" s="4"/>
      <x:c r="FE340" s="4"/>
      <x:c r="FF340" s="4"/>
      <x:c r="FG340" s="4"/>
      <x:c r="FH340" s="4"/>
      <x:c r="FI340" s="4"/>
      <x:c r="FJ340" s="4"/>
      <x:c r="FK340" s="4"/>
      <x:c r="FL340" s="4"/>
      <x:c r="FM340" s="4"/>
      <x:c r="FN340" s="4"/>
      <x:c r="FO340" s="4"/>
    </x:row>
    <x:row r="341">
      <x:c r="A341" s="72"/>
      <x:c r="B341" s="72"/>
      <x:c r="C341" s="72"/>
      <x:c r="D341" s="72"/>
      <x:c r="E341" s="72"/>
      <x:c r="F341" s="72"/>
      <x:c r="G341" s="72"/>
      <x:c r="H341" s="72"/>
      <x:c r="I341" s="72"/>
      <x:c r="J341" s="72"/>
      <x:c r="K341" s="72"/>
      <x:c r="L341" s="72"/>
      <x:c r="M341" s="72"/>
      <x:c r="N341" s="72"/>
      <x:c r="O341" s="72"/>
      <x:c r="P341" s="72"/>
      <x:c r="Q341" s="72"/>
      <x:c r="R341" s="72"/>
      <x:c r="S341" s="72"/>
      <x:c r="T341" s="72"/>
      <x:c r="U341" s="72"/>
      <x:c r="V341" s="72"/>
      <x:c r="W341" s="72"/>
      <x:c r="X341" s="72"/>
      <x:c r="Y341" s="72"/>
      <x:c r="Z341" s="72"/>
      <x:c r="AA341" s="72"/>
      <x:c r="AB341" s="72"/>
      <x:c r="AC341" s="72"/>
      <x:c r="AD341" s="72"/>
      <x:c r="AE341" s="72"/>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x:c r="BN341" s="4"/>
      <x:c r="BO341" s="4"/>
      <x:c r="BP341" s="4"/>
      <x:c r="BQ341" s="4"/>
      <x:c r="BR341" s="4"/>
      <x:c r="BS341" s="4"/>
      <x:c r="BT341" s="4"/>
      <x:c r="BU341" s="4"/>
      <x:c r="BV341" s="4"/>
      <x:c r="BW341" s="4"/>
      <x:c r="BX341" s="4"/>
      <x:c r="BY341" s="4"/>
      <x:c r="BZ341" s="4"/>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x:c r="DB341" s="4"/>
      <x:c r="DC341" s="4"/>
      <x:c r="DD341" s="4"/>
      <x:c r="DE341" s="4"/>
      <x:c r="DF341" s="4"/>
      <x:c r="DG341" s="4"/>
      <x:c r="DH341" s="4"/>
      <x:c r="DI341" s="4"/>
      <x:c r="DJ341" s="4"/>
      <x:c r="DK341" s="4"/>
      <x:c r="DL341" s="4"/>
      <x:c r="DM341" s="4"/>
      <x:c r="DN341" s="4"/>
      <x:c r="DO341" s="4"/>
      <x:c r="DP341" s="4"/>
      <x:c r="DQ341" s="4"/>
      <x:c r="DR341" s="4"/>
      <x:c r="DS341" s="4"/>
      <x:c r="DT341" s="4"/>
      <x:c r="DU341" s="4"/>
      <x:c r="DV341" s="4"/>
      <x:c r="DW341" s="4"/>
      <x:c r="DX341" s="4"/>
      <x:c r="DY341" s="4"/>
      <x:c r="DZ341" s="4"/>
      <x:c r="EA341" s="4"/>
      <x:c r="EB341" s="4"/>
      <x:c r="EC341" s="4"/>
      <x:c r="ED341" s="4"/>
      <x:c r="EE341" s="4"/>
      <x:c r="EF341" s="4"/>
      <x:c r="EG341" s="4"/>
      <x:c r="EH341" s="4"/>
      <x:c r="EI341" s="4"/>
      <x:c r="EJ341" s="4"/>
      <x:c r="EK341" s="4"/>
      <x:c r="EL341" s="4"/>
      <x:c r="EM341" s="4"/>
      <x:c r="EN341" s="4"/>
      <x:c r="EO341" s="4"/>
      <x:c r="EP341" s="4"/>
      <x:c r="EQ341" s="4"/>
      <x:c r="ER341" s="4"/>
      <x:c r="ES341" s="4"/>
      <x:c r="ET341" s="4"/>
      <x:c r="EU341" s="4"/>
      <x:c r="EV341" s="4"/>
      <x:c r="EW341" s="4"/>
      <x:c r="EX341" s="4"/>
      <x:c r="EY341" s="4"/>
      <x:c r="EZ341" s="4"/>
      <x:c r="FA341" s="4"/>
      <x:c r="FB341" s="4"/>
      <x:c r="FC341" s="4"/>
      <x:c r="FD341" s="4"/>
      <x:c r="FE341" s="4"/>
      <x:c r="FF341" s="4"/>
      <x:c r="FG341" s="4"/>
      <x:c r="FH341" s="4"/>
      <x:c r="FI341" s="4"/>
      <x:c r="FJ341" s="4"/>
      <x:c r="FK341" s="4"/>
      <x:c r="FL341" s="4"/>
      <x:c r="FM341" s="4"/>
      <x:c r="FN341" s="4"/>
      <x:c r="FO341" s="4"/>
    </x:row>
    <x:row r="342">
      <x:c r="A342" s="72"/>
      <x:c r="B342" s="72"/>
      <x:c r="C342" s="72"/>
      <x:c r="D342" s="72"/>
      <x:c r="E342" s="72"/>
      <x:c r="F342" s="72"/>
      <x:c r="G342" s="72"/>
      <x:c r="H342" s="72"/>
      <x:c r="I342" s="72"/>
      <x:c r="J342" s="72"/>
      <x:c r="K342" s="72"/>
      <x:c r="L342" s="72"/>
      <x:c r="M342" s="72"/>
      <x:c r="N342" s="72"/>
      <x:c r="O342" s="72"/>
      <x:c r="P342" s="72"/>
      <x:c r="Q342" s="72"/>
      <x:c r="R342" s="72"/>
      <x:c r="S342" s="72"/>
      <x:c r="T342" s="72"/>
      <x:c r="U342" s="72"/>
      <x:c r="V342" s="72"/>
      <x:c r="W342" s="72"/>
      <x:c r="X342" s="72"/>
      <x:c r="Y342" s="72"/>
      <x:c r="Z342" s="72"/>
      <x:c r="AA342" s="72"/>
      <x:c r="AB342" s="72"/>
      <x:c r="AC342" s="72"/>
      <x:c r="AD342" s="72"/>
      <x:c r="AE342" s="72"/>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x:c r="BN342" s="4"/>
      <x:c r="BO342" s="4"/>
      <x:c r="BP342" s="4"/>
      <x:c r="BQ342" s="4"/>
      <x:c r="BR342" s="4"/>
      <x:c r="BS342" s="4"/>
      <x:c r="BT342" s="4"/>
      <x:c r="BU342" s="4"/>
      <x:c r="BV342" s="4"/>
      <x:c r="BW342" s="4"/>
      <x:c r="BX342" s="4"/>
      <x:c r="BY342" s="4"/>
      <x:c r="BZ342" s="4"/>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x:c r="DB342" s="4"/>
      <x:c r="DC342" s="4"/>
      <x:c r="DD342" s="4"/>
      <x:c r="DE342" s="4"/>
      <x:c r="DF342" s="4"/>
      <x:c r="DG342" s="4"/>
      <x:c r="DH342" s="4"/>
      <x:c r="DI342" s="4"/>
      <x:c r="DJ342" s="4"/>
      <x:c r="DK342" s="4"/>
      <x:c r="DL342" s="4"/>
      <x:c r="DM342" s="4"/>
      <x:c r="DN342" s="4"/>
      <x:c r="DO342" s="4"/>
      <x:c r="DP342" s="4"/>
      <x:c r="DQ342" s="4"/>
      <x:c r="DR342" s="4"/>
      <x:c r="DS342" s="4"/>
      <x:c r="DT342" s="4"/>
      <x:c r="DU342" s="4"/>
      <x:c r="DV342" s="4"/>
      <x:c r="DW342" s="4"/>
      <x:c r="DX342" s="4"/>
      <x:c r="DY342" s="4"/>
      <x:c r="DZ342" s="4"/>
      <x:c r="EA342" s="4"/>
      <x:c r="EB342" s="4"/>
      <x:c r="EC342" s="4"/>
      <x:c r="ED342" s="4"/>
      <x:c r="EE342" s="4"/>
      <x:c r="EF342" s="4"/>
      <x:c r="EG342" s="4"/>
      <x:c r="EH342" s="4"/>
      <x:c r="EI342" s="4"/>
      <x:c r="EJ342" s="4"/>
      <x:c r="EK342" s="4"/>
      <x:c r="EL342" s="4"/>
      <x:c r="EM342" s="4"/>
      <x:c r="EN342" s="4"/>
      <x:c r="EO342" s="4"/>
      <x:c r="EP342" s="4"/>
      <x:c r="EQ342" s="4"/>
      <x:c r="ER342" s="4"/>
      <x:c r="ES342" s="4"/>
      <x:c r="ET342" s="4"/>
      <x:c r="EU342" s="4"/>
      <x:c r="EV342" s="4"/>
      <x:c r="EW342" s="4"/>
      <x:c r="EX342" s="4"/>
      <x:c r="EY342" s="4"/>
      <x:c r="EZ342" s="4"/>
      <x:c r="FA342" s="4"/>
      <x:c r="FB342" s="4"/>
      <x:c r="FC342" s="4"/>
      <x:c r="FD342" s="4"/>
      <x:c r="FE342" s="4"/>
      <x:c r="FF342" s="4"/>
      <x:c r="FG342" s="4"/>
      <x:c r="FH342" s="4"/>
      <x:c r="FI342" s="4"/>
      <x:c r="FJ342" s="4"/>
      <x:c r="FK342" s="4"/>
      <x:c r="FL342" s="4"/>
      <x:c r="FM342" s="4"/>
      <x:c r="FN342" s="4"/>
      <x:c r="FO342" s="4"/>
    </x:row>
    <x:row r="343">
      <x:c r="A343" s="72"/>
      <x:c r="B343" s="72"/>
      <x:c r="C343" s="72"/>
      <x:c r="D343" s="72"/>
      <x:c r="E343" s="72"/>
      <x:c r="F343" s="72"/>
      <x:c r="G343" s="72"/>
      <x:c r="H343" s="72"/>
      <x:c r="I343" s="72"/>
      <x:c r="J343" s="72"/>
      <x:c r="K343" s="72"/>
      <x:c r="L343" s="72"/>
      <x:c r="M343" s="72"/>
      <x:c r="N343" s="72"/>
      <x:c r="O343" s="72"/>
      <x:c r="P343" s="72"/>
      <x:c r="Q343" s="72"/>
      <x:c r="R343" s="72"/>
      <x:c r="S343" s="72"/>
      <x:c r="T343" s="72"/>
      <x:c r="U343" s="72"/>
      <x:c r="V343" s="72"/>
      <x:c r="W343" s="72"/>
      <x:c r="X343" s="72"/>
      <x:c r="Y343" s="72"/>
      <x:c r="Z343" s="72"/>
      <x:c r="AA343" s="72"/>
      <x:c r="AB343" s="72"/>
      <x:c r="AC343" s="72"/>
      <x:c r="AD343" s="72"/>
      <x:c r="AE343" s="72"/>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x:c r="BN343" s="4"/>
      <x:c r="BO343" s="4"/>
      <x:c r="BP343" s="4"/>
      <x:c r="BQ343" s="4"/>
      <x:c r="BR343" s="4"/>
      <x:c r="BS343" s="4"/>
      <x:c r="BT343" s="4"/>
      <x:c r="BU343" s="4"/>
      <x:c r="BV343" s="4"/>
      <x:c r="BW343" s="4"/>
      <x:c r="BX343" s="4"/>
      <x:c r="BY343" s="4"/>
      <x:c r="BZ343" s="4"/>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x:c r="DB343" s="4"/>
      <x:c r="DC343" s="4"/>
      <x:c r="DD343" s="4"/>
      <x:c r="DE343" s="4"/>
      <x:c r="DF343" s="4"/>
      <x:c r="DG343" s="4"/>
      <x:c r="DH343" s="4"/>
      <x:c r="DI343" s="4"/>
      <x:c r="DJ343" s="4"/>
      <x:c r="DK343" s="4"/>
      <x:c r="DL343" s="4"/>
      <x:c r="DM343" s="4"/>
      <x:c r="DN343" s="4"/>
      <x:c r="DO343" s="4"/>
      <x:c r="DP343" s="4"/>
      <x:c r="DQ343" s="4"/>
      <x:c r="DR343" s="4"/>
      <x:c r="DS343" s="4"/>
      <x:c r="DT343" s="4"/>
      <x:c r="DU343" s="4"/>
      <x:c r="DV343" s="4"/>
      <x:c r="DW343" s="4"/>
      <x:c r="DX343" s="4"/>
      <x:c r="DY343" s="4"/>
      <x:c r="DZ343" s="4"/>
      <x:c r="EA343" s="4"/>
      <x:c r="EB343" s="4"/>
      <x:c r="EC343" s="4"/>
      <x:c r="ED343" s="4"/>
      <x:c r="EE343" s="4"/>
      <x:c r="EF343" s="4"/>
      <x:c r="EG343" s="4"/>
      <x:c r="EH343" s="4"/>
      <x:c r="EI343" s="4"/>
      <x:c r="EJ343" s="4"/>
      <x:c r="EK343" s="4"/>
      <x:c r="EL343" s="4"/>
      <x:c r="EM343" s="4"/>
      <x:c r="EN343" s="4"/>
      <x:c r="EO343" s="4"/>
      <x:c r="EP343" s="4"/>
      <x:c r="EQ343" s="4"/>
      <x:c r="ER343" s="4"/>
      <x:c r="ES343" s="4"/>
      <x:c r="ET343" s="4"/>
      <x:c r="EU343" s="4"/>
      <x:c r="EV343" s="4"/>
      <x:c r="EW343" s="4"/>
      <x:c r="EX343" s="4"/>
      <x:c r="EY343" s="4"/>
      <x:c r="EZ343" s="4"/>
      <x:c r="FA343" s="4"/>
      <x:c r="FB343" s="4"/>
      <x:c r="FC343" s="4"/>
      <x:c r="FD343" s="4"/>
      <x:c r="FE343" s="4"/>
      <x:c r="FF343" s="4"/>
      <x:c r="FG343" s="4"/>
      <x:c r="FH343" s="4"/>
      <x:c r="FI343" s="4"/>
      <x:c r="FJ343" s="4"/>
      <x:c r="FK343" s="4"/>
      <x:c r="FL343" s="4"/>
      <x:c r="FM343" s="4"/>
      <x:c r="FN343" s="4"/>
      <x:c r="FO343" s="4"/>
    </x:row>
    <x:row r="344">
      <x:c r="A344" s="72"/>
      <x:c r="B344" s="72"/>
      <x:c r="C344" s="72"/>
      <x:c r="D344" s="72"/>
      <x:c r="E344" s="72"/>
      <x:c r="F344" s="72"/>
      <x:c r="G344" s="72"/>
      <x:c r="H344" s="72"/>
      <x:c r="I344" s="72"/>
      <x:c r="J344" s="72"/>
      <x:c r="K344" s="72"/>
      <x:c r="L344" s="72"/>
      <x:c r="M344" s="72"/>
      <x:c r="N344" s="72"/>
      <x:c r="O344" s="72"/>
      <x:c r="P344" s="72"/>
      <x:c r="Q344" s="72"/>
      <x:c r="R344" s="72"/>
      <x:c r="S344" s="72"/>
      <x:c r="T344" s="72"/>
      <x:c r="U344" s="72"/>
      <x:c r="V344" s="72"/>
      <x:c r="W344" s="72"/>
      <x:c r="X344" s="72"/>
      <x:c r="Y344" s="72"/>
      <x:c r="Z344" s="72"/>
      <x:c r="AA344" s="72"/>
      <x:c r="AB344" s="72"/>
      <x:c r="AC344" s="72"/>
      <x:c r="AD344" s="72"/>
      <x:c r="AE344" s="72"/>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x:c r="BN344" s="4"/>
      <x:c r="BO344" s="4"/>
      <x:c r="BP344" s="4"/>
      <x:c r="BQ344" s="4"/>
      <x:c r="BR344" s="4"/>
      <x:c r="BS344" s="4"/>
      <x:c r="BT344" s="4"/>
      <x:c r="BU344" s="4"/>
      <x:c r="BV344" s="4"/>
      <x:c r="BW344" s="4"/>
      <x:c r="BX344" s="4"/>
      <x:c r="BY344" s="4"/>
      <x:c r="BZ344" s="4"/>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x:c r="DB344" s="4"/>
      <x:c r="DC344" s="4"/>
      <x:c r="DD344" s="4"/>
      <x:c r="DE344" s="4"/>
      <x:c r="DF344" s="4"/>
      <x:c r="DG344" s="4"/>
      <x:c r="DH344" s="4"/>
      <x:c r="DI344" s="4"/>
      <x:c r="DJ344" s="4"/>
      <x:c r="DK344" s="4"/>
      <x:c r="DL344" s="4"/>
      <x:c r="DM344" s="4"/>
      <x:c r="DN344" s="4"/>
      <x:c r="DO344" s="4"/>
      <x:c r="DP344" s="4"/>
      <x:c r="DQ344" s="4"/>
      <x:c r="DR344" s="4"/>
      <x:c r="DS344" s="4"/>
      <x:c r="DT344" s="4"/>
      <x:c r="DU344" s="4"/>
      <x:c r="DV344" s="4"/>
      <x:c r="DW344" s="4"/>
      <x:c r="DX344" s="4"/>
      <x:c r="DY344" s="4"/>
      <x:c r="DZ344" s="4"/>
      <x:c r="EA344" s="4"/>
      <x:c r="EB344" s="4"/>
      <x:c r="EC344" s="4"/>
      <x:c r="ED344" s="4"/>
      <x:c r="EE344" s="4"/>
      <x:c r="EF344" s="4"/>
      <x:c r="EG344" s="4"/>
      <x:c r="EH344" s="4"/>
      <x:c r="EI344" s="4"/>
      <x:c r="EJ344" s="4"/>
      <x:c r="EK344" s="4"/>
      <x:c r="EL344" s="4"/>
      <x:c r="EM344" s="4"/>
      <x:c r="EN344" s="4"/>
      <x:c r="EO344" s="4"/>
      <x:c r="EP344" s="4"/>
      <x:c r="EQ344" s="4"/>
      <x:c r="ER344" s="4"/>
      <x:c r="ES344" s="4"/>
      <x:c r="ET344" s="4"/>
      <x:c r="EU344" s="4"/>
      <x:c r="EV344" s="4"/>
      <x:c r="EW344" s="4"/>
      <x:c r="EX344" s="4"/>
      <x:c r="EY344" s="4"/>
      <x:c r="EZ344" s="4"/>
      <x:c r="FA344" s="4"/>
      <x:c r="FB344" s="4"/>
      <x:c r="FC344" s="4"/>
      <x:c r="FD344" s="4"/>
      <x:c r="FE344" s="4"/>
      <x:c r="FF344" s="4"/>
      <x:c r="FG344" s="4"/>
      <x:c r="FH344" s="4"/>
      <x:c r="FI344" s="4"/>
      <x:c r="FJ344" s="4"/>
      <x:c r="FK344" s="4"/>
      <x:c r="FL344" s="4"/>
      <x:c r="FM344" s="4"/>
      <x:c r="FN344" s="4"/>
      <x:c r="FO344" s="4"/>
    </x:row>
    <x:row r="345">
      <x:c r="A345" s="72"/>
      <x:c r="B345" s="72"/>
      <x:c r="C345" s="72"/>
      <x:c r="D345" s="72"/>
      <x:c r="E345" s="72"/>
      <x:c r="F345" s="72"/>
      <x:c r="G345" s="72"/>
      <x:c r="H345" s="72"/>
      <x:c r="I345" s="72"/>
      <x:c r="J345" s="72"/>
      <x:c r="K345" s="72"/>
      <x:c r="L345" s="72"/>
      <x:c r="M345" s="72"/>
      <x:c r="N345" s="72"/>
      <x:c r="O345" s="72"/>
      <x:c r="P345" s="72"/>
      <x:c r="Q345" s="72"/>
      <x:c r="R345" s="72"/>
      <x:c r="S345" s="72"/>
      <x:c r="T345" s="72"/>
      <x:c r="U345" s="72"/>
      <x:c r="V345" s="72"/>
      <x:c r="W345" s="72"/>
      <x:c r="X345" s="72"/>
      <x:c r="Y345" s="72"/>
      <x:c r="Z345" s="72"/>
      <x:c r="AA345" s="72"/>
      <x:c r="AB345" s="72"/>
      <x:c r="AC345" s="72"/>
      <x:c r="AD345" s="72"/>
      <x:c r="AE345" s="72"/>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x:c r="BN345" s="4"/>
      <x:c r="BO345" s="4"/>
      <x:c r="BP345" s="4"/>
      <x:c r="BQ345" s="4"/>
      <x:c r="BR345" s="4"/>
      <x:c r="BS345" s="4"/>
      <x:c r="BT345" s="4"/>
      <x:c r="BU345" s="4"/>
      <x:c r="BV345" s="4"/>
      <x:c r="BW345" s="4"/>
      <x:c r="BX345" s="4"/>
      <x:c r="BY345" s="4"/>
      <x:c r="BZ345" s="4"/>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x:c r="DB345" s="4"/>
      <x:c r="DC345" s="4"/>
      <x:c r="DD345" s="4"/>
      <x:c r="DE345" s="4"/>
      <x:c r="DF345" s="4"/>
      <x:c r="DG345" s="4"/>
      <x:c r="DH345" s="4"/>
      <x:c r="DI345" s="4"/>
      <x:c r="DJ345" s="4"/>
      <x:c r="DK345" s="4"/>
      <x:c r="DL345" s="4"/>
      <x:c r="DM345" s="4"/>
      <x:c r="DN345" s="4"/>
      <x:c r="DO345" s="4"/>
      <x:c r="DP345" s="4"/>
      <x:c r="DQ345" s="4"/>
      <x:c r="DR345" s="4"/>
      <x:c r="DS345" s="4"/>
      <x:c r="DT345" s="4"/>
      <x:c r="DU345" s="4"/>
      <x:c r="DV345" s="4"/>
      <x:c r="DW345" s="4"/>
      <x:c r="DX345" s="4"/>
      <x:c r="DY345" s="4"/>
      <x:c r="DZ345" s="4"/>
      <x:c r="EA345" s="4"/>
      <x:c r="EB345" s="4"/>
      <x:c r="EC345" s="4"/>
      <x:c r="ED345" s="4"/>
      <x:c r="EE345" s="4"/>
      <x:c r="EF345" s="4"/>
      <x:c r="EG345" s="4"/>
      <x:c r="EH345" s="4"/>
      <x:c r="EI345" s="4"/>
      <x:c r="EJ345" s="4"/>
      <x:c r="EK345" s="4"/>
      <x:c r="EL345" s="4"/>
      <x:c r="EM345" s="4"/>
      <x:c r="EN345" s="4"/>
      <x:c r="EO345" s="4"/>
      <x:c r="EP345" s="4"/>
      <x:c r="EQ345" s="4"/>
      <x:c r="ER345" s="4"/>
      <x:c r="ES345" s="4"/>
      <x:c r="ET345" s="4"/>
      <x:c r="EU345" s="4"/>
      <x:c r="EV345" s="4"/>
      <x:c r="EW345" s="4"/>
      <x:c r="EX345" s="4"/>
      <x:c r="EY345" s="4"/>
      <x:c r="EZ345" s="4"/>
      <x:c r="FA345" s="4"/>
      <x:c r="FB345" s="4"/>
      <x:c r="FC345" s="4"/>
      <x:c r="FD345" s="4"/>
      <x:c r="FE345" s="4"/>
      <x:c r="FF345" s="4"/>
      <x:c r="FG345" s="4"/>
      <x:c r="FH345" s="4"/>
      <x:c r="FI345" s="4"/>
      <x:c r="FJ345" s="4"/>
      <x:c r="FK345" s="4"/>
      <x:c r="FL345" s="4"/>
      <x:c r="FM345" s="4"/>
      <x:c r="FN345" s="4"/>
      <x:c r="FO345" s="4"/>
    </x:row>
    <x:row r="346">
      <x:c r="A346" s="72"/>
      <x:c r="B346" s="72"/>
      <x:c r="C346" s="72"/>
      <x:c r="D346" s="72"/>
      <x:c r="E346" s="72"/>
      <x:c r="F346" s="72"/>
      <x:c r="G346" s="72"/>
      <x:c r="H346" s="72"/>
      <x:c r="I346" s="72"/>
      <x:c r="J346" s="72"/>
      <x:c r="K346" s="72"/>
      <x:c r="L346" s="72"/>
      <x:c r="M346" s="72"/>
      <x:c r="N346" s="72"/>
      <x:c r="O346" s="72"/>
      <x:c r="P346" s="72"/>
      <x:c r="Q346" s="72"/>
      <x:c r="R346" s="72"/>
      <x:c r="S346" s="72"/>
      <x:c r="T346" s="72"/>
      <x:c r="U346" s="72"/>
      <x:c r="V346" s="72"/>
      <x:c r="W346" s="72"/>
      <x:c r="X346" s="72"/>
      <x:c r="Y346" s="72"/>
      <x:c r="Z346" s="72"/>
      <x:c r="AA346" s="72"/>
      <x:c r="AB346" s="72"/>
      <x:c r="AC346" s="72"/>
      <x:c r="AD346" s="72"/>
      <x:c r="AE346" s="72"/>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x:c r="BN346" s="4"/>
      <x:c r="BO346" s="4"/>
      <x:c r="BP346" s="4"/>
      <x:c r="BQ346" s="4"/>
      <x:c r="BR346" s="4"/>
      <x:c r="BS346" s="4"/>
      <x:c r="BT346" s="4"/>
      <x:c r="BU346" s="4"/>
      <x:c r="BV346" s="4"/>
      <x:c r="BW346" s="4"/>
      <x:c r="BX346" s="4"/>
      <x:c r="BY346" s="4"/>
      <x:c r="BZ346" s="4"/>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x:c r="DB346" s="4"/>
      <x:c r="DC346" s="4"/>
      <x:c r="DD346" s="4"/>
      <x:c r="DE346" s="4"/>
      <x:c r="DF346" s="4"/>
      <x:c r="DG346" s="4"/>
      <x:c r="DH346" s="4"/>
      <x:c r="DI346" s="4"/>
      <x:c r="DJ346" s="4"/>
      <x:c r="DK346" s="4"/>
      <x:c r="DL346" s="4"/>
      <x:c r="DM346" s="4"/>
      <x:c r="DN346" s="4"/>
      <x:c r="DO346" s="4"/>
      <x:c r="DP346" s="4"/>
      <x:c r="DQ346" s="4"/>
      <x:c r="DR346" s="4"/>
      <x:c r="DS346" s="4"/>
      <x:c r="DT346" s="4"/>
      <x:c r="DU346" s="4"/>
      <x:c r="DV346" s="4"/>
      <x:c r="DW346" s="4"/>
      <x:c r="DX346" s="4"/>
      <x:c r="DY346" s="4"/>
      <x:c r="DZ346" s="4"/>
      <x:c r="EA346" s="4"/>
      <x:c r="EB346" s="4"/>
      <x:c r="EC346" s="4"/>
      <x:c r="ED346" s="4"/>
      <x:c r="EE346" s="4"/>
      <x:c r="EF346" s="4"/>
      <x:c r="EG346" s="4"/>
      <x:c r="EH346" s="4"/>
      <x:c r="EI346" s="4"/>
      <x:c r="EJ346" s="4"/>
      <x:c r="EK346" s="4"/>
      <x:c r="EL346" s="4"/>
      <x:c r="EM346" s="4"/>
      <x:c r="EN346" s="4"/>
      <x:c r="EO346" s="4"/>
      <x:c r="EP346" s="4"/>
      <x:c r="EQ346" s="4"/>
      <x:c r="ER346" s="4"/>
      <x:c r="ES346" s="4"/>
      <x:c r="ET346" s="4"/>
      <x:c r="EU346" s="4"/>
      <x:c r="EV346" s="4"/>
      <x:c r="EW346" s="4"/>
      <x:c r="EX346" s="4"/>
      <x:c r="EY346" s="4"/>
      <x:c r="EZ346" s="4"/>
      <x:c r="FA346" s="4"/>
      <x:c r="FB346" s="4"/>
      <x:c r="FC346" s="4"/>
      <x:c r="FD346" s="4"/>
      <x:c r="FE346" s="4"/>
      <x:c r="FF346" s="4"/>
      <x:c r="FG346" s="4"/>
      <x:c r="FH346" s="4"/>
      <x:c r="FI346" s="4"/>
      <x:c r="FJ346" s="4"/>
      <x:c r="FK346" s="4"/>
      <x:c r="FL346" s="4"/>
      <x:c r="FM346" s="4"/>
      <x:c r="FN346" s="4"/>
      <x:c r="FO346" s="4"/>
    </x:row>
    <x:row r="347">
      <x:c r="A347" s="72"/>
      <x:c r="B347" s="72"/>
      <x:c r="C347" s="72"/>
      <x:c r="D347" s="72"/>
      <x:c r="E347" s="72"/>
      <x:c r="F347" s="72"/>
      <x:c r="G347" s="72"/>
      <x:c r="H347" s="72"/>
      <x:c r="I347" s="72"/>
      <x:c r="J347" s="72"/>
      <x:c r="K347" s="72"/>
      <x:c r="L347" s="72"/>
      <x:c r="M347" s="72"/>
      <x:c r="N347" s="72"/>
      <x:c r="O347" s="72"/>
      <x:c r="P347" s="72"/>
      <x:c r="Q347" s="72"/>
      <x:c r="R347" s="72"/>
      <x:c r="S347" s="72"/>
      <x:c r="T347" s="72"/>
      <x:c r="U347" s="72"/>
      <x:c r="V347" s="72"/>
      <x:c r="W347" s="72"/>
      <x:c r="X347" s="72"/>
      <x:c r="Y347" s="72"/>
      <x:c r="Z347" s="72"/>
      <x:c r="AA347" s="72"/>
      <x:c r="AB347" s="72"/>
      <x:c r="AC347" s="72"/>
      <x:c r="AD347" s="72"/>
      <x:c r="AE347" s="72"/>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x:c r="BN347" s="4"/>
      <x:c r="BO347" s="4"/>
      <x:c r="BP347" s="4"/>
      <x:c r="BQ347" s="4"/>
      <x:c r="BR347" s="4"/>
      <x:c r="BS347" s="4"/>
      <x:c r="BT347" s="4"/>
      <x:c r="BU347" s="4"/>
      <x:c r="BV347" s="4"/>
      <x:c r="BW347" s="4"/>
      <x:c r="BX347" s="4"/>
      <x:c r="BY347" s="4"/>
      <x:c r="BZ347" s="4"/>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x:c r="DB347" s="4"/>
      <x:c r="DC347" s="4"/>
      <x:c r="DD347" s="4"/>
      <x:c r="DE347" s="4"/>
      <x:c r="DF347" s="4"/>
      <x:c r="DG347" s="4"/>
      <x:c r="DH347" s="4"/>
      <x:c r="DI347" s="4"/>
      <x:c r="DJ347" s="4"/>
      <x:c r="DK347" s="4"/>
      <x:c r="DL347" s="4"/>
      <x:c r="DM347" s="4"/>
      <x:c r="DN347" s="4"/>
      <x:c r="DO347" s="4"/>
      <x:c r="DP347" s="4"/>
      <x:c r="DQ347" s="4"/>
      <x:c r="DR347" s="4"/>
      <x:c r="DS347" s="4"/>
      <x:c r="DT347" s="4"/>
      <x:c r="DU347" s="4"/>
      <x:c r="DV347" s="4"/>
      <x:c r="DW347" s="4"/>
      <x:c r="DX347" s="4"/>
      <x:c r="DY347" s="4"/>
      <x:c r="DZ347" s="4"/>
      <x:c r="EA347" s="4"/>
      <x:c r="EB347" s="4"/>
      <x:c r="EC347" s="4"/>
      <x:c r="ED347" s="4"/>
      <x:c r="EE347" s="4"/>
      <x:c r="EF347" s="4"/>
      <x:c r="EG347" s="4"/>
      <x:c r="EH347" s="4"/>
      <x:c r="EI347" s="4"/>
      <x:c r="EJ347" s="4"/>
      <x:c r="EK347" s="4"/>
      <x:c r="EL347" s="4"/>
      <x:c r="EM347" s="4"/>
      <x:c r="EN347" s="4"/>
      <x:c r="EO347" s="4"/>
      <x:c r="EP347" s="4"/>
      <x:c r="EQ347" s="4"/>
      <x:c r="ER347" s="4"/>
      <x:c r="ES347" s="4"/>
      <x:c r="ET347" s="4"/>
      <x:c r="EU347" s="4"/>
      <x:c r="EV347" s="4"/>
      <x:c r="EW347" s="4"/>
      <x:c r="EX347" s="4"/>
      <x:c r="EY347" s="4"/>
      <x:c r="EZ347" s="4"/>
      <x:c r="FA347" s="4"/>
      <x:c r="FB347" s="4"/>
      <x:c r="FC347" s="4"/>
      <x:c r="FD347" s="4"/>
      <x:c r="FE347" s="4"/>
      <x:c r="FF347" s="4"/>
      <x:c r="FG347" s="4"/>
      <x:c r="FH347" s="4"/>
      <x:c r="FI347" s="4"/>
      <x:c r="FJ347" s="4"/>
      <x:c r="FK347" s="4"/>
      <x:c r="FL347" s="4"/>
      <x:c r="FM347" s="4"/>
      <x:c r="FN347" s="4"/>
      <x:c r="FO347" s="4"/>
    </x:row>
    <x:row r="348">
      <x:c r="A348" s="72"/>
      <x:c r="B348" s="72"/>
      <x:c r="C348" s="72"/>
      <x:c r="D348" s="72"/>
      <x:c r="E348" s="72"/>
      <x:c r="F348" s="72"/>
      <x:c r="G348" s="72"/>
      <x:c r="H348" s="72"/>
      <x:c r="I348" s="72"/>
      <x:c r="J348" s="72"/>
      <x:c r="K348" s="72"/>
      <x:c r="L348" s="72"/>
      <x:c r="M348" s="72"/>
      <x:c r="N348" s="72"/>
      <x:c r="O348" s="72"/>
      <x:c r="P348" s="72"/>
      <x:c r="Q348" s="72"/>
      <x:c r="R348" s="72"/>
      <x:c r="S348" s="72"/>
      <x:c r="T348" s="72"/>
      <x:c r="U348" s="72"/>
      <x:c r="V348" s="72"/>
      <x:c r="W348" s="72"/>
      <x:c r="X348" s="72"/>
      <x:c r="Y348" s="72"/>
      <x:c r="Z348" s="72"/>
      <x:c r="AA348" s="72"/>
      <x:c r="AB348" s="72"/>
      <x:c r="AC348" s="72"/>
      <x:c r="AD348" s="72"/>
      <x:c r="AE348" s="72"/>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x:c r="BN348" s="4"/>
      <x:c r="BO348" s="4"/>
      <x:c r="BP348" s="4"/>
      <x:c r="BQ348" s="4"/>
      <x:c r="BR348" s="4"/>
      <x:c r="BS348" s="4"/>
      <x:c r="BT348" s="4"/>
      <x:c r="BU348" s="4"/>
      <x:c r="BV348" s="4"/>
      <x:c r="BW348" s="4"/>
      <x:c r="BX348" s="4"/>
      <x:c r="BY348" s="4"/>
      <x:c r="BZ348" s="4"/>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x:c r="DB348" s="4"/>
      <x:c r="DC348" s="4"/>
      <x:c r="DD348" s="4"/>
      <x:c r="DE348" s="4"/>
      <x:c r="DF348" s="4"/>
      <x:c r="DG348" s="4"/>
      <x:c r="DH348" s="4"/>
      <x:c r="DI348" s="4"/>
      <x:c r="DJ348" s="4"/>
      <x:c r="DK348" s="4"/>
      <x:c r="DL348" s="4"/>
      <x:c r="DM348" s="4"/>
      <x:c r="DN348" s="4"/>
      <x:c r="DO348" s="4"/>
      <x:c r="DP348" s="4"/>
      <x:c r="DQ348" s="4"/>
      <x:c r="DR348" s="4"/>
      <x:c r="DS348" s="4"/>
      <x:c r="DT348" s="4"/>
      <x:c r="DU348" s="4"/>
      <x:c r="DV348" s="4"/>
      <x:c r="DW348" s="4"/>
      <x:c r="DX348" s="4"/>
      <x:c r="DY348" s="4"/>
      <x:c r="DZ348" s="4"/>
      <x:c r="EA348" s="4"/>
      <x:c r="EB348" s="4"/>
      <x:c r="EC348" s="4"/>
      <x:c r="ED348" s="4"/>
      <x:c r="EE348" s="4"/>
      <x:c r="EF348" s="4"/>
      <x:c r="EG348" s="4"/>
      <x:c r="EH348" s="4"/>
      <x:c r="EI348" s="4"/>
      <x:c r="EJ348" s="4"/>
      <x:c r="EK348" s="4"/>
      <x:c r="EL348" s="4"/>
      <x:c r="EM348" s="4"/>
      <x:c r="EN348" s="4"/>
      <x:c r="EO348" s="4"/>
      <x:c r="EP348" s="4"/>
      <x:c r="EQ348" s="4"/>
      <x:c r="ER348" s="4"/>
      <x:c r="ES348" s="4"/>
      <x:c r="ET348" s="4"/>
      <x:c r="EU348" s="4"/>
      <x:c r="EV348" s="4"/>
      <x:c r="EW348" s="4"/>
      <x:c r="EX348" s="4"/>
      <x:c r="EY348" s="4"/>
      <x:c r="EZ348" s="4"/>
      <x:c r="FA348" s="4"/>
      <x:c r="FB348" s="4"/>
      <x:c r="FC348" s="4"/>
      <x:c r="FD348" s="4"/>
      <x:c r="FE348" s="4"/>
      <x:c r="FF348" s="4"/>
      <x:c r="FG348" s="4"/>
      <x:c r="FH348" s="4"/>
      <x:c r="FI348" s="4"/>
      <x:c r="FJ348" s="4"/>
      <x:c r="FK348" s="4"/>
      <x:c r="FL348" s="4"/>
      <x:c r="FM348" s="4"/>
      <x:c r="FN348" s="4"/>
      <x:c r="FO348" s="4"/>
    </x:row>
    <x:row r="349">
      <x:c r="A349" s="72"/>
      <x:c r="B349" s="72"/>
      <x:c r="C349" s="72"/>
      <x:c r="D349" s="72"/>
      <x:c r="E349" s="72"/>
      <x:c r="F349" s="72"/>
      <x:c r="G349" s="72"/>
      <x:c r="H349" s="72"/>
      <x:c r="I349" s="72"/>
      <x:c r="J349" s="72"/>
      <x:c r="K349" s="72"/>
      <x:c r="L349" s="72"/>
      <x:c r="M349" s="72"/>
      <x:c r="N349" s="72"/>
      <x:c r="O349" s="72"/>
      <x:c r="P349" s="72"/>
      <x:c r="Q349" s="72"/>
      <x:c r="R349" s="72"/>
      <x:c r="S349" s="72"/>
      <x:c r="T349" s="72"/>
      <x:c r="U349" s="72"/>
      <x:c r="V349" s="72"/>
      <x:c r="W349" s="72"/>
      <x:c r="X349" s="72"/>
      <x:c r="Y349" s="72"/>
      <x:c r="Z349" s="72"/>
      <x:c r="AA349" s="72"/>
      <x:c r="AB349" s="72"/>
      <x:c r="AC349" s="72"/>
      <x:c r="AD349" s="72"/>
      <x:c r="AE349" s="72"/>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x:c r="BN349" s="4"/>
      <x:c r="BO349" s="4"/>
      <x:c r="BP349" s="4"/>
      <x:c r="BQ349" s="4"/>
      <x:c r="BR349" s="4"/>
      <x:c r="BS349" s="4"/>
      <x:c r="BT349" s="4"/>
      <x:c r="BU349" s="4"/>
      <x:c r="BV349" s="4"/>
      <x:c r="BW349" s="4"/>
      <x:c r="BX349" s="4"/>
      <x:c r="BY349" s="4"/>
      <x:c r="BZ349" s="4"/>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x:c r="DB349" s="4"/>
      <x:c r="DC349" s="4"/>
      <x:c r="DD349" s="4"/>
      <x:c r="DE349" s="4"/>
      <x:c r="DF349" s="4"/>
      <x:c r="DG349" s="4"/>
      <x:c r="DH349" s="4"/>
      <x:c r="DI349" s="4"/>
      <x:c r="DJ349" s="4"/>
      <x:c r="DK349" s="4"/>
      <x:c r="DL349" s="4"/>
      <x:c r="DM349" s="4"/>
      <x:c r="DN349" s="4"/>
      <x:c r="DO349" s="4"/>
      <x:c r="DP349" s="4"/>
      <x:c r="DQ349" s="4"/>
      <x:c r="DR349" s="4"/>
      <x:c r="DS349" s="4"/>
      <x:c r="DT349" s="4"/>
      <x:c r="DU349" s="4"/>
      <x:c r="DV349" s="4"/>
      <x:c r="DW349" s="4"/>
      <x:c r="DX349" s="4"/>
      <x:c r="DY349" s="4"/>
      <x:c r="DZ349" s="4"/>
      <x:c r="EA349" s="4"/>
      <x:c r="EB349" s="4"/>
      <x:c r="EC349" s="4"/>
      <x:c r="ED349" s="4"/>
      <x:c r="EE349" s="4"/>
      <x:c r="EF349" s="4"/>
      <x:c r="EG349" s="4"/>
      <x:c r="EH349" s="4"/>
      <x:c r="EI349" s="4"/>
      <x:c r="EJ349" s="4"/>
      <x:c r="EK349" s="4"/>
      <x:c r="EL349" s="4"/>
      <x:c r="EM349" s="4"/>
      <x:c r="EN349" s="4"/>
      <x:c r="EO349" s="4"/>
      <x:c r="EP349" s="4"/>
      <x:c r="EQ349" s="4"/>
      <x:c r="ER349" s="4"/>
      <x:c r="ES349" s="4"/>
      <x:c r="ET349" s="4"/>
      <x:c r="EU349" s="4"/>
      <x:c r="EV349" s="4"/>
      <x:c r="EW349" s="4"/>
      <x:c r="EX349" s="4"/>
      <x:c r="EY349" s="4"/>
      <x:c r="EZ349" s="4"/>
      <x:c r="FA349" s="4"/>
      <x:c r="FB349" s="4"/>
      <x:c r="FC349" s="4"/>
      <x:c r="FD349" s="4"/>
      <x:c r="FE349" s="4"/>
      <x:c r="FF349" s="4"/>
      <x:c r="FG349" s="4"/>
      <x:c r="FH349" s="4"/>
      <x:c r="FI349" s="4"/>
      <x:c r="FJ349" s="4"/>
      <x:c r="FK349" s="4"/>
      <x:c r="FL349" s="4"/>
      <x:c r="FM349" s="4"/>
      <x:c r="FN349" s="4"/>
      <x:c r="FO349" s="4"/>
    </x:row>
    <x:row r="350">
      <x:c r="A350" s="72"/>
      <x:c r="B350" s="72"/>
      <x:c r="C350" s="72"/>
      <x:c r="D350" s="72"/>
      <x:c r="E350" s="72"/>
      <x:c r="F350" s="72"/>
      <x:c r="G350" s="72"/>
      <x:c r="H350" s="72"/>
      <x:c r="I350" s="72"/>
      <x:c r="J350" s="72"/>
      <x:c r="K350" s="72"/>
      <x:c r="L350" s="72"/>
      <x:c r="M350" s="72"/>
      <x:c r="N350" s="72"/>
      <x:c r="O350" s="72"/>
      <x:c r="P350" s="72"/>
      <x:c r="Q350" s="72"/>
      <x:c r="R350" s="72"/>
      <x:c r="S350" s="72"/>
      <x:c r="T350" s="72"/>
      <x:c r="U350" s="72"/>
      <x:c r="V350" s="72"/>
      <x:c r="W350" s="72"/>
      <x:c r="X350" s="72"/>
      <x:c r="Y350" s="72"/>
      <x:c r="Z350" s="72"/>
      <x:c r="AA350" s="72"/>
      <x:c r="AB350" s="72"/>
      <x:c r="AC350" s="72"/>
      <x:c r="AD350" s="72"/>
      <x:c r="AE350" s="72"/>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x:c r="BN350" s="4"/>
      <x:c r="BO350" s="4"/>
      <x:c r="BP350" s="4"/>
      <x:c r="BQ350" s="4"/>
      <x:c r="BR350" s="4"/>
      <x:c r="BS350" s="4"/>
      <x:c r="BT350" s="4"/>
      <x:c r="BU350" s="4"/>
      <x:c r="BV350" s="4"/>
      <x:c r="BW350" s="4"/>
      <x:c r="BX350" s="4"/>
      <x:c r="BY350" s="4"/>
      <x:c r="BZ350" s="4"/>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x:c r="DB350" s="4"/>
      <x:c r="DC350" s="4"/>
      <x:c r="DD350" s="4"/>
      <x:c r="DE350" s="4"/>
      <x:c r="DF350" s="4"/>
      <x:c r="DG350" s="4"/>
      <x:c r="DH350" s="4"/>
      <x:c r="DI350" s="4"/>
      <x:c r="DJ350" s="4"/>
      <x:c r="DK350" s="4"/>
      <x:c r="DL350" s="4"/>
      <x:c r="DM350" s="4"/>
      <x:c r="DN350" s="4"/>
      <x:c r="DO350" s="4"/>
      <x:c r="DP350" s="4"/>
      <x:c r="DQ350" s="4"/>
      <x:c r="DR350" s="4"/>
      <x:c r="DS350" s="4"/>
      <x:c r="DT350" s="4"/>
      <x:c r="DU350" s="4"/>
      <x:c r="DV350" s="4"/>
      <x:c r="DW350" s="4"/>
      <x:c r="DX350" s="4"/>
      <x:c r="DY350" s="4"/>
      <x:c r="DZ350" s="4"/>
      <x:c r="EA350" s="4"/>
      <x:c r="EB350" s="4"/>
      <x:c r="EC350" s="4"/>
      <x:c r="ED350" s="4"/>
      <x:c r="EE350" s="4"/>
      <x:c r="EF350" s="4"/>
      <x:c r="EG350" s="4"/>
      <x:c r="EH350" s="4"/>
      <x:c r="EI350" s="4"/>
      <x:c r="EJ350" s="4"/>
      <x:c r="EK350" s="4"/>
      <x:c r="EL350" s="4"/>
      <x:c r="EM350" s="4"/>
      <x:c r="EN350" s="4"/>
      <x:c r="EO350" s="4"/>
      <x:c r="EP350" s="4"/>
      <x:c r="EQ350" s="4"/>
      <x:c r="ER350" s="4"/>
      <x:c r="ES350" s="4"/>
      <x:c r="ET350" s="4"/>
      <x:c r="EU350" s="4"/>
      <x:c r="EV350" s="4"/>
      <x:c r="EW350" s="4"/>
      <x:c r="EX350" s="4"/>
      <x:c r="EY350" s="4"/>
      <x:c r="EZ350" s="4"/>
      <x:c r="FA350" s="4"/>
      <x:c r="FB350" s="4"/>
      <x:c r="FC350" s="4"/>
      <x:c r="FD350" s="4"/>
      <x:c r="FE350" s="4"/>
      <x:c r="FF350" s="4"/>
      <x:c r="FG350" s="4"/>
      <x:c r="FH350" s="4"/>
      <x:c r="FI350" s="4"/>
      <x:c r="FJ350" s="4"/>
      <x:c r="FK350" s="4"/>
      <x:c r="FL350" s="4"/>
      <x:c r="FM350" s="4"/>
      <x:c r="FN350" s="4"/>
      <x:c r="FO350" s="4"/>
    </x:row>
    <x:row r="351">
      <x:c r="A351" s="72"/>
      <x:c r="B351" s="72"/>
      <x:c r="C351" s="72"/>
      <x:c r="D351" s="72"/>
      <x:c r="E351" s="72"/>
      <x:c r="F351" s="72"/>
      <x:c r="G351" s="72"/>
      <x:c r="H351" s="72"/>
      <x:c r="I351" s="72"/>
      <x:c r="J351" s="72"/>
      <x:c r="K351" s="72"/>
      <x:c r="L351" s="72"/>
      <x:c r="M351" s="72"/>
      <x:c r="N351" s="72"/>
      <x:c r="O351" s="72"/>
      <x:c r="P351" s="72"/>
      <x:c r="Q351" s="72"/>
      <x:c r="R351" s="72"/>
      <x:c r="S351" s="72"/>
      <x:c r="T351" s="72"/>
      <x:c r="U351" s="72"/>
      <x:c r="V351" s="72"/>
      <x:c r="W351" s="72"/>
      <x:c r="X351" s="72"/>
      <x:c r="Y351" s="72"/>
      <x:c r="Z351" s="72"/>
      <x:c r="AA351" s="72"/>
      <x:c r="AB351" s="72"/>
      <x:c r="AC351" s="72"/>
      <x:c r="AD351" s="72"/>
      <x:c r="AE351" s="72"/>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x:c r="BN351" s="4"/>
      <x:c r="BO351" s="4"/>
      <x:c r="BP351" s="4"/>
      <x:c r="BQ351" s="4"/>
      <x:c r="BR351" s="4"/>
      <x:c r="BS351" s="4"/>
      <x:c r="BT351" s="4"/>
      <x:c r="BU351" s="4"/>
      <x:c r="BV351" s="4"/>
      <x:c r="BW351" s="4"/>
      <x:c r="BX351" s="4"/>
      <x:c r="BY351" s="4"/>
      <x:c r="BZ351" s="4"/>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x:c r="DB351" s="4"/>
      <x:c r="DC351" s="4"/>
      <x:c r="DD351" s="4"/>
      <x:c r="DE351" s="4"/>
      <x:c r="DF351" s="4"/>
      <x:c r="DG351" s="4"/>
      <x:c r="DH351" s="4"/>
      <x:c r="DI351" s="4"/>
      <x:c r="DJ351" s="4"/>
      <x:c r="DK351" s="4"/>
      <x:c r="DL351" s="4"/>
      <x:c r="DM351" s="4"/>
      <x:c r="DN351" s="4"/>
      <x:c r="DO351" s="4"/>
      <x:c r="DP351" s="4"/>
      <x:c r="DQ351" s="4"/>
      <x:c r="DR351" s="4"/>
      <x:c r="DS351" s="4"/>
      <x:c r="DT351" s="4"/>
      <x:c r="DU351" s="4"/>
      <x:c r="DV351" s="4"/>
      <x:c r="DW351" s="4"/>
      <x:c r="DX351" s="4"/>
      <x:c r="DY351" s="4"/>
      <x:c r="DZ351" s="4"/>
      <x:c r="EA351" s="4"/>
      <x:c r="EB351" s="4"/>
      <x:c r="EC351" s="4"/>
      <x:c r="ED351" s="4"/>
      <x:c r="EE351" s="4"/>
      <x:c r="EF351" s="4"/>
      <x:c r="EG351" s="4"/>
      <x:c r="EH351" s="4"/>
      <x:c r="EI351" s="4"/>
      <x:c r="EJ351" s="4"/>
      <x:c r="EK351" s="4"/>
      <x:c r="EL351" s="4"/>
      <x:c r="EM351" s="4"/>
      <x:c r="EN351" s="4"/>
      <x:c r="EO351" s="4"/>
      <x:c r="EP351" s="4"/>
      <x:c r="EQ351" s="4"/>
      <x:c r="ER351" s="4"/>
      <x:c r="ES351" s="4"/>
      <x:c r="ET351" s="4"/>
      <x:c r="EU351" s="4"/>
      <x:c r="EV351" s="4"/>
      <x:c r="EW351" s="4"/>
      <x:c r="EX351" s="4"/>
      <x:c r="EY351" s="4"/>
      <x:c r="EZ351" s="4"/>
      <x:c r="FA351" s="4"/>
      <x:c r="FB351" s="4"/>
      <x:c r="FC351" s="4"/>
      <x:c r="FD351" s="4"/>
      <x:c r="FE351" s="4"/>
      <x:c r="FF351" s="4"/>
      <x:c r="FG351" s="4"/>
      <x:c r="FH351" s="4"/>
      <x:c r="FI351" s="4"/>
      <x:c r="FJ351" s="4"/>
      <x:c r="FK351" s="4"/>
      <x:c r="FL351" s="4"/>
      <x:c r="FM351" s="4"/>
      <x:c r="FN351" s="4"/>
      <x:c r="FO351" s="4"/>
    </x:row>
    <x:row r="352">
      <x:c r="A352" s="72"/>
      <x:c r="B352" s="72"/>
      <x:c r="C352" s="72"/>
      <x:c r="D352" s="72"/>
      <x:c r="E352" s="72"/>
      <x:c r="F352" s="72"/>
      <x:c r="G352" s="72"/>
      <x:c r="H352" s="72"/>
      <x:c r="I352" s="72"/>
      <x:c r="J352" s="72"/>
      <x:c r="K352" s="72"/>
      <x:c r="L352" s="72"/>
      <x:c r="M352" s="72"/>
      <x:c r="N352" s="72"/>
      <x:c r="O352" s="72"/>
      <x:c r="P352" s="72"/>
      <x:c r="Q352" s="72"/>
      <x:c r="R352" s="72"/>
      <x:c r="S352" s="72"/>
      <x:c r="T352" s="72"/>
      <x:c r="U352" s="72"/>
      <x:c r="V352" s="72"/>
      <x:c r="W352" s="72"/>
      <x:c r="X352" s="72"/>
      <x:c r="Y352" s="72"/>
      <x:c r="Z352" s="72"/>
      <x:c r="AA352" s="72"/>
      <x:c r="AB352" s="72"/>
      <x:c r="AC352" s="72"/>
      <x:c r="AD352" s="72"/>
      <x:c r="AE352" s="72"/>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x:c r="BN352" s="4"/>
      <x:c r="BO352" s="4"/>
      <x:c r="BP352" s="4"/>
      <x:c r="BQ352" s="4"/>
      <x:c r="BR352" s="4"/>
      <x:c r="BS352" s="4"/>
      <x:c r="BT352" s="4"/>
      <x:c r="BU352" s="4"/>
      <x:c r="BV352" s="4"/>
      <x:c r="BW352" s="4"/>
      <x:c r="BX352" s="4"/>
      <x:c r="BY352" s="4"/>
      <x:c r="BZ352" s="4"/>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x:c r="DB352" s="4"/>
      <x:c r="DC352" s="4"/>
      <x:c r="DD352" s="4"/>
      <x:c r="DE352" s="4"/>
      <x:c r="DF352" s="4"/>
      <x:c r="DG352" s="4"/>
      <x:c r="DH352" s="4"/>
      <x:c r="DI352" s="4"/>
      <x:c r="DJ352" s="4"/>
      <x:c r="DK352" s="4"/>
      <x:c r="DL352" s="4"/>
      <x:c r="DM352" s="4"/>
      <x:c r="DN352" s="4"/>
      <x:c r="DO352" s="4"/>
      <x:c r="DP352" s="4"/>
      <x:c r="DQ352" s="4"/>
      <x:c r="DR352" s="4"/>
      <x:c r="DS352" s="4"/>
      <x:c r="DT352" s="4"/>
      <x:c r="DU352" s="4"/>
      <x:c r="DV352" s="4"/>
      <x:c r="DW352" s="4"/>
      <x:c r="DX352" s="4"/>
      <x:c r="DY352" s="4"/>
      <x:c r="DZ352" s="4"/>
      <x:c r="EA352" s="4"/>
      <x:c r="EB352" s="4"/>
      <x:c r="EC352" s="4"/>
      <x:c r="ED352" s="4"/>
      <x:c r="EE352" s="4"/>
      <x:c r="EF352" s="4"/>
      <x:c r="EG352" s="4"/>
      <x:c r="EH352" s="4"/>
      <x:c r="EI352" s="4"/>
      <x:c r="EJ352" s="4"/>
      <x:c r="EK352" s="4"/>
      <x:c r="EL352" s="4"/>
      <x:c r="EM352" s="4"/>
      <x:c r="EN352" s="4"/>
      <x:c r="EO352" s="4"/>
      <x:c r="EP352" s="4"/>
      <x:c r="EQ352" s="4"/>
      <x:c r="ER352" s="4"/>
      <x:c r="ES352" s="4"/>
      <x:c r="ET352" s="4"/>
      <x:c r="EU352" s="4"/>
      <x:c r="EV352" s="4"/>
      <x:c r="EW352" s="4"/>
      <x:c r="EX352" s="4"/>
      <x:c r="EY352" s="4"/>
      <x:c r="EZ352" s="4"/>
      <x:c r="FA352" s="4"/>
      <x:c r="FB352" s="4"/>
      <x:c r="FC352" s="4"/>
      <x:c r="FD352" s="4"/>
      <x:c r="FE352" s="4"/>
      <x:c r="FF352" s="4"/>
      <x:c r="FG352" s="4"/>
      <x:c r="FH352" s="4"/>
      <x:c r="FI352" s="4"/>
      <x:c r="FJ352" s="4"/>
      <x:c r="FK352" s="4"/>
      <x:c r="FL352" s="4"/>
      <x:c r="FM352" s="4"/>
      <x:c r="FN352" s="4"/>
      <x:c r="FO352" s="4"/>
    </x:row>
    <x:row r="353">
      <x:c r="A353" s="72"/>
      <x:c r="B353" s="72"/>
      <x:c r="C353" s="72"/>
      <x:c r="D353" s="72"/>
      <x:c r="E353" s="72"/>
      <x:c r="F353" s="72"/>
      <x:c r="G353" s="72"/>
      <x:c r="H353" s="72"/>
      <x:c r="I353" s="72"/>
      <x:c r="J353" s="72"/>
      <x:c r="K353" s="72"/>
      <x:c r="L353" s="72"/>
      <x:c r="M353" s="72"/>
      <x:c r="N353" s="72"/>
      <x:c r="O353" s="72"/>
      <x:c r="P353" s="72"/>
      <x:c r="Q353" s="72"/>
      <x:c r="R353" s="72"/>
      <x:c r="S353" s="72"/>
      <x:c r="T353" s="72"/>
      <x:c r="U353" s="72"/>
      <x:c r="V353" s="72"/>
      <x:c r="W353" s="72"/>
      <x:c r="X353" s="72"/>
      <x:c r="Y353" s="72"/>
      <x:c r="Z353" s="72"/>
      <x:c r="AA353" s="72"/>
      <x:c r="AB353" s="72"/>
      <x:c r="AC353" s="72"/>
      <x:c r="AD353" s="72"/>
      <x:c r="AE353" s="72"/>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x:c r="BN353" s="4"/>
      <x:c r="BO353" s="4"/>
      <x:c r="BP353" s="4"/>
      <x:c r="BQ353" s="4"/>
      <x:c r="BR353" s="4"/>
      <x:c r="BS353" s="4"/>
      <x:c r="BT353" s="4"/>
      <x:c r="BU353" s="4"/>
      <x:c r="BV353" s="4"/>
      <x:c r="BW353" s="4"/>
      <x:c r="BX353" s="4"/>
      <x:c r="BY353" s="4"/>
      <x:c r="BZ353" s="4"/>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x:c r="DB353" s="4"/>
      <x:c r="DC353" s="4"/>
      <x:c r="DD353" s="4"/>
      <x:c r="DE353" s="4"/>
      <x:c r="DF353" s="4"/>
      <x:c r="DG353" s="4"/>
      <x:c r="DH353" s="4"/>
      <x:c r="DI353" s="4"/>
      <x:c r="DJ353" s="4"/>
      <x:c r="DK353" s="4"/>
      <x:c r="DL353" s="4"/>
      <x:c r="DM353" s="4"/>
      <x:c r="DN353" s="4"/>
      <x:c r="DO353" s="4"/>
      <x:c r="DP353" s="4"/>
      <x:c r="DQ353" s="4"/>
      <x:c r="DR353" s="4"/>
      <x:c r="DS353" s="4"/>
      <x:c r="DT353" s="4"/>
      <x:c r="DU353" s="4"/>
      <x:c r="DV353" s="4"/>
      <x:c r="DW353" s="4"/>
      <x:c r="DX353" s="4"/>
      <x:c r="DY353" s="4"/>
      <x:c r="DZ353" s="4"/>
      <x:c r="EA353" s="4"/>
      <x:c r="EB353" s="4"/>
      <x:c r="EC353" s="4"/>
      <x:c r="ED353" s="4"/>
      <x:c r="EE353" s="4"/>
      <x:c r="EF353" s="4"/>
      <x:c r="EG353" s="4"/>
      <x:c r="EH353" s="4"/>
      <x:c r="EI353" s="4"/>
      <x:c r="EJ353" s="4"/>
      <x:c r="EK353" s="4"/>
      <x:c r="EL353" s="4"/>
      <x:c r="EM353" s="4"/>
      <x:c r="EN353" s="4"/>
      <x:c r="EO353" s="4"/>
      <x:c r="EP353" s="4"/>
      <x:c r="EQ353" s="4"/>
      <x:c r="ER353" s="4"/>
      <x:c r="ES353" s="4"/>
      <x:c r="ET353" s="4"/>
      <x:c r="EU353" s="4"/>
      <x:c r="EV353" s="4"/>
      <x:c r="EW353" s="4"/>
      <x:c r="EX353" s="4"/>
      <x:c r="EY353" s="4"/>
      <x:c r="EZ353" s="4"/>
      <x:c r="FA353" s="4"/>
      <x:c r="FB353" s="4"/>
      <x:c r="FC353" s="4"/>
      <x:c r="FD353" s="4"/>
      <x:c r="FE353" s="4"/>
      <x:c r="FF353" s="4"/>
      <x:c r="FG353" s="4"/>
      <x:c r="FH353" s="4"/>
      <x:c r="FI353" s="4"/>
      <x:c r="FJ353" s="4"/>
      <x:c r="FK353" s="4"/>
      <x:c r="FL353" s="4"/>
      <x:c r="FM353" s="4"/>
      <x:c r="FN353" s="4"/>
      <x:c r="FO353" s="4"/>
    </x:row>
    <x:row r="354">
      <x:c r="A354" s="72"/>
      <x:c r="B354" s="72"/>
      <x:c r="C354" s="72"/>
      <x:c r="D354" s="72"/>
      <x:c r="E354" s="72"/>
      <x:c r="F354" s="72"/>
      <x:c r="G354" s="72"/>
      <x:c r="H354" s="72"/>
      <x:c r="I354" s="72"/>
      <x:c r="J354" s="72"/>
      <x:c r="K354" s="72"/>
      <x:c r="L354" s="72"/>
      <x:c r="M354" s="72"/>
      <x:c r="N354" s="72"/>
      <x:c r="O354" s="72"/>
      <x:c r="P354" s="72"/>
      <x:c r="Q354" s="72"/>
      <x:c r="R354" s="72"/>
      <x:c r="S354" s="72"/>
      <x:c r="T354" s="72"/>
      <x:c r="U354" s="72"/>
      <x:c r="V354" s="72"/>
      <x:c r="W354" s="72"/>
      <x:c r="X354" s="72"/>
      <x:c r="Y354" s="72"/>
      <x:c r="Z354" s="72"/>
      <x:c r="AA354" s="72"/>
      <x:c r="AB354" s="72"/>
      <x:c r="AC354" s="72"/>
      <x:c r="AD354" s="72"/>
      <x:c r="AE354" s="72"/>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x:c r="BN354" s="4"/>
      <x:c r="BO354" s="4"/>
      <x:c r="BP354" s="4"/>
      <x:c r="BQ354" s="4"/>
      <x:c r="BR354" s="4"/>
      <x:c r="BS354" s="4"/>
      <x:c r="BT354" s="4"/>
      <x:c r="BU354" s="4"/>
      <x:c r="BV354" s="4"/>
      <x:c r="BW354" s="4"/>
      <x:c r="BX354" s="4"/>
      <x:c r="BY354" s="4"/>
      <x:c r="BZ354" s="4"/>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x:c r="DB354" s="4"/>
      <x:c r="DC354" s="4"/>
      <x:c r="DD354" s="4"/>
      <x:c r="DE354" s="4"/>
      <x:c r="DF354" s="4"/>
      <x:c r="DG354" s="4"/>
      <x:c r="DH354" s="4"/>
      <x:c r="DI354" s="4"/>
      <x:c r="DJ354" s="4"/>
      <x:c r="DK354" s="4"/>
      <x:c r="DL354" s="4"/>
      <x:c r="DM354" s="4"/>
      <x:c r="DN354" s="4"/>
      <x:c r="DO354" s="4"/>
      <x:c r="DP354" s="4"/>
      <x:c r="DQ354" s="4"/>
      <x:c r="DR354" s="4"/>
      <x:c r="DS354" s="4"/>
      <x:c r="DT354" s="4"/>
      <x:c r="DU354" s="4"/>
      <x:c r="DV354" s="4"/>
      <x:c r="DW354" s="4"/>
      <x:c r="DX354" s="4"/>
      <x:c r="DY354" s="4"/>
      <x:c r="DZ354" s="4"/>
      <x:c r="EA354" s="4"/>
      <x:c r="EB354" s="4"/>
      <x:c r="EC354" s="4"/>
      <x:c r="ED354" s="4"/>
      <x:c r="EE354" s="4"/>
      <x:c r="EF354" s="4"/>
      <x:c r="EG354" s="4"/>
      <x:c r="EH354" s="4"/>
      <x:c r="EI354" s="4"/>
      <x:c r="EJ354" s="4"/>
      <x:c r="EK354" s="4"/>
      <x:c r="EL354" s="4"/>
      <x:c r="EM354" s="4"/>
      <x:c r="EN354" s="4"/>
      <x:c r="EO354" s="4"/>
      <x:c r="EP354" s="4"/>
      <x:c r="EQ354" s="4"/>
      <x:c r="ER354" s="4"/>
      <x:c r="ES354" s="4"/>
      <x:c r="ET354" s="4"/>
      <x:c r="EU354" s="4"/>
      <x:c r="EV354" s="4"/>
      <x:c r="EW354" s="4"/>
      <x:c r="EX354" s="4"/>
      <x:c r="EY354" s="4"/>
      <x:c r="EZ354" s="4"/>
      <x:c r="FA354" s="4"/>
      <x:c r="FB354" s="4"/>
      <x:c r="FC354" s="4"/>
      <x:c r="FD354" s="4"/>
      <x:c r="FE354" s="4"/>
      <x:c r="FF354" s="4"/>
      <x:c r="FG354" s="4"/>
      <x:c r="FH354" s="4"/>
      <x:c r="FI354" s="4"/>
      <x:c r="FJ354" s="4"/>
      <x:c r="FK354" s="4"/>
      <x:c r="FL354" s="4"/>
      <x:c r="FM354" s="4"/>
      <x:c r="FN354" s="4"/>
      <x:c r="FO354" s="4"/>
    </x:row>
    <x:row r="355">
      <x:c r="A355" s="72"/>
      <x:c r="B355" s="72"/>
      <x:c r="C355" s="72"/>
      <x:c r="D355" s="72"/>
      <x:c r="E355" s="72"/>
      <x:c r="F355" s="72"/>
      <x:c r="G355" s="72"/>
      <x:c r="H355" s="72"/>
      <x:c r="I355" s="72"/>
      <x:c r="J355" s="72"/>
      <x:c r="K355" s="72"/>
      <x:c r="L355" s="72"/>
      <x:c r="M355" s="72"/>
      <x:c r="N355" s="72"/>
      <x:c r="O355" s="72"/>
      <x:c r="P355" s="72"/>
      <x:c r="Q355" s="72"/>
      <x:c r="R355" s="72"/>
      <x:c r="S355" s="72"/>
      <x:c r="T355" s="72"/>
      <x:c r="U355" s="72"/>
      <x:c r="V355" s="72"/>
      <x:c r="W355" s="72"/>
      <x:c r="X355" s="72"/>
      <x:c r="Y355" s="72"/>
      <x:c r="Z355" s="72"/>
      <x:c r="AA355" s="72"/>
      <x:c r="AB355" s="72"/>
      <x:c r="AC355" s="72"/>
      <x:c r="AD355" s="72"/>
      <x:c r="AE355" s="72"/>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x:c r="BN355" s="4"/>
      <x:c r="BO355" s="4"/>
      <x:c r="BP355" s="4"/>
      <x:c r="BQ355" s="4"/>
      <x:c r="BR355" s="4"/>
      <x:c r="BS355" s="4"/>
      <x:c r="BT355" s="4"/>
      <x:c r="BU355" s="4"/>
      <x:c r="BV355" s="4"/>
      <x:c r="BW355" s="4"/>
      <x:c r="BX355" s="4"/>
      <x:c r="BY355" s="4"/>
      <x:c r="BZ355" s="4"/>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x:c r="DB355" s="4"/>
      <x:c r="DC355" s="4"/>
      <x:c r="DD355" s="4"/>
      <x:c r="DE355" s="4"/>
      <x:c r="DF355" s="4"/>
      <x:c r="DG355" s="4"/>
      <x:c r="DH355" s="4"/>
      <x:c r="DI355" s="4"/>
      <x:c r="DJ355" s="4"/>
      <x:c r="DK355" s="4"/>
      <x:c r="DL355" s="4"/>
      <x:c r="DM355" s="4"/>
      <x:c r="DN355" s="4"/>
      <x:c r="DO355" s="4"/>
      <x:c r="DP355" s="4"/>
      <x:c r="DQ355" s="4"/>
      <x:c r="DR355" s="4"/>
      <x:c r="DS355" s="4"/>
      <x:c r="DT355" s="4"/>
      <x:c r="DU355" s="4"/>
      <x:c r="DV355" s="4"/>
      <x:c r="DW355" s="4"/>
      <x:c r="DX355" s="4"/>
      <x:c r="DY355" s="4"/>
      <x:c r="DZ355" s="4"/>
      <x:c r="EA355" s="4"/>
      <x:c r="EB355" s="4"/>
      <x:c r="EC355" s="4"/>
      <x:c r="ED355" s="4"/>
      <x:c r="EE355" s="4"/>
      <x:c r="EF355" s="4"/>
      <x:c r="EG355" s="4"/>
      <x:c r="EH355" s="4"/>
      <x:c r="EI355" s="4"/>
      <x:c r="EJ355" s="4"/>
      <x:c r="EK355" s="4"/>
      <x:c r="EL355" s="4"/>
      <x:c r="EM355" s="4"/>
      <x:c r="EN355" s="4"/>
      <x:c r="EO355" s="4"/>
      <x:c r="EP355" s="4"/>
      <x:c r="EQ355" s="4"/>
      <x:c r="ER355" s="4"/>
      <x:c r="ES355" s="4"/>
      <x:c r="ET355" s="4"/>
      <x:c r="EU355" s="4"/>
      <x:c r="EV355" s="4"/>
      <x:c r="EW355" s="4"/>
      <x:c r="EX355" s="4"/>
      <x:c r="EY355" s="4"/>
      <x:c r="EZ355" s="4"/>
      <x:c r="FA355" s="4"/>
      <x:c r="FB355" s="4"/>
      <x:c r="FC355" s="4"/>
      <x:c r="FD355" s="4"/>
      <x:c r="FE355" s="4"/>
      <x:c r="FF355" s="4"/>
      <x:c r="FG355" s="4"/>
      <x:c r="FH355" s="4"/>
      <x:c r="FI355" s="4"/>
      <x:c r="FJ355" s="4"/>
      <x:c r="FK355" s="4"/>
      <x:c r="FL355" s="4"/>
      <x:c r="FM355" s="4"/>
      <x:c r="FN355" s="4"/>
      <x:c r="FO355" s="4"/>
    </x:row>
    <x:row r="356">
      <x:c r="A356" s="72"/>
      <x:c r="B356" s="72"/>
      <x:c r="C356" s="72"/>
      <x:c r="D356" s="72"/>
      <x:c r="E356" s="72"/>
      <x:c r="F356" s="72"/>
      <x:c r="G356" s="72"/>
      <x:c r="H356" s="72"/>
      <x:c r="I356" s="72"/>
      <x:c r="J356" s="72"/>
      <x:c r="K356" s="72"/>
      <x:c r="L356" s="72"/>
      <x:c r="M356" s="72"/>
      <x:c r="N356" s="72"/>
      <x:c r="O356" s="72"/>
      <x:c r="P356" s="72"/>
      <x:c r="Q356" s="72"/>
      <x:c r="R356" s="72"/>
      <x:c r="S356" s="72"/>
      <x:c r="T356" s="72"/>
      <x:c r="U356" s="72"/>
      <x:c r="V356" s="72"/>
      <x:c r="W356" s="72"/>
      <x:c r="X356" s="72"/>
      <x:c r="Y356" s="72"/>
      <x:c r="Z356" s="72"/>
      <x:c r="AA356" s="72"/>
      <x:c r="AB356" s="72"/>
      <x:c r="AC356" s="72"/>
      <x:c r="AD356" s="72"/>
      <x:c r="AE356" s="72"/>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x:c r="BN356" s="4"/>
      <x:c r="BO356" s="4"/>
      <x:c r="BP356" s="4"/>
      <x:c r="BQ356" s="4"/>
      <x:c r="BR356" s="4"/>
      <x:c r="BS356" s="4"/>
      <x:c r="BT356" s="4"/>
      <x:c r="BU356" s="4"/>
      <x:c r="BV356" s="4"/>
      <x:c r="BW356" s="4"/>
      <x:c r="BX356" s="4"/>
      <x:c r="BY356" s="4"/>
      <x:c r="BZ356" s="4"/>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x:c r="DB356" s="4"/>
      <x:c r="DC356" s="4"/>
      <x:c r="DD356" s="4"/>
      <x:c r="DE356" s="4"/>
      <x:c r="DF356" s="4"/>
      <x:c r="DG356" s="4"/>
      <x:c r="DH356" s="4"/>
      <x:c r="DI356" s="4"/>
      <x:c r="DJ356" s="4"/>
      <x:c r="DK356" s="4"/>
      <x:c r="DL356" s="4"/>
      <x:c r="DM356" s="4"/>
      <x:c r="DN356" s="4"/>
      <x:c r="DO356" s="4"/>
      <x:c r="DP356" s="4"/>
      <x:c r="DQ356" s="4"/>
      <x:c r="DR356" s="4"/>
      <x:c r="DS356" s="4"/>
      <x:c r="DT356" s="4"/>
      <x:c r="DU356" s="4"/>
      <x:c r="DV356" s="4"/>
      <x:c r="DW356" s="4"/>
      <x:c r="DX356" s="4"/>
      <x:c r="DY356" s="4"/>
      <x:c r="DZ356" s="4"/>
      <x:c r="EA356" s="4"/>
      <x:c r="EB356" s="4"/>
      <x:c r="EC356" s="4"/>
      <x:c r="ED356" s="4"/>
      <x:c r="EE356" s="4"/>
      <x:c r="EF356" s="4"/>
      <x:c r="EG356" s="4"/>
      <x:c r="EH356" s="4"/>
      <x:c r="EI356" s="4"/>
      <x:c r="EJ356" s="4"/>
      <x:c r="EK356" s="4"/>
      <x:c r="EL356" s="4"/>
      <x:c r="EM356" s="4"/>
      <x:c r="EN356" s="4"/>
      <x:c r="EO356" s="4"/>
      <x:c r="EP356" s="4"/>
      <x:c r="EQ356" s="4"/>
      <x:c r="ER356" s="4"/>
      <x:c r="ES356" s="4"/>
      <x:c r="ET356" s="4"/>
      <x:c r="EU356" s="4"/>
      <x:c r="EV356" s="4"/>
      <x:c r="EW356" s="4"/>
      <x:c r="EX356" s="4"/>
      <x:c r="EY356" s="4"/>
      <x:c r="EZ356" s="4"/>
      <x:c r="FA356" s="4"/>
      <x:c r="FB356" s="4"/>
      <x:c r="FC356" s="4"/>
      <x:c r="FD356" s="4"/>
      <x:c r="FE356" s="4"/>
      <x:c r="FF356" s="4"/>
      <x:c r="FG356" s="4"/>
      <x:c r="FH356" s="4"/>
      <x:c r="FI356" s="4"/>
      <x:c r="FJ356" s="4"/>
      <x:c r="FK356" s="4"/>
      <x:c r="FL356" s="4"/>
      <x:c r="FM356" s="4"/>
      <x:c r="FN356" s="4"/>
      <x:c r="FO356" s="4"/>
    </x:row>
    <x:row r="357">
      <x:c r="A357" s="72"/>
      <x:c r="B357" s="72"/>
      <x:c r="C357" s="72"/>
      <x:c r="D357" s="72"/>
      <x:c r="E357" s="72"/>
      <x:c r="F357" s="72"/>
      <x:c r="G357" s="72"/>
      <x:c r="H357" s="72"/>
      <x:c r="I357" s="72"/>
      <x:c r="J357" s="72"/>
      <x:c r="K357" s="72"/>
      <x:c r="L357" s="72"/>
      <x:c r="M357" s="72"/>
      <x:c r="N357" s="72"/>
      <x:c r="O357" s="72"/>
      <x:c r="P357" s="72"/>
      <x:c r="Q357" s="72"/>
      <x:c r="R357" s="72"/>
      <x:c r="S357" s="72"/>
      <x:c r="T357" s="72"/>
      <x:c r="U357" s="72"/>
      <x:c r="V357" s="72"/>
      <x:c r="W357" s="72"/>
      <x:c r="X357" s="72"/>
      <x:c r="Y357" s="72"/>
      <x:c r="Z357" s="72"/>
      <x:c r="AA357" s="72"/>
      <x:c r="AB357" s="72"/>
      <x:c r="AC357" s="72"/>
      <x:c r="AD357" s="72"/>
      <x:c r="AE357" s="72"/>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x:c r="BN357" s="4"/>
      <x:c r="BO357" s="4"/>
      <x:c r="BP357" s="4"/>
      <x:c r="BQ357" s="4"/>
      <x:c r="BR357" s="4"/>
      <x:c r="BS357" s="4"/>
      <x:c r="BT357" s="4"/>
      <x:c r="BU357" s="4"/>
      <x:c r="BV357" s="4"/>
      <x:c r="BW357" s="4"/>
      <x:c r="BX357" s="4"/>
      <x:c r="BY357" s="4"/>
      <x:c r="BZ357" s="4"/>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x:c r="DB357" s="4"/>
      <x:c r="DC357" s="4"/>
      <x:c r="DD357" s="4"/>
      <x:c r="DE357" s="4"/>
      <x:c r="DF357" s="4"/>
      <x:c r="DG357" s="4"/>
      <x:c r="DH357" s="4"/>
      <x:c r="DI357" s="4"/>
      <x:c r="DJ357" s="4"/>
      <x:c r="DK357" s="4"/>
      <x:c r="DL357" s="4"/>
      <x:c r="DM357" s="4"/>
      <x:c r="DN357" s="4"/>
      <x:c r="DO357" s="4"/>
      <x:c r="DP357" s="4"/>
      <x:c r="DQ357" s="4"/>
      <x:c r="DR357" s="4"/>
      <x:c r="DS357" s="4"/>
      <x:c r="DT357" s="4"/>
      <x:c r="DU357" s="4"/>
      <x:c r="DV357" s="4"/>
      <x:c r="DW357" s="4"/>
      <x:c r="DX357" s="4"/>
      <x:c r="DY357" s="4"/>
      <x:c r="DZ357" s="4"/>
      <x:c r="EA357" s="4"/>
      <x:c r="EB357" s="4"/>
      <x:c r="EC357" s="4"/>
      <x:c r="ED357" s="4"/>
      <x:c r="EE357" s="4"/>
      <x:c r="EF357" s="4"/>
      <x:c r="EG357" s="4"/>
      <x:c r="EH357" s="4"/>
      <x:c r="EI357" s="4"/>
      <x:c r="EJ357" s="4"/>
      <x:c r="EK357" s="4"/>
      <x:c r="EL357" s="4"/>
      <x:c r="EM357" s="4"/>
      <x:c r="EN357" s="4"/>
      <x:c r="EO357" s="4"/>
      <x:c r="EP357" s="4"/>
      <x:c r="EQ357" s="4"/>
      <x:c r="ER357" s="4"/>
      <x:c r="ES357" s="4"/>
      <x:c r="ET357" s="4"/>
      <x:c r="EU357" s="4"/>
      <x:c r="EV357" s="4"/>
      <x:c r="EW357" s="4"/>
      <x:c r="EX357" s="4"/>
      <x:c r="EY357" s="4"/>
      <x:c r="EZ357" s="4"/>
      <x:c r="FA357" s="4"/>
      <x:c r="FB357" s="4"/>
      <x:c r="FC357" s="4"/>
      <x:c r="FD357" s="4"/>
      <x:c r="FE357" s="4"/>
      <x:c r="FF357" s="4"/>
      <x:c r="FG357" s="4"/>
      <x:c r="FH357" s="4"/>
      <x:c r="FI357" s="4"/>
      <x:c r="FJ357" s="4"/>
      <x:c r="FK357" s="4"/>
      <x:c r="FL357" s="4"/>
      <x:c r="FM357" s="4"/>
      <x:c r="FN357" s="4"/>
      <x:c r="FO357" s="4"/>
    </x:row>
    <x:row r="358">
      <x:c r="A358" s="72"/>
      <x:c r="B358" s="72"/>
      <x:c r="C358" s="72"/>
      <x:c r="D358" s="72"/>
      <x:c r="E358" s="72"/>
      <x:c r="F358" s="72"/>
      <x:c r="G358" s="72"/>
      <x:c r="H358" s="72"/>
      <x:c r="I358" s="72"/>
      <x:c r="J358" s="72"/>
      <x:c r="K358" s="72"/>
      <x:c r="L358" s="72"/>
      <x:c r="M358" s="72"/>
      <x:c r="N358" s="72"/>
      <x:c r="O358" s="72"/>
      <x:c r="P358" s="72"/>
      <x:c r="Q358" s="72"/>
      <x:c r="R358" s="72"/>
      <x:c r="S358" s="72"/>
      <x:c r="T358" s="72"/>
      <x:c r="U358" s="72"/>
      <x:c r="V358" s="72"/>
      <x:c r="W358" s="72"/>
      <x:c r="X358" s="72"/>
      <x:c r="Y358" s="72"/>
      <x:c r="Z358" s="72"/>
      <x:c r="AA358" s="72"/>
      <x:c r="AB358" s="72"/>
      <x:c r="AC358" s="72"/>
      <x:c r="AD358" s="72"/>
      <x:c r="AE358" s="72"/>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x:c r="BN358" s="4"/>
      <x:c r="BO358" s="4"/>
      <x:c r="BP358" s="4"/>
      <x:c r="BQ358" s="4"/>
      <x:c r="BR358" s="4"/>
      <x:c r="BS358" s="4"/>
      <x:c r="BT358" s="4"/>
      <x:c r="BU358" s="4"/>
      <x:c r="BV358" s="4"/>
      <x:c r="BW358" s="4"/>
      <x:c r="BX358" s="4"/>
      <x:c r="BY358" s="4"/>
      <x:c r="BZ358" s="4"/>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x:c r="DB358" s="4"/>
      <x:c r="DC358" s="4"/>
      <x:c r="DD358" s="4"/>
      <x:c r="DE358" s="4"/>
      <x:c r="DF358" s="4"/>
      <x:c r="DG358" s="4"/>
      <x:c r="DH358" s="4"/>
      <x:c r="DI358" s="4"/>
      <x:c r="DJ358" s="4"/>
      <x:c r="DK358" s="4"/>
      <x:c r="DL358" s="4"/>
      <x:c r="DM358" s="4"/>
      <x:c r="DN358" s="4"/>
      <x:c r="DO358" s="4"/>
      <x:c r="DP358" s="4"/>
      <x:c r="DQ358" s="4"/>
      <x:c r="DR358" s="4"/>
      <x:c r="DS358" s="4"/>
      <x:c r="DT358" s="4"/>
      <x:c r="DU358" s="4"/>
      <x:c r="DV358" s="4"/>
      <x:c r="DW358" s="4"/>
      <x:c r="DX358" s="4"/>
      <x:c r="DY358" s="4"/>
      <x:c r="DZ358" s="4"/>
      <x:c r="EA358" s="4"/>
      <x:c r="EB358" s="4"/>
      <x:c r="EC358" s="4"/>
      <x:c r="ED358" s="4"/>
      <x:c r="EE358" s="4"/>
      <x:c r="EF358" s="4"/>
      <x:c r="EG358" s="4"/>
      <x:c r="EH358" s="4"/>
      <x:c r="EI358" s="4"/>
      <x:c r="EJ358" s="4"/>
      <x:c r="EK358" s="4"/>
      <x:c r="EL358" s="4"/>
      <x:c r="EM358" s="4"/>
      <x:c r="EN358" s="4"/>
      <x:c r="EO358" s="4"/>
      <x:c r="EP358" s="4"/>
      <x:c r="EQ358" s="4"/>
      <x:c r="ER358" s="4"/>
      <x:c r="ES358" s="4"/>
      <x:c r="ET358" s="4"/>
      <x:c r="EU358" s="4"/>
      <x:c r="EV358" s="4"/>
      <x:c r="EW358" s="4"/>
      <x:c r="EX358" s="4"/>
      <x:c r="EY358" s="4"/>
      <x:c r="EZ358" s="4"/>
      <x:c r="FA358" s="4"/>
      <x:c r="FB358" s="4"/>
      <x:c r="FC358" s="4"/>
      <x:c r="FD358" s="4"/>
      <x:c r="FE358" s="4"/>
      <x:c r="FF358" s="4"/>
      <x:c r="FG358" s="4"/>
      <x:c r="FH358" s="4"/>
      <x:c r="FI358" s="4"/>
      <x:c r="FJ358" s="4"/>
      <x:c r="FK358" s="4"/>
      <x:c r="FL358" s="4"/>
      <x:c r="FM358" s="4"/>
      <x:c r="FN358" s="4"/>
      <x:c r="FO358" s="4"/>
    </x:row>
    <x:row r="359">
      <x:c r="A359" s="72"/>
      <x:c r="B359" s="72"/>
      <x:c r="C359" s="72"/>
      <x:c r="D359" s="72"/>
      <x:c r="E359" s="72"/>
      <x:c r="F359" s="72"/>
      <x:c r="G359" s="72"/>
      <x:c r="H359" s="72"/>
      <x:c r="I359" s="72"/>
      <x:c r="J359" s="72"/>
      <x:c r="K359" s="72"/>
      <x:c r="L359" s="72"/>
      <x:c r="M359" s="72"/>
      <x:c r="N359" s="72"/>
      <x:c r="O359" s="72"/>
      <x:c r="P359" s="72"/>
      <x:c r="Q359" s="72"/>
      <x:c r="R359" s="72"/>
      <x:c r="S359" s="72"/>
      <x:c r="T359" s="72"/>
      <x:c r="U359" s="72"/>
      <x:c r="V359" s="72"/>
      <x:c r="W359" s="72"/>
      <x:c r="X359" s="72"/>
      <x:c r="Y359" s="72"/>
      <x:c r="Z359" s="72"/>
      <x:c r="AA359" s="72"/>
      <x:c r="AB359" s="72"/>
      <x:c r="AC359" s="72"/>
      <x:c r="AD359" s="72"/>
      <x:c r="AE359" s="72"/>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x:c r="BN359" s="4"/>
      <x:c r="BO359" s="4"/>
      <x:c r="BP359" s="4"/>
      <x:c r="BQ359" s="4"/>
      <x:c r="BR359" s="4"/>
      <x:c r="BS359" s="4"/>
      <x:c r="BT359" s="4"/>
      <x:c r="BU359" s="4"/>
      <x:c r="BV359" s="4"/>
      <x:c r="BW359" s="4"/>
      <x:c r="BX359" s="4"/>
      <x:c r="BY359" s="4"/>
      <x:c r="BZ359" s="4"/>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x:c r="DB359" s="4"/>
      <x:c r="DC359" s="4"/>
      <x:c r="DD359" s="4"/>
      <x:c r="DE359" s="4"/>
      <x:c r="DF359" s="4"/>
      <x:c r="DG359" s="4"/>
      <x:c r="DH359" s="4"/>
      <x:c r="DI359" s="4"/>
      <x:c r="DJ359" s="4"/>
      <x:c r="DK359" s="4"/>
      <x:c r="DL359" s="4"/>
      <x:c r="DM359" s="4"/>
      <x:c r="DN359" s="4"/>
      <x:c r="DO359" s="4"/>
      <x:c r="DP359" s="4"/>
      <x:c r="DQ359" s="4"/>
      <x:c r="DR359" s="4"/>
      <x:c r="DS359" s="4"/>
      <x:c r="DT359" s="4"/>
      <x:c r="DU359" s="4"/>
      <x:c r="DV359" s="4"/>
      <x:c r="DW359" s="4"/>
      <x:c r="DX359" s="4"/>
      <x:c r="DY359" s="4"/>
      <x:c r="DZ359" s="4"/>
      <x:c r="EA359" s="4"/>
      <x:c r="EB359" s="4"/>
      <x:c r="EC359" s="4"/>
      <x:c r="ED359" s="4"/>
      <x:c r="EE359" s="4"/>
      <x:c r="EF359" s="4"/>
      <x:c r="EG359" s="4"/>
      <x:c r="EH359" s="4"/>
      <x:c r="EI359" s="4"/>
      <x:c r="EJ359" s="4"/>
      <x:c r="EK359" s="4"/>
      <x:c r="EL359" s="4"/>
      <x:c r="EM359" s="4"/>
      <x:c r="EN359" s="4"/>
      <x:c r="EO359" s="4"/>
      <x:c r="EP359" s="4"/>
      <x:c r="EQ359" s="4"/>
      <x:c r="ER359" s="4"/>
      <x:c r="ES359" s="4"/>
      <x:c r="ET359" s="4"/>
      <x:c r="EU359" s="4"/>
      <x:c r="EV359" s="4"/>
      <x:c r="EW359" s="4"/>
      <x:c r="EX359" s="4"/>
      <x:c r="EY359" s="4"/>
      <x:c r="EZ359" s="4"/>
      <x:c r="FA359" s="4"/>
      <x:c r="FB359" s="4"/>
      <x:c r="FC359" s="4"/>
      <x:c r="FD359" s="4"/>
      <x:c r="FE359" s="4"/>
      <x:c r="FF359" s="4"/>
      <x:c r="FG359" s="4"/>
      <x:c r="FH359" s="4"/>
      <x:c r="FI359" s="4"/>
      <x:c r="FJ359" s="4"/>
      <x:c r="FK359" s="4"/>
      <x:c r="FL359" s="4"/>
      <x:c r="FM359" s="4"/>
      <x:c r="FN359" s="4"/>
      <x:c r="FO359" s="4"/>
    </x:row>
    <x:row r="360">
      <x:c r="A360" s="72"/>
      <x:c r="B360" s="72"/>
      <x:c r="C360" s="72"/>
      <x:c r="D360" s="72"/>
      <x:c r="E360" s="72"/>
      <x:c r="F360" s="72"/>
      <x:c r="G360" s="72"/>
      <x:c r="H360" s="72"/>
      <x:c r="I360" s="72"/>
      <x:c r="J360" s="72"/>
      <x:c r="K360" s="72"/>
      <x:c r="L360" s="72"/>
      <x:c r="M360" s="72"/>
      <x:c r="N360" s="72"/>
      <x:c r="O360" s="72"/>
      <x:c r="P360" s="72"/>
      <x:c r="Q360" s="72"/>
      <x:c r="R360" s="72"/>
      <x:c r="S360" s="72"/>
      <x:c r="T360" s="72"/>
      <x:c r="U360" s="72"/>
      <x:c r="V360" s="72"/>
      <x:c r="W360" s="72"/>
      <x:c r="X360" s="72"/>
      <x:c r="Y360" s="72"/>
      <x:c r="Z360" s="72"/>
      <x:c r="AA360" s="72"/>
      <x:c r="AB360" s="72"/>
      <x:c r="AC360" s="72"/>
      <x:c r="AD360" s="72"/>
      <x:c r="AE360" s="72"/>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x:c r="BN360" s="4"/>
      <x:c r="BO360" s="4"/>
      <x:c r="BP360" s="4"/>
      <x:c r="BQ360" s="4"/>
      <x:c r="BR360" s="4"/>
      <x:c r="BS360" s="4"/>
      <x:c r="BT360" s="4"/>
      <x:c r="BU360" s="4"/>
      <x:c r="BV360" s="4"/>
      <x:c r="BW360" s="4"/>
      <x:c r="BX360" s="4"/>
      <x:c r="BY360" s="4"/>
      <x:c r="BZ360" s="4"/>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x:c r="DB360" s="4"/>
      <x:c r="DC360" s="4"/>
      <x:c r="DD360" s="4"/>
      <x:c r="DE360" s="4"/>
      <x:c r="DF360" s="4"/>
      <x:c r="DG360" s="4"/>
      <x:c r="DH360" s="4"/>
      <x:c r="DI360" s="4"/>
      <x:c r="DJ360" s="4"/>
      <x:c r="DK360" s="4"/>
      <x:c r="DL360" s="4"/>
      <x:c r="DM360" s="4"/>
      <x:c r="DN360" s="4"/>
      <x:c r="DO360" s="4"/>
      <x:c r="DP360" s="4"/>
      <x:c r="DQ360" s="4"/>
      <x:c r="DR360" s="4"/>
      <x:c r="DS360" s="4"/>
      <x:c r="DT360" s="4"/>
      <x:c r="DU360" s="4"/>
      <x:c r="DV360" s="4"/>
      <x:c r="DW360" s="4"/>
      <x:c r="DX360" s="4"/>
      <x:c r="DY360" s="4"/>
      <x:c r="DZ360" s="4"/>
      <x:c r="EA360" s="4"/>
      <x:c r="EB360" s="4"/>
      <x:c r="EC360" s="4"/>
      <x:c r="ED360" s="4"/>
      <x:c r="EE360" s="4"/>
      <x:c r="EF360" s="4"/>
      <x:c r="EG360" s="4"/>
      <x:c r="EH360" s="4"/>
      <x:c r="EI360" s="4"/>
      <x:c r="EJ360" s="4"/>
      <x:c r="EK360" s="4"/>
      <x:c r="EL360" s="4"/>
      <x:c r="EM360" s="4"/>
      <x:c r="EN360" s="4"/>
      <x:c r="EO360" s="4"/>
      <x:c r="EP360" s="4"/>
      <x:c r="EQ360" s="4"/>
      <x:c r="ER360" s="4"/>
      <x:c r="ES360" s="4"/>
      <x:c r="ET360" s="4"/>
      <x:c r="EU360" s="4"/>
      <x:c r="EV360" s="4"/>
      <x:c r="EW360" s="4"/>
      <x:c r="EX360" s="4"/>
      <x:c r="EY360" s="4"/>
      <x:c r="EZ360" s="4"/>
      <x:c r="FA360" s="4"/>
      <x:c r="FB360" s="4"/>
      <x:c r="FC360" s="4"/>
      <x:c r="FD360" s="4"/>
      <x:c r="FE360" s="4"/>
      <x:c r="FF360" s="4"/>
      <x:c r="FG360" s="4"/>
      <x:c r="FH360" s="4"/>
      <x:c r="FI360" s="4"/>
      <x:c r="FJ360" s="4"/>
      <x:c r="FK360" s="4"/>
      <x:c r="FL360" s="4"/>
      <x:c r="FM360" s="4"/>
      <x:c r="FN360" s="4"/>
      <x:c r="FO360" s="4"/>
    </x:row>
    <x:row r="361">
      <x:c r="A361" s="72"/>
      <x:c r="B361" s="72"/>
      <x:c r="C361" s="72"/>
      <x:c r="D361" s="72"/>
      <x:c r="E361" s="72"/>
      <x:c r="F361" s="72"/>
      <x:c r="G361" s="72"/>
      <x:c r="H361" s="72"/>
      <x:c r="I361" s="72"/>
      <x:c r="J361" s="72"/>
      <x:c r="K361" s="72"/>
      <x:c r="L361" s="72"/>
      <x:c r="M361" s="72"/>
      <x:c r="N361" s="72"/>
      <x:c r="O361" s="72"/>
      <x:c r="P361" s="72"/>
      <x:c r="Q361" s="72"/>
      <x:c r="R361" s="72"/>
      <x:c r="S361" s="72"/>
      <x:c r="T361" s="72"/>
      <x:c r="U361" s="72"/>
      <x:c r="V361" s="72"/>
      <x:c r="W361" s="72"/>
      <x:c r="X361" s="72"/>
      <x:c r="Y361" s="72"/>
      <x:c r="Z361" s="72"/>
      <x:c r="AA361" s="72"/>
      <x:c r="AB361" s="72"/>
      <x:c r="AC361" s="72"/>
      <x:c r="AD361" s="72"/>
      <x:c r="AE361" s="72"/>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x:c r="BN361" s="4"/>
      <x:c r="BO361" s="4"/>
      <x:c r="BP361" s="4"/>
      <x:c r="BQ361" s="4"/>
      <x:c r="BR361" s="4"/>
      <x:c r="BS361" s="4"/>
      <x:c r="BT361" s="4"/>
      <x:c r="BU361" s="4"/>
      <x:c r="BV361" s="4"/>
      <x:c r="BW361" s="4"/>
      <x:c r="BX361" s="4"/>
      <x:c r="BY361" s="4"/>
      <x:c r="BZ361" s="4"/>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x:c r="DB361" s="4"/>
      <x:c r="DC361" s="4"/>
      <x:c r="DD361" s="4"/>
      <x:c r="DE361" s="4"/>
      <x:c r="DF361" s="4"/>
      <x:c r="DG361" s="4"/>
      <x:c r="DH361" s="4"/>
      <x:c r="DI361" s="4"/>
      <x:c r="DJ361" s="4"/>
      <x:c r="DK361" s="4"/>
      <x:c r="DL361" s="4"/>
      <x:c r="DM361" s="4"/>
      <x:c r="DN361" s="4"/>
      <x:c r="DO361" s="4"/>
      <x:c r="DP361" s="4"/>
      <x:c r="DQ361" s="4"/>
      <x:c r="DR361" s="4"/>
      <x:c r="DS361" s="4"/>
      <x:c r="DT361" s="4"/>
      <x:c r="DU361" s="4"/>
      <x:c r="DV361" s="4"/>
      <x:c r="DW361" s="4"/>
      <x:c r="DX361" s="4"/>
      <x:c r="DY361" s="4"/>
      <x:c r="DZ361" s="4"/>
      <x:c r="EA361" s="4"/>
      <x:c r="EB361" s="4"/>
      <x:c r="EC361" s="4"/>
      <x:c r="ED361" s="4"/>
      <x:c r="EE361" s="4"/>
      <x:c r="EF361" s="4"/>
      <x:c r="EG361" s="4"/>
      <x:c r="EH361" s="4"/>
      <x:c r="EI361" s="4"/>
      <x:c r="EJ361" s="4"/>
      <x:c r="EK361" s="4"/>
      <x:c r="EL361" s="4"/>
      <x:c r="EM361" s="4"/>
      <x:c r="EN361" s="4"/>
      <x:c r="EO361" s="4"/>
      <x:c r="EP361" s="4"/>
      <x:c r="EQ361" s="4"/>
      <x:c r="ER361" s="4"/>
      <x:c r="ES361" s="4"/>
      <x:c r="ET361" s="4"/>
      <x:c r="EU361" s="4"/>
      <x:c r="EV361" s="4"/>
      <x:c r="EW361" s="4"/>
      <x:c r="EX361" s="4"/>
      <x:c r="EY361" s="4"/>
      <x:c r="EZ361" s="4"/>
      <x:c r="FA361" s="4"/>
      <x:c r="FB361" s="4"/>
      <x:c r="FC361" s="4"/>
      <x:c r="FD361" s="4"/>
      <x:c r="FE361" s="4"/>
      <x:c r="FF361" s="4"/>
      <x:c r="FG361" s="4"/>
      <x:c r="FH361" s="4"/>
      <x:c r="FI361" s="4"/>
      <x:c r="FJ361" s="4"/>
      <x:c r="FK361" s="4"/>
      <x:c r="FL361" s="4"/>
      <x:c r="FM361" s="4"/>
      <x:c r="FN361" s="4"/>
      <x:c r="FO361" s="4"/>
    </x:row>
    <x:row r="362">
      <x:c r="A362" s="72"/>
      <x:c r="B362" s="72"/>
      <x:c r="C362" s="72"/>
      <x:c r="D362" s="72"/>
      <x:c r="E362" s="72"/>
      <x:c r="F362" s="72"/>
      <x:c r="G362" s="72"/>
      <x:c r="H362" s="72"/>
      <x:c r="I362" s="72"/>
      <x:c r="J362" s="72"/>
      <x:c r="K362" s="72"/>
      <x:c r="L362" s="72"/>
      <x:c r="M362" s="72"/>
      <x:c r="N362" s="72"/>
      <x:c r="O362" s="72"/>
      <x:c r="P362" s="72"/>
      <x:c r="Q362" s="72"/>
      <x:c r="R362" s="72"/>
      <x:c r="S362" s="72"/>
      <x:c r="T362" s="72"/>
      <x:c r="U362" s="72"/>
      <x:c r="V362" s="72"/>
      <x:c r="W362" s="72"/>
      <x:c r="X362" s="72"/>
      <x:c r="Y362" s="72"/>
      <x:c r="Z362" s="72"/>
      <x:c r="AA362" s="72"/>
      <x:c r="AB362" s="72"/>
      <x:c r="AC362" s="72"/>
      <x:c r="AD362" s="72"/>
      <x:c r="AE362" s="72"/>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x:c r="BN362" s="4"/>
      <x:c r="BO362" s="4"/>
      <x:c r="BP362" s="4"/>
      <x:c r="BQ362" s="4"/>
      <x:c r="BR362" s="4"/>
      <x:c r="BS362" s="4"/>
      <x:c r="BT362" s="4"/>
      <x:c r="BU362" s="4"/>
      <x:c r="BV362" s="4"/>
      <x:c r="BW362" s="4"/>
      <x:c r="BX362" s="4"/>
      <x:c r="BY362" s="4"/>
      <x:c r="BZ362" s="4"/>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x:c r="DB362" s="4"/>
      <x:c r="DC362" s="4"/>
      <x:c r="DD362" s="4"/>
      <x:c r="DE362" s="4"/>
      <x:c r="DF362" s="4"/>
      <x:c r="DG362" s="4"/>
      <x:c r="DH362" s="4"/>
      <x:c r="DI362" s="4"/>
      <x:c r="DJ362" s="4"/>
      <x:c r="DK362" s="4"/>
      <x:c r="DL362" s="4"/>
      <x:c r="DM362" s="4"/>
      <x:c r="DN362" s="4"/>
      <x:c r="DO362" s="4"/>
      <x:c r="DP362" s="4"/>
      <x:c r="DQ362" s="4"/>
      <x:c r="DR362" s="4"/>
      <x:c r="DS362" s="4"/>
      <x:c r="DT362" s="4"/>
      <x:c r="DU362" s="4"/>
      <x:c r="DV362" s="4"/>
      <x:c r="DW362" s="4"/>
      <x:c r="DX362" s="4"/>
      <x:c r="DY362" s="4"/>
      <x:c r="DZ362" s="4"/>
      <x:c r="EA362" s="4"/>
      <x:c r="EB362" s="4"/>
      <x:c r="EC362" s="4"/>
      <x:c r="ED362" s="4"/>
      <x:c r="EE362" s="4"/>
      <x:c r="EF362" s="4"/>
      <x:c r="EG362" s="4"/>
      <x:c r="EH362" s="4"/>
      <x:c r="EI362" s="4"/>
      <x:c r="EJ362" s="4"/>
      <x:c r="EK362" s="4"/>
      <x:c r="EL362" s="4"/>
      <x:c r="EM362" s="4"/>
      <x:c r="EN362" s="4"/>
      <x:c r="EO362" s="4"/>
      <x:c r="EP362" s="4"/>
      <x:c r="EQ362" s="4"/>
      <x:c r="ER362" s="4"/>
      <x:c r="ES362" s="4"/>
      <x:c r="ET362" s="4"/>
      <x:c r="EU362" s="4"/>
      <x:c r="EV362" s="4"/>
      <x:c r="EW362" s="4"/>
      <x:c r="EX362" s="4"/>
      <x:c r="EY362" s="4"/>
      <x:c r="EZ362" s="4"/>
      <x:c r="FA362" s="4"/>
      <x:c r="FB362" s="4"/>
      <x:c r="FC362" s="4"/>
      <x:c r="FD362" s="4"/>
      <x:c r="FE362" s="4"/>
      <x:c r="FF362" s="4"/>
      <x:c r="FG362" s="4"/>
      <x:c r="FH362" s="4"/>
      <x:c r="FI362" s="4"/>
      <x:c r="FJ362" s="4"/>
      <x:c r="FK362" s="4"/>
      <x:c r="FL362" s="4"/>
      <x:c r="FM362" s="4"/>
      <x:c r="FN362" s="4"/>
      <x:c r="FO362" s="4"/>
    </x:row>
    <x:row r="363">
      <x:c r="A363" s="72"/>
      <x:c r="B363" s="72"/>
      <x:c r="C363" s="72"/>
      <x:c r="D363" s="72"/>
      <x:c r="E363" s="72"/>
      <x:c r="F363" s="72"/>
      <x:c r="G363" s="72"/>
      <x:c r="H363" s="72"/>
      <x:c r="I363" s="72"/>
      <x:c r="J363" s="72"/>
      <x:c r="K363" s="72"/>
      <x:c r="L363" s="72"/>
      <x:c r="M363" s="72"/>
      <x:c r="N363" s="72"/>
      <x:c r="O363" s="72"/>
      <x:c r="P363" s="72"/>
      <x:c r="Q363" s="72"/>
      <x:c r="R363" s="72"/>
      <x:c r="S363" s="72"/>
      <x:c r="T363" s="72"/>
      <x:c r="U363" s="72"/>
      <x:c r="V363" s="72"/>
      <x:c r="W363" s="72"/>
      <x:c r="X363" s="72"/>
      <x:c r="Y363" s="72"/>
      <x:c r="Z363" s="72"/>
      <x:c r="AA363" s="72"/>
      <x:c r="AB363" s="72"/>
      <x:c r="AC363" s="72"/>
      <x:c r="AD363" s="72"/>
      <x:c r="AE363" s="72"/>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x:c r="BN363" s="4"/>
      <x:c r="BO363" s="4"/>
      <x:c r="BP363" s="4"/>
      <x:c r="BQ363" s="4"/>
      <x:c r="BR363" s="4"/>
      <x:c r="BS363" s="4"/>
      <x:c r="BT363" s="4"/>
      <x:c r="BU363" s="4"/>
      <x:c r="BV363" s="4"/>
      <x:c r="BW363" s="4"/>
      <x:c r="BX363" s="4"/>
      <x:c r="BY363" s="4"/>
      <x:c r="BZ363" s="4"/>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x:c r="DB363" s="4"/>
      <x:c r="DC363" s="4"/>
      <x:c r="DD363" s="4"/>
      <x:c r="DE363" s="4"/>
      <x:c r="DF363" s="4"/>
      <x:c r="DG363" s="4"/>
      <x:c r="DH363" s="4"/>
      <x:c r="DI363" s="4"/>
      <x:c r="DJ363" s="4"/>
      <x:c r="DK363" s="4"/>
      <x:c r="DL363" s="4"/>
      <x:c r="DM363" s="4"/>
      <x:c r="DN363" s="4"/>
      <x:c r="DO363" s="4"/>
      <x:c r="DP363" s="4"/>
      <x:c r="DQ363" s="4"/>
      <x:c r="DR363" s="4"/>
      <x:c r="DS363" s="4"/>
      <x:c r="DT363" s="4"/>
      <x:c r="DU363" s="4"/>
      <x:c r="DV363" s="4"/>
      <x:c r="DW363" s="4"/>
      <x:c r="DX363" s="4"/>
      <x:c r="DY363" s="4"/>
      <x:c r="DZ363" s="4"/>
      <x:c r="EA363" s="4"/>
      <x:c r="EB363" s="4"/>
      <x:c r="EC363" s="4"/>
      <x:c r="ED363" s="4"/>
      <x:c r="EE363" s="4"/>
      <x:c r="EF363" s="4"/>
      <x:c r="EG363" s="4"/>
      <x:c r="EH363" s="4"/>
      <x:c r="EI363" s="4"/>
      <x:c r="EJ363" s="4"/>
      <x:c r="EK363" s="4"/>
      <x:c r="EL363" s="4"/>
      <x:c r="EM363" s="4"/>
      <x:c r="EN363" s="4"/>
      <x:c r="EO363" s="4"/>
      <x:c r="EP363" s="4"/>
      <x:c r="EQ363" s="4"/>
      <x:c r="ER363" s="4"/>
      <x:c r="ES363" s="4"/>
      <x:c r="ET363" s="4"/>
      <x:c r="EU363" s="4"/>
      <x:c r="EV363" s="4"/>
      <x:c r="EW363" s="4"/>
      <x:c r="EX363" s="4"/>
      <x:c r="EY363" s="4"/>
      <x:c r="EZ363" s="4"/>
      <x:c r="FA363" s="4"/>
      <x:c r="FB363" s="4"/>
      <x:c r="FC363" s="4"/>
      <x:c r="FD363" s="4"/>
      <x:c r="FE363" s="4"/>
      <x:c r="FF363" s="4"/>
      <x:c r="FG363" s="4"/>
      <x:c r="FH363" s="4"/>
      <x:c r="FI363" s="4"/>
      <x:c r="FJ363" s="4"/>
      <x:c r="FK363" s="4"/>
      <x:c r="FL363" s="4"/>
      <x:c r="FM363" s="4"/>
      <x:c r="FN363" s="4"/>
      <x:c r="FO363" s="4"/>
    </x:row>
    <x:row r="364">
      <x:c r="A364" s="72"/>
      <x:c r="B364" s="72"/>
      <x:c r="C364" s="72"/>
      <x:c r="D364" s="72"/>
      <x:c r="E364" s="72"/>
      <x:c r="F364" s="72"/>
      <x:c r="G364" s="72"/>
      <x:c r="H364" s="72"/>
      <x:c r="I364" s="72"/>
      <x:c r="J364" s="72"/>
      <x:c r="K364" s="72"/>
      <x:c r="L364" s="72"/>
      <x:c r="M364" s="72"/>
      <x:c r="N364" s="72"/>
      <x:c r="O364" s="72"/>
      <x:c r="P364" s="72"/>
      <x:c r="Q364" s="72"/>
      <x:c r="R364" s="72"/>
      <x:c r="S364" s="72"/>
      <x:c r="T364" s="72"/>
      <x:c r="U364" s="72"/>
      <x:c r="V364" s="72"/>
      <x:c r="W364" s="72"/>
      <x:c r="X364" s="72"/>
      <x:c r="Y364" s="72"/>
      <x:c r="Z364" s="72"/>
      <x:c r="AA364" s="72"/>
      <x:c r="AB364" s="72"/>
      <x:c r="AC364" s="72"/>
      <x:c r="AD364" s="72"/>
      <x:c r="AE364" s="72"/>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x:c r="BN364" s="4"/>
      <x:c r="BO364" s="4"/>
      <x:c r="BP364" s="4"/>
      <x:c r="BQ364" s="4"/>
      <x:c r="BR364" s="4"/>
      <x:c r="BS364" s="4"/>
      <x:c r="BT364" s="4"/>
      <x:c r="BU364" s="4"/>
      <x:c r="BV364" s="4"/>
      <x:c r="BW364" s="4"/>
      <x:c r="BX364" s="4"/>
      <x:c r="BY364" s="4"/>
      <x:c r="BZ364" s="4"/>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x:c r="DB364" s="4"/>
      <x:c r="DC364" s="4"/>
      <x:c r="DD364" s="4"/>
      <x:c r="DE364" s="4"/>
      <x:c r="DF364" s="4"/>
      <x:c r="DG364" s="4"/>
      <x:c r="DH364" s="4"/>
      <x:c r="DI364" s="4"/>
      <x:c r="DJ364" s="4"/>
      <x:c r="DK364" s="4"/>
      <x:c r="DL364" s="4"/>
      <x:c r="DM364" s="4"/>
      <x:c r="DN364" s="4"/>
      <x:c r="DO364" s="4"/>
      <x:c r="DP364" s="4"/>
      <x:c r="DQ364" s="4"/>
      <x:c r="DR364" s="4"/>
      <x:c r="DS364" s="4"/>
      <x:c r="DT364" s="4"/>
      <x:c r="DU364" s="4"/>
      <x:c r="DV364" s="4"/>
      <x:c r="DW364" s="4"/>
      <x:c r="DX364" s="4"/>
      <x:c r="DY364" s="4"/>
      <x:c r="DZ364" s="4"/>
      <x:c r="EA364" s="4"/>
      <x:c r="EB364" s="4"/>
      <x:c r="EC364" s="4"/>
      <x:c r="ED364" s="4"/>
      <x:c r="EE364" s="4"/>
      <x:c r="EF364" s="4"/>
      <x:c r="EG364" s="4"/>
      <x:c r="EH364" s="4"/>
      <x:c r="EI364" s="4"/>
      <x:c r="EJ364" s="4"/>
      <x:c r="EK364" s="4"/>
      <x:c r="EL364" s="4"/>
      <x:c r="EM364" s="4"/>
      <x:c r="EN364" s="4"/>
      <x:c r="EO364" s="4"/>
      <x:c r="EP364" s="4"/>
      <x:c r="EQ364" s="4"/>
      <x:c r="ER364" s="4"/>
      <x:c r="ES364" s="4"/>
      <x:c r="ET364" s="4"/>
      <x:c r="EU364" s="4"/>
      <x:c r="EV364" s="4"/>
      <x:c r="EW364" s="4"/>
      <x:c r="EX364" s="4"/>
      <x:c r="EY364" s="4"/>
      <x:c r="EZ364" s="4"/>
      <x:c r="FA364" s="4"/>
      <x:c r="FB364" s="4"/>
      <x:c r="FC364" s="4"/>
      <x:c r="FD364" s="4"/>
      <x:c r="FE364" s="4"/>
      <x:c r="FF364" s="4"/>
      <x:c r="FG364" s="4"/>
      <x:c r="FH364" s="4"/>
      <x:c r="FI364" s="4"/>
      <x:c r="FJ364" s="4"/>
      <x:c r="FK364" s="4"/>
      <x:c r="FL364" s="4"/>
      <x:c r="FM364" s="4"/>
      <x:c r="FN364" s="4"/>
      <x:c r="FO364" s="4"/>
    </x:row>
    <x:row r="365">
      <x:c r="A365" s="72"/>
      <x:c r="B365" s="72"/>
      <x:c r="C365" s="72"/>
      <x:c r="D365" s="72"/>
      <x:c r="E365" s="72"/>
      <x:c r="F365" s="72"/>
      <x:c r="G365" s="72"/>
      <x:c r="H365" s="72"/>
      <x:c r="I365" s="72"/>
      <x:c r="J365" s="72"/>
      <x:c r="K365" s="72"/>
      <x:c r="L365" s="72"/>
      <x:c r="M365" s="72"/>
      <x:c r="N365" s="72"/>
      <x:c r="O365" s="72"/>
      <x:c r="P365" s="72"/>
      <x:c r="Q365" s="72"/>
      <x:c r="R365" s="72"/>
      <x:c r="S365" s="72"/>
      <x:c r="T365" s="72"/>
      <x:c r="U365" s="72"/>
      <x:c r="V365" s="72"/>
      <x:c r="W365" s="72"/>
      <x:c r="X365" s="72"/>
      <x:c r="Y365" s="72"/>
      <x:c r="Z365" s="72"/>
      <x:c r="AA365" s="72"/>
      <x:c r="AB365" s="72"/>
      <x:c r="AC365" s="72"/>
      <x:c r="AD365" s="72"/>
      <x:c r="AE365" s="72"/>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x:c r="BN365" s="4"/>
      <x:c r="BO365" s="4"/>
      <x:c r="BP365" s="4"/>
      <x:c r="BQ365" s="4"/>
      <x:c r="BR365" s="4"/>
      <x:c r="BS365" s="4"/>
      <x:c r="BT365" s="4"/>
      <x:c r="BU365" s="4"/>
      <x:c r="BV365" s="4"/>
      <x:c r="BW365" s="4"/>
      <x:c r="BX365" s="4"/>
      <x:c r="BY365" s="4"/>
      <x:c r="BZ365" s="4"/>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x:c r="DB365" s="4"/>
      <x:c r="DC365" s="4"/>
      <x:c r="DD365" s="4"/>
      <x:c r="DE365" s="4"/>
      <x:c r="DF365" s="4"/>
      <x:c r="DG365" s="4"/>
      <x:c r="DH365" s="4"/>
      <x:c r="DI365" s="4"/>
      <x:c r="DJ365" s="4"/>
      <x:c r="DK365" s="4"/>
      <x:c r="DL365" s="4"/>
      <x:c r="DM365" s="4"/>
      <x:c r="DN365" s="4"/>
      <x:c r="DO365" s="4"/>
      <x:c r="DP365" s="4"/>
      <x:c r="DQ365" s="4"/>
      <x:c r="DR365" s="4"/>
      <x:c r="DS365" s="4"/>
      <x:c r="DT365" s="4"/>
      <x:c r="DU365" s="4"/>
      <x:c r="DV365" s="4"/>
      <x:c r="DW365" s="4"/>
      <x:c r="DX365" s="4"/>
      <x:c r="DY365" s="4"/>
      <x:c r="DZ365" s="4"/>
      <x:c r="EA365" s="4"/>
      <x:c r="EB365" s="4"/>
      <x:c r="EC365" s="4"/>
      <x:c r="ED365" s="4"/>
      <x:c r="EE365" s="4"/>
      <x:c r="EF365" s="4"/>
      <x:c r="EG365" s="4"/>
      <x:c r="EH365" s="4"/>
      <x:c r="EI365" s="4"/>
      <x:c r="EJ365" s="4"/>
      <x:c r="EK365" s="4"/>
      <x:c r="EL365" s="4"/>
      <x:c r="EM365" s="4"/>
      <x:c r="EN365" s="4"/>
      <x:c r="EO365" s="4"/>
      <x:c r="EP365" s="4"/>
      <x:c r="EQ365" s="4"/>
      <x:c r="ER365" s="4"/>
      <x:c r="ES365" s="4"/>
      <x:c r="ET365" s="4"/>
      <x:c r="EU365" s="4"/>
      <x:c r="EV365" s="4"/>
      <x:c r="EW365" s="4"/>
      <x:c r="EX365" s="4"/>
      <x:c r="EY365" s="4"/>
      <x:c r="EZ365" s="4"/>
      <x:c r="FA365" s="4"/>
      <x:c r="FB365" s="4"/>
      <x:c r="FC365" s="4"/>
      <x:c r="FD365" s="4"/>
      <x:c r="FE365" s="4"/>
      <x:c r="FF365" s="4"/>
      <x:c r="FG365" s="4"/>
      <x:c r="FH365" s="4"/>
      <x:c r="FI365" s="4"/>
      <x:c r="FJ365" s="4"/>
      <x:c r="FK365" s="4"/>
      <x:c r="FL365" s="4"/>
      <x:c r="FM365" s="4"/>
      <x:c r="FN365" s="4"/>
      <x:c r="FO365" s="4"/>
    </x:row>
    <x:row r="366">
      <x:c r="A366" s="72"/>
      <x:c r="B366" s="72"/>
      <x:c r="C366" s="72"/>
      <x:c r="D366" s="72"/>
      <x:c r="E366" s="72"/>
      <x:c r="F366" s="72"/>
      <x:c r="G366" s="72"/>
      <x:c r="H366" s="72"/>
      <x:c r="I366" s="72"/>
      <x:c r="J366" s="72"/>
      <x:c r="K366" s="72"/>
      <x:c r="L366" s="72"/>
      <x:c r="M366" s="72"/>
      <x:c r="N366" s="72"/>
      <x:c r="O366" s="72"/>
      <x:c r="P366" s="72"/>
      <x:c r="Q366" s="72"/>
      <x:c r="R366" s="72"/>
      <x:c r="S366" s="72"/>
      <x:c r="T366" s="72"/>
      <x:c r="U366" s="72"/>
      <x:c r="V366" s="72"/>
      <x:c r="W366" s="72"/>
      <x:c r="X366" s="72"/>
      <x:c r="Y366" s="72"/>
      <x:c r="Z366" s="72"/>
      <x:c r="AA366" s="72"/>
      <x:c r="AB366" s="72"/>
      <x:c r="AC366" s="72"/>
      <x:c r="AD366" s="72"/>
      <x:c r="AE366" s="72"/>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x:c r="BN366" s="4"/>
      <x:c r="BO366" s="4"/>
      <x:c r="BP366" s="4"/>
      <x:c r="BQ366" s="4"/>
      <x:c r="BR366" s="4"/>
      <x:c r="BS366" s="4"/>
      <x:c r="BT366" s="4"/>
      <x:c r="BU366" s="4"/>
      <x:c r="BV366" s="4"/>
      <x:c r="BW366" s="4"/>
      <x:c r="BX366" s="4"/>
      <x:c r="BY366" s="4"/>
      <x:c r="BZ366" s="4"/>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x:c r="DB366" s="4"/>
      <x:c r="DC366" s="4"/>
      <x:c r="DD366" s="4"/>
      <x:c r="DE366" s="4"/>
      <x:c r="DF366" s="4"/>
      <x:c r="DG366" s="4"/>
      <x:c r="DH366" s="4"/>
      <x:c r="DI366" s="4"/>
      <x:c r="DJ366" s="4"/>
      <x:c r="DK366" s="4"/>
      <x:c r="DL366" s="4"/>
      <x:c r="DM366" s="4"/>
      <x:c r="DN366" s="4"/>
      <x:c r="DO366" s="4"/>
      <x:c r="DP366" s="4"/>
      <x:c r="DQ366" s="4"/>
      <x:c r="DR366" s="4"/>
      <x:c r="DS366" s="4"/>
      <x:c r="DT366" s="4"/>
      <x:c r="DU366" s="4"/>
      <x:c r="DV366" s="4"/>
      <x:c r="DW366" s="4"/>
      <x:c r="DX366" s="4"/>
      <x:c r="DY366" s="4"/>
      <x:c r="DZ366" s="4"/>
      <x:c r="EA366" s="4"/>
      <x:c r="EB366" s="4"/>
      <x:c r="EC366" s="4"/>
      <x:c r="ED366" s="4"/>
      <x:c r="EE366" s="4"/>
      <x:c r="EF366" s="4"/>
      <x:c r="EG366" s="4"/>
      <x:c r="EH366" s="4"/>
      <x:c r="EI366" s="4"/>
      <x:c r="EJ366" s="4"/>
      <x:c r="EK366" s="4"/>
      <x:c r="EL366" s="4"/>
      <x:c r="EM366" s="4"/>
      <x:c r="EN366" s="4"/>
      <x:c r="EO366" s="4"/>
      <x:c r="EP366" s="4"/>
      <x:c r="EQ366" s="4"/>
      <x:c r="ER366" s="4"/>
      <x:c r="ES366" s="4"/>
      <x:c r="ET366" s="4"/>
      <x:c r="EU366" s="4"/>
      <x:c r="EV366" s="4"/>
      <x:c r="EW366" s="4"/>
      <x:c r="EX366" s="4"/>
      <x:c r="EY366" s="4"/>
      <x:c r="EZ366" s="4"/>
      <x:c r="FA366" s="4"/>
      <x:c r="FB366" s="4"/>
      <x:c r="FC366" s="4"/>
      <x:c r="FD366" s="4"/>
      <x:c r="FE366" s="4"/>
      <x:c r="FF366" s="4"/>
      <x:c r="FG366" s="4"/>
      <x:c r="FH366" s="4"/>
      <x:c r="FI366" s="4"/>
      <x:c r="FJ366" s="4"/>
      <x:c r="FK366" s="4"/>
      <x:c r="FL366" s="4"/>
      <x:c r="FM366" s="4"/>
      <x:c r="FN366" s="4"/>
      <x:c r="FO366" s="4"/>
    </x:row>
    <x:row r="367">
      <x:c r="A367" s="72"/>
      <x:c r="B367" s="72"/>
      <x:c r="C367" s="72"/>
      <x:c r="D367" s="72"/>
      <x:c r="E367" s="72"/>
      <x:c r="F367" s="72"/>
      <x:c r="G367" s="72"/>
      <x:c r="H367" s="72"/>
      <x:c r="I367" s="72"/>
      <x:c r="J367" s="72"/>
      <x:c r="K367" s="72"/>
      <x:c r="L367" s="72"/>
      <x:c r="M367" s="72"/>
      <x:c r="N367" s="72"/>
      <x:c r="O367" s="72"/>
      <x:c r="P367" s="72"/>
      <x:c r="Q367" s="72"/>
      <x:c r="R367" s="72"/>
      <x:c r="S367" s="72"/>
      <x:c r="T367" s="72"/>
      <x:c r="U367" s="72"/>
      <x:c r="V367" s="72"/>
      <x:c r="W367" s="72"/>
      <x:c r="X367" s="72"/>
      <x:c r="Y367" s="72"/>
      <x:c r="Z367" s="72"/>
      <x:c r="AA367" s="72"/>
      <x:c r="AB367" s="72"/>
      <x:c r="AC367" s="72"/>
      <x:c r="AD367" s="72"/>
      <x:c r="AE367" s="72"/>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x:c r="BN367" s="4"/>
      <x:c r="BO367" s="4"/>
      <x:c r="BP367" s="4"/>
      <x:c r="BQ367" s="4"/>
      <x:c r="BR367" s="4"/>
      <x:c r="BS367" s="4"/>
      <x:c r="BT367" s="4"/>
      <x:c r="BU367" s="4"/>
      <x:c r="BV367" s="4"/>
      <x:c r="BW367" s="4"/>
      <x:c r="BX367" s="4"/>
      <x:c r="BY367" s="4"/>
      <x:c r="BZ367" s="4"/>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x:c r="DB367" s="4"/>
      <x:c r="DC367" s="4"/>
      <x:c r="DD367" s="4"/>
      <x:c r="DE367" s="4"/>
      <x:c r="DF367" s="4"/>
      <x:c r="DG367" s="4"/>
      <x:c r="DH367" s="4"/>
      <x:c r="DI367" s="4"/>
      <x:c r="DJ367" s="4"/>
      <x:c r="DK367" s="4"/>
      <x:c r="DL367" s="4"/>
      <x:c r="DM367" s="4"/>
      <x:c r="DN367" s="4"/>
      <x:c r="DO367" s="4"/>
      <x:c r="DP367" s="4"/>
      <x:c r="DQ367" s="4"/>
      <x:c r="DR367" s="4"/>
      <x:c r="DS367" s="4"/>
      <x:c r="DT367" s="4"/>
      <x:c r="DU367" s="4"/>
      <x:c r="DV367" s="4"/>
      <x:c r="DW367" s="4"/>
      <x:c r="DX367" s="4"/>
      <x:c r="DY367" s="4"/>
      <x:c r="DZ367" s="4"/>
      <x:c r="EA367" s="4"/>
      <x:c r="EB367" s="4"/>
      <x:c r="EC367" s="4"/>
      <x:c r="ED367" s="4"/>
      <x:c r="EE367" s="4"/>
      <x:c r="EF367" s="4"/>
      <x:c r="EG367" s="4"/>
      <x:c r="EH367" s="4"/>
      <x:c r="EI367" s="4"/>
      <x:c r="EJ367" s="4"/>
      <x:c r="EK367" s="4"/>
      <x:c r="EL367" s="4"/>
      <x:c r="EM367" s="4"/>
      <x:c r="EN367" s="4"/>
      <x:c r="EO367" s="4"/>
      <x:c r="EP367" s="4"/>
      <x:c r="EQ367" s="4"/>
      <x:c r="ER367" s="4"/>
      <x:c r="ES367" s="4"/>
      <x:c r="ET367" s="4"/>
      <x:c r="EU367" s="4"/>
      <x:c r="EV367" s="4"/>
      <x:c r="EW367" s="4"/>
      <x:c r="EX367" s="4"/>
      <x:c r="EY367" s="4"/>
      <x:c r="EZ367" s="4"/>
      <x:c r="FA367" s="4"/>
      <x:c r="FB367" s="4"/>
      <x:c r="FC367" s="4"/>
      <x:c r="FD367" s="4"/>
      <x:c r="FE367" s="4"/>
      <x:c r="FF367" s="4"/>
      <x:c r="FG367" s="4"/>
      <x:c r="FH367" s="4"/>
      <x:c r="FI367" s="4"/>
      <x:c r="FJ367" s="4"/>
      <x:c r="FK367" s="4"/>
      <x:c r="FL367" s="4"/>
      <x:c r="FM367" s="4"/>
      <x:c r="FN367" s="4"/>
      <x:c r="FO367" s="4"/>
    </x:row>
    <x:row r="368">
      <x:c r="A368" s="72"/>
      <x:c r="B368" s="72"/>
      <x:c r="C368" s="72"/>
      <x:c r="D368" s="72"/>
      <x:c r="E368" s="72"/>
      <x:c r="F368" s="72"/>
      <x:c r="G368" s="72"/>
      <x:c r="H368" s="72"/>
      <x:c r="I368" s="72"/>
      <x:c r="J368" s="72"/>
      <x:c r="K368" s="72"/>
      <x:c r="L368" s="72"/>
      <x:c r="M368" s="72"/>
      <x:c r="N368" s="72"/>
      <x:c r="O368" s="72"/>
      <x:c r="P368" s="72"/>
      <x:c r="Q368" s="72"/>
      <x:c r="R368" s="72"/>
      <x:c r="S368" s="72"/>
      <x:c r="T368" s="72"/>
      <x:c r="U368" s="72"/>
      <x:c r="V368" s="72"/>
      <x:c r="W368" s="72"/>
      <x:c r="X368" s="72"/>
      <x:c r="Y368" s="72"/>
      <x:c r="Z368" s="72"/>
      <x:c r="AA368" s="72"/>
      <x:c r="AB368" s="72"/>
      <x:c r="AC368" s="72"/>
      <x:c r="AD368" s="72"/>
      <x:c r="AE368" s="72"/>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x:c r="BN368" s="4"/>
      <x:c r="BO368" s="4"/>
      <x:c r="BP368" s="4"/>
      <x:c r="BQ368" s="4"/>
      <x:c r="BR368" s="4"/>
      <x:c r="BS368" s="4"/>
      <x:c r="BT368" s="4"/>
      <x:c r="BU368" s="4"/>
      <x:c r="BV368" s="4"/>
      <x:c r="BW368" s="4"/>
      <x:c r="BX368" s="4"/>
      <x:c r="BY368" s="4"/>
      <x:c r="BZ368" s="4"/>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x:c r="DB368" s="4"/>
      <x:c r="DC368" s="4"/>
      <x:c r="DD368" s="4"/>
      <x:c r="DE368" s="4"/>
      <x:c r="DF368" s="4"/>
      <x:c r="DG368" s="4"/>
      <x:c r="DH368" s="4"/>
      <x:c r="DI368" s="4"/>
      <x:c r="DJ368" s="4"/>
      <x:c r="DK368" s="4"/>
      <x:c r="DL368" s="4"/>
      <x:c r="DM368" s="4"/>
      <x:c r="DN368" s="4"/>
      <x:c r="DO368" s="4"/>
      <x:c r="DP368" s="4"/>
      <x:c r="DQ368" s="4"/>
      <x:c r="DR368" s="4"/>
      <x:c r="DS368" s="4"/>
      <x:c r="DT368" s="4"/>
      <x:c r="DU368" s="4"/>
      <x:c r="DV368" s="4"/>
      <x:c r="DW368" s="4"/>
      <x:c r="DX368" s="4"/>
      <x:c r="DY368" s="4"/>
      <x:c r="DZ368" s="4"/>
      <x:c r="EA368" s="4"/>
      <x:c r="EB368" s="4"/>
      <x:c r="EC368" s="4"/>
      <x:c r="ED368" s="4"/>
      <x:c r="EE368" s="4"/>
      <x:c r="EF368" s="4"/>
      <x:c r="EG368" s="4"/>
      <x:c r="EH368" s="4"/>
      <x:c r="EI368" s="4"/>
      <x:c r="EJ368" s="4"/>
      <x:c r="EK368" s="4"/>
      <x:c r="EL368" s="4"/>
      <x:c r="EM368" s="4"/>
      <x:c r="EN368" s="4"/>
      <x:c r="EO368" s="4"/>
      <x:c r="EP368" s="4"/>
      <x:c r="EQ368" s="4"/>
      <x:c r="ER368" s="4"/>
      <x:c r="ES368" s="4"/>
      <x:c r="ET368" s="4"/>
      <x:c r="EU368" s="4"/>
      <x:c r="EV368" s="4"/>
      <x:c r="EW368" s="4"/>
      <x:c r="EX368" s="4"/>
      <x:c r="EY368" s="4"/>
      <x:c r="EZ368" s="4"/>
      <x:c r="FA368" s="4"/>
      <x:c r="FB368" s="4"/>
      <x:c r="FC368" s="4"/>
      <x:c r="FD368" s="4"/>
      <x:c r="FE368" s="4"/>
      <x:c r="FF368" s="4"/>
      <x:c r="FG368" s="4"/>
      <x:c r="FH368" s="4"/>
      <x:c r="FI368" s="4"/>
      <x:c r="FJ368" s="4"/>
      <x:c r="FK368" s="4"/>
      <x:c r="FL368" s="4"/>
      <x:c r="FM368" s="4"/>
      <x:c r="FN368" s="4"/>
      <x:c r="FO368" s="4"/>
    </x:row>
    <x:row r="369">
      <x:c r="A369" s="72"/>
      <x:c r="B369" s="72"/>
      <x:c r="C369" s="72"/>
      <x:c r="D369" s="72"/>
      <x:c r="E369" s="72"/>
      <x:c r="F369" s="72"/>
      <x:c r="G369" s="72"/>
      <x:c r="H369" s="72"/>
      <x:c r="I369" s="72"/>
      <x:c r="J369" s="72"/>
      <x:c r="K369" s="72"/>
      <x:c r="L369" s="72"/>
      <x:c r="M369" s="72"/>
      <x:c r="N369" s="72"/>
      <x:c r="O369" s="72"/>
      <x:c r="P369" s="72"/>
      <x:c r="Q369" s="72"/>
      <x:c r="R369" s="72"/>
      <x:c r="S369" s="72"/>
      <x:c r="T369" s="72"/>
      <x:c r="U369" s="72"/>
      <x:c r="V369" s="72"/>
      <x:c r="W369" s="72"/>
      <x:c r="X369" s="72"/>
      <x:c r="Y369" s="72"/>
      <x:c r="Z369" s="72"/>
      <x:c r="AA369" s="72"/>
      <x:c r="AB369" s="72"/>
      <x:c r="AC369" s="72"/>
      <x:c r="AD369" s="72"/>
      <x:c r="AE369" s="72"/>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x:c r="BN369" s="4"/>
      <x:c r="BO369" s="4"/>
      <x:c r="BP369" s="4"/>
      <x:c r="BQ369" s="4"/>
      <x:c r="BR369" s="4"/>
      <x:c r="BS369" s="4"/>
      <x:c r="BT369" s="4"/>
      <x:c r="BU369" s="4"/>
      <x:c r="BV369" s="4"/>
      <x:c r="BW369" s="4"/>
      <x:c r="BX369" s="4"/>
      <x:c r="BY369" s="4"/>
      <x:c r="BZ369" s="4"/>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x:c r="DB369" s="4"/>
      <x:c r="DC369" s="4"/>
      <x:c r="DD369" s="4"/>
      <x:c r="DE369" s="4"/>
      <x:c r="DF369" s="4"/>
      <x:c r="DG369" s="4"/>
      <x:c r="DH369" s="4"/>
      <x:c r="DI369" s="4"/>
      <x:c r="DJ369" s="4"/>
      <x:c r="DK369" s="4"/>
      <x:c r="DL369" s="4"/>
      <x:c r="DM369" s="4"/>
      <x:c r="DN369" s="4"/>
      <x:c r="DO369" s="4"/>
      <x:c r="DP369" s="4"/>
      <x:c r="DQ369" s="4"/>
      <x:c r="DR369" s="4"/>
      <x:c r="DS369" s="4"/>
      <x:c r="DT369" s="4"/>
      <x:c r="DU369" s="4"/>
      <x:c r="DV369" s="4"/>
      <x:c r="DW369" s="4"/>
      <x:c r="DX369" s="4"/>
      <x:c r="DY369" s="4"/>
      <x:c r="DZ369" s="4"/>
      <x:c r="EA369" s="4"/>
      <x:c r="EB369" s="4"/>
      <x:c r="EC369" s="4"/>
      <x:c r="ED369" s="4"/>
      <x:c r="EE369" s="4"/>
      <x:c r="EF369" s="4"/>
      <x:c r="EG369" s="4"/>
      <x:c r="EH369" s="4"/>
      <x:c r="EI369" s="4"/>
      <x:c r="EJ369" s="4"/>
      <x:c r="EK369" s="4"/>
      <x:c r="EL369" s="4"/>
      <x:c r="EM369" s="4"/>
      <x:c r="EN369" s="4"/>
      <x:c r="EO369" s="4"/>
      <x:c r="EP369" s="4"/>
      <x:c r="EQ369" s="4"/>
      <x:c r="ER369" s="4"/>
      <x:c r="ES369" s="4"/>
      <x:c r="ET369" s="4"/>
      <x:c r="EU369" s="4"/>
      <x:c r="EV369" s="4"/>
      <x:c r="EW369" s="4"/>
      <x:c r="EX369" s="4"/>
      <x:c r="EY369" s="4"/>
      <x:c r="EZ369" s="4"/>
      <x:c r="FA369" s="4"/>
      <x:c r="FB369" s="4"/>
      <x:c r="FC369" s="4"/>
      <x:c r="FD369" s="4"/>
      <x:c r="FE369" s="4"/>
      <x:c r="FF369" s="4"/>
      <x:c r="FG369" s="4"/>
      <x:c r="FH369" s="4"/>
      <x:c r="FI369" s="4"/>
      <x:c r="FJ369" s="4"/>
      <x:c r="FK369" s="4"/>
      <x:c r="FL369" s="4"/>
      <x:c r="FM369" s="4"/>
      <x:c r="FN369" s="4"/>
      <x:c r="FO369" s="4"/>
    </x:row>
    <x:row r="370">
      <x:c r="A370" s="72"/>
      <x:c r="B370" s="72"/>
      <x:c r="C370" s="72"/>
      <x:c r="D370" s="72"/>
      <x:c r="E370" s="72"/>
      <x:c r="F370" s="72"/>
      <x:c r="G370" s="72"/>
      <x:c r="H370" s="72"/>
      <x:c r="I370" s="72"/>
      <x:c r="J370" s="72"/>
      <x:c r="K370" s="72"/>
      <x:c r="L370" s="72"/>
      <x:c r="M370" s="72"/>
      <x:c r="N370" s="72"/>
      <x:c r="O370" s="72"/>
      <x:c r="P370" s="72"/>
      <x:c r="Q370" s="72"/>
      <x:c r="R370" s="72"/>
      <x:c r="S370" s="72"/>
      <x:c r="T370" s="72"/>
      <x:c r="U370" s="72"/>
      <x:c r="V370" s="72"/>
      <x:c r="W370" s="72"/>
      <x:c r="X370" s="72"/>
      <x:c r="Y370" s="72"/>
      <x:c r="Z370" s="72"/>
      <x:c r="AA370" s="72"/>
      <x:c r="AB370" s="72"/>
      <x:c r="AC370" s="72"/>
      <x:c r="AD370" s="72"/>
      <x:c r="AE370" s="72"/>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x:c r="BN370" s="4"/>
      <x:c r="BO370" s="4"/>
      <x:c r="BP370" s="4"/>
      <x:c r="BQ370" s="4"/>
      <x:c r="BR370" s="4"/>
      <x:c r="BS370" s="4"/>
      <x:c r="BT370" s="4"/>
      <x:c r="BU370" s="4"/>
      <x:c r="BV370" s="4"/>
      <x:c r="BW370" s="4"/>
      <x:c r="BX370" s="4"/>
      <x:c r="BY370" s="4"/>
      <x:c r="BZ370" s="4"/>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x:c r="DB370" s="4"/>
      <x:c r="DC370" s="4"/>
      <x:c r="DD370" s="4"/>
      <x:c r="DE370" s="4"/>
      <x:c r="DF370" s="4"/>
      <x:c r="DG370" s="4"/>
      <x:c r="DH370" s="4"/>
      <x:c r="DI370" s="4"/>
      <x:c r="DJ370" s="4"/>
      <x:c r="DK370" s="4"/>
      <x:c r="DL370" s="4"/>
      <x:c r="DM370" s="4"/>
      <x:c r="DN370" s="4"/>
      <x:c r="DO370" s="4"/>
      <x:c r="DP370" s="4"/>
      <x:c r="DQ370" s="4"/>
      <x:c r="DR370" s="4"/>
      <x:c r="DS370" s="4"/>
      <x:c r="DT370" s="4"/>
      <x:c r="DU370" s="4"/>
      <x:c r="DV370" s="4"/>
      <x:c r="DW370" s="4"/>
      <x:c r="DX370" s="4"/>
      <x:c r="DY370" s="4"/>
      <x:c r="DZ370" s="4"/>
      <x:c r="EA370" s="4"/>
      <x:c r="EB370" s="4"/>
      <x:c r="EC370" s="4"/>
      <x:c r="ED370" s="4"/>
      <x:c r="EE370" s="4"/>
      <x:c r="EF370" s="4"/>
      <x:c r="EG370" s="4"/>
      <x:c r="EH370" s="4"/>
      <x:c r="EI370" s="4"/>
      <x:c r="EJ370" s="4"/>
      <x:c r="EK370" s="4"/>
      <x:c r="EL370" s="4"/>
      <x:c r="EM370" s="4"/>
      <x:c r="EN370" s="4"/>
      <x:c r="EO370" s="4"/>
      <x:c r="EP370" s="4"/>
      <x:c r="EQ370" s="4"/>
      <x:c r="ER370" s="4"/>
      <x:c r="ES370" s="4"/>
      <x:c r="ET370" s="4"/>
      <x:c r="EU370" s="4"/>
      <x:c r="EV370" s="4"/>
      <x:c r="EW370" s="4"/>
      <x:c r="EX370" s="4"/>
      <x:c r="EY370" s="4"/>
      <x:c r="EZ370" s="4"/>
      <x:c r="FA370" s="4"/>
      <x:c r="FB370" s="4"/>
      <x:c r="FC370" s="4"/>
      <x:c r="FD370" s="4"/>
      <x:c r="FE370" s="4"/>
      <x:c r="FF370" s="4"/>
      <x:c r="FG370" s="4"/>
      <x:c r="FH370" s="4"/>
      <x:c r="FI370" s="4"/>
      <x:c r="FJ370" s="4"/>
      <x:c r="FK370" s="4"/>
      <x:c r="FL370" s="4"/>
      <x:c r="FM370" s="4"/>
      <x:c r="FN370" s="4"/>
      <x:c r="FO370" s="4"/>
    </x:row>
    <x:row r="371">
      <x:c r="A371" s="72"/>
      <x:c r="B371" s="72"/>
      <x:c r="C371" s="72"/>
      <x:c r="D371" s="72"/>
      <x:c r="E371" s="72"/>
      <x:c r="F371" s="72"/>
      <x:c r="G371" s="72"/>
      <x:c r="H371" s="72"/>
      <x:c r="I371" s="72"/>
      <x:c r="J371" s="72"/>
      <x:c r="K371" s="72"/>
      <x:c r="L371" s="72"/>
      <x:c r="M371" s="72"/>
      <x:c r="N371" s="72"/>
      <x:c r="O371" s="72"/>
      <x:c r="P371" s="72"/>
      <x:c r="Q371" s="72"/>
      <x:c r="R371" s="72"/>
      <x:c r="S371" s="72"/>
      <x:c r="T371" s="72"/>
      <x:c r="U371" s="72"/>
      <x:c r="V371" s="72"/>
      <x:c r="W371" s="72"/>
      <x:c r="X371" s="72"/>
      <x:c r="Y371" s="72"/>
      <x:c r="Z371" s="72"/>
      <x:c r="AA371" s="72"/>
      <x:c r="AB371" s="72"/>
      <x:c r="AC371" s="72"/>
      <x:c r="AD371" s="72"/>
      <x:c r="AE371" s="72"/>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x:c r="BN371" s="4"/>
      <x:c r="BO371" s="4"/>
      <x:c r="BP371" s="4"/>
      <x:c r="BQ371" s="4"/>
      <x:c r="BR371" s="4"/>
      <x:c r="BS371" s="4"/>
      <x:c r="BT371" s="4"/>
      <x:c r="BU371" s="4"/>
      <x:c r="BV371" s="4"/>
      <x:c r="BW371" s="4"/>
      <x:c r="BX371" s="4"/>
      <x:c r="BY371" s="4"/>
      <x:c r="BZ371" s="4"/>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x:c r="DB371" s="4"/>
      <x:c r="DC371" s="4"/>
      <x:c r="DD371" s="4"/>
      <x:c r="DE371" s="4"/>
      <x:c r="DF371" s="4"/>
      <x:c r="DG371" s="4"/>
      <x:c r="DH371" s="4"/>
      <x:c r="DI371" s="4"/>
      <x:c r="DJ371" s="4"/>
      <x:c r="DK371" s="4"/>
      <x:c r="DL371" s="4"/>
      <x:c r="DM371" s="4"/>
      <x:c r="DN371" s="4"/>
      <x:c r="DO371" s="4"/>
      <x:c r="DP371" s="4"/>
      <x:c r="DQ371" s="4"/>
      <x:c r="DR371" s="4"/>
      <x:c r="DS371" s="4"/>
      <x:c r="DT371" s="4"/>
      <x:c r="DU371" s="4"/>
      <x:c r="DV371" s="4"/>
      <x:c r="DW371" s="4"/>
      <x:c r="DX371" s="4"/>
      <x:c r="DY371" s="4"/>
      <x:c r="DZ371" s="4"/>
      <x:c r="EA371" s="4"/>
      <x:c r="EB371" s="4"/>
      <x:c r="EC371" s="4"/>
      <x:c r="ED371" s="4"/>
      <x:c r="EE371" s="4"/>
      <x:c r="EF371" s="4"/>
      <x:c r="EG371" s="4"/>
      <x:c r="EH371" s="4"/>
      <x:c r="EI371" s="4"/>
      <x:c r="EJ371" s="4"/>
      <x:c r="EK371" s="4"/>
      <x:c r="EL371" s="4"/>
      <x:c r="EM371" s="4"/>
      <x:c r="EN371" s="4"/>
      <x:c r="EO371" s="4"/>
      <x:c r="EP371" s="4"/>
      <x:c r="EQ371" s="4"/>
      <x:c r="ER371" s="4"/>
      <x:c r="ES371" s="4"/>
      <x:c r="ET371" s="4"/>
      <x:c r="EU371" s="4"/>
      <x:c r="EV371" s="4"/>
      <x:c r="EW371" s="4"/>
      <x:c r="EX371" s="4"/>
      <x:c r="EY371" s="4"/>
      <x:c r="EZ371" s="4"/>
      <x:c r="FA371" s="4"/>
      <x:c r="FB371" s="4"/>
      <x:c r="FC371" s="4"/>
      <x:c r="FD371" s="4"/>
      <x:c r="FE371" s="4"/>
      <x:c r="FF371" s="4"/>
      <x:c r="FG371" s="4"/>
      <x:c r="FH371" s="4"/>
      <x:c r="FI371" s="4"/>
      <x:c r="FJ371" s="4"/>
      <x:c r="FK371" s="4"/>
      <x:c r="FL371" s="4"/>
      <x:c r="FM371" s="4"/>
      <x:c r="FN371" s="4"/>
      <x:c r="FO371" s="4"/>
    </x:row>
    <x:row r="372">
      <x:c r="A372" s="72"/>
      <x:c r="B372" s="72"/>
      <x:c r="C372" s="72"/>
      <x:c r="D372" s="72"/>
      <x:c r="E372" s="72"/>
      <x:c r="F372" s="72"/>
      <x:c r="G372" s="72"/>
      <x:c r="H372" s="72"/>
      <x:c r="I372" s="72"/>
      <x:c r="J372" s="72"/>
      <x:c r="K372" s="72"/>
      <x:c r="L372" s="72"/>
      <x:c r="M372" s="72"/>
      <x:c r="N372" s="72"/>
      <x:c r="O372" s="72"/>
      <x:c r="P372" s="72"/>
      <x:c r="Q372" s="72"/>
      <x:c r="R372" s="72"/>
      <x:c r="S372" s="72"/>
      <x:c r="T372" s="72"/>
      <x:c r="U372" s="72"/>
      <x:c r="V372" s="72"/>
      <x:c r="W372" s="72"/>
      <x:c r="X372" s="72"/>
      <x:c r="Y372" s="72"/>
      <x:c r="Z372" s="72"/>
      <x:c r="AA372" s="72"/>
      <x:c r="AB372" s="72"/>
      <x:c r="AC372" s="72"/>
      <x:c r="AD372" s="72"/>
      <x:c r="AE372" s="72"/>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x:c r="BN372" s="4"/>
      <x:c r="BO372" s="4"/>
      <x:c r="BP372" s="4"/>
      <x:c r="BQ372" s="4"/>
      <x:c r="BR372" s="4"/>
      <x:c r="BS372" s="4"/>
      <x:c r="BT372" s="4"/>
      <x:c r="BU372" s="4"/>
      <x:c r="BV372" s="4"/>
      <x:c r="BW372" s="4"/>
      <x:c r="BX372" s="4"/>
      <x:c r="BY372" s="4"/>
      <x:c r="BZ372" s="4"/>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x:c r="DB372" s="4"/>
      <x:c r="DC372" s="4"/>
      <x:c r="DD372" s="4"/>
      <x:c r="DE372" s="4"/>
      <x:c r="DF372" s="4"/>
      <x:c r="DG372" s="4"/>
      <x:c r="DH372" s="4"/>
      <x:c r="DI372" s="4"/>
      <x:c r="DJ372" s="4"/>
      <x:c r="DK372" s="4"/>
      <x:c r="DL372" s="4"/>
      <x:c r="DM372" s="4"/>
      <x:c r="DN372" s="4"/>
      <x:c r="DO372" s="4"/>
      <x:c r="DP372" s="4"/>
      <x:c r="DQ372" s="4"/>
      <x:c r="DR372" s="4"/>
      <x:c r="DS372" s="4"/>
      <x:c r="DT372" s="4"/>
      <x:c r="DU372" s="4"/>
      <x:c r="DV372" s="4"/>
      <x:c r="DW372" s="4"/>
      <x:c r="DX372" s="4"/>
      <x:c r="DY372" s="4"/>
      <x:c r="DZ372" s="4"/>
      <x:c r="EA372" s="4"/>
      <x:c r="EB372" s="4"/>
      <x:c r="EC372" s="4"/>
      <x:c r="ED372" s="4"/>
      <x:c r="EE372" s="4"/>
      <x:c r="EF372" s="4"/>
      <x:c r="EG372" s="4"/>
      <x:c r="EH372" s="4"/>
      <x:c r="EI372" s="4"/>
      <x:c r="EJ372" s="4"/>
      <x:c r="EK372" s="4"/>
      <x:c r="EL372" s="4"/>
      <x:c r="EM372" s="4"/>
      <x:c r="EN372" s="4"/>
      <x:c r="EO372" s="4"/>
      <x:c r="EP372" s="4"/>
      <x:c r="EQ372" s="4"/>
      <x:c r="ER372" s="4"/>
      <x:c r="ES372" s="4"/>
      <x:c r="ET372" s="4"/>
      <x:c r="EU372" s="4"/>
      <x:c r="EV372" s="4"/>
      <x:c r="EW372" s="4"/>
      <x:c r="EX372" s="4"/>
      <x:c r="EY372" s="4"/>
      <x:c r="EZ372" s="4"/>
      <x:c r="FA372" s="4"/>
      <x:c r="FB372" s="4"/>
      <x:c r="FC372" s="4"/>
      <x:c r="FD372" s="4"/>
      <x:c r="FE372" s="4"/>
      <x:c r="FF372" s="4"/>
      <x:c r="FG372" s="4"/>
      <x:c r="FH372" s="4"/>
      <x:c r="FI372" s="4"/>
      <x:c r="FJ372" s="4"/>
      <x:c r="FK372" s="4"/>
      <x:c r="FL372" s="4"/>
      <x:c r="FM372" s="4"/>
      <x:c r="FN372" s="4"/>
      <x:c r="FO372" s="4"/>
    </x:row>
    <x:row r="373">
      <x:c r="A373" s="72"/>
      <x:c r="B373" s="72"/>
      <x:c r="C373" s="72"/>
      <x:c r="D373" s="72"/>
      <x:c r="E373" s="72"/>
      <x:c r="F373" s="72"/>
      <x:c r="G373" s="72"/>
      <x:c r="H373" s="72"/>
      <x:c r="I373" s="72"/>
      <x:c r="J373" s="72"/>
      <x:c r="K373" s="72"/>
      <x:c r="L373" s="72"/>
      <x:c r="M373" s="72"/>
      <x:c r="N373" s="72"/>
      <x:c r="O373" s="72"/>
      <x:c r="P373" s="72"/>
      <x:c r="Q373" s="72"/>
      <x:c r="R373" s="72"/>
      <x:c r="S373" s="72"/>
      <x:c r="T373" s="72"/>
      <x:c r="U373" s="72"/>
      <x:c r="V373" s="72"/>
      <x:c r="W373" s="72"/>
      <x:c r="X373" s="72"/>
      <x:c r="Y373" s="72"/>
      <x:c r="Z373" s="72"/>
      <x:c r="AA373" s="72"/>
      <x:c r="AB373" s="72"/>
      <x:c r="AC373" s="72"/>
      <x:c r="AD373" s="72"/>
      <x:c r="AE373" s="72"/>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x:c r="BN373" s="4"/>
      <x:c r="BO373" s="4"/>
      <x:c r="BP373" s="4"/>
      <x:c r="BQ373" s="4"/>
      <x:c r="BR373" s="4"/>
      <x:c r="BS373" s="4"/>
      <x:c r="BT373" s="4"/>
      <x:c r="BU373" s="4"/>
      <x:c r="BV373" s="4"/>
      <x:c r="BW373" s="4"/>
      <x:c r="BX373" s="4"/>
      <x:c r="BY373" s="4"/>
      <x:c r="BZ373" s="4"/>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x:c r="DB373" s="4"/>
      <x:c r="DC373" s="4"/>
      <x:c r="DD373" s="4"/>
      <x:c r="DE373" s="4"/>
      <x:c r="DF373" s="4"/>
      <x:c r="DG373" s="4"/>
      <x:c r="DH373" s="4"/>
      <x:c r="DI373" s="4"/>
      <x:c r="DJ373" s="4"/>
      <x:c r="DK373" s="4"/>
      <x:c r="DL373" s="4"/>
      <x:c r="DM373" s="4"/>
      <x:c r="DN373" s="4"/>
      <x:c r="DO373" s="4"/>
      <x:c r="DP373" s="4"/>
      <x:c r="DQ373" s="4"/>
      <x:c r="DR373" s="4"/>
      <x:c r="DS373" s="4"/>
      <x:c r="DT373" s="4"/>
      <x:c r="DU373" s="4"/>
      <x:c r="DV373" s="4"/>
      <x:c r="DW373" s="4"/>
      <x:c r="DX373" s="4"/>
      <x:c r="DY373" s="4"/>
      <x:c r="DZ373" s="4"/>
      <x:c r="EA373" s="4"/>
      <x:c r="EB373" s="4"/>
      <x:c r="EC373" s="4"/>
      <x:c r="ED373" s="4"/>
      <x:c r="EE373" s="4"/>
      <x:c r="EF373" s="4"/>
      <x:c r="EG373" s="4"/>
      <x:c r="EH373" s="4"/>
      <x:c r="EI373" s="4"/>
      <x:c r="EJ373" s="4"/>
      <x:c r="EK373" s="4"/>
      <x:c r="EL373" s="4"/>
      <x:c r="EM373" s="4"/>
      <x:c r="EN373" s="4"/>
      <x:c r="EO373" s="4"/>
      <x:c r="EP373" s="4"/>
      <x:c r="EQ373" s="4"/>
      <x:c r="ER373" s="4"/>
      <x:c r="ES373" s="4"/>
      <x:c r="ET373" s="4"/>
      <x:c r="EU373" s="4"/>
      <x:c r="EV373" s="4"/>
      <x:c r="EW373" s="4"/>
      <x:c r="EX373" s="4"/>
      <x:c r="EY373" s="4"/>
      <x:c r="EZ373" s="4"/>
      <x:c r="FA373" s="4"/>
      <x:c r="FB373" s="4"/>
      <x:c r="FC373" s="4"/>
      <x:c r="FD373" s="4"/>
      <x:c r="FE373" s="4"/>
      <x:c r="FF373" s="4"/>
      <x:c r="FG373" s="4"/>
      <x:c r="FH373" s="4"/>
      <x:c r="FI373" s="4"/>
      <x:c r="FJ373" s="4"/>
      <x:c r="FK373" s="4"/>
      <x:c r="FL373" s="4"/>
      <x:c r="FM373" s="4"/>
      <x:c r="FN373" s="4"/>
      <x:c r="FO373" s="4"/>
    </x:row>
    <x:row r="374">
      <x:c r="A374" s="72"/>
      <x:c r="B374" s="72"/>
      <x:c r="C374" s="72"/>
      <x:c r="D374" s="72"/>
      <x:c r="E374" s="72"/>
      <x:c r="F374" s="72"/>
      <x:c r="G374" s="72"/>
      <x:c r="H374" s="72"/>
      <x:c r="I374" s="72"/>
      <x:c r="J374" s="72"/>
      <x:c r="K374" s="72"/>
      <x:c r="L374" s="72"/>
      <x:c r="M374" s="72"/>
      <x:c r="N374" s="72"/>
      <x:c r="O374" s="72"/>
      <x:c r="P374" s="72"/>
      <x:c r="Q374" s="72"/>
      <x:c r="R374" s="72"/>
      <x:c r="S374" s="72"/>
      <x:c r="T374" s="72"/>
      <x:c r="U374" s="72"/>
      <x:c r="V374" s="72"/>
      <x:c r="W374" s="72"/>
      <x:c r="X374" s="72"/>
      <x:c r="Y374" s="72"/>
      <x:c r="Z374" s="72"/>
      <x:c r="AA374" s="72"/>
      <x:c r="AB374" s="72"/>
      <x:c r="AC374" s="72"/>
      <x:c r="AD374" s="72"/>
      <x:c r="AE374" s="72"/>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x:c r="BN374" s="4"/>
      <x:c r="BO374" s="4"/>
      <x:c r="BP374" s="4"/>
      <x:c r="BQ374" s="4"/>
      <x:c r="BR374" s="4"/>
      <x:c r="BS374" s="4"/>
      <x:c r="BT374" s="4"/>
      <x:c r="BU374" s="4"/>
      <x:c r="BV374" s="4"/>
      <x:c r="BW374" s="4"/>
      <x:c r="BX374" s="4"/>
      <x:c r="BY374" s="4"/>
      <x:c r="BZ374" s="4"/>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x:c r="DB374" s="4"/>
      <x:c r="DC374" s="4"/>
      <x:c r="DD374" s="4"/>
      <x:c r="DE374" s="4"/>
      <x:c r="DF374" s="4"/>
      <x:c r="DG374" s="4"/>
      <x:c r="DH374" s="4"/>
      <x:c r="DI374" s="4"/>
      <x:c r="DJ374" s="4"/>
      <x:c r="DK374" s="4"/>
      <x:c r="DL374" s="4"/>
      <x:c r="DM374" s="4"/>
      <x:c r="DN374" s="4"/>
      <x:c r="DO374" s="4"/>
      <x:c r="DP374" s="4"/>
      <x:c r="DQ374" s="4"/>
      <x:c r="DR374" s="4"/>
      <x:c r="DS374" s="4"/>
      <x:c r="DT374" s="4"/>
      <x:c r="DU374" s="4"/>
      <x:c r="DV374" s="4"/>
      <x:c r="DW374" s="4"/>
      <x:c r="DX374" s="4"/>
      <x:c r="DY374" s="4"/>
      <x:c r="DZ374" s="4"/>
      <x:c r="EA374" s="4"/>
      <x:c r="EB374" s="4"/>
      <x:c r="EC374" s="4"/>
      <x:c r="ED374" s="4"/>
      <x:c r="EE374" s="4"/>
      <x:c r="EF374" s="4"/>
      <x:c r="EG374" s="4"/>
      <x:c r="EH374" s="4"/>
      <x:c r="EI374" s="4"/>
      <x:c r="EJ374" s="4"/>
      <x:c r="EK374" s="4"/>
      <x:c r="EL374" s="4"/>
      <x:c r="EM374" s="4"/>
      <x:c r="EN374" s="4"/>
      <x:c r="EO374" s="4"/>
      <x:c r="EP374" s="4"/>
      <x:c r="EQ374" s="4"/>
      <x:c r="ER374" s="4"/>
      <x:c r="ES374" s="4"/>
      <x:c r="ET374" s="4"/>
      <x:c r="EU374" s="4"/>
      <x:c r="EV374" s="4"/>
      <x:c r="EW374" s="4"/>
      <x:c r="EX374" s="4"/>
      <x:c r="EY374" s="4"/>
      <x:c r="EZ374" s="4"/>
      <x:c r="FA374" s="4"/>
      <x:c r="FB374" s="4"/>
      <x:c r="FC374" s="4"/>
      <x:c r="FD374" s="4"/>
      <x:c r="FE374" s="4"/>
      <x:c r="FF374" s="4"/>
      <x:c r="FG374" s="4"/>
      <x:c r="FH374" s="4"/>
      <x:c r="FI374" s="4"/>
      <x:c r="FJ374" s="4"/>
      <x:c r="FK374" s="4"/>
      <x:c r="FL374" s="4"/>
      <x:c r="FM374" s="4"/>
      <x:c r="FN374" s="4"/>
      <x:c r="FO374" s="4"/>
    </x:row>
    <x:row r="375">
      <x:c r="A375" s="72"/>
      <x:c r="B375" s="72"/>
      <x:c r="C375" s="72"/>
      <x:c r="D375" s="72"/>
      <x:c r="E375" s="72"/>
      <x:c r="F375" s="72"/>
      <x:c r="G375" s="72"/>
      <x:c r="H375" s="72"/>
      <x:c r="I375" s="72"/>
      <x:c r="J375" s="72"/>
      <x:c r="K375" s="72"/>
      <x:c r="L375" s="72"/>
      <x:c r="M375" s="72"/>
      <x:c r="N375" s="72"/>
      <x:c r="O375" s="72"/>
      <x:c r="P375" s="72"/>
      <x:c r="Q375" s="72"/>
      <x:c r="R375" s="72"/>
      <x:c r="S375" s="72"/>
      <x:c r="T375" s="72"/>
      <x:c r="U375" s="72"/>
      <x:c r="V375" s="72"/>
      <x:c r="W375" s="72"/>
      <x:c r="X375" s="72"/>
      <x:c r="Y375" s="72"/>
      <x:c r="Z375" s="72"/>
      <x:c r="AA375" s="72"/>
      <x:c r="AB375" s="72"/>
      <x:c r="AC375" s="72"/>
      <x:c r="AD375" s="72"/>
      <x:c r="AE375" s="72"/>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x:c r="BN375" s="4"/>
      <x:c r="BO375" s="4"/>
      <x:c r="BP375" s="4"/>
      <x:c r="BQ375" s="4"/>
      <x:c r="BR375" s="4"/>
      <x:c r="BS375" s="4"/>
      <x:c r="BT375" s="4"/>
      <x:c r="BU375" s="4"/>
      <x:c r="BV375" s="4"/>
      <x:c r="BW375" s="4"/>
      <x:c r="BX375" s="4"/>
      <x:c r="BY375" s="4"/>
      <x:c r="BZ375" s="4"/>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x:c r="DB375" s="4"/>
      <x:c r="DC375" s="4"/>
      <x:c r="DD375" s="4"/>
      <x:c r="DE375" s="4"/>
      <x:c r="DF375" s="4"/>
      <x:c r="DG375" s="4"/>
      <x:c r="DH375" s="4"/>
      <x:c r="DI375" s="4"/>
      <x:c r="DJ375" s="4"/>
      <x:c r="DK375" s="4"/>
      <x:c r="DL375" s="4"/>
      <x:c r="DM375" s="4"/>
      <x:c r="DN375" s="4"/>
      <x:c r="DO375" s="4"/>
      <x:c r="DP375" s="4"/>
      <x:c r="DQ375" s="4"/>
      <x:c r="DR375" s="4"/>
      <x:c r="DS375" s="4"/>
      <x:c r="DT375" s="4"/>
      <x:c r="DU375" s="4"/>
      <x:c r="DV375" s="4"/>
      <x:c r="DW375" s="4"/>
      <x:c r="DX375" s="4"/>
      <x:c r="DY375" s="4"/>
      <x:c r="DZ375" s="4"/>
      <x:c r="EA375" s="4"/>
      <x:c r="EB375" s="4"/>
      <x:c r="EC375" s="4"/>
      <x:c r="ED375" s="4"/>
      <x:c r="EE375" s="4"/>
      <x:c r="EF375" s="4"/>
      <x:c r="EG375" s="4"/>
      <x:c r="EH375" s="4"/>
      <x:c r="EI375" s="4"/>
      <x:c r="EJ375" s="4"/>
      <x:c r="EK375" s="4"/>
      <x:c r="EL375" s="4"/>
      <x:c r="EM375" s="4"/>
      <x:c r="EN375" s="4"/>
      <x:c r="EO375" s="4"/>
      <x:c r="EP375" s="4"/>
      <x:c r="EQ375" s="4"/>
      <x:c r="ER375" s="4"/>
      <x:c r="ES375" s="4"/>
      <x:c r="ET375" s="4"/>
      <x:c r="EU375" s="4"/>
      <x:c r="EV375" s="4"/>
      <x:c r="EW375" s="4"/>
      <x:c r="EX375" s="4"/>
      <x:c r="EY375" s="4"/>
      <x:c r="EZ375" s="4"/>
      <x:c r="FA375" s="4"/>
      <x:c r="FB375" s="4"/>
      <x:c r="FC375" s="4"/>
      <x:c r="FD375" s="4"/>
      <x:c r="FE375" s="4"/>
      <x:c r="FF375" s="4"/>
      <x:c r="FG375" s="4"/>
      <x:c r="FH375" s="4"/>
      <x:c r="FI375" s="4"/>
      <x:c r="FJ375" s="4"/>
      <x:c r="FK375" s="4"/>
      <x:c r="FL375" s="4"/>
      <x:c r="FM375" s="4"/>
      <x:c r="FN375" s="4"/>
      <x:c r="FO375" s="4"/>
    </x:row>
    <x:row r="376">
      <x:c r="A376" s="72"/>
      <x:c r="B376" s="72"/>
      <x:c r="C376" s="72"/>
      <x:c r="D376" s="72"/>
      <x:c r="E376" s="72"/>
      <x:c r="F376" s="72"/>
      <x:c r="G376" s="72"/>
      <x:c r="H376" s="72"/>
      <x:c r="I376" s="72"/>
      <x:c r="J376" s="72"/>
      <x:c r="K376" s="72"/>
      <x:c r="L376" s="72"/>
      <x:c r="M376" s="72"/>
      <x:c r="N376" s="72"/>
      <x:c r="O376" s="72"/>
      <x:c r="P376" s="72"/>
      <x:c r="Q376" s="72"/>
      <x:c r="R376" s="72"/>
      <x:c r="S376" s="72"/>
      <x:c r="T376" s="72"/>
      <x:c r="U376" s="72"/>
      <x:c r="V376" s="72"/>
      <x:c r="W376" s="72"/>
      <x:c r="X376" s="72"/>
      <x:c r="Y376" s="72"/>
      <x:c r="Z376" s="72"/>
      <x:c r="AA376" s="72"/>
      <x:c r="AB376" s="72"/>
      <x:c r="AC376" s="72"/>
      <x:c r="AD376" s="72"/>
      <x:c r="AE376" s="72"/>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x:c r="BN376" s="4"/>
      <x:c r="BO376" s="4"/>
      <x:c r="BP376" s="4"/>
      <x:c r="BQ376" s="4"/>
      <x:c r="BR376" s="4"/>
      <x:c r="BS376" s="4"/>
      <x:c r="BT376" s="4"/>
      <x:c r="BU376" s="4"/>
      <x:c r="BV376" s="4"/>
      <x:c r="BW376" s="4"/>
      <x:c r="BX376" s="4"/>
      <x:c r="BY376" s="4"/>
      <x:c r="BZ376" s="4"/>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x:c r="DB376" s="4"/>
      <x:c r="DC376" s="4"/>
      <x:c r="DD376" s="4"/>
      <x:c r="DE376" s="4"/>
      <x:c r="DF376" s="4"/>
      <x:c r="DG376" s="4"/>
      <x:c r="DH376" s="4"/>
      <x:c r="DI376" s="4"/>
      <x:c r="DJ376" s="4"/>
      <x:c r="DK376" s="4"/>
      <x:c r="DL376" s="4"/>
      <x:c r="DM376" s="4"/>
      <x:c r="DN376" s="4"/>
      <x:c r="DO376" s="4"/>
      <x:c r="DP376" s="4"/>
      <x:c r="DQ376" s="4"/>
      <x:c r="DR376" s="4"/>
      <x:c r="DS376" s="4"/>
      <x:c r="DT376" s="4"/>
      <x:c r="DU376" s="4"/>
      <x:c r="DV376" s="4"/>
      <x:c r="DW376" s="4"/>
      <x:c r="DX376" s="4"/>
      <x:c r="DY376" s="4"/>
      <x:c r="DZ376" s="4"/>
      <x:c r="EA376" s="4"/>
      <x:c r="EB376" s="4"/>
      <x:c r="EC376" s="4"/>
      <x:c r="ED376" s="4"/>
      <x:c r="EE376" s="4"/>
      <x:c r="EF376" s="4"/>
      <x:c r="EG376" s="4"/>
      <x:c r="EH376" s="4"/>
      <x:c r="EI376" s="4"/>
      <x:c r="EJ376" s="4"/>
      <x:c r="EK376" s="4"/>
      <x:c r="EL376" s="4"/>
      <x:c r="EM376" s="4"/>
      <x:c r="EN376" s="4"/>
      <x:c r="EO376" s="4"/>
      <x:c r="EP376" s="4"/>
      <x:c r="EQ376" s="4"/>
      <x:c r="ER376" s="4"/>
      <x:c r="ES376" s="4"/>
      <x:c r="ET376" s="4"/>
      <x:c r="EU376" s="4"/>
      <x:c r="EV376" s="4"/>
      <x:c r="EW376" s="4"/>
      <x:c r="EX376" s="4"/>
      <x:c r="EY376" s="4"/>
      <x:c r="EZ376" s="4"/>
      <x:c r="FA376" s="4"/>
      <x:c r="FB376" s="4"/>
      <x:c r="FC376" s="4"/>
      <x:c r="FD376" s="4"/>
      <x:c r="FE376" s="4"/>
      <x:c r="FF376" s="4"/>
      <x:c r="FG376" s="4"/>
      <x:c r="FH376" s="4"/>
      <x:c r="FI376" s="4"/>
      <x:c r="FJ376" s="4"/>
      <x:c r="FK376" s="4"/>
      <x:c r="FL376" s="4"/>
      <x:c r="FM376" s="4"/>
      <x:c r="FN376" s="4"/>
      <x:c r="FO376" s="4"/>
    </x:row>
    <x:row r="377">
      <x:c r="A377" s="72"/>
      <x:c r="B377" s="72"/>
      <x:c r="C377" s="72"/>
      <x:c r="D377" s="72"/>
      <x:c r="E377" s="72"/>
      <x:c r="F377" s="72"/>
      <x:c r="G377" s="72"/>
      <x:c r="H377" s="72"/>
      <x:c r="I377" s="72"/>
      <x:c r="J377" s="72"/>
      <x:c r="K377" s="72"/>
      <x:c r="L377" s="72"/>
      <x:c r="M377" s="72"/>
      <x:c r="N377" s="72"/>
      <x:c r="O377" s="72"/>
      <x:c r="P377" s="72"/>
      <x:c r="Q377" s="72"/>
      <x:c r="R377" s="72"/>
      <x:c r="S377" s="72"/>
      <x:c r="T377" s="72"/>
      <x:c r="U377" s="72"/>
      <x:c r="V377" s="72"/>
      <x:c r="W377" s="72"/>
      <x:c r="X377" s="72"/>
      <x:c r="Y377" s="72"/>
      <x:c r="Z377" s="72"/>
      <x:c r="AA377" s="72"/>
      <x:c r="AB377" s="72"/>
      <x:c r="AC377" s="72"/>
      <x:c r="AD377" s="72"/>
      <x:c r="AE377" s="72"/>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x:c r="BN377" s="4"/>
      <x:c r="BO377" s="4"/>
      <x:c r="BP377" s="4"/>
      <x:c r="BQ377" s="4"/>
      <x:c r="BR377" s="4"/>
      <x:c r="BS377" s="4"/>
      <x:c r="BT377" s="4"/>
      <x:c r="BU377" s="4"/>
      <x:c r="BV377" s="4"/>
      <x:c r="BW377" s="4"/>
      <x:c r="BX377" s="4"/>
      <x:c r="BY377" s="4"/>
      <x:c r="BZ377" s="4"/>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x:c r="DB377" s="4"/>
      <x:c r="DC377" s="4"/>
      <x:c r="DD377" s="4"/>
      <x:c r="DE377" s="4"/>
      <x:c r="DF377" s="4"/>
      <x:c r="DG377" s="4"/>
      <x:c r="DH377" s="4"/>
      <x:c r="DI377" s="4"/>
      <x:c r="DJ377" s="4"/>
      <x:c r="DK377" s="4"/>
      <x:c r="DL377" s="4"/>
      <x:c r="DM377" s="4"/>
      <x:c r="DN377" s="4"/>
      <x:c r="DO377" s="4"/>
      <x:c r="DP377" s="4"/>
      <x:c r="DQ377" s="4"/>
      <x:c r="DR377" s="4"/>
      <x:c r="DS377" s="4"/>
      <x:c r="DT377" s="4"/>
      <x:c r="DU377" s="4"/>
      <x:c r="DV377" s="4"/>
      <x:c r="DW377" s="4"/>
      <x:c r="DX377" s="4"/>
      <x:c r="DY377" s="4"/>
      <x:c r="DZ377" s="4"/>
      <x:c r="EA377" s="4"/>
      <x:c r="EB377" s="4"/>
      <x:c r="EC377" s="4"/>
      <x:c r="ED377" s="4"/>
      <x:c r="EE377" s="4"/>
      <x:c r="EF377" s="4"/>
      <x:c r="EG377" s="4"/>
      <x:c r="EH377" s="4"/>
      <x:c r="EI377" s="4"/>
      <x:c r="EJ377" s="4"/>
      <x:c r="EK377" s="4"/>
      <x:c r="EL377" s="4"/>
      <x:c r="EM377" s="4"/>
      <x:c r="EN377" s="4"/>
      <x:c r="EO377" s="4"/>
      <x:c r="EP377" s="4"/>
      <x:c r="EQ377" s="4"/>
      <x:c r="ER377" s="4"/>
      <x:c r="ES377" s="4"/>
      <x:c r="ET377" s="4"/>
      <x:c r="EU377" s="4"/>
      <x:c r="EV377" s="4"/>
      <x:c r="EW377" s="4"/>
      <x:c r="EX377" s="4"/>
      <x:c r="EY377" s="4"/>
      <x:c r="EZ377" s="4"/>
      <x:c r="FA377" s="4"/>
      <x:c r="FB377" s="4"/>
      <x:c r="FC377" s="4"/>
      <x:c r="FD377" s="4"/>
      <x:c r="FE377" s="4"/>
      <x:c r="FF377" s="4"/>
      <x:c r="FG377" s="4"/>
      <x:c r="FH377" s="4"/>
      <x:c r="FI377" s="4"/>
      <x:c r="FJ377" s="4"/>
      <x:c r="FK377" s="4"/>
      <x:c r="FL377" s="4"/>
      <x:c r="FM377" s="4"/>
      <x:c r="FN377" s="4"/>
      <x:c r="FO377" s="4"/>
    </x:row>
    <x:row r="378">
      <x:c r="A378" s="72"/>
      <x:c r="B378" s="72"/>
      <x:c r="C378" s="72"/>
      <x:c r="D378" s="72"/>
      <x:c r="E378" s="72"/>
      <x:c r="F378" s="72"/>
      <x:c r="G378" s="72"/>
      <x:c r="H378" s="72"/>
      <x:c r="I378" s="72"/>
      <x:c r="J378" s="72"/>
      <x:c r="K378" s="72"/>
      <x:c r="L378" s="72"/>
      <x:c r="M378" s="72"/>
      <x:c r="N378" s="72"/>
      <x:c r="O378" s="72"/>
      <x:c r="P378" s="72"/>
      <x:c r="Q378" s="72"/>
      <x:c r="R378" s="72"/>
      <x:c r="S378" s="72"/>
      <x:c r="T378" s="72"/>
      <x:c r="U378" s="72"/>
      <x:c r="V378" s="72"/>
      <x:c r="W378" s="72"/>
      <x:c r="X378" s="72"/>
      <x:c r="Y378" s="72"/>
      <x:c r="Z378" s="72"/>
      <x:c r="AA378" s="72"/>
      <x:c r="AB378" s="72"/>
      <x:c r="AC378" s="72"/>
      <x:c r="AD378" s="72"/>
      <x:c r="AE378" s="72"/>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x:c r="BN378" s="4"/>
      <x:c r="BO378" s="4"/>
      <x:c r="BP378" s="4"/>
      <x:c r="BQ378" s="4"/>
      <x:c r="BR378" s="4"/>
      <x:c r="BS378" s="4"/>
      <x:c r="BT378" s="4"/>
      <x:c r="BU378" s="4"/>
      <x:c r="BV378" s="4"/>
      <x:c r="BW378" s="4"/>
      <x:c r="BX378" s="4"/>
      <x:c r="BY378" s="4"/>
      <x:c r="BZ378" s="4"/>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x:c r="DB378" s="4"/>
      <x:c r="DC378" s="4"/>
      <x:c r="DD378" s="4"/>
      <x:c r="DE378" s="4"/>
      <x:c r="DF378" s="4"/>
      <x:c r="DG378" s="4"/>
      <x:c r="DH378" s="4"/>
      <x:c r="DI378" s="4"/>
      <x:c r="DJ378" s="4"/>
      <x:c r="DK378" s="4"/>
      <x:c r="DL378" s="4"/>
      <x:c r="DM378" s="4"/>
      <x:c r="DN378" s="4"/>
      <x:c r="DO378" s="4"/>
      <x:c r="DP378" s="4"/>
      <x:c r="DQ378" s="4"/>
      <x:c r="DR378" s="4"/>
      <x:c r="DS378" s="4"/>
      <x:c r="DT378" s="4"/>
      <x:c r="DU378" s="4"/>
      <x:c r="DV378" s="4"/>
      <x:c r="DW378" s="4"/>
      <x:c r="DX378" s="4"/>
      <x:c r="DY378" s="4"/>
      <x:c r="DZ378" s="4"/>
      <x:c r="EA378" s="4"/>
      <x:c r="EB378" s="4"/>
      <x:c r="EC378" s="4"/>
      <x:c r="ED378" s="4"/>
      <x:c r="EE378" s="4"/>
      <x:c r="EF378" s="4"/>
      <x:c r="EG378" s="4"/>
      <x:c r="EH378" s="4"/>
      <x:c r="EI378" s="4"/>
      <x:c r="EJ378" s="4"/>
      <x:c r="EK378" s="4"/>
      <x:c r="EL378" s="4"/>
      <x:c r="EM378" s="4"/>
      <x:c r="EN378" s="4"/>
      <x:c r="EO378" s="4"/>
      <x:c r="EP378" s="4"/>
      <x:c r="EQ378" s="4"/>
      <x:c r="ER378" s="4"/>
      <x:c r="ES378" s="4"/>
      <x:c r="ET378" s="4"/>
      <x:c r="EU378" s="4"/>
      <x:c r="EV378" s="4"/>
      <x:c r="EW378" s="4"/>
      <x:c r="EX378" s="4"/>
      <x:c r="EY378" s="4"/>
      <x:c r="EZ378" s="4"/>
      <x:c r="FA378" s="4"/>
      <x:c r="FB378" s="4"/>
      <x:c r="FC378" s="4"/>
      <x:c r="FD378" s="4"/>
      <x:c r="FE378" s="4"/>
      <x:c r="FF378" s="4"/>
      <x:c r="FG378" s="4"/>
      <x:c r="FH378" s="4"/>
      <x:c r="FI378" s="4"/>
      <x:c r="FJ378" s="4"/>
      <x:c r="FK378" s="4"/>
      <x:c r="FL378" s="4"/>
      <x:c r="FM378" s="4"/>
      <x:c r="FN378" s="4"/>
      <x:c r="FO378" s="4"/>
    </x:row>
    <x:row r="379">
      <x:c r="A379" s="72"/>
      <x:c r="B379" s="72"/>
      <x:c r="C379" s="72"/>
      <x:c r="D379" s="72"/>
      <x:c r="E379" s="72"/>
      <x:c r="F379" s="72"/>
      <x:c r="G379" s="72"/>
      <x:c r="H379" s="72"/>
      <x:c r="I379" s="72"/>
      <x:c r="J379" s="72"/>
      <x:c r="K379" s="72"/>
      <x:c r="L379" s="72"/>
      <x:c r="M379" s="72"/>
      <x:c r="N379" s="72"/>
      <x:c r="O379" s="72"/>
      <x:c r="P379" s="72"/>
      <x:c r="Q379" s="72"/>
      <x:c r="R379" s="72"/>
      <x:c r="S379" s="72"/>
      <x:c r="T379" s="72"/>
      <x:c r="U379" s="72"/>
      <x:c r="V379" s="72"/>
      <x:c r="W379" s="72"/>
      <x:c r="X379" s="72"/>
      <x:c r="Y379" s="72"/>
      <x:c r="Z379" s="72"/>
      <x:c r="AA379" s="72"/>
      <x:c r="AB379" s="72"/>
      <x:c r="AC379" s="72"/>
      <x:c r="AD379" s="72"/>
      <x:c r="AE379" s="72"/>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x:c r="BN379" s="4"/>
      <x:c r="BO379" s="4"/>
      <x:c r="BP379" s="4"/>
      <x:c r="BQ379" s="4"/>
      <x:c r="BR379" s="4"/>
      <x:c r="BS379" s="4"/>
      <x:c r="BT379" s="4"/>
      <x:c r="BU379" s="4"/>
      <x:c r="BV379" s="4"/>
      <x:c r="BW379" s="4"/>
      <x:c r="BX379" s="4"/>
      <x:c r="BY379" s="4"/>
      <x:c r="BZ379" s="4"/>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x:c r="DB379" s="4"/>
      <x:c r="DC379" s="4"/>
      <x:c r="DD379" s="4"/>
      <x:c r="DE379" s="4"/>
      <x:c r="DF379" s="4"/>
      <x:c r="DG379" s="4"/>
      <x:c r="DH379" s="4"/>
      <x:c r="DI379" s="4"/>
      <x:c r="DJ379" s="4"/>
      <x:c r="DK379" s="4"/>
      <x:c r="DL379" s="4"/>
      <x:c r="DM379" s="4"/>
      <x:c r="DN379" s="4"/>
      <x:c r="DO379" s="4"/>
      <x:c r="DP379" s="4"/>
      <x:c r="DQ379" s="4"/>
      <x:c r="DR379" s="4"/>
      <x:c r="DS379" s="4"/>
      <x:c r="DT379" s="4"/>
      <x:c r="DU379" s="4"/>
      <x:c r="DV379" s="4"/>
      <x:c r="DW379" s="4"/>
      <x:c r="DX379" s="4"/>
      <x:c r="DY379" s="4"/>
      <x:c r="DZ379" s="4"/>
      <x:c r="EA379" s="4"/>
      <x:c r="EB379" s="4"/>
      <x:c r="EC379" s="4"/>
      <x:c r="ED379" s="4"/>
      <x:c r="EE379" s="4"/>
      <x:c r="EF379" s="4"/>
      <x:c r="EG379" s="4"/>
      <x:c r="EH379" s="4"/>
      <x:c r="EI379" s="4"/>
      <x:c r="EJ379" s="4"/>
      <x:c r="EK379" s="4"/>
      <x:c r="EL379" s="4"/>
      <x:c r="EM379" s="4"/>
      <x:c r="EN379" s="4"/>
      <x:c r="EO379" s="4"/>
      <x:c r="EP379" s="4"/>
      <x:c r="EQ379" s="4"/>
      <x:c r="ER379" s="4"/>
      <x:c r="ES379" s="4"/>
      <x:c r="ET379" s="4"/>
      <x:c r="EU379" s="4"/>
      <x:c r="EV379" s="4"/>
      <x:c r="EW379" s="4"/>
      <x:c r="EX379" s="4"/>
      <x:c r="EY379" s="4"/>
      <x:c r="EZ379" s="4"/>
      <x:c r="FA379" s="4"/>
      <x:c r="FB379" s="4"/>
      <x:c r="FC379" s="4"/>
      <x:c r="FD379" s="4"/>
      <x:c r="FE379" s="4"/>
      <x:c r="FF379" s="4"/>
      <x:c r="FG379" s="4"/>
      <x:c r="FH379" s="4"/>
      <x:c r="FI379" s="4"/>
      <x:c r="FJ379" s="4"/>
      <x:c r="FK379" s="4"/>
      <x:c r="FL379" s="4"/>
      <x:c r="FM379" s="4"/>
      <x:c r="FN379" s="4"/>
      <x:c r="FO379" s="4"/>
    </x:row>
    <x:row r="380">
      <x:c r="A380" s="72"/>
      <x:c r="B380" s="72"/>
      <x:c r="C380" s="72"/>
      <x:c r="D380" s="72"/>
      <x:c r="E380" s="72"/>
      <x:c r="F380" s="72"/>
      <x:c r="G380" s="72"/>
      <x:c r="H380" s="72"/>
      <x:c r="I380" s="72"/>
      <x:c r="J380" s="72"/>
      <x:c r="K380" s="72"/>
      <x:c r="L380" s="72"/>
      <x:c r="M380" s="72"/>
      <x:c r="N380" s="72"/>
      <x:c r="O380" s="72"/>
      <x:c r="P380" s="72"/>
      <x:c r="Q380" s="72"/>
      <x:c r="R380" s="72"/>
      <x:c r="S380" s="72"/>
      <x:c r="T380" s="72"/>
      <x:c r="U380" s="72"/>
      <x:c r="V380" s="72"/>
      <x:c r="W380" s="72"/>
      <x:c r="X380" s="72"/>
      <x:c r="Y380" s="72"/>
      <x:c r="Z380" s="72"/>
      <x:c r="AA380" s="72"/>
      <x:c r="AB380" s="72"/>
      <x:c r="AC380" s="72"/>
      <x:c r="AD380" s="72"/>
      <x:c r="AE380" s="72"/>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x:c r="BN380" s="4"/>
      <x:c r="BO380" s="4"/>
      <x:c r="BP380" s="4"/>
      <x:c r="BQ380" s="4"/>
      <x:c r="BR380" s="4"/>
      <x:c r="BS380" s="4"/>
      <x:c r="BT380" s="4"/>
      <x:c r="BU380" s="4"/>
      <x:c r="BV380" s="4"/>
      <x:c r="BW380" s="4"/>
      <x:c r="BX380" s="4"/>
      <x:c r="BY380" s="4"/>
      <x:c r="BZ380" s="4"/>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x:c r="DB380" s="4"/>
      <x:c r="DC380" s="4"/>
      <x:c r="DD380" s="4"/>
      <x:c r="DE380" s="4"/>
      <x:c r="DF380" s="4"/>
      <x:c r="DG380" s="4"/>
      <x:c r="DH380" s="4"/>
      <x:c r="DI380" s="4"/>
      <x:c r="DJ380" s="4"/>
      <x:c r="DK380" s="4"/>
      <x:c r="DL380" s="4"/>
      <x:c r="DM380" s="4"/>
      <x:c r="DN380" s="4"/>
      <x:c r="DO380" s="4"/>
      <x:c r="DP380" s="4"/>
      <x:c r="DQ380" s="4"/>
      <x:c r="DR380" s="4"/>
      <x:c r="DS380" s="4"/>
      <x:c r="DT380" s="4"/>
      <x:c r="DU380" s="4"/>
      <x:c r="DV380" s="4"/>
      <x:c r="DW380" s="4"/>
      <x:c r="DX380" s="4"/>
      <x:c r="DY380" s="4"/>
      <x:c r="DZ380" s="4"/>
      <x:c r="EA380" s="4"/>
      <x:c r="EB380" s="4"/>
      <x:c r="EC380" s="4"/>
      <x:c r="ED380" s="4"/>
      <x:c r="EE380" s="4"/>
      <x:c r="EF380" s="4"/>
      <x:c r="EG380" s="4"/>
      <x:c r="EH380" s="4"/>
      <x:c r="EI380" s="4"/>
      <x:c r="EJ380" s="4"/>
      <x:c r="EK380" s="4"/>
      <x:c r="EL380" s="4"/>
      <x:c r="EM380" s="4"/>
      <x:c r="EN380" s="4"/>
      <x:c r="EO380" s="4"/>
      <x:c r="EP380" s="4"/>
      <x:c r="EQ380" s="4"/>
      <x:c r="ER380" s="4"/>
      <x:c r="ES380" s="4"/>
      <x:c r="ET380" s="4"/>
      <x:c r="EU380" s="4"/>
      <x:c r="EV380" s="4"/>
      <x:c r="EW380" s="4"/>
      <x:c r="EX380" s="4"/>
      <x:c r="EY380" s="4"/>
      <x:c r="EZ380" s="4"/>
      <x:c r="FA380" s="4"/>
      <x:c r="FB380" s="4"/>
      <x:c r="FC380" s="4"/>
      <x:c r="FD380" s="4"/>
      <x:c r="FE380" s="4"/>
      <x:c r="FF380" s="4"/>
      <x:c r="FG380" s="4"/>
      <x:c r="FH380" s="4"/>
      <x:c r="FI380" s="4"/>
      <x:c r="FJ380" s="4"/>
      <x:c r="FK380" s="4"/>
      <x:c r="FL380" s="4"/>
      <x:c r="FM380" s="4"/>
      <x:c r="FN380" s="4"/>
      <x:c r="FO380" s="4"/>
    </x:row>
    <x:row r="381">
      <x:c r="A381" s="72"/>
      <x:c r="B381" s="72"/>
      <x:c r="C381" s="72"/>
      <x:c r="D381" s="72"/>
      <x:c r="E381" s="72"/>
      <x:c r="F381" s="72"/>
      <x:c r="G381" s="72"/>
      <x:c r="H381" s="72"/>
      <x:c r="I381" s="72"/>
      <x:c r="J381" s="72"/>
      <x:c r="K381" s="72"/>
      <x:c r="L381" s="72"/>
      <x:c r="M381" s="72"/>
      <x:c r="N381" s="72"/>
      <x:c r="O381" s="72"/>
      <x:c r="P381" s="72"/>
      <x:c r="Q381" s="72"/>
      <x:c r="R381" s="72"/>
      <x:c r="S381" s="72"/>
      <x:c r="T381" s="72"/>
      <x:c r="U381" s="72"/>
      <x:c r="V381" s="72"/>
      <x:c r="W381" s="72"/>
      <x:c r="X381" s="72"/>
      <x:c r="Y381" s="72"/>
      <x:c r="Z381" s="72"/>
      <x:c r="AA381" s="72"/>
      <x:c r="AB381" s="72"/>
      <x:c r="AC381" s="72"/>
      <x:c r="AD381" s="72"/>
      <x:c r="AE381" s="72"/>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x:c r="BN381" s="4"/>
      <x:c r="BO381" s="4"/>
      <x:c r="BP381" s="4"/>
      <x:c r="BQ381" s="4"/>
      <x:c r="BR381" s="4"/>
      <x:c r="BS381" s="4"/>
      <x:c r="BT381" s="4"/>
      <x:c r="BU381" s="4"/>
      <x:c r="BV381" s="4"/>
      <x:c r="BW381" s="4"/>
      <x:c r="BX381" s="4"/>
      <x:c r="BY381" s="4"/>
      <x:c r="BZ381" s="4"/>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x:c r="DB381" s="4"/>
      <x:c r="DC381" s="4"/>
      <x:c r="DD381" s="4"/>
      <x:c r="DE381" s="4"/>
      <x:c r="DF381" s="4"/>
      <x:c r="DG381" s="4"/>
      <x:c r="DH381" s="4"/>
      <x:c r="DI381" s="4"/>
      <x:c r="DJ381" s="4"/>
      <x:c r="DK381" s="4"/>
      <x:c r="DL381" s="4"/>
      <x:c r="DM381" s="4"/>
      <x:c r="DN381" s="4"/>
      <x:c r="DO381" s="4"/>
      <x:c r="DP381" s="4"/>
      <x:c r="DQ381" s="4"/>
      <x:c r="DR381" s="4"/>
      <x:c r="DS381" s="4"/>
      <x:c r="DT381" s="4"/>
      <x:c r="DU381" s="4"/>
      <x:c r="DV381" s="4"/>
      <x:c r="DW381" s="4"/>
      <x:c r="DX381" s="4"/>
      <x:c r="DY381" s="4"/>
      <x:c r="DZ381" s="4"/>
      <x:c r="EA381" s="4"/>
      <x:c r="EB381" s="4"/>
      <x:c r="EC381" s="4"/>
      <x:c r="ED381" s="4"/>
      <x:c r="EE381" s="4"/>
      <x:c r="EF381" s="4"/>
      <x:c r="EG381" s="4"/>
      <x:c r="EH381" s="4"/>
      <x:c r="EI381" s="4"/>
      <x:c r="EJ381" s="4"/>
      <x:c r="EK381" s="4"/>
      <x:c r="EL381" s="4"/>
      <x:c r="EM381" s="4"/>
      <x:c r="EN381" s="4"/>
      <x:c r="EO381" s="4"/>
      <x:c r="EP381" s="4"/>
      <x:c r="EQ381" s="4"/>
      <x:c r="ER381" s="4"/>
      <x:c r="ES381" s="4"/>
      <x:c r="ET381" s="4"/>
      <x:c r="EU381" s="4"/>
      <x:c r="EV381" s="4"/>
      <x:c r="EW381" s="4"/>
      <x:c r="EX381" s="4"/>
      <x:c r="EY381" s="4"/>
      <x:c r="EZ381" s="4"/>
      <x:c r="FA381" s="4"/>
      <x:c r="FB381" s="4"/>
      <x:c r="FC381" s="4"/>
      <x:c r="FD381" s="4"/>
      <x:c r="FE381" s="4"/>
      <x:c r="FF381" s="4"/>
      <x:c r="FG381" s="4"/>
      <x:c r="FH381" s="4"/>
      <x:c r="FI381" s="4"/>
      <x:c r="FJ381" s="4"/>
      <x:c r="FK381" s="4"/>
      <x:c r="FL381" s="4"/>
      <x:c r="FM381" s="4"/>
      <x:c r="FN381" s="4"/>
      <x:c r="FO381" s="4"/>
    </x:row>
    <x:row r="382">
      <x:c r="A382" s="72"/>
      <x:c r="B382" s="72"/>
      <x:c r="C382" s="72"/>
      <x:c r="D382" s="72"/>
      <x:c r="E382" s="72"/>
      <x:c r="F382" s="72"/>
      <x:c r="G382" s="72"/>
      <x:c r="H382" s="72"/>
      <x:c r="I382" s="72"/>
      <x:c r="J382" s="72"/>
      <x:c r="K382" s="72"/>
      <x:c r="L382" s="72"/>
      <x:c r="M382" s="72"/>
      <x:c r="N382" s="72"/>
      <x:c r="O382" s="72"/>
      <x:c r="P382" s="72"/>
      <x:c r="Q382" s="72"/>
      <x:c r="R382" s="72"/>
      <x:c r="S382" s="72"/>
      <x:c r="T382" s="72"/>
      <x:c r="U382" s="72"/>
      <x:c r="V382" s="72"/>
      <x:c r="W382" s="72"/>
      <x:c r="X382" s="72"/>
      <x:c r="Y382" s="72"/>
      <x:c r="Z382" s="72"/>
      <x:c r="AA382" s="72"/>
      <x:c r="AB382" s="72"/>
      <x:c r="AC382" s="72"/>
      <x:c r="AD382" s="72"/>
      <x:c r="AE382" s="72"/>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x:c r="BN382" s="4"/>
      <x:c r="BO382" s="4"/>
      <x:c r="BP382" s="4"/>
      <x:c r="BQ382" s="4"/>
      <x:c r="BR382" s="4"/>
      <x:c r="BS382" s="4"/>
      <x:c r="BT382" s="4"/>
      <x:c r="BU382" s="4"/>
      <x:c r="BV382" s="4"/>
      <x:c r="BW382" s="4"/>
      <x:c r="BX382" s="4"/>
      <x:c r="BY382" s="4"/>
      <x:c r="BZ382" s="4"/>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x:c r="DB382" s="4"/>
      <x:c r="DC382" s="4"/>
      <x:c r="DD382" s="4"/>
      <x:c r="DE382" s="4"/>
      <x:c r="DF382" s="4"/>
      <x:c r="DG382" s="4"/>
      <x:c r="DH382" s="4"/>
      <x:c r="DI382" s="4"/>
      <x:c r="DJ382" s="4"/>
      <x:c r="DK382" s="4"/>
      <x:c r="DL382" s="4"/>
      <x:c r="DM382" s="4"/>
      <x:c r="DN382" s="4"/>
      <x:c r="DO382" s="4"/>
      <x:c r="DP382" s="4"/>
      <x:c r="DQ382" s="4"/>
      <x:c r="DR382" s="4"/>
      <x:c r="DS382" s="4"/>
      <x:c r="DT382" s="4"/>
      <x:c r="DU382" s="4"/>
      <x:c r="DV382" s="4"/>
      <x:c r="DW382" s="4"/>
      <x:c r="DX382" s="4"/>
      <x:c r="DY382" s="4"/>
      <x:c r="DZ382" s="4"/>
      <x:c r="EA382" s="4"/>
      <x:c r="EB382" s="4"/>
      <x:c r="EC382" s="4"/>
      <x:c r="ED382" s="4"/>
      <x:c r="EE382" s="4"/>
      <x:c r="EF382" s="4"/>
      <x:c r="EG382" s="4"/>
      <x:c r="EH382" s="4"/>
      <x:c r="EI382" s="4"/>
      <x:c r="EJ382" s="4"/>
      <x:c r="EK382" s="4"/>
      <x:c r="EL382" s="4"/>
      <x:c r="EM382" s="4"/>
      <x:c r="EN382" s="4"/>
      <x:c r="EO382" s="4"/>
      <x:c r="EP382" s="4"/>
      <x:c r="EQ382" s="4"/>
      <x:c r="ER382" s="4"/>
      <x:c r="ES382" s="4"/>
      <x:c r="ET382" s="4"/>
      <x:c r="EU382" s="4"/>
      <x:c r="EV382" s="4"/>
      <x:c r="EW382" s="4"/>
      <x:c r="EX382" s="4"/>
      <x:c r="EY382" s="4"/>
      <x:c r="EZ382" s="4"/>
      <x:c r="FA382" s="4"/>
      <x:c r="FB382" s="4"/>
      <x:c r="FC382" s="4"/>
      <x:c r="FD382" s="4"/>
      <x:c r="FE382" s="4"/>
      <x:c r="FF382" s="4"/>
      <x:c r="FG382" s="4"/>
      <x:c r="FH382" s="4"/>
      <x:c r="FI382" s="4"/>
      <x:c r="FJ382" s="4"/>
      <x:c r="FK382" s="4"/>
      <x:c r="FL382" s="4"/>
      <x:c r="FM382" s="4"/>
      <x:c r="FN382" s="4"/>
      <x:c r="FO382" s="4"/>
    </x:row>
    <x:row r="383">
      <x:c r="A383" s="72"/>
      <x:c r="B383" s="72"/>
      <x:c r="C383" s="72"/>
      <x:c r="D383" s="72"/>
      <x:c r="E383" s="72"/>
      <x:c r="F383" s="72"/>
      <x:c r="G383" s="72"/>
      <x:c r="H383" s="72"/>
      <x:c r="I383" s="72"/>
      <x:c r="J383" s="72"/>
      <x:c r="K383" s="72"/>
      <x:c r="L383" s="72"/>
      <x:c r="M383" s="72"/>
      <x:c r="N383" s="72"/>
      <x:c r="O383" s="72"/>
      <x:c r="P383" s="72"/>
      <x:c r="Q383" s="72"/>
      <x:c r="R383" s="72"/>
      <x:c r="S383" s="72"/>
      <x:c r="T383" s="72"/>
      <x:c r="U383" s="72"/>
      <x:c r="V383" s="72"/>
      <x:c r="W383" s="72"/>
      <x:c r="X383" s="72"/>
      <x:c r="Y383" s="72"/>
      <x:c r="Z383" s="72"/>
      <x:c r="AA383" s="72"/>
      <x:c r="AB383" s="72"/>
      <x:c r="AC383" s="72"/>
      <x:c r="AD383" s="72"/>
      <x:c r="AE383" s="72"/>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x:c r="BN383" s="4"/>
      <x:c r="BO383" s="4"/>
      <x:c r="BP383" s="4"/>
      <x:c r="BQ383" s="4"/>
      <x:c r="BR383" s="4"/>
      <x:c r="BS383" s="4"/>
      <x:c r="BT383" s="4"/>
      <x:c r="BU383" s="4"/>
      <x:c r="BV383" s="4"/>
      <x:c r="BW383" s="4"/>
      <x:c r="BX383" s="4"/>
      <x:c r="BY383" s="4"/>
      <x:c r="BZ383" s="4"/>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x:c r="DB383" s="4"/>
      <x:c r="DC383" s="4"/>
      <x:c r="DD383" s="4"/>
      <x:c r="DE383" s="4"/>
      <x:c r="DF383" s="4"/>
      <x:c r="DG383" s="4"/>
      <x:c r="DH383" s="4"/>
      <x:c r="DI383" s="4"/>
      <x:c r="DJ383" s="4"/>
      <x:c r="DK383" s="4"/>
      <x:c r="DL383" s="4"/>
      <x:c r="DM383" s="4"/>
      <x:c r="DN383" s="4"/>
      <x:c r="DO383" s="4"/>
      <x:c r="DP383" s="4"/>
      <x:c r="DQ383" s="4"/>
      <x:c r="DR383" s="4"/>
      <x:c r="DS383" s="4"/>
      <x:c r="DT383" s="4"/>
      <x:c r="DU383" s="4"/>
      <x:c r="DV383" s="4"/>
      <x:c r="DW383" s="4"/>
      <x:c r="DX383" s="4"/>
      <x:c r="DY383" s="4"/>
      <x:c r="DZ383" s="4"/>
      <x:c r="EA383" s="4"/>
      <x:c r="EB383" s="4"/>
      <x:c r="EC383" s="4"/>
      <x:c r="ED383" s="4"/>
      <x:c r="EE383" s="4"/>
      <x:c r="EF383" s="4"/>
      <x:c r="EG383" s="4"/>
      <x:c r="EH383" s="4"/>
      <x:c r="EI383" s="4"/>
      <x:c r="EJ383" s="4"/>
      <x:c r="EK383" s="4"/>
      <x:c r="EL383" s="4"/>
      <x:c r="EM383" s="4"/>
      <x:c r="EN383" s="4"/>
      <x:c r="EO383" s="4"/>
      <x:c r="EP383" s="4"/>
      <x:c r="EQ383" s="4"/>
      <x:c r="ER383" s="4"/>
      <x:c r="ES383" s="4"/>
      <x:c r="ET383" s="4"/>
      <x:c r="EU383" s="4"/>
      <x:c r="EV383" s="4"/>
      <x:c r="EW383" s="4"/>
      <x:c r="EX383" s="4"/>
      <x:c r="EY383" s="4"/>
      <x:c r="EZ383" s="4"/>
      <x:c r="FA383" s="4"/>
      <x:c r="FB383" s="4"/>
      <x:c r="FC383" s="4"/>
      <x:c r="FD383" s="4"/>
      <x:c r="FE383" s="4"/>
      <x:c r="FF383" s="4"/>
      <x:c r="FG383" s="4"/>
      <x:c r="FH383" s="4"/>
      <x:c r="FI383" s="4"/>
      <x:c r="FJ383" s="4"/>
      <x:c r="FK383" s="4"/>
      <x:c r="FL383" s="4"/>
      <x:c r="FM383" s="4"/>
      <x:c r="FN383" s="4"/>
      <x:c r="FO383" s="4"/>
    </x:row>
    <x:row r="384">
      <x:c r="A384" s="72"/>
      <x:c r="B384" s="72"/>
      <x:c r="C384" s="72"/>
      <x:c r="D384" s="72"/>
      <x:c r="E384" s="72"/>
      <x:c r="F384" s="72"/>
      <x:c r="G384" s="72"/>
      <x:c r="H384" s="72"/>
      <x:c r="I384" s="72"/>
      <x:c r="J384" s="72"/>
      <x:c r="K384" s="72"/>
      <x:c r="L384" s="72"/>
      <x:c r="M384" s="72"/>
      <x:c r="N384" s="72"/>
      <x:c r="O384" s="72"/>
      <x:c r="P384" s="72"/>
      <x:c r="Q384" s="72"/>
      <x:c r="R384" s="72"/>
      <x:c r="S384" s="72"/>
      <x:c r="T384" s="72"/>
      <x:c r="U384" s="72"/>
      <x:c r="V384" s="72"/>
      <x:c r="W384" s="72"/>
      <x:c r="X384" s="72"/>
      <x:c r="Y384" s="72"/>
      <x:c r="Z384" s="72"/>
      <x:c r="AA384" s="72"/>
      <x:c r="AB384" s="72"/>
      <x:c r="AC384" s="72"/>
      <x:c r="AD384" s="72"/>
      <x:c r="AE384" s="72"/>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x:c r="BN384" s="4"/>
      <x:c r="BO384" s="4"/>
      <x:c r="BP384" s="4"/>
      <x:c r="BQ384" s="4"/>
      <x:c r="BR384" s="4"/>
      <x:c r="BS384" s="4"/>
      <x:c r="BT384" s="4"/>
      <x:c r="BU384" s="4"/>
      <x:c r="BV384" s="4"/>
      <x:c r="BW384" s="4"/>
      <x:c r="BX384" s="4"/>
      <x:c r="BY384" s="4"/>
      <x:c r="BZ384" s="4"/>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x:c r="DB384" s="4"/>
      <x:c r="DC384" s="4"/>
      <x:c r="DD384" s="4"/>
      <x:c r="DE384" s="4"/>
      <x:c r="DF384" s="4"/>
      <x:c r="DG384" s="4"/>
      <x:c r="DH384" s="4"/>
      <x:c r="DI384" s="4"/>
      <x:c r="DJ384" s="4"/>
      <x:c r="DK384" s="4"/>
      <x:c r="DL384" s="4"/>
      <x:c r="DM384" s="4"/>
      <x:c r="DN384" s="4"/>
      <x:c r="DO384" s="4"/>
      <x:c r="DP384" s="4"/>
      <x:c r="DQ384" s="4"/>
      <x:c r="DR384" s="4"/>
      <x:c r="DS384" s="4"/>
      <x:c r="DT384" s="4"/>
      <x:c r="DU384" s="4"/>
      <x:c r="DV384" s="4"/>
      <x:c r="DW384" s="4"/>
      <x:c r="DX384" s="4"/>
      <x:c r="DY384" s="4"/>
      <x:c r="DZ384" s="4"/>
      <x:c r="EA384" s="4"/>
      <x:c r="EB384" s="4"/>
      <x:c r="EC384" s="4"/>
      <x:c r="ED384" s="4"/>
      <x:c r="EE384" s="4"/>
      <x:c r="EF384" s="4"/>
      <x:c r="EG384" s="4"/>
      <x:c r="EH384" s="4"/>
      <x:c r="EI384" s="4"/>
      <x:c r="EJ384" s="4"/>
      <x:c r="EK384" s="4"/>
      <x:c r="EL384" s="4"/>
      <x:c r="EM384" s="4"/>
      <x:c r="EN384" s="4"/>
      <x:c r="EO384" s="4"/>
      <x:c r="EP384" s="4"/>
      <x:c r="EQ384" s="4"/>
      <x:c r="ER384" s="4"/>
      <x:c r="ES384" s="4"/>
      <x:c r="ET384" s="4"/>
      <x:c r="EU384" s="4"/>
      <x:c r="EV384" s="4"/>
      <x:c r="EW384" s="4"/>
      <x:c r="EX384" s="4"/>
      <x:c r="EY384" s="4"/>
      <x:c r="EZ384" s="4"/>
      <x:c r="FA384" s="4"/>
      <x:c r="FB384" s="4"/>
      <x:c r="FC384" s="4"/>
      <x:c r="FD384" s="4"/>
      <x:c r="FE384" s="4"/>
      <x:c r="FF384" s="4"/>
      <x:c r="FG384" s="4"/>
      <x:c r="FH384" s="4"/>
      <x:c r="FI384" s="4"/>
      <x:c r="FJ384" s="4"/>
      <x:c r="FK384" s="4"/>
      <x:c r="FL384" s="4"/>
      <x:c r="FM384" s="4"/>
      <x:c r="FN384" s="4"/>
      <x:c r="FO384" s="4"/>
    </x:row>
    <x:row r="385">
      <x:c r="A385" s="72"/>
      <x:c r="B385" s="72"/>
      <x:c r="C385" s="72"/>
      <x:c r="D385" s="72"/>
      <x:c r="E385" s="72"/>
      <x:c r="F385" s="72"/>
      <x:c r="G385" s="72"/>
      <x:c r="H385" s="72"/>
      <x:c r="I385" s="72"/>
      <x:c r="J385" s="72"/>
      <x:c r="K385" s="72"/>
      <x:c r="L385" s="72"/>
      <x:c r="M385" s="72"/>
      <x:c r="N385" s="72"/>
      <x:c r="O385" s="72"/>
      <x:c r="P385" s="72"/>
      <x:c r="Q385" s="72"/>
      <x:c r="R385" s="72"/>
      <x:c r="S385" s="72"/>
      <x:c r="T385" s="72"/>
      <x:c r="U385" s="72"/>
      <x:c r="V385" s="72"/>
      <x:c r="W385" s="72"/>
      <x:c r="X385" s="72"/>
      <x:c r="Y385" s="72"/>
      <x:c r="Z385" s="72"/>
      <x:c r="AA385" s="72"/>
      <x:c r="AB385" s="72"/>
      <x:c r="AC385" s="72"/>
      <x:c r="AD385" s="72"/>
      <x:c r="AE385" s="72"/>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x:c r="BN385" s="4"/>
      <x:c r="BO385" s="4"/>
      <x:c r="BP385" s="4"/>
      <x:c r="BQ385" s="4"/>
      <x:c r="BR385" s="4"/>
      <x:c r="BS385" s="4"/>
      <x:c r="BT385" s="4"/>
      <x:c r="BU385" s="4"/>
      <x:c r="BV385" s="4"/>
      <x:c r="BW385" s="4"/>
      <x:c r="BX385" s="4"/>
      <x:c r="BY385" s="4"/>
      <x:c r="BZ385" s="4"/>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x:c r="DB385" s="4"/>
      <x:c r="DC385" s="4"/>
      <x:c r="DD385" s="4"/>
      <x:c r="DE385" s="4"/>
      <x:c r="DF385" s="4"/>
      <x:c r="DG385" s="4"/>
      <x:c r="DH385" s="4"/>
      <x:c r="DI385" s="4"/>
      <x:c r="DJ385" s="4"/>
      <x:c r="DK385" s="4"/>
      <x:c r="DL385" s="4"/>
      <x:c r="DM385" s="4"/>
      <x:c r="DN385" s="4"/>
      <x:c r="DO385" s="4"/>
      <x:c r="DP385" s="4"/>
      <x:c r="DQ385" s="4"/>
      <x:c r="DR385" s="4"/>
      <x:c r="DS385" s="4"/>
      <x:c r="DT385" s="4"/>
      <x:c r="DU385" s="4"/>
      <x:c r="DV385" s="4"/>
      <x:c r="DW385" s="4"/>
      <x:c r="DX385" s="4"/>
      <x:c r="DY385" s="4"/>
      <x:c r="DZ385" s="4"/>
      <x:c r="EA385" s="4"/>
      <x:c r="EB385" s="4"/>
      <x:c r="EC385" s="4"/>
      <x:c r="ED385" s="4"/>
      <x:c r="EE385" s="4"/>
      <x:c r="EF385" s="4"/>
      <x:c r="EG385" s="4"/>
      <x:c r="EH385" s="4"/>
      <x:c r="EI385" s="4"/>
      <x:c r="EJ385" s="4"/>
      <x:c r="EK385" s="4"/>
      <x:c r="EL385" s="4"/>
      <x:c r="EM385" s="4"/>
      <x:c r="EN385" s="4"/>
      <x:c r="EO385" s="4"/>
      <x:c r="EP385" s="4"/>
      <x:c r="EQ385" s="4"/>
      <x:c r="ER385" s="4"/>
      <x:c r="ES385" s="4"/>
      <x:c r="ET385" s="4"/>
      <x:c r="EU385" s="4"/>
      <x:c r="EV385" s="4"/>
      <x:c r="EW385" s="4"/>
      <x:c r="EX385" s="4"/>
      <x:c r="EY385" s="4"/>
      <x:c r="EZ385" s="4"/>
      <x:c r="FA385" s="4"/>
      <x:c r="FB385" s="4"/>
      <x:c r="FC385" s="4"/>
      <x:c r="FD385" s="4"/>
      <x:c r="FE385" s="4"/>
      <x:c r="FF385" s="4"/>
      <x:c r="FG385" s="4"/>
      <x:c r="FH385" s="4"/>
      <x:c r="FI385" s="4"/>
      <x:c r="FJ385" s="4"/>
      <x:c r="FK385" s="4"/>
      <x:c r="FL385" s="4"/>
      <x:c r="FM385" s="4"/>
      <x:c r="FN385" s="4"/>
      <x:c r="FO385" s="4"/>
    </x:row>
    <x:row r="386">
      <x:c r="A386" s="72"/>
      <x:c r="B386" s="72"/>
      <x:c r="C386" s="72"/>
      <x:c r="D386" s="72"/>
      <x:c r="E386" s="72"/>
      <x:c r="F386" s="72"/>
      <x:c r="G386" s="72"/>
      <x:c r="H386" s="72"/>
      <x:c r="I386" s="72"/>
      <x:c r="J386" s="72"/>
      <x:c r="K386" s="72"/>
      <x:c r="L386" s="72"/>
      <x:c r="M386" s="72"/>
      <x:c r="N386" s="72"/>
      <x:c r="O386" s="72"/>
      <x:c r="P386" s="72"/>
      <x:c r="Q386" s="72"/>
      <x:c r="R386" s="72"/>
      <x:c r="S386" s="72"/>
      <x:c r="T386" s="72"/>
      <x:c r="U386" s="72"/>
      <x:c r="V386" s="72"/>
      <x:c r="W386" s="72"/>
      <x:c r="X386" s="72"/>
      <x:c r="Y386" s="72"/>
      <x:c r="Z386" s="72"/>
      <x:c r="AA386" s="72"/>
      <x:c r="AB386" s="72"/>
      <x:c r="AC386" s="72"/>
      <x:c r="AD386" s="72"/>
      <x:c r="AE386" s="72"/>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x:c r="BN386" s="4"/>
      <x:c r="BO386" s="4"/>
      <x:c r="BP386" s="4"/>
      <x:c r="BQ386" s="4"/>
      <x:c r="BR386" s="4"/>
      <x:c r="BS386" s="4"/>
      <x:c r="BT386" s="4"/>
      <x:c r="BU386" s="4"/>
      <x:c r="BV386" s="4"/>
      <x:c r="BW386" s="4"/>
      <x:c r="BX386" s="4"/>
      <x:c r="BY386" s="4"/>
      <x:c r="BZ386" s="4"/>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x:c r="DB386" s="4"/>
      <x:c r="DC386" s="4"/>
      <x:c r="DD386" s="4"/>
      <x:c r="DE386" s="4"/>
      <x:c r="DF386" s="4"/>
      <x:c r="DG386" s="4"/>
      <x:c r="DH386" s="4"/>
      <x:c r="DI386" s="4"/>
      <x:c r="DJ386" s="4"/>
      <x:c r="DK386" s="4"/>
      <x:c r="DL386" s="4"/>
      <x:c r="DM386" s="4"/>
      <x:c r="DN386" s="4"/>
      <x:c r="DO386" s="4"/>
      <x:c r="DP386" s="4"/>
      <x:c r="DQ386" s="4"/>
      <x:c r="DR386" s="4"/>
      <x:c r="DS386" s="4"/>
      <x:c r="DT386" s="4"/>
      <x:c r="DU386" s="4"/>
      <x:c r="DV386" s="4"/>
      <x:c r="DW386" s="4"/>
      <x:c r="DX386" s="4"/>
      <x:c r="DY386" s="4"/>
      <x:c r="DZ386" s="4"/>
      <x:c r="EA386" s="4"/>
      <x:c r="EB386" s="4"/>
      <x:c r="EC386" s="4"/>
      <x:c r="ED386" s="4"/>
      <x:c r="EE386" s="4"/>
      <x:c r="EF386" s="4"/>
      <x:c r="EG386" s="4"/>
      <x:c r="EH386" s="4"/>
      <x:c r="EI386" s="4"/>
      <x:c r="EJ386" s="4"/>
      <x:c r="EK386" s="4"/>
      <x:c r="EL386" s="4"/>
      <x:c r="EM386" s="4"/>
      <x:c r="EN386" s="4"/>
      <x:c r="EO386" s="4"/>
      <x:c r="EP386" s="4"/>
      <x:c r="EQ386" s="4"/>
      <x:c r="ER386" s="4"/>
      <x:c r="ES386" s="4"/>
      <x:c r="ET386" s="4"/>
      <x:c r="EU386" s="4"/>
      <x:c r="EV386" s="4"/>
      <x:c r="EW386" s="4"/>
      <x:c r="EX386" s="4"/>
      <x:c r="EY386" s="4"/>
      <x:c r="EZ386" s="4"/>
      <x:c r="FA386" s="4"/>
      <x:c r="FB386" s="4"/>
      <x:c r="FC386" s="4"/>
      <x:c r="FD386" s="4"/>
      <x:c r="FE386" s="4"/>
      <x:c r="FF386" s="4"/>
      <x:c r="FG386" s="4"/>
      <x:c r="FH386" s="4"/>
      <x:c r="FI386" s="4"/>
      <x:c r="FJ386" s="4"/>
      <x:c r="FK386" s="4"/>
      <x:c r="FL386" s="4"/>
      <x:c r="FM386" s="4"/>
      <x:c r="FN386" s="4"/>
      <x:c r="FO386" s="4"/>
    </x:row>
    <x:row r="387">
      <x:c r="A387" s="72"/>
      <x:c r="B387" s="72"/>
      <x:c r="C387" s="72"/>
      <x:c r="D387" s="72"/>
      <x:c r="E387" s="72"/>
      <x:c r="F387" s="72"/>
      <x:c r="G387" s="72"/>
      <x:c r="H387" s="72"/>
      <x:c r="I387" s="72"/>
      <x:c r="J387" s="72"/>
      <x:c r="K387" s="72"/>
      <x:c r="L387" s="72"/>
      <x:c r="M387" s="72"/>
      <x:c r="N387" s="72"/>
      <x:c r="O387" s="72"/>
      <x:c r="P387" s="72"/>
      <x:c r="Q387" s="72"/>
      <x:c r="R387" s="72"/>
      <x:c r="S387" s="72"/>
      <x:c r="T387" s="72"/>
      <x:c r="U387" s="72"/>
      <x:c r="V387" s="72"/>
      <x:c r="W387" s="72"/>
      <x:c r="X387" s="72"/>
      <x:c r="Y387" s="72"/>
      <x:c r="Z387" s="72"/>
      <x:c r="AA387" s="72"/>
      <x:c r="AB387" s="72"/>
      <x:c r="AC387" s="72"/>
      <x:c r="AD387" s="72"/>
      <x:c r="AE387" s="72"/>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x:c r="BN387" s="4"/>
      <x:c r="BO387" s="4"/>
      <x:c r="BP387" s="4"/>
      <x:c r="BQ387" s="4"/>
      <x:c r="BR387" s="4"/>
      <x:c r="BS387" s="4"/>
      <x:c r="BT387" s="4"/>
      <x:c r="BU387" s="4"/>
      <x:c r="BV387" s="4"/>
      <x:c r="BW387" s="4"/>
      <x:c r="BX387" s="4"/>
      <x:c r="BY387" s="4"/>
      <x:c r="BZ387" s="4"/>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x:c r="DB387" s="4"/>
      <x:c r="DC387" s="4"/>
      <x:c r="DD387" s="4"/>
      <x:c r="DE387" s="4"/>
      <x:c r="DF387" s="4"/>
      <x:c r="DG387" s="4"/>
      <x:c r="DH387" s="4"/>
      <x:c r="DI387" s="4"/>
      <x:c r="DJ387" s="4"/>
      <x:c r="DK387" s="4"/>
      <x:c r="DL387" s="4"/>
      <x:c r="DM387" s="4"/>
      <x:c r="DN387" s="4"/>
      <x:c r="DO387" s="4"/>
      <x:c r="DP387" s="4"/>
      <x:c r="DQ387" s="4"/>
      <x:c r="DR387" s="4"/>
      <x:c r="DS387" s="4"/>
      <x:c r="DT387" s="4"/>
      <x:c r="DU387" s="4"/>
      <x:c r="DV387" s="4"/>
      <x:c r="DW387" s="4"/>
      <x:c r="DX387" s="4"/>
      <x:c r="DY387" s="4"/>
      <x:c r="DZ387" s="4"/>
      <x:c r="EA387" s="4"/>
      <x:c r="EB387" s="4"/>
      <x:c r="EC387" s="4"/>
      <x:c r="ED387" s="4"/>
      <x:c r="EE387" s="4"/>
      <x:c r="EF387" s="4"/>
      <x:c r="EG387" s="4"/>
      <x:c r="EH387" s="4"/>
      <x:c r="EI387" s="4"/>
      <x:c r="EJ387" s="4"/>
      <x:c r="EK387" s="4"/>
      <x:c r="EL387" s="4"/>
      <x:c r="EM387" s="4"/>
      <x:c r="EN387" s="4"/>
      <x:c r="EO387" s="4"/>
      <x:c r="EP387" s="4"/>
      <x:c r="EQ387" s="4"/>
      <x:c r="ER387" s="4"/>
      <x:c r="ES387" s="4"/>
      <x:c r="ET387" s="4"/>
      <x:c r="EU387" s="4"/>
      <x:c r="EV387" s="4"/>
      <x:c r="EW387" s="4"/>
      <x:c r="EX387" s="4"/>
      <x:c r="EY387" s="4"/>
      <x:c r="EZ387" s="4"/>
      <x:c r="FA387" s="4"/>
      <x:c r="FB387" s="4"/>
      <x:c r="FC387" s="4"/>
      <x:c r="FD387" s="4"/>
      <x:c r="FE387" s="4"/>
      <x:c r="FF387" s="4"/>
      <x:c r="FG387" s="4"/>
      <x:c r="FH387" s="4"/>
      <x:c r="FI387" s="4"/>
      <x:c r="FJ387" s="4"/>
      <x:c r="FK387" s="4"/>
      <x:c r="FL387" s="4"/>
      <x:c r="FM387" s="4"/>
      <x:c r="FN387" s="4"/>
      <x:c r="FO387" s="4"/>
    </x:row>
    <x:row r="388">
      <x:c r="A388" s="72"/>
      <x:c r="B388" s="72"/>
      <x:c r="C388" s="72"/>
      <x:c r="D388" s="72"/>
      <x:c r="E388" s="72"/>
      <x:c r="F388" s="72"/>
      <x:c r="G388" s="72"/>
      <x:c r="H388" s="72"/>
      <x:c r="I388" s="72"/>
      <x:c r="J388" s="72"/>
      <x:c r="K388" s="72"/>
      <x:c r="L388" s="72"/>
      <x:c r="M388" s="72"/>
      <x:c r="N388" s="72"/>
      <x:c r="O388" s="72"/>
      <x:c r="P388" s="72"/>
      <x:c r="Q388" s="72"/>
      <x:c r="R388" s="72"/>
      <x:c r="S388" s="72"/>
      <x:c r="T388" s="72"/>
      <x:c r="U388" s="72"/>
      <x:c r="V388" s="72"/>
      <x:c r="W388" s="72"/>
      <x:c r="X388" s="72"/>
      <x:c r="Y388" s="72"/>
      <x:c r="Z388" s="72"/>
      <x:c r="AA388" s="72"/>
      <x:c r="AB388" s="72"/>
      <x:c r="AC388" s="72"/>
      <x:c r="AD388" s="72"/>
      <x:c r="AE388" s="72"/>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x:c r="BN388" s="4"/>
      <x:c r="BO388" s="4"/>
      <x:c r="BP388" s="4"/>
      <x:c r="BQ388" s="4"/>
      <x:c r="BR388" s="4"/>
      <x:c r="BS388" s="4"/>
      <x:c r="BT388" s="4"/>
      <x:c r="BU388" s="4"/>
      <x:c r="BV388" s="4"/>
      <x:c r="BW388" s="4"/>
      <x:c r="BX388" s="4"/>
      <x:c r="BY388" s="4"/>
      <x:c r="BZ388" s="4"/>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x:c r="DB388" s="4"/>
      <x:c r="DC388" s="4"/>
      <x:c r="DD388" s="4"/>
      <x:c r="DE388" s="4"/>
      <x:c r="DF388" s="4"/>
      <x:c r="DG388" s="4"/>
      <x:c r="DH388" s="4"/>
      <x:c r="DI388" s="4"/>
      <x:c r="DJ388" s="4"/>
      <x:c r="DK388" s="4"/>
      <x:c r="DL388" s="4"/>
      <x:c r="DM388" s="4"/>
      <x:c r="DN388" s="4"/>
      <x:c r="DO388" s="4"/>
      <x:c r="DP388" s="4"/>
      <x:c r="DQ388" s="4"/>
      <x:c r="DR388" s="4"/>
      <x:c r="DS388" s="4"/>
      <x:c r="DT388" s="4"/>
      <x:c r="DU388" s="4"/>
      <x:c r="DV388" s="4"/>
      <x:c r="DW388" s="4"/>
      <x:c r="DX388" s="4"/>
      <x:c r="DY388" s="4"/>
      <x:c r="DZ388" s="4"/>
      <x:c r="EA388" s="4"/>
      <x:c r="EB388" s="4"/>
      <x:c r="EC388" s="4"/>
      <x:c r="ED388" s="4"/>
      <x:c r="EE388" s="4"/>
      <x:c r="EF388" s="4"/>
      <x:c r="EG388" s="4"/>
      <x:c r="EH388" s="4"/>
      <x:c r="EI388" s="4"/>
      <x:c r="EJ388" s="4"/>
      <x:c r="EK388" s="4"/>
      <x:c r="EL388" s="4"/>
      <x:c r="EM388" s="4"/>
      <x:c r="EN388" s="4"/>
      <x:c r="EO388" s="4"/>
      <x:c r="EP388" s="4"/>
      <x:c r="EQ388" s="4"/>
      <x:c r="ER388" s="4"/>
      <x:c r="ES388" s="4"/>
      <x:c r="ET388" s="4"/>
      <x:c r="EU388" s="4"/>
      <x:c r="EV388" s="4"/>
      <x:c r="EW388" s="4"/>
      <x:c r="EX388" s="4"/>
      <x:c r="EY388" s="4"/>
      <x:c r="EZ388" s="4"/>
      <x:c r="FA388" s="4"/>
      <x:c r="FB388" s="4"/>
      <x:c r="FC388" s="4"/>
      <x:c r="FD388" s="4"/>
      <x:c r="FE388" s="4"/>
      <x:c r="FF388" s="4"/>
      <x:c r="FG388" s="4"/>
      <x:c r="FH388" s="4"/>
      <x:c r="FI388" s="4"/>
      <x:c r="FJ388" s="4"/>
      <x:c r="FK388" s="4"/>
      <x:c r="FL388" s="4"/>
      <x:c r="FM388" s="4"/>
      <x:c r="FN388" s="4"/>
      <x:c r="FO388" s="4"/>
    </x:row>
    <x:row r="389">
      <x:c r="A389" s="72"/>
      <x:c r="B389" s="72"/>
      <x:c r="C389" s="72"/>
      <x:c r="D389" s="72"/>
      <x:c r="E389" s="72"/>
      <x:c r="F389" s="72"/>
      <x:c r="G389" s="72"/>
      <x:c r="H389" s="72"/>
      <x:c r="I389" s="72"/>
      <x:c r="J389" s="72"/>
      <x:c r="K389" s="72"/>
      <x:c r="L389" s="72"/>
      <x:c r="M389" s="72"/>
      <x:c r="N389" s="72"/>
      <x:c r="O389" s="72"/>
      <x:c r="P389" s="72"/>
      <x:c r="Q389" s="72"/>
      <x:c r="R389" s="72"/>
      <x:c r="S389" s="72"/>
      <x:c r="T389" s="72"/>
      <x:c r="U389" s="72"/>
      <x:c r="V389" s="72"/>
      <x:c r="W389" s="72"/>
      <x:c r="X389" s="72"/>
      <x:c r="Y389" s="72"/>
      <x:c r="Z389" s="72"/>
      <x:c r="AA389" s="72"/>
      <x:c r="AB389" s="72"/>
      <x:c r="AC389" s="72"/>
      <x:c r="AD389" s="72"/>
      <x:c r="AE389" s="72"/>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x:c r="BN389" s="4"/>
      <x:c r="BO389" s="4"/>
      <x:c r="BP389" s="4"/>
      <x:c r="BQ389" s="4"/>
      <x:c r="BR389" s="4"/>
      <x:c r="BS389" s="4"/>
      <x:c r="BT389" s="4"/>
      <x:c r="BU389" s="4"/>
      <x:c r="BV389" s="4"/>
      <x:c r="BW389" s="4"/>
      <x:c r="BX389" s="4"/>
      <x:c r="BY389" s="4"/>
      <x:c r="BZ389" s="4"/>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x:c r="DB389" s="4"/>
      <x:c r="DC389" s="4"/>
      <x:c r="DD389" s="4"/>
      <x:c r="DE389" s="4"/>
      <x:c r="DF389" s="4"/>
      <x:c r="DG389" s="4"/>
      <x:c r="DH389" s="4"/>
      <x:c r="DI389" s="4"/>
      <x:c r="DJ389" s="4"/>
      <x:c r="DK389" s="4"/>
      <x:c r="DL389" s="4"/>
      <x:c r="DM389" s="4"/>
      <x:c r="DN389" s="4"/>
      <x:c r="DO389" s="4"/>
      <x:c r="DP389" s="4"/>
      <x:c r="DQ389" s="4"/>
      <x:c r="DR389" s="4"/>
      <x:c r="DS389" s="4"/>
      <x:c r="DT389" s="4"/>
      <x:c r="DU389" s="4"/>
      <x:c r="DV389" s="4"/>
      <x:c r="DW389" s="4"/>
      <x:c r="DX389" s="4"/>
      <x:c r="DY389" s="4"/>
      <x:c r="DZ389" s="4"/>
      <x:c r="EA389" s="4"/>
      <x:c r="EB389" s="4"/>
      <x:c r="EC389" s="4"/>
      <x:c r="ED389" s="4"/>
      <x:c r="EE389" s="4"/>
      <x:c r="EF389" s="4"/>
      <x:c r="EG389" s="4"/>
      <x:c r="EH389" s="4"/>
      <x:c r="EI389" s="4"/>
      <x:c r="EJ389" s="4"/>
      <x:c r="EK389" s="4"/>
      <x:c r="EL389" s="4"/>
      <x:c r="EM389" s="4"/>
      <x:c r="EN389" s="4"/>
      <x:c r="EO389" s="4"/>
      <x:c r="EP389" s="4"/>
      <x:c r="EQ389" s="4"/>
      <x:c r="ER389" s="4"/>
      <x:c r="ES389" s="4"/>
      <x:c r="ET389" s="4"/>
      <x:c r="EU389" s="4"/>
      <x:c r="EV389" s="4"/>
      <x:c r="EW389" s="4"/>
      <x:c r="EX389" s="4"/>
      <x:c r="EY389" s="4"/>
      <x:c r="EZ389" s="4"/>
      <x:c r="FA389" s="4"/>
      <x:c r="FB389" s="4"/>
      <x:c r="FC389" s="4"/>
      <x:c r="FD389" s="4"/>
      <x:c r="FE389" s="4"/>
      <x:c r="FF389" s="4"/>
      <x:c r="FG389" s="4"/>
      <x:c r="FH389" s="4"/>
      <x:c r="FI389" s="4"/>
      <x:c r="FJ389" s="4"/>
      <x:c r="FK389" s="4"/>
      <x:c r="FL389" s="4"/>
      <x:c r="FM389" s="4"/>
      <x:c r="FN389" s="4"/>
      <x:c r="FO389" s="4"/>
    </x:row>
    <x:row r="390">
      <x:c r="A390" s="72"/>
      <x:c r="B390" s="72"/>
      <x:c r="C390" s="72"/>
      <x:c r="D390" s="72"/>
      <x:c r="E390" s="72"/>
      <x:c r="F390" s="72"/>
      <x:c r="G390" s="72"/>
      <x:c r="H390" s="72"/>
      <x:c r="I390" s="72"/>
      <x:c r="J390" s="72"/>
      <x:c r="K390" s="72"/>
      <x:c r="L390" s="72"/>
      <x:c r="M390" s="72"/>
      <x:c r="N390" s="72"/>
      <x:c r="O390" s="72"/>
      <x:c r="P390" s="72"/>
      <x:c r="Q390" s="72"/>
      <x:c r="R390" s="72"/>
      <x:c r="S390" s="72"/>
      <x:c r="T390" s="72"/>
      <x:c r="U390" s="72"/>
      <x:c r="V390" s="72"/>
      <x:c r="W390" s="72"/>
      <x:c r="X390" s="72"/>
      <x:c r="Y390" s="72"/>
      <x:c r="Z390" s="72"/>
      <x:c r="AA390" s="72"/>
      <x:c r="AB390" s="72"/>
      <x:c r="AC390" s="72"/>
      <x:c r="AD390" s="72"/>
      <x:c r="AE390" s="72"/>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x:c r="BN390" s="4"/>
      <x:c r="BO390" s="4"/>
      <x:c r="BP390" s="4"/>
      <x:c r="BQ390" s="4"/>
      <x:c r="BR390" s="4"/>
      <x:c r="BS390" s="4"/>
      <x:c r="BT390" s="4"/>
      <x:c r="BU390" s="4"/>
      <x:c r="BV390" s="4"/>
      <x:c r="BW390" s="4"/>
      <x:c r="BX390" s="4"/>
      <x:c r="BY390" s="4"/>
      <x:c r="BZ390" s="4"/>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x:c r="DB390" s="4"/>
      <x:c r="DC390" s="4"/>
      <x:c r="DD390" s="4"/>
      <x:c r="DE390" s="4"/>
      <x:c r="DF390" s="4"/>
      <x:c r="DG390" s="4"/>
      <x:c r="DH390" s="4"/>
      <x:c r="DI390" s="4"/>
      <x:c r="DJ390" s="4"/>
      <x:c r="DK390" s="4"/>
      <x:c r="DL390" s="4"/>
      <x:c r="DM390" s="4"/>
      <x:c r="DN390" s="4"/>
      <x:c r="DO390" s="4"/>
      <x:c r="DP390" s="4"/>
      <x:c r="DQ390" s="4"/>
      <x:c r="DR390" s="4"/>
      <x:c r="DS390" s="4"/>
      <x:c r="DT390" s="4"/>
      <x:c r="DU390" s="4"/>
      <x:c r="DV390" s="4"/>
      <x:c r="DW390" s="4"/>
      <x:c r="DX390" s="4"/>
      <x:c r="DY390" s="4"/>
      <x:c r="DZ390" s="4"/>
      <x:c r="EA390" s="4"/>
      <x:c r="EB390" s="4"/>
      <x:c r="EC390" s="4"/>
      <x:c r="ED390" s="4"/>
      <x:c r="EE390" s="4"/>
      <x:c r="EF390" s="4"/>
      <x:c r="EG390" s="4"/>
      <x:c r="EH390" s="4"/>
      <x:c r="EI390" s="4"/>
      <x:c r="EJ390" s="4"/>
      <x:c r="EK390" s="4"/>
      <x:c r="EL390" s="4"/>
      <x:c r="EM390" s="4"/>
      <x:c r="EN390" s="4"/>
      <x:c r="EO390" s="4"/>
      <x:c r="EP390" s="4"/>
      <x:c r="EQ390" s="4"/>
      <x:c r="ER390" s="4"/>
      <x:c r="ES390" s="4"/>
      <x:c r="ET390" s="4"/>
      <x:c r="EU390" s="4"/>
      <x:c r="EV390" s="4"/>
      <x:c r="EW390" s="4"/>
      <x:c r="EX390" s="4"/>
      <x:c r="EY390" s="4"/>
      <x:c r="EZ390" s="4"/>
      <x:c r="FA390" s="4"/>
      <x:c r="FB390" s="4"/>
      <x:c r="FC390" s="4"/>
      <x:c r="FD390" s="4"/>
      <x:c r="FE390" s="4"/>
      <x:c r="FF390" s="4"/>
      <x:c r="FG390" s="4"/>
      <x:c r="FH390" s="4"/>
      <x:c r="FI390" s="4"/>
      <x:c r="FJ390" s="4"/>
      <x:c r="FK390" s="4"/>
      <x:c r="FL390" s="4"/>
      <x:c r="FM390" s="4"/>
      <x:c r="FN390" s="4"/>
      <x:c r="FO390" s="4"/>
    </x:row>
    <x:row r="391">
      <x:c r="A391" s="72"/>
      <x:c r="B391" s="72"/>
      <x:c r="C391" s="72"/>
      <x:c r="D391" s="72"/>
      <x:c r="E391" s="72"/>
      <x:c r="F391" s="72"/>
      <x:c r="G391" s="72"/>
      <x:c r="H391" s="72"/>
      <x:c r="I391" s="72"/>
      <x:c r="J391" s="72"/>
      <x:c r="K391" s="72"/>
      <x:c r="L391" s="72"/>
      <x:c r="M391" s="72"/>
      <x:c r="N391" s="72"/>
      <x:c r="O391" s="72"/>
      <x:c r="P391" s="72"/>
      <x:c r="Q391" s="72"/>
      <x:c r="R391" s="72"/>
      <x:c r="S391" s="72"/>
      <x:c r="T391" s="72"/>
      <x:c r="U391" s="72"/>
      <x:c r="V391" s="72"/>
      <x:c r="W391" s="72"/>
      <x:c r="X391" s="72"/>
      <x:c r="Y391" s="72"/>
      <x:c r="Z391" s="72"/>
      <x:c r="AA391" s="72"/>
      <x:c r="AB391" s="72"/>
      <x:c r="AC391" s="72"/>
      <x:c r="AD391" s="72"/>
      <x:c r="AE391" s="72"/>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x:c r="BN391" s="4"/>
      <x:c r="BO391" s="4"/>
      <x:c r="BP391" s="4"/>
      <x:c r="BQ391" s="4"/>
      <x:c r="BR391" s="4"/>
      <x:c r="BS391" s="4"/>
      <x:c r="BT391" s="4"/>
      <x:c r="BU391" s="4"/>
      <x:c r="BV391" s="4"/>
      <x:c r="BW391" s="4"/>
      <x:c r="BX391" s="4"/>
      <x:c r="BY391" s="4"/>
      <x:c r="BZ391" s="4"/>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x:c r="DB391" s="4"/>
      <x:c r="DC391" s="4"/>
      <x:c r="DD391" s="4"/>
      <x:c r="DE391" s="4"/>
      <x:c r="DF391" s="4"/>
      <x:c r="DG391" s="4"/>
      <x:c r="DH391" s="4"/>
      <x:c r="DI391" s="4"/>
      <x:c r="DJ391" s="4"/>
      <x:c r="DK391" s="4"/>
      <x:c r="DL391" s="4"/>
      <x:c r="DM391" s="4"/>
      <x:c r="DN391" s="4"/>
      <x:c r="DO391" s="4"/>
      <x:c r="DP391" s="4"/>
      <x:c r="DQ391" s="4"/>
      <x:c r="DR391" s="4"/>
      <x:c r="DS391" s="4"/>
      <x:c r="DT391" s="4"/>
      <x:c r="DU391" s="4"/>
      <x:c r="DV391" s="4"/>
      <x:c r="DW391" s="4"/>
      <x:c r="DX391" s="4"/>
      <x:c r="DY391" s="4"/>
      <x:c r="DZ391" s="4"/>
      <x:c r="EA391" s="4"/>
      <x:c r="EB391" s="4"/>
      <x:c r="EC391" s="4"/>
      <x:c r="ED391" s="4"/>
      <x:c r="EE391" s="4"/>
      <x:c r="EF391" s="4"/>
      <x:c r="EG391" s="4"/>
      <x:c r="EH391" s="4"/>
      <x:c r="EI391" s="4"/>
      <x:c r="EJ391" s="4"/>
      <x:c r="EK391" s="4"/>
      <x:c r="EL391" s="4"/>
      <x:c r="EM391" s="4"/>
      <x:c r="EN391" s="4"/>
      <x:c r="EO391" s="4"/>
      <x:c r="EP391" s="4"/>
      <x:c r="EQ391" s="4"/>
      <x:c r="ER391" s="4"/>
      <x:c r="ES391" s="4"/>
      <x:c r="ET391" s="4"/>
      <x:c r="EU391" s="4"/>
      <x:c r="EV391" s="4"/>
      <x:c r="EW391" s="4"/>
      <x:c r="EX391" s="4"/>
      <x:c r="EY391" s="4"/>
      <x:c r="EZ391" s="4"/>
      <x:c r="FA391" s="4"/>
      <x:c r="FB391" s="4"/>
      <x:c r="FC391" s="4"/>
      <x:c r="FD391" s="4"/>
      <x:c r="FE391" s="4"/>
      <x:c r="FF391" s="4"/>
      <x:c r="FG391" s="4"/>
      <x:c r="FH391" s="4"/>
      <x:c r="FI391" s="4"/>
      <x:c r="FJ391" s="4"/>
      <x:c r="FK391" s="4"/>
      <x:c r="FL391" s="4"/>
      <x:c r="FM391" s="4"/>
      <x:c r="FN391" s="4"/>
      <x:c r="FO391" s="4"/>
    </x:row>
    <x:row r="392">
      <x:c r="A392" s="72"/>
      <x:c r="B392" s="72"/>
      <x:c r="C392" s="72"/>
      <x:c r="D392" s="72"/>
      <x:c r="E392" s="72"/>
      <x:c r="F392" s="72"/>
      <x:c r="G392" s="72"/>
      <x:c r="H392" s="72"/>
      <x:c r="I392" s="72"/>
      <x:c r="J392" s="72"/>
      <x:c r="K392" s="72"/>
      <x:c r="L392" s="72"/>
      <x:c r="M392" s="72"/>
      <x:c r="N392" s="72"/>
      <x:c r="O392" s="72"/>
      <x:c r="P392" s="72"/>
      <x:c r="Q392" s="72"/>
      <x:c r="R392" s="72"/>
      <x:c r="S392" s="72"/>
      <x:c r="T392" s="72"/>
      <x:c r="U392" s="72"/>
      <x:c r="V392" s="72"/>
      <x:c r="W392" s="72"/>
      <x:c r="X392" s="72"/>
      <x:c r="Y392" s="72"/>
      <x:c r="Z392" s="72"/>
      <x:c r="AA392" s="72"/>
      <x:c r="AB392" s="72"/>
      <x:c r="AC392" s="72"/>
      <x:c r="AD392" s="72"/>
      <x:c r="AE392" s="72"/>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x:c r="BN392" s="4"/>
      <x:c r="BO392" s="4"/>
      <x:c r="BP392" s="4"/>
      <x:c r="BQ392" s="4"/>
      <x:c r="BR392" s="4"/>
      <x:c r="BS392" s="4"/>
      <x:c r="BT392" s="4"/>
      <x:c r="BU392" s="4"/>
      <x:c r="BV392" s="4"/>
      <x:c r="BW392" s="4"/>
      <x:c r="BX392" s="4"/>
      <x:c r="BY392" s="4"/>
      <x:c r="BZ392" s="4"/>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x:c r="DB392" s="4"/>
      <x:c r="DC392" s="4"/>
      <x:c r="DD392" s="4"/>
      <x:c r="DE392" s="4"/>
      <x:c r="DF392" s="4"/>
      <x:c r="DG392" s="4"/>
      <x:c r="DH392" s="4"/>
      <x:c r="DI392" s="4"/>
      <x:c r="DJ392" s="4"/>
      <x:c r="DK392" s="4"/>
      <x:c r="DL392" s="4"/>
      <x:c r="DM392" s="4"/>
      <x:c r="DN392" s="4"/>
      <x:c r="DO392" s="4"/>
      <x:c r="DP392" s="4"/>
      <x:c r="DQ392" s="4"/>
      <x:c r="DR392" s="4"/>
      <x:c r="DS392" s="4"/>
      <x:c r="DT392" s="4"/>
      <x:c r="DU392" s="4"/>
      <x:c r="DV392" s="4"/>
      <x:c r="DW392" s="4"/>
      <x:c r="DX392" s="4"/>
      <x:c r="DY392" s="4"/>
      <x:c r="DZ392" s="4"/>
      <x:c r="EA392" s="4"/>
      <x:c r="EB392" s="4"/>
      <x:c r="EC392" s="4"/>
      <x:c r="ED392" s="4"/>
      <x:c r="EE392" s="4"/>
      <x:c r="EF392" s="4"/>
      <x:c r="EG392" s="4"/>
      <x:c r="EH392" s="4"/>
      <x:c r="EI392" s="4"/>
      <x:c r="EJ392" s="4"/>
      <x:c r="EK392" s="4"/>
      <x:c r="EL392" s="4"/>
      <x:c r="EM392" s="4"/>
      <x:c r="EN392" s="4"/>
      <x:c r="EO392" s="4"/>
      <x:c r="EP392" s="4"/>
      <x:c r="EQ392" s="4"/>
      <x:c r="ER392" s="4"/>
      <x:c r="ES392" s="4"/>
      <x:c r="ET392" s="4"/>
      <x:c r="EU392" s="4"/>
      <x:c r="EV392" s="4"/>
      <x:c r="EW392" s="4"/>
      <x:c r="EX392" s="4"/>
      <x:c r="EY392" s="4"/>
      <x:c r="EZ392" s="4"/>
      <x:c r="FA392" s="4"/>
      <x:c r="FB392" s="4"/>
      <x:c r="FC392" s="4"/>
      <x:c r="FD392" s="4"/>
      <x:c r="FE392" s="4"/>
      <x:c r="FF392" s="4"/>
      <x:c r="FG392" s="4"/>
      <x:c r="FH392" s="4"/>
      <x:c r="FI392" s="4"/>
      <x:c r="FJ392" s="4"/>
      <x:c r="FK392" s="4"/>
      <x:c r="FL392" s="4"/>
      <x:c r="FM392" s="4"/>
      <x:c r="FN392" s="4"/>
      <x:c r="FO392" s="4"/>
    </x:row>
    <x:row r="393">
      <x:c r="A393" s="72"/>
      <x:c r="B393" s="72"/>
      <x:c r="C393" s="72"/>
      <x:c r="D393" s="72"/>
      <x:c r="E393" s="72"/>
      <x:c r="F393" s="72"/>
      <x:c r="G393" s="72"/>
      <x:c r="H393" s="72"/>
      <x:c r="I393" s="72"/>
      <x:c r="J393" s="72"/>
      <x:c r="K393" s="72"/>
      <x:c r="L393" s="72"/>
      <x:c r="M393" s="72"/>
      <x:c r="N393" s="72"/>
      <x:c r="O393" s="72"/>
      <x:c r="P393" s="72"/>
      <x:c r="Q393" s="72"/>
      <x:c r="R393" s="72"/>
      <x:c r="S393" s="72"/>
      <x:c r="T393" s="72"/>
      <x:c r="U393" s="72"/>
      <x:c r="V393" s="72"/>
      <x:c r="W393" s="72"/>
      <x:c r="X393" s="72"/>
      <x:c r="Y393" s="72"/>
      <x:c r="Z393" s="72"/>
      <x:c r="AA393" s="72"/>
      <x:c r="AB393" s="72"/>
      <x:c r="AC393" s="72"/>
      <x:c r="AD393" s="72"/>
      <x:c r="AE393" s="72"/>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x:c r="BN393" s="4"/>
      <x:c r="BO393" s="4"/>
      <x:c r="BP393" s="4"/>
      <x:c r="BQ393" s="4"/>
      <x:c r="BR393" s="4"/>
      <x:c r="BS393" s="4"/>
      <x:c r="BT393" s="4"/>
      <x:c r="BU393" s="4"/>
      <x:c r="BV393" s="4"/>
      <x:c r="BW393" s="4"/>
      <x:c r="BX393" s="4"/>
      <x:c r="BY393" s="4"/>
      <x:c r="BZ393" s="4"/>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x:c r="DB393" s="4"/>
      <x:c r="DC393" s="4"/>
      <x:c r="DD393" s="4"/>
      <x:c r="DE393" s="4"/>
      <x:c r="DF393" s="4"/>
      <x:c r="DG393" s="4"/>
      <x:c r="DH393" s="4"/>
      <x:c r="DI393" s="4"/>
      <x:c r="DJ393" s="4"/>
      <x:c r="DK393" s="4"/>
      <x:c r="DL393" s="4"/>
      <x:c r="DM393" s="4"/>
      <x:c r="DN393" s="4"/>
      <x:c r="DO393" s="4"/>
      <x:c r="DP393" s="4"/>
      <x:c r="DQ393" s="4"/>
      <x:c r="DR393" s="4"/>
      <x:c r="DS393" s="4"/>
      <x:c r="DT393" s="4"/>
      <x:c r="DU393" s="4"/>
      <x:c r="DV393" s="4"/>
      <x:c r="DW393" s="4"/>
      <x:c r="DX393" s="4"/>
      <x:c r="DY393" s="4"/>
      <x:c r="DZ393" s="4"/>
      <x:c r="EA393" s="4"/>
      <x:c r="EB393" s="4"/>
      <x:c r="EC393" s="4"/>
      <x:c r="ED393" s="4"/>
      <x:c r="EE393" s="4"/>
      <x:c r="EF393" s="4"/>
      <x:c r="EG393" s="4"/>
      <x:c r="EH393" s="4"/>
      <x:c r="EI393" s="4"/>
      <x:c r="EJ393" s="4"/>
      <x:c r="EK393" s="4"/>
      <x:c r="EL393" s="4"/>
      <x:c r="EM393" s="4"/>
      <x:c r="EN393" s="4"/>
      <x:c r="EO393" s="4"/>
      <x:c r="EP393" s="4"/>
      <x:c r="EQ393" s="4"/>
      <x:c r="ER393" s="4"/>
      <x:c r="ES393" s="4"/>
      <x:c r="ET393" s="4"/>
      <x:c r="EU393" s="4"/>
      <x:c r="EV393" s="4"/>
      <x:c r="EW393" s="4"/>
      <x:c r="EX393" s="4"/>
      <x:c r="EY393" s="4"/>
      <x:c r="EZ393" s="4"/>
      <x:c r="FA393" s="4"/>
      <x:c r="FB393" s="4"/>
      <x:c r="FC393" s="4"/>
      <x:c r="FD393" s="4"/>
      <x:c r="FE393" s="4"/>
      <x:c r="FF393" s="4"/>
      <x:c r="FG393" s="4"/>
      <x:c r="FH393" s="4"/>
      <x:c r="FI393" s="4"/>
      <x:c r="FJ393" s="4"/>
      <x:c r="FK393" s="4"/>
      <x:c r="FL393" s="4"/>
      <x:c r="FM393" s="4"/>
      <x:c r="FN393" s="4"/>
      <x:c r="FO393" s="4"/>
    </x:row>
    <x:row r="394">
      <x:c r="A394" s="72"/>
      <x:c r="B394" s="72"/>
      <x:c r="C394" s="72"/>
      <x:c r="D394" s="72"/>
      <x:c r="E394" s="72"/>
      <x:c r="F394" s="72"/>
      <x:c r="G394" s="72"/>
      <x:c r="H394" s="72"/>
      <x:c r="I394" s="72"/>
      <x:c r="J394" s="72"/>
      <x:c r="K394" s="72"/>
      <x:c r="L394" s="72"/>
      <x:c r="M394" s="72"/>
      <x:c r="N394" s="72"/>
      <x:c r="O394" s="72"/>
      <x:c r="P394" s="72"/>
      <x:c r="Q394" s="72"/>
      <x:c r="R394" s="72"/>
      <x:c r="S394" s="72"/>
      <x:c r="T394" s="72"/>
      <x:c r="U394" s="72"/>
      <x:c r="V394" s="72"/>
      <x:c r="W394" s="72"/>
      <x:c r="X394" s="72"/>
      <x:c r="Y394" s="72"/>
      <x:c r="Z394" s="72"/>
      <x:c r="AA394" s="72"/>
      <x:c r="AB394" s="72"/>
      <x:c r="AC394" s="72"/>
      <x:c r="AD394" s="72"/>
      <x:c r="AE394" s="72"/>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x:c r="BN394" s="4"/>
      <x:c r="BO394" s="4"/>
      <x:c r="BP394" s="4"/>
      <x:c r="BQ394" s="4"/>
      <x:c r="BR394" s="4"/>
      <x:c r="BS394" s="4"/>
      <x:c r="BT394" s="4"/>
      <x:c r="BU394" s="4"/>
      <x:c r="BV394" s="4"/>
      <x:c r="BW394" s="4"/>
      <x:c r="BX394" s="4"/>
      <x:c r="BY394" s="4"/>
      <x:c r="BZ394" s="4"/>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x:c r="DB394" s="4"/>
      <x:c r="DC394" s="4"/>
      <x:c r="DD394" s="4"/>
      <x:c r="DE394" s="4"/>
      <x:c r="DF394" s="4"/>
      <x:c r="DG394" s="4"/>
      <x:c r="DH394" s="4"/>
      <x:c r="DI394" s="4"/>
      <x:c r="DJ394" s="4"/>
      <x:c r="DK394" s="4"/>
      <x:c r="DL394" s="4"/>
      <x:c r="DM394" s="4"/>
      <x:c r="DN394" s="4"/>
      <x:c r="DO394" s="4"/>
      <x:c r="DP394" s="4"/>
      <x:c r="DQ394" s="4"/>
      <x:c r="DR394" s="4"/>
      <x:c r="DS394" s="4"/>
      <x:c r="DT394" s="4"/>
      <x:c r="DU394" s="4"/>
      <x:c r="DV394" s="4"/>
      <x:c r="DW394" s="4"/>
      <x:c r="DX394" s="4"/>
      <x:c r="DY394" s="4"/>
      <x:c r="DZ394" s="4"/>
      <x:c r="EA394" s="4"/>
      <x:c r="EB394" s="4"/>
      <x:c r="EC394" s="4"/>
      <x:c r="ED394" s="4"/>
      <x:c r="EE394" s="4"/>
      <x:c r="EF394" s="4"/>
      <x:c r="EG394" s="4"/>
      <x:c r="EH394" s="4"/>
      <x:c r="EI394" s="4"/>
      <x:c r="EJ394" s="4"/>
      <x:c r="EK394" s="4"/>
      <x:c r="EL394" s="4"/>
      <x:c r="EM394" s="4"/>
      <x:c r="EN394" s="4"/>
      <x:c r="EO394" s="4"/>
      <x:c r="EP394" s="4"/>
      <x:c r="EQ394" s="4"/>
      <x:c r="ER394" s="4"/>
      <x:c r="ES394" s="4"/>
      <x:c r="ET394" s="4"/>
      <x:c r="EU394" s="4"/>
      <x:c r="EV394" s="4"/>
      <x:c r="EW394" s="4"/>
      <x:c r="EX394" s="4"/>
      <x:c r="EY394" s="4"/>
      <x:c r="EZ394" s="4"/>
      <x:c r="FA394" s="4"/>
      <x:c r="FB394" s="4"/>
      <x:c r="FC394" s="4"/>
      <x:c r="FD394" s="4"/>
      <x:c r="FE394" s="4"/>
      <x:c r="FF394" s="4"/>
      <x:c r="FG394" s="4"/>
      <x:c r="FH394" s="4"/>
      <x:c r="FI394" s="4"/>
      <x:c r="FJ394" s="4"/>
      <x:c r="FK394" s="4"/>
      <x:c r="FL394" s="4"/>
      <x:c r="FM394" s="4"/>
      <x:c r="FN394" s="4"/>
      <x:c r="FO394" s="4"/>
    </x:row>
    <x:row r="395">
      <x:c r="A395" s="72"/>
      <x:c r="B395" s="72"/>
      <x:c r="C395" s="72"/>
      <x:c r="D395" s="72"/>
      <x:c r="E395" s="72"/>
      <x:c r="F395" s="72"/>
      <x:c r="G395" s="72"/>
      <x:c r="H395" s="72"/>
      <x:c r="I395" s="72"/>
      <x:c r="J395" s="72"/>
      <x:c r="K395" s="72"/>
      <x:c r="L395" s="72"/>
      <x:c r="M395" s="72"/>
      <x:c r="N395" s="72"/>
      <x:c r="O395" s="72"/>
      <x:c r="P395" s="72"/>
      <x:c r="Q395" s="72"/>
      <x:c r="R395" s="72"/>
      <x:c r="S395" s="72"/>
      <x:c r="T395" s="72"/>
      <x:c r="U395" s="72"/>
      <x:c r="V395" s="72"/>
      <x:c r="W395" s="72"/>
      <x:c r="X395" s="72"/>
      <x:c r="Y395" s="72"/>
      <x:c r="Z395" s="72"/>
      <x:c r="AA395" s="72"/>
      <x:c r="AB395" s="72"/>
      <x:c r="AC395" s="72"/>
      <x:c r="AD395" s="72"/>
      <x:c r="AE395" s="72"/>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x:c r="BN395" s="4"/>
      <x:c r="BO395" s="4"/>
      <x:c r="BP395" s="4"/>
      <x:c r="BQ395" s="4"/>
      <x:c r="BR395" s="4"/>
      <x:c r="BS395" s="4"/>
      <x:c r="BT395" s="4"/>
      <x:c r="BU395" s="4"/>
      <x:c r="BV395" s="4"/>
      <x:c r="BW395" s="4"/>
      <x:c r="BX395" s="4"/>
      <x:c r="BY395" s="4"/>
      <x:c r="BZ395" s="4"/>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x:c r="DB395" s="4"/>
      <x:c r="DC395" s="4"/>
      <x:c r="DD395" s="4"/>
      <x:c r="DE395" s="4"/>
      <x:c r="DF395" s="4"/>
      <x:c r="DG395" s="4"/>
      <x:c r="DH395" s="4"/>
      <x:c r="DI395" s="4"/>
      <x:c r="DJ395" s="4"/>
      <x:c r="DK395" s="4"/>
      <x:c r="DL395" s="4"/>
      <x:c r="DM395" s="4"/>
      <x:c r="DN395" s="4"/>
      <x:c r="DO395" s="4"/>
      <x:c r="DP395" s="4"/>
      <x:c r="DQ395" s="4"/>
      <x:c r="DR395" s="4"/>
      <x:c r="DS395" s="4"/>
      <x:c r="DT395" s="4"/>
      <x:c r="DU395" s="4"/>
      <x:c r="DV395" s="4"/>
      <x:c r="DW395" s="4"/>
      <x:c r="DX395" s="4"/>
      <x:c r="DY395" s="4"/>
      <x:c r="DZ395" s="4"/>
      <x:c r="EA395" s="4"/>
      <x:c r="EB395" s="4"/>
      <x:c r="EC395" s="4"/>
      <x:c r="ED395" s="4"/>
      <x:c r="EE395" s="4"/>
      <x:c r="EF395" s="4"/>
      <x:c r="EG395" s="4"/>
      <x:c r="EH395" s="4"/>
      <x:c r="EI395" s="4"/>
      <x:c r="EJ395" s="4"/>
      <x:c r="EK395" s="4"/>
      <x:c r="EL395" s="4"/>
      <x:c r="EM395" s="4"/>
      <x:c r="EN395" s="4"/>
      <x:c r="EO395" s="4"/>
      <x:c r="EP395" s="4"/>
      <x:c r="EQ395" s="4"/>
      <x:c r="ER395" s="4"/>
      <x:c r="ES395" s="4"/>
      <x:c r="ET395" s="4"/>
      <x:c r="EU395" s="4"/>
      <x:c r="EV395" s="4"/>
      <x:c r="EW395" s="4"/>
      <x:c r="EX395" s="4"/>
      <x:c r="EY395" s="4"/>
      <x:c r="EZ395" s="4"/>
      <x:c r="FA395" s="4"/>
      <x:c r="FB395" s="4"/>
      <x:c r="FC395" s="4"/>
      <x:c r="FD395" s="4"/>
      <x:c r="FE395" s="4"/>
      <x:c r="FF395" s="4"/>
      <x:c r="FG395" s="4"/>
      <x:c r="FH395" s="4"/>
      <x:c r="FI395" s="4"/>
      <x:c r="FJ395" s="4"/>
      <x:c r="FK395" s="4"/>
      <x:c r="FL395" s="4"/>
      <x:c r="FM395" s="4"/>
      <x:c r="FN395" s="4"/>
      <x:c r="FO395" s="4"/>
    </x:row>
    <x:row r="396">
      <x:c r="A396" s="72"/>
      <x:c r="B396" s="72"/>
      <x:c r="C396" s="72"/>
      <x:c r="D396" s="72"/>
      <x:c r="E396" s="72"/>
      <x:c r="F396" s="72"/>
      <x:c r="G396" s="72"/>
      <x:c r="H396" s="72"/>
      <x:c r="I396" s="72"/>
      <x:c r="J396" s="72"/>
      <x:c r="K396" s="72"/>
      <x:c r="L396" s="72"/>
      <x:c r="M396" s="72"/>
      <x:c r="N396" s="72"/>
      <x:c r="O396" s="72"/>
      <x:c r="P396" s="72"/>
      <x:c r="Q396" s="72"/>
      <x:c r="R396" s="72"/>
      <x:c r="S396" s="72"/>
      <x:c r="T396" s="72"/>
      <x:c r="U396" s="72"/>
      <x:c r="V396" s="72"/>
      <x:c r="W396" s="72"/>
      <x:c r="X396" s="72"/>
      <x:c r="Y396" s="72"/>
      <x:c r="Z396" s="72"/>
      <x:c r="AA396" s="72"/>
      <x:c r="AB396" s="72"/>
      <x:c r="AC396" s="72"/>
      <x:c r="AD396" s="72"/>
      <x:c r="AE396" s="72"/>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x:c r="BN396" s="4"/>
      <x:c r="BO396" s="4"/>
      <x:c r="BP396" s="4"/>
      <x:c r="BQ396" s="4"/>
      <x:c r="BR396" s="4"/>
      <x:c r="BS396" s="4"/>
      <x:c r="BT396" s="4"/>
      <x:c r="BU396" s="4"/>
      <x:c r="BV396" s="4"/>
      <x:c r="BW396" s="4"/>
      <x:c r="BX396" s="4"/>
      <x:c r="BY396" s="4"/>
      <x:c r="BZ396" s="4"/>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x:c r="DB396" s="4"/>
      <x:c r="DC396" s="4"/>
      <x:c r="DD396" s="4"/>
      <x:c r="DE396" s="4"/>
      <x:c r="DF396" s="4"/>
      <x:c r="DG396" s="4"/>
      <x:c r="DH396" s="4"/>
      <x:c r="DI396" s="4"/>
      <x:c r="DJ396" s="4"/>
      <x:c r="DK396" s="4"/>
      <x:c r="DL396" s="4"/>
      <x:c r="DM396" s="4"/>
      <x:c r="DN396" s="4"/>
      <x:c r="DO396" s="4"/>
      <x:c r="DP396" s="4"/>
      <x:c r="DQ396" s="4"/>
      <x:c r="DR396" s="4"/>
      <x:c r="DS396" s="4"/>
      <x:c r="DT396" s="4"/>
      <x:c r="DU396" s="4"/>
      <x:c r="DV396" s="4"/>
      <x:c r="DW396" s="4"/>
      <x:c r="DX396" s="4"/>
      <x:c r="DY396" s="4"/>
      <x:c r="DZ396" s="4"/>
      <x:c r="EA396" s="4"/>
      <x:c r="EB396" s="4"/>
      <x:c r="EC396" s="4"/>
      <x:c r="ED396" s="4"/>
      <x:c r="EE396" s="4"/>
      <x:c r="EF396" s="4"/>
      <x:c r="EG396" s="4"/>
      <x:c r="EH396" s="4"/>
      <x:c r="EI396" s="4"/>
      <x:c r="EJ396" s="4"/>
      <x:c r="EK396" s="4"/>
      <x:c r="EL396" s="4"/>
      <x:c r="EM396" s="4"/>
      <x:c r="EN396" s="4"/>
      <x:c r="EO396" s="4"/>
      <x:c r="EP396" s="4"/>
      <x:c r="EQ396" s="4"/>
      <x:c r="ER396" s="4"/>
      <x:c r="ES396" s="4"/>
      <x:c r="ET396" s="4"/>
      <x:c r="EU396" s="4"/>
      <x:c r="EV396" s="4"/>
      <x:c r="EW396" s="4"/>
      <x:c r="EX396" s="4"/>
      <x:c r="EY396" s="4"/>
      <x:c r="EZ396" s="4"/>
      <x:c r="FA396" s="4"/>
      <x:c r="FB396" s="4"/>
      <x:c r="FC396" s="4"/>
      <x:c r="FD396" s="4"/>
      <x:c r="FE396" s="4"/>
      <x:c r="FF396" s="4"/>
      <x:c r="FG396" s="4"/>
      <x:c r="FH396" s="4"/>
      <x:c r="FI396" s="4"/>
      <x:c r="FJ396" s="4"/>
      <x:c r="FK396" s="4"/>
      <x:c r="FL396" s="4"/>
      <x:c r="FM396" s="4"/>
      <x:c r="FN396" s="4"/>
      <x:c r="FO396" s="4"/>
    </x:row>
    <x:row r="397">
      <x:c r="A397" s="72"/>
      <x:c r="B397" s="72"/>
      <x:c r="C397" s="72"/>
      <x:c r="D397" s="72"/>
      <x:c r="E397" s="72"/>
      <x:c r="F397" s="72"/>
      <x:c r="G397" s="72"/>
      <x:c r="H397" s="72"/>
      <x:c r="I397" s="72"/>
      <x:c r="J397" s="72"/>
      <x:c r="K397" s="72"/>
      <x:c r="L397" s="72"/>
      <x:c r="M397" s="72"/>
      <x:c r="N397" s="72"/>
      <x:c r="O397" s="72"/>
      <x:c r="P397" s="72"/>
      <x:c r="Q397" s="72"/>
      <x:c r="R397" s="72"/>
      <x:c r="S397" s="72"/>
      <x:c r="T397" s="72"/>
      <x:c r="U397" s="72"/>
      <x:c r="V397" s="72"/>
      <x:c r="W397" s="72"/>
      <x:c r="X397" s="72"/>
      <x:c r="Y397" s="72"/>
      <x:c r="Z397" s="72"/>
      <x:c r="AA397" s="72"/>
      <x:c r="AB397" s="72"/>
      <x:c r="AC397" s="72"/>
      <x:c r="AD397" s="72"/>
      <x:c r="AE397" s="72"/>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x:c r="BN397" s="4"/>
      <x:c r="BO397" s="4"/>
      <x:c r="BP397" s="4"/>
      <x:c r="BQ397" s="4"/>
      <x:c r="BR397" s="4"/>
      <x:c r="BS397" s="4"/>
      <x:c r="BT397" s="4"/>
      <x:c r="BU397" s="4"/>
      <x:c r="BV397" s="4"/>
      <x:c r="BW397" s="4"/>
      <x:c r="BX397" s="4"/>
      <x:c r="BY397" s="4"/>
      <x:c r="BZ397" s="4"/>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x:c r="DB397" s="4"/>
      <x:c r="DC397" s="4"/>
      <x:c r="DD397" s="4"/>
      <x:c r="DE397" s="4"/>
      <x:c r="DF397" s="4"/>
      <x:c r="DG397" s="4"/>
      <x:c r="DH397" s="4"/>
      <x:c r="DI397" s="4"/>
      <x:c r="DJ397" s="4"/>
      <x:c r="DK397" s="4"/>
      <x:c r="DL397" s="4"/>
      <x:c r="DM397" s="4"/>
      <x:c r="DN397" s="4"/>
      <x:c r="DO397" s="4"/>
      <x:c r="DP397" s="4"/>
      <x:c r="DQ397" s="4"/>
      <x:c r="DR397" s="4"/>
      <x:c r="DS397" s="4"/>
      <x:c r="DT397" s="4"/>
      <x:c r="DU397" s="4"/>
      <x:c r="DV397" s="4"/>
      <x:c r="DW397" s="4"/>
      <x:c r="DX397" s="4"/>
      <x:c r="DY397" s="4"/>
      <x:c r="DZ397" s="4"/>
      <x:c r="EA397" s="4"/>
      <x:c r="EB397" s="4"/>
      <x:c r="EC397" s="4"/>
      <x:c r="ED397" s="4"/>
      <x:c r="EE397" s="4"/>
      <x:c r="EF397" s="4"/>
      <x:c r="EG397" s="4"/>
      <x:c r="EH397" s="4"/>
      <x:c r="EI397" s="4"/>
      <x:c r="EJ397" s="4"/>
      <x:c r="EK397" s="4"/>
      <x:c r="EL397" s="4"/>
      <x:c r="EM397" s="4"/>
      <x:c r="EN397" s="4"/>
      <x:c r="EO397" s="4"/>
      <x:c r="EP397" s="4"/>
      <x:c r="EQ397" s="4"/>
      <x:c r="ER397" s="4"/>
      <x:c r="ES397" s="4"/>
      <x:c r="ET397" s="4"/>
      <x:c r="EU397" s="4"/>
      <x:c r="EV397" s="4"/>
      <x:c r="EW397" s="4"/>
      <x:c r="EX397" s="4"/>
      <x:c r="EY397" s="4"/>
      <x:c r="EZ397" s="4"/>
      <x:c r="FA397" s="4"/>
      <x:c r="FB397" s="4"/>
      <x:c r="FC397" s="4"/>
      <x:c r="FD397" s="4"/>
      <x:c r="FE397" s="4"/>
      <x:c r="FF397" s="4"/>
      <x:c r="FG397" s="4"/>
      <x:c r="FH397" s="4"/>
      <x:c r="FI397" s="4"/>
      <x:c r="FJ397" s="4"/>
      <x:c r="FK397" s="4"/>
      <x:c r="FL397" s="4"/>
      <x:c r="FM397" s="4"/>
      <x:c r="FN397" s="4"/>
      <x:c r="FO397" s="4"/>
    </x:row>
    <x:row r="398">
      <x:c r="A398" s="72"/>
      <x:c r="B398" s="72"/>
      <x:c r="C398" s="72"/>
      <x:c r="D398" s="72"/>
      <x:c r="E398" s="72"/>
      <x:c r="F398" s="72"/>
      <x:c r="G398" s="72"/>
      <x:c r="H398" s="72"/>
      <x:c r="I398" s="72"/>
      <x:c r="J398" s="72"/>
      <x:c r="K398" s="72"/>
      <x:c r="L398" s="72"/>
      <x:c r="M398" s="72"/>
      <x:c r="N398" s="72"/>
      <x:c r="O398" s="72"/>
      <x:c r="P398" s="72"/>
      <x:c r="Q398" s="72"/>
      <x:c r="R398" s="72"/>
      <x:c r="S398" s="72"/>
      <x:c r="T398" s="72"/>
      <x:c r="U398" s="72"/>
      <x:c r="V398" s="72"/>
      <x:c r="W398" s="72"/>
      <x:c r="X398" s="72"/>
      <x:c r="Y398" s="72"/>
      <x:c r="Z398" s="72"/>
      <x:c r="AA398" s="72"/>
      <x:c r="AB398" s="72"/>
      <x:c r="AC398" s="72"/>
      <x:c r="AD398" s="72"/>
      <x:c r="AE398" s="72"/>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x:c r="BN398" s="4"/>
      <x:c r="BO398" s="4"/>
      <x:c r="BP398" s="4"/>
      <x:c r="BQ398" s="4"/>
      <x:c r="BR398" s="4"/>
      <x:c r="BS398" s="4"/>
      <x:c r="BT398" s="4"/>
      <x:c r="BU398" s="4"/>
      <x:c r="BV398" s="4"/>
      <x:c r="BW398" s="4"/>
      <x:c r="BX398" s="4"/>
      <x:c r="BY398" s="4"/>
      <x:c r="BZ398" s="4"/>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x:c r="DB398" s="4"/>
      <x:c r="DC398" s="4"/>
      <x:c r="DD398" s="4"/>
      <x:c r="DE398" s="4"/>
      <x:c r="DF398" s="4"/>
      <x:c r="DG398" s="4"/>
      <x:c r="DH398" s="4"/>
      <x:c r="DI398" s="4"/>
      <x:c r="DJ398" s="4"/>
      <x:c r="DK398" s="4"/>
      <x:c r="DL398" s="4"/>
      <x:c r="DM398" s="4"/>
      <x:c r="DN398" s="4"/>
      <x:c r="DO398" s="4"/>
      <x:c r="DP398" s="4"/>
      <x:c r="DQ398" s="4"/>
      <x:c r="DR398" s="4"/>
      <x:c r="DS398" s="4"/>
      <x:c r="DT398" s="4"/>
      <x:c r="DU398" s="4"/>
      <x:c r="DV398" s="4"/>
      <x:c r="DW398" s="4"/>
      <x:c r="DX398" s="4"/>
      <x:c r="DY398" s="4"/>
      <x:c r="DZ398" s="4"/>
      <x:c r="EA398" s="4"/>
      <x:c r="EB398" s="4"/>
      <x:c r="EC398" s="4"/>
      <x:c r="ED398" s="4"/>
      <x:c r="EE398" s="4"/>
      <x:c r="EF398" s="4"/>
      <x:c r="EG398" s="4"/>
      <x:c r="EH398" s="4"/>
      <x:c r="EI398" s="4"/>
      <x:c r="EJ398" s="4"/>
      <x:c r="EK398" s="4"/>
      <x:c r="EL398" s="4"/>
      <x:c r="EM398" s="4"/>
      <x:c r="EN398" s="4"/>
      <x:c r="EO398" s="4"/>
      <x:c r="EP398" s="4"/>
      <x:c r="EQ398" s="4"/>
      <x:c r="ER398" s="4"/>
      <x:c r="ES398" s="4"/>
      <x:c r="ET398" s="4"/>
      <x:c r="EU398" s="4"/>
      <x:c r="EV398" s="4"/>
      <x:c r="EW398" s="4"/>
      <x:c r="EX398" s="4"/>
      <x:c r="EY398" s="4"/>
      <x:c r="EZ398" s="4"/>
      <x:c r="FA398" s="4"/>
      <x:c r="FB398" s="4"/>
      <x:c r="FC398" s="4"/>
      <x:c r="FD398" s="4"/>
      <x:c r="FE398" s="4"/>
      <x:c r="FF398" s="4"/>
      <x:c r="FG398" s="4"/>
      <x:c r="FH398" s="4"/>
      <x:c r="FI398" s="4"/>
      <x:c r="FJ398" s="4"/>
      <x:c r="FK398" s="4"/>
      <x:c r="FL398" s="4"/>
      <x:c r="FM398" s="4"/>
      <x:c r="FN398" s="4"/>
      <x:c r="FO398" s="4"/>
    </x:row>
    <x:row r="399">
      <x:c r="A399" s="72"/>
      <x:c r="B399" s="72"/>
      <x:c r="C399" s="72"/>
      <x:c r="D399" s="72"/>
      <x:c r="E399" s="72"/>
      <x:c r="F399" s="72"/>
      <x:c r="G399" s="72"/>
      <x:c r="H399" s="72"/>
      <x:c r="I399" s="72"/>
      <x:c r="J399" s="72"/>
      <x:c r="K399" s="72"/>
      <x:c r="L399" s="72"/>
      <x:c r="M399" s="72"/>
      <x:c r="N399" s="72"/>
      <x:c r="O399" s="72"/>
      <x:c r="P399" s="72"/>
      <x:c r="Q399" s="72"/>
      <x:c r="R399" s="72"/>
      <x:c r="S399" s="72"/>
      <x:c r="T399" s="72"/>
      <x:c r="U399" s="72"/>
      <x:c r="V399" s="72"/>
      <x:c r="W399" s="72"/>
      <x:c r="X399" s="72"/>
      <x:c r="Y399" s="72"/>
      <x:c r="Z399" s="72"/>
      <x:c r="AA399" s="72"/>
      <x:c r="AB399" s="72"/>
      <x:c r="AC399" s="72"/>
      <x:c r="AD399" s="72"/>
      <x:c r="AE399" s="72"/>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x:c r="BN399" s="4"/>
      <x:c r="BO399" s="4"/>
      <x:c r="BP399" s="4"/>
      <x:c r="BQ399" s="4"/>
      <x:c r="BR399" s="4"/>
      <x:c r="BS399" s="4"/>
      <x:c r="BT399" s="4"/>
      <x:c r="BU399" s="4"/>
      <x:c r="BV399" s="4"/>
      <x:c r="BW399" s="4"/>
      <x:c r="BX399" s="4"/>
      <x:c r="BY399" s="4"/>
      <x:c r="BZ399" s="4"/>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x:c r="DB399" s="4"/>
      <x:c r="DC399" s="4"/>
      <x:c r="DD399" s="4"/>
      <x:c r="DE399" s="4"/>
      <x:c r="DF399" s="4"/>
      <x:c r="DG399" s="4"/>
      <x:c r="DH399" s="4"/>
      <x:c r="DI399" s="4"/>
      <x:c r="DJ399" s="4"/>
      <x:c r="DK399" s="4"/>
      <x:c r="DL399" s="4"/>
      <x:c r="DM399" s="4"/>
      <x:c r="DN399" s="4"/>
      <x:c r="DO399" s="4"/>
      <x:c r="DP399" s="4"/>
      <x:c r="DQ399" s="4"/>
      <x:c r="DR399" s="4"/>
      <x:c r="DS399" s="4"/>
      <x:c r="DT399" s="4"/>
      <x:c r="DU399" s="4"/>
      <x:c r="DV399" s="4"/>
      <x:c r="DW399" s="4"/>
      <x:c r="DX399" s="4"/>
      <x:c r="DY399" s="4"/>
      <x:c r="DZ399" s="4"/>
      <x:c r="EA399" s="4"/>
      <x:c r="EB399" s="4"/>
      <x:c r="EC399" s="4"/>
      <x:c r="ED399" s="4"/>
      <x:c r="EE399" s="4"/>
      <x:c r="EF399" s="4"/>
      <x:c r="EG399" s="4"/>
      <x:c r="EH399" s="4"/>
      <x:c r="EI399" s="4"/>
      <x:c r="EJ399" s="4"/>
      <x:c r="EK399" s="4"/>
      <x:c r="EL399" s="4"/>
      <x:c r="EM399" s="4"/>
      <x:c r="EN399" s="4"/>
      <x:c r="EO399" s="4"/>
      <x:c r="EP399" s="4"/>
      <x:c r="EQ399" s="4"/>
      <x:c r="ER399" s="4"/>
      <x:c r="ES399" s="4"/>
      <x:c r="ET399" s="4"/>
      <x:c r="EU399" s="4"/>
      <x:c r="EV399" s="4"/>
      <x:c r="EW399" s="4"/>
      <x:c r="EX399" s="4"/>
      <x:c r="EY399" s="4"/>
      <x:c r="EZ399" s="4"/>
      <x:c r="FA399" s="4"/>
      <x:c r="FB399" s="4"/>
      <x:c r="FC399" s="4"/>
      <x:c r="FD399" s="4"/>
      <x:c r="FE399" s="4"/>
      <x:c r="FF399" s="4"/>
      <x:c r="FG399" s="4"/>
      <x:c r="FH399" s="4"/>
      <x:c r="FI399" s="4"/>
      <x:c r="FJ399" s="4"/>
      <x:c r="FK399" s="4"/>
      <x:c r="FL399" s="4"/>
      <x:c r="FM399" s="4"/>
      <x:c r="FN399" s="4"/>
      <x:c r="FO399" s="4"/>
    </x:row>
    <x:row r="400">
      <x:c r="A400" s="72"/>
      <x:c r="B400" s="72"/>
      <x:c r="C400" s="72"/>
      <x:c r="D400" s="72"/>
      <x:c r="E400" s="72"/>
      <x:c r="F400" s="72"/>
      <x:c r="G400" s="72"/>
      <x:c r="H400" s="72"/>
      <x:c r="I400" s="72"/>
      <x:c r="J400" s="72"/>
      <x:c r="K400" s="72"/>
      <x:c r="L400" s="72"/>
      <x:c r="M400" s="72"/>
      <x:c r="N400" s="72"/>
      <x:c r="O400" s="72"/>
      <x:c r="P400" s="72"/>
      <x:c r="Q400" s="72"/>
      <x:c r="R400" s="72"/>
      <x:c r="S400" s="72"/>
      <x:c r="T400" s="72"/>
      <x:c r="U400" s="72"/>
      <x:c r="V400" s="72"/>
      <x:c r="W400" s="72"/>
      <x:c r="X400" s="72"/>
      <x:c r="Y400" s="72"/>
      <x:c r="Z400" s="72"/>
      <x:c r="AA400" s="72"/>
      <x:c r="AB400" s="72"/>
      <x:c r="AC400" s="72"/>
      <x:c r="AD400" s="72"/>
      <x:c r="AE400" s="72"/>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x:c r="BN400" s="4"/>
      <x:c r="BO400" s="4"/>
      <x:c r="BP400" s="4"/>
      <x:c r="BQ400" s="4"/>
      <x:c r="BR400" s="4"/>
      <x:c r="BS400" s="4"/>
      <x:c r="BT400" s="4"/>
      <x:c r="BU400" s="4"/>
      <x:c r="BV400" s="4"/>
      <x:c r="BW400" s="4"/>
      <x:c r="BX400" s="4"/>
      <x:c r="BY400" s="4"/>
      <x:c r="BZ400" s="4"/>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x:c r="DB400" s="4"/>
      <x:c r="DC400" s="4"/>
      <x:c r="DD400" s="4"/>
      <x:c r="DE400" s="4"/>
      <x:c r="DF400" s="4"/>
      <x:c r="DG400" s="4"/>
      <x:c r="DH400" s="4"/>
      <x:c r="DI400" s="4"/>
      <x:c r="DJ400" s="4"/>
      <x:c r="DK400" s="4"/>
      <x:c r="DL400" s="4"/>
      <x:c r="DM400" s="4"/>
      <x:c r="DN400" s="4"/>
      <x:c r="DO400" s="4"/>
      <x:c r="DP400" s="4"/>
      <x:c r="DQ400" s="4"/>
      <x:c r="DR400" s="4"/>
      <x:c r="DS400" s="4"/>
      <x:c r="DT400" s="4"/>
      <x:c r="DU400" s="4"/>
      <x:c r="DV400" s="4"/>
      <x:c r="DW400" s="4"/>
      <x:c r="DX400" s="4"/>
      <x:c r="DY400" s="4"/>
      <x:c r="DZ400" s="4"/>
      <x:c r="EA400" s="4"/>
      <x:c r="EB400" s="4"/>
      <x:c r="EC400" s="4"/>
      <x:c r="ED400" s="4"/>
      <x:c r="EE400" s="4"/>
      <x:c r="EF400" s="4"/>
      <x:c r="EG400" s="4"/>
      <x:c r="EH400" s="4"/>
      <x:c r="EI400" s="4"/>
      <x:c r="EJ400" s="4"/>
      <x:c r="EK400" s="4"/>
      <x:c r="EL400" s="4"/>
      <x:c r="EM400" s="4"/>
      <x:c r="EN400" s="4"/>
      <x:c r="EO400" s="4"/>
      <x:c r="EP400" s="4"/>
      <x:c r="EQ400" s="4"/>
      <x:c r="ER400" s="4"/>
      <x:c r="ES400" s="4"/>
      <x:c r="ET400" s="4"/>
      <x:c r="EU400" s="4"/>
      <x:c r="EV400" s="4"/>
      <x:c r="EW400" s="4"/>
      <x:c r="EX400" s="4"/>
      <x:c r="EY400" s="4"/>
      <x:c r="EZ400" s="4"/>
      <x:c r="FA400" s="4"/>
      <x:c r="FB400" s="4"/>
      <x:c r="FC400" s="4"/>
      <x:c r="FD400" s="4"/>
      <x:c r="FE400" s="4"/>
      <x:c r="FF400" s="4"/>
      <x:c r="FG400" s="4"/>
      <x:c r="FH400" s="4"/>
      <x:c r="FI400" s="4"/>
      <x:c r="FJ400" s="4"/>
      <x:c r="FK400" s="4"/>
      <x:c r="FL400" s="4"/>
      <x:c r="FM400" s="4"/>
      <x:c r="FN400" s="4"/>
      <x:c r="FO400" s="4"/>
    </x:row>
    <x:row r="401">
      <x:c r="A401" s="72"/>
      <x:c r="B401" s="72"/>
      <x:c r="C401" s="72"/>
      <x:c r="D401" s="72"/>
      <x:c r="E401" s="72"/>
      <x:c r="F401" s="72"/>
      <x:c r="G401" s="72"/>
      <x:c r="H401" s="72"/>
      <x:c r="I401" s="72"/>
      <x:c r="J401" s="72"/>
      <x:c r="K401" s="72"/>
      <x:c r="L401" s="72"/>
      <x:c r="M401" s="72"/>
      <x:c r="N401" s="72"/>
      <x:c r="O401" s="72"/>
      <x:c r="P401" s="72"/>
      <x:c r="Q401" s="72"/>
      <x:c r="R401" s="72"/>
      <x:c r="S401" s="72"/>
      <x:c r="T401" s="72"/>
      <x:c r="U401" s="72"/>
      <x:c r="V401" s="72"/>
      <x:c r="W401" s="72"/>
      <x:c r="X401" s="72"/>
      <x:c r="Y401" s="72"/>
      <x:c r="Z401" s="72"/>
      <x:c r="AA401" s="72"/>
      <x:c r="AB401" s="72"/>
      <x:c r="AC401" s="72"/>
      <x:c r="AD401" s="72"/>
      <x:c r="AE401" s="72"/>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x:c r="BN401" s="4"/>
      <x:c r="BO401" s="4"/>
      <x:c r="BP401" s="4"/>
      <x:c r="BQ401" s="4"/>
      <x:c r="BR401" s="4"/>
      <x:c r="BS401" s="4"/>
      <x:c r="BT401" s="4"/>
      <x:c r="BU401" s="4"/>
      <x:c r="BV401" s="4"/>
      <x:c r="BW401" s="4"/>
      <x:c r="BX401" s="4"/>
      <x:c r="BY401" s="4"/>
      <x:c r="BZ401" s="4"/>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x:c r="DB401" s="4"/>
      <x:c r="DC401" s="4"/>
      <x:c r="DD401" s="4"/>
      <x:c r="DE401" s="4"/>
      <x:c r="DF401" s="4"/>
      <x:c r="DG401" s="4"/>
      <x:c r="DH401" s="4"/>
      <x:c r="DI401" s="4"/>
      <x:c r="DJ401" s="4"/>
      <x:c r="DK401" s="4"/>
      <x:c r="DL401" s="4"/>
      <x:c r="DM401" s="4"/>
      <x:c r="DN401" s="4"/>
      <x:c r="DO401" s="4"/>
      <x:c r="DP401" s="4"/>
      <x:c r="DQ401" s="4"/>
      <x:c r="DR401" s="4"/>
      <x:c r="DS401" s="4"/>
      <x:c r="DT401" s="4"/>
      <x:c r="DU401" s="4"/>
      <x:c r="DV401" s="4"/>
      <x:c r="DW401" s="4"/>
      <x:c r="DX401" s="4"/>
      <x:c r="DY401" s="4"/>
      <x:c r="DZ401" s="4"/>
      <x:c r="EA401" s="4"/>
      <x:c r="EB401" s="4"/>
      <x:c r="EC401" s="4"/>
      <x:c r="ED401" s="4"/>
      <x:c r="EE401" s="4"/>
      <x:c r="EF401" s="4"/>
      <x:c r="EG401" s="4"/>
      <x:c r="EH401" s="4"/>
      <x:c r="EI401" s="4"/>
      <x:c r="EJ401" s="4"/>
      <x:c r="EK401" s="4"/>
      <x:c r="EL401" s="4"/>
      <x:c r="EM401" s="4"/>
      <x:c r="EN401" s="4"/>
      <x:c r="EO401" s="4"/>
      <x:c r="EP401" s="4"/>
      <x:c r="EQ401" s="4"/>
      <x:c r="ER401" s="4"/>
      <x:c r="ES401" s="4"/>
      <x:c r="ET401" s="4"/>
      <x:c r="EU401" s="4"/>
      <x:c r="EV401" s="4"/>
      <x:c r="EW401" s="4"/>
      <x:c r="EX401" s="4"/>
      <x:c r="EY401" s="4"/>
      <x:c r="EZ401" s="4"/>
      <x:c r="FA401" s="4"/>
      <x:c r="FB401" s="4"/>
      <x:c r="FC401" s="4"/>
      <x:c r="FD401" s="4"/>
      <x:c r="FE401" s="4"/>
      <x:c r="FF401" s="4"/>
      <x:c r="FG401" s="4"/>
      <x:c r="FH401" s="4"/>
      <x:c r="FI401" s="4"/>
      <x:c r="FJ401" s="4"/>
      <x:c r="FK401" s="4"/>
      <x:c r="FL401" s="4"/>
      <x:c r="FM401" s="4"/>
      <x:c r="FN401" s="4"/>
      <x:c r="FO401" s="4"/>
    </x:row>
    <x:row r="402">
      <x:c r="A402" s="72"/>
      <x:c r="B402" s="72"/>
      <x:c r="C402" s="72"/>
      <x:c r="D402" s="72"/>
      <x:c r="E402" s="72"/>
      <x:c r="F402" s="72"/>
      <x:c r="G402" s="72"/>
      <x:c r="H402" s="72"/>
      <x:c r="I402" s="72"/>
      <x:c r="J402" s="72"/>
      <x:c r="K402" s="72"/>
      <x:c r="L402" s="72"/>
      <x:c r="M402" s="72"/>
      <x:c r="N402" s="72"/>
      <x:c r="O402" s="72"/>
      <x:c r="P402" s="72"/>
      <x:c r="Q402" s="72"/>
      <x:c r="R402" s="72"/>
      <x:c r="S402" s="72"/>
      <x:c r="T402" s="72"/>
      <x:c r="U402" s="72"/>
      <x:c r="V402" s="72"/>
      <x:c r="W402" s="72"/>
      <x:c r="X402" s="72"/>
      <x:c r="Y402" s="72"/>
      <x:c r="Z402" s="72"/>
      <x:c r="AA402" s="72"/>
      <x:c r="AB402" s="72"/>
      <x:c r="AC402" s="72"/>
      <x:c r="AD402" s="72"/>
      <x:c r="AE402" s="72"/>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x:c r="BN402" s="4"/>
      <x:c r="BO402" s="4"/>
      <x:c r="BP402" s="4"/>
      <x:c r="BQ402" s="4"/>
      <x:c r="BR402" s="4"/>
      <x:c r="BS402" s="4"/>
      <x:c r="BT402" s="4"/>
      <x:c r="BU402" s="4"/>
      <x:c r="BV402" s="4"/>
      <x:c r="BW402" s="4"/>
      <x:c r="BX402" s="4"/>
      <x:c r="BY402" s="4"/>
      <x:c r="BZ402" s="4"/>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x:c r="DB402" s="4"/>
      <x:c r="DC402" s="4"/>
      <x:c r="DD402" s="4"/>
      <x:c r="DE402" s="4"/>
      <x:c r="DF402" s="4"/>
      <x:c r="DG402" s="4"/>
      <x:c r="DH402" s="4"/>
      <x:c r="DI402" s="4"/>
      <x:c r="DJ402" s="4"/>
      <x:c r="DK402" s="4"/>
      <x:c r="DL402" s="4"/>
      <x:c r="DM402" s="4"/>
      <x:c r="DN402" s="4"/>
      <x:c r="DO402" s="4"/>
      <x:c r="DP402" s="4"/>
      <x:c r="DQ402" s="4"/>
      <x:c r="DR402" s="4"/>
      <x:c r="DS402" s="4"/>
      <x:c r="DT402" s="4"/>
      <x:c r="DU402" s="4"/>
      <x:c r="DV402" s="4"/>
      <x:c r="DW402" s="4"/>
      <x:c r="DX402" s="4"/>
      <x:c r="DY402" s="4"/>
      <x:c r="DZ402" s="4"/>
      <x:c r="EA402" s="4"/>
      <x:c r="EB402" s="4"/>
      <x:c r="EC402" s="4"/>
      <x:c r="ED402" s="4"/>
      <x:c r="EE402" s="4"/>
      <x:c r="EF402" s="4"/>
      <x:c r="EG402" s="4"/>
      <x:c r="EH402" s="4"/>
      <x:c r="EI402" s="4"/>
      <x:c r="EJ402" s="4"/>
      <x:c r="EK402" s="4"/>
      <x:c r="EL402" s="4"/>
      <x:c r="EM402" s="4"/>
      <x:c r="EN402" s="4"/>
      <x:c r="EO402" s="4"/>
      <x:c r="EP402" s="4"/>
      <x:c r="EQ402" s="4"/>
      <x:c r="ER402" s="4"/>
      <x:c r="ES402" s="4"/>
      <x:c r="ET402" s="4"/>
      <x:c r="EU402" s="4"/>
      <x:c r="EV402" s="4"/>
      <x:c r="EW402" s="4"/>
      <x:c r="EX402" s="4"/>
      <x:c r="EY402" s="4"/>
      <x:c r="EZ402" s="4"/>
      <x:c r="FA402" s="4"/>
      <x:c r="FB402" s="4"/>
      <x:c r="FC402" s="4"/>
      <x:c r="FD402" s="4"/>
      <x:c r="FE402" s="4"/>
      <x:c r="FF402" s="4"/>
      <x:c r="FG402" s="4"/>
      <x:c r="FH402" s="4"/>
      <x:c r="FI402" s="4"/>
      <x:c r="FJ402" s="4"/>
      <x:c r="FK402" s="4"/>
      <x:c r="FL402" s="4"/>
      <x:c r="FM402" s="4"/>
      <x:c r="FN402" s="4"/>
      <x:c r="FO402" s="4"/>
    </x:row>
    <x:row r="403">
      <x:c r="A403" s="72"/>
      <x:c r="B403" s="72"/>
      <x:c r="C403" s="72"/>
      <x:c r="D403" s="72"/>
      <x:c r="E403" s="72"/>
      <x:c r="F403" s="72"/>
      <x:c r="G403" s="72"/>
      <x:c r="H403" s="72"/>
      <x:c r="I403" s="72"/>
      <x:c r="J403" s="72"/>
      <x:c r="K403" s="72"/>
      <x:c r="L403" s="72"/>
      <x:c r="M403" s="72"/>
      <x:c r="N403" s="72"/>
      <x:c r="O403" s="72"/>
      <x:c r="P403" s="72"/>
      <x:c r="Q403" s="72"/>
      <x:c r="R403" s="72"/>
      <x:c r="S403" s="72"/>
      <x:c r="T403" s="72"/>
      <x:c r="U403" s="72"/>
      <x:c r="V403" s="72"/>
      <x:c r="W403" s="72"/>
      <x:c r="X403" s="72"/>
      <x:c r="Y403" s="72"/>
      <x:c r="Z403" s="72"/>
      <x:c r="AA403" s="72"/>
      <x:c r="AB403" s="72"/>
      <x:c r="AC403" s="72"/>
      <x:c r="AD403" s="72"/>
      <x:c r="AE403" s="72"/>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x:c r="BN403" s="4"/>
      <x:c r="BO403" s="4"/>
      <x:c r="BP403" s="4"/>
      <x:c r="BQ403" s="4"/>
      <x:c r="BR403" s="4"/>
      <x:c r="BS403" s="4"/>
      <x:c r="BT403" s="4"/>
      <x:c r="BU403" s="4"/>
      <x:c r="BV403" s="4"/>
      <x:c r="BW403" s="4"/>
      <x:c r="BX403" s="4"/>
      <x:c r="BY403" s="4"/>
      <x:c r="BZ403" s="4"/>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x:c r="DB403" s="4"/>
      <x:c r="DC403" s="4"/>
      <x:c r="DD403" s="4"/>
      <x:c r="DE403" s="4"/>
      <x:c r="DF403" s="4"/>
      <x:c r="DG403" s="4"/>
      <x:c r="DH403" s="4"/>
      <x:c r="DI403" s="4"/>
      <x:c r="DJ403" s="4"/>
      <x:c r="DK403" s="4"/>
      <x:c r="DL403" s="4"/>
      <x:c r="DM403" s="4"/>
      <x:c r="DN403" s="4"/>
      <x:c r="DO403" s="4"/>
      <x:c r="DP403" s="4"/>
      <x:c r="DQ403" s="4"/>
      <x:c r="DR403" s="4"/>
      <x:c r="DS403" s="4"/>
      <x:c r="DT403" s="4"/>
      <x:c r="DU403" s="4"/>
      <x:c r="DV403" s="4"/>
      <x:c r="DW403" s="4"/>
      <x:c r="DX403" s="4"/>
      <x:c r="DY403" s="4"/>
      <x:c r="DZ403" s="4"/>
      <x:c r="EA403" s="4"/>
      <x:c r="EB403" s="4"/>
      <x:c r="EC403" s="4"/>
      <x:c r="ED403" s="4"/>
      <x:c r="EE403" s="4"/>
      <x:c r="EF403" s="4"/>
      <x:c r="EG403" s="4"/>
      <x:c r="EH403" s="4"/>
      <x:c r="EI403" s="4"/>
      <x:c r="EJ403" s="4"/>
      <x:c r="EK403" s="4"/>
      <x:c r="EL403" s="4"/>
      <x:c r="EM403" s="4"/>
      <x:c r="EN403" s="4"/>
      <x:c r="EO403" s="4"/>
      <x:c r="EP403" s="4"/>
      <x:c r="EQ403" s="4"/>
      <x:c r="ER403" s="4"/>
      <x:c r="ES403" s="4"/>
      <x:c r="ET403" s="4"/>
      <x:c r="EU403" s="4"/>
      <x:c r="EV403" s="4"/>
      <x:c r="EW403" s="4"/>
      <x:c r="EX403" s="4"/>
      <x:c r="EY403" s="4"/>
      <x:c r="EZ403" s="4"/>
      <x:c r="FA403" s="4"/>
      <x:c r="FB403" s="4"/>
      <x:c r="FC403" s="4"/>
      <x:c r="FD403" s="4"/>
      <x:c r="FE403" s="4"/>
      <x:c r="FF403" s="4"/>
      <x:c r="FG403" s="4"/>
      <x:c r="FH403" s="4"/>
      <x:c r="FI403" s="4"/>
      <x:c r="FJ403" s="4"/>
      <x:c r="FK403" s="4"/>
      <x:c r="FL403" s="4"/>
      <x:c r="FM403" s="4"/>
      <x:c r="FN403" s="4"/>
      <x:c r="FO403" s="4"/>
    </x:row>
    <x:row r="404">
      <x:c r="A404" s="72"/>
      <x:c r="B404" s="72"/>
      <x:c r="C404" s="72"/>
      <x:c r="D404" s="72"/>
      <x:c r="E404" s="72"/>
      <x:c r="F404" s="72"/>
      <x:c r="G404" s="72"/>
      <x:c r="H404" s="72"/>
      <x:c r="I404" s="72"/>
      <x:c r="J404" s="72"/>
      <x:c r="K404" s="72"/>
      <x:c r="L404" s="72"/>
      <x:c r="M404" s="72"/>
      <x:c r="N404" s="72"/>
      <x:c r="O404" s="72"/>
      <x:c r="P404" s="72"/>
      <x:c r="Q404" s="72"/>
      <x:c r="R404" s="72"/>
      <x:c r="S404" s="72"/>
      <x:c r="T404" s="72"/>
      <x:c r="U404" s="72"/>
      <x:c r="V404" s="72"/>
      <x:c r="W404" s="72"/>
      <x:c r="X404" s="72"/>
      <x:c r="Y404" s="72"/>
      <x:c r="Z404" s="72"/>
      <x:c r="AA404" s="72"/>
      <x:c r="AB404" s="72"/>
      <x:c r="AC404" s="72"/>
      <x:c r="AD404" s="72"/>
      <x:c r="AE404" s="72"/>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x:c r="BN404" s="4"/>
      <x:c r="BO404" s="4"/>
      <x:c r="BP404" s="4"/>
      <x:c r="BQ404" s="4"/>
      <x:c r="BR404" s="4"/>
      <x:c r="BS404" s="4"/>
      <x:c r="BT404" s="4"/>
      <x:c r="BU404" s="4"/>
      <x:c r="BV404" s="4"/>
      <x:c r="BW404" s="4"/>
      <x:c r="BX404" s="4"/>
      <x:c r="BY404" s="4"/>
      <x:c r="BZ404" s="4"/>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x:c r="DB404" s="4"/>
      <x:c r="DC404" s="4"/>
      <x:c r="DD404" s="4"/>
      <x:c r="DE404" s="4"/>
      <x:c r="DF404" s="4"/>
      <x:c r="DG404" s="4"/>
      <x:c r="DH404" s="4"/>
      <x:c r="DI404" s="4"/>
      <x:c r="DJ404" s="4"/>
      <x:c r="DK404" s="4"/>
      <x:c r="DL404" s="4"/>
      <x:c r="DM404" s="4"/>
      <x:c r="DN404" s="4"/>
      <x:c r="DO404" s="4"/>
      <x:c r="DP404" s="4"/>
      <x:c r="DQ404" s="4"/>
      <x:c r="DR404" s="4"/>
      <x:c r="DS404" s="4"/>
      <x:c r="DT404" s="4"/>
      <x:c r="DU404" s="4"/>
      <x:c r="DV404" s="4"/>
      <x:c r="DW404" s="4"/>
      <x:c r="DX404" s="4"/>
      <x:c r="DY404" s="4"/>
      <x:c r="DZ404" s="4"/>
      <x:c r="EA404" s="4"/>
      <x:c r="EB404" s="4"/>
      <x:c r="EC404" s="4"/>
      <x:c r="ED404" s="4"/>
      <x:c r="EE404" s="4"/>
      <x:c r="EF404" s="4"/>
      <x:c r="EG404" s="4"/>
      <x:c r="EH404" s="4"/>
      <x:c r="EI404" s="4"/>
      <x:c r="EJ404" s="4"/>
      <x:c r="EK404" s="4"/>
      <x:c r="EL404" s="4"/>
      <x:c r="EM404" s="4"/>
      <x:c r="EN404" s="4"/>
      <x:c r="EO404" s="4"/>
      <x:c r="EP404" s="4"/>
      <x:c r="EQ404" s="4"/>
      <x:c r="ER404" s="4"/>
      <x:c r="ES404" s="4"/>
      <x:c r="ET404" s="4"/>
      <x:c r="EU404" s="4"/>
      <x:c r="EV404" s="4"/>
      <x:c r="EW404" s="4"/>
      <x:c r="EX404" s="4"/>
      <x:c r="EY404" s="4"/>
      <x:c r="EZ404" s="4"/>
      <x:c r="FA404" s="4"/>
      <x:c r="FB404" s="4"/>
      <x:c r="FC404" s="4"/>
      <x:c r="FD404" s="4"/>
      <x:c r="FE404" s="4"/>
      <x:c r="FF404" s="4"/>
      <x:c r="FG404" s="4"/>
      <x:c r="FH404" s="4"/>
      <x:c r="FI404" s="4"/>
      <x:c r="FJ404" s="4"/>
      <x:c r="FK404" s="4"/>
      <x:c r="FL404" s="4"/>
      <x:c r="FM404" s="4"/>
      <x:c r="FN404" s="4"/>
      <x:c r="FO404" s="4"/>
    </x:row>
    <x:row r="405">
      <x:c r="A405" s="72"/>
      <x:c r="B405" s="72"/>
      <x:c r="C405" s="72"/>
      <x:c r="D405" s="72"/>
      <x:c r="E405" s="72"/>
      <x:c r="F405" s="72"/>
      <x:c r="G405" s="72"/>
      <x:c r="H405" s="72"/>
      <x:c r="I405" s="72"/>
      <x:c r="J405" s="72"/>
      <x:c r="K405" s="72"/>
      <x:c r="L405" s="72"/>
      <x:c r="M405" s="72"/>
      <x:c r="N405" s="72"/>
      <x:c r="O405" s="72"/>
      <x:c r="P405" s="72"/>
      <x:c r="Q405" s="72"/>
      <x:c r="R405" s="72"/>
      <x:c r="S405" s="72"/>
      <x:c r="T405" s="72"/>
      <x:c r="U405" s="72"/>
      <x:c r="V405" s="72"/>
      <x:c r="W405" s="72"/>
      <x:c r="X405" s="72"/>
      <x:c r="Y405" s="72"/>
      <x:c r="Z405" s="72"/>
      <x:c r="AA405" s="72"/>
      <x:c r="AB405" s="72"/>
      <x:c r="AC405" s="72"/>
      <x:c r="AD405" s="72"/>
      <x:c r="AE405" s="72"/>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x:c r="BN405" s="4"/>
      <x:c r="BO405" s="4"/>
      <x:c r="BP405" s="4"/>
      <x:c r="BQ405" s="4"/>
      <x:c r="BR405" s="4"/>
      <x:c r="BS405" s="4"/>
      <x:c r="BT405" s="4"/>
      <x:c r="BU405" s="4"/>
      <x:c r="BV405" s="4"/>
      <x:c r="BW405" s="4"/>
      <x:c r="BX405" s="4"/>
      <x:c r="BY405" s="4"/>
      <x:c r="BZ405" s="4"/>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x:c r="DB405" s="4"/>
      <x:c r="DC405" s="4"/>
      <x:c r="DD405" s="4"/>
      <x:c r="DE405" s="4"/>
      <x:c r="DF405" s="4"/>
      <x:c r="DG405" s="4"/>
      <x:c r="DH405" s="4"/>
      <x:c r="DI405" s="4"/>
      <x:c r="DJ405" s="4"/>
      <x:c r="DK405" s="4"/>
      <x:c r="DL405" s="4"/>
      <x:c r="DM405" s="4"/>
      <x:c r="DN405" s="4"/>
      <x:c r="DO405" s="4"/>
      <x:c r="DP405" s="4"/>
      <x:c r="DQ405" s="4"/>
      <x:c r="DR405" s="4"/>
      <x:c r="DS405" s="4"/>
      <x:c r="DT405" s="4"/>
      <x:c r="DU405" s="4"/>
      <x:c r="DV405" s="4"/>
      <x:c r="DW405" s="4"/>
      <x:c r="DX405" s="4"/>
      <x:c r="DY405" s="4"/>
      <x:c r="DZ405" s="4"/>
      <x:c r="EA405" s="4"/>
      <x:c r="EB405" s="4"/>
      <x:c r="EC405" s="4"/>
      <x:c r="ED405" s="4"/>
      <x:c r="EE405" s="4"/>
      <x:c r="EF405" s="4"/>
      <x:c r="EG405" s="4"/>
      <x:c r="EH405" s="4"/>
      <x:c r="EI405" s="4"/>
      <x:c r="EJ405" s="4"/>
      <x:c r="EK405" s="4"/>
      <x:c r="EL405" s="4"/>
      <x:c r="EM405" s="4"/>
      <x:c r="EN405" s="4"/>
      <x:c r="EO405" s="4"/>
      <x:c r="EP405" s="4"/>
      <x:c r="EQ405" s="4"/>
      <x:c r="ER405" s="4"/>
      <x:c r="ES405" s="4"/>
      <x:c r="ET405" s="4"/>
      <x:c r="EU405" s="4"/>
      <x:c r="EV405" s="4"/>
      <x:c r="EW405" s="4"/>
      <x:c r="EX405" s="4"/>
      <x:c r="EY405" s="4"/>
      <x:c r="EZ405" s="4"/>
      <x:c r="FA405" s="4"/>
      <x:c r="FB405" s="4"/>
      <x:c r="FC405" s="4"/>
      <x:c r="FD405" s="4"/>
      <x:c r="FE405" s="4"/>
      <x:c r="FF405" s="4"/>
      <x:c r="FG405" s="4"/>
      <x:c r="FH405" s="4"/>
      <x:c r="FI405" s="4"/>
      <x:c r="FJ405" s="4"/>
      <x:c r="FK405" s="4"/>
      <x:c r="FL405" s="4"/>
      <x:c r="FM405" s="4"/>
      <x:c r="FN405" s="4"/>
      <x:c r="FO405" s="4"/>
    </x:row>
    <x:row r="406">
      <x:c r="A406" s="72"/>
      <x:c r="B406" s="72"/>
      <x:c r="C406" s="72"/>
      <x:c r="D406" s="72"/>
      <x:c r="E406" s="72"/>
      <x:c r="F406" s="72"/>
      <x:c r="G406" s="72"/>
      <x:c r="H406" s="72"/>
      <x:c r="I406" s="72"/>
      <x:c r="J406" s="72"/>
      <x:c r="K406" s="72"/>
      <x:c r="L406" s="72"/>
      <x:c r="M406" s="72"/>
      <x:c r="N406" s="72"/>
      <x:c r="O406" s="72"/>
      <x:c r="P406" s="72"/>
      <x:c r="Q406" s="72"/>
      <x:c r="R406" s="72"/>
      <x:c r="S406" s="72"/>
      <x:c r="T406" s="72"/>
      <x:c r="U406" s="72"/>
      <x:c r="V406" s="72"/>
      <x:c r="W406" s="72"/>
      <x:c r="X406" s="72"/>
      <x:c r="Y406" s="72"/>
      <x:c r="Z406" s="72"/>
      <x:c r="AA406" s="72"/>
      <x:c r="AB406" s="72"/>
      <x:c r="AC406" s="72"/>
      <x:c r="AD406" s="72"/>
      <x:c r="AE406" s="72"/>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x:c r="BN406" s="4"/>
      <x:c r="BO406" s="4"/>
      <x:c r="BP406" s="4"/>
      <x:c r="BQ406" s="4"/>
      <x:c r="BR406" s="4"/>
      <x:c r="BS406" s="4"/>
      <x:c r="BT406" s="4"/>
      <x:c r="BU406" s="4"/>
      <x:c r="BV406" s="4"/>
      <x:c r="BW406" s="4"/>
      <x:c r="BX406" s="4"/>
      <x:c r="BY406" s="4"/>
      <x:c r="BZ406" s="4"/>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x:c r="DB406" s="4"/>
      <x:c r="DC406" s="4"/>
      <x:c r="DD406" s="4"/>
      <x:c r="DE406" s="4"/>
      <x:c r="DF406" s="4"/>
      <x:c r="DG406" s="4"/>
      <x:c r="DH406" s="4"/>
      <x:c r="DI406" s="4"/>
      <x:c r="DJ406" s="4"/>
      <x:c r="DK406" s="4"/>
      <x:c r="DL406" s="4"/>
      <x:c r="DM406" s="4"/>
      <x:c r="DN406" s="4"/>
      <x:c r="DO406" s="4"/>
      <x:c r="DP406" s="4"/>
      <x:c r="DQ406" s="4"/>
      <x:c r="DR406" s="4"/>
      <x:c r="DS406" s="4"/>
      <x:c r="DT406" s="4"/>
      <x:c r="DU406" s="4"/>
      <x:c r="DV406" s="4"/>
      <x:c r="DW406" s="4"/>
      <x:c r="DX406" s="4"/>
      <x:c r="DY406" s="4"/>
      <x:c r="DZ406" s="4"/>
      <x:c r="EA406" s="4"/>
      <x:c r="EB406" s="4"/>
      <x:c r="EC406" s="4"/>
      <x:c r="ED406" s="4"/>
      <x:c r="EE406" s="4"/>
      <x:c r="EF406" s="4"/>
      <x:c r="EG406" s="4"/>
      <x:c r="EH406" s="4"/>
      <x:c r="EI406" s="4"/>
      <x:c r="EJ406" s="4"/>
      <x:c r="EK406" s="4"/>
      <x:c r="EL406" s="4"/>
      <x:c r="EM406" s="4"/>
      <x:c r="EN406" s="4"/>
      <x:c r="EO406" s="4"/>
      <x:c r="EP406" s="4"/>
      <x:c r="EQ406" s="4"/>
      <x:c r="ER406" s="4"/>
      <x:c r="ES406" s="4"/>
      <x:c r="ET406" s="4"/>
      <x:c r="EU406" s="4"/>
      <x:c r="EV406" s="4"/>
      <x:c r="EW406" s="4"/>
      <x:c r="EX406" s="4"/>
      <x:c r="EY406" s="4"/>
      <x:c r="EZ406" s="4"/>
      <x:c r="FA406" s="4"/>
      <x:c r="FB406" s="4"/>
      <x:c r="FC406" s="4"/>
      <x:c r="FD406" s="4"/>
      <x:c r="FE406" s="4"/>
      <x:c r="FF406" s="4"/>
      <x:c r="FG406" s="4"/>
      <x:c r="FH406" s="4"/>
      <x:c r="FI406" s="4"/>
      <x:c r="FJ406" s="4"/>
      <x:c r="FK406" s="4"/>
      <x:c r="FL406" s="4"/>
      <x:c r="FM406" s="4"/>
      <x:c r="FN406" s="4"/>
      <x:c r="FO406" s="4"/>
    </x:row>
    <x:row r="407">
      <x:c r="A407" s="72"/>
      <x:c r="B407" s="72"/>
      <x:c r="C407" s="72"/>
      <x:c r="D407" s="72"/>
      <x:c r="E407" s="72"/>
      <x:c r="F407" s="72"/>
      <x:c r="G407" s="72"/>
      <x:c r="H407" s="72"/>
      <x:c r="I407" s="72"/>
      <x:c r="J407" s="72"/>
      <x:c r="K407" s="72"/>
      <x:c r="L407" s="72"/>
      <x:c r="M407" s="72"/>
      <x:c r="N407" s="72"/>
      <x:c r="O407" s="72"/>
      <x:c r="P407" s="72"/>
      <x:c r="Q407" s="72"/>
      <x:c r="R407" s="72"/>
      <x:c r="S407" s="72"/>
      <x:c r="T407" s="72"/>
      <x:c r="U407" s="72"/>
      <x:c r="V407" s="72"/>
      <x:c r="W407" s="72"/>
      <x:c r="X407" s="72"/>
      <x:c r="Y407" s="72"/>
      <x:c r="Z407" s="72"/>
      <x:c r="AA407" s="72"/>
      <x:c r="AB407" s="72"/>
      <x:c r="AC407" s="72"/>
      <x:c r="AD407" s="72"/>
      <x:c r="AE407" s="72"/>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x:c r="BN407" s="4"/>
      <x:c r="BO407" s="4"/>
      <x:c r="BP407" s="4"/>
      <x:c r="BQ407" s="4"/>
      <x:c r="BR407" s="4"/>
      <x:c r="BS407" s="4"/>
      <x:c r="BT407" s="4"/>
      <x:c r="BU407" s="4"/>
      <x:c r="BV407" s="4"/>
      <x:c r="BW407" s="4"/>
      <x:c r="BX407" s="4"/>
      <x:c r="BY407" s="4"/>
      <x:c r="BZ407" s="4"/>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x:c r="DB407" s="4"/>
      <x:c r="DC407" s="4"/>
      <x:c r="DD407" s="4"/>
      <x:c r="DE407" s="4"/>
      <x:c r="DF407" s="4"/>
      <x:c r="DG407" s="4"/>
      <x:c r="DH407" s="4"/>
      <x:c r="DI407" s="4"/>
      <x:c r="DJ407" s="4"/>
      <x:c r="DK407" s="4"/>
      <x:c r="DL407" s="4"/>
      <x:c r="DM407" s="4"/>
      <x:c r="DN407" s="4"/>
      <x:c r="DO407" s="4"/>
      <x:c r="DP407" s="4"/>
      <x:c r="DQ407" s="4"/>
      <x:c r="DR407" s="4"/>
      <x:c r="DS407" s="4"/>
      <x:c r="DT407" s="4"/>
      <x:c r="DU407" s="4"/>
      <x:c r="DV407" s="4"/>
      <x:c r="DW407" s="4"/>
      <x:c r="DX407" s="4"/>
      <x:c r="DY407" s="4"/>
      <x:c r="DZ407" s="4"/>
      <x:c r="EA407" s="4"/>
      <x:c r="EB407" s="4"/>
      <x:c r="EC407" s="4"/>
      <x:c r="ED407" s="4"/>
      <x:c r="EE407" s="4"/>
      <x:c r="EF407" s="4"/>
      <x:c r="EG407" s="4"/>
      <x:c r="EH407" s="4"/>
      <x:c r="EI407" s="4"/>
      <x:c r="EJ407" s="4"/>
      <x:c r="EK407" s="4"/>
      <x:c r="EL407" s="4"/>
      <x:c r="EM407" s="4"/>
      <x:c r="EN407" s="4"/>
      <x:c r="EO407" s="4"/>
      <x:c r="EP407" s="4"/>
      <x:c r="EQ407" s="4"/>
      <x:c r="ER407" s="4"/>
      <x:c r="ES407" s="4"/>
      <x:c r="ET407" s="4"/>
      <x:c r="EU407" s="4"/>
      <x:c r="EV407" s="4"/>
      <x:c r="EW407" s="4"/>
      <x:c r="EX407" s="4"/>
      <x:c r="EY407" s="4"/>
      <x:c r="EZ407" s="4"/>
      <x:c r="FA407" s="4"/>
      <x:c r="FB407" s="4"/>
      <x:c r="FC407" s="4"/>
      <x:c r="FD407" s="4"/>
      <x:c r="FE407" s="4"/>
      <x:c r="FF407" s="4"/>
      <x:c r="FG407" s="4"/>
      <x:c r="FH407" s="4"/>
      <x:c r="FI407" s="4"/>
      <x:c r="FJ407" s="4"/>
      <x:c r="FK407" s="4"/>
      <x:c r="FL407" s="4"/>
      <x:c r="FM407" s="4"/>
      <x:c r="FN407" s="4"/>
      <x:c r="FO407" s="4"/>
    </x:row>
    <x:row r="408">
      <x:c r="A408" s="72"/>
      <x:c r="B408" s="72"/>
      <x:c r="C408" s="72"/>
      <x:c r="D408" s="72"/>
      <x:c r="E408" s="72"/>
      <x:c r="F408" s="72"/>
      <x:c r="G408" s="72"/>
      <x:c r="H408" s="72"/>
      <x:c r="I408" s="72"/>
      <x:c r="J408" s="72"/>
      <x:c r="K408" s="72"/>
      <x:c r="L408" s="72"/>
      <x:c r="M408" s="72"/>
      <x:c r="N408" s="72"/>
      <x:c r="O408" s="72"/>
      <x:c r="P408" s="72"/>
      <x:c r="Q408" s="72"/>
      <x:c r="R408" s="72"/>
      <x:c r="S408" s="72"/>
      <x:c r="T408" s="72"/>
      <x:c r="U408" s="72"/>
      <x:c r="V408" s="72"/>
      <x:c r="W408" s="72"/>
      <x:c r="X408" s="72"/>
      <x:c r="Y408" s="72"/>
      <x:c r="Z408" s="72"/>
      <x:c r="AA408" s="72"/>
      <x:c r="AB408" s="72"/>
      <x:c r="AC408" s="72"/>
      <x:c r="AD408" s="72"/>
      <x:c r="AE408" s="72"/>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x:c r="BN408" s="4"/>
      <x:c r="BO408" s="4"/>
      <x:c r="BP408" s="4"/>
      <x:c r="BQ408" s="4"/>
      <x:c r="BR408" s="4"/>
      <x:c r="BS408" s="4"/>
      <x:c r="BT408" s="4"/>
      <x:c r="BU408" s="4"/>
      <x:c r="BV408" s="4"/>
      <x:c r="BW408" s="4"/>
      <x:c r="BX408" s="4"/>
      <x:c r="BY408" s="4"/>
      <x:c r="BZ408" s="4"/>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x:c r="DB408" s="4"/>
      <x:c r="DC408" s="4"/>
      <x:c r="DD408" s="4"/>
      <x:c r="DE408" s="4"/>
      <x:c r="DF408" s="4"/>
      <x:c r="DG408" s="4"/>
      <x:c r="DH408" s="4"/>
      <x:c r="DI408" s="4"/>
      <x:c r="DJ408" s="4"/>
      <x:c r="DK408" s="4"/>
      <x:c r="DL408" s="4"/>
      <x:c r="DM408" s="4"/>
      <x:c r="DN408" s="4"/>
      <x:c r="DO408" s="4"/>
      <x:c r="DP408" s="4"/>
      <x:c r="DQ408" s="4"/>
      <x:c r="DR408" s="4"/>
      <x:c r="DS408" s="4"/>
      <x:c r="DT408" s="4"/>
      <x:c r="DU408" s="4"/>
      <x:c r="DV408" s="4"/>
      <x:c r="DW408" s="4"/>
      <x:c r="DX408" s="4"/>
      <x:c r="DY408" s="4"/>
      <x:c r="DZ408" s="4"/>
      <x:c r="EA408" s="4"/>
      <x:c r="EB408" s="4"/>
      <x:c r="EC408" s="4"/>
      <x:c r="ED408" s="4"/>
      <x:c r="EE408" s="4"/>
      <x:c r="EF408" s="4"/>
      <x:c r="EG408" s="4"/>
      <x:c r="EH408" s="4"/>
      <x:c r="EI408" s="4"/>
      <x:c r="EJ408" s="4"/>
      <x:c r="EK408" s="4"/>
      <x:c r="EL408" s="4"/>
      <x:c r="EM408" s="4"/>
      <x:c r="EN408" s="4"/>
      <x:c r="EO408" s="4"/>
      <x:c r="EP408" s="4"/>
      <x:c r="EQ408" s="4"/>
      <x:c r="ER408" s="4"/>
      <x:c r="ES408" s="4"/>
      <x:c r="ET408" s="4"/>
      <x:c r="EU408" s="4"/>
      <x:c r="EV408" s="4"/>
      <x:c r="EW408" s="4"/>
      <x:c r="EX408" s="4"/>
      <x:c r="EY408" s="4"/>
      <x:c r="EZ408" s="4"/>
      <x:c r="FA408" s="4"/>
      <x:c r="FB408" s="4"/>
      <x:c r="FC408" s="4"/>
      <x:c r="FD408" s="4"/>
      <x:c r="FE408" s="4"/>
      <x:c r="FF408" s="4"/>
      <x:c r="FG408" s="4"/>
      <x:c r="FH408" s="4"/>
      <x:c r="FI408" s="4"/>
      <x:c r="FJ408" s="4"/>
      <x:c r="FK408" s="4"/>
      <x:c r="FL408" s="4"/>
      <x:c r="FM408" s="4"/>
      <x:c r="FN408" s="4"/>
      <x:c r="FO408" s="4"/>
    </x:row>
    <x:row r="409">
      <x:c r="A409" s="72"/>
      <x:c r="B409" s="72"/>
      <x:c r="C409" s="72"/>
      <x:c r="D409" s="72"/>
      <x:c r="E409" s="72"/>
      <x:c r="F409" s="72"/>
      <x:c r="G409" s="72"/>
      <x:c r="H409" s="72"/>
      <x:c r="I409" s="72"/>
      <x:c r="J409" s="72"/>
      <x:c r="K409" s="72"/>
      <x:c r="L409" s="72"/>
      <x:c r="M409" s="72"/>
      <x:c r="N409" s="72"/>
      <x:c r="O409" s="72"/>
      <x:c r="P409" s="72"/>
      <x:c r="Q409" s="72"/>
      <x:c r="R409" s="72"/>
      <x:c r="S409" s="72"/>
      <x:c r="T409" s="72"/>
      <x:c r="U409" s="72"/>
      <x:c r="V409" s="72"/>
      <x:c r="W409" s="72"/>
      <x:c r="X409" s="72"/>
      <x:c r="Y409" s="72"/>
      <x:c r="Z409" s="72"/>
      <x:c r="AA409" s="72"/>
      <x:c r="AB409" s="72"/>
      <x:c r="AC409" s="72"/>
      <x:c r="AD409" s="72"/>
      <x:c r="AE409" s="72"/>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x:c r="BN409" s="4"/>
      <x:c r="BO409" s="4"/>
      <x:c r="BP409" s="4"/>
      <x:c r="BQ409" s="4"/>
      <x:c r="BR409" s="4"/>
      <x:c r="BS409" s="4"/>
      <x:c r="BT409" s="4"/>
      <x:c r="BU409" s="4"/>
      <x:c r="BV409" s="4"/>
      <x:c r="BW409" s="4"/>
      <x:c r="BX409" s="4"/>
      <x:c r="BY409" s="4"/>
      <x:c r="BZ409" s="4"/>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x:c r="DB409" s="4"/>
      <x:c r="DC409" s="4"/>
      <x:c r="DD409" s="4"/>
      <x:c r="DE409" s="4"/>
      <x:c r="DF409" s="4"/>
      <x:c r="DG409" s="4"/>
      <x:c r="DH409" s="4"/>
      <x:c r="DI409" s="4"/>
      <x:c r="DJ409" s="4"/>
      <x:c r="DK409" s="4"/>
      <x:c r="DL409" s="4"/>
      <x:c r="DM409" s="4"/>
      <x:c r="DN409" s="4"/>
      <x:c r="DO409" s="4"/>
      <x:c r="DP409" s="4"/>
      <x:c r="DQ409" s="4"/>
      <x:c r="DR409" s="4"/>
      <x:c r="DS409" s="4"/>
      <x:c r="DT409" s="4"/>
      <x:c r="DU409" s="4"/>
      <x:c r="DV409" s="4"/>
      <x:c r="DW409" s="4"/>
      <x:c r="DX409" s="4"/>
      <x:c r="DY409" s="4"/>
      <x:c r="DZ409" s="4"/>
      <x:c r="EA409" s="4"/>
      <x:c r="EB409" s="4"/>
      <x:c r="EC409" s="4"/>
      <x:c r="ED409" s="4"/>
      <x:c r="EE409" s="4"/>
      <x:c r="EF409" s="4"/>
      <x:c r="EG409" s="4"/>
      <x:c r="EH409" s="4"/>
      <x:c r="EI409" s="4"/>
      <x:c r="EJ409" s="4"/>
      <x:c r="EK409" s="4"/>
      <x:c r="EL409" s="4"/>
      <x:c r="EM409" s="4"/>
      <x:c r="EN409" s="4"/>
      <x:c r="EO409" s="4"/>
      <x:c r="EP409" s="4"/>
      <x:c r="EQ409" s="4"/>
      <x:c r="ER409" s="4"/>
      <x:c r="ES409" s="4"/>
      <x:c r="ET409" s="4"/>
      <x:c r="EU409" s="4"/>
      <x:c r="EV409" s="4"/>
      <x:c r="EW409" s="4"/>
      <x:c r="EX409" s="4"/>
      <x:c r="EY409" s="4"/>
      <x:c r="EZ409" s="4"/>
      <x:c r="FA409" s="4"/>
      <x:c r="FB409" s="4"/>
      <x:c r="FC409" s="4"/>
      <x:c r="FD409" s="4"/>
      <x:c r="FE409" s="4"/>
      <x:c r="FF409" s="4"/>
      <x:c r="FG409" s="4"/>
      <x:c r="FH409" s="4"/>
      <x:c r="FI409" s="4"/>
      <x:c r="FJ409" s="4"/>
      <x:c r="FK409" s="4"/>
      <x:c r="FL409" s="4"/>
      <x:c r="FM409" s="4"/>
      <x:c r="FN409" s="4"/>
      <x:c r="FO409" s="4"/>
    </x:row>
    <x:row r="410">
      <x:c r="A410" s="72"/>
      <x:c r="B410" s="72"/>
      <x:c r="C410" s="72"/>
      <x:c r="D410" s="72"/>
      <x:c r="E410" s="72"/>
      <x:c r="F410" s="72"/>
      <x:c r="G410" s="72"/>
      <x:c r="H410" s="72"/>
      <x:c r="I410" s="72"/>
      <x:c r="J410" s="72"/>
      <x:c r="K410" s="72"/>
      <x:c r="L410" s="72"/>
      <x:c r="M410" s="72"/>
      <x:c r="N410" s="72"/>
      <x:c r="O410" s="72"/>
      <x:c r="P410" s="72"/>
      <x:c r="Q410" s="72"/>
      <x:c r="R410" s="72"/>
      <x:c r="S410" s="72"/>
      <x:c r="T410" s="72"/>
      <x:c r="U410" s="72"/>
      <x:c r="V410" s="72"/>
      <x:c r="W410" s="72"/>
      <x:c r="X410" s="72"/>
      <x:c r="Y410" s="72"/>
      <x:c r="Z410" s="72"/>
      <x:c r="AA410" s="72"/>
      <x:c r="AB410" s="72"/>
      <x:c r="AC410" s="72"/>
      <x:c r="AD410" s="72"/>
      <x:c r="AE410" s="72"/>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x:c r="BN410" s="4"/>
      <x:c r="BO410" s="4"/>
      <x:c r="BP410" s="4"/>
      <x:c r="BQ410" s="4"/>
      <x:c r="BR410" s="4"/>
      <x:c r="BS410" s="4"/>
      <x:c r="BT410" s="4"/>
      <x:c r="BU410" s="4"/>
      <x:c r="BV410" s="4"/>
      <x:c r="BW410" s="4"/>
      <x:c r="BX410" s="4"/>
      <x:c r="BY410" s="4"/>
      <x:c r="BZ410" s="4"/>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x:c r="DB410" s="4"/>
      <x:c r="DC410" s="4"/>
      <x:c r="DD410" s="4"/>
      <x:c r="DE410" s="4"/>
      <x:c r="DF410" s="4"/>
      <x:c r="DG410" s="4"/>
      <x:c r="DH410" s="4"/>
      <x:c r="DI410" s="4"/>
      <x:c r="DJ410" s="4"/>
      <x:c r="DK410" s="4"/>
      <x:c r="DL410" s="4"/>
      <x:c r="DM410" s="4"/>
      <x:c r="DN410" s="4"/>
      <x:c r="DO410" s="4"/>
      <x:c r="DP410" s="4"/>
      <x:c r="DQ410" s="4"/>
      <x:c r="DR410" s="4"/>
      <x:c r="DS410" s="4"/>
      <x:c r="DT410" s="4"/>
      <x:c r="DU410" s="4"/>
      <x:c r="DV410" s="4"/>
      <x:c r="DW410" s="4"/>
      <x:c r="DX410" s="4"/>
      <x:c r="DY410" s="4"/>
      <x:c r="DZ410" s="4"/>
      <x:c r="EA410" s="4"/>
      <x:c r="EB410" s="4"/>
      <x:c r="EC410" s="4"/>
      <x:c r="ED410" s="4"/>
      <x:c r="EE410" s="4"/>
      <x:c r="EF410" s="4"/>
      <x:c r="EG410" s="4"/>
      <x:c r="EH410" s="4"/>
      <x:c r="EI410" s="4"/>
      <x:c r="EJ410" s="4"/>
      <x:c r="EK410" s="4"/>
      <x:c r="EL410" s="4"/>
      <x:c r="EM410" s="4"/>
      <x:c r="EN410" s="4"/>
      <x:c r="EO410" s="4"/>
      <x:c r="EP410" s="4"/>
      <x:c r="EQ410" s="4"/>
      <x:c r="ER410" s="4"/>
      <x:c r="ES410" s="4"/>
      <x:c r="ET410" s="4"/>
      <x:c r="EU410" s="4"/>
      <x:c r="EV410" s="4"/>
      <x:c r="EW410" s="4"/>
      <x:c r="EX410" s="4"/>
      <x:c r="EY410" s="4"/>
      <x:c r="EZ410" s="4"/>
      <x:c r="FA410" s="4"/>
      <x:c r="FB410" s="4"/>
      <x:c r="FC410" s="4"/>
      <x:c r="FD410" s="4"/>
      <x:c r="FE410" s="4"/>
      <x:c r="FF410" s="4"/>
      <x:c r="FG410" s="4"/>
      <x:c r="FH410" s="4"/>
      <x:c r="FI410" s="4"/>
      <x:c r="FJ410" s="4"/>
      <x:c r="FK410" s="4"/>
      <x:c r="FL410" s="4"/>
      <x:c r="FM410" s="4"/>
      <x:c r="FN410" s="4"/>
      <x:c r="FO410" s="4"/>
    </x:row>
    <x:row r="411">
      <x:c r="A411" s="72"/>
      <x:c r="B411" s="72"/>
      <x:c r="C411" s="72"/>
      <x:c r="D411" s="72"/>
      <x:c r="E411" s="72"/>
      <x:c r="F411" s="72"/>
      <x:c r="G411" s="72"/>
      <x:c r="H411" s="72"/>
      <x:c r="I411" s="72"/>
      <x:c r="J411" s="72"/>
      <x:c r="K411" s="72"/>
      <x:c r="L411" s="72"/>
      <x:c r="M411" s="72"/>
      <x:c r="N411" s="72"/>
      <x:c r="O411" s="72"/>
      <x:c r="P411" s="72"/>
      <x:c r="Q411" s="72"/>
      <x:c r="R411" s="72"/>
      <x:c r="S411" s="72"/>
      <x:c r="T411" s="72"/>
      <x:c r="U411" s="72"/>
      <x:c r="V411" s="72"/>
      <x:c r="W411" s="72"/>
      <x:c r="X411" s="72"/>
      <x:c r="Y411" s="72"/>
      <x:c r="Z411" s="72"/>
      <x:c r="AA411" s="72"/>
      <x:c r="AB411" s="72"/>
      <x:c r="AC411" s="72"/>
      <x:c r="AD411" s="72"/>
      <x:c r="AE411" s="72"/>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x:c r="BN411" s="4"/>
      <x:c r="BO411" s="4"/>
      <x:c r="BP411" s="4"/>
      <x:c r="BQ411" s="4"/>
      <x:c r="BR411" s="4"/>
      <x:c r="BS411" s="4"/>
      <x:c r="BT411" s="4"/>
      <x:c r="BU411" s="4"/>
      <x:c r="BV411" s="4"/>
      <x:c r="BW411" s="4"/>
      <x:c r="BX411" s="4"/>
      <x:c r="BY411" s="4"/>
      <x:c r="BZ411" s="4"/>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x:c r="DB411" s="4"/>
      <x:c r="DC411" s="4"/>
      <x:c r="DD411" s="4"/>
      <x:c r="DE411" s="4"/>
      <x:c r="DF411" s="4"/>
      <x:c r="DG411" s="4"/>
      <x:c r="DH411" s="4"/>
      <x:c r="DI411" s="4"/>
      <x:c r="DJ411" s="4"/>
      <x:c r="DK411" s="4"/>
      <x:c r="DL411" s="4"/>
      <x:c r="DM411" s="4"/>
      <x:c r="DN411" s="4"/>
      <x:c r="DO411" s="4"/>
      <x:c r="DP411" s="4"/>
      <x:c r="DQ411" s="4"/>
      <x:c r="DR411" s="4"/>
      <x:c r="DS411" s="4"/>
      <x:c r="DT411" s="4"/>
      <x:c r="DU411" s="4"/>
      <x:c r="DV411" s="4"/>
      <x:c r="DW411" s="4"/>
      <x:c r="DX411" s="4"/>
      <x:c r="DY411" s="4"/>
      <x:c r="DZ411" s="4"/>
      <x:c r="EA411" s="4"/>
      <x:c r="EB411" s="4"/>
      <x:c r="EC411" s="4"/>
      <x:c r="ED411" s="4"/>
      <x:c r="EE411" s="4"/>
      <x:c r="EF411" s="4"/>
      <x:c r="EG411" s="4"/>
      <x:c r="EH411" s="4"/>
      <x:c r="EI411" s="4"/>
      <x:c r="EJ411" s="4"/>
      <x:c r="EK411" s="4"/>
      <x:c r="EL411" s="4"/>
      <x:c r="EM411" s="4"/>
      <x:c r="EN411" s="4"/>
      <x:c r="EO411" s="4"/>
      <x:c r="EP411" s="4"/>
      <x:c r="EQ411" s="4"/>
      <x:c r="ER411" s="4"/>
      <x:c r="ES411" s="4"/>
      <x:c r="ET411" s="4"/>
      <x:c r="EU411" s="4"/>
      <x:c r="EV411" s="4"/>
      <x:c r="EW411" s="4"/>
      <x:c r="EX411" s="4"/>
      <x:c r="EY411" s="4"/>
      <x:c r="EZ411" s="4"/>
      <x:c r="FA411" s="4"/>
      <x:c r="FB411" s="4"/>
      <x:c r="FC411" s="4"/>
      <x:c r="FD411" s="4"/>
      <x:c r="FE411" s="4"/>
      <x:c r="FF411" s="4"/>
      <x:c r="FG411" s="4"/>
      <x:c r="FH411" s="4"/>
      <x:c r="FI411" s="4"/>
      <x:c r="FJ411" s="4"/>
      <x:c r="FK411" s="4"/>
      <x:c r="FL411" s="4"/>
      <x:c r="FM411" s="4"/>
      <x:c r="FN411" s="4"/>
      <x:c r="FO411" s="4"/>
    </x:row>
    <x:row r="412">
      <x:c r="A412" s="72"/>
      <x:c r="B412" s="72"/>
      <x:c r="C412" s="72"/>
      <x:c r="D412" s="72"/>
      <x:c r="E412" s="72"/>
      <x:c r="F412" s="72"/>
      <x:c r="G412" s="72"/>
      <x:c r="H412" s="72"/>
      <x:c r="I412" s="72"/>
      <x:c r="J412" s="72"/>
      <x:c r="K412" s="72"/>
      <x:c r="L412" s="72"/>
      <x:c r="M412" s="72"/>
      <x:c r="N412" s="72"/>
      <x:c r="O412" s="72"/>
      <x:c r="P412" s="72"/>
      <x:c r="Q412" s="72"/>
      <x:c r="R412" s="72"/>
      <x:c r="S412" s="72"/>
      <x:c r="T412" s="72"/>
      <x:c r="U412" s="72"/>
      <x:c r="V412" s="72"/>
      <x:c r="W412" s="72"/>
      <x:c r="X412" s="72"/>
      <x:c r="Y412" s="72"/>
      <x:c r="Z412" s="72"/>
      <x:c r="AA412" s="72"/>
      <x:c r="AB412" s="72"/>
      <x:c r="AC412" s="72"/>
      <x:c r="AD412" s="72"/>
      <x:c r="AE412" s="72"/>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x:c r="BN412" s="4"/>
      <x:c r="BO412" s="4"/>
      <x:c r="BP412" s="4"/>
      <x:c r="BQ412" s="4"/>
      <x:c r="BR412" s="4"/>
      <x:c r="BS412" s="4"/>
      <x:c r="BT412" s="4"/>
      <x:c r="BU412" s="4"/>
      <x:c r="BV412" s="4"/>
      <x:c r="BW412" s="4"/>
      <x:c r="BX412" s="4"/>
      <x:c r="BY412" s="4"/>
      <x:c r="BZ412" s="4"/>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x:c r="DB412" s="4"/>
      <x:c r="DC412" s="4"/>
      <x:c r="DD412" s="4"/>
      <x:c r="DE412" s="4"/>
      <x:c r="DF412" s="4"/>
      <x:c r="DG412" s="4"/>
      <x:c r="DH412" s="4"/>
      <x:c r="DI412" s="4"/>
      <x:c r="DJ412" s="4"/>
      <x:c r="DK412" s="4"/>
      <x:c r="DL412" s="4"/>
      <x:c r="DM412" s="4"/>
      <x:c r="DN412" s="4"/>
      <x:c r="DO412" s="4"/>
      <x:c r="DP412" s="4"/>
      <x:c r="DQ412" s="4"/>
      <x:c r="DR412" s="4"/>
      <x:c r="DS412" s="4"/>
      <x:c r="DT412" s="4"/>
      <x:c r="DU412" s="4"/>
      <x:c r="DV412" s="4"/>
      <x:c r="DW412" s="4"/>
      <x:c r="DX412" s="4"/>
      <x:c r="DY412" s="4"/>
      <x:c r="DZ412" s="4"/>
      <x:c r="EA412" s="4"/>
      <x:c r="EB412" s="4"/>
      <x:c r="EC412" s="4"/>
      <x:c r="ED412" s="4"/>
      <x:c r="EE412" s="4"/>
      <x:c r="EF412" s="4"/>
      <x:c r="EG412" s="4"/>
      <x:c r="EH412" s="4"/>
      <x:c r="EI412" s="4"/>
      <x:c r="EJ412" s="4"/>
      <x:c r="EK412" s="4"/>
      <x:c r="EL412" s="4"/>
      <x:c r="EM412" s="4"/>
      <x:c r="EN412" s="4"/>
      <x:c r="EO412" s="4"/>
      <x:c r="EP412" s="4"/>
      <x:c r="EQ412" s="4"/>
      <x:c r="ER412" s="4"/>
      <x:c r="ES412" s="4"/>
      <x:c r="ET412" s="4"/>
      <x:c r="EU412" s="4"/>
      <x:c r="EV412" s="4"/>
      <x:c r="EW412" s="4"/>
      <x:c r="EX412" s="4"/>
      <x:c r="EY412" s="4"/>
      <x:c r="EZ412" s="4"/>
      <x:c r="FA412" s="4"/>
      <x:c r="FB412" s="4"/>
      <x:c r="FC412" s="4"/>
      <x:c r="FD412" s="4"/>
      <x:c r="FE412" s="4"/>
      <x:c r="FF412" s="4"/>
      <x:c r="FG412" s="4"/>
      <x:c r="FH412" s="4"/>
      <x:c r="FI412" s="4"/>
      <x:c r="FJ412" s="4"/>
      <x:c r="FK412" s="4"/>
      <x:c r="FL412" s="4"/>
      <x:c r="FM412" s="4"/>
      <x:c r="FN412" s="4"/>
      <x:c r="FO412" s="4"/>
    </x:row>
    <x:row r="413">
      <x:c r="A413" s="72"/>
      <x:c r="B413" s="72"/>
      <x:c r="C413" s="72"/>
      <x:c r="D413" s="72"/>
      <x:c r="E413" s="72"/>
      <x:c r="F413" s="72"/>
      <x:c r="G413" s="72"/>
      <x:c r="H413" s="72"/>
      <x:c r="I413" s="72"/>
      <x:c r="J413" s="72"/>
      <x:c r="K413" s="72"/>
      <x:c r="L413" s="72"/>
      <x:c r="M413" s="72"/>
      <x:c r="N413" s="72"/>
      <x:c r="O413" s="72"/>
      <x:c r="P413" s="72"/>
      <x:c r="Q413" s="72"/>
      <x:c r="R413" s="72"/>
      <x:c r="S413" s="72"/>
      <x:c r="T413" s="72"/>
      <x:c r="U413" s="72"/>
      <x:c r="V413" s="72"/>
      <x:c r="W413" s="72"/>
      <x:c r="X413" s="72"/>
      <x:c r="Y413" s="72"/>
      <x:c r="Z413" s="72"/>
      <x:c r="AA413" s="72"/>
      <x:c r="AB413" s="72"/>
      <x:c r="AC413" s="72"/>
      <x:c r="AD413" s="72"/>
      <x:c r="AE413" s="72"/>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x:c r="BN413" s="4"/>
      <x:c r="BO413" s="4"/>
      <x:c r="BP413" s="4"/>
      <x:c r="BQ413" s="4"/>
      <x:c r="BR413" s="4"/>
      <x:c r="BS413" s="4"/>
      <x:c r="BT413" s="4"/>
      <x:c r="BU413" s="4"/>
      <x:c r="BV413" s="4"/>
      <x:c r="BW413" s="4"/>
      <x:c r="BX413" s="4"/>
      <x:c r="BY413" s="4"/>
      <x:c r="BZ413" s="4"/>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x:c r="DB413" s="4"/>
      <x:c r="DC413" s="4"/>
      <x:c r="DD413" s="4"/>
      <x:c r="DE413" s="4"/>
      <x:c r="DF413" s="4"/>
      <x:c r="DG413" s="4"/>
      <x:c r="DH413" s="4"/>
      <x:c r="DI413" s="4"/>
      <x:c r="DJ413" s="4"/>
      <x:c r="DK413" s="4"/>
      <x:c r="DL413" s="4"/>
      <x:c r="DM413" s="4"/>
      <x:c r="DN413" s="4"/>
      <x:c r="DO413" s="4"/>
      <x:c r="DP413" s="4"/>
      <x:c r="DQ413" s="4"/>
      <x:c r="DR413" s="4"/>
      <x:c r="DS413" s="4"/>
      <x:c r="DT413" s="4"/>
      <x:c r="DU413" s="4"/>
      <x:c r="DV413" s="4"/>
      <x:c r="DW413" s="4"/>
      <x:c r="DX413" s="4"/>
      <x:c r="DY413" s="4"/>
      <x:c r="DZ413" s="4"/>
      <x:c r="EA413" s="4"/>
      <x:c r="EB413" s="4"/>
      <x:c r="EC413" s="4"/>
      <x:c r="ED413" s="4"/>
      <x:c r="EE413" s="4"/>
      <x:c r="EF413" s="4"/>
      <x:c r="EG413" s="4"/>
      <x:c r="EH413" s="4"/>
      <x:c r="EI413" s="4"/>
      <x:c r="EJ413" s="4"/>
      <x:c r="EK413" s="4"/>
      <x:c r="EL413" s="4"/>
      <x:c r="EM413" s="4"/>
      <x:c r="EN413" s="4"/>
      <x:c r="EO413" s="4"/>
      <x:c r="EP413" s="4"/>
      <x:c r="EQ413" s="4"/>
      <x:c r="ER413" s="4"/>
      <x:c r="ES413" s="4"/>
      <x:c r="ET413" s="4"/>
      <x:c r="EU413" s="4"/>
      <x:c r="EV413" s="4"/>
      <x:c r="EW413" s="4"/>
      <x:c r="EX413" s="4"/>
      <x:c r="EY413" s="4"/>
      <x:c r="EZ413" s="4"/>
      <x:c r="FA413" s="4"/>
      <x:c r="FB413" s="4"/>
      <x:c r="FC413" s="4"/>
      <x:c r="FD413" s="4"/>
      <x:c r="FE413" s="4"/>
      <x:c r="FF413" s="4"/>
      <x:c r="FG413" s="4"/>
      <x:c r="FH413" s="4"/>
      <x:c r="FI413" s="4"/>
      <x:c r="FJ413" s="4"/>
      <x:c r="FK413" s="4"/>
      <x:c r="FL413" s="4"/>
      <x:c r="FM413" s="4"/>
      <x:c r="FN413" s="4"/>
      <x:c r="FO413" s="4"/>
    </x:row>
    <x:row r="414">
      <x:c r="A414" s="72"/>
      <x:c r="B414" s="72"/>
      <x:c r="C414" s="72"/>
      <x:c r="D414" s="72"/>
      <x:c r="E414" s="72"/>
      <x:c r="F414" s="72"/>
      <x:c r="G414" s="72"/>
      <x:c r="H414" s="72"/>
      <x:c r="I414" s="72"/>
      <x:c r="J414" s="72"/>
      <x:c r="K414" s="72"/>
      <x:c r="L414" s="72"/>
      <x:c r="M414" s="72"/>
      <x:c r="N414" s="72"/>
      <x:c r="O414" s="72"/>
      <x:c r="P414" s="72"/>
      <x:c r="Q414" s="72"/>
      <x:c r="R414" s="72"/>
      <x:c r="S414" s="72"/>
      <x:c r="T414" s="72"/>
      <x:c r="U414" s="72"/>
      <x:c r="V414" s="72"/>
      <x:c r="W414" s="72"/>
      <x:c r="X414" s="72"/>
      <x:c r="Y414" s="72"/>
      <x:c r="Z414" s="72"/>
      <x:c r="AA414" s="72"/>
      <x:c r="AB414" s="72"/>
      <x:c r="AC414" s="72"/>
      <x:c r="AD414" s="72"/>
      <x:c r="AE414" s="72"/>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x:c r="BN414" s="4"/>
      <x:c r="BO414" s="4"/>
      <x:c r="BP414" s="4"/>
      <x:c r="BQ414" s="4"/>
      <x:c r="BR414" s="4"/>
      <x:c r="BS414" s="4"/>
      <x:c r="BT414" s="4"/>
      <x:c r="BU414" s="4"/>
      <x:c r="BV414" s="4"/>
      <x:c r="BW414" s="4"/>
      <x:c r="BX414" s="4"/>
      <x:c r="BY414" s="4"/>
      <x:c r="BZ414" s="4"/>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x:c r="DB414" s="4"/>
      <x:c r="DC414" s="4"/>
      <x:c r="DD414" s="4"/>
      <x:c r="DE414" s="4"/>
      <x:c r="DF414" s="4"/>
      <x:c r="DG414" s="4"/>
      <x:c r="DH414" s="4"/>
      <x:c r="DI414" s="4"/>
      <x:c r="DJ414" s="4"/>
      <x:c r="DK414" s="4"/>
      <x:c r="DL414" s="4"/>
      <x:c r="DM414" s="4"/>
      <x:c r="DN414" s="4"/>
      <x:c r="DO414" s="4"/>
      <x:c r="DP414" s="4"/>
      <x:c r="DQ414" s="4"/>
      <x:c r="DR414" s="4"/>
      <x:c r="DS414" s="4"/>
      <x:c r="DT414" s="4"/>
      <x:c r="DU414" s="4"/>
      <x:c r="DV414" s="4"/>
      <x:c r="DW414" s="4"/>
      <x:c r="DX414" s="4"/>
      <x:c r="DY414" s="4"/>
      <x:c r="DZ414" s="4"/>
      <x:c r="EA414" s="4"/>
      <x:c r="EB414" s="4"/>
      <x:c r="EC414" s="4"/>
      <x:c r="ED414" s="4"/>
      <x:c r="EE414" s="4"/>
      <x:c r="EF414" s="4"/>
      <x:c r="EG414" s="4"/>
      <x:c r="EH414" s="4"/>
      <x:c r="EI414" s="4"/>
      <x:c r="EJ414" s="4"/>
      <x:c r="EK414" s="4"/>
      <x:c r="EL414" s="4"/>
      <x:c r="EM414" s="4"/>
      <x:c r="EN414" s="4"/>
      <x:c r="EO414" s="4"/>
      <x:c r="EP414" s="4"/>
      <x:c r="EQ414" s="4"/>
      <x:c r="ER414" s="4"/>
      <x:c r="ES414" s="4"/>
      <x:c r="ET414" s="4"/>
      <x:c r="EU414" s="4"/>
      <x:c r="EV414" s="4"/>
      <x:c r="EW414" s="4"/>
      <x:c r="EX414" s="4"/>
      <x:c r="EY414" s="4"/>
      <x:c r="EZ414" s="4"/>
      <x:c r="FA414" s="4"/>
      <x:c r="FB414" s="4"/>
      <x:c r="FC414" s="4"/>
      <x:c r="FD414" s="4"/>
      <x:c r="FE414" s="4"/>
      <x:c r="FF414" s="4"/>
      <x:c r="FG414" s="4"/>
      <x:c r="FH414" s="4"/>
      <x:c r="FI414" s="4"/>
      <x:c r="FJ414" s="4"/>
      <x:c r="FK414" s="4"/>
      <x:c r="FL414" s="4"/>
      <x:c r="FM414" s="4"/>
      <x:c r="FN414" s="4"/>
      <x:c r="FO414" s="4"/>
    </x:row>
    <x:row r="415">
      <x:c r="A415" s="72"/>
      <x:c r="B415" s="72"/>
      <x:c r="C415" s="72"/>
      <x:c r="D415" s="72"/>
      <x:c r="E415" s="72"/>
      <x:c r="F415" s="72"/>
      <x:c r="G415" s="72"/>
      <x:c r="H415" s="72"/>
      <x:c r="I415" s="72"/>
      <x:c r="J415" s="72"/>
      <x:c r="K415" s="72"/>
      <x:c r="L415" s="72"/>
      <x:c r="M415" s="72"/>
      <x:c r="N415" s="72"/>
      <x:c r="O415" s="72"/>
      <x:c r="P415" s="72"/>
      <x:c r="Q415" s="72"/>
      <x:c r="R415" s="72"/>
      <x:c r="S415" s="72"/>
      <x:c r="T415" s="72"/>
      <x:c r="U415" s="72"/>
      <x:c r="V415" s="72"/>
      <x:c r="W415" s="72"/>
      <x:c r="X415" s="72"/>
      <x:c r="Y415" s="72"/>
      <x:c r="Z415" s="72"/>
      <x:c r="AA415" s="72"/>
      <x:c r="AB415" s="72"/>
      <x:c r="AC415" s="72"/>
      <x:c r="AD415" s="72"/>
      <x:c r="AE415" s="72"/>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x:c r="BN415" s="4"/>
      <x:c r="BO415" s="4"/>
      <x:c r="BP415" s="4"/>
      <x:c r="BQ415" s="4"/>
      <x:c r="BR415" s="4"/>
      <x:c r="BS415" s="4"/>
      <x:c r="BT415" s="4"/>
      <x:c r="BU415" s="4"/>
      <x:c r="BV415" s="4"/>
      <x:c r="BW415" s="4"/>
      <x:c r="BX415" s="4"/>
      <x:c r="BY415" s="4"/>
      <x:c r="BZ415" s="4"/>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x:c r="DB415" s="4"/>
      <x:c r="DC415" s="4"/>
      <x:c r="DD415" s="4"/>
      <x:c r="DE415" s="4"/>
      <x:c r="DF415" s="4"/>
      <x:c r="DG415" s="4"/>
      <x:c r="DH415" s="4"/>
      <x:c r="DI415" s="4"/>
      <x:c r="DJ415" s="4"/>
      <x:c r="DK415" s="4"/>
      <x:c r="DL415" s="4"/>
      <x:c r="DM415" s="4"/>
      <x:c r="DN415" s="4"/>
      <x:c r="DO415" s="4"/>
      <x:c r="DP415" s="4"/>
      <x:c r="DQ415" s="4"/>
      <x:c r="DR415" s="4"/>
      <x:c r="DS415" s="4"/>
      <x:c r="DT415" s="4"/>
      <x:c r="DU415" s="4"/>
      <x:c r="DV415" s="4"/>
      <x:c r="DW415" s="4"/>
      <x:c r="DX415" s="4"/>
      <x:c r="DY415" s="4"/>
      <x:c r="DZ415" s="4"/>
      <x:c r="EA415" s="4"/>
      <x:c r="EB415" s="4"/>
      <x:c r="EC415" s="4"/>
      <x:c r="ED415" s="4"/>
      <x:c r="EE415" s="4"/>
      <x:c r="EF415" s="4"/>
      <x:c r="EG415" s="4"/>
      <x:c r="EH415" s="4"/>
      <x:c r="EI415" s="4"/>
      <x:c r="EJ415" s="4"/>
      <x:c r="EK415" s="4"/>
      <x:c r="EL415" s="4"/>
      <x:c r="EM415" s="4"/>
      <x:c r="EN415" s="4"/>
      <x:c r="EO415" s="4"/>
      <x:c r="EP415" s="4"/>
      <x:c r="EQ415" s="4"/>
      <x:c r="ER415" s="4"/>
      <x:c r="ES415" s="4"/>
      <x:c r="ET415" s="4"/>
      <x:c r="EU415" s="4"/>
      <x:c r="EV415" s="4"/>
      <x:c r="EW415" s="4"/>
      <x:c r="EX415" s="4"/>
      <x:c r="EY415" s="4"/>
      <x:c r="EZ415" s="4"/>
      <x:c r="FA415" s="4"/>
      <x:c r="FB415" s="4"/>
      <x:c r="FC415" s="4"/>
      <x:c r="FD415" s="4"/>
      <x:c r="FE415" s="4"/>
      <x:c r="FF415" s="4"/>
      <x:c r="FG415" s="4"/>
      <x:c r="FH415" s="4"/>
      <x:c r="FI415" s="4"/>
      <x:c r="FJ415" s="4"/>
      <x:c r="FK415" s="4"/>
      <x:c r="FL415" s="4"/>
      <x:c r="FM415" s="4"/>
      <x:c r="FN415" s="4"/>
      <x:c r="FO415" s="4"/>
    </x:row>
    <x:row r="416">
      <x:c r="A416" s="72"/>
      <x:c r="B416" s="72"/>
      <x:c r="C416" s="72"/>
      <x:c r="D416" s="72"/>
      <x:c r="E416" s="72"/>
      <x:c r="F416" s="72"/>
      <x:c r="G416" s="72"/>
      <x:c r="H416" s="72"/>
      <x:c r="I416" s="72"/>
      <x:c r="J416" s="72"/>
      <x:c r="K416" s="72"/>
      <x:c r="L416" s="72"/>
      <x:c r="M416" s="72"/>
      <x:c r="N416" s="72"/>
      <x:c r="O416" s="72"/>
      <x:c r="P416" s="72"/>
      <x:c r="Q416" s="72"/>
      <x:c r="R416" s="72"/>
      <x:c r="S416" s="72"/>
      <x:c r="T416" s="72"/>
      <x:c r="U416" s="72"/>
      <x:c r="V416" s="72"/>
      <x:c r="W416" s="72"/>
      <x:c r="X416" s="72"/>
      <x:c r="Y416" s="72"/>
      <x:c r="Z416" s="72"/>
      <x:c r="AA416" s="72"/>
      <x:c r="AB416" s="72"/>
      <x:c r="AC416" s="72"/>
      <x:c r="AD416" s="72"/>
      <x:c r="AE416" s="72"/>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x:c r="BN416" s="4"/>
      <x:c r="BO416" s="4"/>
      <x:c r="BP416" s="4"/>
      <x:c r="BQ416" s="4"/>
      <x:c r="BR416" s="4"/>
      <x:c r="BS416" s="4"/>
      <x:c r="BT416" s="4"/>
      <x:c r="BU416" s="4"/>
      <x:c r="BV416" s="4"/>
      <x:c r="BW416" s="4"/>
      <x:c r="BX416" s="4"/>
      <x:c r="BY416" s="4"/>
      <x:c r="BZ416" s="4"/>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x:c r="DB416" s="4"/>
      <x:c r="DC416" s="4"/>
      <x:c r="DD416" s="4"/>
      <x:c r="DE416" s="4"/>
      <x:c r="DF416" s="4"/>
      <x:c r="DG416" s="4"/>
      <x:c r="DH416" s="4"/>
      <x:c r="DI416" s="4"/>
      <x:c r="DJ416" s="4"/>
      <x:c r="DK416" s="4"/>
      <x:c r="DL416" s="4"/>
      <x:c r="DM416" s="4"/>
      <x:c r="DN416" s="4"/>
      <x:c r="DO416" s="4"/>
      <x:c r="DP416" s="4"/>
      <x:c r="DQ416" s="4"/>
      <x:c r="DR416" s="4"/>
      <x:c r="DS416" s="4"/>
      <x:c r="DT416" s="4"/>
      <x:c r="DU416" s="4"/>
      <x:c r="DV416" s="4"/>
      <x:c r="DW416" s="4"/>
      <x:c r="DX416" s="4"/>
      <x:c r="DY416" s="4"/>
      <x:c r="DZ416" s="4"/>
      <x:c r="EA416" s="4"/>
      <x:c r="EB416" s="4"/>
      <x:c r="EC416" s="4"/>
      <x:c r="ED416" s="4"/>
      <x:c r="EE416" s="4"/>
      <x:c r="EF416" s="4"/>
      <x:c r="EG416" s="4"/>
      <x:c r="EH416" s="4"/>
      <x:c r="EI416" s="4"/>
      <x:c r="EJ416" s="4"/>
      <x:c r="EK416" s="4"/>
      <x:c r="EL416" s="4"/>
      <x:c r="EM416" s="4"/>
      <x:c r="EN416" s="4"/>
      <x:c r="EO416" s="4"/>
      <x:c r="EP416" s="4"/>
      <x:c r="EQ416" s="4"/>
      <x:c r="ER416" s="4"/>
      <x:c r="ES416" s="4"/>
      <x:c r="ET416" s="4"/>
      <x:c r="EU416" s="4"/>
      <x:c r="EV416" s="4"/>
      <x:c r="EW416" s="4"/>
      <x:c r="EX416" s="4"/>
      <x:c r="EY416" s="4"/>
      <x:c r="EZ416" s="4"/>
      <x:c r="FA416" s="4"/>
      <x:c r="FB416" s="4"/>
      <x:c r="FC416" s="4"/>
      <x:c r="FD416" s="4"/>
      <x:c r="FE416" s="4"/>
      <x:c r="FF416" s="4"/>
      <x:c r="FG416" s="4"/>
      <x:c r="FH416" s="4"/>
      <x:c r="FI416" s="4"/>
      <x:c r="FJ416" s="4"/>
      <x:c r="FK416" s="4"/>
      <x:c r="FL416" s="4"/>
      <x:c r="FM416" s="4"/>
      <x:c r="FN416" s="4"/>
      <x:c r="FO416" s="4"/>
    </x:row>
    <x:row r="417">
      <x:c r="A417" s="72"/>
      <x:c r="B417" s="72"/>
      <x:c r="C417" s="72"/>
      <x:c r="D417" s="72"/>
      <x:c r="E417" s="72"/>
      <x:c r="F417" s="72"/>
      <x:c r="G417" s="72"/>
      <x:c r="H417" s="72"/>
      <x:c r="I417" s="72"/>
      <x:c r="J417" s="72"/>
      <x:c r="K417" s="72"/>
      <x:c r="L417" s="72"/>
      <x:c r="M417" s="72"/>
      <x:c r="N417" s="72"/>
      <x:c r="O417" s="72"/>
      <x:c r="P417" s="72"/>
      <x:c r="Q417" s="72"/>
      <x:c r="R417" s="72"/>
      <x:c r="S417" s="72"/>
      <x:c r="T417" s="72"/>
      <x:c r="U417" s="72"/>
      <x:c r="V417" s="72"/>
      <x:c r="W417" s="72"/>
      <x:c r="X417" s="72"/>
      <x:c r="Y417" s="72"/>
      <x:c r="Z417" s="72"/>
      <x:c r="AA417" s="72"/>
      <x:c r="AB417" s="72"/>
      <x:c r="AC417" s="72"/>
      <x:c r="AD417" s="72"/>
      <x:c r="AE417" s="72"/>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x:c r="BN417" s="4"/>
      <x:c r="BO417" s="4"/>
      <x:c r="BP417" s="4"/>
      <x:c r="BQ417" s="4"/>
      <x:c r="BR417" s="4"/>
      <x:c r="BS417" s="4"/>
      <x:c r="BT417" s="4"/>
      <x:c r="BU417" s="4"/>
      <x:c r="BV417" s="4"/>
      <x:c r="BW417" s="4"/>
      <x:c r="BX417" s="4"/>
      <x:c r="BY417" s="4"/>
      <x:c r="BZ417" s="4"/>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x:c r="DB417" s="4"/>
      <x:c r="DC417" s="4"/>
      <x:c r="DD417" s="4"/>
      <x:c r="DE417" s="4"/>
      <x:c r="DF417" s="4"/>
      <x:c r="DG417" s="4"/>
      <x:c r="DH417" s="4"/>
      <x:c r="DI417" s="4"/>
      <x:c r="DJ417" s="4"/>
      <x:c r="DK417" s="4"/>
      <x:c r="DL417" s="4"/>
      <x:c r="DM417" s="4"/>
      <x:c r="DN417" s="4"/>
      <x:c r="DO417" s="4"/>
      <x:c r="DP417" s="4"/>
      <x:c r="DQ417" s="4"/>
      <x:c r="DR417" s="4"/>
      <x:c r="DS417" s="4"/>
      <x:c r="DT417" s="4"/>
      <x:c r="DU417" s="4"/>
      <x:c r="DV417" s="4"/>
      <x:c r="DW417" s="4"/>
      <x:c r="DX417" s="4"/>
      <x:c r="DY417" s="4"/>
      <x:c r="DZ417" s="4"/>
      <x:c r="EA417" s="4"/>
      <x:c r="EB417" s="4"/>
      <x:c r="EC417" s="4"/>
      <x:c r="ED417" s="4"/>
      <x:c r="EE417" s="4"/>
      <x:c r="EF417" s="4"/>
      <x:c r="EG417" s="4"/>
      <x:c r="EH417" s="4"/>
      <x:c r="EI417" s="4"/>
      <x:c r="EJ417" s="4"/>
      <x:c r="EK417" s="4"/>
      <x:c r="EL417" s="4"/>
      <x:c r="EM417" s="4"/>
      <x:c r="EN417" s="4"/>
      <x:c r="EO417" s="4"/>
      <x:c r="EP417" s="4"/>
      <x:c r="EQ417" s="4"/>
      <x:c r="ER417" s="4"/>
      <x:c r="ES417" s="4"/>
      <x:c r="ET417" s="4"/>
      <x:c r="EU417" s="4"/>
      <x:c r="EV417" s="4"/>
      <x:c r="EW417" s="4"/>
      <x:c r="EX417" s="4"/>
      <x:c r="EY417" s="4"/>
      <x:c r="EZ417" s="4"/>
      <x:c r="FA417" s="4"/>
      <x:c r="FB417" s="4"/>
      <x:c r="FC417" s="4"/>
      <x:c r="FD417" s="4"/>
      <x:c r="FE417" s="4"/>
      <x:c r="FF417" s="4"/>
      <x:c r="FG417" s="4"/>
      <x:c r="FH417" s="4"/>
      <x:c r="FI417" s="4"/>
      <x:c r="FJ417" s="4"/>
      <x:c r="FK417" s="4"/>
      <x:c r="FL417" s="4"/>
      <x:c r="FM417" s="4"/>
      <x:c r="FN417" s="4"/>
      <x:c r="FO417" s="4"/>
    </x:row>
    <x:row r="418">
      <x:c r="A418" s="72"/>
      <x:c r="B418" s="72"/>
      <x:c r="C418" s="72"/>
      <x:c r="D418" s="72"/>
      <x:c r="E418" s="72"/>
      <x:c r="F418" s="72"/>
      <x:c r="G418" s="72"/>
      <x:c r="H418" s="72"/>
      <x:c r="I418" s="72"/>
      <x:c r="J418" s="72"/>
      <x:c r="K418" s="72"/>
      <x:c r="L418" s="72"/>
      <x:c r="M418" s="72"/>
      <x:c r="N418" s="72"/>
      <x:c r="O418" s="72"/>
      <x:c r="P418" s="72"/>
      <x:c r="Q418" s="72"/>
      <x:c r="R418" s="72"/>
      <x:c r="S418" s="72"/>
      <x:c r="T418" s="72"/>
      <x:c r="U418" s="72"/>
      <x:c r="V418" s="72"/>
      <x:c r="W418" s="72"/>
      <x:c r="X418" s="72"/>
      <x:c r="Y418" s="72"/>
      <x:c r="Z418" s="72"/>
      <x:c r="AA418" s="72"/>
      <x:c r="AB418" s="72"/>
      <x:c r="AC418" s="72"/>
      <x:c r="AD418" s="72"/>
      <x:c r="AE418" s="72"/>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x:c r="BN418" s="4"/>
      <x:c r="BO418" s="4"/>
      <x:c r="BP418" s="4"/>
      <x:c r="BQ418" s="4"/>
      <x:c r="BR418" s="4"/>
      <x:c r="BS418" s="4"/>
      <x:c r="BT418" s="4"/>
      <x:c r="BU418" s="4"/>
      <x:c r="BV418" s="4"/>
      <x:c r="BW418" s="4"/>
      <x:c r="BX418" s="4"/>
      <x:c r="BY418" s="4"/>
      <x:c r="BZ418" s="4"/>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x:c r="DB418" s="4"/>
      <x:c r="DC418" s="4"/>
      <x:c r="DD418" s="4"/>
      <x:c r="DE418" s="4"/>
      <x:c r="DF418" s="4"/>
      <x:c r="DG418" s="4"/>
      <x:c r="DH418" s="4"/>
      <x:c r="DI418" s="4"/>
      <x:c r="DJ418" s="4"/>
      <x:c r="DK418" s="4"/>
      <x:c r="DL418" s="4"/>
      <x:c r="DM418" s="4"/>
      <x:c r="DN418" s="4"/>
      <x:c r="DO418" s="4"/>
      <x:c r="DP418" s="4"/>
      <x:c r="DQ418" s="4"/>
      <x:c r="DR418" s="4"/>
      <x:c r="DS418" s="4"/>
      <x:c r="DT418" s="4"/>
      <x:c r="DU418" s="4"/>
      <x:c r="DV418" s="4"/>
      <x:c r="DW418" s="4"/>
      <x:c r="DX418" s="4"/>
      <x:c r="DY418" s="4"/>
      <x:c r="DZ418" s="4"/>
      <x:c r="EA418" s="4"/>
      <x:c r="EB418" s="4"/>
      <x:c r="EC418" s="4"/>
      <x:c r="ED418" s="4"/>
      <x:c r="EE418" s="4"/>
      <x:c r="EF418" s="4"/>
      <x:c r="EG418" s="4"/>
      <x:c r="EH418" s="4"/>
      <x:c r="EI418" s="4"/>
      <x:c r="EJ418" s="4"/>
      <x:c r="EK418" s="4"/>
      <x:c r="EL418" s="4"/>
      <x:c r="EM418" s="4"/>
      <x:c r="EN418" s="4"/>
      <x:c r="EO418" s="4"/>
      <x:c r="EP418" s="4"/>
      <x:c r="EQ418" s="4"/>
      <x:c r="ER418" s="4"/>
      <x:c r="ES418" s="4"/>
      <x:c r="ET418" s="4"/>
      <x:c r="EU418" s="4"/>
      <x:c r="EV418" s="4"/>
      <x:c r="EW418" s="4"/>
      <x:c r="EX418" s="4"/>
      <x:c r="EY418" s="4"/>
      <x:c r="EZ418" s="4"/>
      <x:c r="FA418" s="4"/>
      <x:c r="FB418" s="4"/>
      <x:c r="FC418" s="4"/>
      <x:c r="FD418" s="4"/>
      <x:c r="FE418" s="4"/>
      <x:c r="FF418" s="4"/>
      <x:c r="FG418" s="4"/>
      <x:c r="FH418" s="4"/>
      <x:c r="FI418" s="4"/>
      <x:c r="FJ418" s="4"/>
      <x:c r="FK418" s="4"/>
      <x:c r="FL418" s="4"/>
      <x:c r="FM418" s="4"/>
      <x:c r="FN418" s="4"/>
      <x:c r="FO418" s="4"/>
    </x:row>
    <x:row r="419">
      <x:c r="A419" s="72"/>
      <x:c r="B419" s="72"/>
      <x:c r="C419" s="72"/>
      <x:c r="D419" s="72"/>
      <x:c r="E419" s="72"/>
      <x:c r="F419" s="72"/>
      <x:c r="G419" s="72"/>
      <x:c r="H419" s="72"/>
      <x:c r="I419" s="72"/>
      <x:c r="J419" s="72"/>
      <x:c r="K419" s="72"/>
      <x:c r="L419" s="72"/>
      <x:c r="M419" s="72"/>
      <x:c r="N419" s="72"/>
      <x:c r="O419" s="72"/>
      <x:c r="P419" s="72"/>
      <x:c r="Q419" s="72"/>
      <x:c r="R419" s="72"/>
      <x:c r="S419" s="72"/>
      <x:c r="T419" s="72"/>
      <x:c r="U419" s="72"/>
      <x:c r="V419" s="72"/>
      <x:c r="W419" s="72"/>
      <x:c r="X419" s="72"/>
      <x:c r="Y419" s="72"/>
      <x:c r="Z419" s="72"/>
      <x:c r="AA419" s="72"/>
      <x:c r="AB419" s="72"/>
      <x:c r="AC419" s="72"/>
      <x:c r="AD419" s="72"/>
      <x:c r="AE419" s="72"/>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x:c r="BN419" s="4"/>
      <x:c r="BO419" s="4"/>
      <x:c r="BP419" s="4"/>
      <x:c r="BQ419" s="4"/>
      <x:c r="BR419" s="4"/>
      <x:c r="BS419" s="4"/>
      <x:c r="BT419" s="4"/>
      <x:c r="BU419" s="4"/>
      <x:c r="BV419" s="4"/>
      <x:c r="BW419" s="4"/>
      <x:c r="BX419" s="4"/>
      <x:c r="BY419" s="4"/>
      <x:c r="BZ419" s="4"/>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x:c r="DB419" s="4"/>
      <x:c r="DC419" s="4"/>
      <x:c r="DD419" s="4"/>
      <x:c r="DE419" s="4"/>
      <x:c r="DF419" s="4"/>
      <x:c r="DG419" s="4"/>
      <x:c r="DH419" s="4"/>
      <x:c r="DI419" s="4"/>
      <x:c r="DJ419" s="4"/>
      <x:c r="DK419" s="4"/>
      <x:c r="DL419" s="4"/>
      <x:c r="DM419" s="4"/>
      <x:c r="DN419" s="4"/>
      <x:c r="DO419" s="4"/>
      <x:c r="DP419" s="4"/>
      <x:c r="DQ419" s="4"/>
      <x:c r="DR419" s="4"/>
      <x:c r="DS419" s="4"/>
      <x:c r="DT419" s="4"/>
      <x:c r="DU419" s="4"/>
      <x:c r="DV419" s="4"/>
      <x:c r="DW419" s="4"/>
      <x:c r="DX419" s="4"/>
      <x:c r="DY419" s="4"/>
      <x:c r="DZ419" s="4"/>
      <x:c r="EA419" s="4"/>
      <x:c r="EB419" s="4"/>
      <x:c r="EC419" s="4"/>
      <x:c r="ED419" s="4"/>
      <x:c r="EE419" s="4"/>
      <x:c r="EF419" s="4"/>
      <x:c r="EG419" s="4"/>
      <x:c r="EH419" s="4"/>
      <x:c r="EI419" s="4"/>
      <x:c r="EJ419" s="4"/>
      <x:c r="EK419" s="4"/>
      <x:c r="EL419" s="4"/>
      <x:c r="EM419" s="4"/>
      <x:c r="EN419" s="4"/>
      <x:c r="EO419" s="4"/>
      <x:c r="EP419" s="4"/>
      <x:c r="EQ419" s="4"/>
      <x:c r="ER419" s="4"/>
      <x:c r="ES419" s="4"/>
      <x:c r="ET419" s="4"/>
      <x:c r="EU419" s="4"/>
      <x:c r="EV419" s="4"/>
      <x:c r="EW419" s="4"/>
      <x:c r="EX419" s="4"/>
      <x:c r="EY419" s="4"/>
      <x:c r="EZ419" s="4"/>
      <x:c r="FA419" s="4"/>
      <x:c r="FB419" s="4"/>
      <x:c r="FC419" s="4"/>
      <x:c r="FD419" s="4"/>
      <x:c r="FE419" s="4"/>
      <x:c r="FF419" s="4"/>
      <x:c r="FG419" s="4"/>
      <x:c r="FH419" s="4"/>
      <x:c r="FI419" s="4"/>
      <x:c r="FJ419" s="4"/>
      <x:c r="FK419" s="4"/>
      <x:c r="FL419" s="4"/>
      <x:c r="FM419" s="4"/>
      <x:c r="FN419" s="4"/>
      <x:c r="FO419" s="4"/>
    </x:row>
    <x:row r="420">
      <x:c r="A420" s="72"/>
      <x:c r="B420" s="72"/>
      <x:c r="C420" s="72"/>
      <x:c r="D420" s="72"/>
      <x:c r="E420" s="72"/>
      <x:c r="F420" s="72"/>
      <x:c r="G420" s="72"/>
      <x:c r="H420" s="72"/>
      <x:c r="I420" s="72"/>
      <x:c r="J420" s="72"/>
      <x:c r="K420" s="72"/>
      <x:c r="L420" s="72"/>
      <x:c r="M420" s="72"/>
      <x:c r="N420" s="72"/>
      <x:c r="O420" s="72"/>
      <x:c r="P420" s="72"/>
      <x:c r="Q420" s="72"/>
      <x:c r="R420" s="72"/>
      <x:c r="S420" s="72"/>
      <x:c r="T420" s="72"/>
      <x:c r="U420" s="72"/>
      <x:c r="V420" s="72"/>
      <x:c r="W420" s="72"/>
      <x:c r="X420" s="72"/>
      <x:c r="Y420" s="72"/>
      <x:c r="Z420" s="72"/>
      <x:c r="AA420" s="72"/>
      <x:c r="AB420" s="72"/>
      <x:c r="AC420" s="72"/>
      <x:c r="AD420" s="72"/>
      <x:c r="AE420" s="72"/>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x:c r="BN420" s="4"/>
      <x:c r="BO420" s="4"/>
      <x:c r="BP420" s="4"/>
      <x:c r="BQ420" s="4"/>
      <x:c r="BR420" s="4"/>
      <x:c r="BS420" s="4"/>
      <x:c r="BT420" s="4"/>
      <x:c r="BU420" s="4"/>
      <x:c r="BV420" s="4"/>
      <x:c r="BW420" s="4"/>
      <x:c r="BX420" s="4"/>
      <x:c r="BY420" s="4"/>
      <x:c r="BZ420" s="4"/>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x:c r="DB420" s="4"/>
      <x:c r="DC420" s="4"/>
      <x:c r="DD420" s="4"/>
      <x:c r="DE420" s="4"/>
      <x:c r="DF420" s="4"/>
      <x:c r="DG420" s="4"/>
      <x:c r="DH420" s="4"/>
      <x:c r="DI420" s="4"/>
      <x:c r="DJ420" s="4"/>
      <x:c r="DK420" s="4"/>
      <x:c r="DL420" s="4"/>
      <x:c r="DM420" s="4"/>
      <x:c r="DN420" s="4"/>
      <x:c r="DO420" s="4"/>
      <x:c r="DP420" s="4"/>
      <x:c r="DQ420" s="4"/>
      <x:c r="DR420" s="4"/>
      <x:c r="DS420" s="4"/>
      <x:c r="DT420" s="4"/>
      <x:c r="DU420" s="4"/>
      <x:c r="DV420" s="4"/>
      <x:c r="DW420" s="4"/>
      <x:c r="DX420" s="4"/>
      <x:c r="DY420" s="4"/>
      <x:c r="DZ420" s="4"/>
      <x:c r="EA420" s="4"/>
      <x:c r="EB420" s="4"/>
      <x:c r="EC420" s="4"/>
      <x:c r="ED420" s="4"/>
      <x:c r="EE420" s="4"/>
      <x:c r="EF420" s="4"/>
      <x:c r="EG420" s="4"/>
      <x:c r="EH420" s="4"/>
      <x:c r="EI420" s="4"/>
      <x:c r="EJ420" s="4"/>
      <x:c r="EK420" s="4"/>
      <x:c r="EL420" s="4"/>
      <x:c r="EM420" s="4"/>
      <x:c r="EN420" s="4"/>
      <x:c r="EO420" s="4"/>
      <x:c r="EP420" s="4"/>
      <x:c r="EQ420" s="4"/>
      <x:c r="ER420" s="4"/>
      <x:c r="ES420" s="4"/>
      <x:c r="ET420" s="4"/>
      <x:c r="EU420" s="4"/>
      <x:c r="EV420" s="4"/>
      <x:c r="EW420" s="4"/>
      <x:c r="EX420" s="4"/>
      <x:c r="EY420" s="4"/>
      <x:c r="EZ420" s="4"/>
      <x:c r="FA420" s="4"/>
      <x:c r="FB420" s="4"/>
      <x:c r="FC420" s="4"/>
      <x:c r="FD420" s="4"/>
      <x:c r="FE420" s="4"/>
      <x:c r="FF420" s="4"/>
      <x:c r="FG420" s="4"/>
      <x:c r="FH420" s="4"/>
      <x:c r="FI420" s="4"/>
      <x:c r="FJ420" s="4"/>
      <x:c r="FK420" s="4"/>
      <x:c r="FL420" s="4"/>
      <x:c r="FM420" s="4"/>
      <x:c r="FN420" s="4"/>
      <x:c r="FO420" s="4"/>
    </x:row>
    <x:row r="421">
      <x:c r="A421" s="72"/>
      <x:c r="B421" s="72"/>
      <x:c r="C421" s="72"/>
      <x:c r="D421" s="72"/>
      <x:c r="E421" s="72"/>
      <x:c r="F421" s="72"/>
      <x:c r="G421" s="72"/>
      <x:c r="H421" s="72"/>
      <x:c r="I421" s="72"/>
      <x:c r="J421" s="72"/>
      <x:c r="K421" s="72"/>
      <x:c r="L421" s="72"/>
      <x:c r="M421" s="72"/>
      <x:c r="N421" s="72"/>
      <x:c r="O421" s="72"/>
      <x:c r="P421" s="72"/>
      <x:c r="Q421" s="72"/>
      <x:c r="R421" s="72"/>
      <x:c r="S421" s="72"/>
      <x:c r="T421" s="72"/>
      <x:c r="U421" s="72"/>
      <x:c r="V421" s="72"/>
      <x:c r="W421" s="72"/>
      <x:c r="X421" s="72"/>
      <x:c r="Y421" s="72"/>
      <x:c r="Z421" s="72"/>
      <x:c r="AA421" s="72"/>
      <x:c r="AB421" s="72"/>
      <x:c r="AC421" s="72"/>
      <x:c r="AD421" s="72"/>
      <x:c r="AE421" s="72"/>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x:c r="BN421" s="4"/>
      <x:c r="BO421" s="4"/>
      <x:c r="BP421" s="4"/>
      <x:c r="BQ421" s="4"/>
      <x:c r="BR421" s="4"/>
      <x:c r="BS421" s="4"/>
      <x:c r="BT421" s="4"/>
      <x:c r="BU421" s="4"/>
      <x:c r="BV421" s="4"/>
      <x:c r="BW421" s="4"/>
      <x:c r="BX421" s="4"/>
      <x:c r="BY421" s="4"/>
      <x:c r="BZ421" s="4"/>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x:c r="DB421" s="4"/>
      <x:c r="DC421" s="4"/>
      <x:c r="DD421" s="4"/>
      <x:c r="DE421" s="4"/>
      <x:c r="DF421" s="4"/>
      <x:c r="DG421" s="4"/>
      <x:c r="DH421" s="4"/>
      <x:c r="DI421" s="4"/>
      <x:c r="DJ421" s="4"/>
      <x:c r="DK421" s="4"/>
      <x:c r="DL421" s="4"/>
      <x:c r="DM421" s="4"/>
      <x:c r="DN421" s="4"/>
      <x:c r="DO421" s="4"/>
      <x:c r="DP421" s="4"/>
      <x:c r="DQ421" s="4"/>
      <x:c r="DR421" s="4"/>
      <x:c r="DS421" s="4"/>
      <x:c r="DT421" s="4"/>
      <x:c r="DU421" s="4"/>
      <x:c r="DV421" s="4"/>
      <x:c r="DW421" s="4"/>
      <x:c r="DX421" s="4"/>
      <x:c r="DY421" s="4"/>
      <x:c r="DZ421" s="4"/>
      <x:c r="EA421" s="4"/>
      <x:c r="EB421" s="4"/>
      <x:c r="EC421" s="4"/>
      <x:c r="ED421" s="4"/>
      <x:c r="EE421" s="4"/>
      <x:c r="EF421" s="4"/>
      <x:c r="EG421" s="4"/>
      <x:c r="EH421" s="4"/>
      <x:c r="EI421" s="4"/>
      <x:c r="EJ421" s="4"/>
      <x:c r="EK421" s="4"/>
      <x:c r="EL421" s="4"/>
      <x:c r="EM421" s="4"/>
      <x:c r="EN421" s="4"/>
      <x:c r="EO421" s="4"/>
      <x:c r="EP421" s="4"/>
      <x:c r="EQ421" s="4"/>
      <x:c r="ER421" s="4"/>
      <x:c r="ES421" s="4"/>
      <x:c r="ET421" s="4"/>
      <x:c r="EU421" s="4"/>
      <x:c r="EV421" s="4"/>
      <x:c r="EW421" s="4"/>
      <x:c r="EX421" s="4"/>
      <x:c r="EY421" s="4"/>
      <x:c r="EZ421" s="4"/>
      <x:c r="FA421" s="4"/>
      <x:c r="FB421" s="4"/>
      <x:c r="FC421" s="4"/>
      <x:c r="FD421" s="4"/>
      <x:c r="FE421" s="4"/>
      <x:c r="FF421" s="4"/>
      <x:c r="FG421" s="4"/>
      <x:c r="FH421" s="4"/>
      <x:c r="FI421" s="4"/>
      <x:c r="FJ421" s="4"/>
      <x:c r="FK421" s="4"/>
      <x:c r="FL421" s="4"/>
      <x:c r="FM421" s="4"/>
      <x:c r="FN421" s="4"/>
      <x:c r="FO421" s="4"/>
    </x:row>
    <x:row r="422">
      <x:c r="A422" s="72"/>
      <x:c r="B422" s="72"/>
      <x:c r="C422" s="72"/>
      <x:c r="D422" s="72"/>
      <x:c r="E422" s="72"/>
      <x:c r="F422" s="72"/>
      <x:c r="G422" s="72"/>
      <x:c r="H422" s="72"/>
      <x:c r="I422" s="72"/>
      <x:c r="J422" s="72"/>
      <x:c r="K422" s="72"/>
      <x:c r="L422" s="72"/>
      <x:c r="M422" s="72"/>
      <x:c r="N422" s="72"/>
      <x:c r="O422" s="72"/>
      <x:c r="P422" s="72"/>
      <x:c r="Q422" s="72"/>
      <x:c r="R422" s="72"/>
      <x:c r="S422" s="72"/>
      <x:c r="T422" s="72"/>
      <x:c r="U422" s="72"/>
      <x:c r="V422" s="72"/>
      <x:c r="W422" s="72"/>
      <x:c r="X422" s="72"/>
      <x:c r="Y422" s="72"/>
      <x:c r="Z422" s="72"/>
      <x:c r="AA422" s="72"/>
      <x:c r="AB422" s="72"/>
      <x:c r="AC422" s="72"/>
      <x:c r="AD422" s="72"/>
      <x:c r="AE422" s="72"/>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x:c r="BN422" s="4"/>
      <x:c r="BO422" s="4"/>
      <x:c r="BP422" s="4"/>
      <x:c r="BQ422" s="4"/>
      <x:c r="BR422" s="4"/>
      <x:c r="BS422" s="4"/>
      <x:c r="BT422" s="4"/>
      <x:c r="BU422" s="4"/>
      <x:c r="BV422" s="4"/>
      <x:c r="BW422" s="4"/>
      <x:c r="BX422" s="4"/>
      <x:c r="BY422" s="4"/>
      <x:c r="BZ422" s="4"/>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x:c r="DB422" s="4"/>
      <x:c r="DC422" s="4"/>
      <x:c r="DD422" s="4"/>
      <x:c r="DE422" s="4"/>
      <x:c r="DF422" s="4"/>
      <x:c r="DG422" s="4"/>
      <x:c r="DH422" s="4"/>
      <x:c r="DI422" s="4"/>
      <x:c r="DJ422" s="4"/>
      <x:c r="DK422" s="4"/>
      <x:c r="DL422" s="4"/>
      <x:c r="DM422" s="4"/>
      <x:c r="DN422" s="4"/>
      <x:c r="DO422" s="4"/>
      <x:c r="DP422" s="4"/>
      <x:c r="DQ422" s="4"/>
      <x:c r="DR422" s="4"/>
      <x:c r="DS422" s="4"/>
      <x:c r="DT422" s="4"/>
      <x:c r="DU422" s="4"/>
      <x:c r="DV422" s="4"/>
      <x:c r="DW422" s="4"/>
      <x:c r="DX422" s="4"/>
      <x:c r="DY422" s="4"/>
      <x:c r="DZ422" s="4"/>
      <x:c r="EA422" s="4"/>
      <x:c r="EB422" s="4"/>
      <x:c r="EC422" s="4"/>
      <x:c r="ED422" s="4"/>
      <x:c r="EE422" s="4"/>
      <x:c r="EF422" s="4"/>
      <x:c r="EG422" s="4"/>
      <x:c r="EH422" s="4"/>
      <x:c r="EI422" s="4"/>
      <x:c r="EJ422" s="4"/>
      <x:c r="EK422" s="4"/>
      <x:c r="EL422" s="4"/>
      <x:c r="EM422" s="4"/>
      <x:c r="EN422" s="4"/>
      <x:c r="EO422" s="4"/>
      <x:c r="EP422" s="4"/>
      <x:c r="EQ422" s="4"/>
      <x:c r="ER422" s="4"/>
      <x:c r="ES422" s="4"/>
      <x:c r="ET422" s="4"/>
      <x:c r="EU422" s="4"/>
      <x:c r="EV422" s="4"/>
      <x:c r="EW422" s="4"/>
      <x:c r="EX422" s="4"/>
      <x:c r="EY422" s="4"/>
      <x:c r="EZ422" s="4"/>
      <x:c r="FA422" s="4"/>
      <x:c r="FB422" s="4"/>
      <x:c r="FC422" s="4"/>
      <x:c r="FD422" s="4"/>
      <x:c r="FE422" s="4"/>
      <x:c r="FF422" s="4"/>
      <x:c r="FG422" s="4"/>
      <x:c r="FH422" s="4"/>
      <x:c r="FI422" s="4"/>
      <x:c r="FJ422" s="4"/>
      <x:c r="FK422" s="4"/>
      <x:c r="FL422" s="4"/>
      <x:c r="FM422" s="4"/>
      <x:c r="FN422" s="4"/>
      <x:c r="FO422" s="4"/>
    </x:row>
    <x:row r="423">
      <x:c r="A423" s="72"/>
      <x:c r="B423" s="72"/>
      <x:c r="C423" s="72"/>
      <x:c r="D423" s="72"/>
      <x:c r="E423" s="72"/>
      <x:c r="F423" s="72"/>
      <x:c r="G423" s="72"/>
      <x:c r="H423" s="72"/>
      <x:c r="I423" s="72"/>
      <x:c r="J423" s="72"/>
      <x:c r="K423" s="72"/>
      <x:c r="L423" s="72"/>
      <x:c r="M423" s="72"/>
      <x:c r="N423" s="72"/>
      <x:c r="O423" s="72"/>
      <x:c r="P423" s="72"/>
      <x:c r="Q423" s="72"/>
      <x:c r="R423" s="72"/>
      <x:c r="S423" s="72"/>
      <x:c r="T423" s="72"/>
      <x:c r="U423" s="72"/>
      <x:c r="V423" s="72"/>
      <x:c r="W423" s="72"/>
      <x:c r="X423" s="72"/>
      <x:c r="Y423" s="72"/>
      <x:c r="Z423" s="72"/>
      <x:c r="AA423" s="72"/>
      <x:c r="AB423" s="72"/>
      <x:c r="AC423" s="72"/>
      <x:c r="AD423" s="72"/>
      <x:c r="AE423" s="72"/>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x:c r="BN423" s="4"/>
      <x:c r="BO423" s="4"/>
      <x:c r="BP423" s="4"/>
      <x:c r="BQ423" s="4"/>
      <x:c r="BR423" s="4"/>
      <x:c r="BS423" s="4"/>
      <x:c r="BT423" s="4"/>
      <x:c r="BU423" s="4"/>
      <x:c r="BV423" s="4"/>
      <x:c r="BW423" s="4"/>
      <x:c r="BX423" s="4"/>
      <x:c r="BY423" s="4"/>
      <x:c r="BZ423" s="4"/>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x:c r="DB423" s="4"/>
      <x:c r="DC423" s="4"/>
      <x:c r="DD423" s="4"/>
      <x:c r="DE423" s="4"/>
      <x:c r="DF423" s="4"/>
      <x:c r="DG423" s="4"/>
      <x:c r="DH423" s="4"/>
      <x:c r="DI423" s="4"/>
      <x:c r="DJ423" s="4"/>
      <x:c r="DK423" s="4"/>
      <x:c r="DL423" s="4"/>
      <x:c r="DM423" s="4"/>
      <x:c r="DN423" s="4"/>
      <x:c r="DO423" s="4"/>
      <x:c r="DP423" s="4"/>
      <x:c r="DQ423" s="4"/>
      <x:c r="DR423" s="4"/>
      <x:c r="DS423" s="4"/>
      <x:c r="DT423" s="4"/>
      <x:c r="DU423" s="4"/>
      <x:c r="DV423" s="4"/>
      <x:c r="DW423" s="4"/>
      <x:c r="DX423" s="4"/>
      <x:c r="DY423" s="4"/>
      <x:c r="DZ423" s="4"/>
      <x:c r="EA423" s="4"/>
      <x:c r="EB423" s="4"/>
      <x:c r="EC423" s="4"/>
      <x:c r="ED423" s="4"/>
      <x:c r="EE423" s="4"/>
      <x:c r="EF423" s="4"/>
      <x:c r="EG423" s="4"/>
      <x:c r="EH423" s="4"/>
      <x:c r="EI423" s="4"/>
      <x:c r="EJ423" s="4"/>
      <x:c r="EK423" s="4"/>
      <x:c r="EL423" s="4"/>
      <x:c r="EM423" s="4"/>
      <x:c r="EN423" s="4"/>
      <x:c r="EO423" s="4"/>
      <x:c r="EP423" s="4"/>
      <x:c r="EQ423" s="4"/>
      <x:c r="ER423" s="4"/>
      <x:c r="ES423" s="4"/>
      <x:c r="ET423" s="4"/>
      <x:c r="EU423" s="4"/>
      <x:c r="EV423" s="4"/>
      <x:c r="EW423" s="4"/>
      <x:c r="EX423" s="4"/>
      <x:c r="EY423" s="4"/>
      <x:c r="EZ423" s="4"/>
      <x:c r="FA423" s="4"/>
      <x:c r="FB423" s="4"/>
      <x:c r="FC423" s="4"/>
      <x:c r="FD423" s="4"/>
      <x:c r="FE423" s="4"/>
      <x:c r="FF423" s="4"/>
      <x:c r="FG423" s="4"/>
      <x:c r="FH423" s="4"/>
      <x:c r="FI423" s="4"/>
      <x:c r="FJ423" s="4"/>
      <x:c r="FK423" s="4"/>
      <x:c r="FL423" s="4"/>
      <x:c r="FM423" s="4"/>
      <x:c r="FN423" s="4"/>
      <x:c r="FO423" s="4"/>
    </x:row>
    <x:row r="424">
      <x:c r="A424" s="72"/>
      <x:c r="B424" s="72"/>
      <x:c r="C424" s="72"/>
      <x:c r="D424" s="72"/>
      <x:c r="E424" s="72"/>
      <x:c r="F424" s="72"/>
      <x:c r="G424" s="72"/>
      <x:c r="H424" s="72"/>
      <x:c r="I424" s="72"/>
      <x:c r="J424" s="72"/>
      <x:c r="K424" s="72"/>
      <x:c r="L424" s="72"/>
      <x:c r="M424" s="72"/>
      <x:c r="N424" s="72"/>
      <x:c r="O424" s="72"/>
      <x:c r="P424" s="72"/>
      <x:c r="Q424" s="72"/>
      <x:c r="R424" s="72"/>
      <x:c r="S424" s="72"/>
      <x:c r="T424" s="72"/>
      <x:c r="U424" s="72"/>
      <x:c r="V424" s="72"/>
      <x:c r="W424" s="72"/>
      <x:c r="X424" s="72"/>
      <x:c r="Y424" s="72"/>
      <x:c r="Z424" s="72"/>
      <x:c r="AA424" s="72"/>
      <x:c r="AB424" s="72"/>
      <x:c r="AC424" s="72"/>
      <x:c r="AD424" s="72"/>
      <x:c r="AE424" s="72"/>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x:c r="BN424" s="4"/>
      <x:c r="BO424" s="4"/>
      <x:c r="BP424" s="4"/>
      <x:c r="BQ424" s="4"/>
      <x:c r="BR424" s="4"/>
      <x:c r="BS424" s="4"/>
      <x:c r="BT424" s="4"/>
      <x:c r="BU424" s="4"/>
      <x:c r="BV424" s="4"/>
      <x:c r="BW424" s="4"/>
      <x:c r="BX424" s="4"/>
      <x:c r="BY424" s="4"/>
      <x:c r="BZ424" s="4"/>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x:c r="DB424" s="4"/>
      <x:c r="DC424" s="4"/>
      <x:c r="DD424" s="4"/>
      <x:c r="DE424" s="4"/>
      <x:c r="DF424" s="4"/>
      <x:c r="DG424" s="4"/>
      <x:c r="DH424" s="4"/>
      <x:c r="DI424" s="4"/>
      <x:c r="DJ424" s="4"/>
      <x:c r="DK424" s="4"/>
      <x:c r="DL424" s="4"/>
      <x:c r="DM424" s="4"/>
      <x:c r="DN424" s="4"/>
      <x:c r="DO424" s="4"/>
      <x:c r="DP424" s="4"/>
      <x:c r="DQ424" s="4"/>
      <x:c r="DR424" s="4"/>
      <x:c r="DS424" s="4"/>
      <x:c r="DT424" s="4"/>
      <x:c r="DU424" s="4"/>
      <x:c r="DV424" s="4"/>
      <x:c r="DW424" s="4"/>
      <x:c r="DX424" s="4"/>
      <x:c r="DY424" s="4"/>
      <x:c r="DZ424" s="4"/>
      <x:c r="EA424" s="4"/>
      <x:c r="EB424" s="4"/>
      <x:c r="EC424" s="4"/>
      <x:c r="ED424" s="4"/>
      <x:c r="EE424" s="4"/>
      <x:c r="EF424" s="4"/>
      <x:c r="EG424" s="4"/>
      <x:c r="EH424" s="4"/>
      <x:c r="EI424" s="4"/>
      <x:c r="EJ424" s="4"/>
      <x:c r="EK424" s="4"/>
      <x:c r="EL424" s="4"/>
      <x:c r="EM424" s="4"/>
      <x:c r="EN424" s="4"/>
      <x:c r="EO424" s="4"/>
      <x:c r="EP424" s="4"/>
      <x:c r="EQ424" s="4"/>
      <x:c r="ER424" s="4"/>
      <x:c r="ES424" s="4"/>
      <x:c r="ET424" s="4"/>
      <x:c r="EU424" s="4"/>
      <x:c r="EV424" s="4"/>
      <x:c r="EW424" s="4"/>
      <x:c r="EX424" s="4"/>
      <x:c r="EY424" s="4"/>
      <x:c r="EZ424" s="4"/>
      <x:c r="FA424" s="4"/>
      <x:c r="FB424" s="4"/>
      <x:c r="FC424" s="4"/>
      <x:c r="FD424" s="4"/>
      <x:c r="FE424" s="4"/>
      <x:c r="FF424" s="4"/>
      <x:c r="FG424" s="4"/>
      <x:c r="FH424" s="4"/>
      <x:c r="FI424" s="4"/>
      <x:c r="FJ424" s="4"/>
      <x:c r="FK424" s="4"/>
      <x:c r="FL424" s="4"/>
      <x:c r="FM424" s="4"/>
      <x:c r="FN424" s="4"/>
      <x:c r="FO424" s="4"/>
    </x:row>
    <x:row r="425">
      <x:c r="A425" s="72"/>
      <x:c r="B425" s="72"/>
      <x:c r="C425" s="72"/>
      <x:c r="D425" s="72"/>
      <x:c r="E425" s="72"/>
      <x:c r="F425" s="72"/>
      <x:c r="G425" s="72"/>
      <x:c r="H425" s="72"/>
      <x:c r="I425" s="72"/>
      <x:c r="J425" s="72"/>
      <x:c r="K425" s="72"/>
      <x:c r="L425" s="72"/>
      <x:c r="M425" s="72"/>
      <x:c r="N425" s="72"/>
      <x:c r="O425" s="72"/>
      <x:c r="P425" s="72"/>
      <x:c r="Q425" s="72"/>
      <x:c r="R425" s="72"/>
      <x:c r="S425" s="72"/>
      <x:c r="T425" s="72"/>
      <x:c r="U425" s="72"/>
      <x:c r="V425" s="72"/>
      <x:c r="W425" s="72"/>
      <x:c r="X425" s="72"/>
      <x:c r="Y425" s="72"/>
      <x:c r="Z425" s="72"/>
      <x:c r="AA425" s="72"/>
      <x:c r="AB425" s="72"/>
      <x:c r="AC425" s="72"/>
      <x:c r="AD425" s="72"/>
      <x:c r="AE425" s="72"/>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x:c r="BN425" s="4"/>
      <x:c r="BO425" s="4"/>
      <x:c r="BP425" s="4"/>
      <x:c r="BQ425" s="4"/>
      <x:c r="BR425" s="4"/>
      <x:c r="BS425" s="4"/>
      <x:c r="BT425" s="4"/>
      <x:c r="BU425" s="4"/>
      <x:c r="BV425" s="4"/>
      <x:c r="BW425" s="4"/>
      <x:c r="BX425" s="4"/>
      <x:c r="BY425" s="4"/>
      <x:c r="BZ425" s="4"/>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x:c r="DB425" s="4"/>
      <x:c r="DC425" s="4"/>
      <x:c r="DD425" s="4"/>
      <x:c r="DE425" s="4"/>
      <x:c r="DF425" s="4"/>
      <x:c r="DG425" s="4"/>
      <x:c r="DH425" s="4"/>
      <x:c r="DI425" s="4"/>
      <x:c r="DJ425" s="4"/>
      <x:c r="DK425" s="4"/>
      <x:c r="DL425" s="4"/>
      <x:c r="DM425" s="4"/>
      <x:c r="DN425" s="4"/>
      <x:c r="DO425" s="4"/>
      <x:c r="DP425" s="4"/>
      <x:c r="DQ425" s="4"/>
      <x:c r="DR425" s="4"/>
      <x:c r="DS425" s="4"/>
      <x:c r="DT425" s="4"/>
      <x:c r="DU425" s="4"/>
      <x:c r="DV425" s="4"/>
      <x:c r="DW425" s="4"/>
      <x:c r="DX425" s="4"/>
      <x:c r="DY425" s="4"/>
      <x:c r="DZ425" s="4"/>
      <x:c r="EA425" s="4"/>
      <x:c r="EB425" s="4"/>
      <x:c r="EC425" s="4"/>
      <x:c r="ED425" s="4"/>
      <x:c r="EE425" s="4"/>
      <x:c r="EF425" s="4"/>
      <x:c r="EG425" s="4"/>
      <x:c r="EH425" s="4"/>
      <x:c r="EI425" s="4"/>
      <x:c r="EJ425" s="4"/>
      <x:c r="EK425" s="4"/>
      <x:c r="EL425" s="4"/>
      <x:c r="EM425" s="4"/>
      <x:c r="EN425" s="4"/>
      <x:c r="EO425" s="4"/>
      <x:c r="EP425" s="4"/>
      <x:c r="EQ425" s="4"/>
      <x:c r="ER425" s="4"/>
      <x:c r="ES425" s="4"/>
      <x:c r="ET425" s="4"/>
      <x:c r="EU425" s="4"/>
      <x:c r="EV425" s="4"/>
      <x:c r="EW425" s="4"/>
      <x:c r="EX425" s="4"/>
      <x:c r="EY425" s="4"/>
      <x:c r="EZ425" s="4"/>
      <x:c r="FA425" s="4"/>
      <x:c r="FB425" s="4"/>
      <x:c r="FC425" s="4"/>
      <x:c r="FD425" s="4"/>
      <x:c r="FE425" s="4"/>
      <x:c r="FF425" s="4"/>
      <x:c r="FG425" s="4"/>
      <x:c r="FH425" s="4"/>
      <x:c r="FI425" s="4"/>
      <x:c r="FJ425" s="4"/>
      <x:c r="FK425" s="4"/>
      <x:c r="FL425" s="4"/>
      <x:c r="FM425" s="4"/>
      <x:c r="FN425" s="4"/>
      <x:c r="FO425" s="4"/>
    </x:row>
    <x:row r="426">
      <x:c r="A426" s="72"/>
      <x:c r="B426" s="72"/>
      <x:c r="C426" s="72"/>
      <x:c r="D426" s="72"/>
      <x:c r="E426" s="72"/>
      <x:c r="F426" s="72"/>
      <x:c r="G426" s="72"/>
      <x:c r="H426" s="72"/>
      <x:c r="I426" s="72"/>
      <x:c r="J426" s="72"/>
      <x:c r="K426" s="72"/>
      <x:c r="L426" s="72"/>
      <x:c r="M426" s="72"/>
      <x:c r="N426" s="72"/>
      <x:c r="O426" s="72"/>
      <x:c r="P426" s="72"/>
      <x:c r="Q426" s="72"/>
      <x:c r="R426" s="72"/>
      <x:c r="S426" s="72"/>
      <x:c r="T426" s="72"/>
      <x:c r="U426" s="72"/>
      <x:c r="V426" s="72"/>
      <x:c r="W426" s="72"/>
      <x:c r="X426" s="72"/>
      <x:c r="Y426" s="72"/>
      <x:c r="Z426" s="72"/>
      <x:c r="AA426" s="72"/>
      <x:c r="AB426" s="72"/>
      <x:c r="AC426" s="72"/>
      <x:c r="AD426" s="72"/>
      <x:c r="AE426" s="72"/>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x:c r="BN426" s="4"/>
      <x:c r="BO426" s="4"/>
      <x:c r="BP426" s="4"/>
      <x:c r="BQ426" s="4"/>
      <x:c r="BR426" s="4"/>
      <x:c r="BS426" s="4"/>
      <x:c r="BT426" s="4"/>
      <x:c r="BU426" s="4"/>
      <x:c r="BV426" s="4"/>
      <x:c r="BW426" s="4"/>
      <x:c r="BX426" s="4"/>
      <x:c r="BY426" s="4"/>
      <x:c r="BZ426" s="4"/>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x:c r="DB426" s="4"/>
      <x:c r="DC426" s="4"/>
      <x:c r="DD426" s="4"/>
      <x:c r="DE426" s="4"/>
      <x:c r="DF426" s="4"/>
      <x:c r="DG426" s="4"/>
      <x:c r="DH426" s="4"/>
      <x:c r="DI426" s="4"/>
      <x:c r="DJ426" s="4"/>
      <x:c r="DK426" s="4"/>
      <x:c r="DL426" s="4"/>
      <x:c r="DM426" s="4"/>
      <x:c r="DN426" s="4"/>
      <x:c r="DO426" s="4"/>
      <x:c r="DP426" s="4"/>
      <x:c r="DQ426" s="4"/>
      <x:c r="DR426" s="4"/>
      <x:c r="DS426" s="4"/>
      <x:c r="DT426" s="4"/>
      <x:c r="DU426" s="4"/>
      <x:c r="DV426" s="4"/>
      <x:c r="DW426" s="4"/>
      <x:c r="DX426" s="4"/>
      <x:c r="DY426" s="4"/>
      <x:c r="DZ426" s="4"/>
      <x:c r="EA426" s="4"/>
      <x:c r="EB426" s="4"/>
      <x:c r="EC426" s="4"/>
      <x:c r="ED426" s="4"/>
      <x:c r="EE426" s="4"/>
      <x:c r="EF426" s="4"/>
      <x:c r="EG426" s="4"/>
      <x:c r="EH426" s="4"/>
      <x:c r="EI426" s="4"/>
      <x:c r="EJ426" s="4"/>
      <x:c r="EK426" s="4"/>
      <x:c r="EL426" s="4"/>
      <x:c r="EM426" s="4"/>
      <x:c r="EN426" s="4"/>
      <x:c r="EO426" s="4"/>
      <x:c r="EP426" s="4"/>
      <x:c r="EQ426" s="4"/>
      <x:c r="ER426" s="4"/>
      <x:c r="ES426" s="4"/>
      <x:c r="ET426" s="4"/>
      <x:c r="EU426" s="4"/>
      <x:c r="EV426" s="4"/>
      <x:c r="EW426" s="4"/>
      <x:c r="EX426" s="4"/>
      <x:c r="EY426" s="4"/>
      <x:c r="EZ426" s="4"/>
      <x:c r="FA426" s="4"/>
      <x:c r="FB426" s="4"/>
      <x:c r="FC426" s="4"/>
      <x:c r="FD426" s="4"/>
      <x:c r="FE426" s="4"/>
      <x:c r="FF426" s="4"/>
      <x:c r="FG426" s="4"/>
      <x:c r="FH426" s="4"/>
      <x:c r="FI426" s="4"/>
      <x:c r="FJ426" s="4"/>
      <x:c r="FK426" s="4"/>
      <x:c r="FL426" s="4"/>
      <x:c r="FM426" s="4"/>
      <x:c r="FN426" s="4"/>
      <x:c r="FO426" s="4"/>
    </x:row>
    <x:row r="427">
      <x:c r="A427" s="72"/>
      <x:c r="B427" s="72"/>
      <x:c r="C427" s="72"/>
      <x:c r="D427" s="72"/>
      <x:c r="E427" s="72"/>
      <x:c r="F427" s="72"/>
      <x:c r="G427" s="72"/>
      <x:c r="H427" s="72"/>
      <x:c r="I427" s="72"/>
      <x:c r="J427" s="72"/>
      <x:c r="K427" s="72"/>
      <x:c r="L427" s="72"/>
      <x:c r="M427" s="72"/>
      <x:c r="N427" s="72"/>
      <x:c r="O427" s="72"/>
      <x:c r="P427" s="72"/>
      <x:c r="Q427" s="72"/>
      <x:c r="R427" s="72"/>
      <x:c r="S427" s="72"/>
      <x:c r="T427" s="72"/>
      <x:c r="U427" s="72"/>
      <x:c r="V427" s="72"/>
      <x:c r="W427" s="72"/>
      <x:c r="X427" s="72"/>
      <x:c r="Y427" s="72"/>
      <x:c r="Z427" s="72"/>
      <x:c r="AA427" s="72"/>
      <x:c r="AB427" s="72"/>
      <x:c r="AC427" s="72"/>
      <x:c r="AD427" s="72"/>
      <x:c r="AE427" s="72"/>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x:c r="BN427" s="4"/>
      <x:c r="BO427" s="4"/>
      <x:c r="BP427" s="4"/>
      <x:c r="BQ427" s="4"/>
      <x:c r="BR427" s="4"/>
      <x:c r="BS427" s="4"/>
      <x:c r="BT427" s="4"/>
      <x:c r="BU427" s="4"/>
      <x:c r="BV427" s="4"/>
      <x:c r="BW427" s="4"/>
      <x:c r="BX427" s="4"/>
      <x:c r="BY427" s="4"/>
      <x:c r="BZ427" s="4"/>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x:c r="DB427" s="4"/>
      <x:c r="DC427" s="4"/>
      <x:c r="DD427" s="4"/>
      <x:c r="DE427" s="4"/>
      <x:c r="DF427" s="4"/>
      <x:c r="DG427" s="4"/>
      <x:c r="DH427" s="4"/>
      <x:c r="DI427" s="4"/>
      <x:c r="DJ427" s="4"/>
      <x:c r="DK427" s="4"/>
      <x:c r="DL427" s="4"/>
      <x:c r="DM427" s="4"/>
      <x:c r="DN427" s="4"/>
      <x:c r="DO427" s="4"/>
      <x:c r="DP427" s="4"/>
      <x:c r="DQ427" s="4"/>
      <x:c r="DR427" s="4"/>
      <x:c r="DS427" s="4"/>
      <x:c r="DT427" s="4"/>
      <x:c r="DU427" s="4"/>
      <x:c r="DV427" s="4"/>
      <x:c r="DW427" s="4"/>
      <x:c r="DX427" s="4"/>
      <x:c r="DY427" s="4"/>
      <x:c r="DZ427" s="4"/>
      <x:c r="EA427" s="4"/>
      <x:c r="EB427" s="4"/>
      <x:c r="EC427" s="4"/>
      <x:c r="ED427" s="4"/>
      <x:c r="EE427" s="4"/>
      <x:c r="EF427" s="4"/>
      <x:c r="EG427" s="4"/>
      <x:c r="EH427" s="4"/>
      <x:c r="EI427" s="4"/>
      <x:c r="EJ427" s="4"/>
      <x:c r="EK427" s="4"/>
      <x:c r="EL427" s="4"/>
      <x:c r="EM427" s="4"/>
      <x:c r="EN427" s="4"/>
      <x:c r="EO427" s="4"/>
      <x:c r="EP427" s="4"/>
      <x:c r="EQ427" s="4"/>
      <x:c r="ER427" s="4"/>
      <x:c r="ES427" s="4"/>
      <x:c r="ET427" s="4"/>
      <x:c r="EU427" s="4"/>
      <x:c r="EV427" s="4"/>
      <x:c r="EW427" s="4"/>
      <x:c r="EX427" s="4"/>
      <x:c r="EY427" s="4"/>
      <x:c r="EZ427" s="4"/>
      <x:c r="FA427" s="4"/>
      <x:c r="FB427" s="4"/>
      <x:c r="FC427" s="4"/>
      <x:c r="FD427" s="4"/>
      <x:c r="FE427" s="4"/>
      <x:c r="FF427" s="4"/>
      <x:c r="FG427" s="4"/>
      <x:c r="FH427" s="4"/>
      <x:c r="FI427" s="4"/>
      <x:c r="FJ427" s="4"/>
      <x:c r="FK427" s="4"/>
      <x:c r="FL427" s="4"/>
      <x:c r="FM427" s="4"/>
      <x:c r="FN427" s="4"/>
      <x:c r="FO427" s="4"/>
    </x:row>
    <x:row r="428">
      <x:c r="A428" s="72"/>
      <x:c r="B428" s="72"/>
      <x:c r="C428" s="72"/>
      <x:c r="D428" s="72"/>
      <x:c r="E428" s="72"/>
      <x:c r="F428" s="72"/>
      <x:c r="G428" s="72"/>
      <x:c r="H428" s="72"/>
      <x:c r="I428" s="72"/>
      <x:c r="J428" s="72"/>
      <x:c r="K428" s="72"/>
      <x:c r="L428" s="72"/>
      <x:c r="M428" s="72"/>
      <x:c r="N428" s="72"/>
      <x:c r="O428" s="72"/>
      <x:c r="P428" s="72"/>
      <x:c r="Q428" s="72"/>
      <x:c r="R428" s="72"/>
      <x:c r="S428" s="72"/>
      <x:c r="T428" s="72"/>
      <x:c r="U428" s="72"/>
      <x:c r="V428" s="72"/>
      <x:c r="W428" s="72"/>
      <x:c r="X428" s="72"/>
      <x:c r="Y428" s="72"/>
      <x:c r="Z428" s="72"/>
      <x:c r="AA428" s="72"/>
      <x:c r="AB428" s="72"/>
      <x:c r="AC428" s="72"/>
      <x:c r="AD428" s="72"/>
      <x:c r="AE428" s="72"/>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x:c r="BN428" s="4"/>
      <x:c r="BO428" s="4"/>
      <x:c r="BP428" s="4"/>
      <x:c r="BQ428" s="4"/>
      <x:c r="BR428" s="4"/>
      <x:c r="BS428" s="4"/>
      <x:c r="BT428" s="4"/>
      <x:c r="BU428" s="4"/>
      <x:c r="BV428" s="4"/>
      <x:c r="BW428" s="4"/>
      <x:c r="BX428" s="4"/>
      <x:c r="BY428" s="4"/>
      <x:c r="BZ428" s="4"/>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x:c r="DB428" s="4"/>
      <x:c r="DC428" s="4"/>
      <x:c r="DD428" s="4"/>
      <x:c r="DE428" s="4"/>
      <x:c r="DF428" s="4"/>
      <x:c r="DG428" s="4"/>
      <x:c r="DH428" s="4"/>
      <x:c r="DI428" s="4"/>
      <x:c r="DJ428" s="4"/>
      <x:c r="DK428" s="4"/>
      <x:c r="DL428" s="4"/>
      <x:c r="DM428" s="4"/>
      <x:c r="DN428" s="4"/>
      <x:c r="DO428" s="4"/>
      <x:c r="DP428" s="4"/>
      <x:c r="DQ428" s="4"/>
      <x:c r="DR428" s="4"/>
      <x:c r="DS428" s="4"/>
      <x:c r="DT428" s="4"/>
      <x:c r="DU428" s="4"/>
      <x:c r="DV428" s="4"/>
      <x:c r="DW428" s="4"/>
      <x:c r="DX428" s="4"/>
      <x:c r="DY428" s="4"/>
      <x:c r="DZ428" s="4"/>
      <x:c r="EA428" s="4"/>
      <x:c r="EB428" s="4"/>
      <x:c r="EC428" s="4"/>
      <x:c r="ED428" s="4"/>
      <x:c r="EE428" s="4"/>
      <x:c r="EF428" s="4"/>
      <x:c r="EG428" s="4"/>
      <x:c r="EH428" s="4"/>
      <x:c r="EI428" s="4"/>
      <x:c r="EJ428" s="4"/>
      <x:c r="EK428" s="4"/>
      <x:c r="EL428" s="4"/>
      <x:c r="EM428" s="4"/>
      <x:c r="EN428" s="4"/>
      <x:c r="EO428" s="4"/>
      <x:c r="EP428" s="4"/>
      <x:c r="EQ428" s="4"/>
      <x:c r="ER428" s="4"/>
      <x:c r="ES428" s="4"/>
      <x:c r="ET428" s="4"/>
      <x:c r="EU428" s="4"/>
      <x:c r="EV428" s="4"/>
      <x:c r="EW428" s="4"/>
      <x:c r="EX428" s="4"/>
      <x:c r="EY428" s="4"/>
      <x:c r="EZ428" s="4"/>
      <x:c r="FA428" s="4"/>
      <x:c r="FB428" s="4"/>
      <x:c r="FC428" s="4"/>
      <x:c r="FD428" s="4"/>
      <x:c r="FE428" s="4"/>
      <x:c r="FF428" s="4"/>
      <x:c r="FG428" s="4"/>
      <x:c r="FH428" s="4"/>
      <x:c r="FI428" s="4"/>
      <x:c r="FJ428" s="4"/>
      <x:c r="FK428" s="4"/>
      <x:c r="FL428" s="4"/>
      <x:c r="FM428" s="4"/>
      <x:c r="FN428" s="4"/>
      <x:c r="FO428" s="4"/>
    </x:row>
    <x:row r="429">
      <x:c r="A429" s="72"/>
      <x:c r="B429" s="72"/>
      <x:c r="C429" s="72"/>
      <x:c r="D429" s="72"/>
      <x:c r="E429" s="72"/>
      <x:c r="F429" s="72"/>
      <x:c r="G429" s="72"/>
      <x:c r="H429" s="72"/>
      <x:c r="I429" s="72"/>
      <x:c r="J429" s="72"/>
      <x:c r="K429" s="72"/>
      <x:c r="L429" s="72"/>
      <x:c r="M429" s="72"/>
      <x:c r="N429" s="72"/>
      <x:c r="O429" s="72"/>
      <x:c r="P429" s="72"/>
      <x:c r="Q429" s="72"/>
      <x:c r="R429" s="72"/>
      <x:c r="S429" s="72"/>
      <x:c r="T429" s="72"/>
      <x:c r="U429" s="72"/>
      <x:c r="V429" s="72"/>
      <x:c r="W429" s="72"/>
      <x:c r="X429" s="72"/>
      <x:c r="Y429" s="72"/>
      <x:c r="Z429" s="72"/>
      <x:c r="AA429" s="72"/>
      <x:c r="AB429" s="72"/>
      <x:c r="AC429" s="72"/>
      <x:c r="AD429" s="72"/>
      <x:c r="AE429" s="72"/>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x:c r="BN429" s="4"/>
      <x:c r="BO429" s="4"/>
      <x:c r="BP429" s="4"/>
      <x:c r="BQ429" s="4"/>
      <x:c r="BR429" s="4"/>
      <x:c r="BS429" s="4"/>
      <x:c r="BT429" s="4"/>
      <x:c r="BU429" s="4"/>
      <x:c r="BV429" s="4"/>
      <x:c r="BW429" s="4"/>
      <x:c r="BX429" s="4"/>
      <x:c r="BY429" s="4"/>
      <x:c r="BZ429" s="4"/>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x:c r="DB429" s="4"/>
      <x:c r="DC429" s="4"/>
      <x:c r="DD429" s="4"/>
      <x:c r="DE429" s="4"/>
      <x:c r="DF429" s="4"/>
      <x:c r="DG429" s="4"/>
      <x:c r="DH429" s="4"/>
      <x:c r="DI429" s="4"/>
      <x:c r="DJ429" s="4"/>
      <x:c r="DK429" s="4"/>
      <x:c r="DL429" s="4"/>
      <x:c r="DM429" s="4"/>
      <x:c r="DN429" s="4"/>
      <x:c r="DO429" s="4"/>
      <x:c r="DP429" s="4"/>
      <x:c r="DQ429" s="4"/>
      <x:c r="DR429" s="4"/>
      <x:c r="DS429" s="4"/>
      <x:c r="DT429" s="4"/>
      <x:c r="DU429" s="4"/>
      <x:c r="DV429" s="4"/>
      <x:c r="DW429" s="4"/>
      <x:c r="DX429" s="4"/>
      <x:c r="DY429" s="4"/>
      <x:c r="DZ429" s="4"/>
      <x:c r="EA429" s="4"/>
      <x:c r="EB429" s="4"/>
      <x:c r="EC429" s="4"/>
      <x:c r="ED429" s="4"/>
      <x:c r="EE429" s="4"/>
      <x:c r="EF429" s="4"/>
      <x:c r="EG429" s="4"/>
      <x:c r="EH429" s="4"/>
      <x:c r="EI429" s="4"/>
      <x:c r="EJ429" s="4"/>
      <x:c r="EK429" s="4"/>
      <x:c r="EL429" s="4"/>
      <x:c r="EM429" s="4"/>
      <x:c r="EN429" s="4"/>
      <x:c r="EO429" s="4"/>
      <x:c r="EP429" s="4"/>
      <x:c r="EQ429" s="4"/>
      <x:c r="ER429" s="4"/>
      <x:c r="ES429" s="4"/>
      <x:c r="ET429" s="4"/>
      <x:c r="EU429" s="4"/>
      <x:c r="EV429" s="4"/>
      <x:c r="EW429" s="4"/>
      <x:c r="EX429" s="4"/>
      <x:c r="EY429" s="4"/>
      <x:c r="EZ429" s="4"/>
      <x:c r="FA429" s="4"/>
      <x:c r="FB429" s="4"/>
      <x:c r="FC429" s="4"/>
      <x:c r="FD429" s="4"/>
      <x:c r="FE429" s="4"/>
      <x:c r="FF429" s="4"/>
      <x:c r="FG429" s="4"/>
      <x:c r="FH429" s="4"/>
      <x:c r="FI429" s="4"/>
      <x:c r="FJ429" s="4"/>
      <x:c r="FK429" s="4"/>
      <x:c r="FL429" s="4"/>
      <x:c r="FM429" s="4"/>
      <x:c r="FN429" s="4"/>
      <x:c r="FO429" s="4"/>
    </x:row>
    <x:row r="430">
      <x:c r="A430" s="72"/>
      <x:c r="B430" s="72"/>
      <x:c r="C430" s="72"/>
      <x:c r="D430" s="72"/>
      <x:c r="E430" s="72"/>
      <x:c r="F430" s="72"/>
      <x:c r="G430" s="72"/>
      <x:c r="H430" s="72"/>
      <x:c r="I430" s="72"/>
      <x:c r="J430" s="72"/>
      <x:c r="K430" s="72"/>
      <x:c r="L430" s="72"/>
      <x:c r="M430" s="72"/>
      <x:c r="N430" s="72"/>
      <x:c r="O430" s="72"/>
      <x:c r="P430" s="72"/>
      <x:c r="Q430" s="72"/>
      <x:c r="R430" s="72"/>
      <x:c r="S430" s="72"/>
      <x:c r="T430" s="72"/>
      <x:c r="U430" s="72"/>
      <x:c r="V430" s="72"/>
      <x:c r="W430" s="72"/>
      <x:c r="X430" s="72"/>
      <x:c r="Y430" s="72"/>
      <x:c r="Z430" s="72"/>
      <x:c r="AA430" s="72"/>
      <x:c r="AB430" s="72"/>
      <x:c r="AC430" s="72"/>
      <x:c r="AD430" s="72"/>
      <x:c r="AE430" s="72"/>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x:c r="BN430" s="4"/>
      <x:c r="BO430" s="4"/>
      <x:c r="BP430" s="4"/>
      <x:c r="BQ430" s="4"/>
      <x:c r="BR430" s="4"/>
      <x:c r="BS430" s="4"/>
      <x:c r="BT430" s="4"/>
      <x:c r="BU430" s="4"/>
      <x:c r="BV430" s="4"/>
      <x:c r="BW430" s="4"/>
      <x:c r="BX430" s="4"/>
      <x:c r="BY430" s="4"/>
      <x:c r="BZ430" s="4"/>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x:c r="DB430" s="4"/>
      <x:c r="DC430" s="4"/>
      <x:c r="DD430" s="4"/>
      <x:c r="DE430" s="4"/>
      <x:c r="DF430" s="4"/>
      <x:c r="DG430" s="4"/>
      <x:c r="DH430" s="4"/>
      <x:c r="DI430" s="4"/>
      <x:c r="DJ430" s="4"/>
      <x:c r="DK430" s="4"/>
      <x:c r="DL430" s="4"/>
      <x:c r="DM430" s="4"/>
      <x:c r="DN430" s="4"/>
      <x:c r="DO430" s="4"/>
      <x:c r="DP430" s="4"/>
      <x:c r="DQ430" s="4"/>
      <x:c r="DR430" s="4"/>
      <x:c r="DS430" s="4"/>
      <x:c r="DT430" s="4"/>
      <x:c r="DU430" s="4"/>
      <x:c r="DV430" s="4"/>
      <x:c r="DW430" s="4"/>
      <x:c r="DX430" s="4"/>
      <x:c r="DY430" s="4"/>
      <x:c r="DZ430" s="4"/>
      <x:c r="EA430" s="4"/>
      <x:c r="EB430" s="4"/>
      <x:c r="EC430" s="4"/>
      <x:c r="ED430" s="4"/>
      <x:c r="EE430" s="4"/>
      <x:c r="EF430" s="4"/>
      <x:c r="EG430" s="4"/>
      <x:c r="EH430" s="4"/>
      <x:c r="EI430" s="4"/>
      <x:c r="EJ430" s="4"/>
      <x:c r="EK430" s="4"/>
      <x:c r="EL430" s="4"/>
      <x:c r="EM430" s="4"/>
      <x:c r="EN430" s="4"/>
      <x:c r="EO430" s="4"/>
      <x:c r="EP430" s="4"/>
      <x:c r="EQ430" s="4"/>
      <x:c r="ER430" s="4"/>
      <x:c r="ES430" s="4"/>
      <x:c r="ET430" s="4"/>
      <x:c r="EU430" s="4"/>
      <x:c r="EV430" s="4"/>
      <x:c r="EW430" s="4"/>
      <x:c r="EX430" s="4"/>
      <x:c r="EY430" s="4"/>
      <x:c r="EZ430" s="4"/>
      <x:c r="FA430" s="4"/>
      <x:c r="FB430" s="4"/>
      <x:c r="FC430" s="4"/>
      <x:c r="FD430" s="4"/>
      <x:c r="FE430" s="4"/>
      <x:c r="FF430" s="4"/>
      <x:c r="FG430" s="4"/>
      <x:c r="FH430" s="4"/>
      <x:c r="FI430" s="4"/>
      <x:c r="FJ430" s="4"/>
      <x:c r="FK430" s="4"/>
      <x:c r="FL430" s="4"/>
      <x:c r="FM430" s="4"/>
      <x:c r="FN430" s="4"/>
      <x:c r="FO430" s="4"/>
    </x:row>
    <x:row r="431">
      <x:c r="A431" s="72"/>
      <x:c r="B431" s="72"/>
      <x:c r="C431" s="72"/>
      <x:c r="D431" s="72"/>
      <x:c r="E431" s="72"/>
      <x:c r="F431" s="72"/>
      <x:c r="G431" s="72"/>
      <x:c r="H431" s="72"/>
      <x:c r="I431" s="72"/>
      <x:c r="J431" s="72"/>
      <x:c r="K431" s="72"/>
      <x:c r="L431" s="72"/>
      <x:c r="M431" s="72"/>
      <x:c r="N431" s="72"/>
      <x:c r="O431" s="72"/>
      <x:c r="P431" s="72"/>
      <x:c r="Q431" s="72"/>
      <x:c r="R431" s="72"/>
      <x:c r="S431" s="72"/>
      <x:c r="T431" s="72"/>
      <x:c r="U431" s="72"/>
      <x:c r="V431" s="72"/>
      <x:c r="W431" s="72"/>
      <x:c r="X431" s="72"/>
      <x:c r="Y431" s="72"/>
      <x:c r="Z431" s="72"/>
      <x:c r="AA431" s="72"/>
      <x:c r="AB431" s="72"/>
      <x:c r="AC431" s="72"/>
      <x:c r="AD431" s="72"/>
      <x:c r="AE431" s="72"/>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x:c r="BN431" s="4"/>
      <x:c r="BO431" s="4"/>
      <x:c r="BP431" s="4"/>
      <x:c r="BQ431" s="4"/>
      <x:c r="BR431" s="4"/>
      <x:c r="BS431" s="4"/>
      <x:c r="BT431" s="4"/>
      <x:c r="BU431" s="4"/>
      <x:c r="BV431" s="4"/>
      <x:c r="BW431" s="4"/>
      <x:c r="BX431" s="4"/>
      <x:c r="BY431" s="4"/>
      <x:c r="BZ431" s="4"/>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x:c r="DB431" s="4"/>
      <x:c r="DC431" s="4"/>
      <x:c r="DD431" s="4"/>
      <x:c r="DE431" s="4"/>
      <x:c r="DF431" s="4"/>
      <x:c r="DG431" s="4"/>
      <x:c r="DH431" s="4"/>
      <x:c r="DI431" s="4"/>
      <x:c r="DJ431" s="4"/>
      <x:c r="DK431" s="4"/>
      <x:c r="DL431" s="4"/>
      <x:c r="DM431" s="4"/>
      <x:c r="DN431" s="4"/>
      <x:c r="DO431" s="4"/>
      <x:c r="DP431" s="4"/>
      <x:c r="DQ431" s="4"/>
      <x:c r="DR431" s="4"/>
      <x:c r="DS431" s="4"/>
      <x:c r="DT431" s="4"/>
      <x:c r="DU431" s="4"/>
      <x:c r="DV431" s="4"/>
      <x:c r="DW431" s="4"/>
      <x:c r="DX431" s="4"/>
      <x:c r="DY431" s="4"/>
      <x:c r="DZ431" s="4"/>
      <x:c r="EA431" s="4"/>
      <x:c r="EB431" s="4"/>
      <x:c r="EC431" s="4"/>
      <x:c r="ED431" s="4"/>
      <x:c r="EE431" s="4"/>
      <x:c r="EF431" s="4"/>
      <x:c r="EG431" s="4"/>
      <x:c r="EH431" s="4"/>
      <x:c r="EI431" s="4"/>
      <x:c r="EJ431" s="4"/>
      <x:c r="EK431" s="4"/>
      <x:c r="EL431" s="4"/>
      <x:c r="EM431" s="4"/>
      <x:c r="EN431" s="4"/>
      <x:c r="EO431" s="4"/>
      <x:c r="EP431" s="4"/>
      <x:c r="EQ431" s="4"/>
      <x:c r="ER431" s="4"/>
      <x:c r="ES431" s="4"/>
      <x:c r="ET431" s="4"/>
      <x:c r="EU431" s="4"/>
      <x:c r="EV431" s="4"/>
      <x:c r="EW431" s="4"/>
      <x:c r="EX431" s="4"/>
      <x:c r="EY431" s="4"/>
      <x:c r="EZ431" s="4"/>
      <x:c r="FA431" s="4"/>
      <x:c r="FB431" s="4"/>
      <x:c r="FC431" s="4"/>
      <x:c r="FD431" s="4"/>
      <x:c r="FE431" s="4"/>
      <x:c r="FF431" s="4"/>
      <x:c r="FG431" s="4"/>
      <x:c r="FH431" s="4"/>
      <x:c r="FI431" s="4"/>
      <x:c r="FJ431" s="4"/>
      <x:c r="FK431" s="4"/>
      <x:c r="FL431" s="4"/>
      <x:c r="FM431" s="4"/>
      <x:c r="FN431" s="4"/>
      <x:c r="FO431" s="4"/>
    </x:row>
    <x:row r="432">
      <x:c r="A432" s="72"/>
      <x:c r="B432" s="72"/>
      <x:c r="C432" s="72"/>
      <x:c r="D432" s="72"/>
      <x:c r="E432" s="72"/>
      <x:c r="F432" s="72"/>
      <x:c r="G432" s="72"/>
      <x:c r="H432" s="72"/>
      <x:c r="I432" s="72"/>
      <x:c r="J432" s="72"/>
      <x:c r="K432" s="72"/>
      <x:c r="L432" s="72"/>
      <x:c r="M432" s="72"/>
      <x:c r="N432" s="72"/>
      <x:c r="O432" s="72"/>
      <x:c r="P432" s="72"/>
      <x:c r="Q432" s="72"/>
      <x:c r="R432" s="72"/>
      <x:c r="S432" s="72"/>
      <x:c r="T432" s="72"/>
      <x:c r="U432" s="72"/>
      <x:c r="V432" s="72"/>
      <x:c r="W432" s="72"/>
      <x:c r="X432" s="72"/>
      <x:c r="Y432" s="72"/>
      <x:c r="Z432" s="72"/>
      <x:c r="AA432" s="72"/>
      <x:c r="AB432" s="72"/>
      <x:c r="AC432" s="72"/>
      <x:c r="AD432" s="72"/>
      <x:c r="AE432" s="72"/>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x:c r="BN432" s="4"/>
      <x:c r="BO432" s="4"/>
      <x:c r="BP432" s="4"/>
      <x:c r="BQ432" s="4"/>
      <x:c r="BR432" s="4"/>
      <x:c r="BS432" s="4"/>
      <x:c r="BT432" s="4"/>
      <x:c r="BU432" s="4"/>
      <x:c r="BV432" s="4"/>
      <x:c r="BW432" s="4"/>
      <x:c r="BX432" s="4"/>
      <x:c r="BY432" s="4"/>
      <x:c r="BZ432" s="4"/>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x:c r="DB432" s="4"/>
      <x:c r="DC432" s="4"/>
      <x:c r="DD432" s="4"/>
      <x:c r="DE432" s="4"/>
      <x:c r="DF432" s="4"/>
      <x:c r="DG432" s="4"/>
      <x:c r="DH432" s="4"/>
      <x:c r="DI432" s="4"/>
      <x:c r="DJ432" s="4"/>
      <x:c r="DK432" s="4"/>
      <x:c r="DL432" s="4"/>
      <x:c r="DM432" s="4"/>
      <x:c r="DN432" s="4"/>
      <x:c r="DO432" s="4"/>
      <x:c r="DP432" s="4"/>
      <x:c r="DQ432" s="4"/>
      <x:c r="DR432" s="4"/>
      <x:c r="DS432" s="4"/>
      <x:c r="DT432" s="4"/>
      <x:c r="DU432" s="4"/>
      <x:c r="DV432" s="4"/>
      <x:c r="DW432" s="4"/>
      <x:c r="DX432" s="4"/>
      <x:c r="DY432" s="4"/>
      <x:c r="DZ432" s="4"/>
      <x:c r="EA432" s="4"/>
      <x:c r="EB432" s="4"/>
      <x:c r="EC432" s="4"/>
      <x:c r="ED432" s="4"/>
      <x:c r="EE432" s="4"/>
      <x:c r="EF432" s="4"/>
      <x:c r="EG432" s="4"/>
      <x:c r="EH432" s="4"/>
      <x:c r="EI432" s="4"/>
      <x:c r="EJ432" s="4"/>
      <x:c r="EK432" s="4"/>
      <x:c r="EL432" s="4"/>
      <x:c r="EM432" s="4"/>
      <x:c r="EN432" s="4"/>
      <x:c r="EO432" s="4"/>
      <x:c r="EP432" s="4"/>
      <x:c r="EQ432" s="4"/>
      <x:c r="ER432" s="4"/>
      <x:c r="ES432" s="4"/>
      <x:c r="ET432" s="4"/>
      <x:c r="EU432" s="4"/>
      <x:c r="EV432" s="4"/>
      <x:c r="EW432" s="4"/>
      <x:c r="EX432" s="4"/>
      <x:c r="EY432" s="4"/>
      <x:c r="EZ432" s="4"/>
      <x:c r="FA432" s="4"/>
      <x:c r="FB432" s="4"/>
      <x:c r="FC432" s="4"/>
      <x:c r="FD432" s="4"/>
      <x:c r="FE432" s="4"/>
      <x:c r="FF432" s="4"/>
      <x:c r="FG432" s="4"/>
      <x:c r="FH432" s="4"/>
      <x:c r="FI432" s="4"/>
      <x:c r="FJ432" s="4"/>
      <x:c r="FK432" s="4"/>
      <x:c r="FL432" s="4"/>
      <x:c r="FM432" s="4"/>
      <x:c r="FN432" s="4"/>
      <x:c r="FO432" s="4"/>
    </x:row>
    <x:row r="433">
      <x:c r="A433" s="72"/>
      <x:c r="B433" s="72"/>
      <x:c r="C433" s="72"/>
      <x:c r="D433" s="72"/>
      <x:c r="E433" s="72"/>
      <x:c r="F433" s="72"/>
      <x:c r="G433" s="72"/>
      <x:c r="H433" s="72"/>
      <x:c r="I433" s="72"/>
      <x:c r="J433" s="72"/>
      <x:c r="K433" s="72"/>
      <x:c r="L433" s="72"/>
      <x:c r="M433" s="72"/>
      <x:c r="N433" s="72"/>
      <x:c r="O433" s="72"/>
      <x:c r="P433" s="72"/>
      <x:c r="Q433" s="72"/>
      <x:c r="R433" s="72"/>
      <x:c r="S433" s="72"/>
      <x:c r="T433" s="72"/>
      <x:c r="U433" s="72"/>
      <x:c r="V433" s="72"/>
      <x:c r="W433" s="72"/>
      <x:c r="X433" s="72"/>
      <x:c r="Y433" s="72"/>
      <x:c r="Z433" s="72"/>
      <x:c r="AA433" s="72"/>
      <x:c r="AB433" s="72"/>
      <x:c r="AC433" s="72"/>
      <x:c r="AD433" s="72"/>
      <x:c r="AE433" s="72"/>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x:c r="BN433" s="4"/>
      <x:c r="BO433" s="4"/>
      <x:c r="BP433" s="4"/>
      <x:c r="BQ433" s="4"/>
      <x:c r="BR433" s="4"/>
      <x:c r="BS433" s="4"/>
      <x:c r="BT433" s="4"/>
      <x:c r="BU433" s="4"/>
      <x:c r="BV433" s="4"/>
      <x:c r="BW433" s="4"/>
      <x:c r="BX433" s="4"/>
      <x:c r="BY433" s="4"/>
      <x:c r="BZ433" s="4"/>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x:c r="DB433" s="4"/>
      <x:c r="DC433" s="4"/>
      <x:c r="DD433" s="4"/>
      <x:c r="DE433" s="4"/>
      <x:c r="DF433" s="4"/>
      <x:c r="DG433" s="4"/>
      <x:c r="DH433" s="4"/>
      <x:c r="DI433" s="4"/>
      <x:c r="DJ433" s="4"/>
      <x:c r="DK433" s="4"/>
      <x:c r="DL433" s="4"/>
      <x:c r="DM433" s="4"/>
      <x:c r="DN433" s="4"/>
      <x:c r="DO433" s="4"/>
      <x:c r="DP433" s="4"/>
      <x:c r="DQ433" s="4"/>
      <x:c r="DR433" s="4"/>
      <x:c r="DS433" s="4"/>
      <x:c r="DT433" s="4"/>
      <x:c r="DU433" s="4"/>
      <x:c r="DV433" s="4"/>
      <x:c r="DW433" s="4"/>
      <x:c r="DX433" s="4"/>
      <x:c r="DY433" s="4"/>
      <x:c r="DZ433" s="4"/>
      <x:c r="EA433" s="4"/>
      <x:c r="EB433" s="4"/>
      <x:c r="EC433" s="4"/>
      <x:c r="ED433" s="4"/>
      <x:c r="EE433" s="4"/>
      <x:c r="EF433" s="4"/>
      <x:c r="EG433" s="4"/>
      <x:c r="EH433" s="4"/>
      <x:c r="EI433" s="4"/>
      <x:c r="EJ433" s="4"/>
      <x:c r="EK433" s="4"/>
      <x:c r="EL433" s="4"/>
      <x:c r="EM433" s="4"/>
      <x:c r="EN433" s="4"/>
      <x:c r="EO433" s="4"/>
      <x:c r="EP433" s="4"/>
      <x:c r="EQ433" s="4"/>
      <x:c r="ER433" s="4"/>
      <x:c r="ES433" s="4"/>
      <x:c r="ET433" s="4"/>
      <x:c r="EU433" s="4"/>
      <x:c r="EV433" s="4"/>
      <x:c r="EW433" s="4"/>
      <x:c r="EX433" s="4"/>
      <x:c r="EY433" s="4"/>
      <x:c r="EZ433" s="4"/>
      <x:c r="FA433" s="4"/>
      <x:c r="FB433" s="4"/>
      <x:c r="FC433" s="4"/>
      <x:c r="FD433" s="4"/>
      <x:c r="FE433" s="4"/>
      <x:c r="FF433" s="4"/>
      <x:c r="FG433" s="4"/>
      <x:c r="FH433" s="4"/>
      <x:c r="FI433" s="4"/>
      <x:c r="FJ433" s="4"/>
      <x:c r="FK433" s="4"/>
      <x:c r="FL433" s="4"/>
      <x:c r="FM433" s="4"/>
      <x:c r="FN433" s="4"/>
      <x:c r="FO433" s="4"/>
    </x:row>
    <x:row r="434">
      <x:c r="A434" s="72"/>
      <x:c r="B434" s="72"/>
      <x:c r="C434" s="72"/>
      <x:c r="D434" s="72"/>
      <x:c r="E434" s="72"/>
      <x:c r="F434" s="72"/>
      <x:c r="G434" s="72"/>
      <x:c r="H434" s="72"/>
      <x:c r="I434" s="72"/>
      <x:c r="J434" s="72"/>
      <x:c r="K434" s="72"/>
      <x:c r="L434" s="72"/>
      <x:c r="M434" s="72"/>
      <x:c r="N434" s="72"/>
      <x:c r="O434" s="72"/>
      <x:c r="P434" s="72"/>
      <x:c r="Q434" s="72"/>
      <x:c r="R434" s="72"/>
      <x:c r="S434" s="72"/>
      <x:c r="T434" s="72"/>
      <x:c r="U434" s="72"/>
      <x:c r="V434" s="72"/>
      <x:c r="W434" s="72"/>
      <x:c r="X434" s="72"/>
      <x:c r="Y434" s="72"/>
      <x:c r="Z434" s="72"/>
      <x:c r="AA434" s="72"/>
      <x:c r="AB434" s="72"/>
      <x:c r="AC434" s="72"/>
      <x:c r="AD434" s="72"/>
      <x:c r="AE434" s="72"/>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x:c r="BN434" s="4"/>
      <x:c r="BO434" s="4"/>
      <x:c r="BP434" s="4"/>
      <x:c r="BQ434" s="4"/>
      <x:c r="BR434" s="4"/>
      <x:c r="BS434" s="4"/>
      <x:c r="BT434" s="4"/>
      <x:c r="BU434" s="4"/>
      <x:c r="BV434" s="4"/>
      <x:c r="BW434" s="4"/>
      <x:c r="BX434" s="4"/>
      <x:c r="BY434" s="4"/>
      <x:c r="BZ434" s="4"/>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x:c r="DB434" s="4"/>
      <x:c r="DC434" s="4"/>
      <x:c r="DD434" s="4"/>
      <x:c r="DE434" s="4"/>
      <x:c r="DF434" s="4"/>
      <x:c r="DG434" s="4"/>
      <x:c r="DH434" s="4"/>
      <x:c r="DI434" s="4"/>
      <x:c r="DJ434" s="4"/>
      <x:c r="DK434" s="4"/>
      <x:c r="DL434" s="4"/>
      <x:c r="DM434" s="4"/>
      <x:c r="DN434" s="4"/>
      <x:c r="DO434" s="4"/>
      <x:c r="DP434" s="4"/>
      <x:c r="DQ434" s="4"/>
      <x:c r="DR434" s="4"/>
      <x:c r="DS434" s="4"/>
      <x:c r="DT434" s="4"/>
      <x:c r="DU434" s="4"/>
      <x:c r="DV434" s="4"/>
      <x:c r="DW434" s="4"/>
      <x:c r="DX434" s="4"/>
      <x:c r="DY434" s="4"/>
      <x:c r="DZ434" s="4"/>
      <x:c r="EA434" s="4"/>
      <x:c r="EB434" s="4"/>
      <x:c r="EC434" s="4"/>
      <x:c r="ED434" s="4"/>
      <x:c r="EE434" s="4"/>
      <x:c r="EF434" s="4"/>
      <x:c r="EG434" s="4"/>
      <x:c r="EH434" s="4"/>
      <x:c r="EI434" s="4"/>
      <x:c r="EJ434" s="4"/>
      <x:c r="EK434" s="4"/>
      <x:c r="EL434" s="4"/>
      <x:c r="EM434" s="4"/>
      <x:c r="EN434" s="4"/>
      <x:c r="EO434" s="4"/>
      <x:c r="EP434" s="4"/>
      <x:c r="EQ434" s="4"/>
      <x:c r="ER434" s="4"/>
      <x:c r="ES434" s="4"/>
      <x:c r="ET434" s="4"/>
      <x:c r="EU434" s="4"/>
      <x:c r="EV434" s="4"/>
      <x:c r="EW434" s="4"/>
      <x:c r="EX434" s="4"/>
      <x:c r="EY434" s="4"/>
      <x:c r="EZ434" s="4"/>
      <x:c r="FA434" s="4"/>
      <x:c r="FB434" s="4"/>
      <x:c r="FC434" s="4"/>
      <x:c r="FD434" s="4"/>
      <x:c r="FE434" s="4"/>
      <x:c r="FF434" s="4"/>
      <x:c r="FG434" s="4"/>
      <x:c r="FH434" s="4"/>
      <x:c r="FI434" s="4"/>
      <x:c r="FJ434" s="4"/>
      <x:c r="FK434" s="4"/>
      <x:c r="FL434" s="4"/>
      <x:c r="FM434" s="4"/>
      <x:c r="FN434" s="4"/>
      <x:c r="FO434" s="4"/>
    </x:row>
    <x:row r="435">
      <x:c r="A435" s="72"/>
      <x:c r="B435" s="72"/>
      <x:c r="C435" s="72"/>
      <x:c r="D435" s="72"/>
      <x:c r="E435" s="72"/>
      <x:c r="F435" s="72"/>
      <x:c r="G435" s="72"/>
      <x:c r="H435" s="72"/>
      <x:c r="I435" s="72"/>
      <x:c r="J435" s="72"/>
      <x:c r="K435" s="72"/>
      <x:c r="L435" s="72"/>
      <x:c r="M435" s="72"/>
      <x:c r="N435" s="72"/>
      <x:c r="O435" s="72"/>
      <x:c r="P435" s="72"/>
      <x:c r="Q435" s="72"/>
      <x:c r="R435" s="72"/>
      <x:c r="S435" s="72"/>
      <x:c r="T435" s="72"/>
      <x:c r="U435" s="72"/>
      <x:c r="V435" s="72"/>
      <x:c r="W435" s="72"/>
      <x:c r="X435" s="72"/>
      <x:c r="Y435" s="72"/>
      <x:c r="Z435" s="72"/>
      <x:c r="AA435" s="72"/>
      <x:c r="AB435" s="72"/>
      <x:c r="AC435" s="72"/>
      <x:c r="AD435" s="72"/>
      <x:c r="AE435" s="72"/>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x:c r="BN435" s="4"/>
      <x:c r="BO435" s="4"/>
      <x:c r="BP435" s="4"/>
      <x:c r="BQ435" s="4"/>
      <x:c r="BR435" s="4"/>
      <x:c r="BS435" s="4"/>
      <x:c r="BT435" s="4"/>
      <x:c r="BU435" s="4"/>
      <x:c r="BV435" s="4"/>
      <x:c r="BW435" s="4"/>
      <x:c r="BX435" s="4"/>
      <x:c r="BY435" s="4"/>
      <x:c r="BZ435" s="4"/>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x:c r="DB435" s="4"/>
      <x:c r="DC435" s="4"/>
      <x:c r="DD435" s="4"/>
      <x:c r="DE435" s="4"/>
      <x:c r="DF435" s="4"/>
      <x:c r="DG435" s="4"/>
      <x:c r="DH435" s="4"/>
      <x:c r="DI435" s="4"/>
      <x:c r="DJ435" s="4"/>
      <x:c r="DK435" s="4"/>
      <x:c r="DL435" s="4"/>
      <x:c r="DM435" s="4"/>
      <x:c r="DN435" s="4"/>
      <x:c r="DO435" s="4"/>
      <x:c r="DP435" s="4"/>
      <x:c r="DQ435" s="4"/>
      <x:c r="DR435" s="4"/>
      <x:c r="DS435" s="4"/>
      <x:c r="DT435" s="4"/>
      <x:c r="DU435" s="4"/>
      <x:c r="DV435" s="4"/>
      <x:c r="DW435" s="4"/>
      <x:c r="DX435" s="4"/>
      <x:c r="DY435" s="4"/>
      <x:c r="DZ435" s="4"/>
      <x:c r="EA435" s="4"/>
      <x:c r="EB435" s="4"/>
      <x:c r="EC435" s="4"/>
      <x:c r="ED435" s="4"/>
      <x:c r="EE435" s="4"/>
      <x:c r="EF435" s="4"/>
      <x:c r="EG435" s="4"/>
      <x:c r="EH435" s="4"/>
      <x:c r="EI435" s="4"/>
      <x:c r="EJ435" s="4"/>
      <x:c r="EK435" s="4"/>
      <x:c r="EL435" s="4"/>
      <x:c r="EM435" s="4"/>
      <x:c r="EN435" s="4"/>
      <x:c r="EO435" s="4"/>
      <x:c r="EP435" s="4"/>
      <x:c r="EQ435" s="4"/>
      <x:c r="ER435" s="4"/>
      <x:c r="ES435" s="4"/>
      <x:c r="ET435" s="4"/>
      <x:c r="EU435" s="4"/>
      <x:c r="EV435" s="4"/>
      <x:c r="EW435" s="4"/>
      <x:c r="EX435" s="4"/>
      <x:c r="EY435" s="4"/>
      <x:c r="EZ435" s="4"/>
      <x:c r="FA435" s="4"/>
      <x:c r="FB435" s="4"/>
      <x:c r="FC435" s="4"/>
      <x:c r="FD435" s="4"/>
      <x:c r="FE435" s="4"/>
      <x:c r="FF435" s="4"/>
      <x:c r="FG435" s="4"/>
      <x:c r="FH435" s="4"/>
      <x:c r="FI435" s="4"/>
      <x:c r="FJ435" s="4"/>
      <x:c r="FK435" s="4"/>
      <x:c r="FL435" s="4"/>
      <x:c r="FM435" s="4"/>
      <x:c r="FN435" s="4"/>
      <x:c r="FO435" s="4"/>
    </x:row>
    <x:row r="436">
      <x:c r="A436" s="72"/>
      <x:c r="B436" s="72"/>
      <x:c r="C436" s="72"/>
      <x:c r="D436" s="72"/>
      <x:c r="E436" s="72"/>
      <x:c r="F436" s="72"/>
      <x:c r="G436" s="72"/>
      <x:c r="H436" s="72"/>
      <x:c r="I436" s="72"/>
      <x:c r="J436" s="72"/>
      <x:c r="K436" s="72"/>
      <x:c r="L436" s="72"/>
      <x:c r="M436" s="72"/>
      <x:c r="N436" s="72"/>
      <x:c r="O436" s="72"/>
      <x:c r="P436" s="72"/>
      <x:c r="Q436" s="72"/>
      <x:c r="R436" s="72"/>
      <x:c r="S436" s="72"/>
      <x:c r="T436" s="72"/>
      <x:c r="U436" s="72"/>
      <x:c r="V436" s="72"/>
      <x:c r="W436" s="72"/>
      <x:c r="X436" s="72"/>
      <x:c r="Y436" s="72"/>
      <x:c r="Z436" s="72"/>
      <x:c r="AA436" s="72"/>
      <x:c r="AB436" s="72"/>
      <x:c r="AC436" s="72"/>
      <x:c r="AD436" s="72"/>
      <x:c r="AE436" s="72"/>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x:c r="BN436" s="4"/>
      <x:c r="BO436" s="4"/>
      <x:c r="BP436" s="4"/>
      <x:c r="BQ436" s="4"/>
      <x:c r="BR436" s="4"/>
      <x:c r="BS436" s="4"/>
      <x:c r="BT436" s="4"/>
      <x:c r="BU436" s="4"/>
      <x:c r="BV436" s="4"/>
      <x:c r="BW436" s="4"/>
      <x:c r="BX436" s="4"/>
      <x:c r="BY436" s="4"/>
      <x:c r="BZ436" s="4"/>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x:c r="DB436" s="4"/>
      <x:c r="DC436" s="4"/>
      <x:c r="DD436" s="4"/>
      <x:c r="DE436" s="4"/>
      <x:c r="DF436" s="4"/>
      <x:c r="DG436" s="4"/>
      <x:c r="DH436" s="4"/>
      <x:c r="DI436" s="4"/>
      <x:c r="DJ436" s="4"/>
      <x:c r="DK436" s="4"/>
      <x:c r="DL436" s="4"/>
      <x:c r="DM436" s="4"/>
      <x:c r="DN436" s="4"/>
      <x:c r="DO436" s="4"/>
      <x:c r="DP436" s="4"/>
      <x:c r="DQ436" s="4"/>
      <x:c r="DR436" s="4"/>
      <x:c r="DS436" s="4"/>
      <x:c r="DT436" s="4"/>
      <x:c r="DU436" s="4"/>
      <x:c r="DV436" s="4"/>
      <x:c r="DW436" s="4"/>
      <x:c r="DX436" s="4"/>
      <x:c r="DY436" s="4"/>
      <x:c r="DZ436" s="4"/>
      <x:c r="EA436" s="4"/>
      <x:c r="EB436" s="4"/>
      <x:c r="EC436" s="4"/>
      <x:c r="ED436" s="4"/>
      <x:c r="EE436" s="4"/>
      <x:c r="EF436" s="4"/>
      <x:c r="EG436" s="4"/>
      <x:c r="EH436" s="4"/>
      <x:c r="EI436" s="4"/>
      <x:c r="EJ436" s="4"/>
      <x:c r="EK436" s="4"/>
      <x:c r="EL436" s="4"/>
      <x:c r="EM436" s="4"/>
      <x:c r="EN436" s="4"/>
      <x:c r="EO436" s="4"/>
      <x:c r="EP436" s="4"/>
      <x:c r="EQ436" s="4"/>
      <x:c r="ER436" s="4"/>
      <x:c r="ES436" s="4"/>
      <x:c r="ET436" s="4"/>
      <x:c r="EU436" s="4"/>
      <x:c r="EV436" s="4"/>
      <x:c r="EW436" s="4"/>
      <x:c r="EX436" s="4"/>
      <x:c r="EY436" s="4"/>
      <x:c r="EZ436" s="4"/>
      <x:c r="FA436" s="4"/>
      <x:c r="FB436" s="4"/>
      <x:c r="FC436" s="4"/>
      <x:c r="FD436" s="4"/>
      <x:c r="FE436" s="4"/>
      <x:c r="FF436" s="4"/>
      <x:c r="FG436" s="4"/>
      <x:c r="FH436" s="4"/>
      <x:c r="FI436" s="4"/>
      <x:c r="FJ436" s="4"/>
      <x:c r="FK436" s="4"/>
      <x:c r="FL436" s="4"/>
      <x:c r="FM436" s="4"/>
      <x:c r="FN436" s="4"/>
      <x:c r="FO436" s="4"/>
    </x:row>
    <x:row r="437">
      <x:c r="A437" s="72"/>
      <x:c r="B437" s="72"/>
      <x:c r="C437" s="72"/>
      <x:c r="D437" s="72"/>
      <x:c r="E437" s="72"/>
      <x:c r="F437" s="72"/>
      <x:c r="G437" s="72"/>
      <x:c r="H437" s="72"/>
      <x:c r="I437" s="72"/>
      <x:c r="J437" s="72"/>
      <x:c r="K437" s="72"/>
      <x:c r="L437" s="72"/>
      <x:c r="M437" s="72"/>
      <x:c r="N437" s="72"/>
      <x:c r="O437" s="72"/>
      <x:c r="P437" s="72"/>
      <x:c r="Q437" s="72"/>
      <x:c r="R437" s="72"/>
      <x:c r="S437" s="72"/>
      <x:c r="T437" s="72"/>
      <x:c r="U437" s="72"/>
      <x:c r="V437" s="72"/>
      <x:c r="W437" s="72"/>
      <x:c r="X437" s="72"/>
      <x:c r="Y437" s="72"/>
      <x:c r="Z437" s="72"/>
      <x:c r="AA437" s="72"/>
      <x:c r="AB437" s="72"/>
      <x:c r="AC437" s="72"/>
      <x:c r="AD437" s="72"/>
      <x:c r="AE437" s="72"/>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x:c r="BN437" s="4"/>
      <x:c r="BO437" s="4"/>
      <x:c r="BP437" s="4"/>
      <x:c r="BQ437" s="4"/>
      <x:c r="BR437" s="4"/>
      <x:c r="BS437" s="4"/>
      <x:c r="BT437" s="4"/>
      <x:c r="BU437" s="4"/>
      <x:c r="BV437" s="4"/>
      <x:c r="BW437" s="4"/>
      <x:c r="BX437" s="4"/>
      <x:c r="BY437" s="4"/>
      <x:c r="BZ437" s="4"/>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x:c r="DB437" s="4"/>
      <x:c r="DC437" s="4"/>
      <x:c r="DD437" s="4"/>
      <x:c r="DE437" s="4"/>
      <x:c r="DF437" s="4"/>
      <x:c r="DG437" s="4"/>
      <x:c r="DH437" s="4"/>
      <x:c r="DI437" s="4"/>
      <x:c r="DJ437" s="4"/>
      <x:c r="DK437" s="4"/>
      <x:c r="DL437" s="4"/>
      <x:c r="DM437" s="4"/>
      <x:c r="DN437" s="4"/>
      <x:c r="DO437" s="4"/>
      <x:c r="DP437" s="4"/>
      <x:c r="DQ437" s="4"/>
      <x:c r="DR437" s="4"/>
      <x:c r="DS437" s="4"/>
      <x:c r="DT437" s="4"/>
      <x:c r="DU437" s="4"/>
      <x:c r="DV437" s="4"/>
      <x:c r="DW437" s="4"/>
      <x:c r="DX437" s="4"/>
      <x:c r="DY437" s="4"/>
      <x:c r="DZ437" s="4"/>
      <x:c r="EA437" s="4"/>
      <x:c r="EB437" s="4"/>
      <x:c r="EC437" s="4"/>
      <x:c r="ED437" s="4"/>
      <x:c r="EE437" s="4"/>
      <x:c r="EF437" s="4"/>
      <x:c r="EG437" s="4"/>
      <x:c r="EH437" s="4"/>
      <x:c r="EI437" s="4"/>
      <x:c r="EJ437" s="4"/>
      <x:c r="EK437" s="4"/>
      <x:c r="EL437" s="4"/>
      <x:c r="EM437" s="4"/>
      <x:c r="EN437" s="4"/>
      <x:c r="EO437" s="4"/>
      <x:c r="EP437" s="4"/>
      <x:c r="EQ437" s="4"/>
      <x:c r="ER437" s="4"/>
      <x:c r="ES437" s="4"/>
      <x:c r="ET437" s="4"/>
      <x:c r="EU437" s="4"/>
      <x:c r="EV437" s="4"/>
      <x:c r="EW437" s="4"/>
      <x:c r="EX437" s="4"/>
      <x:c r="EY437" s="4"/>
      <x:c r="EZ437" s="4"/>
      <x:c r="FA437" s="4"/>
      <x:c r="FB437" s="4"/>
      <x:c r="FC437" s="4"/>
      <x:c r="FD437" s="4"/>
      <x:c r="FE437" s="4"/>
      <x:c r="FF437" s="4"/>
      <x:c r="FG437" s="4"/>
      <x:c r="FH437" s="4"/>
      <x:c r="FI437" s="4"/>
      <x:c r="FJ437" s="4"/>
      <x:c r="FK437" s="4"/>
      <x:c r="FL437" s="4"/>
      <x:c r="FM437" s="4"/>
      <x:c r="FN437" s="4"/>
      <x:c r="FO437" s="4"/>
    </x:row>
    <x:row r="438">
      <x:c r="A438" s="72"/>
      <x:c r="B438" s="72"/>
      <x:c r="C438" s="72"/>
      <x:c r="D438" s="72"/>
      <x:c r="E438" s="72"/>
      <x:c r="F438" s="72"/>
      <x:c r="G438" s="72"/>
      <x:c r="H438" s="72"/>
      <x:c r="I438" s="72"/>
      <x:c r="J438" s="72"/>
      <x:c r="K438" s="72"/>
      <x:c r="L438" s="72"/>
      <x:c r="M438" s="72"/>
      <x:c r="N438" s="72"/>
      <x:c r="O438" s="72"/>
      <x:c r="P438" s="72"/>
      <x:c r="Q438" s="72"/>
      <x:c r="R438" s="72"/>
      <x:c r="S438" s="72"/>
      <x:c r="T438" s="72"/>
      <x:c r="U438" s="72"/>
      <x:c r="V438" s="72"/>
      <x:c r="W438" s="72"/>
      <x:c r="X438" s="72"/>
      <x:c r="Y438" s="72"/>
      <x:c r="Z438" s="72"/>
      <x:c r="AA438" s="72"/>
      <x:c r="AB438" s="72"/>
      <x:c r="AC438" s="72"/>
      <x:c r="AD438" s="72"/>
      <x:c r="AE438" s="72"/>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x:c r="BN438" s="4"/>
      <x:c r="BO438" s="4"/>
      <x:c r="BP438" s="4"/>
      <x:c r="BQ438" s="4"/>
      <x:c r="BR438" s="4"/>
      <x:c r="BS438" s="4"/>
      <x:c r="BT438" s="4"/>
      <x:c r="BU438" s="4"/>
      <x:c r="BV438" s="4"/>
      <x:c r="BW438" s="4"/>
      <x:c r="BX438" s="4"/>
      <x:c r="BY438" s="4"/>
      <x:c r="BZ438" s="4"/>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x:c r="DB438" s="4"/>
      <x:c r="DC438" s="4"/>
      <x:c r="DD438" s="4"/>
      <x:c r="DE438" s="4"/>
      <x:c r="DF438" s="4"/>
      <x:c r="DG438" s="4"/>
      <x:c r="DH438" s="4"/>
      <x:c r="DI438" s="4"/>
      <x:c r="DJ438" s="4"/>
      <x:c r="DK438" s="4"/>
      <x:c r="DL438" s="4"/>
      <x:c r="DM438" s="4"/>
      <x:c r="DN438" s="4"/>
      <x:c r="DO438" s="4"/>
      <x:c r="DP438" s="4"/>
      <x:c r="DQ438" s="4"/>
      <x:c r="DR438" s="4"/>
      <x:c r="DS438" s="4"/>
      <x:c r="DT438" s="4"/>
      <x:c r="DU438" s="4"/>
      <x:c r="DV438" s="4"/>
      <x:c r="DW438" s="4"/>
      <x:c r="DX438" s="4"/>
      <x:c r="DY438" s="4"/>
      <x:c r="DZ438" s="4"/>
      <x:c r="EA438" s="4"/>
      <x:c r="EB438" s="4"/>
      <x:c r="EC438" s="4"/>
      <x:c r="ED438" s="4"/>
      <x:c r="EE438" s="4"/>
      <x:c r="EF438" s="4"/>
      <x:c r="EG438" s="4"/>
      <x:c r="EH438" s="4"/>
      <x:c r="EI438" s="4"/>
      <x:c r="EJ438" s="4"/>
      <x:c r="EK438" s="4"/>
      <x:c r="EL438" s="4"/>
      <x:c r="EM438" s="4"/>
      <x:c r="EN438" s="4"/>
      <x:c r="EO438" s="4"/>
      <x:c r="EP438" s="4"/>
      <x:c r="EQ438" s="4"/>
      <x:c r="ER438" s="4"/>
      <x:c r="ES438" s="4"/>
      <x:c r="ET438" s="4"/>
      <x:c r="EU438" s="4"/>
      <x:c r="EV438" s="4"/>
      <x:c r="EW438" s="4"/>
      <x:c r="EX438" s="4"/>
      <x:c r="EY438" s="4"/>
      <x:c r="EZ438" s="4"/>
      <x:c r="FA438" s="4"/>
      <x:c r="FB438" s="4"/>
      <x:c r="FC438" s="4"/>
      <x:c r="FD438" s="4"/>
      <x:c r="FE438" s="4"/>
      <x:c r="FF438" s="4"/>
      <x:c r="FG438" s="4"/>
      <x:c r="FH438" s="4"/>
      <x:c r="FI438" s="4"/>
      <x:c r="FJ438" s="4"/>
      <x:c r="FK438" s="4"/>
      <x:c r="FL438" s="4"/>
      <x:c r="FM438" s="4"/>
      <x:c r="FN438" s="4"/>
      <x:c r="FO438" s="4"/>
    </x:row>
    <x:row r="439">
      <x:c r="A439" s="72"/>
      <x:c r="B439" s="72"/>
      <x:c r="C439" s="72"/>
      <x:c r="D439" s="72"/>
      <x:c r="E439" s="72"/>
      <x:c r="F439" s="72"/>
      <x:c r="G439" s="72"/>
      <x:c r="H439" s="72"/>
      <x:c r="I439" s="72"/>
      <x:c r="J439" s="72"/>
      <x:c r="K439" s="72"/>
      <x:c r="L439" s="72"/>
      <x:c r="M439" s="72"/>
      <x:c r="N439" s="72"/>
      <x:c r="O439" s="72"/>
      <x:c r="P439" s="72"/>
      <x:c r="Q439" s="72"/>
      <x:c r="R439" s="72"/>
      <x:c r="S439" s="72"/>
      <x:c r="T439" s="72"/>
      <x:c r="U439" s="72"/>
      <x:c r="V439" s="72"/>
      <x:c r="W439" s="72"/>
      <x:c r="X439" s="72"/>
      <x:c r="Y439" s="72"/>
      <x:c r="Z439" s="72"/>
      <x:c r="AA439" s="72"/>
      <x:c r="AB439" s="72"/>
      <x:c r="AC439" s="72"/>
      <x:c r="AD439" s="72"/>
      <x:c r="AE439" s="72"/>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x:c r="BN439" s="4"/>
      <x:c r="BO439" s="4"/>
      <x:c r="BP439" s="4"/>
      <x:c r="BQ439" s="4"/>
      <x:c r="BR439" s="4"/>
      <x:c r="BS439" s="4"/>
      <x:c r="BT439" s="4"/>
      <x:c r="BU439" s="4"/>
      <x:c r="BV439" s="4"/>
      <x:c r="BW439" s="4"/>
      <x:c r="BX439" s="4"/>
      <x:c r="BY439" s="4"/>
      <x:c r="BZ439" s="4"/>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x:c r="DB439" s="4"/>
      <x:c r="DC439" s="4"/>
      <x:c r="DD439" s="4"/>
      <x:c r="DE439" s="4"/>
      <x:c r="DF439" s="4"/>
      <x:c r="DG439" s="4"/>
      <x:c r="DH439" s="4"/>
      <x:c r="DI439" s="4"/>
      <x:c r="DJ439" s="4"/>
      <x:c r="DK439" s="4"/>
      <x:c r="DL439" s="4"/>
      <x:c r="DM439" s="4"/>
      <x:c r="DN439" s="4"/>
      <x:c r="DO439" s="4"/>
      <x:c r="DP439" s="4"/>
      <x:c r="DQ439" s="4"/>
      <x:c r="DR439" s="4"/>
      <x:c r="DS439" s="4"/>
      <x:c r="DT439" s="4"/>
      <x:c r="DU439" s="4"/>
      <x:c r="DV439" s="4"/>
      <x:c r="DW439" s="4"/>
      <x:c r="DX439" s="4"/>
      <x:c r="DY439" s="4"/>
      <x:c r="DZ439" s="4"/>
      <x:c r="EA439" s="4"/>
      <x:c r="EB439" s="4"/>
      <x:c r="EC439" s="4"/>
      <x:c r="ED439" s="4"/>
      <x:c r="EE439" s="4"/>
      <x:c r="EF439" s="4"/>
      <x:c r="EG439" s="4"/>
      <x:c r="EH439" s="4"/>
      <x:c r="EI439" s="4"/>
      <x:c r="EJ439" s="4"/>
      <x:c r="EK439" s="4"/>
      <x:c r="EL439" s="4"/>
      <x:c r="EM439" s="4"/>
      <x:c r="EN439" s="4"/>
      <x:c r="EO439" s="4"/>
      <x:c r="EP439" s="4"/>
      <x:c r="EQ439" s="4"/>
      <x:c r="ER439" s="4"/>
      <x:c r="ES439" s="4"/>
      <x:c r="ET439" s="4"/>
      <x:c r="EU439" s="4"/>
      <x:c r="EV439" s="4"/>
      <x:c r="EW439" s="4"/>
      <x:c r="EX439" s="4"/>
      <x:c r="EY439" s="4"/>
      <x:c r="EZ439" s="4"/>
      <x:c r="FA439" s="4"/>
      <x:c r="FB439" s="4"/>
      <x:c r="FC439" s="4"/>
      <x:c r="FD439" s="4"/>
      <x:c r="FE439" s="4"/>
      <x:c r="FF439" s="4"/>
      <x:c r="FG439" s="4"/>
      <x:c r="FH439" s="4"/>
      <x:c r="FI439" s="4"/>
      <x:c r="FJ439" s="4"/>
      <x:c r="FK439" s="4"/>
      <x:c r="FL439" s="4"/>
      <x:c r="FM439" s="4"/>
      <x:c r="FN439" s="4"/>
      <x:c r="FO439" s="4"/>
    </x:row>
    <x:row r="440">
      <x:c r="A440" s="72"/>
      <x:c r="B440" s="72"/>
      <x:c r="C440" s="72"/>
      <x:c r="D440" s="72"/>
      <x:c r="E440" s="72"/>
      <x:c r="F440" s="72"/>
      <x:c r="G440" s="72"/>
      <x:c r="H440" s="72"/>
      <x:c r="I440" s="72"/>
      <x:c r="J440" s="72"/>
      <x:c r="K440" s="72"/>
      <x:c r="L440" s="72"/>
      <x:c r="M440" s="72"/>
      <x:c r="N440" s="72"/>
      <x:c r="O440" s="72"/>
      <x:c r="P440" s="72"/>
      <x:c r="Q440" s="72"/>
      <x:c r="R440" s="72"/>
      <x:c r="S440" s="72"/>
      <x:c r="T440" s="72"/>
      <x:c r="U440" s="72"/>
      <x:c r="V440" s="72"/>
      <x:c r="W440" s="72"/>
      <x:c r="X440" s="72"/>
      <x:c r="Y440" s="72"/>
      <x:c r="Z440" s="72"/>
      <x:c r="AA440" s="72"/>
      <x:c r="AB440" s="72"/>
      <x:c r="AC440" s="72"/>
      <x:c r="AD440" s="72"/>
      <x:c r="AE440" s="72"/>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x:c r="BN440" s="4"/>
      <x:c r="BO440" s="4"/>
      <x:c r="BP440" s="4"/>
      <x:c r="BQ440" s="4"/>
      <x:c r="BR440" s="4"/>
      <x:c r="BS440" s="4"/>
      <x:c r="BT440" s="4"/>
      <x:c r="BU440" s="4"/>
      <x:c r="BV440" s="4"/>
      <x:c r="BW440" s="4"/>
      <x:c r="BX440" s="4"/>
      <x:c r="BY440" s="4"/>
      <x:c r="BZ440" s="4"/>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x:c r="DB440" s="4"/>
      <x:c r="DC440" s="4"/>
      <x:c r="DD440" s="4"/>
      <x:c r="DE440" s="4"/>
      <x:c r="DF440" s="4"/>
      <x:c r="DG440" s="4"/>
      <x:c r="DH440" s="4"/>
      <x:c r="DI440" s="4"/>
      <x:c r="DJ440" s="4"/>
      <x:c r="DK440" s="4"/>
      <x:c r="DL440" s="4"/>
      <x:c r="DM440" s="4"/>
      <x:c r="DN440" s="4"/>
      <x:c r="DO440" s="4"/>
      <x:c r="DP440" s="4"/>
      <x:c r="DQ440" s="4"/>
      <x:c r="DR440" s="4"/>
      <x:c r="DS440" s="4"/>
      <x:c r="DT440" s="4"/>
      <x:c r="DU440" s="4"/>
      <x:c r="DV440" s="4"/>
      <x:c r="DW440" s="4"/>
      <x:c r="DX440" s="4"/>
      <x:c r="DY440" s="4"/>
      <x:c r="DZ440" s="4"/>
      <x:c r="EA440" s="4"/>
      <x:c r="EB440" s="4"/>
      <x:c r="EC440" s="4"/>
      <x:c r="ED440" s="4"/>
      <x:c r="EE440" s="4"/>
      <x:c r="EF440" s="4"/>
      <x:c r="EG440" s="4"/>
      <x:c r="EH440" s="4"/>
      <x:c r="EI440" s="4"/>
      <x:c r="EJ440" s="4"/>
      <x:c r="EK440" s="4"/>
      <x:c r="EL440" s="4"/>
      <x:c r="EM440" s="4"/>
      <x:c r="EN440" s="4"/>
      <x:c r="EO440" s="4"/>
      <x:c r="EP440" s="4"/>
      <x:c r="EQ440" s="4"/>
      <x:c r="ER440" s="4"/>
      <x:c r="ES440" s="4"/>
      <x:c r="ET440" s="4"/>
      <x:c r="EU440" s="4"/>
      <x:c r="EV440" s="4"/>
      <x:c r="EW440" s="4"/>
      <x:c r="EX440" s="4"/>
      <x:c r="EY440" s="4"/>
      <x:c r="EZ440" s="4"/>
      <x:c r="FA440" s="4"/>
      <x:c r="FB440" s="4"/>
      <x:c r="FC440" s="4"/>
      <x:c r="FD440" s="4"/>
      <x:c r="FE440" s="4"/>
      <x:c r="FF440" s="4"/>
      <x:c r="FG440" s="4"/>
      <x:c r="FH440" s="4"/>
      <x:c r="FI440" s="4"/>
      <x:c r="FJ440" s="4"/>
      <x:c r="FK440" s="4"/>
      <x:c r="FL440" s="4"/>
      <x:c r="FM440" s="4"/>
      <x:c r="FN440" s="4"/>
      <x:c r="FO440" s="4"/>
    </x:row>
    <x:row r="441">
      <x:c r="A441" s="72"/>
      <x:c r="B441" s="72"/>
      <x:c r="C441" s="72"/>
      <x:c r="D441" s="72"/>
      <x:c r="E441" s="72"/>
      <x:c r="F441" s="72"/>
      <x:c r="G441" s="72"/>
      <x:c r="H441" s="72"/>
      <x:c r="I441" s="72"/>
      <x:c r="J441" s="72"/>
      <x:c r="K441" s="72"/>
      <x:c r="L441" s="72"/>
      <x:c r="M441" s="72"/>
      <x:c r="N441" s="72"/>
      <x:c r="O441" s="72"/>
      <x:c r="P441" s="72"/>
      <x:c r="Q441" s="72"/>
      <x:c r="R441" s="72"/>
      <x:c r="S441" s="72"/>
      <x:c r="T441" s="72"/>
      <x:c r="U441" s="72"/>
      <x:c r="V441" s="72"/>
      <x:c r="W441" s="72"/>
      <x:c r="X441" s="72"/>
      <x:c r="Y441" s="72"/>
      <x:c r="Z441" s="72"/>
      <x:c r="AA441" s="72"/>
      <x:c r="AB441" s="72"/>
      <x:c r="AC441" s="72"/>
      <x:c r="AD441" s="72"/>
      <x:c r="AE441" s="72"/>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x:c r="BN441" s="4"/>
      <x:c r="BO441" s="4"/>
      <x:c r="BP441" s="4"/>
      <x:c r="BQ441" s="4"/>
      <x:c r="BR441" s="4"/>
      <x:c r="BS441" s="4"/>
      <x:c r="BT441" s="4"/>
      <x:c r="BU441" s="4"/>
      <x:c r="BV441" s="4"/>
      <x:c r="BW441" s="4"/>
      <x:c r="BX441" s="4"/>
      <x:c r="BY441" s="4"/>
      <x:c r="BZ441" s="4"/>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x:c r="DB441" s="4"/>
      <x:c r="DC441" s="4"/>
      <x:c r="DD441" s="4"/>
      <x:c r="DE441" s="4"/>
      <x:c r="DF441" s="4"/>
      <x:c r="DG441" s="4"/>
      <x:c r="DH441" s="4"/>
      <x:c r="DI441" s="4"/>
      <x:c r="DJ441" s="4"/>
      <x:c r="DK441" s="4"/>
      <x:c r="DL441" s="4"/>
      <x:c r="DM441" s="4"/>
      <x:c r="DN441" s="4"/>
      <x:c r="DO441" s="4"/>
      <x:c r="DP441" s="4"/>
      <x:c r="DQ441" s="4"/>
      <x:c r="DR441" s="4"/>
      <x:c r="DS441" s="4"/>
      <x:c r="DT441" s="4"/>
      <x:c r="DU441" s="4"/>
      <x:c r="DV441" s="4"/>
      <x:c r="DW441" s="4"/>
      <x:c r="DX441" s="4"/>
      <x:c r="DY441" s="4"/>
      <x:c r="DZ441" s="4"/>
      <x:c r="EA441" s="4"/>
      <x:c r="EB441" s="4"/>
      <x:c r="EC441" s="4"/>
      <x:c r="ED441" s="4"/>
      <x:c r="EE441" s="4"/>
      <x:c r="EF441" s="4"/>
      <x:c r="EG441" s="4"/>
      <x:c r="EH441" s="4"/>
      <x:c r="EI441" s="4"/>
      <x:c r="EJ441" s="4"/>
      <x:c r="EK441" s="4"/>
      <x:c r="EL441" s="4"/>
      <x:c r="EM441" s="4"/>
      <x:c r="EN441" s="4"/>
      <x:c r="EO441" s="4"/>
      <x:c r="EP441" s="4"/>
      <x:c r="EQ441" s="4"/>
      <x:c r="ER441" s="4"/>
      <x:c r="ES441" s="4"/>
      <x:c r="ET441" s="4"/>
      <x:c r="EU441" s="4"/>
      <x:c r="EV441" s="4"/>
      <x:c r="EW441" s="4"/>
      <x:c r="EX441" s="4"/>
      <x:c r="EY441" s="4"/>
      <x:c r="EZ441" s="4"/>
      <x:c r="FA441" s="4"/>
      <x:c r="FB441" s="4"/>
      <x:c r="FC441" s="4"/>
      <x:c r="FD441" s="4"/>
      <x:c r="FE441" s="4"/>
      <x:c r="FF441" s="4"/>
      <x:c r="FG441" s="4"/>
      <x:c r="FH441" s="4"/>
      <x:c r="FI441" s="4"/>
      <x:c r="FJ441" s="4"/>
      <x:c r="FK441" s="4"/>
      <x:c r="FL441" s="4"/>
      <x:c r="FM441" s="4"/>
      <x:c r="FN441" s="4"/>
      <x:c r="FO441" s="4"/>
    </x:row>
    <x:row r="442">
      <x:c r="A442" s="72"/>
      <x:c r="B442" s="72"/>
      <x:c r="C442" s="72"/>
      <x:c r="D442" s="72"/>
      <x:c r="E442" s="72"/>
      <x:c r="F442" s="72"/>
      <x:c r="G442" s="72"/>
      <x:c r="H442" s="72"/>
      <x:c r="I442" s="72"/>
      <x:c r="J442" s="72"/>
      <x:c r="K442" s="72"/>
      <x:c r="L442" s="72"/>
      <x:c r="M442" s="72"/>
      <x:c r="N442" s="72"/>
      <x:c r="O442" s="72"/>
      <x:c r="P442" s="72"/>
      <x:c r="Q442" s="72"/>
      <x:c r="R442" s="72"/>
      <x:c r="S442" s="72"/>
      <x:c r="T442" s="72"/>
      <x:c r="U442" s="72"/>
      <x:c r="V442" s="72"/>
      <x:c r="W442" s="72"/>
      <x:c r="X442" s="72"/>
      <x:c r="Y442" s="72"/>
      <x:c r="Z442" s="72"/>
      <x:c r="AA442" s="72"/>
      <x:c r="AB442" s="72"/>
      <x:c r="AC442" s="72"/>
      <x:c r="AD442" s="72"/>
      <x:c r="AE442" s="72"/>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x:c r="BN442" s="4"/>
      <x:c r="BO442" s="4"/>
      <x:c r="BP442" s="4"/>
      <x:c r="BQ442" s="4"/>
      <x:c r="BR442" s="4"/>
      <x:c r="BS442" s="4"/>
      <x:c r="BT442" s="4"/>
      <x:c r="BU442" s="4"/>
      <x:c r="BV442" s="4"/>
      <x:c r="BW442" s="4"/>
      <x:c r="BX442" s="4"/>
      <x:c r="BY442" s="4"/>
      <x:c r="BZ442" s="4"/>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x:c r="DB442" s="4"/>
      <x:c r="DC442" s="4"/>
      <x:c r="DD442" s="4"/>
      <x:c r="DE442" s="4"/>
      <x:c r="DF442" s="4"/>
      <x:c r="DG442" s="4"/>
      <x:c r="DH442" s="4"/>
      <x:c r="DI442" s="4"/>
      <x:c r="DJ442" s="4"/>
      <x:c r="DK442" s="4"/>
      <x:c r="DL442" s="4"/>
      <x:c r="DM442" s="4"/>
      <x:c r="DN442" s="4"/>
      <x:c r="DO442" s="4"/>
      <x:c r="DP442" s="4"/>
      <x:c r="DQ442" s="4"/>
      <x:c r="DR442" s="4"/>
      <x:c r="DS442" s="4"/>
      <x:c r="DT442" s="4"/>
      <x:c r="DU442" s="4"/>
      <x:c r="DV442" s="4"/>
      <x:c r="DW442" s="4"/>
      <x:c r="DX442" s="4"/>
      <x:c r="DY442" s="4"/>
      <x:c r="DZ442" s="4"/>
      <x:c r="EA442" s="4"/>
      <x:c r="EB442" s="4"/>
      <x:c r="EC442" s="4"/>
      <x:c r="ED442" s="4"/>
      <x:c r="EE442" s="4"/>
      <x:c r="EF442" s="4"/>
      <x:c r="EG442" s="4"/>
      <x:c r="EH442" s="4"/>
      <x:c r="EI442" s="4"/>
      <x:c r="EJ442" s="4"/>
      <x:c r="EK442" s="4"/>
      <x:c r="EL442" s="4"/>
      <x:c r="EM442" s="4"/>
      <x:c r="EN442" s="4"/>
      <x:c r="EO442" s="4"/>
      <x:c r="EP442" s="4"/>
      <x:c r="EQ442" s="4"/>
      <x:c r="ER442" s="4"/>
      <x:c r="ES442" s="4"/>
      <x:c r="ET442" s="4"/>
      <x:c r="EU442" s="4"/>
      <x:c r="EV442" s="4"/>
      <x:c r="EW442" s="4"/>
      <x:c r="EX442" s="4"/>
      <x:c r="EY442" s="4"/>
      <x:c r="EZ442" s="4"/>
      <x:c r="FA442" s="4"/>
      <x:c r="FB442" s="4"/>
      <x:c r="FC442" s="4"/>
      <x:c r="FD442" s="4"/>
      <x:c r="FE442" s="4"/>
      <x:c r="FF442" s="4"/>
      <x:c r="FG442" s="4"/>
      <x:c r="FH442" s="4"/>
      <x:c r="FI442" s="4"/>
      <x:c r="FJ442" s="4"/>
      <x:c r="FK442" s="4"/>
      <x:c r="FL442" s="4"/>
      <x:c r="FM442" s="4"/>
      <x:c r="FN442" s="4"/>
      <x:c r="FO442" s="4"/>
    </x:row>
    <x:row r="443">
      <x:c r="A443" s="72"/>
      <x:c r="B443" s="72"/>
      <x:c r="C443" s="72"/>
      <x:c r="D443" s="72"/>
      <x:c r="E443" s="72"/>
      <x:c r="F443" s="72"/>
      <x:c r="G443" s="72"/>
      <x:c r="H443" s="72"/>
      <x:c r="I443" s="72"/>
      <x:c r="J443" s="72"/>
      <x:c r="K443" s="72"/>
      <x:c r="L443" s="72"/>
      <x:c r="M443" s="72"/>
      <x:c r="N443" s="72"/>
      <x:c r="O443" s="72"/>
      <x:c r="P443" s="72"/>
      <x:c r="Q443" s="72"/>
      <x:c r="R443" s="72"/>
      <x:c r="S443" s="72"/>
      <x:c r="T443" s="72"/>
      <x:c r="U443" s="72"/>
      <x:c r="V443" s="72"/>
      <x:c r="W443" s="72"/>
      <x:c r="X443" s="72"/>
      <x:c r="Y443" s="72"/>
      <x:c r="Z443" s="72"/>
      <x:c r="AA443" s="72"/>
      <x:c r="AB443" s="72"/>
      <x:c r="AC443" s="72"/>
      <x:c r="AD443" s="72"/>
      <x:c r="AE443" s="72"/>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x:c r="BN443" s="4"/>
      <x:c r="BO443" s="4"/>
      <x:c r="BP443" s="4"/>
      <x:c r="BQ443" s="4"/>
      <x:c r="BR443" s="4"/>
      <x:c r="BS443" s="4"/>
      <x:c r="BT443" s="4"/>
      <x:c r="BU443" s="4"/>
      <x:c r="BV443" s="4"/>
      <x:c r="BW443" s="4"/>
      <x:c r="BX443" s="4"/>
      <x:c r="BY443" s="4"/>
      <x:c r="BZ443" s="4"/>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x:c r="DB443" s="4"/>
      <x:c r="DC443" s="4"/>
      <x:c r="DD443" s="4"/>
      <x:c r="DE443" s="4"/>
      <x:c r="DF443" s="4"/>
      <x:c r="DG443" s="4"/>
      <x:c r="DH443" s="4"/>
      <x:c r="DI443" s="4"/>
      <x:c r="DJ443" s="4"/>
      <x:c r="DK443" s="4"/>
      <x:c r="DL443" s="4"/>
      <x:c r="DM443" s="4"/>
      <x:c r="DN443" s="4"/>
      <x:c r="DO443" s="4"/>
      <x:c r="DP443" s="4"/>
      <x:c r="DQ443" s="4"/>
      <x:c r="DR443" s="4"/>
      <x:c r="DS443" s="4"/>
      <x:c r="DT443" s="4"/>
      <x:c r="DU443" s="4"/>
      <x:c r="DV443" s="4"/>
      <x:c r="DW443" s="4"/>
      <x:c r="DX443" s="4"/>
      <x:c r="DY443" s="4"/>
      <x:c r="DZ443" s="4"/>
      <x:c r="EA443" s="4"/>
      <x:c r="EB443" s="4"/>
      <x:c r="EC443" s="4"/>
      <x:c r="ED443" s="4"/>
      <x:c r="EE443" s="4"/>
      <x:c r="EF443" s="4"/>
      <x:c r="EG443" s="4"/>
      <x:c r="EH443" s="4"/>
      <x:c r="EI443" s="4"/>
      <x:c r="EJ443" s="4"/>
      <x:c r="EK443" s="4"/>
      <x:c r="EL443" s="4"/>
      <x:c r="EM443" s="4"/>
      <x:c r="EN443" s="4"/>
      <x:c r="EO443" s="4"/>
      <x:c r="EP443" s="4"/>
      <x:c r="EQ443" s="4"/>
      <x:c r="ER443" s="4"/>
      <x:c r="ES443" s="4"/>
      <x:c r="ET443" s="4"/>
      <x:c r="EU443" s="4"/>
      <x:c r="EV443" s="4"/>
      <x:c r="EW443" s="4"/>
      <x:c r="EX443" s="4"/>
      <x:c r="EY443" s="4"/>
      <x:c r="EZ443" s="4"/>
      <x:c r="FA443" s="4"/>
      <x:c r="FB443" s="4"/>
      <x:c r="FC443" s="4"/>
      <x:c r="FD443" s="4"/>
      <x:c r="FE443" s="4"/>
      <x:c r="FF443" s="4"/>
      <x:c r="FG443" s="4"/>
      <x:c r="FH443" s="4"/>
      <x:c r="FI443" s="4"/>
      <x:c r="FJ443" s="4"/>
      <x:c r="FK443" s="4"/>
      <x:c r="FL443" s="4"/>
      <x:c r="FM443" s="4"/>
      <x:c r="FN443" s="4"/>
      <x:c r="FO443" s="4"/>
    </x:row>
    <x:row r="444">
      <x:c r="A444" s="72"/>
      <x:c r="B444" s="72"/>
      <x:c r="C444" s="72"/>
      <x:c r="D444" s="72"/>
      <x:c r="E444" s="72"/>
      <x:c r="F444" s="72"/>
      <x:c r="G444" s="72"/>
      <x:c r="H444" s="72"/>
      <x:c r="I444" s="72"/>
      <x:c r="J444" s="72"/>
      <x:c r="K444" s="72"/>
      <x:c r="L444" s="72"/>
      <x:c r="M444" s="72"/>
      <x:c r="N444" s="72"/>
      <x:c r="O444" s="72"/>
      <x:c r="P444" s="72"/>
      <x:c r="Q444" s="72"/>
      <x:c r="R444" s="72"/>
      <x:c r="S444" s="72"/>
      <x:c r="T444" s="72"/>
      <x:c r="U444" s="72"/>
      <x:c r="V444" s="72"/>
      <x:c r="W444" s="72"/>
      <x:c r="X444" s="72"/>
      <x:c r="Y444" s="72"/>
      <x:c r="Z444" s="72"/>
      <x:c r="AA444" s="72"/>
      <x:c r="AB444" s="72"/>
      <x:c r="AC444" s="72"/>
      <x:c r="AD444" s="72"/>
      <x:c r="AE444" s="72"/>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x:c r="BN444" s="4"/>
      <x:c r="BO444" s="4"/>
      <x:c r="BP444" s="4"/>
      <x:c r="BQ444" s="4"/>
      <x:c r="BR444" s="4"/>
      <x:c r="BS444" s="4"/>
      <x:c r="BT444" s="4"/>
      <x:c r="BU444" s="4"/>
      <x:c r="BV444" s="4"/>
      <x:c r="BW444" s="4"/>
      <x:c r="BX444" s="4"/>
      <x:c r="BY444" s="4"/>
      <x:c r="BZ444" s="4"/>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x:c r="DB444" s="4"/>
      <x:c r="DC444" s="4"/>
      <x:c r="DD444" s="4"/>
      <x:c r="DE444" s="4"/>
      <x:c r="DF444" s="4"/>
      <x:c r="DG444" s="4"/>
      <x:c r="DH444" s="4"/>
      <x:c r="DI444" s="4"/>
      <x:c r="DJ444" s="4"/>
      <x:c r="DK444" s="4"/>
      <x:c r="DL444" s="4"/>
      <x:c r="DM444" s="4"/>
      <x:c r="DN444" s="4"/>
      <x:c r="DO444" s="4"/>
      <x:c r="DP444" s="4"/>
      <x:c r="DQ444" s="4"/>
      <x:c r="DR444" s="4"/>
      <x:c r="DS444" s="4"/>
      <x:c r="DT444" s="4"/>
      <x:c r="DU444" s="4"/>
      <x:c r="DV444" s="4"/>
      <x:c r="DW444" s="4"/>
      <x:c r="DX444" s="4"/>
      <x:c r="DY444" s="4"/>
      <x:c r="DZ444" s="4"/>
      <x:c r="EA444" s="4"/>
      <x:c r="EB444" s="4"/>
      <x:c r="EC444" s="4"/>
      <x:c r="ED444" s="4"/>
      <x:c r="EE444" s="4"/>
      <x:c r="EF444" s="4"/>
      <x:c r="EG444" s="4"/>
      <x:c r="EH444" s="4"/>
      <x:c r="EI444" s="4"/>
      <x:c r="EJ444" s="4"/>
      <x:c r="EK444" s="4"/>
      <x:c r="EL444" s="4"/>
      <x:c r="EM444" s="4"/>
      <x:c r="EN444" s="4"/>
      <x:c r="EO444" s="4"/>
      <x:c r="EP444" s="4"/>
      <x:c r="EQ444" s="4"/>
      <x:c r="ER444" s="4"/>
      <x:c r="ES444" s="4"/>
      <x:c r="ET444" s="4"/>
      <x:c r="EU444" s="4"/>
      <x:c r="EV444" s="4"/>
      <x:c r="EW444" s="4"/>
      <x:c r="EX444" s="4"/>
      <x:c r="EY444" s="4"/>
      <x:c r="EZ444" s="4"/>
      <x:c r="FA444" s="4"/>
      <x:c r="FB444" s="4"/>
      <x:c r="FC444" s="4"/>
      <x:c r="FD444" s="4"/>
      <x:c r="FE444" s="4"/>
      <x:c r="FF444" s="4"/>
      <x:c r="FG444" s="4"/>
      <x:c r="FH444" s="4"/>
      <x:c r="FI444" s="4"/>
      <x:c r="FJ444" s="4"/>
      <x:c r="FK444" s="4"/>
      <x:c r="FL444" s="4"/>
      <x:c r="FM444" s="4"/>
      <x:c r="FN444" s="4"/>
      <x:c r="FO444" s="4"/>
    </x:row>
    <x:row r="445">
      <x:c r="A445" s="72"/>
      <x:c r="B445" s="72"/>
      <x:c r="C445" s="72"/>
      <x:c r="D445" s="72"/>
      <x:c r="E445" s="72"/>
      <x:c r="F445" s="72"/>
      <x:c r="G445" s="72"/>
      <x:c r="H445" s="72"/>
      <x:c r="I445" s="72"/>
      <x:c r="J445" s="72"/>
      <x:c r="K445" s="72"/>
      <x:c r="L445" s="72"/>
      <x:c r="M445" s="72"/>
      <x:c r="N445" s="72"/>
      <x:c r="O445" s="72"/>
      <x:c r="P445" s="72"/>
      <x:c r="Q445" s="72"/>
      <x:c r="R445" s="72"/>
      <x:c r="S445" s="72"/>
      <x:c r="T445" s="72"/>
      <x:c r="U445" s="72"/>
      <x:c r="V445" s="72"/>
      <x:c r="W445" s="72"/>
      <x:c r="X445" s="72"/>
      <x:c r="Y445" s="72"/>
      <x:c r="Z445" s="72"/>
      <x:c r="AA445" s="72"/>
      <x:c r="AB445" s="72"/>
      <x:c r="AC445" s="72"/>
      <x:c r="AD445" s="72"/>
      <x:c r="AE445" s="72"/>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x:c r="BN445" s="4"/>
      <x:c r="BO445" s="4"/>
      <x:c r="BP445" s="4"/>
      <x:c r="BQ445" s="4"/>
      <x:c r="BR445" s="4"/>
      <x:c r="BS445" s="4"/>
      <x:c r="BT445" s="4"/>
      <x:c r="BU445" s="4"/>
      <x:c r="BV445" s="4"/>
      <x:c r="BW445" s="4"/>
      <x:c r="BX445" s="4"/>
      <x:c r="BY445" s="4"/>
      <x:c r="BZ445" s="4"/>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x:c r="DB445" s="4"/>
      <x:c r="DC445" s="4"/>
      <x:c r="DD445" s="4"/>
      <x:c r="DE445" s="4"/>
      <x:c r="DF445" s="4"/>
      <x:c r="DG445" s="4"/>
      <x:c r="DH445" s="4"/>
      <x:c r="DI445" s="4"/>
      <x:c r="DJ445" s="4"/>
      <x:c r="DK445" s="4"/>
      <x:c r="DL445" s="4"/>
      <x:c r="DM445" s="4"/>
      <x:c r="DN445" s="4"/>
      <x:c r="DO445" s="4"/>
      <x:c r="DP445" s="4"/>
      <x:c r="DQ445" s="4"/>
      <x:c r="DR445" s="4"/>
      <x:c r="DS445" s="4"/>
      <x:c r="DT445" s="4"/>
      <x:c r="DU445" s="4"/>
      <x:c r="DV445" s="4"/>
      <x:c r="DW445" s="4"/>
      <x:c r="DX445" s="4"/>
      <x:c r="DY445" s="4"/>
      <x:c r="DZ445" s="4"/>
      <x:c r="EA445" s="4"/>
      <x:c r="EB445" s="4"/>
      <x:c r="EC445" s="4"/>
      <x:c r="ED445" s="4"/>
      <x:c r="EE445" s="4"/>
      <x:c r="EF445" s="4"/>
      <x:c r="EG445" s="4"/>
      <x:c r="EH445" s="4"/>
      <x:c r="EI445" s="4"/>
      <x:c r="EJ445" s="4"/>
      <x:c r="EK445" s="4"/>
      <x:c r="EL445" s="4"/>
      <x:c r="EM445" s="4"/>
      <x:c r="EN445" s="4"/>
      <x:c r="EO445" s="4"/>
      <x:c r="EP445" s="4"/>
      <x:c r="EQ445" s="4"/>
      <x:c r="ER445" s="4"/>
      <x:c r="ES445" s="4"/>
      <x:c r="ET445" s="4"/>
      <x:c r="EU445" s="4"/>
      <x:c r="EV445" s="4"/>
      <x:c r="EW445" s="4"/>
      <x:c r="EX445" s="4"/>
      <x:c r="EY445" s="4"/>
      <x:c r="EZ445" s="4"/>
      <x:c r="FA445" s="4"/>
      <x:c r="FB445" s="4"/>
      <x:c r="FC445" s="4"/>
      <x:c r="FD445" s="4"/>
      <x:c r="FE445" s="4"/>
      <x:c r="FF445" s="4"/>
      <x:c r="FG445" s="4"/>
      <x:c r="FH445" s="4"/>
      <x:c r="FI445" s="4"/>
      <x:c r="FJ445" s="4"/>
      <x:c r="FK445" s="4"/>
      <x:c r="FL445" s="4"/>
      <x:c r="FM445" s="4"/>
      <x:c r="FN445" s="4"/>
      <x:c r="FO445" s="4"/>
    </x:row>
    <x:row r="446">
      <x:c r="A446" s="72"/>
      <x:c r="B446" s="72"/>
      <x:c r="C446" s="72"/>
      <x:c r="D446" s="72"/>
      <x:c r="E446" s="72"/>
      <x:c r="F446" s="72"/>
      <x:c r="G446" s="72"/>
      <x:c r="H446" s="72"/>
      <x:c r="I446" s="72"/>
      <x:c r="J446" s="72"/>
      <x:c r="K446" s="72"/>
      <x:c r="L446" s="72"/>
      <x:c r="M446" s="72"/>
      <x:c r="N446" s="72"/>
      <x:c r="O446" s="72"/>
      <x:c r="P446" s="72"/>
      <x:c r="Q446" s="72"/>
      <x:c r="R446" s="72"/>
      <x:c r="S446" s="72"/>
      <x:c r="T446" s="72"/>
      <x:c r="U446" s="72"/>
      <x:c r="V446" s="72"/>
      <x:c r="W446" s="72"/>
      <x:c r="X446" s="72"/>
      <x:c r="Y446" s="72"/>
      <x:c r="Z446" s="72"/>
      <x:c r="AA446" s="72"/>
      <x:c r="AB446" s="72"/>
      <x:c r="AC446" s="72"/>
      <x:c r="AD446" s="72"/>
      <x:c r="AE446" s="72"/>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x:c r="BN446" s="4"/>
      <x:c r="BO446" s="4"/>
      <x:c r="BP446" s="4"/>
      <x:c r="BQ446" s="4"/>
      <x:c r="BR446" s="4"/>
      <x:c r="BS446" s="4"/>
      <x:c r="BT446" s="4"/>
      <x:c r="BU446" s="4"/>
      <x:c r="BV446" s="4"/>
      <x:c r="BW446" s="4"/>
      <x:c r="BX446" s="4"/>
      <x:c r="BY446" s="4"/>
      <x:c r="BZ446" s="4"/>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x:c r="DB446" s="4"/>
      <x:c r="DC446" s="4"/>
      <x:c r="DD446" s="4"/>
      <x:c r="DE446" s="4"/>
      <x:c r="DF446" s="4"/>
      <x:c r="DG446" s="4"/>
      <x:c r="DH446" s="4"/>
      <x:c r="DI446" s="4"/>
      <x:c r="DJ446" s="4"/>
      <x:c r="DK446" s="4"/>
      <x:c r="DL446" s="4"/>
      <x:c r="DM446" s="4"/>
      <x:c r="DN446" s="4"/>
      <x:c r="DO446" s="4"/>
      <x:c r="DP446" s="4"/>
      <x:c r="DQ446" s="4"/>
      <x:c r="DR446" s="4"/>
      <x:c r="DS446" s="4"/>
      <x:c r="DT446" s="4"/>
      <x:c r="DU446" s="4"/>
      <x:c r="DV446" s="4"/>
      <x:c r="DW446" s="4"/>
      <x:c r="DX446" s="4"/>
      <x:c r="DY446" s="4"/>
      <x:c r="DZ446" s="4"/>
      <x:c r="EA446" s="4"/>
      <x:c r="EB446" s="4"/>
      <x:c r="EC446" s="4"/>
      <x:c r="ED446" s="4"/>
      <x:c r="EE446" s="4"/>
      <x:c r="EF446" s="4"/>
      <x:c r="EG446" s="4"/>
      <x:c r="EH446" s="4"/>
      <x:c r="EI446" s="4"/>
      <x:c r="EJ446" s="4"/>
      <x:c r="EK446" s="4"/>
      <x:c r="EL446" s="4"/>
      <x:c r="EM446" s="4"/>
      <x:c r="EN446" s="4"/>
      <x:c r="EO446" s="4"/>
      <x:c r="EP446" s="4"/>
      <x:c r="EQ446" s="4"/>
      <x:c r="ER446" s="4"/>
      <x:c r="ES446" s="4"/>
      <x:c r="ET446" s="4"/>
      <x:c r="EU446" s="4"/>
      <x:c r="EV446" s="4"/>
      <x:c r="EW446" s="4"/>
      <x:c r="EX446" s="4"/>
      <x:c r="EY446" s="4"/>
      <x:c r="EZ446" s="4"/>
      <x:c r="FA446" s="4"/>
      <x:c r="FB446" s="4"/>
      <x:c r="FC446" s="4"/>
      <x:c r="FD446" s="4"/>
      <x:c r="FE446" s="4"/>
      <x:c r="FF446" s="4"/>
      <x:c r="FG446" s="4"/>
      <x:c r="FH446" s="4"/>
      <x:c r="FI446" s="4"/>
      <x:c r="FJ446" s="4"/>
      <x:c r="FK446" s="4"/>
      <x:c r="FL446" s="4"/>
      <x:c r="FM446" s="4"/>
      <x:c r="FN446" s="4"/>
      <x:c r="FO446" s="4"/>
    </x:row>
    <x:row r="447">
      <x:c r="A447" s="72"/>
      <x:c r="B447" s="72"/>
      <x:c r="C447" s="72"/>
      <x:c r="D447" s="72"/>
      <x:c r="E447" s="72"/>
      <x:c r="F447" s="72"/>
      <x:c r="G447" s="72"/>
      <x:c r="H447" s="72"/>
      <x:c r="I447" s="72"/>
      <x:c r="J447" s="72"/>
      <x:c r="K447" s="72"/>
      <x:c r="L447" s="72"/>
      <x:c r="M447" s="72"/>
      <x:c r="N447" s="72"/>
      <x:c r="O447" s="72"/>
      <x:c r="P447" s="72"/>
      <x:c r="Q447" s="72"/>
      <x:c r="R447" s="72"/>
      <x:c r="S447" s="72"/>
      <x:c r="T447" s="72"/>
      <x:c r="U447" s="72"/>
      <x:c r="V447" s="72"/>
      <x:c r="W447" s="72"/>
      <x:c r="X447" s="72"/>
      <x:c r="Y447" s="72"/>
      <x:c r="Z447" s="72"/>
      <x:c r="AA447" s="72"/>
      <x:c r="AB447" s="72"/>
      <x:c r="AC447" s="72"/>
      <x:c r="AD447" s="72"/>
      <x:c r="AE447" s="72"/>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x:c r="BN447" s="4"/>
      <x:c r="BO447" s="4"/>
      <x:c r="BP447" s="4"/>
      <x:c r="BQ447" s="4"/>
      <x:c r="BR447" s="4"/>
      <x:c r="BS447" s="4"/>
      <x:c r="BT447" s="4"/>
      <x:c r="BU447" s="4"/>
      <x:c r="BV447" s="4"/>
      <x:c r="BW447" s="4"/>
      <x:c r="BX447" s="4"/>
      <x:c r="BY447" s="4"/>
      <x:c r="BZ447" s="4"/>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x:c r="DB447" s="4"/>
      <x:c r="DC447" s="4"/>
      <x:c r="DD447" s="4"/>
      <x:c r="DE447" s="4"/>
      <x:c r="DF447" s="4"/>
      <x:c r="DG447" s="4"/>
      <x:c r="DH447" s="4"/>
      <x:c r="DI447" s="4"/>
      <x:c r="DJ447" s="4"/>
      <x:c r="DK447" s="4"/>
      <x:c r="DL447" s="4"/>
      <x:c r="DM447" s="4"/>
      <x:c r="DN447" s="4"/>
      <x:c r="DO447" s="4"/>
      <x:c r="DP447" s="4"/>
      <x:c r="DQ447" s="4"/>
      <x:c r="DR447" s="4"/>
      <x:c r="DS447" s="4"/>
      <x:c r="DT447" s="4"/>
      <x:c r="DU447" s="4"/>
      <x:c r="DV447" s="4"/>
      <x:c r="DW447" s="4"/>
      <x:c r="DX447" s="4"/>
      <x:c r="DY447" s="4"/>
      <x:c r="DZ447" s="4"/>
      <x:c r="EA447" s="4"/>
      <x:c r="EB447" s="4"/>
      <x:c r="EC447" s="4"/>
      <x:c r="ED447" s="4"/>
      <x:c r="EE447" s="4"/>
      <x:c r="EF447" s="4"/>
      <x:c r="EG447" s="4"/>
      <x:c r="EH447" s="4"/>
      <x:c r="EI447" s="4"/>
      <x:c r="EJ447" s="4"/>
      <x:c r="EK447" s="4"/>
      <x:c r="EL447" s="4"/>
      <x:c r="EM447" s="4"/>
      <x:c r="EN447" s="4"/>
      <x:c r="EO447" s="4"/>
      <x:c r="EP447" s="4"/>
      <x:c r="EQ447" s="4"/>
      <x:c r="ER447" s="4"/>
      <x:c r="ES447" s="4"/>
      <x:c r="ET447" s="4"/>
      <x:c r="EU447" s="4"/>
      <x:c r="EV447" s="4"/>
      <x:c r="EW447" s="4"/>
      <x:c r="EX447" s="4"/>
      <x:c r="EY447" s="4"/>
      <x:c r="EZ447" s="4"/>
      <x:c r="FA447" s="4"/>
      <x:c r="FB447" s="4"/>
      <x:c r="FC447" s="4"/>
      <x:c r="FD447" s="4"/>
      <x:c r="FE447" s="4"/>
      <x:c r="FF447" s="4"/>
      <x:c r="FG447" s="4"/>
      <x:c r="FH447" s="4"/>
      <x:c r="FI447" s="4"/>
      <x:c r="FJ447" s="4"/>
      <x:c r="FK447" s="4"/>
      <x:c r="FL447" s="4"/>
      <x:c r="FM447" s="4"/>
      <x:c r="FN447" s="4"/>
      <x:c r="FO447" s="4"/>
    </x:row>
    <x:row r="448">
      <x:c r="A448" s="72"/>
      <x:c r="B448" s="72"/>
      <x:c r="C448" s="72"/>
      <x:c r="D448" s="72"/>
      <x:c r="E448" s="72"/>
      <x:c r="F448" s="72"/>
      <x:c r="G448" s="72"/>
      <x:c r="H448" s="72"/>
      <x:c r="I448" s="72"/>
      <x:c r="J448" s="72"/>
      <x:c r="K448" s="72"/>
      <x:c r="L448" s="72"/>
      <x:c r="M448" s="72"/>
      <x:c r="N448" s="72"/>
      <x:c r="O448" s="72"/>
      <x:c r="P448" s="72"/>
      <x:c r="Q448" s="72"/>
      <x:c r="R448" s="72"/>
      <x:c r="S448" s="72"/>
      <x:c r="T448" s="72"/>
      <x:c r="U448" s="72"/>
      <x:c r="V448" s="72"/>
      <x:c r="W448" s="72"/>
      <x:c r="X448" s="72"/>
      <x:c r="Y448" s="72"/>
      <x:c r="Z448" s="72"/>
      <x:c r="AA448" s="72"/>
      <x:c r="AB448" s="72"/>
      <x:c r="AC448" s="72"/>
      <x:c r="AD448" s="72"/>
      <x:c r="AE448" s="72"/>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x:c r="BN448" s="4"/>
      <x:c r="BO448" s="4"/>
      <x:c r="BP448" s="4"/>
      <x:c r="BQ448" s="4"/>
      <x:c r="BR448" s="4"/>
      <x:c r="BS448" s="4"/>
      <x:c r="BT448" s="4"/>
      <x:c r="BU448" s="4"/>
      <x:c r="BV448" s="4"/>
      <x:c r="BW448" s="4"/>
      <x:c r="BX448" s="4"/>
      <x:c r="BY448" s="4"/>
      <x:c r="BZ448" s="4"/>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x:c r="DB448" s="4"/>
      <x:c r="DC448" s="4"/>
      <x:c r="DD448" s="4"/>
      <x:c r="DE448" s="4"/>
      <x:c r="DF448" s="4"/>
      <x:c r="DG448" s="4"/>
      <x:c r="DH448" s="4"/>
      <x:c r="DI448" s="4"/>
      <x:c r="DJ448" s="4"/>
      <x:c r="DK448" s="4"/>
      <x:c r="DL448" s="4"/>
      <x:c r="DM448" s="4"/>
      <x:c r="DN448" s="4"/>
      <x:c r="DO448" s="4"/>
      <x:c r="DP448" s="4"/>
      <x:c r="DQ448" s="4"/>
      <x:c r="DR448" s="4"/>
      <x:c r="DS448" s="4"/>
      <x:c r="DT448" s="4"/>
      <x:c r="DU448" s="4"/>
      <x:c r="DV448" s="4"/>
      <x:c r="DW448" s="4"/>
      <x:c r="DX448" s="4"/>
      <x:c r="DY448" s="4"/>
      <x:c r="DZ448" s="4"/>
      <x:c r="EA448" s="4"/>
      <x:c r="EB448" s="4"/>
      <x:c r="EC448" s="4"/>
      <x:c r="ED448" s="4"/>
      <x:c r="EE448" s="4"/>
      <x:c r="EF448" s="4"/>
      <x:c r="EG448" s="4"/>
      <x:c r="EH448" s="4"/>
      <x:c r="EI448" s="4"/>
      <x:c r="EJ448" s="4"/>
      <x:c r="EK448" s="4"/>
      <x:c r="EL448" s="4"/>
      <x:c r="EM448" s="4"/>
      <x:c r="EN448" s="4"/>
      <x:c r="EO448" s="4"/>
      <x:c r="EP448" s="4"/>
      <x:c r="EQ448" s="4"/>
      <x:c r="ER448" s="4"/>
      <x:c r="ES448" s="4"/>
      <x:c r="ET448" s="4"/>
      <x:c r="EU448" s="4"/>
      <x:c r="EV448" s="4"/>
      <x:c r="EW448" s="4"/>
      <x:c r="EX448" s="4"/>
      <x:c r="EY448" s="4"/>
      <x:c r="EZ448" s="4"/>
      <x:c r="FA448" s="4"/>
      <x:c r="FB448" s="4"/>
      <x:c r="FC448" s="4"/>
      <x:c r="FD448" s="4"/>
      <x:c r="FE448" s="4"/>
      <x:c r="FF448" s="4"/>
      <x:c r="FG448" s="4"/>
      <x:c r="FH448" s="4"/>
      <x:c r="FI448" s="4"/>
      <x:c r="FJ448" s="4"/>
      <x:c r="FK448" s="4"/>
      <x:c r="FL448" s="4"/>
      <x:c r="FM448" s="4"/>
      <x:c r="FN448" s="4"/>
      <x:c r="FO448" s="4"/>
    </x:row>
    <x:row r="449">
      <x:c r="A449" s="72"/>
      <x:c r="B449" s="72"/>
      <x:c r="C449" s="72"/>
      <x:c r="D449" s="72"/>
      <x:c r="E449" s="72"/>
      <x:c r="F449" s="72"/>
      <x:c r="G449" s="72"/>
      <x:c r="H449" s="72"/>
      <x:c r="I449" s="72"/>
      <x:c r="J449" s="72"/>
      <x:c r="K449" s="72"/>
      <x:c r="L449" s="72"/>
      <x:c r="M449" s="72"/>
      <x:c r="N449" s="72"/>
      <x:c r="O449" s="72"/>
      <x:c r="P449" s="72"/>
      <x:c r="Q449" s="72"/>
      <x:c r="R449" s="72"/>
      <x:c r="S449" s="72"/>
      <x:c r="T449" s="72"/>
      <x:c r="U449" s="72"/>
      <x:c r="V449" s="72"/>
      <x:c r="W449" s="72"/>
      <x:c r="X449" s="72"/>
      <x:c r="Y449" s="72"/>
      <x:c r="Z449" s="72"/>
      <x:c r="AA449" s="72"/>
      <x:c r="AB449" s="72"/>
      <x:c r="AC449" s="72"/>
      <x:c r="AD449" s="72"/>
      <x:c r="AE449" s="72"/>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x:c r="BN449" s="4"/>
      <x:c r="BO449" s="4"/>
      <x:c r="BP449" s="4"/>
      <x:c r="BQ449" s="4"/>
      <x:c r="BR449" s="4"/>
      <x:c r="BS449" s="4"/>
      <x:c r="BT449" s="4"/>
      <x:c r="BU449" s="4"/>
      <x:c r="BV449" s="4"/>
      <x:c r="BW449" s="4"/>
      <x:c r="BX449" s="4"/>
      <x:c r="BY449" s="4"/>
      <x:c r="BZ449" s="4"/>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x:c r="DB449" s="4"/>
      <x:c r="DC449" s="4"/>
      <x:c r="DD449" s="4"/>
      <x:c r="DE449" s="4"/>
      <x:c r="DF449" s="4"/>
      <x:c r="DG449" s="4"/>
      <x:c r="DH449" s="4"/>
      <x:c r="DI449" s="4"/>
      <x:c r="DJ449" s="4"/>
      <x:c r="DK449" s="4"/>
      <x:c r="DL449" s="4"/>
      <x:c r="DM449" s="4"/>
      <x:c r="DN449" s="4"/>
      <x:c r="DO449" s="4"/>
      <x:c r="DP449" s="4"/>
      <x:c r="DQ449" s="4"/>
      <x:c r="DR449" s="4"/>
      <x:c r="DS449" s="4"/>
      <x:c r="DT449" s="4"/>
      <x:c r="DU449" s="4"/>
      <x:c r="DV449" s="4"/>
      <x:c r="DW449" s="4"/>
      <x:c r="DX449" s="4"/>
      <x:c r="DY449" s="4"/>
      <x:c r="DZ449" s="4"/>
      <x:c r="EA449" s="4"/>
      <x:c r="EB449" s="4"/>
      <x:c r="EC449" s="4"/>
      <x:c r="ED449" s="4"/>
      <x:c r="EE449" s="4"/>
      <x:c r="EF449" s="4"/>
      <x:c r="EG449" s="4"/>
      <x:c r="EH449" s="4"/>
      <x:c r="EI449" s="4"/>
      <x:c r="EJ449" s="4"/>
      <x:c r="EK449" s="4"/>
      <x:c r="EL449" s="4"/>
      <x:c r="EM449" s="4"/>
      <x:c r="EN449" s="4"/>
      <x:c r="EO449" s="4"/>
      <x:c r="EP449" s="4"/>
      <x:c r="EQ449" s="4"/>
      <x:c r="ER449" s="4"/>
      <x:c r="ES449" s="4"/>
      <x:c r="ET449" s="4"/>
      <x:c r="EU449" s="4"/>
      <x:c r="EV449" s="4"/>
      <x:c r="EW449" s="4"/>
      <x:c r="EX449" s="4"/>
      <x:c r="EY449" s="4"/>
      <x:c r="EZ449" s="4"/>
      <x:c r="FA449" s="4"/>
      <x:c r="FB449" s="4"/>
      <x:c r="FC449" s="4"/>
      <x:c r="FD449" s="4"/>
      <x:c r="FE449" s="4"/>
      <x:c r="FF449" s="4"/>
      <x:c r="FG449" s="4"/>
      <x:c r="FH449" s="4"/>
      <x:c r="FI449" s="4"/>
      <x:c r="FJ449" s="4"/>
      <x:c r="FK449" s="4"/>
      <x:c r="FL449" s="4"/>
      <x:c r="FM449" s="4"/>
      <x:c r="FN449" s="4"/>
      <x:c r="FO449" s="4"/>
    </x:row>
    <x:row r="450">
      <x:c r="A450" s="72"/>
      <x:c r="B450" s="72"/>
      <x:c r="C450" s="72"/>
      <x:c r="D450" s="72"/>
      <x:c r="E450" s="72"/>
      <x:c r="F450" s="72"/>
      <x:c r="G450" s="72"/>
      <x:c r="H450" s="72"/>
      <x:c r="I450" s="72"/>
      <x:c r="J450" s="72"/>
      <x:c r="K450" s="72"/>
      <x:c r="L450" s="72"/>
      <x:c r="M450" s="72"/>
      <x:c r="N450" s="72"/>
      <x:c r="O450" s="72"/>
      <x:c r="P450" s="72"/>
      <x:c r="Q450" s="72"/>
      <x:c r="R450" s="72"/>
      <x:c r="S450" s="72"/>
      <x:c r="T450" s="72"/>
      <x:c r="U450" s="72"/>
      <x:c r="V450" s="72"/>
      <x:c r="W450" s="72"/>
      <x:c r="X450" s="72"/>
      <x:c r="Y450" s="72"/>
      <x:c r="Z450" s="72"/>
      <x:c r="AA450" s="72"/>
      <x:c r="AB450" s="72"/>
      <x:c r="AC450" s="72"/>
      <x:c r="AD450" s="72"/>
      <x:c r="AE450" s="72"/>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x:c r="BN450" s="4"/>
      <x:c r="BO450" s="4"/>
      <x:c r="BP450" s="4"/>
      <x:c r="BQ450" s="4"/>
      <x:c r="BR450" s="4"/>
      <x:c r="BS450" s="4"/>
      <x:c r="BT450" s="4"/>
      <x:c r="BU450" s="4"/>
      <x:c r="BV450" s="4"/>
      <x:c r="BW450" s="4"/>
      <x:c r="BX450" s="4"/>
      <x:c r="BY450" s="4"/>
      <x:c r="BZ450" s="4"/>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x:c r="DB450" s="4"/>
      <x:c r="DC450" s="4"/>
      <x:c r="DD450" s="4"/>
      <x:c r="DE450" s="4"/>
      <x:c r="DF450" s="4"/>
      <x:c r="DG450" s="4"/>
      <x:c r="DH450" s="4"/>
      <x:c r="DI450" s="4"/>
      <x:c r="DJ450" s="4"/>
      <x:c r="DK450" s="4"/>
      <x:c r="DL450" s="4"/>
      <x:c r="DM450" s="4"/>
      <x:c r="DN450" s="4"/>
      <x:c r="DO450" s="4"/>
      <x:c r="DP450" s="4"/>
      <x:c r="DQ450" s="4"/>
      <x:c r="DR450" s="4"/>
      <x:c r="DS450" s="4"/>
      <x:c r="DT450" s="4"/>
      <x:c r="DU450" s="4"/>
      <x:c r="DV450" s="4"/>
      <x:c r="DW450" s="4"/>
      <x:c r="DX450" s="4"/>
      <x:c r="DY450" s="4"/>
      <x:c r="DZ450" s="4"/>
      <x:c r="EA450" s="4"/>
      <x:c r="EB450" s="4"/>
      <x:c r="EC450" s="4"/>
      <x:c r="ED450" s="4"/>
      <x:c r="EE450" s="4"/>
      <x:c r="EF450" s="4"/>
      <x:c r="EG450" s="4"/>
      <x:c r="EH450" s="4"/>
      <x:c r="EI450" s="4"/>
      <x:c r="EJ450" s="4"/>
      <x:c r="EK450" s="4"/>
      <x:c r="EL450" s="4"/>
      <x:c r="EM450" s="4"/>
      <x:c r="EN450" s="4"/>
      <x:c r="EO450" s="4"/>
      <x:c r="EP450" s="4"/>
      <x:c r="EQ450" s="4"/>
      <x:c r="ER450" s="4"/>
      <x:c r="ES450" s="4"/>
      <x:c r="ET450" s="4"/>
      <x:c r="EU450" s="4"/>
      <x:c r="EV450" s="4"/>
      <x:c r="EW450" s="4"/>
      <x:c r="EX450" s="4"/>
      <x:c r="EY450" s="4"/>
      <x:c r="EZ450" s="4"/>
      <x:c r="FA450" s="4"/>
      <x:c r="FB450" s="4"/>
      <x:c r="FC450" s="4"/>
      <x:c r="FD450" s="4"/>
      <x:c r="FE450" s="4"/>
      <x:c r="FF450" s="4"/>
      <x:c r="FG450" s="4"/>
      <x:c r="FH450" s="4"/>
      <x:c r="FI450" s="4"/>
      <x:c r="FJ450" s="4"/>
      <x:c r="FK450" s="4"/>
      <x:c r="FL450" s="4"/>
      <x:c r="FM450" s="4"/>
      <x:c r="FN450" s="4"/>
      <x:c r="FO450" s="4"/>
    </x:row>
    <x:row r="451">
      <x:c r="A451" s="72"/>
      <x:c r="B451" s="72"/>
      <x:c r="C451" s="72"/>
      <x:c r="D451" s="72"/>
      <x:c r="E451" s="72"/>
      <x:c r="F451" s="72"/>
      <x:c r="G451" s="72"/>
      <x:c r="H451" s="72"/>
      <x:c r="I451" s="72"/>
      <x:c r="J451" s="72"/>
      <x:c r="K451" s="72"/>
      <x:c r="L451" s="72"/>
      <x:c r="M451" s="72"/>
      <x:c r="N451" s="72"/>
      <x:c r="O451" s="72"/>
      <x:c r="P451" s="72"/>
      <x:c r="Q451" s="72"/>
      <x:c r="R451" s="72"/>
      <x:c r="S451" s="72"/>
      <x:c r="T451" s="72"/>
      <x:c r="U451" s="72"/>
      <x:c r="V451" s="72"/>
      <x:c r="W451" s="72"/>
      <x:c r="X451" s="72"/>
      <x:c r="Y451" s="72"/>
      <x:c r="Z451" s="72"/>
      <x:c r="AA451" s="72"/>
      <x:c r="AB451" s="72"/>
      <x:c r="AC451" s="72"/>
      <x:c r="AD451" s="72"/>
      <x:c r="AE451" s="72"/>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x:c r="BN451" s="4"/>
      <x:c r="BO451" s="4"/>
      <x:c r="BP451" s="4"/>
      <x:c r="BQ451" s="4"/>
      <x:c r="BR451" s="4"/>
      <x:c r="BS451" s="4"/>
      <x:c r="BT451" s="4"/>
      <x:c r="BU451" s="4"/>
      <x:c r="BV451" s="4"/>
      <x:c r="BW451" s="4"/>
      <x:c r="BX451" s="4"/>
      <x:c r="BY451" s="4"/>
      <x:c r="BZ451" s="4"/>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x:c r="DB451" s="4"/>
      <x:c r="DC451" s="4"/>
      <x:c r="DD451" s="4"/>
      <x:c r="DE451" s="4"/>
      <x:c r="DF451" s="4"/>
      <x:c r="DG451" s="4"/>
      <x:c r="DH451" s="4"/>
      <x:c r="DI451" s="4"/>
      <x:c r="DJ451" s="4"/>
      <x:c r="DK451" s="4"/>
      <x:c r="DL451" s="4"/>
      <x:c r="DM451" s="4"/>
      <x:c r="DN451" s="4"/>
      <x:c r="DO451" s="4"/>
      <x:c r="DP451" s="4"/>
      <x:c r="DQ451" s="4"/>
      <x:c r="DR451" s="4"/>
      <x:c r="DS451" s="4"/>
      <x:c r="DT451" s="4"/>
      <x:c r="DU451" s="4"/>
      <x:c r="DV451" s="4"/>
      <x:c r="DW451" s="4"/>
      <x:c r="DX451" s="4"/>
      <x:c r="DY451" s="4"/>
      <x:c r="DZ451" s="4"/>
      <x:c r="EA451" s="4"/>
      <x:c r="EB451" s="4"/>
      <x:c r="EC451" s="4"/>
      <x:c r="ED451" s="4"/>
      <x:c r="EE451" s="4"/>
      <x:c r="EF451" s="4"/>
      <x:c r="EG451" s="4"/>
      <x:c r="EH451" s="4"/>
      <x:c r="EI451" s="4"/>
      <x:c r="EJ451" s="4"/>
      <x:c r="EK451" s="4"/>
      <x:c r="EL451" s="4"/>
      <x:c r="EM451" s="4"/>
      <x:c r="EN451" s="4"/>
      <x:c r="EO451" s="4"/>
      <x:c r="EP451" s="4"/>
      <x:c r="EQ451" s="4"/>
      <x:c r="ER451" s="4"/>
      <x:c r="ES451" s="4"/>
      <x:c r="ET451" s="4"/>
      <x:c r="EU451" s="4"/>
      <x:c r="EV451" s="4"/>
      <x:c r="EW451" s="4"/>
      <x:c r="EX451" s="4"/>
      <x:c r="EY451" s="4"/>
      <x:c r="EZ451" s="4"/>
      <x:c r="FA451" s="4"/>
      <x:c r="FB451" s="4"/>
      <x:c r="FC451" s="4"/>
      <x:c r="FD451" s="4"/>
      <x:c r="FE451" s="4"/>
      <x:c r="FF451" s="4"/>
      <x:c r="FG451" s="4"/>
      <x:c r="FH451" s="4"/>
      <x:c r="FI451" s="4"/>
      <x:c r="FJ451" s="4"/>
      <x:c r="FK451" s="4"/>
      <x:c r="FL451" s="4"/>
      <x:c r="FM451" s="4"/>
      <x:c r="FN451" s="4"/>
      <x:c r="FO451" s="4"/>
    </x:row>
    <x:row r="452">
      <x:c r="A452" s="72"/>
      <x:c r="B452" s="72"/>
      <x:c r="C452" s="72"/>
      <x:c r="D452" s="72"/>
      <x:c r="E452" s="72"/>
      <x:c r="F452" s="72"/>
      <x:c r="G452" s="72"/>
      <x:c r="H452" s="72"/>
      <x:c r="I452" s="72"/>
      <x:c r="J452" s="72"/>
      <x:c r="K452" s="72"/>
      <x:c r="L452" s="72"/>
      <x:c r="M452" s="72"/>
      <x:c r="N452" s="72"/>
      <x:c r="O452" s="72"/>
      <x:c r="P452" s="72"/>
      <x:c r="Q452" s="72"/>
      <x:c r="R452" s="72"/>
      <x:c r="S452" s="72"/>
      <x:c r="T452" s="72"/>
      <x:c r="U452" s="72"/>
      <x:c r="V452" s="72"/>
      <x:c r="W452" s="72"/>
      <x:c r="X452" s="72"/>
      <x:c r="Y452" s="72"/>
      <x:c r="Z452" s="72"/>
      <x:c r="AA452" s="72"/>
      <x:c r="AB452" s="72"/>
      <x:c r="AC452" s="72"/>
      <x:c r="AD452" s="72"/>
      <x:c r="AE452" s="72"/>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x:c r="BN452" s="4"/>
      <x:c r="BO452" s="4"/>
      <x:c r="BP452" s="4"/>
      <x:c r="BQ452" s="4"/>
      <x:c r="BR452" s="4"/>
      <x:c r="BS452" s="4"/>
      <x:c r="BT452" s="4"/>
      <x:c r="BU452" s="4"/>
      <x:c r="BV452" s="4"/>
      <x:c r="BW452" s="4"/>
      <x:c r="BX452" s="4"/>
      <x:c r="BY452" s="4"/>
      <x:c r="BZ452" s="4"/>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x:c r="DB452" s="4"/>
      <x:c r="DC452" s="4"/>
      <x:c r="DD452" s="4"/>
      <x:c r="DE452" s="4"/>
      <x:c r="DF452" s="4"/>
      <x:c r="DG452" s="4"/>
      <x:c r="DH452" s="4"/>
      <x:c r="DI452" s="4"/>
      <x:c r="DJ452" s="4"/>
      <x:c r="DK452" s="4"/>
      <x:c r="DL452" s="4"/>
      <x:c r="DM452" s="4"/>
      <x:c r="DN452" s="4"/>
      <x:c r="DO452" s="4"/>
      <x:c r="DP452" s="4"/>
      <x:c r="DQ452" s="4"/>
      <x:c r="DR452" s="4"/>
      <x:c r="DS452" s="4"/>
      <x:c r="DT452" s="4"/>
      <x:c r="DU452" s="4"/>
      <x:c r="DV452" s="4"/>
      <x:c r="DW452" s="4"/>
      <x:c r="DX452" s="4"/>
      <x:c r="DY452" s="4"/>
      <x:c r="DZ452" s="4"/>
      <x:c r="EA452" s="4"/>
      <x:c r="EB452" s="4"/>
      <x:c r="EC452" s="4"/>
      <x:c r="ED452" s="4"/>
      <x:c r="EE452" s="4"/>
      <x:c r="EF452" s="4"/>
      <x:c r="EG452" s="4"/>
      <x:c r="EH452" s="4"/>
      <x:c r="EI452" s="4"/>
      <x:c r="EJ452" s="4"/>
      <x:c r="EK452" s="4"/>
      <x:c r="EL452" s="4"/>
      <x:c r="EM452" s="4"/>
      <x:c r="EN452" s="4"/>
      <x:c r="EO452" s="4"/>
      <x:c r="EP452" s="4"/>
      <x:c r="EQ452" s="4"/>
      <x:c r="ER452" s="4"/>
      <x:c r="ES452" s="4"/>
      <x:c r="ET452" s="4"/>
      <x:c r="EU452" s="4"/>
      <x:c r="EV452" s="4"/>
      <x:c r="EW452" s="4"/>
      <x:c r="EX452" s="4"/>
      <x:c r="EY452" s="4"/>
      <x:c r="EZ452" s="4"/>
      <x:c r="FA452" s="4"/>
      <x:c r="FB452" s="4"/>
      <x:c r="FC452" s="4"/>
      <x:c r="FD452" s="4"/>
      <x:c r="FE452" s="4"/>
      <x:c r="FF452" s="4"/>
      <x:c r="FG452" s="4"/>
      <x:c r="FH452" s="4"/>
      <x:c r="FI452" s="4"/>
      <x:c r="FJ452" s="4"/>
      <x:c r="FK452" s="4"/>
      <x:c r="FL452" s="4"/>
      <x:c r="FM452" s="4"/>
      <x:c r="FN452" s="4"/>
      <x:c r="FO452" s="4"/>
    </x:row>
    <x:row r="453">
      <x:c r="A453" s="72"/>
      <x:c r="B453" s="72"/>
      <x:c r="C453" s="72"/>
      <x:c r="D453" s="72"/>
      <x:c r="E453" s="72"/>
      <x:c r="F453" s="72"/>
      <x:c r="G453" s="72"/>
      <x:c r="H453" s="72"/>
      <x:c r="I453" s="72"/>
      <x:c r="J453" s="72"/>
      <x:c r="K453" s="72"/>
      <x:c r="L453" s="72"/>
      <x:c r="M453" s="72"/>
      <x:c r="N453" s="72"/>
      <x:c r="O453" s="72"/>
      <x:c r="P453" s="72"/>
      <x:c r="Q453" s="72"/>
      <x:c r="R453" s="72"/>
      <x:c r="S453" s="72"/>
      <x:c r="T453" s="72"/>
      <x:c r="U453" s="72"/>
      <x:c r="V453" s="72"/>
      <x:c r="W453" s="72"/>
      <x:c r="X453" s="72"/>
      <x:c r="Y453" s="72"/>
      <x:c r="Z453" s="72"/>
      <x:c r="AA453" s="72"/>
      <x:c r="AB453" s="72"/>
      <x:c r="AC453" s="72"/>
      <x:c r="AD453" s="72"/>
      <x:c r="AE453" s="72"/>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x:c r="BN453" s="4"/>
      <x:c r="BO453" s="4"/>
      <x:c r="BP453" s="4"/>
      <x:c r="BQ453" s="4"/>
      <x:c r="BR453" s="4"/>
      <x:c r="BS453" s="4"/>
      <x:c r="BT453" s="4"/>
      <x:c r="BU453" s="4"/>
      <x:c r="BV453" s="4"/>
      <x:c r="BW453" s="4"/>
      <x:c r="BX453" s="4"/>
      <x:c r="BY453" s="4"/>
      <x:c r="BZ453" s="4"/>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x:c r="DB453" s="4"/>
      <x:c r="DC453" s="4"/>
      <x:c r="DD453" s="4"/>
      <x:c r="DE453" s="4"/>
      <x:c r="DF453" s="4"/>
      <x:c r="DG453" s="4"/>
      <x:c r="DH453" s="4"/>
      <x:c r="DI453" s="4"/>
      <x:c r="DJ453" s="4"/>
      <x:c r="DK453" s="4"/>
      <x:c r="DL453" s="4"/>
      <x:c r="DM453" s="4"/>
      <x:c r="DN453" s="4"/>
      <x:c r="DO453" s="4"/>
      <x:c r="DP453" s="4"/>
      <x:c r="DQ453" s="4"/>
      <x:c r="DR453" s="4"/>
      <x:c r="DS453" s="4"/>
      <x:c r="DT453" s="4"/>
      <x:c r="DU453" s="4"/>
      <x:c r="DV453" s="4"/>
      <x:c r="DW453" s="4"/>
      <x:c r="DX453" s="4"/>
      <x:c r="DY453" s="4"/>
      <x:c r="DZ453" s="4"/>
      <x:c r="EA453" s="4"/>
      <x:c r="EB453" s="4"/>
      <x:c r="EC453" s="4"/>
      <x:c r="ED453" s="4"/>
      <x:c r="EE453" s="4"/>
      <x:c r="EF453" s="4"/>
      <x:c r="EG453" s="4"/>
      <x:c r="EH453" s="4"/>
      <x:c r="EI453" s="4"/>
      <x:c r="EJ453" s="4"/>
      <x:c r="EK453" s="4"/>
      <x:c r="EL453" s="4"/>
      <x:c r="EM453" s="4"/>
      <x:c r="EN453" s="4"/>
      <x:c r="EO453" s="4"/>
      <x:c r="EP453" s="4"/>
      <x:c r="EQ453" s="4"/>
      <x:c r="ER453" s="4"/>
      <x:c r="ES453" s="4"/>
      <x:c r="ET453" s="4"/>
      <x:c r="EU453" s="4"/>
      <x:c r="EV453" s="4"/>
      <x:c r="EW453" s="4"/>
      <x:c r="EX453" s="4"/>
      <x:c r="EY453" s="4"/>
      <x:c r="EZ453" s="4"/>
      <x:c r="FA453" s="4"/>
      <x:c r="FB453" s="4"/>
      <x:c r="FC453" s="4"/>
      <x:c r="FD453" s="4"/>
      <x:c r="FE453" s="4"/>
      <x:c r="FF453" s="4"/>
      <x:c r="FG453" s="4"/>
      <x:c r="FH453" s="4"/>
      <x:c r="FI453" s="4"/>
      <x:c r="FJ453" s="4"/>
      <x:c r="FK453" s="4"/>
      <x:c r="FL453" s="4"/>
      <x:c r="FM453" s="4"/>
      <x:c r="FN453" s="4"/>
      <x:c r="FO453" s="4"/>
    </x:row>
    <x:row r="454">
      <x:c r="A454" s="72"/>
      <x:c r="B454" s="72"/>
      <x:c r="C454" s="72"/>
      <x:c r="D454" s="72"/>
      <x:c r="E454" s="72"/>
      <x:c r="F454" s="72"/>
      <x:c r="G454" s="72"/>
      <x:c r="H454" s="72"/>
      <x:c r="I454" s="72"/>
      <x:c r="J454" s="72"/>
      <x:c r="K454" s="72"/>
      <x:c r="L454" s="72"/>
      <x:c r="M454" s="72"/>
      <x:c r="N454" s="72"/>
      <x:c r="O454" s="72"/>
      <x:c r="P454" s="72"/>
      <x:c r="Q454" s="72"/>
      <x:c r="R454" s="72"/>
      <x:c r="S454" s="72"/>
      <x:c r="T454" s="72"/>
      <x:c r="U454" s="72"/>
      <x:c r="V454" s="72"/>
      <x:c r="W454" s="72"/>
      <x:c r="X454" s="72"/>
      <x:c r="Y454" s="72"/>
      <x:c r="Z454" s="72"/>
      <x:c r="AA454" s="72"/>
      <x:c r="AB454" s="72"/>
      <x:c r="AC454" s="72"/>
      <x:c r="AD454" s="72"/>
      <x:c r="AE454" s="72"/>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x:c r="BN454" s="4"/>
      <x:c r="BO454" s="4"/>
      <x:c r="BP454" s="4"/>
      <x:c r="BQ454" s="4"/>
      <x:c r="BR454" s="4"/>
      <x:c r="BS454" s="4"/>
      <x:c r="BT454" s="4"/>
      <x:c r="BU454" s="4"/>
      <x:c r="BV454" s="4"/>
      <x:c r="BW454" s="4"/>
      <x:c r="BX454" s="4"/>
      <x:c r="BY454" s="4"/>
      <x:c r="BZ454" s="4"/>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x:c r="DB454" s="4"/>
      <x:c r="DC454" s="4"/>
      <x:c r="DD454" s="4"/>
      <x:c r="DE454" s="4"/>
      <x:c r="DF454" s="4"/>
      <x:c r="DG454" s="4"/>
      <x:c r="DH454" s="4"/>
      <x:c r="DI454" s="4"/>
      <x:c r="DJ454" s="4"/>
      <x:c r="DK454" s="4"/>
      <x:c r="DL454" s="4"/>
      <x:c r="DM454" s="4"/>
      <x:c r="DN454" s="4"/>
      <x:c r="DO454" s="4"/>
      <x:c r="DP454" s="4"/>
      <x:c r="DQ454" s="4"/>
      <x:c r="DR454" s="4"/>
      <x:c r="DS454" s="4"/>
      <x:c r="DT454" s="4"/>
      <x:c r="DU454" s="4"/>
      <x:c r="DV454" s="4"/>
      <x:c r="DW454" s="4"/>
      <x:c r="DX454" s="4"/>
      <x:c r="DY454" s="4"/>
      <x:c r="DZ454" s="4"/>
      <x:c r="EA454" s="4"/>
      <x:c r="EB454" s="4"/>
      <x:c r="EC454" s="4"/>
      <x:c r="ED454" s="4"/>
      <x:c r="EE454" s="4"/>
      <x:c r="EF454" s="4"/>
      <x:c r="EG454" s="4"/>
      <x:c r="EH454" s="4"/>
      <x:c r="EI454" s="4"/>
      <x:c r="EJ454" s="4"/>
      <x:c r="EK454" s="4"/>
      <x:c r="EL454" s="4"/>
      <x:c r="EM454" s="4"/>
      <x:c r="EN454" s="4"/>
      <x:c r="EO454" s="4"/>
      <x:c r="EP454" s="4"/>
      <x:c r="EQ454" s="4"/>
      <x:c r="ER454" s="4"/>
      <x:c r="ES454" s="4"/>
      <x:c r="ET454" s="4"/>
      <x:c r="EU454" s="4"/>
      <x:c r="EV454" s="4"/>
      <x:c r="EW454" s="4"/>
      <x:c r="EX454" s="4"/>
      <x:c r="EY454" s="4"/>
      <x:c r="EZ454" s="4"/>
      <x:c r="FA454" s="4"/>
      <x:c r="FB454" s="4"/>
      <x:c r="FC454" s="4"/>
      <x:c r="FD454" s="4"/>
      <x:c r="FE454" s="4"/>
      <x:c r="FF454" s="4"/>
      <x:c r="FG454" s="4"/>
      <x:c r="FH454" s="4"/>
      <x:c r="FI454" s="4"/>
      <x:c r="FJ454" s="4"/>
      <x:c r="FK454" s="4"/>
      <x:c r="FL454" s="4"/>
      <x:c r="FM454" s="4"/>
      <x:c r="FN454" s="4"/>
      <x:c r="FO454" s="4"/>
    </x:row>
    <x:row r="455">
      <x:c r="A455" s="72"/>
      <x:c r="B455" s="72"/>
      <x:c r="C455" s="72"/>
      <x:c r="D455" s="72"/>
      <x:c r="E455" s="72"/>
      <x:c r="F455" s="72"/>
      <x:c r="G455" s="72"/>
      <x:c r="H455" s="72"/>
      <x:c r="I455" s="72"/>
      <x:c r="J455" s="72"/>
      <x:c r="K455" s="72"/>
      <x:c r="L455" s="72"/>
      <x:c r="M455" s="72"/>
      <x:c r="N455" s="72"/>
      <x:c r="O455" s="72"/>
      <x:c r="P455" s="72"/>
      <x:c r="Q455" s="72"/>
      <x:c r="R455" s="72"/>
      <x:c r="S455" s="72"/>
      <x:c r="T455" s="72"/>
      <x:c r="U455" s="72"/>
      <x:c r="V455" s="72"/>
      <x:c r="W455" s="72"/>
      <x:c r="X455" s="72"/>
      <x:c r="Y455" s="72"/>
      <x:c r="Z455" s="72"/>
      <x:c r="AA455" s="72"/>
      <x:c r="AB455" s="72"/>
      <x:c r="AC455" s="72"/>
      <x:c r="AD455" s="72"/>
      <x:c r="AE455" s="72"/>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x:c r="BN455" s="4"/>
      <x:c r="BO455" s="4"/>
      <x:c r="BP455" s="4"/>
      <x:c r="BQ455" s="4"/>
      <x:c r="BR455" s="4"/>
      <x:c r="BS455" s="4"/>
      <x:c r="BT455" s="4"/>
      <x:c r="BU455" s="4"/>
      <x:c r="BV455" s="4"/>
      <x:c r="BW455" s="4"/>
      <x:c r="BX455" s="4"/>
      <x:c r="BY455" s="4"/>
      <x:c r="BZ455" s="4"/>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x:c r="DB455" s="4"/>
      <x:c r="DC455" s="4"/>
      <x:c r="DD455" s="4"/>
      <x:c r="DE455" s="4"/>
      <x:c r="DF455" s="4"/>
      <x:c r="DG455" s="4"/>
      <x:c r="DH455" s="4"/>
      <x:c r="DI455" s="4"/>
      <x:c r="DJ455" s="4"/>
      <x:c r="DK455" s="4"/>
      <x:c r="DL455" s="4"/>
      <x:c r="DM455" s="4"/>
      <x:c r="DN455" s="4"/>
      <x:c r="DO455" s="4"/>
      <x:c r="DP455" s="4"/>
      <x:c r="DQ455" s="4"/>
      <x:c r="DR455" s="4"/>
      <x:c r="DS455" s="4"/>
      <x:c r="DT455" s="4"/>
      <x:c r="DU455" s="4"/>
      <x:c r="DV455" s="4"/>
      <x:c r="DW455" s="4"/>
      <x:c r="DX455" s="4"/>
      <x:c r="DY455" s="4"/>
      <x:c r="DZ455" s="4"/>
      <x:c r="EA455" s="4"/>
      <x:c r="EB455" s="4"/>
      <x:c r="EC455" s="4"/>
      <x:c r="ED455" s="4"/>
      <x:c r="EE455" s="4"/>
      <x:c r="EF455" s="4"/>
      <x:c r="EG455" s="4"/>
      <x:c r="EH455" s="4"/>
      <x:c r="EI455" s="4"/>
      <x:c r="EJ455" s="4"/>
      <x:c r="EK455" s="4"/>
      <x:c r="EL455" s="4"/>
      <x:c r="EM455" s="4"/>
      <x:c r="EN455" s="4"/>
      <x:c r="EO455" s="4"/>
      <x:c r="EP455" s="4"/>
      <x:c r="EQ455" s="4"/>
      <x:c r="ER455" s="4"/>
      <x:c r="ES455" s="4"/>
      <x:c r="ET455" s="4"/>
      <x:c r="EU455" s="4"/>
      <x:c r="EV455" s="4"/>
      <x:c r="EW455" s="4"/>
      <x:c r="EX455" s="4"/>
      <x:c r="EY455" s="4"/>
      <x:c r="EZ455" s="4"/>
      <x:c r="FA455" s="4"/>
      <x:c r="FB455" s="4"/>
      <x:c r="FC455" s="4"/>
      <x:c r="FD455" s="4"/>
      <x:c r="FE455" s="4"/>
      <x:c r="FF455" s="4"/>
      <x:c r="FG455" s="4"/>
      <x:c r="FH455" s="4"/>
      <x:c r="FI455" s="4"/>
      <x:c r="FJ455" s="4"/>
      <x:c r="FK455" s="4"/>
      <x:c r="FL455" s="4"/>
      <x:c r="FM455" s="4"/>
      <x:c r="FN455" s="4"/>
      <x:c r="FO455" s="4"/>
    </x:row>
    <x:row r="456">
      <x:c r="A456" s="72"/>
      <x:c r="B456" s="72"/>
      <x:c r="C456" s="72"/>
      <x:c r="D456" s="72"/>
      <x:c r="E456" s="72"/>
      <x:c r="F456" s="72"/>
      <x:c r="G456" s="72"/>
      <x:c r="H456" s="72"/>
      <x:c r="I456" s="72"/>
      <x:c r="J456" s="72"/>
      <x:c r="K456" s="72"/>
      <x:c r="L456" s="72"/>
      <x:c r="M456" s="72"/>
      <x:c r="N456" s="72"/>
      <x:c r="O456" s="72"/>
      <x:c r="P456" s="72"/>
      <x:c r="Q456" s="72"/>
      <x:c r="R456" s="72"/>
      <x:c r="S456" s="72"/>
      <x:c r="T456" s="72"/>
      <x:c r="U456" s="72"/>
      <x:c r="V456" s="72"/>
      <x:c r="W456" s="72"/>
      <x:c r="X456" s="72"/>
      <x:c r="Y456" s="72"/>
      <x:c r="Z456" s="72"/>
      <x:c r="AA456" s="72"/>
      <x:c r="AB456" s="72"/>
      <x:c r="AC456" s="72"/>
      <x:c r="AD456" s="72"/>
      <x:c r="AE456" s="72"/>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x:c r="BN456" s="4"/>
      <x:c r="BO456" s="4"/>
      <x:c r="BP456" s="4"/>
      <x:c r="BQ456" s="4"/>
      <x:c r="BR456" s="4"/>
      <x:c r="BS456" s="4"/>
      <x:c r="BT456" s="4"/>
      <x:c r="BU456" s="4"/>
      <x:c r="BV456" s="4"/>
      <x:c r="BW456" s="4"/>
      <x:c r="BX456" s="4"/>
      <x:c r="BY456" s="4"/>
      <x:c r="BZ456" s="4"/>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x:c r="DB456" s="4"/>
      <x:c r="DC456" s="4"/>
      <x:c r="DD456" s="4"/>
      <x:c r="DE456" s="4"/>
      <x:c r="DF456" s="4"/>
      <x:c r="DG456" s="4"/>
      <x:c r="DH456" s="4"/>
      <x:c r="DI456" s="4"/>
      <x:c r="DJ456" s="4"/>
      <x:c r="DK456" s="4"/>
      <x:c r="DL456" s="4"/>
      <x:c r="DM456" s="4"/>
      <x:c r="DN456" s="4"/>
      <x:c r="DO456" s="4"/>
      <x:c r="DP456" s="4"/>
      <x:c r="DQ456" s="4"/>
      <x:c r="DR456" s="4"/>
      <x:c r="DS456" s="4"/>
      <x:c r="DT456" s="4"/>
      <x:c r="DU456" s="4"/>
      <x:c r="DV456" s="4"/>
      <x:c r="DW456" s="4"/>
      <x:c r="DX456" s="4"/>
      <x:c r="DY456" s="4"/>
      <x:c r="DZ456" s="4"/>
      <x:c r="EA456" s="4"/>
      <x:c r="EB456" s="4"/>
      <x:c r="EC456" s="4"/>
      <x:c r="ED456" s="4"/>
      <x:c r="EE456" s="4"/>
      <x:c r="EF456" s="4"/>
      <x:c r="EG456" s="4"/>
      <x:c r="EH456" s="4"/>
      <x:c r="EI456" s="4"/>
      <x:c r="EJ456" s="4"/>
      <x:c r="EK456" s="4"/>
      <x:c r="EL456" s="4"/>
      <x:c r="EM456" s="4"/>
      <x:c r="EN456" s="4"/>
      <x:c r="EO456" s="4"/>
      <x:c r="EP456" s="4"/>
      <x:c r="EQ456" s="4"/>
      <x:c r="ER456" s="4"/>
      <x:c r="ES456" s="4"/>
      <x:c r="ET456" s="4"/>
      <x:c r="EU456" s="4"/>
      <x:c r="EV456" s="4"/>
      <x:c r="EW456" s="4"/>
      <x:c r="EX456" s="4"/>
      <x:c r="EY456" s="4"/>
      <x:c r="EZ456" s="4"/>
      <x:c r="FA456" s="4"/>
      <x:c r="FB456" s="4"/>
      <x:c r="FC456" s="4"/>
      <x:c r="FD456" s="4"/>
      <x:c r="FE456" s="4"/>
      <x:c r="FF456" s="4"/>
      <x:c r="FG456" s="4"/>
      <x:c r="FH456" s="4"/>
      <x:c r="FI456" s="4"/>
      <x:c r="FJ456" s="4"/>
      <x:c r="FK456" s="4"/>
      <x:c r="FL456" s="4"/>
      <x:c r="FM456" s="4"/>
      <x:c r="FN456" s="4"/>
      <x:c r="FO456" s="4"/>
    </x:row>
    <x:row r="457">
      <x:c r="A457" s="72"/>
      <x:c r="B457" s="72"/>
      <x:c r="C457" s="72"/>
      <x:c r="D457" s="72"/>
      <x:c r="E457" s="72"/>
      <x:c r="F457" s="72"/>
      <x:c r="G457" s="72"/>
      <x:c r="H457" s="72"/>
      <x:c r="I457" s="72"/>
      <x:c r="J457" s="72"/>
      <x:c r="K457" s="72"/>
      <x:c r="L457" s="72"/>
      <x:c r="M457" s="72"/>
      <x:c r="N457" s="72"/>
      <x:c r="O457" s="72"/>
      <x:c r="P457" s="72"/>
      <x:c r="Q457" s="72"/>
      <x:c r="R457" s="72"/>
      <x:c r="S457" s="72"/>
      <x:c r="T457" s="72"/>
      <x:c r="U457" s="72"/>
      <x:c r="V457" s="72"/>
      <x:c r="W457" s="72"/>
      <x:c r="X457" s="72"/>
      <x:c r="Y457" s="72"/>
      <x:c r="Z457" s="72"/>
      <x:c r="AA457" s="72"/>
      <x:c r="AB457" s="72"/>
      <x:c r="AC457" s="72"/>
      <x:c r="AD457" s="72"/>
      <x:c r="AE457" s="72"/>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x:c r="BN457" s="4"/>
      <x:c r="BO457" s="4"/>
      <x:c r="BP457" s="4"/>
      <x:c r="BQ457" s="4"/>
      <x:c r="BR457" s="4"/>
      <x:c r="BS457" s="4"/>
      <x:c r="BT457" s="4"/>
      <x:c r="BU457" s="4"/>
      <x:c r="BV457" s="4"/>
      <x:c r="BW457" s="4"/>
      <x:c r="BX457" s="4"/>
      <x:c r="BY457" s="4"/>
      <x:c r="BZ457" s="4"/>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x:c r="DB457" s="4"/>
      <x:c r="DC457" s="4"/>
      <x:c r="DD457" s="4"/>
      <x:c r="DE457" s="4"/>
      <x:c r="DF457" s="4"/>
      <x:c r="DG457" s="4"/>
      <x:c r="DH457" s="4"/>
      <x:c r="DI457" s="4"/>
      <x:c r="DJ457" s="4"/>
      <x:c r="DK457" s="4"/>
      <x:c r="DL457" s="4"/>
      <x:c r="DM457" s="4"/>
      <x:c r="DN457" s="4"/>
      <x:c r="DO457" s="4"/>
      <x:c r="DP457" s="4"/>
      <x:c r="DQ457" s="4"/>
      <x:c r="DR457" s="4"/>
      <x:c r="DS457" s="4"/>
      <x:c r="DT457" s="4"/>
      <x:c r="DU457" s="4"/>
      <x:c r="DV457" s="4"/>
      <x:c r="DW457" s="4"/>
      <x:c r="DX457" s="4"/>
      <x:c r="DY457" s="4"/>
      <x:c r="DZ457" s="4"/>
      <x:c r="EA457" s="4"/>
      <x:c r="EB457" s="4"/>
      <x:c r="EC457" s="4"/>
      <x:c r="ED457" s="4"/>
      <x:c r="EE457" s="4"/>
      <x:c r="EF457" s="4"/>
      <x:c r="EG457" s="4"/>
      <x:c r="EH457" s="4"/>
      <x:c r="EI457" s="4"/>
      <x:c r="EJ457" s="4"/>
      <x:c r="EK457" s="4"/>
      <x:c r="EL457" s="4"/>
      <x:c r="EM457" s="4"/>
      <x:c r="EN457" s="4"/>
      <x:c r="EO457" s="4"/>
      <x:c r="EP457" s="4"/>
      <x:c r="EQ457" s="4"/>
      <x:c r="ER457" s="4"/>
      <x:c r="ES457" s="4"/>
      <x:c r="ET457" s="4"/>
      <x:c r="EU457" s="4"/>
      <x:c r="EV457" s="4"/>
      <x:c r="EW457" s="4"/>
      <x:c r="EX457" s="4"/>
      <x:c r="EY457" s="4"/>
      <x:c r="EZ457" s="4"/>
      <x:c r="FA457" s="4"/>
      <x:c r="FB457" s="4"/>
      <x:c r="FC457" s="4"/>
      <x:c r="FD457" s="4"/>
      <x:c r="FE457" s="4"/>
      <x:c r="FF457" s="4"/>
      <x:c r="FG457" s="4"/>
      <x:c r="FH457" s="4"/>
      <x:c r="FI457" s="4"/>
      <x:c r="FJ457" s="4"/>
      <x:c r="FK457" s="4"/>
      <x:c r="FL457" s="4"/>
      <x:c r="FM457" s="4"/>
      <x:c r="FN457" s="4"/>
      <x:c r="FO457" s="4"/>
    </x:row>
    <x:row r="458">
      <x:c r="A458" s="72"/>
      <x:c r="B458" s="72"/>
      <x:c r="C458" s="72"/>
      <x:c r="D458" s="72"/>
      <x:c r="E458" s="72"/>
      <x:c r="F458" s="72"/>
      <x:c r="G458" s="72"/>
      <x:c r="H458" s="72"/>
      <x:c r="I458" s="72"/>
      <x:c r="J458" s="72"/>
      <x:c r="K458" s="72"/>
      <x:c r="L458" s="72"/>
      <x:c r="M458" s="72"/>
      <x:c r="N458" s="72"/>
      <x:c r="O458" s="72"/>
      <x:c r="P458" s="72"/>
      <x:c r="Q458" s="72"/>
      <x:c r="R458" s="72"/>
      <x:c r="S458" s="72"/>
      <x:c r="T458" s="72"/>
      <x:c r="U458" s="72"/>
      <x:c r="V458" s="72"/>
      <x:c r="W458" s="72"/>
      <x:c r="X458" s="72"/>
      <x:c r="Y458" s="72"/>
      <x:c r="Z458" s="72"/>
      <x:c r="AA458" s="72"/>
      <x:c r="AB458" s="72"/>
      <x:c r="AC458" s="72"/>
      <x:c r="AD458" s="72"/>
      <x:c r="AE458" s="72"/>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x:c r="BN458" s="4"/>
      <x:c r="BO458" s="4"/>
      <x:c r="BP458" s="4"/>
      <x:c r="BQ458" s="4"/>
      <x:c r="BR458" s="4"/>
      <x:c r="BS458" s="4"/>
      <x:c r="BT458" s="4"/>
      <x:c r="BU458" s="4"/>
      <x:c r="BV458" s="4"/>
      <x:c r="BW458" s="4"/>
      <x:c r="BX458" s="4"/>
      <x:c r="BY458" s="4"/>
      <x:c r="BZ458" s="4"/>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x:c r="DB458" s="4"/>
      <x:c r="DC458" s="4"/>
      <x:c r="DD458" s="4"/>
      <x:c r="DE458" s="4"/>
      <x:c r="DF458" s="4"/>
      <x:c r="DG458" s="4"/>
      <x:c r="DH458" s="4"/>
      <x:c r="DI458" s="4"/>
      <x:c r="DJ458" s="4"/>
      <x:c r="DK458" s="4"/>
      <x:c r="DL458" s="4"/>
      <x:c r="DM458" s="4"/>
      <x:c r="DN458" s="4"/>
      <x:c r="DO458" s="4"/>
      <x:c r="DP458" s="4"/>
      <x:c r="DQ458" s="4"/>
      <x:c r="DR458" s="4"/>
      <x:c r="DS458" s="4"/>
      <x:c r="DT458" s="4"/>
      <x:c r="DU458" s="4"/>
      <x:c r="DV458" s="4"/>
      <x:c r="DW458" s="4"/>
      <x:c r="DX458" s="4"/>
      <x:c r="DY458" s="4"/>
      <x:c r="DZ458" s="4"/>
      <x:c r="EA458" s="4"/>
      <x:c r="EB458" s="4"/>
      <x:c r="EC458" s="4"/>
      <x:c r="ED458" s="4"/>
      <x:c r="EE458" s="4"/>
      <x:c r="EF458" s="4"/>
      <x:c r="EG458" s="4"/>
      <x:c r="EH458" s="4"/>
      <x:c r="EI458" s="4"/>
      <x:c r="EJ458" s="4"/>
      <x:c r="EK458" s="4"/>
      <x:c r="EL458" s="4"/>
      <x:c r="EM458" s="4"/>
      <x:c r="EN458" s="4"/>
      <x:c r="EO458" s="4"/>
      <x:c r="EP458" s="4"/>
      <x:c r="EQ458" s="4"/>
      <x:c r="ER458" s="4"/>
      <x:c r="ES458" s="4"/>
      <x:c r="ET458" s="4"/>
      <x:c r="EU458" s="4"/>
      <x:c r="EV458" s="4"/>
      <x:c r="EW458" s="4"/>
      <x:c r="EX458" s="4"/>
      <x:c r="EY458" s="4"/>
      <x:c r="EZ458" s="4"/>
      <x:c r="FA458" s="4"/>
      <x:c r="FB458" s="4"/>
      <x:c r="FC458" s="4"/>
      <x:c r="FD458" s="4"/>
      <x:c r="FE458" s="4"/>
      <x:c r="FF458" s="4"/>
      <x:c r="FG458" s="4"/>
      <x:c r="FH458" s="4"/>
      <x:c r="FI458" s="4"/>
      <x:c r="FJ458" s="4"/>
      <x:c r="FK458" s="4"/>
      <x:c r="FL458" s="4"/>
      <x:c r="FM458" s="4"/>
      <x:c r="FN458" s="4"/>
      <x:c r="FO458" s="4"/>
    </x:row>
    <x:row r="459">
      <x:c r="A459" s="72"/>
      <x:c r="B459" s="72"/>
      <x:c r="C459" s="72"/>
      <x:c r="D459" s="72"/>
      <x:c r="E459" s="72"/>
      <x:c r="F459" s="72"/>
      <x:c r="G459" s="72"/>
      <x:c r="H459" s="72"/>
      <x:c r="I459" s="72"/>
      <x:c r="J459" s="72"/>
      <x:c r="K459" s="72"/>
      <x:c r="L459" s="72"/>
      <x:c r="M459" s="72"/>
      <x:c r="N459" s="72"/>
      <x:c r="O459" s="72"/>
      <x:c r="P459" s="72"/>
      <x:c r="Q459" s="72"/>
      <x:c r="R459" s="72"/>
      <x:c r="S459" s="72"/>
      <x:c r="T459" s="72"/>
      <x:c r="U459" s="72"/>
      <x:c r="V459" s="72"/>
      <x:c r="W459" s="72"/>
      <x:c r="X459" s="72"/>
      <x:c r="Y459" s="72"/>
      <x:c r="Z459" s="72"/>
      <x:c r="AA459" s="72"/>
      <x:c r="AB459" s="72"/>
      <x:c r="AC459" s="72"/>
      <x:c r="AD459" s="72"/>
      <x:c r="AE459" s="72"/>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x:c r="BN459" s="4"/>
      <x:c r="BO459" s="4"/>
      <x:c r="BP459" s="4"/>
      <x:c r="BQ459" s="4"/>
      <x:c r="BR459" s="4"/>
      <x:c r="BS459" s="4"/>
      <x:c r="BT459" s="4"/>
      <x:c r="BU459" s="4"/>
      <x:c r="BV459" s="4"/>
      <x:c r="BW459" s="4"/>
      <x:c r="BX459" s="4"/>
      <x:c r="BY459" s="4"/>
      <x:c r="BZ459" s="4"/>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x:c r="DB459" s="4"/>
      <x:c r="DC459" s="4"/>
      <x:c r="DD459" s="4"/>
      <x:c r="DE459" s="4"/>
      <x:c r="DF459" s="4"/>
      <x:c r="DG459" s="4"/>
      <x:c r="DH459" s="4"/>
      <x:c r="DI459" s="4"/>
      <x:c r="DJ459" s="4"/>
      <x:c r="DK459" s="4"/>
      <x:c r="DL459" s="4"/>
      <x:c r="DM459" s="4"/>
      <x:c r="DN459" s="4"/>
      <x:c r="DO459" s="4"/>
      <x:c r="DP459" s="4"/>
      <x:c r="DQ459" s="4"/>
      <x:c r="DR459" s="4"/>
      <x:c r="DS459" s="4"/>
      <x:c r="DT459" s="4"/>
      <x:c r="DU459" s="4"/>
      <x:c r="DV459" s="4"/>
      <x:c r="DW459" s="4"/>
      <x:c r="DX459" s="4"/>
      <x:c r="DY459" s="4"/>
      <x:c r="DZ459" s="4"/>
      <x:c r="EA459" s="4"/>
      <x:c r="EB459" s="4"/>
      <x:c r="EC459" s="4"/>
      <x:c r="ED459" s="4"/>
      <x:c r="EE459" s="4"/>
      <x:c r="EF459" s="4"/>
      <x:c r="EG459" s="4"/>
      <x:c r="EH459" s="4"/>
      <x:c r="EI459" s="4"/>
      <x:c r="EJ459" s="4"/>
      <x:c r="EK459" s="4"/>
      <x:c r="EL459" s="4"/>
      <x:c r="EM459" s="4"/>
      <x:c r="EN459" s="4"/>
      <x:c r="EO459" s="4"/>
      <x:c r="EP459" s="4"/>
      <x:c r="EQ459" s="4"/>
      <x:c r="ER459" s="4"/>
      <x:c r="ES459" s="4"/>
      <x:c r="ET459" s="4"/>
      <x:c r="EU459" s="4"/>
      <x:c r="EV459" s="4"/>
      <x:c r="EW459" s="4"/>
      <x:c r="EX459" s="4"/>
      <x:c r="EY459" s="4"/>
      <x:c r="EZ459" s="4"/>
      <x:c r="FA459" s="4"/>
      <x:c r="FB459" s="4"/>
      <x:c r="FC459" s="4"/>
      <x:c r="FD459" s="4"/>
      <x:c r="FE459" s="4"/>
      <x:c r="FF459" s="4"/>
      <x:c r="FG459" s="4"/>
      <x:c r="FH459" s="4"/>
      <x:c r="FI459" s="4"/>
      <x:c r="FJ459" s="4"/>
      <x:c r="FK459" s="4"/>
      <x:c r="FL459" s="4"/>
      <x:c r="FM459" s="4"/>
      <x:c r="FN459" s="4"/>
      <x:c r="FO459" s="4"/>
    </x:row>
    <x:row r="460">
      <x:c r="A460" s="72"/>
      <x:c r="B460" s="72"/>
      <x:c r="C460" s="72"/>
      <x:c r="D460" s="72"/>
      <x:c r="E460" s="72"/>
      <x:c r="F460" s="72"/>
      <x:c r="G460" s="72"/>
      <x:c r="H460" s="72"/>
      <x:c r="I460" s="72"/>
      <x:c r="J460" s="72"/>
      <x:c r="K460" s="72"/>
      <x:c r="L460" s="72"/>
      <x:c r="M460" s="72"/>
      <x:c r="N460" s="72"/>
      <x:c r="O460" s="72"/>
      <x:c r="P460" s="72"/>
      <x:c r="Q460" s="72"/>
      <x:c r="R460" s="72"/>
      <x:c r="S460" s="72"/>
      <x:c r="T460" s="72"/>
      <x:c r="U460" s="72"/>
      <x:c r="V460" s="72"/>
      <x:c r="W460" s="72"/>
      <x:c r="X460" s="72"/>
      <x:c r="Y460" s="72"/>
      <x:c r="Z460" s="72"/>
      <x:c r="AA460" s="72"/>
      <x:c r="AB460" s="72"/>
      <x:c r="AC460" s="72"/>
      <x:c r="AD460" s="72"/>
      <x:c r="AE460" s="72"/>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x:c r="BN460" s="4"/>
      <x:c r="BO460" s="4"/>
      <x:c r="BP460" s="4"/>
      <x:c r="BQ460" s="4"/>
      <x:c r="BR460" s="4"/>
      <x:c r="BS460" s="4"/>
      <x:c r="BT460" s="4"/>
      <x:c r="BU460" s="4"/>
      <x:c r="BV460" s="4"/>
      <x:c r="BW460" s="4"/>
      <x:c r="BX460" s="4"/>
      <x:c r="BY460" s="4"/>
      <x:c r="BZ460" s="4"/>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x:c r="DB460" s="4"/>
      <x:c r="DC460" s="4"/>
      <x:c r="DD460" s="4"/>
      <x:c r="DE460" s="4"/>
      <x:c r="DF460" s="4"/>
      <x:c r="DG460" s="4"/>
      <x:c r="DH460" s="4"/>
      <x:c r="DI460" s="4"/>
      <x:c r="DJ460" s="4"/>
      <x:c r="DK460" s="4"/>
      <x:c r="DL460" s="4"/>
      <x:c r="DM460" s="4"/>
      <x:c r="DN460" s="4"/>
      <x:c r="DO460" s="4"/>
      <x:c r="DP460" s="4"/>
      <x:c r="DQ460" s="4"/>
      <x:c r="DR460" s="4"/>
      <x:c r="DS460" s="4"/>
      <x:c r="DT460" s="4"/>
      <x:c r="DU460" s="4"/>
      <x:c r="DV460" s="4"/>
      <x:c r="DW460" s="4"/>
      <x:c r="DX460" s="4"/>
      <x:c r="DY460" s="4"/>
      <x:c r="DZ460" s="4"/>
      <x:c r="EA460" s="4"/>
      <x:c r="EB460" s="4"/>
      <x:c r="EC460" s="4"/>
      <x:c r="ED460" s="4"/>
      <x:c r="EE460" s="4"/>
      <x:c r="EF460" s="4"/>
      <x:c r="EG460" s="4"/>
      <x:c r="EH460" s="4"/>
      <x:c r="EI460" s="4"/>
      <x:c r="EJ460" s="4"/>
      <x:c r="EK460" s="4"/>
      <x:c r="EL460" s="4"/>
      <x:c r="EM460" s="4"/>
      <x:c r="EN460" s="4"/>
      <x:c r="EO460" s="4"/>
      <x:c r="EP460" s="4"/>
      <x:c r="EQ460" s="4"/>
      <x:c r="ER460" s="4"/>
      <x:c r="ES460" s="4"/>
      <x:c r="ET460" s="4"/>
      <x:c r="EU460" s="4"/>
      <x:c r="EV460" s="4"/>
      <x:c r="EW460" s="4"/>
      <x:c r="EX460" s="4"/>
      <x:c r="EY460" s="4"/>
      <x:c r="EZ460" s="4"/>
      <x:c r="FA460" s="4"/>
      <x:c r="FB460" s="4"/>
      <x:c r="FC460" s="4"/>
      <x:c r="FD460" s="4"/>
      <x:c r="FE460" s="4"/>
      <x:c r="FF460" s="4"/>
      <x:c r="FG460" s="4"/>
      <x:c r="FH460" s="4"/>
      <x:c r="FI460" s="4"/>
      <x:c r="FJ460" s="4"/>
      <x:c r="FK460" s="4"/>
      <x:c r="FL460" s="4"/>
      <x:c r="FM460" s="4"/>
      <x:c r="FN460" s="4"/>
      <x:c r="FO460" s="4"/>
    </x:row>
    <x:row r="461">
      <x:c r="A461" s="72"/>
      <x:c r="B461" s="72"/>
      <x:c r="C461" s="72"/>
      <x:c r="D461" s="72"/>
      <x:c r="E461" s="72"/>
      <x:c r="F461" s="72"/>
      <x:c r="G461" s="72"/>
      <x:c r="H461" s="72"/>
      <x:c r="I461" s="72"/>
      <x:c r="J461" s="72"/>
      <x:c r="K461" s="72"/>
      <x:c r="L461" s="72"/>
      <x:c r="M461" s="72"/>
      <x:c r="N461" s="72"/>
      <x:c r="O461" s="72"/>
      <x:c r="P461" s="72"/>
      <x:c r="Q461" s="72"/>
      <x:c r="R461" s="72"/>
      <x:c r="S461" s="72"/>
      <x:c r="T461" s="72"/>
      <x:c r="U461" s="72"/>
      <x:c r="V461" s="72"/>
      <x:c r="W461" s="72"/>
      <x:c r="X461" s="72"/>
      <x:c r="Y461" s="72"/>
      <x:c r="Z461" s="72"/>
      <x:c r="AA461" s="72"/>
      <x:c r="AB461" s="72"/>
      <x:c r="AC461" s="72"/>
      <x:c r="AD461" s="72"/>
      <x:c r="AE461" s="72"/>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x:c r="BN461" s="4"/>
      <x:c r="BO461" s="4"/>
      <x:c r="BP461" s="4"/>
      <x:c r="BQ461" s="4"/>
      <x:c r="BR461" s="4"/>
      <x:c r="BS461" s="4"/>
      <x:c r="BT461" s="4"/>
      <x:c r="BU461" s="4"/>
      <x:c r="BV461" s="4"/>
      <x:c r="BW461" s="4"/>
      <x:c r="BX461" s="4"/>
      <x:c r="BY461" s="4"/>
      <x:c r="BZ461" s="4"/>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x:c r="DB461" s="4"/>
      <x:c r="DC461" s="4"/>
      <x:c r="DD461" s="4"/>
      <x:c r="DE461" s="4"/>
      <x:c r="DF461" s="4"/>
      <x:c r="DG461" s="4"/>
      <x:c r="DH461" s="4"/>
      <x:c r="DI461" s="4"/>
      <x:c r="DJ461" s="4"/>
      <x:c r="DK461" s="4"/>
      <x:c r="DL461" s="4"/>
      <x:c r="DM461" s="4"/>
      <x:c r="DN461" s="4"/>
      <x:c r="DO461" s="4"/>
      <x:c r="DP461" s="4"/>
      <x:c r="DQ461" s="4"/>
      <x:c r="DR461" s="4"/>
      <x:c r="DS461" s="4"/>
      <x:c r="DT461" s="4"/>
      <x:c r="DU461" s="4"/>
      <x:c r="DV461" s="4"/>
      <x:c r="DW461" s="4"/>
      <x:c r="DX461" s="4"/>
      <x:c r="DY461" s="4"/>
      <x:c r="DZ461" s="4"/>
      <x:c r="EA461" s="4"/>
      <x:c r="EB461" s="4"/>
      <x:c r="EC461" s="4"/>
      <x:c r="ED461" s="4"/>
      <x:c r="EE461" s="4"/>
      <x:c r="EF461" s="4"/>
      <x:c r="EG461" s="4"/>
      <x:c r="EH461" s="4"/>
      <x:c r="EI461" s="4"/>
      <x:c r="EJ461" s="4"/>
      <x:c r="EK461" s="4"/>
      <x:c r="EL461" s="4"/>
      <x:c r="EM461" s="4"/>
      <x:c r="EN461" s="4"/>
      <x:c r="EO461" s="4"/>
      <x:c r="EP461" s="4"/>
      <x:c r="EQ461" s="4"/>
      <x:c r="ER461" s="4"/>
      <x:c r="ES461" s="4"/>
      <x:c r="ET461" s="4"/>
      <x:c r="EU461" s="4"/>
      <x:c r="EV461" s="4"/>
      <x:c r="EW461" s="4"/>
      <x:c r="EX461" s="4"/>
      <x:c r="EY461" s="4"/>
      <x:c r="EZ461" s="4"/>
      <x:c r="FA461" s="4"/>
      <x:c r="FB461" s="4"/>
      <x:c r="FC461" s="4"/>
      <x:c r="FD461" s="4"/>
      <x:c r="FE461" s="4"/>
      <x:c r="FF461" s="4"/>
      <x:c r="FG461" s="4"/>
      <x:c r="FH461" s="4"/>
      <x:c r="FI461" s="4"/>
      <x:c r="FJ461" s="4"/>
      <x:c r="FK461" s="4"/>
      <x:c r="FL461" s="4"/>
      <x:c r="FM461" s="4"/>
      <x:c r="FN461" s="4"/>
      <x:c r="FO461" s="4"/>
    </x:row>
    <x:row r="462">
      <x:c r="A462" s="72"/>
      <x:c r="B462" s="72"/>
      <x:c r="C462" s="72"/>
      <x:c r="D462" s="72"/>
      <x:c r="E462" s="72"/>
      <x:c r="F462" s="72"/>
      <x:c r="G462" s="72"/>
      <x:c r="H462" s="72"/>
      <x:c r="I462" s="72"/>
      <x:c r="J462" s="72"/>
      <x:c r="K462" s="72"/>
      <x:c r="L462" s="72"/>
      <x:c r="M462" s="72"/>
      <x:c r="N462" s="72"/>
      <x:c r="O462" s="72"/>
      <x:c r="P462" s="72"/>
      <x:c r="Q462" s="72"/>
      <x:c r="R462" s="72"/>
      <x:c r="S462" s="72"/>
      <x:c r="T462" s="72"/>
      <x:c r="U462" s="72"/>
      <x:c r="V462" s="72"/>
      <x:c r="W462" s="72"/>
      <x:c r="X462" s="72"/>
      <x:c r="Y462" s="72"/>
      <x:c r="Z462" s="72"/>
      <x:c r="AA462" s="72"/>
      <x:c r="AB462" s="72"/>
      <x:c r="AC462" s="72"/>
      <x:c r="AD462" s="72"/>
      <x:c r="AE462" s="72"/>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x:c r="BN462" s="4"/>
      <x:c r="BO462" s="4"/>
      <x:c r="BP462" s="4"/>
      <x:c r="BQ462" s="4"/>
      <x:c r="BR462" s="4"/>
      <x:c r="BS462" s="4"/>
      <x:c r="BT462" s="4"/>
      <x:c r="BU462" s="4"/>
      <x:c r="BV462" s="4"/>
      <x:c r="BW462" s="4"/>
      <x:c r="BX462" s="4"/>
      <x:c r="BY462" s="4"/>
      <x:c r="BZ462" s="4"/>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x:c r="DB462" s="4"/>
      <x:c r="DC462" s="4"/>
      <x:c r="DD462" s="4"/>
      <x:c r="DE462" s="4"/>
      <x:c r="DF462" s="4"/>
      <x:c r="DG462" s="4"/>
      <x:c r="DH462" s="4"/>
      <x:c r="DI462" s="4"/>
      <x:c r="DJ462" s="4"/>
      <x:c r="DK462" s="4"/>
      <x:c r="DL462" s="4"/>
      <x:c r="DM462" s="4"/>
      <x:c r="DN462" s="4"/>
      <x:c r="DO462" s="4"/>
      <x:c r="DP462" s="4"/>
      <x:c r="DQ462" s="4"/>
      <x:c r="DR462" s="4"/>
      <x:c r="DS462" s="4"/>
      <x:c r="DT462" s="4"/>
      <x:c r="DU462" s="4"/>
      <x:c r="DV462" s="4"/>
      <x:c r="DW462" s="4"/>
      <x:c r="DX462" s="4"/>
      <x:c r="DY462" s="4"/>
      <x:c r="DZ462" s="4"/>
      <x:c r="EA462" s="4"/>
      <x:c r="EB462" s="4"/>
      <x:c r="EC462" s="4"/>
      <x:c r="ED462" s="4"/>
      <x:c r="EE462" s="4"/>
      <x:c r="EF462" s="4"/>
      <x:c r="EG462" s="4"/>
      <x:c r="EH462" s="4"/>
      <x:c r="EI462" s="4"/>
      <x:c r="EJ462" s="4"/>
      <x:c r="EK462" s="4"/>
      <x:c r="EL462" s="4"/>
      <x:c r="EM462" s="4"/>
      <x:c r="EN462" s="4"/>
      <x:c r="EO462" s="4"/>
      <x:c r="EP462" s="4"/>
      <x:c r="EQ462" s="4"/>
      <x:c r="ER462" s="4"/>
      <x:c r="ES462" s="4"/>
      <x:c r="ET462" s="4"/>
      <x:c r="EU462" s="4"/>
      <x:c r="EV462" s="4"/>
      <x:c r="EW462" s="4"/>
      <x:c r="EX462" s="4"/>
      <x:c r="EY462" s="4"/>
      <x:c r="EZ462" s="4"/>
      <x:c r="FA462" s="4"/>
      <x:c r="FB462" s="4"/>
      <x:c r="FC462" s="4"/>
      <x:c r="FD462" s="4"/>
      <x:c r="FE462" s="4"/>
      <x:c r="FF462" s="4"/>
      <x:c r="FG462" s="4"/>
      <x:c r="FH462" s="4"/>
      <x:c r="FI462" s="4"/>
      <x:c r="FJ462" s="4"/>
      <x:c r="FK462" s="4"/>
      <x:c r="FL462" s="4"/>
      <x:c r="FM462" s="4"/>
      <x:c r="FN462" s="4"/>
      <x:c r="FO462" s="4"/>
    </x:row>
    <x:row r="463">
      <x:c r="A463" s="72"/>
      <x:c r="B463" s="72"/>
      <x:c r="C463" s="72"/>
      <x:c r="D463" s="72"/>
      <x:c r="E463" s="72"/>
      <x:c r="F463" s="72"/>
      <x:c r="G463" s="72"/>
      <x:c r="H463" s="72"/>
      <x:c r="I463" s="72"/>
      <x:c r="J463" s="72"/>
      <x:c r="K463" s="72"/>
      <x:c r="L463" s="72"/>
      <x:c r="M463" s="72"/>
      <x:c r="N463" s="72"/>
      <x:c r="O463" s="72"/>
      <x:c r="P463" s="72"/>
      <x:c r="Q463" s="72"/>
      <x:c r="R463" s="72"/>
      <x:c r="S463" s="72"/>
      <x:c r="T463" s="72"/>
      <x:c r="U463" s="72"/>
      <x:c r="V463" s="72"/>
      <x:c r="W463" s="72"/>
      <x:c r="X463" s="72"/>
      <x:c r="Y463" s="72"/>
      <x:c r="Z463" s="72"/>
      <x:c r="AA463" s="72"/>
      <x:c r="AB463" s="72"/>
      <x:c r="AC463" s="72"/>
      <x:c r="AD463" s="72"/>
      <x:c r="AE463" s="72"/>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x:c r="BN463" s="4"/>
      <x:c r="BO463" s="4"/>
      <x:c r="BP463" s="4"/>
      <x:c r="BQ463" s="4"/>
      <x:c r="BR463" s="4"/>
      <x:c r="BS463" s="4"/>
      <x:c r="BT463" s="4"/>
      <x:c r="BU463" s="4"/>
      <x:c r="BV463" s="4"/>
      <x:c r="BW463" s="4"/>
      <x:c r="BX463" s="4"/>
      <x:c r="BY463" s="4"/>
      <x:c r="BZ463" s="4"/>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x:c r="DB463" s="4"/>
      <x:c r="DC463" s="4"/>
      <x:c r="DD463" s="4"/>
      <x:c r="DE463" s="4"/>
      <x:c r="DF463" s="4"/>
      <x:c r="DG463" s="4"/>
      <x:c r="DH463" s="4"/>
      <x:c r="DI463" s="4"/>
      <x:c r="DJ463" s="4"/>
      <x:c r="DK463" s="4"/>
      <x:c r="DL463" s="4"/>
      <x:c r="DM463" s="4"/>
      <x:c r="DN463" s="4"/>
      <x:c r="DO463" s="4"/>
      <x:c r="DP463" s="4"/>
      <x:c r="DQ463" s="4"/>
      <x:c r="DR463" s="4"/>
      <x:c r="DS463" s="4"/>
      <x:c r="DT463" s="4"/>
      <x:c r="DU463" s="4"/>
      <x:c r="DV463" s="4"/>
      <x:c r="DW463" s="4"/>
      <x:c r="DX463" s="4"/>
      <x:c r="DY463" s="4"/>
      <x:c r="DZ463" s="4"/>
      <x:c r="EA463" s="4"/>
      <x:c r="EB463" s="4"/>
      <x:c r="EC463" s="4"/>
      <x:c r="ED463" s="4"/>
      <x:c r="EE463" s="4"/>
      <x:c r="EF463" s="4"/>
      <x:c r="EG463" s="4"/>
      <x:c r="EH463" s="4"/>
      <x:c r="EI463" s="4"/>
      <x:c r="EJ463" s="4"/>
      <x:c r="EK463" s="4"/>
      <x:c r="EL463" s="4"/>
      <x:c r="EM463" s="4"/>
      <x:c r="EN463" s="4"/>
      <x:c r="EO463" s="4"/>
      <x:c r="EP463" s="4"/>
      <x:c r="EQ463" s="4"/>
      <x:c r="ER463" s="4"/>
      <x:c r="ES463" s="4"/>
      <x:c r="ET463" s="4"/>
      <x:c r="EU463" s="4"/>
      <x:c r="EV463" s="4"/>
      <x:c r="EW463" s="4"/>
      <x:c r="EX463" s="4"/>
      <x:c r="EY463" s="4"/>
      <x:c r="EZ463" s="4"/>
      <x:c r="FA463" s="4"/>
      <x:c r="FB463" s="4"/>
      <x:c r="FC463" s="4"/>
      <x:c r="FD463" s="4"/>
      <x:c r="FE463" s="4"/>
      <x:c r="FF463" s="4"/>
      <x:c r="FG463" s="4"/>
      <x:c r="FH463" s="4"/>
      <x:c r="FI463" s="4"/>
      <x:c r="FJ463" s="4"/>
      <x:c r="FK463" s="4"/>
      <x:c r="FL463" s="4"/>
      <x:c r="FM463" s="4"/>
      <x:c r="FN463" s="4"/>
      <x:c r="FO463" s="4"/>
    </x:row>
    <x:row r="464">
      <x:c r="A464" s="72"/>
      <x:c r="B464" s="72"/>
      <x:c r="C464" s="72"/>
      <x:c r="D464" s="72"/>
      <x:c r="E464" s="72"/>
      <x:c r="F464" s="72"/>
      <x:c r="G464" s="72"/>
      <x:c r="H464" s="72"/>
      <x:c r="I464" s="72"/>
      <x:c r="J464" s="72"/>
      <x:c r="K464" s="72"/>
      <x:c r="L464" s="72"/>
      <x:c r="M464" s="72"/>
      <x:c r="N464" s="72"/>
      <x:c r="O464" s="72"/>
      <x:c r="P464" s="72"/>
      <x:c r="Q464" s="72"/>
      <x:c r="R464" s="72"/>
      <x:c r="S464" s="72"/>
      <x:c r="T464" s="72"/>
      <x:c r="U464" s="72"/>
      <x:c r="V464" s="72"/>
      <x:c r="W464" s="72"/>
      <x:c r="X464" s="72"/>
      <x:c r="Y464" s="72"/>
      <x:c r="Z464" s="72"/>
      <x:c r="AA464" s="72"/>
      <x:c r="AB464" s="72"/>
      <x:c r="AC464" s="72"/>
      <x:c r="AD464" s="72"/>
      <x:c r="AE464" s="72"/>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x:c r="BN464" s="4"/>
      <x:c r="BO464" s="4"/>
      <x:c r="BP464" s="4"/>
      <x:c r="BQ464" s="4"/>
      <x:c r="BR464" s="4"/>
      <x:c r="BS464" s="4"/>
      <x:c r="BT464" s="4"/>
      <x:c r="BU464" s="4"/>
      <x:c r="BV464" s="4"/>
      <x:c r="BW464" s="4"/>
      <x:c r="BX464" s="4"/>
      <x:c r="BY464" s="4"/>
      <x:c r="BZ464" s="4"/>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x:c r="DB464" s="4"/>
      <x:c r="DC464" s="4"/>
      <x:c r="DD464" s="4"/>
      <x:c r="DE464" s="4"/>
      <x:c r="DF464" s="4"/>
      <x:c r="DG464" s="4"/>
      <x:c r="DH464" s="4"/>
      <x:c r="DI464" s="4"/>
      <x:c r="DJ464" s="4"/>
      <x:c r="DK464" s="4"/>
      <x:c r="DL464" s="4"/>
      <x:c r="DM464" s="4"/>
      <x:c r="DN464" s="4"/>
      <x:c r="DO464" s="4"/>
      <x:c r="DP464" s="4"/>
      <x:c r="DQ464" s="4"/>
      <x:c r="DR464" s="4"/>
      <x:c r="DS464" s="4"/>
      <x:c r="DT464" s="4"/>
      <x:c r="DU464" s="4"/>
      <x:c r="DV464" s="4"/>
      <x:c r="DW464" s="4"/>
      <x:c r="DX464" s="4"/>
      <x:c r="DY464" s="4"/>
      <x:c r="DZ464" s="4"/>
      <x:c r="EA464" s="4"/>
      <x:c r="EB464" s="4"/>
      <x:c r="EC464" s="4"/>
      <x:c r="ED464" s="4"/>
      <x:c r="EE464" s="4"/>
      <x:c r="EF464" s="4"/>
      <x:c r="EG464" s="4"/>
      <x:c r="EH464" s="4"/>
      <x:c r="EI464" s="4"/>
      <x:c r="EJ464" s="4"/>
      <x:c r="EK464" s="4"/>
      <x:c r="EL464" s="4"/>
      <x:c r="EM464" s="4"/>
      <x:c r="EN464" s="4"/>
      <x:c r="EO464" s="4"/>
      <x:c r="EP464" s="4"/>
      <x:c r="EQ464" s="4"/>
      <x:c r="ER464" s="4"/>
      <x:c r="ES464" s="4"/>
      <x:c r="ET464" s="4"/>
      <x:c r="EU464" s="4"/>
      <x:c r="EV464" s="4"/>
      <x:c r="EW464" s="4"/>
      <x:c r="EX464" s="4"/>
      <x:c r="EY464" s="4"/>
      <x:c r="EZ464" s="4"/>
      <x:c r="FA464" s="4"/>
      <x:c r="FB464" s="4"/>
      <x:c r="FC464" s="4"/>
      <x:c r="FD464" s="4"/>
      <x:c r="FE464" s="4"/>
      <x:c r="FF464" s="4"/>
      <x:c r="FG464" s="4"/>
      <x:c r="FH464" s="4"/>
      <x:c r="FI464" s="4"/>
      <x:c r="FJ464" s="4"/>
      <x:c r="FK464" s="4"/>
      <x:c r="FL464" s="4"/>
      <x:c r="FM464" s="4"/>
      <x:c r="FN464" s="4"/>
      <x:c r="FO464" s="4"/>
    </x:row>
    <x:row r="465">
      <x:c r="A465" s="72"/>
      <x:c r="B465" s="72"/>
      <x:c r="C465" s="72"/>
      <x:c r="D465" s="72"/>
      <x:c r="E465" s="72"/>
      <x:c r="F465" s="72"/>
      <x:c r="G465" s="72"/>
      <x:c r="H465" s="72"/>
      <x:c r="I465" s="72"/>
      <x:c r="J465" s="72"/>
      <x:c r="K465" s="72"/>
      <x:c r="L465" s="72"/>
      <x:c r="M465" s="72"/>
      <x:c r="N465" s="72"/>
      <x:c r="O465" s="72"/>
      <x:c r="P465" s="72"/>
      <x:c r="Q465" s="72"/>
      <x:c r="R465" s="72"/>
      <x:c r="S465" s="72"/>
      <x:c r="T465" s="72"/>
      <x:c r="U465" s="72"/>
      <x:c r="V465" s="72"/>
      <x:c r="W465" s="72"/>
      <x:c r="X465" s="72"/>
      <x:c r="Y465" s="72"/>
      <x:c r="Z465" s="72"/>
      <x:c r="AA465" s="72"/>
      <x:c r="AB465" s="72"/>
      <x:c r="AC465" s="72"/>
      <x:c r="AD465" s="72"/>
      <x:c r="AE465" s="72"/>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x:c r="BN465" s="4"/>
      <x:c r="BO465" s="4"/>
      <x:c r="BP465" s="4"/>
      <x:c r="BQ465" s="4"/>
      <x:c r="BR465" s="4"/>
      <x:c r="BS465" s="4"/>
      <x:c r="BT465" s="4"/>
      <x:c r="BU465" s="4"/>
      <x:c r="BV465" s="4"/>
      <x:c r="BW465" s="4"/>
      <x:c r="BX465" s="4"/>
      <x:c r="BY465" s="4"/>
      <x:c r="BZ465" s="4"/>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x:c r="DB465" s="4"/>
      <x:c r="DC465" s="4"/>
      <x:c r="DD465" s="4"/>
      <x:c r="DE465" s="4"/>
      <x:c r="DF465" s="4"/>
      <x:c r="DG465" s="4"/>
      <x:c r="DH465" s="4"/>
      <x:c r="DI465" s="4"/>
      <x:c r="DJ465" s="4"/>
      <x:c r="DK465" s="4"/>
      <x:c r="DL465" s="4"/>
      <x:c r="DM465" s="4"/>
      <x:c r="DN465" s="4"/>
      <x:c r="DO465" s="4"/>
      <x:c r="DP465" s="4"/>
      <x:c r="DQ465" s="4"/>
      <x:c r="DR465" s="4"/>
      <x:c r="DS465" s="4"/>
      <x:c r="DT465" s="4"/>
      <x:c r="DU465" s="4"/>
      <x:c r="DV465" s="4"/>
      <x:c r="DW465" s="4"/>
      <x:c r="DX465" s="4"/>
      <x:c r="DY465" s="4"/>
      <x:c r="DZ465" s="4"/>
      <x:c r="EA465" s="4"/>
      <x:c r="EB465" s="4"/>
      <x:c r="EC465" s="4"/>
      <x:c r="ED465" s="4"/>
      <x:c r="EE465" s="4"/>
      <x:c r="EF465" s="4"/>
      <x:c r="EG465" s="4"/>
      <x:c r="EH465" s="4"/>
      <x:c r="EI465" s="4"/>
      <x:c r="EJ465" s="4"/>
      <x:c r="EK465" s="4"/>
      <x:c r="EL465" s="4"/>
      <x:c r="EM465" s="4"/>
      <x:c r="EN465" s="4"/>
      <x:c r="EO465" s="4"/>
      <x:c r="EP465" s="4"/>
      <x:c r="EQ465" s="4"/>
      <x:c r="ER465" s="4"/>
      <x:c r="ES465" s="4"/>
      <x:c r="ET465" s="4"/>
      <x:c r="EU465" s="4"/>
      <x:c r="EV465" s="4"/>
      <x:c r="EW465" s="4"/>
      <x:c r="EX465" s="4"/>
      <x:c r="EY465" s="4"/>
      <x:c r="EZ465" s="4"/>
      <x:c r="FA465" s="4"/>
      <x:c r="FB465" s="4"/>
      <x:c r="FC465" s="4"/>
      <x:c r="FD465" s="4"/>
      <x:c r="FE465" s="4"/>
      <x:c r="FF465" s="4"/>
      <x:c r="FG465" s="4"/>
      <x:c r="FH465" s="4"/>
      <x:c r="FI465" s="4"/>
      <x:c r="FJ465" s="4"/>
      <x:c r="FK465" s="4"/>
      <x:c r="FL465" s="4"/>
      <x:c r="FM465" s="4"/>
      <x:c r="FN465" s="4"/>
      <x:c r="FO465" s="4"/>
    </x:row>
    <x:row r="466">
      <x:c r="A466" s="72"/>
      <x:c r="B466" s="72"/>
      <x:c r="C466" s="72"/>
      <x:c r="D466" s="72"/>
      <x:c r="E466" s="72"/>
      <x:c r="F466" s="72"/>
      <x:c r="G466" s="72"/>
      <x:c r="H466" s="72"/>
      <x:c r="I466" s="72"/>
      <x:c r="J466" s="72"/>
      <x:c r="K466" s="72"/>
      <x:c r="L466" s="72"/>
      <x:c r="M466" s="72"/>
      <x:c r="N466" s="72"/>
      <x:c r="O466" s="72"/>
      <x:c r="P466" s="72"/>
      <x:c r="Q466" s="72"/>
      <x:c r="R466" s="72"/>
      <x:c r="S466" s="72"/>
      <x:c r="T466" s="72"/>
      <x:c r="U466" s="72"/>
      <x:c r="V466" s="72"/>
      <x:c r="W466" s="72"/>
      <x:c r="X466" s="72"/>
      <x:c r="Y466" s="72"/>
      <x:c r="Z466" s="72"/>
      <x:c r="AA466" s="72"/>
      <x:c r="AB466" s="72"/>
      <x:c r="AC466" s="72"/>
      <x:c r="AD466" s="72"/>
      <x:c r="AE466" s="72"/>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x:c r="BN466" s="4"/>
      <x:c r="BO466" s="4"/>
      <x:c r="BP466" s="4"/>
      <x:c r="BQ466" s="4"/>
      <x:c r="BR466" s="4"/>
      <x:c r="BS466" s="4"/>
      <x:c r="BT466" s="4"/>
      <x:c r="BU466" s="4"/>
      <x:c r="BV466" s="4"/>
      <x:c r="BW466" s="4"/>
      <x:c r="BX466" s="4"/>
      <x:c r="BY466" s="4"/>
      <x:c r="BZ466" s="4"/>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x:c r="DB466" s="4"/>
      <x:c r="DC466" s="4"/>
      <x:c r="DD466" s="4"/>
      <x:c r="DE466" s="4"/>
      <x:c r="DF466" s="4"/>
      <x:c r="DG466" s="4"/>
      <x:c r="DH466" s="4"/>
      <x:c r="DI466" s="4"/>
      <x:c r="DJ466" s="4"/>
      <x:c r="DK466" s="4"/>
      <x:c r="DL466" s="4"/>
      <x:c r="DM466" s="4"/>
      <x:c r="DN466" s="4"/>
      <x:c r="DO466" s="4"/>
      <x:c r="DP466" s="4"/>
      <x:c r="DQ466" s="4"/>
      <x:c r="DR466" s="4"/>
      <x:c r="DS466" s="4"/>
      <x:c r="DT466" s="4"/>
      <x:c r="DU466" s="4"/>
      <x:c r="DV466" s="4"/>
      <x:c r="DW466" s="4"/>
      <x:c r="DX466" s="4"/>
      <x:c r="DY466" s="4"/>
      <x:c r="DZ466" s="4"/>
      <x:c r="EA466" s="4"/>
      <x:c r="EB466" s="4"/>
      <x:c r="EC466" s="4"/>
      <x:c r="ED466" s="4"/>
      <x:c r="EE466" s="4"/>
      <x:c r="EF466" s="4"/>
      <x:c r="EG466" s="4"/>
      <x:c r="EH466" s="4"/>
      <x:c r="EI466" s="4"/>
      <x:c r="EJ466" s="4"/>
      <x:c r="EK466" s="4"/>
      <x:c r="EL466" s="4"/>
      <x:c r="EM466" s="4"/>
      <x:c r="EN466" s="4"/>
      <x:c r="EO466" s="4"/>
      <x:c r="EP466" s="4"/>
      <x:c r="EQ466" s="4"/>
      <x:c r="ER466" s="4"/>
      <x:c r="ES466" s="4"/>
      <x:c r="ET466" s="4"/>
      <x:c r="EU466" s="4"/>
      <x:c r="EV466" s="4"/>
      <x:c r="EW466" s="4"/>
      <x:c r="EX466" s="4"/>
      <x:c r="EY466" s="4"/>
      <x:c r="EZ466" s="4"/>
      <x:c r="FA466" s="4"/>
      <x:c r="FB466" s="4"/>
      <x:c r="FC466" s="4"/>
      <x:c r="FD466" s="4"/>
      <x:c r="FE466" s="4"/>
      <x:c r="FF466" s="4"/>
      <x:c r="FG466" s="4"/>
      <x:c r="FH466" s="4"/>
      <x:c r="FI466" s="4"/>
      <x:c r="FJ466" s="4"/>
      <x:c r="FK466" s="4"/>
      <x:c r="FL466" s="4"/>
      <x:c r="FM466" s="4"/>
      <x:c r="FN466" s="4"/>
      <x:c r="FO466" s="4"/>
    </x:row>
    <x:row r="467">
      <x:c r="A467" s="72"/>
      <x:c r="B467" s="72"/>
      <x:c r="C467" s="72"/>
      <x:c r="D467" s="72"/>
      <x:c r="E467" s="72"/>
      <x:c r="F467" s="72"/>
      <x:c r="G467" s="72"/>
      <x:c r="H467" s="72"/>
      <x:c r="I467" s="72"/>
      <x:c r="J467" s="72"/>
      <x:c r="K467" s="72"/>
      <x:c r="L467" s="72"/>
      <x:c r="M467" s="72"/>
      <x:c r="N467" s="72"/>
      <x:c r="O467" s="72"/>
      <x:c r="P467" s="72"/>
      <x:c r="Q467" s="72"/>
      <x:c r="R467" s="72"/>
      <x:c r="S467" s="72"/>
      <x:c r="T467" s="72"/>
      <x:c r="U467" s="72"/>
      <x:c r="V467" s="72"/>
      <x:c r="W467" s="72"/>
      <x:c r="X467" s="72"/>
      <x:c r="Y467" s="72"/>
      <x:c r="Z467" s="72"/>
      <x:c r="AA467" s="72"/>
      <x:c r="AB467" s="72"/>
      <x:c r="AC467" s="72"/>
      <x:c r="AD467" s="72"/>
      <x:c r="AE467" s="72"/>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x:c r="BN467" s="4"/>
      <x:c r="BO467" s="4"/>
      <x:c r="BP467" s="4"/>
      <x:c r="BQ467" s="4"/>
      <x:c r="BR467" s="4"/>
      <x:c r="BS467" s="4"/>
      <x:c r="BT467" s="4"/>
      <x:c r="BU467" s="4"/>
      <x:c r="BV467" s="4"/>
      <x:c r="BW467" s="4"/>
      <x:c r="BX467" s="4"/>
      <x:c r="BY467" s="4"/>
      <x:c r="BZ467" s="4"/>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x:c r="DB467" s="4"/>
      <x:c r="DC467" s="4"/>
      <x:c r="DD467" s="4"/>
      <x:c r="DE467" s="4"/>
      <x:c r="DF467" s="4"/>
      <x:c r="DG467" s="4"/>
      <x:c r="DH467" s="4"/>
      <x:c r="DI467" s="4"/>
      <x:c r="DJ467" s="4"/>
      <x:c r="DK467" s="4"/>
      <x:c r="DL467" s="4"/>
      <x:c r="DM467" s="4"/>
      <x:c r="DN467" s="4"/>
      <x:c r="DO467" s="4"/>
      <x:c r="DP467" s="4"/>
      <x:c r="DQ467" s="4"/>
      <x:c r="DR467" s="4"/>
      <x:c r="DS467" s="4"/>
      <x:c r="DT467" s="4"/>
      <x:c r="DU467" s="4"/>
      <x:c r="DV467" s="4"/>
      <x:c r="DW467" s="4"/>
      <x:c r="DX467" s="4"/>
      <x:c r="DY467" s="4"/>
      <x:c r="DZ467" s="4"/>
      <x:c r="EA467" s="4"/>
      <x:c r="EB467" s="4"/>
      <x:c r="EC467" s="4"/>
      <x:c r="ED467" s="4"/>
      <x:c r="EE467" s="4"/>
      <x:c r="EF467" s="4"/>
      <x:c r="EG467" s="4"/>
      <x:c r="EH467" s="4"/>
      <x:c r="EI467" s="4"/>
      <x:c r="EJ467" s="4"/>
      <x:c r="EK467" s="4"/>
      <x:c r="EL467" s="4"/>
      <x:c r="EM467" s="4"/>
      <x:c r="EN467" s="4"/>
      <x:c r="EO467" s="4"/>
      <x:c r="EP467" s="4"/>
      <x:c r="EQ467" s="4"/>
      <x:c r="ER467" s="4"/>
      <x:c r="ES467" s="4"/>
      <x:c r="ET467" s="4"/>
      <x:c r="EU467" s="4"/>
      <x:c r="EV467" s="4"/>
      <x:c r="EW467" s="4"/>
      <x:c r="EX467" s="4"/>
      <x:c r="EY467" s="4"/>
      <x:c r="EZ467" s="4"/>
      <x:c r="FA467" s="4"/>
      <x:c r="FB467" s="4"/>
      <x:c r="FC467" s="4"/>
      <x:c r="FD467" s="4"/>
      <x:c r="FE467" s="4"/>
      <x:c r="FF467" s="4"/>
      <x:c r="FG467" s="4"/>
      <x:c r="FH467" s="4"/>
      <x:c r="FI467" s="4"/>
      <x:c r="FJ467" s="4"/>
      <x:c r="FK467" s="4"/>
      <x:c r="FL467" s="4"/>
      <x:c r="FM467" s="4"/>
      <x:c r="FN467" s="4"/>
      <x:c r="FO467" s="4"/>
    </x:row>
    <x:row r="468">
      <x:c r="A468" s="72"/>
      <x:c r="B468" s="72"/>
      <x:c r="C468" s="72"/>
      <x:c r="D468" s="72"/>
      <x:c r="E468" s="72"/>
      <x:c r="F468" s="72"/>
      <x:c r="G468" s="72"/>
      <x:c r="H468" s="72"/>
      <x:c r="I468" s="72"/>
      <x:c r="J468" s="72"/>
      <x:c r="K468" s="72"/>
      <x:c r="L468" s="72"/>
      <x:c r="M468" s="72"/>
      <x:c r="N468" s="72"/>
      <x:c r="O468" s="72"/>
      <x:c r="P468" s="72"/>
      <x:c r="Q468" s="72"/>
      <x:c r="R468" s="72"/>
      <x:c r="S468" s="72"/>
      <x:c r="T468" s="72"/>
      <x:c r="U468" s="72"/>
      <x:c r="V468" s="72"/>
      <x:c r="W468" s="72"/>
      <x:c r="X468" s="72"/>
      <x:c r="Y468" s="72"/>
      <x:c r="Z468" s="72"/>
      <x:c r="AA468" s="72"/>
      <x:c r="AB468" s="72"/>
      <x:c r="AC468" s="72"/>
      <x:c r="AD468" s="72"/>
      <x:c r="AE468" s="72"/>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x:c r="BN468" s="4"/>
      <x:c r="BO468" s="4"/>
      <x:c r="BP468" s="4"/>
      <x:c r="BQ468" s="4"/>
      <x:c r="BR468" s="4"/>
      <x:c r="BS468" s="4"/>
      <x:c r="BT468" s="4"/>
      <x:c r="BU468" s="4"/>
      <x:c r="BV468" s="4"/>
      <x:c r="BW468" s="4"/>
      <x:c r="BX468" s="4"/>
      <x:c r="BY468" s="4"/>
      <x:c r="BZ468" s="4"/>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x:c r="DB468" s="4"/>
      <x:c r="DC468" s="4"/>
      <x:c r="DD468" s="4"/>
      <x:c r="DE468" s="4"/>
      <x:c r="DF468" s="4"/>
      <x:c r="DG468" s="4"/>
      <x:c r="DH468" s="4"/>
      <x:c r="DI468" s="4"/>
      <x:c r="DJ468" s="4"/>
      <x:c r="DK468" s="4"/>
      <x:c r="DL468" s="4"/>
      <x:c r="DM468" s="4"/>
      <x:c r="DN468" s="4"/>
      <x:c r="DO468" s="4"/>
      <x:c r="DP468" s="4"/>
      <x:c r="DQ468" s="4"/>
      <x:c r="DR468" s="4"/>
      <x:c r="DS468" s="4"/>
      <x:c r="DT468" s="4"/>
      <x:c r="DU468" s="4"/>
      <x:c r="DV468" s="4"/>
      <x:c r="DW468" s="4"/>
      <x:c r="DX468" s="4"/>
      <x:c r="DY468" s="4"/>
      <x:c r="DZ468" s="4"/>
      <x:c r="EA468" s="4"/>
      <x:c r="EB468" s="4"/>
      <x:c r="EC468" s="4"/>
      <x:c r="ED468" s="4"/>
      <x:c r="EE468" s="4"/>
      <x:c r="EF468" s="4"/>
      <x:c r="EG468" s="4"/>
      <x:c r="EH468" s="4"/>
      <x:c r="EI468" s="4"/>
      <x:c r="EJ468" s="4"/>
      <x:c r="EK468" s="4"/>
      <x:c r="EL468" s="4"/>
      <x:c r="EM468" s="4"/>
      <x:c r="EN468" s="4"/>
      <x:c r="EO468" s="4"/>
      <x:c r="EP468" s="4"/>
      <x:c r="EQ468" s="4"/>
      <x:c r="ER468" s="4"/>
      <x:c r="ES468" s="4"/>
      <x:c r="ET468" s="4"/>
      <x:c r="EU468" s="4"/>
      <x:c r="EV468" s="4"/>
      <x:c r="EW468" s="4"/>
      <x:c r="EX468" s="4"/>
      <x:c r="EY468" s="4"/>
      <x:c r="EZ468" s="4"/>
      <x:c r="FA468" s="4"/>
      <x:c r="FB468" s="4"/>
      <x:c r="FC468" s="4"/>
      <x:c r="FD468" s="4"/>
      <x:c r="FE468" s="4"/>
      <x:c r="FF468" s="4"/>
      <x:c r="FG468" s="4"/>
      <x:c r="FH468" s="4"/>
      <x:c r="FI468" s="4"/>
      <x:c r="FJ468" s="4"/>
      <x:c r="FK468" s="4"/>
      <x:c r="FL468" s="4"/>
      <x:c r="FM468" s="4"/>
      <x:c r="FN468" s="4"/>
      <x:c r="FO468" s="4"/>
    </x:row>
    <x:row r="469">
      <x:c r="A469" s="72"/>
      <x:c r="B469" s="72"/>
      <x:c r="C469" s="72"/>
      <x:c r="D469" s="72"/>
      <x:c r="E469" s="72"/>
      <x:c r="F469" s="72"/>
      <x:c r="G469" s="72"/>
      <x:c r="H469" s="72"/>
      <x:c r="I469" s="72"/>
      <x:c r="J469" s="72"/>
      <x:c r="K469" s="72"/>
      <x:c r="L469" s="72"/>
      <x:c r="M469" s="72"/>
      <x:c r="N469" s="72"/>
      <x:c r="O469" s="72"/>
      <x:c r="P469" s="72"/>
      <x:c r="Q469" s="72"/>
      <x:c r="R469" s="72"/>
      <x:c r="S469" s="72"/>
      <x:c r="T469" s="72"/>
      <x:c r="U469" s="72"/>
      <x:c r="V469" s="72"/>
      <x:c r="W469" s="72"/>
      <x:c r="X469" s="72"/>
      <x:c r="Y469" s="72"/>
      <x:c r="Z469" s="72"/>
      <x:c r="AA469" s="72"/>
      <x:c r="AB469" s="72"/>
      <x:c r="AC469" s="72"/>
      <x:c r="AD469" s="72"/>
      <x:c r="AE469" s="72"/>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x:c r="BN469" s="4"/>
      <x:c r="BO469" s="4"/>
      <x:c r="BP469" s="4"/>
      <x:c r="BQ469" s="4"/>
      <x:c r="BR469" s="4"/>
      <x:c r="BS469" s="4"/>
      <x:c r="BT469" s="4"/>
      <x:c r="BU469" s="4"/>
      <x:c r="BV469" s="4"/>
      <x:c r="BW469" s="4"/>
      <x:c r="BX469" s="4"/>
      <x:c r="BY469" s="4"/>
      <x:c r="BZ469" s="4"/>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x:c r="DB469" s="4"/>
      <x:c r="DC469" s="4"/>
      <x:c r="DD469" s="4"/>
      <x:c r="DE469" s="4"/>
      <x:c r="DF469" s="4"/>
      <x:c r="DG469" s="4"/>
      <x:c r="DH469" s="4"/>
      <x:c r="DI469" s="4"/>
      <x:c r="DJ469" s="4"/>
      <x:c r="DK469" s="4"/>
      <x:c r="DL469" s="4"/>
      <x:c r="DM469" s="4"/>
      <x:c r="DN469" s="4"/>
      <x:c r="DO469" s="4"/>
      <x:c r="DP469" s="4"/>
      <x:c r="DQ469" s="4"/>
      <x:c r="DR469" s="4"/>
      <x:c r="DS469" s="4"/>
      <x:c r="DT469" s="4"/>
      <x:c r="DU469" s="4"/>
      <x:c r="DV469" s="4"/>
      <x:c r="DW469" s="4"/>
      <x:c r="DX469" s="4"/>
      <x:c r="DY469" s="4"/>
      <x:c r="DZ469" s="4"/>
      <x:c r="EA469" s="4"/>
      <x:c r="EB469" s="4"/>
      <x:c r="EC469" s="4"/>
      <x:c r="ED469" s="4"/>
      <x:c r="EE469" s="4"/>
      <x:c r="EF469" s="4"/>
      <x:c r="EG469" s="4"/>
      <x:c r="EH469" s="4"/>
      <x:c r="EI469" s="4"/>
      <x:c r="EJ469" s="4"/>
      <x:c r="EK469" s="4"/>
      <x:c r="EL469" s="4"/>
      <x:c r="EM469" s="4"/>
      <x:c r="EN469" s="4"/>
      <x:c r="EO469" s="4"/>
      <x:c r="EP469" s="4"/>
      <x:c r="EQ469" s="4"/>
      <x:c r="ER469" s="4"/>
      <x:c r="ES469" s="4"/>
      <x:c r="ET469" s="4"/>
      <x:c r="EU469" s="4"/>
      <x:c r="EV469" s="4"/>
      <x:c r="EW469" s="4"/>
      <x:c r="EX469" s="4"/>
      <x:c r="EY469" s="4"/>
      <x:c r="EZ469" s="4"/>
      <x:c r="FA469" s="4"/>
      <x:c r="FB469" s="4"/>
      <x:c r="FC469" s="4"/>
      <x:c r="FD469" s="4"/>
      <x:c r="FE469" s="4"/>
      <x:c r="FF469" s="4"/>
      <x:c r="FG469" s="4"/>
      <x:c r="FH469" s="4"/>
      <x:c r="FI469" s="4"/>
      <x:c r="FJ469" s="4"/>
      <x:c r="FK469" s="4"/>
      <x:c r="FL469" s="4"/>
      <x:c r="FM469" s="4"/>
      <x:c r="FN469" s="4"/>
      <x:c r="FO469" s="4"/>
    </x:row>
    <x:row r="470">
      <x:c r="A470" s="72"/>
      <x:c r="B470" s="72"/>
      <x:c r="C470" s="72"/>
      <x:c r="D470" s="72"/>
      <x:c r="E470" s="72"/>
      <x:c r="F470" s="72"/>
      <x:c r="G470" s="72"/>
      <x:c r="H470" s="72"/>
      <x:c r="I470" s="72"/>
      <x:c r="J470" s="72"/>
      <x:c r="K470" s="72"/>
      <x:c r="L470" s="72"/>
      <x:c r="M470" s="72"/>
      <x:c r="N470" s="72"/>
      <x:c r="O470" s="72"/>
      <x:c r="P470" s="72"/>
      <x:c r="Q470" s="72"/>
      <x:c r="R470" s="72"/>
      <x:c r="S470" s="72"/>
      <x:c r="T470" s="72"/>
      <x:c r="U470" s="72"/>
      <x:c r="V470" s="72"/>
      <x:c r="W470" s="72"/>
      <x:c r="X470" s="72"/>
      <x:c r="Y470" s="72"/>
      <x:c r="Z470" s="72"/>
      <x:c r="AA470" s="72"/>
      <x:c r="AB470" s="72"/>
      <x:c r="AC470" s="72"/>
      <x:c r="AD470" s="72"/>
      <x:c r="AE470" s="72"/>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x:c r="BN470" s="4"/>
      <x:c r="BO470" s="4"/>
      <x:c r="BP470" s="4"/>
      <x:c r="BQ470" s="4"/>
      <x:c r="BR470" s="4"/>
      <x:c r="BS470" s="4"/>
      <x:c r="BT470" s="4"/>
      <x:c r="BU470" s="4"/>
      <x:c r="BV470" s="4"/>
      <x:c r="BW470" s="4"/>
      <x:c r="BX470" s="4"/>
      <x:c r="BY470" s="4"/>
      <x:c r="BZ470" s="4"/>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x:c r="DB470" s="4"/>
      <x:c r="DC470" s="4"/>
      <x:c r="DD470" s="4"/>
      <x:c r="DE470" s="4"/>
      <x:c r="DF470" s="4"/>
      <x:c r="DG470" s="4"/>
      <x:c r="DH470" s="4"/>
      <x:c r="DI470" s="4"/>
      <x:c r="DJ470" s="4"/>
      <x:c r="DK470" s="4"/>
      <x:c r="DL470" s="4"/>
      <x:c r="DM470" s="4"/>
      <x:c r="DN470" s="4"/>
      <x:c r="DO470" s="4"/>
      <x:c r="DP470" s="4"/>
      <x:c r="DQ470" s="4"/>
      <x:c r="DR470" s="4"/>
      <x:c r="DS470" s="4"/>
      <x:c r="DT470" s="4"/>
      <x:c r="DU470" s="4"/>
      <x:c r="DV470" s="4"/>
      <x:c r="DW470" s="4"/>
      <x:c r="DX470" s="4"/>
      <x:c r="DY470" s="4"/>
      <x:c r="DZ470" s="4"/>
      <x:c r="EA470" s="4"/>
      <x:c r="EB470" s="4"/>
      <x:c r="EC470" s="4"/>
      <x:c r="ED470" s="4"/>
      <x:c r="EE470" s="4"/>
      <x:c r="EF470" s="4"/>
      <x:c r="EG470" s="4"/>
      <x:c r="EH470" s="4"/>
      <x:c r="EI470" s="4"/>
      <x:c r="EJ470" s="4"/>
      <x:c r="EK470" s="4"/>
      <x:c r="EL470" s="4"/>
      <x:c r="EM470" s="4"/>
      <x:c r="EN470" s="4"/>
      <x:c r="EO470" s="4"/>
      <x:c r="EP470" s="4"/>
      <x:c r="EQ470" s="4"/>
      <x:c r="ER470" s="4"/>
      <x:c r="ES470" s="4"/>
      <x:c r="ET470" s="4"/>
      <x:c r="EU470" s="4"/>
      <x:c r="EV470" s="4"/>
      <x:c r="EW470" s="4"/>
      <x:c r="EX470" s="4"/>
      <x:c r="EY470" s="4"/>
      <x:c r="EZ470" s="4"/>
      <x:c r="FA470" s="4"/>
      <x:c r="FB470" s="4"/>
      <x:c r="FC470" s="4"/>
      <x:c r="FD470" s="4"/>
      <x:c r="FE470" s="4"/>
      <x:c r="FF470" s="4"/>
      <x:c r="FG470" s="4"/>
      <x:c r="FH470" s="4"/>
      <x:c r="FI470" s="4"/>
      <x:c r="FJ470" s="4"/>
      <x:c r="FK470" s="4"/>
      <x:c r="FL470" s="4"/>
      <x:c r="FM470" s="4"/>
      <x:c r="FN470" s="4"/>
      <x:c r="FO470" s="4"/>
    </x:row>
    <x:row r="471">
      <x:c r="A471" s="72"/>
      <x:c r="B471" s="72"/>
      <x:c r="C471" s="72"/>
      <x:c r="D471" s="72"/>
      <x:c r="E471" s="72"/>
      <x:c r="F471" s="72"/>
      <x:c r="G471" s="72"/>
      <x:c r="H471" s="72"/>
      <x:c r="I471" s="72"/>
      <x:c r="J471" s="72"/>
      <x:c r="K471" s="72"/>
      <x:c r="L471" s="72"/>
      <x:c r="M471" s="72"/>
      <x:c r="N471" s="72"/>
      <x:c r="O471" s="72"/>
      <x:c r="P471" s="72"/>
      <x:c r="Q471" s="72"/>
      <x:c r="R471" s="72"/>
      <x:c r="S471" s="72"/>
      <x:c r="T471" s="72"/>
      <x:c r="U471" s="72"/>
      <x:c r="V471" s="72"/>
      <x:c r="W471" s="72"/>
      <x:c r="X471" s="72"/>
      <x:c r="Y471" s="72"/>
      <x:c r="Z471" s="72"/>
      <x:c r="AA471" s="72"/>
      <x:c r="AB471" s="72"/>
      <x:c r="AC471" s="72"/>
      <x:c r="AD471" s="72"/>
      <x:c r="AE471" s="72"/>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x:c r="BN471" s="4"/>
      <x:c r="BO471" s="4"/>
      <x:c r="BP471" s="4"/>
      <x:c r="BQ471" s="4"/>
      <x:c r="BR471" s="4"/>
      <x:c r="BS471" s="4"/>
      <x:c r="BT471" s="4"/>
      <x:c r="BU471" s="4"/>
      <x:c r="BV471" s="4"/>
      <x:c r="BW471" s="4"/>
      <x:c r="BX471" s="4"/>
      <x:c r="BY471" s="4"/>
      <x:c r="BZ471" s="4"/>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x:c r="DB471" s="4"/>
      <x:c r="DC471" s="4"/>
      <x:c r="DD471" s="4"/>
      <x:c r="DE471" s="4"/>
      <x:c r="DF471" s="4"/>
      <x:c r="DG471" s="4"/>
      <x:c r="DH471" s="4"/>
      <x:c r="DI471" s="4"/>
      <x:c r="DJ471" s="4"/>
      <x:c r="DK471" s="4"/>
      <x:c r="DL471" s="4"/>
      <x:c r="DM471" s="4"/>
      <x:c r="DN471" s="4"/>
      <x:c r="DO471" s="4"/>
      <x:c r="DP471" s="4"/>
      <x:c r="DQ471" s="4"/>
      <x:c r="DR471" s="4"/>
      <x:c r="DS471" s="4"/>
      <x:c r="DT471" s="4"/>
      <x:c r="DU471" s="4"/>
      <x:c r="DV471" s="4"/>
      <x:c r="DW471" s="4"/>
      <x:c r="DX471" s="4"/>
      <x:c r="DY471" s="4"/>
      <x:c r="DZ471" s="4"/>
      <x:c r="EA471" s="4"/>
      <x:c r="EB471" s="4"/>
      <x:c r="EC471" s="4"/>
      <x:c r="ED471" s="4"/>
      <x:c r="EE471" s="4"/>
      <x:c r="EF471" s="4"/>
      <x:c r="EG471" s="4"/>
      <x:c r="EH471" s="4"/>
      <x:c r="EI471" s="4"/>
      <x:c r="EJ471" s="4"/>
      <x:c r="EK471" s="4"/>
      <x:c r="EL471" s="4"/>
      <x:c r="EM471" s="4"/>
      <x:c r="EN471" s="4"/>
      <x:c r="EO471" s="4"/>
      <x:c r="EP471" s="4"/>
      <x:c r="EQ471" s="4"/>
      <x:c r="ER471" s="4"/>
      <x:c r="ES471" s="4"/>
      <x:c r="ET471" s="4"/>
      <x:c r="EU471" s="4"/>
      <x:c r="EV471" s="4"/>
      <x:c r="EW471" s="4"/>
      <x:c r="EX471" s="4"/>
      <x:c r="EY471" s="4"/>
      <x:c r="EZ471" s="4"/>
      <x:c r="FA471" s="4"/>
      <x:c r="FB471" s="4"/>
      <x:c r="FC471" s="4"/>
      <x:c r="FD471" s="4"/>
      <x:c r="FE471" s="4"/>
      <x:c r="FF471" s="4"/>
      <x:c r="FG471" s="4"/>
      <x:c r="FH471" s="4"/>
      <x:c r="FI471" s="4"/>
      <x:c r="FJ471" s="4"/>
      <x:c r="FK471" s="4"/>
      <x:c r="FL471" s="4"/>
      <x:c r="FM471" s="4"/>
      <x:c r="FN471" s="4"/>
      <x:c r="FO471" s="4"/>
    </x:row>
    <x:row r="472">
      <x:c r="A472" s="72"/>
      <x:c r="B472" s="72"/>
      <x:c r="C472" s="72"/>
      <x:c r="D472" s="72"/>
      <x:c r="E472" s="72"/>
      <x:c r="F472" s="72"/>
      <x:c r="G472" s="72"/>
      <x:c r="H472" s="72"/>
      <x:c r="I472" s="72"/>
      <x:c r="J472" s="72"/>
      <x:c r="K472" s="72"/>
      <x:c r="L472" s="72"/>
      <x:c r="M472" s="72"/>
      <x:c r="N472" s="72"/>
      <x:c r="O472" s="72"/>
      <x:c r="P472" s="72"/>
      <x:c r="Q472" s="72"/>
      <x:c r="R472" s="72"/>
      <x:c r="S472" s="72"/>
      <x:c r="T472" s="72"/>
      <x:c r="U472" s="72"/>
      <x:c r="V472" s="72"/>
      <x:c r="W472" s="72"/>
      <x:c r="X472" s="72"/>
      <x:c r="Y472" s="72"/>
      <x:c r="Z472" s="72"/>
      <x:c r="AA472" s="72"/>
      <x:c r="AB472" s="72"/>
      <x:c r="AC472" s="72"/>
      <x:c r="AD472" s="72"/>
      <x:c r="AE472" s="72"/>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x:c r="BN472" s="4"/>
      <x:c r="BO472" s="4"/>
      <x:c r="BP472" s="4"/>
      <x:c r="BQ472" s="4"/>
      <x:c r="BR472" s="4"/>
      <x:c r="BS472" s="4"/>
      <x:c r="BT472" s="4"/>
      <x:c r="BU472" s="4"/>
      <x:c r="BV472" s="4"/>
      <x:c r="BW472" s="4"/>
      <x:c r="BX472" s="4"/>
      <x:c r="BY472" s="4"/>
      <x:c r="BZ472" s="4"/>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x:c r="DB472" s="4"/>
      <x:c r="DC472" s="4"/>
      <x:c r="DD472" s="4"/>
      <x:c r="DE472" s="4"/>
      <x:c r="DF472" s="4"/>
      <x:c r="DG472" s="4"/>
      <x:c r="DH472" s="4"/>
      <x:c r="DI472" s="4"/>
      <x:c r="DJ472" s="4"/>
      <x:c r="DK472" s="4"/>
      <x:c r="DL472" s="4"/>
      <x:c r="DM472" s="4"/>
      <x:c r="DN472" s="4"/>
      <x:c r="DO472" s="4"/>
      <x:c r="DP472" s="4"/>
      <x:c r="DQ472" s="4"/>
      <x:c r="DR472" s="4"/>
      <x:c r="DS472" s="4"/>
      <x:c r="DT472" s="4"/>
      <x:c r="DU472" s="4"/>
      <x:c r="DV472" s="4"/>
      <x:c r="DW472" s="4"/>
      <x:c r="DX472" s="4"/>
      <x:c r="DY472" s="4"/>
      <x:c r="DZ472" s="4"/>
      <x:c r="EA472" s="4"/>
      <x:c r="EB472" s="4"/>
      <x:c r="EC472" s="4"/>
      <x:c r="ED472" s="4"/>
      <x:c r="EE472" s="4"/>
      <x:c r="EF472" s="4"/>
      <x:c r="EG472" s="4"/>
      <x:c r="EH472" s="4"/>
      <x:c r="EI472" s="4"/>
      <x:c r="EJ472" s="4"/>
      <x:c r="EK472" s="4"/>
      <x:c r="EL472" s="4"/>
      <x:c r="EM472" s="4"/>
      <x:c r="EN472" s="4"/>
      <x:c r="EO472" s="4"/>
      <x:c r="EP472" s="4"/>
      <x:c r="EQ472" s="4"/>
      <x:c r="ER472" s="4"/>
      <x:c r="ES472" s="4"/>
      <x:c r="ET472" s="4"/>
      <x:c r="EU472" s="4"/>
      <x:c r="EV472" s="4"/>
      <x:c r="EW472" s="4"/>
      <x:c r="EX472" s="4"/>
      <x:c r="EY472" s="4"/>
      <x:c r="EZ472" s="4"/>
      <x:c r="FA472" s="4"/>
      <x:c r="FB472" s="4"/>
      <x:c r="FC472" s="4"/>
      <x:c r="FD472" s="4"/>
      <x:c r="FE472" s="4"/>
      <x:c r="FF472" s="4"/>
      <x:c r="FG472" s="4"/>
      <x:c r="FH472" s="4"/>
      <x:c r="FI472" s="4"/>
      <x:c r="FJ472" s="4"/>
      <x:c r="FK472" s="4"/>
      <x:c r="FL472" s="4"/>
      <x:c r="FM472" s="4"/>
      <x:c r="FN472" s="4"/>
      <x:c r="FO472" s="4"/>
    </x:row>
    <x:row r="473">
      <x:c r="A473" s="72"/>
      <x:c r="B473" s="72"/>
      <x:c r="C473" s="72"/>
      <x:c r="D473" s="72"/>
      <x:c r="E473" s="72"/>
      <x:c r="F473" s="72"/>
      <x:c r="G473" s="72"/>
      <x:c r="H473" s="72"/>
      <x:c r="I473" s="72"/>
      <x:c r="J473" s="72"/>
      <x:c r="K473" s="72"/>
      <x:c r="L473" s="72"/>
      <x:c r="M473" s="72"/>
      <x:c r="N473" s="72"/>
      <x:c r="O473" s="72"/>
      <x:c r="P473" s="72"/>
      <x:c r="Q473" s="72"/>
      <x:c r="R473" s="72"/>
      <x:c r="S473" s="72"/>
      <x:c r="T473" s="72"/>
      <x:c r="U473" s="72"/>
      <x:c r="V473" s="72"/>
      <x:c r="W473" s="72"/>
      <x:c r="X473" s="72"/>
      <x:c r="Y473" s="72"/>
      <x:c r="Z473" s="72"/>
      <x:c r="AA473" s="72"/>
      <x:c r="AB473" s="72"/>
      <x:c r="AC473" s="72"/>
      <x:c r="AD473" s="72"/>
      <x:c r="AE473" s="72"/>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x:c r="BN473" s="4"/>
      <x:c r="BO473" s="4"/>
      <x:c r="BP473" s="4"/>
      <x:c r="BQ473" s="4"/>
      <x:c r="BR473" s="4"/>
      <x:c r="BS473" s="4"/>
      <x:c r="BT473" s="4"/>
      <x:c r="BU473" s="4"/>
      <x:c r="BV473" s="4"/>
      <x:c r="BW473" s="4"/>
      <x:c r="BX473" s="4"/>
      <x:c r="BY473" s="4"/>
      <x:c r="BZ473" s="4"/>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x:c r="DB473" s="4"/>
      <x:c r="DC473" s="4"/>
      <x:c r="DD473" s="4"/>
      <x:c r="DE473" s="4"/>
      <x:c r="DF473" s="4"/>
      <x:c r="DG473" s="4"/>
      <x:c r="DH473" s="4"/>
      <x:c r="DI473" s="4"/>
      <x:c r="DJ473" s="4"/>
      <x:c r="DK473" s="4"/>
      <x:c r="DL473" s="4"/>
      <x:c r="DM473" s="4"/>
      <x:c r="DN473" s="4"/>
      <x:c r="DO473" s="4"/>
      <x:c r="DP473" s="4"/>
      <x:c r="DQ473" s="4"/>
      <x:c r="DR473" s="4"/>
      <x:c r="DS473" s="4"/>
      <x:c r="DT473" s="4"/>
      <x:c r="DU473" s="4"/>
      <x:c r="DV473" s="4"/>
      <x:c r="DW473" s="4"/>
      <x:c r="DX473" s="4"/>
      <x:c r="DY473" s="4"/>
      <x:c r="DZ473" s="4"/>
      <x:c r="EA473" s="4"/>
      <x:c r="EB473" s="4"/>
      <x:c r="EC473" s="4"/>
      <x:c r="ED473" s="4"/>
      <x:c r="EE473" s="4"/>
      <x:c r="EF473" s="4"/>
      <x:c r="EG473" s="4"/>
      <x:c r="EH473" s="4"/>
      <x:c r="EI473" s="4"/>
      <x:c r="EJ473" s="4"/>
      <x:c r="EK473" s="4"/>
      <x:c r="EL473" s="4"/>
      <x:c r="EM473" s="4"/>
      <x:c r="EN473" s="4"/>
      <x:c r="EO473" s="4"/>
      <x:c r="EP473" s="4"/>
      <x:c r="EQ473" s="4"/>
      <x:c r="ER473" s="4"/>
      <x:c r="ES473" s="4"/>
      <x:c r="ET473" s="4"/>
      <x:c r="EU473" s="4"/>
      <x:c r="EV473" s="4"/>
      <x:c r="EW473" s="4"/>
      <x:c r="EX473" s="4"/>
      <x:c r="EY473" s="4"/>
      <x:c r="EZ473" s="4"/>
      <x:c r="FA473" s="4"/>
      <x:c r="FB473" s="4"/>
      <x:c r="FC473" s="4"/>
      <x:c r="FD473" s="4"/>
      <x:c r="FE473" s="4"/>
      <x:c r="FF473" s="4"/>
      <x:c r="FG473" s="4"/>
      <x:c r="FH473" s="4"/>
      <x:c r="FI473" s="4"/>
      <x:c r="FJ473" s="4"/>
      <x:c r="FK473" s="4"/>
      <x:c r="FL473" s="4"/>
      <x:c r="FM473" s="4"/>
      <x:c r="FN473" s="4"/>
      <x:c r="FO473" s="4"/>
    </x:row>
    <x:row r="474">
      <x:c r="A474" s="72"/>
      <x:c r="B474" s="72"/>
      <x:c r="C474" s="72"/>
      <x:c r="D474" s="72"/>
      <x:c r="E474" s="72"/>
      <x:c r="F474" s="72"/>
      <x:c r="G474" s="72"/>
      <x:c r="H474" s="72"/>
      <x:c r="I474" s="72"/>
      <x:c r="J474" s="72"/>
      <x:c r="K474" s="72"/>
      <x:c r="L474" s="72"/>
      <x:c r="M474" s="72"/>
      <x:c r="N474" s="72"/>
      <x:c r="O474" s="72"/>
      <x:c r="P474" s="72"/>
      <x:c r="Q474" s="72"/>
      <x:c r="R474" s="72"/>
      <x:c r="S474" s="72"/>
      <x:c r="T474" s="72"/>
      <x:c r="U474" s="72"/>
      <x:c r="V474" s="72"/>
      <x:c r="W474" s="72"/>
      <x:c r="X474" s="72"/>
      <x:c r="Y474" s="72"/>
      <x:c r="Z474" s="72"/>
      <x:c r="AA474" s="72"/>
      <x:c r="AB474" s="72"/>
      <x:c r="AC474" s="72"/>
      <x:c r="AD474" s="72"/>
      <x:c r="AE474" s="72"/>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x:c r="BN474" s="4"/>
      <x:c r="BO474" s="4"/>
      <x:c r="BP474" s="4"/>
      <x:c r="BQ474" s="4"/>
      <x:c r="BR474" s="4"/>
      <x:c r="BS474" s="4"/>
      <x:c r="BT474" s="4"/>
      <x:c r="BU474" s="4"/>
      <x:c r="BV474" s="4"/>
      <x:c r="BW474" s="4"/>
      <x:c r="BX474" s="4"/>
      <x:c r="BY474" s="4"/>
      <x:c r="BZ474" s="4"/>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x:c r="DB474" s="4"/>
      <x:c r="DC474" s="4"/>
      <x:c r="DD474" s="4"/>
      <x:c r="DE474" s="4"/>
      <x:c r="DF474" s="4"/>
      <x:c r="DG474" s="4"/>
      <x:c r="DH474" s="4"/>
      <x:c r="DI474" s="4"/>
      <x:c r="DJ474" s="4"/>
      <x:c r="DK474" s="4"/>
      <x:c r="DL474" s="4"/>
      <x:c r="DM474" s="4"/>
      <x:c r="DN474" s="4"/>
      <x:c r="DO474" s="4"/>
      <x:c r="DP474" s="4"/>
      <x:c r="DQ474" s="4"/>
      <x:c r="DR474" s="4"/>
      <x:c r="DS474" s="4"/>
      <x:c r="DT474" s="4"/>
      <x:c r="DU474" s="4"/>
      <x:c r="DV474" s="4"/>
      <x:c r="DW474" s="4"/>
      <x:c r="DX474" s="4"/>
      <x:c r="DY474" s="4"/>
      <x:c r="DZ474" s="4"/>
      <x:c r="EA474" s="4"/>
      <x:c r="EB474" s="4"/>
      <x:c r="EC474" s="4"/>
      <x:c r="ED474" s="4"/>
      <x:c r="EE474" s="4"/>
      <x:c r="EF474" s="4"/>
      <x:c r="EG474" s="4"/>
      <x:c r="EH474" s="4"/>
      <x:c r="EI474" s="4"/>
      <x:c r="EJ474" s="4"/>
      <x:c r="EK474" s="4"/>
      <x:c r="EL474" s="4"/>
      <x:c r="EM474" s="4"/>
      <x:c r="EN474" s="4"/>
      <x:c r="EO474" s="4"/>
      <x:c r="EP474" s="4"/>
      <x:c r="EQ474" s="4"/>
      <x:c r="ER474" s="4"/>
      <x:c r="ES474" s="4"/>
      <x:c r="ET474" s="4"/>
      <x:c r="EU474" s="4"/>
      <x:c r="EV474" s="4"/>
      <x:c r="EW474" s="4"/>
      <x:c r="EX474" s="4"/>
      <x:c r="EY474" s="4"/>
      <x:c r="EZ474" s="4"/>
      <x:c r="FA474" s="4"/>
      <x:c r="FB474" s="4"/>
      <x:c r="FC474" s="4"/>
      <x:c r="FD474" s="4"/>
      <x:c r="FE474" s="4"/>
      <x:c r="FF474" s="4"/>
      <x:c r="FG474" s="4"/>
      <x:c r="FH474" s="4"/>
      <x:c r="FI474" s="4"/>
      <x:c r="FJ474" s="4"/>
      <x:c r="FK474" s="4"/>
      <x:c r="FL474" s="4"/>
      <x:c r="FM474" s="4"/>
      <x:c r="FN474" s="4"/>
      <x:c r="FO474" s="4"/>
    </x:row>
    <x:row r="475">
      <x:c r="A475" s="72"/>
      <x:c r="B475" s="72"/>
      <x:c r="C475" s="72"/>
      <x:c r="D475" s="72"/>
      <x:c r="E475" s="72"/>
      <x:c r="F475" s="72"/>
      <x:c r="G475" s="72"/>
      <x:c r="H475" s="72"/>
      <x:c r="I475" s="72"/>
      <x:c r="J475" s="72"/>
      <x:c r="K475" s="72"/>
      <x:c r="L475" s="72"/>
      <x:c r="M475" s="72"/>
      <x:c r="N475" s="72"/>
      <x:c r="O475" s="72"/>
      <x:c r="P475" s="72"/>
      <x:c r="Q475" s="72"/>
      <x:c r="R475" s="72"/>
      <x:c r="S475" s="72"/>
      <x:c r="T475" s="72"/>
      <x:c r="U475" s="72"/>
      <x:c r="V475" s="72"/>
      <x:c r="W475" s="72"/>
      <x:c r="X475" s="72"/>
      <x:c r="Y475" s="72"/>
      <x:c r="Z475" s="72"/>
      <x:c r="AA475" s="72"/>
      <x:c r="AB475" s="72"/>
      <x:c r="AC475" s="72"/>
      <x:c r="AD475" s="72"/>
      <x:c r="AE475" s="72"/>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x:c r="BN475" s="4"/>
      <x:c r="BO475" s="4"/>
      <x:c r="BP475" s="4"/>
      <x:c r="BQ475" s="4"/>
      <x:c r="BR475" s="4"/>
      <x:c r="BS475" s="4"/>
      <x:c r="BT475" s="4"/>
      <x:c r="BU475" s="4"/>
      <x:c r="BV475" s="4"/>
      <x:c r="BW475" s="4"/>
      <x:c r="BX475" s="4"/>
      <x:c r="BY475" s="4"/>
      <x:c r="BZ475" s="4"/>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x:c r="DB475" s="4"/>
      <x:c r="DC475" s="4"/>
      <x:c r="DD475" s="4"/>
      <x:c r="DE475" s="4"/>
      <x:c r="DF475" s="4"/>
      <x:c r="DG475" s="4"/>
      <x:c r="DH475" s="4"/>
      <x:c r="DI475" s="4"/>
      <x:c r="DJ475" s="4"/>
      <x:c r="DK475" s="4"/>
      <x:c r="DL475" s="4"/>
      <x:c r="DM475" s="4"/>
      <x:c r="DN475" s="4"/>
      <x:c r="DO475" s="4"/>
      <x:c r="DP475" s="4"/>
      <x:c r="DQ475" s="4"/>
      <x:c r="DR475" s="4"/>
      <x:c r="DS475" s="4"/>
      <x:c r="DT475" s="4"/>
      <x:c r="DU475" s="4"/>
      <x:c r="DV475" s="4"/>
      <x:c r="DW475" s="4"/>
      <x:c r="DX475" s="4"/>
      <x:c r="DY475" s="4"/>
      <x:c r="DZ475" s="4"/>
      <x:c r="EA475" s="4"/>
      <x:c r="EB475" s="4"/>
      <x:c r="EC475" s="4"/>
      <x:c r="ED475" s="4"/>
      <x:c r="EE475" s="4"/>
      <x:c r="EF475" s="4"/>
      <x:c r="EG475" s="4"/>
      <x:c r="EH475" s="4"/>
      <x:c r="EI475" s="4"/>
      <x:c r="EJ475" s="4"/>
      <x:c r="EK475" s="4"/>
      <x:c r="EL475" s="4"/>
      <x:c r="EM475" s="4"/>
      <x:c r="EN475" s="4"/>
      <x:c r="EO475" s="4"/>
      <x:c r="EP475" s="4"/>
      <x:c r="EQ475" s="4"/>
      <x:c r="ER475" s="4"/>
      <x:c r="ES475" s="4"/>
      <x:c r="ET475" s="4"/>
      <x:c r="EU475" s="4"/>
      <x:c r="EV475" s="4"/>
      <x:c r="EW475" s="4"/>
      <x:c r="EX475" s="4"/>
      <x:c r="EY475" s="4"/>
      <x:c r="EZ475" s="4"/>
      <x:c r="FA475" s="4"/>
      <x:c r="FB475" s="4"/>
      <x:c r="FC475" s="4"/>
      <x:c r="FD475" s="4"/>
      <x:c r="FE475" s="4"/>
      <x:c r="FF475" s="4"/>
      <x:c r="FG475" s="4"/>
      <x:c r="FH475" s="4"/>
      <x:c r="FI475" s="4"/>
      <x:c r="FJ475" s="4"/>
      <x:c r="FK475" s="4"/>
      <x:c r="FL475" s="4"/>
      <x:c r="FM475" s="4"/>
      <x:c r="FN475" s="4"/>
      <x:c r="FO475" s="4"/>
    </x:row>
    <x:row r="476">
      <x:c r="A476" s="72"/>
      <x:c r="B476" s="72"/>
      <x:c r="C476" s="72"/>
      <x:c r="D476" s="72"/>
      <x:c r="E476" s="72"/>
      <x:c r="F476" s="72"/>
      <x:c r="G476" s="72"/>
      <x:c r="H476" s="72"/>
      <x:c r="I476" s="72"/>
      <x:c r="J476" s="72"/>
      <x:c r="K476" s="72"/>
      <x:c r="L476" s="72"/>
      <x:c r="M476" s="72"/>
      <x:c r="N476" s="72"/>
      <x:c r="O476" s="72"/>
      <x:c r="P476" s="72"/>
      <x:c r="Q476" s="72"/>
      <x:c r="R476" s="72"/>
      <x:c r="S476" s="72"/>
      <x:c r="T476" s="72"/>
      <x:c r="U476" s="72"/>
      <x:c r="V476" s="72"/>
      <x:c r="W476" s="72"/>
      <x:c r="X476" s="72"/>
      <x:c r="Y476" s="72"/>
      <x:c r="Z476" s="72"/>
      <x:c r="AA476" s="72"/>
      <x:c r="AB476" s="72"/>
      <x:c r="AC476" s="72"/>
      <x:c r="AD476" s="72"/>
      <x:c r="AE476" s="72"/>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x:c r="BN476" s="4"/>
      <x:c r="BO476" s="4"/>
      <x:c r="BP476" s="4"/>
      <x:c r="BQ476" s="4"/>
      <x:c r="BR476" s="4"/>
      <x:c r="BS476" s="4"/>
      <x:c r="BT476" s="4"/>
      <x:c r="BU476" s="4"/>
      <x:c r="BV476" s="4"/>
      <x:c r="BW476" s="4"/>
      <x:c r="BX476" s="4"/>
      <x:c r="BY476" s="4"/>
      <x:c r="BZ476" s="4"/>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x:c r="DB476" s="4"/>
      <x:c r="DC476" s="4"/>
      <x:c r="DD476" s="4"/>
      <x:c r="DE476" s="4"/>
      <x:c r="DF476" s="4"/>
      <x:c r="DG476" s="4"/>
      <x:c r="DH476" s="4"/>
      <x:c r="DI476" s="4"/>
      <x:c r="DJ476" s="4"/>
      <x:c r="DK476" s="4"/>
      <x:c r="DL476" s="4"/>
      <x:c r="DM476" s="4"/>
      <x:c r="DN476" s="4"/>
      <x:c r="DO476" s="4"/>
      <x:c r="DP476" s="4"/>
      <x:c r="DQ476" s="4"/>
      <x:c r="DR476" s="4"/>
      <x:c r="DS476" s="4"/>
      <x:c r="DT476" s="4"/>
      <x:c r="DU476" s="4"/>
      <x:c r="DV476" s="4"/>
      <x:c r="DW476" s="4"/>
      <x:c r="DX476" s="4"/>
      <x:c r="DY476" s="4"/>
      <x:c r="DZ476" s="4"/>
      <x:c r="EA476" s="4"/>
      <x:c r="EB476" s="4"/>
      <x:c r="EC476" s="4"/>
      <x:c r="ED476" s="4"/>
      <x:c r="EE476" s="4"/>
      <x:c r="EF476" s="4"/>
      <x:c r="EG476" s="4"/>
      <x:c r="EH476" s="4"/>
      <x:c r="EI476" s="4"/>
      <x:c r="EJ476" s="4"/>
      <x:c r="EK476" s="4"/>
      <x:c r="EL476" s="4"/>
      <x:c r="EM476" s="4"/>
      <x:c r="EN476" s="4"/>
      <x:c r="EO476" s="4"/>
      <x:c r="EP476" s="4"/>
      <x:c r="EQ476" s="4"/>
      <x:c r="ER476" s="4"/>
      <x:c r="ES476" s="4"/>
      <x:c r="ET476" s="4"/>
      <x:c r="EU476" s="4"/>
      <x:c r="EV476" s="4"/>
      <x:c r="EW476" s="4"/>
      <x:c r="EX476" s="4"/>
      <x:c r="EY476" s="4"/>
      <x:c r="EZ476" s="4"/>
      <x:c r="FA476" s="4"/>
      <x:c r="FB476" s="4"/>
      <x:c r="FC476" s="4"/>
      <x:c r="FD476" s="4"/>
      <x:c r="FE476" s="4"/>
      <x:c r="FF476" s="4"/>
      <x:c r="FG476" s="4"/>
      <x:c r="FH476" s="4"/>
      <x:c r="FI476" s="4"/>
      <x:c r="FJ476" s="4"/>
      <x:c r="FK476" s="4"/>
      <x:c r="FL476" s="4"/>
      <x:c r="FM476" s="4"/>
      <x:c r="FN476" s="4"/>
      <x:c r="FO476" s="4"/>
    </x:row>
    <x:row r="477">
      <x:c r="A477" s="72"/>
      <x:c r="B477" s="72"/>
      <x:c r="C477" s="72"/>
      <x:c r="D477" s="72"/>
      <x:c r="E477" s="72"/>
      <x:c r="F477" s="72"/>
      <x:c r="G477" s="72"/>
      <x:c r="H477" s="72"/>
      <x:c r="I477" s="72"/>
      <x:c r="J477" s="72"/>
      <x:c r="K477" s="72"/>
      <x:c r="L477" s="72"/>
      <x:c r="M477" s="72"/>
      <x:c r="N477" s="72"/>
      <x:c r="O477" s="72"/>
      <x:c r="P477" s="72"/>
      <x:c r="Q477" s="72"/>
      <x:c r="R477" s="72"/>
      <x:c r="S477" s="72"/>
      <x:c r="T477" s="72"/>
      <x:c r="U477" s="72"/>
      <x:c r="V477" s="72"/>
      <x:c r="W477" s="72"/>
      <x:c r="X477" s="72"/>
      <x:c r="Y477" s="72"/>
      <x:c r="Z477" s="72"/>
      <x:c r="AA477" s="72"/>
      <x:c r="AB477" s="72"/>
      <x:c r="AC477" s="72"/>
      <x:c r="AD477" s="72"/>
      <x:c r="AE477" s="72"/>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x:c r="BN477" s="4"/>
      <x:c r="BO477" s="4"/>
      <x:c r="BP477" s="4"/>
      <x:c r="BQ477" s="4"/>
      <x:c r="BR477" s="4"/>
      <x:c r="BS477" s="4"/>
      <x:c r="BT477" s="4"/>
      <x:c r="BU477" s="4"/>
      <x:c r="BV477" s="4"/>
      <x:c r="BW477" s="4"/>
      <x:c r="BX477" s="4"/>
      <x:c r="BY477" s="4"/>
      <x:c r="BZ477" s="4"/>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x:c r="DB477" s="4"/>
      <x:c r="DC477" s="4"/>
      <x:c r="DD477" s="4"/>
      <x:c r="DE477" s="4"/>
      <x:c r="DF477" s="4"/>
      <x:c r="DG477" s="4"/>
      <x:c r="DH477" s="4"/>
      <x:c r="DI477" s="4"/>
      <x:c r="DJ477" s="4"/>
      <x:c r="DK477" s="4"/>
      <x:c r="DL477" s="4"/>
      <x:c r="DM477" s="4"/>
      <x:c r="DN477" s="4"/>
      <x:c r="DO477" s="4"/>
      <x:c r="DP477" s="4"/>
      <x:c r="DQ477" s="4"/>
      <x:c r="DR477" s="4"/>
      <x:c r="DS477" s="4"/>
      <x:c r="DT477" s="4"/>
      <x:c r="DU477" s="4"/>
      <x:c r="DV477" s="4"/>
      <x:c r="DW477" s="4"/>
      <x:c r="DX477" s="4"/>
      <x:c r="DY477" s="4"/>
      <x:c r="DZ477" s="4"/>
      <x:c r="EA477" s="4"/>
      <x:c r="EB477" s="4"/>
      <x:c r="EC477" s="4"/>
      <x:c r="ED477" s="4"/>
      <x:c r="EE477" s="4"/>
      <x:c r="EF477" s="4"/>
      <x:c r="EG477" s="4"/>
      <x:c r="EH477" s="4"/>
      <x:c r="EI477" s="4"/>
      <x:c r="EJ477" s="4"/>
      <x:c r="EK477" s="4"/>
      <x:c r="EL477" s="4"/>
      <x:c r="EM477" s="4"/>
      <x:c r="EN477" s="4"/>
      <x:c r="EO477" s="4"/>
      <x:c r="EP477" s="4"/>
      <x:c r="EQ477" s="4"/>
      <x:c r="ER477" s="4"/>
      <x:c r="ES477" s="4"/>
      <x:c r="ET477" s="4"/>
      <x:c r="EU477" s="4"/>
      <x:c r="EV477" s="4"/>
      <x:c r="EW477" s="4"/>
      <x:c r="EX477" s="4"/>
      <x:c r="EY477" s="4"/>
      <x:c r="EZ477" s="4"/>
      <x:c r="FA477" s="4"/>
      <x:c r="FB477" s="4"/>
      <x:c r="FC477" s="4"/>
      <x:c r="FD477" s="4"/>
      <x:c r="FE477" s="4"/>
      <x:c r="FF477" s="4"/>
      <x:c r="FG477" s="4"/>
      <x:c r="FH477" s="4"/>
      <x:c r="FI477" s="4"/>
      <x:c r="FJ477" s="4"/>
      <x:c r="FK477" s="4"/>
      <x:c r="FL477" s="4"/>
      <x:c r="FM477" s="4"/>
      <x:c r="FN477" s="4"/>
      <x:c r="FO477" s="4"/>
    </x:row>
    <x:row r="478">
      <x:c r="A478" s="72"/>
      <x:c r="B478" s="72"/>
      <x:c r="C478" s="72"/>
      <x:c r="D478" s="72"/>
      <x:c r="E478" s="72"/>
      <x:c r="F478" s="72"/>
      <x:c r="G478" s="72"/>
      <x:c r="H478" s="72"/>
      <x:c r="I478" s="72"/>
      <x:c r="J478" s="72"/>
      <x:c r="K478" s="72"/>
      <x:c r="L478" s="72"/>
      <x:c r="M478" s="72"/>
      <x:c r="N478" s="72"/>
      <x:c r="O478" s="72"/>
      <x:c r="P478" s="72"/>
      <x:c r="Q478" s="72"/>
      <x:c r="R478" s="72"/>
      <x:c r="S478" s="72"/>
      <x:c r="T478" s="72"/>
      <x:c r="U478" s="72"/>
      <x:c r="V478" s="72"/>
      <x:c r="W478" s="72"/>
      <x:c r="X478" s="72"/>
      <x:c r="Y478" s="72"/>
      <x:c r="Z478" s="72"/>
      <x:c r="AA478" s="72"/>
      <x:c r="AB478" s="72"/>
      <x:c r="AC478" s="72"/>
      <x:c r="AD478" s="72"/>
      <x:c r="AE478" s="72"/>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x:c r="BN478" s="4"/>
      <x:c r="BO478" s="4"/>
      <x:c r="BP478" s="4"/>
      <x:c r="BQ478" s="4"/>
      <x:c r="BR478" s="4"/>
      <x:c r="BS478" s="4"/>
      <x:c r="BT478" s="4"/>
      <x:c r="BU478" s="4"/>
      <x:c r="BV478" s="4"/>
      <x:c r="BW478" s="4"/>
      <x:c r="BX478" s="4"/>
      <x:c r="BY478" s="4"/>
      <x:c r="BZ478" s="4"/>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x:c r="DB478" s="4"/>
      <x:c r="DC478" s="4"/>
      <x:c r="DD478" s="4"/>
      <x:c r="DE478" s="4"/>
      <x:c r="DF478" s="4"/>
      <x:c r="DG478" s="4"/>
      <x:c r="DH478" s="4"/>
      <x:c r="DI478" s="4"/>
      <x:c r="DJ478" s="4"/>
      <x:c r="DK478" s="4"/>
      <x:c r="DL478" s="4"/>
      <x:c r="DM478" s="4"/>
      <x:c r="DN478" s="4"/>
      <x:c r="DO478" s="4"/>
      <x:c r="DP478" s="4"/>
      <x:c r="DQ478" s="4"/>
      <x:c r="DR478" s="4"/>
      <x:c r="DS478" s="4"/>
      <x:c r="DT478" s="4"/>
      <x:c r="DU478" s="4"/>
      <x:c r="DV478" s="4"/>
      <x:c r="DW478" s="4"/>
      <x:c r="DX478" s="4"/>
      <x:c r="DY478" s="4"/>
      <x:c r="DZ478" s="4"/>
      <x:c r="EA478" s="4"/>
      <x:c r="EB478" s="4"/>
      <x:c r="EC478" s="4"/>
      <x:c r="ED478" s="4"/>
      <x:c r="EE478" s="4"/>
      <x:c r="EF478" s="4"/>
      <x:c r="EG478" s="4"/>
      <x:c r="EH478" s="4"/>
      <x:c r="EI478" s="4"/>
      <x:c r="EJ478" s="4"/>
      <x:c r="EK478" s="4"/>
      <x:c r="EL478" s="4"/>
      <x:c r="EM478" s="4"/>
      <x:c r="EN478" s="4"/>
      <x:c r="EO478" s="4"/>
      <x:c r="EP478" s="4"/>
      <x:c r="EQ478" s="4"/>
      <x:c r="ER478" s="4"/>
      <x:c r="ES478" s="4"/>
      <x:c r="ET478" s="4"/>
      <x:c r="EU478" s="4"/>
      <x:c r="EV478" s="4"/>
      <x:c r="EW478" s="4"/>
      <x:c r="EX478" s="4"/>
      <x:c r="EY478" s="4"/>
      <x:c r="EZ478" s="4"/>
      <x:c r="FA478" s="4"/>
      <x:c r="FB478" s="4"/>
      <x:c r="FC478" s="4"/>
      <x:c r="FD478" s="4"/>
      <x:c r="FE478" s="4"/>
      <x:c r="FF478" s="4"/>
      <x:c r="FG478" s="4"/>
      <x:c r="FH478" s="4"/>
      <x:c r="FI478" s="4"/>
      <x:c r="FJ478" s="4"/>
      <x:c r="FK478" s="4"/>
      <x:c r="FL478" s="4"/>
      <x:c r="FM478" s="4"/>
      <x:c r="FN478" s="4"/>
      <x:c r="FO478" s="4"/>
    </x:row>
    <x:row r="479">
      <x:c r="A479" s="72"/>
      <x:c r="B479" s="72"/>
      <x:c r="C479" s="72"/>
      <x:c r="D479" s="72"/>
      <x:c r="E479" s="72"/>
      <x:c r="F479" s="72"/>
      <x:c r="G479" s="72"/>
      <x:c r="H479" s="72"/>
      <x:c r="I479" s="72"/>
      <x:c r="J479" s="72"/>
      <x:c r="K479" s="72"/>
      <x:c r="L479" s="72"/>
      <x:c r="M479" s="72"/>
      <x:c r="N479" s="72"/>
      <x:c r="O479" s="72"/>
      <x:c r="P479" s="72"/>
      <x:c r="Q479" s="72"/>
      <x:c r="R479" s="72"/>
      <x:c r="S479" s="72"/>
      <x:c r="T479" s="72"/>
      <x:c r="U479" s="72"/>
      <x:c r="V479" s="72"/>
      <x:c r="W479" s="72"/>
      <x:c r="X479" s="72"/>
      <x:c r="Y479" s="72"/>
      <x:c r="Z479" s="72"/>
      <x:c r="AA479" s="72"/>
      <x:c r="AB479" s="72"/>
      <x:c r="AC479" s="72"/>
      <x:c r="AD479" s="72"/>
      <x:c r="AE479" s="72"/>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x:c r="BN479" s="4"/>
      <x:c r="BO479" s="4"/>
      <x:c r="BP479" s="4"/>
      <x:c r="BQ479" s="4"/>
      <x:c r="BR479" s="4"/>
      <x:c r="BS479" s="4"/>
      <x:c r="BT479" s="4"/>
      <x:c r="BU479" s="4"/>
      <x:c r="BV479" s="4"/>
      <x:c r="BW479" s="4"/>
      <x:c r="BX479" s="4"/>
      <x:c r="BY479" s="4"/>
      <x:c r="BZ479" s="4"/>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x:c r="DB479" s="4"/>
      <x:c r="DC479" s="4"/>
      <x:c r="DD479" s="4"/>
      <x:c r="DE479" s="4"/>
      <x:c r="DF479" s="4"/>
      <x:c r="DG479" s="4"/>
      <x:c r="DH479" s="4"/>
      <x:c r="DI479" s="4"/>
      <x:c r="DJ479" s="4"/>
      <x:c r="DK479" s="4"/>
      <x:c r="DL479" s="4"/>
      <x:c r="DM479" s="4"/>
      <x:c r="DN479" s="4"/>
      <x:c r="DO479" s="4"/>
      <x:c r="DP479" s="4"/>
      <x:c r="DQ479" s="4"/>
      <x:c r="DR479" s="4"/>
      <x:c r="DS479" s="4"/>
      <x:c r="DT479" s="4"/>
      <x:c r="DU479" s="4"/>
      <x:c r="DV479" s="4"/>
      <x:c r="DW479" s="4"/>
      <x:c r="DX479" s="4"/>
      <x:c r="DY479" s="4"/>
      <x:c r="DZ479" s="4"/>
      <x:c r="EA479" s="4"/>
      <x:c r="EB479" s="4"/>
      <x:c r="EC479" s="4"/>
      <x:c r="ED479" s="4"/>
      <x:c r="EE479" s="4"/>
      <x:c r="EF479" s="4"/>
      <x:c r="EG479" s="4"/>
      <x:c r="EH479" s="4"/>
      <x:c r="EI479" s="4"/>
      <x:c r="EJ479" s="4"/>
      <x:c r="EK479" s="4"/>
      <x:c r="EL479" s="4"/>
      <x:c r="EM479" s="4"/>
      <x:c r="EN479" s="4"/>
      <x:c r="EO479" s="4"/>
      <x:c r="EP479" s="4"/>
      <x:c r="EQ479" s="4"/>
      <x:c r="ER479" s="4"/>
      <x:c r="ES479" s="4"/>
      <x:c r="ET479" s="4"/>
      <x:c r="EU479" s="4"/>
      <x:c r="EV479" s="4"/>
      <x:c r="EW479" s="4"/>
      <x:c r="EX479" s="4"/>
      <x:c r="EY479" s="4"/>
      <x:c r="EZ479" s="4"/>
      <x:c r="FA479" s="4"/>
      <x:c r="FB479" s="4"/>
      <x:c r="FC479" s="4"/>
      <x:c r="FD479" s="4"/>
      <x:c r="FE479" s="4"/>
      <x:c r="FF479" s="4"/>
      <x:c r="FG479" s="4"/>
      <x:c r="FH479" s="4"/>
      <x:c r="FI479" s="4"/>
      <x:c r="FJ479" s="4"/>
      <x:c r="FK479" s="4"/>
      <x:c r="FL479" s="4"/>
      <x:c r="FM479" s="4"/>
      <x:c r="FN479" s="4"/>
      <x:c r="FO479" s="4"/>
    </x:row>
    <x:row r="480">
      <x:c r="A480" s="72"/>
      <x:c r="B480" s="72"/>
      <x:c r="C480" s="72"/>
      <x:c r="D480" s="72"/>
      <x:c r="E480" s="72"/>
      <x:c r="F480" s="72"/>
      <x:c r="G480" s="72"/>
      <x:c r="H480" s="72"/>
      <x:c r="I480" s="72"/>
      <x:c r="J480" s="72"/>
      <x:c r="K480" s="72"/>
      <x:c r="L480" s="72"/>
      <x:c r="M480" s="72"/>
      <x:c r="N480" s="72"/>
      <x:c r="O480" s="72"/>
      <x:c r="P480" s="72"/>
      <x:c r="Q480" s="72"/>
      <x:c r="R480" s="72"/>
      <x:c r="S480" s="72"/>
      <x:c r="T480" s="72"/>
      <x:c r="U480" s="72"/>
      <x:c r="V480" s="72"/>
      <x:c r="W480" s="72"/>
      <x:c r="X480" s="72"/>
      <x:c r="Y480" s="72"/>
      <x:c r="Z480" s="72"/>
      <x:c r="AA480" s="72"/>
      <x:c r="AB480" s="72"/>
      <x:c r="AC480" s="72"/>
      <x:c r="AD480" s="72"/>
      <x:c r="AE480" s="72"/>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x:c r="BN480" s="4"/>
      <x:c r="BO480" s="4"/>
      <x:c r="BP480" s="4"/>
      <x:c r="BQ480" s="4"/>
      <x:c r="BR480" s="4"/>
      <x:c r="BS480" s="4"/>
      <x:c r="BT480" s="4"/>
      <x:c r="BU480" s="4"/>
      <x:c r="BV480" s="4"/>
      <x:c r="BW480" s="4"/>
      <x:c r="BX480" s="4"/>
      <x:c r="BY480" s="4"/>
      <x:c r="BZ480" s="4"/>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x:c r="DB480" s="4"/>
      <x:c r="DC480" s="4"/>
      <x:c r="DD480" s="4"/>
      <x:c r="DE480" s="4"/>
      <x:c r="DF480" s="4"/>
      <x:c r="DG480" s="4"/>
      <x:c r="DH480" s="4"/>
      <x:c r="DI480" s="4"/>
      <x:c r="DJ480" s="4"/>
      <x:c r="DK480" s="4"/>
      <x:c r="DL480" s="4"/>
      <x:c r="DM480" s="4"/>
      <x:c r="DN480" s="4"/>
      <x:c r="DO480" s="4"/>
      <x:c r="DP480" s="4"/>
      <x:c r="DQ480" s="4"/>
      <x:c r="DR480" s="4"/>
      <x:c r="DS480" s="4"/>
      <x:c r="DT480" s="4"/>
      <x:c r="DU480" s="4"/>
      <x:c r="DV480" s="4"/>
      <x:c r="DW480" s="4"/>
      <x:c r="DX480" s="4"/>
      <x:c r="DY480" s="4"/>
      <x:c r="DZ480" s="4"/>
      <x:c r="EA480" s="4"/>
      <x:c r="EB480" s="4"/>
      <x:c r="EC480" s="4"/>
      <x:c r="ED480" s="4"/>
      <x:c r="EE480" s="4"/>
      <x:c r="EF480" s="4"/>
      <x:c r="EG480" s="4"/>
      <x:c r="EH480" s="4"/>
      <x:c r="EI480" s="4"/>
      <x:c r="EJ480" s="4"/>
      <x:c r="EK480" s="4"/>
      <x:c r="EL480" s="4"/>
      <x:c r="EM480" s="4"/>
      <x:c r="EN480" s="4"/>
      <x:c r="EO480" s="4"/>
      <x:c r="EP480" s="4"/>
      <x:c r="EQ480" s="4"/>
      <x:c r="ER480" s="4"/>
      <x:c r="ES480" s="4"/>
      <x:c r="ET480" s="4"/>
      <x:c r="EU480" s="4"/>
      <x:c r="EV480" s="4"/>
      <x:c r="EW480" s="4"/>
      <x:c r="EX480" s="4"/>
      <x:c r="EY480" s="4"/>
      <x:c r="EZ480" s="4"/>
      <x:c r="FA480" s="4"/>
      <x:c r="FB480" s="4"/>
      <x:c r="FC480" s="4"/>
      <x:c r="FD480" s="4"/>
      <x:c r="FE480" s="4"/>
      <x:c r="FF480" s="4"/>
      <x:c r="FG480" s="4"/>
      <x:c r="FH480" s="4"/>
      <x:c r="FI480" s="4"/>
      <x:c r="FJ480" s="4"/>
      <x:c r="FK480" s="4"/>
      <x:c r="FL480" s="4"/>
      <x:c r="FM480" s="4"/>
      <x:c r="FN480" s="4"/>
      <x:c r="FO480" s="4"/>
    </x:row>
    <x:row r="481">
      <x:c r="A481" s="72"/>
      <x:c r="B481" s="72"/>
      <x:c r="C481" s="72"/>
      <x:c r="D481" s="72"/>
      <x:c r="E481" s="72"/>
      <x:c r="F481" s="72"/>
      <x:c r="G481" s="72"/>
      <x:c r="H481" s="72"/>
      <x:c r="I481" s="72"/>
      <x:c r="J481" s="72"/>
      <x:c r="K481" s="72"/>
      <x:c r="L481" s="72"/>
      <x:c r="M481" s="72"/>
      <x:c r="N481" s="72"/>
      <x:c r="O481" s="72"/>
      <x:c r="P481" s="72"/>
      <x:c r="Q481" s="72"/>
      <x:c r="R481" s="72"/>
      <x:c r="S481" s="72"/>
      <x:c r="T481" s="72"/>
      <x:c r="U481" s="72"/>
      <x:c r="V481" s="72"/>
      <x:c r="W481" s="72"/>
      <x:c r="X481" s="72"/>
      <x:c r="Y481" s="72"/>
      <x:c r="Z481" s="72"/>
      <x:c r="AA481" s="72"/>
      <x:c r="AB481" s="72"/>
      <x:c r="AC481" s="72"/>
      <x:c r="AD481" s="72"/>
      <x:c r="AE481" s="72"/>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x:c r="BN481" s="4"/>
      <x:c r="BO481" s="4"/>
      <x:c r="BP481" s="4"/>
      <x:c r="BQ481" s="4"/>
      <x:c r="BR481" s="4"/>
      <x:c r="BS481" s="4"/>
      <x:c r="BT481" s="4"/>
      <x:c r="BU481" s="4"/>
      <x:c r="BV481" s="4"/>
      <x:c r="BW481" s="4"/>
      <x:c r="BX481" s="4"/>
      <x:c r="BY481" s="4"/>
      <x:c r="BZ481" s="4"/>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x:c r="DB481" s="4"/>
      <x:c r="DC481" s="4"/>
      <x:c r="DD481" s="4"/>
      <x:c r="DE481" s="4"/>
      <x:c r="DF481" s="4"/>
      <x:c r="DG481" s="4"/>
      <x:c r="DH481" s="4"/>
      <x:c r="DI481" s="4"/>
      <x:c r="DJ481" s="4"/>
      <x:c r="DK481" s="4"/>
      <x:c r="DL481" s="4"/>
      <x:c r="DM481" s="4"/>
      <x:c r="DN481" s="4"/>
      <x:c r="DO481" s="4"/>
      <x:c r="DP481" s="4"/>
      <x:c r="DQ481" s="4"/>
      <x:c r="DR481" s="4"/>
      <x:c r="DS481" s="4"/>
      <x:c r="DT481" s="4"/>
      <x:c r="DU481" s="4"/>
      <x:c r="DV481" s="4"/>
      <x:c r="DW481" s="4"/>
      <x:c r="DX481" s="4"/>
      <x:c r="DY481" s="4"/>
      <x:c r="DZ481" s="4"/>
      <x:c r="EA481" s="4"/>
      <x:c r="EB481" s="4"/>
      <x:c r="EC481" s="4"/>
      <x:c r="ED481" s="4"/>
      <x:c r="EE481" s="4"/>
      <x:c r="EF481" s="4"/>
      <x:c r="EG481" s="4"/>
      <x:c r="EH481" s="4"/>
      <x:c r="EI481" s="4"/>
      <x:c r="EJ481" s="4"/>
      <x:c r="EK481" s="4"/>
      <x:c r="EL481" s="4"/>
      <x:c r="EM481" s="4"/>
      <x:c r="EN481" s="4"/>
      <x:c r="EO481" s="4"/>
      <x:c r="EP481" s="4"/>
      <x:c r="EQ481" s="4"/>
      <x:c r="ER481" s="4"/>
      <x:c r="ES481" s="4"/>
      <x:c r="ET481" s="4"/>
      <x:c r="EU481" s="4"/>
      <x:c r="EV481" s="4"/>
      <x:c r="EW481" s="4"/>
      <x:c r="EX481" s="4"/>
      <x:c r="EY481" s="4"/>
      <x:c r="EZ481" s="4"/>
      <x:c r="FA481" s="4"/>
      <x:c r="FB481" s="4"/>
      <x:c r="FC481" s="4"/>
      <x:c r="FD481" s="4"/>
      <x:c r="FE481" s="4"/>
      <x:c r="FF481" s="4"/>
      <x:c r="FG481" s="4"/>
      <x:c r="FH481" s="4"/>
      <x:c r="FI481" s="4"/>
      <x:c r="FJ481" s="4"/>
      <x:c r="FK481" s="4"/>
      <x:c r="FL481" s="4"/>
      <x:c r="FM481" s="4"/>
      <x:c r="FN481" s="4"/>
      <x:c r="FO481" s="4"/>
    </x:row>
    <x:row r="482">
      <x:c r="A482" s="72"/>
      <x:c r="B482" s="72"/>
      <x:c r="C482" s="72"/>
      <x:c r="D482" s="72"/>
      <x:c r="E482" s="72"/>
      <x:c r="F482" s="72"/>
      <x:c r="G482" s="72"/>
      <x:c r="H482" s="72"/>
      <x:c r="I482" s="72"/>
      <x:c r="J482" s="72"/>
      <x:c r="K482" s="72"/>
      <x:c r="L482" s="72"/>
      <x:c r="M482" s="72"/>
      <x:c r="N482" s="72"/>
      <x:c r="O482" s="72"/>
      <x:c r="P482" s="72"/>
      <x:c r="Q482" s="72"/>
      <x:c r="R482" s="72"/>
      <x:c r="S482" s="72"/>
      <x:c r="T482" s="72"/>
      <x:c r="U482" s="72"/>
      <x:c r="V482" s="72"/>
      <x:c r="W482" s="72"/>
      <x:c r="X482" s="72"/>
      <x:c r="Y482" s="72"/>
      <x:c r="Z482" s="72"/>
      <x:c r="AA482" s="72"/>
      <x:c r="AB482" s="72"/>
      <x:c r="AC482" s="72"/>
      <x:c r="AD482" s="72"/>
      <x:c r="AE482" s="72"/>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x:c r="BN482" s="4"/>
      <x:c r="BO482" s="4"/>
      <x:c r="BP482" s="4"/>
      <x:c r="BQ482" s="4"/>
      <x:c r="BR482" s="4"/>
      <x:c r="BS482" s="4"/>
      <x:c r="BT482" s="4"/>
      <x:c r="BU482" s="4"/>
      <x:c r="BV482" s="4"/>
      <x:c r="BW482" s="4"/>
      <x:c r="BX482" s="4"/>
      <x:c r="BY482" s="4"/>
      <x:c r="BZ482" s="4"/>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x:c r="DB482" s="4"/>
      <x:c r="DC482" s="4"/>
      <x:c r="DD482" s="4"/>
      <x:c r="DE482" s="4"/>
      <x:c r="DF482" s="4"/>
      <x:c r="DG482" s="4"/>
      <x:c r="DH482" s="4"/>
      <x:c r="DI482" s="4"/>
      <x:c r="DJ482" s="4"/>
      <x:c r="DK482" s="4"/>
      <x:c r="DL482" s="4"/>
      <x:c r="DM482" s="4"/>
      <x:c r="DN482" s="4"/>
      <x:c r="DO482" s="4"/>
      <x:c r="DP482" s="4"/>
      <x:c r="DQ482" s="4"/>
      <x:c r="DR482" s="4"/>
      <x:c r="DS482" s="4"/>
      <x:c r="DT482" s="4"/>
      <x:c r="DU482" s="4"/>
      <x:c r="DV482" s="4"/>
      <x:c r="DW482" s="4"/>
      <x:c r="DX482" s="4"/>
      <x:c r="DY482" s="4"/>
      <x:c r="DZ482" s="4"/>
      <x:c r="EA482" s="4"/>
      <x:c r="EB482" s="4"/>
      <x:c r="EC482" s="4"/>
      <x:c r="ED482" s="4"/>
      <x:c r="EE482" s="4"/>
      <x:c r="EF482" s="4"/>
      <x:c r="EG482" s="4"/>
      <x:c r="EH482" s="4"/>
      <x:c r="EI482" s="4"/>
      <x:c r="EJ482" s="4"/>
      <x:c r="EK482" s="4"/>
      <x:c r="EL482" s="4"/>
      <x:c r="EM482" s="4"/>
      <x:c r="EN482" s="4"/>
      <x:c r="EO482" s="4"/>
      <x:c r="EP482" s="4"/>
      <x:c r="EQ482" s="4"/>
      <x:c r="ER482" s="4"/>
      <x:c r="ES482" s="4"/>
      <x:c r="ET482" s="4"/>
      <x:c r="EU482" s="4"/>
      <x:c r="EV482" s="4"/>
      <x:c r="EW482" s="4"/>
      <x:c r="EX482" s="4"/>
      <x:c r="EY482" s="4"/>
      <x:c r="EZ482" s="4"/>
      <x:c r="FA482" s="4"/>
      <x:c r="FB482" s="4"/>
      <x:c r="FC482" s="4"/>
      <x:c r="FD482" s="4"/>
      <x:c r="FE482" s="4"/>
      <x:c r="FF482" s="4"/>
      <x:c r="FG482" s="4"/>
      <x:c r="FH482" s="4"/>
      <x:c r="FI482" s="4"/>
      <x:c r="FJ482" s="4"/>
      <x:c r="FK482" s="4"/>
      <x:c r="FL482" s="4"/>
      <x:c r="FM482" s="4"/>
      <x:c r="FN482" s="4"/>
      <x:c r="FO482" s="4"/>
    </x:row>
    <x:row r="483">
      <x:c r="A483" s="72"/>
      <x:c r="B483" s="72"/>
      <x:c r="C483" s="72"/>
      <x:c r="D483" s="72"/>
      <x:c r="E483" s="72"/>
      <x:c r="F483" s="72"/>
      <x:c r="G483" s="72"/>
      <x:c r="H483" s="72"/>
      <x:c r="I483" s="72"/>
      <x:c r="J483" s="72"/>
      <x:c r="K483" s="72"/>
      <x:c r="L483" s="72"/>
      <x:c r="M483" s="72"/>
      <x:c r="N483" s="72"/>
      <x:c r="O483" s="72"/>
      <x:c r="P483" s="72"/>
      <x:c r="Q483" s="72"/>
      <x:c r="R483" s="72"/>
      <x:c r="S483" s="72"/>
      <x:c r="T483" s="72"/>
      <x:c r="U483" s="72"/>
      <x:c r="V483" s="72"/>
      <x:c r="W483" s="72"/>
      <x:c r="X483" s="72"/>
      <x:c r="Y483" s="72"/>
      <x:c r="Z483" s="72"/>
      <x:c r="AA483" s="72"/>
      <x:c r="AB483" s="72"/>
      <x:c r="AC483" s="72"/>
      <x:c r="AD483" s="72"/>
      <x:c r="AE483" s="72"/>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x:c r="BN483" s="4"/>
      <x:c r="BO483" s="4"/>
      <x:c r="BP483" s="4"/>
      <x:c r="BQ483" s="4"/>
      <x:c r="BR483" s="4"/>
      <x:c r="BS483" s="4"/>
      <x:c r="BT483" s="4"/>
      <x:c r="BU483" s="4"/>
      <x:c r="BV483" s="4"/>
      <x:c r="BW483" s="4"/>
      <x:c r="BX483" s="4"/>
      <x:c r="BY483" s="4"/>
      <x:c r="BZ483" s="4"/>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x:c r="DB483" s="4"/>
      <x:c r="DC483" s="4"/>
      <x:c r="DD483" s="4"/>
      <x:c r="DE483" s="4"/>
      <x:c r="DF483" s="4"/>
      <x:c r="DG483" s="4"/>
      <x:c r="DH483" s="4"/>
      <x:c r="DI483" s="4"/>
      <x:c r="DJ483" s="4"/>
      <x:c r="DK483" s="4"/>
      <x:c r="DL483" s="4"/>
      <x:c r="DM483" s="4"/>
      <x:c r="DN483" s="4"/>
      <x:c r="DO483" s="4"/>
      <x:c r="DP483" s="4"/>
      <x:c r="DQ483" s="4"/>
      <x:c r="DR483" s="4"/>
      <x:c r="DS483" s="4"/>
      <x:c r="DT483" s="4"/>
      <x:c r="DU483" s="4"/>
      <x:c r="DV483" s="4"/>
      <x:c r="DW483" s="4"/>
      <x:c r="DX483" s="4"/>
      <x:c r="DY483" s="4"/>
      <x:c r="DZ483" s="4"/>
      <x:c r="EA483" s="4"/>
      <x:c r="EB483" s="4"/>
      <x:c r="EC483" s="4"/>
      <x:c r="ED483" s="4"/>
      <x:c r="EE483" s="4"/>
      <x:c r="EF483" s="4"/>
      <x:c r="EG483" s="4"/>
      <x:c r="EH483" s="4"/>
      <x:c r="EI483" s="4"/>
      <x:c r="EJ483" s="4"/>
      <x:c r="EK483" s="4"/>
      <x:c r="EL483" s="4"/>
      <x:c r="EM483" s="4"/>
      <x:c r="EN483" s="4"/>
      <x:c r="EO483" s="4"/>
      <x:c r="EP483" s="4"/>
      <x:c r="EQ483" s="4"/>
      <x:c r="ER483" s="4"/>
      <x:c r="ES483" s="4"/>
      <x:c r="ET483" s="4"/>
      <x:c r="EU483" s="4"/>
      <x:c r="EV483" s="4"/>
      <x:c r="EW483" s="4"/>
      <x:c r="EX483" s="4"/>
      <x:c r="EY483" s="4"/>
      <x:c r="EZ483" s="4"/>
      <x:c r="FA483" s="4"/>
      <x:c r="FB483" s="4"/>
      <x:c r="FC483" s="4"/>
      <x:c r="FD483" s="4"/>
      <x:c r="FE483" s="4"/>
      <x:c r="FF483" s="4"/>
      <x:c r="FG483" s="4"/>
      <x:c r="FH483" s="4"/>
      <x:c r="FI483" s="4"/>
      <x:c r="FJ483" s="4"/>
      <x:c r="FK483" s="4"/>
      <x:c r="FL483" s="4"/>
      <x:c r="FM483" s="4"/>
      <x:c r="FN483" s="4"/>
      <x:c r="FO483" s="4"/>
    </x:row>
    <x:row r="484">
      <x:c r="A484" s="72"/>
      <x:c r="B484" s="72"/>
      <x:c r="C484" s="72"/>
      <x:c r="D484" s="72"/>
      <x:c r="E484" s="72"/>
      <x:c r="F484" s="72"/>
      <x:c r="G484" s="72"/>
      <x:c r="H484" s="72"/>
      <x:c r="I484" s="72"/>
      <x:c r="J484" s="72"/>
      <x:c r="K484" s="72"/>
      <x:c r="L484" s="72"/>
      <x:c r="M484" s="72"/>
      <x:c r="N484" s="72"/>
      <x:c r="O484" s="72"/>
      <x:c r="P484" s="72"/>
      <x:c r="Q484" s="72"/>
      <x:c r="R484" s="72"/>
      <x:c r="S484" s="72"/>
      <x:c r="T484" s="72"/>
      <x:c r="U484" s="72"/>
      <x:c r="V484" s="72"/>
      <x:c r="W484" s="72"/>
      <x:c r="X484" s="72"/>
      <x:c r="Y484" s="72"/>
      <x:c r="Z484" s="72"/>
      <x:c r="AA484" s="72"/>
      <x:c r="AB484" s="72"/>
      <x:c r="AC484" s="72"/>
      <x:c r="AD484" s="72"/>
      <x:c r="AE484" s="72"/>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x:c r="BN484" s="4"/>
      <x:c r="BO484" s="4"/>
      <x:c r="BP484" s="4"/>
      <x:c r="BQ484" s="4"/>
      <x:c r="BR484" s="4"/>
      <x:c r="BS484" s="4"/>
      <x:c r="BT484" s="4"/>
      <x:c r="BU484" s="4"/>
      <x:c r="BV484" s="4"/>
      <x:c r="BW484" s="4"/>
      <x:c r="BX484" s="4"/>
      <x:c r="BY484" s="4"/>
      <x:c r="BZ484" s="4"/>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x:c r="DB484" s="4"/>
      <x:c r="DC484" s="4"/>
      <x:c r="DD484" s="4"/>
      <x:c r="DE484" s="4"/>
      <x:c r="DF484" s="4"/>
      <x:c r="DG484" s="4"/>
      <x:c r="DH484" s="4"/>
      <x:c r="DI484" s="4"/>
      <x:c r="DJ484" s="4"/>
      <x:c r="DK484" s="4"/>
      <x:c r="DL484" s="4"/>
      <x:c r="DM484" s="4"/>
      <x:c r="DN484" s="4"/>
      <x:c r="DO484" s="4"/>
      <x:c r="DP484" s="4"/>
      <x:c r="DQ484" s="4"/>
      <x:c r="DR484" s="4"/>
      <x:c r="DS484" s="4"/>
      <x:c r="DT484" s="4"/>
      <x:c r="DU484" s="4"/>
      <x:c r="DV484" s="4"/>
      <x:c r="DW484" s="4"/>
      <x:c r="DX484" s="4"/>
      <x:c r="DY484" s="4"/>
      <x:c r="DZ484" s="4"/>
      <x:c r="EA484" s="4"/>
      <x:c r="EB484" s="4"/>
      <x:c r="EC484" s="4"/>
      <x:c r="ED484" s="4"/>
      <x:c r="EE484" s="4"/>
      <x:c r="EF484" s="4"/>
      <x:c r="EG484" s="4"/>
      <x:c r="EH484" s="4"/>
      <x:c r="EI484" s="4"/>
      <x:c r="EJ484" s="4"/>
      <x:c r="EK484" s="4"/>
      <x:c r="EL484" s="4"/>
      <x:c r="EM484" s="4"/>
      <x:c r="EN484" s="4"/>
      <x:c r="EO484" s="4"/>
      <x:c r="EP484" s="4"/>
      <x:c r="EQ484" s="4"/>
      <x:c r="ER484" s="4"/>
      <x:c r="ES484" s="4"/>
      <x:c r="ET484" s="4"/>
      <x:c r="EU484" s="4"/>
      <x:c r="EV484" s="4"/>
      <x:c r="EW484" s="4"/>
      <x:c r="EX484" s="4"/>
      <x:c r="EY484" s="4"/>
      <x:c r="EZ484" s="4"/>
      <x:c r="FA484" s="4"/>
      <x:c r="FB484" s="4"/>
      <x:c r="FC484" s="4"/>
      <x:c r="FD484" s="4"/>
      <x:c r="FE484" s="4"/>
      <x:c r="FF484" s="4"/>
      <x:c r="FG484" s="4"/>
      <x:c r="FH484" s="4"/>
      <x:c r="FI484" s="4"/>
      <x:c r="FJ484" s="4"/>
      <x:c r="FK484" s="4"/>
      <x:c r="FL484" s="4"/>
      <x:c r="FM484" s="4"/>
      <x:c r="FN484" s="4"/>
      <x:c r="FO484" s="4"/>
    </x:row>
    <x:row r="485">
      <x:c r="A485" s="72"/>
      <x:c r="B485" s="72"/>
      <x:c r="C485" s="72"/>
      <x:c r="D485" s="72"/>
      <x:c r="E485" s="72"/>
      <x:c r="F485" s="72"/>
      <x:c r="G485" s="72"/>
      <x:c r="H485" s="72"/>
      <x:c r="I485" s="72"/>
      <x:c r="J485" s="72"/>
      <x:c r="K485" s="72"/>
      <x:c r="L485" s="72"/>
      <x:c r="M485" s="72"/>
      <x:c r="N485" s="72"/>
      <x:c r="O485" s="72"/>
      <x:c r="P485" s="72"/>
      <x:c r="Q485" s="72"/>
      <x:c r="R485" s="72"/>
      <x:c r="S485" s="72"/>
      <x:c r="T485" s="72"/>
      <x:c r="U485" s="72"/>
      <x:c r="V485" s="72"/>
      <x:c r="W485" s="72"/>
      <x:c r="X485" s="72"/>
      <x:c r="Y485" s="72"/>
      <x:c r="Z485" s="72"/>
      <x:c r="AA485" s="72"/>
      <x:c r="AB485" s="72"/>
      <x:c r="AC485" s="72"/>
      <x:c r="AD485" s="72"/>
      <x:c r="AE485" s="72"/>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x:c r="BN485" s="4"/>
      <x:c r="BO485" s="4"/>
      <x:c r="BP485" s="4"/>
      <x:c r="BQ485" s="4"/>
      <x:c r="BR485" s="4"/>
      <x:c r="BS485" s="4"/>
      <x:c r="BT485" s="4"/>
      <x:c r="BU485" s="4"/>
      <x:c r="BV485" s="4"/>
      <x:c r="BW485" s="4"/>
      <x:c r="BX485" s="4"/>
      <x:c r="BY485" s="4"/>
      <x:c r="BZ485" s="4"/>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x:c r="DB485" s="4"/>
      <x:c r="DC485" s="4"/>
      <x:c r="DD485" s="4"/>
      <x:c r="DE485" s="4"/>
      <x:c r="DF485" s="4"/>
      <x:c r="DG485" s="4"/>
      <x:c r="DH485" s="4"/>
      <x:c r="DI485" s="4"/>
      <x:c r="DJ485" s="4"/>
      <x:c r="DK485" s="4"/>
      <x:c r="DL485" s="4"/>
      <x:c r="DM485" s="4"/>
      <x:c r="DN485" s="4"/>
      <x:c r="DO485" s="4"/>
      <x:c r="DP485" s="4"/>
      <x:c r="DQ485" s="4"/>
      <x:c r="DR485" s="4"/>
      <x:c r="DS485" s="4"/>
      <x:c r="DT485" s="4"/>
      <x:c r="DU485" s="4"/>
      <x:c r="DV485" s="4"/>
      <x:c r="DW485" s="4"/>
      <x:c r="DX485" s="4"/>
      <x:c r="DY485" s="4"/>
      <x:c r="DZ485" s="4"/>
      <x:c r="EA485" s="4"/>
      <x:c r="EB485" s="4"/>
      <x:c r="EC485" s="4"/>
      <x:c r="ED485" s="4"/>
      <x:c r="EE485" s="4"/>
      <x:c r="EF485" s="4"/>
      <x:c r="EG485" s="4"/>
      <x:c r="EH485" s="4"/>
      <x:c r="EI485" s="4"/>
      <x:c r="EJ485" s="4"/>
      <x:c r="EK485" s="4"/>
      <x:c r="EL485" s="4"/>
      <x:c r="EM485" s="4"/>
      <x:c r="EN485" s="4"/>
      <x:c r="EO485" s="4"/>
      <x:c r="EP485" s="4"/>
      <x:c r="EQ485" s="4"/>
      <x:c r="ER485" s="4"/>
      <x:c r="ES485" s="4"/>
      <x:c r="ET485" s="4"/>
      <x:c r="EU485" s="4"/>
      <x:c r="EV485" s="4"/>
      <x:c r="EW485" s="4"/>
      <x:c r="EX485" s="4"/>
      <x:c r="EY485" s="4"/>
      <x:c r="EZ485" s="4"/>
      <x:c r="FA485" s="4"/>
      <x:c r="FB485" s="4"/>
      <x:c r="FC485" s="4"/>
      <x:c r="FD485" s="4"/>
      <x:c r="FE485" s="4"/>
      <x:c r="FF485" s="4"/>
      <x:c r="FG485" s="4"/>
      <x:c r="FH485" s="4"/>
      <x:c r="FI485" s="4"/>
      <x:c r="FJ485" s="4"/>
      <x:c r="FK485" s="4"/>
      <x:c r="FL485" s="4"/>
      <x:c r="FM485" s="4"/>
      <x:c r="FN485" s="4"/>
      <x:c r="FO485" s="4"/>
    </x:row>
    <x:row r="486">
      <x:c r="A486" s="72"/>
      <x:c r="B486" s="72"/>
      <x:c r="C486" s="72"/>
      <x:c r="D486" s="72"/>
      <x:c r="E486" s="72"/>
      <x:c r="F486" s="72"/>
      <x:c r="G486" s="72"/>
      <x:c r="H486" s="72"/>
      <x:c r="I486" s="72"/>
      <x:c r="J486" s="72"/>
      <x:c r="K486" s="72"/>
      <x:c r="L486" s="72"/>
      <x:c r="M486" s="72"/>
      <x:c r="N486" s="72"/>
      <x:c r="O486" s="72"/>
      <x:c r="P486" s="72"/>
      <x:c r="Q486" s="72"/>
      <x:c r="R486" s="72"/>
      <x:c r="S486" s="72"/>
      <x:c r="T486" s="72"/>
      <x:c r="U486" s="72"/>
      <x:c r="V486" s="72"/>
      <x:c r="W486" s="72"/>
      <x:c r="X486" s="72"/>
      <x:c r="Y486" s="72"/>
      <x:c r="Z486" s="72"/>
      <x:c r="AA486" s="72"/>
      <x:c r="AB486" s="72"/>
      <x:c r="AC486" s="72"/>
      <x:c r="AD486" s="72"/>
      <x:c r="AE486" s="72"/>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x:c r="BN486" s="4"/>
      <x:c r="BO486" s="4"/>
      <x:c r="BP486" s="4"/>
      <x:c r="BQ486" s="4"/>
      <x:c r="BR486" s="4"/>
      <x:c r="BS486" s="4"/>
      <x:c r="BT486" s="4"/>
      <x:c r="BU486" s="4"/>
      <x:c r="BV486" s="4"/>
      <x:c r="BW486" s="4"/>
      <x:c r="BX486" s="4"/>
      <x:c r="BY486" s="4"/>
      <x:c r="BZ486" s="4"/>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x:c r="DB486" s="4"/>
      <x:c r="DC486" s="4"/>
      <x:c r="DD486" s="4"/>
      <x:c r="DE486" s="4"/>
      <x:c r="DF486" s="4"/>
      <x:c r="DG486" s="4"/>
      <x:c r="DH486" s="4"/>
      <x:c r="DI486" s="4"/>
      <x:c r="DJ486" s="4"/>
      <x:c r="DK486" s="4"/>
      <x:c r="DL486" s="4"/>
      <x:c r="DM486" s="4"/>
      <x:c r="DN486" s="4"/>
      <x:c r="DO486" s="4"/>
      <x:c r="DP486" s="4"/>
      <x:c r="DQ486" s="4"/>
      <x:c r="DR486" s="4"/>
      <x:c r="DS486" s="4"/>
      <x:c r="DT486" s="4"/>
      <x:c r="DU486" s="4"/>
      <x:c r="DV486" s="4"/>
      <x:c r="DW486" s="4"/>
      <x:c r="DX486" s="4"/>
      <x:c r="DY486" s="4"/>
      <x:c r="DZ486" s="4"/>
      <x:c r="EA486" s="4"/>
      <x:c r="EB486" s="4"/>
      <x:c r="EC486" s="4"/>
      <x:c r="ED486" s="4"/>
      <x:c r="EE486" s="4"/>
      <x:c r="EF486" s="4"/>
      <x:c r="EG486" s="4"/>
      <x:c r="EH486" s="4"/>
      <x:c r="EI486" s="4"/>
      <x:c r="EJ486" s="4"/>
      <x:c r="EK486" s="4"/>
      <x:c r="EL486" s="4"/>
      <x:c r="EM486" s="4"/>
      <x:c r="EN486" s="4"/>
      <x:c r="EO486" s="4"/>
      <x:c r="EP486" s="4"/>
      <x:c r="EQ486" s="4"/>
      <x:c r="ER486" s="4"/>
      <x:c r="ES486" s="4"/>
      <x:c r="ET486" s="4"/>
      <x:c r="EU486" s="4"/>
      <x:c r="EV486" s="4"/>
      <x:c r="EW486" s="4"/>
      <x:c r="EX486" s="4"/>
      <x:c r="EY486" s="4"/>
      <x:c r="EZ486" s="4"/>
      <x:c r="FA486" s="4"/>
      <x:c r="FB486" s="4"/>
      <x:c r="FC486" s="4"/>
      <x:c r="FD486" s="4"/>
      <x:c r="FE486" s="4"/>
      <x:c r="FF486" s="4"/>
      <x:c r="FG486" s="4"/>
      <x:c r="FH486" s="4"/>
      <x:c r="FI486" s="4"/>
      <x:c r="FJ486" s="4"/>
      <x:c r="FK486" s="4"/>
      <x:c r="FL486" s="4"/>
      <x:c r="FM486" s="4"/>
      <x:c r="FN486" s="4"/>
      <x:c r="FO486" s="4"/>
    </x:row>
    <x:row r="487">
      <x:c r="A487" s="72"/>
      <x:c r="B487" s="72"/>
      <x:c r="C487" s="72"/>
      <x:c r="D487" s="72"/>
      <x:c r="E487" s="72"/>
      <x:c r="F487" s="72"/>
      <x:c r="G487" s="72"/>
      <x:c r="H487" s="72"/>
      <x:c r="I487" s="72"/>
      <x:c r="J487" s="72"/>
      <x:c r="K487" s="72"/>
      <x:c r="L487" s="72"/>
      <x:c r="M487" s="72"/>
      <x:c r="N487" s="72"/>
      <x:c r="O487" s="72"/>
      <x:c r="P487" s="72"/>
      <x:c r="Q487" s="72"/>
      <x:c r="R487" s="72"/>
      <x:c r="S487" s="72"/>
      <x:c r="T487" s="72"/>
      <x:c r="U487" s="72"/>
      <x:c r="V487" s="72"/>
      <x:c r="W487" s="72"/>
      <x:c r="X487" s="72"/>
      <x:c r="Y487" s="72"/>
      <x:c r="Z487" s="72"/>
      <x:c r="AA487" s="72"/>
      <x:c r="AB487" s="72"/>
      <x:c r="AC487" s="72"/>
      <x:c r="AD487" s="72"/>
      <x:c r="AE487" s="72"/>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x:c r="BN487" s="4"/>
      <x:c r="BO487" s="4"/>
      <x:c r="BP487" s="4"/>
      <x:c r="BQ487" s="4"/>
      <x:c r="BR487" s="4"/>
      <x:c r="BS487" s="4"/>
      <x:c r="BT487" s="4"/>
      <x:c r="BU487" s="4"/>
      <x:c r="BV487" s="4"/>
      <x:c r="BW487" s="4"/>
      <x:c r="BX487" s="4"/>
      <x:c r="BY487" s="4"/>
      <x:c r="BZ487" s="4"/>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x:c r="DB487" s="4"/>
      <x:c r="DC487" s="4"/>
      <x:c r="DD487" s="4"/>
      <x:c r="DE487" s="4"/>
      <x:c r="DF487" s="4"/>
      <x:c r="DG487" s="4"/>
      <x:c r="DH487" s="4"/>
      <x:c r="DI487" s="4"/>
      <x:c r="DJ487" s="4"/>
      <x:c r="DK487" s="4"/>
      <x:c r="DL487" s="4"/>
      <x:c r="DM487" s="4"/>
      <x:c r="DN487" s="4"/>
      <x:c r="DO487" s="4"/>
      <x:c r="DP487" s="4"/>
      <x:c r="DQ487" s="4"/>
      <x:c r="DR487" s="4"/>
      <x:c r="DS487" s="4"/>
      <x:c r="DT487" s="4"/>
      <x:c r="DU487" s="4"/>
      <x:c r="DV487" s="4"/>
      <x:c r="DW487" s="4"/>
      <x:c r="DX487" s="4"/>
      <x:c r="DY487" s="4"/>
      <x:c r="DZ487" s="4"/>
      <x:c r="EA487" s="4"/>
      <x:c r="EB487" s="4"/>
      <x:c r="EC487" s="4"/>
      <x:c r="ED487" s="4"/>
      <x:c r="EE487" s="4"/>
      <x:c r="EF487" s="4"/>
      <x:c r="EG487" s="4"/>
      <x:c r="EH487" s="4"/>
      <x:c r="EI487" s="4"/>
      <x:c r="EJ487" s="4"/>
      <x:c r="EK487" s="4"/>
      <x:c r="EL487" s="4"/>
      <x:c r="EM487" s="4"/>
      <x:c r="EN487" s="4"/>
      <x:c r="EO487" s="4"/>
      <x:c r="EP487" s="4"/>
      <x:c r="EQ487" s="4"/>
      <x:c r="ER487" s="4"/>
      <x:c r="ES487" s="4"/>
      <x:c r="ET487" s="4"/>
      <x:c r="EU487" s="4"/>
      <x:c r="EV487" s="4"/>
      <x:c r="EW487" s="4"/>
      <x:c r="EX487" s="4"/>
      <x:c r="EY487" s="4"/>
      <x:c r="EZ487" s="4"/>
      <x:c r="FA487" s="4"/>
      <x:c r="FB487" s="4"/>
      <x:c r="FC487" s="4"/>
      <x:c r="FD487" s="4"/>
      <x:c r="FE487" s="4"/>
      <x:c r="FF487" s="4"/>
      <x:c r="FG487" s="4"/>
      <x:c r="FH487" s="4"/>
      <x:c r="FI487" s="4"/>
      <x:c r="FJ487" s="4"/>
      <x:c r="FK487" s="4"/>
      <x:c r="FL487" s="4"/>
      <x:c r="FM487" s="4"/>
      <x:c r="FN487" s="4"/>
      <x:c r="FO487" s="4"/>
    </x:row>
    <x:row r="488">
      <x:c r="A488" s="72"/>
      <x:c r="B488" s="72"/>
      <x:c r="C488" s="72"/>
      <x:c r="D488" s="72"/>
      <x:c r="E488" s="72"/>
      <x:c r="F488" s="72"/>
      <x:c r="G488" s="72"/>
      <x:c r="H488" s="72"/>
      <x:c r="I488" s="72"/>
      <x:c r="J488" s="72"/>
      <x:c r="K488" s="72"/>
      <x:c r="L488" s="72"/>
      <x:c r="M488" s="72"/>
      <x:c r="N488" s="72"/>
      <x:c r="O488" s="72"/>
      <x:c r="P488" s="72"/>
      <x:c r="Q488" s="72"/>
      <x:c r="R488" s="72"/>
      <x:c r="S488" s="72"/>
      <x:c r="T488" s="72"/>
      <x:c r="U488" s="72"/>
      <x:c r="V488" s="72"/>
      <x:c r="W488" s="72"/>
      <x:c r="X488" s="72"/>
      <x:c r="Y488" s="72"/>
      <x:c r="Z488" s="72"/>
      <x:c r="AA488" s="72"/>
      <x:c r="AB488" s="72"/>
      <x:c r="AC488" s="72"/>
      <x:c r="AD488" s="72"/>
      <x:c r="AE488" s="72"/>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x:c r="BN488" s="4"/>
      <x:c r="BO488" s="4"/>
      <x:c r="BP488" s="4"/>
      <x:c r="BQ488" s="4"/>
      <x:c r="BR488" s="4"/>
      <x:c r="BS488" s="4"/>
      <x:c r="BT488" s="4"/>
      <x:c r="BU488" s="4"/>
      <x:c r="BV488" s="4"/>
      <x:c r="BW488" s="4"/>
      <x:c r="BX488" s="4"/>
      <x:c r="BY488" s="4"/>
      <x:c r="BZ488" s="4"/>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x:c r="DB488" s="4"/>
      <x:c r="DC488" s="4"/>
      <x:c r="DD488" s="4"/>
      <x:c r="DE488" s="4"/>
      <x:c r="DF488" s="4"/>
      <x:c r="DG488" s="4"/>
      <x:c r="DH488" s="4"/>
      <x:c r="DI488" s="4"/>
      <x:c r="DJ488" s="4"/>
      <x:c r="DK488" s="4"/>
      <x:c r="DL488" s="4"/>
      <x:c r="DM488" s="4"/>
      <x:c r="DN488" s="4"/>
      <x:c r="DO488" s="4"/>
      <x:c r="DP488" s="4"/>
      <x:c r="DQ488" s="4"/>
      <x:c r="DR488" s="4"/>
      <x:c r="DS488" s="4"/>
      <x:c r="DT488" s="4"/>
      <x:c r="DU488" s="4"/>
      <x:c r="DV488" s="4"/>
      <x:c r="DW488" s="4"/>
      <x:c r="DX488" s="4"/>
      <x:c r="DY488" s="4"/>
      <x:c r="DZ488" s="4"/>
      <x:c r="EA488" s="4"/>
      <x:c r="EB488" s="4"/>
      <x:c r="EC488" s="4"/>
      <x:c r="ED488" s="4"/>
      <x:c r="EE488" s="4"/>
      <x:c r="EF488" s="4"/>
      <x:c r="EG488" s="4"/>
      <x:c r="EH488" s="4"/>
      <x:c r="EI488" s="4"/>
      <x:c r="EJ488" s="4"/>
      <x:c r="EK488" s="4"/>
      <x:c r="EL488" s="4"/>
      <x:c r="EM488" s="4"/>
      <x:c r="EN488" s="4"/>
      <x:c r="EO488" s="4"/>
      <x:c r="EP488" s="4"/>
      <x:c r="EQ488" s="4"/>
      <x:c r="ER488" s="4"/>
      <x:c r="ES488" s="4"/>
      <x:c r="ET488" s="4"/>
      <x:c r="EU488" s="4"/>
      <x:c r="EV488" s="4"/>
      <x:c r="EW488" s="4"/>
      <x:c r="EX488" s="4"/>
      <x:c r="EY488" s="4"/>
      <x:c r="EZ488" s="4"/>
      <x:c r="FA488" s="4"/>
      <x:c r="FB488" s="4"/>
      <x:c r="FC488" s="4"/>
      <x:c r="FD488" s="4"/>
      <x:c r="FE488" s="4"/>
      <x:c r="FF488" s="4"/>
      <x:c r="FG488" s="4"/>
      <x:c r="FH488" s="4"/>
      <x:c r="FI488" s="4"/>
      <x:c r="FJ488" s="4"/>
      <x:c r="FK488" s="4"/>
      <x:c r="FL488" s="4"/>
      <x:c r="FM488" s="4"/>
      <x:c r="FN488" s="4"/>
      <x:c r="FO488" s="4"/>
    </x:row>
    <x:row r="489">
      <x:c r="A489" s="72"/>
      <x:c r="B489" s="72"/>
      <x:c r="C489" s="72"/>
      <x:c r="D489" s="72"/>
      <x:c r="E489" s="72"/>
      <x:c r="F489" s="72"/>
      <x:c r="G489" s="72"/>
      <x:c r="H489" s="72"/>
      <x:c r="I489" s="72"/>
      <x:c r="J489" s="72"/>
      <x:c r="K489" s="72"/>
      <x:c r="L489" s="72"/>
      <x:c r="M489" s="72"/>
      <x:c r="N489" s="72"/>
      <x:c r="O489" s="72"/>
      <x:c r="P489" s="72"/>
      <x:c r="Q489" s="72"/>
      <x:c r="R489" s="72"/>
      <x:c r="S489" s="72"/>
      <x:c r="T489" s="72"/>
      <x:c r="U489" s="72"/>
      <x:c r="V489" s="72"/>
      <x:c r="W489" s="72"/>
      <x:c r="X489" s="72"/>
      <x:c r="Y489" s="72"/>
      <x:c r="Z489" s="72"/>
      <x:c r="AA489" s="72"/>
      <x:c r="AB489" s="72"/>
      <x:c r="AC489" s="72"/>
      <x:c r="AD489" s="72"/>
      <x:c r="AE489" s="72"/>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x:c r="BN489" s="4"/>
      <x:c r="BO489" s="4"/>
      <x:c r="BP489" s="4"/>
      <x:c r="BQ489" s="4"/>
      <x:c r="BR489" s="4"/>
      <x:c r="BS489" s="4"/>
      <x:c r="BT489" s="4"/>
      <x:c r="BU489" s="4"/>
      <x:c r="BV489" s="4"/>
      <x:c r="BW489" s="4"/>
      <x:c r="BX489" s="4"/>
      <x:c r="BY489" s="4"/>
      <x:c r="BZ489" s="4"/>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x:c r="DB489" s="4"/>
      <x:c r="DC489" s="4"/>
      <x:c r="DD489" s="4"/>
      <x:c r="DE489" s="4"/>
      <x:c r="DF489" s="4"/>
      <x:c r="DG489" s="4"/>
      <x:c r="DH489" s="4"/>
      <x:c r="DI489" s="4"/>
      <x:c r="DJ489" s="4"/>
      <x:c r="DK489" s="4"/>
      <x:c r="DL489" s="4"/>
      <x:c r="DM489" s="4"/>
      <x:c r="DN489" s="4"/>
      <x:c r="DO489" s="4"/>
      <x:c r="DP489" s="4"/>
      <x:c r="DQ489" s="4"/>
      <x:c r="DR489" s="4"/>
      <x:c r="DS489" s="4"/>
      <x:c r="DT489" s="4"/>
      <x:c r="DU489" s="4"/>
      <x:c r="DV489" s="4"/>
      <x:c r="DW489" s="4"/>
      <x:c r="DX489" s="4"/>
      <x:c r="DY489" s="4"/>
      <x:c r="DZ489" s="4"/>
      <x:c r="EA489" s="4"/>
      <x:c r="EB489" s="4"/>
      <x:c r="EC489" s="4"/>
      <x:c r="ED489" s="4"/>
      <x:c r="EE489" s="4"/>
      <x:c r="EF489" s="4"/>
      <x:c r="EG489" s="4"/>
      <x:c r="EH489" s="4"/>
      <x:c r="EI489" s="4"/>
      <x:c r="EJ489" s="4"/>
      <x:c r="EK489" s="4"/>
      <x:c r="EL489" s="4"/>
      <x:c r="EM489" s="4"/>
      <x:c r="EN489" s="4"/>
      <x:c r="EO489" s="4"/>
      <x:c r="EP489" s="4"/>
      <x:c r="EQ489" s="4"/>
      <x:c r="ER489" s="4"/>
      <x:c r="ES489" s="4"/>
      <x:c r="ET489" s="4"/>
      <x:c r="EU489" s="4"/>
      <x:c r="EV489" s="4"/>
      <x:c r="EW489" s="4"/>
      <x:c r="EX489" s="4"/>
      <x:c r="EY489" s="4"/>
      <x:c r="EZ489" s="4"/>
      <x:c r="FA489" s="4"/>
      <x:c r="FB489" s="4"/>
      <x:c r="FC489" s="4"/>
      <x:c r="FD489" s="4"/>
      <x:c r="FE489" s="4"/>
      <x:c r="FF489" s="4"/>
      <x:c r="FG489" s="4"/>
      <x:c r="FH489" s="4"/>
      <x:c r="FI489" s="4"/>
      <x:c r="FJ489" s="4"/>
      <x:c r="FK489" s="4"/>
      <x:c r="FL489" s="4"/>
      <x:c r="FM489" s="4"/>
      <x:c r="FN489" s="4"/>
      <x:c r="FO489" s="4"/>
    </x:row>
    <x:row r="490">
      <x:c r="A490" s="72"/>
      <x:c r="B490" s="72"/>
      <x:c r="C490" s="72"/>
      <x:c r="D490" s="72"/>
      <x:c r="E490" s="72"/>
      <x:c r="F490" s="72"/>
      <x:c r="G490" s="72"/>
      <x:c r="H490" s="72"/>
      <x:c r="I490" s="72"/>
      <x:c r="J490" s="72"/>
      <x:c r="K490" s="72"/>
      <x:c r="L490" s="72"/>
      <x:c r="M490" s="72"/>
      <x:c r="N490" s="72"/>
      <x:c r="O490" s="72"/>
      <x:c r="P490" s="72"/>
      <x:c r="Q490" s="72"/>
      <x:c r="R490" s="72"/>
      <x:c r="S490" s="72"/>
      <x:c r="T490" s="72"/>
      <x:c r="U490" s="72"/>
      <x:c r="V490" s="72"/>
      <x:c r="W490" s="72"/>
      <x:c r="X490" s="72"/>
      <x:c r="Y490" s="72"/>
      <x:c r="Z490" s="72"/>
      <x:c r="AA490" s="72"/>
      <x:c r="AB490" s="72"/>
      <x:c r="AC490" s="72"/>
      <x:c r="AD490" s="72"/>
      <x:c r="AE490" s="72"/>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x:c r="BN490" s="4"/>
      <x:c r="BO490" s="4"/>
      <x:c r="BP490" s="4"/>
      <x:c r="BQ490" s="4"/>
      <x:c r="BR490" s="4"/>
      <x:c r="BS490" s="4"/>
      <x:c r="BT490" s="4"/>
      <x:c r="BU490" s="4"/>
      <x:c r="BV490" s="4"/>
      <x:c r="BW490" s="4"/>
      <x:c r="BX490" s="4"/>
      <x:c r="BY490" s="4"/>
      <x:c r="BZ490" s="4"/>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x:c r="DB490" s="4"/>
      <x:c r="DC490" s="4"/>
      <x:c r="DD490" s="4"/>
      <x:c r="DE490" s="4"/>
      <x:c r="DF490" s="4"/>
      <x:c r="DG490" s="4"/>
      <x:c r="DH490" s="4"/>
      <x:c r="DI490" s="4"/>
      <x:c r="DJ490" s="4"/>
      <x:c r="DK490" s="4"/>
      <x:c r="DL490" s="4"/>
      <x:c r="DM490" s="4"/>
      <x:c r="DN490" s="4"/>
      <x:c r="DO490" s="4"/>
      <x:c r="DP490" s="4"/>
      <x:c r="DQ490" s="4"/>
      <x:c r="DR490" s="4"/>
      <x:c r="DS490" s="4"/>
      <x:c r="DT490" s="4"/>
      <x:c r="DU490" s="4"/>
      <x:c r="DV490" s="4"/>
      <x:c r="DW490" s="4"/>
      <x:c r="DX490" s="4"/>
      <x:c r="DY490" s="4"/>
      <x:c r="DZ490" s="4"/>
      <x:c r="EA490" s="4"/>
      <x:c r="EB490" s="4"/>
      <x:c r="EC490" s="4"/>
      <x:c r="ED490" s="4"/>
      <x:c r="EE490" s="4"/>
      <x:c r="EF490" s="4"/>
      <x:c r="EG490" s="4"/>
      <x:c r="EH490" s="4"/>
      <x:c r="EI490" s="4"/>
      <x:c r="EJ490" s="4"/>
      <x:c r="EK490" s="4"/>
      <x:c r="EL490" s="4"/>
      <x:c r="EM490" s="4"/>
      <x:c r="EN490" s="4"/>
      <x:c r="EO490" s="4"/>
      <x:c r="EP490" s="4"/>
      <x:c r="EQ490" s="4"/>
      <x:c r="ER490" s="4"/>
      <x:c r="ES490" s="4"/>
      <x:c r="ET490" s="4"/>
      <x:c r="EU490" s="4"/>
      <x:c r="EV490" s="4"/>
      <x:c r="EW490" s="4"/>
      <x:c r="EX490" s="4"/>
      <x:c r="EY490" s="4"/>
      <x:c r="EZ490" s="4"/>
      <x:c r="FA490" s="4"/>
      <x:c r="FB490" s="4"/>
      <x:c r="FC490" s="4"/>
      <x:c r="FD490" s="4"/>
      <x:c r="FE490" s="4"/>
      <x:c r="FF490" s="4"/>
      <x:c r="FG490" s="4"/>
      <x:c r="FH490" s="4"/>
      <x:c r="FI490" s="4"/>
      <x:c r="FJ490" s="4"/>
      <x:c r="FK490" s="4"/>
      <x:c r="FL490" s="4"/>
      <x:c r="FM490" s="4"/>
      <x:c r="FN490" s="4"/>
      <x:c r="FO490" s="4"/>
    </x:row>
    <x:row r="491">
      <x:c r="A491" s="72"/>
      <x:c r="B491" s="72"/>
      <x:c r="C491" s="72"/>
      <x:c r="D491" s="72"/>
      <x:c r="E491" s="72"/>
      <x:c r="F491" s="72"/>
      <x:c r="G491" s="72"/>
      <x:c r="H491" s="72"/>
      <x:c r="I491" s="72"/>
      <x:c r="J491" s="72"/>
      <x:c r="K491" s="72"/>
      <x:c r="L491" s="72"/>
      <x:c r="M491" s="72"/>
      <x:c r="N491" s="72"/>
      <x:c r="O491" s="72"/>
      <x:c r="P491" s="72"/>
      <x:c r="Q491" s="72"/>
      <x:c r="R491" s="72"/>
      <x:c r="S491" s="72"/>
      <x:c r="T491" s="72"/>
      <x:c r="U491" s="72"/>
      <x:c r="V491" s="72"/>
      <x:c r="W491" s="72"/>
      <x:c r="X491" s="72"/>
      <x:c r="Y491" s="72"/>
      <x:c r="Z491" s="72"/>
      <x:c r="AA491" s="72"/>
      <x:c r="AB491" s="72"/>
      <x:c r="AC491" s="72"/>
      <x:c r="AD491" s="72"/>
      <x:c r="AE491" s="72"/>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x:c r="BN491" s="4"/>
      <x:c r="BO491" s="4"/>
      <x:c r="BP491" s="4"/>
      <x:c r="BQ491" s="4"/>
      <x:c r="BR491" s="4"/>
      <x:c r="BS491" s="4"/>
      <x:c r="BT491" s="4"/>
      <x:c r="BU491" s="4"/>
      <x:c r="BV491" s="4"/>
      <x:c r="BW491" s="4"/>
      <x:c r="BX491" s="4"/>
      <x:c r="BY491" s="4"/>
      <x:c r="BZ491" s="4"/>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x:c r="DB491" s="4"/>
      <x:c r="DC491" s="4"/>
      <x:c r="DD491" s="4"/>
      <x:c r="DE491" s="4"/>
      <x:c r="DF491" s="4"/>
      <x:c r="DG491" s="4"/>
      <x:c r="DH491" s="4"/>
      <x:c r="DI491" s="4"/>
      <x:c r="DJ491" s="4"/>
      <x:c r="DK491" s="4"/>
      <x:c r="DL491" s="4"/>
      <x:c r="DM491" s="4"/>
      <x:c r="DN491" s="4"/>
      <x:c r="DO491" s="4"/>
      <x:c r="DP491" s="4"/>
      <x:c r="DQ491" s="4"/>
      <x:c r="DR491" s="4"/>
      <x:c r="DS491" s="4"/>
      <x:c r="DT491" s="4"/>
      <x:c r="DU491" s="4"/>
      <x:c r="DV491" s="4"/>
      <x:c r="DW491" s="4"/>
      <x:c r="DX491" s="4"/>
      <x:c r="DY491" s="4"/>
      <x:c r="DZ491" s="4"/>
      <x:c r="EA491" s="4"/>
      <x:c r="EB491" s="4"/>
      <x:c r="EC491" s="4"/>
      <x:c r="ED491" s="4"/>
      <x:c r="EE491" s="4"/>
      <x:c r="EF491" s="4"/>
      <x:c r="EG491" s="4"/>
      <x:c r="EH491" s="4"/>
      <x:c r="EI491" s="4"/>
      <x:c r="EJ491" s="4"/>
      <x:c r="EK491" s="4"/>
      <x:c r="EL491" s="4"/>
      <x:c r="EM491" s="4"/>
      <x:c r="EN491" s="4"/>
      <x:c r="EO491" s="4"/>
      <x:c r="EP491" s="4"/>
      <x:c r="EQ491" s="4"/>
      <x:c r="ER491" s="4"/>
      <x:c r="ES491" s="4"/>
      <x:c r="ET491" s="4"/>
      <x:c r="EU491" s="4"/>
      <x:c r="EV491" s="4"/>
      <x:c r="EW491" s="4"/>
      <x:c r="EX491" s="4"/>
      <x:c r="EY491" s="4"/>
      <x:c r="EZ491" s="4"/>
      <x:c r="FA491" s="4"/>
      <x:c r="FB491" s="4"/>
      <x:c r="FC491" s="4"/>
      <x:c r="FD491" s="4"/>
      <x:c r="FE491" s="4"/>
      <x:c r="FF491" s="4"/>
      <x:c r="FG491" s="4"/>
      <x:c r="FH491" s="4"/>
      <x:c r="FI491" s="4"/>
      <x:c r="FJ491" s="4"/>
      <x:c r="FK491" s="4"/>
      <x:c r="FL491" s="4"/>
      <x:c r="FM491" s="4"/>
      <x:c r="FN491" s="4"/>
      <x:c r="FO491" s="4"/>
    </x:row>
    <x:row r="492">
      <x:c r="A492" s="72"/>
      <x:c r="B492" s="72"/>
      <x:c r="C492" s="72"/>
      <x:c r="D492" s="72"/>
      <x:c r="E492" s="72"/>
      <x:c r="F492" s="72"/>
      <x:c r="G492" s="72"/>
      <x:c r="H492" s="72"/>
      <x:c r="I492" s="72"/>
      <x:c r="J492" s="72"/>
      <x:c r="K492" s="72"/>
      <x:c r="L492" s="72"/>
      <x:c r="M492" s="72"/>
      <x:c r="N492" s="72"/>
      <x:c r="O492" s="72"/>
      <x:c r="P492" s="72"/>
      <x:c r="Q492" s="72"/>
      <x:c r="R492" s="72"/>
      <x:c r="S492" s="72"/>
      <x:c r="T492" s="72"/>
      <x:c r="U492" s="72"/>
      <x:c r="V492" s="72"/>
      <x:c r="W492" s="72"/>
      <x:c r="X492" s="72"/>
      <x:c r="Y492" s="72"/>
      <x:c r="Z492" s="72"/>
      <x:c r="AA492" s="72"/>
      <x:c r="AB492" s="72"/>
      <x:c r="AC492" s="72"/>
      <x:c r="AD492" s="72"/>
      <x:c r="AE492" s="72"/>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x:c r="BN492" s="4"/>
      <x:c r="BO492" s="4"/>
      <x:c r="BP492" s="4"/>
      <x:c r="BQ492" s="4"/>
      <x:c r="BR492" s="4"/>
      <x:c r="BS492" s="4"/>
      <x:c r="BT492" s="4"/>
      <x:c r="BU492" s="4"/>
      <x:c r="BV492" s="4"/>
      <x:c r="BW492" s="4"/>
      <x:c r="BX492" s="4"/>
      <x:c r="BY492" s="4"/>
      <x:c r="BZ492" s="4"/>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x:c r="DB492" s="4"/>
      <x:c r="DC492" s="4"/>
      <x:c r="DD492" s="4"/>
      <x:c r="DE492" s="4"/>
      <x:c r="DF492" s="4"/>
      <x:c r="DG492" s="4"/>
      <x:c r="DH492" s="4"/>
      <x:c r="DI492" s="4"/>
      <x:c r="DJ492" s="4"/>
      <x:c r="DK492" s="4"/>
      <x:c r="DL492" s="4"/>
      <x:c r="DM492" s="4"/>
      <x:c r="DN492" s="4"/>
      <x:c r="DO492" s="4"/>
      <x:c r="DP492" s="4"/>
      <x:c r="DQ492" s="4"/>
      <x:c r="DR492" s="4"/>
      <x:c r="DS492" s="4"/>
      <x:c r="DT492" s="4"/>
      <x:c r="DU492" s="4"/>
      <x:c r="DV492" s="4"/>
      <x:c r="DW492" s="4"/>
      <x:c r="DX492" s="4"/>
      <x:c r="DY492" s="4"/>
      <x:c r="DZ492" s="4"/>
      <x:c r="EA492" s="4"/>
      <x:c r="EB492" s="4"/>
      <x:c r="EC492" s="4"/>
      <x:c r="ED492" s="4"/>
      <x:c r="EE492" s="4"/>
      <x:c r="EF492" s="4"/>
      <x:c r="EG492" s="4"/>
      <x:c r="EH492" s="4"/>
      <x:c r="EI492" s="4"/>
      <x:c r="EJ492" s="4"/>
      <x:c r="EK492" s="4"/>
      <x:c r="EL492" s="4"/>
      <x:c r="EM492" s="4"/>
      <x:c r="EN492" s="4"/>
      <x:c r="EO492" s="4"/>
      <x:c r="EP492" s="4"/>
      <x:c r="EQ492" s="4"/>
      <x:c r="ER492" s="4"/>
      <x:c r="ES492" s="4"/>
      <x:c r="ET492" s="4"/>
      <x:c r="EU492" s="4"/>
      <x:c r="EV492" s="4"/>
      <x:c r="EW492" s="4"/>
      <x:c r="EX492" s="4"/>
      <x:c r="EY492" s="4"/>
      <x:c r="EZ492" s="4"/>
      <x:c r="FA492" s="4"/>
      <x:c r="FB492" s="4"/>
      <x:c r="FC492" s="4"/>
      <x:c r="FD492" s="4"/>
      <x:c r="FE492" s="4"/>
      <x:c r="FF492" s="4"/>
      <x:c r="FG492" s="4"/>
      <x:c r="FH492" s="4"/>
      <x:c r="FI492" s="4"/>
      <x:c r="FJ492" s="4"/>
      <x:c r="FK492" s="4"/>
      <x:c r="FL492" s="4"/>
      <x:c r="FM492" s="4"/>
      <x:c r="FN492" s="4"/>
      <x:c r="FO492" s="4"/>
    </x:row>
    <x:row r="493">
      <x:c r="A493" s="72"/>
      <x:c r="B493" s="72"/>
      <x:c r="C493" s="72"/>
      <x:c r="D493" s="72"/>
      <x:c r="E493" s="72"/>
      <x:c r="F493" s="72"/>
      <x:c r="G493" s="72"/>
      <x:c r="H493" s="72"/>
      <x:c r="I493" s="72"/>
      <x:c r="J493" s="72"/>
      <x:c r="K493" s="72"/>
      <x:c r="L493" s="72"/>
      <x:c r="M493" s="72"/>
      <x:c r="N493" s="72"/>
      <x:c r="O493" s="72"/>
      <x:c r="P493" s="72"/>
      <x:c r="Q493" s="72"/>
      <x:c r="R493" s="72"/>
      <x:c r="S493" s="72"/>
      <x:c r="T493" s="72"/>
      <x:c r="U493" s="72"/>
      <x:c r="V493" s="72"/>
      <x:c r="W493" s="72"/>
      <x:c r="X493" s="72"/>
      <x:c r="Y493" s="72"/>
      <x:c r="Z493" s="72"/>
      <x:c r="AA493" s="72"/>
      <x:c r="AB493" s="72"/>
      <x:c r="AC493" s="72"/>
      <x:c r="AD493" s="72"/>
      <x:c r="AE493" s="72"/>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x:c r="BN493" s="4"/>
      <x:c r="BO493" s="4"/>
      <x:c r="BP493" s="4"/>
      <x:c r="BQ493" s="4"/>
      <x:c r="BR493" s="4"/>
      <x:c r="BS493" s="4"/>
      <x:c r="BT493" s="4"/>
      <x:c r="BU493" s="4"/>
      <x:c r="BV493" s="4"/>
      <x:c r="BW493" s="4"/>
      <x:c r="BX493" s="4"/>
      <x:c r="BY493" s="4"/>
      <x:c r="BZ493" s="4"/>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x:c r="DB493" s="4"/>
      <x:c r="DC493" s="4"/>
      <x:c r="DD493" s="4"/>
      <x:c r="DE493" s="4"/>
      <x:c r="DF493" s="4"/>
      <x:c r="DG493" s="4"/>
      <x:c r="DH493" s="4"/>
      <x:c r="DI493" s="4"/>
      <x:c r="DJ493" s="4"/>
      <x:c r="DK493" s="4"/>
      <x:c r="DL493" s="4"/>
      <x:c r="DM493" s="4"/>
      <x:c r="DN493" s="4"/>
      <x:c r="DO493" s="4"/>
      <x:c r="DP493" s="4"/>
      <x:c r="DQ493" s="4"/>
      <x:c r="DR493" s="4"/>
      <x:c r="DS493" s="4"/>
      <x:c r="DT493" s="4"/>
      <x:c r="DU493" s="4"/>
      <x:c r="DV493" s="4"/>
      <x:c r="DW493" s="4"/>
      <x:c r="DX493" s="4"/>
      <x:c r="DY493" s="4"/>
      <x:c r="DZ493" s="4"/>
      <x:c r="EA493" s="4"/>
      <x:c r="EB493" s="4"/>
      <x:c r="EC493" s="4"/>
      <x:c r="ED493" s="4"/>
      <x:c r="EE493" s="4"/>
      <x:c r="EF493" s="4"/>
      <x:c r="EG493" s="4"/>
      <x:c r="EH493" s="4"/>
      <x:c r="EI493" s="4"/>
      <x:c r="EJ493" s="4"/>
      <x:c r="EK493" s="4"/>
      <x:c r="EL493" s="4"/>
      <x:c r="EM493" s="4"/>
      <x:c r="EN493" s="4"/>
      <x:c r="EO493" s="4"/>
      <x:c r="EP493" s="4"/>
      <x:c r="EQ493" s="4"/>
      <x:c r="ER493" s="4"/>
      <x:c r="ES493" s="4"/>
      <x:c r="ET493" s="4"/>
      <x:c r="EU493" s="4"/>
      <x:c r="EV493" s="4"/>
      <x:c r="EW493" s="4"/>
      <x:c r="EX493" s="4"/>
      <x:c r="EY493" s="4"/>
      <x:c r="EZ493" s="4"/>
      <x:c r="FA493" s="4"/>
      <x:c r="FB493" s="4"/>
      <x:c r="FC493" s="4"/>
      <x:c r="FD493" s="4"/>
      <x:c r="FE493" s="4"/>
      <x:c r="FF493" s="4"/>
      <x:c r="FG493" s="4"/>
      <x:c r="FH493" s="4"/>
      <x:c r="FI493" s="4"/>
      <x:c r="FJ493" s="4"/>
      <x:c r="FK493" s="4"/>
      <x:c r="FL493" s="4"/>
      <x:c r="FM493" s="4"/>
      <x:c r="FN493" s="4"/>
      <x:c r="FO493" s="4"/>
    </x:row>
    <x:row r="494">
      <x:c r="A494" s="72"/>
      <x:c r="B494" s="72"/>
      <x:c r="C494" s="72"/>
      <x:c r="D494" s="72"/>
      <x:c r="E494" s="72"/>
      <x:c r="F494" s="72"/>
      <x:c r="G494" s="72"/>
      <x:c r="H494" s="72"/>
      <x:c r="I494" s="72"/>
      <x:c r="J494" s="72"/>
      <x:c r="K494" s="72"/>
      <x:c r="L494" s="72"/>
      <x:c r="M494" s="72"/>
      <x:c r="N494" s="72"/>
      <x:c r="O494" s="72"/>
      <x:c r="P494" s="72"/>
      <x:c r="Q494" s="72"/>
      <x:c r="R494" s="72"/>
      <x:c r="S494" s="72"/>
      <x:c r="T494" s="72"/>
      <x:c r="U494" s="72"/>
      <x:c r="V494" s="72"/>
      <x:c r="W494" s="72"/>
      <x:c r="X494" s="72"/>
      <x:c r="Y494" s="72"/>
      <x:c r="Z494" s="72"/>
      <x:c r="AA494" s="72"/>
      <x:c r="AB494" s="72"/>
      <x:c r="AC494" s="72"/>
      <x:c r="AD494" s="72"/>
      <x:c r="AE494" s="72"/>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x:c r="BN494" s="4"/>
      <x:c r="BO494" s="4"/>
      <x:c r="BP494" s="4"/>
      <x:c r="BQ494" s="4"/>
      <x:c r="BR494" s="4"/>
      <x:c r="BS494" s="4"/>
      <x:c r="BT494" s="4"/>
      <x:c r="BU494" s="4"/>
      <x:c r="BV494" s="4"/>
      <x:c r="BW494" s="4"/>
      <x:c r="BX494" s="4"/>
      <x:c r="BY494" s="4"/>
      <x:c r="BZ494" s="4"/>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x:c r="DB494" s="4"/>
      <x:c r="DC494" s="4"/>
      <x:c r="DD494" s="4"/>
      <x:c r="DE494" s="4"/>
      <x:c r="DF494" s="4"/>
      <x:c r="DG494" s="4"/>
      <x:c r="DH494" s="4"/>
      <x:c r="DI494" s="4"/>
      <x:c r="DJ494" s="4"/>
      <x:c r="DK494" s="4"/>
      <x:c r="DL494" s="4"/>
      <x:c r="DM494" s="4"/>
      <x:c r="DN494" s="4"/>
      <x:c r="DO494" s="4"/>
      <x:c r="DP494" s="4"/>
      <x:c r="DQ494" s="4"/>
      <x:c r="DR494" s="4"/>
      <x:c r="DS494" s="4"/>
      <x:c r="DT494" s="4"/>
      <x:c r="DU494" s="4"/>
      <x:c r="DV494" s="4"/>
      <x:c r="DW494" s="4"/>
      <x:c r="DX494" s="4"/>
      <x:c r="DY494" s="4"/>
      <x:c r="DZ494" s="4"/>
      <x:c r="EA494" s="4"/>
      <x:c r="EB494" s="4"/>
      <x:c r="EC494" s="4"/>
      <x:c r="ED494" s="4"/>
      <x:c r="EE494" s="4"/>
      <x:c r="EF494" s="4"/>
      <x:c r="EG494" s="4"/>
      <x:c r="EH494" s="4"/>
      <x:c r="EI494" s="4"/>
      <x:c r="EJ494" s="4"/>
      <x:c r="EK494" s="4"/>
      <x:c r="EL494" s="4"/>
      <x:c r="EM494" s="4"/>
      <x:c r="EN494" s="4"/>
      <x:c r="EO494" s="4"/>
      <x:c r="EP494" s="4"/>
      <x:c r="EQ494" s="4"/>
      <x:c r="ER494" s="4"/>
      <x:c r="ES494" s="4"/>
      <x:c r="ET494" s="4"/>
      <x:c r="EU494" s="4"/>
      <x:c r="EV494" s="4"/>
      <x:c r="EW494" s="4"/>
      <x:c r="EX494" s="4"/>
      <x:c r="EY494" s="4"/>
      <x:c r="EZ494" s="4"/>
      <x:c r="FA494" s="4"/>
      <x:c r="FB494" s="4"/>
      <x:c r="FC494" s="4"/>
      <x:c r="FD494" s="4"/>
      <x:c r="FE494" s="4"/>
      <x:c r="FF494" s="4"/>
      <x:c r="FG494" s="4"/>
      <x:c r="FH494" s="4"/>
      <x:c r="FI494" s="4"/>
      <x:c r="FJ494" s="4"/>
      <x:c r="FK494" s="4"/>
      <x:c r="FL494" s="4"/>
      <x:c r="FM494" s="4"/>
      <x:c r="FN494" s="4"/>
      <x:c r="FO494" s="4"/>
    </x:row>
    <x:row r="495">
      <x:c r="A495" s="72"/>
      <x:c r="B495" s="72"/>
      <x:c r="C495" s="72"/>
      <x:c r="D495" s="72"/>
      <x:c r="E495" s="72"/>
      <x:c r="F495" s="72"/>
      <x:c r="G495" s="72"/>
      <x:c r="H495" s="72"/>
      <x:c r="I495" s="72"/>
      <x:c r="J495" s="72"/>
      <x:c r="K495" s="72"/>
      <x:c r="L495" s="72"/>
      <x:c r="M495" s="72"/>
      <x:c r="N495" s="72"/>
      <x:c r="O495" s="72"/>
      <x:c r="P495" s="72"/>
      <x:c r="Q495" s="72"/>
      <x:c r="R495" s="72"/>
      <x:c r="S495" s="72"/>
      <x:c r="T495" s="72"/>
      <x:c r="U495" s="72"/>
      <x:c r="V495" s="72"/>
      <x:c r="W495" s="72"/>
      <x:c r="X495" s="72"/>
      <x:c r="Y495" s="72"/>
      <x:c r="Z495" s="72"/>
      <x:c r="AA495" s="72"/>
      <x:c r="AB495" s="72"/>
      <x:c r="AC495" s="72"/>
      <x:c r="AD495" s="72"/>
      <x:c r="AE495" s="72"/>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x:c r="BN495" s="4"/>
      <x:c r="BO495" s="4"/>
      <x:c r="BP495" s="4"/>
      <x:c r="BQ495" s="4"/>
      <x:c r="BR495" s="4"/>
      <x:c r="BS495" s="4"/>
      <x:c r="BT495" s="4"/>
      <x:c r="BU495" s="4"/>
      <x:c r="BV495" s="4"/>
      <x:c r="BW495" s="4"/>
      <x:c r="BX495" s="4"/>
      <x:c r="BY495" s="4"/>
      <x:c r="BZ495" s="4"/>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x:c r="DB495" s="4"/>
      <x:c r="DC495" s="4"/>
      <x:c r="DD495" s="4"/>
      <x:c r="DE495" s="4"/>
      <x:c r="DF495" s="4"/>
      <x:c r="DG495" s="4"/>
      <x:c r="DH495" s="4"/>
      <x:c r="DI495" s="4"/>
      <x:c r="DJ495" s="4"/>
      <x:c r="DK495" s="4"/>
      <x:c r="DL495" s="4"/>
      <x:c r="DM495" s="4"/>
      <x:c r="DN495" s="4"/>
      <x:c r="DO495" s="4"/>
      <x:c r="DP495" s="4"/>
      <x:c r="DQ495" s="4"/>
      <x:c r="DR495" s="4"/>
      <x:c r="DS495" s="4"/>
      <x:c r="DT495" s="4"/>
      <x:c r="DU495" s="4"/>
      <x:c r="DV495" s="4"/>
      <x:c r="DW495" s="4"/>
      <x:c r="DX495" s="4"/>
      <x:c r="DY495" s="4"/>
      <x:c r="DZ495" s="4"/>
      <x:c r="EA495" s="4"/>
      <x:c r="EB495" s="4"/>
      <x:c r="EC495" s="4"/>
      <x:c r="ED495" s="4"/>
      <x:c r="EE495" s="4"/>
      <x:c r="EF495" s="4"/>
      <x:c r="EG495" s="4"/>
      <x:c r="EH495" s="4"/>
      <x:c r="EI495" s="4"/>
      <x:c r="EJ495" s="4"/>
      <x:c r="EK495" s="4"/>
      <x:c r="EL495" s="4"/>
      <x:c r="EM495" s="4"/>
      <x:c r="EN495" s="4"/>
      <x:c r="EO495" s="4"/>
      <x:c r="EP495" s="4"/>
      <x:c r="EQ495" s="4"/>
      <x:c r="ER495" s="4"/>
      <x:c r="ES495" s="4"/>
      <x:c r="ET495" s="4"/>
      <x:c r="EU495" s="4"/>
      <x:c r="EV495" s="4"/>
      <x:c r="EW495" s="4"/>
      <x:c r="EX495" s="4"/>
      <x:c r="EY495" s="4"/>
      <x:c r="EZ495" s="4"/>
      <x:c r="FA495" s="4"/>
      <x:c r="FB495" s="4"/>
      <x:c r="FC495" s="4"/>
      <x:c r="FD495" s="4"/>
      <x:c r="FE495" s="4"/>
      <x:c r="FF495" s="4"/>
      <x:c r="FG495" s="4"/>
      <x:c r="FH495" s="4"/>
      <x:c r="FI495" s="4"/>
      <x:c r="FJ495" s="4"/>
      <x:c r="FK495" s="4"/>
      <x:c r="FL495" s="4"/>
      <x:c r="FM495" s="4"/>
      <x:c r="FN495" s="4"/>
      <x:c r="FO495" s="4"/>
    </x:row>
    <x:row r="496">
      <x:c r="A496" s="72"/>
      <x:c r="B496" s="72"/>
      <x:c r="C496" s="72"/>
      <x:c r="D496" s="72"/>
      <x:c r="E496" s="72"/>
      <x:c r="F496" s="72"/>
      <x:c r="G496" s="72"/>
      <x:c r="H496" s="72"/>
      <x:c r="I496" s="72"/>
      <x:c r="J496" s="72"/>
      <x:c r="K496" s="72"/>
      <x:c r="L496" s="72"/>
      <x:c r="M496" s="72"/>
      <x:c r="N496" s="72"/>
      <x:c r="O496" s="72"/>
      <x:c r="P496" s="72"/>
      <x:c r="Q496" s="72"/>
      <x:c r="R496" s="72"/>
      <x:c r="S496" s="72"/>
      <x:c r="T496" s="72"/>
      <x:c r="U496" s="72"/>
      <x:c r="V496" s="72"/>
      <x:c r="W496" s="72"/>
      <x:c r="X496" s="72"/>
      <x:c r="Y496" s="72"/>
      <x:c r="Z496" s="72"/>
      <x:c r="AA496" s="72"/>
      <x:c r="AB496" s="72"/>
      <x:c r="AC496" s="72"/>
      <x:c r="AD496" s="72"/>
      <x:c r="AE496" s="72"/>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x:c r="BN496" s="4"/>
      <x:c r="BO496" s="4"/>
      <x:c r="BP496" s="4"/>
      <x:c r="BQ496" s="4"/>
      <x:c r="BR496" s="4"/>
      <x:c r="BS496" s="4"/>
      <x:c r="BT496" s="4"/>
      <x:c r="BU496" s="4"/>
      <x:c r="BV496" s="4"/>
      <x:c r="BW496" s="4"/>
      <x:c r="BX496" s="4"/>
      <x:c r="BY496" s="4"/>
      <x:c r="BZ496" s="4"/>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x:c r="DB496" s="4"/>
      <x:c r="DC496" s="4"/>
      <x:c r="DD496" s="4"/>
      <x:c r="DE496" s="4"/>
      <x:c r="DF496" s="4"/>
      <x:c r="DG496" s="4"/>
      <x:c r="DH496" s="4"/>
      <x:c r="DI496" s="4"/>
      <x:c r="DJ496" s="4"/>
      <x:c r="DK496" s="4"/>
      <x:c r="DL496" s="4"/>
      <x:c r="DM496" s="4"/>
      <x:c r="DN496" s="4"/>
      <x:c r="DO496" s="4"/>
      <x:c r="DP496" s="4"/>
      <x:c r="DQ496" s="4"/>
      <x:c r="DR496" s="4"/>
      <x:c r="DS496" s="4"/>
      <x:c r="DT496" s="4"/>
      <x:c r="DU496" s="4"/>
      <x:c r="DV496" s="4"/>
      <x:c r="DW496" s="4"/>
      <x:c r="DX496" s="4"/>
      <x:c r="DY496" s="4"/>
      <x:c r="DZ496" s="4"/>
      <x:c r="EA496" s="4"/>
      <x:c r="EB496" s="4"/>
      <x:c r="EC496" s="4"/>
      <x:c r="ED496" s="4"/>
      <x:c r="EE496" s="4"/>
      <x:c r="EF496" s="4"/>
      <x:c r="EG496" s="4"/>
      <x:c r="EH496" s="4"/>
      <x:c r="EI496" s="4"/>
      <x:c r="EJ496" s="4"/>
      <x:c r="EK496" s="4"/>
      <x:c r="EL496" s="4"/>
      <x:c r="EM496" s="4"/>
      <x:c r="EN496" s="4"/>
      <x:c r="EO496" s="4"/>
      <x:c r="EP496" s="4"/>
      <x:c r="EQ496" s="4"/>
      <x:c r="ER496" s="4"/>
      <x:c r="ES496" s="4"/>
      <x:c r="ET496" s="4"/>
      <x:c r="EU496" s="4"/>
      <x:c r="EV496" s="4"/>
      <x:c r="EW496" s="4"/>
      <x:c r="EX496" s="4"/>
      <x:c r="EY496" s="4"/>
      <x:c r="EZ496" s="4"/>
      <x:c r="FA496" s="4"/>
      <x:c r="FB496" s="4"/>
      <x:c r="FC496" s="4"/>
      <x:c r="FD496" s="4"/>
      <x:c r="FE496" s="4"/>
      <x:c r="FF496" s="4"/>
      <x:c r="FG496" s="4"/>
      <x:c r="FH496" s="4"/>
      <x:c r="FI496" s="4"/>
      <x:c r="FJ496" s="4"/>
      <x:c r="FK496" s="4"/>
      <x:c r="FL496" s="4"/>
      <x:c r="FM496" s="4"/>
      <x:c r="FN496" s="4"/>
      <x:c r="FO496" s="4"/>
    </x:row>
    <x:row r="497">
      <x:c r="A497" s="72"/>
      <x:c r="B497" s="72"/>
      <x:c r="C497" s="72"/>
      <x:c r="D497" s="72"/>
      <x:c r="E497" s="72"/>
      <x:c r="F497" s="72"/>
      <x:c r="G497" s="72"/>
      <x:c r="H497" s="72"/>
      <x:c r="I497" s="72"/>
      <x:c r="J497" s="72"/>
      <x:c r="K497" s="72"/>
      <x:c r="L497" s="72"/>
      <x:c r="M497" s="72"/>
      <x:c r="N497" s="72"/>
      <x:c r="O497" s="72"/>
      <x:c r="P497" s="72"/>
      <x:c r="Q497" s="72"/>
      <x:c r="R497" s="72"/>
      <x:c r="S497" s="72"/>
      <x:c r="T497" s="72"/>
      <x:c r="U497" s="72"/>
      <x:c r="V497" s="72"/>
      <x:c r="W497" s="72"/>
      <x:c r="X497" s="72"/>
      <x:c r="Y497" s="72"/>
      <x:c r="Z497" s="72"/>
      <x:c r="AA497" s="72"/>
      <x:c r="AB497" s="72"/>
      <x:c r="AC497" s="72"/>
      <x:c r="AD497" s="72"/>
      <x:c r="AE497" s="72"/>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x:c r="BN497" s="4"/>
      <x:c r="BO497" s="4"/>
      <x:c r="BP497" s="4"/>
      <x:c r="BQ497" s="4"/>
      <x:c r="BR497" s="4"/>
      <x:c r="BS497" s="4"/>
      <x:c r="BT497" s="4"/>
      <x:c r="BU497" s="4"/>
      <x:c r="BV497" s="4"/>
      <x:c r="BW497" s="4"/>
      <x:c r="BX497" s="4"/>
      <x:c r="BY497" s="4"/>
      <x:c r="BZ497" s="4"/>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x:c r="DB497" s="4"/>
      <x:c r="DC497" s="4"/>
      <x:c r="DD497" s="4"/>
      <x:c r="DE497" s="4"/>
      <x:c r="DF497" s="4"/>
      <x:c r="DG497" s="4"/>
      <x:c r="DH497" s="4"/>
      <x:c r="DI497" s="4"/>
      <x:c r="DJ497" s="4"/>
      <x:c r="DK497" s="4"/>
      <x:c r="DL497" s="4"/>
      <x:c r="DM497" s="4"/>
      <x:c r="DN497" s="4"/>
      <x:c r="DO497" s="4"/>
      <x:c r="DP497" s="4"/>
      <x:c r="DQ497" s="4"/>
      <x:c r="DR497" s="4"/>
      <x:c r="DS497" s="4"/>
      <x:c r="DT497" s="4"/>
      <x:c r="DU497" s="4"/>
      <x:c r="DV497" s="4"/>
      <x:c r="DW497" s="4"/>
      <x:c r="DX497" s="4"/>
      <x:c r="DY497" s="4"/>
      <x:c r="DZ497" s="4"/>
      <x:c r="EA497" s="4"/>
      <x:c r="EB497" s="4"/>
      <x:c r="EC497" s="4"/>
      <x:c r="ED497" s="4"/>
      <x:c r="EE497" s="4"/>
      <x:c r="EF497" s="4"/>
      <x:c r="EG497" s="4"/>
      <x:c r="EH497" s="4"/>
      <x:c r="EI497" s="4"/>
      <x:c r="EJ497" s="4"/>
      <x:c r="EK497" s="4"/>
      <x:c r="EL497" s="4"/>
      <x:c r="EM497" s="4"/>
      <x:c r="EN497" s="4"/>
      <x:c r="EO497" s="4"/>
      <x:c r="EP497" s="4"/>
      <x:c r="EQ497" s="4"/>
      <x:c r="ER497" s="4"/>
      <x:c r="ES497" s="4"/>
      <x:c r="ET497" s="4"/>
      <x:c r="EU497" s="4"/>
      <x:c r="EV497" s="4"/>
      <x:c r="EW497" s="4"/>
      <x:c r="EX497" s="4"/>
      <x:c r="EY497" s="4"/>
      <x:c r="EZ497" s="4"/>
      <x:c r="FA497" s="4"/>
      <x:c r="FB497" s="4"/>
      <x:c r="FC497" s="4"/>
      <x:c r="FD497" s="4"/>
      <x:c r="FE497" s="4"/>
      <x:c r="FF497" s="4"/>
      <x:c r="FG497" s="4"/>
      <x:c r="FH497" s="4"/>
      <x:c r="FI497" s="4"/>
      <x:c r="FJ497" s="4"/>
      <x:c r="FK497" s="4"/>
      <x:c r="FL497" s="4"/>
      <x:c r="FM497" s="4"/>
      <x:c r="FN497" s="4"/>
      <x:c r="FO497" s="4"/>
    </x:row>
    <x:row r="498">
      <x:c r="A498" s="72"/>
      <x:c r="B498" s="72"/>
      <x:c r="C498" s="72"/>
      <x:c r="D498" s="72"/>
      <x:c r="E498" s="72"/>
      <x:c r="F498" s="72"/>
      <x:c r="G498" s="72"/>
      <x:c r="H498" s="72"/>
      <x:c r="I498" s="72"/>
      <x:c r="J498" s="72"/>
      <x:c r="K498" s="72"/>
      <x:c r="L498" s="72"/>
      <x:c r="M498" s="72"/>
      <x:c r="N498" s="72"/>
      <x:c r="O498" s="72"/>
      <x:c r="P498" s="72"/>
      <x:c r="Q498" s="72"/>
      <x:c r="R498" s="72"/>
      <x:c r="S498" s="72"/>
      <x:c r="T498" s="72"/>
      <x:c r="U498" s="72"/>
      <x:c r="V498" s="72"/>
      <x:c r="W498" s="72"/>
      <x:c r="X498" s="72"/>
      <x:c r="Y498" s="72"/>
      <x:c r="Z498" s="72"/>
      <x:c r="AA498" s="72"/>
      <x:c r="AB498" s="72"/>
      <x:c r="AC498" s="72"/>
      <x:c r="AD498" s="72"/>
      <x:c r="AE498" s="72"/>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x:c r="BN498" s="4"/>
      <x:c r="BO498" s="4"/>
      <x:c r="BP498" s="4"/>
      <x:c r="BQ498" s="4"/>
      <x:c r="BR498" s="4"/>
      <x:c r="BS498" s="4"/>
      <x:c r="BT498" s="4"/>
      <x:c r="BU498" s="4"/>
      <x:c r="BV498" s="4"/>
      <x:c r="BW498" s="4"/>
      <x:c r="BX498" s="4"/>
      <x:c r="BY498" s="4"/>
      <x:c r="BZ498" s="4"/>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x:c r="DB498" s="4"/>
      <x:c r="DC498" s="4"/>
      <x:c r="DD498" s="4"/>
      <x:c r="DE498" s="4"/>
      <x:c r="DF498" s="4"/>
      <x:c r="DG498" s="4"/>
      <x:c r="DH498" s="4"/>
      <x:c r="DI498" s="4"/>
      <x:c r="DJ498" s="4"/>
      <x:c r="DK498" s="4"/>
      <x:c r="DL498" s="4"/>
      <x:c r="DM498" s="4"/>
      <x:c r="DN498" s="4"/>
      <x:c r="DO498" s="4"/>
      <x:c r="DP498" s="4"/>
      <x:c r="DQ498" s="4"/>
      <x:c r="DR498" s="4"/>
      <x:c r="DS498" s="4"/>
      <x:c r="DT498" s="4"/>
      <x:c r="DU498" s="4"/>
      <x:c r="DV498" s="4"/>
      <x:c r="DW498" s="4"/>
      <x:c r="DX498" s="4"/>
      <x:c r="DY498" s="4"/>
      <x:c r="DZ498" s="4"/>
      <x:c r="EA498" s="4"/>
      <x:c r="EB498" s="4"/>
      <x:c r="EC498" s="4"/>
      <x:c r="ED498" s="4"/>
      <x:c r="EE498" s="4"/>
      <x:c r="EF498" s="4"/>
      <x:c r="EG498" s="4"/>
      <x:c r="EH498" s="4"/>
      <x:c r="EI498" s="4"/>
      <x:c r="EJ498" s="4"/>
      <x:c r="EK498" s="4"/>
      <x:c r="EL498" s="4"/>
      <x:c r="EM498" s="4"/>
      <x:c r="EN498" s="4"/>
      <x:c r="EO498" s="4"/>
      <x:c r="EP498" s="4"/>
      <x:c r="EQ498" s="4"/>
      <x:c r="ER498" s="4"/>
      <x:c r="ES498" s="4"/>
      <x:c r="ET498" s="4"/>
      <x:c r="EU498" s="4"/>
      <x:c r="EV498" s="4"/>
      <x:c r="EW498" s="4"/>
      <x:c r="EX498" s="4"/>
      <x:c r="EY498" s="4"/>
      <x:c r="EZ498" s="4"/>
      <x:c r="FA498" s="4"/>
      <x:c r="FB498" s="4"/>
      <x:c r="FC498" s="4"/>
      <x:c r="FD498" s="4"/>
      <x:c r="FE498" s="4"/>
      <x:c r="FF498" s="4"/>
      <x:c r="FG498" s="4"/>
      <x:c r="FH498" s="4"/>
      <x:c r="FI498" s="4"/>
      <x:c r="FJ498" s="4"/>
      <x:c r="FK498" s="4"/>
      <x:c r="FL498" s="4"/>
      <x:c r="FM498" s="4"/>
      <x:c r="FN498" s="4"/>
      <x:c r="FO498" s="4"/>
    </x:row>
    <x:row r="499">
      <x:c r="A499" s="72"/>
      <x:c r="B499" s="72"/>
      <x:c r="C499" s="72"/>
      <x:c r="D499" s="72"/>
      <x:c r="E499" s="72"/>
      <x:c r="F499" s="72"/>
      <x:c r="G499" s="72"/>
      <x:c r="H499" s="72"/>
      <x:c r="I499" s="72"/>
      <x:c r="J499" s="72"/>
      <x:c r="K499" s="72"/>
      <x:c r="L499" s="72"/>
      <x:c r="M499" s="72"/>
      <x:c r="N499" s="72"/>
      <x:c r="O499" s="72"/>
      <x:c r="P499" s="72"/>
      <x:c r="Q499" s="72"/>
      <x:c r="R499" s="72"/>
      <x:c r="S499" s="72"/>
      <x:c r="T499" s="72"/>
      <x:c r="U499" s="72"/>
      <x:c r="V499" s="72"/>
      <x:c r="W499" s="72"/>
      <x:c r="X499" s="72"/>
      <x:c r="Y499" s="72"/>
      <x:c r="Z499" s="72"/>
      <x:c r="AA499" s="72"/>
      <x:c r="AB499" s="72"/>
      <x:c r="AC499" s="72"/>
      <x:c r="AD499" s="72"/>
      <x:c r="AE499" s="72"/>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x:c r="BN499" s="4"/>
      <x:c r="BO499" s="4"/>
      <x:c r="BP499" s="4"/>
      <x:c r="BQ499" s="4"/>
      <x:c r="BR499" s="4"/>
      <x:c r="BS499" s="4"/>
      <x:c r="BT499" s="4"/>
      <x:c r="BU499" s="4"/>
      <x:c r="BV499" s="4"/>
      <x:c r="BW499" s="4"/>
      <x:c r="BX499" s="4"/>
      <x:c r="BY499" s="4"/>
      <x:c r="BZ499" s="4"/>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x:c r="DB499" s="4"/>
      <x:c r="DC499" s="4"/>
      <x:c r="DD499" s="4"/>
      <x:c r="DE499" s="4"/>
      <x:c r="DF499" s="4"/>
      <x:c r="DG499" s="4"/>
      <x:c r="DH499" s="4"/>
      <x:c r="DI499" s="4"/>
      <x:c r="DJ499" s="4"/>
      <x:c r="DK499" s="4"/>
      <x:c r="DL499" s="4"/>
      <x:c r="DM499" s="4"/>
      <x:c r="DN499" s="4"/>
      <x:c r="DO499" s="4"/>
      <x:c r="DP499" s="4"/>
      <x:c r="DQ499" s="4"/>
      <x:c r="DR499" s="4"/>
      <x:c r="DS499" s="4"/>
      <x:c r="DT499" s="4"/>
      <x:c r="DU499" s="4"/>
      <x:c r="DV499" s="4"/>
      <x:c r="DW499" s="4"/>
      <x:c r="DX499" s="4"/>
      <x:c r="DY499" s="4"/>
      <x:c r="DZ499" s="4"/>
      <x:c r="EA499" s="4"/>
      <x:c r="EB499" s="4"/>
      <x:c r="EC499" s="4"/>
      <x:c r="ED499" s="4"/>
      <x:c r="EE499" s="4"/>
      <x:c r="EF499" s="4"/>
      <x:c r="EG499" s="4"/>
      <x:c r="EH499" s="4"/>
      <x:c r="EI499" s="4"/>
      <x:c r="EJ499" s="4"/>
      <x:c r="EK499" s="4"/>
      <x:c r="EL499" s="4"/>
      <x:c r="EM499" s="4"/>
      <x:c r="EN499" s="4"/>
      <x:c r="EO499" s="4"/>
      <x:c r="EP499" s="4"/>
      <x:c r="EQ499" s="4"/>
      <x:c r="ER499" s="4"/>
      <x:c r="ES499" s="4"/>
      <x:c r="ET499" s="4"/>
      <x:c r="EU499" s="4"/>
      <x:c r="EV499" s="4"/>
      <x:c r="EW499" s="4"/>
      <x:c r="EX499" s="4"/>
      <x:c r="EY499" s="4"/>
      <x:c r="EZ499" s="4"/>
      <x:c r="FA499" s="4"/>
      <x:c r="FB499" s="4"/>
      <x:c r="FC499" s="4"/>
      <x:c r="FD499" s="4"/>
      <x:c r="FE499" s="4"/>
      <x:c r="FF499" s="4"/>
      <x:c r="FG499" s="4"/>
      <x:c r="FH499" s="4"/>
      <x:c r="FI499" s="4"/>
      <x:c r="FJ499" s="4"/>
      <x:c r="FK499" s="4"/>
      <x:c r="FL499" s="4"/>
      <x:c r="FM499" s="4"/>
      <x:c r="FN499" s="4"/>
      <x:c r="FO499" s="4"/>
    </x:row>
    <x:row r="500">
      <x:c r="A500" s="72"/>
      <x:c r="B500" s="72"/>
      <x:c r="C500" s="72"/>
      <x:c r="D500" s="72"/>
      <x:c r="E500" s="72"/>
      <x:c r="F500" s="72"/>
      <x:c r="G500" s="72"/>
      <x:c r="H500" s="72"/>
      <x:c r="I500" s="72"/>
      <x:c r="J500" s="72"/>
      <x:c r="K500" s="72"/>
      <x:c r="L500" s="72"/>
      <x:c r="M500" s="72"/>
      <x:c r="N500" s="72"/>
      <x:c r="O500" s="72"/>
      <x:c r="P500" s="72"/>
      <x:c r="Q500" s="72"/>
      <x:c r="R500" s="72"/>
      <x:c r="S500" s="72"/>
      <x:c r="T500" s="72"/>
      <x:c r="U500" s="72"/>
      <x:c r="V500" s="72"/>
      <x:c r="W500" s="72"/>
      <x:c r="X500" s="72"/>
      <x:c r="Y500" s="72"/>
      <x:c r="Z500" s="72"/>
      <x:c r="AA500" s="72"/>
      <x:c r="AB500" s="72"/>
      <x:c r="AC500" s="72"/>
      <x:c r="AD500" s="72"/>
      <x:c r="AE500" s="72"/>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x:c r="BN500" s="4"/>
      <x:c r="BO500" s="4"/>
      <x:c r="BP500" s="4"/>
      <x:c r="BQ500" s="4"/>
      <x:c r="BR500" s="4"/>
      <x:c r="BS500" s="4"/>
      <x:c r="BT500" s="4"/>
      <x:c r="BU500" s="4"/>
      <x:c r="BV500" s="4"/>
      <x:c r="BW500" s="4"/>
      <x:c r="BX500" s="4"/>
      <x:c r="BY500" s="4"/>
      <x:c r="BZ500" s="4"/>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x:c r="DB500" s="4"/>
      <x:c r="DC500" s="4"/>
      <x:c r="DD500" s="4"/>
      <x:c r="DE500" s="4"/>
      <x:c r="DF500" s="4"/>
      <x:c r="DG500" s="4"/>
      <x:c r="DH500" s="4"/>
      <x:c r="DI500" s="4"/>
      <x:c r="DJ500" s="4"/>
      <x:c r="DK500" s="4"/>
      <x:c r="DL500" s="4"/>
      <x:c r="DM500" s="4"/>
      <x:c r="DN500" s="4"/>
      <x:c r="DO500" s="4"/>
      <x:c r="DP500" s="4"/>
      <x:c r="DQ500" s="4"/>
      <x:c r="DR500" s="4"/>
      <x:c r="DS500" s="4"/>
      <x:c r="DT500" s="4"/>
      <x:c r="DU500" s="4"/>
      <x:c r="DV500" s="4"/>
      <x:c r="DW500" s="4"/>
      <x:c r="DX500" s="4"/>
      <x:c r="DY500" s="4"/>
      <x:c r="DZ500" s="4"/>
      <x:c r="EA500" s="4"/>
      <x:c r="EB500" s="4"/>
      <x:c r="EC500" s="4"/>
      <x:c r="ED500" s="4"/>
      <x:c r="EE500" s="4"/>
      <x:c r="EF500" s="4"/>
      <x:c r="EG500" s="4"/>
      <x:c r="EH500" s="4"/>
      <x:c r="EI500" s="4"/>
      <x:c r="EJ500" s="4"/>
      <x:c r="EK500" s="4"/>
      <x:c r="EL500" s="4"/>
      <x:c r="EM500" s="4"/>
      <x:c r="EN500" s="4"/>
      <x:c r="EO500" s="4"/>
      <x:c r="EP500" s="4"/>
      <x:c r="EQ500" s="4"/>
      <x:c r="ER500" s="4"/>
      <x:c r="ES500" s="4"/>
      <x:c r="ET500" s="4"/>
      <x:c r="EU500" s="4"/>
      <x:c r="EV500" s="4"/>
      <x:c r="EW500" s="4"/>
      <x:c r="EX500" s="4"/>
      <x:c r="EY500" s="4"/>
      <x:c r="EZ500" s="4"/>
      <x:c r="FA500" s="4"/>
      <x:c r="FB500" s="4"/>
      <x:c r="FC500" s="4"/>
      <x:c r="FD500" s="4"/>
      <x:c r="FE500" s="4"/>
      <x:c r="FF500" s="4"/>
      <x:c r="FG500" s="4"/>
      <x:c r="FH500" s="4"/>
      <x:c r="FI500" s="4"/>
      <x:c r="FJ500" s="4"/>
      <x:c r="FK500" s="4"/>
      <x:c r="FL500" s="4"/>
      <x:c r="FM500" s="4"/>
      <x:c r="FN500" s="4"/>
      <x:c r="FO500" s="4"/>
    </x:row>
    <x:row r="501">
      <x:c r="A501" s="72"/>
      <x:c r="B501" s="72"/>
      <x:c r="C501" s="72"/>
      <x:c r="D501" s="72"/>
      <x:c r="E501" s="72"/>
      <x:c r="F501" s="72"/>
      <x:c r="G501" s="72"/>
      <x:c r="H501" s="72"/>
      <x:c r="I501" s="72"/>
      <x:c r="J501" s="72"/>
      <x:c r="K501" s="72"/>
      <x:c r="L501" s="72"/>
      <x:c r="M501" s="72"/>
      <x:c r="N501" s="72"/>
      <x:c r="O501" s="72"/>
      <x:c r="P501" s="72"/>
      <x:c r="Q501" s="72"/>
      <x:c r="R501" s="72"/>
      <x:c r="S501" s="72"/>
      <x:c r="T501" s="72"/>
      <x:c r="U501" s="72"/>
      <x:c r="V501" s="72"/>
      <x:c r="W501" s="72"/>
      <x:c r="X501" s="72"/>
      <x:c r="Y501" s="72"/>
      <x:c r="Z501" s="72"/>
      <x:c r="AA501" s="72"/>
      <x:c r="AB501" s="72"/>
      <x:c r="AC501" s="72"/>
      <x:c r="AD501" s="72"/>
      <x:c r="AE501" s="72"/>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x:c r="BN501" s="4"/>
      <x:c r="BO501" s="4"/>
      <x:c r="BP501" s="4"/>
      <x:c r="BQ501" s="4"/>
      <x:c r="BR501" s="4"/>
      <x:c r="BS501" s="4"/>
      <x:c r="BT501" s="4"/>
      <x:c r="BU501" s="4"/>
      <x:c r="BV501" s="4"/>
      <x:c r="BW501" s="4"/>
      <x:c r="BX501" s="4"/>
      <x:c r="BY501" s="4"/>
      <x:c r="BZ501" s="4"/>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x:c r="DB501" s="4"/>
      <x:c r="DC501" s="4"/>
      <x:c r="DD501" s="4"/>
      <x:c r="DE501" s="4"/>
      <x:c r="DF501" s="4"/>
      <x:c r="DG501" s="4"/>
      <x:c r="DH501" s="4"/>
      <x:c r="DI501" s="4"/>
      <x:c r="DJ501" s="4"/>
      <x:c r="DK501" s="4"/>
      <x:c r="DL501" s="4"/>
      <x:c r="DM501" s="4"/>
      <x:c r="DN501" s="4"/>
      <x:c r="DO501" s="4"/>
      <x:c r="DP501" s="4"/>
      <x:c r="DQ501" s="4"/>
      <x:c r="DR501" s="4"/>
      <x:c r="DS501" s="4"/>
      <x:c r="DT501" s="4"/>
      <x:c r="DU501" s="4"/>
      <x:c r="DV501" s="4"/>
      <x:c r="DW501" s="4"/>
      <x:c r="DX501" s="4"/>
      <x:c r="DY501" s="4"/>
      <x:c r="DZ501" s="4"/>
      <x:c r="EA501" s="4"/>
      <x:c r="EB501" s="4"/>
      <x:c r="EC501" s="4"/>
      <x:c r="ED501" s="4"/>
      <x:c r="EE501" s="4"/>
      <x:c r="EF501" s="4"/>
      <x:c r="EG501" s="4"/>
      <x:c r="EH501" s="4"/>
      <x:c r="EI501" s="4"/>
      <x:c r="EJ501" s="4"/>
      <x:c r="EK501" s="4"/>
      <x:c r="EL501" s="4"/>
      <x:c r="EM501" s="4"/>
      <x:c r="EN501" s="4"/>
      <x:c r="EO501" s="4"/>
      <x:c r="EP501" s="4"/>
      <x:c r="EQ501" s="4"/>
      <x:c r="ER501" s="4"/>
      <x:c r="ES501" s="4"/>
      <x:c r="ET501" s="4"/>
      <x:c r="EU501" s="4"/>
      <x:c r="EV501" s="4"/>
      <x:c r="EW501" s="4"/>
      <x:c r="EX501" s="4"/>
      <x:c r="EY501" s="4"/>
      <x:c r="EZ501" s="4"/>
      <x:c r="FA501" s="4"/>
      <x:c r="FB501" s="4"/>
      <x:c r="FC501" s="4"/>
      <x:c r="FD501" s="4"/>
      <x:c r="FE501" s="4"/>
      <x:c r="FF501" s="4"/>
      <x:c r="FG501" s="4"/>
      <x:c r="FH501" s="4"/>
      <x:c r="FI501" s="4"/>
      <x:c r="FJ501" s="4"/>
      <x:c r="FK501" s="4"/>
      <x:c r="FL501" s="4"/>
      <x:c r="FM501" s="4"/>
      <x:c r="FN501" s="4"/>
      <x:c r="FO501" s="4"/>
    </x:row>
    <x:row r="502">
      <x:c r="A502" s="72"/>
      <x:c r="B502" s="72"/>
      <x:c r="C502" s="72"/>
      <x:c r="D502" s="72"/>
      <x:c r="E502" s="72"/>
      <x:c r="F502" s="72"/>
      <x:c r="G502" s="72"/>
      <x:c r="H502" s="72"/>
      <x:c r="I502" s="72"/>
      <x:c r="J502" s="72"/>
      <x:c r="K502" s="72"/>
      <x:c r="L502" s="72"/>
      <x:c r="M502" s="72"/>
      <x:c r="N502" s="72"/>
      <x:c r="O502" s="72"/>
      <x:c r="P502" s="72"/>
      <x:c r="Q502" s="72"/>
      <x:c r="R502" s="72"/>
      <x:c r="S502" s="72"/>
      <x:c r="T502" s="72"/>
      <x:c r="U502" s="72"/>
      <x:c r="V502" s="72"/>
      <x:c r="W502" s="72"/>
      <x:c r="X502" s="72"/>
      <x:c r="Y502" s="72"/>
      <x:c r="Z502" s="72"/>
      <x:c r="AA502" s="72"/>
      <x:c r="AB502" s="72"/>
      <x:c r="AC502" s="72"/>
      <x:c r="AD502" s="72"/>
      <x:c r="AE502" s="72"/>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x:c r="BN502" s="4"/>
      <x:c r="BO502" s="4"/>
      <x:c r="BP502" s="4"/>
      <x:c r="BQ502" s="4"/>
      <x:c r="BR502" s="4"/>
      <x:c r="BS502" s="4"/>
      <x:c r="BT502" s="4"/>
      <x:c r="BU502" s="4"/>
      <x:c r="BV502" s="4"/>
      <x:c r="BW502" s="4"/>
      <x:c r="BX502" s="4"/>
      <x:c r="BY502" s="4"/>
      <x:c r="BZ502" s="4"/>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x:c r="DB502" s="4"/>
      <x:c r="DC502" s="4"/>
      <x:c r="DD502" s="4"/>
      <x:c r="DE502" s="4"/>
      <x:c r="DF502" s="4"/>
      <x:c r="DG502" s="4"/>
      <x:c r="DH502" s="4"/>
      <x:c r="DI502" s="4"/>
      <x:c r="DJ502" s="4"/>
      <x:c r="DK502" s="4"/>
      <x:c r="DL502" s="4"/>
      <x:c r="DM502" s="4"/>
      <x:c r="DN502" s="4"/>
      <x:c r="DO502" s="4"/>
      <x:c r="DP502" s="4"/>
      <x:c r="DQ502" s="4"/>
      <x:c r="DR502" s="4"/>
      <x:c r="DS502" s="4"/>
      <x:c r="DT502" s="4"/>
      <x:c r="DU502" s="4"/>
      <x:c r="DV502" s="4"/>
      <x:c r="DW502" s="4"/>
      <x:c r="DX502" s="4"/>
      <x:c r="DY502" s="4"/>
      <x:c r="DZ502" s="4"/>
      <x:c r="EA502" s="4"/>
      <x:c r="EB502" s="4"/>
      <x:c r="EC502" s="4"/>
      <x:c r="ED502" s="4"/>
      <x:c r="EE502" s="4"/>
      <x:c r="EF502" s="4"/>
      <x:c r="EG502" s="4"/>
      <x:c r="EH502" s="4"/>
      <x:c r="EI502" s="4"/>
      <x:c r="EJ502" s="4"/>
      <x:c r="EK502" s="4"/>
      <x:c r="EL502" s="4"/>
      <x:c r="EM502" s="4"/>
      <x:c r="EN502" s="4"/>
      <x:c r="EO502" s="4"/>
      <x:c r="EP502" s="4"/>
      <x:c r="EQ502" s="4"/>
      <x:c r="ER502" s="4"/>
      <x:c r="ES502" s="4"/>
      <x:c r="ET502" s="4"/>
      <x:c r="EU502" s="4"/>
      <x:c r="EV502" s="4"/>
      <x:c r="EW502" s="4"/>
      <x:c r="EX502" s="4"/>
      <x:c r="EY502" s="4"/>
      <x:c r="EZ502" s="4"/>
      <x:c r="FA502" s="4"/>
      <x:c r="FB502" s="4"/>
      <x:c r="FC502" s="4"/>
      <x:c r="FD502" s="4"/>
      <x:c r="FE502" s="4"/>
      <x:c r="FF502" s="4"/>
      <x:c r="FG502" s="4"/>
      <x:c r="FH502" s="4"/>
      <x:c r="FI502" s="4"/>
      <x:c r="FJ502" s="4"/>
      <x:c r="FK502" s="4"/>
      <x:c r="FL502" s="4"/>
      <x:c r="FM502" s="4"/>
      <x:c r="FN502" s="4"/>
      <x:c r="FO502" s="4"/>
    </x:row>
    <x:row r="503">
      <x:c r="A503" s="72"/>
      <x:c r="B503" s="72"/>
      <x:c r="C503" s="72"/>
      <x:c r="D503" s="72"/>
      <x:c r="E503" s="72"/>
      <x:c r="F503" s="72"/>
      <x:c r="G503" s="72"/>
      <x:c r="H503" s="72"/>
      <x:c r="I503" s="72"/>
      <x:c r="J503" s="72"/>
      <x:c r="K503" s="72"/>
      <x:c r="L503" s="72"/>
      <x:c r="M503" s="72"/>
      <x:c r="N503" s="72"/>
      <x:c r="O503" s="72"/>
      <x:c r="P503" s="72"/>
      <x:c r="Q503" s="72"/>
      <x:c r="R503" s="72"/>
      <x:c r="S503" s="72"/>
      <x:c r="T503" s="72"/>
      <x:c r="U503" s="72"/>
      <x:c r="V503" s="72"/>
      <x:c r="W503" s="72"/>
      <x:c r="X503" s="72"/>
      <x:c r="Y503" s="72"/>
      <x:c r="Z503" s="72"/>
      <x:c r="AA503" s="72"/>
      <x:c r="AB503" s="72"/>
      <x:c r="AC503" s="72"/>
      <x:c r="AD503" s="72"/>
      <x:c r="AE503" s="72"/>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x:c r="BN503" s="4"/>
      <x:c r="BO503" s="4"/>
      <x:c r="BP503" s="4"/>
      <x:c r="BQ503" s="4"/>
      <x:c r="BR503" s="4"/>
      <x:c r="BS503" s="4"/>
      <x:c r="BT503" s="4"/>
      <x:c r="BU503" s="4"/>
      <x:c r="BV503" s="4"/>
      <x:c r="BW503" s="4"/>
      <x:c r="BX503" s="4"/>
      <x:c r="BY503" s="4"/>
      <x:c r="BZ503" s="4"/>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x:c r="DB503" s="4"/>
      <x:c r="DC503" s="4"/>
      <x:c r="DD503" s="4"/>
      <x:c r="DE503" s="4"/>
      <x:c r="DF503" s="4"/>
      <x:c r="DG503" s="4"/>
      <x:c r="DH503" s="4"/>
      <x:c r="DI503" s="4"/>
      <x:c r="DJ503" s="4"/>
      <x:c r="DK503" s="4"/>
      <x:c r="DL503" s="4"/>
      <x:c r="DM503" s="4"/>
      <x:c r="DN503" s="4"/>
      <x:c r="DO503" s="4"/>
      <x:c r="DP503" s="4"/>
      <x:c r="DQ503" s="4"/>
      <x:c r="DR503" s="4"/>
      <x:c r="DS503" s="4"/>
      <x:c r="DT503" s="4"/>
      <x:c r="DU503" s="4"/>
      <x:c r="DV503" s="4"/>
      <x:c r="DW503" s="4"/>
      <x:c r="DX503" s="4"/>
      <x:c r="DY503" s="4"/>
      <x:c r="DZ503" s="4"/>
      <x:c r="EA503" s="4"/>
      <x:c r="EB503" s="4"/>
      <x:c r="EC503" s="4"/>
      <x:c r="ED503" s="4"/>
      <x:c r="EE503" s="4"/>
      <x:c r="EF503" s="4"/>
      <x:c r="EG503" s="4"/>
      <x:c r="EH503" s="4"/>
      <x:c r="EI503" s="4"/>
      <x:c r="EJ503" s="4"/>
      <x:c r="EK503" s="4"/>
      <x:c r="EL503" s="4"/>
      <x:c r="EM503" s="4"/>
      <x:c r="EN503" s="4"/>
      <x:c r="EO503" s="4"/>
      <x:c r="EP503" s="4"/>
      <x:c r="EQ503" s="4"/>
      <x:c r="ER503" s="4"/>
      <x:c r="ES503" s="4"/>
      <x:c r="ET503" s="4"/>
      <x:c r="EU503" s="4"/>
      <x:c r="EV503" s="4"/>
      <x:c r="EW503" s="4"/>
      <x:c r="EX503" s="4"/>
      <x:c r="EY503" s="4"/>
      <x:c r="EZ503" s="4"/>
      <x:c r="FA503" s="4"/>
      <x:c r="FB503" s="4"/>
      <x:c r="FC503" s="4"/>
      <x:c r="FD503" s="4"/>
      <x:c r="FE503" s="4"/>
      <x:c r="FF503" s="4"/>
      <x:c r="FG503" s="4"/>
      <x:c r="FH503" s="4"/>
      <x:c r="FI503" s="4"/>
      <x:c r="FJ503" s="4"/>
      <x:c r="FK503" s="4"/>
      <x:c r="FL503" s="4"/>
      <x:c r="FM503" s="4"/>
      <x:c r="FN503" s="4"/>
      <x:c r="FO503" s="4"/>
    </x:row>
    <x:row r="504">
      <x:c r="A504" s="72"/>
      <x:c r="B504" s="72"/>
      <x:c r="C504" s="72"/>
      <x:c r="D504" s="72"/>
      <x:c r="E504" s="72"/>
      <x:c r="F504" s="72"/>
      <x:c r="G504" s="72"/>
      <x:c r="H504" s="72"/>
      <x:c r="I504" s="72"/>
      <x:c r="J504" s="72"/>
      <x:c r="K504" s="72"/>
      <x:c r="L504" s="72"/>
      <x:c r="M504" s="72"/>
      <x:c r="N504" s="72"/>
      <x:c r="O504" s="72"/>
      <x:c r="P504" s="72"/>
      <x:c r="Q504" s="72"/>
      <x:c r="R504" s="72"/>
      <x:c r="S504" s="72"/>
      <x:c r="T504" s="72"/>
      <x:c r="U504" s="72"/>
      <x:c r="V504" s="72"/>
      <x:c r="W504" s="72"/>
      <x:c r="X504" s="72"/>
      <x:c r="Y504" s="72"/>
      <x:c r="Z504" s="72"/>
      <x:c r="AA504" s="72"/>
      <x:c r="AB504" s="72"/>
      <x:c r="AC504" s="72"/>
      <x:c r="AD504" s="72"/>
      <x:c r="AE504" s="72"/>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x:c r="BN504" s="4"/>
      <x:c r="BO504" s="4"/>
      <x:c r="BP504" s="4"/>
      <x:c r="BQ504" s="4"/>
      <x:c r="BR504" s="4"/>
      <x:c r="BS504" s="4"/>
      <x:c r="BT504" s="4"/>
      <x:c r="BU504" s="4"/>
      <x:c r="BV504" s="4"/>
      <x:c r="BW504" s="4"/>
      <x:c r="BX504" s="4"/>
      <x:c r="BY504" s="4"/>
      <x:c r="BZ504" s="4"/>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x:c r="DB504" s="4"/>
      <x:c r="DC504" s="4"/>
      <x:c r="DD504" s="4"/>
      <x:c r="DE504" s="4"/>
      <x:c r="DF504" s="4"/>
      <x:c r="DG504" s="4"/>
      <x:c r="DH504" s="4"/>
      <x:c r="DI504" s="4"/>
      <x:c r="DJ504" s="4"/>
      <x:c r="DK504" s="4"/>
      <x:c r="DL504" s="4"/>
      <x:c r="DM504" s="4"/>
      <x:c r="DN504" s="4"/>
      <x:c r="DO504" s="4"/>
      <x:c r="DP504" s="4"/>
      <x:c r="DQ504" s="4"/>
      <x:c r="DR504" s="4"/>
      <x:c r="DS504" s="4"/>
      <x:c r="DT504" s="4"/>
      <x:c r="DU504" s="4"/>
      <x:c r="DV504" s="4"/>
      <x:c r="DW504" s="4"/>
      <x:c r="DX504" s="4"/>
      <x:c r="DY504" s="4"/>
      <x:c r="DZ504" s="4"/>
      <x:c r="EA504" s="4"/>
      <x:c r="EB504" s="4"/>
      <x:c r="EC504" s="4"/>
      <x:c r="ED504" s="4"/>
      <x:c r="EE504" s="4"/>
      <x:c r="EF504" s="4"/>
      <x:c r="EG504" s="4"/>
      <x:c r="EH504" s="4"/>
      <x:c r="EI504" s="4"/>
      <x:c r="EJ504" s="4"/>
      <x:c r="EK504" s="4"/>
      <x:c r="EL504" s="4"/>
      <x:c r="EM504" s="4"/>
      <x:c r="EN504" s="4"/>
      <x:c r="EO504" s="4"/>
      <x:c r="EP504" s="4"/>
      <x:c r="EQ504" s="4"/>
      <x:c r="ER504" s="4"/>
      <x:c r="ES504" s="4"/>
      <x:c r="ET504" s="4"/>
      <x:c r="EU504" s="4"/>
      <x:c r="EV504" s="4"/>
      <x:c r="EW504" s="4"/>
      <x:c r="EX504" s="4"/>
      <x:c r="EY504" s="4"/>
      <x:c r="EZ504" s="4"/>
      <x:c r="FA504" s="4"/>
      <x:c r="FB504" s="4"/>
      <x:c r="FC504" s="4"/>
      <x:c r="FD504" s="4"/>
      <x:c r="FE504" s="4"/>
      <x:c r="FF504" s="4"/>
      <x:c r="FG504" s="4"/>
      <x:c r="FH504" s="4"/>
      <x:c r="FI504" s="4"/>
      <x:c r="FJ504" s="4"/>
      <x:c r="FK504" s="4"/>
      <x:c r="FL504" s="4"/>
      <x:c r="FM504" s="4"/>
      <x:c r="FN504" s="4"/>
      <x:c r="FO504" s="4"/>
    </x:row>
    <x:row r="505">
      <x:c r="A505" s="72"/>
      <x:c r="B505" s="72"/>
      <x:c r="C505" s="72"/>
      <x:c r="D505" s="72"/>
      <x:c r="E505" s="72"/>
      <x:c r="F505" s="72"/>
      <x:c r="G505" s="72"/>
      <x:c r="H505" s="72"/>
      <x:c r="I505" s="72"/>
      <x:c r="J505" s="72"/>
      <x:c r="K505" s="72"/>
      <x:c r="L505" s="72"/>
      <x:c r="M505" s="72"/>
      <x:c r="N505" s="72"/>
      <x:c r="O505" s="72"/>
      <x:c r="P505" s="72"/>
      <x:c r="Q505" s="72"/>
      <x:c r="R505" s="72"/>
      <x:c r="S505" s="72"/>
      <x:c r="T505" s="72"/>
      <x:c r="U505" s="72"/>
      <x:c r="V505" s="72"/>
      <x:c r="W505" s="72"/>
      <x:c r="X505" s="72"/>
      <x:c r="Y505" s="72"/>
      <x:c r="Z505" s="72"/>
      <x:c r="AA505" s="72"/>
      <x:c r="AB505" s="72"/>
      <x:c r="AC505" s="72"/>
      <x:c r="AD505" s="72"/>
      <x:c r="AE505" s="72"/>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x:c r="BN505" s="4"/>
      <x:c r="BO505" s="4"/>
      <x:c r="BP505" s="4"/>
      <x:c r="BQ505" s="4"/>
      <x:c r="BR505" s="4"/>
      <x:c r="BS505" s="4"/>
      <x:c r="BT505" s="4"/>
      <x:c r="BU505" s="4"/>
      <x:c r="BV505" s="4"/>
      <x:c r="BW505" s="4"/>
      <x:c r="BX505" s="4"/>
      <x:c r="BY505" s="4"/>
      <x:c r="BZ505" s="4"/>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x:c r="DB505" s="4"/>
      <x:c r="DC505" s="4"/>
      <x:c r="DD505" s="4"/>
      <x:c r="DE505" s="4"/>
      <x:c r="DF505" s="4"/>
      <x:c r="DG505" s="4"/>
      <x:c r="DH505" s="4"/>
      <x:c r="DI505" s="4"/>
      <x:c r="DJ505" s="4"/>
      <x:c r="DK505" s="4"/>
      <x:c r="DL505" s="4"/>
      <x:c r="DM505" s="4"/>
      <x:c r="DN505" s="4"/>
      <x:c r="DO505" s="4"/>
      <x:c r="DP505" s="4"/>
      <x:c r="DQ505" s="4"/>
      <x:c r="DR505" s="4"/>
      <x:c r="DS505" s="4"/>
      <x:c r="DT505" s="4"/>
      <x:c r="DU505" s="4"/>
      <x:c r="DV505" s="4"/>
      <x:c r="DW505" s="4"/>
      <x:c r="DX505" s="4"/>
      <x:c r="DY505" s="4"/>
      <x:c r="DZ505" s="4"/>
      <x:c r="EA505" s="4"/>
      <x:c r="EB505" s="4"/>
      <x:c r="EC505" s="4"/>
      <x:c r="ED505" s="4"/>
      <x:c r="EE505" s="4"/>
      <x:c r="EF505" s="4"/>
      <x:c r="EG505" s="4"/>
      <x:c r="EH505" s="4"/>
      <x:c r="EI505" s="4"/>
      <x:c r="EJ505" s="4"/>
      <x:c r="EK505" s="4"/>
      <x:c r="EL505" s="4"/>
      <x:c r="EM505" s="4"/>
      <x:c r="EN505" s="4"/>
      <x:c r="EO505" s="4"/>
      <x:c r="EP505" s="4"/>
      <x:c r="EQ505" s="4"/>
      <x:c r="ER505" s="4"/>
      <x:c r="ES505" s="4"/>
      <x:c r="ET505" s="4"/>
      <x:c r="EU505" s="4"/>
      <x:c r="EV505" s="4"/>
      <x:c r="EW505" s="4"/>
      <x:c r="EX505" s="4"/>
      <x:c r="EY505" s="4"/>
      <x:c r="EZ505" s="4"/>
      <x:c r="FA505" s="4"/>
      <x:c r="FB505" s="4"/>
      <x:c r="FC505" s="4"/>
      <x:c r="FD505" s="4"/>
      <x:c r="FE505" s="4"/>
      <x:c r="FF505" s="4"/>
      <x:c r="FG505" s="4"/>
      <x:c r="FH505" s="4"/>
      <x:c r="FI505" s="4"/>
      <x:c r="FJ505" s="4"/>
      <x:c r="FK505" s="4"/>
      <x:c r="FL505" s="4"/>
      <x:c r="FM505" s="4"/>
      <x:c r="FN505" s="4"/>
      <x:c r="FO505" s="4"/>
    </x:row>
    <x:row r="506">
      <x:c r="A506" s="72"/>
      <x:c r="B506" s="72"/>
      <x:c r="C506" s="72"/>
      <x:c r="D506" s="72"/>
      <x:c r="E506" s="72"/>
      <x:c r="F506" s="72"/>
      <x:c r="G506" s="72"/>
      <x:c r="H506" s="72"/>
      <x:c r="I506" s="72"/>
      <x:c r="J506" s="72"/>
      <x:c r="K506" s="72"/>
      <x:c r="L506" s="72"/>
      <x:c r="M506" s="72"/>
      <x:c r="N506" s="72"/>
      <x:c r="O506" s="72"/>
      <x:c r="P506" s="72"/>
      <x:c r="Q506" s="72"/>
      <x:c r="R506" s="72"/>
      <x:c r="S506" s="72"/>
      <x:c r="T506" s="72"/>
      <x:c r="U506" s="72"/>
      <x:c r="V506" s="72"/>
      <x:c r="W506" s="72"/>
      <x:c r="X506" s="72"/>
      <x:c r="Y506" s="72"/>
      <x:c r="Z506" s="72"/>
      <x:c r="AA506" s="72"/>
      <x:c r="AB506" s="72"/>
      <x:c r="AC506" s="72"/>
      <x:c r="AD506" s="72"/>
      <x:c r="AE506" s="72"/>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x:c r="BN506" s="4"/>
      <x:c r="BO506" s="4"/>
      <x:c r="BP506" s="4"/>
      <x:c r="BQ506" s="4"/>
      <x:c r="BR506" s="4"/>
      <x:c r="BS506" s="4"/>
      <x:c r="BT506" s="4"/>
      <x:c r="BU506" s="4"/>
      <x:c r="BV506" s="4"/>
      <x:c r="BW506" s="4"/>
      <x:c r="BX506" s="4"/>
      <x:c r="BY506" s="4"/>
      <x:c r="BZ506" s="4"/>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x:c r="DB506" s="4"/>
      <x:c r="DC506" s="4"/>
      <x:c r="DD506" s="4"/>
      <x:c r="DE506" s="4"/>
      <x:c r="DF506" s="4"/>
      <x:c r="DG506" s="4"/>
      <x:c r="DH506" s="4"/>
      <x:c r="DI506" s="4"/>
      <x:c r="DJ506" s="4"/>
      <x:c r="DK506" s="4"/>
      <x:c r="DL506" s="4"/>
      <x:c r="DM506" s="4"/>
      <x:c r="DN506" s="4"/>
      <x:c r="DO506" s="4"/>
      <x:c r="DP506" s="4"/>
      <x:c r="DQ506" s="4"/>
      <x:c r="DR506" s="4"/>
      <x:c r="DS506" s="4"/>
      <x:c r="DT506" s="4"/>
      <x:c r="DU506" s="4"/>
      <x:c r="DV506" s="4"/>
      <x:c r="DW506" s="4"/>
      <x:c r="DX506" s="4"/>
      <x:c r="DY506" s="4"/>
      <x:c r="DZ506" s="4"/>
      <x:c r="EA506" s="4"/>
      <x:c r="EB506" s="4"/>
      <x:c r="EC506" s="4"/>
      <x:c r="ED506" s="4"/>
      <x:c r="EE506" s="4"/>
      <x:c r="EF506" s="4"/>
      <x:c r="EG506" s="4"/>
      <x:c r="EH506" s="4"/>
      <x:c r="EI506" s="4"/>
      <x:c r="EJ506" s="4"/>
      <x:c r="EK506" s="4"/>
      <x:c r="EL506" s="4"/>
      <x:c r="EM506" s="4"/>
      <x:c r="EN506" s="4"/>
      <x:c r="EO506" s="4"/>
      <x:c r="EP506" s="4"/>
      <x:c r="EQ506" s="4"/>
      <x:c r="ER506" s="4"/>
      <x:c r="ES506" s="4"/>
      <x:c r="ET506" s="4"/>
      <x:c r="EU506" s="4"/>
      <x:c r="EV506" s="4"/>
      <x:c r="EW506" s="4"/>
      <x:c r="EX506" s="4"/>
      <x:c r="EY506" s="4"/>
      <x:c r="EZ506" s="4"/>
      <x:c r="FA506" s="4"/>
      <x:c r="FB506" s="4"/>
      <x:c r="FC506" s="4"/>
      <x:c r="FD506" s="4"/>
      <x:c r="FE506" s="4"/>
      <x:c r="FF506" s="4"/>
      <x:c r="FG506" s="4"/>
      <x:c r="FH506" s="4"/>
      <x:c r="FI506" s="4"/>
      <x:c r="FJ506" s="4"/>
      <x:c r="FK506" s="4"/>
      <x:c r="FL506" s="4"/>
      <x:c r="FM506" s="4"/>
      <x:c r="FN506" s="4"/>
      <x:c r="FO506" s="4"/>
    </x:row>
    <x:row r="507">
      <x:c r="A507" s="72"/>
      <x:c r="B507" s="72"/>
      <x:c r="C507" s="72"/>
      <x:c r="D507" s="72"/>
      <x:c r="E507" s="72"/>
      <x:c r="F507" s="72"/>
      <x:c r="G507" s="72"/>
      <x:c r="H507" s="72"/>
      <x:c r="I507" s="72"/>
      <x:c r="J507" s="72"/>
      <x:c r="K507" s="72"/>
      <x:c r="L507" s="72"/>
      <x:c r="M507" s="72"/>
      <x:c r="N507" s="72"/>
      <x:c r="O507" s="72"/>
      <x:c r="P507" s="72"/>
      <x:c r="Q507" s="72"/>
      <x:c r="R507" s="72"/>
      <x:c r="S507" s="72"/>
      <x:c r="T507" s="72"/>
      <x:c r="U507" s="72"/>
      <x:c r="V507" s="72"/>
      <x:c r="W507" s="72"/>
      <x:c r="X507" s="72"/>
      <x:c r="Y507" s="72"/>
      <x:c r="Z507" s="72"/>
      <x:c r="AA507" s="72"/>
      <x:c r="AB507" s="72"/>
      <x:c r="AC507" s="72"/>
      <x:c r="AD507" s="72"/>
      <x:c r="AE507" s="72"/>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x:c r="BN507" s="4"/>
      <x:c r="BO507" s="4"/>
      <x:c r="BP507" s="4"/>
      <x:c r="BQ507" s="4"/>
      <x:c r="BR507" s="4"/>
      <x:c r="BS507" s="4"/>
      <x:c r="BT507" s="4"/>
      <x:c r="BU507" s="4"/>
      <x:c r="BV507" s="4"/>
      <x:c r="BW507" s="4"/>
      <x:c r="BX507" s="4"/>
      <x:c r="BY507" s="4"/>
      <x:c r="BZ507" s="4"/>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x:c r="DB507" s="4"/>
      <x:c r="DC507" s="4"/>
      <x:c r="DD507" s="4"/>
      <x:c r="DE507" s="4"/>
      <x:c r="DF507" s="4"/>
      <x:c r="DG507" s="4"/>
      <x:c r="DH507" s="4"/>
      <x:c r="DI507" s="4"/>
      <x:c r="DJ507" s="4"/>
      <x:c r="DK507" s="4"/>
      <x:c r="DL507" s="4"/>
      <x:c r="DM507" s="4"/>
      <x:c r="DN507" s="4"/>
      <x:c r="DO507" s="4"/>
      <x:c r="DP507" s="4"/>
      <x:c r="DQ507" s="4"/>
      <x:c r="DR507" s="4"/>
      <x:c r="DS507" s="4"/>
      <x:c r="DT507" s="4"/>
      <x:c r="DU507" s="4"/>
      <x:c r="DV507" s="4"/>
      <x:c r="DW507" s="4"/>
      <x:c r="DX507" s="4"/>
      <x:c r="DY507" s="4"/>
      <x:c r="DZ507" s="4"/>
      <x:c r="EA507" s="4"/>
      <x:c r="EB507" s="4"/>
      <x:c r="EC507" s="4"/>
      <x:c r="ED507" s="4"/>
      <x:c r="EE507" s="4"/>
      <x:c r="EF507" s="4"/>
      <x:c r="EG507" s="4"/>
      <x:c r="EH507" s="4"/>
      <x:c r="EI507" s="4"/>
      <x:c r="EJ507" s="4"/>
      <x:c r="EK507" s="4"/>
      <x:c r="EL507" s="4"/>
      <x:c r="EM507" s="4"/>
      <x:c r="EN507" s="4"/>
      <x:c r="EO507" s="4"/>
      <x:c r="EP507" s="4"/>
      <x:c r="EQ507" s="4"/>
      <x:c r="ER507" s="4"/>
      <x:c r="ES507" s="4"/>
      <x:c r="ET507" s="4"/>
      <x:c r="EU507" s="4"/>
      <x:c r="EV507" s="4"/>
      <x:c r="EW507" s="4"/>
      <x:c r="EX507" s="4"/>
      <x:c r="EY507" s="4"/>
      <x:c r="EZ507" s="4"/>
      <x:c r="FA507" s="4"/>
      <x:c r="FB507" s="4"/>
      <x:c r="FC507" s="4"/>
      <x:c r="FD507" s="4"/>
      <x:c r="FE507" s="4"/>
      <x:c r="FF507" s="4"/>
      <x:c r="FG507" s="4"/>
      <x:c r="FH507" s="4"/>
      <x:c r="FI507" s="4"/>
      <x:c r="FJ507" s="4"/>
      <x:c r="FK507" s="4"/>
      <x:c r="FL507" s="4"/>
      <x:c r="FM507" s="4"/>
      <x:c r="FN507" s="4"/>
      <x:c r="FO507" s="4"/>
    </x:row>
    <x:row r="508">
      <x:c r="A508" s="72"/>
      <x:c r="B508" s="72"/>
      <x:c r="C508" s="72"/>
      <x:c r="D508" s="72"/>
      <x:c r="E508" s="72"/>
      <x:c r="F508" s="72"/>
      <x:c r="G508" s="72"/>
      <x:c r="H508" s="72"/>
      <x:c r="I508" s="72"/>
      <x:c r="J508" s="72"/>
      <x:c r="K508" s="72"/>
      <x:c r="L508" s="72"/>
      <x:c r="M508" s="72"/>
      <x:c r="N508" s="72"/>
      <x:c r="O508" s="72"/>
      <x:c r="P508" s="72"/>
      <x:c r="Q508" s="72"/>
      <x:c r="R508" s="72"/>
      <x:c r="S508" s="72"/>
      <x:c r="T508" s="72"/>
      <x:c r="U508" s="72"/>
      <x:c r="V508" s="72"/>
      <x:c r="W508" s="72"/>
      <x:c r="X508" s="72"/>
      <x:c r="Y508" s="72"/>
      <x:c r="Z508" s="72"/>
      <x:c r="AA508" s="72"/>
      <x:c r="AB508" s="72"/>
      <x:c r="AC508" s="72"/>
      <x:c r="AD508" s="72"/>
      <x:c r="AE508" s="72"/>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x:c r="BN508" s="4"/>
      <x:c r="BO508" s="4"/>
      <x:c r="BP508" s="4"/>
      <x:c r="BQ508" s="4"/>
      <x:c r="BR508" s="4"/>
      <x:c r="BS508" s="4"/>
      <x:c r="BT508" s="4"/>
      <x:c r="BU508" s="4"/>
      <x:c r="BV508" s="4"/>
      <x:c r="BW508" s="4"/>
      <x:c r="BX508" s="4"/>
      <x:c r="BY508" s="4"/>
      <x:c r="BZ508" s="4"/>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x:c r="DB508" s="4"/>
      <x:c r="DC508" s="4"/>
      <x:c r="DD508" s="4"/>
      <x:c r="DE508" s="4"/>
      <x:c r="DF508" s="4"/>
      <x:c r="DG508" s="4"/>
      <x:c r="DH508" s="4"/>
      <x:c r="DI508" s="4"/>
      <x:c r="DJ508" s="4"/>
      <x:c r="DK508" s="4"/>
      <x:c r="DL508" s="4"/>
      <x:c r="DM508" s="4"/>
      <x:c r="DN508" s="4"/>
      <x:c r="DO508" s="4"/>
      <x:c r="DP508" s="4"/>
      <x:c r="DQ508" s="4"/>
      <x:c r="DR508" s="4"/>
      <x:c r="DS508" s="4"/>
      <x:c r="DT508" s="4"/>
      <x:c r="DU508" s="4"/>
      <x:c r="DV508" s="4"/>
      <x:c r="DW508" s="4"/>
      <x:c r="DX508" s="4"/>
      <x:c r="DY508" s="4"/>
      <x:c r="DZ508" s="4"/>
      <x:c r="EA508" s="4"/>
      <x:c r="EB508" s="4"/>
      <x:c r="EC508" s="4"/>
      <x:c r="ED508" s="4"/>
      <x:c r="EE508" s="4"/>
      <x:c r="EF508" s="4"/>
      <x:c r="EG508" s="4"/>
      <x:c r="EH508" s="4"/>
      <x:c r="EI508" s="4"/>
      <x:c r="EJ508" s="4"/>
      <x:c r="EK508" s="4"/>
      <x:c r="EL508" s="4"/>
      <x:c r="EM508" s="4"/>
      <x:c r="EN508" s="4"/>
      <x:c r="EO508" s="4"/>
      <x:c r="EP508" s="4"/>
      <x:c r="EQ508" s="4"/>
      <x:c r="ER508" s="4"/>
      <x:c r="ES508" s="4"/>
      <x:c r="ET508" s="4"/>
      <x:c r="EU508" s="4"/>
      <x:c r="EV508" s="4"/>
      <x:c r="EW508" s="4"/>
      <x:c r="EX508" s="4"/>
      <x:c r="EY508" s="4"/>
      <x:c r="EZ508" s="4"/>
      <x:c r="FA508" s="4"/>
      <x:c r="FB508" s="4"/>
      <x:c r="FC508" s="4"/>
      <x:c r="FD508" s="4"/>
      <x:c r="FE508" s="4"/>
      <x:c r="FF508" s="4"/>
      <x:c r="FG508" s="4"/>
      <x:c r="FH508" s="4"/>
      <x:c r="FI508" s="4"/>
      <x:c r="FJ508" s="4"/>
      <x:c r="FK508" s="4"/>
      <x:c r="FL508" s="4"/>
      <x:c r="FM508" s="4"/>
      <x:c r="FN508" s="4"/>
      <x:c r="FO508" s="4"/>
    </x:row>
    <x:row r="509">
      <x:c r="A509" s="72"/>
      <x:c r="B509" s="72"/>
      <x:c r="C509" s="72"/>
      <x:c r="D509" s="72"/>
      <x:c r="E509" s="72"/>
      <x:c r="F509" s="72"/>
      <x:c r="G509" s="72"/>
      <x:c r="H509" s="72"/>
      <x:c r="I509" s="72"/>
      <x:c r="J509" s="72"/>
      <x:c r="K509" s="72"/>
      <x:c r="L509" s="72"/>
      <x:c r="M509" s="72"/>
      <x:c r="N509" s="72"/>
      <x:c r="O509" s="72"/>
      <x:c r="P509" s="72"/>
      <x:c r="Q509" s="72"/>
      <x:c r="R509" s="72"/>
      <x:c r="S509" s="72"/>
      <x:c r="T509" s="72"/>
      <x:c r="U509" s="72"/>
      <x:c r="V509" s="72"/>
      <x:c r="W509" s="72"/>
      <x:c r="X509" s="72"/>
      <x:c r="Y509" s="72"/>
      <x:c r="Z509" s="72"/>
      <x:c r="AA509" s="72"/>
      <x:c r="AB509" s="72"/>
      <x:c r="AC509" s="72"/>
      <x:c r="AD509" s="72"/>
      <x:c r="AE509" s="72"/>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x:c r="BN509" s="4"/>
      <x:c r="BO509" s="4"/>
      <x:c r="BP509" s="4"/>
      <x:c r="BQ509" s="4"/>
      <x:c r="BR509" s="4"/>
      <x:c r="BS509" s="4"/>
      <x:c r="BT509" s="4"/>
      <x:c r="BU509" s="4"/>
      <x:c r="BV509" s="4"/>
      <x:c r="BW509" s="4"/>
      <x:c r="BX509" s="4"/>
      <x:c r="BY509" s="4"/>
      <x:c r="BZ509" s="4"/>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x:c r="DB509" s="4"/>
      <x:c r="DC509" s="4"/>
      <x:c r="DD509" s="4"/>
      <x:c r="DE509" s="4"/>
      <x:c r="DF509" s="4"/>
      <x:c r="DG509" s="4"/>
      <x:c r="DH509" s="4"/>
      <x:c r="DI509" s="4"/>
      <x:c r="DJ509" s="4"/>
      <x:c r="DK509" s="4"/>
      <x:c r="DL509" s="4"/>
      <x:c r="DM509" s="4"/>
      <x:c r="DN509" s="4"/>
      <x:c r="DO509" s="4"/>
      <x:c r="DP509" s="4"/>
      <x:c r="DQ509" s="4"/>
      <x:c r="DR509" s="4"/>
      <x:c r="DS509" s="4"/>
      <x:c r="DT509" s="4"/>
      <x:c r="DU509" s="4"/>
      <x:c r="DV509" s="4"/>
      <x:c r="DW509" s="4"/>
      <x:c r="DX509" s="4"/>
      <x:c r="DY509" s="4"/>
      <x:c r="DZ509" s="4"/>
      <x:c r="EA509" s="4"/>
      <x:c r="EB509" s="4"/>
      <x:c r="EC509" s="4"/>
      <x:c r="ED509" s="4"/>
      <x:c r="EE509" s="4"/>
      <x:c r="EF509" s="4"/>
      <x:c r="EG509" s="4"/>
      <x:c r="EH509" s="4"/>
      <x:c r="EI509" s="4"/>
      <x:c r="EJ509" s="4"/>
      <x:c r="EK509" s="4"/>
      <x:c r="EL509" s="4"/>
      <x:c r="EM509" s="4"/>
      <x:c r="EN509" s="4"/>
      <x:c r="EO509" s="4"/>
      <x:c r="EP509" s="4"/>
      <x:c r="EQ509" s="4"/>
      <x:c r="ER509" s="4"/>
      <x:c r="ES509" s="4"/>
      <x:c r="ET509" s="4"/>
      <x:c r="EU509" s="4"/>
      <x:c r="EV509" s="4"/>
      <x:c r="EW509" s="4"/>
      <x:c r="EX509" s="4"/>
      <x:c r="EY509" s="4"/>
      <x:c r="EZ509" s="4"/>
      <x:c r="FA509" s="4"/>
      <x:c r="FB509" s="4"/>
      <x:c r="FC509" s="4"/>
      <x:c r="FD509" s="4"/>
      <x:c r="FE509" s="4"/>
      <x:c r="FF509" s="4"/>
      <x:c r="FG509" s="4"/>
      <x:c r="FH509" s="4"/>
      <x:c r="FI509" s="4"/>
      <x:c r="FJ509" s="4"/>
      <x:c r="FK509" s="4"/>
      <x:c r="FL509" s="4"/>
      <x:c r="FM509" s="4"/>
      <x:c r="FN509" s="4"/>
      <x:c r="FO509" s="4"/>
    </x:row>
    <x:row r="510">
      <x:c r="A510" s="72"/>
      <x:c r="B510" s="72"/>
      <x:c r="C510" s="72"/>
      <x:c r="D510" s="72"/>
      <x:c r="E510" s="72"/>
      <x:c r="F510" s="72"/>
      <x:c r="G510" s="72"/>
      <x:c r="H510" s="72"/>
      <x:c r="I510" s="72"/>
      <x:c r="J510" s="72"/>
      <x:c r="K510" s="72"/>
      <x:c r="L510" s="72"/>
      <x:c r="M510" s="72"/>
      <x:c r="N510" s="72"/>
      <x:c r="O510" s="72"/>
      <x:c r="P510" s="72"/>
      <x:c r="Q510" s="72"/>
      <x:c r="R510" s="72"/>
      <x:c r="S510" s="72"/>
      <x:c r="T510" s="72"/>
      <x:c r="U510" s="72"/>
      <x:c r="V510" s="72"/>
      <x:c r="W510" s="72"/>
      <x:c r="X510" s="72"/>
      <x:c r="Y510" s="72"/>
      <x:c r="Z510" s="72"/>
      <x:c r="AA510" s="72"/>
      <x:c r="AB510" s="72"/>
      <x:c r="AC510" s="72"/>
      <x:c r="AD510" s="72"/>
      <x:c r="AE510" s="72"/>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x:c r="BN510" s="4"/>
      <x:c r="BO510" s="4"/>
      <x:c r="BP510" s="4"/>
      <x:c r="BQ510" s="4"/>
      <x:c r="BR510" s="4"/>
      <x:c r="BS510" s="4"/>
      <x:c r="BT510" s="4"/>
      <x:c r="BU510" s="4"/>
      <x:c r="BV510" s="4"/>
      <x:c r="BW510" s="4"/>
      <x:c r="BX510" s="4"/>
      <x:c r="BY510" s="4"/>
      <x:c r="BZ510" s="4"/>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x:c r="DB510" s="4"/>
      <x:c r="DC510" s="4"/>
      <x:c r="DD510" s="4"/>
      <x:c r="DE510" s="4"/>
      <x:c r="DF510" s="4"/>
      <x:c r="DG510" s="4"/>
      <x:c r="DH510" s="4"/>
      <x:c r="DI510" s="4"/>
      <x:c r="DJ510" s="4"/>
      <x:c r="DK510" s="4"/>
      <x:c r="DL510" s="4"/>
      <x:c r="DM510" s="4"/>
      <x:c r="DN510" s="4"/>
      <x:c r="DO510" s="4"/>
      <x:c r="DP510" s="4"/>
      <x:c r="DQ510" s="4"/>
      <x:c r="DR510" s="4"/>
      <x:c r="DS510" s="4"/>
      <x:c r="DT510" s="4"/>
      <x:c r="DU510" s="4"/>
      <x:c r="DV510" s="4"/>
      <x:c r="DW510" s="4"/>
      <x:c r="DX510" s="4"/>
      <x:c r="DY510" s="4"/>
      <x:c r="DZ510" s="4"/>
      <x:c r="EA510" s="4"/>
      <x:c r="EB510" s="4"/>
      <x:c r="EC510" s="4"/>
      <x:c r="ED510" s="4"/>
      <x:c r="EE510" s="4"/>
      <x:c r="EF510" s="4"/>
      <x:c r="EG510" s="4"/>
      <x:c r="EH510" s="4"/>
      <x:c r="EI510" s="4"/>
      <x:c r="EJ510" s="4"/>
      <x:c r="EK510" s="4"/>
      <x:c r="EL510" s="4"/>
      <x:c r="EM510" s="4"/>
      <x:c r="EN510" s="4"/>
      <x:c r="EO510" s="4"/>
      <x:c r="EP510" s="4"/>
      <x:c r="EQ510" s="4"/>
      <x:c r="ER510" s="4"/>
      <x:c r="ES510" s="4"/>
      <x:c r="ET510" s="4"/>
      <x:c r="EU510" s="4"/>
      <x:c r="EV510" s="4"/>
      <x:c r="EW510" s="4"/>
      <x:c r="EX510" s="4"/>
      <x:c r="EY510" s="4"/>
      <x:c r="EZ510" s="4"/>
      <x:c r="FA510" s="4"/>
      <x:c r="FB510" s="4"/>
      <x:c r="FC510" s="4"/>
      <x:c r="FD510" s="4"/>
      <x:c r="FE510" s="4"/>
      <x:c r="FF510" s="4"/>
      <x:c r="FG510" s="4"/>
      <x:c r="FH510" s="4"/>
      <x:c r="FI510" s="4"/>
      <x:c r="FJ510" s="4"/>
      <x:c r="FK510" s="4"/>
      <x:c r="FL510" s="4"/>
      <x:c r="FM510" s="4"/>
      <x:c r="FN510" s="4"/>
      <x:c r="FO510" s="4"/>
    </x:row>
    <x:row r="511">
      <x:c r="A511" s="72"/>
      <x:c r="B511" s="72"/>
      <x:c r="C511" s="72"/>
      <x:c r="D511" s="72"/>
      <x:c r="E511" s="72"/>
      <x:c r="F511" s="72"/>
      <x:c r="G511" s="72"/>
      <x:c r="H511" s="72"/>
      <x:c r="I511" s="72"/>
      <x:c r="J511" s="72"/>
      <x:c r="K511" s="72"/>
      <x:c r="L511" s="72"/>
      <x:c r="M511" s="72"/>
      <x:c r="N511" s="72"/>
      <x:c r="O511" s="72"/>
      <x:c r="P511" s="72"/>
      <x:c r="Q511" s="72"/>
      <x:c r="R511" s="72"/>
      <x:c r="S511" s="72"/>
      <x:c r="T511" s="72"/>
      <x:c r="U511" s="72"/>
      <x:c r="V511" s="72"/>
      <x:c r="W511" s="72"/>
      <x:c r="X511" s="72"/>
      <x:c r="Y511" s="72"/>
      <x:c r="Z511" s="72"/>
      <x:c r="AA511" s="72"/>
      <x:c r="AB511" s="72"/>
      <x:c r="AC511" s="72"/>
      <x:c r="AD511" s="72"/>
      <x:c r="AE511" s="72"/>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x:c r="BN511" s="4"/>
      <x:c r="BO511" s="4"/>
      <x:c r="BP511" s="4"/>
      <x:c r="BQ511" s="4"/>
      <x:c r="BR511" s="4"/>
      <x:c r="BS511" s="4"/>
      <x:c r="BT511" s="4"/>
      <x:c r="BU511" s="4"/>
      <x:c r="BV511" s="4"/>
      <x:c r="BW511" s="4"/>
      <x:c r="BX511" s="4"/>
      <x:c r="BY511" s="4"/>
      <x:c r="BZ511" s="4"/>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x:c r="DB511" s="4"/>
      <x:c r="DC511" s="4"/>
      <x:c r="DD511" s="4"/>
      <x:c r="DE511" s="4"/>
      <x:c r="DF511" s="4"/>
      <x:c r="DG511" s="4"/>
      <x:c r="DH511" s="4"/>
      <x:c r="DI511" s="4"/>
      <x:c r="DJ511" s="4"/>
      <x:c r="DK511" s="4"/>
      <x:c r="DL511" s="4"/>
      <x:c r="DM511" s="4"/>
      <x:c r="DN511" s="4"/>
      <x:c r="DO511" s="4"/>
      <x:c r="DP511" s="4"/>
      <x:c r="DQ511" s="4"/>
      <x:c r="DR511" s="4"/>
      <x:c r="DS511" s="4"/>
      <x:c r="DT511" s="4"/>
      <x:c r="DU511" s="4"/>
      <x:c r="DV511" s="4"/>
      <x:c r="DW511" s="4"/>
      <x:c r="DX511" s="4"/>
      <x:c r="DY511" s="4"/>
      <x:c r="DZ511" s="4"/>
      <x:c r="EA511" s="4"/>
      <x:c r="EB511" s="4"/>
      <x:c r="EC511" s="4"/>
      <x:c r="ED511" s="4"/>
      <x:c r="EE511" s="4"/>
      <x:c r="EF511" s="4"/>
      <x:c r="EG511" s="4"/>
      <x:c r="EH511" s="4"/>
      <x:c r="EI511" s="4"/>
      <x:c r="EJ511" s="4"/>
      <x:c r="EK511" s="4"/>
      <x:c r="EL511" s="4"/>
      <x:c r="EM511" s="4"/>
      <x:c r="EN511" s="4"/>
      <x:c r="EO511" s="4"/>
      <x:c r="EP511" s="4"/>
      <x:c r="EQ511" s="4"/>
      <x:c r="ER511" s="4"/>
      <x:c r="ES511" s="4"/>
      <x:c r="ET511" s="4"/>
      <x:c r="EU511" s="4"/>
      <x:c r="EV511" s="4"/>
      <x:c r="EW511" s="4"/>
      <x:c r="EX511" s="4"/>
      <x:c r="EY511" s="4"/>
      <x:c r="EZ511" s="4"/>
      <x:c r="FA511" s="4"/>
      <x:c r="FB511" s="4"/>
      <x:c r="FC511" s="4"/>
      <x:c r="FD511" s="4"/>
      <x:c r="FE511" s="4"/>
      <x:c r="FF511" s="4"/>
      <x:c r="FG511" s="4"/>
      <x:c r="FH511" s="4"/>
      <x:c r="FI511" s="4"/>
      <x:c r="FJ511" s="4"/>
      <x:c r="FK511" s="4"/>
      <x:c r="FL511" s="4"/>
      <x:c r="FM511" s="4"/>
      <x:c r="FN511" s="4"/>
      <x:c r="FO511" s="4"/>
    </x:row>
    <x:row r="512">
      <x:c r="A512" s="72"/>
      <x:c r="B512" s="72"/>
      <x:c r="C512" s="72"/>
      <x:c r="D512" s="72"/>
      <x:c r="E512" s="72"/>
      <x:c r="F512" s="72"/>
      <x:c r="G512" s="72"/>
      <x:c r="H512" s="72"/>
      <x:c r="I512" s="72"/>
      <x:c r="J512" s="72"/>
      <x:c r="K512" s="72"/>
      <x:c r="L512" s="72"/>
      <x:c r="M512" s="72"/>
      <x:c r="N512" s="72"/>
      <x:c r="O512" s="72"/>
      <x:c r="P512" s="72"/>
      <x:c r="Q512" s="72"/>
      <x:c r="R512" s="72"/>
      <x:c r="S512" s="72"/>
      <x:c r="T512" s="72"/>
      <x:c r="U512" s="72"/>
      <x:c r="V512" s="72"/>
      <x:c r="W512" s="72"/>
      <x:c r="X512" s="72"/>
      <x:c r="Y512" s="72"/>
      <x:c r="Z512" s="72"/>
      <x:c r="AA512" s="72"/>
      <x:c r="AB512" s="72"/>
      <x:c r="AC512" s="72"/>
      <x:c r="AD512" s="72"/>
      <x:c r="AE512" s="72"/>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x:c r="BN512" s="4"/>
      <x:c r="BO512" s="4"/>
      <x:c r="BP512" s="4"/>
      <x:c r="BQ512" s="4"/>
      <x:c r="BR512" s="4"/>
      <x:c r="BS512" s="4"/>
      <x:c r="BT512" s="4"/>
      <x:c r="BU512" s="4"/>
      <x:c r="BV512" s="4"/>
      <x:c r="BW512" s="4"/>
      <x:c r="BX512" s="4"/>
      <x:c r="BY512" s="4"/>
      <x:c r="BZ512" s="4"/>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x:c r="DB512" s="4"/>
      <x:c r="DC512" s="4"/>
      <x:c r="DD512" s="4"/>
      <x:c r="DE512" s="4"/>
      <x:c r="DF512" s="4"/>
      <x:c r="DG512" s="4"/>
      <x:c r="DH512" s="4"/>
      <x:c r="DI512" s="4"/>
      <x:c r="DJ512" s="4"/>
      <x:c r="DK512" s="4"/>
      <x:c r="DL512" s="4"/>
      <x:c r="DM512" s="4"/>
      <x:c r="DN512" s="4"/>
      <x:c r="DO512" s="4"/>
      <x:c r="DP512" s="4"/>
      <x:c r="DQ512" s="4"/>
      <x:c r="DR512" s="4"/>
      <x:c r="DS512" s="4"/>
      <x:c r="DT512" s="4"/>
      <x:c r="DU512" s="4"/>
      <x:c r="DV512" s="4"/>
      <x:c r="DW512" s="4"/>
      <x:c r="DX512" s="4"/>
      <x:c r="DY512" s="4"/>
      <x:c r="DZ512" s="4"/>
      <x:c r="EA512" s="4"/>
      <x:c r="EB512" s="4"/>
      <x:c r="EC512" s="4"/>
      <x:c r="ED512" s="4"/>
      <x:c r="EE512" s="4"/>
      <x:c r="EF512" s="4"/>
      <x:c r="EG512" s="4"/>
      <x:c r="EH512" s="4"/>
      <x:c r="EI512" s="4"/>
      <x:c r="EJ512" s="4"/>
      <x:c r="EK512" s="4"/>
      <x:c r="EL512" s="4"/>
      <x:c r="EM512" s="4"/>
      <x:c r="EN512" s="4"/>
      <x:c r="EO512" s="4"/>
      <x:c r="EP512" s="4"/>
      <x:c r="EQ512" s="4"/>
      <x:c r="ER512" s="4"/>
      <x:c r="ES512" s="4"/>
      <x:c r="ET512" s="4"/>
      <x:c r="EU512" s="4"/>
      <x:c r="EV512" s="4"/>
      <x:c r="EW512" s="4"/>
      <x:c r="EX512" s="4"/>
      <x:c r="EY512" s="4"/>
      <x:c r="EZ512" s="4"/>
      <x:c r="FA512" s="4"/>
      <x:c r="FB512" s="4"/>
      <x:c r="FC512" s="4"/>
      <x:c r="FD512" s="4"/>
      <x:c r="FE512" s="4"/>
      <x:c r="FF512" s="4"/>
      <x:c r="FG512" s="4"/>
      <x:c r="FH512" s="4"/>
      <x:c r="FI512" s="4"/>
      <x:c r="FJ512" s="4"/>
      <x:c r="FK512" s="4"/>
      <x:c r="FL512" s="4"/>
      <x:c r="FM512" s="4"/>
      <x:c r="FN512" s="4"/>
      <x:c r="FO512" s="4"/>
    </x:row>
    <x:row r="513">
      <x:c r="A513" s="72"/>
      <x:c r="B513" s="72"/>
      <x:c r="C513" s="72"/>
      <x:c r="D513" s="72"/>
      <x:c r="E513" s="72"/>
      <x:c r="F513" s="72"/>
      <x:c r="G513" s="72"/>
      <x:c r="H513" s="72"/>
      <x:c r="I513" s="72"/>
      <x:c r="J513" s="72"/>
      <x:c r="K513" s="72"/>
      <x:c r="L513" s="72"/>
      <x:c r="M513" s="72"/>
      <x:c r="N513" s="72"/>
      <x:c r="O513" s="72"/>
      <x:c r="P513" s="72"/>
      <x:c r="Q513" s="72"/>
      <x:c r="R513" s="72"/>
      <x:c r="S513" s="72"/>
      <x:c r="T513" s="72"/>
      <x:c r="U513" s="72"/>
      <x:c r="V513" s="72"/>
      <x:c r="W513" s="72"/>
      <x:c r="X513" s="72"/>
      <x:c r="Y513" s="72"/>
      <x:c r="Z513" s="72"/>
      <x:c r="AA513" s="72"/>
      <x:c r="AB513" s="72"/>
      <x:c r="AC513" s="72"/>
      <x:c r="AD513" s="72"/>
      <x:c r="AE513" s="72"/>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4"/>
      <x:c r="DQ513" s="4"/>
      <x:c r="DR513" s="4"/>
      <x:c r="DS513" s="4"/>
      <x:c r="DT513" s="4"/>
      <x:c r="DU513" s="4"/>
      <x:c r="DV513" s="4"/>
      <x:c r="DW513" s="4"/>
      <x:c r="DX513" s="4"/>
      <x:c r="DY513" s="4"/>
      <x:c r="DZ513" s="4"/>
      <x:c r="EA513" s="4"/>
      <x:c r="EB513" s="4"/>
      <x:c r="EC513" s="4"/>
      <x:c r="ED513" s="4"/>
      <x:c r="EE513" s="4"/>
      <x:c r="EF513" s="4"/>
      <x:c r="EG513" s="4"/>
      <x:c r="EH513" s="4"/>
      <x:c r="EI513" s="4"/>
      <x:c r="EJ513" s="4"/>
      <x:c r="EK513" s="4"/>
      <x:c r="EL513" s="4"/>
      <x:c r="EM513" s="4"/>
      <x:c r="EN513" s="4"/>
      <x:c r="EO513" s="4"/>
      <x:c r="EP513" s="4"/>
      <x:c r="EQ513" s="4"/>
      <x:c r="ER513" s="4"/>
      <x:c r="ES513" s="4"/>
      <x:c r="ET513" s="4"/>
      <x:c r="EU513" s="4"/>
      <x:c r="EV513" s="4"/>
      <x:c r="EW513" s="4"/>
      <x:c r="EX513" s="4"/>
      <x:c r="EY513" s="4"/>
      <x:c r="EZ513" s="4"/>
      <x:c r="FA513" s="4"/>
      <x:c r="FB513" s="4"/>
      <x:c r="FC513" s="4"/>
      <x:c r="FD513" s="4"/>
      <x:c r="FE513" s="4"/>
      <x:c r="FF513" s="4"/>
      <x:c r="FG513" s="4"/>
      <x:c r="FH513" s="4"/>
      <x:c r="FI513" s="4"/>
      <x:c r="FJ513" s="4"/>
      <x:c r="FK513" s="4"/>
      <x:c r="FL513" s="4"/>
      <x:c r="FM513" s="4"/>
      <x:c r="FN513" s="4"/>
      <x:c r="FO513" s="4"/>
    </x:row>
    <x:row r="514">
      <x:c r="A514" s="72"/>
      <x:c r="B514" s="72"/>
      <x:c r="C514" s="72"/>
      <x:c r="D514" s="72"/>
      <x:c r="E514" s="72"/>
      <x:c r="F514" s="72"/>
      <x:c r="G514" s="72"/>
      <x:c r="H514" s="72"/>
      <x:c r="I514" s="72"/>
      <x:c r="J514" s="72"/>
      <x:c r="K514" s="72"/>
      <x:c r="L514" s="72"/>
      <x:c r="M514" s="72"/>
      <x:c r="N514" s="72"/>
      <x:c r="O514" s="72"/>
      <x:c r="P514" s="72"/>
      <x:c r="Q514" s="72"/>
      <x:c r="R514" s="72"/>
      <x:c r="S514" s="72"/>
      <x:c r="T514" s="72"/>
      <x:c r="U514" s="72"/>
      <x:c r="V514" s="72"/>
      <x:c r="W514" s="72"/>
      <x:c r="X514" s="72"/>
      <x:c r="Y514" s="72"/>
      <x:c r="Z514" s="72"/>
      <x:c r="AA514" s="72"/>
      <x:c r="AB514" s="72"/>
      <x:c r="AC514" s="72"/>
      <x:c r="AD514" s="72"/>
      <x:c r="AE514" s="72"/>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4"/>
      <x:c r="DQ514" s="4"/>
      <x:c r="DR514" s="4"/>
      <x:c r="DS514" s="4"/>
      <x:c r="DT514" s="4"/>
      <x:c r="DU514" s="4"/>
      <x:c r="DV514" s="4"/>
      <x:c r="DW514" s="4"/>
      <x:c r="DX514" s="4"/>
      <x:c r="DY514" s="4"/>
      <x:c r="DZ514" s="4"/>
      <x:c r="EA514" s="4"/>
      <x:c r="EB514" s="4"/>
      <x:c r="EC514" s="4"/>
      <x:c r="ED514" s="4"/>
      <x:c r="EE514" s="4"/>
      <x:c r="EF514" s="4"/>
      <x:c r="EG514" s="4"/>
      <x:c r="EH514" s="4"/>
      <x:c r="EI514" s="4"/>
      <x:c r="EJ514" s="4"/>
      <x:c r="EK514" s="4"/>
      <x:c r="EL514" s="4"/>
      <x:c r="EM514" s="4"/>
      <x:c r="EN514" s="4"/>
      <x:c r="EO514" s="4"/>
      <x:c r="EP514" s="4"/>
      <x:c r="EQ514" s="4"/>
      <x:c r="ER514" s="4"/>
      <x:c r="ES514" s="4"/>
      <x:c r="ET514" s="4"/>
      <x:c r="EU514" s="4"/>
      <x:c r="EV514" s="4"/>
      <x:c r="EW514" s="4"/>
      <x:c r="EX514" s="4"/>
      <x:c r="EY514" s="4"/>
      <x:c r="EZ514" s="4"/>
      <x:c r="FA514" s="4"/>
      <x:c r="FB514" s="4"/>
      <x:c r="FC514" s="4"/>
      <x:c r="FD514" s="4"/>
      <x:c r="FE514" s="4"/>
      <x:c r="FF514" s="4"/>
      <x:c r="FG514" s="4"/>
      <x:c r="FH514" s="4"/>
      <x:c r="FI514" s="4"/>
      <x:c r="FJ514" s="4"/>
      <x:c r="FK514" s="4"/>
      <x:c r="FL514" s="4"/>
      <x:c r="FM514" s="4"/>
      <x:c r="FN514" s="4"/>
      <x:c r="FO514" s="4"/>
    </x:row>
    <x:row r="515">
      <x:c r="A515" s="72"/>
      <x:c r="B515" s="72"/>
      <x:c r="C515" s="72"/>
      <x:c r="D515" s="72"/>
      <x:c r="E515" s="72"/>
      <x:c r="F515" s="72"/>
      <x:c r="G515" s="72"/>
      <x:c r="H515" s="72"/>
      <x:c r="I515" s="72"/>
      <x:c r="J515" s="72"/>
      <x:c r="K515" s="72"/>
      <x:c r="L515" s="72"/>
      <x:c r="M515" s="72"/>
      <x:c r="N515" s="72"/>
      <x:c r="O515" s="72"/>
      <x:c r="P515" s="72"/>
      <x:c r="Q515" s="72"/>
      <x:c r="R515" s="72"/>
      <x:c r="S515" s="72"/>
      <x:c r="T515" s="72"/>
      <x:c r="U515" s="72"/>
      <x:c r="V515" s="72"/>
      <x:c r="W515" s="72"/>
      <x:c r="X515" s="72"/>
      <x:c r="Y515" s="72"/>
      <x:c r="Z515" s="72"/>
      <x:c r="AA515" s="72"/>
      <x:c r="AB515" s="72"/>
      <x:c r="AC515" s="72"/>
      <x:c r="AD515" s="72"/>
      <x:c r="AE515" s="72"/>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4"/>
      <x:c r="DQ515" s="4"/>
      <x:c r="DR515" s="4"/>
      <x:c r="DS515" s="4"/>
      <x:c r="DT515" s="4"/>
      <x:c r="DU515" s="4"/>
      <x:c r="DV515" s="4"/>
      <x:c r="DW515" s="4"/>
      <x:c r="DX515" s="4"/>
      <x:c r="DY515" s="4"/>
      <x:c r="DZ515" s="4"/>
      <x:c r="EA515" s="4"/>
      <x:c r="EB515" s="4"/>
      <x:c r="EC515" s="4"/>
      <x:c r="ED515" s="4"/>
      <x:c r="EE515" s="4"/>
      <x:c r="EF515" s="4"/>
      <x:c r="EG515" s="4"/>
      <x:c r="EH515" s="4"/>
      <x:c r="EI515" s="4"/>
      <x:c r="EJ515" s="4"/>
      <x:c r="EK515" s="4"/>
      <x:c r="EL515" s="4"/>
      <x:c r="EM515" s="4"/>
      <x:c r="EN515" s="4"/>
      <x:c r="EO515" s="4"/>
      <x:c r="EP515" s="4"/>
      <x:c r="EQ515" s="4"/>
      <x:c r="ER515" s="4"/>
      <x:c r="ES515" s="4"/>
      <x:c r="ET515" s="4"/>
      <x:c r="EU515" s="4"/>
      <x:c r="EV515" s="4"/>
      <x:c r="EW515" s="4"/>
      <x:c r="EX515" s="4"/>
      <x:c r="EY515" s="4"/>
      <x:c r="EZ515" s="4"/>
      <x:c r="FA515" s="4"/>
      <x:c r="FB515" s="4"/>
      <x:c r="FC515" s="4"/>
      <x:c r="FD515" s="4"/>
      <x:c r="FE515" s="4"/>
      <x:c r="FF515" s="4"/>
      <x:c r="FG515" s="4"/>
      <x:c r="FH515" s="4"/>
      <x:c r="FI515" s="4"/>
      <x:c r="FJ515" s="4"/>
      <x:c r="FK515" s="4"/>
      <x:c r="FL515" s="4"/>
      <x:c r="FM515" s="4"/>
      <x:c r="FN515" s="4"/>
      <x:c r="FO515" s="4"/>
    </x:row>
    <x:row r="516">
      <x:c r="A516" s="72"/>
      <x:c r="B516" s="72"/>
      <x:c r="C516" s="72"/>
      <x:c r="D516" s="72"/>
      <x:c r="E516" s="72"/>
      <x:c r="F516" s="72"/>
      <x:c r="G516" s="72"/>
      <x:c r="H516" s="72"/>
      <x:c r="I516" s="72"/>
      <x:c r="J516" s="72"/>
      <x:c r="K516" s="72"/>
      <x:c r="L516" s="72"/>
      <x:c r="M516" s="72"/>
      <x:c r="N516" s="72"/>
      <x:c r="O516" s="72"/>
      <x:c r="P516" s="72"/>
      <x:c r="Q516" s="72"/>
      <x:c r="R516" s="72"/>
      <x:c r="S516" s="72"/>
      <x:c r="T516" s="72"/>
      <x:c r="U516" s="72"/>
      <x:c r="V516" s="72"/>
      <x:c r="W516" s="72"/>
      <x:c r="X516" s="72"/>
      <x:c r="Y516" s="72"/>
      <x:c r="Z516" s="72"/>
      <x:c r="AA516" s="72"/>
      <x:c r="AB516" s="72"/>
      <x:c r="AC516" s="72"/>
      <x:c r="AD516" s="72"/>
      <x:c r="AE516" s="72"/>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4"/>
      <x:c r="DQ516" s="4"/>
      <x:c r="DR516" s="4"/>
      <x:c r="DS516" s="4"/>
      <x:c r="DT516" s="4"/>
      <x:c r="DU516" s="4"/>
      <x:c r="DV516" s="4"/>
      <x:c r="DW516" s="4"/>
      <x:c r="DX516" s="4"/>
      <x:c r="DY516" s="4"/>
      <x:c r="DZ516" s="4"/>
      <x:c r="EA516" s="4"/>
      <x:c r="EB516" s="4"/>
      <x:c r="EC516" s="4"/>
      <x:c r="ED516" s="4"/>
      <x:c r="EE516" s="4"/>
      <x:c r="EF516" s="4"/>
      <x:c r="EG516" s="4"/>
      <x:c r="EH516" s="4"/>
      <x:c r="EI516" s="4"/>
      <x:c r="EJ516" s="4"/>
      <x:c r="EK516" s="4"/>
      <x:c r="EL516" s="4"/>
      <x:c r="EM516" s="4"/>
      <x:c r="EN516" s="4"/>
      <x:c r="EO516" s="4"/>
      <x:c r="EP516" s="4"/>
      <x:c r="EQ516" s="4"/>
      <x:c r="ER516" s="4"/>
      <x:c r="ES516" s="4"/>
      <x:c r="ET516" s="4"/>
      <x:c r="EU516" s="4"/>
      <x:c r="EV516" s="4"/>
      <x:c r="EW516" s="4"/>
      <x:c r="EX516" s="4"/>
      <x:c r="EY516" s="4"/>
      <x:c r="EZ516" s="4"/>
      <x:c r="FA516" s="4"/>
      <x:c r="FB516" s="4"/>
      <x:c r="FC516" s="4"/>
      <x:c r="FD516" s="4"/>
      <x:c r="FE516" s="4"/>
      <x:c r="FF516" s="4"/>
      <x:c r="FG516" s="4"/>
      <x:c r="FH516" s="4"/>
      <x:c r="FI516" s="4"/>
      <x:c r="FJ516" s="4"/>
      <x:c r="FK516" s="4"/>
      <x:c r="FL516" s="4"/>
      <x:c r="FM516" s="4"/>
      <x:c r="FN516" s="4"/>
      <x:c r="FO516" s="4"/>
    </x:row>
    <x:row r="517">
      <x:c r="A517" s="72"/>
      <x:c r="B517" s="72"/>
      <x:c r="C517" s="72"/>
      <x:c r="D517" s="72"/>
      <x:c r="E517" s="72"/>
      <x:c r="F517" s="72"/>
      <x:c r="G517" s="72"/>
      <x:c r="H517" s="72"/>
      <x:c r="I517" s="72"/>
      <x:c r="J517" s="72"/>
      <x:c r="K517" s="72"/>
      <x:c r="L517" s="72"/>
      <x:c r="M517" s="72"/>
      <x:c r="N517" s="72"/>
      <x:c r="O517" s="72"/>
      <x:c r="P517" s="72"/>
      <x:c r="Q517" s="72"/>
      <x:c r="R517" s="72"/>
      <x:c r="S517" s="72"/>
      <x:c r="T517" s="72"/>
      <x:c r="U517" s="72"/>
      <x:c r="V517" s="72"/>
      <x:c r="W517" s="72"/>
      <x:c r="X517" s="72"/>
      <x:c r="Y517" s="72"/>
      <x:c r="Z517" s="72"/>
      <x:c r="AA517" s="72"/>
      <x:c r="AB517" s="72"/>
      <x:c r="AC517" s="72"/>
      <x:c r="AD517" s="72"/>
      <x:c r="AE517" s="72"/>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4"/>
      <x:c r="DQ517" s="4"/>
      <x:c r="DR517" s="4"/>
      <x:c r="DS517" s="4"/>
      <x:c r="DT517" s="4"/>
      <x:c r="DU517" s="4"/>
      <x:c r="DV517" s="4"/>
      <x:c r="DW517" s="4"/>
      <x:c r="DX517" s="4"/>
      <x:c r="DY517" s="4"/>
      <x:c r="DZ517" s="4"/>
      <x:c r="EA517" s="4"/>
      <x:c r="EB517" s="4"/>
      <x:c r="EC517" s="4"/>
      <x:c r="ED517" s="4"/>
      <x:c r="EE517" s="4"/>
      <x:c r="EF517" s="4"/>
      <x:c r="EG517" s="4"/>
      <x:c r="EH517" s="4"/>
      <x:c r="EI517" s="4"/>
      <x:c r="EJ517" s="4"/>
      <x:c r="EK517" s="4"/>
      <x:c r="EL517" s="4"/>
      <x:c r="EM517" s="4"/>
      <x:c r="EN517" s="4"/>
      <x:c r="EO517" s="4"/>
      <x:c r="EP517" s="4"/>
      <x:c r="EQ517" s="4"/>
      <x:c r="ER517" s="4"/>
      <x:c r="ES517" s="4"/>
      <x:c r="ET517" s="4"/>
      <x:c r="EU517" s="4"/>
      <x:c r="EV517" s="4"/>
      <x:c r="EW517" s="4"/>
      <x:c r="EX517" s="4"/>
      <x:c r="EY517" s="4"/>
      <x:c r="EZ517" s="4"/>
      <x:c r="FA517" s="4"/>
      <x:c r="FB517" s="4"/>
      <x:c r="FC517" s="4"/>
      <x:c r="FD517" s="4"/>
      <x:c r="FE517" s="4"/>
      <x:c r="FF517" s="4"/>
      <x:c r="FG517" s="4"/>
      <x:c r="FH517" s="4"/>
      <x:c r="FI517" s="4"/>
      <x:c r="FJ517" s="4"/>
      <x:c r="FK517" s="4"/>
      <x:c r="FL517" s="4"/>
      <x:c r="FM517" s="4"/>
      <x:c r="FN517" s="4"/>
      <x:c r="FO517" s="4"/>
    </x:row>
    <x:row r="518">
      <x:c r="A518" s="72"/>
      <x:c r="B518" s="72"/>
      <x:c r="C518" s="72"/>
      <x:c r="D518" s="72"/>
      <x:c r="E518" s="72"/>
      <x:c r="F518" s="72"/>
      <x:c r="G518" s="72"/>
      <x:c r="H518" s="72"/>
      <x:c r="I518" s="72"/>
      <x:c r="J518" s="72"/>
      <x:c r="K518" s="72"/>
      <x:c r="L518" s="72"/>
      <x:c r="M518" s="72"/>
      <x:c r="N518" s="72"/>
      <x:c r="O518" s="72"/>
      <x:c r="P518" s="72"/>
      <x:c r="Q518" s="72"/>
      <x:c r="R518" s="72"/>
      <x:c r="S518" s="72"/>
      <x:c r="T518" s="72"/>
      <x:c r="U518" s="72"/>
      <x:c r="V518" s="72"/>
      <x:c r="W518" s="72"/>
      <x:c r="X518" s="72"/>
      <x:c r="Y518" s="72"/>
      <x:c r="Z518" s="72"/>
      <x:c r="AA518" s="72"/>
      <x:c r="AB518" s="72"/>
      <x:c r="AC518" s="72"/>
      <x:c r="AD518" s="72"/>
      <x:c r="AE518" s="72"/>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4"/>
      <x:c r="DQ518" s="4"/>
      <x:c r="DR518" s="4"/>
      <x:c r="DS518" s="4"/>
      <x:c r="DT518" s="4"/>
      <x:c r="DU518" s="4"/>
      <x:c r="DV518" s="4"/>
      <x:c r="DW518" s="4"/>
      <x:c r="DX518" s="4"/>
      <x:c r="DY518" s="4"/>
      <x:c r="DZ518" s="4"/>
      <x:c r="EA518" s="4"/>
      <x:c r="EB518" s="4"/>
      <x:c r="EC518" s="4"/>
      <x:c r="ED518" s="4"/>
      <x:c r="EE518" s="4"/>
      <x:c r="EF518" s="4"/>
      <x:c r="EG518" s="4"/>
      <x:c r="EH518" s="4"/>
      <x:c r="EI518" s="4"/>
      <x:c r="EJ518" s="4"/>
      <x:c r="EK518" s="4"/>
      <x:c r="EL518" s="4"/>
      <x:c r="EM518" s="4"/>
      <x:c r="EN518" s="4"/>
      <x:c r="EO518" s="4"/>
      <x:c r="EP518" s="4"/>
      <x:c r="EQ518" s="4"/>
      <x:c r="ER518" s="4"/>
      <x:c r="ES518" s="4"/>
      <x:c r="ET518" s="4"/>
      <x:c r="EU518" s="4"/>
      <x:c r="EV518" s="4"/>
      <x:c r="EW518" s="4"/>
      <x:c r="EX518" s="4"/>
      <x:c r="EY518" s="4"/>
      <x:c r="EZ518" s="4"/>
      <x:c r="FA518" s="4"/>
      <x:c r="FB518" s="4"/>
      <x:c r="FC518" s="4"/>
      <x:c r="FD518" s="4"/>
      <x:c r="FE518" s="4"/>
      <x:c r="FF518" s="4"/>
      <x:c r="FG518" s="4"/>
      <x:c r="FH518" s="4"/>
      <x:c r="FI518" s="4"/>
      <x:c r="FJ518" s="4"/>
      <x:c r="FK518" s="4"/>
      <x:c r="FL518" s="4"/>
      <x:c r="FM518" s="4"/>
      <x:c r="FN518" s="4"/>
      <x:c r="FO518" s="4"/>
    </x:row>
    <x:row r="519">
      <x:c r="A519" s="72"/>
      <x:c r="B519" s="72"/>
      <x:c r="C519" s="72"/>
      <x:c r="D519" s="72"/>
      <x:c r="E519" s="72"/>
      <x:c r="F519" s="72"/>
      <x:c r="G519" s="72"/>
      <x:c r="H519" s="72"/>
      <x:c r="I519" s="72"/>
      <x:c r="J519" s="72"/>
      <x:c r="K519" s="72"/>
      <x:c r="L519" s="72"/>
      <x:c r="M519" s="72"/>
      <x:c r="N519" s="72"/>
      <x:c r="O519" s="72"/>
      <x:c r="P519" s="72"/>
      <x:c r="Q519" s="72"/>
      <x:c r="R519" s="72"/>
      <x:c r="S519" s="72"/>
      <x:c r="T519" s="72"/>
      <x:c r="U519" s="72"/>
      <x:c r="V519" s="72"/>
      <x:c r="W519" s="72"/>
      <x:c r="X519" s="72"/>
      <x:c r="Y519" s="72"/>
      <x:c r="Z519" s="72"/>
      <x:c r="AA519" s="72"/>
      <x:c r="AB519" s="72"/>
      <x:c r="AC519" s="72"/>
      <x:c r="AD519" s="72"/>
      <x:c r="AE519" s="72"/>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4"/>
      <x:c r="DQ519" s="4"/>
      <x:c r="DR519" s="4"/>
      <x:c r="DS519" s="4"/>
      <x:c r="DT519" s="4"/>
      <x:c r="DU519" s="4"/>
      <x:c r="DV519" s="4"/>
      <x:c r="DW519" s="4"/>
      <x:c r="DX519" s="4"/>
      <x:c r="DY519" s="4"/>
      <x:c r="DZ519" s="4"/>
      <x:c r="EA519" s="4"/>
      <x:c r="EB519" s="4"/>
      <x:c r="EC519" s="4"/>
      <x:c r="ED519" s="4"/>
      <x:c r="EE519" s="4"/>
      <x:c r="EF519" s="4"/>
      <x:c r="EG519" s="4"/>
      <x:c r="EH519" s="4"/>
      <x:c r="EI519" s="4"/>
      <x:c r="EJ519" s="4"/>
      <x:c r="EK519" s="4"/>
      <x:c r="EL519" s="4"/>
      <x:c r="EM519" s="4"/>
      <x:c r="EN519" s="4"/>
      <x:c r="EO519" s="4"/>
      <x:c r="EP519" s="4"/>
      <x:c r="EQ519" s="4"/>
      <x:c r="ER519" s="4"/>
      <x:c r="ES519" s="4"/>
      <x:c r="ET519" s="4"/>
      <x:c r="EU519" s="4"/>
      <x:c r="EV519" s="4"/>
      <x:c r="EW519" s="4"/>
      <x:c r="EX519" s="4"/>
      <x:c r="EY519" s="4"/>
      <x:c r="EZ519" s="4"/>
      <x:c r="FA519" s="4"/>
      <x:c r="FB519" s="4"/>
      <x:c r="FC519" s="4"/>
      <x:c r="FD519" s="4"/>
      <x:c r="FE519" s="4"/>
      <x:c r="FF519" s="4"/>
      <x:c r="FG519" s="4"/>
      <x:c r="FH519" s="4"/>
      <x:c r="FI519" s="4"/>
      <x:c r="FJ519" s="4"/>
      <x:c r="FK519" s="4"/>
      <x:c r="FL519" s="4"/>
      <x:c r="FM519" s="4"/>
      <x:c r="FN519" s="4"/>
      <x:c r="FO519" s="4"/>
    </x:row>
    <x:row r="520">
      <x:c r="A520" s="72"/>
      <x:c r="B520" s="72"/>
      <x:c r="C520" s="72"/>
      <x:c r="D520" s="72"/>
      <x:c r="E520" s="72"/>
      <x:c r="F520" s="72"/>
      <x:c r="G520" s="72"/>
      <x:c r="H520" s="72"/>
      <x:c r="I520" s="72"/>
      <x:c r="J520" s="72"/>
      <x:c r="K520" s="72"/>
      <x:c r="L520" s="72"/>
      <x:c r="M520" s="72"/>
      <x:c r="N520" s="72"/>
      <x:c r="O520" s="72"/>
      <x:c r="P520" s="72"/>
      <x:c r="Q520" s="72"/>
      <x:c r="R520" s="72"/>
      <x:c r="S520" s="72"/>
      <x:c r="T520" s="72"/>
      <x:c r="U520" s="72"/>
      <x:c r="V520" s="72"/>
      <x:c r="W520" s="72"/>
      <x:c r="X520" s="72"/>
      <x:c r="Y520" s="72"/>
      <x:c r="Z520" s="72"/>
      <x:c r="AA520" s="72"/>
      <x:c r="AB520" s="72"/>
      <x:c r="AC520" s="72"/>
      <x:c r="AD520" s="72"/>
      <x:c r="AE520" s="72"/>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4"/>
      <x:c r="DQ520" s="4"/>
      <x:c r="DR520" s="4"/>
      <x:c r="DS520" s="4"/>
      <x:c r="DT520" s="4"/>
      <x:c r="DU520" s="4"/>
      <x:c r="DV520" s="4"/>
      <x:c r="DW520" s="4"/>
      <x:c r="DX520" s="4"/>
      <x:c r="DY520" s="4"/>
      <x:c r="DZ520" s="4"/>
      <x:c r="EA520" s="4"/>
      <x:c r="EB520" s="4"/>
      <x:c r="EC520" s="4"/>
      <x:c r="ED520" s="4"/>
      <x:c r="EE520" s="4"/>
      <x:c r="EF520" s="4"/>
      <x:c r="EG520" s="4"/>
      <x:c r="EH520" s="4"/>
      <x:c r="EI520" s="4"/>
      <x:c r="EJ520" s="4"/>
      <x:c r="EK520" s="4"/>
      <x:c r="EL520" s="4"/>
      <x:c r="EM520" s="4"/>
      <x:c r="EN520" s="4"/>
      <x:c r="EO520" s="4"/>
      <x:c r="EP520" s="4"/>
      <x:c r="EQ520" s="4"/>
      <x:c r="ER520" s="4"/>
      <x:c r="ES520" s="4"/>
      <x:c r="ET520" s="4"/>
      <x:c r="EU520" s="4"/>
      <x:c r="EV520" s="4"/>
      <x:c r="EW520" s="4"/>
      <x:c r="EX520" s="4"/>
      <x:c r="EY520" s="4"/>
      <x:c r="EZ520" s="4"/>
      <x:c r="FA520" s="4"/>
      <x:c r="FB520" s="4"/>
      <x:c r="FC520" s="4"/>
      <x:c r="FD520" s="4"/>
      <x:c r="FE520" s="4"/>
      <x:c r="FF520" s="4"/>
      <x:c r="FG520" s="4"/>
      <x:c r="FH520" s="4"/>
      <x:c r="FI520" s="4"/>
      <x:c r="FJ520" s="4"/>
      <x:c r="FK520" s="4"/>
      <x:c r="FL520" s="4"/>
      <x:c r="FM520" s="4"/>
      <x:c r="FN520" s="4"/>
      <x:c r="FO520" s="4"/>
    </x:row>
    <x:row r="521">
      <x:c r="A521" s="72"/>
      <x:c r="B521" s="72"/>
      <x:c r="C521" s="72"/>
      <x:c r="D521" s="72"/>
      <x:c r="E521" s="72"/>
      <x:c r="F521" s="72"/>
      <x:c r="G521" s="72"/>
      <x:c r="H521" s="72"/>
      <x:c r="I521" s="72"/>
      <x:c r="J521" s="72"/>
      <x:c r="K521" s="72"/>
      <x:c r="L521" s="72"/>
      <x:c r="M521" s="72"/>
      <x:c r="N521" s="72"/>
      <x:c r="O521" s="72"/>
      <x:c r="P521" s="72"/>
      <x:c r="Q521" s="72"/>
      <x:c r="R521" s="72"/>
      <x:c r="S521" s="72"/>
      <x:c r="T521" s="72"/>
      <x:c r="U521" s="72"/>
      <x:c r="V521" s="72"/>
      <x:c r="W521" s="72"/>
      <x:c r="X521" s="72"/>
      <x:c r="Y521" s="72"/>
      <x:c r="Z521" s="72"/>
      <x:c r="AA521" s="72"/>
      <x:c r="AB521" s="72"/>
      <x:c r="AC521" s="72"/>
      <x:c r="AD521" s="72"/>
      <x:c r="AE521" s="72"/>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4"/>
      <x:c r="DQ521" s="4"/>
      <x:c r="DR521" s="4"/>
      <x:c r="DS521" s="4"/>
      <x:c r="DT521" s="4"/>
      <x:c r="DU521" s="4"/>
      <x:c r="DV521" s="4"/>
      <x:c r="DW521" s="4"/>
      <x:c r="DX521" s="4"/>
      <x:c r="DY521" s="4"/>
      <x:c r="DZ521" s="4"/>
      <x:c r="EA521" s="4"/>
      <x:c r="EB521" s="4"/>
      <x:c r="EC521" s="4"/>
      <x:c r="ED521" s="4"/>
      <x:c r="EE521" s="4"/>
      <x:c r="EF521" s="4"/>
      <x:c r="EG521" s="4"/>
      <x:c r="EH521" s="4"/>
      <x:c r="EI521" s="4"/>
      <x:c r="EJ521" s="4"/>
      <x:c r="EK521" s="4"/>
      <x:c r="EL521" s="4"/>
      <x:c r="EM521" s="4"/>
      <x:c r="EN521" s="4"/>
      <x:c r="EO521" s="4"/>
      <x:c r="EP521" s="4"/>
      <x:c r="EQ521" s="4"/>
      <x:c r="ER521" s="4"/>
      <x:c r="ES521" s="4"/>
      <x:c r="ET521" s="4"/>
      <x:c r="EU521" s="4"/>
      <x:c r="EV521" s="4"/>
      <x:c r="EW521" s="4"/>
      <x:c r="EX521" s="4"/>
      <x:c r="EY521" s="4"/>
      <x:c r="EZ521" s="4"/>
      <x:c r="FA521" s="4"/>
      <x:c r="FB521" s="4"/>
      <x:c r="FC521" s="4"/>
      <x:c r="FD521" s="4"/>
      <x:c r="FE521" s="4"/>
      <x:c r="FF521" s="4"/>
      <x:c r="FG521" s="4"/>
      <x:c r="FH521" s="4"/>
      <x:c r="FI521" s="4"/>
      <x:c r="FJ521" s="4"/>
      <x:c r="FK521" s="4"/>
      <x:c r="FL521" s="4"/>
      <x:c r="FM521" s="4"/>
      <x:c r="FN521" s="4"/>
      <x:c r="FO521" s="4"/>
    </x:row>
    <x:row r="522">
      <x:c r="A522" s="72"/>
      <x:c r="B522" s="72"/>
      <x:c r="C522" s="72"/>
      <x:c r="D522" s="72"/>
      <x:c r="E522" s="72"/>
      <x:c r="F522" s="72"/>
      <x:c r="G522" s="72"/>
      <x:c r="H522" s="72"/>
      <x:c r="I522" s="72"/>
      <x:c r="J522" s="72"/>
      <x:c r="K522" s="72"/>
      <x:c r="L522" s="72"/>
      <x:c r="M522" s="72"/>
      <x:c r="N522" s="72"/>
      <x:c r="O522" s="72"/>
      <x:c r="P522" s="72"/>
      <x:c r="Q522" s="72"/>
      <x:c r="R522" s="72"/>
      <x:c r="S522" s="72"/>
      <x:c r="T522" s="72"/>
      <x:c r="U522" s="72"/>
      <x:c r="V522" s="72"/>
      <x:c r="W522" s="72"/>
      <x:c r="X522" s="72"/>
      <x:c r="Y522" s="72"/>
      <x:c r="Z522" s="72"/>
      <x:c r="AA522" s="72"/>
      <x:c r="AB522" s="72"/>
      <x:c r="AC522" s="72"/>
      <x:c r="AD522" s="72"/>
      <x:c r="AE522" s="72"/>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4"/>
      <x:c r="DQ522" s="4"/>
      <x:c r="DR522" s="4"/>
      <x:c r="DS522" s="4"/>
      <x:c r="DT522" s="4"/>
      <x:c r="DU522" s="4"/>
      <x:c r="DV522" s="4"/>
      <x:c r="DW522" s="4"/>
      <x:c r="DX522" s="4"/>
      <x:c r="DY522" s="4"/>
      <x:c r="DZ522" s="4"/>
      <x:c r="EA522" s="4"/>
      <x:c r="EB522" s="4"/>
      <x:c r="EC522" s="4"/>
      <x:c r="ED522" s="4"/>
      <x:c r="EE522" s="4"/>
      <x:c r="EF522" s="4"/>
      <x:c r="EG522" s="4"/>
      <x:c r="EH522" s="4"/>
      <x:c r="EI522" s="4"/>
      <x:c r="EJ522" s="4"/>
      <x:c r="EK522" s="4"/>
      <x:c r="EL522" s="4"/>
      <x:c r="EM522" s="4"/>
      <x:c r="EN522" s="4"/>
      <x:c r="EO522" s="4"/>
      <x:c r="EP522" s="4"/>
      <x:c r="EQ522" s="4"/>
      <x:c r="ER522" s="4"/>
      <x:c r="ES522" s="4"/>
      <x:c r="ET522" s="4"/>
      <x:c r="EU522" s="4"/>
      <x:c r="EV522" s="4"/>
      <x:c r="EW522" s="4"/>
      <x:c r="EX522" s="4"/>
      <x:c r="EY522" s="4"/>
      <x:c r="EZ522" s="4"/>
      <x:c r="FA522" s="4"/>
      <x:c r="FB522" s="4"/>
      <x:c r="FC522" s="4"/>
      <x:c r="FD522" s="4"/>
      <x:c r="FE522" s="4"/>
      <x:c r="FF522" s="4"/>
      <x:c r="FG522" s="4"/>
      <x:c r="FH522" s="4"/>
      <x:c r="FI522" s="4"/>
      <x:c r="FJ522" s="4"/>
      <x:c r="FK522" s="4"/>
      <x:c r="FL522" s="4"/>
      <x:c r="FM522" s="4"/>
      <x:c r="FN522" s="4"/>
      <x:c r="FO522" s="4"/>
    </x:row>
    <x:row r="523">
      <x:c r="A523" s="72"/>
      <x:c r="B523" s="72"/>
      <x:c r="C523" s="72"/>
      <x:c r="D523" s="72"/>
      <x:c r="E523" s="72"/>
      <x:c r="F523" s="72"/>
      <x:c r="G523" s="72"/>
      <x:c r="H523" s="72"/>
      <x:c r="I523" s="72"/>
      <x:c r="J523" s="72"/>
      <x:c r="K523" s="72"/>
      <x:c r="L523" s="72"/>
      <x:c r="M523" s="72"/>
      <x:c r="N523" s="72"/>
      <x:c r="O523" s="72"/>
      <x:c r="P523" s="72"/>
      <x:c r="Q523" s="72"/>
      <x:c r="R523" s="72"/>
      <x:c r="S523" s="72"/>
      <x:c r="T523" s="72"/>
      <x:c r="U523" s="72"/>
      <x:c r="V523" s="72"/>
      <x:c r="W523" s="72"/>
      <x:c r="X523" s="72"/>
      <x:c r="Y523" s="72"/>
      <x:c r="Z523" s="72"/>
      <x:c r="AA523" s="72"/>
      <x:c r="AB523" s="72"/>
      <x:c r="AC523" s="72"/>
      <x:c r="AD523" s="72"/>
      <x:c r="AE523" s="72"/>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4"/>
      <x:c r="DQ523" s="4"/>
      <x:c r="DR523" s="4"/>
      <x:c r="DS523" s="4"/>
      <x:c r="DT523" s="4"/>
      <x:c r="DU523" s="4"/>
      <x:c r="DV523" s="4"/>
      <x:c r="DW523" s="4"/>
      <x:c r="DX523" s="4"/>
      <x:c r="DY523" s="4"/>
      <x:c r="DZ523" s="4"/>
      <x:c r="EA523" s="4"/>
      <x:c r="EB523" s="4"/>
      <x:c r="EC523" s="4"/>
      <x:c r="ED523" s="4"/>
      <x:c r="EE523" s="4"/>
      <x:c r="EF523" s="4"/>
      <x:c r="EG523" s="4"/>
      <x:c r="EH523" s="4"/>
      <x:c r="EI523" s="4"/>
      <x:c r="EJ523" s="4"/>
      <x:c r="EK523" s="4"/>
      <x:c r="EL523" s="4"/>
      <x:c r="EM523" s="4"/>
      <x:c r="EN523" s="4"/>
      <x:c r="EO523" s="4"/>
      <x:c r="EP523" s="4"/>
      <x:c r="EQ523" s="4"/>
      <x:c r="ER523" s="4"/>
      <x:c r="ES523" s="4"/>
      <x:c r="ET523" s="4"/>
      <x:c r="EU523" s="4"/>
      <x:c r="EV523" s="4"/>
      <x:c r="EW523" s="4"/>
      <x:c r="EX523" s="4"/>
      <x:c r="EY523" s="4"/>
      <x:c r="EZ523" s="4"/>
      <x:c r="FA523" s="4"/>
      <x:c r="FB523" s="4"/>
      <x:c r="FC523" s="4"/>
      <x:c r="FD523" s="4"/>
      <x:c r="FE523" s="4"/>
      <x:c r="FF523" s="4"/>
      <x:c r="FG523" s="4"/>
      <x:c r="FH523" s="4"/>
      <x:c r="FI523" s="4"/>
      <x:c r="FJ523" s="4"/>
      <x:c r="FK523" s="4"/>
      <x:c r="FL523" s="4"/>
      <x:c r="FM523" s="4"/>
      <x:c r="FN523" s="4"/>
      <x:c r="FO523" s="4"/>
    </x:row>
    <x:row r="524">
      <x:c r="A524" s="72"/>
      <x:c r="B524" s="72"/>
      <x:c r="C524" s="72"/>
      <x:c r="D524" s="72"/>
      <x:c r="E524" s="72"/>
      <x:c r="F524" s="72"/>
      <x:c r="G524" s="72"/>
      <x:c r="H524" s="72"/>
      <x:c r="I524" s="72"/>
      <x:c r="J524" s="72"/>
      <x:c r="K524" s="72"/>
      <x:c r="L524" s="72"/>
      <x:c r="M524" s="72"/>
      <x:c r="N524" s="72"/>
      <x:c r="O524" s="72"/>
      <x:c r="P524" s="72"/>
      <x:c r="Q524" s="72"/>
      <x:c r="R524" s="72"/>
      <x:c r="S524" s="72"/>
      <x:c r="T524" s="72"/>
      <x:c r="U524" s="72"/>
      <x:c r="V524" s="72"/>
      <x:c r="W524" s="72"/>
      <x:c r="X524" s="72"/>
      <x:c r="Y524" s="72"/>
      <x:c r="Z524" s="72"/>
      <x:c r="AA524" s="72"/>
      <x:c r="AB524" s="72"/>
      <x:c r="AC524" s="72"/>
      <x:c r="AD524" s="72"/>
      <x:c r="AE524" s="72"/>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4"/>
      <x:c r="DQ524" s="4"/>
      <x:c r="DR524" s="4"/>
      <x:c r="DS524" s="4"/>
      <x:c r="DT524" s="4"/>
      <x:c r="DU524" s="4"/>
      <x:c r="DV524" s="4"/>
      <x:c r="DW524" s="4"/>
      <x:c r="DX524" s="4"/>
      <x:c r="DY524" s="4"/>
      <x:c r="DZ524" s="4"/>
      <x:c r="EA524" s="4"/>
      <x:c r="EB524" s="4"/>
      <x:c r="EC524" s="4"/>
      <x:c r="ED524" s="4"/>
      <x:c r="EE524" s="4"/>
      <x:c r="EF524" s="4"/>
      <x:c r="EG524" s="4"/>
      <x:c r="EH524" s="4"/>
      <x:c r="EI524" s="4"/>
      <x:c r="EJ524" s="4"/>
      <x:c r="EK524" s="4"/>
      <x:c r="EL524" s="4"/>
      <x:c r="EM524" s="4"/>
      <x:c r="EN524" s="4"/>
      <x:c r="EO524" s="4"/>
      <x:c r="EP524" s="4"/>
      <x:c r="EQ524" s="4"/>
      <x:c r="ER524" s="4"/>
      <x:c r="ES524" s="4"/>
      <x:c r="ET524" s="4"/>
      <x:c r="EU524" s="4"/>
      <x:c r="EV524" s="4"/>
      <x:c r="EW524" s="4"/>
      <x:c r="EX524" s="4"/>
      <x:c r="EY524" s="4"/>
      <x:c r="EZ524" s="4"/>
      <x:c r="FA524" s="4"/>
      <x:c r="FB524" s="4"/>
      <x:c r="FC524" s="4"/>
      <x:c r="FD524" s="4"/>
      <x:c r="FE524" s="4"/>
      <x:c r="FF524" s="4"/>
      <x:c r="FG524" s="4"/>
      <x:c r="FH524" s="4"/>
      <x:c r="FI524" s="4"/>
      <x:c r="FJ524" s="4"/>
      <x:c r="FK524" s="4"/>
      <x:c r="FL524" s="4"/>
      <x:c r="FM524" s="4"/>
      <x:c r="FN524" s="4"/>
      <x:c r="FO524" s="4"/>
    </x:row>
    <x:row r="525">
      <x:c r="A525" s="72"/>
      <x:c r="B525" s="72"/>
      <x:c r="C525" s="72"/>
      <x:c r="D525" s="72"/>
      <x:c r="E525" s="72"/>
      <x:c r="F525" s="72"/>
      <x:c r="G525" s="72"/>
      <x:c r="H525" s="72"/>
      <x:c r="I525" s="72"/>
      <x:c r="J525" s="72"/>
      <x:c r="K525" s="72"/>
      <x:c r="L525" s="72"/>
      <x:c r="M525" s="72"/>
      <x:c r="N525" s="72"/>
      <x:c r="O525" s="72"/>
      <x:c r="P525" s="72"/>
      <x:c r="Q525" s="72"/>
      <x:c r="R525" s="72"/>
      <x:c r="S525" s="72"/>
      <x:c r="T525" s="72"/>
      <x:c r="U525" s="72"/>
      <x:c r="V525" s="72"/>
      <x:c r="W525" s="72"/>
      <x:c r="X525" s="72"/>
      <x:c r="Y525" s="72"/>
      <x:c r="Z525" s="72"/>
      <x:c r="AA525" s="72"/>
      <x:c r="AB525" s="72"/>
      <x:c r="AC525" s="72"/>
      <x:c r="AD525" s="72"/>
      <x:c r="AE525" s="72"/>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4"/>
      <x:c r="DQ525" s="4"/>
      <x:c r="DR525" s="4"/>
      <x:c r="DS525" s="4"/>
      <x:c r="DT525" s="4"/>
      <x:c r="DU525" s="4"/>
      <x:c r="DV525" s="4"/>
      <x:c r="DW525" s="4"/>
      <x:c r="DX525" s="4"/>
      <x:c r="DY525" s="4"/>
      <x:c r="DZ525" s="4"/>
      <x:c r="EA525" s="4"/>
      <x:c r="EB525" s="4"/>
      <x:c r="EC525" s="4"/>
      <x:c r="ED525" s="4"/>
      <x:c r="EE525" s="4"/>
      <x:c r="EF525" s="4"/>
      <x:c r="EG525" s="4"/>
      <x:c r="EH525" s="4"/>
      <x:c r="EI525" s="4"/>
      <x:c r="EJ525" s="4"/>
      <x:c r="EK525" s="4"/>
      <x:c r="EL525" s="4"/>
      <x:c r="EM525" s="4"/>
      <x:c r="EN525" s="4"/>
      <x:c r="EO525" s="4"/>
      <x:c r="EP525" s="4"/>
      <x:c r="EQ525" s="4"/>
      <x:c r="ER525" s="4"/>
      <x:c r="ES525" s="4"/>
      <x:c r="ET525" s="4"/>
      <x:c r="EU525" s="4"/>
      <x:c r="EV525" s="4"/>
      <x:c r="EW525" s="4"/>
      <x:c r="EX525" s="4"/>
      <x:c r="EY525" s="4"/>
      <x:c r="EZ525" s="4"/>
      <x:c r="FA525" s="4"/>
      <x:c r="FB525" s="4"/>
      <x:c r="FC525" s="4"/>
      <x:c r="FD525" s="4"/>
      <x:c r="FE525" s="4"/>
      <x:c r="FF525" s="4"/>
      <x:c r="FG525" s="4"/>
      <x:c r="FH525" s="4"/>
      <x:c r="FI525" s="4"/>
      <x:c r="FJ525" s="4"/>
      <x:c r="FK525" s="4"/>
      <x:c r="FL525" s="4"/>
      <x:c r="FM525" s="4"/>
      <x:c r="FN525" s="4"/>
      <x:c r="FO525" s="4"/>
    </x:row>
    <x:row r="526">
      <x:c r="A526" s="72"/>
      <x:c r="B526" s="72"/>
      <x:c r="C526" s="72"/>
      <x:c r="D526" s="72"/>
      <x:c r="E526" s="72"/>
      <x:c r="F526" s="72"/>
      <x:c r="G526" s="72"/>
      <x:c r="H526" s="72"/>
      <x:c r="I526" s="72"/>
      <x:c r="J526" s="72"/>
      <x:c r="K526" s="72"/>
      <x:c r="L526" s="72"/>
      <x:c r="M526" s="72"/>
      <x:c r="N526" s="72"/>
      <x:c r="O526" s="72"/>
      <x:c r="P526" s="72"/>
      <x:c r="Q526" s="72"/>
      <x:c r="R526" s="72"/>
      <x:c r="S526" s="72"/>
      <x:c r="T526" s="72"/>
      <x:c r="U526" s="72"/>
      <x:c r="V526" s="72"/>
      <x:c r="W526" s="72"/>
      <x:c r="X526" s="72"/>
      <x:c r="Y526" s="72"/>
      <x:c r="Z526" s="72"/>
      <x:c r="AA526" s="72"/>
      <x:c r="AB526" s="72"/>
      <x:c r="AC526" s="72"/>
      <x:c r="AD526" s="72"/>
      <x:c r="AE526" s="72"/>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4"/>
      <x:c r="DQ526" s="4"/>
      <x:c r="DR526" s="4"/>
      <x:c r="DS526" s="4"/>
      <x:c r="DT526" s="4"/>
      <x:c r="DU526" s="4"/>
      <x:c r="DV526" s="4"/>
      <x:c r="DW526" s="4"/>
      <x:c r="DX526" s="4"/>
      <x:c r="DY526" s="4"/>
      <x:c r="DZ526" s="4"/>
      <x:c r="EA526" s="4"/>
      <x:c r="EB526" s="4"/>
      <x:c r="EC526" s="4"/>
      <x:c r="ED526" s="4"/>
      <x:c r="EE526" s="4"/>
      <x:c r="EF526" s="4"/>
      <x:c r="EG526" s="4"/>
      <x:c r="EH526" s="4"/>
      <x:c r="EI526" s="4"/>
      <x:c r="EJ526" s="4"/>
      <x:c r="EK526" s="4"/>
      <x:c r="EL526" s="4"/>
      <x:c r="EM526" s="4"/>
      <x:c r="EN526" s="4"/>
      <x:c r="EO526" s="4"/>
      <x:c r="EP526" s="4"/>
      <x:c r="EQ526" s="4"/>
      <x:c r="ER526" s="4"/>
      <x:c r="ES526" s="4"/>
      <x:c r="ET526" s="4"/>
      <x:c r="EU526" s="4"/>
      <x:c r="EV526" s="4"/>
      <x:c r="EW526" s="4"/>
      <x:c r="EX526" s="4"/>
      <x:c r="EY526" s="4"/>
      <x:c r="EZ526" s="4"/>
      <x:c r="FA526" s="4"/>
      <x:c r="FB526" s="4"/>
      <x:c r="FC526" s="4"/>
      <x:c r="FD526" s="4"/>
      <x:c r="FE526" s="4"/>
      <x:c r="FF526" s="4"/>
      <x:c r="FG526" s="4"/>
      <x:c r="FH526" s="4"/>
      <x:c r="FI526" s="4"/>
      <x:c r="FJ526" s="4"/>
      <x:c r="FK526" s="4"/>
      <x:c r="FL526" s="4"/>
      <x:c r="FM526" s="4"/>
      <x:c r="FN526" s="4"/>
      <x:c r="FO526" s="4"/>
    </x:row>
    <x:row r="527">
      <x:c r="A527" s="72"/>
      <x:c r="B527" s="72"/>
      <x:c r="C527" s="72"/>
      <x:c r="D527" s="72"/>
      <x:c r="E527" s="72"/>
      <x:c r="F527" s="72"/>
      <x:c r="G527" s="72"/>
      <x:c r="H527" s="72"/>
      <x:c r="I527" s="72"/>
      <x:c r="J527" s="72"/>
      <x:c r="K527" s="72"/>
      <x:c r="L527" s="72"/>
      <x:c r="M527" s="72"/>
      <x:c r="N527" s="72"/>
      <x:c r="O527" s="72"/>
      <x:c r="P527" s="72"/>
      <x:c r="Q527" s="72"/>
      <x:c r="R527" s="72"/>
      <x:c r="S527" s="72"/>
      <x:c r="T527" s="72"/>
      <x:c r="U527" s="72"/>
      <x:c r="V527" s="72"/>
      <x:c r="W527" s="72"/>
      <x:c r="X527" s="72"/>
      <x:c r="Y527" s="72"/>
      <x:c r="Z527" s="72"/>
      <x:c r="AA527" s="72"/>
      <x:c r="AB527" s="72"/>
      <x:c r="AC527" s="72"/>
      <x:c r="AD527" s="72"/>
      <x:c r="AE527" s="72"/>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4"/>
      <x:c r="DQ527" s="4"/>
      <x:c r="DR527" s="4"/>
      <x:c r="DS527" s="4"/>
      <x:c r="DT527" s="4"/>
      <x:c r="DU527" s="4"/>
      <x:c r="DV527" s="4"/>
      <x:c r="DW527" s="4"/>
      <x:c r="DX527" s="4"/>
      <x:c r="DY527" s="4"/>
      <x:c r="DZ527" s="4"/>
      <x:c r="EA527" s="4"/>
      <x:c r="EB527" s="4"/>
      <x:c r="EC527" s="4"/>
      <x:c r="ED527" s="4"/>
      <x:c r="EE527" s="4"/>
      <x:c r="EF527" s="4"/>
      <x:c r="EG527" s="4"/>
      <x:c r="EH527" s="4"/>
      <x:c r="EI527" s="4"/>
      <x:c r="EJ527" s="4"/>
      <x:c r="EK527" s="4"/>
      <x:c r="EL527" s="4"/>
      <x:c r="EM527" s="4"/>
      <x:c r="EN527" s="4"/>
      <x:c r="EO527" s="4"/>
      <x:c r="EP527" s="4"/>
      <x:c r="EQ527" s="4"/>
      <x:c r="ER527" s="4"/>
      <x:c r="ES527" s="4"/>
      <x:c r="ET527" s="4"/>
      <x:c r="EU527" s="4"/>
      <x:c r="EV527" s="4"/>
      <x:c r="EW527" s="4"/>
      <x:c r="EX527" s="4"/>
      <x:c r="EY527" s="4"/>
      <x:c r="EZ527" s="4"/>
      <x:c r="FA527" s="4"/>
      <x:c r="FB527" s="4"/>
      <x:c r="FC527" s="4"/>
      <x:c r="FD527" s="4"/>
      <x:c r="FE527" s="4"/>
      <x:c r="FF527" s="4"/>
      <x:c r="FG527" s="4"/>
      <x:c r="FH527" s="4"/>
      <x:c r="FI527" s="4"/>
      <x:c r="FJ527" s="4"/>
      <x:c r="FK527" s="4"/>
      <x:c r="FL527" s="4"/>
      <x:c r="FM527" s="4"/>
      <x:c r="FN527" s="4"/>
      <x:c r="FO527" s="4"/>
    </x:row>
    <x:row r="528">
      <x:c r="A528" s="72"/>
      <x:c r="B528" s="72"/>
      <x:c r="C528" s="72"/>
      <x:c r="D528" s="72"/>
      <x:c r="E528" s="72"/>
      <x:c r="F528" s="72"/>
      <x:c r="G528" s="72"/>
      <x:c r="H528" s="72"/>
      <x:c r="I528" s="72"/>
      <x:c r="J528" s="72"/>
      <x:c r="K528" s="72"/>
      <x:c r="L528" s="72"/>
      <x:c r="M528" s="72"/>
      <x:c r="N528" s="72"/>
      <x:c r="O528" s="72"/>
      <x:c r="P528" s="72"/>
      <x:c r="Q528" s="72"/>
      <x:c r="R528" s="72"/>
      <x:c r="S528" s="72"/>
      <x:c r="T528" s="72"/>
      <x:c r="U528" s="72"/>
      <x:c r="V528" s="72"/>
      <x:c r="W528" s="72"/>
      <x:c r="X528" s="72"/>
      <x:c r="Y528" s="72"/>
      <x:c r="Z528" s="72"/>
      <x:c r="AA528" s="72"/>
      <x:c r="AB528" s="72"/>
      <x:c r="AC528" s="72"/>
      <x:c r="AD528" s="72"/>
      <x:c r="AE528" s="72"/>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4"/>
      <x:c r="DQ528" s="4"/>
      <x:c r="DR528" s="4"/>
      <x:c r="DS528" s="4"/>
      <x:c r="DT528" s="4"/>
      <x:c r="DU528" s="4"/>
      <x:c r="DV528" s="4"/>
      <x:c r="DW528" s="4"/>
      <x:c r="DX528" s="4"/>
      <x:c r="DY528" s="4"/>
      <x:c r="DZ528" s="4"/>
      <x:c r="EA528" s="4"/>
      <x:c r="EB528" s="4"/>
      <x:c r="EC528" s="4"/>
      <x:c r="ED528" s="4"/>
      <x:c r="EE528" s="4"/>
      <x:c r="EF528" s="4"/>
      <x:c r="EG528" s="4"/>
      <x:c r="EH528" s="4"/>
      <x:c r="EI528" s="4"/>
      <x:c r="EJ528" s="4"/>
      <x:c r="EK528" s="4"/>
      <x:c r="EL528" s="4"/>
      <x:c r="EM528" s="4"/>
      <x:c r="EN528" s="4"/>
      <x:c r="EO528" s="4"/>
      <x:c r="EP528" s="4"/>
      <x:c r="EQ528" s="4"/>
      <x:c r="ER528" s="4"/>
      <x:c r="ES528" s="4"/>
      <x:c r="ET528" s="4"/>
      <x:c r="EU528" s="4"/>
      <x:c r="EV528" s="4"/>
      <x:c r="EW528" s="4"/>
      <x:c r="EX528" s="4"/>
      <x:c r="EY528" s="4"/>
      <x:c r="EZ528" s="4"/>
      <x:c r="FA528" s="4"/>
      <x:c r="FB528" s="4"/>
      <x:c r="FC528" s="4"/>
      <x:c r="FD528" s="4"/>
      <x:c r="FE528" s="4"/>
      <x:c r="FF528" s="4"/>
      <x:c r="FG528" s="4"/>
      <x:c r="FH528" s="4"/>
      <x:c r="FI528" s="4"/>
      <x:c r="FJ528" s="4"/>
      <x:c r="FK528" s="4"/>
      <x:c r="FL528" s="4"/>
      <x:c r="FM528" s="4"/>
      <x:c r="FN528" s="4"/>
      <x:c r="FO528" s="4"/>
    </x:row>
    <x:row r="529">
      <x:c r="A529" s="72"/>
      <x:c r="B529" s="72"/>
      <x:c r="C529" s="72"/>
      <x:c r="D529" s="72"/>
      <x:c r="E529" s="72"/>
      <x:c r="F529" s="72"/>
      <x:c r="G529" s="72"/>
      <x:c r="H529" s="72"/>
      <x:c r="I529" s="72"/>
      <x:c r="J529" s="72"/>
      <x:c r="K529" s="72"/>
      <x:c r="L529" s="72"/>
      <x:c r="M529" s="72"/>
      <x:c r="N529" s="72"/>
      <x:c r="O529" s="72"/>
      <x:c r="P529" s="72"/>
      <x:c r="Q529" s="72"/>
      <x:c r="R529" s="72"/>
      <x:c r="S529" s="72"/>
      <x:c r="T529" s="72"/>
      <x:c r="U529" s="72"/>
      <x:c r="V529" s="72"/>
      <x:c r="W529" s="72"/>
      <x:c r="X529" s="72"/>
      <x:c r="Y529" s="72"/>
      <x:c r="Z529" s="72"/>
      <x:c r="AA529" s="72"/>
      <x:c r="AB529" s="72"/>
      <x:c r="AC529" s="72"/>
      <x:c r="AD529" s="72"/>
      <x:c r="AE529" s="72"/>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4"/>
      <x:c r="DQ529" s="4"/>
      <x:c r="DR529" s="4"/>
      <x:c r="DS529" s="4"/>
      <x:c r="DT529" s="4"/>
      <x:c r="DU529" s="4"/>
      <x:c r="DV529" s="4"/>
      <x:c r="DW529" s="4"/>
      <x:c r="DX529" s="4"/>
      <x:c r="DY529" s="4"/>
      <x:c r="DZ529" s="4"/>
      <x:c r="EA529" s="4"/>
      <x:c r="EB529" s="4"/>
      <x:c r="EC529" s="4"/>
      <x:c r="ED529" s="4"/>
      <x:c r="EE529" s="4"/>
      <x:c r="EF529" s="4"/>
      <x:c r="EG529" s="4"/>
      <x:c r="EH529" s="4"/>
      <x:c r="EI529" s="4"/>
      <x:c r="EJ529" s="4"/>
      <x:c r="EK529" s="4"/>
      <x:c r="EL529" s="4"/>
      <x:c r="EM529" s="4"/>
      <x:c r="EN529" s="4"/>
      <x:c r="EO529" s="4"/>
      <x:c r="EP529" s="4"/>
      <x:c r="EQ529" s="4"/>
      <x:c r="ER529" s="4"/>
      <x:c r="ES529" s="4"/>
      <x:c r="ET529" s="4"/>
      <x:c r="EU529" s="4"/>
      <x:c r="EV529" s="4"/>
      <x:c r="EW529" s="4"/>
      <x:c r="EX529" s="4"/>
      <x:c r="EY529" s="4"/>
      <x:c r="EZ529" s="4"/>
      <x:c r="FA529" s="4"/>
      <x:c r="FB529" s="4"/>
      <x:c r="FC529" s="4"/>
      <x:c r="FD529" s="4"/>
      <x:c r="FE529" s="4"/>
      <x:c r="FF529" s="4"/>
      <x:c r="FG529" s="4"/>
      <x:c r="FH529" s="4"/>
      <x:c r="FI529" s="4"/>
      <x:c r="FJ529" s="4"/>
      <x:c r="FK529" s="4"/>
      <x:c r="FL529" s="4"/>
      <x:c r="FM529" s="4"/>
      <x:c r="FN529" s="4"/>
      <x:c r="FO529" s="4"/>
    </x:row>
    <x:row r="530">
      <x:c r="A530" s="72"/>
      <x:c r="B530" s="72"/>
      <x:c r="C530" s="72"/>
      <x:c r="D530" s="72"/>
      <x:c r="E530" s="72"/>
      <x:c r="F530" s="72"/>
      <x:c r="G530" s="72"/>
      <x:c r="H530" s="72"/>
      <x:c r="I530" s="72"/>
      <x:c r="J530" s="72"/>
      <x:c r="K530" s="72"/>
      <x:c r="L530" s="72"/>
      <x:c r="M530" s="72"/>
      <x:c r="N530" s="72"/>
      <x:c r="O530" s="72"/>
      <x:c r="P530" s="72"/>
      <x:c r="Q530" s="72"/>
      <x:c r="R530" s="72"/>
      <x:c r="S530" s="72"/>
      <x:c r="T530" s="72"/>
      <x:c r="U530" s="72"/>
      <x:c r="V530" s="72"/>
      <x:c r="W530" s="72"/>
      <x:c r="X530" s="72"/>
      <x:c r="Y530" s="72"/>
      <x:c r="Z530" s="72"/>
      <x:c r="AA530" s="72"/>
      <x:c r="AB530" s="72"/>
      <x:c r="AC530" s="72"/>
      <x:c r="AD530" s="72"/>
      <x:c r="AE530" s="72"/>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4"/>
      <x:c r="DQ530" s="4"/>
      <x:c r="DR530" s="4"/>
      <x:c r="DS530" s="4"/>
      <x:c r="DT530" s="4"/>
      <x:c r="DU530" s="4"/>
      <x:c r="DV530" s="4"/>
      <x:c r="DW530" s="4"/>
      <x:c r="DX530" s="4"/>
      <x:c r="DY530" s="4"/>
      <x:c r="DZ530" s="4"/>
      <x:c r="EA530" s="4"/>
      <x:c r="EB530" s="4"/>
      <x:c r="EC530" s="4"/>
      <x:c r="ED530" s="4"/>
      <x:c r="EE530" s="4"/>
      <x:c r="EF530" s="4"/>
      <x:c r="EG530" s="4"/>
      <x:c r="EH530" s="4"/>
      <x:c r="EI530" s="4"/>
      <x:c r="EJ530" s="4"/>
      <x:c r="EK530" s="4"/>
      <x:c r="EL530" s="4"/>
      <x:c r="EM530" s="4"/>
      <x:c r="EN530" s="4"/>
      <x:c r="EO530" s="4"/>
      <x:c r="EP530" s="4"/>
      <x:c r="EQ530" s="4"/>
      <x:c r="ER530" s="4"/>
      <x:c r="ES530" s="4"/>
      <x:c r="ET530" s="4"/>
      <x:c r="EU530" s="4"/>
      <x:c r="EV530" s="4"/>
      <x:c r="EW530" s="4"/>
      <x:c r="EX530" s="4"/>
      <x:c r="EY530" s="4"/>
      <x:c r="EZ530" s="4"/>
      <x:c r="FA530" s="4"/>
      <x:c r="FB530" s="4"/>
      <x:c r="FC530" s="4"/>
      <x:c r="FD530" s="4"/>
      <x:c r="FE530" s="4"/>
      <x:c r="FF530" s="4"/>
      <x:c r="FG530" s="4"/>
      <x:c r="FH530" s="4"/>
      <x:c r="FI530" s="4"/>
      <x:c r="FJ530" s="4"/>
      <x:c r="FK530" s="4"/>
      <x:c r="FL530" s="4"/>
      <x:c r="FM530" s="4"/>
      <x:c r="FN530" s="4"/>
      <x:c r="FO530" s="4"/>
    </x:row>
    <x:row r="531">
      <x:c r="A531" s="72"/>
      <x:c r="B531" s="72"/>
      <x:c r="C531" s="72"/>
      <x:c r="D531" s="72"/>
      <x:c r="E531" s="72"/>
      <x:c r="F531" s="72"/>
      <x:c r="G531" s="72"/>
      <x:c r="H531" s="72"/>
      <x:c r="I531" s="72"/>
      <x:c r="J531" s="72"/>
      <x:c r="K531" s="72"/>
      <x:c r="L531" s="72"/>
      <x:c r="M531" s="72"/>
      <x:c r="N531" s="72"/>
      <x:c r="O531" s="72"/>
      <x:c r="P531" s="72"/>
      <x:c r="Q531" s="72"/>
      <x:c r="R531" s="72"/>
      <x:c r="S531" s="72"/>
      <x:c r="T531" s="72"/>
      <x:c r="U531" s="72"/>
      <x:c r="V531" s="72"/>
      <x:c r="W531" s="72"/>
      <x:c r="X531" s="72"/>
      <x:c r="Y531" s="72"/>
      <x:c r="Z531" s="72"/>
      <x:c r="AA531" s="72"/>
      <x:c r="AB531" s="72"/>
      <x:c r="AC531" s="72"/>
      <x:c r="AD531" s="72"/>
      <x:c r="AE531" s="72"/>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4"/>
      <x:c r="DQ531" s="4"/>
      <x:c r="DR531" s="4"/>
      <x:c r="DS531" s="4"/>
      <x:c r="DT531" s="4"/>
      <x:c r="DU531" s="4"/>
      <x:c r="DV531" s="4"/>
      <x:c r="DW531" s="4"/>
      <x:c r="DX531" s="4"/>
      <x:c r="DY531" s="4"/>
      <x:c r="DZ531" s="4"/>
      <x:c r="EA531" s="4"/>
      <x:c r="EB531" s="4"/>
      <x:c r="EC531" s="4"/>
      <x:c r="ED531" s="4"/>
      <x:c r="EE531" s="4"/>
      <x:c r="EF531" s="4"/>
      <x:c r="EG531" s="4"/>
      <x:c r="EH531" s="4"/>
      <x:c r="EI531" s="4"/>
      <x:c r="EJ531" s="4"/>
      <x:c r="EK531" s="4"/>
      <x:c r="EL531" s="4"/>
      <x:c r="EM531" s="4"/>
      <x:c r="EN531" s="4"/>
      <x:c r="EO531" s="4"/>
      <x:c r="EP531" s="4"/>
      <x:c r="EQ531" s="4"/>
      <x:c r="ER531" s="4"/>
      <x:c r="ES531" s="4"/>
      <x:c r="ET531" s="4"/>
      <x:c r="EU531" s="4"/>
      <x:c r="EV531" s="4"/>
      <x:c r="EW531" s="4"/>
      <x:c r="EX531" s="4"/>
      <x:c r="EY531" s="4"/>
      <x:c r="EZ531" s="4"/>
      <x:c r="FA531" s="4"/>
      <x:c r="FB531" s="4"/>
      <x:c r="FC531" s="4"/>
      <x:c r="FD531" s="4"/>
      <x:c r="FE531" s="4"/>
      <x:c r="FF531" s="4"/>
      <x:c r="FG531" s="4"/>
      <x:c r="FH531" s="4"/>
      <x:c r="FI531" s="4"/>
      <x:c r="FJ531" s="4"/>
      <x:c r="FK531" s="4"/>
      <x:c r="FL531" s="4"/>
      <x:c r="FM531" s="4"/>
      <x:c r="FN531" s="4"/>
      <x:c r="FO531" s="4"/>
    </x:row>
    <x:row r="532">
      <x:c r="A532" s="72"/>
      <x:c r="B532" s="72"/>
      <x:c r="C532" s="72"/>
      <x:c r="D532" s="72"/>
      <x:c r="E532" s="72"/>
      <x:c r="F532" s="72"/>
      <x:c r="G532" s="72"/>
      <x:c r="H532" s="72"/>
      <x:c r="I532" s="72"/>
      <x:c r="J532" s="72"/>
      <x:c r="K532" s="72"/>
      <x:c r="L532" s="72"/>
      <x:c r="M532" s="72"/>
      <x:c r="N532" s="72"/>
      <x:c r="O532" s="72"/>
      <x:c r="P532" s="72"/>
      <x:c r="Q532" s="72"/>
      <x:c r="R532" s="72"/>
      <x:c r="S532" s="72"/>
      <x:c r="T532" s="72"/>
      <x:c r="U532" s="72"/>
      <x:c r="V532" s="72"/>
      <x:c r="W532" s="72"/>
      <x:c r="X532" s="72"/>
      <x:c r="Y532" s="72"/>
      <x:c r="Z532" s="72"/>
      <x:c r="AA532" s="72"/>
      <x:c r="AB532" s="72"/>
      <x:c r="AC532" s="72"/>
      <x:c r="AD532" s="72"/>
      <x:c r="AE532" s="72"/>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4"/>
      <x:c r="DQ532" s="4"/>
      <x:c r="DR532" s="4"/>
      <x:c r="DS532" s="4"/>
      <x:c r="DT532" s="4"/>
      <x:c r="DU532" s="4"/>
      <x:c r="DV532" s="4"/>
      <x:c r="DW532" s="4"/>
      <x:c r="DX532" s="4"/>
      <x:c r="DY532" s="4"/>
      <x:c r="DZ532" s="4"/>
      <x:c r="EA532" s="4"/>
      <x:c r="EB532" s="4"/>
      <x:c r="EC532" s="4"/>
      <x:c r="ED532" s="4"/>
      <x:c r="EE532" s="4"/>
      <x:c r="EF532" s="4"/>
      <x:c r="EG532" s="4"/>
      <x:c r="EH532" s="4"/>
      <x:c r="EI532" s="4"/>
      <x:c r="EJ532" s="4"/>
      <x:c r="EK532" s="4"/>
      <x:c r="EL532" s="4"/>
      <x:c r="EM532" s="4"/>
      <x:c r="EN532" s="4"/>
      <x:c r="EO532" s="4"/>
      <x:c r="EP532" s="4"/>
      <x:c r="EQ532" s="4"/>
      <x:c r="ER532" s="4"/>
      <x:c r="ES532" s="4"/>
      <x:c r="ET532" s="4"/>
      <x:c r="EU532" s="4"/>
      <x:c r="EV532" s="4"/>
      <x:c r="EW532" s="4"/>
      <x:c r="EX532" s="4"/>
      <x:c r="EY532" s="4"/>
      <x:c r="EZ532" s="4"/>
      <x:c r="FA532" s="4"/>
      <x:c r="FB532" s="4"/>
      <x:c r="FC532" s="4"/>
      <x:c r="FD532" s="4"/>
      <x:c r="FE532" s="4"/>
      <x:c r="FF532" s="4"/>
      <x:c r="FG532" s="4"/>
      <x:c r="FH532" s="4"/>
      <x:c r="FI532" s="4"/>
      <x:c r="FJ532" s="4"/>
      <x:c r="FK532" s="4"/>
      <x:c r="FL532" s="4"/>
      <x:c r="FM532" s="4"/>
      <x:c r="FN532" s="4"/>
      <x:c r="FO532" s="4"/>
    </x:row>
    <x:row r="533">
      <x:c r="A533" s="72"/>
      <x:c r="B533" s="72"/>
      <x:c r="C533" s="72"/>
      <x:c r="D533" s="72"/>
      <x:c r="E533" s="72"/>
      <x:c r="F533" s="72"/>
      <x:c r="G533" s="72"/>
      <x:c r="H533" s="72"/>
      <x:c r="I533" s="72"/>
      <x:c r="J533" s="72"/>
      <x:c r="K533" s="72"/>
      <x:c r="L533" s="72"/>
      <x:c r="M533" s="72"/>
      <x:c r="N533" s="72"/>
      <x:c r="O533" s="72"/>
      <x:c r="P533" s="72"/>
      <x:c r="Q533" s="72"/>
      <x:c r="R533" s="72"/>
      <x:c r="S533" s="72"/>
      <x:c r="T533" s="72"/>
      <x:c r="U533" s="72"/>
      <x:c r="V533" s="72"/>
      <x:c r="W533" s="72"/>
      <x:c r="X533" s="72"/>
      <x:c r="Y533" s="72"/>
      <x:c r="Z533" s="72"/>
      <x:c r="AA533" s="72"/>
      <x:c r="AB533" s="72"/>
      <x:c r="AC533" s="72"/>
      <x:c r="AD533" s="72"/>
      <x:c r="AE533" s="72"/>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4"/>
      <x:c r="DQ533" s="4"/>
      <x:c r="DR533" s="4"/>
      <x:c r="DS533" s="4"/>
      <x:c r="DT533" s="4"/>
      <x:c r="DU533" s="4"/>
      <x:c r="DV533" s="4"/>
      <x:c r="DW533" s="4"/>
      <x:c r="DX533" s="4"/>
      <x:c r="DY533" s="4"/>
      <x:c r="DZ533" s="4"/>
      <x:c r="EA533" s="4"/>
      <x:c r="EB533" s="4"/>
      <x:c r="EC533" s="4"/>
      <x:c r="ED533" s="4"/>
      <x:c r="EE533" s="4"/>
      <x:c r="EF533" s="4"/>
      <x:c r="EG533" s="4"/>
      <x:c r="EH533" s="4"/>
      <x:c r="EI533" s="4"/>
      <x:c r="EJ533" s="4"/>
      <x:c r="EK533" s="4"/>
      <x:c r="EL533" s="4"/>
      <x:c r="EM533" s="4"/>
      <x:c r="EN533" s="4"/>
      <x:c r="EO533" s="4"/>
      <x:c r="EP533" s="4"/>
      <x:c r="EQ533" s="4"/>
      <x:c r="ER533" s="4"/>
      <x:c r="ES533" s="4"/>
      <x:c r="ET533" s="4"/>
      <x:c r="EU533" s="4"/>
      <x:c r="EV533" s="4"/>
      <x:c r="EW533" s="4"/>
      <x:c r="EX533" s="4"/>
      <x:c r="EY533" s="4"/>
      <x:c r="EZ533" s="4"/>
      <x:c r="FA533" s="4"/>
      <x:c r="FB533" s="4"/>
      <x:c r="FC533" s="4"/>
      <x:c r="FD533" s="4"/>
      <x:c r="FE533" s="4"/>
      <x:c r="FF533" s="4"/>
      <x:c r="FG533" s="4"/>
      <x:c r="FH533" s="4"/>
      <x:c r="FI533" s="4"/>
      <x:c r="FJ533" s="4"/>
      <x:c r="FK533" s="4"/>
      <x:c r="FL533" s="4"/>
      <x:c r="FM533" s="4"/>
      <x:c r="FN533" s="4"/>
      <x:c r="FO533" s="4"/>
    </x:row>
    <x:row r="534">
      <x:c r="A534" s="72"/>
      <x:c r="B534" s="72"/>
      <x:c r="C534" s="72"/>
      <x:c r="D534" s="72"/>
      <x:c r="E534" s="72"/>
      <x:c r="F534" s="72"/>
      <x:c r="G534" s="72"/>
      <x:c r="H534" s="72"/>
      <x:c r="I534" s="72"/>
      <x:c r="J534" s="72"/>
      <x:c r="K534" s="72"/>
      <x:c r="L534" s="72"/>
      <x:c r="M534" s="72"/>
      <x:c r="N534" s="72"/>
      <x:c r="O534" s="72"/>
      <x:c r="P534" s="72"/>
      <x:c r="Q534" s="72"/>
      <x:c r="R534" s="72"/>
      <x:c r="S534" s="72"/>
      <x:c r="T534" s="72"/>
      <x:c r="U534" s="72"/>
      <x:c r="V534" s="72"/>
      <x:c r="W534" s="72"/>
      <x:c r="X534" s="72"/>
      <x:c r="Y534" s="72"/>
      <x:c r="Z534" s="72"/>
      <x:c r="AA534" s="72"/>
      <x:c r="AB534" s="72"/>
      <x:c r="AC534" s="72"/>
      <x:c r="AD534" s="72"/>
      <x:c r="AE534" s="72"/>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4"/>
      <x:c r="DQ534" s="4"/>
      <x:c r="DR534" s="4"/>
      <x:c r="DS534" s="4"/>
      <x:c r="DT534" s="4"/>
      <x:c r="DU534" s="4"/>
      <x:c r="DV534" s="4"/>
      <x:c r="DW534" s="4"/>
      <x:c r="DX534" s="4"/>
      <x:c r="DY534" s="4"/>
      <x:c r="DZ534" s="4"/>
      <x:c r="EA534" s="4"/>
      <x:c r="EB534" s="4"/>
      <x:c r="EC534" s="4"/>
      <x:c r="ED534" s="4"/>
      <x:c r="EE534" s="4"/>
      <x:c r="EF534" s="4"/>
      <x:c r="EG534" s="4"/>
      <x:c r="EH534" s="4"/>
      <x:c r="EI534" s="4"/>
      <x:c r="EJ534" s="4"/>
      <x:c r="EK534" s="4"/>
      <x:c r="EL534" s="4"/>
      <x:c r="EM534" s="4"/>
      <x:c r="EN534" s="4"/>
      <x:c r="EO534" s="4"/>
      <x:c r="EP534" s="4"/>
      <x:c r="EQ534" s="4"/>
      <x:c r="ER534" s="4"/>
      <x:c r="ES534" s="4"/>
      <x:c r="ET534" s="4"/>
      <x:c r="EU534" s="4"/>
      <x:c r="EV534" s="4"/>
      <x:c r="EW534" s="4"/>
      <x:c r="EX534" s="4"/>
      <x:c r="EY534" s="4"/>
      <x:c r="EZ534" s="4"/>
      <x:c r="FA534" s="4"/>
      <x:c r="FB534" s="4"/>
      <x:c r="FC534" s="4"/>
      <x:c r="FD534" s="4"/>
      <x:c r="FE534" s="4"/>
      <x:c r="FF534" s="4"/>
      <x:c r="FG534" s="4"/>
      <x:c r="FH534" s="4"/>
      <x:c r="FI534" s="4"/>
      <x:c r="FJ534" s="4"/>
      <x:c r="FK534" s="4"/>
      <x:c r="FL534" s="4"/>
      <x:c r="FM534" s="4"/>
      <x:c r="FN534" s="4"/>
      <x:c r="FO534" s="4"/>
    </x:row>
    <x:row r="535">
      <x:c r="A535" s="72"/>
      <x:c r="B535" s="72"/>
      <x:c r="C535" s="72"/>
      <x:c r="D535" s="72"/>
      <x:c r="E535" s="72"/>
      <x:c r="F535" s="72"/>
      <x:c r="G535" s="72"/>
      <x:c r="H535" s="72"/>
      <x:c r="I535" s="72"/>
      <x:c r="J535" s="72"/>
      <x:c r="K535" s="72"/>
      <x:c r="L535" s="72"/>
      <x:c r="M535" s="72"/>
      <x:c r="N535" s="72"/>
      <x:c r="O535" s="72"/>
      <x:c r="P535" s="72"/>
      <x:c r="Q535" s="72"/>
      <x:c r="R535" s="72"/>
      <x:c r="S535" s="72"/>
      <x:c r="T535" s="72"/>
      <x:c r="U535" s="72"/>
      <x:c r="V535" s="72"/>
      <x:c r="W535" s="72"/>
      <x:c r="X535" s="72"/>
      <x:c r="Y535" s="72"/>
      <x:c r="Z535" s="72"/>
      <x:c r="AA535" s="72"/>
      <x:c r="AB535" s="72"/>
      <x:c r="AC535" s="72"/>
      <x:c r="AD535" s="72"/>
      <x:c r="AE535" s="72"/>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4"/>
      <x:c r="DQ535" s="4"/>
      <x:c r="DR535" s="4"/>
      <x:c r="DS535" s="4"/>
      <x:c r="DT535" s="4"/>
      <x:c r="DU535" s="4"/>
      <x:c r="DV535" s="4"/>
      <x:c r="DW535" s="4"/>
      <x:c r="DX535" s="4"/>
      <x:c r="DY535" s="4"/>
      <x:c r="DZ535" s="4"/>
      <x:c r="EA535" s="4"/>
      <x:c r="EB535" s="4"/>
      <x:c r="EC535" s="4"/>
      <x:c r="ED535" s="4"/>
      <x:c r="EE535" s="4"/>
      <x:c r="EF535" s="4"/>
      <x:c r="EG535" s="4"/>
      <x:c r="EH535" s="4"/>
      <x:c r="EI535" s="4"/>
      <x:c r="EJ535" s="4"/>
      <x:c r="EK535" s="4"/>
      <x:c r="EL535" s="4"/>
      <x:c r="EM535" s="4"/>
      <x:c r="EN535" s="4"/>
      <x:c r="EO535" s="4"/>
      <x:c r="EP535" s="4"/>
      <x:c r="EQ535" s="4"/>
      <x:c r="ER535" s="4"/>
      <x:c r="ES535" s="4"/>
      <x:c r="ET535" s="4"/>
      <x:c r="EU535" s="4"/>
      <x:c r="EV535" s="4"/>
      <x:c r="EW535" s="4"/>
      <x:c r="EX535" s="4"/>
      <x:c r="EY535" s="4"/>
      <x:c r="EZ535" s="4"/>
      <x:c r="FA535" s="4"/>
      <x:c r="FB535" s="4"/>
      <x:c r="FC535" s="4"/>
      <x:c r="FD535" s="4"/>
      <x:c r="FE535" s="4"/>
      <x:c r="FF535" s="4"/>
      <x:c r="FG535" s="4"/>
      <x:c r="FH535" s="4"/>
      <x:c r="FI535" s="4"/>
      <x:c r="FJ535" s="4"/>
      <x:c r="FK535" s="4"/>
      <x:c r="FL535" s="4"/>
      <x:c r="FM535" s="4"/>
      <x:c r="FN535" s="4"/>
      <x:c r="FO535" s="4"/>
    </x:row>
    <x:row r="536">
      <x:c r="A536" s="72"/>
      <x:c r="B536" s="72"/>
      <x:c r="C536" s="72"/>
      <x:c r="D536" s="72"/>
      <x:c r="E536" s="72"/>
      <x:c r="F536" s="72"/>
      <x:c r="G536" s="72"/>
      <x:c r="H536" s="72"/>
      <x:c r="I536" s="72"/>
      <x:c r="J536" s="72"/>
      <x:c r="K536" s="72"/>
      <x:c r="L536" s="72"/>
      <x:c r="M536" s="72"/>
      <x:c r="N536" s="72"/>
      <x:c r="O536" s="72"/>
      <x:c r="P536" s="72"/>
      <x:c r="Q536" s="72"/>
      <x:c r="R536" s="72"/>
      <x:c r="S536" s="72"/>
      <x:c r="T536" s="72"/>
      <x:c r="U536" s="72"/>
      <x:c r="V536" s="72"/>
      <x:c r="W536" s="72"/>
      <x:c r="X536" s="72"/>
      <x:c r="Y536" s="72"/>
      <x:c r="Z536" s="72"/>
      <x:c r="AA536" s="72"/>
      <x:c r="AB536" s="72"/>
      <x:c r="AC536" s="72"/>
      <x:c r="AD536" s="72"/>
      <x:c r="AE536" s="72"/>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4"/>
      <x:c r="DQ536" s="4"/>
      <x:c r="DR536" s="4"/>
      <x:c r="DS536" s="4"/>
      <x:c r="DT536" s="4"/>
      <x:c r="DU536" s="4"/>
      <x:c r="DV536" s="4"/>
      <x:c r="DW536" s="4"/>
      <x:c r="DX536" s="4"/>
      <x:c r="DY536" s="4"/>
      <x:c r="DZ536" s="4"/>
      <x:c r="EA536" s="4"/>
      <x:c r="EB536" s="4"/>
      <x:c r="EC536" s="4"/>
      <x:c r="ED536" s="4"/>
      <x:c r="EE536" s="4"/>
      <x:c r="EF536" s="4"/>
      <x:c r="EG536" s="4"/>
      <x:c r="EH536" s="4"/>
      <x:c r="EI536" s="4"/>
      <x:c r="EJ536" s="4"/>
      <x:c r="EK536" s="4"/>
      <x:c r="EL536" s="4"/>
      <x:c r="EM536" s="4"/>
      <x:c r="EN536" s="4"/>
      <x:c r="EO536" s="4"/>
      <x:c r="EP536" s="4"/>
      <x:c r="EQ536" s="4"/>
      <x:c r="ER536" s="4"/>
      <x:c r="ES536" s="4"/>
      <x:c r="ET536" s="4"/>
      <x:c r="EU536" s="4"/>
      <x:c r="EV536" s="4"/>
      <x:c r="EW536" s="4"/>
      <x:c r="EX536" s="4"/>
      <x:c r="EY536" s="4"/>
      <x:c r="EZ536" s="4"/>
      <x:c r="FA536" s="4"/>
      <x:c r="FB536" s="4"/>
      <x:c r="FC536" s="4"/>
      <x:c r="FD536" s="4"/>
      <x:c r="FE536" s="4"/>
      <x:c r="FF536" s="4"/>
      <x:c r="FG536" s="4"/>
      <x:c r="FH536" s="4"/>
      <x:c r="FI536" s="4"/>
      <x:c r="FJ536" s="4"/>
      <x:c r="FK536" s="4"/>
      <x:c r="FL536" s="4"/>
      <x:c r="FM536" s="4"/>
      <x:c r="FN536" s="4"/>
      <x:c r="FO536" s="4"/>
    </x:row>
    <x:row r="537">
      <x:c r="A537" s="72"/>
      <x:c r="B537" s="72"/>
      <x:c r="C537" s="72"/>
      <x:c r="D537" s="72"/>
      <x:c r="E537" s="72"/>
      <x:c r="F537" s="72"/>
      <x:c r="G537" s="72"/>
      <x:c r="H537" s="72"/>
      <x:c r="I537" s="72"/>
      <x:c r="J537" s="72"/>
      <x:c r="K537" s="72"/>
      <x:c r="L537" s="72"/>
      <x:c r="M537" s="72"/>
      <x:c r="N537" s="72"/>
      <x:c r="O537" s="72"/>
      <x:c r="P537" s="72"/>
      <x:c r="Q537" s="72"/>
      <x:c r="R537" s="72"/>
      <x:c r="S537" s="72"/>
      <x:c r="T537" s="72"/>
      <x:c r="U537" s="72"/>
      <x:c r="V537" s="72"/>
      <x:c r="W537" s="72"/>
      <x:c r="X537" s="72"/>
      <x:c r="Y537" s="72"/>
      <x:c r="Z537" s="72"/>
      <x:c r="AA537" s="72"/>
      <x:c r="AB537" s="72"/>
      <x:c r="AC537" s="72"/>
      <x:c r="AD537" s="72"/>
      <x:c r="AE537" s="72"/>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4"/>
      <x:c r="DQ537" s="4"/>
      <x:c r="DR537" s="4"/>
      <x:c r="DS537" s="4"/>
      <x:c r="DT537" s="4"/>
      <x:c r="DU537" s="4"/>
      <x:c r="DV537" s="4"/>
      <x:c r="DW537" s="4"/>
      <x:c r="DX537" s="4"/>
      <x:c r="DY537" s="4"/>
      <x:c r="DZ537" s="4"/>
      <x:c r="EA537" s="4"/>
      <x:c r="EB537" s="4"/>
      <x:c r="EC537" s="4"/>
      <x:c r="ED537" s="4"/>
      <x:c r="EE537" s="4"/>
      <x:c r="EF537" s="4"/>
      <x:c r="EG537" s="4"/>
      <x:c r="EH537" s="4"/>
      <x:c r="EI537" s="4"/>
      <x:c r="EJ537" s="4"/>
      <x:c r="EK537" s="4"/>
      <x:c r="EL537" s="4"/>
      <x:c r="EM537" s="4"/>
      <x:c r="EN537" s="4"/>
      <x:c r="EO537" s="4"/>
      <x:c r="EP537" s="4"/>
      <x:c r="EQ537" s="4"/>
      <x:c r="ER537" s="4"/>
      <x:c r="ES537" s="4"/>
      <x:c r="ET537" s="4"/>
      <x:c r="EU537" s="4"/>
      <x:c r="EV537" s="4"/>
      <x:c r="EW537" s="4"/>
      <x:c r="EX537" s="4"/>
      <x:c r="EY537" s="4"/>
      <x:c r="EZ537" s="4"/>
      <x:c r="FA537" s="4"/>
      <x:c r="FB537" s="4"/>
      <x:c r="FC537" s="4"/>
      <x:c r="FD537" s="4"/>
      <x:c r="FE537" s="4"/>
      <x:c r="FF537" s="4"/>
      <x:c r="FG537" s="4"/>
      <x:c r="FH537" s="4"/>
      <x:c r="FI537" s="4"/>
      <x:c r="FJ537" s="4"/>
      <x:c r="FK537" s="4"/>
      <x:c r="FL537" s="4"/>
      <x:c r="FM537" s="4"/>
      <x:c r="FN537" s="4"/>
      <x:c r="FO537" s="4"/>
    </x:row>
    <x:row r="538">
      <x:c r="A538" s="72"/>
      <x:c r="B538" s="72"/>
      <x:c r="C538" s="72"/>
      <x:c r="D538" s="72"/>
      <x:c r="E538" s="72"/>
      <x:c r="F538" s="72"/>
      <x:c r="G538" s="72"/>
      <x:c r="H538" s="72"/>
      <x:c r="I538" s="72"/>
      <x:c r="J538" s="72"/>
      <x:c r="K538" s="72"/>
      <x:c r="L538" s="72"/>
      <x:c r="M538" s="72"/>
      <x:c r="N538" s="72"/>
      <x:c r="O538" s="72"/>
      <x:c r="P538" s="72"/>
      <x:c r="Q538" s="72"/>
      <x:c r="R538" s="72"/>
      <x:c r="S538" s="72"/>
      <x:c r="T538" s="72"/>
      <x:c r="U538" s="72"/>
      <x:c r="V538" s="72"/>
      <x:c r="W538" s="72"/>
      <x:c r="X538" s="72"/>
      <x:c r="Y538" s="72"/>
      <x:c r="Z538" s="72"/>
      <x:c r="AA538" s="72"/>
      <x:c r="AB538" s="72"/>
      <x:c r="AC538" s="72"/>
      <x:c r="AD538" s="72"/>
      <x:c r="AE538" s="72"/>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4"/>
      <x:c r="DQ538" s="4"/>
      <x:c r="DR538" s="4"/>
      <x:c r="DS538" s="4"/>
      <x:c r="DT538" s="4"/>
      <x:c r="DU538" s="4"/>
      <x:c r="DV538" s="4"/>
      <x:c r="DW538" s="4"/>
      <x:c r="DX538" s="4"/>
      <x:c r="DY538" s="4"/>
      <x:c r="DZ538" s="4"/>
      <x:c r="EA538" s="4"/>
      <x:c r="EB538" s="4"/>
      <x:c r="EC538" s="4"/>
      <x:c r="ED538" s="4"/>
      <x:c r="EE538" s="4"/>
      <x:c r="EF538" s="4"/>
      <x:c r="EG538" s="4"/>
      <x:c r="EH538" s="4"/>
      <x:c r="EI538" s="4"/>
      <x:c r="EJ538" s="4"/>
      <x:c r="EK538" s="4"/>
      <x:c r="EL538" s="4"/>
      <x:c r="EM538" s="4"/>
      <x:c r="EN538" s="4"/>
      <x:c r="EO538" s="4"/>
      <x:c r="EP538" s="4"/>
      <x:c r="EQ538" s="4"/>
      <x:c r="ER538" s="4"/>
      <x:c r="ES538" s="4"/>
      <x:c r="ET538" s="4"/>
      <x:c r="EU538" s="4"/>
      <x:c r="EV538" s="4"/>
      <x:c r="EW538" s="4"/>
      <x:c r="EX538" s="4"/>
      <x:c r="EY538" s="4"/>
      <x:c r="EZ538" s="4"/>
      <x:c r="FA538" s="4"/>
      <x:c r="FB538" s="4"/>
      <x:c r="FC538" s="4"/>
      <x:c r="FD538" s="4"/>
      <x:c r="FE538" s="4"/>
      <x:c r="FF538" s="4"/>
      <x:c r="FG538" s="4"/>
      <x:c r="FH538" s="4"/>
      <x:c r="FI538" s="4"/>
      <x:c r="FJ538" s="4"/>
      <x:c r="FK538" s="4"/>
      <x:c r="FL538" s="4"/>
      <x:c r="FM538" s="4"/>
      <x:c r="FN538" s="4"/>
      <x:c r="FO538" s="4"/>
    </x:row>
    <x:row r="539">
      <x:c r="A539" s="72"/>
      <x:c r="B539" s="72"/>
      <x:c r="C539" s="72"/>
      <x:c r="D539" s="72"/>
      <x:c r="E539" s="72"/>
      <x:c r="F539" s="72"/>
      <x:c r="G539" s="72"/>
      <x:c r="H539" s="72"/>
      <x:c r="I539" s="72"/>
      <x:c r="J539" s="72"/>
      <x:c r="K539" s="72"/>
      <x:c r="L539" s="72"/>
      <x:c r="M539" s="72"/>
      <x:c r="N539" s="72"/>
      <x:c r="O539" s="72"/>
      <x:c r="P539" s="72"/>
      <x:c r="Q539" s="72"/>
      <x:c r="R539" s="72"/>
      <x:c r="S539" s="72"/>
      <x:c r="T539" s="72"/>
      <x:c r="U539" s="72"/>
      <x:c r="V539" s="72"/>
      <x:c r="W539" s="72"/>
      <x:c r="X539" s="72"/>
      <x:c r="Y539" s="72"/>
      <x:c r="Z539" s="72"/>
      <x:c r="AA539" s="72"/>
      <x:c r="AB539" s="72"/>
      <x:c r="AC539" s="72"/>
      <x:c r="AD539" s="72"/>
      <x:c r="AE539" s="72"/>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4"/>
      <x:c r="DQ539" s="4"/>
      <x:c r="DR539" s="4"/>
      <x:c r="DS539" s="4"/>
      <x:c r="DT539" s="4"/>
      <x:c r="DU539" s="4"/>
      <x:c r="DV539" s="4"/>
      <x:c r="DW539" s="4"/>
      <x:c r="DX539" s="4"/>
      <x:c r="DY539" s="4"/>
      <x:c r="DZ539" s="4"/>
      <x:c r="EA539" s="4"/>
      <x:c r="EB539" s="4"/>
      <x:c r="EC539" s="4"/>
      <x:c r="ED539" s="4"/>
      <x:c r="EE539" s="4"/>
      <x:c r="EF539" s="4"/>
      <x:c r="EG539" s="4"/>
      <x:c r="EH539" s="4"/>
      <x:c r="EI539" s="4"/>
      <x:c r="EJ539" s="4"/>
      <x:c r="EK539" s="4"/>
      <x:c r="EL539" s="4"/>
      <x:c r="EM539" s="4"/>
      <x:c r="EN539" s="4"/>
      <x:c r="EO539" s="4"/>
      <x:c r="EP539" s="4"/>
      <x:c r="EQ539" s="4"/>
      <x:c r="ER539" s="4"/>
      <x:c r="ES539" s="4"/>
      <x:c r="ET539" s="4"/>
      <x:c r="EU539" s="4"/>
      <x:c r="EV539" s="4"/>
      <x:c r="EW539" s="4"/>
      <x:c r="EX539" s="4"/>
      <x:c r="EY539" s="4"/>
      <x:c r="EZ539" s="4"/>
      <x:c r="FA539" s="4"/>
      <x:c r="FB539" s="4"/>
      <x:c r="FC539" s="4"/>
      <x:c r="FD539" s="4"/>
      <x:c r="FE539" s="4"/>
      <x:c r="FF539" s="4"/>
      <x:c r="FG539" s="4"/>
      <x:c r="FH539" s="4"/>
      <x:c r="FI539" s="4"/>
      <x:c r="FJ539" s="4"/>
      <x:c r="FK539" s="4"/>
      <x:c r="FL539" s="4"/>
      <x:c r="FM539" s="4"/>
      <x:c r="FN539" s="4"/>
      <x:c r="FO539" s="4"/>
    </x:row>
    <x:row r="540">
      <x:c r="A540" s="72"/>
      <x:c r="B540" s="72"/>
      <x:c r="C540" s="72"/>
      <x:c r="D540" s="72"/>
      <x:c r="E540" s="72"/>
      <x:c r="F540" s="72"/>
      <x:c r="G540" s="72"/>
      <x:c r="H540" s="72"/>
      <x:c r="I540" s="72"/>
      <x:c r="J540" s="72"/>
      <x:c r="K540" s="72"/>
      <x:c r="L540" s="72"/>
      <x:c r="M540" s="72"/>
      <x:c r="N540" s="72"/>
      <x:c r="O540" s="72"/>
      <x:c r="P540" s="72"/>
      <x:c r="Q540" s="72"/>
      <x:c r="R540" s="72"/>
      <x:c r="S540" s="72"/>
      <x:c r="T540" s="72"/>
      <x:c r="U540" s="72"/>
      <x:c r="V540" s="72"/>
      <x:c r="W540" s="72"/>
      <x:c r="X540" s="72"/>
      <x:c r="Y540" s="72"/>
      <x:c r="Z540" s="72"/>
      <x:c r="AA540" s="72"/>
      <x:c r="AB540" s="72"/>
      <x:c r="AC540" s="72"/>
      <x:c r="AD540" s="72"/>
      <x:c r="AE540" s="72"/>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4"/>
      <x:c r="DQ540" s="4"/>
      <x:c r="DR540" s="4"/>
      <x:c r="DS540" s="4"/>
      <x:c r="DT540" s="4"/>
      <x:c r="DU540" s="4"/>
      <x:c r="DV540" s="4"/>
      <x:c r="DW540" s="4"/>
      <x:c r="DX540" s="4"/>
      <x:c r="DY540" s="4"/>
      <x:c r="DZ540" s="4"/>
      <x:c r="EA540" s="4"/>
      <x:c r="EB540" s="4"/>
      <x:c r="EC540" s="4"/>
      <x:c r="ED540" s="4"/>
      <x:c r="EE540" s="4"/>
      <x:c r="EF540" s="4"/>
      <x:c r="EG540" s="4"/>
      <x:c r="EH540" s="4"/>
      <x:c r="EI540" s="4"/>
      <x:c r="EJ540" s="4"/>
      <x:c r="EK540" s="4"/>
      <x:c r="EL540" s="4"/>
      <x:c r="EM540" s="4"/>
      <x:c r="EN540" s="4"/>
      <x:c r="EO540" s="4"/>
      <x:c r="EP540" s="4"/>
      <x:c r="EQ540" s="4"/>
      <x:c r="ER540" s="4"/>
      <x:c r="ES540" s="4"/>
      <x:c r="ET540" s="4"/>
      <x:c r="EU540" s="4"/>
      <x:c r="EV540" s="4"/>
      <x:c r="EW540" s="4"/>
      <x:c r="EX540" s="4"/>
      <x:c r="EY540" s="4"/>
      <x:c r="EZ540" s="4"/>
      <x:c r="FA540" s="4"/>
      <x:c r="FB540" s="4"/>
      <x:c r="FC540" s="4"/>
      <x:c r="FD540" s="4"/>
      <x:c r="FE540" s="4"/>
      <x:c r="FF540" s="4"/>
      <x:c r="FG540" s="4"/>
      <x:c r="FH540" s="4"/>
      <x:c r="FI540" s="4"/>
      <x:c r="FJ540" s="4"/>
      <x:c r="FK540" s="4"/>
      <x:c r="FL540" s="4"/>
      <x:c r="FM540" s="4"/>
      <x:c r="FN540" s="4"/>
      <x:c r="FO540" s="4"/>
    </x:row>
    <x:row r="541">
      <x:c r="A541" s="72"/>
      <x:c r="B541" s="72"/>
      <x:c r="C541" s="72"/>
      <x:c r="D541" s="72"/>
      <x:c r="E541" s="72"/>
      <x:c r="F541" s="72"/>
      <x:c r="G541" s="72"/>
      <x:c r="H541" s="72"/>
      <x:c r="I541" s="72"/>
      <x:c r="J541" s="72"/>
      <x:c r="K541" s="72"/>
      <x:c r="L541" s="72"/>
      <x:c r="M541" s="72"/>
      <x:c r="N541" s="72"/>
      <x:c r="O541" s="72"/>
      <x:c r="P541" s="72"/>
      <x:c r="Q541" s="72"/>
      <x:c r="R541" s="72"/>
      <x:c r="S541" s="72"/>
      <x:c r="T541" s="72"/>
      <x:c r="U541" s="72"/>
      <x:c r="V541" s="72"/>
      <x:c r="W541" s="72"/>
      <x:c r="X541" s="72"/>
      <x:c r="Y541" s="72"/>
      <x:c r="Z541" s="72"/>
      <x:c r="AA541" s="72"/>
      <x:c r="AB541" s="72"/>
      <x:c r="AC541" s="72"/>
      <x:c r="AD541" s="72"/>
      <x:c r="AE541" s="72"/>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4"/>
      <x:c r="DQ541" s="4"/>
      <x:c r="DR541" s="4"/>
      <x:c r="DS541" s="4"/>
      <x:c r="DT541" s="4"/>
      <x:c r="DU541" s="4"/>
      <x:c r="DV541" s="4"/>
      <x:c r="DW541" s="4"/>
      <x:c r="DX541" s="4"/>
      <x:c r="DY541" s="4"/>
      <x:c r="DZ541" s="4"/>
      <x:c r="EA541" s="4"/>
      <x:c r="EB541" s="4"/>
      <x:c r="EC541" s="4"/>
      <x:c r="ED541" s="4"/>
      <x:c r="EE541" s="4"/>
      <x:c r="EF541" s="4"/>
      <x:c r="EG541" s="4"/>
      <x:c r="EH541" s="4"/>
      <x:c r="EI541" s="4"/>
      <x:c r="EJ541" s="4"/>
      <x:c r="EK541" s="4"/>
      <x:c r="EL541" s="4"/>
      <x:c r="EM541" s="4"/>
      <x:c r="EN541" s="4"/>
      <x:c r="EO541" s="4"/>
      <x:c r="EP541" s="4"/>
      <x:c r="EQ541" s="4"/>
      <x:c r="ER541" s="4"/>
      <x:c r="ES541" s="4"/>
      <x:c r="ET541" s="4"/>
      <x:c r="EU541" s="4"/>
      <x:c r="EV541" s="4"/>
      <x:c r="EW541" s="4"/>
      <x:c r="EX541" s="4"/>
      <x:c r="EY541" s="4"/>
      <x:c r="EZ541" s="4"/>
      <x:c r="FA541" s="4"/>
      <x:c r="FB541" s="4"/>
      <x:c r="FC541" s="4"/>
      <x:c r="FD541" s="4"/>
      <x:c r="FE541" s="4"/>
      <x:c r="FF541" s="4"/>
      <x:c r="FG541" s="4"/>
      <x:c r="FH541" s="4"/>
      <x:c r="FI541" s="4"/>
      <x:c r="FJ541" s="4"/>
      <x:c r="FK541" s="4"/>
      <x:c r="FL541" s="4"/>
      <x:c r="FM541" s="4"/>
      <x:c r="FN541" s="4"/>
      <x:c r="FO541" s="4"/>
    </x:row>
    <x:row r="542">
      <x:c r="A542" s="72"/>
      <x:c r="B542" s="72"/>
      <x:c r="C542" s="72"/>
      <x:c r="D542" s="72"/>
      <x:c r="E542" s="72"/>
      <x:c r="F542" s="72"/>
      <x:c r="G542" s="72"/>
      <x:c r="H542" s="72"/>
      <x:c r="I542" s="72"/>
      <x:c r="J542" s="72"/>
      <x:c r="K542" s="72"/>
      <x:c r="L542" s="72"/>
      <x:c r="M542" s="72"/>
      <x:c r="N542" s="72"/>
      <x:c r="O542" s="72"/>
      <x:c r="P542" s="72"/>
      <x:c r="Q542" s="72"/>
      <x:c r="R542" s="72"/>
      <x:c r="S542" s="72"/>
      <x:c r="T542" s="72"/>
      <x:c r="U542" s="72"/>
      <x:c r="V542" s="72"/>
      <x:c r="W542" s="72"/>
      <x:c r="X542" s="72"/>
      <x:c r="Y542" s="72"/>
      <x:c r="Z542" s="72"/>
      <x:c r="AA542" s="72"/>
      <x:c r="AB542" s="72"/>
      <x:c r="AC542" s="72"/>
      <x:c r="AD542" s="72"/>
      <x:c r="AE542" s="72"/>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4"/>
      <x:c r="DQ542" s="4"/>
      <x:c r="DR542" s="4"/>
      <x:c r="DS542" s="4"/>
      <x:c r="DT542" s="4"/>
      <x:c r="DU542" s="4"/>
      <x:c r="DV542" s="4"/>
      <x:c r="DW542" s="4"/>
      <x:c r="DX542" s="4"/>
      <x:c r="DY542" s="4"/>
      <x:c r="DZ542" s="4"/>
      <x:c r="EA542" s="4"/>
      <x:c r="EB542" s="4"/>
      <x:c r="EC542" s="4"/>
      <x:c r="ED542" s="4"/>
      <x:c r="EE542" s="4"/>
      <x:c r="EF542" s="4"/>
      <x:c r="EG542" s="4"/>
      <x:c r="EH542" s="4"/>
      <x:c r="EI542" s="4"/>
      <x:c r="EJ542" s="4"/>
      <x:c r="EK542" s="4"/>
      <x:c r="EL542" s="4"/>
      <x:c r="EM542" s="4"/>
      <x:c r="EN542" s="4"/>
      <x:c r="EO542" s="4"/>
      <x:c r="EP542" s="4"/>
      <x:c r="EQ542" s="4"/>
      <x:c r="ER542" s="4"/>
      <x:c r="ES542" s="4"/>
      <x:c r="ET542" s="4"/>
      <x:c r="EU542" s="4"/>
      <x:c r="EV542" s="4"/>
      <x:c r="EW542" s="4"/>
      <x:c r="EX542" s="4"/>
      <x:c r="EY542" s="4"/>
      <x:c r="EZ542" s="4"/>
      <x:c r="FA542" s="4"/>
      <x:c r="FB542" s="4"/>
      <x:c r="FC542" s="4"/>
      <x:c r="FD542" s="4"/>
      <x:c r="FE542" s="4"/>
      <x:c r="FF542" s="4"/>
      <x:c r="FG542" s="4"/>
      <x:c r="FH542" s="4"/>
      <x:c r="FI542" s="4"/>
      <x:c r="FJ542" s="4"/>
      <x:c r="FK542" s="4"/>
      <x:c r="FL542" s="4"/>
      <x:c r="FM542" s="4"/>
      <x:c r="FN542" s="4"/>
      <x:c r="FO542" s="4"/>
    </x:row>
    <x:row r="543">
      <x:c r="A543" s="72"/>
      <x:c r="B543" s="72"/>
      <x:c r="C543" s="72"/>
      <x:c r="D543" s="72"/>
      <x:c r="E543" s="72"/>
      <x:c r="F543" s="72"/>
      <x:c r="G543" s="72"/>
      <x:c r="H543" s="72"/>
      <x:c r="I543" s="72"/>
      <x:c r="J543" s="72"/>
      <x:c r="K543" s="72"/>
      <x:c r="L543" s="72"/>
      <x:c r="M543" s="72"/>
      <x:c r="N543" s="72"/>
      <x:c r="O543" s="72"/>
      <x:c r="P543" s="72"/>
      <x:c r="Q543" s="72"/>
      <x:c r="R543" s="72"/>
      <x:c r="S543" s="72"/>
      <x:c r="T543" s="72"/>
      <x:c r="U543" s="72"/>
      <x:c r="V543" s="72"/>
      <x:c r="W543" s="72"/>
      <x:c r="X543" s="72"/>
      <x:c r="Y543" s="72"/>
      <x:c r="Z543" s="72"/>
      <x:c r="AA543" s="72"/>
      <x:c r="AB543" s="72"/>
      <x:c r="AC543" s="72"/>
      <x:c r="AD543" s="72"/>
      <x:c r="AE543" s="72"/>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4"/>
      <x:c r="DQ543" s="4"/>
      <x:c r="DR543" s="4"/>
      <x:c r="DS543" s="4"/>
      <x:c r="DT543" s="4"/>
      <x:c r="DU543" s="4"/>
      <x:c r="DV543" s="4"/>
      <x:c r="DW543" s="4"/>
      <x:c r="DX543" s="4"/>
      <x:c r="DY543" s="4"/>
      <x:c r="DZ543" s="4"/>
      <x:c r="EA543" s="4"/>
      <x:c r="EB543" s="4"/>
      <x:c r="EC543" s="4"/>
      <x:c r="ED543" s="4"/>
      <x:c r="EE543" s="4"/>
      <x:c r="EF543" s="4"/>
      <x:c r="EG543" s="4"/>
      <x:c r="EH543" s="4"/>
      <x:c r="EI543" s="4"/>
      <x:c r="EJ543" s="4"/>
      <x:c r="EK543" s="4"/>
      <x:c r="EL543" s="4"/>
      <x:c r="EM543" s="4"/>
      <x:c r="EN543" s="4"/>
      <x:c r="EO543" s="4"/>
      <x:c r="EP543" s="4"/>
      <x:c r="EQ543" s="4"/>
      <x:c r="ER543" s="4"/>
      <x:c r="ES543" s="4"/>
      <x:c r="ET543" s="4"/>
      <x:c r="EU543" s="4"/>
      <x:c r="EV543" s="4"/>
      <x:c r="EW543" s="4"/>
      <x:c r="EX543" s="4"/>
      <x:c r="EY543" s="4"/>
      <x:c r="EZ543" s="4"/>
      <x:c r="FA543" s="4"/>
      <x:c r="FB543" s="4"/>
      <x:c r="FC543" s="4"/>
      <x:c r="FD543" s="4"/>
      <x:c r="FE543" s="4"/>
      <x:c r="FF543" s="4"/>
      <x:c r="FG543" s="4"/>
      <x:c r="FH543" s="4"/>
      <x:c r="FI543" s="4"/>
      <x:c r="FJ543" s="4"/>
      <x:c r="FK543" s="4"/>
      <x:c r="FL543" s="4"/>
      <x:c r="FM543" s="4"/>
      <x:c r="FN543" s="4"/>
      <x:c r="FO543" s="4"/>
    </x:row>
    <x:row r="544">
      <x:c r="A544" s="72"/>
      <x:c r="B544" s="72"/>
      <x:c r="C544" s="72"/>
      <x:c r="D544" s="72"/>
      <x:c r="E544" s="72"/>
      <x:c r="F544" s="72"/>
      <x:c r="G544" s="72"/>
      <x:c r="H544" s="72"/>
      <x:c r="I544" s="72"/>
      <x:c r="J544" s="72"/>
      <x:c r="K544" s="72"/>
      <x:c r="L544" s="72"/>
      <x:c r="M544" s="72"/>
      <x:c r="N544" s="72"/>
      <x:c r="O544" s="72"/>
      <x:c r="P544" s="72"/>
      <x:c r="Q544" s="72"/>
      <x:c r="R544" s="72"/>
      <x:c r="S544" s="72"/>
      <x:c r="T544" s="72"/>
      <x:c r="U544" s="72"/>
      <x:c r="V544" s="72"/>
      <x:c r="W544" s="72"/>
      <x:c r="X544" s="72"/>
      <x:c r="Y544" s="72"/>
      <x:c r="Z544" s="72"/>
      <x:c r="AA544" s="72"/>
      <x:c r="AB544" s="72"/>
      <x:c r="AC544" s="72"/>
      <x:c r="AD544" s="72"/>
      <x:c r="AE544" s="72"/>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4"/>
      <x:c r="DQ544" s="4"/>
      <x:c r="DR544" s="4"/>
      <x:c r="DS544" s="4"/>
      <x:c r="DT544" s="4"/>
      <x:c r="DU544" s="4"/>
      <x:c r="DV544" s="4"/>
      <x:c r="DW544" s="4"/>
      <x:c r="DX544" s="4"/>
      <x:c r="DY544" s="4"/>
      <x:c r="DZ544" s="4"/>
      <x:c r="EA544" s="4"/>
      <x:c r="EB544" s="4"/>
      <x:c r="EC544" s="4"/>
      <x:c r="ED544" s="4"/>
      <x:c r="EE544" s="4"/>
      <x:c r="EF544" s="4"/>
      <x:c r="EG544" s="4"/>
      <x:c r="EH544" s="4"/>
      <x:c r="EI544" s="4"/>
      <x:c r="EJ544" s="4"/>
      <x:c r="EK544" s="4"/>
      <x:c r="EL544" s="4"/>
      <x:c r="EM544" s="4"/>
      <x:c r="EN544" s="4"/>
      <x:c r="EO544" s="4"/>
      <x:c r="EP544" s="4"/>
      <x:c r="EQ544" s="4"/>
      <x:c r="ER544" s="4"/>
      <x:c r="ES544" s="4"/>
      <x:c r="ET544" s="4"/>
      <x:c r="EU544" s="4"/>
      <x:c r="EV544" s="4"/>
      <x:c r="EW544" s="4"/>
      <x:c r="EX544" s="4"/>
      <x:c r="EY544" s="4"/>
      <x:c r="EZ544" s="4"/>
      <x:c r="FA544" s="4"/>
      <x:c r="FB544" s="4"/>
      <x:c r="FC544" s="4"/>
      <x:c r="FD544" s="4"/>
      <x:c r="FE544" s="4"/>
      <x:c r="FF544" s="4"/>
      <x:c r="FG544" s="4"/>
      <x:c r="FH544" s="4"/>
      <x:c r="FI544" s="4"/>
      <x:c r="FJ544" s="4"/>
      <x:c r="FK544" s="4"/>
      <x:c r="FL544" s="4"/>
      <x:c r="FM544" s="4"/>
      <x:c r="FN544" s="4"/>
      <x:c r="FO544" s="4"/>
    </x:row>
    <x:row r="545">
      <x:c r="A545" s="72"/>
      <x:c r="B545" s="72"/>
      <x:c r="C545" s="72"/>
      <x:c r="D545" s="72"/>
      <x:c r="E545" s="72"/>
      <x:c r="F545" s="72"/>
      <x:c r="G545" s="72"/>
      <x:c r="H545" s="72"/>
      <x:c r="I545" s="72"/>
      <x:c r="J545" s="72"/>
      <x:c r="K545" s="72"/>
      <x:c r="L545" s="72"/>
      <x:c r="M545" s="72"/>
      <x:c r="N545" s="72"/>
      <x:c r="O545" s="72"/>
      <x:c r="P545" s="72"/>
      <x:c r="Q545" s="72"/>
      <x:c r="R545" s="72"/>
      <x:c r="S545" s="72"/>
      <x:c r="T545" s="72"/>
      <x:c r="U545" s="72"/>
      <x:c r="V545" s="72"/>
      <x:c r="W545" s="72"/>
      <x:c r="X545" s="72"/>
      <x:c r="Y545" s="72"/>
      <x:c r="Z545" s="72"/>
      <x:c r="AA545" s="72"/>
      <x:c r="AB545" s="72"/>
      <x:c r="AC545" s="72"/>
      <x:c r="AD545" s="72"/>
      <x:c r="AE545" s="72"/>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4"/>
      <x:c r="DQ545" s="4"/>
      <x:c r="DR545" s="4"/>
      <x:c r="DS545" s="4"/>
      <x:c r="DT545" s="4"/>
      <x:c r="DU545" s="4"/>
      <x:c r="DV545" s="4"/>
      <x:c r="DW545" s="4"/>
      <x:c r="DX545" s="4"/>
      <x:c r="DY545" s="4"/>
      <x:c r="DZ545" s="4"/>
      <x:c r="EA545" s="4"/>
      <x:c r="EB545" s="4"/>
      <x:c r="EC545" s="4"/>
      <x:c r="ED545" s="4"/>
      <x:c r="EE545" s="4"/>
      <x:c r="EF545" s="4"/>
      <x:c r="EG545" s="4"/>
      <x:c r="EH545" s="4"/>
      <x:c r="EI545" s="4"/>
      <x:c r="EJ545" s="4"/>
      <x:c r="EK545" s="4"/>
      <x:c r="EL545" s="4"/>
      <x:c r="EM545" s="4"/>
      <x:c r="EN545" s="4"/>
      <x:c r="EO545" s="4"/>
      <x:c r="EP545" s="4"/>
      <x:c r="EQ545" s="4"/>
      <x:c r="ER545" s="4"/>
      <x:c r="ES545" s="4"/>
      <x:c r="ET545" s="4"/>
      <x:c r="EU545" s="4"/>
      <x:c r="EV545" s="4"/>
      <x:c r="EW545" s="4"/>
      <x:c r="EX545" s="4"/>
      <x:c r="EY545" s="4"/>
      <x:c r="EZ545" s="4"/>
      <x:c r="FA545" s="4"/>
      <x:c r="FB545" s="4"/>
      <x:c r="FC545" s="4"/>
      <x:c r="FD545" s="4"/>
      <x:c r="FE545" s="4"/>
      <x:c r="FF545" s="4"/>
      <x:c r="FG545" s="4"/>
      <x:c r="FH545" s="4"/>
      <x:c r="FI545" s="4"/>
      <x:c r="FJ545" s="4"/>
      <x:c r="FK545" s="4"/>
      <x:c r="FL545" s="4"/>
      <x:c r="FM545" s="4"/>
      <x:c r="FN545" s="4"/>
      <x:c r="FO545" s="4"/>
    </x:row>
    <x:row r="546">
      <x:c r="A546" s="72"/>
      <x:c r="B546" s="72"/>
      <x:c r="C546" s="72"/>
      <x:c r="D546" s="72"/>
      <x:c r="E546" s="72"/>
      <x:c r="F546" s="72"/>
      <x:c r="G546" s="72"/>
      <x:c r="H546" s="72"/>
      <x:c r="I546" s="72"/>
      <x:c r="J546" s="72"/>
      <x:c r="K546" s="72"/>
      <x:c r="L546" s="72"/>
      <x:c r="M546" s="72"/>
      <x:c r="N546" s="72"/>
      <x:c r="O546" s="72"/>
      <x:c r="P546" s="72"/>
      <x:c r="Q546" s="72"/>
      <x:c r="R546" s="72"/>
      <x:c r="S546" s="72"/>
      <x:c r="T546" s="72"/>
      <x:c r="U546" s="72"/>
      <x:c r="V546" s="72"/>
      <x:c r="W546" s="72"/>
      <x:c r="X546" s="72"/>
      <x:c r="Y546" s="72"/>
      <x:c r="Z546" s="72"/>
      <x:c r="AA546" s="72"/>
      <x:c r="AB546" s="72"/>
      <x:c r="AC546" s="72"/>
      <x:c r="AD546" s="72"/>
      <x:c r="AE546" s="72"/>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4"/>
      <x:c r="DQ546" s="4"/>
      <x:c r="DR546" s="4"/>
      <x:c r="DS546" s="4"/>
      <x:c r="DT546" s="4"/>
      <x:c r="DU546" s="4"/>
      <x:c r="DV546" s="4"/>
      <x:c r="DW546" s="4"/>
      <x:c r="DX546" s="4"/>
      <x:c r="DY546" s="4"/>
      <x:c r="DZ546" s="4"/>
      <x:c r="EA546" s="4"/>
      <x:c r="EB546" s="4"/>
      <x:c r="EC546" s="4"/>
      <x:c r="ED546" s="4"/>
      <x:c r="EE546" s="4"/>
      <x:c r="EF546" s="4"/>
      <x:c r="EG546" s="4"/>
      <x:c r="EH546" s="4"/>
      <x:c r="EI546" s="4"/>
      <x:c r="EJ546" s="4"/>
      <x:c r="EK546" s="4"/>
      <x:c r="EL546" s="4"/>
      <x:c r="EM546" s="4"/>
      <x:c r="EN546" s="4"/>
      <x:c r="EO546" s="4"/>
      <x:c r="EP546" s="4"/>
      <x:c r="EQ546" s="4"/>
      <x:c r="ER546" s="4"/>
      <x:c r="ES546" s="4"/>
      <x:c r="ET546" s="4"/>
      <x:c r="EU546" s="4"/>
      <x:c r="EV546" s="4"/>
      <x:c r="EW546" s="4"/>
      <x:c r="EX546" s="4"/>
      <x:c r="EY546" s="4"/>
      <x:c r="EZ546" s="4"/>
      <x:c r="FA546" s="4"/>
      <x:c r="FB546" s="4"/>
      <x:c r="FC546" s="4"/>
      <x:c r="FD546" s="4"/>
      <x:c r="FE546" s="4"/>
      <x:c r="FF546" s="4"/>
      <x:c r="FG546" s="4"/>
      <x:c r="FH546" s="4"/>
      <x:c r="FI546" s="4"/>
      <x:c r="FJ546" s="4"/>
      <x:c r="FK546" s="4"/>
      <x:c r="FL546" s="4"/>
      <x:c r="FM546" s="4"/>
      <x:c r="FN546" s="4"/>
      <x:c r="FO546" s="4"/>
    </x:row>
    <x:row r="547">
      <x:c r="A547" s="72"/>
      <x:c r="B547" s="72"/>
      <x:c r="C547" s="72"/>
      <x:c r="D547" s="72"/>
      <x:c r="E547" s="72"/>
      <x:c r="F547" s="72"/>
      <x:c r="G547" s="72"/>
      <x:c r="H547" s="72"/>
      <x:c r="I547" s="72"/>
      <x:c r="J547" s="72"/>
      <x:c r="K547" s="72"/>
      <x:c r="L547" s="72"/>
      <x:c r="M547" s="72"/>
      <x:c r="N547" s="72"/>
      <x:c r="O547" s="72"/>
      <x:c r="P547" s="72"/>
      <x:c r="Q547" s="72"/>
      <x:c r="R547" s="72"/>
      <x:c r="S547" s="72"/>
      <x:c r="T547" s="72"/>
      <x:c r="U547" s="72"/>
      <x:c r="V547" s="72"/>
      <x:c r="W547" s="72"/>
      <x:c r="X547" s="72"/>
      <x:c r="Y547" s="72"/>
      <x:c r="Z547" s="72"/>
      <x:c r="AA547" s="72"/>
      <x:c r="AB547" s="72"/>
      <x:c r="AC547" s="72"/>
      <x:c r="AD547" s="72"/>
      <x:c r="AE547" s="72"/>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4"/>
      <x:c r="DQ547" s="4"/>
      <x:c r="DR547" s="4"/>
      <x:c r="DS547" s="4"/>
      <x:c r="DT547" s="4"/>
      <x:c r="DU547" s="4"/>
      <x:c r="DV547" s="4"/>
      <x:c r="DW547" s="4"/>
      <x:c r="DX547" s="4"/>
      <x:c r="DY547" s="4"/>
      <x:c r="DZ547" s="4"/>
      <x:c r="EA547" s="4"/>
      <x:c r="EB547" s="4"/>
      <x:c r="EC547" s="4"/>
      <x:c r="ED547" s="4"/>
      <x:c r="EE547" s="4"/>
      <x:c r="EF547" s="4"/>
      <x:c r="EG547" s="4"/>
      <x:c r="EH547" s="4"/>
      <x:c r="EI547" s="4"/>
      <x:c r="EJ547" s="4"/>
      <x:c r="EK547" s="4"/>
      <x:c r="EL547" s="4"/>
      <x:c r="EM547" s="4"/>
      <x:c r="EN547" s="4"/>
      <x:c r="EO547" s="4"/>
      <x:c r="EP547" s="4"/>
      <x:c r="EQ547" s="4"/>
      <x:c r="ER547" s="4"/>
      <x:c r="ES547" s="4"/>
      <x:c r="ET547" s="4"/>
      <x:c r="EU547" s="4"/>
      <x:c r="EV547" s="4"/>
      <x:c r="EW547" s="4"/>
      <x:c r="EX547" s="4"/>
      <x:c r="EY547" s="4"/>
      <x:c r="EZ547" s="4"/>
      <x:c r="FA547" s="4"/>
      <x:c r="FB547" s="4"/>
      <x:c r="FC547" s="4"/>
      <x:c r="FD547" s="4"/>
      <x:c r="FE547" s="4"/>
      <x:c r="FF547" s="4"/>
      <x:c r="FG547" s="4"/>
      <x:c r="FH547" s="4"/>
      <x:c r="FI547" s="4"/>
      <x:c r="FJ547" s="4"/>
      <x:c r="FK547" s="4"/>
      <x:c r="FL547" s="4"/>
      <x:c r="FM547" s="4"/>
      <x:c r="FN547" s="4"/>
      <x:c r="FO547" s="4"/>
    </x:row>
    <x:row r="548">
      <x:c r="A548" s="72"/>
      <x:c r="B548" s="72"/>
      <x:c r="C548" s="72"/>
      <x:c r="D548" s="72"/>
      <x:c r="E548" s="72"/>
      <x:c r="F548" s="72"/>
      <x:c r="G548" s="72"/>
      <x:c r="H548" s="72"/>
      <x:c r="I548" s="72"/>
      <x:c r="J548" s="72"/>
      <x:c r="K548" s="72"/>
      <x:c r="L548" s="72"/>
      <x:c r="M548" s="72"/>
      <x:c r="N548" s="72"/>
      <x:c r="O548" s="72"/>
      <x:c r="P548" s="72"/>
      <x:c r="Q548" s="72"/>
      <x:c r="R548" s="72"/>
      <x:c r="S548" s="72"/>
      <x:c r="T548" s="72"/>
      <x:c r="U548" s="72"/>
      <x:c r="V548" s="72"/>
      <x:c r="W548" s="72"/>
      <x:c r="X548" s="72"/>
      <x:c r="Y548" s="72"/>
      <x:c r="Z548" s="72"/>
      <x:c r="AA548" s="72"/>
      <x:c r="AB548" s="72"/>
      <x:c r="AC548" s="72"/>
      <x:c r="AD548" s="72"/>
      <x:c r="AE548" s="72"/>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4"/>
      <x:c r="DQ548" s="4"/>
      <x:c r="DR548" s="4"/>
      <x:c r="DS548" s="4"/>
      <x:c r="DT548" s="4"/>
      <x:c r="DU548" s="4"/>
      <x:c r="DV548" s="4"/>
      <x:c r="DW548" s="4"/>
      <x:c r="DX548" s="4"/>
      <x:c r="DY548" s="4"/>
      <x:c r="DZ548" s="4"/>
      <x:c r="EA548" s="4"/>
      <x:c r="EB548" s="4"/>
      <x:c r="EC548" s="4"/>
      <x:c r="ED548" s="4"/>
      <x:c r="EE548" s="4"/>
      <x:c r="EF548" s="4"/>
      <x:c r="EG548" s="4"/>
      <x:c r="EH548" s="4"/>
      <x:c r="EI548" s="4"/>
      <x:c r="EJ548" s="4"/>
      <x:c r="EK548" s="4"/>
      <x:c r="EL548" s="4"/>
      <x:c r="EM548" s="4"/>
      <x:c r="EN548" s="4"/>
      <x:c r="EO548" s="4"/>
      <x:c r="EP548" s="4"/>
      <x:c r="EQ548" s="4"/>
      <x:c r="ER548" s="4"/>
      <x:c r="ES548" s="4"/>
      <x:c r="ET548" s="4"/>
      <x:c r="EU548" s="4"/>
      <x:c r="EV548" s="4"/>
      <x:c r="EW548" s="4"/>
      <x:c r="EX548" s="4"/>
      <x:c r="EY548" s="4"/>
      <x:c r="EZ548" s="4"/>
      <x:c r="FA548" s="4"/>
      <x:c r="FB548" s="4"/>
      <x:c r="FC548" s="4"/>
      <x:c r="FD548" s="4"/>
      <x:c r="FE548" s="4"/>
      <x:c r="FF548" s="4"/>
      <x:c r="FG548" s="4"/>
      <x:c r="FH548" s="4"/>
      <x:c r="FI548" s="4"/>
      <x:c r="FJ548" s="4"/>
      <x:c r="FK548" s="4"/>
      <x:c r="FL548" s="4"/>
      <x:c r="FM548" s="4"/>
      <x:c r="FN548" s="4"/>
      <x:c r="FO548" s="4"/>
    </x:row>
    <x:row r="549">
      <x:c r="A549" s="72"/>
      <x:c r="B549" s="72"/>
      <x:c r="C549" s="72"/>
      <x:c r="D549" s="72"/>
      <x:c r="E549" s="72"/>
      <x:c r="F549" s="72"/>
      <x:c r="G549" s="72"/>
      <x:c r="H549" s="72"/>
      <x:c r="I549" s="72"/>
      <x:c r="J549" s="72"/>
      <x:c r="K549" s="72"/>
      <x:c r="L549" s="72"/>
      <x:c r="M549" s="72"/>
      <x:c r="N549" s="72"/>
      <x:c r="O549" s="72"/>
      <x:c r="P549" s="72"/>
      <x:c r="Q549" s="72"/>
      <x:c r="R549" s="72"/>
      <x:c r="S549" s="72"/>
      <x:c r="T549" s="72"/>
      <x:c r="U549" s="72"/>
      <x:c r="V549" s="72"/>
      <x:c r="W549" s="72"/>
      <x:c r="X549" s="72"/>
      <x:c r="Y549" s="72"/>
      <x:c r="Z549" s="72"/>
      <x:c r="AA549" s="72"/>
      <x:c r="AB549" s="72"/>
      <x:c r="AC549" s="72"/>
      <x:c r="AD549" s="72"/>
      <x:c r="AE549" s="72"/>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4"/>
      <x:c r="DQ549" s="4"/>
      <x:c r="DR549" s="4"/>
      <x:c r="DS549" s="4"/>
      <x:c r="DT549" s="4"/>
      <x:c r="DU549" s="4"/>
      <x:c r="DV549" s="4"/>
      <x:c r="DW549" s="4"/>
      <x:c r="DX549" s="4"/>
      <x:c r="DY549" s="4"/>
      <x:c r="DZ549" s="4"/>
      <x:c r="EA549" s="4"/>
      <x:c r="EB549" s="4"/>
      <x:c r="EC549" s="4"/>
      <x:c r="ED549" s="4"/>
      <x:c r="EE549" s="4"/>
      <x:c r="EF549" s="4"/>
      <x:c r="EG549" s="4"/>
      <x:c r="EH549" s="4"/>
      <x:c r="EI549" s="4"/>
      <x:c r="EJ549" s="4"/>
      <x:c r="EK549" s="4"/>
      <x:c r="EL549" s="4"/>
      <x:c r="EM549" s="4"/>
      <x:c r="EN549" s="4"/>
      <x:c r="EO549" s="4"/>
      <x:c r="EP549" s="4"/>
      <x:c r="EQ549" s="4"/>
      <x:c r="ER549" s="4"/>
      <x:c r="ES549" s="4"/>
      <x:c r="ET549" s="4"/>
      <x:c r="EU549" s="4"/>
      <x:c r="EV549" s="4"/>
      <x:c r="EW549" s="4"/>
      <x:c r="EX549" s="4"/>
      <x:c r="EY549" s="4"/>
      <x:c r="EZ549" s="4"/>
      <x:c r="FA549" s="4"/>
      <x:c r="FB549" s="4"/>
      <x:c r="FC549" s="4"/>
      <x:c r="FD549" s="4"/>
      <x:c r="FE549" s="4"/>
      <x:c r="FF549" s="4"/>
      <x:c r="FG549" s="4"/>
      <x:c r="FH549" s="4"/>
      <x:c r="FI549" s="4"/>
      <x:c r="FJ549" s="4"/>
      <x:c r="FK549" s="4"/>
      <x:c r="FL549" s="4"/>
      <x:c r="FM549" s="4"/>
      <x:c r="FN549" s="4"/>
      <x:c r="FO549" s="4"/>
    </x:row>
    <x:row r="550">
      <x:c r="A550" s="72"/>
      <x:c r="B550" s="72"/>
      <x:c r="C550" s="72"/>
      <x:c r="D550" s="72"/>
      <x:c r="E550" s="72"/>
      <x:c r="F550" s="72"/>
      <x:c r="G550" s="72"/>
      <x:c r="H550" s="72"/>
      <x:c r="I550" s="72"/>
      <x:c r="J550" s="72"/>
      <x:c r="K550" s="72"/>
      <x:c r="L550" s="72"/>
      <x:c r="M550" s="72"/>
      <x:c r="N550" s="72"/>
      <x:c r="O550" s="72"/>
      <x:c r="P550" s="72"/>
      <x:c r="Q550" s="72"/>
      <x:c r="R550" s="72"/>
      <x:c r="S550" s="72"/>
      <x:c r="T550" s="72"/>
      <x:c r="U550" s="72"/>
      <x:c r="V550" s="72"/>
      <x:c r="W550" s="72"/>
      <x:c r="X550" s="72"/>
      <x:c r="Y550" s="72"/>
      <x:c r="Z550" s="72"/>
      <x:c r="AA550" s="72"/>
      <x:c r="AB550" s="72"/>
      <x:c r="AC550" s="72"/>
      <x:c r="AD550" s="72"/>
      <x:c r="AE550" s="72"/>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4"/>
      <x:c r="DQ550" s="4"/>
      <x:c r="DR550" s="4"/>
      <x:c r="DS550" s="4"/>
      <x:c r="DT550" s="4"/>
      <x:c r="DU550" s="4"/>
      <x:c r="DV550" s="4"/>
      <x:c r="DW550" s="4"/>
      <x:c r="DX550" s="4"/>
      <x:c r="DY550" s="4"/>
      <x:c r="DZ550" s="4"/>
      <x:c r="EA550" s="4"/>
      <x:c r="EB550" s="4"/>
      <x:c r="EC550" s="4"/>
      <x:c r="ED550" s="4"/>
      <x:c r="EE550" s="4"/>
      <x:c r="EF550" s="4"/>
      <x:c r="EG550" s="4"/>
      <x:c r="EH550" s="4"/>
      <x:c r="EI550" s="4"/>
      <x:c r="EJ550" s="4"/>
      <x:c r="EK550" s="4"/>
      <x:c r="EL550" s="4"/>
      <x:c r="EM550" s="4"/>
      <x:c r="EN550" s="4"/>
      <x:c r="EO550" s="4"/>
      <x:c r="EP550" s="4"/>
      <x:c r="EQ550" s="4"/>
      <x:c r="ER550" s="4"/>
      <x:c r="ES550" s="4"/>
      <x:c r="ET550" s="4"/>
      <x:c r="EU550" s="4"/>
      <x:c r="EV550" s="4"/>
      <x:c r="EW550" s="4"/>
      <x:c r="EX550" s="4"/>
      <x:c r="EY550" s="4"/>
      <x:c r="EZ550" s="4"/>
      <x:c r="FA550" s="4"/>
      <x:c r="FB550" s="4"/>
      <x:c r="FC550" s="4"/>
      <x:c r="FD550" s="4"/>
      <x:c r="FE550" s="4"/>
      <x:c r="FF550" s="4"/>
      <x:c r="FG550" s="4"/>
      <x:c r="FH550" s="4"/>
      <x:c r="FI550" s="4"/>
      <x:c r="FJ550" s="4"/>
      <x:c r="FK550" s="4"/>
      <x:c r="FL550" s="4"/>
      <x:c r="FM550" s="4"/>
      <x:c r="FN550" s="4"/>
      <x:c r="FO550" s="4"/>
    </x:row>
    <x:row r="551">
      <x:c r="A551" s="72"/>
      <x:c r="B551" s="72"/>
      <x:c r="C551" s="72"/>
      <x:c r="D551" s="72"/>
      <x:c r="E551" s="72"/>
      <x:c r="F551" s="72"/>
      <x:c r="G551" s="72"/>
      <x:c r="H551" s="72"/>
      <x:c r="I551" s="72"/>
      <x:c r="J551" s="72"/>
      <x:c r="K551" s="72"/>
      <x:c r="L551" s="72"/>
      <x:c r="M551" s="72"/>
      <x:c r="N551" s="72"/>
      <x:c r="O551" s="72"/>
      <x:c r="P551" s="72"/>
      <x:c r="Q551" s="72"/>
      <x:c r="R551" s="72"/>
      <x:c r="S551" s="72"/>
      <x:c r="T551" s="72"/>
      <x:c r="U551" s="72"/>
      <x:c r="V551" s="72"/>
      <x:c r="W551" s="72"/>
      <x:c r="X551" s="72"/>
      <x:c r="Y551" s="72"/>
      <x:c r="Z551" s="72"/>
      <x:c r="AA551" s="72"/>
      <x:c r="AB551" s="72"/>
      <x:c r="AC551" s="72"/>
      <x:c r="AD551" s="72"/>
      <x:c r="AE551" s="72"/>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4"/>
      <x:c r="DQ551" s="4"/>
      <x:c r="DR551" s="4"/>
      <x:c r="DS551" s="4"/>
      <x:c r="DT551" s="4"/>
      <x:c r="DU551" s="4"/>
      <x:c r="DV551" s="4"/>
      <x:c r="DW551" s="4"/>
      <x:c r="DX551" s="4"/>
      <x:c r="DY551" s="4"/>
      <x:c r="DZ551" s="4"/>
      <x:c r="EA551" s="4"/>
      <x:c r="EB551" s="4"/>
      <x:c r="EC551" s="4"/>
      <x:c r="ED551" s="4"/>
      <x:c r="EE551" s="4"/>
      <x:c r="EF551" s="4"/>
      <x:c r="EG551" s="4"/>
      <x:c r="EH551" s="4"/>
      <x:c r="EI551" s="4"/>
      <x:c r="EJ551" s="4"/>
      <x:c r="EK551" s="4"/>
      <x:c r="EL551" s="4"/>
      <x:c r="EM551" s="4"/>
      <x:c r="EN551" s="4"/>
      <x:c r="EO551" s="4"/>
      <x:c r="EP551" s="4"/>
      <x:c r="EQ551" s="4"/>
      <x:c r="ER551" s="4"/>
      <x:c r="ES551" s="4"/>
      <x:c r="ET551" s="4"/>
      <x:c r="EU551" s="4"/>
      <x:c r="EV551" s="4"/>
      <x:c r="EW551" s="4"/>
      <x:c r="EX551" s="4"/>
      <x:c r="EY551" s="4"/>
      <x:c r="EZ551" s="4"/>
      <x:c r="FA551" s="4"/>
      <x:c r="FB551" s="4"/>
      <x:c r="FC551" s="4"/>
      <x:c r="FD551" s="4"/>
      <x:c r="FE551" s="4"/>
      <x:c r="FF551" s="4"/>
      <x:c r="FG551" s="4"/>
      <x:c r="FH551" s="4"/>
      <x:c r="FI551" s="4"/>
      <x:c r="FJ551" s="4"/>
      <x:c r="FK551" s="4"/>
      <x:c r="FL551" s="4"/>
      <x:c r="FM551" s="4"/>
      <x:c r="FN551" s="4"/>
      <x:c r="FO551" s="4"/>
    </x:row>
    <x:row r="552">
      <x:c r="A552" s="72"/>
      <x:c r="B552" s="72"/>
      <x:c r="C552" s="72"/>
      <x:c r="D552" s="72"/>
      <x:c r="E552" s="72"/>
      <x:c r="F552" s="72"/>
      <x:c r="G552" s="72"/>
      <x:c r="H552" s="72"/>
      <x:c r="I552" s="72"/>
      <x:c r="J552" s="72"/>
      <x:c r="K552" s="72"/>
      <x:c r="L552" s="72"/>
      <x:c r="M552" s="72"/>
      <x:c r="N552" s="72"/>
      <x:c r="O552" s="72"/>
      <x:c r="P552" s="72"/>
      <x:c r="Q552" s="72"/>
      <x:c r="R552" s="72"/>
      <x:c r="S552" s="72"/>
      <x:c r="T552" s="72"/>
      <x:c r="U552" s="72"/>
      <x:c r="V552" s="72"/>
      <x:c r="W552" s="72"/>
      <x:c r="X552" s="72"/>
      <x:c r="Y552" s="72"/>
      <x:c r="Z552" s="72"/>
      <x:c r="AA552" s="72"/>
      <x:c r="AB552" s="72"/>
      <x:c r="AC552" s="72"/>
      <x:c r="AD552" s="72"/>
      <x:c r="AE552" s="72"/>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4"/>
      <x:c r="DQ552" s="4"/>
      <x:c r="DR552" s="4"/>
      <x:c r="DS552" s="4"/>
      <x:c r="DT552" s="4"/>
      <x:c r="DU552" s="4"/>
      <x:c r="DV552" s="4"/>
      <x:c r="DW552" s="4"/>
      <x:c r="DX552" s="4"/>
      <x:c r="DY552" s="4"/>
      <x:c r="DZ552" s="4"/>
      <x:c r="EA552" s="4"/>
      <x:c r="EB552" s="4"/>
      <x:c r="EC552" s="4"/>
      <x:c r="ED552" s="4"/>
      <x:c r="EE552" s="4"/>
      <x:c r="EF552" s="4"/>
      <x:c r="EG552" s="4"/>
      <x:c r="EH552" s="4"/>
      <x:c r="EI552" s="4"/>
      <x:c r="EJ552" s="4"/>
      <x:c r="EK552" s="4"/>
      <x:c r="EL552" s="4"/>
      <x:c r="EM552" s="4"/>
      <x:c r="EN552" s="4"/>
      <x:c r="EO552" s="4"/>
      <x:c r="EP552" s="4"/>
      <x:c r="EQ552" s="4"/>
      <x:c r="ER552" s="4"/>
      <x:c r="ES552" s="4"/>
      <x:c r="ET552" s="4"/>
      <x:c r="EU552" s="4"/>
      <x:c r="EV552" s="4"/>
      <x:c r="EW552" s="4"/>
      <x:c r="EX552" s="4"/>
      <x:c r="EY552" s="4"/>
      <x:c r="EZ552" s="4"/>
      <x:c r="FA552" s="4"/>
      <x:c r="FB552" s="4"/>
      <x:c r="FC552" s="4"/>
      <x:c r="FD552" s="4"/>
      <x:c r="FE552" s="4"/>
      <x:c r="FF552" s="4"/>
      <x:c r="FG552" s="4"/>
      <x:c r="FH552" s="4"/>
      <x:c r="FI552" s="4"/>
      <x:c r="FJ552" s="4"/>
      <x:c r="FK552" s="4"/>
      <x:c r="FL552" s="4"/>
      <x:c r="FM552" s="4"/>
      <x:c r="FN552" s="4"/>
      <x:c r="FO552" s="4"/>
    </x:row>
    <x:row r="553">
      <x:c r="A553" s="72"/>
      <x:c r="B553" s="72"/>
      <x:c r="C553" s="72"/>
      <x:c r="D553" s="72"/>
      <x:c r="E553" s="72"/>
      <x:c r="F553" s="72"/>
      <x:c r="G553" s="72"/>
      <x:c r="H553" s="72"/>
      <x:c r="I553" s="72"/>
      <x:c r="J553" s="72"/>
      <x:c r="K553" s="72"/>
      <x:c r="L553" s="72"/>
      <x:c r="M553" s="72"/>
      <x:c r="N553" s="72"/>
      <x:c r="O553" s="72"/>
      <x:c r="P553" s="72"/>
      <x:c r="Q553" s="72"/>
      <x:c r="R553" s="72"/>
      <x:c r="S553" s="72"/>
      <x:c r="T553" s="72"/>
      <x:c r="U553" s="72"/>
      <x:c r="V553" s="72"/>
      <x:c r="W553" s="72"/>
      <x:c r="X553" s="72"/>
      <x:c r="Y553" s="72"/>
      <x:c r="Z553" s="72"/>
      <x:c r="AA553" s="72"/>
      <x:c r="AB553" s="72"/>
      <x:c r="AC553" s="72"/>
      <x:c r="AD553" s="72"/>
      <x:c r="AE553" s="72"/>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4"/>
      <x:c r="DQ553" s="4"/>
      <x:c r="DR553" s="4"/>
      <x:c r="DS553" s="4"/>
      <x:c r="DT553" s="4"/>
      <x:c r="DU553" s="4"/>
      <x:c r="DV553" s="4"/>
      <x:c r="DW553" s="4"/>
      <x:c r="DX553" s="4"/>
      <x:c r="DY553" s="4"/>
      <x:c r="DZ553" s="4"/>
      <x:c r="EA553" s="4"/>
      <x:c r="EB553" s="4"/>
      <x:c r="EC553" s="4"/>
      <x:c r="ED553" s="4"/>
      <x:c r="EE553" s="4"/>
      <x:c r="EF553" s="4"/>
      <x:c r="EG553" s="4"/>
      <x:c r="EH553" s="4"/>
      <x:c r="EI553" s="4"/>
      <x:c r="EJ553" s="4"/>
      <x:c r="EK553" s="4"/>
      <x:c r="EL553" s="4"/>
      <x:c r="EM553" s="4"/>
      <x:c r="EN553" s="4"/>
      <x:c r="EO553" s="4"/>
      <x:c r="EP553" s="4"/>
      <x:c r="EQ553" s="4"/>
      <x:c r="ER553" s="4"/>
      <x:c r="ES553" s="4"/>
      <x:c r="ET553" s="4"/>
      <x:c r="EU553" s="4"/>
      <x:c r="EV553" s="4"/>
      <x:c r="EW553" s="4"/>
      <x:c r="EX553" s="4"/>
      <x:c r="EY553" s="4"/>
      <x:c r="EZ553" s="4"/>
      <x:c r="FA553" s="4"/>
      <x:c r="FB553" s="4"/>
      <x:c r="FC553" s="4"/>
      <x:c r="FD553" s="4"/>
      <x:c r="FE553" s="4"/>
      <x:c r="FF553" s="4"/>
      <x:c r="FG553" s="4"/>
      <x:c r="FH553" s="4"/>
      <x:c r="FI553" s="4"/>
      <x:c r="FJ553" s="4"/>
      <x:c r="FK553" s="4"/>
      <x:c r="FL553" s="4"/>
      <x:c r="FM553" s="4"/>
      <x:c r="FN553" s="4"/>
      <x:c r="FO553" s="4"/>
    </x:row>
    <x:row r="554">
      <x:c r="A554" s="72"/>
      <x:c r="B554" s="72"/>
      <x:c r="C554" s="72"/>
      <x:c r="D554" s="72"/>
      <x:c r="E554" s="72"/>
      <x:c r="F554" s="72"/>
      <x:c r="G554" s="72"/>
      <x:c r="H554" s="72"/>
      <x:c r="I554" s="72"/>
      <x:c r="J554" s="72"/>
      <x:c r="K554" s="72"/>
      <x:c r="L554" s="72"/>
      <x:c r="M554" s="72"/>
      <x:c r="N554" s="72"/>
      <x:c r="O554" s="72"/>
      <x:c r="P554" s="72"/>
      <x:c r="Q554" s="72"/>
      <x:c r="R554" s="72"/>
      <x:c r="S554" s="72"/>
      <x:c r="T554" s="72"/>
      <x:c r="U554" s="72"/>
      <x:c r="V554" s="72"/>
      <x:c r="W554" s="72"/>
      <x:c r="X554" s="72"/>
      <x:c r="Y554" s="72"/>
      <x:c r="Z554" s="72"/>
      <x:c r="AA554" s="72"/>
      <x:c r="AB554" s="72"/>
      <x:c r="AC554" s="72"/>
      <x:c r="AD554" s="72"/>
      <x:c r="AE554" s="72"/>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4"/>
      <x:c r="DQ554" s="4"/>
      <x:c r="DR554" s="4"/>
      <x:c r="DS554" s="4"/>
      <x:c r="DT554" s="4"/>
      <x:c r="DU554" s="4"/>
      <x:c r="DV554" s="4"/>
      <x:c r="DW554" s="4"/>
      <x:c r="DX554" s="4"/>
      <x:c r="DY554" s="4"/>
      <x:c r="DZ554" s="4"/>
      <x:c r="EA554" s="4"/>
      <x:c r="EB554" s="4"/>
      <x:c r="EC554" s="4"/>
      <x:c r="ED554" s="4"/>
      <x:c r="EE554" s="4"/>
      <x:c r="EF554" s="4"/>
      <x:c r="EG554" s="4"/>
      <x:c r="EH554" s="4"/>
      <x:c r="EI554" s="4"/>
      <x:c r="EJ554" s="4"/>
      <x:c r="EK554" s="4"/>
      <x:c r="EL554" s="4"/>
      <x:c r="EM554" s="4"/>
      <x:c r="EN554" s="4"/>
      <x:c r="EO554" s="4"/>
      <x:c r="EP554" s="4"/>
      <x:c r="EQ554" s="4"/>
      <x:c r="ER554" s="4"/>
      <x:c r="ES554" s="4"/>
      <x:c r="ET554" s="4"/>
      <x:c r="EU554" s="4"/>
      <x:c r="EV554" s="4"/>
      <x:c r="EW554" s="4"/>
      <x:c r="EX554" s="4"/>
      <x:c r="EY554" s="4"/>
      <x:c r="EZ554" s="4"/>
      <x:c r="FA554" s="4"/>
      <x:c r="FB554" s="4"/>
      <x:c r="FC554" s="4"/>
      <x:c r="FD554" s="4"/>
      <x:c r="FE554" s="4"/>
      <x:c r="FF554" s="4"/>
      <x:c r="FG554" s="4"/>
      <x:c r="FH554" s="4"/>
      <x:c r="FI554" s="4"/>
      <x:c r="FJ554" s="4"/>
      <x:c r="FK554" s="4"/>
      <x:c r="FL554" s="4"/>
      <x:c r="FM554" s="4"/>
      <x:c r="FN554" s="4"/>
      <x:c r="FO554" s="4"/>
    </x:row>
    <x:row r="555">
      <x:c r="A555" s="72"/>
      <x:c r="B555" s="72"/>
      <x:c r="C555" s="72"/>
      <x:c r="D555" s="72"/>
      <x:c r="E555" s="72"/>
      <x:c r="F555" s="72"/>
      <x:c r="G555" s="72"/>
      <x:c r="H555" s="72"/>
      <x:c r="I555" s="72"/>
      <x:c r="J555" s="72"/>
      <x:c r="K555" s="72"/>
      <x:c r="L555" s="72"/>
      <x:c r="M555" s="72"/>
      <x:c r="N555" s="72"/>
      <x:c r="O555" s="72"/>
      <x:c r="P555" s="72"/>
      <x:c r="Q555" s="72"/>
      <x:c r="R555" s="72"/>
      <x:c r="S555" s="72"/>
      <x:c r="T555" s="72"/>
      <x:c r="U555" s="72"/>
      <x:c r="V555" s="72"/>
      <x:c r="W555" s="72"/>
      <x:c r="X555" s="72"/>
      <x:c r="Y555" s="72"/>
      <x:c r="Z555" s="72"/>
      <x:c r="AA555" s="72"/>
      <x:c r="AB555" s="72"/>
      <x:c r="AC555" s="72"/>
      <x:c r="AD555" s="72"/>
      <x:c r="AE555" s="72"/>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4"/>
      <x:c r="DQ555" s="4"/>
      <x:c r="DR555" s="4"/>
      <x:c r="DS555" s="4"/>
      <x:c r="DT555" s="4"/>
      <x:c r="DU555" s="4"/>
      <x:c r="DV555" s="4"/>
      <x:c r="DW555" s="4"/>
      <x:c r="DX555" s="4"/>
      <x:c r="DY555" s="4"/>
      <x:c r="DZ555" s="4"/>
      <x:c r="EA555" s="4"/>
      <x:c r="EB555" s="4"/>
      <x:c r="EC555" s="4"/>
      <x:c r="ED555" s="4"/>
      <x:c r="EE555" s="4"/>
      <x:c r="EF555" s="4"/>
      <x:c r="EG555" s="4"/>
      <x:c r="EH555" s="4"/>
      <x:c r="EI555" s="4"/>
      <x:c r="EJ555" s="4"/>
      <x:c r="EK555" s="4"/>
      <x:c r="EL555" s="4"/>
      <x:c r="EM555" s="4"/>
      <x:c r="EN555" s="4"/>
      <x:c r="EO555" s="4"/>
      <x:c r="EP555" s="4"/>
      <x:c r="EQ555" s="4"/>
      <x:c r="ER555" s="4"/>
      <x:c r="ES555" s="4"/>
      <x:c r="ET555" s="4"/>
      <x:c r="EU555" s="4"/>
      <x:c r="EV555" s="4"/>
      <x:c r="EW555" s="4"/>
      <x:c r="EX555" s="4"/>
      <x:c r="EY555" s="4"/>
      <x:c r="EZ555" s="4"/>
      <x:c r="FA555" s="4"/>
      <x:c r="FB555" s="4"/>
      <x:c r="FC555" s="4"/>
      <x:c r="FD555" s="4"/>
      <x:c r="FE555" s="4"/>
      <x:c r="FF555" s="4"/>
      <x:c r="FG555" s="4"/>
      <x:c r="FH555" s="4"/>
      <x:c r="FI555" s="4"/>
      <x:c r="FJ555" s="4"/>
      <x:c r="FK555" s="4"/>
      <x:c r="FL555" s="4"/>
      <x:c r="FM555" s="4"/>
      <x:c r="FN555" s="4"/>
      <x:c r="FO555" s="4"/>
    </x:row>
    <x:row r="556">
      <x:c r="A556" s="72"/>
      <x:c r="B556" s="72"/>
      <x:c r="C556" s="72"/>
      <x:c r="D556" s="72"/>
      <x:c r="E556" s="72"/>
      <x:c r="F556" s="72"/>
      <x:c r="G556" s="72"/>
      <x:c r="H556" s="72"/>
      <x:c r="I556" s="72"/>
      <x:c r="J556" s="72"/>
      <x:c r="K556" s="72"/>
      <x:c r="L556" s="72"/>
      <x:c r="M556" s="72"/>
      <x:c r="N556" s="72"/>
      <x:c r="O556" s="72"/>
      <x:c r="P556" s="72"/>
      <x:c r="Q556" s="72"/>
      <x:c r="R556" s="72"/>
      <x:c r="S556" s="72"/>
      <x:c r="T556" s="72"/>
      <x:c r="U556" s="72"/>
      <x:c r="V556" s="72"/>
      <x:c r="W556" s="72"/>
      <x:c r="X556" s="72"/>
      <x:c r="Y556" s="72"/>
      <x:c r="Z556" s="72"/>
      <x:c r="AA556" s="72"/>
      <x:c r="AB556" s="72"/>
      <x:c r="AC556" s="72"/>
      <x:c r="AD556" s="72"/>
      <x:c r="AE556" s="72"/>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4"/>
      <x:c r="DQ556" s="4"/>
      <x:c r="DR556" s="4"/>
      <x:c r="DS556" s="4"/>
      <x:c r="DT556" s="4"/>
      <x:c r="DU556" s="4"/>
      <x:c r="DV556" s="4"/>
      <x:c r="DW556" s="4"/>
      <x:c r="DX556" s="4"/>
      <x:c r="DY556" s="4"/>
      <x:c r="DZ556" s="4"/>
      <x:c r="EA556" s="4"/>
      <x:c r="EB556" s="4"/>
      <x:c r="EC556" s="4"/>
      <x:c r="ED556" s="4"/>
      <x:c r="EE556" s="4"/>
      <x:c r="EF556" s="4"/>
      <x:c r="EG556" s="4"/>
      <x:c r="EH556" s="4"/>
      <x:c r="EI556" s="4"/>
      <x:c r="EJ556" s="4"/>
      <x:c r="EK556" s="4"/>
      <x:c r="EL556" s="4"/>
      <x:c r="EM556" s="4"/>
      <x:c r="EN556" s="4"/>
      <x:c r="EO556" s="4"/>
      <x:c r="EP556" s="4"/>
      <x:c r="EQ556" s="4"/>
      <x:c r="ER556" s="4"/>
      <x:c r="ES556" s="4"/>
      <x:c r="ET556" s="4"/>
      <x:c r="EU556" s="4"/>
      <x:c r="EV556" s="4"/>
      <x:c r="EW556" s="4"/>
      <x:c r="EX556" s="4"/>
      <x:c r="EY556" s="4"/>
      <x:c r="EZ556" s="4"/>
      <x:c r="FA556" s="4"/>
      <x:c r="FB556" s="4"/>
      <x:c r="FC556" s="4"/>
      <x:c r="FD556" s="4"/>
      <x:c r="FE556" s="4"/>
      <x:c r="FF556" s="4"/>
      <x:c r="FG556" s="4"/>
      <x:c r="FH556" s="4"/>
      <x:c r="FI556" s="4"/>
      <x:c r="FJ556" s="4"/>
      <x:c r="FK556" s="4"/>
      <x:c r="FL556" s="4"/>
      <x:c r="FM556" s="4"/>
      <x:c r="FN556" s="4"/>
      <x:c r="FO556" s="4"/>
    </x:row>
    <x:row r="557">
      <x:c r="A557" s="72"/>
      <x:c r="B557" s="72"/>
      <x:c r="C557" s="72"/>
      <x:c r="D557" s="72"/>
      <x:c r="E557" s="72"/>
      <x:c r="F557" s="72"/>
      <x:c r="G557" s="72"/>
      <x:c r="H557" s="72"/>
      <x:c r="I557" s="72"/>
      <x:c r="J557" s="72"/>
      <x:c r="K557" s="72"/>
      <x:c r="L557" s="72"/>
      <x:c r="M557" s="72"/>
      <x:c r="N557" s="72"/>
      <x:c r="O557" s="72"/>
      <x:c r="P557" s="72"/>
      <x:c r="Q557" s="72"/>
      <x:c r="R557" s="72"/>
      <x:c r="S557" s="72"/>
      <x:c r="T557" s="72"/>
      <x:c r="U557" s="72"/>
      <x:c r="V557" s="72"/>
      <x:c r="W557" s="72"/>
      <x:c r="X557" s="72"/>
      <x:c r="Y557" s="72"/>
      <x:c r="Z557" s="72"/>
      <x:c r="AA557" s="72"/>
      <x:c r="AB557" s="72"/>
      <x:c r="AC557" s="72"/>
      <x:c r="AD557" s="72"/>
      <x:c r="AE557" s="72"/>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4"/>
      <x:c r="DQ557" s="4"/>
      <x:c r="DR557" s="4"/>
      <x:c r="DS557" s="4"/>
      <x:c r="DT557" s="4"/>
      <x:c r="DU557" s="4"/>
      <x:c r="DV557" s="4"/>
      <x:c r="DW557" s="4"/>
      <x:c r="DX557" s="4"/>
      <x:c r="DY557" s="4"/>
      <x:c r="DZ557" s="4"/>
      <x:c r="EA557" s="4"/>
      <x:c r="EB557" s="4"/>
      <x:c r="EC557" s="4"/>
      <x:c r="ED557" s="4"/>
      <x:c r="EE557" s="4"/>
      <x:c r="EF557" s="4"/>
      <x:c r="EG557" s="4"/>
      <x:c r="EH557" s="4"/>
      <x:c r="EI557" s="4"/>
      <x:c r="EJ557" s="4"/>
      <x:c r="EK557" s="4"/>
      <x:c r="EL557" s="4"/>
      <x:c r="EM557" s="4"/>
      <x:c r="EN557" s="4"/>
      <x:c r="EO557" s="4"/>
      <x:c r="EP557" s="4"/>
      <x:c r="EQ557" s="4"/>
      <x:c r="ER557" s="4"/>
      <x:c r="ES557" s="4"/>
      <x:c r="ET557" s="4"/>
      <x:c r="EU557" s="4"/>
      <x:c r="EV557" s="4"/>
      <x:c r="EW557" s="4"/>
      <x:c r="EX557" s="4"/>
      <x:c r="EY557" s="4"/>
      <x:c r="EZ557" s="4"/>
      <x:c r="FA557" s="4"/>
      <x:c r="FB557" s="4"/>
      <x:c r="FC557" s="4"/>
      <x:c r="FD557" s="4"/>
      <x:c r="FE557" s="4"/>
      <x:c r="FF557" s="4"/>
      <x:c r="FG557" s="4"/>
      <x:c r="FH557" s="4"/>
      <x:c r="FI557" s="4"/>
      <x:c r="FJ557" s="4"/>
      <x:c r="FK557" s="4"/>
      <x:c r="FL557" s="4"/>
      <x:c r="FM557" s="4"/>
      <x:c r="FN557" s="4"/>
      <x:c r="FO557" s="4"/>
    </x:row>
    <x:row r="558">
      <x:c r="A558" s="72"/>
      <x:c r="B558" s="72"/>
      <x:c r="C558" s="72"/>
      <x:c r="D558" s="72"/>
      <x:c r="E558" s="72"/>
      <x:c r="F558" s="72"/>
      <x:c r="G558" s="72"/>
      <x:c r="H558" s="72"/>
      <x:c r="I558" s="72"/>
      <x:c r="J558" s="72"/>
      <x:c r="K558" s="72"/>
      <x:c r="L558" s="72"/>
      <x:c r="M558" s="72"/>
      <x:c r="N558" s="72"/>
      <x:c r="O558" s="72"/>
      <x:c r="P558" s="72"/>
      <x:c r="Q558" s="72"/>
      <x:c r="R558" s="72"/>
      <x:c r="S558" s="72"/>
      <x:c r="T558" s="72"/>
      <x:c r="U558" s="72"/>
      <x:c r="V558" s="72"/>
      <x:c r="W558" s="72"/>
      <x:c r="X558" s="72"/>
      <x:c r="Y558" s="72"/>
      <x:c r="Z558" s="72"/>
      <x:c r="AA558" s="72"/>
      <x:c r="AB558" s="72"/>
      <x:c r="AC558" s="72"/>
      <x:c r="AD558" s="72"/>
      <x:c r="AE558" s="72"/>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4"/>
      <x:c r="DQ558" s="4"/>
      <x:c r="DR558" s="4"/>
      <x:c r="DS558" s="4"/>
      <x:c r="DT558" s="4"/>
      <x:c r="DU558" s="4"/>
      <x:c r="DV558" s="4"/>
      <x:c r="DW558" s="4"/>
      <x:c r="DX558" s="4"/>
      <x:c r="DY558" s="4"/>
      <x:c r="DZ558" s="4"/>
      <x:c r="EA558" s="4"/>
      <x:c r="EB558" s="4"/>
      <x:c r="EC558" s="4"/>
      <x:c r="ED558" s="4"/>
      <x:c r="EE558" s="4"/>
      <x:c r="EF558" s="4"/>
      <x:c r="EG558" s="4"/>
      <x:c r="EH558" s="4"/>
      <x:c r="EI558" s="4"/>
      <x:c r="EJ558" s="4"/>
      <x:c r="EK558" s="4"/>
      <x:c r="EL558" s="4"/>
      <x:c r="EM558" s="4"/>
      <x:c r="EN558" s="4"/>
      <x:c r="EO558" s="4"/>
      <x:c r="EP558" s="4"/>
      <x:c r="EQ558" s="4"/>
      <x:c r="ER558" s="4"/>
      <x:c r="ES558" s="4"/>
      <x:c r="ET558" s="4"/>
      <x:c r="EU558" s="4"/>
      <x:c r="EV558" s="4"/>
      <x:c r="EW558" s="4"/>
      <x:c r="EX558" s="4"/>
      <x:c r="EY558" s="4"/>
      <x:c r="EZ558" s="4"/>
      <x:c r="FA558" s="4"/>
      <x:c r="FB558" s="4"/>
      <x:c r="FC558" s="4"/>
      <x:c r="FD558" s="4"/>
      <x:c r="FE558" s="4"/>
      <x:c r="FF558" s="4"/>
      <x:c r="FG558" s="4"/>
      <x:c r="FH558" s="4"/>
      <x:c r="FI558" s="4"/>
      <x:c r="FJ558" s="4"/>
      <x:c r="FK558" s="4"/>
      <x:c r="FL558" s="4"/>
      <x:c r="FM558" s="4"/>
      <x:c r="FN558" s="4"/>
      <x:c r="FO558" s="4"/>
    </x:row>
    <x:row r="559">
      <x:c r="A559" s="72"/>
      <x:c r="B559" s="72"/>
      <x:c r="C559" s="72"/>
      <x:c r="D559" s="72"/>
      <x:c r="E559" s="72"/>
      <x:c r="F559" s="72"/>
      <x:c r="G559" s="72"/>
      <x:c r="H559" s="72"/>
      <x:c r="I559" s="72"/>
      <x:c r="J559" s="72"/>
      <x:c r="K559" s="72"/>
      <x:c r="L559" s="72"/>
      <x:c r="M559" s="72"/>
      <x:c r="N559" s="72"/>
      <x:c r="O559" s="72"/>
      <x:c r="P559" s="72"/>
      <x:c r="Q559" s="72"/>
      <x:c r="R559" s="72"/>
      <x:c r="S559" s="72"/>
      <x:c r="T559" s="72"/>
      <x:c r="U559" s="72"/>
      <x:c r="V559" s="72"/>
      <x:c r="W559" s="72"/>
      <x:c r="X559" s="72"/>
      <x:c r="Y559" s="72"/>
      <x:c r="Z559" s="72"/>
      <x:c r="AA559" s="72"/>
      <x:c r="AB559" s="72"/>
      <x:c r="AC559" s="72"/>
      <x:c r="AD559" s="72"/>
      <x:c r="AE559" s="72"/>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4"/>
      <x:c r="DQ559" s="4"/>
      <x:c r="DR559" s="4"/>
      <x:c r="DS559" s="4"/>
      <x:c r="DT559" s="4"/>
      <x:c r="DU559" s="4"/>
      <x:c r="DV559" s="4"/>
      <x:c r="DW559" s="4"/>
      <x:c r="DX559" s="4"/>
      <x:c r="DY559" s="4"/>
      <x:c r="DZ559" s="4"/>
      <x:c r="EA559" s="4"/>
      <x:c r="EB559" s="4"/>
      <x:c r="EC559" s="4"/>
      <x:c r="ED559" s="4"/>
      <x:c r="EE559" s="4"/>
      <x:c r="EF559" s="4"/>
      <x:c r="EG559" s="4"/>
      <x:c r="EH559" s="4"/>
      <x:c r="EI559" s="4"/>
      <x:c r="EJ559" s="4"/>
      <x:c r="EK559" s="4"/>
      <x:c r="EL559" s="4"/>
      <x:c r="EM559" s="4"/>
      <x:c r="EN559" s="4"/>
      <x:c r="EO559" s="4"/>
      <x:c r="EP559" s="4"/>
      <x:c r="EQ559" s="4"/>
      <x:c r="ER559" s="4"/>
      <x:c r="ES559" s="4"/>
      <x:c r="ET559" s="4"/>
      <x:c r="EU559" s="4"/>
      <x:c r="EV559" s="4"/>
      <x:c r="EW559" s="4"/>
      <x:c r="EX559" s="4"/>
      <x:c r="EY559" s="4"/>
      <x:c r="EZ559" s="4"/>
      <x:c r="FA559" s="4"/>
      <x:c r="FB559" s="4"/>
      <x:c r="FC559" s="4"/>
      <x:c r="FD559" s="4"/>
      <x:c r="FE559" s="4"/>
      <x:c r="FF559" s="4"/>
      <x:c r="FG559" s="4"/>
      <x:c r="FH559" s="4"/>
      <x:c r="FI559" s="4"/>
      <x:c r="FJ559" s="4"/>
      <x:c r="FK559" s="4"/>
      <x:c r="FL559" s="4"/>
      <x:c r="FM559" s="4"/>
      <x:c r="FN559" s="4"/>
      <x:c r="FO559" s="4"/>
    </x:row>
    <x:row r="560">
      <x:c r="A560" s="72"/>
      <x:c r="B560" s="72"/>
      <x:c r="C560" s="72"/>
      <x:c r="D560" s="72"/>
      <x:c r="E560" s="72"/>
      <x:c r="F560" s="72"/>
      <x:c r="G560" s="72"/>
      <x:c r="H560" s="72"/>
      <x:c r="I560" s="72"/>
      <x:c r="J560" s="72"/>
      <x:c r="K560" s="72"/>
      <x:c r="L560" s="72"/>
      <x:c r="M560" s="72"/>
      <x:c r="N560" s="72"/>
      <x:c r="O560" s="72"/>
      <x:c r="P560" s="72"/>
      <x:c r="Q560" s="72"/>
      <x:c r="R560" s="72"/>
      <x:c r="S560" s="72"/>
      <x:c r="T560" s="72"/>
      <x:c r="U560" s="72"/>
      <x:c r="V560" s="72"/>
      <x:c r="W560" s="72"/>
      <x:c r="X560" s="72"/>
      <x:c r="Y560" s="72"/>
      <x:c r="Z560" s="72"/>
      <x:c r="AA560" s="72"/>
      <x:c r="AB560" s="72"/>
      <x:c r="AC560" s="72"/>
      <x:c r="AD560" s="72"/>
      <x:c r="AE560" s="72"/>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4"/>
      <x:c r="DQ560" s="4"/>
      <x:c r="DR560" s="4"/>
      <x:c r="DS560" s="4"/>
      <x:c r="DT560" s="4"/>
      <x:c r="DU560" s="4"/>
      <x:c r="DV560" s="4"/>
      <x:c r="DW560" s="4"/>
      <x:c r="DX560" s="4"/>
      <x:c r="DY560" s="4"/>
      <x:c r="DZ560" s="4"/>
      <x:c r="EA560" s="4"/>
      <x:c r="EB560" s="4"/>
      <x:c r="EC560" s="4"/>
      <x:c r="ED560" s="4"/>
      <x:c r="EE560" s="4"/>
      <x:c r="EF560" s="4"/>
      <x:c r="EG560" s="4"/>
      <x:c r="EH560" s="4"/>
      <x:c r="EI560" s="4"/>
      <x:c r="EJ560" s="4"/>
      <x:c r="EK560" s="4"/>
      <x:c r="EL560" s="4"/>
      <x:c r="EM560" s="4"/>
      <x:c r="EN560" s="4"/>
      <x:c r="EO560" s="4"/>
      <x:c r="EP560" s="4"/>
      <x:c r="EQ560" s="4"/>
      <x:c r="ER560" s="4"/>
      <x:c r="ES560" s="4"/>
      <x:c r="ET560" s="4"/>
      <x:c r="EU560" s="4"/>
      <x:c r="EV560" s="4"/>
      <x:c r="EW560" s="4"/>
      <x:c r="EX560" s="4"/>
      <x:c r="EY560" s="4"/>
      <x:c r="EZ560" s="4"/>
      <x:c r="FA560" s="4"/>
      <x:c r="FB560" s="4"/>
      <x:c r="FC560" s="4"/>
      <x:c r="FD560" s="4"/>
      <x:c r="FE560" s="4"/>
      <x:c r="FF560" s="4"/>
      <x:c r="FG560" s="4"/>
      <x:c r="FH560" s="4"/>
      <x:c r="FI560" s="4"/>
      <x:c r="FJ560" s="4"/>
      <x:c r="FK560" s="4"/>
      <x:c r="FL560" s="4"/>
      <x:c r="FM560" s="4"/>
      <x:c r="FN560" s="4"/>
      <x:c r="FO560" s="4"/>
    </x:row>
    <x:row r="561">
      <x:c r="A561" s="72"/>
      <x:c r="B561" s="72"/>
      <x:c r="C561" s="72"/>
      <x:c r="D561" s="72"/>
      <x:c r="E561" s="72"/>
      <x:c r="F561" s="72"/>
      <x:c r="G561" s="72"/>
      <x:c r="H561" s="72"/>
      <x:c r="I561" s="72"/>
      <x:c r="J561" s="72"/>
      <x:c r="K561" s="72"/>
      <x:c r="L561" s="72"/>
      <x:c r="M561" s="72"/>
      <x:c r="N561" s="72"/>
      <x:c r="O561" s="72"/>
      <x:c r="P561" s="72"/>
      <x:c r="Q561" s="72"/>
      <x:c r="R561" s="72"/>
      <x:c r="S561" s="72"/>
      <x:c r="T561" s="72"/>
      <x:c r="U561" s="72"/>
      <x:c r="V561" s="72"/>
      <x:c r="W561" s="72"/>
      <x:c r="X561" s="72"/>
      <x:c r="Y561" s="72"/>
      <x:c r="Z561" s="72"/>
      <x:c r="AA561" s="72"/>
      <x:c r="AB561" s="72"/>
      <x:c r="AC561" s="72"/>
      <x:c r="AD561" s="72"/>
      <x:c r="AE561" s="72"/>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4"/>
      <x:c r="DQ561" s="4"/>
      <x:c r="DR561" s="4"/>
      <x:c r="DS561" s="4"/>
      <x:c r="DT561" s="4"/>
      <x:c r="DU561" s="4"/>
      <x:c r="DV561" s="4"/>
      <x:c r="DW561" s="4"/>
      <x:c r="DX561" s="4"/>
      <x:c r="DY561" s="4"/>
      <x:c r="DZ561" s="4"/>
      <x:c r="EA561" s="4"/>
      <x:c r="EB561" s="4"/>
      <x:c r="EC561" s="4"/>
      <x:c r="ED561" s="4"/>
      <x:c r="EE561" s="4"/>
      <x:c r="EF561" s="4"/>
      <x:c r="EG561" s="4"/>
      <x:c r="EH561" s="4"/>
      <x:c r="EI561" s="4"/>
      <x:c r="EJ561" s="4"/>
      <x:c r="EK561" s="4"/>
      <x:c r="EL561" s="4"/>
      <x:c r="EM561" s="4"/>
      <x:c r="EN561" s="4"/>
      <x:c r="EO561" s="4"/>
      <x:c r="EP561" s="4"/>
      <x:c r="EQ561" s="4"/>
      <x:c r="ER561" s="4"/>
      <x:c r="ES561" s="4"/>
      <x:c r="ET561" s="4"/>
      <x:c r="EU561" s="4"/>
      <x:c r="EV561" s="4"/>
      <x:c r="EW561" s="4"/>
      <x:c r="EX561" s="4"/>
      <x:c r="EY561" s="4"/>
      <x:c r="EZ561" s="4"/>
      <x:c r="FA561" s="4"/>
      <x:c r="FB561" s="4"/>
      <x:c r="FC561" s="4"/>
      <x:c r="FD561" s="4"/>
      <x:c r="FE561" s="4"/>
      <x:c r="FF561" s="4"/>
      <x:c r="FG561" s="4"/>
      <x:c r="FH561" s="4"/>
      <x:c r="FI561" s="4"/>
      <x:c r="FJ561" s="4"/>
      <x:c r="FK561" s="4"/>
      <x:c r="FL561" s="4"/>
      <x:c r="FM561" s="4"/>
      <x:c r="FN561" s="4"/>
      <x:c r="FO561" s="4"/>
    </x:row>
    <x:row r="562">
      <x:c r="A562" s="72"/>
      <x:c r="B562" s="72"/>
      <x:c r="C562" s="72"/>
      <x:c r="D562" s="72"/>
      <x:c r="E562" s="72"/>
      <x:c r="F562" s="72"/>
      <x:c r="G562" s="72"/>
      <x:c r="H562" s="72"/>
      <x:c r="I562" s="72"/>
      <x:c r="J562" s="72"/>
      <x:c r="K562" s="72"/>
      <x:c r="L562" s="72"/>
      <x:c r="M562" s="72"/>
      <x:c r="N562" s="72"/>
      <x:c r="O562" s="72"/>
      <x:c r="P562" s="72"/>
      <x:c r="Q562" s="72"/>
      <x:c r="R562" s="72"/>
      <x:c r="S562" s="72"/>
      <x:c r="T562" s="72"/>
      <x:c r="U562" s="72"/>
      <x:c r="V562" s="72"/>
      <x:c r="W562" s="72"/>
      <x:c r="X562" s="72"/>
      <x:c r="Y562" s="72"/>
      <x:c r="Z562" s="72"/>
      <x:c r="AA562" s="72"/>
      <x:c r="AB562" s="72"/>
      <x:c r="AC562" s="72"/>
      <x:c r="AD562" s="72"/>
      <x:c r="AE562" s="72"/>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4"/>
      <x:c r="DQ562" s="4"/>
      <x:c r="DR562" s="4"/>
      <x:c r="DS562" s="4"/>
      <x:c r="DT562" s="4"/>
      <x:c r="DU562" s="4"/>
      <x:c r="DV562" s="4"/>
      <x:c r="DW562" s="4"/>
      <x:c r="DX562" s="4"/>
      <x:c r="DY562" s="4"/>
      <x:c r="DZ562" s="4"/>
      <x:c r="EA562" s="4"/>
      <x:c r="EB562" s="4"/>
      <x:c r="EC562" s="4"/>
      <x:c r="ED562" s="4"/>
      <x:c r="EE562" s="4"/>
      <x:c r="EF562" s="4"/>
      <x:c r="EG562" s="4"/>
      <x:c r="EH562" s="4"/>
      <x:c r="EI562" s="4"/>
      <x:c r="EJ562" s="4"/>
      <x:c r="EK562" s="4"/>
      <x:c r="EL562" s="4"/>
      <x:c r="EM562" s="4"/>
      <x:c r="EN562" s="4"/>
      <x:c r="EO562" s="4"/>
      <x:c r="EP562" s="4"/>
      <x:c r="EQ562" s="4"/>
      <x:c r="ER562" s="4"/>
      <x:c r="ES562" s="4"/>
      <x:c r="ET562" s="4"/>
      <x:c r="EU562" s="4"/>
      <x:c r="EV562" s="4"/>
      <x:c r="EW562" s="4"/>
      <x:c r="EX562" s="4"/>
      <x:c r="EY562" s="4"/>
      <x:c r="EZ562" s="4"/>
      <x:c r="FA562" s="4"/>
      <x:c r="FB562" s="4"/>
      <x:c r="FC562" s="4"/>
      <x:c r="FD562" s="4"/>
      <x:c r="FE562" s="4"/>
      <x:c r="FF562" s="4"/>
      <x:c r="FG562" s="4"/>
      <x:c r="FH562" s="4"/>
      <x:c r="FI562" s="4"/>
      <x:c r="FJ562" s="4"/>
      <x:c r="FK562" s="4"/>
      <x:c r="FL562" s="4"/>
      <x:c r="FM562" s="4"/>
      <x:c r="FN562" s="4"/>
      <x:c r="FO562" s="4"/>
    </x:row>
    <x:row r="563">
      <x:c r="A563" s="72"/>
      <x:c r="B563" s="72"/>
      <x:c r="C563" s="72"/>
      <x:c r="D563" s="72"/>
      <x:c r="E563" s="72"/>
      <x:c r="F563" s="72"/>
      <x:c r="G563" s="72"/>
      <x:c r="H563" s="72"/>
      <x:c r="I563" s="72"/>
      <x:c r="J563" s="72"/>
      <x:c r="K563" s="72"/>
      <x:c r="L563" s="72"/>
      <x:c r="M563" s="72"/>
      <x:c r="N563" s="72"/>
      <x:c r="O563" s="72"/>
      <x:c r="P563" s="72"/>
      <x:c r="Q563" s="72"/>
      <x:c r="R563" s="72"/>
      <x:c r="S563" s="72"/>
      <x:c r="T563" s="72"/>
      <x:c r="U563" s="72"/>
      <x:c r="V563" s="72"/>
      <x:c r="W563" s="72"/>
      <x:c r="X563" s="72"/>
      <x:c r="Y563" s="72"/>
      <x:c r="Z563" s="72"/>
      <x:c r="AA563" s="72"/>
      <x:c r="AB563" s="72"/>
      <x:c r="AC563" s="72"/>
      <x:c r="AD563" s="72"/>
      <x:c r="AE563" s="72"/>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4"/>
      <x:c r="DQ563" s="4"/>
      <x:c r="DR563" s="4"/>
      <x:c r="DS563" s="4"/>
      <x:c r="DT563" s="4"/>
      <x:c r="DU563" s="4"/>
      <x:c r="DV563" s="4"/>
      <x:c r="DW563" s="4"/>
      <x:c r="DX563" s="4"/>
      <x:c r="DY563" s="4"/>
      <x:c r="DZ563" s="4"/>
      <x:c r="EA563" s="4"/>
      <x:c r="EB563" s="4"/>
      <x:c r="EC563" s="4"/>
      <x:c r="ED563" s="4"/>
      <x:c r="EE563" s="4"/>
      <x:c r="EF563" s="4"/>
      <x:c r="EG563" s="4"/>
      <x:c r="EH563" s="4"/>
      <x:c r="EI563" s="4"/>
      <x:c r="EJ563" s="4"/>
      <x:c r="EK563" s="4"/>
      <x:c r="EL563" s="4"/>
      <x:c r="EM563" s="4"/>
      <x:c r="EN563" s="4"/>
      <x:c r="EO563" s="4"/>
      <x:c r="EP563" s="4"/>
      <x:c r="EQ563" s="4"/>
      <x:c r="ER563" s="4"/>
      <x:c r="ES563" s="4"/>
      <x:c r="ET563" s="4"/>
      <x:c r="EU563" s="4"/>
      <x:c r="EV563" s="4"/>
      <x:c r="EW563" s="4"/>
      <x:c r="EX563" s="4"/>
      <x:c r="EY563" s="4"/>
      <x:c r="EZ563" s="4"/>
      <x:c r="FA563" s="4"/>
      <x:c r="FB563" s="4"/>
      <x:c r="FC563" s="4"/>
      <x:c r="FD563" s="4"/>
      <x:c r="FE563" s="4"/>
      <x:c r="FF563" s="4"/>
      <x:c r="FG563" s="4"/>
      <x:c r="FH563" s="4"/>
      <x:c r="FI563" s="4"/>
      <x:c r="FJ563" s="4"/>
      <x:c r="FK563" s="4"/>
      <x:c r="FL563" s="4"/>
      <x:c r="FM563" s="4"/>
      <x:c r="FN563" s="4"/>
      <x:c r="FO563" s="4"/>
    </x:row>
    <x:row r="564">
      <x:c r="A564" s="72"/>
      <x:c r="B564" s="72"/>
      <x:c r="C564" s="72"/>
      <x:c r="D564" s="72"/>
      <x:c r="E564" s="72"/>
      <x:c r="F564" s="72"/>
      <x:c r="G564" s="72"/>
      <x:c r="H564" s="72"/>
      <x:c r="I564" s="72"/>
      <x:c r="J564" s="72"/>
      <x:c r="K564" s="72"/>
      <x:c r="L564" s="72"/>
      <x:c r="M564" s="72"/>
      <x:c r="N564" s="72"/>
      <x:c r="O564" s="72"/>
      <x:c r="P564" s="72"/>
      <x:c r="Q564" s="72"/>
      <x:c r="R564" s="72"/>
      <x:c r="S564" s="72"/>
      <x:c r="T564" s="72"/>
      <x:c r="U564" s="72"/>
      <x:c r="V564" s="72"/>
      <x:c r="W564" s="72"/>
      <x:c r="X564" s="72"/>
      <x:c r="Y564" s="72"/>
      <x:c r="Z564" s="72"/>
      <x:c r="AA564" s="72"/>
      <x:c r="AB564" s="72"/>
      <x:c r="AC564" s="72"/>
      <x:c r="AD564" s="72"/>
      <x:c r="AE564" s="72"/>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4"/>
      <x:c r="DQ564" s="4"/>
      <x:c r="DR564" s="4"/>
      <x:c r="DS564" s="4"/>
      <x:c r="DT564" s="4"/>
      <x:c r="DU564" s="4"/>
      <x:c r="DV564" s="4"/>
      <x:c r="DW564" s="4"/>
      <x:c r="DX564" s="4"/>
      <x:c r="DY564" s="4"/>
      <x:c r="DZ564" s="4"/>
      <x:c r="EA564" s="4"/>
      <x:c r="EB564" s="4"/>
      <x:c r="EC564" s="4"/>
      <x:c r="ED564" s="4"/>
      <x:c r="EE564" s="4"/>
      <x:c r="EF564" s="4"/>
      <x:c r="EG564" s="4"/>
      <x:c r="EH564" s="4"/>
      <x:c r="EI564" s="4"/>
      <x:c r="EJ564" s="4"/>
      <x:c r="EK564" s="4"/>
      <x:c r="EL564" s="4"/>
      <x:c r="EM564" s="4"/>
      <x:c r="EN564" s="4"/>
      <x:c r="EO564" s="4"/>
      <x:c r="EP564" s="4"/>
      <x:c r="EQ564" s="4"/>
      <x:c r="ER564" s="4"/>
      <x:c r="ES564" s="4"/>
      <x:c r="ET564" s="4"/>
      <x:c r="EU564" s="4"/>
      <x:c r="EV564" s="4"/>
      <x:c r="EW564" s="4"/>
      <x:c r="EX564" s="4"/>
      <x:c r="EY564" s="4"/>
      <x:c r="EZ564" s="4"/>
      <x:c r="FA564" s="4"/>
      <x:c r="FB564" s="4"/>
      <x:c r="FC564" s="4"/>
      <x:c r="FD564" s="4"/>
      <x:c r="FE564" s="4"/>
      <x:c r="FF564" s="4"/>
      <x:c r="FG564" s="4"/>
      <x:c r="FH564" s="4"/>
      <x:c r="FI564" s="4"/>
      <x:c r="FJ564" s="4"/>
      <x:c r="FK564" s="4"/>
      <x:c r="FL564" s="4"/>
      <x:c r="FM564" s="4"/>
      <x:c r="FN564" s="4"/>
      <x:c r="FO564" s="4"/>
    </x:row>
    <x:row r="565">
      <x:c r="A565" s="72"/>
      <x:c r="B565" s="72"/>
      <x:c r="C565" s="72"/>
      <x:c r="D565" s="72"/>
      <x:c r="E565" s="72"/>
      <x:c r="F565" s="72"/>
      <x:c r="G565" s="72"/>
      <x:c r="H565" s="72"/>
      <x:c r="I565" s="72"/>
      <x:c r="J565" s="72"/>
      <x:c r="K565" s="72"/>
      <x:c r="L565" s="72"/>
      <x:c r="M565" s="72"/>
      <x:c r="N565" s="72"/>
      <x:c r="O565" s="72"/>
      <x:c r="P565" s="72"/>
      <x:c r="Q565" s="72"/>
      <x:c r="R565" s="72"/>
      <x:c r="S565" s="72"/>
      <x:c r="T565" s="72"/>
      <x:c r="U565" s="72"/>
      <x:c r="V565" s="72"/>
      <x:c r="W565" s="72"/>
      <x:c r="X565" s="72"/>
      <x:c r="Y565" s="72"/>
      <x:c r="Z565" s="72"/>
      <x:c r="AA565" s="72"/>
      <x:c r="AB565" s="72"/>
      <x:c r="AC565" s="72"/>
      <x:c r="AD565" s="72"/>
      <x:c r="AE565" s="72"/>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4"/>
      <x:c r="DQ565" s="4"/>
      <x:c r="DR565" s="4"/>
      <x:c r="DS565" s="4"/>
      <x:c r="DT565" s="4"/>
      <x:c r="DU565" s="4"/>
      <x:c r="DV565" s="4"/>
      <x:c r="DW565" s="4"/>
      <x:c r="DX565" s="4"/>
      <x:c r="DY565" s="4"/>
      <x:c r="DZ565" s="4"/>
      <x:c r="EA565" s="4"/>
      <x:c r="EB565" s="4"/>
      <x:c r="EC565" s="4"/>
      <x:c r="ED565" s="4"/>
      <x:c r="EE565" s="4"/>
      <x:c r="EF565" s="4"/>
      <x:c r="EG565" s="4"/>
      <x:c r="EH565" s="4"/>
      <x:c r="EI565" s="4"/>
      <x:c r="EJ565" s="4"/>
      <x:c r="EK565" s="4"/>
      <x:c r="EL565" s="4"/>
      <x:c r="EM565" s="4"/>
      <x:c r="EN565" s="4"/>
      <x:c r="EO565" s="4"/>
      <x:c r="EP565" s="4"/>
      <x:c r="EQ565" s="4"/>
      <x:c r="ER565" s="4"/>
      <x:c r="ES565" s="4"/>
      <x:c r="ET565" s="4"/>
      <x:c r="EU565" s="4"/>
      <x:c r="EV565" s="4"/>
      <x:c r="EW565" s="4"/>
      <x:c r="EX565" s="4"/>
      <x:c r="EY565" s="4"/>
      <x:c r="EZ565" s="4"/>
      <x:c r="FA565" s="4"/>
      <x:c r="FB565" s="4"/>
      <x:c r="FC565" s="4"/>
      <x:c r="FD565" s="4"/>
      <x:c r="FE565" s="4"/>
      <x:c r="FF565" s="4"/>
      <x:c r="FG565" s="4"/>
      <x:c r="FH565" s="4"/>
      <x:c r="FI565" s="4"/>
      <x:c r="FJ565" s="4"/>
      <x:c r="FK565" s="4"/>
      <x:c r="FL565" s="4"/>
      <x:c r="FM565" s="4"/>
      <x:c r="FN565" s="4"/>
      <x:c r="FO565" s="4"/>
    </x:row>
    <x:row r="566">
      <x:c r="A566" s="72"/>
      <x:c r="B566" s="72"/>
      <x:c r="C566" s="72"/>
      <x:c r="D566" s="72"/>
      <x:c r="E566" s="72"/>
      <x:c r="F566" s="72"/>
      <x:c r="G566" s="72"/>
      <x:c r="H566" s="72"/>
      <x:c r="I566" s="72"/>
      <x:c r="J566" s="72"/>
      <x:c r="K566" s="72"/>
      <x:c r="L566" s="72"/>
      <x:c r="M566" s="72"/>
      <x:c r="N566" s="72"/>
      <x:c r="O566" s="72"/>
      <x:c r="P566" s="72"/>
      <x:c r="Q566" s="72"/>
      <x:c r="R566" s="72"/>
      <x:c r="S566" s="72"/>
      <x:c r="T566" s="72"/>
      <x:c r="U566" s="72"/>
      <x:c r="V566" s="72"/>
      <x:c r="W566" s="72"/>
      <x:c r="X566" s="72"/>
      <x:c r="Y566" s="72"/>
      <x:c r="Z566" s="72"/>
      <x:c r="AA566" s="72"/>
      <x:c r="AB566" s="72"/>
      <x:c r="AC566" s="72"/>
      <x:c r="AD566" s="72"/>
      <x:c r="AE566" s="72"/>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4"/>
      <x:c r="DQ566" s="4"/>
      <x:c r="DR566" s="4"/>
      <x:c r="DS566" s="4"/>
      <x:c r="DT566" s="4"/>
      <x:c r="DU566" s="4"/>
      <x:c r="DV566" s="4"/>
      <x:c r="DW566" s="4"/>
      <x:c r="DX566" s="4"/>
      <x:c r="DY566" s="4"/>
      <x:c r="DZ566" s="4"/>
      <x:c r="EA566" s="4"/>
      <x:c r="EB566" s="4"/>
      <x:c r="EC566" s="4"/>
      <x:c r="ED566" s="4"/>
      <x:c r="EE566" s="4"/>
      <x:c r="EF566" s="4"/>
      <x:c r="EG566" s="4"/>
      <x:c r="EH566" s="4"/>
      <x:c r="EI566" s="4"/>
      <x:c r="EJ566" s="4"/>
      <x:c r="EK566" s="4"/>
      <x:c r="EL566" s="4"/>
      <x:c r="EM566" s="4"/>
      <x:c r="EN566" s="4"/>
      <x:c r="EO566" s="4"/>
      <x:c r="EP566" s="4"/>
      <x:c r="EQ566" s="4"/>
      <x:c r="ER566" s="4"/>
      <x:c r="ES566" s="4"/>
      <x:c r="ET566" s="4"/>
      <x:c r="EU566" s="4"/>
      <x:c r="EV566" s="4"/>
      <x:c r="EW566" s="4"/>
      <x:c r="EX566" s="4"/>
      <x:c r="EY566" s="4"/>
      <x:c r="EZ566" s="4"/>
      <x:c r="FA566" s="4"/>
      <x:c r="FB566" s="4"/>
      <x:c r="FC566" s="4"/>
      <x:c r="FD566" s="4"/>
      <x:c r="FE566" s="4"/>
      <x:c r="FF566" s="4"/>
      <x:c r="FG566" s="4"/>
      <x:c r="FH566" s="4"/>
      <x:c r="FI566" s="4"/>
      <x:c r="FJ566" s="4"/>
      <x:c r="FK566" s="4"/>
      <x:c r="FL566" s="4"/>
      <x:c r="FM566" s="4"/>
      <x:c r="FN566" s="4"/>
      <x:c r="FO566" s="4"/>
    </x:row>
    <x:row r="567">
      <x:c r="A567" s="72"/>
      <x:c r="B567" s="72"/>
      <x:c r="C567" s="72"/>
      <x:c r="D567" s="72"/>
      <x:c r="E567" s="72"/>
      <x:c r="F567" s="72"/>
      <x:c r="G567" s="72"/>
      <x:c r="H567" s="72"/>
      <x:c r="I567" s="72"/>
      <x:c r="J567" s="72"/>
      <x:c r="K567" s="72"/>
      <x:c r="L567" s="72"/>
      <x:c r="M567" s="72"/>
      <x:c r="N567" s="72"/>
      <x:c r="O567" s="72"/>
      <x:c r="P567" s="72"/>
      <x:c r="Q567" s="72"/>
      <x:c r="R567" s="72"/>
      <x:c r="S567" s="72"/>
      <x:c r="T567" s="72"/>
      <x:c r="U567" s="72"/>
      <x:c r="V567" s="72"/>
      <x:c r="W567" s="72"/>
      <x:c r="X567" s="72"/>
      <x:c r="Y567" s="72"/>
      <x:c r="Z567" s="72"/>
      <x:c r="AA567" s="72"/>
      <x:c r="AB567" s="72"/>
      <x:c r="AC567" s="72"/>
      <x:c r="AD567" s="72"/>
      <x:c r="AE567" s="72"/>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4"/>
      <x:c r="DQ567" s="4"/>
      <x:c r="DR567" s="4"/>
      <x:c r="DS567" s="4"/>
      <x:c r="DT567" s="4"/>
      <x:c r="DU567" s="4"/>
      <x:c r="DV567" s="4"/>
      <x:c r="DW567" s="4"/>
      <x:c r="DX567" s="4"/>
      <x:c r="DY567" s="4"/>
      <x:c r="DZ567" s="4"/>
      <x:c r="EA567" s="4"/>
      <x:c r="EB567" s="4"/>
      <x:c r="EC567" s="4"/>
      <x:c r="ED567" s="4"/>
      <x:c r="EE567" s="4"/>
      <x:c r="EF567" s="4"/>
      <x:c r="EG567" s="4"/>
      <x:c r="EH567" s="4"/>
      <x:c r="EI567" s="4"/>
      <x:c r="EJ567" s="4"/>
      <x:c r="EK567" s="4"/>
      <x:c r="EL567" s="4"/>
      <x:c r="EM567" s="4"/>
      <x:c r="EN567" s="4"/>
      <x:c r="EO567" s="4"/>
      <x:c r="EP567" s="4"/>
      <x:c r="EQ567" s="4"/>
      <x:c r="ER567" s="4"/>
      <x:c r="ES567" s="4"/>
      <x:c r="ET567" s="4"/>
      <x:c r="EU567" s="4"/>
      <x:c r="EV567" s="4"/>
      <x:c r="EW567" s="4"/>
      <x:c r="EX567" s="4"/>
      <x:c r="EY567" s="4"/>
      <x:c r="EZ567" s="4"/>
      <x:c r="FA567" s="4"/>
      <x:c r="FB567" s="4"/>
      <x:c r="FC567" s="4"/>
      <x:c r="FD567" s="4"/>
      <x:c r="FE567" s="4"/>
      <x:c r="FF567" s="4"/>
      <x:c r="FG567" s="4"/>
      <x:c r="FH567" s="4"/>
      <x:c r="FI567" s="4"/>
      <x:c r="FJ567" s="4"/>
      <x:c r="FK567" s="4"/>
      <x:c r="FL567" s="4"/>
      <x:c r="FM567" s="4"/>
      <x:c r="FN567" s="4"/>
      <x:c r="FO567" s="4"/>
    </x:row>
    <x:row r="568">
      <x:c r="A568" s="72"/>
      <x:c r="B568" s="72"/>
      <x:c r="C568" s="72"/>
      <x:c r="D568" s="72"/>
      <x:c r="E568" s="72"/>
      <x:c r="F568" s="72"/>
      <x:c r="G568" s="72"/>
      <x:c r="H568" s="72"/>
      <x:c r="I568" s="72"/>
      <x:c r="J568" s="72"/>
      <x:c r="K568" s="72"/>
      <x:c r="L568" s="72"/>
      <x:c r="M568" s="72"/>
      <x:c r="N568" s="72"/>
      <x:c r="O568" s="72"/>
      <x:c r="P568" s="72"/>
      <x:c r="Q568" s="72"/>
      <x:c r="R568" s="72"/>
      <x:c r="S568" s="72"/>
      <x:c r="T568" s="72"/>
      <x:c r="U568" s="72"/>
      <x:c r="V568" s="72"/>
      <x:c r="W568" s="72"/>
      <x:c r="X568" s="72"/>
      <x:c r="Y568" s="72"/>
      <x:c r="Z568" s="72"/>
      <x:c r="AA568" s="72"/>
      <x:c r="AB568" s="72"/>
      <x:c r="AC568" s="72"/>
      <x:c r="AD568" s="72"/>
      <x:c r="AE568" s="72"/>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4"/>
      <x:c r="DQ568" s="4"/>
      <x:c r="DR568" s="4"/>
      <x:c r="DS568" s="4"/>
      <x:c r="DT568" s="4"/>
      <x:c r="DU568" s="4"/>
      <x:c r="DV568" s="4"/>
      <x:c r="DW568" s="4"/>
      <x:c r="DX568" s="4"/>
      <x:c r="DY568" s="4"/>
      <x:c r="DZ568" s="4"/>
      <x:c r="EA568" s="4"/>
      <x:c r="EB568" s="4"/>
      <x:c r="EC568" s="4"/>
      <x:c r="ED568" s="4"/>
      <x:c r="EE568" s="4"/>
      <x:c r="EF568" s="4"/>
      <x:c r="EG568" s="4"/>
      <x:c r="EH568" s="4"/>
      <x:c r="EI568" s="4"/>
      <x:c r="EJ568" s="4"/>
      <x:c r="EK568" s="4"/>
      <x:c r="EL568" s="4"/>
      <x:c r="EM568" s="4"/>
      <x:c r="EN568" s="4"/>
      <x:c r="EO568" s="4"/>
      <x:c r="EP568" s="4"/>
      <x:c r="EQ568" s="4"/>
      <x:c r="ER568" s="4"/>
      <x:c r="ES568" s="4"/>
      <x:c r="ET568" s="4"/>
      <x:c r="EU568" s="4"/>
      <x:c r="EV568" s="4"/>
      <x:c r="EW568" s="4"/>
      <x:c r="EX568" s="4"/>
      <x:c r="EY568" s="4"/>
      <x:c r="EZ568" s="4"/>
      <x:c r="FA568" s="4"/>
      <x:c r="FB568" s="4"/>
      <x:c r="FC568" s="4"/>
      <x:c r="FD568" s="4"/>
      <x:c r="FE568" s="4"/>
      <x:c r="FF568" s="4"/>
      <x:c r="FG568" s="4"/>
      <x:c r="FH568" s="4"/>
      <x:c r="FI568" s="4"/>
      <x:c r="FJ568" s="4"/>
      <x:c r="FK568" s="4"/>
      <x:c r="FL568" s="4"/>
      <x:c r="FM568" s="4"/>
      <x:c r="FN568" s="4"/>
      <x:c r="FO568" s="4"/>
    </x:row>
    <x:row r="569">
      <x:c r="A569" s="72"/>
      <x:c r="B569" s="72"/>
      <x:c r="C569" s="72"/>
      <x:c r="D569" s="72"/>
      <x:c r="E569" s="72"/>
      <x:c r="F569" s="72"/>
      <x:c r="G569" s="72"/>
      <x:c r="H569" s="72"/>
      <x:c r="I569" s="72"/>
      <x:c r="J569" s="72"/>
      <x:c r="K569" s="72"/>
      <x:c r="L569" s="72"/>
      <x:c r="M569" s="72"/>
      <x:c r="N569" s="72"/>
      <x:c r="O569" s="72"/>
      <x:c r="P569" s="72"/>
      <x:c r="Q569" s="72"/>
      <x:c r="R569" s="72"/>
      <x:c r="S569" s="72"/>
      <x:c r="T569" s="72"/>
      <x:c r="U569" s="72"/>
      <x:c r="V569" s="72"/>
      <x:c r="W569" s="72"/>
      <x:c r="X569" s="72"/>
      <x:c r="Y569" s="72"/>
      <x:c r="Z569" s="72"/>
      <x:c r="AA569" s="72"/>
      <x:c r="AB569" s="72"/>
      <x:c r="AC569" s="72"/>
      <x:c r="AD569" s="72"/>
      <x:c r="AE569" s="72"/>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4"/>
      <x:c r="DQ569" s="4"/>
      <x:c r="DR569" s="4"/>
      <x:c r="DS569" s="4"/>
      <x:c r="DT569" s="4"/>
      <x:c r="DU569" s="4"/>
      <x:c r="DV569" s="4"/>
      <x:c r="DW569" s="4"/>
      <x:c r="DX569" s="4"/>
      <x:c r="DY569" s="4"/>
      <x:c r="DZ569" s="4"/>
      <x:c r="EA569" s="4"/>
      <x:c r="EB569" s="4"/>
      <x:c r="EC569" s="4"/>
      <x:c r="ED569" s="4"/>
      <x:c r="EE569" s="4"/>
      <x:c r="EF569" s="4"/>
      <x:c r="EG569" s="4"/>
      <x:c r="EH569" s="4"/>
      <x:c r="EI569" s="4"/>
      <x:c r="EJ569" s="4"/>
      <x:c r="EK569" s="4"/>
      <x:c r="EL569" s="4"/>
      <x:c r="EM569" s="4"/>
      <x:c r="EN569" s="4"/>
      <x:c r="EO569" s="4"/>
      <x:c r="EP569" s="4"/>
      <x:c r="EQ569" s="4"/>
      <x:c r="ER569" s="4"/>
      <x:c r="ES569" s="4"/>
      <x:c r="ET569" s="4"/>
      <x:c r="EU569" s="4"/>
      <x:c r="EV569" s="4"/>
      <x:c r="EW569" s="4"/>
      <x:c r="EX569" s="4"/>
      <x:c r="EY569" s="4"/>
      <x:c r="EZ569" s="4"/>
      <x:c r="FA569" s="4"/>
      <x:c r="FB569" s="4"/>
      <x:c r="FC569" s="4"/>
      <x:c r="FD569" s="4"/>
      <x:c r="FE569" s="4"/>
      <x:c r="FF569" s="4"/>
      <x:c r="FG569" s="4"/>
      <x:c r="FH569" s="4"/>
      <x:c r="FI569" s="4"/>
      <x:c r="FJ569" s="4"/>
      <x:c r="FK569" s="4"/>
      <x:c r="FL569" s="4"/>
      <x:c r="FM569" s="4"/>
      <x:c r="FN569" s="4"/>
      <x:c r="FO569" s="4"/>
    </x:row>
    <x:row r="570">
      <x:c r="A570" s="72"/>
      <x:c r="B570" s="72"/>
      <x:c r="C570" s="72"/>
      <x:c r="D570" s="72"/>
      <x:c r="E570" s="72"/>
      <x:c r="F570" s="72"/>
      <x:c r="G570" s="72"/>
      <x:c r="H570" s="72"/>
      <x:c r="I570" s="72"/>
      <x:c r="J570" s="72"/>
      <x:c r="K570" s="72"/>
      <x:c r="L570" s="72"/>
      <x:c r="M570" s="72"/>
      <x:c r="N570" s="72"/>
      <x:c r="O570" s="72"/>
      <x:c r="P570" s="72"/>
      <x:c r="Q570" s="72"/>
      <x:c r="R570" s="72"/>
      <x:c r="S570" s="72"/>
      <x:c r="T570" s="72"/>
      <x:c r="U570" s="72"/>
      <x:c r="V570" s="72"/>
      <x:c r="W570" s="72"/>
      <x:c r="X570" s="72"/>
      <x:c r="Y570" s="72"/>
      <x:c r="Z570" s="72"/>
      <x:c r="AA570" s="72"/>
      <x:c r="AB570" s="72"/>
      <x:c r="AC570" s="72"/>
      <x:c r="AD570" s="72"/>
      <x:c r="AE570" s="72"/>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4"/>
      <x:c r="DQ570" s="4"/>
      <x:c r="DR570" s="4"/>
      <x:c r="DS570" s="4"/>
      <x:c r="DT570" s="4"/>
      <x:c r="DU570" s="4"/>
      <x:c r="DV570" s="4"/>
      <x:c r="DW570" s="4"/>
      <x:c r="DX570" s="4"/>
      <x:c r="DY570" s="4"/>
      <x:c r="DZ570" s="4"/>
      <x:c r="EA570" s="4"/>
      <x:c r="EB570" s="4"/>
      <x:c r="EC570" s="4"/>
      <x:c r="ED570" s="4"/>
      <x:c r="EE570" s="4"/>
      <x:c r="EF570" s="4"/>
      <x:c r="EG570" s="4"/>
      <x:c r="EH570" s="4"/>
      <x:c r="EI570" s="4"/>
      <x:c r="EJ570" s="4"/>
      <x:c r="EK570" s="4"/>
      <x:c r="EL570" s="4"/>
      <x:c r="EM570" s="4"/>
      <x:c r="EN570" s="4"/>
      <x:c r="EO570" s="4"/>
      <x:c r="EP570" s="4"/>
      <x:c r="EQ570" s="4"/>
      <x:c r="ER570" s="4"/>
      <x:c r="ES570" s="4"/>
      <x:c r="ET570" s="4"/>
      <x:c r="EU570" s="4"/>
      <x:c r="EV570" s="4"/>
      <x:c r="EW570" s="4"/>
      <x:c r="EX570" s="4"/>
      <x:c r="EY570" s="4"/>
      <x:c r="EZ570" s="4"/>
      <x:c r="FA570" s="4"/>
      <x:c r="FB570" s="4"/>
      <x:c r="FC570" s="4"/>
      <x:c r="FD570" s="4"/>
      <x:c r="FE570" s="4"/>
      <x:c r="FF570" s="4"/>
      <x:c r="FG570" s="4"/>
      <x:c r="FH570" s="4"/>
      <x:c r="FI570" s="4"/>
      <x:c r="FJ570" s="4"/>
      <x:c r="FK570" s="4"/>
      <x:c r="FL570" s="4"/>
      <x:c r="FM570" s="4"/>
      <x:c r="FN570" s="4"/>
      <x:c r="FO570" s="4"/>
    </x:row>
    <x:row r="571">
      <x:c r="A571" s="72"/>
      <x:c r="B571" s="72"/>
      <x:c r="C571" s="72"/>
      <x:c r="D571" s="72"/>
      <x:c r="E571" s="72"/>
      <x:c r="F571" s="72"/>
      <x:c r="G571" s="72"/>
      <x:c r="H571" s="72"/>
      <x:c r="I571" s="72"/>
      <x:c r="J571" s="72"/>
      <x:c r="K571" s="72"/>
      <x:c r="L571" s="72"/>
      <x:c r="M571" s="72"/>
      <x:c r="N571" s="72"/>
      <x:c r="O571" s="72"/>
      <x:c r="P571" s="72"/>
      <x:c r="Q571" s="72"/>
      <x:c r="R571" s="72"/>
      <x:c r="S571" s="72"/>
      <x:c r="T571" s="72"/>
      <x:c r="U571" s="72"/>
      <x:c r="V571" s="72"/>
      <x:c r="W571" s="72"/>
      <x:c r="X571" s="72"/>
      <x:c r="Y571" s="72"/>
      <x:c r="Z571" s="72"/>
      <x:c r="AA571" s="72"/>
      <x:c r="AB571" s="72"/>
      <x:c r="AC571" s="72"/>
      <x:c r="AD571" s="72"/>
      <x:c r="AE571" s="72"/>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4"/>
      <x:c r="DQ571" s="4"/>
      <x:c r="DR571" s="4"/>
      <x:c r="DS571" s="4"/>
      <x:c r="DT571" s="4"/>
      <x:c r="DU571" s="4"/>
      <x:c r="DV571" s="4"/>
      <x:c r="DW571" s="4"/>
      <x:c r="DX571" s="4"/>
      <x:c r="DY571" s="4"/>
      <x:c r="DZ571" s="4"/>
      <x:c r="EA571" s="4"/>
      <x:c r="EB571" s="4"/>
      <x:c r="EC571" s="4"/>
      <x:c r="ED571" s="4"/>
      <x:c r="EE571" s="4"/>
      <x:c r="EF571" s="4"/>
      <x:c r="EG571" s="4"/>
      <x:c r="EH571" s="4"/>
      <x:c r="EI571" s="4"/>
      <x:c r="EJ571" s="4"/>
      <x:c r="EK571" s="4"/>
      <x:c r="EL571" s="4"/>
      <x:c r="EM571" s="4"/>
      <x:c r="EN571" s="4"/>
      <x:c r="EO571" s="4"/>
      <x:c r="EP571" s="4"/>
      <x:c r="EQ571" s="4"/>
      <x:c r="ER571" s="4"/>
      <x:c r="ES571" s="4"/>
      <x:c r="ET571" s="4"/>
      <x:c r="EU571" s="4"/>
      <x:c r="EV571" s="4"/>
      <x:c r="EW571" s="4"/>
      <x:c r="EX571" s="4"/>
      <x:c r="EY571" s="4"/>
      <x:c r="EZ571" s="4"/>
      <x:c r="FA571" s="4"/>
      <x:c r="FB571" s="4"/>
      <x:c r="FC571" s="4"/>
      <x:c r="FD571" s="4"/>
      <x:c r="FE571" s="4"/>
      <x:c r="FF571" s="4"/>
      <x:c r="FG571" s="4"/>
      <x:c r="FH571" s="4"/>
      <x:c r="FI571" s="4"/>
      <x:c r="FJ571" s="4"/>
      <x:c r="FK571" s="4"/>
      <x:c r="FL571" s="4"/>
      <x:c r="FM571" s="4"/>
      <x:c r="FN571" s="4"/>
      <x:c r="FO571" s="4"/>
    </x:row>
    <x:row r="572">
      <x:c r="A572" s="72"/>
      <x:c r="B572" s="72"/>
      <x:c r="C572" s="72"/>
      <x:c r="D572" s="72"/>
      <x:c r="E572" s="72"/>
      <x:c r="F572" s="72"/>
      <x:c r="G572" s="72"/>
      <x:c r="H572" s="72"/>
      <x:c r="I572" s="72"/>
      <x:c r="J572" s="72"/>
      <x:c r="K572" s="72"/>
      <x:c r="L572" s="72"/>
      <x:c r="M572" s="72"/>
      <x:c r="N572" s="72"/>
      <x:c r="O572" s="72"/>
      <x:c r="P572" s="72"/>
      <x:c r="Q572" s="72"/>
      <x:c r="R572" s="72"/>
      <x:c r="S572" s="72"/>
      <x:c r="T572" s="72"/>
      <x:c r="U572" s="72"/>
      <x:c r="V572" s="72"/>
      <x:c r="W572" s="72"/>
      <x:c r="X572" s="72"/>
      <x:c r="Y572" s="72"/>
      <x:c r="Z572" s="72"/>
      <x:c r="AA572" s="72"/>
      <x:c r="AB572" s="72"/>
      <x:c r="AC572" s="72"/>
      <x:c r="AD572" s="72"/>
      <x:c r="AE572" s="72"/>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4"/>
      <x:c r="DQ572" s="4"/>
      <x:c r="DR572" s="4"/>
      <x:c r="DS572" s="4"/>
      <x:c r="DT572" s="4"/>
      <x:c r="DU572" s="4"/>
      <x:c r="DV572" s="4"/>
      <x:c r="DW572" s="4"/>
      <x:c r="DX572" s="4"/>
      <x:c r="DY572" s="4"/>
      <x:c r="DZ572" s="4"/>
      <x:c r="EA572" s="4"/>
      <x:c r="EB572" s="4"/>
      <x:c r="EC572" s="4"/>
      <x:c r="ED572" s="4"/>
      <x:c r="EE572" s="4"/>
      <x:c r="EF572" s="4"/>
      <x:c r="EG572" s="4"/>
      <x:c r="EH572" s="4"/>
      <x:c r="EI572" s="4"/>
      <x:c r="EJ572" s="4"/>
      <x:c r="EK572" s="4"/>
      <x:c r="EL572" s="4"/>
      <x:c r="EM572" s="4"/>
      <x:c r="EN572" s="4"/>
      <x:c r="EO572" s="4"/>
      <x:c r="EP572" s="4"/>
      <x:c r="EQ572" s="4"/>
      <x:c r="ER572" s="4"/>
      <x:c r="ES572" s="4"/>
      <x:c r="ET572" s="4"/>
      <x:c r="EU572" s="4"/>
      <x:c r="EV572" s="4"/>
      <x:c r="EW572" s="4"/>
      <x:c r="EX572" s="4"/>
      <x:c r="EY572" s="4"/>
      <x:c r="EZ572" s="4"/>
      <x:c r="FA572" s="4"/>
      <x:c r="FB572" s="4"/>
      <x:c r="FC572" s="4"/>
      <x:c r="FD572" s="4"/>
      <x:c r="FE572" s="4"/>
      <x:c r="FF572" s="4"/>
      <x:c r="FG572" s="4"/>
      <x:c r="FH572" s="4"/>
      <x:c r="FI572" s="4"/>
      <x:c r="FJ572" s="4"/>
      <x:c r="FK572" s="4"/>
      <x:c r="FL572" s="4"/>
      <x:c r="FM572" s="4"/>
      <x:c r="FN572" s="4"/>
      <x:c r="FO572" s="4"/>
    </x:row>
    <x:row r="573">
      <x:c r="A573" s="72"/>
      <x:c r="B573" s="72"/>
      <x:c r="C573" s="72"/>
      <x:c r="D573" s="72"/>
      <x:c r="E573" s="72"/>
      <x:c r="F573" s="72"/>
      <x:c r="G573" s="72"/>
      <x:c r="H573" s="72"/>
      <x:c r="I573" s="72"/>
      <x:c r="J573" s="72"/>
      <x:c r="K573" s="72"/>
      <x:c r="L573" s="72"/>
      <x:c r="M573" s="72"/>
      <x:c r="N573" s="72"/>
      <x:c r="O573" s="72"/>
      <x:c r="P573" s="72"/>
      <x:c r="Q573" s="72"/>
      <x:c r="R573" s="72"/>
      <x:c r="S573" s="72"/>
      <x:c r="T573" s="72"/>
      <x:c r="U573" s="72"/>
      <x:c r="V573" s="72"/>
      <x:c r="W573" s="72"/>
      <x:c r="X573" s="72"/>
      <x:c r="Y573" s="72"/>
      <x:c r="Z573" s="72"/>
      <x:c r="AA573" s="72"/>
      <x:c r="AB573" s="72"/>
      <x:c r="AC573" s="72"/>
      <x:c r="AD573" s="72"/>
      <x:c r="AE573" s="72"/>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4"/>
      <x:c r="DQ573" s="4"/>
      <x:c r="DR573" s="4"/>
      <x:c r="DS573" s="4"/>
      <x:c r="DT573" s="4"/>
      <x:c r="DU573" s="4"/>
      <x:c r="DV573" s="4"/>
      <x:c r="DW573" s="4"/>
      <x:c r="DX573" s="4"/>
      <x:c r="DY573" s="4"/>
      <x:c r="DZ573" s="4"/>
      <x:c r="EA573" s="4"/>
      <x:c r="EB573" s="4"/>
      <x:c r="EC573" s="4"/>
      <x:c r="ED573" s="4"/>
      <x:c r="EE573" s="4"/>
      <x:c r="EF573" s="4"/>
      <x:c r="EG573" s="4"/>
      <x:c r="EH573" s="4"/>
      <x:c r="EI573" s="4"/>
      <x:c r="EJ573" s="4"/>
      <x:c r="EK573" s="4"/>
      <x:c r="EL573" s="4"/>
      <x:c r="EM573" s="4"/>
      <x:c r="EN573" s="4"/>
      <x:c r="EO573" s="4"/>
      <x:c r="EP573" s="4"/>
      <x:c r="EQ573" s="4"/>
      <x:c r="ER573" s="4"/>
      <x:c r="ES573" s="4"/>
      <x:c r="ET573" s="4"/>
      <x:c r="EU573" s="4"/>
      <x:c r="EV573" s="4"/>
      <x:c r="EW573" s="4"/>
      <x:c r="EX573" s="4"/>
      <x:c r="EY573" s="4"/>
      <x:c r="EZ573" s="4"/>
      <x:c r="FA573" s="4"/>
      <x:c r="FB573" s="4"/>
      <x:c r="FC573" s="4"/>
      <x:c r="FD573" s="4"/>
      <x:c r="FE573" s="4"/>
      <x:c r="FF573" s="4"/>
      <x:c r="FG573" s="4"/>
      <x:c r="FH573" s="4"/>
      <x:c r="FI573" s="4"/>
      <x:c r="FJ573" s="4"/>
      <x:c r="FK573" s="4"/>
      <x:c r="FL573" s="4"/>
      <x:c r="FM573" s="4"/>
      <x:c r="FN573" s="4"/>
      <x:c r="FO573" s="4"/>
    </x:row>
    <x:row r="574">
      <x:c r="A574" s="72"/>
      <x:c r="B574" s="72"/>
      <x:c r="C574" s="72"/>
      <x:c r="D574" s="72"/>
      <x:c r="E574" s="72"/>
      <x:c r="F574" s="72"/>
      <x:c r="G574" s="72"/>
      <x:c r="H574" s="72"/>
      <x:c r="I574" s="72"/>
      <x:c r="J574" s="72"/>
      <x:c r="K574" s="72"/>
      <x:c r="L574" s="72"/>
      <x:c r="M574" s="72"/>
      <x:c r="N574" s="72"/>
      <x:c r="O574" s="72"/>
      <x:c r="P574" s="72"/>
      <x:c r="Q574" s="72"/>
      <x:c r="R574" s="72"/>
      <x:c r="S574" s="72"/>
      <x:c r="T574" s="72"/>
      <x:c r="U574" s="72"/>
      <x:c r="V574" s="72"/>
      <x:c r="W574" s="72"/>
      <x:c r="X574" s="72"/>
      <x:c r="Y574" s="72"/>
      <x:c r="Z574" s="72"/>
      <x:c r="AA574" s="72"/>
      <x:c r="AB574" s="72"/>
      <x:c r="AC574" s="72"/>
      <x:c r="AD574" s="72"/>
      <x:c r="AE574" s="72"/>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4"/>
      <x:c r="DQ574" s="4"/>
      <x:c r="DR574" s="4"/>
      <x:c r="DS574" s="4"/>
      <x:c r="DT574" s="4"/>
      <x:c r="DU574" s="4"/>
      <x:c r="DV574" s="4"/>
      <x:c r="DW574" s="4"/>
      <x:c r="DX574" s="4"/>
      <x:c r="DY574" s="4"/>
      <x:c r="DZ574" s="4"/>
      <x:c r="EA574" s="4"/>
      <x:c r="EB574" s="4"/>
      <x:c r="EC574" s="4"/>
      <x:c r="ED574" s="4"/>
      <x:c r="EE574" s="4"/>
      <x:c r="EF574" s="4"/>
      <x:c r="EG574" s="4"/>
      <x:c r="EH574" s="4"/>
      <x:c r="EI574" s="4"/>
      <x:c r="EJ574" s="4"/>
      <x:c r="EK574" s="4"/>
      <x:c r="EL574" s="4"/>
      <x:c r="EM574" s="4"/>
      <x:c r="EN574" s="4"/>
      <x:c r="EO574" s="4"/>
      <x:c r="EP574" s="4"/>
      <x:c r="EQ574" s="4"/>
      <x:c r="ER574" s="4"/>
      <x:c r="ES574" s="4"/>
      <x:c r="ET574" s="4"/>
      <x:c r="EU574" s="4"/>
      <x:c r="EV574" s="4"/>
      <x:c r="EW574" s="4"/>
      <x:c r="EX574" s="4"/>
      <x:c r="EY574" s="4"/>
      <x:c r="EZ574" s="4"/>
      <x:c r="FA574" s="4"/>
      <x:c r="FB574" s="4"/>
      <x:c r="FC574" s="4"/>
      <x:c r="FD574" s="4"/>
      <x:c r="FE574" s="4"/>
      <x:c r="FF574" s="4"/>
      <x:c r="FG574" s="4"/>
      <x:c r="FH574" s="4"/>
      <x:c r="FI574" s="4"/>
      <x:c r="FJ574" s="4"/>
      <x:c r="FK574" s="4"/>
      <x:c r="FL574" s="4"/>
      <x:c r="FM574" s="4"/>
      <x:c r="FN574" s="4"/>
      <x:c r="FO574" s="4"/>
    </x:row>
    <x:row r="575">
      <x:c r="A575" s="72"/>
      <x:c r="B575" s="72"/>
      <x:c r="C575" s="72"/>
      <x:c r="D575" s="72"/>
      <x:c r="E575" s="72"/>
      <x:c r="F575" s="72"/>
      <x:c r="G575" s="72"/>
      <x:c r="H575" s="72"/>
      <x:c r="I575" s="72"/>
      <x:c r="J575" s="72"/>
      <x:c r="K575" s="72"/>
      <x:c r="L575" s="72"/>
      <x:c r="M575" s="72"/>
      <x:c r="N575" s="72"/>
      <x:c r="O575" s="72"/>
      <x:c r="P575" s="72"/>
      <x:c r="Q575" s="72"/>
      <x:c r="R575" s="72"/>
      <x:c r="S575" s="72"/>
      <x:c r="T575" s="72"/>
      <x:c r="U575" s="72"/>
      <x:c r="V575" s="72"/>
      <x:c r="W575" s="72"/>
      <x:c r="X575" s="72"/>
      <x:c r="Y575" s="72"/>
      <x:c r="Z575" s="72"/>
      <x:c r="AA575" s="72"/>
      <x:c r="AB575" s="72"/>
      <x:c r="AC575" s="72"/>
      <x:c r="AD575" s="72"/>
      <x:c r="AE575" s="72"/>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4"/>
      <x:c r="DQ575" s="4"/>
      <x:c r="DR575" s="4"/>
      <x:c r="DS575" s="4"/>
      <x:c r="DT575" s="4"/>
      <x:c r="DU575" s="4"/>
      <x:c r="DV575" s="4"/>
      <x:c r="DW575" s="4"/>
      <x:c r="DX575" s="4"/>
      <x:c r="DY575" s="4"/>
      <x:c r="DZ575" s="4"/>
      <x:c r="EA575" s="4"/>
      <x:c r="EB575" s="4"/>
      <x:c r="EC575" s="4"/>
      <x:c r="ED575" s="4"/>
      <x:c r="EE575" s="4"/>
      <x:c r="EF575" s="4"/>
      <x:c r="EG575" s="4"/>
      <x:c r="EH575" s="4"/>
      <x:c r="EI575" s="4"/>
      <x:c r="EJ575" s="4"/>
      <x:c r="EK575" s="4"/>
      <x:c r="EL575" s="4"/>
      <x:c r="EM575" s="4"/>
      <x:c r="EN575" s="4"/>
      <x:c r="EO575" s="4"/>
      <x:c r="EP575" s="4"/>
      <x:c r="EQ575" s="4"/>
      <x:c r="ER575" s="4"/>
      <x:c r="ES575" s="4"/>
      <x:c r="ET575" s="4"/>
      <x:c r="EU575" s="4"/>
      <x:c r="EV575" s="4"/>
      <x:c r="EW575" s="4"/>
      <x:c r="EX575" s="4"/>
      <x:c r="EY575" s="4"/>
      <x:c r="EZ575" s="4"/>
      <x:c r="FA575" s="4"/>
      <x:c r="FB575" s="4"/>
      <x:c r="FC575" s="4"/>
      <x:c r="FD575" s="4"/>
      <x:c r="FE575" s="4"/>
      <x:c r="FF575" s="4"/>
      <x:c r="FG575" s="4"/>
      <x:c r="FH575" s="4"/>
      <x:c r="FI575" s="4"/>
      <x:c r="FJ575" s="4"/>
      <x:c r="FK575" s="4"/>
      <x:c r="FL575" s="4"/>
      <x:c r="FM575" s="4"/>
      <x:c r="FN575" s="4"/>
      <x:c r="FO575" s="4"/>
    </x:row>
    <x:row r="576">
      <x:c r="A576" s="72"/>
      <x:c r="B576" s="72"/>
      <x:c r="C576" s="72"/>
      <x:c r="D576" s="72"/>
      <x:c r="E576" s="72"/>
      <x:c r="F576" s="72"/>
      <x:c r="G576" s="72"/>
      <x:c r="H576" s="72"/>
      <x:c r="I576" s="72"/>
      <x:c r="J576" s="72"/>
      <x:c r="K576" s="72"/>
      <x:c r="L576" s="72"/>
      <x:c r="M576" s="72"/>
      <x:c r="N576" s="72"/>
      <x:c r="O576" s="72"/>
      <x:c r="P576" s="72"/>
      <x:c r="Q576" s="72"/>
      <x:c r="R576" s="72"/>
      <x:c r="S576" s="72"/>
      <x:c r="T576" s="72"/>
      <x:c r="U576" s="72"/>
      <x:c r="V576" s="72"/>
      <x:c r="W576" s="72"/>
      <x:c r="X576" s="72"/>
      <x:c r="Y576" s="72"/>
      <x:c r="Z576" s="72"/>
      <x:c r="AA576" s="72"/>
      <x:c r="AB576" s="72"/>
      <x:c r="AC576" s="72"/>
      <x:c r="AD576" s="72"/>
      <x:c r="AE576" s="72"/>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4"/>
      <x:c r="DQ576" s="4"/>
      <x:c r="DR576" s="4"/>
      <x:c r="DS576" s="4"/>
      <x:c r="DT576" s="4"/>
      <x:c r="DU576" s="4"/>
      <x:c r="DV576" s="4"/>
      <x:c r="DW576" s="4"/>
      <x:c r="DX576" s="4"/>
      <x:c r="DY576" s="4"/>
      <x:c r="DZ576" s="4"/>
      <x:c r="EA576" s="4"/>
      <x:c r="EB576" s="4"/>
      <x:c r="EC576" s="4"/>
      <x:c r="ED576" s="4"/>
      <x:c r="EE576" s="4"/>
      <x:c r="EF576" s="4"/>
      <x:c r="EG576" s="4"/>
      <x:c r="EH576" s="4"/>
      <x:c r="EI576" s="4"/>
      <x:c r="EJ576" s="4"/>
      <x:c r="EK576" s="4"/>
      <x:c r="EL576" s="4"/>
      <x:c r="EM576" s="4"/>
      <x:c r="EN576" s="4"/>
      <x:c r="EO576" s="4"/>
      <x:c r="EP576" s="4"/>
      <x:c r="EQ576" s="4"/>
      <x:c r="ER576" s="4"/>
      <x:c r="ES576" s="4"/>
      <x:c r="ET576" s="4"/>
      <x:c r="EU576" s="4"/>
      <x:c r="EV576" s="4"/>
      <x:c r="EW576" s="4"/>
      <x:c r="EX576" s="4"/>
      <x:c r="EY576" s="4"/>
      <x:c r="EZ576" s="4"/>
      <x:c r="FA576" s="4"/>
      <x:c r="FB576" s="4"/>
      <x:c r="FC576" s="4"/>
      <x:c r="FD576" s="4"/>
      <x:c r="FE576" s="4"/>
      <x:c r="FF576" s="4"/>
      <x:c r="FG576" s="4"/>
      <x:c r="FH576" s="4"/>
      <x:c r="FI576" s="4"/>
      <x:c r="FJ576" s="4"/>
      <x:c r="FK576" s="4"/>
      <x:c r="FL576" s="4"/>
      <x:c r="FM576" s="4"/>
      <x:c r="FN576" s="4"/>
      <x:c r="FO576" s="4"/>
    </x:row>
    <x:row r="577">
      <x:c r="A577" s="72"/>
      <x:c r="B577" s="72"/>
      <x:c r="C577" s="72"/>
      <x:c r="D577" s="72"/>
      <x:c r="E577" s="72"/>
      <x:c r="F577" s="72"/>
      <x:c r="G577" s="72"/>
      <x:c r="H577" s="72"/>
      <x:c r="I577" s="72"/>
      <x:c r="J577" s="72"/>
      <x:c r="K577" s="72"/>
      <x:c r="L577" s="72"/>
      <x:c r="M577" s="72"/>
      <x:c r="N577" s="72"/>
      <x:c r="O577" s="72"/>
      <x:c r="P577" s="72"/>
      <x:c r="Q577" s="72"/>
      <x:c r="R577" s="72"/>
      <x:c r="S577" s="72"/>
      <x:c r="T577" s="72"/>
      <x:c r="U577" s="72"/>
      <x:c r="V577" s="72"/>
      <x:c r="W577" s="72"/>
      <x:c r="X577" s="72"/>
      <x:c r="Y577" s="72"/>
      <x:c r="Z577" s="72"/>
      <x:c r="AA577" s="72"/>
      <x:c r="AB577" s="72"/>
      <x:c r="AC577" s="72"/>
      <x:c r="AD577" s="72"/>
      <x:c r="AE577" s="72"/>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4"/>
      <x:c r="DQ577" s="4"/>
      <x:c r="DR577" s="4"/>
      <x:c r="DS577" s="4"/>
      <x:c r="DT577" s="4"/>
      <x:c r="DU577" s="4"/>
      <x:c r="DV577" s="4"/>
      <x:c r="DW577" s="4"/>
      <x:c r="DX577" s="4"/>
      <x:c r="DY577" s="4"/>
      <x:c r="DZ577" s="4"/>
      <x:c r="EA577" s="4"/>
      <x:c r="EB577" s="4"/>
      <x:c r="EC577" s="4"/>
      <x:c r="ED577" s="4"/>
      <x:c r="EE577" s="4"/>
      <x:c r="EF577" s="4"/>
      <x:c r="EG577" s="4"/>
      <x:c r="EH577" s="4"/>
      <x:c r="EI577" s="4"/>
      <x:c r="EJ577" s="4"/>
      <x:c r="EK577" s="4"/>
      <x:c r="EL577" s="4"/>
      <x:c r="EM577" s="4"/>
      <x:c r="EN577" s="4"/>
      <x:c r="EO577" s="4"/>
      <x:c r="EP577" s="4"/>
      <x:c r="EQ577" s="4"/>
      <x:c r="ER577" s="4"/>
      <x:c r="ES577" s="4"/>
      <x:c r="ET577" s="4"/>
      <x:c r="EU577" s="4"/>
      <x:c r="EV577" s="4"/>
      <x:c r="EW577" s="4"/>
      <x:c r="EX577" s="4"/>
      <x:c r="EY577" s="4"/>
      <x:c r="EZ577" s="4"/>
      <x:c r="FA577" s="4"/>
      <x:c r="FB577" s="4"/>
      <x:c r="FC577" s="4"/>
      <x:c r="FD577" s="4"/>
      <x:c r="FE577" s="4"/>
      <x:c r="FF577" s="4"/>
      <x:c r="FG577" s="4"/>
      <x:c r="FH577" s="4"/>
      <x:c r="FI577" s="4"/>
      <x:c r="FJ577" s="4"/>
      <x:c r="FK577" s="4"/>
      <x:c r="FL577" s="4"/>
      <x:c r="FM577" s="4"/>
      <x:c r="FN577" s="4"/>
      <x:c r="FO577" s="4"/>
    </x:row>
    <x:row r="578">
      <x:c r="A578" s="72"/>
      <x:c r="B578" s="72"/>
      <x:c r="C578" s="72"/>
      <x:c r="D578" s="72"/>
      <x:c r="E578" s="72"/>
      <x:c r="F578" s="72"/>
      <x:c r="G578" s="72"/>
      <x:c r="H578" s="72"/>
      <x:c r="I578" s="72"/>
      <x:c r="J578" s="72"/>
      <x:c r="K578" s="72"/>
      <x:c r="L578" s="72"/>
      <x:c r="M578" s="72"/>
      <x:c r="N578" s="72"/>
      <x:c r="O578" s="72"/>
      <x:c r="P578" s="72"/>
      <x:c r="Q578" s="72"/>
      <x:c r="R578" s="72"/>
      <x:c r="S578" s="72"/>
      <x:c r="T578" s="72"/>
      <x:c r="U578" s="72"/>
      <x:c r="V578" s="72"/>
      <x:c r="W578" s="72"/>
      <x:c r="X578" s="72"/>
      <x:c r="Y578" s="72"/>
      <x:c r="Z578" s="72"/>
      <x:c r="AA578" s="72"/>
      <x:c r="AB578" s="72"/>
      <x:c r="AC578" s="72"/>
      <x:c r="AD578" s="72"/>
      <x:c r="AE578" s="72"/>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4"/>
      <x:c r="DQ578" s="4"/>
      <x:c r="DR578" s="4"/>
      <x:c r="DS578" s="4"/>
      <x:c r="DT578" s="4"/>
      <x:c r="DU578" s="4"/>
      <x:c r="DV578" s="4"/>
      <x:c r="DW578" s="4"/>
      <x:c r="DX578" s="4"/>
      <x:c r="DY578" s="4"/>
      <x:c r="DZ578" s="4"/>
      <x:c r="EA578" s="4"/>
      <x:c r="EB578" s="4"/>
      <x:c r="EC578" s="4"/>
      <x:c r="ED578" s="4"/>
      <x:c r="EE578" s="4"/>
      <x:c r="EF578" s="4"/>
      <x:c r="EG578" s="4"/>
      <x:c r="EH578" s="4"/>
      <x:c r="EI578" s="4"/>
      <x:c r="EJ578" s="4"/>
      <x:c r="EK578" s="4"/>
      <x:c r="EL578" s="4"/>
      <x:c r="EM578" s="4"/>
      <x:c r="EN578" s="4"/>
      <x:c r="EO578" s="4"/>
      <x:c r="EP578" s="4"/>
      <x:c r="EQ578" s="4"/>
      <x:c r="ER578" s="4"/>
      <x:c r="ES578" s="4"/>
      <x:c r="ET578" s="4"/>
      <x:c r="EU578" s="4"/>
      <x:c r="EV578" s="4"/>
      <x:c r="EW578" s="4"/>
      <x:c r="EX578" s="4"/>
      <x:c r="EY578" s="4"/>
      <x:c r="EZ578" s="4"/>
      <x:c r="FA578" s="4"/>
      <x:c r="FB578" s="4"/>
      <x:c r="FC578" s="4"/>
      <x:c r="FD578" s="4"/>
      <x:c r="FE578" s="4"/>
      <x:c r="FF578" s="4"/>
      <x:c r="FG578" s="4"/>
      <x:c r="FH578" s="4"/>
      <x:c r="FI578" s="4"/>
      <x:c r="FJ578" s="4"/>
      <x:c r="FK578" s="4"/>
      <x:c r="FL578" s="4"/>
      <x:c r="FM578" s="4"/>
      <x:c r="FN578" s="4"/>
      <x:c r="FO578" s="4"/>
    </x:row>
    <x:row r="579">
      <x:c r="A579" s="72"/>
      <x:c r="B579" s="72"/>
      <x:c r="C579" s="72"/>
      <x:c r="D579" s="72"/>
      <x:c r="E579" s="72"/>
      <x:c r="F579" s="72"/>
      <x:c r="G579" s="72"/>
      <x:c r="H579" s="72"/>
      <x:c r="I579" s="72"/>
      <x:c r="J579" s="72"/>
      <x:c r="K579" s="72"/>
      <x:c r="L579" s="72"/>
      <x:c r="M579" s="72"/>
      <x:c r="N579" s="72"/>
      <x:c r="O579" s="72"/>
      <x:c r="P579" s="72"/>
      <x:c r="Q579" s="72"/>
      <x:c r="R579" s="72"/>
      <x:c r="S579" s="72"/>
      <x:c r="T579" s="72"/>
      <x:c r="U579" s="72"/>
      <x:c r="V579" s="72"/>
      <x:c r="W579" s="72"/>
      <x:c r="X579" s="72"/>
      <x:c r="Y579" s="72"/>
      <x:c r="Z579" s="72"/>
      <x:c r="AA579" s="72"/>
      <x:c r="AB579" s="72"/>
      <x:c r="AC579" s="72"/>
      <x:c r="AD579" s="72"/>
      <x:c r="AE579" s="72"/>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4"/>
      <x:c r="DQ579" s="4"/>
      <x:c r="DR579" s="4"/>
      <x:c r="DS579" s="4"/>
      <x:c r="DT579" s="4"/>
      <x:c r="DU579" s="4"/>
      <x:c r="DV579" s="4"/>
      <x:c r="DW579" s="4"/>
      <x:c r="DX579" s="4"/>
      <x:c r="DY579" s="4"/>
      <x:c r="DZ579" s="4"/>
      <x:c r="EA579" s="4"/>
      <x:c r="EB579" s="4"/>
      <x:c r="EC579" s="4"/>
      <x:c r="ED579" s="4"/>
      <x:c r="EE579" s="4"/>
      <x:c r="EF579" s="4"/>
      <x:c r="EG579" s="4"/>
      <x:c r="EH579" s="4"/>
      <x:c r="EI579" s="4"/>
      <x:c r="EJ579" s="4"/>
      <x:c r="EK579" s="4"/>
      <x:c r="EL579" s="4"/>
      <x:c r="EM579" s="4"/>
      <x:c r="EN579" s="4"/>
      <x:c r="EO579" s="4"/>
      <x:c r="EP579" s="4"/>
      <x:c r="EQ579" s="4"/>
      <x:c r="ER579" s="4"/>
      <x:c r="ES579" s="4"/>
      <x:c r="ET579" s="4"/>
      <x:c r="EU579" s="4"/>
      <x:c r="EV579" s="4"/>
      <x:c r="EW579" s="4"/>
      <x:c r="EX579" s="4"/>
      <x:c r="EY579" s="4"/>
      <x:c r="EZ579" s="4"/>
      <x:c r="FA579" s="4"/>
      <x:c r="FB579" s="4"/>
      <x:c r="FC579" s="4"/>
      <x:c r="FD579" s="4"/>
      <x:c r="FE579" s="4"/>
      <x:c r="FF579" s="4"/>
      <x:c r="FG579" s="4"/>
      <x:c r="FH579" s="4"/>
      <x:c r="FI579" s="4"/>
      <x:c r="FJ579" s="4"/>
      <x:c r="FK579" s="4"/>
      <x:c r="FL579" s="4"/>
      <x:c r="FM579" s="4"/>
      <x:c r="FN579" s="4"/>
      <x:c r="FO579" s="4"/>
    </x:row>
    <x:row r="580">
      <x:c r="A580" s="72"/>
      <x:c r="B580" s="72"/>
      <x:c r="C580" s="72"/>
      <x:c r="D580" s="72"/>
      <x:c r="E580" s="72"/>
      <x:c r="F580" s="72"/>
      <x:c r="G580" s="72"/>
      <x:c r="H580" s="72"/>
      <x:c r="I580" s="72"/>
      <x:c r="J580" s="72"/>
      <x:c r="K580" s="72"/>
      <x:c r="L580" s="72"/>
      <x:c r="M580" s="72"/>
      <x:c r="N580" s="72"/>
      <x:c r="O580" s="72"/>
      <x:c r="P580" s="72"/>
      <x:c r="Q580" s="72"/>
      <x:c r="R580" s="72"/>
      <x:c r="S580" s="72"/>
      <x:c r="T580" s="72"/>
      <x:c r="U580" s="72"/>
      <x:c r="V580" s="72"/>
      <x:c r="W580" s="72"/>
      <x:c r="X580" s="72"/>
      <x:c r="Y580" s="72"/>
      <x:c r="Z580" s="72"/>
      <x:c r="AA580" s="72"/>
      <x:c r="AB580" s="72"/>
      <x:c r="AC580" s="72"/>
      <x:c r="AD580" s="72"/>
      <x:c r="AE580" s="72"/>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4"/>
      <x:c r="DQ580" s="4"/>
      <x:c r="DR580" s="4"/>
      <x:c r="DS580" s="4"/>
      <x:c r="DT580" s="4"/>
      <x:c r="DU580" s="4"/>
      <x:c r="DV580" s="4"/>
      <x:c r="DW580" s="4"/>
      <x:c r="DX580" s="4"/>
      <x:c r="DY580" s="4"/>
      <x:c r="DZ580" s="4"/>
      <x:c r="EA580" s="4"/>
      <x:c r="EB580" s="4"/>
      <x:c r="EC580" s="4"/>
      <x:c r="ED580" s="4"/>
      <x:c r="EE580" s="4"/>
      <x:c r="EF580" s="4"/>
      <x:c r="EG580" s="4"/>
      <x:c r="EH580" s="4"/>
      <x:c r="EI580" s="4"/>
      <x:c r="EJ580" s="4"/>
      <x:c r="EK580" s="4"/>
      <x:c r="EL580" s="4"/>
      <x:c r="EM580" s="4"/>
      <x:c r="EN580" s="4"/>
      <x:c r="EO580" s="4"/>
      <x:c r="EP580" s="4"/>
      <x:c r="EQ580" s="4"/>
      <x:c r="ER580" s="4"/>
      <x:c r="ES580" s="4"/>
      <x:c r="ET580" s="4"/>
      <x:c r="EU580" s="4"/>
      <x:c r="EV580" s="4"/>
      <x:c r="EW580" s="4"/>
      <x:c r="EX580" s="4"/>
      <x:c r="EY580" s="4"/>
      <x:c r="EZ580" s="4"/>
      <x:c r="FA580" s="4"/>
      <x:c r="FB580" s="4"/>
      <x:c r="FC580" s="4"/>
      <x:c r="FD580" s="4"/>
      <x:c r="FE580" s="4"/>
      <x:c r="FF580" s="4"/>
      <x:c r="FG580" s="4"/>
      <x:c r="FH580" s="4"/>
      <x:c r="FI580" s="4"/>
      <x:c r="FJ580" s="4"/>
      <x:c r="FK580" s="4"/>
      <x:c r="FL580" s="4"/>
      <x:c r="FM580" s="4"/>
      <x:c r="FN580" s="4"/>
      <x:c r="FO580" s="4"/>
    </x:row>
    <x:row r="581">
      <x:c r="A581" s="72"/>
      <x:c r="B581" s="72"/>
      <x:c r="C581" s="72"/>
      <x:c r="D581" s="72"/>
      <x:c r="E581" s="72"/>
      <x:c r="F581" s="72"/>
      <x:c r="G581" s="72"/>
      <x:c r="H581" s="72"/>
      <x:c r="I581" s="72"/>
      <x:c r="J581" s="72"/>
      <x:c r="K581" s="72"/>
      <x:c r="L581" s="72"/>
      <x:c r="M581" s="72"/>
      <x:c r="N581" s="72"/>
      <x:c r="O581" s="72"/>
      <x:c r="P581" s="72"/>
      <x:c r="Q581" s="72"/>
      <x:c r="R581" s="72"/>
      <x:c r="S581" s="72"/>
      <x:c r="T581" s="72"/>
      <x:c r="U581" s="72"/>
      <x:c r="V581" s="72"/>
      <x:c r="W581" s="72"/>
      <x:c r="X581" s="72"/>
      <x:c r="Y581" s="72"/>
      <x:c r="Z581" s="72"/>
      <x:c r="AA581" s="72"/>
      <x:c r="AB581" s="72"/>
      <x:c r="AC581" s="72"/>
      <x:c r="AD581" s="72"/>
      <x:c r="AE581" s="72"/>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4"/>
      <x:c r="DQ581" s="4"/>
      <x:c r="DR581" s="4"/>
      <x:c r="DS581" s="4"/>
      <x:c r="DT581" s="4"/>
      <x:c r="DU581" s="4"/>
      <x:c r="DV581" s="4"/>
      <x:c r="DW581" s="4"/>
      <x:c r="DX581" s="4"/>
      <x:c r="DY581" s="4"/>
      <x:c r="DZ581" s="4"/>
      <x:c r="EA581" s="4"/>
      <x:c r="EB581" s="4"/>
      <x:c r="EC581" s="4"/>
      <x:c r="ED581" s="4"/>
      <x:c r="EE581" s="4"/>
      <x:c r="EF581" s="4"/>
      <x:c r="EG581" s="4"/>
      <x:c r="EH581" s="4"/>
      <x:c r="EI581" s="4"/>
      <x:c r="EJ581" s="4"/>
      <x:c r="EK581" s="4"/>
      <x:c r="EL581" s="4"/>
      <x:c r="EM581" s="4"/>
      <x:c r="EN581" s="4"/>
      <x:c r="EO581" s="4"/>
      <x:c r="EP581" s="4"/>
      <x:c r="EQ581" s="4"/>
      <x:c r="ER581" s="4"/>
      <x:c r="ES581" s="4"/>
      <x:c r="ET581" s="4"/>
      <x:c r="EU581" s="4"/>
      <x:c r="EV581" s="4"/>
      <x:c r="EW581" s="4"/>
      <x:c r="EX581" s="4"/>
      <x:c r="EY581" s="4"/>
      <x:c r="EZ581" s="4"/>
      <x:c r="FA581" s="4"/>
      <x:c r="FB581" s="4"/>
      <x:c r="FC581" s="4"/>
      <x:c r="FD581" s="4"/>
      <x:c r="FE581" s="4"/>
      <x:c r="FF581" s="4"/>
      <x:c r="FG581" s="4"/>
      <x:c r="FH581" s="4"/>
      <x:c r="FI581" s="4"/>
      <x:c r="FJ581" s="4"/>
      <x:c r="FK581" s="4"/>
      <x:c r="FL581" s="4"/>
      <x:c r="FM581" s="4"/>
      <x:c r="FN581" s="4"/>
      <x:c r="FO581" s="4"/>
    </x:row>
    <x:row r="582">
      <x:c r="A582" s="72"/>
      <x:c r="B582" s="72"/>
      <x:c r="C582" s="72"/>
      <x:c r="D582" s="72"/>
      <x:c r="E582" s="72"/>
      <x:c r="F582" s="72"/>
      <x:c r="G582" s="72"/>
      <x:c r="H582" s="72"/>
      <x:c r="I582" s="72"/>
      <x:c r="J582" s="72"/>
      <x:c r="K582" s="72"/>
      <x:c r="L582" s="72"/>
      <x:c r="M582" s="72"/>
      <x:c r="N582" s="72"/>
      <x:c r="O582" s="72"/>
      <x:c r="P582" s="72"/>
      <x:c r="Q582" s="72"/>
      <x:c r="R582" s="72"/>
      <x:c r="S582" s="72"/>
      <x:c r="T582" s="72"/>
      <x:c r="U582" s="72"/>
      <x:c r="V582" s="72"/>
      <x:c r="W582" s="72"/>
      <x:c r="X582" s="72"/>
      <x:c r="Y582" s="72"/>
      <x:c r="Z582" s="72"/>
      <x:c r="AA582" s="72"/>
      <x:c r="AB582" s="72"/>
      <x:c r="AC582" s="72"/>
      <x:c r="AD582" s="72"/>
      <x:c r="AE582" s="72"/>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4"/>
      <x:c r="DQ582" s="4"/>
      <x:c r="DR582" s="4"/>
      <x:c r="DS582" s="4"/>
      <x:c r="DT582" s="4"/>
      <x:c r="DU582" s="4"/>
      <x:c r="DV582" s="4"/>
      <x:c r="DW582" s="4"/>
      <x:c r="DX582" s="4"/>
      <x:c r="DY582" s="4"/>
      <x:c r="DZ582" s="4"/>
      <x:c r="EA582" s="4"/>
      <x:c r="EB582" s="4"/>
      <x:c r="EC582" s="4"/>
      <x:c r="ED582" s="4"/>
      <x:c r="EE582" s="4"/>
      <x:c r="EF582" s="4"/>
      <x:c r="EG582" s="4"/>
      <x:c r="EH582" s="4"/>
      <x:c r="EI582" s="4"/>
      <x:c r="EJ582" s="4"/>
      <x:c r="EK582" s="4"/>
      <x:c r="EL582" s="4"/>
      <x:c r="EM582" s="4"/>
      <x:c r="EN582" s="4"/>
      <x:c r="EO582" s="4"/>
      <x:c r="EP582" s="4"/>
      <x:c r="EQ582" s="4"/>
      <x:c r="ER582" s="4"/>
      <x:c r="ES582" s="4"/>
      <x:c r="ET582" s="4"/>
      <x:c r="EU582" s="4"/>
      <x:c r="EV582" s="4"/>
      <x:c r="EW582" s="4"/>
      <x:c r="EX582" s="4"/>
      <x:c r="EY582" s="4"/>
      <x:c r="EZ582" s="4"/>
      <x:c r="FA582" s="4"/>
      <x:c r="FB582" s="4"/>
      <x:c r="FC582" s="4"/>
      <x:c r="FD582" s="4"/>
      <x:c r="FE582" s="4"/>
      <x:c r="FF582" s="4"/>
      <x:c r="FG582" s="4"/>
      <x:c r="FH582" s="4"/>
      <x:c r="FI582" s="4"/>
      <x:c r="FJ582" s="4"/>
      <x:c r="FK582" s="4"/>
      <x:c r="FL582" s="4"/>
      <x:c r="FM582" s="4"/>
      <x:c r="FN582" s="4"/>
      <x:c r="FO582" s="4"/>
    </x:row>
    <x:row r="583">
      <x:c r="A583" s="72"/>
      <x:c r="B583" s="72"/>
      <x:c r="C583" s="72"/>
      <x:c r="D583" s="72"/>
      <x:c r="E583" s="72"/>
      <x:c r="F583" s="72"/>
      <x:c r="G583" s="72"/>
      <x:c r="H583" s="72"/>
      <x:c r="I583" s="72"/>
      <x:c r="J583" s="72"/>
      <x:c r="K583" s="72"/>
      <x:c r="L583" s="72"/>
      <x:c r="M583" s="72"/>
      <x:c r="N583" s="72"/>
      <x:c r="O583" s="72"/>
      <x:c r="P583" s="72"/>
      <x:c r="Q583" s="72"/>
      <x:c r="R583" s="72"/>
      <x:c r="S583" s="72"/>
      <x:c r="T583" s="72"/>
      <x:c r="U583" s="72"/>
      <x:c r="V583" s="72"/>
      <x:c r="W583" s="72"/>
      <x:c r="X583" s="72"/>
      <x:c r="Y583" s="72"/>
      <x:c r="Z583" s="72"/>
      <x:c r="AA583" s="72"/>
      <x:c r="AB583" s="72"/>
      <x:c r="AC583" s="72"/>
      <x:c r="AD583" s="72"/>
      <x:c r="AE583" s="72"/>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4"/>
      <x:c r="DQ583" s="4"/>
      <x:c r="DR583" s="4"/>
      <x:c r="DS583" s="4"/>
      <x:c r="DT583" s="4"/>
      <x:c r="DU583" s="4"/>
      <x:c r="DV583" s="4"/>
      <x:c r="DW583" s="4"/>
      <x:c r="DX583" s="4"/>
      <x:c r="DY583" s="4"/>
      <x:c r="DZ583" s="4"/>
      <x:c r="EA583" s="4"/>
      <x:c r="EB583" s="4"/>
      <x:c r="EC583" s="4"/>
      <x:c r="ED583" s="4"/>
      <x:c r="EE583" s="4"/>
      <x:c r="EF583" s="4"/>
      <x:c r="EG583" s="4"/>
      <x:c r="EH583" s="4"/>
      <x:c r="EI583" s="4"/>
      <x:c r="EJ583" s="4"/>
      <x:c r="EK583" s="4"/>
      <x:c r="EL583" s="4"/>
      <x:c r="EM583" s="4"/>
      <x:c r="EN583" s="4"/>
      <x:c r="EO583" s="4"/>
      <x:c r="EP583" s="4"/>
      <x:c r="EQ583" s="4"/>
      <x:c r="ER583" s="4"/>
      <x:c r="ES583" s="4"/>
      <x:c r="ET583" s="4"/>
      <x:c r="EU583" s="4"/>
      <x:c r="EV583" s="4"/>
      <x:c r="EW583" s="4"/>
      <x:c r="EX583" s="4"/>
      <x:c r="EY583" s="4"/>
      <x:c r="EZ583" s="4"/>
      <x:c r="FA583" s="4"/>
      <x:c r="FB583" s="4"/>
      <x:c r="FC583" s="4"/>
      <x:c r="FD583" s="4"/>
      <x:c r="FE583" s="4"/>
      <x:c r="FF583" s="4"/>
      <x:c r="FG583" s="4"/>
      <x:c r="FH583" s="4"/>
      <x:c r="FI583" s="4"/>
      <x:c r="FJ583" s="4"/>
      <x:c r="FK583" s="4"/>
      <x:c r="FL583" s="4"/>
      <x:c r="FM583" s="4"/>
      <x:c r="FN583" s="4"/>
      <x:c r="FO583" s="4"/>
    </x:row>
    <x:row r="584">
      <x:c r="A584" s="72"/>
      <x:c r="B584" s="72"/>
      <x:c r="C584" s="72"/>
      <x:c r="D584" s="72"/>
      <x:c r="E584" s="72"/>
      <x:c r="F584" s="72"/>
      <x:c r="G584" s="72"/>
      <x:c r="H584" s="72"/>
      <x:c r="I584" s="72"/>
      <x:c r="J584" s="72"/>
      <x:c r="K584" s="72"/>
      <x:c r="L584" s="72"/>
      <x:c r="M584" s="72"/>
      <x:c r="N584" s="72"/>
      <x:c r="O584" s="72"/>
      <x:c r="P584" s="72"/>
      <x:c r="Q584" s="72"/>
      <x:c r="R584" s="72"/>
      <x:c r="S584" s="72"/>
      <x:c r="T584" s="72"/>
      <x:c r="U584" s="72"/>
      <x:c r="V584" s="72"/>
      <x:c r="W584" s="72"/>
      <x:c r="X584" s="72"/>
      <x:c r="Y584" s="72"/>
      <x:c r="Z584" s="72"/>
      <x:c r="AA584" s="72"/>
      <x:c r="AB584" s="72"/>
      <x:c r="AC584" s="72"/>
      <x:c r="AD584" s="72"/>
      <x:c r="AE584" s="72"/>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4"/>
      <x:c r="DQ584" s="4"/>
      <x:c r="DR584" s="4"/>
      <x:c r="DS584" s="4"/>
      <x:c r="DT584" s="4"/>
      <x:c r="DU584" s="4"/>
      <x:c r="DV584" s="4"/>
      <x:c r="DW584" s="4"/>
      <x:c r="DX584" s="4"/>
      <x:c r="DY584" s="4"/>
      <x:c r="DZ584" s="4"/>
      <x:c r="EA584" s="4"/>
      <x:c r="EB584" s="4"/>
      <x:c r="EC584" s="4"/>
      <x:c r="ED584" s="4"/>
      <x:c r="EE584" s="4"/>
      <x:c r="EF584" s="4"/>
      <x:c r="EG584" s="4"/>
      <x:c r="EH584" s="4"/>
      <x:c r="EI584" s="4"/>
      <x:c r="EJ584" s="4"/>
      <x:c r="EK584" s="4"/>
      <x:c r="EL584" s="4"/>
      <x:c r="EM584" s="4"/>
      <x:c r="EN584" s="4"/>
      <x:c r="EO584" s="4"/>
      <x:c r="EP584" s="4"/>
      <x:c r="EQ584" s="4"/>
      <x:c r="ER584" s="4"/>
      <x:c r="ES584" s="4"/>
      <x:c r="ET584" s="4"/>
      <x:c r="EU584" s="4"/>
      <x:c r="EV584" s="4"/>
      <x:c r="EW584" s="4"/>
      <x:c r="EX584" s="4"/>
      <x:c r="EY584" s="4"/>
      <x:c r="EZ584" s="4"/>
      <x:c r="FA584" s="4"/>
      <x:c r="FB584" s="4"/>
      <x:c r="FC584" s="4"/>
      <x:c r="FD584" s="4"/>
      <x:c r="FE584" s="4"/>
      <x:c r="FF584" s="4"/>
      <x:c r="FG584" s="4"/>
      <x:c r="FH584" s="4"/>
      <x:c r="FI584" s="4"/>
      <x:c r="FJ584" s="4"/>
      <x:c r="FK584" s="4"/>
      <x:c r="FL584" s="4"/>
      <x:c r="FM584" s="4"/>
      <x:c r="FN584" s="4"/>
      <x:c r="FO584" s="4"/>
    </x:row>
    <x:row r="585">
      <x:c r="A585" s="72"/>
      <x:c r="B585" s="72"/>
      <x:c r="C585" s="72"/>
      <x:c r="D585" s="72"/>
      <x:c r="E585" s="72"/>
      <x:c r="F585" s="72"/>
      <x:c r="G585" s="72"/>
      <x:c r="H585" s="72"/>
      <x:c r="I585" s="72"/>
      <x:c r="J585" s="72"/>
      <x:c r="K585" s="72"/>
      <x:c r="L585" s="72"/>
      <x:c r="M585" s="72"/>
      <x:c r="N585" s="72"/>
      <x:c r="O585" s="72"/>
      <x:c r="P585" s="72"/>
      <x:c r="Q585" s="72"/>
      <x:c r="R585" s="72"/>
      <x:c r="S585" s="72"/>
      <x:c r="T585" s="72"/>
      <x:c r="U585" s="72"/>
      <x:c r="V585" s="72"/>
      <x:c r="W585" s="72"/>
      <x:c r="X585" s="72"/>
      <x:c r="Y585" s="72"/>
      <x:c r="Z585" s="72"/>
      <x:c r="AA585" s="72"/>
      <x:c r="AB585" s="72"/>
      <x:c r="AC585" s="72"/>
      <x:c r="AD585" s="72"/>
      <x:c r="AE585" s="72"/>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4"/>
      <x:c r="DQ585" s="4"/>
      <x:c r="DR585" s="4"/>
      <x:c r="DS585" s="4"/>
      <x:c r="DT585" s="4"/>
      <x:c r="DU585" s="4"/>
      <x:c r="DV585" s="4"/>
      <x:c r="DW585" s="4"/>
      <x:c r="DX585" s="4"/>
      <x:c r="DY585" s="4"/>
      <x:c r="DZ585" s="4"/>
      <x:c r="EA585" s="4"/>
      <x:c r="EB585" s="4"/>
      <x:c r="EC585" s="4"/>
      <x:c r="ED585" s="4"/>
      <x:c r="EE585" s="4"/>
      <x:c r="EF585" s="4"/>
      <x:c r="EG585" s="4"/>
      <x:c r="EH585" s="4"/>
      <x:c r="EI585" s="4"/>
      <x:c r="EJ585" s="4"/>
      <x:c r="EK585" s="4"/>
      <x:c r="EL585" s="4"/>
      <x:c r="EM585" s="4"/>
      <x:c r="EN585" s="4"/>
      <x:c r="EO585" s="4"/>
      <x:c r="EP585" s="4"/>
      <x:c r="EQ585" s="4"/>
      <x:c r="ER585" s="4"/>
      <x:c r="ES585" s="4"/>
      <x:c r="ET585" s="4"/>
      <x:c r="EU585" s="4"/>
      <x:c r="EV585" s="4"/>
      <x:c r="EW585" s="4"/>
      <x:c r="EX585" s="4"/>
      <x:c r="EY585" s="4"/>
      <x:c r="EZ585" s="4"/>
      <x:c r="FA585" s="4"/>
      <x:c r="FB585" s="4"/>
      <x:c r="FC585" s="4"/>
      <x:c r="FD585" s="4"/>
      <x:c r="FE585" s="4"/>
      <x:c r="FF585" s="4"/>
      <x:c r="FG585" s="4"/>
      <x:c r="FH585" s="4"/>
      <x:c r="FI585" s="4"/>
      <x:c r="FJ585" s="4"/>
      <x:c r="FK585" s="4"/>
      <x:c r="FL585" s="4"/>
      <x:c r="FM585" s="4"/>
      <x:c r="FN585" s="4"/>
      <x:c r="FO585" s="4"/>
    </x:row>
    <x:row r="586">
      <x:c r="A586" s="72"/>
      <x:c r="B586" s="72"/>
      <x:c r="C586" s="72"/>
      <x:c r="D586" s="72"/>
      <x:c r="E586" s="72"/>
      <x:c r="F586" s="72"/>
      <x:c r="G586" s="72"/>
      <x:c r="H586" s="72"/>
      <x:c r="I586" s="72"/>
      <x:c r="J586" s="72"/>
      <x:c r="K586" s="72"/>
      <x:c r="L586" s="72"/>
      <x:c r="M586" s="72"/>
      <x:c r="N586" s="72"/>
      <x:c r="O586" s="72"/>
      <x:c r="P586" s="72"/>
      <x:c r="Q586" s="72"/>
      <x:c r="R586" s="72"/>
      <x:c r="S586" s="72"/>
      <x:c r="T586" s="72"/>
      <x:c r="U586" s="72"/>
      <x:c r="V586" s="72"/>
      <x:c r="W586" s="72"/>
      <x:c r="X586" s="72"/>
      <x:c r="Y586" s="72"/>
      <x:c r="Z586" s="72"/>
      <x:c r="AA586" s="72"/>
      <x:c r="AB586" s="72"/>
      <x:c r="AC586" s="72"/>
      <x:c r="AD586" s="72"/>
      <x:c r="AE586" s="72"/>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4"/>
      <x:c r="DQ586" s="4"/>
      <x:c r="DR586" s="4"/>
      <x:c r="DS586" s="4"/>
      <x:c r="DT586" s="4"/>
      <x:c r="DU586" s="4"/>
      <x:c r="DV586" s="4"/>
      <x:c r="DW586" s="4"/>
      <x:c r="DX586" s="4"/>
      <x:c r="DY586" s="4"/>
      <x:c r="DZ586" s="4"/>
      <x:c r="EA586" s="4"/>
      <x:c r="EB586" s="4"/>
      <x:c r="EC586" s="4"/>
      <x:c r="ED586" s="4"/>
      <x:c r="EE586" s="4"/>
      <x:c r="EF586" s="4"/>
      <x:c r="EG586" s="4"/>
      <x:c r="EH586" s="4"/>
      <x:c r="EI586" s="4"/>
      <x:c r="EJ586" s="4"/>
      <x:c r="EK586" s="4"/>
      <x:c r="EL586" s="4"/>
      <x:c r="EM586" s="4"/>
      <x:c r="EN586" s="4"/>
      <x:c r="EO586" s="4"/>
      <x:c r="EP586" s="4"/>
      <x:c r="EQ586" s="4"/>
      <x:c r="ER586" s="4"/>
      <x:c r="ES586" s="4"/>
      <x:c r="ET586" s="4"/>
      <x:c r="EU586" s="4"/>
      <x:c r="EV586" s="4"/>
      <x:c r="EW586" s="4"/>
      <x:c r="EX586" s="4"/>
      <x:c r="EY586" s="4"/>
      <x:c r="EZ586" s="4"/>
      <x:c r="FA586" s="4"/>
      <x:c r="FB586" s="4"/>
      <x:c r="FC586" s="4"/>
      <x:c r="FD586" s="4"/>
      <x:c r="FE586" s="4"/>
      <x:c r="FF586" s="4"/>
      <x:c r="FG586" s="4"/>
      <x:c r="FH586" s="4"/>
      <x:c r="FI586" s="4"/>
      <x:c r="FJ586" s="4"/>
      <x:c r="FK586" s="4"/>
      <x:c r="FL586" s="4"/>
      <x:c r="FM586" s="4"/>
      <x:c r="FN586" s="4"/>
      <x:c r="FO586" s="4"/>
    </x:row>
    <x:row r="587">
      <x:c r="A587" s="72"/>
      <x:c r="B587" s="72"/>
      <x:c r="C587" s="72"/>
      <x:c r="D587" s="72"/>
      <x:c r="E587" s="72"/>
      <x:c r="F587" s="72"/>
      <x:c r="G587" s="72"/>
      <x:c r="H587" s="72"/>
      <x:c r="I587" s="72"/>
      <x:c r="J587" s="72"/>
      <x:c r="K587" s="72"/>
      <x:c r="L587" s="72"/>
      <x:c r="M587" s="72"/>
      <x:c r="N587" s="72"/>
      <x:c r="O587" s="72"/>
      <x:c r="P587" s="72"/>
      <x:c r="Q587" s="72"/>
      <x:c r="R587" s="72"/>
      <x:c r="S587" s="72"/>
      <x:c r="T587" s="72"/>
      <x:c r="U587" s="72"/>
      <x:c r="V587" s="72"/>
      <x:c r="W587" s="72"/>
      <x:c r="X587" s="72"/>
      <x:c r="Y587" s="72"/>
      <x:c r="Z587" s="72"/>
      <x:c r="AA587" s="72"/>
      <x:c r="AB587" s="72"/>
      <x:c r="AC587" s="72"/>
      <x:c r="AD587" s="72"/>
      <x:c r="AE587" s="72"/>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4"/>
      <x:c r="DQ587" s="4"/>
      <x:c r="DR587" s="4"/>
      <x:c r="DS587" s="4"/>
      <x:c r="DT587" s="4"/>
      <x:c r="DU587" s="4"/>
      <x:c r="DV587" s="4"/>
      <x:c r="DW587" s="4"/>
      <x:c r="DX587" s="4"/>
      <x:c r="DY587" s="4"/>
      <x:c r="DZ587" s="4"/>
      <x:c r="EA587" s="4"/>
      <x:c r="EB587" s="4"/>
      <x:c r="EC587" s="4"/>
      <x:c r="ED587" s="4"/>
      <x:c r="EE587" s="4"/>
      <x:c r="EF587" s="4"/>
      <x:c r="EG587" s="4"/>
      <x:c r="EH587" s="4"/>
      <x:c r="EI587" s="4"/>
      <x:c r="EJ587" s="4"/>
      <x:c r="EK587" s="4"/>
      <x:c r="EL587" s="4"/>
      <x:c r="EM587" s="4"/>
      <x:c r="EN587" s="4"/>
      <x:c r="EO587" s="4"/>
      <x:c r="EP587" s="4"/>
      <x:c r="EQ587" s="4"/>
      <x:c r="ER587" s="4"/>
      <x:c r="ES587" s="4"/>
      <x:c r="ET587" s="4"/>
      <x:c r="EU587" s="4"/>
      <x:c r="EV587" s="4"/>
      <x:c r="EW587" s="4"/>
      <x:c r="EX587" s="4"/>
      <x:c r="EY587" s="4"/>
      <x:c r="EZ587" s="4"/>
      <x:c r="FA587" s="4"/>
      <x:c r="FB587" s="4"/>
      <x:c r="FC587" s="4"/>
      <x:c r="FD587" s="4"/>
      <x:c r="FE587" s="4"/>
      <x:c r="FF587" s="4"/>
      <x:c r="FG587" s="4"/>
      <x:c r="FH587" s="4"/>
      <x:c r="FI587" s="4"/>
      <x:c r="FJ587" s="4"/>
      <x:c r="FK587" s="4"/>
      <x:c r="FL587" s="4"/>
      <x:c r="FM587" s="4"/>
      <x:c r="FN587" s="4"/>
      <x:c r="FO587" s="4"/>
    </x:row>
    <x:row r="588">
      <x:c r="A588" s="72"/>
      <x:c r="B588" s="72"/>
      <x:c r="C588" s="72"/>
      <x:c r="D588" s="72"/>
      <x:c r="E588" s="72"/>
      <x:c r="F588" s="72"/>
      <x:c r="G588" s="72"/>
      <x:c r="H588" s="72"/>
      <x:c r="I588" s="72"/>
      <x:c r="J588" s="72"/>
      <x:c r="K588" s="72"/>
      <x:c r="L588" s="72"/>
      <x:c r="M588" s="72"/>
      <x:c r="N588" s="72"/>
      <x:c r="O588" s="72"/>
      <x:c r="P588" s="72"/>
      <x:c r="Q588" s="72"/>
      <x:c r="R588" s="72"/>
      <x:c r="S588" s="72"/>
      <x:c r="T588" s="72"/>
      <x:c r="U588" s="72"/>
      <x:c r="V588" s="72"/>
      <x:c r="W588" s="72"/>
      <x:c r="X588" s="72"/>
      <x:c r="Y588" s="72"/>
      <x:c r="Z588" s="72"/>
      <x:c r="AA588" s="72"/>
      <x:c r="AB588" s="72"/>
      <x:c r="AC588" s="72"/>
      <x:c r="AD588" s="72"/>
      <x:c r="AE588" s="72"/>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4"/>
      <x:c r="DQ588" s="4"/>
      <x:c r="DR588" s="4"/>
      <x:c r="DS588" s="4"/>
      <x:c r="DT588" s="4"/>
      <x:c r="DU588" s="4"/>
      <x:c r="DV588" s="4"/>
      <x:c r="DW588" s="4"/>
      <x:c r="DX588" s="4"/>
      <x:c r="DY588" s="4"/>
      <x:c r="DZ588" s="4"/>
      <x:c r="EA588" s="4"/>
      <x:c r="EB588" s="4"/>
      <x:c r="EC588" s="4"/>
      <x:c r="ED588" s="4"/>
      <x:c r="EE588" s="4"/>
      <x:c r="EF588" s="4"/>
      <x:c r="EG588" s="4"/>
      <x:c r="EH588" s="4"/>
      <x:c r="EI588" s="4"/>
      <x:c r="EJ588" s="4"/>
      <x:c r="EK588" s="4"/>
      <x:c r="EL588" s="4"/>
      <x:c r="EM588" s="4"/>
      <x:c r="EN588" s="4"/>
      <x:c r="EO588" s="4"/>
      <x:c r="EP588" s="4"/>
      <x:c r="EQ588" s="4"/>
      <x:c r="ER588" s="4"/>
      <x:c r="ES588" s="4"/>
      <x:c r="ET588" s="4"/>
      <x:c r="EU588" s="4"/>
      <x:c r="EV588" s="4"/>
      <x:c r="EW588" s="4"/>
      <x:c r="EX588" s="4"/>
      <x:c r="EY588" s="4"/>
      <x:c r="EZ588" s="4"/>
      <x:c r="FA588" s="4"/>
      <x:c r="FB588" s="4"/>
      <x:c r="FC588" s="4"/>
      <x:c r="FD588" s="4"/>
      <x:c r="FE588" s="4"/>
      <x:c r="FF588" s="4"/>
      <x:c r="FG588" s="4"/>
      <x:c r="FH588" s="4"/>
      <x:c r="FI588" s="4"/>
      <x:c r="FJ588" s="4"/>
      <x:c r="FK588" s="4"/>
      <x:c r="FL588" s="4"/>
      <x:c r="FM588" s="4"/>
      <x:c r="FN588" s="4"/>
      <x:c r="FO588" s="4"/>
    </x:row>
    <x:row r="589">
      <x:c r="A589" s="72"/>
      <x:c r="B589" s="72"/>
      <x:c r="C589" s="72"/>
      <x:c r="D589" s="72"/>
      <x:c r="E589" s="72"/>
      <x:c r="F589" s="72"/>
      <x:c r="G589" s="72"/>
      <x:c r="H589" s="72"/>
      <x:c r="I589" s="72"/>
      <x:c r="J589" s="72"/>
      <x:c r="K589" s="72"/>
      <x:c r="L589" s="72"/>
      <x:c r="M589" s="72"/>
      <x:c r="N589" s="72"/>
      <x:c r="O589" s="72"/>
      <x:c r="P589" s="72"/>
      <x:c r="Q589" s="72"/>
      <x:c r="R589" s="72"/>
      <x:c r="S589" s="72"/>
      <x:c r="T589" s="72"/>
      <x:c r="U589" s="72"/>
      <x:c r="V589" s="72"/>
      <x:c r="W589" s="72"/>
      <x:c r="X589" s="72"/>
      <x:c r="Y589" s="72"/>
      <x:c r="Z589" s="72"/>
      <x:c r="AA589" s="72"/>
      <x:c r="AB589" s="72"/>
      <x:c r="AC589" s="72"/>
      <x:c r="AD589" s="72"/>
      <x:c r="AE589" s="72"/>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4"/>
      <x:c r="DQ589" s="4"/>
      <x:c r="DR589" s="4"/>
      <x:c r="DS589" s="4"/>
      <x:c r="DT589" s="4"/>
      <x:c r="DU589" s="4"/>
      <x:c r="DV589" s="4"/>
      <x:c r="DW589" s="4"/>
      <x:c r="DX589" s="4"/>
      <x:c r="DY589" s="4"/>
      <x:c r="DZ589" s="4"/>
      <x:c r="EA589" s="4"/>
      <x:c r="EB589" s="4"/>
      <x:c r="EC589" s="4"/>
      <x:c r="ED589" s="4"/>
      <x:c r="EE589" s="4"/>
      <x:c r="EF589" s="4"/>
      <x:c r="EG589" s="4"/>
      <x:c r="EH589" s="4"/>
      <x:c r="EI589" s="4"/>
      <x:c r="EJ589" s="4"/>
      <x:c r="EK589" s="4"/>
      <x:c r="EL589" s="4"/>
      <x:c r="EM589" s="4"/>
      <x:c r="EN589" s="4"/>
      <x:c r="EO589" s="4"/>
      <x:c r="EP589" s="4"/>
      <x:c r="EQ589" s="4"/>
      <x:c r="ER589" s="4"/>
      <x:c r="ES589" s="4"/>
      <x:c r="ET589" s="4"/>
      <x:c r="EU589" s="4"/>
      <x:c r="EV589" s="4"/>
      <x:c r="EW589" s="4"/>
      <x:c r="EX589" s="4"/>
      <x:c r="EY589" s="4"/>
      <x:c r="EZ589" s="4"/>
      <x:c r="FA589" s="4"/>
      <x:c r="FB589" s="4"/>
      <x:c r="FC589" s="4"/>
      <x:c r="FD589" s="4"/>
      <x:c r="FE589" s="4"/>
      <x:c r="FF589" s="4"/>
      <x:c r="FG589" s="4"/>
      <x:c r="FH589" s="4"/>
      <x:c r="FI589" s="4"/>
      <x:c r="FJ589" s="4"/>
      <x:c r="FK589" s="4"/>
      <x:c r="FL589" s="4"/>
      <x:c r="FM589" s="4"/>
      <x:c r="FN589" s="4"/>
      <x:c r="FO589" s="4"/>
    </x:row>
    <x:row r="590">
      <x:c r="A590" s="72"/>
      <x:c r="B590" s="72"/>
      <x:c r="C590" s="72"/>
      <x:c r="D590" s="72"/>
      <x:c r="E590" s="72"/>
      <x:c r="F590" s="72"/>
      <x:c r="G590" s="72"/>
      <x:c r="H590" s="72"/>
      <x:c r="I590" s="72"/>
      <x:c r="J590" s="72"/>
      <x:c r="K590" s="72"/>
      <x:c r="L590" s="72"/>
      <x:c r="M590" s="72"/>
      <x:c r="N590" s="72"/>
      <x:c r="O590" s="72"/>
      <x:c r="P590" s="72"/>
      <x:c r="Q590" s="72"/>
      <x:c r="R590" s="72"/>
      <x:c r="S590" s="72"/>
      <x:c r="T590" s="72"/>
      <x:c r="U590" s="72"/>
      <x:c r="V590" s="72"/>
      <x:c r="W590" s="72"/>
      <x:c r="X590" s="72"/>
      <x:c r="Y590" s="72"/>
      <x:c r="Z590" s="72"/>
      <x:c r="AA590" s="72"/>
      <x:c r="AB590" s="72"/>
      <x:c r="AC590" s="72"/>
      <x:c r="AD590" s="72"/>
      <x:c r="AE590" s="72"/>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4"/>
      <x:c r="DQ590" s="4"/>
      <x:c r="DR590" s="4"/>
      <x:c r="DS590" s="4"/>
      <x:c r="DT590" s="4"/>
      <x:c r="DU590" s="4"/>
      <x:c r="DV590" s="4"/>
      <x:c r="DW590" s="4"/>
      <x:c r="DX590" s="4"/>
      <x:c r="DY590" s="4"/>
      <x:c r="DZ590" s="4"/>
      <x:c r="EA590" s="4"/>
      <x:c r="EB590" s="4"/>
      <x:c r="EC590" s="4"/>
      <x:c r="ED590" s="4"/>
      <x:c r="EE590" s="4"/>
      <x:c r="EF590" s="4"/>
      <x:c r="EG590" s="4"/>
      <x:c r="EH590" s="4"/>
      <x:c r="EI590" s="4"/>
      <x:c r="EJ590" s="4"/>
      <x:c r="EK590" s="4"/>
      <x:c r="EL590" s="4"/>
      <x:c r="EM590" s="4"/>
      <x:c r="EN590" s="4"/>
      <x:c r="EO590" s="4"/>
      <x:c r="EP590" s="4"/>
      <x:c r="EQ590" s="4"/>
      <x:c r="ER590" s="4"/>
      <x:c r="ES590" s="4"/>
      <x:c r="ET590" s="4"/>
      <x:c r="EU590" s="4"/>
      <x:c r="EV590" s="4"/>
      <x:c r="EW590" s="4"/>
      <x:c r="EX590" s="4"/>
      <x:c r="EY590" s="4"/>
      <x:c r="EZ590" s="4"/>
      <x:c r="FA590" s="4"/>
      <x:c r="FB590" s="4"/>
      <x:c r="FC590" s="4"/>
      <x:c r="FD590" s="4"/>
      <x:c r="FE590" s="4"/>
      <x:c r="FF590" s="4"/>
      <x:c r="FG590" s="4"/>
      <x:c r="FH590" s="4"/>
      <x:c r="FI590" s="4"/>
      <x:c r="FJ590" s="4"/>
      <x:c r="FK590" s="4"/>
      <x:c r="FL590" s="4"/>
      <x:c r="FM590" s="4"/>
      <x:c r="FN590" s="4"/>
      <x:c r="FO590" s="4"/>
    </x:row>
    <x:row r="591">
      <x:c r="A591" s="72"/>
      <x:c r="B591" s="72"/>
      <x:c r="C591" s="72"/>
      <x:c r="D591" s="72"/>
      <x:c r="E591" s="72"/>
      <x:c r="F591" s="72"/>
      <x:c r="G591" s="72"/>
      <x:c r="H591" s="72"/>
      <x:c r="I591" s="72"/>
      <x:c r="J591" s="72"/>
      <x:c r="K591" s="72"/>
      <x:c r="L591" s="72"/>
      <x:c r="M591" s="72"/>
      <x:c r="N591" s="72"/>
      <x:c r="O591" s="72"/>
      <x:c r="P591" s="72"/>
      <x:c r="Q591" s="72"/>
      <x:c r="R591" s="72"/>
      <x:c r="S591" s="72"/>
      <x:c r="T591" s="72"/>
      <x:c r="U591" s="72"/>
      <x:c r="V591" s="72"/>
      <x:c r="W591" s="72"/>
      <x:c r="X591" s="72"/>
      <x:c r="Y591" s="72"/>
      <x:c r="Z591" s="72"/>
      <x:c r="AA591" s="72"/>
      <x:c r="AB591" s="72"/>
      <x:c r="AC591" s="72"/>
      <x:c r="AD591" s="72"/>
      <x:c r="AE591" s="72"/>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4"/>
      <x:c r="DQ591" s="4"/>
      <x:c r="DR591" s="4"/>
      <x:c r="DS591" s="4"/>
      <x:c r="DT591" s="4"/>
      <x:c r="DU591" s="4"/>
      <x:c r="DV591" s="4"/>
      <x:c r="DW591" s="4"/>
      <x:c r="DX591" s="4"/>
      <x:c r="DY591" s="4"/>
      <x:c r="DZ591" s="4"/>
      <x:c r="EA591" s="4"/>
      <x:c r="EB591" s="4"/>
      <x:c r="EC591" s="4"/>
      <x:c r="ED591" s="4"/>
      <x:c r="EE591" s="4"/>
      <x:c r="EF591" s="4"/>
      <x:c r="EG591" s="4"/>
      <x:c r="EH591" s="4"/>
      <x:c r="EI591" s="4"/>
      <x:c r="EJ591" s="4"/>
      <x:c r="EK591" s="4"/>
      <x:c r="EL591" s="4"/>
      <x:c r="EM591" s="4"/>
      <x:c r="EN591" s="4"/>
      <x:c r="EO591" s="4"/>
      <x:c r="EP591" s="4"/>
      <x:c r="EQ591" s="4"/>
      <x:c r="ER591" s="4"/>
      <x:c r="ES591" s="4"/>
      <x:c r="ET591" s="4"/>
      <x:c r="EU591" s="4"/>
      <x:c r="EV591" s="4"/>
      <x:c r="EW591" s="4"/>
      <x:c r="EX591" s="4"/>
      <x:c r="EY591" s="4"/>
      <x:c r="EZ591" s="4"/>
      <x:c r="FA591" s="4"/>
      <x:c r="FB591" s="4"/>
      <x:c r="FC591" s="4"/>
      <x:c r="FD591" s="4"/>
      <x:c r="FE591" s="4"/>
      <x:c r="FF591" s="4"/>
      <x:c r="FG591" s="4"/>
      <x:c r="FH591" s="4"/>
      <x:c r="FI591" s="4"/>
      <x:c r="FJ591" s="4"/>
      <x:c r="FK591" s="4"/>
      <x:c r="FL591" s="4"/>
      <x:c r="FM591" s="4"/>
      <x:c r="FN591" s="4"/>
      <x:c r="FO591" s="4"/>
    </x:row>
    <x:row r="592">
      <x:c r="A592" s="72"/>
      <x:c r="B592" s="72"/>
      <x:c r="C592" s="72"/>
      <x:c r="D592" s="72"/>
      <x:c r="E592" s="72"/>
      <x:c r="F592" s="72"/>
      <x:c r="G592" s="72"/>
      <x:c r="H592" s="72"/>
      <x:c r="I592" s="72"/>
      <x:c r="J592" s="72"/>
      <x:c r="K592" s="72"/>
      <x:c r="L592" s="72"/>
      <x:c r="M592" s="72"/>
      <x:c r="N592" s="72"/>
      <x:c r="O592" s="72"/>
      <x:c r="P592" s="72"/>
      <x:c r="Q592" s="72"/>
      <x:c r="R592" s="72"/>
      <x:c r="S592" s="72"/>
      <x:c r="T592" s="72"/>
      <x:c r="U592" s="72"/>
      <x:c r="V592" s="72"/>
      <x:c r="W592" s="72"/>
      <x:c r="X592" s="72"/>
      <x:c r="Y592" s="72"/>
      <x:c r="Z592" s="72"/>
      <x:c r="AA592" s="72"/>
      <x:c r="AB592" s="72"/>
      <x:c r="AC592" s="72"/>
      <x:c r="AD592" s="72"/>
      <x:c r="AE592" s="72"/>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4"/>
      <x:c r="DQ592" s="4"/>
      <x:c r="DR592" s="4"/>
      <x:c r="DS592" s="4"/>
      <x:c r="DT592" s="4"/>
      <x:c r="DU592" s="4"/>
      <x:c r="DV592" s="4"/>
      <x:c r="DW592" s="4"/>
      <x:c r="DX592" s="4"/>
      <x:c r="DY592" s="4"/>
      <x:c r="DZ592" s="4"/>
      <x:c r="EA592" s="4"/>
      <x:c r="EB592" s="4"/>
      <x:c r="EC592" s="4"/>
      <x:c r="ED592" s="4"/>
      <x:c r="EE592" s="4"/>
      <x:c r="EF592" s="4"/>
      <x:c r="EG592" s="4"/>
      <x:c r="EH592" s="4"/>
      <x:c r="EI592" s="4"/>
      <x:c r="EJ592" s="4"/>
      <x:c r="EK592" s="4"/>
      <x:c r="EL592" s="4"/>
      <x:c r="EM592" s="4"/>
      <x:c r="EN592" s="4"/>
      <x:c r="EO592" s="4"/>
      <x:c r="EP592" s="4"/>
      <x:c r="EQ592" s="4"/>
      <x:c r="ER592" s="4"/>
      <x:c r="ES592" s="4"/>
      <x:c r="ET592" s="4"/>
      <x:c r="EU592" s="4"/>
      <x:c r="EV592" s="4"/>
      <x:c r="EW592" s="4"/>
      <x:c r="EX592" s="4"/>
      <x:c r="EY592" s="4"/>
      <x:c r="EZ592" s="4"/>
      <x:c r="FA592" s="4"/>
      <x:c r="FB592" s="4"/>
      <x:c r="FC592" s="4"/>
      <x:c r="FD592" s="4"/>
      <x:c r="FE592" s="4"/>
      <x:c r="FF592" s="4"/>
      <x:c r="FG592" s="4"/>
      <x:c r="FH592" s="4"/>
      <x:c r="FI592" s="4"/>
      <x:c r="FJ592" s="4"/>
      <x:c r="FK592" s="4"/>
      <x:c r="FL592" s="4"/>
      <x:c r="FM592" s="4"/>
      <x:c r="FN592" s="4"/>
      <x:c r="FO592" s="4"/>
    </x:row>
    <x:row r="593">
      <x:c r="A593" s="72"/>
      <x:c r="B593" s="72"/>
      <x:c r="C593" s="72"/>
      <x:c r="D593" s="72"/>
      <x:c r="E593" s="72"/>
      <x:c r="F593" s="72"/>
      <x:c r="G593" s="72"/>
      <x:c r="H593" s="72"/>
      <x:c r="I593" s="72"/>
      <x:c r="J593" s="72"/>
      <x:c r="K593" s="72"/>
      <x:c r="L593" s="72"/>
      <x:c r="M593" s="72"/>
      <x:c r="N593" s="72"/>
      <x:c r="O593" s="72"/>
      <x:c r="P593" s="72"/>
      <x:c r="Q593" s="72"/>
      <x:c r="R593" s="72"/>
      <x:c r="S593" s="72"/>
      <x:c r="T593" s="72"/>
      <x:c r="U593" s="72"/>
      <x:c r="V593" s="72"/>
      <x:c r="W593" s="72"/>
      <x:c r="X593" s="72"/>
      <x:c r="Y593" s="72"/>
      <x:c r="Z593" s="72"/>
      <x:c r="AA593" s="72"/>
      <x:c r="AB593" s="72"/>
      <x:c r="AC593" s="72"/>
      <x:c r="AD593" s="72"/>
      <x:c r="AE593" s="72"/>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4"/>
      <x:c r="DQ593" s="4"/>
      <x:c r="DR593" s="4"/>
      <x:c r="DS593" s="4"/>
      <x:c r="DT593" s="4"/>
      <x:c r="DU593" s="4"/>
      <x:c r="DV593" s="4"/>
      <x:c r="DW593" s="4"/>
      <x:c r="DX593" s="4"/>
      <x:c r="DY593" s="4"/>
      <x:c r="DZ593" s="4"/>
      <x:c r="EA593" s="4"/>
      <x:c r="EB593" s="4"/>
      <x:c r="EC593" s="4"/>
      <x:c r="ED593" s="4"/>
      <x:c r="EE593" s="4"/>
      <x:c r="EF593" s="4"/>
      <x:c r="EG593" s="4"/>
      <x:c r="EH593" s="4"/>
      <x:c r="EI593" s="4"/>
      <x:c r="EJ593" s="4"/>
      <x:c r="EK593" s="4"/>
      <x:c r="EL593" s="4"/>
      <x:c r="EM593" s="4"/>
      <x:c r="EN593" s="4"/>
      <x:c r="EO593" s="4"/>
      <x:c r="EP593" s="4"/>
      <x:c r="EQ593" s="4"/>
      <x:c r="ER593" s="4"/>
      <x:c r="ES593" s="4"/>
      <x:c r="ET593" s="4"/>
      <x:c r="EU593" s="4"/>
      <x:c r="EV593" s="4"/>
      <x:c r="EW593" s="4"/>
      <x:c r="EX593" s="4"/>
      <x:c r="EY593" s="4"/>
      <x:c r="EZ593" s="4"/>
      <x:c r="FA593" s="4"/>
      <x:c r="FB593" s="4"/>
      <x:c r="FC593" s="4"/>
      <x:c r="FD593" s="4"/>
      <x:c r="FE593" s="4"/>
      <x:c r="FF593" s="4"/>
      <x:c r="FG593" s="4"/>
      <x:c r="FH593" s="4"/>
      <x:c r="FI593" s="4"/>
      <x:c r="FJ593" s="4"/>
      <x:c r="FK593" s="4"/>
      <x:c r="FL593" s="4"/>
      <x:c r="FM593" s="4"/>
      <x:c r="FN593" s="4"/>
      <x:c r="FO593" s="4"/>
    </x:row>
    <x:row r="594">
      <x:c r="A594" s="72"/>
      <x:c r="B594" s="72"/>
      <x:c r="C594" s="72"/>
      <x:c r="D594" s="72"/>
      <x:c r="E594" s="72"/>
      <x:c r="F594" s="72"/>
      <x:c r="G594" s="72"/>
      <x:c r="H594" s="72"/>
      <x:c r="I594" s="72"/>
      <x:c r="J594" s="72"/>
      <x:c r="K594" s="72"/>
      <x:c r="L594" s="72"/>
      <x:c r="M594" s="72"/>
      <x:c r="N594" s="72"/>
      <x:c r="O594" s="72"/>
      <x:c r="P594" s="72"/>
      <x:c r="Q594" s="72"/>
      <x:c r="R594" s="72"/>
      <x:c r="S594" s="72"/>
      <x:c r="T594" s="72"/>
      <x:c r="U594" s="72"/>
      <x:c r="V594" s="72"/>
      <x:c r="W594" s="72"/>
      <x:c r="X594" s="72"/>
      <x:c r="Y594" s="72"/>
      <x:c r="Z594" s="72"/>
      <x:c r="AA594" s="72"/>
      <x:c r="AB594" s="72"/>
      <x:c r="AC594" s="72"/>
      <x:c r="AD594" s="72"/>
      <x:c r="AE594" s="72"/>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4"/>
      <x:c r="DQ594" s="4"/>
      <x:c r="DR594" s="4"/>
      <x:c r="DS594" s="4"/>
      <x:c r="DT594" s="4"/>
      <x:c r="DU594" s="4"/>
      <x:c r="DV594" s="4"/>
      <x:c r="DW594" s="4"/>
      <x:c r="DX594" s="4"/>
      <x:c r="DY594" s="4"/>
      <x:c r="DZ594" s="4"/>
      <x:c r="EA594" s="4"/>
      <x:c r="EB594" s="4"/>
      <x:c r="EC594" s="4"/>
      <x:c r="ED594" s="4"/>
      <x:c r="EE594" s="4"/>
      <x:c r="EF594" s="4"/>
      <x:c r="EG594" s="4"/>
      <x:c r="EH594" s="4"/>
      <x:c r="EI594" s="4"/>
      <x:c r="EJ594" s="4"/>
      <x:c r="EK594" s="4"/>
      <x:c r="EL594" s="4"/>
      <x:c r="EM594" s="4"/>
      <x:c r="EN594" s="4"/>
      <x:c r="EO594" s="4"/>
      <x:c r="EP594" s="4"/>
      <x:c r="EQ594" s="4"/>
      <x:c r="ER594" s="4"/>
      <x:c r="ES594" s="4"/>
      <x:c r="ET594" s="4"/>
      <x:c r="EU594" s="4"/>
      <x:c r="EV594" s="4"/>
      <x:c r="EW594" s="4"/>
      <x:c r="EX594" s="4"/>
      <x:c r="EY594" s="4"/>
      <x:c r="EZ594" s="4"/>
      <x:c r="FA594" s="4"/>
      <x:c r="FB594" s="4"/>
      <x:c r="FC594" s="4"/>
      <x:c r="FD594" s="4"/>
      <x:c r="FE594" s="4"/>
      <x:c r="FF594" s="4"/>
      <x:c r="FG594" s="4"/>
      <x:c r="FH594" s="4"/>
      <x:c r="FI594" s="4"/>
      <x:c r="FJ594" s="4"/>
      <x:c r="FK594" s="4"/>
      <x:c r="FL594" s="4"/>
      <x:c r="FM594" s="4"/>
      <x:c r="FN594" s="4"/>
      <x:c r="FO594" s="4"/>
    </x:row>
    <x:row r="595">
      <x:c r="A595" s="72"/>
      <x:c r="B595" s="72"/>
      <x:c r="C595" s="72"/>
      <x:c r="D595" s="72"/>
      <x:c r="E595" s="72"/>
      <x:c r="F595" s="72"/>
      <x:c r="G595" s="72"/>
      <x:c r="H595" s="72"/>
      <x:c r="I595" s="72"/>
      <x:c r="J595" s="72"/>
      <x:c r="K595" s="72"/>
      <x:c r="L595" s="72"/>
      <x:c r="M595" s="72"/>
      <x:c r="N595" s="72"/>
      <x:c r="O595" s="72"/>
      <x:c r="P595" s="72"/>
      <x:c r="Q595" s="72"/>
      <x:c r="R595" s="72"/>
      <x:c r="S595" s="72"/>
      <x:c r="T595" s="72"/>
      <x:c r="U595" s="72"/>
      <x:c r="V595" s="72"/>
      <x:c r="W595" s="72"/>
      <x:c r="X595" s="72"/>
      <x:c r="Y595" s="72"/>
      <x:c r="Z595" s="72"/>
      <x:c r="AA595" s="72"/>
      <x:c r="AB595" s="72"/>
      <x:c r="AC595" s="72"/>
      <x:c r="AD595" s="72"/>
      <x:c r="AE595" s="72"/>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4"/>
      <x:c r="DQ595" s="4"/>
      <x:c r="DR595" s="4"/>
      <x:c r="DS595" s="4"/>
      <x:c r="DT595" s="4"/>
      <x:c r="DU595" s="4"/>
      <x:c r="DV595" s="4"/>
      <x:c r="DW595" s="4"/>
      <x:c r="DX595" s="4"/>
      <x:c r="DY595" s="4"/>
      <x:c r="DZ595" s="4"/>
      <x:c r="EA595" s="4"/>
      <x:c r="EB595" s="4"/>
      <x:c r="EC595" s="4"/>
      <x:c r="ED595" s="4"/>
      <x:c r="EE595" s="4"/>
      <x:c r="EF595" s="4"/>
      <x:c r="EG595" s="4"/>
      <x:c r="EH595" s="4"/>
      <x:c r="EI595" s="4"/>
      <x:c r="EJ595" s="4"/>
      <x:c r="EK595" s="4"/>
      <x:c r="EL595" s="4"/>
      <x:c r="EM595" s="4"/>
      <x:c r="EN595" s="4"/>
      <x:c r="EO595" s="4"/>
      <x:c r="EP595" s="4"/>
      <x:c r="EQ595" s="4"/>
      <x:c r="ER595" s="4"/>
      <x:c r="ES595" s="4"/>
      <x:c r="ET595" s="4"/>
      <x:c r="EU595" s="4"/>
      <x:c r="EV595" s="4"/>
      <x:c r="EW595" s="4"/>
      <x:c r="EX595" s="4"/>
      <x:c r="EY595" s="4"/>
      <x:c r="EZ595" s="4"/>
      <x:c r="FA595" s="4"/>
      <x:c r="FB595" s="4"/>
      <x:c r="FC595" s="4"/>
      <x:c r="FD595" s="4"/>
      <x:c r="FE595" s="4"/>
      <x:c r="FF595" s="4"/>
      <x:c r="FG595" s="4"/>
      <x:c r="FH595" s="4"/>
      <x:c r="FI595" s="4"/>
      <x:c r="FJ595" s="4"/>
      <x:c r="FK595" s="4"/>
      <x:c r="FL595" s="4"/>
      <x:c r="FM595" s="4"/>
      <x:c r="FN595" s="4"/>
      <x:c r="FO595" s="4"/>
    </x:row>
    <x:row r="596">
      <x:c r="A596" s="72"/>
      <x:c r="B596" s="72"/>
      <x:c r="C596" s="72"/>
      <x:c r="D596" s="72"/>
      <x:c r="E596" s="72"/>
      <x:c r="F596" s="72"/>
      <x:c r="G596" s="72"/>
      <x:c r="H596" s="72"/>
      <x:c r="I596" s="72"/>
      <x:c r="J596" s="72"/>
      <x:c r="K596" s="72"/>
      <x:c r="L596" s="72"/>
      <x:c r="M596" s="72"/>
      <x:c r="N596" s="72"/>
      <x:c r="O596" s="72"/>
      <x:c r="P596" s="72"/>
      <x:c r="Q596" s="72"/>
      <x:c r="R596" s="72"/>
      <x:c r="S596" s="72"/>
      <x:c r="T596" s="72"/>
      <x:c r="U596" s="72"/>
      <x:c r="V596" s="72"/>
      <x:c r="W596" s="72"/>
      <x:c r="X596" s="72"/>
      <x:c r="Y596" s="72"/>
      <x:c r="Z596" s="72"/>
      <x:c r="AA596" s="72"/>
      <x:c r="AB596" s="72"/>
      <x:c r="AC596" s="72"/>
      <x:c r="AD596" s="72"/>
      <x:c r="AE596" s="72"/>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4"/>
      <x:c r="DQ596" s="4"/>
      <x:c r="DR596" s="4"/>
      <x:c r="DS596" s="4"/>
      <x:c r="DT596" s="4"/>
      <x:c r="DU596" s="4"/>
      <x:c r="DV596" s="4"/>
      <x:c r="DW596" s="4"/>
      <x:c r="DX596" s="4"/>
      <x:c r="DY596" s="4"/>
      <x:c r="DZ596" s="4"/>
      <x:c r="EA596" s="4"/>
      <x:c r="EB596" s="4"/>
      <x:c r="EC596" s="4"/>
      <x:c r="ED596" s="4"/>
      <x:c r="EE596" s="4"/>
      <x:c r="EF596" s="4"/>
      <x:c r="EG596" s="4"/>
      <x:c r="EH596" s="4"/>
      <x:c r="EI596" s="4"/>
      <x:c r="EJ596" s="4"/>
      <x:c r="EK596" s="4"/>
      <x:c r="EL596" s="4"/>
      <x:c r="EM596" s="4"/>
      <x:c r="EN596" s="4"/>
      <x:c r="EO596" s="4"/>
      <x:c r="EP596" s="4"/>
      <x:c r="EQ596" s="4"/>
      <x:c r="ER596" s="4"/>
      <x:c r="ES596" s="4"/>
      <x:c r="ET596" s="4"/>
      <x:c r="EU596" s="4"/>
      <x:c r="EV596" s="4"/>
      <x:c r="EW596" s="4"/>
      <x:c r="EX596" s="4"/>
      <x:c r="EY596" s="4"/>
      <x:c r="EZ596" s="4"/>
      <x:c r="FA596" s="4"/>
      <x:c r="FB596" s="4"/>
      <x:c r="FC596" s="4"/>
      <x:c r="FD596" s="4"/>
      <x:c r="FE596" s="4"/>
      <x:c r="FF596" s="4"/>
      <x:c r="FG596" s="4"/>
      <x:c r="FH596" s="4"/>
      <x:c r="FI596" s="4"/>
      <x:c r="FJ596" s="4"/>
      <x:c r="FK596" s="4"/>
      <x:c r="FL596" s="4"/>
      <x:c r="FM596" s="4"/>
      <x:c r="FN596" s="4"/>
      <x:c r="FO596" s="4"/>
    </x:row>
    <x:row r="597">
      <x:c r="A597" s="72"/>
      <x:c r="B597" s="72"/>
      <x:c r="C597" s="72"/>
      <x:c r="D597" s="72"/>
      <x:c r="E597" s="72"/>
      <x:c r="F597" s="72"/>
      <x:c r="G597" s="72"/>
      <x:c r="H597" s="72"/>
      <x:c r="I597" s="72"/>
      <x:c r="J597" s="72"/>
      <x:c r="K597" s="72"/>
      <x:c r="L597" s="72"/>
      <x:c r="M597" s="72"/>
      <x:c r="N597" s="72"/>
      <x:c r="O597" s="72"/>
      <x:c r="P597" s="72"/>
      <x:c r="Q597" s="72"/>
      <x:c r="R597" s="72"/>
      <x:c r="S597" s="72"/>
      <x:c r="T597" s="72"/>
      <x:c r="U597" s="72"/>
      <x:c r="V597" s="72"/>
      <x:c r="W597" s="72"/>
      <x:c r="X597" s="72"/>
      <x:c r="Y597" s="72"/>
      <x:c r="Z597" s="72"/>
      <x:c r="AA597" s="72"/>
      <x:c r="AB597" s="72"/>
      <x:c r="AC597" s="72"/>
      <x:c r="AD597" s="72"/>
      <x:c r="AE597" s="72"/>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4"/>
      <x:c r="DQ597" s="4"/>
      <x:c r="DR597" s="4"/>
      <x:c r="DS597" s="4"/>
      <x:c r="DT597" s="4"/>
      <x:c r="DU597" s="4"/>
      <x:c r="DV597" s="4"/>
      <x:c r="DW597" s="4"/>
      <x:c r="DX597" s="4"/>
      <x:c r="DY597" s="4"/>
      <x:c r="DZ597" s="4"/>
      <x:c r="EA597" s="4"/>
      <x:c r="EB597" s="4"/>
      <x:c r="EC597" s="4"/>
      <x:c r="ED597" s="4"/>
      <x:c r="EE597" s="4"/>
      <x:c r="EF597" s="4"/>
      <x:c r="EG597" s="4"/>
      <x:c r="EH597" s="4"/>
      <x:c r="EI597" s="4"/>
      <x:c r="EJ597" s="4"/>
      <x:c r="EK597" s="4"/>
      <x:c r="EL597" s="4"/>
      <x:c r="EM597" s="4"/>
      <x:c r="EN597" s="4"/>
      <x:c r="EO597" s="4"/>
      <x:c r="EP597" s="4"/>
      <x:c r="EQ597" s="4"/>
      <x:c r="ER597" s="4"/>
      <x:c r="ES597" s="4"/>
      <x:c r="ET597" s="4"/>
      <x:c r="EU597" s="4"/>
      <x:c r="EV597" s="4"/>
      <x:c r="EW597" s="4"/>
      <x:c r="EX597" s="4"/>
      <x:c r="EY597" s="4"/>
      <x:c r="EZ597" s="4"/>
      <x:c r="FA597" s="4"/>
      <x:c r="FB597" s="4"/>
      <x:c r="FC597" s="4"/>
      <x:c r="FD597" s="4"/>
      <x:c r="FE597" s="4"/>
      <x:c r="FF597" s="4"/>
      <x:c r="FG597" s="4"/>
      <x:c r="FH597" s="4"/>
      <x:c r="FI597" s="4"/>
      <x:c r="FJ597" s="4"/>
      <x:c r="FK597" s="4"/>
      <x:c r="FL597" s="4"/>
      <x:c r="FM597" s="4"/>
      <x:c r="FN597" s="4"/>
      <x:c r="FO597" s="4"/>
    </x:row>
    <x:row r="598">
      <x:c r="A598" s="72"/>
      <x:c r="B598" s="72"/>
      <x:c r="C598" s="72"/>
      <x:c r="D598" s="72"/>
      <x:c r="E598" s="72"/>
      <x:c r="F598" s="72"/>
      <x:c r="G598" s="72"/>
      <x:c r="H598" s="72"/>
      <x:c r="I598" s="72"/>
      <x:c r="J598" s="72"/>
      <x:c r="K598" s="72"/>
      <x:c r="L598" s="72"/>
      <x:c r="M598" s="72"/>
      <x:c r="N598" s="72"/>
      <x:c r="O598" s="72"/>
      <x:c r="P598" s="72"/>
      <x:c r="Q598" s="72"/>
      <x:c r="R598" s="72"/>
      <x:c r="S598" s="72"/>
      <x:c r="T598" s="72"/>
      <x:c r="U598" s="72"/>
      <x:c r="V598" s="72"/>
      <x:c r="W598" s="72"/>
      <x:c r="X598" s="72"/>
      <x:c r="Y598" s="72"/>
      <x:c r="Z598" s="72"/>
      <x:c r="AA598" s="72"/>
      <x:c r="AB598" s="72"/>
      <x:c r="AC598" s="72"/>
      <x:c r="AD598" s="72"/>
      <x:c r="AE598" s="72"/>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4"/>
      <x:c r="DQ598" s="4"/>
      <x:c r="DR598" s="4"/>
      <x:c r="DS598" s="4"/>
      <x:c r="DT598" s="4"/>
      <x:c r="DU598" s="4"/>
      <x:c r="DV598" s="4"/>
      <x:c r="DW598" s="4"/>
      <x:c r="DX598" s="4"/>
      <x:c r="DY598" s="4"/>
      <x:c r="DZ598" s="4"/>
      <x:c r="EA598" s="4"/>
      <x:c r="EB598" s="4"/>
      <x:c r="EC598" s="4"/>
      <x:c r="ED598" s="4"/>
      <x:c r="EE598" s="4"/>
      <x:c r="EF598" s="4"/>
      <x:c r="EG598" s="4"/>
      <x:c r="EH598" s="4"/>
      <x:c r="EI598" s="4"/>
      <x:c r="EJ598" s="4"/>
      <x:c r="EK598" s="4"/>
      <x:c r="EL598" s="4"/>
      <x:c r="EM598" s="4"/>
      <x:c r="EN598" s="4"/>
      <x:c r="EO598" s="4"/>
      <x:c r="EP598" s="4"/>
      <x:c r="EQ598" s="4"/>
      <x:c r="ER598" s="4"/>
      <x:c r="ES598" s="4"/>
      <x:c r="ET598" s="4"/>
      <x:c r="EU598" s="4"/>
      <x:c r="EV598" s="4"/>
      <x:c r="EW598" s="4"/>
      <x:c r="EX598" s="4"/>
      <x:c r="EY598" s="4"/>
      <x:c r="EZ598" s="4"/>
      <x:c r="FA598" s="4"/>
      <x:c r="FB598" s="4"/>
      <x:c r="FC598" s="4"/>
      <x:c r="FD598" s="4"/>
      <x:c r="FE598" s="4"/>
      <x:c r="FF598" s="4"/>
      <x:c r="FG598" s="4"/>
      <x:c r="FH598" s="4"/>
      <x:c r="FI598" s="4"/>
      <x:c r="FJ598" s="4"/>
      <x:c r="FK598" s="4"/>
      <x:c r="FL598" s="4"/>
      <x:c r="FM598" s="4"/>
      <x:c r="FN598" s="4"/>
      <x:c r="FO598" s="4"/>
    </x:row>
    <x:row r="599">
      <x:c r="A599" s="72"/>
      <x:c r="B599" s="72"/>
      <x:c r="C599" s="72"/>
      <x:c r="D599" s="72"/>
      <x:c r="E599" s="72"/>
      <x:c r="F599" s="72"/>
      <x:c r="G599" s="72"/>
      <x:c r="H599" s="72"/>
      <x:c r="I599" s="72"/>
      <x:c r="J599" s="72"/>
      <x:c r="K599" s="72"/>
      <x:c r="L599" s="72"/>
      <x:c r="M599" s="72"/>
      <x:c r="N599" s="72"/>
      <x:c r="O599" s="72"/>
      <x:c r="P599" s="72"/>
      <x:c r="Q599" s="72"/>
      <x:c r="R599" s="72"/>
      <x:c r="S599" s="72"/>
      <x:c r="T599" s="72"/>
      <x:c r="U599" s="72"/>
      <x:c r="V599" s="72"/>
      <x:c r="W599" s="72"/>
      <x:c r="X599" s="72"/>
      <x:c r="Y599" s="72"/>
      <x:c r="Z599" s="72"/>
      <x:c r="AA599" s="72"/>
      <x:c r="AB599" s="72"/>
      <x:c r="AC599" s="72"/>
      <x:c r="AD599" s="72"/>
      <x:c r="AE599" s="72"/>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4"/>
      <x:c r="DQ599" s="4"/>
      <x:c r="DR599" s="4"/>
      <x:c r="DS599" s="4"/>
      <x:c r="DT599" s="4"/>
      <x:c r="DU599" s="4"/>
      <x:c r="DV599" s="4"/>
      <x:c r="DW599" s="4"/>
      <x:c r="DX599" s="4"/>
      <x:c r="DY599" s="4"/>
      <x:c r="DZ599" s="4"/>
      <x:c r="EA599" s="4"/>
      <x:c r="EB599" s="4"/>
      <x:c r="EC599" s="4"/>
      <x:c r="ED599" s="4"/>
      <x:c r="EE599" s="4"/>
      <x:c r="EF599" s="4"/>
      <x:c r="EG599" s="4"/>
      <x:c r="EH599" s="4"/>
      <x:c r="EI599" s="4"/>
      <x:c r="EJ599" s="4"/>
      <x:c r="EK599" s="4"/>
      <x:c r="EL599" s="4"/>
      <x:c r="EM599" s="4"/>
      <x:c r="EN599" s="4"/>
      <x:c r="EO599" s="4"/>
      <x:c r="EP599" s="4"/>
      <x:c r="EQ599" s="4"/>
      <x:c r="ER599" s="4"/>
      <x:c r="ES599" s="4"/>
      <x:c r="ET599" s="4"/>
      <x:c r="EU599" s="4"/>
      <x:c r="EV599" s="4"/>
      <x:c r="EW599" s="4"/>
      <x:c r="EX599" s="4"/>
      <x:c r="EY599" s="4"/>
      <x:c r="EZ599" s="4"/>
      <x:c r="FA599" s="4"/>
      <x:c r="FB599" s="4"/>
      <x:c r="FC599" s="4"/>
      <x:c r="FD599" s="4"/>
      <x:c r="FE599" s="4"/>
      <x:c r="FF599" s="4"/>
      <x:c r="FG599" s="4"/>
      <x:c r="FH599" s="4"/>
      <x:c r="FI599" s="4"/>
      <x:c r="FJ599" s="4"/>
      <x:c r="FK599" s="4"/>
      <x:c r="FL599" s="4"/>
      <x:c r="FM599" s="4"/>
      <x:c r="FN599" s="4"/>
      <x:c r="FO599" s="4"/>
    </x:row>
    <x:row r="600">
      <x:c r="A600" s="72"/>
      <x:c r="B600" s="72"/>
      <x:c r="C600" s="72"/>
      <x:c r="D600" s="72"/>
      <x:c r="E600" s="72"/>
      <x:c r="F600" s="72"/>
      <x:c r="G600" s="72"/>
      <x:c r="H600" s="72"/>
      <x:c r="I600" s="72"/>
      <x:c r="J600" s="72"/>
      <x:c r="K600" s="72"/>
      <x:c r="L600" s="72"/>
      <x:c r="M600" s="72"/>
      <x:c r="N600" s="72"/>
      <x:c r="O600" s="72"/>
      <x:c r="P600" s="72"/>
      <x:c r="Q600" s="72"/>
      <x:c r="R600" s="72"/>
      <x:c r="S600" s="72"/>
      <x:c r="T600" s="72"/>
      <x:c r="U600" s="72"/>
      <x:c r="V600" s="72"/>
      <x:c r="W600" s="72"/>
      <x:c r="X600" s="72"/>
      <x:c r="Y600" s="72"/>
      <x:c r="Z600" s="72"/>
      <x:c r="AA600" s="72"/>
      <x:c r="AB600" s="72"/>
      <x:c r="AC600" s="72"/>
      <x:c r="AD600" s="72"/>
      <x:c r="AE600" s="72"/>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4"/>
      <x:c r="DQ600" s="4"/>
      <x:c r="DR600" s="4"/>
      <x:c r="DS600" s="4"/>
      <x:c r="DT600" s="4"/>
      <x:c r="DU600" s="4"/>
      <x:c r="DV600" s="4"/>
      <x:c r="DW600" s="4"/>
      <x:c r="DX600" s="4"/>
      <x:c r="DY600" s="4"/>
      <x:c r="DZ600" s="4"/>
      <x:c r="EA600" s="4"/>
      <x:c r="EB600" s="4"/>
      <x:c r="EC600" s="4"/>
      <x:c r="ED600" s="4"/>
      <x:c r="EE600" s="4"/>
      <x:c r="EF600" s="4"/>
      <x:c r="EG600" s="4"/>
      <x:c r="EH600" s="4"/>
      <x:c r="EI600" s="4"/>
      <x:c r="EJ600" s="4"/>
      <x:c r="EK600" s="4"/>
      <x:c r="EL600" s="4"/>
      <x:c r="EM600" s="4"/>
      <x:c r="EN600" s="4"/>
      <x:c r="EO600" s="4"/>
      <x:c r="EP600" s="4"/>
      <x:c r="EQ600" s="4"/>
      <x:c r="ER600" s="4"/>
      <x:c r="ES600" s="4"/>
      <x:c r="ET600" s="4"/>
      <x:c r="EU600" s="4"/>
      <x:c r="EV600" s="4"/>
      <x:c r="EW600" s="4"/>
      <x:c r="EX600" s="4"/>
      <x:c r="EY600" s="4"/>
      <x:c r="EZ600" s="4"/>
      <x:c r="FA600" s="4"/>
      <x:c r="FB600" s="4"/>
      <x:c r="FC600" s="4"/>
      <x:c r="FD600" s="4"/>
      <x:c r="FE600" s="4"/>
      <x:c r="FF600" s="4"/>
      <x:c r="FG600" s="4"/>
      <x:c r="FH600" s="4"/>
      <x:c r="FI600" s="4"/>
      <x:c r="FJ600" s="4"/>
      <x:c r="FK600" s="4"/>
      <x:c r="FL600" s="4"/>
      <x:c r="FM600" s="4"/>
      <x:c r="FN600" s="4"/>
      <x:c r="FO600" s="4"/>
    </x:row>
    <x:row r="601">
      <x:c r="A601" s="72"/>
      <x:c r="B601" s="72"/>
      <x:c r="C601" s="72"/>
      <x:c r="D601" s="72"/>
      <x:c r="E601" s="72"/>
      <x:c r="F601" s="72"/>
      <x:c r="G601" s="72"/>
      <x:c r="H601" s="72"/>
      <x:c r="I601" s="72"/>
      <x:c r="J601" s="72"/>
      <x:c r="K601" s="72"/>
      <x:c r="L601" s="72"/>
      <x:c r="M601" s="72"/>
      <x:c r="N601" s="72"/>
      <x:c r="O601" s="72"/>
      <x:c r="P601" s="72"/>
      <x:c r="Q601" s="72"/>
      <x:c r="R601" s="72"/>
      <x:c r="S601" s="72"/>
      <x:c r="T601" s="72"/>
      <x:c r="U601" s="72"/>
      <x:c r="V601" s="72"/>
      <x:c r="W601" s="72"/>
      <x:c r="X601" s="72"/>
      <x:c r="Y601" s="72"/>
      <x:c r="Z601" s="72"/>
      <x:c r="AA601" s="72"/>
      <x:c r="AB601" s="72"/>
      <x:c r="AC601" s="72"/>
      <x:c r="AD601" s="72"/>
      <x:c r="AE601" s="72"/>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4"/>
      <x:c r="DQ601" s="4"/>
      <x:c r="DR601" s="4"/>
      <x:c r="DS601" s="4"/>
      <x:c r="DT601" s="4"/>
      <x:c r="DU601" s="4"/>
      <x:c r="DV601" s="4"/>
      <x:c r="DW601" s="4"/>
      <x:c r="DX601" s="4"/>
      <x:c r="DY601" s="4"/>
      <x:c r="DZ601" s="4"/>
      <x:c r="EA601" s="4"/>
      <x:c r="EB601" s="4"/>
      <x:c r="EC601" s="4"/>
      <x:c r="ED601" s="4"/>
      <x:c r="EE601" s="4"/>
      <x:c r="EF601" s="4"/>
      <x:c r="EG601" s="4"/>
      <x:c r="EH601" s="4"/>
      <x:c r="EI601" s="4"/>
      <x:c r="EJ601" s="4"/>
      <x:c r="EK601" s="4"/>
      <x:c r="EL601" s="4"/>
      <x:c r="EM601" s="4"/>
      <x:c r="EN601" s="4"/>
      <x:c r="EO601" s="4"/>
      <x:c r="EP601" s="4"/>
      <x:c r="EQ601" s="4"/>
      <x:c r="ER601" s="4"/>
      <x:c r="ES601" s="4"/>
      <x:c r="ET601" s="4"/>
      <x:c r="EU601" s="4"/>
      <x:c r="EV601" s="4"/>
      <x:c r="EW601" s="4"/>
      <x:c r="EX601" s="4"/>
      <x:c r="EY601" s="4"/>
      <x:c r="EZ601" s="4"/>
      <x:c r="FA601" s="4"/>
      <x:c r="FB601" s="4"/>
      <x:c r="FC601" s="4"/>
      <x:c r="FD601" s="4"/>
      <x:c r="FE601" s="4"/>
      <x:c r="FF601" s="4"/>
      <x:c r="FG601" s="4"/>
      <x:c r="FH601" s="4"/>
      <x:c r="FI601" s="4"/>
      <x:c r="FJ601" s="4"/>
      <x:c r="FK601" s="4"/>
      <x:c r="FL601" s="4"/>
      <x:c r="FM601" s="4"/>
      <x:c r="FN601" s="4"/>
      <x:c r="FO601" s="4"/>
    </x:row>
    <x:row r="602">
      <x:c r="A602" s="72"/>
      <x:c r="B602" s="72"/>
      <x:c r="C602" s="72"/>
      <x:c r="D602" s="72"/>
      <x:c r="E602" s="72"/>
      <x:c r="F602" s="72"/>
      <x:c r="G602" s="72"/>
      <x:c r="H602" s="72"/>
      <x:c r="I602" s="72"/>
      <x:c r="J602" s="72"/>
      <x:c r="K602" s="72"/>
      <x:c r="L602" s="72"/>
      <x:c r="M602" s="72"/>
      <x:c r="N602" s="72"/>
      <x:c r="O602" s="72"/>
      <x:c r="P602" s="72"/>
      <x:c r="Q602" s="72"/>
      <x:c r="R602" s="72"/>
      <x:c r="S602" s="72"/>
      <x:c r="T602" s="72"/>
      <x:c r="U602" s="72"/>
      <x:c r="V602" s="72"/>
      <x:c r="W602" s="72"/>
      <x:c r="X602" s="72"/>
      <x:c r="Y602" s="72"/>
      <x:c r="Z602" s="72"/>
      <x:c r="AA602" s="72"/>
      <x:c r="AB602" s="72"/>
      <x:c r="AC602" s="72"/>
      <x:c r="AD602" s="72"/>
      <x:c r="AE602" s="72"/>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4"/>
      <x:c r="DQ602" s="4"/>
      <x:c r="DR602" s="4"/>
      <x:c r="DS602" s="4"/>
      <x:c r="DT602" s="4"/>
      <x:c r="DU602" s="4"/>
      <x:c r="DV602" s="4"/>
      <x:c r="DW602" s="4"/>
      <x:c r="DX602" s="4"/>
      <x:c r="DY602" s="4"/>
      <x:c r="DZ602" s="4"/>
      <x:c r="EA602" s="4"/>
      <x:c r="EB602" s="4"/>
      <x:c r="EC602" s="4"/>
      <x:c r="ED602" s="4"/>
      <x:c r="EE602" s="4"/>
      <x:c r="EF602" s="4"/>
      <x:c r="EG602" s="4"/>
      <x:c r="EH602" s="4"/>
      <x:c r="EI602" s="4"/>
      <x:c r="EJ602" s="4"/>
      <x:c r="EK602" s="4"/>
      <x:c r="EL602" s="4"/>
      <x:c r="EM602" s="4"/>
      <x:c r="EN602" s="4"/>
      <x:c r="EO602" s="4"/>
      <x:c r="EP602" s="4"/>
      <x:c r="EQ602" s="4"/>
      <x:c r="ER602" s="4"/>
      <x:c r="ES602" s="4"/>
      <x:c r="ET602" s="4"/>
      <x:c r="EU602" s="4"/>
      <x:c r="EV602" s="4"/>
      <x:c r="EW602" s="4"/>
      <x:c r="EX602" s="4"/>
      <x:c r="EY602" s="4"/>
      <x:c r="EZ602" s="4"/>
      <x:c r="FA602" s="4"/>
      <x:c r="FB602" s="4"/>
      <x:c r="FC602" s="4"/>
      <x:c r="FD602" s="4"/>
      <x:c r="FE602" s="4"/>
      <x:c r="FF602" s="4"/>
      <x:c r="FG602" s="4"/>
      <x:c r="FH602" s="4"/>
      <x:c r="FI602" s="4"/>
      <x:c r="FJ602" s="4"/>
      <x:c r="FK602" s="4"/>
      <x:c r="FL602" s="4"/>
      <x:c r="FM602" s="4"/>
      <x:c r="FN602" s="4"/>
      <x:c r="FO602" s="4"/>
    </x:row>
    <x:row r="603">
      <x:c r="A603" s="72"/>
      <x:c r="B603" s="72"/>
      <x:c r="C603" s="72"/>
      <x:c r="D603" s="72"/>
      <x:c r="E603" s="72"/>
      <x:c r="F603" s="72"/>
      <x:c r="G603" s="72"/>
      <x:c r="H603" s="72"/>
      <x:c r="I603" s="72"/>
      <x:c r="J603" s="72"/>
      <x:c r="K603" s="72"/>
      <x:c r="L603" s="72"/>
      <x:c r="M603" s="72"/>
      <x:c r="N603" s="72"/>
      <x:c r="O603" s="72"/>
      <x:c r="P603" s="72"/>
      <x:c r="Q603" s="72"/>
      <x:c r="R603" s="72"/>
      <x:c r="S603" s="72"/>
      <x:c r="T603" s="72"/>
      <x:c r="U603" s="72"/>
      <x:c r="V603" s="72"/>
      <x:c r="W603" s="72"/>
      <x:c r="X603" s="72"/>
      <x:c r="Y603" s="72"/>
      <x:c r="Z603" s="72"/>
      <x:c r="AA603" s="72"/>
      <x:c r="AB603" s="72"/>
      <x:c r="AC603" s="72"/>
      <x:c r="AD603" s="72"/>
      <x:c r="AE603" s="72"/>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4"/>
      <x:c r="DQ603" s="4"/>
      <x:c r="DR603" s="4"/>
      <x:c r="DS603" s="4"/>
      <x:c r="DT603" s="4"/>
      <x:c r="DU603" s="4"/>
      <x:c r="DV603" s="4"/>
      <x:c r="DW603" s="4"/>
      <x:c r="DX603" s="4"/>
      <x:c r="DY603" s="4"/>
      <x:c r="DZ603" s="4"/>
      <x:c r="EA603" s="4"/>
      <x:c r="EB603" s="4"/>
      <x:c r="EC603" s="4"/>
      <x:c r="ED603" s="4"/>
      <x:c r="EE603" s="4"/>
      <x:c r="EF603" s="4"/>
      <x:c r="EG603" s="4"/>
      <x:c r="EH603" s="4"/>
      <x:c r="EI603" s="4"/>
      <x:c r="EJ603" s="4"/>
      <x:c r="EK603" s="4"/>
      <x:c r="EL603" s="4"/>
      <x:c r="EM603" s="4"/>
      <x:c r="EN603" s="4"/>
      <x:c r="EO603" s="4"/>
      <x:c r="EP603" s="4"/>
      <x:c r="EQ603" s="4"/>
      <x:c r="ER603" s="4"/>
      <x:c r="ES603" s="4"/>
      <x:c r="ET603" s="4"/>
      <x:c r="EU603" s="4"/>
      <x:c r="EV603" s="4"/>
      <x:c r="EW603" s="4"/>
      <x:c r="EX603" s="4"/>
      <x:c r="EY603" s="4"/>
      <x:c r="EZ603" s="4"/>
      <x:c r="FA603" s="4"/>
      <x:c r="FB603" s="4"/>
      <x:c r="FC603" s="4"/>
      <x:c r="FD603" s="4"/>
      <x:c r="FE603" s="4"/>
      <x:c r="FF603" s="4"/>
      <x:c r="FG603" s="4"/>
      <x:c r="FH603" s="4"/>
      <x:c r="FI603" s="4"/>
      <x:c r="FJ603" s="4"/>
      <x:c r="FK603" s="4"/>
      <x:c r="FL603" s="4"/>
      <x:c r="FM603" s="4"/>
      <x:c r="FN603" s="4"/>
      <x:c r="FO603" s="4"/>
    </x:row>
    <x:row r="604">
      <x:c r="A604" s="72"/>
      <x:c r="B604" s="72"/>
      <x:c r="C604" s="72"/>
      <x:c r="D604" s="72"/>
      <x:c r="E604" s="72"/>
      <x:c r="F604" s="72"/>
      <x:c r="G604" s="72"/>
      <x:c r="H604" s="72"/>
      <x:c r="I604" s="72"/>
      <x:c r="J604" s="72"/>
      <x:c r="K604" s="72"/>
      <x:c r="L604" s="72"/>
      <x:c r="M604" s="72"/>
      <x:c r="N604" s="72"/>
      <x:c r="O604" s="72"/>
      <x:c r="P604" s="72"/>
      <x:c r="Q604" s="72"/>
      <x:c r="R604" s="72"/>
      <x:c r="S604" s="72"/>
      <x:c r="T604" s="72"/>
      <x:c r="U604" s="72"/>
      <x:c r="V604" s="72"/>
      <x:c r="W604" s="72"/>
      <x:c r="X604" s="72"/>
      <x:c r="Y604" s="72"/>
      <x:c r="Z604" s="72"/>
      <x:c r="AA604" s="72"/>
      <x:c r="AB604" s="72"/>
      <x:c r="AC604" s="72"/>
      <x:c r="AD604" s="72"/>
      <x:c r="AE604" s="72"/>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4"/>
      <x:c r="DQ604" s="4"/>
      <x:c r="DR604" s="4"/>
      <x:c r="DS604" s="4"/>
      <x:c r="DT604" s="4"/>
      <x:c r="DU604" s="4"/>
      <x:c r="DV604" s="4"/>
      <x:c r="DW604" s="4"/>
      <x:c r="DX604" s="4"/>
      <x:c r="DY604" s="4"/>
      <x:c r="DZ604" s="4"/>
      <x:c r="EA604" s="4"/>
      <x:c r="EB604" s="4"/>
      <x:c r="EC604" s="4"/>
      <x:c r="ED604" s="4"/>
      <x:c r="EE604" s="4"/>
      <x:c r="EF604" s="4"/>
      <x:c r="EG604" s="4"/>
      <x:c r="EH604" s="4"/>
      <x:c r="EI604" s="4"/>
      <x:c r="EJ604" s="4"/>
      <x:c r="EK604" s="4"/>
      <x:c r="EL604" s="4"/>
      <x:c r="EM604" s="4"/>
      <x:c r="EN604" s="4"/>
      <x:c r="EO604" s="4"/>
      <x:c r="EP604" s="4"/>
      <x:c r="EQ604" s="4"/>
      <x:c r="ER604" s="4"/>
      <x:c r="ES604" s="4"/>
      <x:c r="ET604" s="4"/>
      <x:c r="EU604" s="4"/>
      <x:c r="EV604" s="4"/>
      <x:c r="EW604" s="4"/>
      <x:c r="EX604" s="4"/>
      <x:c r="EY604" s="4"/>
      <x:c r="EZ604" s="4"/>
      <x:c r="FA604" s="4"/>
      <x:c r="FB604" s="4"/>
      <x:c r="FC604" s="4"/>
      <x:c r="FD604" s="4"/>
      <x:c r="FE604" s="4"/>
      <x:c r="FF604" s="4"/>
      <x:c r="FG604" s="4"/>
      <x:c r="FH604" s="4"/>
      <x:c r="FI604" s="4"/>
      <x:c r="FJ604" s="4"/>
      <x:c r="FK604" s="4"/>
      <x:c r="FL604" s="4"/>
      <x:c r="FM604" s="4"/>
      <x:c r="FN604" s="4"/>
      <x:c r="FO604" s="4"/>
    </x:row>
    <x:row r="605">
      <x:c r="A605" s="72"/>
      <x:c r="B605" s="72"/>
      <x:c r="C605" s="72"/>
      <x:c r="D605" s="72"/>
      <x:c r="E605" s="72"/>
      <x:c r="F605" s="72"/>
      <x:c r="G605" s="72"/>
      <x:c r="H605" s="72"/>
      <x:c r="I605" s="72"/>
      <x:c r="J605" s="72"/>
      <x:c r="K605" s="72"/>
      <x:c r="L605" s="72"/>
      <x:c r="M605" s="72"/>
      <x:c r="N605" s="72"/>
      <x:c r="O605" s="72"/>
      <x:c r="P605" s="72"/>
      <x:c r="Q605" s="72"/>
      <x:c r="R605" s="72"/>
      <x:c r="S605" s="72"/>
      <x:c r="T605" s="72"/>
      <x:c r="U605" s="72"/>
      <x:c r="V605" s="72"/>
      <x:c r="W605" s="72"/>
      <x:c r="X605" s="72"/>
      <x:c r="Y605" s="72"/>
      <x:c r="Z605" s="72"/>
      <x:c r="AA605" s="72"/>
      <x:c r="AB605" s="72"/>
      <x:c r="AC605" s="72"/>
      <x:c r="AD605" s="72"/>
      <x:c r="AE605" s="72"/>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4"/>
      <x:c r="DQ605" s="4"/>
      <x:c r="DR605" s="4"/>
      <x:c r="DS605" s="4"/>
      <x:c r="DT605" s="4"/>
      <x:c r="DU605" s="4"/>
      <x:c r="DV605" s="4"/>
      <x:c r="DW605" s="4"/>
      <x:c r="DX605" s="4"/>
      <x:c r="DY605" s="4"/>
      <x:c r="DZ605" s="4"/>
      <x:c r="EA605" s="4"/>
      <x:c r="EB605" s="4"/>
      <x:c r="EC605" s="4"/>
      <x:c r="ED605" s="4"/>
      <x:c r="EE605" s="4"/>
      <x:c r="EF605" s="4"/>
      <x:c r="EG605" s="4"/>
      <x:c r="EH605" s="4"/>
      <x:c r="EI605" s="4"/>
      <x:c r="EJ605" s="4"/>
      <x:c r="EK605" s="4"/>
      <x:c r="EL605" s="4"/>
      <x:c r="EM605" s="4"/>
      <x:c r="EN605" s="4"/>
      <x:c r="EO605" s="4"/>
      <x:c r="EP605" s="4"/>
      <x:c r="EQ605" s="4"/>
      <x:c r="ER605" s="4"/>
      <x:c r="ES605" s="4"/>
      <x:c r="ET605" s="4"/>
      <x:c r="EU605" s="4"/>
      <x:c r="EV605" s="4"/>
      <x:c r="EW605" s="4"/>
      <x:c r="EX605" s="4"/>
      <x:c r="EY605" s="4"/>
      <x:c r="EZ605" s="4"/>
      <x:c r="FA605" s="4"/>
      <x:c r="FB605" s="4"/>
      <x:c r="FC605" s="4"/>
      <x:c r="FD605" s="4"/>
      <x:c r="FE605" s="4"/>
      <x:c r="FF605" s="4"/>
      <x:c r="FG605" s="4"/>
      <x:c r="FH605" s="4"/>
      <x:c r="FI605" s="4"/>
      <x:c r="FJ605" s="4"/>
      <x:c r="FK605" s="4"/>
      <x:c r="FL605" s="4"/>
      <x:c r="FM605" s="4"/>
      <x:c r="FN605" s="4"/>
      <x:c r="FO605" s="4"/>
    </x:row>
    <x:row r="606">
      <x:c r="A606" s="72"/>
      <x:c r="B606" s="72"/>
      <x:c r="C606" s="72"/>
      <x:c r="D606" s="72"/>
      <x:c r="E606" s="72"/>
      <x:c r="F606" s="72"/>
      <x:c r="G606" s="72"/>
      <x:c r="H606" s="72"/>
      <x:c r="I606" s="72"/>
      <x:c r="J606" s="72"/>
      <x:c r="K606" s="72"/>
      <x:c r="L606" s="72"/>
      <x:c r="M606" s="72"/>
      <x:c r="N606" s="72"/>
      <x:c r="O606" s="72"/>
      <x:c r="P606" s="72"/>
      <x:c r="Q606" s="72"/>
      <x:c r="R606" s="72"/>
      <x:c r="S606" s="72"/>
      <x:c r="T606" s="72"/>
      <x:c r="U606" s="72"/>
      <x:c r="V606" s="72"/>
      <x:c r="W606" s="72"/>
      <x:c r="X606" s="72"/>
      <x:c r="Y606" s="72"/>
      <x:c r="Z606" s="72"/>
      <x:c r="AA606" s="72"/>
      <x:c r="AB606" s="72"/>
      <x:c r="AC606" s="72"/>
      <x:c r="AD606" s="72"/>
      <x:c r="AE606" s="72"/>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4"/>
      <x:c r="DQ606" s="4"/>
      <x:c r="DR606" s="4"/>
      <x:c r="DS606" s="4"/>
      <x:c r="DT606" s="4"/>
      <x:c r="DU606" s="4"/>
      <x:c r="DV606" s="4"/>
      <x:c r="DW606" s="4"/>
      <x:c r="DX606" s="4"/>
      <x:c r="DY606" s="4"/>
      <x:c r="DZ606" s="4"/>
      <x:c r="EA606" s="4"/>
      <x:c r="EB606" s="4"/>
      <x:c r="EC606" s="4"/>
      <x:c r="ED606" s="4"/>
      <x:c r="EE606" s="4"/>
      <x:c r="EF606" s="4"/>
      <x:c r="EG606" s="4"/>
      <x:c r="EH606" s="4"/>
      <x:c r="EI606" s="4"/>
      <x:c r="EJ606" s="4"/>
      <x:c r="EK606" s="4"/>
      <x:c r="EL606" s="4"/>
      <x:c r="EM606" s="4"/>
      <x:c r="EN606" s="4"/>
      <x:c r="EO606" s="4"/>
      <x:c r="EP606" s="4"/>
      <x:c r="EQ606" s="4"/>
      <x:c r="ER606" s="4"/>
      <x:c r="ES606" s="4"/>
      <x:c r="ET606" s="4"/>
      <x:c r="EU606" s="4"/>
      <x:c r="EV606" s="4"/>
      <x:c r="EW606" s="4"/>
      <x:c r="EX606" s="4"/>
      <x:c r="EY606" s="4"/>
      <x:c r="EZ606" s="4"/>
      <x:c r="FA606" s="4"/>
      <x:c r="FB606" s="4"/>
      <x:c r="FC606" s="4"/>
      <x:c r="FD606" s="4"/>
      <x:c r="FE606" s="4"/>
      <x:c r="FF606" s="4"/>
      <x:c r="FG606" s="4"/>
      <x:c r="FH606" s="4"/>
      <x:c r="FI606" s="4"/>
      <x:c r="FJ606" s="4"/>
      <x:c r="FK606" s="4"/>
      <x:c r="FL606" s="4"/>
      <x:c r="FM606" s="4"/>
      <x:c r="FN606" s="4"/>
      <x:c r="FO606" s="4"/>
    </x:row>
    <x:row r="607">
      <x:c r="A607" s="72"/>
      <x:c r="B607" s="72"/>
      <x:c r="C607" s="72"/>
      <x:c r="D607" s="72"/>
      <x:c r="E607" s="72"/>
      <x:c r="F607" s="72"/>
      <x:c r="G607" s="72"/>
      <x:c r="H607" s="72"/>
      <x:c r="I607" s="72"/>
      <x:c r="J607" s="72"/>
      <x:c r="K607" s="72"/>
      <x:c r="L607" s="72"/>
      <x:c r="M607" s="72"/>
      <x:c r="N607" s="72"/>
      <x:c r="O607" s="72"/>
      <x:c r="P607" s="72"/>
      <x:c r="Q607" s="72"/>
      <x:c r="R607" s="72"/>
      <x:c r="S607" s="72"/>
      <x:c r="T607" s="72"/>
      <x:c r="U607" s="72"/>
      <x:c r="V607" s="72"/>
      <x:c r="W607" s="72"/>
      <x:c r="X607" s="72"/>
      <x:c r="Y607" s="72"/>
      <x:c r="Z607" s="72"/>
      <x:c r="AA607" s="72"/>
      <x:c r="AB607" s="72"/>
      <x:c r="AC607" s="72"/>
      <x:c r="AD607" s="72"/>
      <x:c r="AE607" s="72"/>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4"/>
      <x:c r="DQ607" s="4"/>
      <x:c r="DR607" s="4"/>
      <x:c r="DS607" s="4"/>
      <x:c r="DT607" s="4"/>
      <x:c r="DU607" s="4"/>
      <x:c r="DV607" s="4"/>
      <x:c r="DW607" s="4"/>
      <x:c r="DX607" s="4"/>
      <x:c r="DY607" s="4"/>
      <x:c r="DZ607" s="4"/>
      <x:c r="EA607" s="4"/>
      <x:c r="EB607" s="4"/>
      <x:c r="EC607" s="4"/>
      <x:c r="ED607" s="4"/>
      <x:c r="EE607" s="4"/>
      <x:c r="EF607" s="4"/>
      <x:c r="EG607" s="4"/>
      <x:c r="EH607" s="4"/>
      <x:c r="EI607" s="4"/>
      <x:c r="EJ607" s="4"/>
      <x:c r="EK607" s="4"/>
      <x:c r="EL607" s="4"/>
      <x:c r="EM607" s="4"/>
      <x:c r="EN607" s="4"/>
      <x:c r="EO607" s="4"/>
      <x:c r="EP607" s="4"/>
      <x:c r="EQ607" s="4"/>
      <x:c r="ER607" s="4"/>
      <x:c r="ES607" s="4"/>
      <x:c r="ET607" s="4"/>
      <x:c r="EU607" s="4"/>
      <x:c r="EV607" s="4"/>
      <x:c r="EW607" s="4"/>
      <x:c r="EX607" s="4"/>
      <x:c r="EY607" s="4"/>
      <x:c r="EZ607" s="4"/>
      <x:c r="FA607" s="4"/>
      <x:c r="FB607" s="4"/>
      <x:c r="FC607" s="4"/>
      <x:c r="FD607" s="4"/>
      <x:c r="FE607" s="4"/>
      <x:c r="FF607" s="4"/>
      <x:c r="FG607" s="4"/>
      <x:c r="FH607" s="4"/>
      <x:c r="FI607" s="4"/>
      <x:c r="FJ607" s="4"/>
      <x:c r="FK607" s="4"/>
      <x:c r="FL607" s="4"/>
      <x:c r="FM607" s="4"/>
      <x:c r="FN607" s="4"/>
      <x:c r="FO607" s="4"/>
    </x:row>
    <x:row r="608">
      <x:c r="A608" s="72"/>
      <x:c r="B608" s="72"/>
      <x:c r="C608" s="72"/>
      <x:c r="D608" s="72"/>
      <x:c r="E608" s="72"/>
      <x:c r="F608" s="72"/>
      <x:c r="G608" s="72"/>
      <x:c r="H608" s="72"/>
      <x:c r="I608" s="72"/>
      <x:c r="J608" s="72"/>
      <x:c r="K608" s="72"/>
      <x:c r="L608" s="72"/>
      <x:c r="M608" s="72"/>
      <x:c r="N608" s="72"/>
      <x:c r="O608" s="72"/>
      <x:c r="P608" s="72"/>
      <x:c r="Q608" s="72"/>
      <x:c r="R608" s="72"/>
      <x:c r="S608" s="72"/>
      <x:c r="T608" s="72"/>
      <x:c r="U608" s="72"/>
      <x:c r="V608" s="72"/>
      <x:c r="W608" s="72"/>
      <x:c r="X608" s="72"/>
      <x:c r="Y608" s="72"/>
      <x:c r="Z608" s="72"/>
      <x:c r="AA608" s="72"/>
      <x:c r="AB608" s="72"/>
      <x:c r="AC608" s="72"/>
      <x:c r="AD608" s="72"/>
      <x:c r="AE608" s="72"/>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4"/>
      <x:c r="DQ608" s="4"/>
      <x:c r="DR608" s="4"/>
      <x:c r="DS608" s="4"/>
      <x:c r="DT608" s="4"/>
      <x:c r="DU608" s="4"/>
      <x:c r="DV608" s="4"/>
      <x:c r="DW608" s="4"/>
      <x:c r="DX608" s="4"/>
      <x:c r="DY608" s="4"/>
      <x:c r="DZ608" s="4"/>
      <x:c r="EA608" s="4"/>
      <x:c r="EB608" s="4"/>
      <x:c r="EC608" s="4"/>
      <x:c r="ED608" s="4"/>
      <x:c r="EE608" s="4"/>
      <x:c r="EF608" s="4"/>
      <x:c r="EG608" s="4"/>
      <x:c r="EH608" s="4"/>
      <x:c r="EI608" s="4"/>
      <x:c r="EJ608" s="4"/>
      <x:c r="EK608" s="4"/>
      <x:c r="EL608" s="4"/>
      <x:c r="EM608" s="4"/>
      <x:c r="EN608" s="4"/>
      <x:c r="EO608" s="4"/>
      <x:c r="EP608" s="4"/>
      <x:c r="EQ608" s="4"/>
      <x:c r="ER608" s="4"/>
      <x:c r="ES608" s="4"/>
      <x:c r="ET608" s="4"/>
      <x:c r="EU608" s="4"/>
      <x:c r="EV608" s="4"/>
      <x:c r="EW608" s="4"/>
      <x:c r="EX608" s="4"/>
      <x:c r="EY608" s="4"/>
      <x:c r="EZ608" s="4"/>
      <x:c r="FA608" s="4"/>
      <x:c r="FB608" s="4"/>
      <x:c r="FC608" s="4"/>
      <x:c r="FD608" s="4"/>
      <x:c r="FE608" s="4"/>
      <x:c r="FF608" s="4"/>
      <x:c r="FG608" s="4"/>
      <x:c r="FH608" s="4"/>
      <x:c r="FI608" s="4"/>
      <x:c r="FJ608" s="4"/>
      <x:c r="FK608" s="4"/>
      <x:c r="FL608" s="4"/>
      <x:c r="FM608" s="4"/>
      <x:c r="FN608" s="4"/>
      <x:c r="FO608" s="4"/>
    </x:row>
    <x:row r="609">
      <x:c r="A609" s="72"/>
      <x:c r="B609" s="72"/>
      <x:c r="C609" s="72"/>
      <x:c r="D609" s="72"/>
      <x:c r="E609" s="72"/>
      <x:c r="F609" s="72"/>
      <x:c r="G609" s="72"/>
      <x:c r="H609" s="72"/>
      <x:c r="I609" s="72"/>
      <x:c r="J609" s="72"/>
      <x:c r="K609" s="72"/>
      <x:c r="L609" s="72"/>
      <x:c r="M609" s="72"/>
      <x:c r="N609" s="72"/>
      <x:c r="O609" s="72"/>
      <x:c r="P609" s="72"/>
      <x:c r="Q609" s="72"/>
      <x:c r="R609" s="72"/>
      <x:c r="S609" s="72"/>
      <x:c r="T609" s="72"/>
      <x:c r="U609" s="72"/>
      <x:c r="V609" s="72"/>
      <x:c r="W609" s="72"/>
      <x:c r="X609" s="72"/>
      <x:c r="Y609" s="72"/>
      <x:c r="Z609" s="72"/>
      <x:c r="AA609" s="72"/>
      <x:c r="AB609" s="72"/>
      <x:c r="AC609" s="72"/>
      <x:c r="AD609" s="72"/>
      <x:c r="AE609" s="72"/>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4"/>
      <x:c r="DQ609" s="4"/>
      <x:c r="DR609" s="4"/>
      <x:c r="DS609" s="4"/>
      <x:c r="DT609" s="4"/>
      <x:c r="DU609" s="4"/>
      <x:c r="DV609" s="4"/>
      <x:c r="DW609" s="4"/>
      <x:c r="DX609" s="4"/>
      <x:c r="DY609" s="4"/>
      <x:c r="DZ609" s="4"/>
      <x:c r="EA609" s="4"/>
      <x:c r="EB609" s="4"/>
      <x:c r="EC609" s="4"/>
      <x:c r="ED609" s="4"/>
      <x:c r="EE609" s="4"/>
      <x:c r="EF609" s="4"/>
      <x:c r="EG609" s="4"/>
      <x:c r="EH609" s="4"/>
      <x:c r="EI609" s="4"/>
      <x:c r="EJ609" s="4"/>
      <x:c r="EK609" s="4"/>
      <x:c r="EL609" s="4"/>
      <x:c r="EM609" s="4"/>
      <x:c r="EN609" s="4"/>
      <x:c r="EO609" s="4"/>
      <x:c r="EP609" s="4"/>
      <x:c r="EQ609" s="4"/>
      <x:c r="ER609" s="4"/>
      <x:c r="ES609" s="4"/>
      <x:c r="ET609" s="4"/>
      <x:c r="EU609" s="4"/>
      <x:c r="EV609" s="4"/>
      <x:c r="EW609" s="4"/>
      <x:c r="EX609" s="4"/>
      <x:c r="EY609" s="4"/>
      <x:c r="EZ609" s="4"/>
      <x:c r="FA609" s="4"/>
      <x:c r="FB609" s="4"/>
      <x:c r="FC609" s="4"/>
      <x:c r="FD609" s="4"/>
      <x:c r="FE609" s="4"/>
      <x:c r="FF609" s="4"/>
      <x:c r="FG609" s="4"/>
      <x:c r="FH609" s="4"/>
      <x:c r="FI609" s="4"/>
      <x:c r="FJ609" s="4"/>
      <x:c r="FK609" s="4"/>
      <x:c r="FL609" s="4"/>
      <x:c r="FM609" s="4"/>
      <x:c r="FN609" s="4"/>
      <x:c r="FO609" s="4"/>
    </x:row>
    <x:row r="610">
      <x:c r="A610" s="72"/>
      <x:c r="B610" s="72"/>
      <x:c r="C610" s="72"/>
      <x:c r="D610" s="72"/>
      <x:c r="E610" s="72"/>
      <x:c r="F610" s="72"/>
      <x:c r="G610" s="72"/>
      <x:c r="H610" s="72"/>
      <x:c r="I610" s="72"/>
      <x:c r="J610" s="72"/>
      <x:c r="K610" s="72"/>
      <x:c r="L610" s="72"/>
      <x:c r="M610" s="72"/>
      <x:c r="N610" s="72"/>
      <x:c r="O610" s="72"/>
      <x:c r="P610" s="72"/>
      <x:c r="Q610" s="72"/>
      <x:c r="R610" s="72"/>
      <x:c r="S610" s="72"/>
      <x:c r="T610" s="72"/>
      <x:c r="U610" s="72"/>
      <x:c r="V610" s="72"/>
      <x:c r="W610" s="72"/>
      <x:c r="X610" s="72"/>
      <x:c r="Y610" s="72"/>
      <x:c r="Z610" s="72"/>
      <x:c r="AA610" s="72"/>
      <x:c r="AB610" s="72"/>
      <x:c r="AC610" s="72"/>
      <x:c r="AD610" s="72"/>
      <x:c r="AE610" s="72"/>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4"/>
      <x:c r="DQ610" s="4"/>
      <x:c r="DR610" s="4"/>
      <x:c r="DS610" s="4"/>
      <x:c r="DT610" s="4"/>
      <x:c r="DU610" s="4"/>
      <x:c r="DV610" s="4"/>
      <x:c r="DW610" s="4"/>
      <x:c r="DX610" s="4"/>
      <x:c r="DY610" s="4"/>
      <x:c r="DZ610" s="4"/>
      <x:c r="EA610" s="4"/>
      <x:c r="EB610" s="4"/>
      <x:c r="EC610" s="4"/>
      <x:c r="ED610" s="4"/>
      <x:c r="EE610" s="4"/>
      <x:c r="EF610" s="4"/>
      <x:c r="EG610" s="4"/>
      <x:c r="EH610" s="4"/>
      <x:c r="EI610" s="4"/>
      <x:c r="EJ610" s="4"/>
      <x:c r="EK610" s="4"/>
      <x:c r="EL610" s="4"/>
      <x:c r="EM610" s="4"/>
      <x:c r="EN610" s="4"/>
      <x:c r="EO610" s="4"/>
      <x:c r="EP610" s="4"/>
      <x:c r="EQ610" s="4"/>
      <x:c r="ER610" s="4"/>
      <x:c r="ES610" s="4"/>
      <x:c r="ET610" s="4"/>
      <x:c r="EU610" s="4"/>
      <x:c r="EV610" s="4"/>
      <x:c r="EW610" s="4"/>
      <x:c r="EX610" s="4"/>
      <x:c r="EY610" s="4"/>
      <x:c r="EZ610" s="4"/>
      <x:c r="FA610" s="4"/>
      <x:c r="FB610" s="4"/>
      <x:c r="FC610" s="4"/>
      <x:c r="FD610" s="4"/>
      <x:c r="FE610" s="4"/>
      <x:c r="FF610" s="4"/>
      <x:c r="FG610" s="4"/>
      <x:c r="FH610" s="4"/>
      <x:c r="FI610" s="4"/>
      <x:c r="FJ610" s="4"/>
      <x:c r="FK610" s="4"/>
      <x:c r="FL610" s="4"/>
      <x:c r="FM610" s="4"/>
      <x:c r="FN610" s="4"/>
      <x:c r="FO610" s="4"/>
    </x:row>
    <x:row r="611">
      <x:c r="A611" s="72"/>
      <x:c r="B611" s="72"/>
      <x:c r="C611" s="72"/>
      <x:c r="D611" s="72"/>
      <x:c r="E611" s="72"/>
      <x:c r="F611" s="72"/>
      <x:c r="G611" s="72"/>
      <x:c r="H611" s="72"/>
      <x:c r="I611" s="72"/>
      <x:c r="J611" s="72"/>
      <x:c r="K611" s="72"/>
      <x:c r="L611" s="72"/>
      <x:c r="M611" s="72"/>
      <x:c r="N611" s="72"/>
      <x:c r="O611" s="72"/>
      <x:c r="P611" s="72"/>
      <x:c r="Q611" s="72"/>
      <x:c r="R611" s="72"/>
      <x:c r="S611" s="72"/>
      <x:c r="T611" s="72"/>
      <x:c r="U611" s="72"/>
      <x:c r="V611" s="72"/>
      <x:c r="W611" s="72"/>
      <x:c r="X611" s="72"/>
      <x:c r="Y611" s="72"/>
      <x:c r="Z611" s="72"/>
      <x:c r="AA611" s="72"/>
      <x:c r="AB611" s="72"/>
      <x:c r="AC611" s="72"/>
      <x:c r="AD611" s="72"/>
      <x:c r="AE611" s="72"/>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4"/>
      <x:c r="DQ611" s="4"/>
      <x:c r="DR611" s="4"/>
      <x:c r="DS611" s="4"/>
      <x:c r="DT611" s="4"/>
      <x:c r="DU611" s="4"/>
      <x:c r="DV611" s="4"/>
      <x:c r="DW611" s="4"/>
      <x:c r="DX611" s="4"/>
      <x:c r="DY611" s="4"/>
      <x:c r="DZ611" s="4"/>
      <x:c r="EA611" s="4"/>
      <x:c r="EB611" s="4"/>
      <x:c r="EC611" s="4"/>
      <x:c r="ED611" s="4"/>
      <x:c r="EE611" s="4"/>
      <x:c r="EF611" s="4"/>
      <x:c r="EG611" s="4"/>
      <x:c r="EH611" s="4"/>
      <x:c r="EI611" s="4"/>
      <x:c r="EJ611" s="4"/>
      <x:c r="EK611" s="4"/>
      <x:c r="EL611" s="4"/>
      <x:c r="EM611" s="4"/>
      <x:c r="EN611" s="4"/>
      <x:c r="EO611" s="4"/>
      <x:c r="EP611" s="4"/>
      <x:c r="EQ611" s="4"/>
      <x:c r="ER611" s="4"/>
      <x:c r="ES611" s="4"/>
      <x:c r="ET611" s="4"/>
      <x:c r="EU611" s="4"/>
      <x:c r="EV611" s="4"/>
      <x:c r="EW611" s="4"/>
      <x:c r="EX611" s="4"/>
      <x:c r="EY611" s="4"/>
      <x:c r="EZ611" s="4"/>
      <x:c r="FA611" s="4"/>
      <x:c r="FB611" s="4"/>
      <x:c r="FC611" s="4"/>
      <x:c r="FD611" s="4"/>
      <x:c r="FE611" s="4"/>
      <x:c r="FF611" s="4"/>
      <x:c r="FG611" s="4"/>
      <x:c r="FH611" s="4"/>
      <x:c r="FI611" s="4"/>
      <x:c r="FJ611" s="4"/>
      <x:c r="FK611" s="4"/>
      <x:c r="FL611" s="4"/>
      <x:c r="FM611" s="4"/>
      <x:c r="FN611" s="4"/>
      <x:c r="FO611" s="4"/>
    </x:row>
    <x:row r="612">
      <x:c r="A612" s="72"/>
      <x:c r="B612" s="72"/>
      <x:c r="C612" s="72"/>
      <x:c r="D612" s="72"/>
      <x:c r="E612" s="72"/>
      <x:c r="F612" s="72"/>
      <x:c r="G612" s="72"/>
      <x:c r="H612" s="72"/>
      <x:c r="I612" s="72"/>
      <x:c r="J612" s="72"/>
      <x:c r="K612" s="72"/>
      <x:c r="L612" s="72"/>
      <x:c r="M612" s="72"/>
      <x:c r="N612" s="72"/>
      <x:c r="O612" s="72"/>
      <x:c r="P612" s="72"/>
      <x:c r="Q612" s="72"/>
      <x:c r="R612" s="72"/>
      <x:c r="S612" s="72"/>
      <x:c r="T612" s="72"/>
      <x:c r="U612" s="72"/>
      <x:c r="V612" s="72"/>
      <x:c r="W612" s="72"/>
      <x:c r="X612" s="72"/>
      <x:c r="Y612" s="72"/>
      <x:c r="Z612" s="72"/>
      <x:c r="AA612" s="72"/>
      <x:c r="AB612" s="72"/>
      <x:c r="AC612" s="72"/>
      <x:c r="AD612" s="72"/>
      <x:c r="AE612" s="72"/>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4"/>
      <x:c r="DQ612" s="4"/>
      <x:c r="DR612" s="4"/>
      <x:c r="DS612" s="4"/>
      <x:c r="DT612" s="4"/>
      <x:c r="DU612" s="4"/>
      <x:c r="DV612" s="4"/>
      <x:c r="DW612" s="4"/>
      <x:c r="DX612" s="4"/>
      <x:c r="DY612" s="4"/>
      <x:c r="DZ612" s="4"/>
      <x:c r="EA612" s="4"/>
      <x:c r="EB612" s="4"/>
      <x:c r="EC612" s="4"/>
      <x:c r="ED612" s="4"/>
      <x:c r="EE612" s="4"/>
      <x:c r="EF612" s="4"/>
      <x:c r="EG612" s="4"/>
      <x:c r="EH612" s="4"/>
      <x:c r="EI612" s="4"/>
      <x:c r="EJ612" s="4"/>
      <x:c r="EK612" s="4"/>
      <x:c r="EL612" s="4"/>
      <x:c r="EM612" s="4"/>
      <x:c r="EN612" s="4"/>
      <x:c r="EO612" s="4"/>
      <x:c r="EP612" s="4"/>
      <x:c r="EQ612" s="4"/>
      <x:c r="ER612" s="4"/>
      <x:c r="ES612" s="4"/>
      <x:c r="ET612" s="4"/>
      <x:c r="EU612" s="4"/>
      <x:c r="EV612" s="4"/>
      <x:c r="EW612" s="4"/>
      <x:c r="EX612" s="4"/>
      <x:c r="EY612" s="4"/>
      <x:c r="EZ612" s="4"/>
      <x:c r="FA612" s="4"/>
      <x:c r="FB612" s="4"/>
      <x:c r="FC612" s="4"/>
      <x:c r="FD612" s="4"/>
      <x:c r="FE612" s="4"/>
      <x:c r="FF612" s="4"/>
      <x:c r="FG612" s="4"/>
      <x:c r="FH612" s="4"/>
      <x:c r="FI612" s="4"/>
      <x:c r="FJ612" s="4"/>
      <x:c r="FK612" s="4"/>
      <x:c r="FL612" s="4"/>
      <x:c r="FM612" s="4"/>
      <x:c r="FN612" s="4"/>
      <x:c r="FO612" s="4"/>
    </x:row>
    <x:row r="613">
      <x:c r="A613" s="72"/>
      <x:c r="B613" s="72"/>
      <x:c r="C613" s="72"/>
      <x:c r="D613" s="72"/>
      <x:c r="E613" s="72"/>
      <x:c r="F613" s="72"/>
      <x:c r="G613" s="72"/>
      <x:c r="H613" s="72"/>
      <x:c r="I613" s="72"/>
      <x:c r="J613" s="72"/>
      <x:c r="K613" s="72"/>
      <x:c r="L613" s="72"/>
      <x:c r="M613" s="72"/>
      <x:c r="N613" s="72"/>
      <x:c r="O613" s="72"/>
      <x:c r="P613" s="72"/>
      <x:c r="Q613" s="72"/>
      <x:c r="R613" s="72"/>
      <x:c r="S613" s="72"/>
      <x:c r="T613" s="72"/>
      <x:c r="U613" s="72"/>
      <x:c r="V613" s="72"/>
      <x:c r="W613" s="72"/>
      <x:c r="X613" s="72"/>
      <x:c r="Y613" s="72"/>
      <x:c r="Z613" s="72"/>
      <x:c r="AA613" s="72"/>
      <x:c r="AB613" s="72"/>
      <x:c r="AC613" s="72"/>
      <x:c r="AD613" s="72"/>
      <x:c r="AE613" s="72"/>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4"/>
      <x:c r="DQ613" s="4"/>
      <x:c r="DR613" s="4"/>
      <x:c r="DS613" s="4"/>
      <x:c r="DT613" s="4"/>
      <x:c r="DU613" s="4"/>
      <x:c r="DV613" s="4"/>
      <x:c r="DW613" s="4"/>
      <x:c r="DX613" s="4"/>
      <x:c r="DY613" s="4"/>
      <x:c r="DZ613" s="4"/>
      <x:c r="EA613" s="4"/>
      <x:c r="EB613" s="4"/>
      <x:c r="EC613" s="4"/>
      <x:c r="ED613" s="4"/>
      <x:c r="EE613" s="4"/>
      <x:c r="EF613" s="4"/>
      <x:c r="EG613" s="4"/>
      <x:c r="EH613" s="4"/>
      <x:c r="EI613" s="4"/>
      <x:c r="EJ613" s="4"/>
      <x:c r="EK613" s="4"/>
      <x:c r="EL613" s="4"/>
      <x:c r="EM613" s="4"/>
      <x:c r="EN613" s="4"/>
      <x:c r="EO613" s="4"/>
      <x:c r="EP613" s="4"/>
      <x:c r="EQ613" s="4"/>
      <x:c r="ER613" s="4"/>
      <x:c r="ES613" s="4"/>
      <x:c r="ET613" s="4"/>
      <x:c r="EU613" s="4"/>
      <x:c r="EV613" s="4"/>
      <x:c r="EW613" s="4"/>
      <x:c r="EX613" s="4"/>
      <x:c r="EY613" s="4"/>
      <x:c r="EZ613" s="4"/>
      <x:c r="FA613" s="4"/>
      <x:c r="FB613" s="4"/>
      <x:c r="FC613" s="4"/>
      <x:c r="FD613" s="4"/>
      <x:c r="FE613" s="4"/>
      <x:c r="FF613" s="4"/>
      <x:c r="FG613" s="4"/>
      <x:c r="FH613" s="4"/>
      <x:c r="FI613" s="4"/>
      <x:c r="FJ613" s="4"/>
      <x:c r="FK613" s="4"/>
      <x:c r="FL613" s="4"/>
      <x:c r="FM613" s="4"/>
      <x:c r="FN613" s="4"/>
      <x:c r="FO613" s="4"/>
    </x:row>
    <x:row r="614">
      <x:c r="A614" s="72"/>
      <x:c r="B614" s="72"/>
      <x:c r="C614" s="72"/>
      <x:c r="D614" s="72"/>
      <x:c r="E614" s="72"/>
      <x:c r="F614" s="72"/>
      <x:c r="G614" s="72"/>
      <x:c r="H614" s="72"/>
      <x:c r="I614" s="72"/>
      <x:c r="J614" s="72"/>
      <x:c r="K614" s="72"/>
      <x:c r="L614" s="72"/>
      <x:c r="M614" s="72"/>
      <x:c r="N614" s="72"/>
      <x:c r="O614" s="72"/>
      <x:c r="P614" s="72"/>
      <x:c r="Q614" s="72"/>
      <x:c r="R614" s="72"/>
      <x:c r="S614" s="72"/>
      <x:c r="T614" s="72"/>
      <x:c r="U614" s="72"/>
      <x:c r="V614" s="72"/>
      <x:c r="W614" s="72"/>
      <x:c r="X614" s="72"/>
      <x:c r="Y614" s="72"/>
      <x:c r="Z614" s="72"/>
      <x:c r="AA614" s="72"/>
      <x:c r="AB614" s="72"/>
      <x:c r="AC614" s="72"/>
      <x:c r="AD614" s="72"/>
      <x:c r="AE614" s="72"/>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4"/>
      <x:c r="DQ614" s="4"/>
      <x:c r="DR614" s="4"/>
      <x:c r="DS614" s="4"/>
      <x:c r="DT614" s="4"/>
      <x:c r="DU614" s="4"/>
      <x:c r="DV614" s="4"/>
      <x:c r="DW614" s="4"/>
      <x:c r="DX614" s="4"/>
      <x:c r="DY614" s="4"/>
      <x:c r="DZ614" s="4"/>
      <x:c r="EA614" s="4"/>
      <x:c r="EB614" s="4"/>
      <x:c r="EC614" s="4"/>
      <x:c r="ED614" s="4"/>
      <x:c r="EE614" s="4"/>
      <x:c r="EF614" s="4"/>
      <x:c r="EG614" s="4"/>
      <x:c r="EH614" s="4"/>
      <x:c r="EI614" s="4"/>
      <x:c r="EJ614" s="4"/>
      <x:c r="EK614" s="4"/>
      <x:c r="EL614" s="4"/>
      <x:c r="EM614" s="4"/>
      <x:c r="EN614" s="4"/>
      <x:c r="EO614" s="4"/>
      <x:c r="EP614" s="4"/>
      <x:c r="EQ614" s="4"/>
      <x:c r="ER614" s="4"/>
      <x:c r="ES614" s="4"/>
      <x:c r="ET614" s="4"/>
      <x:c r="EU614" s="4"/>
      <x:c r="EV614" s="4"/>
      <x:c r="EW614" s="4"/>
      <x:c r="EX614" s="4"/>
      <x:c r="EY614" s="4"/>
      <x:c r="EZ614" s="4"/>
      <x:c r="FA614" s="4"/>
      <x:c r="FB614" s="4"/>
      <x:c r="FC614" s="4"/>
      <x:c r="FD614" s="4"/>
      <x:c r="FE614" s="4"/>
      <x:c r="FF614" s="4"/>
      <x:c r="FG614" s="4"/>
      <x:c r="FH614" s="4"/>
      <x:c r="FI614" s="4"/>
      <x:c r="FJ614" s="4"/>
      <x:c r="FK614" s="4"/>
      <x:c r="FL614" s="4"/>
      <x:c r="FM614" s="4"/>
      <x:c r="FN614" s="4"/>
      <x:c r="FO614" s="4"/>
    </x:row>
    <x:row r="615">
      <x:c r="A615" s="72"/>
      <x:c r="B615" s="72"/>
      <x:c r="C615" s="72"/>
      <x:c r="D615" s="72"/>
      <x:c r="E615" s="72"/>
      <x:c r="F615" s="72"/>
      <x:c r="G615" s="72"/>
      <x:c r="H615" s="72"/>
      <x:c r="I615" s="72"/>
      <x:c r="J615" s="72"/>
      <x:c r="K615" s="72"/>
      <x:c r="L615" s="72"/>
      <x:c r="M615" s="72"/>
      <x:c r="N615" s="72"/>
      <x:c r="O615" s="72"/>
      <x:c r="P615" s="72"/>
      <x:c r="Q615" s="72"/>
      <x:c r="R615" s="72"/>
      <x:c r="S615" s="72"/>
      <x:c r="T615" s="72"/>
      <x:c r="U615" s="72"/>
      <x:c r="V615" s="72"/>
      <x:c r="W615" s="72"/>
      <x:c r="X615" s="72"/>
      <x:c r="Y615" s="72"/>
      <x:c r="Z615" s="72"/>
      <x:c r="AA615" s="72"/>
      <x:c r="AB615" s="72"/>
      <x:c r="AC615" s="72"/>
      <x:c r="AD615" s="72"/>
      <x:c r="AE615" s="72"/>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4"/>
      <x:c r="DQ615" s="4"/>
      <x:c r="DR615" s="4"/>
      <x:c r="DS615" s="4"/>
      <x:c r="DT615" s="4"/>
      <x:c r="DU615" s="4"/>
      <x:c r="DV615" s="4"/>
      <x:c r="DW615" s="4"/>
      <x:c r="DX615" s="4"/>
      <x:c r="DY615" s="4"/>
      <x:c r="DZ615" s="4"/>
      <x:c r="EA615" s="4"/>
      <x:c r="EB615" s="4"/>
      <x:c r="EC615" s="4"/>
      <x:c r="ED615" s="4"/>
      <x:c r="EE615" s="4"/>
      <x:c r="EF615" s="4"/>
      <x:c r="EG615" s="4"/>
      <x:c r="EH615" s="4"/>
      <x:c r="EI615" s="4"/>
      <x:c r="EJ615" s="4"/>
      <x:c r="EK615" s="4"/>
      <x:c r="EL615" s="4"/>
      <x:c r="EM615" s="4"/>
      <x:c r="EN615" s="4"/>
      <x:c r="EO615" s="4"/>
      <x:c r="EP615" s="4"/>
      <x:c r="EQ615" s="4"/>
      <x:c r="ER615" s="4"/>
      <x:c r="ES615" s="4"/>
      <x:c r="ET615" s="4"/>
      <x:c r="EU615" s="4"/>
      <x:c r="EV615" s="4"/>
      <x:c r="EW615" s="4"/>
      <x:c r="EX615" s="4"/>
      <x:c r="EY615" s="4"/>
      <x:c r="EZ615" s="4"/>
      <x:c r="FA615" s="4"/>
      <x:c r="FB615" s="4"/>
      <x:c r="FC615" s="4"/>
      <x:c r="FD615" s="4"/>
      <x:c r="FE615" s="4"/>
      <x:c r="FF615" s="4"/>
      <x:c r="FG615" s="4"/>
      <x:c r="FH615" s="4"/>
      <x:c r="FI615" s="4"/>
      <x:c r="FJ615" s="4"/>
      <x:c r="FK615" s="4"/>
      <x:c r="FL615" s="4"/>
      <x:c r="FM615" s="4"/>
      <x:c r="FN615" s="4"/>
      <x:c r="FO615" s="4"/>
    </x:row>
    <x:row r="616">
      <x:c r="A616" s="72"/>
      <x:c r="B616" s="72"/>
      <x:c r="C616" s="72"/>
      <x:c r="D616" s="72"/>
      <x:c r="E616" s="72"/>
      <x:c r="F616" s="72"/>
      <x:c r="G616" s="72"/>
      <x:c r="H616" s="72"/>
      <x:c r="I616" s="72"/>
      <x:c r="J616" s="72"/>
      <x:c r="K616" s="72"/>
      <x:c r="L616" s="72"/>
      <x:c r="M616" s="72"/>
      <x:c r="N616" s="72"/>
      <x:c r="O616" s="72"/>
      <x:c r="P616" s="72"/>
      <x:c r="Q616" s="72"/>
      <x:c r="R616" s="72"/>
      <x:c r="S616" s="72"/>
      <x:c r="T616" s="72"/>
      <x:c r="U616" s="72"/>
      <x:c r="V616" s="72"/>
      <x:c r="W616" s="72"/>
      <x:c r="X616" s="72"/>
      <x:c r="Y616" s="72"/>
      <x:c r="Z616" s="72"/>
      <x:c r="AA616" s="72"/>
      <x:c r="AB616" s="72"/>
      <x:c r="AC616" s="72"/>
      <x:c r="AD616" s="72"/>
      <x:c r="AE616" s="72"/>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4"/>
      <x:c r="DQ616" s="4"/>
      <x:c r="DR616" s="4"/>
      <x:c r="DS616" s="4"/>
      <x:c r="DT616" s="4"/>
      <x:c r="DU616" s="4"/>
      <x:c r="DV616" s="4"/>
      <x:c r="DW616" s="4"/>
      <x:c r="DX616" s="4"/>
      <x:c r="DY616" s="4"/>
      <x:c r="DZ616" s="4"/>
      <x:c r="EA616" s="4"/>
      <x:c r="EB616" s="4"/>
      <x:c r="EC616" s="4"/>
      <x:c r="ED616" s="4"/>
      <x:c r="EE616" s="4"/>
      <x:c r="EF616" s="4"/>
      <x:c r="EG616" s="4"/>
      <x:c r="EH616" s="4"/>
      <x:c r="EI616" s="4"/>
      <x:c r="EJ616" s="4"/>
      <x:c r="EK616" s="4"/>
      <x:c r="EL616" s="4"/>
      <x:c r="EM616" s="4"/>
      <x:c r="EN616" s="4"/>
      <x:c r="EO616" s="4"/>
      <x:c r="EP616" s="4"/>
      <x:c r="EQ616" s="4"/>
      <x:c r="ER616" s="4"/>
      <x:c r="ES616" s="4"/>
      <x:c r="ET616" s="4"/>
      <x:c r="EU616" s="4"/>
      <x:c r="EV616" s="4"/>
      <x:c r="EW616" s="4"/>
      <x:c r="EX616" s="4"/>
      <x:c r="EY616" s="4"/>
      <x:c r="EZ616" s="4"/>
      <x:c r="FA616" s="4"/>
      <x:c r="FB616" s="4"/>
      <x:c r="FC616" s="4"/>
      <x:c r="FD616" s="4"/>
      <x:c r="FE616" s="4"/>
      <x:c r="FF616" s="4"/>
      <x:c r="FG616" s="4"/>
      <x:c r="FH616" s="4"/>
      <x:c r="FI616" s="4"/>
      <x:c r="FJ616" s="4"/>
      <x:c r="FK616" s="4"/>
      <x:c r="FL616" s="4"/>
      <x:c r="FM616" s="4"/>
      <x:c r="FN616" s="4"/>
      <x:c r="FO616" s="4"/>
    </x:row>
    <x:row r="617">
      <x:c r="A617" s="72"/>
      <x:c r="B617" s="72"/>
      <x:c r="C617" s="72"/>
      <x:c r="D617" s="72"/>
      <x:c r="E617" s="72"/>
      <x:c r="F617" s="72"/>
      <x:c r="G617" s="72"/>
      <x:c r="H617" s="72"/>
      <x:c r="I617" s="72"/>
      <x:c r="J617" s="72"/>
      <x:c r="K617" s="72"/>
      <x:c r="L617" s="72"/>
      <x:c r="M617" s="72"/>
      <x:c r="N617" s="72"/>
      <x:c r="O617" s="72"/>
      <x:c r="P617" s="72"/>
      <x:c r="Q617" s="72"/>
      <x:c r="R617" s="72"/>
      <x:c r="S617" s="72"/>
      <x:c r="T617" s="72"/>
      <x:c r="U617" s="72"/>
      <x:c r="V617" s="72"/>
      <x:c r="W617" s="72"/>
      <x:c r="X617" s="72"/>
      <x:c r="Y617" s="72"/>
      <x:c r="Z617" s="72"/>
      <x:c r="AA617" s="72"/>
      <x:c r="AB617" s="72"/>
      <x:c r="AC617" s="72"/>
      <x:c r="AD617" s="72"/>
      <x:c r="AE617" s="72"/>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4"/>
      <x:c r="DQ617" s="4"/>
      <x:c r="DR617" s="4"/>
      <x:c r="DS617" s="4"/>
      <x:c r="DT617" s="4"/>
      <x:c r="DU617" s="4"/>
      <x:c r="DV617" s="4"/>
      <x:c r="DW617" s="4"/>
      <x:c r="DX617" s="4"/>
      <x:c r="DY617" s="4"/>
      <x:c r="DZ617" s="4"/>
      <x:c r="EA617" s="4"/>
      <x:c r="EB617" s="4"/>
      <x:c r="EC617" s="4"/>
      <x:c r="ED617" s="4"/>
      <x:c r="EE617" s="4"/>
      <x:c r="EF617" s="4"/>
      <x:c r="EG617" s="4"/>
      <x:c r="EH617" s="4"/>
      <x:c r="EI617" s="4"/>
      <x:c r="EJ617" s="4"/>
      <x:c r="EK617" s="4"/>
      <x:c r="EL617" s="4"/>
      <x:c r="EM617" s="4"/>
      <x:c r="EN617" s="4"/>
      <x:c r="EO617" s="4"/>
      <x:c r="EP617" s="4"/>
      <x:c r="EQ617" s="4"/>
      <x:c r="ER617" s="4"/>
      <x:c r="ES617" s="4"/>
      <x:c r="ET617" s="4"/>
      <x:c r="EU617" s="4"/>
      <x:c r="EV617" s="4"/>
      <x:c r="EW617" s="4"/>
      <x:c r="EX617" s="4"/>
      <x:c r="EY617" s="4"/>
      <x:c r="EZ617" s="4"/>
      <x:c r="FA617" s="4"/>
      <x:c r="FB617" s="4"/>
      <x:c r="FC617" s="4"/>
      <x:c r="FD617" s="4"/>
      <x:c r="FE617" s="4"/>
      <x:c r="FF617" s="4"/>
      <x:c r="FG617" s="4"/>
      <x:c r="FH617" s="4"/>
      <x:c r="FI617" s="4"/>
      <x:c r="FJ617" s="4"/>
      <x:c r="FK617" s="4"/>
      <x:c r="FL617" s="4"/>
      <x:c r="FM617" s="4"/>
      <x:c r="FN617" s="4"/>
      <x:c r="FO617" s="4"/>
    </x:row>
    <x:row r="618">
      <x:c r="A618" s="72"/>
      <x:c r="B618" s="72"/>
      <x:c r="C618" s="72"/>
      <x:c r="D618" s="72"/>
      <x:c r="E618" s="72"/>
      <x:c r="F618" s="72"/>
      <x:c r="G618" s="72"/>
      <x:c r="H618" s="72"/>
      <x:c r="I618" s="72"/>
      <x:c r="J618" s="72"/>
      <x:c r="K618" s="72"/>
      <x:c r="L618" s="72"/>
      <x:c r="M618" s="72"/>
      <x:c r="N618" s="72"/>
      <x:c r="O618" s="72"/>
      <x:c r="P618" s="72"/>
      <x:c r="Q618" s="72"/>
      <x:c r="R618" s="72"/>
      <x:c r="S618" s="72"/>
      <x:c r="T618" s="72"/>
      <x:c r="U618" s="72"/>
      <x:c r="V618" s="72"/>
      <x:c r="W618" s="72"/>
      <x:c r="X618" s="72"/>
      <x:c r="Y618" s="72"/>
      <x:c r="Z618" s="72"/>
      <x:c r="AA618" s="72"/>
      <x:c r="AB618" s="72"/>
      <x:c r="AC618" s="72"/>
      <x:c r="AD618" s="72"/>
      <x:c r="AE618" s="72"/>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4"/>
      <x:c r="DQ618" s="4"/>
      <x:c r="DR618" s="4"/>
      <x:c r="DS618" s="4"/>
      <x:c r="DT618" s="4"/>
      <x:c r="DU618" s="4"/>
      <x:c r="DV618" s="4"/>
      <x:c r="DW618" s="4"/>
      <x:c r="DX618" s="4"/>
      <x:c r="DY618" s="4"/>
      <x:c r="DZ618" s="4"/>
      <x:c r="EA618" s="4"/>
      <x:c r="EB618" s="4"/>
      <x:c r="EC618" s="4"/>
      <x:c r="ED618" s="4"/>
      <x:c r="EE618" s="4"/>
      <x:c r="EF618" s="4"/>
      <x:c r="EG618" s="4"/>
      <x:c r="EH618" s="4"/>
      <x:c r="EI618" s="4"/>
      <x:c r="EJ618" s="4"/>
      <x:c r="EK618" s="4"/>
      <x:c r="EL618" s="4"/>
      <x:c r="EM618" s="4"/>
      <x:c r="EN618" s="4"/>
      <x:c r="EO618" s="4"/>
      <x:c r="EP618" s="4"/>
      <x:c r="EQ618" s="4"/>
      <x:c r="ER618" s="4"/>
      <x:c r="ES618" s="4"/>
      <x:c r="ET618" s="4"/>
      <x:c r="EU618" s="4"/>
      <x:c r="EV618" s="4"/>
      <x:c r="EW618" s="4"/>
      <x:c r="EX618" s="4"/>
      <x:c r="EY618" s="4"/>
      <x:c r="EZ618" s="4"/>
      <x:c r="FA618" s="4"/>
      <x:c r="FB618" s="4"/>
      <x:c r="FC618" s="4"/>
      <x:c r="FD618" s="4"/>
      <x:c r="FE618" s="4"/>
      <x:c r="FF618" s="4"/>
      <x:c r="FG618" s="4"/>
      <x:c r="FH618" s="4"/>
      <x:c r="FI618" s="4"/>
      <x:c r="FJ618" s="4"/>
      <x:c r="FK618" s="4"/>
      <x:c r="FL618" s="4"/>
      <x:c r="FM618" s="4"/>
      <x:c r="FN618" s="4"/>
      <x:c r="FO618" s="4"/>
    </x:row>
    <x:row r="619">
      <x:c r="A619" s="72"/>
      <x:c r="B619" s="72"/>
      <x:c r="C619" s="72"/>
      <x:c r="D619" s="72"/>
      <x:c r="E619" s="72"/>
      <x:c r="F619" s="72"/>
      <x:c r="G619" s="72"/>
      <x:c r="H619" s="72"/>
      <x:c r="I619" s="72"/>
      <x:c r="J619" s="72"/>
      <x:c r="K619" s="72"/>
      <x:c r="L619" s="72"/>
      <x:c r="M619" s="72"/>
      <x:c r="N619" s="72"/>
      <x:c r="O619" s="72"/>
      <x:c r="P619" s="72"/>
      <x:c r="Q619" s="72"/>
      <x:c r="R619" s="72"/>
      <x:c r="S619" s="72"/>
      <x:c r="T619" s="72"/>
      <x:c r="U619" s="72"/>
      <x:c r="V619" s="72"/>
      <x:c r="W619" s="72"/>
      <x:c r="X619" s="72"/>
      <x:c r="Y619" s="72"/>
      <x:c r="Z619" s="72"/>
      <x:c r="AA619" s="72"/>
      <x:c r="AB619" s="72"/>
      <x:c r="AC619" s="72"/>
      <x:c r="AD619" s="72"/>
      <x:c r="AE619" s="72"/>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4"/>
      <x:c r="DQ619" s="4"/>
      <x:c r="DR619" s="4"/>
      <x:c r="DS619" s="4"/>
      <x:c r="DT619" s="4"/>
      <x:c r="DU619" s="4"/>
      <x:c r="DV619" s="4"/>
      <x:c r="DW619" s="4"/>
      <x:c r="DX619" s="4"/>
      <x:c r="DY619" s="4"/>
      <x:c r="DZ619" s="4"/>
      <x:c r="EA619" s="4"/>
      <x:c r="EB619" s="4"/>
      <x:c r="EC619" s="4"/>
      <x:c r="ED619" s="4"/>
      <x:c r="EE619" s="4"/>
      <x:c r="EF619" s="4"/>
      <x:c r="EG619" s="4"/>
      <x:c r="EH619" s="4"/>
      <x:c r="EI619" s="4"/>
      <x:c r="EJ619" s="4"/>
      <x:c r="EK619" s="4"/>
      <x:c r="EL619" s="4"/>
      <x:c r="EM619" s="4"/>
      <x:c r="EN619" s="4"/>
      <x:c r="EO619" s="4"/>
      <x:c r="EP619" s="4"/>
      <x:c r="EQ619" s="4"/>
      <x:c r="ER619" s="4"/>
      <x:c r="ES619" s="4"/>
      <x:c r="ET619" s="4"/>
      <x:c r="EU619" s="4"/>
      <x:c r="EV619" s="4"/>
      <x:c r="EW619" s="4"/>
      <x:c r="EX619" s="4"/>
      <x:c r="EY619" s="4"/>
      <x:c r="EZ619" s="4"/>
      <x:c r="FA619" s="4"/>
      <x:c r="FB619" s="4"/>
      <x:c r="FC619" s="4"/>
      <x:c r="FD619" s="4"/>
      <x:c r="FE619" s="4"/>
      <x:c r="FF619" s="4"/>
      <x:c r="FG619" s="4"/>
      <x:c r="FH619" s="4"/>
      <x:c r="FI619" s="4"/>
      <x:c r="FJ619" s="4"/>
      <x:c r="FK619" s="4"/>
      <x:c r="FL619" s="4"/>
      <x:c r="FM619" s="4"/>
      <x:c r="FN619" s="4"/>
      <x:c r="FO619" s="4"/>
    </x:row>
    <x:row r="620">
      <x:c r="A620" s="72"/>
      <x:c r="B620" s="72"/>
      <x:c r="C620" s="72"/>
      <x:c r="D620" s="72"/>
      <x:c r="E620" s="72"/>
      <x:c r="F620" s="72"/>
      <x:c r="G620" s="72"/>
      <x:c r="H620" s="72"/>
      <x:c r="I620" s="72"/>
      <x:c r="J620" s="72"/>
      <x:c r="K620" s="72"/>
      <x:c r="L620" s="72"/>
      <x:c r="M620" s="72"/>
      <x:c r="N620" s="72"/>
      <x:c r="O620" s="72"/>
      <x:c r="P620" s="72"/>
      <x:c r="Q620" s="72"/>
      <x:c r="R620" s="72"/>
      <x:c r="S620" s="72"/>
      <x:c r="T620" s="72"/>
      <x:c r="U620" s="72"/>
      <x:c r="V620" s="72"/>
      <x:c r="W620" s="72"/>
      <x:c r="X620" s="72"/>
      <x:c r="Y620" s="72"/>
      <x:c r="Z620" s="72"/>
      <x:c r="AA620" s="72"/>
      <x:c r="AB620" s="72"/>
      <x:c r="AC620" s="72"/>
      <x:c r="AD620" s="72"/>
      <x:c r="AE620" s="72"/>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4"/>
      <x:c r="DQ620" s="4"/>
      <x:c r="DR620" s="4"/>
      <x:c r="DS620" s="4"/>
      <x:c r="DT620" s="4"/>
      <x:c r="DU620" s="4"/>
      <x:c r="DV620" s="4"/>
      <x:c r="DW620" s="4"/>
      <x:c r="DX620" s="4"/>
      <x:c r="DY620" s="4"/>
      <x:c r="DZ620" s="4"/>
      <x:c r="EA620" s="4"/>
      <x:c r="EB620" s="4"/>
      <x:c r="EC620" s="4"/>
      <x:c r="ED620" s="4"/>
      <x:c r="EE620" s="4"/>
      <x:c r="EF620" s="4"/>
      <x:c r="EG620" s="4"/>
      <x:c r="EH620" s="4"/>
      <x:c r="EI620" s="4"/>
      <x:c r="EJ620" s="4"/>
      <x:c r="EK620" s="4"/>
      <x:c r="EL620" s="4"/>
      <x:c r="EM620" s="4"/>
      <x:c r="EN620" s="4"/>
      <x:c r="EO620" s="4"/>
      <x:c r="EP620" s="4"/>
      <x:c r="EQ620" s="4"/>
      <x:c r="ER620" s="4"/>
      <x:c r="ES620" s="4"/>
      <x:c r="ET620" s="4"/>
      <x:c r="EU620" s="4"/>
      <x:c r="EV620" s="4"/>
      <x:c r="EW620" s="4"/>
      <x:c r="EX620" s="4"/>
      <x:c r="EY620" s="4"/>
      <x:c r="EZ620" s="4"/>
      <x:c r="FA620" s="4"/>
      <x:c r="FB620" s="4"/>
      <x:c r="FC620" s="4"/>
      <x:c r="FD620" s="4"/>
      <x:c r="FE620" s="4"/>
      <x:c r="FF620" s="4"/>
      <x:c r="FG620" s="4"/>
      <x:c r="FH620" s="4"/>
      <x:c r="FI620" s="4"/>
      <x:c r="FJ620" s="4"/>
      <x:c r="FK620" s="4"/>
      <x:c r="FL620" s="4"/>
      <x:c r="FM620" s="4"/>
      <x:c r="FN620" s="4"/>
      <x:c r="FO620" s="4"/>
    </x:row>
    <x:row r="621">
      <x:c r="A621" s="72"/>
      <x:c r="B621" s="72"/>
      <x:c r="C621" s="72"/>
      <x:c r="D621" s="72"/>
      <x:c r="E621" s="72"/>
      <x:c r="F621" s="72"/>
      <x:c r="G621" s="72"/>
      <x:c r="H621" s="72"/>
      <x:c r="I621" s="72"/>
      <x:c r="J621" s="72"/>
      <x:c r="K621" s="72"/>
      <x:c r="L621" s="72"/>
      <x:c r="M621" s="72"/>
      <x:c r="N621" s="72"/>
      <x:c r="O621" s="72"/>
      <x:c r="P621" s="72"/>
      <x:c r="Q621" s="72"/>
      <x:c r="R621" s="72"/>
      <x:c r="S621" s="72"/>
      <x:c r="T621" s="72"/>
      <x:c r="U621" s="72"/>
      <x:c r="V621" s="72"/>
      <x:c r="W621" s="72"/>
      <x:c r="X621" s="72"/>
      <x:c r="Y621" s="72"/>
      <x:c r="Z621" s="72"/>
      <x:c r="AA621" s="72"/>
      <x:c r="AB621" s="72"/>
      <x:c r="AC621" s="72"/>
      <x:c r="AD621" s="72"/>
      <x:c r="AE621" s="72"/>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4"/>
      <x:c r="DQ621" s="4"/>
      <x:c r="DR621" s="4"/>
      <x:c r="DS621" s="4"/>
      <x:c r="DT621" s="4"/>
      <x:c r="DU621" s="4"/>
      <x:c r="DV621" s="4"/>
      <x:c r="DW621" s="4"/>
      <x:c r="DX621" s="4"/>
      <x:c r="DY621" s="4"/>
      <x:c r="DZ621" s="4"/>
      <x:c r="EA621" s="4"/>
      <x:c r="EB621" s="4"/>
      <x:c r="EC621" s="4"/>
      <x:c r="ED621" s="4"/>
      <x:c r="EE621" s="4"/>
      <x:c r="EF621" s="4"/>
      <x:c r="EG621" s="4"/>
      <x:c r="EH621" s="4"/>
      <x:c r="EI621" s="4"/>
      <x:c r="EJ621" s="4"/>
      <x:c r="EK621" s="4"/>
      <x:c r="EL621" s="4"/>
      <x:c r="EM621" s="4"/>
      <x:c r="EN621" s="4"/>
      <x:c r="EO621" s="4"/>
      <x:c r="EP621" s="4"/>
      <x:c r="EQ621" s="4"/>
      <x:c r="ER621" s="4"/>
      <x:c r="ES621" s="4"/>
      <x:c r="ET621" s="4"/>
      <x:c r="EU621" s="4"/>
      <x:c r="EV621" s="4"/>
      <x:c r="EW621" s="4"/>
      <x:c r="EX621" s="4"/>
      <x:c r="EY621" s="4"/>
      <x:c r="EZ621" s="4"/>
      <x:c r="FA621" s="4"/>
      <x:c r="FB621" s="4"/>
      <x:c r="FC621" s="4"/>
      <x:c r="FD621" s="4"/>
      <x:c r="FE621" s="4"/>
      <x:c r="FF621" s="4"/>
      <x:c r="FG621" s="4"/>
      <x:c r="FH621" s="4"/>
      <x:c r="FI621" s="4"/>
      <x:c r="FJ621" s="4"/>
      <x:c r="FK621" s="4"/>
      <x:c r="FL621" s="4"/>
      <x:c r="FM621" s="4"/>
      <x:c r="FN621" s="4"/>
      <x:c r="FO621" s="4"/>
    </x:row>
    <x:row r="622">
      <x:c r="A622" s="72"/>
      <x:c r="B622" s="72"/>
      <x:c r="C622" s="72"/>
      <x:c r="D622" s="72"/>
      <x:c r="E622" s="72"/>
      <x:c r="F622" s="72"/>
      <x:c r="G622" s="72"/>
      <x:c r="H622" s="72"/>
      <x:c r="I622" s="72"/>
      <x:c r="J622" s="72"/>
      <x:c r="K622" s="72"/>
      <x:c r="L622" s="72"/>
      <x:c r="M622" s="72"/>
      <x:c r="N622" s="72"/>
      <x:c r="O622" s="72"/>
      <x:c r="P622" s="72"/>
      <x:c r="Q622" s="72"/>
      <x:c r="R622" s="72"/>
      <x:c r="S622" s="72"/>
      <x:c r="T622" s="72"/>
      <x:c r="U622" s="72"/>
      <x:c r="V622" s="72"/>
      <x:c r="W622" s="72"/>
      <x:c r="X622" s="72"/>
      <x:c r="Y622" s="72"/>
      <x:c r="Z622" s="72"/>
      <x:c r="AA622" s="72"/>
      <x:c r="AB622" s="72"/>
      <x:c r="AC622" s="72"/>
      <x:c r="AD622" s="72"/>
      <x:c r="AE622" s="72"/>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4"/>
      <x:c r="DQ622" s="4"/>
      <x:c r="DR622" s="4"/>
      <x:c r="DS622" s="4"/>
      <x:c r="DT622" s="4"/>
      <x:c r="DU622" s="4"/>
      <x:c r="DV622" s="4"/>
      <x:c r="DW622" s="4"/>
      <x:c r="DX622" s="4"/>
      <x:c r="DY622" s="4"/>
      <x:c r="DZ622" s="4"/>
      <x:c r="EA622" s="4"/>
      <x:c r="EB622" s="4"/>
      <x:c r="EC622" s="4"/>
      <x:c r="ED622" s="4"/>
      <x:c r="EE622" s="4"/>
      <x:c r="EF622" s="4"/>
      <x:c r="EG622" s="4"/>
      <x:c r="EH622" s="4"/>
      <x:c r="EI622" s="4"/>
      <x:c r="EJ622" s="4"/>
      <x:c r="EK622" s="4"/>
      <x:c r="EL622" s="4"/>
      <x:c r="EM622" s="4"/>
      <x:c r="EN622" s="4"/>
      <x:c r="EO622" s="4"/>
      <x:c r="EP622" s="4"/>
      <x:c r="EQ622" s="4"/>
      <x:c r="ER622" s="4"/>
      <x:c r="ES622" s="4"/>
      <x:c r="ET622" s="4"/>
      <x:c r="EU622" s="4"/>
      <x:c r="EV622" s="4"/>
      <x:c r="EW622" s="4"/>
      <x:c r="EX622" s="4"/>
      <x:c r="EY622" s="4"/>
      <x:c r="EZ622" s="4"/>
      <x:c r="FA622" s="4"/>
      <x:c r="FB622" s="4"/>
      <x:c r="FC622" s="4"/>
      <x:c r="FD622" s="4"/>
      <x:c r="FE622" s="4"/>
      <x:c r="FF622" s="4"/>
      <x:c r="FG622" s="4"/>
      <x:c r="FH622" s="4"/>
      <x:c r="FI622" s="4"/>
      <x:c r="FJ622" s="4"/>
      <x:c r="FK622" s="4"/>
      <x:c r="FL622" s="4"/>
      <x:c r="FM622" s="4"/>
      <x:c r="FN622" s="4"/>
      <x:c r="FO622" s="4"/>
    </x:row>
    <x:row r="623">
      <x:c r="A623" s="72"/>
      <x:c r="B623" s="72"/>
      <x:c r="C623" s="72"/>
      <x:c r="D623" s="72"/>
      <x:c r="E623" s="72"/>
      <x:c r="F623" s="72"/>
      <x:c r="G623" s="72"/>
      <x:c r="H623" s="72"/>
      <x:c r="I623" s="72"/>
      <x:c r="J623" s="72"/>
      <x:c r="K623" s="72"/>
      <x:c r="L623" s="72"/>
      <x:c r="M623" s="72"/>
      <x:c r="N623" s="72"/>
      <x:c r="O623" s="72"/>
      <x:c r="P623" s="72"/>
      <x:c r="Q623" s="72"/>
      <x:c r="R623" s="72"/>
      <x:c r="S623" s="72"/>
      <x:c r="T623" s="72"/>
      <x:c r="U623" s="72"/>
      <x:c r="V623" s="72"/>
      <x:c r="W623" s="72"/>
      <x:c r="X623" s="72"/>
      <x:c r="Y623" s="72"/>
      <x:c r="Z623" s="72"/>
      <x:c r="AA623" s="72"/>
      <x:c r="AB623" s="72"/>
      <x:c r="AC623" s="72"/>
      <x:c r="AD623" s="72"/>
      <x:c r="AE623" s="72"/>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4"/>
      <x:c r="DQ623" s="4"/>
      <x:c r="DR623" s="4"/>
      <x:c r="DS623" s="4"/>
      <x:c r="DT623" s="4"/>
      <x:c r="DU623" s="4"/>
      <x:c r="DV623" s="4"/>
      <x:c r="DW623" s="4"/>
      <x:c r="DX623" s="4"/>
      <x:c r="DY623" s="4"/>
      <x:c r="DZ623" s="4"/>
      <x:c r="EA623" s="4"/>
      <x:c r="EB623" s="4"/>
      <x:c r="EC623" s="4"/>
      <x:c r="ED623" s="4"/>
      <x:c r="EE623" s="4"/>
      <x:c r="EF623" s="4"/>
      <x:c r="EG623" s="4"/>
      <x:c r="EH623" s="4"/>
      <x:c r="EI623" s="4"/>
      <x:c r="EJ623" s="4"/>
      <x:c r="EK623" s="4"/>
      <x:c r="EL623" s="4"/>
      <x:c r="EM623" s="4"/>
      <x:c r="EN623" s="4"/>
      <x:c r="EO623" s="4"/>
      <x:c r="EP623" s="4"/>
      <x:c r="EQ623" s="4"/>
      <x:c r="ER623" s="4"/>
      <x:c r="ES623" s="4"/>
      <x:c r="ET623" s="4"/>
      <x:c r="EU623" s="4"/>
      <x:c r="EV623" s="4"/>
      <x:c r="EW623" s="4"/>
      <x:c r="EX623" s="4"/>
      <x:c r="EY623" s="4"/>
      <x:c r="EZ623" s="4"/>
      <x:c r="FA623" s="4"/>
      <x:c r="FB623" s="4"/>
      <x:c r="FC623" s="4"/>
      <x:c r="FD623" s="4"/>
      <x:c r="FE623" s="4"/>
      <x:c r="FF623" s="4"/>
      <x:c r="FG623" s="4"/>
      <x:c r="FH623" s="4"/>
      <x:c r="FI623" s="4"/>
      <x:c r="FJ623" s="4"/>
      <x:c r="FK623" s="4"/>
      <x:c r="FL623" s="4"/>
      <x:c r="FM623" s="4"/>
      <x:c r="FN623" s="4"/>
      <x:c r="FO623" s="4"/>
    </x:row>
    <x:row r="624">
      <x:c r="A624" s="72"/>
      <x:c r="B624" s="72"/>
      <x:c r="C624" s="72"/>
      <x:c r="D624" s="72"/>
      <x:c r="E624" s="72"/>
      <x:c r="F624" s="72"/>
      <x:c r="G624" s="72"/>
      <x:c r="H624" s="72"/>
      <x:c r="I624" s="72"/>
      <x:c r="J624" s="72"/>
      <x:c r="K624" s="72"/>
      <x:c r="L624" s="72"/>
      <x:c r="M624" s="72"/>
      <x:c r="N624" s="72"/>
      <x:c r="O624" s="72"/>
      <x:c r="P624" s="72"/>
      <x:c r="Q624" s="72"/>
      <x:c r="R624" s="72"/>
      <x:c r="S624" s="72"/>
      <x:c r="T624" s="72"/>
      <x:c r="U624" s="72"/>
      <x:c r="V624" s="72"/>
      <x:c r="W624" s="72"/>
      <x:c r="X624" s="72"/>
      <x:c r="Y624" s="72"/>
      <x:c r="Z624" s="72"/>
      <x:c r="AA624" s="72"/>
      <x:c r="AB624" s="72"/>
      <x:c r="AC624" s="72"/>
      <x:c r="AD624" s="72"/>
      <x:c r="AE624" s="72"/>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4"/>
      <x:c r="DQ624" s="4"/>
      <x:c r="DR624" s="4"/>
      <x:c r="DS624" s="4"/>
      <x:c r="DT624" s="4"/>
      <x:c r="DU624" s="4"/>
      <x:c r="DV624" s="4"/>
      <x:c r="DW624" s="4"/>
      <x:c r="DX624" s="4"/>
      <x:c r="DY624" s="4"/>
      <x:c r="DZ624" s="4"/>
      <x:c r="EA624" s="4"/>
      <x:c r="EB624" s="4"/>
      <x:c r="EC624" s="4"/>
      <x:c r="ED624" s="4"/>
      <x:c r="EE624" s="4"/>
      <x:c r="EF624" s="4"/>
      <x:c r="EG624" s="4"/>
      <x:c r="EH624" s="4"/>
      <x:c r="EI624" s="4"/>
      <x:c r="EJ624" s="4"/>
      <x:c r="EK624" s="4"/>
      <x:c r="EL624" s="4"/>
      <x:c r="EM624" s="4"/>
      <x:c r="EN624" s="4"/>
      <x:c r="EO624" s="4"/>
      <x:c r="EP624" s="4"/>
      <x:c r="EQ624" s="4"/>
      <x:c r="ER624" s="4"/>
      <x:c r="ES624" s="4"/>
      <x:c r="ET624" s="4"/>
      <x:c r="EU624" s="4"/>
      <x:c r="EV624" s="4"/>
      <x:c r="EW624" s="4"/>
      <x:c r="EX624" s="4"/>
      <x:c r="EY624" s="4"/>
      <x:c r="EZ624" s="4"/>
      <x:c r="FA624" s="4"/>
      <x:c r="FB624" s="4"/>
      <x:c r="FC624" s="4"/>
      <x:c r="FD624" s="4"/>
      <x:c r="FE624" s="4"/>
      <x:c r="FF624" s="4"/>
      <x:c r="FG624" s="4"/>
      <x:c r="FH624" s="4"/>
      <x:c r="FI624" s="4"/>
      <x:c r="FJ624" s="4"/>
      <x:c r="FK624" s="4"/>
      <x:c r="FL624" s="4"/>
      <x:c r="FM624" s="4"/>
      <x:c r="FN624" s="4"/>
      <x:c r="FO624" s="4"/>
    </x:row>
    <x:row r="625">
      <x:c r="A625" s="72"/>
      <x:c r="B625" s="72"/>
      <x:c r="C625" s="72"/>
      <x:c r="D625" s="72"/>
      <x:c r="E625" s="72"/>
      <x:c r="F625" s="72"/>
      <x:c r="G625" s="72"/>
      <x:c r="H625" s="72"/>
      <x:c r="I625" s="72"/>
      <x:c r="J625" s="72"/>
      <x:c r="K625" s="72"/>
      <x:c r="L625" s="72"/>
      <x:c r="M625" s="72"/>
      <x:c r="N625" s="72"/>
      <x:c r="O625" s="72"/>
      <x:c r="P625" s="72"/>
      <x:c r="Q625" s="72"/>
      <x:c r="R625" s="72"/>
      <x:c r="S625" s="72"/>
      <x:c r="T625" s="72"/>
      <x:c r="U625" s="72"/>
      <x:c r="V625" s="72"/>
      <x:c r="W625" s="72"/>
      <x:c r="X625" s="72"/>
      <x:c r="Y625" s="72"/>
      <x:c r="Z625" s="72"/>
      <x:c r="AA625" s="72"/>
      <x:c r="AB625" s="72"/>
      <x:c r="AC625" s="72"/>
      <x:c r="AD625" s="72"/>
      <x:c r="AE625" s="72"/>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4"/>
      <x:c r="DQ625" s="4"/>
      <x:c r="DR625" s="4"/>
      <x:c r="DS625" s="4"/>
      <x:c r="DT625" s="4"/>
      <x:c r="DU625" s="4"/>
      <x:c r="DV625" s="4"/>
      <x:c r="DW625" s="4"/>
      <x:c r="DX625" s="4"/>
      <x:c r="DY625" s="4"/>
      <x:c r="DZ625" s="4"/>
      <x:c r="EA625" s="4"/>
      <x:c r="EB625" s="4"/>
      <x:c r="EC625" s="4"/>
      <x:c r="ED625" s="4"/>
      <x:c r="EE625" s="4"/>
      <x:c r="EF625" s="4"/>
      <x:c r="EG625" s="4"/>
      <x:c r="EH625" s="4"/>
      <x:c r="EI625" s="4"/>
      <x:c r="EJ625" s="4"/>
      <x:c r="EK625" s="4"/>
      <x:c r="EL625" s="4"/>
      <x:c r="EM625" s="4"/>
      <x:c r="EN625" s="4"/>
      <x:c r="EO625" s="4"/>
      <x:c r="EP625" s="4"/>
      <x:c r="EQ625" s="4"/>
      <x:c r="ER625" s="4"/>
      <x:c r="ES625" s="4"/>
      <x:c r="ET625" s="4"/>
      <x:c r="EU625" s="4"/>
      <x:c r="EV625" s="4"/>
      <x:c r="EW625" s="4"/>
      <x:c r="EX625" s="4"/>
      <x:c r="EY625" s="4"/>
      <x:c r="EZ625" s="4"/>
      <x:c r="FA625" s="4"/>
      <x:c r="FB625" s="4"/>
      <x:c r="FC625" s="4"/>
      <x:c r="FD625" s="4"/>
      <x:c r="FE625" s="4"/>
      <x:c r="FF625" s="4"/>
      <x:c r="FG625" s="4"/>
      <x:c r="FH625" s="4"/>
      <x:c r="FI625" s="4"/>
      <x:c r="FJ625" s="4"/>
      <x:c r="FK625" s="4"/>
      <x:c r="FL625" s="4"/>
      <x:c r="FM625" s="4"/>
      <x:c r="FN625" s="4"/>
      <x:c r="FO625" s="4"/>
    </x:row>
    <x:row r="626">
      <x:c r="A626" s="72"/>
      <x:c r="B626" s="72"/>
      <x:c r="C626" s="72"/>
      <x:c r="D626" s="72"/>
      <x:c r="E626" s="72"/>
      <x:c r="F626" s="72"/>
      <x:c r="G626" s="72"/>
      <x:c r="H626" s="72"/>
      <x:c r="I626" s="72"/>
      <x:c r="J626" s="72"/>
      <x:c r="K626" s="72"/>
      <x:c r="L626" s="72"/>
      <x:c r="M626" s="72"/>
      <x:c r="N626" s="72"/>
      <x:c r="O626" s="72"/>
      <x:c r="P626" s="72"/>
      <x:c r="Q626" s="72"/>
      <x:c r="R626" s="72"/>
      <x:c r="S626" s="72"/>
      <x:c r="T626" s="72"/>
      <x:c r="U626" s="72"/>
      <x:c r="V626" s="72"/>
      <x:c r="W626" s="72"/>
      <x:c r="X626" s="72"/>
      <x:c r="Y626" s="72"/>
      <x:c r="Z626" s="72"/>
      <x:c r="AA626" s="72"/>
      <x:c r="AB626" s="72"/>
      <x:c r="AC626" s="72"/>
      <x:c r="AD626" s="72"/>
      <x:c r="AE626" s="72"/>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4"/>
      <x:c r="DQ626" s="4"/>
      <x:c r="DR626" s="4"/>
      <x:c r="DS626" s="4"/>
      <x:c r="DT626" s="4"/>
      <x:c r="DU626" s="4"/>
      <x:c r="DV626" s="4"/>
      <x:c r="DW626" s="4"/>
      <x:c r="DX626" s="4"/>
      <x:c r="DY626" s="4"/>
      <x:c r="DZ626" s="4"/>
      <x:c r="EA626" s="4"/>
      <x:c r="EB626" s="4"/>
      <x:c r="EC626" s="4"/>
      <x:c r="ED626" s="4"/>
      <x:c r="EE626" s="4"/>
      <x:c r="EF626" s="4"/>
      <x:c r="EG626" s="4"/>
      <x:c r="EH626" s="4"/>
      <x:c r="EI626" s="4"/>
      <x:c r="EJ626" s="4"/>
      <x:c r="EK626" s="4"/>
      <x:c r="EL626" s="4"/>
      <x:c r="EM626" s="4"/>
      <x:c r="EN626" s="4"/>
      <x:c r="EO626" s="4"/>
      <x:c r="EP626" s="4"/>
      <x:c r="EQ626" s="4"/>
      <x:c r="ER626" s="4"/>
      <x:c r="ES626" s="4"/>
      <x:c r="ET626" s="4"/>
      <x:c r="EU626" s="4"/>
      <x:c r="EV626" s="4"/>
      <x:c r="EW626" s="4"/>
      <x:c r="EX626" s="4"/>
      <x:c r="EY626" s="4"/>
      <x:c r="EZ626" s="4"/>
      <x:c r="FA626" s="4"/>
      <x:c r="FB626" s="4"/>
      <x:c r="FC626" s="4"/>
      <x:c r="FD626" s="4"/>
      <x:c r="FE626" s="4"/>
      <x:c r="FF626" s="4"/>
      <x:c r="FG626" s="4"/>
      <x:c r="FH626" s="4"/>
      <x:c r="FI626" s="4"/>
      <x:c r="FJ626" s="4"/>
      <x:c r="FK626" s="4"/>
      <x:c r="FL626" s="4"/>
      <x:c r="FM626" s="4"/>
      <x:c r="FN626" s="4"/>
      <x:c r="FO626" s="4"/>
    </x:row>
    <x:row r="627">
      <x:c r="A627" s="72"/>
      <x:c r="B627" s="72"/>
      <x:c r="C627" s="72"/>
      <x:c r="D627" s="72"/>
      <x:c r="E627" s="72"/>
      <x:c r="F627" s="72"/>
      <x:c r="G627" s="72"/>
      <x:c r="H627" s="72"/>
      <x:c r="I627" s="72"/>
      <x:c r="J627" s="72"/>
      <x:c r="K627" s="72"/>
      <x:c r="L627" s="72"/>
      <x:c r="M627" s="72"/>
      <x:c r="N627" s="72"/>
      <x:c r="O627" s="72"/>
      <x:c r="P627" s="72"/>
      <x:c r="Q627" s="72"/>
      <x:c r="R627" s="72"/>
      <x:c r="S627" s="72"/>
      <x:c r="T627" s="72"/>
      <x:c r="U627" s="72"/>
      <x:c r="V627" s="72"/>
      <x:c r="W627" s="72"/>
      <x:c r="X627" s="72"/>
      <x:c r="Y627" s="72"/>
      <x:c r="Z627" s="72"/>
      <x:c r="AA627" s="72"/>
      <x:c r="AB627" s="72"/>
      <x:c r="AC627" s="72"/>
      <x:c r="AD627" s="72"/>
      <x:c r="AE627" s="72"/>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4"/>
      <x:c r="DQ627" s="4"/>
      <x:c r="DR627" s="4"/>
      <x:c r="DS627" s="4"/>
      <x:c r="DT627" s="4"/>
      <x:c r="DU627" s="4"/>
      <x:c r="DV627" s="4"/>
      <x:c r="DW627" s="4"/>
      <x:c r="DX627" s="4"/>
      <x:c r="DY627" s="4"/>
      <x:c r="DZ627" s="4"/>
      <x:c r="EA627" s="4"/>
      <x:c r="EB627" s="4"/>
      <x:c r="EC627" s="4"/>
      <x:c r="ED627" s="4"/>
      <x:c r="EE627" s="4"/>
      <x:c r="EF627" s="4"/>
      <x:c r="EG627" s="4"/>
      <x:c r="EH627" s="4"/>
      <x:c r="EI627" s="4"/>
      <x:c r="EJ627" s="4"/>
      <x:c r="EK627" s="4"/>
      <x:c r="EL627" s="4"/>
      <x:c r="EM627" s="4"/>
      <x:c r="EN627" s="4"/>
      <x:c r="EO627" s="4"/>
      <x:c r="EP627" s="4"/>
      <x:c r="EQ627" s="4"/>
      <x:c r="ER627" s="4"/>
      <x:c r="ES627" s="4"/>
      <x:c r="ET627" s="4"/>
      <x:c r="EU627" s="4"/>
      <x:c r="EV627" s="4"/>
      <x:c r="EW627" s="4"/>
      <x:c r="EX627" s="4"/>
      <x:c r="EY627" s="4"/>
      <x:c r="EZ627" s="4"/>
      <x:c r="FA627" s="4"/>
      <x:c r="FB627" s="4"/>
      <x:c r="FC627" s="4"/>
      <x:c r="FD627" s="4"/>
      <x:c r="FE627" s="4"/>
      <x:c r="FF627" s="4"/>
      <x:c r="FG627" s="4"/>
      <x:c r="FH627" s="4"/>
      <x:c r="FI627" s="4"/>
      <x:c r="FJ627" s="4"/>
      <x:c r="FK627" s="4"/>
      <x:c r="FL627" s="4"/>
      <x:c r="FM627" s="4"/>
      <x:c r="FN627" s="4"/>
      <x:c r="FO627" s="4"/>
    </x:row>
    <x:row r="628">
      <x:c r="A628" s="72"/>
      <x:c r="B628" s="72"/>
      <x:c r="C628" s="72"/>
      <x:c r="D628" s="72"/>
      <x:c r="E628" s="72"/>
      <x:c r="F628" s="72"/>
      <x:c r="G628" s="72"/>
      <x:c r="H628" s="72"/>
      <x:c r="I628" s="72"/>
      <x:c r="J628" s="72"/>
      <x:c r="K628" s="72"/>
      <x:c r="L628" s="72"/>
      <x:c r="M628" s="72"/>
      <x:c r="N628" s="72"/>
      <x:c r="O628" s="72"/>
      <x:c r="P628" s="72"/>
      <x:c r="Q628" s="72"/>
      <x:c r="R628" s="72"/>
      <x:c r="S628" s="72"/>
      <x:c r="T628" s="72"/>
      <x:c r="U628" s="72"/>
      <x:c r="V628" s="72"/>
      <x:c r="W628" s="72"/>
      <x:c r="X628" s="72"/>
      <x:c r="Y628" s="72"/>
      <x:c r="Z628" s="72"/>
      <x:c r="AA628" s="72"/>
      <x:c r="AB628" s="72"/>
      <x:c r="AC628" s="72"/>
      <x:c r="AD628" s="72"/>
      <x:c r="AE628" s="72"/>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4"/>
      <x:c r="DQ628" s="4"/>
      <x:c r="DR628" s="4"/>
      <x:c r="DS628" s="4"/>
      <x:c r="DT628" s="4"/>
      <x:c r="DU628" s="4"/>
      <x:c r="DV628" s="4"/>
      <x:c r="DW628" s="4"/>
      <x:c r="DX628" s="4"/>
      <x:c r="DY628" s="4"/>
      <x:c r="DZ628" s="4"/>
      <x:c r="EA628" s="4"/>
      <x:c r="EB628" s="4"/>
      <x:c r="EC628" s="4"/>
      <x:c r="ED628" s="4"/>
      <x:c r="EE628" s="4"/>
      <x:c r="EF628" s="4"/>
      <x:c r="EG628" s="4"/>
      <x:c r="EH628" s="4"/>
      <x:c r="EI628" s="4"/>
      <x:c r="EJ628" s="4"/>
      <x:c r="EK628" s="4"/>
      <x:c r="EL628" s="4"/>
      <x:c r="EM628" s="4"/>
      <x:c r="EN628" s="4"/>
      <x:c r="EO628" s="4"/>
      <x:c r="EP628" s="4"/>
      <x:c r="EQ628" s="4"/>
      <x:c r="ER628" s="4"/>
      <x:c r="ES628" s="4"/>
      <x:c r="ET628" s="4"/>
      <x:c r="EU628" s="4"/>
      <x:c r="EV628" s="4"/>
      <x:c r="EW628" s="4"/>
      <x:c r="EX628" s="4"/>
      <x:c r="EY628" s="4"/>
      <x:c r="EZ628" s="4"/>
      <x:c r="FA628" s="4"/>
      <x:c r="FB628" s="4"/>
      <x:c r="FC628" s="4"/>
      <x:c r="FD628" s="4"/>
      <x:c r="FE628" s="4"/>
      <x:c r="FF628" s="4"/>
      <x:c r="FG628" s="4"/>
      <x:c r="FH628" s="4"/>
      <x:c r="FI628" s="4"/>
      <x:c r="FJ628" s="4"/>
      <x:c r="FK628" s="4"/>
      <x:c r="FL628" s="4"/>
      <x:c r="FM628" s="4"/>
      <x:c r="FN628" s="4"/>
      <x:c r="FO628" s="4"/>
    </x:row>
    <x:row r="629">
      <x:c r="A629" s="72"/>
      <x:c r="B629" s="72"/>
      <x:c r="C629" s="72"/>
      <x:c r="D629" s="72"/>
      <x:c r="E629" s="72"/>
      <x:c r="F629" s="72"/>
      <x:c r="G629" s="72"/>
      <x:c r="H629" s="72"/>
      <x:c r="I629" s="72"/>
      <x:c r="J629" s="72"/>
      <x:c r="K629" s="72"/>
      <x:c r="L629" s="72"/>
      <x:c r="M629" s="72"/>
      <x:c r="N629" s="72"/>
      <x:c r="O629" s="72"/>
      <x:c r="P629" s="72"/>
      <x:c r="Q629" s="72"/>
      <x:c r="R629" s="72"/>
      <x:c r="S629" s="72"/>
      <x:c r="T629" s="72"/>
      <x:c r="U629" s="72"/>
      <x:c r="V629" s="72"/>
      <x:c r="W629" s="72"/>
      <x:c r="X629" s="72"/>
      <x:c r="Y629" s="72"/>
      <x:c r="Z629" s="72"/>
      <x:c r="AA629" s="72"/>
      <x:c r="AB629" s="72"/>
      <x:c r="AC629" s="72"/>
      <x:c r="AD629" s="72"/>
      <x:c r="AE629" s="72"/>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4"/>
      <x:c r="DQ629" s="4"/>
      <x:c r="DR629" s="4"/>
      <x:c r="DS629" s="4"/>
      <x:c r="DT629" s="4"/>
      <x:c r="DU629" s="4"/>
      <x:c r="DV629" s="4"/>
      <x:c r="DW629" s="4"/>
      <x:c r="DX629" s="4"/>
      <x:c r="DY629" s="4"/>
      <x:c r="DZ629" s="4"/>
      <x:c r="EA629" s="4"/>
      <x:c r="EB629" s="4"/>
      <x:c r="EC629" s="4"/>
      <x:c r="ED629" s="4"/>
      <x:c r="EE629" s="4"/>
      <x:c r="EF629" s="4"/>
      <x:c r="EG629" s="4"/>
      <x:c r="EH629" s="4"/>
      <x:c r="EI629" s="4"/>
      <x:c r="EJ629" s="4"/>
      <x:c r="EK629" s="4"/>
      <x:c r="EL629" s="4"/>
      <x:c r="EM629" s="4"/>
      <x:c r="EN629" s="4"/>
      <x:c r="EO629" s="4"/>
      <x:c r="EP629" s="4"/>
      <x:c r="EQ629" s="4"/>
      <x:c r="ER629" s="4"/>
      <x:c r="ES629" s="4"/>
      <x:c r="ET629" s="4"/>
      <x:c r="EU629" s="4"/>
      <x:c r="EV629" s="4"/>
      <x:c r="EW629" s="4"/>
      <x:c r="EX629" s="4"/>
      <x:c r="EY629" s="4"/>
      <x:c r="EZ629" s="4"/>
      <x:c r="FA629" s="4"/>
      <x:c r="FB629" s="4"/>
      <x:c r="FC629" s="4"/>
      <x:c r="FD629" s="4"/>
      <x:c r="FE629" s="4"/>
      <x:c r="FF629" s="4"/>
      <x:c r="FG629" s="4"/>
      <x:c r="FH629" s="4"/>
      <x:c r="FI629" s="4"/>
      <x:c r="FJ629" s="4"/>
      <x:c r="FK629" s="4"/>
      <x:c r="FL629" s="4"/>
      <x:c r="FM629" s="4"/>
      <x:c r="FN629" s="4"/>
      <x:c r="FO629" s="4"/>
    </x:row>
    <x:row r="630">
      <x:c r="A630" s="72"/>
      <x:c r="B630" s="72"/>
      <x:c r="C630" s="72"/>
      <x:c r="D630" s="72"/>
      <x:c r="E630" s="72"/>
      <x:c r="F630" s="72"/>
      <x:c r="G630" s="72"/>
      <x:c r="H630" s="72"/>
      <x:c r="I630" s="72"/>
      <x:c r="J630" s="72"/>
      <x:c r="K630" s="72"/>
      <x:c r="L630" s="72"/>
      <x:c r="M630" s="72"/>
      <x:c r="N630" s="72"/>
      <x:c r="O630" s="72"/>
      <x:c r="P630" s="72"/>
      <x:c r="Q630" s="72"/>
      <x:c r="R630" s="72"/>
      <x:c r="S630" s="72"/>
      <x:c r="T630" s="72"/>
      <x:c r="U630" s="72"/>
      <x:c r="V630" s="72"/>
      <x:c r="W630" s="72"/>
      <x:c r="X630" s="72"/>
      <x:c r="Y630" s="72"/>
      <x:c r="Z630" s="72"/>
      <x:c r="AA630" s="72"/>
      <x:c r="AB630" s="72"/>
      <x:c r="AC630" s="72"/>
      <x:c r="AD630" s="72"/>
      <x:c r="AE630" s="72"/>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4"/>
      <x:c r="DQ630" s="4"/>
      <x:c r="DR630" s="4"/>
      <x:c r="DS630" s="4"/>
      <x:c r="DT630" s="4"/>
      <x:c r="DU630" s="4"/>
      <x:c r="DV630" s="4"/>
      <x:c r="DW630" s="4"/>
      <x:c r="DX630" s="4"/>
      <x:c r="DY630" s="4"/>
      <x:c r="DZ630" s="4"/>
      <x:c r="EA630" s="4"/>
      <x:c r="EB630" s="4"/>
      <x:c r="EC630" s="4"/>
      <x:c r="ED630" s="4"/>
      <x:c r="EE630" s="4"/>
      <x:c r="EF630" s="4"/>
      <x:c r="EG630" s="4"/>
      <x:c r="EH630" s="4"/>
      <x:c r="EI630" s="4"/>
      <x:c r="EJ630" s="4"/>
      <x:c r="EK630" s="4"/>
      <x:c r="EL630" s="4"/>
      <x:c r="EM630" s="4"/>
      <x:c r="EN630" s="4"/>
      <x:c r="EO630" s="4"/>
      <x:c r="EP630" s="4"/>
      <x:c r="EQ630" s="4"/>
      <x:c r="ER630" s="4"/>
      <x:c r="ES630" s="4"/>
      <x:c r="ET630" s="4"/>
      <x:c r="EU630" s="4"/>
      <x:c r="EV630" s="4"/>
      <x:c r="EW630" s="4"/>
      <x:c r="EX630" s="4"/>
      <x:c r="EY630" s="4"/>
      <x:c r="EZ630" s="4"/>
      <x:c r="FA630" s="4"/>
      <x:c r="FB630" s="4"/>
      <x:c r="FC630" s="4"/>
      <x:c r="FD630" s="4"/>
      <x:c r="FE630" s="4"/>
      <x:c r="FF630" s="4"/>
      <x:c r="FG630" s="4"/>
      <x:c r="FH630" s="4"/>
      <x:c r="FI630" s="4"/>
      <x:c r="FJ630" s="4"/>
      <x:c r="FK630" s="4"/>
      <x:c r="FL630" s="4"/>
      <x:c r="FM630" s="4"/>
      <x:c r="FN630" s="4"/>
      <x:c r="FO630" s="4"/>
    </x:row>
    <x:row r="631">
      <x:c r="A631" s="72"/>
      <x:c r="B631" s="72"/>
      <x:c r="C631" s="72"/>
      <x:c r="D631" s="72"/>
      <x:c r="E631" s="72"/>
      <x:c r="F631" s="72"/>
      <x:c r="G631" s="72"/>
      <x:c r="H631" s="72"/>
      <x:c r="I631" s="72"/>
      <x:c r="J631" s="72"/>
      <x:c r="K631" s="72"/>
      <x:c r="L631" s="72"/>
      <x:c r="M631" s="72"/>
      <x:c r="N631" s="72"/>
      <x:c r="O631" s="72"/>
      <x:c r="P631" s="72"/>
      <x:c r="Q631" s="72"/>
      <x:c r="R631" s="72"/>
      <x:c r="S631" s="72"/>
      <x:c r="T631" s="72"/>
      <x:c r="U631" s="72"/>
      <x:c r="V631" s="72"/>
      <x:c r="W631" s="72"/>
      <x:c r="X631" s="72"/>
      <x:c r="Y631" s="72"/>
      <x:c r="Z631" s="72"/>
      <x:c r="AA631" s="72"/>
      <x:c r="AB631" s="72"/>
      <x:c r="AC631" s="72"/>
      <x:c r="AD631" s="72"/>
      <x:c r="AE631" s="72"/>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4"/>
      <x:c r="DQ631" s="4"/>
      <x:c r="DR631" s="4"/>
      <x:c r="DS631" s="4"/>
      <x:c r="DT631" s="4"/>
      <x:c r="DU631" s="4"/>
      <x:c r="DV631" s="4"/>
      <x:c r="DW631" s="4"/>
      <x:c r="DX631" s="4"/>
      <x:c r="DY631" s="4"/>
      <x:c r="DZ631" s="4"/>
      <x:c r="EA631" s="4"/>
      <x:c r="EB631" s="4"/>
      <x:c r="EC631" s="4"/>
      <x:c r="ED631" s="4"/>
      <x:c r="EE631" s="4"/>
      <x:c r="EF631" s="4"/>
      <x:c r="EG631" s="4"/>
      <x:c r="EH631" s="4"/>
      <x:c r="EI631" s="4"/>
      <x:c r="EJ631" s="4"/>
      <x:c r="EK631" s="4"/>
      <x:c r="EL631" s="4"/>
      <x:c r="EM631" s="4"/>
      <x:c r="EN631" s="4"/>
      <x:c r="EO631" s="4"/>
      <x:c r="EP631" s="4"/>
      <x:c r="EQ631" s="4"/>
      <x:c r="ER631" s="4"/>
      <x:c r="ES631" s="4"/>
      <x:c r="ET631" s="4"/>
      <x:c r="EU631" s="4"/>
      <x:c r="EV631" s="4"/>
      <x:c r="EW631" s="4"/>
      <x:c r="EX631" s="4"/>
      <x:c r="EY631" s="4"/>
      <x:c r="EZ631" s="4"/>
      <x:c r="FA631" s="4"/>
      <x:c r="FB631" s="4"/>
      <x:c r="FC631" s="4"/>
      <x:c r="FD631" s="4"/>
      <x:c r="FE631" s="4"/>
      <x:c r="FF631" s="4"/>
      <x:c r="FG631" s="4"/>
      <x:c r="FH631" s="4"/>
      <x:c r="FI631" s="4"/>
      <x:c r="FJ631" s="4"/>
      <x:c r="FK631" s="4"/>
      <x:c r="FL631" s="4"/>
      <x:c r="FM631" s="4"/>
      <x:c r="FN631" s="4"/>
      <x:c r="FO631" s="4"/>
    </x:row>
    <x:row r="632">
      <x:c r="A632" s="72"/>
      <x:c r="B632" s="72"/>
      <x:c r="C632" s="72"/>
      <x:c r="D632" s="72"/>
      <x:c r="E632" s="72"/>
      <x:c r="F632" s="72"/>
      <x:c r="G632" s="72"/>
      <x:c r="H632" s="72"/>
      <x:c r="I632" s="72"/>
      <x:c r="J632" s="72"/>
      <x:c r="K632" s="72"/>
      <x:c r="L632" s="72"/>
      <x:c r="M632" s="72"/>
      <x:c r="N632" s="72"/>
      <x:c r="O632" s="72"/>
      <x:c r="P632" s="72"/>
      <x:c r="Q632" s="72"/>
      <x:c r="R632" s="72"/>
      <x:c r="S632" s="72"/>
      <x:c r="T632" s="72"/>
      <x:c r="U632" s="72"/>
      <x:c r="V632" s="72"/>
      <x:c r="W632" s="72"/>
      <x:c r="X632" s="72"/>
      <x:c r="Y632" s="72"/>
      <x:c r="Z632" s="72"/>
      <x:c r="AA632" s="72"/>
      <x:c r="AB632" s="72"/>
      <x:c r="AC632" s="72"/>
      <x:c r="AD632" s="72"/>
      <x:c r="AE632" s="72"/>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4"/>
      <x:c r="DQ632" s="4"/>
      <x:c r="DR632" s="4"/>
      <x:c r="DS632" s="4"/>
      <x:c r="DT632" s="4"/>
      <x:c r="DU632" s="4"/>
      <x:c r="DV632" s="4"/>
      <x:c r="DW632" s="4"/>
      <x:c r="DX632" s="4"/>
      <x:c r="DY632" s="4"/>
      <x:c r="DZ632" s="4"/>
      <x:c r="EA632" s="4"/>
      <x:c r="EB632" s="4"/>
      <x:c r="EC632" s="4"/>
      <x:c r="ED632" s="4"/>
      <x:c r="EE632" s="4"/>
      <x:c r="EF632" s="4"/>
      <x:c r="EG632" s="4"/>
      <x:c r="EH632" s="4"/>
      <x:c r="EI632" s="4"/>
      <x:c r="EJ632" s="4"/>
      <x:c r="EK632" s="4"/>
      <x:c r="EL632" s="4"/>
      <x:c r="EM632" s="4"/>
      <x:c r="EN632" s="4"/>
      <x:c r="EO632" s="4"/>
      <x:c r="EP632" s="4"/>
      <x:c r="EQ632" s="4"/>
      <x:c r="ER632" s="4"/>
      <x:c r="ES632" s="4"/>
      <x:c r="ET632" s="4"/>
      <x:c r="EU632" s="4"/>
      <x:c r="EV632" s="4"/>
      <x:c r="EW632" s="4"/>
      <x:c r="EX632" s="4"/>
      <x:c r="EY632" s="4"/>
      <x:c r="EZ632" s="4"/>
      <x:c r="FA632" s="4"/>
      <x:c r="FB632" s="4"/>
      <x:c r="FC632" s="4"/>
      <x:c r="FD632" s="4"/>
      <x:c r="FE632" s="4"/>
      <x:c r="FF632" s="4"/>
      <x:c r="FG632" s="4"/>
      <x:c r="FH632" s="4"/>
      <x:c r="FI632" s="4"/>
      <x:c r="FJ632" s="4"/>
      <x:c r="FK632" s="4"/>
      <x:c r="FL632" s="4"/>
      <x:c r="FM632" s="4"/>
      <x:c r="FN632" s="4"/>
      <x:c r="FO632" s="4"/>
    </x:row>
    <x:row r="633">
      <x:c r="A633" s="72"/>
      <x:c r="B633" s="72"/>
      <x:c r="C633" s="72"/>
      <x:c r="D633" s="72"/>
      <x:c r="E633" s="72"/>
      <x:c r="F633" s="72"/>
      <x:c r="G633" s="72"/>
      <x:c r="H633" s="72"/>
      <x:c r="I633" s="72"/>
      <x:c r="J633" s="72"/>
      <x:c r="K633" s="72"/>
      <x:c r="L633" s="72"/>
      <x:c r="M633" s="72"/>
      <x:c r="N633" s="72"/>
      <x:c r="O633" s="72"/>
      <x:c r="P633" s="72"/>
      <x:c r="Q633" s="72"/>
      <x:c r="R633" s="72"/>
      <x:c r="S633" s="72"/>
      <x:c r="T633" s="72"/>
      <x:c r="U633" s="72"/>
      <x:c r="V633" s="72"/>
      <x:c r="W633" s="72"/>
      <x:c r="X633" s="72"/>
      <x:c r="Y633" s="72"/>
      <x:c r="Z633" s="72"/>
      <x:c r="AA633" s="72"/>
      <x:c r="AB633" s="72"/>
      <x:c r="AC633" s="72"/>
      <x:c r="AD633" s="72"/>
      <x:c r="AE633" s="72"/>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4"/>
      <x:c r="DQ633" s="4"/>
      <x:c r="DR633" s="4"/>
      <x:c r="DS633" s="4"/>
      <x:c r="DT633" s="4"/>
      <x:c r="DU633" s="4"/>
      <x:c r="DV633" s="4"/>
      <x:c r="DW633" s="4"/>
      <x:c r="DX633" s="4"/>
      <x:c r="DY633" s="4"/>
      <x:c r="DZ633" s="4"/>
      <x:c r="EA633" s="4"/>
      <x:c r="EB633" s="4"/>
      <x:c r="EC633" s="4"/>
      <x:c r="ED633" s="4"/>
      <x:c r="EE633" s="4"/>
      <x:c r="EF633" s="4"/>
      <x:c r="EG633" s="4"/>
      <x:c r="EH633" s="4"/>
      <x:c r="EI633" s="4"/>
      <x:c r="EJ633" s="4"/>
      <x:c r="EK633" s="4"/>
      <x:c r="EL633" s="4"/>
      <x:c r="EM633" s="4"/>
      <x:c r="EN633" s="4"/>
      <x:c r="EO633" s="4"/>
      <x:c r="EP633" s="4"/>
      <x:c r="EQ633" s="4"/>
      <x:c r="ER633" s="4"/>
      <x:c r="ES633" s="4"/>
      <x:c r="ET633" s="4"/>
      <x:c r="EU633" s="4"/>
      <x:c r="EV633" s="4"/>
      <x:c r="EW633" s="4"/>
      <x:c r="EX633" s="4"/>
      <x:c r="EY633" s="4"/>
      <x:c r="EZ633" s="4"/>
      <x:c r="FA633" s="4"/>
      <x:c r="FB633" s="4"/>
      <x:c r="FC633" s="4"/>
      <x:c r="FD633" s="4"/>
      <x:c r="FE633" s="4"/>
      <x:c r="FF633" s="4"/>
      <x:c r="FG633" s="4"/>
      <x:c r="FH633" s="4"/>
      <x:c r="FI633" s="4"/>
      <x:c r="FJ633" s="4"/>
      <x:c r="FK633" s="4"/>
      <x:c r="FL633" s="4"/>
      <x:c r="FM633" s="4"/>
      <x:c r="FN633" s="4"/>
      <x:c r="FO633" s="4"/>
    </x:row>
    <x:row r="634">
      <x:c r="A634" s="72"/>
      <x:c r="B634" s="72"/>
      <x:c r="C634" s="72"/>
      <x:c r="D634" s="72"/>
      <x:c r="E634" s="72"/>
      <x:c r="F634" s="72"/>
      <x:c r="G634" s="72"/>
      <x:c r="H634" s="72"/>
      <x:c r="I634" s="72"/>
      <x:c r="J634" s="72"/>
      <x:c r="K634" s="72"/>
      <x:c r="L634" s="72"/>
      <x:c r="M634" s="72"/>
      <x:c r="N634" s="72"/>
      <x:c r="O634" s="72"/>
      <x:c r="P634" s="72"/>
      <x:c r="Q634" s="72"/>
      <x:c r="R634" s="72"/>
      <x:c r="S634" s="72"/>
      <x:c r="T634" s="72"/>
      <x:c r="U634" s="72"/>
      <x:c r="V634" s="72"/>
      <x:c r="W634" s="72"/>
      <x:c r="X634" s="72"/>
      <x:c r="Y634" s="72"/>
      <x:c r="Z634" s="72"/>
      <x:c r="AA634" s="72"/>
      <x:c r="AB634" s="72"/>
      <x:c r="AC634" s="72"/>
      <x:c r="AD634" s="72"/>
      <x:c r="AE634" s="72"/>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4"/>
      <x:c r="DQ634" s="4"/>
      <x:c r="DR634" s="4"/>
      <x:c r="DS634" s="4"/>
      <x:c r="DT634" s="4"/>
      <x:c r="DU634" s="4"/>
      <x:c r="DV634" s="4"/>
      <x:c r="DW634" s="4"/>
      <x:c r="DX634" s="4"/>
      <x:c r="DY634" s="4"/>
      <x:c r="DZ634" s="4"/>
      <x:c r="EA634" s="4"/>
      <x:c r="EB634" s="4"/>
      <x:c r="EC634" s="4"/>
      <x:c r="ED634" s="4"/>
      <x:c r="EE634" s="4"/>
      <x:c r="EF634" s="4"/>
      <x:c r="EG634" s="4"/>
      <x:c r="EH634" s="4"/>
      <x:c r="EI634" s="4"/>
      <x:c r="EJ634" s="4"/>
      <x:c r="EK634" s="4"/>
      <x:c r="EL634" s="4"/>
      <x:c r="EM634" s="4"/>
      <x:c r="EN634" s="4"/>
      <x:c r="EO634" s="4"/>
      <x:c r="EP634" s="4"/>
      <x:c r="EQ634" s="4"/>
      <x:c r="ER634" s="4"/>
      <x:c r="ES634" s="4"/>
      <x:c r="ET634" s="4"/>
      <x:c r="EU634" s="4"/>
      <x:c r="EV634" s="4"/>
      <x:c r="EW634" s="4"/>
      <x:c r="EX634" s="4"/>
      <x:c r="EY634" s="4"/>
      <x:c r="EZ634" s="4"/>
      <x:c r="FA634" s="4"/>
      <x:c r="FB634" s="4"/>
      <x:c r="FC634" s="4"/>
      <x:c r="FD634" s="4"/>
      <x:c r="FE634" s="4"/>
      <x:c r="FF634" s="4"/>
      <x:c r="FG634" s="4"/>
      <x:c r="FH634" s="4"/>
      <x:c r="FI634" s="4"/>
      <x:c r="FJ634" s="4"/>
      <x:c r="FK634" s="4"/>
      <x:c r="FL634" s="4"/>
      <x:c r="FM634" s="4"/>
      <x:c r="FN634" s="4"/>
      <x:c r="FO634" s="4"/>
    </x:row>
    <x:row r="635">
      <x:c r="A635" s="72"/>
      <x:c r="B635" s="72"/>
      <x:c r="C635" s="72"/>
      <x:c r="D635" s="72"/>
      <x:c r="E635" s="72"/>
      <x:c r="F635" s="72"/>
      <x:c r="G635" s="72"/>
      <x:c r="H635" s="72"/>
      <x:c r="I635" s="72"/>
      <x:c r="J635" s="72"/>
      <x:c r="K635" s="72"/>
      <x:c r="L635" s="72"/>
      <x:c r="M635" s="72"/>
      <x:c r="N635" s="72"/>
      <x:c r="O635" s="72"/>
      <x:c r="P635" s="72"/>
      <x:c r="Q635" s="72"/>
      <x:c r="R635" s="72"/>
      <x:c r="S635" s="72"/>
      <x:c r="T635" s="72"/>
      <x:c r="U635" s="72"/>
      <x:c r="V635" s="72"/>
      <x:c r="W635" s="72"/>
      <x:c r="X635" s="72"/>
      <x:c r="Y635" s="72"/>
      <x:c r="Z635" s="72"/>
      <x:c r="AA635" s="72"/>
      <x:c r="AB635" s="72"/>
      <x:c r="AC635" s="72"/>
      <x:c r="AD635" s="72"/>
      <x:c r="AE635" s="72"/>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4"/>
      <x:c r="DQ635" s="4"/>
      <x:c r="DR635" s="4"/>
      <x:c r="DS635" s="4"/>
      <x:c r="DT635" s="4"/>
      <x:c r="DU635" s="4"/>
      <x:c r="DV635" s="4"/>
      <x:c r="DW635" s="4"/>
      <x:c r="DX635" s="4"/>
      <x:c r="DY635" s="4"/>
      <x:c r="DZ635" s="4"/>
      <x:c r="EA635" s="4"/>
      <x:c r="EB635" s="4"/>
      <x:c r="EC635" s="4"/>
      <x:c r="ED635" s="4"/>
      <x:c r="EE635" s="4"/>
      <x:c r="EF635" s="4"/>
      <x:c r="EG635" s="4"/>
      <x:c r="EH635" s="4"/>
      <x:c r="EI635" s="4"/>
      <x:c r="EJ635" s="4"/>
      <x:c r="EK635" s="4"/>
      <x:c r="EL635" s="4"/>
      <x:c r="EM635" s="4"/>
      <x:c r="EN635" s="4"/>
      <x:c r="EO635" s="4"/>
      <x:c r="EP635" s="4"/>
      <x:c r="EQ635" s="4"/>
      <x:c r="ER635" s="4"/>
      <x:c r="ES635" s="4"/>
      <x:c r="ET635" s="4"/>
      <x:c r="EU635" s="4"/>
      <x:c r="EV635" s="4"/>
      <x:c r="EW635" s="4"/>
      <x:c r="EX635" s="4"/>
      <x:c r="EY635" s="4"/>
      <x:c r="EZ635" s="4"/>
      <x:c r="FA635" s="4"/>
      <x:c r="FB635" s="4"/>
      <x:c r="FC635" s="4"/>
      <x:c r="FD635" s="4"/>
      <x:c r="FE635" s="4"/>
      <x:c r="FF635" s="4"/>
      <x:c r="FG635" s="4"/>
      <x:c r="FH635" s="4"/>
      <x:c r="FI635" s="4"/>
      <x:c r="FJ635" s="4"/>
      <x:c r="FK635" s="4"/>
      <x:c r="FL635" s="4"/>
      <x:c r="FM635" s="4"/>
      <x:c r="FN635" s="4"/>
      <x:c r="FO635" s="4"/>
    </x:row>
    <x:row r="636">
      <x:c r="A636" s="72"/>
      <x:c r="B636" s="72"/>
      <x:c r="C636" s="72"/>
      <x:c r="D636" s="72"/>
      <x:c r="E636" s="72"/>
      <x:c r="F636" s="72"/>
      <x:c r="G636" s="72"/>
      <x:c r="H636" s="72"/>
      <x:c r="I636" s="72"/>
      <x:c r="J636" s="72"/>
      <x:c r="K636" s="72"/>
      <x:c r="L636" s="72"/>
      <x:c r="M636" s="72"/>
      <x:c r="N636" s="72"/>
      <x:c r="O636" s="72"/>
      <x:c r="P636" s="72"/>
      <x:c r="Q636" s="72"/>
      <x:c r="R636" s="72"/>
      <x:c r="S636" s="72"/>
      <x:c r="T636" s="72"/>
      <x:c r="U636" s="72"/>
      <x:c r="V636" s="72"/>
      <x:c r="W636" s="72"/>
      <x:c r="X636" s="72"/>
      <x:c r="Y636" s="72"/>
      <x:c r="Z636" s="72"/>
      <x:c r="AA636" s="72"/>
      <x:c r="AB636" s="72"/>
      <x:c r="AC636" s="72"/>
      <x:c r="AD636" s="72"/>
      <x:c r="AE636" s="72"/>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4"/>
      <x:c r="DQ636" s="4"/>
      <x:c r="DR636" s="4"/>
      <x:c r="DS636" s="4"/>
      <x:c r="DT636" s="4"/>
      <x:c r="DU636" s="4"/>
      <x:c r="DV636" s="4"/>
      <x:c r="DW636" s="4"/>
      <x:c r="DX636" s="4"/>
      <x:c r="DY636" s="4"/>
      <x:c r="DZ636" s="4"/>
      <x:c r="EA636" s="4"/>
      <x:c r="EB636" s="4"/>
      <x:c r="EC636" s="4"/>
      <x:c r="ED636" s="4"/>
      <x:c r="EE636" s="4"/>
      <x:c r="EF636" s="4"/>
      <x:c r="EG636" s="4"/>
      <x:c r="EH636" s="4"/>
      <x:c r="EI636" s="4"/>
      <x:c r="EJ636" s="4"/>
      <x:c r="EK636" s="4"/>
      <x:c r="EL636" s="4"/>
      <x:c r="EM636" s="4"/>
      <x:c r="EN636" s="4"/>
      <x:c r="EO636" s="4"/>
      <x:c r="EP636" s="4"/>
      <x:c r="EQ636" s="4"/>
      <x:c r="ER636" s="4"/>
      <x:c r="ES636" s="4"/>
      <x:c r="ET636" s="4"/>
      <x:c r="EU636" s="4"/>
      <x:c r="EV636" s="4"/>
      <x:c r="EW636" s="4"/>
      <x:c r="EX636" s="4"/>
      <x:c r="EY636" s="4"/>
      <x:c r="EZ636" s="4"/>
      <x:c r="FA636" s="4"/>
      <x:c r="FB636" s="4"/>
      <x:c r="FC636" s="4"/>
      <x:c r="FD636" s="4"/>
      <x:c r="FE636" s="4"/>
      <x:c r="FF636" s="4"/>
      <x:c r="FG636" s="4"/>
      <x:c r="FH636" s="4"/>
      <x:c r="FI636" s="4"/>
      <x:c r="FJ636" s="4"/>
      <x:c r="FK636" s="4"/>
      <x:c r="FL636" s="4"/>
      <x:c r="FM636" s="4"/>
      <x:c r="FN636" s="4"/>
      <x:c r="FO636" s="4"/>
    </x:row>
    <x:row r="637">
      <x:c r="A637" s="72"/>
      <x:c r="B637" s="72"/>
      <x:c r="C637" s="72"/>
      <x:c r="D637" s="72"/>
      <x:c r="E637" s="72"/>
      <x:c r="F637" s="72"/>
      <x:c r="G637" s="72"/>
      <x:c r="H637" s="72"/>
      <x:c r="I637" s="72"/>
      <x:c r="J637" s="72"/>
      <x:c r="K637" s="72"/>
      <x:c r="L637" s="72"/>
      <x:c r="M637" s="72"/>
      <x:c r="N637" s="72"/>
      <x:c r="O637" s="72"/>
      <x:c r="P637" s="72"/>
      <x:c r="Q637" s="72"/>
      <x:c r="R637" s="72"/>
      <x:c r="S637" s="72"/>
      <x:c r="T637" s="72"/>
      <x:c r="U637" s="72"/>
      <x:c r="V637" s="72"/>
      <x:c r="W637" s="72"/>
      <x:c r="X637" s="72"/>
      <x:c r="Y637" s="72"/>
      <x:c r="Z637" s="72"/>
      <x:c r="AA637" s="72"/>
      <x:c r="AB637" s="72"/>
      <x:c r="AC637" s="72"/>
      <x:c r="AD637" s="72"/>
      <x:c r="AE637" s="72"/>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4"/>
      <x:c r="DQ637" s="4"/>
      <x:c r="DR637" s="4"/>
      <x:c r="DS637" s="4"/>
      <x:c r="DT637" s="4"/>
      <x:c r="DU637" s="4"/>
      <x:c r="DV637" s="4"/>
      <x:c r="DW637" s="4"/>
      <x:c r="DX637" s="4"/>
      <x:c r="DY637" s="4"/>
      <x:c r="DZ637" s="4"/>
      <x:c r="EA637" s="4"/>
      <x:c r="EB637" s="4"/>
      <x:c r="EC637" s="4"/>
      <x:c r="ED637" s="4"/>
      <x:c r="EE637" s="4"/>
      <x:c r="EF637" s="4"/>
      <x:c r="EG637" s="4"/>
      <x:c r="EH637" s="4"/>
      <x:c r="EI637" s="4"/>
      <x:c r="EJ637" s="4"/>
      <x:c r="EK637" s="4"/>
      <x:c r="EL637" s="4"/>
      <x:c r="EM637" s="4"/>
      <x:c r="EN637" s="4"/>
      <x:c r="EO637" s="4"/>
      <x:c r="EP637" s="4"/>
      <x:c r="EQ637" s="4"/>
      <x:c r="ER637" s="4"/>
      <x:c r="ES637" s="4"/>
      <x:c r="ET637" s="4"/>
      <x:c r="EU637" s="4"/>
      <x:c r="EV637" s="4"/>
      <x:c r="EW637" s="4"/>
      <x:c r="EX637" s="4"/>
      <x:c r="EY637" s="4"/>
      <x:c r="EZ637" s="4"/>
      <x:c r="FA637" s="4"/>
      <x:c r="FB637" s="4"/>
      <x:c r="FC637" s="4"/>
      <x:c r="FD637" s="4"/>
      <x:c r="FE637" s="4"/>
      <x:c r="FF637" s="4"/>
      <x:c r="FG637" s="4"/>
      <x:c r="FH637" s="4"/>
      <x:c r="FI637" s="4"/>
      <x:c r="FJ637" s="4"/>
      <x:c r="FK637" s="4"/>
      <x:c r="FL637" s="4"/>
      <x:c r="FM637" s="4"/>
      <x:c r="FN637" s="4"/>
      <x:c r="FO637" s="4"/>
    </x:row>
    <x:row r="638">
      <x:c r="A638" s="72"/>
      <x:c r="B638" s="72"/>
      <x:c r="C638" s="72"/>
      <x:c r="D638" s="72"/>
      <x:c r="E638" s="72"/>
      <x:c r="F638" s="72"/>
      <x:c r="G638" s="72"/>
      <x:c r="H638" s="72"/>
      <x:c r="I638" s="72"/>
      <x:c r="J638" s="72"/>
      <x:c r="K638" s="72"/>
      <x:c r="L638" s="72"/>
      <x:c r="M638" s="72"/>
      <x:c r="N638" s="72"/>
      <x:c r="O638" s="72"/>
      <x:c r="P638" s="72"/>
      <x:c r="Q638" s="72"/>
      <x:c r="R638" s="72"/>
      <x:c r="S638" s="72"/>
      <x:c r="T638" s="72"/>
      <x:c r="U638" s="72"/>
      <x:c r="V638" s="72"/>
      <x:c r="W638" s="72"/>
      <x:c r="X638" s="72"/>
      <x:c r="Y638" s="72"/>
      <x:c r="Z638" s="72"/>
      <x:c r="AA638" s="72"/>
      <x:c r="AB638" s="72"/>
      <x:c r="AC638" s="72"/>
      <x:c r="AD638" s="72"/>
      <x:c r="AE638" s="72"/>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4"/>
      <x:c r="DQ638" s="4"/>
      <x:c r="DR638" s="4"/>
      <x:c r="DS638" s="4"/>
      <x:c r="DT638" s="4"/>
      <x:c r="DU638" s="4"/>
      <x:c r="DV638" s="4"/>
      <x:c r="DW638" s="4"/>
      <x:c r="DX638" s="4"/>
      <x:c r="DY638" s="4"/>
      <x:c r="DZ638" s="4"/>
      <x:c r="EA638" s="4"/>
      <x:c r="EB638" s="4"/>
      <x:c r="EC638" s="4"/>
      <x:c r="ED638" s="4"/>
      <x:c r="EE638" s="4"/>
      <x:c r="EF638" s="4"/>
      <x:c r="EG638" s="4"/>
      <x:c r="EH638" s="4"/>
      <x:c r="EI638" s="4"/>
      <x:c r="EJ638" s="4"/>
      <x:c r="EK638" s="4"/>
      <x:c r="EL638" s="4"/>
      <x:c r="EM638" s="4"/>
      <x:c r="EN638" s="4"/>
      <x:c r="EO638" s="4"/>
      <x:c r="EP638" s="4"/>
      <x:c r="EQ638" s="4"/>
      <x:c r="ER638" s="4"/>
      <x:c r="ES638" s="4"/>
      <x:c r="ET638" s="4"/>
      <x:c r="EU638" s="4"/>
      <x:c r="EV638" s="4"/>
      <x:c r="EW638" s="4"/>
      <x:c r="EX638" s="4"/>
      <x:c r="EY638" s="4"/>
      <x:c r="EZ638" s="4"/>
      <x:c r="FA638" s="4"/>
      <x:c r="FB638" s="4"/>
      <x:c r="FC638" s="4"/>
      <x:c r="FD638" s="4"/>
      <x:c r="FE638" s="4"/>
      <x:c r="FF638" s="4"/>
      <x:c r="FG638" s="4"/>
      <x:c r="FH638" s="4"/>
      <x:c r="FI638" s="4"/>
      <x:c r="FJ638" s="4"/>
      <x:c r="FK638" s="4"/>
      <x:c r="FL638" s="4"/>
      <x:c r="FM638" s="4"/>
      <x:c r="FN638" s="4"/>
      <x:c r="FO638" s="4"/>
    </x:row>
    <x:row r="639">
      <x:c r="A639" s="72"/>
      <x:c r="B639" s="72"/>
      <x:c r="C639" s="72"/>
      <x:c r="D639" s="72"/>
      <x:c r="E639" s="72"/>
      <x:c r="F639" s="72"/>
      <x:c r="G639" s="72"/>
      <x:c r="H639" s="72"/>
      <x:c r="I639" s="72"/>
      <x:c r="J639" s="72"/>
      <x:c r="K639" s="72"/>
      <x:c r="L639" s="72"/>
      <x:c r="M639" s="72"/>
      <x:c r="N639" s="72"/>
      <x:c r="O639" s="72"/>
      <x:c r="P639" s="72"/>
      <x:c r="Q639" s="72"/>
      <x:c r="R639" s="72"/>
      <x:c r="S639" s="72"/>
      <x:c r="T639" s="72"/>
      <x:c r="U639" s="72"/>
      <x:c r="V639" s="72"/>
      <x:c r="W639" s="72"/>
      <x:c r="X639" s="72"/>
      <x:c r="Y639" s="72"/>
      <x:c r="Z639" s="72"/>
      <x:c r="AA639" s="72"/>
      <x:c r="AB639" s="72"/>
      <x:c r="AC639" s="72"/>
      <x:c r="AD639" s="72"/>
      <x:c r="AE639" s="72"/>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4"/>
      <x:c r="DQ639" s="4"/>
      <x:c r="DR639" s="4"/>
      <x:c r="DS639" s="4"/>
      <x:c r="DT639" s="4"/>
      <x:c r="DU639" s="4"/>
      <x:c r="DV639" s="4"/>
      <x:c r="DW639" s="4"/>
      <x:c r="DX639" s="4"/>
      <x:c r="DY639" s="4"/>
      <x:c r="DZ639" s="4"/>
      <x:c r="EA639" s="4"/>
      <x:c r="EB639" s="4"/>
      <x:c r="EC639" s="4"/>
      <x:c r="ED639" s="4"/>
      <x:c r="EE639" s="4"/>
      <x:c r="EF639" s="4"/>
      <x:c r="EG639" s="4"/>
      <x:c r="EH639" s="4"/>
      <x:c r="EI639" s="4"/>
      <x:c r="EJ639" s="4"/>
      <x:c r="EK639" s="4"/>
      <x:c r="EL639" s="4"/>
      <x:c r="EM639" s="4"/>
      <x:c r="EN639" s="4"/>
      <x:c r="EO639" s="4"/>
      <x:c r="EP639" s="4"/>
      <x:c r="EQ639" s="4"/>
      <x:c r="ER639" s="4"/>
      <x:c r="ES639" s="4"/>
      <x:c r="ET639" s="4"/>
      <x:c r="EU639" s="4"/>
      <x:c r="EV639" s="4"/>
      <x:c r="EW639" s="4"/>
      <x:c r="EX639" s="4"/>
      <x:c r="EY639" s="4"/>
      <x:c r="EZ639" s="4"/>
      <x:c r="FA639" s="4"/>
      <x:c r="FB639" s="4"/>
      <x:c r="FC639" s="4"/>
      <x:c r="FD639" s="4"/>
      <x:c r="FE639" s="4"/>
      <x:c r="FF639" s="4"/>
      <x:c r="FG639" s="4"/>
      <x:c r="FH639" s="4"/>
      <x:c r="FI639" s="4"/>
      <x:c r="FJ639" s="4"/>
      <x:c r="FK639" s="4"/>
      <x:c r="FL639" s="4"/>
      <x:c r="FM639" s="4"/>
      <x:c r="FN639" s="4"/>
      <x:c r="FO639" s="4"/>
    </x:row>
    <x:row r="640">
      <x:c r="A640" s="72"/>
      <x:c r="B640" s="72"/>
      <x:c r="C640" s="72"/>
      <x:c r="D640" s="72"/>
      <x:c r="E640" s="72"/>
      <x:c r="F640" s="72"/>
      <x:c r="G640" s="72"/>
      <x:c r="H640" s="72"/>
      <x:c r="I640" s="72"/>
      <x:c r="J640" s="72"/>
      <x:c r="K640" s="72"/>
      <x:c r="L640" s="72"/>
      <x:c r="M640" s="72"/>
      <x:c r="N640" s="72"/>
      <x:c r="O640" s="72"/>
      <x:c r="P640" s="72"/>
      <x:c r="Q640" s="72"/>
      <x:c r="R640" s="72"/>
      <x:c r="S640" s="72"/>
      <x:c r="T640" s="72"/>
      <x:c r="U640" s="72"/>
      <x:c r="V640" s="72"/>
      <x:c r="W640" s="72"/>
      <x:c r="X640" s="72"/>
      <x:c r="Y640" s="72"/>
      <x:c r="Z640" s="72"/>
      <x:c r="AA640" s="72"/>
      <x:c r="AB640" s="72"/>
      <x:c r="AC640" s="72"/>
      <x:c r="AD640" s="72"/>
      <x:c r="AE640" s="72"/>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4"/>
      <x:c r="DQ640" s="4"/>
      <x:c r="DR640" s="4"/>
      <x:c r="DS640" s="4"/>
      <x:c r="DT640" s="4"/>
      <x:c r="DU640" s="4"/>
      <x:c r="DV640" s="4"/>
      <x:c r="DW640" s="4"/>
      <x:c r="DX640" s="4"/>
      <x:c r="DY640" s="4"/>
      <x:c r="DZ640" s="4"/>
      <x:c r="EA640" s="4"/>
      <x:c r="EB640" s="4"/>
      <x:c r="EC640" s="4"/>
      <x:c r="ED640" s="4"/>
      <x:c r="EE640" s="4"/>
      <x:c r="EF640" s="4"/>
      <x:c r="EG640" s="4"/>
      <x:c r="EH640" s="4"/>
      <x:c r="EI640" s="4"/>
      <x:c r="EJ640" s="4"/>
      <x:c r="EK640" s="4"/>
      <x:c r="EL640" s="4"/>
      <x:c r="EM640" s="4"/>
      <x:c r="EN640" s="4"/>
      <x:c r="EO640" s="4"/>
      <x:c r="EP640" s="4"/>
      <x:c r="EQ640" s="4"/>
      <x:c r="ER640" s="4"/>
      <x:c r="ES640" s="4"/>
      <x:c r="ET640" s="4"/>
      <x:c r="EU640" s="4"/>
      <x:c r="EV640" s="4"/>
      <x:c r="EW640" s="4"/>
      <x:c r="EX640" s="4"/>
      <x:c r="EY640" s="4"/>
      <x:c r="EZ640" s="4"/>
      <x:c r="FA640" s="4"/>
      <x:c r="FB640" s="4"/>
      <x:c r="FC640" s="4"/>
      <x:c r="FD640" s="4"/>
      <x:c r="FE640" s="4"/>
      <x:c r="FF640" s="4"/>
      <x:c r="FG640" s="4"/>
      <x:c r="FH640" s="4"/>
      <x:c r="FI640" s="4"/>
      <x:c r="FJ640" s="4"/>
      <x:c r="FK640" s="4"/>
      <x:c r="FL640" s="4"/>
      <x:c r="FM640" s="4"/>
      <x:c r="FN640" s="4"/>
      <x:c r="FO640" s="4"/>
    </x:row>
    <x:row r="641">
      <x:c r="A641" s="72"/>
      <x:c r="B641" s="72"/>
      <x:c r="C641" s="72"/>
      <x:c r="D641" s="72"/>
      <x:c r="E641" s="72"/>
      <x:c r="F641" s="72"/>
      <x:c r="G641" s="72"/>
      <x:c r="H641" s="72"/>
      <x:c r="I641" s="72"/>
      <x:c r="J641" s="72"/>
      <x:c r="K641" s="72"/>
      <x:c r="L641" s="72"/>
      <x:c r="M641" s="72"/>
      <x:c r="N641" s="72"/>
      <x:c r="O641" s="72"/>
      <x:c r="P641" s="72"/>
      <x:c r="Q641" s="72"/>
      <x:c r="R641" s="72"/>
      <x:c r="S641" s="72"/>
      <x:c r="T641" s="72"/>
      <x:c r="U641" s="72"/>
      <x:c r="V641" s="72"/>
      <x:c r="W641" s="72"/>
      <x:c r="X641" s="72"/>
      <x:c r="Y641" s="72"/>
      <x:c r="Z641" s="72"/>
      <x:c r="AA641" s="72"/>
      <x:c r="AB641" s="72"/>
      <x:c r="AC641" s="72"/>
      <x:c r="AD641" s="72"/>
      <x:c r="AE641" s="72"/>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4"/>
      <x:c r="DQ641" s="4"/>
      <x:c r="DR641" s="4"/>
      <x:c r="DS641" s="4"/>
      <x:c r="DT641" s="4"/>
      <x:c r="DU641" s="4"/>
      <x:c r="DV641" s="4"/>
      <x:c r="DW641" s="4"/>
      <x:c r="DX641" s="4"/>
      <x:c r="DY641" s="4"/>
      <x:c r="DZ641" s="4"/>
      <x:c r="EA641" s="4"/>
      <x:c r="EB641" s="4"/>
      <x:c r="EC641" s="4"/>
      <x:c r="ED641" s="4"/>
      <x:c r="EE641" s="4"/>
      <x:c r="EF641" s="4"/>
      <x:c r="EG641" s="4"/>
      <x:c r="EH641" s="4"/>
      <x:c r="EI641" s="4"/>
      <x:c r="EJ641" s="4"/>
      <x:c r="EK641" s="4"/>
      <x:c r="EL641" s="4"/>
      <x:c r="EM641" s="4"/>
      <x:c r="EN641" s="4"/>
      <x:c r="EO641" s="4"/>
      <x:c r="EP641" s="4"/>
      <x:c r="EQ641" s="4"/>
      <x:c r="ER641" s="4"/>
      <x:c r="ES641" s="4"/>
      <x:c r="ET641" s="4"/>
      <x:c r="EU641" s="4"/>
      <x:c r="EV641" s="4"/>
      <x:c r="EW641" s="4"/>
      <x:c r="EX641" s="4"/>
      <x:c r="EY641" s="4"/>
      <x:c r="EZ641" s="4"/>
      <x:c r="FA641" s="4"/>
      <x:c r="FB641" s="4"/>
      <x:c r="FC641" s="4"/>
      <x:c r="FD641" s="4"/>
      <x:c r="FE641" s="4"/>
      <x:c r="FF641" s="4"/>
      <x:c r="FG641" s="4"/>
      <x:c r="FH641" s="4"/>
      <x:c r="FI641" s="4"/>
      <x:c r="FJ641" s="4"/>
      <x:c r="FK641" s="4"/>
      <x:c r="FL641" s="4"/>
      <x:c r="FM641" s="4"/>
      <x:c r="FN641" s="4"/>
      <x:c r="FO641" s="4"/>
    </x:row>
    <x:row r="642">
      <x:c r="A642" s="72"/>
      <x:c r="B642" s="72"/>
      <x:c r="C642" s="72"/>
      <x:c r="D642" s="72"/>
      <x:c r="E642" s="72"/>
      <x:c r="F642" s="72"/>
      <x:c r="G642" s="72"/>
      <x:c r="H642" s="72"/>
      <x:c r="I642" s="72"/>
      <x:c r="J642" s="72"/>
      <x:c r="K642" s="72"/>
      <x:c r="L642" s="72"/>
      <x:c r="M642" s="72"/>
      <x:c r="N642" s="72"/>
      <x:c r="O642" s="72"/>
      <x:c r="P642" s="72"/>
      <x:c r="Q642" s="72"/>
      <x:c r="R642" s="72"/>
      <x:c r="S642" s="72"/>
      <x:c r="T642" s="72"/>
      <x:c r="U642" s="72"/>
      <x:c r="V642" s="72"/>
      <x:c r="W642" s="72"/>
      <x:c r="X642" s="72"/>
      <x:c r="Y642" s="72"/>
      <x:c r="Z642" s="72"/>
      <x:c r="AA642" s="72"/>
      <x:c r="AB642" s="72"/>
      <x:c r="AC642" s="72"/>
      <x:c r="AD642" s="72"/>
      <x:c r="AE642" s="72"/>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4"/>
      <x:c r="DQ642" s="4"/>
      <x:c r="DR642" s="4"/>
      <x:c r="DS642" s="4"/>
      <x:c r="DT642" s="4"/>
      <x:c r="DU642" s="4"/>
      <x:c r="DV642" s="4"/>
      <x:c r="DW642" s="4"/>
      <x:c r="DX642" s="4"/>
      <x:c r="DY642" s="4"/>
      <x:c r="DZ642" s="4"/>
      <x:c r="EA642" s="4"/>
      <x:c r="EB642" s="4"/>
      <x:c r="EC642" s="4"/>
      <x:c r="ED642" s="4"/>
      <x:c r="EE642" s="4"/>
      <x:c r="EF642" s="4"/>
      <x:c r="EG642" s="4"/>
      <x:c r="EH642" s="4"/>
      <x:c r="EI642" s="4"/>
      <x:c r="EJ642" s="4"/>
      <x:c r="EK642" s="4"/>
      <x:c r="EL642" s="4"/>
      <x:c r="EM642" s="4"/>
      <x:c r="EN642" s="4"/>
      <x:c r="EO642" s="4"/>
      <x:c r="EP642" s="4"/>
      <x:c r="EQ642" s="4"/>
      <x:c r="ER642" s="4"/>
      <x:c r="ES642" s="4"/>
      <x:c r="ET642" s="4"/>
      <x:c r="EU642" s="4"/>
      <x:c r="EV642" s="4"/>
      <x:c r="EW642" s="4"/>
      <x:c r="EX642" s="4"/>
      <x:c r="EY642" s="4"/>
      <x:c r="EZ642" s="4"/>
      <x:c r="FA642" s="4"/>
      <x:c r="FB642" s="4"/>
      <x:c r="FC642" s="4"/>
      <x:c r="FD642" s="4"/>
      <x:c r="FE642" s="4"/>
      <x:c r="FF642" s="4"/>
      <x:c r="FG642" s="4"/>
      <x:c r="FH642" s="4"/>
      <x:c r="FI642" s="4"/>
      <x:c r="FJ642" s="4"/>
      <x:c r="FK642" s="4"/>
      <x:c r="FL642" s="4"/>
      <x:c r="FM642" s="4"/>
      <x:c r="FN642" s="4"/>
      <x:c r="FO642" s="4"/>
    </x:row>
    <x:row r="643">
      <x:c r="A643" s="72"/>
      <x:c r="B643" s="72"/>
      <x:c r="C643" s="72"/>
      <x:c r="D643" s="72"/>
      <x:c r="E643" s="72"/>
      <x:c r="F643" s="72"/>
      <x:c r="G643" s="72"/>
      <x:c r="H643" s="72"/>
      <x:c r="I643" s="72"/>
      <x:c r="J643" s="72"/>
      <x:c r="K643" s="72"/>
      <x:c r="L643" s="72"/>
      <x:c r="M643" s="72"/>
      <x:c r="N643" s="72"/>
      <x:c r="O643" s="72"/>
      <x:c r="P643" s="72"/>
      <x:c r="Q643" s="72"/>
      <x:c r="R643" s="72"/>
      <x:c r="S643" s="72"/>
      <x:c r="T643" s="72"/>
      <x:c r="U643" s="72"/>
      <x:c r="V643" s="72"/>
      <x:c r="W643" s="72"/>
      <x:c r="X643" s="72"/>
      <x:c r="Y643" s="72"/>
      <x:c r="Z643" s="72"/>
      <x:c r="AA643" s="72"/>
      <x:c r="AB643" s="72"/>
      <x:c r="AC643" s="72"/>
      <x:c r="AD643" s="72"/>
      <x:c r="AE643" s="72"/>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4"/>
      <x:c r="DQ643" s="4"/>
      <x:c r="DR643" s="4"/>
      <x:c r="DS643" s="4"/>
      <x:c r="DT643" s="4"/>
      <x:c r="DU643" s="4"/>
      <x:c r="DV643" s="4"/>
      <x:c r="DW643" s="4"/>
      <x:c r="DX643" s="4"/>
      <x:c r="DY643" s="4"/>
      <x:c r="DZ643" s="4"/>
      <x:c r="EA643" s="4"/>
      <x:c r="EB643" s="4"/>
      <x:c r="EC643" s="4"/>
      <x:c r="ED643" s="4"/>
      <x:c r="EE643" s="4"/>
      <x:c r="EF643" s="4"/>
      <x:c r="EG643" s="4"/>
      <x:c r="EH643" s="4"/>
      <x:c r="EI643" s="4"/>
      <x:c r="EJ643" s="4"/>
      <x:c r="EK643" s="4"/>
      <x:c r="EL643" s="4"/>
      <x:c r="EM643" s="4"/>
      <x:c r="EN643" s="4"/>
      <x:c r="EO643" s="4"/>
      <x:c r="EP643" s="4"/>
      <x:c r="EQ643" s="4"/>
      <x:c r="ER643" s="4"/>
      <x:c r="ES643" s="4"/>
      <x:c r="ET643" s="4"/>
      <x:c r="EU643" s="4"/>
      <x:c r="EV643" s="4"/>
      <x:c r="EW643" s="4"/>
      <x:c r="EX643" s="4"/>
      <x:c r="EY643" s="4"/>
      <x:c r="EZ643" s="4"/>
      <x:c r="FA643" s="4"/>
      <x:c r="FB643" s="4"/>
      <x:c r="FC643" s="4"/>
      <x:c r="FD643" s="4"/>
      <x:c r="FE643" s="4"/>
      <x:c r="FF643" s="4"/>
      <x:c r="FG643" s="4"/>
      <x:c r="FH643" s="4"/>
      <x:c r="FI643" s="4"/>
      <x:c r="FJ643" s="4"/>
      <x:c r="FK643" s="4"/>
      <x:c r="FL643" s="4"/>
      <x:c r="FM643" s="4"/>
      <x:c r="FN643" s="4"/>
      <x:c r="FO643" s="4"/>
    </x:row>
    <x:row r="644">
      <x:c r="A644" s="72"/>
      <x:c r="B644" s="72"/>
      <x:c r="C644" s="72"/>
      <x:c r="D644" s="72"/>
      <x:c r="E644" s="72"/>
      <x:c r="F644" s="72"/>
      <x:c r="G644" s="72"/>
      <x:c r="H644" s="72"/>
      <x:c r="I644" s="72"/>
      <x:c r="J644" s="72"/>
      <x:c r="K644" s="72"/>
      <x:c r="L644" s="72"/>
      <x:c r="M644" s="72"/>
      <x:c r="N644" s="72"/>
      <x:c r="O644" s="72"/>
      <x:c r="P644" s="72"/>
      <x:c r="Q644" s="72"/>
      <x:c r="R644" s="72"/>
      <x:c r="S644" s="72"/>
      <x:c r="T644" s="72"/>
      <x:c r="U644" s="72"/>
      <x:c r="V644" s="72"/>
      <x:c r="W644" s="72"/>
      <x:c r="X644" s="72"/>
      <x:c r="Y644" s="72"/>
      <x:c r="Z644" s="72"/>
      <x:c r="AA644" s="72"/>
      <x:c r="AB644" s="72"/>
      <x:c r="AC644" s="72"/>
      <x:c r="AD644" s="72"/>
      <x:c r="AE644" s="72"/>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4"/>
      <x:c r="DQ644" s="4"/>
      <x:c r="DR644" s="4"/>
      <x:c r="DS644" s="4"/>
      <x:c r="DT644" s="4"/>
      <x:c r="DU644" s="4"/>
      <x:c r="DV644" s="4"/>
      <x:c r="DW644" s="4"/>
      <x:c r="DX644" s="4"/>
      <x:c r="DY644" s="4"/>
      <x:c r="DZ644" s="4"/>
      <x:c r="EA644" s="4"/>
      <x:c r="EB644" s="4"/>
      <x:c r="EC644" s="4"/>
      <x:c r="ED644" s="4"/>
      <x:c r="EE644" s="4"/>
      <x:c r="EF644" s="4"/>
      <x:c r="EG644" s="4"/>
      <x:c r="EH644" s="4"/>
      <x:c r="EI644" s="4"/>
      <x:c r="EJ644" s="4"/>
      <x:c r="EK644" s="4"/>
      <x:c r="EL644" s="4"/>
      <x:c r="EM644" s="4"/>
      <x:c r="EN644" s="4"/>
      <x:c r="EO644" s="4"/>
      <x:c r="EP644" s="4"/>
      <x:c r="EQ644" s="4"/>
      <x:c r="ER644" s="4"/>
      <x:c r="ES644" s="4"/>
      <x:c r="ET644" s="4"/>
      <x:c r="EU644" s="4"/>
      <x:c r="EV644" s="4"/>
      <x:c r="EW644" s="4"/>
      <x:c r="EX644" s="4"/>
      <x:c r="EY644" s="4"/>
      <x:c r="EZ644" s="4"/>
      <x:c r="FA644" s="4"/>
      <x:c r="FB644" s="4"/>
      <x:c r="FC644" s="4"/>
      <x:c r="FD644" s="4"/>
      <x:c r="FE644" s="4"/>
      <x:c r="FF644" s="4"/>
      <x:c r="FG644" s="4"/>
      <x:c r="FH644" s="4"/>
      <x:c r="FI644" s="4"/>
      <x:c r="FJ644" s="4"/>
      <x:c r="FK644" s="4"/>
      <x:c r="FL644" s="4"/>
      <x:c r="FM644" s="4"/>
      <x:c r="FN644" s="4"/>
      <x:c r="FO644" s="4"/>
    </x:row>
    <x:row r="645">
      <x:c r="A645" s="72"/>
      <x:c r="B645" s="72"/>
      <x:c r="C645" s="72"/>
      <x:c r="D645" s="72"/>
      <x:c r="E645" s="72"/>
      <x:c r="F645" s="72"/>
      <x:c r="G645" s="72"/>
      <x:c r="H645" s="72"/>
      <x:c r="I645" s="72"/>
      <x:c r="J645" s="72"/>
      <x:c r="K645" s="72"/>
      <x:c r="L645" s="72"/>
      <x:c r="M645" s="72"/>
      <x:c r="N645" s="72"/>
      <x:c r="O645" s="72"/>
      <x:c r="P645" s="72"/>
      <x:c r="Q645" s="72"/>
      <x:c r="R645" s="72"/>
      <x:c r="S645" s="72"/>
      <x:c r="T645" s="72"/>
      <x:c r="U645" s="72"/>
      <x:c r="V645" s="72"/>
      <x:c r="W645" s="72"/>
      <x:c r="X645" s="72"/>
      <x:c r="Y645" s="72"/>
      <x:c r="Z645" s="72"/>
      <x:c r="AA645" s="72"/>
      <x:c r="AB645" s="72"/>
      <x:c r="AC645" s="72"/>
      <x:c r="AD645" s="72"/>
      <x:c r="AE645" s="72"/>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4"/>
      <x:c r="DQ645" s="4"/>
      <x:c r="DR645" s="4"/>
      <x:c r="DS645" s="4"/>
      <x:c r="DT645" s="4"/>
      <x:c r="DU645" s="4"/>
      <x:c r="DV645" s="4"/>
      <x:c r="DW645" s="4"/>
      <x:c r="DX645" s="4"/>
      <x:c r="DY645" s="4"/>
      <x:c r="DZ645" s="4"/>
      <x:c r="EA645" s="4"/>
      <x:c r="EB645" s="4"/>
      <x:c r="EC645" s="4"/>
      <x:c r="ED645" s="4"/>
      <x:c r="EE645" s="4"/>
      <x:c r="EF645" s="4"/>
      <x:c r="EG645" s="4"/>
      <x:c r="EH645" s="4"/>
      <x:c r="EI645" s="4"/>
      <x:c r="EJ645" s="4"/>
      <x:c r="EK645" s="4"/>
      <x:c r="EL645" s="4"/>
      <x:c r="EM645" s="4"/>
      <x:c r="EN645" s="4"/>
      <x:c r="EO645" s="4"/>
      <x:c r="EP645" s="4"/>
      <x:c r="EQ645" s="4"/>
      <x:c r="ER645" s="4"/>
      <x:c r="ES645" s="4"/>
      <x:c r="ET645" s="4"/>
      <x:c r="EU645" s="4"/>
      <x:c r="EV645" s="4"/>
      <x:c r="EW645" s="4"/>
      <x:c r="EX645" s="4"/>
      <x:c r="EY645" s="4"/>
      <x:c r="EZ645" s="4"/>
      <x:c r="FA645" s="4"/>
      <x:c r="FB645" s="4"/>
      <x:c r="FC645" s="4"/>
      <x:c r="FD645" s="4"/>
      <x:c r="FE645" s="4"/>
      <x:c r="FF645" s="4"/>
      <x:c r="FG645" s="4"/>
      <x:c r="FH645" s="4"/>
      <x:c r="FI645" s="4"/>
      <x:c r="FJ645" s="4"/>
      <x:c r="FK645" s="4"/>
      <x:c r="FL645" s="4"/>
      <x:c r="FM645" s="4"/>
      <x:c r="FN645" s="4"/>
      <x:c r="FO645" s="4"/>
    </x:row>
    <x:row r="646">
      <x:c r="A646" s="72"/>
      <x:c r="B646" s="72"/>
      <x:c r="C646" s="72"/>
      <x:c r="D646" s="72"/>
      <x:c r="E646" s="72"/>
      <x:c r="F646" s="72"/>
      <x:c r="G646" s="72"/>
      <x:c r="H646" s="72"/>
      <x:c r="I646" s="72"/>
      <x:c r="J646" s="72"/>
      <x:c r="K646" s="72"/>
      <x:c r="L646" s="72"/>
      <x:c r="M646" s="72"/>
      <x:c r="N646" s="72"/>
      <x:c r="O646" s="72"/>
      <x:c r="P646" s="72"/>
      <x:c r="Q646" s="72"/>
      <x:c r="R646" s="72"/>
      <x:c r="S646" s="72"/>
      <x:c r="T646" s="72"/>
      <x:c r="U646" s="72"/>
      <x:c r="V646" s="72"/>
      <x:c r="W646" s="72"/>
      <x:c r="X646" s="72"/>
      <x:c r="Y646" s="72"/>
      <x:c r="Z646" s="72"/>
      <x:c r="AA646" s="72"/>
      <x:c r="AB646" s="72"/>
      <x:c r="AC646" s="72"/>
      <x:c r="AD646" s="72"/>
      <x:c r="AE646" s="72"/>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4"/>
      <x:c r="DQ646" s="4"/>
      <x:c r="DR646" s="4"/>
      <x:c r="DS646" s="4"/>
      <x:c r="DT646" s="4"/>
      <x:c r="DU646" s="4"/>
      <x:c r="DV646" s="4"/>
      <x:c r="DW646" s="4"/>
      <x:c r="DX646" s="4"/>
      <x:c r="DY646" s="4"/>
      <x:c r="DZ646" s="4"/>
      <x:c r="EA646" s="4"/>
      <x:c r="EB646" s="4"/>
      <x:c r="EC646" s="4"/>
      <x:c r="ED646" s="4"/>
      <x:c r="EE646" s="4"/>
      <x:c r="EF646" s="4"/>
      <x:c r="EG646" s="4"/>
      <x:c r="EH646" s="4"/>
      <x:c r="EI646" s="4"/>
      <x:c r="EJ646" s="4"/>
      <x:c r="EK646" s="4"/>
      <x:c r="EL646" s="4"/>
      <x:c r="EM646" s="4"/>
      <x:c r="EN646" s="4"/>
      <x:c r="EO646" s="4"/>
      <x:c r="EP646" s="4"/>
      <x:c r="EQ646" s="4"/>
      <x:c r="ER646" s="4"/>
      <x:c r="ES646" s="4"/>
      <x:c r="ET646" s="4"/>
      <x:c r="EU646" s="4"/>
      <x:c r="EV646" s="4"/>
      <x:c r="EW646" s="4"/>
      <x:c r="EX646" s="4"/>
      <x:c r="EY646" s="4"/>
      <x:c r="EZ646" s="4"/>
      <x:c r="FA646" s="4"/>
      <x:c r="FB646" s="4"/>
      <x:c r="FC646" s="4"/>
      <x:c r="FD646" s="4"/>
      <x:c r="FE646" s="4"/>
      <x:c r="FF646" s="4"/>
      <x:c r="FG646" s="4"/>
      <x:c r="FH646" s="4"/>
      <x:c r="FI646" s="4"/>
      <x:c r="FJ646" s="4"/>
      <x:c r="FK646" s="4"/>
      <x:c r="FL646" s="4"/>
      <x:c r="FM646" s="4"/>
      <x:c r="FN646" s="4"/>
      <x:c r="FO646" s="4"/>
    </x:row>
    <x:row r="647">
      <x:c r="A647" s="72"/>
      <x:c r="B647" s="72"/>
      <x:c r="C647" s="72"/>
      <x:c r="D647" s="72"/>
      <x:c r="E647" s="72"/>
      <x:c r="F647" s="72"/>
      <x:c r="G647" s="72"/>
      <x:c r="H647" s="72"/>
      <x:c r="I647" s="72"/>
      <x:c r="J647" s="72"/>
      <x:c r="K647" s="72"/>
      <x:c r="L647" s="72"/>
      <x:c r="M647" s="72"/>
      <x:c r="N647" s="72"/>
      <x:c r="O647" s="72"/>
      <x:c r="P647" s="72"/>
      <x:c r="Q647" s="72"/>
      <x:c r="R647" s="72"/>
      <x:c r="S647" s="72"/>
      <x:c r="T647" s="72"/>
      <x:c r="U647" s="72"/>
      <x:c r="V647" s="72"/>
      <x:c r="W647" s="72"/>
      <x:c r="X647" s="72"/>
      <x:c r="Y647" s="72"/>
      <x:c r="Z647" s="72"/>
      <x:c r="AA647" s="72"/>
      <x:c r="AB647" s="72"/>
      <x:c r="AC647" s="72"/>
      <x:c r="AD647" s="72"/>
      <x:c r="AE647" s="72"/>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4"/>
      <x:c r="DQ647" s="4"/>
      <x:c r="DR647" s="4"/>
      <x:c r="DS647" s="4"/>
      <x:c r="DT647" s="4"/>
      <x:c r="DU647" s="4"/>
      <x:c r="DV647" s="4"/>
      <x:c r="DW647" s="4"/>
      <x:c r="DX647" s="4"/>
      <x:c r="DY647" s="4"/>
      <x:c r="DZ647" s="4"/>
      <x:c r="EA647" s="4"/>
      <x:c r="EB647" s="4"/>
      <x:c r="EC647" s="4"/>
      <x:c r="ED647" s="4"/>
      <x:c r="EE647" s="4"/>
      <x:c r="EF647" s="4"/>
      <x:c r="EG647" s="4"/>
      <x:c r="EH647" s="4"/>
      <x:c r="EI647" s="4"/>
      <x:c r="EJ647" s="4"/>
      <x:c r="EK647" s="4"/>
      <x:c r="EL647" s="4"/>
      <x:c r="EM647" s="4"/>
      <x:c r="EN647" s="4"/>
      <x:c r="EO647" s="4"/>
      <x:c r="EP647" s="4"/>
      <x:c r="EQ647" s="4"/>
      <x:c r="ER647" s="4"/>
      <x:c r="ES647" s="4"/>
      <x:c r="ET647" s="4"/>
      <x:c r="EU647" s="4"/>
      <x:c r="EV647" s="4"/>
      <x:c r="EW647" s="4"/>
      <x:c r="EX647" s="4"/>
      <x:c r="EY647" s="4"/>
      <x:c r="EZ647" s="4"/>
      <x:c r="FA647" s="4"/>
      <x:c r="FB647" s="4"/>
      <x:c r="FC647" s="4"/>
      <x:c r="FD647" s="4"/>
      <x:c r="FE647" s="4"/>
      <x:c r="FF647" s="4"/>
      <x:c r="FG647" s="4"/>
      <x:c r="FH647" s="4"/>
      <x:c r="FI647" s="4"/>
      <x:c r="FJ647" s="4"/>
      <x:c r="FK647" s="4"/>
      <x:c r="FL647" s="4"/>
      <x:c r="FM647" s="4"/>
      <x:c r="FN647" s="4"/>
      <x:c r="FO647" s="4"/>
    </x:row>
    <x:row r="648">
      <x:c r="A648" s="72"/>
      <x:c r="B648" s="72"/>
      <x:c r="C648" s="72"/>
      <x:c r="D648" s="72"/>
      <x:c r="E648" s="72"/>
      <x:c r="F648" s="72"/>
      <x:c r="G648" s="72"/>
      <x:c r="H648" s="72"/>
      <x:c r="I648" s="72"/>
      <x:c r="J648" s="72"/>
      <x:c r="K648" s="72"/>
      <x:c r="L648" s="72"/>
      <x:c r="M648" s="72"/>
      <x:c r="N648" s="72"/>
      <x:c r="O648" s="72"/>
      <x:c r="P648" s="72"/>
      <x:c r="Q648" s="72"/>
      <x:c r="R648" s="72"/>
      <x:c r="S648" s="72"/>
      <x:c r="T648" s="72"/>
      <x:c r="U648" s="72"/>
      <x:c r="V648" s="72"/>
      <x:c r="W648" s="72"/>
      <x:c r="X648" s="72"/>
      <x:c r="Y648" s="72"/>
      <x:c r="Z648" s="72"/>
      <x:c r="AA648" s="72"/>
      <x:c r="AB648" s="72"/>
      <x:c r="AC648" s="72"/>
      <x:c r="AD648" s="72"/>
      <x:c r="AE648" s="72"/>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4"/>
      <x:c r="DQ648" s="4"/>
      <x:c r="DR648" s="4"/>
      <x:c r="DS648" s="4"/>
      <x:c r="DT648" s="4"/>
      <x:c r="DU648" s="4"/>
      <x:c r="DV648" s="4"/>
      <x:c r="DW648" s="4"/>
      <x:c r="DX648" s="4"/>
      <x:c r="DY648" s="4"/>
      <x:c r="DZ648" s="4"/>
      <x:c r="EA648" s="4"/>
      <x:c r="EB648" s="4"/>
      <x:c r="EC648" s="4"/>
      <x:c r="ED648" s="4"/>
      <x:c r="EE648" s="4"/>
      <x:c r="EF648" s="4"/>
      <x:c r="EG648" s="4"/>
      <x:c r="EH648" s="4"/>
      <x:c r="EI648" s="4"/>
      <x:c r="EJ648" s="4"/>
      <x:c r="EK648" s="4"/>
      <x:c r="EL648" s="4"/>
      <x:c r="EM648" s="4"/>
      <x:c r="EN648" s="4"/>
      <x:c r="EO648" s="4"/>
      <x:c r="EP648" s="4"/>
      <x:c r="EQ648" s="4"/>
      <x:c r="ER648" s="4"/>
      <x:c r="ES648" s="4"/>
      <x:c r="ET648" s="4"/>
      <x:c r="EU648" s="4"/>
      <x:c r="EV648" s="4"/>
      <x:c r="EW648" s="4"/>
      <x:c r="EX648" s="4"/>
      <x:c r="EY648" s="4"/>
      <x:c r="EZ648" s="4"/>
      <x:c r="FA648" s="4"/>
      <x:c r="FB648" s="4"/>
      <x:c r="FC648" s="4"/>
      <x:c r="FD648" s="4"/>
      <x:c r="FE648" s="4"/>
      <x:c r="FF648" s="4"/>
      <x:c r="FG648" s="4"/>
      <x:c r="FH648" s="4"/>
      <x:c r="FI648" s="4"/>
      <x:c r="FJ648" s="4"/>
      <x:c r="FK648" s="4"/>
      <x:c r="FL648" s="4"/>
      <x:c r="FM648" s="4"/>
      <x:c r="FN648" s="4"/>
      <x:c r="FO648" s="4"/>
    </x:row>
    <x:row r="649">
      <x:c r="A649" s="72"/>
      <x:c r="B649" s="72"/>
      <x:c r="C649" s="72"/>
      <x:c r="D649" s="72"/>
      <x:c r="E649" s="72"/>
      <x:c r="F649" s="72"/>
      <x:c r="G649" s="72"/>
      <x:c r="H649" s="72"/>
      <x:c r="I649" s="72"/>
      <x:c r="J649" s="72"/>
      <x:c r="K649" s="72"/>
      <x:c r="L649" s="72"/>
      <x:c r="M649" s="72"/>
      <x:c r="N649" s="72"/>
      <x:c r="O649" s="72"/>
      <x:c r="P649" s="72"/>
      <x:c r="Q649" s="72"/>
      <x:c r="R649" s="72"/>
      <x:c r="S649" s="72"/>
      <x:c r="T649" s="72"/>
      <x:c r="U649" s="72"/>
      <x:c r="V649" s="72"/>
      <x:c r="W649" s="72"/>
      <x:c r="X649" s="72"/>
      <x:c r="Y649" s="72"/>
      <x:c r="Z649" s="72"/>
      <x:c r="AA649" s="72"/>
      <x:c r="AB649" s="72"/>
      <x:c r="AC649" s="72"/>
      <x:c r="AD649" s="72"/>
      <x:c r="AE649" s="72"/>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4"/>
      <x:c r="DQ649" s="4"/>
      <x:c r="DR649" s="4"/>
      <x:c r="DS649" s="4"/>
      <x:c r="DT649" s="4"/>
      <x:c r="DU649" s="4"/>
      <x:c r="DV649" s="4"/>
      <x:c r="DW649" s="4"/>
      <x:c r="DX649" s="4"/>
      <x:c r="DY649" s="4"/>
      <x:c r="DZ649" s="4"/>
      <x:c r="EA649" s="4"/>
      <x:c r="EB649" s="4"/>
      <x:c r="EC649" s="4"/>
      <x:c r="ED649" s="4"/>
      <x:c r="EE649" s="4"/>
      <x:c r="EF649" s="4"/>
      <x:c r="EG649" s="4"/>
      <x:c r="EH649" s="4"/>
      <x:c r="EI649" s="4"/>
      <x:c r="EJ649" s="4"/>
      <x:c r="EK649" s="4"/>
      <x:c r="EL649" s="4"/>
      <x:c r="EM649" s="4"/>
      <x:c r="EN649" s="4"/>
      <x:c r="EO649" s="4"/>
      <x:c r="EP649" s="4"/>
      <x:c r="EQ649" s="4"/>
      <x:c r="ER649" s="4"/>
      <x:c r="ES649" s="4"/>
      <x:c r="ET649" s="4"/>
      <x:c r="EU649" s="4"/>
      <x:c r="EV649" s="4"/>
      <x:c r="EW649" s="4"/>
      <x:c r="EX649" s="4"/>
      <x:c r="EY649" s="4"/>
      <x:c r="EZ649" s="4"/>
      <x:c r="FA649" s="4"/>
      <x:c r="FB649" s="4"/>
      <x:c r="FC649" s="4"/>
      <x:c r="FD649" s="4"/>
      <x:c r="FE649" s="4"/>
      <x:c r="FF649" s="4"/>
      <x:c r="FG649" s="4"/>
      <x:c r="FH649" s="4"/>
      <x:c r="FI649" s="4"/>
      <x:c r="FJ649" s="4"/>
      <x:c r="FK649" s="4"/>
      <x:c r="FL649" s="4"/>
      <x:c r="FM649" s="4"/>
      <x:c r="FN649" s="4"/>
      <x:c r="FO649" s="4"/>
    </x:row>
    <x:row r="650">
      <x:c r="A650" s="72"/>
      <x:c r="B650" s="72"/>
      <x:c r="C650" s="72"/>
      <x:c r="D650" s="72"/>
      <x:c r="E650" s="72"/>
      <x:c r="F650" s="72"/>
      <x:c r="G650" s="72"/>
      <x:c r="H650" s="72"/>
      <x:c r="I650" s="72"/>
      <x:c r="J650" s="72"/>
      <x:c r="K650" s="72"/>
      <x:c r="L650" s="72"/>
      <x:c r="M650" s="72"/>
      <x:c r="N650" s="72"/>
      <x:c r="O650" s="72"/>
      <x:c r="P650" s="72"/>
      <x:c r="Q650" s="72"/>
      <x:c r="R650" s="72"/>
      <x:c r="S650" s="72"/>
      <x:c r="T650" s="72"/>
      <x:c r="U650" s="72"/>
      <x:c r="V650" s="72"/>
      <x:c r="W650" s="72"/>
      <x:c r="X650" s="72"/>
      <x:c r="Y650" s="72"/>
      <x:c r="Z650" s="72"/>
      <x:c r="AA650" s="72"/>
      <x:c r="AB650" s="72"/>
      <x:c r="AC650" s="72"/>
      <x:c r="AD650" s="72"/>
      <x:c r="AE650" s="72"/>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4"/>
      <x:c r="DQ650" s="4"/>
      <x:c r="DR650" s="4"/>
      <x:c r="DS650" s="4"/>
      <x:c r="DT650" s="4"/>
      <x:c r="DU650" s="4"/>
      <x:c r="DV650" s="4"/>
      <x:c r="DW650" s="4"/>
      <x:c r="DX650" s="4"/>
      <x:c r="DY650" s="4"/>
      <x:c r="DZ650" s="4"/>
      <x:c r="EA650" s="4"/>
      <x:c r="EB650" s="4"/>
      <x:c r="EC650" s="4"/>
      <x:c r="ED650" s="4"/>
      <x:c r="EE650" s="4"/>
      <x:c r="EF650" s="4"/>
      <x:c r="EG650" s="4"/>
      <x:c r="EH650" s="4"/>
      <x:c r="EI650" s="4"/>
      <x:c r="EJ650" s="4"/>
      <x:c r="EK650" s="4"/>
      <x:c r="EL650" s="4"/>
      <x:c r="EM650" s="4"/>
      <x:c r="EN650" s="4"/>
      <x:c r="EO650" s="4"/>
      <x:c r="EP650" s="4"/>
      <x:c r="EQ650" s="4"/>
      <x:c r="ER650" s="4"/>
      <x:c r="ES650" s="4"/>
      <x:c r="ET650" s="4"/>
      <x:c r="EU650" s="4"/>
      <x:c r="EV650" s="4"/>
      <x:c r="EW650" s="4"/>
      <x:c r="EX650" s="4"/>
      <x:c r="EY650" s="4"/>
      <x:c r="EZ650" s="4"/>
      <x:c r="FA650" s="4"/>
      <x:c r="FB650" s="4"/>
      <x:c r="FC650" s="4"/>
      <x:c r="FD650" s="4"/>
      <x:c r="FE650" s="4"/>
      <x:c r="FF650" s="4"/>
      <x:c r="FG650" s="4"/>
      <x:c r="FH650" s="4"/>
      <x:c r="FI650" s="4"/>
      <x:c r="FJ650" s="4"/>
      <x:c r="FK650" s="4"/>
      <x:c r="FL650" s="4"/>
      <x:c r="FM650" s="4"/>
      <x:c r="FN650" s="4"/>
      <x:c r="FO650" s="4"/>
    </x:row>
    <x:row r="651">
      <x:c r="A651" s="72"/>
      <x:c r="B651" s="72"/>
      <x:c r="C651" s="72"/>
      <x:c r="D651" s="72"/>
      <x:c r="E651" s="72"/>
      <x:c r="F651" s="72"/>
      <x:c r="G651" s="72"/>
      <x:c r="H651" s="72"/>
      <x:c r="I651" s="72"/>
      <x:c r="J651" s="72"/>
      <x:c r="K651" s="72"/>
      <x:c r="L651" s="72"/>
      <x:c r="M651" s="72"/>
      <x:c r="N651" s="72"/>
      <x:c r="O651" s="72"/>
      <x:c r="P651" s="72"/>
      <x:c r="Q651" s="72"/>
      <x:c r="R651" s="72"/>
      <x:c r="S651" s="72"/>
      <x:c r="T651" s="72"/>
      <x:c r="U651" s="72"/>
      <x:c r="V651" s="72"/>
      <x:c r="W651" s="72"/>
      <x:c r="X651" s="72"/>
      <x:c r="Y651" s="72"/>
      <x:c r="Z651" s="72"/>
      <x:c r="AA651" s="72"/>
      <x:c r="AB651" s="72"/>
      <x:c r="AC651" s="72"/>
      <x:c r="AD651" s="72"/>
      <x:c r="AE651" s="72"/>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4"/>
      <x:c r="DQ651" s="4"/>
      <x:c r="DR651" s="4"/>
      <x:c r="DS651" s="4"/>
      <x:c r="DT651" s="4"/>
      <x:c r="DU651" s="4"/>
      <x:c r="DV651" s="4"/>
      <x:c r="DW651" s="4"/>
      <x:c r="DX651" s="4"/>
      <x:c r="DY651" s="4"/>
      <x:c r="DZ651" s="4"/>
      <x:c r="EA651" s="4"/>
      <x:c r="EB651" s="4"/>
      <x:c r="EC651" s="4"/>
      <x:c r="ED651" s="4"/>
      <x:c r="EE651" s="4"/>
      <x:c r="EF651" s="4"/>
      <x:c r="EG651" s="4"/>
      <x:c r="EH651" s="4"/>
      <x:c r="EI651" s="4"/>
      <x:c r="EJ651" s="4"/>
      <x:c r="EK651" s="4"/>
      <x:c r="EL651" s="4"/>
      <x:c r="EM651" s="4"/>
      <x:c r="EN651" s="4"/>
      <x:c r="EO651" s="4"/>
      <x:c r="EP651" s="4"/>
      <x:c r="EQ651" s="4"/>
      <x:c r="ER651" s="4"/>
      <x:c r="ES651" s="4"/>
      <x:c r="ET651" s="4"/>
      <x:c r="EU651" s="4"/>
      <x:c r="EV651" s="4"/>
      <x:c r="EW651" s="4"/>
      <x:c r="EX651" s="4"/>
      <x:c r="EY651" s="4"/>
      <x:c r="EZ651" s="4"/>
      <x:c r="FA651" s="4"/>
      <x:c r="FB651" s="4"/>
      <x:c r="FC651" s="4"/>
      <x:c r="FD651" s="4"/>
      <x:c r="FE651" s="4"/>
      <x:c r="FF651" s="4"/>
      <x:c r="FG651" s="4"/>
      <x:c r="FH651" s="4"/>
      <x:c r="FI651" s="4"/>
      <x:c r="FJ651" s="4"/>
      <x:c r="FK651" s="4"/>
      <x:c r="FL651" s="4"/>
      <x:c r="FM651" s="4"/>
      <x:c r="FN651" s="4"/>
      <x:c r="FO651" s="4"/>
    </x:row>
    <x:row r="652">
      <x:c r="A652" s="72"/>
      <x:c r="B652" s="72"/>
      <x:c r="C652" s="72"/>
      <x:c r="D652" s="72"/>
      <x:c r="E652" s="72"/>
      <x:c r="F652" s="72"/>
      <x:c r="G652" s="72"/>
      <x:c r="H652" s="72"/>
      <x:c r="I652" s="72"/>
      <x:c r="J652" s="72"/>
      <x:c r="K652" s="72"/>
      <x:c r="L652" s="72"/>
      <x:c r="M652" s="72"/>
      <x:c r="N652" s="72"/>
      <x:c r="O652" s="72"/>
      <x:c r="P652" s="72"/>
      <x:c r="Q652" s="72"/>
      <x:c r="R652" s="72"/>
      <x:c r="S652" s="72"/>
      <x:c r="T652" s="72"/>
      <x:c r="U652" s="72"/>
      <x:c r="V652" s="72"/>
      <x:c r="W652" s="72"/>
      <x:c r="X652" s="72"/>
      <x:c r="Y652" s="72"/>
      <x:c r="Z652" s="72"/>
      <x:c r="AA652" s="72"/>
      <x:c r="AB652" s="72"/>
      <x:c r="AC652" s="72"/>
      <x:c r="AD652" s="72"/>
      <x:c r="AE652" s="72"/>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4"/>
      <x:c r="DQ652" s="4"/>
      <x:c r="DR652" s="4"/>
      <x:c r="DS652" s="4"/>
      <x:c r="DT652" s="4"/>
      <x:c r="DU652" s="4"/>
      <x:c r="DV652" s="4"/>
      <x:c r="DW652" s="4"/>
      <x:c r="DX652" s="4"/>
      <x:c r="DY652" s="4"/>
      <x:c r="DZ652" s="4"/>
      <x:c r="EA652" s="4"/>
      <x:c r="EB652" s="4"/>
      <x:c r="EC652" s="4"/>
      <x:c r="ED652" s="4"/>
      <x:c r="EE652" s="4"/>
      <x:c r="EF652" s="4"/>
      <x:c r="EG652" s="4"/>
      <x:c r="EH652" s="4"/>
      <x:c r="EI652" s="4"/>
      <x:c r="EJ652" s="4"/>
      <x:c r="EK652" s="4"/>
      <x:c r="EL652" s="4"/>
      <x:c r="EM652" s="4"/>
      <x:c r="EN652" s="4"/>
      <x:c r="EO652" s="4"/>
      <x:c r="EP652" s="4"/>
      <x:c r="EQ652" s="4"/>
      <x:c r="ER652" s="4"/>
      <x:c r="ES652" s="4"/>
      <x:c r="ET652" s="4"/>
      <x:c r="EU652" s="4"/>
      <x:c r="EV652" s="4"/>
      <x:c r="EW652" s="4"/>
      <x:c r="EX652" s="4"/>
      <x:c r="EY652" s="4"/>
      <x:c r="EZ652" s="4"/>
      <x:c r="FA652" s="4"/>
      <x:c r="FB652" s="4"/>
      <x:c r="FC652" s="4"/>
      <x:c r="FD652" s="4"/>
      <x:c r="FE652" s="4"/>
      <x:c r="FF652" s="4"/>
      <x:c r="FG652" s="4"/>
      <x:c r="FH652" s="4"/>
      <x:c r="FI652" s="4"/>
      <x:c r="FJ652" s="4"/>
      <x:c r="FK652" s="4"/>
      <x:c r="FL652" s="4"/>
      <x:c r="FM652" s="4"/>
      <x:c r="FN652" s="4"/>
      <x:c r="FO652" s="4"/>
    </x:row>
    <x:row r="653">
      <x:c r="A653" s="72"/>
      <x:c r="B653" s="72"/>
      <x:c r="C653" s="72"/>
      <x:c r="D653" s="72"/>
      <x:c r="E653" s="72"/>
      <x:c r="F653" s="72"/>
      <x:c r="G653" s="72"/>
      <x:c r="H653" s="72"/>
      <x:c r="I653" s="72"/>
      <x:c r="J653" s="72"/>
      <x:c r="K653" s="72"/>
      <x:c r="L653" s="72"/>
      <x:c r="M653" s="72"/>
      <x:c r="N653" s="72"/>
      <x:c r="O653" s="72"/>
      <x:c r="P653" s="72"/>
      <x:c r="Q653" s="72"/>
      <x:c r="R653" s="72"/>
      <x:c r="S653" s="72"/>
      <x:c r="T653" s="72"/>
      <x:c r="U653" s="72"/>
      <x:c r="V653" s="72"/>
      <x:c r="W653" s="72"/>
      <x:c r="X653" s="72"/>
      <x:c r="Y653" s="72"/>
      <x:c r="Z653" s="72"/>
      <x:c r="AA653" s="72"/>
      <x:c r="AB653" s="72"/>
      <x:c r="AC653" s="72"/>
      <x:c r="AD653" s="72"/>
      <x:c r="AE653" s="72"/>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4"/>
      <x:c r="DQ653" s="4"/>
      <x:c r="DR653" s="4"/>
      <x:c r="DS653" s="4"/>
      <x:c r="DT653" s="4"/>
      <x:c r="DU653" s="4"/>
      <x:c r="DV653" s="4"/>
      <x:c r="DW653" s="4"/>
      <x:c r="DX653" s="4"/>
      <x:c r="DY653" s="4"/>
      <x:c r="DZ653" s="4"/>
      <x:c r="EA653" s="4"/>
      <x:c r="EB653" s="4"/>
      <x:c r="EC653" s="4"/>
      <x:c r="ED653" s="4"/>
      <x:c r="EE653" s="4"/>
      <x:c r="EF653" s="4"/>
      <x:c r="EG653" s="4"/>
      <x:c r="EH653" s="4"/>
      <x:c r="EI653" s="4"/>
      <x:c r="EJ653" s="4"/>
      <x:c r="EK653" s="4"/>
      <x:c r="EL653" s="4"/>
      <x:c r="EM653" s="4"/>
      <x:c r="EN653" s="4"/>
      <x:c r="EO653" s="4"/>
      <x:c r="EP653" s="4"/>
      <x:c r="EQ653" s="4"/>
      <x:c r="ER653" s="4"/>
      <x:c r="ES653" s="4"/>
      <x:c r="ET653" s="4"/>
      <x:c r="EU653" s="4"/>
      <x:c r="EV653" s="4"/>
      <x:c r="EW653" s="4"/>
      <x:c r="EX653" s="4"/>
      <x:c r="EY653" s="4"/>
      <x:c r="EZ653" s="4"/>
      <x:c r="FA653" s="4"/>
      <x:c r="FB653" s="4"/>
      <x:c r="FC653" s="4"/>
      <x:c r="FD653" s="4"/>
      <x:c r="FE653" s="4"/>
      <x:c r="FF653" s="4"/>
      <x:c r="FG653" s="4"/>
      <x:c r="FH653" s="4"/>
      <x:c r="FI653" s="4"/>
      <x:c r="FJ653" s="4"/>
      <x:c r="FK653" s="4"/>
      <x:c r="FL653" s="4"/>
      <x:c r="FM653" s="4"/>
      <x:c r="FN653" s="4"/>
      <x:c r="FO653" s="4"/>
    </x:row>
    <x:row r="654">
      <x:c r="A654" s="72"/>
      <x:c r="B654" s="72"/>
      <x:c r="C654" s="72"/>
      <x:c r="D654" s="72"/>
      <x:c r="E654" s="72"/>
      <x:c r="F654" s="72"/>
      <x:c r="G654" s="72"/>
      <x:c r="H654" s="72"/>
      <x:c r="I654" s="72"/>
      <x:c r="J654" s="72"/>
      <x:c r="K654" s="72"/>
      <x:c r="L654" s="72"/>
      <x:c r="M654" s="72"/>
      <x:c r="N654" s="72"/>
      <x:c r="O654" s="72"/>
      <x:c r="P654" s="72"/>
      <x:c r="Q654" s="72"/>
      <x:c r="R654" s="72"/>
      <x:c r="S654" s="72"/>
      <x:c r="T654" s="72"/>
      <x:c r="U654" s="72"/>
      <x:c r="V654" s="72"/>
      <x:c r="W654" s="72"/>
      <x:c r="X654" s="72"/>
      <x:c r="Y654" s="72"/>
      <x:c r="Z654" s="72"/>
      <x:c r="AA654" s="72"/>
      <x:c r="AB654" s="72"/>
      <x:c r="AC654" s="72"/>
      <x:c r="AD654" s="72"/>
      <x:c r="AE654" s="72"/>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4"/>
      <x:c r="DQ654" s="4"/>
      <x:c r="DR654" s="4"/>
      <x:c r="DS654" s="4"/>
      <x:c r="DT654" s="4"/>
      <x:c r="DU654" s="4"/>
      <x:c r="DV654" s="4"/>
      <x:c r="DW654" s="4"/>
      <x:c r="DX654" s="4"/>
      <x:c r="DY654" s="4"/>
      <x:c r="DZ654" s="4"/>
      <x:c r="EA654" s="4"/>
      <x:c r="EB654" s="4"/>
      <x:c r="EC654" s="4"/>
      <x:c r="ED654" s="4"/>
      <x:c r="EE654" s="4"/>
      <x:c r="EF654" s="4"/>
      <x:c r="EG654" s="4"/>
      <x:c r="EH654" s="4"/>
      <x:c r="EI654" s="4"/>
      <x:c r="EJ654" s="4"/>
      <x:c r="EK654" s="4"/>
      <x:c r="EL654" s="4"/>
      <x:c r="EM654" s="4"/>
      <x:c r="EN654" s="4"/>
      <x:c r="EO654" s="4"/>
      <x:c r="EP654" s="4"/>
      <x:c r="EQ654" s="4"/>
      <x:c r="ER654" s="4"/>
      <x:c r="ES654" s="4"/>
      <x:c r="ET654" s="4"/>
      <x:c r="EU654" s="4"/>
      <x:c r="EV654" s="4"/>
      <x:c r="EW654" s="4"/>
      <x:c r="EX654" s="4"/>
      <x:c r="EY654" s="4"/>
      <x:c r="EZ654" s="4"/>
      <x:c r="FA654" s="4"/>
      <x:c r="FB654" s="4"/>
      <x:c r="FC654" s="4"/>
      <x:c r="FD654" s="4"/>
      <x:c r="FE654" s="4"/>
      <x:c r="FF654" s="4"/>
      <x:c r="FG654" s="4"/>
      <x:c r="FH654" s="4"/>
      <x:c r="FI654" s="4"/>
      <x:c r="FJ654" s="4"/>
      <x:c r="FK654" s="4"/>
      <x:c r="FL654" s="4"/>
      <x:c r="FM654" s="4"/>
      <x:c r="FN654" s="4"/>
      <x:c r="FO654" s="4"/>
    </x:row>
    <x:row r="655">
      <x:c r="A655" s="72"/>
      <x:c r="B655" s="72"/>
      <x:c r="C655" s="72"/>
      <x:c r="D655" s="72"/>
      <x:c r="E655" s="72"/>
      <x:c r="F655" s="72"/>
      <x:c r="G655" s="72"/>
      <x:c r="H655" s="72"/>
      <x:c r="I655" s="72"/>
      <x:c r="J655" s="72"/>
      <x:c r="K655" s="72"/>
      <x:c r="L655" s="72"/>
      <x:c r="M655" s="72"/>
      <x:c r="N655" s="72"/>
      <x:c r="O655" s="72"/>
      <x:c r="P655" s="72"/>
      <x:c r="Q655" s="72"/>
      <x:c r="R655" s="72"/>
      <x:c r="S655" s="72"/>
      <x:c r="T655" s="72"/>
      <x:c r="U655" s="72"/>
      <x:c r="V655" s="72"/>
      <x:c r="W655" s="72"/>
      <x:c r="X655" s="72"/>
      <x:c r="Y655" s="72"/>
      <x:c r="Z655" s="72"/>
      <x:c r="AA655" s="72"/>
      <x:c r="AB655" s="72"/>
      <x:c r="AC655" s="72"/>
      <x:c r="AD655" s="72"/>
      <x:c r="AE655" s="72"/>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4"/>
      <x:c r="DQ655" s="4"/>
      <x:c r="DR655" s="4"/>
      <x:c r="DS655" s="4"/>
      <x:c r="DT655" s="4"/>
      <x:c r="DU655" s="4"/>
      <x:c r="DV655" s="4"/>
      <x:c r="DW655" s="4"/>
      <x:c r="DX655" s="4"/>
      <x:c r="DY655" s="4"/>
      <x:c r="DZ655" s="4"/>
      <x:c r="EA655" s="4"/>
      <x:c r="EB655" s="4"/>
      <x:c r="EC655" s="4"/>
      <x:c r="ED655" s="4"/>
      <x:c r="EE655" s="4"/>
      <x:c r="EF655" s="4"/>
      <x:c r="EG655" s="4"/>
      <x:c r="EH655" s="4"/>
      <x:c r="EI655" s="4"/>
      <x:c r="EJ655" s="4"/>
      <x:c r="EK655" s="4"/>
      <x:c r="EL655" s="4"/>
      <x:c r="EM655" s="4"/>
      <x:c r="EN655" s="4"/>
      <x:c r="EO655" s="4"/>
      <x:c r="EP655" s="4"/>
      <x:c r="EQ655" s="4"/>
      <x:c r="ER655" s="4"/>
      <x:c r="ES655" s="4"/>
      <x:c r="ET655" s="4"/>
      <x:c r="EU655" s="4"/>
      <x:c r="EV655" s="4"/>
      <x:c r="EW655" s="4"/>
      <x:c r="EX655" s="4"/>
      <x:c r="EY655" s="4"/>
      <x:c r="EZ655" s="4"/>
      <x:c r="FA655" s="4"/>
      <x:c r="FB655" s="4"/>
      <x:c r="FC655" s="4"/>
      <x:c r="FD655" s="4"/>
      <x:c r="FE655" s="4"/>
      <x:c r="FF655" s="4"/>
      <x:c r="FG655" s="4"/>
      <x:c r="FH655" s="4"/>
      <x:c r="FI655" s="4"/>
      <x:c r="FJ655" s="4"/>
      <x:c r="FK655" s="4"/>
      <x:c r="FL655" s="4"/>
      <x:c r="FM655" s="4"/>
      <x:c r="FN655" s="4"/>
      <x:c r="FO655" s="4"/>
    </x:row>
    <x:row r="656">
      <x:c r="A656" s="72"/>
      <x:c r="B656" s="72"/>
      <x:c r="C656" s="72"/>
      <x:c r="D656" s="72"/>
      <x:c r="E656" s="72"/>
      <x:c r="F656" s="72"/>
      <x:c r="G656" s="72"/>
      <x:c r="H656" s="72"/>
      <x:c r="I656" s="72"/>
      <x:c r="J656" s="72"/>
      <x:c r="K656" s="72"/>
      <x:c r="L656" s="72"/>
      <x:c r="M656" s="72"/>
      <x:c r="N656" s="72"/>
      <x:c r="O656" s="72"/>
      <x:c r="P656" s="72"/>
      <x:c r="Q656" s="72"/>
      <x:c r="R656" s="72"/>
      <x:c r="S656" s="72"/>
      <x:c r="T656" s="72"/>
      <x:c r="U656" s="72"/>
      <x:c r="V656" s="72"/>
      <x:c r="W656" s="72"/>
      <x:c r="X656" s="72"/>
      <x:c r="Y656" s="72"/>
      <x:c r="Z656" s="72"/>
      <x:c r="AA656" s="72"/>
      <x:c r="AB656" s="72"/>
      <x:c r="AC656" s="72"/>
      <x:c r="AD656" s="72"/>
      <x:c r="AE656" s="72"/>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4"/>
      <x:c r="DQ656" s="4"/>
      <x:c r="DR656" s="4"/>
      <x:c r="DS656" s="4"/>
      <x:c r="DT656" s="4"/>
      <x:c r="DU656" s="4"/>
      <x:c r="DV656" s="4"/>
      <x:c r="DW656" s="4"/>
      <x:c r="DX656" s="4"/>
      <x:c r="DY656" s="4"/>
      <x:c r="DZ656" s="4"/>
      <x:c r="EA656" s="4"/>
      <x:c r="EB656" s="4"/>
      <x:c r="EC656" s="4"/>
      <x:c r="ED656" s="4"/>
      <x:c r="EE656" s="4"/>
      <x:c r="EF656" s="4"/>
      <x:c r="EG656" s="4"/>
      <x:c r="EH656" s="4"/>
      <x:c r="EI656" s="4"/>
      <x:c r="EJ656" s="4"/>
      <x:c r="EK656" s="4"/>
      <x:c r="EL656" s="4"/>
      <x:c r="EM656" s="4"/>
      <x:c r="EN656" s="4"/>
      <x:c r="EO656" s="4"/>
      <x:c r="EP656" s="4"/>
      <x:c r="EQ656" s="4"/>
      <x:c r="ER656" s="4"/>
      <x:c r="ES656" s="4"/>
      <x:c r="ET656" s="4"/>
      <x:c r="EU656" s="4"/>
      <x:c r="EV656" s="4"/>
      <x:c r="EW656" s="4"/>
      <x:c r="EX656" s="4"/>
      <x:c r="EY656" s="4"/>
      <x:c r="EZ656" s="4"/>
      <x:c r="FA656" s="4"/>
      <x:c r="FB656" s="4"/>
      <x:c r="FC656" s="4"/>
      <x:c r="FD656" s="4"/>
      <x:c r="FE656" s="4"/>
      <x:c r="FF656" s="4"/>
      <x:c r="FG656" s="4"/>
      <x:c r="FH656" s="4"/>
      <x:c r="FI656" s="4"/>
      <x:c r="FJ656" s="4"/>
      <x:c r="FK656" s="4"/>
      <x:c r="FL656" s="4"/>
      <x:c r="FM656" s="4"/>
      <x:c r="FN656" s="4"/>
      <x:c r="FO656" s="4"/>
    </x:row>
    <x:row r="657">
      <x:c r="A657" s="72"/>
      <x:c r="B657" s="72"/>
      <x:c r="C657" s="72"/>
      <x:c r="D657" s="72"/>
      <x:c r="E657" s="72"/>
      <x:c r="F657" s="72"/>
      <x:c r="G657" s="72"/>
      <x:c r="H657" s="72"/>
      <x:c r="I657" s="72"/>
      <x:c r="J657" s="72"/>
      <x:c r="K657" s="72"/>
      <x:c r="L657" s="72"/>
      <x:c r="M657" s="72"/>
      <x:c r="N657" s="72"/>
      <x:c r="O657" s="72"/>
      <x:c r="P657" s="72"/>
      <x:c r="Q657" s="72"/>
      <x:c r="R657" s="72"/>
      <x:c r="S657" s="72"/>
      <x:c r="T657" s="72"/>
      <x:c r="U657" s="72"/>
      <x:c r="V657" s="72"/>
      <x:c r="W657" s="72"/>
      <x:c r="X657" s="72"/>
      <x:c r="Y657" s="72"/>
      <x:c r="Z657" s="72"/>
      <x:c r="AA657" s="72"/>
      <x:c r="AB657" s="72"/>
      <x:c r="AC657" s="72"/>
      <x:c r="AD657" s="72"/>
      <x:c r="AE657" s="72"/>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4"/>
      <x:c r="DQ657" s="4"/>
      <x:c r="DR657" s="4"/>
      <x:c r="DS657" s="4"/>
      <x:c r="DT657" s="4"/>
      <x:c r="DU657" s="4"/>
      <x:c r="DV657" s="4"/>
      <x:c r="DW657" s="4"/>
      <x:c r="DX657" s="4"/>
      <x:c r="DY657" s="4"/>
      <x:c r="DZ657" s="4"/>
      <x:c r="EA657" s="4"/>
      <x:c r="EB657" s="4"/>
      <x:c r="EC657" s="4"/>
      <x:c r="ED657" s="4"/>
      <x:c r="EE657" s="4"/>
      <x:c r="EF657" s="4"/>
      <x:c r="EG657" s="4"/>
      <x:c r="EH657" s="4"/>
      <x:c r="EI657" s="4"/>
      <x:c r="EJ657" s="4"/>
      <x:c r="EK657" s="4"/>
      <x:c r="EL657" s="4"/>
      <x:c r="EM657" s="4"/>
      <x:c r="EN657" s="4"/>
      <x:c r="EO657" s="4"/>
      <x:c r="EP657" s="4"/>
      <x:c r="EQ657" s="4"/>
      <x:c r="ER657" s="4"/>
      <x:c r="ES657" s="4"/>
      <x:c r="ET657" s="4"/>
      <x:c r="EU657" s="4"/>
      <x:c r="EV657" s="4"/>
      <x:c r="EW657" s="4"/>
      <x:c r="EX657" s="4"/>
      <x:c r="EY657" s="4"/>
      <x:c r="EZ657" s="4"/>
      <x:c r="FA657" s="4"/>
      <x:c r="FB657" s="4"/>
      <x:c r="FC657" s="4"/>
      <x:c r="FD657" s="4"/>
      <x:c r="FE657" s="4"/>
      <x:c r="FF657" s="4"/>
      <x:c r="FG657" s="4"/>
      <x:c r="FH657" s="4"/>
      <x:c r="FI657" s="4"/>
      <x:c r="FJ657" s="4"/>
      <x:c r="FK657" s="4"/>
      <x:c r="FL657" s="4"/>
      <x:c r="FM657" s="4"/>
      <x:c r="FN657" s="4"/>
      <x:c r="FO657" s="4"/>
    </x:row>
    <x:row r="658">
      <x:c r="A658" s="72"/>
      <x:c r="B658" s="72"/>
      <x:c r="C658" s="72"/>
      <x:c r="D658" s="72"/>
      <x:c r="E658" s="72"/>
      <x:c r="F658" s="72"/>
      <x:c r="G658" s="72"/>
      <x:c r="H658" s="72"/>
      <x:c r="I658" s="72"/>
      <x:c r="J658" s="72"/>
      <x:c r="K658" s="72"/>
      <x:c r="L658" s="72"/>
      <x:c r="M658" s="72"/>
      <x:c r="N658" s="72"/>
      <x:c r="O658" s="72"/>
      <x:c r="P658" s="72"/>
      <x:c r="Q658" s="72"/>
      <x:c r="R658" s="72"/>
      <x:c r="S658" s="72"/>
      <x:c r="T658" s="72"/>
      <x:c r="U658" s="72"/>
      <x:c r="V658" s="72"/>
      <x:c r="W658" s="72"/>
      <x:c r="X658" s="72"/>
      <x:c r="Y658" s="72"/>
      <x:c r="Z658" s="72"/>
      <x:c r="AA658" s="72"/>
      <x:c r="AB658" s="72"/>
      <x:c r="AC658" s="72"/>
      <x:c r="AD658" s="72"/>
      <x:c r="AE658" s="72"/>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4"/>
      <x:c r="DQ658" s="4"/>
      <x:c r="DR658" s="4"/>
      <x:c r="DS658" s="4"/>
      <x:c r="DT658" s="4"/>
      <x:c r="DU658" s="4"/>
      <x:c r="DV658" s="4"/>
      <x:c r="DW658" s="4"/>
      <x:c r="DX658" s="4"/>
      <x:c r="DY658" s="4"/>
      <x:c r="DZ658" s="4"/>
      <x:c r="EA658" s="4"/>
      <x:c r="EB658" s="4"/>
      <x:c r="EC658" s="4"/>
      <x:c r="ED658" s="4"/>
      <x:c r="EE658" s="4"/>
      <x:c r="EF658" s="4"/>
      <x:c r="EG658" s="4"/>
      <x:c r="EH658" s="4"/>
      <x:c r="EI658" s="4"/>
      <x:c r="EJ658" s="4"/>
      <x:c r="EK658" s="4"/>
      <x:c r="EL658" s="4"/>
      <x:c r="EM658" s="4"/>
      <x:c r="EN658" s="4"/>
      <x:c r="EO658" s="4"/>
      <x:c r="EP658" s="4"/>
      <x:c r="EQ658" s="4"/>
      <x:c r="ER658" s="4"/>
      <x:c r="ES658" s="4"/>
      <x:c r="ET658" s="4"/>
      <x:c r="EU658" s="4"/>
      <x:c r="EV658" s="4"/>
      <x:c r="EW658" s="4"/>
      <x:c r="EX658" s="4"/>
      <x:c r="EY658" s="4"/>
      <x:c r="EZ658" s="4"/>
      <x:c r="FA658" s="4"/>
      <x:c r="FB658" s="4"/>
      <x:c r="FC658" s="4"/>
      <x:c r="FD658" s="4"/>
      <x:c r="FE658" s="4"/>
      <x:c r="FF658" s="4"/>
      <x:c r="FG658" s="4"/>
      <x:c r="FH658" s="4"/>
      <x:c r="FI658" s="4"/>
      <x:c r="FJ658" s="4"/>
      <x:c r="FK658" s="4"/>
      <x:c r="FL658" s="4"/>
      <x:c r="FM658" s="4"/>
      <x:c r="FN658" s="4"/>
      <x:c r="FO658" s="4"/>
    </x:row>
    <x:row r="659">
      <x:c r="A659" s="72"/>
      <x:c r="B659" s="72"/>
      <x:c r="C659" s="72"/>
      <x:c r="D659" s="72"/>
      <x:c r="E659" s="72"/>
      <x:c r="F659" s="72"/>
      <x:c r="G659" s="72"/>
      <x:c r="H659" s="72"/>
      <x:c r="I659" s="72"/>
      <x:c r="J659" s="72"/>
      <x:c r="K659" s="72"/>
      <x:c r="L659" s="72"/>
      <x:c r="M659" s="72"/>
      <x:c r="N659" s="72"/>
      <x:c r="O659" s="72"/>
      <x:c r="P659" s="72"/>
      <x:c r="Q659" s="72"/>
      <x:c r="R659" s="72"/>
      <x:c r="S659" s="72"/>
      <x:c r="T659" s="72"/>
      <x:c r="U659" s="72"/>
      <x:c r="V659" s="72"/>
      <x:c r="W659" s="72"/>
      <x:c r="X659" s="72"/>
      <x:c r="Y659" s="72"/>
      <x:c r="Z659" s="72"/>
      <x:c r="AA659" s="72"/>
      <x:c r="AB659" s="72"/>
      <x:c r="AC659" s="72"/>
      <x:c r="AD659" s="72"/>
      <x:c r="AE659" s="72"/>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4"/>
      <x:c r="DQ659" s="4"/>
      <x:c r="DR659" s="4"/>
      <x:c r="DS659" s="4"/>
      <x:c r="DT659" s="4"/>
      <x:c r="DU659" s="4"/>
      <x:c r="DV659" s="4"/>
      <x:c r="DW659" s="4"/>
      <x:c r="DX659" s="4"/>
      <x:c r="DY659" s="4"/>
      <x:c r="DZ659" s="4"/>
      <x:c r="EA659" s="4"/>
      <x:c r="EB659" s="4"/>
      <x:c r="EC659" s="4"/>
      <x:c r="ED659" s="4"/>
      <x:c r="EE659" s="4"/>
      <x:c r="EF659" s="4"/>
      <x:c r="EG659" s="4"/>
      <x:c r="EH659" s="4"/>
      <x:c r="EI659" s="4"/>
      <x:c r="EJ659" s="4"/>
      <x:c r="EK659" s="4"/>
      <x:c r="EL659" s="4"/>
      <x:c r="EM659" s="4"/>
      <x:c r="EN659" s="4"/>
      <x:c r="EO659" s="4"/>
      <x:c r="EP659" s="4"/>
      <x:c r="EQ659" s="4"/>
      <x:c r="ER659" s="4"/>
      <x:c r="ES659" s="4"/>
      <x:c r="ET659" s="4"/>
      <x:c r="EU659" s="4"/>
      <x:c r="EV659" s="4"/>
      <x:c r="EW659" s="4"/>
      <x:c r="EX659" s="4"/>
      <x:c r="EY659" s="4"/>
      <x:c r="EZ659" s="4"/>
      <x:c r="FA659" s="4"/>
      <x:c r="FB659" s="4"/>
      <x:c r="FC659" s="4"/>
      <x:c r="FD659" s="4"/>
      <x:c r="FE659" s="4"/>
      <x:c r="FF659" s="4"/>
      <x:c r="FG659" s="4"/>
      <x:c r="FH659" s="4"/>
      <x:c r="FI659" s="4"/>
      <x:c r="FJ659" s="4"/>
      <x:c r="FK659" s="4"/>
      <x:c r="FL659" s="4"/>
      <x:c r="FM659" s="4"/>
      <x:c r="FN659" s="4"/>
      <x:c r="FO659" s="4"/>
    </x:row>
    <x:row r="660">
      <x:c r="A660" s="72"/>
      <x:c r="B660" s="72"/>
      <x:c r="C660" s="72"/>
      <x:c r="D660" s="72"/>
      <x:c r="E660" s="72"/>
      <x:c r="F660" s="72"/>
      <x:c r="G660" s="72"/>
      <x:c r="H660" s="72"/>
      <x:c r="I660" s="72"/>
      <x:c r="J660" s="72"/>
      <x:c r="K660" s="72"/>
      <x:c r="L660" s="72"/>
      <x:c r="M660" s="72"/>
      <x:c r="N660" s="72"/>
      <x:c r="O660" s="72"/>
      <x:c r="P660" s="72"/>
      <x:c r="Q660" s="72"/>
      <x:c r="R660" s="72"/>
      <x:c r="S660" s="72"/>
      <x:c r="T660" s="72"/>
      <x:c r="U660" s="72"/>
      <x:c r="V660" s="72"/>
      <x:c r="W660" s="72"/>
      <x:c r="X660" s="72"/>
      <x:c r="Y660" s="72"/>
      <x:c r="Z660" s="72"/>
      <x:c r="AA660" s="72"/>
      <x:c r="AB660" s="72"/>
      <x:c r="AC660" s="72"/>
      <x:c r="AD660" s="72"/>
      <x:c r="AE660" s="72"/>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4"/>
      <x:c r="DQ660" s="4"/>
      <x:c r="DR660" s="4"/>
      <x:c r="DS660" s="4"/>
      <x:c r="DT660" s="4"/>
      <x:c r="DU660" s="4"/>
      <x:c r="DV660" s="4"/>
      <x:c r="DW660" s="4"/>
      <x:c r="DX660" s="4"/>
      <x:c r="DY660" s="4"/>
      <x:c r="DZ660" s="4"/>
      <x:c r="EA660" s="4"/>
      <x:c r="EB660" s="4"/>
      <x:c r="EC660" s="4"/>
      <x:c r="ED660" s="4"/>
      <x:c r="EE660" s="4"/>
      <x:c r="EF660" s="4"/>
      <x:c r="EG660" s="4"/>
      <x:c r="EH660" s="4"/>
      <x:c r="EI660" s="4"/>
      <x:c r="EJ660" s="4"/>
      <x:c r="EK660" s="4"/>
      <x:c r="EL660" s="4"/>
      <x:c r="EM660" s="4"/>
      <x:c r="EN660" s="4"/>
      <x:c r="EO660" s="4"/>
      <x:c r="EP660" s="4"/>
      <x:c r="EQ660" s="4"/>
      <x:c r="ER660" s="4"/>
      <x:c r="ES660" s="4"/>
      <x:c r="ET660" s="4"/>
      <x:c r="EU660" s="4"/>
      <x:c r="EV660" s="4"/>
      <x:c r="EW660" s="4"/>
      <x:c r="EX660" s="4"/>
      <x:c r="EY660" s="4"/>
      <x:c r="EZ660" s="4"/>
      <x:c r="FA660" s="4"/>
      <x:c r="FB660" s="4"/>
      <x:c r="FC660" s="4"/>
      <x:c r="FD660" s="4"/>
      <x:c r="FE660" s="4"/>
      <x:c r="FF660" s="4"/>
      <x:c r="FG660" s="4"/>
      <x:c r="FH660" s="4"/>
      <x:c r="FI660" s="4"/>
      <x:c r="FJ660" s="4"/>
      <x:c r="FK660" s="4"/>
      <x:c r="FL660" s="4"/>
      <x:c r="FM660" s="4"/>
      <x:c r="FN660" s="4"/>
      <x:c r="FO660" s="4"/>
    </x:row>
    <x:row r="661">
      <x:c r="A661" s="72"/>
      <x:c r="B661" s="72"/>
      <x:c r="C661" s="72"/>
      <x:c r="D661" s="72"/>
      <x:c r="E661" s="72"/>
      <x:c r="F661" s="72"/>
      <x:c r="G661" s="72"/>
      <x:c r="H661" s="72"/>
      <x:c r="I661" s="72"/>
      <x:c r="J661" s="72"/>
      <x:c r="K661" s="72"/>
      <x:c r="L661" s="72"/>
      <x:c r="M661" s="72"/>
      <x:c r="N661" s="72"/>
      <x:c r="O661" s="72"/>
      <x:c r="P661" s="72"/>
      <x:c r="Q661" s="72"/>
      <x:c r="R661" s="72"/>
      <x:c r="S661" s="72"/>
      <x:c r="T661" s="72"/>
      <x:c r="U661" s="72"/>
      <x:c r="V661" s="72"/>
      <x:c r="W661" s="72"/>
      <x:c r="X661" s="72"/>
      <x:c r="Y661" s="72"/>
      <x:c r="Z661" s="72"/>
      <x:c r="AA661" s="72"/>
      <x:c r="AB661" s="72"/>
      <x:c r="AC661" s="72"/>
      <x:c r="AD661" s="72"/>
      <x:c r="AE661" s="72"/>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4"/>
      <x:c r="DQ661" s="4"/>
      <x:c r="DR661" s="4"/>
      <x:c r="DS661" s="4"/>
      <x:c r="DT661" s="4"/>
      <x:c r="DU661" s="4"/>
      <x:c r="DV661" s="4"/>
      <x:c r="DW661" s="4"/>
      <x:c r="DX661" s="4"/>
      <x:c r="DY661" s="4"/>
      <x:c r="DZ661" s="4"/>
      <x:c r="EA661" s="4"/>
      <x:c r="EB661" s="4"/>
      <x:c r="EC661" s="4"/>
      <x:c r="ED661" s="4"/>
      <x:c r="EE661" s="4"/>
      <x:c r="EF661" s="4"/>
      <x:c r="EG661" s="4"/>
      <x:c r="EH661" s="4"/>
      <x:c r="EI661" s="4"/>
      <x:c r="EJ661" s="4"/>
      <x:c r="EK661" s="4"/>
      <x:c r="EL661" s="4"/>
      <x:c r="EM661" s="4"/>
      <x:c r="EN661" s="4"/>
      <x:c r="EO661" s="4"/>
      <x:c r="EP661" s="4"/>
      <x:c r="EQ661" s="4"/>
      <x:c r="ER661" s="4"/>
      <x:c r="ES661" s="4"/>
      <x:c r="ET661" s="4"/>
      <x:c r="EU661" s="4"/>
      <x:c r="EV661" s="4"/>
      <x:c r="EW661" s="4"/>
      <x:c r="EX661" s="4"/>
      <x:c r="EY661" s="4"/>
      <x:c r="EZ661" s="4"/>
      <x:c r="FA661" s="4"/>
      <x:c r="FB661" s="4"/>
      <x:c r="FC661" s="4"/>
      <x:c r="FD661" s="4"/>
      <x:c r="FE661" s="4"/>
      <x:c r="FF661" s="4"/>
      <x:c r="FG661" s="4"/>
      <x:c r="FH661" s="4"/>
      <x:c r="FI661" s="4"/>
      <x:c r="FJ661" s="4"/>
      <x:c r="FK661" s="4"/>
      <x:c r="FL661" s="4"/>
      <x:c r="FM661" s="4"/>
      <x:c r="FN661" s="4"/>
      <x:c r="FO661" s="4"/>
    </x:row>
    <x:row r="662">
      <x:c r="A662" s="72"/>
      <x:c r="B662" s="72"/>
      <x:c r="C662" s="72"/>
      <x:c r="D662" s="72"/>
      <x:c r="E662" s="72"/>
      <x:c r="F662" s="72"/>
      <x:c r="G662" s="72"/>
      <x:c r="H662" s="72"/>
      <x:c r="I662" s="72"/>
      <x:c r="J662" s="72"/>
      <x:c r="K662" s="72"/>
      <x:c r="L662" s="72"/>
      <x:c r="M662" s="72"/>
      <x:c r="N662" s="72"/>
      <x:c r="O662" s="72"/>
      <x:c r="P662" s="72"/>
      <x:c r="Q662" s="72"/>
      <x:c r="R662" s="72"/>
      <x:c r="S662" s="72"/>
      <x:c r="T662" s="72"/>
      <x:c r="U662" s="72"/>
      <x:c r="V662" s="72"/>
      <x:c r="W662" s="72"/>
      <x:c r="X662" s="72"/>
      <x:c r="Y662" s="72"/>
      <x:c r="Z662" s="72"/>
      <x:c r="AA662" s="72"/>
      <x:c r="AB662" s="72"/>
      <x:c r="AC662" s="72"/>
      <x:c r="AD662" s="72"/>
      <x:c r="AE662" s="72"/>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4"/>
      <x:c r="DQ662" s="4"/>
      <x:c r="DR662" s="4"/>
      <x:c r="DS662" s="4"/>
      <x:c r="DT662" s="4"/>
      <x:c r="DU662" s="4"/>
      <x:c r="DV662" s="4"/>
      <x:c r="DW662" s="4"/>
      <x:c r="DX662" s="4"/>
      <x:c r="DY662" s="4"/>
      <x:c r="DZ662" s="4"/>
      <x:c r="EA662" s="4"/>
      <x:c r="EB662" s="4"/>
      <x:c r="EC662" s="4"/>
      <x:c r="ED662" s="4"/>
      <x:c r="EE662" s="4"/>
      <x:c r="EF662" s="4"/>
      <x:c r="EG662" s="4"/>
      <x:c r="EH662" s="4"/>
      <x:c r="EI662" s="4"/>
      <x:c r="EJ662" s="4"/>
      <x:c r="EK662" s="4"/>
      <x:c r="EL662" s="4"/>
      <x:c r="EM662" s="4"/>
      <x:c r="EN662" s="4"/>
      <x:c r="EO662" s="4"/>
      <x:c r="EP662" s="4"/>
      <x:c r="EQ662" s="4"/>
      <x:c r="ER662" s="4"/>
      <x:c r="ES662" s="4"/>
      <x:c r="ET662" s="4"/>
      <x:c r="EU662" s="4"/>
      <x:c r="EV662" s="4"/>
      <x:c r="EW662" s="4"/>
      <x:c r="EX662" s="4"/>
      <x:c r="EY662" s="4"/>
      <x:c r="EZ662" s="4"/>
      <x:c r="FA662" s="4"/>
      <x:c r="FB662" s="4"/>
      <x:c r="FC662" s="4"/>
      <x:c r="FD662" s="4"/>
      <x:c r="FE662" s="4"/>
      <x:c r="FF662" s="4"/>
      <x:c r="FG662" s="4"/>
      <x:c r="FH662" s="4"/>
      <x:c r="FI662" s="4"/>
      <x:c r="FJ662" s="4"/>
      <x:c r="FK662" s="4"/>
      <x:c r="FL662" s="4"/>
      <x:c r="FM662" s="4"/>
      <x:c r="FN662" s="4"/>
      <x:c r="FO662" s="4"/>
    </x:row>
    <x:row r="663">
      <x:c r="A663" s="72"/>
      <x:c r="B663" s="72"/>
      <x:c r="C663" s="72"/>
      <x:c r="D663" s="72"/>
      <x:c r="E663" s="72"/>
      <x:c r="F663" s="72"/>
      <x:c r="G663" s="72"/>
      <x:c r="H663" s="72"/>
      <x:c r="I663" s="72"/>
      <x:c r="J663" s="72"/>
      <x:c r="K663" s="72"/>
      <x:c r="L663" s="72"/>
      <x:c r="M663" s="72"/>
      <x:c r="N663" s="72"/>
      <x:c r="O663" s="72"/>
      <x:c r="P663" s="72"/>
      <x:c r="Q663" s="72"/>
      <x:c r="R663" s="72"/>
      <x:c r="S663" s="72"/>
      <x:c r="T663" s="72"/>
      <x:c r="U663" s="72"/>
      <x:c r="V663" s="72"/>
      <x:c r="W663" s="72"/>
      <x:c r="X663" s="72"/>
      <x:c r="Y663" s="72"/>
      <x:c r="Z663" s="72"/>
      <x:c r="AA663" s="72"/>
      <x:c r="AB663" s="72"/>
      <x:c r="AC663" s="72"/>
      <x:c r="AD663" s="72"/>
      <x:c r="AE663" s="72"/>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4"/>
      <x:c r="DQ663" s="4"/>
      <x:c r="DR663" s="4"/>
      <x:c r="DS663" s="4"/>
      <x:c r="DT663" s="4"/>
      <x:c r="DU663" s="4"/>
      <x:c r="DV663" s="4"/>
      <x:c r="DW663" s="4"/>
      <x:c r="DX663" s="4"/>
      <x:c r="DY663" s="4"/>
      <x:c r="DZ663" s="4"/>
      <x:c r="EA663" s="4"/>
      <x:c r="EB663" s="4"/>
      <x:c r="EC663" s="4"/>
      <x:c r="ED663" s="4"/>
      <x:c r="EE663" s="4"/>
      <x:c r="EF663" s="4"/>
      <x:c r="EG663" s="4"/>
      <x:c r="EH663" s="4"/>
      <x:c r="EI663" s="4"/>
      <x:c r="EJ663" s="4"/>
      <x:c r="EK663" s="4"/>
      <x:c r="EL663" s="4"/>
      <x:c r="EM663" s="4"/>
      <x:c r="EN663" s="4"/>
      <x:c r="EO663" s="4"/>
      <x:c r="EP663" s="4"/>
      <x:c r="EQ663" s="4"/>
      <x:c r="ER663" s="4"/>
      <x:c r="ES663" s="4"/>
      <x:c r="ET663" s="4"/>
      <x:c r="EU663" s="4"/>
      <x:c r="EV663" s="4"/>
      <x:c r="EW663" s="4"/>
      <x:c r="EX663" s="4"/>
      <x:c r="EY663" s="4"/>
      <x:c r="EZ663" s="4"/>
      <x:c r="FA663" s="4"/>
      <x:c r="FB663" s="4"/>
      <x:c r="FC663" s="4"/>
      <x:c r="FD663" s="4"/>
      <x:c r="FE663" s="4"/>
      <x:c r="FF663" s="4"/>
      <x:c r="FG663" s="4"/>
      <x:c r="FH663" s="4"/>
      <x:c r="FI663" s="4"/>
      <x:c r="FJ663" s="4"/>
      <x:c r="FK663" s="4"/>
      <x:c r="FL663" s="4"/>
      <x:c r="FM663" s="4"/>
      <x:c r="FN663" s="4"/>
      <x:c r="FO663" s="4"/>
    </x:row>
    <x:row r="664">
      <x:c r="A664" s="72"/>
      <x:c r="B664" s="72"/>
      <x:c r="C664" s="72"/>
      <x:c r="D664" s="72"/>
      <x:c r="E664" s="72"/>
      <x:c r="F664" s="72"/>
      <x:c r="G664" s="72"/>
      <x:c r="H664" s="72"/>
      <x:c r="I664" s="72"/>
      <x:c r="J664" s="72"/>
      <x:c r="K664" s="72"/>
      <x:c r="L664" s="72"/>
      <x:c r="M664" s="72"/>
      <x:c r="N664" s="72"/>
      <x:c r="O664" s="72"/>
      <x:c r="P664" s="72"/>
      <x:c r="Q664" s="72"/>
      <x:c r="R664" s="72"/>
      <x:c r="S664" s="72"/>
      <x:c r="T664" s="72"/>
      <x:c r="U664" s="72"/>
      <x:c r="V664" s="72"/>
      <x:c r="W664" s="72"/>
      <x:c r="X664" s="72"/>
      <x:c r="Y664" s="72"/>
      <x:c r="Z664" s="72"/>
      <x:c r="AA664" s="72"/>
      <x:c r="AB664" s="72"/>
      <x:c r="AC664" s="72"/>
      <x:c r="AD664" s="72"/>
      <x:c r="AE664" s="72"/>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4"/>
      <x:c r="DQ664" s="4"/>
      <x:c r="DR664" s="4"/>
      <x:c r="DS664" s="4"/>
      <x:c r="DT664" s="4"/>
      <x:c r="DU664" s="4"/>
      <x:c r="DV664" s="4"/>
      <x:c r="DW664" s="4"/>
      <x:c r="DX664" s="4"/>
      <x:c r="DY664" s="4"/>
      <x:c r="DZ664" s="4"/>
      <x:c r="EA664" s="4"/>
      <x:c r="EB664" s="4"/>
      <x:c r="EC664" s="4"/>
      <x:c r="ED664" s="4"/>
      <x:c r="EE664" s="4"/>
      <x:c r="EF664" s="4"/>
      <x:c r="EG664" s="4"/>
      <x:c r="EH664" s="4"/>
      <x:c r="EI664" s="4"/>
      <x:c r="EJ664" s="4"/>
      <x:c r="EK664" s="4"/>
      <x:c r="EL664" s="4"/>
      <x:c r="EM664" s="4"/>
      <x:c r="EN664" s="4"/>
      <x:c r="EO664" s="4"/>
      <x:c r="EP664" s="4"/>
      <x:c r="EQ664" s="4"/>
      <x:c r="ER664" s="4"/>
      <x:c r="ES664" s="4"/>
      <x:c r="ET664" s="4"/>
      <x:c r="EU664" s="4"/>
      <x:c r="EV664" s="4"/>
      <x:c r="EW664" s="4"/>
      <x:c r="EX664" s="4"/>
      <x:c r="EY664" s="4"/>
      <x:c r="EZ664" s="4"/>
      <x:c r="FA664" s="4"/>
      <x:c r="FB664" s="4"/>
      <x:c r="FC664" s="4"/>
      <x:c r="FD664" s="4"/>
      <x:c r="FE664" s="4"/>
      <x:c r="FF664" s="4"/>
      <x:c r="FG664" s="4"/>
      <x:c r="FH664" s="4"/>
      <x:c r="FI664" s="4"/>
      <x:c r="FJ664" s="4"/>
      <x:c r="FK664" s="4"/>
      <x:c r="FL664" s="4"/>
      <x:c r="FM664" s="4"/>
      <x:c r="FN664" s="4"/>
      <x:c r="FO664" s="4"/>
    </x:row>
    <x:row r="665">
      <x:c r="A665" s="72"/>
      <x:c r="B665" s="72"/>
      <x:c r="C665" s="72"/>
      <x:c r="D665" s="72"/>
      <x:c r="E665" s="72"/>
      <x:c r="F665" s="72"/>
      <x:c r="G665" s="72"/>
      <x:c r="H665" s="72"/>
      <x:c r="I665" s="72"/>
      <x:c r="J665" s="72"/>
      <x:c r="K665" s="72"/>
      <x:c r="L665" s="72"/>
      <x:c r="M665" s="72"/>
      <x:c r="N665" s="72"/>
      <x:c r="O665" s="72"/>
      <x:c r="P665" s="72"/>
      <x:c r="Q665" s="72"/>
      <x:c r="R665" s="72"/>
      <x:c r="S665" s="72"/>
      <x:c r="T665" s="72"/>
      <x:c r="U665" s="72"/>
      <x:c r="V665" s="72"/>
      <x:c r="W665" s="72"/>
      <x:c r="X665" s="72"/>
      <x:c r="Y665" s="72"/>
      <x:c r="Z665" s="72"/>
      <x:c r="AA665" s="72"/>
      <x:c r="AB665" s="72"/>
      <x:c r="AC665" s="72"/>
      <x:c r="AD665" s="72"/>
      <x:c r="AE665" s="72"/>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4"/>
      <x:c r="DQ665" s="4"/>
      <x:c r="DR665" s="4"/>
      <x:c r="DS665" s="4"/>
      <x:c r="DT665" s="4"/>
      <x:c r="DU665" s="4"/>
      <x:c r="DV665" s="4"/>
      <x:c r="DW665" s="4"/>
      <x:c r="DX665" s="4"/>
      <x:c r="DY665" s="4"/>
      <x:c r="DZ665" s="4"/>
      <x:c r="EA665" s="4"/>
      <x:c r="EB665" s="4"/>
      <x:c r="EC665" s="4"/>
      <x:c r="ED665" s="4"/>
      <x:c r="EE665" s="4"/>
      <x:c r="EF665" s="4"/>
      <x:c r="EG665" s="4"/>
      <x:c r="EH665" s="4"/>
      <x:c r="EI665" s="4"/>
      <x:c r="EJ665" s="4"/>
      <x:c r="EK665" s="4"/>
      <x:c r="EL665" s="4"/>
      <x:c r="EM665" s="4"/>
      <x:c r="EN665" s="4"/>
      <x:c r="EO665" s="4"/>
      <x:c r="EP665" s="4"/>
      <x:c r="EQ665" s="4"/>
      <x:c r="ER665" s="4"/>
      <x:c r="ES665" s="4"/>
      <x:c r="ET665" s="4"/>
      <x:c r="EU665" s="4"/>
      <x:c r="EV665" s="4"/>
      <x:c r="EW665" s="4"/>
      <x:c r="EX665" s="4"/>
      <x:c r="EY665" s="4"/>
      <x:c r="EZ665" s="4"/>
      <x:c r="FA665" s="4"/>
      <x:c r="FB665" s="4"/>
      <x:c r="FC665" s="4"/>
      <x:c r="FD665" s="4"/>
      <x:c r="FE665" s="4"/>
      <x:c r="FF665" s="4"/>
      <x:c r="FG665" s="4"/>
      <x:c r="FH665" s="4"/>
      <x:c r="FI665" s="4"/>
      <x:c r="FJ665" s="4"/>
      <x:c r="FK665" s="4"/>
      <x:c r="FL665" s="4"/>
      <x:c r="FM665" s="4"/>
      <x:c r="FN665" s="4"/>
      <x:c r="FO665" s="4"/>
    </x:row>
    <x:row r="666">
      <x:c r="A666" s="72"/>
      <x:c r="B666" s="72"/>
      <x:c r="C666" s="72"/>
      <x:c r="D666" s="72"/>
      <x:c r="E666" s="72"/>
      <x:c r="F666" s="72"/>
      <x:c r="G666" s="72"/>
      <x:c r="H666" s="72"/>
      <x:c r="I666" s="72"/>
      <x:c r="J666" s="72"/>
      <x:c r="K666" s="72"/>
      <x:c r="L666" s="72"/>
      <x:c r="M666" s="72"/>
      <x:c r="N666" s="72"/>
      <x:c r="O666" s="72"/>
      <x:c r="P666" s="72"/>
      <x:c r="Q666" s="72"/>
      <x:c r="R666" s="72"/>
      <x:c r="S666" s="72"/>
      <x:c r="T666" s="72"/>
      <x:c r="U666" s="72"/>
      <x:c r="V666" s="72"/>
      <x:c r="W666" s="72"/>
      <x:c r="X666" s="72"/>
      <x:c r="Y666" s="72"/>
      <x:c r="Z666" s="72"/>
      <x:c r="AA666" s="72"/>
      <x:c r="AB666" s="72"/>
      <x:c r="AC666" s="72"/>
      <x:c r="AD666" s="72"/>
      <x:c r="AE666" s="72"/>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4"/>
      <x:c r="DQ666" s="4"/>
      <x:c r="DR666" s="4"/>
      <x:c r="DS666" s="4"/>
      <x:c r="DT666" s="4"/>
      <x:c r="DU666" s="4"/>
      <x:c r="DV666" s="4"/>
      <x:c r="DW666" s="4"/>
      <x:c r="DX666" s="4"/>
      <x:c r="DY666" s="4"/>
      <x:c r="DZ666" s="4"/>
      <x:c r="EA666" s="4"/>
      <x:c r="EB666" s="4"/>
      <x:c r="EC666" s="4"/>
      <x:c r="ED666" s="4"/>
      <x:c r="EE666" s="4"/>
      <x:c r="EF666" s="4"/>
      <x:c r="EG666" s="4"/>
      <x:c r="EH666" s="4"/>
      <x:c r="EI666" s="4"/>
      <x:c r="EJ666" s="4"/>
      <x:c r="EK666" s="4"/>
      <x:c r="EL666" s="4"/>
      <x:c r="EM666" s="4"/>
      <x:c r="EN666" s="4"/>
      <x:c r="EO666" s="4"/>
      <x:c r="EP666" s="4"/>
      <x:c r="EQ666" s="4"/>
      <x:c r="ER666" s="4"/>
      <x:c r="ES666" s="4"/>
      <x:c r="ET666" s="4"/>
      <x:c r="EU666" s="4"/>
      <x:c r="EV666" s="4"/>
      <x:c r="EW666" s="4"/>
      <x:c r="EX666" s="4"/>
      <x:c r="EY666" s="4"/>
      <x:c r="EZ666" s="4"/>
      <x:c r="FA666" s="4"/>
      <x:c r="FB666" s="4"/>
      <x:c r="FC666" s="4"/>
      <x:c r="FD666" s="4"/>
      <x:c r="FE666" s="4"/>
      <x:c r="FF666" s="4"/>
      <x:c r="FG666" s="4"/>
      <x:c r="FH666" s="4"/>
      <x:c r="FI666" s="4"/>
      <x:c r="FJ666" s="4"/>
      <x:c r="FK666" s="4"/>
      <x:c r="FL666" s="4"/>
      <x:c r="FM666" s="4"/>
      <x:c r="FN666" s="4"/>
      <x:c r="FO666" s="4"/>
    </x:row>
    <x:row r="667">
      <x:c r="A667" s="72"/>
      <x:c r="B667" s="72"/>
      <x:c r="C667" s="72"/>
      <x:c r="D667" s="72"/>
      <x:c r="E667" s="72"/>
      <x:c r="F667" s="72"/>
      <x:c r="G667" s="72"/>
      <x:c r="H667" s="72"/>
      <x:c r="I667" s="72"/>
      <x:c r="J667" s="72"/>
      <x:c r="K667" s="72"/>
      <x:c r="L667" s="72"/>
      <x:c r="M667" s="72"/>
      <x:c r="N667" s="72"/>
      <x:c r="O667" s="72"/>
      <x:c r="P667" s="72"/>
      <x:c r="Q667" s="72"/>
      <x:c r="R667" s="72"/>
      <x:c r="S667" s="72"/>
      <x:c r="T667" s="72"/>
      <x:c r="U667" s="72"/>
      <x:c r="V667" s="72"/>
      <x:c r="W667" s="72"/>
      <x:c r="X667" s="72"/>
      <x:c r="Y667" s="72"/>
      <x:c r="Z667" s="72"/>
      <x:c r="AA667" s="72"/>
      <x:c r="AB667" s="72"/>
      <x:c r="AC667" s="72"/>
      <x:c r="AD667" s="72"/>
      <x:c r="AE667" s="72"/>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4"/>
      <x:c r="DQ667" s="4"/>
      <x:c r="DR667" s="4"/>
      <x:c r="DS667" s="4"/>
      <x:c r="DT667" s="4"/>
      <x:c r="DU667" s="4"/>
      <x:c r="DV667" s="4"/>
      <x:c r="DW667" s="4"/>
      <x:c r="DX667" s="4"/>
      <x:c r="DY667" s="4"/>
      <x:c r="DZ667" s="4"/>
      <x:c r="EA667" s="4"/>
      <x:c r="EB667" s="4"/>
      <x:c r="EC667" s="4"/>
      <x:c r="ED667" s="4"/>
      <x:c r="EE667" s="4"/>
      <x:c r="EF667" s="4"/>
      <x:c r="EG667" s="4"/>
      <x:c r="EH667" s="4"/>
      <x:c r="EI667" s="4"/>
      <x:c r="EJ667" s="4"/>
      <x:c r="EK667" s="4"/>
      <x:c r="EL667" s="4"/>
      <x:c r="EM667" s="4"/>
      <x:c r="EN667" s="4"/>
      <x:c r="EO667" s="4"/>
      <x:c r="EP667" s="4"/>
      <x:c r="EQ667" s="4"/>
      <x:c r="ER667" s="4"/>
      <x:c r="ES667" s="4"/>
      <x:c r="ET667" s="4"/>
      <x:c r="EU667" s="4"/>
      <x:c r="EV667" s="4"/>
      <x:c r="EW667" s="4"/>
      <x:c r="EX667" s="4"/>
      <x:c r="EY667" s="4"/>
      <x:c r="EZ667" s="4"/>
      <x:c r="FA667" s="4"/>
      <x:c r="FB667" s="4"/>
      <x:c r="FC667" s="4"/>
      <x:c r="FD667" s="4"/>
      <x:c r="FE667" s="4"/>
      <x:c r="FF667" s="4"/>
      <x:c r="FG667" s="4"/>
      <x:c r="FH667" s="4"/>
      <x:c r="FI667" s="4"/>
      <x:c r="FJ667" s="4"/>
      <x:c r="FK667" s="4"/>
      <x:c r="FL667" s="4"/>
      <x:c r="FM667" s="4"/>
      <x:c r="FN667" s="4"/>
      <x:c r="FO667" s="4"/>
    </x:row>
    <x:row r="668">
      <x:c r="A668" s="72"/>
      <x:c r="B668" s="72"/>
      <x:c r="C668" s="72"/>
      <x:c r="D668" s="72"/>
      <x:c r="E668" s="72"/>
      <x:c r="F668" s="72"/>
      <x:c r="G668" s="72"/>
      <x:c r="H668" s="72"/>
      <x:c r="I668" s="72"/>
      <x:c r="J668" s="72"/>
      <x:c r="K668" s="72"/>
      <x:c r="L668" s="72"/>
      <x:c r="M668" s="72"/>
      <x:c r="N668" s="72"/>
      <x:c r="O668" s="72"/>
      <x:c r="P668" s="72"/>
      <x:c r="Q668" s="72"/>
      <x:c r="R668" s="72"/>
      <x:c r="S668" s="72"/>
      <x:c r="T668" s="72"/>
      <x:c r="U668" s="72"/>
      <x:c r="V668" s="72"/>
      <x:c r="W668" s="72"/>
      <x:c r="X668" s="72"/>
      <x:c r="Y668" s="72"/>
      <x:c r="Z668" s="72"/>
      <x:c r="AA668" s="72"/>
      <x:c r="AB668" s="72"/>
      <x:c r="AC668" s="72"/>
      <x:c r="AD668" s="72"/>
      <x:c r="AE668" s="72"/>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4"/>
      <x:c r="DQ668" s="4"/>
      <x:c r="DR668" s="4"/>
      <x:c r="DS668" s="4"/>
      <x:c r="DT668" s="4"/>
      <x:c r="DU668" s="4"/>
      <x:c r="DV668" s="4"/>
      <x:c r="DW668" s="4"/>
      <x:c r="DX668" s="4"/>
      <x:c r="DY668" s="4"/>
      <x:c r="DZ668" s="4"/>
      <x:c r="EA668" s="4"/>
      <x:c r="EB668" s="4"/>
      <x:c r="EC668" s="4"/>
      <x:c r="ED668" s="4"/>
      <x:c r="EE668" s="4"/>
      <x:c r="EF668" s="4"/>
      <x:c r="EG668" s="4"/>
      <x:c r="EH668" s="4"/>
      <x:c r="EI668" s="4"/>
      <x:c r="EJ668" s="4"/>
      <x:c r="EK668" s="4"/>
      <x:c r="EL668" s="4"/>
      <x:c r="EM668" s="4"/>
      <x:c r="EN668" s="4"/>
      <x:c r="EO668" s="4"/>
      <x:c r="EP668" s="4"/>
      <x:c r="EQ668" s="4"/>
      <x:c r="ER668" s="4"/>
      <x:c r="ES668" s="4"/>
      <x:c r="ET668" s="4"/>
      <x:c r="EU668" s="4"/>
      <x:c r="EV668" s="4"/>
      <x:c r="EW668" s="4"/>
      <x:c r="EX668" s="4"/>
      <x:c r="EY668" s="4"/>
      <x:c r="EZ668" s="4"/>
      <x:c r="FA668" s="4"/>
      <x:c r="FB668" s="4"/>
      <x:c r="FC668" s="4"/>
      <x:c r="FD668" s="4"/>
      <x:c r="FE668" s="4"/>
      <x:c r="FF668" s="4"/>
      <x:c r="FG668" s="4"/>
      <x:c r="FH668" s="4"/>
      <x:c r="FI668" s="4"/>
      <x:c r="FJ668" s="4"/>
      <x:c r="FK668" s="4"/>
      <x:c r="FL668" s="4"/>
      <x:c r="FM668" s="4"/>
      <x:c r="FN668" s="4"/>
      <x:c r="FO668" s="4"/>
    </x:row>
    <x:row r="669">
      <x:c r="A669" s="72"/>
      <x:c r="B669" s="72"/>
      <x:c r="C669" s="72"/>
      <x:c r="D669" s="72"/>
      <x:c r="E669" s="72"/>
      <x:c r="F669" s="72"/>
      <x:c r="G669" s="72"/>
      <x:c r="H669" s="72"/>
      <x:c r="I669" s="72"/>
      <x:c r="J669" s="72"/>
      <x:c r="K669" s="72"/>
      <x:c r="L669" s="72"/>
      <x:c r="M669" s="72"/>
      <x:c r="N669" s="72"/>
      <x:c r="O669" s="72"/>
      <x:c r="P669" s="72"/>
      <x:c r="Q669" s="72"/>
      <x:c r="R669" s="72"/>
      <x:c r="S669" s="72"/>
      <x:c r="T669" s="72"/>
      <x:c r="U669" s="72"/>
      <x:c r="V669" s="72"/>
      <x:c r="W669" s="72"/>
      <x:c r="X669" s="72"/>
      <x:c r="Y669" s="72"/>
      <x:c r="Z669" s="72"/>
      <x:c r="AA669" s="72"/>
      <x:c r="AB669" s="72"/>
      <x:c r="AC669" s="72"/>
      <x:c r="AD669" s="72"/>
      <x:c r="AE669" s="72"/>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4"/>
      <x:c r="DQ669" s="4"/>
      <x:c r="DR669" s="4"/>
      <x:c r="DS669" s="4"/>
      <x:c r="DT669" s="4"/>
      <x:c r="DU669" s="4"/>
      <x:c r="DV669" s="4"/>
      <x:c r="DW669" s="4"/>
      <x:c r="DX669" s="4"/>
      <x:c r="DY669" s="4"/>
      <x:c r="DZ669" s="4"/>
      <x:c r="EA669" s="4"/>
      <x:c r="EB669" s="4"/>
      <x:c r="EC669" s="4"/>
      <x:c r="ED669" s="4"/>
      <x:c r="EE669" s="4"/>
      <x:c r="EF669" s="4"/>
      <x:c r="EG669" s="4"/>
      <x:c r="EH669" s="4"/>
      <x:c r="EI669" s="4"/>
      <x:c r="EJ669" s="4"/>
      <x:c r="EK669" s="4"/>
      <x:c r="EL669" s="4"/>
      <x:c r="EM669" s="4"/>
      <x:c r="EN669" s="4"/>
      <x:c r="EO669" s="4"/>
      <x:c r="EP669" s="4"/>
      <x:c r="EQ669" s="4"/>
      <x:c r="ER669" s="4"/>
      <x:c r="ES669" s="4"/>
      <x:c r="ET669" s="4"/>
      <x:c r="EU669" s="4"/>
      <x:c r="EV669" s="4"/>
      <x:c r="EW669" s="4"/>
      <x:c r="EX669" s="4"/>
      <x:c r="EY669" s="4"/>
      <x:c r="EZ669" s="4"/>
      <x:c r="FA669" s="4"/>
      <x:c r="FB669" s="4"/>
      <x:c r="FC669" s="4"/>
      <x:c r="FD669" s="4"/>
      <x:c r="FE669" s="4"/>
      <x:c r="FF669" s="4"/>
      <x:c r="FG669" s="4"/>
      <x:c r="FH669" s="4"/>
      <x:c r="FI669" s="4"/>
      <x:c r="FJ669" s="4"/>
      <x:c r="FK669" s="4"/>
      <x:c r="FL669" s="4"/>
      <x:c r="FM669" s="4"/>
      <x:c r="FN669" s="4"/>
      <x:c r="FO669" s="4"/>
    </x:row>
    <x:row r="670">
      <x:c r="A670" s="72"/>
      <x:c r="B670" s="72"/>
      <x:c r="C670" s="72"/>
      <x:c r="D670" s="72"/>
      <x:c r="E670" s="72"/>
      <x:c r="F670" s="72"/>
      <x:c r="G670" s="72"/>
      <x:c r="H670" s="72"/>
      <x:c r="I670" s="72"/>
      <x:c r="J670" s="72"/>
      <x:c r="K670" s="72"/>
      <x:c r="L670" s="72"/>
      <x:c r="M670" s="72"/>
      <x:c r="N670" s="72"/>
      <x:c r="O670" s="72"/>
      <x:c r="P670" s="72"/>
      <x:c r="Q670" s="72"/>
      <x:c r="R670" s="72"/>
      <x:c r="S670" s="72"/>
      <x:c r="T670" s="72"/>
      <x:c r="U670" s="72"/>
      <x:c r="V670" s="72"/>
      <x:c r="W670" s="72"/>
      <x:c r="X670" s="72"/>
      <x:c r="Y670" s="72"/>
      <x:c r="Z670" s="72"/>
      <x:c r="AA670" s="72"/>
      <x:c r="AB670" s="72"/>
      <x:c r="AC670" s="72"/>
      <x:c r="AD670" s="72"/>
      <x:c r="AE670" s="72"/>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4"/>
      <x:c r="DQ670" s="4"/>
      <x:c r="DR670" s="4"/>
      <x:c r="DS670" s="4"/>
      <x:c r="DT670" s="4"/>
      <x:c r="DU670" s="4"/>
      <x:c r="DV670" s="4"/>
      <x:c r="DW670" s="4"/>
      <x:c r="DX670" s="4"/>
      <x:c r="DY670" s="4"/>
      <x:c r="DZ670" s="4"/>
      <x:c r="EA670" s="4"/>
      <x:c r="EB670" s="4"/>
      <x:c r="EC670" s="4"/>
      <x:c r="ED670" s="4"/>
      <x:c r="EE670" s="4"/>
      <x:c r="EF670" s="4"/>
      <x:c r="EG670" s="4"/>
      <x:c r="EH670" s="4"/>
      <x:c r="EI670" s="4"/>
      <x:c r="EJ670" s="4"/>
      <x:c r="EK670" s="4"/>
      <x:c r="EL670" s="4"/>
      <x:c r="EM670" s="4"/>
      <x:c r="EN670" s="4"/>
      <x:c r="EO670" s="4"/>
      <x:c r="EP670" s="4"/>
      <x:c r="EQ670" s="4"/>
      <x:c r="ER670" s="4"/>
      <x:c r="ES670" s="4"/>
      <x:c r="ET670" s="4"/>
      <x:c r="EU670" s="4"/>
      <x:c r="EV670" s="4"/>
      <x:c r="EW670" s="4"/>
      <x:c r="EX670" s="4"/>
      <x:c r="EY670" s="4"/>
      <x:c r="EZ670" s="4"/>
      <x:c r="FA670" s="4"/>
      <x:c r="FB670" s="4"/>
      <x:c r="FC670" s="4"/>
      <x:c r="FD670" s="4"/>
      <x:c r="FE670" s="4"/>
      <x:c r="FF670" s="4"/>
      <x:c r="FG670" s="4"/>
      <x:c r="FH670" s="4"/>
      <x:c r="FI670" s="4"/>
      <x:c r="FJ670" s="4"/>
      <x:c r="FK670" s="4"/>
      <x:c r="FL670" s="4"/>
      <x:c r="FM670" s="4"/>
      <x:c r="FN670" s="4"/>
      <x:c r="FO670" s="4"/>
    </x:row>
    <x:row r="671">
      <x:c r="A671" s="72"/>
      <x:c r="B671" s="72"/>
      <x:c r="C671" s="72"/>
      <x:c r="D671" s="72"/>
      <x:c r="E671" s="72"/>
      <x:c r="F671" s="72"/>
      <x:c r="G671" s="72"/>
      <x:c r="H671" s="72"/>
      <x:c r="I671" s="72"/>
      <x:c r="J671" s="72"/>
      <x:c r="K671" s="72"/>
      <x:c r="L671" s="72"/>
      <x:c r="M671" s="72"/>
      <x:c r="N671" s="72"/>
      <x:c r="O671" s="72"/>
      <x:c r="P671" s="72"/>
      <x:c r="Q671" s="72"/>
      <x:c r="R671" s="72"/>
      <x:c r="S671" s="72"/>
      <x:c r="T671" s="72"/>
      <x:c r="U671" s="72"/>
      <x:c r="V671" s="72"/>
      <x:c r="W671" s="72"/>
      <x:c r="X671" s="72"/>
      <x:c r="Y671" s="72"/>
      <x:c r="Z671" s="72"/>
      <x:c r="AA671" s="72"/>
      <x:c r="AB671" s="72"/>
      <x:c r="AC671" s="72"/>
      <x:c r="AD671" s="72"/>
      <x:c r="AE671" s="72"/>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4"/>
      <x:c r="DQ671" s="4"/>
      <x:c r="DR671" s="4"/>
      <x:c r="DS671" s="4"/>
      <x:c r="DT671" s="4"/>
      <x:c r="DU671" s="4"/>
      <x:c r="DV671" s="4"/>
      <x:c r="DW671" s="4"/>
      <x:c r="DX671" s="4"/>
      <x:c r="DY671" s="4"/>
      <x:c r="DZ671" s="4"/>
      <x:c r="EA671" s="4"/>
      <x:c r="EB671" s="4"/>
      <x:c r="EC671" s="4"/>
      <x:c r="ED671" s="4"/>
      <x:c r="EE671" s="4"/>
      <x:c r="EF671" s="4"/>
      <x:c r="EG671" s="4"/>
      <x:c r="EH671" s="4"/>
      <x:c r="EI671" s="4"/>
      <x:c r="EJ671" s="4"/>
      <x:c r="EK671" s="4"/>
      <x:c r="EL671" s="4"/>
      <x:c r="EM671" s="4"/>
      <x:c r="EN671" s="4"/>
      <x:c r="EO671" s="4"/>
      <x:c r="EP671" s="4"/>
      <x:c r="EQ671" s="4"/>
      <x:c r="ER671" s="4"/>
      <x:c r="ES671" s="4"/>
      <x:c r="ET671" s="4"/>
      <x:c r="EU671" s="4"/>
      <x:c r="EV671" s="4"/>
      <x:c r="EW671" s="4"/>
      <x:c r="EX671" s="4"/>
      <x:c r="EY671" s="4"/>
      <x:c r="EZ671" s="4"/>
      <x:c r="FA671" s="4"/>
      <x:c r="FB671" s="4"/>
      <x:c r="FC671" s="4"/>
      <x:c r="FD671" s="4"/>
      <x:c r="FE671" s="4"/>
      <x:c r="FF671" s="4"/>
      <x:c r="FG671" s="4"/>
      <x:c r="FH671" s="4"/>
      <x:c r="FI671" s="4"/>
      <x:c r="FJ671" s="4"/>
      <x:c r="FK671" s="4"/>
      <x:c r="FL671" s="4"/>
      <x:c r="FM671" s="4"/>
      <x:c r="FN671" s="4"/>
      <x:c r="FO671" s="4"/>
    </x:row>
    <x:row r="672">
      <x:c r="A672" s="72"/>
      <x:c r="B672" s="72"/>
      <x:c r="C672" s="72"/>
      <x:c r="D672" s="72"/>
      <x:c r="E672" s="72"/>
      <x:c r="F672" s="72"/>
      <x:c r="G672" s="72"/>
      <x:c r="H672" s="72"/>
      <x:c r="I672" s="72"/>
      <x:c r="J672" s="72"/>
      <x:c r="K672" s="72"/>
      <x:c r="L672" s="72"/>
      <x:c r="M672" s="72"/>
      <x:c r="N672" s="72"/>
      <x:c r="O672" s="72"/>
      <x:c r="P672" s="72"/>
      <x:c r="Q672" s="72"/>
      <x:c r="R672" s="72"/>
      <x:c r="S672" s="72"/>
      <x:c r="T672" s="72"/>
      <x:c r="U672" s="72"/>
      <x:c r="V672" s="72"/>
      <x:c r="W672" s="72"/>
      <x:c r="X672" s="72"/>
      <x:c r="Y672" s="72"/>
      <x:c r="Z672" s="72"/>
      <x:c r="AA672" s="72"/>
      <x:c r="AB672" s="72"/>
      <x:c r="AC672" s="72"/>
      <x:c r="AD672" s="72"/>
      <x:c r="AE672" s="72"/>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4"/>
      <x:c r="DQ672" s="4"/>
      <x:c r="DR672" s="4"/>
      <x:c r="DS672" s="4"/>
      <x:c r="DT672" s="4"/>
      <x:c r="DU672" s="4"/>
      <x:c r="DV672" s="4"/>
      <x:c r="DW672" s="4"/>
      <x:c r="DX672" s="4"/>
      <x:c r="DY672" s="4"/>
      <x:c r="DZ672" s="4"/>
      <x:c r="EA672" s="4"/>
      <x:c r="EB672" s="4"/>
      <x:c r="EC672" s="4"/>
      <x:c r="ED672" s="4"/>
      <x:c r="EE672" s="4"/>
      <x:c r="EF672" s="4"/>
      <x:c r="EG672" s="4"/>
      <x:c r="EH672" s="4"/>
      <x:c r="EI672" s="4"/>
      <x:c r="EJ672" s="4"/>
      <x:c r="EK672" s="4"/>
      <x:c r="EL672" s="4"/>
      <x:c r="EM672" s="4"/>
      <x:c r="EN672" s="4"/>
      <x:c r="EO672" s="4"/>
      <x:c r="EP672" s="4"/>
      <x:c r="EQ672" s="4"/>
      <x:c r="ER672" s="4"/>
      <x:c r="ES672" s="4"/>
      <x:c r="ET672" s="4"/>
      <x:c r="EU672" s="4"/>
      <x:c r="EV672" s="4"/>
      <x:c r="EW672" s="4"/>
      <x:c r="EX672" s="4"/>
      <x:c r="EY672" s="4"/>
      <x:c r="EZ672" s="4"/>
      <x:c r="FA672" s="4"/>
      <x:c r="FB672" s="4"/>
      <x:c r="FC672" s="4"/>
      <x:c r="FD672" s="4"/>
      <x:c r="FE672" s="4"/>
      <x:c r="FF672" s="4"/>
      <x:c r="FG672" s="4"/>
      <x:c r="FH672" s="4"/>
      <x:c r="FI672" s="4"/>
      <x:c r="FJ672" s="4"/>
      <x:c r="FK672" s="4"/>
      <x:c r="FL672" s="4"/>
      <x:c r="FM672" s="4"/>
      <x:c r="FN672" s="4"/>
      <x:c r="FO672" s="4"/>
    </x:row>
    <x:row r="673">
      <x:c r="A673" s="72"/>
      <x:c r="B673" s="72"/>
      <x:c r="C673" s="72"/>
      <x:c r="D673" s="72"/>
      <x:c r="E673" s="72"/>
      <x:c r="F673" s="72"/>
      <x:c r="G673" s="72"/>
      <x:c r="H673" s="72"/>
      <x:c r="I673" s="72"/>
      <x:c r="J673" s="72"/>
      <x:c r="K673" s="72"/>
      <x:c r="L673" s="72"/>
      <x:c r="M673" s="72"/>
      <x:c r="N673" s="72"/>
      <x:c r="O673" s="72"/>
      <x:c r="P673" s="72"/>
      <x:c r="Q673" s="72"/>
      <x:c r="R673" s="72"/>
      <x:c r="S673" s="72"/>
      <x:c r="T673" s="72"/>
      <x:c r="U673" s="72"/>
      <x:c r="V673" s="72"/>
      <x:c r="W673" s="72"/>
      <x:c r="X673" s="72"/>
      <x:c r="Y673" s="72"/>
      <x:c r="Z673" s="72"/>
      <x:c r="AA673" s="72"/>
      <x:c r="AB673" s="72"/>
      <x:c r="AC673" s="72"/>
      <x:c r="AD673" s="72"/>
      <x:c r="AE673" s="72"/>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4"/>
      <x:c r="DQ673" s="4"/>
      <x:c r="DR673" s="4"/>
      <x:c r="DS673" s="4"/>
      <x:c r="DT673" s="4"/>
      <x:c r="DU673" s="4"/>
      <x:c r="DV673" s="4"/>
      <x:c r="DW673" s="4"/>
      <x:c r="DX673" s="4"/>
      <x:c r="DY673" s="4"/>
      <x:c r="DZ673" s="4"/>
      <x:c r="EA673" s="4"/>
      <x:c r="EB673" s="4"/>
      <x:c r="EC673" s="4"/>
      <x:c r="ED673" s="4"/>
      <x:c r="EE673" s="4"/>
      <x:c r="EF673" s="4"/>
      <x:c r="EG673" s="4"/>
      <x:c r="EH673" s="4"/>
      <x:c r="EI673" s="4"/>
      <x:c r="EJ673" s="4"/>
      <x:c r="EK673" s="4"/>
      <x:c r="EL673" s="4"/>
      <x:c r="EM673" s="4"/>
      <x:c r="EN673" s="4"/>
      <x:c r="EO673" s="4"/>
      <x:c r="EP673" s="4"/>
      <x:c r="EQ673" s="4"/>
      <x:c r="ER673" s="4"/>
      <x:c r="ES673" s="4"/>
      <x:c r="ET673" s="4"/>
      <x:c r="EU673" s="4"/>
      <x:c r="EV673" s="4"/>
      <x:c r="EW673" s="4"/>
      <x:c r="EX673" s="4"/>
      <x:c r="EY673" s="4"/>
      <x:c r="EZ673" s="4"/>
      <x:c r="FA673" s="4"/>
      <x:c r="FB673" s="4"/>
      <x:c r="FC673" s="4"/>
      <x:c r="FD673" s="4"/>
      <x:c r="FE673" s="4"/>
      <x:c r="FF673" s="4"/>
      <x:c r="FG673" s="4"/>
      <x:c r="FH673" s="4"/>
      <x:c r="FI673" s="4"/>
      <x:c r="FJ673" s="4"/>
      <x:c r="FK673" s="4"/>
      <x:c r="FL673" s="4"/>
      <x:c r="FM673" s="4"/>
      <x:c r="FN673" s="4"/>
      <x:c r="FO673" s="4"/>
    </x:row>
    <x:row r="674">
      <x:c r="A674" s="72"/>
      <x:c r="B674" s="72"/>
      <x:c r="C674" s="72"/>
      <x:c r="D674" s="72"/>
      <x:c r="E674" s="72"/>
      <x:c r="F674" s="72"/>
      <x:c r="G674" s="72"/>
      <x:c r="H674" s="72"/>
      <x:c r="I674" s="72"/>
      <x:c r="J674" s="72"/>
      <x:c r="K674" s="72"/>
      <x:c r="L674" s="72"/>
      <x:c r="M674" s="72"/>
      <x:c r="N674" s="72"/>
      <x:c r="O674" s="72"/>
      <x:c r="P674" s="72"/>
      <x:c r="Q674" s="72"/>
      <x:c r="R674" s="72"/>
      <x:c r="S674" s="72"/>
      <x:c r="T674" s="72"/>
      <x:c r="U674" s="72"/>
      <x:c r="V674" s="72"/>
      <x:c r="W674" s="72"/>
      <x:c r="X674" s="72"/>
      <x:c r="Y674" s="72"/>
      <x:c r="Z674" s="72"/>
      <x:c r="AA674" s="72"/>
      <x:c r="AB674" s="72"/>
      <x:c r="AC674" s="72"/>
      <x:c r="AD674" s="72"/>
      <x:c r="AE674" s="72"/>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4"/>
      <x:c r="DQ674" s="4"/>
      <x:c r="DR674" s="4"/>
      <x:c r="DS674" s="4"/>
      <x:c r="DT674" s="4"/>
      <x:c r="DU674" s="4"/>
      <x:c r="DV674" s="4"/>
      <x:c r="DW674" s="4"/>
      <x:c r="DX674" s="4"/>
      <x:c r="DY674" s="4"/>
      <x:c r="DZ674" s="4"/>
      <x:c r="EA674" s="4"/>
      <x:c r="EB674" s="4"/>
      <x:c r="EC674" s="4"/>
      <x:c r="ED674" s="4"/>
      <x:c r="EE674" s="4"/>
      <x:c r="EF674" s="4"/>
      <x:c r="EG674" s="4"/>
      <x:c r="EH674" s="4"/>
      <x:c r="EI674" s="4"/>
      <x:c r="EJ674" s="4"/>
      <x:c r="EK674" s="4"/>
      <x:c r="EL674" s="4"/>
      <x:c r="EM674" s="4"/>
      <x:c r="EN674" s="4"/>
      <x:c r="EO674" s="4"/>
      <x:c r="EP674" s="4"/>
      <x:c r="EQ674" s="4"/>
      <x:c r="ER674" s="4"/>
      <x:c r="ES674" s="4"/>
      <x:c r="ET674" s="4"/>
      <x:c r="EU674" s="4"/>
      <x:c r="EV674" s="4"/>
      <x:c r="EW674" s="4"/>
      <x:c r="EX674" s="4"/>
      <x:c r="EY674" s="4"/>
      <x:c r="EZ674" s="4"/>
      <x:c r="FA674" s="4"/>
      <x:c r="FB674" s="4"/>
      <x:c r="FC674" s="4"/>
      <x:c r="FD674" s="4"/>
      <x:c r="FE674" s="4"/>
      <x:c r="FF674" s="4"/>
      <x:c r="FG674" s="4"/>
      <x:c r="FH674" s="4"/>
      <x:c r="FI674" s="4"/>
      <x:c r="FJ674" s="4"/>
      <x:c r="FK674" s="4"/>
      <x:c r="FL674" s="4"/>
      <x:c r="FM674" s="4"/>
      <x:c r="FN674" s="4"/>
      <x:c r="FO674" s="4"/>
    </x:row>
    <x:row r="675">
      <x:c r="A675" s="72"/>
      <x:c r="B675" s="72"/>
      <x:c r="C675" s="72"/>
      <x:c r="D675" s="72"/>
      <x:c r="E675" s="72"/>
      <x:c r="F675" s="72"/>
      <x:c r="G675" s="72"/>
      <x:c r="H675" s="72"/>
      <x:c r="I675" s="72"/>
      <x:c r="J675" s="72"/>
      <x:c r="K675" s="72"/>
      <x:c r="L675" s="72"/>
      <x:c r="M675" s="72"/>
      <x:c r="N675" s="72"/>
      <x:c r="O675" s="72"/>
      <x:c r="P675" s="72"/>
      <x:c r="Q675" s="72"/>
      <x:c r="R675" s="72"/>
      <x:c r="S675" s="72"/>
      <x:c r="T675" s="72"/>
      <x:c r="U675" s="72"/>
      <x:c r="V675" s="72"/>
      <x:c r="W675" s="72"/>
      <x:c r="X675" s="72"/>
      <x:c r="Y675" s="72"/>
      <x:c r="Z675" s="72"/>
      <x:c r="AA675" s="72"/>
      <x:c r="AB675" s="72"/>
      <x:c r="AC675" s="72"/>
      <x:c r="AD675" s="72"/>
      <x:c r="AE675" s="72"/>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4"/>
      <x:c r="DQ675" s="4"/>
      <x:c r="DR675" s="4"/>
      <x:c r="DS675" s="4"/>
      <x:c r="DT675" s="4"/>
      <x:c r="DU675" s="4"/>
      <x:c r="DV675" s="4"/>
      <x:c r="DW675" s="4"/>
      <x:c r="DX675" s="4"/>
      <x:c r="DY675" s="4"/>
      <x:c r="DZ675" s="4"/>
      <x:c r="EA675" s="4"/>
      <x:c r="EB675" s="4"/>
      <x:c r="EC675" s="4"/>
      <x:c r="ED675" s="4"/>
      <x:c r="EE675" s="4"/>
      <x:c r="EF675" s="4"/>
      <x:c r="EG675" s="4"/>
      <x:c r="EH675" s="4"/>
      <x:c r="EI675" s="4"/>
      <x:c r="EJ675" s="4"/>
      <x:c r="EK675" s="4"/>
      <x:c r="EL675" s="4"/>
      <x:c r="EM675" s="4"/>
      <x:c r="EN675" s="4"/>
      <x:c r="EO675" s="4"/>
      <x:c r="EP675" s="4"/>
      <x:c r="EQ675" s="4"/>
      <x:c r="ER675" s="4"/>
      <x:c r="ES675" s="4"/>
      <x:c r="ET675" s="4"/>
      <x:c r="EU675" s="4"/>
      <x:c r="EV675" s="4"/>
      <x:c r="EW675" s="4"/>
      <x:c r="EX675" s="4"/>
      <x:c r="EY675" s="4"/>
      <x:c r="EZ675" s="4"/>
      <x:c r="FA675" s="4"/>
      <x:c r="FB675" s="4"/>
      <x:c r="FC675" s="4"/>
      <x:c r="FD675" s="4"/>
      <x:c r="FE675" s="4"/>
      <x:c r="FF675" s="4"/>
      <x:c r="FG675" s="4"/>
      <x:c r="FH675" s="4"/>
      <x:c r="FI675" s="4"/>
      <x:c r="FJ675" s="4"/>
      <x:c r="FK675" s="4"/>
      <x:c r="FL675" s="4"/>
      <x:c r="FM675" s="4"/>
      <x:c r="FN675" s="4"/>
      <x:c r="FO675" s="4"/>
    </x:row>
    <x:row r="676">
      <x:c r="A676" s="72"/>
      <x:c r="B676" s="72"/>
      <x:c r="C676" s="72"/>
      <x:c r="D676" s="72"/>
      <x:c r="E676" s="72"/>
      <x:c r="F676" s="72"/>
      <x:c r="G676" s="72"/>
      <x:c r="H676" s="72"/>
      <x:c r="I676" s="72"/>
      <x:c r="J676" s="72"/>
      <x:c r="K676" s="72"/>
      <x:c r="L676" s="72"/>
      <x:c r="M676" s="72"/>
      <x:c r="N676" s="72"/>
      <x:c r="O676" s="72"/>
      <x:c r="P676" s="72"/>
      <x:c r="Q676" s="72"/>
      <x:c r="R676" s="72"/>
      <x:c r="S676" s="72"/>
      <x:c r="T676" s="72"/>
      <x:c r="U676" s="72"/>
      <x:c r="V676" s="72"/>
      <x:c r="W676" s="72"/>
      <x:c r="X676" s="72"/>
      <x:c r="Y676" s="72"/>
      <x:c r="Z676" s="72"/>
      <x:c r="AA676" s="72"/>
      <x:c r="AB676" s="72"/>
      <x:c r="AC676" s="72"/>
      <x:c r="AD676" s="72"/>
      <x:c r="AE676" s="72"/>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4"/>
      <x:c r="DQ676" s="4"/>
      <x:c r="DR676" s="4"/>
      <x:c r="DS676" s="4"/>
      <x:c r="DT676" s="4"/>
      <x:c r="DU676" s="4"/>
      <x:c r="DV676" s="4"/>
      <x:c r="DW676" s="4"/>
      <x:c r="DX676" s="4"/>
      <x:c r="DY676" s="4"/>
      <x:c r="DZ676" s="4"/>
      <x:c r="EA676" s="4"/>
      <x:c r="EB676" s="4"/>
      <x:c r="EC676" s="4"/>
      <x:c r="ED676" s="4"/>
      <x:c r="EE676" s="4"/>
      <x:c r="EF676" s="4"/>
      <x:c r="EG676" s="4"/>
      <x:c r="EH676" s="4"/>
      <x:c r="EI676" s="4"/>
      <x:c r="EJ676" s="4"/>
      <x:c r="EK676" s="4"/>
      <x:c r="EL676" s="4"/>
      <x:c r="EM676" s="4"/>
      <x:c r="EN676" s="4"/>
      <x:c r="EO676" s="4"/>
      <x:c r="EP676" s="4"/>
      <x:c r="EQ676" s="4"/>
      <x:c r="ER676" s="4"/>
      <x:c r="ES676" s="4"/>
      <x:c r="ET676" s="4"/>
      <x:c r="EU676" s="4"/>
      <x:c r="EV676" s="4"/>
      <x:c r="EW676" s="4"/>
      <x:c r="EX676" s="4"/>
      <x:c r="EY676" s="4"/>
      <x:c r="EZ676" s="4"/>
      <x:c r="FA676" s="4"/>
      <x:c r="FB676" s="4"/>
      <x:c r="FC676" s="4"/>
      <x:c r="FD676" s="4"/>
      <x:c r="FE676" s="4"/>
      <x:c r="FF676" s="4"/>
      <x:c r="FG676" s="4"/>
      <x:c r="FH676" s="4"/>
      <x:c r="FI676" s="4"/>
      <x:c r="FJ676" s="4"/>
      <x:c r="FK676" s="4"/>
      <x:c r="FL676" s="4"/>
      <x:c r="FM676" s="4"/>
      <x:c r="FN676" s="4"/>
      <x:c r="FO676" s="4"/>
    </x:row>
    <x:row r="677">
      <x:c r="A677" s="72"/>
      <x:c r="B677" s="72"/>
      <x:c r="C677" s="72"/>
      <x:c r="D677" s="72"/>
      <x:c r="E677" s="72"/>
      <x:c r="F677" s="72"/>
      <x:c r="G677" s="72"/>
      <x:c r="H677" s="72"/>
      <x:c r="I677" s="72"/>
      <x:c r="J677" s="72"/>
      <x:c r="K677" s="72"/>
      <x:c r="L677" s="72"/>
      <x:c r="M677" s="72"/>
      <x:c r="N677" s="72"/>
      <x:c r="O677" s="72"/>
      <x:c r="P677" s="72"/>
      <x:c r="Q677" s="72"/>
      <x:c r="R677" s="72"/>
      <x:c r="S677" s="72"/>
      <x:c r="T677" s="72"/>
      <x:c r="U677" s="72"/>
      <x:c r="V677" s="72"/>
      <x:c r="W677" s="72"/>
      <x:c r="X677" s="72"/>
      <x:c r="Y677" s="72"/>
      <x:c r="Z677" s="72"/>
      <x:c r="AA677" s="72"/>
      <x:c r="AB677" s="72"/>
      <x:c r="AC677" s="72"/>
      <x:c r="AD677" s="72"/>
      <x:c r="AE677" s="72"/>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4"/>
      <x:c r="DQ677" s="4"/>
      <x:c r="DR677" s="4"/>
      <x:c r="DS677" s="4"/>
      <x:c r="DT677" s="4"/>
      <x:c r="DU677" s="4"/>
      <x:c r="DV677" s="4"/>
      <x:c r="DW677" s="4"/>
      <x:c r="DX677" s="4"/>
      <x:c r="DY677" s="4"/>
      <x:c r="DZ677" s="4"/>
      <x:c r="EA677" s="4"/>
      <x:c r="EB677" s="4"/>
      <x:c r="EC677" s="4"/>
      <x:c r="ED677" s="4"/>
      <x:c r="EE677" s="4"/>
      <x:c r="EF677" s="4"/>
      <x:c r="EG677" s="4"/>
      <x:c r="EH677" s="4"/>
      <x:c r="EI677" s="4"/>
      <x:c r="EJ677" s="4"/>
      <x:c r="EK677" s="4"/>
      <x:c r="EL677" s="4"/>
      <x:c r="EM677" s="4"/>
      <x:c r="EN677" s="4"/>
      <x:c r="EO677" s="4"/>
      <x:c r="EP677" s="4"/>
      <x:c r="EQ677" s="4"/>
      <x:c r="ER677" s="4"/>
      <x:c r="ES677" s="4"/>
      <x:c r="ET677" s="4"/>
      <x:c r="EU677" s="4"/>
      <x:c r="EV677" s="4"/>
      <x:c r="EW677" s="4"/>
      <x:c r="EX677" s="4"/>
      <x:c r="EY677" s="4"/>
      <x:c r="EZ677" s="4"/>
      <x:c r="FA677" s="4"/>
      <x:c r="FB677" s="4"/>
      <x:c r="FC677" s="4"/>
      <x:c r="FD677" s="4"/>
      <x:c r="FE677" s="4"/>
      <x:c r="FF677" s="4"/>
      <x:c r="FG677" s="4"/>
      <x:c r="FH677" s="4"/>
      <x:c r="FI677" s="4"/>
      <x:c r="FJ677" s="4"/>
      <x:c r="FK677" s="4"/>
      <x:c r="FL677" s="4"/>
      <x:c r="FM677" s="4"/>
      <x:c r="FN677" s="4"/>
      <x:c r="FO677" s="4"/>
    </x:row>
    <x:row r="678">
      <x:c r="A678" s="72"/>
      <x:c r="B678" s="72"/>
      <x:c r="C678" s="72"/>
      <x:c r="D678" s="72"/>
      <x:c r="E678" s="72"/>
      <x:c r="F678" s="72"/>
      <x:c r="G678" s="72"/>
      <x:c r="H678" s="72"/>
      <x:c r="I678" s="72"/>
      <x:c r="J678" s="72"/>
      <x:c r="K678" s="72"/>
      <x:c r="L678" s="72"/>
      <x:c r="M678" s="72"/>
      <x:c r="N678" s="72"/>
      <x:c r="O678" s="72"/>
      <x:c r="P678" s="72"/>
      <x:c r="Q678" s="72"/>
      <x:c r="R678" s="72"/>
      <x:c r="S678" s="72"/>
      <x:c r="T678" s="72"/>
      <x:c r="U678" s="72"/>
      <x:c r="V678" s="72"/>
      <x:c r="W678" s="72"/>
      <x:c r="X678" s="72"/>
      <x:c r="Y678" s="72"/>
      <x:c r="Z678" s="72"/>
      <x:c r="AA678" s="72"/>
      <x:c r="AB678" s="72"/>
      <x:c r="AC678" s="72"/>
      <x:c r="AD678" s="72"/>
      <x:c r="AE678" s="72"/>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4"/>
      <x:c r="DQ678" s="4"/>
      <x:c r="DR678" s="4"/>
      <x:c r="DS678" s="4"/>
      <x:c r="DT678" s="4"/>
      <x:c r="DU678" s="4"/>
      <x:c r="DV678" s="4"/>
      <x:c r="DW678" s="4"/>
      <x:c r="DX678" s="4"/>
      <x:c r="DY678" s="4"/>
      <x:c r="DZ678" s="4"/>
      <x:c r="EA678" s="4"/>
      <x:c r="EB678" s="4"/>
      <x:c r="EC678" s="4"/>
      <x:c r="ED678" s="4"/>
      <x:c r="EE678" s="4"/>
      <x:c r="EF678" s="4"/>
      <x:c r="EG678" s="4"/>
      <x:c r="EH678" s="4"/>
      <x:c r="EI678" s="4"/>
      <x:c r="EJ678" s="4"/>
      <x:c r="EK678" s="4"/>
      <x:c r="EL678" s="4"/>
      <x:c r="EM678" s="4"/>
      <x:c r="EN678" s="4"/>
      <x:c r="EO678" s="4"/>
      <x:c r="EP678" s="4"/>
      <x:c r="EQ678" s="4"/>
      <x:c r="ER678" s="4"/>
      <x:c r="ES678" s="4"/>
      <x:c r="ET678" s="4"/>
      <x:c r="EU678" s="4"/>
      <x:c r="EV678" s="4"/>
      <x:c r="EW678" s="4"/>
      <x:c r="EX678" s="4"/>
      <x:c r="EY678" s="4"/>
      <x:c r="EZ678" s="4"/>
      <x:c r="FA678" s="4"/>
      <x:c r="FB678" s="4"/>
      <x:c r="FC678" s="4"/>
      <x:c r="FD678" s="4"/>
      <x:c r="FE678" s="4"/>
      <x:c r="FF678" s="4"/>
      <x:c r="FG678" s="4"/>
      <x:c r="FH678" s="4"/>
      <x:c r="FI678" s="4"/>
      <x:c r="FJ678" s="4"/>
      <x:c r="FK678" s="4"/>
      <x:c r="FL678" s="4"/>
      <x:c r="FM678" s="4"/>
      <x:c r="FN678" s="4"/>
      <x:c r="FO678" s="4"/>
    </x:row>
    <x:row r="679">
      <x:c r="A679" s="72"/>
      <x:c r="B679" s="72"/>
      <x:c r="C679" s="72"/>
      <x:c r="D679" s="72"/>
      <x:c r="E679" s="72"/>
      <x:c r="F679" s="72"/>
      <x:c r="G679" s="72"/>
      <x:c r="H679" s="72"/>
      <x:c r="I679" s="72"/>
      <x:c r="J679" s="72"/>
      <x:c r="K679" s="72"/>
      <x:c r="L679" s="72"/>
      <x:c r="M679" s="72"/>
      <x:c r="N679" s="72"/>
      <x:c r="O679" s="72"/>
      <x:c r="P679" s="72"/>
      <x:c r="Q679" s="72"/>
      <x:c r="R679" s="72"/>
      <x:c r="S679" s="72"/>
      <x:c r="T679" s="72"/>
      <x:c r="U679" s="72"/>
      <x:c r="V679" s="72"/>
      <x:c r="W679" s="72"/>
      <x:c r="X679" s="72"/>
      <x:c r="Y679" s="72"/>
      <x:c r="Z679" s="72"/>
      <x:c r="AA679" s="72"/>
      <x:c r="AB679" s="72"/>
      <x:c r="AC679" s="72"/>
      <x:c r="AD679" s="72"/>
      <x:c r="AE679" s="72"/>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4"/>
      <x:c r="DQ679" s="4"/>
      <x:c r="DR679" s="4"/>
      <x:c r="DS679" s="4"/>
      <x:c r="DT679" s="4"/>
      <x:c r="DU679" s="4"/>
      <x:c r="DV679" s="4"/>
      <x:c r="DW679" s="4"/>
      <x:c r="DX679" s="4"/>
      <x:c r="DY679" s="4"/>
      <x:c r="DZ679" s="4"/>
      <x:c r="EA679" s="4"/>
      <x:c r="EB679" s="4"/>
      <x:c r="EC679" s="4"/>
      <x:c r="ED679" s="4"/>
      <x:c r="EE679" s="4"/>
      <x:c r="EF679" s="4"/>
      <x:c r="EG679" s="4"/>
      <x:c r="EH679" s="4"/>
      <x:c r="EI679" s="4"/>
      <x:c r="EJ679" s="4"/>
      <x:c r="EK679" s="4"/>
      <x:c r="EL679" s="4"/>
      <x:c r="EM679" s="4"/>
      <x:c r="EN679" s="4"/>
      <x:c r="EO679" s="4"/>
      <x:c r="EP679" s="4"/>
      <x:c r="EQ679" s="4"/>
      <x:c r="ER679" s="4"/>
      <x:c r="ES679" s="4"/>
      <x:c r="ET679" s="4"/>
      <x:c r="EU679" s="4"/>
      <x:c r="EV679" s="4"/>
      <x:c r="EW679" s="4"/>
      <x:c r="EX679" s="4"/>
      <x:c r="EY679" s="4"/>
      <x:c r="EZ679" s="4"/>
      <x:c r="FA679" s="4"/>
      <x:c r="FB679" s="4"/>
      <x:c r="FC679" s="4"/>
      <x:c r="FD679" s="4"/>
      <x:c r="FE679" s="4"/>
      <x:c r="FF679" s="4"/>
      <x:c r="FG679" s="4"/>
      <x:c r="FH679" s="4"/>
      <x:c r="FI679" s="4"/>
      <x:c r="FJ679" s="4"/>
      <x:c r="FK679" s="4"/>
      <x:c r="FL679" s="4"/>
      <x:c r="FM679" s="4"/>
      <x:c r="FN679" s="4"/>
      <x:c r="FO679" s="4"/>
    </x:row>
    <x:row r="680">
      <x:c r="A680" s="72"/>
      <x:c r="B680" s="72"/>
      <x:c r="C680" s="72"/>
      <x:c r="D680" s="72"/>
      <x:c r="E680" s="72"/>
      <x:c r="F680" s="72"/>
      <x:c r="G680" s="72"/>
      <x:c r="H680" s="72"/>
      <x:c r="I680" s="72"/>
      <x:c r="J680" s="72"/>
      <x:c r="K680" s="72"/>
      <x:c r="L680" s="72"/>
      <x:c r="M680" s="72"/>
      <x:c r="N680" s="72"/>
      <x:c r="O680" s="72"/>
      <x:c r="P680" s="72"/>
      <x:c r="Q680" s="72"/>
      <x:c r="R680" s="72"/>
      <x:c r="S680" s="72"/>
      <x:c r="T680" s="72"/>
      <x:c r="U680" s="72"/>
      <x:c r="V680" s="72"/>
      <x:c r="W680" s="72"/>
      <x:c r="X680" s="72"/>
      <x:c r="Y680" s="72"/>
      <x:c r="Z680" s="72"/>
      <x:c r="AA680" s="72"/>
      <x:c r="AB680" s="72"/>
      <x:c r="AC680" s="72"/>
      <x:c r="AD680" s="72"/>
      <x:c r="AE680" s="72"/>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4"/>
      <x:c r="DQ680" s="4"/>
      <x:c r="DR680" s="4"/>
      <x:c r="DS680" s="4"/>
      <x:c r="DT680" s="4"/>
      <x:c r="DU680" s="4"/>
      <x:c r="DV680" s="4"/>
      <x:c r="DW680" s="4"/>
      <x:c r="DX680" s="4"/>
      <x:c r="DY680" s="4"/>
      <x:c r="DZ680" s="4"/>
      <x:c r="EA680" s="4"/>
      <x:c r="EB680" s="4"/>
      <x:c r="EC680" s="4"/>
      <x:c r="ED680" s="4"/>
      <x:c r="EE680" s="4"/>
      <x:c r="EF680" s="4"/>
      <x:c r="EG680" s="4"/>
      <x:c r="EH680" s="4"/>
      <x:c r="EI680" s="4"/>
      <x:c r="EJ680" s="4"/>
      <x:c r="EK680" s="4"/>
      <x:c r="EL680" s="4"/>
      <x:c r="EM680" s="4"/>
      <x:c r="EN680" s="4"/>
      <x:c r="EO680" s="4"/>
      <x:c r="EP680" s="4"/>
      <x:c r="EQ680" s="4"/>
      <x:c r="ER680" s="4"/>
      <x:c r="ES680" s="4"/>
      <x:c r="ET680" s="4"/>
      <x:c r="EU680" s="4"/>
      <x:c r="EV680" s="4"/>
      <x:c r="EW680" s="4"/>
      <x:c r="EX680" s="4"/>
      <x:c r="EY680" s="4"/>
      <x:c r="EZ680" s="4"/>
      <x:c r="FA680" s="4"/>
      <x:c r="FB680" s="4"/>
      <x:c r="FC680" s="4"/>
      <x:c r="FD680" s="4"/>
      <x:c r="FE680" s="4"/>
      <x:c r="FF680" s="4"/>
      <x:c r="FG680" s="4"/>
      <x:c r="FH680" s="4"/>
      <x:c r="FI680" s="4"/>
      <x:c r="FJ680" s="4"/>
      <x:c r="FK680" s="4"/>
      <x:c r="FL680" s="4"/>
      <x:c r="FM680" s="4"/>
      <x:c r="FN680" s="4"/>
      <x:c r="FO680" s="4"/>
    </x:row>
    <x:row r="681">
      <x:c r="A681" s="72"/>
      <x:c r="B681" s="72"/>
      <x:c r="C681" s="72"/>
      <x:c r="D681" s="72"/>
      <x:c r="E681" s="72"/>
      <x:c r="F681" s="72"/>
      <x:c r="G681" s="72"/>
      <x:c r="H681" s="72"/>
      <x:c r="I681" s="72"/>
      <x:c r="J681" s="72"/>
      <x:c r="K681" s="72"/>
      <x:c r="L681" s="72"/>
      <x:c r="M681" s="72"/>
      <x:c r="N681" s="72"/>
      <x:c r="O681" s="72"/>
      <x:c r="P681" s="72"/>
      <x:c r="Q681" s="72"/>
      <x:c r="R681" s="72"/>
      <x:c r="S681" s="72"/>
      <x:c r="T681" s="72"/>
      <x:c r="U681" s="72"/>
      <x:c r="V681" s="72"/>
      <x:c r="W681" s="72"/>
      <x:c r="X681" s="72"/>
      <x:c r="Y681" s="72"/>
      <x:c r="Z681" s="72"/>
      <x:c r="AA681" s="72"/>
      <x:c r="AB681" s="72"/>
      <x:c r="AC681" s="72"/>
      <x:c r="AD681" s="72"/>
      <x:c r="AE681" s="72"/>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4"/>
      <x:c r="DQ681" s="4"/>
      <x:c r="DR681" s="4"/>
      <x:c r="DS681" s="4"/>
      <x:c r="DT681" s="4"/>
      <x:c r="DU681" s="4"/>
      <x:c r="DV681" s="4"/>
      <x:c r="DW681" s="4"/>
      <x:c r="DX681" s="4"/>
      <x:c r="DY681" s="4"/>
      <x:c r="DZ681" s="4"/>
      <x:c r="EA681" s="4"/>
      <x:c r="EB681" s="4"/>
      <x:c r="EC681" s="4"/>
      <x:c r="ED681" s="4"/>
      <x:c r="EE681" s="4"/>
      <x:c r="EF681" s="4"/>
      <x:c r="EG681" s="4"/>
      <x:c r="EH681" s="4"/>
      <x:c r="EI681" s="4"/>
      <x:c r="EJ681" s="4"/>
      <x:c r="EK681" s="4"/>
      <x:c r="EL681" s="4"/>
      <x:c r="EM681" s="4"/>
      <x:c r="EN681" s="4"/>
      <x:c r="EO681" s="4"/>
      <x:c r="EP681" s="4"/>
      <x:c r="EQ681" s="4"/>
      <x:c r="ER681" s="4"/>
      <x:c r="ES681" s="4"/>
      <x:c r="ET681" s="4"/>
      <x:c r="EU681" s="4"/>
      <x:c r="EV681" s="4"/>
      <x:c r="EW681" s="4"/>
      <x:c r="EX681" s="4"/>
      <x:c r="EY681" s="4"/>
      <x:c r="EZ681" s="4"/>
      <x:c r="FA681" s="4"/>
      <x:c r="FB681" s="4"/>
      <x:c r="FC681" s="4"/>
      <x:c r="FD681" s="4"/>
      <x:c r="FE681" s="4"/>
      <x:c r="FF681" s="4"/>
      <x:c r="FG681" s="4"/>
      <x:c r="FH681" s="4"/>
      <x:c r="FI681" s="4"/>
      <x:c r="FJ681" s="4"/>
      <x:c r="FK681" s="4"/>
      <x:c r="FL681" s="4"/>
      <x:c r="FM681" s="4"/>
      <x:c r="FN681" s="4"/>
      <x:c r="FO681" s="4"/>
    </x:row>
    <x:row r="682">
      <x:c r="A682" s="72"/>
      <x:c r="B682" s="72"/>
      <x:c r="C682" s="72"/>
      <x:c r="D682" s="72"/>
      <x:c r="E682" s="72"/>
      <x:c r="F682" s="72"/>
      <x:c r="G682" s="72"/>
      <x:c r="H682" s="72"/>
      <x:c r="I682" s="72"/>
      <x:c r="J682" s="72"/>
      <x:c r="K682" s="72"/>
      <x:c r="L682" s="72"/>
      <x:c r="M682" s="72"/>
      <x:c r="N682" s="72"/>
      <x:c r="O682" s="72"/>
      <x:c r="P682" s="72"/>
      <x:c r="Q682" s="72"/>
      <x:c r="R682" s="72"/>
      <x:c r="S682" s="72"/>
      <x:c r="T682" s="72"/>
      <x:c r="U682" s="72"/>
      <x:c r="V682" s="72"/>
      <x:c r="W682" s="72"/>
      <x:c r="X682" s="72"/>
      <x:c r="Y682" s="72"/>
      <x:c r="Z682" s="72"/>
      <x:c r="AA682" s="72"/>
      <x:c r="AB682" s="72"/>
      <x:c r="AC682" s="72"/>
      <x:c r="AD682" s="72"/>
      <x:c r="AE682" s="72"/>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4"/>
      <x:c r="DQ682" s="4"/>
      <x:c r="DR682" s="4"/>
      <x:c r="DS682" s="4"/>
      <x:c r="DT682" s="4"/>
      <x:c r="DU682" s="4"/>
      <x:c r="DV682" s="4"/>
      <x:c r="DW682" s="4"/>
      <x:c r="DX682" s="4"/>
      <x:c r="DY682" s="4"/>
      <x:c r="DZ682" s="4"/>
      <x:c r="EA682" s="4"/>
      <x:c r="EB682" s="4"/>
      <x:c r="EC682" s="4"/>
      <x:c r="ED682" s="4"/>
      <x:c r="EE682" s="4"/>
      <x:c r="EF682" s="4"/>
      <x:c r="EG682" s="4"/>
      <x:c r="EH682" s="4"/>
      <x:c r="EI682" s="4"/>
      <x:c r="EJ682" s="4"/>
      <x:c r="EK682" s="4"/>
      <x:c r="EL682" s="4"/>
      <x:c r="EM682" s="4"/>
      <x:c r="EN682" s="4"/>
      <x:c r="EO682" s="4"/>
      <x:c r="EP682" s="4"/>
      <x:c r="EQ682" s="4"/>
      <x:c r="ER682" s="4"/>
      <x:c r="ES682" s="4"/>
      <x:c r="ET682" s="4"/>
      <x:c r="EU682" s="4"/>
      <x:c r="EV682" s="4"/>
      <x:c r="EW682" s="4"/>
      <x:c r="EX682" s="4"/>
      <x:c r="EY682" s="4"/>
      <x:c r="EZ682" s="4"/>
      <x:c r="FA682" s="4"/>
      <x:c r="FB682" s="4"/>
      <x:c r="FC682" s="4"/>
      <x:c r="FD682" s="4"/>
      <x:c r="FE682" s="4"/>
      <x:c r="FF682" s="4"/>
      <x:c r="FG682" s="4"/>
      <x:c r="FH682" s="4"/>
      <x:c r="FI682" s="4"/>
      <x:c r="FJ682" s="4"/>
      <x:c r="FK682" s="4"/>
      <x:c r="FL682" s="4"/>
      <x:c r="FM682" s="4"/>
      <x:c r="FN682" s="4"/>
      <x:c r="FO682" s="4"/>
    </x:row>
    <x:row r="683">
      <x:c r="A683" s="72"/>
      <x:c r="B683" s="72"/>
      <x:c r="C683" s="72"/>
      <x:c r="D683" s="72"/>
      <x:c r="E683" s="72"/>
      <x:c r="F683" s="72"/>
      <x:c r="G683" s="72"/>
      <x:c r="H683" s="72"/>
      <x:c r="I683" s="72"/>
      <x:c r="J683" s="72"/>
      <x:c r="K683" s="72"/>
      <x:c r="L683" s="72"/>
      <x:c r="M683" s="72"/>
      <x:c r="N683" s="72"/>
      <x:c r="O683" s="72"/>
      <x:c r="P683" s="72"/>
      <x:c r="Q683" s="72"/>
      <x:c r="R683" s="72"/>
      <x:c r="S683" s="72"/>
      <x:c r="T683" s="72"/>
      <x:c r="U683" s="72"/>
      <x:c r="V683" s="72"/>
      <x:c r="W683" s="72"/>
      <x:c r="X683" s="72"/>
      <x:c r="Y683" s="72"/>
      <x:c r="Z683" s="72"/>
      <x:c r="AA683" s="72"/>
      <x:c r="AB683" s="72"/>
      <x:c r="AC683" s="72"/>
      <x:c r="AD683" s="72"/>
      <x:c r="AE683" s="72"/>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4"/>
      <x:c r="DQ683" s="4"/>
      <x:c r="DR683" s="4"/>
      <x:c r="DS683" s="4"/>
      <x:c r="DT683" s="4"/>
      <x:c r="DU683" s="4"/>
      <x:c r="DV683" s="4"/>
      <x:c r="DW683" s="4"/>
      <x:c r="DX683" s="4"/>
      <x:c r="DY683" s="4"/>
      <x:c r="DZ683" s="4"/>
      <x:c r="EA683" s="4"/>
      <x:c r="EB683" s="4"/>
      <x:c r="EC683" s="4"/>
      <x:c r="ED683" s="4"/>
      <x:c r="EE683" s="4"/>
      <x:c r="EF683" s="4"/>
      <x:c r="EG683" s="4"/>
      <x:c r="EH683" s="4"/>
      <x:c r="EI683" s="4"/>
      <x:c r="EJ683" s="4"/>
      <x:c r="EK683" s="4"/>
      <x:c r="EL683" s="4"/>
      <x:c r="EM683" s="4"/>
      <x:c r="EN683" s="4"/>
      <x:c r="EO683" s="4"/>
      <x:c r="EP683" s="4"/>
      <x:c r="EQ683" s="4"/>
      <x:c r="ER683" s="4"/>
      <x:c r="ES683" s="4"/>
      <x:c r="ET683" s="4"/>
      <x:c r="EU683" s="4"/>
      <x:c r="EV683" s="4"/>
      <x:c r="EW683" s="4"/>
      <x:c r="EX683" s="4"/>
      <x:c r="EY683" s="4"/>
      <x:c r="EZ683" s="4"/>
      <x:c r="FA683" s="4"/>
      <x:c r="FB683" s="4"/>
      <x:c r="FC683" s="4"/>
      <x:c r="FD683" s="4"/>
      <x:c r="FE683" s="4"/>
      <x:c r="FF683" s="4"/>
      <x:c r="FG683" s="4"/>
      <x:c r="FH683" s="4"/>
      <x:c r="FI683" s="4"/>
      <x:c r="FJ683" s="4"/>
      <x:c r="FK683" s="4"/>
      <x:c r="FL683" s="4"/>
      <x:c r="FM683" s="4"/>
      <x:c r="FN683" s="4"/>
      <x:c r="FO683" s="4"/>
    </x:row>
    <x:row r="684">
      <x:c r="A684" s="72"/>
      <x:c r="B684" s="72"/>
      <x:c r="C684" s="72"/>
      <x:c r="D684" s="72"/>
      <x:c r="E684" s="72"/>
      <x:c r="F684" s="72"/>
      <x:c r="G684" s="72"/>
      <x:c r="H684" s="72"/>
      <x:c r="I684" s="72"/>
      <x:c r="J684" s="72"/>
      <x:c r="K684" s="72"/>
      <x:c r="L684" s="72"/>
      <x:c r="M684" s="72"/>
      <x:c r="N684" s="72"/>
      <x:c r="O684" s="72"/>
      <x:c r="P684" s="72"/>
      <x:c r="Q684" s="72"/>
      <x:c r="R684" s="72"/>
      <x:c r="S684" s="72"/>
      <x:c r="T684" s="72"/>
      <x:c r="U684" s="72"/>
      <x:c r="V684" s="72"/>
      <x:c r="W684" s="72"/>
      <x:c r="X684" s="72"/>
      <x:c r="Y684" s="72"/>
      <x:c r="Z684" s="72"/>
      <x:c r="AA684" s="72"/>
      <x:c r="AB684" s="72"/>
      <x:c r="AC684" s="72"/>
      <x:c r="AD684" s="72"/>
      <x:c r="AE684" s="72"/>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4"/>
      <x:c r="DQ684" s="4"/>
      <x:c r="DR684" s="4"/>
      <x:c r="DS684" s="4"/>
      <x:c r="DT684" s="4"/>
      <x:c r="DU684" s="4"/>
      <x:c r="DV684" s="4"/>
      <x:c r="DW684" s="4"/>
      <x:c r="DX684" s="4"/>
      <x:c r="DY684" s="4"/>
      <x:c r="DZ684" s="4"/>
      <x:c r="EA684" s="4"/>
      <x:c r="EB684" s="4"/>
      <x:c r="EC684" s="4"/>
      <x:c r="ED684" s="4"/>
      <x:c r="EE684" s="4"/>
      <x:c r="EF684" s="4"/>
      <x:c r="EG684" s="4"/>
      <x:c r="EH684" s="4"/>
      <x:c r="EI684" s="4"/>
      <x:c r="EJ684" s="4"/>
      <x:c r="EK684" s="4"/>
      <x:c r="EL684" s="4"/>
      <x:c r="EM684" s="4"/>
      <x:c r="EN684" s="4"/>
      <x:c r="EO684" s="4"/>
      <x:c r="EP684" s="4"/>
      <x:c r="EQ684" s="4"/>
      <x:c r="ER684" s="4"/>
      <x:c r="ES684" s="4"/>
      <x:c r="ET684" s="4"/>
      <x:c r="EU684" s="4"/>
      <x:c r="EV684" s="4"/>
      <x:c r="EW684" s="4"/>
      <x:c r="EX684" s="4"/>
      <x:c r="EY684" s="4"/>
      <x:c r="EZ684" s="4"/>
      <x:c r="FA684" s="4"/>
      <x:c r="FB684" s="4"/>
      <x:c r="FC684" s="4"/>
      <x:c r="FD684" s="4"/>
      <x:c r="FE684" s="4"/>
      <x:c r="FF684" s="4"/>
      <x:c r="FG684" s="4"/>
      <x:c r="FH684" s="4"/>
      <x:c r="FI684" s="4"/>
      <x:c r="FJ684" s="4"/>
      <x:c r="FK684" s="4"/>
      <x:c r="FL684" s="4"/>
      <x:c r="FM684" s="4"/>
      <x:c r="FN684" s="4"/>
      <x:c r="FO684" s="4"/>
    </x:row>
    <x:row r="685">
      <x:c r="A685" s="72"/>
      <x:c r="B685" s="72"/>
      <x:c r="C685" s="72"/>
      <x:c r="D685" s="72"/>
      <x:c r="E685" s="72"/>
      <x:c r="F685" s="72"/>
      <x:c r="G685" s="72"/>
      <x:c r="H685" s="72"/>
      <x:c r="I685" s="72"/>
      <x:c r="J685" s="72"/>
      <x:c r="K685" s="72"/>
      <x:c r="L685" s="72"/>
      <x:c r="M685" s="72"/>
      <x:c r="N685" s="72"/>
      <x:c r="O685" s="72"/>
      <x:c r="P685" s="72"/>
      <x:c r="Q685" s="72"/>
      <x:c r="R685" s="72"/>
      <x:c r="S685" s="72"/>
      <x:c r="T685" s="72"/>
      <x:c r="U685" s="72"/>
      <x:c r="V685" s="72"/>
      <x:c r="W685" s="72"/>
      <x:c r="X685" s="72"/>
      <x:c r="Y685" s="72"/>
      <x:c r="Z685" s="72"/>
      <x:c r="AA685" s="72"/>
      <x:c r="AB685" s="72"/>
      <x:c r="AC685" s="72"/>
      <x:c r="AD685" s="72"/>
      <x:c r="AE685" s="72"/>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4"/>
      <x:c r="DQ685" s="4"/>
      <x:c r="DR685" s="4"/>
      <x:c r="DS685" s="4"/>
      <x:c r="DT685" s="4"/>
      <x:c r="DU685" s="4"/>
      <x:c r="DV685" s="4"/>
      <x:c r="DW685" s="4"/>
      <x:c r="DX685" s="4"/>
      <x:c r="DY685" s="4"/>
      <x:c r="DZ685" s="4"/>
      <x:c r="EA685" s="4"/>
      <x:c r="EB685" s="4"/>
      <x:c r="EC685" s="4"/>
      <x:c r="ED685" s="4"/>
      <x:c r="EE685" s="4"/>
      <x:c r="EF685" s="4"/>
      <x:c r="EG685" s="4"/>
      <x:c r="EH685" s="4"/>
      <x:c r="EI685" s="4"/>
      <x:c r="EJ685" s="4"/>
      <x:c r="EK685" s="4"/>
      <x:c r="EL685" s="4"/>
      <x:c r="EM685" s="4"/>
      <x:c r="EN685" s="4"/>
      <x:c r="EO685" s="4"/>
      <x:c r="EP685" s="4"/>
      <x:c r="EQ685" s="4"/>
      <x:c r="ER685" s="4"/>
      <x:c r="ES685" s="4"/>
      <x:c r="ET685" s="4"/>
      <x:c r="EU685" s="4"/>
      <x:c r="EV685" s="4"/>
      <x:c r="EW685" s="4"/>
      <x:c r="EX685" s="4"/>
      <x:c r="EY685" s="4"/>
      <x:c r="EZ685" s="4"/>
      <x:c r="FA685" s="4"/>
      <x:c r="FB685" s="4"/>
      <x:c r="FC685" s="4"/>
      <x:c r="FD685" s="4"/>
      <x:c r="FE685" s="4"/>
      <x:c r="FF685" s="4"/>
      <x:c r="FG685" s="4"/>
      <x:c r="FH685" s="4"/>
      <x:c r="FI685" s="4"/>
      <x:c r="FJ685" s="4"/>
      <x:c r="FK685" s="4"/>
      <x:c r="FL685" s="4"/>
      <x:c r="FM685" s="4"/>
      <x:c r="FN685" s="4"/>
      <x:c r="FO685" s="4"/>
    </x:row>
    <x:row r="686">
      <x:c r="A686" s="72"/>
      <x:c r="B686" s="72"/>
      <x:c r="C686" s="72"/>
      <x:c r="D686" s="72"/>
      <x:c r="E686" s="72"/>
      <x:c r="F686" s="72"/>
      <x:c r="G686" s="72"/>
      <x:c r="H686" s="72"/>
      <x:c r="I686" s="72"/>
      <x:c r="J686" s="72"/>
      <x:c r="K686" s="72"/>
      <x:c r="L686" s="72"/>
      <x:c r="M686" s="72"/>
      <x:c r="N686" s="72"/>
      <x:c r="O686" s="72"/>
      <x:c r="P686" s="72"/>
      <x:c r="Q686" s="72"/>
      <x:c r="R686" s="72"/>
      <x:c r="S686" s="72"/>
      <x:c r="T686" s="72"/>
      <x:c r="U686" s="72"/>
      <x:c r="V686" s="72"/>
      <x:c r="W686" s="72"/>
      <x:c r="X686" s="72"/>
      <x:c r="Y686" s="72"/>
      <x:c r="Z686" s="72"/>
      <x:c r="AA686" s="72"/>
      <x:c r="AB686" s="72"/>
      <x:c r="AC686" s="72"/>
      <x:c r="AD686" s="72"/>
      <x:c r="AE686" s="72"/>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4"/>
      <x:c r="DQ686" s="4"/>
      <x:c r="DR686" s="4"/>
      <x:c r="DS686" s="4"/>
      <x:c r="DT686" s="4"/>
      <x:c r="DU686" s="4"/>
      <x:c r="DV686" s="4"/>
      <x:c r="DW686" s="4"/>
      <x:c r="DX686" s="4"/>
      <x:c r="DY686" s="4"/>
      <x:c r="DZ686" s="4"/>
      <x:c r="EA686" s="4"/>
      <x:c r="EB686" s="4"/>
      <x:c r="EC686" s="4"/>
      <x:c r="ED686" s="4"/>
      <x:c r="EE686" s="4"/>
      <x:c r="EF686" s="4"/>
      <x:c r="EG686" s="4"/>
      <x:c r="EH686" s="4"/>
      <x:c r="EI686" s="4"/>
      <x:c r="EJ686" s="4"/>
      <x:c r="EK686" s="4"/>
      <x:c r="EL686" s="4"/>
      <x:c r="EM686" s="4"/>
      <x:c r="EN686" s="4"/>
      <x:c r="EO686" s="4"/>
      <x:c r="EP686" s="4"/>
      <x:c r="EQ686" s="4"/>
      <x:c r="ER686" s="4"/>
      <x:c r="ES686" s="4"/>
      <x:c r="ET686" s="4"/>
      <x:c r="EU686" s="4"/>
      <x:c r="EV686" s="4"/>
      <x:c r="EW686" s="4"/>
      <x:c r="EX686" s="4"/>
      <x:c r="EY686" s="4"/>
      <x:c r="EZ686" s="4"/>
      <x:c r="FA686" s="4"/>
      <x:c r="FB686" s="4"/>
      <x:c r="FC686" s="4"/>
      <x:c r="FD686" s="4"/>
      <x:c r="FE686" s="4"/>
      <x:c r="FF686" s="4"/>
      <x:c r="FG686" s="4"/>
      <x:c r="FH686" s="4"/>
      <x:c r="FI686" s="4"/>
      <x:c r="FJ686" s="4"/>
      <x:c r="FK686" s="4"/>
      <x:c r="FL686" s="4"/>
      <x:c r="FM686" s="4"/>
      <x:c r="FN686" s="4"/>
      <x:c r="FO686" s="4"/>
    </x:row>
    <x:row r="687">
      <x:c r="A687" s="72"/>
      <x:c r="B687" s="72"/>
      <x:c r="C687" s="72"/>
      <x:c r="D687" s="72"/>
      <x:c r="E687" s="72"/>
      <x:c r="F687" s="72"/>
      <x:c r="G687" s="72"/>
      <x:c r="H687" s="72"/>
      <x:c r="I687" s="72"/>
      <x:c r="J687" s="72"/>
      <x:c r="K687" s="72"/>
      <x:c r="L687" s="72"/>
      <x:c r="M687" s="72"/>
      <x:c r="N687" s="72"/>
      <x:c r="O687" s="72"/>
      <x:c r="P687" s="72"/>
      <x:c r="Q687" s="72"/>
      <x:c r="R687" s="72"/>
      <x:c r="S687" s="72"/>
      <x:c r="T687" s="72"/>
      <x:c r="U687" s="72"/>
      <x:c r="V687" s="72"/>
      <x:c r="W687" s="72"/>
      <x:c r="X687" s="72"/>
      <x:c r="Y687" s="72"/>
      <x:c r="Z687" s="72"/>
      <x:c r="AA687" s="72"/>
      <x:c r="AB687" s="72"/>
      <x:c r="AC687" s="72"/>
      <x:c r="AD687" s="72"/>
      <x:c r="AE687" s="72"/>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4"/>
      <x:c r="DQ687" s="4"/>
      <x:c r="DR687" s="4"/>
      <x:c r="DS687" s="4"/>
      <x:c r="DT687" s="4"/>
      <x:c r="DU687" s="4"/>
      <x:c r="DV687" s="4"/>
      <x:c r="DW687" s="4"/>
      <x:c r="DX687" s="4"/>
      <x:c r="DY687" s="4"/>
      <x:c r="DZ687" s="4"/>
      <x:c r="EA687" s="4"/>
      <x:c r="EB687" s="4"/>
      <x:c r="EC687" s="4"/>
      <x:c r="ED687" s="4"/>
      <x:c r="EE687" s="4"/>
      <x:c r="EF687" s="4"/>
      <x:c r="EG687" s="4"/>
      <x:c r="EH687" s="4"/>
      <x:c r="EI687" s="4"/>
      <x:c r="EJ687" s="4"/>
      <x:c r="EK687" s="4"/>
      <x:c r="EL687" s="4"/>
      <x:c r="EM687" s="4"/>
      <x:c r="EN687" s="4"/>
      <x:c r="EO687" s="4"/>
      <x:c r="EP687" s="4"/>
      <x:c r="EQ687" s="4"/>
      <x:c r="ER687" s="4"/>
      <x:c r="ES687" s="4"/>
      <x:c r="ET687" s="4"/>
      <x:c r="EU687" s="4"/>
      <x:c r="EV687" s="4"/>
      <x:c r="EW687" s="4"/>
      <x:c r="EX687" s="4"/>
      <x:c r="EY687" s="4"/>
      <x:c r="EZ687" s="4"/>
      <x:c r="FA687" s="4"/>
      <x:c r="FB687" s="4"/>
      <x:c r="FC687" s="4"/>
      <x:c r="FD687" s="4"/>
      <x:c r="FE687" s="4"/>
      <x:c r="FF687" s="4"/>
      <x:c r="FG687" s="4"/>
      <x:c r="FH687" s="4"/>
      <x:c r="FI687" s="4"/>
      <x:c r="FJ687" s="4"/>
      <x:c r="FK687" s="4"/>
      <x:c r="FL687" s="4"/>
      <x:c r="FM687" s="4"/>
      <x:c r="FN687" s="4"/>
      <x:c r="FO687" s="4"/>
    </x:row>
    <x:row r="688">
      <x:c r="A688" s="72"/>
      <x:c r="B688" s="72"/>
      <x:c r="C688" s="72"/>
      <x:c r="D688" s="72"/>
      <x:c r="E688" s="72"/>
      <x:c r="F688" s="72"/>
      <x:c r="G688" s="72"/>
      <x:c r="H688" s="72"/>
      <x:c r="I688" s="72"/>
      <x:c r="J688" s="72"/>
      <x:c r="K688" s="72"/>
      <x:c r="L688" s="72"/>
      <x:c r="M688" s="72"/>
      <x:c r="N688" s="72"/>
      <x:c r="O688" s="72"/>
      <x:c r="P688" s="72"/>
      <x:c r="Q688" s="72"/>
      <x:c r="R688" s="72"/>
      <x:c r="S688" s="72"/>
      <x:c r="T688" s="72"/>
      <x:c r="U688" s="72"/>
      <x:c r="V688" s="72"/>
      <x:c r="W688" s="72"/>
      <x:c r="X688" s="72"/>
      <x:c r="Y688" s="72"/>
      <x:c r="Z688" s="72"/>
      <x:c r="AA688" s="72"/>
      <x:c r="AB688" s="72"/>
      <x:c r="AC688" s="72"/>
      <x:c r="AD688" s="72"/>
      <x:c r="AE688" s="72"/>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4"/>
      <x:c r="DQ688" s="4"/>
      <x:c r="DR688" s="4"/>
      <x:c r="DS688" s="4"/>
      <x:c r="DT688" s="4"/>
      <x:c r="DU688" s="4"/>
      <x:c r="DV688" s="4"/>
      <x:c r="DW688" s="4"/>
      <x:c r="DX688" s="4"/>
      <x:c r="DY688" s="4"/>
      <x:c r="DZ688" s="4"/>
      <x:c r="EA688" s="4"/>
      <x:c r="EB688" s="4"/>
      <x:c r="EC688" s="4"/>
      <x:c r="ED688" s="4"/>
      <x:c r="EE688" s="4"/>
      <x:c r="EF688" s="4"/>
      <x:c r="EG688" s="4"/>
      <x:c r="EH688" s="4"/>
      <x:c r="EI688" s="4"/>
      <x:c r="EJ688" s="4"/>
      <x:c r="EK688" s="4"/>
      <x:c r="EL688" s="4"/>
      <x:c r="EM688" s="4"/>
      <x:c r="EN688" s="4"/>
      <x:c r="EO688" s="4"/>
      <x:c r="EP688" s="4"/>
      <x:c r="EQ688" s="4"/>
      <x:c r="ER688" s="4"/>
      <x:c r="ES688" s="4"/>
      <x:c r="ET688" s="4"/>
      <x:c r="EU688" s="4"/>
      <x:c r="EV688" s="4"/>
      <x:c r="EW688" s="4"/>
      <x:c r="EX688" s="4"/>
      <x:c r="EY688" s="4"/>
      <x:c r="EZ688" s="4"/>
      <x:c r="FA688" s="4"/>
      <x:c r="FB688" s="4"/>
      <x:c r="FC688" s="4"/>
      <x:c r="FD688" s="4"/>
      <x:c r="FE688" s="4"/>
      <x:c r="FF688" s="4"/>
      <x:c r="FG688" s="4"/>
      <x:c r="FH688" s="4"/>
      <x:c r="FI688" s="4"/>
      <x:c r="FJ688" s="4"/>
      <x:c r="FK688" s="4"/>
      <x:c r="FL688" s="4"/>
      <x:c r="FM688" s="4"/>
      <x:c r="FN688" s="4"/>
      <x:c r="FO688" s="4"/>
    </x:row>
    <x:row r="689">
      <x:c r="A689" s="72"/>
      <x:c r="B689" s="72"/>
      <x:c r="C689" s="72"/>
      <x:c r="D689" s="72"/>
      <x:c r="E689" s="72"/>
      <x:c r="F689" s="72"/>
      <x:c r="G689" s="72"/>
      <x:c r="H689" s="72"/>
      <x:c r="I689" s="72"/>
      <x:c r="J689" s="72"/>
      <x:c r="K689" s="72"/>
      <x:c r="L689" s="72"/>
      <x:c r="M689" s="72"/>
      <x:c r="N689" s="72"/>
      <x:c r="O689" s="72"/>
      <x:c r="P689" s="72"/>
      <x:c r="Q689" s="72"/>
      <x:c r="R689" s="72"/>
      <x:c r="S689" s="72"/>
      <x:c r="T689" s="72"/>
      <x:c r="U689" s="72"/>
      <x:c r="V689" s="72"/>
      <x:c r="W689" s="72"/>
      <x:c r="X689" s="72"/>
      <x:c r="Y689" s="72"/>
      <x:c r="Z689" s="72"/>
      <x:c r="AA689" s="72"/>
      <x:c r="AB689" s="72"/>
      <x:c r="AC689" s="72"/>
      <x:c r="AD689" s="72"/>
      <x:c r="AE689" s="72"/>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4"/>
      <x:c r="DQ689" s="4"/>
      <x:c r="DR689" s="4"/>
      <x:c r="DS689" s="4"/>
      <x:c r="DT689" s="4"/>
      <x:c r="DU689" s="4"/>
      <x:c r="DV689" s="4"/>
      <x:c r="DW689" s="4"/>
      <x:c r="DX689" s="4"/>
      <x:c r="DY689" s="4"/>
      <x:c r="DZ689" s="4"/>
      <x:c r="EA689" s="4"/>
      <x:c r="EB689" s="4"/>
      <x:c r="EC689" s="4"/>
      <x:c r="ED689" s="4"/>
      <x:c r="EE689" s="4"/>
      <x:c r="EF689" s="4"/>
      <x:c r="EG689" s="4"/>
      <x:c r="EH689" s="4"/>
      <x:c r="EI689" s="4"/>
      <x:c r="EJ689" s="4"/>
      <x:c r="EK689" s="4"/>
      <x:c r="EL689" s="4"/>
      <x:c r="EM689" s="4"/>
      <x:c r="EN689" s="4"/>
      <x:c r="EO689" s="4"/>
      <x:c r="EP689" s="4"/>
      <x:c r="EQ689" s="4"/>
      <x:c r="ER689" s="4"/>
      <x:c r="ES689" s="4"/>
      <x:c r="ET689" s="4"/>
      <x:c r="EU689" s="4"/>
      <x:c r="EV689" s="4"/>
      <x:c r="EW689" s="4"/>
      <x:c r="EX689" s="4"/>
      <x:c r="EY689" s="4"/>
      <x:c r="EZ689" s="4"/>
      <x:c r="FA689" s="4"/>
      <x:c r="FB689" s="4"/>
      <x:c r="FC689" s="4"/>
      <x:c r="FD689" s="4"/>
      <x:c r="FE689" s="4"/>
      <x:c r="FF689" s="4"/>
      <x:c r="FG689" s="4"/>
      <x:c r="FH689" s="4"/>
      <x:c r="FI689" s="4"/>
      <x:c r="FJ689" s="4"/>
      <x:c r="FK689" s="4"/>
      <x:c r="FL689" s="4"/>
      <x:c r="FM689" s="4"/>
      <x:c r="FN689" s="4"/>
      <x:c r="FO689" s="4"/>
    </x:row>
    <x:row r="690">
      <x:c r="A690" s="72"/>
      <x:c r="B690" s="72"/>
      <x:c r="C690" s="72"/>
      <x:c r="D690" s="72"/>
      <x:c r="E690" s="72"/>
      <x:c r="F690" s="72"/>
      <x:c r="G690" s="72"/>
      <x:c r="H690" s="72"/>
      <x:c r="I690" s="72"/>
      <x:c r="J690" s="72"/>
      <x:c r="K690" s="72"/>
      <x:c r="L690" s="72"/>
      <x:c r="M690" s="72"/>
      <x:c r="N690" s="72"/>
      <x:c r="O690" s="72"/>
      <x:c r="P690" s="72"/>
      <x:c r="Q690" s="72"/>
      <x:c r="R690" s="72"/>
      <x:c r="S690" s="72"/>
      <x:c r="T690" s="72"/>
      <x:c r="U690" s="72"/>
      <x:c r="V690" s="72"/>
      <x:c r="W690" s="72"/>
      <x:c r="X690" s="72"/>
      <x:c r="Y690" s="72"/>
      <x:c r="Z690" s="72"/>
      <x:c r="AA690" s="72"/>
      <x:c r="AB690" s="72"/>
      <x:c r="AC690" s="72"/>
      <x:c r="AD690" s="72"/>
      <x:c r="AE690" s="72"/>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4"/>
      <x:c r="DQ690" s="4"/>
      <x:c r="DR690" s="4"/>
      <x:c r="DS690" s="4"/>
      <x:c r="DT690" s="4"/>
      <x:c r="DU690" s="4"/>
      <x:c r="DV690" s="4"/>
      <x:c r="DW690" s="4"/>
      <x:c r="DX690" s="4"/>
      <x:c r="DY690" s="4"/>
      <x:c r="DZ690" s="4"/>
      <x:c r="EA690" s="4"/>
      <x:c r="EB690" s="4"/>
      <x:c r="EC690" s="4"/>
      <x:c r="ED690" s="4"/>
      <x:c r="EE690" s="4"/>
      <x:c r="EF690" s="4"/>
      <x:c r="EG690" s="4"/>
      <x:c r="EH690" s="4"/>
      <x:c r="EI690" s="4"/>
      <x:c r="EJ690" s="4"/>
      <x:c r="EK690" s="4"/>
      <x:c r="EL690" s="4"/>
      <x:c r="EM690" s="4"/>
      <x:c r="EN690" s="4"/>
      <x:c r="EO690" s="4"/>
      <x:c r="EP690" s="4"/>
      <x:c r="EQ690" s="4"/>
      <x:c r="ER690" s="4"/>
      <x:c r="ES690" s="4"/>
      <x:c r="ET690" s="4"/>
      <x:c r="EU690" s="4"/>
      <x:c r="EV690" s="4"/>
      <x:c r="EW690" s="4"/>
      <x:c r="EX690" s="4"/>
      <x:c r="EY690" s="4"/>
      <x:c r="EZ690" s="4"/>
      <x:c r="FA690" s="4"/>
      <x:c r="FB690" s="4"/>
      <x:c r="FC690" s="4"/>
      <x:c r="FD690" s="4"/>
      <x:c r="FE690" s="4"/>
      <x:c r="FF690" s="4"/>
      <x:c r="FG690" s="4"/>
      <x:c r="FH690" s="4"/>
      <x:c r="FI690" s="4"/>
      <x:c r="FJ690" s="4"/>
      <x:c r="FK690" s="4"/>
      <x:c r="FL690" s="4"/>
      <x:c r="FM690" s="4"/>
      <x:c r="FN690" s="4"/>
      <x:c r="FO690" s="4"/>
    </x:row>
    <x:row r="691">
      <x:c r="A691" s="72"/>
      <x:c r="B691" s="72"/>
      <x:c r="C691" s="72"/>
      <x:c r="D691" s="72"/>
      <x:c r="E691" s="72"/>
      <x:c r="F691" s="72"/>
      <x:c r="G691" s="72"/>
      <x:c r="H691" s="72"/>
      <x:c r="I691" s="72"/>
      <x:c r="J691" s="72"/>
      <x:c r="K691" s="72"/>
      <x:c r="L691" s="72"/>
      <x:c r="M691" s="72"/>
      <x:c r="N691" s="72"/>
      <x:c r="O691" s="72"/>
      <x:c r="P691" s="72"/>
      <x:c r="Q691" s="72"/>
      <x:c r="R691" s="72"/>
      <x:c r="S691" s="72"/>
      <x:c r="T691" s="72"/>
      <x:c r="U691" s="72"/>
      <x:c r="V691" s="72"/>
      <x:c r="W691" s="72"/>
      <x:c r="X691" s="72"/>
      <x:c r="Y691" s="72"/>
      <x:c r="Z691" s="72"/>
      <x:c r="AA691" s="72"/>
      <x:c r="AB691" s="72"/>
      <x:c r="AC691" s="72"/>
      <x:c r="AD691" s="72"/>
      <x:c r="AE691" s="72"/>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4"/>
      <x:c r="DQ691" s="4"/>
      <x:c r="DR691" s="4"/>
      <x:c r="DS691" s="4"/>
      <x:c r="DT691" s="4"/>
      <x:c r="DU691" s="4"/>
      <x:c r="DV691" s="4"/>
      <x:c r="DW691" s="4"/>
      <x:c r="DX691" s="4"/>
      <x:c r="DY691" s="4"/>
      <x:c r="DZ691" s="4"/>
      <x:c r="EA691" s="4"/>
      <x:c r="EB691" s="4"/>
      <x:c r="EC691" s="4"/>
      <x:c r="ED691" s="4"/>
      <x:c r="EE691" s="4"/>
      <x:c r="EF691" s="4"/>
      <x:c r="EG691" s="4"/>
      <x:c r="EH691" s="4"/>
      <x:c r="EI691" s="4"/>
      <x:c r="EJ691" s="4"/>
      <x:c r="EK691" s="4"/>
      <x:c r="EL691" s="4"/>
      <x:c r="EM691" s="4"/>
      <x:c r="EN691" s="4"/>
      <x:c r="EO691" s="4"/>
      <x:c r="EP691" s="4"/>
      <x:c r="EQ691" s="4"/>
      <x:c r="ER691" s="4"/>
      <x:c r="ES691" s="4"/>
      <x:c r="ET691" s="4"/>
      <x:c r="EU691" s="4"/>
      <x:c r="EV691" s="4"/>
      <x:c r="EW691" s="4"/>
      <x:c r="EX691" s="4"/>
      <x:c r="EY691" s="4"/>
      <x:c r="EZ691" s="4"/>
      <x:c r="FA691" s="4"/>
      <x:c r="FB691" s="4"/>
      <x:c r="FC691" s="4"/>
      <x:c r="FD691" s="4"/>
      <x:c r="FE691" s="4"/>
      <x:c r="FF691" s="4"/>
      <x:c r="FG691" s="4"/>
      <x:c r="FH691" s="4"/>
      <x:c r="FI691" s="4"/>
      <x:c r="FJ691" s="4"/>
      <x:c r="FK691" s="4"/>
      <x:c r="FL691" s="4"/>
      <x:c r="FM691" s="4"/>
      <x:c r="FN691" s="4"/>
      <x:c r="FO691" s="4"/>
    </x:row>
    <x:row r="692">
      <x:c r="A692" s="72"/>
      <x:c r="B692" s="72"/>
      <x:c r="C692" s="72"/>
      <x:c r="D692" s="72"/>
      <x:c r="E692" s="72"/>
      <x:c r="F692" s="72"/>
      <x:c r="G692" s="72"/>
      <x:c r="H692" s="72"/>
      <x:c r="I692" s="72"/>
      <x:c r="J692" s="72"/>
      <x:c r="K692" s="72"/>
      <x:c r="L692" s="72"/>
      <x:c r="M692" s="72"/>
      <x:c r="N692" s="72"/>
      <x:c r="O692" s="72"/>
      <x:c r="P692" s="72"/>
      <x:c r="Q692" s="72"/>
      <x:c r="R692" s="72"/>
      <x:c r="S692" s="72"/>
      <x:c r="T692" s="72"/>
      <x:c r="U692" s="72"/>
      <x:c r="V692" s="72"/>
      <x:c r="W692" s="72"/>
      <x:c r="X692" s="72"/>
      <x:c r="Y692" s="72"/>
      <x:c r="Z692" s="72"/>
      <x:c r="AA692" s="72"/>
      <x:c r="AB692" s="72"/>
      <x:c r="AC692" s="72"/>
      <x:c r="AD692" s="72"/>
      <x:c r="AE692" s="72"/>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4"/>
      <x:c r="DQ692" s="4"/>
      <x:c r="DR692" s="4"/>
      <x:c r="DS692" s="4"/>
      <x:c r="DT692" s="4"/>
      <x:c r="DU692" s="4"/>
      <x:c r="DV692" s="4"/>
      <x:c r="DW692" s="4"/>
      <x:c r="DX692" s="4"/>
      <x:c r="DY692" s="4"/>
      <x:c r="DZ692" s="4"/>
      <x:c r="EA692" s="4"/>
      <x:c r="EB692" s="4"/>
      <x:c r="EC692" s="4"/>
      <x:c r="ED692" s="4"/>
      <x:c r="EE692" s="4"/>
      <x:c r="EF692" s="4"/>
      <x:c r="EG692" s="4"/>
      <x:c r="EH692" s="4"/>
      <x:c r="EI692" s="4"/>
      <x:c r="EJ692" s="4"/>
      <x:c r="EK692" s="4"/>
      <x:c r="EL692" s="4"/>
      <x:c r="EM692" s="4"/>
      <x:c r="EN692" s="4"/>
      <x:c r="EO692" s="4"/>
      <x:c r="EP692" s="4"/>
      <x:c r="EQ692" s="4"/>
      <x:c r="ER692" s="4"/>
      <x:c r="ES692" s="4"/>
      <x:c r="ET692" s="4"/>
      <x:c r="EU692" s="4"/>
      <x:c r="EV692" s="4"/>
      <x:c r="EW692" s="4"/>
      <x:c r="EX692" s="4"/>
      <x:c r="EY692" s="4"/>
      <x:c r="EZ692" s="4"/>
      <x:c r="FA692" s="4"/>
      <x:c r="FB692" s="4"/>
      <x:c r="FC692" s="4"/>
      <x:c r="FD692" s="4"/>
      <x:c r="FE692" s="4"/>
      <x:c r="FF692" s="4"/>
      <x:c r="FG692" s="4"/>
      <x:c r="FH692" s="4"/>
      <x:c r="FI692" s="4"/>
      <x:c r="FJ692" s="4"/>
      <x:c r="FK692" s="4"/>
      <x:c r="FL692" s="4"/>
      <x:c r="FM692" s="4"/>
      <x:c r="FN692" s="4"/>
      <x:c r="FO692" s="4"/>
    </x:row>
    <x:row r="693">
      <x:c r="A693" s="72"/>
      <x:c r="B693" s="72"/>
      <x:c r="C693" s="72"/>
      <x:c r="D693" s="72"/>
      <x:c r="E693" s="72"/>
      <x:c r="F693" s="72"/>
      <x:c r="G693" s="72"/>
      <x:c r="H693" s="72"/>
      <x:c r="I693" s="72"/>
      <x:c r="J693" s="72"/>
      <x:c r="K693" s="72"/>
      <x:c r="L693" s="72"/>
      <x:c r="M693" s="72"/>
      <x:c r="N693" s="72"/>
      <x:c r="O693" s="72"/>
      <x:c r="P693" s="72"/>
      <x:c r="Q693" s="72"/>
      <x:c r="R693" s="72"/>
      <x:c r="S693" s="72"/>
      <x:c r="T693" s="72"/>
      <x:c r="U693" s="72"/>
      <x:c r="V693" s="72"/>
      <x:c r="W693" s="72"/>
      <x:c r="X693" s="72"/>
      <x:c r="Y693" s="72"/>
      <x:c r="Z693" s="72"/>
      <x:c r="AA693" s="72"/>
      <x:c r="AB693" s="72"/>
      <x:c r="AC693" s="72"/>
      <x:c r="AD693" s="72"/>
      <x:c r="AE693" s="72"/>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4"/>
      <x:c r="DQ693" s="4"/>
      <x:c r="DR693" s="4"/>
      <x:c r="DS693" s="4"/>
      <x:c r="DT693" s="4"/>
      <x:c r="DU693" s="4"/>
      <x:c r="DV693" s="4"/>
      <x:c r="DW693" s="4"/>
      <x:c r="DX693" s="4"/>
      <x:c r="DY693" s="4"/>
      <x:c r="DZ693" s="4"/>
      <x:c r="EA693" s="4"/>
      <x:c r="EB693" s="4"/>
      <x:c r="EC693" s="4"/>
      <x:c r="ED693" s="4"/>
      <x:c r="EE693" s="4"/>
      <x:c r="EF693" s="4"/>
      <x:c r="EG693" s="4"/>
      <x:c r="EH693" s="4"/>
      <x:c r="EI693" s="4"/>
      <x:c r="EJ693" s="4"/>
      <x:c r="EK693" s="4"/>
      <x:c r="EL693" s="4"/>
      <x:c r="EM693" s="4"/>
      <x:c r="EN693" s="4"/>
      <x:c r="EO693" s="4"/>
      <x:c r="EP693" s="4"/>
      <x:c r="EQ693" s="4"/>
      <x:c r="ER693" s="4"/>
      <x:c r="ES693" s="4"/>
      <x:c r="ET693" s="4"/>
      <x:c r="EU693" s="4"/>
      <x:c r="EV693" s="4"/>
      <x:c r="EW693" s="4"/>
      <x:c r="EX693" s="4"/>
      <x:c r="EY693" s="4"/>
      <x:c r="EZ693" s="4"/>
      <x:c r="FA693" s="4"/>
      <x:c r="FB693" s="4"/>
      <x:c r="FC693" s="4"/>
      <x:c r="FD693" s="4"/>
      <x:c r="FE693" s="4"/>
      <x:c r="FF693" s="4"/>
      <x:c r="FG693" s="4"/>
      <x:c r="FH693" s="4"/>
      <x:c r="FI693" s="4"/>
      <x:c r="FJ693" s="4"/>
      <x:c r="FK693" s="4"/>
      <x:c r="FL693" s="4"/>
      <x:c r="FM693" s="4"/>
      <x:c r="FN693" s="4"/>
      <x:c r="FO693" s="4"/>
    </x:row>
    <x:row r="694">
      <x:c r="A694" s="72"/>
      <x:c r="B694" s="72"/>
      <x:c r="C694" s="72"/>
      <x:c r="D694" s="72"/>
      <x:c r="E694" s="72"/>
      <x:c r="F694" s="72"/>
      <x:c r="G694" s="72"/>
      <x:c r="H694" s="72"/>
      <x:c r="I694" s="72"/>
      <x:c r="J694" s="72"/>
      <x:c r="K694" s="72"/>
      <x:c r="L694" s="72"/>
      <x:c r="M694" s="72"/>
      <x:c r="N694" s="72"/>
      <x:c r="O694" s="72"/>
      <x:c r="P694" s="72"/>
      <x:c r="Q694" s="72"/>
      <x:c r="R694" s="72"/>
      <x:c r="S694" s="72"/>
      <x:c r="T694" s="72"/>
      <x:c r="U694" s="72"/>
      <x:c r="V694" s="72"/>
      <x:c r="W694" s="72"/>
      <x:c r="X694" s="72"/>
      <x:c r="Y694" s="72"/>
      <x:c r="Z694" s="72"/>
      <x:c r="AA694" s="72"/>
      <x:c r="AB694" s="72"/>
      <x:c r="AC694" s="72"/>
      <x:c r="AD694" s="72"/>
      <x:c r="AE694" s="72"/>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4"/>
      <x:c r="DQ694" s="4"/>
      <x:c r="DR694" s="4"/>
      <x:c r="DS694" s="4"/>
      <x:c r="DT694" s="4"/>
      <x:c r="DU694" s="4"/>
      <x:c r="DV694" s="4"/>
      <x:c r="DW694" s="4"/>
      <x:c r="DX694" s="4"/>
      <x:c r="DY694" s="4"/>
      <x:c r="DZ694" s="4"/>
      <x:c r="EA694" s="4"/>
      <x:c r="EB694" s="4"/>
      <x:c r="EC694" s="4"/>
      <x:c r="ED694" s="4"/>
      <x:c r="EE694" s="4"/>
      <x:c r="EF694" s="4"/>
      <x:c r="EG694" s="4"/>
      <x:c r="EH694" s="4"/>
      <x:c r="EI694" s="4"/>
      <x:c r="EJ694" s="4"/>
      <x:c r="EK694" s="4"/>
      <x:c r="EL694" s="4"/>
      <x:c r="EM694" s="4"/>
      <x:c r="EN694" s="4"/>
      <x:c r="EO694" s="4"/>
      <x:c r="EP694" s="4"/>
      <x:c r="EQ694" s="4"/>
      <x:c r="ER694" s="4"/>
      <x:c r="ES694" s="4"/>
      <x:c r="ET694" s="4"/>
      <x:c r="EU694" s="4"/>
      <x:c r="EV694" s="4"/>
      <x:c r="EW694" s="4"/>
      <x:c r="EX694" s="4"/>
      <x:c r="EY694" s="4"/>
      <x:c r="EZ694" s="4"/>
      <x:c r="FA694" s="4"/>
      <x:c r="FB694" s="4"/>
      <x:c r="FC694" s="4"/>
      <x:c r="FD694" s="4"/>
      <x:c r="FE694" s="4"/>
      <x:c r="FF694" s="4"/>
      <x:c r="FG694" s="4"/>
      <x:c r="FH694" s="4"/>
      <x:c r="FI694" s="4"/>
      <x:c r="FJ694" s="4"/>
      <x:c r="FK694" s="4"/>
      <x:c r="FL694" s="4"/>
      <x:c r="FM694" s="4"/>
      <x:c r="FN694" s="4"/>
      <x:c r="FO694" s="4"/>
    </x:row>
    <x:row r="695">
      <x:c r="A695" s="72"/>
      <x:c r="B695" s="72"/>
      <x:c r="C695" s="72"/>
      <x:c r="D695" s="72"/>
      <x:c r="E695" s="72"/>
      <x:c r="F695" s="72"/>
      <x:c r="G695" s="72"/>
      <x:c r="H695" s="72"/>
      <x:c r="I695" s="72"/>
      <x:c r="J695" s="72"/>
      <x:c r="K695" s="72"/>
      <x:c r="L695" s="72"/>
      <x:c r="M695" s="72"/>
      <x:c r="N695" s="72"/>
      <x:c r="O695" s="72"/>
      <x:c r="P695" s="72"/>
      <x:c r="Q695" s="72"/>
      <x:c r="R695" s="72"/>
      <x:c r="S695" s="72"/>
      <x:c r="T695" s="72"/>
      <x:c r="U695" s="72"/>
      <x:c r="V695" s="72"/>
      <x:c r="W695" s="72"/>
      <x:c r="X695" s="72"/>
      <x:c r="Y695" s="72"/>
      <x:c r="Z695" s="72"/>
      <x:c r="AA695" s="72"/>
      <x:c r="AB695" s="72"/>
      <x:c r="AC695" s="72"/>
      <x:c r="AD695" s="72"/>
      <x:c r="AE695" s="72"/>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4"/>
      <x:c r="DQ695" s="4"/>
      <x:c r="DR695" s="4"/>
      <x:c r="DS695" s="4"/>
      <x:c r="DT695" s="4"/>
      <x:c r="DU695" s="4"/>
      <x:c r="DV695" s="4"/>
      <x:c r="DW695" s="4"/>
      <x:c r="DX695" s="4"/>
      <x:c r="DY695" s="4"/>
      <x:c r="DZ695" s="4"/>
      <x:c r="EA695" s="4"/>
      <x:c r="EB695" s="4"/>
      <x:c r="EC695" s="4"/>
      <x:c r="ED695" s="4"/>
      <x:c r="EE695" s="4"/>
      <x:c r="EF695" s="4"/>
      <x:c r="EG695" s="4"/>
      <x:c r="EH695" s="4"/>
      <x:c r="EI695" s="4"/>
      <x:c r="EJ695" s="4"/>
      <x:c r="EK695" s="4"/>
      <x:c r="EL695" s="4"/>
      <x:c r="EM695" s="4"/>
      <x:c r="EN695" s="4"/>
      <x:c r="EO695" s="4"/>
      <x:c r="EP695" s="4"/>
      <x:c r="EQ695" s="4"/>
      <x:c r="ER695" s="4"/>
      <x:c r="ES695" s="4"/>
      <x:c r="ET695" s="4"/>
      <x:c r="EU695" s="4"/>
      <x:c r="EV695" s="4"/>
      <x:c r="EW695" s="4"/>
      <x:c r="EX695" s="4"/>
      <x:c r="EY695" s="4"/>
      <x:c r="EZ695" s="4"/>
      <x:c r="FA695" s="4"/>
      <x:c r="FB695" s="4"/>
      <x:c r="FC695" s="4"/>
      <x:c r="FD695" s="4"/>
      <x:c r="FE695" s="4"/>
      <x:c r="FF695" s="4"/>
      <x:c r="FG695" s="4"/>
      <x:c r="FH695" s="4"/>
      <x:c r="FI695" s="4"/>
      <x:c r="FJ695" s="4"/>
      <x:c r="FK695" s="4"/>
      <x:c r="FL695" s="4"/>
      <x:c r="FM695" s="4"/>
      <x:c r="FN695" s="4"/>
      <x:c r="FO695" s="4"/>
    </x:row>
    <x:row r="696">
      <x:c r="A696" s="72"/>
      <x:c r="B696" s="72"/>
      <x:c r="C696" s="72"/>
      <x:c r="D696" s="72"/>
      <x:c r="E696" s="72"/>
      <x:c r="F696" s="72"/>
      <x:c r="G696" s="72"/>
      <x:c r="H696" s="72"/>
      <x:c r="I696" s="72"/>
      <x:c r="J696" s="72"/>
      <x:c r="K696" s="72"/>
      <x:c r="L696" s="72"/>
      <x:c r="M696" s="72"/>
      <x:c r="N696" s="72"/>
      <x:c r="O696" s="72"/>
      <x:c r="P696" s="72"/>
      <x:c r="Q696" s="72"/>
      <x:c r="R696" s="72"/>
      <x:c r="S696" s="72"/>
      <x:c r="T696" s="72"/>
      <x:c r="U696" s="72"/>
      <x:c r="V696" s="72"/>
      <x:c r="W696" s="72"/>
      <x:c r="X696" s="72"/>
      <x:c r="Y696" s="72"/>
      <x:c r="Z696" s="72"/>
      <x:c r="AA696" s="72"/>
      <x:c r="AB696" s="72"/>
      <x:c r="AC696" s="72"/>
      <x:c r="AD696" s="72"/>
      <x:c r="AE696" s="72"/>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4"/>
      <x:c r="DQ696" s="4"/>
      <x:c r="DR696" s="4"/>
      <x:c r="DS696" s="4"/>
      <x:c r="DT696" s="4"/>
      <x:c r="DU696" s="4"/>
      <x:c r="DV696" s="4"/>
      <x:c r="DW696" s="4"/>
      <x:c r="DX696" s="4"/>
      <x:c r="DY696" s="4"/>
      <x:c r="DZ696" s="4"/>
      <x:c r="EA696" s="4"/>
      <x:c r="EB696" s="4"/>
      <x:c r="EC696" s="4"/>
      <x:c r="ED696" s="4"/>
      <x:c r="EE696" s="4"/>
      <x:c r="EF696" s="4"/>
      <x:c r="EG696" s="4"/>
      <x:c r="EH696" s="4"/>
      <x:c r="EI696" s="4"/>
      <x:c r="EJ696" s="4"/>
      <x:c r="EK696" s="4"/>
      <x:c r="EL696" s="4"/>
      <x:c r="EM696" s="4"/>
      <x:c r="EN696" s="4"/>
      <x:c r="EO696" s="4"/>
      <x:c r="EP696" s="4"/>
      <x:c r="EQ696" s="4"/>
      <x:c r="ER696" s="4"/>
      <x:c r="ES696" s="4"/>
      <x:c r="ET696" s="4"/>
      <x:c r="EU696" s="4"/>
      <x:c r="EV696" s="4"/>
      <x:c r="EW696" s="4"/>
      <x:c r="EX696" s="4"/>
      <x:c r="EY696" s="4"/>
      <x:c r="EZ696" s="4"/>
      <x:c r="FA696" s="4"/>
      <x:c r="FB696" s="4"/>
      <x:c r="FC696" s="4"/>
      <x:c r="FD696" s="4"/>
      <x:c r="FE696" s="4"/>
      <x:c r="FF696" s="4"/>
      <x:c r="FG696" s="4"/>
      <x:c r="FH696" s="4"/>
      <x:c r="FI696" s="4"/>
      <x:c r="FJ696" s="4"/>
      <x:c r="FK696" s="4"/>
      <x:c r="FL696" s="4"/>
      <x:c r="FM696" s="4"/>
      <x:c r="FN696" s="4"/>
      <x:c r="FO696" s="4"/>
    </x:row>
    <x:row r="697">
      <x:c r="A697" s="72"/>
      <x:c r="B697" s="72"/>
      <x:c r="C697" s="72"/>
      <x:c r="D697" s="72"/>
      <x:c r="E697" s="72"/>
      <x:c r="F697" s="72"/>
      <x:c r="G697" s="72"/>
      <x:c r="H697" s="72"/>
      <x:c r="I697" s="72"/>
      <x:c r="J697" s="72"/>
      <x:c r="K697" s="72"/>
      <x:c r="L697" s="72"/>
      <x:c r="M697" s="72"/>
      <x:c r="N697" s="72"/>
      <x:c r="O697" s="72"/>
      <x:c r="P697" s="72"/>
      <x:c r="Q697" s="72"/>
      <x:c r="R697" s="72"/>
      <x:c r="S697" s="72"/>
      <x:c r="T697" s="72"/>
      <x:c r="U697" s="72"/>
      <x:c r="V697" s="72"/>
      <x:c r="W697" s="72"/>
      <x:c r="X697" s="72"/>
      <x:c r="Y697" s="72"/>
      <x:c r="Z697" s="72"/>
      <x:c r="AA697" s="72"/>
      <x:c r="AB697" s="72"/>
      <x:c r="AC697" s="72"/>
      <x:c r="AD697" s="72"/>
      <x:c r="AE697" s="72"/>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4"/>
      <x:c r="DQ697" s="4"/>
      <x:c r="DR697" s="4"/>
      <x:c r="DS697" s="4"/>
      <x:c r="DT697" s="4"/>
      <x:c r="DU697" s="4"/>
      <x:c r="DV697" s="4"/>
      <x:c r="DW697" s="4"/>
      <x:c r="DX697" s="4"/>
      <x:c r="DY697" s="4"/>
      <x:c r="DZ697" s="4"/>
      <x:c r="EA697" s="4"/>
      <x:c r="EB697" s="4"/>
      <x:c r="EC697" s="4"/>
      <x:c r="ED697" s="4"/>
      <x:c r="EE697" s="4"/>
      <x:c r="EF697" s="4"/>
      <x:c r="EG697" s="4"/>
      <x:c r="EH697" s="4"/>
      <x:c r="EI697" s="4"/>
      <x:c r="EJ697" s="4"/>
      <x:c r="EK697" s="4"/>
      <x:c r="EL697" s="4"/>
      <x:c r="EM697" s="4"/>
      <x:c r="EN697" s="4"/>
      <x:c r="EO697" s="4"/>
      <x:c r="EP697" s="4"/>
      <x:c r="EQ697" s="4"/>
      <x:c r="ER697" s="4"/>
      <x:c r="ES697" s="4"/>
      <x:c r="ET697" s="4"/>
      <x:c r="EU697" s="4"/>
      <x:c r="EV697" s="4"/>
      <x:c r="EW697" s="4"/>
      <x:c r="EX697" s="4"/>
      <x:c r="EY697" s="4"/>
      <x:c r="EZ697" s="4"/>
      <x:c r="FA697" s="4"/>
      <x:c r="FB697" s="4"/>
      <x:c r="FC697" s="4"/>
      <x:c r="FD697" s="4"/>
      <x:c r="FE697" s="4"/>
      <x:c r="FF697" s="4"/>
      <x:c r="FG697" s="4"/>
      <x:c r="FH697" s="4"/>
      <x:c r="FI697" s="4"/>
      <x:c r="FJ697" s="4"/>
      <x:c r="FK697" s="4"/>
      <x:c r="FL697" s="4"/>
      <x:c r="FM697" s="4"/>
      <x:c r="FN697" s="4"/>
      <x:c r="FO697" s="4"/>
    </x:row>
    <x:row r="698">
      <x:c r="A698" s="72"/>
      <x:c r="B698" s="72"/>
      <x:c r="C698" s="72"/>
      <x:c r="D698" s="72"/>
      <x:c r="E698" s="72"/>
      <x:c r="F698" s="72"/>
      <x:c r="G698" s="72"/>
      <x:c r="H698" s="72"/>
      <x:c r="I698" s="72"/>
      <x:c r="J698" s="72"/>
      <x:c r="K698" s="72"/>
      <x:c r="L698" s="72"/>
      <x:c r="M698" s="72"/>
      <x:c r="N698" s="72"/>
      <x:c r="O698" s="72"/>
      <x:c r="P698" s="72"/>
      <x:c r="Q698" s="72"/>
      <x:c r="R698" s="72"/>
      <x:c r="S698" s="72"/>
      <x:c r="T698" s="72"/>
      <x:c r="U698" s="72"/>
      <x:c r="V698" s="72"/>
      <x:c r="W698" s="72"/>
      <x:c r="X698" s="72"/>
      <x:c r="Y698" s="72"/>
      <x:c r="Z698" s="72"/>
      <x:c r="AA698" s="72"/>
      <x:c r="AB698" s="72"/>
      <x:c r="AC698" s="72"/>
      <x:c r="AD698" s="72"/>
      <x:c r="AE698" s="72"/>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4"/>
      <x:c r="DQ698" s="4"/>
      <x:c r="DR698" s="4"/>
      <x:c r="DS698" s="4"/>
      <x:c r="DT698" s="4"/>
      <x:c r="DU698" s="4"/>
      <x:c r="DV698" s="4"/>
      <x:c r="DW698" s="4"/>
      <x:c r="DX698" s="4"/>
      <x:c r="DY698" s="4"/>
      <x:c r="DZ698" s="4"/>
      <x:c r="EA698" s="4"/>
      <x:c r="EB698" s="4"/>
      <x:c r="EC698" s="4"/>
      <x:c r="ED698" s="4"/>
      <x:c r="EE698" s="4"/>
      <x:c r="EF698" s="4"/>
      <x:c r="EG698" s="4"/>
      <x:c r="EH698" s="4"/>
      <x:c r="EI698" s="4"/>
      <x:c r="EJ698" s="4"/>
      <x:c r="EK698" s="4"/>
      <x:c r="EL698" s="4"/>
      <x:c r="EM698" s="4"/>
      <x:c r="EN698" s="4"/>
      <x:c r="EO698" s="4"/>
      <x:c r="EP698" s="4"/>
      <x:c r="EQ698" s="4"/>
      <x:c r="ER698" s="4"/>
      <x:c r="ES698" s="4"/>
      <x:c r="ET698" s="4"/>
      <x:c r="EU698" s="4"/>
      <x:c r="EV698" s="4"/>
      <x:c r="EW698" s="4"/>
      <x:c r="EX698" s="4"/>
      <x:c r="EY698" s="4"/>
      <x:c r="EZ698" s="4"/>
      <x:c r="FA698" s="4"/>
      <x:c r="FB698" s="4"/>
      <x:c r="FC698" s="4"/>
      <x:c r="FD698" s="4"/>
      <x:c r="FE698" s="4"/>
      <x:c r="FF698" s="4"/>
      <x:c r="FG698" s="4"/>
      <x:c r="FH698" s="4"/>
      <x:c r="FI698" s="4"/>
      <x:c r="FJ698" s="4"/>
      <x:c r="FK698" s="4"/>
      <x:c r="FL698" s="4"/>
      <x:c r="FM698" s="4"/>
      <x:c r="FN698" s="4"/>
      <x:c r="FO698" s="4"/>
    </x:row>
    <x:row r="699">
      <x:c r="A699" s="72"/>
      <x:c r="B699" s="72"/>
      <x:c r="C699" s="72"/>
      <x:c r="D699" s="72"/>
      <x:c r="E699" s="72"/>
      <x:c r="F699" s="72"/>
      <x:c r="G699" s="72"/>
      <x:c r="H699" s="72"/>
      <x:c r="I699" s="72"/>
      <x:c r="J699" s="72"/>
      <x:c r="K699" s="72"/>
      <x:c r="L699" s="72"/>
      <x:c r="M699" s="72"/>
      <x:c r="N699" s="72"/>
      <x:c r="O699" s="72"/>
      <x:c r="P699" s="72"/>
      <x:c r="Q699" s="72"/>
      <x:c r="R699" s="72"/>
      <x:c r="S699" s="72"/>
      <x:c r="T699" s="72"/>
      <x:c r="U699" s="72"/>
      <x:c r="V699" s="72"/>
      <x:c r="W699" s="72"/>
      <x:c r="X699" s="72"/>
      <x:c r="Y699" s="72"/>
      <x:c r="Z699" s="72"/>
      <x:c r="AA699" s="72"/>
      <x:c r="AB699" s="72"/>
      <x:c r="AC699" s="72"/>
      <x:c r="AD699" s="72"/>
      <x:c r="AE699" s="72"/>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4"/>
      <x:c r="DQ699" s="4"/>
      <x:c r="DR699" s="4"/>
      <x:c r="DS699" s="4"/>
      <x:c r="DT699" s="4"/>
      <x:c r="DU699" s="4"/>
      <x:c r="DV699" s="4"/>
      <x:c r="DW699" s="4"/>
      <x:c r="DX699" s="4"/>
      <x:c r="DY699" s="4"/>
      <x:c r="DZ699" s="4"/>
      <x:c r="EA699" s="4"/>
      <x:c r="EB699" s="4"/>
      <x:c r="EC699" s="4"/>
      <x:c r="ED699" s="4"/>
      <x:c r="EE699" s="4"/>
      <x:c r="EF699" s="4"/>
      <x:c r="EG699" s="4"/>
      <x:c r="EH699" s="4"/>
      <x:c r="EI699" s="4"/>
      <x:c r="EJ699" s="4"/>
      <x:c r="EK699" s="4"/>
      <x:c r="EL699" s="4"/>
      <x:c r="EM699" s="4"/>
      <x:c r="EN699" s="4"/>
      <x:c r="EO699" s="4"/>
      <x:c r="EP699" s="4"/>
      <x:c r="EQ699" s="4"/>
      <x:c r="ER699" s="4"/>
      <x:c r="ES699" s="4"/>
      <x:c r="ET699" s="4"/>
      <x:c r="EU699" s="4"/>
      <x:c r="EV699" s="4"/>
      <x:c r="EW699" s="4"/>
      <x:c r="EX699" s="4"/>
      <x:c r="EY699" s="4"/>
      <x:c r="EZ699" s="4"/>
      <x:c r="FA699" s="4"/>
      <x:c r="FB699" s="4"/>
      <x:c r="FC699" s="4"/>
      <x:c r="FD699" s="4"/>
      <x:c r="FE699" s="4"/>
      <x:c r="FF699" s="4"/>
      <x:c r="FG699" s="4"/>
      <x:c r="FH699" s="4"/>
      <x:c r="FI699" s="4"/>
      <x:c r="FJ699" s="4"/>
      <x:c r="FK699" s="4"/>
      <x:c r="FL699" s="4"/>
      <x:c r="FM699" s="4"/>
      <x:c r="FN699" s="4"/>
      <x:c r="FO699" s="4"/>
    </x:row>
    <x:row r="700">
      <x:c r="A700" s="72"/>
      <x:c r="B700" s="72"/>
      <x:c r="C700" s="72"/>
      <x:c r="D700" s="72"/>
      <x:c r="E700" s="72"/>
      <x:c r="F700" s="72"/>
      <x:c r="G700" s="72"/>
      <x:c r="H700" s="72"/>
      <x:c r="I700" s="72"/>
      <x:c r="J700" s="72"/>
      <x:c r="K700" s="72"/>
      <x:c r="L700" s="72"/>
      <x:c r="M700" s="72"/>
      <x:c r="N700" s="72"/>
      <x:c r="O700" s="72"/>
      <x:c r="P700" s="72"/>
      <x:c r="Q700" s="72"/>
      <x:c r="R700" s="72"/>
      <x:c r="S700" s="72"/>
      <x:c r="T700" s="72"/>
      <x:c r="U700" s="72"/>
      <x:c r="V700" s="72"/>
      <x:c r="W700" s="72"/>
      <x:c r="X700" s="72"/>
      <x:c r="Y700" s="72"/>
      <x:c r="Z700" s="72"/>
      <x:c r="AA700" s="72"/>
      <x:c r="AB700" s="72"/>
      <x:c r="AC700" s="72"/>
      <x:c r="AD700" s="72"/>
      <x:c r="AE700" s="72"/>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4"/>
      <x:c r="DQ700" s="4"/>
      <x:c r="DR700" s="4"/>
      <x:c r="DS700" s="4"/>
      <x:c r="DT700" s="4"/>
      <x:c r="DU700" s="4"/>
      <x:c r="DV700" s="4"/>
      <x:c r="DW700" s="4"/>
      <x:c r="DX700" s="4"/>
      <x:c r="DY700" s="4"/>
      <x:c r="DZ700" s="4"/>
      <x:c r="EA700" s="4"/>
      <x:c r="EB700" s="4"/>
      <x:c r="EC700" s="4"/>
      <x:c r="ED700" s="4"/>
      <x:c r="EE700" s="4"/>
      <x:c r="EF700" s="4"/>
      <x:c r="EG700" s="4"/>
      <x:c r="EH700" s="4"/>
      <x:c r="EI700" s="4"/>
      <x:c r="EJ700" s="4"/>
      <x:c r="EK700" s="4"/>
      <x:c r="EL700" s="4"/>
      <x:c r="EM700" s="4"/>
      <x:c r="EN700" s="4"/>
      <x:c r="EO700" s="4"/>
      <x:c r="EP700" s="4"/>
      <x:c r="EQ700" s="4"/>
      <x:c r="ER700" s="4"/>
      <x:c r="ES700" s="4"/>
      <x:c r="ET700" s="4"/>
      <x:c r="EU700" s="4"/>
      <x:c r="EV700" s="4"/>
      <x:c r="EW700" s="4"/>
      <x:c r="EX700" s="4"/>
      <x:c r="EY700" s="4"/>
      <x:c r="EZ700" s="4"/>
      <x:c r="FA700" s="4"/>
      <x:c r="FB700" s="4"/>
      <x:c r="FC700" s="4"/>
      <x:c r="FD700" s="4"/>
      <x:c r="FE700" s="4"/>
      <x:c r="FF700" s="4"/>
      <x:c r="FG700" s="4"/>
      <x:c r="FH700" s="4"/>
      <x:c r="FI700" s="4"/>
      <x:c r="FJ700" s="4"/>
      <x:c r="FK700" s="4"/>
      <x:c r="FL700" s="4"/>
      <x:c r="FM700" s="4"/>
      <x:c r="FN700" s="4"/>
      <x:c r="FO700" s="4"/>
    </x:row>
    <x:row r="701">
      <x:c r="A701" s="72"/>
      <x:c r="B701" s="72"/>
      <x:c r="C701" s="72"/>
      <x:c r="D701" s="72"/>
      <x:c r="E701" s="72"/>
      <x:c r="F701" s="72"/>
      <x:c r="G701" s="72"/>
      <x:c r="H701" s="72"/>
      <x:c r="I701" s="72"/>
      <x:c r="J701" s="72"/>
      <x:c r="K701" s="72"/>
      <x:c r="L701" s="72"/>
      <x:c r="M701" s="72"/>
      <x:c r="N701" s="72"/>
      <x:c r="O701" s="72"/>
      <x:c r="P701" s="72"/>
      <x:c r="Q701" s="72"/>
      <x:c r="R701" s="72"/>
      <x:c r="S701" s="72"/>
      <x:c r="T701" s="72"/>
      <x:c r="U701" s="72"/>
      <x:c r="V701" s="72"/>
      <x:c r="W701" s="72"/>
      <x:c r="X701" s="72"/>
      <x:c r="Y701" s="72"/>
      <x:c r="Z701" s="72"/>
      <x:c r="AA701" s="72"/>
      <x:c r="AB701" s="72"/>
      <x:c r="AC701" s="72"/>
      <x:c r="AD701" s="72"/>
      <x:c r="AE701" s="72"/>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4"/>
      <x:c r="DQ701" s="4"/>
      <x:c r="DR701" s="4"/>
      <x:c r="DS701" s="4"/>
      <x:c r="DT701" s="4"/>
      <x:c r="DU701" s="4"/>
      <x:c r="DV701" s="4"/>
      <x:c r="DW701" s="4"/>
      <x:c r="DX701" s="4"/>
      <x:c r="DY701" s="4"/>
      <x:c r="DZ701" s="4"/>
      <x:c r="EA701" s="4"/>
      <x:c r="EB701" s="4"/>
      <x:c r="EC701" s="4"/>
      <x:c r="ED701" s="4"/>
      <x:c r="EE701" s="4"/>
      <x:c r="EF701" s="4"/>
      <x:c r="EG701" s="4"/>
      <x:c r="EH701" s="4"/>
      <x:c r="EI701" s="4"/>
      <x:c r="EJ701" s="4"/>
      <x:c r="EK701" s="4"/>
      <x:c r="EL701" s="4"/>
      <x:c r="EM701" s="4"/>
      <x:c r="EN701" s="4"/>
      <x:c r="EO701" s="4"/>
      <x:c r="EP701" s="4"/>
      <x:c r="EQ701" s="4"/>
      <x:c r="ER701" s="4"/>
      <x:c r="ES701" s="4"/>
      <x:c r="ET701" s="4"/>
      <x:c r="EU701" s="4"/>
      <x:c r="EV701" s="4"/>
      <x:c r="EW701" s="4"/>
      <x:c r="EX701" s="4"/>
      <x:c r="EY701" s="4"/>
      <x:c r="EZ701" s="4"/>
      <x:c r="FA701" s="4"/>
      <x:c r="FB701" s="4"/>
      <x:c r="FC701" s="4"/>
      <x:c r="FD701" s="4"/>
      <x:c r="FE701" s="4"/>
      <x:c r="FF701" s="4"/>
      <x:c r="FG701" s="4"/>
      <x:c r="FH701" s="4"/>
      <x:c r="FI701" s="4"/>
      <x:c r="FJ701" s="4"/>
      <x:c r="FK701" s="4"/>
      <x:c r="FL701" s="4"/>
      <x:c r="FM701" s="4"/>
      <x:c r="FN701" s="4"/>
      <x:c r="FO701" s="4"/>
    </x:row>
    <x:row r="702">
      <x:c r="A702" s="72"/>
      <x:c r="B702" s="72"/>
      <x:c r="C702" s="72"/>
      <x:c r="D702" s="72"/>
      <x:c r="E702" s="72"/>
      <x:c r="F702" s="72"/>
      <x:c r="G702" s="72"/>
      <x:c r="H702" s="72"/>
      <x:c r="I702" s="72"/>
      <x:c r="J702" s="72"/>
      <x:c r="K702" s="72"/>
      <x:c r="L702" s="72"/>
      <x:c r="M702" s="72"/>
      <x:c r="N702" s="72"/>
      <x:c r="O702" s="72"/>
      <x:c r="P702" s="72"/>
      <x:c r="Q702" s="72"/>
      <x:c r="R702" s="72"/>
      <x:c r="S702" s="72"/>
      <x:c r="T702" s="72"/>
      <x:c r="U702" s="72"/>
      <x:c r="V702" s="72"/>
      <x:c r="W702" s="72"/>
      <x:c r="X702" s="72"/>
      <x:c r="Y702" s="72"/>
      <x:c r="Z702" s="72"/>
      <x:c r="AA702" s="72"/>
      <x:c r="AB702" s="72"/>
      <x:c r="AC702" s="72"/>
      <x:c r="AD702" s="72"/>
      <x:c r="AE702" s="72"/>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4"/>
      <x:c r="DQ702" s="4"/>
      <x:c r="DR702" s="4"/>
      <x:c r="DS702" s="4"/>
      <x:c r="DT702" s="4"/>
      <x:c r="DU702" s="4"/>
      <x:c r="DV702" s="4"/>
      <x:c r="DW702" s="4"/>
      <x:c r="DX702" s="4"/>
      <x:c r="DY702" s="4"/>
      <x:c r="DZ702" s="4"/>
      <x:c r="EA702" s="4"/>
      <x:c r="EB702" s="4"/>
      <x:c r="EC702" s="4"/>
      <x:c r="ED702" s="4"/>
      <x:c r="EE702" s="4"/>
      <x:c r="EF702" s="4"/>
      <x:c r="EG702" s="4"/>
      <x:c r="EH702" s="4"/>
      <x:c r="EI702" s="4"/>
      <x:c r="EJ702" s="4"/>
      <x:c r="EK702" s="4"/>
      <x:c r="EL702" s="4"/>
      <x:c r="EM702" s="4"/>
      <x:c r="EN702" s="4"/>
      <x:c r="EO702" s="4"/>
      <x:c r="EP702" s="4"/>
      <x:c r="EQ702" s="4"/>
      <x:c r="ER702" s="4"/>
      <x:c r="ES702" s="4"/>
      <x:c r="ET702" s="4"/>
      <x:c r="EU702" s="4"/>
      <x:c r="EV702" s="4"/>
      <x:c r="EW702" s="4"/>
      <x:c r="EX702" s="4"/>
      <x:c r="EY702" s="4"/>
      <x:c r="EZ702" s="4"/>
      <x:c r="FA702" s="4"/>
      <x:c r="FB702" s="4"/>
      <x:c r="FC702" s="4"/>
      <x:c r="FD702" s="4"/>
      <x:c r="FE702" s="4"/>
      <x:c r="FF702" s="4"/>
      <x:c r="FG702" s="4"/>
      <x:c r="FH702" s="4"/>
      <x:c r="FI702" s="4"/>
      <x:c r="FJ702" s="4"/>
      <x:c r="FK702" s="4"/>
      <x:c r="FL702" s="4"/>
      <x:c r="FM702" s="4"/>
      <x:c r="FN702" s="4"/>
      <x:c r="FO702" s="4"/>
    </x:row>
    <x:row r="703">
      <x:c r="A703" s="72"/>
      <x:c r="B703" s="72"/>
      <x:c r="C703" s="72"/>
      <x:c r="D703" s="72"/>
      <x:c r="E703" s="72"/>
      <x:c r="F703" s="72"/>
      <x:c r="G703" s="72"/>
      <x:c r="H703" s="72"/>
      <x:c r="I703" s="72"/>
      <x:c r="J703" s="72"/>
      <x:c r="K703" s="72"/>
      <x:c r="L703" s="72"/>
      <x:c r="M703" s="72"/>
      <x:c r="N703" s="72"/>
      <x:c r="O703" s="72"/>
      <x:c r="P703" s="72"/>
      <x:c r="Q703" s="72"/>
      <x:c r="R703" s="72"/>
      <x:c r="S703" s="72"/>
      <x:c r="T703" s="72"/>
      <x:c r="U703" s="72"/>
      <x:c r="V703" s="72"/>
      <x:c r="W703" s="72"/>
      <x:c r="X703" s="72"/>
      <x:c r="Y703" s="72"/>
      <x:c r="Z703" s="72"/>
      <x:c r="AA703" s="72"/>
      <x:c r="AB703" s="72"/>
      <x:c r="AC703" s="72"/>
      <x:c r="AD703" s="72"/>
      <x:c r="AE703" s="72"/>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4"/>
      <x:c r="DQ703" s="4"/>
      <x:c r="DR703" s="4"/>
      <x:c r="DS703" s="4"/>
      <x:c r="DT703" s="4"/>
      <x:c r="DU703" s="4"/>
      <x:c r="DV703" s="4"/>
      <x:c r="DW703" s="4"/>
      <x:c r="DX703" s="4"/>
      <x:c r="DY703" s="4"/>
      <x:c r="DZ703" s="4"/>
      <x:c r="EA703" s="4"/>
      <x:c r="EB703" s="4"/>
      <x:c r="EC703" s="4"/>
      <x:c r="ED703" s="4"/>
      <x:c r="EE703" s="4"/>
      <x:c r="EF703" s="4"/>
      <x:c r="EG703" s="4"/>
      <x:c r="EH703" s="4"/>
      <x:c r="EI703" s="4"/>
      <x:c r="EJ703" s="4"/>
      <x:c r="EK703" s="4"/>
      <x:c r="EL703" s="4"/>
      <x:c r="EM703" s="4"/>
      <x:c r="EN703" s="4"/>
      <x:c r="EO703" s="4"/>
      <x:c r="EP703" s="4"/>
      <x:c r="EQ703" s="4"/>
      <x:c r="ER703" s="4"/>
      <x:c r="ES703" s="4"/>
      <x:c r="ET703" s="4"/>
      <x:c r="EU703" s="4"/>
      <x:c r="EV703" s="4"/>
      <x:c r="EW703" s="4"/>
      <x:c r="EX703" s="4"/>
      <x:c r="EY703" s="4"/>
      <x:c r="EZ703" s="4"/>
      <x:c r="FA703" s="4"/>
      <x:c r="FB703" s="4"/>
      <x:c r="FC703" s="4"/>
      <x:c r="FD703" s="4"/>
      <x:c r="FE703" s="4"/>
      <x:c r="FF703" s="4"/>
      <x:c r="FG703" s="4"/>
      <x:c r="FH703" s="4"/>
      <x:c r="FI703" s="4"/>
      <x:c r="FJ703" s="4"/>
      <x:c r="FK703" s="4"/>
      <x:c r="FL703" s="4"/>
      <x:c r="FM703" s="4"/>
      <x:c r="FN703" s="4"/>
      <x:c r="FO703" s="4"/>
    </x:row>
    <x:row r="704">
      <x:c r="A704" s="72"/>
      <x:c r="B704" s="72"/>
      <x:c r="C704" s="72"/>
      <x:c r="D704" s="72"/>
      <x:c r="E704" s="72"/>
      <x:c r="F704" s="72"/>
      <x:c r="G704" s="72"/>
      <x:c r="H704" s="72"/>
      <x:c r="I704" s="72"/>
      <x:c r="J704" s="72"/>
      <x:c r="K704" s="72"/>
      <x:c r="L704" s="72"/>
      <x:c r="M704" s="72"/>
      <x:c r="N704" s="72"/>
      <x:c r="O704" s="72"/>
      <x:c r="P704" s="72"/>
      <x:c r="Q704" s="72"/>
      <x:c r="R704" s="72"/>
      <x:c r="S704" s="72"/>
      <x:c r="T704" s="72"/>
      <x:c r="U704" s="72"/>
      <x:c r="V704" s="72"/>
      <x:c r="W704" s="72"/>
      <x:c r="X704" s="72"/>
      <x:c r="Y704" s="72"/>
      <x:c r="Z704" s="72"/>
      <x:c r="AA704" s="72"/>
      <x:c r="AB704" s="72"/>
      <x:c r="AC704" s="72"/>
      <x:c r="AD704" s="72"/>
      <x:c r="AE704" s="72"/>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4"/>
      <x:c r="DQ704" s="4"/>
      <x:c r="DR704" s="4"/>
      <x:c r="DS704" s="4"/>
      <x:c r="DT704" s="4"/>
      <x:c r="DU704" s="4"/>
      <x:c r="DV704" s="4"/>
      <x:c r="DW704" s="4"/>
      <x:c r="DX704" s="4"/>
      <x:c r="DY704" s="4"/>
      <x:c r="DZ704" s="4"/>
      <x:c r="EA704" s="4"/>
      <x:c r="EB704" s="4"/>
      <x:c r="EC704" s="4"/>
      <x:c r="ED704" s="4"/>
      <x:c r="EE704" s="4"/>
      <x:c r="EF704" s="4"/>
      <x:c r="EG704" s="4"/>
      <x:c r="EH704" s="4"/>
      <x:c r="EI704" s="4"/>
      <x:c r="EJ704" s="4"/>
      <x:c r="EK704" s="4"/>
      <x:c r="EL704" s="4"/>
      <x:c r="EM704" s="4"/>
      <x:c r="EN704" s="4"/>
      <x:c r="EO704" s="4"/>
      <x:c r="EP704" s="4"/>
      <x:c r="EQ704" s="4"/>
      <x:c r="ER704" s="4"/>
      <x:c r="ES704" s="4"/>
      <x:c r="ET704" s="4"/>
      <x:c r="EU704" s="4"/>
      <x:c r="EV704" s="4"/>
      <x:c r="EW704" s="4"/>
      <x:c r="EX704" s="4"/>
      <x:c r="EY704" s="4"/>
      <x:c r="EZ704" s="4"/>
      <x:c r="FA704" s="4"/>
      <x:c r="FB704" s="4"/>
      <x:c r="FC704" s="4"/>
      <x:c r="FD704" s="4"/>
      <x:c r="FE704" s="4"/>
      <x:c r="FF704" s="4"/>
      <x:c r="FG704" s="4"/>
      <x:c r="FH704" s="4"/>
      <x:c r="FI704" s="4"/>
      <x:c r="FJ704" s="4"/>
      <x:c r="FK704" s="4"/>
      <x:c r="FL704" s="4"/>
      <x:c r="FM704" s="4"/>
      <x:c r="FN704" s="4"/>
      <x:c r="FO704" s="4"/>
    </x:row>
    <x:row r="705">
      <x:c r="A705" s="72"/>
      <x:c r="B705" s="72"/>
      <x:c r="C705" s="72"/>
      <x:c r="D705" s="72"/>
      <x:c r="E705" s="72"/>
      <x:c r="F705" s="72"/>
      <x:c r="G705" s="72"/>
      <x:c r="H705" s="72"/>
      <x:c r="I705" s="72"/>
      <x:c r="J705" s="72"/>
      <x:c r="K705" s="72"/>
      <x:c r="L705" s="72"/>
      <x:c r="M705" s="72"/>
      <x:c r="N705" s="72"/>
      <x:c r="O705" s="72"/>
      <x:c r="P705" s="72"/>
      <x:c r="Q705" s="72"/>
      <x:c r="R705" s="72"/>
      <x:c r="S705" s="72"/>
      <x:c r="T705" s="72"/>
      <x:c r="U705" s="72"/>
      <x:c r="V705" s="72"/>
      <x:c r="W705" s="72"/>
      <x:c r="X705" s="72"/>
      <x:c r="Y705" s="72"/>
      <x:c r="Z705" s="72"/>
      <x:c r="AA705" s="72"/>
      <x:c r="AB705" s="72"/>
      <x:c r="AC705" s="72"/>
      <x:c r="AD705" s="72"/>
      <x:c r="AE705" s="72"/>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4"/>
      <x:c r="DQ705" s="4"/>
      <x:c r="DR705" s="4"/>
      <x:c r="DS705" s="4"/>
      <x:c r="DT705" s="4"/>
      <x:c r="DU705" s="4"/>
      <x:c r="DV705" s="4"/>
      <x:c r="DW705" s="4"/>
      <x:c r="DX705" s="4"/>
      <x:c r="DY705" s="4"/>
      <x:c r="DZ705" s="4"/>
      <x:c r="EA705" s="4"/>
      <x:c r="EB705" s="4"/>
      <x:c r="EC705" s="4"/>
      <x:c r="ED705" s="4"/>
      <x:c r="EE705" s="4"/>
      <x:c r="EF705" s="4"/>
      <x:c r="EG705" s="4"/>
      <x:c r="EH705" s="4"/>
      <x:c r="EI705" s="4"/>
      <x:c r="EJ705" s="4"/>
      <x:c r="EK705" s="4"/>
      <x:c r="EL705" s="4"/>
      <x:c r="EM705" s="4"/>
      <x:c r="EN705" s="4"/>
      <x:c r="EO705" s="4"/>
      <x:c r="EP705" s="4"/>
      <x:c r="EQ705" s="4"/>
      <x:c r="ER705" s="4"/>
      <x:c r="ES705" s="4"/>
      <x:c r="ET705" s="4"/>
      <x:c r="EU705" s="4"/>
      <x:c r="EV705" s="4"/>
      <x:c r="EW705" s="4"/>
      <x:c r="EX705" s="4"/>
      <x:c r="EY705" s="4"/>
      <x:c r="EZ705" s="4"/>
      <x:c r="FA705" s="4"/>
      <x:c r="FB705" s="4"/>
      <x:c r="FC705" s="4"/>
      <x:c r="FD705" s="4"/>
      <x:c r="FE705" s="4"/>
      <x:c r="FF705" s="4"/>
      <x:c r="FG705" s="4"/>
      <x:c r="FH705" s="4"/>
      <x:c r="FI705" s="4"/>
      <x:c r="FJ705" s="4"/>
      <x:c r="FK705" s="4"/>
      <x:c r="FL705" s="4"/>
      <x:c r="FM705" s="4"/>
      <x:c r="FN705" s="4"/>
      <x:c r="FO705" s="4"/>
    </x:row>
    <x:row r="706">
      <x:c r="A706" s="72"/>
      <x:c r="B706" s="72"/>
      <x:c r="C706" s="72"/>
      <x:c r="D706" s="72"/>
      <x:c r="E706" s="72"/>
      <x:c r="F706" s="72"/>
      <x:c r="G706" s="72"/>
      <x:c r="H706" s="72"/>
      <x:c r="I706" s="72"/>
      <x:c r="J706" s="72"/>
      <x:c r="K706" s="72"/>
      <x:c r="L706" s="72"/>
      <x:c r="M706" s="72"/>
      <x:c r="N706" s="72"/>
      <x:c r="O706" s="72"/>
      <x:c r="P706" s="72"/>
      <x:c r="Q706" s="72"/>
      <x:c r="R706" s="72"/>
      <x:c r="S706" s="72"/>
      <x:c r="T706" s="72"/>
      <x:c r="U706" s="72"/>
      <x:c r="V706" s="72"/>
      <x:c r="W706" s="72"/>
      <x:c r="X706" s="72"/>
      <x:c r="Y706" s="72"/>
      <x:c r="Z706" s="72"/>
      <x:c r="AA706" s="72"/>
      <x:c r="AB706" s="72"/>
      <x:c r="AC706" s="72"/>
      <x:c r="AD706" s="72"/>
      <x:c r="AE706" s="72"/>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4"/>
      <x:c r="DQ706" s="4"/>
      <x:c r="DR706" s="4"/>
      <x:c r="DS706" s="4"/>
      <x:c r="DT706" s="4"/>
      <x:c r="DU706" s="4"/>
      <x:c r="DV706" s="4"/>
      <x:c r="DW706" s="4"/>
      <x:c r="DX706" s="4"/>
      <x:c r="DY706" s="4"/>
      <x:c r="DZ706" s="4"/>
      <x:c r="EA706" s="4"/>
      <x:c r="EB706" s="4"/>
      <x:c r="EC706" s="4"/>
      <x:c r="ED706" s="4"/>
      <x:c r="EE706" s="4"/>
      <x:c r="EF706" s="4"/>
      <x:c r="EG706" s="4"/>
      <x:c r="EH706" s="4"/>
      <x:c r="EI706" s="4"/>
      <x:c r="EJ706" s="4"/>
      <x:c r="EK706" s="4"/>
      <x:c r="EL706" s="4"/>
      <x:c r="EM706" s="4"/>
      <x:c r="EN706" s="4"/>
      <x:c r="EO706" s="4"/>
      <x:c r="EP706" s="4"/>
      <x:c r="EQ706" s="4"/>
      <x:c r="ER706" s="4"/>
      <x:c r="ES706" s="4"/>
      <x:c r="ET706" s="4"/>
      <x:c r="EU706" s="4"/>
      <x:c r="EV706" s="4"/>
      <x:c r="EW706" s="4"/>
      <x:c r="EX706" s="4"/>
      <x:c r="EY706" s="4"/>
      <x:c r="EZ706" s="4"/>
      <x:c r="FA706" s="4"/>
      <x:c r="FB706" s="4"/>
      <x:c r="FC706" s="4"/>
      <x:c r="FD706" s="4"/>
      <x:c r="FE706" s="4"/>
      <x:c r="FF706" s="4"/>
      <x:c r="FG706" s="4"/>
      <x:c r="FH706" s="4"/>
      <x:c r="FI706" s="4"/>
      <x:c r="FJ706" s="4"/>
      <x:c r="FK706" s="4"/>
      <x:c r="FL706" s="4"/>
      <x:c r="FM706" s="4"/>
      <x:c r="FN706" s="4"/>
      <x:c r="FO706" s="4"/>
    </x:row>
    <x:row r="707">
      <x:c r="A707" s="72"/>
      <x:c r="B707" s="72"/>
      <x:c r="C707" s="72"/>
      <x:c r="D707" s="72"/>
      <x:c r="E707" s="72"/>
      <x:c r="F707" s="72"/>
      <x:c r="G707" s="72"/>
      <x:c r="H707" s="72"/>
      <x:c r="I707" s="72"/>
      <x:c r="J707" s="72"/>
      <x:c r="K707" s="72"/>
      <x:c r="L707" s="72"/>
      <x:c r="M707" s="72"/>
      <x:c r="N707" s="72"/>
      <x:c r="O707" s="72"/>
      <x:c r="P707" s="72"/>
      <x:c r="Q707" s="72"/>
      <x:c r="R707" s="72"/>
      <x:c r="S707" s="72"/>
      <x:c r="T707" s="72"/>
      <x:c r="U707" s="72"/>
      <x:c r="V707" s="72"/>
      <x:c r="W707" s="72"/>
      <x:c r="X707" s="72"/>
      <x:c r="Y707" s="72"/>
      <x:c r="Z707" s="72"/>
      <x:c r="AA707" s="72"/>
      <x:c r="AB707" s="72"/>
      <x:c r="AC707" s="72"/>
      <x:c r="AD707" s="72"/>
      <x:c r="AE707" s="72"/>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4"/>
      <x:c r="DQ707" s="4"/>
      <x:c r="DR707" s="4"/>
      <x:c r="DS707" s="4"/>
      <x:c r="DT707" s="4"/>
      <x:c r="DU707" s="4"/>
      <x:c r="DV707" s="4"/>
      <x:c r="DW707" s="4"/>
      <x:c r="DX707" s="4"/>
      <x:c r="DY707" s="4"/>
      <x:c r="DZ707" s="4"/>
      <x:c r="EA707" s="4"/>
      <x:c r="EB707" s="4"/>
      <x:c r="EC707" s="4"/>
      <x:c r="ED707" s="4"/>
      <x:c r="EE707" s="4"/>
      <x:c r="EF707" s="4"/>
      <x:c r="EG707" s="4"/>
      <x:c r="EH707" s="4"/>
      <x:c r="EI707" s="4"/>
      <x:c r="EJ707" s="4"/>
      <x:c r="EK707" s="4"/>
      <x:c r="EL707" s="4"/>
      <x:c r="EM707" s="4"/>
      <x:c r="EN707" s="4"/>
      <x:c r="EO707" s="4"/>
      <x:c r="EP707" s="4"/>
      <x:c r="EQ707" s="4"/>
      <x:c r="ER707" s="4"/>
      <x:c r="ES707" s="4"/>
      <x:c r="ET707" s="4"/>
      <x:c r="EU707" s="4"/>
      <x:c r="EV707" s="4"/>
      <x:c r="EW707" s="4"/>
      <x:c r="EX707" s="4"/>
      <x:c r="EY707" s="4"/>
      <x:c r="EZ707" s="4"/>
      <x:c r="FA707" s="4"/>
      <x:c r="FB707" s="4"/>
      <x:c r="FC707" s="4"/>
      <x:c r="FD707" s="4"/>
      <x:c r="FE707" s="4"/>
      <x:c r="FF707" s="4"/>
      <x:c r="FG707" s="4"/>
      <x:c r="FH707" s="4"/>
      <x:c r="FI707" s="4"/>
      <x:c r="FJ707" s="4"/>
      <x:c r="FK707" s="4"/>
      <x:c r="FL707" s="4"/>
      <x:c r="FM707" s="4"/>
      <x:c r="FN707" s="4"/>
      <x:c r="FO707" s="4"/>
    </x:row>
    <x:row r="708">
      <x:c r="A708" s="72"/>
      <x:c r="B708" s="72"/>
      <x:c r="C708" s="72"/>
      <x:c r="D708" s="72"/>
      <x:c r="E708" s="72"/>
      <x:c r="F708" s="72"/>
      <x:c r="G708" s="72"/>
      <x:c r="H708" s="72"/>
      <x:c r="I708" s="72"/>
      <x:c r="J708" s="72"/>
      <x:c r="K708" s="72"/>
      <x:c r="L708" s="72"/>
      <x:c r="M708" s="72"/>
      <x:c r="N708" s="72"/>
      <x:c r="O708" s="72"/>
      <x:c r="P708" s="72"/>
      <x:c r="Q708" s="72"/>
      <x:c r="R708" s="72"/>
      <x:c r="S708" s="72"/>
      <x:c r="T708" s="72"/>
      <x:c r="U708" s="72"/>
      <x:c r="V708" s="72"/>
      <x:c r="W708" s="72"/>
      <x:c r="X708" s="72"/>
      <x:c r="Y708" s="72"/>
      <x:c r="Z708" s="72"/>
      <x:c r="AA708" s="72"/>
      <x:c r="AB708" s="72"/>
      <x:c r="AC708" s="72"/>
      <x:c r="AD708" s="72"/>
      <x:c r="AE708" s="72"/>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4"/>
      <x:c r="DQ708" s="4"/>
      <x:c r="DR708" s="4"/>
      <x:c r="DS708" s="4"/>
      <x:c r="DT708" s="4"/>
      <x:c r="DU708" s="4"/>
      <x:c r="DV708" s="4"/>
      <x:c r="DW708" s="4"/>
      <x:c r="DX708" s="4"/>
      <x:c r="DY708" s="4"/>
      <x:c r="DZ708" s="4"/>
      <x:c r="EA708" s="4"/>
      <x:c r="EB708" s="4"/>
      <x:c r="EC708" s="4"/>
      <x:c r="ED708" s="4"/>
      <x:c r="EE708" s="4"/>
      <x:c r="EF708" s="4"/>
      <x:c r="EG708" s="4"/>
      <x:c r="EH708" s="4"/>
      <x:c r="EI708" s="4"/>
      <x:c r="EJ708" s="4"/>
      <x:c r="EK708" s="4"/>
      <x:c r="EL708" s="4"/>
      <x:c r="EM708" s="4"/>
      <x:c r="EN708" s="4"/>
      <x:c r="EO708" s="4"/>
      <x:c r="EP708" s="4"/>
      <x:c r="EQ708" s="4"/>
      <x:c r="ER708" s="4"/>
      <x:c r="ES708" s="4"/>
      <x:c r="ET708" s="4"/>
      <x:c r="EU708" s="4"/>
      <x:c r="EV708" s="4"/>
      <x:c r="EW708" s="4"/>
      <x:c r="EX708" s="4"/>
      <x:c r="EY708" s="4"/>
      <x:c r="EZ708" s="4"/>
      <x:c r="FA708" s="4"/>
      <x:c r="FB708" s="4"/>
      <x:c r="FC708" s="4"/>
      <x:c r="FD708" s="4"/>
      <x:c r="FE708" s="4"/>
      <x:c r="FF708" s="4"/>
      <x:c r="FG708" s="4"/>
      <x:c r="FH708" s="4"/>
      <x:c r="FI708" s="4"/>
      <x:c r="FJ708" s="4"/>
      <x:c r="FK708" s="4"/>
      <x:c r="FL708" s="4"/>
      <x:c r="FM708" s="4"/>
      <x:c r="FN708" s="4"/>
      <x:c r="FO708" s="4"/>
    </x:row>
    <x:row r="709">
      <x:c r="A709" s="72"/>
      <x:c r="B709" s="72"/>
      <x:c r="C709" s="72"/>
      <x:c r="D709" s="72"/>
      <x:c r="E709" s="72"/>
      <x:c r="F709" s="72"/>
      <x:c r="G709" s="72"/>
      <x:c r="H709" s="72"/>
      <x:c r="I709" s="72"/>
      <x:c r="J709" s="72"/>
      <x:c r="K709" s="72"/>
      <x:c r="L709" s="72"/>
      <x:c r="M709" s="72"/>
      <x:c r="N709" s="72"/>
      <x:c r="O709" s="72"/>
      <x:c r="P709" s="72"/>
      <x:c r="Q709" s="72"/>
      <x:c r="R709" s="72"/>
      <x:c r="S709" s="72"/>
      <x:c r="T709" s="72"/>
      <x:c r="U709" s="72"/>
      <x:c r="V709" s="72"/>
      <x:c r="W709" s="72"/>
      <x:c r="X709" s="72"/>
      <x:c r="Y709" s="72"/>
      <x:c r="Z709" s="72"/>
      <x:c r="AA709" s="72"/>
      <x:c r="AB709" s="72"/>
      <x:c r="AC709" s="72"/>
      <x:c r="AD709" s="72"/>
      <x:c r="AE709" s="72"/>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4"/>
      <x:c r="DQ709" s="4"/>
      <x:c r="DR709" s="4"/>
      <x:c r="DS709" s="4"/>
      <x:c r="DT709" s="4"/>
      <x:c r="DU709" s="4"/>
      <x:c r="DV709" s="4"/>
      <x:c r="DW709" s="4"/>
      <x:c r="DX709" s="4"/>
      <x:c r="DY709" s="4"/>
      <x:c r="DZ709" s="4"/>
      <x:c r="EA709" s="4"/>
      <x:c r="EB709" s="4"/>
      <x:c r="EC709" s="4"/>
      <x:c r="ED709" s="4"/>
      <x:c r="EE709" s="4"/>
      <x:c r="EF709" s="4"/>
      <x:c r="EG709" s="4"/>
      <x:c r="EH709" s="4"/>
      <x:c r="EI709" s="4"/>
      <x:c r="EJ709" s="4"/>
      <x:c r="EK709" s="4"/>
      <x:c r="EL709" s="4"/>
      <x:c r="EM709" s="4"/>
      <x:c r="EN709" s="4"/>
      <x:c r="EO709" s="4"/>
      <x:c r="EP709" s="4"/>
      <x:c r="EQ709" s="4"/>
      <x:c r="ER709" s="4"/>
      <x:c r="ES709" s="4"/>
      <x:c r="ET709" s="4"/>
      <x:c r="EU709" s="4"/>
      <x:c r="EV709" s="4"/>
      <x:c r="EW709" s="4"/>
      <x:c r="EX709" s="4"/>
      <x:c r="EY709" s="4"/>
      <x:c r="EZ709" s="4"/>
      <x:c r="FA709" s="4"/>
      <x:c r="FB709" s="4"/>
      <x:c r="FC709" s="4"/>
      <x:c r="FD709" s="4"/>
      <x:c r="FE709" s="4"/>
      <x:c r="FF709" s="4"/>
      <x:c r="FG709" s="4"/>
      <x:c r="FH709" s="4"/>
      <x:c r="FI709" s="4"/>
      <x:c r="FJ709" s="4"/>
      <x:c r="FK709" s="4"/>
      <x:c r="FL709" s="4"/>
      <x:c r="FM709" s="4"/>
      <x:c r="FN709" s="4"/>
      <x:c r="FO709" s="4"/>
    </x:row>
    <x:row r="710">
      <x:c r="A710" s="72"/>
      <x:c r="B710" s="72"/>
      <x:c r="C710" s="72"/>
      <x:c r="D710" s="72"/>
      <x:c r="E710" s="72"/>
      <x:c r="F710" s="72"/>
      <x:c r="G710" s="72"/>
      <x:c r="H710" s="72"/>
      <x:c r="I710" s="72"/>
      <x:c r="J710" s="72"/>
      <x:c r="K710" s="72"/>
      <x:c r="L710" s="72"/>
      <x:c r="M710" s="72"/>
      <x:c r="N710" s="72"/>
      <x:c r="O710" s="72"/>
      <x:c r="P710" s="72"/>
      <x:c r="Q710" s="72"/>
      <x:c r="R710" s="72"/>
      <x:c r="S710" s="72"/>
      <x:c r="T710" s="72"/>
      <x:c r="U710" s="72"/>
      <x:c r="V710" s="72"/>
      <x:c r="W710" s="72"/>
      <x:c r="X710" s="72"/>
      <x:c r="Y710" s="72"/>
      <x:c r="Z710" s="72"/>
      <x:c r="AA710" s="72"/>
      <x:c r="AB710" s="72"/>
      <x:c r="AC710" s="72"/>
      <x:c r="AD710" s="72"/>
      <x:c r="AE710" s="72"/>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4"/>
      <x:c r="DQ710" s="4"/>
      <x:c r="DR710" s="4"/>
      <x:c r="DS710" s="4"/>
      <x:c r="DT710" s="4"/>
      <x:c r="DU710" s="4"/>
      <x:c r="DV710" s="4"/>
      <x:c r="DW710" s="4"/>
      <x:c r="DX710" s="4"/>
      <x:c r="DY710" s="4"/>
      <x:c r="DZ710" s="4"/>
      <x:c r="EA710" s="4"/>
      <x:c r="EB710" s="4"/>
      <x:c r="EC710" s="4"/>
      <x:c r="ED710" s="4"/>
      <x:c r="EE710" s="4"/>
      <x:c r="EF710" s="4"/>
      <x:c r="EG710" s="4"/>
      <x:c r="EH710" s="4"/>
      <x:c r="EI710" s="4"/>
      <x:c r="EJ710" s="4"/>
      <x:c r="EK710" s="4"/>
      <x:c r="EL710" s="4"/>
      <x:c r="EM710" s="4"/>
      <x:c r="EN710" s="4"/>
      <x:c r="EO710" s="4"/>
      <x:c r="EP710" s="4"/>
      <x:c r="EQ710" s="4"/>
      <x:c r="ER710" s="4"/>
      <x:c r="ES710" s="4"/>
      <x:c r="ET710" s="4"/>
      <x:c r="EU710" s="4"/>
      <x:c r="EV710" s="4"/>
      <x:c r="EW710" s="4"/>
      <x:c r="EX710" s="4"/>
      <x:c r="EY710" s="4"/>
      <x:c r="EZ710" s="4"/>
      <x:c r="FA710" s="4"/>
      <x:c r="FB710" s="4"/>
      <x:c r="FC710" s="4"/>
      <x:c r="FD710" s="4"/>
      <x:c r="FE710" s="4"/>
      <x:c r="FF710" s="4"/>
      <x:c r="FG710" s="4"/>
      <x:c r="FH710" s="4"/>
      <x:c r="FI710" s="4"/>
      <x:c r="FJ710" s="4"/>
      <x:c r="FK710" s="4"/>
      <x:c r="FL710" s="4"/>
      <x:c r="FM710" s="4"/>
      <x:c r="FN710" s="4"/>
      <x:c r="FO710" s="4"/>
    </x:row>
    <x:row r="711">
      <x:c r="A711" s="72"/>
      <x:c r="B711" s="72"/>
      <x:c r="C711" s="72"/>
      <x:c r="D711" s="72"/>
      <x:c r="E711" s="72"/>
      <x:c r="F711" s="72"/>
      <x:c r="G711" s="72"/>
      <x:c r="H711" s="72"/>
      <x:c r="I711" s="72"/>
      <x:c r="J711" s="72"/>
      <x:c r="K711" s="72"/>
      <x:c r="L711" s="72"/>
      <x:c r="M711" s="72"/>
      <x:c r="N711" s="72"/>
      <x:c r="O711" s="72"/>
      <x:c r="P711" s="72"/>
      <x:c r="Q711" s="72"/>
      <x:c r="R711" s="72"/>
      <x:c r="S711" s="72"/>
      <x:c r="T711" s="72"/>
      <x:c r="U711" s="72"/>
      <x:c r="V711" s="72"/>
      <x:c r="W711" s="72"/>
      <x:c r="X711" s="72"/>
      <x:c r="Y711" s="72"/>
      <x:c r="Z711" s="72"/>
      <x:c r="AA711" s="72"/>
      <x:c r="AB711" s="72"/>
      <x:c r="AC711" s="72"/>
      <x:c r="AD711" s="72"/>
      <x:c r="AE711" s="72"/>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4"/>
      <x:c r="DQ711" s="4"/>
      <x:c r="DR711" s="4"/>
      <x:c r="DS711" s="4"/>
      <x:c r="DT711" s="4"/>
      <x:c r="DU711" s="4"/>
      <x:c r="DV711" s="4"/>
      <x:c r="DW711" s="4"/>
      <x:c r="DX711" s="4"/>
      <x:c r="DY711" s="4"/>
      <x:c r="DZ711" s="4"/>
      <x:c r="EA711" s="4"/>
      <x:c r="EB711" s="4"/>
      <x:c r="EC711" s="4"/>
      <x:c r="ED711" s="4"/>
      <x:c r="EE711" s="4"/>
      <x:c r="EF711" s="4"/>
      <x:c r="EG711" s="4"/>
      <x:c r="EH711" s="4"/>
      <x:c r="EI711" s="4"/>
      <x:c r="EJ711" s="4"/>
      <x:c r="EK711" s="4"/>
      <x:c r="EL711" s="4"/>
      <x:c r="EM711" s="4"/>
      <x:c r="EN711" s="4"/>
      <x:c r="EO711" s="4"/>
      <x:c r="EP711" s="4"/>
      <x:c r="EQ711" s="4"/>
      <x:c r="ER711" s="4"/>
      <x:c r="ES711" s="4"/>
      <x:c r="ET711" s="4"/>
      <x:c r="EU711" s="4"/>
      <x:c r="EV711" s="4"/>
      <x:c r="EW711" s="4"/>
      <x:c r="EX711" s="4"/>
      <x:c r="EY711" s="4"/>
      <x:c r="EZ711" s="4"/>
      <x:c r="FA711" s="4"/>
      <x:c r="FB711" s="4"/>
      <x:c r="FC711" s="4"/>
      <x:c r="FD711" s="4"/>
      <x:c r="FE711" s="4"/>
      <x:c r="FF711" s="4"/>
      <x:c r="FG711" s="4"/>
      <x:c r="FH711" s="4"/>
      <x:c r="FI711" s="4"/>
      <x:c r="FJ711" s="4"/>
      <x:c r="FK711" s="4"/>
      <x:c r="FL711" s="4"/>
      <x:c r="FM711" s="4"/>
      <x:c r="FN711" s="4"/>
      <x:c r="FO711" s="4"/>
    </x:row>
    <x:row r="712">
      <x:c r="A712" s="72"/>
      <x:c r="B712" s="72"/>
      <x:c r="C712" s="72"/>
      <x:c r="D712" s="72"/>
      <x:c r="E712" s="72"/>
      <x:c r="F712" s="72"/>
      <x:c r="G712" s="72"/>
      <x:c r="H712" s="72"/>
      <x:c r="I712" s="72"/>
      <x:c r="J712" s="72"/>
      <x:c r="K712" s="72"/>
      <x:c r="L712" s="72"/>
      <x:c r="M712" s="72"/>
      <x:c r="N712" s="72"/>
      <x:c r="O712" s="72"/>
      <x:c r="P712" s="72"/>
      <x:c r="Q712" s="72"/>
      <x:c r="R712" s="72"/>
      <x:c r="S712" s="72"/>
      <x:c r="T712" s="72"/>
      <x:c r="U712" s="72"/>
      <x:c r="V712" s="72"/>
      <x:c r="W712" s="72"/>
      <x:c r="X712" s="72"/>
      <x:c r="Y712" s="72"/>
      <x:c r="Z712" s="72"/>
      <x:c r="AA712" s="72"/>
      <x:c r="AB712" s="72"/>
      <x:c r="AC712" s="72"/>
      <x:c r="AD712" s="72"/>
      <x:c r="AE712" s="72"/>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4"/>
      <x:c r="DQ712" s="4"/>
      <x:c r="DR712" s="4"/>
      <x:c r="DS712" s="4"/>
      <x:c r="DT712" s="4"/>
      <x:c r="DU712" s="4"/>
      <x:c r="DV712" s="4"/>
      <x:c r="DW712" s="4"/>
      <x:c r="DX712" s="4"/>
      <x:c r="DY712" s="4"/>
      <x:c r="DZ712" s="4"/>
      <x:c r="EA712" s="4"/>
      <x:c r="EB712" s="4"/>
      <x:c r="EC712" s="4"/>
      <x:c r="ED712" s="4"/>
      <x:c r="EE712" s="4"/>
      <x:c r="EF712" s="4"/>
      <x:c r="EG712" s="4"/>
      <x:c r="EH712" s="4"/>
      <x:c r="EI712" s="4"/>
      <x:c r="EJ712" s="4"/>
      <x:c r="EK712" s="4"/>
      <x:c r="EL712" s="4"/>
      <x:c r="EM712" s="4"/>
      <x:c r="EN712" s="4"/>
      <x:c r="EO712" s="4"/>
      <x:c r="EP712" s="4"/>
      <x:c r="EQ712" s="4"/>
      <x:c r="ER712" s="4"/>
      <x:c r="ES712" s="4"/>
      <x:c r="ET712" s="4"/>
      <x:c r="EU712" s="4"/>
      <x:c r="EV712" s="4"/>
      <x:c r="EW712" s="4"/>
      <x:c r="EX712" s="4"/>
      <x:c r="EY712" s="4"/>
      <x:c r="EZ712" s="4"/>
      <x:c r="FA712" s="4"/>
      <x:c r="FB712" s="4"/>
      <x:c r="FC712" s="4"/>
      <x:c r="FD712" s="4"/>
      <x:c r="FE712" s="4"/>
      <x:c r="FF712" s="4"/>
      <x:c r="FG712" s="4"/>
      <x:c r="FH712" s="4"/>
      <x:c r="FI712" s="4"/>
      <x:c r="FJ712" s="4"/>
      <x:c r="FK712" s="4"/>
      <x:c r="FL712" s="4"/>
      <x:c r="FM712" s="4"/>
      <x:c r="FN712" s="4"/>
      <x:c r="FO712" s="4"/>
    </x:row>
    <x:row r="713">
      <x:c r="A713" s="72"/>
      <x:c r="B713" s="72"/>
      <x:c r="C713" s="72"/>
      <x:c r="D713" s="72"/>
      <x:c r="E713" s="72"/>
      <x:c r="F713" s="72"/>
      <x:c r="G713" s="72"/>
      <x:c r="H713" s="72"/>
      <x:c r="I713" s="72"/>
      <x:c r="J713" s="72"/>
      <x:c r="K713" s="72"/>
      <x:c r="L713" s="72"/>
      <x:c r="M713" s="72"/>
      <x:c r="N713" s="72"/>
      <x:c r="O713" s="72"/>
      <x:c r="P713" s="72"/>
      <x:c r="Q713" s="72"/>
      <x:c r="R713" s="72"/>
      <x:c r="S713" s="72"/>
      <x:c r="T713" s="72"/>
      <x:c r="U713" s="72"/>
      <x:c r="V713" s="72"/>
      <x:c r="W713" s="72"/>
      <x:c r="X713" s="72"/>
      <x:c r="Y713" s="72"/>
      <x:c r="Z713" s="72"/>
      <x:c r="AA713" s="72"/>
      <x:c r="AB713" s="72"/>
      <x:c r="AC713" s="72"/>
      <x:c r="AD713" s="72"/>
      <x:c r="AE713" s="72"/>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4"/>
      <x:c r="DQ713" s="4"/>
      <x:c r="DR713" s="4"/>
      <x:c r="DS713" s="4"/>
      <x:c r="DT713" s="4"/>
      <x:c r="DU713" s="4"/>
      <x:c r="DV713" s="4"/>
      <x:c r="DW713" s="4"/>
      <x:c r="DX713" s="4"/>
      <x:c r="DY713" s="4"/>
      <x:c r="DZ713" s="4"/>
      <x:c r="EA713" s="4"/>
      <x:c r="EB713" s="4"/>
      <x:c r="EC713" s="4"/>
      <x:c r="ED713" s="4"/>
      <x:c r="EE713" s="4"/>
      <x:c r="EF713" s="4"/>
      <x:c r="EG713" s="4"/>
      <x:c r="EH713" s="4"/>
      <x:c r="EI713" s="4"/>
      <x:c r="EJ713" s="4"/>
      <x:c r="EK713" s="4"/>
      <x:c r="EL713" s="4"/>
      <x:c r="EM713" s="4"/>
      <x:c r="EN713" s="4"/>
      <x:c r="EO713" s="4"/>
      <x:c r="EP713" s="4"/>
      <x:c r="EQ713" s="4"/>
      <x:c r="ER713" s="4"/>
      <x:c r="ES713" s="4"/>
      <x:c r="ET713" s="4"/>
      <x:c r="EU713" s="4"/>
      <x:c r="EV713" s="4"/>
      <x:c r="EW713" s="4"/>
      <x:c r="EX713" s="4"/>
      <x:c r="EY713" s="4"/>
      <x:c r="EZ713" s="4"/>
      <x:c r="FA713" s="4"/>
      <x:c r="FB713" s="4"/>
      <x:c r="FC713" s="4"/>
      <x:c r="FD713" s="4"/>
      <x:c r="FE713" s="4"/>
      <x:c r="FF713" s="4"/>
      <x:c r="FG713" s="4"/>
      <x:c r="FH713" s="4"/>
      <x:c r="FI713" s="4"/>
      <x:c r="FJ713" s="4"/>
      <x:c r="FK713" s="4"/>
      <x:c r="FL713" s="4"/>
      <x:c r="FM713" s="4"/>
      <x:c r="FN713" s="4"/>
      <x:c r="FO713" s="4"/>
    </x:row>
    <x:row r="714">
      <x:c r="A714" s="72"/>
      <x:c r="B714" s="72"/>
      <x:c r="C714" s="72"/>
      <x:c r="D714" s="72"/>
      <x:c r="E714" s="72"/>
      <x:c r="F714" s="72"/>
      <x:c r="G714" s="72"/>
      <x:c r="H714" s="72"/>
      <x:c r="I714" s="72"/>
      <x:c r="J714" s="72"/>
      <x:c r="K714" s="72"/>
      <x:c r="L714" s="72"/>
      <x:c r="M714" s="72"/>
      <x:c r="N714" s="72"/>
      <x:c r="O714" s="72"/>
      <x:c r="P714" s="72"/>
      <x:c r="Q714" s="72"/>
      <x:c r="R714" s="72"/>
      <x:c r="S714" s="72"/>
      <x:c r="T714" s="72"/>
      <x:c r="U714" s="72"/>
      <x:c r="V714" s="72"/>
      <x:c r="W714" s="72"/>
      <x:c r="X714" s="72"/>
      <x:c r="Y714" s="72"/>
      <x:c r="Z714" s="72"/>
      <x:c r="AA714" s="72"/>
      <x:c r="AB714" s="72"/>
      <x:c r="AC714" s="72"/>
      <x:c r="AD714" s="72"/>
      <x:c r="AE714" s="72"/>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4"/>
      <x:c r="DQ714" s="4"/>
      <x:c r="DR714" s="4"/>
      <x:c r="DS714" s="4"/>
      <x:c r="DT714" s="4"/>
      <x:c r="DU714" s="4"/>
      <x:c r="DV714" s="4"/>
      <x:c r="DW714" s="4"/>
      <x:c r="DX714" s="4"/>
      <x:c r="DY714" s="4"/>
      <x:c r="DZ714" s="4"/>
      <x:c r="EA714" s="4"/>
      <x:c r="EB714" s="4"/>
      <x:c r="EC714" s="4"/>
      <x:c r="ED714" s="4"/>
      <x:c r="EE714" s="4"/>
      <x:c r="EF714" s="4"/>
      <x:c r="EG714" s="4"/>
      <x:c r="EH714" s="4"/>
      <x:c r="EI714" s="4"/>
      <x:c r="EJ714" s="4"/>
      <x:c r="EK714" s="4"/>
      <x:c r="EL714" s="4"/>
      <x:c r="EM714" s="4"/>
      <x:c r="EN714" s="4"/>
      <x:c r="EO714" s="4"/>
      <x:c r="EP714" s="4"/>
      <x:c r="EQ714" s="4"/>
      <x:c r="ER714" s="4"/>
      <x:c r="ES714" s="4"/>
      <x:c r="ET714" s="4"/>
      <x:c r="EU714" s="4"/>
      <x:c r="EV714" s="4"/>
      <x:c r="EW714" s="4"/>
      <x:c r="EX714" s="4"/>
      <x:c r="EY714" s="4"/>
      <x:c r="EZ714" s="4"/>
      <x:c r="FA714" s="4"/>
      <x:c r="FB714" s="4"/>
      <x:c r="FC714" s="4"/>
      <x:c r="FD714" s="4"/>
      <x:c r="FE714" s="4"/>
      <x:c r="FF714" s="4"/>
      <x:c r="FG714" s="4"/>
      <x:c r="FH714" s="4"/>
      <x:c r="FI714" s="4"/>
      <x:c r="FJ714" s="4"/>
      <x:c r="FK714" s="4"/>
      <x:c r="FL714" s="4"/>
      <x:c r="FM714" s="4"/>
      <x:c r="FN714" s="4"/>
      <x:c r="FO714" s="4"/>
    </x:row>
    <x:row r="715">
      <x:c r="A715" s="72"/>
      <x:c r="B715" s="72"/>
      <x:c r="C715" s="72"/>
      <x:c r="D715" s="72"/>
      <x:c r="E715" s="72"/>
      <x:c r="F715" s="72"/>
      <x:c r="G715" s="72"/>
      <x:c r="H715" s="72"/>
      <x:c r="I715" s="72"/>
      <x:c r="J715" s="72"/>
      <x:c r="K715" s="72"/>
      <x:c r="L715" s="72"/>
      <x:c r="M715" s="72"/>
      <x:c r="N715" s="72"/>
      <x:c r="O715" s="72"/>
      <x:c r="P715" s="72"/>
      <x:c r="Q715" s="72"/>
      <x:c r="R715" s="72"/>
      <x:c r="S715" s="72"/>
      <x:c r="T715" s="72"/>
      <x:c r="U715" s="72"/>
      <x:c r="V715" s="72"/>
      <x:c r="W715" s="72"/>
      <x:c r="X715" s="72"/>
      <x:c r="Y715" s="72"/>
      <x:c r="Z715" s="72"/>
      <x:c r="AA715" s="72"/>
      <x:c r="AB715" s="72"/>
      <x:c r="AC715" s="72"/>
      <x:c r="AD715" s="72"/>
      <x:c r="AE715" s="72"/>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4"/>
      <x:c r="DQ715" s="4"/>
      <x:c r="DR715" s="4"/>
      <x:c r="DS715" s="4"/>
      <x:c r="DT715" s="4"/>
      <x:c r="DU715" s="4"/>
      <x:c r="DV715" s="4"/>
      <x:c r="DW715" s="4"/>
      <x:c r="DX715" s="4"/>
      <x:c r="DY715" s="4"/>
      <x:c r="DZ715" s="4"/>
      <x:c r="EA715" s="4"/>
      <x:c r="EB715" s="4"/>
      <x:c r="EC715" s="4"/>
      <x:c r="ED715" s="4"/>
      <x:c r="EE715" s="4"/>
      <x:c r="EF715" s="4"/>
      <x:c r="EG715" s="4"/>
      <x:c r="EH715" s="4"/>
      <x:c r="EI715" s="4"/>
      <x:c r="EJ715" s="4"/>
      <x:c r="EK715" s="4"/>
      <x:c r="EL715" s="4"/>
      <x:c r="EM715" s="4"/>
      <x:c r="EN715" s="4"/>
      <x:c r="EO715" s="4"/>
      <x:c r="EP715" s="4"/>
      <x:c r="EQ715" s="4"/>
      <x:c r="ER715" s="4"/>
      <x:c r="ES715" s="4"/>
      <x:c r="ET715" s="4"/>
      <x:c r="EU715" s="4"/>
      <x:c r="EV715" s="4"/>
      <x:c r="EW715" s="4"/>
      <x:c r="EX715" s="4"/>
      <x:c r="EY715" s="4"/>
      <x:c r="EZ715" s="4"/>
      <x:c r="FA715" s="4"/>
      <x:c r="FB715" s="4"/>
      <x:c r="FC715" s="4"/>
      <x:c r="FD715" s="4"/>
      <x:c r="FE715" s="4"/>
      <x:c r="FF715" s="4"/>
      <x:c r="FG715" s="4"/>
      <x:c r="FH715" s="4"/>
      <x:c r="FI715" s="4"/>
      <x:c r="FJ715" s="4"/>
      <x:c r="FK715" s="4"/>
      <x:c r="FL715" s="4"/>
      <x:c r="FM715" s="4"/>
      <x:c r="FN715" s="4"/>
      <x:c r="FO715" s="4"/>
    </x:row>
    <x:row r="716">
      <x:c r="A716" s="72"/>
      <x:c r="B716" s="72"/>
      <x:c r="C716" s="72"/>
      <x:c r="D716" s="72"/>
      <x:c r="E716" s="72"/>
      <x:c r="F716" s="72"/>
      <x:c r="G716" s="72"/>
      <x:c r="H716" s="72"/>
      <x:c r="I716" s="72"/>
      <x:c r="J716" s="72"/>
      <x:c r="K716" s="72"/>
      <x:c r="L716" s="72"/>
      <x:c r="M716" s="72"/>
      <x:c r="N716" s="72"/>
      <x:c r="O716" s="72"/>
      <x:c r="P716" s="72"/>
      <x:c r="Q716" s="72"/>
      <x:c r="R716" s="72"/>
      <x:c r="S716" s="72"/>
      <x:c r="T716" s="72"/>
      <x:c r="U716" s="72"/>
      <x:c r="V716" s="72"/>
      <x:c r="W716" s="72"/>
      <x:c r="X716" s="72"/>
      <x:c r="Y716" s="72"/>
      <x:c r="Z716" s="72"/>
      <x:c r="AA716" s="72"/>
      <x:c r="AB716" s="72"/>
      <x:c r="AC716" s="72"/>
      <x:c r="AD716" s="72"/>
      <x:c r="AE716" s="72"/>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4"/>
      <x:c r="DQ716" s="4"/>
      <x:c r="DR716" s="4"/>
      <x:c r="DS716" s="4"/>
      <x:c r="DT716" s="4"/>
      <x:c r="DU716" s="4"/>
      <x:c r="DV716" s="4"/>
      <x:c r="DW716" s="4"/>
      <x:c r="DX716" s="4"/>
      <x:c r="DY716" s="4"/>
      <x:c r="DZ716" s="4"/>
      <x:c r="EA716" s="4"/>
      <x:c r="EB716" s="4"/>
      <x:c r="EC716" s="4"/>
      <x:c r="ED716" s="4"/>
      <x:c r="EE716" s="4"/>
      <x:c r="EF716" s="4"/>
      <x:c r="EG716" s="4"/>
      <x:c r="EH716" s="4"/>
      <x:c r="EI716" s="4"/>
      <x:c r="EJ716" s="4"/>
      <x:c r="EK716" s="4"/>
      <x:c r="EL716" s="4"/>
      <x:c r="EM716" s="4"/>
      <x:c r="EN716" s="4"/>
      <x:c r="EO716" s="4"/>
      <x:c r="EP716" s="4"/>
      <x:c r="EQ716" s="4"/>
      <x:c r="ER716" s="4"/>
      <x:c r="ES716" s="4"/>
      <x:c r="ET716" s="4"/>
      <x:c r="EU716" s="4"/>
      <x:c r="EV716" s="4"/>
      <x:c r="EW716" s="4"/>
      <x:c r="EX716" s="4"/>
      <x:c r="EY716" s="4"/>
      <x:c r="EZ716" s="4"/>
      <x:c r="FA716" s="4"/>
      <x:c r="FB716" s="4"/>
      <x:c r="FC716" s="4"/>
      <x:c r="FD716" s="4"/>
      <x:c r="FE716" s="4"/>
      <x:c r="FF716" s="4"/>
      <x:c r="FG716" s="4"/>
      <x:c r="FH716" s="4"/>
      <x:c r="FI716" s="4"/>
      <x:c r="FJ716" s="4"/>
      <x:c r="FK716" s="4"/>
      <x:c r="FL716" s="4"/>
      <x:c r="FM716" s="4"/>
      <x:c r="FN716" s="4"/>
      <x:c r="FO716" s="4"/>
    </x:row>
    <x:row r="717">
      <x:c r="A717" s="72"/>
      <x:c r="B717" s="72"/>
      <x:c r="C717" s="72"/>
      <x:c r="D717" s="72"/>
      <x:c r="E717" s="72"/>
      <x:c r="F717" s="72"/>
      <x:c r="G717" s="72"/>
      <x:c r="H717" s="72"/>
      <x:c r="I717" s="72"/>
      <x:c r="J717" s="72"/>
      <x:c r="K717" s="72"/>
      <x:c r="L717" s="72"/>
      <x:c r="M717" s="72"/>
      <x:c r="N717" s="72"/>
      <x:c r="O717" s="72"/>
      <x:c r="P717" s="72"/>
      <x:c r="Q717" s="72"/>
      <x:c r="R717" s="72"/>
      <x:c r="S717" s="72"/>
      <x:c r="T717" s="72"/>
      <x:c r="U717" s="72"/>
      <x:c r="V717" s="72"/>
      <x:c r="W717" s="72"/>
      <x:c r="X717" s="72"/>
      <x:c r="Y717" s="72"/>
      <x:c r="Z717" s="72"/>
      <x:c r="AA717" s="72"/>
      <x:c r="AB717" s="72"/>
      <x:c r="AC717" s="72"/>
      <x:c r="AD717" s="72"/>
      <x:c r="AE717" s="72"/>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4"/>
      <x:c r="DQ717" s="4"/>
      <x:c r="DR717" s="4"/>
      <x:c r="DS717" s="4"/>
      <x:c r="DT717" s="4"/>
      <x:c r="DU717" s="4"/>
      <x:c r="DV717" s="4"/>
      <x:c r="DW717" s="4"/>
      <x:c r="DX717" s="4"/>
      <x:c r="DY717" s="4"/>
      <x:c r="DZ717" s="4"/>
      <x:c r="EA717" s="4"/>
      <x:c r="EB717" s="4"/>
      <x:c r="EC717" s="4"/>
      <x:c r="ED717" s="4"/>
      <x:c r="EE717" s="4"/>
      <x:c r="EF717" s="4"/>
      <x:c r="EG717" s="4"/>
      <x:c r="EH717" s="4"/>
      <x:c r="EI717" s="4"/>
      <x:c r="EJ717" s="4"/>
      <x:c r="EK717" s="4"/>
      <x:c r="EL717" s="4"/>
      <x:c r="EM717" s="4"/>
      <x:c r="EN717" s="4"/>
      <x:c r="EO717" s="4"/>
      <x:c r="EP717" s="4"/>
      <x:c r="EQ717" s="4"/>
      <x:c r="ER717" s="4"/>
      <x:c r="ES717" s="4"/>
      <x:c r="ET717" s="4"/>
      <x:c r="EU717" s="4"/>
      <x:c r="EV717" s="4"/>
      <x:c r="EW717" s="4"/>
      <x:c r="EX717" s="4"/>
      <x:c r="EY717" s="4"/>
      <x:c r="EZ717" s="4"/>
      <x:c r="FA717" s="4"/>
      <x:c r="FB717" s="4"/>
      <x:c r="FC717" s="4"/>
      <x:c r="FD717" s="4"/>
      <x:c r="FE717" s="4"/>
      <x:c r="FF717" s="4"/>
      <x:c r="FG717" s="4"/>
      <x:c r="FH717" s="4"/>
      <x:c r="FI717" s="4"/>
      <x:c r="FJ717" s="4"/>
      <x:c r="FK717" s="4"/>
      <x:c r="FL717" s="4"/>
      <x:c r="FM717" s="4"/>
      <x:c r="FN717" s="4"/>
      <x:c r="FO717" s="4"/>
    </x:row>
    <x:row r="718">
      <x:c r="A718" s="72"/>
      <x:c r="B718" s="72"/>
      <x:c r="C718" s="72"/>
      <x:c r="D718" s="72"/>
      <x:c r="E718" s="72"/>
      <x:c r="F718" s="72"/>
      <x:c r="G718" s="72"/>
      <x:c r="H718" s="72"/>
      <x:c r="I718" s="72"/>
      <x:c r="J718" s="72"/>
      <x:c r="K718" s="72"/>
      <x:c r="L718" s="72"/>
      <x:c r="M718" s="72"/>
      <x:c r="N718" s="72"/>
      <x:c r="O718" s="72"/>
      <x:c r="P718" s="72"/>
      <x:c r="Q718" s="72"/>
      <x:c r="R718" s="72"/>
      <x:c r="S718" s="72"/>
      <x:c r="T718" s="72"/>
      <x:c r="U718" s="72"/>
      <x:c r="V718" s="72"/>
      <x:c r="W718" s="72"/>
      <x:c r="X718" s="72"/>
      <x:c r="Y718" s="72"/>
      <x:c r="Z718" s="72"/>
      <x:c r="AA718" s="72"/>
      <x:c r="AB718" s="72"/>
      <x:c r="AC718" s="72"/>
      <x:c r="AD718" s="72"/>
      <x:c r="AE718" s="72"/>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4"/>
      <x:c r="DQ718" s="4"/>
      <x:c r="DR718" s="4"/>
      <x:c r="DS718" s="4"/>
      <x:c r="DT718" s="4"/>
      <x:c r="DU718" s="4"/>
      <x:c r="DV718" s="4"/>
      <x:c r="DW718" s="4"/>
      <x:c r="DX718" s="4"/>
      <x:c r="DY718" s="4"/>
      <x:c r="DZ718" s="4"/>
      <x:c r="EA718" s="4"/>
      <x:c r="EB718" s="4"/>
      <x:c r="EC718" s="4"/>
      <x:c r="ED718" s="4"/>
      <x:c r="EE718" s="4"/>
      <x:c r="EF718" s="4"/>
      <x:c r="EG718" s="4"/>
      <x:c r="EH718" s="4"/>
      <x:c r="EI718" s="4"/>
      <x:c r="EJ718" s="4"/>
      <x:c r="EK718" s="4"/>
      <x:c r="EL718" s="4"/>
      <x:c r="EM718" s="4"/>
      <x:c r="EN718" s="4"/>
      <x:c r="EO718" s="4"/>
      <x:c r="EP718" s="4"/>
      <x:c r="EQ718" s="4"/>
      <x:c r="ER718" s="4"/>
      <x:c r="ES718" s="4"/>
      <x:c r="ET718" s="4"/>
      <x:c r="EU718" s="4"/>
      <x:c r="EV718" s="4"/>
      <x:c r="EW718" s="4"/>
      <x:c r="EX718" s="4"/>
      <x:c r="EY718" s="4"/>
      <x:c r="EZ718" s="4"/>
      <x:c r="FA718" s="4"/>
      <x:c r="FB718" s="4"/>
      <x:c r="FC718" s="4"/>
      <x:c r="FD718" s="4"/>
      <x:c r="FE718" s="4"/>
      <x:c r="FF718" s="4"/>
      <x:c r="FG718" s="4"/>
      <x:c r="FH718" s="4"/>
      <x:c r="FI718" s="4"/>
      <x:c r="FJ718" s="4"/>
      <x:c r="FK718" s="4"/>
      <x:c r="FL718" s="4"/>
      <x:c r="FM718" s="4"/>
      <x:c r="FN718" s="4"/>
      <x:c r="FO718" s="4"/>
    </x:row>
    <x:row r="719">
      <x:c r="A719" s="72"/>
      <x:c r="B719" s="72"/>
      <x:c r="C719" s="72"/>
      <x:c r="D719" s="72"/>
      <x:c r="E719" s="72"/>
      <x:c r="F719" s="72"/>
      <x:c r="G719" s="72"/>
      <x:c r="H719" s="72"/>
      <x:c r="I719" s="72"/>
      <x:c r="J719" s="72"/>
      <x:c r="K719" s="72"/>
      <x:c r="L719" s="72"/>
      <x:c r="M719" s="72"/>
      <x:c r="N719" s="72"/>
      <x:c r="O719" s="72"/>
      <x:c r="P719" s="72"/>
      <x:c r="Q719" s="72"/>
      <x:c r="R719" s="72"/>
      <x:c r="S719" s="72"/>
      <x:c r="T719" s="72"/>
      <x:c r="U719" s="72"/>
      <x:c r="V719" s="72"/>
      <x:c r="W719" s="72"/>
      <x:c r="X719" s="72"/>
      <x:c r="Y719" s="72"/>
      <x:c r="Z719" s="72"/>
      <x:c r="AA719" s="72"/>
      <x:c r="AB719" s="72"/>
      <x:c r="AC719" s="72"/>
      <x:c r="AD719" s="72"/>
      <x:c r="AE719" s="72"/>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4"/>
      <x:c r="DQ719" s="4"/>
      <x:c r="DR719" s="4"/>
      <x:c r="DS719" s="4"/>
      <x:c r="DT719" s="4"/>
      <x:c r="DU719" s="4"/>
      <x:c r="DV719" s="4"/>
      <x:c r="DW719" s="4"/>
      <x:c r="DX719" s="4"/>
      <x:c r="DY719" s="4"/>
      <x:c r="DZ719" s="4"/>
      <x:c r="EA719" s="4"/>
      <x:c r="EB719" s="4"/>
      <x:c r="EC719" s="4"/>
      <x:c r="ED719" s="4"/>
      <x:c r="EE719" s="4"/>
      <x:c r="EF719" s="4"/>
      <x:c r="EG719" s="4"/>
      <x:c r="EH719" s="4"/>
      <x:c r="EI719" s="4"/>
      <x:c r="EJ719" s="4"/>
      <x:c r="EK719" s="4"/>
      <x:c r="EL719" s="4"/>
      <x:c r="EM719" s="4"/>
      <x:c r="EN719" s="4"/>
      <x:c r="EO719" s="4"/>
      <x:c r="EP719" s="4"/>
      <x:c r="EQ719" s="4"/>
      <x:c r="ER719" s="4"/>
      <x:c r="ES719" s="4"/>
      <x:c r="ET719" s="4"/>
      <x:c r="EU719" s="4"/>
      <x:c r="EV719" s="4"/>
      <x:c r="EW719" s="4"/>
      <x:c r="EX719" s="4"/>
      <x:c r="EY719" s="4"/>
      <x:c r="EZ719" s="4"/>
      <x:c r="FA719" s="4"/>
      <x:c r="FB719" s="4"/>
      <x:c r="FC719" s="4"/>
      <x:c r="FD719" s="4"/>
      <x:c r="FE719" s="4"/>
      <x:c r="FF719" s="4"/>
      <x:c r="FG719" s="4"/>
      <x:c r="FH719" s="4"/>
      <x:c r="FI719" s="4"/>
      <x:c r="FJ719" s="4"/>
      <x:c r="FK719" s="4"/>
      <x:c r="FL719" s="4"/>
      <x:c r="FM719" s="4"/>
      <x:c r="FN719" s="4"/>
      <x:c r="FO719" s="4"/>
    </x:row>
    <x:row r="720">
      <x:c r="A720" s="72"/>
      <x:c r="B720" s="72"/>
      <x:c r="C720" s="72"/>
      <x:c r="D720" s="72"/>
      <x:c r="E720" s="72"/>
      <x:c r="F720" s="72"/>
      <x:c r="G720" s="72"/>
      <x:c r="H720" s="72"/>
      <x:c r="I720" s="72"/>
      <x:c r="J720" s="72"/>
      <x:c r="K720" s="72"/>
      <x:c r="L720" s="72"/>
      <x:c r="M720" s="72"/>
      <x:c r="N720" s="72"/>
      <x:c r="O720" s="72"/>
      <x:c r="P720" s="72"/>
      <x:c r="Q720" s="72"/>
      <x:c r="R720" s="72"/>
      <x:c r="S720" s="72"/>
      <x:c r="T720" s="72"/>
      <x:c r="U720" s="72"/>
      <x:c r="V720" s="72"/>
      <x:c r="W720" s="72"/>
      <x:c r="X720" s="72"/>
      <x:c r="Y720" s="72"/>
      <x:c r="Z720" s="72"/>
      <x:c r="AA720" s="72"/>
      <x:c r="AB720" s="72"/>
      <x:c r="AC720" s="72"/>
      <x:c r="AD720" s="72"/>
      <x:c r="AE720" s="72"/>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4"/>
      <x:c r="DQ720" s="4"/>
      <x:c r="DR720" s="4"/>
      <x:c r="DS720" s="4"/>
      <x:c r="DT720" s="4"/>
      <x:c r="DU720" s="4"/>
      <x:c r="DV720" s="4"/>
      <x:c r="DW720" s="4"/>
      <x:c r="DX720" s="4"/>
      <x:c r="DY720" s="4"/>
      <x:c r="DZ720" s="4"/>
      <x:c r="EA720" s="4"/>
      <x:c r="EB720" s="4"/>
      <x:c r="EC720" s="4"/>
      <x:c r="ED720" s="4"/>
      <x:c r="EE720" s="4"/>
      <x:c r="EF720" s="4"/>
      <x:c r="EG720" s="4"/>
      <x:c r="EH720" s="4"/>
      <x:c r="EI720" s="4"/>
      <x:c r="EJ720" s="4"/>
      <x:c r="EK720" s="4"/>
      <x:c r="EL720" s="4"/>
      <x:c r="EM720" s="4"/>
      <x:c r="EN720" s="4"/>
      <x:c r="EO720" s="4"/>
      <x:c r="EP720" s="4"/>
      <x:c r="EQ720" s="4"/>
      <x:c r="ER720" s="4"/>
      <x:c r="ES720" s="4"/>
      <x:c r="ET720" s="4"/>
      <x:c r="EU720" s="4"/>
      <x:c r="EV720" s="4"/>
      <x:c r="EW720" s="4"/>
      <x:c r="EX720" s="4"/>
      <x:c r="EY720" s="4"/>
      <x:c r="EZ720" s="4"/>
      <x:c r="FA720" s="4"/>
      <x:c r="FB720" s="4"/>
      <x:c r="FC720" s="4"/>
      <x:c r="FD720" s="4"/>
      <x:c r="FE720" s="4"/>
      <x:c r="FF720" s="4"/>
      <x:c r="FG720" s="4"/>
      <x:c r="FH720" s="4"/>
      <x:c r="FI720" s="4"/>
      <x:c r="FJ720" s="4"/>
      <x:c r="FK720" s="4"/>
      <x:c r="FL720" s="4"/>
      <x:c r="FM720" s="4"/>
      <x:c r="FN720" s="4"/>
      <x:c r="FO720" s="4"/>
    </x:row>
    <x:row r="721">
      <x:c r="A721" s="72"/>
      <x:c r="B721" s="72"/>
      <x:c r="C721" s="72"/>
      <x:c r="D721" s="72"/>
      <x:c r="E721" s="72"/>
      <x:c r="F721" s="72"/>
      <x:c r="G721" s="72"/>
      <x:c r="H721" s="72"/>
      <x:c r="I721" s="72"/>
      <x:c r="J721" s="72"/>
      <x:c r="K721" s="72"/>
      <x:c r="L721" s="72"/>
      <x:c r="M721" s="72"/>
      <x:c r="N721" s="72"/>
      <x:c r="O721" s="72"/>
      <x:c r="P721" s="72"/>
      <x:c r="Q721" s="72"/>
      <x:c r="R721" s="72"/>
      <x:c r="S721" s="72"/>
      <x:c r="T721" s="72"/>
      <x:c r="U721" s="72"/>
      <x:c r="V721" s="72"/>
      <x:c r="W721" s="72"/>
      <x:c r="X721" s="72"/>
      <x:c r="Y721" s="72"/>
      <x:c r="Z721" s="72"/>
      <x:c r="AA721" s="72"/>
      <x:c r="AB721" s="72"/>
      <x:c r="AC721" s="72"/>
      <x:c r="AD721" s="72"/>
      <x:c r="AE721" s="72"/>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4"/>
      <x:c r="DQ721" s="4"/>
      <x:c r="DR721" s="4"/>
      <x:c r="DS721" s="4"/>
      <x:c r="DT721" s="4"/>
      <x:c r="DU721" s="4"/>
      <x:c r="DV721" s="4"/>
      <x:c r="DW721" s="4"/>
      <x:c r="DX721" s="4"/>
      <x:c r="DY721" s="4"/>
      <x:c r="DZ721" s="4"/>
      <x:c r="EA721" s="4"/>
      <x:c r="EB721" s="4"/>
      <x:c r="EC721" s="4"/>
      <x:c r="ED721" s="4"/>
      <x:c r="EE721" s="4"/>
      <x:c r="EF721" s="4"/>
      <x:c r="EG721" s="4"/>
      <x:c r="EH721" s="4"/>
      <x:c r="EI721" s="4"/>
      <x:c r="EJ721" s="4"/>
      <x:c r="EK721" s="4"/>
      <x:c r="EL721" s="4"/>
      <x:c r="EM721" s="4"/>
      <x:c r="EN721" s="4"/>
      <x:c r="EO721" s="4"/>
      <x:c r="EP721" s="4"/>
      <x:c r="EQ721" s="4"/>
      <x:c r="ER721" s="4"/>
      <x:c r="ES721" s="4"/>
      <x:c r="ET721" s="4"/>
      <x:c r="EU721" s="4"/>
      <x:c r="EV721" s="4"/>
      <x:c r="EW721" s="4"/>
      <x:c r="EX721" s="4"/>
      <x:c r="EY721" s="4"/>
      <x:c r="EZ721" s="4"/>
      <x:c r="FA721" s="4"/>
      <x:c r="FB721" s="4"/>
      <x:c r="FC721" s="4"/>
      <x:c r="FD721" s="4"/>
      <x:c r="FE721" s="4"/>
      <x:c r="FF721" s="4"/>
      <x:c r="FG721" s="4"/>
      <x:c r="FH721" s="4"/>
      <x:c r="FI721" s="4"/>
      <x:c r="FJ721" s="4"/>
      <x:c r="FK721" s="4"/>
      <x:c r="FL721" s="4"/>
      <x:c r="FM721" s="4"/>
      <x:c r="FN721" s="4"/>
      <x:c r="FO721" s="4"/>
    </x:row>
    <x:row r="722">
      <x:c r="A722" s="72"/>
      <x:c r="B722" s="72"/>
      <x:c r="C722" s="72"/>
      <x:c r="D722" s="72"/>
      <x:c r="E722" s="72"/>
      <x:c r="F722" s="72"/>
      <x:c r="G722" s="72"/>
      <x:c r="H722" s="72"/>
      <x:c r="I722" s="72"/>
      <x:c r="J722" s="72"/>
      <x:c r="K722" s="72"/>
      <x:c r="L722" s="72"/>
      <x:c r="M722" s="72"/>
      <x:c r="N722" s="72"/>
      <x:c r="O722" s="72"/>
      <x:c r="P722" s="72"/>
      <x:c r="Q722" s="72"/>
      <x:c r="R722" s="72"/>
      <x:c r="S722" s="72"/>
      <x:c r="T722" s="72"/>
      <x:c r="U722" s="72"/>
      <x:c r="V722" s="72"/>
      <x:c r="W722" s="72"/>
      <x:c r="X722" s="72"/>
      <x:c r="Y722" s="72"/>
      <x:c r="Z722" s="72"/>
      <x:c r="AA722" s="72"/>
      <x:c r="AB722" s="72"/>
      <x:c r="AC722" s="72"/>
      <x:c r="AD722" s="72"/>
      <x:c r="AE722" s="72"/>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4"/>
      <x:c r="DQ722" s="4"/>
      <x:c r="DR722" s="4"/>
      <x:c r="DS722" s="4"/>
      <x:c r="DT722" s="4"/>
      <x:c r="DU722" s="4"/>
      <x:c r="DV722" s="4"/>
      <x:c r="DW722" s="4"/>
      <x:c r="DX722" s="4"/>
      <x:c r="DY722" s="4"/>
      <x:c r="DZ722" s="4"/>
      <x:c r="EA722" s="4"/>
      <x:c r="EB722" s="4"/>
      <x:c r="EC722" s="4"/>
      <x:c r="ED722" s="4"/>
      <x:c r="EE722" s="4"/>
      <x:c r="EF722" s="4"/>
      <x:c r="EG722" s="4"/>
      <x:c r="EH722" s="4"/>
      <x:c r="EI722" s="4"/>
      <x:c r="EJ722" s="4"/>
      <x:c r="EK722" s="4"/>
      <x:c r="EL722" s="4"/>
      <x:c r="EM722" s="4"/>
      <x:c r="EN722" s="4"/>
      <x:c r="EO722" s="4"/>
      <x:c r="EP722" s="4"/>
      <x:c r="EQ722" s="4"/>
      <x:c r="ER722" s="4"/>
      <x:c r="ES722" s="4"/>
      <x:c r="ET722" s="4"/>
      <x:c r="EU722" s="4"/>
      <x:c r="EV722" s="4"/>
      <x:c r="EW722" s="4"/>
      <x:c r="EX722" s="4"/>
      <x:c r="EY722" s="4"/>
      <x:c r="EZ722" s="4"/>
      <x:c r="FA722" s="4"/>
      <x:c r="FB722" s="4"/>
      <x:c r="FC722" s="4"/>
      <x:c r="FD722" s="4"/>
      <x:c r="FE722" s="4"/>
      <x:c r="FF722" s="4"/>
      <x:c r="FG722" s="4"/>
      <x:c r="FH722" s="4"/>
      <x:c r="FI722" s="4"/>
      <x:c r="FJ722" s="4"/>
      <x:c r="FK722" s="4"/>
      <x:c r="FL722" s="4"/>
      <x:c r="FM722" s="4"/>
      <x:c r="FN722" s="4"/>
      <x:c r="FO722" s="4"/>
    </x:row>
    <x:row r="723">
      <x:c r="A723" s="72"/>
      <x:c r="B723" s="72"/>
      <x:c r="C723" s="72"/>
      <x:c r="D723" s="72"/>
      <x:c r="E723" s="72"/>
      <x:c r="F723" s="72"/>
      <x:c r="G723" s="72"/>
      <x:c r="H723" s="72"/>
      <x:c r="I723" s="72"/>
      <x:c r="J723" s="72"/>
      <x:c r="K723" s="72"/>
      <x:c r="L723" s="72"/>
      <x:c r="M723" s="72"/>
      <x:c r="N723" s="72"/>
      <x:c r="O723" s="72"/>
      <x:c r="P723" s="72"/>
      <x:c r="Q723" s="72"/>
      <x:c r="R723" s="72"/>
      <x:c r="S723" s="72"/>
      <x:c r="T723" s="72"/>
      <x:c r="U723" s="72"/>
      <x:c r="V723" s="72"/>
      <x:c r="W723" s="72"/>
      <x:c r="X723" s="72"/>
      <x:c r="Y723" s="72"/>
      <x:c r="Z723" s="72"/>
      <x:c r="AA723" s="72"/>
      <x:c r="AB723" s="72"/>
      <x:c r="AC723" s="72"/>
      <x:c r="AD723" s="72"/>
      <x:c r="AE723" s="72"/>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4"/>
      <x:c r="DQ723" s="4"/>
      <x:c r="DR723" s="4"/>
      <x:c r="DS723" s="4"/>
      <x:c r="DT723" s="4"/>
      <x:c r="DU723" s="4"/>
      <x:c r="DV723" s="4"/>
      <x:c r="DW723" s="4"/>
      <x:c r="DX723" s="4"/>
      <x:c r="DY723" s="4"/>
      <x:c r="DZ723" s="4"/>
      <x:c r="EA723" s="4"/>
      <x:c r="EB723" s="4"/>
      <x:c r="EC723" s="4"/>
      <x:c r="ED723" s="4"/>
      <x:c r="EE723" s="4"/>
      <x:c r="EF723" s="4"/>
      <x:c r="EG723" s="4"/>
      <x:c r="EH723" s="4"/>
      <x:c r="EI723" s="4"/>
      <x:c r="EJ723" s="4"/>
      <x:c r="EK723" s="4"/>
      <x:c r="EL723" s="4"/>
      <x:c r="EM723" s="4"/>
      <x:c r="EN723" s="4"/>
      <x:c r="EO723" s="4"/>
      <x:c r="EP723" s="4"/>
      <x:c r="EQ723" s="4"/>
      <x:c r="ER723" s="4"/>
      <x:c r="ES723" s="4"/>
      <x:c r="ET723" s="4"/>
      <x:c r="EU723" s="4"/>
      <x:c r="EV723" s="4"/>
      <x:c r="EW723" s="4"/>
      <x:c r="EX723" s="4"/>
      <x:c r="EY723" s="4"/>
      <x:c r="EZ723" s="4"/>
      <x:c r="FA723" s="4"/>
      <x:c r="FB723" s="4"/>
      <x:c r="FC723" s="4"/>
      <x:c r="FD723" s="4"/>
      <x:c r="FE723" s="4"/>
      <x:c r="FF723" s="4"/>
      <x:c r="FG723" s="4"/>
      <x:c r="FH723" s="4"/>
      <x:c r="FI723" s="4"/>
      <x:c r="FJ723" s="4"/>
      <x:c r="FK723" s="4"/>
      <x:c r="FL723" s="4"/>
      <x:c r="FM723" s="4"/>
      <x:c r="FN723" s="4"/>
      <x:c r="FO723" s="4"/>
    </x:row>
    <x:row r="724">
      <x:c r="A724" s="72"/>
      <x:c r="B724" s="72"/>
      <x:c r="C724" s="72"/>
      <x:c r="D724" s="72"/>
      <x:c r="E724" s="72"/>
      <x:c r="F724" s="72"/>
      <x:c r="G724" s="72"/>
      <x:c r="H724" s="72"/>
      <x:c r="I724" s="72"/>
      <x:c r="J724" s="72"/>
      <x:c r="K724" s="72"/>
      <x:c r="L724" s="72"/>
      <x:c r="M724" s="72"/>
      <x:c r="N724" s="72"/>
      <x:c r="O724" s="72"/>
      <x:c r="P724" s="72"/>
      <x:c r="Q724" s="72"/>
      <x:c r="R724" s="72"/>
      <x:c r="S724" s="72"/>
      <x:c r="T724" s="72"/>
      <x:c r="U724" s="72"/>
      <x:c r="V724" s="72"/>
      <x:c r="W724" s="72"/>
      <x:c r="X724" s="72"/>
      <x:c r="Y724" s="72"/>
      <x:c r="Z724" s="72"/>
      <x:c r="AA724" s="72"/>
      <x:c r="AB724" s="72"/>
      <x:c r="AC724" s="72"/>
      <x:c r="AD724" s="72"/>
      <x:c r="AE724" s="72"/>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4"/>
      <x:c r="DQ724" s="4"/>
      <x:c r="DR724" s="4"/>
      <x:c r="DS724" s="4"/>
      <x:c r="DT724" s="4"/>
      <x:c r="DU724" s="4"/>
      <x:c r="DV724" s="4"/>
      <x:c r="DW724" s="4"/>
      <x:c r="DX724" s="4"/>
      <x:c r="DY724" s="4"/>
      <x:c r="DZ724" s="4"/>
      <x:c r="EA724" s="4"/>
      <x:c r="EB724" s="4"/>
      <x:c r="EC724" s="4"/>
      <x:c r="ED724" s="4"/>
      <x:c r="EE724" s="4"/>
      <x:c r="EF724" s="4"/>
      <x:c r="EG724" s="4"/>
      <x:c r="EH724" s="4"/>
      <x:c r="EI724" s="4"/>
      <x:c r="EJ724" s="4"/>
      <x:c r="EK724" s="4"/>
      <x:c r="EL724" s="4"/>
      <x:c r="EM724" s="4"/>
      <x:c r="EN724" s="4"/>
      <x:c r="EO724" s="4"/>
      <x:c r="EP724" s="4"/>
      <x:c r="EQ724" s="4"/>
      <x:c r="ER724" s="4"/>
      <x:c r="ES724" s="4"/>
      <x:c r="ET724" s="4"/>
      <x:c r="EU724" s="4"/>
      <x:c r="EV724" s="4"/>
      <x:c r="EW724" s="4"/>
      <x:c r="EX724" s="4"/>
      <x:c r="EY724" s="4"/>
      <x:c r="EZ724" s="4"/>
      <x:c r="FA724" s="4"/>
      <x:c r="FB724" s="4"/>
      <x:c r="FC724" s="4"/>
      <x:c r="FD724" s="4"/>
      <x:c r="FE724" s="4"/>
      <x:c r="FF724" s="4"/>
      <x:c r="FG724" s="4"/>
      <x:c r="FH724" s="4"/>
      <x:c r="FI724" s="4"/>
      <x:c r="FJ724" s="4"/>
      <x:c r="FK724" s="4"/>
      <x:c r="FL724" s="4"/>
      <x:c r="FM724" s="4"/>
      <x:c r="FN724" s="4"/>
      <x:c r="FO724" s="4"/>
    </x:row>
    <x:row r="725">
      <x:c r="A725" s="72"/>
      <x:c r="B725" s="72"/>
      <x:c r="C725" s="72"/>
      <x:c r="D725" s="72"/>
      <x:c r="E725" s="72"/>
      <x:c r="F725" s="72"/>
      <x:c r="G725" s="72"/>
      <x:c r="H725" s="72"/>
      <x:c r="I725" s="72"/>
      <x:c r="J725" s="72"/>
      <x:c r="K725" s="72"/>
      <x:c r="L725" s="72"/>
      <x:c r="M725" s="72"/>
      <x:c r="N725" s="72"/>
      <x:c r="O725" s="72"/>
      <x:c r="P725" s="72"/>
      <x:c r="Q725" s="72"/>
      <x:c r="R725" s="72"/>
      <x:c r="S725" s="72"/>
      <x:c r="T725" s="72"/>
      <x:c r="U725" s="72"/>
      <x:c r="V725" s="72"/>
      <x:c r="W725" s="72"/>
      <x:c r="X725" s="72"/>
      <x:c r="Y725" s="72"/>
      <x:c r="Z725" s="72"/>
      <x:c r="AA725" s="72"/>
      <x:c r="AB725" s="72"/>
      <x:c r="AC725" s="72"/>
      <x:c r="AD725" s="72"/>
      <x:c r="AE725" s="72"/>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4"/>
      <x:c r="DQ725" s="4"/>
      <x:c r="DR725" s="4"/>
      <x:c r="DS725" s="4"/>
      <x:c r="DT725" s="4"/>
      <x:c r="DU725" s="4"/>
      <x:c r="DV725" s="4"/>
      <x:c r="DW725" s="4"/>
      <x:c r="DX725" s="4"/>
      <x:c r="DY725" s="4"/>
      <x:c r="DZ725" s="4"/>
      <x:c r="EA725" s="4"/>
      <x:c r="EB725" s="4"/>
      <x:c r="EC725" s="4"/>
      <x:c r="ED725" s="4"/>
      <x:c r="EE725" s="4"/>
      <x:c r="EF725" s="4"/>
      <x:c r="EG725" s="4"/>
      <x:c r="EH725" s="4"/>
      <x:c r="EI725" s="4"/>
      <x:c r="EJ725" s="4"/>
      <x:c r="EK725" s="4"/>
      <x:c r="EL725" s="4"/>
      <x:c r="EM725" s="4"/>
      <x:c r="EN725" s="4"/>
      <x:c r="EO725" s="4"/>
      <x:c r="EP725" s="4"/>
      <x:c r="EQ725" s="4"/>
      <x:c r="ER725" s="4"/>
      <x:c r="ES725" s="4"/>
      <x:c r="ET725" s="4"/>
      <x:c r="EU725" s="4"/>
      <x:c r="EV725" s="4"/>
      <x:c r="EW725" s="4"/>
      <x:c r="EX725" s="4"/>
      <x:c r="EY725" s="4"/>
      <x:c r="EZ725" s="4"/>
      <x:c r="FA725" s="4"/>
      <x:c r="FB725" s="4"/>
      <x:c r="FC725" s="4"/>
      <x:c r="FD725" s="4"/>
      <x:c r="FE725" s="4"/>
      <x:c r="FF725" s="4"/>
      <x:c r="FG725" s="4"/>
      <x:c r="FH725" s="4"/>
      <x:c r="FI725" s="4"/>
      <x:c r="FJ725" s="4"/>
      <x:c r="FK725" s="4"/>
      <x:c r="FL725" s="4"/>
      <x:c r="FM725" s="4"/>
      <x:c r="FN725" s="4"/>
      <x:c r="FO725" s="4"/>
    </x:row>
    <x:row r="726">
      <x:c r="A726" s="72"/>
      <x:c r="B726" s="72"/>
      <x:c r="C726" s="72"/>
      <x:c r="D726" s="72"/>
      <x:c r="E726" s="72"/>
      <x:c r="F726" s="72"/>
      <x:c r="G726" s="72"/>
      <x:c r="H726" s="72"/>
      <x:c r="I726" s="72"/>
      <x:c r="J726" s="72"/>
      <x:c r="K726" s="72"/>
      <x:c r="L726" s="72"/>
      <x:c r="M726" s="72"/>
      <x:c r="N726" s="72"/>
      <x:c r="O726" s="72"/>
      <x:c r="P726" s="72"/>
      <x:c r="Q726" s="72"/>
      <x:c r="R726" s="72"/>
      <x:c r="S726" s="72"/>
      <x:c r="T726" s="72"/>
      <x:c r="U726" s="72"/>
      <x:c r="V726" s="72"/>
      <x:c r="W726" s="72"/>
      <x:c r="X726" s="72"/>
      <x:c r="Y726" s="72"/>
      <x:c r="Z726" s="72"/>
      <x:c r="AA726" s="72"/>
      <x:c r="AB726" s="72"/>
      <x:c r="AC726" s="72"/>
      <x:c r="AD726" s="72"/>
      <x:c r="AE726" s="72"/>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4"/>
      <x:c r="DQ726" s="4"/>
      <x:c r="DR726" s="4"/>
      <x:c r="DS726" s="4"/>
      <x:c r="DT726" s="4"/>
      <x:c r="DU726" s="4"/>
      <x:c r="DV726" s="4"/>
      <x:c r="DW726" s="4"/>
      <x:c r="DX726" s="4"/>
      <x:c r="DY726" s="4"/>
      <x:c r="DZ726" s="4"/>
      <x:c r="EA726" s="4"/>
      <x:c r="EB726" s="4"/>
      <x:c r="EC726" s="4"/>
      <x:c r="ED726" s="4"/>
      <x:c r="EE726" s="4"/>
      <x:c r="EF726" s="4"/>
      <x:c r="EG726" s="4"/>
      <x:c r="EH726" s="4"/>
      <x:c r="EI726" s="4"/>
      <x:c r="EJ726" s="4"/>
      <x:c r="EK726" s="4"/>
      <x:c r="EL726" s="4"/>
      <x:c r="EM726" s="4"/>
      <x:c r="EN726" s="4"/>
      <x:c r="EO726" s="4"/>
      <x:c r="EP726" s="4"/>
      <x:c r="EQ726" s="4"/>
      <x:c r="ER726" s="4"/>
      <x:c r="ES726" s="4"/>
      <x:c r="ET726" s="4"/>
      <x:c r="EU726" s="4"/>
      <x:c r="EV726" s="4"/>
      <x:c r="EW726" s="4"/>
      <x:c r="EX726" s="4"/>
      <x:c r="EY726" s="4"/>
      <x:c r="EZ726" s="4"/>
      <x:c r="FA726" s="4"/>
      <x:c r="FB726" s="4"/>
      <x:c r="FC726" s="4"/>
      <x:c r="FD726" s="4"/>
      <x:c r="FE726" s="4"/>
      <x:c r="FF726" s="4"/>
      <x:c r="FG726" s="4"/>
      <x:c r="FH726" s="4"/>
      <x:c r="FI726" s="4"/>
      <x:c r="FJ726" s="4"/>
      <x:c r="FK726" s="4"/>
      <x:c r="FL726" s="4"/>
      <x:c r="FM726" s="4"/>
      <x:c r="FN726" s="4"/>
      <x:c r="FO726" s="4"/>
    </x:row>
    <x:row r="727">
      <x:c r="A727" s="72"/>
      <x:c r="B727" s="72"/>
      <x:c r="C727" s="72"/>
      <x:c r="D727" s="72"/>
      <x:c r="E727" s="72"/>
      <x:c r="F727" s="72"/>
      <x:c r="G727" s="72"/>
      <x:c r="H727" s="72"/>
      <x:c r="I727" s="72"/>
      <x:c r="J727" s="72"/>
      <x:c r="K727" s="72"/>
      <x:c r="L727" s="72"/>
      <x:c r="M727" s="72"/>
      <x:c r="N727" s="72"/>
      <x:c r="O727" s="72"/>
      <x:c r="P727" s="72"/>
      <x:c r="Q727" s="72"/>
      <x:c r="R727" s="72"/>
      <x:c r="S727" s="72"/>
      <x:c r="T727" s="72"/>
      <x:c r="U727" s="72"/>
      <x:c r="V727" s="72"/>
      <x:c r="W727" s="72"/>
      <x:c r="X727" s="72"/>
      <x:c r="Y727" s="72"/>
      <x:c r="Z727" s="72"/>
      <x:c r="AA727" s="72"/>
      <x:c r="AB727" s="72"/>
      <x:c r="AC727" s="72"/>
      <x:c r="AD727" s="72"/>
      <x:c r="AE727" s="72"/>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4"/>
      <x:c r="DQ727" s="4"/>
      <x:c r="DR727" s="4"/>
      <x:c r="DS727" s="4"/>
      <x:c r="DT727" s="4"/>
      <x:c r="DU727" s="4"/>
      <x:c r="DV727" s="4"/>
      <x:c r="DW727" s="4"/>
      <x:c r="DX727" s="4"/>
      <x:c r="DY727" s="4"/>
      <x:c r="DZ727" s="4"/>
      <x:c r="EA727" s="4"/>
      <x:c r="EB727" s="4"/>
      <x:c r="EC727" s="4"/>
      <x:c r="ED727" s="4"/>
      <x:c r="EE727" s="4"/>
      <x:c r="EF727" s="4"/>
      <x:c r="EG727" s="4"/>
      <x:c r="EH727" s="4"/>
      <x:c r="EI727" s="4"/>
      <x:c r="EJ727" s="4"/>
      <x:c r="EK727" s="4"/>
      <x:c r="EL727" s="4"/>
      <x:c r="EM727" s="4"/>
      <x:c r="EN727" s="4"/>
      <x:c r="EO727" s="4"/>
      <x:c r="EP727" s="4"/>
      <x:c r="EQ727" s="4"/>
      <x:c r="ER727" s="4"/>
      <x:c r="ES727" s="4"/>
      <x:c r="ET727" s="4"/>
      <x:c r="EU727" s="4"/>
      <x:c r="EV727" s="4"/>
      <x:c r="EW727" s="4"/>
      <x:c r="EX727" s="4"/>
      <x:c r="EY727" s="4"/>
      <x:c r="EZ727" s="4"/>
      <x:c r="FA727" s="4"/>
      <x:c r="FB727" s="4"/>
      <x:c r="FC727" s="4"/>
      <x:c r="FD727" s="4"/>
      <x:c r="FE727" s="4"/>
      <x:c r="FF727" s="4"/>
      <x:c r="FG727" s="4"/>
      <x:c r="FH727" s="4"/>
      <x:c r="FI727" s="4"/>
      <x:c r="FJ727" s="4"/>
      <x:c r="FK727" s="4"/>
      <x:c r="FL727" s="4"/>
      <x:c r="FM727" s="4"/>
      <x:c r="FN727" s="4"/>
      <x:c r="FO727" s="4"/>
    </x:row>
    <x:row r="728">
      <x:c r="A728" s="72"/>
      <x:c r="B728" s="72"/>
      <x:c r="C728" s="72"/>
      <x:c r="D728" s="72"/>
      <x:c r="E728" s="72"/>
      <x:c r="F728" s="72"/>
      <x:c r="G728" s="72"/>
      <x:c r="H728" s="72"/>
      <x:c r="I728" s="72"/>
      <x:c r="J728" s="72"/>
      <x:c r="K728" s="72"/>
      <x:c r="L728" s="72"/>
      <x:c r="M728" s="72"/>
      <x:c r="N728" s="72"/>
      <x:c r="O728" s="72"/>
      <x:c r="P728" s="72"/>
      <x:c r="Q728" s="72"/>
      <x:c r="R728" s="72"/>
      <x:c r="S728" s="72"/>
      <x:c r="T728" s="72"/>
      <x:c r="U728" s="72"/>
      <x:c r="V728" s="72"/>
      <x:c r="W728" s="72"/>
      <x:c r="X728" s="72"/>
      <x:c r="Y728" s="72"/>
      <x:c r="Z728" s="72"/>
      <x:c r="AA728" s="72"/>
      <x:c r="AB728" s="72"/>
      <x:c r="AC728" s="72"/>
      <x:c r="AD728" s="72"/>
      <x:c r="AE728" s="72"/>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4"/>
      <x:c r="DQ728" s="4"/>
      <x:c r="DR728" s="4"/>
      <x:c r="DS728" s="4"/>
      <x:c r="DT728" s="4"/>
      <x:c r="DU728" s="4"/>
      <x:c r="DV728" s="4"/>
      <x:c r="DW728" s="4"/>
      <x:c r="DX728" s="4"/>
      <x:c r="DY728" s="4"/>
      <x:c r="DZ728" s="4"/>
      <x:c r="EA728" s="4"/>
      <x:c r="EB728" s="4"/>
      <x:c r="EC728" s="4"/>
      <x:c r="ED728" s="4"/>
      <x:c r="EE728" s="4"/>
      <x:c r="EF728" s="4"/>
      <x:c r="EG728" s="4"/>
      <x:c r="EH728" s="4"/>
      <x:c r="EI728" s="4"/>
      <x:c r="EJ728" s="4"/>
      <x:c r="EK728" s="4"/>
      <x:c r="EL728" s="4"/>
      <x:c r="EM728" s="4"/>
      <x:c r="EN728" s="4"/>
      <x:c r="EO728" s="4"/>
      <x:c r="EP728" s="4"/>
      <x:c r="EQ728" s="4"/>
      <x:c r="ER728" s="4"/>
      <x:c r="ES728" s="4"/>
      <x:c r="ET728" s="4"/>
      <x:c r="EU728" s="4"/>
      <x:c r="EV728" s="4"/>
      <x:c r="EW728" s="4"/>
      <x:c r="EX728" s="4"/>
      <x:c r="EY728" s="4"/>
      <x:c r="EZ728" s="4"/>
      <x:c r="FA728" s="4"/>
      <x:c r="FB728" s="4"/>
      <x:c r="FC728" s="4"/>
      <x:c r="FD728" s="4"/>
      <x:c r="FE728" s="4"/>
      <x:c r="FF728" s="4"/>
      <x:c r="FG728" s="4"/>
      <x:c r="FH728" s="4"/>
      <x:c r="FI728" s="4"/>
      <x:c r="FJ728" s="4"/>
      <x:c r="FK728" s="4"/>
      <x:c r="FL728" s="4"/>
      <x:c r="FM728" s="4"/>
      <x:c r="FN728" s="4"/>
      <x:c r="FO728" s="4"/>
    </x:row>
    <x:row r="729">
      <x:c r="A729" s="72"/>
      <x:c r="B729" s="72"/>
      <x:c r="C729" s="72"/>
      <x:c r="D729" s="72"/>
      <x:c r="E729" s="72"/>
      <x:c r="F729" s="72"/>
      <x:c r="G729" s="72"/>
      <x:c r="H729" s="72"/>
      <x:c r="I729" s="72"/>
      <x:c r="J729" s="72"/>
      <x:c r="K729" s="72"/>
      <x:c r="L729" s="72"/>
      <x:c r="M729" s="72"/>
      <x:c r="N729" s="72"/>
      <x:c r="O729" s="72"/>
      <x:c r="P729" s="72"/>
      <x:c r="Q729" s="72"/>
      <x:c r="R729" s="72"/>
      <x:c r="S729" s="72"/>
      <x:c r="T729" s="72"/>
      <x:c r="U729" s="72"/>
      <x:c r="V729" s="72"/>
      <x:c r="W729" s="72"/>
      <x:c r="X729" s="72"/>
      <x:c r="Y729" s="72"/>
      <x:c r="Z729" s="72"/>
      <x:c r="AA729" s="72"/>
      <x:c r="AB729" s="72"/>
      <x:c r="AC729" s="72"/>
      <x:c r="AD729" s="72"/>
      <x:c r="AE729" s="72"/>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4"/>
      <x:c r="DQ729" s="4"/>
      <x:c r="DR729" s="4"/>
      <x:c r="DS729" s="4"/>
      <x:c r="DT729" s="4"/>
      <x:c r="DU729" s="4"/>
      <x:c r="DV729" s="4"/>
      <x:c r="DW729" s="4"/>
      <x:c r="DX729" s="4"/>
      <x:c r="DY729" s="4"/>
      <x:c r="DZ729" s="4"/>
      <x:c r="EA729" s="4"/>
      <x:c r="EB729" s="4"/>
      <x:c r="EC729" s="4"/>
      <x:c r="ED729" s="4"/>
      <x:c r="EE729" s="4"/>
      <x:c r="EF729" s="4"/>
      <x:c r="EG729" s="4"/>
      <x:c r="EH729" s="4"/>
      <x:c r="EI729" s="4"/>
      <x:c r="EJ729" s="4"/>
      <x:c r="EK729" s="4"/>
      <x:c r="EL729" s="4"/>
      <x:c r="EM729" s="4"/>
      <x:c r="EN729" s="4"/>
      <x:c r="EO729" s="4"/>
      <x:c r="EP729" s="4"/>
      <x:c r="EQ729" s="4"/>
      <x:c r="ER729" s="4"/>
      <x:c r="ES729" s="4"/>
      <x:c r="ET729" s="4"/>
      <x:c r="EU729" s="4"/>
      <x:c r="EV729" s="4"/>
      <x:c r="EW729" s="4"/>
      <x:c r="EX729" s="4"/>
      <x:c r="EY729" s="4"/>
      <x:c r="EZ729" s="4"/>
      <x:c r="FA729" s="4"/>
      <x:c r="FB729" s="4"/>
      <x:c r="FC729" s="4"/>
      <x:c r="FD729" s="4"/>
      <x:c r="FE729" s="4"/>
      <x:c r="FF729" s="4"/>
      <x:c r="FG729" s="4"/>
      <x:c r="FH729" s="4"/>
      <x:c r="FI729" s="4"/>
      <x:c r="FJ729" s="4"/>
      <x:c r="FK729" s="4"/>
      <x:c r="FL729" s="4"/>
      <x:c r="FM729" s="4"/>
      <x:c r="FN729" s="4"/>
      <x:c r="FO729" s="4"/>
    </x:row>
    <x:row r="730">
      <x:c r="A730" s="72"/>
      <x:c r="B730" s="72"/>
      <x:c r="C730" s="72"/>
      <x:c r="D730" s="72"/>
      <x:c r="E730" s="72"/>
      <x:c r="F730" s="72"/>
      <x:c r="G730" s="72"/>
      <x:c r="H730" s="72"/>
      <x:c r="I730" s="72"/>
      <x:c r="J730" s="72"/>
      <x:c r="K730" s="72"/>
      <x:c r="L730" s="72"/>
      <x:c r="M730" s="72"/>
      <x:c r="N730" s="72"/>
      <x:c r="O730" s="72"/>
      <x:c r="P730" s="72"/>
      <x:c r="Q730" s="72"/>
      <x:c r="R730" s="72"/>
      <x:c r="S730" s="72"/>
      <x:c r="T730" s="72"/>
      <x:c r="U730" s="72"/>
      <x:c r="V730" s="72"/>
      <x:c r="W730" s="72"/>
      <x:c r="X730" s="72"/>
      <x:c r="Y730" s="72"/>
      <x:c r="Z730" s="72"/>
      <x:c r="AA730" s="72"/>
      <x:c r="AB730" s="72"/>
      <x:c r="AC730" s="72"/>
      <x:c r="AD730" s="72"/>
      <x:c r="AE730" s="72"/>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4"/>
      <x:c r="DQ730" s="4"/>
      <x:c r="DR730" s="4"/>
      <x:c r="DS730" s="4"/>
      <x:c r="DT730" s="4"/>
      <x:c r="DU730" s="4"/>
      <x:c r="DV730" s="4"/>
      <x:c r="DW730" s="4"/>
      <x:c r="DX730" s="4"/>
      <x:c r="DY730" s="4"/>
      <x:c r="DZ730" s="4"/>
      <x:c r="EA730" s="4"/>
      <x:c r="EB730" s="4"/>
      <x:c r="EC730" s="4"/>
      <x:c r="ED730" s="4"/>
      <x:c r="EE730" s="4"/>
      <x:c r="EF730" s="4"/>
      <x:c r="EG730" s="4"/>
      <x:c r="EH730" s="4"/>
      <x:c r="EI730" s="4"/>
      <x:c r="EJ730" s="4"/>
      <x:c r="EK730" s="4"/>
      <x:c r="EL730" s="4"/>
      <x:c r="EM730" s="4"/>
      <x:c r="EN730" s="4"/>
      <x:c r="EO730" s="4"/>
      <x:c r="EP730" s="4"/>
      <x:c r="EQ730" s="4"/>
      <x:c r="ER730" s="4"/>
      <x:c r="ES730" s="4"/>
      <x:c r="ET730" s="4"/>
      <x:c r="EU730" s="4"/>
      <x:c r="EV730" s="4"/>
      <x:c r="EW730" s="4"/>
      <x:c r="EX730" s="4"/>
      <x:c r="EY730" s="4"/>
      <x:c r="EZ730" s="4"/>
      <x:c r="FA730" s="4"/>
      <x:c r="FB730" s="4"/>
      <x:c r="FC730" s="4"/>
      <x:c r="FD730" s="4"/>
      <x:c r="FE730" s="4"/>
      <x:c r="FF730" s="4"/>
      <x:c r="FG730" s="4"/>
      <x:c r="FH730" s="4"/>
      <x:c r="FI730" s="4"/>
      <x:c r="FJ730" s="4"/>
      <x:c r="FK730" s="4"/>
      <x:c r="FL730" s="4"/>
      <x:c r="FM730" s="4"/>
      <x:c r="FN730" s="4"/>
      <x:c r="FO730" s="4"/>
    </x:row>
    <x:row r="731">
      <x:c r="A731" s="72"/>
      <x:c r="B731" s="72"/>
      <x:c r="C731" s="72"/>
      <x:c r="D731" s="72"/>
      <x:c r="E731" s="72"/>
      <x:c r="F731" s="72"/>
      <x:c r="G731" s="72"/>
      <x:c r="H731" s="72"/>
      <x:c r="I731" s="72"/>
      <x:c r="J731" s="72"/>
      <x:c r="K731" s="72"/>
      <x:c r="L731" s="72"/>
      <x:c r="M731" s="72"/>
      <x:c r="N731" s="72"/>
      <x:c r="O731" s="72"/>
      <x:c r="P731" s="72"/>
      <x:c r="Q731" s="72"/>
      <x:c r="R731" s="72"/>
      <x:c r="S731" s="72"/>
      <x:c r="T731" s="72"/>
      <x:c r="U731" s="72"/>
      <x:c r="V731" s="72"/>
      <x:c r="W731" s="72"/>
      <x:c r="X731" s="72"/>
      <x:c r="Y731" s="72"/>
      <x:c r="Z731" s="72"/>
      <x:c r="AA731" s="72"/>
      <x:c r="AB731" s="72"/>
      <x:c r="AC731" s="72"/>
      <x:c r="AD731" s="72"/>
      <x:c r="AE731" s="72"/>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4"/>
      <x:c r="DQ731" s="4"/>
      <x:c r="DR731" s="4"/>
      <x:c r="DS731" s="4"/>
      <x:c r="DT731" s="4"/>
      <x:c r="DU731" s="4"/>
      <x:c r="DV731" s="4"/>
      <x:c r="DW731" s="4"/>
      <x:c r="DX731" s="4"/>
      <x:c r="DY731" s="4"/>
      <x:c r="DZ731" s="4"/>
      <x:c r="EA731" s="4"/>
      <x:c r="EB731" s="4"/>
      <x:c r="EC731" s="4"/>
      <x:c r="ED731" s="4"/>
      <x:c r="EE731" s="4"/>
      <x:c r="EF731" s="4"/>
      <x:c r="EG731" s="4"/>
      <x:c r="EH731" s="4"/>
      <x:c r="EI731" s="4"/>
      <x:c r="EJ731" s="4"/>
      <x:c r="EK731" s="4"/>
      <x:c r="EL731" s="4"/>
      <x:c r="EM731" s="4"/>
      <x:c r="EN731" s="4"/>
      <x:c r="EO731" s="4"/>
      <x:c r="EP731" s="4"/>
      <x:c r="EQ731" s="4"/>
      <x:c r="ER731" s="4"/>
      <x:c r="ES731" s="4"/>
      <x:c r="ET731" s="4"/>
      <x:c r="EU731" s="4"/>
      <x:c r="EV731" s="4"/>
      <x:c r="EW731" s="4"/>
      <x:c r="EX731" s="4"/>
      <x:c r="EY731" s="4"/>
      <x:c r="EZ731" s="4"/>
      <x:c r="FA731" s="4"/>
      <x:c r="FB731" s="4"/>
      <x:c r="FC731" s="4"/>
      <x:c r="FD731" s="4"/>
      <x:c r="FE731" s="4"/>
      <x:c r="FF731" s="4"/>
      <x:c r="FG731" s="4"/>
      <x:c r="FH731" s="4"/>
      <x:c r="FI731" s="4"/>
      <x:c r="FJ731" s="4"/>
      <x:c r="FK731" s="4"/>
      <x:c r="FL731" s="4"/>
      <x:c r="FM731" s="4"/>
      <x:c r="FN731" s="4"/>
      <x:c r="FO731" s="4"/>
    </x:row>
    <x:row r="732">
      <x:c r="A732" s="72"/>
      <x:c r="B732" s="72"/>
      <x:c r="C732" s="72"/>
      <x:c r="D732" s="72"/>
      <x:c r="E732" s="72"/>
      <x:c r="F732" s="72"/>
      <x:c r="G732" s="72"/>
      <x:c r="H732" s="72"/>
      <x:c r="I732" s="72"/>
      <x:c r="J732" s="72"/>
      <x:c r="K732" s="72"/>
      <x:c r="L732" s="72"/>
      <x:c r="M732" s="72"/>
      <x:c r="N732" s="72"/>
      <x:c r="O732" s="72"/>
      <x:c r="P732" s="72"/>
      <x:c r="Q732" s="72"/>
      <x:c r="R732" s="72"/>
      <x:c r="S732" s="72"/>
      <x:c r="T732" s="72"/>
      <x:c r="U732" s="72"/>
      <x:c r="V732" s="72"/>
      <x:c r="W732" s="72"/>
      <x:c r="X732" s="72"/>
      <x:c r="Y732" s="72"/>
      <x:c r="Z732" s="72"/>
      <x:c r="AA732" s="72"/>
      <x:c r="AB732" s="72"/>
      <x:c r="AC732" s="72"/>
      <x:c r="AD732" s="72"/>
      <x:c r="AE732" s="72"/>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4"/>
      <x:c r="DQ732" s="4"/>
      <x:c r="DR732" s="4"/>
      <x:c r="DS732" s="4"/>
      <x:c r="DT732" s="4"/>
      <x:c r="DU732" s="4"/>
      <x:c r="DV732" s="4"/>
      <x:c r="DW732" s="4"/>
      <x:c r="DX732" s="4"/>
      <x:c r="DY732" s="4"/>
      <x:c r="DZ732" s="4"/>
      <x:c r="EA732" s="4"/>
      <x:c r="EB732" s="4"/>
      <x:c r="EC732" s="4"/>
      <x:c r="ED732" s="4"/>
      <x:c r="EE732" s="4"/>
      <x:c r="EF732" s="4"/>
      <x:c r="EG732" s="4"/>
      <x:c r="EH732" s="4"/>
      <x:c r="EI732" s="4"/>
      <x:c r="EJ732" s="4"/>
      <x:c r="EK732" s="4"/>
      <x:c r="EL732" s="4"/>
      <x:c r="EM732" s="4"/>
      <x:c r="EN732" s="4"/>
      <x:c r="EO732" s="4"/>
      <x:c r="EP732" s="4"/>
      <x:c r="EQ732" s="4"/>
      <x:c r="ER732" s="4"/>
      <x:c r="ES732" s="4"/>
      <x:c r="ET732" s="4"/>
      <x:c r="EU732" s="4"/>
      <x:c r="EV732" s="4"/>
      <x:c r="EW732" s="4"/>
      <x:c r="EX732" s="4"/>
      <x:c r="EY732" s="4"/>
      <x:c r="EZ732" s="4"/>
      <x:c r="FA732" s="4"/>
      <x:c r="FB732" s="4"/>
      <x:c r="FC732" s="4"/>
      <x:c r="FD732" s="4"/>
      <x:c r="FE732" s="4"/>
      <x:c r="FF732" s="4"/>
      <x:c r="FG732" s="4"/>
      <x:c r="FH732" s="4"/>
      <x:c r="FI732" s="4"/>
      <x:c r="FJ732" s="4"/>
      <x:c r="FK732" s="4"/>
      <x:c r="FL732" s="4"/>
      <x:c r="FM732" s="4"/>
      <x:c r="FN732" s="4"/>
      <x:c r="FO732" s="4"/>
    </x:row>
    <x:row r="733">
      <x:c r="A733" s="72"/>
      <x:c r="B733" s="72"/>
      <x:c r="C733" s="72"/>
      <x:c r="D733" s="72"/>
      <x:c r="E733" s="72"/>
      <x:c r="F733" s="72"/>
      <x:c r="G733" s="72"/>
      <x:c r="H733" s="72"/>
      <x:c r="I733" s="72"/>
      <x:c r="J733" s="72"/>
      <x:c r="K733" s="72"/>
      <x:c r="L733" s="72"/>
      <x:c r="M733" s="72"/>
      <x:c r="N733" s="72"/>
      <x:c r="O733" s="72"/>
      <x:c r="P733" s="72"/>
      <x:c r="Q733" s="72"/>
      <x:c r="R733" s="72"/>
      <x:c r="S733" s="72"/>
      <x:c r="T733" s="72"/>
      <x:c r="U733" s="72"/>
      <x:c r="V733" s="72"/>
      <x:c r="W733" s="72"/>
      <x:c r="X733" s="72"/>
      <x:c r="Y733" s="72"/>
      <x:c r="Z733" s="72"/>
      <x:c r="AA733" s="72"/>
      <x:c r="AB733" s="72"/>
      <x:c r="AC733" s="72"/>
      <x:c r="AD733" s="72"/>
      <x:c r="AE733" s="72"/>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4"/>
      <x:c r="DQ733" s="4"/>
      <x:c r="DR733" s="4"/>
      <x:c r="DS733" s="4"/>
      <x:c r="DT733" s="4"/>
      <x:c r="DU733" s="4"/>
      <x:c r="DV733" s="4"/>
      <x:c r="DW733" s="4"/>
      <x:c r="DX733" s="4"/>
      <x:c r="DY733" s="4"/>
      <x:c r="DZ733" s="4"/>
      <x:c r="EA733" s="4"/>
      <x:c r="EB733" s="4"/>
      <x:c r="EC733" s="4"/>
      <x:c r="ED733" s="4"/>
      <x:c r="EE733" s="4"/>
      <x:c r="EF733" s="4"/>
      <x:c r="EG733" s="4"/>
      <x:c r="EH733" s="4"/>
      <x:c r="EI733" s="4"/>
      <x:c r="EJ733" s="4"/>
      <x:c r="EK733" s="4"/>
      <x:c r="EL733" s="4"/>
      <x:c r="EM733" s="4"/>
      <x:c r="EN733" s="4"/>
      <x:c r="EO733" s="4"/>
      <x:c r="EP733" s="4"/>
      <x:c r="EQ733" s="4"/>
      <x:c r="ER733" s="4"/>
      <x:c r="ES733" s="4"/>
      <x:c r="ET733" s="4"/>
      <x:c r="EU733" s="4"/>
      <x:c r="EV733" s="4"/>
      <x:c r="EW733" s="4"/>
      <x:c r="EX733" s="4"/>
      <x:c r="EY733" s="4"/>
      <x:c r="EZ733" s="4"/>
      <x:c r="FA733" s="4"/>
      <x:c r="FB733" s="4"/>
      <x:c r="FC733" s="4"/>
      <x:c r="FD733" s="4"/>
      <x:c r="FE733" s="4"/>
      <x:c r="FF733" s="4"/>
      <x:c r="FG733" s="4"/>
      <x:c r="FH733" s="4"/>
      <x:c r="FI733" s="4"/>
      <x:c r="FJ733" s="4"/>
      <x:c r="FK733" s="4"/>
      <x:c r="FL733" s="4"/>
      <x:c r="FM733" s="4"/>
      <x:c r="FN733" s="4"/>
      <x:c r="FO733" s="4"/>
    </x:row>
    <x:row r="734">
      <x:c r="A734" s="72"/>
      <x:c r="B734" s="72"/>
      <x:c r="C734" s="72"/>
      <x:c r="D734" s="72"/>
      <x:c r="E734" s="72"/>
      <x:c r="F734" s="72"/>
      <x:c r="G734" s="72"/>
      <x:c r="H734" s="72"/>
      <x:c r="I734" s="72"/>
      <x:c r="J734" s="72"/>
      <x:c r="K734" s="72"/>
      <x:c r="L734" s="72"/>
      <x:c r="M734" s="72"/>
      <x:c r="N734" s="72"/>
      <x:c r="O734" s="72"/>
      <x:c r="P734" s="72"/>
      <x:c r="Q734" s="72"/>
      <x:c r="R734" s="72"/>
      <x:c r="S734" s="72"/>
      <x:c r="T734" s="72"/>
      <x:c r="U734" s="72"/>
      <x:c r="V734" s="72"/>
      <x:c r="W734" s="72"/>
      <x:c r="X734" s="72"/>
      <x:c r="Y734" s="72"/>
      <x:c r="Z734" s="72"/>
      <x:c r="AA734" s="72"/>
      <x:c r="AB734" s="72"/>
      <x:c r="AC734" s="72"/>
      <x:c r="AD734" s="72"/>
      <x:c r="AE734" s="72"/>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4"/>
      <x:c r="DQ734" s="4"/>
      <x:c r="DR734" s="4"/>
      <x:c r="DS734" s="4"/>
      <x:c r="DT734" s="4"/>
      <x:c r="DU734" s="4"/>
      <x:c r="DV734" s="4"/>
      <x:c r="DW734" s="4"/>
      <x:c r="DX734" s="4"/>
      <x:c r="DY734" s="4"/>
      <x:c r="DZ734" s="4"/>
      <x:c r="EA734" s="4"/>
      <x:c r="EB734" s="4"/>
      <x:c r="EC734" s="4"/>
      <x:c r="ED734" s="4"/>
      <x:c r="EE734" s="4"/>
      <x:c r="EF734" s="4"/>
      <x:c r="EG734" s="4"/>
      <x:c r="EH734" s="4"/>
      <x:c r="EI734" s="4"/>
      <x:c r="EJ734" s="4"/>
      <x:c r="EK734" s="4"/>
      <x:c r="EL734" s="4"/>
      <x:c r="EM734" s="4"/>
      <x:c r="EN734" s="4"/>
      <x:c r="EO734" s="4"/>
      <x:c r="EP734" s="4"/>
      <x:c r="EQ734" s="4"/>
      <x:c r="ER734" s="4"/>
      <x:c r="ES734" s="4"/>
      <x:c r="ET734" s="4"/>
      <x:c r="EU734" s="4"/>
      <x:c r="EV734" s="4"/>
      <x:c r="EW734" s="4"/>
      <x:c r="EX734" s="4"/>
      <x:c r="EY734" s="4"/>
      <x:c r="EZ734" s="4"/>
      <x:c r="FA734" s="4"/>
      <x:c r="FB734" s="4"/>
      <x:c r="FC734" s="4"/>
      <x:c r="FD734" s="4"/>
      <x:c r="FE734" s="4"/>
      <x:c r="FF734" s="4"/>
      <x:c r="FG734" s="4"/>
      <x:c r="FH734" s="4"/>
      <x:c r="FI734" s="4"/>
      <x:c r="FJ734" s="4"/>
      <x:c r="FK734" s="4"/>
      <x:c r="FL734" s="4"/>
      <x:c r="FM734" s="4"/>
      <x:c r="FN734" s="4"/>
      <x:c r="FO734" s="4"/>
    </x:row>
    <x:row r="735">
      <x:c r="A735" s="72"/>
      <x:c r="B735" s="72"/>
      <x:c r="C735" s="72"/>
      <x:c r="D735" s="72"/>
      <x:c r="E735" s="72"/>
      <x:c r="F735" s="72"/>
      <x:c r="G735" s="72"/>
      <x:c r="H735" s="72"/>
      <x:c r="I735" s="72"/>
      <x:c r="J735" s="72"/>
      <x:c r="K735" s="72"/>
      <x:c r="L735" s="72"/>
      <x:c r="M735" s="72"/>
      <x:c r="N735" s="72"/>
      <x:c r="O735" s="72"/>
      <x:c r="P735" s="72"/>
      <x:c r="Q735" s="72"/>
      <x:c r="R735" s="72"/>
      <x:c r="S735" s="72"/>
      <x:c r="T735" s="72"/>
      <x:c r="U735" s="72"/>
      <x:c r="V735" s="72"/>
      <x:c r="W735" s="72"/>
      <x:c r="X735" s="72"/>
      <x:c r="Y735" s="72"/>
      <x:c r="Z735" s="72"/>
      <x:c r="AA735" s="72"/>
      <x:c r="AB735" s="72"/>
      <x:c r="AC735" s="72"/>
      <x:c r="AD735" s="72"/>
      <x:c r="AE735" s="72"/>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4"/>
      <x:c r="DQ735" s="4"/>
      <x:c r="DR735" s="4"/>
      <x:c r="DS735" s="4"/>
      <x:c r="DT735" s="4"/>
      <x:c r="DU735" s="4"/>
      <x:c r="DV735" s="4"/>
      <x:c r="DW735" s="4"/>
      <x:c r="DX735" s="4"/>
      <x:c r="DY735" s="4"/>
      <x:c r="DZ735" s="4"/>
      <x:c r="EA735" s="4"/>
      <x:c r="EB735" s="4"/>
      <x:c r="EC735" s="4"/>
      <x:c r="ED735" s="4"/>
      <x:c r="EE735" s="4"/>
      <x:c r="EF735" s="4"/>
      <x:c r="EG735" s="4"/>
      <x:c r="EH735" s="4"/>
      <x:c r="EI735" s="4"/>
      <x:c r="EJ735" s="4"/>
      <x:c r="EK735" s="4"/>
      <x:c r="EL735" s="4"/>
      <x:c r="EM735" s="4"/>
      <x:c r="EN735" s="4"/>
      <x:c r="EO735" s="4"/>
      <x:c r="EP735" s="4"/>
      <x:c r="EQ735" s="4"/>
      <x:c r="ER735" s="4"/>
      <x:c r="ES735" s="4"/>
      <x:c r="ET735" s="4"/>
      <x:c r="EU735" s="4"/>
      <x:c r="EV735" s="4"/>
      <x:c r="EW735" s="4"/>
      <x:c r="EX735" s="4"/>
      <x:c r="EY735" s="4"/>
      <x:c r="EZ735" s="4"/>
      <x:c r="FA735" s="4"/>
      <x:c r="FB735" s="4"/>
      <x:c r="FC735" s="4"/>
      <x:c r="FD735" s="4"/>
      <x:c r="FE735" s="4"/>
      <x:c r="FF735" s="4"/>
      <x:c r="FG735" s="4"/>
      <x:c r="FH735" s="4"/>
      <x:c r="FI735" s="4"/>
      <x:c r="FJ735" s="4"/>
      <x:c r="FK735" s="4"/>
      <x:c r="FL735" s="4"/>
      <x:c r="FM735" s="4"/>
      <x:c r="FN735" s="4"/>
      <x:c r="FO735" s="4"/>
    </x:row>
    <x:row r="736">
      <x:c r="A736" s="72"/>
      <x:c r="B736" s="72"/>
      <x:c r="C736" s="72"/>
      <x:c r="D736" s="72"/>
      <x:c r="E736" s="72"/>
      <x:c r="F736" s="72"/>
      <x:c r="G736" s="72"/>
      <x:c r="H736" s="72"/>
      <x:c r="I736" s="72"/>
      <x:c r="J736" s="72"/>
      <x:c r="K736" s="72"/>
      <x:c r="L736" s="72"/>
      <x:c r="M736" s="72"/>
      <x:c r="N736" s="72"/>
      <x:c r="O736" s="72"/>
      <x:c r="P736" s="72"/>
      <x:c r="Q736" s="72"/>
      <x:c r="R736" s="72"/>
      <x:c r="S736" s="72"/>
      <x:c r="T736" s="72"/>
      <x:c r="U736" s="72"/>
      <x:c r="V736" s="72"/>
      <x:c r="W736" s="72"/>
      <x:c r="X736" s="72"/>
      <x:c r="Y736" s="72"/>
      <x:c r="Z736" s="72"/>
      <x:c r="AA736" s="72"/>
      <x:c r="AB736" s="72"/>
      <x:c r="AC736" s="72"/>
      <x:c r="AD736" s="72"/>
      <x:c r="AE736" s="72"/>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4"/>
      <x:c r="DQ736" s="4"/>
      <x:c r="DR736" s="4"/>
      <x:c r="DS736" s="4"/>
      <x:c r="DT736" s="4"/>
      <x:c r="DU736" s="4"/>
      <x:c r="DV736" s="4"/>
      <x:c r="DW736" s="4"/>
      <x:c r="DX736" s="4"/>
      <x:c r="DY736" s="4"/>
      <x:c r="DZ736" s="4"/>
      <x:c r="EA736" s="4"/>
      <x:c r="EB736" s="4"/>
      <x:c r="EC736" s="4"/>
      <x:c r="ED736" s="4"/>
      <x:c r="EE736" s="4"/>
      <x:c r="EF736" s="4"/>
      <x:c r="EG736" s="4"/>
      <x:c r="EH736" s="4"/>
      <x:c r="EI736" s="4"/>
      <x:c r="EJ736" s="4"/>
      <x:c r="EK736" s="4"/>
      <x:c r="EL736" s="4"/>
      <x:c r="EM736" s="4"/>
      <x:c r="EN736" s="4"/>
      <x:c r="EO736" s="4"/>
      <x:c r="EP736" s="4"/>
      <x:c r="EQ736" s="4"/>
      <x:c r="ER736" s="4"/>
      <x:c r="ES736" s="4"/>
      <x:c r="ET736" s="4"/>
      <x:c r="EU736" s="4"/>
      <x:c r="EV736" s="4"/>
      <x:c r="EW736" s="4"/>
      <x:c r="EX736" s="4"/>
      <x:c r="EY736" s="4"/>
      <x:c r="EZ736" s="4"/>
      <x:c r="FA736" s="4"/>
      <x:c r="FB736" s="4"/>
      <x:c r="FC736" s="4"/>
      <x:c r="FD736" s="4"/>
      <x:c r="FE736" s="4"/>
      <x:c r="FF736" s="4"/>
      <x:c r="FG736" s="4"/>
      <x:c r="FH736" s="4"/>
      <x:c r="FI736" s="4"/>
      <x:c r="FJ736" s="4"/>
      <x:c r="FK736" s="4"/>
      <x:c r="FL736" s="4"/>
      <x:c r="FM736" s="4"/>
      <x:c r="FN736" s="4"/>
      <x:c r="FO736" s="4"/>
    </x:row>
    <x:row r="737">
      <x:c r="A737" s="72"/>
      <x:c r="B737" s="72"/>
      <x:c r="C737" s="72"/>
      <x:c r="D737" s="72"/>
      <x:c r="E737" s="72"/>
      <x:c r="F737" s="72"/>
      <x:c r="G737" s="72"/>
      <x:c r="H737" s="72"/>
      <x:c r="I737" s="72"/>
      <x:c r="J737" s="72"/>
      <x:c r="K737" s="72"/>
      <x:c r="L737" s="72"/>
      <x:c r="M737" s="72"/>
      <x:c r="N737" s="72"/>
      <x:c r="O737" s="72"/>
      <x:c r="P737" s="72"/>
      <x:c r="Q737" s="72"/>
      <x:c r="R737" s="72"/>
      <x:c r="S737" s="72"/>
      <x:c r="T737" s="72"/>
      <x:c r="U737" s="72"/>
      <x:c r="V737" s="72"/>
      <x:c r="W737" s="72"/>
      <x:c r="X737" s="72"/>
      <x:c r="Y737" s="72"/>
      <x:c r="Z737" s="72"/>
      <x:c r="AA737" s="72"/>
      <x:c r="AB737" s="72"/>
      <x:c r="AC737" s="72"/>
      <x:c r="AD737" s="72"/>
      <x:c r="AE737" s="72"/>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4"/>
      <x:c r="DQ737" s="4"/>
      <x:c r="DR737" s="4"/>
      <x:c r="DS737" s="4"/>
      <x:c r="DT737" s="4"/>
      <x:c r="DU737" s="4"/>
      <x:c r="DV737" s="4"/>
      <x:c r="DW737" s="4"/>
      <x:c r="DX737" s="4"/>
      <x:c r="DY737" s="4"/>
      <x:c r="DZ737" s="4"/>
      <x:c r="EA737" s="4"/>
      <x:c r="EB737" s="4"/>
      <x:c r="EC737" s="4"/>
      <x:c r="ED737" s="4"/>
      <x:c r="EE737" s="4"/>
      <x:c r="EF737" s="4"/>
      <x:c r="EG737" s="4"/>
      <x:c r="EH737" s="4"/>
      <x:c r="EI737" s="4"/>
      <x:c r="EJ737" s="4"/>
      <x:c r="EK737" s="4"/>
      <x:c r="EL737" s="4"/>
      <x:c r="EM737" s="4"/>
      <x:c r="EN737" s="4"/>
      <x:c r="EO737" s="4"/>
      <x:c r="EP737" s="4"/>
      <x:c r="EQ737" s="4"/>
      <x:c r="ER737" s="4"/>
      <x:c r="ES737" s="4"/>
      <x:c r="ET737" s="4"/>
      <x:c r="EU737" s="4"/>
      <x:c r="EV737" s="4"/>
      <x:c r="EW737" s="4"/>
      <x:c r="EX737" s="4"/>
      <x:c r="EY737" s="4"/>
      <x:c r="EZ737" s="4"/>
      <x:c r="FA737" s="4"/>
      <x:c r="FB737" s="4"/>
      <x:c r="FC737" s="4"/>
      <x:c r="FD737" s="4"/>
      <x:c r="FE737" s="4"/>
      <x:c r="FF737" s="4"/>
      <x:c r="FG737" s="4"/>
      <x:c r="FH737" s="4"/>
      <x:c r="FI737" s="4"/>
      <x:c r="FJ737" s="4"/>
      <x:c r="FK737" s="4"/>
      <x:c r="FL737" s="4"/>
      <x:c r="FM737" s="4"/>
      <x:c r="FN737" s="4"/>
      <x:c r="FO737" s="4"/>
    </x:row>
    <x:row r="738">
      <x:c r="A738" s="72"/>
      <x:c r="B738" s="72"/>
      <x:c r="C738" s="72"/>
      <x:c r="D738" s="72"/>
      <x:c r="E738" s="72"/>
      <x:c r="F738" s="72"/>
      <x:c r="G738" s="72"/>
      <x:c r="H738" s="72"/>
      <x:c r="I738" s="72"/>
      <x:c r="J738" s="72"/>
      <x:c r="K738" s="72"/>
      <x:c r="L738" s="72"/>
      <x:c r="M738" s="72"/>
      <x:c r="N738" s="72"/>
      <x:c r="O738" s="72"/>
      <x:c r="P738" s="72"/>
      <x:c r="Q738" s="72"/>
      <x:c r="R738" s="72"/>
      <x:c r="S738" s="72"/>
      <x:c r="T738" s="72"/>
      <x:c r="U738" s="72"/>
      <x:c r="V738" s="72"/>
      <x:c r="W738" s="72"/>
      <x:c r="X738" s="72"/>
      <x:c r="Y738" s="72"/>
      <x:c r="Z738" s="72"/>
      <x:c r="AA738" s="72"/>
      <x:c r="AB738" s="72"/>
      <x:c r="AC738" s="72"/>
      <x:c r="AD738" s="72"/>
      <x:c r="AE738" s="72"/>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4"/>
      <x:c r="DQ738" s="4"/>
      <x:c r="DR738" s="4"/>
      <x:c r="DS738" s="4"/>
      <x:c r="DT738" s="4"/>
      <x:c r="DU738" s="4"/>
      <x:c r="DV738" s="4"/>
      <x:c r="DW738" s="4"/>
      <x:c r="DX738" s="4"/>
      <x:c r="DY738" s="4"/>
      <x:c r="DZ738" s="4"/>
      <x:c r="EA738" s="4"/>
      <x:c r="EB738" s="4"/>
      <x:c r="EC738" s="4"/>
      <x:c r="ED738" s="4"/>
      <x:c r="EE738" s="4"/>
      <x:c r="EF738" s="4"/>
      <x:c r="EG738" s="4"/>
      <x:c r="EH738" s="4"/>
      <x:c r="EI738" s="4"/>
      <x:c r="EJ738" s="4"/>
      <x:c r="EK738" s="4"/>
      <x:c r="EL738" s="4"/>
      <x:c r="EM738" s="4"/>
      <x:c r="EN738" s="4"/>
      <x:c r="EO738" s="4"/>
      <x:c r="EP738" s="4"/>
      <x:c r="EQ738" s="4"/>
      <x:c r="ER738" s="4"/>
      <x:c r="ES738" s="4"/>
      <x:c r="ET738" s="4"/>
      <x:c r="EU738" s="4"/>
      <x:c r="EV738" s="4"/>
      <x:c r="EW738" s="4"/>
      <x:c r="EX738" s="4"/>
      <x:c r="EY738" s="4"/>
      <x:c r="EZ738" s="4"/>
      <x:c r="FA738" s="4"/>
      <x:c r="FB738" s="4"/>
      <x:c r="FC738" s="4"/>
      <x:c r="FD738" s="4"/>
      <x:c r="FE738" s="4"/>
      <x:c r="FF738" s="4"/>
      <x:c r="FG738" s="4"/>
      <x:c r="FH738" s="4"/>
      <x:c r="FI738" s="4"/>
      <x:c r="FJ738" s="4"/>
      <x:c r="FK738" s="4"/>
      <x:c r="FL738" s="4"/>
      <x:c r="FM738" s="4"/>
      <x:c r="FN738" s="4"/>
      <x:c r="FO738" s="4"/>
    </x:row>
    <x:row r="739">
      <x:c r="A739" s="72"/>
      <x:c r="B739" s="72"/>
      <x:c r="C739" s="72"/>
      <x:c r="D739" s="72"/>
      <x:c r="E739" s="72"/>
      <x:c r="F739" s="72"/>
      <x:c r="G739" s="72"/>
      <x:c r="H739" s="72"/>
      <x:c r="I739" s="72"/>
      <x:c r="J739" s="72"/>
      <x:c r="K739" s="72"/>
      <x:c r="L739" s="72"/>
      <x:c r="M739" s="72"/>
      <x:c r="N739" s="72"/>
      <x:c r="O739" s="72"/>
      <x:c r="P739" s="72"/>
      <x:c r="Q739" s="72"/>
      <x:c r="R739" s="72"/>
      <x:c r="S739" s="72"/>
      <x:c r="T739" s="72"/>
      <x:c r="U739" s="72"/>
      <x:c r="V739" s="72"/>
      <x:c r="W739" s="72"/>
      <x:c r="X739" s="72"/>
      <x:c r="Y739" s="72"/>
      <x:c r="Z739" s="72"/>
      <x:c r="AA739" s="72"/>
      <x:c r="AB739" s="72"/>
      <x:c r="AC739" s="72"/>
      <x:c r="AD739" s="72"/>
      <x:c r="AE739" s="72"/>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4"/>
      <x:c r="DQ739" s="4"/>
      <x:c r="DR739" s="4"/>
      <x:c r="DS739" s="4"/>
      <x:c r="DT739" s="4"/>
      <x:c r="DU739" s="4"/>
      <x:c r="DV739" s="4"/>
      <x:c r="DW739" s="4"/>
      <x:c r="DX739" s="4"/>
      <x:c r="DY739" s="4"/>
      <x:c r="DZ739" s="4"/>
      <x:c r="EA739" s="4"/>
      <x:c r="EB739" s="4"/>
      <x:c r="EC739" s="4"/>
      <x:c r="ED739" s="4"/>
      <x:c r="EE739" s="4"/>
      <x:c r="EF739" s="4"/>
      <x:c r="EG739" s="4"/>
      <x:c r="EH739" s="4"/>
      <x:c r="EI739" s="4"/>
      <x:c r="EJ739" s="4"/>
      <x:c r="EK739" s="4"/>
      <x:c r="EL739" s="4"/>
      <x:c r="EM739" s="4"/>
      <x:c r="EN739" s="4"/>
      <x:c r="EO739" s="4"/>
      <x:c r="EP739" s="4"/>
      <x:c r="EQ739" s="4"/>
      <x:c r="ER739" s="4"/>
      <x:c r="ES739" s="4"/>
      <x:c r="ET739" s="4"/>
      <x:c r="EU739" s="4"/>
      <x:c r="EV739" s="4"/>
      <x:c r="EW739" s="4"/>
      <x:c r="EX739" s="4"/>
      <x:c r="EY739" s="4"/>
      <x:c r="EZ739" s="4"/>
      <x:c r="FA739" s="4"/>
      <x:c r="FB739" s="4"/>
      <x:c r="FC739" s="4"/>
      <x:c r="FD739" s="4"/>
      <x:c r="FE739" s="4"/>
      <x:c r="FF739" s="4"/>
      <x:c r="FG739" s="4"/>
      <x:c r="FH739" s="4"/>
      <x:c r="FI739" s="4"/>
      <x:c r="FJ739" s="4"/>
      <x:c r="FK739" s="4"/>
      <x:c r="FL739" s="4"/>
      <x:c r="FM739" s="4"/>
      <x:c r="FN739" s="4"/>
      <x:c r="FO739" s="4"/>
    </x:row>
    <x:row r="740">
      <x:c r="A740" s="72"/>
      <x:c r="B740" s="72"/>
      <x:c r="C740" s="72"/>
      <x:c r="D740" s="72"/>
      <x:c r="E740" s="72"/>
      <x:c r="F740" s="72"/>
      <x:c r="G740" s="72"/>
      <x:c r="H740" s="72"/>
      <x:c r="I740" s="72"/>
      <x:c r="J740" s="72"/>
      <x:c r="K740" s="72"/>
      <x:c r="L740" s="72"/>
      <x:c r="M740" s="72"/>
      <x:c r="N740" s="72"/>
      <x:c r="O740" s="72"/>
      <x:c r="P740" s="72"/>
      <x:c r="Q740" s="72"/>
      <x:c r="R740" s="72"/>
      <x:c r="S740" s="72"/>
      <x:c r="T740" s="72"/>
      <x:c r="U740" s="72"/>
      <x:c r="V740" s="72"/>
      <x:c r="W740" s="72"/>
      <x:c r="X740" s="72"/>
      <x:c r="Y740" s="72"/>
      <x:c r="Z740" s="72"/>
      <x:c r="AA740" s="72"/>
      <x:c r="AB740" s="72"/>
      <x:c r="AC740" s="72"/>
      <x:c r="AD740" s="72"/>
      <x:c r="AE740" s="72"/>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4"/>
      <x:c r="DQ740" s="4"/>
      <x:c r="DR740" s="4"/>
      <x:c r="DS740" s="4"/>
      <x:c r="DT740" s="4"/>
      <x:c r="DU740" s="4"/>
      <x:c r="DV740" s="4"/>
      <x:c r="DW740" s="4"/>
      <x:c r="DX740" s="4"/>
      <x:c r="DY740" s="4"/>
      <x:c r="DZ740" s="4"/>
      <x:c r="EA740" s="4"/>
      <x:c r="EB740" s="4"/>
      <x:c r="EC740" s="4"/>
      <x:c r="ED740" s="4"/>
      <x:c r="EE740" s="4"/>
      <x:c r="EF740" s="4"/>
      <x:c r="EG740" s="4"/>
      <x:c r="EH740" s="4"/>
      <x:c r="EI740" s="4"/>
      <x:c r="EJ740" s="4"/>
      <x:c r="EK740" s="4"/>
      <x:c r="EL740" s="4"/>
      <x:c r="EM740" s="4"/>
      <x:c r="EN740" s="4"/>
      <x:c r="EO740" s="4"/>
      <x:c r="EP740" s="4"/>
      <x:c r="EQ740" s="4"/>
      <x:c r="ER740" s="4"/>
      <x:c r="ES740" s="4"/>
      <x:c r="ET740" s="4"/>
      <x:c r="EU740" s="4"/>
      <x:c r="EV740" s="4"/>
      <x:c r="EW740" s="4"/>
      <x:c r="EX740" s="4"/>
      <x:c r="EY740" s="4"/>
      <x:c r="EZ740" s="4"/>
      <x:c r="FA740" s="4"/>
      <x:c r="FB740" s="4"/>
      <x:c r="FC740" s="4"/>
      <x:c r="FD740" s="4"/>
      <x:c r="FE740" s="4"/>
      <x:c r="FF740" s="4"/>
      <x:c r="FG740" s="4"/>
      <x:c r="FH740" s="4"/>
      <x:c r="FI740" s="4"/>
      <x:c r="FJ740" s="4"/>
      <x:c r="FK740" s="4"/>
      <x:c r="FL740" s="4"/>
      <x:c r="FM740" s="4"/>
      <x:c r="FN740" s="4"/>
      <x:c r="FO740" s="4"/>
    </x:row>
    <x:row r="741">
      <x:c r="A741" s="72"/>
      <x:c r="B741" s="72"/>
      <x:c r="C741" s="72"/>
      <x:c r="D741" s="72"/>
      <x:c r="E741" s="72"/>
      <x:c r="F741" s="72"/>
      <x:c r="G741" s="72"/>
      <x:c r="H741" s="72"/>
      <x:c r="I741" s="72"/>
      <x:c r="J741" s="72"/>
      <x:c r="K741" s="72"/>
      <x:c r="L741" s="72"/>
      <x:c r="M741" s="72"/>
      <x:c r="N741" s="72"/>
      <x:c r="O741" s="72"/>
      <x:c r="P741" s="72"/>
      <x:c r="Q741" s="72"/>
      <x:c r="R741" s="72"/>
      <x:c r="S741" s="72"/>
      <x:c r="T741" s="72"/>
      <x:c r="U741" s="72"/>
      <x:c r="V741" s="72"/>
      <x:c r="W741" s="72"/>
      <x:c r="X741" s="72"/>
      <x:c r="Y741" s="72"/>
      <x:c r="Z741" s="72"/>
      <x:c r="AA741" s="72"/>
      <x:c r="AB741" s="72"/>
      <x:c r="AC741" s="72"/>
      <x:c r="AD741" s="72"/>
      <x:c r="AE741" s="72"/>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4"/>
      <x:c r="DQ741" s="4"/>
      <x:c r="DR741" s="4"/>
      <x:c r="DS741" s="4"/>
      <x:c r="DT741" s="4"/>
      <x:c r="DU741" s="4"/>
      <x:c r="DV741" s="4"/>
      <x:c r="DW741" s="4"/>
      <x:c r="DX741" s="4"/>
      <x:c r="DY741" s="4"/>
      <x:c r="DZ741" s="4"/>
      <x:c r="EA741" s="4"/>
      <x:c r="EB741" s="4"/>
      <x:c r="EC741" s="4"/>
      <x:c r="ED741" s="4"/>
      <x:c r="EE741" s="4"/>
      <x:c r="EF741" s="4"/>
      <x:c r="EG741" s="4"/>
      <x:c r="EH741" s="4"/>
      <x:c r="EI741" s="4"/>
      <x:c r="EJ741" s="4"/>
      <x:c r="EK741" s="4"/>
      <x:c r="EL741" s="4"/>
      <x:c r="EM741" s="4"/>
      <x:c r="EN741" s="4"/>
      <x:c r="EO741" s="4"/>
      <x:c r="EP741" s="4"/>
      <x:c r="EQ741" s="4"/>
      <x:c r="ER741" s="4"/>
      <x:c r="ES741" s="4"/>
      <x:c r="ET741" s="4"/>
      <x:c r="EU741" s="4"/>
      <x:c r="EV741" s="4"/>
      <x:c r="EW741" s="4"/>
      <x:c r="EX741" s="4"/>
      <x:c r="EY741" s="4"/>
      <x:c r="EZ741" s="4"/>
      <x:c r="FA741" s="4"/>
      <x:c r="FB741" s="4"/>
      <x:c r="FC741" s="4"/>
      <x:c r="FD741" s="4"/>
      <x:c r="FE741" s="4"/>
      <x:c r="FF741" s="4"/>
      <x:c r="FG741" s="4"/>
      <x:c r="FH741" s="4"/>
      <x:c r="FI741" s="4"/>
      <x:c r="FJ741" s="4"/>
      <x:c r="FK741" s="4"/>
      <x:c r="FL741" s="4"/>
      <x:c r="FM741" s="4"/>
      <x:c r="FN741" s="4"/>
      <x:c r="FO741" s="4"/>
    </x:row>
    <x:row r="742">
      <x:c r="A742" s="72"/>
      <x:c r="B742" s="72"/>
      <x:c r="C742" s="72"/>
      <x:c r="D742" s="72"/>
      <x:c r="E742" s="72"/>
      <x:c r="F742" s="72"/>
      <x:c r="G742" s="72"/>
      <x:c r="H742" s="72"/>
      <x:c r="I742" s="72"/>
      <x:c r="J742" s="72"/>
      <x:c r="K742" s="72"/>
      <x:c r="L742" s="72"/>
      <x:c r="M742" s="72"/>
      <x:c r="N742" s="72"/>
      <x:c r="O742" s="72"/>
      <x:c r="P742" s="72"/>
      <x:c r="Q742" s="72"/>
      <x:c r="R742" s="72"/>
      <x:c r="S742" s="72"/>
      <x:c r="T742" s="72"/>
      <x:c r="U742" s="72"/>
      <x:c r="V742" s="72"/>
      <x:c r="W742" s="72"/>
      <x:c r="X742" s="72"/>
      <x:c r="Y742" s="72"/>
      <x:c r="Z742" s="72"/>
      <x:c r="AA742" s="72"/>
      <x:c r="AB742" s="72"/>
      <x:c r="AC742" s="72"/>
      <x:c r="AD742" s="72"/>
      <x:c r="AE742" s="72"/>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4"/>
      <x:c r="DQ742" s="4"/>
      <x:c r="DR742" s="4"/>
      <x:c r="DS742" s="4"/>
      <x:c r="DT742" s="4"/>
      <x:c r="DU742" s="4"/>
      <x:c r="DV742" s="4"/>
      <x:c r="DW742" s="4"/>
      <x:c r="DX742" s="4"/>
      <x:c r="DY742" s="4"/>
      <x:c r="DZ742" s="4"/>
      <x:c r="EA742" s="4"/>
      <x:c r="EB742" s="4"/>
      <x:c r="EC742" s="4"/>
      <x:c r="ED742" s="4"/>
      <x:c r="EE742" s="4"/>
      <x:c r="EF742" s="4"/>
      <x:c r="EG742" s="4"/>
      <x:c r="EH742" s="4"/>
      <x:c r="EI742" s="4"/>
      <x:c r="EJ742" s="4"/>
      <x:c r="EK742" s="4"/>
      <x:c r="EL742" s="4"/>
      <x:c r="EM742" s="4"/>
      <x:c r="EN742" s="4"/>
      <x:c r="EO742" s="4"/>
      <x:c r="EP742" s="4"/>
      <x:c r="EQ742" s="4"/>
      <x:c r="ER742" s="4"/>
      <x:c r="ES742" s="4"/>
      <x:c r="ET742" s="4"/>
      <x:c r="EU742" s="4"/>
      <x:c r="EV742" s="4"/>
      <x:c r="EW742" s="4"/>
      <x:c r="EX742" s="4"/>
      <x:c r="EY742" s="4"/>
      <x:c r="EZ742" s="4"/>
      <x:c r="FA742" s="4"/>
      <x:c r="FB742" s="4"/>
      <x:c r="FC742" s="4"/>
      <x:c r="FD742" s="4"/>
      <x:c r="FE742" s="4"/>
      <x:c r="FF742" s="4"/>
      <x:c r="FG742" s="4"/>
      <x:c r="FH742" s="4"/>
      <x:c r="FI742" s="4"/>
      <x:c r="FJ742" s="4"/>
      <x:c r="FK742" s="4"/>
      <x:c r="FL742" s="4"/>
      <x:c r="FM742" s="4"/>
      <x:c r="FN742" s="4"/>
      <x:c r="FO742" s="4"/>
    </x:row>
    <x:row r="743">
      <x:c r="A743" s="72"/>
      <x:c r="B743" s="72"/>
      <x:c r="C743" s="72"/>
      <x:c r="D743" s="72"/>
      <x:c r="E743" s="72"/>
      <x:c r="F743" s="72"/>
      <x:c r="G743" s="72"/>
      <x:c r="H743" s="72"/>
      <x:c r="I743" s="72"/>
      <x:c r="J743" s="72"/>
      <x:c r="K743" s="72"/>
      <x:c r="L743" s="72"/>
      <x:c r="M743" s="72"/>
      <x:c r="N743" s="72"/>
      <x:c r="O743" s="72"/>
      <x:c r="P743" s="72"/>
      <x:c r="Q743" s="72"/>
      <x:c r="R743" s="72"/>
      <x:c r="S743" s="72"/>
      <x:c r="T743" s="72"/>
      <x:c r="U743" s="72"/>
      <x:c r="V743" s="72"/>
      <x:c r="W743" s="72"/>
      <x:c r="X743" s="72"/>
      <x:c r="Y743" s="72"/>
      <x:c r="Z743" s="72"/>
      <x:c r="AA743" s="72"/>
      <x:c r="AB743" s="72"/>
      <x:c r="AC743" s="72"/>
      <x:c r="AD743" s="72"/>
      <x:c r="AE743" s="72"/>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4"/>
      <x:c r="DQ743" s="4"/>
      <x:c r="DR743" s="4"/>
      <x:c r="DS743" s="4"/>
      <x:c r="DT743" s="4"/>
      <x:c r="DU743" s="4"/>
      <x:c r="DV743" s="4"/>
      <x:c r="DW743" s="4"/>
      <x:c r="DX743" s="4"/>
      <x:c r="DY743" s="4"/>
      <x:c r="DZ743" s="4"/>
      <x:c r="EA743" s="4"/>
      <x:c r="EB743" s="4"/>
      <x:c r="EC743" s="4"/>
      <x:c r="ED743" s="4"/>
      <x:c r="EE743" s="4"/>
      <x:c r="EF743" s="4"/>
      <x:c r="EG743" s="4"/>
      <x:c r="EH743" s="4"/>
      <x:c r="EI743" s="4"/>
      <x:c r="EJ743" s="4"/>
      <x:c r="EK743" s="4"/>
      <x:c r="EL743" s="4"/>
      <x:c r="EM743" s="4"/>
      <x:c r="EN743" s="4"/>
      <x:c r="EO743" s="4"/>
      <x:c r="EP743" s="4"/>
      <x:c r="EQ743" s="4"/>
      <x:c r="ER743" s="4"/>
      <x:c r="ES743" s="4"/>
      <x:c r="ET743" s="4"/>
      <x:c r="EU743" s="4"/>
      <x:c r="EV743" s="4"/>
      <x:c r="EW743" s="4"/>
      <x:c r="EX743" s="4"/>
      <x:c r="EY743" s="4"/>
      <x:c r="EZ743" s="4"/>
      <x:c r="FA743" s="4"/>
      <x:c r="FB743" s="4"/>
      <x:c r="FC743" s="4"/>
      <x:c r="FD743" s="4"/>
      <x:c r="FE743" s="4"/>
      <x:c r="FF743" s="4"/>
      <x:c r="FG743" s="4"/>
      <x:c r="FH743" s="4"/>
      <x:c r="FI743" s="4"/>
      <x:c r="FJ743" s="4"/>
      <x:c r="FK743" s="4"/>
      <x:c r="FL743" s="4"/>
      <x:c r="FM743" s="4"/>
      <x:c r="FN743" s="4"/>
      <x:c r="FO743" s="4"/>
    </x:row>
    <x:row r="744">
      <x:c r="A744" s="72"/>
      <x:c r="B744" s="72"/>
      <x:c r="C744" s="72"/>
      <x:c r="D744" s="72"/>
      <x:c r="E744" s="72"/>
      <x:c r="F744" s="72"/>
      <x:c r="G744" s="72"/>
      <x:c r="H744" s="72"/>
      <x:c r="I744" s="72"/>
      <x:c r="J744" s="72"/>
      <x:c r="K744" s="72"/>
      <x:c r="L744" s="72"/>
      <x:c r="M744" s="72"/>
      <x:c r="N744" s="72"/>
      <x:c r="O744" s="72"/>
      <x:c r="P744" s="72"/>
      <x:c r="Q744" s="72"/>
      <x:c r="R744" s="72"/>
      <x:c r="S744" s="72"/>
      <x:c r="T744" s="72"/>
      <x:c r="U744" s="72"/>
      <x:c r="V744" s="72"/>
      <x:c r="W744" s="72"/>
      <x:c r="X744" s="72"/>
      <x:c r="Y744" s="72"/>
      <x:c r="Z744" s="72"/>
      <x:c r="AA744" s="72"/>
      <x:c r="AB744" s="72"/>
      <x:c r="AC744" s="72"/>
      <x:c r="AD744" s="72"/>
      <x:c r="AE744" s="72"/>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4"/>
      <x:c r="DQ744" s="4"/>
      <x:c r="DR744" s="4"/>
      <x:c r="DS744" s="4"/>
      <x:c r="DT744" s="4"/>
      <x:c r="DU744" s="4"/>
      <x:c r="DV744" s="4"/>
      <x:c r="DW744" s="4"/>
      <x:c r="DX744" s="4"/>
      <x:c r="DY744" s="4"/>
      <x:c r="DZ744" s="4"/>
      <x:c r="EA744" s="4"/>
      <x:c r="EB744" s="4"/>
      <x:c r="EC744" s="4"/>
      <x:c r="ED744" s="4"/>
      <x:c r="EE744" s="4"/>
      <x:c r="EF744" s="4"/>
      <x:c r="EG744" s="4"/>
      <x:c r="EH744" s="4"/>
      <x:c r="EI744" s="4"/>
      <x:c r="EJ744" s="4"/>
      <x:c r="EK744" s="4"/>
      <x:c r="EL744" s="4"/>
      <x:c r="EM744" s="4"/>
      <x:c r="EN744" s="4"/>
      <x:c r="EO744" s="4"/>
      <x:c r="EP744" s="4"/>
      <x:c r="EQ744" s="4"/>
      <x:c r="ER744" s="4"/>
      <x:c r="ES744" s="4"/>
      <x:c r="ET744" s="4"/>
      <x:c r="EU744" s="4"/>
      <x:c r="EV744" s="4"/>
      <x:c r="EW744" s="4"/>
      <x:c r="EX744" s="4"/>
      <x:c r="EY744" s="4"/>
      <x:c r="EZ744" s="4"/>
      <x:c r="FA744" s="4"/>
      <x:c r="FB744" s="4"/>
      <x:c r="FC744" s="4"/>
      <x:c r="FD744" s="4"/>
      <x:c r="FE744" s="4"/>
      <x:c r="FF744" s="4"/>
      <x:c r="FG744" s="4"/>
      <x:c r="FH744" s="4"/>
      <x:c r="FI744" s="4"/>
      <x:c r="FJ744" s="4"/>
      <x:c r="FK744" s="4"/>
      <x:c r="FL744" s="4"/>
      <x:c r="FM744" s="4"/>
      <x:c r="FN744" s="4"/>
      <x:c r="FO744" s="4"/>
    </x:row>
    <x:row r="745">
      <x:c r="A745" s="72"/>
      <x:c r="B745" s="72"/>
      <x:c r="C745" s="72"/>
      <x:c r="D745" s="72"/>
      <x:c r="E745" s="72"/>
      <x:c r="F745" s="72"/>
      <x:c r="G745" s="72"/>
      <x:c r="H745" s="72"/>
      <x:c r="I745" s="72"/>
      <x:c r="J745" s="72"/>
      <x:c r="K745" s="72"/>
      <x:c r="L745" s="72"/>
      <x:c r="M745" s="72"/>
      <x:c r="N745" s="72"/>
      <x:c r="O745" s="72"/>
      <x:c r="P745" s="72"/>
      <x:c r="Q745" s="72"/>
      <x:c r="R745" s="72"/>
      <x:c r="S745" s="72"/>
      <x:c r="T745" s="72"/>
      <x:c r="U745" s="72"/>
      <x:c r="V745" s="72"/>
      <x:c r="W745" s="72"/>
      <x:c r="X745" s="72"/>
      <x:c r="Y745" s="72"/>
      <x:c r="Z745" s="72"/>
      <x:c r="AA745" s="72"/>
      <x:c r="AB745" s="72"/>
      <x:c r="AC745" s="72"/>
      <x:c r="AD745" s="72"/>
      <x:c r="AE745" s="72"/>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4"/>
      <x:c r="DQ745" s="4"/>
      <x:c r="DR745" s="4"/>
      <x:c r="DS745" s="4"/>
      <x:c r="DT745" s="4"/>
      <x:c r="DU745" s="4"/>
      <x:c r="DV745" s="4"/>
      <x:c r="DW745" s="4"/>
      <x:c r="DX745" s="4"/>
      <x:c r="DY745" s="4"/>
      <x:c r="DZ745" s="4"/>
      <x:c r="EA745" s="4"/>
      <x:c r="EB745" s="4"/>
      <x:c r="EC745" s="4"/>
      <x:c r="ED745" s="4"/>
      <x:c r="EE745" s="4"/>
      <x:c r="EF745" s="4"/>
      <x:c r="EG745" s="4"/>
      <x:c r="EH745" s="4"/>
      <x:c r="EI745" s="4"/>
      <x:c r="EJ745" s="4"/>
      <x:c r="EK745" s="4"/>
      <x:c r="EL745" s="4"/>
      <x:c r="EM745" s="4"/>
      <x:c r="EN745" s="4"/>
      <x:c r="EO745" s="4"/>
      <x:c r="EP745" s="4"/>
      <x:c r="EQ745" s="4"/>
      <x:c r="ER745" s="4"/>
      <x:c r="ES745" s="4"/>
      <x:c r="ET745" s="4"/>
      <x:c r="EU745" s="4"/>
      <x:c r="EV745" s="4"/>
      <x:c r="EW745" s="4"/>
      <x:c r="EX745" s="4"/>
      <x:c r="EY745" s="4"/>
      <x:c r="EZ745" s="4"/>
      <x:c r="FA745" s="4"/>
      <x:c r="FB745" s="4"/>
      <x:c r="FC745" s="4"/>
      <x:c r="FD745" s="4"/>
      <x:c r="FE745" s="4"/>
      <x:c r="FF745" s="4"/>
      <x:c r="FG745" s="4"/>
      <x:c r="FH745" s="4"/>
      <x:c r="FI745" s="4"/>
      <x:c r="FJ745" s="4"/>
      <x:c r="FK745" s="4"/>
      <x:c r="FL745" s="4"/>
      <x:c r="FM745" s="4"/>
      <x:c r="FN745" s="4"/>
      <x:c r="FO745" s="4"/>
    </x:row>
    <x:row r="746">
      <x:c r="A746" s="72"/>
      <x:c r="B746" s="72"/>
      <x:c r="C746" s="72"/>
      <x:c r="D746" s="72"/>
      <x:c r="E746" s="72"/>
      <x:c r="F746" s="72"/>
      <x:c r="G746" s="72"/>
      <x:c r="H746" s="72"/>
      <x:c r="I746" s="72"/>
      <x:c r="J746" s="72"/>
      <x:c r="K746" s="72"/>
      <x:c r="L746" s="72"/>
      <x:c r="M746" s="72"/>
      <x:c r="N746" s="72"/>
      <x:c r="O746" s="72"/>
      <x:c r="P746" s="72"/>
      <x:c r="Q746" s="72"/>
      <x:c r="R746" s="72"/>
      <x:c r="S746" s="72"/>
      <x:c r="T746" s="72"/>
      <x:c r="U746" s="72"/>
      <x:c r="V746" s="72"/>
      <x:c r="W746" s="72"/>
      <x:c r="X746" s="72"/>
      <x:c r="Y746" s="72"/>
      <x:c r="Z746" s="72"/>
      <x:c r="AA746" s="72"/>
      <x:c r="AB746" s="72"/>
      <x:c r="AC746" s="72"/>
      <x:c r="AD746" s="72"/>
      <x:c r="AE746" s="72"/>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4"/>
      <x:c r="DQ746" s="4"/>
      <x:c r="DR746" s="4"/>
      <x:c r="DS746" s="4"/>
      <x:c r="DT746" s="4"/>
      <x:c r="DU746" s="4"/>
      <x:c r="DV746" s="4"/>
      <x:c r="DW746" s="4"/>
      <x:c r="DX746" s="4"/>
      <x:c r="DY746" s="4"/>
      <x:c r="DZ746" s="4"/>
      <x:c r="EA746" s="4"/>
      <x:c r="EB746" s="4"/>
      <x:c r="EC746" s="4"/>
      <x:c r="ED746" s="4"/>
      <x:c r="EE746" s="4"/>
      <x:c r="EF746" s="4"/>
      <x:c r="EG746" s="4"/>
      <x:c r="EH746" s="4"/>
      <x:c r="EI746" s="4"/>
      <x:c r="EJ746" s="4"/>
      <x:c r="EK746" s="4"/>
      <x:c r="EL746" s="4"/>
      <x:c r="EM746" s="4"/>
      <x:c r="EN746" s="4"/>
      <x:c r="EO746" s="4"/>
      <x:c r="EP746" s="4"/>
      <x:c r="EQ746" s="4"/>
      <x:c r="ER746" s="4"/>
      <x:c r="ES746" s="4"/>
      <x:c r="ET746" s="4"/>
      <x:c r="EU746" s="4"/>
      <x:c r="EV746" s="4"/>
      <x:c r="EW746" s="4"/>
      <x:c r="EX746" s="4"/>
      <x:c r="EY746" s="4"/>
      <x:c r="EZ746" s="4"/>
      <x:c r="FA746" s="4"/>
      <x:c r="FB746" s="4"/>
      <x:c r="FC746" s="4"/>
      <x:c r="FD746" s="4"/>
      <x:c r="FE746" s="4"/>
      <x:c r="FF746" s="4"/>
      <x:c r="FG746" s="4"/>
      <x:c r="FH746" s="4"/>
      <x:c r="FI746" s="4"/>
      <x:c r="FJ746" s="4"/>
      <x:c r="FK746" s="4"/>
      <x:c r="FL746" s="4"/>
      <x:c r="FM746" s="4"/>
      <x:c r="FN746" s="4"/>
      <x:c r="FO746" s="4"/>
    </x:row>
    <x:row r="747">
      <x:c r="A747" s="72"/>
      <x:c r="B747" s="72"/>
      <x:c r="C747" s="72"/>
      <x:c r="D747" s="72"/>
      <x:c r="E747" s="72"/>
      <x:c r="F747" s="72"/>
      <x:c r="G747" s="72"/>
      <x:c r="H747" s="72"/>
      <x:c r="I747" s="72"/>
      <x:c r="J747" s="72"/>
      <x:c r="K747" s="72"/>
      <x:c r="L747" s="72"/>
      <x:c r="M747" s="72"/>
      <x:c r="N747" s="72"/>
      <x:c r="O747" s="72"/>
      <x:c r="P747" s="72"/>
      <x:c r="Q747" s="72"/>
      <x:c r="R747" s="72"/>
      <x:c r="S747" s="72"/>
      <x:c r="T747" s="72"/>
      <x:c r="U747" s="72"/>
      <x:c r="V747" s="72"/>
      <x:c r="W747" s="72"/>
      <x:c r="X747" s="72"/>
      <x:c r="Y747" s="72"/>
      <x:c r="Z747" s="72"/>
      <x:c r="AA747" s="72"/>
      <x:c r="AB747" s="72"/>
      <x:c r="AC747" s="72"/>
      <x:c r="AD747" s="72"/>
      <x:c r="AE747" s="72"/>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4"/>
      <x:c r="DQ747" s="4"/>
      <x:c r="DR747" s="4"/>
      <x:c r="DS747" s="4"/>
      <x:c r="DT747" s="4"/>
      <x:c r="DU747" s="4"/>
      <x:c r="DV747" s="4"/>
      <x:c r="DW747" s="4"/>
      <x:c r="DX747" s="4"/>
      <x:c r="DY747" s="4"/>
      <x:c r="DZ747" s="4"/>
      <x:c r="EA747" s="4"/>
      <x:c r="EB747" s="4"/>
      <x:c r="EC747" s="4"/>
      <x:c r="ED747" s="4"/>
      <x:c r="EE747" s="4"/>
      <x:c r="EF747" s="4"/>
      <x:c r="EG747" s="4"/>
      <x:c r="EH747" s="4"/>
      <x:c r="EI747" s="4"/>
      <x:c r="EJ747" s="4"/>
      <x:c r="EK747" s="4"/>
      <x:c r="EL747" s="4"/>
      <x:c r="EM747" s="4"/>
      <x:c r="EN747" s="4"/>
      <x:c r="EO747" s="4"/>
      <x:c r="EP747" s="4"/>
      <x:c r="EQ747" s="4"/>
      <x:c r="ER747" s="4"/>
      <x:c r="ES747" s="4"/>
      <x:c r="ET747" s="4"/>
      <x:c r="EU747" s="4"/>
      <x:c r="EV747" s="4"/>
      <x:c r="EW747" s="4"/>
      <x:c r="EX747" s="4"/>
      <x:c r="EY747" s="4"/>
      <x:c r="EZ747" s="4"/>
      <x:c r="FA747" s="4"/>
      <x:c r="FB747" s="4"/>
      <x:c r="FC747" s="4"/>
      <x:c r="FD747" s="4"/>
      <x:c r="FE747" s="4"/>
      <x:c r="FF747" s="4"/>
      <x:c r="FG747" s="4"/>
      <x:c r="FH747" s="4"/>
      <x:c r="FI747" s="4"/>
      <x:c r="FJ747" s="4"/>
      <x:c r="FK747" s="4"/>
      <x:c r="FL747" s="4"/>
      <x:c r="FM747" s="4"/>
      <x:c r="FN747" s="4"/>
      <x:c r="FO747" s="4"/>
    </x:row>
    <x:row r="748">
      <x:c r="A748" s="72"/>
      <x:c r="B748" s="72"/>
      <x:c r="C748" s="72"/>
      <x:c r="D748" s="72"/>
      <x:c r="E748" s="72"/>
      <x:c r="F748" s="72"/>
      <x:c r="G748" s="72"/>
      <x:c r="H748" s="72"/>
      <x:c r="I748" s="72"/>
      <x:c r="J748" s="72"/>
      <x:c r="K748" s="72"/>
      <x:c r="L748" s="72"/>
      <x:c r="M748" s="72"/>
      <x:c r="N748" s="72"/>
      <x:c r="O748" s="72"/>
      <x:c r="P748" s="72"/>
      <x:c r="Q748" s="72"/>
      <x:c r="R748" s="72"/>
      <x:c r="S748" s="72"/>
      <x:c r="T748" s="72"/>
      <x:c r="U748" s="72"/>
      <x:c r="V748" s="72"/>
      <x:c r="W748" s="72"/>
      <x:c r="X748" s="72"/>
      <x:c r="Y748" s="72"/>
      <x:c r="Z748" s="72"/>
      <x:c r="AA748" s="72"/>
      <x:c r="AB748" s="72"/>
      <x:c r="AC748" s="72"/>
      <x:c r="AD748" s="72"/>
      <x:c r="AE748" s="72"/>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4"/>
      <x:c r="DQ748" s="4"/>
      <x:c r="DR748" s="4"/>
      <x:c r="DS748" s="4"/>
      <x:c r="DT748" s="4"/>
      <x:c r="DU748" s="4"/>
      <x:c r="DV748" s="4"/>
      <x:c r="DW748" s="4"/>
      <x:c r="DX748" s="4"/>
      <x:c r="DY748" s="4"/>
      <x:c r="DZ748" s="4"/>
      <x:c r="EA748" s="4"/>
      <x:c r="EB748" s="4"/>
      <x:c r="EC748" s="4"/>
      <x:c r="ED748" s="4"/>
      <x:c r="EE748" s="4"/>
      <x:c r="EF748" s="4"/>
      <x:c r="EG748" s="4"/>
      <x:c r="EH748" s="4"/>
      <x:c r="EI748" s="4"/>
      <x:c r="EJ748" s="4"/>
      <x:c r="EK748" s="4"/>
      <x:c r="EL748" s="4"/>
      <x:c r="EM748" s="4"/>
      <x:c r="EN748" s="4"/>
      <x:c r="EO748" s="4"/>
      <x:c r="EP748" s="4"/>
      <x:c r="EQ748" s="4"/>
      <x:c r="ER748" s="4"/>
      <x:c r="ES748" s="4"/>
      <x:c r="ET748" s="4"/>
      <x:c r="EU748" s="4"/>
      <x:c r="EV748" s="4"/>
      <x:c r="EW748" s="4"/>
      <x:c r="EX748" s="4"/>
      <x:c r="EY748" s="4"/>
      <x:c r="EZ748" s="4"/>
      <x:c r="FA748" s="4"/>
      <x:c r="FB748" s="4"/>
      <x:c r="FC748" s="4"/>
      <x:c r="FD748" s="4"/>
      <x:c r="FE748" s="4"/>
      <x:c r="FF748" s="4"/>
      <x:c r="FG748" s="4"/>
      <x:c r="FH748" s="4"/>
      <x:c r="FI748" s="4"/>
      <x:c r="FJ748" s="4"/>
      <x:c r="FK748" s="4"/>
      <x:c r="FL748" s="4"/>
      <x:c r="FM748" s="4"/>
      <x:c r="FN748" s="4"/>
      <x:c r="FO748" s="4"/>
    </x:row>
    <x:row r="749">
      <x:c r="A749" s="72"/>
      <x:c r="B749" s="72"/>
      <x:c r="C749" s="72"/>
      <x:c r="D749" s="72"/>
      <x:c r="E749" s="72"/>
      <x:c r="F749" s="72"/>
      <x:c r="G749" s="72"/>
      <x:c r="H749" s="72"/>
      <x:c r="I749" s="72"/>
      <x:c r="J749" s="72"/>
      <x:c r="K749" s="72"/>
      <x:c r="L749" s="72"/>
      <x:c r="M749" s="72"/>
      <x:c r="N749" s="72"/>
      <x:c r="O749" s="72"/>
      <x:c r="P749" s="72"/>
      <x:c r="Q749" s="72"/>
      <x:c r="R749" s="72"/>
      <x:c r="S749" s="72"/>
      <x:c r="T749" s="72"/>
      <x:c r="U749" s="72"/>
      <x:c r="V749" s="72"/>
      <x:c r="W749" s="72"/>
      <x:c r="X749" s="72"/>
      <x:c r="Y749" s="72"/>
      <x:c r="Z749" s="72"/>
      <x:c r="AA749" s="72"/>
      <x:c r="AB749" s="72"/>
      <x:c r="AC749" s="72"/>
      <x:c r="AD749" s="72"/>
      <x:c r="AE749" s="72"/>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4"/>
      <x:c r="DQ749" s="4"/>
      <x:c r="DR749" s="4"/>
      <x:c r="DS749" s="4"/>
      <x:c r="DT749" s="4"/>
      <x:c r="DU749" s="4"/>
      <x:c r="DV749" s="4"/>
      <x:c r="DW749" s="4"/>
      <x:c r="DX749" s="4"/>
      <x:c r="DY749" s="4"/>
      <x:c r="DZ749" s="4"/>
      <x:c r="EA749" s="4"/>
      <x:c r="EB749" s="4"/>
      <x:c r="EC749" s="4"/>
      <x:c r="ED749" s="4"/>
      <x:c r="EE749" s="4"/>
      <x:c r="EF749" s="4"/>
      <x:c r="EG749" s="4"/>
      <x:c r="EH749" s="4"/>
      <x:c r="EI749" s="4"/>
      <x:c r="EJ749" s="4"/>
      <x:c r="EK749" s="4"/>
      <x:c r="EL749" s="4"/>
      <x:c r="EM749" s="4"/>
      <x:c r="EN749" s="4"/>
      <x:c r="EO749" s="4"/>
      <x:c r="EP749" s="4"/>
      <x:c r="EQ749" s="4"/>
      <x:c r="ER749" s="4"/>
      <x:c r="ES749" s="4"/>
      <x:c r="ET749" s="4"/>
      <x:c r="EU749" s="4"/>
      <x:c r="EV749" s="4"/>
      <x:c r="EW749" s="4"/>
      <x:c r="EX749" s="4"/>
      <x:c r="EY749" s="4"/>
      <x:c r="EZ749" s="4"/>
      <x:c r="FA749" s="4"/>
      <x:c r="FB749" s="4"/>
      <x:c r="FC749" s="4"/>
      <x:c r="FD749" s="4"/>
      <x:c r="FE749" s="4"/>
      <x:c r="FF749" s="4"/>
      <x:c r="FG749" s="4"/>
      <x:c r="FH749" s="4"/>
      <x:c r="FI749" s="4"/>
      <x:c r="FJ749" s="4"/>
      <x:c r="FK749" s="4"/>
      <x:c r="FL749" s="4"/>
      <x:c r="FM749" s="4"/>
      <x:c r="FN749" s="4"/>
      <x:c r="FO749" s="4"/>
    </x:row>
    <x:row r="750">
      <x:c r="A750" s="72"/>
      <x:c r="B750" s="72"/>
      <x:c r="C750" s="72"/>
      <x:c r="D750" s="72"/>
      <x:c r="E750" s="72"/>
      <x:c r="F750" s="72"/>
      <x:c r="G750" s="72"/>
      <x:c r="H750" s="72"/>
      <x:c r="I750" s="72"/>
      <x:c r="J750" s="72"/>
      <x:c r="K750" s="72"/>
      <x:c r="L750" s="72"/>
      <x:c r="M750" s="72"/>
      <x:c r="N750" s="72"/>
      <x:c r="O750" s="72"/>
      <x:c r="P750" s="72"/>
      <x:c r="Q750" s="72"/>
      <x:c r="R750" s="72"/>
      <x:c r="S750" s="72"/>
      <x:c r="T750" s="72"/>
      <x:c r="U750" s="72"/>
      <x:c r="V750" s="72"/>
      <x:c r="W750" s="72"/>
      <x:c r="X750" s="72"/>
      <x:c r="Y750" s="72"/>
      <x:c r="Z750" s="72"/>
      <x:c r="AA750" s="72"/>
      <x:c r="AB750" s="72"/>
      <x:c r="AC750" s="72"/>
      <x:c r="AD750" s="72"/>
      <x:c r="AE750" s="72"/>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4"/>
      <x:c r="DQ750" s="4"/>
      <x:c r="DR750" s="4"/>
      <x:c r="DS750" s="4"/>
      <x:c r="DT750" s="4"/>
      <x:c r="DU750" s="4"/>
      <x:c r="DV750" s="4"/>
      <x:c r="DW750" s="4"/>
      <x:c r="DX750" s="4"/>
      <x:c r="DY750" s="4"/>
      <x:c r="DZ750" s="4"/>
      <x:c r="EA750" s="4"/>
      <x:c r="EB750" s="4"/>
      <x:c r="EC750" s="4"/>
      <x:c r="ED750" s="4"/>
      <x:c r="EE750" s="4"/>
      <x:c r="EF750" s="4"/>
      <x:c r="EG750" s="4"/>
      <x:c r="EH750" s="4"/>
      <x:c r="EI750" s="4"/>
      <x:c r="EJ750" s="4"/>
      <x:c r="EK750" s="4"/>
      <x:c r="EL750" s="4"/>
      <x:c r="EM750" s="4"/>
      <x:c r="EN750" s="4"/>
      <x:c r="EO750" s="4"/>
      <x:c r="EP750" s="4"/>
      <x:c r="EQ750" s="4"/>
      <x:c r="ER750" s="4"/>
      <x:c r="ES750" s="4"/>
      <x:c r="ET750" s="4"/>
      <x:c r="EU750" s="4"/>
      <x:c r="EV750" s="4"/>
      <x:c r="EW750" s="4"/>
      <x:c r="EX750" s="4"/>
      <x:c r="EY750" s="4"/>
      <x:c r="EZ750" s="4"/>
      <x:c r="FA750" s="4"/>
      <x:c r="FB750" s="4"/>
      <x:c r="FC750" s="4"/>
      <x:c r="FD750" s="4"/>
      <x:c r="FE750" s="4"/>
      <x:c r="FF750" s="4"/>
      <x:c r="FG750" s="4"/>
      <x:c r="FH750" s="4"/>
      <x:c r="FI750" s="4"/>
      <x:c r="FJ750" s="4"/>
      <x:c r="FK750" s="4"/>
      <x:c r="FL750" s="4"/>
      <x:c r="FM750" s="4"/>
      <x:c r="FN750" s="4"/>
      <x:c r="FO750" s="4"/>
    </x:row>
    <x:row r="751">
      <x:c r="A751" s="72"/>
      <x:c r="B751" s="72"/>
      <x:c r="C751" s="72"/>
      <x:c r="D751" s="72"/>
      <x:c r="E751" s="72"/>
      <x:c r="F751" s="72"/>
      <x:c r="G751" s="72"/>
      <x:c r="H751" s="72"/>
      <x:c r="I751" s="72"/>
      <x:c r="J751" s="72"/>
      <x:c r="K751" s="72"/>
      <x:c r="L751" s="72"/>
      <x:c r="M751" s="72"/>
      <x:c r="N751" s="72"/>
      <x:c r="O751" s="72"/>
      <x:c r="P751" s="72"/>
      <x:c r="Q751" s="72"/>
      <x:c r="R751" s="72"/>
      <x:c r="S751" s="72"/>
      <x:c r="T751" s="72"/>
      <x:c r="U751" s="72"/>
      <x:c r="V751" s="72"/>
      <x:c r="W751" s="72"/>
      <x:c r="X751" s="72"/>
      <x:c r="Y751" s="72"/>
      <x:c r="Z751" s="72"/>
      <x:c r="AA751" s="72"/>
      <x:c r="AB751" s="72"/>
      <x:c r="AC751" s="72"/>
      <x:c r="AD751" s="72"/>
      <x:c r="AE751" s="72"/>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4"/>
      <x:c r="DQ751" s="4"/>
      <x:c r="DR751" s="4"/>
      <x:c r="DS751" s="4"/>
      <x:c r="DT751" s="4"/>
      <x:c r="DU751" s="4"/>
      <x:c r="DV751" s="4"/>
      <x:c r="DW751" s="4"/>
      <x:c r="DX751" s="4"/>
      <x:c r="DY751" s="4"/>
      <x:c r="DZ751" s="4"/>
      <x:c r="EA751" s="4"/>
      <x:c r="EB751" s="4"/>
      <x:c r="EC751" s="4"/>
      <x:c r="ED751" s="4"/>
      <x:c r="EE751" s="4"/>
      <x:c r="EF751" s="4"/>
      <x:c r="EG751" s="4"/>
      <x:c r="EH751" s="4"/>
      <x:c r="EI751" s="4"/>
      <x:c r="EJ751" s="4"/>
      <x:c r="EK751" s="4"/>
      <x:c r="EL751" s="4"/>
      <x:c r="EM751" s="4"/>
      <x:c r="EN751" s="4"/>
      <x:c r="EO751" s="4"/>
      <x:c r="EP751" s="4"/>
      <x:c r="EQ751" s="4"/>
      <x:c r="ER751" s="4"/>
      <x:c r="ES751" s="4"/>
      <x:c r="ET751" s="4"/>
      <x:c r="EU751" s="4"/>
      <x:c r="EV751" s="4"/>
      <x:c r="EW751" s="4"/>
      <x:c r="EX751" s="4"/>
      <x:c r="EY751" s="4"/>
      <x:c r="EZ751" s="4"/>
      <x:c r="FA751" s="4"/>
      <x:c r="FB751" s="4"/>
      <x:c r="FC751" s="4"/>
      <x:c r="FD751" s="4"/>
      <x:c r="FE751" s="4"/>
      <x:c r="FF751" s="4"/>
      <x:c r="FG751" s="4"/>
      <x:c r="FH751" s="4"/>
      <x:c r="FI751" s="4"/>
      <x:c r="FJ751" s="4"/>
      <x:c r="FK751" s="4"/>
      <x:c r="FL751" s="4"/>
      <x:c r="FM751" s="4"/>
      <x:c r="FN751" s="4"/>
      <x:c r="FO751" s="4"/>
    </x:row>
    <x:row r="752">
      <x:c r="A752" s="72"/>
      <x:c r="B752" s="72"/>
      <x:c r="C752" s="72"/>
      <x:c r="D752" s="72"/>
      <x:c r="E752" s="72"/>
      <x:c r="F752" s="72"/>
      <x:c r="G752" s="72"/>
      <x:c r="H752" s="72"/>
      <x:c r="I752" s="72"/>
      <x:c r="J752" s="72"/>
      <x:c r="K752" s="72"/>
      <x:c r="L752" s="72"/>
      <x:c r="M752" s="72"/>
      <x:c r="N752" s="72"/>
      <x:c r="O752" s="72"/>
      <x:c r="P752" s="72"/>
      <x:c r="Q752" s="72"/>
      <x:c r="R752" s="72"/>
      <x:c r="S752" s="72"/>
      <x:c r="T752" s="72"/>
      <x:c r="U752" s="72"/>
      <x:c r="V752" s="72"/>
      <x:c r="W752" s="72"/>
      <x:c r="X752" s="72"/>
      <x:c r="Y752" s="72"/>
      <x:c r="Z752" s="72"/>
      <x:c r="AA752" s="72"/>
      <x:c r="AB752" s="72"/>
      <x:c r="AC752" s="72"/>
      <x:c r="AD752" s="72"/>
      <x:c r="AE752" s="72"/>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4"/>
      <x:c r="DQ752" s="4"/>
      <x:c r="DR752" s="4"/>
      <x:c r="DS752" s="4"/>
      <x:c r="DT752" s="4"/>
      <x:c r="DU752" s="4"/>
      <x:c r="DV752" s="4"/>
      <x:c r="DW752" s="4"/>
      <x:c r="DX752" s="4"/>
      <x:c r="DY752" s="4"/>
      <x:c r="DZ752" s="4"/>
      <x:c r="EA752" s="4"/>
      <x:c r="EB752" s="4"/>
      <x:c r="EC752" s="4"/>
      <x:c r="ED752" s="4"/>
      <x:c r="EE752" s="4"/>
      <x:c r="EF752" s="4"/>
      <x:c r="EG752" s="4"/>
      <x:c r="EH752" s="4"/>
      <x:c r="EI752" s="4"/>
      <x:c r="EJ752" s="4"/>
      <x:c r="EK752" s="4"/>
      <x:c r="EL752" s="4"/>
      <x:c r="EM752" s="4"/>
      <x:c r="EN752" s="4"/>
      <x:c r="EO752" s="4"/>
      <x:c r="EP752" s="4"/>
      <x:c r="EQ752" s="4"/>
      <x:c r="ER752" s="4"/>
      <x:c r="ES752" s="4"/>
      <x:c r="ET752" s="4"/>
      <x:c r="EU752" s="4"/>
      <x:c r="EV752" s="4"/>
      <x:c r="EW752" s="4"/>
      <x:c r="EX752" s="4"/>
      <x:c r="EY752" s="4"/>
      <x:c r="EZ752" s="4"/>
      <x:c r="FA752" s="4"/>
      <x:c r="FB752" s="4"/>
      <x:c r="FC752" s="4"/>
      <x:c r="FD752" s="4"/>
      <x:c r="FE752" s="4"/>
      <x:c r="FF752" s="4"/>
      <x:c r="FG752" s="4"/>
      <x:c r="FH752" s="4"/>
      <x:c r="FI752" s="4"/>
      <x:c r="FJ752" s="4"/>
      <x:c r="FK752" s="4"/>
      <x:c r="FL752" s="4"/>
      <x:c r="FM752" s="4"/>
      <x:c r="FN752" s="4"/>
      <x:c r="FO752" s="4"/>
    </x:row>
    <x:row r="753">
      <x:c r="A753" s="72"/>
      <x:c r="B753" s="72"/>
      <x:c r="C753" s="72"/>
      <x:c r="D753" s="72"/>
      <x:c r="E753" s="72"/>
      <x:c r="F753" s="72"/>
      <x:c r="G753" s="72"/>
      <x:c r="H753" s="72"/>
      <x:c r="I753" s="72"/>
      <x:c r="J753" s="72"/>
      <x:c r="K753" s="72"/>
      <x:c r="L753" s="72"/>
      <x:c r="M753" s="72"/>
      <x:c r="N753" s="72"/>
      <x:c r="O753" s="72"/>
      <x:c r="P753" s="72"/>
      <x:c r="Q753" s="72"/>
      <x:c r="R753" s="72"/>
      <x:c r="S753" s="72"/>
      <x:c r="T753" s="72"/>
      <x:c r="U753" s="72"/>
      <x:c r="V753" s="72"/>
      <x:c r="W753" s="72"/>
      <x:c r="X753" s="72"/>
      <x:c r="Y753" s="72"/>
      <x:c r="Z753" s="72"/>
      <x:c r="AA753" s="72"/>
      <x:c r="AB753" s="72"/>
      <x:c r="AC753" s="72"/>
      <x:c r="AD753" s="72"/>
      <x:c r="AE753" s="72"/>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4"/>
      <x:c r="DQ753" s="4"/>
      <x:c r="DR753" s="4"/>
      <x:c r="DS753" s="4"/>
      <x:c r="DT753" s="4"/>
      <x:c r="DU753" s="4"/>
      <x:c r="DV753" s="4"/>
      <x:c r="DW753" s="4"/>
      <x:c r="DX753" s="4"/>
      <x:c r="DY753" s="4"/>
      <x:c r="DZ753" s="4"/>
      <x:c r="EA753" s="4"/>
      <x:c r="EB753" s="4"/>
      <x:c r="EC753" s="4"/>
      <x:c r="ED753" s="4"/>
      <x:c r="EE753" s="4"/>
      <x:c r="EF753" s="4"/>
      <x:c r="EG753" s="4"/>
      <x:c r="EH753" s="4"/>
      <x:c r="EI753" s="4"/>
      <x:c r="EJ753" s="4"/>
      <x:c r="EK753" s="4"/>
      <x:c r="EL753" s="4"/>
      <x:c r="EM753" s="4"/>
      <x:c r="EN753" s="4"/>
      <x:c r="EO753" s="4"/>
      <x:c r="EP753" s="4"/>
      <x:c r="EQ753" s="4"/>
      <x:c r="ER753" s="4"/>
      <x:c r="ES753" s="4"/>
      <x:c r="ET753" s="4"/>
      <x:c r="EU753" s="4"/>
      <x:c r="EV753" s="4"/>
      <x:c r="EW753" s="4"/>
      <x:c r="EX753" s="4"/>
      <x:c r="EY753" s="4"/>
      <x:c r="EZ753" s="4"/>
      <x:c r="FA753" s="4"/>
      <x:c r="FB753" s="4"/>
      <x:c r="FC753" s="4"/>
      <x:c r="FD753" s="4"/>
      <x:c r="FE753" s="4"/>
      <x:c r="FF753" s="4"/>
      <x:c r="FG753" s="4"/>
      <x:c r="FH753" s="4"/>
      <x:c r="FI753" s="4"/>
      <x:c r="FJ753" s="4"/>
      <x:c r="FK753" s="4"/>
      <x:c r="FL753" s="4"/>
      <x:c r="FM753" s="4"/>
      <x:c r="FN753" s="4"/>
      <x:c r="FO753" s="4"/>
    </x:row>
    <x:row r="754">
      <x:c r="A754" s="72"/>
      <x:c r="B754" s="72"/>
      <x:c r="C754" s="72"/>
      <x:c r="D754" s="72"/>
      <x:c r="E754" s="72"/>
      <x:c r="F754" s="72"/>
      <x:c r="G754" s="72"/>
      <x:c r="H754" s="72"/>
      <x:c r="I754" s="72"/>
      <x:c r="J754" s="72"/>
      <x:c r="K754" s="72"/>
      <x:c r="L754" s="72"/>
      <x:c r="M754" s="72"/>
      <x:c r="N754" s="72"/>
      <x:c r="O754" s="72"/>
      <x:c r="P754" s="72"/>
      <x:c r="Q754" s="72"/>
      <x:c r="R754" s="72"/>
      <x:c r="S754" s="72"/>
      <x:c r="T754" s="72"/>
      <x:c r="U754" s="72"/>
      <x:c r="V754" s="72"/>
      <x:c r="W754" s="72"/>
      <x:c r="X754" s="72"/>
      <x:c r="Y754" s="72"/>
      <x:c r="Z754" s="72"/>
      <x:c r="AA754" s="72"/>
      <x:c r="AB754" s="72"/>
      <x:c r="AC754" s="72"/>
      <x:c r="AD754" s="72"/>
      <x:c r="AE754" s="72"/>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4"/>
      <x:c r="DQ754" s="4"/>
      <x:c r="DR754" s="4"/>
      <x:c r="DS754" s="4"/>
      <x:c r="DT754" s="4"/>
      <x:c r="DU754" s="4"/>
      <x:c r="DV754" s="4"/>
      <x:c r="DW754" s="4"/>
      <x:c r="DX754" s="4"/>
      <x:c r="DY754" s="4"/>
      <x:c r="DZ754" s="4"/>
      <x:c r="EA754" s="4"/>
      <x:c r="EB754" s="4"/>
      <x:c r="EC754" s="4"/>
      <x:c r="ED754" s="4"/>
      <x:c r="EE754" s="4"/>
      <x:c r="EF754" s="4"/>
      <x:c r="EG754" s="4"/>
      <x:c r="EH754" s="4"/>
      <x:c r="EI754" s="4"/>
      <x:c r="EJ754" s="4"/>
      <x:c r="EK754" s="4"/>
      <x:c r="EL754" s="4"/>
      <x:c r="EM754" s="4"/>
      <x:c r="EN754" s="4"/>
      <x:c r="EO754" s="4"/>
      <x:c r="EP754" s="4"/>
      <x:c r="EQ754" s="4"/>
      <x:c r="ER754" s="4"/>
      <x:c r="ES754" s="4"/>
      <x:c r="ET754" s="4"/>
      <x:c r="EU754" s="4"/>
      <x:c r="EV754" s="4"/>
      <x:c r="EW754" s="4"/>
      <x:c r="EX754" s="4"/>
      <x:c r="EY754" s="4"/>
      <x:c r="EZ754" s="4"/>
      <x:c r="FA754" s="4"/>
      <x:c r="FB754" s="4"/>
      <x:c r="FC754" s="4"/>
      <x:c r="FD754" s="4"/>
      <x:c r="FE754" s="4"/>
      <x:c r="FF754" s="4"/>
      <x:c r="FG754" s="4"/>
      <x:c r="FH754" s="4"/>
      <x:c r="FI754" s="4"/>
      <x:c r="FJ754" s="4"/>
      <x:c r="FK754" s="4"/>
      <x:c r="FL754" s="4"/>
      <x:c r="FM754" s="4"/>
      <x:c r="FN754" s="4"/>
      <x:c r="FO754" s="4"/>
    </x:row>
    <x:row r="755">
      <x:c r="A755" s="72"/>
      <x:c r="B755" s="72"/>
      <x:c r="C755" s="72"/>
      <x:c r="D755" s="72"/>
      <x:c r="E755" s="72"/>
      <x:c r="F755" s="72"/>
      <x:c r="G755" s="72"/>
      <x:c r="H755" s="72"/>
      <x:c r="I755" s="72"/>
      <x:c r="J755" s="72"/>
      <x:c r="K755" s="72"/>
      <x:c r="L755" s="72"/>
      <x:c r="M755" s="72"/>
      <x:c r="N755" s="72"/>
      <x:c r="O755" s="72"/>
      <x:c r="P755" s="72"/>
      <x:c r="Q755" s="72"/>
      <x:c r="R755" s="72"/>
      <x:c r="S755" s="72"/>
      <x:c r="T755" s="72"/>
      <x:c r="U755" s="72"/>
      <x:c r="V755" s="72"/>
      <x:c r="W755" s="72"/>
      <x:c r="X755" s="72"/>
      <x:c r="Y755" s="72"/>
      <x:c r="Z755" s="72"/>
      <x:c r="AA755" s="72"/>
      <x:c r="AB755" s="72"/>
      <x:c r="AC755" s="72"/>
      <x:c r="AD755" s="72"/>
      <x:c r="AE755" s="72"/>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4"/>
      <x:c r="DQ755" s="4"/>
      <x:c r="DR755" s="4"/>
      <x:c r="DS755" s="4"/>
      <x:c r="DT755" s="4"/>
      <x:c r="DU755" s="4"/>
      <x:c r="DV755" s="4"/>
      <x:c r="DW755" s="4"/>
      <x:c r="DX755" s="4"/>
      <x:c r="DY755" s="4"/>
      <x:c r="DZ755" s="4"/>
      <x:c r="EA755" s="4"/>
      <x:c r="EB755" s="4"/>
      <x:c r="EC755" s="4"/>
      <x:c r="ED755" s="4"/>
      <x:c r="EE755" s="4"/>
      <x:c r="EF755" s="4"/>
      <x:c r="EG755" s="4"/>
      <x:c r="EH755" s="4"/>
      <x:c r="EI755" s="4"/>
      <x:c r="EJ755" s="4"/>
      <x:c r="EK755" s="4"/>
      <x:c r="EL755" s="4"/>
      <x:c r="EM755" s="4"/>
      <x:c r="EN755" s="4"/>
      <x:c r="EO755" s="4"/>
      <x:c r="EP755" s="4"/>
      <x:c r="EQ755" s="4"/>
      <x:c r="ER755" s="4"/>
      <x:c r="ES755" s="4"/>
      <x:c r="ET755" s="4"/>
      <x:c r="EU755" s="4"/>
      <x:c r="EV755" s="4"/>
      <x:c r="EW755" s="4"/>
      <x:c r="EX755" s="4"/>
      <x:c r="EY755" s="4"/>
      <x:c r="EZ755" s="4"/>
      <x:c r="FA755" s="4"/>
      <x:c r="FB755" s="4"/>
      <x:c r="FC755" s="4"/>
      <x:c r="FD755" s="4"/>
      <x:c r="FE755" s="4"/>
      <x:c r="FF755" s="4"/>
      <x:c r="FG755" s="4"/>
      <x:c r="FH755" s="4"/>
      <x:c r="FI755" s="4"/>
      <x:c r="FJ755" s="4"/>
      <x:c r="FK755" s="4"/>
      <x:c r="FL755" s="4"/>
      <x:c r="FM755" s="4"/>
      <x:c r="FN755" s="4"/>
      <x:c r="FO755" s="4"/>
    </x:row>
    <x:row r="756">
      <x:c r="A756" s="72"/>
      <x:c r="B756" s="72"/>
      <x:c r="C756" s="72"/>
      <x:c r="D756" s="72"/>
      <x:c r="E756" s="72"/>
      <x:c r="F756" s="72"/>
      <x:c r="G756" s="72"/>
      <x:c r="H756" s="72"/>
      <x:c r="I756" s="72"/>
      <x:c r="J756" s="72"/>
      <x:c r="K756" s="72"/>
      <x:c r="L756" s="72"/>
      <x:c r="M756" s="72"/>
      <x:c r="N756" s="72"/>
      <x:c r="O756" s="72"/>
      <x:c r="P756" s="72"/>
      <x:c r="Q756" s="72"/>
      <x:c r="R756" s="72"/>
      <x:c r="S756" s="72"/>
      <x:c r="T756" s="72"/>
      <x:c r="U756" s="72"/>
      <x:c r="V756" s="72"/>
      <x:c r="W756" s="72"/>
      <x:c r="X756" s="72"/>
      <x:c r="Y756" s="72"/>
      <x:c r="Z756" s="72"/>
      <x:c r="AA756" s="72"/>
      <x:c r="AB756" s="72"/>
      <x:c r="AC756" s="72"/>
      <x:c r="AD756" s="72"/>
      <x:c r="AE756" s="72"/>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4"/>
      <x:c r="DQ756" s="4"/>
      <x:c r="DR756" s="4"/>
      <x:c r="DS756" s="4"/>
      <x:c r="DT756" s="4"/>
      <x:c r="DU756" s="4"/>
      <x:c r="DV756" s="4"/>
      <x:c r="DW756" s="4"/>
      <x:c r="DX756" s="4"/>
      <x:c r="DY756" s="4"/>
      <x:c r="DZ756" s="4"/>
      <x:c r="EA756" s="4"/>
      <x:c r="EB756" s="4"/>
      <x:c r="EC756" s="4"/>
      <x:c r="ED756" s="4"/>
      <x:c r="EE756" s="4"/>
      <x:c r="EF756" s="4"/>
      <x:c r="EG756" s="4"/>
      <x:c r="EH756" s="4"/>
      <x:c r="EI756" s="4"/>
      <x:c r="EJ756" s="4"/>
      <x:c r="EK756" s="4"/>
      <x:c r="EL756" s="4"/>
      <x:c r="EM756" s="4"/>
      <x:c r="EN756" s="4"/>
      <x:c r="EO756" s="4"/>
      <x:c r="EP756" s="4"/>
      <x:c r="EQ756" s="4"/>
      <x:c r="ER756" s="4"/>
      <x:c r="ES756" s="4"/>
      <x:c r="ET756" s="4"/>
      <x:c r="EU756" s="4"/>
      <x:c r="EV756" s="4"/>
      <x:c r="EW756" s="4"/>
      <x:c r="EX756" s="4"/>
      <x:c r="EY756" s="4"/>
      <x:c r="EZ756" s="4"/>
      <x:c r="FA756" s="4"/>
      <x:c r="FB756" s="4"/>
      <x:c r="FC756" s="4"/>
      <x:c r="FD756" s="4"/>
      <x:c r="FE756" s="4"/>
      <x:c r="FF756" s="4"/>
      <x:c r="FG756" s="4"/>
      <x:c r="FH756" s="4"/>
      <x:c r="FI756" s="4"/>
      <x:c r="FJ756" s="4"/>
      <x:c r="FK756" s="4"/>
      <x:c r="FL756" s="4"/>
      <x:c r="FM756" s="4"/>
      <x:c r="FN756" s="4"/>
      <x:c r="FO756" s="4"/>
    </x:row>
    <x:row r="757">
      <x:c r="A757" s="72"/>
      <x:c r="B757" s="72"/>
      <x:c r="C757" s="72"/>
      <x:c r="D757" s="72"/>
      <x:c r="E757" s="72"/>
      <x:c r="F757" s="72"/>
      <x:c r="G757" s="72"/>
      <x:c r="H757" s="72"/>
      <x:c r="I757" s="72"/>
      <x:c r="J757" s="72"/>
      <x:c r="K757" s="72"/>
      <x:c r="L757" s="72"/>
      <x:c r="M757" s="72"/>
      <x:c r="N757" s="72"/>
      <x:c r="O757" s="72"/>
      <x:c r="P757" s="72"/>
      <x:c r="Q757" s="72"/>
      <x:c r="R757" s="72"/>
      <x:c r="S757" s="72"/>
      <x:c r="T757" s="72"/>
      <x:c r="U757" s="72"/>
      <x:c r="V757" s="72"/>
      <x:c r="W757" s="72"/>
      <x:c r="X757" s="72"/>
      <x:c r="Y757" s="72"/>
      <x:c r="Z757" s="72"/>
      <x:c r="AA757" s="72"/>
      <x:c r="AB757" s="72"/>
      <x:c r="AC757" s="72"/>
      <x:c r="AD757" s="72"/>
      <x:c r="AE757" s="72"/>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4"/>
      <x:c r="DQ757" s="4"/>
      <x:c r="DR757" s="4"/>
      <x:c r="DS757" s="4"/>
      <x:c r="DT757" s="4"/>
      <x:c r="DU757" s="4"/>
      <x:c r="DV757" s="4"/>
      <x:c r="DW757" s="4"/>
      <x:c r="DX757" s="4"/>
      <x:c r="DY757" s="4"/>
      <x:c r="DZ757" s="4"/>
      <x:c r="EA757" s="4"/>
      <x:c r="EB757" s="4"/>
      <x:c r="EC757" s="4"/>
      <x:c r="ED757" s="4"/>
      <x:c r="EE757" s="4"/>
      <x:c r="EF757" s="4"/>
      <x:c r="EG757" s="4"/>
      <x:c r="EH757" s="4"/>
      <x:c r="EI757" s="4"/>
      <x:c r="EJ757" s="4"/>
      <x:c r="EK757" s="4"/>
      <x:c r="EL757" s="4"/>
      <x:c r="EM757" s="4"/>
      <x:c r="EN757" s="4"/>
      <x:c r="EO757" s="4"/>
      <x:c r="EP757" s="4"/>
      <x:c r="EQ757" s="4"/>
      <x:c r="ER757" s="4"/>
      <x:c r="ES757" s="4"/>
      <x:c r="ET757" s="4"/>
      <x:c r="EU757" s="4"/>
      <x:c r="EV757" s="4"/>
      <x:c r="EW757" s="4"/>
      <x:c r="EX757" s="4"/>
      <x:c r="EY757" s="4"/>
      <x:c r="EZ757" s="4"/>
      <x:c r="FA757" s="4"/>
      <x:c r="FB757" s="4"/>
      <x:c r="FC757" s="4"/>
      <x:c r="FD757" s="4"/>
      <x:c r="FE757" s="4"/>
      <x:c r="FF757" s="4"/>
      <x:c r="FG757" s="4"/>
      <x:c r="FH757" s="4"/>
      <x:c r="FI757" s="4"/>
      <x:c r="FJ757" s="4"/>
      <x:c r="FK757" s="4"/>
      <x:c r="FL757" s="4"/>
      <x:c r="FM757" s="4"/>
      <x:c r="FN757" s="4"/>
      <x:c r="FO757" s="4"/>
    </x:row>
    <x:row r="758">
      <x:c r="A758" s="72"/>
      <x:c r="B758" s="72"/>
      <x:c r="C758" s="72"/>
      <x:c r="D758" s="72"/>
      <x:c r="E758" s="72"/>
      <x:c r="F758" s="72"/>
      <x:c r="G758" s="72"/>
      <x:c r="H758" s="72"/>
      <x:c r="I758" s="72"/>
      <x:c r="J758" s="72"/>
      <x:c r="K758" s="72"/>
      <x:c r="L758" s="72"/>
      <x:c r="M758" s="72"/>
      <x:c r="N758" s="72"/>
      <x:c r="O758" s="72"/>
      <x:c r="P758" s="72"/>
      <x:c r="Q758" s="72"/>
      <x:c r="R758" s="72"/>
      <x:c r="S758" s="72"/>
      <x:c r="T758" s="72"/>
      <x:c r="U758" s="72"/>
      <x:c r="V758" s="72"/>
      <x:c r="W758" s="72"/>
      <x:c r="X758" s="72"/>
      <x:c r="Y758" s="72"/>
      <x:c r="Z758" s="72"/>
      <x:c r="AA758" s="72"/>
      <x:c r="AB758" s="72"/>
      <x:c r="AC758" s="72"/>
      <x:c r="AD758" s="72"/>
      <x:c r="AE758" s="72"/>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4"/>
      <x:c r="DQ758" s="4"/>
      <x:c r="DR758" s="4"/>
      <x:c r="DS758" s="4"/>
      <x:c r="DT758" s="4"/>
      <x:c r="DU758" s="4"/>
      <x:c r="DV758" s="4"/>
      <x:c r="DW758" s="4"/>
      <x:c r="DX758" s="4"/>
      <x:c r="DY758" s="4"/>
      <x:c r="DZ758" s="4"/>
      <x:c r="EA758" s="4"/>
      <x:c r="EB758" s="4"/>
      <x:c r="EC758" s="4"/>
      <x:c r="ED758" s="4"/>
      <x:c r="EE758" s="4"/>
      <x:c r="EF758" s="4"/>
      <x:c r="EG758" s="4"/>
      <x:c r="EH758" s="4"/>
      <x:c r="EI758" s="4"/>
      <x:c r="EJ758" s="4"/>
      <x:c r="EK758" s="4"/>
      <x:c r="EL758" s="4"/>
      <x:c r="EM758" s="4"/>
      <x:c r="EN758" s="4"/>
      <x:c r="EO758" s="4"/>
      <x:c r="EP758" s="4"/>
      <x:c r="EQ758" s="4"/>
      <x:c r="ER758" s="4"/>
      <x:c r="ES758" s="4"/>
      <x:c r="ET758" s="4"/>
      <x:c r="EU758" s="4"/>
      <x:c r="EV758" s="4"/>
      <x:c r="EW758" s="4"/>
      <x:c r="EX758" s="4"/>
      <x:c r="EY758" s="4"/>
      <x:c r="EZ758" s="4"/>
      <x:c r="FA758" s="4"/>
      <x:c r="FB758" s="4"/>
      <x:c r="FC758" s="4"/>
      <x:c r="FD758" s="4"/>
      <x:c r="FE758" s="4"/>
      <x:c r="FF758" s="4"/>
      <x:c r="FG758" s="4"/>
      <x:c r="FH758" s="4"/>
      <x:c r="FI758" s="4"/>
      <x:c r="FJ758" s="4"/>
      <x:c r="FK758" s="4"/>
      <x:c r="FL758" s="4"/>
      <x:c r="FM758" s="4"/>
      <x:c r="FN758" s="4"/>
      <x:c r="FO758" s="4"/>
    </x:row>
    <x:row r="759">
      <x:c r="A759" s="72"/>
      <x:c r="B759" s="72"/>
      <x:c r="C759" s="72"/>
      <x:c r="D759" s="72"/>
      <x:c r="E759" s="72"/>
      <x:c r="F759" s="72"/>
      <x:c r="G759" s="72"/>
      <x:c r="H759" s="72"/>
      <x:c r="I759" s="72"/>
      <x:c r="J759" s="72"/>
      <x:c r="K759" s="72"/>
      <x:c r="L759" s="72"/>
      <x:c r="M759" s="72"/>
      <x:c r="N759" s="72"/>
      <x:c r="O759" s="72"/>
      <x:c r="P759" s="72"/>
      <x:c r="Q759" s="72"/>
      <x:c r="R759" s="72"/>
      <x:c r="S759" s="72"/>
      <x:c r="T759" s="72"/>
      <x:c r="U759" s="72"/>
      <x:c r="V759" s="72"/>
      <x:c r="W759" s="72"/>
      <x:c r="X759" s="72"/>
      <x:c r="Y759" s="72"/>
      <x:c r="Z759" s="72"/>
      <x:c r="AA759" s="72"/>
      <x:c r="AB759" s="72"/>
      <x:c r="AC759" s="72"/>
      <x:c r="AD759" s="72"/>
      <x:c r="AE759" s="72"/>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4"/>
      <x:c r="DQ759" s="4"/>
      <x:c r="DR759" s="4"/>
      <x:c r="DS759" s="4"/>
      <x:c r="DT759" s="4"/>
      <x:c r="DU759" s="4"/>
      <x:c r="DV759" s="4"/>
      <x:c r="DW759" s="4"/>
      <x:c r="DX759" s="4"/>
      <x:c r="DY759" s="4"/>
      <x:c r="DZ759" s="4"/>
      <x:c r="EA759" s="4"/>
      <x:c r="EB759" s="4"/>
      <x:c r="EC759" s="4"/>
      <x:c r="ED759" s="4"/>
      <x:c r="EE759" s="4"/>
      <x:c r="EF759" s="4"/>
      <x:c r="EG759" s="4"/>
      <x:c r="EH759" s="4"/>
      <x:c r="EI759" s="4"/>
      <x:c r="EJ759" s="4"/>
      <x:c r="EK759" s="4"/>
      <x:c r="EL759" s="4"/>
      <x:c r="EM759" s="4"/>
      <x:c r="EN759" s="4"/>
      <x:c r="EO759" s="4"/>
      <x:c r="EP759" s="4"/>
      <x:c r="EQ759" s="4"/>
      <x:c r="ER759" s="4"/>
      <x:c r="ES759" s="4"/>
      <x:c r="ET759" s="4"/>
      <x:c r="EU759" s="4"/>
      <x:c r="EV759" s="4"/>
      <x:c r="EW759" s="4"/>
      <x:c r="EX759" s="4"/>
      <x:c r="EY759" s="4"/>
      <x:c r="EZ759" s="4"/>
      <x:c r="FA759" s="4"/>
      <x:c r="FB759" s="4"/>
      <x:c r="FC759" s="4"/>
      <x:c r="FD759" s="4"/>
      <x:c r="FE759" s="4"/>
      <x:c r="FF759" s="4"/>
      <x:c r="FG759" s="4"/>
      <x:c r="FH759" s="4"/>
      <x:c r="FI759" s="4"/>
      <x:c r="FJ759" s="4"/>
      <x:c r="FK759" s="4"/>
      <x:c r="FL759" s="4"/>
      <x:c r="FM759" s="4"/>
      <x:c r="FN759" s="4"/>
      <x:c r="FO759" s="4"/>
    </x:row>
    <x:row r="760">
      <x:c r="A760" s="72"/>
      <x:c r="B760" s="72"/>
      <x:c r="C760" s="72"/>
      <x:c r="D760" s="72"/>
      <x:c r="E760" s="72"/>
      <x:c r="F760" s="72"/>
      <x:c r="G760" s="72"/>
      <x:c r="H760" s="72"/>
      <x:c r="I760" s="72"/>
      <x:c r="J760" s="72"/>
      <x:c r="K760" s="72"/>
      <x:c r="L760" s="72"/>
      <x:c r="M760" s="72"/>
      <x:c r="N760" s="72"/>
      <x:c r="O760" s="72"/>
      <x:c r="P760" s="72"/>
      <x:c r="Q760" s="72"/>
      <x:c r="R760" s="72"/>
      <x:c r="S760" s="72"/>
      <x:c r="T760" s="72"/>
      <x:c r="U760" s="72"/>
      <x:c r="V760" s="72"/>
      <x:c r="W760" s="72"/>
      <x:c r="X760" s="72"/>
      <x:c r="Y760" s="72"/>
      <x:c r="Z760" s="72"/>
      <x:c r="AA760" s="72"/>
      <x:c r="AB760" s="72"/>
      <x:c r="AC760" s="72"/>
      <x:c r="AD760" s="72"/>
      <x:c r="AE760" s="72"/>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4"/>
      <x:c r="DQ760" s="4"/>
      <x:c r="DR760" s="4"/>
      <x:c r="DS760" s="4"/>
      <x:c r="DT760" s="4"/>
      <x:c r="DU760" s="4"/>
      <x:c r="DV760" s="4"/>
      <x:c r="DW760" s="4"/>
      <x:c r="DX760" s="4"/>
      <x:c r="DY760" s="4"/>
      <x:c r="DZ760" s="4"/>
      <x:c r="EA760" s="4"/>
      <x:c r="EB760" s="4"/>
      <x:c r="EC760" s="4"/>
      <x:c r="ED760" s="4"/>
      <x:c r="EE760" s="4"/>
      <x:c r="EF760" s="4"/>
      <x:c r="EG760" s="4"/>
      <x:c r="EH760" s="4"/>
      <x:c r="EI760" s="4"/>
      <x:c r="EJ760" s="4"/>
      <x:c r="EK760" s="4"/>
      <x:c r="EL760" s="4"/>
      <x:c r="EM760" s="4"/>
      <x:c r="EN760" s="4"/>
      <x:c r="EO760" s="4"/>
      <x:c r="EP760" s="4"/>
      <x:c r="EQ760" s="4"/>
      <x:c r="ER760" s="4"/>
      <x:c r="ES760" s="4"/>
      <x:c r="ET760" s="4"/>
      <x:c r="EU760" s="4"/>
      <x:c r="EV760" s="4"/>
      <x:c r="EW760" s="4"/>
      <x:c r="EX760" s="4"/>
      <x:c r="EY760" s="4"/>
      <x:c r="EZ760" s="4"/>
      <x:c r="FA760" s="4"/>
      <x:c r="FB760" s="4"/>
      <x:c r="FC760" s="4"/>
      <x:c r="FD760" s="4"/>
      <x:c r="FE760" s="4"/>
      <x:c r="FF760" s="4"/>
      <x:c r="FG760" s="4"/>
      <x:c r="FH760" s="4"/>
      <x:c r="FI760" s="4"/>
      <x:c r="FJ760" s="4"/>
      <x:c r="FK760" s="4"/>
      <x:c r="FL760" s="4"/>
      <x:c r="FM760" s="4"/>
      <x:c r="FN760" s="4"/>
      <x:c r="FO760" s="4"/>
    </x:row>
    <x:row r="761">
      <x:c r="A761" s="72"/>
      <x:c r="B761" s="72"/>
      <x:c r="C761" s="72"/>
      <x:c r="D761" s="72"/>
      <x:c r="E761" s="72"/>
      <x:c r="F761" s="72"/>
      <x:c r="G761" s="72"/>
      <x:c r="H761" s="72"/>
      <x:c r="I761" s="72"/>
      <x:c r="J761" s="72"/>
      <x:c r="K761" s="72"/>
      <x:c r="L761" s="72"/>
      <x:c r="M761" s="72"/>
      <x:c r="N761" s="72"/>
      <x:c r="O761" s="72"/>
      <x:c r="P761" s="72"/>
      <x:c r="Q761" s="72"/>
      <x:c r="R761" s="72"/>
      <x:c r="S761" s="72"/>
      <x:c r="T761" s="72"/>
      <x:c r="U761" s="72"/>
      <x:c r="V761" s="72"/>
      <x:c r="W761" s="72"/>
      <x:c r="X761" s="72"/>
      <x:c r="Y761" s="72"/>
      <x:c r="Z761" s="72"/>
      <x:c r="AA761" s="72"/>
      <x:c r="AB761" s="72"/>
      <x:c r="AC761" s="72"/>
      <x:c r="AD761" s="72"/>
      <x:c r="AE761" s="72"/>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4"/>
      <x:c r="DQ761" s="4"/>
      <x:c r="DR761" s="4"/>
      <x:c r="DS761" s="4"/>
      <x:c r="DT761" s="4"/>
      <x:c r="DU761" s="4"/>
      <x:c r="DV761" s="4"/>
      <x:c r="DW761" s="4"/>
      <x:c r="DX761" s="4"/>
      <x:c r="DY761" s="4"/>
      <x:c r="DZ761" s="4"/>
      <x:c r="EA761" s="4"/>
      <x:c r="EB761" s="4"/>
      <x:c r="EC761" s="4"/>
      <x:c r="ED761" s="4"/>
      <x:c r="EE761" s="4"/>
      <x:c r="EF761" s="4"/>
      <x:c r="EG761" s="4"/>
      <x:c r="EH761" s="4"/>
      <x:c r="EI761" s="4"/>
      <x:c r="EJ761" s="4"/>
      <x:c r="EK761" s="4"/>
      <x:c r="EL761" s="4"/>
      <x:c r="EM761" s="4"/>
      <x:c r="EN761" s="4"/>
      <x:c r="EO761" s="4"/>
      <x:c r="EP761" s="4"/>
      <x:c r="EQ761" s="4"/>
      <x:c r="ER761" s="4"/>
      <x:c r="ES761" s="4"/>
      <x:c r="ET761" s="4"/>
      <x:c r="EU761" s="4"/>
      <x:c r="EV761" s="4"/>
      <x:c r="EW761" s="4"/>
      <x:c r="EX761" s="4"/>
      <x:c r="EY761" s="4"/>
      <x:c r="EZ761" s="4"/>
      <x:c r="FA761" s="4"/>
      <x:c r="FB761" s="4"/>
      <x:c r="FC761" s="4"/>
      <x:c r="FD761" s="4"/>
      <x:c r="FE761" s="4"/>
      <x:c r="FF761" s="4"/>
      <x:c r="FG761" s="4"/>
      <x:c r="FH761" s="4"/>
      <x:c r="FI761" s="4"/>
      <x:c r="FJ761" s="4"/>
      <x:c r="FK761" s="4"/>
      <x:c r="FL761" s="4"/>
      <x:c r="FM761" s="4"/>
      <x:c r="FN761" s="4"/>
      <x:c r="FO761" s="4"/>
    </x:row>
    <x:row r="762">
      <x:c r="A762" s="72"/>
      <x:c r="B762" s="72"/>
      <x:c r="C762" s="72"/>
      <x:c r="D762" s="72"/>
      <x:c r="E762" s="72"/>
      <x:c r="F762" s="72"/>
      <x:c r="G762" s="72"/>
      <x:c r="H762" s="72"/>
      <x:c r="I762" s="72"/>
      <x:c r="J762" s="72"/>
      <x:c r="K762" s="72"/>
      <x:c r="L762" s="72"/>
      <x:c r="M762" s="72"/>
      <x:c r="N762" s="72"/>
      <x:c r="O762" s="72"/>
      <x:c r="P762" s="72"/>
      <x:c r="Q762" s="72"/>
      <x:c r="R762" s="72"/>
      <x:c r="S762" s="72"/>
      <x:c r="T762" s="72"/>
      <x:c r="U762" s="72"/>
      <x:c r="V762" s="72"/>
      <x:c r="W762" s="72"/>
      <x:c r="X762" s="72"/>
      <x:c r="Y762" s="72"/>
      <x:c r="Z762" s="72"/>
      <x:c r="AA762" s="72"/>
      <x:c r="AB762" s="72"/>
      <x:c r="AC762" s="72"/>
      <x:c r="AD762" s="72"/>
      <x:c r="AE762" s="72"/>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4"/>
      <x:c r="DQ762" s="4"/>
      <x:c r="DR762" s="4"/>
      <x:c r="DS762" s="4"/>
      <x:c r="DT762" s="4"/>
      <x:c r="DU762" s="4"/>
      <x:c r="DV762" s="4"/>
      <x:c r="DW762" s="4"/>
      <x:c r="DX762" s="4"/>
      <x:c r="DY762" s="4"/>
      <x:c r="DZ762" s="4"/>
      <x:c r="EA762" s="4"/>
      <x:c r="EB762" s="4"/>
      <x:c r="EC762" s="4"/>
      <x:c r="ED762" s="4"/>
      <x:c r="EE762" s="4"/>
      <x:c r="EF762" s="4"/>
      <x:c r="EG762" s="4"/>
      <x:c r="EH762" s="4"/>
      <x:c r="EI762" s="4"/>
      <x:c r="EJ762" s="4"/>
      <x:c r="EK762" s="4"/>
      <x:c r="EL762" s="4"/>
      <x:c r="EM762" s="4"/>
      <x:c r="EN762" s="4"/>
      <x:c r="EO762" s="4"/>
      <x:c r="EP762" s="4"/>
      <x:c r="EQ762" s="4"/>
      <x:c r="ER762" s="4"/>
      <x:c r="ES762" s="4"/>
      <x:c r="ET762" s="4"/>
      <x:c r="EU762" s="4"/>
      <x:c r="EV762" s="4"/>
      <x:c r="EW762" s="4"/>
      <x:c r="EX762" s="4"/>
      <x:c r="EY762" s="4"/>
      <x:c r="EZ762" s="4"/>
      <x:c r="FA762" s="4"/>
      <x:c r="FB762" s="4"/>
      <x:c r="FC762" s="4"/>
      <x:c r="FD762" s="4"/>
      <x:c r="FE762" s="4"/>
      <x:c r="FF762" s="4"/>
      <x:c r="FG762" s="4"/>
      <x:c r="FH762" s="4"/>
      <x:c r="FI762" s="4"/>
      <x:c r="FJ762" s="4"/>
      <x:c r="FK762" s="4"/>
      <x:c r="FL762" s="4"/>
      <x:c r="FM762" s="4"/>
      <x:c r="FN762" s="4"/>
      <x:c r="FO762" s="4"/>
    </x:row>
    <x:row r="763">
      <x:c r="A763" s="72"/>
      <x:c r="B763" s="72"/>
      <x:c r="C763" s="72"/>
      <x:c r="D763" s="72"/>
      <x:c r="E763" s="72"/>
      <x:c r="F763" s="72"/>
      <x:c r="G763" s="72"/>
      <x:c r="H763" s="72"/>
      <x:c r="I763" s="72"/>
      <x:c r="J763" s="72"/>
      <x:c r="K763" s="72"/>
      <x:c r="L763" s="72"/>
      <x:c r="M763" s="72"/>
      <x:c r="N763" s="72"/>
      <x:c r="O763" s="72"/>
      <x:c r="P763" s="72"/>
      <x:c r="Q763" s="72"/>
      <x:c r="R763" s="72"/>
      <x:c r="S763" s="72"/>
      <x:c r="T763" s="72"/>
      <x:c r="U763" s="72"/>
      <x:c r="V763" s="72"/>
      <x:c r="W763" s="72"/>
      <x:c r="X763" s="72"/>
      <x:c r="Y763" s="72"/>
      <x:c r="Z763" s="72"/>
      <x:c r="AA763" s="72"/>
      <x:c r="AB763" s="72"/>
      <x:c r="AC763" s="72"/>
      <x:c r="AD763" s="72"/>
      <x:c r="AE763" s="72"/>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4"/>
      <x:c r="DQ763" s="4"/>
      <x:c r="DR763" s="4"/>
      <x:c r="DS763" s="4"/>
      <x:c r="DT763" s="4"/>
      <x:c r="DU763" s="4"/>
      <x:c r="DV763" s="4"/>
      <x:c r="DW763" s="4"/>
      <x:c r="DX763" s="4"/>
      <x:c r="DY763" s="4"/>
      <x:c r="DZ763" s="4"/>
      <x:c r="EA763" s="4"/>
      <x:c r="EB763" s="4"/>
      <x:c r="EC763" s="4"/>
      <x:c r="ED763" s="4"/>
      <x:c r="EE763" s="4"/>
      <x:c r="EF763" s="4"/>
      <x:c r="EG763" s="4"/>
      <x:c r="EH763" s="4"/>
      <x:c r="EI763" s="4"/>
      <x:c r="EJ763" s="4"/>
      <x:c r="EK763" s="4"/>
      <x:c r="EL763" s="4"/>
      <x:c r="EM763" s="4"/>
      <x:c r="EN763" s="4"/>
      <x:c r="EO763" s="4"/>
      <x:c r="EP763" s="4"/>
      <x:c r="EQ763" s="4"/>
      <x:c r="ER763" s="4"/>
      <x:c r="ES763" s="4"/>
      <x:c r="ET763" s="4"/>
      <x:c r="EU763" s="4"/>
      <x:c r="EV763" s="4"/>
      <x:c r="EW763" s="4"/>
      <x:c r="EX763" s="4"/>
      <x:c r="EY763" s="4"/>
      <x:c r="EZ763" s="4"/>
      <x:c r="FA763" s="4"/>
      <x:c r="FB763" s="4"/>
      <x:c r="FC763" s="4"/>
      <x:c r="FD763" s="4"/>
      <x:c r="FE763" s="4"/>
      <x:c r="FF763" s="4"/>
      <x:c r="FG763" s="4"/>
      <x:c r="FH763" s="4"/>
      <x:c r="FI763" s="4"/>
      <x:c r="FJ763" s="4"/>
      <x:c r="FK763" s="4"/>
      <x:c r="FL763" s="4"/>
      <x:c r="FM763" s="4"/>
      <x:c r="FN763" s="4"/>
      <x:c r="FO763" s="4"/>
    </x:row>
    <x:row r="764">
      <x:c r="A764" s="72"/>
      <x:c r="B764" s="72"/>
      <x:c r="C764" s="72"/>
      <x:c r="D764" s="72"/>
      <x:c r="E764" s="72"/>
      <x:c r="F764" s="72"/>
      <x:c r="G764" s="72"/>
      <x:c r="H764" s="72"/>
      <x:c r="I764" s="72"/>
      <x:c r="J764" s="72"/>
      <x:c r="K764" s="72"/>
      <x:c r="L764" s="72"/>
      <x:c r="M764" s="72"/>
      <x:c r="N764" s="72"/>
      <x:c r="O764" s="72"/>
      <x:c r="P764" s="72"/>
      <x:c r="Q764" s="72"/>
      <x:c r="R764" s="72"/>
      <x:c r="S764" s="72"/>
      <x:c r="T764" s="72"/>
      <x:c r="U764" s="72"/>
      <x:c r="V764" s="72"/>
      <x:c r="W764" s="72"/>
      <x:c r="X764" s="72"/>
      <x:c r="Y764" s="72"/>
      <x:c r="Z764" s="72"/>
      <x:c r="AA764" s="72"/>
      <x:c r="AB764" s="72"/>
      <x:c r="AC764" s="72"/>
      <x:c r="AD764" s="72"/>
      <x:c r="AE764" s="72"/>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4"/>
      <x:c r="DQ764" s="4"/>
      <x:c r="DR764" s="4"/>
      <x:c r="DS764" s="4"/>
      <x:c r="DT764" s="4"/>
      <x:c r="DU764" s="4"/>
      <x:c r="DV764" s="4"/>
      <x:c r="DW764" s="4"/>
      <x:c r="DX764" s="4"/>
      <x:c r="DY764" s="4"/>
      <x:c r="DZ764" s="4"/>
      <x:c r="EA764" s="4"/>
      <x:c r="EB764" s="4"/>
      <x:c r="EC764" s="4"/>
      <x:c r="ED764" s="4"/>
      <x:c r="EE764" s="4"/>
      <x:c r="EF764" s="4"/>
      <x:c r="EG764" s="4"/>
      <x:c r="EH764" s="4"/>
      <x:c r="EI764" s="4"/>
      <x:c r="EJ764" s="4"/>
      <x:c r="EK764" s="4"/>
      <x:c r="EL764" s="4"/>
      <x:c r="EM764" s="4"/>
      <x:c r="EN764" s="4"/>
      <x:c r="EO764" s="4"/>
      <x:c r="EP764" s="4"/>
      <x:c r="EQ764" s="4"/>
      <x:c r="ER764" s="4"/>
      <x:c r="ES764" s="4"/>
      <x:c r="ET764" s="4"/>
      <x:c r="EU764" s="4"/>
      <x:c r="EV764" s="4"/>
      <x:c r="EW764" s="4"/>
      <x:c r="EX764" s="4"/>
      <x:c r="EY764" s="4"/>
      <x:c r="EZ764" s="4"/>
      <x:c r="FA764" s="4"/>
      <x:c r="FB764" s="4"/>
      <x:c r="FC764" s="4"/>
      <x:c r="FD764" s="4"/>
      <x:c r="FE764" s="4"/>
      <x:c r="FF764" s="4"/>
      <x:c r="FG764" s="4"/>
      <x:c r="FH764" s="4"/>
      <x:c r="FI764" s="4"/>
      <x:c r="FJ764" s="4"/>
      <x:c r="FK764" s="4"/>
      <x:c r="FL764" s="4"/>
      <x:c r="FM764" s="4"/>
      <x:c r="FN764" s="4"/>
      <x:c r="FO764" s="4"/>
    </x:row>
    <x:row r="765">
      <x:c r="A765" s="72"/>
      <x:c r="B765" s="72"/>
      <x:c r="C765" s="72"/>
      <x:c r="D765" s="72"/>
      <x:c r="E765" s="72"/>
      <x:c r="F765" s="72"/>
      <x:c r="G765" s="72"/>
      <x:c r="H765" s="72"/>
      <x:c r="I765" s="72"/>
      <x:c r="J765" s="72"/>
      <x:c r="K765" s="72"/>
      <x:c r="L765" s="72"/>
      <x:c r="M765" s="72"/>
      <x:c r="N765" s="72"/>
      <x:c r="O765" s="72"/>
      <x:c r="P765" s="72"/>
      <x:c r="Q765" s="72"/>
      <x:c r="R765" s="72"/>
      <x:c r="S765" s="72"/>
      <x:c r="T765" s="72"/>
      <x:c r="U765" s="72"/>
      <x:c r="V765" s="72"/>
      <x:c r="W765" s="72"/>
      <x:c r="X765" s="72"/>
      <x:c r="Y765" s="72"/>
      <x:c r="Z765" s="72"/>
      <x:c r="AA765" s="72"/>
      <x:c r="AB765" s="72"/>
      <x:c r="AC765" s="72"/>
      <x:c r="AD765" s="72"/>
      <x:c r="AE765" s="72"/>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4"/>
      <x:c r="DQ765" s="4"/>
      <x:c r="DR765" s="4"/>
      <x:c r="DS765" s="4"/>
      <x:c r="DT765" s="4"/>
      <x:c r="DU765" s="4"/>
      <x:c r="DV765" s="4"/>
      <x:c r="DW765" s="4"/>
      <x:c r="DX765" s="4"/>
      <x:c r="DY765" s="4"/>
      <x:c r="DZ765" s="4"/>
      <x:c r="EA765" s="4"/>
      <x:c r="EB765" s="4"/>
      <x:c r="EC765" s="4"/>
      <x:c r="ED765" s="4"/>
      <x:c r="EE765" s="4"/>
      <x:c r="EF765" s="4"/>
      <x:c r="EG765" s="4"/>
      <x:c r="EH765" s="4"/>
      <x:c r="EI765" s="4"/>
      <x:c r="EJ765" s="4"/>
      <x:c r="EK765" s="4"/>
      <x:c r="EL765" s="4"/>
      <x:c r="EM765" s="4"/>
      <x:c r="EN765" s="4"/>
      <x:c r="EO765" s="4"/>
      <x:c r="EP765" s="4"/>
      <x:c r="EQ765" s="4"/>
      <x:c r="ER765" s="4"/>
      <x:c r="ES765" s="4"/>
      <x:c r="ET765" s="4"/>
      <x:c r="EU765" s="4"/>
      <x:c r="EV765" s="4"/>
      <x:c r="EW765" s="4"/>
      <x:c r="EX765" s="4"/>
      <x:c r="EY765" s="4"/>
      <x:c r="EZ765" s="4"/>
      <x:c r="FA765" s="4"/>
      <x:c r="FB765" s="4"/>
      <x:c r="FC765" s="4"/>
      <x:c r="FD765" s="4"/>
      <x:c r="FE765" s="4"/>
      <x:c r="FF765" s="4"/>
      <x:c r="FG765" s="4"/>
      <x:c r="FH765" s="4"/>
      <x:c r="FI765" s="4"/>
      <x:c r="FJ765" s="4"/>
      <x:c r="FK765" s="4"/>
      <x:c r="FL765" s="4"/>
      <x:c r="FM765" s="4"/>
      <x:c r="FN765" s="4"/>
      <x:c r="FO765" s="4"/>
    </x:row>
    <x:row r="766">
      <x:c r="A766" s="72"/>
      <x:c r="B766" s="72"/>
      <x:c r="C766" s="72"/>
      <x:c r="D766" s="72"/>
      <x:c r="E766" s="72"/>
      <x:c r="F766" s="72"/>
      <x:c r="G766" s="72"/>
      <x:c r="H766" s="72"/>
      <x:c r="I766" s="72"/>
      <x:c r="J766" s="72"/>
      <x:c r="K766" s="72"/>
      <x:c r="L766" s="72"/>
      <x:c r="M766" s="72"/>
      <x:c r="N766" s="72"/>
      <x:c r="O766" s="72"/>
      <x:c r="P766" s="72"/>
      <x:c r="Q766" s="72"/>
      <x:c r="R766" s="72"/>
      <x:c r="S766" s="72"/>
      <x:c r="T766" s="72"/>
      <x:c r="U766" s="72"/>
      <x:c r="V766" s="72"/>
      <x:c r="W766" s="72"/>
      <x:c r="X766" s="72"/>
      <x:c r="Y766" s="72"/>
      <x:c r="Z766" s="72"/>
      <x:c r="AA766" s="72"/>
      <x:c r="AB766" s="72"/>
      <x:c r="AC766" s="72"/>
      <x:c r="AD766" s="72"/>
      <x:c r="AE766" s="72"/>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4"/>
      <x:c r="DQ766" s="4"/>
      <x:c r="DR766" s="4"/>
      <x:c r="DS766" s="4"/>
      <x:c r="DT766" s="4"/>
      <x:c r="DU766" s="4"/>
      <x:c r="DV766" s="4"/>
      <x:c r="DW766" s="4"/>
      <x:c r="DX766" s="4"/>
      <x:c r="DY766" s="4"/>
      <x:c r="DZ766" s="4"/>
      <x:c r="EA766" s="4"/>
      <x:c r="EB766" s="4"/>
      <x:c r="EC766" s="4"/>
      <x:c r="ED766" s="4"/>
      <x:c r="EE766" s="4"/>
      <x:c r="EF766" s="4"/>
      <x:c r="EG766" s="4"/>
      <x:c r="EH766" s="4"/>
      <x:c r="EI766" s="4"/>
      <x:c r="EJ766" s="4"/>
      <x:c r="EK766" s="4"/>
      <x:c r="EL766" s="4"/>
      <x:c r="EM766" s="4"/>
      <x:c r="EN766" s="4"/>
      <x:c r="EO766" s="4"/>
      <x:c r="EP766" s="4"/>
      <x:c r="EQ766" s="4"/>
      <x:c r="ER766" s="4"/>
      <x:c r="ES766" s="4"/>
      <x:c r="ET766" s="4"/>
      <x:c r="EU766" s="4"/>
      <x:c r="EV766" s="4"/>
      <x:c r="EW766" s="4"/>
      <x:c r="EX766" s="4"/>
      <x:c r="EY766" s="4"/>
      <x:c r="EZ766" s="4"/>
      <x:c r="FA766" s="4"/>
      <x:c r="FB766" s="4"/>
      <x:c r="FC766" s="4"/>
      <x:c r="FD766" s="4"/>
      <x:c r="FE766" s="4"/>
      <x:c r="FF766" s="4"/>
      <x:c r="FG766" s="4"/>
      <x:c r="FH766" s="4"/>
      <x:c r="FI766" s="4"/>
      <x:c r="FJ766" s="4"/>
      <x:c r="FK766" s="4"/>
      <x:c r="FL766" s="4"/>
      <x:c r="FM766" s="4"/>
      <x:c r="FN766" s="4"/>
      <x:c r="FO766" s="4"/>
    </x:row>
    <x:row r="767">
      <x:c r="A767" s="72"/>
      <x:c r="B767" s="72"/>
      <x:c r="C767" s="72"/>
      <x:c r="D767" s="72"/>
      <x:c r="E767" s="72"/>
      <x:c r="F767" s="72"/>
      <x:c r="G767" s="72"/>
      <x:c r="H767" s="72"/>
      <x:c r="I767" s="72"/>
      <x:c r="J767" s="72"/>
      <x:c r="K767" s="72"/>
      <x:c r="L767" s="72"/>
      <x:c r="M767" s="72"/>
      <x:c r="N767" s="72"/>
      <x:c r="O767" s="72"/>
      <x:c r="P767" s="72"/>
      <x:c r="Q767" s="72"/>
      <x:c r="R767" s="72"/>
      <x:c r="S767" s="72"/>
      <x:c r="T767" s="72"/>
      <x:c r="U767" s="72"/>
      <x:c r="V767" s="72"/>
      <x:c r="W767" s="72"/>
      <x:c r="X767" s="72"/>
      <x:c r="Y767" s="72"/>
      <x:c r="Z767" s="72"/>
      <x:c r="AA767" s="72"/>
      <x:c r="AB767" s="72"/>
      <x:c r="AC767" s="72"/>
      <x:c r="AD767" s="72"/>
      <x:c r="AE767" s="72"/>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4"/>
      <x:c r="DQ767" s="4"/>
      <x:c r="DR767" s="4"/>
      <x:c r="DS767" s="4"/>
      <x:c r="DT767" s="4"/>
      <x:c r="DU767" s="4"/>
      <x:c r="DV767" s="4"/>
      <x:c r="DW767" s="4"/>
      <x:c r="DX767" s="4"/>
      <x:c r="DY767" s="4"/>
      <x:c r="DZ767" s="4"/>
      <x:c r="EA767" s="4"/>
      <x:c r="EB767" s="4"/>
      <x:c r="EC767" s="4"/>
      <x:c r="ED767" s="4"/>
      <x:c r="EE767" s="4"/>
      <x:c r="EF767" s="4"/>
      <x:c r="EG767" s="4"/>
      <x:c r="EH767" s="4"/>
      <x:c r="EI767" s="4"/>
      <x:c r="EJ767" s="4"/>
      <x:c r="EK767" s="4"/>
      <x:c r="EL767" s="4"/>
      <x:c r="EM767" s="4"/>
      <x:c r="EN767" s="4"/>
      <x:c r="EO767" s="4"/>
      <x:c r="EP767" s="4"/>
      <x:c r="EQ767" s="4"/>
      <x:c r="ER767" s="4"/>
      <x:c r="ES767" s="4"/>
      <x:c r="ET767" s="4"/>
      <x:c r="EU767" s="4"/>
      <x:c r="EV767" s="4"/>
      <x:c r="EW767" s="4"/>
      <x:c r="EX767" s="4"/>
      <x:c r="EY767" s="4"/>
      <x:c r="EZ767" s="4"/>
      <x:c r="FA767" s="4"/>
      <x:c r="FB767" s="4"/>
      <x:c r="FC767" s="4"/>
      <x:c r="FD767" s="4"/>
      <x:c r="FE767" s="4"/>
      <x:c r="FF767" s="4"/>
      <x:c r="FG767" s="4"/>
      <x:c r="FH767" s="4"/>
      <x:c r="FI767" s="4"/>
      <x:c r="FJ767" s="4"/>
      <x:c r="FK767" s="4"/>
      <x:c r="FL767" s="4"/>
      <x:c r="FM767" s="4"/>
      <x:c r="FN767" s="4"/>
      <x:c r="FO767" s="4"/>
    </x:row>
    <x:row r="768">
      <x:c r="A768" s="72"/>
      <x:c r="B768" s="72"/>
      <x:c r="C768" s="72"/>
      <x:c r="D768" s="72"/>
      <x:c r="E768" s="72"/>
      <x:c r="F768" s="72"/>
      <x:c r="G768" s="72"/>
      <x:c r="H768" s="72"/>
      <x:c r="I768" s="72"/>
      <x:c r="J768" s="72"/>
      <x:c r="K768" s="72"/>
      <x:c r="L768" s="72"/>
      <x:c r="M768" s="72"/>
      <x:c r="N768" s="72"/>
      <x:c r="O768" s="72"/>
      <x:c r="P768" s="72"/>
      <x:c r="Q768" s="72"/>
      <x:c r="R768" s="72"/>
      <x:c r="S768" s="72"/>
      <x:c r="T768" s="72"/>
      <x:c r="U768" s="72"/>
      <x:c r="V768" s="72"/>
      <x:c r="W768" s="72"/>
      <x:c r="X768" s="72"/>
      <x:c r="Y768" s="72"/>
      <x:c r="Z768" s="72"/>
      <x:c r="AA768" s="72"/>
      <x:c r="AB768" s="72"/>
      <x:c r="AC768" s="72"/>
      <x:c r="AD768" s="72"/>
      <x:c r="AE768" s="72"/>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4"/>
      <x:c r="DQ768" s="4"/>
      <x:c r="DR768" s="4"/>
      <x:c r="DS768" s="4"/>
      <x:c r="DT768" s="4"/>
      <x:c r="DU768" s="4"/>
      <x:c r="DV768" s="4"/>
      <x:c r="DW768" s="4"/>
      <x:c r="DX768" s="4"/>
      <x:c r="DY768" s="4"/>
      <x:c r="DZ768" s="4"/>
      <x:c r="EA768" s="4"/>
      <x:c r="EB768" s="4"/>
      <x:c r="EC768" s="4"/>
      <x:c r="ED768" s="4"/>
      <x:c r="EE768" s="4"/>
      <x:c r="EF768" s="4"/>
      <x:c r="EG768" s="4"/>
      <x:c r="EH768" s="4"/>
      <x:c r="EI768" s="4"/>
      <x:c r="EJ768" s="4"/>
      <x:c r="EK768" s="4"/>
      <x:c r="EL768" s="4"/>
      <x:c r="EM768" s="4"/>
      <x:c r="EN768" s="4"/>
      <x:c r="EO768" s="4"/>
      <x:c r="EP768" s="4"/>
      <x:c r="EQ768" s="4"/>
      <x:c r="ER768" s="4"/>
      <x:c r="ES768" s="4"/>
      <x:c r="ET768" s="4"/>
      <x:c r="EU768" s="4"/>
      <x:c r="EV768" s="4"/>
      <x:c r="EW768" s="4"/>
      <x:c r="EX768" s="4"/>
      <x:c r="EY768" s="4"/>
      <x:c r="EZ768" s="4"/>
      <x:c r="FA768" s="4"/>
      <x:c r="FB768" s="4"/>
      <x:c r="FC768" s="4"/>
      <x:c r="FD768" s="4"/>
      <x:c r="FE768" s="4"/>
      <x:c r="FF768" s="4"/>
      <x:c r="FG768" s="4"/>
      <x:c r="FH768" s="4"/>
      <x:c r="FI768" s="4"/>
      <x:c r="FJ768" s="4"/>
      <x:c r="FK768" s="4"/>
      <x:c r="FL768" s="4"/>
      <x:c r="FM768" s="4"/>
      <x:c r="FN768" s="4"/>
      <x:c r="FO768" s="4"/>
    </x:row>
    <x:row r="769">
      <x:c r="A769" s="72"/>
      <x:c r="B769" s="72"/>
      <x:c r="C769" s="72"/>
      <x:c r="D769" s="72"/>
      <x:c r="E769" s="72"/>
      <x:c r="F769" s="72"/>
      <x:c r="G769" s="72"/>
      <x:c r="H769" s="72"/>
      <x:c r="I769" s="72"/>
      <x:c r="J769" s="72"/>
      <x:c r="K769" s="72"/>
      <x:c r="L769" s="72"/>
      <x:c r="M769" s="72"/>
      <x:c r="N769" s="72"/>
      <x:c r="O769" s="72"/>
      <x:c r="P769" s="72"/>
      <x:c r="Q769" s="72"/>
      <x:c r="R769" s="72"/>
      <x:c r="S769" s="72"/>
      <x:c r="T769" s="72"/>
      <x:c r="U769" s="72"/>
      <x:c r="V769" s="72"/>
      <x:c r="W769" s="72"/>
      <x:c r="X769" s="72"/>
      <x:c r="Y769" s="72"/>
      <x:c r="Z769" s="72"/>
      <x:c r="AA769" s="72"/>
      <x:c r="AB769" s="72"/>
      <x:c r="AC769" s="72"/>
      <x:c r="AD769" s="72"/>
      <x:c r="AE769" s="72"/>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4"/>
      <x:c r="DQ769" s="4"/>
      <x:c r="DR769" s="4"/>
      <x:c r="DS769" s="4"/>
      <x:c r="DT769" s="4"/>
      <x:c r="DU769" s="4"/>
      <x:c r="DV769" s="4"/>
      <x:c r="DW769" s="4"/>
      <x:c r="DX769" s="4"/>
      <x:c r="DY769" s="4"/>
      <x:c r="DZ769" s="4"/>
      <x:c r="EA769" s="4"/>
      <x:c r="EB769" s="4"/>
      <x:c r="EC769" s="4"/>
      <x:c r="ED769" s="4"/>
      <x:c r="EE769" s="4"/>
      <x:c r="EF769" s="4"/>
      <x:c r="EG769" s="4"/>
      <x:c r="EH769" s="4"/>
      <x:c r="EI769" s="4"/>
      <x:c r="EJ769" s="4"/>
      <x:c r="EK769" s="4"/>
      <x:c r="EL769" s="4"/>
      <x:c r="EM769" s="4"/>
      <x:c r="EN769" s="4"/>
      <x:c r="EO769" s="4"/>
      <x:c r="EP769" s="4"/>
      <x:c r="EQ769" s="4"/>
      <x:c r="ER769" s="4"/>
      <x:c r="ES769" s="4"/>
      <x:c r="ET769" s="4"/>
      <x:c r="EU769" s="4"/>
      <x:c r="EV769" s="4"/>
      <x:c r="EW769" s="4"/>
      <x:c r="EX769" s="4"/>
      <x:c r="EY769" s="4"/>
      <x:c r="EZ769" s="4"/>
      <x:c r="FA769" s="4"/>
      <x:c r="FB769" s="4"/>
      <x:c r="FC769" s="4"/>
      <x:c r="FD769" s="4"/>
      <x:c r="FE769" s="4"/>
      <x:c r="FF769" s="4"/>
      <x:c r="FG769" s="4"/>
      <x:c r="FH769" s="4"/>
      <x:c r="FI769" s="4"/>
      <x:c r="FJ769" s="4"/>
      <x:c r="FK769" s="4"/>
      <x:c r="FL769" s="4"/>
      <x:c r="FM769" s="4"/>
      <x:c r="FN769" s="4"/>
      <x:c r="FO769" s="4"/>
    </x:row>
    <x:row r="770">
      <x:c r="A770" s="72"/>
      <x:c r="B770" s="72"/>
      <x:c r="C770" s="72"/>
      <x:c r="D770" s="72"/>
      <x:c r="E770" s="72"/>
      <x:c r="F770" s="72"/>
      <x:c r="G770" s="72"/>
      <x:c r="H770" s="72"/>
      <x:c r="I770" s="72"/>
      <x:c r="J770" s="72"/>
      <x:c r="K770" s="72"/>
      <x:c r="L770" s="72"/>
      <x:c r="M770" s="72"/>
      <x:c r="N770" s="72"/>
      <x:c r="O770" s="72"/>
      <x:c r="P770" s="72"/>
      <x:c r="Q770" s="72"/>
      <x:c r="R770" s="72"/>
      <x:c r="S770" s="72"/>
      <x:c r="T770" s="72"/>
      <x:c r="U770" s="72"/>
      <x:c r="V770" s="72"/>
      <x:c r="W770" s="72"/>
      <x:c r="X770" s="72"/>
      <x:c r="Y770" s="72"/>
      <x:c r="Z770" s="72"/>
      <x:c r="AA770" s="72"/>
      <x:c r="AB770" s="72"/>
      <x:c r="AC770" s="72"/>
      <x:c r="AD770" s="72"/>
      <x:c r="AE770" s="72"/>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4"/>
      <x:c r="DQ770" s="4"/>
      <x:c r="DR770" s="4"/>
      <x:c r="DS770" s="4"/>
      <x:c r="DT770" s="4"/>
      <x:c r="DU770" s="4"/>
      <x:c r="DV770" s="4"/>
      <x:c r="DW770" s="4"/>
      <x:c r="DX770" s="4"/>
      <x:c r="DY770" s="4"/>
      <x:c r="DZ770" s="4"/>
      <x:c r="EA770" s="4"/>
      <x:c r="EB770" s="4"/>
      <x:c r="EC770" s="4"/>
      <x:c r="ED770" s="4"/>
      <x:c r="EE770" s="4"/>
      <x:c r="EF770" s="4"/>
      <x:c r="EG770" s="4"/>
      <x:c r="EH770" s="4"/>
      <x:c r="EI770" s="4"/>
      <x:c r="EJ770" s="4"/>
      <x:c r="EK770" s="4"/>
      <x:c r="EL770" s="4"/>
      <x:c r="EM770" s="4"/>
      <x:c r="EN770" s="4"/>
      <x:c r="EO770" s="4"/>
      <x:c r="EP770" s="4"/>
      <x:c r="EQ770" s="4"/>
      <x:c r="ER770" s="4"/>
      <x:c r="ES770" s="4"/>
      <x:c r="ET770" s="4"/>
      <x:c r="EU770" s="4"/>
      <x:c r="EV770" s="4"/>
      <x:c r="EW770" s="4"/>
      <x:c r="EX770" s="4"/>
      <x:c r="EY770" s="4"/>
      <x:c r="EZ770" s="4"/>
      <x:c r="FA770" s="4"/>
      <x:c r="FB770" s="4"/>
      <x:c r="FC770" s="4"/>
      <x:c r="FD770" s="4"/>
      <x:c r="FE770" s="4"/>
      <x:c r="FF770" s="4"/>
      <x:c r="FG770" s="4"/>
      <x:c r="FH770" s="4"/>
      <x:c r="FI770" s="4"/>
      <x:c r="FJ770" s="4"/>
      <x:c r="FK770" s="4"/>
      <x:c r="FL770" s="4"/>
      <x:c r="FM770" s="4"/>
      <x:c r="FN770" s="4"/>
      <x:c r="FO770" s="4"/>
    </x:row>
    <x:row r="771">
      <x:c r="A771" s="72"/>
      <x:c r="B771" s="72"/>
      <x:c r="C771" s="72"/>
      <x:c r="D771" s="72"/>
      <x:c r="E771" s="72"/>
      <x:c r="F771" s="72"/>
      <x:c r="G771" s="72"/>
      <x:c r="H771" s="72"/>
      <x:c r="I771" s="72"/>
      <x:c r="J771" s="72"/>
      <x:c r="K771" s="72"/>
      <x:c r="L771" s="72"/>
      <x:c r="M771" s="72"/>
      <x:c r="N771" s="72"/>
      <x:c r="O771" s="72"/>
      <x:c r="P771" s="72"/>
      <x:c r="Q771" s="72"/>
      <x:c r="R771" s="72"/>
      <x:c r="S771" s="72"/>
      <x:c r="T771" s="72"/>
      <x:c r="U771" s="72"/>
      <x:c r="V771" s="72"/>
      <x:c r="W771" s="72"/>
      <x:c r="X771" s="72"/>
      <x:c r="Y771" s="72"/>
      <x:c r="Z771" s="72"/>
      <x:c r="AA771" s="72"/>
      <x:c r="AB771" s="72"/>
      <x:c r="AC771" s="72"/>
      <x:c r="AD771" s="72"/>
      <x:c r="AE771" s="72"/>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4"/>
      <x:c r="DQ771" s="4"/>
      <x:c r="DR771" s="4"/>
      <x:c r="DS771" s="4"/>
      <x:c r="DT771" s="4"/>
      <x:c r="DU771" s="4"/>
      <x:c r="DV771" s="4"/>
      <x:c r="DW771" s="4"/>
      <x:c r="DX771" s="4"/>
      <x:c r="DY771" s="4"/>
      <x:c r="DZ771" s="4"/>
      <x:c r="EA771" s="4"/>
      <x:c r="EB771" s="4"/>
      <x:c r="EC771" s="4"/>
      <x:c r="ED771" s="4"/>
      <x:c r="EE771" s="4"/>
      <x:c r="EF771" s="4"/>
      <x:c r="EG771" s="4"/>
      <x:c r="EH771" s="4"/>
      <x:c r="EI771" s="4"/>
      <x:c r="EJ771" s="4"/>
      <x:c r="EK771" s="4"/>
      <x:c r="EL771" s="4"/>
      <x:c r="EM771" s="4"/>
      <x:c r="EN771" s="4"/>
      <x:c r="EO771" s="4"/>
      <x:c r="EP771" s="4"/>
      <x:c r="EQ771" s="4"/>
      <x:c r="ER771" s="4"/>
      <x:c r="ES771" s="4"/>
      <x:c r="ET771" s="4"/>
      <x:c r="EU771" s="4"/>
      <x:c r="EV771" s="4"/>
      <x:c r="EW771" s="4"/>
      <x:c r="EX771" s="4"/>
      <x:c r="EY771" s="4"/>
      <x:c r="EZ771" s="4"/>
      <x:c r="FA771" s="4"/>
      <x:c r="FB771" s="4"/>
      <x:c r="FC771" s="4"/>
      <x:c r="FD771" s="4"/>
      <x:c r="FE771" s="4"/>
      <x:c r="FF771" s="4"/>
      <x:c r="FG771" s="4"/>
      <x:c r="FH771" s="4"/>
      <x:c r="FI771" s="4"/>
      <x:c r="FJ771" s="4"/>
      <x:c r="FK771" s="4"/>
      <x:c r="FL771" s="4"/>
      <x:c r="FM771" s="4"/>
      <x:c r="FN771" s="4"/>
      <x:c r="FO771" s="4"/>
    </x:row>
    <x:row r="772">
      <x:c r="A772" s="72"/>
      <x:c r="B772" s="72"/>
      <x:c r="C772" s="72"/>
      <x:c r="D772" s="72"/>
      <x:c r="E772" s="72"/>
      <x:c r="F772" s="72"/>
      <x:c r="G772" s="72"/>
      <x:c r="H772" s="72"/>
      <x:c r="I772" s="72"/>
      <x:c r="J772" s="72"/>
      <x:c r="K772" s="72"/>
      <x:c r="L772" s="72"/>
      <x:c r="M772" s="72"/>
      <x:c r="N772" s="72"/>
      <x:c r="O772" s="72"/>
      <x:c r="P772" s="72"/>
      <x:c r="Q772" s="72"/>
      <x:c r="R772" s="72"/>
      <x:c r="S772" s="72"/>
      <x:c r="T772" s="72"/>
      <x:c r="U772" s="72"/>
      <x:c r="V772" s="72"/>
      <x:c r="W772" s="72"/>
      <x:c r="X772" s="72"/>
      <x:c r="Y772" s="72"/>
      <x:c r="Z772" s="72"/>
      <x:c r="AA772" s="72"/>
      <x:c r="AB772" s="72"/>
      <x:c r="AC772" s="72"/>
      <x:c r="AD772" s="72"/>
      <x:c r="AE772" s="72"/>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4"/>
      <x:c r="DQ772" s="4"/>
      <x:c r="DR772" s="4"/>
      <x:c r="DS772" s="4"/>
      <x:c r="DT772" s="4"/>
      <x:c r="DU772" s="4"/>
      <x:c r="DV772" s="4"/>
      <x:c r="DW772" s="4"/>
      <x:c r="DX772" s="4"/>
      <x:c r="DY772" s="4"/>
      <x:c r="DZ772" s="4"/>
      <x:c r="EA772" s="4"/>
      <x:c r="EB772" s="4"/>
      <x:c r="EC772" s="4"/>
      <x:c r="ED772" s="4"/>
      <x:c r="EE772" s="4"/>
      <x:c r="EF772" s="4"/>
      <x:c r="EG772" s="4"/>
      <x:c r="EH772" s="4"/>
      <x:c r="EI772" s="4"/>
      <x:c r="EJ772" s="4"/>
      <x:c r="EK772" s="4"/>
      <x:c r="EL772" s="4"/>
      <x:c r="EM772" s="4"/>
      <x:c r="EN772" s="4"/>
      <x:c r="EO772" s="4"/>
      <x:c r="EP772" s="4"/>
      <x:c r="EQ772" s="4"/>
      <x:c r="ER772" s="4"/>
      <x:c r="ES772" s="4"/>
      <x:c r="ET772" s="4"/>
      <x:c r="EU772" s="4"/>
      <x:c r="EV772" s="4"/>
      <x:c r="EW772" s="4"/>
      <x:c r="EX772" s="4"/>
      <x:c r="EY772" s="4"/>
      <x:c r="EZ772" s="4"/>
      <x:c r="FA772" s="4"/>
      <x:c r="FB772" s="4"/>
      <x:c r="FC772" s="4"/>
      <x:c r="FD772" s="4"/>
      <x:c r="FE772" s="4"/>
      <x:c r="FF772" s="4"/>
      <x:c r="FG772" s="4"/>
      <x:c r="FH772" s="4"/>
      <x:c r="FI772" s="4"/>
      <x:c r="FJ772" s="4"/>
      <x:c r="FK772" s="4"/>
      <x:c r="FL772" s="4"/>
      <x:c r="FM772" s="4"/>
      <x:c r="FN772" s="4"/>
      <x:c r="FO772" s="4"/>
    </x:row>
    <x:row r="773">
      <x:c r="A773" s="72"/>
      <x:c r="B773" s="72"/>
      <x:c r="C773" s="72"/>
      <x:c r="D773" s="72"/>
      <x:c r="E773" s="72"/>
      <x:c r="F773" s="72"/>
      <x:c r="G773" s="72"/>
      <x:c r="H773" s="72"/>
      <x:c r="I773" s="72"/>
      <x:c r="J773" s="72"/>
      <x:c r="K773" s="72"/>
      <x:c r="L773" s="72"/>
      <x:c r="M773" s="72"/>
      <x:c r="N773" s="72"/>
      <x:c r="O773" s="72"/>
      <x:c r="P773" s="72"/>
      <x:c r="Q773" s="72"/>
      <x:c r="R773" s="72"/>
      <x:c r="S773" s="72"/>
      <x:c r="T773" s="72"/>
      <x:c r="U773" s="72"/>
      <x:c r="V773" s="72"/>
      <x:c r="W773" s="72"/>
      <x:c r="X773" s="72"/>
      <x:c r="Y773" s="72"/>
      <x:c r="Z773" s="72"/>
      <x:c r="AA773" s="72"/>
      <x:c r="AB773" s="72"/>
      <x:c r="AC773" s="72"/>
      <x:c r="AD773" s="72"/>
      <x:c r="AE773" s="72"/>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4"/>
      <x:c r="DQ773" s="4"/>
      <x:c r="DR773" s="4"/>
      <x:c r="DS773" s="4"/>
      <x:c r="DT773" s="4"/>
      <x:c r="DU773" s="4"/>
      <x:c r="DV773" s="4"/>
      <x:c r="DW773" s="4"/>
      <x:c r="DX773" s="4"/>
      <x:c r="DY773" s="4"/>
      <x:c r="DZ773" s="4"/>
      <x:c r="EA773" s="4"/>
      <x:c r="EB773" s="4"/>
      <x:c r="EC773" s="4"/>
      <x:c r="ED773" s="4"/>
      <x:c r="EE773" s="4"/>
      <x:c r="EF773" s="4"/>
      <x:c r="EG773" s="4"/>
      <x:c r="EH773" s="4"/>
      <x:c r="EI773" s="4"/>
      <x:c r="EJ773" s="4"/>
      <x:c r="EK773" s="4"/>
      <x:c r="EL773" s="4"/>
      <x:c r="EM773" s="4"/>
      <x:c r="EN773" s="4"/>
      <x:c r="EO773" s="4"/>
      <x:c r="EP773" s="4"/>
      <x:c r="EQ773" s="4"/>
      <x:c r="ER773" s="4"/>
      <x:c r="ES773" s="4"/>
      <x:c r="ET773" s="4"/>
      <x:c r="EU773" s="4"/>
      <x:c r="EV773" s="4"/>
      <x:c r="EW773" s="4"/>
      <x:c r="EX773" s="4"/>
      <x:c r="EY773" s="4"/>
      <x:c r="EZ773" s="4"/>
      <x:c r="FA773" s="4"/>
      <x:c r="FB773" s="4"/>
      <x:c r="FC773" s="4"/>
      <x:c r="FD773" s="4"/>
      <x:c r="FE773" s="4"/>
      <x:c r="FF773" s="4"/>
      <x:c r="FG773" s="4"/>
      <x:c r="FH773" s="4"/>
      <x:c r="FI773" s="4"/>
      <x:c r="FJ773" s="4"/>
      <x:c r="FK773" s="4"/>
      <x:c r="FL773" s="4"/>
      <x:c r="FM773" s="4"/>
      <x:c r="FN773" s="4"/>
      <x:c r="FO773" s="4"/>
    </x:row>
    <x:row r="774">
      <x:c r="A774" s="72"/>
      <x:c r="B774" s="72"/>
      <x:c r="C774" s="72"/>
      <x:c r="D774" s="72"/>
      <x:c r="E774" s="72"/>
      <x:c r="F774" s="72"/>
      <x:c r="G774" s="72"/>
      <x:c r="H774" s="72"/>
      <x:c r="I774" s="72"/>
      <x:c r="J774" s="72"/>
      <x:c r="K774" s="72"/>
      <x:c r="L774" s="72"/>
      <x:c r="M774" s="72"/>
      <x:c r="N774" s="72"/>
      <x:c r="O774" s="72"/>
      <x:c r="P774" s="72"/>
      <x:c r="Q774" s="72"/>
      <x:c r="R774" s="72"/>
      <x:c r="S774" s="72"/>
      <x:c r="T774" s="72"/>
      <x:c r="U774" s="72"/>
      <x:c r="V774" s="72"/>
      <x:c r="W774" s="72"/>
      <x:c r="X774" s="72"/>
      <x:c r="Y774" s="72"/>
      <x:c r="Z774" s="72"/>
      <x:c r="AA774" s="72"/>
      <x:c r="AB774" s="72"/>
      <x:c r="AC774" s="72"/>
      <x:c r="AD774" s="72"/>
      <x:c r="AE774" s="72"/>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4"/>
      <x:c r="DQ774" s="4"/>
      <x:c r="DR774" s="4"/>
      <x:c r="DS774" s="4"/>
      <x:c r="DT774" s="4"/>
      <x:c r="DU774" s="4"/>
      <x:c r="DV774" s="4"/>
      <x:c r="DW774" s="4"/>
      <x:c r="DX774" s="4"/>
      <x:c r="DY774" s="4"/>
      <x:c r="DZ774" s="4"/>
      <x:c r="EA774" s="4"/>
      <x:c r="EB774" s="4"/>
      <x:c r="EC774" s="4"/>
      <x:c r="ED774" s="4"/>
      <x:c r="EE774" s="4"/>
      <x:c r="EF774" s="4"/>
      <x:c r="EG774" s="4"/>
      <x:c r="EH774" s="4"/>
      <x:c r="EI774" s="4"/>
      <x:c r="EJ774" s="4"/>
      <x:c r="EK774" s="4"/>
      <x:c r="EL774" s="4"/>
      <x:c r="EM774" s="4"/>
      <x:c r="EN774" s="4"/>
      <x:c r="EO774" s="4"/>
      <x:c r="EP774" s="4"/>
      <x:c r="EQ774" s="4"/>
      <x:c r="ER774" s="4"/>
      <x:c r="ES774" s="4"/>
      <x:c r="ET774" s="4"/>
      <x:c r="EU774" s="4"/>
      <x:c r="EV774" s="4"/>
      <x:c r="EW774" s="4"/>
      <x:c r="EX774" s="4"/>
      <x:c r="EY774" s="4"/>
      <x:c r="EZ774" s="4"/>
      <x:c r="FA774" s="4"/>
      <x:c r="FB774" s="4"/>
      <x:c r="FC774" s="4"/>
      <x:c r="FD774" s="4"/>
      <x:c r="FE774" s="4"/>
      <x:c r="FF774" s="4"/>
      <x:c r="FG774" s="4"/>
      <x:c r="FH774" s="4"/>
      <x:c r="FI774" s="4"/>
      <x:c r="FJ774" s="4"/>
      <x:c r="FK774" s="4"/>
      <x:c r="FL774" s="4"/>
      <x:c r="FM774" s="4"/>
      <x:c r="FN774" s="4"/>
      <x:c r="FO774" s="4"/>
    </x:row>
    <x:row r="775">
      <x:c r="A775" s="72"/>
      <x:c r="B775" s="72"/>
      <x:c r="C775" s="72"/>
      <x:c r="D775" s="72"/>
      <x:c r="E775" s="72"/>
      <x:c r="F775" s="72"/>
      <x:c r="G775" s="72"/>
      <x:c r="H775" s="72"/>
      <x:c r="I775" s="72"/>
      <x:c r="J775" s="72"/>
      <x:c r="K775" s="72"/>
      <x:c r="L775" s="72"/>
      <x:c r="M775" s="72"/>
      <x:c r="N775" s="72"/>
      <x:c r="O775" s="72"/>
      <x:c r="P775" s="72"/>
      <x:c r="Q775" s="72"/>
      <x:c r="R775" s="72"/>
      <x:c r="S775" s="72"/>
      <x:c r="T775" s="72"/>
      <x:c r="U775" s="72"/>
      <x:c r="V775" s="72"/>
      <x:c r="W775" s="72"/>
      <x:c r="X775" s="72"/>
      <x:c r="Y775" s="72"/>
      <x:c r="Z775" s="72"/>
      <x:c r="AA775" s="72"/>
      <x:c r="AB775" s="72"/>
      <x:c r="AC775" s="72"/>
      <x:c r="AD775" s="72"/>
      <x:c r="AE775" s="72"/>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4"/>
      <x:c r="DQ775" s="4"/>
      <x:c r="DR775" s="4"/>
      <x:c r="DS775" s="4"/>
      <x:c r="DT775" s="4"/>
      <x:c r="DU775" s="4"/>
      <x:c r="DV775" s="4"/>
      <x:c r="DW775" s="4"/>
      <x:c r="DX775" s="4"/>
      <x:c r="DY775" s="4"/>
      <x:c r="DZ775" s="4"/>
      <x:c r="EA775" s="4"/>
      <x:c r="EB775" s="4"/>
      <x:c r="EC775" s="4"/>
      <x:c r="ED775" s="4"/>
      <x:c r="EE775" s="4"/>
      <x:c r="EF775" s="4"/>
      <x:c r="EG775" s="4"/>
      <x:c r="EH775" s="4"/>
      <x:c r="EI775" s="4"/>
      <x:c r="EJ775" s="4"/>
      <x:c r="EK775" s="4"/>
      <x:c r="EL775" s="4"/>
      <x:c r="EM775" s="4"/>
      <x:c r="EN775" s="4"/>
      <x:c r="EO775" s="4"/>
      <x:c r="EP775" s="4"/>
      <x:c r="EQ775" s="4"/>
      <x:c r="ER775" s="4"/>
      <x:c r="ES775" s="4"/>
      <x:c r="ET775" s="4"/>
      <x:c r="EU775" s="4"/>
      <x:c r="EV775" s="4"/>
      <x:c r="EW775" s="4"/>
      <x:c r="EX775" s="4"/>
      <x:c r="EY775" s="4"/>
      <x:c r="EZ775" s="4"/>
      <x:c r="FA775" s="4"/>
      <x:c r="FB775" s="4"/>
      <x:c r="FC775" s="4"/>
      <x:c r="FD775" s="4"/>
      <x:c r="FE775" s="4"/>
      <x:c r="FF775" s="4"/>
      <x:c r="FG775" s="4"/>
      <x:c r="FH775" s="4"/>
      <x:c r="FI775" s="4"/>
      <x:c r="FJ775" s="4"/>
      <x:c r="FK775" s="4"/>
      <x:c r="FL775" s="4"/>
      <x:c r="FM775" s="4"/>
      <x:c r="FN775" s="4"/>
      <x:c r="FO775" s="4"/>
    </x:row>
    <x:row r="776">
      <x:c r="A776" s="72"/>
      <x:c r="B776" s="72"/>
      <x:c r="C776" s="72"/>
      <x:c r="D776" s="72"/>
      <x:c r="E776" s="72"/>
      <x:c r="F776" s="72"/>
      <x:c r="G776" s="72"/>
      <x:c r="H776" s="72"/>
      <x:c r="I776" s="72"/>
      <x:c r="J776" s="72"/>
      <x:c r="K776" s="72"/>
      <x:c r="L776" s="72"/>
      <x:c r="M776" s="72"/>
      <x:c r="N776" s="72"/>
      <x:c r="O776" s="72"/>
      <x:c r="P776" s="72"/>
      <x:c r="Q776" s="72"/>
      <x:c r="R776" s="72"/>
      <x:c r="S776" s="72"/>
      <x:c r="T776" s="72"/>
      <x:c r="U776" s="72"/>
      <x:c r="V776" s="72"/>
      <x:c r="W776" s="72"/>
      <x:c r="X776" s="72"/>
      <x:c r="Y776" s="72"/>
      <x:c r="Z776" s="72"/>
      <x:c r="AA776" s="72"/>
      <x:c r="AB776" s="72"/>
      <x:c r="AC776" s="72"/>
      <x:c r="AD776" s="72"/>
      <x:c r="AE776" s="72"/>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4"/>
      <x:c r="DQ776" s="4"/>
      <x:c r="DR776" s="4"/>
      <x:c r="DS776" s="4"/>
      <x:c r="DT776" s="4"/>
      <x:c r="DU776" s="4"/>
      <x:c r="DV776" s="4"/>
      <x:c r="DW776" s="4"/>
      <x:c r="DX776" s="4"/>
      <x:c r="DY776" s="4"/>
      <x:c r="DZ776" s="4"/>
      <x:c r="EA776" s="4"/>
      <x:c r="EB776" s="4"/>
      <x:c r="EC776" s="4"/>
      <x:c r="ED776" s="4"/>
      <x:c r="EE776" s="4"/>
      <x:c r="EF776" s="4"/>
      <x:c r="EG776" s="4"/>
      <x:c r="EH776" s="4"/>
      <x:c r="EI776" s="4"/>
      <x:c r="EJ776" s="4"/>
      <x:c r="EK776" s="4"/>
      <x:c r="EL776" s="4"/>
      <x:c r="EM776" s="4"/>
      <x:c r="EN776" s="4"/>
      <x:c r="EO776" s="4"/>
      <x:c r="EP776" s="4"/>
      <x:c r="EQ776" s="4"/>
      <x:c r="ER776" s="4"/>
      <x:c r="ES776" s="4"/>
      <x:c r="ET776" s="4"/>
      <x:c r="EU776" s="4"/>
      <x:c r="EV776" s="4"/>
      <x:c r="EW776" s="4"/>
      <x:c r="EX776" s="4"/>
      <x:c r="EY776" s="4"/>
      <x:c r="EZ776" s="4"/>
      <x:c r="FA776" s="4"/>
      <x:c r="FB776" s="4"/>
      <x:c r="FC776" s="4"/>
      <x:c r="FD776" s="4"/>
      <x:c r="FE776" s="4"/>
      <x:c r="FF776" s="4"/>
      <x:c r="FG776" s="4"/>
      <x:c r="FH776" s="4"/>
      <x:c r="FI776" s="4"/>
      <x:c r="FJ776" s="4"/>
      <x:c r="FK776" s="4"/>
      <x:c r="FL776" s="4"/>
      <x:c r="FM776" s="4"/>
      <x:c r="FN776" s="4"/>
      <x:c r="FO776" s="4"/>
    </x:row>
    <x:row r="777">
      <x:c r="A777" s="72"/>
      <x:c r="B777" s="72"/>
      <x:c r="C777" s="72"/>
      <x:c r="D777" s="72"/>
      <x:c r="E777" s="72"/>
      <x:c r="F777" s="72"/>
      <x:c r="G777" s="72"/>
      <x:c r="H777" s="72"/>
      <x:c r="I777" s="72"/>
      <x:c r="J777" s="72"/>
      <x:c r="K777" s="72"/>
      <x:c r="L777" s="72"/>
      <x:c r="M777" s="72"/>
      <x:c r="N777" s="72"/>
      <x:c r="O777" s="72"/>
      <x:c r="P777" s="72"/>
      <x:c r="Q777" s="72"/>
      <x:c r="R777" s="72"/>
      <x:c r="S777" s="72"/>
      <x:c r="T777" s="72"/>
      <x:c r="U777" s="72"/>
      <x:c r="V777" s="72"/>
      <x:c r="W777" s="72"/>
      <x:c r="X777" s="72"/>
      <x:c r="Y777" s="72"/>
      <x:c r="Z777" s="72"/>
      <x:c r="AA777" s="72"/>
      <x:c r="AB777" s="72"/>
      <x:c r="AC777" s="72"/>
      <x:c r="AD777" s="72"/>
      <x:c r="AE777" s="72"/>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4"/>
      <x:c r="DQ777" s="4"/>
      <x:c r="DR777" s="4"/>
      <x:c r="DS777" s="4"/>
      <x:c r="DT777" s="4"/>
      <x:c r="DU777" s="4"/>
      <x:c r="DV777" s="4"/>
      <x:c r="DW777" s="4"/>
      <x:c r="DX777" s="4"/>
      <x:c r="DY777" s="4"/>
      <x:c r="DZ777" s="4"/>
      <x:c r="EA777" s="4"/>
      <x:c r="EB777" s="4"/>
      <x:c r="EC777" s="4"/>
      <x:c r="ED777" s="4"/>
      <x:c r="EE777" s="4"/>
      <x:c r="EF777" s="4"/>
      <x:c r="EG777" s="4"/>
      <x:c r="EH777" s="4"/>
      <x:c r="EI777" s="4"/>
      <x:c r="EJ777" s="4"/>
      <x:c r="EK777" s="4"/>
      <x:c r="EL777" s="4"/>
      <x:c r="EM777" s="4"/>
      <x:c r="EN777" s="4"/>
      <x:c r="EO777" s="4"/>
      <x:c r="EP777" s="4"/>
      <x:c r="EQ777" s="4"/>
      <x:c r="ER777" s="4"/>
      <x:c r="ES777" s="4"/>
      <x:c r="ET777" s="4"/>
      <x:c r="EU777" s="4"/>
      <x:c r="EV777" s="4"/>
      <x:c r="EW777" s="4"/>
      <x:c r="EX777" s="4"/>
      <x:c r="EY777" s="4"/>
      <x:c r="EZ777" s="4"/>
      <x:c r="FA777" s="4"/>
      <x:c r="FB777" s="4"/>
      <x:c r="FC777" s="4"/>
      <x:c r="FD777" s="4"/>
      <x:c r="FE777" s="4"/>
      <x:c r="FF777" s="4"/>
      <x:c r="FG777" s="4"/>
      <x:c r="FH777" s="4"/>
      <x:c r="FI777" s="4"/>
      <x:c r="FJ777" s="4"/>
      <x:c r="FK777" s="4"/>
      <x:c r="FL777" s="4"/>
      <x:c r="FM777" s="4"/>
      <x:c r="FN777" s="4"/>
      <x:c r="FO777" s="4"/>
    </x:row>
    <x:row r="778">
      <x:c r="A778" s="72"/>
      <x:c r="B778" s="72"/>
      <x:c r="C778" s="72"/>
      <x:c r="D778" s="72"/>
      <x:c r="E778" s="72"/>
      <x:c r="F778" s="72"/>
      <x:c r="G778" s="72"/>
      <x:c r="H778" s="72"/>
      <x:c r="I778" s="72"/>
      <x:c r="J778" s="72"/>
      <x:c r="K778" s="72"/>
      <x:c r="L778" s="72"/>
      <x:c r="M778" s="72"/>
      <x:c r="N778" s="72"/>
      <x:c r="O778" s="72"/>
      <x:c r="P778" s="72"/>
      <x:c r="Q778" s="72"/>
      <x:c r="R778" s="72"/>
      <x:c r="S778" s="72"/>
      <x:c r="T778" s="72"/>
      <x:c r="U778" s="72"/>
      <x:c r="V778" s="72"/>
      <x:c r="W778" s="72"/>
      <x:c r="X778" s="72"/>
      <x:c r="Y778" s="72"/>
      <x:c r="Z778" s="72"/>
      <x:c r="AA778" s="72"/>
      <x:c r="AB778" s="72"/>
      <x:c r="AC778" s="72"/>
      <x:c r="AD778" s="72"/>
      <x:c r="AE778" s="72"/>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4"/>
      <x:c r="DQ778" s="4"/>
      <x:c r="DR778" s="4"/>
      <x:c r="DS778" s="4"/>
      <x:c r="DT778" s="4"/>
      <x:c r="DU778" s="4"/>
      <x:c r="DV778" s="4"/>
      <x:c r="DW778" s="4"/>
      <x:c r="DX778" s="4"/>
      <x:c r="DY778" s="4"/>
      <x:c r="DZ778" s="4"/>
      <x:c r="EA778" s="4"/>
      <x:c r="EB778" s="4"/>
      <x:c r="EC778" s="4"/>
      <x:c r="ED778" s="4"/>
      <x:c r="EE778" s="4"/>
      <x:c r="EF778" s="4"/>
      <x:c r="EG778" s="4"/>
      <x:c r="EH778" s="4"/>
      <x:c r="EI778" s="4"/>
      <x:c r="EJ778" s="4"/>
      <x:c r="EK778" s="4"/>
      <x:c r="EL778" s="4"/>
      <x:c r="EM778" s="4"/>
      <x:c r="EN778" s="4"/>
      <x:c r="EO778" s="4"/>
      <x:c r="EP778" s="4"/>
      <x:c r="EQ778" s="4"/>
      <x:c r="ER778" s="4"/>
      <x:c r="ES778" s="4"/>
      <x:c r="ET778" s="4"/>
      <x:c r="EU778" s="4"/>
      <x:c r="EV778" s="4"/>
      <x:c r="EW778" s="4"/>
      <x:c r="EX778" s="4"/>
      <x:c r="EY778" s="4"/>
      <x:c r="EZ778" s="4"/>
      <x:c r="FA778" s="4"/>
      <x:c r="FB778" s="4"/>
      <x:c r="FC778" s="4"/>
      <x:c r="FD778" s="4"/>
      <x:c r="FE778" s="4"/>
      <x:c r="FF778" s="4"/>
      <x:c r="FG778" s="4"/>
      <x:c r="FH778" s="4"/>
      <x:c r="FI778" s="4"/>
      <x:c r="FJ778" s="4"/>
      <x:c r="FK778" s="4"/>
      <x:c r="FL778" s="4"/>
      <x:c r="FM778" s="4"/>
      <x:c r="FN778" s="4"/>
      <x:c r="FO778" s="4"/>
    </x:row>
    <x:row r="779">
      <x:c r="A779" s="72"/>
      <x:c r="B779" s="72"/>
      <x:c r="C779" s="72"/>
      <x:c r="D779" s="72"/>
      <x:c r="E779" s="72"/>
      <x:c r="F779" s="72"/>
      <x:c r="G779" s="72"/>
      <x:c r="H779" s="72"/>
      <x:c r="I779" s="72"/>
      <x:c r="J779" s="72"/>
      <x:c r="K779" s="72"/>
      <x:c r="L779" s="72"/>
      <x:c r="M779" s="72"/>
      <x:c r="N779" s="72"/>
      <x:c r="O779" s="72"/>
      <x:c r="P779" s="72"/>
      <x:c r="Q779" s="72"/>
      <x:c r="R779" s="72"/>
      <x:c r="S779" s="72"/>
      <x:c r="T779" s="72"/>
      <x:c r="U779" s="72"/>
      <x:c r="V779" s="72"/>
      <x:c r="W779" s="72"/>
      <x:c r="X779" s="72"/>
      <x:c r="Y779" s="72"/>
      <x:c r="Z779" s="72"/>
      <x:c r="AA779" s="72"/>
      <x:c r="AB779" s="72"/>
      <x:c r="AC779" s="72"/>
      <x:c r="AD779" s="72"/>
      <x:c r="AE779" s="72"/>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4"/>
      <x:c r="DQ779" s="4"/>
      <x:c r="DR779" s="4"/>
      <x:c r="DS779" s="4"/>
      <x:c r="DT779" s="4"/>
      <x:c r="DU779" s="4"/>
      <x:c r="DV779" s="4"/>
      <x:c r="DW779" s="4"/>
      <x:c r="DX779" s="4"/>
      <x:c r="DY779" s="4"/>
      <x:c r="DZ779" s="4"/>
      <x:c r="EA779" s="4"/>
      <x:c r="EB779" s="4"/>
      <x:c r="EC779" s="4"/>
      <x:c r="ED779" s="4"/>
      <x:c r="EE779" s="4"/>
      <x:c r="EF779" s="4"/>
      <x:c r="EG779" s="4"/>
      <x:c r="EH779" s="4"/>
      <x:c r="EI779" s="4"/>
      <x:c r="EJ779" s="4"/>
      <x:c r="EK779" s="4"/>
      <x:c r="EL779" s="4"/>
      <x:c r="EM779" s="4"/>
      <x:c r="EN779" s="4"/>
      <x:c r="EO779" s="4"/>
      <x:c r="EP779" s="4"/>
      <x:c r="EQ779" s="4"/>
      <x:c r="ER779" s="4"/>
      <x:c r="ES779" s="4"/>
      <x:c r="ET779" s="4"/>
      <x:c r="EU779" s="4"/>
      <x:c r="EV779" s="4"/>
      <x:c r="EW779" s="4"/>
      <x:c r="EX779" s="4"/>
      <x:c r="EY779" s="4"/>
      <x:c r="EZ779" s="4"/>
      <x:c r="FA779" s="4"/>
      <x:c r="FB779" s="4"/>
      <x:c r="FC779" s="4"/>
      <x:c r="FD779" s="4"/>
      <x:c r="FE779" s="4"/>
      <x:c r="FF779" s="4"/>
      <x:c r="FG779" s="4"/>
      <x:c r="FH779" s="4"/>
      <x:c r="FI779" s="4"/>
      <x:c r="FJ779" s="4"/>
      <x:c r="FK779" s="4"/>
      <x:c r="FL779" s="4"/>
      <x:c r="FM779" s="4"/>
      <x:c r="FN779" s="4"/>
      <x:c r="FO779" s="4"/>
    </x:row>
    <x:row r="780">
      <x:c r="A780" s="72"/>
      <x:c r="B780" s="72"/>
      <x:c r="C780" s="72"/>
      <x:c r="D780" s="72"/>
      <x:c r="E780" s="72"/>
      <x:c r="F780" s="72"/>
      <x:c r="G780" s="72"/>
      <x:c r="H780" s="72"/>
      <x:c r="I780" s="72"/>
      <x:c r="J780" s="72"/>
      <x:c r="K780" s="72"/>
      <x:c r="L780" s="72"/>
      <x:c r="M780" s="72"/>
      <x:c r="N780" s="72"/>
      <x:c r="O780" s="72"/>
      <x:c r="P780" s="72"/>
      <x:c r="Q780" s="72"/>
      <x:c r="R780" s="72"/>
      <x:c r="S780" s="72"/>
      <x:c r="T780" s="72"/>
      <x:c r="U780" s="72"/>
      <x:c r="V780" s="72"/>
      <x:c r="W780" s="72"/>
      <x:c r="X780" s="72"/>
      <x:c r="Y780" s="72"/>
      <x:c r="Z780" s="72"/>
      <x:c r="AA780" s="72"/>
      <x:c r="AB780" s="72"/>
      <x:c r="AC780" s="72"/>
      <x:c r="AD780" s="72"/>
      <x:c r="AE780" s="72"/>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4"/>
      <x:c r="DQ780" s="4"/>
      <x:c r="DR780" s="4"/>
      <x:c r="DS780" s="4"/>
      <x:c r="DT780" s="4"/>
      <x:c r="DU780" s="4"/>
      <x:c r="DV780" s="4"/>
      <x:c r="DW780" s="4"/>
      <x:c r="DX780" s="4"/>
      <x:c r="DY780" s="4"/>
      <x:c r="DZ780" s="4"/>
      <x:c r="EA780" s="4"/>
      <x:c r="EB780" s="4"/>
      <x:c r="EC780" s="4"/>
      <x:c r="ED780" s="4"/>
      <x:c r="EE780" s="4"/>
      <x:c r="EF780" s="4"/>
      <x:c r="EG780" s="4"/>
      <x:c r="EH780" s="4"/>
      <x:c r="EI780" s="4"/>
      <x:c r="EJ780" s="4"/>
      <x:c r="EK780" s="4"/>
      <x:c r="EL780" s="4"/>
      <x:c r="EM780" s="4"/>
      <x:c r="EN780" s="4"/>
      <x:c r="EO780" s="4"/>
      <x:c r="EP780" s="4"/>
      <x:c r="EQ780" s="4"/>
      <x:c r="ER780" s="4"/>
      <x:c r="ES780" s="4"/>
      <x:c r="ET780" s="4"/>
      <x:c r="EU780" s="4"/>
      <x:c r="EV780" s="4"/>
      <x:c r="EW780" s="4"/>
      <x:c r="EX780" s="4"/>
      <x:c r="EY780" s="4"/>
      <x:c r="EZ780" s="4"/>
      <x:c r="FA780" s="4"/>
      <x:c r="FB780" s="4"/>
      <x:c r="FC780" s="4"/>
      <x:c r="FD780" s="4"/>
      <x:c r="FE780" s="4"/>
      <x:c r="FF780" s="4"/>
      <x:c r="FG780" s="4"/>
      <x:c r="FH780" s="4"/>
      <x:c r="FI780" s="4"/>
      <x:c r="FJ780" s="4"/>
      <x:c r="FK780" s="4"/>
      <x:c r="FL780" s="4"/>
      <x:c r="FM780" s="4"/>
      <x:c r="FN780" s="4"/>
      <x:c r="FO780" s="4"/>
    </x:row>
    <x:row r="781">
      <x:c r="A781" s="72"/>
      <x:c r="B781" s="72"/>
      <x:c r="C781" s="72"/>
      <x:c r="D781" s="72"/>
      <x:c r="E781" s="72"/>
      <x:c r="F781" s="72"/>
      <x:c r="G781" s="72"/>
      <x:c r="H781" s="72"/>
      <x:c r="I781" s="72"/>
      <x:c r="J781" s="72"/>
      <x:c r="K781" s="72"/>
      <x:c r="L781" s="72"/>
      <x:c r="M781" s="72"/>
      <x:c r="N781" s="72"/>
      <x:c r="O781" s="72"/>
      <x:c r="P781" s="72"/>
      <x:c r="Q781" s="72"/>
      <x:c r="R781" s="72"/>
      <x:c r="S781" s="72"/>
      <x:c r="T781" s="72"/>
      <x:c r="U781" s="72"/>
      <x:c r="V781" s="72"/>
      <x:c r="W781" s="72"/>
      <x:c r="X781" s="72"/>
      <x:c r="Y781" s="72"/>
      <x:c r="Z781" s="72"/>
      <x:c r="AA781" s="72"/>
      <x:c r="AB781" s="72"/>
      <x:c r="AC781" s="72"/>
      <x:c r="AD781" s="72"/>
      <x:c r="AE781" s="72"/>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4"/>
      <x:c r="DQ781" s="4"/>
      <x:c r="DR781" s="4"/>
      <x:c r="DS781" s="4"/>
      <x:c r="DT781" s="4"/>
      <x:c r="DU781" s="4"/>
      <x:c r="DV781" s="4"/>
      <x:c r="DW781" s="4"/>
      <x:c r="DX781" s="4"/>
      <x:c r="DY781" s="4"/>
      <x:c r="DZ781" s="4"/>
      <x:c r="EA781" s="4"/>
      <x:c r="EB781" s="4"/>
      <x:c r="EC781" s="4"/>
      <x:c r="ED781" s="4"/>
      <x:c r="EE781" s="4"/>
      <x:c r="EF781" s="4"/>
      <x:c r="EG781" s="4"/>
      <x:c r="EH781" s="4"/>
      <x:c r="EI781" s="4"/>
      <x:c r="EJ781" s="4"/>
      <x:c r="EK781" s="4"/>
      <x:c r="EL781" s="4"/>
      <x:c r="EM781" s="4"/>
      <x:c r="EN781" s="4"/>
      <x:c r="EO781" s="4"/>
      <x:c r="EP781" s="4"/>
      <x:c r="EQ781" s="4"/>
      <x:c r="ER781" s="4"/>
      <x:c r="ES781" s="4"/>
      <x:c r="ET781" s="4"/>
      <x:c r="EU781" s="4"/>
      <x:c r="EV781" s="4"/>
      <x:c r="EW781" s="4"/>
      <x:c r="EX781" s="4"/>
      <x:c r="EY781" s="4"/>
      <x:c r="EZ781" s="4"/>
      <x:c r="FA781" s="4"/>
      <x:c r="FB781" s="4"/>
      <x:c r="FC781" s="4"/>
      <x:c r="FD781" s="4"/>
      <x:c r="FE781" s="4"/>
      <x:c r="FF781" s="4"/>
      <x:c r="FG781" s="4"/>
      <x:c r="FH781" s="4"/>
      <x:c r="FI781" s="4"/>
      <x:c r="FJ781" s="4"/>
      <x:c r="FK781" s="4"/>
      <x:c r="FL781" s="4"/>
      <x:c r="FM781" s="4"/>
      <x:c r="FN781" s="4"/>
      <x:c r="FO781" s="4"/>
    </x:row>
    <x:row r="782">
      <x:c r="A782" s="72"/>
      <x:c r="B782" s="72"/>
      <x:c r="C782" s="72"/>
      <x:c r="D782" s="72"/>
      <x:c r="E782" s="72"/>
      <x:c r="F782" s="72"/>
      <x:c r="G782" s="72"/>
      <x:c r="H782" s="72"/>
      <x:c r="I782" s="72"/>
      <x:c r="J782" s="72"/>
      <x:c r="K782" s="72"/>
      <x:c r="L782" s="72"/>
      <x:c r="M782" s="72"/>
      <x:c r="N782" s="72"/>
      <x:c r="O782" s="72"/>
      <x:c r="P782" s="72"/>
      <x:c r="Q782" s="72"/>
      <x:c r="R782" s="72"/>
      <x:c r="S782" s="72"/>
      <x:c r="T782" s="72"/>
      <x:c r="U782" s="72"/>
      <x:c r="V782" s="72"/>
      <x:c r="W782" s="72"/>
      <x:c r="X782" s="72"/>
      <x:c r="Y782" s="72"/>
      <x:c r="Z782" s="72"/>
      <x:c r="AA782" s="72"/>
      <x:c r="AB782" s="72"/>
      <x:c r="AC782" s="72"/>
      <x:c r="AD782" s="72"/>
      <x:c r="AE782" s="72"/>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4"/>
      <x:c r="DQ782" s="4"/>
      <x:c r="DR782" s="4"/>
      <x:c r="DS782" s="4"/>
      <x:c r="DT782" s="4"/>
      <x:c r="DU782" s="4"/>
      <x:c r="DV782" s="4"/>
      <x:c r="DW782" s="4"/>
      <x:c r="DX782" s="4"/>
      <x:c r="DY782" s="4"/>
      <x:c r="DZ782" s="4"/>
      <x:c r="EA782" s="4"/>
      <x:c r="EB782" s="4"/>
      <x:c r="EC782" s="4"/>
      <x:c r="ED782" s="4"/>
      <x:c r="EE782" s="4"/>
      <x:c r="EF782" s="4"/>
      <x:c r="EG782" s="4"/>
      <x:c r="EH782" s="4"/>
      <x:c r="EI782" s="4"/>
      <x:c r="EJ782" s="4"/>
      <x:c r="EK782" s="4"/>
      <x:c r="EL782" s="4"/>
      <x:c r="EM782" s="4"/>
      <x:c r="EN782" s="4"/>
      <x:c r="EO782" s="4"/>
      <x:c r="EP782" s="4"/>
      <x:c r="EQ782" s="4"/>
      <x:c r="ER782" s="4"/>
      <x:c r="ES782" s="4"/>
      <x:c r="ET782" s="4"/>
      <x:c r="EU782" s="4"/>
      <x:c r="EV782" s="4"/>
      <x:c r="EW782" s="4"/>
      <x:c r="EX782" s="4"/>
      <x:c r="EY782" s="4"/>
      <x:c r="EZ782" s="4"/>
      <x:c r="FA782" s="4"/>
      <x:c r="FB782" s="4"/>
      <x:c r="FC782" s="4"/>
      <x:c r="FD782" s="4"/>
      <x:c r="FE782" s="4"/>
      <x:c r="FF782" s="4"/>
      <x:c r="FG782" s="4"/>
      <x:c r="FH782" s="4"/>
      <x:c r="FI782" s="4"/>
      <x:c r="FJ782" s="4"/>
      <x:c r="FK782" s="4"/>
      <x:c r="FL782" s="4"/>
      <x:c r="FM782" s="4"/>
      <x:c r="FN782" s="4"/>
      <x:c r="FO782" s="4"/>
    </x:row>
    <x:row r="783">
      <x:c r="A783" s="72"/>
      <x:c r="B783" s="72"/>
      <x:c r="C783" s="72"/>
      <x:c r="D783" s="72"/>
      <x:c r="E783" s="72"/>
      <x:c r="F783" s="72"/>
      <x:c r="G783" s="72"/>
      <x:c r="H783" s="72"/>
      <x:c r="I783" s="72"/>
      <x:c r="J783" s="72"/>
      <x:c r="K783" s="72"/>
      <x:c r="L783" s="72"/>
      <x:c r="M783" s="72"/>
      <x:c r="N783" s="72"/>
      <x:c r="O783" s="72"/>
      <x:c r="P783" s="72"/>
      <x:c r="Q783" s="72"/>
      <x:c r="R783" s="72"/>
      <x:c r="S783" s="72"/>
      <x:c r="T783" s="72"/>
      <x:c r="U783" s="72"/>
      <x:c r="V783" s="72"/>
      <x:c r="W783" s="72"/>
      <x:c r="X783" s="72"/>
      <x:c r="Y783" s="72"/>
      <x:c r="Z783" s="72"/>
      <x:c r="AA783" s="72"/>
      <x:c r="AB783" s="72"/>
      <x:c r="AC783" s="72"/>
      <x:c r="AD783" s="72"/>
      <x:c r="AE783" s="72"/>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4"/>
      <x:c r="DQ783" s="4"/>
      <x:c r="DR783" s="4"/>
      <x:c r="DS783" s="4"/>
      <x:c r="DT783" s="4"/>
      <x:c r="DU783" s="4"/>
      <x:c r="DV783" s="4"/>
      <x:c r="DW783" s="4"/>
      <x:c r="DX783" s="4"/>
      <x:c r="DY783" s="4"/>
      <x:c r="DZ783" s="4"/>
      <x:c r="EA783" s="4"/>
      <x:c r="EB783" s="4"/>
      <x:c r="EC783" s="4"/>
      <x:c r="ED783" s="4"/>
      <x:c r="EE783" s="4"/>
      <x:c r="EF783" s="4"/>
      <x:c r="EG783" s="4"/>
      <x:c r="EH783" s="4"/>
      <x:c r="EI783" s="4"/>
      <x:c r="EJ783" s="4"/>
      <x:c r="EK783" s="4"/>
      <x:c r="EL783" s="4"/>
      <x:c r="EM783" s="4"/>
      <x:c r="EN783" s="4"/>
      <x:c r="EO783" s="4"/>
      <x:c r="EP783" s="4"/>
      <x:c r="EQ783" s="4"/>
      <x:c r="ER783" s="4"/>
      <x:c r="ES783" s="4"/>
      <x:c r="ET783" s="4"/>
      <x:c r="EU783" s="4"/>
      <x:c r="EV783" s="4"/>
      <x:c r="EW783" s="4"/>
      <x:c r="EX783" s="4"/>
      <x:c r="EY783" s="4"/>
      <x:c r="EZ783" s="4"/>
      <x:c r="FA783" s="4"/>
      <x:c r="FB783" s="4"/>
      <x:c r="FC783" s="4"/>
      <x:c r="FD783" s="4"/>
      <x:c r="FE783" s="4"/>
      <x:c r="FF783" s="4"/>
      <x:c r="FG783" s="4"/>
      <x:c r="FH783" s="4"/>
      <x:c r="FI783" s="4"/>
      <x:c r="FJ783" s="4"/>
      <x:c r="FK783" s="4"/>
      <x:c r="FL783" s="4"/>
      <x:c r="FM783" s="4"/>
      <x:c r="FN783" s="4"/>
      <x:c r="FO783" s="4"/>
    </x:row>
    <x:row r="784">
      <x:c r="A784" s="72"/>
      <x:c r="B784" s="72"/>
      <x:c r="C784" s="72"/>
      <x:c r="D784" s="72"/>
      <x:c r="E784" s="72"/>
      <x:c r="F784" s="72"/>
      <x:c r="G784" s="72"/>
      <x:c r="H784" s="72"/>
      <x:c r="I784" s="72"/>
      <x:c r="J784" s="72"/>
      <x:c r="K784" s="72"/>
      <x:c r="L784" s="72"/>
      <x:c r="M784" s="72"/>
      <x:c r="N784" s="72"/>
      <x:c r="O784" s="72"/>
      <x:c r="P784" s="72"/>
      <x:c r="Q784" s="72"/>
      <x:c r="R784" s="72"/>
      <x:c r="S784" s="72"/>
      <x:c r="T784" s="72"/>
      <x:c r="U784" s="72"/>
      <x:c r="V784" s="72"/>
      <x:c r="W784" s="72"/>
      <x:c r="X784" s="72"/>
      <x:c r="Y784" s="72"/>
      <x:c r="Z784" s="72"/>
      <x:c r="AA784" s="72"/>
      <x:c r="AB784" s="72"/>
      <x:c r="AC784" s="72"/>
      <x:c r="AD784" s="72"/>
      <x:c r="AE784" s="72"/>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4"/>
      <x:c r="DQ784" s="4"/>
      <x:c r="DR784" s="4"/>
      <x:c r="DS784" s="4"/>
      <x:c r="DT784" s="4"/>
      <x:c r="DU784" s="4"/>
      <x:c r="DV784" s="4"/>
      <x:c r="DW784" s="4"/>
      <x:c r="DX784" s="4"/>
      <x:c r="DY784" s="4"/>
      <x:c r="DZ784" s="4"/>
      <x:c r="EA784" s="4"/>
      <x:c r="EB784" s="4"/>
      <x:c r="EC784" s="4"/>
      <x:c r="ED784" s="4"/>
      <x:c r="EE784" s="4"/>
      <x:c r="EF784" s="4"/>
      <x:c r="EG784" s="4"/>
      <x:c r="EH784" s="4"/>
      <x:c r="EI784" s="4"/>
      <x:c r="EJ784" s="4"/>
      <x:c r="EK784" s="4"/>
      <x:c r="EL784" s="4"/>
      <x:c r="EM784" s="4"/>
      <x:c r="EN784" s="4"/>
      <x:c r="EO784" s="4"/>
      <x:c r="EP784" s="4"/>
      <x:c r="EQ784" s="4"/>
      <x:c r="ER784" s="4"/>
      <x:c r="ES784" s="4"/>
      <x:c r="ET784" s="4"/>
      <x:c r="EU784" s="4"/>
      <x:c r="EV784" s="4"/>
      <x:c r="EW784" s="4"/>
      <x:c r="EX784" s="4"/>
      <x:c r="EY784" s="4"/>
      <x:c r="EZ784" s="4"/>
      <x:c r="FA784" s="4"/>
      <x:c r="FB784" s="4"/>
      <x:c r="FC784" s="4"/>
      <x:c r="FD784" s="4"/>
      <x:c r="FE784" s="4"/>
      <x:c r="FF784" s="4"/>
      <x:c r="FG784" s="4"/>
      <x:c r="FH784" s="4"/>
      <x:c r="FI784" s="4"/>
      <x:c r="FJ784" s="4"/>
      <x:c r="FK784" s="4"/>
      <x:c r="FL784" s="4"/>
      <x:c r="FM784" s="4"/>
      <x:c r="FN784" s="4"/>
      <x:c r="FO784" s="4"/>
    </x:row>
    <x:row r="785">
      <x:c r="A785" s="72"/>
      <x:c r="B785" s="72"/>
      <x:c r="C785" s="72"/>
      <x:c r="D785" s="72"/>
      <x:c r="E785" s="72"/>
      <x:c r="F785" s="72"/>
      <x:c r="G785" s="72"/>
      <x:c r="H785" s="72"/>
      <x:c r="I785" s="72"/>
      <x:c r="J785" s="72"/>
      <x:c r="K785" s="72"/>
      <x:c r="L785" s="72"/>
      <x:c r="M785" s="72"/>
      <x:c r="N785" s="72"/>
      <x:c r="O785" s="72"/>
      <x:c r="P785" s="72"/>
      <x:c r="Q785" s="72"/>
      <x:c r="R785" s="72"/>
      <x:c r="S785" s="72"/>
      <x:c r="T785" s="72"/>
      <x:c r="U785" s="72"/>
      <x:c r="V785" s="72"/>
      <x:c r="W785" s="72"/>
      <x:c r="X785" s="72"/>
      <x:c r="Y785" s="72"/>
      <x:c r="Z785" s="72"/>
      <x:c r="AA785" s="72"/>
      <x:c r="AB785" s="72"/>
      <x:c r="AC785" s="72"/>
      <x:c r="AD785" s="72"/>
      <x:c r="AE785" s="72"/>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4"/>
      <x:c r="DQ785" s="4"/>
      <x:c r="DR785" s="4"/>
      <x:c r="DS785" s="4"/>
      <x:c r="DT785" s="4"/>
      <x:c r="DU785" s="4"/>
      <x:c r="DV785" s="4"/>
      <x:c r="DW785" s="4"/>
      <x:c r="DX785" s="4"/>
      <x:c r="DY785" s="4"/>
      <x:c r="DZ785" s="4"/>
      <x:c r="EA785" s="4"/>
      <x:c r="EB785" s="4"/>
      <x:c r="EC785" s="4"/>
      <x:c r="ED785" s="4"/>
      <x:c r="EE785" s="4"/>
      <x:c r="EF785" s="4"/>
      <x:c r="EG785" s="4"/>
      <x:c r="EH785" s="4"/>
      <x:c r="EI785" s="4"/>
      <x:c r="EJ785" s="4"/>
      <x:c r="EK785" s="4"/>
      <x:c r="EL785" s="4"/>
      <x:c r="EM785" s="4"/>
      <x:c r="EN785" s="4"/>
      <x:c r="EO785" s="4"/>
      <x:c r="EP785" s="4"/>
      <x:c r="EQ785" s="4"/>
      <x:c r="ER785" s="4"/>
      <x:c r="ES785" s="4"/>
      <x:c r="ET785" s="4"/>
      <x:c r="EU785" s="4"/>
      <x:c r="EV785" s="4"/>
      <x:c r="EW785" s="4"/>
      <x:c r="EX785" s="4"/>
      <x:c r="EY785" s="4"/>
      <x:c r="EZ785" s="4"/>
      <x:c r="FA785" s="4"/>
      <x:c r="FB785" s="4"/>
      <x:c r="FC785" s="4"/>
      <x:c r="FD785" s="4"/>
      <x:c r="FE785" s="4"/>
      <x:c r="FF785" s="4"/>
      <x:c r="FG785" s="4"/>
      <x:c r="FH785" s="4"/>
      <x:c r="FI785" s="4"/>
      <x:c r="FJ785" s="4"/>
      <x:c r="FK785" s="4"/>
      <x:c r="FL785" s="4"/>
      <x:c r="FM785" s="4"/>
      <x:c r="FN785" s="4"/>
      <x:c r="FO785" s="4"/>
    </x:row>
    <x:row r="786">
      <x:c r="A786" s="72"/>
      <x:c r="B786" s="72"/>
      <x:c r="C786" s="72"/>
      <x:c r="D786" s="72"/>
      <x:c r="E786" s="72"/>
      <x:c r="F786" s="72"/>
      <x:c r="G786" s="72"/>
      <x:c r="H786" s="72"/>
      <x:c r="I786" s="72"/>
      <x:c r="J786" s="72"/>
      <x:c r="K786" s="72"/>
      <x:c r="L786" s="72"/>
      <x:c r="M786" s="72"/>
      <x:c r="N786" s="72"/>
      <x:c r="O786" s="72"/>
      <x:c r="P786" s="72"/>
      <x:c r="Q786" s="72"/>
      <x:c r="R786" s="72"/>
      <x:c r="S786" s="72"/>
      <x:c r="T786" s="72"/>
      <x:c r="U786" s="72"/>
      <x:c r="V786" s="72"/>
      <x:c r="W786" s="72"/>
      <x:c r="X786" s="72"/>
      <x:c r="Y786" s="72"/>
      <x:c r="Z786" s="72"/>
      <x:c r="AA786" s="72"/>
      <x:c r="AB786" s="72"/>
      <x:c r="AC786" s="72"/>
      <x:c r="AD786" s="72"/>
      <x:c r="AE786" s="72"/>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4"/>
      <x:c r="DQ786" s="4"/>
      <x:c r="DR786" s="4"/>
      <x:c r="DS786" s="4"/>
      <x:c r="DT786" s="4"/>
      <x:c r="DU786" s="4"/>
      <x:c r="DV786" s="4"/>
      <x:c r="DW786" s="4"/>
      <x:c r="DX786" s="4"/>
      <x:c r="DY786" s="4"/>
      <x:c r="DZ786" s="4"/>
      <x:c r="EA786" s="4"/>
      <x:c r="EB786" s="4"/>
      <x:c r="EC786" s="4"/>
      <x:c r="ED786" s="4"/>
      <x:c r="EE786" s="4"/>
      <x:c r="EF786" s="4"/>
      <x:c r="EG786" s="4"/>
      <x:c r="EH786" s="4"/>
      <x:c r="EI786" s="4"/>
      <x:c r="EJ786" s="4"/>
      <x:c r="EK786" s="4"/>
      <x:c r="EL786" s="4"/>
      <x:c r="EM786" s="4"/>
      <x:c r="EN786" s="4"/>
      <x:c r="EO786" s="4"/>
      <x:c r="EP786" s="4"/>
      <x:c r="EQ786" s="4"/>
      <x:c r="ER786" s="4"/>
      <x:c r="ES786" s="4"/>
      <x:c r="ET786" s="4"/>
      <x:c r="EU786" s="4"/>
      <x:c r="EV786" s="4"/>
      <x:c r="EW786" s="4"/>
      <x:c r="EX786" s="4"/>
      <x:c r="EY786" s="4"/>
      <x:c r="EZ786" s="4"/>
      <x:c r="FA786" s="4"/>
      <x:c r="FB786" s="4"/>
      <x:c r="FC786" s="4"/>
      <x:c r="FD786" s="4"/>
      <x:c r="FE786" s="4"/>
      <x:c r="FF786" s="4"/>
      <x:c r="FG786" s="4"/>
      <x:c r="FH786" s="4"/>
      <x:c r="FI786" s="4"/>
      <x:c r="FJ786" s="4"/>
      <x:c r="FK786" s="4"/>
      <x:c r="FL786" s="4"/>
      <x:c r="FM786" s="4"/>
      <x:c r="FN786" s="4"/>
      <x:c r="FO786" s="4"/>
    </x:row>
    <x:row r="787">
      <x:c r="A787" s="72"/>
      <x:c r="B787" s="72"/>
      <x:c r="C787" s="72"/>
      <x:c r="D787" s="72"/>
      <x:c r="E787" s="72"/>
      <x:c r="F787" s="72"/>
      <x:c r="G787" s="72"/>
      <x:c r="H787" s="72"/>
      <x:c r="I787" s="72"/>
      <x:c r="J787" s="72"/>
      <x:c r="K787" s="72"/>
      <x:c r="L787" s="72"/>
      <x:c r="M787" s="72"/>
      <x:c r="N787" s="72"/>
      <x:c r="O787" s="72"/>
      <x:c r="P787" s="72"/>
      <x:c r="Q787" s="72"/>
      <x:c r="R787" s="72"/>
      <x:c r="S787" s="72"/>
      <x:c r="T787" s="72"/>
      <x:c r="U787" s="72"/>
      <x:c r="V787" s="72"/>
      <x:c r="W787" s="72"/>
      <x:c r="X787" s="72"/>
      <x:c r="Y787" s="72"/>
      <x:c r="Z787" s="72"/>
      <x:c r="AA787" s="72"/>
      <x:c r="AB787" s="72"/>
      <x:c r="AC787" s="72"/>
      <x:c r="AD787" s="72"/>
      <x:c r="AE787" s="72"/>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4"/>
      <x:c r="DQ787" s="4"/>
      <x:c r="DR787" s="4"/>
      <x:c r="DS787" s="4"/>
      <x:c r="DT787" s="4"/>
      <x:c r="DU787" s="4"/>
      <x:c r="DV787" s="4"/>
      <x:c r="DW787" s="4"/>
      <x:c r="DX787" s="4"/>
      <x:c r="DY787" s="4"/>
      <x:c r="DZ787" s="4"/>
      <x:c r="EA787" s="4"/>
      <x:c r="EB787" s="4"/>
      <x:c r="EC787" s="4"/>
      <x:c r="ED787" s="4"/>
      <x:c r="EE787" s="4"/>
      <x:c r="EF787" s="4"/>
      <x:c r="EG787" s="4"/>
      <x:c r="EH787" s="4"/>
      <x:c r="EI787" s="4"/>
      <x:c r="EJ787" s="4"/>
      <x:c r="EK787" s="4"/>
      <x:c r="EL787" s="4"/>
      <x:c r="EM787" s="4"/>
      <x:c r="EN787" s="4"/>
      <x:c r="EO787" s="4"/>
      <x:c r="EP787" s="4"/>
      <x:c r="EQ787" s="4"/>
      <x:c r="ER787" s="4"/>
      <x:c r="ES787" s="4"/>
      <x:c r="ET787" s="4"/>
      <x:c r="EU787" s="4"/>
      <x:c r="EV787" s="4"/>
      <x:c r="EW787" s="4"/>
      <x:c r="EX787" s="4"/>
      <x:c r="EY787" s="4"/>
      <x:c r="EZ787" s="4"/>
      <x:c r="FA787" s="4"/>
      <x:c r="FB787" s="4"/>
      <x:c r="FC787" s="4"/>
      <x:c r="FD787" s="4"/>
      <x:c r="FE787" s="4"/>
      <x:c r="FF787" s="4"/>
      <x:c r="FG787" s="4"/>
      <x:c r="FH787" s="4"/>
      <x:c r="FI787" s="4"/>
      <x:c r="FJ787" s="4"/>
      <x:c r="FK787" s="4"/>
      <x:c r="FL787" s="4"/>
      <x:c r="FM787" s="4"/>
      <x:c r="FN787" s="4"/>
      <x:c r="FO787" s="4"/>
    </x:row>
    <x:row r="788">
      <x:c r="A788" s="72"/>
      <x:c r="B788" s="72"/>
      <x:c r="C788" s="72"/>
      <x:c r="D788" s="72"/>
      <x:c r="E788" s="72"/>
      <x:c r="F788" s="72"/>
      <x:c r="G788" s="72"/>
      <x:c r="H788" s="72"/>
      <x:c r="I788" s="72"/>
      <x:c r="J788" s="72"/>
      <x:c r="K788" s="72"/>
      <x:c r="L788" s="72"/>
      <x:c r="M788" s="72"/>
      <x:c r="N788" s="72"/>
      <x:c r="O788" s="72"/>
      <x:c r="P788" s="72"/>
      <x:c r="Q788" s="72"/>
      <x:c r="R788" s="72"/>
      <x:c r="S788" s="72"/>
      <x:c r="T788" s="72"/>
      <x:c r="U788" s="72"/>
      <x:c r="V788" s="72"/>
      <x:c r="W788" s="72"/>
      <x:c r="X788" s="72"/>
      <x:c r="Y788" s="72"/>
      <x:c r="Z788" s="72"/>
      <x:c r="AA788" s="72"/>
      <x:c r="AB788" s="72"/>
      <x:c r="AC788" s="72"/>
      <x:c r="AD788" s="72"/>
      <x:c r="AE788" s="72"/>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4"/>
      <x:c r="DQ788" s="4"/>
      <x:c r="DR788" s="4"/>
      <x:c r="DS788" s="4"/>
      <x:c r="DT788" s="4"/>
      <x:c r="DU788" s="4"/>
      <x:c r="DV788" s="4"/>
      <x:c r="DW788" s="4"/>
      <x:c r="DX788" s="4"/>
      <x:c r="DY788" s="4"/>
      <x:c r="DZ788" s="4"/>
      <x:c r="EA788" s="4"/>
      <x:c r="EB788" s="4"/>
      <x:c r="EC788" s="4"/>
      <x:c r="ED788" s="4"/>
      <x:c r="EE788" s="4"/>
      <x:c r="EF788" s="4"/>
      <x:c r="EG788" s="4"/>
      <x:c r="EH788" s="4"/>
      <x:c r="EI788" s="4"/>
      <x:c r="EJ788" s="4"/>
      <x:c r="EK788" s="4"/>
      <x:c r="EL788" s="4"/>
      <x:c r="EM788" s="4"/>
      <x:c r="EN788" s="4"/>
      <x:c r="EO788" s="4"/>
      <x:c r="EP788" s="4"/>
      <x:c r="EQ788" s="4"/>
      <x:c r="ER788" s="4"/>
      <x:c r="ES788" s="4"/>
      <x:c r="ET788" s="4"/>
      <x:c r="EU788" s="4"/>
      <x:c r="EV788" s="4"/>
      <x:c r="EW788" s="4"/>
      <x:c r="EX788" s="4"/>
      <x:c r="EY788" s="4"/>
      <x:c r="EZ788" s="4"/>
      <x:c r="FA788" s="4"/>
      <x:c r="FB788" s="4"/>
      <x:c r="FC788" s="4"/>
      <x:c r="FD788" s="4"/>
      <x:c r="FE788" s="4"/>
      <x:c r="FF788" s="4"/>
      <x:c r="FG788" s="4"/>
      <x:c r="FH788" s="4"/>
      <x:c r="FI788" s="4"/>
      <x:c r="FJ788" s="4"/>
      <x:c r="FK788" s="4"/>
      <x:c r="FL788" s="4"/>
      <x:c r="FM788" s="4"/>
      <x:c r="FN788" s="4"/>
      <x:c r="FO788" s="4"/>
    </x:row>
    <x:row r="789">
      <x:c r="A789" s="72"/>
      <x:c r="B789" s="72"/>
      <x:c r="C789" s="72"/>
      <x:c r="D789" s="72"/>
      <x:c r="E789" s="72"/>
      <x:c r="F789" s="72"/>
      <x:c r="G789" s="72"/>
      <x:c r="H789" s="72"/>
      <x:c r="I789" s="72"/>
      <x:c r="J789" s="72"/>
      <x:c r="K789" s="72"/>
      <x:c r="L789" s="72"/>
      <x:c r="M789" s="72"/>
      <x:c r="N789" s="72"/>
      <x:c r="O789" s="72"/>
      <x:c r="P789" s="72"/>
      <x:c r="Q789" s="72"/>
      <x:c r="R789" s="72"/>
      <x:c r="S789" s="72"/>
      <x:c r="T789" s="72"/>
      <x:c r="U789" s="72"/>
      <x:c r="V789" s="72"/>
      <x:c r="W789" s="72"/>
      <x:c r="X789" s="72"/>
      <x:c r="Y789" s="72"/>
      <x:c r="Z789" s="72"/>
      <x:c r="AA789" s="72"/>
      <x:c r="AB789" s="72"/>
      <x:c r="AC789" s="72"/>
      <x:c r="AD789" s="72"/>
      <x:c r="AE789" s="72"/>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4"/>
      <x:c r="DQ789" s="4"/>
      <x:c r="DR789" s="4"/>
      <x:c r="DS789" s="4"/>
      <x:c r="DT789" s="4"/>
      <x:c r="DU789" s="4"/>
      <x:c r="DV789" s="4"/>
      <x:c r="DW789" s="4"/>
      <x:c r="DX789" s="4"/>
      <x:c r="DY789" s="4"/>
      <x:c r="DZ789" s="4"/>
      <x:c r="EA789" s="4"/>
      <x:c r="EB789" s="4"/>
      <x:c r="EC789" s="4"/>
      <x:c r="ED789" s="4"/>
      <x:c r="EE789" s="4"/>
      <x:c r="EF789" s="4"/>
      <x:c r="EG789" s="4"/>
      <x:c r="EH789" s="4"/>
      <x:c r="EI789" s="4"/>
      <x:c r="EJ789" s="4"/>
      <x:c r="EK789" s="4"/>
      <x:c r="EL789" s="4"/>
      <x:c r="EM789" s="4"/>
      <x:c r="EN789" s="4"/>
      <x:c r="EO789" s="4"/>
      <x:c r="EP789" s="4"/>
      <x:c r="EQ789" s="4"/>
      <x:c r="ER789" s="4"/>
      <x:c r="ES789" s="4"/>
      <x:c r="ET789" s="4"/>
      <x:c r="EU789" s="4"/>
      <x:c r="EV789" s="4"/>
      <x:c r="EW789" s="4"/>
      <x:c r="EX789" s="4"/>
      <x:c r="EY789" s="4"/>
      <x:c r="EZ789" s="4"/>
      <x:c r="FA789" s="4"/>
      <x:c r="FB789" s="4"/>
      <x:c r="FC789" s="4"/>
      <x:c r="FD789" s="4"/>
      <x:c r="FE789" s="4"/>
      <x:c r="FF789" s="4"/>
      <x:c r="FG789" s="4"/>
      <x:c r="FH789" s="4"/>
      <x:c r="FI789" s="4"/>
      <x:c r="FJ789" s="4"/>
      <x:c r="FK789" s="4"/>
      <x:c r="FL789" s="4"/>
      <x:c r="FM789" s="4"/>
      <x:c r="FN789" s="4"/>
      <x:c r="FO789" s="4"/>
    </x:row>
    <x:row r="790">
      <x:c r="A790" s="72"/>
      <x:c r="B790" s="72"/>
      <x:c r="C790" s="72"/>
      <x:c r="D790" s="72"/>
      <x:c r="E790" s="72"/>
      <x:c r="F790" s="72"/>
      <x:c r="G790" s="72"/>
      <x:c r="H790" s="72"/>
      <x:c r="I790" s="72"/>
      <x:c r="J790" s="72"/>
      <x:c r="K790" s="72"/>
      <x:c r="L790" s="72"/>
      <x:c r="M790" s="72"/>
      <x:c r="N790" s="72"/>
      <x:c r="O790" s="72"/>
      <x:c r="P790" s="72"/>
      <x:c r="Q790" s="72"/>
      <x:c r="R790" s="72"/>
      <x:c r="S790" s="72"/>
      <x:c r="T790" s="72"/>
      <x:c r="U790" s="72"/>
      <x:c r="V790" s="72"/>
      <x:c r="W790" s="72"/>
      <x:c r="X790" s="72"/>
      <x:c r="Y790" s="72"/>
      <x:c r="Z790" s="72"/>
      <x:c r="AA790" s="72"/>
      <x:c r="AB790" s="72"/>
      <x:c r="AC790" s="72"/>
      <x:c r="AD790" s="72"/>
      <x:c r="AE790" s="72"/>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4"/>
      <x:c r="DQ790" s="4"/>
      <x:c r="DR790" s="4"/>
      <x:c r="DS790" s="4"/>
      <x:c r="DT790" s="4"/>
      <x:c r="DU790" s="4"/>
      <x:c r="DV790" s="4"/>
      <x:c r="DW790" s="4"/>
      <x:c r="DX790" s="4"/>
      <x:c r="DY790" s="4"/>
      <x:c r="DZ790" s="4"/>
      <x:c r="EA790" s="4"/>
      <x:c r="EB790" s="4"/>
      <x:c r="EC790" s="4"/>
      <x:c r="ED790" s="4"/>
      <x:c r="EE790" s="4"/>
      <x:c r="EF790" s="4"/>
      <x:c r="EG790" s="4"/>
      <x:c r="EH790" s="4"/>
      <x:c r="EI790" s="4"/>
      <x:c r="EJ790" s="4"/>
      <x:c r="EK790" s="4"/>
      <x:c r="EL790" s="4"/>
      <x:c r="EM790" s="4"/>
      <x:c r="EN790" s="4"/>
      <x:c r="EO790" s="4"/>
      <x:c r="EP790" s="4"/>
      <x:c r="EQ790" s="4"/>
      <x:c r="ER790" s="4"/>
      <x:c r="ES790" s="4"/>
      <x:c r="ET790" s="4"/>
      <x:c r="EU790" s="4"/>
      <x:c r="EV790" s="4"/>
      <x:c r="EW790" s="4"/>
      <x:c r="EX790" s="4"/>
      <x:c r="EY790" s="4"/>
      <x:c r="EZ790" s="4"/>
      <x:c r="FA790" s="4"/>
      <x:c r="FB790" s="4"/>
      <x:c r="FC790" s="4"/>
      <x:c r="FD790" s="4"/>
      <x:c r="FE790" s="4"/>
      <x:c r="FF790" s="4"/>
      <x:c r="FG790" s="4"/>
      <x:c r="FH790" s="4"/>
      <x:c r="FI790" s="4"/>
      <x:c r="FJ790" s="4"/>
      <x:c r="FK790" s="4"/>
      <x:c r="FL790" s="4"/>
      <x:c r="FM790" s="4"/>
      <x:c r="FN790" s="4"/>
      <x:c r="FO790" s="4"/>
    </x:row>
    <x:row r="791">
      <x:c r="A791" s="72"/>
      <x:c r="B791" s="72"/>
      <x:c r="C791" s="72"/>
      <x:c r="D791" s="72"/>
      <x:c r="E791" s="72"/>
      <x:c r="F791" s="72"/>
      <x:c r="G791" s="72"/>
      <x:c r="H791" s="72"/>
      <x:c r="I791" s="72"/>
      <x:c r="J791" s="72"/>
      <x:c r="K791" s="72"/>
      <x:c r="L791" s="72"/>
      <x:c r="M791" s="72"/>
      <x:c r="N791" s="72"/>
      <x:c r="O791" s="72"/>
      <x:c r="P791" s="72"/>
      <x:c r="Q791" s="72"/>
      <x:c r="R791" s="72"/>
      <x:c r="S791" s="72"/>
      <x:c r="T791" s="72"/>
      <x:c r="U791" s="72"/>
      <x:c r="V791" s="72"/>
      <x:c r="W791" s="72"/>
      <x:c r="X791" s="72"/>
      <x:c r="Y791" s="72"/>
      <x:c r="Z791" s="72"/>
      <x:c r="AA791" s="72"/>
      <x:c r="AB791" s="72"/>
      <x:c r="AC791" s="72"/>
      <x:c r="AD791" s="72"/>
      <x:c r="AE791" s="72"/>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4"/>
      <x:c r="DQ791" s="4"/>
      <x:c r="DR791" s="4"/>
      <x:c r="DS791" s="4"/>
      <x:c r="DT791" s="4"/>
      <x:c r="DU791" s="4"/>
      <x:c r="DV791" s="4"/>
      <x:c r="DW791" s="4"/>
      <x:c r="DX791" s="4"/>
      <x:c r="DY791" s="4"/>
      <x:c r="DZ791" s="4"/>
      <x:c r="EA791" s="4"/>
      <x:c r="EB791" s="4"/>
      <x:c r="EC791" s="4"/>
      <x:c r="ED791" s="4"/>
      <x:c r="EE791" s="4"/>
      <x:c r="EF791" s="4"/>
      <x:c r="EG791" s="4"/>
      <x:c r="EH791" s="4"/>
      <x:c r="EI791" s="4"/>
      <x:c r="EJ791" s="4"/>
      <x:c r="EK791" s="4"/>
      <x:c r="EL791" s="4"/>
      <x:c r="EM791" s="4"/>
      <x:c r="EN791" s="4"/>
      <x:c r="EO791" s="4"/>
      <x:c r="EP791" s="4"/>
      <x:c r="EQ791" s="4"/>
      <x:c r="ER791" s="4"/>
      <x:c r="ES791" s="4"/>
      <x:c r="ET791" s="4"/>
      <x:c r="EU791" s="4"/>
      <x:c r="EV791" s="4"/>
      <x:c r="EW791" s="4"/>
      <x:c r="EX791" s="4"/>
      <x:c r="EY791" s="4"/>
      <x:c r="EZ791" s="4"/>
      <x:c r="FA791" s="4"/>
      <x:c r="FB791" s="4"/>
      <x:c r="FC791" s="4"/>
      <x:c r="FD791" s="4"/>
      <x:c r="FE791" s="4"/>
      <x:c r="FF791" s="4"/>
      <x:c r="FG791" s="4"/>
      <x:c r="FH791" s="4"/>
      <x:c r="FI791" s="4"/>
      <x:c r="FJ791" s="4"/>
      <x:c r="FK791" s="4"/>
      <x:c r="FL791" s="4"/>
      <x:c r="FM791" s="4"/>
      <x:c r="FN791" s="4"/>
      <x:c r="FO791" s="4"/>
    </x:row>
    <x:row r="792">
      <x:c r="A792" s="72"/>
      <x:c r="B792" s="72"/>
      <x:c r="C792" s="72"/>
      <x:c r="D792" s="72"/>
      <x:c r="E792" s="72"/>
      <x:c r="F792" s="72"/>
      <x:c r="G792" s="72"/>
      <x:c r="H792" s="72"/>
      <x:c r="I792" s="72"/>
      <x:c r="J792" s="72"/>
      <x:c r="K792" s="72"/>
      <x:c r="L792" s="72"/>
      <x:c r="M792" s="72"/>
      <x:c r="N792" s="72"/>
      <x:c r="O792" s="72"/>
      <x:c r="P792" s="72"/>
      <x:c r="Q792" s="72"/>
      <x:c r="R792" s="72"/>
      <x:c r="S792" s="72"/>
      <x:c r="T792" s="72"/>
      <x:c r="U792" s="72"/>
      <x:c r="V792" s="72"/>
      <x:c r="W792" s="72"/>
      <x:c r="X792" s="72"/>
      <x:c r="Y792" s="72"/>
      <x:c r="Z792" s="72"/>
      <x:c r="AA792" s="72"/>
      <x:c r="AB792" s="72"/>
      <x:c r="AC792" s="72"/>
      <x:c r="AD792" s="72"/>
      <x:c r="AE792" s="72"/>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4"/>
      <x:c r="DQ792" s="4"/>
      <x:c r="DR792" s="4"/>
      <x:c r="DS792" s="4"/>
      <x:c r="DT792" s="4"/>
      <x:c r="DU792" s="4"/>
      <x:c r="DV792" s="4"/>
      <x:c r="DW792" s="4"/>
      <x:c r="DX792" s="4"/>
      <x:c r="DY792" s="4"/>
      <x:c r="DZ792" s="4"/>
      <x:c r="EA792" s="4"/>
      <x:c r="EB792" s="4"/>
      <x:c r="EC792" s="4"/>
      <x:c r="ED792" s="4"/>
      <x:c r="EE792" s="4"/>
      <x:c r="EF792" s="4"/>
      <x:c r="EG792" s="4"/>
      <x:c r="EH792" s="4"/>
      <x:c r="EI792" s="4"/>
      <x:c r="EJ792" s="4"/>
      <x:c r="EK792" s="4"/>
      <x:c r="EL792" s="4"/>
      <x:c r="EM792" s="4"/>
      <x:c r="EN792" s="4"/>
      <x:c r="EO792" s="4"/>
      <x:c r="EP792" s="4"/>
      <x:c r="EQ792" s="4"/>
      <x:c r="ER792" s="4"/>
      <x:c r="ES792" s="4"/>
      <x:c r="ET792" s="4"/>
      <x:c r="EU792" s="4"/>
      <x:c r="EV792" s="4"/>
      <x:c r="EW792" s="4"/>
      <x:c r="EX792" s="4"/>
      <x:c r="EY792" s="4"/>
      <x:c r="EZ792" s="4"/>
      <x:c r="FA792" s="4"/>
      <x:c r="FB792" s="4"/>
      <x:c r="FC792" s="4"/>
      <x:c r="FD792" s="4"/>
      <x:c r="FE792" s="4"/>
      <x:c r="FF792" s="4"/>
      <x:c r="FG792" s="4"/>
      <x:c r="FH792" s="4"/>
      <x:c r="FI792" s="4"/>
      <x:c r="FJ792" s="4"/>
      <x:c r="FK792" s="4"/>
      <x:c r="FL792" s="4"/>
      <x:c r="FM792" s="4"/>
      <x:c r="FN792" s="4"/>
      <x:c r="FO792" s="4"/>
    </x:row>
    <x:row r="793">
      <x:c r="A793" s="72"/>
      <x:c r="B793" s="72"/>
      <x:c r="C793" s="72"/>
      <x:c r="D793" s="72"/>
      <x:c r="E793" s="72"/>
      <x:c r="F793" s="72"/>
      <x:c r="G793" s="72"/>
      <x:c r="H793" s="72"/>
      <x:c r="I793" s="72"/>
      <x:c r="J793" s="72"/>
      <x:c r="K793" s="72"/>
      <x:c r="L793" s="72"/>
      <x:c r="M793" s="72"/>
      <x:c r="N793" s="72"/>
      <x:c r="O793" s="72"/>
      <x:c r="P793" s="72"/>
      <x:c r="Q793" s="72"/>
      <x:c r="R793" s="72"/>
      <x:c r="S793" s="72"/>
      <x:c r="T793" s="72"/>
      <x:c r="U793" s="72"/>
      <x:c r="V793" s="72"/>
      <x:c r="W793" s="72"/>
      <x:c r="X793" s="72"/>
      <x:c r="Y793" s="72"/>
      <x:c r="Z793" s="72"/>
      <x:c r="AA793" s="72"/>
      <x:c r="AB793" s="72"/>
      <x:c r="AC793" s="72"/>
      <x:c r="AD793" s="72"/>
      <x:c r="AE793" s="72"/>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4"/>
      <x:c r="DQ793" s="4"/>
      <x:c r="DR793" s="4"/>
      <x:c r="DS793" s="4"/>
      <x:c r="DT793" s="4"/>
      <x:c r="DU793" s="4"/>
      <x:c r="DV793" s="4"/>
      <x:c r="DW793" s="4"/>
      <x:c r="DX793" s="4"/>
      <x:c r="DY793" s="4"/>
      <x:c r="DZ793" s="4"/>
      <x:c r="EA793" s="4"/>
      <x:c r="EB793" s="4"/>
      <x:c r="EC793" s="4"/>
      <x:c r="ED793" s="4"/>
      <x:c r="EE793" s="4"/>
      <x:c r="EF793" s="4"/>
      <x:c r="EG793" s="4"/>
      <x:c r="EH793" s="4"/>
      <x:c r="EI793" s="4"/>
      <x:c r="EJ793" s="4"/>
      <x:c r="EK793" s="4"/>
      <x:c r="EL793" s="4"/>
      <x:c r="EM793" s="4"/>
      <x:c r="EN793" s="4"/>
      <x:c r="EO793" s="4"/>
      <x:c r="EP793" s="4"/>
      <x:c r="EQ793" s="4"/>
      <x:c r="ER793" s="4"/>
      <x:c r="ES793" s="4"/>
      <x:c r="ET793" s="4"/>
      <x:c r="EU793" s="4"/>
      <x:c r="EV793" s="4"/>
      <x:c r="EW793" s="4"/>
      <x:c r="EX793" s="4"/>
      <x:c r="EY793" s="4"/>
      <x:c r="EZ793" s="4"/>
      <x:c r="FA793" s="4"/>
      <x:c r="FB793" s="4"/>
      <x:c r="FC793" s="4"/>
      <x:c r="FD793" s="4"/>
      <x:c r="FE793" s="4"/>
      <x:c r="FF793" s="4"/>
      <x:c r="FG793" s="4"/>
      <x:c r="FH793" s="4"/>
      <x:c r="FI793" s="4"/>
      <x:c r="FJ793" s="4"/>
      <x:c r="FK793" s="4"/>
      <x:c r="FL793" s="4"/>
      <x:c r="FM793" s="4"/>
      <x:c r="FN793" s="4"/>
      <x:c r="FO793" s="4"/>
    </x:row>
    <x:row r="794">
      <x:c r="A794" s="72"/>
      <x:c r="B794" s="72"/>
      <x:c r="C794" s="72"/>
      <x:c r="D794" s="72"/>
      <x:c r="E794" s="72"/>
      <x:c r="F794" s="72"/>
      <x:c r="G794" s="72"/>
      <x:c r="H794" s="72"/>
      <x:c r="I794" s="72"/>
      <x:c r="J794" s="72"/>
      <x:c r="K794" s="72"/>
      <x:c r="L794" s="72"/>
      <x:c r="M794" s="72"/>
      <x:c r="N794" s="72"/>
      <x:c r="O794" s="72"/>
      <x:c r="P794" s="72"/>
      <x:c r="Q794" s="72"/>
      <x:c r="R794" s="72"/>
      <x:c r="S794" s="72"/>
      <x:c r="T794" s="72"/>
      <x:c r="U794" s="72"/>
      <x:c r="V794" s="72"/>
      <x:c r="W794" s="72"/>
      <x:c r="X794" s="72"/>
      <x:c r="Y794" s="72"/>
      <x:c r="Z794" s="72"/>
      <x:c r="AA794" s="72"/>
      <x:c r="AB794" s="72"/>
      <x:c r="AC794" s="72"/>
      <x:c r="AD794" s="72"/>
      <x:c r="AE794" s="72"/>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4"/>
      <x:c r="DQ794" s="4"/>
      <x:c r="DR794" s="4"/>
      <x:c r="DS794" s="4"/>
      <x:c r="DT794" s="4"/>
      <x:c r="DU794" s="4"/>
      <x:c r="DV794" s="4"/>
      <x:c r="DW794" s="4"/>
      <x:c r="DX794" s="4"/>
      <x:c r="DY794" s="4"/>
      <x:c r="DZ794" s="4"/>
      <x:c r="EA794" s="4"/>
      <x:c r="EB794" s="4"/>
      <x:c r="EC794" s="4"/>
      <x:c r="ED794" s="4"/>
      <x:c r="EE794" s="4"/>
      <x:c r="EF794" s="4"/>
      <x:c r="EG794" s="4"/>
      <x:c r="EH794" s="4"/>
      <x:c r="EI794" s="4"/>
      <x:c r="EJ794" s="4"/>
      <x:c r="EK794" s="4"/>
      <x:c r="EL794" s="4"/>
      <x:c r="EM794" s="4"/>
      <x:c r="EN794" s="4"/>
      <x:c r="EO794" s="4"/>
      <x:c r="EP794" s="4"/>
      <x:c r="EQ794" s="4"/>
      <x:c r="ER794" s="4"/>
      <x:c r="ES794" s="4"/>
      <x:c r="ET794" s="4"/>
      <x:c r="EU794" s="4"/>
      <x:c r="EV794" s="4"/>
      <x:c r="EW794" s="4"/>
      <x:c r="EX794" s="4"/>
      <x:c r="EY794" s="4"/>
      <x:c r="EZ794" s="4"/>
      <x:c r="FA794" s="4"/>
      <x:c r="FB794" s="4"/>
      <x:c r="FC794" s="4"/>
      <x:c r="FD794" s="4"/>
      <x:c r="FE794" s="4"/>
      <x:c r="FF794" s="4"/>
      <x:c r="FG794" s="4"/>
      <x:c r="FH794" s="4"/>
      <x:c r="FI794" s="4"/>
      <x:c r="FJ794" s="4"/>
      <x:c r="FK794" s="4"/>
      <x:c r="FL794" s="4"/>
      <x:c r="FM794" s="4"/>
      <x:c r="FN794" s="4"/>
      <x:c r="FO794" s="4"/>
    </x:row>
    <x:row r="795">
      <x:c r="A795" s="72"/>
      <x:c r="B795" s="72"/>
      <x:c r="C795" s="72"/>
      <x:c r="D795" s="72"/>
      <x:c r="E795" s="72"/>
      <x:c r="F795" s="72"/>
      <x:c r="G795" s="72"/>
      <x:c r="H795" s="72"/>
      <x:c r="I795" s="72"/>
      <x:c r="J795" s="72"/>
      <x:c r="K795" s="72"/>
      <x:c r="L795" s="72"/>
      <x:c r="M795" s="72"/>
      <x:c r="N795" s="72"/>
      <x:c r="O795" s="72"/>
      <x:c r="P795" s="72"/>
      <x:c r="Q795" s="72"/>
      <x:c r="R795" s="72"/>
      <x:c r="S795" s="72"/>
      <x:c r="T795" s="72"/>
      <x:c r="U795" s="72"/>
      <x:c r="V795" s="72"/>
      <x:c r="W795" s="72"/>
      <x:c r="X795" s="72"/>
      <x:c r="Y795" s="72"/>
      <x:c r="Z795" s="72"/>
      <x:c r="AA795" s="72"/>
      <x:c r="AB795" s="72"/>
      <x:c r="AC795" s="72"/>
      <x:c r="AD795" s="72"/>
      <x:c r="AE795" s="72"/>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4"/>
      <x:c r="DQ795" s="4"/>
      <x:c r="DR795" s="4"/>
      <x:c r="DS795" s="4"/>
      <x:c r="DT795" s="4"/>
      <x:c r="DU795" s="4"/>
      <x:c r="DV795" s="4"/>
      <x:c r="DW795" s="4"/>
      <x:c r="DX795" s="4"/>
      <x:c r="DY795" s="4"/>
      <x:c r="DZ795" s="4"/>
      <x:c r="EA795" s="4"/>
      <x:c r="EB795" s="4"/>
      <x:c r="EC795" s="4"/>
      <x:c r="ED795" s="4"/>
      <x:c r="EE795" s="4"/>
      <x:c r="EF795" s="4"/>
      <x:c r="EG795" s="4"/>
      <x:c r="EH795" s="4"/>
      <x:c r="EI795" s="4"/>
      <x:c r="EJ795" s="4"/>
      <x:c r="EK795" s="4"/>
      <x:c r="EL795" s="4"/>
      <x:c r="EM795" s="4"/>
      <x:c r="EN795" s="4"/>
      <x:c r="EO795" s="4"/>
      <x:c r="EP795" s="4"/>
      <x:c r="EQ795" s="4"/>
      <x:c r="ER795" s="4"/>
      <x:c r="ES795" s="4"/>
      <x:c r="ET795" s="4"/>
      <x:c r="EU795" s="4"/>
      <x:c r="EV795" s="4"/>
      <x:c r="EW795" s="4"/>
      <x:c r="EX795" s="4"/>
      <x:c r="EY795" s="4"/>
      <x:c r="EZ795" s="4"/>
      <x:c r="FA795" s="4"/>
      <x:c r="FB795" s="4"/>
      <x:c r="FC795" s="4"/>
      <x:c r="FD795" s="4"/>
      <x:c r="FE795" s="4"/>
      <x:c r="FF795" s="4"/>
      <x:c r="FG795" s="4"/>
      <x:c r="FH795" s="4"/>
      <x:c r="FI795" s="4"/>
      <x:c r="FJ795" s="4"/>
      <x:c r="FK795" s="4"/>
      <x:c r="FL795" s="4"/>
      <x:c r="FM795" s="4"/>
      <x:c r="FN795" s="4"/>
      <x:c r="FO795" s="4"/>
    </x:row>
    <x:row r="796">
      <x:c r="A796" s="72"/>
      <x:c r="B796" s="72"/>
      <x:c r="C796" s="72"/>
      <x:c r="D796" s="72"/>
      <x:c r="E796" s="72"/>
      <x:c r="F796" s="72"/>
      <x:c r="G796" s="72"/>
      <x:c r="H796" s="72"/>
      <x:c r="I796" s="72"/>
      <x:c r="J796" s="72"/>
      <x:c r="K796" s="72"/>
      <x:c r="L796" s="72"/>
      <x:c r="M796" s="72"/>
      <x:c r="N796" s="72"/>
      <x:c r="O796" s="72"/>
      <x:c r="P796" s="72"/>
      <x:c r="Q796" s="72"/>
      <x:c r="R796" s="72"/>
      <x:c r="S796" s="72"/>
      <x:c r="T796" s="72"/>
      <x:c r="U796" s="72"/>
      <x:c r="V796" s="72"/>
      <x:c r="W796" s="72"/>
      <x:c r="X796" s="72"/>
      <x:c r="Y796" s="72"/>
      <x:c r="Z796" s="72"/>
      <x:c r="AA796" s="72"/>
      <x:c r="AB796" s="72"/>
      <x:c r="AC796" s="72"/>
      <x:c r="AD796" s="72"/>
      <x:c r="AE796" s="72"/>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4"/>
      <x:c r="DQ796" s="4"/>
      <x:c r="DR796" s="4"/>
      <x:c r="DS796" s="4"/>
      <x:c r="DT796" s="4"/>
      <x:c r="DU796" s="4"/>
      <x:c r="DV796" s="4"/>
      <x:c r="DW796" s="4"/>
      <x:c r="DX796" s="4"/>
      <x:c r="DY796" s="4"/>
      <x:c r="DZ796" s="4"/>
      <x:c r="EA796" s="4"/>
      <x:c r="EB796" s="4"/>
      <x:c r="EC796" s="4"/>
      <x:c r="ED796" s="4"/>
      <x:c r="EE796" s="4"/>
      <x:c r="EF796" s="4"/>
      <x:c r="EG796" s="4"/>
      <x:c r="EH796" s="4"/>
      <x:c r="EI796" s="4"/>
      <x:c r="EJ796" s="4"/>
      <x:c r="EK796" s="4"/>
      <x:c r="EL796" s="4"/>
      <x:c r="EM796" s="4"/>
      <x:c r="EN796" s="4"/>
      <x:c r="EO796" s="4"/>
      <x:c r="EP796" s="4"/>
      <x:c r="EQ796" s="4"/>
      <x:c r="ER796" s="4"/>
      <x:c r="ES796" s="4"/>
      <x:c r="ET796" s="4"/>
      <x:c r="EU796" s="4"/>
      <x:c r="EV796" s="4"/>
      <x:c r="EW796" s="4"/>
      <x:c r="EX796" s="4"/>
      <x:c r="EY796" s="4"/>
      <x:c r="EZ796" s="4"/>
      <x:c r="FA796" s="4"/>
      <x:c r="FB796" s="4"/>
      <x:c r="FC796" s="4"/>
      <x:c r="FD796" s="4"/>
      <x:c r="FE796" s="4"/>
      <x:c r="FF796" s="4"/>
      <x:c r="FG796" s="4"/>
      <x:c r="FH796" s="4"/>
      <x:c r="FI796" s="4"/>
      <x:c r="FJ796" s="4"/>
      <x:c r="FK796" s="4"/>
      <x:c r="FL796" s="4"/>
      <x:c r="FM796" s="4"/>
      <x:c r="FN796" s="4"/>
      <x:c r="FO796" s="4"/>
    </x:row>
    <x:row r="797">
      <x:c r="A797" s="72"/>
      <x:c r="B797" s="72"/>
      <x:c r="C797" s="72"/>
      <x:c r="D797" s="72"/>
      <x:c r="E797" s="72"/>
      <x:c r="F797" s="72"/>
      <x:c r="G797" s="72"/>
      <x:c r="H797" s="72"/>
      <x:c r="I797" s="72"/>
      <x:c r="J797" s="72"/>
      <x:c r="K797" s="72"/>
      <x:c r="L797" s="72"/>
      <x:c r="M797" s="72"/>
      <x:c r="N797" s="72"/>
      <x:c r="O797" s="72"/>
      <x:c r="P797" s="72"/>
      <x:c r="Q797" s="72"/>
      <x:c r="R797" s="72"/>
      <x:c r="S797" s="72"/>
      <x:c r="T797" s="72"/>
      <x:c r="U797" s="72"/>
      <x:c r="V797" s="72"/>
      <x:c r="W797" s="72"/>
      <x:c r="X797" s="72"/>
      <x:c r="Y797" s="72"/>
      <x:c r="Z797" s="72"/>
      <x:c r="AA797" s="72"/>
      <x:c r="AB797" s="72"/>
      <x:c r="AC797" s="72"/>
      <x:c r="AD797" s="72"/>
      <x:c r="AE797" s="72"/>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4"/>
      <x:c r="DQ797" s="4"/>
      <x:c r="DR797" s="4"/>
      <x:c r="DS797" s="4"/>
      <x:c r="DT797" s="4"/>
      <x:c r="DU797" s="4"/>
      <x:c r="DV797" s="4"/>
      <x:c r="DW797" s="4"/>
      <x:c r="DX797" s="4"/>
      <x:c r="DY797" s="4"/>
      <x:c r="DZ797" s="4"/>
      <x:c r="EA797" s="4"/>
      <x:c r="EB797" s="4"/>
      <x:c r="EC797" s="4"/>
      <x:c r="ED797" s="4"/>
      <x:c r="EE797" s="4"/>
      <x:c r="EF797" s="4"/>
      <x:c r="EG797" s="4"/>
      <x:c r="EH797" s="4"/>
      <x:c r="EI797" s="4"/>
      <x:c r="EJ797" s="4"/>
      <x:c r="EK797" s="4"/>
      <x:c r="EL797" s="4"/>
      <x:c r="EM797" s="4"/>
      <x:c r="EN797" s="4"/>
      <x:c r="EO797" s="4"/>
      <x:c r="EP797" s="4"/>
      <x:c r="EQ797" s="4"/>
      <x:c r="ER797" s="4"/>
      <x:c r="ES797" s="4"/>
      <x:c r="ET797" s="4"/>
      <x:c r="EU797" s="4"/>
      <x:c r="EV797" s="4"/>
      <x:c r="EW797" s="4"/>
      <x:c r="EX797" s="4"/>
      <x:c r="EY797" s="4"/>
      <x:c r="EZ797" s="4"/>
      <x:c r="FA797" s="4"/>
      <x:c r="FB797" s="4"/>
      <x:c r="FC797" s="4"/>
      <x:c r="FD797" s="4"/>
      <x:c r="FE797" s="4"/>
      <x:c r="FF797" s="4"/>
      <x:c r="FG797" s="4"/>
      <x:c r="FH797" s="4"/>
      <x:c r="FI797" s="4"/>
      <x:c r="FJ797" s="4"/>
      <x:c r="FK797" s="4"/>
      <x:c r="FL797" s="4"/>
      <x:c r="FM797" s="4"/>
      <x:c r="FN797" s="4"/>
      <x:c r="FO797" s="4"/>
    </x:row>
    <x:row r="798">
      <x:c r="A798" s="72"/>
      <x:c r="B798" s="72"/>
      <x:c r="C798" s="72"/>
      <x:c r="D798" s="72"/>
      <x:c r="E798" s="72"/>
      <x:c r="F798" s="72"/>
      <x:c r="G798" s="72"/>
      <x:c r="H798" s="72"/>
      <x:c r="I798" s="72"/>
      <x:c r="J798" s="72"/>
      <x:c r="K798" s="72"/>
      <x:c r="L798" s="72"/>
      <x:c r="M798" s="72"/>
      <x:c r="N798" s="72"/>
      <x:c r="O798" s="72"/>
      <x:c r="P798" s="72"/>
      <x:c r="Q798" s="72"/>
      <x:c r="R798" s="72"/>
      <x:c r="S798" s="72"/>
      <x:c r="T798" s="72"/>
      <x:c r="U798" s="72"/>
      <x:c r="V798" s="72"/>
      <x:c r="W798" s="72"/>
      <x:c r="X798" s="72"/>
      <x:c r="Y798" s="72"/>
      <x:c r="Z798" s="72"/>
      <x:c r="AA798" s="72"/>
      <x:c r="AB798" s="72"/>
      <x:c r="AC798" s="72"/>
      <x:c r="AD798" s="72"/>
      <x:c r="AE798" s="72"/>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4"/>
      <x:c r="DQ798" s="4"/>
      <x:c r="DR798" s="4"/>
      <x:c r="DS798" s="4"/>
      <x:c r="DT798" s="4"/>
      <x:c r="DU798" s="4"/>
      <x:c r="DV798" s="4"/>
      <x:c r="DW798" s="4"/>
      <x:c r="DX798" s="4"/>
      <x:c r="DY798" s="4"/>
      <x:c r="DZ798" s="4"/>
      <x:c r="EA798" s="4"/>
      <x:c r="EB798" s="4"/>
      <x:c r="EC798" s="4"/>
      <x:c r="ED798" s="4"/>
      <x:c r="EE798" s="4"/>
      <x:c r="EF798" s="4"/>
      <x:c r="EG798" s="4"/>
      <x:c r="EH798" s="4"/>
      <x:c r="EI798" s="4"/>
      <x:c r="EJ798" s="4"/>
      <x:c r="EK798" s="4"/>
      <x:c r="EL798" s="4"/>
      <x:c r="EM798" s="4"/>
      <x:c r="EN798" s="4"/>
      <x:c r="EO798" s="4"/>
      <x:c r="EP798" s="4"/>
      <x:c r="EQ798" s="4"/>
      <x:c r="ER798" s="4"/>
      <x:c r="ES798" s="4"/>
      <x:c r="ET798" s="4"/>
      <x:c r="EU798" s="4"/>
      <x:c r="EV798" s="4"/>
      <x:c r="EW798" s="4"/>
      <x:c r="EX798" s="4"/>
      <x:c r="EY798" s="4"/>
      <x:c r="EZ798" s="4"/>
      <x:c r="FA798" s="4"/>
      <x:c r="FB798" s="4"/>
      <x:c r="FC798" s="4"/>
      <x:c r="FD798" s="4"/>
      <x:c r="FE798" s="4"/>
      <x:c r="FF798" s="4"/>
      <x:c r="FG798" s="4"/>
      <x:c r="FH798" s="4"/>
      <x:c r="FI798" s="4"/>
      <x:c r="FJ798" s="4"/>
      <x:c r="FK798" s="4"/>
      <x:c r="FL798" s="4"/>
      <x:c r="FM798" s="4"/>
      <x:c r="FN798" s="4"/>
      <x:c r="FO798" s="4"/>
    </x:row>
    <x:row r="799">
      <x:c r="A799" s="72"/>
      <x:c r="B799" s="72"/>
      <x:c r="C799" s="72"/>
      <x:c r="D799" s="72"/>
      <x:c r="E799" s="72"/>
      <x:c r="F799" s="72"/>
      <x:c r="G799" s="72"/>
      <x:c r="H799" s="72"/>
      <x:c r="I799" s="72"/>
      <x:c r="J799" s="72"/>
      <x:c r="K799" s="72"/>
      <x:c r="L799" s="72"/>
      <x:c r="M799" s="72"/>
      <x:c r="N799" s="72"/>
      <x:c r="O799" s="72"/>
      <x:c r="P799" s="72"/>
      <x:c r="Q799" s="72"/>
      <x:c r="R799" s="72"/>
      <x:c r="S799" s="72"/>
      <x:c r="T799" s="72"/>
      <x:c r="U799" s="72"/>
      <x:c r="V799" s="72"/>
      <x:c r="W799" s="72"/>
      <x:c r="X799" s="72"/>
      <x:c r="Y799" s="72"/>
      <x:c r="Z799" s="72"/>
      <x:c r="AA799" s="72"/>
      <x:c r="AB799" s="72"/>
      <x:c r="AC799" s="72"/>
      <x:c r="AD799" s="72"/>
      <x:c r="AE799" s="72"/>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4"/>
      <x:c r="DQ799" s="4"/>
      <x:c r="DR799" s="4"/>
      <x:c r="DS799" s="4"/>
      <x:c r="DT799" s="4"/>
      <x:c r="DU799" s="4"/>
      <x:c r="DV799" s="4"/>
      <x:c r="DW799" s="4"/>
      <x:c r="DX799" s="4"/>
      <x:c r="DY799" s="4"/>
      <x:c r="DZ799" s="4"/>
      <x:c r="EA799" s="4"/>
      <x:c r="EB799" s="4"/>
      <x:c r="EC799" s="4"/>
      <x:c r="ED799" s="4"/>
      <x:c r="EE799" s="4"/>
      <x:c r="EF799" s="4"/>
      <x:c r="EG799" s="4"/>
      <x:c r="EH799" s="4"/>
      <x:c r="EI799" s="4"/>
      <x:c r="EJ799" s="4"/>
      <x:c r="EK799" s="4"/>
      <x:c r="EL799" s="4"/>
      <x:c r="EM799" s="4"/>
      <x:c r="EN799" s="4"/>
      <x:c r="EO799" s="4"/>
      <x:c r="EP799" s="4"/>
      <x:c r="EQ799" s="4"/>
      <x:c r="ER799" s="4"/>
      <x:c r="ES799" s="4"/>
      <x:c r="ET799" s="4"/>
      <x:c r="EU799" s="4"/>
      <x:c r="EV799" s="4"/>
      <x:c r="EW799" s="4"/>
      <x:c r="EX799" s="4"/>
      <x:c r="EY799" s="4"/>
      <x:c r="EZ799" s="4"/>
      <x:c r="FA799" s="4"/>
      <x:c r="FB799" s="4"/>
      <x:c r="FC799" s="4"/>
      <x:c r="FD799" s="4"/>
      <x:c r="FE799" s="4"/>
      <x:c r="FF799" s="4"/>
      <x:c r="FG799" s="4"/>
      <x:c r="FH799" s="4"/>
      <x:c r="FI799" s="4"/>
      <x:c r="FJ799" s="4"/>
      <x:c r="FK799" s="4"/>
      <x:c r="FL799" s="4"/>
      <x:c r="FM799" s="4"/>
      <x:c r="FN799" s="4"/>
      <x:c r="FO799" s="4"/>
    </x:row>
    <x:row r="800">
      <x:c r="A800" s="72"/>
      <x:c r="B800" s="72"/>
      <x:c r="C800" s="72"/>
      <x:c r="D800" s="72"/>
      <x:c r="E800" s="72"/>
      <x:c r="F800" s="72"/>
      <x:c r="G800" s="72"/>
      <x:c r="H800" s="72"/>
      <x:c r="I800" s="72"/>
      <x:c r="J800" s="72"/>
      <x:c r="K800" s="72"/>
      <x:c r="L800" s="72"/>
      <x:c r="M800" s="72"/>
      <x:c r="N800" s="72"/>
      <x:c r="O800" s="72"/>
      <x:c r="P800" s="72"/>
      <x:c r="Q800" s="72"/>
      <x:c r="R800" s="72"/>
      <x:c r="S800" s="72"/>
      <x:c r="T800" s="72"/>
      <x:c r="U800" s="72"/>
      <x:c r="V800" s="72"/>
      <x:c r="W800" s="72"/>
      <x:c r="X800" s="72"/>
      <x:c r="Y800" s="72"/>
      <x:c r="Z800" s="72"/>
      <x:c r="AA800" s="72"/>
      <x:c r="AB800" s="72"/>
      <x:c r="AC800" s="72"/>
      <x:c r="AD800" s="72"/>
      <x:c r="AE800" s="72"/>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4"/>
      <x:c r="DQ800" s="4"/>
      <x:c r="DR800" s="4"/>
      <x:c r="DS800" s="4"/>
      <x:c r="DT800" s="4"/>
      <x:c r="DU800" s="4"/>
      <x:c r="DV800" s="4"/>
      <x:c r="DW800" s="4"/>
      <x:c r="DX800" s="4"/>
      <x:c r="DY800" s="4"/>
      <x:c r="DZ800" s="4"/>
      <x:c r="EA800" s="4"/>
      <x:c r="EB800" s="4"/>
      <x:c r="EC800" s="4"/>
      <x:c r="ED800" s="4"/>
      <x:c r="EE800" s="4"/>
      <x:c r="EF800" s="4"/>
      <x:c r="EG800" s="4"/>
      <x:c r="EH800" s="4"/>
      <x:c r="EI800" s="4"/>
      <x:c r="EJ800" s="4"/>
      <x:c r="EK800" s="4"/>
      <x:c r="EL800" s="4"/>
      <x:c r="EM800" s="4"/>
      <x:c r="EN800" s="4"/>
      <x:c r="EO800" s="4"/>
      <x:c r="EP800" s="4"/>
      <x:c r="EQ800" s="4"/>
      <x:c r="ER800" s="4"/>
      <x:c r="ES800" s="4"/>
      <x:c r="ET800" s="4"/>
      <x:c r="EU800" s="4"/>
      <x:c r="EV800" s="4"/>
      <x:c r="EW800" s="4"/>
      <x:c r="EX800" s="4"/>
      <x:c r="EY800" s="4"/>
      <x:c r="EZ800" s="4"/>
      <x:c r="FA800" s="4"/>
      <x:c r="FB800" s="4"/>
      <x:c r="FC800" s="4"/>
      <x:c r="FD800" s="4"/>
      <x:c r="FE800" s="4"/>
      <x:c r="FF800" s="4"/>
      <x:c r="FG800" s="4"/>
      <x:c r="FH800" s="4"/>
      <x:c r="FI800" s="4"/>
      <x:c r="FJ800" s="4"/>
      <x:c r="FK800" s="4"/>
      <x:c r="FL800" s="4"/>
      <x:c r="FM800" s="4"/>
      <x:c r="FN800" s="4"/>
      <x:c r="FO800" s="4"/>
    </x:row>
    <x:row r="801">
      <x:c r="A801" s="72"/>
      <x:c r="B801" s="72"/>
      <x:c r="C801" s="72"/>
      <x:c r="D801" s="72"/>
      <x:c r="E801" s="72"/>
      <x:c r="F801" s="72"/>
      <x:c r="G801" s="72"/>
      <x:c r="H801" s="72"/>
      <x:c r="I801" s="72"/>
      <x:c r="J801" s="72"/>
      <x:c r="K801" s="72"/>
      <x:c r="L801" s="72"/>
      <x:c r="M801" s="72"/>
      <x:c r="N801" s="72"/>
      <x:c r="O801" s="72"/>
      <x:c r="P801" s="72"/>
      <x:c r="Q801" s="72"/>
      <x:c r="R801" s="72"/>
      <x:c r="S801" s="72"/>
      <x:c r="T801" s="72"/>
      <x:c r="U801" s="72"/>
      <x:c r="V801" s="72"/>
      <x:c r="W801" s="72"/>
      <x:c r="X801" s="72"/>
      <x:c r="Y801" s="72"/>
      <x:c r="Z801" s="72"/>
      <x:c r="AA801" s="72"/>
      <x:c r="AB801" s="72"/>
      <x:c r="AC801" s="72"/>
      <x:c r="AD801" s="72"/>
      <x:c r="AE801" s="72"/>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4"/>
      <x:c r="DQ801" s="4"/>
      <x:c r="DR801" s="4"/>
      <x:c r="DS801" s="4"/>
      <x:c r="DT801" s="4"/>
      <x:c r="DU801" s="4"/>
      <x:c r="DV801" s="4"/>
      <x:c r="DW801" s="4"/>
      <x:c r="DX801" s="4"/>
      <x:c r="DY801" s="4"/>
      <x:c r="DZ801" s="4"/>
      <x:c r="EA801" s="4"/>
      <x:c r="EB801" s="4"/>
      <x:c r="EC801" s="4"/>
      <x:c r="ED801" s="4"/>
      <x:c r="EE801" s="4"/>
      <x:c r="EF801" s="4"/>
      <x:c r="EG801" s="4"/>
      <x:c r="EH801" s="4"/>
      <x:c r="EI801" s="4"/>
      <x:c r="EJ801" s="4"/>
      <x:c r="EK801" s="4"/>
      <x:c r="EL801" s="4"/>
      <x:c r="EM801" s="4"/>
      <x:c r="EN801" s="4"/>
      <x:c r="EO801" s="4"/>
      <x:c r="EP801" s="4"/>
      <x:c r="EQ801" s="4"/>
      <x:c r="ER801" s="4"/>
      <x:c r="ES801" s="4"/>
      <x:c r="ET801" s="4"/>
      <x:c r="EU801" s="4"/>
      <x:c r="EV801" s="4"/>
      <x:c r="EW801" s="4"/>
      <x:c r="EX801" s="4"/>
      <x:c r="EY801" s="4"/>
      <x:c r="EZ801" s="4"/>
      <x:c r="FA801" s="4"/>
      <x:c r="FB801" s="4"/>
      <x:c r="FC801" s="4"/>
      <x:c r="FD801" s="4"/>
      <x:c r="FE801" s="4"/>
      <x:c r="FF801" s="4"/>
      <x:c r="FG801" s="4"/>
      <x:c r="FH801" s="4"/>
      <x:c r="FI801" s="4"/>
      <x:c r="FJ801" s="4"/>
      <x:c r="FK801" s="4"/>
      <x:c r="FL801" s="4"/>
      <x:c r="FM801" s="4"/>
      <x:c r="FN801" s="4"/>
      <x:c r="FO801" s="4"/>
    </x:row>
    <x:row r="802">
      <x:c r="A802" s="72"/>
      <x:c r="B802" s="72"/>
      <x:c r="C802" s="72"/>
      <x:c r="D802" s="72"/>
      <x:c r="E802" s="72"/>
      <x:c r="F802" s="72"/>
      <x:c r="G802" s="72"/>
      <x:c r="H802" s="72"/>
      <x:c r="I802" s="72"/>
      <x:c r="J802" s="72"/>
      <x:c r="K802" s="72"/>
      <x:c r="L802" s="72"/>
      <x:c r="M802" s="72"/>
      <x:c r="N802" s="72"/>
      <x:c r="O802" s="72"/>
      <x:c r="P802" s="72"/>
      <x:c r="Q802" s="72"/>
      <x:c r="R802" s="72"/>
      <x:c r="S802" s="72"/>
      <x:c r="T802" s="72"/>
      <x:c r="U802" s="72"/>
      <x:c r="V802" s="72"/>
      <x:c r="W802" s="72"/>
      <x:c r="X802" s="72"/>
      <x:c r="Y802" s="72"/>
      <x:c r="Z802" s="72"/>
      <x:c r="AA802" s="72"/>
      <x:c r="AB802" s="72"/>
      <x:c r="AC802" s="72"/>
      <x:c r="AD802" s="72"/>
      <x:c r="AE802" s="72"/>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4"/>
      <x:c r="DQ802" s="4"/>
      <x:c r="DR802" s="4"/>
      <x:c r="DS802" s="4"/>
      <x:c r="DT802" s="4"/>
      <x:c r="DU802" s="4"/>
      <x:c r="DV802" s="4"/>
      <x:c r="DW802" s="4"/>
      <x:c r="DX802" s="4"/>
      <x:c r="DY802" s="4"/>
      <x:c r="DZ802" s="4"/>
      <x:c r="EA802" s="4"/>
      <x:c r="EB802" s="4"/>
      <x:c r="EC802" s="4"/>
      <x:c r="ED802" s="4"/>
      <x:c r="EE802" s="4"/>
      <x:c r="EF802" s="4"/>
      <x:c r="EG802" s="4"/>
      <x:c r="EH802" s="4"/>
      <x:c r="EI802" s="4"/>
      <x:c r="EJ802" s="4"/>
      <x:c r="EK802" s="4"/>
      <x:c r="EL802" s="4"/>
      <x:c r="EM802" s="4"/>
      <x:c r="EN802" s="4"/>
      <x:c r="EO802" s="4"/>
      <x:c r="EP802" s="4"/>
      <x:c r="EQ802" s="4"/>
      <x:c r="ER802" s="4"/>
      <x:c r="ES802" s="4"/>
      <x:c r="ET802" s="4"/>
      <x:c r="EU802" s="4"/>
      <x:c r="EV802" s="4"/>
      <x:c r="EW802" s="4"/>
      <x:c r="EX802" s="4"/>
      <x:c r="EY802" s="4"/>
      <x:c r="EZ802" s="4"/>
      <x:c r="FA802" s="4"/>
      <x:c r="FB802" s="4"/>
      <x:c r="FC802" s="4"/>
      <x:c r="FD802" s="4"/>
      <x:c r="FE802" s="4"/>
      <x:c r="FF802" s="4"/>
      <x:c r="FG802" s="4"/>
      <x:c r="FH802" s="4"/>
      <x:c r="FI802" s="4"/>
      <x:c r="FJ802" s="4"/>
      <x:c r="FK802" s="4"/>
      <x:c r="FL802" s="4"/>
      <x:c r="FM802" s="4"/>
      <x:c r="FN802" s="4"/>
      <x:c r="FO802" s="4"/>
    </x:row>
    <x:row r="803">
      <x:c r="A803" s="72"/>
      <x:c r="B803" s="72"/>
      <x:c r="C803" s="72"/>
      <x:c r="D803" s="72"/>
      <x:c r="E803" s="72"/>
      <x:c r="F803" s="72"/>
      <x:c r="G803" s="72"/>
      <x:c r="H803" s="72"/>
      <x:c r="I803" s="72"/>
      <x:c r="J803" s="72"/>
      <x:c r="K803" s="72"/>
      <x:c r="L803" s="72"/>
      <x:c r="M803" s="72"/>
      <x:c r="N803" s="72"/>
      <x:c r="O803" s="72"/>
      <x:c r="P803" s="72"/>
      <x:c r="Q803" s="72"/>
      <x:c r="R803" s="72"/>
      <x:c r="S803" s="72"/>
      <x:c r="T803" s="72"/>
      <x:c r="U803" s="72"/>
      <x:c r="V803" s="72"/>
      <x:c r="W803" s="72"/>
      <x:c r="X803" s="72"/>
      <x:c r="Y803" s="72"/>
      <x:c r="Z803" s="72"/>
      <x:c r="AA803" s="72"/>
      <x:c r="AB803" s="72"/>
      <x:c r="AC803" s="72"/>
      <x:c r="AD803" s="72"/>
      <x:c r="AE803" s="72"/>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4"/>
      <x:c r="DQ803" s="4"/>
      <x:c r="DR803" s="4"/>
      <x:c r="DS803" s="4"/>
      <x:c r="DT803" s="4"/>
      <x:c r="DU803" s="4"/>
      <x:c r="DV803" s="4"/>
      <x:c r="DW803" s="4"/>
      <x:c r="DX803" s="4"/>
      <x:c r="DY803" s="4"/>
      <x:c r="DZ803" s="4"/>
      <x:c r="EA803" s="4"/>
      <x:c r="EB803" s="4"/>
      <x:c r="EC803" s="4"/>
      <x:c r="ED803" s="4"/>
      <x:c r="EE803" s="4"/>
      <x:c r="EF803" s="4"/>
      <x:c r="EG803" s="4"/>
      <x:c r="EH803" s="4"/>
      <x:c r="EI803" s="4"/>
      <x:c r="EJ803" s="4"/>
      <x:c r="EK803" s="4"/>
      <x:c r="EL803" s="4"/>
      <x:c r="EM803" s="4"/>
      <x:c r="EN803" s="4"/>
      <x:c r="EO803" s="4"/>
      <x:c r="EP803" s="4"/>
      <x:c r="EQ803" s="4"/>
      <x:c r="ER803" s="4"/>
      <x:c r="ES803" s="4"/>
      <x:c r="ET803" s="4"/>
      <x:c r="EU803" s="4"/>
      <x:c r="EV803" s="4"/>
      <x:c r="EW803" s="4"/>
      <x:c r="EX803" s="4"/>
      <x:c r="EY803" s="4"/>
      <x:c r="EZ803" s="4"/>
      <x:c r="FA803" s="4"/>
      <x:c r="FB803" s="4"/>
      <x:c r="FC803" s="4"/>
      <x:c r="FD803" s="4"/>
      <x:c r="FE803" s="4"/>
      <x:c r="FF803" s="4"/>
      <x:c r="FG803" s="4"/>
      <x:c r="FH803" s="4"/>
      <x:c r="FI803" s="4"/>
      <x:c r="FJ803" s="4"/>
      <x:c r="FK803" s="4"/>
      <x:c r="FL803" s="4"/>
      <x:c r="FM803" s="4"/>
      <x:c r="FN803" s="4"/>
      <x:c r="FO803" s="4"/>
    </x:row>
    <x:row r="804">
      <x:c r="A804" s="72"/>
      <x:c r="B804" s="72"/>
      <x:c r="C804" s="72"/>
      <x:c r="D804" s="72"/>
      <x:c r="E804" s="72"/>
      <x:c r="F804" s="72"/>
      <x:c r="G804" s="72"/>
      <x:c r="H804" s="72"/>
      <x:c r="I804" s="72"/>
      <x:c r="J804" s="72"/>
      <x:c r="K804" s="72"/>
      <x:c r="L804" s="72"/>
      <x:c r="M804" s="72"/>
      <x:c r="N804" s="72"/>
      <x:c r="O804" s="72"/>
      <x:c r="P804" s="72"/>
      <x:c r="Q804" s="72"/>
      <x:c r="R804" s="72"/>
      <x:c r="S804" s="72"/>
      <x:c r="T804" s="72"/>
      <x:c r="U804" s="72"/>
      <x:c r="V804" s="72"/>
      <x:c r="W804" s="72"/>
      <x:c r="X804" s="72"/>
      <x:c r="Y804" s="72"/>
      <x:c r="Z804" s="72"/>
      <x:c r="AA804" s="72"/>
      <x:c r="AB804" s="72"/>
      <x:c r="AC804" s="72"/>
      <x:c r="AD804" s="72"/>
      <x:c r="AE804" s="72"/>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4"/>
      <x:c r="DQ804" s="4"/>
      <x:c r="DR804" s="4"/>
      <x:c r="DS804" s="4"/>
      <x:c r="DT804" s="4"/>
      <x:c r="DU804" s="4"/>
      <x:c r="DV804" s="4"/>
      <x:c r="DW804" s="4"/>
      <x:c r="DX804" s="4"/>
      <x:c r="DY804" s="4"/>
      <x:c r="DZ804" s="4"/>
      <x:c r="EA804" s="4"/>
      <x:c r="EB804" s="4"/>
      <x:c r="EC804" s="4"/>
      <x:c r="ED804" s="4"/>
      <x:c r="EE804" s="4"/>
      <x:c r="EF804" s="4"/>
      <x:c r="EG804" s="4"/>
      <x:c r="EH804" s="4"/>
      <x:c r="EI804" s="4"/>
      <x:c r="EJ804" s="4"/>
      <x:c r="EK804" s="4"/>
      <x:c r="EL804" s="4"/>
      <x:c r="EM804" s="4"/>
      <x:c r="EN804" s="4"/>
      <x:c r="EO804" s="4"/>
      <x:c r="EP804" s="4"/>
      <x:c r="EQ804" s="4"/>
      <x:c r="ER804" s="4"/>
      <x:c r="ES804" s="4"/>
      <x:c r="ET804" s="4"/>
      <x:c r="EU804" s="4"/>
      <x:c r="EV804" s="4"/>
      <x:c r="EW804" s="4"/>
      <x:c r="EX804" s="4"/>
      <x:c r="EY804" s="4"/>
      <x:c r="EZ804" s="4"/>
      <x:c r="FA804" s="4"/>
      <x:c r="FB804" s="4"/>
      <x:c r="FC804" s="4"/>
      <x:c r="FD804" s="4"/>
      <x:c r="FE804" s="4"/>
      <x:c r="FF804" s="4"/>
      <x:c r="FG804" s="4"/>
      <x:c r="FH804" s="4"/>
      <x:c r="FI804" s="4"/>
      <x:c r="FJ804" s="4"/>
      <x:c r="FK804" s="4"/>
      <x:c r="FL804" s="4"/>
      <x:c r="FM804" s="4"/>
      <x:c r="FN804" s="4"/>
      <x:c r="FO804" s="4"/>
    </x:row>
    <x:row r="805">
      <x:c r="A805" s="72"/>
      <x:c r="B805" s="72"/>
      <x:c r="C805" s="72"/>
      <x:c r="D805" s="72"/>
      <x:c r="E805" s="72"/>
      <x:c r="F805" s="72"/>
      <x:c r="G805" s="72"/>
      <x:c r="H805" s="72"/>
      <x:c r="I805" s="72"/>
      <x:c r="J805" s="72"/>
      <x:c r="K805" s="72"/>
      <x:c r="L805" s="72"/>
      <x:c r="M805" s="72"/>
      <x:c r="N805" s="72"/>
      <x:c r="O805" s="72"/>
      <x:c r="P805" s="72"/>
      <x:c r="Q805" s="72"/>
      <x:c r="R805" s="72"/>
      <x:c r="S805" s="72"/>
      <x:c r="T805" s="72"/>
      <x:c r="U805" s="72"/>
      <x:c r="V805" s="72"/>
      <x:c r="W805" s="72"/>
      <x:c r="X805" s="72"/>
      <x:c r="Y805" s="72"/>
      <x:c r="Z805" s="72"/>
      <x:c r="AA805" s="72"/>
      <x:c r="AB805" s="72"/>
      <x:c r="AC805" s="72"/>
      <x:c r="AD805" s="72"/>
      <x:c r="AE805" s="72"/>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4"/>
      <x:c r="DQ805" s="4"/>
      <x:c r="DR805" s="4"/>
      <x:c r="DS805" s="4"/>
      <x:c r="DT805" s="4"/>
      <x:c r="DU805" s="4"/>
      <x:c r="DV805" s="4"/>
      <x:c r="DW805" s="4"/>
      <x:c r="DX805" s="4"/>
      <x:c r="DY805" s="4"/>
      <x:c r="DZ805" s="4"/>
      <x:c r="EA805" s="4"/>
      <x:c r="EB805" s="4"/>
      <x:c r="EC805" s="4"/>
      <x:c r="ED805" s="4"/>
      <x:c r="EE805" s="4"/>
      <x:c r="EF805" s="4"/>
      <x:c r="EG805" s="4"/>
      <x:c r="EH805" s="4"/>
      <x:c r="EI805" s="4"/>
      <x:c r="EJ805" s="4"/>
      <x:c r="EK805" s="4"/>
      <x:c r="EL805" s="4"/>
      <x:c r="EM805" s="4"/>
      <x:c r="EN805" s="4"/>
      <x:c r="EO805" s="4"/>
      <x:c r="EP805" s="4"/>
      <x:c r="EQ805" s="4"/>
      <x:c r="ER805" s="4"/>
      <x:c r="ES805" s="4"/>
      <x:c r="ET805" s="4"/>
      <x:c r="EU805" s="4"/>
      <x:c r="EV805" s="4"/>
      <x:c r="EW805" s="4"/>
      <x:c r="EX805" s="4"/>
      <x:c r="EY805" s="4"/>
      <x:c r="EZ805" s="4"/>
      <x:c r="FA805" s="4"/>
      <x:c r="FB805" s="4"/>
      <x:c r="FC805" s="4"/>
      <x:c r="FD805" s="4"/>
      <x:c r="FE805" s="4"/>
      <x:c r="FF805" s="4"/>
      <x:c r="FG805" s="4"/>
      <x:c r="FH805" s="4"/>
      <x:c r="FI805" s="4"/>
      <x:c r="FJ805" s="4"/>
      <x:c r="FK805" s="4"/>
      <x:c r="FL805" s="4"/>
      <x:c r="FM805" s="4"/>
      <x:c r="FN805" s="4"/>
      <x:c r="FO805" s="4"/>
    </x:row>
    <x:row r="806">
      <x:c r="A806" s="72"/>
      <x:c r="B806" s="72"/>
      <x:c r="C806" s="72"/>
      <x:c r="D806" s="72"/>
      <x:c r="E806" s="72"/>
      <x:c r="F806" s="72"/>
      <x:c r="G806" s="72"/>
      <x:c r="H806" s="72"/>
      <x:c r="I806" s="72"/>
      <x:c r="J806" s="72"/>
      <x:c r="K806" s="72"/>
      <x:c r="L806" s="72"/>
      <x:c r="M806" s="72"/>
      <x:c r="N806" s="72"/>
      <x:c r="O806" s="72"/>
      <x:c r="P806" s="72"/>
      <x:c r="Q806" s="72"/>
      <x:c r="R806" s="72"/>
      <x:c r="S806" s="72"/>
      <x:c r="T806" s="72"/>
      <x:c r="U806" s="72"/>
      <x:c r="V806" s="72"/>
      <x:c r="W806" s="72"/>
      <x:c r="X806" s="72"/>
      <x:c r="Y806" s="72"/>
      <x:c r="Z806" s="72"/>
      <x:c r="AA806" s="72"/>
      <x:c r="AB806" s="72"/>
      <x:c r="AC806" s="72"/>
      <x:c r="AD806" s="72"/>
      <x:c r="AE806" s="72"/>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4"/>
      <x:c r="DQ806" s="4"/>
      <x:c r="DR806" s="4"/>
      <x:c r="DS806" s="4"/>
      <x:c r="DT806" s="4"/>
      <x:c r="DU806" s="4"/>
      <x:c r="DV806" s="4"/>
      <x:c r="DW806" s="4"/>
      <x:c r="DX806" s="4"/>
      <x:c r="DY806" s="4"/>
      <x:c r="DZ806" s="4"/>
      <x:c r="EA806" s="4"/>
      <x:c r="EB806" s="4"/>
      <x:c r="EC806" s="4"/>
      <x:c r="ED806" s="4"/>
      <x:c r="EE806" s="4"/>
      <x:c r="EF806" s="4"/>
      <x:c r="EG806" s="4"/>
      <x:c r="EH806" s="4"/>
      <x:c r="EI806" s="4"/>
      <x:c r="EJ806" s="4"/>
      <x:c r="EK806" s="4"/>
      <x:c r="EL806" s="4"/>
      <x:c r="EM806" s="4"/>
      <x:c r="EN806" s="4"/>
      <x:c r="EO806" s="4"/>
      <x:c r="EP806" s="4"/>
      <x:c r="EQ806" s="4"/>
      <x:c r="ER806" s="4"/>
      <x:c r="ES806" s="4"/>
      <x:c r="ET806" s="4"/>
      <x:c r="EU806" s="4"/>
      <x:c r="EV806" s="4"/>
      <x:c r="EW806" s="4"/>
      <x:c r="EX806" s="4"/>
      <x:c r="EY806" s="4"/>
      <x:c r="EZ806" s="4"/>
      <x:c r="FA806" s="4"/>
      <x:c r="FB806" s="4"/>
      <x:c r="FC806" s="4"/>
      <x:c r="FD806" s="4"/>
      <x:c r="FE806" s="4"/>
      <x:c r="FF806" s="4"/>
      <x:c r="FG806" s="4"/>
      <x:c r="FH806" s="4"/>
      <x:c r="FI806" s="4"/>
      <x:c r="FJ806" s="4"/>
      <x:c r="FK806" s="4"/>
      <x:c r="FL806" s="4"/>
      <x:c r="FM806" s="4"/>
      <x:c r="FN806" s="4"/>
      <x:c r="FO806" s="4"/>
    </x:row>
    <x:row r="807">
      <x:c r="A807" s="72"/>
      <x:c r="B807" s="72"/>
      <x:c r="C807" s="72"/>
      <x:c r="D807" s="72"/>
      <x:c r="E807" s="72"/>
      <x:c r="F807" s="72"/>
      <x:c r="G807" s="72"/>
      <x:c r="H807" s="72"/>
      <x:c r="I807" s="72"/>
      <x:c r="J807" s="72"/>
      <x:c r="K807" s="72"/>
      <x:c r="L807" s="72"/>
      <x:c r="M807" s="72"/>
      <x:c r="N807" s="72"/>
      <x:c r="O807" s="72"/>
      <x:c r="P807" s="72"/>
      <x:c r="Q807" s="72"/>
      <x:c r="R807" s="72"/>
      <x:c r="S807" s="72"/>
      <x:c r="T807" s="72"/>
      <x:c r="U807" s="72"/>
      <x:c r="V807" s="72"/>
      <x:c r="W807" s="72"/>
      <x:c r="X807" s="72"/>
      <x:c r="Y807" s="72"/>
      <x:c r="Z807" s="72"/>
      <x:c r="AA807" s="72"/>
      <x:c r="AB807" s="72"/>
      <x:c r="AC807" s="72"/>
      <x:c r="AD807" s="72"/>
      <x:c r="AE807" s="72"/>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4"/>
      <x:c r="DQ807" s="4"/>
      <x:c r="DR807" s="4"/>
      <x:c r="DS807" s="4"/>
      <x:c r="DT807" s="4"/>
      <x:c r="DU807" s="4"/>
      <x:c r="DV807" s="4"/>
      <x:c r="DW807" s="4"/>
      <x:c r="DX807" s="4"/>
      <x:c r="DY807" s="4"/>
      <x:c r="DZ807" s="4"/>
      <x:c r="EA807" s="4"/>
      <x:c r="EB807" s="4"/>
      <x:c r="EC807" s="4"/>
      <x:c r="ED807" s="4"/>
      <x:c r="EE807" s="4"/>
      <x:c r="EF807" s="4"/>
      <x:c r="EG807" s="4"/>
      <x:c r="EH807" s="4"/>
      <x:c r="EI807" s="4"/>
      <x:c r="EJ807" s="4"/>
      <x:c r="EK807" s="4"/>
      <x:c r="EL807" s="4"/>
      <x:c r="EM807" s="4"/>
      <x:c r="EN807" s="4"/>
      <x:c r="EO807" s="4"/>
      <x:c r="EP807" s="4"/>
      <x:c r="EQ807" s="4"/>
      <x:c r="ER807" s="4"/>
      <x:c r="ES807" s="4"/>
      <x:c r="ET807" s="4"/>
      <x:c r="EU807" s="4"/>
      <x:c r="EV807" s="4"/>
      <x:c r="EW807" s="4"/>
      <x:c r="EX807" s="4"/>
      <x:c r="EY807" s="4"/>
      <x:c r="EZ807" s="4"/>
      <x:c r="FA807" s="4"/>
      <x:c r="FB807" s="4"/>
      <x:c r="FC807" s="4"/>
      <x:c r="FD807" s="4"/>
      <x:c r="FE807" s="4"/>
      <x:c r="FF807" s="4"/>
      <x:c r="FG807" s="4"/>
      <x:c r="FH807" s="4"/>
      <x:c r="FI807" s="4"/>
      <x:c r="FJ807" s="4"/>
      <x:c r="FK807" s="4"/>
      <x:c r="FL807" s="4"/>
      <x:c r="FM807" s="4"/>
      <x:c r="FN807" s="4"/>
      <x:c r="FO807" s="4"/>
    </x:row>
    <x:row r="808">
      <x:c r="A808" s="72"/>
      <x:c r="B808" s="72"/>
      <x:c r="C808" s="72"/>
      <x:c r="D808" s="72"/>
      <x:c r="E808" s="72"/>
      <x:c r="F808" s="72"/>
      <x:c r="G808" s="72"/>
      <x:c r="H808" s="72"/>
      <x:c r="I808" s="72"/>
      <x:c r="J808" s="72"/>
      <x:c r="K808" s="72"/>
      <x:c r="L808" s="72"/>
      <x:c r="M808" s="72"/>
      <x:c r="N808" s="72"/>
      <x:c r="O808" s="72"/>
      <x:c r="P808" s="72"/>
      <x:c r="Q808" s="72"/>
      <x:c r="R808" s="72"/>
      <x:c r="S808" s="72"/>
      <x:c r="T808" s="72"/>
      <x:c r="U808" s="72"/>
      <x:c r="V808" s="72"/>
      <x:c r="W808" s="72"/>
      <x:c r="X808" s="72"/>
      <x:c r="Y808" s="72"/>
      <x:c r="Z808" s="72"/>
      <x:c r="AA808" s="72"/>
      <x:c r="AB808" s="72"/>
      <x:c r="AC808" s="72"/>
      <x:c r="AD808" s="72"/>
      <x:c r="AE808" s="72"/>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4"/>
      <x:c r="DQ808" s="4"/>
      <x:c r="DR808" s="4"/>
      <x:c r="DS808" s="4"/>
      <x:c r="DT808" s="4"/>
      <x:c r="DU808" s="4"/>
      <x:c r="DV808" s="4"/>
      <x:c r="DW808" s="4"/>
      <x:c r="DX808" s="4"/>
      <x:c r="DY808" s="4"/>
      <x:c r="DZ808" s="4"/>
      <x:c r="EA808" s="4"/>
      <x:c r="EB808" s="4"/>
      <x:c r="EC808" s="4"/>
      <x:c r="ED808" s="4"/>
      <x:c r="EE808" s="4"/>
      <x:c r="EF808" s="4"/>
      <x:c r="EG808" s="4"/>
      <x:c r="EH808" s="4"/>
      <x:c r="EI808" s="4"/>
      <x:c r="EJ808" s="4"/>
      <x:c r="EK808" s="4"/>
      <x:c r="EL808" s="4"/>
      <x:c r="EM808" s="4"/>
      <x:c r="EN808" s="4"/>
      <x:c r="EO808" s="4"/>
      <x:c r="EP808" s="4"/>
      <x:c r="EQ808" s="4"/>
      <x:c r="ER808" s="4"/>
      <x:c r="ES808" s="4"/>
      <x:c r="ET808" s="4"/>
      <x:c r="EU808" s="4"/>
      <x:c r="EV808" s="4"/>
      <x:c r="EW808" s="4"/>
      <x:c r="EX808" s="4"/>
      <x:c r="EY808" s="4"/>
      <x:c r="EZ808" s="4"/>
      <x:c r="FA808" s="4"/>
      <x:c r="FB808" s="4"/>
      <x:c r="FC808" s="4"/>
      <x:c r="FD808" s="4"/>
      <x:c r="FE808" s="4"/>
      <x:c r="FF808" s="4"/>
      <x:c r="FG808" s="4"/>
      <x:c r="FH808" s="4"/>
      <x:c r="FI808" s="4"/>
      <x:c r="FJ808" s="4"/>
      <x:c r="FK808" s="4"/>
      <x:c r="FL808" s="4"/>
      <x:c r="FM808" s="4"/>
      <x:c r="FN808" s="4"/>
      <x:c r="FO808" s="4"/>
    </x:row>
    <x:row r="809">
      <x:c r="A809" s="72"/>
      <x:c r="B809" s="72"/>
      <x:c r="C809" s="72"/>
      <x:c r="D809" s="72"/>
      <x:c r="E809" s="72"/>
      <x:c r="F809" s="72"/>
      <x:c r="G809" s="72"/>
      <x:c r="H809" s="72"/>
      <x:c r="I809" s="72"/>
      <x:c r="J809" s="72"/>
      <x:c r="K809" s="72"/>
      <x:c r="L809" s="72"/>
      <x:c r="M809" s="72"/>
      <x:c r="N809" s="72"/>
      <x:c r="O809" s="72"/>
      <x:c r="P809" s="72"/>
      <x:c r="Q809" s="72"/>
      <x:c r="R809" s="72"/>
      <x:c r="S809" s="72"/>
      <x:c r="T809" s="72"/>
      <x:c r="U809" s="72"/>
      <x:c r="V809" s="72"/>
      <x:c r="W809" s="72"/>
      <x:c r="X809" s="72"/>
      <x:c r="Y809" s="72"/>
      <x:c r="Z809" s="72"/>
      <x:c r="AA809" s="72"/>
      <x:c r="AB809" s="72"/>
      <x:c r="AC809" s="72"/>
      <x:c r="AD809" s="72"/>
      <x:c r="AE809" s="72"/>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4"/>
      <x:c r="DQ809" s="4"/>
      <x:c r="DR809" s="4"/>
      <x:c r="DS809" s="4"/>
      <x:c r="DT809" s="4"/>
      <x:c r="DU809" s="4"/>
      <x:c r="DV809" s="4"/>
      <x:c r="DW809" s="4"/>
      <x:c r="DX809" s="4"/>
      <x:c r="DY809" s="4"/>
      <x:c r="DZ809" s="4"/>
      <x:c r="EA809" s="4"/>
      <x:c r="EB809" s="4"/>
      <x:c r="EC809" s="4"/>
      <x:c r="ED809" s="4"/>
      <x:c r="EE809" s="4"/>
      <x:c r="EF809" s="4"/>
      <x:c r="EG809" s="4"/>
      <x:c r="EH809" s="4"/>
      <x:c r="EI809" s="4"/>
      <x:c r="EJ809" s="4"/>
      <x:c r="EK809" s="4"/>
      <x:c r="EL809" s="4"/>
      <x:c r="EM809" s="4"/>
      <x:c r="EN809" s="4"/>
      <x:c r="EO809" s="4"/>
      <x:c r="EP809" s="4"/>
      <x:c r="EQ809" s="4"/>
      <x:c r="ER809" s="4"/>
      <x:c r="ES809" s="4"/>
      <x:c r="ET809" s="4"/>
      <x:c r="EU809" s="4"/>
      <x:c r="EV809" s="4"/>
      <x:c r="EW809" s="4"/>
      <x:c r="EX809" s="4"/>
      <x:c r="EY809" s="4"/>
      <x:c r="EZ809" s="4"/>
      <x:c r="FA809" s="4"/>
      <x:c r="FB809" s="4"/>
      <x:c r="FC809" s="4"/>
      <x:c r="FD809" s="4"/>
      <x:c r="FE809" s="4"/>
      <x:c r="FF809" s="4"/>
      <x:c r="FG809" s="4"/>
      <x:c r="FH809" s="4"/>
      <x:c r="FI809" s="4"/>
      <x:c r="FJ809" s="4"/>
      <x:c r="FK809" s="4"/>
      <x:c r="FL809" s="4"/>
      <x:c r="FM809" s="4"/>
      <x:c r="FN809" s="4"/>
      <x:c r="FO809" s="4"/>
    </x:row>
    <x:row r="810">
      <x:c r="A810" s="72"/>
      <x:c r="B810" s="72"/>
      <x:c r="C810" s="72"/>
      <x:c r="D810" s="72"/>
      <x:c r="E810" s="72"/>
      <x:c r="F810" s="72"/>
      <x:c r="G810" s="72"/>
      <x:c r="H810" s="72"/>
      <x:c r="I810" s="72"/>
      <x:c r="J810" s="72"/>
      <x:c r="K810" s="72"/>
      <x:c r="L810" s="72"/>
      <x:c r="M810" s="72"/>
      <x:c r="N810" s="72"/>
      <x:c r="O810" s="72"/>
      <x:c r="P810" s="72"/>
      <x:c r="Q810" s="72"/>
      <x:c r="R810" s="72"/>
      <x:c r="S810" s="72"/>
      <x:c r="T810" s="72"/>
      <x:c r="U810" s="72"/>
      <x:c r="V810" s="72"/>
      <x:c r="W810" s="72"/>
      <x:c r="X810" s="72"/>
      <x:c r="Y810" s="72"/>
      <x:c r="Z810" s="72"/>
      <x:c r="AA810" s="72"/>
      <x:c r="AB810" s="72"/>
      <x:c r="AC810" s="72"/>
      <x:c r="AD810" s="72"/>
      <x:c r="AE810" s="72"/>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4"/>
      <x:c r="DQ810" s="4"/>
      <x:c r="DR810" s="4"/>
      <x:c r="DS810" s="4"/>
      <x:c r="DT810" s="4"/>
      <x:c r="DU810" s="4"/>
      <x:c r="DV810" s="4"/>
      <x:c r="DW810" s="4"/>
      <x:c r="DX810" s="4"/>
      <x:c r="DY810" s="4"/>
      <x:c r="DZ810" s="4"/>
      <x:c r="EA810" s="4"/>
      <x:c r="EB810" s="4"/>
      <x:c r="EC810" s="4"/>
      <x:c r="ED810" s="4"/>
      <x:c r="EE810" s="4"/>
      <x:c r="EF810" s="4"/>
      <x:c r="EG810" s="4"/>
      <x:c r="EH810" s="4"/>
      <x:c r="EI810" s="4"/>
      <x:c r="EJ810" s="4"/>
      <x:c r="EK810" s="4"/>
      <x:c r="EL810" s="4"/>
      <x:c r="EM810" s="4"/>
      <x:c r="EN810" s="4"/>
      <x:c r="EO810" s="4"/>
      <x:c r="EP810" s="4"/>
      <x:c r="EQ810" s="4"/>
      <x:c r="ER810" s="4"/>
      <x:c r="ES810" s="4"/>
      <x:c r="ET810" s="4"/>
      <x:c r="EU810" s="4"/>
      <x:c r="EV810" s="4"/>
      <x:c r="EW810" s="4"/>
      <x:c r="EX810" s="4"/>
      <x:c r="EY810" s="4"/>
      <x:c r="EZ810" s="4"/>
      <x:c r="FA810" s="4"/>
      <x:c r="FB810" s="4"/>
      <x:c r="FC810" s="4"/>
      <x:c r="FD810" s="4"/>
      <x:c r="FE810" s="4"/>
      <x:c r="FF810" s="4"/>
      <x:c r="FG810" s="4"/>
      <x:c r="FH810" s="4"/>
      <x:c r="FI810" s="4"/>
      <x:c r="FJ810" s="4"/>
      <x:c r="FK810" s="4"/>
      <x:c r="FL810" s="4"/>
      <x:c r="FM810" s="4"/>
      <x:c r="FN810" s="4"/>
      <x:c r="FO810" s="4"/>
    </x:row>
    <x:row r="811">
      <x:c r="A811" s="72"/>
      <x:c r="B811" s="72"/>
      <x:c r="C811" s="72"/>
      <x:c r="D811" s="72"/>
      <x:c r="E811" s="72"/>
      <x:c r="F811" s="72"/>
      <x:c r="G811" s="72"/>
      <x:c r="H811" s="72"/>
      <x:c r="I811" s="72"/>
      <x:c r="J811" s="72"/>
      <x:c r="K811" s="72"/>
      <x:c r="L811" s="72"/>
      <x:c r="M811" s="72"/>
      <x:c r="N811" s="72"/>
      <x:c r="O811" s="72"/>
      <x:c r="P811" s="72"/>
      <x:c r="Q811" s="72"/>
      <x:c r="R811" s="72"/>
      <x:c r="S811" s="72"/>
      <x:c r="T811" s="72"/>
      <x:c r="U811" s="72"/>
      <x:c r="V811" s="72"/>
      <x:c r="W811" s="72"/>
      <x:c r="X811" s="72"/>
      <x:c r="Y811" s="72"/>
      <x:c r="Z811" s="72"/>
      <x:c r="AA811" s="72"/>
      <x:c r="AB811" s="72"/>
      <x:c r="AC811" s="72"/>
      <x:c r="AD811" s="72"/>
      <x:c r="AE811" s="72"/>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4"/>
      <x:c r="DQ811" s="4"/>
      <x:c r="DR811" s="4"/>
      <x:c r="DS811" s="4"/>
      <x:c r="DT811" s="4"/>
      <x:c r="DU811" s="4"/>
      <x:c r="DV811" s="4"/>
      <x:c r="DW811" s="4"/>
      <x:c r="DX811" s="4"/>
      <x:c r="DY811" s="4"/>
      <x:c r="DZ811" s="4"/>
      <x:c r="EA811" s="4"/>
      <x:c r="EB811" s="4"/>
      <x:c r="EC811" s="4"/>
      <x:c r="ED811" s="4"/>
      <x:c r="EE811" s="4"/>
      <x:c r="EF811" s="4"/>
      <x:c r="EG811" s="4"/>
      <x:c r="EH811" s="4"/>
      <x:c r="EI811" s="4"/>
      <x:c r="EJ811" s="4"/>
      <x:c r="EK811" s="4"/>
      <x:c r="EL811" s="4"/>
      <x:c r="EM811" s="4"/>
      <x:c r="EN811" s="4"/>
      <x:c r="EO811" s="4"/>
      <x:c r="EP811" s="4"/>
      <x:c r="EQ811" s="4"/>
      <x:c r="ER811" s="4"/>
      <x:c r="ES811" s="4"/>
      <x:c r="ET811" s="4"/>
      <x:c r="EU811" s="4"/>
      <x:c r="EV811" s="4"/>
      <x:c r="EW811" s="4"/>
      <x:c r="EX811" s="4"/>
      <x:c r="EY811" s="4"/>
      <x:c r="EZ811" s="4"/>
      <x:c r="FA811" s="4"/>
      <x:c r="FB811" s="4"/>
      <x:c r="FC811" s="4"/>
      <x:c r="FD811" s="4"/>
      <x:c r="FE811" s="4"/>
      <x:c r="FF811" s="4"/>
      <x:c r="FG811" s="4"/>
      <x:c r="FH811" s="4"/>
      <x:c r="FI811" s="4"/>
      <x:c r="FJ811" s="4"/>
      <x:c r="FK811" s="4"/>
      <x:c r="FL811" s="4"/>
      <x:c r="FM811" s="4"/>
      <x:c r="FN811" s="4"/>
      <x:c r="FO811" s="4"/>
    </x:row>
    <x:row r="812">
      <x:c r="A812" s="72"/>
      <x:c r="B812" s="72"/>
      <x:c r="C812" s="72"/>
      <x:c r="D812" s="72"/>
      <x:c r="E812" s="72"/>
      <x:c r="F812" s="72"/>
      <x:c r="G812" s="72"/>
      <x:c r="H812" s="72"/>
      <x:c r="I812" s="72"/>
      <x:c r="J812" s="72"/>
      <x:c r="K812" s="72"/>
      <x:c r="L812" s="72"/>
      <x:c r="M812" s="72"/>
      <x:c r="N812" s="72"/>
      <x:c r="O812" s="72"/>
      <x:c r="P812" s="72"/>
      <x:c r="Q812" s="72"/>
      <x:c r="R812" s="72"/>
      <x:c r="S812" s="72"/>
      <x:c r="T812" s="72"/>
      <x:c r="U812" s="72"/>
      <x:c r="V812" s="72"/>
      <x:c r="W812" s="72"/>
      <x:c r="X812" s="72"/>
      <x:c r="Y812" s="72"/>
      <x:c r="Z812" s="72"/>
      <x:c r="AA812" s="72"/>
      <x:c r="AB812" s="72"/>
      <x:c r="AC812" s="72"/>
      <x:c r="AD812" s="72"/>
      <x:c r="AE812" s="72"/>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4"/>
      <x:c r="DQ812" s="4"/>
      <x:c r="DR812" s="4"/>
      <x:c r="DS812" s="4"/>
      <x:c r="DT812" s="4"/>
      <x:c r="DU812" s="4"/>
      <x:c r="DV812" s="4"/>
      <x:c r="DW812" s="4"/>
      <x:c r="DX812" s="4"/>
      <x:c r="DY812" s="4"/>
      <x:c r="DZ812" s="4"/>
      <x:c r="EA812" s="4"/>
      <x:c r="EB812" s="4"/>
      <x:c r="EC812" s="4"/>
      <x:c r="ED812" s="4"/>
      <x:c r="EE812" s="4"/>
      <x:c r="EF812" s="4"/>
      <x:c r="EG812" s="4"/>
      <x:c r="EH812" s="4"/>
      <x:c r="EI812" s="4"/>
      <x:c r="EJ812" s="4"/>
      <x:c r="EK812" s="4"/>
      <x:c r="EL812" s="4"/>
      <x:c r="EM812" s="4"/>
      <x:c r="EN812" s="4"/>
      <x:c r="EO812" s="4"/>
      <x:c r="EP812" s="4"/>
      <x:c r="EQ812" s="4"/>
      <x:c r="ER812" s="4"/>
      <x:c r="ES812" s="4"/>
      <x:c r="ET812" s="4"/>
      <x:c r="EU812" s="4"/>
      <x:c r="EV812" s="4"/>
      <x:c r="EW812" s="4"/>
      <x:c r="EX812" s="4"/>
      <x:c r="EY812" s="4"/>
      <x:c r="EZ812" s="4"/>
      <x:c r="FA812" s="4"/>
      <x:c r="FB812" s="4"/>
      <x:c r="FC812" s="4"/>
      <x:c r="FD812" s="4"/>
      <x:c r="FE812" s="4"/>
      <x:c r="FF812" s="4"/>
      <x:c r="FG812" s="4"/>
      <x:c r="FH812" s="4"/>
      <x:c r="FI812" s="4"/>
      <x:c r="FJ812" s="4"/>
      <x:c r="FK812" s="4"/>
      <x:c r="FL812" s="4"/>
      <x:c r="FM812" s="4"/>
      <x:c r="FN812" s="4"/>
      <x:c r="FO812" s="4"/>
    </x:row>
    <x:row r="813">
      <x:c r="A813" s="72"/>
      <x:c r="B813" s="72"/>
      <x:c r="C813" s="72"/>
      <x:c r="D813" s="72"/>
      <x:c r="E813" s="72"/>
      <x:c r="F813" s="72"/>
      <x:c r="G813" s="72"/>
      <x:c r="H813" s="72"/>
      <x:c r="I813" s="72"/>
      <x:c r="J813" s="72"/>
      <x:c r="K813" s="72"/>
      <x:c r="L813" s="72"/>
      <x:c r="M813" s="72"/>
      <x:c r="N813" s="72"/>
      <x:c r="O813" s="72"/>
      <x:c r="P813" s="72"/>
      <x:c r="Q813" s="72"/>
      <x:c r="R813" s="72"/>
      <x:c r="S813" s="72"/>
      <x:c r="T813" s="72"/>
      <x:c r="U813" s="72"/>
      <x:c r="V813" s="72"/>
      <x:c r="W813" s="72"/>
      <x:c r="X813" s="72"/>
      <x:c r="Y813" s="72"/>
      <x:c r="Z813" s="72"/>
      <x:c r="AA813" s="72"/>
      <x:c r="AB813" s="72"/>
      <x:c r="AC813" s="72"/>
      <x:c r="AD813" s="72"/>
      <x:c r="AE813" s="72"/>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4"/>
      <x:c r="DQ813" s="4"/>
      <x:c r="DR813" s="4"/>
      <x:c r="DS813" s="4"/>
      <x:c r="DT813" s="4"/>
      <x:c r="DU813" s="4"/>
      <x:c r="DV813" s="4"/>
      <x:c r="DW813" s="4"/>
      <x:c r="DX813" s="4"/>
      <x:c r="DY813" s="4"/>
      <x:c r="DZ813" s="4"/>
      <x:c r="EA813" s="4"/>
      <x:c r="EB813" s="4"/>
      <x:c r="EC813" s="4"/>
      <x:c r="ED813" s="4"/>
      <x:c r="EE813" s="4"/>
      <x:c r="EF813" s="4"/>
      <x:c r="EG813" s="4"/>
      <x:c r="EH813" s="4"/>
      <x:c r="EI813" s="4"/>
      <x:c r="EJ813" s="4"/>
      <x:c r="EK813" s="4"/>
      <x:c r="EL813" s="4"/>
      <x:c r="EM813" s="4"/>
      <x:c r="EN813" s="4"/>
      <x:c r="EO813" s="4"/>
      <x:c r="EP813" s="4"/>
      <x:c r="EQ813" s="4"/>
      <x:c r="ER813" s="4"/>
      <x:c r="ES813" s="4"/>
      <x:c r="ET813" s="4"/>
      <x:c r="EU813" s="4"/>
      <x:c r="EV813" s="4"/>
      <x:c r="EW813" s="4"/>
      <x:c r="EX813" s="4"/>
      <x:c r="EY813" s="4"/>
      <x:c r="EZ813" s="4"/>
      <x:c r="FA813" s="4"/>
      <x:c r="FB813" s="4"/>
      <x:c r="FC813" s="4"/>
      <x:c r="FD813" s="4"/>
      <x:c r="FE813" s="4"/>
      <x:c r="FF813" s="4"/>
      <x:c r="FG813" s="4"/>
      <x:c r="FH813" s="4"/>
      <x:c r="FI813" s="4"/>
      <x:c r="FJ813" s="4"/>
      <x:c r="FK813" s="4"/>
      <x:c r="FL813" s="4"/>
      <x:c r="FM813" s="4"/>
      <x:c r="FN813" s="4"/>
      <x:c r="FO813" s="4"/>
    </x:row>
    <x:row r="814">
      <x:c r="A814" s="72"/>
      <x:c r="B814" s="72"/>
      <x:c r="C814" s="72"/>
      <x:c r="D814" s="72"/>
      <x:c r="E814" s="72"/>
      <x:c r="F814" s="72"/>
      <x:c r="G814" s="72"/>
      <x:c r="H814" s="72"/>
      <x:c r="I814" s="72"/>
      <x:c r="J814" s="72"/>
      <x:c r="K814" s="72"/>
      <x:c r="L814" s="72"/>
      <x:c r="M814" s="72"/>
      <x:c r="N814" s="72"/>
      <x:c r="O814" s="72"/>
      <x:c r="P814" s="72"/>
      <x:c r="Q814" s="72"/>
      <x:c r="R814" s="72"/>
      <x:c r="S814" s="72"/>
      <x:c r="T814" s="72"/>
      <x:c r="U814" s="72"/>
      <x:c r="V814" s="72"/>
      <x:c r="W814" s="72"/>
      <x:c r="X814" s="72"/>
      <x:c r="Y814" s="72"/>
      <x:c r="Z814" s="72"/>
      <x:c r="AA814" s="72"/>
      <x:c r="AB814" s="72"/>
      <x:c r="AC814" s="72"/>
      <x:c r="AD814" s="72"/>
      <x:c r="AE814" s="72"/>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4"/>
      <x:c r="DQ814" s="4"/>
      <x:c r="DR814" s="4"/>
      <x:c r="DS814" s="4"/>
      <x:c r="DT814" s="4"/>
      <x:c r="DU814" s="4"/>
      <x:c r="DV814" s="4"/>
      <x:c r="DW814" s="4"/>
      <x:c r="DX814" s="4"/>
      <x:c r="DY814" s="4"/>
      <x:c r="DZ814" s="4"/>
      <x:c r="EA814" s="4"/>
      <x:c r="EB814" s="4"/>
      <x:c r="EC814" s="4"/>
      <x:c r="ED814" s="4"/>
      <x:c r="EE814" s="4"/>
      <x:c r="EF814" s="4"/>
      <x:c r="EG814" s="4"/>
      <x:c r="EH814" s="4"/>
      <x:c r="EI814" s="4"/>
      <x:c r="EJ814" s="4"/>
      <x:c r="EK814" s="4"/>
      <x:c r="EL814" s="4"/>
      <x:c r="EM814" s="4"/>
      <x:c r="EN814" s="4"/>
      <x:c r="EO814" s="4"/>
      <x:c r="EP814" s="4"/>
      <x:c r="EQ814" s="4"/>
      <x:c r="ER814" s="4"/>
      <x:c r="ES814" s="4"/>
      <x:c r="ET814" s="4"/>
      <x:c r="EU814" s="4"/>
      <x:c r="EV814" s="4"/>
      <x:c r="EW814" s="4"/>
      <x:c r="EX814" s="4"/>
      <x:c r="EY814" s="4"/>
      <x:c r="EZ814" s="4"/>
      <x:c r="FA814" s="4"/>
      <x:c r="FB814" s="4"/>
      <x:c r="FC814" s="4"/>
      <x:c r="FD814" s="4"/>
      <x:c r="FE814" s="4"/>
      <x:c r="FF814" s="4"/>
      <x:c r="FG814" s="4"/>
      <x:c r="FH814" s="4"/>
      <x:c r="FI814" s="4"/>
      <x:c r="FJ814" s="4"/>
      <x:c r="FK814" s="4"/>
      <x:c r="FL814" s="4"/>
      <x:c r="FM814" s="4"/>
      <x:c r="FN814" s="4"/>
      <x:c r="FO814" s="4"/>
    </x:row>
    <x:row r="815">
      <x:c r="A815" s="72"/>
      <x:c r="B815" s="72"/>
      <x:c r="C815" s="72"/>
      <x:c r="D815" s="72"/>
      <x:c r="E815" s="72"/>
      <x:c r="F815" s="72"/>
      <x:c r="G815" s="72"/>
      <x:c r="H815" s="72"/>
      <x:c r="I815" s="72"/>
      <x:c r="J815" s="72"/>
      <x:c r="K815" s="72"/>
      <x:c r="L815" s="72"/>
      <x:c r="M815" s="72"/>
      <x:c r="N815" s="72"/>
      <x:c r="O815" s="72"/>
      <x:c r="P815" s="72"/>
      <x:c r="Q815" s="72"/>
      <x:c r="R815" s="72"/>
      <x:c r="S815" s="72"/>
      <x:c r="T815" s="72"/>
      <x:c r="U815" s="72"/>
      <x:c r="V815" s="72"/>
      <x:c r="W815" s="72"/>
      <x:c r="X815" s="72"/>
      <x:c r="Y815" s="72"/>
      <x:c r="Z815" s="72"/>
      <x:c r="AA815" s="72"/>
      <x:c r="AB815" s="72"/>
      <x:c r="AC815" s="72"/>
      <x:c r="AD815" s="72"/>
      <x:c r="AE815" s="72"/>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4"/>
      <x:c r="DQ815" s="4"/>
      <x:c r="DR815" s="4"/>
      <x:c r="DS815" s="4"/>
      <x:c r="DT815" s="4"/>
      <x:c r="DU815" s="4"/>
      <x:c r="DV815" s="4"/>
      <x:c r="DW815" s="4"/>
      <x:c r="DX815" s="4"/>
      <x:c r="DY815" s="4"/>
      <x:c r="DZ815" s="4"/>
      <x:c r="EA815" s="4"/>
      <x:c r="EB815" s="4"/>
      <x:c r="EC815" s="4"/>
      <x:c r="ED815" s="4"/>
      <x:c r="EE815" s="4"/>
      <x:c r="EF815" s="4"/>
      <x:c r="EG815" s="4"/>
      <x:c r="EH815" s="4"/>
      <x:c r="EI815" s="4"/>
      <x:c r="EJ815" s="4"/>
      <x:c r="EK815" s="4"/>
      <x:c r="EL815" s="4"/>
      <x:c r="EM815" s="4"/>
      <x:c r="EN815" s="4"/>
      <x:c r="EO815" s="4"/>
      <x:c r="EP815" s="4"/>
      <x:c r="EQ815" s="4"/>
      <x:c r="ER815" s="4"/>
      <x:c r="ES815" s="4"/>
      <x:c r="ET815" s="4"/>
      <x:c r="EU815" s="4"/>
      <x:c r="EV815" s="4"/>
      <x:c r="EW815" s="4"/>
      <x:c r="EX815" s="4"/>
      <x:c r="EY815" s="4"/>
      <x:c r="EZ815" s="4"/>
      <x:c r="FA815" s="4"/>
      <x:c r="FB815" s="4"/>
      <x:c r="FC815" s="4"/>
      <x:c r="FD815" s="4"/>
      <x:c r="FE815" s="4"/>
      <x:c r="FF815" s="4"/>
      <x:c r="FG815" s="4"/>
      <x:c r="FH815" s="4"/>
      <x:c r="FI815" s="4"/>
      <x:c r="FJ815" s="4"/>
      <x:c r="FK815" s="4"/>
      <x:c r="FL815" s="4"/>
      <x:c r="FM815" s="4"/>
      <x:c r="FN815" s="4"/>
      <x:c r="FO815" s="4"/>
    </x:row>
    <x:row r="816">
      <x:c r="A816" s="72"/>
      <x:c r="B816" s="72"/>
      <x:c r="C816" s="72"/>
      <x:c r="D816" s="72"/>
      <x:c r="E816" s="72"/>
      <x:c r="F816" s="72"/>
      <x:c r="G816" s="72"/>
      <x:c r="H816" s="72"/>
      <x:c r="I816" s="72"/>
      <x:c r="J816" s="72"/>
      <x:c r="K816" s="72"/>
      <x:c r="L816" s="72"/>
      <x:c r="M816" s="72"/>
      <x:c r="N816" s="72"/>
      <x:c r="O816" s="72"/>
      <x:c r="P816" s="72"/>
      <x:c r="Q816" s="72"/>
      <x:c r="R816" s="72"/>
      <x:c r="S816" s="72"/>
      <x:c r="T816" s="72"/>
      <x:c r="U816" s="72"/>
      <x:c r="V816" s="72"/>
      <x:c r="W816" s="72"/>
      <x:c r="X816" s="72"/>
      <x:c r="Y816" s="72"/>
      <x:c r="Z816" s="72"/>
      <x:c r="AA816" s="72"/>
      <x:c r="AB816" s="72"/>
      <x:c r="AC816" s="72"/>
      <x:c r="AD816" s="72"/>
      <x:c r="AE816" s="72"/>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4"/>
      <x:c r="DQ816" s="4"/>
      <x:c r="DR816" s="4"/>
      <x:c r="DS816" s="4"/>
      <x:c r="DT816" s="4"/>
      <x:c r="DU816" s="4"/>
      <x:c r="DV816" s="4"/>
      <x:c r="DW816" s="4"/>
      <x:c r="DX816" s="4"/>
      <x:c r="DY816" s="4"/>
      <x:c r="DZ816" s="4"/>
      <x:c r="EA816" s="4"/>
      <x:c r="EB816" s="4"/>
      <x:c r="EC816" s="4"/>
      <x:c r="ED816" s="4"/>
      <x:c r="EE816" s="4"/>
      <x:c r="EF816" s="4"/>
      <x:c r="EG816" s="4"/>
      <x:c r="EH816" s="4"/>
      <x:c r="EI816" s="4"/>
      <x:c r="EJ816" s="4"/>
      <x:c r="EK816" s="4"/>
      <x:c r="EL816" s="4"/>
      <x:c r="EM816" s="4"/>
      <x:c r="EN816" s="4"/>
      <x:c r="EO816" s="4"/>
      <x:c r="EP816" s="4"/>
      <x:c r="EQ816" s="4"/>
      <x:c r="ER816" s="4"/>
      <x:c r="ES816" s="4"/>
      <x:c r="ET816" s="4"/>
      <x:c r="EU816" s="4"/>
      <x:c r="EV816" s="4"/>
      <x:c r="EW816" s="4"/>
      <x:c r="EX816" s="4"/>
      <x:c r="EY816" s="4"/>
      <x:c r="EZ816" s="4"/>
      <x:c r="FA816" s="4"/>
      <x:c r="FB816" s="4"/>
      <x:c r="FC816" s="4"/>
      <x:c r="FD816" s="4"/>
      <x:c r="FE816" s="4"/>
      <x:c r="FF816" s="4"/>
      <x:c r="FG816" s="4"/>
      <x:c r="FH816" s="4"/>
      <x:c r="FI816" s="4"/>
      <x:c r="FJ816" s="4"/>
      <x:c r="FK816" s="4"/>
      <x:c r="FL816" s="4"/>
      <x:c r="FM816" s="4"/>
      <x:c r="FN816" s="4"/>
      <x:c r="FO816" s="4"/>
    </x:row>
    <x:row r="817">
      <x:c r="A817" s="72"/>
      <x:c r="B817" s="72"/>
      <x:c r="C817" s="72"/>
      <x:c r="D817" s="72"/>
      <x:c r="E817" s="72"/>
      <x:c r="F817" s="72"/>
      <x:c r="G817" s="72"/>
      <x:c r="H817" s="72"/>
      <x:c r="I817" s="72"/>
      <x:c r="J817" s="72"/>
      <x:c r="K817" s="72"/>
      <x:c r="L817" s="72"/>
      <x:c r="M817" s="72"/>
      <x:c r="N817" s="72"/>
      <x:c r="O817" s="72"/>
      <x:c r="P817" s="72"/>
      <x:c r="Q817" s="72"/>
      <x:c r="R817" s="72"/>
      <x:c r="S817" s="72"/>
      <x:c r="T817" s="72"/>
      <x:c r="U817" s="72"/>
      <x:c r="V817" s="72"/>
      <x:c r="W817" s="72"/>
      <x:c r="X817" s="72"/>
      <x:c r="Y817" s="72"/>
      <x:c r="Z817" s="72"/>
      <x:c r="AA817" s="72"/>
      <x:c r="AB817" s="72"/>
      <x:c r="AC817" s="72"/>
      <x:c r="AD817" s="72"/>
      <x:c r="AE817" s="72"/>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4"/>
      <x:c r="DQ817" s="4"/>
      <x:c r="DR817" s="4"/>
      <x:c r="DS817" s="4"/>
      <x:c r="DT817" s="4"/>
      <x:c r="DU817" s="4"/>
      <x:c r="DV817" s="4"/>
      <x:c r="DW817" s="4"/>
      <x:c r="DX817" s="4"/>
      <x:c r="DY817" s="4"/>
      <x:c r="DZ817" s="4"/>
      <x:c r="EA817" s="4"/>
      <x:c r="EB817" s="4"/>
      <x:c r="EC817" s="4"/>
      <x:c r="ED817" s="4"/>
      <x:c r="EE817" s="4"/>
      <x:c r="EF817" s="4"/>
      <x:c r="EG817" s="4"/>
      <x:c r="EH817" s="4"/>
      <x:c r="EI817" s="4"/>
      <x:c r="EJ817" s="4"/>
      <x:c r="EK817" s="4"/>
      <x:c r="EL817" s="4"/>
      <x:c r="EM817" s="4"/>
      <x:c r="EN817" s="4"/>
      <x:c r="EO817" s="4"/>
      <x:c r="EP817" s="4"/>
      <x:c r="EQ817" s="4"/>
      <x:c r="ER817" s="4"/>
      <x:c r="ES817" s="4"/>
      <x:c r="ET817" s="4"/>
      <x:c r="EU817" s="4"/>
      <x:c r="EV817" s="4"/>
      <x:c r="EW817" s="4"/>
      <x:c r="EX817" s="4"/>
      <x:c r="EY817" s="4"/>
      <x:c r="EZ817" s="4"/>
      <x:c r="FA817" s="4"/>
      <x:c r="FB817" s="4"/>
      <x:c r="FC817" s="4"/>
      <x:c r="FD817" s="4"/>
      <x:c r="FE817" s="4"/>
      <x:c r="FF817" s="4"/>
      <x:c r="FG817" s="4"/>
      <x:c r="FH817" s="4"/>
      <x:c r="FI817" s="4"/>
      <x:c r="FJ817" s="4"/>
      <x:c r="FK817" s="4"/>
      <x:c r="FL817" s="4"/>
      <x:c r="FM817" s="4"/>
      <x:c r="FN817" s="4"/>
      <x:c r="FO817" s="4"/>
    </x:row>
    <x:row r="818">
      <x:c r="A818" s="72"/>
      <x:c r="B818" s="72"/>
      <x:c r="C818" s="72"/>
      <x:c r="D818" s="72"/>
      <x:c r="E818" s="72"/>
      <x:c r="F818" s="72"/>
      <x:c r="G818" s="72"/>
      <x:c r="H818" s="72"/>
      <x:c r="I818" s="72"/>
      <x:c r="J818" s="72"/>
      <x:c r="K818" s="72"/>
      <x:c r="L818" s="72"/>
      <x:c r="M818" s="72"/>
      <x:c r="N818" s="72"/>
      <x:c r="O818" s="72"/>
      <x:c r="P818" s="72"/>
      <x:c r="Q818" s="72"/>
      <x:c r="R818" s="72"/>
      <x:c r="S818" s="72"/>
      <x:c r="T818" s="72"/>
      <x:c r="U818" s="72"/>
      <x:c r="V818" s="72"/>
      <x:c r="W818" s="72"/>
      <x:c r="X818" s="72"/>
      <x:c r="Y818" s="72"/>
      <x:c r="Z818" s="72"/>
      <x:c r="AA818" s="72"/>
      <x:c r="AB818" s="72"/>
      <x:c r="AC818" s="72"/>
      <x:c r="AD818" s="72"/>
      <x:c r="AE818" s="72"/>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4"/>
      <x:c r="DQ818" s="4"/>
      <x:c r="DR818" s="4"/>
      <x:c r="DS818" s="4"/>
      <x:c r="DT818" s="4"/>
      <x:c r="DU818" s="4"/>
      <x:c r="DV818" s="4"/>
      <x:c r="DW818" s="4"/>
      <x:c r="DX818" s="4"/>
      <x:c r="DY818" s="4"/>
      <x:c r="DZ818" s="4"/>
      <x:c r="EA818" s="4"/>
      <x:c r="EB818" s="4"/>
      <x:c r="EC818" s="4"/>
      <x:c r="ED818" s="4"/>
      <x:c r="EE818" s="4"/>
      <x:c r="EF818" s="4"/>
      <x:c r="EG818" s="4"/>
      <x:c r="EH818" s="4"/>
      <x:c r="EI818" s="4"/>
      <x:c r="EJ818" s="4"/>
      <x:c r="EK818" s="4"/>
      <x:c r="EL818" s="4"/>
      <x:c r="EM818" s="4"/>
      <x:c r="EN818" s="4"/>
      <x:c r="EO818" s="4"/>
      <x:c r="EP818" s="4"/>
      <x:c r="EQ818" s="4"/>
      <x:c r="ER818" s="4"/>
      <x:c r="ES818" s="4"/>
      <x:c r="ET818" s="4"/>
      <x:c r="EU818" s="4"/>
      <x:c r="EV818" s="4"/>
      <x:c r="EW818" s="4"/>
      <x:c r="EX818" s="4"/>
      <x:c r="EY818" s="4"/>
      <x:c r="EZ818" s="4"/>
      <x:c r="FA818" s="4"/>
      <x:c r="FB818" s="4"/>
      <x:c r="FC818" s="4"/>
      <x:c r="FD818" s="4"/>
      <x:c r="FE818" s="4"/>
      <x:c r="FF818" s="4"/>
      <x:c r="FG818" s="4"/>
      <x:c r="FH818" s="4"/>
      <x:c r="FI818" s="4"/>
      <x:c r="FJ818" s="4"/>
      <x:c r="FK818" s="4"/>
      <x:c r="FL818" s="4"/>
      <x:c r="FM818" s="4"/>
      <x:c r="FN818" s="4"/>
      <x:c r="FO818" s="4"/>
    </x:row>
    <x:row r="819">
      <x:c r="A819" s="72"/>
      <x:c r="B819" s="72"/>
      <x:c r="C819" s="72"/>
      <x:c r="D819" s="72"/>
      <x:c r="E819" s="72"/>
      <x:c r="F819" s="72"/>
      <x:c r="G819" s="72"/>
      <x:c r="H819" s="72"/>
      <x:c r="I819" s="72"/>
      <x:c r="J819" s="72"/>
      <x:c r="K819" s="72"/>
      <x:c r="L819" s="72"/>
      <x:c r="M819" s="72"/>
      <x:c r="N819" s="72"/>
      <x:c r="O819" s="72"/>
      <x:c r="P819" s="72"/>
      <x:c r="Q819" s="72"/>
      <x:c r="R819" s="72"/>
      <x:c r="S819" s="72"/>
      <x:c r="T819" s="72"/>
      <x:c r="U819" s="72"/>
      <x:c r="V819" s="72"/>
      <x:c r="W819" s="72"/>
      <x:c r="X819" s="72"/>
      <x:c r="Y819" s="72"/>
      <x:c r="Z819" s="72"/>
      <x:c r="AA819" s="72"/>
      <x:c r="AB819" s="72"/>
      <x:c r="AC819" s="72"/>
      <x:c r="AD819" s="72"/>
      <x:c r="AE819" s="72"/>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4"/>
      <x:c r="DQ819" s="4"/>
      <x:c r="DR819" s="4"/>
      <x:c r="DS819" s="4"/>
      <x:c r="DT819" s="4"/>
      <x:c r="DU819" s="4"/>
      <x:c r="DV819" s="4"/>
      <x:c r="DW819" s="4"/>
      <x:c r="DX819" s="4"/>
      <x:c r="DY819" s="4"/>
      <x:c r="DZ819" s="4"/>
      <x:c r="EA819" s="4"/>
      <x:c r="EB819" s="4"/>
      <x:c r="EC819" s="4"/>
      <x:c r="ED819" s="4"/>
      <x:c r="EE819" s="4"/>
      <x:c r="EF819" s="4"/>
      <x:c r="EG819" s="4"/>
      <x:c r="EH819" s="4"/>
      <x:c r="EI819" s="4"/>
      <x:c r="EJ819" s="4"/>
      <x:c r="EK819" s="4"/>
      <x:c r="EL819" s="4"/>
      <x:c r="EM819" s="4"/>
      <x:c r="EN819" s="4"/>
      <x:c r="EO819" s="4"/>
      <x:c r="EP819" s="4"/>
      <x:c r="EQ819" s="4"/>
      <x:c r="ER819" s="4"/>
      <x:c r="ES819" s="4"/>
      <x:c r="ET819" s="4"/>
      <x:c r="EU819" s="4"/>
      <x:c r="EV819" s="4"/>
      <x:c r="EW819" s="4"/>
      <x:c r="EX819" s="4"/>
      <x:c r="EY819" s="4"/>
      <x:c r="EZ819" s="4"/>
      <x:c r="FA819" s="4"/>
      <x:c r="FB819" s="4"/>
      <x:c r="FC819" s="4"/>
      <x:c r="FD819" s="4"/>
      <x:c r="FE819" s="4"/>
      <x:c r="FF819" s="4"/>
      <x:c r="FG819" s="4"/>
      <x:c r="FH819" s="4"/>
      <x:c r="FI819" s="4"/>
      <x:c r="FJ819" s="4"/>
      <x:c r="FK819" s="4"/>
      <x:c r="FL819" s="4"/>
      <x:c r="FM819" s="4"/>
      <x:c r="FN819" s="4"/>
      <x:c r="FO819" s="4"/>
    </x:row>
    <x:row r="820">
      <x:c r="A820" s="72"/>
      <x:c r="B820" s="72"/>
      <x:c r="C820" s="72"/>
      <x:c r="D820" s="72"/>
      <x:c r="E820" s="72"/>
      <x:c r="F820" s="72"/>
      <x:c r="G820" s="72"/>
      <x:c r="H820" s="72"/>
      <x:c r="I820" s="72"/>
      <x:c r="J820" s="72"/>
      <x:c r="K820" s="72"/>
      <x:c r="L820" s="72"/>
      <x:c r="M820" s="72"/>
      <x:c r="N820" s="72"/>
      <x:c r="O820" s="72"/>
      <x:c r="P820" s="72"/>
      <x:c r="Q820" s="72"/>
      <x:c r="R820" s="72"/>
      <x:c r="S820" s="72"/>
      <x:c r="T820" s="72"/>
      <x:c r="U820" s="72"/>
      <x:c r="V820" s="72"/>
      <x:c r="W820" s="72"/>
      <x:c r="X820" s="72"/>
      <x:c r="Y820" s="72"/>
      <x:c r="Z820" s="72"/>
      <x:c r="AA820" s="72"/>
      <x:c r="AB820" s="72"/>
      <x:c r="AC820" s="72"/>
      <x:c r="AD820" s="72"/>
      <x:c r="AE820" s="72"/>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4"/>
      <x:c r="DQ820" s="4"/>
      <x:c r="DR820" s="4"/>
      <x:c r="DS820" s="4"/>
      <x:c r="DT820" s="4"/>
      <x:c r="DU820" s="4"/>
      <x:c r="DV820" s="4"/>
      <x:c r="DW820" s="4"/>
      <x:c r="DX820" s="4"/>
      <x:c r="DY820" s="4"/>
      <x:c r="DZ820" s="4"/>
      <x:c r="EA820" s="4"/>
      <x:c r="EB820" s="4"/>
      <x:c r="EC820" s="4"/>
      <x:c r="ED820" s="4"/>
      <x:c r="EE820" s="4"/>
      <x:c r="EF820" s="4"/>
      <x:c r="EG820" s="4"/>
      <x:c r="EH820" s="4"/>
      <x:c r="EI820" s="4"/>
      <x:c r="EJ820" s="4"/>
      <x:c r="EK820" s="4"/>
      <x:c r="EL820" s="4"/>
      <x:c r="EM820" s="4"/>
      <x:c r="EN820" s="4"/>
      <x:c r="EO820" s="4"/>
      <x:c r="EP820" s="4"/>
      <x:c r="EQ820" s="4"/>
      <x:c r="ER820" s="4"/>
      <x:c r="ES820" s="4"/>
      <x:c r="ET820" s="4"/>
      <x:c r="EU820" s="4"/>
      <x:c r="EV820" s="4"/>
      <x:c r="EW820" s="4"/>
      <x:c r="EX820" s="4"/>
      <x:c r="EY820" s="4"/>
      <x:c r="EZ820" s="4"/>
      <x:c r="FA820" s="4"/>
      <x:c r="FB820" s="4"/>
      <x:c r="FC820" s="4"/>
      <x:c r="FD820" s="4"/>
      <x:c r="FE820" s="4"/>
      <x:c r="FF820" s="4"/>
      <x:c r="FG820" s="4"/>
      <x:c r="FH820" s="4"/>
      <x:c r="FI820" s="4"/>
      <x:c r="FJ820" s="4"/>
      <x:c r="FK820" s="4"/>
      <x:c r="FL820" s="4"/>
      <x:c r="FM820" s="4"/>
      <x:c r="FN820" s="4"/>
      <x:c r="FO820" s="4"/>
    </x:row>
    <x:row r="821">
      <x:c r="A821" s="72"/>
      <x:c r="B821" s="72"/>
      <x:c r="C821" s="72"/>
      <x:c r="D821" s="72"/>
      <x:c r="E821" s="72"/>
      <x:c r="F821" s="72"/>
      <x:c r="G821" s="72"/>
      <x:c r="H821" s="72"/>
      <x:c r="I821" s="72"/>
      <x:c r="J821" s="72"/>
      <x:c r="K821" s="72"/>
      <x:c r="L821" s="72"/>
      <x:c r="M821" s="72"/>
      <x:c r="N821" s="72"/>
      <x:c r="O821" s="72"/>
      <x:c r="P821" s="72"/>
      <x:c r="Q821" s="72"/>
      <x:c r="R821" s="72"/>
      <x:c r="S821" s="72"/>
      <x:c r="T821" s="72"/>
      <x:c r="U821" s="72"/>
      <x:c r="V821" s="72"/>
      <x:c r="W821" s="72"/>
      <x:c r="X821" s="72"/>
      <x:c r="Y821" s="72"/>
      <x:c r="Z821" s="72"/>
      <x:c r="AA821" s="72"/>
      <x:c r="AB821" s="72"/>
      <x:c r="AC821" s="72"/>
      <x:c r="AD821" s="72"/>
      <x:c r="AE821" s="72"/>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4"/>
      <x:c r="DQ821" s="4"/>
      <x:c r="DR821" s="4"/>
      <x:c r="DS821" s="4"/>
      <x:c r="DT821" s="4"/>
      <x:c r="DU821" s="4"/>
      <x:c r="DV821" s="4"/>
      <x:c r="DW821" s="4"/>
      <x:c r="DX821" s="4"/>
      <x:c r="DY821" s="4"/>
      <x:c r="DZ821" s="4"/>
      <x:c r="EA821" s="4"/>
      <x:c r="EB821" s="4"/>
      <x:c r="EC821" s="4"/>
      <x:c r="ED821" s="4"/>
      <x:c r="EE821" s="4"/>
      <x:c r="EF821" s="4"/>
      <x:c r="EG821" s="4"/>
      <x:c r="EH821" s="4"/>
      <x:c r="EI821" s="4"/>
      <x:c r="EJ821" s="4"/>
      <x:c r="EK821" s="4"/>
      <x:c r="EL821" s="4"/>
      <x:c r="EM821" s="4"/>
      <x:c r="EN821" s="4"/>
      <x:c r="EO821" s="4"/>
      <x:c r="EP821" s="4"/>
      <x:c r="EQ821" s="4"/>
      <x:c r="ER821" s="4"/>
      <x:c r="ES821" s="4"/>
      <x:c r="ET821" s="4"/>
      <x:c r="EU821" s="4"/>
      <x:c r="EV821" s="4"/>
      <x:c r="EW821" s="4"/>
      <x:c r="EX821" s="4"/>
      <x:c r="EY821" s="4"/>
      <x:c r="EZ821" s="4"/>
      <x:c r="FA821" s="4"/>
      <x:c r="FB821" s="4"/>
      <x:c r="FC821" s="4"/>
      <x:c r="FD821" s="4"/>
      <x:c r="FE821" s="4"/>
      <x:c r="FF821" s="4"/>
      <x:c r="FG821" s="4"/>
      <x:c r="FH821" s="4"/>
      <x:c r="FI821" s="4"/>
      <x:c r="FJ821" s="4"/>
      <x:c r="FK821" s="4"/>
      <x:c r="FL821" s="4"/>
      <x:c r="FM821" s="4"/>
      <x:c r="FN821" s="4"/>
      <x:c r="FO821" s="4"/>
    </x:row>
    <x:row r="822">
      <x:c r="A822" s="72"/>
      <x:c r="B822" s="72"/>
      <x:c r="C822" s="72"/>
      <x:c r="D822" s="72"/>
      <x:c r="E822" s="72"/>
      <x:c r="F822" s="72"/>
      <x:c r="G822" s="72"/>
      <x:c r="H822" s="72"/>
      <x:c r="I822" s="72"/>
      <x:c r="J822" s="72"/>
      <x:c r="K822" s="72"/>
      <x:c r="L822" s="72"/>
      <x:c r="M822" s="72"/>
      <x:c r="N822" s="72"/>
      <x:c r="O822" s="72"/>
      <x:c r="P822" s="72"/>
      <x:c r="Q822" s="72"/>
      <x:c r="R822" s="72"/>
      <x:c r="S822" s="72"/>
      <x:c r="T822" s="72"/>
      <x:c r="U822" s="72"/>
      <x:c r="V822" s="72"/>
      <x:c r="W822" s="72"/>
      <x:c r="X822" s="72"/>
      <x:c r="Y822" s="72"/>
      <x:c r="Z822" s="72"/>
      <x:c r="AA822" s="72"/>
      <x:c r="AB822" s="72"/>
      <x:c r="AC822" s="72"/>
      <x:c r="AD822" s="72"/>
      <x:c r="AE822" s="72"/>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4"/>
      <x:c r="DQ822" s="4"/>
      <x:c r="DR822" s="4"/>
      <x:c r="DS822" s="4"/>
      <x:c r="DT822" s="4"/>
      <x:c r="DU822" s="4"/>
      <x:c r="DV822" s="4"/>
      <x:c r="DW822" s="4"/>
      <x:c r="DX822" s="4"/>
      <x:c r="DY822" s="4"/>
      <x:c r="DZ822" s="4"/>
      <x:c r="EA822" s="4"/>
      <x:c r="EB822" s="4"/>
      <x:c r="EC822" s="4"/>
      <x:c r="ED822" s="4"/>
      <x:c r="EE822" s="4"/>
      <x:c r="EF822" s="4"/>
      <x:c r="EG822" s="4"/>
      <x:c r="EH822" s="4"/>
      <x:c r="EI822" s="4"/>
      <x:c r="EJ822" s="4"/>
      <x:c r="EK822" s="4"/>
      <x:c r="EL822" s="4"/>
      <x:c r="EM822" s="4"/>
      <x:c r="EN822" s="4"/>
      <x:c r="EO822" s="4"/>
      <x:c r="EP822" s="4"/>
      <x:c r="EQ822" s="4"/>
      <x:c r="ER822" s="4"/>
      <x:c r="ES822" s="4"/>
      <x:c r="ET822" s="4"/>
      <x:c r="EU822" s="4"/>
      <x:c r="EV822" s="4"/>
      <x:c r="EW822" s="4"/>
      <x:c r="EX822" s="4"/>
      <x:c r="EY822" s="4"/>
      <x:c r="EZ822" s="4"/>
      <x:c r="FA822" s="4"/>
      <x:c r="FB822" s="4"/>
      <x:c r="FC822" s="4"/>
      <x:c r="FD822" s="4"/>
      <x:c r="FE822" s="4"/>
      <x:c r="FF822" s="4"/>
      <x:c r="FG822" s="4"/>
      <x:c r="FH822" s="4"/>
      <x:c r="FI822" s="4"/>
      <x:c r="FJ822" s="4"/>
      <x:c r="FK822" s="4"/>
      <x:c r="FL822" s="4"/>
      <x:c r="FM822" s="4"/>
      <x:c r="FN822" s="4"/>
      <x:c r="FO822" s="4"/>
    </x:row>
    <x:row r="823">
      <x:c r="A823" s="72"/>
      <x:c r="B823" s="72"/>
      <x:c r="C823" s="72"/>
      <x:c r="D823" s="72"/>
      <x:c r="E823" s="72"/>
      <x:c r="F823" s="72"/>
      <x:c r="G823" s="72"/>
      <x:c r="H823" s="72"/>
      <x:c r="I823" s="72"/>
      <x:c r="J823" s="72"/>
      <x:c r="K823" s="72"/>
      <x:c r="L823" s="72"/>
      <x:c r="M823" s="72"/>
      <x:c r="N823" s="72"/>
      <x:c r="O823" s="72"/>
      <x:c r="P823" s="72"/>
      <x:c r="Q823" s="72"/>
      <x:c r="R823" s="72"/>
      <x:c r="S823" s="72"/>
      <x:c r="T823" s="72"/>
      <x:c r="U823" s="72"/>
      <x:c r="V823" s="72"/>
      <x:c r="W823" s="72"/>
      <x:c r="X823" s="72"/>
      <x:c r="Y823" s="72"/>
      <x:c r="Z823" s="72"/>
      <x:c r="AA823" s="72"/>
      <x:c r="AB823" s="72"/>
      <x:c r="AC823" s="72"/>
      <x:c r="AD823" s="72"/>
      <x:c r="AE823" s="72"/>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4"/>
      <x:c r="DQ823" s="4"/>
      <x:c r="DR823" s="4"/>
      <x:c r="DS823" s="4"/>
      <x:c r="DT823" s="4"/>
      <x:c r="DU823" s="4"/>
      <x:c r="DV823" s="4"/>
      <x:c r="DW823" s="4"/>
      <x:c r="DX823" s="4"/>
      <x:c r="DY823" s="4"/>
      <x:c r="DZ823" s="4"/>
      <x:c r="EA823" s="4"/>
      <x:c r="EB823" s="4"/>
      <x:c r="EC823" s="4"/>
      <x:c r="ED823" s="4"/>
      <x:c r="EE823" s="4"/>
      <x:c r="EF823" s="4"/>
      <x:c r="EG823" s="4"/>
      <x:c r="EH823" s="4"/>
      <x:c r="EI823" s="4"/>
      <x:c r="EJ823" s="4"/>
      <x:c r="EK823" s="4"/>
      <x:c r="EL823" s="4"/>
      <x:c r="EM823" s="4"/>
      <x:c r="EN823" s="4"/>
      <x:c r="EO823" s="4"/>
      <x:c r="EP823" s="4"/>
      <x:c r="EQ823" s="4"/>
      <x:c r="ER823" s="4"/>
      <x:c r="ES823" s="4"/>
      <x:c r="ET823" s="4"/>
      <x:c r="EU823" s="4"/>
      <x:c r="EV823" s="4"/>
      <x:c r="EW823" s="4"/>
      <x:c r="EX823" s="4"/>
      <x:c r="EY823" s="4"/>
      <x:c r="EZ823" s="4"/>
      <x:c r="FA823" s="4"/>
      <x:c r="FB823" s="4"/>
      <x:c r="FC823" s="4"/>
      <x:c r="FD823" s="4"/>
      <x:c r="FE823" s="4"/>
      <x:c r="FF823" s="4"/>
      <x:c r="FG823" s="4"/>
      <x:c r="FH823" s="4"/>
      <x:c r="FI823" s="4"/>
      <x:c r="FJ823" s="4"/>
      <x:c r="FK823" s="4"/>
      <x:c r="FL823" s="4"/>
      <x:c r="FM823" s="4"/>
      <x:c r="FN823" s="4"/>
      <x:c r="FO823" s="4"/>
    </x:row>
    <x:row r="824">
      <x:c r="A824" s="72"/>
      <x:c r="B824" s="72"/>
      <x:c r="C824" s="72"/>
      <x:c r="D824" s="72"/>
      <x:c r="E824" s="72"/>
      <x:c r="F824" s="72"/>
      <x:c r="G824" s="72"/>
      <x:c r="H824" s="72"/>
      <x:c r="I824" s="72"/>
      <x:c r="J824" s="72"/>
      <x:c r="K824" s="72"/>
      <x:c r="L824" s="72"/>
      <x:c r="M824" s="72"/>
      <x:c r="N824" s="72"/>
      <x:c r="O824" s="72"/>
      <x:c r="P824" s="72"/>
      <x:c r="Q824" s="72"/>
      <x:c r="R824" s="72"/>
      <x:c r="S824" s="72"/>
      <x:c r="T824" s="72"/>
      <x:c r="U824" s="72"/>
      <x:c r="V824" s="72"/>
      <x:c r="W824" s="72"/>
      <x:c r="X824" s="72"/>
      <x:c r="Y824" s="72"/>
      <x:c r="Z824" s="72"/>
      <x:c r="AA824" s="72"/>
      <x:c r="AB824" s="72"/>
      <x:c r="AC824" s="72"/>
      <x:c r="AD824" s="72"/>
      <x:c r="AE824" s="72"/>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4"/>
      <x:c r="DQ824" s="4"/>
      <x:c r="DR824" s="4"/>
      <x:c r="DS824" s="4"/>
      <x:c r="DT824" s="4"/>
      <x:c r="DU824" s="4"/>
      <x:c r="DV824" s="4"/>
      <x:c r="DW824" s="4"/>
      <x:c r="DX824" s="4"/>
      <x:c r="DY824" s="4"/>
      <x:c r="DZ824" s="4"/>
      <x:c r="EA824" s="4"/>
      <x:c r="EB824" s="4"/>
      <x:c r="EC824" s="4"/>
      <x:c r="ED824" s="4"/>
      <x:c r="EE824" s="4"/>
      <x:c r="EF824" s="4"/>
      <x:c r="EG824" s="4"/>
      <x:c r="EH824" s="4"/>
      <x:c r="EI824" s="4"/>
      <x:c r="EJ824" s="4"/>
      <x:c r="EK824" s="4"/>
      <x:c r="EL824" s="4"/>
      <x:c r="EM824" s="4"/>
      <x:c r="EN824" s="4"/>
      <x:c r="EO824" s="4"/>
      <x:c r="EP824" s="4"/>
      <x:c r="EQ824" s="4"/>
      <x:c r="ER824" s="4"/>
      <x:c r="ES824" s="4"/>
      <x:c r="ET824" s="4"/>
      <x:c r="EU824" s="4"/>
      <x:c r="EV824" s="4"/>
      <x:c r="EW824" s="4"/>
      <x:c r="EX824" s="4"/>
      <x:c r="EY824" s="4"/>
      <x:c r="EZ824" s="4"/>
      <x:c r="FA824" s="4"/>
      <x:c r="FB824" s="4"/>
      <x:c r="FC824" s="4"/>
      <x:c r="FD824" s="4"/>
      <x:c r="FE824" s="4"/>
      <x:c r="FF824" s="4"/>
      <x:c r="FG824" s="4"/>
      <x:c r="FH824" s="4"/>
      <x:c r="FI824" s="4"/>
      <x:c r="FJ824" s="4"/>
      <x:c r="FK824" s="4"/>
      <x:c r="FL824" s="4"/>
      <x:c r="FM824" s="4"/>
      <x:c r="FN824" s="4"/>
      <x:c r="FO824" s="4"/>
    </x:row>
    <x:row r="825">
      <x:c r="A825" s="72"/>
      <x:c r="B825" s="72"/>
      <x:c r="C825" s="72"/>
      <x:c r="D825" s="72"/>
      <x:c r="E825" s="72"/>
      <x:c r="F825" s="72"/>
      <x:c r="G825" s="72"/>
      <x:c r="H825" s="72"/>
      <x:c r="I825" s="72"/>
      <x:c r="J825" s="72"/>
      <x:c r="K825" s="72"/>
      <x:c r="L825" s="72"/>
      <x:c r="M825" s="72"/>
      <x:c r="N825" s="72"/>
      <x:c r="O825" s="72"/>
      <x:c r="P825" s="72"/>
      <x:c r="Q825" s="72"/>
      <x:c r="R825" s="72"/>
      <x:c r="S825" s="72"/>
      <x:c r="T825" s="72"/>
      <x:c r="U825" s="72"/>
      <x:c r="V825" s="72"/>
      <x:c r="W825" s="72"/>
      <x:c r="X825" s="72"/>
      <x:c r="Y825" s="72"/>
      <x:c r="Z825" s="72"/>
      <x:c r="AA825" s="72"/>
      <x:c r="AB825" s="72"/>
      <x:c r="AC825" s="72"/>
      <x:c r="AD825" s="72"/>
      <x:c r="AE825" s="72"/>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4"/>
      <x:c r="DQ825" s="4"/>
      <x:c r="DR825" s="4"/>
      <x:c r="DS825" s="4"/>
      <x:c r="DT825" s="4"/>
      <x:c r="DU825" s="4"/>
      <x:c r="DV825" s="4"/>
      <x:c r="DW825" s="4"/>
      <x:c r="DX825" s="4"/>
      <x:c r="DY825" s="4"/>
      <x:c r="DZ825" s="4"/>
      <x:c r="EA825" s="4"/>
      <x:c r="EB825" s="4"/>
      <x:c r="EC825" s="4"/>
      <x:c r="ED825" s="4"/>
      <x:c r="EE825" s="4"/>
      <x:c r="EF825" s="4"/>
      <x:c r="EG825" s="4"/>
      <x:c r="EH825" s="4"/>
      <x:c r="EI825" s="4"/>
      <x:c r="EJ825" s="4"/>
      <x:c r="EK825" s="4"/>
      <x:c r="EL825" s="4"/>
      <x:c r="EM825" s="4"/>
      <x:c r="EN825" s="4"/>
      <x:c r="EO825" s="4"/>
      <x:c r="EP825" s="4"/>
      <x:c r="EQ825" s="4"/>
      <x:c r="ER825" s="4"/>
      <x:c r="ES825" s="4"/>
      <x:c r="ET825" s="4"/>
      <x:c r="EU825" s="4"/>
      <x:c r="EV825" s="4"/>
      <x:c r="EW825" s="4"/>
      <x:c r="EX825" s="4"/>
      <x:c r="EY825" s="4"/>
      <x:c r="EZ825" s="4"/>
      <x:c r="FA825" s="4"/>
      <x:c r="FB825" s="4"/>
      <x:c r="FC825" s="4"/>
      <x:c r="FD825" s="4"/>
      <x:c r="FE825" s="4"/>
      <x:c r="FF825" s="4"/>
      <x:c r="FG825" s="4"/>
      <x:c r="FH825" s="4"/>
      <x:c r="FI825" s="4"/>
      <x:c r="FJ825" s="4"/>
      <x:c r="FK825" s="4"/>
      <x:c r="FL825" s="4"/>
      <x:c r="FM825" s="4"/>
      <x:c r="FN825" s="4"/>
      <x:c r="FO825" s="4"/>
    </x:row>
    <x:row r="826">
      <x:c r="A826" s="72"/>
      <x:c r="B826" s="72"/>
      <x:c r="C826" s="72"/>
      <x:c r="D826" s="72"/>
      <x:c r="E826" s="72"/>
      <x:c r="F826" s="72"/>
      <x:c r="G826" s="72"/>
      <x:c r="H826" s="72"/>
      <x:c r="I826" s="72"/>
      <x:c r="J826" s="72"/>
      <x:c r="K826" s="72"/>
      <x:c r="L826" s="72"/>
      <x:c r="M826" s="72"/>
      <x:c r="N826" s="72"/>
      <x:c r="O826" s="72"/>
      <x:c r="P826" s="72"/>
      <x:c r="Q826" s="72"/>
      <x:c r="R826" s="72"/>
      <x:c r="S826" s="72"/>
      <x:c r="T826" s="72"/>
      <x:c r="U826" s="72"/>
      <x:c r="V826" s="72"/>
      <x:c r="W826" s="72"/>
      <x:c r="X826" s="72"/>
      <x:c r="Y826" s="72"/>
      <x:c r="Z826" s="72"/>
      <x:c r="AA826" s="72"/>
      <x:c r="AB826" s="72"/>
      <x:c r="AC826" s="72"/>
      <x:c r="AD826" s="72"/>
      <x:c r="AE826" s="72"/>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4"/>
      <x:c r="DQ826" s="4"/>
      <x:c r="DR826" s="4"/>
      <x:c r="DS826" s="4"/>
      <x:c r="DT826" s="4"/>
      <x:c r="DU826" s="4"/>
      <x:c r="DV826" s="4"/>
      <x:c r="DW826" s="4"/>
      <x:c r="DX826" s="4"/>
      <x:c r="DY826" s="4"/>
      <x:c r="DZ826" s="4"/>
      <x:c r="EA826" s="4"/>
      <x:c r="EB826" s="4"/>
      <x:c r="EC826" s="4"/>
      <x:c r="ED826" s="4"/>
      <x:c r="EE826" s="4"/>
      <x:c r="EF826" s="4"/>
      <x:c r="EG826" s="4"/>
      <x:c r="EH826" s="4"/>
      <x:c r="EI826" s="4"/>
      <x:c r="EJ826" s="4"/>
      <x:c r="EK826" s="4"/>
      <x:c r="EL826" s="4"/>
      <x:c r="EM826" s="4"/>
      <x:c r="EN826" s="4"/>
      <x:c r="EO826" s="4"/>
      <x:c r="EP826" s="4"/>
      <x:c r="EQ826" s="4"/>
      <x:c r="ER826" s="4"/>
      <x:c r="ES826" s="4"/>
      <x:c r="ET826" s="4"/>
      <x:c r="EU826" s="4"/>
      <x:c r="EV826" s="4"/>
      <x:c r="EW826" s="4"/>
      <x:c r="EX826" s="4"/>
      <x:c r="EY826" s="4"/>
      <x:c r="EZ826" s="4"/>
      <x:c r="FA826" s="4"/>
      <x:c r="FB826" s="4"/>
      <x:c r="FC826" s="4"/>
      <x:c r="FD826" s="4"/>
      <x:c r="FE826" s="4"/>
      <x:c r="FF826" s="4"/>
      <x:c r="FG826" s="4"/>
      <x:c r="FH826" s="4"/>
      <x:c r="FI826" s="4"/>
      <x:c r="FJ826" s="4"/>
      <x:c r="FK826" s="4"/>
      <x:c r="FL826" s="4"/>
      <x:c r="FM826" s="4"/>
      <x:c r="FN826" s="4"/>
      <x:c r="FO826" s="4"/>
    </x:row>
    <x:row r="827">
      <x:c r="A827" s="72"/>
      <x:c r="B827" s="72"/>
      <x:c r="C827" s="72"/>
      <x:c r="D827" s="72"/>
      <x:c r="E827" s="72"/>
      <x:c r="F827" s="72"/>
      <x:c r="G827" s="72"/>
      <x:c r="H827" s="72"/>
      <x:c r="I827" s="72"/>
      <x:c r="J827" s="72"/>
      <x:c r="K827" s="72"/>
      <x:c r="L827" s="72"/>
      <x:c r="M827" s="72"/>
      <x:c r="N827" s="72"/>
      <x:c r="O827" s="72"/>
      <x:c r="P827" s="72"/>
      <x:c r="Q827" s="72"/>
      <x:c r="R827" s="72"/>
      <x:c r="S827" s="72"/>
      <x:c r="T827" s="72"/>
      <x:c r="U827" s="72"/>
      <x:c r="V827" s="72"/>
      <x:c r="W827" s="72"/>
      <x:c r="X827" s="72"/>
      <x:c r="Y827" s="72"/>
      <x:c r="Z827" s="72"/>
      <x:c r="AA827" s="72"/>
      <x:c r="AB827" s="72"/>
      <x:c r="AC827" s="72"/>
      <x:c r="AD827" s="72"/>
      <x:c r="AE827" s="72"/>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4"/>
      <x:c r="DQ827" s="4"/>
      <x:c r="DR827" s="4"/>
      <x:c r="DS827" s="4"/>
      <x:c r="DT827" s="4"/>
      <x:c r="DU827" s="4"/>
      <x:c r="DV827" s="4"/>
      <x:c r="DW827" s="4"/>
      <x:c r="DX827" s="4"/>
      <x:c r="DY827" s="4"/>
      <x:c r="DZ827" s="4"/>
      <x:c r="EA827" s="4"/>
      <x:c r="EB827" s="4"/>
      <x:c r="EC827" s="4"/>
      <x:c r="ED827" s="4"/>
      <x:c r="EE827" s="4"/>
      <x:c r="EF827" s="4"/>
      <x:c r="EG827" s="4"/>
      <x:c r="EH827" s="4"/>
      <x:c r="EI827" s="4"/>
      <x:c r="EJ827" s="4"/>
      <x:c r="EK827" s="4"/>
      <x:c r="EL827" s="4"/>
      <x:c r="EM827" s="4"/>
      <x:c r="EN827" s="4"/>
      <x:c r="EO827" s="4"/>
      <x:c r="EP827" s="4"/>
      <x:c r="EQ827" s="4"/>
      <x:c r="ER827" s="4"/>
      <x:c r="ES827" s="4"/>
      <x:c r="ET827" s="4"/>
      <x:c r="EU827" s="4"/>
      <x:c r="EV827" s="4"/>
      <x:c r="EW827" s="4"/>
      <x:c r="EX827" s="4"/>
      <x:c r="EY827" s="4"/>
      <x:c r="EZ827" s="4"/>
      <x:c r="FA827" s="4"/>
      <x:c r="FB827" s="4"/>
      <x:c r="FC827" s="4"/>
      <x:c r="FD827" s="4"/>
      <x:c r="FE827" s="4"/>
      <x:c r="FF827" s="4"/>
      <x:c r="FG827" s="4"/>
      <x:c r="FH827" s="4"/>
      <x:c r="FI827" s="4"/>
      <x:c r="FJ827" s="4"/>
      <x:c r="FK827" s="4"/>
      <x:c r="FL827" s="4"/>
      <x:c r="FM827" s="4"/>
      <x:c r="FN827" s="4"/>
      <x:c r="FO827" s="4"/>
    </x:row>
    <x:row r="828">
      <x:c r="A828" s="72"/>
      <x:c r="B828" s="72"/>
      <x:c r="C828" s="72"/>
      <x:c r="D828" s="72"/>
      <x:c r="E828" s="72"/>
      <x:c r="F828" s="72"/>
      <x:c r="G828" s="72"/>
      <x:c r="H828" s="72"/>
      <x:c r="I828" s="72"/>
      <x:c r="J828" s="72"/>
      <x:c r="K828" s="72"/>
      <x:c r="L828" s="72"/>
      <x:c r="M828" s="72"/>
      <x:c r="N828" s="72"/>
      <x:c r="O828" s="72"/>
      <x:c r="P828" s="72"/>
      <x:c r="Q828" s="72"/>
      <x:c r="R828" s="72"/>
      <x:c r="S828" s="72"/>
      <x:c r="T828" s="72"/>
      <x:c r="U828" s="72"/>
      <x:c r="V828" s="72"/>
      <x:c r="W828" s="72"/>
      <x:c r="X828" s="72"/>
      <x:c r="Y828" s="72"/>
      <x:c r="Z828" s="72"/>
      <x:c r="AA828" s="72"/>
      <x:c r="AB828" s="72"/>
      <x:c r="AC828" s="72"/>
      <x:c r="AD828" s="72"/>
      <x:c r="AE828" s="72"/>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4"/>
      <x:c r="DQ828" s="4"/>
      <x:c r="DR828" s="4"/>
      <x:c r="DS828" s="4"/>
      <x:c r="DT828" s="4"/>
      <x:c r="DU828" s="4"/>
      <x:c r="DV828" s="4"/>
      <x:c r="DW828" s="4"/>
      <x:c r="DX828" s="4"/>
      <x:c r="DY828" s="4"/>
      <x:c r="DZ828" s="4"/>
      <x:c r="EA828" s="4"/>
      <x:c r="EB828" s="4"/>
      <x:c r="EC828" s="4"/>
      <x:c r="ED828" s="4"/>
      <x:c r="EE828" s="4"/>
      <x:c r="EF828" s="4"/>
      <x:c r="EG828" s="4"/>
      <x:c r="EH828" s="4"/>
      <x:c r="EI828" s="4"/>
      <x:c r="EJ828" s="4"/>
      <x:c r="EK828" s="4"/>
      <x:c r="EL828" s="4"/>
      <x:c r="EM828" s="4"/>
      <x:c r="EN828" s="4"/>
      <x:c r="EO828" s="4"/>
      <x:c r="EP828" s="4"/>
      <x:c r="EQ828" s="4"/>
      <x:c r="ER828" s="4"/>
      <x:c r="ES828" s="4"/>
      <x:c r="ET828" s="4"/>
      <x:c r="EU828" s="4"/>
      <x:c r="EV828" s="4"/>
      <x:c r="EW828" s="4"/>
      <x:c r="EX828" s="4"/>
      <x:c r="EY828" s="4"/>
      <x:c r="EZ828" s="4"/>
      <x:c r="FA828" s="4"/>
      <x:c r="FB828" s="4"/>
      <x:c r="FC828" s="4"/>
      <x:c r="FD828" s="4"/>
      <x:c r="FE828" s="4"/>
      <x:c r="FF828" s="4"/>
      <x:c r="FG828" s="4"/>
      <x:c r="FH828" s="4"/>
      <x:c r="FI828" s="4"/>
      <x:c r="FJ828" s="4"/>
      <x:c r="FK828" s="4"/>
      <x:c r="FL828" s="4"/>
      <x:c r="FM828" s="4"/>
      <x:c r="FN828" s="4"/>
      <x:c r="FO828" s="4"/>
    </x:row>
    <x:row r="829">
      <x:c r="A829" s="72"/>
      <x:c r="B829" s="72"/>
      <x:c r="C829" s="72"/>
      <x:c r="D829" s="72"/>
      <x:c r="E829" s="72"/>
      <x:c r="F829" s="72"/>
      <x:c r="G829" s="72"/>
      <x:c r="H829" s="72"/>
      <x:c r="I829" s="72"/>
      <x:c r="J829" s="72"/>
      <x:c r="K829" s="72"/>
      <x:c r="L829" s="72"/>
      <x:c r="M829" s="72"/>
      <x:c r="N829" s="72"/>
      <x:c r="O829" s="72"/>
      <x:c r="P829" s="72"/>
      <x:c r="Q829" s="72"/>
      <x:c r="R829" s="72"/>
      <x:c r="S829" s="72"/>
      <x:c r="T829" s="72"/>
      <x:c r="U829" s="72"/>
      <x:c r="V829" s="72"/>
      <x:c r="W829" s="72"/>
      <x:c r="X829" s="72"/>
      <x:c r="Y829" s="72"/>
      <x:c r="Z829" s="72"/>
      <x:c r="AA829" s="72"/>
      <x:c r="AB829" s="72"/>
      <x:c r="AC829" s="72"/>
      <x:c r="AD829" s="72"/>
      <x:c r="AE829" s="72"/>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4"/>
      <x:c r="DQ829" s="4"/>
      <x:c r="DR829" s="4"/>
      <x:c r="DS829" s="4"/>
      <x:c r="DT829" s="4"/>
      <x:c r="DU829" s="4"/>
      <x:c r="DV829" s="4"/>
      <x:c r="DW829" s="4"/>
      <x:c r="DX829" s="4"/>
      <x:c r="DY829" s="4"/>
      <x:c r="DZ829" s="4"/>
      <x:c r="EA829" s="4"/>
      <x:c r="EB829" s="4"/>
      <x:c r="EC829" s="4"/>
      <x:c r="ED829" s="4"/>
      <x:c r="EE829" s="4"/>
      <x:c r="EF829" s="4"/>
      <x:c r="EG829" s="4"/>
      <x:c r="EH829" s="4"/>
      <x:c r="EI829" s="4"/>
      <x:c r="EJ829" s="4"/>
      <x:c r="EK829" s="4"/>
      <x:c r="EL829" s="4"/>
      <x:c r="EM829" s="4"/>
      <x:c r="EN829" s="4"/>
      <x:c r="EO829" s="4"/>
      <x:c r="EP829" s="4"/>
      <x:c r="EQ829" s="4"/>
      <x:c r="ER829" s="4"/>
      <x:c r="ES829" s="4"/>
      <x:c r="ET829" s="4"/>
      <x:c r="EU829" s="4"/>
      <x:c r="EV829" s="4"/>
      <x:c r="EW829" s="4"/>
      <x:c r="EX829" s="4"/>
      <x:c r="EY829" s="4"/>
      <x:c r="EZ829" s="4"/>
      <x:c r="FA829" s="4"/>
      <x:c r="FB829" s="4"/>
      <x:c r="FC829" s="4"/>
      <x:c r="FD829" s="4"/>
      <x:c r="FE829" s="4"/>
      <x:c r="FF829" s="4"/>
      <x:c r="FG829" s="4"/>
      <x:c r="FH829" s="4"/>
      <x:c r="FI829" s="4"/>
      <x:c r="FJ829" s="4"/>
      <x:c r="FK829" s="4"/>
      <x:c r="FL829" s="4"/>
      <x:c r="FM829" s="4"/>
      <x:c r="FN829" s="4"/>
      <x:c r="FO829" s="4"/>
    </x:row>
    <x:row r="830">
      <x:c r="A830" s="72"/>
      <x:c r="B830" s="72"/>
      <x:c r="C830" s="72"/>
      <x:c r="D830" s="72"/>
      <x:c r="E830" s="72"/>
      <x:c r="F830" s="72"/>
      <x:c r="G830" s="72"/>
      <x:c r="H830" s="72"/>
      <x:c r="I830" s="72"/>
      <x:c r="J830" s="72"/>
      <x:c r="K830" s="72"/>
      <x:c r="L830" s="72"/>
      <x:c r="M830" s="72"/>
      <x:c r="N830" s="72"/>
      <x:c r="O830" s="72"/>
      <x:c r="P830" s="72"/>
      <x:c r="Q830" s="72"/>
      <x:c r="R830" s="72"/>
      <x:c r="S830" s="72"/>
      <x:c r="T830" s="72"/>
      <x:c r="U830" s="72"/>
      <x:c r="V830" s="72"/>
      <x:c r="W830" s="72"/>
      <x:c r="X830" s="72"/>
      <x:c r="Y830" s="72"/>
      <x:c r="Z830" s="72"/>
      <x:c r="AA830" s="72"/>
      <x:c r="AB830" s="72"/>
      <x:c r="AC830" s="72"/>
      <x:c r="AD830" s="72"/>
      <x:c r="AE830" s="72"/>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4"/>
      <x:c r="DQ830" s="4"/>
      <x:c r="DR830" s="4"/>
      <x:c r="DS830" s="4"/>
      <x:c r="DT830" s="4"/>
      <x:c r="DU830" s="4"/>
      <x:c r="DV830" s="4"/>
      <x:c r="DW830" s="4"/>
      <x:c r="DX830" s="4"/>
      <x:c r="DY830" s="4"/>
      <x:c r="DZ830" s="4"/>
      <x:c r="EA830" s="4"/>
      <x:c r="EB830" s="4"/>
      <x:c r="EC830" s="4"/>
      <x:c r="ED830" s="4"/>
      <x:c r="EE830" s="4"/>
      <x:c r="EF830" s="4"/>
      <x:c r="EG830" s="4"/>
      <x:c r="EH830" s="4"/>
      <x:c r="EI830" s="4"/>
      <x:c r="EJ830" s="4"/>
      <x:c r="EK830" s="4"/>
      <x:c r="EL830" s="4"/>
      <x:c r="EM830" s="4"/>
      <x:c r="EN830" s="4"/>
      <x:c r="EO830" s="4"/>
      <x:c r="EP830" s="4"/>
      <x:c r="EQ830" s="4"/>
      <x:c r="ER830" s="4"/>
      <x:c r="ES830" s="4"/>
      <x:c r="ET830" s="4"/>
      <x:c r="EU830" s="4"/>
      <x:c r="EV830" s="4"/>
      <x:c r="EW830" s="4"/>
      <x:c r="EX830" s="4"/>
      <x:c r="EY830" s="4"/>
      <x:c r="EZ830" s="4"/>
      <x:c r="FA830" s="4"/>
      <x:c r="FB830" s="4"/>
      <x:c r="FC830" s="4"/>
      <x:c r="FD830" s="4"/>
      <x:c r="FE830" s="4"/>
      <x:c r="FF830" s="4"/>
      <x:c r="FG830" s="4"/>
      <x:c r="FH830" s="4"/>
      <x:c r="FI830" s="4"/>
      <x:c r="FJ830" s="4"/>
      <x:c r="FK830" s="4"/>
      <x:c r="FL830" s="4"/>
      <x:c r="FM830" s="4"/>
      <x:c r="FN830" s="4"/>
      <x:c r="FO830" s="4"/>
    </x:row>
    <x:row r="831">
      <x:c r="A831" s="72"/>
      <x:c r="B831" s="72"/>
      <x:c r="C831" s="72"/>
      <x:c r="D831" s="72"/>
      <x:c r="E831" s="72"/>
      <x:c r="F831" s="72"/>
      <x:c r="G831" s="72"/>
      <x:c r="H831" s="72"/>
      <x:c r="I831" s="72"/>
      <x:c r="J831" s="72"/>
      <x:c r="K831" s="72"/>
      <x:c r="L831" s="72"/>
      <x:c r="M831" s="72"/>
      <x:c r="N831" s="72"/>
      <x:c r="O831" s="72"/>
      <x:c r="P831" s="72"/>
      <x:c r="Q831" s="72"/>
      <x:c r="R831" s="72"/>
      <x:c r="S831" s="72"/>
      <x:c r="T831" s="72"/>
      <x:c r="U831" s="72"/>
      <x:c r="V831" s="72"/>
      <x:c r="W831" s="72"/>
      <x:c r="X831" s="72"/>
      <x:c r="Y831" s="72"/>
      <x:c r="Z831" s="72"/>
      <x:c r="AA831" s="72"/>
      <x:c r="AB831" s="72"/>
      <x:c r="AC831" s="72"/>
      <x:c r="AD831" s="72"/>
      <x:c r="AE831" s="72"/>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4"/>
      <x:c r="DQ831" s="4"/>
      <x:c r="DR831" s="4"/>
      <x:c r="DS831" s="4"/>
      <x:c r="DT831" s="4"/>
      <x:c r="DU831" s="4"/>
      <x:c r="DV831" s="4"/>
      <x:c r="DW831" s="4"/>
      <x:c r="DX831" s="4"/>
      <x:c r="DY831" s="4"/>
      <x:c r="DZ831" s="4"/>
      <x:c r="EA831" s="4"/>
      <x:c r="EB831" s="4"/>
      <x:c r="EC831" s="4"/>
      <x:c r="ED831" s="4"/>
      <x:c r="EE831" s="4"/>
      <x:c r="EF831" s="4"/>
      <x:c r="EG831" s="4"/>
      <x:c r="EH831" s="4"/>
      <x:c r="EI831" s="4"/>
      <x:c r="EJ831" s="4"/>
      <x:c r="EK831" s="4"/>
      <x:c r="EL831" s="4"/>
      <x:c r="EM831" s="4"/>
      <x:c r="EN831" s="4"/>
      <x:c r="EO831" s="4"/>
      <x:c r="EP831" s="4"/>
      <x:c r="EQ831" s="4"/>
      <x:c r="ER831" s="4"/>
      <x:c r="ES831" s="4"/>
      <x:c r="ET831" s="4"/>
      <x:c r="EU831" s="4"/>
      <x:c r="EV831" s="4"/>
      <x:c r="EW831" s="4"/>
      <x:c r="EX831" s="4"/>
      <x:c r="EY831" s="4"/>
      <x:c r="EZ831" s="4"/>
      <x:c r="FA831" s="4"/>
      <x:c r="FB831" s="4"/>
      <x:c r="FC831" s="4"/>
      <x:c r="FD831" s="4"/>
      <x:c r="FE831" s="4"/>
      <x:c r="FF831" s="4"/>
      <x:c r="FG831" s="4"/>
      <x:c r="FH831" s="4"/>
      <x:c r="FI831" s="4"/>
      <x:c r="FJ831" s="4"/>
      <x:c r="FK831" s="4"/>
      <x:c r="FL831" s="4"/>
      <x:c r="FM831" s="4"/>
      <x:c r="FN831" s="4"/>
      <x:c r="FO831" s="4"/>
    </x:row>
    <x:row r="832">
      <x:c r="A832" s="72"/>
      <x:c r="B832" s="72"/>
      <x:c r="C832" s="72"/>
      <x:c r="D832" s="72"/>
      <x:c r="E832" s="72"/>
      <x:c r="F832" s="72"/>
      <x:c r="G832" s="72"/>
      <x:c r="H832" s="72"/>
      <x:c r="I832" s="72"/>
      <x:c r="J832" s="72"/>
      <x:c r="K832" s="72"/>
      <x:c r="L832" s="72"/>
      <x:c r="M832" s="72"/>
      <x:c r="N832" s="72"/>
      <x:c r="O832" s="72"/>
      <x:c r="P832" s="72"/>
      <x:c r="Q832" s="72"/>
      <x:c r="R832" s="72"/>
      <x:c r="S832" s="72"/>
      <x:c r="T832" s="72"/>
      <x:c r="U832" s="72"/>
      <x:c r="V832" s="72"/>
      <x:c r="W832" s="72"/>
      <x:c r="X832" s="72"/>
      <x:c r="Y832" s="72"/>
      <x:c r="Z832" s="72"/>
      <x:c r="AA832" s="72"/>
      <x:c r="AB832" s="72"/>
      <x:c r="AC832" s="72"/>
      <x:c r="AD832" s="72"/>
      <x:c r="AE832" s="72"/>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4"/>
      <x:c r="DQ832" s="4"/>
      <x:c r="DR832" s="4"/>
      <x:c r="DS832" s="4"/>
      <x:c r="DT832" s="4"/>
      <x:c r="DU832" s="4"/>
      <x:c r="DV832" s="4"/>
      <x:c r="DW832" s="4"/>
      <x:c r="DX832" s="4"/>
      <x:c r="DY832" s="4"/>
      <x:c r="DZ832" s="4"/>
      <x:c r="EA832" s="4"/>
      <x:c r="EB832" s="4"/>
      <x:c r="EC832" s="4"/>
      <x:c r="ED832" s="4"/>
      <x:c r="EE832" s="4"/>
      <x:c r="EF832" s="4"/>
      <x:c r="EG832" s="4"/>
      <x:c r="EH832" s="4"/>
      <x:c r="EI832" s="4"/>
      <x:c r="EJ832" s="4"/>
      <x:c r="EK832" s="4"/>
      <x:c r="EL832" s="4"/>
      <x:c r="EM832" s="4"/>
      <x:c r="EN832" s="4"/>
      <x:c r="EO832" s="4"/>
      <x:c r="EP832" s="4"/>
      <x:c r="EQ832" s="4"/>
      <x:c r="ER832" s="4"/>
      <x:c r="ES832" s="4"/>
      <x:c r="ET832" s="4"/>
      <x:c r="EU832" s="4"/>
      <x:c r="EV832" s="4"/>
      <x:c r="EW832" s="4"/>
      <x:c r="EX832" s="4"/>
      <x:c r="EY832" s="4"/>
      <x:c r="EZ832" s="4"/>
      <x:c r="FA832" s="4"/>
      <x:c r="FB832" s="4"/>
      <x:c r="FC832" s="4"/>
      <x:c r="FD832" s="4"/>
      <x:c r="FE832" s="4"/>
      <x:c r="FF832" s="4"/>
      <x:c r="FG832" s="4"/>
      <x:c r="FH832" s="4"/>
      <x:c r="FI832" s="4"/>
      <x:c r="FJ832" s="4"/>
      <x:c r="FK832" s="4"/>
      <x:c r="FL832" s="4"/>
      <x:c r="FM832" s="4"/>
      <x:c r="FN832" s="4"/>
      <x:c r="FO832" s="4"/>
    </x:row>
    <x:row r="833">
      <x:c r="A833" s="72"/>
      <x:c r="B833" s="72"/>
      <x:c r="C833" s="72"/>
      <x:c r="D833" s="72"/>
      <x:c r="E833" s="72"/>
      <x:c r="F833" s="72"/>
      <x:c r="G833" s="72"/>
      <x:c r="H833" s="72"/>
      <x:c r="I833" s="72"/>
      <x:c r="J833" s="72"/>
      <x:c r="K833" s="72"/>
      <x:c r="L833" s="72"/>
      <x:c r="M833" s="72"/>
      <x:c r="N833" s="72"/>
      <x:c r="O833" s="72"/>
      <x:c r="P833" s="72"/>
      <x:c r="Q833" s="72"/>
      <x:c r="R833" s="72"/>
      <x:c r="S833" s="72"/>
      <x:c r="T833" s="72"/>
      <x:c r="U833" s="72"/>
      <x:c r="V833" s="72"/>
      <x:c r="W833" s="72"/>
      <x:c r="X833" s="72"/>
      <x:c r="Y833" s="72"/>
      <x:c r="Z833" s="72"/>
      <x:c r="AA833" s="72"/>
      <x:c r="AB833" s="72"/>
      <x:c r="AC833" s="72"/>
      <x:c r="AD833" s="72"/>
      <x:c r="AE833" s="72"/>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4"/>
      <x:c r="DQ833" s="4"/>
      <x:c r="DR833" s="4"/>
      <x:c r="DS833" s="4"/>
      <x:c r="DT833" s="4"/>
      <x:c r="DU833" s="4"/>
      <x:c r="DV833" s="4"/>
      <x:c r="DW833" s="4"/>
      <x:c r="DX833" s="4"/>
      <x:c r="DY833" s="4"/>
      <x:c r="DZ833" s="4"/>
      <x:c r="EA833" s="4"/>
      <x:c r="EB833" s="4"/>
      <x:c r="EC833" s="4"/>
      <x:c r="ED833" s="4"/>
      <x:c r="EE833" s="4"/>
      <x:c r="EF833" s="4"/>
      <x:c r="EG833" s="4"/>
      <x:c r="EH833" s="4"/>
      <x:c r="EI833" s="4"/>
      <x:c r="EJ833" s="4"/>
      <x:c r="EK833" s="4"/>
      <x:c r="EL833" s="4"/>
      <x:c r="EM833" s="4"/>
      <x:c r="EN833" s="4"/>
      <x:c r="EO833" s="4"/>
      <x:c r="EP833" s="4"/>
      <x:c r="EQ833" s="4"/>
      <x:c r="ER833" s="4"/>
      <x:c r="ES833" s="4"/>
      <x:c r="ET833" s="4"/>
      <x:c r="EU833" s="4"/>
      <x:c r="EV833" s="4"/>
      <x:c r="EW833" s="4"/>
      <x:c r="EX833" s="4"/>
      <x:c r="EY833" s="4"/>
      <x:c r="EZ833" s="4"/>
      <x:c r="FA833" s="4"/>
      <x:c r="FB833" s="4"/>
      <x:c r="FC833" s="4"/>
      <x:c r="FD833" s="4"/>
      <x:c r="FE833" s="4"/>
      <x:c r="FF833" s="4"/>
      <x:c r="FG833" s="4"/>
      <x:c r="FH833" s="4"/>
      <x:c r="FI833" s="4"/>
      <x:c r="FJ833" s="4"/>
      <x:c r="FK833" s="4"/>
      <x:c r="FL833" s="4"/>
      <x:c r="FM833" s="4"/>
      <x:c r="FN833" s="4"/>
      <x:c r="FO833" s="4"/>
    </x:row>
    <x:row r="834">
      <x:c r="A834" s="72"/>
      <x:c r="B834" s="72"/>
      <x:c r="C834" s="72"/>
      <x:c r="D834" s="72"/>
      <x:c r="E834" s="72"/>
      <x:c r="F834" s="72"/>
      <x:c r="G834" s="72"/>
      <x:c r="H834" s="72"/>
      <x:c r="I834" s="72"/>
      <x:c r="J834" s="72"/>
      <x:c r="K834" s="72"/>
      <x:c r="L834" s="72"/>
      <x:c r="M834" s="72"/>
      <x:c r="N834" s="72"/>
      <x:c r="O834" s="72"/>
      <x:c r="P834" s="72"/>
      <x:c r="Q834" s="72"/>
      <x:c r="R834" s="72"/>
      <x:c r="S834" s="72"/>
      <x:c r="T834" s="72"/>
      <x:c r="U834" s="72"/>
      <x:c r="V834" s="72"/>
      <x:c r="W834" s="72"/>
      <x:c r="X834" s="72"/>
      <x:c r="Y834" s="72"/>
      <x:c r="Z834" s="72"/>
      <x:c r="AA834" s="72"/>
      <x:c r="AB834" s="72"/>
      <x:c r="AC834" s="72"/>
      <x:c r="AD834" s="72"/>
      <x:c r="AE834" s="72"/>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4"/>
      <x:c r="DQ834" s="4"/>
      <x:c r="DR834" s="4"/>
      <x:c r="DS834" s="4"/>
      <x:c r="DT834" s="4"/>
      <x:c r="DU834" s="4"/>
      <x:c r="DV834" s="4"/>
      <x:c r="DW834" s="4"/>
      <x:c r="DX834" s="4"/>
      <x:c r="DY834" s="4"/>
      <x:c r="DZ834" s="4"/>
      <x:c r="EA834" s="4"/>
      <x:c r="EB834" s="4"/>
      <x:c r="EC834" s="4"/>
      <x:c r="ED834" s="4"/>
      <x:c r="EE834" s="4"/>
      <x:c r="EF834" s="4"/>
      <x:c r="EG834" s="4"/>
      <x:c r="EH834" s="4"/>
      <x:c r="EI834" s="4"/>
      <x:c r="EJ834" s="4"/>
      <x:c r="EK834" s="4"/>
      <x:c r="EL834" s="4"/>
      <x:c r="EM834" s="4"/>
      <x:c r="EN834" s="4"/>
      <x:c r="EO834" s="4"/>
      <x:c r="EP834" s="4"/>
      <x:c r="EQ834" s="4"/>
      <x:c r="ER834" s="4"/>
      <x:c r="ES834" s="4"/>
      <x:c r="ET834" s="4"/>
      <x:c r="EU834" s="4"/>
      <x:c r="EV834" s="4"/>
      <x:c r="EW834" s="4"/>
      <x:c r="EX834" s="4"/>
      <x:c r="EY834" s="4"/>
      <x:c r="EZ834" s="4"/>
      <x:c r="FA834" s="4"/>
      <x:c r="FB834" s="4"/>
      <x:c r="FC834" s="4"/>
      <x:c r="FD834" s="4"/>
      <x:c r="FE834" s="4"/>
      <x:c r="FF834" s="4"/>
      <x:c r="FG834" s="4"/>
      <x:c r="FH834" s="4"/>
      <x:c r="FI834" s="4"/>
      <x:c r="FJ834" s="4"/>
      <x:c r="FK834" s="4"/>
      <x:c r="FL834" s="4"/>
      <x:c r="FM834" s="4"/>
      <x:c r="FN834" s="4"/>
      <x:c r="FO834" s="4"/>
    </x:row>
    <x:row r="835">
      <x:c r="A835" s="72"/>
      <x:c r="B835" s="72"/>
      <x:c r="C835" s="72"/>
      <x:c r="D835" s="72"/>
      <x:c r="E835" s="72"/>
      <x:c r="F835" s="72"/>
      <x:c r="G835" s="72"/>
      <x:c r="H835" s="72"/>
      <x:c r="I835" s="72"/>
      <x:c r="J835" s="72"/>
      <x:c r="K835" s="72"/>
      <x:c r="L835" s="72"/>
      <x:c r="M835" s="72"/>
      <x:c r="N835" s="72"/>
      <x:c r="O835" s="72"/>
      <x:c r="P835" s="72"/>
      <x:c r="Q835" s="72"/>
      <x:c r="R835" s="72"/>
      <x:c r="S835" s="72"/>
      <x:c r="T835" s="72"/>
      <x:c r="U835" s="72"/>
      <x:c r="V835" s="72"/>
      <x:c r="W835" s="72"/>
      <x:c r="X835" s="72"/>
      <x:c r="Y835" s="72"/>
      <x:c r="Z835" s="72"/>
      <x:c r="AA835" s="72"/>
      <x:c r="AB835" s="72"/>
      <x:c r="AC835" s="72"/>
      <x:c r="AD835" s="72"/>
      <x:c r="AE835" s="72"/>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4"/>
      <x:c r="DQ835" s="4"/>
      <x:c r="DR835" s="4"/>
      <x:c r="DS835" s="4"/>
      <x:c r="DT835" s="4"/>
      <x:c r="DU835" s="4"/>
      <x:c r="DV835" s="4"/>
      <x:c r="DW835" s="4"/>
      <x:c r="DX835" s="4"/>
      <x:c r="DY835" s="4"/>
      <x:c r="DZ835" s="4"/>
      <x:c r="EA835" s="4"/>
      <x:c r="EB835" s="4"/>
      <x:c r="EC835" s="4"/>
      <x:c r="ED835" s="4"/>
      <x:c r="EE835" s="4"/>
      <x:c r="EF835" s="4"/>
      <x:c r="EG835" s="4"/>
      <x:c r="EH835" s="4"/>
      <x:c r="EI835" s="4"/>
      <x:c r="EJ835" s="4"/>
      <x:c r="EK835" s="4"/>
      <x:c r="EL835" s="4"/>
      <x:c r="EM835" s="4"/>
      <x:c r="EN835" s="4"/>
      <x:c r="EO835" s="4"/>
      <x:c r="EP835" s="4"/>
      <x:c r="EQ835" s="4"/>
      <x:c r="ER835" s="4"/>
      <x:c r="ES835" s="4"/>
      <x:c r="ET835" s="4"/>
      <x:c r="EU835" s="4"/>
      <x:c r="EV835" s="4"/>
      <x:c r="EW835" s="4"/>
      <x:c r="EX835" s="4"/>
      <x:c r="EY835" s="4"/>
      <x:c r="EZ835" s="4"/>
      <x:c r="FA835" s="4"/>
      <x:c r="FB835" s="4"/>
      <x:c r="FC835" s="4"/>
      <x:c r="FD835" s="4"/>
      <x:c r="FE835" s="4"/>
      <x:c r="FF835" s="4"/>
      <x:c r="FG835" s="4"/>
      <x:c r="FH835" s="4"/>
      <x:c r="FI835" s="4"/>
      <x:c r="FJ835" s="4"/>
      <x:c r="FK835" s="4"/>
      <x:c r="FL835" s="4"/>
      <x:c r="FM835" s="4"/>
      <x:c r="FN835" s="4"/>
      <x:c r="FO835" s="4"/>
    </x:row>
    <x:row r="836">
      <x:c r="A836" s="72"/>
      <x:c r="B836" s="72"/>
      <x:c r="C836" s="72"/>
      <x:c r="D836" s="72"/>
      <x:c r="E836" s="72"/>
      <x:c r="F836" s="72"/>
      <x:c r="G836" s="72"/>
      <x:c r="H836" s="72"/>
      <x:c r="I836" s="72"/>
      <x:c r="J836" s="72"/>
      <x:c r="K836" s="72"/>
      <x:c r="L836" s="72"/>
      <x:c r="M836" s="72"/>
      <x:c r="N836" s="72"/>
      <x:c r="O836" s="72"/>
      <x:c r="P836" s="72"/>
      <x:c r="Q836" s="72"/>
      <x:c r="R836" s="72"/>
      <x:c r="S836" s="72"/>
      <x:c r="T836" s="72"/>
      <x:c r="U836" s="72"/>
      <x:c r="V836" s="72"/>
      <x:c r="W836" s="72"/>
      <x:c r="X836" s="72"/>
      <x:c r="Y836" s="72"/>
      <x:c r="Z836" s="72"/>
      <x:c r="AA836" s="72"/>
      <x:c r="AB836" s="72"/>
      <x:c r="AC836" s="72"/>
      <x:c r="AD836" s="72"/>
      <x:c r="AE836" s="72"/>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4"/>
      <x:c r="DQ836" s="4"/>
      <x:c r="DR836" s="4"/>
      <x:c r="DS836" s="4"/>
      <x:c r="DT836" s="4"/>
      <x:c r="DU836" s="4"/>
      <x:c r="DV836" s="4"/>
      <x:c r="DW836" s="4"/>
      <x:c r="DX836" s="4"/>
      <x:c r="DY836" s="4"/>
      <x:c r="DZ836" s="4"/>
      <x:c r="EA836" s="4"/>
      <x:c r="EB836" s="4"/>
      <x:c r="EC836" s="4"/>
      <x:c r="ED836" s="4"/>
      <x:c r="EE836" s="4"/>
      <x:c r="EF836" s="4"/>
      <x:c r="EG836" s="4"/>
      <x:c r="EH836" s="4"/>
      <x:c r="EI836" s="4"/>
      <x:c r="EJ836" s="4"/>
      <x:c r="EK836" s="4"/>
      <x:c r="EL836" s="4"/>
      <x:c r="EM836" s="4"/>
      <x:c r="EN836" s="4"/>
      <x:c r="EO836" s="4"/>
      <x:c r="EP836" s="4"/>
      <x:c r="EQ836" s="4"/>
      <x:c r="ER836" s="4"/>
      <x:c r="ES836" s="4"/>
      <x:c r="ET836" s="4"/>
      <x:c r="EU836" s="4"/>
      <x:c r="EV836" s="4"/>
      <x:c r="EW836" s="4"/>
      <x:c r="EX836" s="4"/>
      <x:c r="EY836" s="4"/>
      <x:c r="EZ836" s="4"/>
      <x:c r="FA836" s="4"/>
      <x:c r="FB836" s="4"/>
      <x:c r="FC836" s="4"/>
      <x:c r="FD836" s="4"/>
      <x:c r="FE836" s="4"/>
      <x:c r="FF836" s="4"/>
      <x:c r="FG836" s="4"/>
      <x:c r="FH836" s="4"/>
      <x:c r="FI836" s="4"/>
      <x:c r="FJ836" s="4"/>
      <x:c r="FK836" s="4"/>
      <x:c r="FL836" s="4"/>
      <x:c r="FM836" s="4"/>
      <x:c r="FN836" s="4"/>
      <x:c r="FO836" s="4"/>
    </x:row>
    <x:row r="837">
      <x:c r="A837" s="72"/>
      <x:c r="B837" s="72"/>
      <x:c r="C837" s="72"/>
      <x:c r="D837" s="72"/>
      <x:c r="E837" s="72"/>
      <x:c r="F837" s="72"/>
      <x:c r="G837" s="72"/>
      <x:c r="H837" s="72"/>
      <x:c r="I837" s="72"/>
      <x:c r="J837" s="72"/>
      <x:c r="K837" s="72"/>
      <x:c r="L837" s="72"/>
      <x:c r="M837" s="72"/>
      <x:c r="N837" s="72"/>
      <x:c r="O837" s="72"/>
      <x:c r="P837" s="72"/>
      <x:c r="Q837" s="72"/>
      <x:c r="R837" s="72"/>
      <x:c r="S837" s="72"/>
      <x:c r="T837" s="72"/>
      <x:c r="U837" s="72"/>
      <x:c r="V837" s="72"/>
      <x:c r="W837" s="72"/>
      <x:c r="X837" s="72"/>
      <x:c r="Y837" s="72"/>
      <x:c r="Z837" s="72"/>
      <x:c r="AA837" s="72"/>
      <x:c r="AB837" s="72"/>
      <x:c r="AC837" s="72"/>
      <x:c r="AD837" s="72"/>
      <x:c r="AE837" s="72"/>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4"/>
      <x:c r="DQ837" s="4"/>
      <x:c r="DR837" s="4"/>
      <x:c r="DS837" s="4"/>
      <x:c r="DT837" s="4"/>
      <x:c r="DU837" s="4"/>
      <x:c r="DV837" s="4"/>
      <x:c r="DW837" s="4"/>
      <x:c r="DX837" s="4"/>
      <x:c r="DY837" s="4"/>
      <x:c r="DZ837" s="4"/>
      <x:c r="EA837" s="4"/>
      <x:c r="EB837" s="4"/>
      <x:c r="EC837" s="4"/>
      <x:c r="ED837" s="4"/>
      <x:c r="EE837" s="4"/>
      <x:c r="EF837" s="4"/>
      <x:c r="EG837" s="4"/>
      <x:c r="EH837" s="4"/>
      <x:c r="EI837" s="4"/>
      <x:c r="EJ837" s="4"/>
      <x:c r="EK837" s="4"/>
      <x:c r="EL837" s="4"/>
      <x:c r="EM837" s="4"/>
      <x:c r="EN837" s="4"/>
      <x:c r="EO837" s="4"/>
      <x:c r="EP837" s="4"/>
      <x:c r="EQ837" s="4"/>
      <x:c r="ER837" s="4"/>
      <x:c r="ES837" s="4"/>
      <x:c r="ET837" s="4"/>
      <x:c r="EU837" s="4"/>
      <x:c r="EV837" s="4"/>
      <x:c r="EW837" s="4"/>
      <x:c r="EX837" s="4"/>
      <x:c r="EY837" s="4"/>
      <x:c r="EZ837" s="4"/>
      <x:c r="FA837" s="4"/>
      <x:c r="FB837" s="4"/>
      <x:c r="FC837" s="4"/>
      <x:c r="FD837" s="4"/>
      <x:c r="FE837" s="4"/>
      <x:c r="FF837" s="4"/>
      <x:c r="FG837" s="4"/>
      <x:c r="FH837" s="4"/>
      <x:c r="FI837" s="4"/>
      <x:c r="FJ837" s="4"/>
      <x:c r="FK837" s="4"/>
      <x:c r="FL837" s="4"/>
      <x:c r="FM837" s="4"/>
      <x:c r="FN837" s="4"/>
      <x:c r="FO837" s="4"/>
    </x:row>
    <x:row r="838">
      <x:c r="A838" s="72"/>
      <x:c r="B838" s="72"/>
      <x:c r="C838" s="72"/>
      <x:c r="D838" s="72"/>
      <x:c r="E838" s="72"/>
      <x:c r="F838" s="72"/>
      <x:c r="G838" s="72"/>
      <x:c r="H838" s="72"/>
      <x:c r="I838" s="72"/>
      <x:c r="J838" s="72"/>
      <x:c r="K838" s="72"/>
      <x:c r="L838" s="72"/>
      <x:c r="M838" s="72"/>
      <x:c r="N838" s="72"/>
      <x:c r="O838" s="72"/>
      <x:c r="P838" s="72"/>
      <x:c r="Q838" s="72"/>
      <x:c r="R838" s="72"/>
      <x:c r="S838" s="72"/>
      <x:c r="T838" s="72"/>
      <x:c r="U838" s="72"/>
      <x:c r="V838" s="72"/>
      <x:c r="W838" s="72"/>
      <x:c r="X838" s="72"/>
      <x:c r="Y838" s="72"/>
      <x:c r="Z838" s="72"/>
      <x:c r="AA838" s="72"/>
      <x:c r="AB838" s="72"/>
      <x:c r="AC838" s="72"/>
      <x:c r="AD838" s="72"/>
      <x:c r="AE838" s="72"/>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4"/>
      <x:c r="DQ838" s="4"/>
      <x:c r="DR838" s="4"/>
      <x:c r="DS838" s="4"/>
      <x:c r="DT838" s="4"/>
      <x:c r="DU838" s="4"/>
      <x:c r="DV838" s="4"/>
      <x:c r="DW838" s="4"/>
      <x:c r="DX838" s="4"/>
      <x:c r="DY838" s="4"/>
      <x:c r="DZ838" s="4"/>
      <x:c r="EA838" s="4"/>
      <x:c r="EB838" s="4"/>
      <x:c r="EC838" s="4"/>
      <x:c r="ED838" s="4"/>
      <x:c r="EE838" s="4"/>
      <x:c r="EF838" s="4"/>
      <x:c r="EG838" s="4"/>
      <x:c r="EH838" s="4"/>
      <x:c r="EI838" s="4"/>
      <x:c r="EJ838" s="4"/>
      <x:c r="EK838" s="4"/>
      <x:c r="EL838" s="4"/>
      <x:c r="EM838" s="4"/>
      <x:c r="EN838" s="4"/>
      <x:c r="EO838" s="4"/>
      <x:c r="EP838" s="4"/>
      <x:c r="EQ838" s="4"/>
      <x:c r="ER838" s="4"/>
      <x:c r="ES838" s="4"/>
      <x:c r="ET838" s="4"/>
      <x:c r="EU838" s="4"/>
      <x:c r="EV838" s="4"/>
      <x:c r="EW838" s="4"/>
      <x:c r="EX838" s="4"/>
      <x:c r="EY838" s="4"/>
      <x:c r="EZ838" s="4"/>
      <x:c r="FA838" s="4"/>
      <x:c r="FB838" s="4"/>
      <x:c r="FC838" s="4"/>
      <x:c r="FD838" s="4"/>
      <x:c r="FE838" s="4"/>
      <x:c r="FF838" s="4"/>
      <x:c r="FG838" s="4"/>
      <x:c r="FH838" s="4"/>
      <x:c r="FI838" s="4"/>
      <x:c r="FJ838" s="4"/>
      <x:c r="FK838" s="4"/>
      <x:c r="FL838" s="4"/>
      <x:c r="FM838" s="4"/>
      <x:c r="FN838" s="4"/>
      <x:c r="FO838" s="4"/>
    </x:row>
    <x:row r="839">
      <x:c r="A839" s="72"/>
      <x:c r="B839" s="72"/>
      <x:c r="C839" s="72"/>
      <x:c r="D839" s="72"/>
      <x:c r="E839" s="72"/>
      <x:c r="F839" s="72"/>
      <x:c r="G839" s="72"/>
      <x:c r="H839" s="72"/>
      <x:c r="I839" s="72"/>
      <x:c r="J839" s="72"/>
      <x:c r="K839" s="72"/>
      <x:c r="L839" s="72"/>
      <x:c r="M839" s="72"/>
      <x:c r="N839" s="72"/>
      <x:c r="O839" s="72"/>
      <x:c r="P839" s="72"/>
      <x:c r="Q839" s="72"/>
      <x:c r="R839" s="72"/>
      <x:c r="S839" s="72"/>
      <x:c r="T839" s="72"/>
      <x:c r="U839" s="72"/>
      <x:c r="V839" s="72"/>
      <x:c r="W839" s="72"/>
      <x:c r="X839" s="72"/>
      <x:c r="Y839" s="72"/>
      <x:c r="Z839" s="72"/>
      <x:c r="AA839" s="72"/>
      <x:c r="AB839" s="72"/>
      <x:c r="AC839" s="72"/>
      <x:c r="AD839" s="72"/>
      <x:c r="AE839" s="72"/>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4"/>
      <x:c r="DQ839" s="4"/>
      <x:c r="DR839" s="4"/>
      <x:c r="DS839" s="4"/>
      <x:c r="DT839" s="4"/>
      <x:c r="DU839" s="4"/>
      <x:c r="DV839" s="4"/>
      <x:c r="DW839" s="4"/>
      <x:c r="DX839" s="4"/>
      <x:c r="DY839" s="4"/>
      <x:c r="DZ839" s="4"/>
      <x:c r="EA839" s="4"/>
      <x:c r="EB839" s="4"/>
      <x:c r="EC839" s="4"/>
      <x:c r="ED839" s="4"/>
      <x:c r="EE839" s="4"/>
      <x:c r="EF839" s="4"/>
      <x:c r="EG839" s="4"/>
      <x:c r="EH839" s="4"/>
      <x:c r="EI839" s="4"/>
      <x:c r="EJ839" s="4"/>
      <x:c r="EK839" s="4"/>
      <x:c r="EL839" s="4"/>
      <x:c r="EM839" s="4"/>
      <x:c r="EN839" s="4"/>
      <x:c r="EO839" s="4"/>
      <x:c r="EP839" s="4"/>
      <x:c r="EQ839" s="4"/>
      <x:c r="ER839" s="4"/>
      <x:c r="ES839" s="4"/>
      <x:c r="ET839" s="4"/>
      <x:c r="EU839" s="4"/>
      <x:c r="EV839" s="4"/>
      <x:c r="EW839" s="4"/>
      <x:c r="EX839" s="4"/>
      <x:c r="EY839" s="4"/>
      <x:c r="EZ839" s="4"/>
      <x:c r="FA839" s="4"/>
      <x:c r="FB839" s="4"/>
      <x:c r="FC839" s="4"/>
      <x:c r="FD839" s="4"/>
      <x:c r="FE839" s="4"/>
      <x:c r="FF839" s="4"/>
      <x:c r="FG839" s="4"/>
      <x:c r="FH839" s="4"/>
      <x:c r="FI839" s="4"/>
      <x:c r="FJ839" s="4"/>
      <x:c r="FK839" s="4"/>
      <x:c r="FL839" s="4"/>
      <x:c r="FM839" s="4"/>
      <x:c r="FN839" s="4"/>
      <x:c r="FO839" s="4"/>
    </x:row>
    <x:row r="840">
      <x:c r="A840" s="72"/>
      <x:c r="B840" s="72"/>
      <x:c r="C840" s="72"/>
      <x:c r="D840" s="72"/>
      <x:c r="E840" s="72"/>
      <x:c r="F840" s="72"/>
      <x:c r="G840" s="72"/>
      <x:c r="H840" s="72"/>
      <x:c r="I840" s="72"/>
      <x:c r="J840" s="72"/>
      <x:c r="K840" s="72"/>
      <x:c r="L840" s="72"/>
      <x:c r="M840" s="72"/>
      <x:c r="N840" s="72"/>
      <x:c r="O840" s="72"/>
      <x:c r="P840" s="72"/>
      <x:c r="Q840" s="72"/>
      <x:c r="R840" s="72"/>
      <x:c r="S840" s="72"/>
      <x:c r="T840" s="72"/>
      <x:c r="U840" s="72"/>
      <x:c r="V840" s="72"/>
      <x:c r="W840" s="72"/>
      <x:c r="X840" s="72"/>
      <x:c r="Y840" s="72"/>
      <x:c r="Z840" s="72"/>
      <x:c r="AA840" s="72"/>
      <x:c r="AB840" s="72"/>
      <x:c r="AC840" s="72"/>
      <x:c r="AD840" s="72"/>
      <x:c r="AE840" s="72"/>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4"/>
      <x:c r="DQ840" s="4"/>
      <x:c r="DR840" s="4"/>
      <x:c r="DS840" s="4"/>
      <x:c r="DT840" s="4"/>
      <x:c r="DU840" s="4"/>
      <x:c r="DV840" s="4"/>
      <x:c r="DW840" s="4"/>
      <x:c r="DX840" s="4"/>
      <x:c r="DY840" s="4"/>
      <x:c r="DZ840" s="4"/>
      <x:c r="EA840" s="4"/>
      <x:c r="EB840" s="4"/>
      <x:c r="EC840" s="4"/>
      <x:c r="ED840" s="4"/>
      <x:c r="EE840" s="4"/>
      <x:c r="EF840" s="4"/>
      <x:c r="EG840" s="4"/>
      <x:c r="EH840" s="4"/>
      <x:c r="EI840" s="4"/>
      <x:c r="EJ840" s="4"/>
      <x:c r="EK840" s="4"/>
      <x:c r="EL840" s="4"/>
      <x:c r="EM840" s="4"/>
      <x:c r="EN840" s="4"/>
      <x:c r="EO840" s="4"/>
      <x:c r="EP840" s="4"/>
      <x:c r="EQ840" s="4"/>
      <x:c r="ER840" s="4"/>
      <x:c r="ES840" s="4"/>
      <x:c r="ET840" s="4"/>
      <x:c r="EU840" s="4"/>
      <x:c r="EV840" s="4"/>
      <x:c r="EW840" s="4"/>
      <x:c r="EX840" s="4"/>
      <x:c r="EY840" s="4"/>
      <x:c r="EZ840" s="4"/>
      <x:c r="FA840" s="4"/>
      <x:c r="FB840" s="4"/>
      <x:c r="FC840" s="4"/>
      <x:c r="FD840" s="4"/>
      <x:c r="FE840" s="4"/>
      <x:c r="FF840" s="4"/>
      <x:c r="FG840" s="4"/>
      <x:c r="FH840" s="4"/>
      <x:c r="FI840" s="4"/>
      <x:c r="FJ840" s="4"/>
      <x:c r="FK840" s="4"/>
      <x:c r="FL840" s="4"/>
      <x:c r="FM840" s="4"/>
      <x:c r="FN840" s="4"/>
      <x:c r="FO840" s="4"/>
    </x:row>
    <x:row r="841">
      <x:c r="A841" s="72"/>
      <x:c r="B841" s="72"/>
      <x:c r="C841" s="72"/>
      <x:c r="D841" s="72"/>
      <x:c r="E841" s="72"/>
      <x:c r="F841" s="72"/>
      <x:c r="G841" s="72"/>
      <x:c r="H841" s="72"/>
      <x:c r="I841" s="72"/>
      <x:c r="J841" s="72"/>
      <x:c r="K841" s="72"/>
      <x:c r="L841" s="72"/>
      <x:c r="M841" s="72"/>
      <x:c r="N841" s="72"/>
      <x:c r="O841" s="72"/>
      <x:c r="P841" s="72"/>
      <x:c r="Q841" s="72"/>
      <x:c r="R841" s="72"/>
      <x:c r="S841" s="72"/>
      <x:c r="T841" s="72"/>
      <x:c r="U841" s="72"/>
      <x:c r="V841" s="72"/>
      <x:c r="W841" s="72"/>
      <x:c r="X841" s="72"/>
      <x:c r="Y841" s="72"/>
      <x:c r="Z841" s="72"/>
      <x:c r="AA841" s="72"/>
      <x:c r="AB841" s="72"/>
      <x:c r="AC841" s="72"/>
      <x:c r="AD841" s="72"/>
      <x:c r="AE841" s="72"/>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4"/>
      <x:c r="DQ841" s="4"/>
      <x:c r="DR841" s="4"/>
      <x:c r="DS841" s="4"/>
      <x:c r="DT841" s="4"/>
      <x:c r="DU841" s="4"/>
      <x:c r="DV841" s="4"/>
      <x:c r="DW841" s="4"/>
      <x:c r="DX841" s="4"/>
      <x:c r="DY841" s="4"/>
      <x:c r="DZ841" s="4"/>
      <x:c r="EA841" s="4"/>
      <x:c r="EB841" s="4"/>
      <x:c r="EC841" s="4"/>
      <x:c r="ED841" s="4"/>
      <x:c r="EE841" s="4"/>
      <x:c r="EF841" s="4"/>
      <x:c r="EG841" s="4"/>
      <x:c r="EH841" s="4"/>
      <x:c r="EI841" s="4"/>
      <x:c r="EJ841" s="4"/>
      <x:c r="EK841" s="4"/>
      <x:c r="EL841" s="4"/>
      <x:c r="EM841" s="4"/>
      <x:c r="EN841" s="4"/>
      <x:c r="EO841" s="4"/>
      <x:c r="EP841" s="4"/>
      <x:c r="EQ841" s="4"/>
      <x:c r="ER841" s="4"/>
      <x:c r="ES841" s="4"/>
      <x:c r="ET841" s="4"/>
      <x:c r="EU841" s="4"/>
      <x:c r="EV841" s="4"/>
      <x:c r="EW841" s="4"/>
      <x:c r="EX841" s="4"/>
      <x:c r="EY841" s="4"/>
      <x:c r="EZ841" s="4"/>
      <x:c r="FA841" s="4"/>
      <x:c r="FB841" s="4"/>
      <x:c r="FC841" s="4"/>
      <x:c r="FD841" s="4"/>
      <x:c r="FE841" s="4"/>
      <x:c r="FF841" s="4"/>
      <x:c r="FG841" s="4"/>
      <x:c r="FH841" s="4"/>
      <x:c r="FI841" s="4"/>
      <x:c r="FJ841" s="4"/>
      <x:c r="FK841" s="4"/>
      <x:c r="FL841" s="4"/>
      <x:c r="FM841" s="4"/>
      <x:c r="FN841" s="4"/>
      <x:c r="FO841" s="4"/>
    </x:row>
    <x:row r="842">
      <x:c r="A842" s="72"/>
      <x:c r="B842" s="72"/>
      <x:c r="C842" s="72"/>
      <x:c r="D842" s="72"/>
      <x:c r="E842" s="72"/>
      <x:c r="F842" s="72"/>
      <x:c r="G842" s="72"/>
      <x:c r="H842" s="72"/>
      <x:c r="I842" s="72"/>
      <x:c r="J842" s="72"/>
      <x:c r="K842" s="72"/>
      <x:c r="L842" s="72"/>
      <x:c r="M842" s="72"/>
      <x:c r="N842" s="72"/>
      <x:c r="O842" s="72"/>
      <x:c r="P842" s="72"/>
      <x:c r="Q842" s="72"/>
      <x:c r="R842" s="72"/>
      <x:c r="S842" s="72"/>
      <x:c r="T842" s="72"/>
      <x:c r="U842" s="72"/>
      <x:c r="V842" s="72"/>
      <x:c r="W842" s="72"/>
      <x:c r="X842" s="72"/>
      <x:c r="Y842" s="72"/>
      <x:c r="Z842" s="72"/>
      <x:c r="AA842" s="72"/>
      <x:c r="AB842" s="72"/>
      <x:c r="AC842" s="72"/>
      <x:c r="AD842" s="72"/>
      <x:c r="AE842" s="72"/>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4"/>
      <x:c r="DQ842" s="4"/>
      <x:c r="DR842" s="4"/>
      <x:c r="DS842" s="4"/>
      <x:c r="DT842" s="4"/>
      <x:c r="DU842" s="4"/>
      <x:c r="DV842" s="4"/>
      <x:c r="DW842" s="4"/>
      <x:c r="DX842" s="4"/>
      <x:c r="DY842" s="4"/>
      <x:c r="DZ842" s="4"/>
      <x:c r="EA842" s="4"/>
      <x:c r="EB842" s="4"/>
      <x:c r="EC842" s="4"/>
      <x:c r="ED842" s="4"/>
      <x:c r="EE842" s="4"/>
      <x:c r="EF842" s="4"/>
      <x:c r="EG842" s="4"/>
      <x:c r="EH842" s="4"/>
      <x:c r="EI842" s="4"/>
      <x:c r="EJ842" s="4"/>
      <x:c r="EK842" s="4"/>
      <x:c r="EL842" s="4"/>
      <x:c r="EM842" s="4"/>
      <x:c r="EN842" s="4"/>
      <x:c r="EO842" s="4"/>
      <x:c r="EP842" s="4"/>
      <x:c r="EQ842" s="4"/>
      <x:c r="ER842" s="4"/>
      <x:c r="ES842" s="4"/>
      <x:c r="ET842" s="4"/>
      <x:c r="EU842" s="4"/>
      <x:c r="EV842" s="4"/>
      <x:c r="EW842" s="4"/>
      <x:c r="EX842" s="4"/>
      <x:c r="EY842" s="4"/>
      <x:c r="EZ842" s="4"/>
      <x:c r="FA842" s="4"/>
      <x:c r="FB842" s="4"/>
      <x:c r="FC842" s="4"/>
      <x:c r="FD842" s="4"/>
      <x:c r="FE842" s="4"/>
      <x:c r="FF842" s="4"/>
      <x:c r="FG842" s="4"/>
      <x:c r="FH842" s="4"/>
      <x:c r="FI842" s="4"/>
      <x:c r="FJ842" s="4"/>
      <x:c r="FK842" s="4"/>
      <x:c r="FL842" s="4"/>
      <x:c r="FM842" s="4"/>
      <x:c r="FN842" s="4"/>
      <x:c r="FO842" s="4"/>
    </x:row>
    <x:row r="843">
      <x:c r="A843" s="72"/>
      <x:c r="B843" s="72"/>
      <x:c r="C843" s="72"/>
      <x:c r="D843" s="72"/>
      <x:c r="E843" s="72"/>
      <x:c r="F843" s="72"/>
      <x:c r="G843" s="72"/>
      <x:c r="H843" s="72"/>
      <x:c r="I843" s="72"/>
      <x:c r="J843" s="72"/>
      <x:c r="K843" s="72"/>
      <x:c r="L843" s="72"/>
      <x:c r="M843" s="72"/>
      <x:c r="N843" s="72"/>
      <x:c r="O843" s="72"/>
      <x:c r="P843" s="72"/>
      <x:c r="Q843" s="72"/>
      <x:c r="R843" s="72"/>
      <x:c r="S843" s="72"/>
      <x:c r="T843" s="72"/>
      <x:c r="U843" s="72"/>
      <x:c r="V843" s="72"/>
      <x:c r="W843" s="72"/>
      <x:c r="X843" s="72"/>
      <x:c r="Y843" s="72"/>
      <x:c r="Z843" s="72"/>
      <x:c r="AA843" s="72"/>
      <x:c r="AB843" s="72"/>
      <x:c r="AC843" s="72"/>
      <x:c r="AD843" s="72"/>
      <x:c r="AE843" s="72"/>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4"/>
      <x:c r="DQ843" s="4"/>
      <x:c r="DR843" s="4"/>
      <x:c r="DS843" s="4"/>
      <x:c r="DT843" s="4"/>
      <x:c r="DU843" s="4"/>
      <x:c r="DV843" s="4"/>
      <x:c r="DW843" s="4"/>
      <x:c r="DX843" s="4"/>
      <x:c r="DY843" s="4"/>
      <x:c r="DZ843" s="4"/>
      <x:c r="EA843" s="4"/>
      <x:c r="EB843" s="4"/>
      <x:c r="EC843" s="4"/>
      <x:c r="ED843" s="4"/>
      <x:c r="EE843" s="4"/>
      <x:c r="EF843" s="4"/>
      <x:c r="EG843" s="4"/>
      <x:c r="EH843" s="4"/>
      <x:c r="EI843" s="4"/>
      <x:c r="EJ843" s="4"/>
      <x:c r="EK843" s="4"/>
      <x:c r="EL843" s="4"/>
      <x:c r="EM843" s="4"/>
      <x:c r="EN843" s="4"/>
      <x:c r="EO843" s="4"/>
      <x:c r="EP843" s="4"/>
      <x:c r="EQ843" s="4"/>
      <x:c r="ER843" s="4"/>
      <x:c r="ES843" s="4"/>
      <x:c r="ET843" s="4"/>
      <x:c r="EU843" s="4"/>
      <x:c r="EV843" s="4"/>
      <x:c r="EW843" s="4"/>
      <x:c r="EX843" s="4"/>
      <x:c r="EY843" s="4"/>
      <x:c r="EZ843" s="4"/>
      <x:c r="FA843" s="4"/>
      <x:c r="FB843" s="4"/>
      <x:c r="FC843" s="4"/>
      <x:c r="FD843" s="4"/>
      <x:c r="FE843" s="4"/>
      <x:c r="FF843" s="4"/>
      <x:c r="FG843" s="4"/>
      <x:c r="FH843" s="4"/>
      <x:c r="FI843" s="4"/>
      <x:c r="FJ843" s="4"/>
      <x:c r="FK843" s="4"/>
      <x:c r="FL843" s="4"/>
      <x:c r="FM843" s="4"/>
      <x:c r="FN843" s="4"/>
      <x:c r="FO843" s="4"/>
    </x:row>
    <x:row r="844">
      <x:c r="A844" s="72"/>
      <x:c r="B844" s="72"/>
      <x:c r="C844" s="72"/>
      <x:c r="D844" s="72"/>
      <x:c r="E844" s="72"/>
      <x:c r="F844" s="72"/>
      <x:c r="G844" s="72"/>
      <x:c r="H844" s="72"/>
      <x:c r="I844" s="72"/>
      <x:c r="J844" s="72"/>
      <x:c r="K844" s="72"/>
      <x:c r="L844" s="72"/>
      <x:c r="M844" s="72"/>
      <x:c r="N844" s="72"/>
      <x:c r="O844" s="72"/>
      <x:c r="P844" s="72"/>
      <x:c r="Q844" s="72"/>
      <x:c r="R844" s="72"/>
      <x:c r="S844" s="72"/>
      <x:c r="T844" s="72"/>
      <x:c r="U844" s="72"/>
      <x:c r="V844" s="72"/>
      <x:c r="W844" s="72"/>
      <x:c r="X844" s="72"/>
      <x:c r="Y844" s="72"/>
      <x:c r="Z844" s="72"/>
      <x:c r="AA844" s="72"/>
      <x:c r="AB844" s="72"/>
      <x:c r="AC844" s="72"/>
      <x:c r="AD844" s="72"/>
      <x:c r="AE844" s="72"/>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4"/>
      <x:c r="DQ844" s="4"/>
      <x:c r="DR844" s="4"/>
      <x:c r="DS844" s="4"/>
      <x:c r="DT844" s="4"/>
      <x:c r="DU844" s="4"/>
      <x:c r="DV844" s="4"/>
      <x:c r="DW844" s="4"/>
      <x:c r="DX844" s="4"/>
      <x:c r="DY844" s="4"/>
      <x:c r="DZ844" s="4"/>
      <x:c r="EA844" s="4"/>
      <x:c r="EB844" s="4"/>
      <x:c r="EC844" s="4"/>
      <x:c r="ED844" s="4"/>
      <x:c r="EE844" s="4"/>
      <x:c r="EF844" s="4"/>
      <x:c r="EG844" s="4"/>
      <x:c r="EH844" s="4"/>
      <x:c r="EI844" s="4"/>
      <x:c r="EJ844" s="4"/>
      <x:c r="EK844" s="4"/>
      <x:c r="EL844" s="4"/>
      <x:c r="EM844" s="4"/>
      <x:c r="EN844" s="4"/>
      <x:c r="EO844" s="4"/>
      <x:c r="EP844" s="4"/>
      <x:c r="EQ844" s="4"/>
      <x:c r="ER844" s="4"/>
      <x:c r="ES844" s="4"/>
      <x:c r="ET844" s="4"/>
      <x:c r="EU844" s="4"/>
      <x:c r="EV844" s="4"/>
      <x:c r="EW844" s="4"/>
      <x:c r="EX844" s="4"/>
      <x:c r="EY844" s="4"/>
      <x:c r="EZ844" s="4"/>
      <x:c r="FA844" s="4"/>
      <x:c r="FB844" s="4"/>
      <x:c r="FC844" s="4"/>
      <x:c r="FD844" s="4"/>
      <x:c r="FE844" s="4"/>
      <x:c r="FF844" s="4"/>
      <x:c r="FG844" s="4"/>
      <x:c r="FH844" s="4"/>
      <x:c r="FI844" s="4"/>
      <x:c r="FJ844" s="4"/>
      <x:c r="FK844" s="4"/>
      <x:c r="FL844" s="4"/>
      <x:c r="FM844" s="4"/>
      <x:c r="FN844" s="4"/>
      <x:c r="FO844" s="4"/>
    </x:row>
    <x:row r="845">
      <x:c r="A845" s="72"/>
      <x:c r="B845" s="72"/>
      <x:c r="C845" s="72"/>
      <x:c r="D845" s="72"/>
      <x:c r="E845" s="72"/>
      <x:c r="F845" s="72"/>
      <x:c r="G845" s="72"/>
      <x:c r="H845" s="72"/>
      <x:c r="I845" s="72"/>
      <x:c r="J845" s="72"/>
      <x:c r="K845" s="72"/>
      <x:c r="L845" s="72"/>
      <x:c r="M845" s="72"/>
      <x:c r="N845" s="72"/>
      <x:c r="O845" s="72"/>
      <x:c r="P845" s="72"/>
      <x:c r="Q845" s="72"/>
      <x:c r="R845" s="72"/>
      <x:c r="S845" s="72"/>
      <x:c r="T845" s="72"/>
      <x:c r="U845" s="72"/>
      <x:c r="V845" s="72"/>
      <x:c r="W845" s="72"/>
      <x:c r="X845" s="72"/>
      <x:c r="Y845" s="72"/>
      <x:c r="Z845" s="72"/>
      <x:c r="AA845" s="72"/>
      <x:c r="AB845" s="72"/>
      <x:c r="AC845" s="72"/>
      <x:c r="AD845" s="72"/>
      <x:c r="AE845" s="72"/>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4"/>
      <x:c r="DQ845" s="4"/>
      <x:c r="DR845" s="4"/>
      <x:c r="DS845" s="4"/>
      <x:c r="DT845" s="4"/>
      <x:c r="DU845" s="4"/>
      <x:c r="DV845" s="4"/>
      <x:c r="DW845" s="4"/>
      <x:c r="DX845" s="4"/>
      <x:c r="DY845" s="4"/>
      <x:c r="DZ845" s="4"/>
      <x:c r="EA845" s="4"/>
      <x:c r="EB845" s="4"/>
      <x:c r="EC845" s="4"/>
      <x:c r="ED845" s="4"/>
      <x:c r="EE845" s="4"/>
      <x:c r="EF845" s="4"/>
      <x:c r="EG845" s="4"/>
      <x:c r="EH845" s="4"/>
      <x:c r="EI845" s="4"/>
      <x:c r="EJ845" s="4"/>
      <x:c r="EK845" s="4"/>
      <x:c r="EL845" s="4"/>
      <x:c r="EM845" s="4"/>
      <x:c r="EN845" s="4"/>
      <x:c r="EO845" s="4"/>
      <x:c r="EP845" s="4"/>
      <x:c r="EQ845" s="4"/>
      <x:c r="ER845" s="4"/>
      <x:c r="ES845" s="4"/>
      <x:c r="ET845" s="4"/>
      <x:c r="EU845" s="4"/>
      <x:c r="EV845" s="4"/>
      <x:c r="EW845" s="4"/>
      <x:c r="EX845" s="4"/>
      <x:c r="EY845" s="4"/>
      <x:c r="EZ845" s="4"/>
      <x:c r="FA845" s="4"/>
      <x:c r="FB845" s="4"/>
      <x:c r="FC845" s="4"/>
      <x:c r="FD845" s="4"/>
      <x:c r="FE845" s="4"/>
      <x:c r="FF845" s="4"/>
      <x:c r="FG845" s="4"/>
      <x:c r="FH845" s="4"/>
      <x:c r="FI845" s="4"/>
      <x:c r="FJ845" s="4"/>
      <x:c r="FK845" s="4"/>
      <x:c r="FL845" s="4"/>
      <x:c r="FM845" s="4"/>
      <x:c r="FN845" s="4"/>
      <x:c r="FO845" s="4"/>
    </x:row>
    <x:row r="846">
      <x:c r="A846" s="72"/>
      <x:c r="B846" s="72"/>
      <x:c r="C846" s="72"/>
      <x:c r="D846" s="72"/>
      <x:c r="E846" s="72"/>
      <x:c r="F846" s="72"/>
      <x:c r="G846" s="72"/>
      <x:c r="H846" s="72"/>
      <x:c r="I846" s="72"/>
      <x:c r="J846" s="72"/>
      <x:c r="K846" s="72"/>
      <x:c r="L846" s="72"/>
      <x:c r="M846" s="72"/>
      <x:c r="N846" s="72"/>
      <x:c r="O846" s="72"/>
      <x:c r="P846" s="72"/>
      <x:c r="Q846" s="72"/>
      <x:c r="R846" s="72"/>
      <x:c r="S846" s="72"/>
      <x:c r="T846" s="72"/>
      <x:c r="U846" s="72"/>
      <x:c r="V846" s="72"/>
      <x:c r="W846" s="72"/>
      <x:c r="X846" s="72"/>
      <x:c r="Y846" s="72"/>
      <x:c r="Z846" s="72"/>
      <x:c r="AA846" s="72"/>
      <x:c r="AB846" s="72"/>
      <x:c r="AC846" s="72"/>
      <x:c r="AD846" s="72"/>
      <x:c r="AE846" s="72"/>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4"/>
      <x:c r="DQ846" s="4"/>
      <x:c r="DR846" s="4"/>
      <x:c r="DS846" s="4"/>
      <x:c r="DT846" s="4"/>
      <x:c r="DU846" s="4"/>
      <x:c r="DV846" s="4"/>
      <x:c r="DW846" s="4"/>
      <x:c r="DX846" s="4"/>
      <x:c r="DY846" s="4"/>
      <x:c r="DZ846" s="4"/>
      <x:c r="EA846" s="4"/>
      <x:c r="EB846" s="4"/>
      <x:c r="EC846" s="4"/>
      <x:c r="ED846" s="4"/>
      <x:c r="EE846" s="4"/>
      <x:c r="EF846" s="4"/>
      <x:c r="EG846" s="4"/>
      <x:c r="EH846" s="4"/>
      <x:c r="EI846" s="4"/>
      <x:c r="EJ846" s="4"/>
      <x:c r="EK846" s="4"/>
      <x:c r="EL846" s="4"/>
      <x:c r="EM846" s="4"/>
      <x:c r="EN846" s="4"/>
      <x:c r="EO846" s="4"/>
      <x:c r="EP846" s="4"/>
      <x:c r="EQ846" s="4"/>
      <x:c r="ER846" s="4"/>
      <x:c r="ES846" s="4"/>
      <x:c r="ET846" s="4"/>
      <x:c r="EU846" s="4"/>
      <x:c r="EV846" s="4"/>
      <x:c r="EW846" s="4"/>
      <x:c r="EX846" s="4"/>
      <x:c r="EY846" s="4"/>
      <x:c r="EZ846" s="4"/>
      <x:c r="FA846" s="4"/>
      <x:c r="FB846" s="4"/>
      <x:c r="FC846" s="4"/>
      <x:c r="FD846" s="4"/>
      <x:c r="FE846" s="4"/>
      <x:c r="FF846" s="4"/>
      <x:c r="FG846" s="4"/>
      <x:c r="FH846" s="4"/>
      <x:c r="FI846" s="4"/>
      <x:c r="FJ846" s="4"/>
      <x:c r="FK846" s="4"/>
      <x:c r="FL846" s="4"/>
      <x:c r="FM846" s="4"/>
      <x:c r="FN846" s="4"/>
      <x:c r="FO846" s="4"/>
    </x:row>
    <x:row r="847">
      <x:c r="A847" s="72"/>
      <x:c r="B847" s="72"/>
      <x:c r="C847" s="72"/>
      <x:c r="D847" s="72"/>
      <x:c r="E847" s="72"/>
      <x:c r="F847" s="72"/>
      <x:c r="G847" s="72"/>
      <x:c r="H847" s="72"/>
      <x:c r="I847" s="72"/>
      <x:c r="J847" s="72"/>
      <x:c r="K847" s="72"/>
      <x:c r="L847" s="72"/>
      <x:c r="M847" s="72"/>
      <x:c r="N847" s="72"/>
      <x:c r="O847" s="72"/>
      <x:c r="P847" s="72"/>
      <x:c r="Q847" s="72"/>
      <x:c r="R847" s="72"/>
      <x:c r="S847" s="72"/>
      <x:c r="T847" s="72"/>
      <x:c r="U847" s="72"/>
      <x:c r="V847" s="72"/>
      <x:c r="W847" s="72"/>
      <x:c r="X847" s="72"/>
      <x:c r="Y847" s="72"/>
      <x:c r="Z847" s="72"/>
      <x:c r="AA847" s="72"/>
      <x:c r="AB847" s="72"/>
      <x:c r="AC847" s="72"/>
      <x:c r="AD847" s="72"/>
      <x:c r="AE847" s="72"/>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4"/>
      <x:c r="DQ847" s="4"/>
      <x:c r="DR847" s="4"/>
      <x:c r="DS847" s="4"/>
      <x:c r="DT847" s="4"/>
      <x:c r="DU847" s="4"/>
      <x:c r="DV847" s="4"/>
      <x:c r="DW847" s="4"/>
      <x:c r="DX847" s="4"/>
      <x:c r="DY847" s="4"/>
      <x:c r="DZ847" s="4"/>
      <x:c r="EA847" s="4"/>
      <x:c r="EB847" s="4"/>
      <x:c r="EC847" s="4"/>
      <x:c r="ED847" s="4"/>
      <x:c r="EE847" s="4"/>
      <x:c r="EF847" s="4"/>
      <x:c r="EG847" s="4"/>
      <x:c r="EH847" s="4"/>
      <x:c r="EI847" s="4"/>
      <x:c r="EJ847" s="4"/>
      <x:c r="EK847" s="4"/>
      <x:c r="EL847" s="4"/>
      <x:c r="EM847" s="4"/>
      <x:c r="EN847" s="4"/>
      <x:c r="EO847" s="4"/>
      <x:c r="EP847" s="4"/>
      <x:c r="EQ847" s="4"/>
      <x:c r="ER847" s="4"/>
      <x:c r="ES847" s="4"/>
      <x:c r="ET847" s="4"/>
      <x:c r="EU847" s="4"/>
      <x:c r="EV847" s="4"/>
      <x:c r="EW847" s="4"/>
      <x:c r="EX847" s="4"/>
      <x:c r="EY847" s="4"/>
      <x:c r="EZ847" s="4"/>
      <x:c r="FA847" s="4"/>
      <x:c r="FB847" s="4"/>
      <x:c r="FC847" s="4"/>
      <x:c r="FD847" s="4"/>
      <x:c r="FE847" s="4"/>
      <x:c r="FF847" s="4"/>
      <x:c r="FG847" s="4"/>
      <x:c r="FH847" s="4"/>
      <x:c r="FI847" s="4"/>
      <x:c r="FJ847" s="4"/>
      <x:c r="FK847" s="4"/>
      <x:c r="FL847" s="4"/>
      <x:c r="FM847" s="4"/>
      <x:c r="FN847" s="4"/>
      <x:c r="FO847" s="4"/>
    </x:row>
    <x:row r="848">
      <x:c r="A848" s="72"/>
      <x:c r="B848" s="72"/>
      <x:c r="C848" s="72"/>
      <x:c r="D848" s="72"/>
      <x:c r="E848" s="72"/>
      <x:c r="F848" s="72"/>
      <x:c r="G848" s="72"/>
      <x:c r="H848" s="72"/>
      <x:c r="I848" s="72"/>
      <x:c r="J848" s="72"/>
      <x:c r="K848" s="72"/>
      <x:c r="L848" s="72"/>
      <x:c r="M848" s="72"/>
      <x:c r="N848" s="72"/>
      <x:c r="O848" s="72"/>
      <x:c r="P848" s="72"/>
      <x:c r="Q848" s="72"/>
      <x:c r="R848" s="72"/>
      <x:c r="S848" s="72"/>
      <x:c r="T848" s="72"/>
      <x:c r="U848" s="72"/>
      <x:c r="V848" s="72"/>
      <x:c r="W848" s="72"/>
      <x:c r="X848" s="72"/>
      <x:c r="Y848" s="72"/>
      <x:c r="Z848" s="72"/>
      <x:c r="AA848" s="72"/>
      <x:c r="AB848" s="72"/>
      <x:c r="AC848" s="72"/>
      <x:c r="AD848" s="72"/>
      <x:c r="AE848" s="72"/>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4"/>
      <x:c r="DQ848" s="4"/>
      <x:c r="DR848" s="4"/>
      <x:c r="DS848" s="4"/>
      <x:c r="DT848" s="4"/>
      <x:c r="DU848" s="4"/>
      <x:c r="DV848" s="4"/>
      <x:c r="DW848" s="4"/>
      <x:c r="DX848" s="4"/>
      <x:c r="DY848" s="4"/>
      <x:c r="DZ848" s="4"/>
      <x:c r="EA848" s="4"/>
      <x:c r="EB848" s="4"/>
      <x:c r="EC848" s="4"/>
      <x:c r="ED848" s="4"/>
      <x:c r="EE848" s="4"/>
      <x:c r="EF848" s="4"/>
      <x:c r="EG848" s="4"/>
      <x:c r="EH848" s="4"/>
      <x:c r="EI848" s="4"/>
      <x:c r="EJ848" s="4"/>
      <x:c r="EK848" s="4"/>
      <x:c r="EL848" s="4"/>
      <x:c r="EM848" s="4"/>
      <x:c r="EN848" s="4"/>
      <x:c r="EO848" s="4"/>
      <x:c r="EP848" s="4"/>
      <x:c r="EQ848" s="4"/>
      <x:c r="ER848" s="4"/>
      <x:c r="ES848" s="4"/>
      <x:c r="ET848" s="4"/>
      <x:c r="EU848" s="4"/>
      <x:c r="EV848" s="4"/>
      <x:c r="EW848" s="4"/>
      <x:c r="EX848" s="4"/>
      <x:c r="EY848" s="4"/>
      <x:c r="EZ848" s="4"/>
      <x:c r="FA848" s="4"/>
      <x:c r="FB848" s="4"/>
      <x:c r="FC848" s="4"/>
      <x:c r="FD848" s="4"/>
      <x:c r="FE848" s="4"/>
      <x:c r="FF848" s="4"/>
      <x:c r="FG848" s="4"/>
      <x:c r="FH848" s="4"/>
      <x:c r="FI848" s="4"/>
      <x:c r="FJ848" s="4"/>
      <x:c r="FK848" s="4"/>
      <x:c r="FL848" s="4"/>
      <x:c r="FM848" s="4"/>
      <x:c r="FN848" s="4"/>
      <x:c r="FO848" s="4"/>
    </x:row>
    <x:row r="849">
      <x:c r="A849" s="72"/>
      <x:c r="B849" s="72"/>
      <x:c r="C849" s="72"/>
      <x:c r="D849" s="72"/>
      <x:c r="E849" s="72"/>
      <x:c r="F849" s="72"/>
      <x:c r="G849" s="72"/>
      <x:c r="H849" s="72"/>
      <x:c r="I849" s="72"/>
      <x:c r="J849" s="72"/>
      <x:c r="K849" s="72"/>
      <x:c r="L849" s="72"/>
      <x:c r="M849" s="72"/>
      <x:c r="N849" s="72"/>
      <x:c r="O849" s="72"/>
      <x:c r="P849" s="72"/>
      <x:c r="Q849" s="72"/>
      <x:c r="R849" s="72"/>
      <x:c r="S849" s="72"/>
      <x:c r="T849" s="72"/>
      <x:c r="U849" s="72"/>
      <x:c r="V849" s="72"/>
      <x:c r="W849" s="72"/>
      <x:c r="X849" s="72"/>
      <x:c r="Y849" s="72"/>
      <x:c r="Z849" s="72"/>
      <x:c r="AA849" s="72"/>
      <x:c r="AB849" s="72"/>
      <x:c r="AC849" s="72"/>
      <x:c r="AD849" s="72"/>
      <x:c r="AE849" s="72"/>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4"/>
      <x:c r="DQ849" s="4"/>
      <x:c r="DR849" s="4"/>
      <x:c r="DS849" s="4"/>
      <x:c r="DT849" s="4"/>
      <x:c r="DU849" s="4"/>
      <x:c r="DV849" s="4"/>
      <x:c r="DW849" s="4"/>
      <x:c r="DX849" s="4"/>
      <x:c r="DY849" s="4"/>
      <x:c r="DZ849" s="4"/>
      <x:c r="EA849" s="4"/>
      <x:c r="EB849" s="4"/>
      <x:c r="EC849" s="4"/>
      <x:c r="ED849" s="4"/>
      <x:c r="EE849" s="4"/>
      <x:c r="EF849" s="4"/>
      <x:c r="EG849" s="4"/>
      <x:c r="EH849" s="4"/>
      <x:c r="EI849" s="4"/>
      <x:c r="EJ849" s="4"/>
      <x:c r="EK849" s="4"/>
      <x:c r="EL849" s="4"/>
      <x:c r="EM849" s="4"/>
      <x:c r="EN849" s="4"/>
      <x:c r="EO849" s="4"/>
      <x:c r="EP849" s="4"/>
      <x:c r="EQ849" s="4"/>
      <x:c r="ER849" s="4"/>
      <x:c r="ES849" s="4"/>
      <x:c r="ET849" s="4"/>
      <x:c r="EU849" s="4"/>
      <x:c r="EV849" s="4"/>
      <x:c r="EW849" s="4"/>
      <x:c r="EX849" s="4"/>
      <x:c r="EY849" s="4"/>
      <x:c r="EZ849" s="4"/>
      <x:c r="FA849" s="4"/>
      <x:c r="FB849" s="4"/>
      <x:c r="FC849" s="4"/>
      <x:c r="FD849" s="4"/>
      <x:c r="FE849" s="4"/>
      <x:c r="FF849" s="4"/>
      <x:c r="FG849" s="4"/>
      <x:c r="FH849" s="4"/>
      <x:c r="FI849" s="4"/>
      <x:c r="FJ849" s="4"/>
      <x:c r="FK849" s="4"/>
      <x:c r="FL849" s="4"/>
      <x:c r="FM849" s="4"/>
      <x:c r="FN849" s="4"/>
      <x:c r="FO849" s="4"/>
    </x:row>
    <x:row r="850">
      <x:c r="A850" s="72"/>
      <x:c r="B850" s="72"/>
      <x:c r="C850" s="72"/>
      <x:c r="D850" s="72"/>
      <x:c r="E850" s="72"/>
      <x:c r="F850" s="72"/>
      <x:c r="G850" s="72"/>
      <x:c r="H850" s="72"/>
      <x:c r="I850" s="72"/>
      <x:c r="J850" s="72"/>
      <x:c r="K850" s="72"/>
      <x:c r="L850" s="72"/>
      <x:c r="M850" s="72"/>
      <x:c r="N850" s="72"/>
      <x:c r="O850" s="72"/>
      <x:c r="P850" s="72"/>
      <x:c r="Q850" s="72"/>
      <x:c r="R850" s="72"/>
      <x:c r="S850" s="72"/>
      <x:c r="T850" s="72"/>
      <x:c r="U850" s="72"/>
      <x:c r="V850" s="72"/>
      <x:c r="W850" s="72"/>
      <x:c r="X850" s="72"/>
      <x:c r="Y850" s="72"/>
      <x:c r="Z850" s="72"/>
      <x:c r="AA850" s="72"/>
      <x:c r="AB850" s="72"/>
      <x:c r="AC850" s="72"/>
      <x:c r="AD850" s="72"/>
      <x:c r="AE850" s="72"/>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4"/>
      <x:c r="DQ850" s="4"/>
      <x:c r="DR850" s="4"/>
      <x:c r="DS850" s="4"/>
      <x:c r="DT850" s="4"/>
      <x:c r="DU850" s="4"/>
      <x:c r="DV850" s="4"/>
      <x:c r="DW850" s="4"/>
      <x:c r="DX850" s="4"/>
      <x:c r="DY850" s="4"/>
      <x:c r="DZ850" s="4"/>
      <x:c r="EA850" s="4"/>
      <x:c r="EB850" s="4"/>
      <x:c r="EC850" s="4"/>
      <x:c r="ED850" s="4"/>
      <x:c r="EE850" s="4"/>
      <x:c r="EF850" s="4"/>
      <x:c r="EG850" s="4"/>
      <x:c r="EH850" s="4"/>
      <x:c r="EI850" s="4"/>
      <x:c r="EJ850" s="4"/>
      <x:c r="EK850" s="4"/>
      <x:c r="EL850" s="4"/>
      <x:c r="EM850" s="4"/>
      <x:c r="EN850" s="4"/>
      <x:c r="EO850" s="4"/>
      <x:c r="EP850" s="4"/>
      <x:c r="EQ850" s="4"/>
      <x:c r="ER850" s="4"/>
      <x:c r="ES850" s="4"/>
      <x:c r="ET850" s="4"/>
      <x:c r="EU850" s="4"/>
      <x:c r="EV850" s="4"/>
      <x:c r="EW850" s="4"/>
      <x:c r="EX850" s="4"/>
      <x:c r="EY850" s="4"/>
      <x:c r="EZ850" s="4"/>
      <x:c r="FA850" s="4"/>
      <x:c r="FB850" s="4"/>
      <x:c r="FC850" s="4"/>
      <x:c r="FD850" s="4"/>
      <x:c r="FE850" s="4"/>
      <x:c r="FF850" s="4"/>
      <x:c r="FG850" s="4"/>
      <x:c r="FH850" s="4"/>
      <x:c r="FI850" s="4"/>
      <x:c r="FJ850" s="4"/>
      <x:c r="FK850" s="4"/>
      <x:c r="FL850" s="4"/>
      <x:c r="FM850" s="4"/>
      <x:c r="FN850" s="4"/>
      <x:c r="FO850" s="4"/>
    </x:row>
    <x:row r="851">
      <x:c r="A851" s="72"/>
      <x:c r="B851" s="72"/>
      <x:c r="C851" s="72"/>
      <x:c r="D851" s="72"/>
      <x:c r="E851" s="72"/>
      <x:c r="F851" s="72"/>
      <x:c r="G851" s="72"/>
      <x:c r="H851" s="72"/>
      <x:c r="I851" s="72"/>
      <x:c r="J851" s="72"/>
      <x:c r="K851" s="72"/>
      <x:c r="L851" s="72"/>
      <x:c r="M851" s="72"/>
      <x:c r="N851" s="72"/>
      <x:c r="O851" s="72"/>
      <x:c r="P851" s="72"/>
      <x:c r="Q851" s="72"/>
      <x:c r="R851" s="72"/>
      <x:c r="S851" s="72"/>
      <x:c r="T851" s="72"/>
      <x:c r="U851" s="72"/>
      <x:c r="V851" s="72"/>
      <x:c r="W851" s="72"/>
      <x:c r="X851" s="72"/>
      <x:c r="Y851" s="72"/>
      <x:c r="Z851" s="72"/>
      <x:c r="AA851" s="72"/>
      <x:c r="AB851" s="72"/>
      <x:c r="AC851" s="72"/>
      <x:c r="AD851" s="72"/>
      <x:c r="AE851" s="72"/>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4"/>
      <x:c r="DQ851" s="4"/>
      <x:c r="DR851" s="4"/>
      <x:c r="DS851" s="4"/>
      <x:c r="DT851" s="4"/>
      <x:c r="DU851" s="4"/>
      <x:c r="DV851" s="4"/>
      <x:c r="DW851" s="4"/>
      <x:c r="DX851" s="4"/>
      <x:c r="DY851" s="4"/>
      <x:c r="DZ851" s="4"/>
      <x:c r="EA851" s="4"/>
      <x:c r="EB851" s="4"/>
      <x:c r="EC851" s="4"/>
      <x:c r="ED851" s="4"/>
      <x:c r="EE851" s="4"/>
      <x:c r="EF851" s="4"/>
      <x:c r="EG851" s="4"/>
      <x:c r="EH851" s="4"/>
      <x:c r="EI851" s="4"/>
      <x:c r="EJ851" s="4"/>
      <x:c r="EK851" s="4"/>
      <x:c r="EL851" s="4"/>
      <x:c r="EM851" s="4"/>
      <x:c r="EN851" s="4"/>
      <x:c r="EO851" s="4"/>
      <x:c r="EP851" s="4"/>
      <x:c r="EQ851" s="4"/>
      <x:c r="ER851" s="4"/>
      <x:c r="ES851" s="4"/>
      <x:c r="ET851" s="4"/>
      <x:c r="EU851" s="4"/>
      <x:c r="EV851" s="4"/>
      <x:c r="EW851" s="4"/>
      <x:c r="EX851" s="4"/>
      <x:c r="EY851" s="4"/>
      <x:c r="EZ851" s="4"/>
      <x:c r="FA851" s="4"/>
      <x:c r="FB851" s="4"/>
      <x:c r="FC851" s="4"/>
      <x:c r="FD851" s="4"/>
      <x:c r="FE851" s="4"/>
      <x:c r="FF851" s="4"/>
      <x:c r="FG851" s="4"/>
      <x:c r="FH851" s="4"/>
      <x:c r="FI851" s="4"/>
      <x:c r="FJ851" s="4"/>
      <x:c r="FK851" s="4"/>
      <x:c r="FL851" s="4"/>
      <x:c r="FM851" s="4"/>
      <x:c r="FN851" s="4"/>
      <x:c r="FO851" s="4"/>
    </x:row>
    <x:row r="852">
      <x:c r="A852" s="72"/>
      <x:c r="B852" s="72"/>
      <x:c r="C852" s="72"/>
      <x:c r="D852" s="72"/>
      <x:c r="E852" s="72"/>
      <x:c r="F852" s="72"/>
      <x:c r="G852" s="72"/>
      <x:c r="H852" s="72"/>
      <x:c r="I852" s="72"/>
      <x:c r="J852" s="72"/>
      <x:c r="K852" s="72"/>
      <x:c r="L852" s="72"/>
      <x:c r="M852" s="72"/>
      <x:c r="N852" s="72"/>
      <x:c r="O852" s="72"/>
      <x:c r="P852" s="72"/>
      <x:c r="Q852" s="72"/>
      <x:c r="R852" s="72"/>
      <x:c r="S852" s="72"/>
      <x:c r="T852" s="72"/>
      <x:c r="U852" s="72"/>
      <x:c r="V852" s="72"/>
      <x:c r="W852" s="72"/>
      <x:c r="X852" s="72"/>
      <x:c r="Y852" s="72"/>
      <x:c r="Z852" s="72"/>
      <x:c r="AA852" s="72"/>
      <x:c r="AB852" s="72"/>
      <x:c r="AC852" s="72"/>
      <x:c r="AD852" s="72"/>
      <x:c r="AE852" s="72"/>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4"/>
      <x:c r="DQ852" s="4"/>
      <x:c r="DR852" s="4"/>
      <x:c r="DS852" s="4"/>
      <x:c r="DT852" s="4"/>
      <x:c r="DU852" s="4"/>
      <x:c r="DV852" s="4"/>
      <x:c r="DW852" s="4"/>
      <x:c r="DX852" s="4"/>
      <x:c r="DY852" s="4"/>
      <x:c r="DZ852" s="4"/>
      <x:c r="EA852" s="4"/>
      <x:c r="EB852" s="4"/>
      <x:c r="EC852" s="4"/>
      <x:c r="ED852" s="4"/>
      <x:c r="EE852" s="4"/>
      <x:c r="EF852" s="4"/>
      <x:c r="EG852" s="4"/>
      <x:c r="EH852" s="4"/>
      <x:c r="EI852" s="4"/>
      <x:c r="EJ852" s="4"/>
      <x:c r="EK852" s="4"/>
      <x:c r="EL852" s="4"/>
      <x:c r="EM852" s="4"/>
      <x:c r="EN852" s="4"/>
      <x:c r="EO852" s="4"/>
      <x:c r="EP852" s="4"/>
      <x:c r="EQ852" s="4"/>
      <x:c r="ER852" s="4"/>
      <x:c r="ES852" s="4"/>
      <x:c r="ET852" s="4"/>
      <x:c r="EU852" s="4"/>
      <x:c r="EV852" s="4"/>
      <x:c r="EW852" s="4"/>
      <x:c r="EX852" s="4"/>
      <x:c r="EY852" s="4"/>
      <x:c r="EZ852" s="4"/>
      <x:c r="FA852" s="4"/>
      <x:c r="FB852" s="4"/>
      <x:c r="FC852" s="4"/>
      <x:c r="FD852" s="4"/>
      <x:c r="FE852" s="4"/>
      <x:c r="FF852" s="4"/>
      <x:c r="FG852" s="4"/>
      <x:c r="FH852" s="4"/>
      <x:c r="FI852" s="4"/>
      <x:c r="FJ852" s="4"/>
      <x:c r="FK852" s="4"/>
      <x:c r="FL852" s="4"/>
      <x:c r="FM852" s="4"/>
      <x:c r="FN852" s="4"/>
      <x:c r="FO852" s="4"/>
    </x:row>
    <x:row r="853">
      <x:c r="A853" s="72"/>
      <x:c r="B853" s="72"/>
      <x:c r="C853" s="72"/>
      <x:c r="D853" s="72"/>
      <x:c r="E853" s="72"/>
      <x:c r="F853" s="72"/>
      <x:c r="G853" s="72"/>
      <x:c r="H853" s="72"/>
      <x:c r="I853" s="72"/>
      <x:c r="J853" s="72"/>
      <x:c r="K853" s="72"/>
      <x:c r="L853" s="72"/>
      <x:c r="M853" s="72"/>
      <x:c r="N853" s="72"/>
      <x:c r="O853" s="72"/>
      <x:c r="P853" s="72"/>
      <x:c r="Q853" s="72"/>
      <x:c r="R853" s="72"/>
      <x:c r="S853" s="72"/>
      <x:c r="T853" s="72"/>
      <x:c r="U853" s="72"/>
      <x:c r="V853" s="72"/>
      <x:c r="W853" s="72"/>
      <x:c r="X853" s="72"/>
      <x:c r="Y853" s="72"/>
      <x:c r="Z853" s="72"/>
      <x:c r="AA853" s="72"/>
      <x:c r="AB853" s="72"/>
      <x:c r="AC853" s="72"/>
      <x:c r="AD853" s="72"/>
      <x:c r="AE853" s="72"/>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4"/>
      <x:c r="DQ853" s="4"/>
      <x:c r="DR853" s="4"/>
      <x:c r="DS853" s="4"/>
      <x:c r="DT853" s="4"/>
      <x:c r="DU853" s="4"/>
      <x:c r="DV853" s="4"/>
      <x:c r="DW853" s="4"/>
      <x:c r="DX853" s="4"/>
      <x:c r="DY853" s="4"/>
      <x:c r="DZ853" s="4"/>
      <x:c r="EA853" s="4"/>
      <x:c r="EB853" s="4"/>
      <x:c r="EC853" s="4"/>
      <x:c r="ED853" s="4"/>
      <x:c r="EE853" s="4"/>
      <x:c r="EF853" s="4"/>
      <x:c r="EG853" s="4"/>
      <x:c r="EH853" s="4"/>
      <x:c r="EI853" s="4"/>
      <x:c r="EJ853" s="4"/>
      <x:c r="EK853" s="4"/>
      <x:c r="EL853" s="4"/>
      <x:c r="EM853" s="4"/>
      <x:c r="EN853" s="4"/>
      <x:c r="EO853" s="4"/>
      <x:c r="EP853" s="4"/>
      <x:c r="EQ853" s="4"/>
      <x:c r="ER853" s="4"/>
      <x:c r="ES853" s="4"/>
      <x:c r="ET853" s="4"/>
      <x:c r="EU853" s="4"/>
      <x:c r="EV853" s="4"/>
      <x:c r="EW853" s="4"/>
      <x:c r="EX853" s="4"/>
      <x:c r="EY853" s="4"/>
      <x:c r="EZ853" s="4"/>
      <x:c r="FA853" s="4"/>
      <x:c r="FB853" s="4"/>
      <x:c r="FC853" s="4"/>
      <x:c r="FD853" s="4"/>
      <x:c r="FE853" s="4"/>
      <x:c r="FF853" s="4"/>
      <x:c r="FG853" s="4"/>
      <x:c r="FH853" s="4"/>
      <x:c r="FI853" s="4"/>
      <x:c r="FJ853" s="4"/>
      <x:c r="FK853" s="4"/>
      <x:c r="FL853" s="4"/>
      <x:c r="FM853" s="4"/>
      <x:c r="FN853" s="4"/>
      <x:c r="FO853" s="4"/>
    </x:row>
    <x:row r="854">
      <x:c r="A854" s="72"/>
      <x:c r="B854" s="72"/>
      <x:c r="C854" s="72"/>
      <x:c r="D854" s="72"/>
      <x:c r="E854" s="72"/>
      <x:c r="F854" s="72"/>
      <x:c r="G854" s="72"/>
      <x:c r="H854" s="72"/>
      <x:c r="I854" s="72"/>
      <x:c r="J854" s="72"/>
      <x:c r="K854" s="72"/>
      <x:c r="L854" s="72"/>
      <x:c r="M854" s="72"/>
      <x:c r="N854" s="72"/>
      <x:c r="O854" s="72"/>
      <x:c r="P854" s="72"/>
      <x:c r="Q854" s="72"/>
      <x:c r="R854" s="72"/>
      <x:c r="S854" s="72"/>
      <x:c r="T854" s="72"/>
      <x:c r="U854" s="72"/>
      <x:c r="V854" s="72"/>
      <x:c r="W854" s="72"/>
      <x:c r="X854" s="72"/>
      <x:c r="Y854" s="72"/>
      <x:c r="Z854" s="72"/>
      <x:c r="AA854" s="72"/>
      <x:c r="AB854" s="72"/>
      <x:c r="AC854" s="72"/>
      <x:c r="AD854" s="72"/>
      <x:c r="AE854" s="72"/>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4"/>
      <x:c r="DQ854" s="4"/>
      <x:c r="DR854" s="4"/>
      <x:c r="DS854" s="4"/>
      <x:c r="DT854" s="4"/>
      <x:c r="DU854" s="4"/>
      <x:c r="DV854" s="4"/>
      <x:c r="DW854" s="4"/>
      <x:c r="DX854" s="4"/>
      <x:c r="DY854" s="4"/>
      <x:c r="DZ854" s="4"/>
      <x:c r="EA854" s="4"/>
      <x:c r="EB854" s="4"/>
      <x:c r="EC854" s="4"/>
      <x:c r="ED854" s="4"/>
      <x:c r="EE854" s="4"/>
      <x:c r="EF854" s="4"/>
      <x:c r="EG854" s="4"/>
      <x:c r="EH854" s="4"/>
      <x:c r="EI854" s="4"/>
      <x:c r="EJ854" s="4"/>
      <x:c r="EK854" s="4"/>
      <x:c r="EL854" s="4"/>
      <x:c r="EM854" s="4"/>
      <x:c r="EN854" s="4"/>
      <x:c r="EO854" s="4"/>
      <x:c r="EP854" s="4"/>
      <x:c r="EQ854" s="4"/>
      <x:c r="ER854" s="4"/>
      <x:c r="ES854" s="4"/>
      <x:c r="ET854" s="4"/>
      <x:c r="EU854" s="4"/>
      <x:c r="EV854" s="4"/>
      <x:c r="EW854" s="4"/>
      <x:c r="EX854" s="4"/>
      <x:c r="EY854" s="4"/>
      <x:c r="EZ854" s="4"/>
      <x:c r="FA854" s="4"/>
      <x:c r="FB854" s="4"/>
      <x:c r="FC854" s="4"/>
      <x:c r="FD854" s="4"/>
      <x:c r="FE854" s="4"/>
      <x:c r="FF854" s="4"/>
      <x:c r="FG854" s="4"/>
      <x:c r="FH854" s="4"/>
      <x:c r="FI854" s="4"/>
      <x:c r="FJ854" s="4"/>
      <x:c r="FK854" s="4"/>
      <x:c r="FL854" s="4"/>
      <x:c r="FM854" s="4"/>
      <x:c r="FN854" s="4"/>
      <x:c r="FO854" s="4"/>
    </x:row>
    <x:row r="855">
      <x:c r="A855" s="72"/>
      <x:c r="B855" s="72"/>
      <x:c r="C855" s="72"/>
      <x:c r="D855" s="72"/>
      <x:c r="E855" s="72"/>
      <x:c r="F855" s="72"/>
      <x:c r="G855" s="72"/>
      <x:c r="H855" s="72"/>
      <x:c r="I855" s="72"/>
      <x:c r="J855" s="72"/>
      <x:c r="K855" s="72"/>
      <x:c r="L855" s="72"/>
      <x:c r="M855" s="72"/>
      <x:c r="N855" s="72"/>
      <x:c r="O855" s="72"/>
      <x:c r="P855" s="72"/>
      <x:c r="Q855" s="72"/>
      <x:c r="R855" s="72"/>
      <x:c r="S855" s="72"/>
      <x:c r="T855" s="72"/>
      <x:c r="U855" s="72"/>
      <x:c r="V855" s="72"/>
      <x:c r="W855" s="72"/>
      <x:c r="X855" s="72"/>
      <x:c r="Y855" s="72"/>
      <x:c r="Z855" s="72"/>
      <x:c r="AA855" s="72"/>
      <x:c r="AB855" s="72"/>
      <x:c r="AC855" s="72"/>
      <x:c r="AD855" s="72"/>
      <x:c r="AE855" s="72"/>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4"/>
      <x:c r="DQ855" s="4"/>
      <x:c r="DR855" s="4"/>
      <x:c r="DS855" s="4"/>
      <x:c r="DT855" s="4"/>
      <x:c r="DU855" s="4"/>
      <x:c r="DV855" s="4"/>
      <x:c r="DW855" s="4"/>
      <x:c r="DX855" s="4"/>
      <x:c r="DY855" s="4"/>
      <x:c r="DZ855" s="4"/>
      <x:c r="EA855" s="4"/>
      <x:c r="EB855" s="4"/>
      <x:c r="EC855" s="4"/>
      <x:c r="ED855" s="4"/>
      <x:c r="EE855" s="4"/>
      <x:c r="EF855" s="4"/>
      <x:c r="EG855" s="4"/>
      <x:c r="EH855" s="4"/>
      <x:c r="EI855" s="4"/>
      <x:c r="EJ855" s="4"/>
      <x:c r="EK855" s="4"/>
      <x:c r="EL855" s="4"/>
      <x:c r="EM855" s="4"/>
      <x:c r="EN855" s="4"/>
      <x:c r="EO855" s="4"/>
      <x:c r="EP855" s="4"/>
      <x:c r="EQ855" s="4"/>
      <x:c r="ER855" s="4"/>
      <x:c r="ES855" s="4"/>
      <x:c r="ET855" s="4"/>
      <x:c r="EU855" s="4"/>
      <x:c r="EV855" s="4"/>
      <x:c r="EW855" s="4"/>
      <x:c r="EX855" s="4"/>
      <x:c r="EY855" s="4"/>
      <x:c r="EZ855" s="4"/>
      <x:c r="FA855" s="4"/>
      <x:c r="FB855" s="4"/>
      <x:c r="FC855" s="4"/>
      <x:c r="FD855" s="4"/>
      <x:c r="FE855" s="4"/>
      <x:c r="FF855" s="4"/>
      <x:c r="FG855" s="4"/>
      <x:c r="FH855" s="4"/>
      <x:c r="FI855" s="4"/>
      <x:c r="FJ855" s="4"/>
      <x:c r="FK855" s="4"/>
      <x:c r="FL855" s="4"/>
      <x:c r="FM855" s="4"/>
      <x:c r="FN855" s="4"/>
      <x:c r="FO855" s="4"/>
    </x:row>
    <x:row r="856">
      <x:c r="A856" s="72"/>
      <x:c r="B856" s="72"/>
      <x:c r="C856" s="72"/>
      <x:c r="D856" s="72"/>
      <x:c r="E856" s="72"/>
      <x:c r="F856" s="72"/>
      <x:c r="G856" s="72"/>
      <x:c r="H856" s="72"/>
      <x:c r="I856" s="72"/>
      <x:c r="J856" s="72"/>
      <x:c r="K856" s="72"/>
      <x:c r="L856" s="72"/>
      <x:c r="M856" s="72"/>
      <x:c r="N856" s="72"/>
      <x:c r="O856" s="72"/>
      <x:c r="P856" s="72"/>
      <x:c r="Q856" s="72"/>
      <x:c r="R856" s="72"/>
      <x:c r="S856" s="72"/>
      <x:c r="T856" s="72"/>
      <x:c r="U856" s="72"/>
      <x:c r="V856" s="72"/>
      <x:c r="W856" s="72"/>
      <x:c r="X856" s="72"/>
      <x:c r="Y856" s="72"/>
      <x:c r="Z856" s="72"/>
      <x:c r="AA856" s="72"/>
      <x:c r="AB856" s="72"/>
      <x:c r="AC856" s="72"/>
      <x:c r="AD856" s="72"/>
      <x:c r="AE856" s="72"/>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4"/>
      <x:c r="DQ856" s="4"/>
      <x:c r="DR856" s="4"/>
      <x:c r="DS856" s="4"/>
      <x:c r="DT856" s="4"/>
      <x:c r="DU856" s="4"/>
      <x:c r="DV856" s="4"/>
      <x:c r="DW856" s="4"/>
      <x:c r="DX856" s="4"/>
      <x:c r="DY856" s="4"/>
      <x:c r="DZ856" s="4"/>
      <x:c r="EA856" s="4"/>
      <x:c r="EB856" s="4"/>
      <x:c r="EC856" s="4"/>
      <x:c r="ED856" s="4"/>
      <x:c r="EE856" s="4"/>
      <x:c r="EF856" s="4"/>
      <x:c r="EG856" s="4"/>
      <x:c r="EH856" s="4"/>
      <x:c r="EI856" s="4"/>
      <x:c r="EJ856" s="4"/>
      <x:c r="EK856" s="4"/>
      <x:c r="EL856" s="4"/>
      <x:c r="EM856" s="4"/>
      <x:c r="EN856" s="4"/>
      <x:c r="EO856" s="4"/>
      <x:c r="EP856" s="4"/>
      <x:c r="EQ856" s="4"/>
      <x:c r="ER856" s="4"/>
      <x:c r="ES856" s="4"/>
      <x:c r="ET856" s="4"/>
      <x:c r="EU856" s="4"/>
      <x:c r="EV856" s="4"/>
      <x:c r="EW856" s="4"/>
      <x:c r="EX856" s="4"/>
      <x:c r="EY856" s="4"/>
      <x:c r="EZ856" s="4"/>
      <x:c r="FA856" s="4"/>
      <x:c r="FB856" s="4"/>
      <x:c r="FC856" s="4"/>
      <x:c r="FD856" s="4"/>
      <x:c r="FE856" s="4"/>
      <x:c r="FF856" s="4"/>
      <x:c r="FG856" s="4"/>
      <x:c r="FH856" s="4"/>
      <x:c r="FI856" s="4"/>
      <x:c r="FJ856" s="4"/>
      <x:c r="FK856" s="4"/>
      <x:c r="FL856" s="4"/>
      <x:c r="FM856" s="4"/>
      <x:c r="FN856" s="4"/>
      <x:c r="FO856" s="4"/>
    </x:row>
    <x:row r="857">
      <x:c r="A857" s="72"/>
      <x:c r="B857" s="72"/>
      <x:c r="C857" s="72"/>
      <x:c r="D857" s="72"/>
      <x:c r="E857" s="72"/>
      <x:c r="F857" s="72"/>
      <x:c r="G857" s="72"/>
      <x:c r="H857" s="72"/>
      <x:c r="I857" s="72"/>
      <x:c r="J857" s="72"/>
      <x:c r="K857" s="72"/>
      <x:c r="L857" s="72"/>
      <x:c r="M857" s="72"/>
      <x:c r="N857" s="72"/>
      <x:c r="O857" s="72"/>
      <x:c r="P857" s="72"/>
      <x:c r="Q857" s="72"/>
      <x:c r="R857" s="72"/>
      <x:c r="S857" s="72"/>
      <x:c r="T857" s="72"/>
      <x:c r="U857" s="72"/>
      <x:c r="V857" s="72"/>
      <x:c r="W857" s="72"/>
      <x:c r="X857" s="72"/>
      <x:c r="Y857" s="72"/>
      <x:c r="Z857" s="72"/>
      <x:c r="AA857" s="72"/>
      <x:c r="AB857" s="72"/>
      <x:c r="AC857" s="72"/>
      <x:c r="AD857" s="72"/>
      <x:c r="AE857" s="72"/>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4"/>
      <x:c r="DQ857" s="4"/>
      <x:c r="DR857" s="4"/>
      <x:c r="DS857" s="4"/>
      <x:c r="DT857" s="4"/>
      <x:c r="DU857" s="4"/>
      <x:c r="DV857" s="4"/>
      <x:c r="DW857" s="4"/>
      <x:c r="DX857" s="4"/>
      <x:c r="DY857" s="4"/>
      <x:c r="DZ857" s="4"/>
      <x:c r="EA857" s="4"/>
      <x:c r="EB857" s="4"/>
      <x:c r="EC857" s="4"/>
      <x:c r="ED857" s="4"/>
      <x:c r="EE857" s="4"/>
      <x:c r="EF857" s="4"/>
      <x:c r="EG857" s="4"/>
      <x:c r="EH857" s="4"/>
      <x:c r="EI857" s="4"/>
      <x:c r="EJ857" s="4"/>
      <x:c r="EK857" s="4"/>
      <x:c r="EL857" s="4"/>
      <x:c r="EM857" s="4"/>
      <x:c r="EN857" s="4"/>
      <x:c r="EO857" s="4"/>
      <x:c r="EP857" s="4"/>
      <x:c r="EQ857" s="4"/>
      <x:c r="ER857" s="4"/>
      <x:c r="ES857" s="4"/>
      <x:c r="ET857" s="4"/>
      <x:c r="EU857" s="4"/>
      <x:c r="EV857" s="4"/>
      <x:c r="EW857" s="4"/>
      <x:c r="EX857" s="4"/>
      <x:c r="EY857" s="4"/>
      <x:c r="EZ857" s="4"/>
      <x:c r="FA857" s="4"/>
      <x:c r="FB857" s="4"/>
      <x:c r="FC857" s="4"/>
      <x:c r="FD857" s="4"/>
      <x:c r="FE857" s="4"/>
      <x:c r="FF857" s="4"/>
      <x:c r="FG857" s="4"/>
      <x:c r="FH857" s="4"/>
      <x:c r="FI857" s="4"/>
      <x:c r="FJ857" s="4"/>
      <x:c r="FK857" s="4"/>
      <x:c r="FL857" s="4"/>
      <x:c r="FM857" s="4"/>
      <x:c r="FN857" s="4"/>
      <x:c r="FO857" s="4"/>
    </x:row>
    <x:row r="858">
      <x:c r="A858" s="72"/>
      <x:c r="B858" s="72"/>
      <x:c r="C858" s="72"/>
      <x:c r="D858" s="72"/>
      <x:c r="E858" s="72"/>
      <x:c r="F858" s="72"/>
      <x:c r="G858" s="72"/>
      <x:c r="H858" s="72"/>
      <x:c r="I858" s="72"/>
      <x:c r="J858" s="72"/>
      <x:c r="K858" s="72"/>
      <x:c r="L858" s="72"/>
      <x:c r="M858" s="72"/>
      <x:c r="N858" s="72"/>
      <x:c r="O858" s="72"/>
      <x:c r="P858" s="72"/>
      <x:c r="Q858" s="72"/>
      <x:c r="R858" s="72"/>
      <x:c r="S858" s="72"/>
      <x:c r="T858" s="72"/>
      <x:c r="U858" s="72"/>
      <x:c r="V858" s="72"/>
      <x:c r="W858" s="72"/>
      <x:c r="X858" s="72"/>
      <x:c r="Y858" s="72"/>
      <x:c r="Z858" s="72"/>
      <x:c r="AA858" s="72"/>
      <x:c r="AB858" s="72"/>
      <x:c r="AC858" s="72"/>
      <x:c r="AD858" s="72"/>
      <x:c r="AE858" s="72"/>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4"/>
      <x:c r="DQ858" s="4"/>
      <x:c r="DR858" s="4"/>
      <x:c r="DS858" s="4"/>
      <x:c r="DT858" s="4"/>
      <x:c r="DU858" s="4"/>
      <x:c r="DV858" s="4"/>
      <x:c r="DW858" s="4"/>
      <x:c r="DX858" s="4"/>
      <x:c r="DY858" s="4"/>
      <x:c r="DZ858" s="4"/>
      <x:c r="EA858" s="4"/>
      <x:c r="EB858" s="4"/>
      <x:c r="EC858" s="4"/>
      <x:c r="ED858" s="4"/>
      <x:c r="EE858" s="4"/>
      <x:c r="EF858" s="4"/>
      <x:c r="EG858" s="4"/>
      <x:c r="EH858" s="4"/>
      <x:c r="EI858" s="4"/>
      <x:c r="EJ858" s="4"/>
      <x:c r="EK858" s="4"/>
      <x:c r="EL858" s="4"/>
      <x:c r="EM858" s="4"/>
      <x:c r="EN858" s="4"/>
      <x:c r="EO858" s="4"/>
      <x:c r="EP858" s="4"/>
      <x:c r="EQ858" s="4"/>
      <x:c r="ER858" s="4"/>
      <x:c r="ES858" s="4"/>
      <x:c r="ET858" s="4"/>
      <x:c r="EU858" s="4"/>
      <x:c r="EV858" s="4"/>
      <x:c r="EW858" s="4"/>
      <x:c r="EX858" s="4"/>
      <x:c r="EY858" s="4"/>
      <x:c r="EZ858" s="4"/>
      <x:c r="FA858" s="4"/>
      <x:c r="FB858" s="4"/>
      <x:c r="FC858" s="4"/>
      <x:c r="FD858" s="4"/>
      <x:c r="FE858" s="4"/>
      <x:c r="FF858" s="4"/>
      <x:c r="FG858" s="4"/>
      <x:c r="FH858" s="4"/>
      <x:c r="FI858" s="4"/>
      <x:c r="FJ858" s="4"/>
      <x:c r="FK858" s="4"/>
      <x:c r="FL858" s="4"/>
      <x:c r="FM858" s="4"/>
      <x:c r="FN858" s="4"/>
      <x:c r="FO858" s="4"/>
    </x:row>
    <x:row r="859">
      <x:c r="A859" s="72"/>
      <x:c r="B859" s="72"/>
      <x:c r="C859" s="72"/>
      <x:c r="D859" s="72"/>
      <x:c r="E859" s="72"/>
      <x:c r="F859" s="72"/>
      <x:c r="G859" s="72"/>
      <x:c r="H859" s="72"/>
      <x:c r="I859" s="72"/>
      <x:c r="J859" s="72"/>
      <x:c r="K859" s="72"/>
      <x:c r="L859" s="72"/>
      <x:c r="M859" s="72"/>
      <x:c r="N859" s="72"/>
      <x:c r="O859" s="72"/>
      <x:c r="P859" s="72"/>
      <x:c r="Q859" s="72"/>
      <x:c r="R859" s="72"/>
      <x:c r="S859" s="72"/>
      <x:c r="T859" s="72"/>
      <x:c r="U859" s="72"/>
      <x:c r="V859" s="72"/>
      <x:c r="W859" s="72"/>
      <x:c r="X859" s="72"/>
      <x:c r="Y859" s="72"/>
      <x:c r="Z859" s="72"/>
      <x:c r="AA859" s="72"/>
      <x:c r="AB859" s="72"/>
      <x:c r="AC859" s="72"/>
      <x:c r="AD859" s="72"/>
      <x:c r="AE859" s="72"/>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4"/>
      <x:c r="DQ859" s="4"/>
      <x:c r="DR859" s="4"/>
      <x:c r="DS859" s="4"/>
      <x:c r="DT859" s="4"/>
      <x:c r="DU859" s="4"/>
      <x:c r="DV859" s="4"/>
      <x:c r="DW859" s="4"/>
      <x:c r="DX859" s="4"/>
      <x:c r="DY859" s="4"/>
      <x:c r="DZ859" s="4"/>
      <x:c r="EA859" s="4"/>
      <x:c r="EB859" s="4"/>
      <x:c r="EC859" s="4"/>
      <x:c r="ED859" s="4"/>
      <x:c r="EE859" s="4"/>
      <x:c r="EF859" s="4"/>
      <x:c r="EG859" s="4"/>
      <x:c r="EH859" s="4"/>
      <x:c r="EI859" s="4"/>
      <x:c r="EJ859" s="4"/>
      <x:c r="EK859" s="4"/>
      <x:c r="EL859" s="4"/>
      <x:c r="EM859" s="4"/>
      <x:c r="EN859" s="4"/>
      <x:c r="EO859" s="4"/>
      <x:c r="EP859" s="4"/>
      <x:c r="EQ859" s="4"/>
      <x:c r="ER859" s="4"/>
      <x:c r="ES859" s="4"/>
      <x:c r="ET859" s="4"/>
      <x:c r="EU859" s="4"/>
      <x:c r="EV859" s="4"/>
      <x:c r="EW859" s="4"/>
      <x:c r="EX859" s="4"/>
      <x:c r="EY859" s="4"/>
      <x:c r="EZ859" s="4"/>
      <x:c r="FA859" s="4"/>
      <x:c r="FB859" s="4"/>
      <x:c r="FC859" s="4"/>
      <x:c r="FD859" s="4"/>
      <x:c r="FE859" s="4"/>
      <x:c r="FF859" s="4"/>
      <x:c r="FG859" s="4"/>
      <x:c r="FH859" s="4"/>
      <x:c r="FI859" s="4"/>
      <x:c r="FJ859" s="4"/>
      <x:c r="FK859" s="4"/>
      <x:c r="FL859" s="4"/>
      <x:c r="FM859" s="4"/>
      <x:c r="FN859" s="4"/>
      <x:c r="FO859" s="4"/>
    </x:row>
    <x:row r="860">
      <x:c r="A860" s="72"/>
      <x:c r="B860" s="72"/>
      <x:c r="C860" s="72"/>
      <x:c r="D860" s="72"/>
      <x:c r="E860" s="72"/>
      <x:c r="F860" s="72"/>
      <x:c r="G860" s="72"/>
      <x:c r="H860" s="72"/>
      <x:c r="I860" s="72"/>
      <x:c r="J860" s="72"/>
      <x:c r="K860" s="72"/>
      <x:c r="L860" s="72"/>
      <x:c r="M860" s="72"/>
      <x:c r="N860" s="72"/>
      <x:c r="O860" s="72"/>
      <x:c r="P860" s="72"/>
      <x:c r="Q860" s="72"/>
      <x:c r="R860" s="72"/>
      <x:c r="S860" s="72"/>
      <x:c r="T860" s="72"/>
      <x:c r="U860" s="72"/>
      <x:c r="V860" s="72"/>
      <x:c r="W860" s="72"/>
      <x:c r="X860" s="72"/>
      <x:c r="Y860" s="72"/>
      <x:c r="Z860" s="72"/>
      <x:c r="AA860" s="72"/>
      <x:c r="AB860" s="72"/>
      <x:c r="AC860" s="72"/>
      <x:c r="AD860" s="72"/>
      <x:c r="AE860" s="72"/>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4"/>
      <x:c r="DQ860" s="4"/>
      <x:c r="DR860" s="4"/>
      <x:c r="DS860" s="4"/>
      <x:c r="DT860" s="4"/>
      <x:c r="DU860" s="4"/>
      <x:c r="DV860" s="4"/>
      <x:c r="DW860" s="4"/>
      <x:c r="DX860" s="4"/>
      <x:c r="DY860" s="4"/>
      <x:c r="DZ860" s="4"/>
      <x:c r="EA860" s="4"/>
      <x:c r="EB860" s="4"/>
      <x:c r="EC860" s="4"/>
      <x:c r="ED860" s="4"/>
      <x:c r="EE860" s="4"/>
      <x:c r="EF860" s="4"/>
      <x:c r="EG860" s="4"/>
      <x:c r="EH860" s="4"/>
      <x:c r="EI860" s="4"/>
      <x:c r="EJ860" s="4"/>
      <x:c r="EK860" s="4"/>
      <x:c r="EL860" s="4"/>
      <x:c r="EM860" s="4"/>
      <x:c r="EN860" s="4"/>
      <x:c r="EO860" s="4"/>
      <x:c r="EP860" s="4"/>
      <x:c r="EQ860" s="4"/>
      <x:c r="ER860" s="4"/>
      <x:c r="ES860" s="4"/>
      <x:c r="ET860" s="4"/>
      <x:c r="EU860" s="4"/>
      <x:c r="EV860" s="4"/>
      <x:c r="EW860" s="4"/>
      <x:c r="EX860" s="4"/>
      <x:c r="EY860" s="4"/>
      <x:c r="EZ860" s="4"/>
      <x:c r="FA860" s="4"/>
      <x:c r="FB860" s="4"/>
      <x:c r="FC860" s="4"/>
      <x:c r="FD860" s="4"/>
      <x:c r="FE860" s="4"/>
      <x:c r="FF860" s="4"/>
      <x:c r="FG860" s="4"/>
      <x:c r="FH860" s="4"/>
      <x:c r="FI860" s="4"/>
      <x:c r="FJ860" s="4"/>
      <x:c r="FK860" s="4"/>
      <x:c r="FL860" s="4"/>
      <x:c r="FM860" s="4"/>
      <x:c r="FN860" s="4"/>
      <x:c r="FO860" s="4"/>
    </x:row>
    <x:row r="861">
      <x:c r="A861" s="72"/>
      <x:c r="B861" s="72"/>
      <x:c r="C861" s="72"/>
      <x:c r="D861" s="72"/>
      <x:c r="E861" s="72"/>
      <x:c r="F861" s="72"/>
      <x:c r="G861" s="72"/>
      <x:c r="H861" s="72"/>
      <x:c r="I861" s="72"/>
      <x:c r="J861" s="72"/>
      <x:c r="K861" s="72"/>
      <x:c r="L861" s="72"/>
      <x:c r="M861" s="72"/>
      <x:c r="N861" s="72"/>
      <x:c r="O861" s="72"/>
      <x:c r="P861" s="72"/>
      <x:c r="Q861" s="72"/>
      <x:c r="R861" s="72"/>
      <x:c r="S861" s="72"/>
      <x:c r="T861" s="72"/>
      <x:c r="U861" s="72"/>
      <x:c r="V861" s="72"/>
      <x:c r="W861" s="72"/>
      <x:c r="X861" s="72"/>
      <x:c r="Y861" s="72"/>
      <x:c r="Z861" s="72"/>
      <x:c r="AA861" s="72"/>
      <x:c r="AB861" s="72"/>
      <x:c r="AC861" s="72"/>
      <x:c r="AD861" s="72"/>
      <x:c r="AE861" s="72"/>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4"/>
      <x:c r="DQ861" s="4"/>
      <x:c r="DR861" s="4"/>
      <x:c r="DS861" s="4"/>
      <x:c r="DT861" s="4"/>
      <x:c r="DU861" s="4"/>
      <x:c r="DV861" s="4"/>
      <x:c r="DW861" s="4"/>
      <x:c r="DX861" s="4"/>
      <x:c r="DY861" s="4"/>
      <x:c r="DZ861" s="4"/>
      <x:c r="EA861" s="4"/>
      <x:c r="EB861" s="4"/>
      <x:c r="EC861" s="4"/>
      <x:c r="ED861" s="4"/>
      <x:c r="EE861" s="4"/>
      <x:c r="EF861" s="4"/>
      <x:c r="EG861" s="4"/>
      <x:c r="EH861" s="4"/>
      <x:c r="EI861" s="4"/>
      <x:c r="EJ861" s="4"/>
      <x:c r="EK861" s="4"/>
      <x:c r="EL861" s="4"/>
      <x:c r="EM861" s="4"/>
      <x:c r="EN861" s="4"/>
      <x:c r="EO861" s="4"/>
      <x:c r="EP861" s="4"/>
      <x:c r="EQ861" s="4"/>
      <x:c r="ER861" s="4"/>
      <x:c r="ES861" s="4"/>
      <x:c r="ET861" s="4"/>
      <x:c r="EU861" s="4"/>
      <x:c r="EV861" s="4"/>
      <x:c r="EW861" s="4"/>
      <x:c r="EX861" s="4"/>
      <x:c r="EY861" s="4"/>
      <x:c r="EZ861" s="4"/>
      <x:c r="FA861" s="4"/>
      <x:c r="FB861" s="4"/>
      <x:c r="FC861" s="4"/>
      <x:c r="FD861" s="4"/>
      <x:c r="FE861" s="4"/>
      <x:c r="FF861" s="4"/>
      <x:c r="FG861" s="4"/>
      <x:c r="FH861" s="4"/>
      <x:c r="FI861" s="4"/>
      <x:c r="FJ861" s="4"/>
      <x:c r="FK861" s="4"/>
      <x:c r="FL861" s="4"/>
      <x:c r="FM861" s="4"/>
      <x:c r="FN861" s="4"/>
      <x:c r="FO861" s="4"/>
    </x:row>
    <x:row r="862">
      <x:c r="A862" s="72"/>
      <x:c r="B862" s="72"/>
      <x:c r="C862" s="72"/>
      <x:c r="D862" s="72"/>
      <x:c r="E862" s="72"/>
      <x:c r="F862" s="72"/>
      <x:c r="G862" s="72"/>
      <x:c r="H862" s="72"/>
      <x:c r="I862" s="72"/>
      <x:c r="J862" s="72"/>
      <x:c r="K862" s="72"/>
      <x:c r="L862" s="72"/>
      <x:c r="M862" s="72"/>
      <x:c r="N862" s="72"/>
      <x:c r="O862" s="72"/>
      <x:c r="P862" s="72"/>
      <x:c r="Q862" s="72"/>
      <x:c r="R862" s="72"/>
      <x:c r="S862" s="72"/>
      <x:c r="T862" s="72"/>
      <x:c r="U862" s="72"/>
      <x:c r="V862" s="72"/>
      <x:c r="W862" s="72"/>
      <x:c r="X862" s="72"/>
      <x:c r="Y862" s="72"/>
      <x:c r="Z862" s="72"/>
      <x:c r="AA862" s="72"/>
      <x:c r="AB862" s="72"/>
      <x:c r="AC862" s="72"/>
      <x:c r="AD862" s="72"/>
      <x:c r="AE862" s="72"/>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4"/>
      <x:c r="DQ862" s="4"/>
      <x:c r="DR862" s="4"/>
      <x:c r="DS862" s="4"/>
      <x:c r="DT862" s="4"/>
      <x:c r="DU862" s="4"/>
      <x:c r="DV862" s="4"/>
      <x:c r="DW862" s="4"/>
      <x:c r="DX862" s="4"/>
      <x:c r="DY862" s="4"/>
      <x:c r="DZ862" s="4"/>
      <x:c r="EA862" s="4"/>
      <x:c r="EB862" s="4"/>
      <x:c r="EC862" s="4"/>
      <x:c r="ED862" s="4"/>
      <x:c r="EE862" s="4"/>
      <x:c r="EF862" s="4"/>
      <x:c r="EG862" s="4"/>
      <x:c r="EH862" s="4"/>
      <x:c r="EI862" s="4"/>
      <x:c r="EJ862" s="4"/>
      <x:c r="EK862" s="4"/>
      <x:c r="EL862" s="4"/>
      <x:c r="EM862" s="4"/>
      <x:c r="EN862" s="4"/>
      <x:c r="EO862" s="4"/>
      <x:c r="EP862" s="4"/>
      <x:c r="EQ862" s="4"/>
      <x:c r="ER862" s="4"/>
      <x:c r="ES862" s="4"/>
      <x:c r="ET862" s="4"/>
      <x:c r="EU862" s="4"/>
      <x:c r="EV862" s="4"/>
      <x:c r="EW862" s="4"/>
      <x:c r="EX862" s="4"/>
      <x:c r="EY862" s="4"/>
      <x:c r="EZ862" s="4"/>
      <x:c r="FA862" s="4"/>
      <x:c r="FB862" s="4"/>
      <x:c r="FC862" s="4"/>
      <x:c r="FD862" s="4"/>
      <x:c r="FE862" s="4"/>
      <x:c r="FF862" s="4"/>
      <x:c r="FG862" s="4"/>
      <x:c r="FH862" s="4"/>
      <x:c r="FI862" s="4"/>
      <x:c r="FJ862" s="4"/>
      <x:c r="FK862" s="4"/>
      <x:c r="FL862" s="4"/>
      <x:c r="FM862" s="4"/>
      <x:c r="FN862" s="4"/>
      <x:c r="FO862" s="4"/>
    </x:row>
    <x:row r="863">
      <x:c r="A863" s="72"/>
      <x:c r="B863" s="72"/>
      <x:c r="C863" s="72"/>
      <x:c r="D863" s="72"/>
      <x:c r="E863" s="72"/>
      <x:c r="F863" s="72"/>
      <x:c r="G863" s="72"/>
      <x:c r="H863" s="72"/>
      <x:c r="I863" s="72"/>
      <x:c r="J863" s="72"/>
      <x:c r="K863" s="72"/>
      <x:c r="L863" s="72"/>
      <x:c r="M863" s="72"/>
      <x:c r="N863" s="72"/>
      <x:c r="O863" s="72"/>
      <x:c r="P863" s="72"/>
      <x:c r="Q863" s="72"/>
      <x:c r="R863" s="72"/>
      <x:c r="S863" s="72"/>
      <x:c r="T863" s="72"/>
      <x:c r="U863" s="72"/>
      <x:c r="V863" s="72"/>
      <x:c r="W863" s="72"/>
      <x:c r="X863" s="72"/>
      <x:c r="Y863" s="72"/>
      <x:c r="Z863" s="72"/>
      <x:c r="AA863" s="72"/>
      <x:c r="AB863" s="72"/>
      <x:c r="AC863" s="72"/>
      <x:c r="AD863" s="72"/>
      <x:c r="AE863" s="72"/>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4"/>
      <x:c r="DQ863" s="4"/>
      <x:c r="DR863" s="4"/>
      <x:c r="DS863" s="4"/>
      <x:c r="DT863" s="4"/>
      <x:c r="DU863" s="4"/>
      <x:c r="DV863" s="4"/>
      <x:c r="DW863" s="4"/>
      <x:c r="DX863" s="4"/>
      <x:c r="DY863" s="4"/>
      <x:c r="DZ863" s="4"/>
      <x:c r="EA863" s="4"/>
      <x:c r="EB863" s="4"/>
      <x:c r="EC863" s="4"/>
      <x:c r="ED863" s="4"/>
      <x:c r="EE863" s="4"/>
      <x:c r="EF863" s="4"/>
      <x:c r="EG863" s="4"/>
      <x:c r="EH863" s="4"/>
      <x:c r="EI863" s="4"/>
      <x:c r="EJ863" s="4"/>
      <x:c r="EK863" s="4"/>
      <x:c r="EL863" s="4"/>
      <x:c r="EM863" s="4"/>
      <x:c r="EN863" s="4"/>
      <x:c r="EO863" s="4"/>
      <x:c r="EP863" s="4"/>
      <x:c r="EQ863" s="4"/>
      <x:c r="ER863" s="4"/>
      <x:c r="ES863" s="4"/>
      <x:c r="ET863" s="4"/>
      <x:c r="EU863" s="4"/>
      <x:c r="EV863" s="4"/>
      <x:c r="EW863" s="4"/>
      <x:c r="EX863" s="4"/>
      <x:c r="EY863" s="4"/>
      <x:c r="EZ863" s="4"/>
      <x:c r="FA863" s="4"/>
      <x:c r="FB863" s="4"/>
      <x:c r="FC863" s="4"/>
      <x:c r="FD863" s="4"/>
      <x:c r="FE863" s="4"/>
      <x:c r="FF863" s="4"/>
      <x:c r="FG863" s="4"/>
      <x:c r="FH863" s="4"/>
      <x:c r="FI863" s="4"/>
      <x:c r="FJ863" s="4"/>
      <x:c r="FK863" s="4"/>
      <x:c r="FL863" s="4"/>
      <x:c r="FM863" s="4"/>
      <x:c r="FN863" s="4"/>
      <x:c r="FO863" s="4"/>
    </x:row>
    <x:row r="864">
      <x:c r="A864" s="72"/>
      <x:c r="B864" s="72"/>
      <x:c r="C864" s="72"/>
      <x:c r="D864" s="72"/>
      <x:c r="E864" s="72"/>
      <x:c r="F864" s="72"/>
      <x:c r="G864" s="72"/>
      <x:c r="H864" s="72"/>
      <x:c r="I864" s="72"/>
      <x:c r="J864" s="72"/>
      <x:c r="K864" s="72"/>
      <x:c r="L864" s="72"/>
      <x:c r="M864" s="72"/>
      <x:c r="N864" s="72"/>
      <x:c r="O864" s="72"/>
      <x:c r="P864" s="72"/>
      <x:c r="Q864" s="72"/>
      <x:c r="R864" s="72"/>
      <x:c r="S864" s="72"/>
      <x:c r="T864" s="72"/>
      <x:c r="U864" s="72"/>
      <x:c r="V864" s="72"/>
      <x:c r="W864" s="72"/>
      <x:c r="X864" s="72"/>
      <x:c r="Y864" s="72"/>
      <x:c r="Z864" s="72"/>
      <x:c r="AA864" s="72"/>
      <x:c r="AB864" s="72"/>
      <x:c r="AC864" s="72"/>
      <x:c r="AD864" s="72"/>
      <x:c r="AE864" s="72"/>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4"/>
      <x:c r="DQ864" s="4"/>
      <x:c r="DR864" s="4"/>
      <x:c r="DS864" s="4"/>
      <x:c r="DT864" s="4"/>
      <x:c r="DU864" s="4"/>
      <x:c r="DV864" s="4"/>
      <x:c r="DW864" s="4"/>
      <x:c r="DX864" s="4"/>
      <x:c r="DY864" s="4"/>
      <x:c r="DZ864" s="4"/>
      <x:c r="EA864" s="4"/>
      <x:c r="EB864" s="4"/>
      <x:c r="EC864" s="4"/>
      <x:c r="ED864" s="4"/>
      <x:c r="EE864" s="4"/>
      <x:c r="EF864" s="4"/>
      <x:c r="EG864" s="4"/>
      <x:c r="EH864" s="4"/>
      <x:c r="EI864" s="4"/>
      <x:c r="EJ864" s="4"/>
      <x:c r="EK864" s="4"/>
      <x:c r="EL864" s="4"/>
      <x:c r="EM864" s="4"/>
      <x:c r="EN864" s="4"/>
      <x:c r="EO864" s="4"/>
      <x:c r="EP864" s="4"/>
      <x:c r="EQ864" s="4"/>
      <x:c r="ER864" s="4"/>
      <x:c r="ES864" s="4"/>
      <x:c r="ET864" s="4"/>
      <x:c r="EU864" s="4"/>
      <x:c r="EV864" s="4"/>
      <x:c r="EW864" s="4"/>
      <x:c r="EX864" s="4"/>
      <x:c r="EY864" s="4"/>
      <x:c r="EZ864" s="4"/>
      <x:c r="FA864" s="4"/>
      <x:c r="FB864" s="4"/>
      <x:c r="FC864" s="4"/>
      <x:c r="FD864" s="4"/>
      <x:c r="FE864" s="4"/>
      <x:c r="FF864" s="4"/>
      <x:c r="FG864" s="4"/>
      <x:c r="FH864" s="4"/>
      <x:c r="FI864" s="4"/>
      <x:c r="FJ864" s="4"/>
      <x:c r="FK864" s="4"/>
      <x:c r="FL864" s="4"/>
      <x:c r="FM864" s="4"/>
      <x:c r="FN864" s="4"/>
      <x:c r="FO864" s="4"/>
    </x:row>
    <x:row r="865">
      <x:c r="A865" s="72"/>
      <x:c r="B865" s="72"/>
      <x:c r="C865" s="72"/>
      <x:c r="D865" s="72"/>
      <x:c r="E865" s="72"/>
      <x:c r="F865" s="72"/>
      <x:c r="G865" s="72"/>
      <x:c r="H865" s="72"/>
      <x:c r="I865" s="72"/>
      <x:c r="J865" s="72"/>
      <x:c r="K865" s="72"/>
      <x:c r="L865" s="72"/>
      <x:c r="M865" s="72"/>
      <x:c r="N865" s="72"/>
      <x:c r="O865" s="72"/>
      <x:c r="P865" s="72"/>
      <x:c r="Q865" s="72"/>
      <x:c r="R865" s="72"/>
      <x:c r="S865" s="72"/>
      <x:c r="T865" s="72"/>
      <x:c r="U865" s="72"/>
      <x:c r="V865" s="72"/>
      <x:c r="W865" s="72"/>
      <x:c r="X865" s="72"/>
      <x:c r="Y865" s="72"/>
      <x:c r="Z865" s="72"/>
      <x:c r="AA865" s="72"/>
      <x:c r="AB865" s="72"/>
      <x:c r="AC865" s="72"/>
      <x:c r="AD865" s="72"/>
      <x:c r="AE865" s="72"/>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4"/>
      <x:c r="DQ865" s="4"/>
      <x:c r="DR865" s="4"/>
      <x:c r="DS865" s="4"/>
      <x:c r="DT865" s="4"/>
      <x:c r="DU865" s="4"/>
      <x:c r="DV865" s="4"/>
      <x:c r="DW865" s="4"/>
      <x:c r="DX865" s="4"/>
      <x:c r="DY865" s="4"/>
      <x:c r="DZ865" s="4"/>
      <x:c r="EA865" s="4"/>
      <x:c r="EB865" s="4"/>
      <x:c r="EC865" s="4"/>
      <x:c r="ED865" s="4"/>
      <x:c r="EE865" s="4"/>
      <x:c r="EF865" s="4"/>
      <x:c r="EG865" s="4"/>
      <x:c r="EH865" s="4"/>
      <x:c r="EI865" s="4"/>
      <x:c r="EJ865" s="4"/>
      <x:c r="EK865" s="4"/>
      <x:c r="EL865" s="4"/>
      <x:c r="EM865" s="4"/>
      <x:c r="EN865" s="4"/>
      <x:c r="EO865" s="4"/>
      <x:c r="EP865" s="4"/>
      <x:c r="EQ865" s="4"/>
      <x:c r="ER865" s="4"/>
      <x:c r="ES865" s="4"/>
      <x:c r="ET865" s="4"/>
      <x:c r="EU865" s="4"/>
      <x:c r="EV865" s="4"/>
      <x:c r="EW865" s="4"/>
      <x:c r="EX865" s="4"/>
      <x:c r="EY865" s="4"/>
      <x:c r="EZ865" s="4"/>
      <x:c r="FA865" s="4"/>
      <x:c r="FB865" s="4"/>
      <x:c r="FC865" s="4"/>
      <x:c r="FD865" s="4"/>
      <x:c r="FE865" s="4"/>
      <x:c r="FF865" s="4"/>
      <x:c r="FG865" s="4"/>
      <x:c r="FH865" s="4"/>
      <x:c r="FI865" s="4"/>
      <x:c r="FJ865" s="4"/>
      <x:c r="FK865" s="4"/>
      <x:c r="FL865" s="4"/>
      <x:c r="FM865" s="4"/>
      <x:c r="FN865" s="4"/>
      <x:c r="FO865" s="4"/>
    </x:row>
    <x:row r="866">
      <x:c r="A866" s="72"/>
      <x:c r="B866" s="72"/>
      <x:c r="C866" s="72"/>
      <x:c r="D866" s="72"/>
      <x:c r="E866" s="72"/>
      <x:c r="F866" s="72"/>
      <x:c r="G866" s="72"/>
      <x:c r="H866" s="72"/>
      <x:c r="I866" s="72"/>
      <x:c r="J866" s="72"/>
      <x:c r="K866" s="72"/>
      <x:c r="L866" s="72"/>
      <x:c r="M866" s="72"/>
      <x:c r="N866" s="72"/>
      <x:c r="O866" s="72"/>
      <x:c r="P866" s="72"/>
      <x:c r="Q866" s="72"/>
      <x:c r="R866" s="72"/>
      <x:c r="S866" s="72"/>
      <x:c r="T866" s="72"/>
      <x:c r="U866" s="72"/>
      <x:c r="V866" s="72"/>
      <x:c r="W866" s="72"/>
      <x:c r="X866" s="72"/>
      <x:c r="Y866" s="72"/>
      <x:c r="Z866" s="72"/>
      <x:c r="AA866" s="72"/>
      <x:c r="AB866" s="72"/>
      <x:c r="AC866" s="72"/>
      <x:c r="AD866" s="72"/>
      <x:c r="AE866" s="72"/>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4"/>
      <x:c r="DQ866" s="4"/>
      <x:c r="DR866" s="4"/>
      <x:c r="DS866" s="4"/>
      <x:c r="DT866" s="4"/>
      <x:c r="DU866" s="4"/>
      <x:c r="DV866" s="4"/>
      <x:c r="DW866" s="4"/>
      <x:c r="DX866" s="4"/>
      <x:c r="DY866" s="4"/>
      <x:c r="DZ866" s="4"/>
      <x:c r="EA866" s="4"/>
      <x:c r="EB866" s="4"/>
      <x:c r="EC866" s="4"/>
      <x:c r="ED866" s="4"/>
      <x:c r="EE866" s="4"/>
      <x:c r="EF866" s="4"/>
      <x:c r="EG866" s="4"/>
      <x:c r="EH866" s="4"/>
      <x:c r="EI866" s="4"/>
      <x:c r="EJ866" s="4"/>
      <x:c r="EK866" s="4"/>
      <x:c r="EL866" s="4"/>
      <x:c r="EM866" s="4"/>
      <x:c r="EN866" s="4"/>
      <x:c r="EO866" s="4"/>
      <x:c r="EP866" s="4"/>
      <x:c r="EQ866" s="4"/>
      <x:c r="ER866" s="4"/>
      <x:c r="ES866" s="4"/>
      <x:c r="ET866" s="4"/>
      <x:c r="EU866" s="4"/>
      <x:c r="EV866" s="4"/>
      <x:c r="EW866" s="4"/>
      <x:c r="EX866" s="4"/>
      <x:c r="EY866" s="4"/>
      <x:c r="EZ866" s="4"/>
      <x:c r="FA866" s="4"/>
      <x:c r="FB866" s="4"/>
      <x:c r="FC866" s="4"/>
      <x:c r="FD866" s="4"/>
      <x:c r="FE866" s="4"/>
      <x:c r="FF866" s="4"/>
      <x:c r="FG866" s="4"/>
      <x:c r="FH866" s="4"/>
      <x:c r="FI866" s="4"/>
      <x:c r="FJ866" s="4"/>
      <x:c r="FK866" s="4"/>
      <x:c r="FL866" s="4"/>
      <x:c r="FM866" s="4"/>
      <x:c r="FN866" s="4"/>
      <x:c r="FO866" s="4"/>
    </x:row>
    <x:row r="867">
      <x:c r="A867" s="72"/>
      <x:c r="B867" s="72"/>
      <x:c r="C867" s="72"/>
      <x:c r="D867" s="72"/>
      <x:c r="E867" s="72"/>
      <x:c r="F867" s="72"/>
      <x:c r="G867" s="72"/>
      <x:c r="H867" s="72"/>
      <x:c r="I867" s="72"/>
      <x:c r="J867" s="72"/>
      <x:c r="K867" s="72"/>
      <x:c r="L867" s="72"/>
      <x:c r="M867" s="72"/>
      <x:c r="N867" s="72"/>
      <x:c r="O867" s="72"/>
      <x:c r="P867" s="72"/>
      <x:c r="Q867" s="72"/>
      <x:c r="R867" s="72"/>
      <x:c r="S867" s="72"/>
      <x:c r="T867" s="72"/>
      <x:c r="U867" s="72"/>
      <x:c r="V867" s="72"/>
      <x:c r="W867" s="72"/>
      <x:c r="X867" s="72"/>
      <x:c r="Y867" s="72"/>
      <x:c r="Z867" s="72"/>
      <x:c r="AA867" s="72"/>
      <x:c r="AB867" s="72"/>
      <x:c r="AC867" s="72"/>
      <x:c r="AD867" s="72"/>
      <x:c r="AE867" s="72"/>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4"/>
      <x:c r="DQ867" s="4"/>
      <x:c r="DR867" s="4"/>
      <x:c r="DS867" s="4"/>
      <x:c r="DT867" s="4"/>
      <x:c r="DU867" s="4"/>
      <x:c r="DV867" s="4"/>
      <x:c r="DW867" s="4"/>
      <x:c r="DX867" s="4"/>
      <x:c r="DY867" s="4"/>
      <x:c r="DZ867" s="4"/>
      <x:c r="EA867" s="4"/>
      <x:c r="EB867" s="4"/>
      <x:c r="EC867" s="4"/>
      <x:c r="ED867" s="4"/>
      <x:c r="EE867" s="4"/>
      <x:c r="EF867" s="4"/>
      <x:c r="EG867" s="4"/>
      <x:c r="EH867" s="4"/>
      <x:c r="EI867" s="4"/>
      <x:c r="EJ867" s="4"/>
      <x:c r="EK867" s="4"/>
      <x:c r="EL867" s="4"/>
      <x:c r="EM867" s="4"/>
      <x:c r="EN867" s="4"/>
      <x:c r="EO867" s="4"/>
      <x:c r="EP867" s="4"/>
      <x:c r="EQ867" s="4"/>
      <x:c r="ER867" s="4"/>
      <x:c r="ES867" s="4"/>
      <x:c r="ET867" s="4"/>
      <x:c r="EU867" s="4"/>
      <x:c r="EV867" s="4"/>
      <x:c r="EW867" s="4"/>
      <x:c r="EX867" s="4"/>
      <x:c r="EY867" s="4"/>
      <x:c r="EZ867" s="4"/>
      <x:c r="FA867" s="4"/>
      <x:c r="FB867" s="4"/>
      <x:c r="FC867" s="4"/>
      <x:c r="FD867" s="4"/>
      <x:c r="FE867" s="4"/>
      <x:c r="FF867" s="4"/>
      <x:c r="FG867" s="4"/>
      <x:c r="FH867" s="4"/>
      <x:c r="FI867" s="4"/>
      <x:c r="FJ867" s="4"/>
      <x:c r="FK867" s="4"/>
      <x:c r="FL867" s="4"/>
      <x:c r="FM867" s="4"/>
      <x:c r="FN867" s="4"/>
      <x:c r="FO867" s="4"/>
    </x:row>
    <x:row r="868">
      <x:c r="A868" s="72"/>
      <x:c r="B868" s="72"/>
      <x:c r="C868" s="72"/>
      <x:c r="D868" s="72"/>
      <x:c r="E868" s="72"/>
      <x:c r="F868" s="72"/>
      <x:c r="G868" s="72"/>
      <x:c r="H868" s="72"/>
      <x:c r="I868" s="72"/>
      <x:c r="J868" s="72"/>
      <x:c r="K868" s="72"/>
      <x:c r="L868" s="72"/>
      <x:c r="M868" s="72"/>
      <x:c r="N868" s="72"/>
      <x:c r="O868" s="72"/>
      <x:c r="P868" s="72"/>
      <x:c r="Q868" s="72"/>
      <x:c r="R868" s="72"/>
      <x:c r="S868" s="72"/>
      <x:c r="T868" s="72"/>
      <x:c r="U868" s="72"/>
      <x:c r="V868" s="72"/>
      <x:c r="W868" s="72"/>
      <x:c r="X868" s="72"/>
      <x:c r="Y868" s="72"/>
      <x:c r="Z868" s="72"/>
      <x:c r="AA868" s="72"/>
      <x:c r="AB868" s="72"/>
      <x:c r="AC868" s="72"/>
      <x:c r="AD868" s="72"/>
      <x:c r="AE868" s="72"/>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4"/>
      <x:c r="DQ868" s="4"/>
      <x:c r="DR868" s="4"/>
      <x:c r="DS868" s="4"/>
      <x:c r="DT868" s="4"/>
      <x:c r="DU868" s="4"/>
      <x:c r="DV868" s="4"/>
      <x:c r="DW868" s="4"/>
      <x:c r="DX868" s="4"/>
      <x:c r="DY868" s="4"/>
      <x:c r="DZ868" s="4"/>
      <x:c r="EA868" s="4"/>
      <x:c r="EB868" s="4"/>
      <x:c r="EC868" s="4"/>
      <x:c r="ED868" s="4"/>
      <x:c r="EE868" s="4"/>
      <x:c r="EF868" s="4"/>
      <x:c r="EG868" s="4"/>
      <x:c r="EH868" s="4"/>
      <x:c r="EI868" s="4"/>
      <x:c r="EJ868" s="4"/>
      <x:c r="EK868" s="4"/>
      <x:c r="EL868" s="4"/>
      <x:c r="EM868" s="4"/>
      <x:c r="EN868" s="4"/>
      <x:c r="EO868" s="4"/>
      <x:c r="EP868" s="4"/>
      <x:c r="EQ868" s="4"/>
      <x:c r="ER868" s="4"/>
      <x:c r="ES868" s="4"/>
      <x:c r="ET868" s="4"/>
      <x:c r="EU868" s="4"/>
      <x:c r="EV868" s="4"/>
      <x:c r="EW868" s="4"/>
      <x:c r="EX868" s="4"/>
      <x:c r="EY868" s="4"/>
      <x:c r="EZ868" s="4"/>
      <x:c r="FA868" s="4"/>
      <x:c r="FB868" s="4"/>
      <x:c r="FC868" s="4"/>
      <x:c r="FD868" s="4"/>
      <x:c r="FE868" s="4"/>
      <x:c r="FF868" s="4"/>
      <x:c r="FG868" s="4"/>
      <x:c r="FH868" s="4"/>
      <x:c r="FI868" s="4"/>
      <x:c r="FJ868" s="4"/>
      <x:c r="FK868" s="4"/>
      <x:c r="FL868" s="4"/>
      <x:c r="FM868" s="4"/>
      <x:c r="FN868" s="4"/>
      <x:c r="FO868" s="4"/>
    </x:row>
    <x:row r="869">
      <x:c r="A869" s="72"/>
      <x:c r="B869" s="72"/>
      <x:c r="C869" s="72"/>
      <x:c r="D869" s="72"/>
      <x:c r="E869" s="72"/>
      <x:c r="F869" s="72"/>
      <x:c r="G869" s="72"/>
      <x:c r="H869" s="72"/>
      <x:c r="I869" s="72"/>
      <x:c r="J869" s="72"/>
      <x:c r="K869" s="72"/>
      <x:c r="L869" s="72"/>
      <x:c r="M869" s="72"/>
      <x:c r="N869" s="72"/>
      <x:c r="O869" s="72"/>
      <x:c r="P869" s="72"/>
      <x:c r="Q869" s="72"/>
      <x:c r="R869" s="72"/>
      <x:c r="S869" s="72"/>
      <x:c r="T869" s="72"/>
      <x:c r="U869" s="72"/>
      <x:c r="V869" s="72"/>
      <x:c r="W869" s="72"/>
      <x:c r="X869" s="72"/>
      <x:c r="Y869" s="72"/>
      <x:c r="Z869" s="72"/>
      <x:c r="AA869" s="72"/>
      <x:c r="AB869" s="72"/>
      <x:c r="AC869" s="72"/>
      <x:c r="AD869" s="72"/>
      <x:c r="AE869" s="72"/>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4"/>
      <x:c r="DQ869" s="4"/>
      <x:c r="DR869" s="4"/>
      <x:c r="DS869" s="4"/>
      <x:c r="DT869" s="4"/>
      <x:c r="DU869" s="4"/>
      <x:c r="DV869" s="4"/>
      <x:c r="DW869" s="4"/>
      <x:c r="DX869" s="4"/>
      <x:c r="DY869" s="4"/>
      <x:c r="DZ869" s="4"/>
      <x:c r="EA869" s="4"/>
      <x:c r="EB869" s="4"/>
      <x:c r="EC869" s="4"/>
      <x:c r="ED869" s="4"/>
      <x:c r="EE869" s="4"/>
      <x:c r="EF869" s="4"/>
      <x:c r="EG869" s="4"/>
      <x:c r="EH869" s="4"/>
      <x:c r="EI869" s="4"/>
      <x:c r="EJ869" s="4"/>
      <x:c r="EK869" s="4"/>
      <x:c r="EL869" s="4"/>
      <x:c r="EM869" s="4"/>
      <x:c r="EN869" s="4"/>
      <x:c r="EO869" s="4"/>
      <x:c r="EP869" s="4"/>
      <x:c r="EQ869" s="4"/>
      <x:c r="ER869" s="4"/>
      <x:c r="ES869" s="4"/>
      <x:c r="ET869" s="4"/>
      <x:c r="EU869" s="4"/>
      <x:c r="EV869" s="4"/>
      <x:c r="EW869" s="4"/>
      <x:c r="EX869" s="4"/>
      <x:c r="EY869" s="4"/>
      <x:c r="EZ869" s="4"/>
      <x:c r="FA869" s="4"/>
      <x:c r="FB869" s="4"/>
      <x:c r="FC869" s="4"/>
      <x:c r="FD869" s="4"/>
      <x:c r="FE869" s="4"/>
      <x:c r="FF869" s="4"/>
      <x:c r="FG869" s="4"/>
      <x:c r="FH869" s="4"/>
      <x:c r="FI869" s="4"/>
      <x:c r="FJ869" s="4"/>
      <x:c r="FK869" s="4"/>
      <x:c r="FL869" s="4"/>
      <x:c r="FM869" s="4"/>
      <x:c r="FN869" s="4"/>
      <x:c r="FO869" s="4"/>
    </x:row>
    <x:row r="870">
      <x:c r="A870" s="72"/>
      <x:c r="B870" s="72"/>
      <x:c r="C870" s="72"/>
      <x:c r="D870" s="72"/>
      <x:c r="E870" s="72"/>
      <x:c r="F870" s="72"/>
      <x:c r="G870" s="72"/>
      <x:c r="H870" s="72"/>
      <x:c r="I870" s="72"/>
      <x:c r="J870" s="72"/>
      <x:c r="K870" s="72"/>
      <x:c r="L870" s="72"/>
      <x:c r="M870" s="72"/>
      <x:c r="N870" s="72"/>
      <x:c r="O870" s="72"/>
      <x:c r="P870" s="72"/>
      <x:c r="Q870" s="72"/>
      <x:c r="R870" s="72"/>
      <x:c r="S870" s="72"/>
      <x:c r="T870" s="72"/>
      <x:c r="U870" s="72"/>
      <x:c r="V870" s="72"/>
      <x:c r="W870" s="72"/>
      <x:c r="X870" s="72"/>
      <x:c r="Y870" s="72"/>
      <x:c r="Z870" s="72"/>
      <x:c r="AA870" s="72"/>
      <x:c r="AB870" s="72"/>
      <x:c r="AC870" s="72"/>
      <x:c r="AD870" s="72"/>
      <x:c r="AE870" s="72"/>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4"/>
      <x:c r="DQ870" s="4"/>
      <x:c r="DR870" s="4"/>
      <x:c r="DS870" s="4"/>
      <x:c r="DT870" s="4"/>
      <x:c r="DU870" s="4"/>
      <x:c r="DV870" s="4"/>
      <x:c r="DW870" s="4"/>
      <x:c r="DX870" s="4"/>
      <x:c r="DY870" s="4"/>
      <x:c r="DZ870" s="4"/>
      <x:c r="EA870" s="4"/>
      <x:c r="EB870" s="4"/>
      <x:c r="EC870" s="4"/>
      <x:c r="ED870" s="4"/>
      <x:c r="EE870" s="4"/>
      <x:c r="EF870" s="4"/>
      <x:c r="EG870" s="4"/>
      <x:c r="EH870" s="4"/>
      <x:c r="EI870" s="4"/>
      <x:c r="EJ870" s="4"/>
      <x:c r="EK870" s="4"/>
      <x:c r="EL870" s="4"/>
      <x:c r="EM870" s="4"/>
      <x:c r="EN870" s="4"/>
      <x:c r="EO870" s="4"/>
      <x:c r="EP870" s="4"/>
      <x:c r="EQ870" s="4"/>
      <x:c r="ER870" s="4"/>
      <x:c r="ES870" s="4"/>
      <x:c r="ET870" s="4"/>
      <x:c r="EU870" s="4"/>
      <x:c r="EV870" s="4"/>
      <x:c r="EW870" s="4"/>
      <x:c r="EX870" s="4"/>
      <x:c r="EY870" s="4"/>
      <x:c r="EZ870" s="4"/>
      <x:c r="FA870" s="4"/>
      <x:c r="FB870" s="4"/>
      <x:c r="FC870" s="4"/>
      <x:c r="FD870" s="4"/>
      <x:c r="FE870" s="4"/>
      <x:c r="FF870" s="4"/>
      <x:c r="FG870" s="4"/>
      <x:c r="FH870" s="4"/>
      <x:c r="FI870" s="4"/>
      <x:c r="FJ870" s="4"/>
      <x:c r="FK870" s="4"/>
      <x:c r="FL870" s="4"/>
      <x:c r="FM870" s="4"/>
      <x:c r="FN870" s="4"/>
      <x:c r="FO870" s="4"/>
    </x:row>
    <x:row r="871">
      <x:c r="A871" s="72"/>
      <x:c r="B871" s="72"/>
      <x:c r="C871" s="72"/>
      <x:c r="D871" s="72"/>
      <x:c r="E871" s="72"/>
      <x:c r="F871" s="72"/>
      <x:c r="G871" s="72"/>
      <x:c r="H871" s="72"/>
      <x:c r="I871" s="72"/>
      <x:c r="J871" s="72"/>
      <x:c r="K871" s="72"/>
      <x:c r="L871" s="72"/>
      <x:c r="M871" s="72"/>
      <x:c r="N871" s="72"/>
      <x:c r="O871" s="72"/>
      <x:c r="P871" s="72"/>
      <x:c r="Q871" s="72"/>
      <x:c r="R871" s="72"/>
      <x:c r="S871" s="72"/>
      <x:c r="T871" s="72"/>
      <x:c r="U871" s="72"/>
      <x:c r="V871" s="72"/>
      <x:c r="W871" s="72"/>
      <x:c r="X871" s="72"/>
      <x:c r="Y871" s="72"/>
      <x:c r="Z871" s="72"/>
      <x:c r="AA871" s="72"/>
      <x:c r="AB871" s="72"/>
      <x:c r="AC871" s="72"/>
      <x:c r="AD871" s="72"/>
      <x:c r="AE871" s="72"/>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4"/>
      <x:c r="DQ871" s="4"/>
      <x:c r="DR871" s="4"/>
      <x:c r="DS871" s="4"/>
      <x:c r="DT871" s="4"/>
      <x:c r="DU871" s="4"/>
      <x:c r="DV871" s="4"/>
      <x:c r="DW871" s="4"/>
      <x:c r="DX871" s="4"/>
      <x:c r="DY871" s="4"/>
      <x:c r="DZ871" s="4"/>
      <x:c r="EA871" s="4"/>
      <x:c r="EB871" s="4"/>
      <x:c r="EC871" s="4"/>
      <x:c r="ED871" s="4"/>
      <x:c r="EE871" s="4"/>
      <x:c r="EF871" s="4"/>
      <x:c r="EG871" s="4"/>
      <x:c r="EH871" s="4"/>
      <x:c r="EI871" s="4"/>
      <x:c r="EJ871" s="4"/>
      <x:c r="EK871" s="4"/>
      <x:c r="EL871" s="4"/>
      <x:c r="EM871" s="4"/>
      <x:c r="EN871" s="4"/>
      <x:c r="EO871" s="4"/>
      <x:c r="EP871" s="4"/>
      <x:c r="EQ871" s="4"/>
      <x:c r="ER871" s="4"/>
      <x:c r="ES871" s="4"/>
      <x:c r="ET871" s="4"/>
      <x:c r="EU871" s="4"/>
      <x:c r="EV871" s="4"/>
      <x:c r="EW871" s="4"/>
      <x:c r="EX871" s="4"/>
      <x:c r="EY871" s="4"/>
      <x:c r="EZ871" s="4"/>
      <x:c r="FA871" s="4"/>
      <x:c r="FB871" s="4"/>
      <x:c r="FC871" s="4"/>
      <x:c r="FD871" s="4"/>
      <x:c r="FE871" s="4"/>
      <x:c r="FF871" s="4"/>
      <x:c r="FG871" s="4"/>
      <x:c r="FH871" s="4"/>
      <x:c r="FI871" s="4"/>
      <x:c r="FJ871" s="4"/>
      <x:c r="FK871" s="4"/>
      <x:c r="FL871" s="4"/>
      <x:c r="FM871" s="4"/>
      <x:c r="FN871" s="4"/>
      <x:c r="FO871" s="4"/>
    </x:row>
    <x:row r="872">
      <x:c r="A872" s="72"/>
      <x:c r="B872" s="72"/>
      <x:c r="C872" s="72"/>
      <x:c r="D872" s="72"/>
      <x:c r="E872" s="72"/>
      <x:c r="F872" s="72"/>
      <x:c r="G872" s="72"/>
      <x:c r="H872" s="72"/>
      <x:c r="I872" s="72"/>
      <x:c r="J872" s="72"/>
      <x:c r="K872" s="72"/>
      <x:c r="L872" s="72"/>
      <x:c r="M872" s="72"/>
      <x:c r="N872" s="72"/>
      <x:c r="O872" s="72"/>
      <x:c r="P872" s="72"/>
      <x:c r="Q872" s="72"/>
      <x:c r="R872" s="72"/>
      <x:c r="S872" s="72"/>
      <x:c r="T872" s="72"/>
      <x:c r="U872" s="72"/>
      <x:c r="V872" s="72"/>
      <x:c r="W872" s="72"/>
      <x:c r="X872" s="72"/>
      <x:c r="Y872" s="72"/>
      <x:c r="Z872" s="72"/>
      <x:c r="AA872" s="72"/>
      <x:c r="AB872" s="72"/>
      <x:c r="AC872" s="72"/>
      <x:c r="AD872" s="72"/>
      <x:c r="AE872" s="72"/>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4"/>
      <x:c r="DQ872" s="4"/>
      <x:c r="DR872" s="4"/>
      <x:c r="DS872" s="4"/>
      <x:c r="DT872" s="4"/>
      <x:c r="DU872" s="4"/>
      <x:c r="DV872" s="4"/>
      <x:c r="DW872" s="4"/>
      <x:c r="DX872" s="4"/>
      <x:c r="DY872" s="4"/>
      <x:c r="DZ872" s="4"/>
      <x:c r="EA872" s="4"/>
      <x:c r="EB872" s="4"/>
      <x:c r="EC872" s="4"/>
      <x:c r="ED872" s="4"/>
      <x:c r="EE872" s="4"/>
      <x:c r="EF872" s="4"/>
      <x:c r="EG872" s="4"/>
      <x:c r="EH872" s="4"/>
      <x:c r="EI872" s="4"/>
      <x:c r="EJ872" s="4"/>
      <x:c r="EK872" s="4"/>
      <x:c r="EL872" s="4"/>
      <x:c r="EM872" s="4"/>
      <x:c r="EN872" s="4"/>
      <x:c r="EO872" s="4"/>
      <x:c r="EP872" s="4"/>
      <x:c r="EQ872" s="4"/>
      <x:c r="ER872" s="4"/>
      <x:c r="ES872" s="4"/>
      <x:c r="ET872" s="4"/>
      <x:c r="EU872" s="4"/>
      <x:c r="EV872" s="4"/>
      <x:c r="EW872" s="4"/>
      <x:c r="EX872" s="4"/>
      <x:c r="EY872" s="4"/>
      <x:c r="EZ872" s="4"/>
      <x:c r="FA872" s="4"/>
      <x:c r="FB872" s="4"/>
      <x:c r="FC872" s="4"/>
      <x:c r="FD872" s="4"/>
      <x:c r="FE872" s="4"/>
      <x:c r="FF872" s="4"/>
      <x:c r="FG872" s="4"/>
      <x:c r="FH872" s="4"/>
      <x:c r="FI872" s="4"/>
      <x:c r="FJ872" s="4"/>
      <x:c r="FK872" s="4"/>
      <x:c r="FL872" s="4"/>
      <x:c r="FM872" s="4"/>
      <x:c r="FN872" s="4"/>
      <x:c r="FO872" s="4"/>
    </x:row>
    <x:row r="873">
      <x:c r="A873" s="72"/>
      <x:c r="B873" s="72"/>
      <x:c r="C873" s="72"/>
      <x:c r="D873" s="72"/>
      <x:c r="E873" s="72"/>
      <x:c r="F873" s="72"/>
      <x:c r="G873" s="72"/>
      <x:c r="H873" s="72"/>
      <x:c r="I873" s="72"/>
      <x:c r="J873" s="72"/>
      <x:c r="K873" s="72"/>
      <x:c r="L873" s="72"/>
      <x:c r="M873" s="72"/>
      <x:c r="N873" s="72"/>
      <x:c r="O873" s="72"/>
      <x:c r="P873" s="72"/>
      <x:c r="Q873" s="72"/>
      <x:c r="R873" s="72"/>
      <x:c r="S873" s="72"/>
      <x:c r="T873" s="72"/>
      <x:c r="U873" s="72"/>
      <x:c r="V873" s="72"/>
      <x:c r="W873" s="72"/>
      <x:c r="X873" s="72"/>
      <x:c r="Y873" s="72"/>
      <x:c r="Z873" s="72"/>
      <x:c r="AA873" s="72"/>
      <x:c r="AB873" s="72"/>
      <x:c r="AC873" s="72"/>
      <x:c r="AD873" s="72"/>
      <x:c r="AE873" s="72"/>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4"/>
      <x:c r="DQ873" s="4"/>
      <x:c r="DR873" s="4"/>
      <x:c r="DS873" s="4"/>
      <x:c r="DT873" s="4"/>
      <x:c r="DU873" s="4"/>
      <x:c r="DV873" s="4"/>
      <x:c r="DW873" s="4"/>
      <x:c r="DX873" s="4"/>
      <x:c r="DY873" s="4"/>
      <x:c r="DZ873" s="4"/>
      <x:c r="EA873" s="4"/>
      <x:c r="EB873" s="4"/>
      <x:c r="EC873" s="4"/>
      <x:c r="ED873" s="4"/>
      <x:c r="EE873" s="4"/>
      <x:c r="EF873" s="4"/>
      <x:c r="EG873" s="4"/>
      <x:c r="EH873" s="4"/>
      <x:c r="EI873" s="4"/>
      <x:c r="EJ873" s="4"/>
      <x:c r="EK873" s="4"/>
      <x:c r="EL873" s="4"/>
      <x:c r="EM873" s="4"/>
      <x:c r="EN873" s="4"/>
      <x:c r="EO873" s="4"/>
      <x:c r="EP873" s="4"/>
      <x:c r="EQ873" s="4"/>
      <x:c r="ER873" s="4"/>
      <x:c r="ES873" s="4"/>
      <x:c r="ET873" s="4"/>
      <x:c r="EU873" s="4"/>
      <x:c r="EV873" s="4"/>
      <x:c r="EW873" s="4"/>
      <x:c r="EX873" s="4"/>
      <x:c r="EY873" s="4"/>
      <x:c r="EZ873" s="4"/>
      <x:c r="FA873" s="4"/>
      <x:c r="FB873" s="4"/>
      <x:c r="FC873" s="4"/>
      <x:c r="FD873" s="4"/>
      <x:c r="FE873" s="4"/>
      <x:c r="FF873" s="4"/>
      <x:c r="FG873" s="4"/>
      <x:c r="FH873" s="4"/>
      <x:c r="FI873" s="4"/>
      <x:c r="FJ873" s="4"/>
      <x:c r="FK873" s="4"/>
      <x:c r="FL873" s="4"/>
      <x:c r="FM873" s="4"/>
      <x:c r="FN873" s="4"/>
      <x:c r="FO873" s="4"/>
    </x:row>
    <x:row r="874">
      <x:c r="A874" s="72"/>
      <x:c r="B874" s="72"/>
      <x:c r="C874" s="72"/>
      <x:c r="D874" s="72"/>
      <x:c r="E874" s="72"/>
      <x:c r="F874" s="72"/>
      <x:c r="G874" s="72"/>
      <x:c r="H874" s="72"/>
      <x:c r="I874" s="72"/>
      <x:c r="J874" s="72"/>
      <x:c r="K874" s="72"/>
      <x:c r="L874" s="72"/>
      <x:c r="M874" s="72"/>
      <x:c r="N874" s="72"/>
      <x:c r="O874" s="72"/>
      <x:c r="P874" s="72"/>
      <x:c r="Q874" s="72"/>
      <x:c r="R874" s="72"/>
      <x:c r="S874" s="72"/>
      <x:c r="T874" s="72"/>
      <x:c r="U874" s="72"/>
      <x:c r="V874" s="72"/>
      <x:c r="W874" s="72"/>
      <x:c r="X874" s="72"/>
      <x:c r="Y874" s="72"/>
      <x:c r="Z874" s="72"/>
      <x:c r="AA874" s="72"/>
      <x:c r="AB874" s="72"/>
      <x:c r="AC874" s="72"/>
      <x:c r="AD874" s="72"/>
      <x:c r="AE874" s="72"/>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4"/>
      <x:c r="DQ874" s="4"/>
      <x:c r="DR874" s="4"/>
      <x:c r="DS874" s="4"/>
      <x:c r="DT874" s="4"/>
      <x:c r="DU874" s="4"/>
      <x:c r="DV874" s="4"/>
      <x:c r="DW874" s="4"/>
      <x:c r="DX874" s="4"/>
      <x:c r="DY874" s="4"/>
      <x:c r="DZ874" s="4"/>
      <x:c r="EA874" s="4"/>
      <x:c r="EB874" s="4"/>
      <x:c r="EC874" s="4"/>
      <x:c r="ED874" s="4"/>
      <x:c r="EE874" s="4"/>
      <x:c r="EF874" s="4"/>
      <x:c r="EG874" s="4"/>
      <x:c r="EH874" s="4"/>
      <x:c r="EI874" s="4"/>
      <x:c r="EJ874" s="4"/>
      <x:c r="EK874" s="4"/>
      <x:c r="EL874" s="4"/>
      <x:c r="EM874" s="4"/>
      <x:c r="EN874" s="4"/>
      <x:c r="EO874" s="4"/>
      <x:c r="EP874" s="4"/>
      <x:c r="EQ874" s="4"/>
      <x:c r="ER874" s="4"/>
      <x:c r="ES874" s="4"/>
      <x:c r="ET874" s="4"/>
      <x:c r="EU874" s="4"/>
      <x:c r="EV874" s="4"/>
      <x:c r="EW874" s="4"/>
      <x:c r="EX874" s="4"/>
      <x:c r="EY874" s="4"/>
      <x:c r="EZ874" s="4"/>
      <x:c r="FA874" s="4"/>
      <x:c r="FB874" s="4"/>
      <x:c r="FC874" s="4"/>
      <x:c r="FD874" s="4"/>
      <x:c r="FE874" s="4"/>
      <x:c r="FF874" s="4"/>
      <x:c r="FG874" s="4"/>
      <x:c r="FH874" s="4"/>
      <x:c r="FI874" s="4"/>
      <x:c r="FJ874" s="4"/>
      <x:c r="FK874" s="4"/>
      <x:c r="FL874" s="4"/>
      <x:c r="FM874" s="4"/>
      <x:c r="FN874" s="4"/>
      <x:c r="FO874" s="4"/>
    </x:row>
    <x:row r="875">
      <x:c r="A875" s="72"/>
      <x:c r="B875" s="72"/>
      <x:c r="C875" s="72"/>
      <x:c r="D875" s="72"/>
      <x:c r="E875" s="72"/>
      <x:c r="F875" s="72"/>
      <x:c r="G875" s="72"/>
      <x:c r="H875" s="72"/>
      <x:c r="I875" s="72"/>
      <x:c r="J875" s="72"/>
      <x:c r="K875" s="72"/>
      <x:c r="L875" s="72"/>
      <x:c r="M875" s="72"/>
      <x:c r="N875" s="72"/>
      <x:c r="O875" s="72"/>
      <x:c r="P875" s="72"/>
      <x:c r="Q875" s="72"/>
      <x:c r="R875" s="72"/>
      <x:c r="S875" s="72"/>
      <x:c r="T875" s="72"/>
      <x:c r="U875" s="72"/>
      <x:c r="V875" s="72"/>
      <x:c r="W875" s="72"/>
      <x:c r="X875" s="72"/>
      <x:c r="Y875" s="72"/>
      <x:c r="Z875" s="72"/>
      <x:c r="AA875" s="72"/>
      <x:c r="AB875" s="72"/>
      <x:c r="AC875" s="72"/>
      <x:c r="AD875" s="72"/>
      <x:c r="AE875" s="72"/>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4"/>
      <x:c r="DQ875" s="4"/>
      <x:c r="DR875" s="4"/>
      <x:c r="DS875" s="4"/>
      <x:c r="DT875" s="4"/>
      <x:c r="DU875" s="4"/>
      <x:c r="DV875" s="4"/>
      <x:c r="DW875" s="4"/>
      <x:c r="DX875" s="4"/>
      <x:c r="DY875" s="4"/>
      <x:c r="DZ875" s="4"/>
      <x:c r="EA875" s="4"/>
      <x:c r="EB875" s="4"/>
      <x:c r="EC875" s="4"/>
      <x:c r="ED875" s="4"/>
      <x:c r="EE875" s="4"/>
      <x:c r="EF875" s="4"/>
      <x:c r="EG875" s="4"/>
      <x:c r="EH875" s="4"/>
      <x:c r="EI875" s="4"/>
      <x:c r="EJ875" s="4"/>
      <x:c r="EK875" s="4"/>
      <x:c r="EL875" s="4"/>
      <x:c r="EM875" s="4"/>
      <x:c r="EN875" s="4"/>
      <x:c r="EO875" s="4"/>
      <x:c r="EP875" s="4"/>
      <x:c r="EQ875" s="4"/>
      <x:c r="ER875" s="4"/>
      <x:c r="ES875" s="4"/>
      <x:c r="ET875" s="4"/>
      <x:c r="EU875" s="4"/>
      <x:c r="EV875" s="4"/>
      <x:c r="EW875" s="4"/>
      <x:c r="EX875" s="4"/>
      <x:c r="EY875" s="4"/>
      <x:c r="EZ875" s="4"/>
      <x:c r="FA875" s="4"/>
      <x:c r="FB875" s="4"/>
      <x:c r="FC875" s="4"/>
      <x:c r="FD875" s="4"/>
      <x:c r="FE875" s="4"/>
      <x:c r="FF875" s="4"/>
      <x:c r="FG875" s="4"/>
      <x:c r="FH875" s="4"/>
      <x:c r="FI875" s="4"/>
      <x:c r="FJ875" s="4"/>
      <x:c r="FK875" s="4"/>
      <x:c r="FL875" s="4"/>
      <x:c r="FM875" s="4"/>
      <x:c r="FN875" s="4"/>
      <x:c r="FO875" s="4"/>
    </x:row>
    <x:row r="876">
      <x:c r="A876" s="72"/>
      <x:c r="B876" s="72"/>
      <x:c r="C876" s="72"/>
      <x:c r="D876" s="72"/>
      <x:c r="E876" s="72"/>
      <x:c r="F876" s="72"/>
      <x:c r="G876" s="72"/>
      <x:c r="H876" s="72"/>
      <x:c r="I876" s="72"/>
      <x:c r="J876" s="72"/>
      <x:c r="K876" s="72"/>
      <x:c r="L876" s="72"/>
      <x:c r="M876" s="72"/>
      <x:c r="N876" s="72"/>
      <x:c r="O876" s="72"/>
      <x:c r="P876" s="72"/>
      <x:c r="Q876" s="72"/>
      <x:c r="R876" s="72"/>
      <x:c r="S876" s="72"/>
      <x:c r="T876" s="72"/>
      <x:c r="U876" s="72"/>
      <x:c r="V876" s="72"/>
      <x:c r="W876" s="72"/>
      <x:c r="X876" s="72"/>
      <x:c r="Y876" s="72"/>
      <x:c r="Z876" s="72"/>
      <x:c r="AA876" s="72"/>
      <x:c r="AB876" s="72"/>
      <x:c r="AC876" s="72"/>
      <x:c r="AD876" s="72"/>
      <x:c r="AE876" s="72"/>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4"/>
      <x:c r="DQ876" s="4"/>
      <x:c r="DR876" s="4"/>
      <x:c r="DS876" s="4"/>
      <x:c r="DT876" s="4"/>
      <x:c r="DU876" s="4"/>
      <x:c r="DV876" s="4"/>
      <x:c r="DW876" s="4"/>
      <x:c r="DX876" s="4"/>
      <x:c r="DY876" s="4"/>
      <x:c r="DZ876" s="4"/>
      <x:c r="EA876" s="4"/>
      <x:c r="EB876" s="4"/>
      <x:c r="EC876" s="4"/>
      <x:c r="ED876" s="4"/>
      <x:c r="EE876" s="4"/>
      <x:c r="EF876" s="4"/>
      <x:c r="EG876" s="4"/>
      <x:c r="EH876" s="4"/>
      <x:c r="EI876" s="4"/>
      <x:c r="EJ876" s="4"/>
      <x:c r="EK876" s="4"/>
      <x:c r="EL876" s="4"/>
      <x:c r="EM876" s="4"/>
      <x:c r="EN876" s="4"/>
      <x:c r="EO876" s="4"/>
      <x:c r="EP876" s="4"/>
      <x:c r="EQ876" s="4"/>
      <x:c r="ER876" s="4"/>
      <x:c r="ES876" s="4"/>
      <x:c r="ET876" s="4"/>
      <x:c r="EU876" s="4"/>
      <x:c r="EV876" s="4"/>
      <x:c r="EW876" s="4"/>
      <x:c r="EX876" s="4"/>
      <x:c r="EY876" s="4"/>
      <x:c r="EZ876" s="4"/>
      <x:c r="FA876" s="4"/>
      <x:c r="FB876" s="4"/>
      <x:c r="FC876" s="4"/>
      <x:c r="FD876" s="4"/>
      <x:c r="FE876" s="4"/>
      <x:c r="FF876" s="4"/>
      <x:c r="FG876" s="4"/>
      <x:c r="FH876" s="4"/>
      <x:c r="FI876" s="4"/>
      <x:c r="FJ876" s="4"/>
      <x:c r="FK876" s="4"/>
      <x:c r="FL876" s="4"/>
      <x:c r="FM876" s="4"/>
      <x:c r="FN876" s="4"/>
      <x:c r="FO876" s="4"/>
    </x:row>
    <x:row r="877">
      <x:c r="A877" s="72"/>
      <x:c r="B877" s="72"/>
      <x:c r="C877" s="72"/>
      <x:c r="D877" s="72"/>
      <x:c r="E877" s="72"/>
      <x:c r="F877" s="72"/>
      <x:c r="G877" s="72"/>
      <x:c r="H877" s="72"/>
      <x:c r="I877" s="72"/>
      <x:c r="J877" s="72"/>
      <x:c r="K877" s="72"/>
      <x:c r="L877" s="72"/>
      <x:c r="M877" s="72"/>
      <x:c r="N877" s="72"/>
      <x:c r="O877" s="72"/>
      <x:c r="P877" s="72"/>
      <x:c r="Q877" s="72"/>
      <x:c r="R877" s="72"/>
      <x:c r="S877" s="72"/>
      <x:c r="T877" s="72"/>
      <x:c r="U877" s="72"/>
      <x:c r="V877" s="72"/>
      <x:c r="W877" s="72"/>
      <x:c r="X877" s="72"/>
      <x:c r="Y877" s="72"/>
      <x:c r="Z877" s="72"/>
      <x:c r="AA877" s="72"/>
      <x:c r="AB877" s="72"/>
      <x:c r="AC877" s="72"/>
      <x:c r="AD877" s="72"/>
      <x:c r="AE877" s="72"/>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4"/>
      <x:c r="DQ877" s="4"/>
      <x:c r="DR877" s="4"/>
      <x:c r="DS877" s="4"/>
      <x:c r="DT877" s="4"/>
      <x:c r="DU877" s="4"/>
      <x:c r="DV877" s="4"/>
      <x:c r="DW877" s="4"/>
      <x:c r="DX877" s="4"/>
      <x:c r="DY877" s="4"/>
      <x:c r="DZ877" s="4"/>
      <x:c r="EA877" s="4"/>
      <x:c r="EB877" s="4"/>
      <x:c r="EC877" s="4"/>
      <x:c r="ED877" s="4"/>
      <x:c r="EE877" s="4"/>
      <x:c r="EF877" s="4"/>
      <x:c r="EG877" s="4"/>
      <x:c r="EH877" s="4"/>
      <x:c r="EI877" s="4"/>
      <x:c r="EJ877" s="4"/>
      <x:c r="EK877" s="4"/>
      <x:c r="EL877" s="4"/>
      <x:c r="EM877" s="4"/>
      <x:c r="EN877" s="4"/>
      <x:c r="EO877" s="4"/>
      <x:c r="EP877" s="4"/>
      <x:c r="EQ877" s="4"/>
      <x:c r="ER877" s="4"/>
      <x:c r="ES877" s="4"/>
      <x:c r="ET877" s="4"/>
      <x:c r="EU877" s="4"/>
      <x:c r="EV877" s="4"/>
      <x:c r="EW877" s="4"/>
      <x:c r="EX877" s="4"/>
      <x:c r="EY877" s="4"/>
      <x:c r="EZ877" s="4"/>
      <x:c r="FA877" s="4"/>
      <x:c r="FB877" s="4"/>
      <x:c r="FC877" s="4"/>
      <x:c r="FD877" s="4"/>
      <x:c r="FE877" s="4"/>
      <x:c r="FF877" s="4"/>
      <x:c r="FG877" s="4"/>
      <x:c r="FH877" s="4"/>
      <x:c r="FI877" s="4"/>
      <x:c r="FJ877" s="4"/>
      <x:c r="FK877" s="4"/>
      <x:c r="FL877" s="4"/>
      <x:c r="FM877" s="4"/>
      <x:c r="FN877" s="4"/>
      <x:c r="FO877" s="4"/>
    </x:row>
    <x:row r="878">
      <x:c r="A878" s="72"/>
      <x:c r="B878" s="72"/>
      <x:c r="C878" s="72"/>
      <x:c r="D878" s="72"/>
      <x:c r="E878" s="72"/>
      <x:c r="F878" s="72"/>
      <x:c r="G878" s="72"/>
      <x:c r="H878" s="72"/>
      <x:c r="I878" s="72"/>
      <x:c r="J878" s="72"/>
      <x:c r="K878" s="72"/>
      <x:c r="L878" s="72"/>
      <x:c r="M878" s="72"/>
      <x:c r="N878" s="72"/>
      <x:c r="O878" s="72"/>
      <x:c r="P878" s="72"/>
      <x:c r="Q878" s="72"/>
      <x:c r="R878" s="72"/>
      <x:c r="S878" s="72"/>
      <x:c r="T878" s="72"/>
      <x:c r="U878" s="72"/>
      <x:c r="V878" s="72"/>
      <x:c r="W878" s="72"/>
      <x:c r="X878" s="72"/>
      <x:c r="Y878" s="72"/>
      <x:c r="Z878" s="72"/>
      <x:c r="AA878" s="72"/>
      <x:c r="AB878" s="72"/>
      <x:c r="AC878" s="72"/>
      <x:c r="AD878" s="72"/>
      <x:c r="AE878" s="72"/>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4"/>
      <x:c r="DQ878" s="4"/>
      <x:c r="DR878" s="4"/>
      <x:c r="DS878" s="4"/>
      <x:c r="DT878" s="4"/>
      <x:c r="DU878" s="4"/>
      <x:c r="DV878" s="4"/>
      <x:c r="DW878" s="4"/>
      <x:c r="DX878" s="4"/>
      <x:c r="DY878" s="4"/>
      <x:c r="DZ878" s="4"/>
      <x:c r="EA878" s="4"/>
      <x:c r="EB878" s="4"/>
      <x:c r="EC878" s="4"/>
      <x:c r="ED878" s="4"/>
      <x:c r="EE878" s="4"/>
      <x:c r="EF878" s="4"/>
      <x:c r="EG878" s="4"/>
      <x:c r="EH878" s="4"/>
      <x:c r="EI878" s="4"/>
      <x:c r="EJ878" s="4"/>
      <x:c r="EK878" s="4"/>
      <x:c r="EL878" s="4"/>
      <x:c r="EM878" s="4"/>
      <x:c r="EN878" s="4"/>
      <x:c r="EO878" s="4"/>
      <x:c r="EP878" s="4"/>
      <x:c r="EQ878" s="4"/>
      <x:c r="ER878" s="4"/>
      <x:c r="ES878" s="4"/>
      <x:c r="ET878" s="4"/>
      <x:c r="EU878" s="4"/>
      <x:c r="EV878" s="4"/>
      <x:c r="EW878" s="4"/>
      <x:c r="EX878" s="4"/>
      <x:c r="EY878" s="4"/>
      <x:c r="EZ878" s="4"/>
      <x:c r="FA878" s="4"/>
      <x:c r="FB878" s="4"/>
      <x:c r="FC878" s="4"/>
      <x:c r="FD878" s="4"/>
      <x:c r="FE878" s="4"/>
      <x:c r="FF878" s="4"/>
      <x:c r="FG878" s="4"/>
      <x:c r="FH878" s="4"/>
      <x:c r="FI878" s="4"/>
      <x:c r="FJ878" s="4"/>
      <x:c r="FK878" s="4"/>
      <x:c r="FL878" s="4"/>
      <x:c r="FM878" s="4"/>
      <x:c r="FN878" s="4"/>
      <x:c r="FO878" s="4"/>
    </x:row>
    <x:row r="879">
      <x:c r="A879" s="72"/>
      <x:c r="B879" s="72"/>
      <x:c r="C879" s="72"/>
      <x:c r="D879" s="72"/>
      <x:c r="E879" s="72"/>
      <x:c r="F879" s="72"/>
      <x:c r="G879" s="72"/>
      <x:c r="H879" s="72"/>
      <x:c r="I879" s="72"/>
      <x:c r="J879" s="72"/>
      <x:c r="K879" s="72"/>
      <x:c r="L879" s="72"/>
      <x:c r="M879" s="72"/>
      <x:c r="N879" s="72"/>
      <x:c r="O879" s="72"/>
      <x:c r="P879" s="72"/>
      <x:c r="Q879" s="72"/>
      <x:c r="R879" s="72"/>
      <x:c r="S879" s="72"/>
      <x:c r="T879" s="72"/>
      <x:c r="U879" s="72"/>
      <x:c r="V879" s="72"/>
      <x:c r="W879" s="72"/>
      <x:c r="X879" s="72"/>
      <x:c r="Y879" s="72"/>
      <x:c r="Z879" s="72"/>
      <x:c r="AA879" s="72"/>
      <x:c r="AB879" s="72"/>
      <x:c r="AC879" s="72"/>
      <x:c r="AD879" s="72"/>
      <x:c r="AE879" s="72"/>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4"/>
      <x:c r="DQ879" s="4"/>
      <x:c r="DR879" s="4"/>
      <x:c r="DS879" s="4"/>
      <x:c r="DT879" s="4"/>
      <x:c r="DU879" s="4"/>
      <x:c r="DV879" s="4"/>
      <x:c r="DW879" s="4"/>
      <x:c r="DX879" s="4"/>
      <x:c r="DY879" s="4"/>
      <x:c r="DZ879" s="4"/>
      <x:c r="EA879" s="4"/>
      <x:c r="EB879" s="4"/>
      <x:c r="EC879" s="4"/>
      <x:c r="ED879" s="4"/>
      <x:c r="EE879" s="4"/>
      <x:c r="EF879" s="4"/>
      <x:c r="EG879" s="4"/>
      <x:c r="EH879" s="4"/>
      <x:c r="EI879" s="4"/>
      <x:c r="EJ879" s="4"/>
      <x:c r="EK879" s="4"/>
      <x:c r="EL879" s="4"/>
      <x:c r="EM879" s="4"/>
      <x:c r="EN879" s="4"/>
      <x:c r="EO879" s="4"/>
      <x:c r="EP879" s="4"/>
      <x:c r="EQ879" s="4"/>
      <x:c r="ER879" s="4"/>
      <x:c r="ES879" s="4"/>
      <x:c r="ET879" s="4"/>
      <x:c r="EU879" s="4"/>
      <x:c r="EV879" s="4"/>
      <x:c r="EW879" s="4"/>
      <x:c r="EX879" s="4"/>
      <x:c r="EY879" s="4"/>
      <x:c r="EZ879" s="4"/>
      <x:c r="FA879" s="4"/>
      <x:c r="FB879" s="4"/>
      <x:c r="FC879" s="4"/>
      <x:c r="FD879" s="4"/>
      <x:c r="FE879" s="4"/>
      <x:c r="FF879" s="4"/>
      <x:c r="FG879" s="4"/>
      <x:c r="FH879" s="4"/>
      <x:c r="FI879" s="4"/>
      <x:c r="FJ879" s="4"/>
      <x:c r="FK879" s="4"/>
      <x:c r="FL879" s="4"/>
      <x:c r="FM879" s="4"/>
      <x:c r="FN879" s="4"/>
      <x:c r="FO879" s="4"/>
    </x:row>
    <x:row r="880">
      <x:c r="A880" s="72"/>
      <x:c r="B880" s="72"/>
      <x:c r="C880" s="72"/>
      <x:c r="D880" s="72"/>
      <x:c r="E880" s="72"/>
      <x:c r="F880" s="72"/>
      <x:c r="G880" s="72"/>
      <x:c r="H880" s="72"/>
      <x:c r="I880" s="72"/>
      <x:c r="J880" s="72"/>
      <x:c r="K880" s="72"/>
      <x:c r="L880" s="72"/>
      <x:c r="M880" s="72"/>
      <x:c r="N880" s="72"/>
      <x:c r="O880" s="72"/>
      <x:c r="P880" s="72"/>
      <x:c r="Q880" s="72"/>
      <x:c r="R880" s="72"/>
      <x:c r="S880" s="72"/>
      <x:c r="T880" s="72"/>
      <x:c r="U880" s="72"/>
      <x:c r="V880" s="72"/>
      <x:c r="W880" s="72"/>
      <x:c r="X880" s="72"/>
      <x:c r="Y880" s="72"/>
      <x:c r="Z880" s="72"/>
      <x:c r="AA880" s="72"/>
      <x:c r="AB880" s="72"/>
      <x:c r="AC880" s="72"/>
      <x:c r="AD880" s="72"/>
      <x:c r="AE880" s="72"/>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4"/>
      <x:c r="DQ880" s="4"/>
      <x:c r="DR880" s="4"/>
      <x:c r="DS880" s="4"/>
      <x:c r="DT880" s="4"/>
      <x:c r="DU880" s="4"/>
      <x:c r="DV880" s="4"/>
      <x:c r="DW880" s="4"/>
      <x:c r="DX880" s="4"/>
      <x:c r="DY880" s="4"/>
      <x:c r="DZ880" s="4"/>
      <x:c r="EA880" s="4"/>
      <x:c r="EB880" s="4"/>
      <x:c r="EC880" s="4"/>
      <x:c r="ED880" s="4"/>
      <x:c r="EE880" s="4"/>
      <x:c r="EF880" s="4"/>
      <x:c r="EG880" s="4"/>
      <x:c r="EH880" s="4"/>
      <x:c r="EI880" s="4"/>
      <x:c r="EJ880" s="4"/>
      <x:c r="EK880" s="4"/>
      <x:c r="EL880" s="4"/>
      <x:c r="EM880" s="4"/>
      <x:c r="EN880" s="4"/>
      <x:c r="EO880" s="4"/>
      <x:c r="EP880" s="4"/>
      <x:c r="EQ880" s="4"/>
      <x:c r="ER880" s="4"/>
      <x:c r="ES880" s="4"/>
      <x:c r="ET880" s="4"/>
      <x:c r="EU880" s="4"/>
      <x:c r="EV880" s="4"/>
      <x:c r="EW880" s="4"/>
      <x:c r="EX880" s="4"/>
      <x:c r="EY880" s="4"/>
      <x:c r="EZ880" s="4"/>
      <x:c r="FA880" s="4"/>
      <x:c r="FB880" s="4"/>
      <x:c r="FC880" s="4"/>
      <x:c r="FD880" s="4"/>
      <x:c r="FE880" s="4"/>
      <x:c r="FF880" s="4"/>
      <x:c r="FG880" s="4"/>
      <x:c r="FH880" s="4"/>
      <x:c r="FI880" s="4"/>
      <x:c r="FJ880" s="4"/>
      <x:c r="FK880" s="4"/>
      <x:c r="FL880" s="4"/>
      <x:c r="FM880" s="4"/>
      <x:c r="FN880" s="4"/>
      <x:c r="FO880" s="4"/>
    </x:row>
    <x:row r="881">
      <x:c r="A881" s="72"/>
      <x:c r="B881" s="72"/>
      <x:c r="C881" s="72"/>
      <x:c r="D881" s="72"/>
      <x:c r="E881" s="72"/>
      <x:c r="F881" s="72"/>
      <x:c r="G881" s="72"/>
      <x:c r="H881" s="72"/>
      <x:c r="I881" s="72"/>
      <x:c r="J881" s="72"/>
      <x:c r="K881" s="72"/>
      <x:c r="L881" s="72"/>
      <x:c r="M881" s="72"/>
      <x:c r="N881" s="72"/>
      <x:c r="O881" s="72"/>
      <x:c r="P881" s="72"/>
      <x:c r="Q881" s="72"/>
      <x:c r="R881" s="72"/>
      <x:c r="S881" s="72"/>
      <x:c r="T881" s="72"/>
      <x:c r="U881" s="72"/>
      <x:c r="V881" s="72"/>
      <x:c r="W881" s="72"/>
      <x:c r="X881" s="72"/>
      <x:c r="Y881" s="72"/>
      <x:c r="Z881" s="72"/>
      <x:c r="AA881" s="72"/>
      <x:c r="AB881" s="72"/>
      <x:c r="AC881" s="72"/>
      <x:c r="AD881" s="72"/>
      <x:c r="AE881" s="72"/>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4"/>
      <x:c r="DQ881" s="4"/>
      <x:c r="DR881" s="4"/>
      <x:c r="DS881" s="4"/>
      <x:c r="DT881" s="4"/>
      <x:c r="DU881" s="4"/>
      <x:c r="DV881" s="4"/>
      <x:c r="DW881" s="4"/>
      <x:c r="DX881" s="4"/>
      <x:c r="DY881" s="4"/>
      <x:c r="DZ881" s="4"/>
      <x:c r="EA881" s="4"/>
      <x:c r="EB881" s="4"/>
      <x:c r="EC881" s="4"/>
      <x:c r="ED881" s="4"/>
      <x:c r="EE881" s="4"/>
      <x:c r="EF881" s="4"/>
      <x:c r="EG881" s="4"/>
      <x:c r="EH881" s="4"/>
      <x:c r="EI881" s="4"/>
      <x:c r="EJ881" s="4"/>
      <x:c r="EK881" s="4"/>
      <x:c r="EL881" s="4"/>
      <x:c r="EM881" s="4"/>
      <x:c r="EN881" s="4"/>
      <x:c r="EO881" s="4"/>
      <x:c r="EP881" s="4"/>
      <x:c r="EQ881" s="4"/>
      <x:c r="ER881" s="4"/>
      <x:c r="ES881" s="4"/>
      <x:c r="ET881" s="4"/>
      <x:c r="EU881" s="4"/>
      <x:c r="EV881" s="4"/>
      <x:c r="EW881" s="4"/>
      <x:c r="EX881" s="4"/>
      <x:c r="EY881" s="4"/>
      <x:c r="EZ881" s="4"/>
      <x:c r="FA881" s="4"/>
      <x:c r="FB881" s="4"/>
      <x:c r="FC881" s="4"/>
      <x:c r="FD881" s="4"/>
      <x:c r="FE881" s="4"/>
      <x:c r="FF881" s="4"/>
      <x:c r="FG881" s="4"/>
      <x:c r="FH881" s="4"/>
      <x:c r="FI881" s="4"/>
      <x:c r="FJ881" s="4"/>
      <x:c r="FK881" s="4"/>
      <x:c r="FL881" s="4"/>
      <x:c r="FM881" s="4"/>
      <x:c r="FN881" s="4"/>
      <x:c r="FO881" s="4"/>
    </x:row>
    <x:row r="882">
      <x:c r="A882" s="72"/>
      <x:c r="B882" s="72"/>
      <x:c r="C882" s="72"/>
      <x:c r="D882" s="72"/>
      <x:c r="E882" s="72"/>
      <x:c r="F882" s="72"/>
      <x:c r="G882" s="72"/>
      <x:c r="H882" s="72"/>
      <x:c r="I882" s="72"/>
      <x:c r="J882" s="72"/>
      <x:c r="K882" s="72"/>
      <x:c r="L882" s="72"/>
      <x:c r="M882" s="72"/>
      <x:c r="N882" s="72"/>
      <x:c r="O882" s="72"/>
      <x:c r="P882" s="72"/>
      <x:c r="Q882" s="72"/>
      <x:c r="R882" s="72"/>
      <x:c r="S882" s="72"/>
      <x:c r="T882" s="72"/>
      <x:c r="U882" s="72"/>
      <x:c r="V882" s="72"/>
      <x:c r="W882" s="72"/>
      <x:c r="X882" s="72"/>
      <x:c r="Y882" s="72"/>
      <x:c r="Z882" s="72"/>
      <x:c r="AA882" s="72"/>
      <x:c r="AB882" s="72"/>
      <x:c r="AC882" s="72"/>
      <x:c r="AD882" s="72"/>
      <x:c r="AE882" s="72"/>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4"/>
      <x:c r="DQ882" s="4"/>
      <x:c r="DR882" s="4"/>
      <x:c r="DS882" s="4"/>
      <x:c r="DT882" s="4"/>
      <x:c r="DU882" s="4"/>
      <x:c r="DV882" s="4"/>
      <x:c r="DW882" s="4"/>
      <x:c r="DX882" s="4"/>
      <x:c r="DY882" s="4"/>
      <x:c r="DZ882" s="4"/>
      <x:c r="EA882" s="4"/>
      <x:c r="EB882" s="4"/>
      <x:c r="EC882" s="4"/>
      <x:c r="ED882" s="4"/>
      <x:c r="EE882" s="4"/>
      <x:c r="EF882" s="4"/>
      <x:c r="EG882" s="4"/>
      <x:c r="EH882" s="4"/>
      <x:c r="EI882" s="4"/>
      <x:c r="EJ882" s="4"/>
      <x:c r="EK882" s="4"/>
      <x:c r="EL882" s="4"/>
      <x:c r="EM882" s="4"/>
      <x:c r="EN882" s="4"/>
      <x:c r="EO882" s="4"/>
      <x:c r="EP882" s="4"/>
      <x:c r="EQ882" s="4"/>
      <x:c r="ER882" s="4"/>
      <x:c r="ES882" s="4"/>
      <x:c r="ET882" s="4"/>
      <x:c r="EU882" s="4"/>
      <x:c r="EV882" s="4"/>
      <x:c r="EW882" s="4"/>
      <x:c r="EX882" s="4"/>
      <x:c r="EY882" s="4"/>
      <x:c r="EZ882" s="4"/>
      <x:c r="FA882" s="4"/>
      <x:c r="FB882" s="4"/>
      <x:c r="FC882" s="4"/>
      <x:c r="FD882" s="4"/>
      <x:c r="FE882" s="4"/>
      <x:c r="FF882" s="4"/>
      <x:c r="FG882" s="4"/>
      <x:c r="FH882" s="4"/>
      <x:c r="FI882" s="4"/>
      <x:c r="FJ882" s="4"/>
      <x:c r="FK882" s="4"/>
      <x:c r="FL882" s="4"/>
      <x:c r="FM882" s="4"/>
      <x:c r="FN882" s="4"/>
      <x:c r="FO882" s="4"/>
    </x:row>
    <x:row r="883">
      <x:c r="A883" s="72"/>
      <x:c r="B883" s="72"/>
      <x:c r="C883" s="72"/>
      <x:c r="D883" s="72"/>
      <x:c r="E883" s="72"/>
      <x:c r="F883" s="72"/>
      <x:c r="G883" s="72"/>
      <x:c r="H883" s="72"/>
      <x:c r="I883" s="72"/>
      <x:c r="J883" s="72"/>
      <x:c r="K883" s="72"/>
      <x:c r="L883" s="72"/>
      <x:c r="M883" s="72"/>
      <x:c r="N883" s="72"/>
      <x:c r="O883" s="72"/>
      <x:c r="P883" s="72"/>
      <x:c r="Q883" s="72"/>
      <x:c r="R883" s="72"/>
      <x:c r="S883" s="72"/>
      <x:c r="T883" s="72"/>
      <x:c r="U883" s="72"/>
      <x:c r="V883" s="72"/>
      <x:c r="W883" s="72"/>
      <x:c r="X883" s="72"/>
      <x:c r="Y883" s="72"/>
      <x:c r="Z883" s="72"/>
      <x:c r="AA883" s="72"/>
      <x:c r="AB883" s="72"/>
      <x:c r="AC883" s="72"/>
      <x:c r="AD883" s="72"/>
      <x:c r="AE883" s="72"/>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4"/>
      <x:c r="DQ883" s="4"/>
      <x:c r="DR883" s="4"/>
      <x:c r="DS883" s="4"/>
      <x:c r="DT883" s="4"/>
      <x:c r="DU883" s="4"/>
      <x:c r="DV883" s="4"/>
      <x:c r="DW883" s="4"/>
      <x:c r="DX883" s="4"/>
      <x:c r="DY883" s="4"/>
      <x:c r="DZ883" s="4"/>
      <x:c r="EA883" s="4"/>
      <x:c r="EB883" s="4"/>
      <x:c r="EC883" s="4"/>
      <x:c r="ED883" s="4"/>
      <x:c r="EE883" s="4"/>
      <x:c r="EF883" s="4"/>
      <x:c r="EG883" s="4"/>
      <x:c r="EH883" s="4"/>
      <x:c r="EI883" s="4"/>
      <x:c r="EJ883" s="4"/>
      <x:c r="EK883" s="4"/>
      <x:c r="EL883" s="4"/>
      <x:c r="EM883" s="4"/>
      <x:c r="EN883" s="4"/>
      <x:c r="EO883" s="4"/>
      <x:c r="EP883" s="4"/>
      <x:c r="EQ883" s="4"/>
      <x:c r="ER883" s="4"/>
      <x:c r="ES883" s="4"/>
      <x:c r="ET883" s="4"/>
      <x:c r="EU883" s="4"/>
      <x:c r="EV883" s="4"/>
      <x:c r="EW883" s="4"/>
      <x:c r="EX883" s="4"/>
      <x:c r="EY883" s="4"/>
      <x:c r="EZ883" s="4"/>
      <x:c r="FA883" s="4"/>
      <x:c r="FB883" s="4"/>
      <x:c r="FC883" s="4"/>
      <x:c r="FD883" s="4"/>
      <x:c r="FE883" s="4"/>
      <x:c r="FF883" s="4"/>
      <x:c r="FG883" s="4"/>
      <x:c r="FH883" s="4"/>
      <x:c r="FI883" s="4"/>
      <x:c r="FJ883" s="4"/>
      <x:c r="FK883" s="4"/>
      <x:c r="FL883" s="4"/>
      <x:c r="FM883" s="4"/>
      <x:c r="FN883" s="4"/>
      <x:c r="FO883" s="4"/>
    </x:row>
    <x:row r="884">
      <x:c r="A884" s="72"/>
      <x:c r="B884" s="72"/>
      <x:c r="C884" s="72"/>
      <x:c r="D884" s="72"/>
      <x:c r="E884" s="72"/>
      <x:c r="F884" s="72"/>
      <x:c r="G884" s="72"/>
      <x:c r="H884" s="72"/>
      <x:c r="I884" s="72"/>
      <x:c r="J884" s="72"/>
      <x:c r="K884" s="72"/>
      <x:c r="L884" s="72"/>
      <x:c r="M884" s="72"/>
      <x:c r="N884" s="72"/>
      <x:c r="O884" s="72"/>
      <x:c r="P884" s="72"/>
      <x:c r="Q884" s="72"/>
      <x:c r="R884" s="72"/>
      <x:c r="S884" s="72"/>
      <x:c r="T884" s="72"/>
      <x:c r="U884" s="72"/>
      <x:c r="V884" s="72"/>
      <x:c r="W884" s="72"/>
      <x:c r="X884" s="72"/>
      <x:c r="Y884" s="72"/>
      <x:c r="Z884" s="72"/>
      <x:c r="AA884" s="72"/>
      <x:c r="AB884" s="72"/>
      <x:c r="AC884" s="72"/>
      <x:c r="AD884" s="72"/>
      <x:c r="AE884" s="72"/>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4"/>
      <x:c r="DQ884" s="4"/>
      <x:c r="DR884" s="4"/>
      <x:c r="DS884" s="4"/>
      <x:c r="DT884" s="4"/>
      <x:c r="DU884" s="4"/>
      <x:c r="DV884" s="4"/>
      <x:c r="DW884" s="4"/>
      <x:c r="DX884" s="4"/>
      <x:c r="DY884" s="4"/>
      <x:c r="DZ884" s="4"/>
      <x:c r="EA884" s="4"/>
      <x:c r="EB884" s="4"/>
      <x:c r="EC884" s="4"/>
      <x:c r="ED884" s="4"/>
      <x:c r="EE884" s="4"/>
      <x:c r="EF884" s="4"/>
      <x:c r="EG884" s="4"/>
      <x:c r="EH884" s="4"/>
      <x:c r="EI884" s="4"/>
      <x:c r="EJ884" s="4"/>
      <x:c r="EK884" s="4"/>
      <x:c r="EL884" s="4"/>
      <x:c r="EM884" s="4"/>
      <x:c r="EN884" s="4"/>
      <x:c r="EO884" s="4"/>
      <x:c r="EP884" s="4"/>
      <x:c r="EQ884" s="4"/>
      <x:c r="ER884" s="4"/>
      <x:c r="ES884" s="4"/>
      <x:c r="ET884" s="4"/>
      <x:c r="EU884" s="4"/>
      <x:c r="EV884" s="4"/>
      <x:c r="EW884" s="4"/>
      <x:c r="EX884" s="4"/>
      <x:c r="EY884" s="4"/>
      <x:c r="EZ884" s="4"/>
      <x:c r="FA884" s="4"/>
      <x:c r="FB884" s="4"/>
      <x:c r="FC884" s="4"/>
      <x:c r="FD884" s="4"/>
      <x:c r="FE884" s="4"/>
      <x:c r="FF884" s="4"/>
      <x:c r="FG884" s="4"/>
      <x:c r="FH884" s="4"/>
      <x:c r="FI884" s="4"/>
      <x:c r="FJ884" s="4"/>
      <x:c r="FK884" s="4"/>
      <x:c r="FL884" s="4"/>
      <x:c r="FM884" s="4"/>
      <x:c r="FN884" s="4"/>
      <x:c r="FO884" s="4"/>
    </x:row>
    <x:row r="885">
      <x:c r="A885" s="72"/>
      <x:c r="B885" s="72"/>
      <x:c r="C885" s="72"/>
      <x:c r="D885" s="72"/>
      <x:c r="E885" s="72"/>
      <x:c r="F885" s="72"/>
      <x:c r="G885" s="72"/>
      <x:c r="H885" s="72"/>
      <x:c r="I885" s="72"/>
      <x:c r="J885" s="72"/>
      <x:c r="K885" s="72"/>
      <x:c r="L885" s="72"/>
      <x:c r="M885" s="72"/>
      <x:c r="N885" s="72"/>
      <x:c r="O885" s="72"/>
      <x:c r="P885" s="72"/>
      <x:c r="Q885" s="72"/>
      <x:c r="R885" s="72"/>
      <x:c r="S885" s="72"/>
      <x:c r="T885" s="72"/>
      <x:c r="U885" s="72"/>
      <x:c r="V885" s="72"/>
      <x:c r="W885" s="72"/>
      <x:c r="X885" s="72"/>
      <x:c r="Y885" s="72"/>
      <x:c r="Z885" s="72"/>
      <x:c r="AA885" s="72"/>
      <x:c r="AB885" s="72"/>
      <x:c r="AC885" s="72"/>
      <x:c r="AD885" s="72"/>
      <x:c r="AE885" s="72"/>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4"/>
      <x:c r="DQ885" s="4"/>
      <x:c r="DR885" s="4"/>
      <x:c r="DS885" s="4"/>
      <x:c r="DT885" s="4"/>
      <x:c r="DU885" s="4"/>
      <x:c r="DV885" s="4"/>
      <x:c r="DW885" s="4"/>
      <x:c r="DX885" s="4"/>
      <x:c r="DY885" s="4"/>
      <x:c r="DZ885" s="4"/>
      <x:c r="EA885" s="4"/>
      <x:c r="EB885" s="4"/>
      <x:c r="EC885" s="4"/>
      <x:c r="ED885" s="4"/>
      <x:c r="EE885" s="4"/>
      <x:c r="EF885" s="4"/>
      <x:c r="EG885" s="4"/>
      <x:c r="EH885" s="4"/>
      <x:c r="EI885" s="4"/>
      <x:c r="EJ885" s="4"/>
      <x:c r="EK885" s="4"/>
      <x:c r="EL885" s="4"/>
      <x:c r="EM885" s="4"/>
      <x:c r="EN885" s="4"/>
      <x:c r="EO885" s="4"/>
      <x:c r="EP885" s="4"/>
      <x:c r="EQ885" s="4"/>
      <x:c r="ER885" s="4"/>
      <x:c r="ES885" s="4"/>
      <x:c r="ET885" s="4"/>
      <x:c r="EU885" s="4"/>
      <x:c r="EV885" s="4"/>
      <x:c r="EW885" s="4"/>
      <x:c r="EX885" s="4"/>
      <x:c r="EY885" s="4"/>
      <x:c r="EZ885" s="4"/>
      <x:c r="FA885" s="4"/>
      <x:c r="FB885" s="4"/>
      <x:c r="FC885" s="4"/>
      <x:c r="FD885" s="4"/>
      <x:c r="FE885" s="4"/>
      <x:c r="FF885" s="4"/>
      <x:c r="FG885" s="4"/>
      <x:c r="FH885" s="4"/>
      <x:c r="FI885" s="4"/>
      <x:c r="FJ885" s="4"/>
      <x:c r="FK885" s="4"/>
      <x:c r="FL885" s="4"/>
      <x:c r="FM885" s="4"/>
      <x:c r="FN885" s="4"/>
      <x:c r="FO885" s="4"/>
    </x:row>
    <x:row r="886">
      <x:c r="A886" s="72"/>
      <x:c r="B886" s="72"/>
      <x:c r="C886" s="72"/>
      <x:c r="D886" s="72"/>
      <x:c r="E886" s="72"/>
      <x:c r="F886" s="72"/>
      <x:c r="G886" s="72"/>
      <x:c r="H886" s="72"/>
      <x:c r="I886" s="72"/>
      <x:c r="J886" s="72"/>
      <x:c r="K886" s="72"/>
      <x:c r="L886" s="72"/>
      <x:c r="M886" s="72"/>
      <x:c r="N886" s="72"/>
      <x:c r="O886" s="72"/>
      <x:c r="P886" s="72"/>
      <x:c r="Q886" s="72"/>
      <x:c r="R886" s="72"/>
      <x:c r="S886" s="72"/>
      <x:c r="T886" s="72"/>
      <x:c r="U886" s="72"/>
      <x:c r="V886" s="72"/>
      <x:c r="W886" s="72"/>
      <x:c r="X886" s="72"/>
      <x:c r="Y886" s="72"/>
      <x:c r="Z886" s="72"/>
      <x:c r="AA886" s="72"/>
      <x:c r="AB886" s="72"/>
      <x:c r="AC886" s="72"/>
      <x:c r="AD886" s="72"/>
      <x:c r="AE886" s="72"/>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4"/>
      <x:c r="DQ886" s="4"/>
      <x:c r="DR886" s="4"/>
      <x:c r="DS886" s="4"/>
      <x:c r="DT886" s="4"/>
      <x:c r="DU886" s="4"/>
      <x:c r="DV886" s="4"/>
      <x:c r="DW886" s="4"/>
      <x:c r="DX886" s="4"/>
      <x:c r="DY886" s="4"/>
      <x:c r="DZ886" s="4"/>
      <x:c r="EA886" s="4"/>
      <x:c r="EB886" s="4"/>
      <x:c r="EC886" s="4"/>
      <x:c r="ED886" s="4"/>
      <x:c r="EE886" s="4"/>
      <x:c r="EF886" s="4"/>
      <x:c r="EG886" s="4"/>
      <x:c r="EH886" s="4"/>
      <x:c r="EI886" s="4"/>
      <x:c r="EJ886" s="4"/>
      <x:c r="EK886" s="4"/>
      <x:c r="EL886" s="4"/>
      <x:c r="EM886" s="4"/>
      <x:c r="EN886" s="4"/>
      <x:c r="EO886" s="4"/>
      <x:c r="EP886" s="4"/>
      <x:c r="EQ886" s="4"/>
      <x:c r="ER886" s="4"/>
      <x:c r="ES886" s="4"/>
      <x:c r="ET886" s="4"/>
      <x:c r="EU886" s="4"/>
      <x:c r="EV886" s="4"/>
      <x:c r="EW886" s="4"/>
      <x:c r="EX886" s="4"/>
      <x:c r="EY886" s="4"/>
      <x:c r="EZ886" s="4"/>
      <x:c r="FA886" s="4"/>
      <x:c r="FB886" s="4"/>
      <x:c r="FC886" s="4"/>
      <x:c r="FD886" s="4"/>
      <x:c r="FE886" s="4"/>
      <x:c r="FF886" s="4"/>
      <x:c r="FG886" s="4"/>
      <x:c r="FH886" s="4"/>
      <x:c r="FI886" s="4"/>
      <x:c r="FJ886" s="4"/>
      <x:c r="FK886" s="4"/>
      <x:c r="FL886" s="4"/>
      <x:c r="FM886" s="4"/>
      <x:c r="FN886" s="4"/>
      <x:c r="FO886" s="4"/>
    </x:row>
    <x:row r="887">
      <x:c r="A887" s="72"/>
      <x:c r="B887" s="72"/>
      <x:c r="C887" s="72"/>
      <x:c r="D887" s="72"/>
      <x:c r="E887" s="72"/>
      <x:c r="F887" s="72"/>
      <x:c r="G887" s="72"/>
      <x:c r="H887" s="72"/>
      <x:c r="I887" s="72"/>
      <x:c r="J887" s="72"/>
      <x:c r="K887" s="72"/>
      <x:c r="L887" s="72"/>
      <x:c r="M887" s="72"/>
      <x:c r="N887" s="72"/>
      <x:c r="O887" s="72"/>
      <x:c r="P887" s="72"/>
      <x:c r="Q887" s="72"/>
      <x:c r="R887" s="72"/>
      <x:c r="S887" s="72"/>
      <x:c r="T887" s="72"/>
      <x:c r="U887" s="72"/>
      <x:c r="V887" s="72"/>
      <x:c r="W887" s="72"/>
      <x:c r="X887" s="72"/>
      <x:c r="Y887" s="72"/>
      <x:c r="Z887" s="72"/>
      <x:c r="AA887" s="72"/>
      <x:c r="AB887" s="72"/>
      <x:c r="AC887" s="72"/>
      <x:c r="AD887" s="72"/>
      <x:c r="AE887" s="72"/>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4"/>
      <x:c r="DQ887" s="4"/>
      <x:c r="DR887" s="4"/>
      <x:c r="DS887" s="4"/>
      <x:c r="DT887" s="4"/>
      <x:c r="DU887" s="4"/>
      <x:c r="DV887" s="4"/>
      <x:c r="DW887" s="4"/>
      <x:c r="DX887" s="4"/>
      <x:c r="DY887" s="4"/>
      <x:c r="DZ887" s="4"/>
      <x:c r="EA887" s="4"/>
      <x:c r="EB887" s="4"/>
      <x:c r="EC887" s="4"/>
      <x:c r="ED887" s="4"/>
      <x:c r="EE887" s="4"/>
      <x:c r="EF887" s="4"/>
      <x:c r="EG887" s="4"/>
      <x:c r="EH887" s="4"/>
      <x:c r="EI887" s="4"/>
      <x:c r="EJ887" s="4"/>
      <x:c r="EK887" s="4"/>
      <x:c r="EL887" s="4"/>
      <x:c r="EM887" s="4"/>
      <x:c r="EN887" s="4"/>
      <x:c r="EO887" s="4"/>
      <x:c r="EP887" s="4"/>
      <x:c r="EQ887" s="4"/>
      <x:c r="ER887" s="4"/>
      <x:c r="ES887" s="4"/>
      <x:c r="ET887" s="4"/>
      <x:c r="EU887" s="4"/>
      <x:c r="EV887" s="4"/>
      <x:c r="EW887" s="4"/>
      <x:c r="EX887" s="4"/>
      <x:c r="EY887" s="4"/>
      <x:c r="EZ887" s="4"/>
      <x:c r="FA887" s="4"/>
      <x:c r="FB887" s="4"/>
      <x:c r="FC887" s="4"/>
      <x:c r="FD887" s="4"/>
      <x:c r="FE887" s="4"/>
      <x:c r="FF887" s="4"/>
      <x:c r="FG887" s="4"/>
      <x:c r="FH887" s="4"/>
      <x:c r="FI887" s="4"/>
      <x:c r="FJ887" s="4"/>
      <x:c r="FK887" s="4"/>
      <x:c r="FL887" s="4"/>
      <x:c r="FM887" s="4"/>
      <x:c r="FN887" s="4"/>
      <x:c r="FO887" s="4"/>
    </x:row>
    <x:row r="888">
      <x:c r="A888" s="72"/>
      <x:c r="B888" s="72"/>
      <x:c r="C888" s="72"/>
      <x:c r="D888" s="72"/>
      <x:c r="E888" s="72"/>
      <x:c r="F888" s="72"/>
      <x:c r="G888" s="72"/>
      <x:c r="H888" s="72"/>
      <x:c r="I888" s="72"/>
      <x:c r="J888" s="72"/>
      <x:c r="K888" s="72"/>
      <x:c r="L888" s="72"/>
      <x:c r="M888" s="72"/>
      <x:c r="N888" s="72"/>
      <x:c r="O888" s="72"/>
      <x:c r="P888" s="72"/>
      <x:c r="Q888" s="72"/>
      <x:c r="R888" s="72"/>
      <x:c r="S888" s="72"/>
      <x:c r="T888" s="72"/>
      <x:c r="U888" s="72"/>
      <x:c r="V888" s="72"/>
      <x:c r="W888" s="72"/>
      <x:c r="X888" s="72"/>
      <x:c r="Y888" s="72"/>
      <x:c r="Z888" s="72"/>
      <x:c r="AA888" s="72"/>
      <x:c r="AB888" s="72"/>
      <x:c r="AC888" s="72"/>
      <x:c r="AD888" s="72"/>
      <x:c r="AE888" s="72"/>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4"/>
      <x:c r="DQ888" s="4"/>
      <x:c r="DR888" s="4"/>
      <x:c r="DS888" s="4"/>
      <x:c r="DT888" s="4"/>
      <x:c r="DU888" s="4"/>
      <x:c r="DV888" s="4"/>
      <x:c r="DW888" s="4"/>
      <x:c r="DX888" s="4"/>
      <x:c r="DY888" s="4"/>
      <x:c r="DZ888" s="4"/>
      <x:c r="EA888" s="4"/>
      <x:c r="EB888" s="4"/>
      <x:c r="EC888" s="4"/>
      <x:c r="ED888" s="4"/>
      <x:c r="EE888" s="4"/>
      <x:c r="EF888" s="4"/>
      <x:c r="EG888" s="4"/>
      <x:c r="EH888" s="4"/>
      <x:c r="EI888" s="4"/>
      <x:c r="EJ888" s="4"/>
      <x:c r="EK888" s="4"/>
      <x:c r="EL888" s="4"/>
      <x:c r="EM888" s="4"/>
      <x:c r="EN888" s="4"/>
      <x:c r="EO888" s="4"/>
      <x:c r="EP888" s="4"/>
      <x:c r="EQ888" s="4"/>
      <x:c r="ER888" s="4"/>
      <x:c r="ES888" s="4"/>
      <x:c r="ET888" s="4"/>
      <x:c r="EU888" s="4"/>
      <x:c r="EV888" s="4"/>
      <x:c r="EW888" s="4"/>
      <x:c r="EX888" s="4"/>
      <x:c r="EY888" s="4"/>
      <x:c r="EZ888" s="4"/>
      <x:c r="FA888" s="4"/>
      <x:c r="FB888" s="4"/>
      <x:c r="FC888" s="4"/>
      <x:c r="FD888" s="4"/>
      <x:c r="FE888" s="4"/>
      <x:c r="FF888" s="4"/>
      <x:c r="FG888" s="4"/>
      <x:c r="FH888" s="4"/>
      <x:c r="FI888" s="4"/>
      <x:c r="FJ888" s="4"/>
      <x:c r="FK888" s="4"/>
      <x:c r="FL888" s="4"/>
      <x:c r="FM888" s="4"/>
      <x:c r="FN888" s="4"/>
      <x:c r="FO888" s="4"/>
    </x:row>
    <x:row r="889">
      <x:c r="A889" s="72"/>
      <x:c r="B889" s="72"/>
      <x:c r="C889" s="72"/>
      <x:c r="D889" s="72"/>
      <x:c r="E889" s="72"/>
      <x:c r="F889" s="72"/>
      <x:c r="G889" s="72"/>
      <x:c r="H889" s="72"/>
      <x:c r="I889" s="72"/>
      <x:c r="J889" s="72"/>
      <x:c r="K889" s="72"/>
      <x:c r="L889" s="72"/>
      <x:c r="M889" s="72"/>
      <x:c r="N889" s="72"/>
      <x:c r="O889" s="72"/>
      <x:c r="P889" s="72"/>
      <x:c r="Q889" s="72"/>
      <x:c r="R889" s="72"/>
      <x:c r="S889" s="72"/>
      <x:c r="T889" s="72"/>
      <x:c r="U889" s="72"/>
      <x:c r="V889" s="72"/>
      <x:c r="W889" s="72"/>
      <x:c r="X889" s="72"/>
      <x:c r="Y889" s="72"/>
      <x:c r="Z889" s="72"/>
      <x:c r="AA889" s="72"/>
      <x:c r="AB889" s="72"/>
      <x:c r="AC889" s="72"/>
      <x:c r="AD889" s="72"/>
      <x:c r="AE889" s="72"/>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4"/>
      <x:c r="DQ889" s="4"/>
      <x:c r="DR889" s="4"/>
      <x:c r="DS889" s="4"/>
      <x:c r="DT889" s="4"/>
      <x:c r="DU889" s="4"/>
      <x:c r="DV889" s="4"/>
      <x:c r="DW889" s="4"/>
      <x:c r="DX889" s="4"/>
      <x:c r="DY889" s="4"/>
      <x:c r="DZ889" s="4"/>
      <x:c r="EA889" s="4"/>
      <x:c r="EB889" s="4"/>
      <x:c r="EC889" s="4"/>
      <x:c r="ED889" s="4"/>
      <x:c r="EE889" s="4"/>
      <x:c r="EF889" s="4"/>
      <x:c r="EG889" s="4"/>
      <x:c r="EH889" s="4"/>
      <x:c r="EI889" s="4"/>
      <x:c r="EJ889" s="4"/>
      <x:c r="EK889" s="4"/>
      <x:c r="EL889" s="4"/>
      <x:c r="EM889" s="4"/>
      <x:c r="EN889" s="4"/>
      <x:c r="EO889" s="4"/>
      <x:c r="EP889" s="4"/>
      <x:c r="EQ889" s="4"/>
      <x:c r="ER889" s="4"/>
      <x:c r="ES889" s="4"/>
      <x:c r="ET889" s="4"/>
      <x:c r="EU889" s="4"/>
      <x:c r="EV889" s="4"/>
      <x:c r="EW889" s="4"/>
      <x:c r="EX889" s="4"/>
      <x:c r="EY889" s="4"/>
      <x:c r="EZ889" s="4"/>
      <x:c r="FA889" s="4"/>
      <x:c r="FB889" s="4"/>
      <x:c r="FC889" s="4"/>
      <x:c r="FD889" s="4"/>
      <x:c r="FE889" s="4"/>
      <x:c r="FF889" s="4"/>
      <x:c r="FG889" s="4"/>
      <x:c r="FH889" s="4"/>
      <x:c r="FI889" s="4"/>
      <x:c r="FJ889" s="4"/>
      <x:c r="FK889" s="4"/>
      <x:c r="FL889" s="4"/>
      <x:c r="FM889" s="4"/>
      <x:c r="FN889" s="4"/>
      <x:c r="FO889" s="4"/>
    </x:row>
    <x:row r="890">
      <x:c r="A890" s="72"/>
      <x:c r="B890" s="72"/>
      <x:c r="C890" s="72"/>
      <x:c r="D890" s="72"/>
      <x:c r="E890" s="72"/>
      <x:c r="F890" s="72"/>
      <x:c r="G890" s="72"/>
      <x:c r="H890" s="72"/>
      <x:c r="I890" s="72"/>
      <x:c r="J890" s="72"/>
      <x:c r="K890" s="72"/>
      <x:c r="L890" s="72"/>
      <x:c r="M890" s="72"/>
      <x:c r="N890" s="72"/>
      <x:c r="O890" s="72"/>
      <x:c r="P890" s="72"/>
      <x:c r="Q890" s="72"/>
      <x:c r="R890" s="72"/>
      <x:c r="S890" s="72"/>
      <x:c r="T890" s="72"/>
      <x:c r="U890" s="72"/>
      <x:c r="V890" s="72"/>
      <x:c r="W890" s="72"/>
      <x:c r="X890" s="72"/>
      <x:c r="Y890" s="72"/>
      <x:c r="Z890" s="72"/>
      <x:c r="AA890" s="72"/>
      <x:c r="AB890" s="72"/>
      <x:c r="AC890" s="72"/>
      <x:c r="AD890" s="72"/>
      <x:c r="AE890" s="72"/>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4"/>
      <x:c r="DQ890" s="4"/>
      <x:c r="DR890" s="4"/>
      <x:c r="DS890" s="4"/>
      <x:c r="DT890" s="4"/>
      <x:c r="DU890" s="4"/>
      <x:c r="DV890" s="4"/>
      <x:c r="DW890" s="4"/>
      <x:c r="DX890" s="4"/>
      <x:c r="DY890" s="4"/>
      <x:c r="DZ890" s="4"/>
      <x:c r="EA890" s="4"/>
      <x:c r="EB890" s="4"/>
      <x:c r="EC890" s="4"/>
      <x:c r="ED890" s="4"/>
      <x:c r="EE890" s="4"/>
      <x:c r="EF890" s="4"/>
      <x:c r="EG890" s="4"/>
      <x:c r="EH890" s="4"/>
      <x:c r="EI890" s="4"/>
      <x:c r="EJ890" s="4"/>
      <x:c r="EK890" s="4"/>
      <x:c r="EL890" s="4"/>
      <x:c r="EM890" s="4"/>
      <x:c r="EN890" s="4"/>
      <x:c r="EO890" s="4"/>
      <x:c r="EP890" s="4"/>
      <x:c r="EQ890" s="4"/>
      <x:c r="ER890" s="4"/>
      <x:c r="ES890" s="4"/>
      <x:c r="ET890" s="4"/>
      <x:c r="EU890" s="4"/>
      <x:c r="EV890" s="4"/>
      <x:c r="EW890" s="4"/>
      <x:c r="EX890" s="4"/>
      <x:c r="EY890" s="4"/>
      <x:c r="EZ890" s="4"/>
      <x:c r="FA890" s="4"/>
      <x:c r="FB890" s="4"/>
      <x:c r="FC890" s="4"/>
      <x:c r="FD890" s="4"/>
      <x:c r="FE890" s="4"/>
      <x:c r="FF890" s="4"/>
      <x:c r="FG890" s="4"/>
      <x:c r="FH890" s="4"/>
      <x:c r="FI890" s="4"/>
      <x:c r="FJ890" s="4"/>
      <x:c r="FK890" s="4"/>
      <x:c r="FL890" s="4"/>
      <x:c r="FM890" s="4"/>
      <x:c r="FN890" s="4"/>
      <x:c r="FO890" s="4"/>
    </x:row>
    <x:row r="891">
      <x:c r="A891" s="72"/>
      <x:c r="B891" s="72"/>
      <x:c r="C891" s="72"/>
      <x:c r="D891" s="72"/>
      <x:c r="E891" s="72"/>
      <x:c r="F891" s="72"/>
      <x:c r="G891" s="72"/>
      <x:c r="H891" s="72"/>
      <x:c r="I891" s="72"/>
      <x:c r="J891" s="72"/>
      <x:c r="K891" s="72"/>
      <x:c r="L891" s="72"/>
      <x:c r="M891" s="72"/>
      <x:c r="N891" s="72"/>
      <x:c r="O891" s="72"/>
      <x:c r="P891" s="72"/>
      <x:c r="Q891" s="72"/>
      <x:c r="R891" s="72"/>
      <x:c r="S891" s="72"/>
      <x:c r="T891" s="72"/>
      <x:c r="U891" s="72"/>
      <x:c r="V891" s="72"/>
      <x:c r="W891" s="72"/>
      <x:c r="X891" s="72"/>
      <x:c r="Y891" s="72"/>
      <x:c r="Z891" s="72"/>
      <x:c r="AA891" s="72"/>
      <x:c r="AB891" s="72"/>
      <x:c r="AC891" s="72"/>
      <x:c r="AD891" s="72"/>
      <x:c r="AE891" s="72"/>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4"/>
      <x:c r="DQ891" s="4"/>
      <x:c r="DR891" s="4"/>
      <x:c r="DS891" s="4"/>
      <x:c r="DT891" s="4"/>
      <x:c r="DU891" s="4"/>
      <x:c r="DV891" s="4"/>
      <x:c r="DW891" s="4"/>
      <x:c r="DX891" s="4"/>
      <x:c r="DY891" s="4"/>
      <x:c r="DZ891" s="4"/>
      <x:c r="EA891" s="4"/>
      <x:c r="EB891" s="4"/>
      <x:c r="EC891" s="4"/>
      <x:c r="ED891" s="4"/>
      <x:c r="EE891" s="4"/>
      <x:c r="EF891" s="4"/>
      <x:c r="EG891" s="4"/>
      <x:c r="EH891" s="4"/>
      <x:c r="EI891" s="4"/>
      <x:c r="EJ891" s="4"/>
      <x:c r="EK891" s="4"/>
      <x:c r="EL891" s="4"/>
      <x:c r="EM891" s="4"/>
      <x:c r="EN891" s="4"/>
      <x:c r="EO891" s="4"/>
      <x:c r="EP891" s="4"/>
      <x:c r="EQ891" s="4"/>
      <x:c r="ER891" s="4"/>
      <x:c r="ES891" s="4"/>
      <x:c r="ET891" s="4"/>
      <x:c r="EU891" s="4"/>
      <x:c r="EV891" s="4"/>
      <x:c r="EW891" s="4"/>
      <x:c r="EX891" s="4"/>
      <x:c r="EY891" s="4"/>
      <x:c r="EZ891" s="4"/>
      <x:c r="FA891" s="4"/>
      <x:c r="FB891" s="4"/>
      <x:c r="FC891" s="4"/>
      <x:c r="FD891" s="4"/>
      <x:c r="FE891" s="4"/>
      <x:c r="FF891" s="4"/>
      <x:c r="FG891" s="4"/>
      <x:c r="FH891" s="4"/>
      <x:c r="FI891" s="4"/>
      <x:c r="FJ891" s="4"/>
      <x:c r="FK891" s="4"/>
      <x:c r="FL891" s="4"/>
      <x:c r="FM891" s="4"/>
      <x:c r="FN891" s="4"/>
      <x:c r="FO891" s="4"/>
    </x:row>
    <x:row r="892">
      <x:c r="A892" s="72"/>
      <x:c r="B892" s="72"/>
      <x:c r="C892" s="72"/>
      <x:c r="D892" s="72"/>
      <x:c r="E892" s="72"/>
      <x:c r="F892" s="72"/>
      <x:c r="G892" s="72"/>
      <x:c r="H892" s="72"/>
      <x:c r="I892" s="72"/>
      <x:c r="J892" s="72"/>
      <x:c r="K892" s="72"/>
      <x:c r="L892" s="72"/>
      <x:c r="M892" s="72"/>
      <x:c r="N892" s="72"/>
      <x:c r="O892" s="72"/>
      <x:c r="P892" s="72"/>
      <x:c r="Q892" s="72"/>
      <x:c r="R892" s="72"/>
      <x:c r="S892" s="72"/>
      <x:c r="T892" s="72"/>
      <x:c r="U892" s="72"/>
      <x:c r="V892" s="72"/>
      <x:c r="W892" s="72"/>
      <x:c r="X892" s="72"/>
      <x:c r="Y892" s="72"/>
      <x:c r="Z892" s="72"/>
      <x:c r="AA892" s="72"/>
      <x:c r="AB892" s="72"/>
      <x:c r="AC892" s="72"/>
      <x:c r="AD892" s="72"/>
      <x:c r="AE892" s="72"/>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4"/>
      <x:c r="DQ892" s="4"/>
      <x:c r="DR892" s="4"/>
      <x:c r="DS892" s="4"/>
      <x:c r="DT892" s="4"/>
      <x:c r="DU892" s="4"/>
      <x:c r="DV892" s="4"/>
      <x:c r="DW892" s="4"/>
      <x:c r="DX892" s="4"/>
      <x:c r="DY892" s="4"/>
      <x:c r="DZ892" s="4"/>
      <x:c r="EA892" s="4"/>
      <x:c r="EB892" s="4"/>
      <x:c r="EC892" s="4"/>
      <x:c r="ED892" s="4"/>
      <x:c r="EE892" s="4"/>
      <x:c r="EF892" s="4"/>
      <x:c r="EG892" s="4"/>
      <x:c r="EH892" s="4"/>
      <x:c r="EI892" s="4"/>
      <x:c r="EJ892" s="4"/>
      <x:c r="EK892" s="4"/>
      <x:c r="EL892" s="4"/>
      <x:c r="EM892" s="4"/>
      <x:c r="EN892" s="4"/>
      <x:c r="EO892" s="4"/>
      <x:c r="EP892" s="4"/>
      <x:c r="EQ892" s="4"/>
      <x:c r="ER892" s="4"/>
      <x:c r="ES892" s="4"/>
      <x:c r="ET892" s="4"/>
      <x:c r="EU892" s="4"/>
      <x:c r="EV892" s="4"/>
      <x:c r="EW892" s="4"/>
      <x:c r="EX892" s="4"/>
      <x:c r="EY892" s="4"/>
      <x:c r="EZ892" s="4"/>
      <x:c r="FA892" s="4"/>
      <x:c r="FB892" s="4"/>
      <x:c r="FC892" s="4"/>
      <x:c r="FD892" s="4"/>
      <x:c r="FE892" s="4"/>
      <x:c r="FF892" s="4"/>
      <x:c r="FG892" s="4"/>
      <x:c r="FH892" s="4"/>
      <x:c r="FI892" s="4"/>
      <x:c r="FJ892" s="4"/>
      <x:c r="FK892" s="4"/>
      <x:c r="FL892" s="4"/>
      <x:c r="FM892" s="4"/>
      <x:c r="FN892" s="4"/>
      <x:c r="FO892" s="4"/>
    </x:row>
    <x:row r="893">
      <x:c r="A893" s="72"/>
      <x:c r="B893" s="72"/>
      <x:c r="C893" s="72"/>
      <x:c r="D893" s="72"/>
      <x:c r="E893" s="72"/>
      <x:c r="F893" s="72"/>
      <x:c r="G893" s="72"/>
      <x:c r="H893" s="72"/>
      <x:c r="I893" s="72"/>
      <x:c r="J893" s="72"/>
      <x:c r="K893" s="72"/>
      <x:c r="L893" s="72"/>
      <x:c r="M893" s="72"/>
      <x:c r="N893" s="72"/>
      <x:c r="O893" s="72"/>
      <x:c r="P893" s="72"/>
      <x:c r="Q893" s="72"/>
      <x:c r="R893" s="72"/>
      <x:c r="S893" s="72"/>
      <x:c r="T893" s="72"/>
      <x:c r="U893" s="72"/>
      <x:c r="V893" s="72"/>
      <x:c r="W893" s="72"/>
      <x:c r="X893" s="72"/>
      <x:c r="Y893" s="72"/>
      <x:c r="Z893" s="72"/>
      <x:c r="AA893" s="72"/>
      <x:c r="AB893" s="72"/>
      <x:c r="AC893" s="72"/>
      <x:c r="AD893" s="72"/>
      <x:c r="AE893" s="72"/>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4"/>
      <x:c r="DQ893" s="4"/>
      <x:c r="DR893" s="4"/>
      <x:c r="DS893" s="4"/>
      <x:c r="DT893" s="4"/>
      <x:c r="DU893" s="4"/>
      <x:c r="DV893" s="4"/>
      <x:c r="DW893" s="4"/>
      <x:c r="DX893" s="4"/>
      <x:c r="DY893" s="4"/>
      <x:c r="DZ893" s="4"/>
      <x:c r="EA893" s="4"/>
      <x:c r="EB893" s="4"/>
      <x:c r="EC893" s="4"/>
      <x:c r="ED893" s="4"/>
      <x:c r="EE893" s="4"/>
      <x:c r="EF893" s="4"/>
      <x:c r="EG893" s="4"/>
      <x:c r="EH893" s="4"/>
      <x:c r="EI893" s="4"/>
      <x:c r="EJ893" s="4"/>
      <x:c r="EK893" s="4"/>
      <x:c r="EL893" s="4"/>
      <x:c r="EM893" s="4"/>
      <x:c r="EN893" s="4"/>
      <x:c r="EO893" s="4"/>
      <x:c r="EP893" s="4"/>
      <x:c r="EQ893" s="4"/>
      <x:c r="ER893" s="4"/>
      <x:c r="ES893" s="4"/>
      <x:c r="ET893" s="4"/>
      <x:c r="EU893" s="4"/>
      <x:c r="EV893" s="4"/>
      <x:c r="EW893" s="4"/>
      <x:c r="EX893" s="4"/>
      <x:c r="EY893" s="4"/>
      <x:c r="EZ893" s="4"/>
      <x:c r="FA893" s="4"/>
      <x:c r="FB893" s="4"/>
      <x:c r="FC893" s="4"/>
      <x:c r="FD893" s="4"/>
      <x:c r="FE893" s="4"/>
      <x:c r="FF893" s="4"/>
      <x:c r="FG893" s="4"/>
      <x:c r="FH893" s="4"/>
      <x:c r="FI893" s="4"/>
      <x:c r="FJ893" s="4"/>
      <x:c r="FK893" s="4"/>
      <x:c r="FL893" s="4"/>
      <x:c r="FM893" s="4"/>
      <x:c r="FN893" s="4"/>
      <x:c r="FO893" s="4"/>
    </x:row>
    <x:row r="894">
      <x:c r="A894" s="72"/>
      <x:c r="B894" s="72"/>
      <x:c r="C894" s="72"/>
      <x:c r="D894" s="72"/>
      <x:c r="E894" s="72"/>
      <x:c r="F894" s="72"/>
      <x:c r="G894" s="72"/>
      <x:c r="H894" s="72"/>
      <x:c r="I894" s="72"/>
      <x:c r="J894" s="72"/>
      <x:c r="K894" s="72"/>
      <x:c r="L894" s="72"/>
      <x:c r="M894" s="72"/>
      <x:c r="N894" s="72"/>
      <x:c r="O894" s="72"/>
      <x:c r="P894" s="72"/>
      <x:c r="Q894" s="72"/>
      <x:c r="R894" s="72"/>
      <x:c r="S894" s="72"/>
      <x:c r="T894" s="72"/>
      <x:c r="U894" s="72"/>
      <x:c r="V894" s="72"/>
      <x:c r="W894" s="72"/>
      <x:c r="X894" s="72"/>
      <x:c r="Y894" s="72"/>
      <x:c r="Z894" s="72"/>
      <x:c r="AA894" s="72"/>
      <x:c r="AB894" s="72"/>
      <x:c r="AC894" s="72"/>
      <x:c r="AD894" s="72"/>
      <x:c r="AE894" s="72"/>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4"/>
      <x:c r="DQ894" s="4"/>
      <x:c r="DR894" s="4"/>
      <x:c r="DS894" s="4"/>
      <x:c r="DT894" s="4"/>
      <x:c r="DU894" s="4"/>
      <x:c r="DV894" s="4"/>
      <x:c r="DW894" s="4"/>
      <x:c r="DX894" s="4"/>
      <x:c r="DY894" s="4"/>
      <x:c r="DZ894" s="4"/>
      <x:c r="EA894" s="4"/>
      <x:c r="EB894" s="4"/>
      <x:c r="EC894" s="4"/>
      <x:c r="ED894" s="4"/>
      <x:c r="EE894" s="4"/>
      <x:c r="EF894" s="4"/>
      <x:c r="EG894" s="4"/>
      <x:c r="EH894" s="4"/>
      <x:c r="EI894" s="4"/>
      <x:c r="EJ894" s="4"/>
      <x:c r="EK894" s="4"/>
      <x:c r="EL894" s="4"/>
      <x:c r="EM894" s="4"/>
      <x:c r="EN894" s="4"/>
      <x:c r="EO894" s="4"/>
      <x:c r="EP894" s="4"/>
      <x:c r="EQ894" s="4"/>
      <x:c r="ER894" s="4"/>
      <x:c r="ES894" s="4"/>
      <x:c r="ET894" s="4"/>
      <x:c r="EU894" s="4"/>
      <x:c r="EV894" s="4"/>
      <x:c r="EW894" s="4"/>
      <x:c r="EX894" s="4"/>
      <x:c r="EY894" s="4"/>
      <x:c r="EZ894" s="4"/>
      <x:c r="FA894" s="4"/>
      <x:c r="FB894" s="4"/>
      <x:c r="FC894" s="4"/>
      <x:c r="FD894" s="4"/>
      <x:c r="FE894" s="4"/>
      <x:c r="FF894" s="4"/>
      <x:c r="FG894" s="4"/>
      <x:c r="FH894" s="4"/>
      <x:c r="FI894" s="4"/>
      <x:c r="FJ894" s="4"/>
      <x:c r="FK894" s="4"/>
      <x:c r="FL894" s="4"/>
      <x:c r="FM894" s="4"/>
      <x:c r="FN894" s="4"/>
      <x:c r="FO894" s="4"/>
    </x:row>
    <x:row r="895">
      <x:c r="A895" s="72"/>
      <x:c r="B895" s="72"/>
      <x:c r="C895" s="72"/>
      <x:c r="D895" s="72"/>
      <x:c r="E895" s="72"/>
      <x:c r="F895" s="72"/>
      <x:c r="G895" s="72"/>
      <x:c r="H895" s="72"/>
      <x:c r="I895" s="72"/>
      <x:c r="J895" s="72"/>
      <x:c r="K895" s="72"/>
      <x:c r="L895" s="72"/>
      <x:c r="M895" s="72"/>
      <x:c r="N895" s="72"/>
      <x:c r="O895" s="72"/>
      <x:c r="P895" s="72"/>
      <x:c r="Q895" s="72"/>
      <x:c r="R895" s="72"/>
      <x:c r="S895" s="72"/>
      <x:c r="T895" s="72"/>
      <x:c r="U895" s="72"/>
      <x:c r="V895" s="72"/>
      <x:c r="W895" s="72"/>
      <x:c r="X895" s="72"/>
      <x:c r="Y895" s="72"/>
      <x:c r="Z895" s="72"/>
      <x:c r="AA895" s="72"/>
      <x:c r="AB895" s="72"/>
      <x:c r="AC895" s="72"/>
      <x:c r="AD895" s="72"/>
      <x:c r="AE895" s="72"/>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4"/>
      <x:c r="DQ895" s="4"/>
      <x:c r="DR895" s="4"/>
      <x:c r="DS895" s="4"/>
      <x:c r="DT895" s="4"/>
      <x:c r="DU895" s="4"/>
      <x:c r="DV895" s="4"/>
      <x:c r="DW895" s="4"/>
      <x:c r="DX895" s="4"/>
      <x:c r="DY895" s="4"/>
      <x:c r="DZ895" s="4"/>
      <x:c r="EA895" s="4"/>
      <x:c r="EB895" s="4"/>
      <x:c r="EC895" s="4"/>
      <x:c r="ED895" s="4"/>
      <x:c r="EE895" s="4"/>
      <x:c r="EF895" s="4"/>
      <x:c r="EG895" s="4"/>
      <x:c r="EH895" s="4"/>
      <x:c r="EI895" s="4"/>
      <x:c r="EJ895" s="4"/>
      <x:c r="EK895" s="4"/>
      <x:c r="EL895" s="4"/>
      <x:c r="EM895" s="4"/>
      <x:c r="EN895" s="4"/>
      <x:c r="EO895" s="4"/>
      <x:c r="EP895" s="4"/>
      <x:c r="EQ895" s="4"/>
      <x:c r="ER895" s="4"/>
      <x:c r="ES895" s="4"/>
      <x:c r="ET895" s="4"/>
      <x:c r="EU895" s="4"/>
      <x:c r="EV895" s="4"/>
      <x:c r="EW895" s="4"/>
      <x:c r="EX895" s="4"/>
      <x:c r="EY895" s="4"/>
      <x:c r="EZ895" s="4"/>
      <x:c r="FA895" s="4"/>
      <x:c r="FB895" s="4"/>
      <x:c r="FC895" s="4"/>
      <x:c r="FD895" s="4"/>
      <x:c r="FE895" s="4"/>
      <x:c r="FF895" s="4"/>
      <x:c r="FG895" s="4"/>
      <x:c r="FH895" s="4"/>
      <x:c r="FI895" s="4"/>
      <x:c r="FJ895" s="4"/>
      <x:c r="FK895" s="4"/>
      <x:c r="FL895" s="4"/>
      <x:c r="FM895" s="4"/>
      <x:c r="FN895" s="4"/>
      <x:c r="FO895" s="4"/>
    </x:row>
    <x:row r="896">
      <x:c r="A896" s="72"/>
      <x:c r="B896" s="72"/>
      <x:c r="C896" s="72"/>
      <x:c r="D896" s="72"/>
      <x:c r="E896" s="72"/>
      <x:c r="F896" s="72"/>
      <x:c r="G896" s="72"/>
      <x:c r="H896" s="72"/>
      <x:c r="I896" s="72"/>
      <x:c r="J896" s="72"/>
      <x:c r="K896" s="72"/>
      <x:c r="L896" s="72"/>
      <x:c r="M896" s="72"/>
      <x:c r="N896" s="72"/>
      <x:c r="O896" s="72"/>
      <x:c r="P896" s="72"/>
      <x:c r="Q896" s="72"/>
      <x:c r="R896" s="72"/>
      <x:c r="S896" s="72"/>
      <x:c r="T896" s="72"/>
      <x:c r="U896" s="72"/>
      <x:c r="V896" s="72"/>
      <x:c r="W896" s="72"/>
      <x:c r="X896" s="72"/>
      <x:c r="Y896" s="72"/>
      <x:c r="Z896" s="72"/>
      <x:c r="AA896" s="72"/>
      <x:c r="AB896" s="72"/>
      <x:c r="AC896" s="72"/>
      <x:c r="AD896" s="72"/>
      <x:c r="AE896" s="72"/>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4"/>
      <x:c r="DQ896" s="4"/>
      <x:c r="DR896" s="4"/>
      <x:c r="DS896" s="4"/>
      <x:c r="DT896" s="4"/>
      <x:c r="DU896" s="4"/>
      <x:c r="DV896" s="4"/>
      <x:c r="DW896" s="4"/>
      <x:c r="DX896" s="4"/>
      <x:c r="DY896" s="4"/>
      <x:c r="DZ896" s="4"/>
      <x:c r="EA896" s="4"/>
      <x:c r="EB896" s="4"/>
      <x:c r="EC896" s="4"/>
      <x:c r="ED896" s="4"/>
      <x:c r="EE896" s="4"/>
      <x:c r="EF896" s="4"/>
      <x:c r="EG896" s="4"/>
      <x:c r="EH896" s="4"/>
      <x:c r="EI896" s="4"/>
      <x:c r="EJ896" s="4"/>
      <x:c r="EK896" s="4"/>
      <x:c r="EL896" s="4"/>
      <x:c r="EM896" s="4"/>
      <x:c r="EN896" s="4"/>
      <x:c r="EO896" s="4"/>
      <x:c r="EP896" s="4"/>
      <x:c r="EQ896" s="4"/>
      <x:c r="ER896" s="4"/>
      <x:c r="ES896" s="4"/>
      <x:c r="ET896" s="4"/>
      <x:c r="EU896" s="4"/>
      <x:c r="EV896" s="4"/>
      <x:c r="EW896" s="4"/>
      <x:c r="EX896" s="4"/>
      <x:c r="EY896" s="4"/>
      <x:c r="EZ896" s="4"/>
      <x:c r="FA896" s="4"/>
      <x:c r="FB896" s="4"/>
      <x:c r="FC896" s="4"/>
      <x:c r="FD896" s="4"/>
      <x:c r="FE896" s="4"/>
      <x:c r="FF896" s="4"/>
      <x:c r="FG896" s="4"/>
      <x:c r="FH896" s="4"/>
      <x:c r="FI896" s="4"/>
      <x:c r="FJ896" s="4"/>
      <x:c r="FK896" s="4"/>
      <x:c r="FL896" s="4"/>
      <x:c r="FM896" s="4"/>
      <x:c r="FN896" s="4"/>
      <x:c r="FO896" s="4"/>
    </x:row>
    <x:row r="897">
      <x:c r="A897" s="72"/>
      <x:c r="B897" s="72"/>
      <x:c r="C897" s="72"/>
      <x:c r="D897" s="72"/>
      <x:c r="E897" s="72"/>
      <x:c r="F897" s="72"/>
      <x:c r="G897" s="72"/>
      <x:c r="H897" s="72"/>
      <x:c r="I897" s="72"/>
      <x:c r="J897" s="72"/>
      <x:c r="K897" s="72"/>
      <x:c r="L897" s="72"/>
      <x:c r="M897" s="72"/>
      <x:c r="N897" s="72"/>
      <x:c r="O897" s="72"/>
      <x:c r="P897" s="72"/>
      <x:c r="Q897" s="72"/>
      <x:c r="R897" s="72"/>
      <x:c r="S897" s="72"/>
      <x:c r="T897" s="72"/>
      <x:c r="U897" s="72"/>
      <x:c r="V897" s="72"/>
      <x:c r="W897" s="72"/>
      <x:c r="X897" s="72"/>
      <x:c r="Y897" s="72"/>
      <x:c r="Z897" s="72"/>
      <x:c r="AA897" s="72"/>
      <x:c r="AB897" s="72"/>
      <x:c r="AC897" s="72"/>
      <x:c r="AD897" s="72"/>
      <x:c r="AE897" s="72"/>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4"/>
      <x:c r="DQ897" s="4"/>
      <x:c r="DR897" s="4"/>
      <x:c r="DS897" s="4"/>
      <x:c r="DT897" s="4"/>
      <x:c r="DU897" s="4"/>
      <x:c r="DV897" s="4"/>
      <x:c r="DW897" s="4"/>
      <x:c r="DX897" s="4"/>
      <x:c r="DY897" s="4"/>
      <x:c r="DZ897" s="4"/>
      <x:c r="EA897" s="4"/>
      <x:c r="EB897" s="4"/>
      <x:c r="EC897" s="4"/>
      <x:c r="ED897" s="4"/>
      <x:c r="EE897" s="4"/>
      <x:c r="EF897" s="4"/>
      <x:c r="EG897" s="4"/>
      <x:c r="EH897" s="4"/>
      <x:c r="EI897" s="4"/>
      <x:c r="EJ897" s="4"/>
      <x:c r="EK897" s="4"/>
      <x:c r="EL897" s="4"/>
      <x:c r="EM897" s="4"/>
      <x:c r="EN897" s="4"/>
      <x:c r="EO897" s="4"/>
      <x:c r="EP897" s="4"/>
      <x:c r="EQ897" s="4"/>
      <x:c r="ER897" s="4"/>
      <x:c r="ES897" s="4"/>
      <x:c r="ET897" s="4"/>
      <x:c r="EU897" s="4"/>
      <x:c r="EV897" s="4"/>
      <x:c r="EW897" s="4"/>
      <x:c r="EX897" s="4"/>
      <x:c r="EY897" s="4"/>
      <x:c r="EZ897" s="4"/>
      <x:c r="FA897" s="4"/>
      <x:c r="FB897" s="4"/>
      <x:c r="FC897" s="4"/>
      <x:c r="FD897" s="4"/>
      <x:c r="FE897" s="4"/>
      <x:c r="FF897" s="4"/>
      <x:c r="FG897" s="4"/>
      <x:c r="FH897" s="4"/>
      <x:c r="FI897" s="4"/>
      <x:c r="FJ897" s="4"/>
      <x:c r="FK897" s="4"/>
      <x:c r="FL897" s="4"/>
      <x:c r="FM897" s="4"/>
      <x:c r="FN897" s="4"/>
      <x:c r="FO897" s="4"/>
    </x:row>
    <x:row r="898">
      <x:c r="A898" s="72"/>
      <x:c r="B898" s="72"/>
      <x:c r="C898" s="72"/>
      <x:c r="D898" s="72"/>
      <x:c r="E898" s="72"/>
      <x:c r="F898" s="72"/>
      <x:c r="G898" s="72"/>
      <x:c r="H898" s="72"/>
      <x:c r="I898" s="72"/>
      <x:c r="J898" s="72"/>
      <x:c r="K898" s="72"/>
      <x:c r="L898" s="72"/>
      <x:c r="M898" s="72"/>
      <x:c r="N898" s="72"/>
      <x:c r="O898" s="72"/>
      <x:c r="P898" s="72"/>
      <x:c r="Q898" s="72"/>
      <x:c r="R898" s="72"/>
      <x:c r="S898" s="72"/>
      <x:c r="T898" s="72"/>
      <x:c r="U898" s="72"/>
      <x:c r="V898" s="72"/>
      <x:c r="W898" s="72"/>
      <x:c r="X898" s="72"/>
      <x:c r="Y898" s="72"/>
      <x:c r="Z898" s="72"/>
      <x:c r="AA898" s="72"/>
      <x:c r="AB898" s="72"/>
      <x:c r="AC898" s="72"/>
      <x:c r="AD898" s="72"/>
      <x:c r="AE898" s="72"/>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4"/>
      <x:c r="DQ898" s="4"/>
      <x:c r="DR898" s="4"/>
      <x:c r="DS898" s="4"/>
      <x:c r="DT898" s="4"/>
      <x:c r="DU898" s="4"/>
      <x:c r="DV898" s="4"/>
      <x:c r="DW898" s="4"/>
      <x:c r="DX898" s="4"/>
      <x:c r="DY898" s="4"/>
      <x:c r="DZ898" s="4"/>
      <x:c r="EA898" s="4"/>
      <x:c r="EB898" s="4"/>
      <x:c r="EC898" s="4"/>
      <x:c r="ED898" s="4"/>
      <x:c r="EE898" s="4"/>
      <x:c r="EF898" s="4"/>
      <x:c r="EG898" s="4"/>
      <x:c r="EH898" s="4"/>
      <x:c r="EI898" s="4"/>
      <x:c r="EJ898" s="4"/>
      <x:c r="EK898" s="4"/>
      <x:c r="EL898" s="4"/>
      <x:c r="EM898" s="4"/>
      <x:c r="EN898" s="4"/>
      <x:c r="EO898" s="4"/>
      <x:c r="EP898" s="4"/>
      <x:c r="EQ898" s="4"/>
      <x:c r="ER898" s="4"/>
      <x:c r="ES898" s="4"/>
      <x:c r="ET898" s="4"/>
      <x:c r="EU898" s="4"/>
      <x:c r="EV898" s="4"/>
      <x:c r="EW898" s="4"/>
      <x:c r="EX898" s="4"/>
      <x:c r="EY898" s="4"/>
      <x:c r="EZ898" s="4"/>
      <x:c r="FA898" s="4"/>
      <x:c r="FB898" s="4"/>
      <x:c r="FC898" s="4"/>
      <x:c r="FD898" s="4"/>
      <x:c r="FE898" s="4"/>
      <x:c r="FF898" s="4"/>
      <x:c r="FG898" s="4"/>
      <x:c r="FH898" s="4"/>
      <x:c r="FI898" s="4"/>
      <x:c r="FJ898" s="4"/>
      <x:c r="FK898" s="4"/>
      <x:c r="FL898" s="4"/>
      <x:c r="FM898" s="4"/>
      <x:c r="FN898" s="4"/>
      <x:c r="FO898" s="4"/>
    </x:row>
    <x:row r="899">
      <x:c r="A899" s="72"/>
      <x:c r="B899" s="72"/>
      <x:c r="C899" s="72"/>
      <x:c r="D899" s="72"/>
      <x:c r="E899" s="72"/>
      <x:c r="F899" s="72"/>
      <x:c r="G899" s="72"/>
      <x:c r="H899" s="72"/>
      <x:c r="I899" s="72"/>
      <x:c r="J899" s="72"/>
      <x:c r="K899" s="72"/>
      <x:c r="L899" s="72"/>
      <x:c r="M899" s="72"/>
      <x:c r="N899" s="72"/>
      <x:c r="O899" s="72"/>
      <x:c r="P899" s="72"/>
      <x:c r="Q899" s="72"/>
      <x:c r="R899" s="72"/>
      <x:c r="S899" s="72"/>
      <x:c r="T899" s="72"/>
      <x:c r="U899" s="72"/>
      <x:c r="V899" s="72"/>
      <x:c r="W899" s="72"/>
      <x:c r="X899" s="72"/>
      <x:c r="Y899" s="72"/>
      <x:c r="Z899" s="72"/>
      <x:c r="AA899" s="72"/>
      <x:c r="AB899" s="72"/>
      <x:c r="AC899" s="72"/>
      <x:c r="AD899" s="72"/>
      <x:c r="AE899" s="72"/>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4"/>
      <x:c r="DQ899" s="4"/>
      <x:c r="DR899" s="4"/>
      <x:c r="DS899" s="4"/>
      <x:c r="DT899" s="4"/>
      <x:c r="DU899" s="4"/>
      <x:c r="DV899" s="4"/>
      <x:c r="DW899" s="4"/>
      <x:c r="DX899" s="4"/>
      <x:c r="DY899" s="4"/>
      <x:c r="DZ899" s="4"/>
      <x:c r="EA899" s="4"/>
      <x:c r="EB899" s="4"/>
      <x:c r="EC899" s="4"/>
      <x:c r="ED899" s="4"/>
      <x:c r="EE899" s="4"/>
      <x:c r="EF899" s="4"/>
      <x:c r="EG899" s="4"/>
      <x:c r="EH899" s="4"/>
      <x:c r="EI899" s="4"/>
      <x:c r="EJ899" s="4"/>
      <x:c r="EK899" s="4"/>
      <x:c r="EL899" s="4"/>
      <x:c r="EM899" s="4"/>
      <x:c r="EN899" s="4"/>
      <x:c r="EO899" s="4"/>
      <x:c r="EP899" s="4"/>
      <x:c r="EQ899" s="4"/>
      <x:c r="ER899" s="4"/>
      <x:c r="ES899" s="4"/>
      <x:c r="ET899" s="4"/>
      <x:c r="EU899" s="4"/>
      <x:c r="EV899" s="4"/>
      <x:c r="EW899" s="4"/>
      <x:c r="EX899" s="4"/>
      <x:c r="EY899" s="4"/>
      <x:c r="EZ899" s="4"/>
      <x:c r="FA899" s="4"/>
      <x:c r="FB899" s="4"/>
      <x:c r="FC899" s="4"/>
      <x:c r="FD899" s="4"/>
      <x:c r="FE899" s="4"/>
      <x:c r="FF899" s="4"/>
      <x:c r="FG899" s="4"/>
      <x:c r="FH899" s="4"/>
      <x:c r="FI899" s="4"/>
      <x:c r="FJ899" s="4"/>
      <x:c r="FK899" s="4"/>
      <x:c r="FL899" s="4"/>
      <x:c r="FM899" s="4"/>
      <x:c r="FN899" s="4"/>
      <x:c r="FO899" s="4"/>
    </x:row>
    <x:row r="900">
      <x:c r="A900" s="72"/>
      <x:c r="B900" s="72"/>
      <x:c r="C900" s="72"/>
      <x:c r="D900" s="72"/>
      <x:c r="E900" s="72"/>
      <x:c r="F900" s="72"/>
      <x:c r="G900" s="72"/>
      <x:c r="H900" s="72"/>
      <x:c r="I900" s="72"/>
      <x:c r="J900" s="72"/>
      <x:c r="K900" s="72"/>
      <x:c r="L900" s="72"/>
      <x:c r="M900" s="72"/>
      <x:c r="N900" s="72"/>
      <x:c r="O900" s="72"/>
      <x:c r="P900" s="72"/>
      <x:c r="Q900" s="72"/>
      <x:c r="R900" s="72"/>
      <x:c r="S900" s="72"/>
      <x:c r="T900" s="72"/>
      <x:c r="U900" s="72"/>
      <x:c r="V900" s="72"/>
      <x:c r="W900" s="72"/>
      <x:c r="X900" s="72"/>
      <x:c r="Y900" s="72"/>
      <x:c r="Z900" s="72"/>
      <x:c r="AA900" s="72"/>
      <x:c r="AB900" s="72"/>
      <x:c r="AC900" s="72"/>
      <x:c r="AD900" s="72"/>
      <x:c r="AE900" s="72"/>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4"/>
      <x:c r="DQ900" s="4"/>
      <x:c r="DR900" s="4"/>
      <x:c r="DS900" s="4"/>
      <x:c r="DT900" s="4"/>
      <x:c r="DU900" s="4"/>
      <x:c r="DV900" s="4"/>
      <x:c r="DW900" s="4"/>
      <x:c r="DX900" s="4"/>
      <x:c r="DY900" s="4"/>
      <x:c r="DZ900" s="4"/>
      <x:c r="EA900" s="4"/>
      <x:c r="EB900" s="4"/>
      <x:c r="EC900" s="4"/>
      <x:c r="ED900" s="4"/>
      <x:c r="EE900" s="4"/>
      <x:c r="EF900" s="4"/>
      <x:c r="EG900" s="4"/>
      <x:c r="EH900" s="4"/>
      <x:c r="EI900" s="4"/>
      <x:c r="EJ900" s="4"/>
      <x:c r="EK900" s="4"/>
      <x:c r="EL900" s="4"/>
      <x:c r="EM900" s="4"/>
      <x:c r="EN900" s="4"/>
      <x:c r="EO900" s="4"/>
      <x:c r="EP900" s="4"/>
      <x:c r="EQ900" s="4"/>
      <x:c r="ER900" s="4"/>
      <x:c r="ES900" s="4"/>
      <x:c r="ET900" s="4"/>
      <x:c r="EU900" s="4"/>
      <x:c r="EV900" s="4"/>
      <x:c r="EW900" s="4"/>
      <x:c r="EX900" s="4"/>
      <x:c r="EY900" s="4"/>
      <x:c r="EZ900" s="4"/>
      <x:c r="FA900" s="4"/>
      <x:c r="FB900" s="4"/>
      <x:c r="FC900" s="4"/>
      <x:c r="FD900" s="4"/>
      <x:c r="FE900" s="4"/>
      <x:c r="FF900" s="4"/>
      <x:c r="FG900" s="4"/>
      <x:c r="FH900" s="4"/>
      <x:c r="FI900" s="4"/>
      <x:c r="FJ900" s="4"/>
      <x:c r="FK900" s="4"/>
      <x:c r="FL900" s="4"/>
      <x:c r="FM900" s="4"/>
      <x:c r="FN900" s="4"/>
      <x:c r="FO900" s="4"/>
    </x:row>
    <x:row r="901">
      <x:c r="A901" s="72"/>
      <x:c r="B901" s="72"/>
      <x:c r="C901" s="72"/>
      <x:c r="D901" s="72"/>
      <x:c r="E901" s="72"/>
      <x:c r="F901" s="72"/>
      <x:c r="G901" s="72"/>
      <x:c r="H901" s="72"/>
      <x:c r="I901" s="72"/>
      <x:c r="J901" s="72"/>
      <x:c r="K901" s="72"/>
      <x:c r="L901" s="72"/>
      <x:c r="M901" s="72"/>
      <x:c r="N901" s="72"/>
      <x:c r="O901" s="72"/>
      <x:c r="P901" s="72"/>
      <x:c r="Q901" s="72"/>
      <x:c r="R901" s="72"/>
      <x:c r="S901" s="72"/>
      <x:c r="T901" s="72"/>
      <x:c r="U901" s="72"/>
      <x:c r="V901" s="72"/>
      <x:c r="W901" s="72"/>
      <x:c r="X901" s="72"/>
      <x:c r="Y901" s="72"/>
      <x:c r="Z901" s="72"/>
      <x:c r="AA901" s="72"/>
      <x:c r="AB901" s="72"/>
      <x:c r="AC901" s="72"/>
      <x:c r="AD901" s="72"/>
      <x:c r="AE901" s="72"/>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4"/>
      <x:c r="DQ901" s="4"/>
      <x:c r="DR901" s="4"/>
      <x:c r="DS901" s="4"/>
      <x:c r="DT901" s="4"/>
      <x:c r="DU901" s="4"/>
      <x:c r="DV901" s="4"/>
      <x:c r="DW901" s="4"/>
      <x:c r="DX901" s="4"/>
      <x:c r="DY901" s="4"/>
      <x:c r="DZ901" s="4"/>
      <x:c r="EA901" s="4"/>
      <x:c r="EB901" s="4"/>
      <x:c r="EC901" s="4"/>
      <x:c r="ED901" s="4"/>
      <x:c r="EE901" s="4"/>
      <x:c r="EF901" s="4"/>
      <x:c r="EG901" s="4"/>
      <x:c r="EH901" s="4"/>
      <x:c r="EI901" s="4"/>
      <x:c r="EJ901" s="4"/>
      <x:c r="EK901" s="4"/>
      <x:c r="EL901" s="4"/>
      <x:c r="EM901" s="4"/>
      <x:c r="EN901" s="4"/>
      <x:c r="EO901" s="4"/>
      <x:c r="EP901" s="4"/>
      <x:c r="EQ901" s="4"/>
      <x:c r="ER901" s="4"/>
      <x:c r="ES901" s="4"/>
      <x:c r="ET901" s="4"/>
      <x:c r="EU901" s="4"/>
      <x:c r="EV901" s="4"/>
      <x:c r="EW901" s="4"/>
      <x:c r="EX901" s="4"/>
      <x:c r="EY901" s="4"/>
      <x:c r="EZ901" s="4"/>
      <x:c r="FA901" s="4"/>
      <x:c r="FB901" s="4"/>
      <x:c r="FC901" s="4"/>
      <x:c r="FD901" s="4"/>
      <x:c r="FE901" s="4"/>
      <x:c r="FF901" s="4"/>
      <x:c r="FG901" s="4"/>
      <x:c r="FH901" s="4"/>
      <x:c r="FI901" s="4"/>
      <x:c r="FJ901" s="4"/>
      <x:c r="FK901" s="4"/>
      <x:c r="FL901" s="4"/>
      <x:c r="FM901" s="4"/>
      <x:c r="FN901" s="4"/>
      <x:c r="FO901" s="4"/>
    </x:row>
    <x:row r="902">
      <x:c r="A902" s="72"/>
      <x:c r="B902" s="72"/>
      <x:c r="C902" s="72"/>
      <x:c r="D902" s="72"/>
      <x:c r="E902" s="72"/>
      <x:c r="F902" s="72"/>
      <x:c r="G902" s="72"/>
      <x:c r="H902" s="72"/>
      <x:c r="I902" s="72"/>
      <x:c r="J902" s="72"/>
      <x:c r="K902" s="72"/>
      <x:c r="L902" s="72"/>
      <x:c r="M902" s="72"/>
      <x:c r="N902" s="72"/>
      <x:c r="O902" s="72"/>
      <x:c r="P902" s="72"/>
      <x:c r="Q902" s="72"/>
      <x:c r="R902" s="72"/>
      <x:c r="S902" s="72"/>
      <x:c r="T902" s="72"/>
      <x:c r="U902" s="72"/>
      <x:c r="V902" s="72"/>
      <x:c r="W902" s="72"/>
      <x:c r="X902" s="72"/>
      <x:c r="Y902" s="72"/>
      <x:c r="Z902" s="72"/>
      <x:c r="AA902" s="72"/>
      <x:c r="AB902" s="72"/>
      <x:c r="AC902" s="72"/>
      <x:c r="AD902" s="72"/>
      <x:c r="AE902" s="72"/>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4"/>
      <x:c r="DQ902" s="4"/>
      <x:c r="DR902" s="4"/>
      <x:c r="DS902" s="4"/>
      <x:c r="DT902" s="4"/>
      <x:c r="DU902" s="4"/>
      <x:c r="DV902" s="4"/>
      <x:c r="DW902" s="4"/>
      <x:c r="DX902" s="4"/>
      <x:c r="DY902" s="4"/>
      <x:c r="DZ902" s="4"/>
      <x:c r="EA902" s="4"/>
      <x:c r="EB902" s="4"/>
      <x:c r="EC902" s="4"/>
      <x:c r="ED902" s="4"/>
      <x:c r="EE902" s="4"/>
      <x:c r="EF902" s="4"/>
      <x:c r="EG902" s="4"/>
      <x:c r="EH902" s="4"/>
      <x:c r="EI902" s="4"/>
      <x:c r="EJ902" s="4"/>
      <x:c r="EK902" s="4"/>
      <x:c r="EL902" s="4"/>
      <x:c r="EM902" s="4"/>
      <x:c r="EN902" s="4"/>
      <x:c r="EO902" s="4"/>
      <x:c r="EP902" s="4"/>
      <x:c r="EQ902" s="4"/>
      <x:c r="ER902" s="4"/>
      <x:c r="ES902" s="4"/>
      <x:c r="ET902" s="4"/>
      <x:c r="EU902" s="4"/>
      <x:c r="EV902" s="4"/>
      <x:c r="EW902" s="4"/>
      <x:c r="EX902" s="4"/>
      <x:c r="EY902" s="4"/>
      <x:c r="EZ902" s="4"/>
      <x:c r="FA902" s="4"/>
      <x:c r="FB902" s="4"/>
      <x:c r="FC902" s="4"/>
      <x:c r="FD902" s="4"/>
      <x:c r="FE902" s="4"/>
      <x:c r="FF902" s="4"/>
      <x:c r="FG902" s="4"/>
      <x:c r="FH902" s="4"/>
      <x:c r="FI902" s="4"/>
      <x:c r="FJ902" s="4"/>
      <x:c r="FK902" s="4"/>
      <x:c r="FL902" s="4"/>
      <x:c r="FM902" s="4"/>
      <x:c r="FN902" s="4"/>
      <x:c r="FO902" s="4"/>
    </x:row>
    <x:row r="903">
      <x:c r="A903" s="72"/>
      <x:c r="B903" s="72"/>
      <x:c r="C903" s="72"/>
      <x:c r="D903" s="72"/>
      <x:c r="E903" s="72"/>
      <x:c r="F903" s="72"/>
      <x:c r="G903" s="72"/>
      <x:c r="H903" s="72"/>
      <x:c r="I903" s="72"/>
      <x:c r="J903" s="72"/>
      <x:c r="K903" s="72"/>
      <x:c r="L903" s="72"/>
      <x:c r="M903" s="72"/>
      <x:c r="N903" s="72"/>
      <x:c r="O903" s="72"/>
      <x:c r="P903" s="72"/>
      <x:c r="Q903" s="72"/>
      <x:c r="R903" s="72"/>
      <x:c r="S903" s="72"/>
      <x:c r="T903" s="72"/>
      <x:c r="U903" s="72"/>
      <x:c r="V903" s="72"/>
      <x:c r="W903" s="72"/>
      <x:c r="X903" s="72"/>
      <x:c r="Y903" s="72"/>
      <x:c r="Z903" s="72"/>
      <x:c r="AA903" s="72"/>
      <x:c r="AB903" s="72"/>
      <x:c r="AC903" s="72"/>
      <x:c r="AD903" s="72"/>
      <x:c r="AE903" s="72"/>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4"/>
      <x:c r="DQ903" s="4"/>
      <x:c r="DR903" s="4"/>
      <x:c r="DS903" s="4"/>
      <x:c r="DT903" s="4"/>
      <x:c r="DU903" s="4"/>
      <x:c r="DV903" s="4"/>
      <x:c r="DW903" s="4"/>
      <x:c r="DX903" s="4"/>
      <x:c r="DY903" s="4"/>
      <x:c r="DZ903" s="4"/>
      <x:c r="EA903" s="4"/>
      <x:c r="EB903" s="4"/>
      <x:c r="EC903" s="4"/>
      <x:c r="ED903" s="4"/>
      <x:c r="EE903" s="4"/>
      <x:c r="EF903" s="4"/>
      <x:c r="EG903" s="4"/>
      <x:c r="EH903" s="4"/>
      <x:c r="EI903" s="4"/>
      <x:c r="EJ903" s="4"/>
      <x:c r="EK903" s="4"/>
      <x:c r="EL903" s="4"/>
      <x:c r="EM903" s="4"/>
      <x:c r="EN903" s="4"/>
      <x:c r="EO903" s="4"/>
      <x:c r="EP903" s="4"/>
      <x:c r="EQ903" s="4"/>
      <x:c r="ER903" s="4"/>
      <x:c r="ES903" s="4"/>
      <x:c r="ET903" s="4"/>
      <x:c r="EU903" s="4"/>
      <x:c r="EV903" s="4"/>
      <x:c r="EW903" s="4"/>
      <x:c r="EX903" s="4"/>
      <x:c r="EY903" s="4"/>
      <x:c r="EZ903" s="4"/>
      <x:c r="FA903" s="4"/>
      <x:c r="FB903" s="4"/>
      <x:c r="FC903" s="4"/>
      <x:c r="FD903" s="4"/>
      <x:c r="FE903" s="4"/>
      <x:c r="FF903" s="4"/>
      <x:c r="FG903" s="4"/>
      <x:c r="FH903" s="4"/>
      <x:c r="FI903" s="4"/>
      <x:c r="FJ903" s="4"/>
      <x:c r="FK903" s="4"/>
      <x:c r="FL903" s="4"/>
      <x:c r="FM903" s="4"/>
      <x:c r="FN903" s="4"/>
      <x:c r="FO903" s="4"/>
    </x:row>
    <x:row r="904">
      <x:c r="A904" s="72"/>
      <x:c r="B904" s="72"/>
      <x:c r="C904" s="72"/>
      <x:c r="D904" s="72"/>
      <x:c r="E904" s="72"/>
      <x:c r="F904" s="72"/>
      <x:c r="G904" s="72"/>
      <x:c r="H904" s="72"/>
      <x:c r="I904" s="72"/>
      <x:c r="J904" s="72"/>
      <x:c r="K904" s="72"/>
      <x:c r="L904" s="72"/>
      <x:c r="M904" s="72"/>
      <x:c r="N904" s="72"/>
      <x:c r="O904" s="72"/>
      <x:c r="P904" s="72"/>
      <x:c r="Q904" s="72"/>
      <x:c r="R904" s="72"/>
      <x:c r="S904" s="72"/>
      <x:c r="T904" s="72"/>
      <x:c r="U904" s="72"/>
      <x:c r="V904" s="72"/>
      <x:c r="W904" s="72"/>
      <x:c r="X904" s="72"/>
      <x:c r="Y904" s="72"/>
      <x:c r="Z904" s="72"/>
      <x:c r="AA904" s="72"/>
      <x:c r="AB904" s="72"/>
      <x:c r="AC904" s="72"/>
      <x:c r="AD904" s="72"/>
      <x:c r="AE904" s="72"/>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4"/>
      <x:c r="DQ904" s="4"/>
      <x:c r="DR904" s="4"/>
      <x:c r="DS904" s="4"/>
      <x:c r="DT904" s="4"/>
      <x:c r="DU904" s="4"/>
      <x:c r="DV904" s="4"/>
      <x:c r="DW904" s="4"/>
      <x:c r="DX904" s="4"/>
      <x:c r="DY904" s="4"/>
      <x:c r="DZ904" s="4"/>
      <x:c r="EA904" s="4"/>
      <x:c r="EB904" s="4"/>
      <x:c r="EC904" s="4"/>
      <x:c r="ED904" s="4"/>
      <x:c r="EE904" s="4"/>
      <x:c r="EF904" s="4"/>
      <x:c r="EG904" s="4"/>
      <x:c r="EH904" s="4"/>
      <x:c r="EI904" s="4"/>
      <x:c r="EJ904" s="4"/>
      <x:c r="EK904" s="4"/>
      <x:c r="EL904" s="4"/>
      <x:c r="EM904" s="4"/>
      <x:c r="EN904" s="4"/>
      <x:c r="EO904" s="4"/>
      <x:c r="EP904" s="4"/>
      <x:c r="EQ904" s="4"/>
      <x:c r="ER904" s="4"/>
      <x:c r="ES904" s="4"/>
      <x:c r="ET904" s="4"/>
      <x:c r="EU904" s="4"/>
      <x:c r="EV904" s="4"/>
      <x:c r="EW904" s="4"/>
      <x:c r="EX904" s="4"/>
      <x:c r="EY904" s="4"/>
      <x:c r="EZ904" s="4"/>
      <x:c r="FA904" s="4"/>
      <x:c r="FB904" s="4"/>
      <x:c r="FC904" s="4"/>
      <x:c r="FD904" s="4"/>
      <x:c r="FE904" s="4"/>
      <x:c r="FF904" s="4"/>
      <x:c r="FG904" s="4"/>
      <x:c r="FH904" s="4"/>
      <x:c r="FI904" s="4"/>
      <x:c r="FJ904" s="4"/>
      <x:c r="FK904" s="4"/>
      <x:c r="FL904" s="4"/>
      <x:c r="FM904" s="4"/>
      <x:c r="FN904" s="4"/>
      <x:c r="FO904" s="4"/>
    </x:row>
    <x:row r="905">
      <x:c r="A905" s="72"/>
      <x:c r="B905" s="72"/>
      <x:c r="C905" s="72"/>
      <x:c r="D905" s="72"/>
      <x:c r="E905" s="72"/>
      <x:c r="F905" s="72"/>
      <x:c r="G905" s="72"/>
      <x:c r="H905" s="72"/>
      <x:c r="I905" s="72"/>
      <x:c r="J905" s="72"/>
      <x:c r="K905" s="72"/>
      <x:c r="L905" s="72"/>
      <x:c r="M905" s="72"/>
      <x:c r="N905" s="72"/>
      <x:c r="O905" s="72"/>
      <x:c r="P905" s="72"/>
      <x:c r="Q905" s="72"/>
      <x:c r="R905" s="72"/>
      <x:c r="S905" s="72"/>
      <x:c r="T905" s="72"/>
      <x:c r="U905" s="72"/>
      <x:c r="V905" s="72"/>
      <x:c r="W905" s="72"/>
      <x:c r="X905" s="72"/>
      <x:c r="Y905" s="72"/>
      <x:c r="Z905" s="72"/>
      <x:c r="AA905" s="72"/>
      <x:c r="AB905" s="72"/>
      <x:c r="AC905" s="72"/>
      <x:c r="AD905" s="72"/>
      <x:c r="AE905" s="72"/>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4"/>
      <x:c r="DQ905" s="4"/>
      <x:c r="DR905" s="4"/>
      <x:c r="DS905" s="4"/>
      <x:c r="DT905" s="4"/>
      <x:c r="DU905" s="4"/>
      <x:c r="DV905" s="4"/>
      <x:c r="DW905" s="4"/>
      <x:c r="DX905" s="4"/>
      <x:c r="DY905" s="4"/>
      <x:c r="DZ905" s="4"/>
      <x:c r="EA905" s="4"/>
      <x:c r="EB905" s="4"/>
      <x:c r="EC905" s="4"/>
      <x:c r="ED905" s="4"/>
      <x:c r="EE905" s="4"/>
      <x:c r="EF905" s="4"/>
      <x:c r="EG905" s="4"/>
      <x:c r="EH905" s="4"/>
      <x:c r="EI905" s="4"/>
      <x:c r="EJ905" s="4"/>
      <x:c r="EK905" s="4"/>
      <x:c r="EL905" s="4"/>
      <x:c r="EM905" s="4"/>
      <x:c r="EN905" s="4"/>
      <x:c r="EO905" s="4"/>
      <x:c r="EP905" s="4"/>
      <x:c r="EQ905" s="4"/>
      <x:c r="ER905" s="4"/>
      <x:c r="ES905" s="4"/>
      <x:c r="ET905" s="4"/>
      <x:c r="EU905" s="4"/>
      <x:c r="EV905" s="4"/>
      <x:c r="EW905" s="4"/>
      <x:c r="EX905" s="4"/>
      <x:c r="EY905" s="4"/>
      <x:c r="EZ905" s="4"/>
      <x:c r="FA905" s="4"/>
      <x:c r="FB905" s="4"/>
      <x:c r="FC905" s="4"/>
      <x:c r="FD905" s="4"/>
      <x:c r="FE905" s="4"/>
      <x:c r="FF905" s="4"/>
      <x:c r="FG905" s="4"/>
      <x:c r="FH905" s="4"/>
      <x:c r="FI905" s="4"/>
      <x:c r="FJ905" s="4"/>
      <x:c r="FK905" s="4"/>
      <x:c r="FL905" s="4"/>
      <x:c r="FM905" s="4"/>
      <x:c r="FN905" s="4"/>
      <x:c r="FO905" s="4"/>
    </x:row>
    <x:row r="906">
      <x:c r="A906" s="72"/>
      <x:c r="B906" s="72"/>
      <x:c r="C906" s="72"/>
      <x:c r="D906" s="72"/>
      <x:c r="E906" s="72"/>
      <x:c r="F906" s="72"/>
      <x:c r="G906" s="72"/>
      <x:c r="H906" s="72"/>
      <x:c r="I906" s="72"/>
      <x:c r="J906" s="72"/>
      <x:c r="K906" s="72"/>
      <x:c r="L906" s="72"/>
      <x:c r="M906" s="72"/>
      <x:c r="N906" s="72"/>
      <x:c r="O906" s="72"/>
      <x:c r="P906" s="72"/>
      <x:c r="Q906" s="72"/>
      <x:c r="R906" s="72"/>
      <x:c r="S906" s="72"/>
      <x:c r="T906" s="72"/>
      <x:c r="U906" s="72"/>
      <x:c r="V906" s="72"/>
      <x:c r="W906" s="72"/>
      <x:c r="X906" s="72"/>
      <x:c r="Y906" s="72"/>
      <x:c r="Z906" s="72"/>
      <x:c r="AA906" s="72"/>
      <x:c r="AB906" s="72"/>
      <x:c r="AC906" s="72"/>
      <x:c r="AD906" s="72"/>
      <x:c r="AE906" s="72"/>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4"/>
      <x:c r="DQ906" s="4"/>
      <x:c r="DR906" s="4"/>
      <x:c r="DS906" s="4"/>
      <x:c r="DT906" s="4"/>
      <x:c r="DU906" s="4"/>
      <x:c r="DV906" s="4"/>
      <x:c r="DW906" s="4"/>
      <x:c r="DX906" s="4"/>
      <x:c r="DY906" s="4"/>
      <x:c r="DZ906" s="4"/>
      <x:c r="EA906" s="4"/>
      <x:c r="EB906" s="4"/>
      <x:c r="EC906" s="4"/>
      <x:c r="ED906" s="4"/>
      <x:c r="EE906" s="4"/>
      <x:c r="EF906" s="4"/>
      <x:c r="EG906" s="4"/>
      <x:c r="EH906" s="4"/>
      <x:c r="EI906" s="4"/>
      <x:c r="EJ906" s="4"/>
      <x:c r="EK906" s="4"/>
      <x:c r="EL906" s="4"/>
      <x:c r="EM906" s="4"/>
      <x:c r="EN906" s="4"/>
      <x:c r="EO906" s="4"/>
      <x:c r="EP906" s="4"/>
      <x:c r="EQ906" s="4"/>
      <x:c r="ER906" s="4"/>
      <x:c r="ES906" s="4"/>
      <x:c r="ET906" s="4"/>
      <x:c r="EU906" s="4"/>
      <x:c r="EV906" s="4"/>
      <x:c r="EW906" s="4"/>
      <x:c r="EX906" s="4"/>
      <x:c r="EY906" s="4"/>
      <x:c r="EZ906" s="4"/>
      <x:c r="FA906" s="4"/>
      <x:c r="FB906" s="4"/>
      <x:c r="FC906" s="4"/>
      <x:c r="FD906" s="4"/>
      <x:c r="FE906" s="4"/>
      <x:c r="FF906" s="4"/>
      <x:c r="FG906" s="4"/>
      <x:c r="FH906" s="4"/>
      <x:c r="FI906" s="4"/>
      <x:c r="FJ906" s="4"/>
      <x:c r="FK906" s="4"/>
      <x:c r="FL906" s="4"/>
      <x:c r="FM906" s="4"/>
      <x:c r="FN906" s="4"/>
      <x:c r="FO906" s="4"/>
    </x:row>
    <x:row r="907">
      <x:c r="A907" s="72"/>
      <x:c r="B907" s="72"/>
      <x:c r="C907" s="72"/>
      <x:c r="D907" s="72"/>
      <x:c r="E907" s="72"/>
      <x:c r="F907" s="72"/>
      <x:c r="G907" s="72"/>
      <x:c r="H907" s="72"/>
      <x:c r="I907" s="72"/>
      <x:c r="J907" s="72"/>
      <x:c r="K907" s="72"/>
      <x:c r="L907" s="72"/>
      <x:c r="M907" s="72"/>
      <x:c r="N907" s="72"/>
      <x:c r="O907" s="72"/>
      <x:c r="P907" s="72"/>
      <x:c r="Q907" s="72"/>
      <x:c r="R907" s="72"/>
      <x:c r="S907" s="72"/>
      <x:c r="T907" s="72"/>
      <x:c r="U907" s="72"/>
      <x:c r="V907" s="72"/>
      <x:c r="W907" s="72"/>
      <x:c r="X907" s="72"/>
      <x:c r="Y907" s="72"/>
      <x:c r="Z907" s="72"/>
      <x:c r="AA907" s="72"/>
      <x:c r="AB907" s="72"/>
      <x:c r="AC907" s="72"/>
      <x:c r="AD907" s="72"/>
      <x:c r="AE907" s="72"/>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4"/>
      <x:c r="DQ907" s="4"/>
      <x:c r="DR907" s="4"/>
      <x:c r="DS907" s="4"/>
      <x:c r="DT907" s="4"/>
      <x:c r="DU907" s="4"/>
      <x:c r="DV907" s="4"/>
      <x:c r="DW907" s="4"/>
      <x:c r="DX907" s="4"/>
      <x:c r="DY907" s="4"/>
      <x:c r="DZ907" s="4"/>
      <x:c r="EA907" s="4"/>
      <x:c r="EB907" s="4"/>
      <x:c r="EC907" s="4"/>
      <x:c r="ED907" s="4"/>
      <x:c r="EE907" s="4"/>
      <x:c r="EF907" s="4"/>
      <x:c r="EG907" s="4"/>
      <x:c r="EH907" s="4"/>
      <x:c r="EI907" s="4"/>
      <x:c r="EJ907" s="4"/>
      <x:c r="EK907" s="4"/>
      <x:c r="EL907" s="4"/>
      <x:c r="EM907" s="4"/>
      <x:c r="EN907" s="4"/>
      <x:c r="EO907" s="4"/>
      <x:c r="EP907" s="4"/>
      <x:c r="EQ907" s="4"/>
      <x:c r="ER907" s="4"/>
      <x:c r="ES907" s="4"/>
      <x:c r="ET907" s="4"/>
      <x:c r="EU907" s="4"/>
      <x:c r="EV907" s="4"/>
      <x:c r="EW907" s="4"/>
      <x:c r="EX907" s="4"/>
      <x:c r="EY907" s="4"/>
      <x:c r="EZ907" s="4"/>
      <x:c r="FA907" s="4"/>
      <x:c r="FB907" s="4"/>
      <x:c r="FC907" s="4"/>
      <x:c r="FD907" s="4"/>
      <x:c r="FE907" s="4"/>
      <x:c r="FF907" s="4"/>
      <x:c r="FG907" s="4"/>
      <x:c r="FH907" s="4"/>
      <x:c r="FI907" s="4"/>
      <x:c r="FJ907" s="4"/>
      <x:c r="FK907" s="4"/>
      <x:c r="FL907" s="4"/>
      <x:c r="FM907" s="4"/>
      <x:c r="FN907" s="4"/>
      <x:c r="FO907" s="4"/>
    </x:row>
    <x:row r="908">
      <x:c r="A908" s="72"/>
      <x:c r="B908" s="72"/>
      <x:c r="C908" s="72"/>
      <x:c r="D908" s="72"/>
      <x:c r="E908" s="72"/>
      <x:c r="F908" s="72"/>
      <x:c r="G908" s="72"/>
      <x:c r="H908" s="72"/>
      <x:c r="I908" s="72"/>
      <x:c r="J908" s="72"/>
      <x:c r="K908" s="72"/>
      <x:c r="L908" s="72"/>
      <x:c r="M908" s="72"/>
      <x:c r="N908" s="72"/>
      <x:c r="O908" s="72"/>
      <x:c r="P908" s="72"/>
      <x:c r="Q908" s="72"/>
      <x:c r="R908" s="72"/>
      <x:c r="S908" s="72"/>
      <x:c r="T908" s="72"/>
      <x:c r="U908" s="72"/>
      <x:c r="V908" s="72"/>
      <x:c r="W908" s="72"/>
      <x:c r="X908" s="72"/>
      <x:c r="Y908" s="72"/>
      <x:c r="Z908" s="72"/>
      <x:c r="AA908" s="72"/>
      <x:c r="AB908" s="72"/>
      <x:c r="AC908" s="72"/>
      <x:c r="AD908" s="72"/>
      <x:c r="AE908" s="72"/>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4"/>
      <x:c r="DQ908" s="4"/>
      <x:c r="DR908" s="4"/>
      <x:c r="DS908" s="4"/>
      <x:c r="DT908" s="4"/>
      <x:c r="DU908" s="4"/>
      <x:c r="DV908" s="4"/>
      <x:c r="DW908" s="4"/>
      <x:c r="DX908" s="4"/>
      <x:c r="DY908" s="4"/>
      <x:c r="DZ908" s="4"/>
      <x:c r="EA908" s="4"/>
      <x:c r="EB908" s="4"/>
      <x:c r="EC908" s="4"/>
      <x:c r="ED908" s="4"/>
      <x:c r="EE908" s="4"/>
      <x:c r="EF908" s="4"/>
      <x:c r="EG908" s="4"/>
      <x:c r="EH908" s="4"/>
      <x:c r="EI908" s="4"/>
      <x:c r="EJ908" s="4"/>
      <x:c r="EK908" s="4"/>
      <x:c r="EL908" s="4"/>
      <x:c r="EM908" s="4"/>
      <x:c r="EN908" s="4"/>
      <x:c r="EO908" s="4"/>
      <x:c r="EP908" s="4"/>
      <x:c r="EQ908" s="4"/>
      <x:c r="ER908" s="4"/>
      <x:c r="ES908" s="4"/>
      <x:c r="ET908" s="4"/>
      <x:c r="EU908" s="4"/>
      <x:c r="EV908" s="4"/>
      <x:c r="EW908" s="4"/>
      <x:c r="EX908" s="4"/>
      <x:c r="EY908" s="4"/>
      <x:c r="EZ908" s="4"/>
      <x:c r="FA908" s="4"/>
      <x:c r="FB908" s="4"/>
      <x:c r="FC908" s="4"/>
      <x:c r="FD908" s="4"/>
      <x:c r="FE908" s="4"/>
      <x:c r="FF908" s="4"/>
      <x:c r="FG908" s="4"/>
      <x:c r="FH908" s="4"/>
      <x:c r="FI908" s="4"/>
      <x:c r="FJ908" s="4"/>
      <x:c r="FK908" s="4"/>
      <x:c r="FL908" s="4"/>
      <x:c r="FM908" s="4"/>
      <x:c r="FN908" s="4"/>
      <x:c r="FO908" s="4"/>
    </x:row>
    <x:row r="909">
      <x:c r="A909" s="72"/>
      <x:c r="B909" s="72"/>
      <x:c r="C909" s="72"/>
      <x:c r="D909" s="72"/>
      <x:c r="E909" s="72"/>
      <x:c r="F909" s="72"/>
      <x:c r="G909" s="72"/>
      <x:c r="H909" s="72"/>
      <x:c r="I909" s="72"/>
      <x:c r="J909" s="72"/>
      <x:c r="K909" s="72"/>
      <x:c r="L909" s="72"/>
      <x:c r="M909" s="72"/>
      <x:c r="N909" s="72"/>
      <x:c r="O909" s="72"/>
      <x:c r="P909" s="72"/>
      <x:c r="Q909" s="72"/>
      <x:c r="R909" s="72"/>
      <x:c r="S909" s="72"/>
      <x:c r="T909" s="72"/>
      <x:c r="U909" s="72"/>
      <x:c r="V909" s="72"/>
      <x:c r="W909" s="72"/>
      <x:c r="X909" s="72"/>
      <x:c r="Y909" s="72"/>
      <x:c r="Z909" s="72"/>
      <x:c r="AA909" s="72"/>
      <x:c r="AB909" s="72"/>
      <x:c r="AC909" s="72"/>
      <x:c r="AD909" s="72"/>
      <x:c r="AE909" s="72"/>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4"/>
      <x:c r="DQ909" s="4"/>
      <x:c r="DR909" s="4"/>
      <x:c r="DS909" s="4"/>
      <x:c r="DT909" s="4"/>
      <x:c r="DU909" s="4"/>
      <x:c r="DV909" s="4"/>
      <x:c r="DW909" s="4"/>
      <x:c r="DX909" s="4"/>
      <x:c r="DY909" s="4"/>
      <x:c r="DZ909" s="4"/>
      <x:c r="EA909" s="4"/>
      <x:c r="EB909" s="4"/>
      <x:c r="EC909" s="4"/>
      <x:c r="ED909" s="4"/>
      <x:c r="EE909" s="4"/>
      <x:c r="EF909" s="4"/>
      <x:c r="EG909" s="4"/>
      <x:c r="EH909" s="4"/>
      <x:c r="EI909" s="4"/>
      <x:c r="EJ909" s="4"/>
      <x:c r="EK909" s="4"/>
      <x:c r="EL909" s="4"/>
      <x:c r="EM909" s="4"/>
      <x:c r="EN909" s="4"/>
      <x:c r="EO909" s="4"/>
      <x:c r="EP909" s="4"/>
      <x:c r="EQ909" s="4"/>
      <x:c r="ER909" s="4"/>
      <x:c r="ES909" s="4"/>
      <x:c r="ET909" s="4"/>
      <x:c r="EU909" s="4"/>
      <x:c r="EV909" s="4"/>
      <x:c r="EW909" s="4"/>
      <x:c r="EX909" s="4"/>
      <x:c r="EY909" s="4"/>
      <x:c r="EZ909" s="4"/>
      <x:c r="FA909" s="4"/>
      <x:c r="FB909" s="4"/>
      <x:c r="FC909" s="4"/>
      <x:c r="FD909" s="4"/>
      <x:c r="FE909" s="4"/>
      <x:c r="FF909" s="4"/>
      <x:c r="FG909" s="4"/>
      <x:c r="FH909" s="4"/>
      <x:c r="FI909" s="4"/>
      <x:c r="FJ909" s="4"/>
      <x:c r="FK909" s="4"/>
      <x:c r="FL909" s="4"/>
      <x:c r="FM909" s="4"/>
      <x:c r="FN909" s="4"/>
      <x:c r="FO909" s="4"/>
    </x:row>
    <x:row r="910">
      <x:c r="A910" s="72"/>
      <x:c r="B910" s="72"/>
      <x:c r="C910" s="72"/>
      <x:c r="D910" s="72"/>
      <x:c r="E910" s="72"/>
      <x:c r="F910" s="72"/>
      <x:c r="G910" s="72"/>
      <x:c r="H910" s="72"/>
      <x:c r="I910" s="72"/>
      <x:c r="J910" s="72"/>
      <x:c r="K910" s="72"/>
      <x:c r="L910" s="72"/>
      <x:c r="M910" s="72"/>
      <x:c r="N910" s="72"/>
      <x:c r="O910" s="72"/>
      <x:c r="P910" s="72"/>
      <x:c r="Q910" s="72"/>
      <x:c r="R910" s="72"/>
      <x:c r="S910" s="72"/>
      <x:c r="T910" s="72"/>
      <x:c r="U910" s="72"/>
      <x:c r="V910" s="72"/>
      <x:c r="W910" s="72"/>
      <x:c r="X910" s="72"/>
      <x:c r="Y910" s="72"/>
      <x:c r="Z910" s="72"/>
      <x:c r="AA910" s="72"/>
      <x:c r="AB910" s="72"/>
      <x:c r="AC910" s="72"/>
      <x:c r="AD910" s="72"/>
      <x:c r="AE910" s="72"/>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4"/>
      <x:c r="DQ910" s="4"/>
      <x:c r="DR910" s="4"/>
      <x:c r="DS910" s="4"/>
      <x:c r="DT910" s="4"/>
      <x:c r="DU910" s="4"/>
      <x:c r="DV910" s="4"/>
      <x:c r="DW910" s="4"/>
      <x:c r="DX910" s="4"/>
      <x:c r="DY910" s="4"/>
      <x:c r="DZ910" s="4"/>
      <x:c r="EA910" s="4"/>
      <x:c r="EB910" s="4"/>
      <x:c r="EC910" s="4"/>
      <x:c r="ED910" s="4"/>
      <x:c r="EE910" s="4"/>
      <x:c r="EF910" s="4"/>
      <x:c r="EG910" s="4"/>
      <x:c r="EH910" s="4"/>
      <x:c r="EI910" s="4"/>
      <x:c r="EJ910" s="4"/>
      <x:c r="EK910" s="4"/>
      <x:c r="EL910" s="4"/>
      <x:c r="EM910" s="4"/>
      <x:c r="EN910" s="4"/>
      <x:c r="EO910" s="4"/>
      <x:c r="EP910" s="4"/>
      <x:c r="EQ910" s="4"/>
      <x:c r="ER910" s="4"/>
      <x:c r="ES910" s="4"/>
      <x:c r="ET910" s="4"/>
      <x:c r="EU910" s="4"/>
      <x:c r="EV910" s="4"/>
      <x:c r="EW910" s="4"/>
      <x:c r="EX910" s="4"/>
      <x:c r="EY910" s="4"/>
      <x:c r="EZ910" s="4"/>
      <x:c r="FA910" s="4"/>
      <x:c r="FB910" s="4"/>
      <x:c r="FC910" s="4"/>
      <x:c r="FD910" s="4"/>
      <x:c r="FE910" s="4"/>
      <x:c r="FF910" s="4"/>
      <x:c r="FG910" s="4"/>
      <x:c r="FH910" s="4"/>
      <x:c r="FI910" s="4"/>
      <x:c r="FJ910" s="4"/>
      <x:c r="FK910" s="4"/>
      <x:c r="FL910" s="4"/>
      <x:c r="FM910" s="4"/>
      <x:c r="FN910" s="4"/>
      <x:c r="FO910" s="4"/>
    </x:row>
    <x:row r="911">
      <x:c r="A911" s="72"/>
      <x:c r="B911" s="72"/>
      <x:c r="C911" s="72"/>
      <x:c r="D911" s="72"/>
      <x:c r="E911" s="72"/>
      <x:c r="F911" s="72"/>
      <x:c r="G911" s="72"/>
      <x:c r="H911" s="72"/>
      <x:c r="I911" s="72"/>
      <x:c r="J911" s="72"/>
      <x:c r="K911" s="72"/>
      <x:c r="L911" s="72"/>
      <x:c r="M911" s="72"/>
      <x:c r="N911" s="72"/>
      <x:c r="O911" s="72"/>
      <x:c r="P911" s="72"/>
      <x:c r="Q911" s="72"/>
      <x:c r="R911" s="72"/>
      <x:c r="S911" s="72"/>
      <x:c r="T911" s="72"/>
      <x:c r="U911" s="72"/>
      <x:c r="V911" s="72"/>
      <x:c r="W911" s="72"/>
      <x:c r="X911" s="72"/>
      <x:c r="Y911" s="72"/>
      <x:c r="Z911" s="72"/>
      <x:c r="AA911" s="72"/>
      <x:c r="AB911" s="72"/>
      <x:c r="AC911" s="72"/>
      <x:c r="AD911" s="72"/>
      <x:c r="AE911" s="72"/>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4"/>
      <x:c r="DQ911" s="4"/>
      <x:c r="DR911" s="4"/>
      <x:c r="DS911" s="4"/>
      <x:c r="DT911" s="4"/>
      <x:c r="DU911" s="4"/>
      <x:c r="DV911" s="4"/>
      <x:c r="DW911" s="4"/>
      <x:c r="DX911" s="4"/>
      <x:c r="DY911" s="4"/>
      <x:c r="DZ911" s="4"/>
      <x:c r="EA911" s="4"/>
      <x:c r="EB911" s="4"/>
      <x:c r="EC911" s="4"/>
      <x:c r="ED911" s="4"/>
      <x:c r="EE911" s="4"/>
      <x:c r="EF911" s="4"/>
      <x:c r="EG911" s="4"/>
      <x:c r="EH911" s="4"/>
      <x:c r="EI911" s="4"/>
      <x:c r="EJ911" s="4"/>
      <x:c r="EK911" s="4"/>
      <x:c r="EL911" s="4"/>
      <x:c r="EM911" s="4"/>
      <x:c r="EN911" s="4"/>
      <x:c r="EO911" s="4"/>
      <x:c r="EP911" s="4"/>
      <x:c r="EQ911" s="4"/>
      <x:c r="ER911" s="4"/>
      <x:c r="ES911" s="4"/>
      <x:c r="ET911" s="4"/>
      <x:c r="EU911" s="4"/>
      <x:c r="EV911" s="4"/>
      <x:c r="EW911" s="4"/>
      <x:c r="EX911" s="4"/>
      <x:c r="EY911" s="4"/>
      <x:c r="EZ911" s="4"/>
      <x:c r="FA911" s="4"/>
      <x:c r="FB911" s="4"/>
      <x:c r="FC911" s="4"/>
      <x:c r="FD911" s="4"/>
      <x:c r="FE911" s="4"/>
      <x:c r="FF911" s="4"/>
      <x:c r="FG911" s="4"/>
      <x:c r="FH911" s="4"/>
      <x:c r="FI911" s="4"/>
      <x:c r="FJ911" s="4"/>
      <x:c r="FK911" s="4"/>
      <x:c r="FL911" s="4"/>
      <x:c r="FM911" s="4"/>
      <x:c r="FN911" s="4"/>
      <x:c r="FO911" s="4"/>
    </x:row>
    <x:row r="912">
      <x:c r="A912" s="72"/>
      <x:c r="B912" s="72"/>
      <x:c r="C912" s="72"/>
      <x:c r="D912" s="72"/>
      <x:c r="E912" s="72"/>
      <x:c r="F912" s="72"/>
      <x:c r="G912" s="72"/>
      <x:c r="H912" s="72"/>
      <x:c r="I912" s="72"/>
      <x:c r="J912" s="72"/>
      <x:c r="K912" s="72"/>
      <x:c r="L912" s="72"/>
      <x:c r="M912" s="72"/>
      <x:c r="N912" s="72"/>
      <x:c r="O912" s="72"/>
      <x:c r="P912" s="72"/>
      <x:c r="Q912" s="72"/>
      <x:c r="R912" s="72"/>
      <x:c r="S912" s="72"/>
      <x:c r="T912" s="72"/>
      <x:c r="U912" s="72"/>
      <x:c r="V912" s="72"/>
      <x:c r="W912" s="72"/>
      <x:c r="X912" s="72"/>
      <x:c r="Y912" s="72"/>
      <x:c r="Z912" s="72"/>
      <x:c r="AA912" s="72"/>
      <x:c r="AB912" s="72"/>
      <x:c r="AC912" s="72"/>
      <x:c r="AD912" s="72"/>
      <x:c r="AE912" s="72"/>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4"/>
      <x:c r="DQ912" s="4"/>
      <x:c r="DR912" s="4"/>
      <x:c r="DS912" s="4"/>
      <x:c r="DT912" s="4"/>
      <x:c r="DU912" s="4"/>
      <x:c r="DV912" s="4"/>
      <x:c r="DW912" s="4"/>
      <x:c r="DX912" s="4"/>
      <x:c r="DY912" s="4"/>
      <x:c r="DZ912" s="4"/>
      <x:c r="EA912" s="4"/>
      <x:c r="EB912" s="4"/>
      <x:c r="EC912" s="4"/>
      <x:c r="ED912" s="4"/>
      <x:c r="EE912" s="4"/>
      <x:c r="EF912" s="4"/>
      <x:c r="EG912" s="4"/>
      <x:c r="EH912" s="4"/>
      <x:c r="EI912" s="4"/>
      <x:c r="EJ912" s="4"/>
      <x:c r="EK912" s="4"/>
      <x:c r="EL912" s="4"/>
      <x:c r="EM912" s="4"/>
      <x:c r="EN912" s="4"/>
      <x:c r="EO912" s="4"/>
      <x:c r="EP912" s="4"/>
      <x:c r="EQ912" s="4"/>
      <x:c r="ER912" s="4"/>
      <x:c r="ES912" s="4"/>
      <x:c r="ET912" s="4"/>
      <x:c r="EU912" s="4"/>
      <x:c r="EV912" s="4"/>
      <x:c r="EW912" s="4"/>
      <x:c r="EX912" s="4"/>
      <x:c r="EY912" s="4"/>
      <x:c r="EZ912" s="4"/>
      <x:c r="FA912" s="4"/>
      <x:c r="FB912" s="4"/>
      <x:c r="FC912" s="4"/>
      <x:c r="FD912" s="4"/>
      <x:c r="FE912" s="4"/>
      <x:c r="FF912" s="4"/>
      <x:c r="FG912" s="4"/>
      <x:c r="FH912" s="4"/>
      <x:c r="FI912" s="4"/>
      <x:c r="FJ912" s="4"/>
      <x:c r="FK912" s="4"/>
      <x:c r="FL912" s="4"/>
      <x:c r="FM912" s="4"/>
      <x:c r="FN912" s="4"/>
      <x:c r="FO912" s="4"/>
    </x:row>
    <x:row r="913">
      <x:c r="A913" s="72"/>
      <x:c r="B913" s="72"/>
      <x:c r="C913" s="72"/>
      <x:c r="D913" s="72"/>
      <x:c r="E913" s="72"/>
      <x:c r="F913" s="72"/>
      <x:c r="G913" s="72"/>
      <x:c r="H913" s="72"/>
      <x:c r="I913" s="72"/>
      <x:c r="J913" s="72"/>
      <x:c r="K913" s="72"/>
      <x:c r="L913" s="72"/>
      <x:c r="M913" s="72"/>
      <x:c r="N913" s="72"/>
      <x:c r="O913" s="72"/>
      <x:c r="P913" s="72"/>
      <x:c r="Q913" s="72"/>
      <x:c r="R913" s="72"/>
      <x:c r="S913" s="72"/>
      <x:c r="T913" s="72"/>
      <x:c r="U913" s="72"/>
      <x:c r="V913" s="72"/>
      <x:c r="W913" s="72"/>
      <x:c r="X913" s="72"/>
      <x:c r="Y913" s="72"/>
      <x:c r="Z913" s="72"/>
      <x:c r="AA913" s="72"/>
      <x:c r="AB913" s="72"/>
      <x:c r="AC913" s="72"/>
      <x:c r="AD913" s="72"/>
      <x:c r="AE913" s="72"/>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4"/>
      <x:c r="DQ913" s="4"/>
      <x:c r="DR913" s="4"/>
      <x:c r="DS913" s="4"/>
      <x:c r="DT913" s="4"/>
      <x:c r="DU913" s="4"/>
      <x:c r="DV913" s="4"/>
      <x:c r="DW913" s="4"/>
      <x:c r="DX913" s="4"/>
      <x:c r="DY913" s="4"/>
      <x:c r="DZ913" s="4"/>
      <x:c r="EA913" s="4"/>
      <x:c r="EB913" s="4"/>
      <x:c r="EC913" s="4"/>
      <x:c r="ED913" s="4"/>
      <x:c r="EE913" s="4"/>
      <x:c r="EF913" s="4"/>
      <x:c r="EG913" s="4"/>
      <x:c r="EH913" s="4"/>
      <x:c r="EI913" s="4"/>
      <x:c r="EJ913" s="4"/>
      <x:c r="EK913" s="4"/>
      <x:c r="EL913" s="4"/>
      <x:c r="EM913" s="4"/>
      <x:c r="EN913" s="4"/>
      <x:c r="EO913" s="4"/>
      <x:c r="EP913" s="4"/>
      <x:c r="EQ913" s="4"/>
      <x:c r="ER913" s="4"/>
      <x:c r="ES913" s="4"/>
      <x:c r="ET913" s="4"/>
      <x:c r="EU913" s="4"/>
      <x:c r="EV913" s="4"/>
      <x:c r="EW913" s="4"/>
      <x:c r="EX913" s="4"/>
      <x:c r="EY913" s="4"/>
      <x:c r="EZ913" s="4"/>
      <x:c r="FA913" s="4"/>
      <x:c r="FB913" s="4"/>
      <x:c r="FC913" s="4"/>
      <x:c r="FD913" s="4"/>
      <x:c r="FE913" s="4"/>
      <x:c r="FF913" s="4"/>
      <x:c r="FG913" s="4"/>
      <x:c r="FH913" s="4"/>
      <x:c r="FI913" s="4"/>
      <x:c r="FJ913" s="4"/>
      <x:c r="FK913" s="4"/>
      <x:c r="FL913" s="4"/>
      <x:c r="FM913" s="4"/>
      <x:c r="FN913" s="4"/>
      <x:c r="FO913" s="4"/>
    </x:row>
    <x:row r="914">
      <x:c r="A914" s="72"/>
      <x:c r="B914" s="72"/>
      <x:c r="C914" s="72"/>
      <x:c r="D914" s="72"/>
      <x:c r="E914" s="72"/>
      <x:c r="F914" s="72"/>
      <x:c r="G914" s="72"/>
      <x:c r="H914" s="72"/>
      <x:c r="I914" s="72"/>
      <x:c r="J914" s="72"/>
      <x:c r="K914" s="72"/>
      <x:c r="L914" s="72"/>
      <x:c r="M914" s="72"/>
      <x:c r="N914" s="72"/>
      <x:c r="O914" s="72"/>
      <x:c r="P914" s="72"/>
      <x:c r="Q914" s="72"/>
      <x:c r="R914" s="72"/>
      <x:c r="S914" s="72"/>
      <x:c r="T914" s="72"/>
      <x:c r="U914" s="72"/>
      <x:c r="V914" s="72"/>
      <x:c r="W914" s="72"/>
      <x:c r="X914" s="72"/>
      <x:c r="Y914" s="72"/>
      <x:c r="Z914" s="72"/>
      <x:c r="AA914" s="72"/>
      <x:c r="AB914" s="72"/>
      <x:c r="AC914" s="72"/>
      <x:c r="AD914" s="72"/>
      <x:c r="AE914" s="72"/>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4"/>
      <x:c r="DQ914" s="4"/>
      <x:c r="DR914" s="4"/>
      <x:c r="DS914" s="4"/>
      <x:c r="DT914" s="4"/>
      <x:c r="DU914" s="4"/>
      <x:c r="DV914" s="4"/>
      <x:c r="DW914" s="4"/>
      <x:c r="DX914" s="4"/>
      <x:c r="DY914" s="4"/>
      <x:c r="DZ914" s="4"/>
      <x:c r="EA914" s="4"/>
      <x:c r="EB914" s="4"/>
      <x:c r="EC914" s="4"/>
      <x:c r="ED914" s="4"/>
      <x:c r="EE914" s="4"/>
      <x:c r="EF914" s="4"/>
      <x:c r="EG914" s="4"/>
      <x:c r="EH914" s="4"/>
      <x:c r="EI914" s="4"/>
      <x:c r="EJ914" s="4"/>
      <x:c r="EK914" s="4"/>
      <x:c r="EL914" s="4"/>
      <x:c r="EM914" s="4"/>
      <x:c r="EN914" s="4"/>
      <x:c r="EO914" s="4"/>
      <x:c r="EP914" s="4"/>
      <x:c r="EQ914" s="4"/>
      <x:c r="ER914" s="4"/>
      <x:c r="ES914" s="4"/>
      <x:c r="ET914" s="4"/>
      <x:c r="EU914" s="4"/>
      <x:c r="EV914" s="4"/>
      <x:c r="EW914" s="4"/>
      <x:c r="EX914" s="4"/>
      <x:c r="EY914" s="4"/>
      <x:c r="EZ914" s="4"/>
      <x:c r="FA914" s="4"/>
      <x:c r="FB914" s="4"/>
      <x:c r="FC914" s="4"/>
      <x:c r="FD914" s="4"/>
      <x:c r="FE914" s="4"/>
      <x:c r="FF914" s="4"/>
      <x:c r="FG914" s="4"/>
      <x:c r="FH914" s="4"/>
      <x:c r="FI914" s="4"/>
      <x:c r="FJ914" s="4"/>
      <x:c r="FK914" s="4"/>
      <x:c r="FL914" s="4"/>
      <x:c r="FM914" s="4"/>
      <x:c r="FN914" s="4"/>
      <x:c r="FO914" s="4"/>
    </x:row>
    <x:row r="915">
      <x:c r="A915" s="72"/>
      <x:c r="B915" s="72"/>
      <x:c r="C915" s="72"/>
      <x:c r="D915" s="72"/>
      <x:c r="E915" s="72"/>
      <x:c r="F915" s="72"/>
      <x:c r="G915" s="72"/>
      <x:c r="H915" s="72"/>
      <x:c r="I915" s="72"/>
      <x:c r="J915" s="72"/>
      <x:c r="K915" s="72"/>
      <x:c r="L915" s="72"/>
      <x:c r="M915" s="72"/>
      <x:c r="N915" s="72"/>
      <x:c r="O915" s="72"/>
      <x:c r="P915" s="72"/>
      <x:c r="Q915" s="72"/>
      <x:c r="R915" s="72"/>
      <x:c r="S915" s="72"/>
      <x:c r="T915" s="72"/>
      <x:c r="U915" s="72"/>
      <x:c r="V915" s="72"/>
      <x:c r="W915" s="72"/>
      <x:c r="X915" s="72"/>
      <x:c r="Y915" s="72"/>
      <x:c r="Z915" s="72"/>
      <x:c r="AA915" s="72"/>
      <x:c r="AB915" s="72"/>
      <x:c r="AC915" s="72"/>
      <x:c r="AD915" s="72"/>
      <x:c r="AE915" s="72"/>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4"/>
      <x:c r="DQ915" s="4"/>
      <x:c r="DR915" s="4"/>
      <x:c r="DS915" s="4"/>
      <x:c r="DT915" s="4"/>
      <x:c r="DU915" s="4"/>
      <x:c r="DV915" s="4"/>
      <x:c r="DW915" s="4"/>
      <x:c r="DX915" s="4"/>
      <x:c r="DY915" s="4"/>
      <x:c r="DZ915" s="4"/>
      <x:c r="EA915" s="4"/>
      <x:c r="EB915" s="4"/>
      <x:c r="EC915" s="4"/>
      <x:c r="ED915" s="4"/>
      <x:c r="EE915" s="4"/>
      <x:c r="EF915" s="4"/>
      <x:c r="EG915" s="4"/>
      <x:c r="EH915" s="4"/>
      <x:c r="EI915" s="4"/>
      <x:c r="EJ915" s="4"/>
      <x:c r="EK915" s="4"/>
      <x:c r="EL915" s="4"/>
      <x:c r="EM915" s="4"/>
      <x:c r="EN915" s="4"/>
      <x:c r="EO915" s="4"/>
      <x:c r="EP915" s="4"/>
      <x:c r="EQ915" s="4"/>
      <x:c r="ER915" s="4"/>
      <x:c r="ES915" s="4"/>
      <x:c r="ET915" s="4"/>
      <x:c r="EU915" s="4"/>
      <x:c r="EV915" s="4"/>
      <x:c r="EW915" s="4"/>
      <x:c r="EX915" s="4"/>
      <x:c r="EY915" s="4"/>
      <x:c r="EZ915" s="4"/>
      <x:c r="FA915" s="4"/>
      <x:c r="FB915" s="4"/>
      <x:c r="FC915" s="4"/>
      <x:c r="FD915" s="4"/>
      <x:c r="FE915" s="4"/>
      <x:c r="FF915" s="4"/>
      <x:c r="FG915" s="4"/>
      <x:c r="FH915" s="4"/>
      <x:c r="FI915" s="4"/>
      <x:c r="FJ915" s="4"/>
      <x:c r="FK915" s="4"/>
      <x:c r="FL915" s="4"/>
      <x:c r="FM915" s="4"/>
      <x:c r="FN915" s="4"/>
      <x:c r="FO915" s="4"/>
    </x:row>
    <x:row r="916">
      <x:c r="A916" s="72"/>
      <x:c r="B916" s="72"/>
      <x:c r="C916" s="72"/>
      <x:c r="D916" s="72"/>
      <x:c r="E916" s="72"/>
      <x:c r="F916" s="72"/>
      <x:c r="G916" s="72"/>
      <x:c r="H916" s="72"/>
      <x:c r="I916" s="72"/>
      <x:c r="J916" s="72"/>
      <x:c r="K916" s="72"/>
      <x:c r="L916" s="72"/>
      <x:c r="M916" s="72"/>
      <x:c r="N916" s="72"/>
      <x:c r="O916" s="72"/>
      <x:c r="P916" s="72"/>
      <x:c r="Q916" s="72"/>
      <x:c r="R916" s="72"/>
      <x:c r="S916" s="72"/>
      <x:c r="T916" s="72"/>
      <x:c r="U916" s="72"/>
      <x:c r="V916" s="72"/>
      <x:c r="W916" s="72"/>
      <x:c r="X916" s="72"/>
      <x:c r="Y916" s="72"/>
      <x:c r="Z916" s="72"/>
      <x:c r="AA916" s="72"/>
      <x:c r="AB916" s="72"/>
      <x:c r="AC916" s="72"/>
      <x:c r="AD916" s="72"/>
      <x:c r="AE916" s="72"/>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4"/>
      <x:c r="DQ916" s="4"/>
      <x:c r="DR916" s="4"/>
      <x:c r="DS916" s="4"/>
      <x:c r="DT916" s="4"/>
      <x:c r="DU916" s="4"/>
      <x:c r="DV916" s="4"/>
      <x:c r="DW916" s="4"/>
      <x:c r="DX916" s="4"/>
      <x:c r="DY916" s="4"/>
      <x:c r="DZ916" s="4"/>
      <x:c r="EA916" s="4"/>
      <x:c r="EB916" s="4"/>
      <x:c r="EC916" s="4"/>
      <x:c r="ED916" s="4"/>
      <x:c r="EE916" s="4"/>
      <x:c r="EF916" s="4"/>
      <x:c r="EG916" s="4"/>
      <x:c r="EH916" s="4"/>
      <x:c r="EI916" s="4"/>
      <x:c r="EJ916" s="4"/>
      <x:c r="EK916" s="4"/>
      <x:c r="EL916" s="4"/>
      <x:c r="EM916" s="4"/>
      <x:c r="EN916" s="4"/>
      <x:c r="EO916" s="4"/>
      <x:c r="EP916" s="4"/>
      <x:c r="EQ916" s="4"/>
      <x:c r="ER916" s="4"/>
      <x:c r="ES916" s="4"/>
      <x:c r="ET916" s="4"/>
      <x:c r="EU916" s="4"/>
      <x:c r="EV916" s="4"/>
      <x:c r="EW916" s="4"/>
      <x:c r="EX916" s="4"/>
      <x:c r="EY916" s="4"/>
      <x:c r="EZ916" s="4"/>
      <x:c r="FA916" s="4"/>
      <x:c r="FB916" s="4"/>
      <x:c r="FC916" s="4"/>
      <x:c r="FD916" s="4"/>
      <x:c r="FE916" s="4"/>
      <x:c r="FF916" s="4"/>
      <x:c r="FG916" s="4"/>
      <x:c r="FH916" s="4"/>
      <x:c r="FI916" s="4"/>
      <x:c r="FJ916" s="4"/>
      <x:c r="FK916" s="4"/>
      <x:c r="FL916" s="4"/>
      <x:c r="FM916" s="4"/>
      <x:c r="FN916" s="4"/>
      <x:c r="FO916" s="4"/>
    </x:row>
    <x:row r="917">
      <x:c r="A917" s="72"/>
      <x:c r="B917" s="72"/>
      <x:c r="C917" s="72"/>
      <x:c r="D917" s="72"/>
      <x:c r="E917" s="72"/>
      <x:c r="F917" s="72"/>
      <x:c r="G917" s="72"/>
      <x:c r="H917" s="72"/>
      <x:c r="I917" s="72"/>
      <x:c r="J917" s="72"/>
      <x:c r="K917" s="72"/>
      <x:c r="L917" s="72"/>
      <x:c r="M917" s="72"/>
      <x:c r="N917" s="72"/>
      <x:c r="O917" s="72"/>
      <x:c r="P917" s="72"/>
      <x:c r="Q917" s="72"/>
      <x:c r="R917" s="72"/>
      <x:c r="S917" s="72"/>
      <x:c r="T917" s="72"/>
      <x:c r="U917" s="72"/>
      <x:c r="V917" s="72"/>
      <x:c r="W917" s="72"/>
      <x:c r="X917" s="72"/>
      <x:c r="Y917" s="72"/>
      <x:c r="Z917" s="72"/>
      <x:c r="AA917" s="72"/>
      <x:c r="AB917" s="72"/>
      <x:c r="AC917" s="72"/>
      <x:c r="AD917" s="72"/>
      <x:c r="AE917" s="72"/>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4"/>
      <x:c r="DQ917" s="4"/>
      <x:c r="DR917" s="4"/>
      <x:c r="DS917" s="4"/>
      <x:c r="DT917" s="4"/>
      <x:c r="DU917" s="4"/>
      <x:c r="DV917" s="4"/>
      <x:c r="DW917" s="4"/>
      <x:c r="DX917" s="4"/>
      <x:c r="DY917" s="4"/>
      <x:c r="DZ917" s="4"/>
      <x:c r="EA917" s="4"/>
      <x:c r="EB917" s="4"/>
      <x:c r="EC917" s="4"/>
      <x:c r="ED917" s="4"/>
      <x:c r="EE917" s="4"/>
      <x:c r="EF917" s="4"/>
      <x:c r="EG917" s="4"/>
      <x:c r="EH917" s="4"/>
      <x:c r="EI917" s="4"/>
      <x:c r="EJ917" s="4"/>
      <x:c r="EK917" s="4"/>
      <x:c r="EL917" s="4"/>
      <x:c r="EM917" s="4"/>
      <x:c r="EN917" s="4"/>
      <x:c r="EO917" s="4"/>
      <x:c r="EP917" s="4"/>
      <x:c r="EQ917" s="4"/>
      <x:c r="ER917" s="4"/>
      <x:c r="ES917" s="4"/>
      <x:c r="ET917" s="4"/>
      <x:c r="EU917" s="4"/>
      <x:c r="EV917" s="4"/>
      <x:c r="EW917" s="4"/>
      <x:c r="EX917" s="4"/>
      <x:c r="EY917" s="4"/>
      <x:c r="EZ917" s="4"/>
      <x:c r="FA917" s="4"/>
      <x:c r="FB917" s="4"/>
      <x:c r="FC917" s="4"/>
      <x:c r="FD917" s="4"/>
      <x:c r="FE917" s="4"/>
      <x:c r="FF917" s="4"/>
      <x:c r="FG917" s="4"/>
      <x:c r="FH917" s="4"/>
      <x:c r="FI917" s="4"/>
      <x:c r="FJ917" s="4"/>
      <x:c r="FK917" s="4"/>
      <x:c r="FL917" s="4"/>
      <x:c r="FM917" s="4"/>
      <x:c r="FN917" s="4"/>
      <x:c r="FO917" s="4"/>
    </x:row>
    <x:row r="918">
      <x:c r="A918" s="72"/>
      <x:c r="B918" s="72"/>
      <x:c r="C918" s="72"/>
      <x:c r="D918" s="72"/>
      <x:c r="E918" s="72"/>
      <x:c r="F918" s="72"/>
      <x:c r="G918" s="72"/>
      <x:c r="H918" s="72"/>
      <x:c r="I918" s="72"/>
      <x:c r="J918" s="72"/>
      <x:c r="K918" s="72"/>
      <x:c r="L918" s="72"/>
      <x:c r="M918" s="72"/>
      <x:c r="N918" s="72"/>
      <x:c r="O918" s="72"/>
      <x:c r="P918" s="72"/>
      <x:c r="Q918" s="72"/>
      <x:c r="R918" s="72"/>
      <x:c r="S918" s="72"/>
      <x:c r="T918" s="72"/>
      <x:c r="U918" s="72"/>
      <x:c r="V918" s="72"/>
      <x:c r="W918" s="72"/>
      <x:c r="X918" s="72"/>
      <x:c r="Y918" s="72"/>
      <x:c r="Z918" s="72"/>
      <x:c r="AA918" s="72"/>
      <x:c r="AB918" s="72"/>
      <x:c r="AC918" s="72"/>
      <x:c r="AD918" s="72"/>
      <x:c r="AE918" s="72"/>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4"/>
      <x:c r="DQ918" s="4"/>
      <x:c r="DR918" s="4"/>
      <x:c r="DS918" s="4"/>
      <x:c r="DT918" s="4"/>
      <x:c r="DU918" s="4"/>
      <x:c r="DV918" s="4"/>
      <x:c r="DW918" s="4"/>
      <x:c r="DX918" s="4"/>
      <x:c r="DY918" s="4"/>
      <x:c r="DZ918" s="4"/>
      <x:c r="EA918" s="4"/>
      <x:c r="EB918" s="4"/>
      <x:c r="EC918" s="4"/>
      <x:c r="ED918" s="4"/>
      <x:c r="EE918" s="4"/>
      <x:c r="EF918" s="4"/>
      <x:c r="EG918" s="4"/>
      <x:c r="EH918" s="4"/>
      <x:c r="EI918" s="4"/>
      <x:c r="EJ918" s="4"/>
      <x:c r="EK918" s="4"/>
      <x:c r="EL918" s="4"/>
      <x:c r="EM918" s="4"/>
      <x:c r="EN918" s="4"/>
      <x:c r="EO918" s="4"/>
      <x:c r="EP918" s="4"/>
      <x:c r="EQ918" s="4"/>
      <x:c r="ER918" s="4"/>
      <x:c r="ES918" s="4"/>
      <x:c r="ET918" s="4"/>
      <x:c r="EU918" s="4"/>
      <x:c r="EV918" s="4"/>
      <x:c r="EW918" s="4"/>
      <x:c r="EX918" s="4"/>
      <x:c r="EY918" s="4"/>
      <x:c r="EZ918" s="4"/>
      <x:c r="FA918" s="4"/>
      <x:c r="FB918" s="4"/>
      <x:c r="FC918" s="4"/>
      <x:c r="FD918" s="4"/>
      <x:c r="FE918" s="4"/>
      <x:c r="FF918" s="4"/>
      <x:c r="FG918" s="4"/>
      <x:c r="FH918" s="4"/>
      <x:c r="FI918" s="4"/>
      <x:c r="FJ918" s="4"/>
      <x:c r="FK918" s="4"/>
      <x:c r="FL918" s="4"/>
      <x:c r="FM918" s="4"/>
      <x:c r="FN918" s="4"/>
      <x:c r="FO918" s="4"/>
    </x:row>
    <x:row r="919">
      <x:c r="A919" s="72"/>
      <x:c r="B919" s="72"/>
      <x:c r="C919" s="72"/>
      <x:c r="D919" s="72"/>
      <x:c r="E919" s="72"/>
      <x:c r="F919" s="72"/>
      <x:c r="G919" s="72"/>
      <x:c r="H919" s="72"/>
      <x:c r="I919" s="72"/>
      <x:c r="J919" s="72"/>
      <x:c r="K919" s="72"/>
      <x:c r="L919" s="72"/>
      <x:c r="M919" s="72"/>
      <x:c r="N919" s="72"/>
      <x:c r="O919" s="72"/>
      <x:c r="P919" s="72"/>
      <x:c r="Q919" s="72"/>
      <x:c r="R919" s="72"/>
      <x:c r="S919" s="72"/>
      <x:c r="T919" s="72"/>
      <x:c r="U919" s="72"/>
      <x:c r="V919" s="72"/>
      <x:c r="W919" s="72"/>
      <x:c r="X919" s="72"/>
      <x:c r="Y919" s="72"/>
      <x:c r="Z919" s="72"/>
      <x:c r="AA919" s="72"/>
      <x:c r="AB919" s="72"/>
      <x:c r="AC919" s="72"/>
      <x:c r="AD919" s="72"/>
      <x:c r="AE919" s="72"/>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4"/>
      <x:c r="DQ919" s="4"/>
      <x:c r="DR919" s="4"/>
      <x:c r="DS919" s="4"/>
      <x:c r="DT919" s="4"/>
      <x:c r="DU919" s="4"/>
      <x:c r="DV919" s="4"/>
      <x:c r="DW919" s="4"/>
      <x:c r="DX919" s="4"/>
      <x:c r="DY919" s="4"/>
      <x:c r="DZ919" s="4"/>
      <x:c r="EA919" s="4"/>
      <x:c r="EB919" s="4"/>
      <x:c r="EC919" s="4"/>
      <x:c r="ED919" s="4"/>
      <x:c r="EE919" s="4"/>
      <x:c r="EF919" s="4"/>
      <x:c r="EG919" s="4"/>
      <x:c r="EH919" s="4"/>
      <x:c r="EI919" s="4"/>
      <x:c r="EJ919" s="4"/>
      <x:c r="EK919" s="4"/>
      <x:c r="EL919" s="4"/>
      <x:c r="EM919" s="4"/>
      <x:c r="EN919" s="4"/>
      <x:c r="EO919" s="4"/>
      <x:c r="EP919" s="4"/>
      <x:c r="EQ919" s="4"/>
      <x:c r="ER919" s="4"/>
      <x:c r="ES919" s="4"/>
      <x:c r="ET919" s="4"/>
      <x:c r="EU919" s="4"/>
      <x:c r="EV919" s="4"/>
      <x:c r="EW919" s="4"/>
      <x:c r="EX919" s="4"/>
      <x:c r="EY919" s="4"/>
      <x:c r="EZ919" s="4"/>
      <x:c r="FA919" s="4"/>
      <x:c r="FB919" s="4"/>
      <x:c r="FC919" s="4"/>
      <x:c r="FD919" s="4"/>
      <x:c r="FE919" s="4"/>
      <x:c r="FF919" s="4"/>
      <x:c r="FG919" s="4"/>
      <x:c r="FH919" s="4"/>
      <x:c r="FI919" s="4"/>
      <x:c r="FJ919" s="4"/>
      <x:c r="FK919" s="4"/>
      <x:c r="FL919" s="4"/>
      <x:c r="FM919" s="4"/>
      <x:c r="FN919" s="4"/>
      <x:c r="FO919" s="4"/>
    </x:row>
    <x:row r="920">
      <x:c r="A920" s="72"/>
      <x:c r="B920" s="72"/>
      <x:c r="C920" s="72"/>
      <x:c r="D920" s="72"/>
      <x:c r="E920" s="72"/>
      <x:c r="F920" s="72"/>
      <x:c r="G920" s="72"/>
      <x:c r="H920" s="72"/>
      <x:c r="I920" s="72"/>
      <x:c r="J920" s="72"/>
      <x:c r="K920" s="72"/>
      <x:c r="L920" s="72"/>
      <x:c r="M920" s="72"/>
      <x:c r="N920" s="72"/>
      <x:c r="O920" s="72"/>
      <x:c r="P920" s="72"/>
      <x:c r="Q920" s="72"/>
      <x:c r="R920" s="72"/>
      <x:c r="S920" s="72"/>
      <x:c r="T920" s="72"/>
      <x:c r="U920" s="72"/>
      <x:c r="V920" s="72"/>
      <x:c r="W920" s="72"/>
      <x:c r="X920" s="72"/>
      <x:c r="Y920" s="72"/>
      <x:c r="Z920" s="72"/>
      <x:c r="AA920" s="72"/>
      <x:c r="AB920" s="72"/>
      <x:c r="AC920" s="72"/>
      <x:c r="AD920" s="72"/>
      <x:c r="AE920" s="72"/>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4"/>
      <x:c r="DQ920" s="4"/>
      <x:c r="DR920" s="4"/>
      <x:c r="DS920" s="4"/>
      <x:c r="DT920" s="4"/>
      <x:c r="DU920" s="4"/>
      <x:c r="DV920" s="4"/>
      <x:c r="DW920" s="4"/>
      <x:c r="DX920" s="4"/>
      <x:c r="DY920" s="4"/>
      <x:c r="DZ920" s="4"/>
      <x:c r="EA920" s="4"/>
      <x:c r="EB920" s="4"/>
      <x:c r="EC920" s="4"/>
      <x:c r="ED920" s="4"/>
      <x:c r="EE920" s="4"/>
      <x:c r="EF920" s="4"/>
      <x:c r="EG920" s="4"/>
      <x:c r="EH920" s="4"/>
      <x:c r="EI920" s="4"/>
      <x:c r="EJ920" s="4"/>
      <x:c r="EK920" s="4"/>
      <x:c r="EL920" s="4"/>
      <x:c r="EM920" s="4"/>
      <x:c r="EN920" s="4"/>
      <x:c r="EO920" s="4"/>
      <x:c r="EP920" s="4"/>
      <x:c r="EQ920" s="4"/>
      <x:c r="ER920" s="4"/>
      <x:c r="ES920" s="4"/>
      <x:c r="ET920" s="4"/>
      <x:c r="EU920" s="4"/>
      <x:c r="EV920" s="4"/>
      <x:c r="EW920" s="4"/>
      <x:c r="EX920" s="4"/>
      <x:c r="EY920" s="4"/>
      <x:c r="EZ920" s="4"/>
      <x:c r="FA920" s="4"/>
      <x:c r="FB920" s="4"/>
      <x:c r="FC920" s="4"/>
      <x:c r="FD920" s="4"/>
      <x:c r="FE920" s="4"/>
      <x:c r="FF920" s="4"/>
      <x:c r="FG920" s="4"/>
      <x:c r="FH920" s="4"/>
      <x:c r="FI920" s="4"/>
      <x:c r="FJ920" s="4"/>
      <x:c r="FK920" s="4"/>
      <x:c r="FL920" s="4"/>
      <x:c r="FM920" s="4"/>
      <x:c r="FN920" s="4"/>
      <x:c r="FO920" s="4"/>
    </x:row>
    <x:row r="921">
      <x:c r="A921" s="72"/>
      <x:c r="B921" s="72"/>
      <x:c r="C921" s="72"/>
      <x:c r="D921" s="72"/>
      <x:c r="E921" s="72"/>
      <x:c r="F921" s="72"/>
      <x:c r="G921" s="72"/>
      <x:c r="H921" s="72"/>
      <x:c r="I921" s="72"/>
      <x:c r="J921" s="72"/>
      <x:c r="K921" s="72"/>
      <x:c r="L921" s="72"/>
      <x:c r="M921" s="72"/>
      <x:c r="N921" s="72"/>
      <x:c r="O921" s="72"/>
      <x:c r="P921" s="72"/>
      <x:c r="Q921" s="72"/>
      <x:c r="R921" s="72"/>
      <x:c r="S921" s="72"/>
      <x:c r="T921" s="72"/>
      <x:c r="U921" s="72"/>
      <x:c r="V921" s="72"/>
      <x:c r="W921" s="72"/>
      <x:c r="X921" s="72"/>
      <x:c r="Y921" s="72"/>
      <x:c r="Z921" s="72"/>
      <x:c r="AA921" s="72"/>
      <x:c r="AB921" s="72"/>
      <x:c r="AC921" s="72"/>
      <x:c r="AD921" s="72"/>
      <x:c r="AE921" s="72"/>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4"/>
      <x:c r="DQ921" s="4"/>
      <x:c r="DR921" s="4"/>
      <x:c r="DS921" s="4"/>
      <x:c r="DT921" s="4"/>
      <x:c r="DU921" s="4"/>
      <x:c r="DV921" s="4"/>
      <x:c r="DW921" s="4"/>
      <x:c r="DX921" s="4"/>
      <x:c r="DY921" s="4"/>
      <x:c r="DZ921" s="4"/>
      <x:c r="EA921" s="4"/>
      <x:c r="EB921" s="4"/>
      <x:c r="EC921" s="4"/>
      <x:c r="ED921" s="4"/>
      <x:c r="EE921" s="4"/>
      <x:c r="EF921" s="4"/>
      <x:c r="EG921" s="4"/>
      <x:c r="EH921" s="4"/>
      <x:c r="EI921" s="4"/>
      <x:c r="EJ921" s="4"/>
      <x:c r="EK921" s="4"/>
      <x:c r="EL921" s="4"/>
      <x:c r="EM921" s="4"/>
      <x:c r="EN921" s="4"/>
      <x:c r="EO921" s="4"/>
      <x:c r="EP921" s="4"/>
      <x:c r="EQ921" s="4"/>
      <x:c r="ER921" s="4"/>
      <x:c r="ES921" s="4"/>
      <x:c r="ET921" s="4"/>
      <x:c r="EU921" s="4"/>
      <x:c r="EV921" s="4"/>
      <x:c r="EW921" s="4"/>
      <x:c r="EX921" s="4"/>
      <x:c r="EY921" s="4"/>
      <x:c r="EZ921" s="4"/>
      <x:c r="FA921" s="4"/>
      <x:c r="FB921" s="4"/>
      <x:c r="FC921" s="4"/>
      <x:c r="FD921" s="4"/>
      <x:c r="FE921" s="4"/>
      <x:c r="FF921" s="4"/>
      <x:c r="FG921" s="4"/>
      <x:c r="FH921" s="4"/>
      <x:c r="FI921" s="4"/>
      <x:c r="FJ921" s="4"/>
      <x:c r="FK921" s="4"/>
      <x:c r="FL921" s="4"/>
      <x:c r="FM921" s="4"/>
      <x:c r="FN921" s="4"/>
      <x:c r="FO921" s="4"/>
    </x:row>
    <x:row r="922">
      <x:c r="A922" s="72"/>
      <x:c r="B922" s="72"/>
      <x:c r="C922" s="72"/>
      <x:c r="D922" s="72"/>
      <x:c r="E922" s="72"/>
      <x:c r="F922" s="72"/>
      <x:c r="G922" s="72"/>
      <x:c r="H922" s="72"/>
      <x:c r="I922" s="72"/>
      <x:c r="J922" s="72"/>
      <x:c r="K922" s="72"/>
      <x:c r="L922" s="72"/>
      <x:c r="M922" s="72"/>
      <x:c r="N922" s="72"/>
      <x:c r="O922" s="72"/>
      <x:c r="P922" s="72"/>
      <x:c r="Q922" s="72"/>
      <x:c r="R922" s="72"/>
      <x:c r="S922" s="72"/>
      <x:c r="T922" s="72"/>
      <x:c r="U922" s="72"/>
      <x:c r="V922" s="72"/>
      <x:c r="W922" s="72"/>
      <x:c r="X922" s="72"/>
      <x:c r="Y922" s="72"/>
      <x:c r="Z922" s="72"/>
      <x:c r="AA922" s="72"/>
      <x:c r="AB922" s="72"/>
      <x:c r="AC922" s="72"/>
      <x:c r="AD922" s="72"/>
      <x:c r="AE922" s="72"/>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4"/>
      <x:c r="DQ922" s="4"/>
      <x:c r="DR922" s="4"/>
      <x:c r="DS922" s="4"/>
      <x:c r="DT922" s="4"/>
      <x:c r="DU922" s="4"/>
      <x:c r="DV922" s="4"/>
      <x:c r="DW922" s="4"/>
      <x:c r="DX922" s="4"/>
      <x:c r="DY922" s="4"/>
      <x:c r="DZ922" s="4"/>
      <x:c r="EA922" s="4"/>
      <x:c r="EB922" s="4"/>
      <x:c r="EC922" s="4"/>
      <x:c r="ED922" s="4"/>
      <x:c r="EE922" s="4"/>
      <x:c r="EF922" s="4"/>
      <x:c r="EG922" s="4"/>
      <x:c r="EH922" s="4"/>
      <x:c r="EI922" s="4"/>
      <x:c r="EJ922" s="4"/>
      <x:c r="EK922" s="4"/>
      <x:c r="EL922" s="4"/>
      <x:c r="EM922" s="4"/>
      <x:c r="EN922" s="4"/>
      <x:c r="EO922" s="4"/>
      <x:c r="EP922" s="4"/>
      <x:c r="EQ922" s="4"/>
      <x:c r="ER922" s="4"/>
      <x:c r="ES922" s="4"/>
      <x:c r="ET922" s="4"/>
      <x:c r="EU922" s="4"/>
      <x:c r="EV922" s="4"/>
      <x:c r="EW922" s="4"/>
      <x:c r="EX922" s="4"/>
      <x:c r="EY922" s="4"/>
      <x:c r="EZ922" s="4"/>
      <x:c r="FA922" s="4"/>
      <x:c r="FB922" s="4"/>
      <x:c r="FC922" s="4"/>
      <x:c r="FD922" s="4"/>
      <x:c r="FE922" s="4"/>
      <x:c r="FF922" s="4"/>
      <x:c r="FG922" s="4"/>
      <x:c r="FH922" s="4"/>
      <x:c r="FI922" s="4"/>
      <x:c r="FJ922" s="4"/>
      <x:c r="FK922" s="4"/>
      <x:c r="FL922" s="4"/>
      <x:c r="FM922" s="4"/>
      <x:c r="FN922" s="4"/>
      <x:c r="FO922" s="4"/>
    </x:row>
    <x:row r="923">
      <x:c r="A923" s="72"/>
      <x:c r="B923" s="72"/>
      <x:c r="C923" s="72"/>
      <x:c r="D923" s="72"/>
      <x:c r="E923" s="72"/>
      <x:c r="F923" s="72"/>
      <x:c r="G923" s="72"/>
      <x:c r="H923" s="72"/>
      <x:c r="I923" s="72"/>
      <x:c r="J923" s="72"/>
      <x:c r="K923" s="72"/>
      <x:c r="L923" s="72"/>
      <x:c r="M923" s="72"/>
      <x:c r="N923" s="72"/>
      <x:c r="O923" s="72"/>
      <x:c r="P923" s="72"/>
      <x:c r="Q923" s="72"/>
      <x:c r="R923" s="72"/>
      <x:c r="S923" s="72"/>
      <x:c r="T923" s="72"/>
      <x:c r="U923" s="72"/>
      <x:c r="V923" s="72"/>
      <x:c r="W923" s="72"/>
      <x:c r="X923" s="72"/>
      <x:c r="Y923" s="72"/>
      <x:c r="Z923" s="72"/>
      <x:c r="AA923" s="72"/>
      <x:c r="AB923" s="72"/>
      <x:c r="AC923" s="72"/>
      <x:c r="AD923" s="72"/>
      <x:c r="AE923" s="72"/>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4"/>
      <x:c r="DQ923" s="4"/>
      <x:c r="DR923" s="4"/>
      <x:c r="DS923" s="4"/>
      <x:c r="DT923" s="4"/>
      <x:c r="DU923" s="4"/>
      <x:c r="DV923" s="4"/>
      <x:c r="DW923" s="4"/>
      <x:c r="DX923" s="4"/>
      <x:c r="DY923" s="4"/>
      <x:c r="DZ923" s="4"/>
      <x:c r="EA923" s="4"/>
      <x:c r="EB923" s="4"/>
      <x:c r="EC923" s="4"/>
      <x:c r="ED923" s="4"/>
      <x:c r="EE923" s="4"/>
      <x:c r="EF923" s="4"/>
      <x:c r="EG923" s="4"/>
      <x:c r="EH923" s="4"/>
      <x:c r="EI923" s="4"/>
      <x:c r="EJ923" s="4"/>
      <x:c r="EK923" s="4"/>
      <x:c r="EL923" s="4"/>
      <x:c r="EM923" s="4"/>
      <x:c r="EN923" s="4"/>
      <x:c r="EO923" s="4"/>
      <x:c r="EP923" s="4"/>
      <x:c r="EQ923" s="4"/>
      <x:c r="ER923" s="4"/>
      <x:c r="ES923" s="4"/>
      <x:c r="ET923" s="4"/>
      <x:c r="EU923" s="4"/>
      <x:c r="EV923" s="4"/>
      <x:c r="EW923" s="4"/>
      <x:c r="EX923" s="4"/>
      <x:c r="EY923" s="4"/>
      <x:c r="EZ923" s="4"/>
      <x:c r="FA923" s="4"/>
      <x:c r="FB923" s="4"/>
      <x:c r="FC923" s="4"/>
      <x:c r="FD923" s="4"/>
      <x:c r="FE923" s="4"/>
      <x:c r="FF923" s="4"/>
      <x:c r="FG923" s="4"/>
      <x:c r="FH923" s="4"/>
      <x:c r="FI923" s="4"/>
      <x:c r="FJ923" s="4"/>
      <x:c r="FK923" s="4"/>
      <x:c r="FL923" s="4"/>
      <x:c r="FM923" s="4"/>
      <x:c r="FN923" s="4"/>
      <x:c r="FO923" s="4"/>
    </x:row>
    <x:row r="924">
      <x:c r="A924" s="72"/>
      <x:c r="B924" s="72"/>
      <x:c r="C924" s="72"/>
      <x:c r="D924" s="72"/>
      <x:c r="E924" s="72"/>
      <x:c r="F924" s="72"/>
      <x:c r="G924" s="72"/>
      <x:c r="H924" s="72"/>
      <x:c r="I924" s="72"/>
      <x:c r="J924" s="72"/>
      <x:c r="K924" s="72"/>
      <x:c r="L924" s="72"/>
      <x:c r="M924" s="72"/>
      <x:c r="N924" s="72"/>
      <x:c r="O924" s="72"/>
      <x:c r="P924" s="72"/>
      <x:c r="Q924" s="72"/>
      <x:c r="R924" s="72"/>
      <x:c r="S924" s="72"/>
      <x:c r="T924" s="72"/>
      <x:c r="U924" s="72"/>
      <x:c r="V924" s="72"/>
      <x:c r="W924" s="72"/>
      <x:c r="X924" s="72"/>
      <x:c r="Y924" s="72"/>
      <x:c r="Z924" s="72"/>
      <x:c r="AA924" s="72"/>
      <x:c r="AB924" s="72"/>
      <x:c r="AC924" s="72"/>
      <x:c r="AD924" s="72"/>
      <x:c r="AE924" s="72"/>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4"/>
      <x:c r="DQ924" s="4"/>
      <x:c r="DR924" s="4"/>
      <x:c r="DS924" s="4"/>
      <x:c r="DT924" s="4"/>
      <x:c r="DU924" s="4"/>
      <x:c r="DV924" s="4"/>
      <x:c r="DW924" s="4"/>
      <x:c r="DX924" s="4"/>
      <x:c r="DY924" s="4"/>
      <x:c r="DZ924" s="4"/>
      <x:c r="EA924" s="4"/>
      <x:c r="EB924" s="4"/>
      <x:c r="EC924" s="4"/>
      <x:c r="ED924" s="4"/>
      <x:c r="EE924" s="4"/>
      <x:c r="EF924" s="4"/>
      <x:c r="EG924" s="4"/>
      <x:c r="EH924" s="4"/>
      <x:c r="EI924" s="4"/>
      <x:c r="EJ924" s="4"/>
      <x:c r="EK924" s="4"/>
      <x:c r="EL924" s="4"/>
      <x:c r="EM924" s="4"/>
      <x:c r="EN924" s="4"/>
      <x:c r="EO924" s="4"/>
      <x:c r="EP924" s="4"/>
      <x:c r="EQ924" s="4"/>
      <x:c r="ER924" s="4"/>
      <x:c r="ES924" s="4"/>
      <x:c r="ET924" s="4"/>
      <x:c r="EU924" s="4"/>
      <x:c r="EV924" s="4"/>
      <x:c r="EW924" s="4"/>
      <x:c r="EX924" s="4"/>
      <x:c r="EY924" s="4"/>
      <x:c r="EZ924" s="4"/>
      <x:c r="FA924" s="4"/>
      <x:c r="FB924" s="4"/>
      <x:c r="FC924" s="4"/>
      <x:c r="FD924" s="4"/>
      <x:c r="FE924" s="4"/>
      <x:c r="FF924" s="4"/>
      <x:c r="FG924" s="4"/>
      <x:c r="FH924" s="4"/>
      <x:c r="FI924" s="4"/>
      <x:c r="FJ924" s="4"/>
      <x:c r="FK924" s="4"/>
      <x:c r="FL924" s="4"/>
      <x:c r="FM924" s="4"/>
      <x:c r="FN924" s="4"/>
      <x:c r="FO924" s="4"/>
    </x:row>
    <x:row r="925">
      <x:c r="A925" s="72"/>
      <x:c r="B925" s="72"/>
      <x:c r="C925" s="72"/>
      <x:c r="D925" s="72"/>
      <x:c r="E925" s="72"/>
      <x:c r="F925" s="72"/>
      <x:c r="G925" s="72"/>
      <x:c r="H925" s="72"/>
      <x:c r="I925" s="72"/>
      <x:c r="J925" s="72"/>
      <x:c r="K925" s="72"/>
      <x:c r="L925" s="72"/>
      <x:c r="M925" s="72"/>
      <x:c r="N925" s="72"/>
      <x:c r="O925" s="72"/>
      <x:c r="P925" s="72"/>
      <x:c r="Q925" s="72"/>
      <x:c r="R925" s="72"/>
      <x:c r="S925" s="72"/>
      <x:c r="T925" s="72"/>
      <x:c r="U925" s="72"/>
      <x:c r="V925" s="72"/>
      <x:c r="W925" s="72"/>
      <x:c r="X925" s="72"/>
      <x:c r="Y925" s="72"/>
      <x:c r="Z925" s="72"/>
      <x:c r="AA925" s="72"/>
      <x:c r="AB925" s="72"/>
      <x:c r="AC925" s="72"/>
      <x:c r="AD925" s="72"/>
      <x:c r="AE925" s="72"/>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4"/>
      <x:c r="DQ925" s="4"/>
      <x:c r="DR925" s="4"/>
      <x:c r="DS925" s="4"/>
      <x:c r="DT925" s="4"/>
      <x:c r="DU925" s="4"/>
      <x:c r="DV925" s="4"/>
      <x:c r="DW925" s="4"/>
      <x:c r="DX925" s="4"/>
      <x:c r="DY925" s="4"/>
      <x:c r="DZ925" s="4"/>
      <x:c r="EA925" s="4"/>
      <x:c r="EB925" s="4"/>
      <x:c r="EC925" s="4"/>
      <x:c r="ED925" s="4"/>
      <x:c r="EE925" s="4"/>
      <x:c r="EF925" s="4"/>
      <x:c r="EG925" s="4"/>
      <x:c r="EH925" s="4"/>
      <x:c r="EI925" s="4"/>
      <x:c r="EJ925" s="4"/>
      <x:c r="EK925" s="4"/>
      <x:c r="EL925" s="4"/>
      <x:c r="EM925" s="4"/>
      <x:c r="EN925" s="4"/>
      <x:c r="EO925" s="4"/>
      <x:c r="EP925" s="4"/>
      <x:c r="EQ925" s="4"/>
      <x:c r="ER925" s="4"/>
      <x:c r="ES925" s="4"/>
      <x:c r="ET925" s="4"/>
      <x:c r="EU925" s="4"/>
      <x:c r="EV925" s="4"/>
      <x:c r="EW925" s="4"/>
      <x:c r="EX925" s="4"/>
      <x:c r="EY925" s="4"/>
      <x:c r="EZ925" s="4"/>
      <x:c r="FA925" s="4"/>
      <x:c r="FB925" s="4"/>
      <x:c r="FC925" s="4"/>
      <x:c r="FD925" s="4"/>
      <x:c r="FE925" s="4"/>
      <x:c r="FF925" s="4"/>
      <x:c r="FG925" s="4"/>
      <x:c r="FH925" s="4"/>
      <x:c r="FI925" s="4"/>
      <x:c r="FJ925" s="4"/>
      <x:c r="FK925" s="4"/>
      <x:c r="FL925" s="4"/>
      <x:c r="FM925" s="4"/>
      <x:c r="FN925" s="4"/>
      <x:c r="FO925" s="4"/>
    </x:row>
    <x:row r="926">
      <x:c r="A926" s="72"/>
      <x:c r="B926" s="72"/>
      <x:c r="C926" s="72"/>
      <x:c r="D926" s="72"/>
      <x:c r="E926" s="72"/>
      <x:c r="F926" s="72"/>
      <x:c r="G926" s="72"/>
      <x:c r="H926" s="72"/>
      <x:c r="I926" s="72"/>
      <x:c r="J926" s="72"/>
      <x:c r="K926" s="72"/>
      <x:c r="L926" s="72"/>
      <x:c r="M926" s="72"/>
      <x:c r="N926" s="72"/>
      <x:c r="O926" s="72"/>
      <x:c r="P926" s="72"/>
      <x:c r="Q926" s="72"/>
      <x:c r="R926" s="72"/>
      <x:c r="S926" s="72"/>
      <x:c r="T926" s="72"/>
      <x:c r="U926" s="72"/>
      <x:c r="V926" s="72"/>
      <x:c r="W926" s="72"/>
      <x:c r="X926" s="72"/>
      <x:c r="Y926" s="72"/>
      <x:c r="Z926" s="72"/>
      <x:c r="AA926" s="72"/>
      <x:c r="AB926" s="72"/>
      <x:c r="AC926" s="72"/>
      <x:c r="AD926" s="72"/>
      <x:c r="AE926" s="72"/>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4"/>
      <x:c r="DQ926" s="4"/>
      <x:c r="DR926" s="4"/>
      <x:c r="DS926" s="4"/>
      <x:c r="DT926" s="4"/>
      <x:c r="DU926" s="4"/>
      <x:c r="DV926" s="4"/>
      <x:c r="DW926" s="4"/>
      <x:c r="DX926" s="4"/>
      <x:c r="DY926" s="4"/>
      <x:c r="DZ926" s="4"/>
      <x:c r="EA926" s="4"/>
      <x:c r="EB926" s="4"/>
      <x:c r="EC926" s="4"/>
      <x:c r="ED926" s="4"/>
      <x:c r="EE926" s="4"/>
      <x:c r="EF926" s="4"/>
      <x:c r="EG926" s="4"/>
      <x:c r="EH926" s="4"/>
      <x:c r="EI926" s="4"/>
      <x:c r="EJ926" s="4"/>
      <x:c r="EK926" s="4"/>
      <x:c r="EL926" s="4"/>
      <x:c r="EM926" s="4"/>
      <x:c r="EN926" s="4"/>
      <x:c r="EO926" s="4"/>
      <x:c r="EP926" s="4"/>
      <x:c r="EQ926" s="4"/>
      <x:c r="ER926" s="4"/>
      <x:c r="ES926" s="4"/>
      <x:c r="ET926" s="4"/>
      <x:c r="EU926" s="4"/>
      <x:c r="EV926" s="4"/>
      <x:c r="EW926" s="4"/>
      <x:c r="EX926" s="4"/>
      <x:c r="EY926" s="4"/>
      <x:c r="EZ926" s="4"/>
      <x:c r="FA926" s="4"/>
      <x:c r="FB926" s="4"/>
      <x:c r="FC926" s="4"/>
      <x:c r="FD926" s="4"/>
      <x:c r="FE926" s="4"/>
      <x:c r="FF926" s="4"/>
      <x:c r="FG926" s="4"/>
      <x:c r="FH926" s="4"/>
      <x:c r="FI926" s="4"/>
      <x:c r="FJ926" s="4"/>
      <x:c r="FK926" s="4"/>
      <x:c r="FL926" s="4"/>
      <x:c r="FM926" s="4"/>
      <x:c r="FN926" s="4"/>
      <x:c r="FO926" s="4"/>
    </x:row>
    <x:row r="927">
      <x:c r="A927" s="72"/>
      <x:c r="B927" s="72"/>
      <x:c r="C927" s="72"/>
      <x:c r="D927" s="72"/>
      <x:c r="E927" s="72"/>
      <x:c r="F927" s="72"/>
      <x:c r="G927" s="72"/>
      <x:c r="H927" s="72"/>
      <x:c r="I927" s="72"/>
      <x:c r="J927" s="72"/>
      <x:c r="K927" s="72"/>
      <x:c r="L927" s="72"/>
      <x:c r="M927" s="72"/>
      <x:c r="N927" s="72"/>
      <x:c r="O927" s="72"/>
      <x:c r="P927" s="72"/>
      <x:c r="Q927" s="72"/>
      <x:c r="R927" s="72"/>
      <x:c r="S927" s="72"/>
      <x:c r="T927" s="72"/>
      <x:c r="U927" s="72"/>
      <x:c r="V927" s="72"/>
      <x:c r="W927" s="72"/>
      <x:c r="X927" s="72"/>
      <x:c r="Y927" s="72"/>
      <x:c r="Z927" s="72"/>
      <x:c r="AA927" s="72"/>
      <x:c r="AB927" s="72"/>
      <x:c r="AC927" s="72"/>
      <x:c r="AD927" s="72"/>
      <x:c r="AE927" s="72"/>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4"/>
      <x:c r="DQ927" s="4"/>
      <x:c r="DR927" s="4"/>
      <x:c r="DS927" s="4"/>
      <x:c r="DT927" s="4"/>
      <x:c r="DU927" s="4"/>
      <x:c r="DV927" s="4"/>
      <x:c r="DW927" s="4"/>
      <x:c r="DX927" s="4"/>
      <x:c r="DY927" s="4"/>
      <x:c r="DZ927" s="4"/>
      <x:c r="EA927" s="4"/>
      <x:c r="EB927" s="4"/>
      <x:c r="EC927" s="4"/>
      <x:c r="ED927" s="4"/>
      <x:c r="EE927" s="4"/>
      <x:c r="EF927" s="4"/>
      <x:c r="EG927" s="4"/>
      <x:c r="EH927" s="4"/>
      <x:c r="EI927" s="4"/>
      <x:c r="EJ927" s="4"/>
      <x:c r="EK927" s="4"/>
      <x:c r="EL927" s="4"/>
      <x:c r="EM927" s="4"/>
      <x:c r="EN927" s="4"/>
      <x:c r="EO927" s="4"/>
      <x:c r="EP927" s="4"/>
      <x:c r="EQ927" s="4"/>
      <x:c r="ER927" s="4"/>
      <x:c r="ES927" s="4"/>
      <x:c r="ET927" s="4"/>
      <x:c r="EU927" s="4"/>
      <x:c r="EV927" s="4"/>
      <x:c r="EW927" s="4"/>
      <x:c r="EX927" s="4"/>
      <x:c r="EY927" s="4"/>
      <x:c r="EZ927" s="4"/>
      <x:c r="FA927" s="4"/>
      <x:c r="FB927" s="4"/>
      <x:c r="FC927" s="4"/>
      <x:c r="FD927" s="4"/>
      <x:c r="FE927" s="4"/>
      <x:c r="FF927" s="4"/>
      <x:c r="FG927" s="4"/>
      <x:c r="FH927" s="4"/>
      <x:c r="FI927" s="4"/>
      <x:c r="FJ927" s="4"/>
      <x:c r="FK927" s="4"/>
      <x:c r="FL927" s="4"/>
      <x:c r="FM927" s="4"/>
      <x:c r="FN927" s="4"/>
      <x:c r="FO927" s="4"/>
    </x:row>
    <x:row r="928">
      <x:c r="A928" s="72"/>
      <x:c r="B928" s="72"/>
      <x:c r="C928" s="72"/>
      <x:c r="D928" s="72"/>
      <x:c r="E928" s="72"/>
      <x:c r="F928" s="72"/>
      <x:c r="G928" s="72"/>
      <x:c r="H928" s="72"/>
      <x:c r="I928" s="72"/>
      <x:c r="J928" s="72"/>
      <x:c r="K928" s="72"/>
      <x:c r="L928" s="72"/>
      <x:c r="M928" s="72"/>
      <x:c r="N928" s="72"/>
      <x:c r="O928" s="72"/>
      <x:c r="P928" s="72"/>
      <x:c r="Q928" s="72"/>
      <x:c r="R928" s="72"/>
      <x:c r="S928" s="72"/>
      <x:c r="T928" s="72"/>
      <x:c r="U928" s="72"/>
      <x:c r="V928" s="72"/>
      <x:c r="W928" s="72"/>
      <x:c r="X928" s="72"/>
      <x:c r="Y928" s="72"/>
      <x:c r="Z928" s="72"/>
      <x:c r="AA928" s="72"/>
      <x:c r="AB928" s="72"/>
      <x:c r="AC928" s="72"/>
      <x:c r="AD928" s="72"/>
      <x:c r="AE928" s="72"/>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4"/>
      <x:c r="DQ928" s="4"/>
      <x:c r="DR928" s="4"/>
      <x:c r="DS928" s="4"/>
      <x:c r="DT928" s="4"/>
      <x:c r="DU928" s="4"/>
      <x:c r="DV928" s="4"/>
      <x:c r="DW928" s="4"/>
      <x:c r="DX928" s="4"/>
      <x:c r="DY928" s="4"/>
      <x:c r="DZ928" s="4"/>
      <x:c r="EA928" s="4"/>
      <x:c r="EB928" s="4"/>
      <x:c r="EC928" s="4"/>
      <x:c r="ED928" s="4"/>
      <x:c r="EE928" s="4"/>
      <x:c r="EF928" s="4"/>
      <x:c r="EG928" s="4"/>
      <x:c r="EH928" s="4"/>
      <x:c r="EI928" s="4"/>
      <x:c r="EJ928" s="4"/>
      <x:c r="EK928" s="4"/>
      <x:c r="EL928" s="4"/>
      <x:c r="EM928" s="4"/>
      <x:c r="EN928" s="4"/>
      <x:c r="EO928" s="4"/>
      <x:c r="EP928" s="4"/>
      <x:c r="EQ928" s="4"/>
      <x:c r="ER928" s="4"/>
      <x:c r="ES928" s="4"/>
      <x:c r="ET928" s="4"/>
      <x:c r="EU928" s="4"/>
      <x:c r="EV928" s="4"/>
      <x:c r="EW928" s="4"/>
      <x:c r="EX928" s="4"/>
      <x:c r="EY928" s="4"/>
      <x:c r="EZ928" s="4"/>
      <x:c r="FA928" s="4"/>
      <x:c r="FB928" s="4"/>
      <x:c r="FC928" s="4"/>
      <x:c r="FD928" s="4"/>
      <x:c r="FE928" s="4"/>
      <x:c r="FF928" s="4"/>
      <x:c r="FG928" s="4"/>
      <x:c r="FH928" s="4"/>
      <x:c r="FI928" s="4"/>
      <x:c r="FJ928" s="4"/>
      <x:c r="FK928" s="4"/>
      <x:c r="FL928" s="4"/>
      <x:c r="FM928" s="4"/>
      <x:c r="FN928" s="4"/>
      <x:c r="FO928" s="4"/>
    </x:row>
    <x:row r="929">
      <x:c r="A929" s="72"/>
      <x:c r="B929" s="72"/>
      <x:c r="C929" s="72"/>
      <x:c r="D929" s="72"/>
      <x:c r="E929" s="72"/>
      <x:c r="F929" s="72"/>
      <x:c r="G929" s="72"/>
      <x:c r="H929" s="72"/>
      <x:c r="I929" s="72"/>
      <x:c r="J929" s="72"/>
      <x:c r="K929" s="72"/>
      <x:c r="L929" s="72"/>
      <x:c r="M929" s="72"/>
      <x:c r="N929" s="72"/>
      <x:c r="O929" s="72"/>
      <x:c r="P929" s="72"/>
      <x:c r="Q929" s="72"/>
      <x:c r="R929" s="72"/>
      <x:c r="S929" s="72"/>
      <x:c r="T929" s="72"/>
      <x:c r="U929" s="72"/>
      <x:c r="V929" s="72"/>
      <x:c r="W929" s="72"/>
      <x:c r="X929" s="72"/>
      <x:c r="Y929" s="72"/>
      <x:c r="Z929" s="72"/>
      <x:c r="AA929" s="72"/>
      <x:c r="AB929" s="72"/>
      <x:c r="AC929" s="72"/>
      <x:c r="AD929" s="72"/>
      <x:c r="AE929" s="72"/>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4"/>
      <x:c r="DQ929" s="4"/>
      <x:c r="DR929" s="4"/>
      <x:c r="DS929" s="4"/>
      <x:c r="DT929" s="4"/>
      <x:c r="DU929" s="4"/>
      <x:c r="DV929" s="4"/>
      <x:c r="DW929" s="4"/>
      <x:c r="DX929" s="4"/>
      <x:c r="DY929" s="4"/>
      <x:c r="DZ929" s="4"/>
      <x:c r="EA929" s="4"/>
      <x:c r="EB929" s="4"/>
      <x:c r="EC929" s="4"/>
      <x:c r="ED929" s="4"/>
      <x:c r="EE929" s="4"/>
      <x:c r="EF929" s="4"/>
      <x:c r="EG929" s="4"/>
      <x:c r="EH929" s="4"/>
      <x:c r="EI929" s="4"/>
      <x:c r="EJ929" s="4"/>
      <x:c r="EK929" s="4"/>
      <x:c r="EL929" s="4"/>
      <x:c r="EM929" s="4"/>
      <x:c r="EN929" s="4"/>
      <x:c r="EO929" s="4"/>
      <x:c r="EP929" s="4"/>
      <x:c r="EQ929" s="4"/>
      <x:c r="ER929" s="4"/>
      <x:c r="ES929" s="4"/>
      <x:c r="ET929" s="4"/>
      <x:c r="EU929" s="4"/>
      <x:c r="EV929" s="4"/>
      <x:c r="EW929" s="4"/>
      <x:c r="EX929" s="4"/>
      <x:c r="EY929" s="4"/>
      <x:c r="EZ929" s="4"/>
      <x:c r="FA929" s="4"/>
      <x:c r="FB929" s="4"/>
      <x:c r="FC929" s="4"/>
      <x:c r="FD929" s="4"/>
      <x:c r="FE929" s="4"/>
      <x:c r="FF929" s="4"/>
      <x:c r="FG929" s="4"/>
      <x:c r="FH929" s="4"/>
      <x:c r="FI929" s="4"/>
      <x:c r="FJ929" s="4"/>
      <x:c r="FK929" s="4"/>
      <x:c r="FL929" s="4"/>
      <x:c r="FM929" s="4"/>
      <x:c r="FN929" s="4"/>
      <x:c r="FO929" s="4"/>
    </x:row>
    <x:row r="930">
      <x:c r="A930" s="72"/>
      <x:c r="B930" s="72"/>
      <x:c r="C930" s="72"/>
      <x:c r="D930" s="72"/>
      <x:c r="E930" s="72"/>
      <x:c r="F930" s="72"/>
      <x:c r="G930" s="72"/>
      <x:c r="H930" s="72"/>
      <x:c r="I930" s="72"/>
      <x:c r="J930" s="72"/>
      <x:c r="K930" s="72"/>
      <x:c r="L930" s="72"/>
      <x:c r="M930" s="72"/>
      <x:c r="N930" s="72"/>
      <x:c r="O930" s="72"/>
      <x:c r="P930" s="72"/>
      <x:c r="Q930" s="72"/>
      <x:c r="R930" s="72"/>
      <x:c r="S930" s="72"/>
      <x:c r="T930" s="72"/>
      <x:c r="U930" s="72"/>
      <x:c r="V930" s="72"/>
      <x:c r="W930" s="72"/>
      <x:c r="X930" s="72"/>
      <x:c r="Y930" s="72"/>
      <x:c r="Z930" s="72"/>
      <x:c r="AA930" s="72"/>
      <x:c r="AB930" s="72"/>
      <x:c r="AC930" s="72"/>
      <x:c r="AD930" s="72"/>
      <x:c r="AE930" s="72"/>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4"/>
      <x:c r="DQ930" s="4"/>
      <x:c r="DR930" s="4"/>
      <x:c r="DS930" s="4"/>
      <x:c r="DT930" s="4"/>
      <x:c r="DU930" s="4"/>
      <x:c r="DV930" s="4"/>
      <x:c r="DW930" s="4"/>
      <x:c r="DX930" s="4"/>
      <x:c r="DY930" s="4"/>
      <x:c r="DZ930" s="4"/>
      <x:c r="EA930" s="4"/>
      <x:c r="EB930" s="4"/>
      <x:c r="EC930" s="4"/>
      <x:c r="ED930" s="4"/>
      <x:c r="EE930" s="4"/>
      <x:c r="EF930" s="4"/>
      <x:c r="EG930" s="4"/>
      <x:c r="EH930" s="4"/>
      <x:c r="EI930" s="4"/>
      <x:c r="EJ930" s="4"/>
      <x:c r="EK930" s="4"/>
      <x:c r="EL930" s="4"/>
      <x:c r="EM930" s="4"/>
      <x:c r="EN930" s="4"/>
      <x:c r="EO930" s="4"/>
      <x:c r="EP930" s="4"/>
      <x:c r="EQ930" s="4"/>
      <x:c r="ER930" s="4"/>
      <x:c r="ES930" s="4"/>
      <x:c r="ET930" s="4"/>
      <x:c r="EU930" s="4"/>
      <x:c r="EV930" s="4"/>
      <x:c r="EW930" s="4"/>
      <x:c r="EX930" s="4"/>
      <x:c r="EY930" s="4"/>
      <x:c r="EZ930" s="4"/>
      <x:c r="FA930" s="4"/>
      <x:c r="FB930" s="4"/>
      <x:c r="FC930" s="4"/>
      <x:c r="FD930" s="4"/>
      <x:c r="FE930" s="4"/>
      <x:c r="FF930" s="4"/>
      <x:c r="FG930" s="4"/>
      <x:c r="FH930" s="4"/>
      <x:c r="FI930" s="4"/>
      <x:c r="FJ930" s="4"/>
      <x:c r="FK930" s="4"/>
      <x:c r="FL930" s="4"/>
      <x:c r="FM930" s="4"/>
      <x:c r="FN930" s="4"/>
      <x:c r="FO930" s="4"/>
    </x:row>
    <x:row r="931">
      <x:c r="A931" s="72"/>
      <x:c r="B931" s="72"/>
      <x:c r="C931" s="72"/>
      <x:c r="D931" s="72"/>
      <x:c r="E931" s="72"/>
      <x:c r="F931" s="72"/>
      <x:c r="G931" s="72"/>
      <x:c r="H931" s="72"/>
      <x:c r="I931" s="72"/>
      <x:c r="J931" s="72"/>
      <x:c r="K931" s="72"/>
      <x:c r="L931" s="72"/>
      <x:c r="M931" s="72"/>
      <x:c r="N931" s="72"/>
      <x:c r="O931" s="72"/>
      <x:c r="P931" s="72"/>
      <x:c r="Q931" s="72"/>
      <x:c r="R931" s="72"/>
      <x:c r="S931" s="72"/>
      <x:c r="T931" s="72"/>
      <x:c r="U931" s="72"/>
      <x:c r="V931" s="72"/>
      <x:c r="W931" s="72"/>
      <x:c r="X931" s="72"/>
      <x:c r="Y931" s="72"/>
      <x:c r="Z931" s="72"/>
      <x:c r="AA931" s="72"/>
      <x:c r="AB931" s="72"/>
      <x:c r="AC931" s="72"/>
      <x:c r="AD931" s="72"/>
      <x:c r="AE931" s="72"/>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4"/>
      <x:c r="DQ931" s="4"/>
      <x:c r="DR931" s="4"/>
      <x:c r="DS931" s="4"/>
      <x:c r="DT931" s="4"/>
      <x:c r="DU931" s="4"/>
      <x:c r="DV931" s="4"/>
      <x:c r="DW931" s="4"/>
      <x:c r="DX931" s="4"/>
      <x:c r="DY931" s="4"/>
      <x:c r="DZ931" s="4"/>
      <x:c r="EA931" s="4"/>
      <x:c r="EB931" s="4"/>
      <x:c r="EC931" s="4"/>
      <x:c r="ED931" s="4"/>
      <x:c r="EE931" s="4"/>
      <x:c r="EF931" s="4"/>
      <x:c r="EG931" s="4"/>
      <x:c r="EH931" s="4"/>
      <x:c r="EI931" s="4"/>
      <x:c r="EJ931" s="4"/>
      <x:c r="EK931" s="4"/>
      <x:c r="EL931" s="4"/>
      <x:c r="EM931" s="4"/>
      <x:c r="EN931" s="4"/>
      <x:c r="EO931" s="4"/>
      <x:c r="EP931" s="4"/>
      <x:c r="EQ931" s="4"/>
      <x:c r="ER931" s="4"/>
      <x:c r="ES931" s="4"/>
      <x:c r="ET931" s="4"/>
      <x:c r="EU931" s="4"/>
      <x:c r="EV931" s="4"/>
      <x:c r="EW931" s="4"/>
      <x:c r="EX931" s="4"/>
      <x:c r="EY931" s="4"/>
      <x:c r="EZ931" s="4"/>
      <x:c r="FA931" s="4"/>
      <x:c r="FB931" s="4"/>
      <x:c r="FC931" s="4"/>
      <x:c r="FD931" s="4"/>
      <x:c r="FE931" s="4"/>
      <x:c r="FF931" s="4"/>
      <x:c r="FG931" s="4"/>
      <x:c r="FH931" s="4"/>
      <x:c r="FI931" s="4"/>
      <x:c r="FJ931" s="4"/>
      <x:c r="FK931" s="4"/>
      <x:c r="FL931" s="4"/>
      <x:c r="FM931" s="4"/>
      <x:c r="FN931" s="4"/>
      <x:c r="FO931" s="4"/>
    </x:row>
    <x:row r="932">
      <x:c r="A932" s="72"/>
      <x:c r="B932" s="72"/>
      <x:c r="C932" s="72"/>
      <x:c r="D932" s="72"/>
      <x:c r="E932" s="72"/>
      <x:c r="F932" s="72"/>
      <x:c r="G932" s="72"/>
      <x:c r="H932" s="72"/>
      <x:c r="I932" s="72"/>
      <x:c r="J932" s="72"/>
      <x:c r="K932" s="72"/>
      <x:c r="L932" s="72"/>
      <x:c r="M932" s="72"/>
      <x:c r="N932" s="72"/>
      <x:c r="O932" s="72"/>
      <x:c r="P932" s="72"/>
      <x:c r="Q932" s="72"/>
      <x:c r="R932" s="72"/>
      <x:c r="S932" s="72"/>
      <x:c r="T932" s="72"/>
      <x:c r="U932" s="72"/>
      <x:c r="V932" s="72"/>
      <x:c r="W932" s="72"/>
      <x:c r="X932" s="72"/>
      <x:c r="Y932" s="72"/>
      <x:c r="Z932" s="72"/>
      <x:c r="AA932" s="72"/>
      <x:c r="AB932" s="72"/>
      <x:c r="AC932" s="72"/>
      <x:c r="AD932" s="72"/>
      <x:c r="AE932" s="72"/>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4"/>
      <x:c r="DQ932" s="4"/>
      <x:c r="DR932" s="4"/>
      <x:c r="DS932" s="4"/>
      <x:c r="DT932" s="4"/>
      <x:c r="DU932" s="4"/>
      <x:c r="DV932" s="4"/>
      <x:c r="DW932" s="4"/>
      <x:c r="DX932" s="4"/>
      <x:c r="DY932" s="4"/>
      <x:c r="DZ932" s="4"/>
      <x:c r="EA932" s="4"/>
      <x:c r="EB932" s="4"/>
      <x:c r="EC932" s="4"/>
      <x:c r="ED932" s="4"/>
      <x:c r="EE932" s="4"/>
      <x:c r="EF932" s="4"/>
      <x:c r="EG932" s="4"/>
      <x:c r="EH932" s="4"/>
      <x:c r="EI932" s="4"/>
      <x:c r="EJ932" s="4"/>
      <x:c r="EK932" s="4"/>
      <x:c r="EL932" s="4"/>
      <x:c r="EM932" s="4"/>
      <x:c r="EN932" s="4"/>
      <x:c r="EO932" s="4"/>
      <x:c r="EP932" s="4"/>
      <x:c r="EQ932" s="4"/>
      <x:c r="ER932" s="4"/>
      <x:c r="ES932" s="4"/>
      <x:c r="ET932" s="4"/>
      <x:c r="EU932" s="4"/>
      <x:c r="EV932" s="4"/>
      <x:c r="EW932" s="4"/>
      <x:c r="EX932" s="4"/>
      <x:c r="EY932" s="4"/>
      <x:c r="EZ932" s="4"/>
      <x:c r="FA932" s="4"/>
      <x:c r="FB932" s="4"/>
      <x:c r="FC932" s="4"/>
      <x:c r="FD932" s="4"/>
      <x:c r="FE932" s="4"/>
      <x:c r="FF932" s="4"/>
      <x:c r="FG932" s="4"/>
      <x:c r="FH932" s="4"/>
      <x:c r="FI932" s="4"/>
      <x:c r="FJ932" s="4"/>
      <x:c r="FK932" s="4"/>
      <x:c r="FL932" s="4"/>
      <x:c r="FM932" s="4"/>
      <x:c r="FN932" s="4"/>
      <x:c r="FO932" s="4"/>
    </x:row>
    <x:row r="933">
      <x:c r="A933" s="72"/>
      <x:c r="B933" s="72"/>
      <x:c r="C933" s="72"/>
      <x:c r="D933" s="72"/>
      <x:c r="E933" s="72"/>
      <x:c r="F933" s="72"/>
      <x:c r="G933" s="72"/>
      <x:c r="H933" s="72"/>
      <x:c r="I933" s="72"/>
      <x:c r="J933" s="72"/>
      <x:c r="K933" s="72"/>
      <x:c r="L933" s="72"/>
      <x:c r="M933" s="72"/>
      <x:c r="N933" s="72"/>
      <x:c r="O933" s="72"/>
      <x:c r="P933" s="72"/>
      <x:c r="Q933" s="72"/>
      <x:c r="R933" s="72"/>
      <x:c r="S933" s="72"/>
      <x:c r="T933" s="72"/>
      <x:c r="U933" s="72"/>
      <x:c r="V933" s="72"/>
      <x:c r="W933" s="72"/>
      <x:c r="X933" s="72"/>
      <x:c r="Y933" s="72"/>
      <x:c r="Z933" s="72"/>
      <x:c r="AA933" s="72"/>
      <x:c r="AB933" s="72"/>
      <x:c r="AC933" s="72"/>
      <x:c r="AD933" s="72"/>
      <x:c r="AE933" s="72"/>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4"/>
      <x:c r="DQ933" s="4"/>
      <x:c r="DR933" s="4"/>
      <x:c r="DS933" s="4"/>
      <x:c r="DT933" s="4"/>
      <x:c r="DU933" s="4"/>
      <x:c r="DV933" s="4"/>
      <x:c r="DW933" s="4"/>
      <x:c r="DX933" s="4"/>
      <x:c r="DY933" s="4"/>
      <x:c r="DZ933" s="4"/>
      <x:c r="EA933" s="4"/>
      <x:c r="EB933" s="4"/>
      <x:c r="EC933" s="4"/>
      <x:c r="ED933" s="4"/>
      <x:c r="EE933" s="4"/>
      <x:c r="EF933" s="4"/>
      <x:c r="EG933" s="4"/>
      <x:c r="EH933" s="4"/>
      <x:c r="EI933" s="4"/>
      <x:c r="EJ933" s="4"/>
      <x:c r="EK933" s="4"/>
      <x:c r="EL933" s="4"/>
      <x:c r="EM933" s="4"/>
      <x:c r="EN933" s="4"/>
      <x:c r="EO933" s="4"/>
      <x:c r="EP933" s="4"/>
      <x:c r="EQ933" s="4"/>
      <x:c r="ER933" s="4"/>
      <x:c r="ES933" s="4"/>
      <x:c r="ET933" s="4"/>
      <x:c r="EU933" s="4"/>
      <x:c r="EV933" s="4"/>
      <x:c r="EW933" s="4"/>
      <x:c r="EX933" s="4"/>
      <x:c r="EY933" s="4"/>
      <x:c r="EZ933" s="4"/>
      <x:c r="FA933" s="4"/>
      <x:c r="FB933" s="4"/>
      <x:c r="FC933" s="4"/>
      <x:c r="FD933" s="4"/>
      <x:c r="FE933" s="4"/>
      <x:c r="FF933" s="4"/>
      <x:c r="FG933" s="4"/>
      <x:c r="FH933" s="4"/>
      <x:c r="FI933" s="4"/>
      <x:c r="FJ933" s="4"/>
      <x:c r="FK933" s="4"/>
      <x:c r="FL933" s="4"/>
      <x:c r="FM933" s="4"/>
      <x:c r="FN933" s="4"/>
      <x:c r="FO933" s="4"/>
    </x:row>
    <x:row r="934">
      <x:c r="A934" s="72"/>
      <x:c r="B934" s="72"/>
      <x:c r="C934" s="72"/>
      <x:c r="D934" s="72"/>
      <x:c r="E934" s="72"/>
      <x:c r="F934" s="72"/>
      <x:c r="G934" s="72"/>
      <x:c r="H934" s="72"/>
      <x:c r="I934" s="72"/>
      <x:c r="J934" s="72"/>
      <x:c r="K934" s="72"/>
      <x:c r="L934" s="72"/>
      <x:c r="M934" s="72"/>
      <x:c r="N934" s="72"/>
      <x:c r="O934" s="72"/>
      <x:c r="P934" s="72"/>
      <x:c r="Q934" s="72"/>
      <x:c r="R934" s="72"/>
      <x:c r="S934" s="72"/>
      <x:c r="T934" s="72"/>
      <x:c r="U934" s="72"/>
      <x:c r="V934" s="72"/>
      <x:c r="W934" s="72"/>
      <x:c r="X934" s="72"/>
      <x:c r="Y934" s="72"/>
      <x:c r="Z934" s="72"/>
      <x:c r="AA934" s="72"/>
      <x:c r="AB934" s="72"/>
      <x:c r="AC934" s="72"/>
      <x:c r="AD934" s="72"/>
      <x:c r="AE934" s="72"/>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4"/>
      <x:c r="DQ934" s="4"/>
      <x:c r="DR934" s="4"/>
      <x:c r="DS934" s="4"/>
      <x:c r="DT934" s="4"/>
      <x:c r="DU934" s="4"/>
      <x:c r="DV934" s="4"/>
      <x:c r="DW934" s="4"/>
      <x:c r="DX934" s="4"/>
      <x:c r="DY934" s="4"/>
      <x:c r="DZ934" s="4"/>
      <x:c r="EA934" s="4"/>
      <x:c r="EB934" s="4"/>
      <x:c r="EC934" s="4"/>
      <x:c r="ED934" s="4"/>
      <x:c r="EE934" s="4"/>
      <x:c r="EF934" s="4"/>
      <x:c r="EG934" s="4"/>
      <x:c r="EH934" s="4"/>
      <x:c r="EI934" s="4"/>
      <x:c r="EJ934" s="4"/>
      <x:c r="EK934" s="4"/>
      <x:c r="EL934" s="4"/>
      <x:c r="EM934" s="4"/>
      <x:c r="EN934" s="4"/>
      <x:c r="EO934" s="4"/>
      <x:c r="EP934" s="4"/>
      <x:c r="EQ934" s="4"/>
      <x:c r="ER934" s="4"/>
      <x:c r="ES934" s="4"/>
      <x:c r="ET934" s="4"/>
      <x:c r="EU934" s="4"/>
      <x:c r="EV934" s="4"/>
      <x:c r="EW934" s="4"/>
      <x:c r="EX934" s="4"/>
      <x:c r="EY934" s="4"/>
      <x:c r="EZ934" s="4"/>
      <x:c r="FA934" s="4"/>
      <x:c r="FB934" s="4"/>
      <x:c r="FC934" s="4"/>
      <x:c r="FD934" s="4"/>
      <x:c r="FE934" s="4"/>
      <x:c r="FF934" s="4"/>
      <x:c r="FG934" s="4"/>
      <x:c r="FH934" s="4"/>
      <x:c r="FI934" s="4"/>
      <x:c r="FJ934" s="4"/>
      <x:c r="FK934" s="4"/>
      <x:c r="FL934" s="4"/>
      <x:c r="FM934" s="4"/>
      <x:c r="FN934" s="4"/>
      <x:c r="FO934" s="4"/>
    </x:row>
    <x:row r="935">
      <x:c r="A935" s="72"/>
      <x:c r="B935" s="72"/>
      <x:c r="C935" s="72"/>
      <x:c r="D935" s="72"/>
      <x:c r="E935" s="72"/>
      <x:c r="F935" s="72"/>
      <x:c r="G935" s="72"/>
      <x:c r="H935" s="72"/>
      <x:c r="I935" s="72"/>
      <x:c r="J935" s="72"/>
      <x:c r="K935" s="72"/>
      <x:c r="L935" s="72"/>
      <x:c r="M935" s="72"/>
      <x:c r="N935" s="72"/>
      <x:c r="O935" s="72"/>
      <x:c r="P935" s="72"/>
      <x:c r="Q935" s="72"/>
      <x:c r="R935" s="72"/>
      <x:c r="S935" s="72"/>
      <x:c r="T935" s="72"/>
      <x:c r="U935" s="72"/>
      <x:c r="V935" s="72"/>
      <x:c r="W935" s="72"/>
      <x:c r="X935" s="72"/>
      <x:c r="Y935" s="72"/>
      <x:c r="Z935" s="72"/>
      <x:c r="AA935" s="72"/>
      <x:c r="AB935" s="72"/>
      <x:c r="AC935" s="72"/>
      <x:c r="AD935" s="72"/>
      <x:c r="AE935" s="72"/>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4"/>
      <x:c r="DQ935" s="4"/>
      <x:c r="DR935" s="4"/>
      <x:c r="DS935" s="4"/>
      <x:c r="DT935" s="4"/>
      <x:c r="DU935" s="4"/>
      <x:c r="DV935" s="4"/>
      <x:c r="DW935" s="4"/>
      <x:c r="DX935" s="4"/>
      <x:c r="DY935" s="4"/>
      <x:c r="DZ935" s="4"/>
      <x:c r="EA935" s="4"/>
      <x:c r="EB935" s="4"/>
      <x:c r="EC935" s="4"/>
      <x:c r="ED935" s="4"/>
      <x:c r="EE935" s="4"/>
      <x:c r="EF935" s="4"/>
      <x:c r="EG935" s="4"/>
      <x:c r="EH935" s="4"/>
      <x:c r="EI935" s="4"/>
      <x:c r="EJ935" s="4"/>
      <x:c r="EK935" s="4"/>
      <x:c r="EL935" s="4"/>
      <x:c r="EM935" s="4"/>
      <x:c r="EN935" s="4"/>
      <x:c r="EO935" s="4"/>
      <x:c r="EP935" s="4"/>
      <x:c r="EQ935" s="4"/>
      <x:c r="ER935" s="4"/>
      <x:c r="ES935" s="4"/>
      <x:c r="ET935" s="4"/>
      <x:c r="EU935" s="4"/>
      <x:c r="EV935" s="4"/>
      <x:c r="EW935" s="4"/>
      <x:c r="EX935" s="4"/>
      <x:c r="EY935" s="4"/>
      <x:c r="EZ935" s="4"/>
      <x:c r="FA935" s="4"/>
      <x:c r="FB935" s="4"/>
      <x:c r="FC935" s="4"/>
      <x:c r="FD935" s="4"/>
      <x:c r="FE935" s="4"/>
      <x:c r="FF935" s="4"/>
      <x:c r="FG935" s="4"/>
      <x:c r="FH935" s="4"/>
      <x:c r="FI935" s="4"/>
      <x:c r="FJ935" s="4"/>
      <x:c r="FK935" s="4"/>
      <x:c r="FL935" s="4"/>
      <x:c r="FM935" s="4"/>
      <x:c r="FN935" s="4"/>
      <x:c r="FO935" s="4"/>
    </x:row>
    <x:row r="936">
      <x:c r="A936" s="72"/>
      <x:c r="B936" s="72"/>
      <x:c r="C936" s="72"/>
      <x:c r="D936" s="72"/>
      <x:c r="E936" s="72"/>
      <x:c r="F936" s="72"/>
      <x:c r="G936" s="72"/>
      <x:c r="H936" s="72"/>
      <x:c r="I936" s="72"/>
      <x:c r="J936" s="72"/>
      <x:c r="K936" s="72"/>
      <x:c r="L936" s="72"/>
      <x:c r="M936" s="72"/>
      <x:c r="N936" s="72"/>
      <x:c r="O936" s="72"/>
      <x:c r="P936" s="72"/>
      <x:c r="Q936" s="72"/>
      <x:c r="R936" s="72"/>
      <x:c r="S936" s="72"/>
      <x:c r="T936" s="72"/>
      <x:c r="U936" s="72"/>
      <x:c r="V936" s="72"/>
      <x:c r="W936" s="72"/>
      <x:c r="X936" s="72"/>
      <x:c r="Y936" s="72"/>
      <x:c r="Z936" s="72"/>
      <x:c r="AA936" s="72"/>
      <x:c r="AB936" s="72"/>
      <x:c r="AC936" s="72"/>
      <x:c r="AD936" s="72"/>
      <x:c r="AE936" s="72"/>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4"/>
      <x:c r="DQ936" s="4"/>
      <x:c r="DR936" s="4"/>
      <x:c r="DS936" s="4"/>
      <x:c r="DT936" s="4"/>
      <x:c r="DU936" s="4"/>
      <x:c r="DV936" s="4"/>
      <x:c r="DW936" s="4"/>
      <x:c r="DX936" s="4"/>
      <x:c r="DY936" s="4"/>
      <x:c r="DZ936" s="4"/>
      <x:c r="EA936" s="4"/>
      <x:c r="EB936" s="4"/>
      <x:c r="EC936" s="4"/>
      <x:c r="ED936" s="4"/>
      <x:c r="EE936" s="4"/>
      <x:c r="EF936" s="4"/>
      <x:c r="EG936" s="4"/>
      <x:c r="EH936" s="4"/>
      <x:c r="EI936" s="4"/>
      <x:c r="EJ936" s="4"/>
      <x:c r="EK936" s="4"/>
      <x:c r="EL936" s="4"/>
      <x:c r="EM936" s="4"/>
      <x:c r="EN936" s="4"/>
      <x:c r="EO936" s="4"/>
      <x:c r="EP936" s="4"/>
      <x:c r="EQ936" s="4"/>
      <x:c r="ER936" s="4"/>
      <x:c r="ES936" s="4"/>
      <x:c r="ET936" s="4"/>
      <x:c r="EU936" s="4"/>
      <x:c r="EV936" s="4"/>
      <x:c r="EW936" s="4"/>
      <x:c r="EX936" s="4"/>
      <x:c r="EY936" s="4"/>
      <x:c r="EZ936" s="4"/>
      <x:c r="FA936" s="4"/>
      <x:c r="FB936" s="4"/>
      <x:c r="FC936" s="4"/>
      <x:c r="FD936" s="4"/>
      <x:c r="FE936" s="4"/>
      <x:c r="FF936" s="4"/>
      <x:c r="FG936" s="4"/>
      <x:c r="FH936" s="4"/>
      <x:c r="FI936" s="4"/>
      <x:c r="FJ936" s="4"/>
      <x:c r="FK936" s="4"/>
      <x:c r="FL936" s="4"/>
      <x:c r="FM936" s="4"/>
      <x:c r="FN936" s="4"/>
      <x:c r="FO936" s="4"/>
    </x:row>
    <x:row r="937">
      <x:c r="A937" s="72"/>
      <x:c r="B937" s="72"/>
      <x:c r="C937" s="72"/>
      <x:c r="D937" s="72"/>
      <x:c r="E937" s="72"/>
      <x:c r="F937" s="72"/>
      <x:c r="G937" s="72"/>
      <x:c r="H937" s="72"/>
      <x:c r="I937" s="72"/>
      <x:c r="J937" s="72"/>
      <x:c r="K937" s="72"/>
      <x:c r="L937" s="72"/>
      <x:c r="M937" s="72"/>
      <x:c r="N937" s="72"/>
      <x:c r="O937" s="72"/>
      <x:c r="P937" s="72"/>
      <x:c r="Q937" s="72"/>
      <x:c r="R937" s="72"/>
      <x:c r="S937" s="72"/>
      <x:c r="T937" s="72"/>
      <x:c r="U937" s="72"/>
      <x:c r="V937" s="72"/>
      <x:c r="W937" s="72"/>
      <x:c r="X937" s="72"/>
      <x:c r="Y937" s="72"/>
      <x:c r="Z937" s="72"/>
      <x:c r="AA937" s="72"/>
      <x:c r="AB937" s="72"/>
      <x:c r="AC937" s="72"/>
      <x:c r="AD937" s="72"/>
      <x:c r="AE937" s="72"/>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4"/>
      <x:c r="DQ937" s="4"/>
      <x:c r="DR937" s="4"/>
      <x:c r="DS937" s="4"/>
      <x:c r="DT937" s="4"/>
      <x:c r="DU937" s="4"/>
      <x:c r="DV937" s="4"/>
      <x:c r="DW937" s="4"/>
      <x:c r="DX937" s="4"/>
      <x:c r="DY937" s="4"/>
      <x:c r="DZ937" s="4"/>
      <x:c r="EA937" s="4"/>
      <x:c r="EB937" s="4"/>
      <x:c r="EC937" s="4"/>
      <x:c r="ED937" s="4"/>
      <x:c r="EE937" s="4"/>
      <x:c r="EF937" s="4"/>
      <x:c r="EG937" s="4"/>
      <x:c r="EH937" s="4"/>
      <x:c r="EI937" s="4"/>
      <x:c r="EJ937" s="4"/>
      <x:c r="EK937" s="4"/>
      <x:c r="EL937" s="4"/>
      <x:c r="EM937" s="4"/>
      <x:c r="EN937" s="4"/>
      <x:c r="EO937" s="4"/>
      <x:c r="EP937" s="4"/>
      <x:c r="EQ937" s="4"/>
      <x:c r="ER937" s="4"/>
      <x:c r="ES937" s="4"/>
      <x:c r="ET937" s="4"/>
      <x:c r="EU937" s="4"/>
      <x:c r="EV937" s="4"/>
      <x:c r="EW937" s="4"/>
      <x:c r="EX937" s="4"/>
      <x:c r="EY937" s="4"/>
      <x:c r="EZ937" s="4"/>
      <x:c r="FA937" s="4"/>
      <x:c r="FB937" s="4"/>
      <x:c r="FC937" s="4"/>
      <x:c r="FD937" s="4"/>
      <x:c r="FE937" s="4"/>
      <x:c r="FF937" s="4"/>
      <x:c r="FG937" s="4"/>
      <x:c r="FH937" s="4"/>
      <x:c r="FI937" s="4"/>
      <x:c r="FJ937" s="4"/>
      <x:c r="FK937" s="4"/>
      <x:c r="FL937" s="4"/>
      <x:c r="FM937" s="4"/>
      <x:c r="FN937" s="4"/>
      <x:c r="FO937" s="4"/>
    </x:row>
    <x:row r="938">
      <x:c r="A938" s="72"/>
      <x:c r="B938" s="72"/>
      <x:c r="C938" s="72"/>
      <x:c r="D938" s="72"/>
      <x:c r="E938" s="72"/>
      <x:c r="F938" s="72"/>
      <x:c r="G938" s="72"/>
      <x:c r="H938" s="72"/>
      <x:c r="I938" s="72"/>
      <x:c r="J938" s="72"/>
      <x:c r="K938" s="72"/>
      <x:c r="L938" s="72"/>
      <x:c r="M938" s="72"/>
      <x:c r="N938" s="72"/>
      <x:c r="O938" s="72"/>
      <x:c r="P938" s="72"/>
      <x:c r="Q938" s="72"/>
      <x:c r="R938" s="72"/>
      <x:c r="S938" s="72"/>
      <x:c r="T938" s="72"/>
      <x:c r="U938" s="72"/>
      <x:c r="V938" s="72"/>
      <x:c r="W938" s="72"/>
      <x:c r="X938" s="72"/>
      <x:c r="Y938" s="72"/>
      <x:c r="Z938" s="72"/>
      <x:c r="AA938" s="72"/>
      <x:c r="AB938" s="72"/>
      <x:c r="AC938" s="72"/>
      <x:c r="AD938" s="72"/>
      <x:c r="AE938" s="72"/>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4"/>
      <x:c r="DQ938" s="4"/>
      <x:c r="DR938" s="4"/>
      <x:c r="DS938" s="4"/>
      <x:c r="DT938" s="4"/>
      <x:c r="DU938" s="4"/>
      <x:c r="DV938" s="4"/>
      <x:c r="DW938" s="4"/>
      <x:c r="DX938" s="4"/>
      <x:c r="DY938" s="4"/>
      <x:c r="DZ938" s="4"/>
      <x:c r="EA938" s="4"/>
      <x:c r="EB938" s="4"/>
      <x:c r="EC938" s="4"/>
      <x:c r="ED938" s="4"/>
      <x:c r="EE938" s="4"/>
      <x:c r="EF938" s="4"/>
      <x:c r="EG938" s="4"/>
      <x:c r="EH938" s="4"/>
      <x:c r="EI938" s="4"/>
      <x:c r="EJ938" s="4"/>
      <x:c r="EK938" s="4"/>
      <x:c r="EL938" s="4"/>
      <x:c r="EM938" s="4"/>
      <x:c r="EN938" s="4"/>
      <x:c r="EO938" s="4"/>
      <x:c r="EP938" s="4"/>
      <x:c r="EQ938" s="4"/>
      <x:c r="ER938" s="4"/>
      <x:c r="ES938" s="4"/>
      <x:c r="ET938" s="4"/>
      <x:c r="EU938" s="4"/>
      <x:c r="EV938" s="4"/>
      <x:c r="EW938" s="4"/>
      <x:c r="EX938" s="4"/>
      <x:c r="EY938" s="4"/>
      <x:c r="EZ938" s="4"/>
      <x:c r="FA938" s="4"/>
      <x:c r="FB938" s="4"/>
      <x:c r="FC938" s="4"/>
      <x:c r="FD938" s="4"/>
      <x:c r="FE938" s="4"/>
      <x:c r="FF938" s="4"/>
      <x:c r="FG938" s="4"/>
      <x:c r="FH938" s="4"/>
      <x:c r="FI938" s="4"/>
      <x:c r="FJ938" s="4"/>
      <x:c r="FK938" s="4"/>
      <x:c r="FL938" s="4"/>
      <x:c r="FM938" s="4"/>
      <x:c r="FN938" s="4"/>
      <x:c r="FO938" s="4"/>
    </x:row>
    <x:row r="939">
      <x:c r="A939" s="72"/>
      <x:c r="B939" s="72"/>
      <x:c r="C939" s="72"/>
      <x:c r="D939" s="72"/>
      <x:c r="E939" s="72"/>
      <x:c r="F939" s="72"/>
      <x:c r="G939" s="72"/>
      <x:c r="H939" s="72"/>
      <x:c r="I939" s="72"/>
      <x:c r="J939" s="72"/>
      <x:c r="K939" s="72"/>
      <x:c r="L939" s="72"/>
      <x:c r="M939" s="72"/>
      <x:c r="N939" s="72"/>
      <x:c r="O939" s="72"/>
      <x:c r="P939" s="72"/>
      <x:c r="Q939" s="72"/>
      <x:c r="R939" s="72"/>
      <x:c r="S939" s="72"/>
      <x:c r="T939" s="72"/>
      <x:c r="U939" s="72"/>
      <x:c r="V939" s="72"/>
      <x:c r="W939" s="72"/>
      <x:c r="X939" s="72"/>
      <x:c r="Y939" s="72"/>
      <x:c r="Z939" s="72"/>
      <x:c r="AA939" s="72"/>
      <x:c r="AB939" s="72"/>
      <x:c r="AC939" s="72"/>
      <x:c r="AD939" s="72"/>
      <x:c r="AE939" s="72"/>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4"/>
      <x:c r="DQ939" s="4"/>
      <x:c r="DR939" s="4"/>
      <x:c r="DS939" s="4"/>
      <x:c r="DT939" s="4"/>
      <x:c r="DU939" s="4"/>
      <x:c r="DV939" s="4"/>
      <x:c r="DW939" s="4"/>
      <x:c r="DX939" s="4"/>
      <x:c r="DY939" s="4"/>
      <x:c r="DZ939" s="4"/>
      <x:c r="EA939" s="4"/>
      <x:c r="EB939" s="4"/>
      <x:c r="EC939" s="4"/>
      <x:c r="ED939" s="4"/>
      <x:c r="EE939" s="4"/>
      <x:c r="EF939" s="4"/>
      <x:c r="EG939" s="4"/>
      <x:c r="EH939" s="4"/>
      <x:c r="EI939" s="4"/>
      <x:c r="EJ939" s="4"/>
      <x:c r="EK939" s="4"/>
      <x:c r="EL939" s="4"/>
      <x:c r="EM939" s="4"/>
      <x:c r="EN939" s="4"/>
      <x:c r="EO939" s="4"/>
      <x:c r="EP939" s="4"/>
      <x:c r="EQ939" s="4"/>
      <x:c r="ER939" s="4"/>
      <x:c r="ES939" s="4"/>
      <x:c r="ET939" s="4"/>
      <x:c r="EU939" s="4"/>
      <x:c r="EV939" s="4"/>
      <x:c r="EW939" s="4"/>
      <x:c r="EX939" s="4"/>
      <x:c r="EY939" s="4"/>
      <x:c r="EZ939" s="4"/>
      <x:c r="FA939" s="4"/>
      <x:c r="FB939" s="4"/>
      <x:c r="FC939" s="4"/>
      <x:c r="FD939" s="4"/>
      <x:c r="FE939" s="4"/>
      <x:c r="FF939" s="4"/>
      <x:c r="FG939" s="4"/>
      <x:c r="FH939" s="4"/>
      <x:c r="FI939" s="4"/>
      <x:c r="FJ939" s="4"/>
      <x:c r="FK939" s="4"/>
      <x:c r="FL939" s="4"/>
      <x:c r="FM939" s="4"/>
      <x:c r="FN939" s="4"/>
      <x:c r="FO939" s="4"/>
    </x:row>
    <x:row r="940">
      <x:c r="A940" s="72"/>
      <x:c r="B940" s="72"/>
      <x:c r="C940" s="72"/>
      <x:c r="D940" s="72"/>
      <x:c r="E940" s="72"/>
      <x:c r="F940" s="72"/>
      <x:c r="G940" s="72"/>
      <x:c r="H940" s="72"/>
      <x:c r="I940" s="72"/>
      <x:c r="J940" s="72"/>
      <x:c r="K940" s="72"/>
      <x:c r="L940" s="72"/>
      <x:c r="M940" s="72"/>
      <x:c r="N940" s="72"/>
      <x:c r="O940" s="72"/>
      <x:c r="P940" s="72"/>
      <x:c r="Q940" s="72"/>
      <x:c r="R940" s="72"/>
      <x:c r="S940" s="72"/>
      <x:c r="T940" s="72"/>
      <x:c r="U940" s="72"/>
      <x:c r="V940" s="72"/>
      <x:c r="W940" s="72"/>
      <x:c r="X940" s="72"/>
      <x:c r="Y940" s="72"/>
      <x:c r="Z940" s="72"/>
      <x:c r="AA940" s="72"/>
      <x:c r="AB940" s="72"/>
      <x:c r="AC940" s="72"/>
      <x:c r="AD940" s="72"/>
      <x:c r="AE940" s="72"/>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4"/>
      <x:c r="DQ940" s="4"/>
      <x:c r="DR940" s="4"/>
      <x:c r="DS940" s="4"/>
      <x:c r="DT940" s="4"/>
      <x:c r="DU940" s="4"/>
      <x:c r="DV940" s="4"/>
      <x:c r="DW940" s="4"/>
      <x:c r="DX940" s="4"/>
      <x:c r="DY940" s="4"/>
      <x:c r="DZ940" s="4"/>
      <x:c r="EA940" s="4"/>
      <x:c r="EB940" s="4"/>
      <x:c r="EC940" s="4"/>
      <x:c r="ED940" s="4"/>
      <x:c r="EE940" s="4"/>
      <x:c r="EF940" s="4"/>
      <x:c r="EG940" s="4"/>
      <x:c r="EH940" s="4"/>
      <x:c r="EI940" s="4"/>
      <x:c r="EJ940" s="4"/>
      <x:c r="EK940" s="4"/>
      <x:c r="EL940" s="4"/>
      <x:c r="EM940" s="4"/>
      <x:c r="EN940" s="4"/>
      <x:c r="EO940" s="4"/>
      <x:c r="EP940" s="4"/>
      <x:c r="EQ940" s="4"/>
      <x:c r="ER940" s="4"/>
      <x:c r="ES940" s="4"/>
      <x:c r="ET940" s="4"/>
      <x:c r="EU940" s="4"/>
      <x:c r="EV940" s="4"/>
      <x:c r="EW940" s="4"/>
      <x:c r="EX940" s="4"/>
      <x:c r="EY940" s="4"/>
      <x:c r="EZ940" s="4"/>
      <x:c r="FA940" s="4"/>
      <x:c r="FB940" s="4"/>
      <x:c r="FC940" s="4"/>
      <x:c r="FD940" s="4"/>
      <x:c r="FE940" s="4"/>
      <x:c r="FF940" s="4"/>
      <x:c r="FG940" s="4"/>
      <x:c r="FH940" s="4"/>
      <x:c r="FI940" s="4"/>
      <x:c r="FJ940" s="4"/>
      <x:c r="FK940" s="4"/>
      <x:c r="FL940" s="4"/>
      <x:c r="FM940" s="4"/>
      <x:c r="FN940" s="4"/>
      <x:c r="FO940" s="4"/>
    </x:row>
    <x:row r="941">
      <x:c r="A941" s="72"/>
      <x:c r="B941" s="72"/>
      <x:c r="C941" s="72"/>
      <x:c r="D941" s="72"/>
      <x:c r="E941" s="72"/>
      <x:c r="F941" s="72"/>
      <x:c r="G941" s="72"/>
      <x:c r="H941" s="72"/>
      <x:c r="I941" s="72"/>
      <x:c r="J941" s="72"/>
      <x:c r="K941" s="72"/>
      <x:c r="L941" s="72"/>
      <x:c r="M941" s="72"/>
      <x:c r="N941" s="72"/>
      <x:c r="O941" s="72"/>
      <x:c r="P941" s="72"/>
      <x:c r="Q941" s="72"/>
      <x:c r="R941" s="72"/>
      <x:c r="S941" s="72"/>
      <x:c r="T941" s="72"/>
      <x:c r="U941" s="72"/>
      <x:c r="V941" s="72"/>
      <x:c r="W941" s="72"/>
      <x:c r="X941" s="72"/>
      <x:c r="Y941" s="72"/>
      <x:c r="Z941" s="72"/>
      <x:c r="AA941" s="72"/>
      <x:c r="AB941" s="72"/>
      <x:c r="AC941" s="72"/>
      <x:c r="AD941" s="72"/>
      <x:c r="AE941" s="72"/>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4"/>
      <x:c r="DQ941" s="4"/>
      <x:c r="DR941" s="4"/>
      <x:c r="DS941" s="4"/>
      <x:c r="DT941" s="4"/>
      <x:c r="DU941" s="4"/>
      <x:c r="DV941" s="4"/>
      <x:c r="DW941" s="4"/>
      <x:c r="DX941" s="4"/>
      <x:c r="DY941" s="4"/>
      <x:c r="DZ941" s="4"/>
      <x:c r="EA941" s="4"/>
      <x:c r="EB941" s="4"/>
      <x:c r="EC941" s="4"/>
      <x:c r="ED941" s="4"/>
      <x:c r="EE941" s="4"/>
      <x:c r="EF941" s="4"/>
      <x:c r="EG941" s="4"/>
      <x:c r="EH941" s="4"/>
      <x:c r="EI941" s="4"/>
      <x:c r="EJ941" s="4"/>
      <x:c r="EK941" s="4"/>
      <x:c r="EL941" s="4"/>
      <x:c r="EM941" s="4"/>
      <x:c r="EN941" s="4"/>
      <x:c r="EO941" s="4"/>
      <x:c r="EP941" s="4"/>
      <x:c r="EQ941" s="4"/>
      <x:c r="ER941" s="4"/>
      <x:c r="ES941" s="4"/>
      <x:c r="ET941" s="4"/>
      <x:c r="EU941" s="4"/>
      <x:c r="EV941" s="4"/>
      <x:c r="EW941" s="4"/>
      <x:c r="EX941" s="4"/>
      <x:c r="EY941" s="4"/>
      <x:c r="EZ941" s="4"/>
      <x:c r="FA941" s="4"/>
      <x:c r="FB941" s="4"/>
      <x:c r="FC941" s="4"/>
      <x:c r="FD941" s="4"/>
      <x:c r="FE941" s="4"/>
      <x:c r="FF941" s="4"/>
      <x:c r="FG941" s="4"/>
      <x:c r="FH941" s="4"/>
      <x:c r="FI941" s="4"/>
      <x:c r="FJ941" s="4"/>
      <x:c r="FK941" s="4"/>
      <x:c r="FL941" s="4"/>
      <x:c r="FM941" s="4"/>
      <x:c r="FN941" s="4"/>
      <x:c r="FO941" s="4"/>
    </x:row>
    <x:row r="942">
      <x:c r="A942" s="72"/>
      <x:c r="B942" s="72"/>
      <x:c r="C942" s="72"/>
      <x:c r="D942" s="72"/>
      <x:c r="E942" s="72"/>
      <x:c r="F942" s="72"/>
      <x:c r="G942" s="72"/>
      <x:c r="H942" s="72"/>
      <x:c r="I942" s="72"/>
      <x:c r="J942" s="72"/>
      <x:c r="K942" s="72"/>
      <x:c r="L942" s="72"/>
      <x:c r="M942" s="72"/>
      <x:c r="N942" s="72"/>
      <x:c r="O942" s="72"/>
      <x:c r="P942" s="72"/>
      <x:c r="Q942" s="72"/>
      <x:c r="R942" s="72"/>
      <x:c r="S942" s="72"/>
      <x:c r="T942" s="72"/>
      <x:c r="U942" s="72"/>
      <x:c r="V942" s="72"/>
      <x:c r="W942" s="72"/>
      <x:c r="X942" s="72"/>
      <x:c r="Y942" s="72"/>
      <x:c r="Z942" s="72"/>
      <x:c r="AA942" s="72"/>
      <x:c r="AB942" s="72"/>
      <x:c r="AC942" s="72"/>
      <x:c r="AD942" s="72"/>
      <x:c r="AE942" s="72"/>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4"/>
      <x:c r="DQ942" s="4"/>
      <x:c r="DR942" s="4"/>
      <x:c r="DS942" s="4"/>
      <x:c r="DT942" s="4"/>
      <x:c r="DU942" s="4"/>
      <x:c r="DV942" s="4"/>
      <x:c r="DW942" s="4"/>
      <x:c r="DX942" s="4"/>
      <x:c r="DY942" s="4"/>
      <x:c r="DZ942" s="4"/>
      <x:c r="EA942" s="4"/>
      <x:c r="EB942" s="4"/>
      <x:c r="EC942" s="4"/>
      <x:c r="ED942" s="4"/>
      <x:c r="EE942" s="4"/>
      <x:c r="EF942" s="4"/>
      <x:c r="EG942" s="4"/>
      <x:c r="EH942" s="4"/>
      <x:c r="EI942" s="4"/>
      <x:c r="EJ942" s="4"/>
      <x:c r="EK942" s="4"/>
      <x:c r="EL942" s="4"/>
      <x:c r="EM942" s="4"/>
      <x:c r="EN942" s="4"/>
      <x:c r="EO942" s="4"/>
      <x:c r="EP942" s="4"/>
      <x:c r="EQ942" s="4"/>
      <x:c r="ER942" s="4"/>
      <x:c r="ES942" s="4"/>
      <x:c r="ET942" s="4"/>
      <x:c r="EU942" s="4"/>
      <x:c r="EV942" s="4"/>
      <x:c r="EW942" s="4"/>
      <x:c r="EX942" s="4"/>
      <x:c r="EY942" s="4"/>
      <x:c r="EZ942" s="4"/>
      <x:c r="FA942" s="4"/>
      <x:c r="FB942" s="4"/>
      <x:c r="FC942" s="4"/>
      <x:c r="FD942" s="4"/>
      <x:c r="FE942" s="4"/>
      <x:c r="FF942" s="4"/>
      <x:c r="FG942" s="4"/>
      <x:c r="FH942" s="4"/>
      <x:c r="FI942" s="4"/>
      <x:c r="FJ942" s="4"/>
      <x:c r="FK942" s="4"/>
      <x:c r="FL942" s="4"/>
      <x:c r="FM942" s="4"/>
      <x:c r="FN942" s="4"/>
      <x:c r="FO942" s="4"/>
    </x:row>
    <x:row r="943">
      <x:c r="A943" s="72"/>
      <x:c r="B943" s="72"/>
      <x:c r="C943" s="72"/>
      <x:c r="D943" s="72"/>
      <x:c r="E943" s="72"/>
      <x:c r="F943" s="72"/>
      <x:c r="G943" s="72"/>
      <x:c r="H943" s="72"/>
      <x:c r="I943" s="72"/>
      <x:c r="J943" s="72"/>
      <x:c r="K943" s="72"/>
      <x:c r="L943" s="72"/>
      <x:c r="M943" s="72"/>
      <x:c r="N943" s="72"/>
      <x:c r="O943" s="72"/>
      <x:c r="P943" s="72"/>
      <x:c r="Q943" s="72"/>
      <x:c r="R943" s="72"/>
      <x:c r="S943" s="72"/>
      <x:c r="T943" s="72"/>
      <x:c r="U943" s="72"/>
      <x:c r="V943" s="72"/>
      <x:c r="W943" s="72"/>
      <x:c r="X943" s="72"/>
      <x:c r="Y943" s="72"/>
      <x:c r="Z943" s="72"/>
      <x:c r="AA943" s="72"/>
      <x:c r="AB943" s="72"/>
      <x:c r="AC943" s="72"/>
      <x:c r="AD943" s="72"/>
      <x:c r="AE943" s="72"/>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4"/>
      <x:c r="DQ943" s="4"/>
      <x:c r="DR943" s="4"/>
      <x:c r="DS943" s="4"/>
      <x:c r="DT943" s="4"/>
      <x:c r="DU943" s="4"/>
      <x:c r="DV943" s="4"/>
      <x:c r="DW943" s="4"/>
      <x:c r="DX943" s="4"/>
      <x:c r="DY943" s="4"/>
      <x:c r="DZ943" s="4"/>
      <x:c r="EA943" s="4"/>
      <x:c r="EB943" s="4"/>
      <x:c r="EC943" s="4"/>
      <x:c r="ED943" s="4"/>
      <x:c r="EE943" s="4"/>
      <x:c r="EF943" s="4"/>
      <x:c r="EG943" s="4"/>
      <x:c r="EH943" s="4"/>
      <x:c r="EI943" s="4"/>
      <x:c r="EJ943" s="4"/>
      <x:c r="EK943" s="4"/>
      <x:c r="EL943" s="4"/>
      <x:c r="EM943" s="4"/>
      <x:c r="EN943" s="4"/>
      <x:c r="EO943" s="4"/>
      <x:c r="EP943" s="4"/>
      <x:c r="EQ943" s="4"/>
      <x:c r="ER943" s="4"/>
      <x:c r="ES943" s="4"/>
      <x:c r="ET943" s="4"/>
      <x:c r="EU943" s="4"/>
      <x:c r="EV943" s="4"/>
      <x:c r="EW943" s="4"/>
      <x:c r="EX943" s="4"/>
      <x:c r="EY943" s="4"/>
      <x:c r="EZ943" s="4"/>
      <x:c r="FA943" s="4"/>
      <x:c r="FB943" s="4"/>
      <x:c r="FC943" s="4"/>
      <x:c r="FD943" s="4"/>
      <x:c r="FE943" s="4"/>
      <x:c r="FF943" s="4"/>
      <x:c r="FG943" s="4"/>
      <x:c r="FH943" s="4"/>
      <x:c r="FI943" s="4"/>
      <x:c r="FJ943" s="4"/>
      <x:c r="FK943" s="4"/>
      <x:c r="FL943" s="4"/>
      <x:c r="FM943" s="4"/>
      <x:c r="FN943" s="4"/>
      <x:c r="FO943" s="4"/>
    </x:row>
    <x:row r="944">
      <x:c r="A944" s="72"/>
      <x:c r="B944" s="72"/>
      <x:c r="C944" s="72"/>
      <x:c r="D944" s="72"/>
      <x:c r="E944" s="72"/>
      <x:c r="F944" s="72"/>
      <x:c r="G944" s="72"/>
      <x:c r="H944" s="72"/>
      <x:c r="I944" s="72"/>
      <x:c r="J944" s="72"/>
      <x:c r="K944" s="72"/>
      <x:c r="L944" s="72"/>
      <x:c r="M944" s="72"/>
      <x:c r="N944" s="72"/>
      <x:c r="O944" s="72"/>
      <x:c r="P944" s="72"/>
      <x:c r="Q944" s="72"/>
      <x:c r="R944" s="72"/>
      <x:c r="S944" s="72"/>
      <x:c r="T944" s="72"/>
      <x:c r="U944" s="72"/>
      <x:c r="V944" s="72"/>
      <x:c r="W944" s="72"/>
      <x:c r="X944" s="72"/>
      <x:c r="Y944" s="72"/>
      <x:c r="Z944" s="72"/>
      <x:c r="AA944" s="72"/>
      <x:c r="AB944" s="72"/>
      <x:c r="AC944" s="72"/>
      <x:c r="AD944" s="72"/>
      <x:c r="AE944" s="72"/>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4"/>
      <x:c r="DQ944" s="4"/>
      <x:c r="DR944" s="4"/>
      <x:c r="DS944" s="4"/>
      <x:c r="DT944" s="4"/>
      <x:c r="DU944" s="4"/>
      <x:c r="DV944" s="4"/>
      <x:c r="DW944" s="4"/>
      <x:c r="DX944" s="4"/>
      <x:c r="DY944" s="4"/>
      <x:c r="DZ944" s="4"/>
      <x:c r="EA944" s="4"/>
      <x:c r="EB944" s="4"/>
      <x:c r="EC944" s="4"/>
      <x:c r="ED944" s="4"/>
      <x:c r="EE944" s="4"/>
      <x:c r="EF944" s="4"/>
      <x:c r="EG944" s="4"/>
      <x:c r="EH944" s="4"/>
      <x:c r="EI944" s="4"/>
      <x:c r="EJ944" s="4"/>
      <x:c r="EK944" s="4"/>
      <x:c r="EL944" s="4"/>
      <x:c r="EM944" s="4"/>
      <x:c r="EN944" s="4"/>
      <x:c r="EO944" s="4"/>
      <x:c r="EP944" s="4"/>
      <x:c r="EQ944" s="4"/>
      <x:c r="ER944" s="4"/>
      <x:c r="ES944" s="4"/>
      <x:c r="ET944" s="4"/>
      <x:c r="EU944" s="4"/>
      <x:c r="EV944" s="4"/>
      <x:c r="EW944" s="4"/>
      <x:c r="EX944" s="4"/>
      <x:c r="EY944" s="4"/>
      <x:c r="EZ944" s="4"/>
      <x:c r="FA944" s="4"/>
      <x:c r="FB944" s="4"/>
      <x:c r="FC944" s="4"/>
      <x:c r="FD944" s="4"/>
      <x:c r="FE944" s="4"/>
      <x:c r="FF944" s="4"/>
      <x:c r="FG944" s="4"/>
      <x:c r="FH944" s="4"/>
      <x:c r="FI944" s="4"/>
      <x:c r="FJ944" s="4"/>
      <x:c r="FK944" s="4"/>
      <x:c r="FL944" s="4"/>
      <x:c r="FM944" s="4"/>
      <x:c r="FN944" s="4"/>
      <x:c r="FO944" s="4"/>
    </x:row>
    <x:row r="945">
      <x:c r="A945" s="72"/>
      <x:c r="B945" s="72"/>
      <x:c r="C945" s="72"/>
      <x:c r="D945" s="72"/>
      <x:c r="E945" s="72"/>
      <x:c r="F945" s="72"/>
      <x:c r="G945" s="72"/>
      <x:c r="H945" s="72"/>
      <x:c r="I945" s="72"/>
      <x:c r="J945" s="72"/>
      <x:c r="K945" s="72"/>
      <x:c r="L945" s="72"/>
      <x:c r="M945" s="72"/>
      <x:c r="N945" s="72"/>
      <x:c r="O945" s="72"/>
      <x:c r="P945" s="72"/>
      <x:c r="Q945" s="72"/>
      <x:c r="R945" s="72"/>
      <x:c r="S945" s="72"/>
      <x:c r="T945" s="72"/>
      <x:c r="U945" s="72"/>
      <x:c r="V945" s="72"/>
      <x:c r="W945" s="72"/>
      <x:c r="X945" s="72"/>
      <x:c r="Y945" s="72"/>
      <x:c r="Z945" s="72"/>
      <x:c r="AA945" s="72"/>
      <x:c r="AB945" s="72"/>
      <x:c r="AC945" s="72"/>
      <x:c r="AD945" s="72"/>
      <x:c r="AE945" s="72"/>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4"/>
      <x:c r="DQ945" s="4"/>
      <x:c r="DR945" s="4"/>
      <x:c r="DS945" s="4"/>
      <x:c r="DT945" s="4"/>
      <x:c r="DU945" s="4"/>
      <x:c r="DV945" s="4"/>
      <x:c r="DW945" s="4"/>
      <x:c r="DX945" s="4"/>
      <x:c r="DY945" s="4"/>
      <x:c r="DZ945" s="4"/>
      <x:c r="EA945" s="4"/>
      <x:c r="EB945" s="4"/>
      <x:c r="EC945" s="4"/>
      <x:c r="ED945" s="4"/>
      <x:c r="EE945" s="4"/>
      <x:c r="EF945" s="4"/>
      <x:c r="EG945" s="4"/>
      <x:c r="EH945" s="4"/>
      <x:c r="EI945" s="4"/>
      <x:c r="EJ945" s="4"/>
      <x:c r="EK945" s="4"/>
      <x:c r="EL945" s="4"/>
      <x:c r="EM945" s="4"/>
      <x:c r="EN945" s="4"/>
      <x:c r="EO945" s="4"/>
      <x:c r="EP945" s="4"/>
      <x:c r="EQ945" s="4"/>
      <x:c r="ER945" s="4"/>
      <x:c r="ES945" s="4"/>
      <x:c r="ET945" s="4"/>
      <x:c r="EU945" s="4"/>
      <x:c r="EV945" s="4"/>
      <x:c r="EW945" s="4"/>
      <x:c r="EX945" s="4"/>
      <x:c r="EY945" s="4"/>
      <x:c r="EZ945" s="4"/>
      <x:c r="FA945" s="4"/>
      <x:c r="FB945" s="4"/>
      <x:c r="FC945" s="4"/>
      <x:c r="FD945" s="4"/>
      <x:c r="FE945" s="4"/>
      <x:c r="FF945" s="4"/>
      <x:c r="FG945" s="4"/>
      <x:c r="FH945" s="4"/>
      <x:c r="FI945" s="4"/>
      <x:c r="FJ945" s="4"/>
      <x:c r="FK945" s="4"/>
      <x:c r="FL945" s="4"/>
      <x:c r="FM945" s="4"/>
      <x:c r="FN945" s="4"/>
      <x:c r="FO945" s="4"/>
    </x:row>
    <x:row r="946">
      <x:c r="A946" s="72"/>
      <x:c r="B946" s="72"/>
      <x:c r="C946" s="72"/>
      <x:c r="D946" s="72"/>
      <x:c r="E946" s="72"/>
      <x:c r="F946" s="72"/>
      <x:c r="G946" s="72"/>
      <x:c r="H946" s="72"/>
      <x:c r="I946" s="72"/>
      <x:c r="J946" s="72"/>
      <x:c r="K946" s="72"/>
      <x:c r="L946" s="72"/>
      <x:c r="M946" s="72"/>
      <x:c r="N946" s="72"/>
      <x:c r="O946" s="72"/>
      <x:c r="P946" s="72"/>
      <x:c r="Q946" s="72"/>
      <x:c r="R946" s="72"/>
      <x:c r="S946" s="72"/>
      <x:c r="T946" s="72"/>
      <x:c r="U946" s="72"/>
      <x:c r="V946" s="72"/>
      <x:c r="W946" s="72"/>
      <x:c r="X946" s="72"/>
      <x:c r="Y946" s="72"/>
      <x:c r="Z946" s="72"/>
      <x:c r="AA946" s="72"/>
      <x:c r="AB946" s="72"/>
      <x:c r="AC946" s="72"/>
      <x:c r="AD946" s="72"/>
      <x:c r="AE946" s="72"/>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4"/>
      <x:c r="DQ946" s="4"/>
      <x:c r="DR946" s="4"/>
      <x:c r="DS946" s="4"/>
      <x:c r="DT946" s="4"/>
      <x:c r="DU946" s="4"/>
      <x:c r="DV946" s="4"/>
      <x:c r="DW946" s="4"/>
      <x:c r="DX946" s="4"/>
      <x:c r="DY946" s="4"/>
      <x:c r="DZ946" s="4"/>
      <x:c r="EA946" s="4"/>
      <x:c r="EB946" s="4"/>
      <x:c r="EC946" s="4"/>
      <x:c r="ED946" s="4"/>
      <x:c r="EE946" s="4"/>
      <x:c r="EF946" s="4"/>
      <x:c r="EG946" s="4"/>
      <x:c r="EH946" s="4"/>
      <x:c r="EI946" s="4"/>
      <x:c r="EJ946" s="4"/>
      <x:c r="EK946" s="4"/>
      <x:c r="EL946" s="4"/>
      <x:c r="EM946" s="4"/>
      <x:c r="EN946" s="4"/>
      <x:c r="EO946" s="4"/>
      <x:c r="EP946" s="4"/>
      <x:c r="EQ946" s="4"/>
      <x:c r="ER946" s="4"/>
      <x:c r="ES946" s="4"/>
      <x:c r="ET946" s="4"/>
      <x:c r="EU946" s="4"/>
      <x:c r="EV946" s="4"/>
      <x:c r="EW946" s="4"/>
      <x:c r="EX946" s="4"/>
      <x:c r="EY946" s="4"/>
      <x:c r="EZ946" s="4"/>
      <x:c r="FA946" s="4"/>
      <x:c r="FB946" s="4"/>
      <x:c r="FC946" s="4"/>
      <x:c r="FD946" s="4"/>
      <x:c r="FE946" s="4"/>
      <x:c r="FF946" s="4"/>
      <x:c r="FG946" s="4"/>
      <x:c r="FH946" s="4"/>
      <x:c r="FI946" s="4"/>
      <x:c r="FJ946" s="4"/>
      <x:c r="FK946" s="4"/>
      <x:c r="FL946" s="4"/>
      <x:c r="FM946" s="4"/>
      <x:c r="FN946" s="4"/>
      <x:c r="FO946" s="4"/>
    </x:row>
    <x:row r="947">
      <x:c r="A947" s="72"/>
      <x:c r="B947" s="72"/>
      <x:c r="C947" s="72"/>
      <x:c r="D947" s="72"/>
      <x:c r="E947" s="72"/>
      <x:c r="F947" s="72"/>
      <x:c r="G947" s="72"/>
      <x:c r="H947" s="72"/>
      <x:c r="I947" s="72"/>
      <x:c r="J947" s="72"/>
      <x:c r="K947" s="72"/>
      <x:c r="L947" s="72"/>
      <x:c r="M947" s="72"/>
      <x:c r="N947" s="72"/>
      <x:c r="O947" s="72"/>
      <x:c r="P947" s="72"/>
      <x:c r="Q947" s="72"/>
      <x:c r="R947" s="72"/>
      <x:c r="S947" s="72"/>
      <x:c r="T947" s="72"/>
      <x:c r="U947" s="72"/>
      <x:c r="V947" s="72"/>
      <x:c r="W947" s="72"/>
      <x:c r="X947" s="72"/>
      <x:c r="Y947" s="72"/>
      <x:c r="Z947" s="72"/>
      <x:c r="AA947" s="72"/>
      <x:c r="AB947" s="72"/>
      <x:c r="AC947" s="72"/>
      <x:c r="AD947" s="72"/>
      <x:c r="AE947" s="72"/>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4"/>
      <x:c r="DQ947" s="4"/>
      <x:c r="DR947" s="4"/>
      <x:c r="DS947" s="4"/>
      <x:c r="DT947" s="4"/>
      <x:c r="DU947" s="4"/>
      <x:c r="DV947" s="4"/>
      <x:c r="DW947" s="4"/>
      <x:c r="DX947" s="4"/>
      <x:c r="DY947" s="4"/>
      <x:c r="DZ947" s="4"/>
      <x:c r="EA947" s="4"/>
      <x:c r="EB947" s="4"/>
      <x:c r="EC947" s="4"/>
      <x:c r="ED947" s="4"/>
      <x:c r="EE947" s="4"/>
      <x:c r="EF947" s="4"/>
      <x:c r="EG947" s="4"/>
      <x:c r="EH947" s="4"/>
      <x:c r="EI947" s="4"/>
      <x:c r="EJ947" s="4"/>
      <x:c r="EK947" s="4"/>
      <x:c r="EL947" s="4"/>
      <x:c r="EM947" s="4"/>
      <x:c r="EN947" s="4"/>
      <x:c r="EO947" s="4"/>
      <x:c r="EP947" s="4"/>
      <x:c r="EQ947" s="4"/>
      <x:c r="ER947" s="4"/>
      <x:c r="ES947" s="4"/>
      <x:c r="ET947" s="4"/>
      <x:c r="EU947" s="4"/>
      <x:c r="EV947" s="4"/>
      <x:c r="EW947" s="4"/>
      <x:c r="EX947" s="4"/>
      <x:c r="EY947" s="4"/>
      <x:c r="EZ947" s="4"/>
      <x:c r="FA947" s="4"/>
      <x:c r="FB947" s="4"/>
      <x:c r="FC947" s="4"/>
      <x:c r="FD947" s="4"/>
      <x:c r="FE947" s="4"/>
      <x:c r="FF947" s="4"/>
      <x:c r="FG947" s="4"/>
      <x:c r="FH947" s="4"/>
      <x:c r="FI947" s="4"/>
      <x:c r="FJ947" s="4"/>
      <x:c r="FK947" s="4"/>
      <x:c r="FL947" s="4"/>
      <x:c r="FM947" s="4"/>
      <x:c r="FN947" s="4"/>
      <x:c r="FO947" s="4"/>
    </x:row>
    <x:row r="948">
      <x:c r="A948" s="72"/>
      <x:c r="B948" s="72"/>
      <x:c r="C948" s="72"/>
      <x:c r="D948" s="72"/>
      <x:c r="E948" s="72"/>
      <x:c r="F948" s="72"/>
      <x:c r="G948" s="72"/>
      <x:c r="H948" s="72"/>
      <x:c r="I948" s="72"/>
      <x:c r="J948" s="72"/>
      <x:c r="K948" s="72"/>
      <x:c r="L948" s="72"/>
      <x:c r="M948" s="72"/>
      <x:c r="N948" s="72"/>
      <x:c r="O948" s="72"/>
      <x:c r="P948" s="72"/>
      <x:c r="Q948" s="72"/>
      <x:c r="R948" s="72"/>
      <x:c r="S948" s="72"/>
      <x:c r="T948" s="72"/>
      <x:c r="U948" s="72"/>
      <x:c r="V948" s="72"/>
      <x:c r="W948" s="72"/>
      <x:c r="X948" s="72"/>
      <x:c r="Y948" s="72"/>
      <x:c r="Z948" s="72"/>
      <x:c r="AA948" s="72"/>
      <x:c r="AB948" s="72"/>
      <x:c r="AC948" s="72"/>
      <x:c r="AD948" s="72"/>
      <x:c r="AE948" s="72"/>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4"/>
      <x:c r="DQ948" s="4"/>
      <x:c r="DR948" s="4"/>
      <x:c r="DS948" s="4"/>
      <x:c r="DT948" s="4"/>
      <x:c r="DU948" s="4"/>
      <x:c r="DV948" s="4"/>
      <x:c r="DW948" s="4"/>
      <x:c r="DX948" s="4"/>
      <x:c r="DY948" s="4"/>
      <x:c r="DZ948" s="4"/>
      <x:c r="EA948" s="4"/>
      <x:c r="EB948" s="4"/>
      <x:c r="EC948" s="4"/>
      <x:c r="ED948" s="4"/>
      <x:c r="EE948" s="4"/>
      <x:c r="EF948" s="4"/>
      <x:c r="EG948" s="4"/>
      <x:c r="EH948" s="4"/>
      <x:c r="EI948" s="4"/>
      <x:c r="EJ948" s="4"/>
      <x:c r="EK948" s="4"/>
      <x:c r="EL948" s="4"/>
      <x:c r="EM948" s="4"/>
      <x:c r="EN948" s="4"/>
      <x:c r="EO948" s="4"/>
      <x:c r="EP948" s="4"/>
      <x:c r="EQ948" s="4"/>
      <x:c r="ER948" s="4"/>
      <x:c r="ES948" s="4"/>
      <x:c r="ET948" s="4"/>
      <x:c r="EU948" s="4"/>
      <x:c r="EV948" s="4"/>
      <x:c r="EW948" s="4"/>
      <x:c r="EX948" s="4"/>
      <x:c r="EY948" s="4"/>
      <x:c r="EZ948" s="4"/>
      <x:c r="FA948" s="4"/>
      <x:c r="FB948" s="4"/>
      <x:c r="FC948" s="4"/>
      <x:c r="FD948" s="4"/>
      <x:c r="FE948" s="4"/>
      <x:c r="FF948" s="4"/>
      <x:c r="FG948" s="4"/>
      <x:c r="FH948" s="4"/>
      <x:c r="FI948" s="4"/>
      <x:c r="FJ948" s="4"/>
      <x:c r="FK948" s="4"/>
      <x:c r="FL948" s="4"/>
      <x:c r="FM948" s="4"/>
      <x:c r="FN948" s="4"/>
      <x:c r="FO948" s="4"/>
    </x:row>
    <x:row r="949">
      <x:c r="A949" s="72"/>
      <x:c r="B949" s="72"/>
      <x:c r="C949" s="72"/>
      <x:c r="D949" s="72"/>
      <x:c r="E949" s="72"/>
      <x:c r="F949" s="72"/>
      <x:c r="G949" s="72"/>
      <x:c r="H949" s="72"/>
      <x:c r="I949" s="72"/>
      <x:c r="J949" s="72"/>
      <x:c r="K949" s="72"/>
      <x:c r="L949" s="72"/>
      <x:c r="M949" s="72"/>
      <x:c r="N949" s="72"/>
      <x:c r="O949" s="72"/>
      <x:c r="P949" s="72"/>
      <x:c r="Q949" s="72"/>
      <x:c r="R949" s="72"/>
      <x:c r="S949" s="72"/>
      <x:c r="T949" s="72"/>
      <x:c r="U949" s="72"/>
      <x:c r="V949" s="72"/>
      <x:c r="W949" s="72"/>
      <x:c r="X949" s="72"/>
      <x:c r="Y949" s="72"/>
      <x:c r="Z949" s="72"/>
      <x:c r="AA949" s="72"/>
      <x:c r="AB949" s="72"/>
      <x:c r="AC949" s="72"/>
      <x:c r="AD949" s="72"/>
      <x:c r="AE949" s="72"/>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4"/>
      <x:c r="DQ949" s="4"/>
      <x:c r="DR949" s="4"/>
      <x:c r="DS949" s="4"/>
      <x:c r="DT949" s="4"/>
      <x:c r="DU949" s="4"/>
      <x:c r="DV949" s="4"/>
      <x:c r="DW949" s="4"/>
      <x:c r="DX949" s="4"/>
      <x:c r="DY949" s="4"/>
      <x:c r="DZ949" s="4"/>
      <x:c r="EA949" s="4"/>
      <x:c r="EB949" s="4"/>
      <x:c r="EC949" s="4"/>
      <x:c r="ED949" s="4"/>
      <x:c r="EE949" s="4"/>
      <x:c r="EF949" s="4"/>
      <x:c r="EG949" s="4"/>
      <x:c r="EH949" s="4"/>
      <x:c r="EI949" s="4"/>
      <x:c r="EJ949" s="4"/>
      <x:c r="EK949" s="4"/>
      <x:c r="EL949" s="4"/>
      <x:c r="EM949" s="4"/>
      <x:c r="EN949" s="4"/>
      <x:c r="EO949" s="4"/>
      <x:c r="EP949" s="4"/>
      <x:c r="EQ949" s="4"/>
      <x:c r="ER949" s="4"/>
      <x:c r="ES949" s="4"/>
      <x:c r="ET949" s="4"/>
      <x:c r="EU949" s="4"/>
      <x:c r="EV949" s="4"/>
      <x:c r="EW949" s="4"/>
      <x:c r="EX949" s="4"/>
      <x:c r="EY949" s="4"/>
      <x:c r="EZ949" s="4"/>
      <x:c r="FA949" s="4"/>
      <x:c r="FB949" s="4"/>
      <x:c r="FC949" s="4"/>
      <x:c r="FD949" s="4"/>
      <x:c r="FE949" s="4"/>
      <x:c r="FF949" s="4"/>
      <x:c r="FG949" s="4"/>
      <x:c r="FH949" s="4"/>
      <x:c r="FI949" s="4"/>
      <x:c r="FJ949" s="4"/>
      <x:c r="FK949" s="4"/>
      <x:c r="FL949" s="4"/>
      <x:c r="FM949" s="4"/>
      <x:c r="FN949" s="4"/>
      <x:c r="FO949" s="4"/>
    </x:row>
    <x:row r="950">
      <x:c r="A950" s="72"/>
      <x:c r="B950" s="72"/>
      <x:c r="C950" s="72"/>
      <x:c r="D950" s="72"/>
      <x:c r="E950" s="72"/>
      <x:c r="F950" s="72"/>
      <x:c r="G950" s="72"/>
      <x:c r="H950" s="72"/>
      <x:c r="I950" s="72"/>
      <x:c r="J950" s="72"/>
      <x:c r="K950" s="72"/>
      <x:c r="L950" s="72"/>
      <x:c r="M950" s="72"/>
      <x:c r="N950" s="72"/>
      <x:c r="O950" s="72"/>
      <x:c r="P950" s="72"/>
      <x:c r="Q950" s="72"/>
      <x:c r="R950" s="72"/>
      <x:c r="S950" s="72"/>
      <x:c r="T950" s="72"/>
      <x:c r="U950" s="72"/>
      <x:c r="V950" s="72"/>
      <x:c r="W950" s="72"/>
      <x:c r="X950" s="72"/>
      <x:c r="Y950" s="72"/>
      <x:c r="Z950" s="72"/>
      <x:c r="AA950" s="72"/>
      <x:c r="AB950" s="72"/>
      <x:c r="AC950" s="72"/>
      <x:c r="AD950" s="72"/>
      <x:c r="AE950" s="72"/>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4"/>
      <x:c r="DQ950" s="4"/>
      <x:c r="DR950" s="4"/>
      <x:c r="DS950" s="4"/>
      <x:c r="DT950" s="4"/>
      <x:c r="DU950" s="4"/>
      <x:c r="DV950" s="4"/>
      <x:c r="DW950" s="4"/>
      <x:c r="DX950" s="4"/>
      <x:c r="DY950" s="4"/>
      <x:c r="DZ950" s="4"/>
      <x:c r="EA950" s="4"/>
      <x:c r="EB950" s="4"/>
      <x:c r="EC950" s="4"/>
      <x:c r="ED950" s="4"/>
      <x:c r="EE950" s="4"/>
      <x:c r="EF950" s="4"/>
      <x:c r="EG950" s="4"/>
      <x:c r="EH950" s="4"/>
      <x:c r="EI950" s="4"/>
      <x:c r="EJ950" s="4"/>
      <x:c r="EK950" s="4"/>
      <x:c r="EL950" s="4"/>
      <x:c r="EM950" s="4"/>
      <x:c r="EN950" s="4"/>
      <x:c r="EO950" s="4"/>
      <x:c r="EP950" s="4"/>
      <x:c r="EQ950" s="4"/>
      <x:c r="ER950" s="4"/>
      <x:c r="ES950" s="4"/>
      <x:c r="ET950" s="4"/>
      <x:c r="EU950" s="4"/>
      <x:c r="EV950" s="4"/>
      <x:c r="EW950" s="4"/>
      <x:c r="EX950" s="4"/>
      <x:c r="EY950" s="4"/>
      <x:c r="EZ950" s="4"/>
      <x:c r="FA950" s="4"/>
      <x:c r="FB950" s="4"/>
      <x:c r="FC950" s="4"/>
      <x:c r="FD950" s="4"/>
      <x:c r="FE950" s="4"/>
      <x:c r="FF950" s="4"/>
      <x:c r="FG950" s="4"/>
      <x:c r="FH950" s="4"/>
      <x:c r="FI950" s="4"/>
      <x:c r="FJ950" s="4"/>
      <x:c r="FK950" s="4"/>
      <x:c r="FL950" s="4"/>
      <x:c r="FM950" s="4"/>
      <x:c r="FN950" s="4"/>
      <x:c r="FO950" s="4"/>
    </x:row>
    <x:row r="951">
      <x:c r="A951" s="72"/>
      <x:c r="B951" s="72"/>
      <x:c r="C951" s="72"/>
      <x:c r="D951" s="72"/>
      <x:c r="E951" s="72"/>
      <x:c r="F951" s="72"/>
      <x:c r="G951" s="72"/>
      <x:c r="H951" s="72"/>
      <x:c r="I951" s="72"/>
      <x:c r="J951" s="72"/>
      <x:c r="K951" s="72"/>
      <x:c r="L951" s="72"/>
      <x:c r="M951" s="72"/>
      <x:c r="N951" s="72"/>
      <x:c r="O951" s="72"/>
      <x:c r="P951" s="72"/>
      <x:c r="Q951" s="72"/>
      <x:c r="R951" s="72"/>
      <x:c r="S951" s="72"/>
      <x:c r="T951" s="72"/>
      <x:c r="U951" s="72"/>
      <x:c r="V951" s="72"/>
      <x:c r="W951" s="72"/>
      <x:c r="X951" s="72"/>
      <x:c r="Y951" s="72"/>
      <x:c r="Z951" s="72"/>
      <x:c r="AA951" s="72"/>
      <x:c r="AB951" s="72"/>
      <x:c r="AC951" s="72"/>
      <x:c r="AD951" s="72"/>
      <x:c r="AE951" s="72"/>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4"/>
      <x:c r="DQ951" s="4"/>
      <x:c r="DR951" s="4"/>
      <x:c r="DS951" s="4"/>
      <x:c r="DT951" s="4"/>
      <x:c r="DU951" s="4"/>
      <x:c r="DV951" s="4"/>
      <x:c r="DW951" s="4"/>
      <x:c r="DX951" s="4"/>
      <x:c r="DY951" s="4"/>
      <x:c r="DZ951" s="4"/>
      <x:c r="EA951" s="4"/>
      <x:c r="EB951" s="4"/>
      <x:c r="EC951" s="4"/>
      <x:c r="ED951" s="4"/>
      <x:c r="EE951" s="4"/>
      <x:c r="EF951" s="4"/>
      <x:c r="EG951" s="4"/>
      <x:c r="EH951" s="4"/>
      <x:c r="EI951" s="4"/>
      <x:c r="EJ951" s="4"/>
      <x:c r="EK951" s="4"/>
      <x:c r="EL951" s="4"/>
      <x:c r="EM951" s="4"/>
      <x:c r="EN951" s="4"/>
      <x:c r="EO951" s="4"/>
      <x:c r="EP951" s="4"/>
      <x:c r="EQ951" s="4"/>
      <x:c r="ER951" s="4"/>
      <x:c r="ES951" s="4"/>
      <x:c r="ET951" s="4"/>
      <x:c r="EU951" s="4"/>
      <x:c r="EV951" s="4"/>
      <x:c r="EW951" s="4"/>
      <x:c r="EX951" s="4"/>
      <x:c r="EY951" s="4"/>
      <x:c r="EZ951" s="4"/>
      <x:c r="FA951" s="4"/>
      <x:c r="FB951" s="4"/>
      <x:c r="FC951" s="4"/>
      <x:c r="FD951" s="4"/>
      <x:c r="FE951" s="4"/>
      <x:c r="FF951" s="4"/>
      <x:c r="FG951" s="4"/>
      <x:c r="FH951" s="4"/>
      <x:c r="FI951" s="4"/>
      <x:c r="FJ951" s="4"/>
      <x:c r="FK951" s="4"/>
      <x:c r="FL951" s="4"/>
      <x:c r="FM951" s="4"/>
      <x:c r="FN951" s="4"/>
      <x:c r="FO951" s="4"/>
    </x:row>
    <x:row r="952">
      <x:c r="A952" s="72"/>
      <x:c r="B952" s="72"/>
      <x:c r="C952" s="72"/>
      <x:c r="D952" s="72"/>
      <x:c r="E952" s="72"/>
      <x:c r="F952" s="72"/>
      <x:c r="G952" s="72"/>
      <x:c r="H952" s="72"/>
      <x:c r="I952" s="72"/>
      <x:c r="J952" s="72"/>
      <x:c r="K952" s="72"/>
      <x:c r="L952" s="72"/>
      <x:c r="M952" s="72"/>
      <x:c r="N952" s="72"/>
      <x:c r="O952" s="72"/>
      <x:c r="P952" s="72"/>
      <x:c r="Q952" s="72"/>
      <x:c r="R952" s="72"/>
      <x:c r="S952" s="72"/>
      <x:c r="T952" s="72"/>
      <x:c r="U952" s="72"/>
      <x:c r="V952" s="72"/>
      <x:c r="W952" s="72"/>
      <x:c r="X952" s="72"/>
      <x:c r="Y952" s="72"/>
      <x:c r="Z952" s="72"/>
      <x:c r="AA952" s="72"/>
      <x:c r="AB952" s="72"/>
      <x:c r="AC952" s="72"/>
      <x:c r="AD952" s="72"/>
      <x:c r="AE952" s="72"/>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4"/>
      <x:c r="DQ952" s="4"/>
      <x:c r="DR952" s="4"/>
      <x:c r="DS952" s="4"/>
      <x:c r="DT952" s="4"/>
      <x:c r="DU952" s="4"/>
      <x:c r="DV952" s="4"/>
      <x:c r="DW952" s="4"/>
      <x:c r="DX952" s="4"/>
      <x:c r="DY952" s="4"/>
      <x:c r="DZ952" s="4"/>
      <x:c r="EA952" s="4"/>
      <x:c r="EB952" s="4"/>
      <x:c r="EC952" s="4"/>
      <x:c r="ED952" s="4"/>
      <x:c r="EE952" s="4"/>
      <x:c r="EF952" s="4"/>
      <x:c r="EG952" s="4"/>
      <x:c r="EH952" s="4"/>
      <x:c r="EI952" s="4"/>
      <x:c r="EJ952" s="4"/>
      <x:c r="EK952" s="4"/>
      <x:c r="EL952" s="4"/>
      <x:c r="EM952" s="4"/>
      <x:c r="EN952" s="4"/>
      <x:c r="EO952" s="4"/>
      <x:c r="EP952" s="4"/>
      <x:c r="EQ952" s="4"/>
      <x:c r="ER952" s="4"/>
      <x:c r="ES952" s="4"/>
      <x:c r="ET952" s="4"/>
      <x:c r="EU952" s="4"/>
      <x:c r="EV952" s="4"/>
      <x:c r="EW952" s="4"/>
      <x:c r="EX952" s="4"/>
      <x:c r="EY952" s="4"/>
      <x:c r="EZ952" s="4"/>
      <x:c r="FA952" s="4"/>
      <x:c r="FB952" s="4"/>
      <x:c r="FC952" s="4"/>
      <x:c r="FD952" s="4"/>
      <x:c r="FE952" s="4"/>
      <x:c r="FF952" s="4"/>
      <x:c r="FG952" s="4"/>
      <x:c r="FH952" s="4"/>
      <x:c r="FI952" s="4"/>
      <x:c r="FJ952" s="4"/>
      <x:c r="FK952" s="4"/>
      <x:c r="FL952" s="4"/>
      <x:c r="FM952" s="4"/>
      <x:c r="FN952" s="4"/>
      <x:c r="FO952" s="4"/>
    </x:row>
    <x:row r="953">
      <x:c r="A953" s="72"/>
      <x:c r="B953" s="72"/>
      <x:c r="C953" s="72"/>
      <x:c r="D953" s="72"/>
      <x:c r="E953" s="72"/>
      <x:c r="F953" s="72"/>
      <x:c r="G953" s="72"/>
      <x:c r="H953" s="72"/>
      <x:c r="I953" s="72"/>
      <x:c r="J953" s="72"/>
      <x:c r="K953" s="72"/>
      <x:c r="L953" s="72"/>
      <x:c r="M953" s="72"/>
      <x:c r="N953" s="72"/>
      <x:c r="O953" s="72"/>
      <x:c r="P953" s="72"/>
      <x:c r="Q953" s="72"/>
      <x:c r="R953" s="72"/>
      <x:c r="S953" s="72"/>
      <x:c r="T953" s="72"/>
      <x:c r="U953" s="72"/>
      <x:c r="V953" s="72"/>
      <x:c r="W953" s="72"/>
      <x:c r="X953" s="72"/>
      <x:c r="Y953" s="72"/>
      <x:c r="Z953" s="72"/>
      <x:c r="AA953" s="72"/>
      <x:c r="AB953" s="72"/>
      <x:c r="AC953" s="72"/>
      <x:c r="AD953" s="72"/>
      <x:c r="AE953" s="72"/>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4"/>
      <x:c r="DQ953" s="4"/>
      <x:c r="DR953" s="4"/>
      <x:c r="DS953" s="4"/>
      <x:c r="DT953" s="4"/>
      <x:c r="DU953" s="4"/>
      <x:c r="DV953" s="4"/>
      <x:c r="DW953" s="4"/>
      <x:c r="DX953" s="4"/>
      <x:c r="DY953" s="4"/>
      <x:c r="DZ953" s="4"/>
      <x:c r="EA953" s="4"/>
      <x:c r="EB953" s="4"/>
      <x:c r="EC953" s="4"/>
      <x:c r="ED953" s="4"/>
      <x:c r="EE953" s="4"/>
      <x:c r="EF953" s="4"/>
      <x:c r="EG953" s="4"/>
      <x:c r="EH953" s="4"/>
      <x:c r="EI953" s="4"/>
      <x:c r="EJ953" s="4"/>
      <x:c r="EK953" s="4"/>
      <x:c r="EL953" s="4"/>
      <x:c r="EM953" s="4"/>
      <x:c r="EN953" s="4"/>
      <x:c r="EO953" s="4"/>
      <x:c r="EP953" s="4"/>
      <x:c r="EQ953" s="4"/>
      <x:c r="ER953" s="4"/>
      <x:c r="ES953" s="4"/>
      <x:c r="ET953" s="4"/>
      <x:c r="EU953" s="4"/>
      <x:c r="EV953" s="4"/>
      <x:c r="EW953" s="4"/>
      <x:c r="EX953" s="4"/>
      <x:c r="EY953" s="4"/>
      <x:c r="EZ953" s="4"/>
      <x:c r="FA953" s="4"/>
      <x:c r="FB953" s="4"/>
      <x:c r="FC953" s="4"/>
      <x:c r="FD953" s="4"/>
      <x:c r="FE953" s="4"/>
      <x:c r="FF953" s="4"/>
      <x:c r="FG953" s="4"/>
      <x:c r="FH953" s="4"/>
      <x:c r="FI953" s="4"/>
      <x:c r="FJ953" s="4"/>
      <x:c r="FK953" s="4"/>
      <x:c r="FL953" s="4"/>
      <x:c r="FM953" s="4"/>
      <x:c r="FN953" s="4"/>
      <x:c r="FO953" s="4"/>
    </x:row>
    <x:row r="954">
      <x:c r="A954" s="72"/>
      <x:c r="B954" s="72"/>
      <x:c r="C954" s="72"/>
      <x:c r="D954" s="72"/>
      <x:c r="E954" s="72"/>
      <x:c r="F954" s="72"/>
      <x:c r="G954" s="72"/>
      <x:c r="H954" s="72"/>
      <x:c r="I954" s="72"/>
      <x:c r="J954" s="72"/>
      <x:c r="K954" s="72"/>
      <x:c r="L954" s="72"/>
      <x:c r="M954" s="72"/>
      <x:c r="N954" s="72"/>
      <x:c r="O954" s="72"/>
      <x:c r="P954" s="72"/>
      <x:c r="Q954" s="72"/>
      <x:c r="R954" s="72"/>
      <x:c r="S954" s="72"/>
      <x:c r="T954" s="72"/>
      <x:c r="U954" s="72"/>
      <x:c r="V954" s="72"/>
      <x:c r="W954" s="72"/>
      <x:c r="X954" s="72"/>
      <x:c r="Y954" s="72"/>
      <x:c r="Z954" s="72"/>
      <x:c r="AA954" s="72"/>
      <x:c r="AB954" s="72"/>
      <x:c r="AC954" s="72"/>
      <x:c r="AD954" s="72"/>
      <x:c r="AE954" s="72"/>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4"/>
      <x:c r="DQ954" s="4"/>
      <x:c r="DR954" s="4"/>
      <x:c r="DS954" s="4"/>
      <x:c r="DT954" s="4"/>
      <x:c r="DU954" s="4"/>
      <x:c r="DV954" s="4"/>
      <x:c r="DW954" s="4"/>
      <x:c r="DX954" s="4"/>
      <x:c r="DY954" s="4"/>
      <x:c r="DZ954" s="4"/>
      <x:c r="EA954" s="4"/>
      <x:c r="EB954" s="4"/>
      <x:c r="EC954" s="4"/>
      <x:c r="ED954" s="4"/>
      <x:c r="EE954" s="4"/>
      <x:c r="EF954" s="4"/>
      <x:c r="EG954" s="4"/>
      <x:c r="EH954" s="4"/>
      <x:c r="EI954" s="4"/>
      <x:c r="EJ954" s="4"/>
      <x:c r="EK954" s="4"/>
      <x:c r="EL954" s="4"/>
      <x:c r="EM954" s="4"/>
      <x:c r="EN954" s="4"/>
      <x:c r="EO954" s="4"/>
      <x:c r="EP954" s="4"/>
      <x:c r="EQ954" s="4"/>
      <x:c r="ER954" s="4"/>
      <x:c r="ES954" s="4"/>
      <x:c r="ET954" s="4"/>
      <x:c r="EU954" s="4"/>
      <x:c r="EV954" s="4"/>
      <x:c r="EW954" s="4"/>
      <x:c r="EX954" s="4"/>
      <x:c r="EY954" s="4"/>
      <x:c r="EZ954" s="4"/>
      <x:c r="FA954" s="4"/>
      <x:c r="FB954" s="4"/>
      <x:c r="FC954" s="4"/>
      <x:c r="FD954" s="4"/>
      <x:c r="FE954" s="4"/>
      <x:c r="FF954" s="4"/>
      <x:c r="FG954" s="4"/>
      <x:c r="FH954" s="4"/>
      <x:c r="FI954" s="4"/>
      <x:c r="FJ954" s="4"/>
      <x:c r="FK954" s="4"/>
      <x:c r="FL954" s="4"/>
      <x:c r="FM954" s="4"/>
      <x:c r="FN954" s="4"/>
      <x:c r="FO954" s="4"/>
    </x:row>
    <x:row r="955">
      <x:c r="A955" s="72"/>
      <x:c r="B955" s="72"/>
      <x:c r="C955" s="72"/>
      <x:c r="D955" s="72"/>
      <x:c r="E955" s="72"/>
      <x:c r="F955" s="72"/>
      <x:c r="G955" s="72"/>
      <x:c r="H955" s="72"/>
      <x:c r="I955" s="72"/>
      <x:c r="J955" s="72"/>
      <x:c r="K955" s="72"/>
      <x:c r="L955" s="72"/>
      <x:c r="M955" s="72"/>
      <x:c r="N955" s="72"/>
      <x:c r="O955" s="72"/>
      <x:c r="P955" s="72"/>
      <x:c r="Q955" s="72"/>
      <x:c r="R955" s="72"/>
      <x:c r="S955" s="72"/>
      <x:c r="T955" s="72"/>
      <x:c r="U955" s="72"/>
      <x:c r="V955" s="72"/>
      <x:c r="W955" s="72"/>
      <x:c r="X955" s="72"/>
      <x:c r="Y955" s="72"/>
      <x:c r="Z955" s="72"/>
      <x:c r="AA955" s="72"/>
      <x:c r="AB955" s="72"/>
      <x:c r="AC955" s="72"/>
      <x:c r="AD955" s="72"/>
      <x:c r="AE955" s="72"/>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4"/>
      <x:c r="DQ955" s="4"/>
      <x:c r="DR955" s="4"/>
      <x:c r="DS955" s="4"/>
      <x:c r="DT955" s="4"/>
      <x:c r="DU955" s="4"/>
      <x:c r="DV955" s="4"/>
      <x:c r="DW955" s="4"/>
      <x:c r="DX955" s="4"/>
      <x:c r="DY955" s="4"/>
      <x:c r="DZ955" s="4"/>
      <x:c r="EA955" s="4"/>
      <x:c r="EB955" s="4"/>
      <x:c r="EC955" s="4"/>
      <x:c r="ED955" s="4"/>
      <x:c r="EE955" s="4"/>
      <x:c r="EF955" s="4"/>
      <x:c r="EG955" s="4"/>
      <x:c r="EH955" s="4"/>
      <x:c r="EI955" s="4"/>
      <x:c r="EJ955" s="4"/>
      <x:c r="EK955" s="4"/>
      <x:c r="EL955" s="4"/>
      <x:c r="EM955" s="4"/>
      <x:c r="EN955" s="4"/>
      <x:c r="EO955" s="4"/>
      <x:c r="EP955" s="4"/>
      <x:c r="EQ955" s="4"/>
      <x:c r="ER955" s="4"/>
      <x:c r="ES955" s="4"/>
      <x:c r="ET955" s="4"/>
      <x:c r="EU955" s="4"/>
      <x:c r="EV955" s="4"/>
      <x:c r="EW955" s="4"/>
      <x:c r="EX955" s="4"/>
      <x:c r="EY955" s="4"/>
      <x:c r="EZ955" s="4"/>
      <x:c r="FA955" s="4"/>
      <x:c r="FB955" s="4"/>
      <x:c r="FC955" s="4"/>
      <x:c r="FD955" s="4"/>
      <x:c r="FE955" s="4"/>
      <x:c r="FF955" s="4"/>
      <x:c r="FG955" s="4"/>
      <x:c r="FH955" s="4"/>
      <x:c r="FI955" s="4"/>
      <x:c r="FJ955" s="4"/>
      <x:c r="FK955" s="4"/>
      <x:c r="FL955" s="4"/>
      <x:c r="FM955" s="4"/>
      <x:c r="FN955" s="4"/>
      <x:c r="FO955" s="4"/>
    </x:row>
    <x:row r="956">
      <x:c r="A956" s="72"/>
      <x:c r="B956" s="72"/>
      <x:c r="C956" s="72"/>
      <x:c r="D956" s="72"/>
      <x:c r="E956" s="72"/>
      <x:c r="F956" s="72"/>
      <x:c r="G956" s="72"/>
      <x:c r="H956" s="72"/>
      <x:c r="I956" s="72"/>
      <x:c r="J956" s="72"/>
      <x:c r="K956" s="72"/>
      <x:c r="L956" s="72"/>
      <x:c r="M956" s="72"/>
      <x:c r="N956" s="72"/>
      <x:c r="O956" s="72"/>
      <x:c r="P956" s="72"/>
      <x:c r="Q956" s="72"/>
      <x:c r="R956" s="72"/>
      <x:c r="S956" s="72"/>
      <x:c r="T956" s="72"/>
      <x:c r="U956" s="72"/>
      <x:c r="V956" s="72"/>
      <x:c r="W956" s="72"/>
      <x:c r="X956" s="72"/>
      <x:c r="Y956" s="72"/>
      <x:c r="Z956" s="72"/>
      <x:c r="AA956" s="72"/>
      <x:c r="AB956" s="72"/>
      <x:c r="AC956" s="72"/>
      <x:c r="AD956" s="72"/>
      <x:c r="AE956" s="72"/>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4"/>
      <x:c r="DQ956" s="4"/>
      <x:c r="DR956" s="4"/>
      <x:c r="DS956" s="4"/>
      <x:c r="DT956" s="4"/>
      <x:c r="DU956" s="4"/>
      <x:c r="DV956" s="4"/>
      <x:c r="DW956" s="4"/>
      <x:c r="DX956" s="4"/>
      <x:c r="DY956" s="4"/>
      <x:c r="DZ956" s="4"/>
      <x:c r="EA956" s="4"/>
      <x:c r="EB956" s="4"/>
      <x:c r="EC956" s="4"/>
      <x:c r="ED956" s="4"/>
      <x:c r="EE956" s="4"/>
      <x:c r="EF956" s="4"/>
      <x:c r="EG956" s="4"/>
      <x:c r="EH956" s="4"/>
      <x:c r="EI956" s="4"/>
      <x:c r="EJ956" s="4"/>
      <x:c r="EK956" s="4"/>
      <x:c r="EL956" s="4"/>
      <x:c r="EM956" s="4"/>
      <x:c r="EN956" s="4"/>
      <x:c r="EO956" s="4"/>
      <x:c r="EP956" s="4"/>
      <x:c r="EQ956" s="4"/>
      <x:c r="ER956" s="4"/>
      <x:c r="ES956" s="4"/>
      <x:c r="ET956" s="4"/>
      <x:c r="EU956" s="4"/>
      <x:c r="EV956" s="4"/>
      <x:c r="EW956" s="4"/>
      <x:c r="EX956" s="4"/>
      <x:c r="EY956" s="4"/>
      <x:c r="EZ956" s="4"/>
      <x:c r="FA956" s="4"/>
      <x:c r="FB956" s="4"/>
      <x:c r="FC956" s="4"/>
      <x:c r="FD956" s="4"/>
      <x:c r="FE956" s="4"/>
      <x:c r="FF956" s="4"/>
      <x:c r="FG956" s="4"/>
      <x:c r="FH956" s="4"/>
      <x:c r="FI956" s="4"/>
      <x:c r="FJ956" s="4"/>
      <x:c r="FK956" s="4"/>
      <x:c r="FL956" s="4"/>
      <x:c r="FM956" s="4"/>
      <x:c r="FN956" s="4"/>
      <x:c r="FO956" s="4"/>
    </x:row>
    <x:row r="957">
      <x:c r="A957" s="72"/>
      <x:c r="B957" s="72"/>
      <x:c r="C957" s="72"/>
      <x:c r="D957" s="72"/>
      <x:c r="E957" s="72"/>
      <x:c r="F957" s="72"/>
      <x:c r="G957" s="72"/>
      <x:c r="H957" s="72"/>
      <x:c r="I957" s="72"/>
      <x:c r="J957" s="72"/>
      <x:c r="K957" s="72"/>
      <x:c r="L957" s="72"/>
      <x:c r="M957" s="72"/>
      <x:c r="N957" s="72"/>
      <x:c r="O957" s="72"/>
      <x:c r="P957" s="72"/>
      <x:c r="Q957" s="72"/>
      <x:c r="R957" s="72"/>
      <x:c r="S957" s="72"/>
      <x:c r="T957" s="72"/>
      <x:c r="U957" s="72"/>
      <x:c r="V957" s="72"/>
      <x:c r="W957" s="72"/>
      <x:c r="X957" s="72"/>
      <x:c r="Y957" s="72"/>
      <x:c r="Z957" s="72"/>
      <x:c r="AA957" s="72"/>
      <x:c r="AB957" s="72"/>
      <x:c r="AC957" s="72"/>
      <x:c r="AD957" s="72"/>
      <x:c r="AE957" s="72"/>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4"/>
      <x:c r="DQ957" s="4"/>
      <x:c r="DR957" s="4"/>
      <x:c r="DS957" s="4"/>
      <x:c r="DT957" s="4"/>
      <x:c r="DU957" s="4"/>
      <x:c r="DV957" s="4"/>
      <x:c r="DW957" s="4"/>
      <x:c r="DX957" s="4"/>
      <x:c r="DY957" s="4"/>
      <x:c r="DZ957" s="4"/>
      <x:c r="EA957" s="4"/>
      <x:c r="EB957" s="4"/>
      <x:c r="EC957" s="4"/>
      <x:c r="ED957" s="4"/>
      <x:c r="EE957" s="4"/>
      <x:c r="EF957" s="4"/>
      <x:c r="EG957" s="4"/>
      <x:c r="EH957" s="4"/>
      <x:c r="EI957" s="4"/>
      <x:c r="EJ957" s="4"/>
      <x:c r="EK957" s="4"/>
      <x:c r="EL957" s="4"/>
      <x:c r="EM957" s="4"/>
      <x:c r="EN957" s="4"/>
      <x:c r="EO957" s="4"/>
      <x:c r="EP957" s="4"/>
      <x:c r="EQ957" s="4"/>
      <x:c r="ER957" s="4"/>
      <x:c r="ES957" s="4"/>
      <x:c r="ET957" s="4"/>
      <x:c r="EU957" s="4"/>
      <x:c r="EV957" s="4"/>
      <x:c r="EW957" s="4"/>
      <x:c r="EX957" s="4"/>
      <x:c r="EY957" s="4"/>
      <x:c r="EZ957" s="4"/>
      <x:c r="FA957" s="4"/>
      <x:c r="FB957" s="4"/>
      <x:c r="FC957" s="4"/>
      <x:c r="FD957" s="4"/>
      <x:c r="FE957" s="4"/>
      <x:c r="FF957" s="4"/>
      <x:c r="FG957" s="4"/>
      <x:c r="FH957" s="4"/>
      <x:c r="FI957" s="4"/>
      <x:c r="FJ957" s="4"/>
      <x:c r="FK957" s="4"/>
      <x:c r="FL957" s="4"/>
      <x:c r="FM957" s="4"/>
      <x:c r="FN957" s="4"/>
      <x:c r="FO957" s="4"/>
    </x:row>
    <x:row r="958">
      <x:c r="A958" s="72"/>
      <x:c r="B958" s="72"/>
      <x:c r="C958" s="72"/>
      <x:c r="D958" s="72"/>
      <x:c r="E958" s="72"/>
      <x:c r="F958" s="72"/>
      <x:c r="G958" s="72"/>
      <x:c r="H958" s="72"/>
      <x:c r="I958" s="72"/>
      <x:c r="J958" s="72"/>
      <x:c r="K958" s="72"/>
      <x:c r="L958" s="72"/>
      <x:c r="M958" s="72"/>
      <x:c r="N958" s="72"/>
      <x:c r="O958" s="72"/>
      <x:c r="P958" s="72"/>
      <x:c r="Q958" s="72"/>
      <x:c r="R958" s="72"/>
      <x:c r="S958" s="72"/>
      <x:c r="T958" s="72"/>
      <x:c r="U958" s="72"/>
      <x:c r="V958" s="72"/>
      <x:c r="W958" s="72"/>
      <x:c r="X958" s="72"/>
      <x:c r="Y958" s="72"/>
      <x:c r="Z958" s="72"/>
      <x:c r="AA958" s="72"/>
      <x:c r="AB958" s="72"/>
      <x:c r="AC958" s="72"/>
      <x:c r="AD958" s="72"/>
      <x:c r="AE958" s="72"/>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4"/>
      <x:c r="DQ958" s="4"/>
      <x:c r="DR958" s="4"/>
      <x:c r="DS958" s="4"/>
      <x:c r="DT958" s="4"/>
      <x:c r="DU958" s="4"/>
      <x:c r="DV958" s="4"/>
      <x:c r="DW958" s="4"/>
      <x:c r="DX958" s="4"/>
      <x:c r="DY958" s="4"/>
      <x:c r="DZ958" s="4"/>
      <x:c r="EA958" s="4"/>
      <x:c r="EB958" s="4"/>
      <x:c r="EC958" s="4"/>
      <x:c r="ED958" s="4"/>
      <x:c r="EE958" s="4"/>
      <x:c r="EF958" s="4"/>
      <x:c r="EG958" s="4"/>
      <x:c r="EH958" s="4"/>
      <x:c r="EI958" s="4"/>
      <x:c r="EJ958" s="4"/>
      <x:c r="EK958" s="4"/>
      <x:c r="EL958" s="4"/>
      <x:c r="EM958" s="4"/>
      <x:c r="EN958" s="4"/>
      <x:c r="EO958" s="4"/>
      <x:c r="EP958" s="4"/>
      <x:c r="EQ958" s="4"/>
      <x:c r="ER958" s="4"/>
      <x:c r="ES958" s="4"/>
      <x:c r="ET958" s="4"/>
      <x:c r="EU958" s="4"/>
      <x:c r="EV958" s="4"/>
      <x:c r="EW958" s="4"/>
      <x:c r="EX958" s="4"/>
      <x:c r="EY958" s="4"/>
      <x:c r="EZ958" s="4"/>
      <x:c r="FA958" s="4"/>
      <x:c r="FB958" s="4"/>
      <x:c r="FC958" s="4"/>
      <x:c r="FD958" s="4"/>
      <x:c r="FE958" s="4"/>
      <x:c r="FF958" s="4"/>
      <x:c r="FG958" s="4"/>
      <x:c r="FH958" s="4"/>
      <x:c r="FI958" s="4"/>
      <x:c r="FJ958" s="4"/>
      <x:c r="FK958" s="4"/>
      <x:c r="FL958" s="4"/>
      <x:c r="FM958" s="4"/>
      <x:c r="FN958" s="4"/>
      <x:c r="FO958" s="4"/>
    </x:row>
    <x:row r="959">
      <x:c r="A959" s="72"/>
      <x:c r="B959" s="72"/>
      <x:c r="C959" s="72"/>
      <x:c r="D959" s="72"/>
      <x:c r="E959" s="72"/>
      <x:c r="F959" s="72"/>
      <x:c r="G959" s="72"/>
      <x:c r="H959" s="72"/>
      <x:c r="I959" s="72"/>
      <x:c r="J959" s="72"/>
      <x:c r="K959" s="72"/>
      <x:c r="L959" s="72"/>
      <x:c r="M959" s="72"/>
      <x:c r="N959" s="72"/>
      <x:c r="O959" s="72"/>
      <x:c r="P959" s="72"/>
      <x:c r="Q959" s="72"/>
      <x:c r="R959" s="72"/>
      <x:c r="S959" s="72"/>
      <x:c r="T959" s="72"/>
      <x:c r="U959" s="72"/>
      <x:c r="V959" s="72"/>
      <x:c r="W959" s="72"/>
      <x:c r="X959" s="72"/>
      <x:c r="Y959" s="72"/>
      <x:c r="Z959" s="72"/>
      <x:c r="AA959" s="72"/>
      <x:c r="AB959" s="72"/>
      <x:c r="AC959" s="72"/>
      <x:c r="AD959" s="72"/>
      <x:c r="AE959" s="72"/>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4"/>
      <x:c r="DQ959" s="4"/>
      <x:c r="DR959" s="4"/>
      <x:c r="DS959" s="4"/>
      <x:c r="DT959" s="4"/>
      <x:c r="DU959" s="4"/>
      <x:c r="DV959" s="4"/>
      <x:c r="DW959" s="4"/>
      <x:c r="DX959" s="4"/>
      <x:c r="DY959" s="4"/>
      <x:c r="DZ959" s="4"/>
      <x:c r="EA959" s="4"/>
      <x:c r="EB959" s="4"/>
      <x:c r="EC959" s="4"/>
      <x:c r="ED959" s="4"/>
      <x:c r="EE959" s="4"/>
      <x:c r="EF959" s="4"/>
      <x:c r="EG959" s="4"/>
      <x:c r="EH959" s="4"/>
      <x:c r="EI959" s="4"/>
      <x:c r="EJ959" s="4"/>
      <x:c r="EK959" s="4"/>
      <x:c r="EL959" s="4"/>
      <x:c r="EM959" s="4"/>
      <x:c r="EN959" s="4"/>
      <x:c r="EO959" s="4"/>
      <x:c r="EP959" s="4"/>
      <x:c r="EQ959" s="4"/>
      <x:c r="ER959" s="4"/>
      <x:c r="ES959" s="4"/>
      <x:c r="ET959" s="4"/>
      <x:c r="EU959" s="4"/>
      <x:c r="EV959" s="4"/>
      <x:c r="EW959" s="4"/>
      <x:c r="EX959" s="4"/>
      <x:c r="EY959" s="4"/>
      <x:c r="EZ959" s="4"/>
      <x:c r="FA959" s="4"/>
      <x:c r="FB959" s="4"/>
      <x:c r="FC959" s="4"/>
      <x:c r="FD959" s="4"/>
      <x:c r="FE959" s="4"/>
      <x:c r="FF959" s="4"/>
      <x:c r="FG959" s="4"/>
      <x:c r="FH959" s="4"/>
      <x:c r="FI959" s="4"/>
      <x:c r="FJ959" s="4"/>
      <x:c r="FK959" s="4"/>
      <x:c r="FL959" s="4"/>
      <x:c r="FM959" s="4"/>
      <x:c r="FN959" s="4"/>
      <x:c r="FO959" s="4"/>
    </x:row>
    <x:row r="960">
      <x:c r="A960" s="72"/>
      <x:c r="B960" s="72"/>
      <x:c r="C960" s="72"/>
      <x:c r="D960" s="72"/>
      <x:c r="E960" s="72"/>
      <x:c r="F960" s="72"/>
      <x:c r="G960" s="72"/>
      <x:c r="H960" s="72"/>
      <x:c r="I960" s="72"/>
      <x:c r="J960" s="72"/>
      <x:c r="K960" s="72"/>
      <x:c r="L960" s="72"/>
      <x:c r="M960" s="72"/>
      <x:c r="N960" s="72"/>
      <x:c r="O960" s="72"/>
      <x:c r="P960" s="72"/>
      <x:c r="Q960" s="72"/>
      <x:c r="R960" s="72"/>
      <x:c r="S960" s="72"/>
      <x:c r="T960" s="72"/>
      <x:c r="U960" s="72"/>
      <x:c r="V960" s="72"/>
      <x:c r="W960" s="72"/>
      <x:c r="X960" s="72"/>
      <x:c r="Y960" s="72"/>
      <x:c r="Z960" s="72"/>
      <x:c r="AA960" s="72"/>
      <x:c r="AB960" s="72"/>
      <x:c r="AC960" s="72"/>
      <x:c r="AD960" s="72"/>
      <x:c r="AE960" s="72"/>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4"/>
      <x:c r="DQ960" s="4"/>
      <x:c r="DR960" s="4"/>
      <x:c r="DS960" s="4"/>
      <x:c r="DT960" s="4"/>
      <x:c r="DU960" s="4"/>
      <x:c r="DV960" s="4"/>
      <x:c r="DW960" s="4"/>
      <x:c r="DX960" s="4"/>
      <x:c r="DY960" s="4"/>
      <x:c r="DZ960" s="4"/>
      <x:c r="EA960" s="4"/>
      <x:c r="EB960" s="4"/>
      <x:c r="EC960" s="4"/>
      <x:c r="ED960" s="4"/>
      <x:c r="EE960" s="4"/>
      <x:c r="EF960" s="4"/>
      <x:c r="EG960" s="4"/>
      <x:c r="EH960" s="4"/>
      <x:c r="EI960" s="4"/>
      <x:c r="EJ960" s="4"/>
      <x:c r="EK960" s="4"/>
      <x:c r="EL960" s="4"/>
      <x:c r="EM960" s="4"/>
      <x:c r="EN960" s="4"/>
      <x:c r="EO960" s="4"/>
      <x:c r="EP960" s="4"/>
      <x:c r="EQ960" s="4"/>
      <x:c r="ER960" s="4"/>
      <x:c r="ES960" s="4"/>
      <x:c r="ET960" s="4"/>
      <x:c r="EU960" s="4"/>
      <x:c r="EV960" s="4"/>
      <x:c r="EW960" s="4"/>
      <x:c r="EX960" s="4"/>
      <x:c r="EY960" s="4"/>
      <x:c r="EZ960" s="4"/>
      <x:c r="FA960" s="4"/>
      <x:c r="FB960" s="4"/>
      <x:c r="FC960" s="4"/>
      <x:c r="FD960" s="4"/>
      <x:c r="FE960" s="4"/>
      <x:c r="FF960" s="4"/>
      <x:c r="FG960" s="4"/>
      <x:c r="FH960" s="4"/>
      <x:c r="FI960" s="4"/>
      <x:c r="FJ960" s="4"/>
      <x:c r="FK960" s="4"/>
      <x:c r="FL960" s="4"/>
      <x:c r="FM960" s="4"/>
      <x:c r="FN960" s="4"/>
      <x:c r="FO960" s="4"/>
    </x:row>
    <x:row r="961">
      <x:c r="A961" s="72"/>
      <x:c r="B961" s="72"/>
      <x:c r="C961" s="72"/>
      <x:c r="D961" s="72"/>
      <x:c r="E961" s="72"/>
      <x:c r="F961" s="72"/>
      <x:c r="G961" s="72"/>
      <x:c r="H961" s="72"/>
      <x:c r="I961" s="72"/>
      <x:c r="J961" s="72"/>
      <x:c r="K961" s="72"/>
      <x:c r="L961" s="72"/>
      <x:c r="M961" s="72"/>
      <x:c r="N961" s="72"/>
      <x:c r="O961" s="72"/>
      <x:c r="P961" s="72"/>
      <x:c r="Q961" s="72"/>
      <x:c r="R961" s="72"/>
      <x:c r="S961" s="72"/>
      <x:c r="T961" s="72"/>
      <x:c r="U961" s="72"/>
      <x:c r="V961" s="72"/>
      <x:c r="W961" s="72"/>
      <x:c r="X961" s="72"/>
      <x:c r="Y961" s="72"/>
      <x:c r="Z961" s="72"/>
      <x:c r="AA961" s="72"/>
      <x:c r="AB961" s="72"/>
      <x:c r="AC961" s="72"/>
      <x:c r="AD961" s="72"/>
      <x:c r="AE961" s="72"/>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4"/>
      <x:c r="DQ961" s="4"/>
      <x:c r="DR961" s="4"/>
      <x:c r="DS961" s="4"/>
      <x:c r="DT961" s="4"/>
      <x:c r="DU961" s="4"/>
      <x:c r="DV961" s="4"/>
      <x:c r="DW961" s="4"/>
      <x:c r="DX961" s="4"/>
      <x:c r="DY961" s="4"/>
      <x:c r="DZ961" s="4"/>
      <x:c r="EA961" s="4"/>
      <x:c r="EB961" s="4"/>
      <x:c r="EC961" s="4"/>
      <x:c r="ED961" s="4"/>
      <x:c r="EE961" s="4"/>
      <x:c r="EF961" s="4"/>
      <x:c r="EG961" s="4"/>
      <x:c r="EH961" s="4"/>
      <x:c r="EI961" s="4"/>
      <x:c r="EJ961" s="4"/>
      <x:c r="EK961" s="4"/>
      <x:c r="EL961" s="4"/>
      <x:c r="EM961" s="4"/>
      <x:c r="EN961" s="4"/>
      <x:c r="EO961" s="4"/>
      <x:c r="EP961" s="4"/>
      <x:c r="EQ961" s="4"/>
      <x:c r="ER961" s="4"/>
      <x:c r="ES961" s="4"/>
      <x:c r="ET961" s="4"/>
      <x:c r="EU961" s="4"/>
      <x:c r="EV961" s="4"/>
      <x:c r="EW961" s="4"/>
      <x:c r="EX961" s="4"/>
      <x:c r="EY961" s="4"/>
      <x:c r="EZ961" s="4"/>
      <x:c r="FA961" s="4"/>
      <x:c r="FB961" s="4"/>
      <x:c r="FC961" s="4"/>
      <x:c r="FD961" s="4"/>
      <x:c r="FE961" s="4"/>
      <x:c r="FF961" s="4"/>
      <x:c r="FG961" s="4"/>
      <x:c r="FH961" s="4"/>
      <x:c r="FI961" s="4"/>
      <x:c r="FJ961" s="4"/>
      <x:c r="FK961" s="4"/>
      <x:c r="FL961" s="4"/>
      <x:c r="FM961" s="4"/>
      <x:c r="FN961" s="4"/>
      <x:c r="FO961" s="4"/>
    </x:row>
    <x:row r="962">
      <x:c r="A962" s="72"/>
      <x:c r="B962" s="72"/>
      <x:c r="C962" s="72"/>
      <x:c r="D962" s="72"/>
      <x:c r="E962" s="72"/>
      <x:c r="F962" s="72"/>
      <x:c r="G962" s="72"/>
      <x:c r="H962" s="72"/>
      <x:c r="I962" s="72"/>
      <x:c r="J962" s="72"/>
      <x:c r="K962" s="72"/>
      <x:c r="L962" s="72"/>
      <x:c r="M962" s="72"/>
      <x:c r="N962" s="72"/>
      <x:c r="O962" s="72"/>
      <x:c r="P962" s="72"/>
      <x:c r="Q962" s="72"/>
      <x:c r="R962" s="72"/>
      <x:c r="S962" s="72"/>
      <x:c r="T962" s="72"/>
      <x:c r="U962" s="72"/>
      <x:c r="V962" s="72"/>
      <x:c r="W962" s="72"/>
      <x:c r="X962" s="72"/>
      <x:c r="Y962" s="72"/>
      <x:c r="Z962" s="72"/>
      <x:c r="AA962" s="72"/>
      <x:c r="AB962" s="72"/>
      <x:c r="AC962" s="72"/>
      <x:c r="AD962" s="72"/>
      <x:c r="AE962" s="72"/>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4"/>
      <x:c r="DQ962" s="4"/>
      <x:c r="DR962" s="4"/>
      <x:c r="DS962" s="4"/>
      <x:c r="DT962" s="4"/>
      <x:c r="DU962" s="4"/>
      <x:c r="DV962" s="4"/>
      <x:c r="DW962" s="4"/>
      <x:c r="DX962" s="4"/>
      <x:c r="DY962" s="4"/>
      <x:c r="DZ962" s="4"/>
      <x:c r="EA962" s="4"/>
      <x:c r="EB962" s="4"/>
      <x:c r="EC962" s="4"/>
      <x:c r="ED962" s="4"/>
      <x:c r="EE962" s="4"/>
      <x:c r="EF962" s="4"/>
      <x:c r="EG962" s="4"/>
      <x:c r="EH962" s="4"/>
      <x:c r="EI962" s="4"/>
      <x:c r="EJ962" s="4"/>
      <x:c r="EK962" s="4"/>
      <x:c r="EL962" s="4"/>
      <x:c r="EM962" s="4"/>
      <x:c r="EN962" s="4"/>
      <x:c r="EO962" s="4"/>
      <x:c r="EP962" s="4"/>
      <x:c r="EQ962" s="4"/>
      <x:c r="ER962" s="4"/>
      <x:c r="ES962" s="4"/>
      <x:c r="ET962" s="4"/>
      <x:c r="EU962" s="4"/>
      <x:c r="EV962" s="4"/>
      <x:c r="EW962" s="4"/>
      <x:c r="EX962" s="4"/>
      <x:c r="EY962" s="4"/>
      <x:c r="EZ962" s="4"/>
      <x:c r="FA962" s="4"/>
      <x:c r="FB962" s="4"/>
      <x:c r="FC962" s="4"/>
      <x:c r="FD962" s="4"/>
      <x:c r="FE962" s="4"/>
      <x:c r="FF962" s="4"/>
      <x:c r="FG962" s="4"/>
      <x:c r="FH962" s="4"/>
      <x:c r="FI962" s="4"/>
      <x:c r="FJ962" s="4"/>
      <x:c r="FK962" s="4"/>
      <x:c r="FL962" s="4"/>
      <x:c r="FM962" s="4"/>
      <x:c r="FN962" s="4"/>
      <x:c r="FO962" s="4"/>
    </x:row>
    <x:row r="963">
      <x:c r="A963" s="72"/>
      <x:c r="B963" s="72"/>
      <x:c r="C963" s="72"/>
      <x:c r="D963" s="72"/>
      <x:c r="E963" s="72"/>
      <x:c r="F963" s="72"/>
      <x:c r="G963" s="72"/>
      <x:c r="H963" s="72"/>
      <x:c r="I963" s="72"/>
      <x:c r="J963" s="72"/>
      <x:c r="K963" s="72"/>
      <x:c r="L963" s="72"/>
      <x:c r="M963" s="72"/>
      <x:c r="N963" s="72"/>
      <x:c r="O963" s="72"/>
      <x:c r="P963" s="72"/>
      <x:c r="Q963" s="72"/>
      <x:c r="R963" s="72"/>
      <x:c r="S963" s="72"/>
      <x:c r="T963" s="72"/>
      <x:c r="U963" s="72"/>
      <x:c r="V963" s="72"/>
      <x:c r="W963" s="72"/>
      <x:c r="X963" s="72"/>
      <x:c r="Y963" s="72"/>
      <x:c r="Z963" s="72"/>
      <x:c r="AA963" s="72"/>
      <x:c r="AB963" s="72"/>
      <x:c r="AC963" s="72"/>
      <x:c r="AD963" s="72"/>
      <x:c r="AE963" s="72"/>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4"/>
      <x:c r="DQ963" s="4"/>
      <x:c r="DR963" s="4"/>
      <x:c r="DS963" s="4"/>
      <x:c r="DT963" s="4"/>
      <x:c r="DU963" s="4"/>
      <x:c r="DV963" s="4"/>
      <x:c r="DW963" s="4"/>
      <x:c r="DX963" s="4"/>
      <x:c r="DY963" s="4"/>
      <x:c r="DZ963" s="4"/>
      <x:c r="EA963" s="4"/>
      <x:c r="EB963" s="4"/>
      <x:c r="EC963" s="4"/>
      <x:c r="ED963" s="4"/>
      <x:c r="EE963" s="4"/>
      <x:c r="EF963" s="4"/>
      <x:c r="EG963" s="4"/>
      <x:c r="EH963" s="4"/>
      <x:c r="EI963" s="4"/>
      <x:c r="EJ963" s="4"/>
      <x:c r="EK963" s="4"/>
      <x:c r="EL963" s="4"/>
      <x:c r="EM963" s="4"/>
      <x:c r="EN963" s="4"/>
      <x:c r="EO963" s="4"/>
      <x:c r="EP963" s="4"/>
      <x:c r="EQ963" s="4"/>
      <x:c r="ER963" s="4"/>
      <x:c r="ES963" s="4"/>
      <x:c r="ET963" s="4"/>
      <x:c r="EU963" s="4"/>
      <x:c r="EV963" s="4"/>
      <x:c r="EW963" s="4"/>
      <x:c r="EX963" s="4"/>
      <x:c r="EY963" s="4"/>
      <x:c r="EZ963" s="4"/>
      <x:c r="FA963" s="4"/>
      <x:c r="FB963" s="4"/>
      <x:c r="FC963" s="4"/>
      <x:c r="FD963" s="4"/>
      <x:c r="FE963" s="4"/>
      <x:c r="FF963" s="4"/>
      <x:c r="FG963" s="4"/>
      <x:c r="FH963" s="4"/>
      <x:c r="FI963" s="4"/>
      <x:c r="FJ963" s="4"/>
      <x:c r="FK963" s="4"/>
      <x:c r="FL963" s="4"/>
      <x:c r="FM963" s="4"/>
      <x:c r="FN963" s="4"/>
      <x:c r="FO963" s="4"/>
    </x:row>
    <x:row r="964">
      <x:c r="A964" s="72"/>
      <x:c r="B964" s="72"/>
      <x:c r="C964" s="72"/>
      <x:c r="D964" s="72"/>
      <x:c r="E964" s="72"/>
      <x:c r="F964" s="72"/>
      <x:c r="G964" s="72"/>
      <x:c r="H964" s="72"/>
      <x:c r="I964" s="72"/>
      <x:c r="J964" s="72"/>
      <x:c r="K964" s="72"/>
      <x:c r="L964" s="72"/>
      <x:c r="M964" s="72"/>
      <x:c r="N964" s="72"/>
      <x:c r="O964" s="72"/>
      <x:c r="P964" s="72"/>
      <x:c r="Q964" s="72"/>
      <x:c r="R964" s="72"/>
      <x:c r="S964" s="72"/>
      <x:c r="T964" s="72"/>
      <x:c r="U964" s="72"/>
      <x:c r="V964" s="72"/>
      <x:c r="W964" s="72"/>
      <x:c r="X964" s="72"/>
      <x:c r="Y964" s="72"/>
      <x:c r="Z964" s="72"/>
      <x:c r="AA964" s="72"/>
      <x:c r="AB964" s="72"/>
      <x:c r="AC964" s="72"/>
      <x:c r="AD964" s="72"/>
      <x:c r="AE964" s="72"/>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4"/>
      <x:c r="DQ964" s="4"/>
      <x:c r="DR964" s="4"/>
      <x:c r="DS964" s="4"/>
      <x:c r="DT964" s="4"/>
      <x:c r="DU964" s="4"/>
      <x:c r="DV964" s="4"/>
      <x:c r="DW964" s="4"/>
      <x:c r="DX964" s="4"/>
      <x:c r="DY964" s="4"/>
      <x:c r="DZ964" s="4"/>
      <x:c r="EA964" s="4"/>
      <x:c r="EB964" s="4"/>
      <x:c r="EC964" s="4"/>
      <x:c r="ED964" s="4"/>
      <x:c r="EE964" s="4"/>
      <x:c r="EF964" s="4"/>
      <x:c r="EG964" s="4"/>
      <x:c r="EH964" s="4"/>
      <x:c r="EI964" s="4"/>
      <x:c r="EJ964" s="4"/>
      <x:c r="EK964" s="4"/>
      <x:c r="EL964" s="4"/>
      <x:c r="EM964" s="4"/>
      <x:c r="EN964" s="4"/>
      <x:c r="EO964" s="4"/>
      <x:c r="EP964" s="4"/>
      <x:c r="EQ964" s="4"/>
      <x:c r="ER964" s="4"/>
      <x:c r="ES964" s="4"/>
      <x:c r="ET964" s="4"/>
      <x:c r="EU964" s="4"/>
      <x:c r="EV964" s="4"/>
      <x:c r="EW964" s="4"/>
      <x:c r="EX964" s="4"/>
      <x:c r="EY964" s="4"/>
      <x:c r="EZ964" s="4"/>
      <x:c r="FA964" s="4"/>
      <x:c r="FB964" s="4"/>
      <x:c r="FC964" s="4"/>
      <x:c r="FD964" s="4"/>
      <x:c r="FE964" s="4"/>
      <x:c r="FF964" s="4"/>
      <x:c r="FG964" s="4"/>
      <x:c r="FH964" s="4"/>
      <x:c r="FI964" s="4"/>
      <x:c r="FJ964" s="4"/>
      <x:c r="FK964" s="4"/>
      <x:c r="FL964" s="4"/>
      <x:c r="FM964" s="4"/>
      <x:c r="FN964" s="4"/>
      <x:c r="FO964" s="4"/>
    </x:row>
    <x:row r="965">
      <x:c r="A965" s="72"/>
      <x:c r="B965" s="72"/>
      <x:c r="C965" s="72"/>
      <x:c r="D965" s="72"/>
      <x:c r="E965" s="72"/>
      <x:c r="F965" s="72"/>
      <x:c r="G965" s="72"/>
      <x:c r="H965" s="72"/>
      <x:c r="I965" s="72"/>
      <x:c r="J965" s="72"/>
      <x:c r="K965" s="72"/>
      <x:c r="L965" s="72"/>
      <x:c r="M965" s="72"/>
      <x:c r="N965" s="72"/>
      <x:c r="O965" s="72"/>
      <x:c r="P965" s="72"/>
      <x:c r="Q965" s="72"/>
      <x:c r="R965" s="72"/>
      <x:c r="S965" s="72"/>
      <x:c r="T965" s="72"/>
      <x:c r="U965" s="72"/>
      <x:c r="V965" s="72"/>
      <x:c r="W965" s="72"/>
      <x:c r="X965" s="72"/>
      <x:c r="Y965" s="72"/>
      <x:c r="Z965" s="72"/>
      <x:c r="AA965" s="72"/>
      <x:c r="AB965" s="72"/>
      <x:c r="AC965" s="72"/>
      <x:c r="AD965" s="72"/>
      <x:c r="AE965" s="72"/>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4"/>
      <x:c r="DQ965" s="4"/>
      <x:c r="DR965" s="4"/>
      <x:c r="DS965" s="4"/>
      <x:c r="DT965" s="4"/>
      <x:c r="DU965" s="4"/>
      <x:c r="DV965" s="4"/>
      <x:c r="DW965" s="4"/>
      <x:c r="DX965" s="4"/>
      <x:c r="DY965" s="4"/>
      <x:c r="DZ965" s="4"/>
      <x:c r="EA965" s="4"/>
      <x:c r="EB965" s="4"/>
      <x:c r="EC965" s="4"/>
      <x:c r="ED965" s="4"/>
      <x:c r="EE965" s="4"/>
      <x:c r="EF965" s="4"/>
      <x:c r="EG965" s="4"/>
      <x:c r="EH965" s="4"/>
      <x:c r="EI965" s="4"/>
      <x:c r="EJ965" s="4"/>
      <x:c r="EK965" s="4"/>
      <x:c r="EL965" s="4"/>
      <x:c r="EM965" s="4"/>
      <x:c r="EN965" s="4"/>
      <x:c r="EO965" s="4"/>
      <x:c r="EP965" s="4"/>
      <x:c r="EQ965" s="4"/>
      <x:c r="ER965" s="4"/>
      <x:c r="ES965" s="4"/>
      <x:c r="ET965" s="4"/>
      <x:c r="EU965" s="4"/>
      <x:c r="EV965" s="4"/>
      <x:c r="EW965" s="4"/>
      <x:c r="EX965" s="4"/>
      <x:c r="EY965" s="4"/>
      <x:c r="EZ965" s="4"/>
      <x:c r="FA965" s="4"/>
      <x:c r="FB965" s="4"/>
      <x:c r="FC965" s="4"/>
      <x:c r="FD965" s="4"/>
      <x:c r="FE965" s="4"/>
      <x:c r="FF965" s="4"/>
      <x:c r="FG965" s="4"/>
      <x:c r="FH965" s="4"/>
      <x:c r="FI965" s="4"/>
      <x:c r="FJ965" s="4"/>
      <x:c r="FK965" s="4"/>
      <x:c r="FL965" s="4"/>
      <x:c r="FM965" s="4"/>
      <x:c r="FN965" s="4"/>
      <x:c r="FO965" s="4"/>
    </x:row>
    <x:row r="966">
      <x:c r="A966" s="72"/>
      <x:c r="B966" s="72"/>
      <x:c r="C966" s="72"/>
      <x:c r="D966" s="72"/>
      <x:c r="E966" s="72"/>
      <x:c r="F966" s="72"/>
      <x:c r="G966" s="72"/>
      <x:c r="H966" s="72"/>
      <x:c r="I966" s="72"/>
      <x:c r="J966" s="72"/>
      <x:c r="K966" s="72"/>
      <x:c r="L966" s="72"/>
      <x:c r="M966" s="72"/>
      <x:c r="N966" s="72"/>
      <x:c r="O966" s="72"/>
      <x:c r="P966" s="72"/>
      <x:c r="Q966" s="72"/>
      <x:c r="R966" s="72"/>
      <x:c r="S966" s="72"/>
      <x:c r="T966" s="72"/>
      <x:c r="U966" s="72"/>
      <x:c r="V966" s="72"/>
      <x:c r="W966" s="72"/>
      <x:c r="X966" s="72"/>
      <x:c r="Y966" s="72"/>
      <x:c r="Z966" s="72"/>
      <x:c r="AA966" s="72"/>
      <x:c r="AB966" s="72"/>
      <x:c r="AC966" s="72"/>
      <x:c r="AD966" s="72"/>
      <x:c r="AE966" s="72"/>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4"/>
      <x:c r="DQ966" s="4"/>
      <x:c r="DR966" s="4"/>
      <x:c r="DS966" s="4"/>
      <x:c r="DT966" s="4"/>
      <x:c r="DU966" s="4"/>
      <x:c r="DV966" s="4"/>
      <x:c r="DW966" s="4"/>
      <x:c r="DX966" s="4"/>
      <x:c r="DY966" s="4"/>
      <x:c r="DZ966" s="4"/>
      <x:c r="EA966" s="4"/>
      <x:c r="EB966" s="4"/>
      <x:c r="EC966" s="4"/>
      <x:c r="ED966" s="4"/>
      <x:c r="EE966" s="4"/>
      <x:c r="EF966" s="4"/>
      <x:c r="EG966" s="4"/>
      <x:c r="EH966" s="4"/>
      <x:c r="EI966" s="4"/>
      <x:c r="EJ966" s="4"/>
      <x:c r="EK966" s="4"/>
      <x:c r="EL966" s="4"/>
      <x:c r="EM966" s="4"/>
      <x:c r="EN966" s="4"/>
      <x:c r="EO966" s="4"/>
      <x:c r="EP966" s="4"/>
      <x:c r="EQ966" s="4"/>
      <x:c r="ER966" s="4"/>
      <x:c r="ES966" s="4"/>
      <x:c r="ET966" s="4"/>
      <x:c r="EU966" s="4"/>
      <x:c r="EV966" s="4"/>
      <x:c r="EW966" s="4"/>
      <x:c r="EX966" s="4"/>
      <x:c r="EY966" s="4"/>
      <x:c r="EZ966" s="4"/>
      <x:c r="FA966" s="4"/>
      <x:c r="FB966" s="4"/>
      <x:c r="FC966" s="4"/>
      <x:c r="FD966" s="4"/>
      <x:c r="FE966" s="4"/>
      <x:c r="FF966" s="4"/>
      <x:c r="FG966" s="4"/>
      <x:c r="FH966" s="4"/>
      <x:c r="FI966" s="4"/>
      <x:c r="FJ966" s="4"/>
      <x:c r="FK966" s="4"/>
      <x:c r="FL966" s="4"/>
      <x:c r="FM966" s="4"/>
      <x:c r="FN966" s="4"/>
      <x:c r="FO966" s="4"/>
    </x:row>
    <x:row r="967">
      <x:c r="A967" s="72"/>
      <x:c r="B967" s="72"/>
      <x:c r="C967" s="72"/>
      <x:c r="D967" s="72"/>
      <x:c r="E967" s="72"/>
      <x:c r="F967" s="72"/>
      <x:c r="G967" s="72"/>
      <x:c r="H967" s="72"/>
      <x:c r="I967" s="72"/>
      <x:c r="J967" s="72"/>
      <x:c r="K967" s="72"/>
      <x:c r="L967" s="72"/>
      <x:c r="M967" s="72"/>
      <x:c r="N967" s="72"/>
      <x:c r="O967" s="72"/>
      <x:c r="P967" s="72"/>
      <x:c r="Q967" s="72"/>
      <x:c r="R967" s="72"/>
      <x:c r="S967" s="72"/>
      <x:c r="T967" s="72"/>
      <x:c r="U967" s="72"/>
      <x:c r="V967" s="72"/>
      <x:c r="W967" s="72"/>
      <x:c r="X967" s="72"/>
      <x:c r="Y967" s="72"/>
      <x:c r="Z967" s="72"/>
      <x:c r="AA967" s="72"/>
      <x:c r="AB967" s="72"/>
      <x:c r="AC967" s="72"/>
      <x:c r="AD967" s="72"/>
      <x:c r="AE967" s="72"/>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4"/>
      <x:c r="DQ967" s="4"/>
      <x:c r="DR967" s="4"/>
      <x:c r="DS967" s="4"/>
      <x:c r="DT967" s="4"/>
      <x:c r="DU967" s="4"/>
      <x:c r="DV967" s="4"/>
      <x:c r="DW967" s="4"/>
      <x:c r="DX967" s="4"/>
      <x:c r="DY967" s="4"/>
      <x:c r="DZ967" s="4"/>
      <x:c r="EA967" s="4"/>
      <x:c r="EB967" s="4"/>
      <x:c r="EC967" s="4"/>
      <x:c r="ED967" s="4"/>
      <x:c r="EE967" s="4"/>
      <x:c r="EF967" s="4"/>
      <x:c r="EG967" s="4"/>
      <x:c r="EH967" s="4"/>
      <x:c r="EI967" s="4"/>
      <x:c r="EJ967" s="4"/>
      <x:c r="EK967" s="4"/>
      <x:c r="EL967" s="4"/>
      <x:c r="EM967" s="4"/>
      <x:c r="EN967" s="4"/>
      <x:c r="EO967" s="4"/>
      <x:c r="EP967" s="4"/>
      <x:c r="EQ967" s="4"/>
      <x:c r="ER967" s="4"/>
      <x:c r="ES967" s="4"/>
      <x:c r="ET967" s="4"/>
      <x:c r="EU967" s="4"/>
      <x:c r="EV967" s="4"/>
      <x:c r="EW967" s="4"/>
      <x:c r="EX967" s="4"/>
      <x:c r="EY967" s="4"/>
      <x:c r="EZ967" s="4"/>
      <x:c r="FA967" s="4"/>
      <x:c r="FB967" s="4"/>
      <x:c r="FC967" s="4"/>
      <x:c r="FD967" s="4"/>
      <x:c r="FE967" s="4"/>
      <x:c r="FF967" s="4"/>
      <x:c r="FG967" s="4"/>
      <x:c r="FH967" s="4"/>
      <x:c r="FI967" s="4"/>
      <x:c r="FJ967" s="4"/>
      <x:c r="FK967" s="4"/>
      <x:c r="FL967" s="4"/>
      <x:c r="FM967" s="4"/>
      <x:c r="FN967" s="4"/>
      <x:c r="FO967" s="4"/>
    </x:row>
    <x:row r="968">
      <x:c r="A968" s="72"/>
      <x:c r="B968" s="72"/>
      <x:c r="C968" s="72"/>
      <x:c r="D968" s="72"/>
      <x:c r="E968" s="72"/>
      <x:c r="F968" s="72"/>
      <x:c r="G968" s="72"/>
      <x:c r="H968" s="72"/>
      <x:c r="I968" s="72"/>
      <x:c r="J968" s="72"/>
      <x:c r="K968" s="72"/>
      <x:c r="L968" s="72"/>
      <x:c r="M968" s="72"/>
      <x:c r="N968" s="72"/>
      <x:c r="O968" s="72"/>
      <x:c r="P968" s="72"/>
      <x:c r="Q968" s="72"/>
      <x:c r="R968" s="72"/>
      <x:c r="S968" s="72"/>
      <x:c r="T968" s="72"/>
      <x:c r="U968" s="72"/>
      <x:c r="V968" s="72"/>
      <x:c r="W968" s="72"/>
      <x:c r="X968" s="72"/>
      <x:c r="Y968" s="72"/>
      <x:c r="Z968" s="72"/>
      <x:c r="AA968" s="72"/>
      <x:c r="AB968" s="72"/>
      <x:c r="AC968" s="72"/>
      <x:c r="AD968" s="72"/>
      <x:c r="AE968" s="72"/>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4"/>
      <x:c r="DQ968" s="4"/>
      <x:c r="DR968" s="4"/>
      <x:c r="DS968" s="4"/>
      <x:c r="DT968" s="4"/>
      <x:c r="DU968" s="4"/>
      <x:c r="DV968" s="4"/>
      <x:c r="DW968" s="4"/>
      <x:c r="DX968" s="4"/>
      <x:c r="DY968" s="4"/>
      <x:c r="DZ968" s="4"/>
      <x:c r="EA968" s="4"/>
      <x:c r="EB968" s="4"/>
      <x:c r="EC968" s="4"/>
      <x:c r="ED968" s="4"/>
      <x:c r="EE968" s="4"/>
      <x:c r="EF968" s="4"/>
      <x:c r="EG968" s="4"/>
      <x:c r="EH968" s="4"/>
      <x:c r="EI968" s="4"/>
      <x:c r="EJ968" s="4"/>
      <x:c r="EK968" s="4"/>
      <x:c r="EL968" s="4"/>
      <x:c r="EM968" s="4"/>
      <x:c r="EN968" s="4"/>
      <x:c r="EO968" s="4"/>
      <x:c r="EP968" s="4"/>
      <x:c r="EQ968" s="4"/>
      <x:c r="ER968" s="4"/>
      <x:c r="ES968" s="4"/>
      <x:c r="ET968" s="4"/>
      <x:c r="EU968" s="4"/>
      <x:c r="EV968" s="4"/>
      <x:c r="EW968" s="4"/>
      <x:c r="EX968" s="4"/>
      <x:c r="EY968" s="4"/>
      <x:c r="EZ968" s="4"/>
      <x:c r="FA968" s="4"/>
      <x:c r="FB968" s="4"/>
      <x:c r="FC968" s="4"/>
      <x:c r="FD968" s="4"/>
      <x:c r="FE968" s="4"/>
      <x:c r="FF968" s="4"/>
      <x:c r="FG968" s="4"/>
      <x:c r="FH968" s="4"/>
      <x:c r="FI968" s="4"/>
      <x:c r="FJ968" s="4"/>
      <x:c r="FK968" s="4"/>
      <x:c r="FL968" s="4"/>
      <x:c r="FM968" s="4"/>
      <x:c r="FN968" s="4"/>
      <x:c r="FO968" s="4"/>
    </x:row>
    <x:row r="969">
      <x:c r="A969" s="72"/>
      <x:c r="B969" s="72"/>
      <x:c r="C969" s="72"/>
      <x:c r="D969" s="72"/>
      <x:c r="E969" s="72"/>
      <x:c r="F969" s="72"/>
      <x:c r="G969" s="72"/>
      <x:c r="H969" s="72"/>
      <x:c r="I969" s="72"/>
      <x:c r="J969" s="72"/>
      <x:c r="K969" s="72"/>
      <x:c r="L969" s="72"/>
      <x:c r="M969" s="72"/>
      <x:c r="N969" s="72"/>
      <x:c r="O969" s="72"/>
      <x:c r="P969" s="72"/>
      <x:c r="Q969" s="72"/>
      <x:c r="R969" s="72"/>
      <x:c r="S969" s="72"/>
      <x:c r="T969" s="72"/>
      <x:c r="U969" s="72"/>
      <x:c r="V969" s="72"/>
      <x:c r="W969" s="72"/>
      <x:c r="X969" s="72"/>
      <x:c r="Y969" s="72"/>
      <x:c r="Z969" s="72"/>
      <x:c r="AA969" s="72"/>
      <x:c r="AB969" s="72"/>
      <x:c r="AC969" s="72"/>
      <x:c r="AD969" s="72"/>
      <x:c r="AE969" s="72"/>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4"/>
      <x:c r="DQ969" s="4"/>
      <x:c r="DR969" s="4"/>
      <x:c r="DS969" s="4"/>
      <x:c r="DT969" s="4"/>
      <x:c r="DU969" s="4"/>
      <x:c r="DV969" s="4"/>
      <x:c r="DW969" s="4"/>
      <x:c r="DX969" s="4"/>
      <x:c r="DY969" s="4"/>
      <x:c r="DZ969" s="4"/>
      <x:c r="EA969" s="4"/>
      <x:c r="EB969" s="4"/>
      <x:c r="EC969" s="4"/>
      <x:c r="ED969" s="4"/>
      <x:c r="EE969" s="4"/>
      <x:c r="EF969" s="4"/>
      <x:c r="EG969" s="4"/>
      <x:c r="EH969" s="4"/>
      <x:c r="EI969" s="4"/>
      <x:c r="EJ969" s="4"/>
      <x:c r="EK969" s="4"/>
      <x:c r="EL969" s="4"/>
      <x:c r="EM969" s="4"/>
      <x:c r="EN969" s="4"/>
      <x:c r="EO969" s="4"/>
      <x:c r="EP969" s="4"/>
      <x:c r="EQ969" s="4"/>
      <x:c r="ER969" s="4"/>
      <x:c r="ES969" s="4"/>
      <x:c r="ET969" s="4"/>
      <x:c r="EU969" s="4"/>
      <x:c r="EV969" s="4"/>
      <x:c r="EW969" s="4"/>
      <x:c r="EX969" s="4"/>
      <x:c r="EY969" s="4"/>
      <x:c r="EZ969" s="4"/>
      <x:c r="FA969" s="4"/>
      <x:c r="FB969" s="4"/>
      <x:c r="FC969" s="4"/>
      <x:c r="FD969" s="4"/>
      <x:c r="FE969" s="4"/>
      <x:c r="FF969" s="4"/>
      <x:c r="FG969" s="4"/>
      <x:c r="FH969" s="4"/>
      <x:c r="FI969" s="4"/>
      <x:c r="FJ969" s="4"/>
      <x:c r="FK969" s="4"/>
      <x:c r="FL969" s="4"/>
      <x:c r="FM969" s="4"/>
      <x:c r="FN969" s="4"/>
      <x:c r="FO969" s="4"/>
    </x:row>
    <x:row r="970">
      <x:c r="A970" s="72"/>
      <x:c r="B970" s="72"/>
      <x:c r="C970" s="72"/>
      <x:c r="D970" s="72"/>
      <x:c r="E970" s="72"/>
      <x:c r="F970" s="72"/>
      <x:c r="G970" s="72"/>
      <x:c r="H970" s="72"/>
      <x:c r="I970" s="72"/>
      <x:c r="J970" s="72"/>
      <x:c r="K970" s="72"/>
      <x:c r="L970" s="72"/>
      <x:c r="M970" s="72"/>
      <x:c r="N970" s="72"/>
      <x:c r="O970" s="72"/>
      <x:c r="P970" s="72"/>
      <x:c r="Q970" s="72"/>
      <x:c r="R970" s="72"/>
      <x:c r="S970" s="72"/>
      <x:c r="T970" s="72"/>
      <x:c r="U970" s="72"/>
      <x:c r="V970" s="72"/>
      <x:c r="W970" s="72"/>
      <x:c r="X970" s="72"/>
      <x:c r="Y970" s="72"/>
      <x:c r="Z970" s="72"/>
      <x:c r="AA970" s="72"/>
      <x:c r="AB970" s="72"/>
      <x:c r="AC970" s="72"/>
      <x:c r="AD970" s="72"/>
      <x:c r="AE970" s="72"/>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4"/>
      <x:c r="DQ970" s="4"/>
      <x:c r="DR970" s="4"/>
      <x:c r="DS970" s="4"/>
      <x:c r="DT970" s="4"/>
      <x:c r="DU970" s="4"/>
      <x:c r="DV970" s="4"/>
      <x:c r="DW970" s="4"/>
      <x:c r="DX970" s="4"/>
      <x:c r="DY970" s="4"/>
      <x:c r="DZ970" s="4"/>
      <x:c r="EA970" s="4"/>
      <x:c r="EB970" s="4"/>
      <x:c r="EC970" s="4"/>
      <x:c r="ED970" s="4"/>
      <x:c r="EE970" s="4"/>
      <x:c r="EF970" s="4"/>
      <x:c r="EG970" s="4"/>
      <x:c r="EH970" s="4"/>
      <x:c r="EI970" s="4"/>
      <x:c r="EJ970" s="4"/>
      <x:c r="EK970" s="4"/>
      <x:c r="EL970" s="4"/>
      <x:c r="EM970" s="4"/>
      <x:c r="EN970" s="4"/>
      <x:c r="EO970" s="4"/>
      <x:c r="EP970" s="4"/>
      <x:c r="EQ970" s="4"/>
      <x:c r="ER970" s="4"/>
      <x:c r="ES970" s="4"/>
      <x:c r="ET970" s="4"/>
      <x:c r="EU970" s="4"/>
      <x:c r="EV970" s="4"/>
      <x:c r="EW970" s="4"/>
      <x:c r="EX970" s="4"/>
      <x:c r="EY970" s="4"/>
      <x:c r="EZ970" s="4"/>
      <x:c r="FA970" s="4"/>
      <x:c r="FB970" s="4"/>
      <x:c r="FC970" s="4"/>
      <x:c r="FD970" s="4"/>
      <x:c r="FE970" s="4"/>
      <x:c r="FF970" s="4"/>
      <x:c r="FG970" s="4"/>
      <x:c r="FH970" s="4"/>
      <x:c r="FI970" s="4"/>
      <x:c r="FJ970" s="4"/>
      <x:c r="FK970" s="4"/>
      <x:c r="FL970" s="4"/>
      <x:c r="FM970" s="4"/>
      <x:c r="FN970" s="4"/>
      <x:c r="FO970" s="4"/>
    </x:row>
    <x:row r="971">
      <x:c r="A971" s="72"/>
      <x:c r="B971" s="72"/>
      <x:c r="C971" s="72"/>
      <x:c r="D971" s="72"/>
      <x:c r="E971" s="72"/>
      <x:c r="F971" s="72"/>
      <x:c r="G971" s="72"/>
      <x:c r="H971" s="72"/>
      <x:c r="I971" s="72"/>
      <x:c r="J971" s="72"/>
      <x:c r="K971" s="72"/>
      <x:c r="L971" s="72"/>
      <x:c r="M971" s="72"/>
      <x:c r="N971" s="72"/>
      <x:c r="O971" s="72"/>
      <x:c r="P971" s="72"/>
      <x:c r="Q971" s="72"/>
      <x:c r="R971" s="72"/>
      <x:c r="S971" s="72"/>
      <x:c r="T971" s="72"/>
      <x:c r="U971" s="72"/>
      <x:c r="V971" s="72"/>
      <x:c r="W971" s="72"/>
      <x:c r="X971" s="72"/>
      <x:c r="Y971" s="72"/>
      <x:c r="Z971" s="72"/>
      <x:c r="AA971" s="72"/>
      <x:c r="AB971" s="72"/>
      <x:c r="AC971" s="72"/>
      <x:c r="AD971" s="72"/>
      <x:c r="AE971" s="72"/>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4"/>
      <x:c r="DQ971" s="4"/>
      <x:c r="DR971" s="4"/>
      <x:c r="DS971" s="4"/>
      <x:c r="DT971" s="4"/>
      <x:c r="DU971" s="4"/>
      <x:c r="DV971" s="4"/>
      <x:c r="DW971" s="4"/>
      <x:c r="DX971" s="4"/>
      <x:c r="DY971" s="4"/>
      <x:c r="DZ971" s="4"/>
      <x:c r="EA971" s="4"/>
      <x:c r="EB971" s="4"/>
      <x:c r="EC971" s="4"/>
      <x:c r="ED971" s="4"/>
      <x:c r="EE971" s="4"/>
      <x:c r="EF971" s="4"/>
      <x:c r="EG971" s="4"/>
      <x:c r="EH971" s="4"/>
      <x:c r="EI971" s="4"/>
      <x:c r="EJ971" s="4"/>
      <x:c r="EK971" s="4"/>
      <x:c r="EL971" s="4"/>
      <x:c r="EM971" s="4"/>
      <x:c r="EN971" s="4"/>
      <x:c r="EO971" s="4"/>
      <x:c r="EP971" s="4"/>
      <x:c r="EQ971" s="4"/>
      <x:c r="ER971" s="4"/>
      <x:c r="ES971" s="4"/>
      <x:c r="ET971" s="4"/>
      <x:c r="EU971" s="4"/>
      <x:c r="EV971" s="4"/>
      <x:c r="EW971" s="4"/>
      <x:c r="EX971" s="4"/>
      <x:c r="EY971" s="4"/>
      <x:c r="EZ971" s="4"/>
      <x:c r="FA971" s="4"/>
      <x:c r="FB971" s="4"/>
      <x:c r="FC971" s="4"/>
      <x:c r="FD971" s="4"/>
      <x:c r="FE971" s="4"/>
      <x:c r="FF971" s="4"/>
      <x:c r="FG971" s="4"/>
      <x:c r="FH971" s="4"/>
      <x:c r="FI971" s="4"/>
      <x:c r="FJ971" s="4"/>
      <x:c r="FK971" s="4"/>
      <x:c r="FL971" s="4"/>
      <x:c r="FM971" s="4"/>
      <x:c r="FN971" s="4"/>
      <x:c r="FO971" s="4"/>
    </x:row>
    <x:row r="972">
      <x:c r="A972" s="72"/>
      <x:c r="B972" s="72"/>
      <x:c r="C972" s="72"/>
      <x:c r="D972" s="72"/>
      <x:c r="E972" s="72"/>
      <x:c r="F972" s="72"/>
      <x:c r="G972" s="72"/>
      <x:c r="H972" s="72"/>
      <x:c r="I972" s="72"/>
      <x:c r="J972" s="72"/>
      <x:c r="K972" s="72"/>
      <x:c r="L972" s="72"/>
      <x:c r="M972" s="72"/>
      <x:c r="N972" s="72"/>
      <x:c r="O972" s="72"/>
      <x:c r="P972" s="72"/>
      <x:c r="Q972" s="72"/>
      <x:c r="R972" s="72"/>
      <x:c r="S972" s="72"/>
      <x:c r="T972" s="72"/>
      <x:c r="U972" s="72"/>
      <x:c r="V972" s="72"/>
      <x:c r="W972" s="72"/>
      <x:c r="X972" s="72"/>
      <x:c r="Y972" s="72"/>
      <x:c r="Z972" s="72"/>
      <x:c r="AA972" s="72"/>
      <x:c r="AB972" s="72"/>
      <x:c r="AC972" s="72"/>
      <x:c r="AD972" s="72"/>
      <x:c r="AE972" s="72"/>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4"/>
      <x:c r="DQ972" s="4"/>
      <x:c r="DR972" s="4"/>
      <x:c r="DS972" s="4"/>
      <x:c r="DT972" s="4"/>
      <x:c r="DU972" s="4"/>
      <x:c r="DV972" s="4"/>
      <x:c r="DW972" s="4"/>
      <x:c r="DX972" s="4"/>
      <x:c r="DY972" s="4"/>
      <x:c r="DZ972" s="4"/>
      <x:c r="EA972" s="4"/>
      <x:c r="EB972" s="4"/>
      <x:c r="EC972" s="4"/>
      <x:c r="ED972" s="4"/>
      <x:c r="EE972" s="4"/>
      <x:c r="EF972" s="4"/>
      <x:c r="EG972" s="4"/>
      <x:c r="EH972" s="4"/>
      <x:c r="EI972" s="4"/>
      <x:c r="EJ972" s="4"/>
      <x:c r="EK972" s="4"/>
      <x:c r="EL972" s="4"/>
      <x:c r="EM972" s="4"/>
      <x:c r="EN972" s="4"/>
      <x:c r="EO972" s="4"/>
      <x:c r="EP972" s="4"/>
      <x:c r="EQ972" s="4"/>
      <x:c r="ER972" s="4"/>
      <x:c r="ES972" s="4"/>
      <x:c r="ET972" s="4"/>
      <x:c r="EU972" s="4"/>
      <x:c r="EV972" s="4"/>
      <x:c r="EW972" s="4"/>
      <x:c r="EX972" s="4"/>
      <x:c r="EY972" s="4"/>
      <x:c r="EZ972" s="4"/>
      <x:c r="FA972" s="4"/>
      <x:c r="FB972" s="4"/>
      <x:c r="FC972" s="4"/>
      <x:c r="FD972" s="4"/>
      <x:c r="FE972" s="4"/>
      <x:c r="FF972" s="4"/>
      <x:c r="FG972" s="4"/>
      <x:c r="FH972" s="4"/>
      <x:c r="FI972" s="4"/>
      <x:c r="FJ972" s="4"/>
      <x:c r="FK972" s="4"/>
      <x:c r="FL972" s="4"/>
      <x:c r="FM972" s="4"/>
      <x:c r="FN972" s="4"/>
      <x:c r="FO972" s="4"/>
    </x:row>
    <x:row r="973">
      <x:c r="A973" s="72"/>
      <x:c r="B973" s="72"/>
      <x:c r="C973" s="72"/>
      <x:c r="D973" s="72"/>
      <x:c r="E973" s="72"/>
      <x:c r="F973" s="72"/>
      <x:c r="G973" s="72"/>
      <x:c r="H973" s="72"/>
      <x:c r="I973" s="72"/>
      <x:c r="J973" s="72"/>
      <x:c r="K973" s="72"/>
      <x:c r="L973" s="72"/>
      <x:c r="M973" s="72"/>
      <x:c r="N973" s="72"/>
      <x:c r="O973" s="72"/>
      <x:c r="P973" s="72"/>
      <x:c r="Q973" s="72"/>
      <x:c r="R973" s="72"/>
      <x:c r="S973" s="72"/>
      <x:c r="T973" s="72"/>
      <x:c r="U973" s="72"/>
      <x:c r="V973" s="72"/>
      <x:c r="W973" s="72"/>
      <x:c r="X973" s="72"/>
      <x:c r="Y973" s="72"/>
      <x:c r="Z973" s="72"/>
      <x:c r="AA973" s="72"/>
      <x:c r="AB973" s="72"/>
      <x:c r="AC973" s="72"/>
      <x:c r="AD973" s="72"/>
      <x:c r="AE973" s="72"/>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4"/>
      <x:c r="DQ973" s="4"/>
      <x:c r="DR973" s="4"/>
      <x:c r="DS973" s="4"/>
      <x:c r="DT973" s="4"/>
      <x:c r="DU973" s="4"/>
      <x:c r="DV973" s="4"/>
      <x:c r="DW973" s="4"/>
      <x:c r="DX973" s="4"/>
      <x:c r="DY973" s="4"/>
      <x:c r="DZ973" s="4"/>
      <x:c r="EA973" s="4"/>
      <x:c r="EB973" s="4"/>
      <x:c r="EC973" s="4"/>
      <x:c r="ED973" s="4"/>
      <x:c r="EE973" s="4"/>
      <x:c r="EF973" s="4"/>
      <x:c r="EG973" s="4"/>
      <x:c r="EH973" s="4"/>
      <x:c r="EI973" s="4"/>
      <x:c r="EJ973" s="4"/>
      <x:c r="EK973" s="4"/>
      <x:c r="EL973" s="4"/>
      <x:c r="EM973" s="4"/>
      <x:c r="EN973" s="4"/>
      <x:c r="EO973" s="4"/>
      <x:c r="EP973" s="4"/>
      <x:c r="EQ973" s="4"/>
      <x:c r="ER973" s="4"/>
      <x:c r="ES973" s="4"/>
      <x:c r="ET973" s="4"/>
      <x:c r="EU973" s="4"/>
      <x:c r="EV973" s="4"/>
      <x:c r="EW973" s="4"/>
      <x:c r="EX973" s="4"/>
      <x:c r="EY973" s="4"/>
      <x:c r="EZ973" s="4"/>
      <x:c r="FA973" s="4"/>
      <x:c r="FB973" s="4"/>
      <x:c r="FC973" s="4"/>
      <x:c r="FD973" s="4"/>
      <x:c r="FE973" s="4"/>
      <x:c r="FF973" s="4"/>
      <x:c r="FG973" s="4"/>
      <x:c r="FH973" s="4"/>
      <x:c r="FI973" s="4"/>
      <x:c r="FJ973" s="4"/>
      <x:c r="FK973" s="4"/>
      <x:c r="FL973" s="4"/>
      <x:c r="FM973" s="4"/>
      <x:c r="FN973" s="4"/>
      <x:c r="FO973" s="4"/>
    </x:row>
    <x:row r="974">
      <x:c r="A974" s="72"/>
      <x:c r="B974" s="72"/>
      <x:c r="C974" s="72"/>
      <x:c r="D974" s="72"/>
      <x:c r="E974" s="72"/>
      <x:c r="F974" s="72"/>
      <x:c r="G974" s="72"/>
      <x:c r="H974" s="72"/>
      <x:c r="I974" s="72"/>
      <x:c r="J974" s="72"/>
      <x:c r="K974" s="72"/>
      <x:c r="L974" s="72"/>
      <x:c r="M974" s="72"/>
      <x:c r="N974" s="72"/>
      <x:c r="O974" s="72"/>
      <x:c r="P974" s="72"/>
      <x:c r="Q974" s="72"/>
      <x:c r="R974" s="72"/>
      <x:c r="S974" s="72"/>
      <x:c r="T974" s="72"/>
      <x:c r="U974" s="72"/>
      <x:c r="V974" s="72"/>
      <x:c r="W974" s="72"/>
      <x:c r="X974" s="72"/>
      <x:c r="Y974" s="72"/>
      <x:c r="Z974" s="72"/>
      <x:c r="AA974" s="72"/>
      <x:c r="AB974" s="72"/>
      <x:c r="AC974" s="72"/>
      <x:c r="AD974" s="72"/>
      <x:c r="AE974" s="72"/>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4"/>
      <x:c r="DQ974" s="4"/>
      <x:c r="DR974" s="4"/>
      <x:c r="DS974" s="4"/>
      <x:c r="DT974" s="4"/>
      <x:c r="DU974" s="4"/>
      <x:c r="DV974" s="4"/>
      <x:c r="DW974" s="4"/>
      <x:c r="DX974" s="4"/>
      <x:c r="DY974" s="4"/>
      <x:c r="DZ974" s="4"/>
      <x:c r="EA974" s="4"/>
      <x:c r="EB974" s="4"/>
      <x:c r="EC974" s="4"/>
      <x:c r="ED974" s="4"/>
      <x:c r="EE974" s="4"/>
      <x:c r="EF974" s="4"/>
      <x:c r="EG974" s="4"/>
      <x:c r="EH974" s="4"/>
      <x:c r="EI974" s="4"/>
      <x:c r="EJ974" s="4"/>
      <x:c r="EK974" s="4"/>
      <x:c r="EL974" s="4"/>
      <x:c r="EM974" s="4"/>
      <x:c r="EN974" s="4"/>
      <x:c r="EO974" s="4"/>
      <x:c r="EP974" s="4"/>
      <x:c r="EQ974" s="4"/>
      <x:c r="ER974" s="4"/>
      <x:c r="ES974" s="4"/>
      <x:c r="ET974" s="4"/>
      <x:c r="EU974" s="4"/>
      <x:c r="EV974" s="4"/>
      <x:c r="EW974" s="4"/>
      <x:c r="EX974" s="4"/>
      <x:c r="EY974" s="4"/>
      <x:c r="EZ974" s="4"/>
      <x:c r="FA974" s="4"/>
      <x:c r="FB974" s="4"/>
      <x:c r="FC974" s="4"/>
      <x:c r="FD974" s="4"/>
      <x:c r="FE974" s="4"/>
      <x:c r="FF974" s="4"/>
      <x:c r="FG974" s="4"/>
      <x:c r="FH974" s="4"/>
      <x:c r="FI974" s="4"/>
      <x:c r="FJ974" s="4"/>
      <x:c r="FK974" s="4"/>
      <x:c r="FL974" s="4"/>
      <x:c r="FM974" s="4"/>
      <x:c r="FN974" s="4"/>
      <x:c r="FO974" s="4"/>
    </x:row>
    <x:row r="975">
      <x:c r="A975" s="72"/>
      <x:c r="B975" s="72"/>
      <x:c r="C975" s="72"/>
      <x:c r="D975" s="72"/>
      <x:c r="E975" s="72"/>
      <x:c r="F975" s="72"/>
      <x:c r="G975" s="72"/>
      <x:c r="H975" s="72"/>
      <x:c r="I975" s="72"/>
      <x:c r="J975" s="72"/>
      <x:c r="K975" s="72"/>
      <x:c r="L975" s="72"/>
      <x:c r="M975" s="72"/>
      <x:c r="N975" s="72"/>
      <x:c r="O975" s="72"/>
      <x:c r="P975" s="72"/>
      <x:c r="Q975" s="72"/>
      <x:c r="R975" s="72"/>
      <x:c r="S975" s="72"/>
      <x:c r="T975" s="72"/>
      <x:c r="U975" s="72"/>
      <x:c r="V975" s="72"/>
      <x:c r="W975" s="72"/>
      <x:c r="X975" s="72"/>
      <x:c r="Y975" s="72"/>
      <x:c r="Z975" s="72"/>
      <x:c r="AA975" s="72"/>
      <x:c r="AB975" s="72"/>
      <x:c r="AC975" s="72"/>
      <x:c r="AD975" s="72"/>
      <x:c r="AE975" s="72"/>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4"/>
      <x:c r="DQ975" s="4"/>
      <x:c r="DR975" s="4"/>
      <x:c r="DS975" s="4"/>
      <x:c r="DT975" s="4"/>
      <x:c r="DU975" s="4"/>
      <x:c r="DV975" s="4"/>
      <x:c r="DW975" s="4"/>
      <x:c r="DX975" s="4"/>
      <x:c r="DY975" s="4"/>
      <x:c r="DZ975" s="4"/>
      <x:c r="EA975" s="4"/>
      <x:c r="EB975" s="4"/>
      <x:c r="EC975" s="4"/>
      <x:c r="ED975" s="4"/>
      <x:c r="EE975" s="4"/>
      <x:c r="EF975" s="4"/>
      <x:c r="EG975" s="4"/>
      <x:c r="EH975" s="4"/>
      <x:c r="EI975" s="4"/>
      <x:c r="EJ975" s="4"/>
      <x:c r="EK975" s="4"/>
      <x:c r="EL975" s="4"/>
      <x:c r="EM975" s="4"/>
      <x:c r="EN975" s="4"/>
      <x:c r="EO975" s="4"/>
      <x:c r="EP975" s="4"/>
      <x:c r="EQ975" s="4"/>
      <x:c r="ER975" s="4"/>
      <x:c r="ES975" s="4"/>
      <x:c r="ET975" s="4"/>
      <x:c r="EU975" s="4"/>
      <x:c r="EV975" s="4"/>
      <x:c r="EW975" s="4"/>
      <x:c r="EX975" s="4"/>
      <x:c r="EY975" s="4"/>
      <x:c r="EZ975" s="4"/>
      <x:c r="FA975" s="4"/>
      <x:c r="FB975" s="4"/>
      <x:c r="FC975" s="4"/>
      <x:c r="FD975" s="4"/>
      <x:c r="FE975" s="4"/>
      <x:c r="FF975" s="4"/>
      <x:c r="FG975" s="4"/>
      <x:c r="FH975" s="4"/>
      <x:c r="FI975" s="4"/>
      <x:c r="FJ975" s="4"/>
      <x:c r="FK975" s="4"/>
      <x:c r="FL975" s="4"/>
      <x:c r="FM975" s="4"/>
      <x:c r="FN975" s="4"/>
      <x:c r="FO975" s="4"/>
    </x:row>
    <x:row r="976">
      <x:c r="A976" s="72"/>
      <x:c r="B976" s="72"/>
      <x:c r="C976" s="72"/>
      <x:c r="D976" s="72"/>
      <x:c r="E976" s="72"/>
      <x:c r="F976" s="72"/>
      <x:c r="G976" s="72"/>
      <x:c r="H976" s="72"/>
      <x:c r="I976" s="72"/>
      <x:c r="J976" s="72"/>
      <x:c r="K976" s="72"/>
      <x:c r="L976" s="72"/>
      <x:c r="M976" s="72"/>
      <x:c r="N976" s="72"/>
      <x:c r="O976" s="72"/>
      <x:c r="P976" s="72"/>
      <x:c r="Q976" s="72"/>
      <x:c r="R976" s="72"/>
      <x:c r="S976" s="72"/>
      <x:c r="T976" s="72"/>
      <x:c r="U976" s="72"/>
      <x:c r="V976" s="72"/>
      <x:c r="W976" s="72"/>
      <x:c r="X976" s="72"/>
      <x:c r="Y976" s="72"/>
      <x:c r="Z976" s="72"/>
      <x:c r="AA976" s="72"/>
      <x:c r="AB976" s="72"/>
      <x:c r="AC976" s="72"/>
      <x:c r="AD976" s="72"/>
      <x:c r="AE976" s="72"/>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4"/>
      <x:c r="DQ976" s="4"/>
      <x:c r="DR976" s="4"/>
      <x:c r="DS976" s="4"/>
      <x:c r="DT976" s="4"/>
      <x:c r="DU976" s="4"/>
      <x:c r="DV976" s="4"/>
      <x:c r="DW976" s="4"/>
      <x:c r="DX976" s="4"/>
      <x:c r="DY976" s="4"/>
      <x:c r="DZ976" s="4"/>
      <x:c r="EA976" s="4"/>
      <x:c r="EB976" s="4"/>
      <x:c r="EC976" s="4"/>
      <x:c r="ED976" s="4"/>
      <x:c r="EE976" s="4"/>
      <x:c r="EF976" s="4"/>
      <x:c r="EG976" s="4"/>
      <x:c r="EH976" s="4"/>
      <x:c r="EI976" s="4"/>
      <x:c r="EJ976" s="4"/>
      <x:c r="EK976" s="4"/>
      <x:c r="EL976" s="4"/>
      <x:c r="EM976" s="4"/>
      <x:c r="EN976" s="4"/>
      <x:c r="EO976" s="4"/>
      <x:c r="EP976" s="4"/>
      <x:c r="EQ976" s="4"/>
      <x:c r="ER976" s="4"/>
      <x:c r="ES976" s="4"/>
      <x:c r="ET976" s="4"/>
      <x:c r="EU976" s="4"/>
      <x:c r="EV976" s="4"/>
      <x:c r="EW976" s="4"/>
      <x:c r="EX976" s="4"/>
      <x:c r="EY976" s="4"/>
      <x:c r="EZ976" s="4"/>
      <x:c r="FA976" s="4"/>
      <x:c r="FB976" s="4"/>
      <x:c r="FC976" s="4"/>
      <x:c r="FD976" s="4"/>
      <x:c r="FE976" s="4"/>
      <x:c r="FF976" s="4"/>
      <x:c r="FG976" s="4"/>
      <x:c r="FH976" s="4"/>
      <x:c r="FI976" s="4"/>
      <x:c r="FJ976" s="4"/>
      <x:c r="FK976" s="4"/>
      <x:c r="FL976" s="4"/>
      <x:c r="FM976" s="4"/>
      <x:c r="FN976" s="4"/>
      <x:c r="FO976" s="4"/>
    </x:row>
    <x:row r="977">
      <x:c r="A977" s="72"/>
      <x:c r="B977" s="72"/>
      <x:c r="C977" s="72"/>
      <x:c r="D977" s="72"/>
      <x:c r="E977" s="72"/>
      <x:c r="F977" s="72"/>
      <x:c r="G977" s="72"/>
      <x:c r="H977" s="72"/>
      <x:c r="I977" s="72"/>
      <x:c r="J977" s="72"/>
      <x:c r="K977" s="72"/>
      <x:c r="L977" s="72"/>
      <x:c r="M977" s="72"/>
      <x:c r="N977" s="72"/>
      <x:c r="O977" s="72"/>
      <x:c r="P977" s="72"/>
      <x:c r="Q977" s="72"/>
      <x:c r="R977" s="72"/>
      <x:c r="S977" s="72"/>
      <x:c r="T977" s="72"/>
      <x:c r="U977" s="72"/>
      <x:c r="V977" s="72"/>
      <x:c r="W977" s="72"/>
      <x:c r="X977" s="72"/>
      <x:c r="Y977" s="72"/>
      <x:c r="Z977" s="72"/>
      <x:c r="AA977" s="72"/>
      <x:c r="AB977" s="72"/>
      <x:c r="AC977" s="72"/>
      <x:c r="AD977" s="72"/>
      <x:c r="AE977" s="72"/>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4"/>
      <x:c r="DQ977" s="4"/>
      <x:c r="DR977" s="4"/>
      <x:c r="DS977" s="4"/>
      <x:c r="DT977" s="4"/>
      <x:c r="DU977" s="4"/>
      <x:c r="DV977" s="4"/>
      <x:c r="DW977" s="4"/>
      <x:c r="DX977" s="4"/>
      <x:c r="DY977" s="4"/>
      <x:c r="DZ977" s="4"/>
      <x:c r="EA977" s="4"/>
      <x:c r="EB977" s="4"/>
      <x:c r="EC977" s="4"/>
      <x:c r="ED977" s="4"/>
      <x:c r="EE977" s="4"/>
      <x:c r="EF977" s="4"/>
      <x:c r="EG977" s="4"/>
      <x:c r="EH977" s="4"/>
      <x:c r="EI977" s="4"/>
      <x:c r="EJ977" s="4"/>
      <x:c r="EK977" s="4"/>
      <x:c r="EL977" s="4"/>
      <x:c r="EM977" s="4"/>
      <x:c r="EN977" s="4"/>
      <x:c r="EO977" s="4"/>
      <x:c r="EP977" s="4"/>
      <x:c r="EQ977" s="4"/>
      <x:c r="ER977" s="4"/>
      <x:c r="ES977" s="4"/>
      <x:c r="ET977" s="4"/>
      <x:c r="EU977" s="4"/>
      <x:c r="EV977" s="4"/>
      <x:c r="EW977" s="4"/>
      <x:c r="EX977" s="4"/>
      <x:c r="EY977" s="4"/>
      <x:c r="EZ977" s="4"/>
      <x:c r="FA977" s="4"/>
      <x:c r="FB977" s="4"/>
      <x:c r="FC977" s="4"/>
      <x:c r="FD977" s="4"/>
      <x:c r="FE977" s="4"/>
      <x:c r="FF977" s="4"/>
      <x:c r="FG977" s="4"/>
      <x:c r="FH977" s="4"/>
      <x:c r="FI977" s="4"/>
      <x:c r="FJ977" s="4"/>
      <x:c r="FK977" s="4"/>
      <x:c r="FL977" s="4"/>
      <x:c r="FM977" s="4"/>
      <x:c r="FN977" s="4"/>
      <x:c r="FO977" s="4"/>
    </x:row>
    <x:row r="978">
      <x:c r="A978" s="72"/>
      <x:c r="B978" s="72"/>
      <x:c r="C978" s="72"/>
      <x:c r="D978" s="72"/>
      <x:c r="E978" s="72"/>
      <x:c r="F978" s="72"/>
      <x:c r="G978" s="72"/>
      <x:c r="H978" s="72"/>
      <x:c r="I978" s="72"/>
      <x:c r="J978" s="72"/>
      <x:c r="K978" s="72"/>
      <x:c r="L978" s="72"/>
      <x:c r="M978" s="72"/>
      <x:c r="N978" s="72"/>
      <x:c r="O978" s="72"/>
      <x:c r="P978" s="72"/>
      <x:c r="Q978" s="72"/>
      <x:c r="R978" s="72"/>
      <x:c r="S978" s="72"/>
      <x:c r="T978" s="72"/>
      <x:c r="U978" s="72"/>
      <x:c r="V978" s="72"/>
      <x:c r="W978" s="72"/>
      <x:c r="X978" s="72"/>
      <x:c r="Y978" s="72"/>
      <x:c r="Z978" s="72"/>
      <x:c r="AA978" s="72"/>
      <x:c r="AB978" s="72"/>
      <x:c r="AC978" s="72"/>
      <x:c r="AD978" s="72"/>
      <x:c r="AE978" s="72"/>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4"/>
      <x:c r="DQ978" s="4"/>
      <x:c r="DR978" s="4"/>
      <x:c r="DS978" s="4"/>
      <x:c r="DT978" s="4"/>
      <x:c r="DU978" s="4"/>
      <x:c r="DV978" s="4"/>
      <x:c r="DW978" s="4"/>
      <x:c r="DX978" s="4"/>
      <x:c r="DY978" s="4"/>
      <x:c r="DZ978" s="4"/>
      <x:c r="EA978" s="4"/>
      <x:c r="EB978" s="4"/>
      <x:c r="EC978" s="4"/>
      <x:c r="ED978" s="4"/>
      <x:c r="EE978" s="4"/>
      <x:c r="EF978" s="4"/>
      <x:c r="EG978" s="4"/>
      <x:c r="EH978" s="4"/>
      <x:c r="EI978" s="4"/>
      <x:c r="EJ978" s="4"/>
      <x:c r="EK978" s="4"/>
      <x:c r="EL978" s="4"/>
      <x:c r="EM978" s="4"/>
      <x:c r="EN978" s="4"/>
      <x:c r="EO978" s="4"/>
      <x:c r="EP978" s="4"/>
      <x:c r="EQ978" s="4"/>
      <x:c r="ER978" s="4"/>
      <x:c r="ES978" s="4"/>
      <x:c r="ET978" s="4"/>
      <x:c r="EU978" s="4"/>
      <x:c r="EV978" s="4"/>
      <x:c r="EW978" s="4"/>
      <x:c r="EX978" s="4"/>
      <x:c r="EY978" s="4"/>
      <x:c r="EZ978" s="4"/>
      <x:c r="FA978" s="4"/>
      <x:c r="FB978" s="4"/>
      <x:c r="FC978" s="4"/>
      <x:c r="FD978" s="4"/>
      <x:c r="FE978" s="4"/>
      <x:c r="FF978" s="4"/>
      <x:c r="FG978" s="4"/>
      <x:c r="FH978" s="4"/>
      <x:c r="FI978" s="4"/>
      <x:c r="FJ978" s="4"/>
      <x:c r="FK978" s="4"/>
      <x:c r="FL978" s="4"/>
      <x:c r="FM978" s="4"/>
      <x:c r="FN978" s="4"/>
      <x:c r="FO978" s="4"/>
    </x:row>
    <x:row r="979">
      <x:c r="A979" s="72"/>
      <x:c r="B979" s="72"/>
      <x:c r="C979" s="72"/>
      <x:c r="D979" s="72"/>
      <x:c r="E979" s="72"/>
      <x:c r="F979" s="72"/>
      <x:c r="G979" s="72"/>
      <x:c r="H979" s="72"/>
      <x:c r="I979" s="72"/>
      <x:c r="J979" s="72"/>
      <x:c r="K979" s="72"/>
      <x:c r="L979" s="72"/>
      <x:c r="M979" s="72"/>
      <x:c r="N979" s="72"/>
      <x:c r="O979" s="72"/>
      <x:c r="P979" s="72"/>
      <x:c r="Q979" s="72"/>
      <x:c r="R979" s="72"/>
      <x:c r="S979" s="72"/>
      <x:c r="T979" s="72"/>
      <x:c r="U979" s="72"/>
      <x:c r="V979" s="72"/>
      <x:c r="W979" s="72"/>
      <x:c r="X979" s="72"/>
      <x:c r="Y979" s="72"/>
      <x:c r="Z979" s="72"/>
      <x:c r="AA979" s="72"/>
      <x:c r="AB979" s="72"/>
      <x:c r="AC979" s="72"/>
      <x:c r="AD979" s="72"/>
      <x:c r="AE979" s="72"/>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4"/>
      <x:c r="DQ979" s="4"/>
      <x:c r="DR979" s="4"/>
      <x:c r="DS979" s="4"/>
      <x:c r="DT979" s="4"/>
      <x:c r="DU979" s="4"/>
      <x:c r="DV979" s="4"/>
      <x:c r="DW979" s="4"/>
      <x:c r="DX979" s="4"/>
      <x:c r="DY979" s="4"/>
      <x:c r="DZ979" s="4"/>
      <x:c r="EA979" s="4"/>
      <x:c r="EB979" s="4"/>
      <x:c r="EC979" s="4"/>
      <x:c r="ED979" s="4"/>
      <x:c r="EE979" s="4"/>
      <x:c r="EF979" s="4"/>
      <x:c r="EG979" s="4"/>
      <x:c r="EH979" s="4"/>
      <x:c r="EI979" s="4"/>
      <x:c r="EJ979" s="4"/>
      <x:c r="EK979" s="4"/>
      <x:c r="EL979" s="4"/>
      <x:c r="EM979" s="4"/>
      <x:c r="EN979" s="4"/>
      <x:c r="EO979" s="4"/>
      <x:c r="EP979" s="4"/>
      <x:c r="EQ979" s="4"/>
      <x:c r="ER979" s="4"/>
      <x:c r="ES979" s="4"/>
      <x:c r="ET979" s="4"/>
      <x:c r="EU979" s="4"/>
      <x:c r="EV979" s="4"/>
      <x:c r="EW979" s="4"/>
      <x:c r="EX979" s="4"/>
      <x:c r="EY979" s="4"/>
      <x:c r="EZ979" s="4"/>
      <x:c r="FA979" s="4"/>
      <x:c r="FB979" s="4"/>
      <x:c r="FC979" s="4"/>
      <x:c r="FD979" s="4"/>
      <x:c r="FE979" s="4"/>
      <x:c r="FF979" s="4"/>
      <x:c r="FG979" s="4"/>
      <x:c r="FH979" s="4"/>
      <x:c r="FI979" s="4"/>
      <x:c r="FJ979" s="4"/>
      <x:c r="FK979" s="4"/>
      <x:c r="FL979" s="4"/>
      <x:c r="FM979" s="4"/>
      <x:c r="FN979" s="4"/>
      <x:c r="FO979" s="4"/>
    </x:row>
    <x:row r="980">
      <x:c r="A980" s="72"/>
      <x:c r="B980" s="72"/>
      <x:c r="C980" s="72"/>
      <x:c r="D980" s="72"/>
      <x:c r="E980" s="72"/>
      <x:c r="F980" s="72"/>
      <x:c r="G980" s="72"/>
      <x:c r="H980" s="72"/>
      <x:c r="I980" s="72"/>
      <x:c r="J980" s="72"/>
      <x:c r="K980" s="72"/>
      <x:c r="L980" s="72"/>
      <x:c r="M980" s="72"/>
      <x:c r="N980" s="72"/>
      <x:c r="O980" s="72"/>
      <x:c r="P980" s="72"/>
      <x:c r="Q980" s="72"/>
      <x:c r="R980" s="72"/>
      <x:c r="S980" s="72"/>
      <x:c r="T980" s="72"/>
      <x:c r="U980" s="72"/>
      <x:c r="V980" s="72"/>
      <x:c r="W980" s="72"/>
      <x:c r="X980" s="72"/>
      <x:c r="Y980" s="72"/>
      <x:c r="Z980" s="72"/>
      <x:c r="AA980" s="72"/>
      <x:c r="AB980" s="72"/>
      <x:c r="AC980" s="72"/>
      <x:c r="AD980" s="72"/>
      <x:c r="AE980" s="72"/>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4"/>
      <x:c r="DQ980" s="4"/>
      <x:c r="DR980" s="4"/>
      <x:c r="DS980" s="4"/>
      <x:c r="DT980" s="4"/>
      <x:c r="DU980" s="4"/>
      <x:c r="DV980" s="4"/>
      <x:c r="DW980" s="4"/>
      <x:c r="DX980" s="4"/>
      <x:c r="DY980" s="4"/>
      <x:c r="DZ980" s="4"/>
      <x:c r="EA980" s="4"/>
      <x:c r="EB980" s="4"/>
      <x:c r="EC980" s="4"/>
      <x:c r="ED980" s="4"/>
      <x:c r="EE980" s="4"/>
      <x:c r="EF980" s="4"/>
      <x:c r="EG980" s="4"/>
      <x:c r="EH980" s="4"/>
      <x:c r="EI980" s="4"/>
      <x:c r="EJ980" s="4"/>
      <x:c r="EK980" s="4"/>
      <x:c r="EL980" s="4"/>
      <x:c r="EM980" s="4"/>
      <x:c r="EN980" s="4"/>
      <x:c r="EO980" s="4"/>
      <x:c r="EP980" s="4"/>
      <x:c r="EQ980" s="4"/>
      <x:c r="ER980" s="4"/>
      <x:c r="ES980" s="4"/>
      <x:c r="ET980" s="4"/>
      <x:c r="EU980" s="4"/>
      <x:c r="EV980" s="4"/>
      <x:c r="EW980" s="4"/>
      <x:c r="EX980" s="4"/>
      <x:c r="EY980" s="4"/>
      <x:c r="EZ980" s="4"/>
      <x:c r="FA980" s="4"/>
      <x:c r="FB980" s="4"/>
      <x:c r="FC980" s="4"/>
      <x:c r="FD980" s="4"/>
      <x:c r="FE980" s="4"/>
      <x:c r="FF980" s="4"/>
      <x:c r="FG980" s="4"/>
      <x:c r="FH980" s="4"/>
      <x:c r="FI980" s="4"/>
      <x:c r="FJ980" s="4"/>
      <x:c r="FK980" s="4"/>
      <x:c r="FL980" s="4"/>
      <x:c r="FM980" s="4"/>
      <x:c r="FN980" s="4"/>
      <x:c r="FO980" s="4"/>
    </x:row>
    <x:row r="981">
      <x:c r="A981" s="72"/>
      <x:c r="B981" s="72"/>
      <x:c r="C981" s="72"/>
      <x:c r="D981" s="72"/>
      <x:c r="E981" s="72"/>
      <x:c r="F981" s="72"/>
      <x:c r="G981" s="72"/>
      <x:c r="H981" s="72"/>
      <x:c r="I981" s="72"/>
      <x:c r="J981" s="72"/>
      <x:c r="K981" s="72"/>
      <x:c r="L981" s="72"/>
      <x:c r="M981" s="72"/>
      <x:c r="N981" s="72"/>
      <x:c r="O981" s="72"/>
      <x:c r="P981" s="72"/>
      <x:c r="Q981" s="72"/>
      <x:c r="R981" s="72"/>
      <x:c r="S981" s="72"/>
      <x:c r="T981" s="72"/>
      <x:c r="U981" s="72"/>
      <x:c r="V981" s="72"/>
      <x:c r="W981" s="72"/>
      <x:c r="X981" s="72"/>
      <x:c r="Y981" s="72"/>
      <x:c r="Z981" s="72"/>
      <x:c r="AA981" s="72"/>
      <x:c r="AB981" s="72"/>
      <x:c r="AC981" s="72"/>
      <x:c r="AD981" s="72"/>
      <x:c r="AE981" s="72"/>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4"/>
      <x:c r="DQ981" s="4"/>
      <x:c r="DR981" s="4"/>
      <x:c r="DS981" s="4"/>
      <x:c r="DT981" s="4"/>
      <x:c r="DU981" s="4"/>
      <x:c r="DV981" s="4"/>
      <x:c r="DW981" s="4"/>
      <x:c r="DX981" s="4"/>
      <x:c r="DY981" s="4"/>
      <x:c r="DZ981" s="4"/>
      <x:c r="EA981" s="4"/>
      <x:c r="EB981" s="4"/>
      <x:c r="EC981" s="4"/>
      <x:c r="ED981" s="4"/>
      <x:c r="EE981" s="4"/>
      <x:c r="EF981" s="4"/>
      <x:c r="EG981" s="4"/>
      <x:c r="EH981" s="4"/>
      <x:c r="EI981" s="4"/>
      <x:c r="EJ981" s="4"/>
      <x:c r="EK981" s="4"/>
      <x:c r="EL981" s="4"/>
      <x:c r="EM981" s="4"/>
      <x:c r="EN981" s="4"/>
      <x:c r="EO981" s="4"/>
      <x:c r="EP981" s="4"/>
      <x:c r="EQ981" s="4"/>
      <x:c r="ER981" s="4"/>
      <x:c r="ES981" s="4"/>
      <x:c r="ET981" s="4"/>
      <x:c r="EU981" s="4"/>
      <x:c r="EV981" s="4"/>
      <x:c r="EW981" s="4"/>
      <x:c r="EX981" s="4"/>
      <x:c r="EY981" s="4"/>
      <x:c r="EZ981" s="4"/>
      <x:c r="FA981" s="4"/>
      <x:c r="FB981" s="4"/>
      <x:c r="FC981" s="4"/>
      <x:c r="FD981" s="4"/>
      <x:c r="FE981" s="4"/>
      <x:c r="FF981" s="4"/>
      <x:c r="FG981" s="4"/>
      <x:c r="FH981" s="4"/>
      <x:c r="FI981" s="4"/>
      <x:c r="FJ981" s="4"/>
      <x:c r="FK981" s="4"/>
      <x:c r="FL981" s="4"/>
      <x:c r="FM981" s="4"/>
      <x:c r="FN981" s="4"/>
      <x:c r="FO981" s="4"/>
    </x:row>
    <x:row r="982">
      <x:c r="A982" s="72"/>
      <x:c r="B982" s="72"/>
      <x:c r="C982" s="72"/>
      <x:c r="D982" s="72"/>
      <x:c r="E982" s="72"/>
      <x:c r="F982" s="72"/>
      <x:c r="G982" s="72"/>
      <x:c r="H982" s="72"/>
      <x:c r="I982" s="72"/>
      <x:c r="J982" s="72"/>
      <x:c r="K982" s="72"/>
      <x:c r="L982" s="72"/>
      <x:c r="M982" s="72"/>
      <x:c r="N982" s="72"/>
      <x:c r="O982" s="72"/>
      <x:c r="P982" s="72"/>
      <x:c r="Q982" s="72"/>
      <x:c r="R982" s="72"/>
      <x:c r="S982" s="72"/>
      <x:c r="T982" s="72"/>
      <x:c r="U982" s="72"/>
      <x:c r="V982" s="72"/>
      <x:c r="W982" s="72"/>
      <x:c r="X982" s="72"/>
      <x:c r="Y982" s="72"/>
      <x:c r="Z982" s="72"/>
      <x:c r="AA982" s="72"/>
      <x:c r="AB982" s="72"/>
      <x:c r="AC982" s="72"/>
      <x:c r="AD982" s="72"/>
      <x:c r="AE982" s="72"/>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4"/>
      <x:c r="DQ982" s="4"/>
      <x:c r="DR982" s="4"/>
      <x:c r="DS982" s="4"/>
      <x:c r="DT982" s="4"/>
      <x:c r="DU982" s="4"/>
      <x:c r="DV982" s="4"/>
      <x:c r="DW982" s="4"/>
      <x:c r="DX982" s="4"/>
      <x:c r="DY982" s="4"/>
      <x:c r="DZ982" s="4"/>
      <x:c r="EA982" s="4"/>
      <x:c r="EB982" s="4"/>
      <x:c r="EC982" s="4"/>
      <x:c r="ED982" s="4"/>
      <x:c r="EE982" s="4"/>
      <x:c r="EF982" s="4"/>
      <x:c r="EG982" s="4"/>
      <x:c r="EH982" s="4"/>
      <x:c r="EI982" s="4"/>
      <x:c r="EJ982" s="4"/>
      <x:c r="EK982" s="4"/>
      <x:c r="EL982" s="4"/>
      <x:c r="EM982" s="4"/>
      <x:c r="EN982" s="4"/>
      <x:c r="EO982" s="4"/>
      <x:c r="EP982" s="4"/>
      <x:c r="EQ982" s="4"/>
      <x:c r="ER982" s="4"/>
      <x:c r="ES982" s="4"/>
      <x:c r="ET982" s="4"/>
      <x:c r="EU982" s="4"/>
      <x:c r="EV982" s="4"/>
      <x:c r="EW982" s="4"/>
      <x:c r="EX982" s="4"/>
      <x:c r="EY982" s="4"/>
      <x:c r="EZ982" s="4"/>
      <x:c r="FA982" s="4"/>
      <x:c r="FB982" s="4"/>
      <x:c r="FC982" s="4"/>
      <x:c r="FD982" s="4"/>
      <x:c r="FE982" s="4"/>
      <x:c r="FF982" s="4"/>
      <x:c r="FG982" s="4"/>
      <x:c r="FH982" s="4"/>
      <x:c r="FI982" s="4"/>
      <x:c r="FJ982" s="4"/>
      <x:c r="FK982" s="4"/>
      <x:c r="FL982" s="4"/>
      <x:c r="FM982" s="4"/>
      <x:c r="FN982" s="4"/>
      <x:c r="FO982" s="4"/>
    </x:row>
    <x:row r="983">
      <x:c r="A983" s="72"/>
      <x:c r="B983" s="72"/>
      <x:c r="C983" s="72"/>
      <x:c r="D983" s="72"/>
      <x:c r="E983" s="72"/>
      <x:c r="F983" s="72"/>
      <x:c r="G983" s="72"/>
      <x:c r="H983" s="72"/>
      <x:c r="I983" s="72"/>
      <x:c r="J983" s="72"/>
      <x:c r="K983" s="72"/>
      <x:c r="L983" s="72"/>
      <x:c r="M983" s="72"/>
      <x:c r="N983" s="72"/>
      <x:c r="O983" s="72"/>
      <x:c r="P983" s="72"/>
      <x:c r="Q983" s="72"/>
      <x:c r="R983" s="72"/>
      <x:c r="S983" s="72"/>
      <x:c r="T983" s="72"/>
      <x:c r="U983" s="72"/>
      <x:c r="V983" s="72"/>
      <x:c r="W983" s="72"/>
      <x:c r="X983" s="72"/>
      <x:c r="Y983" s="72"/>
      <x:c r="Z983" s="72"/>
      <x:c r="AA983" s="72"/>
      <x:c r="AB983" s="72"/>
      <x:c r="AC983" s="72"/>
      <x:c r="AD983" s="72"/>
      <x:c r="AE983" s="72"/>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4"/>
      <x:c r="DQ983" s="4"/>
      <x:c r="DR983" s="4"/>
      <x:c r="DS983" s="4"/>
      <x:c r="DT983" s="4"/>
      <x:c r="DU983" s="4"/>
      <x:c r="DV983" s="4"/>
      <x:c r="DW983" s="4"/>
      <x:c r="DX983" s="4"/>
      <x:c r="DY983" s="4"/>
      <x:c r="DZ983" s="4"/>
      <x:c r="EA983" s="4"/>
      <x:c r="EB983" s="4"/>
      <x:c r="EC983" s="4"/>
      <x:c r="ED983" s="4"/>
      <x:c r="EE983" s="4"/>
      <x:c r="EF983" s="4"/>
      <x:c r="EG983" s="4"/>
      <x:c r="EH983" s="4"/>
      <x:c r="EI983" s="4"/>
      <x:c r="EJ983" s="4"/>
      <x:c r="EK983" s="4"/>
      <x:c r="EL983" s="4"/>
      <x:c r="EM983" s="4"/>
      <x:c r="EN983" s="4"/>
      <x:c r="EO983" s="4"/>
      <x:c r="EP983" s="4"/>
      <x:c r="EQ983" s="4"/>
      <x:c r="ER983" s="4"/>
      <x:c r="ES983" s="4"/>
      <x:c r="ET983" s="4"/>
      <x:c r="EU983" s="4"/>
      <x:c r="EV983" s="4"/>
      <x:c r="EW983" s="4"/>
      <x:c r="EX983" s="4"/>
      <x:c r="EY983" s="4"/>
      <x:c r="EZ983" s="4"/>
      <x:c r="FA983" s="4"/>
      <x:c r="FB983" s="4"/>
      <x:c r="FC983" s="4"/>
      <x:c r="FD983" s="4"/>
      <x:c r="FE983" s="4"/>
      <x:c r="FF983" s="4"/>
      <x:c r="FG983" s="4"/>
      <x:c r="FH983" s="4"/>
      <x:c r="FI983" s="4"/>
      <x:c r="FJ983" s="4"/>
      <x:c r="FK983" s="4"/>
      <x:c r="FL983" s="4"/>
      <x:c r="FM983" s="4"/>
      <x:c r="FN983" s="4"/>
      <x:c r="FO983" s="4"/>
    </x:row>
    <x:row r="984">
      <x:c r="A984" s="72"/>
      <x:c r="B984" s="72"/>
      <x:c r="C984" s="72"/>
      <x:c r="D984" s="72"/>
      <x:c r="E984" s="72"/>
      <x:c r="F984" s="72"/>
      <x:c r="G984" s="72"/>
      <x:c r="H984" s="72"/>
      <x:c r="I984" s="72"/>
      <x:c r="J984" s="72"/>
      <x:c r="K984" s="72"/>
      <x:c r="L984" s="72"/>
      <x:c r="M984" s="72"/>
      <x:c r="N984" s="72"/>
      <x:c r="O984" s="72"/>
      <x:c r="P984" s="72"/>
      <x:c r="Q984" s="72"/>
      <x:c r="R984" s="72"/>
      <x:c r="S984" s="72"/>
      <x:c r="T984" s="72"/>
      <x:c r="U984" s="72"/>
      <x:c r="V984" s="72"/>
      <x:c r="W984" s="72"/>
      <x:c r="X984" s="72"/>
      <x:c r="Y984" s="72"/>
      <x:c r="Z984" s="72"/>
      <x:c r="AA984" s="72"/>
      <x:c r="AB984" s="72"/>
      <x:c r="AC984" s="72"/>
      <x:c r="AD984" s="72"/>
      <x:c r="AE984" s="72"/>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4"/>
      <x:c r="DQ984" s="4"/>
      <x:c r="DR984" s="4"/>
      <x:c r="DS984" s="4"/>
      <x:c r="DT984" s="4"/>
      <x:c r="DU984" s="4"/>
      <x:c r="DV984" s="4"/>
      <x:c r="DW984" s="4"/>
      <x:c r="DX984" s="4"/>
      <x:c r="DY984" s="4"/>
      <x:c r="DZ984" s="4"/>
      <x:c r="EA984" s="4"/>
      <x:c r="EB984" s="4"/>
      <x:c r="EC984" s="4"/>
      <x:c r="ED984" s="4"/>
      <x:c r="EE984" s="4"/>
      <x:c r="EF984" s="4"/>
      <x:c r="EG984" s="4"/>
      <x:c r="EH984" s="4"/>
      <x:c r="EI984" s="4"/>
      <x:c r="EJ984" s="4"/>
      <x:c r="EK984" s="4"/>
      <x:c r="EL984" s="4"/>
      <x:c r="EM984" s="4"/>
      <x:c r="EN984" s="4"/>
      <x:c r="EO984" s="4"/>
      <x:c r="EP984" s="4"/>
      <x:c r="EQ984" s="4"/>
      <x:c r="ER984" s="4"/>
      <x:c r="ES984" s="4"/>
      <x:c r="ET984" s="4"/>
      <x:c r="EU984" s="4"/>
      <x:c r="EV984" s="4"/>
      <x:c r="EW984" s="4"/>
      <x:c r="EX984" s="4"/>
      <x:c r="EY984" s="4"/>
      <x:c r="EZ984" s="4"/>
      <x:c r="FA984" s="4"/>
      <x:c r="FB984" s="4"/>
      <x:c r="FC984" s="4"/>
      <x:c r="FD984" s="4"/>
      <x:c r="FE984" s="4"/>
      <x:c r="FF984" s="4"/>
      <x:c r="FG984" s="4"/>
      <x:c r="FH984" s="4"/>
      <x:c r="FI984" s="4"/>
      <x:c r="FJ984" s="4"/>
      <x:c r="FK984" s="4"/>
      <x:c r="FL984" s="4"/>
      <x:c r="FM984" s="4"/>
      <x:c r="FN984" s="4"/>
      <x:c r="FO984" s="4"/>
    </x:row>
    <x:row r="985">
      <x:c r="A985" s="72"/>
      <x:c r="B985" s="72"/>
      <x:c r="C985" s="72"/>
      <x:c r="D985" s="72"/>
      <x:c r="E985" s="72"/>
      <x:c r="F985" s="72"/>
      <x:c r="G985" s="72"/>
      <x:c r="H985" s="72"/>
      <x:c r="I985" s="72"/>
      <x:c r="J985" s="72"/>
      <x:c r="K985" s="72"/>
      <x:c r="L985" s="72"/>
      <x:c r="M985" s="72"/>
      <x:c r="N985" s="72"/>
      <x:c r="O985" s="72"/>
      <x:c r="P985" s="72"/>
      <x:c r="Q985" s="72"/>
      <x:c r="R985" s="72"/>
      <x:c r="S985" s="72"/>
      <x:c r="T985" s="72"/>
      <x:c r="U985" s="72"/>
      <x:c r="V985" s="72"/>
      <x:c r="W985" s="72"/>
      <x:c r="X985" s="72"/>
      <x:c r="Y985" s="72"/>
      <x:c r="Z985" s="72"/>
      <x:c r="AA985" s="72"/>
      <x:c r="AB985" s="72"/>
      <x:c r="AC985" s="72"/>
      <x:c r="AD985" s="72"/>
      <x:c r="AE985" s="72"/>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4"/>
      <x:c r="DQ985" s="4"/>
      <x:c r="DR985" s="4"/>
      <x:c r="DS985" s="4"/>
      <x:c r="DT985" s="4"/>
      <x:c r="DU985" s="4"/>
      <x:c r="DV985" s="4"/>
      <x:c r="DW985" s="4"/>
      <x:c r="DX985" s="4"/>
      <x:c r="DY985" s="4"/>
      <x:c r="DZ985" s="4"/>
      <x:c r="EA985" s="4"/>
      <x:c r="EB985" s="4"/>
      <x:c r="EC985" s="4"/>
      <x:c r="ED985" s="4"/>
      <x:c r="EE985" s="4"/>
      <x:c r="EF985" s="4"/>
      <x:c r="EG985" s="4"/>
      <x:c r="EH985" s="4"/>
      <x:c r="EI985" s="4"/>
      <x:c r="EJ985" s="4"/>
      <x:c r="EK985" s="4"/>
      <x:c r="EL985" s="4"/>
      <x:c r="EM985" s="4"/>
      <x:c r="EN985" s="4"/>
      <x:c r="EO985" s="4"/>
      <x:c r="EP985" s="4"/>
      <x:c r="EQ985" s="4"/>
      <x:c r="ER985" s="4"/>
      <x:c r="ES985" s="4"/>
      <x:c r="ET985" s="4"/>
      <x:c r="EU985" s="4"/>
      <x:c r="EV985" s="4"/>
      <x:c r="EW985" s="4"/>
      <x:c r="EX985" s="4"/>
      <x:c r="EY985" s="4"/>
      <x:c r="EZ985" s="4"/>
      <x:c r="FA985" s="4"/>
      <x:c r="FB985" s="4"/>
      <x:c r="FC985" s="4"/>
      <x:c r="FD985" s="4"/>
      <x:c r="FE985" s="4"/>
      <x:c r="FF985" s="4"/>
      <x:c r="FG985" s="4"/>
      <x:c r="FH985" s="4"/>
      <x:c r="FI985" s="4"/>
      <x:c r="FJ985" s="4"/>
      <x:c r="FK985" s="4"/>
      <x:c r="FL985" s="4"/>
      <x:c r="FM985" s="4"/>
      <x:c r="FN985" s="4"/>
      <x:c r="FO985" s="4"/>
    </x:row>
    <x:row r="986">
      <x:c r="A986" s="72"/>
      <x:c r="B986" s="72"/>
      <x:c r="C986" s="72"/>
      <x:c r="D986" s="72"/>
      <x:c r="E986" s="72"/>
      <x:c r="F986" s="72"/>
      <x:c r="G986" s="72"/>
      <x:c r="H986" s="72"/>
      <x:c r="I986" s="72"/>
      <x:c r="J986" s="72"/>
      <x:c r="K986" s="72"/>
      <x:c r="L986" s="72"/>
      <x:c r="M986" s="72"/>
      <x:c r="N986" s="72"/>
      <x:c r="O986" s="72"/>
      <x:c r="P986" s="72"/>
      <x:c r="Q986" s="72"/>
      <x:c r="R986" s="72"/>
      <x:c r="S986" s="72"/>
      <x:c r="T986" s="72"/>
      <x:c r="U986" s="72"/>
      <x:c r="V986" s="72"/>
      <x:c r="W986" s="72"/>
      <x:c r="X986" s="72"/>
      <x:c r="Y986" s="72"/>
      <x:c r="Z986" s="72"/>
      <x:c r="AA986" s="72"/>
      <x:c r="AB986" s="72"/>
      <x:c r="AC986" s="72"/>
      <x:c r="AD986" s="72"/>
      <x:c r="AE986" s="72"/>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4"/>
      <x:c r="DQ986" s="4"/>
      <x:c r="DR986" s="4"/>
      <x:c r="DS986" s="4"/>
      <x:c r="DT986" s="4"/>
      <x:c r="DU986" s="4"/>
      <x:c r="DV986" s="4"/>
      <x:c r="DW986" s="4"/>
      <x:c r="DX986" s="4"/>
      <x:c r="DY986" s="4"/>
      <x:c r="DZ986" s="4"/>
      <x:c r="EA986" s="4"/>
      <x:c r="EB986" s="4"/>
      <x:c r="EC986" s="4"/>
      <x:c r="ED986" s="4"/>
      <x:c r="EE986" s="4"/>
      <x:c r="EF986" s="4"/>
      <x:c r="EG986" s="4"/>
      <x:c r="EH986" s="4"/>
      <x:c r="EI986" s="4"/>
      <x:c r="EJ986" s="4"/>
      <x:c r="EK986" s="4"/>
      <x:c r="EL986" s="4"/>
      <x:c r="EM986" s="4"/>
      <x:c r="EN986" s="4"/>
      <x:c r="EO986" s="4"/>
      <x:c r="EP986" s="4"/>
      <x:c r="EQ986" s="4"/>
      <x:c r="ER986" s="4"/>
      <x:c r="ES986" s="4"/>
      <x:c r="ET986" s="4"/>
      <x:c r="EU986" s="4"/>
      <x:c r="EV986" s="4"/>
      <x:c r="EW986" s="4"/>
      <x:c r="EX986" s="4"/>
      <x:c r="EY986" s="4"/>
      <x:c r="EZ986" s="4"/>
      <x:c r="FA986" s="4"/>
      <x:c r="FB986" s="4"/>
      <x:c r="FC986" s="4"/>
      <x:c r="FD986" s="4"/>
      <x:c r="FE986" s="4"/>
      <x:c r="FF986" s="4"/>
      <x:c r="FG986" s="4"/>
      <x:c r="FH986" s="4"/>
      <x:c r="FI986" s="4"/>
      <x:c r="FJ986" s="4"/>
      <x:c r="FK986" s="4"/>
      <x:c r="FL986" s="4"/>
      <x:c r="FM986" s="4"/>
      <x:c r="FN986" s="4"/>
      <x:c r="FO986" s="4"/>
    </x:row>
    <x:row r="987">
      <x:c r="A987" s="72"/>
      <x:c r="B987" s="72"/>
      <x:c r="C987" s="72"/>
      <x:c r="D987" s="72"/>
      <x:c r="E987" s="72"/>
      <x:c r="F987" s="72"/>
      <x:c r="G987" s="72"/>
      <x:c r="H987" s="72"/>
      <x:c r="I987" s="72"/>
      <x:c r="J987" s="72"/>
      <x:c r="K987" s="72"/>
      <x:c r="L987" s="72"/>
      <x:c r="M987" s="72"/>
      <x:c r="N987" s="72"/>
      <x:c r="O987" s="72"/>
      <x:c r="P987" s="72"/>
      <x:c r="Q987" s="72"/>
      <x:c r="R987" s="72"/>
      <x:c r="S987" s="72"/>
      <x:c r="T987" s="72"/>
      <x:c r="U987" s="72"/>
      <x:c r="V987" s="72"/>
      <x:c r="W987" s="72"/>
      <x:c r="X987" s="72"/>
      <x:c r="Y987" s="72"/>
      <x:c r="Z987" s="72"/>
      <x:c r="AA987" s="72"/>
      <x:c r="AB987" s="72"/>
      <x:c r="AC987" s="72"/>
      <x:c r="AD987" s="72"/>
      <x:c r="AE987" s="72"/>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4"/>
      <x:c r="DQ987" s="4"/>
      <x:c r="DR987" s="4"/>
      <x:c r="DS987" s="4"/>
      <x:c r="DT987" s="4"/>
      <x:c r="DU987" s="4"/>
      <x:c r="DV987" s="4"/>
      <x:c r="DW987" s="4"/>
      <x:c r="DX987" s="4"/>
      <x:c r="DY987" s="4"/>
      <x:c r="DZ987" s="4"/>
      <x:c r="EA987" s="4"/>
      <x:c r="EB987" s="4"/>
      <x:c r="EC987" s="4"/>
      <x:c r="ED987" s="4"/>
      <x:c r="EE987" s="4"/>
      <x:c r="EF987" s="4"/>
      <x:c r="EG987" s="4"/>
      <x:c r="EH987" s="4"/>
      <x:c r="EI987" s="4"/>
      <x:c r="EJ987" s="4"/>
      <x:c r="EK987" s="4"/>
      <x:c r="EL987" s="4"/>
      <x:c r="EM987" s="4"/>
      <x:c r="EN987" s="4"/>
      <x:c r="EO987" s="4"/>
      <x:c r="EP987" s="4"/>
      <x:c r="EQ987" s="4"/>
      <x:c r="ER987" s="4"/>
      <x:c r="ES987" s="4"/>
      <x:c r="ET987" s="4"/>
      <x:c r="EU987" s="4"/>
      <x:c r="EV987" s="4"/>
      <x:c r="EW987" s="4"/>
      <x:c r="EX987" s="4"/>
      <x:c r="EY987" s="4"/>
      <x:c r="EZ987" s="4"/>
      <x:c r="FA987" s="4"/>
      <x:c r="FB987" s="4"/>
      <x:c r="FC987" s="4"/>
      <x:c r="FD987" s="4"/>
      <x:c r="FE987" s="4"/>
      <x:c r="FF987" s="4"/>
      <x:c r="FG987" s="4"/>
      <x:c r="FH987" s="4"/>
      <x:c r="FI987" s="4"/>
      <x:c r="FJ987" s="4"/>
      <x:c r="FK987" s="4"/>
      <x:c r="FL987" s="4"/>
      <x:c r="FM987" s="4"/>
      <x:c r="FN987" s="4"/>
      <x:c r="FO987" s="4"/>
    </x:row>
    <x:row r="988">
      <x:c r="A988" s="72"/>
      <x:c r="B988" s="72"/>
      <x:c r="C988" s="72"/>
      <x:c r="D988" s="72"/>
      <x:c r="E988" s="72"/>
      <x:c r="F988" s="72"/>
      <x:c r="G988" s="72"/>
      <x:c r="H988" s="72"/>
      <x:c r="I988" s="72"/>
      <x:c r="J988" s="72"/>
      <x:c r="K988" s="72"/>
      <x:c r="L988" s="72"/>
      <x:c r="M988" s="72"/>
      <x:c r="N988" s="72"/>
      <x:c r="O988" s="72"/>
      <x:c r="P988" s="72"/>
      <x:c r="Q988" s="72"/>
      <x:c r="R988" s="72"/>
      <x:c r="S988" s="72"/>
      <x:c r="T988" s="72"/>
      <x:c r="U988" s="72"/>
      <x:c r="V988" s="72"/>
      <x:c r="W988" s="72"/>
      <x:c r="X988" s="72"/>
      <x:c r="Y988" s="72"/>
      <x:c r="Z988" s="72"/>
      <x:c r="AA988" s="72"/>
      <x:c r="AB988" s="72"/>
      <x:c r="AC988" s="72"/>
      <x:c r="AD988" s="72"/>
      <x:c r="AE988" s="72"/>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4"/>
      <x:c r="DQ988" s="4"/>
      <x:c r="DR988" s="4"/>
      <x:c r="DS988" s="4"/>
      <x:c r="DT988" s="4"/>
      <x:c r="DU988" s="4"/>
      <x:c r="DV988" s="4"/>
      <x:c r="DW988" s="4"/>
      <x:c r="DX988" s="4"/>
      <x:c r="DY988" s="4"/>
      <x:c r="DZ988" s="4"/>
      <x:c r="EA988" s="4"/>
      <x:c r="EB988" s="4"/>
      <x:c r="EC988" s="4"/>
      <x:c r="ED988" s="4"/>
      <x:c r="EE988" s="4"/>
      <x:c r="EF988" s="4"/>
      <x:c r="EG988" s="4"/>
      <x:c r="EH988" s="4"/>
      <x:c r="EI988" s="4"/>
      <x:c r="EJ988" s="4"/>
      <x:c r="EK988" s="4"/>
      <x:c r="EL988" s="4"/>
      <x:c r="EM988" s="4"/>
      <x:c r="EN988" s="4"/>
      <x:c r="EO988" s="4"/>
      <x:c r="EP988" s="4"/>
      <x:c r="EQ988" s="4"/>
      <x:c r="ER988" s="4"/>
      <x:c r="ES988" s="4"/>
      <x:c r="ET988" s="4"/>
      <x:c r="EU988" s="4"/>
      <x:c r="EV988" s="4"/>
      <x:c r="EW988" s="4"/>
      <x:c r="EX988" s="4"/>
      <x:c r="EY988" s="4"/>
      <x:c r="EZ988" s="4"/>
      <x:c r="FA988" s="4"/>
      <x:c r="FB988" s="4"/>
      <x:c r="FC988" s="4"/>
      <x:c r="FD988" s="4"/>
      <x:c r="FE988" s="4"/>
      <x:c r="FF988" s="4"/>
      <x:c r="FG988" s="4"/>
      <x:c r="FH988" s="4"/>
      <x:c r="FI988" s="4"/>
      <x:c r="FJ988" s="4"/>
      <x:c r="FK988" s="4"/>
      <x:c r="FL988" s="4"/>
      <x:c r="FM988" s="4"/>
      <x:c r="FN988" s="4"/>
      <x:c r="FO988" s="4"/>
    </x:row>
    <x:row r="989">
      <x:c r="A989" s="72"/>
      <x:c r="B989" s="72"/>
      <x:c r="C989" s="72"/>
      <x:c r="D989" s="72"/>
      <x:c r="E989" s="72"/>
      <x:c r="F989" s="72"/>
      <x:c r="G989" s="72"/>
      <x:c r="H989" s="72"/>
      <x:c r="I989" s="72"/>
      <x:c r="J989" s="72"/>
      <x:c r="K989" s="72"/>
      <x:c r="L989" s="72"/>
      <x:c r="M989" s="72"/>
      <x:c r="N989" s="72"/>
      <x:c r="O989" s="72"/>
      <x:c r="P989" s="72"/>
      <x:c r="Q989" s="72"/>
      <x:c r="R989" s="72"/>
      <x:c r="S989" s="72"/>
      <x:c r="T989" s="72"/>
      <x:c r="U989" s="72"/>
      <x:c r="V989" s="72"/>
      <x:c r="W989" s="72"/>
      <x:c r="X989" s="72"/>
      <x:c r="Y989" s="72"/>
      <x:c r="Z989" s="72"/>
      <x:c r="AA989" s="72"/>
      <x:c r="AB989" s="72"/>
      <x:c r="AC989" s="72"/>
      <x:c r="AD989" s="72"/>
      <x:c r="AE989" s="72"/>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4"/>
      <x:c r="DQ989" s="4"/>
      <x:c r="DR989" s="4"/>
      <x:c r="DS989" s="4"/>
      <x:c r="DT989" s="4"/>
      <x:c r="DU989" s="4"/>
      <x:c r="DV989" s="4"/>
      <x:c r="DW989" s="4"/>
      <x:c r="DX989" s="4"/>
      <x:c r="DY989" s="4"/>
      <x:c r="DZ989" s="4"/>
      <x:c r="EA989" s="4"/>
      <x:c r="EB989" s="4"/>
      <x:c r="EC989" s="4"/>
      <x:c r="ED989" s="4"/>
      <x:c r="EE989" s="4"/>
      <x:c r="EF989" s="4"/>
      <x:c r="EG989" s="4"/>
      <x:c r="EH989" s="4"/>
      <x:c r="EI989" s="4"/>
      <x:c r="EJ989" s="4"/>
      <x:c r="EK989" s="4"/>
      <x:c r="EL989" s="4"/>
      <x:c r="EM989" s="4"/>
      <x:c r="EN989" s="4"/>
      <x:c r="EO989" s="4"/>
      <x:c r="EP989" s="4"/>
      <x:c r="EQ989" s="4"/>
      <x:c r="ER989" s="4"/>
      <x:c r="ES989" s="4"/>
      <x:c r="ET989" s="4"/>
      <x:c r="EU989" s="4"/>
      <x:c r="EV989" s="4"/>
      <x:c r="EW989" s="4"/>
      <x:c r="EX989" s="4"/>
      <x:c r="EY989" s="4"/>
      <x:c r="EZ989" s="4"/>
      <x:c r="FA989" s="4"/>
      <x:c r="FB989" s="4"/>
      <x:c r="FC989" s="4"/>
      <x:c r="FD989" s="4"/>
      <x:c r="FE989" s="4"/>
      <x:c r="FF989" s="4"/>
      <x:c r="FG989" s="4"/>
      <x:c r="FH989" s="4"/>
      <x:c r="FI989" s="4"/>
      <x:c r="FJ989" s="4"/>
      <x:c r="FK989" s="4"/>
      <x:c r="FL989" s="4"/>
      <x:c r="FM989" s="4"/>
      <x:c r="FN989" s="4"/>
      <x:c r="FO989" s="4"/>
    </x:row>
    <x:row r="990">
      <x:c r="A990" s="72"/>
      <x:c r="B990" s="72"/>
      <x:c r="C990" s="72"/>
      <x:c r="D990" s="72"/>
      <x:c r="E990" s="72"/>
      <x:c r="F990" s="72"/>
      <x:c r="G990" s="72"/>
      <x:c r="H990" s="72"/>
      <x:c r="I990" s="72"/>
      <x:c r="J990" s="72"/>
      <x:c r="K990" s="72"/>
      <x:c r="L990" s="72"/>
      <x:c r="M990" s="72"/>
      <x:c r="N990" s="72"/>
      <x:c r="O990" s="72"/>
      <x:c r="P990" s="72"/>
      <x:c r="Q990" s="72"/>
      <x:c r="R990" s="72"/>
      <x:c r="S990" s="72"/>
      <x:c r="T990" s="72"/>
      <x:c r="U990" s="72"/>
      <x:c r="V990" s="72"/>
      <x:c r="W990" s="72"/>
      <x:c r="X990" s="72"/>
      <x:c r="Y990" s="72"/>
      <x:c r="Z990" s="72"/>
      <x:c r="AA990" s="72"/>
      <x:c r="AB990" s="72"/>
      <x:c r="AC990" s="72"/>
      <x:c r="AD990" s="72"/>
      <x:c r="AE990" s="72"/>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4"/>
      <x:c r="DQ990" s="4"/>
      <x:c r="DR990" s="4"/>
      <x:c r="DS990" s="4"/>
      <x:c r="DT990" s="4"/>
      <x:c r="DU990" s="4"/>
      <x:c r="DV990" s="4"/>
      <x:c r="DW990" s="4"/>
      <x:c r="DX990" s="4"/>
      <x:c r="DY990" s="4"/>
      <x:c r="DZ990" s="4"/>
      <x:c r="EA990" s="4"/>
      <x:c r="EB990" s="4"/>
      <x:c r="EC990" s="4"/>
      <x:c r="ED990" s="4"/>
      <x:c r="EE990" s="4"/>
      <x:c r="EF990" s="4"/>
      <x:c r="EG990" s="4"/>
      <x:c r="EH990" s="4"/>
      <x:c r="EI990" s="4"/>
      <x:c r="EJ990" s="4"/>
      <x:c r="EK990" s="4"/>
      <x:c r="EL990" s="4"/>
      <x:c r="EM990" s="4"/>
      <x:c r="EN990" s="4"/>
      <x:c r="EO990" s="4"/>
      <x:c r="EP990" s="4"/>
      <x:c r="EQ990" s="4"/>
      <x:c r="ER990" s="4"/>
      <x:c r="ES990" s="4"/>
      <x:c r="ET990" s="4"/>
      <x:c r="EU990" s="4"/>
      <x:c r="EV990" s="4"/>
      <x:c r="EW990" s="4"/>
      <x:c r="EX990" s="4"/>
      <x:c r="EY990" s="4"/>
      <x:c r="EZ990" s="4"/>
      <x:c r="FA990" s="4"/>
      <x:c r="FB990" s="4"/>
      <x:c r="FC990" s="4"/>
      <x:c r="FD990" s="4"/>
      <x:c r="FE990" s="4"/>
      <x:c r="FF990" s="4"/>
      <x:c r="FG990" s="4"/>
      <x:c r="FH990" s="4"/>
      <x:c r="FI990" s="4"/>
      <x:c r="FJ990" s="4"/>
      <x:c r="FK990" s="4"/>
      <x:c r="FL990" s="4"/>
      <x:c r="FM990" s="4"/>
      <x:c r="FN990" s="4"/>
      <x:c r="FO990" s="4"/>
    </x:row>
    <x:row r="991">
      <x:c r="A991" s="72"/>
      <x:c r="B991" s="72"/>
      <x:c r="C991" s="72"/>
      <x:c r="D991" s="72"/>
      <x:c r="E991" s="72"/>
      <x:c r="F991" s="72"/>
      <x:c r="G991" s="72"/>
      <x:c r="H991" s="72"/>
      <x:c r="I991" s="72"/>
      <x:c r="J991" s="72"/>
      <x:c r="K991" s="72"/>
      <x:c r="L991" s="72"/>
      <x:c r="M991" s="72"/>
      <x:c r="N991" s="72"/>
      <x:c r="O991" s="72"/>
      <x:c r="P991" s="72"/>
      <x:c r="Q991" s="72"/>
      <x:c r="R991" s="72"/>
      <x:c r="S991" s="72"/>
      <x:c r="T991" s="72"/>
      <x:c r="U991" s="72"/>
      <x:c r="V991" s="72"/>
      <x:c r="W991" s="72"/>
      <x:c r="X991" s="72"/>
      <x:c r="Y991" s="72"/>
      <x:c r="Z991" s="72"/>
      <x:c r="AA991" s="72"/>
      <x:c r="AB991" s="72"/>
      <x:c r="AC991" s="72"/>
      <x:c r="AD991" s="72"/>
      <x:c r="AE991" s="72"/>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4"/>
      <x:c r="DQ991" s="4"/>
      <x:c r="DR991" s="4"/>
      <x:c r="DS991" s="4"/>
      <x:c r="DT991" s="4"/>
      <x:c r="DU991" s="4"/>
      <x:c r="DV991" s="4"/>
      <x:c r="DW991" s="4"/>
      <x:c r="DX991" s="4"/>
      <x:c r="DY991" s="4"/>
      <x:c r="DZ991" s="4"/>
      <x:c r="EA991" s="4"/>
      <x:c r="EB991" s="4"/>
      <x:c r="EC991" s="4"/>
      <x:c r="ED991" s="4"/>
      <x:c r="EE991" s="4"/>
      <x:c r="EF991" s="4"/>
      <x:c r="EG991" s="4"/>
      <x:c r="EH991" s="4"/>
      <x:c r="EI991" s="4"/>
      <x:c r="EJ991" s="4"/>
      <x:c r="EK991" s="4"/>
      <x:c r="EL991" s="4"/>
      <x:c r="EM991" s="4"/>
      <x:c r="EN991" s="4"/>
      <x:c r="EO991" s="4"/>
      <x:c r="EP991" s="4"/>
      <x:c r="EQ991" s="4"/>
      <x:c r="ER991" s="4"/>
      <x:c r="ES991" s="4"/>
      <x:c r="ET991" s="4"/>
      <x:c r="EU991" s="4"/>
      <x:c r="EV991" s="4"/>
      <x:c r="EW991" s="4"/>
      <x:c r="EX991" s="4"/>
      <x:c r="EY991" s="4"/>
      <x:c r="EZ991" s="4"/>
      <x:c r="FA991" s="4"/>
      <x:c r="FB991" s="4"/>
      <x:c r="FC991" s="4"/>
      <x:c r="FD991" s="4"/>
      <x:c r="FE991" s="4"/>
      <x:c r="FF991" s="4"/>
      <x:c r="FG991" s="4"/>
      <x:c r="FH991" s="4"/>
      <x:c r="FI991" s="4"/>
      <x:c r="FJ991" s="4"/>
      <x:c r="FK991" s="4"/>
      <x:c r="FL991" s="4"/>
      <x:c r="FM991" s="4"/>
      <x:c r="FN991" s="4"/>
      <x:c r="FO991" s="4"/>
    </x:row>
    <x:row r="992">
      <x:c r="A992" s="72"/>
      <x:c r="B992" s="72"/>
      <x:c r="C992" s="72"/>
      <x:c r="D992" s="72"/>
      <x:c r="E992" s="72"/>
      <x:c r="F992" s="72"/>
      <x:c r="G992" s="72"/>
      <x:c r="H992" s="72"/>
      <x:c r="I992" s="72"/>
      <x:c r="J992" s="72"/>
      <x:c r="K992" s="72"/>
      <x:c r="L992" s="72"/>
      <x:c r="M992" s="72"/>
      <x:c r="N992" s="72"/>
      <x:c r="O992" s="72"/>
      <x:c r="P992" s="72"/>
      <x:c r="Q992" s="72"/>
      <x:c r="R992" s="72"/>
      <x:c r="S992" s="72"/>
      <x:c r="T992" s="72"/>
      <x:c r="U992" s="72"/>
      <x:c r="V992" s="72"/>
      <x:c r="W992" s="72"/>
      <x:c r="X992" s="72"/>
      <x:c r="Y992" s="72"/>
      <x:c r="Z992" s="72"/>
      <x:c r="AA992" s="72"/>
      <x:c r="AB992" s="72"/>
      <x:c r="AC992" s="72"/>
      <x:c r="AD992" s="72"/>
      <x:c r="AE992" s="72"/>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4"/>
      <x:c r="DQ992" s="4"/>
      <x:c r="DR992" s="4"/>
      <x:c r="DS992" s="4"/>
      <x:c r="DT992" s="4"/>
      <x:c r="DU992" s="4"/>
      <x:c r="DV992" s="4"/>
      <x:c r="DW992" s="4"/>
      <x:c r="DX992" s="4"/>
      <x:c r="DY992" s="4"/>
      <x:c r="DZ992" s="4"/>
      <x:c r="EA992" s="4"/>
      <x:c r="EB992" s="4"/>
      <x:c r="EC992" s="4"/>
      <x:c r="ED992" s="4"/>
      <x:c r="EE992" s="4"/>
      <x:c r="EF992" s="4"/>
      <x:c r="EG992" s="4"/>
      <x:c r="EH992" s="4"/>
      <x:c r="EI992" s="4"/>
      <x:c r="EJ992" s="4"/>
      <x:c r="EK992" s="4"/>
      <x:c r="EL992" s="4"/>
      <x:c r="EM992" s="4"/>
      <x:c r="EN992" s="4"/>
      <x:c r="EO992" s="4"/>
      <x:c r="EP992" s="4"/>
      <x:c r="EQ992" s="4"/>
      <x:c r="ER992" s="4"/>
      <x:c r="ES992" s="4"/>
      <x:c r="ET992" s="4"/>
      <x:c r="EU992" s="4"/>
      <x:c r="EV992" s="4"/>
      <x:c r="EW992" s="4"/>
      <x:c r="EX992" s="4"/>
      <x:c r="EY992" s="4"/>
      <x:c r="EZ992" s="4"/>
      <x:c r="FA992" s="4"/>
      <x:c r="FB992" s="4"/>
      <x:c r="FC992" s="4"/>
      <x:c r="FD992" s="4"/>
      <x:c r="FE992" s="4"/>
      <x:c r="FF992" s="4"/>
      <x:c r="FG992" s="4"/>
      <x:c r="FH992" s="4"/>
      <x:c r="FI992" s="4"/>
      <x:c r="FJ992" s="4"/>
      <x:c r="FK992" s="4"/>
      <x:c r="FL992" s="4"/>
      <x:c r="FM992" s="4"/>
      <x:c r="FN992" s="4"/>
      <x:c r="FO992" s="4"/>
    </x:row>
    <x:row r="993">
      <x:c r="A993" s="72"/>
      <x:c r="B993" s="72"/>
      <x:c r="C993" s="72"/>
      <x:c r="D993" s="72"/>
      <x:c r="E993" s="72"/>
      <x:c r="F993" s="72"/>
      <x:c r="G993" s="72"/>
      <x:c r="H993" s="72"/>
      <x:c r="I993" s="72"/>
      <x:c r="J993" s="72"/>
      <x:c r="K993" s="72"/>
      <x:c r="L993" s="72"/>
      <x:c r="M993" s="72"/>
      <x:c r="N993" s="72"/>
      <x:c r="O993" s="72"/>
      <x:c r="P993" s="72"/>
      <x:c r="Q993" s="72"/>
      <x:c r="R993" s="72"/>
      <x:c r="S993" s="72"/>
      <x:c r="T993" s="72"/>
      <x:c r="U993" s="72"/>
      <x:c r="V993" s="72"/>
      <x:c r="W993" s="72"/>
      <x:c r="X993" s="72"/>
      <x:c r="Y993" s="72"/>
      <x:c r="Z993" s="72"/>
      <x:c r="AA993" s="72"/>
      <x:c r="AB993" s="72"/>
      <x:c r="AC993" s="72"/>
      <x:c r="AD993" s="72"/>
      <x:c r="AE993" s="72"/>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4"/>
      <x:c r="DQ993" s="4"/>
      <x:c r="DR993" s="4"/>
      <x:c r="DS993" s="4"/>
      <x:c r="DT993" s="4"/>
      <x:c r="DU993" s="4"/>
      <x:c r="DV993" s="4"/>
      <x:c r="DW993" s="4"/>
      <x:c r="DX993" s="4"/>
      <x:c r="DY993" s="4"/>
      <x:c r="DZ993" s="4"/>
      <x:c r="EA993" s="4"/>
      <x:c r="EB993" s="4"/>
      <x:c r="EC993" s="4"/>
      <x:c r="ED993" s="4"/>
      <x:c r="EE993" s="4"/>
      <x:c r="EF993" s="4"/>
      <x:c r="EG993" s="4"/>
      <x:c r="EH993" s="4"/>
      <x:c r="EI993" s="4"/>
      <x:c r="EJ993" s="4"/>
      <x:c r="EK993" s="4"/>
      <x:c r="EL993" s="4"/>
      <x:c r="EM993" s="4"/>
      <x:c r="EN993" s="4"/>
      <x:c r="EO993" s="4"/>
      <x:c r="EP993" s="4"/>
      <x:c r="EQ993" s="4"/>
      <x:c r="ER993" s="4"/>
      <x:c r="ES993" s="4"/>
      <x:c r="ET993" s="4"/>
      <x:c r="EU993" s="4"/>
      <x:c r="EV993" s="4"/>
      <x:c r="EW993" s="4"/>
      <x:c r="EX993" s="4"/>
      <x:c r="EY993" s="4"/>
      <x:c r="EZ993" s="4"/>
      <x:c r="FA993" s="4"/>
      <x:c r="FB993" s="4"/>
      <x:c r="FC993" s="4"/>
      <x:c r="FD993" s="4"/>
      <x:c r="FE993" s="4"/>
      <x:c r="FF993" s="4"/>
      <x:c r="FG993" s="4"/>
      <x:c r="FH993" s="4"/>
      <x:c r="FI993" s="4"/>
      <x:c r="FJ993" s="4"/>
      <x:c r="FK993" s="4"/>
      <x:c r="FL993" s="4"/>
      <x:c r="FM993" s="4"/>
      <x:c r="FN993" s="4"/>
      <x:c r="FO993" s="4"/>
    </x:row>
    <x:row r="994">
      <x:c r="A994" s="72"/>
      <x:c r="B994" s="72"/>
      <x:c r="C994" s="72"/>
      <x:c r="D994" s="72"/>
      <x:c r="E994" s="72"/>
      <x:c r="F994" s="72"/>
      <x:c r="G994" s="72"/>
      <x:c r="H994" s="72"/>
      <x:c r="I994" s="72"/>
      <x:c r="J994" s="72"/>
      <x:c r="K994" s="72"/>
      <x:c r="L994" s="72"/>
      <x:c r="M994" s="72"/>
      <x:c r="N994" s="72"/>
      <x:c r="O994" s="72"/>
      <x:c r="P994" s="72"/>
      <x:c r="Q994" s="72"/>
      <x:c r="R994" s="72"/>
      <x:c r="S994" s="72"/>
      <x:c r="T994" s="72"/>
      <x:c r="U994" s="72"/>
      <x:c r="V994" s="72"/>
      <x:c r="W994" s="72"/>
      <x:c r="X994" s="72"/>
      <x:c r="Y994" s="72"/>
      <x:c r="Z994" s="72"/>
      <x:c r="AA994" s="72"/>
      <x:c r="AB994" s="72"/>
      <x:c r="AC994" s="72"/>
      <x:c r="AD994" s="72"/>
      <x:c r="AE994" s="72"/>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4"/>
      <x:c r="DQ994" s="4"/>
      <x:c r="DR994" s="4"/>
      <x:c r="DS994" s="4"/>
      <x:c r="DT994" s="4"/>
      <x:c r="DU994" s="4"/>
      <x:c r="DV994" s="4"/>
      <x:c r="DW994" s="4"/>
      <x:c r="DX994" s="4"/>
      <x:c r="DY994" s="4"/>
      <x:c r="DZ994" s="4"/>
      <x:c r="EA994" s="4"/>
      <x:c r="EB994" s="4"/>
      <x:c r="EC994" s="4"/>
      <x:c r="ED994" s="4"/>
      <x:c r="EE994" s="4"/>
      <x:c r="EF994" s="4"/>
      <x:c r="EG994" s="4"/>
      <x:c r="EH994" s="4"/>
      <x:c r="EI994" s="4"/>
      <x:c r="EJ994" s="4"/>
      <x:c r="EK994" s="4"/>
      <x:c r="EL994" s="4"/>
      <x:c r="EM994" s="4"/>
      <x:c r="EN994" s="4"/>
      <x:c r="EO994" s="4"/>
      <x:c r="EP994" s="4"/>
      <x:c r="EQ994" s="4"/>
      <x:c r="ER994" s="4"/>
      <x:c r="ES994" s="4"/>
      <x:c r="ET994" s="4"/>
      <x:c r="EU994" s="4"/>
      <x:c r="EV994" s="4"/>
      <x:c r="EW994" s="4"/>
      <x:c r="EX994" s="4"/>
      <x:c r="EY994" s="4"/>
      <x:c r="EZ994" s="4"/>
      <x:c r="FA994" s="4"/>
      <x:c r="FB994" s="4"/>
      <x:c r="FC994" s="4"/>
      <x:c r="FD994" s="4"/>
      <x:c r="FE994" s="4"/>
      <x:c r="FF994" s="4"/>
      <x:c r="FG994" s="4"/>
      <x:c r="FH994" s="4"/>
      <x:c r="FI994" s="4"/>
      <x:c r="FJ994" s="4"/>
      <x:c r="FK994" s="4"/>
      <x:c r="FL994" s="4"/>
      <x:c r="FM994" s="4"/>
      <x:c r="FN994" s="4"/>
      <x:c r="FO994" s="4"/>
    </x:row>
    <x:row r="995">
      <x:c r="A995" s="72"/>
      <x:c r="B995" s="72"/>
      <x:c r="C995" s="72"/>
      <x:c r="D995" s="72"/>
      <x:c r="E995" s="72"/>
      <x:c r="F995" s="72"/>
      <x:c r="G995" s="72"/>
      <x:c r="H995" s="72"/>
      <x:c r="I995" s="72"/>
      <x:c r="J995" s="72"/>
      <x:c r="K995" s="72"/>
      <x:c r="L995" s="72"/>
      <x:c r="M995" s="72"/>
      <x:c r="N995" s="72"/>
      <x:c r="O995" s="72"/>
      <x:c r="P995" s="72"/>
      <x:c r="Q995" s="72"/>
      <x:c r="R995" s="72"/>
      <x:c r="S995" s="72"/>
      <x:c r="T995" s="72"/>
      <x:c r="U995" s="72"/>
      <x:c r="V995" s="72"/>
      <x:c r="W995" s="72"/>
      <x:c r="X995" s="72"/>
      <x:c r="Y995" s="72"/>
      <x:c r="Z995" s="72"/>
      <x:c r="AA995" s="72"/>
      <x:c r="AB995" s="72"/>
      <x:c r="AC995" s="72"/>
      <x:c r="AD995" s="72"/>
      <x:c r="AE995" s="72"/>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4"/>
      <x:c r="DQ995" s="4"/>
      <x:c r="DR995" s="4"/>
      <x:c r="DS995" s="4"/>
      <x:c r="DT995" s="4"/>
      <x:c r="DU995" s="4"/>
      <x:c r="DV995" s="4"/>
      <x:c r="DW995" s="4"/>
      <x:c r="DX995" s="4"/>
      <x:c r="DY995" s="4"/>
      <x:c r="DZ995" s="4"/>
      <x:c r="EA995" s="4"/>
      <x:c r="EB995" s="4"/>
      <x:c r="EC995" s="4"/>
      <x:c r="ED995" s="4"/>
      <x:c r="EE995" s="4"/>
      <x:c r="EF995" s="4"/>
      <x:c r="EG995" s="4"/>
      <x:c r="EH995" s="4"/>
      <x:c r="EI995" s="4"/>
      <x:c r="EJ995" s="4"/>
      <x:c r="EK995" s="4"/>
      <x:c r="EL995" s="4"/>
      <x:c r="EM995" s="4"/>
      <x:c r="EN995" s="4"/>
      <x:c r="EO995" s="4"/>
      <x:c r="EP995" s="4"/>
      <x:c r="EQ995" s="4"/>
      <x:c r="ER995" s="4"/>
      <x:c r="ES995" s="4"/>
      <x:c r="ET995" s="4"/>
      <x:c r="EU995" s="4"/>
      <x:c r="EV995" s="4"/>
      <x:c r="EW995" s="4"/>
      <x:c r="EX995" s="4"/>
      <x:c r="EY995" s="4"/>
      <x:c r="EZ995" s="4"/>
      <x:c r="FA995" s="4"/>
      <x:c r="FB995" s="4"/>
      <x:c r="FC995" s="4"/>
      <x:c r="FD995" s="4"/>
      <x:c r="FE995" s="4"/>
      <x:c r="FF995" s="4"/>
      <x:c r="FG995" s="4"/>
      <x:c r="FH995" s="4"/>
      <x:c r="FI995" s="4"/>
      <x:c r="FJ995" s="4"/>
      <x:c r="FK995" s="4"/>
      <x:c r="FL995" s="4"/>
      <x:c r="FM995" s="4"/>
      <x:c r="FN995" s="4"/>
      <x:c r="FO995" s="4"/>
    </x:row>
    <x:row r="996">
      <x:c r="A996" s="72"/>
      <x:c r="B996" s="72"/>
      <x:c r="C996" s="72"/>
      <x:c r="D996" s="72"/>
      <x:c r="E996" s="72"/>
      <x:c r="F996" s="72"/>
      <x:c r="G996" s="72"/>
      <x:c r="H996" s="72"/>
      <x:c r="I996" s="72"/>
      <x:c r="J996" s="72"/>
      <x:c r="K996" s="72"/>
      <x:c r="L996" s="72"/>
      <x:c r="M996" s="72"/>
      <x:c r="N996" s="72"/>
      <x:c r="O996" s="72"/>
      <x:c r="P996" s="72"/>
      <x:c r="Q996" s="72"/>
      <x:c r="R996" s="72"/>
      <x:c r="S996" s="72"/>
      <x:c r="T996" s="72"/>
      <x:c r="U996" s="72"/>
      <x:c r="V996" s="72"/>
      <x:c r="W996" s="72"/>
      <x:c r="X996" s="72"/>
      <x:c r="Y996" s="72"/>
      <x:c r="Z996" s="72"/>
      <x:c r="AA996" s="72"/>
      <x:c r="AB996" s="72"/>
      <x:c r="AC996" s="72"/>
      <x:c r="AD996" s="72"/>
      <x:c r="AE996" s="72"/>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4"/>
      <x:c r="DQ996" s="4"/>
      <x:c r="DR996" s="4"/>
      <x:c r="DS996" s="4"/>
      <x:c r="DT996" s="4"/>
      <x:c r="DU996" s="4"/>
      <x:c r="DV996" s="4"/>
      <x:c r="DW996" s="4"/>
      <x:c r="DX996" s="4"/>
      <x:c r="DY996" s="4"/>
      <x:c r="DZ996" s="4"/>
      <x:c r="EA996" s="4"/>
      <x:c r="EB996" s="4"/>
      <x:c r="EC996" s="4"/>
      <x:c r="ED996" s="4"/>
      <x:c r="EE996" s="4"/>
      <x:c r="EF996" s="4"/>
      <x:c r="EG996" s="4"/>
      <x:c r="EH996" s="4"/>
      <x:c r="EI996" s="4"/>
      <x:c r="EJ996" s="4"/>
      <x:c r="EK996" s="4"/>
      <x:c r="EL996" s="4"/>
      <x:c r="EM996" s="4"/>
      <x:c r="EN996" s="4"/>
      <x:c r="EO996" s="4"/>
      <x:c r="EP996" s="4"/>
      <x:c r="EQ996" s="4"/>
      <x:c r="ER996" s="4"/>
      <x:c r="ES996" s="4"/>
      <x:c r="ET996" s="4"/>
      <x:c r="EU996" s="4"/>
      <x:c r="EV996" s="4"/>
      <x:c r="EW996" s="4"/>
      <x:c r="EX996" s="4"/>
      <x:c r="EY996" s="4"/>
      <x:c r="EZ996" s="4"/>
      <x:c r="FA996" s="4"/>
      <x:c r="FB996" s="4"/>
      <x:c r="FC996" s="4"/>
      <x:c r="FD996" s="4"/>
      <x:c r="FE996" s="4"/>
      <x:c r="FF996" s="4"/>
      <x:c r="FG996" s="4"/>
      <x:c r="FH996" s="4"/>
      <x:c r="FI996" s="4"/>
      <x:c r="FJ996" s="4"/>
      <x:c r="FK996" s="4"/>
      <x:c r="FL996" s="4"/>
      <x:c r="FM996" s="4"/>
      <x:c r="FN996" s="4"/>
      <x:c r="FO996" s="4"/>
    </x:row>
    <x:row r="997">
      <x:c r="A997" s="72"/>
      <x:c r="B997" s="72"/>
      <x:c r="C997" s="72"/>
      <x:c r="D997" s="72"/>
      <x:c r="E997" s="72"/>
      <x:c r="F997" s="72"/>
      <x:c r="G997" s="72"/>
      <x:c r="H997" s="72"/>
      <x:c r="I997" s="72"/>
      <x:c r="J997" s="72"/>
      <x:c r="K997" s="72"/>
      <x:c r="L997" s="72"/>
      <x:c r="M997" s="72"/>
      <x:c r="N997" s="72"/>
      <x:c r="O997" s="72"/>
      <x:c r="P997" s="72"/>
      <x:c r="Q997" s="72"/>
      <x:c r="R997" s="72"/>
      <x:c r="S997" s="72"/>
      <x:c r="T997" s="72"/>
      <x:c r="U997" s="72"/>
      <x:c r="V997" s="72"/>
      <x:c r="W997" s="72"/>
      <x:c r="X997" s="72"/>
      <x:c r="Y997" s="72"/>
      <x:c r="Z997" s="72"/>
      <x:c r="AA997" s="72"/>
      <x:c r="AB997" s="72"/>
      <x:c r="AC997" s="72"/>
      <x:c r="AD997" s="72"/>
      <x:c r="AE997" s="72"/>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4"/>
      <x:c r="DQ997" s="4"/>
      <x:c r="DR997" s="4"/>
      <x:c r="DS997" s="4"/>
      <x:c r="DT997" s="4"/>
      <x:c r="DU997" s="4"/>
      <x:c r="DV997" s="4"/>
      <x:c r="DW997" s="4"/>
      <x:c r="DX997" s="4"/>
      <x:c r="DY997" s="4"/>
      <x:c r="DZ997" s="4"/>
      <x:c r="EA997" s="4"/>
      <x:c r="EB997" s="4"/>
      <x:c r="EC997" s="4"/>
      <x:c r="ED997" s="4"/>
      <x:c r="EE997" s="4"/>
      <x:c r="EF997" s="4"/>
      <x:c r="EG997" s="4"/>
      <x:c r="EH997" s="4"/>
      <x:c r="EI997" s="4"/>
      <x:c r="EJ997" s="4"/>
      <x:c r="EK997" s="4"/>
      <x:c r="EL997" s="4"/>
      <x:c r="EM997" s="4"/>
      <x:c r="EN997" s="4"/>
      <x:c r="EO997" s="4"/>
      <x:c r="EP997" s="4"/>
      <x:c r="EQ997" s="4"/>
      <x:c r="ER997" s="4"/>
      <x:c r="ES997" s="4"/>
      <x:c r="ET997" s="4"/>
      <x:c r="EU997" s="4"/>
      <x:c r="EV997" s="4"/>
      <x:c r="EW997" s="4"/>
      <x:c r="EX997" s="4"/>
      <x:c r="EY997" s="4"/>
      <x:c r="EZ997" s="4"/>
      <x:c r="FA997" s="4"/>
      <x:c r="FB997" s="4"/>
      <x:c r="FC997" s="4"/>
      <x:c r="FD997" s="4"/>
      <x:c r="FE997" s="4"/>
      <x:c r="FF997" s="4"/>
      <x:c r="FG997" s="4"/>
      <x:c r="FH997" s="4"/>
      <x:c r="FI997" s="4"/>
      <x:c r="FJ997" s="4"/>
      <x:c r="FK997" s="4"/>
      <x:c r="FL997" s="4"/>
      <x:c r="FM997" s="4"/>
      <x:c r="FN997" s="4"/>
      <x:c r="FO997" s="4"/>
    </x:row>
    <x:row r="998">
      <x:c r="A998" s="72"/>
      <x:c r="B998" s="72"/>
      <x:c r="C998" s="72"/>
      <x:c r="D998" s="72"/>
      <x:c r="E998" s="72"/>
      <x:c r="F998" s="72"/>
      <x:c r="G998" s="72"/>
      <x:c r="H998" s="72"/>
      <x:c r="I998" s="72"/>
      <x:c r="J998" s="72"/>
      <x:c r="K998" s="72"/>
      <x:c r="L998" s="72"/>
      <x:c r="M998" s="72"/>
      <x:c r="N998" s="72"/>
      <x:c r="O998" s="72"/>
      <x:c r="P998" s="72"/>
      <x:c r="Q998" s="72"/>
      <x:c r="R998" s="72"/>
      <x:c r="S998" s="72"/>
      <x:c r="T998" s="72"/>
      <x:c r="U998" s="72"/>
      <x:c r="V998" s="72"/>
      <x:c r="W998" s="72"/>
      <x:c r="X998" s="72"/>
      <x:c r="Y998" s="72"/>
      <x:c r="Z998" s="72"/>
      <x:c r="AA998" s="72"/>
      <x:c r="AB998" s="72"/>
      <x:c r="AC998" s="72"/>
      <x:c r="AD998" s="72"/>
      <x:c r="AE998" s="72"/>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4"/>
      <x:c r="DQ998" s="4"/>
      <x:c r="DR998" s="4"/>
      <x:c r="DS998" s="4"/>
      <x:c r="DT998" s="4"/>
      <x:c r="DU998" s="4"/>
      <x:c r="DV998" s="4"/>
      <x:c r="DW998" s="4"/>
      <x:c r="DX998" s="4"/>
      <x:c r="DY998" s="4"/>
      <x:c r="DZ998" s="4"/>
      <x:c r="EA998" s="4"/>
      <x:c r="EB998" s="4"/>
      <x:c r="EC998" s="4"/>
      <x:c r="ED998" s="4"/>
      <x:c r="EE998" s="4"/>
      <x:c r="EF998" s="4"/>
      <x:c r="EG998" s="4"/>
      <x:c r="EH998" s="4"/>
      <x:c r="EI998" s="4"/>
      <x:c r="EJ998" s="4"/>
      <x:c r="EK998" s="4"/>
      <x:c r="EL998" s="4"/>
      <x:c r="EM998" s="4"/>
      <x:c r="EN998" s="4"/>
      <x:c r="EO998" s="4"/>
      <x:c r="EP998" s="4"/>
      <x:c r="EQ998" s="4"/>
      <x:c r="ER998" s="4"/>
      <x:c r="ES998" s="4"/>
      <x:c r="ET998" s="4"/>
      <x:c r="EU998" s="4"/>
      <x:c r="EV998" s="4"/>
      <x:c r="EW998" s="4"/>
      <x:c r="EX998" s="4"/>
      <x:c r="EY998" s="4"/>
      <x:c r="EZ998" s="4"/>
      <x:c r="FA998" s="4"/>
      <x:c r="FB998" s="4"/>
      <x:c r="FC998" s="4"/>
      <x:c r="FD998" s="4"/>
      <x:c r="FE998" s="4"/>
      <x:c r="FF998" s="4"/>
      <x:c r="FG998" s="4"/>
      <x:c r="FH998" s="4"/>
      <x:c r="FI998" s="4"/>
      <x:c r="FJ998" s="4"/>
      <x:c r="FK998" s="4"/>
      <x:c r="FL998" s="4"/>
      <x:c r="FM998" s="4"/>
      <x:c r="FN998" s="4"/>
      <x:c r="FO998" s="4"/>
    </x:row>
    <x:row r="999">
      <x:c r="A999" s="72"/>
      <x:c r="B999" s="72"/>
      <x:c r="C999" s="72"/>
      <x:c r="D999" s="72"/>
      <x:c r="E999" s="72"/>
      <x:c r="F999" s="72"/>
      <x:c r="G999" s="72"/>
      <x:c r="H999" s="72"/>
      <x:c r="I999" s="72"/>
      <x:c r="J999" s="72"/>
      <x:c r="K999" s="72"/>
      <x:c r="L999" s="72"/>
      <x:c r="M999" s="72"/>
      <x:c r="N999" s="72"/>
      <x:c r="O999" s="72"/>
      <x:c r="P999" s="72"/>
      <x:c r="Q999" s="72"/>
      <x:c r="R999" s="72"/>
      <x:c r="S999" s="72"/>
      <x:c r="T999" s="72"/>
      <x:c r="U999" s="72"/>
      <x:c r="V999" s="72"/>
      <x:c r="W999" s="72"/>
      <x:c r="X999" s="72"/>
      <x:c r="Y999" s="72"/>
      <x:c r="Z999" s="72"/>
      <x:c r="AA999" s="72"/>
      <x:c r="AB999" s="72"/>
      <x:c r="AC999" s="72"/>
      <x:c r="AD999" s="72"/>
      <x:c r="AE999" s="72"/>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4"/>
      <x:c r="DQ999" s="4"/>
      <x:c r="DR999" s="4"/>
      <x:c r="DS999" s="4"/>
      <x:c r="DT999" s="4"/>
      <x:c r="DU999" s="4"/>
      <x:c r="DV999" s="4"/>
      <x:c r="DW999" s="4"/>
      <x:c r="DX999" s="4"/>
      <x:c r="DY999" s="4"/>
      <x:c r="DZ999" s="4"/>
      <x:c r="EA999" s="4"/>
      <x:c r="EB999" s="4"/>
      <x:c r="EC999" s="4"/>
      <x:c r="ED999" s="4"/>
      <x:c r="EE999" s="4"/>
      <x:c r="EF999" s="4"/>
      <x:c r="EG999" s="4"/>
      <x:c r="EH999" s="4"/>
      <x:c r="EI999" s="4"/>
      <x:c r="EJ999" s="4"/>
      <x:c r="EK999" s="4"/>
      <x:c r="EL999" s="4"/>
      <x:c r="EM999" s="4"/>
      <x:c r="EN999" s="4"/>
      <x:c r="EO999" s="4"/>
      <x:c r="EP999" s="4"/>
      <x:c r="EQ999" s="4"/>
      <x:c r="ER999" s="4"/>
      <x:c r="ES999" s="4"/>
      <x:c r="ET999" s="4"/>
      <x:c r="EU999" s="4"/>
      <x:c r="EV999" s="4"/>
      <x:c r="EW999" s="4"/>
      <x:c r="EX999" s="4"/>
      <x:c r="EY999" s="4"/>
      <x:c r="EZ999" s="4"/>
      <x:c r="FA999" s="4"/>
      <x:c r="FB999" s="4"/>
      <x:c r="FC999" s="4"/>
      <x:c r="FD999" s="4"/>
      <x:c r="FE999" s="4"/>
      <x:c r="FF999" s="4"/>
      <x:c r="FG999" s="4"/>
      <x:c r="FH999" s="4"/>
      <x:c r="FI999" s="4"/>
      <x:c r="FJ999" s="4"/>
      <x:c r="FK999" s="4"/>
      <x:c r="FL999" s="4"/>
      <x:c r="FM999" s="4"/>
      <x:c r="FN999" s="4"/>
      <x:c r="FO999" s="4"/>
    </x:row>
    <x:row r="1000">
      <x:c r="A1000" s="72"/>
      <x:c r="B1000" s="72"/>
      <x:c r="C1000" s="72"/>
      <x:c r="D1000" s="72"/>
      <x:c r="E1000" s="72"/>
      <x:c r="F1000" s="72"/>
      <x:c r="G1000" s="72"/>
      <x:c r="H1000" s="72"/>
      <x:c r="I1000" s="72"/>
      <x:c r="J1000" s="72"/>
      <x:c r="K1000" s="72"/>
      <x:c r="L1000" s="72"/>
      <x:c r="M1000" s="72"/>
      <x:c r="N1000" s="72"/>
      <x:c r="O1000" s="72"/>
      <x:c r="P1000" s="72"/>
      <x:c r="Q1000" s="72"/>
      <x:c r="R1000" s="72"/>
      <x:c r="S1000" s="72"/>
      <x:c r="T1000" s="72"/>
      <x:c r="U1000" s="72"/>
      <x:c r="V1000" s="72"/>
      <x:c r="W1000" s="72"/>
      <x:c r="X1000" s="72"/>
      <x:c r="Y1000" s="72"/>
      <x:c r="Z1000" s="72"/>
      <x:c r="AA1000" s="72"/>
      <x:c r="AB1000" s="72"/>
      <x:c r="AC1000" s="72"/>
      <x:c r="AD1000" s="72"/>
      <x:c r="AE1000" s="72"/>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4"/>
      <x:c r="DQ1000" s="4"/>
      <x:c r="DR1000" s="4"/>
      <x:c r="DS1000" s="4"/>
      <x:c r="DT1000" s="4"/>
      <x:c r="DU1000" s="4"/>
      <x:c r="DV1000" s="4"/>
      <x:c r="DW1000" s="4"/>
      <x:c r="DX1000" s="4"/>
      <x:c r="DY1000" s="4"/>
      <x:c r="DZ1000" s="4"/>
      <x:c r="EA1000" s="4"/>
      <x:c r="EB1000" s="4"/>
      <x:c r="EC1000" s="4"/>
      <x:c r="ED1000" s="4"/>
      <x:c r="EE1000" s="4"/>
      <x:c r="EF1000" s="4"/>
      <x:c r="EG1000" s="4"/>
      <x:c r="EH1000" s="4"/>
      <x:c r="EI1000" s="4"/>
      <x:c r="EJ1000" s="4"/>
      <x:c r="EK1000" s="4"/>
      <x:c r="EL1000" s="4"/>
      <x:c r="EM1000" s="4"/>
      <x:c r="EN1000" s="4"/>
      <x:c r="EO1000" s="4"/>
      <x:c r="EP1000" s="4"/>
      <x:c r="EQ1000" s="4"/>
      <x:c r="ER1000" s="4"/>
      <x:c r="ES1000" s="4"/>
      <x:c r="ET1000" s="4"/>
      <x:c r="EU1000" s="4"/>
      <x:c r="EV1000" s="4"/>
      <x:c r="EW1000" s="4"/>
      <x:c r="EX1000" s="4"/>
      <x:c r="EY1000" s="4"/>
      <x:c r="EZ1000" s="4"/>
      <x:c r="FA1000" s="4"/>
      <x:c r="FB1000" s="4"/>
      <x:c r="FC1000" s="4"/>
      <x:c r="FD1000" s="4"/>
      <x:c r="FE1000" s="4"/>
      <x:c r="FF1000" s="4"/>
      <x:c r="FG1000" s="4"/>
      <x:c r="FH1000" s="4"/>
      <x:c r="FI1000" s="4"/>
      <x:c r="FJ1000" s="4"/>
      <x:c r="FK1000" s="4"/>
      <x:c r="FL1000" s="4"/>
      <x:c r="FM1000" s="4"/>
      <x:c r="FN1000" s="4"/>
      <x:c r="FO1000" s="4"/>
    </x:row>
    <x:row r="1001">
      <x:c r="A1001" s="72"/>
      <x:c r="B1001" s="72"/>
      <x:c r="C1001" s="72"/>
      <x:c r="D1001" s="72"/>
      <x:c r="E1001" s="72"/>
      <x:c r="F1001" s="72"/>
      <x:c r="G1001" s="72"/>
      <x:c r="H1001" s="72"/>
      <x:c r="I1001" s="72"/>
      <x:c r="J1001" s="72"/>
      <x:c r="K1001" s="72"/>
      <x:c r="L1001" s="72"/>
      <x:c r="M1001" s="72"/>
      <x:c r="N1001" s="72"/>
      <x:c r="O1001" s="72"/>
      <x:c r="P1001" s="72"/>
      <x:c r="Q1001" s="72"/>
      <x:c r="R1001" s="72"/>
      <x:c r="S1001" s="72"/>
      <x:c r="T1001" s="72"/>
      <x:c r="U1001" s="72"/>
      <x:c r="V1001" s="72"/>
      <x:c r="W1001" s="72"/>
      <x:c r="X1001" s="72"/>
      <x:c r="Y1001" s="72"/>
      <x:c r="Z1001" s="72"/>
      <x:c r="AA1001" s="72"/>
      <x:c r="AB1001" s="72"/>
      <x:c r="AC1001" s="72"/>
      <x:c r="AD1001" s="72"/>
      <x:c r="AE1001" s="72"/>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4"/>
      <x:c r="DQ1001" s="4"/>
      <x:c r="DR1001" s="4"/>
      <x:c r="DS1001" s="4"/>
      <x:c r="DT1001" s="4"/>
      <x:c r="DU1001" s="4"/>
      <x:c r="DV1001" s="4"/>
      <x:c r="DW1001" s="4"/>
      <x:c r="DX1001" s="4"/>
      <x:c r="DY1001" s="4"/>
      <x:c r="DZ1001" s="4"/>
      <x:c r="EA1001" s="4"/>
      <x:c r="EB1001" s="4"/>
      <x:c r="EC1001" s="4"/>
      <x:c r="ED1001" s="4"/>
      <x:c r="EE1001" s="4"/>
      <x:c r="EF1001" s="4"/>
      <x:c r="EG1001" s="4"/>
      <x:c r="EH1001" s="4"/>
      <x:c r="EI1001" s="4"/>
      <x:c r="EJ1001" s="4"/>
      <x:c r="EK1001" s="4"/>
      <x:c r="EL1001" s="4"/>
      <x:c r="EM1001" s="4"/>
      <x:c r="EN1001" s="4"/>
      <x:c r="EO1001" s="4"/>
      <x:c r="EP1001" s="4"/>
      <x:c r="EQ1001" s="4"/>
      <x:c r="ER1001" s="4"/>
      <x:c r="ES1001" s="4"/>
      <x:c r="ET1001" s="4"/>
      <x:c r="EU1001" s="4"/>
      <x:c r="EV1001" s="4"/>
      <x:c r="EW1001" s="4"/>
      <x:c r="EX1001" s="4"/>
      <x:c r="EY1001" s="4"/>
      <x:c r="EZ1001" s="4"/>
      <x:c r="FA1001" s="4"/>
      <x:c r="FB1001" s="4"/>
      <x:c r="FC1001" s="4"/>
      <x:c r="FD1001" s="4"/>
      <x:c r="FE1001" s="4"/>
      <x:c r="FF1001" s="4"/>
      <x:c r="FG1001" s="4"/>
      <x:c r="FH1001" s="4"/>
      <x:c r="FI1001" s="4"/>
      <x:c r="FJ1001" s="4"/>
      <x:c r="FK1001" s="4"/>
      <x:c r="FL1001" s="4"/>
      <x:c r="FM1001" s="4"/>
      <x:c r="FN1001" s="4"/>
      <x:c r="FO1001" s="4"/>
    </x:row>
    <x:row r="1002">
      <x:c r="A1002" s="72"/>
      <x:c r="B1002" s="72"/>
      <x:c r="C1002" s="72"/>
      <x:c r="D1002" s="72"/>
      <x:c r="E1002" s="72"/>
      <x:c r="F1002" s="72"/>
      <x:c r="G1002" s="72"/>
      <x:c r="H1002" s="72"/>
      <x:c r="I1002" s="72"/>
      <x:c r="J1002" s="72"/>
      <x:c r="K1002" s="72"/>
      <x:c r="L1002" s="72"/>
      <x:c r="M1002" s="72"/>
      <x:c r="N1002" s="72"/>
      <x:c r="O1002" s="72"/>
      <x:c r="P1002" s="72"/>
      <x:c r="Q1002" s="72"/>
      <x:c r="R1002" s="72"/>
      <x:c r="S1002" s="72"/>
      <x:c r="T1002" s="72"/>
      <x:c r="U1002" s="72"/>
      <x:c r="V1002" s="72"/>
      <x:c r="W1002" s="72"/>
      <x:c r="X1002" s="72"/>
      <x:c r="Y1002" s="72"/>
      <x:c r="Z1002" s="72"/>
      <x:c r="AA1002" s="72"/>
      <x:c r="AB1002" s="72"/>
      <x:c r="AC1002" s="72"/>
      <x:c r="AD1002" s="72"/>
      <x:c r="AE1002" s="72"/>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4"/>
      <x:c r="DQ1002" s="4"/>
      <x:c r="DR1002" s="4"/>
      <x:c r="DS1002" s="4"/>
      <x:c r="DT1002" s="4"/>
      <x:c r="DU1002" s="4"/>
      <x:c r="DV1002" s="4"/>
      <x:c r="DW1002" s="4"/>
      <x:c r="DX1002" s="4"/>
      <x:c r="DY1002" s="4"/>
      <x:c r="DZ1002" s="4"/>
      <x:c r="EA1002" s="4"/>
      <x:c r="EB1002" s="4"/>
      <x:c r="EC1002" s="4"/>
      <x:c r="ED1002" s="4"/>
      <x:c r="EE1002" s="4"/>
      <x:c r="EF1002" s="4"/>
      <x:c r="EG1002" s="4"/>
      <x:c r="EH1002" s="4"/>
      <x:c r="EI1002" s="4"/>
      <x:c r="EJ1002" s="4"/>
      <x:c r="EK1002" s="4"/>
      <x:c r="EL1002" s="4"/>
      <x:c r="EM1002" s="4"/>
      <x:c r="EN1002" s="4"/>
      <x:c r="EO1002" s="4"/>
      <x:c r="EP1002" s="4"/>
      <x:c r="EQ1002" s="4"/>
      <x:c r="ER1002" s="4"/>
      <x:c r="ES1002" s="4"/>
      <x:c r="ET1002" s="4"/>
      <x:c r="EU1002" s="4"/>
      <x:c r="EV1002" s="4"/>
      <x:c r="EW1002" s="4"/>
      <x:c r="EX1002" s="4"/>
      <x:c r="EY1002" s="4"/>
      <x:c r="EZ1002" s="4"/>
      <x:c r="FA1002" s="4"/>
      <x:c r="FB1002" s="4"/>
      <x:c r="FC1002" s="4"/>
      <x:c r="FD1002" s="4"/>
      <x:c r="FE1002" s="4"/>
      <x:c r="FF1002" s="4"/>
      <x:c r="FG1002" s="4"/>
      <x:c r="FH1002" s="4"/>
      <x:c r="FI1002" s="4"/>
      <x:c r="FJ1002" s="4"/>
      <x:c r="FK1002" s="4"/>
      <x:c r="FL1002" s="4"/>
      <x:c r="FM1002" s="4"/>
      <x:c r="FN1002" s="4"/>
      <x:c r="FO1002" s="4"/>
    </x:row>
    <x:row r="1003">
      <x:c r="A1003" s="72"/>
      <x:c r="B1003" s="72"/>
      <x:c r="C1003" s="72"/>
      <x:c r="D1003" s="72"/>
      <x:c r="E1003" s="72"/>
      <x:c r="F1003" s="72"/>
      <x:c r="G1003" s="72"/>
      <x:c r="H1003" s="72"/>
      <x:c r="I1003" s="72"/>
      <x:c r="J1003" s="72"/>
      <x:c r="K1003" s="72"/>
      <x:c r="L1003" s="72"/>
      <x:c r="M1003" s="72"/>
      <x:c r="N1003" s="72"/>
      <x:c r="O1003" s="72"/>
      <x:c r="P1003" s="72"/>
      <x:c r="Q1003" s="72"/>
      <x:c r="R1003" s="72"/>
      <x:c r="S1003" s="72"/>
      <x:c r="T1003" s="72"/>
      <x:c r="U1003" s="72"/>
      <x:c r="V1003" s="72"/>
      <x:c r="W1003" s="72"/>
      <x:c r="X1003" s="72"/>
      <x:c r="Y1003" s="72"/>
      <x:c r="Z1003" s="72"/>
      <x:c r="AA1003" s="72"/>
      <x:c r="AB1003" s="72"/>
      <x:c r="AC1003" s="72"/>
      <x:c r="AD1003" s="72"/>
      <x:c r="AE1003" s="72"/>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4"/>
      <x:c r="DQ1003" s="4"/>
      <x:c r="DR1003" s="4"/>
      <x:c r="DS1003" s="4"/>
      <x:c r="DT1003" s="4"/>
      <x:c r="DU1003" s="4"/>
      <x:c r="DV1003" s="4"/>
      <x:c r="DW1003" s="4"/>
      <x:c r="DX1003" s="4"/>
      <x:c r="DY1003" s="4"/>
      <x:c r="DZ1003" s="4"/>
      <x:c r="EA1003" s="4"/>
      <x:c r="EB1003" s="4"/>
      <x:c r="EC1003" s="4"/>
      <x:c r="ED1003" s="4"/>
      <x:c r="EE1003" s="4"/>
      <x:c r="EF1003" s="4"/>
      <x:c r="EG1003" s="4"/>
      <x:c r="EH1003" s="4"/>
      <x:c r="EI1003" s="4"/>
      <x:c r="EJ1003" s="4"/>
      <x:c r="EK1003" s="4"/>
      <x:c r="EL1003" s="4"/>
      <x:c r="EM1003" s="4"/>
      <x:c r="EN1003" s="4"/>
      <x:c r="EO1003" s="4"/>
      <x:c r="EP1003" s="4"/>
      <x:c r="EQ1003" s="4"/>
      <x:c r="ER1003" s="4"/>
      <x:c r="ES1003" s="4"/>
      <x:c r="ET1003" s="4"/>
      <x:c r="EU1003" s="4"/>
      <x:c r="EV1003" s="4"/>
      <x:c r="EW1003" s="4"/>
      <x:c r="EX1003" s="4"/>
      <x:c r="EY1003" s="4"/>
      <x:c r="EZ1003" s="4"/>
      <x:c r="FA1003" s="4"/>
      <x:c r="FB1003" s="4"/>
      <x:c r="FC1003" s="4"/>
      <x:c r="FD1003" s="4"/>
      <x:c r="FE1003" s="4"/>
      <x:c r="FF1003" s="4"/>
      <x:c r="FG1003" s="4"/>
      <x:c r="FH1003" s="4"/>
      <x:c r="FI1003" s="4"/>
      <x:c r="FJ1003" s="4"/>
      <x:c r="FK1003" s="4"/>
      <x:c r="FL1003" s="4"/>
      <x:c r="FM1003" s="4"/>
      <x:c r="FN1003" s="4"/>
      <x:c r="FO1003" s="4"/>
    </x:row>
    <x:row r="1004">
      <x:c r="A1004" s="72"/>
      <x:c r="B1004" s="72"/>
      <x:c r="C1004" s="72"/>
      <x:c r="D1004" s="72"/>
      <x:c r="E1004" s="72"/>
      <x:c r="F1004" s="72"/>
      <x:c r="G1004" s="72"/>
      <x:c r="H1004" s="72"/>
      <x:c r="I1004" s="72"/>
      <x:c r="J1004" s="72"/>
      <x:c r="K1004" s="72"/>
      <x:c r="L1004" s="72"/>
      <x:c r="M1004" s="72"/>
      <x:c r="N1004" s="72"/>
      <x:c r="O1004" s="72"/>
      <x:c r="P1004" s="72"/>
      <x:c r="Q1004" s="72"/>
      <x:c r="R1004" s="72"/>
      <x:c r="S1004" s="72"/>
      <x:c r="T1004" s="72"/>
      <x:c r="U1004" s="72"/>
      <x:c r="V1004" s="72"/>
      <x:c r="W1004" s="72"/>
      <x:c r="X1004" s="72"/>
      <x:c r="Y1004" s="72"/>
      <x:c r="Z1004" s="72"/>
      <x:c r="AA1004" s="72"/>
      <x:c r="AB1004" s="72"/>
      <x:c r="AC1004" s="72"/>
      <x:c r="AD1004" s="72"/>
      <x:c r="AE1004" s="72"/>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4"/>
      <x:c r="DQ1004" s="4"/>
      <x:c r="DR1004" s="4"/>
      <x:c r="DS1004" s="4"/>
      <x:c r="DT1004" s="4"/>
      <x:c r="DU1004" s="4"/>
      <x:c r="DV1004" s="4"/>
      <x:c r="DW1004" s="4"/>
      <x:c r="DX1004" s="4"/>
      <x:c r="DY1004" s="4"/>
      <x:c r="DZ1004" s="4"/>
      <x:c r="EA1004" s="4"/>
      <x:c r="EB1004" s="4"/>
      <x:c r="EC1004" s="4"/>
      <x:c r="ED1004" s="4"/>
      <x:c r="EE1004" s="4"/>
      <x:c r="EF1004" s="4"/>
      <x:c r="EG1004" s="4"/>
      <x:c r="EH1004" s="4"/>
      <x:c r="EI1004" s="4"/>
      <x:c r="EJ1004" s="4"/>
      <x:c r="EK1004" s="4"/>
      <x:c r="EL1004" s="4"/>
      <x:c r="EM1004" s="4"/>
      <x:c r="EN1004" s="4"/>
      <x:c r="EO1004" s="4"/>
      <x:c r="EP1004" s="4"/>
      <x:c r="EQ1004" s="4"/>
      <x:c r="ER1004" s="4"/>
      <x:c r="ES1004" s="4"/>
      <x:c r="ET1004" s="4"/>
      <x:c r="EU1004" s="4"/>
      <x:c r="EV1004" s="4"/>
      <x:c r="EW1004" s="4"/>
      <x:c r="EX1004" s="4"/>
      <x:c r="EY1004" s="4"/>
      <x:c r="EZ1004" s="4"/>
      <x:c r="FA1004" s="4"/>
      <x:c r="FB1004" s="4"/>
      <x:c r="FC1004" s="4"/>
      <x:c r="FD1004" s="4"/>
      <x:c r="FE1004" s="4"/>
      <x:c r="FF1004" s="4"/>
      <x:c r="FG1004" s="4"/>
      <x:c r="FH1004" s="4"/>
      <x:c r="FI1004" s="4"/>
      <x:c r="FJ1004" s="4"/>
      <x:c r="FK1004" s="4"/>
      <x:c r="FL1004" s="4"/>
      <x:c r="FM1004" s="4"/>
      <x:c r="FN1004" s="4"/>
      <x:c r="FO1004" s="4"/>
    </x:row>
    <x:row r="1005">
      <x:c r="A1005" s="72"/>
      <x:c r="B1005" s="72"/>
      <x:c r="C1005" s="72"/>
      <x:c r="D1005" s="72"/>
      <x:c r="E1005" s="72"/>
      <x:c r="F1005" s="72"/>
      <x:c r="G1005" s="72"/>
      <x:c r="H1005" s="72"/>
      <x:c r="I1005" s="72"/>
      <x:c r="J1005" s="72"/>
      <x:c r="K1005" s="72"/>
      <x:c r="L1005" s="72"/>
      <x:c r="M1005" s="72"/>
      <x:c r="N1005" s="72"/>
      <x:c r="O1005" s="72"/>
      <x:c r="P1005" s="72"/>
      <x:c r="Q1005" s="72"/>
      <x:c r="R1005" s="72"/>
      <x:c r="S1005" s="72"/>
      <x:c r="T1005" s="72"/>
      <x:c r="U1005" s="72"/>
      <x:c r="V1005" s="72"/>
      <x:c r="W1005" s="72"/>
      <x:c r="X1005" s="72"/>
      <x:c r="Y1005" s="72"/>
      <x:c r="Z1005" s="72"/>
      <x:c r="AA1005" s="72"/>
      <x:c r="AB1005" s="72"/>
      <x:c r="AC1005" s="72"/>
      <x:c r="AD1005" s="72"/>
      <x:c r="AE1005" s="72"/>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4"/>
      <x:c r="DQ1005" s="4"/>
      <x:c r="DR1005" s="4"/>
      <x:c r="DS1005" s="4"/>
      <x:c r="DT1005" s="4"/>
      <x:c r="DU1005" s="4"/>
      <x:c r="DV1005" s="4"/>
      <x:c r="DW1005" s="4"/>
      <x:c r="DX1005" s="4"/>
      <x:c r="DY1005" s="4"/>
      <x:c r="DZ1005" s="4"/>
      <x:c r="EA1005" s="4"/>
      <x:c r="EB1005" s="4"/>
      <x:c r="EC1005" s="4"/>
      <x:c r="ED1005" s="4"/>
      <x:c r="EE1005" s="4"/>
      <x:c r="EF1005" s="4"/>
      <x:c r="EG1005" s="4"/>
      <x:c r="EH1005" s="4"/>
      <x:c r="EI1005" s="4"/>
      <x:c r="EJ1005" s="4"/>
      <x:c r="EK1005" s="4"/>
      <x:c r="EL1005" s="4"/>
      <x:c r="EM1005" s="4"/>
      <x:c r="EN1005" s="4"/>
      <x:c r="EO1005" s="4"/>
      <x:c r="EP1005" s="4"/>
      <x:c r="EQ1005" s="4"/>
      <x:c r="ER1005" s="4"/>
      <x:c r="ES1005" s="4"/>
      <x:c r="ET1005" s="4"/>
      <x:c r="EU1005" s="4"/>
      <x:c r="EV1005" s="4"/>
      <x:c r="EW1005" s="4"/>
      <x:c r="EX1005" s="4"/>
      <x:c r="EY1005" s="4"/>
      <x:c r="EZ1005" s="4"/>
      <x:c r="FA1005" s="4"/>
      <x:c r="FB1005" s="4"/>
      <x:c r="FC1005" s="4"/>
      <x:c r="FD1005" s="4"/>
      <x:c r="FE1005" s="4"/>
      <x:c r="FF1005" s="4"/>
      <x:c r="FG1005" s="4"/>
      <x:c r="FH1005" s="4"/>
      <x:c r="FI1005" s="4"/>
      <x:c r="FJ1005" s="4"/>
      <x:c r="FK1005" s="4"/>
      <x:c r="FL1005" s="4"/>
      <x:c r="FM1005" s="4"/>
      <x:c r="FN1005" s="4"/>
      <x:c r="FO1005" s="4"/>
    </x:row>
    <x:row r="1006">
      <x:c r="A1006" s="72"/>
      <x:c r="B1006" s="72"/>
      <x:c r="C1006" s="72"/>
      <x:c r="D1006" s="72"/>
      <x:c r="E1006" s="72"/>
      <x:c r="F1006" s="72"/>
      <x:c r="G1006" s="72"/>
      <x:c r="H1006" s="72"/>
      <x:c r="I1006" s="72"/>
      <x:c r="J1006" s="72"/>
      <x:c r="K1006" s="72"/>
      <x:c r="L1006" s="72"/>
      <x:c r="M1006" s="72"/>
      <x:c r="N1006" s="72"/>
      <x:c r="O1006" s="72"/>
      <x:c r="P1006" s="72"/>
      <x:c r="Q1006" s="72"/>
      <x:c r="R1006" s="72"/>
      <x:c r="S1006" s="72"/>
      <x:c r="T1006" s="72"/>
      <x:c r="U1006" s="72"/>
      <x:c r="V1006" s="72"/>
      <x:c r="W1006" s="72"/>
      <x:c r="X1006" s="72"/>
      <x:c r="Y1006" s="72"/>
      <x:c r="Z1006" s="72"/>
      <x:c r="AA1006" s="72"/>
      <x:c r="AB1006" s="72"/>
      <x:c r="AC1006" s="72"/>
      <x:c r="AD1006" s="72"/>
      <x:c r="AE1006" s="72"/>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4"/>
      <x:c r="DQ1006" s="4"/>
      <x:c r="DR1006" s="4"/>
      <x:c r="DS1006" s="4"/>
      <x:c r="DT1006" s="4"/>
      <x:c r="DU1006" s="4"/>
      <x:c r="DV1006" s="4"/>
      <x:c r="DW1006" s="4"/>
      <x:c r="DX1006" s="4"/>
      <x:c r="DY1006" s="4"/>
      <x:c r="DZ1006" s="4"/>
      <x:c r="EA1006" s="4"/>
      <x:c r="EB1006" s="4"/>
      <x:c r="EC1006" s="4"/>
      <x:c r="ED1006" s="4"/>
      <x:c r="EE1006" s="4"/>
      <x:c r="EF1006" s="4"/>
      <x:c r="EG1006" s="4"/>
      <x:c r="EH1006" s="4"/>
      <x:c r="EI1006" s="4"/>
      <x:c r="EJ1006" s="4"/>
      <x:c r="EK1006" s="4"/>
      <x:c r="EL1006" s="4"/>
      <x:c r="EM1006" s="4"/>
      <x:c r="EN1006" s="4"/>
      <x:c r="EO1006" s="4"/>
      <x:c r="EP1006" s="4"/>
      <x:c r="EQ1006" s="4"/>
      <x:c r="ER1006" s="4"/>
      <x:c r="ES1006" s="4"/>
      <x:c r="ET1006" s="4"/>
      <x:c r="EU1006" s="4"/>
      <x:c r="EV1006" s="4"/>
      <x:c r="EW1006" s="4"/>
      <x:c r="EX1006" s="4"/>
      <x:c r="EY1006" s="4"/>
      <x:c r="EZ1006" s="4"/>
      <x:c r="FA1006" s="4"/>
      <x:c r="FB1006" s="4"/>
      <x:c r="FC1006" s="4"/>
      <x:c r="FD1006" s="4"/>
      <x:c r="FE1006" s="4"/>
      <x:c r="FF1006" s="4"/>
      <x:c r="FG1006" s="4"/>
      <x:c r="FH1006" s="4"/>
      <x:c r="FI1006" s="4"/>
      <x:c r="FJ1006" s="4"/>
      <x:c r="FK1006" s="4"/>
      <x:c r="FL1006" s="4"/>
      <x:c r="FM1006" s="4"/>
      <x:c r="FN1006" s="4"/>
      <x:c r="FO1006" s="4"/>
    </x:row>
    <x:row r="1007">
      <x:c r="A1007" s="72"/>
      <x:c r="B1007" s="72"/>
      <x:c r="C1007" s="72"/>
      <x:c r="D1007" s="72"/>
      <x:c r="E1007" s="72"/>
      <x:c r="F1007" s="72"/>
      <x:c r="G1007" s="72"/>
      <x:c r="H1007" s="72"/>
      <x:c r="I1007" s="72"/>
      <x:c r="J1007" s="72"/>
      <x:c r="K1007" s="72"/>
      <x:c r="L1007" s="72"/>
      <x:c r="M1007" s="72"/>
      <x:c r="N1007" s="72"/>
      <x:c r="O1007" s="72"/>
      <x:c r="P1007" s="72"/>
      <x:c r="Q1007" s="72"/>
      <x:c r="R1007" s="72"/>
      <x:c r="S1007" s="72"/>
      <x:c r="T1007" s="72"/>
      <x:c r="U1007" s="72"/>
      <x:c r="V1007" s="72"/>
      <x:c r="W1007" s="72"/>
      <x:c r="X1007" s="72"/>
      <x:c r="Y1007" s="72"/>
      <x:c r="Z1007" s="72"/>
      <x:c r="AA1007" s="72"/>
      <x:c r="AB1007" s="72"/>
      <x:c r="AC1007" s="72"/>
      <x:c r="AD1007" s="72"/>
      <x:c r="AE1007" s="72"/>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4"/>
      <x:c r="DQ1007" s="4"/>
      <x:c r="DR1007" s="4"/>
      <x:c r="DS1007" s="4"/>
      <x:c r="DT1007" s="4"/>
      <x:c r="DU1007" s="4"/>
      <x:c r="DV1007" s="4"/>
      <x:c r="DW1007" s="4"/>
      <x:c r="DX1007" s="4"/>
      <x:c r="DY1007" s="4"/>
      <x:c r="DZ1007" s="4"/>
      <x:c r="EA1007" s="4"/>
      <x:c r="EB1007" s="4"/>
      <x:c r="EC1007" s="4"/>
      <x:c r="ED1007" s="4"/>
      <x:c r="EE1007" s="4"/>
      <x:c r="EF1007" s="4"/>
      <x:c r="EG1007" s="4"/>
      <x:c r="EH1007" s="4"/>
      <x:c r="EI1007" s="4"/>
      <x:c r="EJ1007" s="4"/>
      <x:c r="EK1007" s="4"/>
      <x:c r="EL1007" s="4"/>
      <x:c r="EM1007" s="4"/>
      <x:c r="EN1007" s="4"/>
      <x:c r="EO1007" s="4"/>
      <x:c r="EP1007" s="4"/>
      <x:c r="EQ1007" s="4"/>
      <x:c r="ER1007" s="4"/>
      <x:c r="ES1007" s="4"/>
      <x:c r="ET1007" s="4"/>
      <x:c r="EU1007" s="4"/>
      <x:c r="EV1007" s="4"/>
      <x:c r="EW1007" s="4"/>
      <x:c r="EX1007" s="4"/>
      <x:c r="EY1007" s="4"/>
      <x:c r="EZ1007" s="4"/>
      <x:c r="FA1007" s="4"/>
      <x:c r="FB1007" s="4"/>
      <x:c r="FC1007" s="4"/>
      <x:c r="FD1007" s="4"/>
      <x:c r="FE1007" s="4"/>
      <x:c r="FF1007" s="4"/>
      <x:c r="FG1007" s="4"/>
      <x:c r="FH1007" s="4"/>
      <x:c r="FI1007" s="4"/>
      <x:c r="FJ1007" s="4"/>
      <x:c r="FK1007" s="4"/>
      <x:c r="FL1007" s="4"/>
      <x:c r="FM1007" s="4"/>
      <x:c r="FN1007" s="4"/>
      <x:c r="FO1007" s="4"/>
    </x:row>
    <x:row r="1008">
      <x:c r="A1008" s="72"/>
      <x:c r="B1008" s="72"/>
      <x:c r="C1008" s="72"/>
      <x:c r="D1008" s="72"/>
      <x:c r="E1008" s="72"/>
      <x:c r="F1008" s="72"/>
      <x:c r="G1008" s="72"/>
      <x:c r="H1008" s="72"/>
      <x:c r="I1008" s="72"/>
      <x:c r="J1008" s="72"/>
      <x:c r="K1008" s="72"/>
      <x:c r="L1008" s="72"/>
      <x:c r="M1008" s="72"/>
      <x:c r="N1008" s="72"/>
      <x:c r="O1008" s="72"/>
      <x:c r="P1008" s="72"/>
      <x:c r="Q1008" s="72"/>
      <x:c r="R1008" s="72"/>
      <x:c r="S1008" s="72"/>
      <x:c r="T1008" s="72"/>
      <x:c r="U1008" s="72"/>
      <x:c r="V1008" s="72"/>
      <x:c r="W1008" s="72"/>
      <x:c r="X1008" s="72"/>
      <x:c r="Y1008" s="72"/>
      <x:c r="Z1008" s="72"/>
      <x:c r="AA1008" s="72"/>
      <x:c r="AB1008" s="72"/>
      <x:c r="AC1008" s="72"/>
      <x:c r="AD1008" s="72"/>
      <x:c r="AE1008" s="72"/>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4"/>
      <x:c r="DQ1008" s="4"/>
      <x:c r="DR1008" s="4"/>
      <x:c r="DS1008" s="4"/>
      <x:c r="DT1008" s="4"/>
      <x:c r="DU1008" s="4"/>
      <x:c r="DV1008" s="4"/>
      <x:c r="DW1008" s="4"/>
      <x:c r="DX1008" s="4"/>
      <x:c r="DY1008" s="4"/>
      <x:c r="DZ1008" s="4"/>
      <x:c r="EA1008" s="4"/>
      <x:c r="EB1008" s="4"/>
      <x:c r="EC1008" s="4"/>
      <x:c r="ED1008" s="4"/>
      <x:c r="EE1008" s="4"/>
      <x:c r="EF1008" s="4"/>
      <x:c r="EG1008" s="4"/>
      <x:c r="EH1008" s="4"/>
      <x:c r="EI1008" s="4"/>
      <x:c r="EJ1008" s="4"/>
      <x:c r="EK1008" s="4"/>
      <x:c r="EL1008" s="4"/>
      <x:c r="EM1008" s="4"/>
      <x:c r="EN1008" s="4"/>
      <x:c r="EO1008" s="4"/>
      <x:c r="EP1008" s="4"/>
      <x:c r="EQ1008" s="4"/>
      <x:c r="ER1008" s="4"/>
      <x:c r="ES1008" s="4"/>
      <x:c r="ET1008" s="4"/>
      <x:c r="EU1008" s="4"/>
      <x:c r="EV1008" s="4"/>
      <x:c r="EW1008" s="4"/>
      <x:c r="EX1008" s="4"/>
      <x:c r="EY1008" s="4"/>
      <x:c r="EZ1008" s="4"/>
      <x:c r="FA1008" s="4"/>
      <x:c r="FB1008" s="4"/>
      <x:c r="FC1008" s="4"/>
      <x:c r="FD1008" s="4"/>
      <x:c r="FE1008" s="4"/>
      <x:c r="FF1008" s="4"/>
      <x:c r="FG1008" s="4"/>
      <x:c r="FH1008" s="4"/>
      <x:c r="FI1008" s="4"/>
      <x:c r="FJ1008" s="4"/>
      <x:c r="FK1008" s="4"/>
      <x:c r="FL1008" s="4"/>
      <x:c r="FM1008" s="4"/>
      <x:c r="FN1008" s="4"/>
      <x:c r="FO1008" s="4"/>
    </x:row>
    <x:row r="1009">
      <x:c r="A1009" s="72"/>
      <x:c r="B1009" s="72"/>
      <x:c r="C1009" s="72"/>
      <x:c r="D1009" s="72"/>
      <x:c r="E1009" s="72"/>
      <x:c r="F1009" s="72"/>
      <x:c r="G1009" s="72"/>
      <x:c r="H1009" s="72"/>
      <x:c r="I1009" s="72"/>
      <x:c r="J1009" s="72"/>
      <x:c r="K1009" s="72"/>
      <x:c r="L1009" s="72"/>
      <x:c r="M1009" s="72"/>
      <x:c r="N1009" s="72"/>
      <x:c r="O1009" s="72"/>
      <x:c r="P1009" s="72"/>
      <x:c r="Q1009" s="72"/>
      <x:c r="R1009" s="72"/>
      <x:c r="S1009" s="72"/>
      <x:c r="T1009" s="72"/>
      <x:c r="U1009" s="72"/>
      <x:c r="V1009" s="72"/>
      <x:c r="W1009" s="72"/>
      <x:c r="X1009" s="72"/>
      <x:c r="Y1009" s="72"/>
      <x:c r="Z1009" s="72"/>
      <x:c r="AA1009" s="72"/>
      <x:c r="AB1009" s="72"/>
      <x:c r="AC1009" s="72"/>
      <x:c r="AD1009" s="72"/>
      <x:c r="AE1009" s="72"/>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4"/>
      <x:c r="DQ1009" s="4"/>
      <x:c r="DR1009" s="4"/>
      <x:c r="DS1009" s="4"/>
      <x:c r="DT1009" s="4"/>
      <x:c r="DU1009" s="4"/>
      <x:c r="DV1009" s="4"/>
      <x:c r="DW1009" s="4"/>
      <x:c r="DX1009" s="4"/>
      <x:c r="DY1009" s="4"/>
      <x:c r="DZ1009" s="4"/>
      <x:c r="EA1009" s="4"/>
      <x:c r="EB1009" s="4"/>
      <x:c r="EC1009" s="4"/>
      <x:c r="ED1009" s="4"/>
      <x:c r="EE1009" s="4"/>
      <x:c r="EF1009" s="4"/>
      <x:c r="EG1009" s="4"/>
      <x:c r="EH1009" s="4"/>
      <x:c r="EI1009" s="4"/>
      <x:c r="EJ1009" s="4"/>
      <x:c r="EK1009" s="4"/>
      <x:c r="EL1009" s="4"/>
      <x:c r="EM1009" s="4"/>
      <x:c r="EN1009" s="4"/>
      <x:c r="EO1009" s="4"/>
      <x:c r="EP1009" s="4"/>
      <x:c r="EQ1009" s="4"/>
      <x:c r="ER1009" s="4"/>
      <x:c r="ES1009" s="4"/>
      <x:c r="ET1009" s="4"/>
      <x:c r="EU1009" s="4"/>
      <x:c r="EV1009" s="4"/>
      <x:c r="EW1009" s="4"/>
      <x:c r="EX1009" s="4"/>
      <x:c r="EY1009" s="4"/>
      <x:c r="EZ1009" s="4"/>
      <x:c r="FA1009" s="4"/>
      <x:c r="FB1009" s="4"/>
      <x:c r="FC1009" s="4"/>
      <x:c r="FD1009" s="4"/>
      <x:c r="FE1009" s="4"/>
      <x:c r="FF1009" s="4"/>
      <x:c r="FG1009" s="4"/>
      <x:c r="FH1009" s="4"/>
      <x:c r="FI1009" s="4"/>
      <x:c r="FJ1009" s="4"/>
      <x:c r="FK1009" s="4"/>
      <x:c r="FL1009" s="4"/>
      <x:c r="FM1009" s="4"/>
      <x:c r="FN1009" s="4"/>
      <x:c r="FO1009" s="4"/>
    </x:row>
    <x:row r="1010">
      <x:c r="A1010" s="72"/>
      <x:c r="B1010" s="72"/>
      <x:c r="C1010" s="72"/>
      <x:c r="D1010" s="72"/>
      <x:c r="E1010" s="72"/>
      <x:c r="F1010" s="72"/>
      <x:c r="G1010" s="72"/>
      <x:c r="H1010" s="72"/>
      <x:c r="I1010" s="72"/>
      <x:c r="J1010" s="72"/>
      <x:c r="K1010" s="72"/>
      <x:c r="L1010" s="72"/>
      <x:c r="M1010" s="72"/>
      <x:c r="N1010" s="72"/>
      <x:c r="O1010" s="72"/>
      <x:c r="P1010" s="72"/>
      <x:c r="Q1010" s="72"/>
      <x:c r="R1010" s="72"/>
      <x:c r="S1010" s="72"/>
      <x:c r="T1010" s="72"/>
      <x:c r="U1010" s="72"/>
      <x:c r="V1010" s="72"/>
      <x:c r="W1010" s="72"/>
      <x:c r="X1010" s="72"/>
      <x:c r="Y1010" s="72"/>
      <x:c r="Z1010" s="72"/>
      <x:c r="AA1010" s="72"/>
      <x:c r="AB1010" s="72"/>
      <x:c r="AC1010" s="72"/>
      <x:c r="AD1010" s="72"/>
      <x:c r="AE1010" s="72"/>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4"/>
      <x:c r="DQ1010" s="4"/>
      <x:c r="DR1010" s="4"/>
      <x:c r="DS1010" s="4"/>
      <x:c r="DT1010" s="4"/>
      <x:c r="DU1010" s="4"/>
      <x:c r="DV1010" s="4"/>
      <x:c r="DW1010" s="4"/>
      <x:c r="DX1010" s="4"/>
      <x:c r="DY1010" s="4"/>
      <x:c r="DZ1010" s="4"/>
      <x:c r="EA1010" s="4"/>
      <x:c r="EB1010" s="4"/>
      <x:c r="EC1010" s="4"/>
      <x:c r="ED1010" s="4"/>
      <x:c r="EE1010" s="4"/>
      <x:c r="EF1010" s="4"/>
      <x:c r="EG1010" s="4"/>
      <x:c r="EH1010" s="4"/>
      <x:c r="EI1010" s="4"/>
      <x:c r="EJ1010" s="4"/>
      <x:c r="EK1010" s="4"/>
      <x:c r="EL1010" s="4"/>
      <x:c r="EM1010" s="4"/>
      <x:c r="EN1010" s="4"/>
      <x:c r="EO1010" s="4"/>
      <x:c r="EP1010" s="4"/>
      <x:c r="EQ1010" s="4"/>
      <x:c r="ER1010" s="4"/>
      <x:c r="ES1010" s="4"/>
      <x:c r="ET1010" s="4"/>
      <x:c r="EU1010" s="4"/>
      <x:c r="EV1010" s="4"/>
      <x:c r="EW1010" s="4"/>
      <x:c r="EX1010" s="4"/>
      <x:c r="EY1010" s="4"/>
      <x:c r="EZ1010" s="4"/>
      <x:c r="FA1010" s="4"/>
      <x:c r="FB1010" s="4"/>
      <x:c r="FC1010" s="4"/>
      <x:c r="FD1010" s="4"/>
      <x:c r="FE1010" s="4"/>
      <x:c r="FF1010" s="4"/>
      <x:c r="FG1010" s="4"/>
      <x:c r="FH1010" s="4"/>
      <x:c r="FI1010" s="4"/>
      <x:c r="FJ1010" s="4"/>
      <x:c r="FK1010" s="4"/>
      <x:c r="FL1010" s="4"/>
      <x:c r="FM1010" s="4"/>
      <x:c r="FN1010" s="4"/>
      <x:c r="FO1010" s="4"/>
    </x:row>
    <x:row r="1011">
      <x:c r="A1011" s="72"/>
      <x:c r="B1011" s="72"/>
      <x:c r="C1011" s="72"/>
      <x:c r="D1011" s="72"/>
      <x:c r="E1011" s="72"/>
      <x:c r="F1011" s="72"/>
      <x:c r="G1011" s="72"/>
      <x:c r="H1011" s="72"/>
      <x:c r="I1011" s="72"/>
      <x:c r="J1011" s="72"/>
      <x:c r="K1011" s="72"/>
      <x:c r="L1011" s="72"/>
      <x:c r="M1011" s="72"/>
      <x:c r="N1011" s="72"/>
      <x:c r="O1011" s="72"/>
      <x:c r="P1011" s="72"/>
      <x:c r="Q1011" s="72"/>
      <x:c r="R1011" s="72"/>
      <x:c r="S1011" s="72"/>
      <x:c r="T1011" s="72"/>
      <x:c r="U1011" s="72"/>
      <x:c r="V1011" s="72"/>
      <x:c r="W1011" s="72"/>
      <x:c r="X1011" s="72"/>
      <x:c r="Y1011" s="72"/>
      <x:c r="Z1011" s="72"/>
      <x:c r="AA1011" s="72"/>
      <x:c r="AB1011" s="72"/>
      <x:c r="AC1011" s="72"/>
      <x:c r="AD1011" s="72"/>
      <x:c r="AE1011" s="72"/>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4"/>
      <x:c r="DQ1011" s="4"/>
      <x:c r="DR1011" s="4"/>
      <x:c r="DS1011" s="4"/>
      <x:c r="DT1011" s="4"/>
      <x:c r="DU1011" s="4"/>
      <x:c r="DV1011" s="4"/>
      <x:c r="DW1011" s="4"/>
      <x:c r="DX1011" s="4"/>
      <x:c r="DY1011" s="4"/>
      <x:c r="DZ1011" s="4"/>
      <x:c r="EA1011" s="4"/>
      <x:c r="EB1011" s="4"/>
      <x:c r="EC1011" s="4"/>
      <x:c r="ED1011" s="4"/>
      <x:c r="EE1011" s="4"/>
      <x:c r="EF1011" s="4"/>
      <x:c r="EG1011" s="4"/>
      <x:c r="EH1011" s="4"/>
      <x:c r="EI1011" s="4"/>
      <x:c r="EJ1011" s="4"/>
      <x:c r="EK1011" s="4"/>
      <x:c r="EL1011" s="4"/>
      <x:c r="EM1011" s="4"/>
      <x:c r="EN1011" s="4"/>
      <x:c r="EO1011" s="4"/>
      <x:c r="EP1011" s="4"/>
      <x:c r="EQ1011" s="4"/>
      <x:c r="ER1011" s="4"/>
      <x:c r="ES1011" s="4"/>
      <x:c r="ET1011" s="4"/>
      <x:c r="EU1011" s="4"/>
      <x:c r="EV1011" s="4"/>
      <x:c r="EW1011" s="4"/>
      <x:c r="EX1011" s="4"/>
      <x:c r="EY1011" s="4"/>
      <x:c r="EZ1011" s="4"/>
      <x:c r="FA1011" s="4"/>
      <x:c r="FB1011" s="4"/>
      <x:c r="FC1011" s="4"/>
      <x:c r="FD1011" s="4"/>
      <x:c r="FE1011" s="4"/>
      <x:c r="FF1011" s="4"/>
      <x:c r="FG1011" s="4"/>
      <x:c r="FH1011" s="4"/>
      <x:c r="FI1011" s="4"/>
      <x:c r="FJ1011" s="4"/>
      <x:c r="FK1011" s="4"/>
      <x:c r="FL1011" s="4"/>
      <x:c r="FM1011" s="4"/>
      <x:c r="FN1011" s="4"/>
      <x:c r="FO1011" s="4"/>
    </x:row>
    <x:row r="1012">
      <x:c r="A1012" s="72"/>
      <x:c r="B1012" s="72"/>
      <x:c r="C1012" s="72"/>
      <x:c r="D1012" s="72"/>
      <x:c r="E1012" s="72"/>
      <x:c r="F1012" s="72"/>
      <x:c r="G1012" s="72"/>
      <x:c r="H1012" s="72"/>
      <x:c r="I1012" s="72"/>
      <x:c r="J1012" s="72"/>
      <x:c r="K1012" s="72"/>
      <x:c r="L1012" s="72"/>
      <x:c r="M1012" s="72"/>
      <x:c r="N1012" s="72"/>
      <x:c r="O1012" s="72"/>
      <x:c r="P1012" s="72"/>
      <x:c r="Q1012" s="72"/>
      <x:c r="R1012" s="72"/>
      <x:c r="S1012" s="72"/>
      <x:c r="T1012" s="72"/>
      <x:c r="U1012" s="72"/>
      <x:c r="V1012" s="72"/>
      <x:c r="W1012" s="72"/>
      <x:c r="X1012" s="72"/>
      <x:c r="Y1012" s="72"/>
      <x:c r="Z1012" s="72"/>
      <x:c r="AA1012" s="72"/>
      <x:c r="AB1012" s="72"/>
      <x:c r="AC1012" s="72"/>
      <x:c r="AD1012" s="72"/>
      <x:c r="AE1012" s="72"/>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4"/>
      <x:c r="DQ1012" s="4"/>
      <x:c r="DR1012" s="4"/>
      <x:c r="DS1012" s="4"/>
      <x:c r="DT1012" s="4"/>
      <x:c r="DU1012" s="4"/>
      <x:c r="DV1012" s="4"/>
      <x:c r="DW1012" s="4"/>
      <x:c r="DX1012" s="4"/>
      <x:c r="DY1012" s="4"/>
      <x:c r="DZ1012" s="4"/>
      <x:c r="EA1012" s="4"/>
      <x:c r="EB1012" s="4"/>
      <x:c r="EC1012" s="4"/>
      <x:c r="ED1012" s="4"/>
      <x:c r="EE1012" s="4"/>
      <x:c r="EF1012" s="4"/>
      <x:c r="EG1012" s="4"/>
      <x:c r="EH1012" s="4"/>
      <x:c r="EI1012" s="4"/>
      <x:c r="EJ1012" s="4"/>
      <x:c r="EK1012" s="4"/>
      <x:c r="EL1012" s="4"/>
      <x:c r="EM1012" s="4"/>
      <x:c r="EN1012" s="4"/>
      <x:c r="EO1012" s="4"/>
      <x:c r="EP1012" s="4"/>
      <x:c r="EQ1012" s="4"/>
      <x:c r="ER1012" s="4"/>
      <x:c r="ES1012" s="4"/>
      <x:c r="ET1012" s="4"/>
      <x:c r="EU1012" s="4"/>
      <x:c r="EV1012" s="4"/>
      <x:c r="EW1012" s="4"/>
      <x:c r="EX1012" s="4"/>
      <x:c r="EY1012" s="4"/>
      <x:c r="EZ1012" s="4"/>
      <x:c r="FA1012" s="4"/>
      <x:c r="FB1012" s="4"/>
      <x:c r="FC1012" s="4"/>
      <x:c r="FD1012" s="4"/>
      <x:c r="FE1012" s="4"/>
      <x:c r="FF1012" s="4"/>
      <x:c r="FG1012" s="4"/>
      <x:c r="FH1012" s="4"/>
      <x:c r="FI1012" s="4"/>
      <x:c r="FJ1012" s="4"/>
      <x:c r="FK1012" s="4"/>
      <x:c r="FL1012" s="4"/>
      <x:c r="FM1012" s="4"/>
      <x:c r="FN1012" s="4"/>
      <x:c r="FO1012" s="4"/>
    </x:row>
  </x:sheetData>
  <x:mergeCells>
    <x:mergeCell ref="B2:Y3"/>
    <x:mergeCell ref="Z2:AC3"/>
    <x:mergeCell ref="B4:AC4"/>
    <x:mergeCell ref="B5:F5"/>
    <x:mergeCell ref="H5:L5"/>
    <x:mergeCell ref="N5:R5"/>
    <x:mergeCell ref="T5:X5"/>
    <x:mergeCell ref="Z5:AC5"/>
    <x:mergeCell ref="B6:H6"/>
    <x:mergeCell ref="J6:S6"/>
    <x:mergeCell ref="B7:H7"/>
    <x:mergeCell ref="J7:S7"/>
    <x:mergeCell ref="B9:AC9"/>
    <x:mergeCell ref="B12:H12"/>
    <x:mergeCell ref="B13:H15"/>
    <x:mergeCell ref="J12:P12"/>
    <x:mergeCell ref="J13:P15"/>
    <x:mergeCell ref="R12:W12"/>
    <x:mergeCell ref="R13:W15"/>
    <x:mergeCell ref="Y12:AC12"/>
    <x:mergeCell ref="Y13:AC15"/>
    <x:mergeCell ref="B17:AC17"/>
    <x:mergeCell ref="B40:AC40"/>
    <x:mergeCell ref="B64:AC65"/>
    <x:mergeCell ref="B66:AC66"/>
    <x:mergeCell ref="B67:D68"/>
    <x:mergeCell ref="E67:H68"/>
    <x:mergeCell ref="J67:M68"/>
    <x:mergeCell ref="N67:AC68"/>
    <x:mergeCell ref="B69:AC69"/>
    <x:mergeCell ref="R72:AB73"/>
    <x:mergeCell ref="R75:S76"/>
    <x:mergeCell ref="T75:U76"/>
    <x:mergeCell ref="V75:W76"/>
    <x:mergeCell ref="X75:Y76"/>
    <x:mergeCell ref="Z75:AB76"/>
    <x:mergeCell ref="R77:S78"/>
    <x:mergeCell ref="T77:U78"/>
    <x:mergeCell ref="V77:W78"/>
    <x:mergeCell ref="X77:Y78"/>
    <x:mergeCell ref="Z77:AB78"/>
    <x:mergeCell ref="R79:S80"/>
    <x:mergeCell ref="T79:U80"/>
    <x:mergeCell ref="V79:W80"/>
    <x:mergeCell ref="X79:Y80"/>
    <x:mergeCell ref="Z79:AB80"/>
    <x:mergeCell ref="R81:S82"/>
    <x:mergeCell ref="T81:U82"/>
    <x:mergeCell ref="V81:W82"/>
    <x:mergeCell ref="X81:Y82"/>
    <x:mergeCell ref="Z81:AB82"/>
    <x:mergeCell ref="R83:S84"/>
    <x:mergeCell ref="T83:U84"/>
    <x:mergeCell ref="V83:W84"/>
    <x:mergeCell ref="X83:Y84"/>
    <x:mergeCell ref="Z83:AB84"/>
    <x:mergeCell ref="R88:AB89"/>
    <x:mergeCell ref="B93:V94"/>
    <x:mergeCell ref="W93:Y94"/>
    <x:mergeCell ref="Z93:AA94"/>
    <x:mergeCell ref="AB93:AC94"/>
    <x:mergeCell ref="B96:H97"/>
    <x:mergeCell ref="I96:J97"/>
    <x:mergeCell ref="K96:L97"/>
    <x:mergeCell ref="M96:N97"/>
    <x:mergeCell ref="O96:P97"/>
    <x:mergeCell ref="Q96:R97"/>
    <x:mergeCell ref="S96:T97"/>
    <x:mergeCell ref="U96:V97"/>
    <x:mergeCell ref="W96:X97"/>
    <x:mergeCell ref="Y96:Z97"/>
    <x:mergeCell ref="AA96:AC97"/>
    <x:mergeCell ref="B98:H98"/>
    <x:mergeCell ref="I98:J98"/>
    <x:mergeCell ref="K98:L98"/>
    <x:mergeCell ref="M98:N98"/>
    <x:mergeCell ref="O98:P98"/>
    <x:mergeCell ref="Q98:R98"/>
    <x:mergeCell ref="S98:T98"/>
    <x:mergeCell ref="U98:V98"/>
    <x:mergeCell ref="W98:X98"/>
    <x:mergeCell ref="Y98:Z98"/>
    <x:mergeCell ref="AA98:AC98"/>
    <x:mergeCell ref="B99:H99"/>
    <x:mergeCell ref="I99:J99"/>
    <x:mergeCell ref="K99:L99"/>
    <x:mergeCell ref="M99:N99"/>
    <x:mergeCell ref="O99:P99"/>
    <x:mergeCell ref="Q99:R99"/>
    <x:mergeCell ref="S99:T99"/>
    <x:mergeCell ref="U99:V99"/>
    <x:mergeCell ref="W99:X99"/>
    <x:mergeCell ref="Y99:Z99"/>
    <x:mergeCell ref="AA99:AC99"/>
    <x:mergeCell ref="B100:H100"/>
    <x:mergeCell ref="I100:J100"/>
    <x:mergeCell ref="K100:L100"/>
    <x:mergeCell ref="M100:N100"/>
    <x:mergeCell ref="O100:P100"/>
    <x:mergeCell ref="Q100:R100"/>
    <x:mergeCell ref="S100:T100"/>
    <x:mergeCell ref="U100:V100"/>
    <x:mergeCell ref="W100:X100"/>
    <x:mergeCell ref="Y100:Z100"/>
    <x:mergeCell ref="AA100:AC100"/>
    <x:mergeCell ref="B101:H101"/>
    <x:mergeCell ref="I101:J101"/>
    <x:mergeCell ref="K101:L101"/>
    <x:mergeCell ref="M101:N101"/>
    <x:mergeCell ref="O101:P101"/>
    <x:mergeCell ref="Q101:R101"/>
    <x:mergeCell ref="S101:T101"/>
    <x:mergeCell ref="U101:V101"/>
    <x:mergeCell ref="W101:X101"/>
    <x:mergeCell ref="Y101:Z101"/>
    <x:mergeCell ref="AA101:AC101"/>
    <x:mergeCell ref="B102:H102"/>
    <x:mergeCell ref="I102:J102"/>
    <x:mergeCell ref="K102:L102"/>
    <x:mergeCell ref="M102:N102"/>
    <x:mergeCell ref="O102:P102"/>
    <x:mergeCell ref="Q102:R102"/>
    <x:mergeCell ref="S102:T102"/>
    <x:mergeCell ref="U102:V102"/>
    <x:mergeCell ref="W102:X102"/>
    <x:mergeCell ref="Y102:Z102"/>
    <x:mergeCell ref="AA102:AC102"/>
    <x:mergeCell ref="B103:H103"/>
    <x:mergeCell ref="I103:J103"/>
    <x:mergeCell ref="K103:L103"/>
    <x:mergeCell ref="M103:N103"/>
    <x:mergeCell ref="O103:P103"/>
    <x:mergeCell ref="Q103:R103"/>
    <x:mergeCell ref="S103:T103"/>
    <x:mergeCell ref="U103:V103"/>
    <x:mergeCell ref="W103:X103"/>
    <x:mergeCell ref="Y103:Z103"/>
    <x:mergeCell ref="AA103:AC103"/>
    <x:mergeCell ref="B104:H104"/>
    <x:mergeCell ref="I104:J104"/>
    <x:mergeCell ref="K104:L104"/>
    <x:mergeCell ref="M104:N104"/>
    <x:mergeCell ref="O104:P104"/>
    <x:mergeCell ref="Q104:R104"/>
    <x:mergeCell ref="S104:T104"/>
    <x:mergeCell ref="U104:V104"/>
    <x:mergeCell ref="W104:X104"/>
    <x:mergeCell ref="Y104:Z104"/>
    <x:mergeCell ref="AA104:AC104"/>
    <x:mergeCell ref="B105:H105"/>
    <x:mergeCell ref="I105:J105"/>
    <x:mergeCell ref="K105:L105"/>
    <x:mergeCell ref="M105:N105"/>
    <x:mergeCell ref="O105:P105"/>
    <x:mergeCell ref="Q105:R105"/>
    <x:mergeCell ref="S105:T105"/>
    <x:mergeCell ref="U105:V105"/>
    <x:mergeCell ref="W105:X105"/>
    <x:mergeCell ref="Y105:Z105"/>
    <x:mergeCell ref="AA105:AC105"/>
    <x:mergeCell ref="B106:H106"/>
    <x:mergeCell ref="I106:J106"/>
    <x:mergeCell ref="K106:L106"/>
    <x:mergeCell ref="M106:N106"/>
    <x:mergeCell ref="O106:P106"/>
    <x:mergeCell ref="Q106:R106"/>
    <x:mergeCell ref="S106:T106"/>
    <x:mergeCell ref="U106:V106"/>
    <x:mergeCell ref="W106:X106"/>
    <x:mergeCell ref="Y106:Z106"/>
    <x:mergeCell ref="AA106:AC106"/>
    <x:mergeCell ref="B107:H107"/>
    <x:mergeCell ref="I107:J107"/>
    <x:mergeCell ref="K107:L107"/>
    <x:mergeCell ref="M107:N107"/>
    <x:mergeCell ref="O107:P107"/>
    <x:mergeCell ref="Q107:R107"/>
    <x:mergeCell ref="S107:T107"/>
    <x:mergeCell ref="U107:V107"/>
    <x:mergeCell ref="W107:X107"/>
    <x:mergeCell ref="Y107:Z107"/>
    <x:mergeCell ref="AA107:AC107"/>
    <x:mergeCell ref="B108:H108"/>
    <x:mergeCell ref="I108:J108"/>
    <x:mergeCell ref="K108:L108"/>
    <x:mergeCell ref="M108:N108"/>
    <x:mergeCell ref="O108:P108"/>
    <x:mergeCell ref="Q108:R108"/>
    <x:mergeCell ref="S108:T108"/>
    <x:mergeCell ref="U108:V108"/>
    <x:mergeCell ref="W108:X108"/>
    <x:mergeCell ref="Y108:Z108"/>
    <x:mergeCell ref="AA108:AC108"/>
    <x:mergeCell ref="B109:H109"/>
    <x:mergeCell ref="I109:J109"/>
    <x:mergeCell ref="K109:L109"/>
    <x:mergeCell ref="M109:N109"/>
    <x:mergeCell ref="O109:P109"/>
    <x:mergeCell ref="Q109:R109"/>
    <x:mergeCell ref="S109:T109"/>
    <x:mergeCell ref="U109:V109"/>
    <x:mergeCell ref="W109:X109"/>
    <x:mergeCell ref="Y109:Z109"/>
    <x:mergeCell ref="AA109:AC109"/>
    <x:mergeCell ref="B110:H110"/>
    <x:mergeCell ref="I110:J110"/>
    <x:mergeCell ref="K110:L110"/>
    <x:mergeCell ref="M110:N110"/>
    <x:mergeCell ref="O110:P110"/>
    <x:mergeCell ref="Q110:R110"/>
    <x:mergeCell ref="S110:T110"/>
    <x:mergeCell ref="U110:V110"/>
    <x:mergeCell ref="W110:X110"/>
    <x:mergeCell ref="Y110:Z110"/>
    <x:mergeCell ref="AA110:AC110"/>
    <x:mergeCell ref="B111:H111"/>
    <x:mergeCell ref="I111:J111"/>
    <x:mergeCell ref="K111:L111"/>
    <x:mergeCell ref="M111:N111"/>
    <x:mergeCell ref="O111:P111"/>
    <x:mergeCell ref="Q111:R111"/>
    <x:mergeCell ref="S111:T111"/>
    <x:mergeCell ref="U111:V111"/>
    <x:mergeCell ref="W111:X111"/>
    <x:mergeCell ref="Y111:Z111"/>
    <x:mergeCell ref="AA111:AC111"/>
    <x:mergeCell ref="B112:H112"/>
    <x:mergeCell ref="I112:J112"/>
    <x:mergeCell ref="K112:L112"/>
    <x:mergeCell ref="M112:N112"/>
    <x:mergeCell ref="O112:P112"/>
    <x:mergeCell ref="Q112:R112"/>
    <x:mergeCell ref="S112:T112"/>
    <x:mergeCell ref="U112:V112"/>
    <x:mergeCell ref="W112:X112"/>
    <x:mergeCell ref="Y112:Z112"/>
    <x:mergeCell ref="AA112:AC112"/>
    <x:mergeCell ref="B113:H113"/>
    <x:mergeCell ref="I113:J113"/>
    <x:mergeCell ref="K113:L113"/>
    <x:mergeCell ref="M113:N113"/>
    <x:mergeCell ref="O113:P113"/>
    <x:mergeCell ref="Q113:R113"/>
    <x:mergeCell ref="S113:T113"/>
    <x:mergeCell ref="U113:V113"/>
    <x:mergeCell ref="W113:X113"/>
    <x:mergeCell ref="Y113:Z113"/>
    <x:mergeCell ref="AA113:AC113"/>
    <x:mergeCell ref="B114:H114"/>
    <x:mergeCell ref="I114:J114"/>
    <x:mergeCell ref="K114:L114"/>
    <x:mergeCell ref="M114:N114"/>
    <x:mergeCell ref="O114:P114"/>
    <x:mergeCell ref="Q114:R114"/>
    <x:mergeCell ref="S114:T114"/>
    <x:mergeCell ref="U114:V114"/>
    <x:mergeCell ref="W114:X114"/>
    <x:mergeCell ref="Y114:Z114"/>
    <x:mergeCell ref="AA114:AC114"/>
    <x:mergeCell ref="B115:H115"/>
    <x:mergeCell ref="I115:J115"/>
    <x:mergeCell ref="K115:L115"/>
    <x:mergeCell ref="M115:N115"/>
    <x:mergeCell ref="O115:P115"/>
    <x:mergeCell ref="Q115:R115"/>
    <x:mergeCell ref="S115:T115"/>
    <x:mergeCell ref="U115:V115"/>
    <x:mergeCell ref="W115:X115"/>
    <x:mergeCell ref="Y115:Z115"/>
    <x:mergeCell ref="AA115:AC115"/>
    <x:mergeCell ref="B116:H116"/>
    <x:mergeCell ref="I116:J116"/>
    <x:mergeCell ref="K116:L116"/>
    <x:mergeCell ref="M116:N116"/>
    <x:mergeCell ref="O116:P116"/>
    <x:mergeCell ref="Q116:R116"/>
    <x:mergeCell ref="S116:T116"/>
    <x:mergeCell ref="U116:V116"/>
    <x:mergeCell ref="W116:X116"/>
    <x:mergeCell ref="Y116:Z116"/>
    <x:mergeCell ref="AA116:AC116"/>
    <x:mergeCell ref="B117:H117"/>
    <x:mergeCell ref="I117:J117"/>
    <x:mergeCell ref="K117:L117"/>
    <x:mergeCell ref="M117:N117"/>
    <x:mergeCell ref="O117:P117"/>
    <x:mergeCell ref="Q117:R117"/>
    <x:mergeCell ref="S117:T117"/>
    <x:mergeCell ref="U117:V117"/>
    <x:mergeCell ref="W117:X117"/>
    <x:mergeCell ref="Y117:Z117"/>
    <x:mergeCell ref="AA117:AC117"/>
    <x:mergeCell ref="B118:H119"/>
    <x:mergeCell ref="I118:J119"/>
    <x:mergeCell ref="K118:L119"/>
    <x:mergeCell ref="M118:N119"/>
    <x:mergeCell ref="O118:P119"/>
    <x:mergeCell ref="Q118:R119"/>
    <x:mergeCell ref="S118:T119"/>
    <x:mergeCell ref="U118:V119"/>
    <x:mergeCell ref="W118:X119"/>
    <x:mergeCell ref="Y118:Z119"/>
    <x:mergeCell ref="AA118:AC119"/>
    <x:mergeCell ref="B121:AC122"/>
    <x:mergeCell ref="B125:AC126"/>
    <x:mergeCell ref="B128:E128"/>
    <x:mergeCell ref="F128:M128"/>
    <x:mergeCell ref="N128:O128"/>
    <x:mergeCell ref="P128:Q128"/>
    <x:mergeCell ref="R128:S128"/>
    <x:mergeCell ref="T128:U128"/>
    <x:mergeCell ref="X128:AC128"/>
    <x:mergeCell ref="B129:E129"/>
    <x:mergeCell ref="F129:M129"/>
    <x:mergeCell ref="N129:O129"/>
    <x:mergeCell ref="P129:Q129"/>
    <x:mergeCell ref="R129:S129"/>
    <x:mergeCell ref="T129:U129"/>
    <x:mergeCell ref="X129:AC129"/>
    <x:mergeCell ref="B130:E130"/>
    <x:mergeCell ref="F130:M130"/>
    <x:mergeCell ref="N130:O130"/>
    <x:mergeCell ref="P130:Q130"/>
    <x:mergeCell ref="R130:S130"/>
    <x:mergeCell ref="T130:U130"/>
    <x:mergeCell ref="X130:AC130"/>
    <x:mergeCell ref="B131:E131"/>
    <x:mergeCell ref="F131:M131"/>
    <x:mergeCell ref="N131:O131"/>
    <x:mergeCell ref="P131:Q131"/>
    <x:mergeCell ref="R131:S131"/>
    <x:mergeCell ref="T131:U131"/>
    <x:mergeCell ref="X131:AC131"/>
    <x:mergeCell ref="B132:E132"/>
    <x:mergeCell ref="F132:M132"/>
    <x:mergeCell ref="N132:O132"/>
    <x:mergeCell ref="P132:Q132"/>
    <x:mergeCell ref="R132:S132"/>
    <x:mergeCell ref="T132:U132"/>
    <x:mergeCell ref="X132:AC132"/>
    <x:mergeCell ref="B133:E133"/>
    <x:mergeCell ref="F133:M133"/>
    <x:mergeCell ref="N133:O133"/>
    <x:mergeCell ref="P133:Q133"/>
    <x:mergeCell ref="R133:S133"/>
    <x:mergeCell ref="T133:U133"/>
    <x:mergeCell ref="X133:AC133"/>
    <x:mergeCell ref="B134:E134"/>
    <x:mergeCell ref="F134:M134"/>
    <x:mergeCell ref="N134:O134"/>
    <x:mergeCell ref="P134:Q134"/>
    <x:mergeCell ref="R134:S134"/>
    <x:mergeCell ref="T134:U134"/>
    <x:mergeCell ref="X134:AC134"/>
    <x:mergeCell ref="B135:E135"/>
    <x:mergeCell ref="F135:M135"/>
    <x:mergeCell ref="N135:O135"/>
    <x:mergeCell ref="P135:Q135"/>
    <x:mergeCell ref="R135:S135"/>
    <x:mergeCell ref="T135:U135"/>
    <x:mergeCell ref="X135:AC135"/>
    <x:mergeCell ref="B143:E143"/>
    <x:mergeCell ref="F143:M143"/>
    <x:mergeCell ref="N143:O143"/>
    <x:mergeCell ref="P143:Q143"/>
    <x:mergeCell ref="R143:S143"/>
    <x:mergeCell ref="T143:U143"/>
    <x:mergeCell ref="X143:AC143"/>
    <x:mergeCell ref="B136:E136"/>
    <x:mergeCell ref="F136:M136"/>
    <x:mergeCell ref="N136:O136"/>
    <x:mergeCell ref="P136:Q136"/>
    <x:mergeCell ref="R136:S136"/>
    <x:mergeCell ref="T136:U136"/>
    <x:mergeCell ref="X136:AC136"/>
    <x:mergeCell ref="B137:E137"/>
    <x:mergeCell ref="F137:M137"/>
    <x:mergeCell ref="N137:O137"/>
    <x:mergeCell ref="P137:Q137"/>
    <x:mergeCell ref="R137:S137"/>
    <x:mergeCell ref="T137:U137"/>
    <x:mergeCell ref="X137:AC137"/>
    <x:mergeCell ref="B138:E138"/>
    <x:mergeCell ref="F138:M138"/>
    <x:mergeCell ref="N138:O138"/>
    <x:mergeCell ref="P138:Q138"/>
    <x:mergeCell ref="R138:S138"/>
    <x:mergeCell ref="T138:U138"/>
    <x:mergeCell ref="X138:AC138"/>
    <x:mergeCell ref="B139:E139"/>
    <x:mergeCell ref="F139:M139"/>
    <x:mergeCell ref="N139:O139"/>
    <x:mergeCell ref="P139:Q139"/>
    <x:mergeCell ref="R139:S139"/>
    <x:mergeCell ref="T139:U139"/>
    <x:mergeCell ref="X139:AC139"/>
    <x:mergeCell ref="B140:E140"/>
    <x:mergeCell ref="F140:M140"/>
    <x:mergeCell ref="N140:O140"/>
    <x:mergeCell ref="P140:Q140"/>
    <x:mergeCell ref="R140:S140"/>
    <x:mergeCell ref="T140:U140"/>
    <x:mergeCell ref="X140:AC140"/>
    <x:mergeCell ref="B141:E141"/>
    <x:mergeCell ref="F141:M141"/>
    <x:mergeCell ref="N141:O141"/>
    <x:mergeCell ref="P141:Q141"/>
    <x:mergeCell ref="R141:S141"/>
    <x:mergeCell ref="T141:U141"/>
    <x:mergeCell ref="X141:AC141"/>
    <x:mergeCell ref="B142:E142"/>
    <x:mergeCell ref="F142:M142"/>
    <x:mergeCell ref="N142:O142"/>
    <x:mergeCell ref="P142:Q142"/>
    <x:mergeCell ref="R142:S142"/>
    <x:mergeCell ref="T142:U142"/>
    <x:mergeCell ref="X142:AC142"/>
    <x:mergeCell ref="B144:E144"/>
    <x:mergeCell ref="F144:M144"/>
    <x:mergeCell ref="N144:O144"/>
    <x:mergeCell ref="P144:Q144"/>
    <x:mergeCell ref="R144:S144"/>
    <x:mergeCell ref="T144:U144"/>
    <x:mergeCell ref="X144:AC144"/>
    <x:mergeCell ref="B146:E146"/>
    <x:mergeCell ref="F146:M146"/>
    <x:mergeCell ref="N146:O146"/>
    <x:mergeCell ref="P146:Q146"/>
    <x:mergeCell ref="R146:S146"/>
    <x:mergeCell ref="T146:U146"/>
    <x:mergeCell ref="X146:AC146"/>
    <x:mergeCell ref="B147:E147"/>
    <x:mergeCell ref="F147:M147"/>
    <x:mergeCell ref="N147:O147"/>
    <x:mergeCell ref="P147:Q147"/>
    <x:mergeCell ref="R147:S147"/>
    <x:mergeCell ref="T147:U147"/>
    <x:mergeCell ref="X147:AC147"/>
    <x:mergeCell ref="B151:AC152"/>
    <x:mergeCell ref="B153:AC153"/>
    <x:mergeCell ref="B154:E154"/>
    <x:mergeCell ref="F154:K154"/>
    <x:mergeCell ref="L154:N154"/>
    <x:mergeCell ref="O154:Q154"/>
    <x:mergeCell ref="R154:T154"/>
    <x:mergeCell ref="U154:W154"/>
    <x:mergeCell ref="X154:AC154"/>
    <x:mergeCell ref="B155:E155"/>
    <x:mergeCell ref="F155:K155"/>
    <x:mergeCell ref="L155:N155"/>
    <x:mergeCell ref="O155:Q155"/>
    <x:mergeCell ref="R155:T155"/>
    <x:mergeCell ref="U155:W155"/>
    <x:mergeCell ref="X155:AC155"/>
    <x:mergeCell ref="B156:E156"/>
    <x:mergeCell ref="F156:K156"/>
    <x:mergeCell ref="L156:N156"/>
    <x:mergeCell ref="O156:Q156"/>
    <x:mergeCell ref="R156:T156"/>
    <x:mergeCell ref="U156:W156"/>
    <x:mergeCell ref="X156:AC156"/>
    <x:mergeCell ref="B157:E157"/>
    <x:mergeCell ref="F157:K157"/>
    <x:mergeCell ref="L157:N157"/>
    <x:mergeCell ref="O157:Q157"/>
    <x:mergeCell ref="R157:T157"/>
    <x:mergeCell ref="U157:W157"/>
    <x:mergeCell ref="X157:AC157"/>
    <x:mergeCell ref="B158:E158"/>
    <x:mergeCell ref="F158:K158"/>
    <x:mergeCell ref="L158:N158"/>
    <x:mergeCell ref="O158:Q158"/>
    <x:mergeCell ref="R158:T158"/>
    <x:mergeCell ref="U158:W158"/>
    <x:mergeCell ref="X158:AC158"/>
    <x:mergeCell ref="B159:E159"/>
    <x:mergeCell ref="F159:K159"/>
    <x:mergeCell ref="L159:N159"/>
    <x:mergeCell ref="O159:Q159"/>
    <x:mergeCell ref="R159:T159"/>
    <x:mergeCell ref="U159:W159"/>
    <x:mergeCell ref="X159:AC159"/>
    <x:mergeCell ref="B160:E160"/>
    <x:mergeCell ref="F160:K160"/>
    <x:mergeCell ref="L160:N160"/>
    <x:mergeCell ref="O160:Q160"/>
    <x:mergeCell ref="R160:T160"/>
    <x:mergeCell ref="U160:W160"/>
    <x:mergeCell ref="X160:AC160"/>
    <x:mergeCell ref="B161:E161"/>
    <x:mergeCell ref="F161:K161"/>
    <x:mergeCell ref="L161:N161"/>
    <x:mergeCell ref="O161:Q161"/>
    <x:mergeCell ref="R161:T161"/>
    <x:mergeCell ref="U161:W161"/>
    <x:mergeCell ref="X161:AC161"/>
    <x:mergeCell ref="B162:E162"/>
    <x:mergeCell ref="F162:K162"/>
    <x:mergeCell ref="L162:N162"/>
    <x:mergeCell ref="O162:Q162"/>
    <x:mergeCell ref="R162:T162"/>
    <x:mergeCell ref="U162:W162"/>
    <x:mergeCell ref="X162:AC162"/>
    <x:mergeCell ref="B163:E163"/>
    <x:mergeCell ref="F163:K163"/>
    <x:mergeCell ref="L163:N163"/>
    <x:mergeCell ref="O163:Q163"/>
    <x:mergeCell ref="R163:T163"/>
    <x:mergeCell ref="U163:W163"/>
    <x:mergeCell ref="X163:AC163"/>
    <x:mergeCell ref="B164:E164"/>
    <x:mergeCell ref="F164:K164"/>
    <x:mergeCell ref="L164:N164"/>
    <x:mergeCell ref="O164:Q164"/>
    <x:mergeCell ref="R164:T164"/>
    <x:mergeCell ref="U164:W164"/>
    <x:mergeCell ref="X164:AC164"/>
    <x:mergeCell ref="B165:E165"/>
    <x:mergeCell ref="F165:K165"/>
    <x:mergeCell ref="L165:N165"/>
    <x:mergeCell ref="O165:Q165"/>
    <x:mergeCell ref="R165:T165"/>
    <x:mergeCell ref="U165:W165"/>
    <x:mergeCell ref="X165:AC165"/>
    <x:mergeCell ref="B166:E166"/>
    <x:mergeCell ref="F166:K166"/>
    <x:mergeCell ref="L166:N166"/>
    <x:mergeCell ref="O166:Q166"/>
    <x:mergeCell ref="R166:T166"/>
    <x:mergeCell ref="U166:W166"/>
    <x:mergeCell ref="X166:AC166"/>
    <x:mergeCell ref="B168:AC170"/>
    <x:mergeCell ref="B172:AC174"/>
    <x:mergeCell ref="B176:AC177"/>
    <x:mergeCell ref="B178:AC180"/>
    <x:mergeCell ref="B182:H182"/>
    <x:mergeCell ref="I182:M182"/>
    <x:mergeCell ref="N182:AC182"/>
    <x:mergeCell ref="B183:H183"/>
    <x:mergeCell ref="I183:M183"/>
    <x:mergeCell ref="N183:AC183"/>
    <x:mergeCell ref="B184:H184"/>
    <x:mergeCell ref="I184:M184"/>
    <x:mergeCell ref="N184:AC184"/>
    <x:mergeCell ref="B185:H185"/>
    <x:mergeCell ref="I185:M185"/>
    <x:mergeCell ref="N185:AC185"/>
    <x:mergeCell ref="B186:H186"/>
    <x:mergeCell ref="I186:M186"/>
    <x:mergeCell ref="N186:AC186"/>
    <x:mergeCell ref="B187:H187"/>
    <x:mergeCell ref="I187:M187"/>
    <x:mergeCell ref="N187:AC187"/>
    <x:mergeCell ref="B188:H188"/>
    <x:mergeCell ref="I188:M188"/>
    <x:mergeCell ref="N188:AC188"/>
    <x:mergeCell ref="B189:H189"/>
    <x:mergeCell ref="I189:M189"/>
    <x:mergeCell ref="N189:AC189"/>
    <x:mergeCell ref="B190:H190"/>
    <x:mergeCell ref="I190:M190"/>
    <x:mergeCell ref="N190:AC190"/>
    <x:mergeCell ref="B192:AC194"/>
    <x:mergeCell ref="B196:AC198"/>
    <x:mergeCell ref="B200:AC202"/>
    <x:mergeCell ref="R74:AB74"/>
    <x:mergeCell ref="U6:AC6"/>
    <x:mergeCell ref="U7:AC7"/>
  </x:mergeCells>
  <x:conditionalFormatting sqref="U155:AC166">
    <x:cfRule type="expression" dxfId="0" priority="1">
      <x:formula>$X155="Above threshold"</x:formula>
    </x:cfRule>
    <x:cfRule type="expression" dxfId="1" priority="2">
      <x:formula>$X155="Within threshold"</x:formula>
    </x:cfRule>
  </x:conditionalFormatting>
  <x:dataValidations count="74">
    <x:dataValidation type="list" sqref="B7:H7" showDropDown="0">
      <x:formula1>OFFSET(INDIRECT("'Calculations'!$DA$11"),0,0,MAX(INDIRECT("'Calculations'!$HI$13:$HI$512"))+1,1)</x:formula1>
    </x:dataValidation>
    <x:dataValidation type="list" sqref="J7:S7" showDropDown="0">
      <x:formula1>OFFSET(INDIRECT("'Calculations'!$DB$11"),0,0,MAX(INDIRECT("'Calculations'!$HH$13:$HH$512"))+1,1)</x:formula1>
    </x:dataValidation>
    <x:dataValidation type="list" sqref="E67" showDropDown="0">
      <x:formula1>"What,How"</x:formula1>
    </x:dataValidation>
    <x:dataValidation type="list" sqref="N67" showDropDown="0">
      <x:formula1>"All categories,MANAGING DIRECTOR,DIRECTOR,SENIOR VICE PRESIDENT,VICE PRESIDENT,ASSISTANT VICE PRESIDENT,OFFICER,Other"</x:formula1>
    </x:dataValidation>
    <x:dataValidation type="whole" operator="between" sqref="Z93">
      <x:formula1>1</x:formula1>
      <x:formula2>50</x:formula2>
    </x:dataValidation>
    <x:dataValidation type="decimal" operator="between" sqref="N129">
      <x:formula1>0</x:formula1>
      <x:formula2>1</x:formula2>
    </x:dataValidation>
    <x:dataValidation type="decimal" operator="between" sqref="P129">
      <x:formula1>0</x:formula1>
      <x:formula2>1</x:formula2>
    </x:dataValidation>
    <x:dataValidation type="decimal" operator="between" sqref="R129">
      <x:formula1>0</x:formula1>
      <x:formula2>1</x:formula2>
    </x:dataValidation>
    <x:dataValidation type="decimal" operator="between" sqref="T129">
      <x:formula1>0</x:formula1>
      <x:formula2>1</x:formula2>
    </x:dataValidation>
    <x:dataValidation type="decimal" operator="between" sqref="N130">
      <x:formula1>0</x:formula1>
      <x:formula2>1</x:formula2>
    </x:dataValidation>
    <x:dataValidation type="decimal" operator="between" sqref="P130">
      <x:formula1>0</x:formula1>
      <x:formula2>1</x:formula2>
    </x:dataValidation>
    <x:dataValidation type="decimal" operator="between" sqref="R130">
      <x:formula1>0</x:formula1>
      <x:formula2>1</x:formula2>
    </x:dataValidation>
    <x:dataValidation type="decimal" operator="between" sqref="T130">
      <x:formula1>0</x:formula1>
      <x:formula2>1</x:formula2>
    </x:dataValidation>
    <x:dataValidation type="decimal" operator="between" sqref="N131">
      <x:formula1>0</x:formula1>
      <x:formula2>1</x:formula2>
    </x:dataValidation>
    <x:dataValidation type="decimal" operator="between" sqref="P131">
      <x:formula1>0</x:formula1>
      <x:formula2>1</x:formula2>
    </x:dataValidation>
    <x:dataValidation type="decimal" operator="between" sqref="R131">
      <x:formula1>0</x:formula1>
      <x:formula2>1</x:formula2>
    </x:dataValidation>
    <x:dataValidation type="decimal" operator="between" sqref="T131">
      <x:formula1>0</x:formula1>
      <x:formula2>1</x:formula2>
    </x:dataValidation>
    <x:dataValidation type="decimal" operator="between" sqref="N132">
      <x:formula1>0</x:formula1>
      <x:formula2>1</x:formula2>
    </x:dataValidation>
    <x:dataValidation type="decimal" operator="between" sqref="P132">
      <x:formula1>0</x:formula1>
      <x:formula2>1</x:formula2>
    </x:dataValidation>
    <x:dataValidation type="decimal" operator="between" sqref="R132">
      <x:formula1>0</x:formula1>
      <x:formula2>1</x:formula2>
    </x:dataValidation>
    <x:dataValidation type="decimal" operator="between" sqref="T132">
      <x:formula1>0</x:formula1>
      <x:formula2>1</x:formula2>
    </x:dataValidation>
    <x:dataValidation type="decimal" operator="between" sqref="N133">
      <x:formula1>0</x:formula1>
      <x:formula2>1</x:formula2>
    </x:dataValidation>
    <x:dataValidation type="decimal" operator="between" sqref="P133">
      <x:formula1>0</x:formula1>
      <x:formula2>1</x:formula2>
    </x:dataValidation>
    <x:dataValidation type="decimal" operator="between" sqref="R133">
      <x:formula1>0</x:formula1>
      <x:formula2>1</x:formula2>
    </x:dataValidation>
    <x:dataValidation type="decimal" operator="between" sqref="T133">
      <x:formula1>0</x:formula1>
      <x:formula2>1</x:formula2>
    </x:dataValidation>
    <x:dataValidation type="decimal" operator="between" sqref="N134">
      <x:formula1>0</x:formula1>
      <x:formula2>1</x:formula2>
    </x:dataValidation>
    <x:dataValidation type="decimal" operator="between" sqref="P134">
      <x:formula1>0</x:formula1>
      <x:formula2>1</x:formula2>
    </x:dataValidation>
    <x:dataValidation type="decimal" operator="between" sqref="R134">
      <x:formula1>0</x:formula1>
      <x:formula2>1</x:formula2>
    </x:dataValidation>
    <x:dataValidation type="decimal" operator="between" sqref="T134">
      <x:formula1>0</x:formula1>
      <x:formula2>1</x:formula2>
    </x:dataValidation>
    <x:dataValidation type="decimal" operator="between" sqref="N135">
      <x:formula1>0</x:formula1>
      <x:formula2>1</x:formula2>
    </x:dataValidation>
    <x:dataValidation type="decimal" operator="between" sqref="P135">
      <x:formula1>0</x:formula1>
      <x:formula2>1</x:formula2>
    </x:dataValidation>
    <x:dataValidation type="decimal" operator="between" sqref="R135">
      <x:formula1>0</x:formula1>
      <x:formula2>1</x:formula2>
    </x:dataValidation>
    <x:dataValidation type="decimal" operator="between" sqref="T135">
      <x:formula1>0</x:formula1>
      <x:formula2>1</x:formula2>
    </x:dataValidation>
    <x:dataValidation type="decimal" operator="between" sqref="N143">
      <x:formula1>0</x:formula1>
      <x:formula2>1</x:formula2>
    </x:dataValidation>
    <x:dataValidation type="decimal" operator="between" sqref="P143">
      <x:formula1>0</x:formula1>
      <x:formula2>1</x:formula2>
    </x:dataValidation>
    <x:dataValidation type="decimal" operator="between" sqref="R143">
      <x:formula1>0</x:formula1>
      <x:formula2>1</x:formula2>
    </x:dataValidation>
    <x:dataValidation type="decimal" operator="between" sqref="T143">
      <x:formula1>0</x:formula1>
      <x:formula2>1</x:formula2>
    </x:dataValidation>
    <x:dataValidation type="decimal" operator="between" sqref="N136">
      <x:formula1>0</x:formula1>
      <x:formula2>1</x:formula2>
    </x:dataValidation>
    <x:dataValidation type="decimal" operator="between" sqref="P136">
      <x:formula1>0</x:formula1>
      <x:formula2>1</x:formula2>
    </x:dataValidation>
    <x:dataValidation type="decimal" operator="between" sqref="R136">
      <x:formula1>0</x:formula1>
      <x:formula2>1</x:formula2>
    </x:dataValidation>
    <x:dataValidation type="decimal" operator="between" sqref="T136">
      <x:formula1>0</x:formula1>
      <x:formula2>1</x:formula2>
    </x:dataValidation>
    <x:dataValidation type="decimal" operator="between" sqref="N137">
      <x:formula1>0</x:formula1>
      <x:formula2>1</x:formula2>
    </x:dataValidation>
    <x:dataValidation type="decimal" operator="between" sqref="P137">
      <x:formula1>0</x:formula1>
      <x:formula2>1</x:formula2>
    </x:dataValidation>
    <x:dataValidation type="decimal" operator="between" sqref="R137">
      <x:formula1>0</x:formula1>
      <x:formula2>1</x:formula2>
    </x:dataValidation>
    <x:dataValidation type="decimal" operator="between" sqref="T137">
      <x:formula1>0</x:formula1>
      <x:formula2>1</x:formula2>
    </x:dataValidation>
    <x:dataValidation type="decimal" operator="between" sqref="N138">
      <x:formula1>0</x:formula1>
      <x:formula2>1</x:formula2>
    </x:dataValidation>
    <x:dataValidation type="decimal" operator="between" sqref="P138">
      <x:formula1>0</x:formula1>
      <x:formula2>1</x:formula2>
    </x:dataValidation>
    <x:dataValidation type="decimal" operator="between" sqref="R138">
      <x:formula1>0</x:formula1>
      <x:formula2>1</x:formula2>
    </x:dataValidation>
    <x:dataValidation type="decimal" operator="between" sqref="T138">
      <x:formula1>0</x:formula1>
      <x:formula2>1</x:formula2>
    </x:dataValidation>
    <x:dataValidation type="decimal" operator="between" sqref="N139">
      <x:formula1>0</x:formula1>
      <x:formula2>1</x:formula2>
    </x:dataValidation>
    <x:dataValidation type="decimal" operator="between" sqref="P139">
      <x:formula1>0</x:formula1>
      <x:formula2>1</x:formula2>
    </x:dataValidation>
    <x:dataValidation type="decimal" operator="between" sqref="R139">
      <x:formula1>0</x:formula1>
      <x:formula2>1</x:formula2>
    </x:dataValidation>
    <x:dataValidation type="decimal" operator="between" sqref="T139">
      <x:formula1>0</x:formula1>
      <x:formula2>1</x:formula2>
    </x:dataValidation>
    <x:dataValidation type="decimal" operator="between" sqref="N140">
      <x:formula1>0</x:formula1>
      <x:formula2>1</x:formula2>
    </x:dataValidation>
    <x:dataValidation type="decimal" operator="between" sqref="P140">
      <x:formula1>0</x:formula1>
      <x:formula2>1</x:formula2>
    </x:dataValidation>
    <x:dataValidation type="decimal" operator="between" sqref="R140">
      <x:formula1>0</x:formula1>
      <x:formula2>1</x:formula2>
    </x:dataValidation>
    <x:dataValidation type="decimal" operator="between" sqref="T140">
      <x:formula1>0</x:formula1>
      <x:formula2>1</x:formula2>
    </x:dataValidation>
    <x:dataValidation type="decimal" operator="between" sqref="N141">
      <x:formula1>0</x:formula1>
      <x:formula2>1</x:formula2>
    </x:dataValidation>
    <x:dataValidation type="decimal" operator="between" sqref="P141">
      <x:formula1>0</x:formula1>
      <x:formula2>1</x:formula2>
    </x:dataValidation>
    <x:dataValidation type="decimal" operator="between" sqref="R141">
      <x:formula1>0</x:formula1>
      <x:formula2>1</x:formula2>
    </x:dataValidation>
    <x:dataValidation type="decimal" operator="between" sqref="T141">
      <x:formula1>0</x:formula1>
      <x:formula2>1</x:formula2>
    </x:dataValidation>
    <x:dataValidation type="decimal" operator="between" sqref="N142">
      <x:formula1>0</x:formula1>
      <x:formula2>1</x:formula2>
    </x:dataValidation>
    <x:dataValidation type="decimal" operator="between" sqref="P142">
      <x:formula1>0</x:formula1>
      <x:formula2>1</x:formula2>
    </x:dataValidation>
    <x:dataValidation type="decimal" operator="between" sqref="R142">
      <x:formula1>0</x:formula1>
      <x:formula2>1</x:formula2>
    </x:dataValidation>
    <x:dataValidation type="decimal" operator="between" sqref="T142">
      <x:formula1>0</x:formula1>
      <x:formula2>1</x:formula2>
    </x:dataValidation>
    <x:dataValidation type="decimal" operator="between" sqref="N144">
      <x:formula1>0</x:formula1>
      <x:formula2>1</x:formula2>
    </x:dataValidation>
    <x:dataValidation type="decimal" operator="between" sqref="P144">
      <x:formula1>0</x:formula1>
      <x:formula2>1</x:formula2>
    </x:dataValidation>
    <x:dataValidation type="decimal" operator="between" sqref="R144">
      <x:formula1>0</x:formula1>
      <x:formula2>1</x:formula2>
    </x:dataValidation>
    <x:dataValidation type="decimal" operator="between" sqref="T144">
      <x:formula1>0</x:formula1>
      <x:formula2>1</x:formula2>
    </x:dataValidation>
    <x:dataValidation type="decimal" operator="between" sqref="N147">
      <x:formula1>0</x:formula1>
      <x:formula2>1</x:formula2>
    </x:dataValidation>
    <x:dataValidation type="decimal" operator="between" sqref="P147">
      <x:formula1>0</x:formula1>
      <x:formula2>1</x:formula2>
    </x:dataValidation>
    <x:dataValidation type="decimal" operator="between" sqref="R147">
      <x:formula1>0</x:formula1>
      <x:formula2>1</x:formula2>
    </x:dataValidation>
    <x:dataValidation type="decimal" operator="between" sqref="T147">
      <x:formula1>0</x:formula1>
      <x:formula2>1</x:formula2>
    </x:dataValidation>
    <x:dataValidation type="list" sqref="U7:AC7" showDropDown="0">
      <x:formula1>OFFSET(INDIRECT("'Calculations'!$DD$11"),0,0,MAX(INDIRECT("'Calculations'!$IK$13:$IK$512"))+1,1)</x:formula1>
    </x:dataValidation>
  </x:dataValidations>
  <x:hyperlinks>
    <x:hyperlink ref="B5" location="'Dashboard'!B2" display="Overview"/>
    <x:hyperlink ref="H5" location="'Dashboard'!B40" display="Distributions"/>
    <x:hyperlink ref="N5" location="'Dashboard'!B64" display="Calibration"/>
    <x:hyperlink ref="T5" location="'Dashboard'!B93" display="Team comparison"/>
    <x:hyperlink ref="Z5" location="'Dashboard'!B176" display="Source &amp; checks"/>
  </x:hyperlinks>
  <x:pageMargins left="0.7" right="0.7" top="0.75" bottom="0.75" header="0.3" footer="0.3"/>
  <x:drawing xmlns:r="http://schemas.openxmlformats.org/officeDocument/2006/relationships" r:id="Ra9a754da8afc4f72"/>
</x:worksheet>
</file>

<file path=xl/worksheets/sheet2.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1.109999656677246" hidden="0" customWidth="1"/>
    <x:col min="3" max="3" width="11.109999656677246" hidden="0" customWidth="1"/>
    <x:col min="4" max="4" width="11.109999656677246" hidden="0" customWidth="1"/>
    <x:col min="5" max="5" width="11.109999656677246" hidden="0" customWidth="1"/>
    <x:col min="6" max="6" width="11.109999656677246" hidden="0" customWidth="1"/>
    <x:col min="7" max="7" width="11.109999656677246" hidden="0" customWidth="1"/>
    <x:col min="8" max="8" width="11.109999656677246" hidden="0" customWidth="1"/>
    <x:col min="9" max="9" width="11.109999656677246" hidden="0" customWidth="1"/>
    <x:col min="10" max="10" width="11.109999656677246" hidden="0" customWidth="1"/>
    <x:col min="11" max="11" width="11.109999656677246" hidden="0" customWidth="1"/>
    <x:col min="12" max="12" width="11.109999656677246" hidden="0" customWidth="1"/>
    <x:col min="13" max="13" width="11.109999656677246" hidden="0" customWidth="1"/>
    <x:col min="14" max="16384" width="12" hidden="1" customWidth="1"/>
  </x:cols>
  <x:sheetData>
    <x:row r="1" ht="21" customHeight="1">
      <x:c r="A1" s="75" t="str">
        <x:v>Wealth Calibration Hub · calculation summaries</x:v>
      </x:c>
      <x:c r="B1" s="75"/>
      <x:c r="C1" s="75"/>
      <x:c r="D1" s="75"/>
      <x:c r="E1" s="75"/>
      <x:c r="F1" s="75"/>
      <x:c r="G1" s="75"/>
      <x:c r="H1" s="75"/>
      <x:c r="I1" s="75"/>
      <x:c r="J1" s="75"/>
      <x:c r="K1" s="75"/>
      <x:c r="L1" s="75"/>
      <x:c r="M1" s="75"/>
      <x:c r="N1" s="72"/>
      <x:c r="O1" s="72"/>
      <x:c r="P1" s="72"/>
      <x:c r="Q1" s="72"/>
      <x:c r="R1" s="72"/>
      <x:c r="S1" s="72"/>
      <x:c r="T1" s="72"/>
      <x:c r="U1" s="72"/>
      <x:c r="V1" s="72"/>
      <x:c r="W1" s="72"/>
      <x:c r="X1" s="72"/>
      <x:c r="Y1" s="72"/>
      <x:c r="Z1" s="72"/>
      <x:c r="AA1" s="72"/>
      <x:c r="AB1" s="72"/>
      <x:c r="AC1" s="72"/>
      <x:c r="AD1" s="72"/>
      <x:c r="AF1" s="4" t="str">
        <x:v>WCH_NATIVE_CALCULATIONS_V25</x:v>
      </x:c>
      <x:c r="AG1" s="4"/>
      <x:c r="AH1" s="4"/>
      <x:c r="AI1" s="4"/>
      <x:c r="AJ1" s="4"/>
      <x:c r="AK1" s="4"/>
      <x:c r="AL1" s="4"/>
      <x:c r="AM1" s="4"/>
      <x:c r="AN1" s="4"/>
      <x:c r="AO1" s="4"/>
      <x:c r="AP1" s="4"/>
      <x:c r="AQ1" s="4"/>
      <x:c r="AR1" s="4"/>
      <x:c r="AS1" s="4"/>
      <x:c r="AT1" s="4"/>
      <x:c r="AU1" s="4"/>
      <x:c r="AV1" s="4"/>
      <x:c r="AW1" s="4"/>
      <x:c r="AX1" s="4"/>
      <x:c r="AY1" s="4"/>
      <x:c r="AZ1" s="4"/>
      <x:c r="BA1" s="4"/>
      <x:c r="BB1" s="4"/>
      <x:c r="BC1" s="4"/>
      <x:c r="BD1" s="4"/>
      <x:c r="BE1" s="4"/>
      <x:c r="BF1" s="4"/>
      <x:c r="BG1" s="4"/>
      <x:c r="BH1" s="4"/>
      <x:c r="BI1" s="4"/>
      <x:c r="BJ1" s="4"/>
      <x:c r="BK1" s="4"/>
      <x:c r="BL1" s="4"/>
      <x:c r="BM1" s="4"/>
      <x:c r="BN1" s="4"/>
      <x:c r="BO1" s="4"/>
      <x:c r="BP1" s="4"/>
      <x:c r="BQ1" s="4"/>
      <x:c r="BR1" s="4"/>
      <x:c r="BS1" s="4"/>
      <x:c r="BT1" s="4"/>
      <x:c r="BU1" s="4"/>
      <x:c r="BV1" s="4"/>
      <x:c r="BW1" s="4"/>
      <x:c r="BX1" s="4"/>
      <x:c r="BY1" s="4"/>
      <x:c r="BZ1" s="4"/>
      <x:c r="CA1" s="4"/>
      <x:c r="CB1" s="4"/>
      <x:c r="CC1" s="4"/>
      <x:c r="CD1" s="4"/>
      <x:c r="CE1" s="4"/>
      <x:c r="CF1" s="4"/>
      <x:c r="CG1" s="4"/>
      <x:c r="CH1" s="4"/>
      <x:c r="CI1" s="4"/>
      <x:c r="CJ1" s="4"/>
      <x:c r="CK1" s="4"/>
      <x:c r="CL1" s="4"/>
      <x:c r="CM1" s="4"/>
      <x:c r="CN1" s="4"/>
      <x:c r="CO1" s="4"/>
      <x:c r="CP1" s="4"/>
      <x:c r="CQ1" s="4"/>
      <x:c r="CR1" s="4"/>
      <x:c r="CS1" s="4"/>
      <x:c r="CT1" s="4"/>
      <x:c r="CU1" s="4"/>
      <x:c r="CV1" s="4"/>
      <x:c r="CW1" s="4"/>
      <x:c r="CX1" s="4"/>
      <x:c r="CY1" s="4"/>
      <x:c r="CZ1" s="4"/>
      <x:c r="DA1" s="4"/>
      <x:c r="DB1" s="4"/>
      <x:c r="DC1" s="4"/>
      <x:c r="DD1" s="4"/>
      <x:c r="DE1" s="4"/>
      <x:c r="DF1" s="4"/>
      <x:c r="DG1" s="4"/>
      <x:c r="DH1" s="4"/>
      <x:c r="DI1" s="4"/>
      <x:c r="DJ1" s="4"/>
      <x:c r="DK1" s="4"/>
      <x:c r="DL1" s="4"/>
      <x:c r="DM1" s="4"/>
      <x:c r="DN1" s="4"/>
      <x:c r="DO1" s="4"/>
      <x:c r="DP1" s="4"/>
      <x:c r="DQ1" s="4"/>
      <x:c r="DR1" s="4"/>
      <x:c r="DS1" s="4"/>
      <x:c r="DT1" s="4"/>
      <x:c r="DU1" s="4"/>
      <x:c r="DV1" s="4"/>
      <x:c r="DW1" s="4"/>
      <x:c r="DX1" s="4"/>
      <x:c r="DY1" s="4"/>
      <x:c r="DZ1" s="4"/>
      <x:c r="EA1" s="4"/>
      <x:c r="EB1" s="4"/>
      <x:c r="EC1" s="4"/>
      <x:c r="ED1" s="4"/>
      <x:c r="EE1" s="4"/>
      <x:c r="EF1" s="4"/>
      <x:c r="EG1" s="4"/>
      <x:c r="EH1" s="4"/>
      <x:c r="EI1" s="4"/>
      <x:c r="EJ1" s="4"/>
      <x:c r="EK1" s="4"/>
      <x:c r="EL1" s="4"/>
      <x:c r="EM1" s="4"/>
      <x:c r="EN1" s="4"/>
      <x:c r="EO1" s="4"/>
      <x:c r="EP1" s="4"/>
      <x:c r="EQ1" s="4"/>
      <x:c r="ER1" s="4"/>
      <x:c r="ES1" s="4"/>
      <x:c r="ET1" s="4"/>
      <x:c r="EU1" s="4"/>
      <x:c r="EV1" s="4"/>
      <x:c r="EW1" s="4"/>
      <x:c r="EX1" s="4"/>
      <x:c r="EY1" s="4"/>
      <x:c r="EZ1" s="4"/>
      <x:c r="FA1" s="4"/>
      <x:c r="FB1" s="4"/>
      <x:c r="FC1" s="4"/>
      <x:c r="FD1" s="4"/>
      <x:c r="FE1" s="4"/>
      <x:c r="FF1" s="4"/>
      <x:c r="FG1" s="4"/>
      <x:c r="FH1" s="4"/>
      <x:c r="FI1" s="4"/>
      <x:c r="FJ1" s="4"/>
      <x:c r="FK1" s="4"/>
      <x:c r="FL1" s="4"/>
      <x:c r="FM1" s="4"/>
      <x:c r="FN1" s="4"/>
      <x:c r="FO1" s="4"/>
      <x:c r="GA1" s="71"/>
      <x:c r="GB1" s="71"/>
      <x:c r="GC1" s="71"/>
      <x:c r="GD1" s="71"/>
      <x:c r="GE1" s="71"/>
      <x:c r="GF1" s="71"/>
      <x:c r="GG1" s="71"/>
      <x:c r="GH1" s="71"/>
      <x:c r="GI1" s="71"/>
      <x:c r="GJ1" s="71"/>
      <x:c r="GK1" s="71"/>
      <x:c r="GL1" s="71"/>
      <x:c r="GM1" s="71"/>
      <x:c r="GN1" s="71"/>
      <x:c r="GO1" s="71"/>
      <x:c r="GP1" s="71"/>
      <x:c r="GQ1" s="71"/>
      <x:c r="GR1" s="71"/>
      <x:c r="GS1" s="71"/>
      <x:c r="GT1" s="71"/>
      <x:c r="GU1" s="71"/>
      <x:c r="GV1" s="71"/>
      <x:c r="GW1" s="71"/>
      <x:c r="GX1" s="71"/>
      <x:c r="GY1" s="71"/>
      <x:c r="GZ1" s="71"/>
      <x:c r="HA1" s="71"/>
      <x:c r="HB1" s="71"/>
      <x:c r="HC1" s="71"/>
      <x:c r="HD1" s="71"/>
    </x:row>
    <x:row r="2" ht="21" customHeight="1">
      <x:c r="A2" s="78" t="str">
        <x:v>Raw input: WCM Calibration Final, row 12 onward. Keep this Calculations tab. No macros.</x:v>
      </x:c>
      <x:c r="B2" s="75"/>
      <x:c r="C2" s="75"/>
      <x:c r="D2" s="75"/>
      <x:c r="E2" s="75"/>
      <x:c r="F2" s="75"/>
      <x:c r="G2" s="75"/>
      <x:c r="H2" s="75"/>
      <x:c r="I2" s="75"/>
      <x:c r="J2" s="75"/>
      <x:c r="K2" s="75"/>
      <x:c r="L2" s="75"/>
      <x:c r="M2" s="75"/>
      <x:c r="N2" s="72"/>
      <x:c r="O2" s="72"/>
      <x:c r="P2" s="72"/>
      <x:c r="Q2" s="72"/>
      <x:c r="R2" s="72"/>
      <x:c r="S2" s="72"/>
      <x:c r="T2" s="72"/>
      <x:c r="U2" s="72"/>
      <x:c r="V2" s="72"/>
      <x:c r="W2" s="72"/>
      <x:c r="X2" s="72"/>
      <x:c r="Y2" s="72"/>
      <x:c r="Z2" s="72"/>
      <x:c r="AA2" s="72"/>
      <x:c r="AB2" s="72"/>
      <x:c r="AC2" s="72"/>
      <x:c r="AD2" s="72"/>
      <x:c r="AF2" s="4" t="str">
        <x:f>'Dashboard'!B7</x:f>
        <x:v>All</x:v>
      </x:c>
      <x:c r="AG2" s="4" t="b">
        <x:f>'Calculations'!EL2="Ready"</x:f>
        <x:v>0</x:v>
      </x:c>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4"/>
      <x:c r="DQ2" s="4"/>
      <x:c r="DR2" s="4"/>
      <x:c r="DS2" s="4"/>
      <x:c r="DT2" s="4"/>
      <x:c r="DU2" s="4"/>
      <x:c r="DV2" s="4"/>
      <x:c r="DW2" s="4"/>
      <x:c r="DX2" s="4"/>
      <x:c r="DY2" s="4"/>
      <x:c r="DZ2" s="4"/>
      <x:c r="EA2" s="4"/>
      <x:c r="EB2" s="4"/>
      <x:c r="EC2" s="4"/>
      <x:c r="ED2" s="4"/>
      <x:c r="EE2" s="4"/>
      <x:c r="EF2" s="4" t="str">
        <x:f>IF('Dashboard'!J7="All","All",IFERROR(INDEX('Calculations'!$DQ$11:$DQ$512,MATCH('Dashboard'!J7,'Calculations'!$DB$11:$DB$512,0)),""))</x:f>
        <x:v>All</x:v>
      </x:c>
      <x:c r="EG2" s="4"/>
      <x:c r="EH2" s="4"/>
      <x:c r="EI2" s="4"/>
      <x:c r="EJ2" s="4"/>
      <x:c r="EK2" s="4"/>
      <x:c r="EL2" s="4" t="str">
        <x:f>IFERROR(IF(INDIRECT("'WCM Calibration Final'!$A$11")&lt;&gt;"",IF('Calculations'!$JB$2000&gt;500,"More than 500 records: capacity exceeded","Ready"),"Source row 11 is empty. Check the copied sheet."),"Copy WCM Calibration Final into this workbook")</x:f>
        <x:v>Copy WCM Calibration Final into this workbook</x:v>
      </x:c>
      <x:c r="EM2" s="4"/>
      <x:c r="EN2" s="4"/>
      <x:c r="EO2" s="4"/>
      <x:c r="EP2" s="4"/>
      <x:c r="EQ2" s="4"/>
      <x:c r="ER2" s="4"/>
      <x:c r="ES2" s="4"/>
      <x:c r="ET2" s="4"/>
      <x:c r="EU2" s="4"/>
      <x:c r="EV2" s="4"/>
      <x:c r="EW2" s="4"/>
      <x:c r="EX2" s="4"/>
      <x:c r="EY2" s="4"/>
      <x:c r="EZ2" s="4"/>
      <x:c r="FA2" s="4"/>
      <x:c r="FB2" s="4"/>
      <x:c r="FC2" s="4"/>
      <x:c r="FD2" s="4"/>
      <x:c r="FE2" s="4"/>
      <x:c r="FF2" s="4"/>
      <x:c r="FG2" s="4"/>
      <x:c r="FH2" s="4"/>
      <x:c r="FI2" s="4"/>
      <x:c r="FJ2" s="4"/>
      <x:c r="FK2" s="4"/>
      <x:c r="FL2" s="4"/>
      <x:c r="FM2" s="4"/>
      <x:c r="FN2" s="4"/>
      <x:c r="FO2" s="4"/>
      <x:c r="GA2" s="71"/>
      <x:c r="GB2" s="71"/>
      <x:c r="GC2" s="71"/>
      <x:c r="GD2" s="71"/>
      <x:c r="GE2" s="71"/>
      <x:c r="GF2" s="71"/>
      <x:c r="GG2" s="71"/>
      <x:c r="GH2" s="71"/>
      <x:c r="GI2" s="71"/>
      <x:c r="GJ2" s="71"/>
      <x:c r="GK2" s="71"/>
      <x:c r="GL2" s="71"/>
      <x:c r="GM2" s="71"/>
      <x:c r="GN2" s="71"/>
      <x:c r="GO2" s="71"/>
      <x:c r="GP2" s="71"/>
      <x:c r="GQ2" s="71"/>
      <x:c r="GR2" s="71"/>
      <x:c r="GS2" s="71"/>
      <x:c r="GT2" s="71"/>
      <x:c r="GU2" s="71"/>
      <x:c r="GV2" s="71"/>
      <x:c r="GW2" s="71"/>
      <x:c r="GX2" s="71"/>
      <x:c r="GY2" s="71"/>
      <x:c r="GZ2" s="71"/>
      <x:c r="HA2" s="71"/>
      <x:c r="HB2" s="71"/>
      <x:c r="HC2" s="71"/>
      <x:c r="HD2" s="71"/>
      <x:c r="JJ2" t="str">
        <x:f>IF('Calculations'!$AG$8&gt;0,"",IF('Calculations'!$EF$3&lt;&gt;"All",'Calculations'!$EF$3,'Calculations'!$EF$2))</x:f>
        <x:v>All</x:v>
      </x:c>
    </x:row>
    <x:row r="3" ht="21" customHeight="1">
      <x:c r="A3" s="75"/>
      <x:c r="B3" s="75"/>
      <x:c r="C3" s="75"/>
      <x:c r="D3" s="75"/>
      <x:c r="E3" s="75"/>
      <x:c r="F3" s="75"/>
      <x:c r="G3" s="75"/>
      <x:c r="H3" s="75"/>
      <x:c r="I3" s="75"/>
      <x:c r="J3" s="75"/>
      <x:c r="K3" s="75"/>
      <x:c r="L3" s="75"/>
      <x:c r="M3" s="75"/>
      <x:c r="AF3" s="4"/>
      <x:c r="AG3" s="4" t="b">
        <x:f>'Calculations'!AG2</x:f>
        <x:v>0</x:v>
      </x:c>
      <x:c r="AH3" s="4"/>
      <x:c r="AI3" s="4"/>
      <x:c r="AJ3" s="4"/>
      <x:c r="AK3" s="4"/>
      <x:c r="AL3" s="4"/>
      <x:c r="AM3" s="4"/>
      <x:c r="AN3" s="4"/>
      <x:c r="AO3" s="4"/>
      <x:c r="AP3" s="4"/>
      <x:c r="AQ3" s="4"/>
      <x:c r="AR3" s="4"/>
      <x:c r="AS3" s="4"/>
      <x:c r="AT3" s="4"/>
      <x:c r="AU3" s="4"/>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4"/>
      <x:c r="DQ3" s="4"/>
      <x:c r="DR3" s="4"/>
      <x:c r="DS3" s="4"/>
      <x:c r="DT3" s="4"/>
      <x:c r="DU3" s="4"/>
      <x:c r="DV3" s="4"/>
      <x:c r="DW3" s="4"/>
      <x:c r="DX3" s="4"/>
      <x:c r="DY3" s="4"/>
      <x:c r="DZ3" s="4"/>
      <x:c r="EA3" s="4"/>
      <x:c r="EB3" s="4"/>
      <x:c r="EC3" s="4"/>
      <x:c r="ED3" s="4"/>
      <x:c r="EE3" s="4"/>
      <x:c r="EF3" s="4" t="str">
        <x:f>IF('Dashboard'!U7="All","All",IFERROR(INDEX('Calculations'!$DR$11:$DR$512,MATCH('Dashboard'!U7,'Calculations'!$DD$11:$DD$512,0)),""))</x:f>
        <x:v>All</x:v>
      </x:c>
      <x:c r="EG3" s="4"/>
      <x:c r="EH3" s="4"/>
      <x:c r="EI3" s="4"/>
      <x:c r="EJ3" s="4"/>
      <x:c r="EK3" s="4"/>
      <x:c r="EL3" s="4" t="n">
        <x:f>COUNTIF('Calculations'!$HL$13:$HL$512,1)</x:f>
        <x:v>0</x:v>
      </x:c>
      <x:c r="EM3" s="4"/>
      <x:c r="EN3" s="4"/>
      <x:c r="EO3" s="4"/>
      <x:c r="EP3" s="4"/>
      <x:c r="EQ3" s="4"/>
      <x:c r="ER3" s="4"/>
      <x:c r="ES3" s="4"/>
      <x:c r="ET3" s="4"/>
      <x:c r="EU3" s="4"/>
      <x:c r="EV3" s="4"/>
      <x:c r="EW3" s="4"/>
      <x:c r="EX3" s="4"/>
      <x:c r="EY3" s="4"/>
      <x:c r="EZ3" s="4"/>
      <x:c r="FA3" s="4"/>
      <x:c r="FB3" s="4"/>
      <x:c r="FC3" s="4"/>
      <x:c r="FD3" s="4"/>
      <x:c r="FE3" s="4"/>
      <x:c r="FF3" s="4"/>
      <x:c r="FG3" s="4"/>
      <x:c r="FH3" s="4"/>
      <x:c r="FI3" s="4"/>
      <x:c r="FJ3" s="4"/>
      <x:c r="FK3" s="4"/>
      <x:c r="FL3" s="4"/>
      <x:c r="FM3" s="4"/>
      <x:c r="FN3" s="4"/>
      <x:c r="FO3" s="4"/>
      <x:c r="GA3" s="71"/>
      <x:c r="GB3" s="71"/>
      <x:c r="GC3" s="71"/>
      <x:c r="GD3" s="71"/>
      <x:c r="GE3" s="71"/>
      <x:c r="GF3" s="71"/>
      <x:c r="GG3" s="71"/>
      <x:c r="GH3" s="71"/>
      <x:c r="GI3" s="71"/>
      <x:c r="GJ3" s="71"/>
      <x:c r="GK3" s="71"/>
      <x:c r="GL3" s="71"/>
      <x:c r="GM3" s="71"/>
      <x:c r="GN3" s="71"/>
      <x:c r="GO3" s="71"/>
      <x:c r="GP3" s="71"/>
      <x:c r="GQ3" s="71"/>
      <x:c r="GR3" s="71"/>
      <x:c r="GS3" s="71"/>
      <x:c r="GT3" s="71"/>
      <x:c r="GU3" s="71"/>
      <x:c r="GV3" s="71"/>
      <x:c r="GW3" s="71"/>
      <x:c r="GX3" s="71"/>
      <x:c r="GY3" s="71"/>
      <x:c r="GZ3" s="71"/>
      <x:c r="HA3" s="71"/>
      <x:c r="HB3" s="71"/>
      <x:c r="HC3" s="71"/>
      <x:c r="HD3" s="71"/>
      <x:c r="JJ3" t="n">
        <x:f>MAX('Calculations'!$JE$13:$JE$512)</x:f>
        <x:v>0</x:v>
      </x:c>
    </x:row>
    <x:row r="4" ht="21" customHeight="1">
      <x:c r="A4" s="75" t="str">
        <x:v>Source status</x:v>
      </x:c>
      <x:c r="B4" s="75"/>
      <x:c r="C4" s="75"/>
      <x:c r="D4" s="75" t="str">
        <x:f>EL2</x:f>
        <x:v>Copy WCM Calibration Final into this workbook</x:v>
      </x:c>
      <x:c r="E4" s="75"/>
      <x:c r="F4" s="75"/>
      <x:c r="G4" s="75"/>
      <x:c r="H4" s="75"/>
      <x:c r="I4" s="75"/>
      <x:c r="J4" s="75"/>
      <x:c r="K4" s="75"/>
      <x:c r="L4" s="75"/>
      <x:c r="M4" s="75"/>
      <x:c r="AF4" s="4"/>
      <x:c r="AG4" s="4" t="n">
        <x:f>SUM('Calculations'!$BN$13:$BN$512)</x:f>
        <x:v>0</x:v>
      </x:c>
      <x:c r="AH4" s="4"/>
      <x:c r="AI4" s="4" t="str">
        <x:f>IF(OR(NOT('Calculations'!$AG$3),'Calculations'!$AG$8&gt;0),"—",'Calculations'!AG4)</x:f>
        <x:v>—</x:v>
      </x:c>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4"/>
      <x:c r="DQ4" s="4"/>
      <x:c r="DR4" s="4"/>
      <x:c r="DS4" s="4"/>
      <x:c r="DT4" s="4"/>
      <x:c r="DU4" s="4"/>
      <x:c r="DV4" s="4"/>
      <x:c r="DW4" s="4"/>
      <x:c r="DX4" s="4"/>
      <x:c r="DY4" s="4"/>
      <x:c r="DZ4" s="4"/>
      <x:c r="EA4" s="4"/>
      <x:c r="EB4" s="4"/>
      <x:c r="EC4" s="4"/>
      <x:c r="ED4" s="4"/>
      <x:c r="EE4" s="4"/>
      <x:c r="EF4" s="4"/>
      <x:c r="EG4" s="4"/>
      <x:c r="EH4" s="4"/>
      <x:c r="EI4" s="4"/>
      <x:c r="EJ4" s="4"/>
      <x:c r="EK4" s="4"/>
      <x:c r="EL4" s="4" t="str">
        <x:f>IF('Calculations'!$EL$2&lt;&gt;"Ready",'Calculations'!$EL$2,IF('Calculations'!$AG$8&gt;0,"Choose All or a current value in each filter",IF('Calculations'!$EL$3&gt;0,'Calculations'!$EL$3&amp;" unresolved reporting paths; included under All","Reporting hierarchy ready")))</x:f>
        <x:v>Copy WCM Calibration Final into this workbook</x:v>
      </x:c>
      <x:c r="EM4" s="4"/>
      <x:c r="EN4" s="4"/>
      <x:c r="EO4" s="4"/>
      <x:c r="EP4" s="4"/>
      <x:c r="EQ4" s="4"/>
      <x:c r="ER4" s="4"/>
      <x:c r="ES4" s="4"/>
      <x:c r="ET4" s="4"/>
      <x:c r="EU4" s="4"/>
      <x:c r="EV4" s="4"/>
      <x:c r="EW4" s="4"/>
      <x:c r="EX4" s="4"/>
      <x:c r="EY4" s="4"/>
      <x:c r="EZ4" s="4"/>
      <x:c r="FA4" s="4"/>
      <x:c r="FB4" s="4"/>
      <x:c r="FC4" s="4"/>
      <x:c r="FD4" s="4"/>
      <x:c r="FE4" s="4"/>
      <x:c r="FF4" s="4"/>
      <x:c r="FG4" s="4"/>
      <x:c r="FH4" s="4"/>
      <x:c r="FI4" s="4"/>
      <x:c r="FJ4" s="4"/>
      <x:c r="FK4" s="4"/>
      <x:c r="FL4" s="4"/>
      <x:c r="FM4" s="4"/>
      <x:c r="FN4" s="4"/>
      <x:c r="FO4" s="4"/>
      <x:c r="GA4" s="71"/>
      <x:c r="GB4" s="71"/>
      <x:c r="GC4" s="71"/>
      <x:c r="GD4" s="71"/>
      <x:c r="GE4" s="71"/>
      <x:c r="GF4" s="71"/>
      <x:c r="GG4" s="71"/>
      <x:c r="GH4" s="71"/>
      <x:c r="GI4" s="71"/>
      <x:c r="GJ4" s="71"/>
      <x:c r="GK4" s="71"/>
      <x:c r="GL4" s="71"/>
      <x:c r="GM4" s="71"/>
      <x:c r="GN4" s="71"/>
      <x:c r="GO4" s="71"/>
      <x:c r="GP4" s="71"/>
      <x:c r="GQ4" s="71"/>
      <x:c r="GR4" s="71"/>
      <x:c r="GS4" s="71"/>
      <x:c r="GT4" s="71"/>
      <x:c r="GU4" s="71"/>
      <x:c r="GV4" s="71"/>
      <x:c r="GW4" s="71"/>
      <x:c r="GX4" s="71"/>
      <x:c r="GY4" s="71"/>
      <x:c r="GZ4" s="71"/>
      <x:c r="HA4" s="71"/>
      <x:c r="HB4" s="71"/>
      <x:c r="HC4" s="71"/>
      <x:c r="HD4" s="71"/>
      <x:c r="JJ4" t="n">
        <x:f>MIN(MAX(1,INT('Dashboard'!AS11)),MAX(1,ROUNDUP('Calculations'!JJ3/6,0)))</x:f>
        <x:v>1</x:v>
      </x:c>
    </x:row>
    <x:row r="5" ht="21" customHeight="1">
      <x:c r="A5" s="75"/>
      <x:c r="B5" s="75"/>
      <x:c r="C5" s="75"/>
      <x:c r="D5" s="75"/>
      <x:c r="E5" s="75"/>
      <x:c r="F5" s="75"/>
      <x:c r="G5" s="75"/>
      <x:c r="H5" s="75"/>
      <x:c r="I5" s="75"/>
      <x:c r="J5" s="75"/>
      <x:c r="K5" s="75"/>
      <x:c r="L5" s="75"/>
      <x:c r="M5" s="75"/>
      <x:c r="AF5" s="4"/>
      <x:c r="AG5" s="4" t="n">
        <x:f>COUNTIFS('Calculations'!$BN$13:$BN$512,1,'Calculations'!$BT$13:$BT$512,1)</x:f>
        <x:v>0</x:v>
      </x:c>
      <x:c r="AH5" s="4"/>
      <x:c r="AI5" s="4" t="str">
        <x:f>IF(OR(NOT('Calculations'!$AG$3),'Calculations'!$AG$8&gt;0),"—",'Calculations'!AG5)</x:f>
        <x:v>—</x:v>
      </x:c>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4"/>
      <x:c r="DQ5" s="4"/>
      <x:c r="DR5" s="4"/>
      <x:c r="DS5" s="4"/>
      <x:c r="DT5" s="4"/>
      <x:c r="DU5" s="4"/>
      <x:c r="DV5" s="4"/>
      <x:c r="DW5" s="4"/>
      <x:c r="DX5" s="4"/>
      <x:c r="DY5" s="4"/>
      <x:c r="DZ5" s="4"/>
      <x:c r="EA5" s="4"/>
      <x:c r="EB5" s="4"/>
      <x:c r="EC5" s="4"/>
      <x:c r="ED5" s="4"/>
      <x:c r="EE5" s="4"/>
      <x:c r="EF5" s="4"/>
      <x:c r="EG5" s="4"/>
      <x:c r="EH5" s="4"/>
      <x:c r="EI5" s="4"/>
      <x:c r="EJ5" s="4"/>
      <x:c r="EK5" s="4"/>
      <x:c r="EL5" s="4"/>
      <x:c r="EM5" s="4"/>
      <x:c r="EN5" s="4"/>
      <x:c r="EO5" s="4"/>
      <x:c r="EP5" s="4"/>
      <x:c r="EQ5" s="4"/>
      <x:c r="ER5" s="4"/>
      <x:c r="ES5" s="4"/>
      <x:c r="ET5" s="4"/>
      <x:c r="EU5" s="4"/>
      <x:c r="EV5" s="4"/>
      <x:c r="EW5" s="4"/>
      <x:c r="EX5" s="4"/>
      <x:c r="EY5" s="4"/>
      <x:c r="EZ5" s="4"/>
      <x:c r="FA5" s="4"/>
      <x:c r="FB5" s="4"/>
      <x:c r="FC5" s="4"/>
      <x:c r="FD5" s="4"/>
      <x:c r="FE5" s="4"/>
      <x:c r="FF5" s="4"/>
      <x:c r="FG5" s="4"/>
      <x:c r="FH5" s="4"/>
      <x:c r="FI5" s="4"/>
      <x:c r="FJ5" s="4"/>
      <x:c r="FK5" s="4"/>
      <x:c r="FL5" s="4"/>
      <x:c r="FM5" s="4"/>
      <x:c r="FN5" s="4"/>
      <x:c r="FO5" s="4"/>
      <x:c r="GA5" s="71"/>
      <x:c r="GB5" s="71"/>
      <x:c r="GC5" s="71"/>
      <x:c r="GD5" s="71"/>
      <x:c r="GE5" s="71"/>
      <x:c r="GF5" s="71"/>
      <x:c r="GG5" s="71"/>
      <x:c r="GH5" s="71"/>
      <x:c r="GI5" s="71"/>
      <x:c r="GJ5" s="71"/>
      <x:c r="GK5" s="71"/>
      <x:c r="GL5" s="71"/>
      <x:c r="GM5" s="71"/>
      <x:c r="GN5" s="71"/>
      <x:c r="GO5" s="71"/>
      <x:c r="GP5" s="71"/>
      <x:c r="GQ5" s="71"/>
      <x:c r="GR5" s="71"/>
      <x:c r="GS5" s="71"/>
      <x:c r="GT5" s="71"/>
      <x:c r="GU5" s="71"/>
      <x:c r="GV5" s="71"/>
      <x:c r="GW5" s="71"/>
      <x:c r="GX5" s="71"/>
      <x:c r="GY5" s="71"/>
      <x:c r="GZ5" s="71"/>
      <x:c r="HA5" s="71"/>
      <x:c r="HB5" s="71"/>
      <x:c r="HC5" s="71"/>
      <x:c r="HD5" s="71"/>
    </x:row>
    <x:row r="6" ht="21" customHeight="1">
      <x:c r="A6" s="75" t="str">
        <x:v>All occupied employees</x:v>
      </x:c>
      <x:c r="B6" s="75"/>
      <x:c r="C6" s="75"/>
      <x:c r="D6" s="75" t="str">
        <x:f>IF(EL2="Ready",AG9,"—")</x:f>
        <x:v>—</x:v>
      </x:c>
      <x:c r="E6" s="75"/>
      <x:c r="F6" s="75"/>
      <x:c r="G6" s="75"/>
      <x:c r="H6" s="75"/>
      <x:c r="I6" s="75"/>
      <x:c r="J6" s="75"/>
      <x:c r="K6" s="75"/>
      <x:c r="L6" s="75"/>
      <x:c r="M6" s="75"/>
      <x:c r="AF6" s="4"/>
      <x:c r="AG6" s="4" t="str">
        <x:f>IF('Calculations'!AG4=0,"n.a.",'Calculations'!AG5/'Calculations'!AG4)</x:f>
        <x:v>n.a.</x:v>
      </x:c>
      <x:c r="AH6" s="4"/>
      <x:c r="AI6" s="18" t="str">
        <x:f>IF(OR(NOT('Calculations'!$AG$3),'Calculations'!$AG$8&gt;0),"—",'Calculations'!AG6)</x:f>
        <x:v>—</x:v>
      </x:c>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4"/>
      <x:c r="DQ6" s="4"/>
      <x:c r="DR6" s="4"/>
      <x:c r="DS6" s="4"/>
      <x:c r="DT6" s="4"/>
      <x:c r="DU6" s="4"/>
      <x:c r="DV6" s="4"/>
      <x:c r="DW6" s="4"/>
      <x:c r="DX6" s="4"/>
      <x:c r="DY6" s="4"/>
      <x:c r="DZ6" s="4"/>
      <x:c r="EA6" s="4"/>
      <x:c r="EB6" s="4"/>
      <x:c r="EC6" s="4"/>
      <x:c r="ED6" s="4"/>
      <x:c r="EE6" s="4"/>
      <x:c r="EF6" s="4"/>
      <x:c r="EG6" s="4"/>
      <x:c r="EH6" s="4"/>
      <x:c r="EI6" s="4"/>
      <x:c r="EJ6" s="4"/>
      <x:c r="EK6" s="4"/>
      <x:c r="EL6" s="4"/>
      <x:c r="EM6" s="4"/>
      <x:c r="EN6" s="4"/>
      <x:c r="EO6" s="4"/>
      <x:c r="EP6" s="4"/>
      <x:c r="EQ6" s="4"/>
      <x:c r="ER6" s="4"/>
      <x:c r="ES6" s="4"/>
      <x:c r="ET6" s="4"/>
      <x:c r="EU6" s="4"/>
      <x:c r="EV6" s="4"/>
      <x:c r="EW6" s="4"/>
      <x:c r="EX6" s="4"/>
      <x:c r="EY6" s="4"/>
      <x:c r="EZ6" s="4"/>
      <x:c r="FA6" s="4"/>
      <x:c r="FB6" s="4"/>
      <x:c r="FC6" s="4"/>
      <x:c r="FD6" s="4"/>
      <x:c r="FE6" s="4"/>
      <x:c r="FF6" s="4"/>
      <x:c r="FG6" s="4"/>
      <x:c r="FH6" s="4"/>
      <x:c r="FI6" s="4"/>
      <x:c r="FJ6" s="4"/>
      <x:c r="FK6" s="4"/>
      <x:c r="FL6" s="4"/>
      <x:c r="FM6" s="4"/>
      <x:c r="FN6" s="4"/>
      <x:c r="FO6" s="4"/>
      <x:c r="GA6" s="71"/>
      <x:c r="GB6" s="71"/>
      <x:c r="GC6" s="71"/>
      <x:c r="GD6" s="71"/>
      <x:c r="GE6" s="71"/>
      <x:c r="GF6" s="71"/>
      <x:c r="GG6" s="71"/>
      <x:c r="GH6" s="71"/>
      <x:c r="GI6" s="71"/>
      <x:c r="GJ6" s="71"/>
      <x:c r="GK6" s="71"/>
      <x:c r="GL6" s="71"/>
      <x:c r="GM6" s="71"/>
      <x:c r="GN6" s="71"/>
      <x:c r="GO6" s="71"/>
      <x:c r="GP6" s="71"/>
      <x:c r="GQ6" s="71"/>
      <x:c r="GR6" s="71"/>
      <x:c r="GS6" s="71"/>
      <x:c r="GT6" s="71"/>
      <x:c r="GU6" s="71"/>
      <x:c r="GV6" s="71"/>
      <x:c r="GW6" s="71"/>
      <x:c r="GX6" s="71"/>
      <x:c r="GY6" s="71"/>
      <x:c r="GZ6" s="71"/>
      <x:c r="HA6" s="71"/>
      <x:c r="HB6" s="71"/>
      <x:c r="HC6" s="71"/>
      <x:c r="HD6" s="71"/>
    </x:row>
    <x:row r="7" ht="21" customHeight="1">
      <x:c r="A7" s="75"/>
      <x:c r="B7" s="75"/>
      <x:c r="C7" s="75"/>
      <x:c r="D7" s="75"/>
      <x:c r="E7" s="75"/>
      <x:c r="F7" s="75"/>
      <x:c r="G7" s="75"/>
      <x:c r="H7" s="75"/>
      <x:c r="I7" s="75"/>
      <x:c r="J7" s="75"/>
      <x:c r="K7" s="75"/>
      <x:c r="L7" s="75"/>
      <x:c r="M7" s="75"/>
      <x:c r="AF7" s="4"/>
      <x:c r="AG7" s="4" t="n">
        <x:f>'Calculations'!AG4-'Calculations'!AG5</x:f>
        <x:v>0</x:v>
      </x:c>
      <x:c r="AH7" s="4"/>
      <x:c r="AI7" s="4" t="str">
        <x:f>IF(OR(NOT('Calculations'!$AG$3),'Calculations'!$AG$8&gt;0),"—",'Calculations'!AG7)</x:f>
        <x:v>—</x:v>
      </x:c>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4"/>
      <x:c r="DQ7" s="4"/>
      <x:c r="DR7" s="4"/>
      <x:c r="DS7" s="4"/>
      <x:c r="DT7" s="4"/>
      <x:c r="DU7" s="4"/>
      <x:c r="DV7" s="4"/>
      <x:c r="DW7" s="4"/>
      <x:c r="DX7" s="4"/>
      <x:c r="DY7" s="4"/>
      <x:c r="DZ7" s="4"/>
      <x:c r="EA7" s="4"/>
      <x:c r="EB7" s="4"/>
      <x:c r="EC7" s="4"/>
      <x:c r="ED7" s="4"/>
      <x:c r="EE7" s="4"/>
      <x:c r="EF7" s="4"/>
      <x:c r="EG7" s="4"/>
      <x:c r="EH7" s="4"/>
      <x:c r="EI7" s="4"/>
      <x:c r="EJ7" s="4"/>
      <x:c r="EK7" s="4"/>
      <x:c r="EL7" s="4"/>
      <x:c r="EM7" s="4"/>
      <x:c r="EN7" s="4"/>
      <x:c r="EO7" s="4"/>
      <x:c r="EP7" s="4"/>
      <x:c r="EQ7" s="4"/>
      <x:c r="ER7" s="4"/>
      <x:c r="ES7" s="4"/>
      <x:c r="ET7" s="4"/>
      <x:c r="EU7" s="4"/>
      <x:c r="EV7" s="4"/>
      <x:c r="EW7" s="4"/>
      <x:c r="EX7" s="4"/>
      <x:c r="EY7" s="4"/>
      <x:c r="EZ7" s="4"/>
      <x:c r="FA7" s="4"/>
      <x:c r="FB7" s="4"/>
      <x:c r="FC7" s="4"/>
      <x:c r="FD7" s="4"/>
      <x:c r="FE7" s="4"/>
      <x:c r="FF7" s="4"/>
      <x:c r="FG7" s="4"/>
      <x:c r="FH7" s="4"/>
      <x:c r="FI7" s="4"/>
      <x:c r="FJ7" s="4"/>
      <x:c r="FK7" s="4"/>
      <x:c r="FL7" s="4"/>
      <x:c r="FM7" s="4"/>
      <x:c r="FN7" s="4"/>
      <x:c r="FO7" s="4"/>
      <x:c r="GA7" s="71"/>
      <x:c r="GB7" s="71"/>
      <x:c r="GC7" s="71"/>
      <x:c r="GD7" s="71"/>
      <x:c r="GE7" s="71"/>
      <x:c r="GF7" s="71"/>
      <x:c r="GG7" s="71"/>
      <x:c r="GH7" s="71"/>
      <x:c r="GI7" s="71"/>
      <x:c r="GJ7" s="71"/>
      <x:c r="GK7" s="71"/>
      <x:c r="GL7" s="71"/>
      <x:c r="GM7" s="71"/>
      <x:c r="GN7" s="71"/>
      <x:c r="GO7" s="71"/>
      <x:c r="GP7" s="71"/>
      <x:c r="GQ7" s="71"/>
      <x:c r="GR7" s="71"/>
      <x:c r="GS7" s="71"/>
      <x:c r="GT7" s="71"/>
      <x:c r="GU7" s="71"/>
      <x:c r="GV7" s="71"/>
      <x:c r="GW7" s="71"/>
      <x:c r="GX7" s="71"/>
      <x:c r="GY7" s="71"/>
      <x:c r="GZ7" s="71"/>
      <x:c r="HA7" s="71"/>
      <x:c r="HB7" s="71"/>
      <x:c r="HC7" s="71"/>
      <x:c r="HD7" s="71"/>
    </x:row>
    <x:row r="8" ht="21" customHeight="1">
      <x:c r="A8" s="78" t="str">
        <x:v>These are summaries, not a second roster. The full formula area begins at AF and is hidden for readability. All raw input references resolve to WCM Calibration Final. Unhide columns to inspect calculations.</x:v>
      </x:c>
      <x:c r="B8" s="75"/>
      <x:c r="C8" s="75"/>
      <x:c r="D8" s="75"/>
      <x:c r="E8" s="75"/>
      <x:c r="F8" s="75"/>
      <x:c r="G8" s="75"/>
      <x:c r="H8" s="75"/>
      <x:c r="I8" s="75"/>
      <x:c r="J8" s="75"/>
      <x:c r="K8" s="75"/>
      <x:c r="L8" s="75"/>
      <x:c r="M8" s="75"/>
      <x:c r="AF8" s="4"/>
      <x:c r="AG8" s="4" t="n">
        <x:f>IF(OR('Calculations'!EF2="",'Calculations'!EF3="",COUNTIF('Calculations'!$DA$11:$DA$512,'Dashboard'!B7)=0),1,0)</x:f>
        <x:v>0</x:v>
      </x:c>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4"/>
      <x:c r="DQ8" s="4"/>
      <x:c r="DR8" s="4"/>
      <x:c r="DS8" s="4"/>
      <x:c r="DT8" s="4"/>
      <x:c r="DU8" s="4"/>
      <x:c r="DV8" s="4"/>
      <x:c r="DW8" s="4"/>
      <x:c r="DX8" s="4"/>
      <x:c r="DY8" s="4"/>
      <x:c r="DZ8" s="4"/>
      <x:c r="EA8" s="4"/>
      <x:c r="EB8" s="4"/>
      <x:c r="EC8" s="4"/>
      <x:c r="ED8" s="4"/>
      <x:c r="EE8" s="4"/>
      <x:c r="EF8" s="4"/>
      <x:c r="EG8" s="4"/>
      <x:c r="EH8" s="4"/>
      <x:c r="EI8" s="4"/>
      <x:c r="EJ8" s="4"/>
      <x:c r="EK8" s="4"/>
      <x:c r="EL8" s="4"/>
      <x:c r="EM8" s="4"/>
      <x:c r="EN8" s="4"/>
      <x:c r="EO8" s="4"/>
      <x:c r="EP8" s="4"/>
      <x:c r="EQ8" s="4"/>
      <x:c r="ER8" s="4"/>
      <x:c r="ES8" s="4"/>
      <x:c r="ET8" s="4"/>
      <x:c r="EU8" s="4"/>
      <x:c r="EV8" s="4"/>
      <x:c r="EW8" s="4"/>
      <x:c r="EX8" s="4"/>
      <x:c r="EY8" s="4"/>
      <x:c r="EZ8" s="4"/>
      <x:c r="FA8" s="4"/>
      <x:c r="FB8" s="4"/>
      <x:c r="FC8" s="4"/>
      <x:c r="FD8" s="4"/>
      <x:c r="FE8" s="4"/>
      <x:c r="FF8" s="4"/>
      <x:c r="FG8" s="4"/>
      <x:c r="FH8" s="4"/>
      <x:c r="FI8" s="4"/>
      <x:c r="FJ8" s="4"/>
      <x:c r="FK8" s="4"/>
      <x:c r="FL8" s="4"/>
      <x:c r="FM8" s="4"/>
      <x:c r="FN8" s="4"/>
      <x:c r="FO8" s="4"/>
      <x:c r="GA8" s="71"/>
      <x:c r="GB8" s="71"/>
      <x:c r="GC8" s="71"/>
      <x:c r="GD8" s="71"/>
      <x:c r="GE8" s="71"/>
      <x:c r="GF8" s="71"/>
      <x:c r="GG8" s="71"/>
      <x:c r="GH8" s="71"/>
      <x:c r="GI8" s="71"/>
      <x:c r="GJ8" s="71"/>
      <x:c r="GK8" s="71"/>
      <x:c r="GL8" s="71"/>
      <x:c r="GM8" s="71"/>
      <x:c r="GN8" s="71"/>
      <x:c r="GO8" s="71"/>
      <x:c r="GP8" s="71"/>
      <x:c r="GQ8" s="71"/>
      <x:c r="GR8" s="71"/>
      <x:c r="GS8" s="71"/>
      <x:c r="GT8" s="71"/>
      <x:c r="GU8" s="71"/>
      <x:c r="GV8" s="71"/>
      <x:c r="GW8" s="71"/>
      <x:c r="GX8" s="71"/>
      <x:c r="GY8" s="71"/>
      <x:c r="GZ8" s="71"/>
      <x:c r="HA8" s="71"/>
      <x:c r="HB8" s="71"/>
      <x:c r="HC8" s="71"/>
      <x:c r="HD8" s="71"/>
    </x:row>
    <x:row r="9" ht="21" customHeight="1">
      <x:c r="A9" s="75"/>
      <x:c r="B9" s="75"/>
      <x:c r="C9" s="75"/>
      <x:c r="D9" s="75"/>
      <x:c r="E9" s="75"/>
      <x:c r="F9" s="75"/>
      <x:c r="G9" s="75"/>
      <x:c r="H9" s="75"/>
      <x:c r="I9" s="75"/>
      <x:c r="J9" s="75"/>
      <x:c r="K9" s="75"/>
      <x:c r="L9" s="75"/>
      <x:c r="M9" s="75"/>
      <x:c r="AF9" s="4"/>
      <x:c r="AG9" s="4" t="n">
        <x:f>'Calculations'!$JB$2000</x:f>
        <x:v>0</x:v>
      </x:c>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4"/>
      <x:c r="DQ9" s="4"/>
      <x:c r="DR9" s="4"/>
      <x:c r="DS9" s="4"/>
      <x:c r="DT9" s="4"/>
      <x:c r="DU9" s="4"/>
      <x:c r="DV9" s="4"/>
      <x:c r="DW9" s="4"/>
      <x:c r="DX9" s="4"/>
      <x:c r="DY9" s="4"/>
      <x:c r="DZ9" s="4"/>
      <x:c r="EA9" s="4"/>
      <x:c r="EB9" s="4"/>
      <x:c r="EC9" s="4"/>
      <x:c r="ED9" s="4"/>
      <x:c r="EE9" s="4"/>
      <x:c r="EF9" s="4"/>
      <x:c r="EG9" s="4"/>
      <x:c r="EH9" s="4"/>
      <x:c r="EI9" s="4"/>
      <x:c r="EJ9" s="4"/>
      <x:c r="EK9" s="4"/>
      <x:c r="EL9" s="4"/>
      <x:c r="EM9" s="4"/>
      <x:c r="EN9" s="4"/>
      <x:c r="EO9" s="4"/>
      <x:c r="EP9" s="4"/>
      <x:c r="EQ9" s="4"/>
      <x:c r="ER9" s="4"/>
      <x:c r="ES9" s="4"/>
      <x:c r="ET9" s="4"/>
      <x:c r="EU9" s="4"/>
      <x:c r="EV9" s="4"/>
      <x:c r="EW9" s="4"/>
      <x:c r="EX9" s="4"/>
      <x:c r="EY9" s="4"/>
      <x:c r="EZ9" s="4"/>
      <x:c r="FA9" s="4"/>
      <x:c r="FB9" s="4"/>
      <x:c r="FC9" s="4"/>
      <x:c r="FD9" s="4"/>
      <x:c r="FE9" s="4"/>
      <x:c r="FF9" s="4"/>
      <x:c r="FG9" s="4"/>
      <x:c r="FH9" s="4"/>
      <x:c r="FI9" s="4"/>
      <x:c r="FJ9" s="4"/>
      <x:c r="FK9" s="4"/>
      <x:c r="FL9" s="4"/>
      <x:c r="FM9" s="4"/>
      <x:c r="FN9" s="4"/>
      <x:c r="FO9" s="4"/>
      <x:c r="GA9" s="71"/>
      <x:c r="GB9" s="71" t="str">
        <x:f>IF(NOT('Calculations'!AG2),'Calculations'!EL2,IF('Calculations'!AG8&gt;0,"Filter selection is no longer valid. Select All or choose a current list value.",TEXT('Calculations'!AG4,"0")&amp;" of "&amp;TEXT('Calculations'!AG9,"0")&amp;" employee records in view · What K / How L · "&amp;TEXT('Calculations'!EL3,"0")&amp;" unresolved reporting paths"))</x:f>
        <x:v>Copy WCM Calibration Final into this workbook</x:v>
      </x:c>
      <x:c r="GC9" s="71"/>
      <x:c r="GD9" s="71"/>
      <x:c r="GE9" s="71"/>
      <x:c r="GF9" s="71"/>
      <x:c r="GG9" s="71"/>
      <x:c r="GH9" s="71"/>
      <x:c r="GI9" s="71"/>
      <x:c r="GJ9" s="71"/>
      <x:c r="GK9" s="71"/>
      <x:c r="GL9" s="71"/>
      <x:c r="GM9" s="71"/>
      <x:c r="GN9" s="71"/>
      <x:c r="GO9" s="71"/>
      <x:c r="GP9" s="71"/>
      <x:c r="GQ9" s="71"/>
      <x:c r="GR9" s="71"/>
      <x:c r="GS9" s="71"/>
      <x:c r="GT9" s="71"/>
      <x:c r="GU9" s="71"/>
      <x:c r="GV9" s="71"/>
      <x:c r="GW9" s="71"/>
      <x:c r="GX9" s="71"/>
      <x:c r="GY9" s="71"/>
      <x:c r="GZ9" s="71"/>
      <x:c r="HA9" s="71"/>
      <x:c r="HB9" s="71"/>
      <x:c r="HC9" s="71"/>
      <x:c r="HD9" s="71"/>
    </x:row>
    <x:row r="10" ht="21" customHeight="1">
      <x:c r="A10" s="75"/>
      <x:c r="B10" s="75"/>
      <x:c r="C10" s="75"/>
      <x:c r="D10" s="75"/>
      <x:c r="E10" s="75"/>
      <x:c r="F10" s="75"/>
      <x:c r="G10" s="75"/>
      <x:c r="H10" s="75"/>
      <x:c r="I10" s="75"/>
      <x:c r="J10" s="75"/>
      <x:c r="K10" s="75"/>
      <x:c r="L10" s="75"/>
      <x:c r="M10" s="75"/>
      <x:c r="AF10" s="4"/>
      <x:c r="AG10" s="4" t="n">
        <x:f>'Calculations'!EL3</x:f>
        <x:v>0</x:v>
      </x:c>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4"/>
      <x:c r="DQ10" s="4"/>
      <x:c r="DR10" s="4"/>
      <x:c r="DS10" s="4"/>
      <x:c r="DT10" s="4"/>
      <x:c r="DU10" s="4"/>
      <x:c r="DV10" s="4"/>
      <x:c r="DW10" s="4"/>
      <x:c r="DX10" s="4"/>
      <x:c r="DY10" s="4"/>
      <x:c r="DZ10" s="4"/>
      <x:c r="EA10" s="4"/>
      <x:c r="EB10" s="4"/>
      <x:c r="EC10" s="4"/>
      <x:c r="ED10" s="4"/>
      <x:c r="EE10" s="4"/>
      <x:c r="EF10" s="4"/>
      <x:c r="EG10" s="4"/>
      <x:c r="EH10" s="4"/>
      <x:c r="EI10" s="4"/>
      <x:c r="EJ10" s="4"/>
      <x:c r="EK10" s="4"/>
      <x:c r="EL10" s="4"/>
      <x:c r="EM10" s="4"/>
      <x:c r="EN10" s="4"/>
      <x:c r="EO10" s="4"/>
      <x:c r="EP10" s="4"/>
      <x:c r="EQ10" s="4"/>
      <x:c r="ER10" s="4"/>
      <x:c r="ES10" s="4"/>
      <x:c r="ET10" s="4"/>
      <x:c r="EU10" s="4"/>
      <x:c r="EV10" s="4"/>
      <x:c r="EW10" s="4"/>
      <x:c r="EX10" s="4"/>
      <x:c r="EY10" s="4"/>
      <x:c r="EZ10" s="4"/>
      <x:c r="FA10" s="4"/>
      <x:c r="FB10" s="4"/>
      <x:c r="FC10" s="4"/>
      <x:c r="FD10" s="4"/>
      <x:c r="FE10" s="4"/>
      <x:c r="FF10" s="4"/>
      <x:c r="FG10" s="4"/>
      <x:c r="FH10" s="4"/>
      <x:c r="FI10" s="4"/>
      <x:c r="FJ10" s="4"/>
      <x:c r="FK10" s="4"/>
      <x:c r="FL10" s="4"/>
      <x:c r="FM10" s="4"/>
      <x:c r="FN10" s="4"/>
      <x:c r="FO10" s="4"/>
      <x:c r="GA10" s="71"/>
      <x:c r="GB10" s="71"/>
      <x:c r="GC10" s="71"/>
      <x:c r="GD10" s="71"/>
      <x:c r="GE10" s="71"/>
      <x:c r="GF10" s="71"/>
      <x:c r="GG10" s="71"/>
      <x:c r="GH10" s="71"/>
      <x:c r="GI10" s="71"/>
      <x:c r="GJ10" s="71"/>
      <x:c r="GK10" s="71"/>
      <x:c r="GL10" s="71"/>
      <x:c r="GM10" s="71"/>
      <x:c r="GN10" s="71"/>
      <x:c r="GO10" s="71"/>
      <x:c r="GP10" s="71"/>
      <x:c r="GQ10" s="71"/>
      <x:c r="GR10" s="71"/>
      <x:c r="GS10" s="71"/>
      <x:c r="GT10" s="71"/>
      <x:c r="GU10" s="71"/>
      <x:c r="GV10" s="71"/>
      <x:c r="GW10" s="71"/>
      <x:c r="GX10" s="71"/>
      <x:c r="GY10" s="71"/>
      <x:c r="GZ10" s="71"/>
      <x:c r="HA10" s="71"/>
      <x:c r="HB10" s="71"/>
      <x:c r="HC10" s="71"/>
      <x:c r="HD10" s="71"/>
    </x:row>
    <x:row r="11" ht="21" customHeight="1">
      <x:c r="A11" s="80" t="str">
        <x:v>What</x:v>
      </x:c>
      <x:c r="B11" s="80" t="str">
        <x:v>Count</x:v>
      </x:c>
      <x:c r="C11" s="80" t="str">
        <x:v>Share</x:v>
      </x:c>
      <x:c r="D11" s="75"/>
      <x:c r="E11" s="75"/>
      <x:c r="F11" s="80" t="str">
        <x:v>How</x:v>
      </x:c>
      <x:c r="G11" s="80" t="str">
        <x:v>Count</x:v>
      </x:c>
      <x:c r="H11" s="80" t="str">
        <x:v>Share</x:v>
      </x:c>
      <x:c r="I11" s="75"/>
      <x:c r="J11" s="75"/>
      <x:c r="K11" s="75"/>
      <x:c r="L11" s="75"/>
      <x:c r="M11" s="75"/>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t="str">
        <x:v>Employee</x:v>
      </x:c>
      <x:c r="BN11" s="4" t="str">
        <x:v>Scope</x:v>
      </x:c>
      <x:c r="BO11" s="4" t="str">
        <x:v>Valid What (K)</x:v>
      </x:c>
      <x:c r="BP11" s="4" t="str">
        <x:v>Valid How (L)</x:v>
      </x:c>
      <x:c r="BQ11" s="4" t="str">
        <x:v>Unused</x:v>
      </x:c>
      <x:c r="BR11" s="4" t="str">
        <x:v>Unused</x:v>
      </x:c>
      <x:c r="BS11" s="4" t="str">
        <x:v>Unused</x:v>
      </x:c>
      <x:c r="BT11" s="4" t="str">
        <x:v>Fully rated</x:v>
      </x:c>
      <x:c r="BU11" s="4" t="str">
        <x:v>Reporting branch</x:v>
      </x:c>
      <x:c r="BV11" s="4" t="str">
        <x:v>Officer category</x:v>
      </x:c>
      <x:c r="BW11" s="4" t="str">
        <x:v>Unused</x:v>
      </x:c>
      <x:c r="BX11" s="4" t="str">
        <x:v>Unused</x:v>
      </x:c>
      <x:c r="BY11" s="4" t="str">
        <x:v>Branch index</x:v>
      </x:c>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t="str">
        <x:v>All</x:v>
      </x:c>
      <x:c r="DB11" s="4" t="str">
        <x:v>All</x:v>
      </x:c>
      <x:c r="DC11" s="4" t="str">
        <x:v>All</x:v>
      </x:c>
      <x:c r="DD11" s="4" t="str">
        <x:v>All</x:v>
      </x:c>
      <x:c r="DE11" s="4" t="str">
        <x:v>Below direct / reporting branch</x:v>
      </x:c>
      <x:c r="DF11" s="4" t="str">
        <x:v>Population</x:v>
      </x:c>
      <x:c r="DG11" s="4" t="str">
        <x:v>Fully rated</x:v>
      </x:c>
      <x:c r="DH11" s="4" t="str">
        <x:v>Pending</x:v>
      </x:c>
      <x:c r="DI11" s="4" t="str">
        <x:v>Completion</x:v>
      </x:c>
      <x:c r="DJ11" s="4" t="str">
        <x:v>High</x:v>
      </x:c>
      <x:c r="DK11" s="4" t="str">
        <x:v>Strong</x:v>
      </x:c>
      <x:c r="DL11" s="4" t="str">
        <x:v>Solid</x:v>
      </x:c>
      <x:c r="DM11" s="4" t="str">
        <x:v>Low</x:v>
      </x:c>
      <x:c r="DN11" s="4" t="str">
        <x:v>Direct reports</x:v>
      </x:c>
      <x:c r="DO11" s="4" t="str">
        <x:v>High + Strong</x:v>
      </x:c>
      <x:c r="DP11" s="4"/>
      <x:c r="DQ11" s="4" t="str">
        <x:v>All</x:v>
      </x:c>
      <x:c r="DR11" s="4" t="str">
        <x:v>All</x:v>
      </x:c>
      <x:c r="DS11" s="4"/>
      <x:c r="DT11" s="4"/>
      <x:c r="DU11" s="4"/>
      <x:c r="DV11" s="4"/>
      <x:c r="DW11" s="4"/>
      <x:c r="DX11" s="4"/>
      <x:c r="DY11" s="4"/>
      <x:c r="DZ11" s="4"/>
      <x:c r="EA11" s="4"/>
      <x:c r="EB11" s="4"/>
      <x:c r="EC11" s="4"/>
      <x:c r="ED11" s="4"/>
      <x:c r="EE11" s="4"/>
      <x:c r="EF11" s="4"/>
      <x:c r="EG11" s="4"/>
      <x:c r="EH11" s="4"/>
      <x:c r="EI11" s="4"/>
      <x:c r="EJ11" s="4"/>
      <x:c r="EK11" s="4"/>
      <x:c r="EL11" s="4"/>
      <x:c r="EM11" s="4" t="str">
        <x:v>Original source row</x:v>
      </x:c>
      <x:c r="EN11" s="4" t="str">
        <x:v>Hierarchy and product scope</x:v>
      </x:c>
      <x:c r="EO11" s="4" t="str">
        <x:v>Reporting branch</x:v>
      </x:c>
      <x:c r="EP11" s="4"/>
      <x:c r="EQ11" s="4"/>
      <x:c r="ER11" s="4"/>
      <x:c r="ES11" s="4"/>
      <x:c r="ET11" s="4"/>
      <x:c r="EU11" s="4"/>
      <x:c r="EV11" s="4"/>
      <x:c r="EW11" s="4"/>
      <x:c r="EX11" s="4"/>
      <x:c r="EY11" s="4"/>
      <x:c r="EZ11" s="4"/>
      <x:c r="FA11" s="4"/>
      <x:c r="FB11" s="4"/>
      <x:c r="FC11" s="4"/>
      <x:c r="FD11" s="4"/>
      <x:c r="FE11" s="4"/>
      <x:c r="FF11" s="4"/>
      <x:c r="FG11" s="4"/>
      <x:c r="FH11" s="4"/>
      <x:c r="FI11" s="4"/>
      <x:c r="FJ11" s="4"/>
      <x:c r="FK11" s="4"/>
      <x:c r="FL11" s="4"/>
      <x:c r="FM11" s="4"/>
      <x:c r="FN11" s="4"/>
      <x:c r="FO11" s="4"/>
      <x:c r="GA11" s="71"/>
      <x:c r="GB11" s="71"/>
      <x:c r="GC11" s="71"/>
      <x:c r="GD11" s="71"/>
      <x:c r="GE11" s="71"/>
      <x:c r="GF11" s="71"/>
      <x:c r="GG11" s="71"/>
      <x:c r="GH11" s="71"/>
      <x:c r="GI11" s="71"/>
      <x:c r="GJ11" s="71"/>
      <x:c r="GK11" s="71"/>
      <x:c r="GL11" s="71"/>
      <x:c r="GM11" s="71"/>
      <x:c r="GN11" s="71"/>
      <x:c r="GO11" s="71"/>
      <x:c r="GP11" s="71"/>
      <x:c r="GQ11" s="71"/>
      <x:c r="GR11" s="71"/>
      <x:c r="GS11" s="71"/>
      <x:c r="GT11" s="71"/>
      <x:c r="GU11" s="71"/>
      <x:c r="GV11" s="71"/>
      <x:c r="GW11" s="71"/>
      <x:c r="GX11" s="71"/>
      <x:c r="GY11" s="71"/>
      <x:c r="GZ11" s="71"/>
      <x:c r="HA11" s="71"/>
      <x:c r="HB11" s="71"/>
      <x:c r="HC11" s="71"/>
      <x:c r="HD11" s="71"/>
    </x:row>
    <x:row r="12" ht="21" customHeight="1">
      <x:c r="A12" s="75" t="str">
        <x:f>AF211</x:f>
        <x:v>1 Exemplary</x:v>
      </x:c>
      <x:c r="B12" s="75" t="n">
        <x:f>AG211</x:f>
        <x:v>0</x:v>
      </x:c>
      <x:c r="C12" s="76" t="str">
        <x:f>IFERROR(AH211,"—")</x:f>
        <x:v>—</x:v>
      </x:c>
      <x:c r="D12" s="75"/>
      <x:c r="E12" s="75"/>
      <x:c r="F12" s="75" t="str">
        <x:f>AF261</x:f>
        <x:v>1 Exemplary</x:v>
      </x:c>
      <x:c r="G12" s="75" t="n">
        <x:f>AG261</x:f>
        <x:v>0</x:v>
      </x:c>
      <x:c r="H12" s="76" t="str">
        <x:f>IFERROR(AH261,"—")</x:f>
        <x:v>—</x:v>
      </x:c>
      <x:c r="I12" s="75"/>
      <x:c r="J12" s="75"/>
      <x:c r="K12" s="75"/>
      <x:c r="L12" s="75"/>
      <x:c r="M12" s="75"/>
      <x:c r="AF12" s="4"/>
      <x:c r="AG12" s="4" t="str">
        <x:f>"="&amp;SUBSTITUTE(SUBSTITUTE(SUBSTITUTE('Dashboard'!$B$7,"~","~~"),"*","~*"),"?","~?")</x:f>
        <x:v>=All</x:v>
      </x:c>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t="str">
        <x:f>IF(1&gt;MAX('Calculations'!$HI$13:$HI$512),"",INDEX('Calculations'!$HN$13:$HN$512,MATCH(1,'Calculations'!$HI$13:$HI$512,0)))</x:f>
      </x:c>
      <x:c r="DB12" s="4" t="str">
        <x:f>IF(1&gt;MAX('Calculations'!$HH$13:$HH$512),"",INDEX('Calculations'!$HJ$13:$HJ$512,MATCH(1,'Calculations'!$HH$13:$HH$512,0)))</x:f>
      </x:c>
      <x:c r="DC12" s="4" t="str">
        <x:f>IF(ROW()-11&gt;MAX('Calculations'!$BY$13:$BY$512),"",INDEX('Calculations'!$BU$13:$BU$512,MATCH(ROW()-11,'Calculations'!$BY$13:$BY$512,0)))</x:f>
      </x:c>
      <x:c r="DD12" s="4" t="str">
        <x:f>IF(1&gt;MAX('Calculations'!$IK$13:$IK$512),"",INDEX('Calculations'!$HK$13:$HK$512,MATCH(1,'Calculations'!$IK$13:$IK$512,0)))</x:f>
      </x:c>
      <x:c r="DE12" s="4" t="str">
        <x:f>'Calculations'!DC12</x:f>
      </x:c>
      <x:c r="DF12" s="4" t="str">
        <x:f>IF('Calculations'!DE12="","",COUNTIFS('Calculations'!$BN$13:$BN$512,1,'Calculations'!$BU$13:$BU$512,'Calculations'!DE12))</x:f>
      </x:c>
      <x:c r="DG12" s="4" t="str">
        <x:f>IF('Calculations'!DE12="","",COUNTIFS('Calculations'!$BN$13:$BN$512,1,'Calculations'!$BU$13:$BU$512,'Calculations'!DE12,'Calculations'!$BT$13:$BT$512,1))</x:f>
      </x:c>
      <x:c r="DH12" s="4" t="str">
        <x:f>IF('Calculations'!DE12="","",'Calculations'!DF12-'Calculations'!DG12)</x:f>
      </x:c>
      <x:c r="DI12" s="4" t="str">
        <x:f>IF(OR('Calculations'!DE12="",'Calculations'!DF12=0),"",'Calculations'!DG12/'Calculations'!DF12)</x:f>
      </x:c>
      <x:c r="DJ12" s="4" t="str">
        <x:f>IF('Calculations'!DE12="","",COUNTIFS('Calculations'!$BN$13:$BN$512,1,'Calculations'!$BU$13:$BU$512,'Calculations'!DE12,'Calculations'!$BT$13:$BT$512,1,'Calculations'!$EE$13:$EE$512,"High"))</x:f>
      </x:c>
      <x:c r="DK12" s="4" t="str">
        <x:f>IF('Calculations'!DE12="","",COUNTIFS('Calculations'!$BN$13:$BN$512,1,'Calculations'!$BU$13:$BU$512,'Calculations'!DE12,'Calculations'!$BT$13:$BT$512,1,'Calculations'!$EE$13:$EE$512,"Strong"))</x:f>
      </x:c>
      <x:c r="DL12" s="4" t="str">
        <x:f>IF('Calculations'!DE12="","",COUNTIFS('Calculations'!$BN$13:$BN$512,1,'Calculations'!$BU$13:$BU$512,'Calculations'!DE12,'Calculations'!$BT$13:$BT$512,1,'Calculations'!$EE$13:$EE$512,"Solid"))</x:f>
      </x:c>
      <x:c r="DM12" s="4" t="str">
        <x:f>IF('Calculations'!DE12="","",COUNTIFS('Calculations'!$BN$13:$BN$512,1,'Calculations'!$BU$13:$BU$512,'Calculations'!DE12,'Calculations'!$BT$13:$BT$512,1,'Calculations'!$EE$13:$EE$512,"Low"))</x:f>
      </x:c>
      <x:c r="DN12" s="4" t="str">
        <x:f>IF('Calculations'!DE12="","",COUNTIFS('Calculations'!$BN$13:$BN$512,1,'Calculations'!$BU$13:$BU$512,'Calculations'!DE12,'Calculations'!$EP$13:$EP$512,1))</x:f>
      </x:c>
      <x:c r="DO12" s="4" t="str">
        <x:f>IF(OR('Calculations'!DE12="",'Calculations'!DG12=0),"",('Calculations'!DJ12+'Calculations'!DK12)/'Calculations'!DG12)</x:f>
      </x:c>
      <x:c r="DP12" s="4" t="n">
        <x:f>IF(AND('Calculations'!DE12&lt;&gt;"",'Calculations'!DF12&gt;0),COUNTIF('Calculations'!$DF$12:DF12,"&gt;0"),0)</x:f>
        <x:v>0</x:v>
      </x:c>
      <x:c r="DQ12" s="4" t="str">
        <x:f>IF(1&gt;MAX('Calculations'!$HH$13:$HH$512),"",INDEX('Calculations'!$HF$13:$HF$512,MATCH(1,'Calculations'!$HH$13:$HH$512,0)))</x:f>
      </x:c>
      <x:c r="DR12" s="4" t="str">
        <x:f>IF(1&gt;MAX('Calculations'!$IK$13:$IK$512),"",INDEX('Calculations'!$HE$13:$HE$512,MATCH(1,'Calculations'!$IK$13:$IK$512,0)))</x:f>
      </x:c>
      <x:c r="DS12" s="4"/>
      <x:c r="DT12" s="4"/>
      <x:c r="DU12" s="4"/>
      <x:c r="DV12" s="4"/>
      <x:c r="DW12" s="4"/>
      <x:c r="DX12" s="4"/>
      <x:c r="DY12" s="4"/>
      <x:c r="DZ12" s="4"/>
      <x:c r="EA12" s="4"/>
      <x:c r="EB12" s="4"/>
      <x:c r="EC12" s="4"/>
      <x:c r="ED12" s="4"/>
      <x:c r="EE12" s="4"/>
      <x:c r="EF12" s="4"/>
      <x:c r="EG12" s="4"/>
      <x:c r="EH12" s="4"/>
      <x:c r="EI12" s="4"/>
      <x:c r="EJ12" s="4"/>
      <x:c r="EK12" s="4"/>
      <x:c r="EL12" s="4"/>
      <x:c r="EM12" s="4"/>
      <x:c r="EN12" s="4"/>
      <x:c r="EO12" s="4"/>
      <x:c r="EP12" s="4"/>
      <x:c r="EQ12" s="4"/>
      <x:c r="ER12" s="4"/>
      <x:c r="ES12" s="4"/>
      <x:c r="ET12" s="4"/>
      <x:c r="EU12" s="4"/>
      <x:c r="EV12" s="4"/>
      <x:c r="EW12" s="4"/>
      <x:c r="EX12" s="4"/>
      <x:c r="EY12" s="4"/>
      <x:c r="EZ12" s="4"/>
      <x:c r="FA12" s="4"/>
      <x:c r="FB12" s="4"/>
      <x:c r="FC12" s="4"/>
      <x:c r="FD12" s="4"/>
      <x:c r="FE12" s="4"/>
      <x:c r="FF12" s="4"/>
      <x:c r="FG12" s="4"/>
      <x:c r="FH12" s="4"/>
      <x:c r="FI12" s="4"/>
      <x:c r="FJ12" s="4"/>
      <x:c r="FK12" s="4"/>
      <x:c r="FL12" s="4"/>
      <x:c r="FM12" s="4"/>
      <x:c r="FN12" s="4"/>
      <x:c r="FO12" s="4"/>
      <x:c r="GA12" s="71"/>
      <x:c r="GB12" s="71"/>
      <x:c r="GC12" s="71"/>
      <x:c r="GD12" s="71"/>
      <x:c r="GE12" s="71"/>
      <x:c r="GF12" s="71"/>
      <x:c r="GG12" s="71"/>
      <x:c r="GH12" s="71"/>
      <x:c r="GI12" s="71"/>
      <x:c r="GJ12" s="71"/>
      <x:c r="GK12" s="71"/>
      <x:c r="GL12" s="71"/>
      <x:c r="GM12" s="71"/>
      <x:c r="GN12" s="71"/>
      <x:c r="GO12" s="71"/>
      <x:c r="GP12" s="71"/>
      <x:c r="GQ12" s="71"/>
      <x:c r="GR12" s="71"/>
      <x:c r="GS12" s="71"/>
      <x:c r="GT12" s="71"/>
      <x:c r="GU12" s="71"/>
      <x:c r="GV12" s="71"/>
      <x:c r="GW12" s="71"/>
      <x:c r="GX12" s="71"/>
      <x:c r="GY12" s="71"/>
      <x:c r="GZ12" s="71"/>
      <x:c r="HA12" s="71"/>
      <x:c r="HB12" s="71"/>
      <x:c r="HC12" s="71"/>
      <x:c r="HD12" s="71"/>
      <x:c r="JA12" t="n">
        <x:f>IF(OR(IFERROR(INDIRECT("'WCM Calibration Final'!$A$12")&lt;&gt;"",FALSE),IFERROR(INDIRECT("'WCM Calibration Final'!$B$12")&lt;&gt;"",FALSE),IFERROR(INDIRECT("'WCM Calibration Final'!$C$12")&lt;&gt;"",FALSE)),12,0)</x:f>
        <x:v>0</x:v>
      </x:c>
      <x:c r="JB12" t="n">
        <x:f>0+IF('Calculations'!JA12&gt;0,1,0)</x:f>
        <x:v>0</x:v>
      </x:c>
    </x:row>
    <x:row r="13" ht="21" customHeight="1">
      <x:c r="A13" s="75" t="str">
        <x:f>AF212</x:f>
        <x:v>2 Exceeds</x:v>
      </x:c>
      <x:c r="B13" s="75" t="n">
        <x:f>AG212</x:f>
        <x:v>0</x:v>
      </x:c>
      <x:c r="C13" s="76" t="str">
        <x:f>IFERROR(AH212,"—")</x:f>
        <x:v>—</x:v>
      </x:c>
      <x:c r="D13" s="75"/>
      <x:c r="E13" s="75"/>
      <x:c r="F13" s="75" t="str">
        <x:f>AF262</x:f>
        <x:v>2 Exceeds</x:v>
      </x:c>
      <x:c r="G13" s="75" t="n">
        <x:f>AG262</x:f>
        <x:v>0</x:v>
      </x:c>
      <x:c r="H13" s="76" t="str">
        <x:f>IFERROR(AH262,"—")</x:f>
        <x:v>—</x:v>
      </x:c>
      <x:c r="I13" s="75"/>
      <x:c r="J13" s="75"/>
      <x:c r="K13" s="75"/>
      <x:c r="L13" s="75"/>
      <x:c r="M13" s="75"/>
      <x:c r="AF13" s="4"/>
      <x:c r="AG13" s="4" t="str">
        <x:f>"="&amp;SUBSTITUTE(SUBSTITUTE(SUBSTITUTE('Dashboard'!$N$7,"~","~~"),"*","~*"),"?","~?")</x:f>
        <x:v>=All</x:v>
      </x:c>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t="n">
        <x:f>IF('Calculations'!$EM13="",0,IF(OR(IFERROR(INDEX(INDIRECT("'WCM Calibration Final'!$A$1:$A$2000"),'Calculations'!$EM13)&lt;&gt;"",FALSE),IFERROR(INDEX(INDIRECT("'WCM Calibration Final'!$B$1:$B$2000"),'Calculations'!$EM13)&lt;&gt;"",FALSE),IFERROR(INDEX(INDIRECT("'WCM Calibration Final'!$C$1:$C$2000"),'Calculations'!$EM13)&lt;&gt;"",FALSE)),1,0))</x:f>
        <x:v>0</x:v>
      </x:c>
      <x:c r="BN13" s="4" t="n">
        <x:f>IF(AND('Calculations'!BM13=1,'Calculations'!$AG$2,'Calculations'!$EN13=1),1,0)</x:f>
        <x:v>0</x:v>
      </x:c>
      <x:c r="BO13" s="4" t="str">
        <x:f>IF('Calculations'!BM13=0,"",IFERROR(IF(AND(VALUE(INDEX(INDIRECT("'WCM Calibration Final'!$K$1:$K$2000"),'Calculations'!$EM13))&gt;=1,VALUE(INDEX(INDIRECT("'WCM Calibration Final'!$K$1:$K$2000"),'Calculations'!$EM13))&lt;=4,MOD(VALUE(INDEX(INDIRECT("'WCM Calibration Final'!$K$1:$K$2000"),'Calculations'!$EM13)),1)=0),VALUE(INDEX(INDIRECT("'WCM Calibration Final'!$K$1:$K$2000"),'Calculations'!$EM13)),""),""))</x:f>
      </x:c>
      <x:c r="BP13" s="4" t="str">
        <x:f>IF('Calculations'!BM13=0,"",IFERROR(IF(AND(VALUE(INDEX(INDIRECT("'WCM Calibration Final'!$L$1:$L$2000"),'Calculations'!$EM13))&gt;=1,VALUE(INDEX(INDIRECT("'WCM Calibration Final'!$L$1:$L$2000"),'Calculations'!$EM13))&lt;=4,MOD(VALUE(INDEX(INDIRECT("'WCM Calibration Final'!$L$1:$L$2000"),'Calculations'!$EM13)),1)=0),VALUE(INDEX(INDIRECT("'WCM Calibration Final'!$L$1:$L$2000"),'Calculations'!$EM13)),""),""))</x:f>
      </x:c>
      <x:c r="BQ13" s="4"/>
      <x:c r="BR13" s="4"/>
      <x:c r="BS13" s="4"/>
      <x:c r="BT13" s="4" t="n">
        <x:f>IF(AND('Calculations'!BM13=1,ISNUMBER('Calculations'!BO13),ISNUMBER('Calculations'!BP13)),1,0)</x:f>
        <x:v>0</x:v>
      </x:c>
      <x:c r="BU13" s="4" t="str">
        <x:f>IF('Calculations'!BM13=0,"",'Calculations'!$EO13)</x:f>
      </x:c>
      <x:c r="BV13" s="4" t="str">
        <x:f>IF('Calculations'!BM13=0,"",IFERROR(IF(OR(INDEX(INDIRECT("'WCM Calibration Final'!$H$1:$H$2000"),'Calculations'!$EM13)="MANAGING DIRECTOR",INDEX(INDIRECT("'WCM Calibration Final'!$H$1:$H$2000"),'Calculations'!$EM13)="DIRECTOR",INDEX(INDIRECT("'WCM Calibration Final'!$H$1:$H$2000"),'Calculations'!$EM13)="SENIOR VICE PRESIDENT",INDEX(INDIRECT("'WCM Calibration Final'!$H$1:$H$2000"),'Calculations'!$EM13)="VICE PRESIDENT",INDEX(INDIRECT("'WCM Calibration Final'!$H$1:$H$2000"),'Calculations'!$EM13)="ASSISTANT VICE PRESIDENT",INDEX(INDIRECT("'WCM Calibration Final'!$H$1:$H$2000"),'Calculations'!$EM13)="OFFICER"),UPPER(INDEX(INDIRECT("'WCM Calibration Final'!$H$1:$H$2000"),'Calculations'!$EM13)),"Other"),"Other"))</x:f>
      </x:c>
      <x:c r="BW13" s="4"/>
      <x:c r="BX13" s="4"/>
      <x:c r="BY13" s="4" t="n">
        <x:f>IF(AND('Calculations'!BM13=1,'Calculations'!BU13&lt;&gt;"",COUNTIF('Calculations'!$BU$12:BU13,'Calculations'!BU13)=1),MAX('Calculations'!$BY$11:BY12)+1,0)</x:f>
        <x:v>0</x:v>
      </x:c>
      <x:c r="BZ13" s="4" t="str">
        <x:f>IF('Dashboard'!$E$67="What",'Calculations'!BO13,'Calculations'!BP13)</x:f>
      </x:c>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t="str">
        <x:f>IF(2&gt;MAX('Calculations'!$HI$13:$HI$512),"",INDEX('Calculations'!$HN$13:$HN$512,MATCH(2,'Calculations'!$HI$13:$HI$512,0)))</x:f>
      </x:c>
      <x:c r="DB13" s="4" t="str">
        <x:f>IF(2&gt;MAX('Calculations'!$HH$13:$HH$512),"",INDEX('Calculations'!$HJ$13:$HJ$512,MATCH(2,'Calculations'!$HH$13:$HH$512,0)))</x:f>
      </x:c>
      <x:c r="DC13" s="4" t="str">
        <x:f>IF(ROW()-11&gt;MAX('Calculations'!$BY$13:$BY$512),"",INDEX('Calculations'!$BU$13:$BU$512,MATCH(ROW()-11,'Calculations'!$BY$13:$BY$512,0)))</x:f>
      </x:c>
      <x:c r="DD13" s="4" t="str">
        <x:f>IF(2&gt;MAX('Calculations'!$IK$13:$IK$512),"",INDEX('Calculations'!$HK$13:$HK$512,MATCH(2,'Calculations'!$IK$13:$IK$512,0)))</x:f>
      </x:c>
      <x:c r="DE13" s="4" t="str">
        <x:f>'Calculations'!DC13</x:f>
      </x:c>
      <x:c r="DF13" s="4" t="str">
        <x:f>IF('Calculations'!DE13="","",COUNTIFS('Calculations'!$BN$13:$BN$512,1,'Calculations'!$BU$13:$BU$512,'Calculations'!DE13))</x:f>
      </x:c>
      <x:c r="DG13" s="4" t="str">
        <x:f>IF('Calculations'!DE13="","",COUNTIFS('Calculations'!$BN$13:$BN$512,1,'Calculations'!$BU$13:$BU$512,'Calculations'!DE13,'Calculations'!$BT$13:$BT$512,1))</x:f>
      </x:c>
      <x:c r="DH13" s="4" t="str">
        <x:f>IF('Calculations'!DE13="","",'Calculations'!DF13-'Calculations'!DG13)</x:f>
      </x:c>
      <x:c r="DI13" s="4" t="str">
        <x:f>IF(OR('Calculations'!DE13="",'Calculations'!DF13=0),"",'Calculations'!DG13/'Calculations'!DF13)</x:f>
      </x:c>
      <x:c r="DJ13" s="4" t="str">
        <x:f>IF('Calculations'!DE13="","",COUNTIFS('Calculations'!$BN$13:$BN$512,1,'Calculations'!$BU$13:$BU$512,'Calculations'!DE13,'Calculations'!$BT$13:$BT$512,1,'Calculations'!$EE$13:$EE$512,"High"))</x:f>
      </x:c>
      <x:c r="DK13" s="4" t="str">
        <x:f>IF('Calculations'!DE13="","",COUNTIFS('Calculations'!$BN$13:$BN$512,1,'Calculations'!$BU$13:$BU$512,'Calculations'!DE13,'Calculations'!$BT$13:$BT$512,1,'Calculations'!$EE$13:$EE$512,"Strong"))</x:f>
      </x:c>
      <x:c r="DL13" s="4" t="str">
        <x:f>IF('Calculations'!DE13="","",COUNTIFS('Calculations'!$BN$13:$BN$512,1,'Calculations'!$BU$13:$BU$512,'Calculations'!DE13,'Calculations'!$BT$13:$BT$512,1,'Calculations'!$EE$13:$EE$512,"Solid"))</x:f>
      </x:c>
      <x:c r="DM13" s="4" t="str">
        <x:f>IF('Calculations'!DE13="","",COUNTIFS('Calculations'!$BN$13:$BN$512,1,'Calculations'!$BU$13:$BU$512,'Calculations'!DE13,'Calculations'!$BT$13:$BT$512,1,'Calculations'!$EE$13:$EE$512,"Low"))</x:f>
      </x:c>
      <x:c r="DN13" s="4" t="str">
        <x:f>IF('Calculations'!DE13="","",COUNTIFS('Calculations'!$BN$13:$BN$512,1,'Calculations'!$BU$13:$BU$512,'Calculations'!DE13,'Calculations'!$EP$13:$EP$512,1))</x:f>
      </x:c>
      <x:c r="DO13" s="4" t="str">
        <x:f>IF(OR('Calculations'!DE13="",'Calculations'!DG13=0),"",('Calculations'!DJ13+'Calculations'!DK13)/'Calculations'!DG13)</x:f>
      </x:c>
      <x:c r="DP13" s="4" t="n">
        <x:f>IF(AND('Calculations'!DE13&lt;&gt;"",'Calculations'!DF13&gt;0),COUNTIF('Calculations'!$DF$12:DF13,"&gt;0"),0)</x:f>
        <x:v>0</x:v>
      </x:c>
      <x:c r="DQ13" s="4" t="str">
        <x:f>IF(2&gt;MAX('Calculations'!$HH$13:$HH$512),"",INDEX('Calculations'!$HF$13:$HF$512,MATCH(2,'Calculations'!$HH$13:$HH$512,0)))</x:f>
      </x:c>
      <x:c r="DR13" s="4" t="str">
        <x:f>IF(2&gt;MAX('Calculations'!$IK$13:$IK$512),"",INDEX('Calculations'!$HE$13:$HE$512,MATCH(2,'Calculations'!$IK$13:$IK$512,0)))</x:f>
      </x:c>
      <x:c r="DS13" s="4"/>
      <x:c r="DT13" s="4"/>
      <x:c r="DU13" s="4"/>
      <x:c r="DV13" s="4"/>
      <x:c r="DW13" s="4"/>
      <x:c r="DX13" s="4"/>
      <x:c r="DY13" s="4"/>
      <x:c r="DZ13" s="4"/>
      <x:c r="EA13" s="4"/>
      <x:c r="EB13" s="4"/>
      <x:c r="EC13" s="4"/>
      <x:c r="ED13" s="4"/>
      <x:c r="EE13" s="4" t="str">
        <x:f>IF('Calculations'!BT13=0,"Not Rated",IF(OR('Calculations'!BO13&gt;=4,'Calculations'!BP13&gt;=4),"Low",IF('Calculations'!BO13+'Calculations'!BP13&lt;=3,"High",IF('Calculations'!BO13+'Calculations'!BP13&lt;=4,"Strong","Solid"))))</x:f>
        <x:v>Not Rated</x:v>
      </x:c>
      <x:c r="EF13" s="4"/>
      <x:c r="EG13" s="4"/>
      <x:c r="EH13" s="4"/>
      <x:c r="EI13" s="4"/>
      <x:c r="EJ13" s="4"/>
      <x:c r="EK13" s="4"/>
      <x:c r="EL13" s="4"/>
      <x:c r="EM13" s="4" t="str">
        <x:f>IF(1&gt;'Calculations'!$JB$2000,"",INDEX('Calculations'!$JA$12:$JA$2000,MATCH(1,'Calculations'!$JB$12:$JB$2000,0)))</x:f>
      </x:c>
      <x:c r="EN13" s="4" t="n">
        <x:f>IF(OR('Calculations'!EM13="",'Calculations'!$AG$8&gt;0,AND('Calculations'!$EF$2&lt;&gt;"All",'Calculations'!HE13='Calculations'!$EF$2),AND('Calculations'!$EF$3&lt;&gt;"All",'Calculations'!HE13='Calculations'!$EF$3)),0,IF(OR('Dashboard'!$B$7="All",'Calculations'!HN13='Dashboard'!$B$7),IF('Calculations'!$EF$2="All",1,IF('Calculations'!HL13&gt;0,0,IF(COUNTIF('Calculations'!HO13:II13,"="&amp;SUBSTITUTE(SUBSTITUTE(SUBSTITUTE('Calculations'!$EF$2,"~","~~"),"*","~*"),"?","~?"))=0,0,IF('Calculations'!$EF$3="All",1,IF(COUNTIF('Calculations'!HO13:II13,"="&amp;SUBSTITUTE(SUBSTITUTE(SUBSTITUTE('Calculations'!$EF$3,"~","~~"),"*","~*"),"?","~?"))&gt;0,1,0))))),0))</x:f>
        <x:v>0</x:v>
      </x:c>
      <x:c r="EO13" s="4" t="str">
        <x:f>IF('Calculations'!IJ13="","",IF('Calculations'!IJ13="!UNRESOLVED","Unresolved hierarchy",IFERROR(INDEX('Calculations'!$HK$13:$HK$512,MATCH('Calculations'!IJ13,'Calculations'!$HE$13:$HE$512,0)),IFERROR(INDEX('Calculations'!$HJ$13:$HJ$512,MATCH('Calculations'!IJ13,'Calculations'!$HF$13:$HF$512,0)),'Calculations'!IJ13))))</x:f>
      </x:c>
      <x:c r="EP13" s="4" t="n">
        <x:f>IF(AND('Calculations'!EM13&lt;&gt;"",'Calculations'!HF13='Calculations'!IJ13),1,0)</x:f>
        <x:v>0</x:v>
      </x:c>
      <x:c r="EQ13" s="4"/>
      <x:c r="ER13" s="4"/>
      <x:c r="ES13" s="4"/>
      <x:c r="ET13" s="4"/>
      <x:c r="EU13" s="4"/>
      <x:c r="EV13" s="4"/>
      <x:c r="EW13" s="4"/>
      <x:c r="EX13" s="4"/>
      <x:c r="EY13" s="4"/>
      <x:c r="EZ13" s="4"/>
      <x:c r="FA13" s="4"/>
      <x:c r="FB13" s="4"/>
      <x:c r="FC13" s="4"/>
      <x:c r="FD13" s="4"/>
      <x:c r="FE13" s="4"/>
      <x:c r="FF13" s="4"/>
      <x:c r="FG13" s="4"/>
      <x:c r="FH13" s="4"/>
      <x:c r="FI13" s="4"/>
      <x:c r="FJ13" s="4"/>
      <x:c r="FK13" s="4"/>
      <x:c r="FL13" s="4"/>
      <x:c r="FM13" s="4"/>
      <x:c r="FN13" s="4"/>
      <x:c r="FO13" s="4"/>
      <x:c r="GA13" s="71"/>
      <x:c r="GB13" s="71" t="str">
        <x:f>'Calculations'!AI4</x:f>
        <x:v>—</x:v>
      </x:c>
      <x:c r="GC13" s="71"/>
      <x:c r="GD13" s="71"/>
      <x:c r="GE13" s="71"/>
      <x:c r="GF13" s="71"/>
      <x:c r="GG13" s="71"/>
      <x:c r="GH13" s="71"/>
      <x:c r="GI13" s="71"/>
      <x:c r="GJ13" s="71" t="str">
        <x:f>'Calculations'!AI5</x:f>
        <x:v>—</x:v>
      </x:c>
      <x:c r="GK13" s="71"/>
      <x:c r="GL13" s="71"/>
      <x:c r="GM13" s="71"/>
      <x:c r="GN13" s="71"/>
      <x:c r="GO13" s="71"/>
      <x:c r="GP13" s="71"/>
      <x:c r="GQ13" s="71"/>
      <x:c r="GR13" s="71" t="str">
        <x:f>'Calculations'!AI6</x:f>
        <x:v>—</x:v>
      </x:c>
      <x:c r="GS13" s="71"/>
      <x:c r="GT13" s="71"/>
      <x:c r="GU13" s="71"/>
      <x:c r="GV13" s="71"/>
      <x:c r="GW13" s="71"/>
      <x:c r="GX13" s="71"/>
      <x:c r="GY13" s="71" t="str">
        <x:f>'Calculations'!AI7</x:f>
        <x:v>—</x:v>
      </x:c>
      <x:c r="GZ13" s="71"/>
      <x:c r="HA13" s="71"/>
      <x:c r="HB13" s="71"/>
      <x:c r="HC13" s="71"/>
      <x:c r="HD13" s="71"/>
      <x:c r="HE13" t="str">
        <x:f>IF('Calculations'!EM13="","",IF(IFERROR(IF(INDEX(INDIRECT("'WCM Calibration Final'!$A$1:$A$2000"),'Calculations'!$EM13)="","",TRIM(INDEX(INDIRECT("'WCM Calibration Final'!$A$1:$A$2000"),'Calculations'!$EM13)&amp;"")),"")&lt;&gt;"","G:"&amp;IFERROR(TEXT(1*INDEX(INDIRECT("'WCM Calibration Final'!$A$1:$A$2000"),'Calculations'!$EM13),"0"),UPPER(IFERROR(IF(INDEX(INDIRECT("'WCM Calibration Final'!$A$1:$A$2000"),'Calculations'!$EM13)="","",TRIM(INDEX(INDIRECT("'WCM Calibration Final'!$A$1:$A$2000"),'Calculations'!$EM13)&amp;"")),""))),IF(IFERROR(IF(INDEX(INDIRECT("'WCM Calibration Final'!$C$1:$C$2000"),'Calculations'!$EM13)="","",TRIM(INDEX(INDIRECT("'WCM Calibration Final'!$C$1:$C$2000"),'Calculations'!$EM13)&amp;"")),"")&lt;&gt;"","S:"&amp;UPPER(IFERROR(IF(INDEX(INDIRECT("'WCM Calibration Final'!$C$1:$C$2000"),'Calculations'!$EM13)="","",TRIM(INDEX(INDIRECT("'WCM Calibration Final'!$C$1:$C$2000"),'Calculations'!$EM13)&amp;"")),"")),"R:"&amp;'Calculations'!EM13)))</x:f>
      </x:c>
      <x:c r="HF13" t="str">
        <x:f>IF('Calculations'!EM13="","",IF(IFERROR(IF(INDEX(INDIRECT("'WCM Calibration Final'!$D$1:$D$2000"),'Calculations'!$EM13)="","",TRIM(INDEX(INDIRECT("'WCM Calibration Final'!$D$1:$D$2000"),'Calculations'!$EM13)&amp;"")),"")&lt;&gt;"","G:"&amp;IFERROR(TEXT(1*INDEX(INDIRECT("'WCM Calibration Final'!$D$1:$D$2000"),'Calculations'!$EM13),"0"),UPPER(IFERROR(IF(INDEX(INDIRECT("'WCM Calibration Final'!$D$1:$D$2000"),'Calculations'!$EM13)="","",TRIM(INDEX(INDIRECT("'WCM Calibration Final'!$D$1:$D$2000"),'Calculations'!$EM13)&amp;"")),""))),IF(IFERROR(IF(INDEX(INDIRECT("'WCM Calibration Final'!$E$1:$E$2000"),'Calculations'!$EM13)="","",TRIM(INDEX(INDIRECT("'WCM Calibration Final'!$E$1:$E$2000"),'Calculations'!$EM13)&amp;"")),"")="","",IF(COUNTIF('Calculations'!$HG$13:$HG$512,"="&amp;SUBSTITUTE(SUBSTITUTE(SUBSTITUTE(IFERROR(IF(INDEX(INDIRECT("'WCM Calibration Final'!$E$1:$E$2000"),'Calculations'!$EM13)="","",TRIM(INDEX(INDIRECT("'WCM Calibration Final'!$E$1:$E$2000"),'Calculations'!$EM13)&amp;"")),""),"~","~~"),"*","~*"),"?","~?"))=1,INDEX('Calculations'!$HE$13:$HE$512,MATCH(IFERROR(IF(INDEX(INDIRECT("'WCM Calibration Final'!$E$1:$E$2000"),'Calculations'!$EM13)="","",TRIM(INDEX(INDIRECT("'WCM Calibration Final'!$E$1:$E$2000"),'Calculations'!$EM13)&amp;"")),""),'Calculations'!$HG$13:$HG$512,0)),IF(COUNTIF('Calculations'!$HG$13:$HG$512,"="&amp;SUBSTITUTE(SUBSTITUTE(SUBSTITUTE(IFERROR(IF(INDEX(INDIRECT("'WCM Calibration Final'!$E$1:$E$2000"),'Calculations'!$EM13)="","",TRIM(INDEX(INDIRECT("'WCM Calibration Final'!$E$1:$E$2000"),'Calculations'!$EM13)&amp;"")),""),"~","~~"),"*","~*"),"?","~?"))&gt;1,"!AMBIG","X:"&amp;IFERROR(IF(INDEX(INDIRECT("'WCM Calibration Final'!$E$1:$E$2000"),'Calculations'!$EM13)="","",TRIM(INDEX(INDIRECT("'WCM Calibration Final'!$E$1:$E$2000"),'Calculations'!$EM13)&amp;"")),""))))))</x:f>
      </x:c>
      <x:c r="HG13" t="str">
        <x:f>IF('Calculations'!EM13="","",IFERROR(IF(INDEX(INDIRECT("'WCM Calibration Final'!$B$1:$B$2000"),'Calculations'!$EM13)="","",TRIM(INDEX(INDIRECT("'WCM Calibration Final'!$B$1:$B$2000"),'Calculations'!$EM13)&amp;"")),""))</x:f>
      </x:c>
      <x:c r="HH13" t="n">
        <x:f>IF(AND('Calculations'!JC13&gt;0,COUNTIF('Calculations'!$HF$12:HF13,"="&amp;SUBSTITUTE(SUBSTITUTE(SUBSTITUTE('Calculations'!HF13,"~","~~"),"*","~*"),"?","~?"))=1),MAX('Calculations'!$HH$12:HH12)+1,0)</x:f>
        <x:v>0</x:v>
      </x:c>
      <x:c r="HI13" t="n">
        <x:f>IF(AND('Calculations'!HN13&lt;&gt;"",COUNTIF('Calculations'!$HN$12:HN13,"="&amp;SUBSTITUTE(SUBSTITUTE(SUBSTITUTE('Calculations'!HN13,"~","~~"),"*","~*"),"?","~?"))=1),MAX('Calculations'!$HI$12:HI12)+1,0)</x:f>
        <x:v>0</x:v>
      </x:c>
      <x:c r="HJ13" t="str">
        <x:f>IF('Calculations'!HF13="","",IF(COUNTIF('Calculations'!$HE$13:$HE$512,"="&amp;SUBSTITUTE(SUBSTITUTE(SUBSTITUTE('Calculations'!HF13,"~","~~"),"*","~*"),"?","~?"))=1,INDEX('Calculations'!$HK$13:$HK$512,MATCH('Calculations'!HF13,'Calculations'!$HE$13:$HE$512,0)),IFERROR(IF(INDEX(INDIRECT("'WCM Calibration Final'!$E$1:$E$2000"),'Calculations'!$EM13)="","",TRIM(INDEX(INDIRECT("'WCM Calibration Final'!$E$1:$E$2000"),'Calculations'!$EM13)&amp;"")),"")&amp;" ["&amp;'Calculations'!HF13&amp;"]"))</x:f>
      </x:c>
      <x:c r="HK13" t="str">
        <x:f>IF('Calculations'!EM13="","",'Calculations'!HG13&amp;" ["&amp;'Calculations'!HE13&amp;"]")</x:f>
      </x:c>
      <x:c r="HL13" t="n">
        <x:f>IF('Calculations'!EM13="",0,IF(OR('Calculations'!II13&lt;&gt;"",COUNTIF('Calculations'!$HE$13:$HE$512,"="&amp;SUBSTITUTE(SUBSTITUTE(SUBSTITUTE('Calculations'!HE13,"~","~~"),"*","~*"),"?","~?"))&gt;1),1,0))</x:f>
        <x:v>0</x:v>
      </x:c>
      <x:c r="HM13" t="str">
        <x:f>IF('Calculations'!EM13="","",IF('Calculations'!HL13=1,"!UNRESOLVED",IF('Calculations'!IH13&lt;&gt;"",'Calculations'!IH13,IF('Calculations'!IG13&lt;&gt;"",'Calculations'!IG13,IF('Calculations'!IF13&lt;&gt;"",'Calculations'!IF13,IF('Calculations'!IE13&lt;&gt;"",'Calculations'!IE13,IF('Calculations'!ID13&lt;&gt;"",'Calculations'!ID13,IF('Calculations'!IC13&lt;&gt;"",'Calculations'!IC13,IF('Calculations'!IB13&lt;&gt;"",'Calculations'!IB13,IF('Calculations'!IA13&lt;&gt;"",'Calculations'!IA13,IF('Calculations'!HZ13&lt;&gt;"",'Calculations'!HZ13,IF('Calculations'!HY13&lt;&gt;"",'Calculations'!HY13,IF('Calculations'!HX13&lt;&gt;"",'Calculations'!HX13,IF('Calculations'!HW13&lt;&gt;"",'Calculations'!HW13,IF('Calculations'!HV13&lt;&gt;"",'Calculations'!HV13,IF('Calculations'!HU13&lt;&gt;"",'Calculations'!HU13,IF('Calculations'!HT13&lt;&gt;"",'Calculations'!HT13,IF('Calculations'!HS13&lt;&gt;"",'Calculations'!HS13,IF('Calculations'!HR13&lt;&gt;"",'Calculations'!HR13,IF('Calculations'!HQ13&lt;&gt;"",'Calculations'!HQ13,IF('Calculations'!HP13&lt;&gt;"",'Calculations'!HP13,IF('Calculations'!HO13&lt;&gt;"",'Calculations'!HO13,'Calculations'!HE13))))))))))))))))))))))</x:f>
      </x:c>
      <x:c r="HN13" t="str">
        <x:f>IF('Calculations'!EM13="","",IF(IFERROR(IF(INDEX(INDIRECT("'WCM Calibration Final'!$F$1:$F$2000"),'Calculations'!$EM13)="","",TRIM(INDEX(INDIRECT("'WCM Calibration Final'!$F$1:$F$2000"),'Calculations'!$EM13)&amp;"")),"")="","(Blank)",IFERROR(IF(INDEX(INDIRECT("'WCM Calibration Final'!$F$1:$F$2000"),'Calculations'!$EM13)="","",TRIM(INDEX(INDIRECT("'WCM Calibration Final'!$F$1:$F$2000"),'Calculations'!$EM13)&amp;"")),"")))</x:f>
      </x:c>
      <x:c r="HO13" t="str">
        <x:f>'Calculations'!HF13</x:f>
      </x:c>
      <x:c r="HP13" t="str">
        <x:f>IF('Calculations'!HO13="","",IF('Calculations'!HO13="!AMBIG","!AMBIG",IF(COUNTIF('Calculations'!$HE$13:$HE$512,"="&amp;SUBSTITUTE(SUBSTITUTE(SUBSTITUTE('Calculations'!HO13,"~","~~"),"*","~*"),"?","~?"))&gt;1,"!AMBIG",IFERROR(INDEX('Calculations'!$HF$13:$HF$512,MATCH('Calculations'!HO13,'Calculations'!$HE$13:$HE$512,0)),""))))</x:f>
      </x:c>
      <x:c r="HQ13" t="str">
        <x:f>IF('Calculations'!HP13="","",IF('Calculations'!HP13="!AMBIG","!AMBIG",IF(COUNTIF('Calculations'!$HE$13:$HE$512,"="&amp;SUBSTITUTE(SUBSTITUTE(SUBSTITUTE('Calculations'!HP13,"~","~~"),"*","~*"),"?","~?"))&gt;1,"!AMBIG",IFERROR(INDEX('Calculations'!$HF$13:$HF$512,MATCH('Calculations'!HP13,'Calculations'!$HE$13:$HE$512,0)),""))))</x:f>
      </x:c>
      <x:c r="HR13" t="str">
        <x:f>IF('Calculations'!HQ13="","",IF('Calculations'!HQ13="!AMBIG","!AMBIG",IF(COUNTIF('Calculations'!$HE$13:$HE$512,"="&amp;SUBSTITUTE(SUBSTITUTE(SUBSTITUTE('Calculations'!HQ13,"~","~~"),"*","~*"),"?","~?"))&gt;1,"!AMBIG",IFERROR(INDEX('Calculations'!$HF$13:$HF$512,MATCH('Calculations'!HQ13,'Calculations'!$HE$13:$HE$512,0)),""))))</x:f>
      </x:c>
      <x:c r="HS13" t="str">
        <x:f>IF('Calculations'!HR13="","",IF('Calculations'!HR13="!AMBIG","!AMBIG",IF(COUNTIF('Calculations'!$HE$13:$HE$512,"="&amp;SUBSTITUTE(SUBSTITUTE(SUBSTITUTE('Calculations'!HR13,"~","~~"),"*","~*"),"?","~?"))&gt;1,"!AMBIG",IFERROR(INDEX('Calculations'!$HF$13:$HF$512,MATCH('Calculations'!HR13,'Calculations'!$HE$13:$HE$512,0)),""))))</x:f>
      </x:c>
      <x:c r="HT13" t="str">
        <x:f>IF('Calculations'!HS13="","",IF('Calculations'!HS13="!AMBIG","!AMBIG",IF(COUNTIF('Calculations'!$HE$13:$HE$512,"="&amp;SUBSTITUTE(SUBSTITUTE(SUBSTITUTE('Calculations'!HS13,"~","~~"),"*","~*"),"?","~?"))&gt;1,"!AMBIG",IFERROR(INDEX('Calculations'!$HF$13:$HF$512,MATCH('Calculations'!HS13,'Calculations'!$HE$13:$HE$512,0)),""))))</x:f>
      </x:c>
      <x:c r="HU13" t="str">
        <x:f>IF('Calculations'!HT13="","",IF('Calculations'!HT13="!AMBIG","!AMBIG",IF(COUNTIF('Calculations'!$HE$13:$HE$512,"="&amp;SUBSTITUTE(SUBSTITUTE(SUBSTITUTE('Calculations'!HT13,"~","~~"),"*","~*"),"?","~?"))&gt;1,"!AMBIG",IFERROR(INDEX('Calculations'!$HF$13:$HF$512,MATCH('Calculations'!HT13,'Calculations'!$HE$13:$HE$512,0)),""))))</x:f>
      </x:c>
      <x:c r="HV13" t="str">
        <x:f>IF('Calculations'!HU13="","",IF('Calculations'!HU13="!AMBIG","!AMBIG",IF(COUNTIF('Calculations'!$HE$13:$HE$512,"="&amp;SUBSTITUTE(SUBSTITUTE(SUBSTITUTE('Calculations'!HU13,"~","~~"),"*","~*"),"?","~?"))&gt;1,"!AMBIG",IFERROR(INDEX('Calculations'!$HF$13:$HF$512,MATCH('Calculations'!HU13,'Calculations'!$HE$13:$HE$512,0)),""))))</x:f>
      </x:c>
      <x:c r="HW13" t="str">
        <x:f>IF('Calculations'!HV13="","",IF('Calculations'!HV13="!AMBIG","!AMBIG",IF(COUNTIF('Calculations'!$HE$13:$HE$512,"="&amp;SUBSTITUTE(SUBSTITUTE(SUBSTITUTE('Calculations'!HV13,"~","~~"),"*","~*"),"?","~?"))&gt;1,"!AMBIG",IFERROR(INDEX('Calculations'!$HF$13:$HF$512,MATCH('Calculations'!HV13,'Calculations'!$HE$13:$HE$512,0)),""))))</x:f>
      </x:c>
      <x:c r="HX13" t="str">
        <x:f>IF('Calculations'!HW13="","",IF('Calculations'!HW13="!AMBIG","!AMBIG",IF(COUNTIF('Calculations'!$HE$13:$HE$512,"="&amp;SUBSTITUTE(SUBSTITUTE(SUBSTITUTE('Calculations'!HW13,"~","~~"),"*","~*"),"?","~?"))&gt;1,"!AMBIG",IFERROR(INDEX('Calculations'!$HF$13:$HF$512,MATCH('Calculations'!HW13,'Calculations'!$HE$13:$HE$512,0)),""))))</x:f>
      </x:c>
      <x:c r="HY13" t="str">
        <x:f>IF('Calculations'!HX13="","",IF('Calculations'!HX13="!AMBIG","!AMBIG",IF(COUNTIF('Calculations'!$HE$13:$HE$512,"="&amp;SUBSTITUTE(SUBSTITUTE(SUBSTITUTE('Calculations'!HX13,"~","~~"),"*","~*"),"?","~?"))&gt;1,"!AMBIG",IFERROR(INDEX('Calculations'!$HF$13:$HF$512,MATCH('Calculations'!HX13,'Calculations'!$HE$13:$HE$512,0)),""))))</x:f>
      </x:c>
      <x:c r="HZ13" t="str">
        <x:f>IF('Calculations'!HY13="","",IF('Calculations'!HY13="!AMBIG","!AMBIG",IF(COUNTIF('Calculations'!$HE$13:$HE$512,"="&amp;SUBSTITUTE(SUBSTITUTE(SUBSTITUTE('Calculations'!HY13,"~","~~"),"*","~*"),"?","~?"))&gt;1,"!AMBIG",IFERROR(INDEX('Calculations'!$HF$13:$HF$512,MATCH('Calculations'!HY13,'Calculations'!$HE$13:$HE$512,0)),""))))</x:f>
      </x:c>
      <x:c r="IA13" t="str">
        <x:f>IF('Calculations'!HZ13="","",IF('Calculations'!HZ13="!AMBIG","!AMBIG",IF(COUNTIF('Calculations'!$HE$13:$HE$512,"="&amp;SUBSTITUTE(SUBSTITUTE(SUBSTITUTE('Calculations'!HZ13,"~","~~"),"*","~*"),"?","~?"))&gt;1,"!AMBIG",IFERROR(INDEX('Calculations'!$HF$13:$HF$512,MATCH('Calculations'!HZ13,'Calculations'!$HE$13:$HE$512,0)),""))))</x:f>
      </x:c>
      <x:c r="IB13" t="str">
        <x:f>IF('Calculations'!IA13="","",IF('Calculations'!IA13="!AMBIG","!AMBIG",IF(COUNTIF('Calculations'!$HE$13:$HE$512,"="&amp;SUBSTITUTE(SUBSTITUTE(SUBSTITUTE('Calculations'!IA13,"~","~~"),"*","~*"),"?","~?"))&gt;1,"!AMBIG",IFERROR(INDEX('Calculations'!$HF$13:$HF$512,MATCH('Calculations'!IA13,'Calculations'!$HE$13:$HE$512,0)),""))))</x:f>
      </x:c>
      <x:c r="IC13" t="str">
        <x:f>IF('Calculations'!IB13="","",IF('Calculations'!IB13="!AMBIG","!AMBIG",IF(COUNTIF('Calculations'!$HE$13:$HE$512,"="&amp;SUBSTITUTE(SUBSTITUTE(SUBSTITUTE('Calculations'!IB13,"~","~~"),"*","~*"),"?","~?"))&gt;1,"!AMBIG",IFERROR(INDEX('Calculations'!$HF$13:$HF$512,MATCH('Calculations'!IB13,'Calculations'!$HE$13:$HE$512,0)),""))))</x:f>
      </x:c>
      <x:c r="ID13" t="str">
        <x:f>IF('Calculations'!IC13="","",IF('Calculations'!IC13="!AMBIG","!AMBIG",IF(COUNTIF('Calculations'!$HE$13:$HE$512,"="&amp;SUBSTITUTE(SUBSTITUTE(SUBSTITUTE('Calculations'!IC13,"~","~~"),"*","~*"),"?","~?"))&gt;1,"!AMBIG",IFERROR(INDEX('Calculations'!$HF$13:$HF$512,MATCH('Calculations'!IC13,'Calculations'!$HE$13:$HE$512,0)),""))))</x:f>
      </x:c>
      <x:c r="IE13" t="str">
        <x:f>IF('Calculations'!ID13="","",IF('Calculations'!ID13="!AMBIG","!AMBIG",IF(COUNTIF('Calculations'!$HE$13:$HE$512,"="&amp;SUBSTITUTE(SUBSTITUTE(SUBSTITUTE('Calculations'!ID13,"~","~~"),"*","~*"),"?","~?"))&gt;1,"!AMBIG",IFERROR(INDEX('Calculations'!$HF$13:$HF$512,MATCH('Calculations'!ID13,'Calculations'!$HE$13:$HE$512,0)),""))))</x:f>
      </x:c>
      <x:c r="IF13" t="str">
        <x:f>IF('Calculations'!IE13="","",IF('Calculations'!IE13="!AMBIG","!AMBIG",IF(COUNTIF('Calculations'!$HE$13:$HE$512,"="&amp;SUBSTITUTE(SUBSTITUTE(SUBSTITUTE('Calculations'!IE13,"~","~~"),"*","~*"),"?","~?"))&gt;1,"!AMBIG",IFERROR(INDEX('Calculations'!$HF$13:$HF$512,MATCH('Calculations'!IE13,'Calculations'!$HE$13:$HE$512,0)),""))))</x:f>
      </x:c>
      <x:c r="IG13" t="str">
        <x:f>IF('Calculations'!IF13="","",IF('Calculations'!IF13="!AMBIG","!AMBIG",IF(COUNTIF('Calculations'!$HE$13:$HE$512,"="&amp;SUBSTITUTE(SUBSTITUTE(SUBSTITUTE('Calculations'!IF13,"~","~~"),"*","~*"),"?","~?"))&gt;1,"!AMBIG",IFERROR(INDEX('Calculations'!$HF$13:$HF$512,MATCH('Calculations'!IF13,'Calculations'!$HE$13:$HE$512,0)),""))))</x:f>
      </x:c>
      <x:c r="IH13" t="str">
        <x:f>IF('Calculations'!IG13="","",IF('Calculations'!IG13="!AMBIG","!AMBIG",IF(COUNTIF('Calculations'!$HE$13:$HE$512,"="&amp;SUBSTITUTE(SUBSTITUTE(SUBSTITUTE('Calculations'!IG13,"~","~~"),"*","~*"),"?","~?"))&gt;1,"!AMBIG",IFERROR(INDEX('Calculations'!$HF$13:$HF$512,MATCH('Calculations'!IG13,'Calculations'!$HE$13:$HE$512,0)),""))))</x:f>
      </x:c>
      <x:c r="II13" t="str">
        <x:f>IF('Calculations'!IH13="","",IF('Calculations'!IH13="!AMBIG","!AMBIG",IF(COUNTIF('Calculations'!$HE$13:$HE$512,"="&amp;SUBSTITUTE(SUBSTITUTE(SUBSTITUTE('Calculations'!IH13,"~","~~"),"*","~*"),"?","~?"))&gt;1,"!AMBIG",IFERROR(INDEX('Calculations'!$HF$13:$HF$512,MATCH('Calculations'!IH13,'Calculations'!$HE$13:$HE$512,0)),""))))</x:f>
      </x:c>
      <x:c r="IJ13" t="str">
        <x:f>IF('Calculations'!EM13="","",IF('Calculations'!$EF$2="All",'Calculations'!HM13,IF('Calculations'!HL13=1,"",IFERROR(IF(MATCH('Calculations'!$EF$2,'Calculations'!HO13:II13,0)=1,'Calculations'!HE13,INDEX('Calculations'!HO13:II13,1,MATCH('Calculations'!$EF$2,'Calculations'!HO13:II13,0)-1)),""))))</x:f>
      </x:c>
      <x:c r="IK13" t="n">
        <x:f>IF(AND('Calculations'!EM13&lt;&gt;"",'Calculations'!$EF$2&lt;&gt;"All",'Calculations'!HF13='Calculations'!$EF$2,'Calculations'!HL13=0,'Calculations'!JD13&gt;0),MAX('Calculations'!$IK$12:IK12)+1,0)</x:f>
        <x:v>0</x:v>
      </x:c>
      <x:c r="JA13" t="n">
        <x:f>IF(OR(IFERROR(INDIRECT("'WCM Calibration Final'!$A$13")&lt;&gt;"",FALSE),IFERROR(INDIRECT("'WCM Calibration Final'!$B$13")&lt;&gt;"",FALSE),IFERROR(INDIRECT("'WCM Calibration Final'!$C$13")&lt;&gt;"",FALSE)),13,0)</x:f>
        <x:v>0</x:v>
      </x:c>
      <x:c r="JB13" t="n">
        <x:f>'Calculations'!JB12+IF('Calculations'!JA13&gt;0,1,0)</x:f>
        <x:v>0</x:v>
      </x:c>
      <x:c r="JC13" t="n">
        <x:f>IF(OR('Calculations'!HF13="",'Calculations'!HF13="!AMBIG"),0,IF('Dashboard'!$B$7="All",1,COUNTIFS('Calculations'!$HO$13:$HO$512,"="&amp;SUBSTITUTE(SUBSTITUTE(SUBSTITUTE('Calculations'!HF13,"~","~~"),"*","~*"),"?","~?"),'Calculations'!$HN$13:$HN$512,"="&amp;SUBSTITUTE(SUBSTITUTE(SUBSTITUTE('Dashboard'!$B$7,"~","~~"),"*","~*"),"?","~?"))+COUNTIFS('Calculations'!$HP$13:$HP$512,"="&amp;SUBSTITUTE(SUBSTITUTE(SUBSTITUTE('Calculations'!HF13,"~","~~"),"*","~*"),"?","~?"),'Calculations'!$HN$13:$HN$512,"="&amp;SUBSTITUTE(SUBSTITUTE(SUBSTITUTE('Dashboard'!$B$7,"~","~~"),"*","~*"),"?","~?"))+COUNTIFS('Calculations'!$HQ$13:$HQ$512,"="&amp;SUBSTITUTE(SUBSTITUTE(SUBSTITUTE('Calculations'!HF13,"~","~~"),"*","~*"),"?","~?"),'Calculations'!$HN$13:$HN$512,"="&amp;SUBSTITUTE(SUBSTITUTE(SUBSTITUTE('Dashboard'!$B$7,"~","~~"),"*","~*"),"?","~?"))+COUNTIFS('Calculations'!$HR$13:$HR$512,"="&amp;SUBSTITUTE(SUBSTITUTE(SUBSTITUTE('Calculations'!HF13,"~","~~"),"*","~*"),"?","~?"),'Calculations'!$HN$13:$HN$512,"="&amp;SUBSTITUTE(SUBSTITUTE(SUBSTITUTE('Dashboard'!$B$7,"~","~~"),"*","~*"),"?","~?"))+COUNTIFS('Calculations'!$HS$13:$HS$512,"="&amp;SUBSTITUTE(SUBSTITUTE(SUBSTITUTE('Calculations'!HF13,"~","~~"),"*","~*"),"?","~?"),'Calculations'!$HN$13:$HN$512,"="&amp;SUBSTITUTE(SUBSTITUTE(SUBSTITUTE('Dashboard'!$B$7,"~","~~"),"*","~*"),"?","~?"))+COUNTIFS('Calculations'!$HT$13:$HT$512,"="&amp;SUBSTITUTE(SUBSTITUTE(SUBSTITUTE('Calculations'!HF13,"~","~~"),"*","~*"),"?","~?"),'Calculations'!$HN$13:$HN$512,"="&amp;SUBSTITUTE(SUBSTITUTE(SUBSTITUTE('Dashboard'!$B$7,"~","~~"),"*","~*"),"?","~?"))+COUNTIFS('Calculations'!$HU$13:$HU$512,"="&amp;SUBSTITUTE(SUBSTITUTE(SUBSTITUTE('Calculations'!HF13,"~","~~"),"*","~*"),"?","~?"),'Calculations'!$HN$13:$HN$512,"="&amp;SUBSTITUTE(SUBSTITUTE(SUBSTITUTE('Dashboard'!$B$7,"~","~~"),"*","~*"),"?","~?"))+COUNTIFS('Calculations'!$HV$13:$HV$512,"="&amp;SUBSTITUTE(SUBSTITUTE(SUBSTITUTE('Calculations'!HF13,"~","~~"),"*","~*"),"?","~?"),'Calculations'!$HN$13:$HN$512,"="&amp;SUBSTITUTE(SUBSTITUTE(SUBSTITUTE('Dashboard'!$B$7,"~","~~"),"*","~*"),"?","~?"))+COUNTIFS('Calculations'!$HW$13:$HW$512,"="&amp;SUBSTITUTE(SUBSTITUTE(SUBSTITUTE('Calculations'!HF13,"~","~~"),"*","~*"),"?","~?"),'Calculations'!$HN$13:$HN$512,"="&amp;SUBSTITUTE(SUBSTITUTE(SUBSTITUTE('Dashboard'!$B$7,"~","~~"),"*","~*"),"?","~?"))+COUNTIFS('Calculations'!$HX$13:$HX$512,"="&amp;SUBSTITUTE(SUBSTITUTE(SUBSTITUTE('Calculations'!HF13,"~","~~"),"*","~*"),"?","~?"),'Calculations'!$HN$13:$HN$512,"="&amp;SUBSTITUTE(SUBSTITUTE(SUBSTITUTE('Dashboard'!$B$7,"~","~~"),"*","~*"),"?","~?"))+COUNTIFS('Calculations'!$HY$13:$HY$512,"="&amp;SUBSTITUTE(SUBSTITUTE(SUBSTITUTE('Calculations'!HF13,"~","~~"),"*","~*"),"?","~?"),'Calculations'!$HN$13:$HN$512,"="&amp;SUBSTITUTE(SUBSTITUTE(SUBSTITUTE('Dashboard'!$B$7,"~","~~"),"*","~*"),"?","~?"))+COUNTIFS('Calculations'!$HZ$13:$HZ$512,"="&amp;SUBSTITUTE(SUBSTITUTE(SUBSTITUTE('Calculations'!HF13,"~","~~"),"*","~*"),"?","~?"),'Calculations'!$HN$13:$HN$512,"="&amp;SUBSTITUTE(SUBSTITUTE(SUBSTITUTE('Dashboard'!$B$7,"~","~~"),"*","~*"),"?","~?"))+COUNTIFS('Calculations'!$IA$13:$IA$512,"="&amp;SUBSTITUTE(SUBSTITUTE(SUBSTITUTE('Calculations'!HF13,"~","~~"),"*","~*"),"?","~?"),'Calculations'!$HN$13:$HN$512,"="&amp;SUBSTITUTE(SUBSTITUTE(SUBSTITUTE('Dashboard'!$B$7,"~","~~"),"*","~*"),"?","~?"))+COUNTIFS('Calculations'!$IB$13:$IB$512,"="&amp;SUBSTITUTE(SUBSTITUTE(SUBSTITUTE('Calculations'!HF13,"~","~~"),"*","~*"),"?","~?"),'Calculations'!$HN$13:$HN$512,"="&amp;SUBSTITUTE(SUBSTITUTE(SUBSTITUTE('Dashboard'!$B$7,"~","~~"),"*","~*"),"?","~?"))+COUNTIFS('Calculations'!$IC$13:$IC$512,"="&amp;SUBSTITUTE(SUBSTITUTE(SUBSTITUTE('Calculations'!HF13,"~","~~"),"*","~*"),"?","~?"),'Calculations'!$HN$13:$HN$512,"="&amp;SUBSTITUTE(SUBSTITUTE(SUBSTITUTE('Dashboard'!$B$7,"~","~~"),"*","~*"),"?","~?"))+COUNTIFS('Calculations'!$ID$13:$ID$512,"="&amp;SUBSTITUTE(SUBSTITUTE(SUBSTITUTE('Calculations'!HF13,"~","~~"),"*","~*"),"?","~?"),'Calculations'!$HN$13:$HN$512,"="&amp;SUBSTITUTE(SUBSTITUTE(SUBSTITUTE('Dashboard'!$B$7,"~","~~"),"*","~*"),"?","~?"))+COUNTIFS('Calculations'!$IE$13:$IE$512,"="&amp;SUBSTITUTE(SUBSTITUTE(SUBSTITUTE('Calculations'!HF13,"~","~~"),"*","~*"),"?","~?"),'Calculations'!$HN$13:$HN$512,"="&amp;SUBSTITUTE(SUBSTITUTE(SUBSTITUTE('Dashboard'!$B$7,"~","~~"),"*","~*"),"?","~?"))+COUNTIFS('Calculations'!$IF$13:$IF$512,"="&amp;SUBSTITUTE(SUBSTITUTE(SUBSTITUTE('Calculations'!HF13,"~","~~"),"*","~*"),"?","~?"),'Calculations'!$HN$13:$HN$512,"="&amp;SUBSTITUTE(SUBSTITUTE(SUBSTITUTE('Dashboard'!$B$7,"~","~~"),"*","~*"),"?","~?"))+COUNTIFS('Calculations'!$IG$13:$IG$512,"="&amp;SUBSTITUTE(SUBSTITUTE(SUBSTITUTE('Calculations'!HF13,"~","~~"),"*","~*"),"?","~?"),'Calculations'!$HN$13:$HN$512,"="&amp;SUBSTITUTE(SUBSTITUTE(SUBSTITUTE('Dashboard'!$B$7,"~","~~"),"*","~*"),"?","~?"))+COUNTIFS('Calculations'!$IH$13:$IH$512,"="&amp;SUBSTITUTE(SUBSTITUTE(SUBSTITUTE('Calculations'!HF13,"~","~~"),"*","~*"),"?","~?"),'Calculations'!$HN$13:$HN$512,"="&amp;SUBSTITUTE(SUBSTITUTE(SUBSTITUTE('Dashboard'!$B$7,"~","~~"),"*","~*"),"?","~?"))))</x:f>
        <x:v>0</x:v>
      </x:c>
      <x:c r="JD13" t="n">
        <x:f>IF('Calculations'!EM13="",0,IF('Dashboard'!$B$7="All",1,IF('Calculations'!HN13='Dashboard'!$B$7,1,0)+IFERROR(INDEX('Calculations'!$JC$13:$JC$512,MATCH('Calculations'!HE13,'Calculations'!$HF$13:$HF$512,0)),0)))</x:f>
        <x:v>0</x:v>
      </x:c>
      <x:c r="JE13" t="n">
        <x:f>IF(AND('Calculations'!EM13&lt;&gt;"",'Calculations'!$JJ$2&lt;&gt;"All",'Calculations'!$JJ$2&lt;&gt;"",'Calculations'!HF13='Calculations'!$JJ$2,'Calculations'!HL13=0,'Calculations'!JD13&gt;0),MAX('Calculations'!$JE$12:JE12)+1,0)</x:f>
        <x:v>0</x:v>
      </x:c>
      <x:c r="JF13" t="str">
        <x:f>IF('Calculations'!EM13="","",IFERROR(IF(INDEX(INDIRECT("'WCM Calibration Final'!$G$1:$G$2000"),'Calculations'!$EM13)="","",TRIM(INDEX(INDIRECT("'WCM Calibration Final'!$G$1:$G$2000"),'Calculations'!$EM13)&amp;"")),""))</x:f>
      </x:c>
      <x:c r="JQ13" t="n">
        <x:f>IF(OR('Calculations'!BM13=0,NOT('Calculations'!$AG$2),'Calculations'!$AG$8&gt;0),0,IF(OR('Dashboard'!$B$7="All",'Calculations'!HN13='Dashboard'!$B$7),IF('Calculations'!$JJ$2="All",1,IF(AND('Calculations'!HF13='Calculations'!$JJ$2,'Calculations'!HL13=0),1,0)),0))</x:f>
        <x:v>0</x:v>
      </x:c>
    </x:row>
    <x:row r="14" ht="21" customHeight="1">
      <x:c r="A14" s="75" t="str">
        <x:f>AF213</x:f>
        <x:v>3 Valued</x:v>
      </x:c>
      <x:c r="B14" s="75" t="n">
        <x:f>AG213</x:f>
        <x:v>0</x:v>
      </x:c>
      <x:c r="C14" s="76" t="str">
        <x:f>IFERROR(AH213,"—")</x:f>
        <x:v>—</x:v>
      </x:c>
      <x:c r="D14" s="75"/>
      <x:c r="E14" s="75"/>
      <x:c r="F14" s="75" t="str">
        <x:f>AF263</x:f>
        <x:v>3 Valued</x:v>
      </x:c>
      <x:c r="G14" s="75" t="n">
        <x:f>AG263</x:f>
        <x:v>0</x:v>
      </x:c>
      <x:c r="H14" s="76" t="str">
        <x:f>IFERROR(AH263,"—")</x:f>
        <x:v>—</x:v>
      </x:c>
      <x:c r="I14" s="75"/>
      <x:c r="J14" s="75"/>
      <x:c r="K14" s="75"/>
      <x:c r="L14" s="75"/>
      <x:c r="M14" s="75"/>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t="n">
        <x:f>IF('Calculations'!$EM14="",0,IF(OR(IFERROR(INDEX(INDIRECT("'WCM Calibration Final'!$A$1:$A$2000"),'Calculations'!$EM14)&lt;&gt;"",FALSE),IFERROR(INDEX(INDIRECT("'WCM Calibration Final'!$B$1:$B$2000"),'Calculations'!$EM14)&lt;&gt;"",FALSE),IFERROR(INDEX(INDIRECT("'WCM Calibration Final'!$C$1:$C$2000"),'Calculations'!$EM14)&lt;&gt;"",FALSE)),1,0))</x:f>
        <x:v>0</x:v>
      </x:c>
      <x:c r="BN14" s="4" t="n">
        <x:f>IF(AND('Calculations'!BM14=1,'Calculations'!$AG$2,'Calculations'!$EN14=1),1,0)</x:f>
        <x:v>0</x:v>
      </x:c>
      <x:c r="BO14" s="4" t="str">
        <x:f>IF('Calculations'!BM14=0,"",IFERROR(IF(AND(VALUE(INDEX(INDIRECT("'WCM Calibration Final'!$K$1:$K$2000"),'Calculations'!$EM14))&gt;=1,VALUE(INDEX(INDIRECT("'WCM Calibration Final'!$K$1:$K$2000"),'Calculations'!$EM14))&lt;=4,MOD(VALUE(INDEX(INDIRECT("'WCM Calibration Final'!$K$1:$K$2000"),'Calculations'!$EM14)),1)=0),VALUE(INDEX(INDIRECT("'WCM Calibration Final'!$K$1:$K$2000"),'Calculations'!$EM14)),""),""))</x:f>
      </x:c>
      <x:c r="BP14" s="4" t="str">
        <x:f>IF('Calculations'!BM14=0,"",IFERROR(IF(AND(VALUE(INDEX(INDIRECT("'WCM Calibration Final'!$L$1:$L$2000"),'Calculations'!$EM14))&gt;=1,VALUE(INDEX(INDIRECT("'WCM Calibration Final'!$L$1:$L$2000"),'Calculations'!$EM14))&lt;=4,MOD(VALUE(INDEX(INDIRECT("'WCM Calibration Final'!$L$1:$L$2000"),'Calculations'!$EM14)),1)=0),VALUE(INDEX(INDIRECT("'WCM Calibration Final'!$L$1:$L$2000"),'Calculations'!$EM14)),""),""))</x:f>
      </x:c>
      <x:c r="BQ14" s="4"/>
      <x:c r="BR14" s="4"/>
      <x:c r="BS14" s="4"/>
      <x:c r="BT14" s="4" t="n">
        <x:f>IF(AND('Calculations'!BM14=1,ISNUMBER('Calculations'!BO14),ISNUMBER('Calculations'!BP14)),1,0)</x:f>
        <x:v>0</x:v>
      </x:c>
      <x:c r="BU14" s="4" t="str">
        <x:f>IF('Calculations'!BM14=0,"",'Calculations'!$EO14)</x:f>
      </x:c>
      <x:c r="BV14" s="4" t="str">
        <x:f>IF('Calculations'!BM14=0,"",IFERROR(IF(OR(INDEX(INDIRECT("'WCM Calibration Final'!$H$1:$H$2000"),'Calculations'!$EM14)="MANAGING DIRECTOR",INDEX(INDIRECT("'WCM Calibration Final'!$H$1:$H$2000"),'Calculations'!$EM14)="DIRECTOR",INDEX(INDIRECT("'WCM Calibration Final'!$H$1:$H$2000"),'Calculations'!$EM14)="SENIOR VICE PRESIDENT",INDEX(INDIRECT("'WCM Calibration Final'!$H$1:$H$2000"),'Calculations'!$EM14)="VICE PRESIDENT",INDEX(INDIRECT("'WCM Calibration Final'!$H$1:$H$2000"),'Calculations'!$EM14)="ASSISTANT VICE PRESIDENT",INDEX(INDIRECT("'WCM Calibration Final'!$H$1:$H$2000"),'Calculations'!$EM14)="OFFICER"),UPPER(INDEX(INDIRECT("'WCM Calibration Final'!$H$1:$H$2000"),'Calculations'!$EM14)),"Other"),"Other"))</x:f>
      </x:c>
      <x:c r="BW14" s="4"/>
      <x:c r="BX14" s="4"/>
      <x:c r="BY14" s="4" t="n">
        <x:f>IF(AND('Calculations'!BM14=1,'Calculations'!BU14&lt;&gt;"",COUNTIF('Calculations'!$BU$12:BU14,'Calculations'!BU14)=1),MAX('Calculations'!$BY$11:BY13)+1,0)</x:f>
        <x:v>0</x:v>
      </x:c>
      <x:c r="BZ14" s="4" t="str">
        <x:f>IF('Dashboard'!$E$67="What",'Calculations'!BO14,'Calculations'!BP14)</x:f>
      </x:c>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t="str">
        <x:f>IF(3&gt;MAX('Calculations'!$HI$13:$HI$512),"",INDEX('Calculations'!$HN$13:$HN$512,MATCH(3,'Calculations'!$HI$13:$HI$512,0)))</x:f>
      </x:c>
      <x:c r="DB14" s="4" t="str">
        <x:f>IF(3&gt;MAX('Calculations'!$HH$13:$HH$512),"",INDEX('Calculations'!$HJ$13:$HJ$512,MATCH(3,'Calculations'!$HH$13:$HH$512,0)))</x:f>
      </x:c>
      <x:c r="DC14" s="4" t="str">
        <x:f>IF(ROW()-11&gt;MAX('Calculations'!$BY$13:$BY$512),"",INDEX('Calculations'!$BU$13:$BU$512,MATCH(ROW()-11,'Calculations'!$BY$13:$BY$512,0)))</x:f>
      </x:c>
      <x:c r="DD14" s="4" t="str">
        <x:f>IF(3&gt;MAX('Calculations'!$IK$13:$IK$512),"",INDEX('Calculations'!$HK$13:$HK$512,MATCH(3,'Calculations'!$IK$13:$IK$512,0)))</x:f>
      </x:c>
      <x:c r="DE14" s="4" t="str">
        <x:f>'Calculations'!DC14</x:f>
      </x:c>
      <x:c r="DF14" s="4" t="str">
        <x:f>IF('Calculations'!DE14="","",COUNTIFS('Calculations'!$BN$13:$BN$512,1,'Calculations'!$BU$13:$BU$512,'Calculations'!DE14))</x:f>
      </x:c>
      <x:c r="DG14" s="4" t="str">
        <x:f>IF('Calculations'!DE14="","",COUNTIFS('Calculations'!$BN$13:$BN$512,1,'Calculations'!$BU$13:$BU$512,'Calculations'!DE14,'Calculations'!$BT$13:$BT$512,1))</x:f>
      </x:c>
      <x:c r="DH14" s="4" t="str">
        <x:f>IF('Calculations'!DE14="","",'Calculations'!DF14-'Calculations'!DG14)</x:f>
      </x:c>
      <x:c r="DI14" s="4" t="str">
        <x:f>IF(OR('Calculations'!DE14="",'Calculations'!DF14=0),"",'Calculations'!DG14/'Calculations'!DF14)</x:f>
      </x:c>
      <x:c r="DJ14" s="4" t="str">
        <x:f>IF('Calculations'!DE14="","",COUNTIFS('Calculations'!$BN$13:$BN$512,1,'Calculations'!$BU$13:$BU$512,'Calculations'!DE14,'Calculations'!$BT$13:$BT$512,1,'Calculations'!$EE$13:$EE$512,"High"))</x:f>
      </x:c>
      <x:c r="DK14" s="4" t="str">
        <x:f>IF('Calculations'!DE14="","",COUNTIFS('Calculations'!$BN$13:$BN$512,1,'Calculations'!$BU$13:$BU$512,'Calculations'!DE14,'Calculations'!$BT$13:$BT$512,1,'Calculations'!$EE$13:$EE$512,"Strong"))</x:f>
      </x:c>
      <x:c r="DL14" s="4" t="str">
        <x:f>IF('Calculations'!DE14="","",COUNTIFS('Calculations'!$BN$13:$BN$512,1,'Calculations'!$BU$13:$BU$512,'Calculations'!DE14,'Calculations'!$BT$13:$BT$512,1,'Calculations'!$EE$13:$EE$512,"Solid"))</x:f>
      </x:c>
      <x:c r="DM14" s="4" t="str">
        <x:f>IF('Calculations'!DE14="","",COUNTIFS('Calculations'!$BN$13:$BN$512,1,'Calculations'!$BU$13:$BU$512,'Calculations'!DE14,'Calculations'!$BT$13:$BT$512,1,'Calculations'!$EE$13:$EE$512,"Low"))</x:f>
      </x:c>
      <x:c r="DN14" s="4" t="str">
        <x:f>IF('Calculations'!DE14="","",COUNTIFS('Calculations'!$BN$13:$BN$512,1,'Calculations'!$BU$13:$BU$512,'Calculations'!DE14,'Calculations'!$EP$13:$EP$512,1))</x:f>
      </x:c>
      <x:c r="DO14" s="4" t="str">
        <x:f>IF(OR('Calculations'!DE14="",'Calculations'!DG14=0),"",('Calculations'!DJ14+'Calculations'!DK14)/'Calculations'!DG14)</x:f>
      </x:c>
      <x:c r="DP14" s="4" t="n">
        <x:f>IF(AND('Calculations'!DE14&lt;&gt;"",'Calculations'!DF14&gt;0),COUNTIF('Calculations'!$DF$12:DF14,"&gt;0"),0)</x:f>
        <x:v>0</x:v>
      </x:c>
      <x:c r="DQ14" s="4" t="str">
        <x:f>IF(3&gt;MAX('Calculations'!$HH$13:$HH$512),"",INDEX('Calculations'!$HF$13:$HF$512,MATCH(3,'Calculations'!$HH$13:$HH$512,0)))</x:f>
      </x:c>
      <x:c r="DR14" s="4" t="str">
        <x:f>IF(3&gt;MAX('Calculations'!$IK$13:$IK$512),"",INDEX('Calculations'!$HE$13:$HE$512,MATCH(3,'Calculations'!$IK$13:$IK$512,0)))</x:f>
      </x:c>
      <x:c r="DS14" s="4"/>
      <x:c r="DT14" s="4"/>
      <x:c r="DU14" s="4"/>
      <x:c r="DV14" s="4"/>
      <x:c r="DW14" s="4"/>
      <x:c r="DX14" s="4"/>
      <x:c r="DY14" s="4"/>
      <x:c r="DZ14" s="4"/>
      <x:c r="EA14" s="4"/>
      <x:c r="EB14" s="4"/>
      <x:c r="EC14" s="4"/>
      <x:c r="ED14" s="4"/>
      <x:c r="EE14" s="4" t="str">
        <x:f>IF('Calculations'!BT14=0,"Not Rated",IF(OR('Calculations'!BO14&gt;=4,'Calculations'!BP14&gt;=4),"Low",IF('Calculations'!BO14+'Calculations'!BP14&lt;=3,"High",IF('Calculations'!BO14+'Calculations'!BP14&lt;=4,"Strong","Solid"))))</x:f>
        <x:v>Not Rated</x:v>
      </x:c>
      <x:c r="EF14" s="4"/>
      <x:c r="EG14" s="4"/>
      <x:c r="EH14" s="4"/>
      <x:c r="EI14" s="4"/>
      <x:c r="EJ14" s="4"/>
      <x:c r="EK14" s="4"/>
      <x:c r="EL14" s="4"/>
      <x:c r="EM14" s="4" t="str">
        <x:f>IF(2&gt;'Calculations'!$JB$2000,"",INDEX('Calculations'!$JA$12:$JA$2000,MATCH(2,'Calculations'!$JB$12:$JB$2000,0)))</x:f>
      </x:c>
      <x:c r="EN14" s="4" t="n">
        <x:f>IF(OR('Calculations'!EM14="",'Calculations'!$AG$8&gt;0,AND('Calculations'!$EF$2&lt;&gt;"All",'Calculations'!HE14='Calculations'!$EF$2),AND('Calculations'!$EF$3&lt;&gt;"All",'Calculations'!HE14='Calculations'!$EF$3)),0,IF(OR('Dashboard'!$B$7="All",'Calculations'!HN14='Dashboard'!$B$7),IF('Calculations'!$EF$2="All",1,IF('Calculations'!HL14&gt;0,0,IF(COUNTIF('Calculations'!HO14:II14,"="&amp;SUBSTITUTE(SUBSTITUTE(SUBSTITUTE('Calculations'!$EF$2,"~","~~"),"*","~*"),"?","~?"))=0,0,IF('Calculations'!$EF$3="All",1,IF(COUNTIF('Calculations'!HO14:II14,"="&amp;SUBSTITUTE(SUBSTITUTE(SUBSTITUTE('Calculations'!$EF$3,"~","~~"),"*","~*"),"?","~?"))&gt;0,1,0))))),0))</x:f>
        <x:v>0</x:v>
      </x:c>
      <x:c r="EO14" s="4" t="str">
        <x:f>IF('Calculations'!IJ14="","",IF('Calculations'!IJ14="!UNRESOLVED","Unresolved hierarchy",IFERROR(INDEX('Calculations'!$HK$13:$HK$512,MATCH('Calculations'!IJ14,'Calculations'!$HE$13:$HE$512,0)),IFERROR(INDEX('Calculations'!$HJ$13:$HJ$512,MATCH('Calculations'!IJ14,'Calculations'!$HF$13:$HF$512,0)),'Calculations'!IJ14))))</x:f>
      </x:c>
      <x:c r="EP14" s="4" t="n">
        <x:f>IF(AND('Calculations'!EM14&lt;&gt;"",'Calculations'!HF14='Calculations'!IJ14),1,0)</x:f>
        <x:v>0</x:v>
      </x:c>
      <x:c r="EQ14" s="4"/>
      <x:c r="ER14" s="4"/>
      <x:c r="ES14" s="4"/>
      <x:c r="ET14" s="4"/>
      <x:c r="EU14" s="4"/>
      <x:c r="EV14" s="4"/>
      <x:c r="EW14" s="4"/>
      <x:c r="EX14" s="4"/>
      <x:c r="EY14" s="4"/>
      <x:c r="EZ14" s="4"/>
      <x:c r="FA14" s="4"/>
      <x:c r="FB14" s="4"/>
      <x:c r="FC14" s="4"/>
      <x:c r="FD14" s="4"/>
      <x:c r="FE14" s="4"/>
      <x:c r="FF14" s="4"/>
      <x:c r="FG14" s="4"/>
      <x:c r="FH14" s="4"/>
      <x:c r="FI14" s="4"/>
      <x:c r="FJ14" s="4"/>
      <x:c r="FK14" s="4"/>
      <x:c r="FL14" s="4"/>
      <x:c r="FM14" s="4"/>
      <x:c r="FN14" s="4"/>
      <x:c r="FO14" s="4"/>
      <x:c r="GA14" s="71"/>
      <x:c r="GB14" s="71"/>
      <x:c r="GC14" s="71"/>
      <x:c r="GD14" s="71"/>
      <x:c r="GE14" s="71"/>
      <x:c r="GF14" s="71"/>
      <x:c r="GG14" s="71"/>
      <x:c r="GH14" s="71"/>
      <x:c r="GI14" s="71"/>
      <x:c r="GJ14" s="71"/>
      <x:c r="GK14" s="71"/>
      <x:c r="GL14" s="71"/>
      <x:c r="GM14" s="71"/>
      <x:c r="GN14" s="71"/>
      <x:c r="GO14" s="71"/>
      <x:c r="GP14" s="71"/>
      <x:c r="GQ14" s="71"/>
      <x:c r="GR14" s="71"/>
      <x:c r="GS14" s="71"/>
      <x:c r="GT14" s="71"/>
      <x:c r="GU14" s="71"/>
      <x:c r="GV14" s="71"/>
      <x:c r="GW14" s="71"/>
      <x:c r="GX14" s="71"/>
      <x:c r="GY14" s="71"/>
      <x:c r="GZ14" s="71"/>
      <x:c r="HA14" s="71"/>
      <x:c r="HB14" s="71"/>
      <x:c r="HC14" s="71"/>
      <x:c r="HD14" s="71"/>
      <x:c r="HE14" t="str">
        <x:f>IF('Calculations'!EM14="","",IF(IFERROR(IF(INDEX(INDIRECT("'WCM Calibration Final'!$A$1:$A$2000"),'Calculations'!$EM14)="","",TRIM(INDEX(INDIRECT("'WCM Calibration Final'!$A$1:$A$2000"),'Calculations'!$EM14)&amp;"")),"")&lt;&gt;"","G:"&amp;IFERROR(TEXT(1*INDEX(INDIRECT("'WCM Calibration Final'!$A$1:$A$2000"),'Calculations'!$EM14),"0"),UPPER(IFERROR(IF(INDEX(INDIRECT("'WCM Calibration Final'!$A$1:$A$2000"),'Calculations'!$EM14)="","",TRIM(INDEX(INDIRECT("'WCM Calibration Final'!$A$1:$A$2000"),'Calculations'!$EM14)&amp;"")),""))),IF(IFERROR(IF(INDEX(INDIRECT("'WCM Calibration Final'!$C$1:$C$2000"),'Calculations'!$EM14)="","",TRIM(INDEX(INDIRECT("'WCM Calibration Final'!$C$1:$C$2000"),'Calculations'!$EM14)&amp;"")),"")&lt;&gt;"","S:"&amp;UPPER(IFERROR(IF(INDEX(INDIRECT("'WCM Calibration Final'!$C$1:$C$2000"),'Calculations'!$EM14)="","",TRIM(INDEX(INDIRECT("'WCM Calibration Final'!$C$1:$C$2000"),'Calculations'!$EM14)&amp;"")),"")),"R:"&amp;'Calculations'!EM14)))</x:f>
      </x:c>
      <x:c r="HF14" t="str">
        <x:f>IF('Calculations'!EM14="","",IF(IFERROR(IF(INDEX(INDIRECT("'WCM Calibration Final'!$D$1:$D$2000"),'Calculations'!$EM14)="","",TRIM(INDEX(INDIRECT("'WCM Calibration Final'!$D$1:$D$2000"),'Calculations'!$EM14)&amp;"")),"")&lt;&gt;"","G:"&amp;IFERROR(TEXT(1*INDEX(INDIRECT("'WCM Calibration Final'!$D$1:$D$2000"),'Calculations'!$EM14),"0"),UPPER(IFERROR(IF(INDEX(INDIRECT("'WCM Calibration Final'!$D$1:$D$2000"),'Calculations'!$EM14)="","",TRIM(INDEX(INDIRECT("'WCM Calibration Final'!$D$1:$D$2000"),'Calculations'!$EM14)&amp;"")),""))),IF(IFERROR(IF(INDEX(INDIRECT("'WCM Calibration Final'!$E$1:$E$2000"),'Calculations'!$EM14)="","",TRIM(INDEX(INDIRECT("'WCM Calibration Final'!$E$1:$E$2000"),'Calculations'!$EM14)&amp;"")),"")="","",IF(COUNTIF('Calculations'!$HG$13:$HG$512,"="&amp;SUBSTITUTE(SUBSTITUTE(SUBSTITUTE(IFERROR(IF(INDEX(INDIRECT("'WCM Calibration Final'!$E$1:$E$2000"),'Calculations'!$EM14)="","",TRIM(INDEX(INDIRECT("'WCM Calibration Final'!$E$1:$E$2000"),'Calculations'!$EM14)&amp;"")),""),"~","~~"),"*","~*"),"?","~?"))=1,INDEX('Calculations'!$HE$13:$HE$512,MATCH(IFERROR(IF(INDEX(INDIRECT("'WCM Calibration Final'!$E$1:$E$2000"),'Calculations'!$EM14)="","",TRIM(INDEX(INDIRECT("'WCM Calibration Final'!$E$1:$E$2000"),'Calculations'!$EM14)&amp;"")),""),'Calculations'!$HG$13:$HG$512,0)),IF(COUNTIF('Calculations'!$HG$13:$HG$512,"="&amp;SUBSTITUTE(SUBSTITUTE(SUBSTITUTE(IFERROR(IF(INDEX(INDIRECT("'WCM Calibration Final'!$E$1:$E$2000"),'Calculations'!$EM14)="","",TRIM(INDEX(INDIRECT("'WCM Calibration Final'!$E$1:$E$2000"),'Calculations'!$EM14)&amp;"")),""),"~","~~"),"*","~*"),"?","~?"))&gt;1,"!AMBIG","X:"&amp;IFERROR(IF(INDEX(INDIRECT("'WCM Calibration Final'!$E$1:$E$2000"),'Calculations'!$EM14)="","",TRIM(INDEX(INDIRECT("'WCM Calibration Final'!$E$1:$E$2000"),'Calculations'!$EM14)&amp;"")),""))))))</x:f>
      </x:c>
      <x:c r="HG14" t="str">
        <x:f>IF('Calculations'!EM14="","",IFERROR(IF(INDEX(INDIRECT("'WCM Calibration Final'!$B$1:$B$2000"),'Calculations'!$EM14)="","",TRIM(INDEX(INDIRECT("'WCM Calibration Final'!$B$1:$B$2000"),'Calculations'!$EM14)&amp;"")),""))</x:f>
      </x:c>
      <x:c r="HH14" t="n">
        <x:f>IF(AND('Calculations'!JC14&gt;0,COUNTIF('Calculations'!$HF$12:HF14,"="&amp;SUBSTITUTE(SUBSTITUTE(SUBSTITUTE('Calculations'!HF14,"~","~~"),"*","~*"),"?","~?"))=1),MAX('Calculations'!$HH$12:HH13)+1,0)</x:f>
        <x:v>0</x:v>
      </x:c>
      <x:c r="HI14" t="n">
        <x:f>IF(AND('Calculations'!HN14&lt;&gt;"",COUNTIF('Calculations'!$HN$12:HN14,"="&amp;SUBSTITUTE(SUBSTITUTE(SUBSTITUTE('Calculations'!HN14,"~","~~"),"*","~*"),"?","~?"))=1),MAX('Calculations'!$HI$12:HI13)+1,0)</x:f>
        <x:v>0</x:v>
      </x:c>
      <x:c r="HJ14" t="str">
        <x:f>IF('Calculations'!HF14="","",IF(COUNTIF('Calculations'!$HE$13:$HE$512,"="&amp;SUBSTITUTE(SUBSTITUTE(SUBSTITUTE('Calculations'!HF14,"~","~~"),"*","~*"),"?","~?"))=1,INDEX('Calculations'!$HK$13:$HK$512,MATCH('Calculations'!HF14,'Calculations'!$HE$13:$HE$512,0)),IFERROR(IF(INDEX(INDIRECT("'WCM Calibration Final'!$E$1:$E$2000"),'Calculations'!$EM14)="","",TRIM(INDEX(INDIRECT("'WCM Calibration Final'!$E$1:$E$2000"),'Calculations'!$EM14)&amp;"")),"")&amp;" ["&amp;'Calculations'!HF14&amp;"]"))</x:f>
      </x:c>
      <x:c r="HK14" t="str">
        <x:f>IF('Calculations'!EM14="","",'Calculations'!HG14&amp;" ["&amp;'Calculations'!HE14&amp;"]")</x:f>
      </x:c>
      <x:c r="HL14" t="n">
        <x:f>IF('Calculations'!EM14="",0,IF(OR('Calculations'!II14&lt;&gt;"",COUNTIF('Calculations'!$HE$13:$HE$512,"="&amp;SUBSTITUTE(SUBSTITUTE(SUBSTITUTE('Calculations'!HE14,"~","~~"),"*","~*"),"?","~?"))&gt;1),1,0))</x:f>
        <x:v>0</x:v>
      </x:c>
      <x:c r="HM14" t="str">
        <x:f>IF('Calculations'!EM14="","",IF('Calculations'!HL14=1,"!UNRESOLVED",IF('Calculations'!IH14&lt;&gt;"",'Calculations'!IH14,IF('Calculations'!IG14&lt;&gt;"",'Calculations'!IG14,IF('Calculations'!IF14&lt;&gt;"",'Calculations'!IF14,IF('Calculations'!IE14&lt;&gt;"",'Calculations'!IE14,IF('Calculations'!ID14&lt;&gt;"",'Calculations'!ID14,IF('Calculations'!IC14&lt;&gt;"",'Calculations'!IC14,IF('Calculations'!IB14&lt;&gt;"",'Calculations'!IB14,IF('Calculations'!IA14&lt;&gt;"",'Calculations'!IA14,IF('Calculations'!HZ14&lt;&gt;"",'Calculations'!HZ14,IF('Calculations'!HY14&lt;&gt;"",'Calculations'!HY14,IF('Calculations'!HX14&lt;&gt;"",'Calculations'!HX14,IF('Calculations'!HW14&lt;&gt;"",'Calculations'!HW14,IF('Calculations'!HV14&lt;&gt;"",'Calculations'!HV14,IF('Calculations'!HU14&lt;&gt;"",'Calculations'!HU14,IF('Calculations'!HT14&lt;&gt;"",'Calculations'!HT14,IF('Calculations'!HS14&lt;&gt;"",'Calculations'!HS14,IF('Calculations'!HR14&lt;&gt;"",'Calculations'!HR14,IF('Calculations'!HQ14&lt;&gt;"",'Calculations'!HQ14,IF('Calculations'!HP14&lt;&gt;"",'Calculations'!HP14,IF('Calculations'!HO14&lt;&gt;"",'Calculations'!HO14,'Calculations'!HE14))))))))))))))))))))))</x:f>
      </x:c>
      <x:c r="HN14" t="str">
        <x:f>IF('Calculations'!EM14="","",IF(IFERROR(IF(INDEX(INDIRECT("'WCM Calibration Final'!$F$1:$F$2000"),'Calculations'!$EM14)="","",TRIM(INDEX(INDIRECT("'WCM Calibration Final'!$F$1:$F$2000"),'Calculations'!$EM14)&amp;"")),"")="","(Blank)",IFERROR(IF(INDEX(INDIRECT("'WCM Calibration Final'!$F$1:$F$2000"),'Calculations'!$EM14)="","",TRIM(INDEX(INDIRECT("'WCM Calibration Final'!$F$1:$F$2000"),'Calculations'!$EM14)&amp;"")),"")))</x:f>
      </x:c>
      <x:c r="HO14" t="str">
        <x:f>'Calculations'!HF14</x:f>
      </x:c>
      <x:c r="HP14" t="str">
        <x:f>IF('Calculations'!HO14="","",IF('Calculations'!HO14="!AMBIG","!AMBIG",IF(COUNTIF('Calculations'!$HE$13:$HE$512,"="&amp;SUBSTITUTE(SUBSTITUTE(SUBSTITUTE('Calculations'!HO14,"~","~~"),"*","~*"),"?","~?"))&gt;1,"!AMBIG",IFERROR(INDEX('Calculations'!$HF$13:$HF$512,MATCH('Calculations'!HO14,'Calculations'!$HE$13:$HE$512,0)),""))))</x:f>
      </x:c>
      <x:c r="HQ14" t="str">
        <x:f>IF('Calculations'!HP14="","",IF('Calculations'!HP14="!AMBIG","!AMBIG",IF(COUNTIF('Calculations'!$HE$13:$HE$512,"="&amp;SUBSTITUTE(SUBSTITUTE(SUBSTITUTE('Calculations'!HP14,"~","~~"),"*","~*"),"?","~?"))&gt;1,"!AMBIG",IFERROR(INDEX('Calculations'!$HF$13:$HF$512,MATCH('Calculations'!HP14,'Calculations'!$HE$13:$HE$512,0)),""))))</x:f>
      </x:c>
      <x:c r="HR14" t="str">
        <x:f>IF('Calculations'!HQ14="","",IF('Calculations'!HQ14="!AMBIG","!AMBIG",IF(COUNTIF('Calculations'!$HE$13:$HE$512,"="&amp;SUBSTITUTE(SUBSTITUTE(SUBSTITUTE('Calculations'!HQ14,"~","~~"),"*","~*"),"?","~?"))&gt;1,"!AMBIG",IFERROR(INDEX('Calculations'!$HF$13:$HF$512,MATCH('Calculations'!HQ14,'Calculations'!$HE$13:$HE$512,0)),""))))</x:f>
      </x:c>
      <x:c r="HS14" t="str">
        <x:f>IF('Calculations'!HR14="","",IF('Calculations'!HR14="!AMBIG","!AMBIG",IF(COUNTIF('Calculations'!$HE$13:$HE$512,"="&amp;SUBSTITUTE(SUBSTITUTE(SUBSTITUTE('Calculations'!HR14,"~","~~"),"*","~*"),"?","~?"))&gt;1,"!AMBIG",IFERROR(INDEX('Calculations'!$HF$13:$HF$512,MATCH('Calculations'!HR14,'Calculations'!$HE$13:$HE$512,0)),""))))</x:f>
      </x:c>
      <x:c r="HT14" t="str">
        <x:f>IF('Calculations'!HS14="","",IF('Calculations'!HS14="!AMBIG","!AMBIG",IF(COUNTIF('Calculations'!$HE$13:$HE$512,"="&amp;SUBSTITUTE(SUBSTITUTE(SUBSTITUTE('Calculations'!HS14,"~","~~"),"*","~*"),"?","~?"))&gt;1,"!AMBIG",IFERROR(INDEX('Calculations'!$HF$13:$HF$512,MATCH('Calculations'!HS14,'Calculations'!$HE$13:$HE$512,0)),""))))</x:f>
      </x:c>
      <x:c r="HU14" t="str">
        <x:f>IF('Calculations'!HT14="","",IF('Calculations'!HT14="!AMBIG","!AMBIG",IF(COUNTIF('Calculations'!$HE$13:$HE$512,"="&amp;SUBSTITUTE(SUBSTITUTE(SUBSTITUTE('Calculations'!HT14,"~","~~"),"*","~*"),"?","~?"))&gt;1,"!AMBIG",IFERROR(INDEX('Calculations'!$HF$13:$HF$512,MATCH('Calculations'!HT14,'Calculations'!$HE$13:$HE$512,0)),""))))</x:f>
      </x:c>
      <x:c r="HV14" t="str">
        <x:f>IF('Calculations'!HU14="","",IF('Calculations'!HU14="!AMBIG","!AMBIG",IF(COUNTIF('Calculations'!$HE$13:$HE$512,"="&amp;SUBSTITUTE(SUBSTITUTE(SUBSTITUTE('Calculations'!HU14,"~","~~"),"*","~*"),"?","~?"))&gt;1,"!AMBIG",IFERROR(INDEX('Calculations'!$HF$13:$HF$512,MATCH('Calculations'!HU14,'Calculations'!$HE$13:$HE$512,0)),""))))</x:f>
      </x:c>
      <x:c r="HW14" t="str">
        <x:f>IF('Calculations'!HV14="","",IF('Calculations'!HV14="!AMBIG","!AMBIG",IF(COUNTIF('Calculations'!$HE$13:$HE$512,"="&amp;SUBSTITUTE(SUBSTITUTE(SUBSTITUTE('Calculations'!HV14,"~","~~"),"*","~*"),"?","~?"))&gt;1,"!AMBIG",IFERROR(INDEX('Calculations'!$HF$13:$HF$512,MATCH('Calculations'!HV14,'Calculations'!$HE$13:$HE$512,0)),""))))</x:f>
      </x:c>
      <x:c r="HX14" t="str">
        <x:f>IF('Calculations'!HW14="","",IF('Calculations'!HW14="!AMBIG","!AMBIG",IF(COUNTIF('Calculations'!$HE$13:$HE$512,"="&amp;SUBSTITUTE(SUBSTITUTE(SUBSTITUTE('Calculations'!HW14,"~","~~"),"*","~*"),"?","~?"))&gt;1,"!AMBIG",IFERROR(INDEX('Calculations'!$HF$13:$HF$512,MATCH('Calculations'!HW14,'Calculations'!$HE$13:$HE$512,0)),""))))</x:f>
      </x:c>
      <x:c r="HY14" t="str">
        <x:f>IF('Calculations'!HX14="","",IF('Calculations'!HX14="!AMBIG","!AMBIG",IF(COUNTIF('Calculations'!$HE$13:$HE$512,"="&amp;SUBSTITUTE(SUBSTITUTE(SUBSTITUTE('Calculations'!HX14,"~","~~"),"*","~*"),"?","~?"))&gt;1,"!AMBIG",IFERROR(INDEX('Calculations'!$HF$13:$HF$512,MATCH('Calculations'!HX14,'Calculations'!$HE$13:$HE$512,0)),""))))</x:f>
      </x:c>
      <x:c r="HZ14" t="str">
        <x:f>IF('Calculations'!HY14="","",IF('Calculations'!HY14="!AMBIG","!AMBIG",IF(COUNTIF('Calculations'!$HE$13:$HE$512,"="&amp;SUBSTITUTE(SUBSTITUTE(SUBSTITUTE('Calculations'!HY14,"~","~~"),"*","~*"),"?","~?"))&gt;1,"!AMBIG",IFERROR(INDEX('Calculations'!$HF$13:$HF$512,MATCH('Calculations'!HY14,'Calculations'!$HE$13:$HE$512,0)),""))))</x:f>
      </x:c>
      <x:c r="IA14" t="str">
        <x:f>IF('Calculations'!HZ14="","",IF('Calculations'!HZ14="!AMBIG","!AMBIG",IF(COUNTIF('Calculations'!$HE$13:$HE$512,"="&amp;SUBSTITUTE(SUBSTITUTE(SUBSTITUTE('Calculations'!HZ14,"~","~~"),"*","~*"),"?","~?"))&gt;1,"!AMBIG",IFERROR(INDEX('Calculations'!$HF$13:$HF$512,MATCH('Calculations'!HZ14,'Calculations'!$HE$13:$HE$512,0)),""))))</x:f>
      </x:c>
      <x:c r="IB14" t="str">
        <x:f>IF('Calculations'!IA14="","",IF('Calculations'!IA14="!AMBIG","!AMBIG",IF(COUNTIF('Calculations'!$HE$13:$HE$512,"="&amp;SUBSTITUTE(SUBSTITUTE(SUBSTITUTE('Calculations'!IA14,"~","~~"),"*","~*"),"?","~?"))&gt;1,"!AMBIG",IFERROR(INDEX('Calculations'!$HF$13:$HF$512,MATCH('Calculations'!IA14,'Calculations'!$HE$13:$HE$512,0)),""))))</x:f>
      </x:c>
      <x:c r="IC14" t="str">
        <x:f>IF('Calculations'!IB14="","",IF('Calculations'!IB14="!AMBIG","!AMBIG",IF(COUNTIF('Calculations'!$HE$13:$HE$512,"="&amp;SUBSTITUTE(SUBSTITUTE(SUBSTITUTE('Calculations'!IB14,"~","~~"),"*","~*"),"?","~?"))&gt;1,"!AMBIG",IFERROR(INDEX('Calculations'!$HF$13:$HF$512,MATCH('Calculations'!IB14,'Calculations'!$HE$13:$HE$512,0)),""))))</x:f>
      </x:c>
      <x:c r="ID14" t="str">
        <x:f>IF('Calculations'!IC14="","",IF('Calculations'!IC14="!AMBIG","!AMBIG",IF(COUNTIF('Calculations'!$HE$13:$HE$512,"="&amp;SUBSTITUTE(SUBSTITUTE(SUBSTITUTE('Calculations'!IC14,"~","~~"),"*","~*"),"?","~?"))&gt;1,"!AMBIG",IFERROR(INDEX('Calculations'!$HF$13:$HF$512,MATCH('Calculations'!IC14,'Calculations'!$HE$13:$HE$512,0)),""))))</x:f>
      </x:c>
      <x:c r="IE14" t="str">
        <x:f>IF('Calculations'!ID14="","",IF('Calculations'!ID14="!AMBIG","!AMBIG",IF(COUNTIF('Calculations'!$HE$13:$HE$512,"="&amp;SUBSTITUTE(SUBSTITUTE(SUBSTITUTE('Calculations'!ID14,"~","~~"),"*","~*"),"?","~?"))&gt;1,"!AMBIG",IFERROR(INDEX('Calculations'!$HF$13:$HF$512,MATCH('Calculations'!ID14,'Calculations'!$HE$13:$HE$512,0)),""))))</x:f>
      </x:c>
      <x:c r="IF14" t="str">
        <x:f>IF('Calculations'!IE14="","",IF('Calculations'!IE14="!AMBIG","!AMBIG",IF(COUNTIF('Calculations'!$HE$13:$HE$512,"="&amp;SUBSTITUTE(SUBSTITUTE(SUBSTITUTE('Calculations'!IE14,"~","~~"),"*","~*"),"?","~?"))&gt;1,"!AMBIG",IFERROR(INDEX('Calculations'!$HF$13:$HF$512,MATCH('Calculations'!IE14,'Calculations'!$HE$13:$HE$512,0)),""))))</x:f>
      </x:c>
      <x:c r="IG14" t="str">
        <x:f>IF('Calculations'!IF14="","",IF('Calculations'!IF14="!AMBIG","!AMBIG",IF(COUNTIF('Calculations'!$HE$13:$HE$512,"="&amp;SUBSTITUTE(SUBSTITUTE(SUBSTITUTE('Calculations'!IF14,"~","~~"),"*","~*"),"?","~?"))&gt;1,"!AMBIG",IFERROR(INDEX('Calculations'!$HF$13:$HF$512,MATCH('Calculations'!IF14,'Calculations'!$HE$13:$HE$512,0)),""))))</x:f>
      </x:c>
      <x:c r="IH14" t="str">
        <x:f>IF('Calculations'!IG14="","",IF('Calculations'!IG14="!AMBIG","!AMBIG",IF(COUNTIF('Calculations'!$HE$13:$HE$512,"="&amp;SUBSTITUTE(SUBSTITUTE(SUBSTITUTE('Calculations'!IG14,"~","~~"),"*","~*"),"?","~?"))&gt;1,"!AMBIG",IFERROR(INDEX('Calculations'!$HF$13:$HF$512,MATCH('Calculations'!IG14,'Calculations'!$HE$13:$HE$512,0)),""))))</x:f>
      </x:c>
      <x:c r="II14" t="str">
        <x:f>IF('Calculations'!IH14="","",IF('Calculations'!IH14="!AMBIG","!AMBIG",IF(COUNTIF('Calculations'!$HE$13:$HE$512,"="&amp;SUBSTITUTE(SUBSTITUTE(SUBSTITUTE('Calculations'!IH14,"~","~~"),"*","~*"),"?","~?"))&gt;1,"!AMBIG",IFERROR(INDEX('Calculations'!$HF$13:$HF$512,MATCH('Calculations'!IH14,'Calculations'!$HE$13:$HE$512,0)),""))))</x:f>
      </x:c>
      <x:c r="IJ14" t="str">
        <x:f>IF('Calculations'!EM14="","",IF('Calculations'!$EF$2="All",'Calculations'!HM14,IF('Calculations'!HL14=1,"",IFERROR(IF(MATCH('Calculations'!$EF$2,'Calculations'!HO14:II14,0)=1,'Calculations'!HE14,INDEX('Calculations'!HO14:II14,1,MATCH('Calculations'!$EF$2,'Calculations'!HO14:II14,0)-1)),""))))</x:f>
      </x:c>
      <x:c r="IK14" t="n">
        <x:f>IF(AND('Calculations'!EM14&lt;&gt;"",'Calculations'!$EF$2&lt;&gt;"All",'Calculations'!HF14='Calculations'!$EF$2,'Calculations'!HL14=0,'Calculations'!JD14&gt;0),MAX('Calculations'!$IK$12:IK13)+1,0)</x:f>
        <x:v>0</x:v>
      </x:c>
      <x:c r="JA14" t="n">
        <x:f>IF(OR(IFERROR(INDIRECT("'WCM Calibration Final'!$A$14")&lt;&gt;"",FALSE),IFERROR(INDIRECT("'WCM Calibration Final'!$B$14")&lt;&gt;"",FALSE),IFERROR(INDIRECT("'WCM Calibration Final'!$C$14")&lt;&gt;"",FALSE)),14,0)</x:f>
        <x:v>0</x:v>
      </x:c>
      <x:c r="JB14" t="n">
        <x:f>'Calculations'!JB13+IF('Calculations'!JA14&gt;0,1,0)</x:f>
        <x:v>0</x:v>
      </x:c>
      <x:c r="JC14" t="n">
        <x:f>IF(OR('Calculations'!HF14="",'Calculations'!HF14="!AMBIG"),0,IF('Dashboard'!$B$7="All",1,COUNTIFS('Calculations'!$HO$13:$HO$512,"="&amp;SUBSTITUTE(SUBSTITUTE(SUBSTITUTE('Calculations'!HF14,"~","~~"),"*","~*"),"?","~?"),'Calculations'!$HN$13:$HN$512,"="&amp;SUBSTITUTE(SUBSTITUTE(SUBSTITUTE('Dashboard'!$B$7,"~","~~"),"*","~*"),"?","~?"))+COUNTIFS('Calculations'!$HP$13:$HP$512,"="&amp;SUBSTITUTE(SUBSTITUTE(SUBSTITUTE('Calculations'!HF14,"~","~~"),"*","~*"),"?","~?"),'Calculations'!$HN$13:$HN$512,"="&amp;SUBSTITUTE(SUBSTITUTE(SUBSTITUTE('Dashboard'!$B$7,"~","~~"),"*","~*"),"?","~?"))+COUNTIFS('Calculations'!$HQ$13:$HQ$512,"="&amp;SUBSTITUTE(SUBSTITUTE(SUBSTITUTE('Calculations'!HF14,"~","~~"),"*","~*"),"?","~?"),'Calculations'!$HN$13:$HN$512,"="&amp;SUBSTITUTE(SUBSTITUTE(SUBSTITUTE('Dashboard'!$B$7,"~","~~"),"*","~*"),"?","~?"))+COUNTIFS('Calculations'!$HR$13:$HR$512,"="&amp;SUBSTITUTE(SUBSTITUTE(SUBSTITUTE('Calculations'!HF14,"~","~~"),"*","~*"),"?","~?"),'Calculations'!$HN$13:$HN$512,"="&amp;SUBSTITUTE(SUBSTITUTE(SUBSTITUTE('Dashboard'!$B$7,"~","~~"),"*","~*"),"?","~?"))+COUNTIFS('Calculations'!$HS$13:$HS$512,"="&amp;SUBSTITUTE(SUBSTITUTE(SUBSTITUTE('Calculations'!HF14,"~","~~"),"*","~*"),"?","~?"),'Calculations'!$HN$13:$HN$512,"="&amp;SUBSTITUTE(SUBSTITUTE(SUBSTITUTE('Dashboard'!$B$7,"~","~~"),"*","~*"),"?","~?"))+COUNTIFS('Calculations'!$HT$13:$HT$512,"="&amp;SUBSTITUTE(SUBSTITUTE(SUBSTITUTE('Calculations'!HF14,"~","~~"),"*","~*"),"?","~?"),'Calculations'!$HN$13:$HN$512,"="&amp;SUBSTITUTE(SUBSTITUTE(SUBSTITUTE('Dashboard'!$B$7,"~","~~"),"*","~*"),"?","~?"))+COUNTIFS('Calculations'!$HU$13:$HU$512,"="&amp;SUBSTITUTE(SUBSTITUTE(SUBSTITUTE('Calculations'!HF14,"~","~~"),"*","~*"),"?","~?"),'Calculations'!$HN$13:$HN$512,"="&amp;SUBSTITUTE(SUBSTITUTE(SUBSTITUTE('Dashboard'!$B$7,"~","~~"),"*","~*"),"?","~?"))+COUNTIFS('Calculations'!$HV$13:$HV$512,"="&amp;SUBSTITUTE(SUBSTITUTE(SUBSTITUTE('Calculations'!HF14,"~","~~"),"*","~*"),"?","~?"),'Calculations'!$HN$13:$HN$512,"="&amp;SUBSTITUTE(SUBSTITUTE(SUBSTITUTE('Dashboard'!$B$7,"~","~~"),"*","~*"),"?","~?"))+COUNTIFS('Calculations'!$HW$13:$HW$512,"="&amp;SUBSTITUTE(SUBSTITUTE(SUBSTITUTE('Calculations'!HF14,"~","~~"),"*","~*"),"?","~?"),'Calculations'!$HN$13:$HN$512,"="&amp;SUBSTITUTE(SUBSTITUTE(SUBSTITUTE('Dashboard'!$B$7,"~","~~"),"*","~*"),"?","~?"))+COUNTIFS('Calculations'!$HX$13:$HX$512,"="&amp;SUBSTITUTE(SUBSTITUTE(SUBSTITUTE('Calculations'!HF14,"~","~~"),"*","~*"),"?","~?"),'Calculations'!$HN$13:$HN$512,"="&amp;SUBSTITUTE(SUBSTITUTE(SUBSTITUTE('Dashboard'!$B$7,"~","~~"),"*","~*"),"?","~?"))+COUNTIFS('Calculations'!$HY$13:$HY$512,"="&amp;SUBSTITUTE(SUBSTITUTE(SUBSTITUTE('Calculations'!HF14,"~","~~"),"*","~*"),"?","~?"),'Calculations'!$HN$13:$HN$512,"="&amp;SUBSTITUTE(SUBSTITUTE(SUBSTITUTE('Dashboard'!$B$7,"~","~~"),"*","~*"),"?","~?"))+COUNTIFS('Calculations'!$HZ$13:$HZ$512,"="&amp;SUBSTITUTE(SUBSTITUTE(SUBSTITUTE('Calculations'!HF14,"~","~~"),"*","~*"),"?","~?"),'Calculations'!$HN$13:$HN$512,"="&amp;SUBSTITUTE(SUBSTITUTE(SUBSTITUTE('Dashboard'!$B$7,"~","~~"),"*","~*"),"?","~?"))+COUNTIFS('Calculations'!$IA$13:$IA$512,"="&amp;SUBSTITUTE(SUBSTITUTE(SUBSTITUTE('Calculations'!HF14,"~","~~"),"*","~*"),"?","~?"),'Calculations'!$HN$13:$HN$512,"="&amp;SUBSTITUTE(SUBSTITUTE(SUBSTITUTE('Dashboard'!$B$7,"~","~~"),"*","~*"),"?","~?"))+COUNTIFS('Calculations'!$IB$13:$IB$512,"="&amp;SUBSTITUTE(SUBSTITUTE(SUBSTITUTE('Calculations'!HF14,"~","~~"),"*","~*"),"?","~?"),'Calculations'!$HN$13:$HN$512,"="&amp;SUBSTITUTE(SUBSTITUTE(SUBSTITUTE('Dashboard'!$B$7,"~","~~"),"*","~*"),"?","~?"))+COUNTIFS('Calculations'!$IC$13:$IC$512,"="&amp;SUBSTITUTE(SUBSTITUTE(SUBSTITUTE('Calculations'!HF14,"~","~~"),"*","~*"),"?","~?"),'Calculations'!$HN$13:$HN$512,"="&amp;SUBSTITUTE(SUBSTITUTE(SUBSTITUTE('Dashboard'!$B$7,"~","~~"),"*","~*"),"?","~?"))+COUNTIFS('Calculations'!$ID$13:$ID$512,"="&amp;SUBSTITUTE(SUBSTITUTE(SUBSTITUTE('Calculations'!HF14,"~","~~"),"*","~*"),"?","~?"),'Calculations'!$HN$13:$HN$512,"="&amp;SUBSTITUTE(SUBSTITUTE(SUBSTITUTE('Dashboard'!$B$7,"~","~~"),"*","~*"),"?","~?"))+COUNTIFS('Calculations'!$IE$13:$IE$512,"="&amp;SUBSTITUTE(SUBSTITUTE(SUBSTITUTE('Calculations'!HF14,"~","~~"),"*","~*"),"?","~?"),'Calculations'!$HN$13:$HN$512,"="&amp;SUBSTITUTE(SUBSTITUTE(SUBSTITUTE('Dashboard'!$B$7,"~","~~"),"*","~*"),"?","~?"))+COUNTIFS('Calculations'!$IF$13:$IF$512,"="&amp;SUBSTITUTE(SUBSTITUTE(SUBSTITUTE('Calculations'!HF14,"~","~~"),"*","~*"),"?","~?"),'Calculations'!$HN$13:$HN$512,"="&amp;SUBSTITUTE(SUBSTITUTE(SUBSTITUTE('Dashboard'!$B$7,"~","~~"),"*","~*"),"?","~?"))+COUNTIFS('Calculations'!$IG$13:$IG$512,"="&amp;SUBSTITUTE(SUBSTITUTE(SUBSTITUTE('Calculations'!HF14,"~","~~"),"*","~*"),"?","~?"),'Calculations'!$HN$13:$HN$512,"="&amp;SUBSTITUTE(SUBSTITUTE(SUBSTITUTE('Dashboard'!$B$7,"~","~~"),"*","~*"),"?","~?"))+COUNTIFS('Calculations'!$IH$13:$IH$512,"="&amp;SUBSTITUTE(SUBSTITUTE(SUBSTITUTE('Calculations'!HF14,"~","~~"),"*","~*"),"?","~?"),'Calculations'!$HN$13:$HN$512,"="&amp;SUBSTITUTE(SUBSTITUTE(SUBSTITUTE('Dashboard'!$B$7,"~","~~"),"*","~*"),"?","~?"))))</x:f>
        <x:v>0</x:v>
      </x:c>
      <x:c r="JD14" t="n">
        <x:f>IF('Calculations'!EM14="",0,IF('Dashboard'!$B$7="All",1,IF('Calculations'!HN14='Dashboard'!$B$7,1,0)+IFERROR(INDEX('Calculations'!$JC$13:$JC$512,MATCH('Calculations'!HE14,'Calculations'!$HF$13:$HF$512,0)),0)))</x:f>
        <x:v>0</x:v>
      </x:c>
      <x:c r="JE14" t="n">
        <x:f>IF(AND('Calculations'!EM14&lt;&gt;"",'Calculations'!$JJ$2&lt;&gt;"All",'Calculations'!$JJ$2&lt;&gt;"",'Calculations'!HF14='Calculations'!$JJ$2,'Calculations'!HL14=0,'Calculations'!JD14&gt;0),MAX('Calculations'!$JE$12:JE13)+1,0)</x:f>
        <x:v>0</x:v>
      </x:c>
      <x:c r="JF14" t="str">
        <x:f>IF('Calculations'!EM14="","",IFERROR(IF(INDEX(INDIRECT("'WCM Calibration Final'!$G$1:$G$2000"),'Calculations'!$EM14)="","",TRIM(INDEX(INDIRECT("'WCM Calibration Final'!$G$1:$G$2000"),'Calculations'!$EM14)&amp;"")),""))</x:f>
      </x:c>
      <x:c r="JQ14" t="n">
        <x:f>IF(OR('Calculations'!BM14=0,NOT('Calculations'!$AG$2),'Calculations'!$AG$8&gt;0),0,IF(OR('Dashboard'!$B$7="All",'Calculations'!HN14='Dashboard'!$B$7),IF('Calculations'!$JJ$2="All",1,IF(AND('Calculations'!HF14='Calculations'!$JJ$2,'Calculations'!HL14=0),1,0)),0))</x:f>
        <x:v>0</x:v>
      </x:c>
    </x:row>
    <x:row r="15" ht="21" customHeight="1">
      <x:c r="A15" s="75" t="str">
        <x:f>AF214</x:f>
        <x:v>4 Needs impr.</x:v>
      </x:c>
      <x:c r="B15" s="75" t="n">
        <x:f>AG214</x:f>
        <x:v>0</x:v>
      </x:c>
      <x:c r="C15" s="76" t="str">
        <x:f>IFERROR(AH214,"—")</x:f>
        <x:v>—</x:v>
      </x:c>
      <x:c r="D15" s="75"/>
      <x:c r="E15" s="75"/>
      <x:c r="F15" s="75" t="str">
        <x:f>AF264</x:f>
        <x:v>4 Needs impr.</x:v>
      </x:c>
      <x:c r="G15" s="75" t="n">
        <x:f>AG264</x:f>
        <x:v>0</x:v>
      </x:c>
      <x:c r="H15" s="76" t="str">
        <x:f>IFERROR(AH264,"—")</x:f>
        <x:v>—</x:v>
      </x:c>
      <x:c r="I15" s="75"/>
      <x:c r="J15" s="75"/>
      <x:c r="K15" s="75"/>
      <x:c r="L15" s="75"/>
      <x:c r="M15" s="75"/>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t="n">
        <x:f>IF('Calculations'!$EM15="",0,IF(OR(IFERROR(INDEX(INDIRECT("'WCM Calibration Final'!$A$1:$A$2000"),'Calculations'!$EM15)&lt;&gt;"",FALSE),IFERROR(INDEX(INDIRECT("'WCM Calibration Final'!$B$1:$B$2000"),'Calculations'!$EM15)&lt;&gt;"",FALSE),IFERROR(INDEX(INDIRECT("'WCM Calibration Final'!$C$1:$C$2000"),'Calculations'!$EM15)&lt;&gt;"",FALSE)),1,0))</x:f>
        <x:v>0</x:v>
      </x:c>
      <x:c r="BN15" s="4" t="n">
        <x:f>IF(AND('Calculations'!BM15=1,'Calculations'!$AG$2,'Calculations'!$EN15=1),1,0)</x:f>
        <x:v>0</x:v>
      </x:c>
      <x:c r="BO15" s="4" t="str">
        <x:f>IF('Calculations'!BM15=0,"",IFERROR(IF(AND(VALUE(INDEX(INDIRECT("'WCM Calibration Final'!$K$1:$K$2000"),'Calculations'!$EM15))&gt;=1,VALUE(INDEX(INDIRECT("'WCM Calibration Final'!$K$1:$K$2000"),'Calculations'!$EM15))&lt;=4,MOD(VALUE(INDEX(INDIRECT("'WCM Calibration Final'!$K$1:$K$2000"),'Calculations'!$EM15)),1)=0),VALUE(INDEX(INDIRECT("'WCM Calibration Final'!$K$1:$K$2000"),'Calculations'!$EM15)),""),""))</x:f>
      </x:c>
      <x:c r="BP15" s="4" t="str">
        <x:f>IF('Calculations'!BM15=0,"",IFERROR(IF(AND(VALUE(INDEX(INDIRECT("'WCM Calibration Final'!$L$1:$L$2000"),'Calculations'!$EM15))&gt;=1,VALUE(INDEX(INDIRECT("'WCM Calibration Final'!$L$1:$L$2000"),'Calculations'!$EM15))&lt;=4,MOD(VALUE(INDEX(INDIRECT("'WCM Calibration Final'!$L$1:$L$2000"),'Calculations'!$EM15)),1)=0),VALUE(INDEX(INDIRECT("'WCM Calibration Final'!$L$1:$L$2000"),'Calculations'!$EM15)),""),""))</x:f>
      </x:c>
      <x:c r="BQ15" s="4"/>
      <x:c r="BR15" s="4"/>
      <x:c r="BS15" s="4"/>
      <x:c r="BT15" s="4" t="n">
        <x:f>IF(AND('Calculations'!BM15=1,ISNUMBER('Calculations'!BO15),ISNUMBER('Calculations'!BP15)),1,0)</x:f>
        <x:v>0</x:v>
      </x:c>
      <x:c r="BU15" s="4" t="str">
        <x:f>IF('Calculations'!BM15=0,"",'Calculations'!$EO15)</x:f>
      </x:c>
      <x:c r="BV15" s="4" t="str">
        <x:f>IF('Calculations'!BM15=0,"",IFERROR(IF(OR(INDEX(INDIRECT("'WCM Calibration Final'!$H$1:$H$2000"),'Calculations'!$EM15)="MANAGING DIRECTOR",INDEX(INDIRECT("'WCM Calibration Final'!$H$1:$H$2000"),'Calculations'!$EM15)="DIRECTOR",INDEX(INDIRECT("'WCM Calibration Final'!$H$1:$H$2000"),'Calculations'!$EM15)="SENIOR VICE PRESIDENT",INDEX(INDIRECT("'WCM Calibration Final'!$H$1:$H$2000"),'Calculations'!$EM15)="VICE PRESIDENT",INDEX(INDIRECT("'WCM Calibration Final'!$H$1:$H$2000"),'Calculations'!$EM15)="ASSISTANT VICE PRESIDENT",INDEX(INDIRECT("'WCM Calibration Final'!$H$1:$H$2000"),'Calculations'!$EM15)="OFFICER"),UPPER(INDEX(INDIRECT("'WCM Calibration Final'!$H$1:$H$2000"),'Calculations'!$EM15)),"Other"),"Other"))</x:f>
      </x:c>
      <x:c r="BW15" s="4"/>
      <x:c r="BX15" s="4"/>
      <x:c r="BY15" s="4" t="n">
        <x:f>IF(AND('Calculations'!BM15=1,'Calculations'!BU15&lt;&gt;"",COUNTIF('Calculations'!$BU$12:BU15,'Calculations'!BU15)=1),MAX('Calculations'!$BY$11:BY14)+1,0)</x:f>
        <x:v>0</x:v>
      </x:c>
      <x:c r="BZ15" s="4" t="str">
        <x:f>IF('Dashboard'!$E$67="What",'Calculations'!BO15,'Calculations'!BP15)</x:f>
      </x:c>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t="str">
        <x:f>IF(4&gt;MAX('Calculations'!$HI$13:$HI$512),"",INDEX('Calculations'!$HN$13:$HN$512,MATCH(4,'Calculations'!$HI$13:$HI$512,0)))</x:f>
      </x:c>
      <x:c r="DB15" s="4" t="str">
        <x:f>IF(4&gt;MAX('Calculations'!$HH$13:$HH$512),"",INDEX('Calculations'!$HJ$13:$HJ$512,MATCH(4,'Calculations'!$HH$13:$HH$512,0)))</x:f>
      </x:c>
      <x:c r="DC15" s="4" t="str">
        <x:f>IF(ROW()-11&gt;MAX('Calculations'!$BY$13:$BY$512),"",INDEX('Calculations'!$BU$13:$BU$512,MATCH(ROW()-11,'Calculations'!$BY$13:$BY$512,0)))</x:f>
      </x:c>
      <x:c r="DD15" s="4" t="str">
        <x:f>IF(4&gt;MAX('Calculations'!$IK$13:$IK$512),"",INDEX('Calculations'!$HK$13:$HK$512,MATCH(4,'Calculations'!$IK$13:$IK$512,0)))</x:f>
      </x:c>
      <x:c r="DE15" s="4" t="str">
        <x:f>'Calculations'!DC15</x:f>
      </x:c>
      <x:c r="DF15" s="4" t="str">
        <x:f>IF('Calculations'!DE15="","",COUNTIFS('Calculations'!$BN$13:$BN$512,1,'Calculations'!$BU$13:$BU$512,'Calculations'!DE15))</x:f>
      </x:c>
      <x:c r="DG15" s="4" t="str">
        <x:f>IF('Calculations'!DE15="","",COUNTIFS('Calculations'!$BN$13:$BN$512,1,'Calculations'!$BU$13:$BU$512,'Calculations'!DE15,'Calculations'!$BT$13:$BT$512,1))</x:f>
      </x:c>
      <x:c r="DH15" s="4" t="str">
        <x:f>IF('Calculations'!DE15="","",'Calculations'!DF15-'Calculations'!DG15)</x:f>
      </x:c>
      <x:c r="DI15" s="4" t="str">
        <x:f>IF(OR('Calculations'!DE15="",'Calculations'!DF15=0),"",'Calculations'!DG15/'Calculations'!DF15)</x:f>
      </x:c>
      <x:c r="DJ15" s="4" t="str">
        <x:f>IF('Calculations'!DE15="","",COUNTIFS('Calculations'!$BN$13:$BN$512,1,'Calculations'!$BU$13:$BU$512,'Calculations'!DE15,'Calculations'!$BT$13:$BT$512,1,'Calculations'!$EE$13:$EE$512,"High"))</x:f>
      </x:c>
      <x:c r="DK15" s="4" t="str">
        <x:f>IF('Calculations'!DE15="","",COUNTIFS('Calculations'!$BN$13:$BN$512,1,'Calculations'!$BU$13:$BU$512,'Calculations'!DE15,'Calculations'!$BT$13:$BT$512,1,'Calculations'!$EE$13:$EE$512,"Strong"))</x:f>
      </x:c>
      <x:c r="DL15" s="4" t="str">
        <x:f>IF('Calculations'!DE15="","",COUNTIFS('Calculations'!$BN$13:$BN$512,1,'Calculations'!$BU$13:$BU$512,'Calculations'!DE15,'Calculations'!$BT$13:$BT$512,1,'Calculations'!$EE$13:$EE$512,"Solid"))</x:f>
      </x:c>
      <x:c r="DM15" s="4" t="str">
        <x:f>IF('Calculations'!DE15="","",COUNTIFS('Calculations'!$BN$13:$BN$512,1,'Calculations'!$BU$13:$BU$512,'Calculations'!DE15,'Calculations'!$BT$13:$BT$512,1,'Calculations'!$EE$13:$EE$512,"Low"))</x:f>
      </x:c>
      <x:c r="DN15" s="4" t="str">
        <x:f>IF('Calculations'!DE15="","",COUNTIFS('Calculations'!$BN$13:$BN$512,1,'Calculations'!$BU$13:$BU$512,'Calculations'!DE15,'Calculations'!$EP$13:$EP$512,1))</x:f>
      </x:c>
      <x:c r="DO15" s="4" t="str">
        <x:f>IF(OR('Calculations'!DE15="",'Calculations'!DG15=0),"",('Calculations'!DJ15+'Calculations'!DK15)/'Calculations'!DG15)</x:f>
      </x:c>
      <x:c r="DP15" s="4" t="n">
        <x:f>IF(AND('Calculations'!DE15&lt;&gt;"",'Calculations'!DF15&gt;0),COUNTIF('Calculations'!$DF$12:DF15,"&gt;0"),0)</x:f>
        <x:v>0</x:v>
      </x:c>
      <x:c r="DQ15" s="4" t="str">
        <x:f>IF(4&gt;MAX('Calculations'!$HH$13:$HH$512),"",INDEX('Calculations'!$HF$13:$HF$512,MATCH(4,'Calculations'!$HH$13:$HH$512,0)))</x:f>
      </x:c>
      <x:c r="DR15" s="4" t="str">
        <x:f>IF(4&gt;MAX('Calculations'!$IK$13:$IK$512),"",INDEX('Calculations'!$HE$13:$HE$512,MATCH(4,'Calculations'!$IK$13:$IK$512,0)))</x:f>
      </x:c>
      <x:c r="DS15" s="4"/>
      <x:c r="DT15" s="4"/>
      <x:c r="DU15" s="4"/>
      <x:c r="DV15" s="4"/>
      <x:c r="DW15" s="4"/>
      <x:c r="DX15" s="4"/>
      <x:c r="DY15" s="4"/>
      <x:c r="DZ15" s="4"/>
      <x:c r="EA15" s="4"/>
      <x:c r="EB15" s="4"/>
      <x:c r="EC15" s="4"/>
      <x:c r="ED15" s="4"/>
      <x:c r="EE15" s="4" t="str">
        <x:f>IF('Calculations'!BT15=0,"Not Rated",IF(OR('Calculations'!BO15&gt;=4,'Calculations'!BP15&gt;=4),"Low",IF('Calculations'!BO15+'Calculations'!BP15&lt;=3,"High",IF('Calculations'!BO15+'Calculations'!BP15&lt;=4,"Strong","Solid"))))</x:f>
        <x:v>Not Rated</x:v>
      </x:c>
      <x:c r="EF15" s="4"/>
      <x:c r="EG15" s="4"/>
      <x:c r="EH15" s="4"/>
      <x:c r="EI15" s="4"/>
      <x:c r="EJ15" s="4"/>
      <x:c r="EK15" s="4"/>
      <x:c r="EL15" s="4"/>
      <x:c r="EM15" s="4" t="str">
        <x:f>IF(3&gt;'Calculations'!$JB$2000,"",INDEX('Calculations'!$JA$12:$JA$2000,MATCH(3,'Calculations'!$JB$12:$JB$2000,0)))</x:f>
      </x:c>
      <x:c r="EN15" s="4" t="n">
        <x:f>IF(OR('Calculations'!EM15="",'Calculations'!$AG$8&gt;0,AND('Calculations'!$EF$2&lt;&gt;"All",'Calculations'!HE15='Calculations'!$EF$2),AND('Calculations'!$EF$3&lt;&gt;"All",'Calculations'!HE15='Calculations'!$EF$3)),0,IF(OR('Dashboard'!$B$7="All",'Calculations'!HN15='Dashboard'!$B$7),IF('Calculations'!$EF$2="All",1,IF('Calculations'!HL15&gt;0,0,IF(COUNTIF('Calculations'!HO15:II15,"="&amp;SUBSTITUTE(SUBSTITUTE(SUBSTITUTE('Calculations'!$EF$2,"~","~~"),"*","~*"),"?","~?"))=0,0,IF('Calculations'!$EF$3="All",1,IF(COUNTIF('Calculations'!HO15:II15,"="&amp;SUBSTITUTE(SUBSTITUTE(SUBSTITUTE('Calculations'!$EF$3,"~","~~"),"*","~*"),"?","~?"))&gt;0,1,0))))),0))</x:f>
        <x:v>0</x:v>
      </x:c>
      <x:c r="EO15" s="4" t="str">
        <x:f>IF('Calculations'!IJ15="","",IF('Calculations'!IJ15="!UNRESOLVED","Unresolved hierarchy",IFERROR(INDEX('Calculations'!$HK$13:$HK$512,MATCH('Calculations'!IJ15,'Calculations'!$HE$13:$HE$512,0)),IFERROR(INDEX('Calculations'!$HJ$13:$HJ$512,MATCH('Calculations'!IJ15,'Calculations'!$HF$13:$HF$512,0)),'Calculations'!IJ15))))</x:f>
      </x:c>
      <x:c r="EP15" s="4" t="n">
        <x:f>IF(AND('Calculations'!EM15&lt;&gt;"",'Calculations'!HF15='Calculations'!IJ15),1,0)</x:f>
        <x:v>0</x:v>
      </x:c>
      <x:c r="EQ15" s="4"/>
      <x:c r="ER15" s="4"/>
      <x:c r="ES15" s="4"/>
      <x:c r="ET15" s="4"/>
      <x:c r="EU15" s="4"/>
      <x:c r="EV15" s="4"/>
      <x:c r="EW15" s="4"/>
      <x:c r="EX15" s="4"/>
      <x:c r="EY15" s="4"/>
      <x:c r="EZ15" s="4"/>
      <x:c r="FA15" s="4"/>
      <x:c r="FB15" s="4"/>
      <x:c r="FC15" s="4"/>
      <x:c r="FD15" s="4"/>
      <x:c r="FE15" s="4"/>
      <x:c r="FF15" s="4"/>
      <x:c r="FG15" s="4"/>
      <x:c r="FH15" s="4"/>
      <x:c r="FI15" s="4"/>
      <x:c r="FJ15" s="4"/>
      <x:c r="FK15" s="4"/>
      <x:c r="FL15" s="4"/>
      <x:c r="FM15" s="4"/>
      <x:c r="FN15" s="4"/>
      <x:c r="FO15" s="4"/>
      <x:c r="GA15" s="71"/>
      <x:c r="GB15" s="71"/>
      <x:c r="GC15" s="71"/>
      <x:c r="GD15" s="71"/>
      <x:c r="GE15" s="71"/>
      <x:c r="GF15" s="71"/>
      <x:c r="GG15" s="71"/>
      <x:c r="GH15" s="71"/>
      <x:c r="GI15" s="71"/>
      <x:c r="GJ15" s="71"/>
      <x:c r="GK15" s="71"/>
      <x:c r="GL15" s="71"/>
      <x:c r="GM15" s="71"/>
      <x:c r="GN15" s="71"/>
      <x:c r="GO15" s="71"/>
      <x:c r="GP15" s="71"/>
      <x:c r="GQ15" s="71"/>
      <x:c r="GR15" s="71"/>
      <x:c r="GS15" s="71"/>
      <x:c r="GT15" s="71"/>
      <x:c r="GU15" s="71"/>
      <x:c r="GV15" s="71"/>
      <x:c r="GW15" s="71"/>
      <x:c r="GX15" s="71"/>
      <x:c r="GY15" s="71"/>
      <x:c r="GZ15" s="71"/>
      <x:c r="HA15" s="71"/>
      <x:c r="HB15" s="71"/>
      <x:c r="HC15" s="71"/>
      <x:c r="HD15" s="71"/>
      <x:c r="HE15" t="str">
        <x:f>IF('Calculations'!EM15="","",IF(IFERROR(IF(INDEX(INDIRECT("'WCM Calibration Final'!$A$1:$A$2000"),'Calculations'!$EM15)="","",TRIM(INDEX(INDIRECT("'WCM Calibration Final'!$A$1:$A$2000"),'Calculations'!$EM15)&amp;"")),"")&lt;&gt;"","G:"&amp;IFERROR(TEXT(1*INDEX(INDIRECT("'WCM Calibration Final'!$A$1:$A$2000"),'Calculations'!$EM15),"0"),UPPER(IFERROR(IF(INDEX(INDIRECT("'WCM Calibration Final'!$A$1:$A$2000"),'Calculations'!$EM15)="","",TRIM(INDEX(INDIRECT("'WCM Calibration Final'!$A$1:$A$2000"),'Calculations'!$EM15)&amp;"")),""))),IF(IFERROR(IF(INDEX(INDIRECT("'WCM Calibration Final'!$C$1:$C$2000"),'Calculations'!$EM15)="","",TRIM(INDEX(INDIRECT("'WCM Calibration Final'!$C$1:$C$2000"),'Calculations'!$EM15)&amp;"")),"")&lt;&gt;"","S:"&amp;UPPER(IFERROR(IF(INDEX(INDIRECT("'WCM Calibration Final'!$C$1:$C$2000"),'Calculations'!$EM15)="","",TRIM(INDEX(INDIRECT("'WCM Calibration Final'!$C$1:$C$2000"),'Calculations'!$EM15)&amp;"")),"")),"R:"&amp;'Calculations'!EM15)))</x:f>
      </x:c>
      <x:c r="HF15" t="str">
        <x:f>IF('Calculations'!EM15="","",IF(IFERROR(IF(INDEX(INDIRECT("'WCM Calibration Final'!$D$1:$D$2000"),'Calculations'!$EM15)="","",TRIM(INDEX(INDIRECT("'WCM Calibration Final'!$D$1:$D$2000"),'Calculations'!$EM15)&amp;"")),"")&lt;&gt;"","G:"&amp;IFERROR(TEXT(1*INDEX(INDIRECT("'WCM Calibration Final'!$D$1:$D$2000"),'Calculations'!$EM15),"0"),UPPER(IFERROR(IF(INDEX(INDIRECT("'WCM Calibration Final'!$D$1:$D$2000"),'Calculations'!$EM15)="","",TRIM(INDEX(INDIRECT("'WCM Calibration Final'!$D$1:$D$2000"),'Calculations'!$EM15)&amp;"")),""))),IF(IFERROR(IF(INDEX(INDIRECT("'WCM Calibration Final'!$E$1:$E$2000"),'Calculations'!$EM15)="","",TRIM(INDEX(INDIRECT("'WCM Calibration Final'!$E$1:$E$2000"),'Calculations'!$EM15)&amp;"")),"")="","",IF(COUNTIF('Calculations'!$HG$13:$HG$512,"="&amp;SUBSTITUTE(SUBSTITUTE(SUBSTITUTE(IFERROR(IF(INDEX(INDIRECT("'WCM Calibration Final'!$E$1:$E$2000"),'Calculations'!$EM15)="","",TRIM(INDEX(INDIRECT("'WCM Calibration Final'!$E$1:$E$2000"),'Calculations'!$EM15)&amp;"")),""),"~","~~"),"*","~*"),"?","~?"))=1,INDEX('Calculations'!$HE$13:$HE$512,MATCH(IFERROR(IF(INDEX(INDIRECT("'WCM Calibration Final'!$E$1:$E$2000"),'Calculations'!$EM15)="","",TRIM(INDEX(INDIRECT("'WCM Calibration Final'!$E$1:$E$2000"),'Calculations'!$EM15)&amp;"")),""),'Calculations'!$HG$13:$HG$512,0)),IF(COUNTIF('Calculations'!$HG$13:$HG$512,"="&amp;SUBSTITUTE(SUBSTITUTE(SUBSTITUTE(IFERROR(IF(INDEX(INDIRECT("'WCM Calibration Final'!$E$1:$E$2000"),'Calculations'!$EM15)="","",TRIM(INDEX(INDIRECT("'WCM Calibration Final'!$E$1:$E$2000"),'Calculations'!$EM15)&amp;"")),""),"~","~~"),"*","~*"),"?","~?"))&gt;1,"!AMBIG","X:"&amp;IFERROR(IF(INDEX(INDIRECT("'WCM Calibration Final'!$E$1:$E$2000"),'Calculations'!$EM15)="","",TRIM(INDEX(INDIRECT("'WCM Calibration Final'!$E$1:$E$2000"),'Calculations'!$EM15)&amp;"")),""))))))</x:f>
      </x:c>
      <x:c r="HG15" t="str">
        <x:f>IF('Calculations'!EM15="","",IFERROR(IF(INDEX(INDIRECT("'WCM Calibration Final'!$B$1:$B$2000"),'Calculations'!$EM15)="","",TRIM(INDEX(INDIRECT("'WCM Calibration Final'!$B$1:$B$2000"),'Calculations'!$EM15)&amp;"")),""))</x:f>
      </x:c>
      <x:c r="HH15" t="n">
        <x:f>IF(AND('Calculations'!JC15&gt;0,COUNTIF('Calculations'!$HF$12:HF15,"="&amp;SUBSTITUTE(SUBSTITUTE(SUBSTITUTE('Calculations'!HF15,"~","~~"),"*","~*"),"?","~?"))=1),MAX('Calculations'!$HH$12:HH14)+1,0)</x:f>
        <x:v>0</x:v>
      </x:c>
      <x:c r="HI15" t="n">
        <x:f>IF(AND('Calculations'!HN15&lt;&gt;"",COUNTIF('Calculations'!$HN$12:HN15,"="&amp;SUBSTITUTE(SUBSTITUTE(SUBSTITUTE('Calculations'!HN15,"~","~~"),"*","~*"),"?","~?"))=1),MAX('Calculations'!$HI$12:HI14)+1,0)</x:f>
        <x:v>0</x:v>
      </x:c>
      <x:c r="HJ15" t="str">
        <x:f>IF('Calculations'!HF15="","",IF(COUNTIF('Calculations'!$HE$13:$HE$512,"="&amp;SUBSTITUTE(SUBSTITUTE(SUBSTITUTE('Calculations'!HF15,"~","~~"),"*","~*"),"?","~?"))=1,INDEX('Calculations'!$HK$13:$HK$512,MATCH('Calculations'!HF15,'Calculations'!$HE$13:$HE$512,0)),IFERROR(IF(INDEX(INDIRECT("'WCM Calibration Final'!$E$1:$E$2000"),'Calculations'!$EM15)="","",TRIM(INDEX(INDIRECT("'WCM Calibration Final'!$E$1:$E$2000"),'Calculations'!$EM15)&amp;"")),"")&amp;" ["&amp;'Calculations'!HF15&amp;"]"))</x:f>
      </x:c>
      <x:c r="HK15" t="str">
        <x:f>IF('Calculations'!EM15="","",'Calculations'!HG15&amp;" ["&amp;'Calculations'!HE15&amp;"]")</x:f>
      </x:c>
      <x:c r="HL15" t="n">
        <x:f>IF('Calculations'!EM15="",0,IF(OR('Calculations'!II15&lt;&gt;"",COUNTIF('Calculations'!$HE$13:$HE$512,"="&amp;SUBSTITUTE(SUBSTITUTE(SUBSTITUTE('Calculations'!HE15,"~","~~"),"*","~*"),"?","~?"))&gt;1),1,0))</x:f>
        <x:v>0</x:v>
      </x:c>
      <x:c r="HM15" t="str">
        <x:f>IF('Calculations'!EM15="","",IF('Calculations'!HL15=1,"!UNRESOLVED",IF('Calculations'!IH15&lt;&gt;"",'Calculations'!IH15,IF('Calculations'!IG15&lt;&gt;"",'Calculations'!IG15,IF('Calculations'!IF15&lt;&gt;"",'Calculations'!IF15,IF('Calculations'!IE15&lt;&gt;"",'Calculations'!IE15,IF('Calculations'!ID15&lt;&gt;"",'Calculations'!ID15,IF('Calculations'!IC15&lt;&gt;"",'Calculations'!IC15,IF('Calculations'!IB15&lt;&gt;"",'Calculations'!IB15,IF('Calculations'!IA15&lt;&gt;"",'Calculations'!IA15,IF('Calculations'!HZ15&lt;&gt;"",'Calculations'!HZ15,IF('Calculations'!HY15&lt;&gt;"",'Calculations'!HY15,IF('Calculations'!HX15&lt;&gt;"",'Calculations'!HX15,IF('Calculations'!HW15&lt;&gt;"",'Calculations'!HW15,IF('Calculations'!HV15&lt;&gt;"",'Calculations'!HV15,IF('Calculations'!HU15&lt;&gt;"",'Calculations'!HU15,IF('Calculations'!HT15&lt;&gt;"",'Calculations'!HT15,IF('Calculations'!HS15&lt;&gt;"",'Calculations'!HS15,IF('Calculations'!HR15&lt;&gt;"",'Calculations'!HR15,IF('Calculations'!HQ15&lt;&gt;"",'Calculations'!HQ15,IF('Calculations'!HP15&lt;&gt;"",'Calculations'!HP15,IF('Calculations'!HO15&lt;&gt;"",'Calculations'!HO15,'Calculations'!HE15))))))))))))))))))))))</x:f>
      </x:c>
      <x:c r="HN15" t="str">
        <x:f>IF('Calculations'!EM15="","",IF(IFERROR(IF(INDEX(INDIRECT("'WCM Calibration Final'!$F$1:$F$2000"),'Calculations'!$EM15)="","",TRIM(INDEX(INDIRECT("'WCM Calibration Final'!$F$1:$F$2000"),'Calculations'!$EM15)&amp;"")),"")="","(Blank)",IFERROR(IF(INDEX(INDIRECT("'WCM Calibration Final'!$F$1:$F$2000"),'Calculations'!$EM15)="","",TRIM(INDEX(INDIRECT("'WCM Calibration Final'!$F$1:$F$2000"),'Calculations'!$EM15)&amp;"")),"")))</x:f>
      </x:c>
      <x:c r="HO15" t="str">
        <x:f>'Calculations'!HF15</x:f>
      </x:c>
      <x:c r="HP15" t="str">
        <x:f>IF('Calculations'!HO15="","",IF('Calculations'!HO15="!AMBIG","!AMBIG",IF(COUNTIF('Calculations'!$HE$13:$HE$512,"="&amp;SUBSTITUTE(SUBSTITUTE(SUBSTITUTE('Calculations'!HO15,"~","~~"),"*","~*"),"?","~?"))&gt;1,"!AMBIG",IFERROR(INDEX('Calculations'!$HF$13:$HF$512,MATCH('Calculations'!HO15,'Calculations'!$HE$13:$HE$512,0)),""))))</x:f>
      </x:c>
      <x:c r="HQ15" t="str">
        <x:f>IF('Calculations'!HP15="","",IF('Calculations'!HP15="!AMBIG","!AMBIG",IF(COUNTIF('Calculations'!$HE$13:$HE$512,"="&amp;SUBSTITUTE(SUBSTITUTE(SUBSTITUTE('Calculations'!HP15,"~","~~"),"*","~*"),"?","~?"))&gt;1,"!AMBIG",IFERROR(INDEX('Calculations'!$HF$13:$HF$512,MATCH('Calculations'!HP15,'Calculations'!$HE$13:$HE$512,0)),""))))</x:f>
      </x:c>
      <x:c r="HR15" t="str">
        <x:f>IF('Calculations'!HQ15="","",IF('Calculations'!HQ15="!AMBIG","!AMBIG",IF(COUNTIF('Calculations'!$HE$13:$HE$512,"="&amp;SUBSTITUTE(SUBSTITUTE(SUBSTITUTE('Calculations'!HQ15,"~","~~"),"*","~*"),"?","~?"))&gt;1,"!AMBIG",IFERROR(INDEX('Calculations'!$HF$13:$HF$512,MATCH('Calculations'!HQ15,'Calculations'!$HE$13:$HE$512,0)),""))))</x:f>
      </x:c>
      <x:c r="HS15" t="str">
        <x:f>IF('Calculations'!HR15="","",IF('Calculations'!HR15="!AMBIG","!AMBIG",IF(COUNTIF('Calculations'!$HE$13:$HE$512,"="&amp;SUBSTITUTE(SUBSTITUTE(SUBSTITUTE('Calculations'!HR15,"~","~~"),"*","~*"),"?","~?"))&gt;1,"!AMBIG",IFERROR(INDEX('Calculations'!$HF$13:$HF$512,MATCH('Calculations'!HR15,'Calculations'!$HE$13:$HE$512,0)),""))))</x:f>
      </x:c>
      <x:c r="HT15" t="str">
        <x:f>IF('Calculations'!HS15="","",IF('Calculations'!HS15="!AMBIG","!AMBIG",IF(COUNTIF('Calculations'!$HE$13:$HE$512,"="&amp;SUBSTITUTE(SUBSTITUTE(SUBSTITUTE('Calculations'!HS15,"~","~~"),"*","~*"),"?","~?"))&gt;1,"!AMBIG",IFERROR(INDEX('Calculations'!$HF$13:$HF$512,MATCH('Calculations'!HS15,'Calculations'!$HE$13:$HE$512,0)),""))))</x:f>
      </x:c>
      <x:c r="HU15" t="str">
        <x:f>IF('Calculations'!HT15="","",IF('Calculations'!HT15="!AMBIG","!AMBIG",IF(COUNTIF('Calculations'!$HE$13:$HE$512,"="&amp;SUBSTITUTE(SUBSTITUTE(SUBSTITUTE('Calculations'!HT15,"~","~~"),"*","~*"),"?","~?"))&gt;1,"!AMBIG",IFERROR(INDEX('Calculations'!$HF$13:$HF$512,MATCH('Calculations'!HT15,'Calculations'!$HE$13:$HE$512,0)),""))))</x:f>
      </x:c>
      <x:c r="HV15" t="str">
        <x:f>IF('Calculations'!HU15="","",IF('Calculations'!HU15="!AMBIG","!AMBIG",IF(COUNTIF('Calculations'!$HE$13:$HE$512,"="&amp;SUBSTITUTE(SUBSTITUTE(SUBSTITUTE('Calculations'!HU15,"~","~~"),"*","~*"),"?","~?"))&gt;1,"!AMBIG",IFERROR(INDEX('Calculations'!$HF$13:$HF$512,MATCH('Calculations'!HU15,'Calculations'!$HE$13:$HE$512,0)),""))))</x:f>
      </x:c>
      <x:c r="HW15" t="str">
        <x:f>IF('Calculations'!HV15="","",IF('Calculations'!HV15="!AMBIG","!AMBIG",IF(COUNTIF('Calculations'!$HE$13:$HE$512,"="&amp;SUBSTITUTE(SUBSTITUTE(SUBSTITUTE('Calculations'!HV15,"~","~~"),"*","~*"),"?","~?"))&gt;1,"!AMBIG",IFERROR(INDEX('Calculations'!$HF$13:$HF$512,MATCH('Calculations'!HV15,'Calculations'!$HE$13:$HE$512,0)),""))))</x:f>
      </x:c>
      <x:c r="HX15" t="str">
        <x:f>IF('Calculations'!HW15="","",IF('Calculations'!HW15="!AMBIG","!AMBIG",IF(COUNTIF('Calculations'!$HE$13:$HE$512,"="&amp;SUBSTITUTE(SUBSTITUTE(SUBSTITUTE('Calculations'!HW15,"~","~~"),"*","~*"),"?","~?"))&gt;1,"!AMBIG",IFERROR(INDEX('Calculations'!$HF$13:$HF$512,MATCH('Calculations'!HW15,'Calculations'!$HE$13:$HE$512,0)),""))))</x:f>
      </x:c>
      <x:c r="HY15" t="str">
        <x:f>IF('Calculations'!HX15="","",IF('Calculations'!HX15="!AMBIG","!AMBIG",IF(COUNTIF('Calculations'!$HE$13:$HE$512,"="&amp;SUBSTITUTE(SUBSTITUTE(SUBSTITUTE('Calculations'!HX15,"~","~~"),"*","~*"),"?","~?"))&gt;1,"!AMBIG",IFERROR(INDEX('Calculations'!$HF$13:$HF$512,MATCH('Calculations'!HX15,'Calculations'!$HE$13:$HE$512,0)),""))))</x:f>
      </x:c>
      <x:c r="HZ15" t="str">
        <x:f>IF('Calculations'!HY15="","",IF('Calculations'!HY15="!AMBIG","!AMBIG",IF(COUNTIF('Calculations'!$HE$13:$HE$512,"="&amp;SUBSTITUTE(SUBSTITUTE(SUBSTITUTE('Calculations'!HY15,"~","~~"),"*","~*"),"?","~?"))&gt;1,"!AMBIG",IFERROR(INDEX('Calculations'!$HF$13:$HF$512,MATCH('Calculations'!HY15,'Calculations'!$HE$13:$HE$512,0)),""))))</x:f>
      </x:c>
      <x:c r="IA15" t="str">
        <x:f>IF('Calculations'!HZ15="","",IF('Calculations'!HZ15="!AMBIG","!AMBIG",IF(COUNTIF('Calculations'!$HE$13:$HE$512,"="&amp;SUBSTITUTE(SUBSTITUTE(SUBSTITUTE('Calculations'!HZ15,"~","~~"),"*","~*"),"?","~?"))&gt;1,"!AMBIG",IFERROR(INDEX('Calculations'!$HF$13:$HF$512,MATCH('Calculations'!HZ15,'Calculations'!$HE$13:$HE$512,0)),""))))</x:f>
      </x:c>
      <x:c r="IB15" t="str">
        <x:f>IF('Calculations'!IA15="","",IF('Calculations'!IA15="!AMBIG","!AMBIG",IF(COUNTIF('Calculations'!$HE$13:$HE$512,"="&amp;SUBSTITUTE(SUBSTITUTE(SUBSTITUTE('Calculations'!IA15,"~","~~"),"*","~*"),"?","~?"))&gt;1,"!AMBIG",IFERROR(INDEX('Calculations'!$HF$13:$HF$512,MATCH('Calculations'!IA15,'Calculations'!$HE$13:$HE$512,0)),""))))</x:f>
      </x:c>
      <x:c r="IC15" t="str">
        <x:f>IF('Calculations'!IB15="","",IF('Calculations'!IB15="!AMBIG","!AMBIG",IF(COUNTIF('Calculations'!$HE$13:$HE$512,"="&amp;SUBSTITUTE(SUBSTITUTE(SUBSTITUTE('Calculations'!IB15,"~","~~"),"*","~*"),"?","~?"))&gt;1,"!AMBIG",IFERROR(INDEX('Calculations'!$HF$13:$HF$512,MATCH('Calculations'!IB15,'Calculations'!$HE$13:$HE$512,0)),""))))</x:f>
      </x:c>
      <x:c r="ID15" t="str">
        <x:f>IF('Calculations'!IC15="","",IF('Calculations'!IC15="!AMBIG","!AMBIG",IF(COUNTIF('Calculations'!$HE$13:$HE$512,"="&amp;SUBSTITUTE(SUBSTITUTE(SUBSTITUTE('Calculations'!IC15,"~","~~"),"*","~*"),"?","~?"))&gt;1,"!AMBIG",IFERROR(INDEX('Calculations'!$HF$13:$HF$512,MATCH('Calculations'!IC15,'Calculations'!$HE$13:$HE$512,0)),""))))</x:f>
      </x:c>
      <x:c r="IE15" t="str">
        <x:f>IF('Calculations'!ID15="","",IF('Calculations'!ID15="!AMBIG","!AMBIG",IF(COUNTIF('Calculations'!$HE$13:$HE$512,"="&amp;SUBSTITUTE(SUBSTITUTE(SUBSTITUTE('Calculations'!ID15,"~","~~"),"*","~*"),"?","~?"))&gt;1,"!AMBIG",IFERROR(INDEX('Calculations'!$HF$13:$HF$512,MATCH('Calculations'!ID15,'Calculations'!$HE$13:$HE$512,0)),""))))</x:f>
      </x:c>
      <x:c r="IF15" t="str">
        <x:f>IF('Calculations'!IE15="","",IF('Calculations'!IE15="!AMBIG","!AMBIG",IF(COUNTIF('Calculations'!$HE$13:$HE$512,"="&amp;SUBSTITUTE(SUBSTITUTE(SUBSTITUTE('Calculations'!IE15,"~","~~"),"*","~*"),"?","~?"))&gt;1,"!AMBIG",IFERROR(INDEX('Calculations'!$HF$13:$HF$512,MATCH('Calculations'!IE15,'Calculations'!$HE$13:$HE$512,0)),""))))</x:f>
      </x:c>
      <x:c r="IG15" t="str">
        <x:f>IF('Calculations'!IF15="","",IF('Calculations'!IF15="!AMBIG","!AMBIG",IF(COUNTIF('Calculations'!$HE$13:$HE$512,"="&amp;SUBSTITUTE(SUBSTITUTE(SUBSTITUTE('Calculations'!IF15,"~","~~"),"*","~*"),"?","~?"))&gt;1,"!AMBIG",IFERROR(INDEX('Calculations'!$HF$13:$HF$512,MATCH('Calculations'!IF15,'Calculations'!$HE$13:$HE$512,0)),""))))</x:f>
      </x:c>
      <x:c r="IH15" t="str">
        <x:f>IF('Calculations'!IG15="","",IF('Calculations'!IG15="!AMBIG","!AMBIG",IF(COUNTIF('Calculations'!$HE$13:$HE$512,"="&amp;SUBSTITUTE(SUBSTITUTE(SUBSTITUTE('Calculations'!IG15,"~","~~"),"*","~*"),"?","~?"))&gt;1,"!AMBIG",IFERROR(INDEX('Calculations'!$HF$13:$HF$512,MATCH('Calculations'!IG15,'Calculations'!$HE$13:$HE$512,0)),""))))</x:f>
      </x:c>
      <x:c r="II15" t="str">
        <x:f>IF('Calculations'!IH15="","",IF('Calculations'!IH15="!AMBIG","!AMBIG",IF(COUNTIF('Calculations'!$HE$13:$HE$512,"="&amp;SUBSTITUTE(SUBSTITUTE(SUBSTITUTE('Calculations'!IH15,"~","~~"),"*","~*"),"?","~?"))&gt;1,"!AMBIG",IFERROR(INDEX('Calculations'!$HF$13:$HF$512,MATCH('Calculations'!IH15,'Calculations'!$HE$13:$HE$512,0)),""))))</x:f>
      </x:c>
      <x:c r="IJ15" t="str">
        <x:f>IF('Calculations'!EM15="","",IF('Calculations'!$EF$2="All",'Calculations'!HM15,IF('Calculations'!HL15=1,"",IFERROR(IF(MATCH('Calculations'!$EF$2,'Calculations'!HO15:II15,0)=1,'Calculations'!HE15,INDEX('Calculations'!HO15:II15,1,MATCH('Calculations'!$EF$2,'Calculations'!HO15:II15,0)-1)),""))))</x:f>
      </x:c>
      <x:c r="IK15" t="n">
        <x:f>IF(AND('Calculations'!EM15&lt;&gt;"",'Calculations'!$EF$2&lt;&gt;"All",'Calculations'!HF15='Calculations'!$EF$2,'Calculations'!HL15=0,'Calculations'!JD15&gt;0),MAX('Calculations'!$IK$12:IK14)+1,0)</x:f>
        <x:v>0</x:v>
      </x:c>
      <x:c r="JA15" t="n">
        <x:f>IF(OR(IFERROR(INDIRECT("'WCM Calibration Final'!$A$15")&lt;&gt;"",FALSE),IFERROR(INDIRECT("'WCM Calibration Final'!$B$15")&lt;&gt;"",FALSE),IFERROR(INDIRECT("'WCM Calibration Final'!$C$15")&lt;&gt;"",FALSE)),15,0)</x:f>
        <x:v>0</x:v>
      </x:c>
      <x:c r="JB15" t="n">
        <x:f>'Calculations'!JB14+IF('Calculations'!JA15&gt;0,1,0)</x:f>
        <x:v>0</x:v>
      </x:c>
      <x:c r="JC15" t="n">
        <x:f>IF(OR('Calculations'!HF15="",'Calculations'!HF15="!AMBIG"),0,IF('Dashboard'!$B$7="All",1,COUNTIFS('Calculations'!$HO$13:$HO$512,"="&amp;SUBSTITUTE(SUBSTITUTE(SUBSTITUTE('Calculations'!HF15,"~","~~"),"*","~*"),"?","~?"),'Calculations'!$HN$13:$HN$512,"="&amp;SUBSTITUTE(SUBSTITUTE(SUBSTITUTE('Dashboard'!$B$7,"~","~~"),"*","~*"),"?","~?"))+COUNTIFS('Calculations'!$HP$13:$HP$512,"="&amp;SUBSTITUTE(SUBSTITUTE(SUBSTITUTE('Calculations'!HF15,"~","~~"),"*","~*"),"?","~?"),'Calculations'!$HN$13:$HN$512,"="&amp;SUBSTITUTE(SUBSTITUTE(SUBSTITUTE('Dashboard'!$B$7,"~","~~"),"*","~*"),"?","~?"))+COUNTIFS('Calculations'!$HQ$13:$HQ$512,"="&amp;SUBSTITUTE(SUBSTITUTE(SUBSTITUTE('Calculations'!HF15,"~","~~"),"*","~*"),"?","~?"),'Calculations'!$HN$13:$HN$512,"="&amp;SUBSTITUTE(SUBSTITUTE(SUBSTITUTE('Dashboard'!$B$7,"~","~~"),"*","~*"),"?","~?"))+COUNTIFS('Calculations'!$HR$13:$HR$512,"="&amp;SUBSTITUTE(SUBSTITUTE(SUBSTITUTE('Calculations'!HF15,"~","~~"),"*","~*"),"?","~?"),'Calculations'!$HN$13:$HN$512,"="&amp;SUBSTITUTE(SUBSTITUTE(SUBSTITUTE('Dashboard'!$B$7,"~","~~"),"*","~*"),"?","~?"))+COUNTIFS('Calculations'!$HS$13:$HS$512,"="&amp;SUBSTITUTE(SUBSTITUTE(SUBSTITUTE('Calculations'!HF15,"~","~~"),"*","~*"),"?","~?"),'Calculations'!$HN$13:$HN$512,"="&amp;SUBSTITUTE(SUBSTITUTE(SUBSTITUTE('Dashboard'!$B$7,"~","~~"),"*","~*"),"?","~?"))+COUNTIFS('Calculations'!$HT$13:$HT$512,"="&amp;SUBSTITUTE(SUBSTITUTE(SUBSTITUTE('Calculations'!HF15,"~","~~"),"*","~*"),"?","~?"),'Calculations'!$HN$13:$HN$512,"="&amp;SUBSTITUTE(SUBSTITUTE(SUBSTITUTE('Dashboard'!$B$7,"~","~~"),"*","~*"),"?","~?"))+COUNTIFS('Calculations'!$HU$13:$HU$512,"="&amp;SUBSTITUTE(SUBSTITUTE(SUBSTITUTE('Calculations'!HF15,"~","~~"),"*","~*"),"?","~?"),'Calculations'!$HN$13:$HN$512,"="&amp;SUBSTITUTE(SUBSTITUTE(SUBSTITUTE('Dashboard'!$B$7,"~","~~"),"*","~*"),"?","~?"))+COUNTIFS('Calculations'!$HV$13:$HV$512,"="&amp;SUBSTITUTE(SUBSTITUTE(SUBSTITUTE('Calculations'!HF15,"~","~~"),"*","~*"),"?","~?"),'Calculations'!$HN$13:$HN$512,"="&amp;SUBSTITUTE(SUBSTITUTE(SUBSTITUTE('Dashboard'!$B$7,"~","~~"),"*","~*"),"?","~?"))+COUNTIFS('Calculations'!$HW$13:$HW$512,"="&amp;SUBSTITUTE(SUBSTITUTE(SUBSTITUTE('Calculations'!HF15,"~","~~"),"*","~*"),"?","~?"),'Calculations'!$HN$13:$HN$512,"="&amp;SUBSTITUTE(SUBSTITUTE(SUBSTITUTE('Dashboard'!$B$7,"~","~~"),"*","~*"),"?","~?"))+COUNTIFS('Calculations'!$HX$13:$HX$512,"="&amp;SUBSTITUTE(SUBSTITUTE(SUBSTITUTE('Calculations'!HF15,"~","~~"),"*","~*"),"?","~?"),'Calculations'!$HN$13:$HN$512,"="&amp;SUBSTITUTE(SUBSTITUTE(SUBSTITUTE('Dashboard'!$B$7,"~","~~"),"*","~*"),"?","~?"))+COUNTIFS('Calculations'!$HY$13:$HY$512,"="&amp;SUBSTITUTE(SUBSTITUTE(SUBSTITUTE('Calculations'!HF15,"~","~~"),"*","~*"),"?","~?"),'Calculations'!$HN$13:$HN$512,"="&amp;SUBSTITUTE(SUBSTITUTE(SUBSTITUTE('Dashboard'!$B$7,"~","~~"),"*","~*"),"?","~?"))+COUNTIFS('Calculations'!$HZ$13:$HZ$512,"="&amp;SUBSTITUTE(SUBSTITUTE(SUBSTITUTE('Calculations'!HF15,"~","~~"),"*","~*"),"?","~?"),'Calculations'!$HN$13:$HN$512,"="&amp;SUBSTITUTE(SUBSTITUTE(SUBSTITUTE('Dashboard'!$B$7,"~","~~"),"*","~*"),"?","~?"))+COUNTIFS('Calculations'!$IA$13:$IA$512,"="&amp;SUBSTITUTE(SUBSTITUTE(SUBSTITUTE('Calculations'!HF15,"~","~~"),"*","~*"),"?","~?"),'Calculations'!$HN$13:$HN$512,"="&amp;SUBSTITUTE(SUBSTITUTE(SUBSTITUTE('Dashboard'!$B$7,"~","~~"),"*","~*"),"?","~?"))+COUNTIFS('Calculations'!$IB$13:$IB$512,"="&amp;SUBSTITUTE(SUBSTITUTE(SUBSTITUTE('Calculations'!HF15,"~","~~"),"*","~*"),"?","~?"),'Calculations'!$HN$13:$HN$512,"="&amp;SUBSTITUTE(SUBSTITUTE(SUBSTITUTE('Dashboard'!$B$7,"~","~~"),"*","~*"),"?","~?"))+COUNTIFS('Calculations'!$IC$13:$IC$512,"="&amp;SUBSTITUTE(SUBSTITUTE(SUBSTITUTE('Calculations'!HF15,"~","~~"),"*","~*"),"?","~?"),'Calculations'!$HN$13:$HN$512,"="&amp;SUBSTITUTE(SUBSTITUTE(SUBSTITUTE('Dashboard'!$B$7,"~","~~"),"*","~*"),"?","~?"))+COUNTIFS('Calculations'!$ID$13:$ID$512,"="&amp;SUBSTITUTE(SUBSTITUTE(SUBSTITUTE('Calculations'!HF15,"~","~~"),"*","~*"),"?","~?"),'Calculations'!$HN$13:$HN$512,"="&amp;SUBSTITUTE(SUBSTITUTE(SUBSTITUTE('Dashboard'!$B$7,"~","~~"),"*","~*"),"?","~?"))+COUNTIFS('Calculations'!$IE$13:$IE$512,"="&amp;SUBSTITUTE(SUBSTITUTE(SUBSTITUTE('Calculations'!HF15,"~","~~"),"*","~*"),"?","~?"),'Calculations'!$HN$13:$HN$512,"="&amp;SUBSTITUTE(SUBSTITUTE(SUBSTITUTE('Dashboard'!$B$7,"~","~~"),"*","~*"),"?","~?"))+COUNTIFS('Calculations'!$IF$13:$IF$512,"="&amp;SUBSTITUTE(SUBSTITUTE(SUBSTITUTE('Calculations'!HF15,"~","~~"),"*","~*"),"?","~?"),'Calculations'!$HN$13:$HN$512,"="&amp;SUBSTITUTE(SUBSTITUTE(SUBSTITUTE('Dashboard'!$B$7,"~","~~"),"*","~*"),"?","~?"))+COUNTIFS('Calculations'!$IG$13:$IG$512,"="&amp;SUBSTITUTE(SUBSTITUTE(SUBSTITUTE('Calculations'!HF15,"~","~~"),"*","~*"),"?","~?"),'Calculations'!$HN$13:$HN$512,"="&amp;SUBSTITUTE(SUBSTITUTE(SUBSTITUTE('Dashboard'!$B$7,"~","~~"),"*","~*"),"?","~?"))+COUNTIFS('Calculations'!$IH$13:$IH$512,"="&amp;SUBSTITUTE(SUBSTITUTE(SUBSTITUTE('Calculations'!HF15,"~","~~"),"*","~*"),"?","~?"),'Calculations'!$HN$13:$HN$512,"="&amp;SUBSTITUTE(SUBSTITUTE(SUBSTITUTE('Dashboard'!$B$7,"~","~~"),"*","~*"),"?","~?"))))</x:f>
        <x:v>0</x:v>
      </x:c>
      <x:c r="JD15" t="n">
        <x:f>IF('Calculations'!EM15="",0,IF('Dashboard'!$B$7="All",1,IF('Calculations'!HN15='Dashboard'!$B$7,1,0)+IFERROR(INDEX('Calculations'!$JC$13:$JC$512,MATCH('Calculations'!HE15,'Calculations'!$HF$13:$HF$512,0)),0)))</x:f>
        <x:v>0</x:v>
      </x:c>
      <x:c r="JE15" t="n">
        <x:f>IF(AND('Calculations'!EM15&lt;&gt;"",'Calculations'!$JJ$2&lt;&gt;"All",'Calculations'!$JJ$2&lt;&gt;"",'Calculations'!HF15='Calculations'!$JJ$2,'Calculations'!HL15=0,'Calculations'!JD15&gt;0),MAX('Calculations'!$JE$12:JE14)+1,0)</x:f>
        <x:v>0</x:v>
      </x:c>
      <x:c r="JF15" t="str">
        <x:f>IF('Calculations'!EM15="","",IFERROR(IF(INDEX(INDIRECT("'WCM Calibration Final'!$G$1:$G$2000"),'Calculations'!$EM15)="","",TRIM(INDEX(INDIRECT("'WCM Calibration Final'!$G$1:$G$2000"),'Calculations'!$EM15)&amp;"")),""))</x:f>
      </x:c>
      <x:c r="JQ15" t="n">
        <x:f>IF(OR('Calculations'!BM15=0,NOT('Calculations'!$AG$2),'Calculations'!$AG$8&gt;0),0,IF(OR('Dashboard'!$B$7="All",'Calculations'!HN15='Dashboard'!$B$7),IF('Calculations'!$JJ$2="All",1,IF(AND('Calculations'!HF15='Calculations'!$JJ$2,'Calculations'!HL15=0),1,0)),0))</x:f>
        <x:v>0</x:v>
      </x:c>
    </x:row>
    <x:row r="16" ht="21" customHeight="1">
      <x:c r="A16" s="75"/>
      <x:c r="B16" s="75"/>
      <x:c r="C16" s="75"/>
      <x:c r="D16" s="75"/>
      <x:c r="E16" s="75"/>
      <x:c r="F16" s="75"/>
      <x:c r="G16" s="75"/>
      <x:c r="H16" s="75"/>
      <x:c r="I16" s="75"/>
      <x:c r="J16" s="75"/>
      <x:c r="K16" s="75"/>
      <x:c r="L16" s="75"/>
      <x:c r="M16" s="75"/>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t="n">
        <x:f>IF('Calculations'!$EM16="",0,IF(OR(IFERROR(INDEX(INDIRECT("'WCM Calibration Final'!$A$1:$A$2000"),'Calculations'!$EM16)&lt;&gt;"",FALSE),IFERROR(INDEX(INDIRECT("'WCM Calibration Final'!$B$1:$B$2000"),'Calculations'!$EM16)&lt;&gt;"",FALSE),IFERROR(INDEX(INDIRECT("'WCM Calibration Final'!$C$1:$C$2000"),'Calculations'!$EM16)&lt;&gt;"",FALSE)),1,0))</x:f>
        <x:v>0</x:v>
      </x:c>
      <x:c r="BN16" s="4" t="n">
        <x:f>IF(AND('Calculations'!BM16=1,'Calculations'!$AG$2,'Calculations'!$EN16=1),1,0)</x:f>
        <x:v>0</x:v>
      </x:c>
      <x:c r="BO16" s="4" t="str">
        <x:f>IF('Calculations'!BM16=0,"",IFERROR(IF(AND(VALUE(INDEX(INDIRECT("'WCM Calibration Final'!$K$1:$K$2000"),'Calculations'!$EM16))&gt;=1,VALUE(INDEX(INDIRECT("'WCM Calibration Final'!$K$1:$K$2000"),'Calculations'!$EM16))&lt;=4,MOD(VALUE(INDEX(INDIRECT("'WCM Calibration Final'!$K$1:$K$2000"),'Calculations'!$EM16)),1)=0),VALUE(INDEX(INDIRECT("'WCM Calibration Final'!$K$1:$K$2000"),'Calculations'!$EM16)),""),""))</x:f>
      </x:c>
      <x:c r="BP16" s="4" t="str">
        <x:f>IF('Calculations'!BM16=0,"",IFERROR(IF(AND(VALUE(INDEX(INDIRECT("'WCM Calibration Final'!$L$1:$L$2000"),'Calculations'!$EM16))&gt;=1,VALUE(INDEX(INDIRECT("'WCM Calibration Final'!$L$1:$L$2000"),'Calculations'!$EM16))&lt;=4,MOD(VALUE(INDEX(INDIRECT("'WCM Calibration Final'!$L$1:$L$2000"),'Calculations'!$EM16)),1)=0),VALUE(INDEX(INDIRECT("'WCM Calibration Final'!$L$1:$L$2000"),'Calculations'!$EM16)),""),""))</x:f>
      </x:c>
      <x:c r="BQ16" s="4"/>
      <x:c r="BR16" s="4"/>
      <x:c r="BS16" s="4"/>
      <x:c r="BT16" s="4" t="n">
        <x:f>IF(AND('Calculations'!BM16=1,ISNUMBER('Calculations'!BO16),ISNUMBER('Calculations'!BP16)),1,0)</x:f>
        <x:v>0</x:v>
      </x:c>
      <x:c r="BU16" s="4" t="str">
        <x:f>IF('Calculations'!BM16=0,"",'Calculations'!$EO16)</x:f>
      </x:c>
      <x:c r="BV16" s="4" t="str">
        <x:f>IF('Calculations'!BM16=0,"",IFERROR(IF(OR(INDEX(INDIRECT("'WCM Calibration Final'!$H$1:$H$2000"),'Calculations'!$EM16)="MANAGING DIRECTOR",INDEX(INDIRECT("'WCM Calibration Final'!$H$1:$H$2000"),'Calculations'!$EM16)="DIRECTOR",INDEX(INDIRECT("'WCM Calibration Final'!$H$1:$H$2000"),'Calculations'!$EM16)="SENIOR VICE PRESIDENT",INDEX(INDIRECT("'WCM Calibration Final'!$H$1:$H$2000"),'Calculations'!$EM16)="VICE PRESIDENT",INDEX(INDIRECT("'WCM Calibration Final'!$H$1:$H$2000"),'Calculations'!$EM16)="ASSISTANT VICE PRESIDENT",INDEX(INDIRECT("'WCM Calibration Final'!$H$1:$H$2000"),'Calculations'!$EM16)="OFFICER"),UPPER(INDEX(INDIRECT("'WCM Calibration Final'!$H$1:$H$2000"),'Calculations'!$EM16)),"Other"),"Other"))</x:f>
      </x:c>
      <x:c r="BW16" s="4"/>
      <x:c r="BX16" s="4"/>
      <x:c r="BY16" s="4" t="n">
        <x:f>IF(AND('Calculations'!BM16=1,'Calculations'!BU16&lt;&gt;"",COUNTIF('Calculations'!$BU$12:BU16,'Calculations'!BU16)=1),MAX('Calculations'!$BY$11:BY15)+1,0)</x:f>
        <x:v>0</x:v>
      </x:c>
      <x:c r="BZ16" s="4" t="str">
        <x:f>IF('Dashboard'!$E$67="What",'Calculations'!BO16,'Calculations'!BP16)</x:f>
      </x:c>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t="str">
        <x:f>IF(5&gt;MAX('Calculations'!$HI$13:$HI$512),"",INDEX('Calculations'!$HN$13:$HN$512,MATCH(5,'Calculations'!$HI$13:$HI$512,0)))</x:f>
      </x:c>
      <x:c r="DB16" s="4" t="str">
        <x:f>IF(5&gt;MAX('Calculations'!$HH$13:$HH$512),"",INDEX('Calculations'!$HJ$13:$HJ$512,MATCH(5,'Calculations'!$HH$13:$HH$512,0)))</x:f>
      </x:c>
      <x:c r="DC16" s="4" t="str">
        <x:f>IF(ROW()-11&gt;MAX('Calculations'!$BY$13:$BY$512),"",INDEX('Calculations'!$BU$13:$BU$512,MATCH(ROW()-11,'Calculations'!$BY$13:$BY$512,0)))</x:f>
      </x:c>
      <x:c r="DD16" s="4" t="str">
        <x:f>IF(5&gt;MAX('Calculations'!$IK$13:$IK$512),"",INDEX('Calculations'!$HK$13:$HK$512,MATCH(5,'Calculations'!$IK$13:$IK$512,0)))</x:f>
      </x:c>
      <x:c r="DE16" s="4" t="str">
        <x:f>'Calculations'!DC16</x:f>
      </x:c>
      <x:c r="DF16" s="4" t="str">
        <x:f>IF('Calculations'!DE16="","",COUNTIFS('Calculations'!$BN$13:$BN$512,1,'Calculations'!$BU$13:$BU$512,'Calculations'!DE16))</x:f>
      </x:c>
      <x:c r="DG16" s="4" t="str">
        <x:f>IF('Calculations'!DE16="","",COUNTIFS('Calculations'!$BN$13:$BN$512,1,'Calculations'!$BU$13:$BU$512,'Calculations'!DE16,'Calculations'!$BT$13:$BT$512,1))</x:f>
      </x:c>
      <x:c r="DH16" s="4" t="str">
        <x:f>IF('Calculations'!DE16="","",'Calculations'!DF16-'Calculations'!DG16)</x:f>
      </x:c>
      <x:c r="DI16" s="4" t="str">
        <x:f>IF(OR('Calculations'!DE16="",'Calculations'!DF16=0),"",'Calculations'!DG16/'Calculations'!DF16)</x:f>
      </x:c>
      <x:c r="DJ16" s="4" t="str">
        <x:f>IF('Calculations'!DE16="","",COUNTIFS('Calculations'!$BN$13:$BN$512,1,'Calculations'!$BU$13:$BU$512,'Calculations'!DE16,'Calculations'!$BT$13:$BT$512,1,'Calculations'!$EE$13:$EE$512,"High"))</x:f>
      </x:c>
      <x:c r="DK16" s="4" t="str">
        <x:f>IF('Calculations'!DE16="","",COUNTIFS('Calculations'!$BN$13:$BN$512,1,'Calculations'!$BU$13:$BU$512,'Calculations'!DE16,'Calculations'!$BT$13:$BT$512,1,'Calculations'!$EE$13:$EE$512,"Strong"))</x:f>
      </x:c>
      <x:c r="DL16" s="4" t="str">
        <x:f>IF('Calculations'!DE16="","",COUNTIFS('Calculations'!$BN$13:$BN$512,1,'Calculations'!$BU$13:$BU$512,'Calculations'!DE16,'Calculations'!$BT$13:$BT$512,1,'Calculations'!$EE$13:$EE$512,"Solid"))</x:f>
      </x:c>
      <x:c r="DM16" s="4" t="str">
        <x:f>IF('Calculations'!DE16="","",COUNTIFS('Calculations'!$BN$13:$BN$512,1,'Calculations'!$BU$13:$BU$512,'Calculations'!DE16,'Calculations'!$BT$13:$BT$512,1,'Calculations'!$EE$13:$EE$512,"Low"))</x:f>
      </x:c>
      <x:c r="DN16" s="4" t="str">
        <x:f>IF('Calculations'!DE16="","",COUNTIFS('Calculations'!$BN$13:$BN$512,1,'Calculations'!$BU$13:$BU$512,'Calculations'!DE16,'Calculations'!$EP$13:$EP$512,1))</x:f>
      </x:c>
      <x:c r="DO16" s="4" t="str">
        <x:f>IF(OR('Calculations'!DE16="",'Calculations'!DG16=0),"",('Calculations'!DJ16+'Calculations'!DK16)/'Calculations'!DG16)</x:f>
      </x:c>
      <x:c r="DP16" s="4" t="n">
        <x:f>IF(AND('Calculations'!DE16&lt;&gt;"",'Calculations'!DF16&gt;0),COUNTIF('Calculations'!$DF$12:DF16,"&gt;0"),0)</x:f>
        <x:v>0</x:v>
      </x:c>
      <x:c r="DQ16" s="4" t="str">
        <x:f>IF(5&gt;MAX('Calculations'!$HH$13:$HH$512),"",INDEX('Calculations'!$HF$13:$HF$512,MATCH(5,'Calculations'!$HH$13:$HH$512,0)))</x:f>
      </x:c>
      <x:c r="DR16" s="4" t="str">
        <x:f>IF(5&gt;MAX('Calculations'!$IK$13:$IK$512),"",INDEX('Calculations'!$HE$13:$HE$512,MATCH(5,'Calculations'!$IK$13:$IK$512,0)))</x:f>
      </x:c>
      <x:c r="DS16" s="4"/>
      <x:c r="DT16" s="4"/>
      <x:c r="DU16" s="4"/>
      <x:c r="DV16" s="4"/>
      <x:c r="DW16" s="4"/>
      <x:c r="DX16" s="4"/>
      <x:c r="DY16" s="4"/>
      <x:c r="DZ16" s="4"/>
      <x:c r="EA16" s="4"/>
      <x:c r="EB16" s="4"/>
      <x:c r="EC16" s="4"/>
      <x:c r="ED16" s="4"/>
      <x:c r="EE16" s="4" t="str">
        <x:f>IF('Calculations'!BT16=0,"Not Rated",IF(OR('Calculations'!BO16&gt;=4,'Calculations'!BP16&gt;=4),"Low",IF('Calculations'!BO16+'Calculations'!BP16&lt;=3,"High",IF('Calculations'!BO16+'Calculations'!BP16&lt;=4,"Strong","Solid"))))</x:f>
        <x:v>Not Rated</x:v>
      </x:c>
      <x:c r="EF16" s="4"/>
      <x:c r="EG16" s="4"/>
      <x:c r="EH16" s="4"/>
      <x:c r="EI16" s="4"/>
      <x:c r="EJ16" s="4"/>
      <x:c r="EK16" s="4"/>
      <x:c r="EL16" s="4"/>
      <x:c r="EM16" s="4" t="str">
        <x:f>IF(4&gt;'Calculations'!$JB$2000,"",INDEX('Calculations'!$JA$12:$JA$2000,MATCH(4,'Calculations'!$JB$12:$JB$2000,0)))</x:f>
      </x:c>
      <x:c r="EN16" s="4" t="n">
        <x:f>IF(OR('Calculations'!EM16="",'Calculations'!$AG$8&gt;0,AND('Calculations'!$EF$2&lt;&gt;"All",'Calculations'!HE16='Calculations'!$EF$2),AND('Calculations'!$EF$3&lt;&gt;"All",'Calculations'!HE16='Calculations'!$EF$3)),0,IF(OR('Dashboard'!$B$7="All",'Calculations'!HN16='Dashboard'!$B$7),IF('Calculations'!$EF$2="All",1,IF('Calculations'!HL16&gt;0,0,IF(COUNTIF('Calculations'!HO16:II16,"="&amp;SUBSTITUTE(SUBSTITUTE(SUBSTITUTE('Calculations'!$EF$2,"~","~~"),"*","~*"),"?","~?"))=0,0,IF('Calculations'!$EF$3="All",1,IF(COUNTIF('Calculations'!HO16:II16,"="&amp;SUBSTITUTE(SUBSTITUTE(SUBSTITUTE('Calculations'!$EF$3,"~","~~"),"*","~*"),"?","~?"))&gt;0,1,0))))),0))</x:f>
        <x:v>0</x:v>
      </x:c>
      <x:c r="EO16" s="4" t="str">
        <x:f>IF('Calculations'!IJ16="","",IF('Calculations'!IJ16="!UNRESOLVED","Unresolved hierarchy",IFERROR(INDEX('Calculations'!$HK$13:$HK$512,MATCH('Calculations'!IJ16,'Calculations'!$HE$13:$HE$512,0)),IFERROR(INDEX('Calculations'!$HJ$13:$HJ$512,MATCH('Calculations'!IJ16,'Calculations'!$HF$13:$HF$512,0)),'Calculations'!IJ16))))</x:f>
      </x:c>
      <x:c r="EP16" s="4" t="n">
        <x:f>IF(AND('Calculations'!EM16&lt;&gt;"",'Calculations'!HF16='Calculations'!IJ16),1,0)</x:f>
        <x:v>0</x:v>
      </x:c>
      <x:c r="EQ16" s="4"/>
      <x:c r="ER16" s="4"/>
      <x:c r="ES16" s="4"/>
      <x:c r="ET16" s="4"/>
      <x:c r="EU16" s="4"/>
      <x:c r="EV16" s="4"/>
      <x:c r="EW16" s="4"/>
      <x:c r="EX16" s="4"/>
      <x:c r="EY16" s="4"/>
      <x:c r="EZ16" s="4"/>
      <x:c r="FA16" s="4"/>
      <x:c r="FB16" s="4"/>
      <x:c r="FC16" s="4"/>
      <x:c r="FD16" s="4"/>
      <x:c r="FE16" s="4"/>
      <x:c r="FF16" s="4"/>
      <x:c r="FG16" s="4"/>
      <x:c r="FH16" s="4"/>
      <x:c r="FI16" s="4"/>
      <x:c r="FJ16" s="4"/>
      <x:c r="FK16" s="4"/>
      <x:c r="FL16" s="4"/>
      <x:c r="FM16" s="4"/>
      <x:c r="FN16" s="4"/>
      <x:c r="FO16" s="4"/>
      <x:c r="GA16" s="71"/>
      <x:c r="GB16" s="71"/>
      <x:c r="GC16" s="71"/>
      <x:c r="GD16" s="71"/>
      <x:c r="GE16" s="71"/>
      <x:c r="GF16" s="71"/>
      <x:c r="GG16" s="71"/>
      <x:c r="GH16" s="71"/>
      <x:c r="GI16" s="71"/>
      <x:c r="GJ16" s="71"/>
      <x:c r="GK16" s="71"/>
      <x:c r="GL16" s="71"/>
      <x:c r="GM16" s="71"/>
      <x:c r="GN16" s="71"/>
      <x:c r="GO16" s="71"/>
      <x:c r="GP16" s="71"/>
      <x:c r="GQ16" s="71"/>
      <x:c r="GR16" s="71"/>
      <x:c r="GS16" s="71"/>
      <x:c r="GT16" s="71"/>
      <x:c r="GU16" s="71"/>
      <x:c r="GV16" s="71"/>
      <x:c r="GW16" s="71"/>
      <x:c r="GX16" s="71"/>
      <x:c r="GY16" s="71"/>
      <x:c r="GZ16" s="71"/>
      <x:c r="HA16" s="71"/>
      <x:c r="HB16" s="71"/>
      <x:c r="HC16" s="71"/>
      <x:c r="HD16" s="71"/>
      <x:c r="HE16" t="str">
        <x:f>IF('Calculations'!EM16="","",IF(IFERROR(IF(INDEX(INDIRECT("'WCM Calibration Final'!$A$1:$A$2000"),'Calculations'!$EM16)="","",TRIM(INDEX(INDIRECT("'WCM Calibration Final'!$A$1:$A$2000"),'Calculations'!$EM16)&amp;"")),"")&lt;&gt;"","G:"&amp;IFERROR(TEXT(1*INDEX(INDIRECT("'WCM Calibration Final'!$A$1:$A$2000"),'Calculations'!$EM16),"0"),UPPER(IFERROR(IF(INDEX(INDIRECT("'WCM Calibration Final'!$A$1:$A$2000"),'Calculations'!$EM16)="","",TRIM(INDEX(INDIRECT("'WCM Calibration Final'!$A$1:$A$2000"),'Calculations'!$EM16)&amp;"")),""))),IF(IFERROR(IF(INDEX(INDIRECT("'WCM Calibration Final'!$C$1:$C$2000"),'Calculations'!$EM16)="","",TRIM(INDEX(INDIRECT("'WCM Calibration Final'!$C$1:$C$2000"),'Calculations'!$EM16)&amp;"")),"")&lt;&gt;"","S:"&amp;UPPER(IFERROR(IF(INDEX(INDIRECT("'WCM Calibration Final'!$C$1:$C$2000"),'Calculations'!$EM16)="","",TRIM(INDEX(INDIRECT("'WCM Calibration Final'!$C$1:$C$2000"),'Calculations'!$EM16)&amp;"")),"")),"R:"&amp;'Calculations'!EM16)))</x:f>
      </x:c>
      <x:c r="HF16" t="str">
        <x:f>IF('Calculations'!EM16="","",IF(IFERROR(IF(INDEX(INDIRECT("'WCM Calibration Final'!$D$1:$D$2000"),'Calculations'!$EM16)="","",TRIM(INDEX(INDIRECT("'WCM Calibration Final'!$D$1:$D$2000"),'Calculations'!$EM16)&amp;"")),"")&lt;&gt;"","G:"&amp;IFERROR(TEXT(1*INDEX(INDIRECT("'WCM Calibration Final'!$D$1:$D$2000"),'Calculations'!$EM16),"0"),UPPER(IFERROR(IF(INDEX(INDIRECT("'WCM Calibration Final'!$D$1:$D$2000"),'Calculations'!$EM16)="","",TRIM(INDEX(INDIRECT("'WCM Calibration Final'!$D$1:$D$2000"),'Calculations'!$EM16)&amp;"")),""))),IF(IFERROR(IF(INDEX(INDIRECT("'WCM Calibration Final'!$E$1:$E$2000"),'Calculations'!$EM16)="","",TRIM(INDEX(INDIRECT("'WCM Calibration Final'!$E$1:$E$2000"),'Calculations'!$EM16)&amp;"")),"")="","",IF(COUNTIF('Calculations'!$HG$13:$HG$512,"="&amp;SUBSTITUTE(SUBSTITUTE(SUBSTITUTE(IFERROR(IF(INDEX(INDIRECT("'WCM Calibration Final'!$E$1:$E$2000"),'Calculations'!$EM16)="","",TRIM(INDEX(INDIRECT("'WCM Calibration Final'!$E$1:$E$2000"),'Calculations'!$EM16)&amp;"")),""),"~","~~"),"*","~*"),"?","~?"))=1,INDEX('Calculations'!$HE$13:$HE$512,MATCH(IFERROR(IF(INDEX(INDIRECT("'WCM Calibration Final'!$E$1:$E$2000"),'Calculations'!$EM16)="","",TRIM(INDEX(INDIRECT("'WCM Calibration Final'!$E$1:$E$2000"),'Calculations'!$EM16)&amp;"")),""),'Calculations'!$HG$13:$HG$512,0)),IF(COUNTIF('Calculations'!$HG$13:$HG$512,"="&amp;SUBSTITUTE(SUBSTITUTE(SUBSTITUTE(IFERROR(IF(INDEX(INDIRECT("'WCM Calibration Final'!$E$1:$E$2000"),'Calculations'!$EM16)="","",TRIM(INDEX(INDIRECT("'WCM Calibration Final'!$E$1:$E$2000"),'Calculations'!$EM16)&amp;"")),""),"~","~~"),"*","~*"),"?","~?"))&gt;1,"!AMBIG","X:"&amp;IFERROR(IF(INDEX(INDIRECT("'WCM Calibration Final'!$E$1:$E$2000"),'Calculations'!$EM16)="","",TRIM(INDEX(INDIRECT("'WCM Calibration Final'!$E$1:$E$2000"),'Calculations'!$EM16)&amp;"")),""))))))</x:f>
      </x:c>
      <x:c r="HG16" t="str">
        <x:f>IF('Calculations'!EM16="","",IFERROR(IF(INDEX(INDIRECT("'WCM Calibration Final'!$B$1:$B$2000"),'Calculations'!$EM16)="","",TRIM(INDEX(INDIRECT("'WCM Calibration Final'!$B$1:$B$2000"),'Calculations'!$EM16)&amp;"")),""))</x:f>
      </x:c>
      <x:c r="HH16" t="n">
        <x:f>IF(AND('Calculations'!JC16&gt;0,COUNTIF('Calculations'!$HF$12:HF16,"="&amp;SUBSTITUTE(SUBSTITUTE(SUBSTITUTE('Calculations'!HF16,"~","~~"),"*","~*"),"?","~?"))=1),MAX('Calculations'!$HH$12:HH15)+1,0)</x:f>
        <x:v>0</x:v>
      </x:c>
      <x:c r="HI16" t="n">
        <x:f>IF(AND('Calculations'!HN16&lt;&gt;"",COUNTIF('Calculations'!$HN$12:HN16,"="&amp;SUBSTITUTE(SUBSTITUTE(SUBSTITUTE('Calculations'!HN16,"~","~~"),"*","~*"),"?","~?"))=1),MAX('Calculations'!$HI$12:HI15)+1,0)</x:f>
        <x:v>0</x:v>
      </x:c>
      <x:c r="HJ16" t="str">
        <x:f>IF('Calculations'!HF16="","",IF(COUNTIF('Calculations'!$HE$13:$HE$512,"="&amp;SUBSTITUTE(SUBSTITUTE(SUBSTITUTE('Calculations'!HF16,"~","~~"),"*","~*"),"?","~?"))=1,INDEX('Calculations'!$HK$13:$HK$512,MATCH('Calculations'!HF16,'Calculations'!$HE$13:$HE$512,0)),IFERROR(IF(INDEX(INDIRECT("'WCM Calibration Final'!$E$1:$E$2000"),'Calculations'!$EM16)="","",TRIM(INDEX(INDIRECT("'WCM Calibration Final'!$E$1:$E$2000"),'Calculations'!$EM16)&amp;"")),"")&amp;" ["&amp;'Calculations'!HF16&amp;"]"))</x:f>
      </x:c>
      <x:c r="HK16" t="str">
        <x:f>IF('Calculations'!EM16="","",'Calculations'!HG16&amp;" ["&amp;'Calculations'!HE16&amp;"]")</x:f>
      </x:c>
      <x:c r="HL16" t="n">
        <x:f>IF('Calculations'!EM16="",0,IF(OR('Calculations'!II16&lt;&gt;"",COUNTIF('Calculations'!$HE$13:$HE$512,"="&amp;SUBSTITUTE(SUBSTITUTE(SUBSTITUTE('Calculations'!HE16,"~","~~"),"*","~*"),"?","~?"))&gt;1),1,0))</x:f>
        <x:v>0</x:v>
      </x:c>
      <x:c r="HM16" t="str">
        <x:f>IF('Calculations'!EM16="","",IF('Calculations'!HL16=1,"!UNRESOLVED",IF('Calculations'!IH16&lt;&gt;"",'Calculations'!IH16,IF('Calculations'!IG16&lt;&gt;"",'Calculations'!IG16,IF('Calculations'!IF16&lt;&gt;"",'Calculations'!IF16,IF('Calculations'!IE16&lt;&gt;"",'Calculations'!IE16,IF('Calculations'!ID16&lt;&gt;"",'Calculations'!ID16,IF('Calculations'!IC16&lt;&gt;"",'Calculations'!IC16,IF('Calculations'!IB16&lt;&gt;"",'Calculations'!IB16,IF('Calculations'!IA16&lt;&gt;"",'Calculations'!IA16,IF('Calculations'!HZ16&lt;&gt;"",'Calculations'!HZ16,IF('Calculations'!HY16&lt;&gt;"",'Calculations'!HY16,IF('Calculations'!HX16&lt;&gt;"",'Calculations'!HX16,IF('Calculations'!HW16&lt;&gt;"",'Calculations'!HW16,IF('Calculations'!HV16&lt;&gt;"",'Calculations'!HV16,IF('Calculations'!HU16&lt;&gt;"",'Calculations'!HU16,IF('Calculations'!HT16&lt;&gt;"",'Calculations'!HT16,IF('Calculations'!HS16&lt;&gt;"",'Calculations'!HS16,IF('Calculations'!HR16&lt;&gt;"",'Calculations'!HR16,IF('Calculations'!HQ16&lt;&gt;"",'Calculations'!HQ16,IF('Calculations'!HP16&lt;&gt;"",'Calculations'!HP16,IF('Calculations'!HO16&lt;&gt;"",'Calculations'!HO16,'Calculations'!HE16))))))))))))))))))))))</x:f>
      </x:c>
      <x:c r="HN16" t="str">
        <x:f>IF('Calculations'!EM16="","",IF(IFERROR(IF(INDEX(INDIRECT("'WCM Calibration Final'!$F$1:$F$2000"),'Calculations'!$EM16)="","",TRIM(INDEX(INDIRECT("'WCM Calibration Final'!$F$1:$F$2000"),'Calculations'!$EM16)&amp;"")),"")="","(Blank)",IFERROR(IF(INDEX(INDIRECT("'WCM Calibration Final'!$F$1:$F$2000"),'Calculations'!$EM16)="","",TRIM(INDEX(INDIRECT("'WCM Calibration Final'!$F$1:$F$2000"),'Calculations'!$EM16)&amp;"")),"")))</x:f>
      </x:c>
      <x:c r="HO16" t="str">
        <x:f>'Calculations'!HF16</x:f>
      </x:c>
      <x:c r="HP16" t="str">
        <x:f>IF('Calculations'!HO16="","",IF('Calculations'!HO16="!AMBIG","!AMBIG",IF(COUNTIF('Calculations'!$HE$13:$HE$512,"="&amp;SUBSTITUTE(SUBSTITUTE(SUBSTITUTE('Calculations'!HO16,"~","~~"),"*","~*"),"?","~?"))&gt;1,"!AMBIG",IFERROR(INDEX('Calculations'!$HF$13:$HF$512,MATCH('Calculations'!HO16,'Calculations'!$HE$13:$HE$512,0)),""))))</x:f>
      </x:c>
      <x:c r="HQ16" t="str">
        <x:f>IF('Calculations'!HP16="","",IF('Calculations'!HP16="!AMBIG","!AMBIG",IF(COUNTIF('Calculations'!$HE$13:$HE$512,"="&amp;SUBSTITUTE(SUBSTITUTE(SUBSTITUTE('Calculations'!HP16,"~","~~"),"*","~*"),"?","~?"))&gt;1,"!AMBIG",IFERROR(INDEX('Calculations'!$HF$13:$HF$512,MATCH('Calculations'!HP16,'Calculations'!$HE$13:$HE$512,0)),""))))</x:f>
      </x:c>
      <x:c r="HR16" t="str">
        <x:f>IF('Calculations'!HQ16="","",IF('Calculations'!HQ16="!AMBIG","!AMBIG",IF(COUNTIF('Calculations'!$HE$13:$HE$512,"="&amp;SUBSTITUTE(SUBSTITUTE(SUBSTITUTE('Calculations'!HQ16,"~","~~"),"*","~*"),"?","~?"))&gt;1,"!AMBIG",IFERROR(INDEX('Calculations'!$HF$13:$HF$512,MATCH('Calculations'!HQ16,'Calculations'!$HE$13:$HE$512,0)),""))))</x:f>
      </x:c>
      <x:c r="HS16" t="str">
        <x:f>IF('Calculations'!HR16="","",IF('Calculations'!HR16="!AMBIG","!AMBIG",IF(COUNTIF('Calculations'!$HE$13:$HE$512,"="&amp;SUBSTITUTE(SUBSTITUTE(SUBSTITUTE('Calculations'!HR16,"~","~~"),"*","~*"),"?","~?"))&gt;1,"!AMBIG",IFERROR(INDEX('Calculations'!$HF$13:$HF$512,MATCH('Calculations'!HR16,'Calculations'!$HE$13:$HE$512,0)),""))))</x:f>
      </x:c>
      <x:c r="HT16" t="str">
        <x:f>IF('Calculations'!HS16="","",IF('Calculations'!HS16="!AMBIG","!AMBIG",IF(COUNTIF('Calculations'!$HE$13:$HE$512,"="&amp;SUBSTITUTE(SUBSTITUTE(SUBSTITUTE('Calculations'!HS16,"~","~~"),"*","~*"),"?","~?"))&gt;1,"!AMBIG",IFERROR(INDEX('Calculations'!$HF$13:$HF$512,MATCH('Calculations'!HS16,'Calculations'!$HE$13:$HE$512,0)),""))))</x:f>
      </x:c>
      <x:c r="HU16" t="str">
        <x:f>IF('Calculations'!HT16="","",IF('Calculations'!HT16="!AMBIG","!AMBIG",IF(COUNTIF('Calculations'!$HE$13:$HE$512,"="&amp;SUBSTITUTE(SUBSTITUTE(SUBSTITUTE('Calculations'!HT16,"~","~~"),"*","~*"),"?","~?"))&gt;1,"!AMBIG",IFERROR(INDEX('Calculations'!$HF$13:$HF$512,MATCH('Calculations'!HT16,'Calculations'!$HE$13:$HE$512,0)),""))))</x:f>
      </x:c>
      <x:c r="HV16" t="str">
        <x:f>IF('Calculations'!HU16="","",IF('Calculations'!HU16="!AMBIG","!AMBIG",IF(COUNTIF('Calculations'!$HE$13:$HE$512,"="&amp;SUBSTITUTE(SUBSTITUTE(SUBSTITUTE('Calculations'!HU16,"~","~~"),"*","~*"),"?","~?"))&gt;1,"!AMBIG",IFERROR(INDEX('Calculations'!$HF$13:$HF$512,MATCH('Calculations'!HU16,'Calculations'!$HE$13:$HE$512,0)),""))))</x:f>
      </x:c>
      <x:c r="HW16" t="str">
        <x:f>IF('Calculations'!HV16="","",IF('Calculations'!HV16="!AMBIG","!AMBIG",IF(COUNTIF('Calculations'!$HE$13:$HE$512,"="&amp;SUBSTITUTE(SUBSTITUTE(SUBSTITUTE('Calculations'!HV16,"~","~~"),"*","~*"),"?","~?"))&gt;1,"!AMBIG",IFERROR(INDEX('Calculations'!$HF$13:$HF$512,MATCH('Calculations'!HV16,'Calculations'!$HE$13:$HE$512,0)),""))))</x:f>
      </x:c>
      <x:c r="HX16" t="str">
        <x:f>IF('Calculations'!HW16="","",IF('Calculations'!HW16="!AMBIG","!AMBIG",IF(COUNTIF('Calculations'!$HE$13:$HE$512,"="&amp;SUBSTITUTE(SUBSTITUTE(SUBSTITUTE('Calculations'!HW16,"~","~~"),"*","~*"),"?","~?"))&gt;1,"!AMBIG",IFERROR(INDEX('Calculations'!$HF$13:$HF$512,MATCH('Calculations'!HW16,'Calculations'!$HE$13:$HE$512,0)),""))))</x:f>
      </x:c>
      <x:c r="HY16" t="str">
        <x:f>IF('Calculations'!HX16="","",IF('Calculations'!HX16="!AMBIG","!AMBIG",IF(COUNTIF('Calculations'!$HE$13:$HE$512,"="&amp;SUBSTITUTE(SUBSTITUTE(SUBSTITUTE('Calculations'!HX16,"~","~~"),"*","~*"),"?","~?"))&gt;1,"!AMBIG",IFERROR(INDEX('Calculations'!$HF$13:$HF$512,MATCH('Calculations'!HX16,'Calculations'!$HE$13:$HE$512,0)),""))))</x:f>
      </x:c>
      <x:c r="HZ16" t="str">
        <x:f>IF('Calculations'!HY16="","",IF('Calculations'!HY16="!AMBIG","!AMBIG",IF(COUNTIF('Calculations'!$HE$13:$HE$512,"="&amp;SUBSTITUTE(SUBSTITUTE(SUBSTITUTE('Calculations'!HY16,"~","~~"),"*","~*"),"?","~?"))&gt;1,"!AMBIG",IFERROR(INDEX('Calculations'!$HF$13:$HF$512,MATCH('Calculations'!HY16,'Calculations'!$HE$13:$HE$512,0)),""))))</x:f>
      </x:c>
      <x:c r="IA16" t="str">
        <x:f>IF('Calculations'!HZ16="","",IF('Calculations'!HZ16="!AMBIG","!AMBIG",IF(COUNTIF('Calculations'!$HE$13:$HE$512,"="&amp;SUBSTITUTE(SUBSTITUTE(SUBSTITUTE('Calculations'!HZ16,"~","~~"),"*","~*"),"?","~?"))&gt;1,"!AMBIG",IFERROR(INDEX('Calculations'!$HF$13:$HF$512,MATCH('Calculations'!HZ16,'Calculations'!$HE$13:$HE$512,0)),""))))</x:f>
      </x:c>
      <x:c r="IB16" t="str">
        <x:f>IF('Calculations'!IA16="","",IF('Calculations'!IA16="!AMBIG","!AMBIG",IF(COUNTIF('Calculations'!$HE$13:$HE$512,"="&amp;SUBSTITUTE(SUBSTITUTE(SUBSTITUTE('Calculations'!IA16,"~","~~"),"*","~*"),"?","~?"))&gt;1,"!AMBIG",IFERROR(INDEX('Calculations'!$HF$13:$HF$512,MATCH('Calculations'!IA16,'Calculations'!$HE$13:$HE$512,0)),""))))</x:f>
      </x:c>
      <x:c r="IC16" t="str">
        <x:f>IF('Calculations'!IB16="","",IF('Calculations'!IB16="!AMBIG","!AMBIG",IF(COUNTIF('Calculations'!$HE$13:$HE$512,"="&amp;SUBSTITUTE(SUBSTITUTE(SUBSTITUTE('Calculations'!IB16,"~","~~"),"*","~*"),"?","~?"))&gt;1,"!AMBIG",IFERROR(INDEX('Calculations'!$HF$13:$HF$512,MATCH('Calculations'!IB16,'Calculations'!$HE$13:$HE$512,0)),""))))</x:f>
      </x:c>
      <x:c r="ID16" t="str">
        <x:f>IF('Calculations'!IC16="","",IF('Calculations'!IC16="!AMBIG","!AMBIG",IF(COUNTIF('Calculations'!$HE$13:$HE$512,"="&amp;SUBSTITUTE(SUBSTITUTE(SUBSTITUTE('Calculations'!IC16,"~","~~"),"*","~*"),"?","~?"))&gt;1,"!AMBIG",IFERROR(INDEX('Calculations'!$HF$13:$HF$512,MATCH('Calculations'!IC16,'Calculations'!$HE$13:$HE$512,0)),""))))</x:f>
      </x:c>
      <x:c r="IE16" t="str">
        <x:f>IF('Calculations'!ID16="","",IF('Calculations'!ID16="!AMBIG","!AMBIG",IF(COUNTIF('Calculations'!$HE$13:$HE$512,"="&amp;SUBSTITUTE(SUBSTITUTE(SUBSTITUTE('Calculations'!ID16,"~","~~"),"*","~*"),"?","~?"))&gt;1,"!AMBIG",IFERROR(INDEX('Calculations'!$HF$13:$HF$512,MATCH('Calculations'!ID16,'Calculations'!$HE$13:$HE$512,0)),""))))</x:f>
      </x:c>
      <x:c r="IF16" t="str">
        <x:f>IF('Calculations'!IE16="","",IF('Calculations'!IE16="!AMBIG","!AMBIG",IF(COUNTIF('Calculations'!$HE$13:$HE$512,"="&amp;SUBSTITUTE(SUBSTITUTE(SUBSTITUTE('Calculations'!IE16,"~","~~"),"*","~*"),"?","~?"))&gt;1,"!AMBIG",IFERROR(INDEX('Calculations'!$HF$13:$HF$512,MATCH('Calculations'!IE16,'Calculations'!$HE$13:$HE$512,0)),""))))</x:f>
      </x:c>
      <x:c r="IG16" t="str">
        <x:f>IF('Calculations'!IF16="","",IF('Calculations'!IF16="!AMBIG","!AMBIG",IF(COUNTIF('Calculations'!$HE$13:$HE$512,"="&amp;SUBSTITUTE(SUBSTITUTE(SUBSTITUTE('Calculations'!IF16,"~","~~"),"*","~*"),"?","~?"))&gt;1,"!AMBIG",IFERROR(INDEX('Calculations'!$HF$13:$HF$512,MATCH('Calculations'!IF16,'Calculations'!$HE$13:$HE$512,0)),""))))</x:f>
      </x:c>
      <x:c r="IH16" t="str">
        <x:f>IF('Calculations'!IG16="","",IF('Calculations'!IG16="!AMBIG","!AMBIG",IF(COUNTIF('Calculations'!$HE$13:$HE$512,"="&amp;SUBSTITUTE(SUBSTITUTE(SUBSTITUTE('Calculations'!IG16,"~","~~"),"*","~*"),"?","~?"))&gt;1,"!AMBIG",IFERROR(INDEX('Calculations'!$HF$13:$HF$512,MATCH('Calculations'!IG16,'Calculations'!$HE$13:$HE$512,0)),""))))</x:f>
      </x:c>
      <x:c r="II16" t="str">
        <x:f>IF('Calculations'!IH16="","",IF('Calculations'!IH16="!AMBIG","!AMBIG",IF(COUNTIF('Calculations'!$HE$13:$HE$512,"="&amp;SUBSTITUTE(SUBSTITUTE(SUBSTITUTE('Calculations'!IH16,"~","~~"),"*","~*"),"?","~?"))&gt;1,"!AMBIG",IFERROR(INDEX('Calculations'!$HF$13:$HF$512,MATCH('Calculations'!IH16,'Calculations'!$HE$13:$HE$512,0)),""))))</x:f>
      </x:c>
      <x:c r="IJ16" t="str">
        <x:f>IF('Calculations'!EM16="","",IF('Calculations'!$EF$2="All",'Calculations'!HM16,IF('Calculations'!HL16=1,"",IFERROR(IF(MATCH('Calculations'!$EF$2,'Calculations'!HO16:II16,0)=1,'Calculations'!HE16,INDEX('Calculations'!HO16:II16,1,MATCH('Calculations'!$EF$2,'Calculations'!HO16:II16,0)-1)),""))))</x:f>
      </x:c>
      <x:c r="IK16" t="n">
        <x:f>IF(AND('Calculations'!EM16&lt;&gt;"",'Calculations'!$EF$2&lt;&gt;"All",'Calculations'!HF16='Calculations'!$EF$2,'Calculations'!HL16=0,'Calculations'!JD16&gt;0),MAX('Calculations'!$IK$12:IK15)+1,0)</x:f>
        <x:v>0</x:v>
      </x:c>
      <x:c r="JA16" t="n">
        <x:f>IF(OR(IFERROR(INDIRECT("'WCM Calibration Final'!$A$16")&lt;&gt;"",FALSE),IFERROR(INDIRECT("'WCM Calibration Final'!$B$16")&lt;&gt;"",FALSE),IFERROR(INDIRECT("'WCM Calibration Final'!$C$16")&lt;&gt;"",FALSE)),16,0)</x:f>
        <x:v>0</x:v>
      </x:c>
      <x:c r="JB16" t="n">
        <x:f>'Calculations'!JB15+IF('Calculations'!JA16&gt;0,1,0)</x:f>
        <x:v>0</x:v>
      </x:c>
      <x:c r="JC16" t="n">
        <x:f>IF(OR('Calculations'!HF16="",'Calculations'!HF16="!AMBIG"),0,IF('Dashboard'!$B$7="All",1,COUNTIFS('Calculations'!$HO$13:$HO$512,"="&amp;SUBSTITUTE(SUBSTITUTE(SUBSTITUTE('Calculations'!HF16,"~","~~"),"*","~*"),"?","~?"),'Calculations'!$HN$13:$HN$512,"="&amp;SUBSTITUTE(SUBSTITUTE(SUBSTITUTE('Dashboard'!$B$7,"~","~~"),"*","~*"),"?","~?"))+COUNTIFS('Calculations'!$HP$13:$HP$512,"="&amp;SUBSTITUTE(SUBSTITUTE(SUBSTITUTE('Calculations'!HF16,"~","~~"),"*","~*"),"?","~?"),'Calculations'!$HN$13:$HN$512,"="&amp;SUBSTITUTE(SUBSTITUTE(SUBSTITUTE('Dashboard'!$B$7,"~","~~"),"*","~*"),"?","~?"))+COUNTIFS('Calculations'!$HQ$13:$HQ$512,"="&amp;SUBSTITUTE(SUBSTITUTE(SUBSTITUTE('Calculations'!HF16,"~","~~"),"*","~*"),"?","~?"),'Calculations'!$HN$13:$HN$512,"="&amp;SUBSTITUTE(SUBSTITUTE(SUBSTITUTE('Dashboard'!$B$7,"~","~~"),"*","~*"),"?","~?"))+COUNTIFS('Calculations'!$HR$13:$HR$512,"="&amp;SUBSTITUTE(SUBSTITUTE(SUBSTITUTE('Calculations'!HF16,"~","~~"),"*","~*"),"?","~?"),'Calculations'!$HN$13:$HN$512,"="&amp;SUBSTITUTE(SUBSTITUTE(SUBSTITUTE('Dashboard'!$B$7,"~","~~"),"*","~*"),"?","~?"))+COUNTIFS('Calculations'!$HS$13:$HS$512,"="&amp;SUBSTITUTE(SUBSTITUTE(SUBSTITUTE('Calculations'!HF16,"~","~~"),"*","~*"),"?","~?"),'Calculations'!$HN$13:$HN$512,"="&amp;SUBSTITUTE(SUBSTITUTE(SUBSTITUTE('Dashboard'!$B$7,"~","~~"),"*","~*"),"?","~?"))+COUNTIFS('Calculations'!$HT$13:$HT$512,"="&amp;SUBSTITUTE(SUBSTITUTE(SUBSTITUTE('Calculations'!HF16,"~","~~"),"*","~*"),"?","~?"),'Calculations'!$HN$13:$HN$512,"="&amp;SUBSTITUTE(SUBSTITUTE(SUBSTITUTE('Dashboard'!$B$7,"~","~~"),"*","~*"),"?","~?"))+COUNTIFS('Calculations'!$HU$13:$HU$512,"="&amp;SUBSTITUTE(SUBSTITUTE(SUBSTITUTE('Calculations'!HF16,"~","~~"),"*","~*"),"?","~?"),'Calculations'!$HN$13:$HN$512,"="&amp;SUBSTITUTE(SUBSTITUTE(SUBSTITUTE('Dashboard'!$B$7,"~","~~"),"*","~*"),"?","~?"))+COUNTIFS('Calculations'!$HV$13:$HV$512,"="&amp;SUBSTITUTE(SUBSTITUTE(SUBSTITUTE('Calculations'!HF16,"~","~~"),"*","~*"),"?","~?"),'Calculations'!$HN$13:$HN$512,"="&amp;SUBSTITUTE(SUBSTITUTE(SUBSTITUTE('Dashboard'!$B$7,"~","~~"),"*","~*"),"?","~?"))+COUNTIFS('Calculations'!$HW$13:$HW$512,"="&amp;SUBSTITUTE(SUBSTITUTE(SUBSTITUTE('Calculations'!HF16,"~","~~"),"*","~*"),"?","~?"),'Calculations'!$HN$13:$HN$512,"="&amp;SUBSTITUTE(SUBSTITUTE(SUBSTITUTE('Dashboard'!$B$7,"~","~~"),"*","~*"),"?","~?"))+COUNTIFS('Calculations'!$HX$13:$HX$512,"="&amp;SUBSTITUTE(SUBSTITUTE(SUBSTITUTE('Calculations'!HF16,"~","~~"),"*","~*"),"?","~?"),'Calculations'!$HN$13:$HN$512,"="&amp;SUBSTITUTE(SUBSTITUTE(SUBSTITUTE('Dashboard'!$B$7,"~","~~"),"*","~*"),"?","~?"))+COUNTIFS('Calculations'!$HY$13:$HY$512,"="&amp;SUBSTITUTE(SUBSTITUTE(SUBSTITUTE('Calculations'!HF16,"~","~~"),"*","~*"),"?","~?"),'Calculations'!$HN$13:$HN$512,"="&amp;SUBSTITUTE(SUBSTITUTE(SUBSTITUTE('Dashboard'!$B$7,"~","~~"),"*","~*"),"?","~?"))+COUNTIFS('Calculations'!$HZ$13:$HZ$512,"="&amp;SUBSTITUTE(SUBSTITUTE(SUBSTITUTE('Calculations'!HF16,"~","~~"),"*","~*"),"?","~?"),'Calculations'!$HN$13:$HN$512,"="&amp;SUBSTITUTE(SUBSTITUTE(SUBSTITUTE('Dashboard'!$B$7,"~","~~"),"*","~*"),"?","~?"))+COUNTIFS('Calculations'!$IA$13:$IA$512,"="&amp;SUBSTITUTE(SUBSTITUTE(SUBSTITUTE('Calculations'!HF16,"~","~~"),"*","~*"),"?","~?"),'Calculations'!$HN$13:$HN$512,"="&amp;SUBSTITUTE(SUBSTITUTE(SUBSTITUTE('Dashboard'!$B$7,"~","~~"),"*","~*"),"?","~?"))+COUNTIFS('Calculations'!$IB$13:$IB$512,"="&amp;SUBSTITUTE(SUBSTITUTE(SUBSTITUTE('Calculations'!HF16,"~","~~"),"*","~*"),"?","~?"),'Calculations'!$HN$13:$HN$512,"="&amp;SUBSTITUTE(SUBSTITUTE(SUBSTITUTE('Dashboard'!$B$7,"~","~~"),"*","~*"),"?","~?"))+COUNTIFS('Calculations'!$IC$13:$IC$512,"="&amp;SUBSTITUTE(SUBSTITUTE(SUBSTITUTE('Calculations'!HF16,"~","~~"),"*","~*"),"?","~?"),'Calculations'!$HN$13:$HN$512,"="&amp;SUBSTITUTE(SUBSTITUTE(SUBSTITUTE('Dashboard'!$B$7,"~","~~"),"*","~*"),"?","~?"))+COUNTIFS('Calculations'!$ID$13:$ID$512,"="&amp;SUBSTITUTE(SUBSTITUTE(SUBSTITUTE('Calculations'!HF16,"~","~~"),"*","~*"),"?","~?"),'Calculations'!$HN$13:$HN$512,"="&amp;SUBSTITUTE(SUBSTITUTE(SUBSTITUTE('Dashboard'!$B$7,"~","~~"),"*","~*"),"?","~?"))+COUNTIFS('Calculations'!$IE$13:$IE$512,"="&amp;SUBSTITUTE(SUBSTITUTE(SUBSTITUTE('Calculations'!HF16,"~","~~"),"*","~*"),"?","~?"),'Calculations'!$HN$13:$HN$512,"="&amp;SUBSTITUTE(SUBSTITUTE(SUBSTITUTE('Dashboard'!$B$7,"~","~~"),"*","~*"),"?","~?"))+COUNTIFS('Calculations'!$IF$13:$IF$512,"="&amp;SUBSTITUTE(SUBSTITUTE(SUBSTITUTE('Calculations'!HF16,"~","~~"),"*","~*"),"?","~?"),'Calculations'!$HN$13:$HN$512,"="&amp;SUBSTITUTE(SUBSTITUTE(SUBSTITUTE('Dashboard'!$B$7,"~","~~"),"*","~*"),"?","~?"))+COUNTIFS('Calculations'!$IG$13:$IG$512,"="&amp;SUBSTITUTE(SUBSTITUTE(SUBSTITUTE('Calculations'!HF16,"~","~~"),"*","~*"),"?","~?"),'Calculations'!$HN$13:$HN$512,"="&amp;SUBSTITUTE(SUBSTITUTE(SUBSTITUTE('Dashboard'!$B$7,"~","~~"),"*","~*"),"?","~?"))+COUNTIFS('Calculations'!$IH$13:$IH$512,"="&amp;SUBSTITUTE(SUBSTITUTE(SUBSTITUTE('Calculations'!HF16,"~","~~"),"*","~*"),"?","~?"),'Calculations'!$HN$13:$HN$512,"="&amp;SUBSTITUTE(SUBSTITUTE(SUBSTITUTE('Dashboard'!$B$7,"~","~~"),"*","~*"),"?","~?"))))</x:f>
        <x:v>0</x:v>
      </x:c>
      <x:c r="JD16" t="n">
        <x:f>IF('Calculations'!EM16="",0,IF('Dashboard'!$B$7="All",1,IF('Calculations'!HN16='Dashboard'!$B$7,1,0)+IFERROR(INDEX('Calculations'!$JC$13:$JC$512,MATCH('Calculations'!HE16,'Calculations'!$HF$13:$HF$512,0)),0)))</x:f>
        <x:v>0</x:v>
      </x:c>
      <x:c r="JE16" t="n">
        <x:f>IF(AND('Calculations'!EM16&lt;&gt;"",'Calculations'!$JJ$2&lt;&gt;"All",'Calculations'!$JJ$2&lt;&gt;"",'Calculations'!HF16='Calculations'!$JJ$2,'Calculations'!HL16=0,'Calculations'!JD16&gt;0),MAX('Calculations'!$JE$12:JE15)+1,0)</x:f>
        <x:v>0</x:v>
      </x:c>
      <x:c r="JF16" t="str">
        <x:f>IF('Calculations'!EM16="","",IFERROR(IF(INDEX(INDIRECT("'WCM Calibration Final'!$G$1:$G$2000"),'Calculations'!$EM16)="","",TRIM(INDEX(INDIRECT("'WCM Calibration Final'!$G$1:$G$2000"),'Calculations'!$EM16)&amp;"")),""))</x:f>
      </x:c>
      <x:c r="JQ16" t="n">
        <x:f>IF(OR('Calculations'!BM16=0,NOT('Calculations'!$AG$2),'Calculations'!$AG$8&gt;0),0,IF(OR('Dashboard'!$B$7="All",'Calculations'!HN16='Dashboard'!$B$7),IF('Calculations'!$JJ$2="All",1,IF(AND('Calculations'!HF16='Calculations'!$JJ$2,'Calculations'!HL16=0),1,0)),0))</x:f>
        <x:v>0</x:v>
      </x:c>
    </x:row>
    <x:row r="17" ht="21" customHeight="1">
      <x:c r="A17" s="75"/>
      <x:c r="B17" s="75"/>
      <x:c r="C17" s="75"/>
      <x:c r="D17" s="75"/>
      <x:c r="E17" s="75"/>
      <x:c r="F17" s="75"/>
      <x:c r="G17" s="75"/>
      <x:c r="H17" s="75"/>
      <x:c r="I17" s="75"/>
      <x:c r="J17" s="75"/>
      <x:c r="K17" s="75"/>
      <x:c r="L17" s="75"/>
      <x:c r="M17" s="75"/>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t="n">
        <x:f>IF('Calculations'!$EM17="",0,IF(OR(IFERROR(INDEX(INDIRECT("'WCM Calibration Final'!$A$1:$A$2000"),'Calculations'!$EM17)&lt;&gt;"",FALSE),IFERROR(INDEX(INDIRECT("'WCM Calibration Final'!$B$1:$B$2000"),'Calculations'!$EM17)&lt;&gt;"",FALSE),IFERROR(INDEX(INDIRECT("'WCM Calibration Final'!$C$1:$C$2000"),'Calculations'!$EM17)&lt;&gt;"",FALSE)),1,0))</x:f>
        <x:v>0</x:v>
      </x:c>
      <x:c r="BN17" s="4" t="n">
        <x:f>IF(AND('Calculations'!BM17=1,'Calculations'!$AG$2,'Calculations'!$EN17=1),1,0)</x:f>
        <x:v>0</x:v>
      </x:c>
      <x:c r="BO17" s="4" t="str">
        <x:f>IF('Calculations'!BM17=0,"",IFERROR(IF(AND(VALUE(INDEX(INDIRECT("'WCM Calibration Final'!$K$1:$K$2000"),'Calculations'!$EM17))&gt;=1,VALUE(INDEX(INDIRECT("'WCM Calibration Final'!$K$1:$K$2000"),'Calculations'!$EM17))&lt;=4,MOD(VALUE(INDEX(INDIRECT("'WCM Calibration Final'!$K$1:$K$2000"),'Calculations'!$EM17)),1)=0),VALUE(INDEX(INDIRECT("'WCM Calibration Final'!$K$1:$K$2000"),'Calculations'!$EM17)),""),""))</x:f>
      </x:c>
      <x:c r="BP17" s="4" t="str">
        <x:f>IF('Calculations'!BM17=0,"",IFERROR(IF(AND(VALUE(INDEX(INDIRECT("'WCM Calibration Final'!$L$1:$L$2000"),'Calculations'!$EM17))&gt;=1,VALUE(INDEX(INDIRECT("'WCM Calibration Final'!$L$1:$L$2000"),'Calculations'!$EM17))&lt;=4,MOD(VALUE(INDEX(INDIRECT("'WCM Calibration Final'!$L$1:$L$2000"),'Calculations'!$EM17)),1)=0),VALUE(INDEX(INDIRECT("'WCM Calibration Final'!$L$1:$L$2000"),'Calculations'!$EM17)),""),""))</x:f>
      </x:c>
      <x:c r="BQ17" s="4"/>
      <x:c r="BR17" s="4"/>
      <x:c r="BS17" s="4"/>
      <x:c r="BT17" s="4" t="n">
        <x:f>IF(AND('Calculations'!BM17=1,ISNUMBER('Calculations'!BO17),ISNUMBER('Calculations'!BP17)),1,0)</x:f>
        <x:v>0</x:v>
      </x:c>
      <x:c r="BU17" s="4" t="str">
        <x:f>IF('Calculations'!BM17=0,"",'Calculations'!$EO17)</x:f>
      </x:c>
      <x:c r="BV17" s="4" t="str">
        <x:f>IF('Calculations'!BM17=0,"",IFERROR(IF(OR(INDEX(INDIRECT("'WCM Calibration Final'!$H$1:$H$2000"),'Calculations'!$EM17)="MANAGING DIRECTOR",INDEX(INDIRECT("'WCM Calibration Final'!$H$1:$H$2000"),'Calculations'!$EM17)="DIRECTOR",INDEX(INDIRECT("'WCM Calibration Final'!$H$1:$H$2000"),'Calculations'!$EM17)="SENIOR VICE PRESIDENT",INDEX(INDIRECT("'WCM Calibration Final'!$H$1:$H$2000"),'Calculations'!$EM17)="VICE PRESIDENT",INDEX(INDIRECT("'WCM Calibration Final'!$H$1:$H$2000"),'Calculations'!$EM17)="ASSISTANT VICE PRESIDENT",INDEX(INDIRECT("'WCM Calibration Final'!$H$1:$H$2000"),'Calculations'!$EM17)="OFFICER"),UPPER(INDEX(INDIRECT("'WCM Calibration Final'!$H$1:$H$2000"),'Calculations'!$EM17)),"Other"),"Other"))</x:f>
      </x:c>
      <x:c r="BW17" s="4"/>
      <x:c r="BX17" s="4"/>
      <x:c r="BY17" s="4" t="n">
        <x:f>IF(AND('Calculations'!BM17=1,'Calculations'!BU17&lt;&gt;"",COUNTIF('Calculations'!$BU$12:BU17,'Calculations'!BU17)=1),MAX('Calculations'!$BY$11:BY16)+1,0)</x:f>
        <x:v>0</x:v>
      </x:c>
      <x:c r="BZ17" s="4" t="str">
        <x:f>IF('Dashboard'!$E$67="What",'Calculations'!BO17,'Calculations'!BP17)</x:f>
      </x:c>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t="str">
        <x:f>IF(6&gt;MAX('Calculations'!$HI$13:$HI$512),"",INDEX('Calculations'!$HN$13:$HN$512,MATCH(6,'Calculations'!$HI$13:$HI$512,0)))</x:f>
      </x:c>
      <x:c r="DB17" s="4" t="str">
        <x:f>IF(6&gt;MAX('Calculations'!$HH$13:$HH$512),"",INDEX('Calculations'!$HJ$13:$HJ$512,MATCH(6,'Calculations'!$HH$13:$HH$512,0)))</x:f>
      </x:c>
      <x:c r="DC17" s="4" t="str">
        <x:f>IF(ROW()-11&gt;MAX('Calculations'!$BY$13:$BY$512),"",INDEX('Calculations'!$BU$13:$BU$512,MATCH(ROW()-11,'Calculations'!$BY$13:$BY$512,0)))</x:f>
      </x:c>
      <x:c r="DD17" s="4" t="str">
        <x:f>IF(6&gt;MAX('Calculations'!$IK$13:$IK$512),"",INDEX('Calculations'!$HK$13:$HK$512,MATCH(6,'Calculations'!$IK$13:$IK$512,0)))</x:f>
      </x:c>
      <x:c r="DE17" s="4" t="str">
        <x:f>'Calculations'!DC17</x:f>
      </x:c>
      <x:c r="DF17" s="4" t="str">
        <x:f>IF('Calculations'!DE17="","",COUNTIFS('Calculations'!$BN$13:$BN$512,1,'Calculations'!$BU$13:$BU$512,'Calculations'!DE17))</x:f>
      </x:c>
      <x:c r="DG17" s="4" t="str">
        <x:f>IF('Calculations'!DE17="","",COUNTIFS('Calculations'!$BN$13:$BN$512,1,'Calculations'!$BU$13:$BU$512,'Calculations'!DE17,'Calculations'!$BT$13:$BT$512,1))</x:f>
      </x:c>
      <x:c r="DH17" s="4" t="str">
        <x:f>IF('Calculations'!DE17="","",'Calculations'!DF17-'Calculations'!DG17)</x:f>
      </x:c>
      <x:c r="DI17" s="4" t="str">
        <x:f>IF(OR('Calculations'!DE17="",'Calculations'!DF17=0),"",'Calculations'!DG17/'Calculations'!DF17)</x:f>
      </x:c>
      <x:c r="DJ17" s="4" t="str">
        <x:f>IF('Calculations'!DE17="","",COUNTIFS('Calculations'!$BN$13:$BN$512,1,'Calculations'!$BU$13:$BU$512,'Calculations'!DE17,'Calculations'!$BT$13:$BT$512,1,'Calculations'!$EE$13:$EE$512,"High"))</x:f>
      </x:c>
      <x:c r="DK17" s="4" t="str">
        <x:f>IF('Calculations'!DE17="","",COUNTIFS('Calculations'!$BN$13:$BN$512,1,'Calculations'!$BU$13:$BU$512,'Calculations'!DE17,'Calculations'!$BT$13:$BT$512,1,'Calculations'!$EE$13:$EE$512,"Strong"))</x:f>
      </x:c>
      <x:c r="DL17" s="4" t="str">
        <x:f>IF('Calculations'!DE17="","",COUNTIFS('Calculations'!$BN$13:$BN$512,1,'Calculations'!$BU$13:$BU$512,'Calculations'!DE17,'Calculations'!$BT$13:$BT$512,1,'Calculations'!$EE$13:$EE$512,"Solid"))</x:f>
      </x:c>
      <x:c r="DM17" s="4" t="str">
        <x:f>IF('Calculations'!DE17="","",COUNTIFS('Calculations'!$BN$13:$BN$512,1,'Calculations'!$BU$13:$BU$512,'Calculations'!DE17,'Calculations'!$BT$13:$BT$512,1,'Calculations'!$EE$13:$EE$512,"Low"))</x:f>
      </x:c>
      <x:c r="DN17" s="4" t="str">
        <x:f>IF('Calculations'!DE17="","",COUNTIFS('Calculations'!$BN$13:$BN$512,1,'Calculations'!$BU$13:$BU$512,'Calculations'!DE17,'Calculations'!$EP$13:$EP$512,1))</x:f>
      </x:c>
      <x:c r="DO17" s="4" t="str">
        <x:f>IF(OR('Calculations'!DE17="",'Calculations'!DG17=0),"",('Calculations'!DJ17+'Calculations'!DK17)/'Calculations'!DG17)</x:f>
      </x:c>
      <x:c r="DP17" s="4" t="n">
        <x:f>IF(AND('Calculations'!DE17&lt;&gt;"",'Calculations'!DF17&gt;0),COUNTIF('Calculations'!$DF$12:DF17,"&gt;0"),0)</x:f>
        <x:v>0</x:v>
      </x:c>
      <x:c r="DQ17" s="4" t="str">
        <x:f>IF(6&gt;MAX('Calculations'!$HH$13:$HH$512),"",INDEX('Calculations'!$HF$13:$HF$512,MATCH(6,'Calculations'!$HH$13:$HH$512,0)))</x:f>
      </x:c>
      <x:c r="DR17" s="4" t="str">
        <x:f>IF(6&gt;MAX('Calculations'!$IK$13:$IK$512),"",INDEX('Calculations'!$HE$13:$HE$512,MATCH(6,'Calculations'!$IK$13:$IK$512,0)))</x:f>
      </x:c>
      <x:c r="DS17" s="4"/>
      <x:c r="DT17" s="4"/>
      <x:c r="DU17" s="4"/>
      <x:c r="DV17" s="4"/>
      <x:c r="DW17" s="4"/>
      <x:c r="DX17" s="4"/>
      <x:c r="DY17" s="4"/>
      <x:c r="DZ17" s="4"/>
      <x:c r="EA17" s="4"/>
      <x:c r="EB17" s="4"/>
      <x:c r="EC17" s="4"/>
      <x:c r="ED17" s="4"/>
      <x:c r="EE17" s="4" t="str">
        <x:f>IF('Calculations'!BT17=0,"Not Rated",IF(OR('Calculations'!BO17&gt;=4,'Calculations'!BP17&gt;=4),"Low",IF('Calculations'!BO17+'Calculations'!BP17&lt;=3,"High",IF('Calculations'!BO17+'Calculations'!BP17&lt;=4,"Strong","Solid"))))</x:f>
        <x:v>Not Rated</x:v>
      </x:c>
      <x:c r="EF17" s="4"/>
      <x:c r="EG17" s="4"/>
      <x:c r="EH17" s="4"/>
      <x:c r="EI17" s="4"/>
      <x:c r="EJ17" s="4"/>
      <x:c r="EK17" s="4"/>
      <x:c r="EL17" s="4"/>
      <x:c r="EM17" s="4" t="str">
        <x:f>IF(5&gt;'Calculations'!$JB$2000,"",INDEX('Calculations'!$JA$12:$JA$2000,MATCH(5,'Calculations'!$JB$12:$JB$2000,0)))</x:f>
      </x:c>
      <x:c r="EN17" s="4" t="n">
        <x:f>IF(OR('Calculations'!EM17="",'Calculations'!$AG$8&gt;0,AND('Calculations'!$EF$2&lt;&gt;"All",'Calculations'!HE17='Calculations'!$EF$2),AND('Calculations'!$EF$3&lt;&gt;"All",'Calculations'!HE17='Calculations'!$EF$3)),0,IF(OR('Dashboard'!$B$7="All",'Calculations'!HN17='Dashboard'!$B$7),IF('Calculations'!$EF$2="All",1,IF('Calculations'!HL17&gt;0,0,IF(COUNTIF('Calculations'!HO17:II17,"="&amp;SUBSTITUTE(SUBSTITUTE(SUBSTITUTE('Calculations'!$EF$2,"~","~~"),"*","~*"),"?","~?"))=0,0,IF('Calculations'!$EF$3="All",1,IF(COUNTIF('Calculations'!HO17:II17,"="&amp;SUBSTITUTE(SUBSTITUTE(SUBSTITUTE('Calculations'!$EF$3,"~","~~"),"*","~*"),"?","~?"))&gt;0,1,0))))),0))</x:f>
        <x:v>0</x:v>
      </x:c>
      <x:c r="EO17" s="4" t="str">
        <x:f>IF('Calculations'!IJ17="","",IF('Calculations'!IJ17="!UNRESOLVED","Unresolved hierarchy",IFERROR(INDEX('Calculations'!$HK$13:$HK$512,MATCH('Calculations'!IJ17,'Calculations'!$HE$13:$HE$512,0)),IFERROR(INDEX('Calculations'!$HJ$13:$HJ$512,MATCH('Calculations'!IJ17,'Calculations'!$HF$13:$HF$512,0)),'Calculations'!IJ17))))</x:f>
      </x:c>
      <x:c r="EP17" s="4" t="n">
        <x:f>IF(AND('Calculations'!EM17&lt;&gt;"",'Calculations'!HF17='Calculations'!IJ17),1,0)</x:f>
        <x:v>0</x:v>
      </x:c>
      <x:c r="EQ17" s="4"/>
      <x:c r="ER17" s="4"/>
      <x:c r="ES17" s="4"/>
      <x:c r="ET17" s="4"/>
      <x:c r="EU17" s="4"/>
      <x:c r="EV17" s="4"/>
      <x:c r="EW17" s="4"/>
      <x:c r="EX17" s="4"/>
      <x:c r="EY17" s="4"/>
      <x:c r="EZ17" s="4"/>
      <x:c r="FA17" s="4"/>
      <x:c r="FB17" s="4"/>
      <x:c r="FC17" s="4"/>
      <x:c r="FD17" s="4"/>
      <x:c r="FE17" s="4"/>
      <x:c r="FF17" s="4"/>
      <x:c r="FG17" s="4"/>
      <x:c r="FH17" s="4"/>
      <x:c r="FI17" s="4"/>
      <x:c r="FJ17" s="4"/>
      <x:c r="FK17" s="4"/>
      <x:c r="FL17" s="4"/>
      <x:c r="FM17" s="4"/>
      <x:c r="FN17" s="4"/>
      <x:c r="FO17" s="4"/>
      <x:c r="GA17" s="71"/>
      <x:c r="GB17" s="71" t="str">
        <x:f>"What = K (already rounded); How = L. K is used as supplied; M:N:O are not calibrated separately."</x:f>
        <x:v>What = K (already rounded); How = L. K is used as supplied; M:N:O are not calibrated separately.</x:v>
      </x:c>
      <x:c r="GC17" s="71"/>
      <x:c r="GD17" s="71"/>
      <x:c r="GE17" s="71"/>
      <x:c r="GF17" s="71"/>
      <x:c r="GG17" s="71"/>
      <x:c r="GH17" s="71"/>
      <x:c r="GI17" s="71"/>
      <x:c r="GJ17" s="71"/>
      <x:c r="GK17" s="71"/>
      <x:c r="GL17" s="71"/>
      <x:c r="GM17" s="71"/>
      <x:c r="GN17" s="71"/>
      <x:c r="GO17" s="71"/>
      <x:c r="GP17" s="71"/>
      <x:c r="GQ17" s="71"/>
      <x:c r="GR17" s="71"/>
      <x:c r="GS17" s="71"/>
      <x:c r="GT17" s="71"/>
      <x:c r="GU17" s="71"/>
      <x:c r="GV17" s="71"/>
      <x:c r="GW17" s="71"/>
      <x:c r="GX17" s="71"/>
      <x:c r="GY17" s="71"/>
      <x:c r="GZ17" s="71"/>
      <x:c r="HA17" s="71"/>
      <x:c r="HB17" s="71"/>
      <x:c r="HC17" s="71"/>
      <x:c r="HD17" s="71"/>
      <x:c r="HE17" t="str">
        <x:f>IF('Calculations'!EM17="","",IF(IFERROR(IF(INDEX(INDIRECT("'WCM Calibration Final'!$A$1:$A$2000"),'Calculations'!$EM17)="","",TRIM(INDEX(INDIRECT("'WCM Calibration Final'!$A$1:$A$2000"),'Calculations'!$EM17)&amp;"")),"")&lt;&gt;"","G:"&amp;IFERROR(TEXT(1*INDEX(INDIRECT("'WCM Calibration Final'!$A$1:$A$2000"),'Calculations'!$EM17),"0"),UPPER(IFERROR(IF(INDEX(INDIRECT("'WCM Calibration Final'!$A$1:$A$2000"),'Calculations'!$EM17)="","",TRIM(INDEX(INDIRECT("'WCM Calibration Final'!$A$1:$A$2000"),'Calculations'!$EM17)&amp;"")),""))),IF(IFERROR(IF(INDEX(INDIRECT("'WCM Calibration Final'!$C$1:$C$2000"),'Calculations'!$EM17)="","",TRIM(INDEX(INDIRECT("'WCM Calibration Final'!$C$1:$C$2000"),'Calculations'!$EM17)&amp;"")),"")&lt;&gt;"","S:"&amp;UPPER(IFERROR(IF(INDEX(INDIRECT("'WCM Calibration Final'!$C$1:$C$2000"),'Calculations'!$EM17)="","",TRIM(INDEX(INDIRECT("'WCM Calibration Final'!$C$1:$C$2000"),'Calculations'!$EM17)&amp;"")),"")),"R:"&amp;'Calculations'!EM17)))</x:f>
      </x:c>
      <x:c r="HF17" t="str">
        <x:f>IF('Calculations'!EM17="","",IF(IFERROR(IF(INDEX(INDIRECT("'WCM Calibration Final'!$D$1:$D$2000"),'Calculations'!$EM17)="","",TRIM(INDEX(INDIRECT("'WCM Calibration Final'!$D$1:$D$2000"),'Calculations'!$EM17)&amp;"")),"")&lt;&gt;"","G:"&amp;IFERROR(TEXT(1*INDEX(INDIRECT("'WCM Calibration Final'!$D$1:$D$2000"),'Calculations'!$EM17),"0"),UPPER(IFERROR(IF(INDEX(INDIRECT("'WCM Calibration Final'!$D$1:$D$2000"),'Calculations'!$EM17)="","",TRIM(INDEX(INDIRECT("'WCM Calibration Final'!$D$1:$D$2000"),'Calculations'!$EM17)&amp;"")),""))),IF(IFERROR(IF(INDEX(INDIRECT("'WCM Calibration Final'!$E$1:$E$2000"),'Calculations'!$EM17)="","",TRIM(INDEX(INDIRECT("'WCM Calibration Final'!$E$1:$E$2000"),'Calculations'!$EM17)&amp;"")),"")="","",IF(COUNTIF('Calculations'!$HG$13:$HG$512,"="&amp;SUBSTITUTE(SUBSTITUTE(SUBSTITUTE(IFERROR(IF(INDEX(INDIRECT("'WCM Calibration Final'!$E$1:$E$2000"),'Calculations'!$EM17)="","",TRIM(INDEX(INDIRECT("'WCM Calibration Final'!$E$1:$E$2000"),'Calculations'!$EM17)&amp;"")),""),"~","~~"),"*","~*"),"?","~?"))=1,INDEX('Calculations'!$HE$13:$HE$512,MATCH(IFERROR(IF(INDEX(INDIRECT("'WCM Calibration Final'!$E$1:$E$2000"),'Calculations'!$EM17)="","",TRIM(INDEX(INDIRECT("'WCM Calibration Final'!$E$1:$E$2000"),'Calculations'!$EM17)&amp;"")),""),'Calculations'!$HG$13:$HG$512,0)),IF(COUNTIF('Calculations'!$HG$13:$HG$512,"="&amp;SUBSTITUTE(SUBSTITUTE(SUBSTITUTE(IFERROR(IF(INDEX(INDIRECT("'WCM Calibration Final'!$E$1:$E$2000"),'Calculations'!$EM17)="","",TRIM(INDEX(INDIRECT("'WCM Calibration Final'!$E$1:$E$2000"),'Calculations'!$EM17)&amp;"")),""),"~","~~"),"*","~*"),"?","~?"))&gt;1,"!AMBIG","X:"&amp;IFERROR(IF(INDEX(INDIRECT("'WCM Calibration Final'!$E$1:$E$2000"),'Calculations'!$EM17)="","",TRIM(INDEX(INDIRECT("'WCM Calibration Final'!$E$1:$E$2000"),'Calculations'!$EM17)&amp;"")),""))))))</x:f>
      </x:c>
      <x:c r="HG17" t="str">
        <x:f>IF('Calculations'!EM17="","",IFERROR(IF(INDEX(INDIRECT("'WCM Calibration Final'!$B$1:$B$2000"),'Calculations'!$EM17)="","",TRIM(INDEX(INDIRECT("'WCM Calibration Final'!$B$1:$B$2000"),'Calculations'!$EM17)&amp;"")),""))</x:f>
      </x:c>
      <x:c r="HH17" t="n">
        <x:f>IF(AND('Calculations'!JC17&gt;0,COUNTIF('Calculations'!$HF$12:HF17,"="&amp;SUBSTITUTE(SUBSTITUTE(SUBSTITUTE('Calculations'!HF17,"~","~~"),"*","~*"),"?","~?"))=1),MAX('Calculations'!$HH$12:HH16)+1,0)</x:f>
        <x:v>0</x:v>
      </x:c>
      <x:c r="HI17" t="n">
        <x:f>IF(AND('Calculations'!HN17&lt;&gt;"",COUNTIF('Calculations'!$HN$12:HN17,"="&amp;SUBSTITUTE(SUBSTITUTE(SUBSTITUTE('Calculations'!HN17,"~","~~"),"*","~*"),"?","~?"))=1),MAX('Calculations'!$HI$12:HI16)+1,0)</x:f>
        <x:v>0</x:v>
      </x:c>
      <x:c r="HJ17" t="str">
        <x:f>IF('Calculations'!HF17="","",IF(COUNTIF('Calculations'!$HE$13:$HE$512,"="&amp;SUBSTITUTE(SUBSTITUTE(SUBSTITUTE('Calculations'!HF17,"~","~~"),"*","~*"),"?","~?"))=1,INDEX('Calculations'!$HK$13:$HK$512,MATCH('Calculations'!HF17,'Calculations'!$HE$13:$HE$512,0)),IFERROR(IF(INDEX(INDIRECT("'WCM Calibration Final'!$E$1:$E$2000"),'Calculations'!$EM17)="","",TRIM(INDEX(INDIRECT("'WCM Calibration Final'!$E$1:$E$2000"),'Calculations'!$EM17)&amp;"")),"")&amp;" ["&amp;'Calculations'!HF17&amp;"]"))</x:f>
      </x:c>
      <x:c r="HK17" t="str">
        <x:f>IF('Calculations'!EM17="","",'Calculations'!HG17&amp;" ["&amp;'Calculations'!HE17&amp;"]")</x:f>
      </x:c>
      <x:c r="HL17" t="n">
        <x:f>IF('Calculations'!EM17="",0,IF(OR('Calculations'!II17&lt;&gt;"",COUNTIF('Calculations'!$HE$13:$HE$512,"="&amp;SUBSTITUTE(SUBSTITUTE(SUBSTITUTE('Calculations'!HE17,"~","~~"),"*","~*"),"?","~?"))&gt;1),1,0))</x:f>
        <x:v>0</x:v>
      </x:c>
      <x:c r="HM17" t="str">
        <x:f>IF('Calculations'!EM17="","",IF('Calculations'!HL17=1,"!UNRESOLVED",IF('Calculations'!IH17&lt;&gt;"",'Calculations'!IH17,IF('Calculations'!IG17&lt;&gt;"",'Calculations'!IG17,IF('Calculations'!IF17&lt;&gt;"",'Calculations'!IF17,IF('Calculations'!IE17&lt;&gt;"",'Calculations'!IE17,IF('Calculations'!ID17&lt;&gt;"",'Calculations'!ID17,IF('Calculations'!IC17&lt;&gt;"",'Calculations'!IC17,IF('Calculations'!IB17&lt;&gt;"",'Calculations'!IB17,IF('Calculations'!IA17&lt;&gt;"",'Calculations'!IA17,IF('Calculations'!HZ17&lt;&gt;"",'Calculations'!HZ17,IF('Calculations'!HY17&lt;&gt;"",'Calculations'!HY17,IF('Calculations'!HX17&lt;&gt;"",'Calculations'!HX17,IF('Calculations'!HW17&lt;&gt;"",'Calculations'!HW17,IF('Calculations'!HV17&lt;&gt;"",'Calculations'!HV17,IF('Calculations'!HU17&lt;&gt;"",'Calculations'!HU17,IF('Calculations'!HT17&lt;&gt;"",'Calculations'!HT17,IF('Calculations'!HS17&lt;&gt;"",'Calculations'!HS17,IF('Calculations'!HR17&lt;&gt;"",'Calculations'!HR17,IF('Calculations'!HQ17&lt;&gt;"",'Calculations'!HQ17,IF('Calculations'!HP17&lt;&gt;"",'Calculations'!HP17,IF('Calculations'!HO17&lt;&gt;"",'Calculations'!HO17,'Calculations'!HE17))))))))))))))))))))))</x:f>
      </x:c>
      <x:c r="HN17" t="str">
        <x:f>IF('Calculations'!EM17="","",IF(IFERROR(IF(INDEX(INDIRECT("'WCM Calibration Final'!$F$1:$F$2000"),'Calculations'!$EM17)="","",TRIM(INDEX(INDIRECT("'WCM Calibration Final'!$F$1:$F$2000"),'Calculations'!$EM17)&amp;"")),"")="","(Blank)",IFERROR(IF(INDEX(INDIRECT("'WCM Calibration Final'!$F$1:$F$2000"),'Calculations'!$EM17)="","",TRIM(INDEX(INDIRECT("'WCM Calibration Final'!$F$1:$F$2000"),'Calculations'!$EM17)&amp;"")),"")))</x:f>
      </x:c>
      <x:c r="HO17" t="str">
        <x:f>'Calculations'!HF17</x:f>
      </x:c>
      <x:c r="HP17" t="str">
        <x:f>IF('Calculations'!HO17="","",IF('Calculations'!HO17="!AMBIG","!AMBIG",IF(COUNTIF('Calculations'!$HE$13:$HE$512,"="&amp;SUBSTITUTE(SUBSTITUTE(SUBSTITUTE('Calculations'!HO17,"~","~~"),"*","~*"),"?","~?"))&gt;1,"!AMBIG",IFERROR(INDEX('Calculations'!$HF$13:$HF$512,MATCH('Calculations'!HO17,'Calculations'!$HE$13:$HE$512,0)),""))))</x:f>
      </x:c>
      <x:c r="HQ17" t="str">
        <x:f>IF('Calculations'!HP17="","",IF('Calculations'!HP17="!AMBIG","!AMBIG",IF(COUNTIF('Calculations'!$HE$13:$HE$512,"="&amp;SUBSTITUTE(SUBSTITUTE(SUBSTITUTE('Calculations'!HP17,"~","~~"),"*","~*"),"?","~?"))&gt;1,"!AMBIG",IFERROR(INDEX('Calculations'!$HF$13:$HF$512,MATCH('Calculations'!HP17,'Calculations'!$HE$13:$HE$512,0)),""))))</x:f>
      </x:c>
      <x:c r="HR17" t="str">
        <x:f>IF('Calculations'!HQ17="","",IF('Calculations'!HQ17="!AMBIG","!AMBIG",IF(COUNTIF('Calculations'!$HE$13:$HE$512,"="&amp;SUBSTITUTE(SUBSTITUTE(SUBSTITUTE('Calculations'!HQ17,"~","~~"),"*","~*"),"?","~?"))&gt;1,"!AMBIG",IFERROR(INDEX('Calculations'!$HF$13:$HF$512,MATCH('Calculations'!HQ17,'Calculations'!$HE$13:$HE$512,0)),""))))</x:f>
      </x:c>
      <x:c r="HS17" t="str">
        <x:f>IF('Calculations'!HR17="","",IF('Calculations'!HR17="!AMBIG","!AMBIG",IF(COUNTIF('Calculations'!$HE$13:$HE$512,"="&amp;SUBSTITUTE(SUBSTITUTE(SUBSTITUTE('Calculations'!HR17,"~","~~"),"*","~*"),"?","~?"))&gt;1,"!AMBIG",IFERROR(INDEX('Calculations'!$HF$13:$HF$512,MATCH('Calculations'!HR17,'Calculations'!$HE$13:$HE$512,0)),""))))</x:f>
      </x:c>
      <x:c r="HT17" t="str">
        <x:f>IF('Calculations'!HS17="","",IF('Calculations'!HS17="!AMBIG","!AMBIG",IF(COUNTIF('Calculations'!$HE$13:$HE$512,"="&amp;SUBSTITUTE(SUBSTITUTE(SUBSTITUTE('Calculations'!HS17,"~","~~"),"*","~*"),"?","~?"))&gt;1,"!AMBIG",IFERROR(INDEX('Calculations'!$HF$13:$HF$512,MATCH('Calculations'!HS17,'Calculations'!$HE$13:$HE$512,0)),""))))</x:f>
      </x:c>
      <x:c r="HU17" t="str">
        <x:f>IF('Calculations'!HT17="","",IF('Calculations'!HT17="!AMBIG","!AMBIG",IF(COUNTIF('Calculations'!$HE$13:$HE$512,"="&amp;SUBSTITUTE(SUBSTITUTE(SUBSTITUTE('Calculations'!HT17,"~","~~"),"*","~*"),"?","~?"))&gt;1,"!AMBIG",IFERROR(INDEX('Calculations'!$HF$13:$HF$512,MATCH('Calculations'!HT17,'Calculations'!$HE$13:$HE$512,0)),""))))</x:f>
      </x:c>
      <x:c r="HV17" t="str">
        <x:f>IF('Calculations'!HU17="","",IF('Calculations'!HU17="!AMBIG","!AMBIG",IF(COUNTIF('Calculations'!$HE$13:$HE$512,"="&amp;SUBSTITUTE(SUBSTITUTE(SUBSTITUTE('Calculations'!HU17,"~","~~"),"*","~*"),"?","~?"))&gt;1,"!AMBIG",IFERROR(INDEX('Calculations'!$HF$13:$HF$512,MATCH('Calculations'!HU17,'Calculations'!$HE$13:$HE$512,0)),""))))</x:f>
      </x:c>
      <x:c r="HW17" t="str">
        <x:f>IF('Calculations'!HV17="","",IF('Calculations'!HV17="!AMBIG","!AMBIG",IF(COUNTIF('Calculations'!$HE$13:$HE$512,"="&amp;SUBSTITUTE(SUBSTITUTE(SUBSTITUTE('Calculations'!HV17,"~","~~"),"*","~*"),"?","~?"))&gt;1,"!AMBIG",IFERROR(INDEX('Calculations'!$HF$13:$HF$512,MATCH('Calculations'!HV17,'Calculations'!$HE$13:$HE$512,0)),""))))</x:f>
      </x:c>
      <x:c r="HX17" t="str">
        <x:f>IF('Calculations'!HW17="","",IF('Calculations'!HW17="!AMBIG","!AMBIG",IF(COUNTIF('Calculations'!$HE$13:$HE$512,"="&amp;SUBSTITUTE(SUBSTITUTE(SUBSTITUTE('Calculations'!HW17,"~","~~"),"*","~*"),"?","~?"))&gt;1,"!AMBIG",IFERROR(INDEX('Calculations'!$HF$13:$HF$512,MATCH('Calculations'!HW17,'Calculations'!$HE$13:$HE$512,0)),""))))</x:f>
      </x:c>
      <x:c r="HY17" t="str">
        <x:f>IF('Calculations'!HX17="","",IF('Calculations'!HX17="!AMBIG","!AMBIG",IF(COUNTIF('Calculations'!$HE$13:$HE$512,"="&amp;SUBSTITUTE(SUBSTITUTE(SUBSTITUTE('Calculations'!HX17,"~","~~"),"*","~*"),"?","~?"))&gt;1,"!AMBIG",IFERROR(INDEX('Calculations'!$HF$13:$HF$512,MATCH('Calculations'!HX17,'Calculations'!$HE$13:$HE$512,0)),""))))</x:f>
      </x:c>
      <x:c r="HZ17" t="str">
        <x:f>IF('Calculations'!HY17="","",IF('Calculations'!HY17="!AMBIG","!AMBIG",IF(COUNTIF('Calculations'!$HE$13:$HE$512,"="&amp;SUBSTITUTE(SUBSTITUTE(SUBSTITUTE('Calculations'!HY17,"~","~~"),"*","~*"),"?","~?"))&gt;1,"!AMBIG",IFERROR(INDEX('Calculations'!$HF$13:$HF$512,MATCH('Calculations'!HY17,'Calculations'!$HE$13:$HE$512,0)),""))))</x:f>
      </x:c>
      <x:c r="IA17" t="str">
        <x:f>IF('Calculations'!HZ17="","",IF('Calculations'!HZ17="!AMBIG","!AMBIG",IF(COUNTIF('Calculations'!$HE$13:$HE$512,"="&amp;SUBSTITUTE(SUBSTITUTE(SUBSTITUTE('Calculations'!HZ17,"~","~~"),"*","~*"),"?","~?"))&gt;1,"!AMBIG",IFERROR(INDEX('Calculations'!$HF$13:$HF$512,MATCH('Calculations'!HZ17,'Calculations'!$HE$13:$HE$512,0)),""))))</x:f>
      </x:c>
      <x:c r="IB17" t="str">
        <x:f>IF('Calculations'!IA17="","",IF('Calculations'!IA17="!AMBIG","!AMBIG",IF(COUNTIF('Calculations'!$HE$13:$HE$512,"="&amp;SUBSTITUTE(SUBSTITUTE(SUBSTITUTE('Calculations'!IA17,"~","~~"),"*","~*"),"?","~?"))&gt;1,"!AMBIG",IFERROR(INDEX('Calculations'!$HF$13:$HF$512,MATCH('Calculations'!IA17,'Calculations'!$HE$13:$HE$512,0)),""))))</x:f>
      </x:c>
      <x:c r="IC17" t="str">
        <x:f>IF('Calculations'!IB17="","",IF('Calculations'!IB17="!AMBIG","!AMBIG",IF(COUNTIF('Calculations'!$HE$13:$HE$512,"="&amp;SUBSTITUTE(SUBSTITUTE(SUBSTITUTE('Calculations'!IB17,"~","~~"),"*","~*"),"?","~?"))&gt;1,"!AMBIG",IFERROR(INDEX('Calculations'!$HF$13:$HF$512,MATCH('Calculations'!IB17,'Calculations'!$HE$13:$HE$512,0)),""))))</x:f>
      </x:c>
      <x:c r="ID17" t="str">
        <x:f>IF('Calculations'!IC17="","",IF('Calculations'!IC17="!AMBIG","!AMBIG",IF(COUNTIF('Calculations'!$HE$13:$HE$512,"="&amp;SUBSTITUTE(SUBSTITUTE(SUBSTITUTE('Calculations'!IC17,"~","~~"),"*","~*"),"?","~?"))&gt;1,"!AMBIG",IFERROR(INDEX('Calculations'!$HF$13:$HF$512,MATCH('Calculations'!IC17,'Calculations'!$HE$13:$HE$512,0)),""))))</x:f>
      </x:c>
      <x:c r="IE17" t="str">
        <x:f>IF('Calculations'!ID17="","",IF('Calculations'!ID17="!AMBIG","!AMBIG",IF(COUNTIF('Calculations'!$HE$13:$HE$512,"="&amp;SUBSTITUTE(SUBSTITUTE(SUBSTITUTE('Calculations'!ID17,"~","~~"),"*","~*"),"?","~?"))&gt;1,"!AMBIG",IFERROR(INDEX('Calculations'!$HF$13:$HF$512,MATCH('Calculations'!ID17,'Calculations'!$HE$13:$HE$512,0)),""))))</x:f>
      </x:c>
      <x:c r="IF17" t="str">
        <x:f>IF('Calculations'!IE17="","",IF('Calculations'!IE17="!AMBIG","!AMBIG",IF(COUNTIF('Calculations'!$HE$13:$HE$512,"="&amp;SUBSTITUTE(SUBSTITUTE(SUBSTITUTE('Calculations'!IE17,"~","~~"),"*","~*"),"?","~?"))&gt;1,"!AMBIG",IFERROR(INDEX('Calculations'!$HF$13:$HF$512,MATCH('Calculations'!IE17,'Calculations'!$HE$13:$HE$512,0)),""))))</x:f>
      </x:c>
      <x:c r="IG17" t="str">
        <x:f>IF('Calculations'!IF17="","",IF('Calculations'!IF17="!AMBIG","!AMBIG",IF(COUNTIF('Calculations'!$HE$13:$HE$512,"="&amp;SUBSTITUTE(SUBSTITUTE(SUBSTITUTE('Calculations'!IF17,"~","~~"),"*","~*"),"?","~?"))&gt;1,"!AMBIG",IFERROR(INDEX('Calculations'!$HF$13:$HF$512,MATCH('Calculations'!IF17,'Calculations'!$HE$13:$HE$512,0)),""))))</x:f>
      </x:c>
      <x:c r="IH17" t="str">
        <x:f>IF('Calculations'!IG17="","",IF('Calculations'!IG17="!AMBIG","!AMBIG",IF(COUNTIF('Calculations'!$HE$13:$HE$512,"="&amp;SUBSTITUTE(SUBSTITUTE(SUBSTITUTE('Calculations'!IG17,"~","~~"),"*","~*"),"?","~?"))&gt;1,"!AMBIG",IFERROR(INDEX('Calculations'!$HF$13:$HF$512,MATCH('Calculations'!IG17,'Calculations'!$HE$13:$HE$512,0)),""))))</x:f>
      </x:c>
      <x:c r="II17" t="str">
        <x:f>IF('Calculations'!IH17="","",IF('Calculations'!IH17="!AMBIG","!AMBIG",IF(COUNTIF('Calculations'!$HE$13:$HE$512,"="&amp;SUBSTITUTE(SUBSTITUTE(SUBSTITUTE('Calculations'!IH17,"~","~~"),"*","~*"),"?","~?"))&gt;1,"!AMBIG",IFERROR(INDEX('Calculations'!$HF$13:$HF$512,MATCH('Calculations'!IH17,'Calculations'!$HE$13:$HE$512,0)),""))))</x:f>
      </x:c>
      <x:c r="IJ17" t="str">
        <x:f>IF('Calculations'!EM17="","",IF('Calculations'!$EF$2="All",'Calculations'!HM17,IF('Calculations'!HL17=1,"",IFERROR(IF(MATCH('Calculations'!$EF$2,'Calculations'!HO17:II17,0)=1,'Calculations'!HE17,INDEX('Calculations'!HO17:II17,1,MATCH('Calculations'!$EF$2,'Calculations'!HO17:II17,0)-1)),""))))</x:f>
      </x:c>
      <x:c r="IK17" t="n">
        <x:f>IF(AND('Calculations'!EM17&lt;&gt;"",'Calculations'!$EF$2&lt;&gt;"All",'Calculations'!HF17='Calculations'!$EF$2,'Calculations'!HL17=0,'Calculations'!JD17&gt;0),MAX('Calculations'!$IK$12:IK16)+1,0)</x:f>
        <x:v>0</x:v>
      </x:c>
      <x:c r="JA17" t="n">
        <x:f>IF(OR(IFERROR(INDIRECT("'WCM Calibration Final'!$A$17")&lt;&gt;"",FALSE),IFERROR(INDIRECT("'WCM Calibration Final'!$B$17")&lt;&gt;"",FALSE),IFERROR(INDIRECT("'WCM Calibration Final'!$C$17")&lt;&gt;"",FALSE)),17,0)</x:f>
        <x:v>0</x:v>
      </x:c>
      <x:c r="JB17" t="n">
        <x:f>'Calculations'!JB16+IF('Calculations'!JA17&gt;0,1,0)</x:f>
        <x:v>0</x:v>
      </x:c>
      <x:c r="JC17" t="n">
        <x:f>IF(OR('Calculations'!HF17="",'Calculations'!HF17="!AMBIG"),0,IF('Dashboard'!$B$7="All",1,COUNTIFS('Calculations'!$HO$13:$HO$512,"="&amp;SUBSTITUTE(SUBSTITUTE(SUBSTITUTE('Calculations'!HF17,"~","~~"),"*","~*"),"?","~?"),'Calculations'!$HN$13:$HN$512,"="&amp;SUBSTITUTE(SUBSTITUTE(SUBSTITUTE('Dashboard'!$B$7,"~","~~"),"*","~*"),"?","~?"))+COUNTIFS('Calculations'!$HP$13:$HP$512,"="&amp;SUBSTITUTE(SUBSTITUTE(SUBSTITUTE('Calculations'!HF17,"~","~~"),"*","~*"),"?","~?"),'Calculations'!$HN$13:$HN$512,"="&amp;SUBSTITUTE(SUBSTITUTE(SUBSTITUTE('Dashboard'!$B$7,"~","~~"),"*","~*"),"?","~?"))+COUNTIFS('Calculations'!$HQ$13:$HQ$512,"="&amp;SUBSTITUTE(SUBSTITUTE(SUBSTITUTE('Calculations'!HF17,"~","~~"),"*","~*"),"?","~?"),'Calculations'!$HN$13:$HN$512,"="&amp;SUBSTITUTE(SUBSTITUTE(SUBSTITUTE('Dashboard'!$B$7,"~","~~"),"*","~*"),"?","~?"))+COUNTIFS('Calculations'!$HR$13:$HR$512,"="&amp;SUBSTITUTE(SUBSTITUTE(SUBSTITUTE('Calculations'!HF17,"~","~~"),"*","~*"),"?","~?"),'Calculations'!$HN$13:$HN$512,"="&amp;SUBSTITUTE(SUBSTITUTE(SUBSTITUTE('Dashboard'!$B$7,"~","~~"),"*","~*"),"?","~?"))+COUNTIFS('Calculations'!$HS$13:$HS$512,"="&amp;SUBSTITUTE(SUBSTITUTE(SUBSTITUTE('Calculations'!HF17,"~","~~"),"*","~*"),"?","~?"),'Calculations'!$HN$13:$HN$512,"="&amp;SUBSTITUTE(SUBSTITUTE(SUBSTITUTE('Dashboard'!$B$7,"~","~~"),"*","~*"),"?","~?"))+COUNTIFS('Calculations'!$HT$13:$HT$512,"="&amp;SUBSTITUTE(SUBSTITUTE(SUBSTITUTE('Calculations'!HF17,"~","~~"),"*","~*"),"?","~?"),'Calculations'!$HN$13:$HN$512,"="&amp;SUBSTITUTE(SUBSTITUTE(SUBSTITUTE('Dashboard'!$B$7,"~","~~"),"*","~*"),"?","~?"))+COUNTIFS('Calculations'!$HU$13:$HU$512,"="&amp;SUBSTITUTE(SUBSTITUTE(SUBSTITUTE('Calculations'!HF17,"~","~~"),"*","~*"),"?","~?"),'Calculations'!$HN$13:$HN$512,"="&amp;SUBSTITUTE(SUBSTITUTE(SUBSTITUTE('Dashboard'!$B$7,"~","~~"),"*","~*"),"?","~?"))+COUNTIFS('Calculations'!$HV$13:$HV$512,"="&amp;SUBSTITUTE(SUBSTITUTE(SUBSTITUTE('Calculations'!HF17,"~","~~"),"*","~*"),"?","~?"),'Calculations'!$HN$13:$HN$512,"="&amp;SUBSTITUTE(SUBSTITUTE(SUBSTITUTE('Dashboard'!$B$7,"~","~~"),"*","~*"),"?","~?"))+COUNTIFS('Calculations'!$HW$13:$HW$512,"="&amp;SUBSTITUTE(SUBSTITUTE(SUBSTITUTE('Calculations'!HF17,"~","~~"),"*","~*"),"?","~?"),'Calculations'!$HN$13:$HN$512,"="&amp;SUBSTITUTE(SUBSTITUTE(SUBSTITUTE('Dashboard'!$B$7,"~","~~"),"*","~*"),"?","~?"))+COUNTIFS('Calculations'!$HX$13:$HX$512,"="&amp;SUBSTITUTE(SUBSTITUTE(SUBSTITUTE('Calculations'!HF17,"~","~~"),"*","~*"),"?","~?"),'Calculations'!$HN$13:$HN$512,"="&amp;SUBSTITUTE(SUBSTITUTE(SUBSTITUTE('Dashboard'!$B$7,"~","~~"),"*","~*"),"?","~?"))+COUNTIFS('Calculations'!$HY$13:$HY$512,"="&amp;SUBSTITUTE(SUBSTITUTE(SUBSTITUTE('Calculations'!HF17,"~","~~"),"*","~*"),"?","~?"),'Calculations'!$HN$13:$HN$512,"="&amp;SUBSTITUTE(SUBSTITUTE(SUBSTITUTE('Dashboard'!$B$7,"~","~~"),"*","~*"),"?","~?"))+COUNTIFS('Calculations'!$HZ$13:$HZ$512,"="&amp;SUBSTITUTE(SUBSTITUTE(SUBSTITUTE('Calculations'!HF17,"~","~~"),"*","~*"),"?","~?"),'Calculations'!$HN$13:$HN$512,"="&amp;SUBSTITUTE(SUBSTITUTE(SUBSTITUTE('Dashboard'!$B$7,"~","~~"),"*","~*"),"?","~?"))+COUNTIFS('Calculations'!$IA$13:$IA$512,"="&amp;SUBSTITUTE(SUBSTITUTE(SUBSTITUTE('Calculations'!HF17,"~","~~"),"*","~*"),"?","~?"),'Calculations'!$HN$13:$HN$512,"="&amp;SUBSTITUTE(SUBSTITUTE(SUBSTITUTE('Dashboard'!$B$7,"~","~~"),"*","~*"),"?","~?"))+COUNTIFS('Calculations'!$IB$13:$IB$512,"="&amp;SUBSTITUTE(SUBSTITUTE(SUBSTITUTE('Calculations'!HF17,"~","~~"),"*","~*"),"?","~?"),'Calculations'!$HN$13:$HN$512,"="&amp;SUBSTITUTE(SUBSTITUTE(SUBSTITUTE('Dashboard'!$B$7,"~","~~"),"*","~*"),"?","~?"))+COUNTIFS('Calculations'!$IC$13:$IC$512,"="&amp;SUBSTITUTE(SUBSTITUTE(SUBSTITUTE('Calculations'!HF17,"~","~~"),"*","~*"),"?","~?"),'Calculations'!$HN$13:$HN$512,"="&amp;SUBSTITUTE(SUBSTITUTE(SUBSTITUTE('Dashboard'!$B$7,"~","~~"),"*","~*"),"?","~?"))+COUNTIFS('Calculations'!$ID$13:$ID$512,"="&amp;SUBSTITUTE(SUBSTITUTE(SUBSTITUTE('Calculations'!HF17,"~","~~"),"*","~*"),"?","~?"),'Calculations'!$HN$13:$HN$512,"="&amp;SUBSTITUTE(SUBSTITUTE(SUBSTITUTE('Dashboard'!$B$7,"~","~~"),"*","~*"),"?","~?"))+COUNTIFS('Calculations'!$IE$13:$IE$512,"="&amp;SUBSTITUTE(SUBSTITUTE(SUBSTITUTE('Calculations'!HF17,"~","~~"),"*","~*"),"?","~?"),'Calculations'!$HN$13:$HN$512,"="&amp;SUBSTITUTE(SUBSTITUTE(SUBSTITUTE('Dashboard'!$B$7,"~","~~"),"*","~*"),"?","~?"))+COUNTIFS('Calculations'!$IF$13:$IF$512,"="&amp;SUBSTITUTE(SUBSTITUTE(SUBSTITUTE('Calculations'!HF17,"~","~~"),"*","~*"),"?","~?"),'Calculations'!$HN$13:$HN$512,"="&amp;SUBSTITUTE(SUBSTITUTE(SUBSTITUTE('Dashboard'!$B$7,"~","~~"),"*","~*"),"?","~?"))+COUNTIFS('Calculations'!$IG$13:$IG$512,"="&amp;SUBSTITUTE(SUBSTITUTE(SUBSTITUTE('Calculations'!HF17,"~","~~"),"*","~*"),"?","~?"),'Calculations'!$HN$13:$HN$512,"="&amp;SUBSTITUTE(SUBSTITUTE(SUBSTITUTE('Dashboard'!$B$7,"~","~~"),"*","~*"),"?","~?"))+COUNTIFS('Calculations'!$IH$13:$IH$512,"="&amp;SUBSTITUTE(SUBSTITUTE(SUBSTITUTE('Calculations'!HF17,"~","~~"),"*","~*"),"?","~?"),'Calculations'!$HN$13:$HN$512,"="&amp;SUBSTITUTE(SUBSTITUTE(SUBSTITUTE('Dashboard'!$B$7,"~","~~"),"*","~*"),"?","~?"))))</x:f>
        <x:v>0</x:v>
      </x:c>
      <x:c r="JD17" t="n">
        <x:f>IF('Calculations'!EM17="",0,IF('Dashboard'!$B$7="All",1,IF('Calculations'!HN17='Dashboard'!$B$7,1,0)+IFERROR(INDEX('Calculations'!$JC$13:$JC$512,MATCH('Calculations'!HE17,'Calculations'!$HF$13:$HF$512,0)),0)))</x:f>
        <x:v>0</x:v>
      </x:c>
      <x:c r="JE17" t="n">
        <x:f>IF(AND('Calculations'!EM17&lt;&gt;"",'Calculations'!$JJ$2&lt;&gt;"All",'Calculations'!$JJ$2&lt;&gt;"",'Calculations'!HF17='Calculations'!$JJ$2,'Calculations'!HL17=0,'Calculations'!JD17&gt;0),MAX('Calculations'!$JE$12:JE16)+1,0)</x:f>
        <x:v>0</x:v>
      </x:c>
      <x:c r="JF17" t="str">
        <x:f>IF('Calculations'!EM17="","",IFERROR(IF(INDEX(INDIRECT("'WCM Calibration Final'!$G$1:$G$2000"),'Calculations'!$EM17)="","",TRIM(INDEX(INDIRECT("'WCM Calibration Final'!$G$1:$G$2000"),'Calculations'!$EM17)&amp;"")),""))</x:f>
      </x:c>
      <x:c r="JQ17" t="n">
        <x:f>IF(OR('Calculations'!BM17=0,NOT('Calculations'!$AG$2),'Calculations'!$AG$8&gt;0),0,IF(OR('Dashboard'!$B$7="All",'Calculations'!HN17='Dashboard'!$B$7),IF('Calculations'!$JJ$2="All",1,IF(AND('Calculations'!HF17='Calculations'!$JJ$2,'Calculations'!HL17=0),1,0)),0))</x:f>
        <x:v>0</x:v>
      </x:c>
    </x:row>
    <x:row r="18" ht="21" customHeight="1">
      <x:c r="A18" s="75"/>
      <x:c r="B18" s="75"/>
      <x:c r="C18" s="75"/>
      <x:c r="D18" s="75"/>
      <x:c r="E18" s="75"/>
      <x:c r="F18" s="75"/>
      <x:c r="G18" s="75"/>
      <x:c r="H18" s="75"/>
      <x:c r="I18" s="75"/>
      <x:c r="J18" s="75"/>
      <x:c r="K18" s="75"/>
      <x:c r="L18" s="75"/>
      <x:c r="M18" s="75"/>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t="n">
        <x:f>IF('Calculations'!$EM18="",0,IF(OR(IFERROR(INDEX(INDIRECT("'WCM Calibration Final'!$A$1:$A$2000"),'Calculations'!$EM18)&lt;&gt;"",FALSE),IFERROR(INDEX(INDIRECT("'WCM Calibration Final'!$B$1:$B$2000"),'Calculations'!$EM18)&lt;&gt;"",FALSE),IFERROR(INDEX(INDIRECT("'WCM Calibration Final'!$C$1:$C$2000"),'Calculations'!$EM18)&lt;&gt;"",FALSE)),1,0))</x:f>
        <x:v>0</x:v>
      </x:c>
      <x:c r="BN18" s="4" t="n">
        <x:f>IF(AND('Calculations'!BM18=1,'Calculations'!$AG$2,'Calculations'!$EN18=1),1,0)</x:f>
        <x:v>0</x:v>
      </x:c>
      <x:c r="BO18" s="4" t="str">
        <x:f>IF('Calculations'!BM18=0,"",IFERROR(IF(AND(VALUE(INDEX(INDIRECT("'WCM Calibration Final'!$K$1:$K$2000"),'Calculations'!$EM18))&gt;=1,VALUE(INDEX(INDIRECT("'WCM Calibration Final'!$K$1:$K$2000"),'Calculations'!$EM18))&lt;=4,MOD(VALUE(INDEX(INDIRECT("'WCM Calibration Final'!$K$1:$K$2000"),'Calculations'!$EM18)),1)=0),VALUE(INDEX(INDIRECT("'WCM Calibration Final'!$K$1:$K$2000"),'Calculations'!$EM18)),""),""))</x:f>
      </x:c>
      <x:c r="BP18" s="4" t="str">
        <x:f>IF('Calculations'!BM18=0,"",IFERROR(IF(AND(VALUE(INDEX(INDIRECT("'WCM Calibration Final'!$L$1:$L$2000"),'Calculations'!$EM18))&gt;=1,VALUE(INDEX(INDIRECT("'WCM Calibration Final'!$L$1:$L$2000"),'Calculations'!$EM18))&lt;=4,MOD(VALUE(INDEX(INDIRECT("'WCM Calibration Final'!$L$1:$L$2000"),'Calculations'!$EM18)),1)=0),VALUE(INDEX(INDIRECT("'WCM Calibration Final'!$L$1:$L$2000"),'Calculations'!$EM18)),""),""))</x:f>
      </x:c>
      <x:c r="BQ18" s="4"/>
      <x:c r="BR18" s="4"/>
      <x:c r="BS18" s="4"/>
      <x:c r="BT18" s="4" t="n">
        <x:f>IF(AND('Calculations'!BM18=1,ISNUMBER('Calculations'!BO18),ISNUMBER('Calculations'!BP18)),1,0)</x:f>
        <x:v>0</x:v>
      </x:c>
      <x:c r="BU18" s="4" t="str">
        <x:f>IF('Calculations'!BM18=0,"",'Calculations'!$EO18)</x:f>
      </x:c>
      <x:c r="BV18" s="4" t="str">
        <x:f>IF('Calculations'!BM18=0,"",IFERROR(IF(OR(INDEX(INDIRECT("'WCM Calibration Final'!$H$1:$H$2000"),'Calculations'!$EM18)="MANAGING DIRECTOR",INDEX(INDIRECT("'WCM Calibration Final'!$H$1:$H$2000"),'Calculations'!$EM18)="DIRECTOR",INDEX(INDIRECT("'WCM Calibration Final'!$H$1:$H$2000"),'Calculations'!$EM18)="SENIOR VICE PRESIDENT",INDEX(INDIRECT("'WCM Calibration Final'!$H$1:$H$2000"),'Calculations'!$EM18)="VICE PRESIDENT",INDEX(INDIRECT("'WCM Calibration Final'!$H$1:$H$2000"),'Calculations'!$EM18)="ASSISTANT VICE PRESIDENT",INDEX(INDIRECT("'WCM Calibration Final'!$H$1:$H$2000"),'Calculations'!$EM18)="OFFICER"),UPPER(INDEX(INDIRECT("'WCM Calibration Final'!$H$1:$H$2000"),'Calculations'!$EM18)),"Other"),"Other"))</x:f>
      </x:c>
      <x:c r="BW18" s="4"/>
      <x:c r="BX18" s="4"/>
      <x:c r="BY18" s="4" t="n">
        <x:f>IF(AND('Calculations'!BM18=1,'Calculations'!BU18&lt;&gt;"",COUNTIF('Calculations'!$BU$12:BU18,'Calculations'!BU18)=1),MAX('Calculations'!$BY$11:BY17)+1,0)</x:f>
        <x:v>0</x:v>
      </x:c>
      <x:c r="BZ18" s="4" t="str">
        <x:f>IF('Dashboard'!$E$67="What",'Calculations'!BO18,'Calculations'!BP18)</x:f>
      </x:c>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t="str">
        <x:f>IF(7&gt;MAX('Calculations'!$HI$13:$HI$512),"",INDEX('Calculations'!$HN$13:$HN$512,MATCH(7,'Calculations'!$HI$13:$HI$512,0)))</x:f>
      </x:c>
      <x:c r="DB18" s="4" t="str">
        <x:f>IF(7&gt;MAX('Calculations'!$HH$13:$HH$512),"",INDEX('Calculations'!$HJ$13:$HJ$512,MATCH(7,'Calculations'!$HH$13:$HH$512,0)))</x:f>
      </x:c>
      <x:c r="DC18" s="4" t="str">
        <x:f>IF(ROW()-11&gt;MAX('Calculations'!$BY$13:$BY$512),"",INDEX('Calculations'!$BU$13:$BU$512,MATCH(ROW()-11,'Calculations'!$BY$13:$BY$512,0)))</x:f>
      </x:c>
      <x:c r="DD18" s="4" t="str">
        <x:f>IF(7&gt;MAX('Calculations'!$IK$13:$IK$512),"",INDEX('Calculations'!$HK$13:$HK$512,MATCH(7,'Calculations'!$IK$13:$IK$512,0)))</x:f>
      </x:c>
      <x:c r="DE18" s="4" t="str">
        <x:f>'Calculations'!DC18</x:f>
      </x:c>
      <x:c r="DF18" s="4" t="str">
        <x:f>IF('Calculations'!DE18="","",COUNTIFS('Calculations'!$BN$13:$BN$512,1,'Calculations'!$BU$13:$BU$512,'Calculations'!DE18))</x:f>
      </x:c>
      <x:c r="DG18" s="4" t="str">
        <x:f>IF('Calculations'!DE18="","",COUNTIFS('Calculations'!$BN$13:$BN$512,1,'Calculations'!$BU$13:$BU$512,'Calculations'!DE18,'Calculations'!$BT$13:$BT$512,1))</x:f>
      </x:c>
      <x:c r="DH18" s="4" t="str">
        <x:f>IF('Calculations'!DE18="","",'Calculations'!DF18-'Calculations'!DG18)</x:f>
      </x:c>
      <x:c r="DI18" s="4" t="str">
        <x:f>IF(OR('Calculations'!DE18="",'Calculations'!DF18=0),"",'Calculations'!DG18/'Calculations'!DF18)</x:f>
      </x:c>
      <x:c r="DJ18" s="4" t="str">
        <x:f>IF('Calculations'!DE18="","",COUNTIFS('Calculations'!$BN$13:$BN$512,1,'Calculations'!$BU$13:$BU$512,'Calculations'!DE18,'Calculations'!$BT$13:$BT$512,1,'Calculations'!$EE$13:$EE$512,"High"))</x:f>
      </x:c>
      <x:c r="DK18" s="4" t="str">
        <x:f>IF('Calculations'!DE18="","",COUNTIFS('Calculations'!$BN$13:$BN$512,1,'Calculations'!$BU$13:$BU$512,'Calculations'!DE18,'Calculations'!$BT$13:$BT$512,1,'Calculations'!$EE$13:$EE$512,"Strong"))</x:f>
      </x:c>
      <x:c r="DL18" s="4" t="str">
        <x:f>IF('Calculations'!DE18="","",COUNTIFS('Calculations'!$BN$13:$BN$512,1,'Calculations'!$BU$13:$BU$512,'Calculations'!DE18,'Calculations'!$BT$13:$BT$512,1,'Calculations'!$EE$13:$EE$512,"Solid"))</x:f>
      </x:c>
      <x:c r="DM18" s="4" t="str">
        <x:f>IF('Calculations'!DE18="","",COUNTIFS('Calculations'!$BN$13:$BN$512,1,'Calculations'!$BU$13:$BU$512,'Calculations'!DE18,'Calculations'!$BT$13:$BT$512,1,'Calculations'!$EE$13:$EE$512,"Low"))</x:f>
      </x:c>
      <x:c r="DN18" s="4" t="str">
        <x:f>IF('Calculations'!DE18="","",COUNTIFS('Calculations'!$BN$13:$BN$512,1,'Calculations'!$BU$13:$BU$512,'Calculations'!DE18,'Calculations'!$EP$13:$EP$512,1))</x:f>
      </x:c>
      <x:c r="DO18" s="4" t="str">
        <x:f>IF(OR('Calculations'!DE18="",'Calculations'!DG18=0),"",('Calculations'!DJ18+'Calculations'!DK18)/'Calculations'!DG18)</x:f>
      </x:c>
      <x:c r="DP18" s="4" t="n">
        <x:f>IF(AND('Calculations'!DE18&lt;&gt;"",'Calculations'!DF18&gt;0),COUNTIF('Calculations'!$DF$12:DF18,"&gt;0"),0)</x:f>
        <x:v>0</x:v>
      </x:c>
      <x:c r="DQ18" s="4" t="str">
        <x:f>IF(7&gt;MAX('Calculations'!$HH$13:$HH$512),"",INDEX('Calculations'!$HF$13:$HF$512,MATCH(7,'Calculations'!$HH$13:$HH$512,0)))</x:f>
      </x:c>
      <x:c r="DR18" s="4" t="str">
        <x:f>IF(7&gt;MAX('Calculations'!$IK$13:$IK$512),"",INDEX('Calculations'!$HE$13:$HE$512,MATCH(7,'Calculations'!$IK$13:$IK$512,0)))</x:f>
      </x:c>
      <x:c r="DS18" s="4"/>
      <x:c r="DT18" s="4"/>
      <x:c r="DU18" s="4"/>
      <x:c r="DV18" s="4"/>
      <x:c r="DW18" s="4"/>
      <x:c r="DX18" s="4"/>
      <x:c r="DY18" s="4"/>
      <x:c r="DZ18" s="4"/>
      <x:c r="EA18" s="4"/>
      <x:c r="EB18" s="4"/>
      <x:c r="EC18" s="4"/>
      <x:c r="ED18" s="4"/>
      <x:c r="EE18" s="4" t="str">
        <x:f>IF('Calculations'!BT18=0,"Not Rated",IF(OR('Calculations'!BO18&gt;=4,'Calculations'!BP18&gt;=4),"Low",IF('Calculations'!BO18+'Calculations'!BP18&lt;=3,"High",IF('Calculations'!BO18+'Calculations'!BP18&lt;=4,"Strong","Solid"))))</x:f>
        <x:v>Not Rated</x:v>
      </x:c>
      <x:c r="EF18" s="4"/>
      <x:c r="EG18" s="4"/>
      <x:c r="EH18" s="4"/>
      <x:c r="EI18" s="4"/>
      <x:c r="EJ18" s="4"/>
      <x:c r="EK18" s="4"/>
      <x:c r="EL18" s="4"/>
      <x:c r="EM18" s="4" t="str">
        <x:f>IF(6&gt;'Calculations'!$JB$2000,"",INDEX('Calculations'!$JA$12:$JA$2000,MATCH(6,'Calculations'!$JB$12:$JB$2000,0)))</x:f>
      </x:c>
      <x:c r="EN18" s="4" t="n">
        <x:f>IF(OR('Calculations'!EM18="",'Calculations'!$AG$8&gt;0,AND('Calculations'!$EF$2&lt;&gt;"All",'Calculations'!HE18='Calculations'!$EF$2),AND('Calculations'!$EF$3&lt;&gt;"All",'Calculations'!HE18='Calculations'!$EF$3)),0,IF(OR('Dashboard'!$B$7="All",'Calculations'!HN18='Dashboard'!$B$7),IF('Calculations'!$EF$2="All",1,IF('Calculations'!HL18&gt;0,0,IF(COUNTIF('Calculations'!HO18:II18,"="&amp;SUBSTITUTE(SUBSTITUTE(SUBSTITUTE('Calculations'!$EF$2,"~","~~"),"*","~*"),"?","~?"))=0,0,IF('Calculations'!$EF$3="All",1,IF(COUNTIF('Calculations'!HO18:II18,"="&amp;SUBSTITUTE(SUBSTITUTE(SUBSTITUTE('Calculations'!$EF$3,"~","~~"),"*","~*"),"?","~?"))&gt;0,1,0))))),0))</x:f>
        <x:v>0</x:v>
      </x:c>
      <x:c r="EO18" s="4" t="str">
        <x:f>IF('Calculations'!IJ18="","",IF('Calculations'!IJ18="!UNRESOLVED","Unresolved hierarchy",IFERROR(INDEX('Calculations'!$HK$13:$HK$512,MATCH('Calculations'!IJ18,'Calculations'!$HE$13:$HE$512,0)),IFERROR(INDEX('Calculations'!$HJ$13:$HJ$512,MATCH('Calculations'!IJ18,'Calculations'!$HF$13:$HF$512,0)),'Calculations'!IJ18))))</x:f>
      </x:c>
      <x:c r="EP18" s="4" t="n">
        <x:f>IF(AND('Calculations'!EM18&lt;&gt;"",'Calculations'!HF18='Calculations'!IJ18),1,0)</x:f>
        <x:v>0</x:v>
      </x:c>
      <x:c r="EQ18" s="4"/>
      <x:c r="ER18" s="4"/>
      <x:c r="ES18" s="4"/>
      <x:c r="ET18" s="4"/>
      <x:c r="EU18" s="4"/>
      <x:c r="EV18" s="4"/>
      <x:c r="EW18" s="4"/>
      <x:c r="EX18" s="4"/>
      <x:c r="EY18" s="4"/>
      <x:c r="EZ18" s="4"/>
      <x:c r="FA18" s="4"/>
      <x:c r="FB18" s="4"/>
      <x:c r="FC18" s="4"/>
      <x:c r="FD18" s="4"/>
      <x:c r="FE18" s="4"/>
      <x:c r="FF18" s="4"/>
      <x:c r="FG18" s="4"/>
      <x:c r="FH18" s="4"/>
      <x:c r="FI18" s="4"/>
      <x:c r="FJ18" s="4"/>
      <x:c r="FK18" s="4"/>
      <x:c r="FL18" s="4"/>
      <x:c r="FM18" s="4"/>
      <x:c r="FN18" s="4"/>
      <x:c r="FO18" s="4"/>
      <x:c r="GA18" s="71"/>
      <x:c r="GB18" s="71"/>
      <x:c r="GC18" s="71"/>
      <x:c r="GD18" s="71"/>
      <x:c r="GE18" s="71"/>
      <x:c r="GF18" s="71"/>
      <x:c r="GG18" s="71"/>
      <x:c r="GH18" s="71"/>
      <x:c r="GI18" s="71"/>
      <x:c r="GJ18" s="71"/>
      <x:c r="GK18" s="71"/>
      <x:c r="GL18" s="71"/>
      <x:c r="GM18" s="71"/>
      <x:c r="GN18" s="71"/>
      <x:c r="GO18" s="71"/>
      <x:c r="GP18" s="71"/>
      <x:c r="GQ18" s="71"/>
      <x:c r="GR18" s="71"/>
      <x:c r="GS18" s="71"/>
      <x:c r="GT18" s="71"/>
      <x:c r="GU18" s="71"/>
      <x:c r="GV18" s="71"/>
      <x:c r="GW18" s="71"/>
      <x:c r="GX18" s="71"/>
      <x:c r="GY18" s="71"/>
      <x:c r="GZ18" s="71"/>
      <x:c r="HA18" s="71"/>
      <x:c r="HB18" s="71"/>
      <x:c r="HC18" s="71"/>
      <x:c r="HD18" s="71"/>
      <x:c r="HE18" t="str">
        <x:f>IF('Calculations'!EM18="","",IF(IFERROR(IF(INDEX(INDIRECT("'WCM Calibration Final'!$A$1:$A$2000"),'Calculations'!$EM18)="","",TRIM(INDEX(INDIRECT("'WCM Calibration Final'!$A$1:$A$2000"),'Calculations'!$EM18)&amp;"")),"")&lt;&gt;"","G:"&amp;IFERROR(TEXT(1*INDEX(INDIRECT("'WCM Calibration Final'!$A$1:$A$2000"),'Calculations'!$EM18),"0"),UPPER(IFERROR(IF(INDEX(INDIRECT("'WCM Calibration Final'!$A$1:$A$2000"),'Calculations'!$EM18)="","",TRIM(INDEX(INDIRECT("'WCM Calibration Final'!$A$1:$A$2000"),'Calculations'!$EM18)&amp;"")),""))),IF(IFERROR(IF(INDEX(INDIRECT("'WCM Calibration Final'!$C$1:$C$2000"),'Calculations'!$EM18)="","",TRIM(INDEX(INDIRECT("'WCM Calibration Final'!$C$1:$C$2000"),'Calculations'!$EM18)&amp;"")),"")&lt;&gt;"","S:"&amp;UPPER(IFERROR(IF(INDEX(INDIRECT("'WCM Calibration Final'!$C$1:$C$2000"),'Calculations'!$EM18)="","",TRIM(INDEX(INDIRECT("'WCM Calibration Final'!$C$1:$C$2000"),'Calculations'!$EM18)&amp;"")),"")),"R:"&amp;'Calculations'!EM18)))</x:f>
      </x:c>
      <x:c r="HF18" t="str">
        <x:f>IF('Calculations'!EM18="","",IF(IFERROR(IF(INDEX(INDIRECT("'WCM Calibration Final'!$D$1:$D$2000"),'Calculations'!$EM18)="","",TRIM(INDEX(INDIRECT("'WCM Calibration Final'!$D$1:$D$2000"),'Calculations'!$EM18)&amp;"")),"")&lt;&gt;"","G:"&amp;IFERROR(TEXT(1*INDEX(INDIRECT("'WCM Calibration Final'!$D$1:$D$2000"),'Calculations'!$EM18),"0"),UPPER(IFERROR(IF(INDEX(INDIRECT("'WCM Calibration Final'!$D$1:$D$2000"),'Calculations'!$EM18)="","",TRIM(INDEX(INDIRECT("'WCM Calibration Final'!$D$1:$D$2000"),'Calculations'!$EM18)&amp;"")),""))),IF(IFERROR(IF(INDEX(INDIRECT("'WCM Calibration Final'!$E$1:$E$2000"),'Calculations'!$EM18)="","",TRIM(INDEX(INDIRECT("'WCM Calibration Final'!$E$1:$E$2000"),'Calculations'!$EM18)&amp;"")),"")="","",IF(COUNTIF('Calculations'!$HG$13:$HG$512,"="&amp;SUBSTITUTE(SUBSTITUTE(SUBSTITUTE(IFERROR(IF(INDEX(INDIRECT("'WCM Calibration Final'!$E$1:$E$2000"),'Calculations'!$EM18)="","",TRIM(INDEX(INDIRECT("'WCM Calibration Final'!$E$1:$E$2000"),'Calculations'!$EM18)&amp;"")),""),"~","~~"),"*","~*"),"?","~?"))=1,INDEX('Calculations'!$HE$13:$HE$512,MATCH(IFERROR(IF(INDEX(INDIRECT("'WCM Calibration Final'!$E$1:$E$2000"),'Calculations'!$EM18)="","",TRIM(INDEX(INDIRECT("'WCM Calibration Final'!$E$1:$E$2000"),'Calculations'!$EM18)&amp;"")),""),'Calculations'!$HG$13:$HG$512,0)),IF(COUNTIF('Calculations'!$HG$13:$HG$512,"="&amp;SUBSTITUTE(SUBSTITUTE(SUBSTITUTE(IFERROR(IF(INDEX(INDIRECT("'WCM Calibration Final'!$E$1:$E$2000"),'Calculations'!$EM18)="","",TRIM(INDEX(INDIRECT("'WCM Calibration Final'!$E$1:$E$2000"),'Calculations'!$EM18)&amp;"")),""),"~","~~"),"*","~*"),"?","~?"))&gt;1,"!AMBIG","X:"&amp;IFERROR(IF(INDEX(INDIRECT("'WCM Calibration Final'!$E$1:$E$2000"),'Calculations'!$EM18)="","",TRIM(INDEX(INDIRECT("'WCM Calibration Final'!$E$1:$E$2000"),'Calculations'!$EM18)&amp;"")),""))))))</x:f>
      </x:c>
      <x:c r="HG18" t="str">
        <x:f>IF('Calculations'!EM18="","",IFERROR(IF(INDEX(INDIRECT("'WCM Calibration Final'!$B$1:$B$2000"),'Calculations'!$EM18)="","",TRIM(INDEX(INDIRECT("'WCM Calibration Final'!$B$1:$B$2000"),'Calculations'!$EM18)&amp;"")),""))</x:f>
      </x:c>
      <x:c r="HH18" t="n">
        <x:f>IF(AND('Calculations'!JC18&gt;0,COUNTIF('Calculations'!$HF$12:HF18,"="&amp;SUBSTITUTE(SUBSTITUTE(SUBSTITUTE('Calculations'!HF18,"~","~~"),"*","~*"),"?","~?"))=1),MAX('Calculations'!$HH$12:HH17)+1,0)</x:f>
        <x:v>0</x:v>
      </x:c>
      <x:c r="HI18" t="n">
        <x:f>IF(AND('Calculations'!HN18&lt;&gt;"",COUNTIF('Calculations'!$HN$12:HN18,"="&amp;SUBSTITUTE(SUBSTITUTE(SUBSTITUTE('Calculations'!HN18,"~","~~"),"*","~*"),"?","~?"))=1),MAX('Calculations'!$HI$12:HI17)+1,0)</x:f>
        <x:v>0</x:v>
      </x:c>
      <x:c r="HJ18" t="str">
        <x:f>IF('Calculations'!HF18="","",IF(COUNTIF('Calculations'!$HE$13:$HE$512,"="&amp;SUBSTITUTE(SUBSTITUTE(SUBSTITUTE('Calculations'!HF18,"~","~~"),"*","~*"),"?","~?"))=1,INDEX('Calculations'!$HK$13:$HK$512,MATCH('Calculations'!HF18,'Calculations'!$HE$13:$HE$512,0)),IFERROR(IF(INDEX(INDIRECT("'WCM Calibration Final'!$E$1:$E$2000"),'Calculations'!$EM18)="","",TRIM(INDEX(INDIRECT("'WCM Calibration Final'!$E$1:$E$2000"),'Calculations'!$EM18)&amp;"")),"")&amp;" ["&amp;'Calculations'!HF18&amp;"]"))</x:f>
      </x:c>
      <x:c r="HK18" t="str">
        <x:f>IF('Calculations'!EM18="","",'Calculations'!HG18&amp;" ["&amp;'Calculations'!HE18&amp;"]")</x:f>
      </x:c>
      <x:c r="HL18" t="n">
        <x:f>IF('Calculations'!EM18="",0,IF(OR('Calculations'!II18&lt;&gt;"",COUNTIF('Calculations'!$HE$13:$HE$512,"="&amp;SUBSTITUTE(SUBSTITUTE(SUBSTITUTE('Calculations'!HE18,"~","~~"),"*","~*"),"?","~?"))&gt;1),1,0))</x:f>
        <x:v>0</x:v>
      </x:c>
      <x:c r="HM18" t="str">
        <x:f>IF('Calculations'!EM18="","",IF('Calculations'!HL18=1,"!UNRESOLVED",IF('Calculations'!IH18&lt;&gt;"",'Calculations'!IH18,IF('Calculations'!IG18&lt;&gt;"",'Calculations'!IG18,IF('Calculations'!IF18&lt;&gt;"",'Calculations'!IF18,IF('Calculations'!IE18&lt;&gt;"",'Calculations'!IE18,IF('Calculations'!ID18&lt;&gt;"",'Calculations'!ID18,IF('Calculations'!IC18&lt;&gt;"",'Calculations'!IC18,IF('Calculations'!IB18&lt;&gt;"",'Calculations'!IB18,IF('Calculations'!IA18&lt;&gt;"",'Calculations'!IA18,IF('Calculations'!HZ18&lt;&gt;"",'Calculations'!HZ18,IF('Calculations'!HY18&lt;&gt;"",'Calculations'!HY18,IF('Calculations'!HX18&lt;&gt;"",'Calculations'!HX18,IF('Calculations'!HW18&lt;&gt;"",'Calculations'!HW18,IF('Calculations'!HV18&lt;&gt;"",'Calculations'!HV18,IF('Calculations'!HU18&lt;&gt;"",'Calculations'!HU18,IF('Calculations'!HT18&lt;&gt;"",'Calculations'!HT18,IF('Calculations'!HS18&lt;&gt;"",'Calculations'!HS18,IF('Calculations'!HR18&lt;&gt;"",'Calculations'!HR18,IF('Calculations'!HQ18&lt;&gt;"",'Calculations'!HQ18,IF('Calculations'!HP18&lt;&gt;"",'Calculations'!HP18,IF('Calculations'!HO18&lt;&gt;"",'Calculations'!HO18,'Calculations'!HE18))))))))))))))))))))))</x:f>
      </x:c>
      <x:c r="HN18" t="str">
        <x:f>IF('Calculations'!EM18="","",IF(IFERROR(IF(INDEX(INDIRECT("'WCM Calibration Final'!$F$1:$F$2000"),'Calculations'!$EM18)="","",TRIM(INDEX(INDIRECT("'WCM Calibration Final'!$F$1:$F$2000"),'Calculations'!$EM18)&amp;"")),"")="","(Blank)",IFERROR(IF(INDEX(INDIRECT("'WCM Calibration Final'!$F$1:$F$2000"),'Calculations'!$EM18)="","",TRIM(INDEX(INDIRECT("'WCM Calibration Final'!$F$1:$F$2000"),'Calculations'!$EM18)&amp;"")),"")))</x:f>
      </x:c>
      <x:c r="HO18" t="str">
        <x:f>'Calculations'!HF18</x:f>
      </x:c>
      <x:c r="HP18" t="str">
        <x:f>IF('Calculations'!HO18="","",IF('Calculations'!HO18="!AMBIG","!AMBIG",IF(COUNTIF('Calculations'!$HE$13:$HE$512,"="&amp;SUBSTITUTE(SUBSTITUTE(SUBSTITUTE('Calculations'!HO18,"~","~~"),"*","~*"),"?","~?"))&gt;1,"!AMBIG",IFERROR(INDEX('Calculations'!$HF$13:$HF$512,MATCH('Calculations'!HO18,'Calculations'!$HE$13:$HE$512,0)),""))))</x:f>
      </x:c>
      <x:c r="HQ18" t="str">
        <x:f>IF('Calculations'!HP18="","",IF('Calculations'!HP18="!AMBIG","!AMBIG",IF(COUNTIF('Calculations'!$HE$13:$HE$512,"="&amp;SUBSTITUTE(SUBSTITUTE(SUBSTITUTE('Calculations'!HP18,"~","~~"),"*","~*"),"?","~?"))&gt;1,"!AMBIG",IFERROR(INDEX('Calculations'!$HF$13:$HF$512,MATCH('Calculations'!HP18,'Calculations'!$HE$13:$HE$512,0)),""))))</x:f>
      </x:c>
      <x:c r="HR18" t="str">
        <x:f>IF('Calculations'!HQ18="","",IF('Calculations'!HQ18="!AMBIG","!AMBIG",IF(COUNTIF('Calculations'!$HE$13:$HE$512,"="&amp;SUBSTITUTE(SUBSTITUTE(SUBSTITUTE('Calculations'!HQ18,"~","~~"),"*","~*"),"?","~?"))&gt;1,"!AMBIG",IFERROR(INDEX('Calculations'!$HF$13:$HF$512,MATCH('Calculations'!HQ18,'Calculations'!$HE$13:$HE$512,0)),""))))</x:f>
      </x:c>
      <x:c r="HS18" t="str">
        <x:f>IF('Calculations'!HR18="","",IF('Calculations'!HR18="!AMBIG","!AMBIG",IF(COUNTIF('Calculations'!$HE$13:$HE$512,"="&amp;SUBSTITUTE(SUBSTITUTE(SUBSTITUTE('Calculations'!HR18,"~","~~"),"*","~*"),"?","~?"))&gt;1,"!AMBIG",IFERROR(INDEX('Calculations'!$HF$13:$HF$512,MATCH('Calculations'!HR18,'Calculations'!$HE$13:$HE$512,0)),""))))</x:f>
      </x:c>
      <x:c r="HT18" t="str">
        <x:f>IF('Calculations'!HS18="","",IF('Calculations'!HS18="!AMBIG","!AMBIG",IF(COUNTIF('Calculations'!$HE$13:$HE$512,"="&amp;SUBSTITUTE(SUBSTITUTE(SUBSTITUTE('Calculations'!HS18,"~","~~"),"*","~*"),"?","~?"))&gt;1,"!AMBIG",IFERROR(INDEX('Calculations'!$HF$13:$HF$512,MATCH('Calculations'!HS18,'Calculations'!$HE$13:$HE$512,0)),""))))</x:f>
      </x:c>
      <x:c r="HU18" t="str">
        <x:f>IF('Calculations'!HT18="","",IF('Calculations'!HT18="!AMBIG","!AMBIG",IF(COUNTIF('Calculations'!$HE$13:$HE$512,"="&amp;SUBSTITUTE(SUBSTITUTE(SUBSTITUTE('Calculations'!HT18,"~","~~"),"*","~*"),"?","~?"))&gt;1,"!AMBIG",IFERROR(INDEX('Calculations'!$HF$13:$HF$512,MATCH('Calculations'!HT18,'Calculations'!$HE$13:$HE$512,0)),""))))</x:f>
      </x:c>
      <x:c r="HV18" t="str">
        <x:f>IF('Calculations'!HU18="","",IF('Calculations'!HU18="!AMBIG","!AMBIG",IF(COUNTIF('Calculations'!$HE$13:$HE$512,"="&amp;SUBSTITUTE(SUBSTITUTE(SUBSTITUTE('Calculations'!HU18,"~","~~"),"*","~*"),"?","~?"))&gt;1,"!AMBIG",IFERROR(INDEX('Calculations'!$HF$13:$HF$512,MATCH('Calculations'!HU18,'Calculations'!$HE$13:$HE$512,0)),""))))</x:f>
      </x:c>
      <x:c r="HW18" t="str">
        <x:f>IF('Calculations'!HV18="","",IF('Calculations'!HV18="!AMBIG","!AMBIG",IF(COUNTIF('Calculations'!$HE$13:$HE$512,"="&amp;SUBSTITUTE(SUBSTITUTE(SUBSTITUTE('Calculations'!HV18,"~","~~"),"*","~*"),"?","~?"))&gt;1,"!AMBIG",IFERROR(INDEX('Calculations'!$HF$13:$HF$512,MATCH('Calculations'!HV18,'Calculations'!$HE$13:$HE$512,0)),""))))</x:f>
      </x:c>
      <x:c r="HX18" t="str">
        <x:f>IF('Calculations'!HW18="","",IF('Calculations'!HW18="!AMBIG","!AMBIG",IF(COUNTIF('Calculations'!$HE$13:$HE$512,"="&amp;SUBSTITUTE(SUBSTITUTE(SUBSTITUTE('Calculations'!HW18,"~","~~"),"*","~*"),"?","~?"))&gt;1,"!AMBIG",IFERROR(INDEX('Calculations'!$HF$13:$HF$512,MATCH('Calculations'!HW18,'Calculations'!$HE$13:$HE$512,0)),""))))</x:f>
      </x:c>
      <x:c r="HY18" t="str">
        <x:f>IF('Calculations'!HX18="","",IF('Calculations'!HX18="!AMBIG","!AMBIG",IF(COUNTIF('Calculations'!$HE$13:$HE$512,"="&amp;SUBSTITUTE(SUBSTITUTE(SUBSTITUTE('Calculations'!HX18,"~","~~"),"*","~*"),"?","~?"))&gt;1,"!AMBIG",IFERROR(INDEX('Calculations'!$HF$13:$HF$512,MATCH('Calculations'!HX18,'Calculations'!$HE$13:$HE$512,0)),""))))</x:f>
      </x:c>
      <x:c r="HZ18" t="str">
        <x:f>IF('Calculations'!HY18="","",IF('Calculations'!HY18="!AMBIG","!AMBIG",IF(COUNTIF('Calculations'!$HE$13:$HE$512,"="&amp;SUBSTITUTE(SUBSTITUTE(SUBSTITUTE('Calculations'!HY18,"~","~~"),"*","~*"),"?","~?"))&gt;1,"!AMBIG",IFERROR(INDEX('Calculations'!$HF$13:$HF$512,MATCH('Calculations'!HY18,'Calculations'!$HE$13:$HE$512,0)),""))))</x:f>
      </x:c>
      <x:c r="IA18" t="str">
        <x:f>IF('Calculations'!HZ18="","",IF('Calculations'!HZ18="!AMBIG","!AMBIG",IF(COUNTIF('Calculations'!$HE$13:$HE$512,"="&amp;SUBSTITUTE(SUBSTITUTE(SUBSTITUTE('Calculations'!HZ18,"~","~~"),"*","~*"),"?","~?"))&gt;1,"!AMBIG",IFERROR(INDEX('Calculations'!$HF$13:$HF$512,MATCH('Calculations'!HZ18,'Calculations'!$HE$13:$HE$512,0)),""))))</x:f>
      </x:c>
      <x:c r="IB18" t="str">
        <x:f>IF('Calculations'!IA18="","",IF('Calculations'!IA18="!AMBIG","!AMBIG",IF(COUNTIF('Calculations'!$HE$13:$HE$512,"="&amp;SUBSTITUTE(SUBSTITUTE(SUBSTITUTE('Calculations'!IA18,"~","~~"),"*","~*"),"?","~?"))&gt;1,"!AMBIG",IFERROR(INDEX('Calculations'!$HF$13:$HF$512,MATCH('Calculations'!IA18,'Calculations'!$HE$13:$HE$512,0)),""))))</x:f>
      </x:c>
      <x:c r="IC18" t="str">
        <x:f>IF('Calculations'!IB18="","",IF('Calculations'!IB18="!AMBIG","!AMBIG",IF(COUNTIF('Calculations'!$HE$13:$HE$512,"="&amp;SUBSTITUTE(SUBSTITUTE(SUBSTITUTE('Calculations'!IB18,"~","~~"),"*","~*"),"?","~?"))&gt;1,"!AMBIG",IFERROR(INDEX('Calculations'!$HF$13:$HF$512,MATCH('Calculations'!IB18,'Calculations'!$HE$13:$HE$512,0)),""))))</x:f>
      </x:c>
      <x:c r="ID18" t="str">
        <x:f>IF('Calculations'!IC18="","",IF('Calculations'!IC18="!AMBIG","!AMBIG",IF(COUNTIF('Calculations'!$HE$13:$HE$512,"="&amp;SUBSTITUTE(SUBSTITUTE(SUBSTITUTE('Calculations'!IC18,"~","~~"),"*","~*"),"?","~?"))&gt;1,"!AMBIG",IFERROR(INDEX('Calculations'!$HF$13:$HF$512,MATCH('Calculations'!IC18,'Calculations'!$HE$13:$HE$512,0)),""))))</x:f>
      </x:c>
      <x:c r="IE18" t="str">
        <x:f>IF('Calculations'!ID18="","",IF('Calculations'!ID18="!AMBIG","!AMBIG",IF(COUNTIF('Calculations'!$HE$13:$HE$512,"="&amp;SUBSTITUTE(SUBSTITUTE(SUBSTITUTE('Calculations'!ID18,"~","~~"),"*","~*"),"?","~?"))&gt;1,"!AMBIG",IFERROR(INDEX('Calculations'!$HF$13:$HF$512,MATCH('Calculations'!ID18,'Calculations'!$HE$13:$HE$512,0)),""))))</x:f>
      </x:c>
      <x:c r="IF18" t="str">
        <x:f>IF('Calculations'!IE18="","",IF('Calculations'!IE18="!AMBIG","!AMBIG",IF(COUNTIF('Calculations'!$HE$13:$HE$512,"="&amp;SUBSTITUTE(SUBSTITUTE(SUBSTITUTE('Calculations'!IE18,"~","~~"),"*","~*"),"?","~?"))&gt;1,"!AMBIG",IFERROR(INDEX('Calculations'!$HF$13:$HF$512,MATCH('Calculations'!IE18,'Calculations'!$HE$13:$HE$512,0)),""))))</x:f>
      </x:c>
      <x:c r="IG18" t="str">
        <x:f>IF('Calculations'!IF18="","",IF('Calculations'!IF18="!AMBIG","!AMBIG",IF(COUNTIF('Calculations'!$HE$13:$HE$512,"="&amp;SUBSTITUTE(SUBSTITUTE(SUBSTITUTE('Calculations'!IF18,"~","~~"),"*","~*"),"?","~?"))&gt;1,"!AMBIG",IFERROR(INDEX('Calculations'!$HF$13:$HF$512,MATCH('Calculations'!IF18,'Calculations'!$HE$13:$HE$512,0)),""))))</x:f>
      </x:c>
      <x:c r="IH18" t="str">
        <x:f>IF('Calculations'!IG18="","",IF('Calculations'!IG18="!AMBIG","!AMBIG",IF(COUNTIF('Calculations'!$HE$13:$HE$512,"="&amp;SUBSTITUTE(SUBSTITUTE(SUBSTITUTE('Calculations'!IG18,"~","~~"),"*","~*"),"?","~?"))&gt;1,"!AMBIG",IFERROR(INDEX('Calculations'!$HF$13:$HF$512,MATCH('Calculations'!IG18,'Calculations'!$HE$13:$HE$512,0)),""))))</x:f>
      </x:c>
      <x:c r="II18" t="str">
        <x:f>IF('Calculations'!IH18="","",IF('Calculations'!IH18="!AMBIG","!AMBIG",IF(COUNTIF('Calculations'!$HE$13:$HE$512,"="&amp;SUBSTITUTE(SUBSTITUTE(SUBSTITUTE('Calculations'!IH18,"~","~~"),"*","~*"),"?","~?"))&gt;1,"!AMBIG",IFERROR(INDEX('Calculations'!$HF$13:$HF$512,MATCH('Calculations'!IH18,'Calculations'!$HE$13:$HE$512,0)),""))))</x:f>
      </x:c>
      <x:c r="IJ18" t="str">
        <x:f>IF('Calculations'!EM18="","",IF('Calculations'!$EF$2="All",'Calculations'!HM18,IF('Calculations'!HL18=1,"",IFERROR(IF(MATCH('Calculations'!$EF$2,'Calculations'!HO18:II18,0)=1,'Calculations'!HE18,INDEX('Calculations'!HO18:II18,1,MATCH('Calculations'!$EF$2,'Calculations'!HO18:II18,0)-1)),""))))</x:f>
      </x:c>
      <x:c r="IK18" t="n">
        <x:f>IF(AND('Calculations'!EM18&lt;&gt;"",'Calculations'!$EF$2&lt;&gt;"All",'Calculations'!HF18='Calculations'!$EF$2,'Calculations'!HL18=0,'Calculations'!JD18&gt;0),MAX('Calculations'!$IK$12:IK17)+1,0)</x:f>
        <x:v>0</x:v>
      </x:c>
      <x:c r="JA18" t="n">
        <x:f>IF(OR(IFERROR(INDIRECT("'WCM Calibration Final'!$A$18")&lt;&gt;"",FALSE),IFERROR(INDIRECT("'WCM Calibration Final'!$B$18")&lt;&gt;"",FALSE),IFERROR(INDIRECT("'WCM Calibration Final'!$C$18")&lt;&gt;"",FALSE)),18,0)</x:f>
        <x:v>0</x:v>
      </x:c>
      <x:c r="JB18" t="n">
        <x:f>'Calculations'!JB17+IF('Calculations'!JA18&gt;0,1,0)</x:f>
        <x:v>0</x:v>
      </x:c>
      <x:c r="JC18" t="n">
        <x:f>IF(OR('Calculations'!HF18="",'Calculations'!HF18="!AMBIG"),0,IF('Dashboard'!$B$7="All",1,COUNTIFS('Calculations'!$HO$13:$HO$512,"="&amp;SUBSTITUTE(SUBSTITUTE(SUBSTITUTE('Calculations'!HF18,"~","~~"),"*","~*"),"?","~?"),'Calculations'!$HN$13:$HN$512,"="&amp;SUBSTITUTE(SUBSTITUTE(SUBSTITUTE('Dashboard'!$B$7,"~","~~"),"*","~*"),"?","~?"))+COUNTIFS('Calculations'!$HP$13:$HP$512,"="&amp;SUBSTITUTE(SUBSTITUTE(SUBSTITUTE('Calculations'!HF18,"~","~~"),"*","~*"),"?","~?"),'Calculations'!$HN$13:$HN$512,"="&amp;SUBSTITUTE(SUBSTITUTE(SUBSTITUTE('Dashboard'!$B$7,"~","~~"),"*","~*"),"?","~?"))+COUNTIFS('Calculations'!$HQ$13:$HQ$512,"="&amp;SUBSTITUTE(SUBSTITUTE(SUBSTITUTE('Calculations'!HF18,"~","~~"),"*","~*"),"?","~?"),'Calculations'!$HN$13:$HN$512,"="&amp;SUBSTITUTE(SUBSTITUTE(SUBSTITUTE('Dashboard'!$B$7,"~","~~"),"*","~*"),"?","~?"))+COUNTIFS('Calculations'!$HR$13:$HR$512,"="&amp;SUBSTITUTE(SUBSTITUTE(SUBSTITUTE('Calculations'!HF18,"~","~~"),"*","~*"),"?","~?"),'Calculations'!$HN$13:$HN$512,"="&amp;SUBSTITUTE(SUBSTITUTE(SUBSTITUTE('Dashboard'!$B$7,"~","~~"),"*","~*"),"?","~?"))+COUNTIFS('Calculations'!$HS$13:$HS$512,"="&amp;SUBSTITUTE(SUBSTITUTE(SUBSTITUTE('Calculations'!HF18,"~","~~"),"*","~*"),"?","~?"),'Calculations'!$HN$13:$HN$512,"="&amp;SUBSTITUTE(SUBSTITUTE(SUBSTITUTE('Dashboard'!$B$7,"~","~~"),"*","~*"),"?","~?"))+COUNTIFS('Calculations'!$HT$13:$HT$512,"="&amp;SUBSTITUTE(SUBSTITUTE(SUBSTITUTE('Calculations'!HF18,"~","~~"),"*","~*"),"?","~?"),'Calculations'!$HN$13:$HN$512,"="&amp;SUBSTITUTE(SUBSTITUTE(SUBSTITUTE('Dashboard'!$B$7,"~","~~"),"*","~*"),"?","~?"))+COUNTIFS('Calculations'!$HU$13:$HU$512,"="&amp;SUBSTITUTE(SUBSTITUTE(SUBSTITUTE('Calculations'!HF18,"~","~~"),"*","~*"),"?","~?"),'Calculations'!$HN$13:$HN$512,"="&amp;SUBSTITUTE(SUBSTITUTE(SUBSTITUTE('Dashboard'!$B$7,"~","~~"),"*","~*"),"?","~?"))+COUNTIFS('Calculations'!$HV$13:$HV$512,"="&amp;SUBSTITUTE(SUBSTITUTE(SUBSTITUTE('Calculations'!HF18,"~","~~"),"*","~*"),"?","~?"),'Calculations'!$HN$13:$HN$512,"="&amp;SUBSTITUTE(SUBSTITUTE(SUBSTITUTE('Dashboard'!$B$7,"~","~~"),"*","~*"),"?","~?"))+COUNTIFS('Calculations'!$HW$13:$HW$512,"="&amp;SUBSTITUTE(SUBSTITUTE(SUBSTITUTE('Calculations'!HF18,"~","~~"),"*","~*"),"?","~?"),'Calculations'!$HN$13:$HN$512,"="&amp;SUBSTITUTE(SUBSTITUTE(SUBSTITUTE('Dashboard'!$B$7,"~","~~"),"*","~*"),"?","~?"))+COUNTIFS('Calculations'!$HX$13:$HX$512,"="&amp;SUBSTITUTE(SUBSTITUTE(SUBSTITUTE('Calculations'!HF18,"~","~~"),"*","~*"),"?","~?"),'Calculations'!$HN$13:$HN$512,"="&amp;SUBSTITUTE(SUBSTITUTE(SUBSTITUTE('Dashboard'!$B$7,"~","~~"),"*","~*"),"?","~?"))+COUNTIFS('Calculations'!$HY$13:$HY$512,"="&amp;SUBSTITUTE(SUBSTITUTE(SUBSTITUTE('Calculations'!HF18,"~","~~"),"*","~*"),"?","~?"),'Calculations'!$HN$13:$HN$512,"="&amp;SUBSTITUTE(SUBSTITUTE(SUBSTITUTE('Dashboard'!$B$7,"~","~~"),"*","~*"),"?","~?"))+COUNTIFS('Calculations'!$HZ$13:$HZ$512,"="&amp;SUBSTITUTE(SUBSTITUTE(SUBSTITUTE('Calculations'!HF18,"~","~~"),"*","~*"),"?","~?"),'Calculations'!$HN$13:$HN$512,"="&amp;SUBSTITUTE(SUBSTITUTE(SUBSTITUTE('Dashboard'!$B$7,"~","~~"),"*","~*"),"?","~?"))+COUNTIFS('Calculations'!$IA$13:$IA$512,"="&amp;SUBSTITUTE(SUBSTITUTE(SUBSTITUTE('Calculations'!HF18,"~","~~"),"*","~*"),"?","~?"),'Calculations'!$HN$13:$HN$512,"="&amp;SUBSTITUTE(SUBSTITUTE(SUBSTITUTE('Dashboard'!$B$7,"~","~~"),"*","~*"),"?","~?"))+COUNTIFS('Calculations'!$IB$13:$IB$512,"="&amp;SUBSTITUTE(SUBSTITUTE(SUBSTITUTE('Calculations'!HF18,"~","~~"),"*","~*"),"?","~?"),'Calculations'!$HN$13:$HN$512,"="&amp;SUBSTITUTE(SUBSTITUTE(SUBSTITUTE('Dashboard'!$B$7,"~","~~"),"*","~*"),"?","~?"))+COUNTIFS('Calculations'!$IC$13:$IC$512,"="&amp;SUBSTITUTE(SUBSTITUTE(SUBSTITUTE('Calculations'!HF18,"~","~~"),"*","~*"),"?","~?"),'Calculations'!$HN$13:$HN$512,"="&amp;SUBSTITUTE(SUBSTITUTE(SUBSTITUTE('Dashboard'!$B$7,"~","~~"),"*","~*"),"?","~?"))+COUNTIFS('Calculations'!$ID$13:$ID$512,"="&amp;SUBSTITUTE(SUBSTITUTE(SUBSTITUTE('Calculations'!HF18,"~","~~"),"*","~*"),"?","~?"),'Calculations'!$HN$13:$HN$512,"="&amp;SUBSTITUTE(SUBSTITUTE(SUBSTITUTE('Dashboard'!$B$7,"~","~~"),"*","~*"),"?","~?"))+COUNTIFS('Calculations'!$IE$13:$IE$512,"="&amp;SUBSTITUTE(SUBSTITUTE(SUBSTITUTE('Calculations'!HF18,"~","~~"),"*","~*"),"?","~?"),'Calculations'!$HN$13:$HN$512,"="&amp;SUBSTITUTE(SUBSTITUTE(SUBSTITUTE('Dashboard'!$B$7,"~","~~"),"*","~*"),"?","~?"))+COUNTIFS('Calculations'!$IF$13:$IF$512,"="&amp;SUBSTITUTE(SUBSTITUTE(SUBSTITUTE('Calculations'!HF18,"~","~~"),"*","~*"),"?","~?"),'Calculations'!$HN$13:$HN$512,"="&amp;SUBSTITUTE(SUBSTITUTE(SUBSTITUTE('Dashboard'!$B$7,"~","~~"),"*","~*"),"?","~?"))+COUNTIFS('Calculations'!$IG$13:$IG$512,"="&amp;SUBSTITUTE(SUBSTITUTE(SUBSTITUTE('Calculations'!HF18,"~","~~"),"*","~*"),"?","~?"),'Calculations'!$HN$13:$HN$512,"="&amp;SUBSTITUTE(SUBSTITUTE(SUBSTITUTE('Dashboard'!$B$7,"~","~~"),"*","~*"),"?","~?"))+COUNTIFS('Calculations'!$IH$13:$IH$512,"="&amp;SUBSTITUTE(SUBSTITUTE(SUBSTITUTE('Calculations'!HF18,"~","~~"),"*","~*"),"?","~?"),'Calculations'!$HN$13:$HN$512,"="&amp;SUBSTITUTE(SUBSTITUTE(SUBSTITUTE('Dashboard'!$B$7,"~","~~"),"*","~*"),"?","~?"))))</x:f>
        <x:v>0</x:v>
      </x:c>
      <x:c r="JD18" t="n">
        <x:f>IF('Calculations'!EM18="",0,IF('Dashboard'!$B$7="All",1,IF('Calculations'!HN18='Dashboard'!$B$7,1,0)+IFERROR(INDEX('Calculations'!$JC$13:$JC$512,MATCH('Calculations'!HE18,'Calculations'!$HF$13:$HF$512,0)),0)))</x:f>
        <x:v>0</x:v>
      </x:c>
      <x:c r="JE18" t="n">
        <x:f>IF(AND('Calculations'!EM18&lt;&gt;"",'Calculations'!$JJ$2&lt;&gt;"All",'Calculations'!$JJ$2&lt;&gt;"",'Calculations'!HF18='Calculations'!$JJ$2,'Calculations'!HL18=0,'Calculations'!JD18&gt;0),MAX('Calculations'!$JE$12:JE17)+1,0)</x:f>
        <x:v>0</x:v>
      </x:c>
      <x:c r="JF18" t="str">
        <x:f>IF('Calculations'!EM18="","",IFERROR(IF(INDEX(INDIRECT("'WCM Calibration Final'!$G$1:$G$2000"),'Calculations'!$EM18)="","",TRIM(INDEX(INDIRECT("'WCM Calibration Final'!$G$1:$G$2000"),'Calculations'!$EM18)&amp;"")),""))</x:f>
      </x:c>
      <x:c r="JQ18" t="n">
        <x:f>IF(OR('Calculations'!BM18=0,NOT('Calculations'!$AG$2),'Calculations'!$AG$8&gt;0),0,IF(OR('Dashboard'!$B$7="All",'Calculations'!HN18='Dashboard'!$B$7),IF('Calculations'!$JJ$2="All",1,IF(AND('Calculations'!HF18='Calculations'!$JJ$2,'Calculations'!HL18=0),1,0)),0))</x:f>
        <x:v>0</x:v>
      </x:c>
    </x:row>
    <x:row r="19" ht="21" customHeight="1">
      <x:c r="A19" s="78" t="str">
        <x:v>Filters and threshold inputs are on Dashboard. The native workbook supports 500 occupied employees within rows 12–2000 and reporting paths up to 20 levels. It flags overflow and unresolved hierarchy rather than silently dropping employees.</x:v>
      </x:c>
      <x:c r="B19" s="75"/>
      <x:c r="C19" s="75"/>
      <x:c r="D19" s="75"/>
      <x:c r="E19" s="75"/>
      <x:c r="F19" s="75"/>
      <x:c r="G19" s="75"/>
      <x:c r="H19" s="75"/>
      <x:c r="I19" s="75"/>
      <x:c r="J19" s="75"/>
      <x:c r="K19" s="75"/>
      <x:c r="L19" s="75"/>
      <x:c r="M19" s="75"/>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t="n">
        <x:f>IF('Calculations'!$EM19="",0,IF(OR(IFERROR(INDEX(INDIRECT("'WCM Calibration Final'!$A$1:$A$2000"),'Calculations'!$EM19)&lt;&gt;"",FALSE),IFERROR(INDEX(INDIRECT("'WCM Calibration Final'!$B$1:$B$2000"),'Calculations'!$EM19)&lt;&gt;"",FALSE),IFERROR(INDEX(INDIRECT("'WCM Calibration Final'!$C$1:$C$2000"),'Calculations'!$EM19)&lt;&gt;"",FALSE)),1,0))</x:f>
        <x:v>0</x:v>
      </x:c>
      <x:c r="BN19" s="4" t="n">
        <x:f>IF(AND('Calculations'!BM19=1,'Calculations'!$AG$2,'Calculations'!$EN19=1),1,0)</x:f>
        <x:v>0</x:v>
      </x:c>
      <x:c r="BO19" s="4" t="str">
        <x:f>IF('Calculations'!BM19=0,"",IFERROR(IF(AND(VALUE(INDEX(INDIRECT("'WCM Calibration Final'!$K$1:$K$2000"),'Calculations'!$EM19))&gt;=1,VALUE(INDEX(INDIRECT("'WCM Calibration Final'!$K$1:$K$2000"),'Calculations'!$EM19))&lt;=4,MOD(VALUE(INDEX(INDIRECT("'WCM Calibration Final'!$K$1:$K$2000"),'Calculations'!$EM19)),1)=0),VALUE(INDEX(INDIRECT("'WCM Calibration Final'!$K$1:$K$2000"),'Calculations'!$EM19)),""),""))</x:f>
      </x:c>
      <x:c r="BP19" s="4" t="str">
        <x:f>IF('Calculations'!BM19=0,"",IFERROR(IF(AND(VALUE(INDEX(INDIRECT("'WCM Calibration Final'!$L$1:$L$2000"),'Calculations'!$EM19))&gt;=1,VALUE(INDEX(INDIRECT("'WCM Calibration Final'!$L$1:$L$2000"),'Calculations'!$EM19))&lt;=4,MOD(VALUE(INDEX(INDIRECT("'WCM Calibration Final'!$L$1:$L$2000"),'Calculations'!$EM19)),1)=0),VALUE(INDEX(INDIRECT("'WCM Calibration Final'!$L$1:$L$2000"),'Calculations'!$EM19)),""),""))</x:f>
      </x:c>
      <x:c r="BQ19" s="4"/>
      <x:c r="BR19" s="4"/>
      <x:c r="BS19" s="4"/>
      <x:c r="BT19" s="4" t="n">
        <x:f>IF(AND('Calculations'!BM19=1,ISNUMBER('Calculations'!BO19),ISNUMBER('Calculations'!BP19)),1,0)</x:f>
        <x:v>0</x:v>
      </x:c>
      <x:c r="BU19" s="4" t="str">
        <x:f>IF('Calculations'!BM19=0,"",'Calculations'!$EO19)</x:f>
      </x:c>
      <x:c r="BV19" s="4" t="str">
        <x:f>IF('Calculations'!BM19=0,"",IFERROR(IF(OR(INDEX(INDIRECT("'WCM Calibration Final'!$H$1:$H$2000"),'Calculations'!$EM19)="MANAGING DIRECTOR",INDEX(INDIRECT("'WCM Calibration Final'!$H$1:$H$2000"),'Calculations'!$EM19)="DIRECTOR",INDEX(INDIRECT("'WCM Calibration Final'!$H$1:$H$2000"),'Calculations'!$EM19)="SENIOR VICE PRESIDENT",INDEX(INDIRECT("'WCM Calibration Final'!$H$1:$H$2000"),'Calculations'!$EM19)="VICE PRESIDENT",INDEX(INDIRECT("'WCM Calibration Final'!$H$1:$H$2000"),'Calculations'!$EM19)="ASSISTANT VICE PRESIDENT",INDEX(INDIRECT("'WCM Calibration Final'!$H$1:$H$2000"),'Calculations'!$EM19)="OFFICER"),UPPER(INDEX(INDIRECT("'WCM Calibration Final'!$H$1:$H$2000"),'Calculations'!$EM19)),"Other"),"Other"))</x:f>
      </x:c>
      <x:c r="BW19" s="4"/>
      <x:c r="BX19" s="4"/>
      <x:c r="BY19" s="4" t="n">
        <x:f>IF(AND('Calculations'!BM19=1,'Calculations'!BU19&lt;&gt;"",COUNTIF('Calculations'!$BU$12:BU19,'Calculations'!BU19)=1),MAX('Calculations'!$BY$11:BY18)+1,0)</x:f>
        <x:v>0</x:v>
      </x:c>
      <x:c r="BZ19" s="4" t="str">
        <x:f>IF('Dashboard'!$E$67="What",'Calculations'!BO19,'Calculations'!BP19)</x:f>
      </x:c>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t="str">
        <x:f>IF(8&gt;MAX('Calculations'!$HI$13:$HI$512),"",INDEX('Calculations'!$HN$13:$HN$512,MATCH(8,'Calculations'!$HI$13:$HI$512,0)))</x:f>
      </x:c>
      <x:c r="DB19" s="4" t="str">
        <x:f>IF(8&gt;MAX('Calculations'!$HH$13:$HH$512),"",INDEX('Calculations'!$HJ$13:$HJ$512,MATCH(8,'Calculations'!$HH$13:$HH$512,0)))</x:f>
      </x:c>
      <x:c r="DC19" s="4" t="str">
        <x:f>IF(ROW()-11&gt;MAX('Calculations'!$BY$13:$BY$512),"",INDEX('Calculations'!$BU$13:$BU$512,MATCH(ROW()-11,'Calculations'!$BY$13:$BY$512,0)))</x:f>
      </x:c>
      <x:c r="DD19" s="4" t="str">
        <x:f>IF(8&gt;MAX('Calculations'!$IK$13:$IK$512),"",INDEX('Calculations'!$HK$13:$HK$512,MATCH(8,'Calculations'!$IK$13:$IK$512,0)))</x:f>
      </x:c>
      <x:c r="DE19" s="4" t="str">
        <x:f>'Calculations'!DC19</x:f>
      </x:c>
      <x:c r="DF19" s="4" t="str">
        <x:f>IF('Calculations'!DE19="","",COUNTIFS('Calculations'!$BN$13:$BN$512,1,'Calculations'!$BU$13:$BU$512,'Calculations'!DE19))</x:f>
      </x:c>
      <x:c r="DG19" s="4" t="str">
        <x:f>IF('Calculations'!DE19="","",COUNTIFS('Calculations'!$BN$13:$BN$512,1,'Calculations'!$BU$13:$BU$512,'Calculations'!DE19,'Calculations'!$BT$13:$BT$512,1))</x:f>
      </x:c>
      <x:c r="DH19" s="4" t="str">
        <x:f>IF('Calculations'!DE19="","",'Calculations'!DF19-'Calculations'!DG19)</x:f>
      </x:c>
      <x:c r="DI19" s="4" t="str">
        <x:f>IF(OR('Calculations'!DE19="",'Calculations'!DF19=0),"",'Calculations'!DG19/'Calculations'!DF19)</x:f>
      </x:c>
      <x:c r="DJ19" s="4" t="str">
        <x:f>IF('Calculations'!DE19="","",COUNTIFS('Calculations'!$BN$13:$BN$512,1,'Calculations'!$BU$13:$BU$512,'Calculations'!DE19,'Calculations'!$BT$13:$BT$512,1,'Calculations'!$EE$13:$EE$512,"High"))</x:f>
      </x:c>
      <x:c r="DK19" s="4" t="str">
        <x:f>IF('Calculations'!DE19="","",COUNTIFS('Calculations'!$BN$13:$BN$512,1,'Calculations'!$BU$13:$BU$512,'Calculations'!DE19,'Calculations'!$BT$13:$BT$512,1,'Calculations'!$EE$13:$EE$512,"Strong"))</x:f>
      </x:c>
      <x:c r="DL19" s="4" t="str">
        <x:f>IF('Calculations'!DE19="","",COUNTIFS('Calculations'!$BN$13:$BN$512,1,'Calculations'!$BU$13:$BU$512,'Calculations'!DE19,'Calculations'!$BT$13:$BT$512,1,'Calculations'!$EE$13:$EE$512,"Solid"))</x:f>
      </x:c>
      <x:c r="DM19" s="4" t="str">
        <x:f>IF('Calculations'!DE19="","",COUNTIFS('Calculations'!$BN$13:$BN$512,1,'Calculations'!$BU$13:$BU$512,'Calculations'!DE19,'Calculations'!$BT$13:$BT$512,1,'Calculations'!$EE$13:$EE$512,"Low"))</x:f>
      </x:c>
      <x:c r="DN19" s="4" t="str">
        <x:f>IF('Calculations'!DE19="","",COUNTIFS('Calculations'!$BN$13:$BN$512,1,'Calculations'!$BU$13:$BU$512,'Calculations'!DE19,'Calculations'!$EP$13:$EP$512,1))</x:f>
      </x:c>
      <x:c r="DO19" s="4" t="str">
        <x:f>IF(OR('Calculations'!DE19="",'Calculations'!DG19=0),"",('Calculations'!DJ19+'Calculations'!DK19)/'Calculations'!DG19)</x:f>
      </x:c>
      <x:c r="DP19" s="4" t="n">
        <x:f>IF(AND('Calculations'!DE19&lt;&gt;"",'Calculations'!DF19&gt;0),COUNTIF('Calculations'!$DF$12:DF19,"&gt;0"),0)</x:f>
        <x:v>0</x:v>
      </x:c>
      <x:c r="DQ19" s="4" t="str">
        <x:f>IF(8&gt;MAX('Calculations'!$HH$13:$HH$512),"",INDEX('Calculations'!$HF$13:$HF$512,MATCH(8,'Calculations'!$HH$13:$HH$512,0)))</x:f>
      </x:c>
      <x:c r="DR19" s="4" t="str">
        <x:f>IF(8&gt;MAX('Calculations'!$IK$13:$IK$512),"",INDEX('Calculations'!$HE$13:$HE$512,MATCH(8,'Calculations'!$IK$13:$IK$512,0)))</x:f>
      </x:c>
      <x:c r="DS19" s="4"/>
      <x:c r="DT19" s="4"/>
      <x:c r="DU19" s="4"/>
      <x:c r="DV19" s="4"/>
      <x:c r="DW19" s="4"/>
      <x:c r="DX19" s="4"/>
      <x:c r="DY19" s="4"/>
      <x:c r="DZ19" s="4"/>
      <x:c r="EA19" s="4"/>
      <x:c r="EB19" s="4"/>
      <x:c r="EC19" s="4"/>
      <x:c r="ED19" s="4"/>
      <x:c r="EE19" s="4" t="str">
        <x:f>IF('Calculations'!BT19=0,"Not Rated",IF(OR('Calculations'!BO19&gt;=4,'Calculations'!BP19&gt;=4),"Low",IF('Calculations'!BO19+'Calculations'!BP19&lt;=3,"High",IF('Calculations'!BO19+'Calculations'!BP19&lt;=4,"Strong","Solid"))))</x:f>
        <x:v>Not Rated</x:v>
      </x:c>
      <x:c r="EF19" s="4"/>
      <x:c r="EG19" s="4"/>
      <x:c r="EH19" s="4"/>
      <x:c r="EI19" s="4"/>
      <x:c r="EJ19" s="4"/>
      <x:c r="EK19" s="4"/>
      <x:c r="EL19" s="4"/>
      <x:c r="EM19" s="4" t="str">
        <x:f>IF(7&gt;'Calculations'!$JB$2000,"",INDEX('Calculations'!$JA$12:$JA$2000,MATCH(7,'Calculations'!$JB$12:$JB$2000,0)))</x:f>
      </x:c>
      <x:c r="EN19" s="4" t="n">
        <x:f>IF(OR('Calculations'!EM19="",'Calculations'!$AG$8&gt;0,AND('Calculations'!$EF$2&lt;&gt;"All",'Calculations'!HE19='Calculations'!$EF$2),AND('Calculations'!$EF$3&lt;&gt;"All",'Calculations'!HE19='Calculations'!$EF$3)),0,IF(OR('Dashboard'!$B$7="All",'Calculations'!HN19='Dashboard'!$B$7),IF('Calculations'!$EF$2="All",1,IF('Calculations'!HL19&gt;0,0,IF(COUNTIF('Calculations'!HO19:II19,"="&amp;SUBSTITUTE(SUBSTITUTE(SUBSTITUTE('Calculations'!$EF$2,"~","~~"),"*","~*"),"?","~?"))=0,0,IF('Calculations'!$EF$3="All",1,IF(COUNTIF('Calculations'!HO19:II19,"="&amp;SUBSTITUTE(SUBSTITUTE(SUBSTITUTE('Calculations'!$EF$3,"~","~~"),"*","~*"),"?","~?"))&gt;0,1,0))))),0))</x:f>
        <x:v>0</x:v>
      </x:c>
      <x:c r="EO19" s="4" t="str">
        <x:f>IF('Calculations'!IJ19="","",IF('Calculations'!IJ19="!UNRESOLVED","Unresolved hierarchy",IFERROR(INDEX('Calculations'!$HK$13:$HK$512,MATCH('Calculations'!IJ19,'Calculations'!$HE$13:$HE$512,0)),IFERROR(INDEX('Calculations'!$HJ$13:$HJ$512,MATCH('Calculations'!IJ19,'Calculations'!$HF$13:$HF$512,0)),'Calculations'!IJ19))))</x:f>
      </x:c>
      <x:c r="EP19" s="4" t="n">
        <x:f>IF(AND('Calculations'!EM19&lt;&gt;"",'Calculations'!HF19='Calculations'!IJ19),1,0)</x:f>
        <x:v>0</x:v>
      </x:c>
      <x:c r="EQ19" s="4"/>
      <x:c r="ER19" s="4"/>
      <x:c r="ES19" s="4"/>
      <x:c r="ET19" s="4"/>
      <x:c r="EU19" s="4"/>
      <x:c r="EV19" s="4"/>
      <x:c r="EW19" s="4"/>
      <x:c r="EX19" s="4"/>
      <x:c r="EY19" s="4"/>
      <x:c r="EZ19" s="4"/>
      <x:c r="FA19" s="4"/>
      <x:c r="FB19" s="4"/>
      <x:c r="FC19" s="4"/>
      <x:c r="FD19" s="4"/>
      <x:c r="FE19" s="4"/>
      <x:c r="FF19" s="4"/>
      <x:c r="FG19" s="4"/>
      <x:c r="FH19" s="4"/>
      <x:c r="FI19" s="4"/>
      <x:c r="FJ19" s="4"/>
      <x:c r="FK19" s="4"/>
      <x:c r="FL19" s="4"/>
      <x:c r="FM19" s="4"/>
      <x:c r="FN19" s="4"/>
      <x:c r="FO19" s="4"/>
      <x:c r="GA19" s="71"/>
      <x:c r="GB19" s="71"/>
      <x:c r="GC19" s="71"/>
      <x:c r="GD19" s="71"/>
      <x:c r="GE19" s="71"/>
      <x:c r="GF19" s="71"/>
      <x:c r="GG19" s="71"/>
      <x:c r="GH19" s="71"/>
      <x:c r="GI19" s="71"/>
      <x:c r="GJ19" s="71"/>
      <x:c r="GK19" s="71"/>
      <x:c r="GL19" s="71"/>
      <x:c r="GM19" s="71"/>
      <x:c r="GN19" s="71"/>
      <x:c r="GO19" s="71"/>
      <x:c r="GP19" s="71"/>
      <x:c r="GQ19" s="71"/>
      <x:c r="GR19" s="71"/>
      <x:c r="GS19" s="71"/>
      <x:c r="GT19" s="71"/>
      <x:c r="GU19" s="71"/>
      <x:c r="GV19" s="71"/>
      <x:c r="GW19" s="71"/>
      <x:c r="GX19" s="71"/>
      <x:c r="GY19" s="71"/>
      <x:c r="GZ19" s="71"/>
      <x:c r="HA19" s="71"/>
      <x:c r="HB19" s="71"/>
      <x:c r="HC19" s="71"/>
      <x:c r="HD19" s="71"/>
      <x:c r="HE19" t="str">
        <x:f>IF('Calculations'!EM19="","",IF(IFERROR(IF(INDEX(INDIRECT("'WCM Calibration Final'!$A$1:$A$2000"),'Calculations'!$EM19)="","",TRIM(INDEX(INDIRECT("'WCM Calibration Final'!$A$1:$A$2000"),'Calculations'!$EM19)&amp;"")),"")&lt;&gt;"","G:"&amp;IFERROR(TEXT(1*INDEX(INDIRECT("'WCM Calibration Final'!$A$1:$A$2000"),'Calculations'!$EM19),"0"),UPPER(IFERROR(IF(INDEX(INDIRECT("'WCM Calibration Final'!$A$1:$A$2000"),'Calculations'!$EM19)="","",TRIM(INDEX(INDIRECT("'WCM Calibration Final'!$A$1:$A$2000"),'Calculations'!$EM19)&amp;"")),""))),IF(IFERROR(IF(INDEX(INDIRECT("'WCM Calibration Final'!$C$1:$C$2000"),'Calculations'!$EM19)="","",TRIM(INDEX(INDIRECT("'WCM Calibration Final'!$C$1:$C$2000"),'Calculations'!$EM19)&amp;"")),"")&lt;&gt;"","S:"&amp;UPPER(IFERROR(IF(INDEX(INDIRECT("'WCM Calibration Final'!$C$1:$C$2000"),'Calculations'!$EM19)="","",TRIM(INDEX(INDIRECT("'WCM Calibration Final'!$C$1:$C$2000"),'Calculations'!$EM19)&amp;"")),"")),"R:"&amp;'Calculations'!EM19)))</x:f>
      </x:c>
      <x:c r="HF19" t="str">
        <x:f>IF('Calculations'!EM19="","",IF(IFERROR(IF(INDEX(INDIRECT("'WCM Calibration Final'!$D$1:$D$2000"),'Calculations'!$EM19)="","",TRIM(INDEX(INDIRECT("'WCM Calibration Final'!$D$1:$D$2000"),'Calculations'!$EM19)&amp;"")),"")&lt;&gt;"","G:"&amp;IFERROR(TEXT(1*INDEX(INDIRECT("'WCM Calibration Final'!$D$1:$D$2000"),'Calculations'!$EM19),"0"),UPPER(IFERROR(IF(INDEX(INDIRECT("'WCM Calibration Final'!$D$1:$D$2000"),'Calculations'!$EM19)="","",TRIM(INDEX(INDIRECT("'WCM Calibration Final'!$D$1:$D$2000"),'Calculations'!$EM19)&amp;"")),""))),IF(IFERROR(IF(INDEX(INDIRECT("'WCM Calibration Final'!$E$1:$E$2000"),'Calculations'!$EM19)="","",TRIM(INDEX(INDIRECT("'WCM Calibration Final'!$E$1:$E$2000"),'Calculations'!$EM19)&amp;"")),"")="","",IF(COUNTIF('Calculations'!$HG$13:$HG$512,"="&amp;SUBSTITUTE(SUBSTITUTE(SUBSTITUTE(IFERROR(IF(INDEX(INDIRECT("'WCM Calibration Final'!$E$1:$E$2000"),'Calculations'!$EM19)="","",TRIM(INDEX(INDIRECT("'WCM Calibration Final'!$E$1:$E$2000"),'Calculations'!$EM19)&amp;"")),""),"~","~~"),"*","~*"),"?","~?"))=1,INDEX('Calculations'!$HE$13:$HE$512,MATCH(IFERROR(IF(INDEX(INDIRECT("'WCM Calibration Final'!$E$1:$E$2000"),'Calculations'!$EM19)="","",TRIM(INDEX(INDIRECT("'WCM Calibration Final'!$E$1:$E$2000"),'Calculations'!$EM19)&amp;"")),""),'Calculations'!$HG$13:$HG$512,0)),IF(COUNTIF('Calculations'!$HG$13:$HG$512,"="&amp;SUBSTITUTE(SUBSTITUTE(SUBSTITUTE(IFERROR(IF(INDEX(INDIRECT("'WCM Calibration Final'!$E$1:$E$2000"),'Calculations'!$EM19)="","",TRIM(INDEX(INDIRECT("'WCM Calibration Final'!$E$1:$E$2000"),'Calculations'!$EM19)&amp;"")),""),"~","~~"),"*","~*"),"?","~?"))&gt;1,"!AMBIG","X:"&amp;IFERROR(IF(INDEX(INDIRECT("'WCM Calibration Final'!$E$1:$E$2000"),'Calculations'!$EM19)="","",TRIM(INDEX(INDIRECT("'WCM Calibration Final'!$E$1:$E$2000"),'Calculations'!$EM19)&amp;"")),""))))))</x:f>
      </x:c>
      <x:c r="HG19" t="str">
        <x:f>IF('Calculations'!EM19="","",IFERROR(IF(INDEX(INDIRECT("'WCM Calibration Final'!$B$1:$B$2000"),'Calculations'!$EM19)="","",TRIM(INDEX(INDIRECT("'WCM Calibration Final'!$B$1:$B$2000"),'Calculations'!$EM19)&amp;"")),""))</x:f>
      </x:c>
      <x:c r="HH19" t="n">
        <x:f>IF(AND('Calculations'!JC19&gt;0,COUNTIF('Calculations'!$HF$12:HF19,"="&amp;SUBSTITUTE(SUBSTITUTE(SUBSTITUTE('Calculations'!HF19,"~","~~"),"*","~*"),"?","~?"))=1),MAX('Calculations'!$HH$12:HH18)+1,0)</x:f>
        <x:v>0</x:v>
      </x:c>
      <x:c r="HI19" t="n">
        <x:f>IF(AND('Calculations'!HN19&lt;&gt;"",COUNTIF('Calculations'!$HN$12:HN19,"="&amp;SUBSTITUTE(SUBSTITUTE(SUBSTITUTE('Calculations'!HN19,"~","~~"),"*","~*"),"?","~?"))=1),MAX('Calculations'!$HI$12:HI18)+1,0)</x:f>
        <x:v>0</x:v>
      </x:c>
      <x:c r="HJ19" t="str">
        <x:f>IF('Calculations'!HF19="","",IF(COUNTIF('Calculations'!$HE$13:$HE$512,"="&amp;SUBSTITUTE(SUBSTITUTE(SUBSTITUTE('Calculations'!HF19,"~","~~"),"*","~*"),"?","~?"))=1,INDEX('Calculations'!$HK$13:$HK$512,MATCH('Calculations'!HF19,'Calculations'!$HE$13:$HE$512,0)),IFERROR(IF(INDEX(INDIRECT("'WCM Calibration Final'!$E$1:$E$2000"),'Calculations'!$EM19)="","",TRIM(INDEX(INDIRECT("'WCM Calibration Final'!$E$1:$E$2000"),'Calculations'!$EM19)&amp;"")),"")&amp;" ["&amp;'Calculations'!HF19&amp;"]"))</x:f>
      </x:c>
      <x:c r="HK19" t="str">
        <x:f>IF('Calculations'!EM19="","",'Calculations'!HG19&amp;" ["&amp;'Calculations'!HE19&amp;"]")</x:f>
      </x:c>
      <x:c r="HL19" t="n">
        <x:f>IF('Calculations'!EM19="",0,IF(OR('Calculations'!II19&lt;&gt;"",COUNTIF('Calculations'!$HE$13:$HE$512,"="&amp;SUBSTITUTE(SUBSTITUTE(SUBSTITUTE('Calculations'!HE19,"~","~~"),"*","~*"),"?","~?"))&gt;1),1,0))</x:f>
        <x:v>0</x:v>
      </x:c>
      <x:c r="HM19" t="str">
        <x:f>IF('Calculations'!EM19="","",IF('Calculations'!HL19=1,"!UNRESOLVED",IF('Calculations'!IH19&lt;&gt;"",'Calculations'!IH19,IF('Calculations'!IG19&lt;&gt;"",'Calculations'!IG19,IF('Calculations'!IF19&lt;&gt;"",'Calculations'!IF19,IF('Calculations'!IE19&lt;&gt;"",'Calculations'!IE19,IF('Calculations'!ID19&lt;&gt;"",'Calculations'!ID19,IF('Calculations'!IC19&lt;&gt;"",'Calculations'!IC19,IF('Calculations'!IB19&lt;&gt;"",'Calculations'!IB19,IF('Calculations'!IA19&lt;&gt;"",'Calculations'!IA19,IF('Calculations'!HZ19&lt;&gt;"",'Calculations'!HZ19,IF('Calculations'!HY19&lt;&gt;"",'Calculations'!HY19,IF('Calculations'!HX19&lt;&gt;"",'Calculations'!HX19,IF('Calculations'!HW19&lt;&gt;"",'Calculations'!HW19,IF('Calculations'!HV19&lt;&gt;"",'Calculations'!HV19,IF('Calculations'!HU19&lt;&gt;"",'Calculations'!HU19,IF('Calculations'!HT19&lt;&gt;"",'Calculations'!HT19,IF('Calculations'!HS19&lt;&gt;"",'Calculations'!HS19,IF('Calculations'!HR19&lt;&gt;"",'Calculations'!HR19,IF('Calculations'!HQ19&lt;&gt;"",'Calculations'!HQ19,IF('Calculations'!HP19&lt;&gt;"",'Calculations'!HP19,IF('Calculations'!HO19&lt;&gt;"",'Calculations'!HO19,'Calculations'!HE19))))))))))))))))))))))</x:f>
      </x:c>
      <x:c r="HN19" t="str">
        <x:f>IF('Calculations'!EM19="","",IF(IFERROR(IF(INDEX(INDIRECT("'WCM Calibration Final'!$F$1:$F$2000"),'Calculations'!$EM19)="","",TRIM(INDEX(INDIRECT("'WCM Calibration Final'!$F$1:$F$2000"),'Calculations'!$EM19)&amp;"")),"")="","(Blank)",IFERROR(IF(INDEX(INDIRECT("'WCM Calibration Final'!$F$1:$F$2000"),'Calculations'!$EM19)="","",TRIM(INDEX(INDIRECT("'WCM Calibration Final'!$F$1:$F$2000"),'Calculations'!$EM19)&amp;"")),"")))</x:f>
      </x:c>
      <x:c r="HO19" t="str">
        <x:f>'Calculations'!HF19</x:f>
      </x:c>
      <x:c r="HP19" t="str">
        <x:f>IF('Calculations'!HO19="","",IF('Calculations'!HO19="!AMBIG","!AMBIG",IF(COUNTIF('Calculations'!$HE$13:$HE$512,"="&amp;SUBSTITUTE(SUBSTITUTE(SUBSTITUTE('Calculations'!HO19,"~","~~"),"*","~*"),"?","~?"))&gt;1,"!AMBIG",IFERROR(INDEX('Calculations'!$HF$13:$HF$512,MATCH('Calculations'!HO19,'Calculations'!$HE$13:$HE$512,0)),""))))</x:f>
      </x:c>
      <x:c r="HQ19" t="str">
        <x:f>IF('Calculations'!HP19="","",IF('Calculations'!HP19="!AMBIG","!AMBIG",IF(COUNTIF('Calculations'!$HE$13:$HE$512,"="&amp;SUBSTITUTE(SUBSTITUTE(SUBSTITUTE('Calculations'!HP19,"~","~~"),"*","~*"),"?","~?"))&gt;1,"!AMBIG",IFERROR(INDEX('Calculations'!$HF$13:$HF$512,MATCH('Calculations'!HP19,'Calculations'!$HE$13:$HE$512,0)),""))))</x:f>
      </x:c>
      <x:c r="HR19" t="str">
        <x:f>IF('Calculations'!HQ19="","",IF('Calculations'!HQ19="!AMBIG","!AMBIG",IF(COUNTIF('Calculations'!$HE$13:$HE$512,"="&amp;SUBSTITUTE(SUBSTITUTE(SUBSTITUTE('Calculations'!HQ19,"~","~~"),"*","~*"),"?","~?"))&gt;1,"!AMBIG",IFERROR(INDEX('Calculations'!$HF$13:$HF$512,MATCH('Calculations'!HQ19,'Calculations'!$HE$13:$HE$512,0)),""))))</x:f>
      </x:c>
      <x:c r="HS19" t="str">
        <x:f>IF('Calculations'!HR19="","",IF('Calculations'!HR19="!AMBIG","!AMBIG",IF(COUNTIF('Calculations'!$HE$13:$HE$512,"="&amp;SUBSTITUTE(SUBSTITUTE(SUBSTITUTE('Calculations'!HR19,"~","~~"),"*","~*"),"?","~?"))&gt;1,"!AMBIG",IFERROR(INDEX('Calculations'!$HF$13:$HF$512,MATCH('Calculations'!HR19,'Calculations'!$HE$13:$HE$512,0)),""))))</x:f>
      </x:c>
      <x:c r="HT19" t="str">
        <x:f>IF('Calculations'!HS19="","",IF('Calculations'!HS19="!AMBIG","!AMBIG",IF(COUNTIF('Calculations'!$HE$13:$HE$512,"="&amp;SUBSTITUTE(SUBSTITUTE(SUBSTITUTE('Calculations'!HS19,"~","~~"),"*","~*"),"?","~?"))&gt;1,"!AMBIG",IFERROR(INDEX('Calculations'!$HF$13:$HF$512,MATCH('Calculations'!HS19,'Calculations'!$HE$13:$HE$512,0)),""))))</x:f>
      </x:c>
      <x:c r="HU19" t="str">
        <x:f>IF('Calculations'!HT19="","",IF('Calculations'!HT19="!AMBIG","!AMBIG",IF(COUNTIF('Calculations'!$HE$13:$HE$512,"="&amp;SUBSTITUTE(SUBSTITUTE(SUBSTITUTE('Calculations'!HT19,"~","~~"),"*","~*"),"?","~?"))&gt;1,"!AMBIG",IFERROR(INDEX('Calculations'!$HF$13:$HF$512,MATCH('Calculations'!HT19,'Calculations'!$HE$13:$HE$512,0)),""))))</x:f>
      </x:c>
      <x:c r="HV19" t="str">
        <x:f>IF('Calculations'!HU19="","",IF('Calculations'!HU19="!AMBIG","!AMBIG",IF(COUNTIF('Calculations'!$HE$13:$HE$512,"="&amp;SUBSTITUTE(SUBSTITUTE(SUBSTITUTE('Calculations'!HU19,"~","~~"),"*","~*"),"?","~?"))&gt;1,"!AMBIG",IFERROR(INDEX('Calculations'!$HF$13:$HF$512,MATCH('Calculations'!HU19,'Calculations'!$HE$13:$HE$512,0)),""))))</x:f>
      </x:c>
      <x:c r="HW19" t="str">
        <x:f>IF('Calculations'!HV19="","",IF('Calculations'!HV19="!AMBIG","!AMBIG",IF(COUNTIF('Calculations'!$HE$13:$HE$512,"="&amp;SUBSTITUTE(SUBSTITUTE(SUBSTITUTE('Calculations'!HV19,"~","~~"),"*","~*"),"?","~?"))&gt;1,"!AMBIG",IFERROR(INDEX('Calculations'!$HF$13:$HF$512,MATCH('Calculations'!HV19,'Calculations'!$HE$13:$HE$512,0)),""))))</x:f>
      </x:c>
      <x:c r="HX19" t="str">
        <x:f>IF('Calculations'!HW19="","",IF('Calculations'!HW19="!AMBIG","!AMBIG",IF(COUNTIF('Calculations'!$HE$13:$HE$512,"="&amp;SUBSTITUTE(SUBSTITUTE(SUBSTITUTE('Calculations'!HW19,"~","~~"),"*","~*"),"?","~?"))&gt;1,"!AMBIG",IFERROR(INDEX('Calculations'!$HF$13:$HF$512,MATCH('Calculations'!HW19,'Calculations'!$HE$13:$HE$512,0)),""))))</x:f>
      </x:c>
      <x:c r="HY19" t="str">
        <x:f>IF('Calculations'!HX19="","",IF('Calculations'!HX19="!AMBIG","!AMBIG",IF(COUNTIF('Calculations'!$HE$13:$HE$512,"="&amp;SUBSTITUTE(SUBSTITUTE(SUBSTITUTE('Calculations'!HX19,"~","~~"),"*","~*"),"?","~?"))&gt;1,"!AMBIG",IFERROR(INDEX('Calculations'!$HF$13:$HF$512,MATCH('Calculations'!HX19,'Calculations'!$HE$13:$HE$512,0)),""))))</x:f>
      </x:c>
      <x:c r="HZ19" t="str">
        <x:f>IF('Calculations'!HY19="","",IF('Calculations'!HY19="!AMBIG","!AMBIG",IF(COUNTIF('Calculations'!$HE$13:$HE$512,"="&amp;SUBSTITUTE(SUBSTITUTE(SUBSTITUTE('Calculations'!HY19,"~","~~"),"*","~*"),"?","~?"))&gt;1,"!AMBIG",IFERROR(INDEX('Calculations'!$HF$13:$HF$512,MATCH('Calculations'!HY19,'Calculations'!$HE$13:$HE$512,0)),""))))</x:f>
      </x:c>
      <x:c r="IA19" t="str">
        <x:f>IF('Calculations'!HZ19="","",IF('Calculations'!HZ19="!AMBIG","!AMBIG",IF(COUNTIF('Calculations'!$HE$13:$HE$512,"="&amp;SUBSTITUTE(SUBSTITUTE(SUBSTITUTE('Calculations'!HZ19,"~","~~"),"*","~*"),"?","~?"))&gt;1,"!AMBIG",IFERROR(INDEX('Calculations'!$HF$13:$HF$512,MATCH('Calculations'!HZ19,'Calculations'!$HE$13:$HE$512,0)),""))))</x:f>
      </x:c>
      <x:c r="IB19" t="str">
        <x:f>IF('Calculations'!IA19="","",IF('Calculations'!IA19="!AMBIG","!AMBIG",IF(COUNTIF('Calculations'!$HE$13:$HE$512,"="&amp;SUBSTITUTE(SUBSTITUTE(SUBSTITUTE('Calculations'!IA19,"~","~~"),"*","~*"),"?","~?"))&gt;1,"!AMBIG",IFERROR(INDEX('Calculations'!$HF$13:$HF$512,MATCH('Calculations'!IA19,'Calculations'!$HE$13:$HE$512,0)),""))))</x:f>
      </x:c>
      <x:c r="IC19" t="str">
        <x:f>IF('Calculations'!IB19="","",IF('Calculations'!IB19="!AMBIG","!AMBIG",IF(COUNTIF('Calculations'!$HE$13:$HE$512,"="&amp;SUBSTITUTE(SUBSTITUTE(SUBSTITUTE('Calculations'!IB19,"~","~~"),"*","~*"),"?","~?"))&gt;1,"!AMBIG",IFERROR(INDEX('Calculations'!$HF$13:$HF$512,MATCH('Calculations'!IB19,'Calculations'!$HE$13:$HE$512,0)),""))))</x:f>
      </x:c>
      <x:c r="ID19" t="str">
        <x:f>IF('Calculations'!IC19="","",IF('Calculations'!IC19="!AMBIG","!AMBIG",IF(COUNTIF('Calculations'!$HE$13:$HE$512,"="&amp;SUBSTITUTE(SUBSTITUTE(SUBSTITUTE('Calculations'!IC19,"~","~~"),"*","~*"),"?","~?"))&gt;1,"!AMBIG",IFERROR(INDEX('Calculations'!$HF$13:$HF$512,MATCH('Calculations'!IC19,'Calculations'!$HE$13:$HE$512,0)),""))))</x:f>
      </x:c>
      <x:c r="IE19" t="str">
        <x:f>IF('Calculations'!ID19="","",IF('Calculations'!ID19="!AMBIG","!AMBIG",IF(COUNTIF('Calculations'!$HE$13:$HE$512,"="&amp;SUBSTITUTE(SUBSTITUTE(SUBSTITUTE('Calculations'!ID19,"~","~~"),"*","~*"),"?","~?"))&gt;1,"!AMBIG",IFERROR(INDEX('Calculations'!$HF$13:$HF$512,MATCH('Calculations'!ID19,'Calculations'!$HE$13:$HE$512,0)),""))))</x:f>
      </x:c>
      <x:c r="IF19" t="str">
        <x:f>IF('Calculations'!IE19="","",IF('Calculations'!IE19="!AMBIG","!AMBIG",IF(COUNTIF('Calculations'!$HE$13:$HE$512,"="&amp;SUBSTITUTE(SUBSTITUTE(SUBSTITUTE('Calculations'!IE19,"~","~~"),"*","~*"),"?","~?"))&gt;1,"!AMBIG",IFERROR(INDEX('Calculations'!$HF$13:$HF$512,MATCH('Calculations'!IE19,'Calculations'!$HE$13:$HE$512,0)),""))))</x:f>
      </x:c>
      <x:c r="IG19" t="str">
        <x:f>IF('Calculations'!IF19="","",IF('Calculations'!IF19="!AMBIG","!AMBIG",IF(COUNTIF('Calculations'!$HE$13:$HE$512,"="&amp;SUBSTITUTE(SUBSTITUTE(SUBSTITUTE('Calculations'!IF19,"~","~~"),"*","~*"),"?","~?"))&gt;1,"!AMBIG",IFERROR(INDEX('Calculations'!$HF$13:$HF$512,MATCH('Calculations'!IF19,'Calculations'!$HE$13:$HE$512,0)),""))))</x:f>
      </x:c>
      <x:c r="IH19" t="str">
        <x:f>IF('Calculations'!IG19="","",IF('Calculations'!IG19="!AMBIG","!AMBIG",IF(COUNTIF('Calculations'!$HE$13:$HE$512,"="&amp;SUBSTITUTE(SUBSTITUTE(SUBSTITUTE('Calculations'!IG19,"~","~~"),"*","~*"),"?","~?"))&gt;1,"!AMBIG",IFERROR(INDEX('Calculations'!$HF$13:$HF$512,MATCH('Calculations'!IG19,'Calculations'!$HE$13:$HE$512,0)),""))))</x:f>
      </x:c>
      <x:c r="II19" t="str">
        <x:f>IF('Calculations'!IH19="","",IF('Calculations'!IH19="!AMBIG","!AMBIG",IF(COUNTIF('Calculations'!$HE$13:$HE$512,"="&amp;SUBSTITUTE(SUBSTITUTE(SUBSTITUTE('Calculations'!IH19,"~","~~"),"*","~*"),"?","~?"))&gt;1,"!AMBIG",IFERROR(INDEX('Calculations'!$HF$13:$HF$512,MATCH('Calculations'!IH19,'Calculations'!$HE$13:$HE$512,0)),""))))</x:f>
      </x:c>
      <x:c r="IJ19" t="str">
        <x:f>IF('Calculations'!EM19="","",IF('Calculations'!$EF$2="All",'Calculations'!HM19,IF('Calculations'!HL19=1,"",IFERROR(IF(MATCH('Calculations'!$EF$2,'Calculations'!HO19:II19,0)=1,'Calculations'!HE19,INDEX('Calculations'!HO19:II19,1,MATCH('Calculations'!$EF$2,'Calculations'!HO19:II19,0)-1)),""))))</x:f>
      </x:c>
      <x:c r="IK19" t="n">
        <x:f>IF(AND('Calculations'!EM19&lt;&gt;"",'Calculations'!$EF$2&lt;&gt;"All",'Calculations'!HF19='Calculations'!$EF$2,'Calculations'!HL19=0,'Calculations'!JD19&gt;0),MAX('Calculations'!$IK$12:IK18)+1,0)</x:f>
        <x:v>0</x:v>
      </x:c>
      <x:c r="JA19" t="n">
        <x:f>IF(OR(IFERROR(INDIRECT("'WCM Calibration Final'!$A$19")&lt;&gt;"",FALSE),IFERROR(INDIRECT("'WCM Calibration Final'!$B$19")&lt;&gt;"",FALSE),IFERROR(INDIRECT("'WCM Calibration Final'!$C$19")&lt;&gt;"",FALSE)),19,0)</x:f>
        <x:v>0</x:v>
      </x:c>
      <x:c r="JB19" t="n">
        <x:f>'Calculations'!JB18+IF('Calculations'!JA19&gt;0,1,0)</x:f>
        <x:v>0</x:v>
      </x:c>
      <x:c r="JC19" t="n">
        <x:f>IF(OR('Calculations'!HF19="",'Calculations'!HF19="!AMBIG"),0,IF('Dashboard'!$B$7="All",1,COUNTIFS('Calculations'!$HO$13:$HO$512,"="&amp;SUBSTITUTE(SUBSTITUTE(SUBSTITUTE('Calculations'!HF19,"~","~~"),"*","~*"),"?","~?"),'Calculations'!$HN$13:$HN$512,"="&amp;SUBSTITUTE(SUBSTITUTE(SUBSTITUTE('Dashboard'!$B$7,"~","~~"),"*","~*"),"?","~?"))+COUNTIFS('Calculations'!$HP$13:$HP$512,"="&amp;SUBSTITUTE(SUBSTITUTE(SUBSTITUTE('Calculations'!HF19,"~","~~"),"*","~*"),"?","~?"),'Calculations'!$HN$13:$HN$512,"="&amp;SUBSTITUTE(SUBSTITUTE(SUBSTITUTE('Dashboard'!$B$7,"~","~~"),"*","~*"),"?","~?"))+COUNTIFS('Calculations'!$HQ$13:$HQ$512,"="&amp;SUBSTITUTE(SUBSTITUTE(SUBSTITUTE('Calculations'!HF19,"~","~~"),"*","~*"),"?","~?"),'Calculations'!$HN$13:$HN$512,"="&amp;SUBSTITUTE(SUBSTITUTE(SUBSTITUTE('Dashboard'!$B$7,"~","~~"),"*","~*"),"?","~?"))+COUNTIFS('Calculations'!$HR$13:$HR$512,"="&amp;SUBSTITUTE(SUBSTITUTE(SUBSTITUTE('Calculations'!HF19,"~","~~"),"*","~*"),"?","~?"),'Calculations'!$HN$13:$HN$512,"="&amp;SUBSTITUTE(SUBSTITUTE(SUBSTITUTE('Dashboard'!$B$7,"~","~~"),"*","~*"),"?","~?"))+COUNTIFS('Calculations'!$HS$13:$HS$512,"="&amp;SUBSTITUTE(SUBSTITUTE(SUBSTITUTE('Calculations'!HF19,"~","~~"),"*","~*"),"?","~?"),'Calculations'!$HN$13:$HN$512,"="&amp;SUBSTITUTE(SUBSTITUTE(SUBSTITUTE('Dashboard'!$B$7,"~","~~"),"*","~*"),"?","~?"))+COUNTIFS('Calculations'!$HT$13:$HT$512,"="&amp;SUBSTITUTE(SUBSTITUTE(SUBSTITUTE('Calculations'!HF19,"~","~~"),"*","~*"),"?","~?"),'Calculations'!$HN$13:$HN$512,"="&amp;SUBSTITUTE(SUBSTITUTE(SUBSTITUTE('Dashboard'!$B$7,"~","~~"),"*","~*"),"?","~?"))+COUNTIFS('Calculations'!$HU$13:$HU$512,"="&amp;SUBSTITUTE(SUBSTITUTE(SUBSTITUTE('Calculations'!HF19,"~","~~"),"*","~*"),"?","~?"),'Calculations'!$HN$13:$HN$512,"="&amp;SUBSTITUTE(SUBSTITUTE(SUBSTITUTE('Dashboard'!$B$7,"~","~~"),"*","~*"),"?","~?"))+COUNTIFS('Calculations'!$HV$13:$HV$512,"="&amp;SUBSTITUTE(SUBSTITUTE(SUBSTITUTE('Calculations'!HF19,"~","~~"),"*","~*"),"?","~?"),'Calculations'!$HN$13:$HN$512,"="&amp;SUBSTITUTE(SUBSTITUTE(SUBSTITUTE('Dashboard'!$B$7,"~","~~"),"*","~*"),"?","~?"))+COUNTIFS('Calculations'!$HW$13:$HW$512,"="&amp;SUBSTITUTE(SUBSTITUTE(SUBSTITUTE('Calculations'!HF19,"~","~~"),"*","~*"),"?","~?"),'Calculations'!$HN$13:$HN$512,"="&amp;SUBSTITUTE(SUBSTITUTE(SUBSTITUTE('Dashboard'!$B$7,"~","~~"),"*","~*"),"?","~?"))+COUNTIFS('Calculations'!$HX$13:$HX$512,"="&amp;SUBSTITUTE(SUBSTITUTE(SUBSTITUTE('Calculations'!HF19,"~","~~"),"*","~*"),"?","~?"),'Calculations'!$HN$13:$HN$512,"="&amp;SUBSTITUTE(SUBSTITUTE(SUBSTITUTE('Dashboard'!$B$7,"~","~~"),"*","~*"),"?","~?"))+COUNTIFS('Calculations'!$HY$13:$HY$512,"="&amp;SUBSTITUTE(SUBSTITUTE(SUBSTITUTE('Calculations'!HF19,"~","~~"),"*","~*"),"?","~?"),'Calculations'!$HN$13:$HN$512,"="&amp;SUBSTITUTE(SUBSTITUTE(SUBSTITUTE('Dashboard'!$B$7,"~","~~"),"*","~*"),"?","~?"))+COUNTIFS('Calculations'!$HZ$13:$HZ$512,"="&amp;SUBSTITUTE(SUBSTITUTE(SUBSTITUTE('Calculations'!HF19,"~","~~"),"*","~*"),"?","~?"),'Calculations'!$HN$13:$HN$512,"="&amp;SUBSTITUTE(SUBSTITUTE(SUBSTITUTE('Dashboard'!$B$7,"~","~~"),"*","~*"),"?","~?"))+COUNTIFS('Calculations'!$IA$13:$IA$512,"="&amp;SUBSTITUTE(SUBSTITUTE(SUBSTITUTE('Calculations'!HF19,"~","~~"),"*","~*"),"?","~?"),'Calculations'!$HN$13:$HN$512,"="&amp;SUBSTITUTE(SUBSTITUTE(SUBSTITUTE('Dashboard'!$B$7,"~","~~"),"*","~*"),"?","~?"))+COUNTIFS('Calculations'!$IB$13:$IB$512,"="&amp;SUBSTITUTE(SUBSTITUTE(SUBSTITUTE('Calculations'!HF19,"~","~~"),"*","~*"),"?","~?"),'Calculations'!$HN$13:$HN$512,"="&amp;SUBSTITUTE(SUBSTITUTE(SUBSTITUTE('Dashboard'!$B$7,"~","~~"),"*","~*"),"?","~?"))+COUNTIFS('Calculations'!$IC$13:$IC$512,"="&amp;SUBSTITUTE(SUBSTITUTE(SUBSTITUTE('Calculations'!HF19,"~","~~"),"*","~*"),"?","~?"),'Calculations'!$HN$13:$HN$512,"="&amp;SUBSTITUTE(SUBSTITUTE(SUBSTITUTE('Dashboard'!$B$7,"~","~~"),"*","~*"),"?","~?"))+COUNTIFS('Calculations'!$ID$13:$ID$512,"="&amp;SUBSTITUTE(SUBSTITUTE(SUBSTITUTE('Calculations'!HF19,"~","~~"),"*","~*"),"?","~?"),'Calculations'!$HN$13:$HN$512,"="&amp;SUBSTITUTE(SUBSTITUTE(SUBSTITUTE('Dashboard'!$B$7,"~","~~"),"*","~*"),"?","~?"))+COUNTIFS('Calculations'!$IE$13:$IE$512,"="&amp;SUBSTITUTE(SUBSTITUTE(SUBSTITUTE('Calculations'!HF19,"~","~~"),"*","~*"),"?","~?"),'Calculations'!$HN$13:$HN$512,"="&amp;SUBSTITUTE(SUBSTITUTE(SUBSTITUTE('Dashboard'!$B$7,"~","~~"),"*","~*"),"?","~?"))+COUNTIFS('Calculations'!$IF$13:$IF$512,"="&amp;SUBSTITUTE(SUBSTITUTE(SUBSTITUTE('Calculations'!HF19,"~","~~"),"*","~*"),"?","~?"),'Calculations'!$HN$13:$HN$512,"="&amp;SUBSTITUTE(SUBSTITUTE(SUBSTITUTE('Dashboard'!$B$7,"~","~~"),"*","~*"),"?","~?"))+COUNTIFS('Calculations'!$IG$13:$IG$512,"="&amp;SUBSTITUTE(SUBSTITUTE(SUBSTITUTE('Calculations'!HF19,"~","~~"),"*","~*"),"?","~?"),'Calculations'!$HN$13:$HN$512,"="&amp;SUBSTITUTE(SUBSTITUTE(SUBSTITUTE('Dashboard'!$B$7,"~","~~"),"*","~*"),"?","~?"))+COUNTIFS('Calculations'!$IH$13:$IH$512,"="&amp;SUBSTITUTE(SUBSTITUTE(SUBSTITUTE('Calculations'!HF19,"~","~~"),"*","~*"),"?","~?"),'Calculations'!$HN$13:$HN$512,"="&amp;SUBSTITUTE(SUBSTITUTE(SUBSTITUTE('Dashboard'!$B$7,"~","~~"),"*","~*"),"?","~?"))))</x:f>
        <x:v>0</x:v>
      </x:c>
      <x:c r="JD19" t="n">
        <x:f>IF('Calculations'!EM19="",0,IF('Dashboard'!$B$7="All",1,IF('Calculations'!HN19='Dashboard'!$B$7,1,0)+IFERROR(INDEX('Calculations'!$JC$13:$JC$512,MATCH('Calculations'!HE19,'Calculations'!$HF$13:$HF$512,0)),0)))</x:f>
        <x:v>0</x:v>
      </x:c>
      <x:c r="JE19" t="n">
        <x:f>IF(AND('Calculations'!EM19&lt;&gt;"",'Calculations'!$JJ$2&lt;&gt;"All",'Calculations'!$JJ$2&lt;&gt;"",'Calculations'!HF19='Calculations'!$JJ$2,'Calculations'!HL19=0,'Calculations'!JD19&gt;0),MAX('Calculations'!$JE$12:JE18)+1,0)</x:f>
        <x:v>0</x:v>
      </x:c>
      <x:c r="JF19" t="str">
        <x:f>IF('Calculations'!EM19="","",IFERROR(IF(INDEX(INDIRECT("'WCM Calibration Final'!$G$1:$G$2000"),'Calculations'!$EM19)="","",TRIM(INDEX(INDIRECT("'WCM Calibration Final'!$G$1:$G$2000"),'Calculations'!$EM19)&amp;"")),""))</x:f>
      </x:c>
      <x:c r="JQ19" t="n">
        <x:f>IF(OR('Calculations'!BM19=0,NOT('Calculations'!$AG$2),'Calculations'!$AG$8&gt;0),0,IF(OR('Dashboard'!$B$7="All",'Calculations'!HN19='Dashboard'!$B$7),IF('Calculations'!$JJ$2="All",1,IF(AND('Calculations'!HF19='Calculations'!$JJ$2,'Calculations'!HL19=0),1,0)),0))</x:f>
        <x:v>0</x:v>
      </x:c>
    </x:row>
    <x:row r="20" ht="21" customHeight="1">
      <x:c r="A20" s="75"/>
      <x:c r="B20" s="75"/>
      <x:c r="C20" s="75"/>
      <x:c r="D20" s="75"/>
      <x:c r="E20" s="75"/>
      <x:c r="F20" s="75"/>
      <x:c r="G20" s="75"/>
      <x:c r="H20" s="75"/>
      <x:c r="I20" s="75"/>
      <x:c r="J20" s="75"/>
      <x:c r="K20" s="75"/>
      <x:c r="L20" s="75"/>
      <x:c r="M20" s="75"/>
      <x:c r="AF20" s="4" t="str">
        <x:v>Category</x:v>
      </x:c>
      <x:c r="AG20" s="4" t="str">
        <x:v>Count</x:v>
      </x:c>
      <x:c r="AH20" s="4" t="str">
        <x:v>Actual</x:v>
      </x:c>
      <x:c r="AI20" s="4" t="str">
        <x:v>Threshold</x:v>
      </x:c>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t="n">
        <x:f>IF('Calculations'!$EM20="",0,IF(OR(IFERROR(INDEX(INDIRECT("'WCM Calibration Final'!$A$1:$A$2000"),'Calculations'!$EM20)&lt;&gt;"",FALSE),IFERROR(INDEX(INDIRECT("'WCM Calibration Final'!$B$1:$B$2000"),'Calculations'!$EM20)&lt;&gt;"",FALSE),IFERROR(INDEX(INDIRECT("'WCM Calibration Final'!$C$1:$C$2000"),'Calculations'!$EM20)&lt;&gt;"",FALSE)),1,0))</x:f>
        <x:v>0</x:v>
      </x:c>
      <x:c r="BN20" s="4" t="n">
        <x:f>IF(AND('Calculations'!BM20=1,'Calculations'!$AG$2,'Calculations'!$EN20=1),1,0)</x:f>
        <x:v>0</x:v>
      </x:c>
      <x:c r="BO20" s="4" t="str">
        <x:f>IF('Calculations'!BM20=0,"",IFERROR(IF(AND(VALUE(INDEX(INDIRECT("'WCM Calibration Final'!$K$1:$K$2000"),'Calculations'!$EM20))&gt;=1,VALUE(INDEX(INDIRECT("'WCM Calibration Final'!$K$1:$K$2000"),'Calculations'!$EM20))&lt;=4,MOD(VALUE(INDEX(INDIRECT("'WCM Calibration Final'!$K$1:$K$2000"),'Calculations'!$EM20)),1)=0),VALUE(INDEX(INDIRECT("'WCM Calibration Final'!$K$1:$K$2000"),'Calculations'!$EM20)),""),""))</x:f>
      </x:c>
      <x:c r="BP20" s="4" t="str">
        <x:f>IF('Calculations'!BM20=0,"",IFERROR(IF(AND(VALUE(INDEX(INDIRECT("'WCM Calibration Final'!$L$1:$L$2000"),'Calculations'!$EM20))&gt;=1,VALUE(INDEX(INDIRECT("'WCM Calibration Final'!$L$1:$L$2000"),'Calculations'!$EM20))&lt;=4,MOD(VALUE(INDEX(INDIRECT("'WCM Calibration Final'!$L$1:$L$2000"),'Calculations'!$EM20)),1)=0),VALUE(INDEX(INDIRECT("'WCM Calibration Final'!$L$1:$L$2000"),'Calculations'!$EM20)),""),""))</x:f>
      </x:c>
      <x:c r="BQ20" s="4"/>
      <x:c r="BR20" s="4"/>
      <x:c r="BS20" s="4"/>
      <x:c r="BT20" s="4" t="n">
        <x:f>IF(AND('Calculations'!BM20=1,ISNUMBER('Calculations'!BO20),ISNUMBER('Calculations'!BP20)),1,0)</x:f>
        <x:v>0</x:v>
      </x:c>
      <x:c r="BU20" s="4" t="str">
        <x:f>IF('Calculations'!BM20=0,"",'Calculations'!$EO20)</x:f>
      </x:c>
      <x:c r="BV20" s="4" t="str">
        <x:f>IF('Calculations'!BM20=0,"",IFERROR(IF(OR(INDEX(INDIRECT("'WCM Calibration Final'!$H$1:$H$2000"),'Calculations'!$EM20)="MANAGING DIRECTOR",INDEX(INDIRECT("'WCM Calibration Final'!$H$1:$H$2000"),'Calculations'!$EM20)="DIRECTOR",INDEX(INDIRECT("'WCM Calibration Final'!$H$1:$H$2000"),'Calculations'!$EM20)="SENIOR VICE PRESIDENT",INDEX(INDIRECT("'WCM Calibration Final'!$H$1:$H$2000"),'Calculations'!$EM20)="VICE PRESIDENT",INDEX(INDIRECT("'WCM Calibration Final'!$H$1:$H$2000"),'Calculations'!$EM20)="ASSISTANT VICE PRESIDENT",INDEX(INDIRECT("'WCM Calibration Final'!$H$1:$H$2000"),'Calculations'!$EM20)="OFFICER"),UPPER(INDEX(INDIRECT("'WCM Calibration Final'!$H$1:$H$2000"),'Calculations'!$EM20)),"Other"),"Other"))</x:f>
      </x:c>
      <x:c r="BW20" s="4"/>
      <x:c r="BX20" s="4"/>
      <x:c r="BY20" s="4" t="n">
        <x:f>IF(AND('Calculations'!BM20=1,'Calculations'!BU20&lt;&gt;"",COUNTIF('Calculations'!$BU$12:BU20,'Calculations'!BU20)=1),MAX('Calculations'!$BY$11:BY19)+1,0)</x:f>
        <x:v>0</x:v>
      </x:c>
      <x:c r="BZ20" s="4" t="str">
        <x:f>IF('Dashboard'!$E$67="What",'Calculations'!BO20,'Calculations'!BP20)</x:f>
      </x:c>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t="str">
        <x:f>IF(9&gt;MAX('Calculations'!$HI$13:$HI$512),"",INDEX('Calculations'!$HN$13:$HN$512,MATCH(9,'Calculations'!$HI$13:$HI$512,0)))</x:f>
      </x:c>
      <x:c r="DB20" s="4" t="str">
        <x:f>IF(9&gt;MAX('Calculations'!$HH$13:$HH$512),"",INDEX('Calculations'!$HJ$13:$HJ$512,MATCH(9,'Calculations'!$HH$13:$HH$512,0)))</x:f>
      </x:c>
      <x:c r="DC20" s="4" t="str">
        <x:f>IF(ROW()-11&gt;MAX('Calculations'!$BY$13:$BY$512),"",INDEX('Calculations'!$BU$13:$BU$512,MATCH(ROW()-11,'Calculations'!$BY$13:$BY$512,0)))</x:f>
      </x:c>
      <x:c r="DD20" s="4" t="str">
        <x:f>IF(9&gt;MAX('Calculations'!$IK$13:$IK$512),"",INDEX('Calculations'!$HK$13:$HK$512,MATCH(9,'Calculations'!$IK$13:$IK$512,0)))</x:f>
      </x:c>
      <x:c r="DE20" s="4" t="str">
        <x:f>'Calculations'!DC20</x:f>
      </x:c>
      <x:c r="DF20" s="4" t="str">
        <x:f>IF('Calculations'!DE20="","",COUNTIFS('Calculations'!$BN$13:$BN$512,1,'Calculations'!$BU$13:$BU$512,'Calculations'!DE20))</x:f>
      </x:c>
      <x:c r="DG20" s="4" t="str">
        <x:f>IF('Calculations'!DE20="","",COUNTIFS('Calculations'!$BN$13:$BN$512,1,'Calculations'!$BU$13:$BU$512,'Calculations'!DE20,'Calculations'!$BT$13:$BT$512,1))</x:f>
      </x:c>
      <x:c r="DH20" s="4" t="str">
        <x:f>IF('Calculations'!DE20="","",'Calculations'!DF20-'Calculations'!DG20)</x:f>
      </x:c>
      <x:c r="DI20" s="4" t="str">
        <x:f>IF(OR('Calculations'!DE20="",'Calculations'!DF20=0),"",'Calculations'!DG20/'Calculations'!DF20)</x:f>
      </x:c>
      <x:c r="DJ20" s="4" t="str">
        <x:f>IF('Calculations'!DE20="","",COUNTIFS('Calculations'!$BN$13:$BN$512,1,'Calculations'!$BU$13:$BU$512,'Calculations'!DE20,'Calculations'!$BT$13:$BT$512,1,'Calculations'!$EE$13:$EE$512,"High"))</x:f>
      </x:c>
      <x:c r="DK20" s="4" t="str">
        <x:f>IF('Calculations'!DE20="","",COUNTIFS('Calculations'!$BN$13:$BN$512,1,'Calculations'!$BU$13:$BU$512,'Calculations'!DE20,'Calculations'!$BT$13:$BT$512,1,'Calculations'!$EE$13:$EE$512,"Strong"))</x:f>
      </x:c>
      <x:c r="DL20" s="4" t="str">
        <x:f>IF('Calculations'!DE20="","",COUNTIFS('Calculations'!$BN$13:$BN$512,1,'Calculations'!$BU$13:$BU$512,'Calculations'!DE20,'Calculations'!$BT$13:$BT$512,1,'Calculations'!$EE$13:$EE$512,"Solid"))</x:f>
      </x:c>
      <x:c r="DM20" s="4" t="str">
        <x:f>IF('Calculations'!DE20="","",COUNTIFS('Calculations'!$BN$13:$BN$512,1,'Calculations'!$BU$13:$BU$512,'Calculations'!DE20,'Calculations'!$BT$13:$BT$512,1,'Calculations'!$EE$13:$EE$512,"Low"))</x:f>
      </x:c>
      <x:c r="DN20" s="4" t="str">
        <x:f>IF('Calculations'!DE20="","",COUNTIFS('Calculations'!$BN$13:$BN$512,1,'Calculations'!$BU$13:$BU$512,'Calculations'!DE20,'Calculations'!$EP$13:$EP$512,1))</x:f>
      </x:c>
      <x:c r="DO20" s="4" t="str">
        <x:f>IF(OR('Calculations'!DE20="",'Calculations'!DG20=0),"",('Calculations'!DJ20+'Calculations'!DK20)/'Calculations'!DG20)</x:f>
      </x:c>
      <x:c r="DP20" s="4" t="n">
        <x:f>IF(AND('Calculations'!DE20&lt;&gt;"",'Calculations'!DF20&gt;0),COUNTIF('Calculations'!$DF$12:DF20,"&gt;0"),0)</x:f>
        <x:v>0</x:v>
      </x:c>
      <x:c r="DQ20" s="4" t="str">
        <x:f>IF(9&gt;MAX('Calculations'!$HH$13:$HH$512),"",INDEX('Calculations'!$HF$13:$HF$512,MATCH(9,'Calculations'!$HH$13:$HH$512,0)))</x:f>
      </x:c>
      <x:c r="DR20" s="4" t="str">
        <x:f>IF(9&gt;MAX('Calculations'!$IK$13:$IK$512),"",INDEX('Calculations'!$HE$13:$HE$512,MATCH(9,'Calculations'!$IK$13:$IK$512,0)))</x:f>
      </x:c>
      <x:c r="DS20" s="4"/>
      <x:c r="DT20" s="4"/>
      <x:c r="DU20" s="4"/>
      <x:c r="DV20" s="4"/>
      <x:c r="DW20" s="4"/>
      <x:c r="DX20" s="4"/>
      <x:c r="DY20" s="4"/>
      <x:c r="DZ20" s="4"/>
      <x:c r="EA20" s="4"/>
      <x:c r="EB20" s="4"/>
      <x:c r="EC20" s="4"/>
      <x:c r="ED20" s="4"/>
      <x:c r="EE20" s="4" t="str">
        <x:f>IF('Calculations'!BT20=0,"Not Rated",IF(OR('Calculations'!BO20&gt;=4,'Calculations'!BP20&gt;=4),"Low",IF('Calculations'!BO20+'Calculations'!BP20&lt;=3,"High",IF('Calculations'!BO20+'Calculations'!BP20&lt;=4,"Strong","Solid"))))</x:f>
        <x:v>Not Rated</x:v>
      </x:c>
      <x:c r="EF20" s="4"/>
      <x:c r="EG20" s="4"/>
      <x:c r="EH20" s="4"/>
      <x:c r="EI20" s="4"/>
      <x:c r="EJ20" s="4"/>
      <x:c r="EK20" s="4"/>
      <x:c r="EL20" s="4"/>
      <x:c r="EM20" s="4" t="str">
        <x:f>IF(8&gt;'Calculations'!$JB$2000,"",INDEX('Calculations'!$JA$12:$JA$2000,MATCH(8,'Calculations'!$JB$12:$JB$2000,0)))</x:f>
      </x:c>
      <x:c r="EN20" s="4" t="n">
        <x:f>IF(OR('Calculations'!EM20="",'Calculations'!$AG$8&gt;0,AND('Calculations'!$EF$2&lt;&gt;"All",'Calculations'!HE20='Calculations'!$EF$2),AND('Calculations'!$EF$3&lt;&gt;"All",'Calculations'!HE20='Calculations'!$EF$3)),0,IF(OR('Dashboard'!$B$7="All",'Calculations'!HN20='Dashboard'!$B$7),IF('Calculations'!$EF$2="All",1,IF('Calculations'!HL20&gt;0,0,IF(COUNTIF('Calculations'!HO20:II20,"="&amp;SUBSTITUTE(SUBSTITUTE(SUBSTITUTE('Calculations'!$EF$2,"~","~~"),"*","~*"),"?","~?"))=0,0,IF('Calculations'!$EF$3="All",1,IF(COUNTIF('Calculations'!HO20:II20,"="&amp;SUBSTITUTE(SUBSTITUTE(SUBSTITUTE('Calculations'!$EF$3,"~","~~"),"*","~*"),"?","~?"))&gt;0,1,0))))),0))</x:f>
        <x:v>0</x:v>
      </x:c>
      <x:c r="EO20" s="4" t="str">
        <x:f>IF('Calculations'!IJ20="","",IF('Calculations'!IJ20="!UNRESOLVED","Unresolved hierarchy",IFERROR(INDEX('Calculations'!$HK$13:$HK$512,MATCH('Calculations'!IJ20,'Calculations'!$HE$13:$HE$512,0)),IFERROR(INDEX('Calculations'!$HJ$13:$HJ$512,MATCH('Calculations'!IJ20,'Calculations'!$HF$13:$HF$512,0)),'Calculations'!IJ20))))</x:f>
      </x:c>
      <x:c r="EP20" s="4" t="n">
        <x:f>IF(AND('Calculations'!EM20&lt;&gt;"",'Calculations'!HF20='Calculations'!IJ20),1,0)</x:f>
        <x:v>0</x:v>
      </x:c>
      <x:c r="EQ20" s="4"/>
      <x:c r="ER20" s="4"/>
      <x:c r="ES20" s="4"/>
      <x:c r="ET20" s="4"/>
      <x:c r="EU20" s="4"/>
      <x:c r="EV20" s="4"/>
      <x:c r="EW20" s="4"/>
      <x:c r="EX20" s="4"/>
      <x:c r="EY20" s="4"/>
      <x:c r="EZ20" s="4"/>
      <x:c r="FA20" s="4"/>
      <x:c r="FB20" s="4"/>
      <x:c r="FC20" s="4"/>
      <x:c r="FD20" s="4"/>
      <x:c r="FE20" s="4"/>
      <x:c r="FF20" s="4"/>
      <x:c r="FG20" s="4"/>
      <x:c r="FH20" s="4"/>
      <x:c r="FI20" s="4"/>
      <x:c r="FJ20" s="4"/>
      <x:c r="FK20" s="4"/>
      <x:c r="FL20" s="4"/>
      <x:c r="FM20" s="4"/>
      <x:c r="FN20" s="4"/>
      <x:c r="FO20" s="4"/>
      <x:c r="GA20" s="71"/>
      <x:c r="GB20" s="71"/>
      <x:c r="GC20" s="71"/>
      <x:c r="GD20" s="71"/>
      <x:c r="GE20" s="71"/>
      <x:c r="GF20" s="71"/>
      <x:c r="GG20" s="71"/>
      <x:c r="GH20" s="71"/>
      <x:c r="GI20" s="71"/>
      <x:c r="GJ20" s="71"/>
      <x:c r="GK20" s="71"/>
      <x:c r="GL20" s="71"/>
      <x:c r="GM20" s="71"/>
      <x:c r="GN20" s="71"/>
      <x:c r="GO20" s="71"/>
      <x:c r="GP20" s="71"/>
      <x:c r="GQ20" s="71"/>
      <x:c r="GR20" s="71"/>
      <x:c r="GS20" s="71"/>
      <x:c r="GT20" s="71"/>
      <x:c r="GU20" s="71"/>
      <x:c r="GV20" s="71"/>
      <x:c r="GW20" s="71"/>
      <x:c r="GX20" s="71"/>
      <x:c r="GY20" s="71"/>
      <x:c r="GZ20" s="71"/>
      <x:c r="HA20" s="71"/>
      <x:c r="HB20" s="71"/>
      <x:c r="HC20" s="71"/>
      <x:c r="HD20" s="71"/>
      <x:c r="HE20" t="str">
        <x:f>IF('Calculations'!EM20="","",IF(IFERROR(IF(INDEX(INDIRECT("'WCM Calibration Final'!$A$1:$A$2000"),'Calculations'!$EM20)="","",TRIM(INDEX(INDIRECT("'WCM Calibration Final'!$A$1:$A$2000"),'Calculations'!$EM20)&amp;"")),"")&lt;&gt;"","G:"&amp;IFERROR(TEXT(1*INDEX(INDIRECT("'WCM Calibration Final'!$A$1:$A$2000"),'Calculations'!$EM20),"0"),UPPER(IFERROR(IF(INDEX(INDIRECT("'WCM Calibration Final'!$A$1:$A$2000"),'Calculations'!$EM20)="","",TRIM(INDEX(INDIRECT("'WCM Calibration Final'!$A$1:$A$2000"),'Calculations'!$EM20)&amp;"")),""))),IF(IFERROR(IF(INDEX(INDIRECT("'WCM Calibration Final'!$C$1:$C$2000"),'Calculations'!$EM20)="","",TRIM(INDEX(INDIRECT("'WCM Calibration Final'!$C$1:$C$2000"),'Calculations'!$EM20)&amp;"")),"")&lt;&gt;"","S:"&amp;UPPER(IFERROR(IF(INDEX(INDIRECT("'WCM Calibration Final'!$C$1:$C$2000"),'Calculations'!$EM20)="","",TRIM(INDEX(INDIRECT("'WCM Calibration Final'!$C$1:$C$2000"),'Calculations'!$EM20)&amp;"")),"")),"R:"&amp;'Calculations'!EM20)))</x:f>
      </x:c>
      <x:c r="HF20" t="str">
        <x:f>IF('Calculations'!EM20="","",IF(IFERROR(IF(INDEX(INDIRECT("'WCM Calibration Final'!$D$1:$D$2000"),'Calculations'!$EM20)="","",TRIM(INDEX(INDIRECT("'WCM Calibration Final'!$D$1:$D$2000"),'Calculations'!$EM20)&amp;"")),"")&lt;&gt;"","G:"&amp;IFERROR(TEXT(1*INDEX(INDIRECT("'WCM Calibration Final'!$D$1:$D$2000"),'Calculations'!$EM20),"0"),UPPER(IFERROR(IF(INDEX(INDIRECT("'WCM Calibration Final'!$D$1:$D$2000"),'Calculations'!$EM20)="","",TRIM(INDEX(INDIRECT("'WCM Calibration Final'!$D$1:$D$2000"),'Calculations'!$EM20)&amp;"")),""))),IF(IFERROR(IF(INDEX(INDIRECT("'WCM Calibration Final'!$E$1:$E$2000"),'Calculations'!$EM20)="","",TRIM(INDEX(INDIRECT("'WCM Calibration Final'!$E$1:$E$2000"),'Calculations'!$EM20)&amp;"")),"")="","",IF(COUNTIF('Calculations'!$HG$13:$HG$512,"="&amp;SUBSTITUTE(SUBSTITUTE(SUBSTITUTE(IFERROR(IF(INDEX(INDIRECT("'WCM Calibration Final'!$E$1:$E$2000"),'Calculations'!$EM20)="","",TRIM(INDEX(INDIRECT("'WCM Calibration Final'!$E$1:$E$2000"),'Calculations'!$EM20)&amp;"")),""),"~","~~"),"*","~*"),"?","~?"))=1,INDEX('Calculations'!$HE$13:$HE$512,MATCH(IFERROR(IF(INDEX(INDIRECT("'WCM Calibration Final'!$E$1:$E$2000"),'Calculations'!$EM20)="","",TRIM(INDEX(INDIRECT("'WCM Calibration Final'!$E$1:$E$2000"),'Calculations'!$EM20)&amp;"")),""),'Calculations'!$HG$13:$HG$512,0)),IF(COUNTIF('Calculations'!$HG$13:$HG$512,"="&amp;SUBSTITUTE(SUBSTITUTE(SUBSTITUTE(IFERROR(IF(INDEX(INDIRECT("'WCM Calibration Final'!$E$1:$E$2000"),'Calculations'!$EM20)="","",TRIM(INDEX(INDIRECT("'WCM Calibration Final'!$E$1:$E$2000"),'Calculations'!$EM20)&amp;"")),""),"~","~~"),"*","~*"),"?","~?"))&gt;1,"!AMBIG","X:"&amp;IFERROR(IF(INDEX(INDIRECT("'WCM Calibration Final'!$E$1:$E$2000"),'Calculations'!$EM20)="","",TRIM(INDEX(INDIRECT("'WCM Calibration Final'!$E$1:$E$2000"),'Calculations'!$EM20)&amp;"")),""))))))</x:f>
      </x:c>
      <x:c r="HG20" t="str">
        <x:f>IF('Calculations'!EM20="","",IFERROR(IF(INDEX(INDIRECT("'WCM Calibration Final'!$B$1:$B$2000"),'Calculations'!$EM20)="","",TRIM(INDEX(INDIRECT("'WCM Calibration Final'!$B$1:$B$2000"),'Calculations'!$EM20)&amp;"")),""))</x:f>
      </x:c>
      <x:c r="HH20" t="n">
        <x:f>IF(AND('Calculations'!JC20&gt;0,COUNTIF('Calculations'!$HF$12:HF20,"="&amp;SUBSTITUTE(SUBSTITUTE(SUBSTITUTE('Calculations'!HF20,"~","~~"),"*","~*"),"?","~?"))=1),MAX('Calculations'!$HH$12:HH19)+1,0)</x:f>
        <x:v>0</x:v>
      </x:c>
      <x:c r="HI20" t="n">
        <x:f>IF(AND('Calculations'!HN20&lt;&gt;"",COUNTIF('Calculations'!$HN$12:HN20,"="&amp;SUBSTITUTE(SUBSTITUTE(SUBSTITUTE('Calculations'!HN20,"~","~~"),"*","~*"),"?","~?"))=1),MAX('Calculations'!$HI$12:HI19)+1,0)</x:f>
        <x:v>0</x:v>
      </x:c>
      <x:c r="HJ20" t="str">
        <x:f>IF('Calculations'!HF20="","",IF(COUNTIF('Calculations'!$HE$13:$HE$512,"="&amp;SUBSTITUTE(SUBSTITUTE(SUBSTITUTE('Calculations'!HF20,"~","~~"),"*","~*"),"?","~?"))=1,INDEX('Calculations'!$HK$13:$HK$512,MATCH('Calculations'!HF20,'Calculations'!$HE$13:$HE$512,0)),IFERROR(IF(INDEX(INDIRECT("'WCM Calibration Final'!$E$1:$E$2000"),'Calculations'!$EM20)="","",TRIM(INDEX(INDIRECT("'WCM Calibration Final'!$E$1:$E$2000"),'Calculations'!$EM20)&amp;"")),"")&amp;" ["&amp;'Calculations'!HF20&amp;"]"))</x:f>
      </x:c>
      <x:c r="HK20" t="str">
        <x:f>IF('Calculations'!EM20="","",'Calculations'!HG20&amp;" ["&amp;'Calculations'!HE20&amp;"]")</x:f>
      </x:c>
      <x:c r="HL20" t="n">
        <x:f>IF('Calculations'!EM20="",0,IF(OR('Calculations'!II20&lt;&gt;"",COUNTIF('Calculations'!$HE$13:$HE$512,"="&amp;SUBSTITUTE(SUBSTITUTE(SUBSTITUTE('Calculations'!HE20,"~","~~"),"*","~*"),"?","~?"))&gt;1),1,0))</x:f>
        <x:v>0</x:v>
      </x:c>
      <x:c r="HM20" t="str">
        <x:f>IF('Calculations'!EM20="","",IF('Calculations'!HL20=1,"!UNRESOLVED",IF('Calculations'!IH20&lt;&gt;"",'Calculations'!IH20,IF('Calculations'!IG20&lt;&gt;"",'Calculations'!IG20,IF('Calculations'!IF20&lt;&gt;"",'Calculations'!IF20,IF('Calculations'!IE20&lt;&gt;"",'Calculations'!IE20,IF('Calculations'!ID20&lt;&gt;"",'Calculations'!ID20,IF('Calculations'!IC20&lt;&gt;"",'Calculations'!IC20,IF('Calculations'!IB20&lt;&gt;"",'Calculations'!IB20,IF('Calculations'!IA20&lt;&gt;"",'Calculations'!IA20,IF('Calculations'!HZ20&lt;&gt;"",'Calculations'!HZ20,IF('Calculations'!HY20&lt;&gt;"",'Calculations'!HY20,IF('Calculations'!HX20&lt;&gt;"",'Calculations'!HX20,IF('Calculations'!HW20&lt;&gt;"",'Calculations'!HW20,IF('Calculations'!HV20&lt;&gt;"",'Calculations'!HV20,IF('Calculations'!HU20&lt;&gt;"",'Calculations'!HU20,IF('Calculations'!HT20&lt;&gt;"",'Calculations'!HT20,IF('Calculations'!HS20&lt;&gt;"",'Calculations'!HS20,IF('Calculations'!HR20&lt;&gt;"",'Calculations'!HR20,IF('Calculations'!HQ20&lt;&gt;"",'Calculations'!HQ20,IF('Calculations'!HP20&lt;&gt;"",'Calculations'!HP20,IF('Calculations'!HO20&lt;&gt;"",'Calculations'!HO20,'Calculations'!HE20))))))))))))))))))))))</x:f>
      </x:c>
      <x:c r="HN20" t="str">
        <x:f>IF('Calculations'!EM20="","",IF(IFERROR(IF(INDEX(INDIRECT("'WCM Calibration Final'!$F$1:$F$2000"),'Calculations'!$EM20)="","",TRIM(INDEX(INDIRECT("'WCM Calibration Final'!$F$1:$F$2000"),'Calculations'!$EM20)&amp;"")),"")="","(Blank)",IFERROR(IF(INDEX(INDIRECT("'WCM Calibration Final'!$F$1:$F$2000"),'Calculations'!$EM20)="","",TRIM(INDEX(INDIRECT("'WCM Calibration Final'!$F$1:$F$2000"),'Calculations'!$EM20)&amp;"")),"")))</x:f>
      </x:c>
      <x:c r="HO20" t="str">
        <x:f>'Calculations'!HF20</x:f>
      </x:c>
      <x:c r="HP20" t="str">
        <x:f>IF('Calculations'!HO20="","",IF('Calculations'!HO20="!AMBIG","!AMBIG",IF(COUNTIF('Calculations'!$HE$13:$HE$512,"="&amp;SUBSTITUTE(SUBSTITUTE(SUBSTITUTE('Calculations'!HO20,"~","~~"),"*","~*"),"?","~?"))&gt;1,"!AMBIG",IFERROR(INDEX('Calculations'!$HF$13:$HF$512,MATCH('Calculations'!HO20,'Calculations'!$HE$13:$HE$512,0)),""))))</x:f>
      </x:c>
      <x:c r="HQ20" t="str">
        <x:f>IF('Calculations'!HP20="","",IF('Calculations'!HP20="!AMBIG","!AMBIG",IF(COUNTIF('Calculations'!$HE$13:$HE$512,"="&amp;SUBSTITUTE(SUBSTITUTE(SUBSTITUTE('Calculations'!HP20,"~","~~"),"*","~*"),"?","~?"))&gt;1,"!AMBIG",IFERROR(INDEX('Calculations'!$HF$13:$HF$512,MATCH('Calculations'!HP20,'Calculations'!$HE$13:$HE$512,0)),""))))</x:f>
      </x:c>
      <x:c r="HR20" t="str">
        <x:f>IF('Calculations'!HQ20="","",IF('Calculations'!HQ20="!AMBIG","!AMBIG",IF(COUNTIF('Calculations'!$HE$13:$HE$512,"="&amp;SUBSTITUTE(SUBSTITUTE(SUBSTITUTE('Calculations'!HQ20,"~","~~"),"*","~*"),"?","~?"))&gt;1,"!AMBIG",IFERROR(INDEX('Calculations'!$HF$13:$HF$512,MATCH('Calculations'!HQ20,'Calculations'!$HE$13:$HE$512,0)),""))))</x:f>
      </x:c>
      <x:c r="HS20" t="str">
        <x:f>IF('Calculations'!HR20="","",IF('Calculations'!HR20="!AMBIG","!AMBIG",IF(COUNTIF('Calculations'!$HE$13:$HE$512,"="&amp;SUBSTITUTE(SUBSTITUTE(SUBSTITUTE('Calculations'!HR20,"~","~~"),"*","~*"),"?","~?"))&gt;1,"!AMBIG",IFERROR(INDEX('Calculations'!$HF$13:$HF$512,MATCH('Calculations'!HR20,'Calculations'!$HE$13:$HE$512,0)),""))))</x:f>
      </x:c>
      <x:c r="HT20" t="str">
        <x:f>IF('Calculations'!HS20="","",IF('Calculations'!HS20="!AMBIG","!AMBIG",IF(COUNTIF('Calculations'!$HE$13:$HE$512,"="&amp;SUBSTITUTE(SUBSTITUTE(SUBSTITUTE('Calculations'!HS20,"~","~~"),"*","~*"),"?","~?"))&gt;1,"!AMBIG",IFERROR(INDEX('Calculations'!$HF$13:$HF$512,MATCH('Calculations'!HS20,'Calculations'!$HE$13:$HE$512,0)),""))))</x:f>
      </x:c>
      <x:c r="HU20" t="str">
        <x:f>IF('Calculations'!HT20="","",IF('Calculations'!HT20="!AMBIG","!AMBIG",IF(COUNTIF('Calculations'!$HE$13:$HE$512,"="&amp;SUBSTITUTE(SUBSTITUTE(SUBSTITUTE('Calculations'!HT20,"~","~~"),"*","~*"),"?","~?"))&gt;1,"!AMBIG",IFERROR(INDEX('Calculations'!$HF$13:$HF$512,MATCH('Calculations'!HT20,'Calculations'!$HE$13:$HE$512,0)),""))))</x:f>
      </x:c>
      <x:c r="HV20" t="str">
        <x:f>IF('Calculations'!HU20="","",IF('Calculations'!HU20="!AMBIG","!AMBIG",IF(COUNTIF('Calculations'!$HE$13:$HE$512,"="&amp;SUBSTITUTE(SUBSTITUTE(SUBSTITUTE('Calculations'!HU20,"~","~~"),"*","~*"),"?","~?"))&gt;1,"!AMBIG",IFERROR(INDEX('Calculations'!$HF$13:$HF$512,MATCH('Calculations'!HU20,'Calculations'!$HE$13:$HE$512,0)),""))))</x:f>
      </x:c>
      <x:c r="HW20" t="str">
        <x:f>IF('Calculations'!HV20="","",IF('Calculations'!HV20="!AMBIG","!AMBIG",IF(COUNTIF('Calculations'!$HE$13:$HE$512,"="&amp;SUBSTITUTE(SUBSTITUTE(SUBSTITUTE('Calculations'!HV20,"~","~~"),"*","~*"),"?","~?"))&gt;1,"!AMBIG",IFERROR(INDEX('Calculations'!$HF$13:$HF$512,MATCH('Calculations'!HV20,'Calculations'!$HE$13:$HE$512,0)),""))))</x:f>
      </x:c>
      <x:c r="HX20" t="str">
        <x:f>IF('Calculations'!HW20="","",IF('Calculations'!HW20="!AMBIG","!AMBIG",IF(COUNTIF('Calculations'!$HE$13:$HE$512,"="&amp;SUBSTITUTE(SUBSTITUTE(SUBSTITUTE('Calculations'!HW20,"~","~~"),"*","~*"),"?","~?"))&gt;1,"!AMBIG",IFERROR(INDEX('Calculations'!$HF$13:$HF$512,MATCH('Calculations'!HW20,'Calculations'!$HE$13:$HE$512,0)),""))))</x:f>
      </x:c>
      <x:c r="HY20" t="str">
        <x:f>IF('Calculations'!HX20="","",IF('Calculations'!HX20="!AMBIG","!AMBIG",IF(COUNTIF('Calculations'!$HE$13:$HE$512,"="&amp;SUBSTITUTE(SUBSTITUTE(SUBSTITUTE('Calculations'!HX20,"~","~~"),"*","~*"),"?","~?"))&gt;1,"!AMBIG",IFERROR(INDEX('Calculations'!$HF$13:$HF$512,MATCH('Calculations'!HX20,'Calculations'!$HE$13:$HE$512,0)),""))))</x:f>
      </x:c>
      <x:c r="HZ20" t="str">
        <x:f>IF('Calculations'!HY20="","",IF('Calculations'!HY20="!AMBIG","!AMBIG",IF(COUNTIF('Calculations'!$HE$13:$HE$512,"="&amp;SUBSTITUTE(SUBSTITUTE(SUBSTITUTE('Calculations'!HY20,"~","~~"),"*","~*"),"?","~?"))&gt;1,"!AMBIG",IFERROR(INDEX('Calculations'!$HF$13:$HF$512,MATCH('Calculations'!HY20,'Calculations'!$HE$13:$HE$512,0)),""))))</x:f>
      </x:c>
      <x:c r="IA20" t="str">
        <x:f>IF('Calculations'!HZ20="","",IF('Calculations'!HZ20="!AMBIG","!AMBIG",IF(COUNTIF('Calculations'!$HE$13:$HE$512,"="&amp;SUBSTITUTE(SUBSTITUTE(SUBSTITUTE('Calculations'!HZ20,"~","~~"),"*","~*"),"?","~?"))&gt;1,"!AMBIG",IFERROR(INDEX('Calculations'!$HF$13:$HF$512,MATCH('Calculations'!HZ20,'Calculations'!$HE$13:$HE$512,0)),""))))</x:f>
      </x:c>
      <x:c r="IB20" t="str">
        <x:f>IF('Calculations'!IA20="","",IF('Calculations'!IA20="!AMBIG","!AMBIG",IF(COUNTIF('Calculations'!$HE$13:$HE$512,"="&amp;SUBSTITUTE(SUBSTITUTE(SUBSTITUTE('Calculations'!IA20,"~","~~"),"*","~*"),"?","~?"))&gt;1,"!AMBIG",IFERROR(INDEX('Calculations'!$HF$13:$HF$512,MATCH('Calculations'!IA20,'Calculations'!$HE$13:$HE$512,0)),""))))</x:f>
      </x:c>
      <x:c r="IC20" t="str">
        <x:f>IF('Calculations'!IB20="","",IF('Calculations'!IB20="!AMBIG","!AMBIG",IF(COUNTIF('Calculations'!$HE$13:$HE$512,"="&amp;SUBSTITUTE(SUBSTITUTE(SUBSTITUTE('Calculations'!IB20,"~","~~"),"*","~*"),"?","~?"))&gt;1,"!AMBIG",IFERROR(INDEX('Calculations'!$HF$13:$HF$512,MATCH('Calculations'!IB20,'Calculations'!$HE$13:$HE$512,0)),""))))</x:f>
      </x:c>
      <x:c r="ID20" t="str">
        <x:f>IF('Calculations'!IC20="","",IF('Calculations'!IC20="!AMBIG","!AMBIG",IF(COUNTIF('Calculations'!$HE$13:$HE$512,"="&amp;SUBSTITUTE(SUBSTITUTE(SUBSTITUTE('Calculations'!IC20,"~","~~"),"*","~*"),"?","~?"))&gt;1,"!AMBIG",IFERROR(INDEX('Calculations'!$HF$13:$HF$512,MATCH('Calculations'!IC20,'Calculations'!$HE$13:$HE$512,0)),""))))</x:f>
      </x:c>
      <x:c r="IE20" t="str">
        <x:f>IF('Calculations'!ID20="","",IF('Calculations'!ID20="!AMBIG","!AMBIG",IF(COUNTIF('Calculations'!$HE$13:$HE$512,"="&amp;SUBSTITUTE(SUBSTITUTE(SUBSTITUTE('Calculations'!ID20,"~","~~"),"*","~*"),"?","~?"))&gt;1,"!AMBIG",IFERROR(INDEX('Calculations'!$HF$13:$HF$512,MATCH('Calculations'!ID20,'Calculations'!$HE$13:$HE$512,0)),""))))</x:f>
      </x:c>
      <x:c r="IF20" t="str">
        <x:f>IF('Calculations'!IE20="","",IF('Calculations'!IE20="!AMBIG","!AMBIG",IF(COUNTIF('Calculations'!$HE$13:$HE$512,"="&amp;SUBSTITUTE(SUBSTITUTE(SUBSTITUTE('Calculations'!IE20,"~","~~"),"*","~*"),"?","~?"))&gt;1,"!AMBIG",IFERROR(INDEX('Calculations'!$HF$13:$HF$512,MATCH('Calculations'!IE20,'Calculations'!$HE$13:$HE$512,0)),""))))</x:f>
      </x:c>
      <x:c r="IG20" t="str">
        <x:f>IF('Calculations'!IF20="","",IF('Calculations'!IF20="!AMBIG","!AMBIG",IF(COUNTIF('Calculations'!$HE$13:$HE$512,"="&amp;SUBSTITUTE(SUBSTITUTE(SUBSTITUTE('Calculations'!IF20,"~","~~"),"*","~*"),"?","~?"))&gt;1,"!AMBIG",IFERROR(INDEX('Calculations'!$HF$13:$HF$512,MATCH('Calculations'!IF20,'Calculations'!$HE$13:$HE$512,0)),""))))</x:f>
      </x:c>
      <x:c r="IH20" t="str">
        <x:f>IF('Calculations'!IG20="","",IF('Calculations'!IG20="!AMBIG","!AMBIG",IF(COUNTIF('Calculations'!$HE$13:$HE$512,"="&amp;SUBSTITUTE(SUBSTITUTE(SUBSTITUTE('Calculations'!IG20,"~","~~"),"*","~*"),"?","~?"))&gt;1,"!AMBIG",IFERROR(INDEX('Calculations'!$HF$13:$HF$512,MATCH('Calculations'!IG20,'Calculations'!$HE$13:$HE$512,0)),""))))</x:f>
      </x:c>
      <x:c r="II20" t="str">
        <x:f>IF('Calculations'!IH20="","",IF('Calculations'!IH20="!AMBIG","!AMBIG",IF(COUNTIF('Calculations'!$HE$13:$HE$512,"="&amp;SUBSTITUTE(SUBSTITUTE(SUBSTITUTE('Calculations'!IH20,"~","~~"),"*","~*"),"?","~?"))&gt;1,"!AMBIG",IFERROR(INDEX('Calculations'!$HF$13:$HF$512,MATCH('Calculations'!IH20,'Calculations'!$HE$13:$HE$512,0)),""))))</x:f>
      </x:c>
      <x:c r="IJ20" t="str">
        <x:f>IF('Calculations'!EM20="","",IF('Calculations'!$EF$2="All",'Calculations'!HM20,IF('Calculations'!HL20=1,"",IFERROR(IF(MATCH('Calculations'!$EF$2,'Calculations'!HO20:II20,0)=1,'Calculations'!HE20,INDEX('Calculations'!HO20:II20,1,MATCH('Calculations'!$EF$2,'Calculations'!HO20:II20,0)-1)),""))))</x:f>
      </x:c>
      <x:c r="IK20" t="n">
        <x:f>IF(AND('Calculations'!EM20&lt;&gt;"",'Calculations'!$EF$2&lt;&gt;"All",'Calculations'!HF20='Calculations'!$EF$2,'Calculations'!HL20=0,'Calculations'!JD20&gt;0),MAX('Calculations'!$IK$12:IK19)+1,0)</x:f>
        <x:v>0</x:v>
      </x:c>
      <x:c r="JA20" t="n">
        <x:f>IF(OR(IFERROR(INDIRECT("'WCM Calibration Final'!$A$20")&lt;&gt;"",FALSE),IFERROR(INDIRECT("'WCM Calibration Final'!$B$20")&lt;&gt;"",FALSE),IFERROR(INDIRECT("'WCM Calibration Final'!$C$20")&lt;&gt;"",FALSE)),20,0)</x:f>
        <x:v>0</x:v>
      </x:c>
      <x:c r="JB20" t="n">
        <x:f>'Calculations'!JB19+IF('Calculations'!JA20&gt;0,1,0)</x:f>
        <x:v>0</x:v>
      </x:c>
      <x:c r="JC20" t="n">
        <x:f>IF(OR('Calculations'!HF20="",'Calculations'!HF20="!AMBIG"),0,IF('Dashboard'!$B$7="All",1,COUNTIFS('Calculations'!$HO$13:$HO$512,"="&amp;SUBSTITUTE(SUBSTITUTE(SUBSTITUTE('Calculations'!HF20,"~","~~"),"*","~*"),"?","~?"),'Calculations'!$HN$13:$HN$512,"="&amp;SUBSTITUTE(SUBSTITUTE(SUBSTITUTE('Dashboard'!$B$7,"~","~~"),"*","~*"),"?","~?"))+COUNTIFS('Calculations'!$HP$13:$HP$512,"="&amp;SUBSTITUTE(SUBSTITUTE(SUBSTITUTE('Calculations'!HF20,"~","~~"),"*","~*"),"?","~?"),'Calculations'!$HN$13:$HN$512,"="&amp;SUBSTITUTE(SUBSTITUTE(SUBSTITUTE('Dashboard'!$B$7,"~","~~"),"*","~*"),"?","~?"))+COUNTIFS('Calculations'!$HQ$13:$HQ$512,"="&amp;SUBSTITUTE(SUBSTITUTE(SUBSTITUTE('Calculations'!HF20,"~","~~"),"*","~*"),"?","~?"),'Calculations'!$HN$13:$HN$512,"="&amp;SUBSTITUTE(SUBSTITUTE(SUBSTITUTE('Dashboard'!$B$7,"~","~~"),"*","~*"),"?","~?"))+COUNTIFS('Calculations'!$HR$13:$HR$512,"="&amp;SUBSTITUTE(SUBSTITUTE(SUBSTITUTE('Calculations'!HF20,"~","~~"),"*","~*"),"?","~?"),'Calculations'!$HN$13:$HN$512,"="&amp;SUBSTITUTE(SUBSTITUTE(SUBSTITUTE('Dashboard'!$B$7,"~","~~"),"*","~*"),"?","~?"))+COUNTIFS('Calculations'!$HS$13:$HS$512,"="&amp;SUBSTITUTE(SUBSTITUTE(SUBSTITUTE('Calculations'!HF20,"~","~~"),"*","~*"),"?","~?"),'Calculations'!$HN$13:$HN$512,"="&amp;SUBSTITUTE(SUBSTITUTE(SUBSTITUTE('Dashboard'!$B$7,"~","~~"),"*","~*"),"?","~?"))+COUNTIFS('Calculations'!$HT$13:$HT$512,"="&amp;SUBSTITUTE(SUBSTITUTE(SUBSTITUTE('Calculations'!HF20,"~","~~"),"*","~*"),"?","~?"),'Calculations'!$HN$13:$HN$512,"="&amp;SUBSTITUTE(SUBSTITUTE(SUBSTITUTE('Dashboard'!$B$7,"~","~~"),"*","~*"),"?","~?"))+COUNTIFS('Calculations'!$HU$13:$HU$512,"="&amp;SUBSTITUTE(SUBSTITUTE(SUBSTITUTE('Calculations'!HF20,"~","~~"),"*","~*"),"?","~?"),'Calculations'!$HN$13:$HN$512,"="&amp;SUBSTITUTE(SUBSTITUTE(SUBSTITUTE('Dashboard'!$B$7,"~","~~"),"*","~*"),"?","~?"))+COUNTIFS('Calculations'!$HV$13:$HV$512,"="&amp;SUBSTITUTE(SUBSTITUTE(SUBSTITUTE('Calculations'!HF20,"~","~~"),"*","~*"),"?","~?"),'Calculations'!$HN$13:$HN$512,"="&amp;SUBSTITUTE(SUBSTITUTE(SUBSTITUTE('Dashboard'!$B$7,"~","~~"),"*","~*"),"?","~?"))+COUNTIFS('Calculations'!$HW$13:$HW$512,"="&amp;SUBSTITUTE(SUBSTITUTE(SUBSTITUTE('Calculations'!HF20,"~","~~"),"*","~*"),"?","~?"),'Calculations'!$HN$13:$HN$512,"="&amp;SUBSTITUTE(SUBSTITUTE(SUBSTITUTE('Dashboard'!$B$7,"~","~~"),"*","~*"),"?","~?"))+COUNTIFS('Calculations'!$HX$13:$HX$512,"="&amp;SUBSTITUTE(SUBSTITUTE(SUBSTITUTE('Calculations'!HF20,"~","~~"),"*","~*"),"?","~?"),'Calculations'!$HN$13:$HN$512,"="&amp;SUBSTITUTE(SUBSTITUTE(SUBSTITUTE('Dashboard'!$B$7,"~","~~"),"*","~*"),"?","~?"))+COUNTIFS('Calculations'!$HY$13:$HY$512,"="&amp;SUBSTITUTE(SUBSTITUTE(SUBSTITUTE('Calculations'!HF20,"~","~~"),"*","~*"),"?","~?"),'Calculations'!$HN$13:$HN$512,"="&amp;SUBSTITUTE(SUBSTITUTE(SUBSTITUTE('Dashboard'!$B$7,"~","~~"),"*","~*"),"?","~?"))+COUNTIFS('Calculations'!$HZ$13:$HZ$512,"="&amp;SUBSTITUTE(SUBSTITUTE(SUBSTITUTE('Calculations'!HF20,"~","~~"),"*","~*"),"?","~?"),'Calculations'!$HN$13:$HN$512,"="&amp;SUBSTITUTE(SUBSTITUTE(SUBSTITUTE('Dashboard'!$B$7,"~","~~"),"*","~*"),"?","~?"))+COUNTIFS('Calculations'!$IA$13:$IA$512,"="&amp;SUBSTITUTE(SUBSTITUTE(SUBSTITUTE('Calculations'!HF20,"~","~~"),"*","~*"),"?","~?"),'Calculations'!$HN$13:$HN$512,"="&amp;SUBSTITUTE(SUBSTITUTE(SUBSTITUTE('Dashboard'!$B$7,"~","~~"),"*","~*"),"?","~?"))+COUNTIFS('Calculations'!$IB$13:$IB$512,"="&amp;SUBSTITUTE(SUBSTITUTE(SUBSTITUTE('Calculations'!HF20,"~","~~"),"*","~*"),"?","~?"),'Calculations'!$HN$13:$HN$512,"="&amp;SUBSTITUTE(SUBSTITUTE(SUBSTITUTE('Dashboard'!$B$7,"~","~~"),"*","~*"),"?","~?"))+COUNTIFS('Calculations'!$IC$13:$IC$512,"="&amp;SUBSTITUTE(SUBSTITUTE(SUBSTITUTE('Calculations'!HF20,"~","~~"),"*","~*"),"?","~?"),'Calculations'!$HN$13:$HN$512,"="&amp;SUBSTITUTE(SUBSTITUTE(SUBSTITUTE('Dashboard'!$B$7,"~","~~"),"*","~*"),"?","~?"))+COUNTIFS('Calculations'!$ID$13:$ID$512,"="&amp;SUBSTITUTE(SUBSTITUTE(SUBSTITUTE('Calculations'!HF20,"~","~~"),"*","~*"),"?","~?"),'Calculations'!$HN$13:$HN$512,"="&amp;SUBSTITUTE(SUBSTITUTE(SUBSTITUTE('Dashboard'!$B$7,"~","~~"),"*","~*"),"?","~?"))+COUNTIFS('Calculations'!$IE$13:$IE$512,"="&amp;SUBSTITUTE(SUBSTITUTE(SUBSTITUTE('Calculations'!HF20,"~","~~"),"*","~*"),"?","~?"),'Calculations'!$HN$13:$HN$512,"="&amp;SUBSTITUTE(SUBSTITUTE(SUBSTITUTE('Dashboard'!$B$7,"~","~~"),"*","~*"),"?","~?"))+COUNTIFS('Calculations'!$IF$13:$IF$512,"="&amp;SUBSTITUTE(SUBSTITUTE(SUBSTITUTE('Calculations'!HF20,"~","~~"),"*","~*"),"?","~?"),'Calculations'!$HN$13:$HN$512,"="&amp;SUBSTITUTE(SUBSTITUTE(SUBSTITUTE('Dashboard'!$B$7,"~","~~"),"*","~*"),"?","~?"))+COUNTIFS('Calculations'!$IG$13:$IG$512,"="&amp;SUBSTITUTE(SUBSTITUTE(SUBSTITUTE('Calculations'!HF20,"~","~~"),"*","~*"),"?","~?"),'Calculations'!$HN$13:$HN$512,"="&amp;SUBSTITUTE(SUBSTITUTE(SUBSTITUTE('Dashboard'!$B$7,"~","~~"),"*","~*"),"?","~?"))+COUNTIFS('Calculations'!$IH$13:$IH$512,"="&amp;SUBSTITUTE(SUBSTITUTE(SUBSTITUTE('Calculations'!HF20,"~","~~"),"*","~*"),"?","~?"),'Calculations'!$HN$13:$HN$512,"="&amp;SUBSTITUTE(SUBSTITUTE(SUBSTITUTE('Dashboard'!$B$7,"~","~~"),"*","~*"),"?","~?"))))</x:f>
        <x:v>0</x:v>
      </x:c>
      <x:c r="JD20" t="n">
        <x:f>IF('Calculations'!EM20="",0,IF('Dashboard'!$B$7="All",1,IF('Calculations'!HN20='Dashboard'!$B$7,1,0)+IFERROR(INDEX('Calculations'!$JC$13:$JC$512,MATCH('Calculations'!HE20,'Calculations'!$HF$13:$HF$512,0)),0)))</x:f>
        <x:v>0</x:v>
      </x:c>
      <x:c r="JE20" t="n">
        <x:f>IF(AND('Calculations'!EM20&lt;&gt;"",'Calculations'!$JJ$2&lt;&gt;"All",'Calculations'!$JJ$2&lt;&gt;"",'Calculations'!HF20='Calculations'!$JJ$2,'Calculations'!HL20=0,'Calculations'!JD20&gt;0),MAX('Calculations'!$JE$12:JE19)+1,0)</x:f>
        <x:v>0</x:v>
      </x:c>
      <x:c r="JF20" t="str">
        <x:f>IF('Calculations'!EM20="","",IFERROR(IF(INDEX(INDIRECT("'WCM Calibration Final'!$G$1:$G$2000"),'Calculations'!$EM20)="","",TRIM(INDEX(INDIRECT("'WCM Calibration Final'!$G$1:$G$2000"),'Calculations'!$EM20)&amp;"")),""))</x:f>
      </x:c>
      <x:c r="JL20" t="str">
        <x:f>IF('Calculations'!$AG$8&gt;0,"",'Calculations'!$EF$2)</x:f>
        <x:v>All</x:v>
      </x:c>
      <x:c r="JM20" t="str">
        <x:f>IF(OR('Calculations'!JL20="",'Calculations'!JL20="All"),IF(0=0,"Select a manager",IF(0=1,"All reporting branches","")),IFERROR(INDEX('Calculations'!$HG$13:$HG$512,MATCH('Calculations'!JL20,'Calculations'!$HE$13:$HE$512,0)),IFERROR(INDEX('Calculations'!$HJ$13:$HJ$512,MATCH('Calculations'!JL20,'Calculations'!$HF$13:$HF$512,0)),"Manager outside roster")))</x:f>
        <x:v>Select a manager</x:v>
      </x:c>
      <x:c r="JN20" t="str">
        <x:f>IF(OR('Calculations'!JL20="",'Calculations'!JL20="All"),IF(0=1,"Choose Below direct to focus on one branch",""),IFERROR(INDEX('Calculations'!$JF$13:$JF$512,MATCH('Calculations'!JL20,'Calculations'!$HE$13:$HE$512,0)),"Outside this roster"))</x:f>
      </x:c>
      <x:c r="JO20" t="str">
        <x:f>IF(OR('Calculations'!JL20="",'Calculations'!JL20="All"),"",IFERROR("What: "&amp;IF(INDEX('Calculations'!$BO$13:$BO$512,MATCH('Calculations'!JL20,'Calculations'!$HE$13:$HE$512,0))="","Pending",INDEX('Calculations'!$BO$13:$BO$512,MATCH('Calculations'!JL20,'Calculations'!$HE$13:$HE$512,0)))&amp;"   How: "&amp;IF(INDEX('Calculations'!$BP$13:$BP$512,MATCH('Calculations'!JL20,'Calculations'!$HE$13:$HE$512,0))="","Pending",INDEX('Calculations'!$BP$13:$BP$512,MATCH('Calculations'!JL20,'Calculations'!$HE$13:$HE$512,0))),"What / How: not in roster"))</x:f>
      </x:c>
      <x:c r="JP20" t="str">
        <x:f>IF(OR('Calculations'!JL20="",'Calculations'!JL20="All"),"",COUNTIFS('Calculations'!$HF$13:$HF$512,'Calculations'!JL20,'Calculations'!$JD$13:$JD$512,"&gt;0")&amp;" direct reports in product scope")</x:f>
      </x:c>
      <x:c r="JQ20" t="n">
        <x:f>IF(OR('Calculations'!BM20=0,NOT('Calculations'!$AG$2),'Calculations'!$AG$8&gt;0),0,IF(OR('Dashboard'!$B$7="All",'Calculations'!HN20='Dashboard'!$B$7),IF('Calculations'!$JJ$2="All",1,IF(AND('Calculations'!HF20='Calculations'!$JJ$2,'Calculations'!HL20=0),1,0)),0))</x:f>
        <x:v>0</x:v>
      </x:c>
    </x:row>
    <x:row r="21" ht="21" customHeight="1">
      <x:c r="A21" s="75"/>
      <x:c r="B21" s="75"/>
      <x:c r="C21" s="75"/>
      <x:c r="D21" s="75"/>
      <x:c r="E21" s="75"/>
      <x:c r="F21" s="75"/>
      <x:c r="G21" s="75"/>
      <x:c r="H21" s="75"/>
      <x:c r="I21" s="75"/>
      <x:c r="J21" s="75"/>
      <x:c r="K21" s="75"/>
      <x:c r="L21" s="75"/>
      <x:c r="M21" s="75"/>
      <x:c r="AF21" s="4" t="str">
        <x:v>High</x:v>
      </x:c>
      <x:c r="AG21" s="4" t="n">
        <x:f>COUNTIFS('Calculations'!$BN$13:$BN$512,1,'Calculations'!$BT$13:$BT$512,1,'Calculations'!$EE$13:$EE$512,'Calculations'!AF21)</x:f>
        <x:v>0</x:v>
      </x:c>
      <x:c r="AH21" s="4" t="e">
        <x:f>IF('Calculations'!$AG$5=0,NA(),'Calculations'!AG21/'Calculations'!$AG$5)</x:f>
        <x:v>#N/A</x:v>
      </x:c>
      <x:c r="AI21" s="4" t="n">
        <x:f>IF(COUNT('Dashboard'!N147)=0,NA(),IF(AND('Dashboard'!N147&gt;=0,'Dashboard'!N147&lt;=1),'Dashboard'!N147,NA()))</x:f>
        <x:v>0.1</x:v>
      </x:c>
      <x:c r="AJ21" s="4"/>
      <x:c r="AK21" s="4"/>
      <x:c r="AL21" s="4"/>
      <x:c r="AM21" s="4"/>
      <x:c r="AN21" s="4"/>
      <x:c r="AO21" s="4"/>
      <x:c r="AP21" s="4"/>
      <x:c r="AQ21" s="4"/>
      <x:c r="AR21" s="4"/>
      <x:c r="AS21" s="4"/>
      <x:c r="AT21" s="4" t="str">
        <x:f>IF('Calculations'!$AG$5=0,"",'Calculations'!AG21&amp;" · "&amp;TEXT('Calculations'!AH21,"0.0%"))</x:f>
      </x:c>
      <x:c r="AU21" s="4"/>
      <x:c r="AV21" s="4"/>
      <x:c r="AW21" s="4"/>
      <x:c r="AX21" s="4"/>
      <x:c r="AY21" s="4"/>
      <x:c r="AZ21" s="4"/>
      <x:c r="BA21" s="4"/>
      <x:c r="BB21" s="4"/>
      <x:c r="BC21" s="4"/>
      <x:c r="BD21" s="4"/>
      <x:c r="BE21" s="4"/>
      <x:c r="BF21" s="4"/>
      <x:c r="BG21" s="4"/>
      <x:c r="BH21" s="4"/>
      <x:c r="BI21" s="4"/>
      <x:c r="BJ21" s="4"/>
      <x:c r="BK21" s="4"/>
      <x:c r="BL21" s="4"/>
      <x:c r="BM21" s="4" t="n">
        <x:f>IF('Calculations'!$EM21="",0,IF(OR(IFERROR(INDEX(INDIRECT("'WCM Calibration Final'!$A$1:$A$2000"),'Calculations'!$EM21)&lt;&gt;"",FALSE),IFERROR(INDEX(INDIRECT("'WCM Calibration Final'!$B$1:$B$2000"),'Calculations'!$EM21)&lt;&gt;"",FALSE),IFERROR(INDEX(INDIRECT("'WCM Calibration Final'!$C$1:$C$2000"),'Calculations'!$EM21)&lt;&gt;"",FALSE)),1,0))</x:f>
        <x:v>0</x:v>
      </x:c>
      <x:c r="BN21" s="4" t="n">
        <x:f>IF(AND('Calculations'!BM21=1,'Calculations'!$AG$2,'Calculations'!$EN21=1),1,0)</x:f>
        <x:v>0</x:v>
      </x:c>
      <x:c r="BO21" s="4" t="str">
        <x:f>IF('Calculations'!BM21=0,"",IFERROR(IF(AND(VALUE(INDEX(INDIRECT("'WCM Calibration Final'!$K$1:$K$2000"),'Calculations'!$EM21))&gt;=1,VALUE(INDEX(INDIRECT("'WCM Calibration Final'!$K$1:$K$2000"),'Calculations'!$EM21))&lt;=4,MOD(VALUE(INDEX(INDIRECT("'WCM Calibration Final'!$K$1:$K$2000"),'Calculations'!$EM21)),1)=0),VALUE(INDEX(INDIRECT("'WCM Calibration Final'!$K$1:$K$2000"),'Calculations'!$EM21)),""),""))</x:f>
      </x:c>
      <x:c r="BP21" s="4" t="str">
        <x:f>IF('Calculations'!BM21=0,"",IFERROR(IF(AND(VALUE(INDEX(INDIRECT("'WCM Calibration Final'!$L$1:$L$2000"),'Calculations'!$EM21))&gt;=1,VALUE(INDEX(INDIRECT("'WCM Calibration Final'!$L$1:$L$2000"),'Calculations'!$EM21))&lt;=4,MOD(VALUE(INDEX(INDIRECT("'WCM Calibration Final'!$L$1:$L$2000"),'Calculations'!$EM21)),1)=0),VALUE(INDEX(INDIRECT("'WCM Calibration Final'!$L$1:$L$2000"),'Calculations'!$EM21)),""),""))</x:f>
      </x:c>
      <x:c r="BQ21" s="4"/>
      <x:c r="BR21" s="4"/>
      <x:c r="BS21" s="4"/>
      <x:c r="BT21" s="4" t="n">
        <x:f>IF(AND('Calculations'!BM21=1,ISNUMBER('Calculations'!BO21),ISNUMBER('Calculations'!BP21)),1,0)</x:f>
        <x:v>0</x:v>
      </x:c>
      <x:c r="BU21" s="4" t="str">
        <x:f>IF('Calculations'!BM21=0,"",'Calculations'!$EO21)</x:f>
      </x:c>
      <x:c r="BV21" s="4" t="str">
        <x:f>IF('Calculations'!BM21=0,"",IFERROR(IF(OR(INDEX(INDIRECT("'WCM Calibration Final'!$H$1:$H$2000"),'Calculations'!$EM21)="MANAGING DIRECTOR",INDEX(INDIRECT("'WCM Calibration Final'!$H$1:$H$2000"),'Calculations'!$EM21)="DIRECTOR",INDEX(INDIRECT("'WCM Calibration Final'!$H$1:$H$2000"),'Calculations'!$EM21)="SENIOR VICE PRESIDENT",INDEX(INDIRECT("'WCM Calibration Final'!$H$1:$H$2000"),'Calculations'!$EM21)="VICE PRESIDENT",INDEX(INDIRECT("'WCM Calibration Final'!$H$1:$H$2000"),'Calculations'!$EM21)="ASSISTANT VICE PRESIDENT",INDEX(INDIRECT("'WCM Calibration Final'!$H$1:$H$2000"),'Calculations'!$EM21)="OFFICER"),UPPER(INDEX(INDIRECT("'WCM Calibration Final'!$H$1:$H$2000"),'Calculations'!$EM21)),"Other"),"Other"))</x:f>
      </x:c>
      <x:c r="BW21" s="4"/>
      <x:c r="BX21" s="4"/>
      <x:c r="BY21" s="4" t="n">
        <x:f>IF(AND('Calculations'!BM21=1,'Calculations'!BU21&lt;&gt;"",COUNTIF('Calculations'!$BU$12:BU21,'Calculations'!BU21)=1),MAX('Calculations'!$BY$11:BY20)+1,0)</x:f>
        <x:v>0</x:v>
      </x:c>
      <x:c r="BZ21" s="4" t="str">
        <x:f>IF('Dashboard'!$E$67="What",'Calculations'!BO21,'Calculations'!BP21)</x:f>
      </x:c>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t="str">
        <x:f>IF(10&gt;MAX('Calculations'!$HI$13:$HI$512),"",INDEX('Calculations'!$HN$13:$HN$512,MATCH(10,'Calculations'!$HI$13:$HI$512,0)))</x:f>
      </x:c>
      <x:c r="DB21" s="4" t="str">
        <x:f>IF(10&gt;MAX('Calculations'!$HH$13:$HH$512),"",INDEX('Calculations'!$HJ$13:$HJ$512,MATCH(10,'Calculations'!$HH$13:$HH$512,0)))</x:f>
      </x:c>
      <x:c r="DC21" s="4" t="str">
        <x:f>IF(ROW()-11&gt;MAX('Calculations'!$BY$13:$BY$512),"",INDEX('Calculations'!$BU$13:$BU$512,MATCH(ROW()-11,'Calculations'!$BY$13:$BY$512,0)))</x:f>
      </x:c>
      <x:c r="DD21" s="4" t="str">
        <x:f>IF(10&gt;MAX('Calculations'!$IK$13:$IK$512),"",INDEX('Calculations'!$HK$13:$HK$512,MATCH(10,'Calculations'!$IK$13:$IK$512,0)))</x:f>
      </x:c>
      <x:c r="DE21" s="4" t="str">
        <x:f>'Calculations'!DC21</x:f>
      </x:c>
      <x:c r="DF21" s="4" t="str">
        <x:f>IF('Calculations'!DE21="","",COUNTIFS('Calculations'!$BN$13:$BN$512,1,'Calculations'!$BU$13:$BU$512,'Calculations'!DE21))</x:f>
      </x:c>
      <x:c r="DG21" s="4" t="str">
        <x:f>IF('Calculations'!DE21="","",COUNTIFS('Calculations'!$BN$13:$BN$512,1,'Calculations'!$BU$13:$BU$512,'Calculations'!DE21,'Calculations'!$BT$13:$BT$512,1))</x:f>
      </x:c>
      <x:c r="DH21" s="4" t="str">
        <x:f>IF('Calculations'!DE21="","",'Calculations'!DF21-'Calculations'!DG21)</x:f>
      </x:c>
      <x:c r="DI21" s="4" t="str">
        <x:f>IF(OR('Calculations'!DE21="",'Calculations'!DF21=0),"",'Calculations'!DG21/'Calculations'!DF21)</x:f>
      </x:c>
      <x:c r="DJ21" s="4" t="str">
        <x:f>IF('Calculations'!DE21="","",COUNTIFS('Calculations'!$BN$13:$BN$512,1,'Calculations'!$BU$13:$BU$512,'Calculations'!DE21,'Calculations'!$BT$13:$BT$512,1,'Calculations'!$EE$13:$EE$512,"High"))</x:f>
      </x:c>
      <x:c r="DK21" s="4" t="str">
        <x:f>IF('Calculations'!DE21="","",COUNTIFS('Calculations'!$BN$13:$BN$512,1,'Calculations'!$BU$13:$BU$512,'Calculations'!DE21,'Calculations'!$BT$13:$BT$512,1,'Calculations'!$EE$13:$EE$512,"Strong"))</x:f>
      </x:c>
      <x:c r="DL21" s="4" t="str">
        <x:f>IF('Calculations'!DE21="","",COUNTIFS('Calculations'!$BN$13:$BN$512,1,'Calculations'!$BU$13:$BU$512,'Calculations'!DE21,'Calculations'!$BT$13:$BT$512,1,'Calculations'!$EE$13:$EE$512,"Solid"))</x:f>
      </x:c>
      <x:c r="DM21" s="4" t="str">
        <x:f>IF('Calculations'!DE21="","",COUNTIFS('Calculations'!$BN$13:$BN$512,1,'Calculations'!$BU$13:$BU$512,'Calculations'!DE21,'Calculations'!$BT$13:$BT$512,1,'Calculations'!$EE$13:$EE$512,"Low"))</x:f>
      </x:c>
      <x:c r="DN21" s="4" t="str">
        <x:f>IF('Calculations'!DE21="","",COUNTIFS('Calculations'!$BN$13:$BN$512,1,'Calculations'!$BU$13:$BU$512,'Calculations'!DE21,'Calculations'!$EP$13:$EP$512,1))</x:f>
      </x:c>
      <x:c r="DO21" s="4" t="str">
        <x:f>IF(OR('Calculations'!DE21="",'Calculations'!DG21=0),"",('Calculations'!DJ21+'Calculations'!DK21)/'Calculations'!DG21)</x:f>
      </x:c>
      <x:c r="DP21" s="4" t="n">
        <x:f>IF(AND('Calculations'!DE21&lt;&gt;"",'Calculations'!DF21&gt;0),COUNTIF('Calculations'!$DF$12:DF21,"&gt;0"),0)</x:f>
        <x:v>0</x:v>
      </x:c>
      <x:c r="DQ21" s="4" t="str">
        <x:f>IF(10&gt;MAX('Calculations'!$HH$13:$HH$512),"",INDEX('Calculations'!$HF$13:$HF$512,MATCH(10,'Calculations'!$HH$13:$HH$512,0)))</x:f>
      </x:c>
      <x:c r="DR21" s="4" t="str">
        <x:f>IF(10&gt;MAX('Calculations'!$IK$13:$IK$512),"",INDEX('Calculations'!$HE$13:$HE$512,MATCH(10,'Calculations'!$IK$13:$IK$512,0)))</x:f>
      </x:c>
      <x:c r="DS21" s="4"/>
      <x:c r="DT21" s="4"/>
      <x:c r="DU21" s="4"/>
      <x:c r="DV21" s="4"/>
      <x:c r="DW21" s="4"/>
      <x:c r="DX21" s="4"/>
      <x:c r="DY21" s="4"/>
      <x:c r="DZ21" s="4"/>
      <x:c r="EA21" s="4"/>
      <x:c r="EB21" s="4"/>
      <x:c r="EC21" s="4"/>
      <x:c r="ED21" s="4"/>
      <x:c r="EE21" s="4" t="str">
        <x:f>IF('Calculations'!BT21=0,"Not Rated",IF(OR('Calculations'!BO21&gt;=4,'Calculations'!BP21&gt;=4),"Low",IF('Calculations'!BO21+'Calculations'!BP21&lt;=3,"High",IF('Calculations'!BO21+'Calculations'!BP21&lt;=4,"Strong","Solid"))))</x:f>
        <x:v>Not Rated</x:v>
      </x:c>
      <x:c r="EF21" s="4"/>
      <x:c r="EG21" s="4"/>
      <x:c r="EH21" s="4"/>
      <x:c r="EI21" s="4"/>
      <x:c r="EJ21" s="4"/>
      <x:c r="EK21" s="4"/>
      <x:c r="EL21" s="4"/>
      <x:c r="EM21" s="4" t="str">
        <x:f>IF(9&gt;'Calculations'!$JB$2000,"",INDEX('Calculations'!$JA$12:$JA$2000,MATCH(9,'Calculations'!$JB$12:$JB$2000,0)))</x:f>
      </x:c>
      <x:c r="EN21" s="4" t="n">
        <x:f>IF(OR('Calculations'!EM21="",'Calculations'!$AG$8&gt;0,AND('Calculations'!$EF$2&lt;&gt;"All",'Calculations'!HE21='Calculations'!$EF$2),AND('Calculations'!$EF$3&lt;&gt;"All",'Calculations'!HE21='Calculations'!$EF$3)),0,IF(OR('Dashboard'!$B$7="All",'Calculations'!HN21='Dashboard'!$B$7),IF('Calculations'!$EF$2="All",1,IF('Calculations'!HL21&gt;0,0,IF(COUNTIF('Calculations'!HO21:II21,"="&amp;SUBSTITUTE(SUBSTITUTE(SUBSTITUTE('Calculations'!$EF$2,"~","~~"),"*","~*"),"?","~?"))=0,0,IF('Calculations'!$EF$3="All",1,IF(COUNTIF('Calculations'!HO21:II21,"="&amp;SUBSTITUTE(SUBSTITUTE(SUBSTITUTE('Calculations'!$EF$3,"~","~~"),"*","~*"),"?","~?"))&gt;0,1,0))))),0))</x:f>
        <x:v>0</x:v>
      </x:c>
      <x:c r="EO21" s="4" t="str">
        <x:f>IF('Calculations'!IJ21="","",IF('Calculations'!IJ21="!UNRESOLVED","Unresolved hierarchy",IFERROR(INDEX('Calculations'!$HK$13:$HK$512,MATCH('Calculations'!IJ21,'Calculations'!$HE$13:$HE$512,0)),IFERROR(INDEX('Calculations'!$HJ$13:$HJ$512,MATCH('Calculations'!IJ21,'Calculations'!$HF$13:$HF$512,0)),'Calculations'!IJ21))))</x:f>
      </x:c>
      <x:c r="EP21" s="4" t="n">
        <x:f>IF(AND('Calculations'!EM21&lt;&gt;"",'Calculations'!HF21='Calculations'!IJ21),1,0)</x:f>
        <x:v>0</x:v>
      </x:c>
      <x:c r="EQ21" s="4"/>
      <x:c r="ER21" s="4"/>
      <x:c r="ES21" s="4"/>
      <x:c r="ET21" s="4"/>
      <x:c r="EU21" s="4"/>
      <x:c r="EV21" s="4"/>
      <x:c r="EW21" s="4"/>
      <x:c r="EX21" s="4"/>
      <x:c r="EY21" s="4"/>
      <x:c r="EZ21" s="4"/>
      <x:c r="FA21" s="4"/>
      <x:c r="FB21" s="4"/>
      <x:c r="FC21" s="4"/>
      <x:c r="FD21" s="4"/>
      <x:c r="FE21" s="4"/>
      <x:c r="FF21" s="4"/>
      <x:c r="FG21" s="4"/>
      <x:c r="FH21" s="4"/>
      <x:c r="FI21" s="4"/>
      <x:c r="FJ21" s="4"/>
      <x:c r="FK21" s="4"/>
      <x:c r="FL21" s="4"/>
      <x:c r="FM21" s="4"/>
      <x:c r="FN21" s="4"/>
      <x:c r="FO21" s="4"/>
      <x:c r="GA21" s="71"/>
      <x:c r="GB21" s="71"/>
      <x:c r="GC21" s="71"/>
      <x:c r="GD21" s="71"/>
      <x:c r="GE21" s="71"/>
      <x:c r="GF21" s="71"/>
      <x:c r="GG21" s="71"/>
      <x:c r="GH21" s="71"/>
      <x:c r="GI21" s="71"/>
      <x:c r="GJ21" s="71"/>
      <x:c r="GK21" s="71"/>
      <x:c r="GL21" s="71"/>
      <x:c r="GM21" s="71"/>
      <x:c r="GN21" s="71"/>
      <x:c r="GO21" s="71"/>
      <x:c r="GP21" s="71"/>
      <x:c r="GQ21" s="71"/>
      <x:c r="GR21" s="71"/>
      <x:c r="GS21" s="71"/>
      <x:c r="GT21" s="71"/>
      <x:c r="GU21" s="71"/>
      <x:c r="GV21" s="71"/>
      <x:c r="GW21" s="71"/>
      <x:c r="GX21" s="71"/>
      <x:c r="GY21" s="71"/>
      <x:c r="GZ21" s="71"/>
      <x:c r="HA21" s="71"/>
      <x:c r="HB21" s="71"/>
      <x:c r="HC21" s="71"/>
      <x:c r="HD21" s="71"/>
      <x:c r="HE21" t="str">
        <x:f>IF('Calculations'!EM21="","",IF(IFERROR(IF(INDEX(INDIRECT("'WCM Calibration Final'!$A$1:$A$2000"),'Calculations'!$EM21)="","",TRIM(INDEX(INDIRECT("'WCM Calibration Final'!$A$1:$A$2000"),'Calculations'!$EM21)&amp;"")),"")&lt;&gt;"","G:"&amp;IFERROR(TEXT(1*INDEX(INDIRECT("'WCM Calibration Final'!$A$1:$A$2000"),'Calculations'!$EM21),"0"),UPPER(IFERROR(IF(INDEX(INDIRECT("'WCM Calibration Final'!$A$1:$A$2000"),'Calculations'!$EM21)="","",TRIM(INDEX(INDIRECT("'WCM Calibration Final'!$A$1:$A$2000"),'Calculations'!$EM21)&amp;"")),""))),IF(IFERROR(IF(INDEX(INDIRECT("'WCM Calibration Final'!$C$1:$C$2000"),'Calculations'!$EM21)="","",TRIM(INDEX(INDIRECT("'WCM Calibration Final'!$C$1:$C$2000"),'Calculations'!$EM21)&amp;"")),"")&lt;&gt;"","S:"&amp;UPPER(IFERROR(IF(INDEX(INDIRECT("'WCM Calibration Final'!$C$1:$C$2000"),'Calculations'!$EM21)="","",TRIM(INDEX(INDIRECT("'WCM Calibration Final'!$C$1:$C$2000"),'Calculations'!$EM21)&amp;"")),"")),"R:"&amp;'Calculations'!EM21)))</x:f>
      </x:c>
      <x:c r="HF21" t="str">
        <x:f>IF('Calculations'!EM21="","",IF(IFERROR(IF(INDEX(INDIRECT("'WCM Calibration Final'!$D$1:$D$2000"),'Calculations'!$EM21)="","",TRIM(INDEX(INDIRECT("'WCM Calibration Final'!$D$1:$D$2000"),'Calculations'!$EM21)&amp;"")),"")&lt;&gt;"","G:"&amp;IFERROR(TEXT(1*INDEX(INDIRECT("'WCM Calibration Final'!$D$1:$D$2000"),'Calculations'!$EM21),"0"),UPPER(IFERROR(IF(INDEX(INDIRECT("'WCM Calibration Final'!$D$1:$D$2000"),'Calculations'!$EM21)="","",TRIM(INDEX(INDIRECT("'WCM Calibration Final'!$D$1:$D$2000"),'Calculations'!$EM21)&amp;"")),""))),IF(IFERROR(IF(INDEX(INDIRECT("'WCM Calibration Final'!$E$1:$E$2000"),'Calculations'!$EM21)="","",TRIM(INDEX(INDIRECT("'WCM Calibration Final'!$E$1:$E$2000"),'Calculations'!$EM21)&amp;"")),"")="","",IF(COUNTIF('Calculations'!$HG$13:$HG$512,"="&amp;SUBSTITUTE(SUBSTITUTE(SUBSTITUTE(IFERROR(IF(INDEX(INDIRECT("'WCM Calibration Final'!$E$1:$E$2000"),'Calculations'!$EM21)="","",TRIM(INDEX(INDIRECT("'WCM Calibration Final'!$E$1:$E$2000"),'Calculations'!$EM21)&amp;"")),""),"~","~~"),"*","~*"),"?","~?"))=1,INDEX('Calculations'!$HE$13:$HE$512,MATCH(IFERROR(IF(INDEX(INDIRECT("'WCM Calibration Final'!$E$1:$E$2000"),'Calculations'!$EM21)="","",TRIM(INDEX(INDIRECT("'WCM Calibration Final'!$E$1:$E$2000"),'Calculations'!$EM21)&amp;"")),""),'Calculations'!$HG$13:$HG$512,0)),IF(COUNTIF('Calculations'!$HG$13:$HG$512,"="&amp;SUBSTITUTE(SUBSTITUTE(SUBSTITUTE(IFERROR(IF(INDEX(INDIRECT("'WCM Calibration Final'!$E$1:$E$2000"),'Calculations'!$EM21)="","",TRIM(INDEX(INDIRECT("'WCM Calibration Final'!$E$1:$E$2000"),'Calculations'!$EM21)&amp;"")),""),"~","~~"),"*","~*"),"?","~?"))&gt;1,"!AMBIG","X:"&amp;IFERROR(IF(INDEX(INDIRECT("'WCM Calibration Final'!$E$1:$E$2000"),'Calculations'!$EM21)="","",TRIM(INDEX(INDIRECT("'WCM Calibration Final'!$E$1:$E$2000"),'Calculations'!$EM21)&amp;"")),""))))))</x:f>
      </x:c>
      <x:c r="HG21" t="str">
        <x:f>IF('Calculations'!EM21="","",IFERROR(IF(INDEX(INDIRECT("'WCM Calibration Final'!$B$1:$B$2000"),'Calculations'!$EM21)="","",TRIM(INDEX(INDIRECT("'WCM Calibration Final'!$B$1:$B$2000"),'Calculations'!$EM21)&amp;"")),""))</x:f>
      </x:c>
      <x:c r="HH21" t="n">
        <x:f>IF(AND('Calculations'!JC21&gt;0,COUNTIF('Calculations'!$HF$12:HF21,"="&amp;SUBSTITUTE(SUBSTITUTE(SUBSTITUTE('Calculations'!HF21,"~","~~"),"*","~*"),"?","~?"))=1),MAX('Calculations'!$HH$12:HH20)+1,0)</x:f>
        <x:v>0</x:v>
      </x:c>
      <x:c r="HI21" t="n">
        <x:f>IF(AND('Calculations'!HN21&lt;&gt;"",COUNTIF('Calculations'!$HN$12:HN21,"="&amp;SUBSTITUTE(SUBSTITUTE(SUBSTITUTE('Calculations'!HN21,"~","~~"),"*","~*"),"?","~?"))=1),MAX('Calculations'!$HI$12:HI20)+1,0)</x:f>
        <x:v>0</x:v>
      </x:c>
      <x:c r="HJ21" t="str">
        <x:f>IF('Calculations'!HF21="","",IF(COUNTIF('Calculations'!$HE$13:$HE$512,"="&amp;SUBSTITUTE(SUBSTITUTE(SUBSTITUTE('Calculations'!HF21,"~","~~"),"*","~*"),"?","~?"))=1,INDEX('Calculations'!$HK$13:$HK$512,MATCH('Calculations'!HF21,'Calculations'!$HE$13:$HE$512,0)),IFERROR(IF(INDEX(INDIRECT("'WCM Calibration Final'!$E$1:$E$2000"),'Calculations'!$EM21)="","",TRIM(INDEX(INDIRECT("'WCM Calibration Final'!$E$1:$E$2000"),'Calculations'!$EM21)&amp;"")),"")&amp;" ["&amp;'Calculations'!HF21&amp;"]"))</x:f>
      </x:c>
      <x:c r="HK21" t="str">
        <x:f>IF('Calculations'!EM21="","",'Calculations'!HG21&amp;" ["&amp;'Calculations'!HE21&amp;"]")</x:f>
      </x:c>
      <x:c r="HL21" t="n">
        <x:f>IF('Calculations'!EM21="",0,IF(OR('Calculations'!II21&lt;&gt;"",COUNTIF('Calculations'!$HE$13:$HE$512,"="&amp;SUBSTITUTE(SUBSTITUTE(SUBSTITUTE('Calculations'!HE21,"~","~~"),"*","~*"),"?","~?"))&gt;1),1,0))</x:f>
        <x:v>0</x:v>
      </x:c>
      <x:c r="HM21" t="str">
        <x:f>IF('Calculations'!EM21="","",IF('Calculations'!HL21=1,"!UNRESOLVED",IF('Calculations'!IH21&lt;&gt;"",'Calculations'!IH21,IF('Calculations'!IG21&lt;&gt;"",'Calculations'!IG21,IF('Calculations'!IF21&lt;&gt;"",'Calculations'!IF21,IF('Calculations'!IE21&lt;&gt;"",'Calculations'!IE21,IF('Calculations'!ID21&lt;&gt;"",'Calculations'!ID21,IF('Calculations'!IC21&lt;&gt;"",'Calculations'!IC21,IF('Calculations'!IB21&lt;&gt;"",'Calculations'!IB21,IF('Calculations'!IA21&lt;&gt;"",'Calculations'!IA21,IF('Calculations'!HZ21&lt;&gt;"",'Calculations'!HZ21,IF('Calculations'!HY21&lt;&gt;"",'Calculations'!HY21,IF('Calculations'!HX21&lt;&gt;"",'Calculations'!HX21,IF('Calculations'!HW21&lt;&gt;"",'Calculations'!HW21,IF('Calculations'!HV21&lt;&gt;"",'Calculations'!HV21,IF('Calculations'!HU21&lt;&gt;"",'Calculations'!HU21,IF('Calculations'!HT21&lt;&gt;"",'Calculations'!HT21,IF('Calculations'!HS21&lt;&gt;"",'Calculations'!HS21,IF('Calculations'!HR21&lt;&gt;"",'Calculations'!HR21,IF('Calculations'!HQ21&lt;&gt;"",'Calculations'!HQ21,IF('Calculations'!HP21&lt;&gt;"",'Calculations'!HP21,IF('Calculations'!HO21&lt;&gt;"",'Calculations'!HO21,'Calculations'!HE21))))))))))))))))))))))</x:f>
      </x:c>
      <x:c r="HN21" t="str">
        <x:f>IF('Calculations'!EM21="","",IF(IFERROR(IF(INDEX(INDIRECT("'WCM Calibration Final'!$F$1:$F$2000"),'Calculations'!$EM21)="","",TRIM(INDEX(INDIRECT("'WCM Calibration Final'!$F$1:$F$2000"),'Calculations'!$EM21)&amp;"")),"")="","(Blank)",IFERROR(IF(INDEX(INDIRECT("'WCM Calibration Final'!$F$1:$F$2000"),'Calculations'!$EM21)="","",TRIM(INDEX(INDIRECT("'WCM Calibration Final'!$F$1:$F$2000"),'Calculations'!$EM21)&amp;"")),"")))</x:f>
      </x:c>
      <x:c r="HO21" t="str">
        <x:f>'Calculations'!HF21</x:f>
      </x:c>
      <x:c r="HP21" t="str">
        <x:f>IF('Calculations'!HO21="","",IF('Calculations'!HO21="!AMBIG","!AMBIG",IF(COUNTIF('Calculations'!$HE$13:$HE$512,"="&amp;SUBSTITUTE(SUBSTITUTE(SUBSTITUTE('Calculations'!HO21,"~","~~"),"*","~*"),"?","~?"))&gt;1,"!AMBIG",IFERROR(INDEX('Calculations'!$HF$13:$HF$512,MATCH('Calculations'!HO21,'Calculations'!$HE$13:$HE$512,0)),""))))</x:f>
      </x:c>
      <x:c r="HQ21" t="str">
        <x:f>IF('Calculations'!HP21="","",IF('Calculations'!HP21="!AMBIG","!AMBIG",IF(COUNTIF('Calculations'!$HE$13:$HE$512,"="&amp;SUBSTITUTE(SUBSTITUTE(SUBSTITUTE('Calculations'!HP21,"~","~~"),"*","~*"),"?","~?"))&gt;1,"!AMBIG",IFERROR(INDEX('Calculations'!$HF$13:$HF$512,MATCH('Calculations'!HP21,'Calculations'!$HE$13:$HE$512,0)),""))))</x:f>
      </x:c>
      <x:c r="HR21" t="str">
        <x:f>IF('Calculations'!HQ21="","",IF('Calculations'!HQ21="!AMBIG","!AMBIG",IF(COUNTIF('Calculations'!$HE$13:$HE$512,"="&amp;SUBSTITUTE(SUBSTITUTE(SUBSTITUTE('Calculations'!HQ21,"~","~~"),"*","~*"),"?","~?"))&gt;1,"!AMBIG",IFERROR(INDEX('Calculations'!$HF$13:$HF$512,MATCH('Calculations'!HQ21,'Calculations'!$HE$13:$HE$512,0)),""))))</x:f>
      </x:c>
      <x:c r="HS21" t="str">
        <x:f>IF('Calculations'!HR21="","",IF('Calculations'!HR21="!AMBIG","!AMBIG",IF(COUNTIF('Calculations'!$HE$13:$HE$512,"="&amp;SUBSTITUTE(SUBSTITUTE(SUBSTITUTE('Calculations'!HR21,"~","~~"),"*","~*"),"?","~?"))&gt;1,"!AMBIG",IFERROR(INDEX('Calculations'!$HF$13:$HF$512,MATCH('Calculations'!HR21,'Calculations'!$HE$13:$HE$512,0)),""))))</x:f>
      </x:c>
      <x:c r="HT21" t="str">
        <x:f>IF('Calculations'!HS21="","",IF('Calculations'!HS21="!AMBIG","!AMBIG",IF(COUNTIF('Calculations'!$HE$13:$HE$512,"="&amp;SUBSTITUTE(SUBSTITUTE(SUBSTITUTE('Calculations'!HS21,"~","~~"),"*","~*"),"?","~?"))&gt;1,"!AMBIG",IFERROR(INDEX('Calculations'!$HF$13:$HF$512,MATCH('Calculations'!HS21,'Calculations'!$HE$13:$HE$512,0)),""))))</x:f>
      </x:c>
      <x:c r="HU21" t="str">
        <x:f>IF('Calculations'!HT21="","",IF('Calculations'!HT21="!AMBIG","!AMBIG",IF(COUNTIF('Calculations'!$HE$13:$HE$512,"="&amp;SUBSTITUTE(SUBSTITUTE(SUBSTITUTE('Calculations'!HT21,"~","~~"),"*","~*"),"?","~?"))&gt;1,"!AMBIG",IFERROR(INDEX('Calculations'!$HF$13:$HF$512,MATCH('Calculations'!HT21,'Calculations'!$HE$13:$HE$512,0)),""))))</x:f>
      </x:c>
      <x:c r="HV21" t="str">
        <x:f>IF('Calculations'!HU21="","",IF('Calculations'!HU21="!AMBIG","!AMBIG",IF(COUNTIF('Calculations'!$HE$13:$HE$512,"="&amp;SUBSTITUTE(SUBSTITUTE(SUBSTITUTE('Calculations'!HU21,"~","~~"),"*","~*"),"?","~?"))&gt;1,"!AMBIG",IFERROR(INDEX('Calculations'!$HF$13:$HF$512,MATCH('Calculations'!HU21,'Calculations'!$HE$13:$HE$512,0)),""))))</x:f>
      </x:c>
      <x:c r="HW21" t="str">
        <x:f>IF('Calculations'!HV21="","",IF('Calculations'!HV21="!AMBIG","!AMBIG",IF(COUNTIF('Calculations'!$HE$13:$HE$512,"="&amp;SUBSTITUTE(SUBSTITUTE(SUBSTITUTE('Calculations'!HV21,"~","~~"),"*","~*"),"?","~?"))&gt;1,"!AMBIG",IFERROR(INDEX('Calculations'!$HF$13:$HF$512,MATCH('Calculations'!HV21,'Calculations'!$HE$13:$HE$512,0)),""))))</x:f>
      </x:c>
      <x:c r="HX21" t="str">
        <x:f>IF('Calculations'!HW21="","",IF('Calculations'!HW21="!AMBIG","!AMBIG",IF(COUNTIF('Calculations'!$HE$13:$HE$512,"="&amp;SUBSTITUTE(SUBSTITUTE(SUBSTITUTE('Calculations'!HW21,"~","~~"),"*","~*"),"?","~?"))&gt;1,"!AMBIG",IFERROR(INDEX('Calculations'!$HF$13:$HF$512,MATCH('Calculations'!HW21,'Calculations'!$HE$13:$HE$512,0)),""))))</x:f>
      </x:c>
      <x:c r="HY21" t="str">
        <x:f>IF('Calculations'!HX21="","",IF('Calculations'!HX21="!AMBIG","!AMBIG",IF(COUNTIF('Calculations'!$HE$13:$HE$512,"="&amp;SUBSTITUTE(SUBSTITUTE(SUBSTITUTE('Calculations'!HX21,"~","~~"),"*","~*"),"?","~?"))&gt;1,"!AMBIG",IFERROR(INDEX('Calculations'!$HF$13:$HF$512,MATCH('Calculations'!HX21,'Calculations'!$HE$13:$HE$512,0)),""))))</x:f>
      </x:c>
      <x:c r="HZ21" t="str">
        <x:f>IF('Calculations'!HY21="","",IF('Calculations'!HY21="!AMBIG","!AMBIG",IF(COUNTIF('Calculations'!$HE$13:$HE$512,"="&amp;SUBSTITUTE(SUBSTITUTE(SUBSTITUTE('Calculations'!HY21,"~","~~"),"*","~*"),"?","~?"))&gt;1,"!AMBIG",IFERROR(INDEX('Calculations'!$HF$13:$HF$512,MATCH('Calculations'!HY21,'Calculations'!$HE$13:$HE$512,0)),""))))</x:f>
      </x:c>
      <x:c r="IA21" t="str">
        <x:f>IF('Calculations'!HZ21="","",IF('Calculations'!HZ21="!AMBIG","!AMBIG",IF(COUNTIF('Calculations'!$HE$13:$HE$512,"="&amp;SUBSTITUTE(SUBSTITUTE(SUBSTITUTE('Calculations'!HZ21,"~","~~"),"*","~*"),"?","~?"))&gt;1,"!AMBIG",IFERROR(INDEX('Calculations'!$HF$13:$HF$512,MATCH('Calculations'!HZ21,'Calculations'!$HE$13:$HE$512,0)),""))))</x:f>
      </x:c>
      <x:c r="IB21" t="str">
        <x:f>IF('Calculations'!IA21="","",IF('Calculations'!IA21="!AMBIG","!AMBIG",IF(COUNTIF('Calculations'!$HE$13:$HE$512,"="&amp;SUBSTITUTE(SUBSTITUTE(SUBSTITUTE('Calculations'!IA21,"~","~~"),"*","~*"),"?","~?"))&gt;1,"!AMBIG",IFERROR(INDEX('Calculations'!$HF$13:$HF$512,MATCH('Calculations'!IA21,'Calculations'!$HE$13:$HE$512,0)),""))))</x:f>
      </x:c>
      <x:c r="IC21" t="str">
        <x:f>IF('Calculations'!IB21="","",IF('Calculations'!IB21="!AMBIG","!AMBIG",IF(COUNTIF('Calculations'!$HE$13:$HE$512,"="&amp;SUBSTITUTE(SUBSTITUTE(SUBSTITUTE('Calculations'!IB21,"~","~~"),"*","~*"),"?","~?"))&gt;1,"!AMBIG",IFERROR(INDEX('Calculations'!$HF$13:$HF$512,MATCH('Calculations'!IB21,'Calculations'!$HE$13:$HE$512,0)),""))))</x:f>
      </x:c>
      <x:c r="ID21" t="str">
        <x:f>IF('Calculations'!IC21="","",IF('Calculations'!IC21="!AMBIG","!AMBIG",IF(COUNTIF('Calculations'!$HE$13:$HE$512,"="&amp;SUBSTITUTE(SUBSTITUTE(SUBSTITUTE('Calculations'!IC21,"~","~~"),"*","~*"),"?","~?"))&gt;1,"!AMBIG",IFERROR(INDEX('Calculations'!$HF$13:$HF$512,MATCH('Calculations'!IC21,'Calculations'!$HE$13:$HE$512,0)),""))))</x:f>
      </x:c>
      <x:c r="IE21" t="str">
        <x:f>IF('Calculations'!ID21="","",IF('Calculations'!ID21="!AMBIG","!AMBIG",IF(COUNTIF('Calculations'!$HE$13:$HE$512,"="&amp;SUBSTITUTE(SUBSTITUTE(SUBSTITUTE('Calculations'!ID21,"~","~~"),"*","~*"),"?","~?"))&gt;1,"!AMBIG",IFERROR(INDEX('Calculations'!$HF$13:$HF$512,MATCH('Calculations'!ID21,'Calculations'!$HE$13:$HE$512,0)),""))))</x:f>
      </x:c>
      <x:c r="IF21" t="str">
        <x:f>IF('Calculations'!IE21="","",IF('Calculations'!IE21="!AMBIG","!AMBIG",IF(COUNTIF('Calculations'!$HE$13:$HE$512,"="&amp;SUBSTITUTE(SUBSTITUTE(SUBSTITUTE('Calculations'!IE21,"~","~~"),"*","~*"),"?","~?"))&gt;1,"!AMBIG",IFERROR(INDEX('Calculations'!$HF$13:$HF$512,MATCH('Calculations'!IE21,'Calculations'!$HE$13:$HE$512,0)),""))))</x:f>
      </x:c>
      <x:c r="IG21" t="str">
        <x:f>IF('Calculations'!IF21="","",IF('Calculations'!IF21="!AMBIG","!AMBIG",IF(COUNTIF('Calculations'!$HE$13:$HE$512,"="&amp;SUBSTITUTE(SUBSTITUTE(SUBSTITUTE('Calculations'!IF21,"~","~~"),"*","~*"),"?","~?"))&gt;1,"!AMBIG",IFERROR(INDEX('Calculations'!$HF$13:$HF$512,MATCH('Calculations'!IF21,'Calculations'!$HE$13:$HE$512,0)),""))))</x:f>
      </x:c>
      <x:c r="IH21" t="str">
        <x:f>IF('Calculations'!IG21="","",IF('Calculations'!IG21="!AMBIG","!AMBIG",IF(COUNTIF('Calculations'!$HE$13:$HE$512,"="&amp;SUBSTITUTE(SUBSTITUTE(SUBSTITUTE('Calculations'!IG21,"~","~~"),"*","~*"),"?","~?"))&gt;1,"!AMBIG",IFERROR(INDEX('Calculations'!$HF$13:$HF$512,MATCH('Calculations'!IG21,'Calculations'!$HE$13:$HE$512,0)),""))))</x:f>
      </x:c>
      <x:c r="II21" t="str">
        <x:f>IF('Calculations'!IH21="","",IF('Calculations'!IH21="!AMBIG","!AMBIG",IF(COUNTIF('Calculations'!$HE$13:$HE$512,"="&amp;SUBSTITUTE(SUBSTITUTE(SUBSTITUTE('Calculations'!IH21,"~","~~"),"*","~*"),"?","~?"))&gt;1,"!AMBIG",IFERROR(INDEX('Calculations'!$HF$13:$HF$512,MATCH('Calculations'!IH21,'Calculations'!$HE$13:$HE$512,0)),""))))</x:f>
      </x:c>
      <x:c r="IJ21" t="str">
        <x:f>IF('Calculations'!EM21="","",IF('Calculations'!$EF$2="All",'Calculations'!HM21,IF('Calculations'!HL21=1,"",IFERROR(IF(MATCH('Calculations'!$EF$2,'Calculations'!HO21:II21,0)=1,'Calculations'!HE21,INDEX('Calculations'!HO21:II21,1,MATCH('Calculations'!$EF$2,'Calculations'!HO21:II21,0)-1)),""))))</x:f>
      </x:c>
      <x:c r="IK21" t="n">
        <x:f>IF(AND('Calculations'!EM21&lt;&gt;"",'Calculations'!$EF$2&lt;&gt;"All",'Calculations'!HF21='Calculations'!$EF$2,'Calculations'!HL21=0,'Calculations'!JD21&gt;0),MAX('Calculations'!$IK$12:IK20)+1,0)</x:f>
        <x:v>0</x:v>
      </x:c>
      <x:c r="JA21" t="n">
        <x:f>IF(OR(IFERROR(INDIRECT("'WCM Calibration Final'!$A$21")&lt;&gt;"",FALSE),IFERROR(INDIRECT("'WCM Calibration Final'!$B$21")&lt;&gt;"",FALSE),IFERROR(INDIRECT("'WCM Calibration Final'!$C$21")&lt;&gt;"",FALSE)),21,0)</x:f>
        <x:v>0</x:v>
      </x:c>
      <x:c r="JB21" t="n">
        <x:f>'Calculations'!JB20+IF('Calculations'!JA21&gt;0,1,0)</x:f>
        <x:v>0</x:v>
      </x:c>
      <x:c r="JC21" t="n">
        <x:f>IF(OR('Calculations'!HF21="",'Calculations'!HF21="!AMBIG"),0,IF('Dashboard'!$B$7="All",1,COUNTIFS('Calculations'!$HO$13:$HO$512,"="&amp;SUBSTITUTE(SUBSTITUTE(SUBSTITUTE('Calculations'!HF21,"~","~~"),"*","~*"),"?","~?"),'Calculations'!$HN$13:$HN$512,"="&amp;SUBSTITUTE(SUBSTITUTE(SUBSTITUTE('Dashboard'!$B$7,"~","~~"),"*","~*"),"?","~?"))+COUNTIFS('Calculations'!$HP$13:$HP$512,"="&amp;SUBSTITUTE(SUBSTITUTE(SUBSTITUTE('Calculations'!HF21,"~","~~"),"*","~*"),"?","~?"),'Calculations'!$HN$13:$HN$512,"="&amp;SUBSTITUTE(SUBSTITUTE(SUBSTITUTE('Dashboard'!$B$7,"~","~~"),"*","~*"),"?","~?"))+COUNTIFS('Calculations'!$HQ$13:$HQ$512,"="&amp;SUBSTITUTE(SUBSTITUTE(SUBSTITUTE('Calculations'!HF21,"~","~~"),"*","~*"),"?","~?"),'Calculations'!$HN$13:$HN$512,"="&amp;SUBSTITUTE(SUBSTITUTE(SUBSTITUTE('Dashboard'!$B$7,"~","~~"),"*","~*"),"?","~?"))+COUNTIFS('Calculations'!$HR$13:$HR$512,"="&amp;SUBSTITUTE(SUBSTITUTE(SUBSTITUTE('Calculations'!HF21,"~","~~"),"*","~*"),"?","~?"),'Calculations'!$HN$13:$HN$512,"="&amp;SUBSTITUTE(SUBSTITUTE(SUBSTITUTE('Dashboard'!$B$7,"~","~~"),"*","~*"),"?","~?"))+COUNTIFS('Calculations'!$HS$13:$HS$512,"="&amp;SUBSTITUTE(SUBSTITUTE(SUBSTITUTE('Calculations'!HF21,"~","~~"),"*","~*"),"?","~?"),'Calculations'!$HN$13:$HN$512,"="&amp;SUBSTITUTE(SUBSTITUTE(SUBSTITUTE('Dashboard'!$B$7,"~","~~"),"*","~*"),"?","~?"))+COUNTIFS('Calculations'!$HT$13:$HT$512,"="&amp;SUBSTITUTE(SUBSTITUTE(SUBSTITUTE('Calculations'!HF21,"~","~~"),"*","~*"),"?","~?"),'Calculations'!$HN$13:$HN$512,"="&amp;SUBSTITUTE(SUBSTITUTE(SUBSTITUTE('Dashboard'!$B$7,"~","~~"),"*","~*"),"?","~?"))+COUNTIFS('Calculations'!$HU$13:$HU$512,"="&amp;SUBSTITUTE(SUBSTITUTE(SUBSTITUTE('Calculations'!HF21,"~","~~"),"*","~*"),"?","~?"),'Calculations'!$HN$13:$HN$512,"="&amp;SUBSTITUTE(SUBSTITUTE(SUBSTITUTE('Dashboard'!$B$7,"~","~~"),"*","~*"),"?","~?"))+COUNTIFS('Calculations'!$HV$13:$HV$512,"="&amp;SUBSTITUTE(SUBSTITUTE(SUBSTITUTE('Calculations'!HF21,"~","~~"),"*","~*"),"?","~?"),'Calculations'!$HN$13:$HN$512,"="&amp;SUBSTITUTE(SUBSTITUTE(SUBSTITUTE('Dashboard'!$B$7,"~","~~"),"*","~*"),"?","~?"))+COUNTIFS('Calculations'!$HW$13:$HW$512,"="&amp;SUBSTITUTE(SUBSTITUTE(SUBSTITUTE('Calculations'!HF21,"~","~~"),"*","~*"),"?","~?"),'Calculations'!$HN$13:$HN$512,"="&amp;SUBSTITUTE(SUBSTITUTE(SUBSTITUTE('Dashboard'!$B$7,"~","~~"),"*","~*"),"?","~?"))+COUNTIFS('Calculations'!$HX$13:$HX$512,"="&amp;SUBSTITUTE(SUBSTITUTE(SUBSTITUTE('Calculations'!HF21,"~","~~"),"*","~*"),"?","~?"),'Calculations'!$HN$13:$HN$512,"="&amp;SUBSTITUTE(SUBSTITUTE(SUBSTITUTE('Dashboard'!$B$7,"~","~~"),"*","~*"),"?","~?"))+COUNTIFS('Calculations'!$HY$13:$HY$512,"="&amp;SUBSTITUTE(SUBSTITUTE(SUBSTITUTE('Calculations'!HF21,"~","~~"),"*","~*"),"?","~?"),'Calculations'!$HN$13:$HN$512,"="&amp;SUBSTITUTE(SUBSTITUTE(SUBSTITUTE('Dashboard'!$B$7,"~","~~"),"*","~*"),"?","~?"))+COUNTIFS('Calculations'!$HZ$13:$HZ$512,"="&amp;SUBSTITUTE(SUBSTITUTE(SUBSTITUTE('Calculations'!HF21,"~","~~"),"*","~*"),"?","~?"),'Calculations'!$HN$13:$HN$512,"="&amp;SUBSTITUTE(SUBSTITUTE(SUBSTITUTE('Dashboard'!$B$7,"~","~~"),"*","~*"),"?","~?"))+COUNTIFS('Calculations'!$IA$13:$IA$512,"="&amp;SUBSTITUTE(SUBSTITUTE(SUBSTITUTE('Calculations'!HF21,"~","~~"),"*","~*"),"?","~?"),'Calculations'!$HN$13:$HN$512,"="&amp;SUBSTITUTE(SUBSTITUTE(SUBSTITUTE('Dashboard'!$B$7,"~","~~"),"*","~*"),"?","~?"))+COUNTIFS('Calculations'!$IB$13:$IB$512,"="&amp;SUBSTITUTE(SUBSTITUTE(SUBSTITUTE('Calculations'!HF21,"~","~~"),"*","~*"),"?","~?"),'Calculations'!$HN$13:$HN$512,"="&amp;SUBSTITUTE(SUBSTITUTE(SUBSTITUTE('Dashboard'!$B$7,"~","~~"),"*","~*"),"?","~?"))+COUNTIFS('Calculations'!$IC$13:$IC$512,"="&amp;SUBSTITUTE(SUBSTITUTE(SUBSTITUTE('Calculations'!HF21,"~","~~"),"*","~*"),"?","~?"),'Calculations'!$HN$13:$HN$512,"="&amp;SUBSTITUTE(SUBSTITUTE(SUBSTITUTE('Dashboard'!$B$7,"~","~~"),"*","~*"),"?","~?"))+COUNTIFS('Calculations'!$ID$13:$ID$512,"="&amp;SUBSTITUTE(SUBSTITUTE(SUBSTITUTE('Calculations'!HF21,"~","~~"),"*","~*"),"?","~?"),'Calculations'!$HN$13:$HN$512,"="&amp;SUBSTITUTE(SUBSTITUTE(SUBSTITUTE('Dashboard'!$B$7,"~","~~"),"*","~*"),"?","~?"))+COUNTIFS('Calculations'!$IE$13:$IE$512,"="&amp;SUBSTITUTE(SUBSTITUTE(SUBSTITUTE('Calculations'!HF21,"~","~~"),"*","~*"),"?","~?"),'Calculations'!$HN$13:$HN$512,"="&amp;SUBSTITUTE(SUBSTITUTE(SUBSTITUTE('Dashboard'!$B$7,"~","~~"),"*","~*"),"?","~?"))+COUNTIFS('Calculations'!$IF$13:$IF$512,"="&amp;SUBSTITUTE(SUBSTITUTE(SUBSTITUTE('Calculations'!HF21,"~","~~"),"*","~*"),"?","~?"),'Calculations'!$HN$13:$HN$512,"="&amp;SUBSTITUTE(SUBSTITUTE(SUBSTITUTE('Dashboard'!$B$7,"~","~~"),"*","~*"),"?","~?"))+COUNTIFS('Calculations'!$IG$13:$IG$512,"="&amp;SUBSTITUTE(SUBSTITUTE(SUBSTITUTE('Calculations'!HF21,"~","~~"),"*","~*"),"?","~?"),'Calculations'!$HN$13:$HN$512,"="&amp;SUBSTITUTE(SUBSTITUTE(SUBSTITUTE('Dashboard'!$B$7,"~","~~"),"*","~*"),"?","~?"))+COUNTIFS('Calculations'!$IH$13:$IH$512,"="&amp;SUBSTITUTE(SUBSTITUTE(SUBSTITUTE('Calculations'!HF21,"~","~~"),"*","~*"),"?","~?"),'Calculations'!$HN$13:$HN$512,"="&amp;SUBSTITUTE(SUBSTITUTE(SUBSTITUTE('Dashboard'!$B$7,"~","~~"),"*","~*"),"?","~?"))))</x:f>
        <x:v>0</x:v>
      </x:c>
      <x:c r="JD21" t="n">
        <x:f>IF('Calculations'!EM21="",0,IF('Dashboard'!$B$7="All",1,IF('Calculations'!HN21='Dashboard'!$B$7,1,0)+IFERROR(INDEX('Calculations'!$JC$13:$JC$512,MATCH('Calculations'!HE21,'Calculations'!$HF$13:$HF$512,0)),0)))</x:f>
        <x:v>0</x:v>
      </x:c>
      <x:c r="JE21" t="n">
        <x:f>IF(AND('Calculations'!EM21&lt;&gt;"",'Calculations'!$JJ$2&lt;&gt;"All",'Calculations'!$JJ$2&lt;&gt;"",'Calculations'!HF21='Calculations'!$JJ$2,'Calculations'!HL21=0,'Calculations'!JD21&gt;0),MAX('Calculations'!$JE$12:JE20)+1,0)</x:f>
        <x:v>0</x:v>
      </x:c>
      <x:c r="JF21" t="str">
        <x:f>IF('Calculations'!EM21="","",IFERROR(IF(INDEX(INDIRECT("'WCM Calibration Final'!$G$1:$G$2000"),'Calculations'!$EM21)="","",TRIM(INDEX(INDIRECT("'WCM Calibration Final'!$G$1:$G$2000"),'Calculations'!$EM21)&amp;"")),""))</x:f>
      </x:c>
      <x:c r="JL21" t="str">
        <x:f>IF(OR('Calculations'!$JJ$2="All",'Calculations'!$JJ$2='Calculations'!$EF$2),"",'Calculations'!$JJ$2)</x:f>
      </x:c>
      <x:c r="JM21" t="str">
        <x:f>IF(OR('Calculations'!JL21="",'Calculations'!JL21="All"),IF(1=0,"Select a manager",IF(1=1,"All reporting branches","")),IFERROR(INDEX('Calculations'!$HG$13:$HG$512,MATCH('Calculations'!JL21,'Calculations'!$HE$13:$HE$512,0)),IFERROR(INDEX('Calculations'!$HJ$13:$HJ$512,MATCH('Calculations'!JL21,'Calculations'!$HF$13:$HF$512,0)),"Manager outside roster")))</x:f>
        <x:v>All reporting branches</x:v>
      </x:c>
      <x:c r="JN21" t="str">
        <x:f>IF(OR('Calculations'!JL21="",'Calculations'!JL21="All"),IF(1=1,"Choose Below direct to focus on one branch",""),IFERROR(INDEX('Calculations'!$JF$13:$JF$512,MATCH('Calculations'!JL21,'Calculations'!$HE$13:$HE$512,0)),"Outside this roster"))</x:f>
        <x:v>Choose Below direct to focus on one branch</x:v>
      </x:c>
      <x:c r="JO21" t="str">
        <x:f>IF(OR('Calculations'!JL21="",'Calculations'!JL21="All"),"",IFERROR("What: "&amp;IF(INDEX('Calculations'!$BO$13:$BO$512,MATCH('Calculations'!JL21,'Calculations'!$HE$13:$HE$512,0))="","Pending",INDEX('Calculations'!$BO$13:$BO$512,MATCH('Calculations'!JL21,'Calculations'!$HE$13:$HE$512,0)))&amp;"   How: "&amp;IF(INDEX('Calculations'!$BP$13:$BP$512,MATCH('Calculations'!JL21,'Calculations'!$HE$13:$HE$512,0))="","Pending",INDEX('Calculations'!$BP$13:$BP$512,MATCH('Calculations'!JL21,'Calculations'!$HE$13:$HE$512,0))),"What / How: not in roster"))</x:f>
      </x:c>
      <x:c r="JP21" t="str">
        <x:f>IF(OR('Calculations'!JL21="",'Calculations'!JL21="All"),"",COUNTIFS('Calculations'!$HF$13:$HF$512,'Calculations'!JL21,'Calculations'!$JD$13:$JD$512,"&gt;0")&amp;" direct reports in product scope")</x:f>
      </x:c>
      <x:c r="JQ21" t="n">
        <x:f>IF(OR('Calculations'!BM21=0,NOT('Calculations'!$AG$2),'Calculations'!$AG$8&gt;0),0,IF(OR('Dashboard'!$B$7="All",'Calculations'!HN21='Dashboard'!$B$7),IF('Calculations'!$JJ$2="All",1,IF(AND('Calculations'!HF21='Calculations'!$JJ$2,'Calculations'!HL21=0),1,0)),0))</x:f>
        <x:v>0</x:v>
      </x:c>
    </x:row>
    <x:row r="22" ht="21" customHeight="1">
      <x:c r="A22" s="75"/>
      <x:c r="B22" s="75"/>
      <x:c r="C22" s="75"/>
      <x:c r="D22" s="75"/>
      <x:c r="E22" s="75"/>
      <x:c r="F22" s="75"/>
      <x:c r="G22" s="75"/>
      <x:c r="H22" s="75"/>
      <x:c r="I22" s="75"/>
      <x:c r="J22" s="75"/>
      <x:c r="K22" s="75"/>
      <x:c r="L22" s="75"/>
      <x:c r="M22" s="75"/>
      <x:c r="AF22" s="4" t="str">
        <x:v>Strong</x:v>
      </x:c>
      <x:c r="AG22" s="4" t="n">
        <x:f>COUNTIFS('Calculations'!$BN$13:$BN$512,1,'Calculations'!$BT$13:$BT$512,1,'Calculations'!$EE$13:$EE$512,'Calculations'!AF22)</x:f>
        <x:v>0</x:v>
      </x:c>
      <x:c r="AH22" s="4" t="e">
        <x:f>IF('Calculations'!$AG$5=0,NA(),'Calculations'!AG22/'Calculations'!$AG$5)</x:f>
        <x:v>#N/A</x:v>
      </x:c>
      <x:c r="AI22" s="4" t="n">
        <x:f>IF(COUNT('Dashboard'!P147)=0,NA(),IF(AND('Dashboard'!P147&gt;=0,'Dashboard'!P147&lt;=1),'Dashboard'!P147,NA()))</x:f>
        <x:v>0.3</x:v>
      </x:c>
      <x:c r="AJ22" s="4"/>
      <x:c r="AK22" s="4"/>
      <x:c r="AL22" s="4"/>
      <x:c r="AM22" s="4"/>
      <x:c r="AN22" s="4"/>
      <x:c r="AO22" s="4"/>
      <x:c r="AP22" s="4"/>
      <x:c r="AQ22" s="4"/>
      <x:c r="AR22" s="4"/>
      <x:c r="AS22" s="4"/>
      <x:c r="AT22" s="4" t="str">
        <x:f>IF('Calculations'!$AG$5=0,"",'Calculations'!AG22&amp;" · "&amp;TEXT('Calculations'!AH22,"0.0%"))</x:f>
      </x:c>
      <x:c r="AU22" s="4"/>
      <x:c r="AV22" s="4"/>
      <x:c r="AW22" s="4"/>
      <x:c r="AX22" s="4"/>
      <x:c r="AY22" s="4"/>
      <x:c r="AZ22" s="4"/>
      <x:c r="BA22" s="4"/>
      <x:c r="BB22" s="4"/>
      <x:c r="BC22" s="4"/>
      <x:c r="BD22" s="4"/>
      <x:c r="BE22" s="4"/>
      <x:c r="BF22" s="4"/>
      <x:c r="BG22" s="4"/>
      <x:c r="BH22" s="4"/>
      <x:c r="BI22" s="4"/>
      <x:c r="BJ22" s="4"/>
      <x:c r="BK22" s="4"/>
      <x:c r="BL22" s="4"/>
      <x:c r="BM22" s="4" t="n">
        <x:f>IF('Calculations'!$EM22="",0,IF(OR(IFERROR(INDEX(INDIRECT("'WCM Calibration Final'!$A$1:$A$2000"),'Calculations'!$EM22)&lt;&gt;"",FALSE),IFERROR(INDEX(INDIRECT("'WCM Calibration Final'!$B$1:$B$2000"),'Calculations'!$EM22)&lt;&gt;"",FALSE),IFERROR(INDEX(INDIRECT("'WCM Calibration Final'!$C$1:$C$2000"),'Calculations'!$EM22)&lt;&gt;"",FALSE)),1,0))</x:f>
        <x:v>0</x:v>
      </x:c>
      <x:c r="BN22" s="4" t="n">
        <x:f>IF(AND('Calculations'!BM22=1,'Calculations'!$AG$2,'Calculations'!$EN22=1),1,0)</x:f>
        <x:v>0</x:v>
      </x:c>
      <x:c r="BO22" s="4" t="str">
        <x:f>IF('Calculations'!BM22=0,"",IFERROR(IF(AND(VALUE(INDEX(INDIRECT("'WCM Calibration Final'!$K$1:$K$2000"),'Calculations'!$EM22))&gt;=1,VALUE(INDEX(INDIRECT("'WCM Calibration Final'!$K$1:$K$2000"),'Calculations'!$EM22))&lt;=4,MOD(VALUE(INDEX(INDIRECT("'WCM Calibration Final'!$K$1:$K$2000"),'Calculations'!$EM22)),1)=0),VALUE(INDEX(INDIRECT("'WCM Calibration Final'!$K$1:$K$2000"),'Calculations'!$EM22)),""),""))</x:f>
      </x:c>
      <x:c r="BP22" s="4" t="str">
        <x:f>IF('Calculations'!BM22=0,"",IFERROR(IF(AND(VALUE(INDEX(INDIRECT("'WCM Calibration Final'!$L$1:$L$2000"),'Calculations'!$EM22))&gt;=1,VALUE(INDEX(INDIRECT("'WCM Calibration Final'!$L$1:$L$2000"),'Calculations'!$EM22))&lt;=4,MOD(VALUE(INDEX(INDIRECT("'WCM Calibration Final'!$L$1:$L$2000"),'Calculations'!$EM22)),1)=0),VALUE(INDEX(INDIRECT("'WCM Calibration Final'!$L$1:$L$2000"),'Calculations'!$EM22)),""),""))</x:f>
      </x:c>
      <x:c r="BQ22" s="4"/>
      <x:c r="BR22" s="4"/>
      <x:c r="BS22" s="4"/>
      <x:c r="BT22" s="4" t="n">
        <x:f>IF(AND('Calculations'!BM22=1,ISNUMBER('Calculations'!BO22),ISNUMBER('Calculations'!BP22)),1,0)</x:f>
        <x:v>0</x:v>
      </x:c>
      <x:c r="BU22" s="4" t="str">
        <x:f>IF('Calculations'!BM22=0,"",'Calculations'!$EO22)</x:f>
      </x:c>
      <x:c r="BV22" s="4" t="str">
        <x:f>IF('Calculations'!BM22=0,"",IFERROR(IF(OR(INDEX(INDIRECT("'WCM Calibration Final'!$H$1:$H$2000"),'Calculations'!$EM22)="MANAGING DIRECTOR",INDEX(INDIRECT("'WCM Calibration Final'!$H$1:$H$2000"),'Calculations'!$EM22)="DIRECTOR",INDEX(INDIRECT("'WCM Calibration Final'!$H$1:$H$2000"),'Calculations'!$EM22)="SENIOR VICE PRESIDENT",INDEX(INDIRECT("'WCM Calibration Final'!$H$1:$H$2000"),'Calculations'!$EM22)="VICE PRESIDENT",INDEX(INDIRECT("'WCM Calibration Final'!$H$1:$H$2000"),'Calculations'!$EM22)="ASSISTANT VICE PRESIDENT",INDEX(INDIRECT("'WCM Calibration Final'!$H$1:$H$2000"),'Calculations'!$EM22)="OFFICER"),UPPER(INDEX(INDIRECT("'WCM Calibration Final'!$H$1:$H$2000"),'Calculations'!$EM22)),"Other"),"Other"))</x:f>
      </x:c>
      <x:c r="BW22" s="4"/>
      <x:c r="BX22" s="4"/>
      <x:c r="BY22" s="4" t="n">
        <x:f>IF(AND('Calculations'!BM22=1,'Calculations'!BU22&lt;&gt;"",COUNTIF('Calculations'!$BU$12:BU22,'Calculations'!BU22)=1),MAX('Calculations'!$BY$11:BY21)+1,0)</x:f>
        <x:v>0</x:v>
      </x:c>
      <x:c r="BZ22" s="4" t="str">
        <x:f>IF('Dashboard'!$E$67="What",'Calculations'!BO22,'Calculations'!BP22)</x:f>
      </x:c>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t="str">
        <x:f>IF(11&gt;MAX('Calculations'!$HI$13:$HI$512),"",INDEX('Calculations'!$HN$13:$HN$512,MATCH(11,'Calculations'!$HI$13:$HI$512,0)))</x:f>
      </x:c>
      <x:c r="DB22" s="4" t="str">
        <x:f>IF(11&gt;MAX('Calculations'!$HH$13:$HH$512),"",INDEX('Calculations'!$HJ$13:$HJ$512,MATCH(11,'Calculations'!$HH$13:$HH$512,0)))</x:f>
      </x:c>
      <x:c r="DC22" s="4" t="str">
        <x:f>IF(ROW()-11&gt;MAX('Calculations'!$BY$13:$BY$512),"",INDEX('Calculations'!$BU$13:$BU$512,MATCH(ROW()-11,'Calculations'!$BY$13:$BY$512,0)))</x:f>
      </x:c>
      <x:c r="DD22" s="4" t="str">
        <x:f>IF(11&gt;MAX('Calculations'!$IK$13:$IK$512),"",INDEX('Calculations'!$HK$13:$HK$512,MATCH(11,'Calculations'!$IK$13:$IK$512,0)))</x:f>
      </x:c>
      <x:c r="DE22" s="4" t="str">
        <x:f>'Calculations'!DC22</x:f>
      </x:c>
      <x:c r="DF22" s="4" t="str">
        <x:f>IF('Calculations'!DE22="","",COUNTIFS('Calculations'!$BN$13:$BN$512,1,'Calculations'!$BU$13:$BU$512,'Calculations'!DE22))</x:f>
      </x:c>
      <x:c r="DG22" s="4" t="str">
        <x:f>IF('Calculations'!DE22="","",COUNTIFS('Calculations'!$BN$13:$BN$512,1,'Calculations'!$BU$13:$BU$512,'Calculations'!DE22,'Calculations'!$BT$13:$BT$512,1))</x:f>
      </x:c>
      <x:c r="DH22" s="4" t="str">
        <x:f>IF('Calculations'!DE22="","",'Calculations'!DF22-'Calculations'!DG22)</x:f>
      </x:c>
      <x:c r="DI22" s="4" t="str">
        <x:f>IF(OR('Calculations'!DE22="",'Calculations'!DF22=0),"",'Calculations'!DG22/'Calculations'!DF22)</x:f>
      </x:c>
      <x:c r="DJ22" s="4" t="str">
        <x:f>IF('Calculations'!DE22="","",COUNTIFS('Calculations'!$BN$13:$BN$512,1,'Calculations'!$BU$13:$BU$512,'Calculations'!DE22,'Calculations'!$BT$13:$BT$512,1,'Calculations'!$EE$13:$EE$512,"High"))</x:f>
      </x:c>
      <x:c r="DK22" s="4" t="str">
        <x:f>IF('Calculations'!DE22="","",COUNTIFS('Calculations'!$BN$13:$BN$512,1,'Calculations'!$BU$13:$BU$512,'Calculations'!DE22,'Calculations'!$BT$13:$BT$512,1,'Calculations'!$EE$13:$EE$512,"Strong"))</x:f>
      </x:c>
      <x:c r="DL22" s="4" t="str">
        <x:f>IF('Calculations'!DE22="","",COUNTIFS('Calculations'!$BN$13:$BN$512,1,'Calculations'!$BU$13:$BU$512,'Calculations'!DE22,'Calculations'!$BT$13:$BT$512,1,'Calculations'!$EE$13:$EE$512,"Solid"))</x:f>
      </x:c>
      <x:c r="DM22" s="4" t="str">
        <x:f>IF('Calculations'!DE22="","",COUNTIFS('Calculations'!$BN$13:$BN$512,1,'Calculations'!$BU$13:$BU$512,'Calculations'!DE22,'Calculations'!$BT$13:$BT$512,1,'Calculations'!$EE$13:$EE$512,"Low"))</x:f>
      </x:c>
      <x:c r="DN22" s="4" t="str">
        <x:f>IF('Calculations'!DE22="","",COUNTIFS('Calculations'!$BN$13:$BN$512,1,'Calculations'!$BU$13:$BU$512,'Calculations'!DE22,'Calculations'!$EP$13:$EP$512,1))</x:f>
      </x:c>
      <x:c r="DO22" s="4" t="str">
        <x:f>IF(OR('Calculations'!DE22="",'Calculations'!DG22=0),"",('Calculations'!DJ22+'Calculations'!DK22)/'Calculations'!DG22)</x:f>
      </x:c>
      <x:c r="DP22" s="4" t="n">
        <x:f>IF(AND('Calculations'!DE22&lt;&gt;"",'Calculations'!DF22&gt;0),COUNTIF('Calculations'!$DF$12:DF22,"&gt;0"),0)</x:f>
        <x:v>0</x:v>
      </x:c>
      <x:c r="DQ22" s="4" t="str">
        <x:f>IF(11&gt;MAX('Calculations'!$HH$13:$HH$512),"",INDEX('Calculations'!$HF$13:$HF$512,MATCH(11,'Calculations'!$HH$13:$HH$512,0)))</x:f>
      </x:c>
      <x:c r="DR22" s="4" t="str">
        <x:f>IF(11&gt;MAX('Calculations'!$IK$13:$IK$512),"",INDEX('Calculations'!$HE$13:$HE$512,MATCH(11,'Calculations'!$IK$13:$IK$512,0)))</x:f>
      </x:c>
      <x:c r="DS22" s="4"/>
      <x:c r="DT22" s="4"/>
      <x:c r="DU22" s="4"/>
      <x:c r="DV22" s="4"/>
      <x:c r="DW22" s="4"/>
      <x:c r="DX22" s="4"/>
      <x:c r="DY22" s="4"/>
      <x:c r="DZ22" s="4"/>
      <x:c r="EA22" s="4"/>
      <x:c r="EB22" s="4"/>
      <x:c r="EC22" s="4"/>
      <x:c r="ED22" s="4"/>
      <x:c r="EE22" s="4" t="str">
        <x:f>IF('Calculations'!BT22=0,"Not Rated",IF(OR('Calculations'!BO22&gt;=4,'Calculations'!BP22&gt;=4),"Low",IF('Calculations'!BO22+'Calculations'!BP22&lt;=3,"High",IF('Calculations'!BO22+'Calculations'!BP22&lt;=4,"Strong","Solid"))))</x:f>
        <x:v>Not Rated</x:v>
      </x:c>
      <x:c r="EF22" s="4"/>
      <x:c r="EG22" s="4"/>
      <x:c r="EH22" s="4"/>
      <x:c r="EI22" s="4"/>
      <x:c r="EJ22" s="4"/>
      <x:c r="EK22" s="4"/>
      <x:c r="EL22" s="4"/>
      <x:c r="EM22" s="4" t="str">
        <x:f>IF(10&gt;'Calculations'!$JB$2000,"",INDEX('Calculations'!$JA$12:$JA$2000,MATCH(10,'Calculations'!$JB$12:$JB$2000,0)))</x:f>
      </x:c>
      <x:c r="EN22" s="4" t="n">
        <x:f>IF(OR('Calculations'!EM22="",'Calculations'!$AG$8&gt;0,AND('Calculations'!$EF$2&lt;&gt;"All",'Calculations'!HE22='Calculations'!$EF$2),AND('Calculations'!$EF$3&lt;&gt;"All",'Calculations'!HE22='Calculations'!$EF$3)),0,IF(OR('Dashboard'!$B$7="All",'Calculations'!HN22='Dashboard'!$B$7),IF('Calculations'!$EF$2="All",1,IF('Calculations'!HL22&gt;0,0,IF(COUNTIF('Calculations'!HO22:II22,"="&amp;SUBSTITUTE(SUBSTITUTE(SUBSTITUTE('Calculations'!$EF$2,"~","~~"),"*","~*"),"?","~?"))=0,0,IF('Calculations'!$EF$3="All",1,IF(COUNTIF('Calculations'!HO22:II22,"="&amp;SUBSTITUTE(SUBSTITUTE(SUBSTITUTE('Calculations'!$EF$3,"~","~~"),"*","~*"),"?","~?"))&gt;0,1,0))))),0))</x:f>
        <x:v>0</x:v>
      </x:c>
      <x:c r="EO22" s="4" t="str">
        <x:f>IF('Calculations'!IJ22="","",IF('Calculations'!IJ22="!UNRESOLVED","Unresolved hierarchy",IFERROR(INDEX('Calculations'!$HK$13:$HK$512,MATCH('Calculations'!IJ22,'Calculations'!$HE$13:$HE$512,0)),IFERROR(INDEX('Calculations'!$HJ$13:$HJ$512,MATCH('Calculations'!IJ22,'Calculations'!$HF$13:$HF$512,0)),'Calculations'!IJ22))))</x:f>
      </x:c>
      <x:c r="EP22" s="4" t="n">
        <x:f>IF(AND('Calculations'!EM22&lt;&gt;"",'Calculations'!HF22='Calculations'!IJ22),1,0)</x:f>
        <x:v>0</x:v>
      </x:c>
      <x:c r="EQ22" s="4"/>
      <x:c r="ER22" s="4"/>
      <x:c r="ES22" s="4"/>
      <x:c r="ET22" s="4"/>
      <x:c r="EU22" s="4"/>
      <x:c r="EV22" s="4"/>
      <x:c r="EW22" s="4"/>
      <x:c r="EX22" s="4"/>
      <x:c r="EY22" s="4"/>
      <x:c r="EZ22" s="4"/>
      <x:c r="FA22" s="4"/>
      <x:c r="FB22" s="4"/>
      <x:c r="FC22" s="4"/>
      <x:c r="FD22" s="4"/>
      <x:c r="FE22" s="4"/>
      <x:c r="FF22" s="4"/>
      <x:c r="FG22" s="4"/>
      <x:c r="FH22" s="4"/>
      <x:c r="FI22" s="4"/>
      <x:c r="FJ22" s="4"/>
      <x:c r="FK22" s="4"/>
      <x:c r="FL22" s="4"/>
      <x:c r="FM22" s="4"/>
      <x:c r="FN22" s="4"/>
      <x:c r="FO22" s="4"/>
      <x:c r="GA22" s="71"/>
      <x:c r="GB22" s="71"/>
      <x:c r="GC22" s="71"/>
      <x:c r="GD22" s="71"/>
      <x:c r="GE22" s="71"/>
      <x:c r="GF22" s="71"/>
      <x:c r="GG22" s="71"/>
      <x:c r="GH22" s="71"/>
      <x:c r="GI22" s="71"/>
      <x:c r="GJ22" s="71"/>
      <x:c r="GK22" s="71"/>
      <x:c r="GL22" s="71"/>
      <x:c r="GM22" s="71"/>
      <x:c r="GN22" s="71"/>
      <x:c r="GO22" s="71"/>
      <x:c r="GP22" s="71"/>
      <x:c r="GQ22" s="71"/>
      <x:c r="GR22" s="71"/>
      <x:c r="GS22" s="71"/>
      <x:c r="GT22" s="71"/>
      <x:c r="GU22" s="71"/>
      <x:c r="GV22" s="71"/>
      <x:c r="GW22" s="71"/>
      <x:c r="GX22" s="71"/>
      <x:c r="GY22" s="71"/>
      <x:c r="GZ22" s="71"/>
      <x:c r="HA22" s="71"/>
      <x:c r="HB22" s="71"/>
      <x:c r="HC22" s="71"/>
      <x:c r="HD22" s="71"/>
      <x:c r="HE22" t="str">
        <x:f>IF('Calculations'!EM22="","",IF(IFERROR(IF(INDEX(INDIRECT("'WCM Calibration Final'!$A$1:$A$2000"),'Calculations'!$EM22)="","",TRIM(INDEX(INDIRECT("'WCM Calibration Final'!$A$1:$A$2000"),'Calculations'!$EM22)&amp;"")),"")&lt;&gt;"","G:"&amp;IFERROR(TEXT(1*INDEX(INDIRECT("'WCM Calibration Final'!$A$1:$A$2000"),'Calculations'!$EM22),"0"),UPPER(IFERROR(IF(INDEX(INDIRECT("'WCM Calibration Final'!$A$1:$A$2000"),'Calculations'!$EM22)="","",TRIM(INDEX(INDIRECT("'WCM Calibration Final'!$A$1:$A$2000"),'Calculations'!$EM22)&amp;"")),""))),IF(IFERROR(IF(INDEX(INDIRECT("'WCM Calibration Final'!$C$1:$C$2000"),'Calculations'!$EM22)="","",TRIM(INDEX(INDIRECT("'WCM Calibration Final'!$C$1:$C$2000"),'Calculations'!$EM22)&amp;"")),"")&lt;&gt;"","S:"&amp;UPPER(IFERROR(IF(INDEX(INDIRECT("'WCM Calibration Final'!$C$1:$C$2000"),'Calculations'!$EM22)="","",TRIM(INDEX(INDIRECT("'WCM Calibration Final'!$C$1:$C$2000"),'Calculations'!$EM22)&amp;"")),"")),"R:"&amp;'Calculations'!EM22)))</x:f>
      </x:c>
      <x:c r="HF22" t="str">
        <x:f>IF('Calculations'!EM22="","",IF(IFERROR(IF(INDEX(INDIRECT("'WCM Calibration Final'!$D$1:$D$2000"),'Calculations'!$EM22)="","",TRIM(INDEX(INDIRECT("'WCM Calibration Final'!$D$1:$D$2000"),'Calculations'!$EM22)&amp;"")),"")&lt;&gt;"","G:"&amp;IFERROR(TEXT(1*INDEX(INDIRECT("'WCM Calibration Final'!$D$1:$D$2000"),'Calculations'!$EM22),"0"),UPPER(IFERROR(IF(INDEX(INDIRECT("'WCM Calibration Final'!$D$1:$D$2000"),'Calculations'!$EM22)="","",TRIM(INDEX(INDIRECT("'WCM Calibration Final'!$D$1:$D$2000"),'Calculations'!$EM22)&amp;"")),""))),IF(IFERROR(IF(INDEX(INDIRECT("'WCM Calibration Final'!$E$1:$E$2000"),'Calculations'!$EM22)="","",TRIM(INDEX(INDIRECT("'WCM Calibration Final'!$E$1:$E$2000"),'Calculations'!$EM22)&amp;"")),"")="","",IF(COUNTIF('Calculations'!$HG$13:$HG$512,"="&amp;SUBSTITUTE(SUBSTITUTE(SUBSTITUTE(IFERROR(IF(INDEX(INDIRECT("'WCM Calibration Final'!$E$1:$E$2000"),'Calculations'!$EM22)="","",TRIM(INDEX(INDIRECT("'WCM Calibration Final'!$E$1:$E$2000"),'Calculations'!$EM22)&amp;"")),""),"~","~~"),"*","~*"),"?","~?"))=1,INDEX('Calculations'!$HE$13:$HE$512,MATCH(IFERROR(IF(INDEX(INDIRECT("'WCM Calibration Final'!$E$1:$E$2000"),'Calculations'!$EM22)="","",TRIM(INDEX(INDIRECT("'WCM Calibration Final'!$E$1:$E$2000"),'Calculations'!$EM22)&amp;"")),""),'Calculations'!$HG$13:$HG$512,0)),IF(COUNTIF('Calculations'!$HG$13:$HG$512,"="&amp;SUBSTITUTE(SUBSTITUTE(SUBSTITUTE(IFERROR(IF(INDEX(INDIRECT("'WCM Calibration Final'!$E$1:$E$2000"),'Calculations'!$EM22)="","",TRIM(INDEX(INDIRECT("'WCM Calibration Final'!$E$1:$E$2000"),'Calculations'!$EM22)&amp;"")),""),"~","~~"),"*","~*"),"?","~?"))&gt;1,"!AMBIG","X:"&amp;IFERROR(IF(INDEX(INDIRECT("'WCM Calibration Final'!$E$1:$E$2000"),'Calculations'!$EM22)="","",TRIM(INDEX(INDIRECT("'WCM Calibration Final'!$E$1:$E$2000"),'Calculations'!$EM22)&amp;"")),""))))))</x:f>
      </x:c>
      <x:c r="HG22" t="str">
        <x:f>IF('Calculations'!EM22="","",IFERROR(IF(INDEX(INDIRECT("'WCM Calibration Final'!$B$1:$B$2000"),'Calculations'!$EM22)="","",TRIM(INDEX(INDIRECT("'WCM Calibration Final'!$B$1:$B$2000"),'Calculations'!$EM22)&amp;"")),""))</x:f>
      </x:c>
      <x:c r="HH22" t="n">
        <x:f>IF(AND('Calculations'!JC22&gt;0,COUNTIF('Calculations'!$HF$12:HF22,"="&amp;SUBSTITUTE(SUBSTITUTE(SUBSTITUTE('Calculations'!HF22,"~","~~"),"*","~*"),"?","~?"))=1),MAX('Calculations'!$HH$12:HH21)+1,0)</x:f>
        <x:v>0</x:v>
      </x:c>
      <x:c r="HI22" t="n">
        <x:f>IF(AND('Calculations'!HN22&lt;&gt;"",COUNTIF('Calculations'!$HN$12:HN22,"="&amp;SUBSTITUTE(SUBSTITUTE(SUBSTITUTE('Calculations'!HN22,"~","~~"),"*","~*"),"?","~?"))=1),MAX('Calculations'!$HI$12:HI21)+1,0)</x:f>
        <x:v>0</x:v>
      </x:c>
      <x:c r="HJ22" t="str">
        <x:f>IF('Calculations'!HF22="","",IF(COUNTIF('Calculations'!$HE$13:$HE$512,"="&amp;SUBSTITUTE(SUBSTITUTE(SUBSTITUTE('Calculations'!HF22,"~","~~"),"*","~*"),"?","~?"))=1,INDEX('Calculations'!$HK$13:$HK$512,MATCH('Calculations'!HF22,'Calculations'!$HE$13:$HE$512,0)),IFERROR(IF(INDEX(INDIRECT("'WCM Calibration Final'!$E$1:$E$2000"),'Calculations'!$EM22)="","",TRIM(INDEX(INDIRECT("'WCM Calibration Final'!$E$1:$E$2000"),'Calculations'!$EM22)&amp;"")),"")&amp;" ["&amp;'Calculations'!HF22&amp;"]"))</x:f>
      </x:c>
      <x:c r="HK22" t="str">
        <x:f>IF('Calculations'!EM22="","",'Calculations'!HG22&amp;" ["&amp;'Calculations'!HE22&amp;"]")</x:f>
      </x:c>
      <x:c r="HL22" t="n">
        <x:f>IF('Calculations'!EM22="",0,IF(OR('Calculations'!II22&lt;&gt;"",COUNTIF('Calculations'!$HE$13:$HE$512,"="&amp;SUBSTITUTE(SUBSTITUTE(SUBSTITUTE('Calculations'!HE22,"~","~~"),"*","~*"),"?","~?"))&gt;1),1,0))</x:f>
        <x:v>0</x:v>
      </x:c>
      <x:c r="HM22" t="str">
        <x:f>IF('Calculations'!EM22="","",IF('Calculations'!HL22=1,"!UNRESOLVED",IF('Calculations'!IH22&lt;&gt;"",'Calculations'!IH22,IF('Calculations'!IG22&lt;&gt;"",'Calculations'!IG22,IF('Calculations'!IF22&lt;&gt;"",'Calculations'!IF22,IF('Calculations'!IE22&lt;&gt;"",'Calculations'!IE22,IF('Calculations'!ID22&lt;&gt;"",'Calculations'!ID22,IF('Calculations'!IC22&lt;&gt;"",'Calculations'!IC22,IF('Calculations'!IB22&lt;&gt;"",'Calculations'!IB22,IF('Calculations'!IA22&lt;&gt;"",'Calculations'!IA22,IF('Calculations'!HZ22&lt;&gt;"",'Calculations'!HZ22,IF('Calculations'!HY22&lt;&gt;"",'Calculations'!HY22,IF('Calculations'!HX22&lt;&gt;"",'Calculations'!HX22,IF('Calculations'!HW22&lt;&gt;"",'Calculations'!HW22,IF('Calculations'!HV22&lt;&gt;"",'Calculations'!HV22,IF('Calculations'!HU22&lt;&gt;"",'Calculations'!HU22,IF('Calculations'!HT22&lt;&gt;"",'Calculations'!HT22,IF('Calculations'!HS22&lt;&gt;"",'Calculations'!HS22,IF('Calculations'!HR22&lt;&gt;"",'Calculations'!HR22,IF('Calculations'!HQ22&lt;&gt;"",'Calculations'!HQ22,IF('Calculations'!HP22&lt;&gt;"",'Calculations'!HP22,IF('Calculations'!HO22&lt;&gt;"",'Calculations'!HO22,'Calculations'!HE22))))))))))))))))))))))</x:f>
      </x:c>
      <x:c r="HN22" t="str">
        <x:f>IF('Calculations'!EM22="","",IF(IFERROR(IF(INDEX(INDIRECT("'WCM Calibration Final'!$F$1:$F$2000"),'Calculations'!$EM22)="","",TRIM(INDEX(INDIRECT("'WCM Calibration Final'!$F$1:$F$2000"),'Calculations'!$EM22)&amp;"")),"")="","(Blank)",IFERROR(IF(INDEX(INDIRECT("'WCM Calibration Final'!$F$1:$F$2000"),'Calculations'!$EM22)="","",TRIM(INDEX(INDIRECT("'WCM Calibration Final'!$F$1:$F$2000"),'Calculations'!$EM22)&amp;"")),"")))</x:f>
      </x:c>
      <x:c r="HO22" t="str">
        <x:f>'Calculations'!HF22</x:f>
      </x:c>
      <x:c r="HP22" t="str">
        <x:f>IF('Calculations'!HO22="","",IF('Calculations'!HO22="!AMBIG","!AMBIG",IF(COUNTIF('Calculations'!$HE$13:$HE$512,"="&amp;SUBSTITUTE(SUBSTITUTE(SUBSTITUTE('Calculations'!HO22,"~","~~"),"*","~*"),"?","~?"))&gt;1,"!AMBIG",IFERROR(INDEX('Calculations'!$HF$13:$HF$512,MATCH('Calculations'!HO22,'Calculations'!$HE$13:$HE$512,0)),""))))</x:f>
      </x:c>
      <x:c r="HQ22" t="str">
        <x:f>IF('Calculations'!HP22="","",IF('Calculations'!HP22="!AMBIG","!AMBIG",IF(COUNTIF('Calculations'!$HE$13:$HE$512,"="&amp;SUBSTITUTE(SUBSTITUTE(SUBSTITUTE('Calculations'!HP22,"~","~~"),"*","~*"),"?","~?"))&gt;1,"!AMBIG",IFERROR(INDEX('Calculations'!$HF$13:$HF$512,MATCH('Calculations'!HP22,'Calculations'!$HE$13:$HE$512,0)),""))))</x:f>
      </x:c>
      <x:c r="HR22" t="str">
        <x:f>IF('Calculations'!HQ22="","",IF('Calculations'!HQ22="!AMBIG","!AMBIG",IF(COUNTIF('Calculations'!$HE$13:$HE$512,"="&amp;SUBSTITUTE(SUBSTITUTE(SUBSTITUTE('Calculations'!HQ22,"~","~~"),"*","~*"),"?","~?"))&gt;1,"!AMBIG",IFERROR(INDEX('Calculations'!$HF$13:$HF$512,MATCH('Calculations'!HQ22,'Calculations'!$HE$13:$HE$512,0)),""))))</x:f>
      </x:c>
      <x:c r="HS22" t="str">
        <x:f>IF('Calculations'!HR22="","",IF('Calculations'!HR22="!AMBIG","!AMBIG",IF(COUNTIF('Calculations'!$HE$13:$HE$512,"="&amp;SUBSTITUTE(SUBSTITUTE(SUBSTITUTE('Calculations'!HR22,"~","~~"),"*","~*"),"?","~?"))&gt;1,"!AMBIG",IFERROR(INDEX('Calculations'!$HF$13:$HF$512,MATCH('Calculations'!HR22,'Calculations'!$HE$13:$HE$512,0)),""))))</x:f>
      </x:c>
      <x:c r="HT22" t="str">
        <x:f>IF('Calculations'!HS22="","",IF('Calculations'!HS22="!AMBIG","!AMBIG",IF(COUNTIF('Calculations'!$HE$13:$HE$512,"="&amp;SUBSTITUTE(SUBSTITUTE(SUBSTITUTE('Calculations'!HS22,"~","~~"),"*","~*"),"?","~?"))&gt;1,"!AMBIG",IFERROR(INDEX('Calculations'!$HF$13:$HF$512,MATCH('Calculations'!HS22,'Calculations'!$HE$13:$HE$512,0)),""))))</x:f>
      </x:c>
      <x:c r="HU22" t="str">
        <x:f>IF('Calculations'!HT22="","",IF('Calculations'!HT22="!AMBIG","!AMBIG",IF(COUNTIF('Calculations'!$HE$13:$HE$512,"="&amp;SUBSTITUTE(SUBSTITUTE(SUBSTITUTE('Calculations'!HT22,"~","~~"),"*","~*"),"?","~?"))&gt;1,"!AMBIG",IFERROR(INDEX('Calculations'!$HF$13:$HF$512,MATCH('Calculations'!HT22,'Calculations'!$HE$13:$HE$512,0)),""))))</x:f>
      </x:c>
      <x:c r="HV22" t="str">
        <x:f>IF('Calculations'!HU22="","",IF('Calculations'!HU22="!AMBIG","!AMBIG",IF(COUNTIF('Calculations'!$HE$13:$HE$512,"="&amp;SUBSTITUTE(SUBSTITUTE(SUBSTITUTE('Calculations'!HU22,"~","~~"),"*","~*"),"?","~?"))&gt;1,"!AMBIG",IFERROR(INDEX('Calculations'!$HF$13:$HF$512,MATCH('Calculations'!HU22,'Calculations'!$HE$13:$HE$512,0)),""))))</x:f>
      </x:c>
      <x:c r="HW22" t="str">
        <x:f>IF('Calculations'!HV22="","",IF('Calculations'!HV22="!AMBIG","!AMBIG",IF(COUNTIF('Calculations'!$HE$13:$HE$512,"="&amp;SUBSTITUTE(SUBSTITUTE(SUBSTITUTE('Calculations'!HV22,"~","~~"),"*","~*"),"?","~?"))&gt;1,"!AMBIG",IFERROR(INDEX('Calculations'!$HF$13:$HF$512,MATCH('Calculations'!HV22,'Calculations'!$HE$13:$HE$512,0)),""))))</x:f>
      </x:c>
      <x:c r="HX22" t="str">
        <x:f>IF('Calculations'!HW22="","",IF('Calculations'!HW22="!AMBIG","!AMBIG",IF(COUNTIF('Calculations'!$HE$13:$HE$512,"="&amp;SUBSTITUTE(SUBSTITUTE(SUBSTITUTE('Calculations'!HW22,"~","~~"),"*","~*"),"?","~?"))&gt;1,"!AMBIG",IFERROR(INDEX('Calculations'!$HF$13:$HF$512,MATCH('Calculations'!HW22,'Calculations'!$HE$13:$HE$512,0)),""))))</x:f>
      </x:c>
      <x:c r="HY22" t="str">
        <x:f>IF('Calculations'!HX22="","",IF('Calculations'!HX22="!AMBIG","!AMBIG",IF(COUNTIF('Calculations'!$HE$13:$HE$512,"="&amp;SUBSTITUTE(SUBSTITUTE(SUBSTITUTE('Calculations'!HX22,"~","~~"),"*","~*"),"?","~?"))&gt;1,"!AMBIG",IFERROR(INDEX('Calculations'!$HF$13:$HF$512,MATCH('Calculations'!HX22,'Calculations'!$HE$13:$HE$512,0)),""))))</x:f>
      </x:c>
      <x:c r="HZ22" t="str">
        <x:f>IF('Calculations'!HY22="","",IF('Calculations'!HY22="!AMBIG","!AMBIG",IF(COUNTIF('Calculations'!$HE$13:$HE$512,"="&amp;SUBSTITUTE(SUBSTITUTE(SUBSTITUTE('Calculations'!HY22,"~","~~"),"*","~*"),"?","~?"))&gt;1,"!AMBIG",IFERROR(INDEX('Calculations'!$HF$13:$HF$512,MATCH('Calculations'!HY22,'Calculations'!$HE$13:$HE$512,0)),""))))</x:f>
      </x:c>
      <x:c r="IA22" t="str">
        <x:f>IF('Calculations'!HZ22="","",IF('Calculations'!HZ22="!AMBIG","!AMBIG",IF(COUNTIF('Calculations'!$HE$13:$HE$512,"="&amp;SUBSTITUTE(SUBSTITUTE(SUBSTITUTE('Calculations'!HZ22,"~","~~"),"*","~*"),"?","~?"))&gt;1,"!AMBIG",IFERROR(INDEX('Calculations'!$HF$13:$HF$512,MATCH('Calculations'!HZ22,'Calculations'!$HE$13:$HE$512,0)),""))))</x:f>
      </x:c>
      <x:c r="IB22" t="str">
        <x:f>IF('Calculations'!IA22="","",IF('Calculations'!IA22="!AMBIG","!AMBIG",IF(COUNTIF('Calculations'!$HE$13:$HE$512,"="&amp;SUBSTITUTE(SUBSTITUTE(SUBSTITUTE('Calculations'!IA22,"~","~~"),"*","~*"),"?","~?"))&gt;1,"!AMBIG",IFERROR(INDEX('Calculations'!$HF$13:$HF$512,MATCH('Calculations'!IA22,'Calculations'!$HE$13:$HE$512,0)),""))))</x:f>
      </x:c>
      <x:c r="IC22" t="str">
        <x:f>IF('Calculations'!IB22="","",IF('Calculations'!IB22="!AMBIG","!AMBIG",IF(COUNTIF('Calculations'!$HE$13:$HE$512,"="&amp;SUBSTITUTE(SUBSTITUTE(SUBSTITUTE('Calculations'!IB22,"~","~~"),"*","~*"),"?","~?"))&gt;1,"!AMBIG",IFERROR(INDEX('Calculations'!$HF$13:$HF$512,MATCH('Calculations'!IB22,'Calculations'!$HE$13:$HE$512,0)),""))))</x:f>
      </x:c>
      <x:c r="ID22" t="str">
        <x:f>IF('Calculations'!IC22="","",IF('Calculations'!IC22="!AMBIG","!AMBIG",IF(COUNTIF('Calculations'!$HE$13:$HE$512,"="&amp;SUBSTITUTE(SUBSTITUTE(SUBSTITUTE('Calculations'!IC22,"~","~~"),"*","~*"),"?","~?"))&gt;1,"!AMBIG",IFERROR(INDEX('Calculations'!$HF$13:$HF$512,MATCH('Calculations'!IC22,'Calculations'!$HE$13:$HE$512,0)),""))))</x:f>
      </x:c>
      <x:c r="IE22" t="str">
        <x:f>IF('Calculations'!ID22="","",IF('Calculations'!ID22="!AMBIG","!AMBIG",IF(COUNTIF('Calculations'!$HE$13:$HE$512,"="&amp;SUBSTITUTE(SUBSTITUTE(SUBSTITUTE('Calculations'!ID22,"~","~~"),"*","~*"),"?","~?"))&gt;1,"!AMBIG",IFERROR(INDEX('Calculations'!$HF$13:$HF$512,MATCH('Calculations'!ID22,'Calculations'!$HE$13:$HE$512,0)),""))))</x:f>
      </x:c>
      <x:c r="IF22" t="str">
        <x:f>IF('Calculations'!IE22="","",IF('Calculations'!IE22="!AMBIG","!AMBIG",IF(COUNTIF('Calculations'!$HE$13:$HE$512,"="&amp;SUBSTITUTE(SUBSTITUTE(SUBSTITUTE('Calculations'!IE22,"~","~~"),"*","~*"),"?","~?"))&gt;1,"!AMBIG",IFERROR(INDEX('Calculations'!$HF$13:$HF$512,MATCH('Calculations'!IE22,'Calculations'!$HE$13:$HE$512,0)),""))))</x:f>
      </x:c>
      <x:c r="IG22" t="str">
        <x:f>IF('Calculations'!IF22="","",IF('Calculations'!IF22="!AMBIG","!AMBIG",IF(COUNTIF('Calculations'!$HE$13:$HE$512,"="&amp;SUBSTITUTE(SUBSTITUTE(SUBSTITUTE('Calculations'!IF22,"~","~~"),"*","~*"),"?","~?"))&gt;1,"!AMBIG",IFERROR(INDEX('Calculations'!$HF$13:$HF$512,MATCH('Calculations'!IF22,'Calculations'!$HE$13:$HE$512,0)),""))))</x:f>
      </x:c>
      <x:c r="IH22" t="str">
        <x:f>IF('Calculations'!IG22="","",IF('Calculations'!IG22="!AMBIG","!AMBIG",IF(COUNTIF('Calculations'!$HE$13:$HE$512,"="&amp;SUBSTITUTE(SUBSTITUTE(SUBSTITUTE('Calculations'!IG22,"~","~~"),"*","~*"),"?","~?"))&gt;1,"!AMBIG",IFERROR(INDEX('Calculations'!$HF$13:$HF$512,MATCH('Calculations'!IG22,'Calculations'!$HE$13:$HE$512,0)),""))))</x:f>
      </x:c>
      <x:c r="II22" t="str">
        <x:f>IF('Calculations'!IH22="","",IF('Calculations'!IH22="!AMBIG","!AMBIG",IF(COUNTIF('Calculations'!$HE$13:$HE$512,"="&amp;SUBSTITUTE(SUBSTITUTE(SUBSTITUTE('Calculations'!IH22,"~","~~"),"*","~*"),"?","~?"))&gt;1,"!AMBIG",IFERROR(INDEX('Calculations'!$HF$13:$HF$512,MATCH('Calculations'!IH22,'Calculations'!$HE$13:$HE$512,0)),""))))</x:f>
      </x:c>
      <x:c r="IJ22" t="str">
        <x:f>IF('Calculations'!EM22="","",IF('Calculations'!$EF$2="All",'Calculations'!HM22,IF('Calculations'!HL22=1,"",IFERROR(IF(MATCH('Calculations'!$EF$2,'Calculations'!HO22:II22,0)=1,'Calculations'!HE22,INDEX('Calculations'!HO22:II22,1,MATCH('Calculations'!$EF$2,'Calculations'!HO22:II22,0)-1)),""))))</x:f>
      </x:c>
      <x:c r="IK22" t="n">
        <x:f>IF(AND('Calculations'!EM22&lt;&gt;"",'Calculations'!$EF$2&lt;&gt;"All",'Calculations'!HF22='Calculations'!$EF$2,'Calculations'!HL22=0,'Calculations'!JD22&gt;0),MAX('Calculations'!$IK$12:IK21)+1,0)</x:f>
        <x:v>0</x:v>
      </x:c>
      <x:c r="JA22" t="n">
        <x:f>IF(OR(IFERROR(INDIRECT("'WCM Calibration Final'!$A$22")&lt;&gt;"",FALSE),IFERROR(INDIRECT("'WCM Calibration Final'!$B$22")&lt;&gt;"",FALSE),IFERROR(INDIRECT("'WCM Calibration Final'!$C$22")&lt;&gt;"",FALSE)),22,0)</x:f>
        <x:v>0</x:v>
      </x:c>
      <x:c r="JB22" t="n">
        <x:f>'Calculations'!JB21+IF('Calculations'!JA22&gt;0,1,0)</x:f>
        <x:v>0</x:v>
      </x:c>
      <x:c r="JC22" t="n">
        <x:f>IF(OR('Calculations'!HF22="",'Calculations'!HF22="!AMBIG"),0,IF('Dashboard'!$B$7="All",1,COUNTIFS('Calculations'!$HO$13:$HO$512,"="&amp;SUBSTITUTE(SUBSTITUTE(SUBSTITUTE('Calculations'!HF22,"~","~~"),"*","~*"),"?","~?"),'Calculations'!$HN$13:$HN$512,"="&amp;SUBSTITUTE(SUBSTITUTE(SUBSTITUTE('Dashboard'!$B$7,"~","~~"),"*","~*"),"?","~?"))+COUNTIFS('Calculations'!$HP$13:$HP$512,"="&amp;SUBSTITUTE(SUBSTITUTE(SUBSTITUTE('Calculations'!HF22,"~","~~"),"*","~*"),"?","~?"),'Calculations'!$HN$13:$HN$512,"="&amp;SUBSTITUTE(SUBSTITUTE(SUBSTITUTE('Dashboard'!$B$7,"~","~~"),"*","~*"),"?","~?"))+COUNTIFS('Calculations'!$HQ$13:$HQ$512,"="&amp;SUBSTITUTE(SUBSTITUTE(SUBSTITUTE('Calculations'!HF22,"~","~~"),"*","~*"),"?","~?"),'Calculations'!$HN$13:$HN$512,"="&amp;SUBSTITUTE(SUBSTITUTE(SUBSTITUTE('Dashboard'!$B$7,"~","~~"),"*","~*"),"?","~?"))+COUNTIFS('Calculations'!$HR$13:$HR$512,"="&amp;SUBSTITUTE(SUBSTITUTE(SUBSTITUTE('Calculations'!HF22,"~","~~"),"*","~*"),"?","~?"),'Calculations'!$HN$13:$HN$512,"="&amp;SUBSTITUTE(SUBSTITUTE(SUBSTITUTE('Dashboard'!$B$7,"~","~~"),"*","~*"),"?","~?"))+COUNTIFS('Calculations'!$HS$13:$HS$512,"="&amp;SUBSTITUTE(SUBSTITUTE(SUBSTITUTE('Calculations'!HF22,"~","~~"),"*","~*"),"?","~?"),'Calculations'!$HN$13:$HN$512,"="&amp;SUBSTITUTE(SUBSTITUTE(SUBSTITUTE('Dashboard'!$B$7,"~","~~"),"*","~*"),"?","~?"))+COUNTIFS('Calculations'!$HT$13:$HT$512,"="&amp;SUBSTITUTE(SUBSTITUTE(SUBSTITUTE('Calculations'!HF22,"~","~~"),"*","~*"),"?","~?"),'Calculations'!$HN$13:$HN$512,"="&amp;SUBSTITUTE(SUBSTITUTE(SUBSTITUTE('Dashboard'!$B$7,"~","~~"),"*","~*"),"?","~?"))+COUNTIFS('Calculations'!$HU$13:$HU$512,"="&amp;SUBSTITUTE(SUBSTITUTE(SUBSTITUTE('Calculations'!HF22,"~","~~"),"*","~*"),"?","~?"),'Calculations'!$HN$13:$HN$512,"="&amp;SUBSTITUTE(SUBSTITUTE(SUBSTITUTE('Dashboard'!$B$7,"~","~~"),"*","~*"),"?","~?"))+COUNTIFS('Calculations'!$HV$13:$HV$512,"="&amp;SUBSTITUTE(SUBSTITUTE(SUBSTITUTE('Calculations'!HF22,"~","~~"),"*","~*"),"?","~?"),'Calculations'!$HN$13:$HN$512,"="&amp;SUBSTITUTE(SUBSTITUTE(SUBSTITUTE('Dashboard'!$B$7,"~","~~"),"*","~*"),"?","~?"))+COUNTIFS('Calculations'!$HW$13:$HW$512,"="&amp;SUBSTITUTE(SUBSTITUTE(SUBSTITUTE('Calculations'!HF22,"~","~~"),"*","~*"),"?","~?"),'Calculations'!$HN$13:$HN$512,"="&amp;SUBSTITUTE(SUBSTITUTE(SUBSTITUTE('Dashboard'!$B$7,"~","~~"),"*","~*"),"?","~?"))+COUNTIFS('Calculations'!$HX$13:$HX$512,"="&amp;SUBSTITUTE(SUBSTITUTE(SUBSTITUTE('Calculations'!HF22,"~","~~"),"*","~*"),"?","~?"),'Calculations'!$HN$13:$HN$512,"="&amp;SUBSTITUTE(SUBSTITUTE(SUBSTITUTE('Dashboard'!$B$7,"~","~~"),"*","~*"),"?","~?"))+COUNTIFS('Calculations'!$HY$13:$HY$512,"="&amp;SUBSTITUTE(SUBSTITUTE(SUBSTITUTE('Calculations'!HF22,"~","~~"),"*","~*"),"?","~?"),'Calculations'!$HN$13:$HN$512,"="&amp;SUBSTITUTE(SUBSTITUTE(SUBSTITUTE('Dashboard'!$B$7,"~","~~"),"*","~*"),"?","~?"))+COUNTIFS('Calculations'!$HZ$13:$HZ$512,"="&amp;SUBSTITUTE(SUBSTITUTE(SUBSTITUTE('Calculations'!HF22,"~","~~"),"*","~*"),"?","~?"),'Calculations'!$HN$13:$HN$512,"="&amp;SUBSTITUTE(SUBSTITUTE(SUBSTITUTE('Dashboard'!$B$7,"~","~~"),"*","~*"),"?","~?"))+COUNTIFS('Calculations'!$IA$13:$IA$512,"="&amp;SUBSTITUTE(SUBSTITUTE(SUBSTITUTE('Calculations'!HF22,"~","~~"),"*","~*"),"?","~?"),'Calculations'!$HN$13:$HN$512,"="&amp;SUBSTITUTE(SUBSTITUTE(SUBSTITUTE('Dashboard'!$B$7,"~","~~"),"*","~*"),"?","~?"))+COUNTIFS('Calculations'!$IB$13:$IB$512,"="&amp;SUBSTITUTE(SUBSTITUTE(SUBSTITUTE('Calculations'!HF22,"~","~~"),"*","~*"),"?","~?"),'Calculations'!$HN$13:$HN$512,"="&amp;SUBSTITUTE(SUBSTITUTE(SUBSTITUTE('Dashboard'!$B$7,"~","~~"),"*","~*"),"?","~?"))+COUNTIFS('Calculations'!$IC$13:$IC$512,"="&amp;SUBSTITUTE(SUBSTITUTE(SUBSTITUTE('Calculations'!HF22,"~","~~"),"*","~*"),"?","~?"),'Calculations'!$HN$13:$HN$512,"="&amp;SUBSTITUTE(SUBSTITUTE(SUBSTITUTE('Dashboard'!$B$7,"~","~~"),"*","~*"),"?","~?"))+COUNTIFS('Calculations'!$ID$13:$ID$512,"="&amp;SUBSTITUTE(SUBSTITUTE(SUBSTITUTE('Calculations'!HF22,"~","~~"),"*","~*"),"?","~?"),'Calculations'!$HN$13:$HN$512,"="&amp;SUBSTITUTE(SUBSTITUTE(SUBSTITUTE('Dashboard'!$B$7,"~","~~"),"*","~*"),"?","~?"))+COUNTIFS('Calculations'!$IE$13:$IE$512,"="&amp;SUBSTITUTE(SUBSTITUTE(SUBSTITUTE('Calculations'!HF22,"~","~~"),"*","~*"),"?","~?"),'Calculations'!$HN$13:$HN$512,"="&amp;SUBSTITUTE(SUBSTITUTE(SUBSTITUTE('Dashboard'!$B$7,"~","~~"),"*","~*"),"?","~?"))+COUNTIFS('Calculations'!$IF$13:$IF$512,"="&amp;SUBSTITUTE(SUBSTITUTE(SUBSTITUTE('Calculations'!HF22,"~","~~"),"*","~*"),"?","~?"),'Calculations'!$HN$13:$HN$512,"="&amp;SUBSTITUTE(SUBSTITUTE(SUBSTITUTE('Dashboard'!$B$7,"~","~~"),"*","~*"),"?","~?"))+COUNTIFS('Calculations'!$IG$13:$IG$512,"="&amp;SUBSTITUTE(SUBSTITUTE(SUBSTITUTE('Calculations'!HF22,"~","~~"),"*","~*"),"?","~?"),'Calculations'!$HN$13:$HN$512,"="&amp;SUBSTITUTE(SUBSTITUTE(SUBSTITUTE('Dashboard'!$B$7,"~","~~"),"*","~*"),"?","~?"))+COUNTIFS('Calculations'!$IH$13:$IH$512,"="&amp;SUBSTITUTE(SUBSTITUTE(SUBSTITUTE('Calculations'!HF22,"~","~~"),"*","~*"),"?","~?"),'Calculations'!$HN$13:$HN$512,"="&amp;SUBSTITUTE(SUBSTITUTE(SUBSTITUTE('Dashboard'!$B$7,"~","~~"),"*","~*"),"?","~?"))))</x:f>
        <x:v>0</x:v>
      </x:c>
      <x:c r="JD22" t="n">
        <x:f>IF('Calculations'!EM22="",0,IF('Dashboard'!$B$7="All",1,IF('Calculations'!HN22='Dashboard'!$B$7,1,0)+IFERROR(INDEX('Calculations'!$JC$13:$JC$512,MATCH('Calculations'!HE22,'Calculations'!$HF$13:$HF$512,0)),0)))</x:f>
        <x:v>0</x:v>
      </x:c>
      <x:c r="JE22" t="n">
        <x:f>IF(AND('Calculations'!EM22&lt;&gt;"",'Calculations'!$JJ$2&lt;&gt;"All",'Calculations'!$JJ$2&lt;&gt;"",'Calculations'!HF22='Calculations'!$JJ$2,'Calculations'!HL22=0,'Calculations'!JD22&gt;0),MAX('Calculations'!$JE$12:JE21)+1,0)</x:f>
        <x:v>0</x:v>
      </x:c>
      <x:c r="JF22" t="str">
        <x:f>IF('Calculations'!EM22="","",IFERROR(IF(INDEX(INDIRECT("'WCM Calibration Final'!$G$1:$G$2000"),'Calculations'!$EM22)="","",TRIM(INDEX(INDIRECT("'WCM Calibration Final'!$G$1:$G$2000"),'Calculations'!$EM22)&amp;"")),""))</x:f>
      </x:c>
      <x:c r="JL22" t="str">
        <x:f>IFERROR(INDEX('Calculations'!$HE$13:$HE$512,MATCH(('Calculations'!$JJ$4-1)*6+1,'Calculations'!$JE$13:$JE$512,0)),"")</x:f>
      </x:c>
      <x:c r="JM22" t="str">
        <x:f>IF(OR('Calculations'!JL22="",'Calculations'!JL22="All"),IF(2=0,"Select a manager",IF(2=1,"All reporting branches","")),IFERROR(INDEX('Calculations'!$HG$13:$HG$512,MATCH('Calculations'!JL22,'Calculations'!$HE$13:$HE$512,0)),IFERROR(INDEX('Calculations'!$HJ$13:$HJ$512,MATCH('Calculations'!JL22,'Calculations'!$HF$13:$HF$512,0)),"Manager outside roster")))</x:f>
      </x:c>
      <x:c r="JN22" t="str">
        <x:f>IF(OR('Calculations'!JL22="",'Calculations'!JL22="All"),IF(2=1,"Choose Below direct to focus on one branch",""),IFERROR(INDEX('Calculations'!$JF$13:$JF$512,MATCH('Calculations'!JL22,'Calculations'!$HE$13:$HE$512,0)),"Outside this roster"))</x:f>
      </x:c>
      <x:c r="JO22" t="str">
        <x:f>IF(OR('Calculations'!JL22="",'Calculations'!JL22="All"),"",IFERROR("What: "&amp;IF(INDEX('Calculations'!$BO$13:$BO$512,MATCH('Calculations'!JL22,'Calculations'!$HE$13:$HE$512,0))="","Pending",INDEX('Calculations'!$BO$13:$BO$512,MATCH('Calculations'!JL22,'Calculations'!$HE$13:$HE$512,0)))&amp;"   How: "&amp;IF(INDEX('Calculations'!$BP$13:$BP$512,MATCH('Calculations'!JL22,'Calculations'!$HE$13:$HE$512,0))="","Pending",INDEX('Calculations'!$BP$13:$BP$512,MATCH('Calculations'!JL22,'Calculations'!$HE$13:$HE$512,0))),"What / How: not in roster"))</x:f>
      </x:c>
      <x:c r="JP22" t="str">
        <x:f>IF(OR('Calculations'!JL22="",'Calculations'!JL22="All"),"",COUNTIFS('Calculations'!$HF$13:$HF$512,'Calculations'!JL22,'Calculations'!$JD$13:$JD$512,"&gt;0")&amp;" direct reports in product scope")</x:f>
      </x:c>
      <x:c r="JQ22" t="n">
        <x:f>IF(OR('Calculations'!BM22=0,NOT('Calculations'!$AG$2),'Calculations'!$AG$8&gt;0),0,IF(OR('Dashboard'!$B$7="All",'Calculations'!HN22='Dashboard'!$B$7),IF('Calculations'!$JJ$2="All",1,IF(AND('Calculations'!HF22='Calculations'!$JJ$2,'Calculations'!HL22=0),1,0)),0))</x:f>
        <x:v>0</x:v>
      </x:c>
    </x:row>
    <x:row r="23" ht="21" customHeight="1">
      <x:c r="A23" s="75"/>
      <x:c r="B23" s="75"/>
      <x:c r="C23" s="75"/>
      <x:c r="D23" s="75"/>
      <x:c r="E23" s="75"/>
      <x:c r="F23" s="75"/>
      <x:c r="G23" s="75"/>
      <x:c r="H23" s="75"/>
      <x:c r="I23" s="75"/>
      <x:c r="J23" s="75"/>
      <x:c r="K23" s="75"/>
      <x:c r="L23" s="75"/>
      <x:c r="M23" s="75"/>
      <x:c r="AF23" s="4" t="str">
        <x:v>Solid</x:v>
      </x:c>
      <x:c r="AG23" s="4" t="n">
        <x:f>COUNTIFS('Calculations'!$BN$13:$BN$512,1,'Calculations'!$BT$13:$BT$512,1,'Calculations'!$EE$13:$EE$512,'Calculations'!AF23)</x:f>
        <x:v>0</x:v>
      </x:c>
      <x:c r="AH23" s="4" t="e">
        <x:f>IF('Calculations'!$AG$5=0,NA(),'Calculations'!AG23/'Calculations'!$AG$5)</x:f>
        <x:v>#N/A</x:v>
      </x:c>
      <x:c r="AI23" s="4" t="n">
        <x:f>IF(COUNT('Dashboard'!R147)=0,NA(),IF(AND('Dashboard'!R147&gt;=0,'Dashboard'!R147&lt;=1),'Dashboard'!R147,NA()))</x:f>
        <x:v>0.65</x:v>
      </x:c>
      <x:c r="AJ23" s="4"/>
      <x:c r="AK23" s="4"/>
      <x:c r="AL23" s="4"/>
      <x:c r="AM23" s="4"/>
      <x:c r="AN23" s="4"/>
      <x:c r="AO23" s="4"/>
      <x:c r="AP23" s="4"/>
      <x:c r="AQ23" s="4"/>
      <x:c r="AR23" s="4"/>
      <x:c r="AS23" s="4"/>
      <x:c r="AT23" s="4" t="str">
        <x:f>IF('Calculations'!$AG$5=0,"",'Calculations'!AG23&amp;" · "&amp;TEXT('Calculations'!AH23,"0.0%"))</x:f>
      </x:c>
      <x:c r="AU23" s="4"/>
      <x:c r="AV23" s="4"/>
      <x:c r="AW23" s="4"/>
      <x:c r="AX23" s="4"/>
      <x:c r="AY23" s="4"/>
      <x:c r="AZ23" s="4"/>
      <x:c r="BA23" s="4"/>
      <x:c r="BB23" s="4"/>
      <x:c r="BC23" s="4"/>
      <x:c r="BD23" s="4"/>
      <x:c r="BE23" s="4"/>
      <x:c r="BF23" s="4"/>
      <x:c r="BG23" s="4"/>
      <x:c r="BH23" s="4"/>
      <x:c r="BI23" s="4"/>
      <x:c r="BJ23" s="4"/>
      <x:c r="BK23" s="4"/>
      <x:c r="BL23" s="4"/>
      <x:c r="BM23" s="4" t="n">
        <x:f>IF('Calculations'!$EM23="",0,IF(OR(IFERROR(INDEX(INDIRECT("'WCM Calibration Final'!$A$1:$A$2000"),'Calculations'!$EM23)&lt;&gt;"",FALSE),IFERROR(INDEX(INDIRECT("'WCM Calibration Final'!$B$1:$B$2000"),'Calculations'!$EM23)&lt;&gt;"",FALSE),IFERROR(INDEX(INDIRECT("'WCM Calibration Final'!$C$1:$C$2000"),'Calculations'!$EM23)&lt;&gt;"",FALSE)),1,0))</x:f>
        <x:v>0</x:v>
      </x:c>
      <x:c r="BN23" s="4" t="n">
        <x:f>IF(AND('Calculations'!BM23=1,'Calculations'!$AG$2,'Calculations'!$EN23=1),1,0)</x:f>
        <x:v>0</x:v>
      </x:c>
      <x:c r="BO23" s="4" t="str">
        <x:f>IF('Calculations'!BM23=0,"",IFERROR(IF(AND(VALUE(INDEX(INDIRECT("'WCM Calibration Final'!$K$1:$K$2000"),'Calculations'!$EM23))&gt;=1,VALUE(INDEX(INDIRECT("'WCM Calibration Final'!$K$1:$K$2000"),'Calculations'!$EM23))&lt;=4,MOD(VALUE(INDEX(INDIRECT("'WCM Calibration Final'!$K$1:$K$2000"),'Calculations'!$EM23)),1)=0),VALUE(INDEX(INDIRECT("'WCM Calibration Final'!$K$1:$K$2000"),'Calculations'!$EM23)),""),""))</x:f>
      </x:c>
      <x:c r="BP23" s="4" t="str">
        <x:f>IF('Calculations'!BM23=0,"",IFERROR(IF(AND(VALUE(INDEX(INDIRECT("'WCM Calibration Final'!$L$1:$L$2000"),'Calculations'!$EM23))&gt;=1,VALUE(INDEX(INDIRECT("'WCM Calibration Final'!$L$1:$L$2000"),'Calculations'!$EM23))&lt;=4,MOD(VALUE(INDEX(INDIRECT("'WCM Calibration Final'!$L$1:$L$2000"),'Calculations'!$EM23)),1)=0),VALUE(INDEX(INDIRECT("'WCM Calibration Final'!$L$1:$L$2000"),'Calculations'!$EM23)),""),""))</x:f>
      </x:c>
      <x:c r="BQ23" s="4"/>
      <x:c r="BR23" s="4"/>
      <x:c r="BS23" s="4"/>
      <x:c r="BT23" s="4" t="n">
        <x:f>IF(AND('Calculations'!BM23=1,ISNUMBER('Calculations'!BO23),ISNUMBER('Calculations'!BP23)),1,0)</x:f>
        <x:v>0</x:v>
      </x:c>
      <x:c r="BU23" s="4" t="str">
        <x:f>IF('Calculations'!BM23=0,"",'Calculations'!$EO23)</x:f>
      </x:c>
      <x:c r="BV23" s="4" t="str">
        <x:f>IF('Calculations'!BM23=0,"",IFERROR(IF(OR(INDEX(INDIRECT("'WCM Calibration Final'!$H$1:$H$2000"),'Calculations'!$EM23)="MANAGING DIRECTOR",INDEX(INDIRECT("'WCM Calibration Final'!$H$1:$H$2000"),'Calculations'!$EM23)="DIRECTOR",INDEX(INDIRECT("'WCM Calibration Final'!$H$1:$H$2000"),'Calculations'!$EM23)="SENIOR VICE PRESIDENT",INDEX(INDIRECT("'WCM Calibration Final'!$H$1:$H$2000"),'Calculations'!$EM23)="VICE PRESIDENT",INDEX(INDIRECT("'WCM Calibration Final'!$H$1:$H$2000"),'Calculations'!$EM23)="ASSISTANT VICE PRESIDENT",INDEX(INDIRECT("'WCM Calibration Final'!$H$1:$H$2000"),'Calculations'!$EM23)="OFFICER"),UPPER(INDEX(INDIRECT("'WCM Calibration Final'!$H$1:$H$2000"),'Calculations'!$EM23)),"Other"),"Other"))</x:f>
      </x:c>
      <x:c r="BW23" s="4"/>
      <x:c r="BX23" s="4"/>
      <x:c r="BY23" s="4" t="n">
        <x:f>IF(AND('Calculations'!BM23=1,'Calculations'!BU23&lt;&gt;"",COUNTIF('Calculations'!$BU$12:BU23,'Calculations'!BU23)=1),MAX('Calculations'!$BY$11:BY22)+1,0)</x:f>
        <x:v>0</x:v>
      </x:c>
      <x:c r="BZ23" s="4" t="str">
        <x:f>IF('Dashboard'!$E$67="What",'Calculations'!BO23,'Calculations'!BP23)</x:f>
      </x:c>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t="str">
        <x:f>IF(12&gt;MAX('Calculations'!$HI$13:$HI$512),"",INDEX('Calculations'!$HN$13:$HN$512,MATCH(12,'Calculations'!$HI$13:$HI$512,0)))</x:f>
      </x:c>
      <x:c r="DB23" s="4" t="str">
        <x:f>IF(12&gt;MAX('Calculations'!$HH$13:$HH$512),"",INDEX('Calculations'!$HJ$13:$HJ$512,MATCH(12,'Calculations'!$HH$13:$HH$512,0)))</x:f>
      </x:c>
      <x:c r="DC23" s="4" t="str">
        <x:f>IF(ROW()-11&gt;MAX('Calculations'!$BY$13:$BY$512),"",INDEX('Calculations'!$BU$13:$BU$512,MATCH(ROW()-11,'Calculations'!$BY$13:$BY$512,0)))</x:f>
      </x:c>
      <x:c r="DD23" s="4" t="str">
        <x:f>IF(12&gt;MAX('Calculations'!$IK$13:$IK$512),"",INDEX('Calculations'!$HK$13:$HK$512,MATCH(12,'Calculations'!$IK$13:$IK$512,0)))</x:f>
      </x:c>
      <x:c r="DE23" s="4" t="str">
        <x:f>'Calculations'!DC23</x:f>
      </x:c>
      <x:c r="DF23" s="4" t="str">
        <x:f>IF('Calculations'!DE23="","",COUNTIFS('Calculations'!$BN$13:$BN$512,1,'Calculations'!$BU$13:$BU$512,'Calculations'!DE23))</x:f>
      </x:c>
      <x:c r="DG23" s="4" t="str">
        <x:f>IF('Calculations'!DE23="","",COUNTIFS('Calculations'!$BN$13:$BN$512,1,'Calculations'!$BU$13:$BU$512,'Calculations'!DE23,'Calculations'!$BT$13:$BT$512,1))</x:f>
      </x:c>
      <x:c r="DH23" s="4" t="str">
        <x:f>IF('Calculations'!DE23="","",'Calculations'!DF23-'Calculations'!DG23)</x:f>
      </x:c>
      <x:c r="DI23" s="4" t="str">
        <x:f>IF(OR('Calculations'!DE23="",'Calculations'!DF23=0),"",'Calculations'!DG23/'Calculations'!DF23)</x:f>
      </x:c>
      <x:c r="DJ23" s="4" t="str">
        <x:f>IF('Calculations'!DE23="","",COUNTIFS('Calculations'!$BN$13:$BN$512,1,'Calculations'!$BU$13:$BU$512,'Calculations'!DE23,'Calculations'!$BT$13:$BT$512,1,'Calculations'!$EE$13:$EE$512,"High"))</x:f>
      </x:c>
      <x:c r="DK23" s="4" t="str">
        <x:f>IF('Calculations'!DE23="","",COUNTIFS('Calculations'!$BN$13:$BN$512,1,'Calculations'!$BU$13:$BU$512,'Calculations'!DE23,'Calculations'!$BT$13:$BT$512,1,'Calculations'!$EE$13:$EE$512,"Strong"))</x:f>
      </x:c>
      <x:c r="DL23" s="4" t="str">
        <x:f>IF('Calculations'!DE23="","",COUNTIFS('Calculations'!$BN$13:$BN$512,1,'Calculations'!$BU$13:$BU$512,'Calculations'!DE23,'Calculations'!$BT$13:$BT$512,1,'Calculations'!$EE$13:$EE$512,"Solid"))</x:f>
      </x:c>
      <x:c r="DM23" s="4" t="str">
        <x:f>IF('Calculations'!DE23="","",COUNTIFS('Calculations'!$BN$13:$BN$512,1,'Calculations'!$BU$13:$BU$512,'Calculations'!DE23,'Calculations'!$BT$13:$BT$512,1,'Calculations'!$EE$13:$EE$512,"Low"))</x:f>
      </x:c>
      <x:c r="DN23" s="4" t="str">
        <x:f>IF('Calculations'!DE23="","",COUNTIFS('Calculations'!$BN$13:$BN$512,1,'Calculations'!$BU$13:$BU$512,'Calculations'!DE23,'Calculations'!$EP$13:$EP$512,1))</x:f>
      </x:c>
      <x:c r="DO23" s="4" t="str">
        <x:f>IF(OR('Calculations'!DE23="",'Calculations'!DG23=0),"",('Calculations'!DJ23+'Calculations'!DK23)/'Calculations'!DG23)</x:f>
      </x:c>
      <x:c r="DP23" s="4" t="n">
        <x:f>IF(AND('Calculations'!DE23&lt;&gt;"",'Calculations'!DF23&gt;0),COUNTIF('Calculations'!$DF$12:DF23,"&gt;0"),0)</x:f>
        <x:v>0</x:v>
      </x:c>
      <x:c r="DQ23" s="4" t="str">
        <x:f>IF(12&gt;MAX('Calculations'!$HH$13:$HH$512),"",INDEX('Calculations'!$HF$13:$HF$512,MATCH(12,'Calculations'!$HH$13:$HH$512,0)))</x:f>
      </x:c>
      <x:c r="DR23" s="4" t="str">
        <x:f>IF(12&gt;MAX('Calculations'!$IK$13:$IK$512),"",INDEX('Calculations'!$HE$13:$HE$512,MATCH(12,'Calculations'!$IK$13:$IK$512,0)))</x:f>
      </x:c>
      <x:c r="DS23" s="4"/>
      <x:c r="DT23" s="4"/>
      <x:c r="DU23" s="4"/>
      <x:c r="DV23" s="4"/>
      <x:c r="DW23" s="4"/>
      <x:c r="DX23" s="4"/>
      <x:c r="DY23" s="4"/>
      <x:c r="DZ23" s="4"/>
      <x:c r="EA23" s="4"/>
      <x:c r="EB23" s="4"/>
      <x:c r="EC23" s="4"/>
      <x:c r="ED23" s="4"/>
      <x:c r="EE23" s="4" t="str">
        <x:f>IF('Calculations'!BT23=0,"Not Rated",IF(OR('Calculations'!BO23&gt;=4,'Calculations'!BP23&gt;=4),"Low",IF('Calculations'!BO23+'Calculations'!BP23&lt;=3,"High",IF('Calculations'!BO23+'Calculations'!BP23&lt;=4,"Strong","Solid"))))</x:f>
        <x:v>Not Rated</x:v>
      </x:c>
      <x:c r="EF23" s="4"/>
      <x:c r="EG23" s="4"/>
      <x:c r="EH23" s="4"/>
      <x:c r="EI23" s="4"/>
      <x:c r="EJ23" s="4"/>
      <x:c r="EK23" s="4"/>
      <x:c r="EL23" s="4"/>
      <x:c r="EM23" s="4" t="str">
        <x:f>IF(11&gt;'Calculations'!$JB$2000,"",INDEX('Calculations'!$JA$12:$JA$2000,MATCH(11,'Calculations'!$JB$12:$JB$2000,0)))</x:f>
      </x:c>
      <x:c r="EN23" s="4" t="n">
        <x:f>IF(OR('Calculations'!EM23="",'Calculations'!$AG$8&gt;0,AND('Calculations'!$EF$2&lt;&gt;"All",'Calculations'!HE23='Calculations'!$EF$2),AND('Calculations'!$EF$3&lt;&gt;"All",'Calculations'!HE23='Calculations'!$EF$3)),0,IF(OR('Dashboard'!$B$7="All",'Calculations'!HN23='Dashboard'!$B$7),IF('Calculations'!$EF$2="All",1,IF('Calculations'!HL23&gt;0,0,IF(COUNTIF('Calculations'!HO23:II23,"="&amp;SUBSTITUTE(SUBSTITUTE(SUBSTITUTE('Calculations'!$EF$2,"~","~~"),"*","~*"),"?","~?"))=0,0,IF('Calculations'!$EF$3="All",1,IF(COUNTIF('Calculations'!HO23:II23,"="&amp;SUBSTITUTE(SUBSTITUTE(SUBSTITUTE('Calculations'!$EF$3,"~","~~"),"*","~*"),"?","~?"))&gt;0,1,0))))),0))</x:f>
        <x:v>0</x:v>
      </x:c>
      <x:c r="EO23" s="4" t="str">
        <x:f>IF('Calculations'!IJ23="","",IF('Calculations'!IJ23="!UNRESOLVED","Unresolved hierarchy",IFERROR(INDEX('Calculations'!$HK$13:$HK$512,MATCH('Calculations'!IJ23,'Calculations'!$HE$13:$HE$512,0)),IFERROR(INDEX('Calculations'!$HJ$13:$HJ$512,MATCH('Calculations'!IJ23,'Calculations'!$HF$13:$HF$512,0)),'Calculations'!IJ23))))</x:f>
      </x:c>
      <x:c r="EP23" s="4" t="n">
        <x:f>IF(AND('Calculations'!EM23&lt;&gt;"",'Calculations'!HF23='Calculations'!IJ23),1,0)</x:f>
        <x:v>0</x:v>
      </x:c>
      <x:c r="EQ23" s="4"/>
      <x:c r="ER23" s="4"/>
      <x:c r="ES23" s="4"/>
      <x:c r="ET23" s="4"/>
      <x:c r="EU23" s="4"/>
      <x:c r="EV23" s="4"/>
      <x:c r="EW23" s="4"/>
      <x:c r="EX23" s="4"/>
      <x:c r="EY23" s="4"/>
      <x:c r="EZ23" s="4"/>
      <x:c r="FA23" s="4"/>
      <x:c r="FB23" s="4"/>
      <x:c r="FC23" s="4"/>
      <x:c r="FD23" s="4"/>
      <x:c r="FE23" s="4"/>
      <x:c r="FF23" s="4"/>
      <x:c r="FG23" s="4"/>
      <x:c r="FH23" s="4"/>
      <x:c r="FI23" s="4"/>
      <x:c r="FJ23" s="4"/>
      <x:c r="FK23" s="4"/>
      <x:c r="FL23" s="4"/>
      <x:c r="FM23" s="4"/>
      <x:c r="FN23" s="4"/>
      <x:c r="FO23" s="4"/>
      <x:c r="GA23" s="71"/>
      <x:c r="GB23" s="71"/>
      <x:c r="GC23" s="71"/>
      <x:c r="GD23" s="71"/>
      <x:c r="GE23" s="71"/>
      <x:c r="GF23" s="71"/>
      <x:c r="GG23" s="71"/>
      <x:c r="GH23" s="71"/>
      <x:c r="GI23" s="71"/>
      <x:c r="GJ23" s="71"/>
      <x:c r="GK23" s="71"/>
      <x:c r="GL23" s="71"/>
      <x:c r="GM23" s="71"/>
      <x:c r="GN23" s="71"/>
      <x:c r="GO23" s="71"/>
      <x:c r="GP23" s="71"/>
      <x:c r="GQ23" s="71"/>
      <x:c r="GR23" s="71"/>
      <x:c r="GS23" s="71"/>
      <x:c r="GT23" s="71"/>
      <x:c r="GU23" s="71"/>
      <x:c r="GV23" s="71"/>
      <x:c r="GW23" s="71"/>
      <x:c r="GX23" s="71"/>
      <x:c r="GY23" s="71"/>
      <x:c r="GZ23" s="71"/>
      <x:c r="HA23" s="71"/>
      <x:c r="HB23" s="71"/>
      <x:c r="HC23" s="71"/>
      <x:c r="HD23" s="71"/>
      <x:c r="HE23" t="str">
        <x:f>IF('Calculations'!EM23="","",IF(IFERROR(IF(INDEX(INDIRECT("'WCM Calibration Final'!$A$1:$A$2000"),'Calculations'!$EM23)="","",TRIM(INDEX(INDIRECT("'WCM Calibration Final'!$A$1:$A$2000"),'Calculations'!$EM23)&amp;"")),"")&lt;&gt;"","G:"&amp;IFERROR(TEXT(1*INDEX(INDIRECT("'WCM Calibration Final'!$A$1:$A$2000"),'Calculations'!$EM23),"0"),UPPER(IFERROR(IF(INDEX(INDIRECT("'WCM Calibration Final'!$A$1:$A$2000"),'Calculations'!$EM23)="","",TRIM(INDEX(INDIRECT("'WCM Calibration Final'!$A$1:$A$2000"),'Calculations'!$EM23)&amp;"")),""))),IF(IFERROR(IF(INDEX(INDIRECT("'WCM Calibration Final'!$C$1:$C$2000"),'Calculations'!$EM23)="","",TRIM(INDEX(INDIRECT("'WCM Calibration Final'!$C$1:$C$2000"),'Calculations'!$EM23)&amp;"")),"")&lt;&gt;"","S:"&amp;UPPER(IFERROR(IF(INDEX(INDIRECT("'WCM Calibration Final'!$C$1:$C$2000"),'Calculations'!$EM23)="","",TRIM(INDEX(INDIRECT("'WCM Calibration Final'!$C$1:$C$2000"),'Calculations'!$EM23)&amp;"")),"")),"R:"&amp;'Calculations'!EM23)))</x:f>
      </x:c>
      <x:c r="HF23" t="str">
        <x:f>IF('Calculations'!EM23="","",IF(IFERROR(IF(INDEX(INDIRECT("'WCM Calibration Final'!$D$1:$D$2000"),'Calculations'!$EM23)="","",TRIM(INDEX(INDIRECT("'WCM Calibration Final'!$D$1:$D$2000"),'Calculations'!$EM23)&amp;"")),"")&lt;&gt;"","G:"&amp;IFERROR(TEXT(1*INDEX(INDIRECT("'WCM Calibration Final'!$D$1:$D$2000"),'Calculations'!$EM23),"0"),UPPER(IFERROR(IF(INDEX(INDIRECT("'WCM Calibration Final'!$D$1:$D$2000"),'Calculations'!$EM23)="","",TRIM(INDEX(INDIRECT("'WCM Calibration Final'!$D$1:$D$2000"),'Calculations'!$EM23)&amp;"")),""))),IF(IFERROR(IF(INDEX(INDIRECT("'WCM Calibration Final'!$E$1:$E$2000"),'Calculations'!$EM23)="","",TRIM(INDEX(INDIRECT("'WCM Calibration Final'!$E$1:$E$2000"),'Calculations'!$EM23)&amp;"")),"")="","",IF(COUNTIF('Calculations'!$HG$13:$HG$512,"="&amp;SUBSTITUTE(SUBSTITUTE(SUBSTITUTE(IFERROR(IF(INDEX(INDIRECT("'WCM Calibration Final'!$E$1:$E$2000"),'Calculations'!$EM23)="","",TRIM(INDEX(INDIRECT("'WCM Calibration Final'!$E$1:$E$2000"),'Calculations'!$EM23)&amp;"")),""),"~","~~"),"*","~*"),"?","~?"))=1,INDEX('Calculations'!$HE$13:$HE$512,MATCH(IFERROR(IF(INDEX(INDIRECT("'WCM Calibration Final'!$E$1:$E$2000"),'Calculations'!$EM23)="","",TRIM(INDEX(INDIRECT("'WCM Calibration Final'!$E$1:$E$2000"),'Calculations'!$EM23)&amp;"")),""),'Calculations'!$HG$13:$HG$512,0)),IF(COUNTIF('Calculations'!$HG$13:$HG$512,"="&amp;SUBSTITUTE(SUBSTITUTE(SUBSTITUTE(IFERROR(IF(INDEX(INDIRECT("'WCM Calibration Final'!$E$1:$E$2000"),'Calculations'!$EM23)="","",TRIM(INDEX(INDIRECT("'WCM Calibration Final'!$E$1:$E$2000"),'Calculations'!$EM23)&amp;"")),""),"~","~~"),"*","~*"),"?","~?"))&gt;1,"!AMBIG","X:"&amp;IFERROR(IF(INDEX(INDIRECT("'WCM Calibration Final'!$E$1:$E$2000"),'Calculations'!$EM23)="","",TRIM(INDEX(INDIRECT("'WCM Calibration Final'!$E$1:$E$2000"),'Calculations'!$EM23)&amp;"")),""))))))</x:f>
      </x:c>
      <x:c r="HG23" t="str">
        <x:f>IF('Calculations'!EM23="","",IFERROR(IF(INDEX(INDIRECT("'WCM Calibration Final'!$B$1:$B$2000"),'Calculations'!$EM23)="","",TRIM(INDEX(INDIRECT("'WCM Calibration Final'!$B$1:$B$2000"),'Calculations'!$EM23)&amp;"")),""))</x:f>
      </x:c>
      <x:c r="HH23" t="n">
        <x:f>IF(AND('Calculations'!JC23&gt;0,COUNTIF('Calculations'!$HF$12:HF23,"="&amp;SUBSTITUTE(SUBSTITUTE(SUBSTITUTE('Calculations'!HF23,"~","~~"),"*","~*"),"?","~?"))=1),MAX('Calculations'!$HH$12:HH22)+1,0)</x:f>
        <x:v>0</x:v>
      </x:c>
      <x:c r="HI23" t="n">
        <x:f>IF(AND('Calculations'!HN23&lt;&gt;"",COUNTIF('Calculations'!$HN$12:HN23,"="&amp;SUBSTITUTE(SUBSTITUTE(SUBSTITUTE('Calculations'!HN23,"~","~~"),"*","~*"),"?","~?"))=1),MAX('Calculations'!$HI$12:HI22)+1,0)</x:f>
        <x:v>0</x:v>
      </x:c>
      <x:c r="HJ23" t="str">
        <x:f>IF('Calculations'!HF23="","",IF(COUNTIF('Calculations'!$HE$13:$HE$512,"="&amp;SUBSTITUTE(SUBSTITUTE(SUBSTITUTE('Calculations'!HF23,"~","~~"),"*","~*"),"?","~?"))=1,INDEX('Calculations'!$HK$13:$HK$512,MATCH('Calculations'!HF23,'Calculations'!$HE$13:$HE$512,0)),IFERROR(IF(INDEX(INDIRECT("'WCM Calibration Final'!$E$1:$E$2000"),'Calculations'!$EM23)="","",TRIM(INDEX(INDIRECT("'WCM Calibration Final'!$E$1:$E$2000"),'Calculations'!$EM23)&amp;"")),"")&amp;" ["&amp;'Calculations'!HF23&amp;"]"))</x:f>
      </x:c>
      <x:c r="HK23" t="str">
        <x:f>IF('Calculations'!EM23="","",'Calculations'!HG23&amp;" ["&amp;'Calculations'!HE23&amp;"]")</x:f>
      </x:c>
      <x:c r="HL23" t="n">
        <x:f>IF('Calculations'!EM23="",0,IF(OR('Calculations'!II23&lt;&gt;"",COUNTIF('Calculations'!$HE$13:$HE$512,"="&amp;SUBSTITUTE(SUBSTITUTE(SUBSTITUTE('Calculations'!HE23,"~","~~"),"*","~*"),"?","~?"))&gt;1),1,0))</x:f>
        <x:v>0</x:v>
      </x:c>
      <x:c r="HM23" t="str">
        <x:f>IF('Calculations'!EM23="","",IF('Calculations'!HL23=1,"!UNRESOLVED",IF('Calculations'!IH23&lt;&gt;"",'Calculations'!IH23,IF('Calculations'!IG23&lt;&gt;"",'Calculations'!IG23,IF('Calculations'!IF23&lt;&gt;"",'Calculations'!IF23,IF('Calculations'!IE23&lt;&gt;"",'Calculations'!IE23,IF('Calculations'!ID23&lt;&gt;"",'Calculations'!ID23,IF('Calculations'!IC23&lt;&gt;"",'Calculations'!IC23,IF('Calculations'!IB23&lt;&gt;"",'Calculations'!IB23,IF('Calculations'!IA23&lt;&gt;"",'Calculations'!IA23,IF('Calculations'!HZ23&lt;&gt;"",'Calculations'!HZ23,IF('Calculations'!HY23&lt;&gt;"",'Calculations'!HY23,IF('Calculations'!HX23&lt;&gt;"",'Calculations'!HX23,IF('Calculations'!HW23&lt;&gt;"",'Calculations'!HW23,IF('Calculations'!HV23&lt;&gt;"",'Calculations'!HV23,IF('Calculations'!HU23&lt;&gt;"",'Calculations'!HU23,IF('Calculations'!HT23&lt;&gt;"",'Calculations'!HT23,IF('Calculations'!HS23&lt;&gt;"",'Calculations'!HS23,IF('Calculations'!HR23&lt;&gt;"",'Calculations'!HR23,IF('Calculations'!HQ23&lt;&gt;"",'Calculations'!HQ23,IF('Calculations'!HP23&lt;&gt;"",'Calculations'!HP23,IF('Calculations'!HO23&lt;&gt;"",'Calculations'!HO23,'Calculations'!HE23))))))))))))))))))))))</x:f>
      </x:c>
      <x:c r="HN23" t="str">
        <x:f>IF('Calculations'!EM23="","",IF(IFERROR(IF(INDEX(INDIRECT("'WCM Calibration Final'!$F$1:$F$2000"),'Calculations'!$EM23)="","",TRIM(INDEX(INDIRECT("'WCM Calibration Final'!$F$1:$F$2000"),'Calculations'!$EM23)&amp;"")),"")="","(Blank)",IFERROR(IF(INDEX(INDIRECT("'WCM Calibration Final'!$F$1:$F$2000"),'Calculations'!$EM23)="","",TRIM(INDEX(INDIRECT("'WCM Calibration Final'!$F$1:$F$2000"),'Calculations'!$EM23)&amp;"")),"")))</x:f>
      </x:c>
      <x:c r="HO23" t="str">
        <x:f>'Calculations'!HF23</x:f>
      </x:c>
      <x:c r="HP23" t="str">
        <x:f>IF('Calculations'!HO23="","",IF('Calculations'!HO23="!AMBIG","!AMBIG",IF(COUNTIF('Calculations'!$HE$13:$HE$512,"="&amp;SUBSTITUTE(SUBSTITUTE(SUBSTITUTE('Calculations'!HO23,"~","~~"),"*","~*"),"?","~?"))&gt;1,"!AMBIG",IFERROR(INDEX('Calculations'!$HF$13:$HF$512,MATCH('Calculations'!HO23,'Calculations'!$HE$13:$HE$512,0)),""))))</x:f>
      </x:c>
      <x:c r="HQ23" t="str">
        <x:f>IF('Calculations'!HP23="","",IF('Calculations'!HP23="!AMBIG","!AMBIG",IF(COUNTIF('Calculations'!$HE$13:$HE$512,"="&amp;SUBSTITUTE(SUBSTITUTE(SUBSTITUTE('Calculations'!HP23,"~","~~"),"*","~*"),"?","~?"))&gt;1,"!AMBIG",IFERROR(INDEX('Calculations'!$HF$13:$HF$512,MATCH('Calculations'!HP23,'Calculations'!$HE$13:$HE$512,0)),""))))</x:f>
      </x:c>
      <x:c r="HR23" t="str">
        <x:f>IF('Calculations'!HQ23="","",IF('Calculations'!HQ23="!AMBIG","!AMBIG",IF(COUNTIF('Calculations'!$HE$13:$HE$512,"="&amp;SUBSTITUTE(SUBSTITUTE(SUBSTITUTE('Calculations'!HQ23,"~","~~"),"*","~*"),"?","~?"))&gt;1,"!AMBIG",IFERROR(INDEX('Calculations'!$HF$13:$HF$512,MATCH('Calculations'!HQ23,'Calculations'!$HE$13:$HE$512,0)),""))))</x:f>
      </x:c>
      <x:c r="HS23" t="str">
        <x:f>IF('Calculations'!HR23="","",IF('Calculations'!HR23="!AMBIG","!AMBIG",IF(COUNTIF('Calculations'!$HE$13:$HE$512,"="&amp;SUBSTITUTE(SUBSTITUTE(SUBSTITUTE('Calculations'!HR23,"~","~~"),"*","~*"),"?","~?"))&gt;1,"!AMBIG",IFERROR(INDEX('Calculations'!$HF$13:$HF$512,MATCH('Calculations'!HR23,'Calculations'!$HE$13:$HE$512,0)),""))))</x:f>
      </x:c>
      <x:c r="HT23" t="str">
        <x:f>IF('Calculations'!HS23="","",IF('Calculations'!HS23="!AMBIG","!AMBIG",IF(COUNTIF('Calculations'!$HE$13:$HE$512,"="&amp;SUBSTITUTE(SUBSTITUTE(SUBSTITUTE('Calculations'!HS23,"~","~~"),"*","~*"),"?","~?"))&gt;1,"!AMBIG",IFERROR(INDEX('Calculations'!$HF$13:$HF$512,MATCH('Calculations'!HS23,'Calculations'!$HE$13:$HE$512,0)),""))))</x:f>
      </x:c>
      <x:c r="HU23" t="str">
        <x:f>IF('Calculations'!HT23="","",IF('Calculations'!HT23="!AMBIG","!AMBIG",IF(COUNTIF('Calculations'!$HE$13:$HE$512,"="&amp;SUBSTITUTE(SUBSTITUTE(SUBSTITUTE('Calculations'!HT23,"~","~~"),"*","~*"),"?","~?"))&gt;1,"!AMBIG",IFERROR(INDEX('Calculations'!$HF$13:$HF$512,MATCH('Calculations'!HT23,'Calculations'!$HE$13:$HE$512,0)),""))))</x:f>
      </x:c>
      <x:c r="HV23" t="str">
        <x:f>IF('Calculations'!HU23="","",IF('Calculations'!HU23="!AMBIG","!AMBIG",IF(COUNTIF('Calculations'!$HE$13:$HE$512,"="&amp;SUBSTITUTE(SUBSTITUTE(SUBSTITUTE('Calculations'!HU23,"~","~~"),"*","~*"),"?","~?"))&gt;1,"!AMBIG",IFERROR(INDEX('Calculations'!$HF$13:$HF$512,MATCH('Calculations'!HU23,'Calculations'!$HE$13:$HE$512,0)),""))))</x:f>
      </x:c>
      <x:c r="HW23" t="str">
        <x:f>IF('Calculations'!HV23="","",IF('Calculations'!HV23="!AMBIG","!AMBIG",IF(COUNTIF('Calculations'!$HE$13:$HE$512,"="&amp;SUBSTITUTE(SUBSTITUTE(SUBSTITUTE('Calculations'!HV23,"~","~~"),"*","~*"),"?","~?"))&gt;1,"!AMBIG",IFERROR(INDEX('Calculations'!$HF$13:$HF$512,MATCH('Calculations'!HV23,'Calculations'!$HE$13:$HE$512,0)),""))))</x:f>
      </x:c>
      <x:c r="HX23" t="str">
        <x:f>IF('Calculations'!HW23="","",IF('Calculations'!HW23="!AMBIG","!AMBIG",IF(COUNTIF('Calculations'!$HE$13:$HE$512,"="&amp;SUBSTITUTE(SUBSTITUTE(SUBSTITUTE('Calculations'!HW23,"~","~~"),"*","~*"),"?","~?"))&gt;1,"!AMBIG",IFERROR(INDEX('Calculations'!$HF$13:$HF$512,MATCH('Calculations'!HW23,'Calculations'!$HE$13:$HE$512,0)),""))))</x:f>
      </x:c>
      <x:c r="HY23" t="str">
        <x:f>IF('Calculations'!HX23="","",IF('Calculations'!HX23="!AMBIG","!AMBIG",IF(COUNTIF('Calculations'!$HE$13:$HE$512,"="&amp;SUBSTITUTE(SUBSTITUTE(SUBSTITUTE('Calculations'!HX23,"~","~~"),"*","~*"),"?","~?"))&gt;1,"!AMBIG",IFERROR(INDEX('Calculations'!$HF$13:$HF$512,MATCH('Calculations'!HX23,'Calculations'!$HE$13:$HE$512,0)),""))))</x:f>
      </x:c>
      <x:c r="HZ23" t="str">
        <x:f>IF('Calculations'!HY23="","",IF('Calculations'!HY23="!AMBIG","!AMBIG",IF(COUNTIF('Calculations'!$HE$13:$HE$512,"="&amp;SUBSTITUTE(SUBSTITUTE(SUBSTITUTE('Calculations'!HY23,"~","~~"),"*","~*"),"?","~?"))&gt;1,"!AMBIG",IFERROR(INDEX('Calculations'!$HF$13:$HF$512,MATCH('Calculations'!HY23,'Calculations'!$HE$13:$HE$512,0)),""))))</x:f>
      </x:c>
      <x:c r="IA23" t="str">
        <x:f>IF('Calculations'!HZ23="","",IF('Calculations'!HZ23="!AMBIG","!AMBIG",IF(COUNTIF('Calculations'!$HE$13:$HE$512,"="&amp;SUBSTITUTE(SUBSTITUTE(SUBSTITUTE('Calculations'!HZ23,"~","~~"),"*","~*"),"?","~?"))&gt;1,"!AMBIG",IFERROR(INDEX('Calculations'!$HF$13:$HF$512,MATCH('Calculations'!HZ23,'Calculations'!$HE$13:$HE$512,0)),""))))</x:f>
      </x:c>
      <x:c r="IB23" t="str">
        <x:f>IF('Calculations'!IA23="","",IF('Calculations'!IA23="!AMBIG","!AMBIG",IF(COUNTIF('Calculations'!$HE$13:$HE$512,"="&amp;SUBSTITUTE(SUBSTITUTE(SUBSTITUTE('Calculations'!IA23,"~","~~"),"*","~*"),"?","~?"))&gt;1,"!AMBIG",IFERROR(INDEX('Calculations'!$HF$13:$HF$512,MATCH('Calculations'!IA23,'Calculations'!$HE$13:$HE$512,0)),""))))</x:f>
      </x:c>
      <x:c r="IC23" t="str">
        <x:f>IF('Calculations'!IB23="","",IF('Calculations'!IB23="!AMBIG","!AMBIG",IF(COUNTIF('Calculations'!$HE$13:$HE$512,"="&amp;SUBSTITUTE(SUBSTITUTE(SUBSTITUTE('Calculations'!IB23,"~","~~"),"*","~*"),"?","~?"))&gt;1,"!AMBIG",IFERROR(INDEX('Calculations'!$HF$13:$HF$512,MATCH('Calculations'!IB23,'Calculations'!$HE$13:$HE$512,0)),""))))</x:f>
      </x:c>
      <x:c r="ID23" t="str">
        <x:f>IF('Calculations'!IC23="","",IF('Calculations'!IC23="!AMBIG","!AMBIG",IF(COUNTIF('Calculations'!$HE$13:$HE$512,"="&amp;SUBSTITUTE(SUBSTITUTE(SUBSTITUTE('Calculations'!IC23,"~","~~"),"*","~*"),"?","~?"))&gt;1,"!AMBIG",IFERROR(INDEX('Calculations'!$HF$13:$HF$512,MATCH('Calculations'!IC23,'Calculations'!$HE$13:$HE$512,0)),""))))</x:f>
      </x:c>
      <x:c r="IE23" t="str">
        <x:f>IF('Calculations'!ID23="","",IF('Calculations'!ID23="!AMBIG","!AMBIG",IF(COUNTIF('Calculations'!$HE$13:$HE$512,"="&amp;SUBSTITUTE(SUBSTITUTE(SUBSTITUTE('Calculations'!ID23,"~","~~"),"*","~*"),"?","~?"))&gt;1,"!AMBIG",IFERROR(INDEX('Calculations'!$HF$13:$HF$512,MATCH('Calculations'!ID23,'Calculations'!$HE$13:$HE$512,0)),""))))</x:f>
      </x:c>
      <x:c r="IF23" t="str">
        <x:f>IF('Calculations'!IE23="","",IF('Calculations'!IE23="!AMBIG","!AMBIG",IF(COUNTIF('Calculations'!$HE$13:$HE$512,"="&amp;SUBSTITUTE(SUBSTITUTE(SUBSTITUTE('Calculations'!IE23,"~","~~"),"*","~*"),"?","~?"))&gt;1,"!AMBIG",IFERROR(INDEX('Calculations'!$HF$13:$HF$512,MATCH('Calculations'!IE23,'Calculations'!$HE$13:$HE$512,0)),""))))</x:f>
      </x:c>
      <x:c r="IG23" t="str">
        <x:f>IF('Calculations'!IF23="","",IF('Calculations'!IF23="!AMBIG","!AMBIG",IF(COUNTIF('Calculations'!$HE$13:$HE$512,"="&amp;SUBSTITUTE(SUBSTITUTE(SUBSTITUTE('Calculations'!IF23,"~","~~"),"*","~*"),"?","~?"))&gt;1,"!AMBIG",IFERROR(INDEX('Calculations'!$HF$13:$HF$512,MATCH('Calculations'!IF23,'Calculations'!$HE$13:$HE$512,0)),""))))</x:f>
      </x:c>
      <x:c r="IH23" t="str">
        <x:f>IF('Calculations'!IG23="","",IF('Calculations'!IG23="!AMBIG","!AMBIG",IF(COUNTIF('Calculations'!$HE$13:$HE$512,"="&amp;SUBSTITUTE(SUBSTITUTE(SUBSTITUTE('Calculations'!IG23,"~","~~"),"*","~*"),"?","~?"))&gt;1,"!AMBIG",IFERROR(INDEX('Calculations'!$HF$13:$HF$512,MATCH('Calculations'!IG23,'Calculations'!$HE$13:$HE$512,0)),""))))</x:f>
      </x:c>
      <x:c r="II23" t="str">
        <x:f>IF('Calculations'!IH23="","",IF('Calculations'!IH23="!AMBIG","!AMBIG",IF(COUNTIF('Calculations'!$HE$13:$HE$512,"="&amp;SUBSTITUTE(SUBSTITUTE(SUBSTITUTE('Calculations'!IH23,"~","~~"),"*","~*"),"?","~?"))&gt;1,"!AMBIG",IFERROR(INDEX('Calculations'!$HF$13:$HF$512,MATCH('Calculations'!IH23,'Calculations'!$HE$13:$HE$512,0)),""))))</x:f>
      </x:c>
      <x:c r="IJ23" t="str">
        <x:f>IF('Calculations'!EM23="","",IF('Calculations'!$EF$2="All",'Calculations'!HM23,IF('Calculations'!HL23=1,"",IFERROR(IF(MATCH('Calculations'!$EF$2,'Calculations'!HO23:II23,0)=1,'Calculations'!HE23,INDEX('Calculations'!HO23:II23,1,MATCH('Calculations'!$EF$2,'Calculations'!HO23:II23,0)-1)),""))))</x:f>
      </x:c>
      <x:c r="IK23" t="n">
        <x:f>IF(AND('Calculations'!EM23&lt;&gt;"",'Calculations'!$EF$2&lt;&gt;"All",'Calculations'!HF23='Calculations'!$EF$2,'Calculations'!HL23=0,'Calculations'!JD23&gt;0),MAX('Calculations'!$IK$12:IK22)+1,0)</x:f>
        <x:v>0</x:v>
      </x:c>
      <x:c r="JA23" t="n">
        <x:f>IF(OR(IFERROR(INDIRECT("'WCM Calibration Final'!$A$23")&lt;&gt;"",FALSE),IFERROR(INDIRECT("'WCM Calibration Final'!$B$23")&lt;&gt;"",FALSE),IFERROR(INDIRECT("'WCM Calibration Final'!$C$23")&lt;&gt;"",FALSE)),23,0)</x:f>
        <x:v>0</x:v>
      </x:c>
      <x:c r="JB23" t="n">
        <x:f>'Calculations'!JB22+IF('Calculations'!JA23&gt;0,1,0)</x:f>
        <x:v>0</x:v>
      </x:c>
      <x:c r="JC23" t="n">
        <x:f>IF(OR('Calculations'!HF23="",'Calculations'!HF23="!AMBIG"),0,IF('Dashboard'!$B$7="All",1,COUNTIFS('Calculations'!$HO$13:$HO$512,"="&amp;SUBSTITUTE(SUBSTITUTE(SUBSTITUTE('Calculations'!HF23,"~","~~"),"*","~*"),"?","~?"),'Calculations'!$HN$13:$HN$512,"="&amp;SUBSTITUTE(SUBSTITUTE(SUBSTITUTE('Dashboard'!$B$7,"~","~~"),"*","~*"),"?","~?"))+COUNTIFS('Calculations'!$HP$13:$HP$512,"="&amp;SUBSTITUTE(SUBSTITUTE(SUBSTITUTE('Calculations'!HF23,"~","~~"),"*","~*"),"?","~?"),'Calculations'!$HN$13:$HN$512,"="&amp;SUBSTITUTE(SUBSTITUTE(SUBSTITUTE('Dashboard'!$B$7,"~","~~"),"*","~*"),"?","~?"))+COUNTIFS('Calculations'!$HQ$13:$HQ$512,"="&amp;SUBSTITUTE(SUBSTITUTE(SUBSTITUTE('Calculations'!HF23,"~","~~"),"*","~*"),"?","~?"),'Calculations'!$HN$13:$HN$512,"="&amp;SUBSTITUTE(SUBSTITUTE(SUBSTITUTE('Dashboard'!$B$7,"~","~~"),"*","~*"),"?","~?"))+COUNTIFS('Calculations'!$HR$13:$HR$512,"="&amp;SUBSTITUTE(SUBSTITUTE(SUBSTITUTE('Calculations'!HF23,"~","~~"),"*","~*"),"?","~?"),'Calculations'!$HN$13:$HN$512,"="&amp;SUBSTITUTE(SUBSTITUTE(SUBSTITUTE('Dashboard'!$B$7,"~","~~"),"*","~*"),"?","~?"))+COUNTIFS('Calculations'!$HS$13:$HS$512,"="&amp;SUBSTITUTE(SUBSTITUTE(SUBSTITUTE('Calculations'!HF23,"~","~~"),"*","~*"),"?","~?"),'Calculations'!$HN$13:$HN$512,"="&amp;SUBSTITUTE(SUBSTITUTE(SUBSTITUTE('Dashboard'!$B$7,"~","~~"),"*","~*"),"?","~?"))+COUNTIFS('Calculations'!$HT$13:$HT$512,"="&amp;SUBSTITUTE(SUBSTITUTE(SUBSTITUTE('Calculations'!HF23,"~","~~"),"*","~*"),"?","~?"),'Calculations'!$HN$13:$HN$512,"="&amp;SUBSTITUTE(SUBSTITUTE(SUBSTITUTE('Dashboard'!$B$7,"~","~~"),"*","~*"),"?","~?"))+COUNTIFS('Calculations'!$HU$13:$HU$512,"="&amp;SUBSTITUTE(SUBSTITUTE(SUBSTITUTE('Calculations'!HF23,"~","~~"),"*","~*"),"?","~?"),'Calculations'!$HN$13:$HN$512,"="&amp;SUBSTITUTE(SUBSTITUTE(SUBSTITUTE('Dashboard'!$B$7,"~","~~"),"*","~*"),"?","~?"))+COUNTIFS('Calculations'!$HV$13:$HV$512,"="&amp;SUBSTITUTE(SUBSTITUTE(SUBSTITUTE('Calculations'!HF23,"~","~~"),"*","~*"),"?","~?"),'Calculations'!$HN$13:$HN$512,"="&amp;SUBSTITUTE(SUBSTITUTE(SUBSTITUTE('Dashboard'!$B$7,"~","~~"),"*","~*"),"?","~?"))+COUNTIFS('Calculations'!$HW$13:$HW$512,"="&amp;SUBSTITUTE(SUBSTITUTE(SUBSTITUTE('Calculations'!HF23,"~","~~"),"*","~*"),"?","~?"),'Calculations'!$HN$13:$HN$512,"="&amp;SUBSTITUTE(SUBSTITUTE(SUBSTITUTE('Dashboard'!$B$7,"~","~~"),"*","~*"),"?","~?"))+COUNTIFS('Calculations'!$HX$13:$HX$512,"="&amp;SUBSTITUTE(SUBSTITUTE(SUBSTITUTE('Calculations'!HF23,"~","~~"),"*","~*"),"?","~?"),'Calculations'!$HN$13:$HN$512,"="&amp;SUBSTITUTE(SUBSTITUTE(SUBSTITUTE('Dashboard'!$B$7,"~","~~"),"*","~*"),"?","~?"))+COUNTIFS('Calculations'!$HY$13:$HY$512,"="&amp;SUBSTITUTE(SUBSTITUTE(SUBSTITUTE('Calculations'!HF23,"~","~~"),"*","~*"),"?","~?"),'Calculations'!$HN$13:$HN$512,"="&amp;SUBSTITUTE(SUBSTITUTE(SUBSTITUTE('Dashboard'!$B$7,"~","~~"),"*","~*"),"?","~?"))+COUNTIFS('Calculations'!$HZ$13:$HZ$512,"="&amp;SUBSTITUTE(SUBSTITUTE(SUBSTITUTE('Calculations'!HF23,"~","~~"),"*","~*"),"?","~?"),'Calculations'!$HN$13:$HN$512,"="&amp;SUBSTITUTE(SUBSTITUTE(SUBSTITUTE('Dashboard'!$B$7,"~","~~"),"*","~*"),"?","~?"))+COUNTIFS('Calculations'!$IA$13:$IA$512,"="&amp;SUBSTITUTE(SUBSTITUTE(SUBSTITUTE('Calculations'!HF23,"~","~~"),"*","~*"),"?","~?"),'Calculations'!$HN$13:$HN$512,"="&amp;SUBSTITUTE(SUBSTITUTE(SUBSTITUTE('Dashboard'!$B$7,"~","~~"),"*","~*"),"?","~?"))+COUNTIFS('Calculations'!$IB$13:$IB$512,"="&amp;SUBSTITUTE(SUBSTITUTE(SUBSTITUTE('Calculations'!HF23,"~","~~"),"*","~*"),"?","~?"),'Calculations'!$HN$13:$HN$512,"="&amp;SUBSTITUTE(SUBSTITUTE(SUBSTITUTE('Dashboard'!$B$7,"~","~~"),"*","~*"),"?","~?"))+COUNTIFS('Calculations'!$IC$13:$IC$512,"="&amp;SUBSTITUTE(SUBSTITUTE(SUBSTITUTE('Calculations'!HF23,"~","~~"),"*","~*"),"?","~?"),'Calculations'!$HN$13:$HN$512,"="&amp;SUBSTITUTE(SUBSTITUTE(SUBSTITUTE('Dashboard'!$B$7,"~","~~"),"*","~*"),"?","~?"))+COUNTIFS('Calculations'!$ID$13:$ID$512,"="&amp;SUBSTITUTE(SUBSTITUTE(SUBSTITUTE('Calculations'!HF23,"~","~~"),"*","~*"),"?","~?"),'Calculations'!$HN$13:$HN$512,"="&amp;SUBSTITUTE(SUBSTITUTE(SUBSTITUTE('Dashboard'!$B$7,"~","~~"),"*","~*"),"?","~?"))+COUNTIFS('Calculations'!$IE$13:$IE$512,"="&amp;SUBSTITUTE(SUBSTITUTE(SUBSTITUTE('Calculations'!HF23,"~","~~"),"*","~*"),"?","~?"),'Calculations'!$HN$13:$HN$512,"="&amp;SUBSTITUTE(SUBSTITUTE(SUBSTITUTE('Dashboard'!$B$7,"~","~~"),"*","~*"),"?","~?"))+COUNTIFS('Calculations'!$IF$13:$IF$512,"="&amp;SUBSTITUTE(SUBSTITUTE(SUBSTITUTE('Calculations'!HF23,"~","~~"),"*","~*"),"?","~?"),'Calculations'!$HN$13:$HN$512,"="&amp;SUBSTITUTE(SUBSTITUTE(SUBSTITUTE('Dashboard'!$B$7,"~","~~"),"*","~*"),"?","~?"))+COUNTIFS('Calculations'!$IG$13:$IG$512,"="&amp;SUBSTITUTE(SUBSTITUTE(SUBSTITUTE('Calculations'!HF23,"~","~~"),"*","~*"),"?","~?"),'Calculations'!$HN$13:$HN$512,"="&amp;SUBSTITUTE(SUBSTITUTE(SUBSTITUTE('Dashboard'!$B$7,"~","~~"),"*","~*"),"?","~?"))+COUNTIFS('Calculations'!$IH$13:$IH$512,"="&amp;SUBSTITUTE(SUBSTITUTE(SUBSTITUTE('Calculations'!HF23,"~","~~"),"*","~*"),"?","~?"),'Calculations'!$HN$13:$HN$512,"="&amp;SUBSTITUTE(SUBSTITUTE(SUBSTITUTE('Dashboard'!$B$7,"~","~~"),"*","~*"),"?","~?"))))</x:f>
        <x:v>0</x:v>
      </x:c>
      <x:c r="JD23" t="n">
        <x:f>IF('Calculations'!EM23="",0,IF('Dashboard'!$B$7="All",1,IF('Calculations'!HN23='Dashboard'!$B$7,1,0)+IFERROR(INDEX('Calculations'!$JC$13:$JC$512,MATCH('Calculations'!HE23,'Calculations'!$HF$13:$HF$512,0)),0)))</x:f>
        <x:v>0</x:v>
      </x:c>
      <x:c r="JE23" t="n">
        <x:f>IF(AND('Calculations'!EM23&lt;&gt;"",'Calculations'!$JJ$2&lt;&gt;"All",'Calculations'!$JJ$2&lt;&gt;"",'Calculations'!HF23='Calculations'!$JJ$2,'Calculations'!HL23=0,'Calculations'!JD23&gt;0),MAX('Calculations'!$JE$12:JE22)+1,0)</x:f>
        <x:v>0</x:v>
      </x:c>
      <x:c r="JF23" t="str">
        <x:f>IF('Calculations'!EM23="","",IFERROR(IF(INDEX(INDIRECT("'WCM Calibration Final'!$G$1:$G$2000"),'Calculations'!$EM23)="","",TRIM(INDEX(INDIRECT("'WCM Calibration Final'!$G$1:$G$2000"),'Calculations'!$EM23)&amp;"")),""))</x:f>
      </x:c>
      <x:c r="JL23" t="str">
        <x:f>IFERROR(INDEX('Calculations'!$HE$13:$HE$512,MATCH(('Calculations'!$JJ$4-1)*6+2,'Calculations'!$JE$13:$JE$512,0)),"")</x:f>
      </x:c>
      <x:c r="JM23" t="str">
        <x:f>IF(OR('Calculations'!JL23="",'Calculations'!JL23="All"),IF(3=0,"Select a manager",IF(3=1,"All reporting branches","")),IFERROR(INDEX('Calculations'!$HG$13:$HG$512,MATCH('Calculations'!JL23,'Calculations'!$HE$13:$HE$512,0)),IFERROR(INDEX('Calculations'!$HJ$13:$HJ$512,MATCH('Calculations'!JL23,'Calculations'!$HF$13:$HF$512,0)),"Manager outside roster")))</x:f>
      </x:c>
      <x:c r="JN23" t="str">
        <x:f>IF(OR('Calculations'!JL23="",'Calculations'!JL23="All"),IF(3=1,"Choose Below direct to focus on one branch",""),IFERROR(INDEX('Calculations'!$JF$13:$JF$512,MATCH('Calculations'!JL23,'Calculations'!$HE$13:$HE$512,0)),"Outside this roster"))</x:f>
      </x:c>
      <x:c r="JO23" t="str">
        <x:f>IF(OR('Calculations'!JL23="",'Calculations'!JL23="All"),"",IFERROR("What: "&amp;IF(INDEX('Calculations'!$BO$13:$BO$512,MATCH('Calculations'!JL23,'Calculations'!$HE$13:$HE$512,0))="","Pending",INDEX('Calculations'!$BO$13:$BO$512,MATCH('Calculations'!JL23,'Calculations'!$HE$13:$HE$512,0)))&amp;"   How: "&amp;IF(INDEX('Calculations'!$BP$13:$BP$512,MATCH('Calculations'!JL23,'Calculations'!$HE$13:$HE$512,0))="","Pending",INDEX('Calculations'!$BP$13:$BP$512,MATCH('Calculations'!JL23,'Calculations'!$HE$13:$HE$512,0))),"What / How: not in roster"))</x:f>
      </x:c>
      <x:c r="JP23" t="str">
        <x:f>IF(OR('Calculations'!JL23="",'Calculations'!JL23="All"),"",COUNTIFS('Calculations'!$HF$13:$HF$512,'Calculations'!JL23,'Calculations'!$JD$13:$JD$512,"&gt;0")&amp;" direct reports in product scope")</x:f>
      </x:c>
      <x:c r="JQ23" t="n">
        <x:f>IF(OR('Calculations'!BM23=0,NOT('Calculations'!$AG$2),'Calculations'!$AG$8&gt;0),0,IF(OR('Dashboard'!$B$7="All",'Calculations'!HN23='Dashboard'!$B$7),IF('Calculations'!$JJ$2="All",1,IF(AND('Calculations'!HF23='Calculations'!$JJ$2,'Calculations'!HL23=0),1,0)),0))</x:f>
        <x:v>0</x:v>
      </x:c>
    </x:row>
    <x:row r="24" ht="21" customHeight="1">
      <x:c r="A24" s="75"/>
      <x:c r="B24" s="75"/>
      <x:c r="C24" s="75"/>
      <x:c r="D24" s="75"/>
      <x:c r="E24" s="75"/>
      <x:c r="F24" s="75"/>
      <x:c r="G24" s="75"/>
      <x:c r="H24" s="75"/>
      <x:c r="I24" s="75"/>
      <x:c r="J24" s="75"/>
      <x:c r="K24" s="75"/>
      <x:c r="L24" s="75"/>
      <x:c r="M24" s="75"/>
      <x:c r="AF24" s="4" t="str">
        <x:v>Low</x:v>
      </x:c>
      <x:c r="AG24" s="4" t="n">
        <x:f>COUNTIFS('Calculations'!$BN$13:$BN$512,1,'Calculations'!$BT$13:$BT$512,1,'Calculations'!$EE$13:$EE$512,'Calculations'!AF24)</x:f>
        <x:v>0</x:v>
      </x:c>
      <x:c r="AH24" s="4" t="e">
        <x:f>IF('Calculations'!$AG$5=0,NA(),'Calculations'!AG24/'Calculations'!$AG$5)</x:f>
        <x:v>#N/A</x:v>
      </x:c>
      <x:c r="AI24" s="4" t="n">
        <x:f>IF(COUNT('Dashboard'!T147)=0,NA(),IF(AND('Dashboard'!T147&gt;=0,'Dashboard'!T147&lt;=1),'Dashboard'!T147,NA()))</x:f>
        <x:v>0.07</x:v>
      </x:c>
      <x:c r="AJ24" s="4"/>
      <x:c r="AK24" s="4"/>
      <x:c r="AL24" s="4"/>
      <x:c r="AM24" s="4"/>
      <x:c r="AN24" s="4"/>
      <x:c r="AO24" s="4"/>
      <x:c r="AP24" s="4"/>
      <x:c r="AQ24" s="4"/>
      <x:c r="AR24" s="4"/>
      <x:c r="AS24" s="4"/>
      <x:c r="AT24" s="4" t="str">
        <x:f>IF('Calculations'!$AG$5=0,"",'Calculations'!AG24&amp;" · "&amp;TEXT('Calculations'!AH24,"0.0%"))</x:f>
      </x:c>
      <x:c r="AU24" s="4"/>
      <x:c r="AV24" s="4"/>
      <x:c r="AW24" s="4"/>
      <x:c r="AX24" s="4"/>
      <x:c r="AY24" s="4"/>
      <x:c r="AZ24" s="4"/>
      <x:c r="BA24" s="4"/>
      <x:c r="BB24" s="4"/>
      <x:c r="BC24" s="4"/>
      <x:c r="BD24" s="4"/>
      <x:c r="BE24" s="4"/>
      <x:c r="BF24" s="4"/>
      <x:c r="BG24" s="4"/>
      <x:c r="BH24" s="4"/>
      <x:c r="BI24" s="4"/>
      <x:c r="BJ24" s="4"/>
      <x:c r="BK24" s="4"/>
      <x:c r="BL24" s="4"/>
      <x:c r="BM24" s="4" t="n">
        <x:f>IF('Calculations'!$EM24="",0,IF(OR(IFERROR(INDEX(INDIRECT("'WCM Calibration Final'!$A$1:$A$2000"),'Calculations'!$EM24)&lt;&gt;"",FALSE),IFERROR(INDEX(INDIRECT("'WCM Calibration Final'!$B$1:$B$2000"),'Calculations'!$EM24)&lt;&gt;"",FALSE),IFERROR(INDEX(INDIRECT("'WCM Calibration Final'!$C$1:$C$2000"),'Calculations'!$EM24)&lt;&gt;"",FALSE)),1,0))</x:f>
        <x:v>0</x:v>
      </x:c>
      <x:c r="BN24" s="4" t="n">
        <x:f>IF(AND('Calculations'!BM24=1,'Calculations'!$AG$2,'Calculations'!$EN24=1),1,0)</x:f>
        <x:v>0</x:v>
      </x:c>
      <x:c r="BO24" s="4" t="str">
        <x:f>IF('Calculations'!BM24=0,"",IFERROR(IF(AND(VALUE(INDEX(INDIRECT("'WCM Calibration Final'!$K$1:$K$2000"),'Calculations'!$EM24))&gt;=1,VALUE(INDEX(INDIRECT("'WCM Calibration Final'!$K$1:$K$2000"),'Calculations'!$EM24))&lt;=4,MOD(VALUE(INDEX(INDIRECT("'WCM Calibration Final'!$K$1:$K$2000"),'Calculations'!$EM24)),1)=0),VALUE(INDEX(INDIRECT("'WCM Calibration Final'!$K$1:$K$2000"),'Calculations'!$EM24)),""),""))</x:f>
      </x:c>
      <x:c r="BP24" s="4" t="str">
        <x:f>IF('Calculations'!BM24=0,"",IFERROR(IF(AND(VALUE(INDEX(INDIRECT("'WCM Calibration Final'!$L$1:$L$2000"),'Calculations'!$EM24))&gt;=1,VALUE(INDEX(INDIRECT("'WCM Calibration Final'!$L$1:$L$2000"),'Calculations'!$EM24))&lt;=4,MOD(VALUE(INDEX(INDIRECT("'WCM Calibration Final'!$L$1:$L$2000"),'Calculations'!$EM24)),1)=0),VALUE(INDEX(INDIRECT("'WCM Calibration Final'!$L$1:$L$2000"),'Calculations'!$EM24)),""),""))</x:f>
      </x:c>
      <x:c r="BQ24" s="4"/>
      <x:c r="BR24" s="4"/>
      <x:c r="BS24" s="4"/>
      <x:c r="BT24" s="4" t="n">
        <x:f>IF(AND('Calculations'!BM24=1,ISNUMBER('Calculations'!BO24),ISNUMBER('Calculations'!BP24)),1,0)</x:f>
        <x:v>0</x:v>
      </x:c>
      <x:c r="BU24" s="4" t="str">
        <x:f>IF('Calculations'!BM24=0,"",'Calculations'!$EO24)</x:f>
      </x:c>
      <x:c r="BV24" s="4" t="str">
        <x:f>IF('Calculations'!BM24=0,"",IFERROR(IF(OR(INDEX(INDIRECT("'WCM Calibration Final'!$H$1:$H$2000"),'Calculations'!$EM24)="MANAGING DIRECTOR",INDEX(INDIRECT("'WCM Calibration Final'!$H$1:$H$2000"),'Calculations'!$EM24)="DIRECTOR",INDEX(INDIRECT("'WCM Calibration Final'!$H$1:$H$2000"),'Calculations'!$EM24)="SENIOR VICE PRESIDENT",INDEX(INDIRECT("'WCM Calibration Final'!$H$1:$H$2000"),'Calculations'!$EM24)="VICE PRESIDENT",INDEX(INDIRECT("'WCM Calibration Final'!$H$1:$H$2000"),'Calculations'!$EM24)="ASSISTANT VICE PRESIDENT",INDEX(INDIRECT("'WCM Calibration Final'!$H$1:$H$2000"),'Calculations'!$EM24)="OFFICER"),UPPER(INDEX(INDIRECT("'WCM Calibration Final'!$H$1:$H$2000"),'Calculations'!$EM24)),"Other"),"Other"))</x:f>
      </x:c>
      <x:c r="BW24" s="4"/>
      <x:c r="BX24" s="4"/>
      <x:c r="BY24" s="4" t="n">
        <x:f>IF(AND('Calculations'!BM24=1,'Calculations'!BU24&lt;&gt;"",COUNTIF('Calculations'!$BU$12:BU24,'Calculations'!BU24)=1),MAX('Calculations'!$BY$11:BY23)+1,0)</x:f>
        <x:v>0</x:v>
      </x:c>
      <x:c r="BZ24" s="4" t="str">
        <x:f>IF('Dashboard'!$E$67="What",'Calculations'!BO24,'Calculations'!BP24)</x:f>
      </x:c>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t="str">
        <x:f>IF(13&gt;MAX('Calculations'!$HI$13:$HI$512),"",INDEX('Calculations'!$HN$13:$HN$512,MATCH(13,'Calculations'!$HI$13:$HI$512,0)))</x:f>
      </x:c>
      <x:c r="DB24" s="4" t="str">
        <x:f>IF(13&gt;MAX('Calculations'!$HH$13:$HH$512),"",INDEX('Calculations'!$HJ$13:$HJ$512,MATCH(13,'Calculations'!$HH$13:$HH$512,0)))</x:f>
      </x:c>
      <x:c r="DC24" s="4" t="str">
        <x:f>IF(ROW()-11&gt;MAX('Calculations'!$BY$13:$BY$512),"",INDEX('Calculations'!$BU$13:$BU$512,MATCH(ROW()-11,'Calculations'!$BY$13:$BY$512,0)))</x:f>
      </x:c>
      <x:c r="DD24" s="4" t="str">
        <x:f>IF(13&gt;MAX('Calculations'!$IK$13:$IK$512),"",INDEX('Calculations'!$HK$13:$HK$512,MATCH(13,'Calculations'!$IK$13:$IK$512,0)))</x:f>
      </x:c>
      <x:c r="DE24" s="4" t="str">
        <x:f>'Calculations'!DC24</x:f>
      </x:c>
      <x:c r="DF24" s="4" t="str">
        <x:f>IF('Calculations'!DE24="","",COUNTIFS('Calculations'!$BN$13:$BN$512,1,'Calculations'!$BU$13:$BU$512,'Calculations'!DE24))</x:f>
      </x:c>
      <x:c r="DG24" s="4" t="str">
        <x:f>IF('Calculations'!DE24="","",COUNTIFS('Calculations'!$BN$13:$BN$512,1,'Calculations'!$BU$13:$BU$512,'Calculations'!DE24,'Calculations'!$BT$13:$BT$512,1))</x:f>
      </x:c>
      <x:c r="DH24" s="4" t="str">
        <x:f>IF('Calculations'!DE24="","",'Calculations'!DF24-'Calculations'!DG24)</x:f>
      </x:c>
      <x:c r="DI24" s="4" t="str">
        <x:f>IF(OR('Calculations'!DE24="",'Calculations'!DF24=0),"",'Calculations'!DG24/'Calculations'!DF24)</x:f>
      </x:c>
      <x:c r="DJ24" s="4" t="str">
        <x:f>IF('Calculations'!DE24="","",COUNTIFS('Calculations'!$BN$13:$BN$512,1,'Calculations'!$BU$13:$BU$512,'Calculations'!DE24,'Calculations'!$BT$13:$BT$512,1,'Calculations'!$EE$13:$EE$512,"High"))</x:f>
      </x:c>
      <x:c r="DK24" s="4" t="str">
        <x:f>IF('Calculations'!DE24="","",COUNTIFS('Calculations'!$BN$13:$BN$512,1,'Calculations'!$BU$13:$BU$512,'Calculations'!DE24,'Calculations'!$BT$13:$BT$512,1,'Calculations'!$EE$13:$EE$512,"Strong"))</x:f>
      </x:c>
      <x:c r="DL24" s="4" t="str">
        <x:f>IF('Calculations'!DE24="","",COUNTIFS('Calculations'!$BN$13:$BN$512,1,'Calculations'!$BU$13:$BU$512,'Calculations'!DE24,'Calculations'!$BT$13:$BT$512,1,'Calculations'!$EE$13:$EE$512,"Solid"))</x:f>
      </x:c>
      <x:c r="DM24" s="4" t="str">
        <x:f>IF('Calculations'!DE24="","",COUNTIFS('Calculations'!$BN$13:$BN$512,1,'Calculations'!$BU$13:$BU$512,'Calculations'!DE24,'Calculations'!$BT$13:$BT$512,1,'Calculations'!$EE$13:$EE$512,"Low"))</x:f>
      </x:c>
      <x:c r="DN24" s="4" t="str">
        <x:f>IF('Calculations'!DE24="","",COUNTIFS('Calculations'!$BN$13:$BN$512,1,'Calculations'!$BU$13:$BU$512,'Calculations'!DE24,'Calculations'!$EP$13:$EP$512,1))</x:f>
      </x:c>
      <x:c r="DO24" s="4" t="str">
        <x:f>IF(OR('Calculations'!DE24="",'Calculations'!DG24=0),"",('Calculations'!DJ24+'Calculations'!DK24)/'Calculations'!DG24)</x:f>
      </x:c>
      <x:c r="DP24" s="4" t="n">
        <x:f>IF(AND('Calculations'!DE24&lt;&gt;"",'Calculations'!DF24&gt;0),COUNTIF('Calculations'!$DF$12:DF24,"&gt;0"),0)</x:f>
        <x:v>0</x:v>
      </x:c>
      <x:c r="DQ24" s="4" t="str">
        <x:f>IF(13&gt;MAX('Calculations'!$HH$13:$HH$512),"",INDEX('Calculations'!$HF$13:$HF$512,MATCH(13,'Calculations'!$HH$13:$HH$512,0)))</x:f>
      </x:c>
      <x:c r="DR24" s="4" t="str">
        <x:f>IF(13&gt;MAX('Calculations'!$IK$13:$IK$512),"",INDEX('Calculations'!$HE$13:$HE$512,MATCH(13,'Calculations'!$IK$13:$IK$512,0)))</x:f>
      </x:c>
      <x:c r="DS24" s="4"/>
      <x:c r="DT24" s="4"/>
      <x:c r="DU24" s="4"/>
      <x:c r="DV24" s="4"/>
      <x:c r="DW24" s="4"/>
      <x:c r="DX24" s="4"/>
      <x:c r="DY24" s="4"/>
      <x:c r="DZ24" s="4"/>
      <x:c r="EA24" s="4"/>
      <x:c r="EB24" s="4"/>
      <x:c r="EC24" s="4"/>
      <x:c r="ED24" s="4"/>
      <x:c r="EE24" s="4" t="str">
        <x:f>IF('Calculations'!BT24=0,"Not Rated",IF(OR('Calculations'!BO24&gt;=4,'Calculations'!BP24&gt;=4),"Low",IF('Calculations'!BO24+'Calculations'!BP24&lt;=3,"High",IF('Calculations'!BO24+'Calculations'!BP24&lt;=4,"Strong","Solid"))))</x:f>
        <x:v>Not Rated</x:v>
      </x:c>
      <x:c r="EF24" s="4"/>
      <x:c r="EG24" s="4"/>
      <x:c r="EH24" s="4"/>
      <x:c r="EI24" s="4"/>
      <x:c r="EJ24" s="4"/>
      <x:c r="EK24" s="4"/>
      <x:c r="EL24" s="4"/>
      <x:c r="EM24" s="4" t="str">
        <x:f>IF(12&gt;'Calculations'!$JB$2000,"",INDEX('Calculations'!$JA$12:$JA$2000,MATCH(12,'Calculations'!$JB$12:$JB$2000,0)))</x:f>
      </x:c>
      <x:c r="EN24" s="4" t="n">
        <x:f>IF(OR('Calculations'!EM24="",'Calculations'!$AG$8&gt;0,AND('Calculations'!$EF$2&lt;&gt;"All",'Calculations'!HE24='Calculations'!$EF$2),AND('Calculations'!$EF$3&lt;&gt;"All",'Calculations'!HE24='Calculations'!$EF$3)),0,IF(OR('Dashboard'!$B$7="All",'Calculations'!HN24='Dashboard'!$B$7),IF('Calculations'!$EF$2="All",1,IF('Calculations'!HL24&gt;0,0,IF(COUNTIF('Calculations'!HO24:II24,"="&amp;SUBSTITUTE(SUBSTITUTE(SUBSTITUTE('Calculations'!$EF$2,"~","~~"),"*","~*"),"?","~?"))=0,0,IF('Calculations'!$EF$3="All",1,IF(COUNTIF('Calculations'!HO24:II24,"="&amp;SUBSTITUTE(SUBSTITUTE(SUBSTITUTE('Calculations'!$EF$3,"~","~~"),"*","~*"),"?","~?"))&gt;0,1,0))))),0))</x:f>
        <x:v>0</x:v>
      </x:c>
      <x:c r="EO24" s="4" t="str">
        <x:f>IF('Calculations'!IJ24="","",IF('Calculations'!IJ24="!UNRESOLVED","Unresolved hierarchy",IFERROR(INDEX('Calculations'!$HK$13:$HK$512,MATCH('Calculations'!IJ24,'Calculations'!$HE$13:$HE$512,0)),IFERROR(INDEX('Calculations'!$HJ$13:$HJ$512,MATCH('Calculations'!IJ24,'Calculations'!$HF$13:$HF$512,0)),'Calculations'!IJ24))))</x:f>
      </x:c>
      <x:c r="EP24" s="4" t="n">
        <x:f>IF(AND('Calculations'!EM24&lt;&gt;"",'Calculations'!HF24='Calculations'!IJ24),1,0)</x:f>
        <x:v>0</x:v>
      </x:c>
      <x:c r="EQ24" s="4"/>
      <x:c r="ER24" s="4"/>
      <x:c r="ES24" s="4"/>
      <x:c r="ET24" s="4"/>
      <x:c r="EU24" s="4"/>
      <x:c r="EV24" s="4"/>
      <x:c r="EW24" s="4"/>
      <x:c r="EX24" s="4"/>
      <x:c r="EY24" s="4"/>
      <x:c r="EZ24" s="4"/>
      <x:c r="FA24" s="4"/>
      <x:c r="FB24" s="4"/>
      <x:c r="FC24" s="4"/>
      <x:c r="FD24" s="4"/>
      <x:c r="FE24" s="4"/>
      <x:c r="FF24" s="4"/>
      <x:c r="FG24" s="4"/>
      <x:c r="FH24" s="4"/>
      <x:c r="FI24" s="4"/>
      <x:c r="FJ24" s="4"/>
      <x:c r="FK24" s="4"/>
      <x:c r="FL24" s="4"/>
      <x:c r="FM24" s="4"/>
      <x:c r="FN24" s="4"/>
      <x:c r="FO24" s="4"/>
      <x:c r="GA24" s="71"/>
      <x:c r="GB24" s="71"/>
      <x:c r="GC24" s="71"/>
      <x:c r="GD24" s="71"/>
      <x:c r="GE24" s="71"/>
      <x:c r="GF24" s="71"/>
      <x:c r="GG24" s="71"/>
      <x:c r="GH24" s="71"/>
      <x:c r="GI24" s="71"/>
      <x:c r="GJ24" s="71"/>
      <x:c r="GK24" s="71"/>
      <x:c r="GL24" s="71"/>
      <x:c r="GM24" s="71"/>
      <x:c r="GN24" s="71"/>
      <x:c r="GO24" s="71"/>
      <x:c r="GP24" s="71"/>
      <x:c r="GQ24" s="71"/>
      <x:c r="GR24" s="71"/>
      <x:c r="GS24" s="71"/>
      <x:c r="GT24" s="71"/>
      <x:c r="GU24" s="71"/>
      <x:c r="GV24" s="71"/>
      <x:c r="GW24" s="71"/>
      <x:c r="GX24" s="71"/>
      <x:c r="GY24" s="71"/>
      <x:c r="GZ24" s="71"/>
      <x:c r="HA24" s="71"/>
      <x:c r="HB24" s="71"/>
      <x:c r="HC24" s="71"/>
      <x:c r="HD24" s="71"/>
      <x:c r="HE24" t="str">
        <x:f>IF('Calculations'!EM24="","",IF(IFERROR(IF(INDEX(INDIRECT("'WCM Calibration Final'!$A$1:$A$2000"),'Calculations'!$EM24)="","",TRIM(INDEX(INDIRECT("'WCM Calibration Final'!$A$1:$A$2000"),'Calculations'!$EM24)&amp;"")),"")&lt;&gt;"","G:"&amp;IFERROR(TEXT(1*INDEX(INDIRECT("'WCM Calibration Final'!$A$1:$A$2000"),'Calculations'!$EM24),"0"),UPPER(IFERROR(IF(INDEX(INDIRECT("'WCM Calibration Final'!$A$1:$A$2000"),'Calculations'!$EM24)="","",TRIM(INDEX(INDIRECT("'WCM Calibration Final'!$A$1:$A$2000"),'Calculations'!$EM24)&amp;"")),""))),IF(IFERROR(IF(INDEX(INDIRECT("'WCM Calibration Final'!$C$1:$C$2000"),'Calculations'!$EM24)="","",TRIM(INDEX(INDIRECT("'WCM Calibration Final'!$C$1:$C$2000"),'Calculations'!$EM24)&amp;"")),"")&lt;&gt;"","S:"&amp;UPPER(IFERROR(IF(INDEX(INDIRECT("'WCM Calibration Final'!$C$1:$C$2000"),'Calculations'!$EM24)="","",TRIM(INDEX(INDIRECT("'WCM Calibration Final'!$C$1:$C$2000"),'Calculations'!$EM24)&amp;"")),"")),"R:"&amp;'Calculations'!EM24)))</x:f>
      </x:c>
      <x:c r="HF24" t="str">
        <x:f>IF('Calculations'!EM24="","",IF(IFERROR(IF(INDEX(INDIRECT("'WCM Calibration Final'!$D$1:$D$2000"),'Calculations'!$EM24)="","",TRIM(INDEX(INDIRECT("'WCM Calibration Final'!$D$1:$D$2000"),'Calculations'!$EM24)&amp;"")),"")&lt;&gt;"","G:"&amp;IFERROR(TEXT(1*INDEX(INDIRECT("'WCM Calibration Final'!$D$1:$D$2000"),'Calculations'!$EM24),"0"),UPPER(IFERROR(IF(INDEX(INDIRECT("'WCM Calibration Final'!$D$1:$D$2000"),'Calculations'!$EM24)="","",TRIM(INDEX(INDIRECT("'WCM Calibration Final'!$D$1:$D$2000"),'Calculations'!$EM24)&amp;"")),""))),IF(IFERROR(IF(INDEX(INDIRECT("'WCM Calibration Final'!$E$1:$E$2000"),'Calculations'!$EM24)="","",TRIM(INDEX(INDIRECT("'WCM Calibration Final'!$E$1:$E$2000"),'Calculations'!$EM24)&amp;"")),"")="","",IF(COUNTIF('Calculations'!$HG$13:$HG$512,"="&amp;SUBSTITUTE(SUBSTITUTE(SUBSTITUTE(IFERROR(IF(INDEX(INDIRECT("'WCM Calibration Final'!$E$1:$E$2000"),'Calculations'!$EM24)="","",TRIM(INDEX(INDIRECT("'WCM Calibration Final'!$E$1:$E$2000"),'Calculations'!$EM24)&amp;"")),""),"~","~~"),"*","~*"),"?","~?"))=1,INDEX('Calculations'!$HE$13:$HE$512,MATCH(IFERROR(IF(INDEX(INDIRECT("'WCM Calibration Final'!$E$1:$E$2000"),'Calculations'!$EM24)="","",TRIM(INDEX(INDIRECT("'WCM Calibration Final'!$E$1:$E$2000"),'Calculations'!$EM24)&amp;"")),""),'Calculations'!$HG$13:$HG$512,0)),IF(COUNTIF('Calculations'!$HG$13:$HG$512,"="&amp;SUBSTITUTE(SUBSTITUTE(SUBSTITUTE(IFERROR(IF(INDEX(INDIRECT("'WCM Calibration Final'!$E$1:$E$2000"),'Calculations'!$EM24)="","",TRIM(INDEX(INDIRECT("'WCM Calibration Final'!$E$1:$E$2000"),'Calculations'!$EM24)&amp;"")),""),"~","~~"),"*","~*"),"?","~?"))&gt;1,"!AMBIG","X:"&amp;IFERROR(IF(INDEX(INDIRECT("'WCM Calibration Final'!$E$1:$E$2000"),'Calculations'!$EM24)="","",TRIM(INDEX(INDIRECT("'WCM Calibration Final'!$E$1:$E$2000"),'Calculations'!$EM24)&amp;"")),""))))))</x:f>
      </x:c>
      <x:c r="HG24" t="str">
        <x:f>IF('Calculations'!EM24="","",IFERROR(IF(INDEX(INDIRECT("'WCM Calibration Final'!$B$1:$B$2000"),'Calculations'!$EM24)="","",TRIM(INDEX(INDIRECT("'WCM Calibration Final'!$B$1:$B$2000"),'Calculations'!$EM24)&amp;"")),""))</x:f>
      </x:c>
      <x:c r="HH24" t="n">
        <x:f>IF(AND('Calculations'!JC24&gt;0,COUNTIF('Calculations'!$HF$12:HF24,"="&amp;SUBSTITUTE(SUBSTITUTE(SUBSTITUTE('Calculations'!HF24,"~","~~"),"*","~*"),"?","~?"))=1),MAX('Calculations'!$HH$12:HH23)+1,0)</x:f>
        <x:v>0</x:v>
      </x:c>
      <x:c r="HI24" t="n">
        <x:f>IF(AND('Calculations'!HN24&lt;&gt;"",COUNTIF('Calculations'!$HN$12:HN24,"="&amp;SUBSTITUTE(SUBSTITUTE(SUBSTITUTE('Calculations'!HN24,"~","~~"),"*","~*"),"?","~?"))=1),MAX('Calculations'!$HI$12:HI23)+1,0)</x:f>
        <x:v>0</x:v>
      </x:c>
      <x:c r="HJ24" t="str">
        <x:f>IF('Calculations'!HF24="","",IF(COUNTIF('Calculations'!$HE$13:$HE$512,"="&amp;SUBSTITUTE(SUBSTITUTE(SUBSTITUTE('Calculations'!HF24,"~","~~"),"*","~*"),"?","~?"))=1,INDEX('Calculations'!$HK$13:$HK$512,MATCH('Calculations'!HF24,'Calculations'!$HE$13:$HE$512,0)),IFERROR(IF(INDEX(INDIRECT("'WCM Calibration Final'!$E$1:$E$2000"),'Calculations'!$EM24)="","",TRIM(INDEX(INDIRECT("'WCM Calibration Final'!$E$1:$E$2000"),'Calculations'!$EM24)&amp;"")),"")&amp;" ["&amp;'Calculations'!HF24&amp;"]"))</x:f>
      </x:c>
      <x:c r="HK24" t="str">
        <x:f>IF('Calculations'!EM24="","",'Calculations'!HG24&amp;" ["&amp;'Calculations'!HE24&amp;"]")</x:f>
      </x:c>
      <x:c r="HL24" t="n">
        <x:f>IF('Calculations'!EM24="",0,IF(OR('Calculations'!II24&lt;&gt;"",COUNTIF('Calculations'!$HE$13:$HE$512,"="&amp;SUBSTITUTE(SUBSTITUTE(SUBSTITUTE('Calculations'!HE24,"~","~~"),"*","~*"),"?","~?"))&gt;1),1,0))</x:f>
        <x:v>0</x:v>
      </x:c>
      <x:c r="HM24" t="str">
        <x:f>IF('Calculations'!EM24="","",IF('Calculations'!HL24=1,"!UNRESOLVED",IF('Calculations'!IH24&lt;&gt;"",'Calculations'!IH24,IF('Calculations'!IG24&lt;&gt;"",'Calculations'!IG24,IF('Calculations'!IF24&lt;&gt;"",'Calculations'!IF24,IF('Calculations'!IE24&lt;&gt;"",'Calculations'!IE24,IF('Calculations'!ID24&lt;&gt;"",'Calculations'!ID24,IF('Calculations'!IC24&lt;&gt;"",'Calculations'!IC24,IF('Calculations'!IB24&lt;&gt;"",'Calculations'!IB24,IF('Calculations'!IA24&lt;&gt;"",'Calculations'!IA24,IF('Calculations'!HZ24&lt;&gt;"",'Calculations'!HZ24,IF('Calculations'!HY24&lt;&gt;"",'Calculations'!HY24,IF('Calculations'!HX24&lt;&gt;"",'Calculations'!HX24,IF('Calculations'!HW24&lt;&gt;"",'Calculations'!HW24,IF('Calculations'!HV24&lt;&gt;"",'Calculations'!HV24,IF('Calculations'!HU24&lt;&gt;"",'Calculations'!HU24,IF('Calculations'!HT24&lt;&gt;"",'Calculations'!HT24,IF('Calculations'!HS24&lt;&gt;"",'Calculations'!HS24,IF('Calculations'!HR24&lt;&gt;"",'Calculations'!HR24,IF('Calculations'!HQ24&lt;&gt;"",'Calculations'!HQ24,IF('Calculations'!HP24&lt;&gt;"",'Calculations'!HP24,IF('Calculations'!HO24&lt;&gt;"",'Calculations'!HO24,'Calculations'!HE24))))))))))))))))))))))</x:f>
      </x:c>
      <x:c r="HN24" t="str">
        <x:f>IF('Calculations'!EM24="","",IF(IFERROR(IF(INDEX(INDIRECT("'WCM Calibration Final'!$F$1:$F$2000"),'Calculations'!$EM24)="","",TRIM(INDEX(INDIRECT("'WCM Calibration Final'!$F$1:$F$2000"),'Calculations'!$EM24)&amp;"")),"")="","(Blank)",IFERROR(IF(INDEX(INDIRECT("'WCM Calibration Final'!$F$1:$F$2000"),'Calculations'!$EM24)="","",TRIM(INDEX(INDIRECT("'WCM Calibration Final'!$F$1:$F$2000"),'Calculations'!$EM24)&amp;"")),"")))</x:f>
      </x:c>
      <x:c r="HO24" t="str">
        <x:f>'Calculations'!HF24</x:f>
      </x:c>
      <x:c r="HP24" t="str">
        <x:f>IF('Calculations'!HO24="","",IF('Calculations'!HO24="!AMBIG","!AMBIG",IF(COUNTIF('Calculations'!$HE$13:$HE$512,"="&amp;SUBSTITUTE(SUBSTITUTE(SUBSTITUTE('Calculations'!HO24,"~","~~"),"*","~*"),"?","~?"))&gt;1,"!AMBIG",IFERROR(INDEX('Calculations'!$HF$13:$HF$512,MATCH('Calculations'!HO24,'Calculations'!$HE$13:$HE$512,0)),""))))</x:f>
      </x:c>
      <x:c r="HQ24" t="str">
        <x:f>IF('Calculations'!HP24="","",IF('Calculations'!HP24="!AMBIG","!AMBIG",IF(COUNTIF('Calculations'!$HE$13:$HE$512,"="&amp;SUBSTITUTE(SUBSTITUTE(SUBSTITUTE('Calculations'!HP24,"~","~~"),"*","~*"),"?","~?"))&gt;1,"!AMBIG",IFERROR(INDEX('Calculations'!$HF$13:$HF$512,MATCH('Calculations'!HP24,'Calculations'!$HE$13:$HE$512,0)),""))))</x:f>
      </x:c>
      <x:c r="HR24" t="str">
        <x:f>IF('Calculations'!HQ24="","",IF('Calculations'!HQ24="!AMBIG","!AMBIG",IF(COUNTIF('Calculations'!$HE$13:$HE$512,"="&amp;SUBSTITUTE(SUBSTITUTE(SUBSTITUTE('Calculations'!HQ24,"~","~~"),"*","~*"),"?","~?"))&gt;1,"!AMBIG",IFERROR(INDEX('Calculations'!$HF$13:$HF$512,MATCH('Calculations'!HQ24,'Calculations'!$HE$13:$HE$512,0)),""))))</x:f>
      </x:c>
      <x:c r="HS24" t="str">
        <x:f>IF('Calculations'!HR24="","",IF('Calculations'!HR24="!AMBIG","!AMBIG",IF(COUNTIF('Calculations'!$HE$13:$HE$512,"="&amp;SUBSTITUTE(SUBSTITUTE(SUBSTITUTE('Calculations'!HR24,"~","~~"),"*","~*"),"?","~?"))&gt;1,"!AMBIG",IFERROR(INDEX('Calculations'!$HF$13:$HF$512,MATCH('Calculations'!HR24,'Calculations'!$HE$13:$HE$512,0)),""))))</x:f>
      </x:c>
      <x:c r="HT24" t="str">
        <x:f>IF('Calculations'!HS24="","",IF('Calculations'!HS24="!AMBIG","!AMBIG",IF(COUNTIF('Calculations'!$HE$13:$HE$512,"="&amp;SUBSTITUTE(SUBSTITUTE(SUBSTITUTE('Calculations'!HS24,"~","~~"),"*","~*"),"?","~?"))&gt;1,"!AMBIG",IFERROR(INDEX('Calculations'!$HF$13:$HF$512,MATCH('Calculations'!HS24,'Calculations'!$HE$13:$HE$512,0)),""))))</x:f>
      </x:c>
      <x:c r="HU24" t="str">
        <x:f>IF('Calculations'!HT24="","",IF('Calculations'!HT24="!AMBIG","!AMBIG",IF(COUNTIF('Calculations'!$HE$13:$HE$512,"="&amp;SUBSTITUTE(SUBSTITUTE(SUBSTITUTE('Calculations'!HT24,"~","~~"),"*","~*"),"?","~?"))&gt;1,"!AMBIG",IFERROR(INDEX('Calculations'!$HF$13:$HF$512,MATCH('Calculations'!HT24,'Calculations'!$HE$13:$HE$512,0)),""))))</x:f>
      </x:c>
      <x:c r="HV24" t="str">
        <x:f>IF('Calculations'!HU24="","",IF('Calculations'!HU24="!AMBIG","!AMBIG",IF(COUNTIF('Calculations'!$HE$13:$HE$512,"="&amp;SUBSTITUTE(SUBSTITUTE(SUBSTITUTE('Calculations'!HU24,"~","~~"),"*","~*"),"?","~?"))&gt;1,"!AMBIG",IFERROR(INDEX('Calculations'!$HF$13:$HF$512,MATCH('Calculations'!HU24,'Calculations'!$HE$13:$HE$512,0)),""))))</x:f>
      </x:c>
      <x:c r="HW24" t="str">
        <x:f>IF('Calculations'!HV24="","",IF('Calculations'!HV24="!AMBIG","!AMBIG",IF(COUNTIF('Calculations'!$HE$13:$HE$512,"="&amp;SUBSTITUTE(SUBSTITUTE(SUBSTITUTE('Calculations'!HV24,"~","~~"),"*","~*"),"?","~?"))&gt;1,"!AMBIG",IFERROR(INDEX('Calculations'!$HF$13:$HF$512,MATCH('Calculations'!HV24,'Calculations'!$HE$13:$HE$512,0)),""))))</x:f>
      </x:c>
      <x:c r="HX24" t="str">
        <x:f>IF('Calculations'!HW24="","",IF('Calculations'!HW24="!AMBIG","!AMBIG",IF(COUNTIF('Calculations'!$HE$13:$HE$512,"="&amp;SUBSTITUTE(SUBSTITUTE(SUBSTITUTE('Calculations'!HW24,"~","~~"),"*","~*"),"?","~?"))&gt;1,"!AMBIG",IFERROR(INDEX('Calculations'!$HF$13:$HF$512,MATCH('Calculations'!HW24,'Calculations'!$HE$13:$HE$512,0)),""))))</x:f>
      </x:c>
      <x:c r="HY24" t="str">
        <x:f>IF('Calculations'!HX24="","",IF('Calculations'!HX24="!AMBIG","!AMBIG",IF(COUNTIF('Calculations'!$HE$13:$HE$512,"="&amp;SUBSTITUTE(SUBSTITUTE(SUBSTITUTE('Calculations'!HX24,"~","~~"),"*","~*"),"?","~?"))&gt;1,"!AMBIG",IFERROR(INDEX('Calculations'!$HF$13:$HF$512,MATCH('Calculations'!HX24,'Calculations'!$HE$13:$HE$512,0)),""))))</x:f>
      </x:c>
      <x:c r="HZ24" t="str">
        <x:f>IF('Calculations'!HY24="","",IF('Calculations'!HY24="!AMBIG","!AMBIG",IF(COUNTIF('Calculations'!$HE$13:$HE$512,"="&amp;SUBSTITUTE(SUBSTITUTE(SUBSTITUTE('Calculations'!HY24,"~","~~"),"*","~*"),"?","~?"))&gt;1,"!AMBIG",IFERROR(INDEX('Calculations'!$HF$13:$HF$512,MATCH('Calculations'!HY24,'Calculations'!$HE$13:$HE$512,0)),""))))</x:f>
      </x:c>
      <x:c r="IA24" t="str">
        <x:f>IF('Calculations'!HZ24="","",IF('Calculations'!HZ24="!AMBIG","!AMBIG",IF(COUNTIF('Calculations'!$HE$13:$HE$512,"="&amp;SUBSTITUTE(SUBSTITUTE(SUBSTITUTE('Calculations'!HZ24,"~","~~"),"*","~*"),"?","~?"))&gt;1,"!AMBIG",IFERROR(INDEX('Calculations'!$HF$13:$HF$512,MATCH('Calculations'!HZ24,'Calculations'!$HE$13:$HE$512,0)),""))))</x:f>
      </x:c>
      <x:c r="IB24" t="str">
        <x:f>IF('Calculations'!IA24="","",IF('Calculations'!IA24="!AMBIG","!AMBIG",IF(COUNTIF('Calculations'!$HE$13:$HE$512,"="&amp;SUBSTITUTE(SUBSTITUTE(SUBSTITUTE('Calculations'!IA24,"~","~~"),"*","~*"),"?","~?"))&gt;1,"!AMBIG",IFERROR(INDEX('Calculations'!$HF$13:$HF$512,MATCH('Calculations'!IA24,'Calculations'!$HE$13:$HE$512,0)),""))))</x:f>
      </x:c>
      <x:c r="IC24" t="str">
        <x:f>IF('Calculations'!IB24="","",IF('Calculations'!IB24="!AMBIG","!AMBIG",IF(COUNTIF('Calculations'!$HE$13:$HE$512,"="&amp;SUBSTITUTE(SUBSTITUTE(SUBSTITUTE('Calculations'!IB24,"~","~~"),"*","~*"),"?","~?"))&gt;1,"!AMBIG",IFERROR(INDEX('Calculations'!$HF$13:$HF$512,MATCH('Calculations'!IB24,'Calculations'!$HE$13:$HE$512,0)),""))))</x:f>
      </x:c>
      <x:c r="ID24" t="str">
        <x:f>IF('Calculations'!IC24="","",IF('Calculations'!IC24="!AMBIG","!AMBIG",IF(COUNTIF('Calculations'!$HE$13:$HE$512,"="&amp;SUBSTITUTE(SUBSTITUTE(SUBSTITUTE('Calculations'!IC24,"~","~~"),"*","~*"),"?","~?"))&gt;1,"!AMBIG",IFERROR(INDEX('Calculations'!$HF$13:$HF$512,MATCH('Calculations'!IC24,'Calculations'!$HE$13:$HE$512,0)),""))))</x:f>
      </x:c>
      <x:c r="IE24" t="str">
        <x:f>IF('Calculations'!ID24="","",IF('Calculations'!ID24="!AMBIG","!AMBIG",IF(COUNTIF('Calculations'!$HE$13:$HE$512,"="&amp;SUBSTITUTE(SUBSTITUTE(SUBSTITUTE('Calculations'!ID24,"~","~~"),"*","~*"),"?","~?"))&gt;1,"!AMBIG",IFERROR(INDEX('Calculations'!$HF$13:$HF$512,MATCH('Calculations'!ID24,'Calculations'!$HE$13:$HE$512,0)),""))))</x:f>
      </x:c>
      <x:c r="IF24" t="str">
        <x:f>IF('Calculations'!IE24="","",IF('Calculations'!IE24="!AMBIG","!AMBIG",IF(COUNTIF('Calculations'!$HE$13:$HE$512,"="&amp;SUBSTITUTE(SUBSTITUTE(SUBSTITUTE('Calculations'!IE24,"~","~~"),"*","~*"),"?","~?"))&gt;1,"!AMBIG",IFERROR(INDEX('Calculations'!$HF$13:$HF$512,MATCH('Calculations'!IE24,'Calculations'!$HE$13:$HE$512,0)),""))))</x:f>
      </x:c>
      <x:c r="IG24" t="str">
        <x:f>IF('Calculations'!IF24="","",IF('Calculations'!IF24="!AMBIG","!AMBIG",IF(COUNTIF('Calculations'!$HE$13:$HE$512,"="&amp;SUBSTITUTE(SUBSTITUTE(SUBSTITUTE('Calculations'!IF24,"~","~~"),"*","~*"),"?","~?"))&gt;1,"!AMBIG",IFERROR(INDEX('Calculations'!$HF$13:$HF$512,MATCH('Calculations'!IF24,'Calculations'!$HE$13:$HE$512,0)),""))))</x:f>
      </x:c>
      <x:c r="IH24" t="str">
        <x:f>IF('Calculations'!IG24="","",IF('Calculations'!IG24="!AMBIG","!AMBIG",IF(COUNTIF('Calculations'!$HE$13:$HE$512,"="&amp;SUBSTITUTE(SUBSTITUTE(SUBSTITUTE('Calculations'!IG24,"~","~~"),"*","~*"),"?","~?"))&gt;1,"!AMBIG",IFERROR(INDEX('Calculations'!$HF$13:$HF$512,MATCH('Calculations'!IG24,'Calculations'!$HE$13:$HE$512,0)),""))))</x:f>
      </x:c>
      <x:c r="II24" t="str">
        <x:f>IF('Calculations'!IH24="","",IF('Calculations'!IH24="!AMBIG","!AMBIG",IF(COUNTIF('Calculations'!$HE$13:$HE$512,"="&amp;SUBSTITUTE(SUBSTITUTE(SUBSTITUTE('Calculations'!IH24,"~","~~"),"*","~*"),"?","~?"))&gt;1,"!AMBIG",IFERROR(INDEX('Calculations'!$HF$13:$HF$512,MATCH('Calculations'!IH24,'Calculations'!$HE$13:$HE$512,0)),""))))</x:f>
      </x:c>
      <x:c r="IJ24" t="str">
        <x:f>IF('Calculations'!EM24="","",IF('Calculations'!$EF$2="All",'Calculations'!HM24,IF('Calculations'!HL24=1,"",IFERROR(IF(MATCH('Calculations'!$EF$2,'Calculations'!HO24:II24,0)=1,'Calculations'!HE24,INDEX('Calculations'!HO24:II24,1,MATCH('Calculations'!$EF$2,'Calculations'!HO24:II24,0)-1)),""))))</x:f>
      </x:c>
      <x:c r="IK24" t="n">
        <x:f>IF(AND('Calculations'!EM24&lt;&gt;"",'Calculations'!$EF$2&lt;&gt;"All",'Calculations'!HF24='Calculations'!$EF$2,'Calculations'!HL24=0,'Calculations'!JD24&gt;0),MAX('Calculations'!$IK$12:IK23)+1,0)</x:f>
        <x:v>0</x:v>
      </x:c>
      <x:c r="JA24" t="n">
        <x:f>IF(OR(IFERROR(INDIRECT("'WCM Calibration Final'!$A$24")&lt;&gt;"",FALSE),IFERROR(INDIRECT("'WCM Calibration Final'!$B$24")&lt;&gt;"",FALSE),IFERROR(INDIRECT("'WCM Calibration Final'!$C$24")&lt;&gt;"",FALSE)),24,0)</x:f>
        <x:v>0</x:v>
      </x:c>
      <x:c r="JB24" t="n">
        <x:f>'Calculations'!JB23+IF('Calculations'!JA24&gt;0,1,0)</x:f>
        <x:v>0</x:v>
      </x:c>
      <x:c r="JC24" t="n">
        <x:f>IF(OR('Calculations'!HF24="",'Calculations'!HF24="!AMBIG"),0,IF('Dashboard'!$B$7="All",1,COUNTIFS('Calculations'!$HO$13:$HO$512,"="&amp;SUBSTITUTE(SUBSTITUTE(SUBSTITUTE('Calculations'!HF24,"~","~~"),"*","~*"),"?","~?"),'Calculations'!$HN$13:$HN$512,"="&amp;SUBSTITUTE(SUBSTITUTE(SUBSTITUTE('Dashboard'!$B$7,"~","~~"),"*","~*"),"?","~?"))+COUNTIFS('Calculations'!$HP$13:$HP$512,"="&amp;SUBSTITUTE(SUBSTITUTE(SUBSTITUTE('Calculations'!HF24,"~","~~"),"*","~*"),"?","~?"),'Calculations'!$HN$13:$HN$512,"="&amp;SUBSTITUTE(SUBSTITUTE(SUBSTITUTE('Dashboard'!$B$7,"~","~~"),"*","~*"),"?","~?"))+COUNTIFS('Calculations'!$HQ$13:$HQ$512,"="&amp;SUBSTITUTE(SUBSTITUTE(SUBSTITUTE('Calculations'!HF24,"~","~~"),"*","~*"),"?","~?"),'Calculations'!$HN$13:$HN$512,"="&amp;SUBSTITUTE(SUBSTITUTE(SUBSTITUTE('Dashboard'!$B$7,"~","~~"),"*","~*"),"?","~?"))+COUNTIFS('Calculations'!$HR$13:$HR$512,"="&amp;SUBSTITUTE(SUBSTITUTE(SUBSTITUTE('Calculations'!HF24,"~","~~"),"*","~*"),"?","~?"),'Calculations'!$HN$13:$HN$512,"="&amp;SUBSTITUTE(SUBSTITUTE(SUBSTITUTE('Dashboard'!$B$7,"~","~~"),"*","~*"),"?","~?"))+COUNTIFS('Calculations'!$HS$13:$HS$512,"="&amp;SUBSTITUTE(SUBSTITUTE(SUBSTITUTE('Calculations'!HF24,"~","~~"),"*","~*"),"?","~?"),'Calculations'!$HN$13:$HN$512,"="&amp;SUBSTITUTE(SUBSTITUTE(SUBSTITUTE('Dashboard'!$B$7,"~","~~"),"*","~*"),"?","~?"))+COUNTIFS('Calculations'!$HT$13:$HT$512,"="&amp;SUBSTITUTE(SUBSTITUTE(SUBSTITUTE('Calculations'!HF24,"~","~~"),"*","~*"),"?","~?"),'Calculations'!$HN$13:$HN$512,"="&amp;SUBSTITUTE(SUBSTITUTE(SUBSTITUTE('Dashboard'!$B$7,"~","~~"),"*","~*"),"?","~?"))+COUNTIFS('Calculations'!$HU$13:$HU$512,"="&amp;SUBSTITUTE(SUBSTITUTE(SUBSTITUTE('Calculations'!HF24,"~","~~"),"*","~*"),"?","~?"),'Calculations'!$HN$13:$HN$512,"="&amp;SUBSTITUTE(SUBSTITUTE(SUBSTITUTE('Dashboard'!$B$7,"~","~~"),"*","~*"),"?","~?"))+COUNTIFS('Calculations'!$HV$13:$HV$512,"="&amp;SUBSTITUTE(SUBSTITUTE(SUBSTITUTE('Calculations'!HF24,"~","~~"),"*","~*"),"?","~?"),'Calculations'!$HN$13:$HN$512,"="&amp;SUBSTITUTE(SUBSTITUTE(SUBSTITUTE('Dashboard'!$B$7,"~","~~"),"*","~*"),"?","~?"))+COUNTIFS('Calculations'!$HW$13:$HW$512,"="&amp;SUBSTITUTE(SUBSTITUTE(SUBSTITUTE('Calculations'!HF24,"~","~~"),"*","~*"),"?","~?"),'Calculations'!$HN$13:$HN$512,"="&amp;SUBSTITUTE(SUBSTITUTE(SUBSTITUTE('Dashboard'!$B$7,"~","~~"),"*","~*"),"?","~?"))+COUNTIFS('Calculations'!$HX$13:$HX$512,"="&amp;SUBSTITUTE(SUBSTITUTE(SUBSTITUTE('Calculations'!HF24,"~","~~"),"*","~*"),"?","~?"),'Calculations'!$HN$13:$HN$512,"="&amp;SUBSTITUTE(SUBSTITUTE(SUBSTITUTE('Dashboard'!$B$7,"~","~~"),"*","~*"),"?","~?"))+COUNTIFS('Calculations'!$HY$13:$HY$512,"="&amp;SUBSTITUTE(SUBSTITUTE(SUBSTITUTE('Calculations'!HF24,"~","~~"),"*","~*"),"?","~?"),'Calculations'!$HN$13:$HN$512,"="&amp;SUBSTITUTE(SUBSTITUTE(SUBSTITUTE('Dashboard'!$B$7,"~","~~"),"*","~*"),"?","~?"))+COUNTIFS('Calculations'!$HZ$13:$HZ$512,"="&amp;SUBSTITUTE(SUBSTITUTE(SUBSTITUTE('Calculations'!HF24,"~","~~"),"*","~*"),"?","~?"),'Calculations'!$HN$13:$HN$512,"="&amp;SUBSTITUTE(SUBSTITUTE(SUBSTITUTE('Dashboard'!$B$7,"~","~~"),"*","~*"),"?","~?"))+COUNTIFS('Calculations'!$IA$13:$IA$512,"="&amp;SUBSTITUTE(SUBSTITUTE(SUBSTITUTE('Calculations'!HF24,"~","~~"),"*","~*"),"?","~?"),'Calculations'!$HN$13:$HN$512,"="&amp;SUBSTITUTE(SUBSTITUTE(SUBSTITUTE('Dashboard'!$B$7,"~","~~"),"*","~*"),"?","~?"))+COUNTIFS('Calculations'!$IB$13:$IB$512,"="&amp;SUBSTITUTE(SUBSTITUTE(SUBSTITUTE('Calculations'!HF24,"~","~~"),"*","~*"),"?","~?"),'Calculations'!$HN$13:$HN$512,"="&amp;SUBSTITUTE(SUBSTITUTE(SUBSTITUTE('Dashboard'!$B$7,"~","~~"),"*","~*"),"?","~?"))+COUNTIFS('Calculations'!$IC$13:$IC$512,"="&amp;SUBSTITUTE(SUBSTITUTE(SUBSTITUTE('Calculations'!HF24,"~","~~"),"*","~*"),"?","~?"),'Calculations'!$HN$13:$HN$512,"="&amp;SUBSTITUTE(SUBSTITUTE(SUBSTITUTE('Dashboard'!$B$7,"~","~~"),"*","~*"),"?","~?"))+COUNTIFS('Calculations'!$ID$13:$ID$512,"="&amp;SUBSTITUTE(SUBSTITUTE(SUBSTITUTE('Calculations'!HF24,"~","~~"),"*","~*"),"?","~?"),'Calculations'!$HN$13:$HN$512,"="&amp;SUBSTITUTE(SUBSTITUTE(SUBSTITUTE('Dashboard'!$B$7,"~","~~"),"*","~*"),"?","~?"))+COUNTIFS('Calculations'!$IE$13:$IE$512,"="&amp;SUBSTITUTE(SUBSTITUTE(SUBSTITUTE('Calculations'!HF24,"~","~~"),"*","~*"),"?","~?"),'Calculations'!$HN$13:$HN$512,"="&amp;SUBSTITUTE(SUBSTITUTE(SUBSTITUTE('Dashboard'!$B$7,"~","~~"),"*","~*"),"?","~?"))+COUNTIFS('Calculations'!$IF$13:$IF$512,"="&amp;SUBSTITUTE(SUBSTITUTE(SUBSTITUTE('Calculations'!HF24,"~","~~"),"*","~*"),"?","~?"),'Calculations'!$HN$13:$HN$512,"="&amp;SUBSTITUTE(SUBSTITUTE(SUBSTITUTE('Dashboard'!$B$7,"~","~~"),"*","~*"),"?","~?"))+COUNTIFS('Calculations'!$IG$13:$IG$512,"="&amp;SUBSTITUTE(SUBSTITUTE(SUBSTITUTE('Calculations'!HF24,"~","~~"),"*","~*"),"?","~?"),'Calculations'!$HN$13:$HN$512,"="&amp;SUBSTITUTE(SUBSTITUTE(SUBSTITUTE('Dashboard'!$B$7,"~","~~"),"*","~*"),"?","~?"))+COUNTIFS('Calculations'!$IH$13:$IH$512,"="&amp;SUBSTITUTE(SUBSTITUTE(SUBSTITUTE('Calculations'!HF24,"~","~~"),"*","~*"),"?","~?"),'Calculations'!$HN$13:$HN$512,"="&amp;SUBSTITUTE(SUBSTITUTE(SUBSTITUTE('Dashboard'!$B$7,"~","~~"),"*","~*"),"?","~?"))))</x:f>
        <x:v>0</x:v>
      </x:c>
      <x:c r="JD24" t="n">
        <x:f>IF('Calculations'!EM24="",0,IF('Dashboard'!$B$7="All",1,IF('Calculations'!HN24='Dashboard'!$B$7,1,0)+IFERROR(INDEX('Calculations'!$JC$13:$JC$512,MATCH('Calculations'!HE24,'Calculations'!$HF$13:$HF$512,0)),0)))</x:f>
        <x:v>0</x:v>
      </x:c>
      <x:c r="JE24" t="n">
        <x:f>IF(AND('Calculations'!EM24&lt;&gt;"",'Calculations'!$JJ$2&lt;&gt;"All",'Calculations'!$JJ$2&lt;&gt;"",'Calculations'!HF24='Calculations'!$JJ$2,'Calculations'!HL24=0,'Calculations'!JD24&gt;0),MAX('Calculations'!$JE$12:JE23)+1,0)</x:f>
        <x:v>0</x:v>
      </x:c>
      <x:c r="JF24" t="str">
        <x:f>IF('Calculations'!EM24="","",IFERROR(IF(INDEX(INDIRECT("'WCM Calibration Final'!$G$1:$G$2000"),'Calculations'!$EM24)="","",TRIM(INDEX(INDIRECT("'WCM Calibration Final'!$G$1:$G$2000"),'Calculations'!$EM24)&amp;"")),""))</x:f>
      </x:c>
      <x:c r="JL24" t="str">
        <x:f>IFERROR(INDEX('Calculations'!$HE$13:$HE$512,MATCH(('Calculations'!$JJ$4-1)*6+3,'Calculations'!$JE$13:$JE$512,0)),"")</x:f>
      </x:c>
      <x:c r="JM24" t="str">
        <x:f>IF(OR('Calculations'!JL24="",'Calculations'!JL24="All"),IF(4=0,"Select a manager",IF(4=1,"All reporting branches","")),IFERROR(INDEX('Calculations'!$HG$13:$HG$512,MATCH('Calculations'!JL24,'Calculations'!$HE$13:$HE$512,0)),IFERROR(INDEX('Calculations'!$HJ$13:$HJ$512,MATCH('Calculations'!JL24,'Calculations'!$HF$13:$HF$512,0)),"Manager outside roster")))</x:f>
      </x:c>
      <x:c r="JN24" t="str">
        <x:f>IF(OR('Calculations'!JL24="",'Calculations'!JL24="All"),IF(4=1,"Choose Below direct to focus on one branch",""),IFERROR(INDEX('Calculations'!$JF$13:$JF$512,MATCH('Calculations'!JL24,'Calculations'!$HE$13:$HE$512,0)),"Outside this roster"))</x:f>
      </x:c>
      <x:c r="JO24" t="str">
        <x:f>IF(OR('Calculations'!JL24="",'Calculations'!JL24="All"),"",IFERROR("What: "&amp;IF(INDEX('Calculations'!$BO$13:$BO$512,MATCH('Calculations'!JL24,'Calculations'!$HE$13:$HE$512,0))="","Pending",INDEX('Calculations'!$BO$13:$BO$512,MATCH('Calculations'!JL24,'Calculations'!$HE$13:$HE$512,0)))&amp;"   How: "&amp;IF(INDEX('Calculations'!$BP$13:$BP$512,MATCH('Calculations'!JL24,'Calculations'!$HE$13:$HE$512,0))="","Pending",INDEX('Calculations'!$BP$13:$BP$512,MATCH('Calculations'!JL24,'Calculations'!$HE$13:$HE$512,0))),"What / How: not in roster"))</x:f>
      </x:c>
      <x:c r="JP24" t="str">
        <x:f>IF(OR('Calculations'!JL24="",'Calculations'!JL24="All"),"",COUNTIFS('Calculations'!$HF$13:$HF$512,'Calculations'!JL24,'Calculations'!$JD$13:$JD$512,"&gt;0")&amp;" direct reports in product scope")</x:f>
      </x:c>
      <x:c r="JQ24" t="n">
        <x:f>IF(OR('Calculations'!BM24=0,NOT('Calculations'!$AG$2),'Calculations'!$AG$8&gt;0),0,IF(OR('Dashboard'!$B$7="All",'Calculations'!HN24='Dashboard'!$B$7),IF('Calculations'!$JJ$2="All",1,IF(AND('Calculations'!HF24='Calculations'!$JJ$2,'Calculations'!HL24=0),1,0)),0))</x:f>
        <x:v>0</x:v>
      </x:c>
    </x:row>
    <x:row r="25" ht="21" customHeight="1">
      <x:c r="A25" s="75"/>
      <x:c r="B25" s="75"/>
      <x:c r="C25" s="75"/>
      <x:c r="D25" s="75"/>
      <x:c r="E25" s="75"/>
      <x:c r="F25" s="75"/>
      <x:c r="G25" s="75"/>
      <x:c r="H25" s="75"/>
      <x:c r="I25" s="75"/>
      <x:c r="J25" s="75"/>
      <x:c r="K25" s="75"/>
      <x:c r="L25" s="75"/>
      <x:c r="M25" s="75"/>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t="n">
        <x:f>IF('Calculations'!$EM25="",0,IF(OR(IFERROR(INDEX(INDIRECT("'WCM Calibration Final'!$A$1:$A$2000"),'Calculations'!$EM25)&lt;&gt;"",FALSE),IFERROR(INDEX(INDIRECT("'WCM Calibration Final'!$B$1:$B$2000"),'Calculations'!$EM25)&lt;&gt;"",FALSE),IFERROR(INDEX(INDIRECT("'WCM Calibration Final'!$C$1:$C$2000"),'Calculations'!$EM25)&lt;&gt;"",FALSE)),1,0))</x:f>
        <x:v>0</x:v>
      </x:c>
      <x:c r="BN25" s="4" t="n">
        <x:f>IF(AND('Calculations'!BM25=1,'Calculations'!$AG$2,'Calculations'!$EN25=1),1,0)</x:f>
        <x:v>0</x:v>
      </x:c>
      <x:c r="BO25" s="4" t="str">
        <x:f>IF('Calculations'!BM25=0,"",IFERROR(IF(AND(VALUE(INDEX(INDIRECT("'WCM Calibration Final'!$K$1:$K$2000"),'Calculations'!$EM25))&gt;=1,VALUE(INDEX(INDIRECT("'WCM Calibration Final'!$K$1:$K$2000"),'Calculations'!$EM25))&lt;=4,MOD(VALUE(INDEX(INDIRECT("'WCM Calibration Final'!$K$1:$K$2000"),'Calculations'!$EM25)),1)=0),VALUE(INDEX(INDIRECT("'WCM Calibration Final'!$K$1:$K$2000"),'Calculations'!$EM25)),""),""))</x:f>
      </x:c>
      <x:c r="BP25" s="4" t="str">
        <x:f>IF('Calculations'!BM25=0,"",IFERROR(IF(AND(VALUE(INDEX(INDIRECT("'WCM Calibration Final'!$L$1:$L$2000"),'Calculations'!$EM25))&gt;=1,VALUE(INDEX(INDIRECT("'WCM Calibration Final'!$L$1:$L$2000"),'Calculations'!$EM25))&lt;=4,MOD(VALUE(INDEX(INDIRECT("'WCM Calibration Final'!$L$1:$L$2000"),'Calculations'!$EM25)),1)=0),VALUE(INDEX(INDIRECT("'WCM Calibration Final'!$L$1:$L$2000"),'Calculations'!$EM25)),""),""))</x:f>
      </x:c>
      <x:c r="BQ25" s="4"/>
      <x:c r="BR25" s="4"/>
      <x:c r="BS25" s="4"/>
      <x:c r="BT25" s="4" t="n">
        <x:f>IF(AND('Calculations'!BM25=1,ISNUMBER('Calculations'!BO25),ISNUMBER('Calculations'!BP25)),1,0)</x:f>
        <x:v>0</x:v>
      </x:c>
      <x:c r="BU25" s="4" t="str">
        <x:f>IF('Calculations'!BM25=0,"",'Calculations'!$EO25)</x:f>
      </x:c>
      <x:c r="BV25" s="4" t="str">
        <x:f>IF('Calculations'!BM25=0,"",IFERROR(IF(OR(INDEX(INDIRECT("'WCM Calibration Final'!$H$1:$H$2000"),'Calculations'!$EM25)="MANAGING DIRECTOR",INDEX(INDIRECT("'WCM Calibration Final'!$H$1:$H$2000"),'Calculations'!$EM25)="DIRECTOR",INDEX(INDIRECT("'WCM Calibration Final'!$H$1:$H$2000"),'Calculations'!$EM25)="SENIOR VICE PRESIDENT",INDEX(INDIRECT("'WCM Calibration Final'!$H$1:$H$2000"),'Calculations'!$EM25)="VICE PRESIDENT",INDEX(INDIRECT("'WCM Calibration Final'!$H$1:$H$2000"),'Calculations'!$EM25)="ASSISTANT VICE PRESIDENT",INDEX(INDIRECT("'WCM Calibration Final'!$H$1:$H$2000"),'Calculations'!$EM25)="OFFICER"),UPPER(INDEX(INDIRECT("'WCM Calibration Final'!$H$1:$H$2000"),'Calculations'!$EM25)),"Other"),"Other"))</x:f>
      </x:c>
      <x:c r="BW25" s="4"/>
      <x:c r="BX25" s="4"/>
      <x:c r="BY25" s="4" t="n">
        <x:f>IF(AND('Calculations'!BM25=1,'Calculations'!BU25&lt;&gt;"",COUNTIF('Calculations'!$BU$12:BU25,'Calculations'!BU25)=1),MAX('Calculations'!$BY$11:BY24)+1,0)</x:f>
        <x:v>0</x:v>
      </x:c>
      <x:c r="BZ25" s="4" t="str">
        <x:f>IF('Dashboard'!$E$67="What",'Calculations'!BO25,'Calculations'!BP25)</x:f>
      </x:c>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t="str">
        <x:f>IF(14&gt;MAX('Calculations'!$HI$13:$HI$512),"",INDEX('Calculations'!$HN$13:$HN$512,MATCH(14,'Calculations'!$HI$13:$HI$512,0)))</x:f>
      </x:c>
      <x:c r="DB25" s="4" t="str">
        <x:f>IF(14&gt;MAX('Calculations'!$HH$13:$HH$512),"",INDEX('Calculations'!$HJ$13:$HJ$512,MATCH(14,'Calculations'!$HH$13:$HH$512,0)))</x:f>
      </x:c>
      <x:c r="DC25" s="4" t="str">
        <x:f>IF(ROW()-11&gt;MAX('Calculations'!$BY$13:$BY$512),"",INDEX('Calculations'!$BU$13:$BU$512,MATCH(ROW()-11,'Calculations'!$BY$13:$BY$512,0)))</x:f>
      </x:c>
      <x:c r="DD25" s="4" t="str">
        <x:f>IF(14&gt;MAX('Calculations'!$IK$13:$IK$512),"",INDEX('Calculations'!$HK$13:$HK$512,MATCH(14,'Calculations'!$IK$13:$IK$512,0)))</x:f>
      </x:c>
      <x:c r="DE25" s="4" t="str">
        <x:f>'Calculations'!DC25</x:f>
      </x:c>
      <x:c r="DF25" s="4" t="str">
        <x:f>IF('Calculations'!DE25="","",COUNTIFS('Calculations'!$BN$13:$BN$512,1,'Calculations'!$BU$13:$BU$512,'Calculations'!DE25))</x:f>
      </x:c>
      <x:c r="DG25" s="4" t="str">
        <x:f>IF('Calculations'!DE25="","",COUNTIFS('Calculations'!$BN$13:$BN$512,1,'Calculations'!$BU$13:$BU$512,'Calculations'!DE25,'Calculations'!$BT$13:$BT$512,1))</x:f>
      </x:c>
      <x:c r="DH25" s="4" t="str">
        <x:f>IF('Calculations'!DE25="","",'Calculations'!DF25-'Calculations'!DG25)</x:f>
      </x:c>
      <x:c r="DI25" s="4" t="str">
        <x:f>IF(OR('Calculations'!DE25="",'Calculations'!DF25=0),"",'Calculations'!DG25/'Calculations'!DF25)</x:f>
      </x:c>
      <x:c r="DJ25" s="4" t="str">
        <x:f>IF('Calculations'!DE25="","",COUNTIFS('Calculations'!$BN$13:$BN$512,1,'Calculations'!$BU$13:$BU$512,'Calculations'!DE25,'Calculations'!$BT$13:$BT$512,1,'Calculations'!$EE$13:$EE$512,"High"))</x:f>
      </x:c>
      <x:c r="DK25" s="4" t="str">
        <x:f>IF('Calculations'!DE25="","",COUNTIFS('Calculations'!$BN$13:$BN$512,1,'Calculations'!$BU$13:$BU$512,'Calculations'!DE25,'Calculations'!$BT$13:$BT$512,1,'Calculations'!$EE$13:$EE$512,"Strong"))</x:f>
      </x:c>
      <x:c r="DL25" s="4" t="str">
        <x:f>IF('Calculations'!DE25="","",COUNTIFS('Calculations'!$BN$13:$BN$512,1,'Calculations'!$BU$13:$BU$512,'Calculations'!DE25,'Calculations'!$BT$13:$BT$512,1,'Calculations'!$EE$13:$EE$512,"Solid"))</x:f>
      </x:c>
      <x:c r="DM25" s="4" t="str">
        <x:f>IF('Calculations'!DE25="","",COUNTIFS('Calculations'!$BN$13:$BN$512,1,'Calculations'!$BU$13:$BU$512,'Calculations'!DE25,'Calculations'!$BT$13:$BT$512,1,'Calculations'!$EE$13:$EE$512,"Low"))</x:f>
      </x:c>
      <x:c r="DN25" s="4" t="str">
        <x:f>IF('Calculations'!DE25="","",COUNTIFS('Calculations'!$BN$13:$BN$512,1,'Calculations'!$BU$13:$BU$512,'Calculations'!DE25,'Calculations'!$EP$13:$EP$512,1))</x:f>
      </x:c>
      <x:c r="DO25" s="4" t="str">
        <x:f>IF(OR('Calculations'!DE25="",'Calculations'!DG25=0),"",('Calculations'!DJ25+'Calculations'!DK25)/'Calculations'!DG25)</x:f>
      </x:c>
      <x:c r="DP25" s="4" t="n">
        <x:f>IF(AND('Calculations'!DE25&lt;&gt;"",'Calculations'!DF25&gt;0),COUNTIF('Calculations'!$DF$12:DF25,"&gt;0"),0)</x:f>
        <x:v>0</x:v>
      </x:c>
      <x:c r="DQ25" s="4" t="str">
        <x:f>IF(14&gt;MAX('Calculations'!$HH$13:$HH$512),"",INDEX('Calculations'!$HF$13:$HF$512,MATCH(14,'Calculations'!$HH$13:$HH$512,0)))</x:f>
      </x:c>
      <x:c r="DR25" s="4" t="str">
        <x:f>IF(14&gt;MAX('Calculations'!$IK$13:$IK$512),"",INDEX('Calculations'!$HE$13:$HE$512,MATCH(14,'Calculations'!$IK$13:$IK$512,0)))</x:f>
      </x:c>
      <x:c r="DS25" s="4"/>
      <x:c r="DT25" s="4"/>
      <x:c r="DU25" s="4"/>
      <x:c r="DV25" s="4"/>
      <x:c r="DW25" s="4"/>
      <x:c r="DX25" s="4"/>
      <x:c r="DY25" s="4"/>
      <x:c r="DZ25" s="4"/>
      <x:c r="EA25" s="4"/>
      <x:c r="EB25" s="4"/>
      <x:c r="EC25" s="4"/>
      <x:c r="ED25" s="4"/>
      <x:c r="EE25" s="4" t="str">
        <x:f>IF('Calculations'!BT25=0,"Not Rated",IF(OR('Calculations'!BO25&gt;=4,'Calculations'!BP25&gt;=4),"Low",IF('Calculations'!BO25+'Calculations'!BP25&lt;=3,"High",IF('Calculations'!BO25+'Calculations'!BP25&lt;=4,"Strong","Solid"))))</x:f>
        <x:v>Not Rated</x:v>
      </x:c>
      <x:c r="EF25" s="4"/>
      <x:c r="EG25" s="4"/>
      <x:c r="EH25" s="4"/>
      <x:c r="EI25" s="4"/>
      <x:c r="EJ25" s="4"/>
      <x:c r="EK25" s="4"/>
      <x:c r="EL25" s="4"/>
      <x:c r="EM25" s="4" t="str">
        <x:f>IF(13&gt;'Calculations'!$JB$2000,"",INDEX('Calculations'!$JA$12:$JA$2000,MATCH(13,'Calculations'!$JB$12:$JB$2000,0)))</x:f>
      </x:c>
      <x:c r="EN25" s="4" t="n">
        <x:f>IF(OR('Calculations'!EM25="",'Calculations'!$AG$8&gt;0,AND('Calculations'!$EF$2&lt;&gt;"All",'Calculations'!HE25='Calculations'!$EF$2),AND('Calculations'!$EF$3&lt;&gt;"All",'Calculations'!HE25='Calculations'!$EF$3)),0,IF(OR('Dashboard'!$B$7="All",'Calculations'!HN25='Dashboard'!$B$7),IF('Calculations'!$EF$2="All",1,IF('Calculations'!HL25&gt;0,0,IF(COUNTIF('Calculations'!HO25:II25,"="&amp;SUBSTITUTE(SUBSTITUTE(SUBSTITUTE('Calculations'!$EF$2,"~","~~"),"*","~*"),"?","~?"))=0,0,IF('Calculations'!$EF$3="All",1,IF(COUNTIF('Calculations'!HO25:II25,"="&amp;SUBSTITUTE(SUBSTITUTE(SUBSTITUTE('Calculations'!$EF$3,"~","~~"),"*","~*"),"?","~?"))&gt;0,1,0))))),0))</x:f>
        <x:v>0</x:v>
      </x:c>
      <x:c r="EO25" s="4" t="str">
        <x:f>IF('Calculations'!IJ25="","",IF('Calculations'!IJ25="!UNRESOLVED","Unresolved hierarchy",IFERROR(INDEX('Calculations'!$HK$13:$HK$512,MATCH('Calculations'!IJ25,'Calculations'!$HE$13:$HE$512,0)),IFERROR(INDEX('Calculations'!$HJ$13:$HJ$512,MATCH('Calculations'!IJ25,'Calculations'!$HF$13:$HF$512,0)),'Calculations'!IJ25))))</x:f>
      </x:c>
      <x:c r="EP25" s="4" t="n">
        <x:f>IF(AND('Calculations'!EM25&lt;&gt;"",'Calculations'!HF25='Calculations'!IJ25),1,0)</x:f>
        <x:v>0</x:v>
      </x:c>
      <x:c r="EQ25" s="4"/>
      <x:c r="ER25" s="4"/>
      <x:c r="ES25" s="4"/>
      <x:c r="ET25" s="4"/>
      <x:c r="EU25" s="4"/>
      <x:c r="EV25" s="4"/>
      <x:c r="EW25" s="4"/>
      <x:c r="EX25" s="4"/>
      <x:c r="EY25" s="4"/>
      <x:c r="EZ25" s="4"/>
      <x:c r="FA25" s="4"/>
      <x:c r="FB25" s="4"/>
      <x:c r="FC25" s="4"/>
      <x:c r="FD25" s="4"/>
      <x:c r="FE25" s="4"/>
      <x:c r="FF25" s="4"/>
      <x:c r="FG25" s="4"/>
      <x:c r="FH25" s="4"/>
      <x:c r="FI25" s="4"/>
      <x:c r="FJ25" s="4"/>
      <x:c r="FK25" s="4"/>
      <x:c r="FL25" s="4"/>
      <x:c r="FM25" s="4"/>
      <x:c r="FN25" s="4"/>
      <x:c r="FO25" s="4"/>
      <x:c r="GA25" s="71"/>
      <x:c r="GB25" s="71"/>
      <x:c r="GC25" s="71"/>
      <x:c r="GD25" s="71"/>
      <x:c r="GE25" s="71"/>
      <x:c r="GF25" s="71"/>
      <x:c r="GG25" s="71"/>
      <x:c r="GH25" s="71"/>
      <x:c r="GI25" s="71"/>
      <x:c r="GJ25" s="71"/>
      <x:c r="GK25" s="71"/>
      <x:c r="GL25" s="71"/>
      <x:c r="GM25" s="71"/>
      <x:c r="GN25" s="71"/>
      <x:c r="GO25" s="71"/>
      <x:c r="GP25" s="71"/>
      <x:c r="GQ25" s="71"/>
      <x:c r="GR25" s="71"/>
      <x:c r="GS25" s="71"/>
      <x:c r="GT25" s="71"/>
      <x:c r="GU25" s="71"/>
      <x:c r="GV25" s="71"/>
      <x:c r="GW25" s="71"/>
      <x:c r="GX25" s="71"/>
      <x:c r="GY25" s="71"/>
      <x:c r="GZ25" s="71"/>
      <x:c r="HA25" s="71"/>
      <x:c r="HB25" s="71"/>
      <x:c r="HC25" s="71"/>
      <x:c r="HD25" s="71"/>
      <x:c r="HE25" t="str">
        <x:f>IF('Calculations'!EM25="","",IF(IFERROR(IF(INDEX(INDIRECT("'WCM Calibration Final'!$A$1:$A$2000"),'Calculations'!$EM25)="","",TRIM(INDEX(INDIRECT("'WCM Calibration Final'!$A$1:$A$2000"),'Calculations'!$EM25)&amp;"")),"")&lt;&gt;"","G:"&amp;IFERROR(TEXT(1*INDEX(INDIRECT("'WCM Calibration Final'!$A$1:$A$2000"),'Calculations'!$EM25),"0"),UPPER(IFERROR(IF(INDEX(INDIRECT("'WCM Calibration Final'!$A$1:$A$2000"),'Calculations'!$EM25)="","",TRIM(INDEX(INDIRECT("'WCM Calibration Final'!$A$1:$A$2000"),'Calculations'!$EM25)&amp;"")),""))),IF(IFERROR(IF(INDEX(INDIRECT("'WCM Calibration Final'!$C$1:$C$2000"),'Calculations'!$EM25)="","",TRIM(INDEX(INDIRECT("'WCM Calibration Final'!$C$1:$C$2000"),'Calculations'!$EM25)&amp;"")),"")&lt;&gt;"","S:"&amp;UPPER(IFERROR(IF(INDEX(INDIRECT("'WCM Calibration Final'!$C$1:$C$2000"),'Calculations'!$EM25)="","",TRIM(INDEX(INDIRECT("'WCM Calibration Final'!$C$1:$C$2000"),'Calculations'!$EM25)&amp;"")),"")),"R:"&amp;'Calculations'!EM25)))</x:f>
      </x:c>
      <x:c r="HF25" t="str">
        <x:f>IF('Calculations'!EM25="","",IF(IFERROR(IF(INDEX(INDIRECT("'WCM Calibration Final'!$D$1:$D$2000"),'Calculations'!$EM25)="","",TRIM(INDEX(INDIRECT("'WCM Calibration Final'!$D$1:$D$2000"),'Calculations'!$EM25)&amp;"")),"")&lt;&gt;"","G:"&amp;IFERROR(TEXT(1*INDEX(INDIRECT("'WCM Calibration Final'!$D$1:$D$2000"),'Calculations'!$EM25),"0"),UPPER(IFERROR(IF(INDEX(INDIRECT("'WCM Calibration Final'!$D$1:$D$2000"),'Calculations'!$EM25)="","",TRIM(INDEX(INDIRECT("'WCM Calibration Final'!$D$1:$D$2000"),'Calculations'!$EM25)&amp;"")),""))),IF(IFERROR(IF(INDEX(INDIRECT("'WCM Calibration Final'!$E$1:$E$2000"),'Calculations'!$EM25)="","",TRIM(INDEX(INDIRECT("'WCM Calibration Final'!$E$1:$E$2000"),'Calculations'!$EM25)&amp;"")),"")="","",IF(COUNTIF('Calculations'!$HG$13:$HG$512,"="&amp;SUBSTITUTE(SUBSTITUTE(SUBSTITUTE(IFERROR(IF(INDEX(INDIRECT("'WCM Calibration Final'!$E$1:$E$2000"),'Calculations'!$EM25)="","",TRIM(INDEX(INDIRECT("'WCM Calibration Final'!$E$1:$E$2000"),'Calculations'!$EM25)&amp;"")),""),"~","~~"),"*","~*"),"?","~?"))=1,INDEX('Calculations'!$HE$13:$HE$512,MATCH(IFERROR(IF(INDEX(INDIRECT("'WCM Calibration Final'!$E$1:$E$2000"),'Calculations'!$EM25)="","",TRIM(INDEX(INDIRECT("'WCM Calibration Final'!$E$1:$E$2000"),'Calculations'!$EM25)&amp;"")),""),'Calculations'!$HG$13:$HG$512,0)),IF(COUNTIF('Calculations'!$HG$13:$HG$512,"="&amp;SUBSTITUTE(SUBSTITUTE(SUBSTITUTE(IFERROR(IF(INDEX(INDIRECT("'WCM Calibration Final'!$E$1:$E$2000"),'Calculations'!$EM25)="","",TRIM(INDEX(INDIRECT("'WCM Calibration Final'!$E$1:$E$2000"),'Calculations'!$EM25)&amp;"")),""),"~","~~"),"*","~*"),"?","~?"))&gt;1,"!AMBIG","X:"&amp;IFERROR(IF(INDEX(INDIRECT("'WCM Calibration Final'!$E$1:$E$2000"),'Calculations'!$EM25)="","",TRIM(INDEX(INDIRECT("'WCM Calibration Final'!$E$1:$E$2000"),'Calculations'!$EM25)&amp;"")),""))))))</x:f>
      </x:c>
      <x:c r="HG25" t="str">
        <x:f>IF('Calculations'!EM25="","",IFERROR(IF(INDEX(INDIRECT("'WCM Calibration Final'!$B$1:$B$2000"),'Calculations'!$EM25)="","",TRIM(INDEX(INDIRECT("'WCM Calibration Final'!$B$1:$B$2000"),'Calculations'!$EM25)&amp;"")),""))</x:f>
      </x:c>
      <x:c r="HH25" t="n">
        <x:f>IF(AND('Calculations'!JC25&gt;0,COUNTIF('Calculations'!$HF$12:HF25,"="&amp;SUBSTITUTE(SUBSTITUTE(SUBSTITUTE('Calculations'!HF25,"~","~~"),"*","~*"),"?","~?"))=1),MAX('Calculations'!$HH$12:HH24)+1,0)</x:f>
        <x:v>0</x:v>
      </x:c>
      <x:c r="HI25" t="n">
        <x:f>IF(AND('Calculations'!HN25&lt;&gt;"",COUNTIF('Calculations'!$HN$12:HN25,"="&amp;SUBSTITUTE(SUBSTITUTE(SUBSTITUTE('Calculations'!HN25,"~","~~"),"*","~*"),"?","~?"))=1),MAX('Calculations'!$HI$12:HI24)+1,0)</x:f>
        <x:v>0</x:v>
      </x:c>
      <x:c r="HJ25" t="str">
        <x:f>IF('Calculations'!HF25="","",IF(COUNTIF('Calculations'!$HE$13:$HE$512,"="&amp;SUBSTITUTE(SUBSTITUTE(SUBSTITUTE('Calculations'!HF25,"~","~~"),"*","~*"),"?","~?"))=1,INDEX('Calculations'!$HK$13:$HK$512,MATCH('Calculations'!HF25,'Calculations'!$HE$13:$HE$512,0)),IFERROR(IF(INDEX(INDIRECT("'WCM Calibration Final'!$E$1:$E$2000"),'Calculations'!$EM25)="","",TRIM(INDEX(INDIRECT("'WCM Calibration Final'!$E$1:$E$2000"),'Calculations'!$EM25)&amp;"")),"")&amp;" ["&amp;'Calculations'!HF25&amp;"]"))</x:f>
      </x:c>
      <x:c r="HK25" t="str">
        <x:f>IF('Calculations'!EM25="","",'Calculations'!HG25&amp;" ["&amp;'Calculations'!HE25&amp;"]")</x:f>
      </x:c>
      <x:c r="HL25" t="n">
        <x:f>IF('Calculations'!EM25="",0,IF(OR('Calculations'!II25&lt;&gt;"",COUNTIF('Calculations'!$HE$13:$HE$512,"="&amp;SUBSTITUTE(SUBSTITUTE(SUBSTITUTE('Calculations'!HE25,"~","~~"),"*","~*"),"?","~?"))&gt;1),1,0))</x:f>
        <x:v>0</x:v>
      </x:c>
      <x:c r="HM25" t="str">
        <x:f>IF('Calculations'!EM25="","",IF('Calculations'!HL25=1,"!UNRESOLVED",IF('Calculations'!IH25&lt;&gt;"",'Calculations'!IH25,IF('Calculations'!IG25&lt;&gt;"",'Calculations'!IG25,IF('Calculations'!IF25&lt;&gt;"",'Calculations'!IF25,IF('Calculations'!IE25&lt;&gt;"",'Calculations'!IE25,IF('Calculations'!ID25&lt;&gt;"",'Calculations'!ID25,IF('Calculations'!IC25&lt;&gt;"",'Calculations'!IC25,IF('Calculations'!IB25&lt;&gt;"",'Calculations'!IB25,IF('Calculations'!IA25&lt;&gt;"",'Calculations'!IA25,IF('Calculations'!HZ25&lt;&gt;"",'Calculations'!HZ25,IF('Calculations'!HY25&lt;&gt;"",'Calculations'!HY25,IF('Calculations'!HX25&lt;&gt;"",'Calculations'!HX25,IF('Calculations'!HW25&lt;&gt;"",'Calculations'!HW25,IF('Calculations'!HV25&lt;&gt;"",'Calculations'!HV25,IF('Calculations'!HU25&lt;&gt;"",'Calculations'!HU25,IF('Calculations'!HT25&lt;&gt;"",'Calculations'!HT25,IF('Calculations'!HS25&lt;&gt;"",'Calculations'!HS25,IF('Calculations'!HR25&lt;&gt;"",'Calculations'!HR25,IF('Calculations'!HQ25&lt;&gt;"",'Calculations'!HQ25,IF('Calculations'!HP25&lt;&gt;"",'Calculations'!HP25,IF('Calculations'!HO25&lt;&gt;"",'Calculations'!HO25,'Calculations'!HE25))))))))))))))))))))))</x:f>
      </x:c>
      <x:c r="HN25" t="str">
        <x:f>IF('Calculations'!EM25="","",IF(IFERROR(IF(INDEX(INDIRECT("'WCM Calibration Final'!$F$1:$F$2000"),'Calculations'!$EM25)="","",TRIM(INDEX(INDIRECT("'WCM Calibration Final'!$F$1:$F$2000"),'Calculations'!$EM25)&amp;"")),"")="","(Blank)",IFERROR(IF(INDEX(INDIRECT("'WCM Calibration Final'!$F$1:$F$2000"),'Calculations'!$EM25)="","",TRIM(INDEX(INDIRECT("'WCM Calibration Final'!$F$1:$F$2000"),'Calculations'!$EM25)&amp;"")),"")))</x:f>
      </x:c>
      <x:c r="HO25" t="str">
        <x:f>'Calculations'!HF25</x:f>
      </x:c>
      <x:c r="HP25" t="str">
        <x:f>IF('Calculations'!HO25="","",IF('Calculations'!HO25="!AMBIG","!AMBIG",IF(COUNTIF('Calculations'!$HE$13:$HE$512,"="&amp;SUBSTITUTE(SUBSTITUTE(SUBSTITUTE('Calculations'!HO25,"~","~~"),"*","~*"),"?","~?"))&gt;1,"!AMBIG",IFERROR(INDEX('Calculations'!$HF$13:$HF$512,MATCH('Calculations'!HO25,'Calculations'!$HE$13:$HE$512,0)),""))))</x:f>
      </x:c>
      <x:c r="HQ25" t="str">
        <x:f>IF('Calculations'!HP25="","",IF('Calculations'!HP25="!AMBIG","!AMBIG",IF(COUNTIF('Calculations'!$HE$13:$HE$512,"="&amp;SUBSTITUTE(SUBSTITUTE(SUBSTITUTE('Calculations'!HP25,"~","~~"),"*","~*"),"?","~?"))&gt;1,"!AMBIG",IFERROR(INDEX('Calculations'!$HF$13:$HF$512,MATCH('Calculations'!HP25,'Calculations'!$HE$13:$HE$512,0)),""))))</x:f>
      </x:c>
      <x:c r="HR25" t="str">
        <x:f>IF('Calculations'!HQ25="","",IF('Calculations'!HQ25="!AMBIG","!AMBIG",IF(COUNTIF('Calculations'!$HE$13:$HE$512,"="&amp;SUBSTITUTE(SUBSTITUTE(SUBSTITUTE('Calculations'!HQ25,"~","~~"),"*","~*"),"?","~?"))&gt;1,"!AMBIG",IFERROR(INDEX('Calculations'!$HF$13:$HF$512,MATCH('Calculations'!HQ25,'Calculations'!$HE$13:$HE$512,0)),""))))</x:f>
      </x:c>
      <x:c r="HS25" t="str">
        <x:f>IF('Calculations'!HR25="","",IF('Calculations'!HR25="!AMBIG","!AMBIG",IF(COUNTIF('Calculations'!$HE$13:$HE$512,"="&amp;SUBSTITUTE(SUBSTITUTE(SUBSTITUTE('Calculations'!HR25,"~","~~"),"*","~*"),"?","~?"))&gt;1,"!AMBIG",IFERROR(INDEX('Calculations'!$HF$13:$HF$512,MATCH('Calculations'!HR25,'Calculations'!$HE$13:$HE$512,0)),""))))</x:f>
      </x:c>
      <x:c r="HT25" t="str">
        <x:f>IF('Calculations'!HS25="","",IF('Calculations'!HS25="!AMBIG","!AMBIG",IF(COUNTIF('Calculations'!$HE$13:$HE$512,"="&amp;SUBSTITUTE(SUBSTITUTE(SUBSTITUTE('Calculations'!HS25,"~","~~"),"*","~*"),"?","~?"))&gt;1,"!AMBIG",IFERROR(INDEX('Calculations'!$HF$13:$HF$512,MATCH('Calculations'!HS25,'Calculations'!$HE$13:$HE$512,0)),""))))</x:f>
      </x:c>
      <x:c r="HU25" t="str">
        <x:f>IF('Calculations'!HT25="","",IF('Calculations'!HT25="!AMBIG","!AMBIG",IF(COUNTIF('Calculations'!$HE$13:$HE$512,"="&amp;SUBSTITUTE(SUBSTITUTE(SUBSTITUTE('Calculations'!HT25,"~","~~"),"*","~*"),"?","~?"))&gt;1,"!AMBIG",IFERROR(INDEX('Calculations'!$HF$13:$HF$512,MATCH('Calculations'!HT25,'Calculations'!$HE$13:$HE$512,0)),""))))</x:f>
      </x:c>
      <x:c r="HV25" t="str">
        <x:f>IF('Calculations'!HU25="","",IF('Calculations'!HU25="!AMBIG","!AMBIG",IF(COUNTIF('Calculations'!$HE$13:$HE$512,"="&amp;SUBSTITUTE(SUBSTITUTE(SUBSTITUTE('Calculations'!HU25,"~","~~"),"*","~*"),"?","~?"))&gt;1,"!AMBIG",IFERROR(INDEX('Calculations'!$HF$13:$HF$512,MATCH('Calculations'!HU25,'Calculations'!$HE$13:$HE$512,0)),""))))</x:f>
      </x:c>
      <x:c r="HW25" t="str">
        <x:f>IF('Calculations'!HV25="","",IF('Calculations'!HV25="!AMBIG","!AMBIG",IF(COUNTIF('Calculations'!$HE$13:$HE$512,"="&amp;SUBSTITUTE(SUBSTITUTE(SUBSTITUTE('Calculations'!HV25,"~","~~"),"*","~*"),"?","~?"))&gt;1,"!AMBIG",IFERROR(INDEX('Calculations'!$HF$13:$HF$512,MATCH('Calculations'!HV25,'Calculations'!$HE$13:$HE$512,0)),""))))</x:f>
      </x:c>
      <x:c r="HX25" t="str">
        <x:f>IF('Calculations'!HW25="","",IF('Calculations'!HW25="!AMBIG","!AMBIG",IF(COUNTIF('Calculations'!$HE$13:$HE$512,"="&amp;SUBSTITUTE(SUBSTITUTE(SUBSTITUTE('Calculations'!HW25,"~","~~"),"*","~*"),"?","~?"))&gt;1,"!AMBIG",IFERROR(INDEX('Calculations'!$HF$13:$HF$512,MATCH('Calculations'!HW25,'Calculations'!$HE$13:$HE$512,0)),""))))</x:f>
      </x:c>
      <x:c r="HY25" t="str">
        <x:f>IF('Calculations'!HX25="","",IF('Calculations'!HX25="!AMBIG","!AMBIG",IF(COUNTIF('Calculations'!$HE$13:$HE$512,"="&amp;SUBSTITUTE(SUBSTITUTE(SUBSTITUTE('Calculations'!HX25,"~","~~"),"*","~*"),"?","~?"))&gt;1,"!AMBIG",IFERROR(INDEX('Calculations'!$HF$13:$HF$512,MATCH('Calculations'!HX25,'Calculations'!$HE$13:$HE$512,0)),""))))</x:f>
      </x:c>
      <x:c r="HZ25" t="str">
        <x:f>IF('Calculations'!HY25="","",IF('Calculations'!HY25="!AMBIG","!AMBIG",IF(COUNTIF('Calculations'!$HE$13:$HE$512,"="&amp;SUBSTITUTE(SUBSTITUTE(SUBSTITUTE('Calculations'!HY25,"~","~~"),"*","~*"),"?","~?"))&gt;1,"!AMBIG",IFERROR(INDEX('Calculations'!$HF$13:$HF$512,MATCH('Calculations'!HY25,'Calculations'!$HE$13:$HE$512,0)),""))))</x:f>
      </x:c>
      <x:c r="IA25" t="str">
        <x:f>IF('Calculations'!HZ25="","",IF('Calculations'!HZ25="!AMBIG","!AMBIG",IF(COUNTIF('Calculations'!$HE$13:$HE$512,"="&amp;SUBSTITUTE(SUBSTITUTE(SUBSTITUTE('Calculations'!HZ25,"~","~~"),"*","~*"),"?","~?"))&gt;1,"!AMBIG",IFERROR(INDEX('Calculations'!$HF$13:$HF$512,MATCH('Calculations'!HZ25,'Calculations'!$HE$13:$HE$512,0)),""))))</x:f>
      </x:c>
      <x:c r="IB25" t="str">
        <x:f>IF('Calculations'!IA25="","",IF('Calculations'!IA25="!AMBIG","!AMBIG",IF(COUNTIF('Calculations'!$HE$13:$HE$512,"="&amp;SUBSTITUTE(SUBSTITUTE(SUBSTITUTE('Calculations'!IA25,"~","~~"),"*","~*"),"?","~?"))&gt;1,"!AMBIG",IFERROR(INDEX('Calculations'!$HF$13:$HF$512,MATCH('Calculations'!IA25,'Calculations'!$HE$13:$HE$512,0)),""))))</x:f>
      </x:c>
      <x:c r="IC25" t="str">
        <x:f>IF('Calculations'!IB25="","",IF('Calculations'!IB25="!AMBIG","!AMBIG",IF(COUNTIF('Calculations'!$HE$13:$HE$512,"="&amp;SUBSTITUTE(SUBSTITUTE(SUBSTITUTE('Calculations'!IB25,"~","~~"),"*","~*"),"?","~?"))&gt;1,"!AMBIG",IFERROR(INDEX('Calculations'!$HF$13:$HF$512,MATCH('Calculations'!IB25,'Calculations'!$HE$13:$HE$512,0)),""))))</x:f>
      </x:c>
      <x:c r="ID25" t="str">
        <x:f>IF('Calculations'!IC25="","",IF('Calculations'!IC25="!AMBIG","!AMBIG",IF(COUNTIF('Calculations'!$HE$13:$HE$512,"="&amp;SUBSTITUTE(SUBSTITUTE(SUBSTITUTE('Calculations'!IC25,"~","~~"),"*","~*"),"?","~?"))&gt;1,"!AMBIG",IFERROR(INDEX('Calculations'!$HF$13:$HF$512,MATCH('Calculations'!IC25,'Calculations'!$HE$13:$HE$512,0)),""))))</x:f>
      </x:c>
      <x:c r="IE25" t="str">
        <x:f>IF('Calculations'!ID25="","",IF('Calculations'!ID25="!AMBIG","!AMBIG",IF(COUNTIF('Calculations'!$HE$13:$HE$512,"="&amp;SUBSTITUTE(SUBSTITUTE(SUBSTITUTE('Calculations'!ID25,"~","~~"),"*","~*"),"?","~?"))&gt;1,"!AMBIG",IFERROR(INDEX('Calculations'!$HF$13:$HF$512,MATCH('Calculations'!ID25,'Calculations'!$HE$13:$HE$512,0)),""))))</x:f>
      </x:c>
      <x:c r="IF25" t="str">
        <x:f>IF('Calculations'!IE25="","",IF('Calculations'!IE25="!AMBIG","!AMBIG",IF(COUNTIF('Calculations'!$HE$13:$HE$512,"="&amp;SUBSTITUTE(SUBSTITUTE(SUBSTITUTE('Calculations'!IE25,"~","~~"),"*","~*"),"?","~?"))&gt;1,"!AMBIG",IFERROR(INDEX('Calculations'!$HF$13:$HF$512,MATCH('Calculations'!IE25,'Calculations'!$HE$13:$HE$512,0)),""))))</x:f>
      </x:c>
      <x:c r="IG25" t="str">
        <x:f>IF('Calculations'!IF25="","",IF('Calculations'!IF25="!AMBIG","!AMBIG",IF(COUNTIF('Calculations'!$HE$13:$HE$512,"="&amp;SUBSTITUTE(SUBSTITUTE(SUBSTITUTE('Calculations'!IF25,"~","~~"),"*","~*"),"?","~?"))&gt;1,"!AMBIG",IFERROR(INDEX('Calculations'!$HF$13:$HF$512,MATCH('Calculations'!IF25,'Calculations'!$HE$13:$HE$512,0)),""))))</x:f>
      </x:c>
      <x:c r="IH25" t="str">
        <x:f>IF('Calculations'!IG25="","",IF('Calculations'!IG25="!AMBIG","!AMBIG",IF(COUNTIF('Calculations'!$HE$13:$HE$512,"="&amp;SUBSTITUTE(SUBSTITUTE(SUBSTITUTE('Calculations'!IG25,"~","~~"),"*","~*"),"?","~?"))&gt;1,"!AMBIG",IFERROR(INDEX('Calculations'!$HF$13:$HF$512,MATCH('Calculations'!IG25,'Calculations'!$HE$13:$HE$512,0)),""))))</x:f>
      </x:c>
      <x:c r="II25" t="str">
        <x:f>IF('Calculations'!IH25="","",IF('Calculations'!IH25="!AMBIG","!AMBIG",IF(COUNTIF('Calculations'!$HE$13:$HE$512,"="&amp;SUBSTITUTE(SUBSTITUTE(SUBSTITUTE('Calculations'!IH25,"~","~~"),"*","~*"),"?","~?"))&gt;1,"!AMBIG",IFERROR(INDEX('Calculations'!$HF$13:$HF$512,MATCH('Calculations'!IH25,'Calculations'!$HE$13:$HE$512,0)),""))))</x:f>
      </x:c>
      <x:c r="IJ25" t="str">
        <x:f>IF('Calculations'!EM25="","",IF('Calculations'!$EF$2="All",'Calculations'!HM25,IF('Calculations'!HL25=1,"",IFERROR(IF(MATCH('Calculations'!$EF$2,'Calculations'!HO25:II25,0)=1,'Calculations'!HE25,INDEX('Calculations'!HO25:II25,1,MATCH('Calculations'!$EF$2,'Calculations'!HO25:II25,0)-1)),""))))</x:f>
      </x:c>
      <x:c r="IK25" t="n">
        <x:f>IF(AND('Calculations'!EM25&lt;&gt;"",'Calculations'!$EF$2&lt;&gt;"All",'Calculations'!HF25='Calculations'!$EF$2,'Calculations'!HL25=0,'Calculations'!JD25&gt;0),MAX('Calculations'!$IK$12:IK24)+1,0)</x:f>
        <x:v>0</x:v>
      </x:c>
      <x:c r="JA25" t="n">
        <x:f>IF(OR(IFERROR(INDIRECT("'WCM Calibration Final'!$A$25")&lt;&gt;"",FALSE),IFERROR(INDIRECT("'WCM Calibration Final'!$B$25")&lt;&gt;"",FALSE),IFERROR(INDIRECT("'WCM Calibration Final'!$C$25")&lt;&gt;"",FALSE)),25,0)</x:f>
        <x:v>0</x:v>
      </x:c>
      <x:c r="JB25" t="n">
        <x:f>'Calculations'!JB24+IF('Calculations'!JA25&gt;0,1,0)</x:f>
        <x:v>0</x:v>
      </x:c>
      <x:c r="JC25" t="n">
        <x:f>IF(OR('Calculations'!HF25="",'Calculations'!HF25="!AMBIG"),0,IF('Dashboard'!$B$7="All",1,COUNTIFS('Calculations'!$HO$13:$HO$512,"="&amp;SUBSTITUTE(SUBSTITUTE(SUBSTITUTE('Calculations'!HF25,"~","~~"),"*","~*"),"?","~?"),'Calculations'!$HN$13:$HN$512,"="&amp;SUBSTITUTE(SUBSTITUTE(SUBSTITUTE('Dashboard'!$B$7,"~","~~"),"*","~*"),"?","~?"))+COUNTIFS('Calculations'!$HP$13:$HP$512,"="&amp;SUBSTITUTE(SUBSTITUTE(SUBSTITUTE('Calculations'!HF25,"~","~~"),"*","~*"),"?","~?"),'Calculations'!$HN$13:$HN$512,"="&amp;SUBSTITUTE(SUBSTITUTE(SUBSTITUTE('Dashboard'!$B$7,"~","~~"),"*","~*"),"?","~?"))+COUNTIFS('Calculations'!$HQ$13:$HQ$512,"="&amp;SUBSTITUTE(SUBSTITUTE(SUBSTITUTE('Calculations'!HF25,"~","~~"),"*","~*"),"?","~?"),'Calculations'!$HN$13:$HN$512,"="&amp;SUBSTITUTE(SUBSTITUTE(SUBSTITUTE('Dashboard'!$B$7,"~","~~"),"*","~*"),"?","~?"))+COUNTIFS('Calculations'!$HR$13:$HR$512,"="&amp;SUBSTITUTE(SUBSTITUTE(SUBSTITUTE('Calculations'!HF25,"~","~~"),"*","~*"),"?","~?"),'Calculations'!$HN$13:$HN$512,"="&amp;SUBSTITUTE(SUBSTITUTE(SUBSTITUTE('Dashboard'!$B$7,"~","~~"),"*","~*"),"?","~?"))+COUNTIFS('Calculations'!$HS$13:$HS$512,"="&amp;SUBSTITUTE(SUBSTITUTE(SUBSTITUTE('Calculations'!HF25,"~","~~"),"*","~*"),"?","~?"),'Calculations'!$HN$13:$HN$512,"="&amp;SUBSTITUTE(SUBSTITUTE(SUBSTITUTE('Dashboard'!$B$7,"~","~~"),"*","~*"),"?","~?"))+COUNTIFS('Calculations'!$HT$13:$HT$512,"="&amp;SUBSTITUTE(SUBSTITUTE(SUBSTITUTE('Calculations'!HF25,"~","~~"),"*","~*"),"?","~?"),'Calculations'!$HN$13:$HN$512,"="&amp;SUBSTITUTE(SUBSTITUTE(SUBSTITUTE('Dashboard'!$B$7,"~","~~"),"*","~*"),"?","~?"))+COUNTIFS('Calculations'!$HU$13:$HU$512,"="&amp;SUBSTITUTE(SUBSTITUTE(SUBSTITUTE('Calculations'!HF25,"~","~~"),"*","~*"),"?","~?"),'Calculations'!$HN$13:$HN$512,"="&amp;SUBSTITUTE(SUBSTITUTE(SUBSTITUTE('Dashboard'!$B$7,"~","~~"),"*","~*"),"?","~?"))+COUNTIFS('Calculations'!$HV$13:$HV$512,"="&amp;SUBSTITUTE(SUBSTITUTE(SUBSTITUTE('Calculations'!HF25,"~","~~"),"*","~*"),"?","~?"),'Calculations'!$HN$13:$HN$512,"="&amp;SUBSTITUTE(SUBSTITUTE(SUBSTITUTE('Dashboard'!$B$7,"~","~~"),"*","~*"),"?","~?"))+COUNTIFS('Calculations'!$HW$13:$HW$512,"="&amp;SUBSTITUTE(SUBSTITUTE(SUBSTITUTE('Calculations'!HF25,"~","~~"),"*","~*"),"?","~?"),'Calculations'!$HN$13:$HN$512,"="&amp;SUBSTITUTE(SUBSTITUTE(SUBSTITUTE('Dashboard'!$B$7,"~","~~"),"*","~*"),"?","~?"))+COUNTIFS('Calculations'!$HX$13:$HX$512,"="&amp;SUBSTITUTE(SUBSTITUTE(SUBSTITUTE('Calculations'!HF25,"~","~~"),"*","~*"),"?","~?"),'Calculations'!$HN$13:$HN$512,"="&amp;SUBSTITUTE(SUBSTITUTE(SUBSTITUTE('Dashboard'!$B$7,"~","~~"),"*","~*"),"?","~?"))+COUNTIFS('Calculations'!$HY$13:$HY$512,"="&amp;SUBSTITUTE(SUBSTITUTE(SUBSTITUTE('Calculations'!HF25,"~","~~"),"*","~*"),"?","~?"),'Calculations'!$HN$13:$HN$512,"="&amp;SUBSTITUTE(SUBSTITUTE(SUBSTITUTE('Dashboard'!$B$7,"~","~~"),"*","~*"),"?","~?"))+COUNTIFS('Calculations'!$HZ$13:$HZ$512,"="&amp;SUBSTITUTE(SUBSTITUTE(SUBSTITUTE('Calculations'!HF25,"~","~~"),"*","~*"),"?","~?"),'Calculations'!$HN$13:$HN$512,"="&amp;SUBSTITUTE(SUBSTITUTE(SUBSTITUTE('Dashboard'!$B$7,"~","~~"),"*","~*"),"?","~?"))+COUNTIFS('Calculations'!$IA$13:$IA$512,"="&amp;SUBSTITUTE(SUBSTITUTE(SUBSTITUTE('Calculations'!HF25,"~","~~"),"*","~*"),"?","~?"),'Calculations'!$HN$13:$HN$512,"="&amp;SUBSTITUTE(SUBSTITUTE(SUBSTITUTE('Dashboard'!$B$7,"~","~~"),"*","~*"),"?","~?"))+COUNTIFS('Calculations'!$IB$13:$IB$512,"="&amp;SUBSTITUTE(SUBSTITUTE(SUBSTITUTE('Calculations'!HF25,"~","~~"),"*","~*"),"?","~?"),'Calculations'!$HN$13:$HN$512,"="&amp;SUBSTITUTE(SUBSTITUTE(SUBSTITUTE('Dashboard'!$B$7,"~","~~"),"*","~*"),"?","~?"))+COUNTIFS('Calculations'!$IC$13:$IC$512,"="&amp;SUBSTITUTE(SUBSTITUTE(SUBSTITUTE('Calculations'!HF25,"~","~~"),"*","~*"),"?","~?"),'Calculations'!$HN$13:$HN$512,"="&amp;SUBSTITUTE(SUBSTITUTE(SUBSTITUTE('Dashboard'!$B$7,"~","~~"),"*","~*"),"?","~?"))+COUNTIFS('Calculations'!$ID$13:$ID$512,"="&amp;SUBSTITUTE(SUBSTITUTE(SUBSTITUTE('Calculations'!HF25,"~","~~"),"*","~*"),"?","~?"),'Calculations'!$HN$13:$HN$512,"="&amp;SUBSTITUTE(SUBSTITUTE(SUBSTITUTE('Dashboard'!$B$7,"~","~~"),"*","~*"),"?","~?"))+COUNTIFS('Calculations'!$IE$13:$IE$512,"="&amp;SUBSTITUTE(SUBSTITUTE(SUBSTITUTE('Calculations'!HF25,"~","~~"),"*","~*"),"?","~?"),'Calculations'!$HN$13:$HN$512,"="&amp;SUBSTITUTE(SUBSTITUTE(SUBSTITUTE('Dashboard'!$B$7,"~","~~"),"*","~*"),"?","~?"))+COUNTIFS('Calculations'!$IF$13:$IF$512,"="&amp;SUBSTITUTE(SUBSTITUTE(SUBSTITUTE('Calculations'!HF25,"~","~~"),"*","~*"),"?","~?"),'Calculations'!$HN$13:$HN$512,"="&amp;SUBSTITUTE(SUBSTITUTE(SUBSTITUTE('Dashboard'!$B$7,"~","~~"),"*","~*"),"?","~?"))+COUNTIFS('Calculations'!$IG$13:$IG$512,"="&amp;SUBSTITUTE(SUBSTITUTE(SUBSTITUTE('Calculations'!HF25,"~","~~"),"*","~*"),"?","~?"),'Calculations'!$HN$13:$HN$512,"="&amp;SUBSTITUTE(SUBSTITUTE(SUBSTITUTE('Dashboard'!$B$7,"~","~~"),"*","~*"),"?","~?"))+COUNTIFS('Calculations'!$IH$13:$IH$512,"="&amp;SUBSTITUTE(SUBSTITUTE(SUBSTITUTE('Calculations'!HF25,"~","~~"),"*","~*"),"?","~?"),'Calculations'!$HN$13:$HN$512,"="&amp;SUBSTITUTE(SUBSTITUTE(SUBSTITUTE('Dashboard'!$B$7,"~","~~"),"*","~*"),"?","~?"))))</x:f>
        <x:v>0</x:v>
      </x:c>
      <x:c r="JD25" t="n">
        <x:f>IF('Calculations'!EM25="",0,IF('Dashboard'!$B$7="All",1,IF('Calculations'!HN25='Dashboard'!$B$7,1,0)+IFERROR(INDEX('Calculations'!$JC$13:$JC$512,MATCH('Calculations'!HE25,'Calculations'!$HF$13:$HF$512,0)),0)))</x:f>
        <x:v>0</x:v>
      </x:c>
      <x:c r="JE25" t="n">
        <x:f>IF(AND('Calculations'!EM25&lt;&gt;"",'Calculations'!$JJ$2&lt;&gt;"All",'Calculations'!$JJ$2&lt;&gt;"",'Calculations'!HF25='Calculations'!$JJ$2,'Calculations'!HL25=0,'Calculations'!JD25&gt;0),MAX('Calculations'!$JE$12:JE24)+1,0)</x:f>
        <x:v>0</x:v>
      </x:c>
      <x:c r="JF25" t="str">
        <x:f>IF('Calculations'!EM25="","",IFERROR(IF(INDEX(INDIRECT("'WCM Calibration Final'!$G$1:$G$2000"),'Calculations'!$EM25)="","",TRIM(INDEX(INDIRECT("'WCM Calibration Final'!$G$1:$G$2000"),'Calculations'!$EM25)&amp;"")),""))</x:f>
      </x:c>
      <x:c r="JL25" t="str">
        <x:f>IFERROR(INDEX('Calculations'!$HE$13:$HE$512,MATCH(('Calculations'!$JJ$4-1)*6+4,'Calculations'!$JE$13:$JE$512,0)),"")</x:f>
      </x:c>
      <x:c r="JM25" t="str">
        <x:f>IF(OR('Calculations'!JL25="",'Calculations'!JL25="All"),IF(5=0,"Select a manager",IF(5=1,"All reporting branches","")),IFERROR(INDEX('Calculations'!$HG$13:$HG$512,MATCH('Calculations'!JL25,'Calculations'!$HE$13:$HE$512,0)),IFERROR(INDEX('Calculations'!$HJ$13:$HJ$512,MATCH('Calculations'!JL25,'Calculations'!$HF$13:$HF$512,0)),"Manager outside roster")))</x:f>
      </x:c>
      <x:c r="JN25" t="str">
        <x:f>IF(OR('Calculations'!JL25="",'Calculations'!JL25="All"),IF(5=1,"Choose Below direct to focus on one branch",""),IFERROR(INDEX('Calculations'!$JF$13:$JF$512,MATCH('Calculations'!JL25,'Calculations'!$HE$13:$HE$512,0)),"Outside this roster"))</x:f>
      </x:c>
      <x:c r="JO25" t="str">
        <x:f>IF(OR('Calculations'!JL25="",'Calculations'!JL25="All"),"",IFERROR("What: "&amp;IF(INDEX('Calculations'!$BO$13:$BO$512,MATCH('Calculations'!JL25,'Calculations'!$HE$13:$HE$512,0))="","Pending",INDEX('Calculations'!$BO$13:$BO$512,MATCH('Calculations'!JL25,'Calculations'!$HE$13:$HE$512,0)))&amp;"   How: "&amp;IF(INDEX('Calculations'!$BP$13:$BP$512,MATCH('Calculations'!JL25,'Calculations'!$HE$13:$HE$512,0))="","Pending",INDEX('Calculations'!$BP$13:$BP$512,MATCH('Calculations'!JL25,'Calculations'!$HE$13:$HE$512,0))),"What / How: not in roster"))</x:f>
      </x:c>
      <x:c r="JP25" t="str">
        <x:f>IF(OR('Calculations'!JL25="",'Calculations'!JL25="All"),"",COUNTIFS('Calculations'!$HF$13:$HF$512,'Calculations'!JL25,'Calculations'!$JD$13:$JD$512,"&gt;0")&amp;" direct reports in product scope")</x:f>
      </x:c>
      <x:c r="JQ25" t="n">
        <x:f>IF(OR('Calculations'!BM25=0,NOT('Calculations'!$AG$2),'Calculations'!$AG$8&gt;0),0,IF(OR('Dashboard'!$B$7="All",'Calculations'!HN25='Dashboard'!$B$7),IF('Calculations'!$JJ$2="All",1,IF(AND('Calculations'!HF25='Calculations'!$JJ$2,'Calculations'!HL25=0),1,0)),0))</x:f>
        <x:v>0</x:v>
      </x:c>
    </x:row>
    <x:row r="26" ht="21" customHeight="1">
      <x:c r="A26" s="75"/>
      <x:c r="B26" s="75"/>
      <x:c r="C26" s="75"/>
      <x:c r="D26" s="75"/>
      <x:c r="E26" s="75"/>
      <x:c r="F26" s="75"/>
      <x:c r="G26" s="75"/>
      <x:c r="H26" s="75"/>
      <x:c r="I26" s="75"/>
      <x:c r="J26" s="75"/>
      <x:c r="K26" s="75"/>
      <x:c r="L26" s="75"/>
      <x:c r="M26" s="75"/>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t="n">
        <x:f>IF('Calculations'!$EM26="",0,IF(OR(IFERROR(INDEX(INDIRECT("'WCM Calibration Final'!$A$1:$A$2000"),'Calculations'!$EM26)&lt;&gt;"",FALSE),IFERROR(INDEX(INDIRECT("'WCM Calibration Final'!$B$1:$B$2000"),'Calculations'!$EM26)&lt;&gt;"",FALSE),IFERROR(INDEX(INDIRECT("'WCM Calibration Final'!$C$1:$C$2000"),'Calculations'!$EM26)&lt;&gt;"",FALSE)),1,0))</x:f>
        <x:v>0</x:v>
      </x:c>
      <x:c r="BN26" s="4" t="n">
        <x:f>IF(AND('Calculations'!BM26=1,'Calculations'!$AG$2,'Calculations'!$EN26=1),1,0)</x:f>
        <x:v>0</x:v>
      </x:c>
      <x:c r="BO26" s="4" t="str">
        <x:f>IF('Calculations'!BM26=0,"",IFERROR(IF(AND(VALUE(INDEX(INDIRECT("'WCM Calibration Final'!$K$1:$K$2000"),'Calculations'!$EM26))&gt;=1,VALUE(INDEX(INDIRECT("'WCM Calibration Final'!$K$1:$K$2000"),'Calculations'!$EM26))&lt;=4,MOD(VALUE(INDEX(INDIRECT("'WCM Calibration Final'!$K$1:$K$2000"),'Calculations'!$EM26)),1)=0),VALUE(INDEX(INDIRECT("'WCM Calibration Final'!$K$1:$K$2000"),'Calculations'!$EM26)),""),""))</x:f>
      </x:c>
      <x:c r="BP26" s="4" t="str">
        <x:f>IF('Calculations'!BM26=0,"",IFERROR(IF(AND(VALUE(INDEX(INDIRECT("'WCM Calibration Final'!$L$1:$L$2000"),'Calculations'!$EM26))&gt;=1,VALUE(INDEX(INDIRECT("'WCM Calibration Final'!$L$1:$L$2000"),'Calculations'!$EM26))&lt;=4,MOD(VALUE(INDEX(INDIRECT("'WCM Calibration Final'!$L$1:$L$2000"),'Calculations'!$EM26)),1)=0),VALUE(INDEX(INDIRECT("'WCM Calibration Final'!$L$1:$L$2000"),'Calculations'!$EM26)),""),""))</x:f>
      </x:c>
      <x:c r="BQ26" s="4"/>
      <x:c r="BR26" s="4"/>
      <x:c r="BS26" s="4"/>
      <x:c r="BT26" s="4" t="n">
        <x:f>IF(AND('Calculations'!BM26=1,ISNUMBER('Calculations'!BO26),ISNUMBER('Calculations'!BP26)),1,0)</x:f>
        <x:v>0</x:v>
      </x:c>
      <x:c r="BU26" s="4" t="str">
        <x:f>IF('Calculations'!BM26=0,"",'Calculations'!$EO26)</x:f>
      </x:c>
      <x:c r="BV26" s="4" t="str">
        <x:f>IF('Calculations'!BM26=0,"",IFERROR(IF(OR(INDEX(INDIRECT("'WCM Calibration Final'!$H$1:$H$2000"),'Calculations'!$EM26)="MANAGING DIRECTOR",INDEX(INDIRECT("'WCM Calibration Final'!$H$1:$H$2000"),'Calculations'!$EM26)="DIRECTOR",INDEX(INDIRECT("'WCM Calibration Final'!$H$1:$H$2000"),'Calculations'!$EM26)="SENIOR VICE PRESIDENT",INDEX(INDIRECT("'WCM Calibration Final'!$H$1:$H$2000"),'Calculations'!$EM26)="VICE PRESIDENT",INDEX(INDIRECT("'WCM Calibration Final'!$H$1:$H$2000"),'Calculations'!$EM26)="ASSISTANT VICE PRESIDENT",INDEX(INDIRECT("'WCM Calibration Final'!$H$1:$H$2000"),'Calculations'!$EM26)="OFFICER"),UPPER(INDEX(INDIRECT("'WCM Calibration Final'!$H$1:$H$2000"),'Calculations'!$EM26)),"Other"),"Other"))</x:f>
      </x:c>
      <x:c r="BW26" s="4"/>
      <x:c r="BX26" s="4"/>
      <x:c r="BY26" s="4" t="n">
        <x:f>IF(AND('Calculations'!BM26=1,'Calculations'!BU26&lt;&gt;"",COUNTIF('Calculations'!$BU$12:BU26,'Calculations'!BU26)=1),MAX('Calculations'!$BY$11:BY25)+1,0)</x:f>
        <x:v>0</x:v>
      </x:c>
      <x:c r="BZ26" s="4" t="str">
        <x:f>IF('Dashboard'!$E$67="What",'Calculations'!BO26,'Calculations'!BP26)</x:f>
      </x:c>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t="str">
        <x:f>IF(15&gt;MAX('Calculations'!$HI$13:$HI$512),"",INDEX('Calculations'!$HN$13:$HN$512,MATCH(15,'Calculations'!$HI$13:$HI$512,0)))</x:f>
      </x:c>
      <x:c r="DB26" s="4" t="str">
        <x:f>IF(15&gt;MAX('Calculations'!$HH$13:$HH$512),"",INDEX('Calculations'!$HJ$13:$HJ$512,MATCH(15,'Calculations'!$HH$13:$HH$512,0)))</x:f>
      </x:c>
      <x:c r="DC26" s="4" t="str">
        <x:f>IF(ROW()-11&gt;MAX('Calculations'!$BY$13:$BY$512),"",INDEX('Calculations'!$BU$13:$BU$512,MATCH(ROW()-11,'Calculations'!$BY$13:$BY$512,0)))</x:f>
      </x:c>
      <x:c r="DD26" s="4" t="str">
        <x:f>IF(15&gt;MAX('Calculations'!$IK$13:$IK$512),"",INDEX('Calculations'!$HK$13:$HK$512,MATCH(15,'Calculations'!$IK$13:$IK$512,0)))</x:f>
      </x:c>
      <x:c r="DE26" s="4" t="str">
        <x:f>'Calculations'!DC26</x:f>
      </x:c>
      <x:c r="DF26" s="4" t="str">
        <x:f>IF('Calculations'!DE26="","",COUNTIFS('Calculations'!$BN$13:$BN$512,1,'Calculations'!$BU$13:$BU$512,'Calculations'!DE26))</x:f>
      </x:c>
      <x:c r="DG26" s="4" t="str">
        <x:f>IF('Calculations'!DE26="","",COUNTIFS('Calculations'!$BN$13:$BN$512,1,'Calculations'!$BU$13:$BU$512,'Calculations'!DE26,'Calculations'!$BT$13:$BT$512,1))</x:f>
      </x:c>
      <x:c r="DH26" s="4" t="str">
        <x:f>IF('Calculations'!DE26="","",'Calculations'!DF26-'Calculations'!DG26)</x:f>
      </x:c>
      <x:c r="DI26" s="4" t="str">
        <x:f>IF(OR('Calculations'!DE26="",'Calculations'!DF26=0),"",'Calculations'!DG26/'Calculations'!DF26)</x:f>
      </x:c>
      <x:c r="DJ26" s="4" t="str">
        <x:f>IF('Calculations'!DE26="","",COUNTIFS('Calculations'!$BN$13:$BN$512,1,'Calculations'!$BU$13:$BU$512,'Calculations'!DE26,'Calculations'!$BT$13:$BT$512,1,'Calculations'!$EE$13:$EE$512,"High"))</x:f>
      </x:c>
      <x:c r="DK26" s="4" t="str">
        <x:f>IF('Calculations'!DE26="","",COUNTIFS('Calculations'!$BN$13:$BN$512,1,'Calculations'!$BU$13:$BU$512,'Calculations'!DE26,'Calculations'!$BT$13:$BT$512,1,'Calculations'!$EE$13:$EE$512,"Strong"))</x:f>
      </x:c>
      <x:c r="DL26" s="4" t="str">
        <x:f>IF('Calculations'!DE26="","",COUNTIFS('Calculations'!$BN$13:$BN$512,1,'Calculations'!$BU$13:$BU$512,'Calculations'!DE26,'Calculations'!$BT$13:$BT$512,1,'Calculations'!$EE$13:$EE$512,"Solid"))</x:f>
      </x:c>
      <x:c r="DM26" s="4" t="str">
        <x:f>IF('Calculations'!DE26="","",COUNTIFS('Calculations'!$BN$13:$BN$512,1,'Calculations'!$BU$13:$BU$512,'Calculations'!DE26,'Calculations'!$BT$13:$BT$512,1,'Calculations'!$EE$13:$EE$512,"Low"))</x:f>
      </x:c>
      <x:c r="DN26" s="4" t="str">
        <x:f>IF('Calculations'!DE26="","",COUNTIFS('Calculations'!$BN$13:$BN$512,1,'Calculations'!$BU$13:$BU$512,'Calculations'!DE26,'Calculations'!$EP$13:$EP$512,1))</x:f>
      </x:c>
      <x:c r="DO26" s="4" t="str">
        <x:f>IF(OR('Calculations'!DE26="",'Calculations'!DG26=0),"",('Calculations'!DJ26+'Calculations'!DK26)/'Calculations'!DG26)</x:f>
      </x:c>
      <x:c r="DP26" s="4" t="n">
        <x:f>IF(AND('Calculations'!DE26&lt;&gt;"",'Calculations'!DF26&gt;0),COUNTIF('Calculations'!$DF$12:DF26,"&gt;0"),0)</x:f>
        <x:v>0</x:v>
      </x:c>
      <x:c r="DQ26" s="4" t="str">
        <x:f>IF(15&gt;MAX('Calculations'!$HH$13:$HH$512),"",INDEX('Calculations'!$HF$13:$HF$512,MATCH(15,'Calculations'!$HH$13:$HH$512,0)))</x:f>
      </x:c>
      <x:c r="DR26" s="4" t="str">
        <x:f>IF(15&gt;MAX('Calculations'!$IK$13:$IK$512),"",INDEX('Calculations'!$HE$13:$HE$512,MATCH(15,'Calculations'!$IK$13:$IK$512,0)))</x:f>
      </x:c>
      <x:c r="DS26" s="4"/>
      <x:c r="DT26" s="4"/>
      <x:c r="DU26" s="4"/>
      <x:c r="DV26" s="4"/>
      <x:c r="DW26" s="4"/>
      <x:c r="DX26" s="4"/>
      <x:c r="DY26" s="4"/>
      <x:c r="DZ26" s="4"/>
      <x:c r="EA26" s="4"/>
      <x:c r="EB26" s="4"/>
      <x:c r="EC26" s="4"/>
      <x:c r="ED26" s="4"/>
      <x:c r="EE26" s="4" t="str">
        <x:f>IF('Calculations'!BT26=0,"Not Rated",IF(OR('Calculations'!BO26&gt;=4,'Calculations'!BP26&gt;=4),"Low",IF('Calculations'!BO26+'Calculations'!BP26&lt;=3,"High",IF('Calculations'!BO26+'Calculations'!BP26&lt;=4,"Strong","Solid"))))</x:f>
        <x:v>Not Rated</x:v>
      </x:c>
      <x:c r="EF26" s="4"/>
      <x:c r="EG26" s="4"/>
      <x:c r="EH26" s="4"/>
      <x:c r="EI26" s="4"/>
      <x:c r="EJ26" s="4"/>
      <x:c r="EK26" s="4"/>
      <x:c r="EL26" s="4"/>
      <x:c r="EM26" s="4" t="str">
        <x:f>IF(14&gt;'Calculations'!$JB$2000,"",INDEX('Calculations'!$JA$12:$JA$2000,MATCH(14,'Calculations'!$JB$12:$JB$2000,0)))</x:f>
      </x:c>
      <x:c r="EN26" s="4" t="n">
        <x:f>IF(OR('Calculations'!EM26="",'Calculations'!$AG$8&gt;0,AND('Calculations'!$EF$2&lt;&gt;"All",'Calculations'!HE26='Calculations'!$EF$2),AND('Calculations'!$EF$3&lt;&gt;"All",'Calculations'!HE26='Calculations'!$EF$3)),0,IF(OR('Dashboard'!$B$7="All",'Calculations'!HN26='Dashboard'!$B$7),IF('Calculations'!$EF$2="All",1,IF('Calculations'!HL26&gt;0,0,IF(COUNTIF('Calculations'!HO26:II26,"="&amp;SUBSTITUTE(SUBSTITUTE(SUBSTITUTE('Calculations'!$EF$2,"~","~~"),"*","~*"),"?","~?"))=0,0,IF('Calculations'!$EF$3="All",1,IF(COUNTIF('Calculations'!HO26:II26,"="&amp;SUBSTITUTE(SUBSTITUTE(SUBSTITUTE('Calculations'!$EF$3,"~","~~"),"*","~*"),"?","~?"))&gt;0,1,0))))),0))</x:f>
        <x:v>0</x:v>
      </x:c>
      <x:c r="EO26" s="4" t="str">
        <x:f>IF('Calculations'!IJ26="","",IF('Calculations'!IJ26="!UNRESOLVED","Unresolved hierarchy",IFERROR(INDEX('Calculations'!$HK$13:$HK$512,MATCH('Calculations'!IJ26,'Calculations'!$HE$13:$HE$512,0)),IFERROR(INDEX('Calculations'!$HJ$13:$HJ$512,MATCH('Calculations'!IJ26,'Calculations'!$HF$13:$HF$512,0)),'Calculations'!IJ26))))</x:f>
      </x:c>
      <x:c r="EP26" s="4" t="n">
        <x:f>IF(AND('Calculations'!EM26&lt;&gt;"",'Calculations'!HF26='Calculations'!IJ26),1,0)</x:f>
        <x:v>0</x:v>
      </x:c>
      <x:c r="EQ26" s="4"/>
      <x:c r="ER26" s="4"/>
      <x:c r="ES26" s="4"/>
      <x:c r="ET26" s="4"/>
      <x:c r="EU26" s="4"/>
      <x:c r="EV26" s="4"/>
      <x:c r="EW26" s="4"/>
      <x:c r="EX26" s="4"/>
      <x:c r="EY26" s="4"/>
      <x:c r="EZ26" s="4"/>
      <x:c r="FA26" s="4"/>
      <x:c r="FB26" s="4"/>
      <x:c r="FC26" s="4"/>
      <x:c r="FD26" s="4"/>
      <x:c r="FE26" s="4"/>
      <x:c r="FF26" s="4"/>
      <x:c r="FG26" s="4"/>
      <x:c r="FH26" s="4"/>
      <x:c r="FI26" s="4"/>
      <x:c r="FJ26" s="4"/>
      <x:c r="FK26" s="4"/>
      <x:c r="FL26" s="4"/>
      <x:c r="FM26" s="4"/>
      <x:c r="FN26" s="4"/>
      <x:c r="FO26" s="4"/>
      <x:c r="GA26" s="71"/>
      <x:c r="GB26" s="71"/>
      <x:c r="GC26" s="71"/>
      <x:c r="GD26" s="71"/>
      <x:c r="GE26" s="71"/>
      <x:c r="GF26" s="71"/>
      <x:c r="GG26" s="71"/>
      <x:c r="GH26" s="71"/>
      <x:c r="GI26" s="71"/>
      <x:c r="GJ26" s="71"/>
      <x:c r="GK26" s="71"/>
      <x:c r="GL26" s="71"/>
      <x:c r="GM26" s="71"/>
      <x:c r="GN26" s="71"/>
      <x:c r="GO26" s="71"/>
      <x:c r="GP26" s="71"/>
      <x:c r="GQ26" s="71"/>
      <x:c r="GR26" s="71"/>
      <x:c r="GS26" s="71"/>
      <x:c r="GT26" s="71"/>
      <x:c r="GU26" s="71"/>
      <x:c r="GV26" s="71"/>
      <x:c r="GW26" s="71"/>
      <x:c r="GX26" s="71"/>
      <x:c r="GY26" s="71"/>
      <x:c r="GZ26" s="71"/>
      <x:c r="HA26" s="71"/>
      <x:c r="HB26" s="71"/>
      <x:c r="HC26" s="71"/>
      <x:c r="HD26" s="71"/>
      <x:c r="HE26" t="str">
        <x:f>IF('Calculations'!EM26="","",IF(IFERROR(IF(INDEX(INDIRECT("'WCM Calibration Final'!$A$1:$A$2000"),'Calculations'!$EM26)="","",TRIM(INDEX(INDIRECT("'WCM Calibration Final'!$A$1:$A$2000"),'Calculations'!$EM26)&amp;"")),"")&lt;&gt;"","G:"&amp;IFERROR(TEXT(1*INDEX(INDIRECT("'WCM Calibration Final'!$A$1:$A$2000"),'Calculations'!$EM26),"0"),UPPER(IFERROR(IF(INDEX(INDIRECT("'WCM Calibration Final'!$A$1:$A$2000"),'Calculations'!$EM26)="","",TRIM(INDEX(INDIRECT("'WCM Calibration Final'!$A$1:$A$2000"),'Calculations'!$EM26)&amp;"")),""))),IF(IFERROR(IF(INDEX(INDIRECT("'WCM Calibration Final'!$C$1:$C$2000"),'Calculations'!$EM26)="","",TRIM(INDEX(INDIRECT("'WCM Calibration Final'!$C$1:$C$2000"),'Calculations'!$EM26)&amp;"")),"")&lt;&gt;"","S:"&amp;UPPER(IFERROR(IF(INDEX(INDIRECT("'WCM Calibration Final'!$C$1:$C$2000"),'Calculations'!$EM26)="","",TRIM(INDEX(INDIRECT("'WCM Calibration Final'!$C$1:$C$2000"),'Calculations'!$EM26)&amp;"")),"")),"R:"&amp;'Calculations'!EM26)))</x:f>
      </x:c>
      <x:c r="HF26" t="str">
        <x:f>IF('Calculations'!EM26="","",IF(IFERROR(IF(INDEX(INDIRECT("'WCM Calibration Final'!$D$1:$D$2000"),'Calculations'!$EM26)="","",TRIM(INDEX(INDIRECT("'WCM Calibration Final'!$D$1:$D$2000"),'Calculations'!$EM26)&amp;"")),"")&lt;&gt;"","G:"&amp;IFERROR(TEXT(1*INDEX(INDIRECT("'WCM Calibration Final'!$D$1:$D$2000"),'Calculations'!$EM26),"0"),UPPER(IFERROR(IF(INDEX(INDIRECT("'WCM Calibration Final'!$D$1:$D$2000"),'Calculations'!$EM26)="","",TRIM(INDEX(INDIRECT("'WCM Calibration Final'!$D$1:$D$2000"),'Calculations'!$EM26)&amp;"")),""))),IF(IFERROR(IF(INDEX(INDIRECT("'WCM Calibration Final'!$E$1:$E$2000"),'Calculations'!$EM26)="","",TRIM(INDEX(INDIRECT("'WCM Calibration Final'!$E$1:$E$2000"),'Calculations'!$EM26)&amp;"")),"")="","",IF(COUNTIF('Calculations'!$HG$13:$HG$512,"="&amp;SUBSTITUTE(SUBSTITUTE(SUBSTITUTE(IFERROR(IF(INDEX(INDIRECT("'WCM Calibration Final'!$E$1:$E$2000"),'Calculations'!$EM26)="","",TRIM(INDEX(INDIRECT("'WCM Calibration Final'!$E$1:$E$2000"),'Calculations'!$EM26)&amp;"")),""),"~","~~"),"*","~*"),"?","~?"))=1,INDEX('Calculations'!$HE$13:$HE$512,MATCH(IFERROR(IF(INDEX(INDIRECT("'WCM Calibration Final'!$E$1:$E$2000"),'Calculations'!$EM26)="","",TRIM(INDEX(INDIRECT("'WCM Calibration Final'!$E$1:$E$2000"),'Calculations'!$EM26)&amp;"")),""),'Calculations'!$HG$13:$HG$512,0)),IF(COUNTIF('Calculations'!$HG$13:$HG$512,"="&amp;SUBSTITUTE(SUBSTITUTE(SUBSTITUTE(IFERROR(IF(INDEX(INDIRECT("'WCM Calibration Final'!$E$1:$E$2000"),'Calculations'!$EM26)="","",TRIM(INDEX(INDIRECT("'WCM Calibration Final'!$E$1:$E$2000"),'Calculations'!$EM26)&amp;"")),""),"~","~~"),"*","~*"),"?","~?"))&gt;1,"!AMBIG","X:"&amp;IFERROR(IF(INDEX(INDIRECT("'WCM Calibration Final'!$E$1:$E$2000"),'Calculations'!$EM26)="","",TRIM(INDEX(INDIRECT("'WCM Calibration Final'!$E$1:$E$2000"),'Calculations'!$EM26)&amp;"")),""))))))</x:f>
      </x:c>
      <x:c r="HG26" t="str">
        <x:f>IF('Calculations'!EM26="","",IFERROR(IF(INDEX(INDIRECT("'WCM Calibration Final'!$B$1:$B$2000"),'Calculations'!$EM26)="","",TRIM(INDEX(INDIRECT("'WCM Calibration Final'!$B$1:$B$2000"),'Calculations'!$EM26)&amp;"")),""))</x:f>
      </x:c>
      <x:c r="HH26" t="n">
        <x:f>IF(AND('Calculations'!JC26&gt;0,COUNTIF('Calculations'!$HF$12:HF26,"="&amp;SUBSTITUTE(SUBSTITUTE(SUBSTITUTE('Calculations'!HF26,"~","~~"),"*","~*"),"?","~?"))=1),MAX('Calculations'!$HH$12:HH25)+1,0)</x:f>
        <x:v>0</x:v>
      </x:c>
      <x:c r="HI26" t="n">
        <x:f>IF(AND('Calculations'!HN26&lt;&gt;"",COUNTIF('Calculations'!$HN$12:HN26,"="&amp;SUBSTITUTE(SUBSTITUTE(SUBSTITUTE('Calculations'!HN26,"~","~~"),"*","~*"),"?","~?"))=1),MAX('Calculations'!$HI$12:HI25)+1,0)</x:f>
        <x:v>0</x:v>
      </x:c>
      <x:c r="HJ26" t="str">
        <x:f>IF('Calculations'!HF26="","",IF(COUNTIF('Calculations'!$HE$13:$HE$512,"="&amp;SUBSTITUTE(SUBSTITUTE(SUBSTITUTE('Calculations'!HF26,"~","~~"),"*","~*"),"?","~?"))=1,INDEX('Calculations'!$HK$13:$HK$512,MATCH('Calculations'!HF26,'Calculations'!$HE$13:$HE$512,0)),IFERROR(IF(INDEX(INDIRECT("'WCM Calibration Final'!$E$1:$E$2000"),'Calculations'!$EM26)="","",TRIM(INDEX(INDIRECT("'WCM Calibration Final'!$E$1:$E$2000"),'Calculations'!$EM26)&amp;"")),"")&amp;" ["&amp;'Calculations'!HF26&amp;"]"))</x:f>
      </x:c>
      <x:c r="HK26" t="str">
        <x:f>IF('Calculations'!EM26="","",'Calculations'!HG26&amp;" ["&amp;'Calculations'!HE26&amp;"]")</x:f>
      </x:c>
      <x:c r="HL26" t="n">
        <x:f>IF('Calculations'!EM26="",0,IF(OR('Calculations'!II26&lt;&gt;"",COUNTIF('Calculations'!$HE$13:$HE$512,"="&amp;SUBSTITUTE(SUBSTITUTE(SUBSTITUTE('Calculations'!HE26,"~","~~"),"*","~*"),"?","~?"))&gt;1),1,0))</x:f>
        <x:v>0</x:v>
      </x:c>
      <x:c r="HM26" t="str">
        <x:f>IF('Calculations'!EM26="","",IF('Calculations'!HL26=1,"!UNRESOLVED",IF('Calculations'!IH26&lt;&gt;"",'Calculations'!IH26,IF('Calculations'!IG26&lt;&gt;"",'Calculations'!IG26,IF('Calculations'!IF26&lt;&gt;"",'Calculations'!IF26,IF('Calculations'!IE26&lt;&gt;"",'Calculations'!IE26,IF('Calculations'!ID26&lt;&gt;"",'Calculations'!ID26,IF('Calculations'!IC26&lt;&gt;"",'Calculations'!IC26,IF('Calculations'!IB26&lt;&gt;"",'Calculations'!IB26,IF('Calculations'!IA26&lt;&gt;"",'Calculations'!IA26,IF('Calculations'!HZ26&lt;&gt;"",'Calculations'!HZ26,IF('Calculations'!HY26&lt;&gt;"",'Calculations'!HY26,IF('Calculations'!HX26&lt;&gt;"",'Calculations'!HX26,IF('Calculations'!HW26&lt;&gt;"",'Calculations'!HW26,IF('Calculations'!HV26&lt;&gt;"",'Calculations'!HV26,IF('Calculations'!HU26&lt;&gt;"",'Calculations'!HU26,IF('Calculations'!HT26&lt;&gt;"",'Calculations'!HT26,IF('Calculations'!HS26&lt;&gt;"",'Calculations'!HS26,IF('Calculations'!HR26&lt;&gt;"",'Calculations'!HR26,IF('Calculations'!HQ26&lt;&gt;"",'Calculations'!HQ26,IF('Calculations'!HP26&lt;&gt;"",'Calculations'!HP26,IF('Calculations'!HO26&lt;&gt;"",'Calculations'!HO26,'Calculations'!HE26))))))))))))))))))))))</x:f>
      </x:c>
      <x:c r="HN26" t="str">
        <x:f>IF('Calculations'!EM26="","",IF(IFERROR(IF(INDEX(INDIRECT("'WCM Calibration Final'!$F$1:$F$2000"),'Calculations'!$EM26)="","",TRIM(INDEX(INDIRECT("'WCM Calibration Final'!$F$1:$F$2000"),'Calculations'!$EM26)&amp;"")),"")="","(Blank)",IFERROR(IF(INDEX(INDIRECT("'WCM Calibration Final'!$F$1:$F$2000"),'Calculations'!$EM26)="","",TRIM(INDEX(INDIRECT("'WCM Calibration Final'!$F$1:$F$2000"),'Calculations'!$EM26)&amp;"")),"")))</x:f>
      </x:c>
      <x:c r="HO26" t="str">
        <x:f>'Calculations'!HF26</x:f>
      </x:c>
      <x:c r="HP26" t="str">
        <x:f>IF('Calculations'!HO26="","",IF('Calculations'!HO26="!AMBIG","!AMBIG",IF(COUNTIF('Calculations'!$HE$13:$HE$512,"="&amp;SUBSTITUTE(SUBSTITUTE(SUBSTITUTE('Calculations'!HO26,"~","~~"),"*","~*"),"?","~?"))&gt;1,"!AMBIG",IFERROR(INDEX('Calculations'!$HF$13:$HF$512,MATCH('Calculations'!HO26,'Calculations'!$HE$13:$HE$512,0)),""))))</x:f>
      </x:c>
      <x:c r="HQ26" t="str">
        <x:f>IF('Calculations'!HP26="","",IF('Calculations'!HP26="!AMBIG","!AMBIG",IF(COUNTIF('Calculations'!$HE$13:$HE$512,"="&amp;SUBSTITUTE(SUBSTITUTE(SUBSTITUTE('Calculations'!HP26,"~","~~"),"*","~*"),"?","~?"))&gt;1,"!AMBIG",IFERROR(INDEX('Calculations'!$HF$13:$HF$512,MATCH('Calculations'!HP26,'Calculations'!$HE$13:$HE$512,0)),""))))</x:f>
      </x:c>
      <x:c r="HR26" t="str">
        <x:f>IF('Calculations'!HQ26="","",IF('Calculations'!HQ26="!AMBIG","!AMBIG",IF(COUNTIF('Calculations'!$HE$13:$HE$512,"="&amp;SUBSTITUTE(SUBSTITUTE(SUBSTITUTE('Calculations'!HQ26,"~","~~"),"*","~*"),"?","~?"))&gt;1,"!AMBIG",IFERROR(INDEX('Calculations'!$HF$13:$HF$512,MATCH('Calculations'!HQ26,'Calculations'!$HE$13:$HE$512,0)),""))))</x:f>
      </x:c>
      <x:c r="HS26" t="str">
        <x:f>IF('Calculations'!HR26="","",IF('Calculations'!HR26="!AMBIG","!AMBIG",IF(COUNTIF('Calculations'!$HE$13:$HE$512,"="&amp;SUBSTITUTE(SUBSTITUTE(SUBSTITUTE('Calculations'!HR26,"~","~~"),"*","~*"),"?","~?"))&gt;1,"!AMBIG",IFERROR(INDEX('Calculations'!$HF$13:$HF$512,MATCH('Calculations'!HR26,'Calculations'!$HE$13:$HE$512,0)),""))))</x:f>
      </x:c>
      <x:c r="HT26" t="str">
        <x:f>IF('Calculations'!HS26="","",IF('Calculations'!HS26="!AMBIG","!AMBIG",IF(COUNTIF('Calculations'!$HE$13:$HE$512,"="&amp;SUBSTITUTE(SUBSTITUTE(SUBSTITUTE('Calculations'!HS26,"~","~~"),"*","~*"),"?","~?"))&gt;1,"!AMBIG",IFERROR(INDEX('Calculations'!$HF$13:$HF$512,MATCH('Calculations'!HS26,'Calculations'!$HE$13:$HE$512,0)),""))))</x:f>
      </x:c>
      <x:c r="HU26" t="str">
        <x:f>IF('Calculations'!HT26="","",IF('Calculations'!HT26="!AMBIG","!AMBIG",IF(COUNTIF('Calculations'!$HE$13:$HE$512,"="&amp;SUBSTITUTE(SUBSTITUTE(SUBSTITUTE('Calculations'!HT26,"~","~~"),"*","~*"),"?","~?"))&gt;1,"!AMBIG",IFERROR(INDEX('Calculations'!$HF$13:$HF$512,MATCH('Calculations'!HT26,'Calculations'!$HE$13:$HE$512,0)),""))))</x:f>
      </x:c>
      <x:c r="HV26" t="str">
        <x:f>IF('Calculations'!HU26="","",IF('Calculations'!HU26="!AMBIG","!AMBIG",IF(COUNTIF('Calculations'!$HE$13:$HE$512,"="&amp;SUBSTITUTE(SUBSTITUTE(SUBSTITUTE('Calculations'!HU26,"~","~~"),"*","~*"),"?","~?"))&gt;1,"!AMBIG",IFERROR(INDEX('Calculations'!$HF$13:$HF$512,MATCH('Calculations'!HU26,'Calculations'!$HE$13:$HE$512,0)),""))))</x:f>
      </x:c>
      <x:c r="HW26" t="str">
        <x:f>IF('Calculations'!HV26="","",IF('Calculations'!HV26="!AMBIG","!AMBIG",IF(COUNTIF('Calculations'!$HE$13:$HE$512,"="&amp;SUBSTITUTE(SUBSTITUTE(SUBSTITUTE('Calculations'!HV26,"~","~~"),"*","~*"),"?","~?"))&gt;1,"!AMBIG",IFERROR(INDEX('Calculations'!$HF$13:$HF$512,MATCH('Calculations'!HV26,'Calculations'!$HE$13:$HE$512,0)),""))))</x:f>
      </x:c>
      <x:c r="HX26" t="str">
        <x:f>IF('Calculations'!HW26="","",IF('Calculations'!HW26="!AMBIG","!AMBIG",IF(COUNTIF('Calculations'!$HE$13:$HE$512,"="&amp;SUBSTITUTE(SUBSTITUTE(SUBSTITUTE('Calculations'!HW26,"~","~~"),"*","~*"),"?","~?"))&gt;1,"!AMBIG",IFERROR(INDEX('Calculations'!$HF$13:$HF$512,MATCH('Calculations'!HW26,'Calculations'!$HE$13:$HE$512,0)),""))))</x:f>
      </x:c>
      <x:c r="HY26" t="str">
        <x:f>IF('Calculations'!HX26="","",IF('Calculations'!HX26="!AMBIG","!AMBIG",IF(COUNTIF('Calculations'!$HE$13:$HE$512,"="&amp;SUBSTITUTE(SUBSTITUTE(SUBSTITUTE('Calculations'!HX26,"~","~~"),"*","~*"),"?","~?"))&gt;1,"!AMBIG",IFERROR(INDEX('Calculations'!$HF$13:$HF$512,MATCH('Calculations'!HX26,'Calculations'!$HE$13:$HE$512,0)),""))))</x:f>
      </x:c>
      <x:c r="HZ26" t="str">
        <x:f>IF('Calculations'!HY26="","",IF('Calculations'!HY26="!AMBIG","!AMBIG",IF(COUNTIF('Calculations'!$HE$13:$HE$512,"="&amp;SUBSTITUTE(SUBSTITUTE(SUBSTITUTE('Calculations'!HY26,"~","~~"),"*","~*"),"?","~?"))&gt;1,"!AMBIG",IFERROR(INDEX('Calculations'!$HF$13:$HF$512,MATCH('Calculations'!HY26,'Calculations'!$HE$13:$HE$512,0)),""))))</x:f>
      </x:c>
      <x:c r="IA26" t="str">
        <x:f>IF('Calculations'!HZ26="","",IF('Calculations'!HZ26="!AMBIG","!AMBIG",IF(COUNTIF('Calculations'!$HE$13:$HE$512,"="&amp;SUBSTITUTE(SUBSTITUTE(SUBSTITUTE('Calculations'!HZ26,"~","~~"),"*","~*"),"?","~?"))&gt;1,"!AMBIG",IFERROR(INDEX('Calculations'!$HF$13:$HF$512,MATCH('Calculations'!HZ26,'Calculations'!$HE$13:$HE$512,0)),""))))</x:f>
      </x:c>
      <x:c r="IB26" t="str">
        <x:f>IF('Calculations'!IA26="","",IF('Calculations'!IA26="!AMBIG","!AMBIG",IF(COUNTIF('Calculations'!$HE$13:$HE$512,"="&amp;SUBSTITUTE(SUBSTITUTE(SUBSTITUTE('Calculations'!IA26,"~","~~"),"*","~*"),"?","~?"))&gt;1,"!AMBIG",IFERROR(INDEX('Calculations'!$HF$13:$HF$512,MATCH('Calculations'!IA26,'Calculations'!$HE$13:$HE$512,0)),""))))</x:f>
      </x:c>
      <x:c r="IC26" t="str">
        <x:f>IF('Calculations'!IB26="","",IF('Calculations'!IB26="!AMBIG","!AMBIG",IF(COUNTIF('Calculations'!$HE$13:$HE$512,"="&amp;SUBSTITUTE(SUBSTITUTE(SUBSTITUTE('Calculations'!IB26,"~","~~"),"*","~*"),"?","~?"))&gt;1,"!AMBIG",IFERROR(INDEX('Calculations'!$HF$13:$HF$512,MATCH('Calculations'!IB26,'Calculations'!$HE$13:$HE$512,0)),""))))</x:f>
      </x:c>
      <x:c r="ID26" t="str">
        <x:f>IF('Calculations'!IC26="","",IF('Calculations'!IC26="!AMBIG","!AMBIG",IF(COUNTIF('Calculations'!$HE$13:$HE$512,"="&amp;SUBSTITUTE(SUBSTITUTE(SUBSTITUTE('Calculations'!IC26,"~","~~"),"*","~*"),"?","~?"))&gt;1,"!AMBIG",IFERROR(INDEX('Calculations'!$HF$13:$HF$512,MATCH('Calculations'!IC26,'Calculations'!$HE$13:$HE$512,0)),""))))</x:f>
      </x:c>
      <x:c r="IE26" t="str">
        <x:f>IF('Calculations'!ID26="","",IF('Calculations'!ID26="!AMBIG","!AMBIG",IF(COUNTIF('Calculations'!$HE$13:$HE$512,"="&amp;SUBSTITUTE(SUBSTITUTE(SUBSTITUTE('Calculations'!ID26,"~","~~"),"*","~*"),"?","~?"))&gt;1,"!AMBIG",IFERROR(INDEX('Calculations'!$HF$13:$HF$512,MATCH('Calculations'!ID26,'Calculations'!$HE$13:$HE$512,0)),""))))</x:f>
      </x:c>
      <x:c r="IF26" t="str">
        <x:f>IF('Calculations'!IE26="","",IF('Calculations'!IE26="!AMBIG","!AMBIG",IF(COUNTIF('Calculations'!$HE$13:$HE$512,"="&amp;SUBSTITUTE(SUBSTITUTE(SUBSTITUTE('Calculations'!IE26,"~","~~"),"*","~*"),"?","~?"))&gt;1,"!AMBIG",IFERROR(INDEX('Calculations'!$HF$13:$HF$512,MATCH('Calculations'!IE26,'Calculations'!$HE$13:$HE$512,0)),""))))</x:f>
      </x:c>
      <x:c r="IG26" t="str">
        <x:f>IF('Calculations'!IF26="","",IF('Calculations'!IF26="!AMBIG","!AMBIG",IF(COUNTIF('Calculations'!$HE$13:$HE$512,"="&amp;SUBSTITUTE(SUBSTITUTE(SUBSTITUTE('Calculations'!IF26,"~","~~"),"*","~*"),"?","~?"))&gt;1,"!AMBIG",IFERROR(INDEX('Calculations'!$HF$13:$HF$512,MATCH('Calculations'!IF26,'Calculations'!$HE$13:$HE$512,0)),""))))</x:f>
      </x:c>
      <x:c r="IH26" t="str">
        <x:f>IF('Calculations'!IG26="","",IF('Calculations'!IG26="!AMBIG","!AMBIG",IF(COUNTIF('Calculations'!$HE$13:$HE$512,"="&amp;SUBSTITUTE(SUBSTITUTE(SUBSTITUTE('Calculations'!IG26,"~","~~"),"*","~*"),"?","~?"))&gt;1,"!AMBIG",IFERROR(INDEX('Calculations'!$HF$13:$HF$512,MATCH('Calculations'!IG26,'Calculations'!$HE$13:$HE$512,0)),""))))</x:f>
      </x:c>
      <x:c r="II26" t="str">
        <x:f>IF('Calculations'!IH26="","",IF('Calculations'!IH26="!AMBIG","!AMBIG",IF(COUNTIF('Calculations'!$HE$13:$HE$512,"="&amp;SUBSTITUTE(SUBSTITUTE(SUBSTITUTE('Calculations'!IH26,"~","~~"),"*","~*"),"?","~?"))&gt;1,"!AMBIG",IFERROR(INDEX('Calculations'!$HF$13:$HF$512,MATCH('Calculations'!IH26,'Calculations'!$HE$13:$HE$512,0)),""))))</x:f>
      </x:c>
      <x:c r="IJ26" t="str">
        <x:f>IF('Calculations'!EM26="","",IF('Calculations'!$EF$2="All",'Calculations'!HM26,IF('Calculations'!HL26=1,"",IFERROR(IF(MATCH('Calculations'!$EF$2,'Calculations'!HO26:II26,0)=1,'Calculations'!HE26,INDEX('Calculations'!HO26:II26,1,MATCH('Calculations'!$EF$2,'Calculations'!HO26:II26,0)-1)),""))))</x:f>
      </x:c>
      <x:c r="IK26" t="n">
        <x:f>IF(AND('Calculations'!EM26&lt;&gt;"",'Calculations'!$EF$2&lt;&gt;"All",'Calculations'!HF26='Calculations'!$EF$2,'Calculations'!HL26=0,'Calculations'!JD26&gt;0),MAX('Calculations'!$IK$12:IK25)+1,0)</x:f>
        <x:v>0</x:v>
      </x:c>
      <x:c r="JA26" t="n">
        <x:f>IF(OR(IFERROR(INDIRECT("'WCM Calibration Final'!$A$26")&lt;&gt;"",FALSE),IFERROR(INDIRECT("'WCM Calibration Final'!$B$26")&lt;&gt;"",FALSE),IFERROR(INDIRECT("'WCM Calibration Final'!$C$26")&lt;&gt;"",FALSE)),26,0)</x:f>
        <x:v>0</x:v>
      </x:c>
      <x:c r="JB26" t="n">
        <x:f>'Calculations'!JB25+IF('Calculations'!JA26&gt;0,1,0)</x:f>
        <x:v>0</x:v>
      </x:c>
      <x:c r="JC26" t="n">
        <x:f>IF(OR('Calculations'!HF26="",'Calculations'!HF26="!AMBIG"),0,IF('Dashboard'!$B$7="All",1,COUNTIFS('Calculations'!$HO$13:$HO$512,"="&amp;SUBSTITUTE(SUBSTITUTE(SUBSTITUTE('Calculations'!HF26,"~","~~"),"*","~*"),"?","~?"),'Calculations'!$HN$13:$HN$512,"="&amp;SUBSTITUTE(SUBSTITUTE(SUBSTITUTE('Dashboard'!$B$7,"~","~~"),"*","~*"),"?","~?"))+COUNTIFS('Calculations'!$HP$13:$HP$512,"="&amp;SUBSTITUTE(SUBSTITUTE(SUBSTITUTE('Calculations'!HF26,"~","~~"),"*","~*"),"?","~?"),'Calculations'!$HN$13:$HN$512,"="&amp;SUBSTITUTE(SUBSTITUTE(SUBSTITUTE('Dashboard'!$B$7,"~","~~"),"*","~*"),"?","~?"))+COUNTIFS('Calculations'!$HQ$13:$HQ$512,"="&amp;SUBSTITUTE(SUBSTITUTE(SUBSTITUTE('Calculations'!HF26,"~","~~"),"*","~*"),"?","~?"),'Calculations'!$HN$13:$HN$512,"="&amp;SUBSTITUTE(SUBSTITUTE(SUBSTITUTE('Dashboard'!$B$7,"~","~~"),"*","~*"),"?","~?"))+COUNTIFS('Calculations'!$HR$13:$HR$512,"="&amp;SUBSTITUTE(SUBSTITUTE(SUBSTITUTE('Calculations'!HF26,"~","~~"),"*","~*"),"?","~?"),'Calculations'!$HN$13:$HN$512,"="&amp;SUBSTITUTE(SUBSTITUTE(SUBSTITUTE('Dashboard'!$B$7,"~","~~"),"*","~*"),"?","~?"))+COUNTIFS('Calculations'!$HS$13:$HS$512,"="&amp;SUBSTITUTE(SUBSTITUTE(SUBSTITUTE('Calculations'!HF26,"~","~~"),"*","~*"),"?","~?"),'Calculations'!$HN$13:$HN$512,"="&amp;SUBSTITUTE(SUBSTITUTE(SUBSTITUTE('Dashboard'!$B$7,"~","~~"),"*","~*"),"?","~?"))+COUNTIFS('Calculations'!$HT$13:$HT$512,"="&amp;SUBSTITUTE(SUBSTITUTE(SUBSTITUTE('Calculations'!HF26,"~","~~"),"*","~*"),"?","~?"),'Calculations'!$HN$13:$HN$512,"="&amp;SUBSTITUTE(SUBSTITUTE(SUBSTITUTE('Dashboard'!$B$7,"~","~~"),"*","~*"),"?","~?"))+COUNTIFS('Calculations'!$HU$13:$HU$512,"="&amp;SUBSTITUTE(SUBSTITUTE(SUBSTITUTE('Calculations'!HF26,"~","~~"),"*","~*"),"?","~?"),'Calculations'!$HN$13:$HN$512,"="&amp;SUBSTITUTE(SUBSTITUTE(SUBSTITUTE('Dashboard'!$B$7,"~","~~"),"*","~*"),"?","~?"))+COUNTIFS('Calculations'!$HV$13:$HV$512,"="&amp;SUBSTITUTE(SUBSTITUTE(SUBSTITUTE('Calculations'!HF26,"~","~~"),"*","~*"),"?","~?"),'Calculations'!$HN$13:$HN$512,"="&amp;SUBSTITUTE(SUBSTITUTE(SUBSTITUTE('Dashboard'!$B$7,"~","~~"),"*","~*"),"?","~?"))+COUNTIFS('Calculations'!$HW$13:$HW$512,"="&amp;SUBSTITUTE(SUBSTITUTE(SUBSTITUTE('Calculations'!HF26,"~","~~"),"*","~*"),"?","~?"),'Calculations'!$HN$13:$HN$512,"="&amp;SUBSTITUTE(SUBSTITUTE(SUBSTITUTE('Dashboard'!$B$7,"~","~~"),"*","~*"),"?","~?"))+COUNTIFS('Calculations'!$HX$13:$HX$512,"="&amp;SUBSTITUTE(SUBSTITUTE(SUBSTITUTE('Calculations'!HF26,"~","~~"),"*","~*"),"?","~?"),'Calculations'!$HN$13:$HN$512,"="&amp;SUBSTITUTE(SUBSTITUTE(SUBSTITUTE('Dashboard'!$B$7,"~","~~"),"*","~*"),"?","~?"))+COUNTIFS('Calculations'!$HY$13:$HY$512,"="&amp;SUBSTITUTE(SUBSTITUTE(SUBSTITUTE('Calculations'!HF26,"~","~~"),"*","~*"),"?","~?"),'Calculations'!$HN$13:$HN$512,"="&amp;SUBSTITUTE(SUBSTITUTE(SUBSTITUTE('Dashboard'!$B$7,"~","~~"),"*","~*"),"?","~?"))+COUNTIFS('Calculations'!$HZ$13:$HZ$512,"="&amp;SUBSTITUTE(SUBSTITUTE(SUBSTITUTE('Calculations'!HF26,"~","~~"),"*","~*"),"?","~?"),'Calculations'!$HN$13:$HN$512,"="&amp;SUBSTITUTE(SUBSTITUTE(SUBSTITUTE('Dashboard'!$B$7,"~","~~"),"*","~*"),"?","~?"))+COUNTIFS('Calculations'!$IA$13:$IA$512,"="&amp;SUBSTITUTE(SUBSTITUTE(SUBSTITUTE('Calculations'!HF26,"~","~~"),"*","~*"),"?","~?"),'Calculations'!$HN$13:$HN$512,"="&amp;SUBSTITUTE(SUBSTITUTE(SUBSTITUTE('Dashboard'!$B$7,"~","~~"),"*","~*"),"?","~?"))+COUNTIFS('Calculations'!$IB$13:$IB$512,"="&amp;SUBSTITUTE(SUBSTITUTE(SUBSTITUTE('Calculations'!HF26,"~","~~"),"*","~*"),"?","~?"),'Calculations'!$HN$13:$HN$512,"="&amp;SUBSTITUTE(SUBSTITUTE(SUBSTITUTE('Dashboard'!$B$7,"~","~~"),"*","~*"),"?","~?"))+COUNTIFS('Calculations'!$IC$13:$IC$512,"="&amp;SUBSTITUTE(SUBSTITUTE(SUBSTITUTE('Calculations'!HF26,"~","~~"),"*","~*"),"?","~?"),'Calculations'!$HN$13:$HN$512,"="&amp;SUBSTITUTE(SUBSTITUTE(SUBSTITUTE('Dashboard'!$B$7,"~","~~"),"*","~*"),"?","~?"))+COUNTIFS('Calculations'!$ID$13:$ID$512,"="&amp;SUBSTITUTE(SUBSTITUTE(SUBSTITUTE('Calculations'!HF26,"~","~~"),"*","~*"),"?","~?"),'Calculations'!$HN$13:$HN$512,"="&amp;SUBSTITUTE(SUBSTITUTE(SUBSTITUTE('Dashboard'!$B$7,"~","~~"),"*","~*"),"?","~?"))+COUNTIFS('Calculations'!$IE$13:$IE$512,"="&amp;SUBSTITUTE(SUBSTITUTE(SUBSTITUTE('Calculations'!HF26,"~","~~"),"*","~*"),"?","~?"),'Calculations'!$HN$13:$HN$512,"="&amp;SUBSTITUTE(SUBSTITUTE(SUBSTITUTE('Dashboard'!$B$7,"~","~~"),"*","~*"),"?","~?"))+COUNTIFS('Calculations'!$IF$13:$IF$512,"="&amp;SUBSTITUTE(SUBSTITUTE(SUBSTITUTE('Calculations'!HF26,"~","~~"),"*","~*"),"?","~?"),'Calculations'!$HN$13:$HN$512,"="&amp;SUBSTITUTE(SUBSTITUTE(SUBSTITUTE('Dashboard'!$B$7,"~","~~"),"*","~*"),"?","~?"))+COUNTIFS('Calculations'!$IG$13:$IG$512,"="&amp;SUBSTITUTE(SUBSTITUTE(SUBSTITUTE('Calculations'!HF26,"~","~~"),"*","~*"),"?","~?"),'Calculations'!$HN$13:$HN$512,"="&amp;SUBSTITUTE(SUBSTITUTE(SUBSTITUTE('Dashboard'!$B$7,"~","~~"),"*","~*"),"?","~?"))+COUNTIFS('Calculations'!$IH$13:$IH$512,"="&amp;SUBSTITUTE(SUBSTITUTE(SUBSTITUTE('Calculations'!HF26,"~","~~"),"*","~*"),"?","~?"),'Calculations'!$HN$13:$HN$512,"="&amp;SUBSTITUTE(SUBSTITUTE(SUBSTITUTE('Dashboard'!$B$7,"~","~~"),"*","~*"),"?","~?"))))</x:f>
        <x:v>0</x:v>
      </x:c>
      <x:c r="JD26" t="n">
        <x:f>IF('Calculations'!EM26="",0,IF('Dashboard'!$B$7="All",1,IF('Calculations'!HN26='Dashboard'!$B$7,1,0)+IFERROR(INDEX('Calculations'!$JC$13:$JC$512,MATCH('Calculations'!HE26,'Calculations'!$HF$13:$HF$512,0)),0)))</x:f>
        <x:v>0</x:v>
      </x:c>
      <x:c r="JE26" t="n">
        <x:f>IF(AND('Calculations'!EM26&lt;&gt;"",'Calculations'!$JJ$2&lt;&gt;"All",'Calculations'!$JJ$2&lt;&gt;"",'Calculations'!HF26='Calculations'!$JJ$2,'Calculations'!HL26=0,'Calculations'!JD26&gt;0),MAX('Calculations'!$JE$12:JE25)+1,0)</x:f>
        <x:v>0</x:v>
      </x:c>
      <x:c r="JF26" t="str">
        <x:f>IF('Calculations'!EM26="","",IFERROR(IF(INDEX(INDIRECT("'WCM Calibration Final'!$G$1:$G$2000"),'Calculations'!$EM26)="","",TRIM(INDEX(INDIRECT("'WCM Calibration Final'!$G$1:$G$2000"),'Calculations'!$EM26)&amp;"")),""))</x:f>
      </x:c>
      <x:c r="JL26" t="str">
        <x:f>IFERROR(INDEX('Calculations'!$HE$13:$HE$512,MATCH(('Calculations'!$JJ$4-1)*6+5,'Calculations'!$JE$13:$JE$512,0)),"")</x:f>
      </x:c>
      <x:c r="JM26" t="str">
        <x:f>IF(OR('Calculations'!JL26="",'Calculations'!JL26="All"),IF(6=0,"Select a manager",IF(6=1,"All reporting branches","")),IFERROR(INDEX('Calculations'!$HG$13:$HG$512,MATCH('Calculations'!JL26,'Calculations'!$HE$13:$HE$512,0)),IFERROR(INDEX('Calculations'!$HJ$13:$HJ$512,MATCH('Calculations'!JL26,'Calculations'!$HF$13:$HF$512,0)),"Manager outside roster")))</x:f>
      </x:c>
      <x:c r="JN26" t="str">
        <x:f>IF(OR('Calculations'!JL26="",'Calculations'!JL26="All"),IF(6=1,"Choose Below direct to focus on one branch",""),IFERROR(INDEX('Calculations'!$JF$13:$JF$512,MATCH('Calculations'!JL26,'Calculations'!$HE$13:$HE$512,0)),"Outside this roster"))</x:f>
      </x:c>
      <x:c r="JO26" t="str">
        <x:f>IF(OR('Calculations'!JL26="",'Calculations'!JL26="All"),"",IFERROR("What: "&amp;IF(INDEX('Calculations'!$BO$13:$BO$512,MATCH('Calculations'!JL26,'Calculations'!$HE$13:$HE$512,0))="","Pending",INDEX('Calculations'!$BO$13:$BO$512,MATCH('Calculations'!JL26,'Calculations'!$HE$13:$HE$512,0)))&amp;"   How: "&amp;IF(INDEX('Calculations'!$BP$13:$BP$512,MATCH('Calculations'!JL26,'Calculations'!$HE$13:$HE$512,0))="","Pending",INDEX('Calculations'!$BP$13:$BP$512,MATCH('Calculations'!JL26,'Calculations'!$HE$13:$HE$512,0))),"What / How: not in roster"))</x:f>
      </x:c>
      <x:c r="JP26" t="str">
        <x:f>IF(OR('Calculations'!JL26="",'Calculations'!JL26="All"),"",COUNTIFS('Calculations'!$HF$13:$HF$512,'Calculations'!JL26,'Calculations'!$JD$13:$JD$512,"&gt;0")&amp;" direct reports in product scope")</x:f>
      </x:c>
      <x:c r="JQ26" t="n">
        <x:f>IF(OR('Calculations'!BM26=0,NOT('Calculations'!$AG$2),'Calculations'!$AG$8&gt;0),0,IF(OR('Dashboard'!$B$7="All",'Calculations'!HN26='Dashboard'!$B$7),IF('Calculations'!$JJ$2="All",1,IF(AND('Calculations'!HF26='Calculations'!$JJ$2,'Calculations'!HL26=0),1,0)),0))</x:f>
        <x:v>0</x:v>
      </x:c>
    </x:row>
    <x:row r="27" ht="21" customHeight="1">
      <x:c r="A27" s="75"/>
      <x:c r="B27" s="75"/>
      <x:c r="C27" s="75"/>
      <x:c r="D27" s="75"/>
      <x:c r="E27" s="75"/>
      <x:c r="F27" s="75"/>
      <x:c r="G27" s="75"/>
      <x:c r="H27" s="75"/>
      <x:c r="I27" s="75"/>
      <x:c r="J27" s="75"/>
      <x:c r="K27" s="75"/>
      <x:c r="L27" s="75"/>
      <x:c r="M27" s="75"/>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t="n">
        <x:f>IF('Calculations'!$EM27="",0,IF(OR(IFERROR(INDEX(INDIRECT("'WCM Calibration Final'!$A$1:$A$2000"),'Calculations'!$EM27)&lt;&gt;"",FALSE),IFERROR(INDEX(INDIRECT("'WCM Calibration Final'!$B$1:$B$2000"),'Calculations'!$EM27)&lt;&gt;"",FALSE),IFERROR(INDEX(INDIRECT("'WCM Calibration Final'!$C$1:$C$2000"),'Calculations'!$EM27)&lt;&gt;"",FALSE)),1,0))</x:f>
        <x:v>0</x:v>
      </x:c>
      <x:c r="BN27" s="4" t="n">
        <x:f>IF(AND('Calculations'!BM27=1,'Calculations'!$AG$2,'Calculations'!$EN27=1),1,0)</x:f>
        <x:v>0</x:v>
      </x:c>
      <x:c r="BO27" s="4" t="str">
        <x:f>IF('Calculations'!BM27=0,"",IFERROR(IF(AND(VALUE(INDEX(INDIRECT("'WCM Calibration Final'!$K$1:$K$2000"),'Calculations'!$EM27))&gt;=1,VALUE(INDEX(INDIRECT("'WCM Calibration Final'!$K$1:$K$2000"),'Calculations'!$EM27))&lt;=4,MOD(VALUE(INDEX(INDIRECT("'WCM Calibration Final'!$K$1:$K$2000"),'Calculations'!$EM27)),1)=0),VALUE(INDEX(INDIRECT("'WCM Calibration Final'!$K$1:$K$2000"),'Calculations'!$EM27)),""),""))</x:f>
      </x:c>
      <x:c r="BP27" s="4" t="str">
        <x:f>IF('Calculations'!BM27=0,"",IFERROR(IF(AND(VALUE(INDEX(INDIRECT("'WCM Calibration Final'!$L$1:$L$2000"),'Calculations'!$EM27))&gt;=1,VALUE(INDEX(INDIRECT("'WCM Calibration Final'!$L$1:$L$2000"),'Calculations'!$EM27))&lt;=4,MOD(VALUE(INDEX(INDIRECT("'WCM Calibration Final'!$L$1:$L$2000"),'Calculations'!$EM27)),1)=0),VALUE(INDEX(INDIRECT("'WCM Calibration Final'!$L$1:$L$2000"),'Calculations'!$EM27)),""),""))</x:f>
      </x:c>
      <x:c r="BQ27" s="4"/>
      <x:c r="BR27" s="4"/>
      <x:c r="BS27" s="4"/>
      <x:c r="BT27" s="4" t="n">
        <x:f>IF(AND('Calculations'!BM27=1,ISNUMBER('Calculations'!BO27),ISNUMBER('Calculations'!BP27)),1,0)</x:f>
        <x:v>0</x:v>
      </x:c>
      <x:c r="BU27" s="4" t="str">
        <x:f>IF('Calculations'!BM27=0,"",'Calculations'!$EO27)</x:f>
      </x:c>
      <x:c r="BV27" s="4" t="str">
        <x:f>IF('Calculations'!BM27=0,"",IFERROR(IF(OR(INDEX(INDIRECT("'WCM Calibration Final'!$H$1:$H$2000"),'Calculations'!$EM27)="MANAGING DIRECTOR",INDEX(INDIRECT("'WCM Calibration Final'!$H$1:$H$2000"),'Calculations'!$EM27)="DIRECTOR",INDEX(INDIRECT("'WCM Calibration Final'!$H$1:$H$2000"),'Calculations'!$EM27)="SENIOR VICE PRESIDENT",INDEX(INDIRECT("'WCM Calibration Final'!$H$1:$H$2000"),'Calculations'!$EM27)="VICE PRESIDENT",INDEX(INDIRECT("'WCM Calibration Final'!$H$1:$H$2000"),'Calculations'!$EM27)="ASSISTANT VICE PRESIDENT",INDEX(INDIRECT("'WCM Calibration Final'!$H$1:$H$2000"),'Calculations'!$EM27)="OFFICER"),UPPER(INDEX(INDIRECT("'WCM Calibration Final'!$H$1:$H$2000"),'Calculations'!$EM27)),"Other"),"Other"))</x:f>
      </x:c>
      <x:c r="BW27" s="4"/>
      <x:c r="BX27" s="4"/>
      <x:c r="BY27" s="4" t="n">
        <x:f>IF(AND('Calculations'!BM27=1,'Calculations'!BU27&lt;&gt;"",COUNTIF('Calculations'!$BU$12:BU27,'Calculations'!BU27)=1),MAX('Calculations'!$BY$11:BY26)+1,0)</x:f>
        <x:v>0</x:v>
      </x:c>
      <x:c r="BZ27" s="4" t="str">
        <x:f>IF('Dashboard'!$E$67="What",'Calculations'!BO27,'Calculations'!BP27)</x:f>
      </x:c>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t="str">
        <x:f>IF(16&gt;MAX('Calculations'!$HI$13:$HI$512),"",INDEX('Calculations'!$HN$13:$HN$512,MATCH(16,'Calculations'!$HI$13:$HI$512,0)))</x:f>
      </x:c>
      <x:c r="DB27" s="4" t="str">
        <x:f>IF(16&gt;MAX('Calculations'!$HH$13:$HH$512),"",INDEX('Calculations'!$HJ$13:$HJ$512,MATCH(16,'Calculations'!$HH$13:$HH$512,0)))</x:f>
      </x:c>
      <x:c r="DC27" s="4" t="str">
        <x:f>IF(ROW()-11&gt;MAX('Calculations'!$BY$13:$BY$512),"",INDEX('Calculations'!$BU$13:$BU$512,MATCH(ROW()-11,'Calculations'!$BY$13:$BY$512,0)))</x:f>
      </x:c>
      <x:c r="DD27" s="4" t="str">
        <x:f>IF(16&gt;MAX('Calculations'!$IK$13:$IK$512),"",INDEX('Calculations'!$HK$13:$HK$512,MATCH(16,'Calculations'!$IK$13:$IK$512,0)))</x:f>
      </x:c>
      <x:c r="DE27" s="4" t="str">
        <x:f>'Calculations'!DC27</x:f>
      </x:c>
      <x:c r="DF27" s="4" t="str">
        <x:f>IF('Calculations'!DE27="","",COUNTIFS('Calculations'!$BN$13:$BN$512,1,'Calculations'!$BU$13:$BU$512,'Calculations'!DE27))</x:f>
      </x:c>
      <x:c r="DG27" s="4" t="str">
        <x:f>IF('Calculations'!DE27="","",COUNTIFS('Calculations'!$BN$13:$BN$512,1,'Calculations'!$BU$13:$BU$512,'Calculations'!DE27,'Calculations'!$BT$13:$BT$512,1))</x:f>
      </x:c>
      <x:c r="DH27" s="4" t="str">
        <x:f>IF('Calculations'!DE27="","",'Calculations'!DF27-'Calculations'!DG27)</x:f>
      </x:c>
      <x:c r="DI27" s="4" t="str">
        <x:f>IF(OR('Calculations'!DE27="",'Calculations'!DF27=0),"",'Calculations'!DG27/'Calculations'!DF27)</x:f>
      </x:c>
      <x:c r="DJ27" s="4" t="str">
        <x:f>IF('Calculations'!DE27="","",COUNTIFS('Calculations'!$BN$13:$BN$512,1,'Calculations'!$BU$13:$BU$512,'Calculations'!DE27,'Calculations'!$BT$13:$BT$512,1,'Calculations'!$EE$13:$EE$512,"High"))</x:f>
      </x:c>
      <x:c r="DK27" s="4" t="str">
        <x:f>IF('Calculations'!DE27="","",COUNTIFS('Calculations'!$BN$13:$BN$512,1,'Calculations'!$BU$13:$BU$512,'Calculations'!DE27,'Calculations'!$BT$13:$BT$512,1,'Calculations'!$EE$13:$EE$512,"Strong"))</x:f>
      </x:c>
      <x:c r="DL27" s="4" t="str">
        <x:f>IF('Calculations'!DE27="","",COUNTIFS('Calculations'!$BN$13:$BN$512,1,'Calculations'!$BU$13:$BU$512,'Calculations'!DE27,'Calculations'!$BT$13:$BT$512,1,'Calculations'!$EE$13:$EE$512,"Solid"))</x:f>
      </x:c>
      <x:c r="DM27" s="4" t="str">
        <x:f>IF('Calculations'!DE27="","",COUNTIFS('Calculations'!$BN$13:$BN$512,1,'Calculations'!$BU$13:$BU$512,'Calculations'!DE27,'Calculations'!$BT$13:$BT$512,1,'Calculations'!$EE$13:$EE$512,"Low"))</x:f>
      </x:c>
      <x:c r="DN27" s="4" t="str">
        <x:f>IF('Calculations'!DE27="","",COUNTIFS('Calculations'!$BN$13:$BN$512,1,'Calculations'!$BU$13:$BU$512,'Calculations'!DE27,'Calculations'!$EP$13:$EP$512,1))</x:f>
      </x:c>
      <x:c r="DO27" s="4" t="str">
        <x:f>IF(OR('Calculations'!DE27="",'Calculations'!DG27=0),"",('Calculations'!DJ27+'Calculations'!DK27)/'Calculations'!DG27)</x:f>
      </x:c>
      <x:c r="DP27" s="4" t="n">
        <x:f>IF(AND('Calculations'!DE27&lt;&gt;"",'Calculations'!DF27&gt;0),COUNTIF('Calculations'!$DF$12:DF27,"&gt;0"),0)</x:f>
        <x:v>0</x:v>
      </x:c>
      <x:c r="DQ27" s="4" t="str">
        <x:f>IF(16&gt;MAX('Calculations'!$HH$13:$HH$512),"",INDEX('Calculations'!$HF$13:$HF$512,MATCH(16,'Calculations'!$HH$13:$HH$512,0)))</x:f>
      </x:c>
      <x:c r="DR27" s="4" t="str">
        <x:f>IF(16&gt;MAX('Calculations'!$IK$13:$IK$512),"",INDEX('Calculations'!$HE$13:$HE$512,MATCH(16,'Calculations'!$IK$13:$IK$512,0)))</x:f>
      </x:c>
      <x:c r="DS27" s="4"/>
      <x:c r="DT27" s="4"/>
      <x:c r="DU27" s="4"/>
      <x:c r="DV27" s="4"/>
      <x:c r="DW27" s="4"/>
      <x:c r="DX27" s="4"/>
      <x:c r="DY27" s="4"/>
      <x:c r="DZ27" s="4"/>
      <x:c r="EA27" s="4"/>
      <x:c r="EB27" s="4"/>
      <x:c r="EC27" s="4"/>
      <x:c r="ED27" s="4"/>
      <x:c r="EE27" s="4" t="str">
        <x:f>IF('Calculations'!BT27=0,"Not Rated",IF(OR('Calculations'!BO27&gt;=4,'Calculations'!BP27&gt;=4),"Low",IF('Calculations'!BO27+'Calculations'!BP27&lt;=3,"High",IF('Calculations'!BO27+'Calculations'!BP27&lt;=4,"Strong","Solid"))))</x:f>
        <x:v>Not Rated</x:v>
      </x:c>
      <x:c r="EF27" s="4"/>
      <x:c r="EG27" s="4"/>
      <x:c r="EH27" s="4"/>
      <x:c r="EI27" s="4"/>
      <x:c r="EJ27" s="4"/>
      <x:c r="EK27" s="4"/>
      <x:c r="EL27" s="4"/>
      <x:c r="EM27" s="4" t="str">
        <x:f>IF(15&gt;'Calculations'!$JB$2000,"",INDEX('Calculations'!$JA$12:$JA$2000,MATCH(15,'Calculations'!$JB$12:$JB$2000,0)))</x:f>
      </x:c>
      <x:c r="EN27" s="4" t="n">
        <x:f>IF(OR('Calculations'!EM27="",'Calculations'!$AG$8&gt;0,AND('Calculations'!$EF$2&lt;&gt;"All",'Calculations'!HE27='Calculations'!$EF$2),AND('Calculations'!$EF$3&lt;&gt;"All",'Calculations'!HE27='Calculations'!$EF$3)),0,IF(OR('Dashboard'!$B$7="All",'Calculations'!HN27='Dashboard'!$B$7),IF('Calculations'!$EF$2="All",1,IF('Calculations'!HL27&gt;0,0,IF(COUNTIF('Calculations'!HO27:II27,"="&amp;SUBSTITUTE(SUBSTITUTE(SUBSTITUTE('Calculations'!$EF$2,"~","~~"),"*","~*"),"?","~?"))=0,0,IF('Calculations'!$EF$3="All",1,IF(COUNTIF('Calculations'!HO27:II27,"="&amp;SUBSTITUTE(SUBSTITUTE(SUBSTITUTE('Calculations'!$EF$3,"~","~~"),"*","~*"),"?","~?"))&gt;0,1,0))))),0))</x:f>
        <x:v>0</x:v>
      </x:c>
      <x:c r="EO27" s="4" t="str">
        <x:f>IF('Calculations'!IJ27="","",IF('Calculations'!IJ27="!UNRESOLVED","Unresolved hierarchy",IFERROR(INDEX('Calculations'!$HK$13:$HK$512,MATCH('Calculations'!IJ27,'Calculations'!$HE$13:$HE$512,0)),IFERROR(INDEX('Calculations'!$HJ$13:$HJ$512,MATCH('Calculations'!IJ27,'Calculations'!$HF$13:$HF$512,0)),'Calculations'!IJ27))))</x:f>
      </x:c>
      <x:c r="EP27" s="4" t="n">
        <x:f>IF(AND('Calculations'!EM27&lt;&gt;"",'Calculations'!HF27='Calculations'!IJ27),1,0)</x:f>
        <x:v>0</x:v>
      </x:c>
      <x:c r="EQ27" s="4"/>
      <x:c r="ER27" s="4"/>
      <x:c r="ES27" s="4"/>
      <x:c r="ET27" s="4"/>
      <x:c r="EU27" s="4"/>
      <x:c r="EV27" s="4"/>
      <x:c r="EW27" s="4"/>
      <x:c r="EX27" s="4"/>
      <x:c r="EY27" s="4"/>
      <x:c r="EZ27" s="4"/>
      <x:c r="FA27" s="4"/>
      <x:c r="FB27" s="4"/>
      <x:c r="FC27" s="4"/>
      <x:c r="FD27" s="4"/>
      <x:c r="FE27" s="4"/>
      <x:c r="FF27" s="4"/>
      <x:c r="FG27" s="4"/>
      <x:c r="FH27" s="4"/>
      <x:c r="FI27" s="4"/>
      <x:c r="FJ27" s="4"/>
      <x:c r="FK27" s="4"/>
      <x:c r="FL27" s="4"/>
      <x:c r="FM27" s="4"/>
      <x:c r="FN27" s="4"/>
      <x:c r="FO27" s="4"/>
      <x:c r="GA27" s="71"/>
      <x:c r="GB27" s="71"/>
      <x:c r="GC27" s="71"/>
      <x:c r="GD27" s="71"/>
      <x:c r="GE27" s="71"/>
      <x:c r="GF27" s="71"/>
      <x:c r="GG27" s="71"/>
      <x:c r="GH27" s="71"/>
      <x:c r="GI27" s="71"/>
      <x:c r="GJ27" s="71"/>
      <x:c r="GK27" s="71"/>
      <x:c r="GL27" s="71"/>
      <x:c r="GM27" s="71"/>
      <x:c r="GN27" s="71"/>
      <x:c r="GO27" s="71"/>
      <x:c r="GP27" s="71"/>
      <x:c r="GQ27" s="71"/>
      <x:c r="GR27" s="71"/>
      <x:c r="GS27" s="71"/>
      <x:c r="GT27" s="71"/>
      <x:c r="GU27" s="71"/>
      <x:c r="GV27" s="71"/>
      <x:c r="GW27" s="71"/>
      <x:c r="GX27" s="71"/>
      <x:c r="GY27" s="71"/>
      <x:c r="GZ27" s="71"/>
      <x:c r="HA27" s="71"/>
      <x:c r="HB27" s="71"/>
      <x:c r="HC27" s="71"/>
      <x:c r="HD27" s="71"/>
      <x:c r="HE27" t="str">
        <x:f>IF('Calculations'!EM27="","",IF(IFERROR(IF(INDEX(INDIRECT("'WCM Calibration Final'!$A$1:$A$2000"),'Calculations'!$EM27)="","",TRIM(INDEX(INDIRECT("'WCM Calibration Final'!$A$1:$A$2000"),'Calculations'!$EM27)&amp;"")),"")&lt;&gt;"","G:"&amp;IFERROR(TEXT(1*INDEX(INDIRECT("'WCM Calibration Final'!$A$1:$A$2000"),'Calculations'!$EM27),"0"),UPPER(IFERROR(IF(INDEX(INDIRECT("'WCM Calibration Final'!$A$1:$A$2000"),'Calculations'!$EM27)="","",TRIM(INDEX(INDIRECT("'WCM Calibration Final'!$A$1:$A$2000"),'Calculations'!$EM27)&amp;"")),""))),IF(IFERROR(IF(INDEX(INDIRECT("'WCM Calibration Final'!$C$1:$C$2000"),'Calculations'!$EM27)="","",TRIM(INDEX(INDIRECT("'WCM Calibration Final'!$C$1:$C$2000"),'Calculations'!$EM27)&amp;"")),"")&lt;&gt;"","S:"&amp;UPPER(IFERROR(IF(INDEX(INDIRECT("'WCM Calibration Final'!$C$1:$C$2000"),'Calculations'!$EM27)="","",TRIM(INDEX(INDIRECT("'WCM Calibration Final'!$C$1:$C$2000"),'Calculations'!$EM27)&amp;"")),"")),"R:"&amp;'Calculations'!EM27)))</x:f>
      </x:c>
      <x:c r="HF27" t="str">
        <x:f>IF('Calculations'!EM27="","",IF(IFERROR(IF(INDEX(INDIRECT("'WCM Calibration Final'!$D$1:$D$2000"),'Calculations'!$EM27)="","",TRIM(INDEX(INDIRECT("'WCM Calibration Final'!$D$1:$D$2000"),'Calculations'!$EM27)&amp;"")),"")&lt;&gt;"","G:"&amp;IFERROR(TEXT(1*INDEX(INDIRECT("'WCM Calibration Final'!$D$1:$D$2000"),'Calculations'!$EM27),"0"),UPPER(IFERROR(IF(INDEX(INDIRECT("'WCM Calibration Final'!$D$1:$D$2000"),'Calculations'!$EM27)="","",TRIM(INDEX(INDIRECT("'WCM Calibration Final'!$D$1:$D$2000"),'Calculations'!$EM27)&amp;"")),""))),IF(IFERROR(IF(INDEX(INDIRECT("'WCM Calibration Final'!$E$1:$E$2000"),'Calculations'!$EM27)="","",TRIM(INDEX(INDIRECT("'WCM Calibration Final'!$E$1:$E$2000"),'Calculations'!$EM27)&amp;"")),"")="","",IF(COUNTIF('Calculations'!$HG$13:$HG$512,"="&amp;SUBSTITUTE(SUBSTITUTE(SUBSTITUTE(IFERROR(IF(INDEX(INDIRECT("'WCM Calibration Final'!$E$1:$E$2000"),'Calculations'!$EM27)="","",TRIM(INDEX(INDIRECT("'WCM Calibration Final'!$E$1:$E$2000"),'Calculations'!$EM27)&amp;"")),""),"~","~~"),"*","~*"),"?","~?"))=1,INDEX('Calculations'!$HE$13:$HE$512,MATCH(IFERROR(IF(INDEX(INDIRECT("'WCM Calibration Final'!$E$1:$E$2000"),'Calculations'!$EM27)="","",TRIM(INDEX(INDIRECT("'WCM Calibration Final'!$E$1:$E$2000"),'Calculations'!$EM27)&amp;"")),""),'Calculations'!$HG$13:$HG$512,0)),IF(COUNTIF('Calculations'!$HG$13:$HG$512,"="&amp;SUBSTITUTE(SUBSTITUTE(SUBSTITUTE(IFERROR(IF(INDEX(INDIRECT("'WCM Calibration Final'!$E$1:$E$2000"),'Calculations'!$EM27)="","",TRIM(INDEX(INDIRECT("'WCM Calibration Final'!$E$1:$E$2000"),'Calculations'!$EM27)&amp;"")),""),"~","~~"),"*","~*"),"?","~?"))&gt;1,"!AMBIG","X:"&amp;IFERROR(IF(INDEX(INDIRECT("'WCM Calibration Final'!$E$1:$E$2000"),'Calculations'!$EM27)="","",TRIM(INDEX(INDIRECT("'WCM Calibration Final'!$E$1:$E$2000"),'Calculations'!$EM27)&amp;"")),""))))))</x:f>
      </x:c>
      <x:c r="HG27" t="str">
        <x:f>IF('Calculations'!EM27="","",IFERROR(IF(INDEX(INDIRECT("'WCM Calibration Final'!$B$1:$B$2000"),'Calculations'!$EM27)="","",TRIM(INDEX(INDIRECT("'WCM Calibration Final'!$B$1:$B$2000"),'Calculations'!$EM27)&amp;"")),""))</x:f>
      </x:c>
      <x:c r="HH27" t="n">
        <x:f>IF(AND('Calculations'!JC27&gt;0,COUNTIF('Calculations'!$HF$12:HF27,"="&amp;SUBSTITUTE(SUBSTITUTE(SUBSTITUTE('Calculations'!HF27,"~","~~"),"*","~*"),"?","~?"))=1),MAX('Calculations'!$HH$12:HH26)+1,0)</x:f>
        <x:v>0</x:v>
      </x:c>
      <x:c r="HI27" t="n">
        <x:f>IF(AND('Calculations'!HN27&lt;&gt;"",COUNTIF('Calculations'!$HN$12:HN27,"="&amp;SUBSTITUTE(SUBSTITUTE(SUBSTITUTE('Calculations'!HN27,"~","~~"),"*","~*"),"?","~?"))=1),MAX('Calculations'!$HI$12:HI26)+1,0)</x:f>
        <x:v>0</x:v>
      </x:c>
      <x:c r="HJ27" t="str">
        <x:f>IF('Calculations'!HF27="","",IF(COUNTIF('Calculations'!$HE$13:$HE$512,"="&amp;SUBSTITUTE(SUBSTITUTE(SUBSTITUTE('Calculations'!HF27,"~","~~"),"*","~*"),"?","~?"))=1,INDEX('Calculations'!$HK$13:$HK$512,MATCH('Calculations'!HF27,'Calculations'!$HE$13:$HE$512,0)),IFERROR(IF(INDEX(INDIRECT("'WCM Calibration Final'!$E$1:$E$2000"),'Calculations'!$EM27)="","",TRIM(INDEX(INDIRECT("'WCM Calibration Final'!$E$1:$E$2000"),'Calculations'!$EM27)&amp;"")),"")&amp;" ["&amp;'Calculations'!HF27&amp;"]"))</x:f>
      </x:c>
      <x:c r="HK27" t="str">
        <x:f>IF('Calculations'!EM27="","",'Calculations'!HG27&amp;" ["&amp;'Calculations'!HE27&amp;"]")</x:f>
      </x:c>
      <x:c r="HL27" t="n">
        <x:f>IF('Calculations'!EM27="",0,IF(OR('Calculations'!II27&lt;&gt;"",COUNTIF('Calculations'!$HE$13:$HE$512,"="&amp;SUBSTITUTE(SUBSTITUTE(SUBSTITUTE('Calculations'!HE27,"~","~~"),"*","~*"),"?","~?"))&gt;1),1,0))</x:f>
        <x:v>0</x:v>
      </x:c>
      <x:c r="HM27" t="str">
        <x:f>IF('Calculations'!EM27="","",IF('Calculations'!HL27=1,"!UNRESOLVED",IF('Calculations'!IH27&lt;&gt;"",'Calculations'!IH27,IF('Calculations'!IG27&lt;&gt;"",'Calculations'!IG27,IF('Calculations'!IF27&lt;&gt;"",'Calculations'!IF27,IF('Calculations'!IE27&lt;&gt;"",'Calculations'!IE27,IF('Calculations'!ID27&lt;&gt;"",'Calculations'!ID27,IF('Calculations'!IC27&lt;&gt;"",'Calculations'!IC27,IF('Calculations'!IB27&lt;&gt;"",'Calculations'!IB27,IF('Calculations'!IA27&lt;&gt;"",'Calculations'!IA27,IF('Calculations'!HZ27&lt;&gt;"",'Calculations'!HZ27,IF('Calculations'!HY27&lt;&gt;"",'Calculations'!HY27,IF('Calculations'!HX27&lt;&gt;"",'Calculations'!HX27,IF('Calculations'!HW27&lt;&gt;"",'Calculations'!HW27,IF('Calculations'!HV27&lt;&gt;"",'Calculations'!HV27,IF('Calculations'!HU27&lt;&gt;"",'Calculations'!HU27,IF('Calculations'!HT27&lt;&gt;"",'Calculations'!HT27,IF('Calculations'!HS27&lt;&gt;"",'Calculations'!HS27,IF('Calculations'!HR27&lt;&gt;"",'Calculations'!HR27,IF('Calculations'!HQ27&lt;&gt;"",'Calculations'!HQ27,IF('Calculations'!HP27&lt;&gt;"",'Calculations'!HP27,IF('Calculations'!HO27&lt;&gt;"",'Calculations'!HO27,'Calculations'!HE27))))))))))))))))))))))</x:f>
      </x:c>
      <x:c r="HN27" t="str">
        <x:f>IF('Calculations'!EM27="","",IF(IFERROR(IF(INDEX(INDIRECT("'WCM Calibration Final'!$F$1:$F$2000"),'Calculations'!$EM27)="","",TRIM(INDEX(INDIRECT("'WCM Calibration Final'!$F$1:$F$2000"),'Calculations'!$EM27)&amp;"")),"")="","(Blank)",IFERROR(IF(INDEX(INDIRECT("'WCM Calibration Final'!$F$1:$F$2000"),'Calculations'!$EM27)="","",TRIM(INDEX(INDIRECT("'WCM Calibration Final'!$F$1:$F$2000"),'Calculations'!$EM27)&amp;"")),"")))</x:f>
      </x:c>
      <x:c r="HO27" t="str">
        <x:f>'Calculations'!HF27</x:f>
      </x:c>
      <x:c r="HP27" t="str">
        <x:f>IF('Calculations'!HO27="","",IF('Calculations'!HO27="!AMBIG","!AMBIG",IF(COUNTIF('Calculations'!$HE$13:$HE$512,"="&amp;SUBSTITUTE(SUBSTITUTE(SUBSTITUTE('Calculations'!HO27,"~","~~"),"*","~*"),"?","~?"))&gt;1,"!AMBIG",IFERROR(INDEX('Calculations'!$HF$13:$HF$512,MATCH('Calculations'!HO27,'Calculations'!$HE$13:$HE$512,0)),""))))</x:f>
      </x:c>
      <x:c r="HQ27" t="str">
        <x:f>IF('Calculations'!HP27="","",IF('Calculations'!HP27="!AMBIG","!AMBIG",IF(COUNTIF('Calculations'!$HE$13:$HE$512,"="&amp;SUBSTITUTE(SUBSTITUTE(SUBSTITUTE('Calculations'!HP27,"~","~~"),"*","~*"),"?","~?"))&gt;1,"!AMBIG",IFERROR(INDEX('Calculations'!$HF$13:$HF$512,MATCH('Calculations'!HP27,'Calculations'!$HE$13:$HE$512,0)),""))))</x:f>
      </x:c>
      <x:c r="HR27" t="str">
        <x:f>IF('Calculations'!HQ27="","",IF('Calculations'!HQ27="!AMBIG","!AMBIG",IF(COUNTIF('Calculations'!$HE$13:$HE$512,"="&amp;SUBSTITUTE(SUBSTITUTE(SUBSTITUTE('Calculations'!HQ27,"~","~~"),"*","~*"),"?","~?"))&gt;1,"!AMBIG",IFERROR(INDEX('Calculations'!$HF$13:$HF$512,MATCH('Calculations'!HQ27,'Calculations'!$HE$13:$HE$512,0)),""))))</x:f>
      </x:c>
      <x:c r="HS27" t="str">
        <x:f>IF('Calculations'!HR27="","",IF('Calculations'!HR27="!AMBIG","!AMBIG",IF(COUNTIF('Calculations'!$HE$13:$HE$512,"="&amp;SUBSTITUTE(SUBSTITUTE(SUBSTITUTE('Calculations'!HR27,"~","~~"),"*","~*"),"?","~?"))&gt;1,"!AMBIG",IFERROR(INDEX('Calculations'!$HF$13:$HF$512,MATCH('Calculations'!HR27,'Calculations'!$HE$13:$HE$512,0)),""))))</x:f>
      </x:c>
      <x:c r="HT27" t="str">
        <x:f>IF('Calculations'!HS27="","",IF('Calculations'!HS27="!AMBIG","!AMBIG",IF(COUNTIF('Calculations'!$HE$13:$HE$512,"="&amp;SUBSTITUTE(SUBSTITUTE(SUBSTITUTE('Calculations'!HS27,"~","~~"),"*","~*"),"?","~?"))&gt;1,"!AMBIG",IFERROR(INDEX('Calculations'!$HF$13:$HF$512,MATCH('Calculations'!HS27,'Calculations'!$HE$13:$HE$512,0)),""))))</x:f>
      </x:c>
      <x:c r="HU27" t="str">
        <x:f>IF('Calculations'!HT27="","",IF('Calculations'!HT27="!AMBIG","!AMBIG",IF(COUNTIF('Calculations'!$HE$13:$HE$512,"="&amp;SUBSTITUTE(SUBSTITUTE(SUBSTITUTE('Calculations'!HT27,"~","~~"),"*","~*"),"?","~?"))&gt;1,"!AMBIG",IFERROR(INDEX('Calculations'!$HF$13:$HF$512,MATCH('Calculations'!HT27,'Calculations'!$HE$13:$HE$512,0)),""))))</x:f>
      </x:c>
      <x:c r="HV27" t="str">
        <x:f>IF('Calculations'!HU27="","",IF('Calculations'!HU27="!AMBIG","!AMBIG",IF(COUNTIF('Calculations'!$HE$13:$HE$512,"="&amp;SUBSTITUTE(SUBSTITUTE(SUBSTITUTE('Calculations'!HU27,"~","~~"),"*","~*"),"?","~?"))&gt;1,"!AMBIG",IFERROR(INDEX('Calculations'!$HF$13:$HF$512,MATCH('Calculations'!HU27,'Calculations'!$HE$13:$HE$512,0)),""))))</x:f>
      </x:c>
      <x:c r="HW27" t="str">
        <x:f>IF('Calculations'!HV27="","",IF('Calculations'!HV27="!AMBIG","!AMBIG",IF(COUNTIF('Calculations'!$HE$13:$HE$512,"="&amp;SUBSTITUTE(SUBSTITUTE(SUBSTITUTE('Calculations'!HV27,"~","~~"),"*","~*"),"?","~?"))&gt;1,"!AMBIG",IFERROR(INDEX('Calculations'!$HF$13:$HF$512,MATCH('Calculations'!HV27,'Calculations'!$HE$13:$HE$512,0)),""))))</x:f>
      </x:c>
      <x:c r="HX27" t="str">
        <x:f>IF('Calculations'!HW27="","",IF('Calculations'!HW27="!AMBIG","!AMBIG",IF(COUNTIF('Calculations'!$HE$13:$HE$512,"="&amp;SUBSTITUTE(SUBSTITUTE(SUBSTITUTE('Calculations'!HW27,"~","~~"),"*","~*"),"?","~?"))&gt;1,"!AMBIG",IFERROR(INDEX('Calculations'!$HF$13:$HF$512,MATCH('Calculations'!HW27,'Calculations'!$HE$13:$HE$512,0)),""))))</x:f>
      </x:c>
      <x:c r="HY27" t="str">
        <x:f>IF('Calculations'!HX27="","",IF('Calculations'!HX27="!AMBIG","!AMBIG",IF(COUNTIF('Calculations'!$HE$13:$HE$512,"="&amp;SUBSTITUTE(SUBSTITUTE(SUBSTITUTE('Calculations'!HX27,"~","~~"),"*","~*"),"?","~?"))&gt;1,"!AMBIG",IFERROR(INDEX('Calculations'!$HF$13:$HF$512,MATCH('Calculations'!HX27,'Calculations'!$HE$13:$HE$512,0)),""))))</x:f>
      </x:c>
      <x:c r="HZ27" t="str">
        <x:f>IF('Calculations'!HY27="","",IF('Calculations'!HY27="!AMBIG","!AMBIG",IF(COUNTIF('Calculations'!$HE$13:$HE$512,"="&amp;SUBSTITUTE(SUBSTITUTE(SUBSTITUTE('Calculations'!HY27,"~","~~"),"*","~*"),"?","~?"))&gt;1,"!AMBIG",IFERROR(INDEX('Calculations'!$HF$13:$HF$512,MATCH('Calculations'!HY27,'Calculations'!$HE$13:$HE$512,0)),""))))</x:f>
      </x:c>
      <x:c r="IA27" t="str">
        <x:f>IF('Calculations'!HZ27="","",IF('Calculations'!HZ27="!AMBIG","!AMBIG",IF(COUNTIF('Calculations'!$HE$13:$HE$512,"="&amp;SUBSTITUTE(SUBSTITUTE(SUBSTITUTE('Calculations'!HZ27,"~","~~"),"*","~*"),"?","~?"))&gt;1,"!AMBIG",IFERROR(INDEX('Calculations'!$HF$13:$HF$512,MATCH('Calculations'!HZ27,'Calculations'!$HE$13:$HE$512,0)),""))))</x:f>
      </x:c>
      <x:c r="IB27" t="str">
        <x:f>IF('Calculations'!IA27="","",IF('Calculations'!IA27="!AMBIG","!AMBIG",IF(COUNTIF('Calculations'!$HE$13:$HE$512,"="&amp;SUBSTITUTE(SUBSTITUTE(SUBSTITUTE('Calculations'!IA27,"~","~~"),"*","~*"),"?","~?"))&gt;1,"!AMBIG",IFERROR(INDEX('Calculations'!$HF$13:$HF$512,MATCH('Calculations'!IA27,'Calculations'!$HE$13:$HE$512,0)),""))))</x:f>
      </x:c>
      <x:c r="IC27" t="str">
        <x:f>IF('Calculations'!IB27="","",IF('Calculations'!IB27="!AMBIG","!AMBIG",IF(COUNTIF('Calculations'!$HE$13:$HE$512,"="&amp;SUBSTITUTE(SUBSTITUTE(SUBSTITUTE('Calculations'!IB27,"~","~~"),"*","~*"),"?","~?"))&gt;1,"!AMBIG",IFERROR(INDEX('Calculations'!$HF$13:$HF$512,MATCH('Calculations'!IB27,'Calculations'!$HE$13:$HE$512,0)),""))))</x:f>
      </x:c>
      <x:c r="ID27" t="str">
        <x:f>IF('Calculations'!IC27="","",IF('Calculations'!IC27="!AMBIG","!AMBIG",IF(COUNTIF('Calculations'!$HE$13:$HE$512,"="&amp;SUBSTITUTE(SUBSTITUTE(SUBSTITUTE('Calculations'!IC27,"~","~~"),"*","~*"),"?","~?"))&gt;1,"!AMBIG",IFERROR(INDEX('Calculations'!$HF$13:$HF$512,MATCH('Calculations'!IC27,'Calculations'!$HE$13:$HE$512,0)),""))))</x:f>
      </x:c>
      <x:c r="IE27" t="str">
        <x:f>IF('Calculations'!ID27="","",IF('Calculations'!ID27="!AMBIG","!AMBIG",IF(COUNTIF('Calculations'!$HE$13:$HE$512,"="&amp;SUBSTITUTE(SUBSTITUTE(SUBSTITUTE('Calculations'!ID27,"~","~~"),"*","~*"),"?","~?"))&gt;1,"!AMBIG",IFERROR(INDEX('Calculations'!$HF$13:$HF$512,MATCH('Calculations'!ID27,'Calculations'!$HE$13:$HE$512,0)),""))))</x:f>
      </x:c>
      <x:c r="IF27" t="str">
        <x:f>IF('Calculations'!IE27="","",IF('Calculations'!IE27="!AMBIG","!AMBIG",IF(COUNTIF('Calculations'!$HE$13:$HE$512,"="&amp;SUBSTITUTE(SUBSTITUTE(SUBSTITUTE('Calculations'!IE27,"~","~~"),"*","~*"),"?","~?"))&gt;1,"!AMBIG",IFERROR(INDEX('Calculations'!$HF$13:$HF$512,MATCH('Calculations'!IE27,'Calculations'!$HE$13:$HE$512,0)),""))))</x:f>
      </x:c>
      <x:c r="IG27" t="str">
        <x:f>IF('Calculations'!IF27="","",IF('Calculations'!IF27="!AMBIG","!AMBIG",IF(COUNTIF('Calculations'!$HE$13:$HE$512,"="&amp;SUBSTITUTE(SUBSTITUTE(SUBSTITUTE('Calculations'!IF27,"~","~~"),"*","~*"),"?","~?"))&gt;1,"!AMBIG",IFERROR(INDEX('Calculations'!$HF$13:$HF$512,MATCH('Calculations'!IF27,'Calculations'!$HE$13:$HE$512,0)),""))))</x:f>
      </x:c>
      <x:c r="IH27" t="str">
        <x:f>IF('Calculations'!IG27="","",IF('Calculations'!IG27="!AMBIG","!AMBIG",IF(COUNTIF('Calculations'!$HE$13:$HE$512,"="&amp;SUBSTITUTE(SUBSTITUTE(SUBSTITUTE('Calculations'!IG27,"~","~~"),"*","~*"),"?","~?"))&gt;1,"!AMBIG",IFERROR(INDEX('Calculations'!$HF$13:$HF$512,MATCH('Calculations'!IG27,'Calculations'!$HE$13:$HE$512,0)),""))))</x:f>
      </x:c>
      <x:c r="II27" t="str">
        <x:f>IF('Calculations'!IH27="","",IF('Calculations'!IH27="!AMBIG","!AMBIG",IF(COUNTIF('Calculations'!$HE$13:$HE$512,"="&amp;SUBSTITUTE(SUBSTITUTE(SUBSTITUTE('Calculations'!IH27,"~","~~"),"*","~*"),"?","~?"))&gt;1,"!AMBIG",IFERROR(INDEX('Calculations'!$HF$13:$HF$512,MATCH('Calculations'!IH27,'Calculations'!$HE$13:$HE$512,0)),""))))</x:f>
      </x:c>
      <x:c r="IJ27" t="str">
        <x:f>IF('Calculations'!EM27="","",IF('Calculations'!$EF$2="All",'Calculations'!HM27,IF('Calculations'!HL27=1,"",IFERROR(IF(MATCH('Calculations'!$EF$2,'Calculations'!HO27:II27,0)=1,'Calculations'!HE27,INDEX('Calculations'!HO27:II27,1,MATCH('Calculations'!$EF$2,'Calculations'!HO27:II27,0)-1)),""))))</x:f>
      </x:c>
      <x:c r="IK27" t="n">
        <x:f>IF(AND('Calculations'!EM27&lt;&gt;"",'Calculations'!$EF$2&lt;&gt;"All",'Calculations'!HF27='Calculations'!$EF$2,'Calculations'!HL27=0,'Calculations'!JD27&gt;0),MAX('Calculations'!$IK$12:IK26)+1,0)</x:f>
        <x:v>0</x:v>
      </x:c>
      <x:c r="JA27" t="n">
        <x:f>IF(OR(IFERROR(INDIRECT("'WCM Calibration Final'!$A$27")&lt;&gt;"",FALSE),IFERROR(INDIRECT("'WCM Calibration Final'!$B$27")&lt;&gt;"",FALSE),IFERROR(INDIRECT("'WCM Calibration Final'!$C$27")&lt;&gt;"",FALSE)),27,0)</x:f>
        <x:v>0</x:v>
      </x:c>
      <x:c r="JB27" t="n">
        <x:f>'Calculations'!JB26+IF('Calculations'!JA27&gt;0,1,0)</x:f>
        <x:v>0</x:v>
      </x:c>
      <x:c r="JC27" t="n">
        <x:f>IF(OR('Calculations'!HF27="",'Calculations'!HF27="!AMBIG"),0,IF('Dashboard'!$B$7="All",1,COUNTIFS('Calculations'!$HO$13:$HO$512,"="&amp;SUBSTITUTE(SUBSTITUTE(SUBSTITUTE('Calculations'!HF27,"~","~~"),"*","~*"),"?","~?"),'Calculations'!$HN$13:$HN$512,"="&amp;SUBSTITUTE(SUBSTITUTE(SUBSTITUTE('Dashboard'!$B$7,"~","~~"),"*","~*"),"?","~?"))+COUNTIFS('Calculations'!$HP$13:$HP$512,"="&amp;SUBSTITUTE(SUBSTITUTE(SUBSTITUTE('Calculations'!HF27,"~","~~"),"*","~*"),"?","~?"),'Calculations'!$HN$13:$HN$512,"="&amp;SUBSTITUTE(SUBSTITUTE(SUBSTITUTE('Dashboard'!$B$7,"~","~~"),"*","~*"),"?","~?"))+COUNTIFS('Calculations'!$HQ$13:$HQ$512,"="&amp;SUBSTITUTE(SUBSTITUTE(SUBSTITUTE('Calculations'!HF27,"~","~~"),"*","~*"),"?","~?"),'Calculations'!$HN$13:$HN$512,"="&amp;SUBSTITUTE(SUBSTITUTE(SUBSTITUTE('Dashboard'!$B$7,"~","~~"),"*","~*"),"?","~?"))+COUNTIFS('Calculations'!$HR$13:$HR$512,"="&amp;SUBSTITUTE(SUBSTITUTE(SUBSTITUTE('Calculations'!HF27,"~","~~"),"*","~*"),"?","~?"),'Calculations'!$HN$13:$HN$512,"="&amp;SUBSTITUTE(SUBSTITUTE(SUBSTITUTE('Dashboard'!$B$7,"~","~~"),"*","~*"),"?","~?"))+COUNTIFS('Calculations'!$HS$13:$HS$512,"="&amp;SUBSTITUTE(SUBSTITUTE(SUBSTITUTE('Calculations'!HF27,"~","~~"),"*","~*"),"?","~?"),'Calculations'!$HN$13:$HN$512,"="&amp;SUBSTITUTE(SUBSTITUTE(SUBSTITUTE('Dashboard'!$B$7,"~","~~"),"*","~*"),"?","~?"))+COUNTIFS('Calculations'!$HT$13:$HT$512,"="&amp;SUBSTITUTE(SUBSTITUTE(SUBSTITUTE('Calculations'!HF27,"~","~~"),"*","~*"),"?","~?"),'Calculations'!$HN$13:$HN$512,"="&amp;SUBSTITUTE(SUBSTITUTE(SUBSTITUTE('Dashboard'!$B$7,"~","~~"),"*","~*"),"?","~?"))+COUNTIFS('Calculations'!$HU$13:$HU$512,"="&amp;SUBSTITUTE(SUBSTITUTE(SUBSTITUTE('Calculations'!HF27,"~","~~"),"*","~*"),"?","~?"),'Calculations'!$HN$13:$HN$512,"="&amp;SUBSTITUTE(SUBSTITUTE(SUBSTITUTE('Dashboard'!$B$7,"~","~~"),"*","~*"),"?","~?"))+COUNTIFS('Calculations'!$HV$13:$HV$512,"="&amp;SUBSTITUTE(SUBSTITUTE(SUBSTITUTE('Calculations'!HF27,"~","~~"),"*","~*"),"?","~?"),'Calculations'!$HN$13:$HN$512,"="&amp;SUBSTITUTE(SUBSTITUTE(SUBSTITUTE('Dashboard'!$B$7,"~","~~"),"*","~*"),"?","~?"))+COUNTIFS('Calculations'!$HW$13:$HW$512,"="&amp;SUBSTITUTE(SUBSTITUTE(SUBSTITUTE('Calculations'!HF27,"~","~~"),"*","~*"),"?","~?"),'Calculations'!$HN$13:$HN$512,"="&amp;SUBSTITUTE(SUBSTITUTE(SUBSTITUTE('Dashboard'!$B$7,"~","~~"),"*","~*"),"?","~?"))+COUNTIFS('Calculations'!$HX$13:$HX$512,"="&amp;SUBSTITUTE(SUBSTITUTE(SUBSTITUTE('Calculations'!HF27,"~","~~"),"*","~*"),"?","~?"),'Calculations'!$HN$13:$HN$512,"="&amp;SUBSTITUTE(SUBSTITUTE(SUBSTITUTE('Dashboard'!$B$7,"~","~~"),"*","~*"),"?","~?"))+COUNTIFS('Calculations'!$HY$13:$HY$512,"="&amp;SUBSTITUTE(SUBSTITUTE(SUBSTITUTE('Calculations'!HF27,"~","~~"),"*","~*"),"?","~?"),'Calculations'!$HN$13:$HN$512,"="&amp;SUBSTITUTE(SUBSTITUTE(SUBSTITUTE('Dashboard'!$B$7,"~","~~"),"*","~*"),"?","~?"))+COUNTIFS('Calculations'!$HZ$13:$HZ$512,"="&amp;SUBSTITUTE(SUBSTITUTE(SUBSTITUTE('Calculations'!HF27,"~","~~"),"*","~*"),"?","~?"),'Calculations'!$HN$13:$HN$512,"="&amp;SUBSTITUTE(SUBSTITUTE(SUBSTITUTE('Dashboard'!$B$7,"~","~~"),"*","~*"),"?","~?"))+COUNTIFS('Calculations'!$IA$13:$IA$512,"="&amp;SUBSTITUTE(SUBSTITUTE(SUBSTITUTE('Calculations'!HF27,"~","~~"),"*","~*"),"?","~?"),'Calculations'!$HN$13:$HN$512,"="&amp;SUBSTITUTE(SUBSTITUTE(SUBSTITUTE('Dashboard'!$B$7,"~","~~"),"*","~*"),"?","~?"))+COUNTIFS('Calculations'!$IB$13:$IB$512,"="&amp;SUBSTITUTE(SUBSTITUTE(SUBSTITUTE('Calculations'!HF27,"~","~~"),"*","~*"),"?","~?"),'Calculations'!$HN$13:$HN$512,"="&amp;SUBSTITUTE(SUBSTITUTE(SUBSTITUTE('Dashboard'!$B$7,"~","~~"),"*","~*"),"?","~?"))+COUNTIFS('Calculations'!$IC$13:$IC$512,"="&amp;SUBSTITUTE(SUBSTITUTE(SUBSTITUTE('Calculations'!HF27,"~","~~"),"*","~*"),"?","~?"),'Calculations'!$HN$13:$HN$512,"="&amp;SUBSTITUTE(SUBSTITUTE(SUBSTITUTE('Dashboard'!$B$7,"~","~~"),"*","~*"),"?","~?"))+COUNTIFS('Calculations'!$ID$13:$ID$512,"="&amp;SUBSTITUTE(SUBSTITUTE(SUBSTITUTE('Calculations'!HF27,"~","~~"),"*","~*"),"?","~?"),'Calculations'!$HN$13:$HN$512,"="&amp;SUBSTITUTE(SUBSTITUTE(SUBSTITUTE('Dashboard'!$B$7,"~","~~"),"*","~*"),"?","~?"))+COUNTIFS('Calculations'!$IE$13:$IE$512,"="&amp;SUBSTITUTE(SUBSTITUTE(SUBSTITUTE('Calculations'!HF27,"~","~~"),"*","~*"),"?","~?"),'Calculations'!$HN$13:$HN$512,"="&amp;SUBSTITUTE(SUBSTITUTE(SUBSTITUTE('Dashboard'!$B$7,"~","~~"),"*","~*"),"?","~?"))+COUNTIFS('Calculations'!$IF$13:$IF$512,"="&amp;SUBSTITUTE(SUBSTITUTE(SUBSTITUTE('Calculations'!HF27,"~","~~"),"*","~*"),"?","~?"),'Calculations'!$HN$13:$HN$512,"="&amp;SUBSTITUTE(SUBSTITUTE(SUBSTITUTE('Dashboard'!$B$7,"~","~~"),"*","~*"),"?","~?"))+COUNTIFS('Calculations'!$IG$13:$IG$512,"="&amp;SUBSTITUTE(SUBSTITUTE(SUBSTITUTE('Calculations'!HF27,"~","~~"),"*","~*"),"?","~?"),'Calculations'!$HN$13:$HN$512,"="&amp;SUBSTITUTE(SUBSTITUTE(SUBSTITUTE('Dashboard'!$B$7,"~","~~"),"*","~*"),"?","~?"))+COUNTIFS('Calculations'!$IH$13:$IH$512,"="&amp;SUBSTITUTE(SUBSTITUTE(SUBSTITUTE('Calculations'!HF27,"~","~~"),"*","~*"),"?","~?"),'Calculations'!$HN$13:$HN$512,"="&amp;SUBSTITUTE(SUBSTITUTE(SUBSTITUTE('Dashboard'!$B$7,"~","~~"),"*","~*"),"?","~?"))))</x:f>
        <x:v>0</x:v>
      </x:c>
      <x:c r="JD27" t="n">
        <x:f>IF('Calculations'!EM27="",0,IF('Dashboard'!$B$7="All",1,IF('Calculations'!HN27='Dashboard'!$B$7,1,0)+IFERROR(INDEX('Calculations'!$JC$13:$JC$512,MATCH('Calculations'!HE27,'Calculations'!$HF$13:$HF$512,0)),0)))</x:f>
        <x:v>0</x:v>
      </x:c>
      <x:c r="JE27" t="n">
        <x:f>IF(AND('Calculations'!EM27&lt;&gt;"",'Calculations'!$JJ$2&lt;&gt;"All",'Calculations'!$JJ$2&lt;&gt;"",'Calculations'!HF27='Calculations'!$JJ$2,'Calculations'!HL27=0,'Calculations'!JD27&gt;0),MAX('Calculations'!$JE$12:JE26)+1,0)</x:f>
        <x:v>0</x:v>
      </x:c>
      <x:c r="JF27" t="str">
        <x:f>IF('Calculations'!EM27="","",IFERROR(IF(INDEX(INDIRECT("'WCM Calibration Final'!$G$1:$G$2000"),'Calculations'!$EM27)="","",TRIM(INDEX(INDIRECT("'WCM Calibration Final'!$G$1:$G$2000"),'Calculations'!$EM27)&amp;"")),""))</x:f>
      </x:c>
      <x:c r="JL27" t="str">
        <x:f>IFERROR(INDEX('Calculations'!$HE$13:$HE$512,MATCH(('Calculations'!$JJ$4-1)*6+6,'Calculations'!$JE$13:$JE$512,0)),"")</x:f>
      </x:c>
      <x:c r="JM27" t="str">
        <x:f>IF(OR('Calculations'!JL27="",'Calculations'!JL27="All"),IF(7=0,"Select a manager",IF(7=1,"All reporting branches","")),IFERROR(INDEX('Calculations'!$HG$13:$HG$512,MATCH('Calculations'!JL27,'Calculations'!$HE$13:$HE$512,0)),IFERROR(INDEX('Calculations'!$HJ$13:$HJ$512,MATCH('Calculations'!JL27,'Calculations'!$HF$13:$HF$512,0)),"Manager outside roster")))</x:f>
      </x:c>
      <x:c r="JN27" t="str">
        <x:f>IF(OR('Calculations'!JL27="",'Calculations'!JL27="All"),IF(7=1,"Choose Below direct to focus on one branch",""),IFERROR(INDEX('Calculations'!$JF$13:$JF$512,MATCH('Calculations'!JL27,'Calculations'!$HE$13:$HE$512,0)),"Outside this roster"))</x:f>
      </x:c>
      <x:c r="JO27" t="str">
        <x:f>IF(OR('Calculations'!JL27="",'Calculations'!JL27="All"),"",IFERROR("What: "&amp;IF(INDEX('Calculations'!$BO$13:$BO$512,MATCH('Calculations'!JL27,'Calculations'!$HE$13:$HE$512,0))="","Pending",INDEX('Calculations'!$BO$13:$BO$512,MATCH('Calculations'!JL27,'Calculations'!$HE$13:$HE$512,0)))&amp;"   How: "&amp;IF(INDEX('Calculations'!$BP$13:$BP$512,MATCH('Calculations'!JL27,'Calculations'!$HE$13:$HE$512,0))="","Pending",INDEX('Calculations'!$BP$13:$BP$512,MATCH('Calculations'!JL27,'Calculations'!$HE$13:$HE$512,0))),"What / How: not in roster"))</x:f>
      </x:c>
      <x:c r="JP27" t="str">
        <x:f>IF(OR('Calculations'!JL27="",'Calculations'!JL27="All"),"",COUNTIFS('Calculations'!$HF$13:$HF$512,'Calculations'!JL27,'Calculations'!$JD$13:$JD$512,"&gt;0")&amp;" direct reports in product scope")</x:f>
      </x:c>
      <x:c r="JQ27" t="n">
        <x:f>IF(OR('Calculations'!BM27=0,NOT('Calculations'!$AG$2),'Calculations'!$AG$8&gt;0),0,IF(OR('Dashboard'!$B$7="All",'Calculations'!HN27='Dashboard'!$B$7),IF('Calculations'!$JJ$2="All",1,IF(AND('Calculations'!HF27='Calculations'!$JJ$2,'Calculations'!HL27=0),1,0)),0))</x:f>
        <x:v>0</x:v>
      </x:c>
    </x:row>
    <x:row r="28" ht="21" customHeight="1">
      <x:c r="A28" s="75"/>
      <x:c r="B28" s="75"/>
      <x:c r="C28" s="75"/>
      <x:c r="D28" s="75"/>
      <x:c r="E28" s="75"/>
      <x:c r="F28" s="75"/>
      <x:c r="G28" s="75"/>
      <x:c r="H28" s="75"/>
      <x:c r="I28" s="75"/>
      <x:c r="J28" s="75"/>
      <x:c r="K28" s="75"/>
      <x:c r="L28" s="75"/>
      <x:c r="M28" s="75"/>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t="n">
        <x:f>IF('Calculations'!$EM28="",0,IF(OR(IFERROR(INDEX(INDIRECT("'WCM Calibration Final'!$A$1:$A$2000"),'Calculations'!$EM28)&lt;&gt;"",FALSE),IFERROR(INDEX(INDIRECT("'WCM Calibration Final'!$B$1:$B$2000"),'Calculations'!$EM28)&lt;&gt;"",FALSE),IFERROR(INDEX(INDIRECT("'WCM Calibration Final'!$C$1:$C$2000"),'Calculations'!$EM28)&lt;&gt;"",FALSE)),1,0))</x:f>
        <x:v>0</x:v>
      </x:c>
      <x:c r="BN28" s="4" t="n">
        <x:f>IF(AND('Calculations'!BM28=1,'Calculations'!$AG$2,'Calculations'!$EN28=1),1,0)</x:f>
        <x:v>0</x:v>
      </x:c>
      <x:c r="BO28" s="4" t="str">
        <x:f>IF('Calculations'!BM28=0,"",IFERROR(IF(AND(VALUE(INDEX(INDIRECT("'WCM Calibration Final'!$K$1:$K$2000"),'Calculations'!$EM28))&gt;=1,VALUE(INDEX(INDIRECT("'WCM Calibration Final'!$K$1:$K$2000"),'Calculations'!$EM28))&lt;=4,MOD(VALUE(INDEX(INDIRECT("'WCM Calibration Final'!$K$1:$K$2000"),'Calculations'!$EM28)),1)=0),VALUE(INDEX(INDIRECT("'WCM Calibration Final'!$K$1:$K$2000"),'Calculations'!$EM28)),""),""))</x:f>
      </x:c>
      <x:c r="BP28" s="4" t="str">
        <x:f>IF('Calculations'!BM28=0,"",IFERROR(IF(AND(VALUE(INDEX(INDIRECT("'WCM Calibration Final'!$L$1:$L$2000"),'Calculations'!$EM28))&gt;=1,VALUE(INDEX(INDIRECT("'WCM Calibration Final'!$L$1:$L$2000"),'Calculations'!$EM28))&lt;=4,MOD(VALUE(INDEX(INDIRECT("'WCM Calibration Final'!$L$1:$L$2000"),'Calculations'!$EM28)),1)=0),VALUE(INDEX(INDIRECT("'WCM Calibration Final'!$L$1:$L$2000"),'Calculations'!$EM28)),""),""))</x:f>
      </x:c>
      <x:c r="BQ28" s="4"/>
      <x:c r="BR28" s="4"/>
      <x:c r="BS28" s="4"/>
      <x:c r="BT28" s="4" t="n">
        <x:f>IF(AND('Calculations'!BM28=1,ISNUMBER('Calculations'!BO28),ISNUMBER('Calculations'!BP28)),1,0)</x:f>
        <x:v>0</x:v>
      </x:c>
      <x:c r="BU28" s="4" t="str">
        <x:f>IF('Calculations'!BM28=0,"",'Calculations'!$EO28)</x:f>
      </x:c>
      <x:c r="BV28" s="4" t="str">
        <x:f>IF('Calculations'!BM28=0,"",IFERROR(IF(OR(INDEX(INDIRECT("'WCM Calibration Final'!$H$1:$H$2000"),'Calculations'!$EM28)="MANAGING DIRECTOR",INDEX(INDIRECT("'WCM Calibration Final'!$H$1:$H$2000"),'Calculations'!$EM28)="DIRECTOR",INDEX(INDIRECT("'WCM Calibration Final'!$H$1:$H$2000"),'Calculations'!$EM28)="SENIOR VICE PRESIDENT",INDEX(INDIRECT("'WCM Calibration Final'!$H$1:$H$2000"),'Calculations'!$EM28)="VICE PRESIDENT",INDEX(INDIRECT("'WCM Calibration Final'!$H$1:$H$2000"),'Calculations'!$EM28)="ASSISTANT VICE PRESIDENT",INDEX(INDIRECT("'WCM Calibration Final'!$H$1:$H$2000"),'Calculations'!$EM28)="OFFICER"),UPPER(INDEX(INDIRECT("'WCM Calibration Final'!$H$1:$H$2000"),'Calculations'!$EM28)),"Other"),"Other"))</x:f>
      </x:c>
      <x:c r="BW28" s="4"/>
      <x:c r="BX28" s="4"/>
      <x:c r="BY28" s="4" t="n">
        <x:f>IF(AND('Calculations'!BM28=1,'Calculations'!BU28&lt;&gt;"",COUNTIF('Calculations'!$BU$12:BU28,'Calculations'!BU28)=1),MAX('Calculations'!$BY$11:BY27)+1,0)</x:f>
        <x:v>0</x:v>
      </x:c>
      <x:c r="BZ28" s="4" t="str">
        <x:f>IF('Dashboard'!$E$67="What",'Calculations'!BO28,'Calculations'!BP28)</x:f>
      </x:c>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t="str">
        <x:f>IF(17&gt;MAX('Calculations'!$HI$13:$HI$512),"",INDEX('Calculations'!$HN$13:$HN$512,MATCH(17,'Calculations'!$HI$13:$HI$512,0)))</x:f>
      </x:c>
      <x:c r="DB28" s="4" t="str">
        <x:f>IF(17&gt;MAX('Calculations'!$HH$13:$HH$512),"",INDEX('Calculations'!$HJ$13:$HJ$512,MATCH(17,'Calculations'!$HH$13:$HH$512,0)))</x:f>
      </x:c>
      <x:c r="DC28" s="4" t="str">
        <x:f>IF(ROW()-11&gt;MAX('Calculations'!$BY$13:$BY$512),"",INDEX('Calculations'!$BU$13:$BU$512,MATCH(ROW()-11,'Calculations'!$BY$13:$BY$512,0)))</x:f>
      </x:c>
      <x:c r="DD28" s="4" t="str">
        <x:f>IF(17&gt;MAX('Calculations'!$IK$13:$IK$512),"",INDEX('Calculations'!$HK$13:$HK$512,MATCH(17,'Calculations'!$IK$13:$IK$512,0)))</x:f>
      </x:c>
      <x:c r="DE28" s="4" t="str">
        <x:f>'Calculations'!DC28</x:f>
      </x:c>
      <x:c r="DF28" s="4" t="str">
        <x:f>IF('Calculations'!DE28="","",COUNTIFS('Calculations'!$BN$13:$BN$512,1,'Calculations'!$BU$13:$BU$512,'Calculations'!DE28))</x:f>
      </x:c>
      <x:c r="DG28" s="4" t="str">
        <x:f>IF('Calculations'!DE28="","",COUNTIFS('Calculations'!$BN$13:$BN$512,1,'Calculations'!$BU$13:$BU$512,'Calculations'!DE28,'Calculations'!$BT$13:$BT$512,1))</x:f>
      </x:c>
      <x:c r="DH28" s="4" t="str">
        <x:f>IF('Calculations'!DE28="","",'Calculations'!DF28-'Calculations'!DG28)</x:f>
      </x:c>
      <x:c r="DI28" s="4" t="str">
        <x:f>IF(OR('Calculations'!DE28="",'Calculations'!DF28=0),"",'Calculations'!DG28/'Calculations'!DF28)</x:f>
      </x:c>
      <x:c r="DJ28" s="4" t="str">
        <x:f>IF('Calculations'!DE28="","",COUNTIFS('Calculations'!$BN$13:$BN$512,1,'Calculations'!$BU$13:$BU$512,'Calculations'!DE28,'Calculations'!$BT$13:$BT$512,1,'Calculations'!$EE$13:$EE$512,"High"))</x:f>
      </x:c>
      <x:c r="DK28" s="4" t="str">
        <x:f>IF('Calculations'!DE28="","",COUNTIFS('Calculations'!$BN$13:$BN$512,1,'Calculations'!$BU$13:$BU$512,'Calculations'!DE28,'Calculations'!$BT$13:$BT$512,1,'Calculations'!$EE$13:$EE$512,"Strong"))</x:f>
      </x:c>
      <x:c r="DL28" s="4" t="str">
        <x:f>IF('Calculations'!DE28="","",COUNTIFS('Calculations'!$BN$13:$BN$512,1,'Calculations'!$BU$13:$BU$512,'Calculations'!DE28,'Calculations'!$BT$13:$BT$512,1,'Calculations'!$EE$13:$EE$512,"Solid"))</x:f>
      </x:c>
      <x:c r="DM28" s="4" t="str">
        <x:f>IF('Calculations'!DE28="","",COUNTIFS('Calculations'!$BN$13:$BN$512,1,'Calculations'!$BU$13:$BU$512,'Calculations'!DE28,'Calculations'!$BT$13:$BT$512,1,'Calculations'!$EE$13:$EE$512,"Low"))</x:f>
      </x:c>
      <x:c r="DN28" s="4" t="str">
        <x:f>IF('Calculations'!DE28="","",COUNTIFS('Calculations'!$BN$13:$BN$512,1,'Calculations'!$BU$13:$BU$512,'Calculations'!DE28,'Calculations'!$EP$13:$EP$512,1))</x:f>
      </x:c>
      <x:c r="DO28" s="4" t="str">
        <x:f>IF(OR('Calculations'!DE28="",'Calculations'!DG28=0),"",('Calculations'!DJ28+'Calculations'!DK28)/'Calculations'!DG28)</x:f>
      </x:c>
      <x:c r="DP28" s="4" t="n">
        <x:f>IF(AND('Calculations'!DE28&lt;&gt;"",'Calculations'!DF28&gt;0),COUNTIF('Calculations'!$DF$12:DF28,"&gt;0"),0)</x:f>
        <x:v>0</x:v>
      </x:c>
      <x:c r="DQ28" s="4" t="str">
        <x:f>IF(17&gt;MAX('Calculations'!$HH$13:$HH$512),"",INDEX('Calculations'!$HF$13:$HF$512,MATCH(17,'Calculations'!$HH$13:$HH$512,0)))</x:f>
      </x:c>
      <x:c r="DR28" s="4" t="str">
        <x:f>IF(17&gt;MAX('Calculations'!$IK$13:$IK$512),"",INDEX('Calculations'!$HE$13:$HE$512,MATCH(17,'Calculations'!$IK$13:$IK$512,0)))</x:f>
      </x:c>
      <x:c r="DS28" s="4"/>
      <x:c r="DT28" s="4"/>
      <x:c r="DU28" s="4"/>
      <x:c r="DV28" s="4"/>
      <x:c r="DW28" s="4"/>
      <x:c r="DX28" s="4"/>
      <x:c r="DY28" s="4"/>
      <x:c r="DZ28" s="4"/>
      <x:c r="EA28" s="4"/>
      <x:c r="EB28" s="4"/>
      <x:c r="EC28" s="4"/>
      <x:c r="ED28" s="4"/>
      <x:c r="EE28" s="4" t="str">
        <x:f>IF('Calculations'!BT28=0,"Not Rated",IF(OR('Calculations'!BO28&gt;=4,'Calculations'!BP28&gt;=4),"Low",IF('Calculations'!BO28+'Calculations'!BP28&lt;=3,"High",IF('Calculations'!BO28+'Calculations'!BP28&lt;=4,"Strong","Solid"))))</x:f>
        <x:v>Not Rated</x:v>
      </x:c>
      <x:c r="EF28" s="4"/>
      <x:c r="EG28" s="4"/>
      <x:c r="EH28" s="4"/>
      <x:c r="EI28" s="4"/>
      <x:c r="EJ28" s="4"/>
      <x:c r="EK28" s="4"/>
      <x:c r="EL28" s="4"/>
      <x:c r="EM28" s="4" t="str">
        <x:f>IF(16&gt;'Calculations'!$JB$2000,"",INDEX('Calculations'!$JA$12:$JA$2000,MATCH(16,'Calculations'!$JB$12:$JB$2000,0)))</x:f>
      </x:c>
      <x:c r="EN28" s="4" t="n">
        <x:f>IF(OR('Calculations'!EM28="",'Calculations'!$AG$8&gt;0,AND('Calculations'!$EF$2&lt;&gt;"All",'Calculations'!HE28='Calculations'!$EF$2),AND('Calculations'!$EF$3&lt;&gt;"All",'Calculations'!HE28='Calculations'!$EF$3)),0,IF(OR('Dashboard'!$B$7="All",'Calculations'!HN28='Dashboard'!$B$7),IF('Calculations'!$EF$2="All",1,IF('Calculations'!HL28&gt;0,0,IF(COUNTIF('Calculations'!HO28:II28,"="&amp;SUBSTITUTE(SUBSTITUTE(SUBSTITUTE('Calculations'!$EF$2,"~","~~"),"*","~*"),"?","~?"))=0,0,IF('Calculations'!$EF$3="All",1,IF(COUNTIF('Calculations'!HO28:II28,"="&amp;SUBSTITUTE(SUBSTITUTE(SUBSTITUTE('Calculations'!$EF$3,"~","~~"),"*","~*"),"?","~?"))&gt;0,1,0))))),0))</x:f>
        <x:v>0</x:v>
      </x:c>
      <x:c r="EO28" s="4" t="str">
        <x:f>IF('Calculations'!IJ28="","",IF('Calculations'!IJ28="!UNRESOLVED","Unresolved hierarchy",IFERROR(INDEX('Calculations'!$HK$13:$HK$512,MATCH('Calculations'!IJ28,'Calculations'!$HE$13:$HE$512,0)),IFERROR(INDEX('Calculations'!$HJ$13:$HJ$512,MATCH('Calculations'!IJ28,'Calculations'!$HF$13:$HF$512,0)),'Calculations'!IJ28))))</x:f>
      </x:c>
      <x:c r="EP28" s="4" t="n">
        <x:f>IF(AND('Calculations'!EM28&lt;&gt;"",'Calculations'!HF28='Calculations'!IJ28),1,0)</x:f>
        <x:v>0</x:v>
      </x:c>
      <x:c r="EQ28" s="4"/>
      <x:c r="ER28" s="4"/>
      <x:c r="ES28" s="4"/>
      <x:c r="ET28" s="4"/>
      <x:c r="EU28" s="4"/>
      <x:c r="EV28" s="4"/>
      <x:c r="EW28" s="4"/>
      <x:c r="EX28" s="4"/>
      <x:c r="EY28" s="4"/>
      <x:c r="EZ28" s="4"/>
      <x:c r="FA28" s="4"/>
      <x:c r="FB28" s="4"/>
      <x:c r="FC28" s="4"/>
      <x:c r="FD28" s="4"/>
      <x:c r="FE28" s="4"/>
      <x:c r="FF28" s="4"/>
      <x:c r="FG28" s="4"/>
      <x:c r="FH28" s="4"/>
      <x:c r="FI28" s="4"/>
      <x:c r="FJ28" s="4"/>
      <x:c r="FK28" s="4"/>
      <x:c r="FL28" s="4"/>
      <x:c r="FM28" s="4"/>
      <x:c r="FN28" s="4"/>
      <x:c r="FO28" s="4"/>
      <x:c r="GA28" s="71"/>
      <x:c r="GB28" s="71"/>
      <x:c r="GC28" s="71"/>
      <x:c r="GD28" s="71"/>
      <x:c r="GE28" s="71"/>
      <x:c r="GF28" s="71"/>
      <x:c r="GG28" s="71"/>
      <x:c r="GH28" s="71"/>
      <x:c r="GI28" s="71"/>
      <x:c r="GJ28" s="71"/>
      <x:c r="GK28" s="71"/>
      <x:c r="GL28" s="71"/>
      <x:c r="GM28" s="71"/>
      <x:c r="GN28" s="71"/>
      <x:c r="GO28" s="71"/>
      <x:c r="GP28" s="71"/>
      <x:c r="GQ28" s="71"/>
      <x:c r="GR28" s="71"/>
      <x:c r="GS28" s="71"/>
      <x:c r="GT28" s="71"/>
      <x:c r="GU28" s="71"/>
      <x:c r="GV28" s="71"/>
      <x:c r="GW28" s="71"/>
      <x:c r="GX28" s="71"/>
      <x:c r="GY28" s="71"/>
      <x:c r="GZ28" s="71"/>
      <x:c r="HA28" s="71"/>
      <x:c r="HB28" s="71"/>
      <x:c r="HC28" s="71"/>
      <x:c r="HD28" s="71"/>
      <x:c r="HE28" t="str">
        <x:f>IF('Calculations'!EM28="","",IF(IFERROR(IF(INDEX(INDIRECT("'WCM Calibration Final'!$A$1:$A$2000"),'Calculations'!$EM28)="","",TRIM(INDEX(INDIRECT("'WCM Calibration Final'!$A$1:$A$2000"),'Calculations'!$EM28)&amp;"")),"")&lt;&gt;"","G:"&amp;IFERROR(TEXT(1*INDEX(INDIRECT("'WCM Calibration Final'!$A$1:$A$2000"),'Calculations'!$EM28),"0"),UPPER(IFERROR(IF(INDEX(INDIRECT("'WCM Calibration Final'!$A$1:$A$2000"),'Calculations'!$EM28)="","",TRIM(INDEX(INDIRECT("'WCM Calibration Final'!$A$1:$A$2000"),'Calculations'!$EM28)&amp;"")),""))),IF(IFERROR(IF(INDEX(INDIRECT("'WCM Calibration Final'!$C$1:$C$2000"),'Calculations'!$EM28)="","",TRIM(INDEX(INDIRECT("'WCM Calibration Final'!$C$1:$C$2000"),'Calculations'!$EM28)&amp;"")),"")&lt;&gt;"","S:"&amp;UPPER(IFERROR(IF(INDEX(INDIRECT("'WCM Calibration Final'!$C$1:$C$2000"),'Calculations'!$EM28)="","",TRIM(INDEX(INDIRECT("'WCM Calibration Final'!$C$1:$C$2000"),'Calculations'!$EM28)&amp;"")),"")),"R:"&amp;'Calculations'!EM28)))</x:f>
      </x:c>
      <x:c r="HF28" t="str">
        <x:f>IF('Calculations'!EM28="","",IF(IFERROR(IF(INDEX(INDIRECT("'WCM Calibration Final'!$D$1:$D$2000"),'Calculations'!$EM28)="","",TRIM(INDEX(INDIRECT("'WCM Calibration Final'!$D$1:$D$2000"),'Calculations'!$EM28)&amp;"")),"")&lt;&gt;"","G:"&amp;IFERROR(TEXT(1*INDEX(INDIRECT("'WCM Calibration Final'!$D$1:$D$2000"),'Calculations'!$EM28),"0"),UPPER(IFERROR(IF(INDEX(INDIRECT("'WCM Calibration Final'!$D$1:$D$2000"),'Calculations'!$EM28)="","",TRIM(INDEX(INDIRECT("'WCM Calibration Final'!$D$1:$D$2000"),'Calculations'!$EM28)&amp;"")),""))),IF(IFERROR(IF(INDEX(INDIRECT("'WCM Calibration Final'!$E$1:$E$2000"),'Calculations'!$EM28)="","",TRIM(INDEX(INDIRECT("'WCM Calibration Final'!$E$1:$E$2000"),'Calculations'!$EM28)&amp;"")),"")="","",IF(COUNTIF('Calculations'!$HG$13:$HG$512,"="&amp;SUBSTITUTE(SUBSTITUTE(SUBSTITUTE(IFERROR(IF(INDEX(INDIRECT("'WCM Calibration Final'!$E$1:$E$2000"),'Calculations'!$EM28)="","",TRIM(INDEX(INDIRECT("'WCM Calibration Final'!$E$1:$E$2000"),'Calculations'!$EM28)&amp;"")),""),"~","~~"),"*","~*"),"?","~?"))=1,INDEX('Calculations'!$HE$13:$HE$512,MATCH(IFERROR(IF(INDEX(INDIRECT("'WCM Calibration Final'!$E$1:$E$2000"),'Calculations'!$EM28)="","",TRIM(INDEX(INDIRECT("'WCM Calibration Final'!$E$1:$E$2000"),'Calculations'!$EM28)&amp;"")),""),'Calculations'!$HG$13:$HG$512,0)),IF(COUNTIF('Calculations'!$HG$13:$HG$512,"="&amp;SUBSTITUTE(SUBSTITUTE(SUBSTITUTE(IFERROR(IF(INDEX(INDIRECT("'WCM Calibration Final'!$E$1:$E$2000"),'Calculations'!$EM28)="","",TRIM(INDEX(INDIRECT("'WCM Calibration Final'!$E$1:$E$2000"),'Calculations'!$EM28)&amp;"")),""),"~","~~"),"*","~*"),"?","~?"))&gt;1,"!AMBIG","X:"&amp;IFERROR(IF(INDEX(INDIRECT("'WCM Calibration Final'!$E$1:$E$2000"),'Calculations'!$EM28)="","",TRIM(INDEX(INDIRECT("'WCM Calibration Final'!$E$1:$E$2000"),'Calculations'!$EM28)&amp;"")),""))))))</x:f>
      </x:c>
      <x:c r="HG28" t="str">
        <x:f>IF('Calculations'!EM28="","",IFERROR(IF(INDEX(INDIRECT("'WCM Calibration Final'!$B$1:$B$2000"),'Calculations'!$EM28)="","",TRIM(INDEX(INDIRECT("'WCM Calibration Final'!$B$1:$B$2000"),'Calculations'!$EM28)&amp;"")),""))</x:f>
      </x:c>
      <x:c r="HH28" t="n">
        <x:f>IF(AND('Calculations'!JC28&gt;0,COUNTIF('Calculations'!$HF$12:HF28,"="&amp;SUBSTITUTE(SUBSTITUTE(SUBSTITUTE('Calculations'!HF28,"~","~~"),"*","~*"),"?","~?"))=1),MAX('Calculations'!$HH$12:HH27)+1,0)</x:f>
        <x:v>0</x:v>
      </x:c>
      <x:c r="HI28" t="n">
        <x:f>IF(AND('Calculations'!HN28&lt;&gt;"",COUNTIF('Calculations'!$HN$12:HN28,"="&amp;SUBSTITUTE(SUBSTITUTE(SUBSTITUTE('Calculations'!HN28,"~","~~"),"*","~*"),"?","~?"))=1),MAX('Calculations'!$HI$12:HI27)+1,0)</x:f>
        <x:v>0</x:v>
      </x:c>
      <x:c r="HJ28" t="str">
        <x:f>IF('Calculations'!HF28="","",IF(COUNTIF('Calculations'!$HE$13:$HE$512,"="&amp;SUBSTITUTE(SUBSTITUTE(SUBSTITUTE('Calculations'!HF28,"~","~~"),"*","~*"),"?","~?"))=1,INDEX('Calculations'!$HK$13:$HK$512,MATCH('Calculations'!HF28,'Calculations'!$HE$13:$HE$512,0)),IFERROR(IF(INDEX(INDIRECT("'WCM Calibration Final'!$E$1:$E$2000"),'Calculations'!$EM28)="","",TRIM(INDEX(INDIRECT("'WCM Calibration Final'!$E$1:$E$2000"),'Calculations'!$EM28)&amp;"")),"")&amp;" ["&amp;'Calculations'!HF28&amp;"]"))</x:f>
      </x:c>
      <x:c r="HK28" t="str">
        <x:f>IF('Calculations'!EM28="","",'Calculations'!HG28&amp;" ["&amp;'Calculations'!HE28&amp;"]")</x:f>
      </x:c>
      <x:c r="HL28" t="n">
        <x:f>IF('Calculations'!EM28="",0,IF(OR('Calculations'!II28&lt;&gt;"",COUNTIF('Calculations'!$HE$13:$HE$512,"="&amp;SUBSTITUTE(SUBSTITUTE(SUBSTITUTE('Calculations'!HE28,"~","~~"),"*","~*"),"?","~?"))&gt;1),1,0))</x:f>
        <x:v>0</x:v>
      </x:c>
      <x:c r="HM28" t="str">
        <x:f>IF('Calculations'!EM28="","",IF('Calculations'!HL28=1,"!UNRESOLVED",IF('Calculations'!IH28&lt;&gt;"",'Calculations'!IH28,IF('Calculations'!IG28&lt;&gt;"",'Calculations'!IG28,IF('Calculations'!IF28&lt;&gt;"",'Calculations'!IF28,IF('Calculations'!IE28&lt;&gt;"",'Calculations'!IE28,IF('Calculations'!ID28&lt;&gt;"",'Calculations'!ID28,IF('Calculations'!IC28&lt;&gt;"",'Calculations'!IC28,IF('Calculations'!IB28&lt;&gt;"",'Calculations'!IB28,IF('Calculations'!IA28&lt;&gt;"",'Calculations'!IA28,IF('Calculations'!HZ28&lt;&gt;"",'Calculations'!HZ28,IF('Calculations'!HY28&lt;&gt;"",'Calculations'!HY28,IF('Calculations'!HX28&lt;&gt;"",'Calculations'!HX28,IF('Calculations'!HW28&lt;&gt;"",'Calculations'!HW28,IF('Calculations'!HV28&lt;&gt;"",'Calculations'!HV28,IF('Calculations'!HU28&lt;&gt;"",'Calculations'!HU28,IF('Calculations'!HT28&lt;&gt;"",'Calculations'!HT28,IF('Calculations'!HS28&lt;&gt;"",'Calculations'!HS28,IF('Calculations'!HR28&lt;&gt;"",'Calculations'!HR28,IF('Calculations'!HQ28&lt;&gt;"",'Calculations'!HQ28,IF('Calculations'!HP28&lt;&gt;"",'Calculations'!HP28,IF('Calculations'!HO28&lt;&gt;"",'Calculations'!HO28,'Calculations'!HE28))))))))))))))))))))))</x:f>
      </x:c>
      <x:c r="HN28" t="str">
        <x:f>IF('Calculations'!EM28="","",IF(IFERROR(IF(INDEX(INDIRECT("'WCM Calibration Final'!$F$1:$F$2000"),'Calculations'!$EM28)="","",TRIM(INDEX(INDIRECT("'WCM Calibration Final'!$F$1:$F$2000"),'Calculations'!$EM28)&amp;"")),"")="","(Blank)",IFERROR(IF(INDEX(INDIRECT("'WCM Calibration Final'!$F$1:$F$2000"),'Calculations'!$EM28)="","",TRIM(INDEX(INDIRECT("'WCM Calibration Final'!$F$1:$F$2000"),'Calculations'!$EM28)&amp;"")),"")))</x:f>
      </x:c>
      <x:c r="HO28" t="str">
        <x:f>'Calculations'!HF28</x:f>
      </x:c>
      <x:c r="HP28" t="str">
        <x:f>IF('Calculations'!HO28="","",IF('Calculations'!HO28="!AMBIG","!AMBIG",IF(COUNTIF('Calculations'!$HE$13:$HE$512,"="&amp;SUBSTITUTE(SUBSTITUTE(SUBSTITUTE('Calculations'!HO28,"~","~~"),"*","~*"),"?","~?"))&gt;1,"!AMBIG",IFERROR(INDEX('Calculations'!$HF$13:$HF$512,MATCH('Calculations'!HO28,'Calculations'!$HE$13:$HE$512,0)),""))))</x:f>
      </x:c>
      <x:c r="HQ28" t="str">
        <x:f>IF('Calculations'!HP28="","",IF('Calculations'!HP28="!AMBIG","!AMBIG",IF(COUNTIF('Calculations'!$HE$13:$HE$512,"="&amp;SUBSTITUTE(SUBSTITUTE(SUBSTITUTE('Calculations'!HP28,"~","~~"),"*","~*"),"?","~?"))&gt;1,"!AMBIG",IFERROR(INDEX('Calculations'!$HF$13:$HF$512,MATCH('Calculations'!HP28,'Calculations'!$HE$13:$HE$512,0)),""))))</x:f>
      </x:c>
      <x:c r="HR28" t="str">
        <x:f>IF('Calculations'!HQ28="","",IF('Calculations'!HQ28="!AMBIG","!AMBIG",IF(COUNTIF('Calculations'!$HE$13:$HE$512,"="&amp;SUBSTITUTE(SUBSTITUTE(SUBSTITUTE('Calculations'!HQ28,"~","~~"),"*","~*"),"?","~?"))&gt;1,"!AMBIG",IFERROR(INDEX('Calculations'!$HF$13:$HF$512,MATCH('Calculations'!HQ28,'Calculations'!$HE$13:$HE$512,0)),""))))</x:f>
      </x:c>
      <x:c r="HS28" t="str">
        <x:f>IF('Calculations'!HR28="","",IF('Calculations'!HR28="!AMBIG","!AMBIG",IF(COUNTIF('Calculations'!$HE$13:$HE$512,"="&amp;SUBSTITUTE(SUBSTITUTE(SUBSTITUTE('Calculations'!HR28,"~","~~"),"*","~*"),"?","~?"))&gt;1,"!AMBIG",IFERROR(INDEX('Calculations'!$HF$13:$HF$512,MATCH('Calculations'!HR28,'Calculations'!$HE$13:$HE$512,0)),""))))</x:f>
      </x:c>
      <x:c r="HT28" t="str">
        <x:f>IF('Calculations'!HS28="","",IF('Calculations'!HS28="!AMBIG","!AMBIG",IF(COUNTIF('Calculations'!$HE$13:$HE$512,"="&amp;SUBSTITUTE(SUBSTITUTE(SUBSTITUTE('Calculations'!HS28,"~","~~"),"*","~*"),"?","~?"))&gt;1,"!AMBIG",IFERROR(INDEX('Calculations'!$HF$13:$HF$512,MATCH('Calculations'!HS28,'Calculations'!$HE$13:$HE$512,0)),""))))</x:f>
      </x:c>
      <x:c r="HU28" t="str">
        <x:f>IF('Calculations'!HT28="","",IF('Calculations'!HT28="!AMBIG","!AMBIG",IF(COUNTIF('Calculations'!$HE$13:$HE$512,"="&amp;SUBSTITUTE(SUBSTITUTE(SUBSTITUTE('Calculations'!HT28,"~","~~"),"*","~*"),"?","~?"))&gt;1,"!AMBIG",IFERROR(INDEX('Calculations'!$HF$13:$HF$512,MATCH('Calculations'!HT28,'Calculations'!$HE$13:$HE$512,0)),""))))</x:f>
      </x:c>
      <x:c r="HV28" t="str">
        <x:f>IF('Calculations'!HU28="","",IF('Calculations'!HU28="!AMBIG","!AMBIG",IF(COUNTIF('Calculations'!$HE$13:$HE$512,"="&amp;SUBSTITUTE(SUBSTITUTE(SUBSTITUTE('Calculations'!HU28,"~","~~"),"*","~*"),"?","~?"))&gt;1,"!AMBIG",IFERROR(INDEX('Calculations'!$HF$13:$HF$512,MATCH('Calculations'!HU28,'Calculations'!$HE$13:$HE$512,0)),""))))</x:f>
      </x:c>
      <x:c r="HW28" t="str">
        <x:f>IF('Calculations'!HV28="","",IF('Calculations'!HV28="!AMBIG","!AMBIG",IF(COUNTIF('Calculations'!$HE$13:$HE$512,"="&amp;SUBSTITUTE(SUBSTITUTE(SUBSTITUTE('Calculations'!HV28,"~","~~"),"*","~*"),"?","~?"))&gt;1,"!AMBIG",IFERROR(INDEX('Calculations'!$HF$13:$HF$512,MATCH('Calculations'!HV28,'Calculations'!$HE$13:$HE$512,0)),""))))</x:f>
      </x:c>
      <x:c r="HX28" t="str">
        <x:f>IF('Calculations'!HW28="","",IF('Calculations'!HW28="!AMBIG","!AMBIG",IF(COUNTIF('Calculations'!$HE$13:$HE$512,"="&amp;SUBSTITUTE(SUBSTITUTE(SUBSTITUTE('Calculations'!HW28,"~","~~"),"*","~*"),"?","~?"))&gt;1,"!AMBIG",IFERROR(INDEX('Calculations'!$HF$13:$HF$512,MATCH('Calculations'!HW28,'Calculations'!$HE$13:$HE$512,0)),""))))</x:f>
      </x:c>
      <x:c r="HY28" t="str">
        <x:f>IF('Calculations'!HX28="","",IF('Calculations'!HX28="!AMBIG","!AMBIG",IF(COUNTIF('Calculations'!$HE$13:$HE$512,"="&amp;SUBSTITUTE(SUBSTITUTE(SUBSTITUTE('Calculations'!HX28,"~","~~"),"*","~*"),"?","~?"))&gt;1,"!AMBIG",IFERROR(INDEX('Calculations'!$HF$13:$HF$512,MATCH('Calculations'!HX28,'Calculations'!$HE$13:$HE$512,0)),""))))</x:f>
      </x:c>
      <x:c r="HZ28" t="str">
        <x:f>IF('Calculations'!HY28="","",IF('Calculations'!HY28="!AMBIG","!AMBIG",IF(COUNTIF('Calculations'!$HE$13:$HE$512,"="&amp;SUBSTITUTE(SUBSTITUTE(SUBSTITUTE('Calculations'!HY28,"~","~~"),"*","~*"),"?","~?"))&gt;1,"!AMBIG",IFERROR(INDEX('Calculations'!$HF$13:$HF$512,MATCH('Calculations'!HY28,'Calculations'!$HE$13:$HE$512,0)),""))))</x:f>
      </x:c>
      <x:c r="IA28" t="str">
        <x:f>IF('Calculations'!HZ28="","",IF('Calculations'!HZ28="!AMBIG","!AMBIG",IF(COUNTIF('Calculations'!$HE$13:$HE$512,"="&amp;SUBSTITUTE(SUBSTITUTE(SUBSTITUTE('Calculations'!HZ28,"~","~~"),"*","~*"),"?","~?"))&gt;1,"!AMBIG",IFERROR(INDEX('Calculations'!$HF$13:$HF$512,MATCH('Calculations'!HZ28,'Calculations'!$HE$13:$HE$512,0)),""))))</x:f>
      </x:c>
      <x:c r="IB28" t="str">
        <x:f>IF('Calculations'!IA28="","",IF('Calculations'!IA28="!AMBIG","!AMBIG",IF(COUNTIF('Calculations'!$HE$13:$HE$512,"="&amp;SUBSTITUTE(SUBSTITUTE(SUBSTITUTE('Calculations'!IA28,"~","~~"),"*","~*"),"?","~?"))&gt;1,"!AMBIG",IFERROR(INDEX('Calculations'!$HF$13:$HF$512,MATCH('Calculations'!IA28,'Calculations'!$HE$13:$HE$512,0)),""))))</x:f>
      </x:c>
      <x:c r="IC28" t="str">
        <x:f>IF('Calculations'!IB28="","",IF('Calculations'!IB28="!AMBIG","!AMBIG",IF(COUNTIF('Calculations'!$HE$13:$HE$512,"="&amp;SUBSTITUTE(SUBSTITUTE(SUBSTITUTE('Calculations'!IB28,"~","~~"),"*","~*"),"?","~?"))&gt;1,"!AMBIG",IFERROR(INDEX('Calculations'!$HF$13:$HF$512,MATCH('Calculations'!IB28,'Calculations'!$HE$13:$HE$512,0)),""))))</x:f>
      </x:c>
      <x:c r="ID28" t="str">
        <x:f>IF('Calculations'!IC28="","",IF('Calculations'!IC28="!AMBIG","!AMBIG",IF(COUNTIF('Calculations'!$HE$13:$HE$512,"="&amp;SUBSTITUTE(SUBSTITUTE(SUBSTITUTE('Calculations'!IC28,"~","~~"),"*","~*"),"?","~?"))&gt;1,"!AMBIG",IFERROR(INDEX('Calculations'!$HF$13:$HF$512,MATCH('Calculations'!IC28,'Calculations'!$HE$13:$HE$512,0)),""))))</x:f>
      </x:c>
      <x:c r="IE28" t="str">
        <x:f>IF('Calculations'!ID28="","",IF('Calculations'!ID28="!AMBIG","!AMBIG",IF(COUNTIF('Calculations'!$HE$13:$HE$512,"="&amp;SUBSTITUTE(SUBSTITUTE(SUBSTITUTE('Calculations'!ID28,"~","~~"),"*","~*"),"?","~?"))&gt;1,"!AMBIG",IFERROR(INDEX('Calculations'!$HF$13:$HF$512,MATCH('Calculations'!ID28,'Calculations'!$HE$13:$HE$512,0)),""))))</x:f>
      </x:c>
      <x:c r="IF28" t="str">
        <x:f>IF('Calculations'!IE28="","",IF('Calculations'!IE28="!AMBIG","!AMBIG",IF(COUNTIF('Calculations'!$HE$13:$HE$512,"="&amp;SUBSTITUTE(SUBSTITUTE(SUBSTITUTE('Calculations'!IE28,"~","~~"),"*","~*"),"?","~?"))&gt;1,"!AMBIG",IFERROR(INDEX('Calculations'!$HF$13:$HF$512,MATCH('Calculations'!IE28,'Calculations'!$HE$13:$HE$512,0)),""))))</x:f>
      </x:c>
      <x:c r="IG28" t="str">
        <x:f>IF('Calculations'!IF28="","",IF('Calculations'!IF28="!AMBIG","!AMBIG",IF(COUNTIF('Calculations'!$HE$13:$HE$512,"="&amp;SUBSTITUTE(SUBSTITUTE(SUBSTITUTE('Calculations'!IF28,"~","~~"),"*","~*"),"?","~?"))&gt;1,"!AMBIG",IFERROR(INDEX('Calculations'!$HF$13:$HF$512,MATCH('Calculations'!IF28,'Calculations'!$HE$13:$HE$512,0)),""))))</x:f>
      </x:c>
      <x:c r="IH28" t="str">
        <x:f>IF('Calculations'!IG28="","",IF('Calculations'!IG28="!AMBIG","!AMBIG",IF(COUNTIF('Calculations'!$HE$13:$HE$512,"="&amp;SUBSTITUTE(SUBSTITUTE(SUBSTITUTE('Calculations'!IG28,"~","~~"),"*","~*"),"?","~?"))&gt;1,"!AMBIG",IFERROR(INDEX('Calculations'!$HF$13:$HF$512,MATCH('Calculations'!IG28,'Calculations'!$HE$13:$HE$512,0)),""))))</x:f>
      </x:c>
      <x:c r="II28" t="str">
        <x:f>IF('Calculations'!IH28="","",IF('Calculations'!IH28="!AMBIG","!AMBIG",IF(COUNTIF('Calculations'!$HE$13:$HE$512,"="&amp;SUBSTITUTE(SUBSTITUTE(SUBSTITUTE('Calculations'!IH28,"~","~~"),"*","~*"),"?","~?"))&gt;1,"!AMBIG",IFERROR(INDEX('Calculations'!$HF$13:$HF$512,MATCH('Calculations'!IH28,'Calculations'!$HE$13:$HE$512,0)),""))))</x:f>
      </x:c>
      <x:c r="IJ28" t="str">
        <x:f>IF('Calculations'!EM28="","",IF('Calculations'!$EF$2="All",'Calculations'!HM28,IF('Calculations'!HL28=1,"",IFERROR(IF(MATCH('Calculations'!$EF$2,'Calculations'!HO28:II28,0)=1,'Calculations'!HE28,INDEX('Calculations'!HO28:II28,1,MATCH('Calculations'!$EF$2,'Calculations'!HO28:II28,0)-1)),""))))</x:f>
      </x:c>
      <x:c r="IK28" t="n">
        <x:f>IF(AND('Calculations'!EM28&lt;&gt;"",'Calculations'!$EF$2&lt;&gt;"All",'Calculations'!HF28='Calculations'!$EF$2,'Calculations'!HL28=0,'Calculations'!JD28&gt;0),MAX('Calculations'!$IK$12:IK27)+1,0)</x:f>
        <x:v>0</x:v>
      </x:c>
      <x:c r="JA28" t="n">
        <x:f>IF(OR(IFERROR(INDIRECT("'WCM Calibration Final'!$A$28")&lt;&gt;"",FALSE),IFERROR(INDIRECT("'WCM Calibration Final'!$B$28")&lt;&gt;"",FALSE),IFERROR(INDIRECT("'WCM Calibration Final'!$C$28")&lt;&gt;"",FALSE)),28,0)</x:f>
        <x:v>0</x:v>
      </x:c>
      <x:c r="JB28" t="n">
        <x:f>'Calculations'!JB27+IF('Calculations'!JA28&gt;0,1,0)</x:f>
        <x:v>0</x:v>
      </x:c>
      <x:c r="JC28" t="n">
        <x:f>IF(OR('Calculations'!HF28="",'Calculations'!HF28="!AMBIG"),0,IF('Dashboard'!$B$7="All",1,COUNTIFS('Calculations'!$HO$13:$HO$512,"="&amp;SUBSTITUTE(SUBSTITUTE(SUBSTITUTE('Calculations'!HF28,"~","~~"),"*","~*"),"?","~?"),'Calculations'!$HN$13:$HN$512,"="&amp;SUBSTITUTE(SUBSTITUTE(SUBSTITUTE('Dashboard'!$B$7,"~","~~"),"*","~*"),"?","~?"))+COUNTIFS('Calculations'!$HP$13:$HP$512,"="&amp;SUBSTITUTE(SUBSTITUTE(SUBSTITUTE('Calculations'!HF28,"~","~~"),"*","~*"),"?","~?"),'Calculations'!$HN$13:$HN$512,"="&amp;SUBSTITUTE(SUBSTITUTE(SUBSTITUTE('Dashboard'!$B$7,"~","~~"),"*","~*"),"?","~?"))+COUNTIFS('Calculations'!$HQ$13:$HQ$512,"="&amp;SUBSTITUTE(SUBSTITUTE(SUBSTITUTE('Calculations'!HF28,"~","~~"),"*","~*"),"?","~?"),'Calculations'!$HN$13:$HN$512,"="&amp;SUBSTITUTE(SUBSTITUTE(SUBSTITUTE('Dashboard'!$B$7,"~","~~"),"*","~*"),"?","~?"))+COUNTIFS('Calculations'!$HR$13:$HR$512,"="&amp;SUBSTITUTE(SUBSTITUTE(SUBSTITUTE('Calculations'!HF28,"~","~~"),"*","~*"),"?","~?"),'Calculations'!$HN$13:$HN$512,"="&amp;SUBSTITUTE(SUBSTITUTE(SUBSTITUTE('Dashboard'!$B$7,"~","~~"),"*","~*"),"?","~?"))+COUNTIFS('Calculations'!$HS$13:$HS$512,"="&amp;SUBSTITUTE(SUBSTITUTE(SUBSTITUTE('Calculations'!HF28,"~","~~"),"*","~*"),"?","~?"),'Calculations'!$HN$13:$HN$512,"="&amp;SUBSTITUTE(SUBSTITUTE(SUBSTITUTE('Dashboard'!$B$7,"~","~~"),"*","~*"),"?","~?"))+COUNTIFS('Calculations'!$HT$13:$HT$512,"="&amp;SUBSTITUTE(SUBSTITUTE(SUBSTITUTE('Calculations'!HF28,"~","~~"),"*","~*"),"?","~?"),'Calculations'!$HN$13:$HN$512,"="&amp;SUBSTITUTE(SUBSTITUTE(SUBSTITUTE('Dashboard'!$B$7,"~","~~"),"*","~*"),"?","~?"))+COUNTIFS('Calculations'!$HU$13:$HU$512,"="&amp;SUBSTITUTE(SUBSTITUTE(SUBSTITUTE('Calculations'!HF28,"~","~~"),"*","~*"),"?","~?"),'Calculations'!$HN$13:$HN$512,"="&amp;SUBSTITUTE(SUBSTITUTE(SUBSTITUTE('Dashboard'!$B$7,"~","~~"),"*","~*"),"?","~?"))+COUNTIFS('Calculations'!$HV$13:$HV$512,"="&amp;SUBSTITUTE(SUBSTITUTE(SUBSTITUTE('Calculations'!HF28,"~","~~"),"*","~*"),"?","~?"),'Calculations'!$HN$13:$HN$512,"="&amp;SUBSTITUTE(SUBSTITUTE(SUBSTITUTE('Dashboard'!$B$7,"~","~~"),"*","~*"),"?","~?"))+COUNTIFS('Calculations'!$HW$13:$HW$512,"="&amp;SUBSTITUTE(SUBSTITUTE(SUBSTITUTE('Calculations'!HF28,"~","~~"),"*","~*"),"?","~?"),'Calculations'!$HN$13:$HN$512,"="&amp;SUBSTITUTE(SUBSTITUTE(SUBSTITUTE('Dashboard'!$B$7,"~","~~"),"*","~*"),"?","~?"))+COUNTIFS('Calculations'!$HX$13:$HX$512,"="&amp;SUBSTITUTE(SUBSTITUTE(SUBSTITUTE('Calculations'!HF28,"~","~~"),"*","~*"),"?","~?"),'Calculations'!$HN$13:$HN$512,"="&amp;SUBSTITUTE(SUBSTITUTE(SUBSTITUTE('Dashboard'!$B$7,"~","~~"),"*","~*"),"?","~?"))+COUNTIFS('Calculations'!$HY$13:$HY$512,"="&amp;SUBSTITUTE(SUBSTITUTE(SUBSTITUTE('Calculations'!HF28,"~","~~"),"*","~*"),"?","~?"),'Calculations'!$HN$13:$HN$512,"="&amp;SUBSTITUTE(SUBSTITUTE(SUBSTITUTE('Dashboard'!$B$7,"~","~~"),"*","~*"),"?","~?"))+COUNTIFS('Calculations'!$HZ$13:$HZ$512,"="&amp;SUBSTITUTE(SUBSTITUTE(SUBSTITUTE('Calculations'!HF28,"~","~~"),"*","~*"),"?","~?"),'Calculations'!$HN$13:$HN$512,"="&amp;SUBSTITUTE(SUBSTITUTE(SUBSTITUTE('Dashboard'!$B$7,"~","~~"),"*","~*"),"?","~?"))+COUNTIFS('Calculations'!$IA$13:$IA$512,"="&amp;SUBSTITUTE(SUBSTITUTE(SUBSTITUTE('Calculations'!HF28,"~","~~"),"*","~*"),"?","~?"),'Calculations'!$HN$13:$HN$512,"="&amp;SUBSTITUTE(SUBSTITUTE(SUBSTITUTE('Dashboard'!$B$7,"~","~~"),"*","~*"),"?","~?"))+COUNTIFS('Calculations'!$IB$13:$IB$512,"="&amp;SUBSTITUTE(SUBSTITUTE(SUBSTITUTE('Calculations'!HF28,"~","~~"),"*","~*"),"?","~?"),'Calculations'!$HN$13:$HN$512,"="&amp;SUBSTITUTE(SUBSTITUTE(SUBSTITUTE('Dashboard'!$B$7,"~","~~"),"*","~*"),"?","~?"))+COUNTIFS('Calculations'!$IC$13:$IC$512,"="&amp;SUBSTITUTE(SUBSTITUTE(SUBSTITUTE('Calculations'!HF28,"~","~~"),"*","~*"),"?","~?"),'Calculations'!$HN$13:$HN$512,"="&amp;SUBSTITUTE(SUBSTITUTE(SUBSTITUTE('Dashboard'!$B$7,"~","~~"),"*","~*"),"?","~?"))+COUNTIFS('Calculations'!$ID$13:$ID$512,"="&amp;SUBSTITUTE(SUBSTITUTE(SUBSTITUTE('Calculations'!HF28,"~","~~"),"*","~*"),"?","~?"),'Calculations'!$HN$13:$HN$512,"="&amp;SUBSTITUTE(SUBSTITUTE(SUBSTITUTE('Dashboard'!$B$7,"~","~~"),"*","~*"),"?","~?"))+COUNTIFS('Calculations'!$IE$13:$IE$512,"="&amp;SUBSTITUTE(SUBSTITUTE(SUBSTITUTE('Calculations'!HF28,"~","~~"),"*","~*"),"?","~?"),'Calculations'!$HN$13:$HN$512,"="&amp;SUBSTITUTE(SUBSTITUTE(SUBSTITUTE('Dashboard'!$B$7,"~","~~"),"*","~*"),"?","~?"))+COUNTIFS('Calculations'!$IF$13:$IF$512,"="&amp;SUBSTITUTE(SUBSTITUTE(SUBSTITUTE('Calculations'!HF28,"~","~~"),"*","~*"),"?","~?"),'Calculations'!$HN$13:$HN$512,"="&amp;SUBSTITUTE(SUBSTITUTE(SUBSTITUTE('Dashboard'!$B$7,"~","~~"),"*","~*"),"?","~?"))+COUNTIFS('Calculations'!$IG$13:$IG$512,"="&amp;SUBSTITUTE(SUBSTITUTE(SUBSTITUTE('Calculations'!HF28,"~","~~"),"*","~*"),"?","~?"),'Calculations'!$HN$13:$HN$512,"="&amp;SUBSTITUTE(SUBSTITUTE(SUBSTITUTE('Dashboard'!$B$7,"~","~~"),"*","~*"),"?","~?"))+COUNTIFS('Calculations'!$IH$13:$IH$512,"="&amp;SUBSTITUTE(SUBSTITUTE(SUBSTITUTE('Calculations'!HF28,"~","~~"),"*","~*"),"?","~?"),'Calculations'!$HN$13:$HN$512,"="&amp;SUBSTITUTE(SUBSTITUTE(SUBSTITUTE('Dashboard'!$B$7,"~","~~"),"*","~*"),"?","~?"))))</x:f>
        <x:v>0</x:v>
      </x:c>
      <x:c r="JD28" t="n">
        <x:f>IF('Calculations'!EM28="",0,IF('Dashboard'!$B$7="All",1,IF('Calculations'!HN28='Dashboard'!$B$7,1,0)+IFERROR(INDEX('Calculations'!$JC$13:$JC$512,MATCH('Calculations'!HE28,'Calculations'!$HF$13:$HF$512,0)),0)))</x:f>
        <x:v>0</x:v>
      </x:c>
      <x:c r="JE28" t="n">
        <x:f>IF(AND('Calculations'!EM28&lt;&gt;"",'Calculations'!$JJ$2&lt;&gt;"All",'Calculations'!$JJ$2&lt;&gt;"",'Calculations'!HF28='Calculations'!$JJ$2,'Calculations'!HL28=0,'Calculations'!JD28&gt;0),MAX('Calculations'!$JE$12:JE27)+1,0)</x:f>
        <x:v>0</x:v>
      </x:c>
      <x:c r="JF28" t="str">
        <x:f>IF('Calculations'!EM28="","",IFERROR(IF(INDEX(INDIRECT("'WCM Calibration Final'!$G$1:$G$2000"),'Calculations'!$EM28)="","",TRIM(INDEX(INDIRECT("'WCM Calibration Final'!$G$1:$G$2000"),'Calculations'!$EM28)&amp;"")),""))</x:f>
      </x:c>
      <x:c r="JQ28" t="n">
        <x:f>IF(OR('Calculations'!BM28=0,NOT('Calculations'!$AG$2),'Calculations'!$AG$8&gt;0),0,IF(OR('Dashboard'!$B$7="All",'Calculations'!HN28='Dashboard'!$B$7),IF('Calculations'!$JJ$2="All",1,IF(AND('Calculations'!HF28='Calculations'!$JJ$2,'Calculations'!HL28=0),1,0)),0))</x:f>
        <x:v>0</x:v>
      </x:c>
    </x:row>
    <x:row r="29" ht="21" customHeight="1">
      <x:c r="A29" s="75"/>
      <x:c r="B29" s="75"/>
      <x:c r="C29" s="75"/>
      <x:c r="D29" s="75"/>
      <x:c r="E29" s="75"/>
      <x:c r="F29" s="75"/>
      <x:c r="G29" s="75"/>
      <x:c r="H29" s="75"/>
      <x:c r="I29" s="75"/>
      <x:c r="J29" s="75"/>
      <x:c r="K29" s="75"/>
      <x:c r="L29" s="75"/>
      <x:c r="M29" s="75"/>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t="n">
        <x:f>IF('Calculations'!$EM29="",0,IF(OR(IFERROR(INDEX(INDIRECT("'WCM Calibration Final'!$A$1:$A$2000"),'Calculations'!$EM29)&lt;&gt;"",FALSE),IFERROR(INDEX(INDIRECT("'WCM Calibration Final'!$B$1:$B$2000"),'Calculations'!$EM29)&lt;&gt;"",FALSE),IFERROR(INDEX(INDIRECT("'WCM Calibration Final'!$C$1:$C$2000"),'Calculations'!$EM29)&lt;&gt;"",FALSE)),1,0))</x:f>
        <x:v>0</x:v>
      </x:c>
      <x:c r="BN29" s="4" t="n">
        <x:f>IF(AND('Calculations'!BM29=1,'Calculations'!$AG$2,'Calculations'!$EN29=1),1,0)</x:f>
        <x:v>0</x:v>
      </x:c>
      <x:c r="BO29" s="4" t="str">
        <x:f>IF('Calculations'!BM29=0,"",IFERROR(IF(AND(VALUE(INDEX(INDIRECT("'WCM Calibration Final'!$K$1:$K$2000"),'Calculations'!$EM29))&gt;=1,VALUE(INDEX(INDIRECT("'WCM Calibration Final'!$K$1:$K$2000"),'Calculations'!$EM29))&lt;=4,MOD(VALUE(INDEX(INDIRECT("'WCM Calibration Final'!$K$1:$K$2000"),'Calculations'!$EM29)),1)=0),VALUE(INDEX(INDIRECT("'WCM Calibration Final'!$K$1:$K$2000"),'Calculations'!$EM29)),""),""))</x:f>
      </x:c>
      <x:c r="BP29" s="4" t="str">
        <x:f>IF('Calculations'!BM29=0,"",IFERROR(IF(AND(VALUE(INDEX(INDIRECT("'WCM Calibration Final'!$L$1:$L$2000"),'Calculations'!$EM29))&gt;=1,VALUE(INDEX(INDIRECT("'WCM Calibration Final'!$L$1:$L$2000"),'Calculations'!$EM29))&lt;=4,MOD(VALUE(INDEX(INDIRECT("'WCM Calibration Final'!$L$1:$L$2000"),'Calculations'!$EM29)),1)=0),VALUE(INDEX(INDIRECT("'WCM Calibration Final'!$L$1:$L$2000"),'Calculations'!$EM29)),""),""))</x:f>
      </x:c>
      <x:c r="BQ29" s="4"/>
      <x:c r="BR29" s="4"/>
      <x:c r="BS29" s="4"/>
      <x:c r="BT29" s="4" t="n">
        <x:f>IF(AND('Calculations'!BM29=1,ISNUMBER('Calculations'!BO29),ISNUMBER('Calculations'!BP29)),1,0)</x:f>
        <x:v>0</x:v>
      </x:c>
      <x:c r="BU29" s="4" t="str">
        <x:f>IF('Calculations'!BM29=0,"",'Calculations'!$EO29)</x:f>
      </x:c>
      <x:c r="BV29" s="4" t="str">
        <x:f>IF('Calculations'!BM29=0,"",IFERROR(IF(OR(INDEX(INDIRECT("'WCM Calibration Final'!$H$1:$H$2000"),'Calculations'!$EM29)="MANAGING DIRECTOR",INDEX(INDIRECT("'WCM Calibration Final'!$H$1:$H$2000"),'Calculations'!$EM29)="DIRECTOR",INDEX(INDIRECT("'WCM Calibration Final'!$H$1:$H$2000"),'Calculations'!$EM29)="SENIOR VICE PRESIDENT",INDEX(INDIRECT("'WCM Calibration Final'!$H$1:$H$2000"),'Calculations'!$EM29)="VICE PRESIDENT",INDEX(INDIRECT("'WCM Calibration Final'!$H$1:$H$2000"),'Calculations'!$EM29)="ASSISTANT VICE PRESIDENT",INDEX(INDIRECT("'WCM Calibration Final'!$H$1:$H$2000"),'Calculations'!$EM29)="OFFICER"),UPPER(INDEX(INDIRECT("'WCM Calibration Final'!$H$1:$H$2000"),'Calculations'!$EM29)),"Other"),"Other"))</x:f>
      </x:c>
      <x:c r="BW29" s="4"/>
      <x:c r="BX29" s="4"/>
      <x:c r="BY29" s="4" t="n">
        <x:f>IF(AND('Calculations'!BM29=1,'Calculations'!BU29&lt;&gt;"",COUNTIF('Calculations'!$BU$12:BU29,'Calculations'!BU29)=1),MAX('Calculations'!$BY$11:BY28)+1,0)</x:f>
        <x:v>0</x:v>
      </x:c>
      <x:c r="BZ29" s="4" t="str">
        <x:f>IF('Dashboard'!$E$67="What",'Calculations'!BO29,'Calculations'!BP29)</x:f>
      </x:c>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t="str">
        <x:f>IF(18&gt;MAX('Calculations'!$HI$13:$HI$512),"",INDEX('Calculations'!$HN$13:$HN$512,MATCH(18,'Calculations'!$HI$13:$HI$512,0)))</x:f>
      </x:c>
      <x:c r="DB29" s="4" t="str">
        <x:f>IF(18&gt;MAX('Calculations'!$HH$13:$HH$512),"",INDEX('Calculations'!$HJ$13:$HJ$512,MATCH(18,'Calculations'!$HH$13:$HH$512,0)))</x:f>
      </x:c>
      <x:c r="DC29" s="4" t="str">
        <x:f>IF(ROW()-11&gt;MAX('Calculations'!$BY$13:$BY$512),"",INDEX('Calculations'!$BU$13:$BU$512,MATCH(ROW()-11,'Calculations'!$BY$13:$BY$512,0)))</x:f>
      </x:c>
      <x:c r="DD29" s="4" t="str">
        <x:f>IF(18&gt;MAX('Calculations'!$IK$13:$IK$512),"",INDEX('Calculations'!$HK$13:$HK$512,MATCH(18,'Calculations'!$IK$13:$IK$512,0)))</x:f>
      </x:c>
      <x:c r="DE29" s="4" t="str">
        <x:f>'Calculations'!DC29</x:f>
      </x:c>
      <x:c r="DF29" s="4" t="str">
        <x:f>IF('Calculations'!DE29="","",COUNTIFS('Calculations'!$BN$13:$BN$512,1,'Calculations'!$BU$13:$BU$512,'Calculations'!DE29))</x:f>
      </x:c>
      <x:c r="DG29" s="4" t="str">
        <x:f>IF('Calculations'!DE29="","",COUNTIFS('Calculations'!$BN$13:$BN$512,1,'Calculations'!$BU$13:$BU$512,'Calculations'!DE29,'Calculations'!$BT$13:$BT$512,1))</x:f>
      </x:c>
      <x:c r="DH29" s="4" t="str">
        <x:f>IF('Calculations'!DE29="","",'Calculations'!DF29-'Calculations'!DG29)</x:f>
      </x:c>
      <x:c r="DI29" s="4" t="str">
        <x:f>IF(OR('Calculations'!DE29="",'Calculations'!DF29=0),"",'Calculations'!DG29/'Calculations'!DF29)</x:f>
      </x:c>
      <x:c r="DJ29" s="4" t="str">
        <x:f>IF('Calculations'!DE29="","",COUNTIFS('Calculations'!$BN$13:$BN$512,1,'Calculations'!$BU$13:$BU$512,'Calculations'!DE29,'Calculations'!$BT$13:$BT$512,1,'Calculations'!$EE$13:$EE$512,"High"))</x:f>
      </x:c>
      <x:c r="DK29" s="4" t="str">
        <x:f>IF('Calculations'!DE29="","",COUNTIFS('Calculations'!$BN$13:$BN$512,1,'Calculations'!$BU$13:$BU$512,'Calculations'!DE29,'Calculations'!$BT$13:$BT$512,1,'Calculations'!$EE$13:$EE$512,"Strong"))</x:f>
      </x:c>
      <x:c r="DL29" s="4" t="str">
        <x:f>IF('Calculations'!DE29="","",COUNTIFS('Calculations'!$BN$13:$BN$512,1,'Calculations'!$BU$13:$BU$512,'Calculations'!DE29,'Calculations'!$BT$13:$BT$512,1,'Calculations'!$EE$13:$EE$512,"Solid"))</x:f>
      </x:c>
      <x:c r="DM29" s="4" t="str">
        <x:f>IF('Calculations'!DE29="","",COUNTIFS('Calculations'!$BN$13:$BN$512,1,'Calculations'!$BU$13:$BU$512,'Calculations'!DE29,'Calculations'!$BT$13:$BT$512,1,'Calculations'!$EE$13:$EE$512,"Low"))</x:f>
      </x:c>
      <x:c r="DN29" s="4" t="str">
        <x:f>IF('Calculations'!DE29="","",COUNTIFS('Calculations'!$BN$13:$BN$512,1,'Calculations'!$BU$13:$BU$512,'Calculations'!DE29,'Calculations'!$EP$13:$EP$512,1))</x:f>
      </x:c>
      <x:c r="DO29" s="4" t="str">
        <x:f>IF(OR('Calculations'!DE29="",'Calculations'!DG29=0),"",('Calculations'!DJ29+'Calculations'!DK29)/'Calculations'!DG29)</x:f>
      </x:c>
      <x:c r="DP29" s="4" t="n">
        <x:f>IF(AND('Calculations'!DE29&lt;&gt;"",'Calculations'!DF29&gt;0),COUNTIF('Calculations'!$DF$12:DF29,"&gt;0"),0)</x:f>
        <x:v>0</x:v>
      </x:c>
      <x:c r="DQ29" s="4" t="str">
        <x:f>IF(18&gt;MAX('Calculations'!$HH$13:$HH$512),"",INDEX('Calculations'!$HF$13:$HF$512,MATCH(18,'Calculations'!$HH$13:$HH$512,0)))</x:f>
      </x:c>
      <x:c r="DR29" s="4" t="str">
        <x:f>IF(18&gt;MAX('Calculations'!$IK$13:$IK$512),"",INDEX('Calculations'!$HE$13:$HE$512,MATCH(18,'Calculations'!$IK$13:$IK$512,0)))</x:f>
      </x:c>
      <x:c r="DS29" s="4"/>
      <x:c r="DT29" s="4"/>
      <x:c r="DU29" s="4"/>
      <x:c r="DV29" s="4"/>
      <x:c r="DW29" s="4"/>
      <x:c r="DX29" s="4"/>
      <x:c r="DY29" s="4"/>
      <x:c r="DZ29" s="4"/>
      <x:c r="EA29" s="4"/>
      <x:c r="EB29" s="4"/>
      <x:c r="EC29" s="4"/>
      <x:c r="ED29" s="4"/>
      <x:c r="EE29" s="4" t="str">
        <x:f>IF('Calculations'!BT29=0,"Not Rated",IF(OR('Calculations'!BO29&gt;=4,'Calculations'!BP29&gt;=4),"Low",IF('Calculations'!BO29+'Calculations'!BP29&lt;=3,"High",IF('Calculations'!BO29+'Calculations'!BP29&lt;=4,"Strong","Solid"))))</x:f>
        <x:v>Not Rated</x:v>
      </x:c>
      <x:c r="EF29" s="4"/>
      <x:c r="EG29" s="4"/>
      <x:c r="EH29" s="4"/>
      <x:c r="EI29" s="4"/>
      <x:c r="EJ29" s="4"/>
      <x:c r="EK29" s="4"/>
      <x:c r="EL29" s="4"/>
      <x:c r="EM29" s="4" t="str">
        <x:f>IF(17&gt;'Calculations'!$JB$2000,"",INDEX('Calculations'!$JA$12:$JA$2000,MATCH(17,'Calculations'!$JB$12:$JB$2000,0)))</x:f>
      </x:c>
      <x:c r="EN29" s="4" t="n">
        <x:f>IF(OR('Calculations'!EM29="",'Calculations'!$AG$8&gt;0,AND('Calculations'!$EF$2&lt;&gt;"All",'Calculations'!HE29='Calculations'!$EF$2),AND('Calculations'!$EF$3&lt;&gt;"All",'Calculations'!HE29='Calculations'!$EF$3)),0,IF(OR('Dashboard'!$B$7="All",'Calculations'!HN29='Dashboard'!$B$7),IF('Calculations'!$EF$2="All",1,IF('Calculations'!HL29&gt;0,0,IF(COUNTIF('Calculations'!HO29:II29,"="&amp;SUBSTITUTE(SUBSTITUTE(SUBSTITUTE('Calculations'!$EF$2,"~","~~"),"*","~*"),"?","~?"))=0,0,IF('Calculations'!$EF$3="All",1,IF(COUNTIF('Calculations'!HO29:II29,"="&amp;SUBSTITUTE(SUBSTITUTE(SUBSTITUTE('Calculations'!$EF$3,"~","~~"),"*","~*"),"?","~?"))&gt;0,1,0))))),0))</x:f>
        <x:v>0</x:v>
      </x:c>
      <x:c r="EO29" s="4" t="str">
        <x:f>IF('Calculations'!IJ29="","",IF('Calculations'!IJ29="!UNRESOLVED","Unresolved hierarchy",IFERROR(INDEX('Calculations'!$HK$13:$HK$512,MATCH('Calculations'!IJ29,'Calculations'!$HE$13:$HE$512,0)),IFERROR(INDEX('Calculations'!$HJ$13:$HJ$512,MATCH('Calculations'!IJ29,'Calculations'!$HF$13:$HF$512,0)),'Calculations'!IJ29))))</x:f>
      </x:c>
      <x:c r="EP29" s="4" t="n">
        <x:f>IF(AND('Calculations'!EM29&lt;&gt;"",'Calculations'!HF29='Calculations'!IJ29),1,0)</x:f>
        <x:v>0</x:v>
      </x:c>
      <x:c r="EQ29" s="4"/>
      <x:c r="ER29" s="4"/>
      <x:c r="ES29" s="4"/>
      <x:c r="ET29" s="4"/>
      <x:c r="EU29" s="4"/>
      <x:c r="EV29" s="4"/>
      <x:c r="EW29" s="4"/>
      <x:c r="EX29" s="4"/>
      <x:c r="EY29" s="4"/>
      <x:c r="EZ29" s="4"/>
      <x:c r="FA29" s="4"/>
      <x:c r="FB29" s="4"/>
      <x:c r="FC29" s="4"/>
      <x:c r="FD29" s="4"/>
      <x:c r="FE29" s="4"/>
      <x:c r="FF29" s="4"/>
      <x:c r="FG29" s="4"/>
      <x:c r="FH29" s="4"/>
      <x:c r="FI29" s="4"/>
      <x:c r="FJ29" s="4"/>
      <x:c r="FK29" s="4"/>
      <x:c r="FL29" s="4"/>
      <x:c r="FM29" s="4"/>
      <x:c r="FN29" s="4"/>
      <x:c r="FO29" s="4"/>
      <x:c r="GA29" s="71"/>
      <x:c r="GB29" s="71"/>
      <x:c r="GC29" s="71"/>
      <x:c r="GD29" s="71"/>
      <x:c r="GE29" s="71"/>
      <x:c r="GF29" s="71"/>
      <x:c r="GG29" s="71"/>
      <x:c r="GH29" s="71"/>
      <x:c r="GI29" s="71"/>
      <x:c r="GJ29" s="71"/>
      <x:c r="GK29" s="71"/>
      <x:c r="GL29" s="71"/>
      <x:c r="GM29" s="71"/>
      <x:c r="GN29" s="71"/>
      <x:c r="GO29" s="71"/>
      <x:c r="GP29" s="71"/>
      <x:c r="GQ29" s="71"/>
      <x:c r="GR29" s="71"/>
      <x:c r="GS29" s="71"/>
      <x:c r="GT29" s="71"/>
      <x:c r="GU29" s="71"/>
      <x:c r="GV29" s="71"/>
      <x:c r="GW29" s="71"/>
      <x:c r="GX29" s="71"/>
      <x:c r="GY29" s="71"/>
      <x:c r="GZ29" s="71"/>
      <x:c r="HA29" s="71"/>
      <x:c r="HB29" s="71"/>
      <x:c r="HC29" s="71"/>
      <x:c r="HD29" s="71"/>
      <x:c r="HE29" t="str">
        <x:f>IF('Calculations'!EM29="","",IF(IFERROR(IF(INDEX(INDIRECT("'WCM Calibration Final'!$A$1:$A$2000"),'Calculations'!$EM29)="","",TRIM(INDEX(INDIRECT("'WCM Calibration Final'!$A$1:$A$2000"),'Calculations'!$EM29)&amp;"")),"")&lt;&gt;"","G:"&amp;IFERROR(TEXT(1*INDEX(INDIRECT("'WCM Calibration Final'!$A$1:$A$2000"),'Calculations'!$EM29),"0"),UPPER(IFERROR(IF(INDEX(INDIRECT("'WCM Calibration Final'!$A$1:$A$2000"),'Calculations'!$EM29)="","",TRIM(INDEX(INDIRECT("'WCM Calibration Final'!$A$1:$A$2000"),'Calculations'!$EM29)&amp;"")),""))),IF(IFERROR(IF(INDEX(INDIRECT("'WCM Calibration Final'!$C$1:$C$2000"),'Calculations'!$EM29)="","",TRIM(INDEX(INDIRECT("'WCM Calibration Final'!$C$1:$C$2000"),'Calculations'!$EM29)&amp;"")),"")&lt;&gt;"","S:"&amp;UPPER(IFERROR(IF(INDEX(INDIRECT("'WCM Calibration Final'!$C$1:$C$2000"),'Calculations'!$EM29)="","",TRIM(INDEX(INDIRECT("'WCM Calibration Final'!$C$1:$C$2000"),'Calculations'!$EM29)&amp;"")),"")),"R:"&amp;'Calculations'!EM29)))</x:f>
      </x:c>
      <x:c r="HF29" t="str">
        <x:f>IF('Calculations'!EM29="","",IF(IFERROR(IF(INDEX(INDIRECT("'WCM Calibration Final'!$D$1:$D$2000"),'Calculations'!$EM29)="","",TRIM(INDEX(INDIRECT("'WCM Calibration Final'!$D$1:$D$2000"),'Calculations'!$EM29)&amp;"")),"")&lt;&gt;"","G:"&amp;IFERROR(TEXT(1*INDEX(INDIRECT("'WCM Calibration Final'!$D$1:$D$2000"),'Calculations'!$EM29),"0"),UPPER(IFERROR(IF(INDEX(INDIRECT("'WCM Calibration Final'!$D$1:$D$2000"),'Calculations'!$EM29)="","",TRIM(INDEX(INDIRECT("'WCM Calibration Final'!$D$1:$D$2000"),'Calculations'!$EM29)&amp;"")),""))),IF(IFERROR(IF(INDEX(INDIRECT("'WCM Calibration Final'!$E$1:$E$2000"),'Calculations'!$EM29)="","",TRIM(INDEX(INDIRECT("'WCM Calibration Final'!$E$1:$E$2000"),'Calculations'!$EM29)&amp;"")),"")="","",IF(COUNTIF('Calculations'!$HG$13:$HG$512,"="&amp;SUBSTITUTE(SUBSTITUTE(SUBSTITUTE(IFERROR(IF(INDEX(INDIRECT("'WCM Calibration Final'!$E$1:$E$2000"),'Calculations'!$EM29)="","",TRIM(INDEX(INDIRECT("'WCM Calibration Final'!$E$1:$E$2000"),'Calculations'!$EM29)&amp;"")),""),"~","~~"),"*","~*"),"?","~?"))=1,INDEX('Calculations'!$HE$13:$HE$512,MATCH(IFERROR(IF(INDEX(INDIRECT("'WCM Calibration Final'!$E$1:$E$2000"),'Calculations'!$EM29)="","",TRIM(INDEX(INDIRECT("'WCM Calibration Final'!$E$1:$E$2000"),'Calculations'!$EM29)&amp;"")),""),'Calculations'!$HG$13:$HG$512,0)),IF(COUNTIF('Calculations'!$HG$13:$HG$512,"="&amp;SUBSTITUTE(SUBSTITUTE(SUBSTITUTE(IFERROR(IF(INDEX(INDIRECT("'WCM Calibration Final'!$E$1:$E$2000"),'Calculations'!$EM29)="","",TRIM(INDEX(INDIRECT("'WCM Calibration Final'!$E$1:$E$2000"),'Calculations'!$EM29)&amp;"")),""),"~","~~"),"*","~*"),"?","~?"))&gt;1,"!AMBIG","X:"&amp;IFERROR(IF(INDEX(INDIRECT("'WCM Calibration Final'!$E$1:$E$2000"),'Calculations'!$EM29)="","",TRIM(INDEX(INDIRECT("'WCM Calibration Final'!$E$1:$E$2000"),'Calculations'!$EM29)&amp;"")),""))))))</x:f>
      </x:c>
      <x:c r="HG29" t="str">
        <x:f>IF('Calculations'!EM29="","",IFERROR(IF(INDEX(INDIRECT("'WCM Calibration Final'!$B$1:$B$2000"),'Calculations'!$EM29)="","",TRIM(INDEX(INDIRECT("'WCM Calibration Final'!$B$1:$B$2000"),'Calculations'!$EM29)&amp;"")),""))</x:f>
      </x:c>
      <x:c r="HH29" t="n">
        <x:f>IF(AND('Calculations'!JC29&gt;0,COUNTIF('Calculations'!$HF$12:HF29,"="&amp;SUBSTITUTE(SUBSTITUTE(SUBSTITUTE('Calculations'!HF29,"~","~~"),"*","~*"),"?","~?"))=1),MAX('Calculations'!$HH$12:HH28)+1,0)</x:f>
        <x:v>0</x:v>
      </x:c>
      <x:c r="HI29" t="n">
        <x:f>IF(AND('Calculations'!HN29&lt;&gt;"",COUNTIF('Calculations'!$HN$12:HN29,"="&amp;SUBSTITUTE(SUBSTITUTE(SUBSTITUTE('Calculations'!HN29,"~","~~"),"*","~*"),"?","~?"))=1),MAX('Calculations'!$HI$12:HI28)+1,0)</x:f>
        <x:v>0</x:v>
      </x:c>
      <x:c r="HJ29" t="str">
        <x:f>IF('Calculations'!HF29="","",IF(COUNTIF('Calculations'!$HE$13:$HE$512,"="&amp;SUBSTITUTE(SUBSTITUTE(SUBSTITUTE('Calculations'!HF29,"~","~~"),"*","~*"),"?","~?"))=1,INDEX('Calculations'!$HK$13:$HK$512,MATCH('Calculations'!HF29,'Calculations'!$HE$13:$HE$512,0)),IFERROR(IF(INDEX(INDIRECT("'WCM Calibration Final'!$E$1:$E$2000"),'Calculations'!$EM29)="","",TRIM(INDEX(INDIRECT("'WCM Calibration Final'!$E$1:$E$2000"),'Calculations'!$EM29)&amp;"")),"")&amp;" ["&amp;'Calculations'!HF29&amp;"]"))</x:f>
      </x:c>
      <x:c r="HK29" t="str">
        <x:f>IF('Calculations'!EM29="","",'Calculations'!HG29&amp;" ["&amp;'Calculations'!HE29&amp;"]")</x:f>
      </x:c>
      <x:c r="HL29" t="n">
        <x:f>IF('Calculations'!EM29="",0,IF(OR('Calculations'!II29&lt;&gt;"",COUNTIF('Calculations'!$HE$13:$HE$512,"="&amp;SUBSTITUTE(SUBSTITUTE(SUBSTITUTE('Calculations'!HE29,"~","~~"),"*","~*"),"?","~?"))&gt;1),1,0))</x:f>
        <x:v>0</x:v>
      </x:c>
      <x:c r="HM29" t="str">
        <x:f>IF('Calculations'!EM29="","",IF('Calculations'!HL29=1,"!UNRESOLVED",IF('Calculations'!IH29&lt;&gt;"",'Calculations'!IH29,IF('Calculations'!IG29&lt;&gt;"",'Calculations'!IG29,IF('Calculations'!IF29&lt;&gt;"",'Calculations'!IF29,IF('Calculations'!IE29&lt;&gt;"",'Calculations'!IE29,IF('Calculations'!ID29&lt;&gt;"",'Calculations'!ID29,IF('Calculations'!IC29&lt;&gt;"",'Calculations'!IC29,IF('Calculations'!IB29&lt;&gt;"",'Calculations'!IB29,IF('Calculations'!IA29&lt;&gt;"",'Calculations'!IA29,IF('Calculations'!HZ29&lt;&gt;"",'Calculations'!HZ29,IF('Calculations'!HY29&lt;&gt;"",'Calculations'!HY29,IF('Calculations'!HX29&lt;&gt;"",'Calculations'!HX29,IF('Calculations'!HW29&lt;&gt;"",'Calculations'!HW29,IF('Calculations'!HV29&lt;&gt;"",'Calculations'!HV29,IF('Calculations'!HU29&lt;&gt;"",'Calculations'!HU29,IF('Calculations'!HT29&lt;&gt;"",'Calculations'!HT29,IF('Calculations'!HS29&lt;&gt;"",'Calculations'!HS29,IF('Calculations'!HR29&lt;&gt;"",'Calculations'!HR29,IF('Calculations'!HQ29&lt;&gt;"",'Calculations'!HQ29,IF('Calculations'!HP29&lt;&gt;"",'Calculations'!HP29,IF('Calculations'!HO29&lt;&gt;"",'Calculations'!HO29,'Calculations'!HE29))))))))))))))))))))))</x:f>
      </x:c>
      <x:c r="HN29" t="str">
        <x:f>IF('Calculations'!EM29="","",IF(IFERROR(IF(INDEX(INDIRECT("'WCM Calibration Final'!$F$1:$F$2000"),'Calculations'!$EM29)="","",TRIM(INDEX(INDIRECT("'WCM Calibration Final'!$F$1:$F$2000"),'Calculations'!$EM29)&amp;"")),"")="","(Blank)",IFERROR(IF(INDEX(INDIRECT("'WCM Calibration Final'!$F$1:$F$2000"),'Calculations'!$EM29)="","",TRIM(INDEX(INDIRECT("'WCM Calibration Final'!$F$1:$F$2000"),'Calculations'!$EM29)&amp;"")),"")))</x:f>
      </x:c>
      <x:c r="HO29" t="str">
        <x:f>'Calculations'!HF29</x:f>
      </x:c>
      <x:c r="HP29" t="str">
        <x:f>IF('Calculations'!HO29="","",IF('Calculations'!HO29="!AMBIG","!AMBIG",IF(COUNTIF('Calculations'!$HE$13:$HE$512,"="&amp;SUBSTITUTE(SUBSTITUTE(SUBSTITUTE('Calculations'!HO29,"~","~~"),"*","~*"),"?","~?"))&gt;1,"!AMBIG",IFERROR(INDEX('Calculations'!$HF$13:$HF$512,MATCH('Calculations'!HO29,'Calculations'!$HE$13:$HE$512,0)),""))))</x:f>
      </x:c>
      <x:c r="HQ29" t="str">
        <x:f>IF('Calculations'!HP29="","",IF('Calculations'!HP29="!AMBIG","!AMBIG",IF(COUNTIF('Calculations'!$HE$13:$HE$512,"="&amp;SUBSTITUTE(SUBSTITUTE(SUBSTITUTE('Calculations'!HP29,"~","~~"),"*","~*"),"?","~?"))&gt;1,"!AMBIG",IFERROR(INDEX('Calculations'!$HF$13:$HF$512,MATCH('Calculations'!HP29,'Calculations'!$HE$13:$HE$512,0)),""))))</x:f>
      </x:c>
      <x:c r="HR29" t="str">
        <x:f>IF('Calculations'!HQ29="","",IF('Calculations'!HQ29="!AMBIG","!AMBIG",IF(COUNTIF('Calculations'!$HE$13:$HE$512,"="&amp;SUBSTITUTE(SUBSTITUTE(SUBSTITUTE('Calculations'!HQ29,"~","~~"),"*","~*"),"?","~?"))&gt;1,"!AMBIG",IFERROR(INDEX('Calculations'!$HF$13:$HF$512,MATCH('Calculations'!HQ29,'Calculations'!$HE$13:$HE$512,0)),""))))</x:f>
      </x:c>
      <x:c r="HS29" t="str">
        <x:f>IF('Calculations'!HR29="","",IF('Calculations'!HR29="!AMBIG","!AMBIG",IF(COUNTIF('Calculations'!$HE$13:$HE$512,"="&amp;SUBSTITUTE(SUBSTITUTE(SUBSTITUTE('Calculations'!HR29,"~","~~"),"*","~*"),"?","~?"))&gt;1,"!AMBIG",IFERROR(INDEX('Calculations'!$HF$13:$HF$512,MATCH('Calculations'!HR29,'Calculations'!$HE$13:$HE$512,0)),""))))</x:f>
      </x:c>
      <x:c r="HT29" t="str">
        <x:f>IF('Calculations'!HS29="","",IF('Calculations'!HS29="!AMBIG","!AMBIG",IF(COUNTIF('Calculations'!$HE$13:$HE$512,"="&amp;SUBSTITUTE(SUBSTITUTE(SUBSTITUTE('Calculations'!HS29,"~","~~"),"*","~*"),"?","~?"))&gt;1,"!AMBIG",IFERROR(INDEX('Calculations'!$HF$13:$HF$512,MATCH('Calculations'!HS29,'Calculations'!$HE$13:$HE$512,0)),""))))</x:f>
      </x:c>
      <x:c r="HU29" t="str">
        <x:f>IF('Calculations'!HT29="","",IF('Calculations'!HT29="!AMBIG","!AMBIG",IF(COUNTIF('Calculations'!$HE$13:$HE$512,"="&amp;SUBSTITUTE(SUBSTITUTE(SUBSTITUTE('Calculations'!HT29,"~","~~"),"*","~*"),"?","~?"))&gt;1,"!AMBIG",IFERROR(INDEX('Calculations'!$HF$13:$HF$512,MATCH('Calculations'!HT29,'Calculations'!$HE$13:$HE$512,0)),""))))</x:f>
      </x:c>
      <x:c r="HV29" t="str">
        <x:f>IF('Calculations'!HU29="","",IF('Calculations'!HU29="!AMBIG","!AMBIG",IF(COUNTIF('Calculations'!$HE$13:$HE$512,"="&amp;SUBSTITUTE(SUBSTITUTE(SUBSTITUTE('Calculations'!HU29,"~","~~"),"*","~*"),"?","~?"))&gt;1,"!AMBIG",IFERROR(INDEX('Calculations'!$HF$13:$HF$512,MATCH('Calculations'!HU29,'Calculations'!$HE$13:$HE$512,0)),""))))</x:f>
      </x:c>
      <x:c r="HW29" t="str">
        <x:f>IF('Calculations'!HV29="","",IF('Calculations'!HV29="!AMBIG","!AMBIG",IF(COUNTIF('Calculations'!$HE$13:$HE$512,"="&amp;SUBSTITUTE(SUBSTITUTE(SUBSTITUTE('Calculations'!HV29,"~","~~"),"*","~*"),"?","~?"))&gt;1,"!AMBIG",IFERROR(INDEX('Calculations'!$HF$13:$HF$512,MATCH('Calculations'!HV29,'Calculations'!$HE$13:$HE$512,0)),""))))</x:f>
      </x:c>
      <x:c r="HX29" t="str">
        <x:f>IF('Calculations'!HW29="","",IF('Calculations'!HW29="!AMBIG","!AMBIG",IF(COUNTIF('Calculations'!$HE$13:$HE$512,"="&amp;SUBSTITUTE(SUBSTITUTE(SUBSTITUTE('Calculations'!HW29,"~","~~"),"*","~*"),"?","~?"))&gt;1,"!AMBIG",IFERROR(INDEX('Calculations'!$HF$13:$HF$512,MATCH('Calculations'!HW29,'Calculations'!$HE$13:$HE$512,0)),""))))</x:f>
      </x:c>
      <x:c r="HY29" t="str">
        <x:f>IF('Calculations'!HX29="","",IF('Calculations'!HX29="!AMBIG","!AMBIG",IF(COUNTIF('Calculations'!$HE$13:$HE$512,"="&amp;SUBSTITUTE(SUBSTITUTE(SUBSTITUTE('Calculations'!HX29,"~","~~"),"*","~*"),"?","~?"))&gt;1,"!AMBIG",IFERROR(INDEX('Calculations'!$HF$13:$HF$512,MATCH('Calculations'!HX29,'Calculations'!$HE$13:$HE$512,0)),""))))</x:f>
      </x:c>
      <x:c r="HZ29" t="str">
        <x:f>IF('Calculations'!HY29="","",IF('Calculations'!HY29="!AMBIG","!AMBIG",IF(COUNTIF('Calculations'!$HE$13:$HE$512,"="&amp;SUBSTITUTE(SUBSTITUTE(SUBSTITUTE('Calculations'!HY29,"~","~~"),"*","~*"),"?","~?"))&gt;1,"!AMBIG",IFERROR(INDEX('Calculations'!$HF$13:$HF$512,MATCH('Calculations'!HY29,'Calculations'!$HE$13:$HE$512,0)),""))))</x:f>
      </x:c>
      <x:c r="IA29" t="str">
        <x:f>IF('Calculations'!HZ29="","",IF('Calculations'!HZ29="!AMBIG","!AMBIG",IF(COUNTIF('Calculations'!$HE$13:$HE$512,"="&amp;SUBSTITUTE(SUBSTITUTE(SUBSTITUTE('Calculations'!HZ29,"~","~~"),"*","~*"),"?","~?"))&gt;1,"!AMBIG",IFERROR(INDEX('Calculations'!$HF$13:$HF$512,MATCH('Calculations'!HZ29,'Calculations'!$HE$13:$HE$512,0)),""))))</x:f>
      </x:c>
      <x:c r="IB29" t="str">
        <x:f>IF('Calculations'!IA29="","",IF('Calculations'!IA29="!AMBIG","!AMBIG",IF(COUNTIF('Calculations'!$HE$13:$HE$512,"="&amp;SUBSTITUTE(SUBSTITUTE(SUBSTITUTE('Calculations'!IA29,"~","~~"),"*","~*"),"?","~?"))&gt;1,"!AMBIG",IFERROR(INDEX('Calculations'!$HF$13:$HF$512,MATCH('Calculations'!IA29,'Calculations'!$HE$13:$HE$512,0)),""))))</x:f>
      </x:c>
      <x:c r="IC29" t="str">
        <x:f>IF('Calculations'!IB29="","",IF('Calculations'!IB29="!AMBIG","!AMBIG",IF(COUNTIF('Calculations'!$HE$13:$HE$512,"="&amp;SUBSTITUTE(SUBSTITUTE(SUBSTITUTE('Calculations'!IB29,"~","~~"),"*","~*"),"?","~?"))&gt;1,"!AMBIG",IFERROR(INDEX('Calculations'!$HF$13:$HF$512,MATCH('Calculations'!IB29,'Calculations'!$HE$13:$HE$512,0)),""))))</x:f>
      </x:c>
      <x:c r="ID29" t="str">
        <x:f>IF('Calculations'!IC29="","",IF('Calculations'!IC29="!AMBIG","!AMBIG",IF(COUNTIF('Calculations'!$HE$13:$HE$512,"="&amp;SUBSTITUTE(SUBSTITUTE(SUBSTITUTE('Calculations'!IC29,"~","~~"),"*","~*"),"?","~?"))&gt;1,"!AMBIG",IFERROR(INDEX('Calculations'!$HF$13:$HF$512,MATCH('Calculations'!IC29,'Calculations'!$HE$13:$HE$512,0)),""))))</x:f>
      </x:c>
      <x:c r="IE29" t="str">
        <x:f>IF('Calculations'!ID29="","",IF('Calculations'!ID29="!AMBIG","!AMBIG",IF(COUNTIF('Calculations'!$HE$13:$HE$512,"="&amp;SUBSTITUTE(SUBSTITUTE(SUBSTITUTE('Calculations'!ID29,"~","~~"),"*","~*"),"?","~?"))&gt;1,"!AMBIG",IFERROR(INDEX('Calculations'!$HF$13:$HF$512,MATCH('Calculations'!ID29,'Calculations'!$HE$13:$HE$512,0)),""))))</x:f>
      </x:c>
      <x:c r="IF29" t="str">
        <x:f>IF('Calculations'!IE29="","",IF('Calculations'!IE29="!AMBIG","!AMBIG",IF(COUNTIF('Calculations'!$HE$13:$HE$512,"="&amp;SUBSTITUTE(SUBSTITUTE(SUBSTITUTE('Calculations'!IE29,"~","~~"),"*","~*"),"?","~?"))&gt;1,"!AMBIG",IFERROR(INDEX('Calculations'!$HF$13:$HF$512,MATCH('Calculations'!IE29,'Calculations'!$HE$13:$HE$512,0)),""))))</x:f>
      </x:c>
      <x:c r="IG29" t="str">
        <x:f>IF('Calculations'!IF29="","",IF('Calculations'!IF29="!AMBIG","!AMBIG",IF(COUNTIF('Calculations'!$HE$13:$HE$512,"="&amp;SUBSTITUTE(SUBSTITUTE(SUBSTITUTE('Calculations'!IF29,"~","~~"),"*","~*"),"?","~?"))&gt;1,"!AMBIG",IFERROR(INDEX('Calculations'!$HF$13:$HF$512,MATCH('Calculations'!IF29,'Calculations'!$HE$13:$HE$512,0)),""))))</x:f>
      </x:c>
      <x:c r="IH29" t="str">
        <x:f>IF('Calculations'!IG29="","",IF('Calculations'!IG29="!AMBIG","!AMBIG",IF(COUNTIF('Calculations'!$HE$13:$HE$512,"="&amp;SUBSTITUTE(SUBSTITUTE(SUBSTITUTE('Calculations'!IG29,"~","~~"),"*","~*"),"?","~?"))&gt;1,"!AMBIG",IFERROR(INDEX('Calculations'!$HF$13:$HF$512,MATCH('Calculations'!IG29,'Calculations'!$HE$13:$HE$512,0)),""))))</x:f>
      </x:c>
      <x:c r="II29" t="str">
        <x:f>IF('Calculations'!IH29="","",IF('Calculations'!IH29="!AMBIG","!AMBIG",IF(COUNTIF('Calculations'!$HE$13:$HE$512,"="&amp;SUBSTITUTE(SUBSTITUTE(SUBSTITUTE('Calculations'!IH29,"~","~~"),"*","~*"),"?","~?"))&gt;1,"!AMBIG",IFERROR(INDEX('Calculations'!$HF$13:$HF$512,MATCH('Calculations'!IH29,'Calculations'!$HE$13:$HE$512,0)),""))))</x:f>
      </x:c>
      <x:c r="IJ29" t="str">
        <x:f>IF('Calculations'!EM29="","",IF('Calculations'!$EF$2="All",'Calculations'!HM29,IF('Calculations'!HL29=1,"",IFERROR(IF(MATCH('Calculations'!$EF$2,'Calculations'!HO29:II29,0)=1,'Calculations'!HE29,INDEX('Calculations'!HO29:II29,1,MATCH('Calculations'!$EF$2,'Calculations'!HO29:II29,0)-1)),""))))</x:f>
      </x:c>
      <x:c r="IK29" t="n">
        <x:f>IF(AND('Calculations'!EM29&lt;&gt;"",'Calculations'!$EF$2&lt;&gt;"All",'Calculations'!HF29='Calculations'!$EF$2,'Calculations'!HL29=0,'Calculations'!JD29&gt;0),MAX('Calculations'!$IK$12:IK28)+1,0)</x:f>
        <x:v>0</x:v>
      </x:c>
      <x:c r="JA29" t="n">
        <x:f>IF(OR(IFERROR(INDIRECT("'WCM Calibration Final'!$A$29")&lt;&gt;"",FALSE),IFERROR(INDIRECT("'WCM Calibration Final'!$B$29")&lt;&gt;"",FALSE),IFERROR(INDIRECT("'WCM Calibration Final'!$C$29")&lt;&gt;"",FALSE)),29,0)</x:f>
        <x:v>0</x:v>
      </x:c>
      <x:c r="JB29" t="n">
        <x:f>'Calculations'!JB28+IF('Calculations'!JA29&gt;0,1,0)</x:f>
        <x:v>0</x:v>
      </x:c>
      <x:c r="JC29" t="n">
        <x:f>IF(OR('Calculations'!HF29="",'Calculations'!HF29="!AMBIG"),0,IF('Dashboard'!$B$7="All",1,COUNTIFS('Calculations'!$HO$13:$HO$512,"="&amp;SUBSTITUTE(SUBSTITUTE(SUBSTITUTE('Calculations'!HF29,"~","~~"),"*","~*"),"?","~?"),'Calculations'!$HN$13:$HN$512,"="&amp;SUBSTITUTE(SUBSTITUTE(SUBSTITUTE('Dashboard'!$B$7,"~","~~"),"*","~*"),"?","~?"))+COUNTIFS('Calculations'!$HP$13:$HP$512,"="&amp;SUBSTITUTE(SUBSTITUTE(SUBSTITUTE('Calculations'!HF29,"~","~~"),"*","~*"),"?","~?"),'Calculations'!$HN$13:$HN$512,"="&amp;SUBSTITUTE(SUBSTITUTE(SUBSTITUTE('Dashboard'!$B$7,"~","~~"),"*","~*"),"?","~?"))+COUNTIFS('Calculations'!$HQ$13:$HQ$512,"="&amp;SUBSTITUTE(SUBSTITUTE(SUBSTITUTE('Calculations'!HF29,"~","~~"),"*","~*"),"?","~?"),'Calculations'!$HN$13:$HN$512,"="&amp;SUBSTITUTE(SUBSTITUTE(SUBSTITUTE('Dashboard'!$B$7,"~","~~"),"*","~*"),"?","~?"))+COUNTIFS('Calculations'!$HR$13:$HR$512,"="&amp;SUBSTITUTE(SUBSTITUTE(SUBSTITUTE('Calculations'!HF29,"~","~~"),"*","~*"),"?","~?"),'Calculations'!$HN$13:$HN$512,"="&amp;SUBSTITUTE(SUBSTITUTE(SUBSTITUTE('Dashboard'!$B$7,"~","~~"),"*","~*"),"?","~?"))+COUNTIFS('Calculations'!$HS$13:$HS$512,"="&amp;SUBSTITUTE(SUBSTITUTE(SUBSTITUTE('Calculations'!HF29,"~","~~"),"*","~*"),"?","~?"),'Calculations'!$HN$13:$HN$512,"="&amp;SUBSTITUTE(SUBSTITUTE(SUBSTITUTE('Dashboard'!$B$7,"~","~~"),"*","~*"),"?","~?"))+COUNTIFS('Calculations'!$HT$13:$HT$512,"="&amp;SUBSTITUTE(SUBSTITUTE(SUBSTITUTE('Calculations'!HF29,"~","~~"),"*","~*"),"?","~?"),'Calculations'!$HN$13:$HN$512,"="&amp;SUBSTITUTE(SUBSTITUTE(SUBSTITUTE('Dashboard'!$B$7,"~","~~"),"*","~*"),"?","~?"))+COUNTIFS('Calculations'!$HU$13:$HU$512,"="&amp;SUBSTITUTE(SUBSTITUTE(SUBSTITUTE('Calculations'!HF29,"~","~~"),"*","~*"),"?","~?"),'Calculations'!$HN$13:$HN$512,"="&amp;SUBSTITUTE(SUBSTITUTE(SUBSTITUTE('Dashboard'!$B$7,"~","~~"),"*","~*"),"?","~?"))+COUNTIFS('Calculations'!$HV$13:$HV$512,"="&amp;SUBSTITUTE(SUBSTITUTE(SUBSTITUTE('Calculations'!HF29,"~","~~"),"*","~*"),"?","~?"),'Calculations'!$HN$13:$HN$512,"="&amp;SUBSTITUTE(SUBSTITUTE(SUBSTITUTE('Dashboard'!$B$7,"~","~~"),"*","~*"),"?","~?"))+COUNTIFS('Calculations'!$HW$13:$HW$512,"="&amp;SUBSTITUTE(SUBSTITUTE(SUBSTITUTE('Calculations'!HF29,"~","~~"),"*","~*"),"?","~?"),'Calculations'!$HN$13:$HN$512,"="&amp;SUBSTITUTE(SUBSTITUTE(SUBSTITUTE('Dashboard'!$B$7,"~","~~"),"*","~*"),"?","~?"))+COUNTIFS('Calculations'!$HX$13:$HX$512,"="&amp;SUBSTITUTE(SUBSTITUTE(SUBSTITUTE('Calculations'!HF29,"~","~~"),"*","~*"),"?","~?"),'Calculations'!$HN$13:$HN$512,"="&amp;SUBSTITUTE(SUBSTITUTE(SUBSTITUTE('Dashboard'!$B$7,"~","~~"),"*","~*"),"?","~?"))+COUNTIFS('Calculations'!$HY$13:$HY$512,"="&amp;SUBSTITUTE(SUBSTITUTE(SUBSTITUTE('Calculations'!HF29,"~","~~"),"*","~*"),"?","~?"),'Calculations'!$HN$13:$HN$512,"="&amp;SUBSTITUTE(SUBSTITUTE(SUBSTITUTE('Dashboard'!$B$7,"~","~~"),"*","~*"),"?","~?"))+COUNTIFS('Calculations'!$HZ$13:$HZ$512,"="&amp;SUBSTITUTE(SUBSTITUTE(SUBSTITUTE('Calculations'!HF29,"~","~~"),"*","~*"),"?","~?"),'Calculations'!$HN$13:$HN$512,"="&amp;SUBSTITUTE(SUBSTITUTE(SUBSTITUTE('Dashboard'!$B$7,"~","~~"),"*","~*"),"?","~?"))+COUNTIFS('Calculations'!$IA$13:$IA$512,"="&amp;SUBSTITUTE(SUBSTITUTE(SUBSTITUTE('Calculations'!HF29,"~","~~"),"*","~*"),"?","~?"),'Calculations'!$HN$13:$HN$512,"="&amp;SUBSTITUTE(SUBSTITUTE(SUBSTITUTE('Dashboard'!$B$7,"~","~~"),"*","~*"),"?","~?"))+COUNTIFS('Calculations'!$IB$13:$IB$512,"="&amp;SUBSTITUTE(SUBSTITUTE(SUBSTITUTE('Calculations'!HF29,"~","~~"),"*","~*"),"?","~?"),'Calculations'!$HN$13:$HN$512,"="&amp;SUBSTITUTE(SUBSTITUTE(SUBSTITUTE('Dashboard'!$B$7,"~","~~"),"*","~*"),"?","~?"))+COUNTIFS('Calculations'!$IC$13:$IC$512,"="&amp;SUBSTITUTE(SUBSTITUTE(SUBSTITUTE('Calculations'!HF29,"~","~~"),"*","~*"),"?","~?"),'Calculations'!$HN$13:$HN$512,"="&amp;SUBSTITUTE(SUBSTITUTE(SUBSTITUTE('Dashboard'!$B$7,"~","~~"),"*","~*"),"?","~?"))+COUNTIFS('Calculations'!$ID$13:$ID$512,"="&amp;SUBSTITUTE(SUBSTITUTE(SUBSTITUTE('Calculations'!HF29,"~","~~"),"*","~*"),"?","~?"),'Calculations'!$HN$13:$HN$512,"="&amp;SUBSTITUTE(SUBSTITUTE(SUBSTITUTE('Dashboard'!$B$7,"~","~~"),"*","~*"),"?","~?"))+COUNTIFS('Calculations'!$IE$13:$IE$512,"="&amp;SUBSTITUTE(SUBSTITUTE(SUBSTITUTE('Calculations'!HF29,"~","~~"),"*","~*"),"?","~?"),'Calculations'!$HN$13:$HN$512,"="&amp;SUBSTITUTE(SUBSTITUTE(SUBSTITUTE('Dashboard'!$B$7,"~","~~"),"*","~*"),"?","~?"))+COUNTIFS('Calculations'!$IF$13:$IF$512,"="&amp;SUBSTITUTE(SUBSTITUTE(SUBSTITUTE('Calculations'!HF29,"~","~~"),"*","~*"),"?","~?"),'Calculations'!$HN$13:$HN$512,"="&amp;SUBSTITUTE(SUBSTITUTE(SUBSTITUTE('Dashboard'!$B$7,"~","~~"),"*","~*"),"?","~?"))+COUNTIFS('Calculations'!$IG$13:$IG$512,"="&amp;SUBSTITUTE(SUBSTITUTE(SUBSTITUTE('Calculations'!HF29,"~","~~"),"*","~*"),"?","~?"),'Calculations'!$HN$13:$HN$512,"="&amp;SUBSTITUTE(SUBSTITUTE(SUBSTITUTE('Dashboard'!$B$7,"~","~~"),"*","~*"),"?","~?"))+COUNTIFS('Calculations'!$IH$13:$IH$512,"="&amp;SUBSTITUTE(SUBSTITUTE(SUBSTITUTE('Calculations'!HF29,"~","~~"),"*","~*"),"?","~?"),'Calculations'!$HN$13:$HN$512,"="&amp;SUBSTITUTE(SUBSTITUTE(SUBSTITUTE('Dashboard'!$B$7,"~","~~"),"*","~*"),"?","~?"))))</x:f>
        <x:v>0</x:v>
      </x:c>
      <x:c r="JD29" t="n">
        <x:f>IF('Calculations'!EM29="",0,IF('Dashboard'!$B$7="All",1,IF('Calculations'!HN29='Dashboard'!$B$7,1,0)+IFERROR(INDEX('Calculations'!$JC$13:$JC$512,MATCH('Calculations'!HE29,'Calculations'!$HF$13:$HF$512,0)),0)))</x:f>
        <x:v>0</x:v>
      </x:c>
      <x:c r="JE29" t="n">
        <x:f>IF(AND('Calculations'!EM29&lt;&gt;"",'Calculations'!$JJ$2&lt;&gt;"All",'Calculations'!$JJ$2&lt;&gt;"",'Calculations'!HF29='Calculations'!$JJ$2,'Calculations'!HL29=0,'Calculations'!JD29&gt;0),MAX('Calculations'!$JE$12:JE28)+1,0)</x:f>
        <x:v>0</x:v>
      </x:c>
      <x:c r="JF29" t="str">
        <x:f>IF('Calculations'!EM29="","",IFERROR(IF(INDEX(INDIRECT("'WCM Calibration Final'!$G$1:$G$2000"),'Calculations'!$EM29)="","",TRIM(INDEX(INDIRECT("'WCM Calibration Final'!$G$1:$G$2000"),'Calculations'!$EM29)&amp;"")),""))</x:f>
      </x:c>
      <x:c r="JQ29" t="n">
        <x:f>IF(OR('Calculations'!BM29=0,NOT('Calculations'!$AG$2),'Calculations'!$AG$8&gt;0),0,IF(OR('Dashboard'!$B$7="All",'Calculations'!HN29='Dashboard'!$B$7),IF('Calculations'!$JJ$2="All",1,IF(AND('Calculations'!HF29='Calculations'!$JJ$2,'Calculations'!HL29=0),1,0)),0))</x:f>
        <x:v>0</x:v>
      </x:c>
    </x:row>
    <x:row r="30" ht="21" customHeight="1">
      <x:c r="A30" s="75"/>
      <x:c r="B30" s="75"/>
      <x:c r="C30" s="75"/>
      <x:c r="D30" s="75"/>
      <x:c r="E30" s="75"/>
      <x:c r="F30" s="75"/>
      <x:c r="G30" s="75"/>
      <x:c r="H30" s="75"/>
      <x:c r="I30" s="75"/>
      <x:c r="J30" s="75"/>
      <x:c r="K30" s="75"/>
      <x:c r="L30" s="75"/>
      <x:c r="M30" s="75"/>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t="n">
        <x:f>IF('Calculations'!$EM30="",0,IF(OR(IFERROR(INDEX(INDIRECT("'WCM Calibration Final'!$A$1:$A$2000"),'Calculations'!$EM30)&lt;&gt;"",FALSE),IFERROR(INDEX(INDIRECT("'WCM Calibration Final'!$B$1:$B$2000"),'Calculations'!$EM30)&lt;&gt;"",FALSE),IFERROR(INDEX(INDIRECT("'WCM Calibration Final'!$C$1:$C$2000"),'Calculations'!$EM30)&lt;&gt;"",FALSE)),1,0))</x:f>
        <x:v>0</x:v>
      </x:c>
      <x:c r="BN30" s="4" t="n">
        <x:f>IF(AND('Calculations'!BM30=1,'Calculations'!$AG$2,'Calculations'!$EN30=1),1,0)</x:f>
        <x:v>0</x:v>
      </x:c>
      <x:c r="BO30" s="4" t="str">
        <x:f>IF('Calculations'!BM30=0,"",IFERROR(IF(AND(VALUE(INDEX(INDIRECT("'WCM Calibration Final'!$K$1:$K$2000"),'Calculations'!$EM30))&gt;=1,VALUE(INDEX(INDIRECT("'WCM Calibration Final'!$K$1:$K$2000"),'Calculations'!$EM30))&lt;=4,MOD(VALUE(INDEX(INDIRECT("'WCM Calibration Final'!$K$1:$K$2000"),'Calculations'!$EM30)),1)=0),VALUE(INDEX(INDIRECT("'WCM Calibration Final'!$K$1:$K$2000"),'Calculations'!$EM30)),""),""))</x:f>
      </x:c>
      <x:c r="BP30" s="4" t="str">
        <x:f>IF('Calculations'!BM30=0,"",IFERROR(IF(AND(VALUE(INDEX(INDIRECT("'WCM Calibration Final'!$L$1:$L$2000"),'Calculations'!$EM30))&gt;=1,VALUE(INDEX(INDIRECT("'WCM Calibration Final'!$L$1:$L$2000"),'Calculations'!$EM30))&lt;=4,MOD(VALUE(INDEX(INDIRECT("'WCM Calibration Final'!$L$1:$L$2000"),'Calculations'!$EM30)),1)=0),VALUE(INDEX(INDIRECT("'WCM Calibration Final'!$L$1:$L$2000"),'Calculations'!$EM30)),""),""))</x:f>
      </x:c>
      <x:c r="BQ30" s="4"/>
      <x:c r="BR30" s="4"/>
      <x:c r="BS30" s="4"/>
      <x:c r="BT30" s="4" t="n">
        <x:f>IF(AND('Calculations'!BM30=1,ISNUMBER('Calculations'!BO30),ISNUMBER('Calculations'!BP30)),1,0)</x:f>
        <x:v>0</x:v>
      </x:c>
      <x:c r="BU30" s="4" t="str">
        <x:f>IF('Calculations'!BM30=0,"",'Calculations'!$EO30)</x:f>
      </x:c>
      <x:c r="BV30" s="4" t="str">
        <x:f>IF('Calculations'!BM30=0,"",IFERROR(IF(OR(INDEX(INDIRECT("'WCM Calibration Final'!$H$1:$H$2000"),'Calculations'!$EM30)="MANAGING DIRECTOR",INDEX(INDIRECT("'WCM Calibration Final'!$H$1:$H$2000"),'Calculations'!$EM30)="DIRECTOR",INDEX(INDIRECT("'WCM Calibration Final'!$H$1:$H$2000"),'Calculations'!$EM30)="SENIOR VICE PRESIDENT",INDEX(INDIRECT("'WCM Calibration Final'!$H$1:$H$2000"),'Calculations'!$EM30)="VICE PRESIDENT",INDEX(INDIRECT("'WCM Calibration Final'!$H$1:$H$2000"),'Calculations'!$EM30)="ASSISTANT VICE PRESIDENT",INDEX(INDIRECT("'WCM Calibration Final'!$H$1:$H$2000"),'Calculations'!$EM30)="OFFICER"),UPPER(INDEX(INDIRECT("'WCM Calibration Final'!$H$1:$H$2000"),'Calculations'!$EM30)),"Other"),"Other"))</x:f>
      </x:c>
      <x:c r="BW30" s="4"/>
      <x:c r="BX30" s="4"/>
      <x:c r="BY30" s="4" t="n">
        <x:f>IF(AND('Calculations'!BM30=1,'Calculations'!BU30&lt;&gt;"",COUNTIF('Calculations'!$BU$12:BU30,'Calculations'!BU30)=1),MAX('Calculations'!$BY$11:BY29)+1,0)</x:f>
        <x:v>0</x:v>
      </x:c>
      <x:c r="BZ30" s="4" t="str">
        <x:f>IF('Dashboard'!$E$67="What",'Calculations'!BO30,'Calculations'!BP30)</x:f>
      </x:c>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t="str">
        <x:f>IF(19&gt;MAX('Calculations'!$HI$13:$HI$512),"",INDEX('Calculations'!$HN$13:$HN$512,MATCH(19,'Calculations'!$HI$13:$HI$512,0)))</x:f>
      </x:c>
      <x:c r="DB30" s="4" t="str">
        <x:f>IF(19&gt;MAX('Calculations'!$HH$13:$HH$512),"",INDEX('Calculations'!$HJ$13:$HJ$512,MATCH(19,'Calculations'!$HH$13:$HH$512,0)))</x:f>
      </x:c>
      <x:c r="DC30" s="4" t="str">
        <x:f>IF(ROW()-11&gt;MAX('Calculations'!$BY$13:$BY$512),"",INDEX('Calculations'!$BU$13:$BU$512,MATCH(ROW()-11,'Calculations'!$BY$13:$BY$512,0)))</x:f>
      </x:c>
      <x:c r="DD30" s="4" t="str">
        <x:f>IF(19&gt;MAX('Calculations'!$IK$13:$IK$512),"",INDEX('Calculations'!$HK$13:$HK$512,MATCH(19,'Calculations'!$IK$13:$IK$512,0)))</x:f>
      </x:c>
      <x:c r="DE30" s="4" t="str">
        <x:f>'Calculations'!DC30</x:f>
      </x:c>
      <x:c r="DF30" s="4" t="str">
        <x:f>IF('Calculations'!DE30="","",COUNTIFS('Calculations'!$BN$13:$BN$512,1,'Calculations'!$BU$13:$BU$512,'Calculations'!DE30))</x:f>
      </x:c>
      <x:c r="DG30" s="4" t="str">
        <x:f>IF('Calculations'!DE30="","",COUNTIFS('Calculations'!$BN$13:$BN$512,1,'Calculations'!$BU$13:$BU$512,'Calculations'!DE30,'Calculations'!$BT$13:$BT$512,1))</x:f>
      </x:c>
      <x:c r="DH30" s="4" t="str">
        <x:f>IF('Calculations'!DE30="","",'Calculations'!DF30-'Calculations'!DG30)</x:f>
      </x:c>
      <x:c r="DI30" s="4" t="str">
        <x:f>IF(OR('Calculations'!DE30="",'Calculations'!DF30=0),"",'Calculations'!DG30/'Calculations'!DF30)</x:f>
      </x:c>
      <x:c r="DJ30" s="4" t="str">
        <x:f>IF('Calculations'!DE30="","",COUNTIFS('Calculations'!$BN$13:$BN$512,1,'Calculations'!$BU$13:$BU$512,'Calculations'!DE30,'Calculations'!$BT$13:$BT$512,1,'Calculations'!$EE$13:$EE$512,"High"))</x:f>
      </x:c>
      <x:c r="DK30" s="4" t="str">
        <x:f>IF('Calculations'!DE30="","",COUNTIFS('Calculations'!$BN$13:$BN$512,1,'Calculations'!$BU$13:$BU$512,'Calculations'!DE30,'Calculations'!$BT$13:$BT$512,1,'Calculations'!$EE$13:$EE$512,"Strong"))</x:f>
      </x:c>
      <x:c r="DL30" s="4" t="str">
        <x:f>IF('Calculations'!DE30="","",COUNTIFS('Calculations'!$BN$13:$BN$512,1,'Calculations'!$BU$13:$BU$512,'Calculations'!DE30,'Calculations'!$BT$13:$BT$512,1,'Calculations'!$EE$13:$EE$512,"Solid"))</x:f>
      </x:c>
      <x:c r="DM30" s="4" t="str">
        <x:f>IF('Calculations'!DE30="","",COUNTIFS('Calculations'!$BN$13:$BN$512,1,'Calculations'!$BU$13:$BU$512,'Calculations'!DE30,'Calculations'!$BT$13:$BT$512,1,'Calculations'!$EE$13:$EE$512,"Low"))</x:f>
      </x:c>
      <x:c r="DN30" s="4" t="str">
        <x:f>IF('Calculations'!DE30="","",COUNTIFS('Calculations'!$BN$13:$BN$512,1,'Calculations'!$BU$13:$BU$512,'Calculations'!DE30,'Calculations'!$EP$13:$EP$512,1))</x:f>
      </x:c>
      <x:c r="DO30" s="4" t="str">
        <x:f>IF(OR('Calculations'!DE30="",'Calculations'!DG30=0),"",('Calculations'!DJ30+'Calculations'!DK30)/'Calculations'!DG30)</x:f>
      </x:c>
      <x:c r="DP30" s="4" t="n">
        <x:f>IF(AND('Calculations'!DE30&lt;&gt;"",'Calculations'!DF30&gt;0),COUNTIF('Calculations'!$DF$12:DF30,"&gt;0"),0)</x:f>
        <x:v>0</x:v>
      </x:c>
      <x:c r="DQ30" s="4" t="str">
        <x:f>IF(19&gt;MAX('Calculations'!$HH$13:$HH$512),"",INDEX('Calculations'!$HF$13:$HF$512,MATCH(19,'Calculations'!$HH$13:$HH$512,0)))</x:f>
      </x:c>
      <x:c r="DR30" s="4" t="str">
        <x:f>IF(19&gt;MAX('Calculations'!$IK$13:$IK$512),"",INDEX('Calculations'!$HE$13:$HE$512,MATCH(19,'Calculations'!$IK$13:$IK$512,0)))</x:f>
      </x:c>
      <x:c r="DS30" s="4"/>
      <x:c r="DT30" s="4"/>
      <x:c r="DU30" s="4"/>
      <x:c r="DV30" s="4"/>
      <x:c r="DW30" s="4"/>
      <x:c r="DX30" s="4"/>
      <x:c r="DY30" s="4"/>
      <x:c r="DZ30" s="4"/>
      <x:c r="EA30" s="4"/>
      <x:c r="EB30" s="4"/>
      <x:c r="EC30" s="4"/>
      <x:c r="ED30" s="4"/>
      <x:c r="EE30" s="4" t="str">
        <x:f>IF('Calculations'!BT30=0,"Not Rated",IF(OR('Calculations'!BO30&gt;=4,'Calculations'!BP30&gt;=4),"Low",IF('Calculations'!BO30+'Calculations'!BP30&lt;=3,"High",IF('Calculations'!BO30+'Calculations'!BP30&lt;=4,"Strong","Solid"))))</x:f>
        <x:v>Not Rated</x:v>
      </x:c>
      <x:c r="EF30" s="4"/>
      <x:c r="EG30" s="4"/>
      <x:c r="EH30" s="4"/>
      <x:c r="EI30" s="4"/>
      <x:c r="EJ30" s="4"/>
      <x:c r="EK30" s="4"/>
      <x:c r="EL30" s="4"/>
      <x:c r="EM30" s="4" t="str">
        <x:f>IF(18&gt;'Calculations'!$JB$2000,"",INDEX('Calculations'!$JA$12:$JA$2000,MATCH(18,'Calculations'!$JB$12:$JB$2000,0)))</x:f>
      </x:c>
      <x:c r="EN30" s="4" t="n">
        <x:f>IF(OR('Calculations'!EM30="",'Calculations'!$AG$8&gt;0,AND('Calculations'!$EF$2&lt;&gt;"All",'Calculations'!HE30='Calculations'!$EF$2),AND('Calculations'!$EF$3&lt;&gt;"All",'Calculations'!HE30='Calculations'!$EF$3)),0,IF(OR('Dashboard'!$B$7="All",'Calculations'!HN30='Dashboard'!$B$7),IF('Calculations'!$EF$2="All",1,IF('Calculations'!HL30&gt;0,0,IF(COUNTIF('Calculations'!HO30:II30,"="&amp;SUBSTITUTE(SUBSTITUTE(SUBSTITUTE('Calculations'!$EF$2,"~","~~"),"*","~*"),"?","~?"))=0,0,IF('Calculations'!$EF$3="All",1,IF(COUNTIF('Calculations'!HO30:II30,"="&amp;SUBSTITUTE(SUBSTITUTE(SUBSTITUTE('Calculations'!$EF$3,"~","~~"),"*","~*"),"?","~?"))&gt;0,1,0))))),0))</x:f>
        <x:v>0</x:v>
      </x:c>
      <x:c r="EO30" s="4" t="str">
        <x:f>IF('Calculations'!IJ30="","",IF('Calculations'!IJ30="!UNRESOLVED","Unresolved hierarchy",IFERROR(INDEX('Calculations'!$HK$13:$HK$512,MATCH('Calculations'!IJ30,'Calculations'!$HE$13:$HE$512,0)),IFERROR(INDEX('Calculations'!$HJ$13:$HJ$512,MATCH('Calculations'!IJ30,'Calculations'!$HF$13:$HF$512,0)),'Calculations'!IJ30))))</x:f>
      </x:c>
      <x:c r="EP30" s="4" t="n">
        <x:f>IF(AND('Calculations'!EM30&lt;&gt;"",'Calculations'!HF30='Calculations'!IJ30),1,0)</x:f>
        <x:v>0</x:v>
      </x:c>
      <x:c r="EQ30" s="4"/>
      <x:c r="ER30" s="4"/>
      <x:c r="ES30" s="4"/>
      <x:c r="ET30" s="4"/>
      <x:c r="EU30" s="4"/>
      <x:c r="EV30" s="4"/>
      <x:c r="EW30" s="4"/>
      <x:c r="EX30" s="4"/>
      <x:c r="EY30" s="4"/>
      <x:c r="EZ30" s="4"/>
      <x:c r="FA30" s="4"/>
      <x:c r="FB30" s="4"/>
      <x:c r="FC30" s="4"/>
      <x:c r="FD30" s="4"/>
      <x:c r="FE30" s="4"/>
      <x:c r="FF30" s="4"/>
      <x:c r="FG30" s="4"/>
      <x:c r="FH30" s="4"/>
      <x:c r="FI30" s="4"/>
      <x:c r="FJ30" s="4"/>
      <x:c r="FK30" s="4"/>
      <x:c r="FL30" s="4"/>
      <x:c r="FM30" s="4"/>
      <x:c r="FN30" s="4"/>
      <x:c r="FO30" s="4"/>
      <x:c r="GA30" s="71"/>
      <x:c r="GB30" s="71"/>
      <x:c r="GC30" s="71"/>
      <x:c r="GD30" s="71"/>
      <x:c r="GE30" s="71"/>
      <x:c r="GF30" s="71"/>
      <x:c r="GG30" s="71"/>
      <x:c r="GH30" s="71"/>
      <x:c r="GI30" s="71"/>
      <x:c r="GJ30" s="71"/>
      <x:c r="GK30" s="71"/>
      <x:c r="GL30" s="71"/>
      <x:c r="GM30" s="71"/>
      <x:c r="GN30" s="71"/>
      <x:c r="GO30" s="71"/>
      <x:c r="GP30" s="71"/>
      <x:c r="GQ30" s="71"/>
      <x:c r="GR30" s="71"/>
      <x:c r="GS30" s="71"/>
      <x:c r="GT30" s="71"/>
      <x:c r="GU30" s="71"/>
      <x:c r="GV30" s="71"/>
      <x:c r="GW30" s="71"/>
      <x:c r="GX30" s="71"/>
      <x:c r="GY30" s="71"/>
      <x:c r="GZ30" s="71"/>
      <x:c r="HA30" s="71"/>
      <x:c r="HB30" s="71"/>
      <x:c r="HC30" s="71"/>
      <x:c r="HD30" s="71"/>
      <x:c r="HE30" t="str">
        <x:f>IF('Calculations'!EM30="","",IF(IFERROR(IF(INDEX(INDIRECT("'WCM Calibration Final'!$A$1:$A$2000"),'Calculations'!$EM30)="","",TRIM(INDEX(INDIRECT("'WCM Calibration Final'!$A$1:$A$2000"),'Calculations'!$EM30)&amp;"")),"")&lt;&gt;"","G:"&amp;IFERROR(TEXT(1*INDEX(INDIRECT("'WCM Calibration Final'!$A$1:$A$2000"),'Calculations'!$EM30),"0"),UPPER(IFERROR(IF(INDEX(INDIRECT("'WCM Calibration Final'!$A$1:$A$2000"),'Calculations'!$EM30)="","",TRIM(INDEX(INDIRECT("'WCM Calibration Final'!$A$1:$A$2000"),'Calculations'!$EM30)&amp;"")),""))),IF(IFERROR(IF(INDEX(INDIRECT("'WCM Calibration Final'!$C$1:$C$2000"),'Calculations'!$EM30)="","",TRIM(INDEX(INDIRECT("'WCM Calibration Final'!$C$1:$C$2000"),'Calculations'!$EM30)&amp;"")),"")&lt;&gt;"","S:"&amp;UPPER(IFERROR(IF(INDEX(INDIRECT("'WCM Calibration Final'!$C$1:$C$2000"),'Calculations'!$EM30)="","",TRIM(INDEX(INDIRECT("'WCM Calibration Final'!$C$1:$C$2000"),'Calculations'!$EM30)&amp;"")),"")),"R:"&amp;'Calculations'!EM30)))</x:f>
      </x:c>
      <x:c r="HF30" t="str">
        <x:f>IF('Calculations'!EM30="","",IF(IFERROR(IF(INDEX(INDIRECT("'WCM Calibration Final'!$D$1:$D$2000"),'Calculations'!$EM30)="","",TRIM(INDEX(INDIRECT("'WCM Calibration Final'!$D$1:$D$2000"),'Calculations'!$EM30)&amp;"")),"")&lt;&gt;"","G:"&amp;IFERROR(TEXT(1*INDEX(INDIRECT("'WCM Calibration Final'!$D$1:$D$2000"),'Calculations'!$EM30),"0"),UPPER(IFERROR(IF(INDEX(INDIRECT("'WCM Calibration Final'!$D$1:$D$2000"),'Calculations'!$EM30)="","",TRIM(INDEX(INDIRECT("'WCM Calibration Final'!$D$1:$D$2000"),'Calculations'!$EM30)&amp;"")),""))),IF(IFERROR(IF(INDEX(INDIRECT("'WCM Calibration Final'!$E$1:$E$2000"),'Calculations'!$EM30)="","",TRIM(INDEX(INDIRECT("'WCM Calibration Final'!$E$1:$E$2000"),'Calculations'!$EM30)&amp;"")),"")="","",IF(COUNTIF('Calculations'!$HG$13:$HG$512,"="&amp;SUBSTITUTE(SUBSTITUTE(SUBSTITUTE(IFERROR(IF(INDEX(INDIRECT("'WCM Calibration Final'!$E$1:$E$2000"),'Calculations'!$EM30)="","",TRIM(INDEX(INDIRECT("'WCM Calibration Final'!$E$1:$E$2000"),'Calculations'!$EM30)&amp;"")),""),"~","~~"),"*","~*"),"?","~?"))=1,INDEX('Calculations'!$HE$13:$HE$512,MATCH(IFERROR(IF(INDEX(INDIRECT("'WCM Calibration Final'!$E$1:$E$2000"),'Calculations'!$EM30)="","",TRIM(INDEX(INDIRECT("'WCM Calibration Final'!$E$1:$E$2000"),'Calculations'!$EM30)&amp;"")),""),'Calculations'!$HG$13:$HG$512,0)),IF(COUNTIF('Calculations'!$HG$13:$HG$512,"="&amp;SUBSTITUTE(SUBSTITUTE(SUBSTITUTE(IFERROR(IF(INDEX(INDIRECT("'WCM Calibration Final'!$E$1:$E$2000"),'Calculations'!$EM30)="","",TRIM(INDEX(INDIRECT("'WCM Calibration Final'!$E$1:$E$2000"),'Calculations'!$EM30)&amp;"")),""),"~","~~"),"*","~*"),"?","~?"))&gt;1,"!AMBIG","X:"&amp;IFERROR(IF(INDEX(INDIRECT("'WCM Calibration Final'!$E$1:$E$2000"),'Calculations'!$EM30)="","",TRIM(INDEX(INDIRECT("'WCM Calibration Final'!$E$1:$E$2000"),'Calculations'!$EM30)&amp;"")),""))))))</x:f>
      </x:c>
      <x:c r="HG30" t="str">
        <x:f>IF('Calculations'!EM30="","",IFERROR(IF(INDEX(INDIRECT("'WCM Calibration Final'!$B$1:$B$2000"),'Calculations'!$EM30)="","",TRIM(INDEX(INDIRECT("'WCM Calibration Final'!$B$1:$B$2000"),'Calculations'!$EM30)&amp;"")),""))</x:f>
      </x:c>
      <x:c r="HH30" t="n">
        <x:f>IF(AND('Calculations'!JC30&gt;0,COUNTIF('Calculations'!$HF$12:HF30,"="&amp;SUBSTITUTE(SUBSTITUTE(SUBSTITUTE('Calculations'!HF30,"~","~~"),"*","~*"),"?","~?"))=1),MAX('Calculations'!$HH$12:HH29)+1,0)</x:f>
        <x:v>0</x:v>
      </x:c>
      <x:c r="HI30" t="n">
        <x:f>IF(AND('Calculations'!HN30&lt;&gt;"",COUNTIF('Calculations'!$HN$12:HN30,"="&amp;SUBSTITUTE(SUBSTITUTE(SUBSTITUTE('Calculations'!HN30,"~","~~"),"*","~*"),"?","~?"))=1),MAX('Calculations'!$HI$12:HI29)+1,0)</x:f>
        <x:v>0</x:v>
      </x:c>
      <x:c r="HJ30" t="str">
        <x:f>IF('Calculations'!HF30="","",IF(COUNTIF('Calculations'!$HE$13:$HE$512,"="&amp;SUBSTITUTE(SUBSTITUTE(SUBSTITUTE('Calculations'!HF30,"~","~~"),"*","~*"),"?","~?"))=1,INDEX('Calculations'!$HK$13:$HK$512,MATCH('Calculations'!HF30,'Calculations'!$HE$13:$HE$512,0)),IFERROR(IF(INDEX(INDIRECT("'WCM Calibration Final'!$E$1:$E$2000"),'Calculations'!$EM30)="","",TRIM(INDEX(INDIRECT("'WCM Calibration Final'!$E$1:$E$2000"),'Calculations'!$EM30)&amp;"")),"")&amp;" ["&amp;'Calculations'!HF30&amp;"]"))</x:f>
      </x:c>
      <x:c r="HK30" t="str">
        <x:f>IF('Calculations'!EM30="","",'Calculations'!HG30&amp;" ["&amp;'Calculations'!HE30&amp;"]")</x:f>
      </x:c>
      <x:c r="HL30" t="n">
        <x:f>IF('Calculations'!EM30="",0,IF(OR('Calculations'!II30&lt;&gt;"",COUNTIF('Calculations'!$HE$13:$HE$512,"="&amp;SUBSTITUTE(SUBSTITUTE(SUBSTITUTE('Calculations'!HE30,"~","~~"),"*","~*"),"?","~?"))&gt;1),1,0))</x:f>
        <x:v>0</x:v>
      </x:c>
      <x:c r="HM30" t="str">
        <x:f>IF('Calculations'!EM30="","",IF('Calculations'!HL30=1,"!UNRESOLVED",IF('Calculations'!IH30&lt;&gt;"",'Calculations'!IH30,IF('Calculations'!IG30&lt;&gt;"",'Calculations'!IG30,IF('Calculations'!IF30&lt;&gt;"",'Calculations'!IF30,IF('Calculations'!IE30&lt;&gt;"",'Calculations'!IE30,IF('Calculations'!ID30&lt;&gt;"",'Calculations'!ID30,IF('Calculations'!IC30&lt;&gt;"",'Calculations'!IC30,IF('Calculations'!IB30&lt;&gt;"",'Calculations'!IB30,IF('Calculations'!IA30&lt;&gt;"",'Calculations'!IA30,IF('Calculations'!HZ30&lt;&gt;"",'Calculations'!HZ30,IF('Calculations'!HY30&lt;&gt;"",'Calculations'!HY30,IF('Calculations'!HX30&lt;&gt;"",'Calculations'!HX30,IF('Calculations'!HW30&lt;&gt;"",'Calculations'!HW30,IF('Calculations'!HV30&lt;&gt;"",'Calculations'!HV30,IF('Calculations'!HU30&lt;&gt;"",'Calculations'!HU30,IF('Calculations'!HT30&lt;&gt;"",'Calculations'!HT30,IF('Calculations'!HS30&lt;&gt;"",'Calculations'!HS30,IF('Calculations'!HR30&lt;&gt;"",'Calculations'!HR30,IF('Calculations'!HQ30&lt;&gt;"",'Calculations'!HQ30,IF('Calculations'!HP30&lt;&gt;"",'Calculations'!HP30,IF('Calculations'!HO30&lt;&gt;"",'Calculations'!HO30,'Calculations'!HE30))))))))))))))))))))))</x:f>
      </x:c>
      <x:c r="HN30" t="str">
        <x:f>IF('Calculations'!EM30="","",IF(IFERROR(IF(INDEX(INDIRECT("'WCM Calibration Final'!$F$1:$F$2000"),'Calculations'!$EM30)="","",TRIM(INDEX(INDIRECT("'WCM Calibration Final'!$F$1:$F$2000"),'Calculations'!$EM30)&amp;"")),"")="","(Blank)",IFERROR(IF(INDEX(INDIRECT("'WCM Calibration Final'!$F$1:$F$2000"),'Calculations'!$EM30)="","",TRIM(INDEX(INDIRECT("'WCM Calibration Final'!$F$1:$F$2000"),'Calculations'!$EM30)&amp;"")),"")))</x:f>
      </x:c>
      <x:c r="HO30" t="str">
        <x:f>'Calculations'!HF30</x:f>
      </x:c>
      <x:c r="HP30" t="str">
        <x:f>IF('Calculations'!HO30="","",IF('Calculations'!HO30="!AMBIG","!AMBIG",IF(COUNTIF('Calculations'!$HE$13:$HE$512,"="&amp;SUBSTITUTE(SUBSTITUTE(SUBSTITUTE('Calculations'!HO30,"~","~~"),"*","~*"),"?","~?"))&gt;1,"!AMBIG",IFERROR(INDEX('Calculations'!$HF$13:$HF$512,MATCH('Calculations'!HO30,'Calculations'!$HE$13:$HE$512,0)),""))))</x:f>
      </x:c>
      <x:c r="HQ30" t="str">
        <x:f>IF('Calculations'!HP30="","",IF('Calculations'!HP30="!AMBIG","!AMBIG",IF(COUNTIF('Calculations'!$HE$13:$HE$512,"="&amp;SUBSTITUTE(SUBSTITUTE(SUBSTITUTE('Calculations'!HP30,"~","~~"),"*","~*"),"?","~?"))&gt;1,"!AMBIG",IFERROR(INDEX('Calculations'!$HF$13:$HF$512,MATCH('Calculations'!HP30,'Calculations'!$HE$13:$HE$512,0)),""))))</x:f>
      </x:c>
      <x:c r="HR30" t="str">
        <x:f>IF('Calculations'!HQ30="","",IF('Calculations'!HQ30="!AMBIG","!AMBIG",IF(COUNTIF('Calculations'!$HE$13:$HE$512,"="&amp;SUBSTITUTE(SUBSTITUTE(SUBSTITUTE('Calculations'!HQ30,"~","~~"),"*","~*"),"?","~?"))&gt;1,"!AMBIG",IFERROR(INDEX('Calculations'!$HF$13:$HF$512,MATCH('Calculations'!HQ30,'Calculations'!$HE$13:$HE$512,0)),""))))</x:f>
      </x:c>
      <x:c r="HS30" t="str">
        <x:f>IF('Calculations'!HR30="","",IF('Calculations'!HR30="!AMBIG","!AMBIG",IF(COUNTIF('Calculations'!$HE$13:$HE$512,"="&amp;SUBSTITUTE(SUBSTITUTE(SUBSTITUTE('Calculations'!HR30,"~","~~"),"*","~*"),"?","~?"))&gt;1,"!AMBIG",IFERROR(INDEX('Calculations'!$HF$13:$HF$512,MATCH('Calculations'!HR30,'Calculations'!$HE$13:$HE$512,0)),""))))</x:f>
      </x:c>
      <x:c r="HT30" t="str">
        <x:f>IF('Calculations'!HS30="","",IF('Calculations'!HS30="!AMBIG","!AMBIG",IF(COUNTIF('Calculations'!$HE$13:$HE$512,"="&amp;SUBSTITUTE(SUBSTITUTE(SUBSTITUTE('Calculations'!HS30,"~","~~"),"*","~*"),"?","~?"))&gt;1,"!AMBIG",IFERROR(INDEX('Calculations'!$HF$13:$HF$512,MATCH('Calculations'!HS30,'Calculations'!$HE$13:$HE$512,0)),""))))</x:f>
      </x:c>
      <x:c r="HU30" t="str">
        <x:f>IF('Calculations'!HT30="","",IF('Calculations'!HT30="!AMBIG","!AMBIG",IF(COUNTIF('Calculations'!$HE$13:$HE$512,"="&amp;SUBSTITUTE(SUBSTITUTE(SUBSTITUTE('Calculations'!HT30,"~","~~"),"*","~*"),"?","~?"))&gt;1,"!AMBIG",IFERROR(INDEX('Calculations'!$HF$13:$HF$512,MATCH('Calculations'!HT30,'Calculations'!$HE$13:$HE$512,0)),""))))</x:f>
      </x:c>
      <x:c r="HV30" t="str">
        <x:f>IF('Calculations'!HU30="","",IF('Calculations'!HU30="!AMBIG","!AMBIG",IF(COUNTIF('Calculations'!$HE$13:$HE$512,"="&amp;SUBSTITUTE(SUBSTITUTE(SUBSTITUTE('Calculations'!HU30,"~","~~"),"*","~*"),"?","~?"))&gt;1,"!AMBIG",IFERROR(INDEX('Calculations'!$HF$13:$HF$512,MATCH('Calculations'!HU30,'Calculations'!$HE$13:$HE$512,0)),""))))</x:f>
      </x:c>
      <x:c r="HW30" t="str">
        <x:f>IF('Calculations'!HV30="","",IF('Calculations'!HV30="!AMBIG","!AMBIG",IF(COUNTIF('Calculations'!$HE$13:$HE$512,"="&amp;SUBSTITUTE(SUBSTITUTE(SUBSTITUTE('Calculations'!HV30,"~","~~"),"*","~*"),"?","~?"))&gt;1,"!AMBIG",IFERROR(INDEX('Calculations'!$HF$13:$HF$512,MATCH('Calculations'!HV30,'Calculations'!$HE$13:$HE$512,0)),""))))</x:f>
      </x:c>
      <x:c r="HX30" t="str">
        <x:f>IF('Calculations'!HW30="","",IF('Calculations'!HW30="!AMBIG","!AMBIG",IF(COUNTIF('Calculations'!$HE$13:$HE$512,"="&amp;SUBSTITUTE(SUBSTITUTE(SUBSTITUTE('Calculations'!HW30,"~","~~"),"*","~*"),"?","~?"))&gt;1,"!AMBIG",IFERROR(INDEX('Calculations'!$HF$13:$HF$512,MATCH('Calculations'!HW30,'Calculations'!$HE$13:$HE$512,0)),""))))</x:f>
      </x:c>
      <x:c r="HY30" t="str">
        <x:f>IF('Calculations'!HX30="","",IF('Calculations'!HX30="!AMBIG","!AMBIG",IF(COUNTIF('Calculations'!$HE$13:$HE$512,"="&amp;SUBSTITUTE(SUBSTITUTE(SUBSTITUTE('Calculations'!HX30,"~","~~"),"*","~*"),"?","~?"))&gt;1,"!AMBIG",IFERROR(INDEX('Calculations'!$HF$13:$HF$512,MATCH('Calculations'!HX30,'Calculations'!$HE$13:$HE$512,0)),""))))</x:f>
      </x:c>
      <x:c r="HZ30" t="str">
        <x:f>IF('Calculations'!HY30="","",IF('Calculations'!HY30="!AMBIG","!AMBIG",IF(COUNTIF('Calculations'!$HE$13:$HE$512,"="&amp;SUBSTITUTE(SUBSTITUTE(SUBSTITUTE('Calculations'!HY30,"~","~~"),"*","~*"),"?","~?"))&gt;1,"!AMBIG",IFERROR(INDEX('Calculations'!$HF$13:$HF$512,MATCH('Calculations'!HY30,'Calculations'!$HE$13:$HE$512,0)),""))))</x:f>
      </x:c>
      <x:c r="IA30" t="str">
        <x:f>IF('Calculations'!HZ30="","",IF('Calculations'!HZ30="!AMBIG","!AMBIG",IF(COUNTIF('Calculations'!$HE$13:$HE$512,"="&amp;SUBSTITUTE(SUBSTITUTE(SUBSTITUTE('Calculations'!HZ30,"~","~~"),"*","~*"),"?","~?"))&gt;1,"!AMBIG",IFERROR(INDEX('Calculations'!$HF$13:$HF$512,MATCH('Calculations'!HZ30,'Calculations'!$HE$13:$HE$512,0)),""))))</x:f>
      </x:c>
      <x:c r="IB30" t="str">
        <x:f>IF('Calculations'!IA30="","",IF('Calculations'!IA30="!AMBIG","!AMBIG",IF(COUNTIF('Calculations'!$HE$13:$HE$512,"="&amp;SUBSTITUTE(SUBSTITUTE(SUBSTITUTE('Calculations'!IA30,"~","~~"),"*","~*"),"?","~?"))&gt;1,"!AMBIG",IFERROR(INDEX('Calculations'!$HF$13:$HF$512,MATCH('Calculations'!IA30,'Calculations'!$HE$13:$HE$512,0)),""))))</x:f>
      </x:c>
      <x:c r="IC30" t="str">
        <x:f>IF('Calculations'!IB30="","",IF('Calculations'!IB30="!AMBIG","!AMBIG",IF(COUNTIF('Calculations'!$HE$13:$HE$512,"="&amp;SUBSTITUTE(SUBSTITUTE(SUBSTITUTE('Calculations'!IB30,"~","~~"),"*","~*"),"?","~?"))&gt;1,"!AMBIG",IFERROR(INDEX('Calculations'!$HF$13:$HF$512,MATCH('Calculations'!IB30,'Calculations'!$HE$13:$HE$512,0)),""))))</x:f>
      </x:c>
      <x:c r="ID30" t="str">
        <x:f>IF('Calculations'!IC30="","",IF('Calculations'!IC30="!AMBIG","!AMBIG",IF(COUNTIF('Calculations'!$HE$13:$HE$512,"="&amp;SUBSTITUTE(SUBSTITUTE(SUBSTITUTE('Calculations'!IC30,"~","~~"),"*","~*"),"?","~?"))&gt;1,"!AMBIG",IFERROR(INDEX('Calculations'!$HF$13:$HF$512,MATCH('Calculations'!IC30,'Calculations'!$HE$13:$HE$512,0)),""))))</x:f>
      </x:c>
      <x:c r="IE30" t="str">
        <x:f>IF('Calculations'!ID30="","",IF('Calculations'!ID30="!AMBIG","!AMBIG",IF(COUNTIF('Calculations'!$HE$13:$HE$512,"="&amp;SUBSTITUTE(SUBSTITUTE(SUBSTITUTE('Calculations'!ID30,"~","~~"),"*","~*"),"?","~?"))&gt;1,"!AMBIG",IFERROR(INDEX('Calculations'!$HF$13:$HF$512,MATCH('Calculations'!ID30,'Calculations'!$HE$13:$HE$512,0)),""))))</x:f>
      </x:c>
      <x:c r="IF30" t="str">
        <x:f>IF('Calculations'!IE30="","",IF('Calculations'!IE30="!AMBIG","!AMBIG",IF(COUNTIF('Calculations'!$HE$13:$HE$512,"="&amp;SUBSTITUTE(SUBSTITUTE(SUBSTITUTE('Calculations'!IE30,"~","~~"),"*","~*"),"?","~?"))&gt;1,"!AMBIG",IFERROR(INDEX('Calculations'!$HF$13:$HF$512,MATCH('Calculations'!IE30,'Calculations'!$HE$13:$HE$512,0)),""))))</x:f>
      </x:c>
      <x:c r="IG30" t="str">
        <x:f>IF('Calculations'!IF30="","",IF('Calculations'!IF30="!AMBIG","!AMBIG",IF(COUNTIF('Calculations'!$HE$13:$HE$512,"="&amp;SUBSTITUTE(SUBSTITUTE(SUBSTITUTE('Calculations'!IF30,"~","~~"),"*","~*"),"?","~?"))&gt;1,"!AMBIG",IFERROR(INDEX('Calculations'!$HF$13:$HF$512,MATCH('Calculations'!IF30,'Calculations'!$HE$13:$HE$512,0)),""))))</x:f>
      </x:c>
      <x:c r="IH30" t="str">
        <x:f>IF('Calculations'!IG30="","",IF('Calculations'!IG30="!AMBIG","!AMBIG",IF(COUNTIF('Calculations'!$HE$13:$HE$512,"="&amp;SUBSTITUTE(SUBSTITUTE(SUBSTITUTE('Calculations'!IG30,"~","~~"),"*","~*"),"?","~?"))&gt;1,"!AMBIG",IFERROR(INDEX('Calculations'!$HF$13:$HF$512,MATCH('Calculations'!IG30,'Calculations'!$HE$13:$HE$512,0)),""))))</x:f>
      </x:c>
      <x:c r="II30" t="str">
        <x:f>IF('Calculations'!IH30="","",IF('Calculations'!IH30="!AMBIG","!AMBIG",IF(COUNTIF('Calculations'!$HE$13:$HE$512,"="&amp;SUBSTITUTE(SUBSTITUTE(SUBSTITUTE('Calculations'!IH30,"~","~~"),"*","~*"),"?","~?"))&gt;1,"!AMBIG",IFERROR(INDEX('Calculations'!$HF$13:$HF$512,MATCH('Calculations'!IH30,'Calculations'!$HE$13:$HE$512,0)),""))))</x:f>
      </x:c>
      <x:c r="IJ30" t="str">
        <x:f>IF('Calculations'!EM30="","",IF('Calculations'!$EF$2="All",'Calculations'!HM30,IF('Calculations'!HL30=1,"",IFERROR(IF(MATCH('Calculations'!$EF$2,'Calculations'!HO30:II30,0)=1,'Calculations'!HE30,INDEX('Calculations'!HO30:II30,1,MATCH('Calculations'!$EF$2,'Calculations'!HO30:II30,0)-1)),""))))</x:f>
      </x:c>
      <x:c r="IK30" t="n">
        <x:f>IF(AND('Calculations'!EM30&lt;&gt;"",'Calculations'!$EF$2&lt;&gt;"All",'Calculations'!HF30='Calculations'!$EF$2,'Calculations'!HL30=0,'Calculations'!JD30&gt;0),MAX('Calculations'!$IK$12:IK29)+1,0)</x:f>
        <x:v>0</x:v>
      </x:c>
      <x:c r="JA30" t="n">
        <x:f>IF(OR(IFERROR(INDIRECT("'WCM Calibration Final'!$A$30")&lt;&gt;"",FALSE),IFERROR(INDIRECT("'WCM Calibration Final'!$B$30")&lt;&gt;"",FALSE),IFERROR(INDIRECT("'WCM Calibration Final'!$C$30")&lt;&gt;"",FALSE)),30,0)</x:f>
        <x:v>0</x:v>
      </x:c>
      <x:c r="JB30" t="n">
        <x:f>'Calculations'!JB29+IF('Calculations'!JA30&gt;0,1,0)</x:f>
        <x:v>0</x:v>
      </x:c>
      <x:c r="JC30" t="n">
        <x:f>IF(OR('Calculations'!HF30="",'Calculations'!HF30="!AMBIG"),0,IF('Dashboard'!$B$7="All",1,COUNTIFS('Calculations'!$HO$13:$HO$512,"="&amp;SUBSTITUTE(SUBSTITUTE(SUBSTITUTE('Calculations'!HF30,"~","~~"),"*","~*"),"?","~?"),'Calculations'!$HN$13:$HN$512,"="&amp;SUBSTITUTE(SUBSTITUTE(SUBSTITUTE('Dashboard'!$B$7,"~","~~"),"*","~*"),"?","~?"))+COUNTIFS('Calculations'!$HP$13:$HP$512,"="&amp;SUBSTITUTE(SUBSTITUTE(SUBSTITUTE('Calculations'!HF30,"~","~~"),"*","~*"),"?","~?"),'Calculations'!$HN$13:$HN$512,"="&amp;SUBSTITUTE(SUBSTITUTE(SUBSTITUTE('Dashboard'!$B$7,"~","~~"),"*","~*"),"?","~?"))+COUNTIFS('Calculations'!$HQ$13:$HQ$512,"="&amp;SUBSTITUTE(SUBSTITUTE(SUBSTITUTE('Calculations'!HF30,"~","~~"),"*","~*"),"?","~?"),'Calculations'!$HN$13:$HN$512,"="&amp;SUBSTITUTE(SUBSTITUTE(SUBSTITUTE('Dashboard'!$B$7,"~","~~"),"*","~*"),"?","~?"))+COUNTIFS('Calculations'!$HR$13:$HR$512,"="&amp;SUBSTITUTE(SUBSTITUTE(SUBSTITUTE('Calculations'!HF30,"~","~~"),"*","~*"),"?","~?"),'Calculations'!$HN$13:$HN$512,"="&amp;SUBSTITUTE(SUBSTITUTE(SUBSTITUTE('Dashboard'!$B$7,"~","~~"),"*","~*"),"?","~?"))+COUNTIFS('Calculations'!$HS$13:$HS$512,"="&amp;SUBSTITUTE(SUBSTITUTE(SUBSTITUTE('Calculations'!HF30,"~","~~"),"*","~*"),"?","~?"),'Calculations'!$HN$13:$HN$512,"="&amp;SUBSTITUTE(SUBSTITUTE(SUBSTITUTE('Dashboard'!$B$7,"~","~~"),"*","~*"),"?","~?"))+COUNTIFS('Calculations'!$HT$13:$HT$512,"="&amp;SUBSTITUTE(SUBSTITUTE(SUBSTITUTE('Calculations'!HF30,"~","~~"),"*","~*"),"?","~?"),'Calculations'!$HN$13:$HN$512,"="&amp;SUBSTITUTE(SUBSTITUTE(SUBSTITUTE('Dashboard'!$B$7,"~","~~"),"*","~*"),"?","~?"))+COUNTIFS('Calculations'!$HU$13:$HU$512,"="&amp;SUBSTITUTE(SUBSTITUTE(SUBSTITUTE('Calculations'!HF30,"~","~~"),"*","~*"),"?","~?"),'Calculations'!$HN$13:$HN$512,"="&amp;SUBSTITUTE(SUBSTITUTE(SUBSTITUTE('Dashboard'!$B$7,"~","~~"),"*","~*"),"?","~?"))+COUNTIFS('Calculations'!$HV$13:$HV$512,"="&amp;SUBSTITUTE(SUBSTITUTE(SUBSTITUTE('Calculations'!HF30,"~","~~"),"*","~*"),"?","~?"),'Calculations'!$HN$13:$HN$512,"="&amp;SUBSTITUTE(SUBSTITUTE(SUBSTITUTE('Dashboard'!$B$7,"~","~~"),"*","~*"),"?","~?"))+COUNTIFS('Calculations'!$HW$13:$HW$512,"="&amp;SUBSTITUTE(SUBSTITUTE(SUBSTITUTE('Calculations'!HF30,"~","~~"),"*","~*"),"?","~?"),'Calculations'!$HN$13:$HN$512,"="&amp;SUBSTITUTE(SUBSTITUTE(SUBSTITUTE('Dashboard'!$B$7,"~","~~"),"*","~*"),"?","~?"))+COUNTIFS('Calculations'!$HX$13:$HX$512,"="&amp;SUBSTITUTE(SUBSTITUTE(SUBSTITUTE('Calculations'!HF30,"~","~~"),"*","~*"),"?","~?"),'Calculations'!$HN$13:$HN$512,"="&amp;SUBSTITUTE(SUBSTITUTE(SUBSTITUTE('Dashboard'!$B$7,"~","~~"),"*","~*"),"?","~?"))+COUNTIFS('Calculations'!$HY$13:$HY$512,"="&amp;SUBSTITUTE(SUBSTITUTE(SUBSTITUTE('Calculations'!HF30,"~","~~"),"*","~*"),"?","~?"),'Calculations'!$HN$13:$HN$512,"="&amp;SUBSTITUTE(SUBSTITUTE(SUBSTITUTE('Dashboard'!$B$7,"~","~~"),"*","~*"),"?","~?"))+COUNTIFS('Calculations'!$HZ$13:$HZ$512,"="&amp;SUBSTITUTE(SUBSTITUTE(SUBSTITUTE('Calculations'!HF30,"~","~~"),"*","~*"),"?","~?"),'Calculations'!$HN$13:$HN$512,"="&amp;SUBSTITUTE(SUBSTITUTE(SUBSTITUTE('Dashboard'!$B$7,"~","~~"),"*","~*"),"?","~?"))+COUNTIFS('Calculations'!$IA$13:$IA$512,"="&amp;SUBSTITUTE(SUBSTITUTE(SUBSTITUTE('Calculations'!HF30,"~","~~"),"*","~*"),"?","~?"),'Calculations'!$HN$13:$HN$512,"="&amp;SUBSTITUTE(SUBSTITUTE(SUBSTITUTE('Dashboard'!$B$7,"~","~~"),"*","~*"),"?","~?"))+COUNTIFS('Calculations'!$IB$13:$IB$512,"="&amp;SUBSTITUTE(SUBSTITUTE(SUBSTITUTE('Calculations'!HF30,"~","~~"),"*","~*"),"?","~?"),'Calculations'!$HN$13:$HN$512,"="&amp;SUBSTITUTE(SUBSTITUTE(SUBSTITUTE('Dashboard'!$B$7,"~","~~"),"*","~*"),"?","~?"))+COUNTIFS('Calculations'!$IC$13:$IC$512,"="&amp;SUBSTITUTE(SUBSTITUTE(SUBSTITUTE('Calculations'!HF30,"~","~~"),"*","~*"),"?","~?"),'Calculations'!$HN$13:$HN$512,"="&amp;SUBSTITUTE(SUBSTITUTE(SUBSTITUTE('Dashboard'!$B$7,"~","~~"),"*","~*"),"?","~?"))+COUNTIFS('Calculations'!$ID$13:$ID$512,"="&amp;SUBSTITUTE(SUBSTITUTE(SUBSTITUTE('Calculations'!HF30,"~","~~"),"*","~*"),"?","~?"),'Calculations'!$HN$13:$HN$512,"="&amp;SUBSTITUTE(SUBSTITUTE(SUBSTITUTE('Dashboard'!$B$7,"~","~~"),"*","~*"),"?","~?"))+COUNTIFS('Calculations'!$IE$13:$IE$512,"="&amp;SUBSTITUTE(SUBSTITUTE(SUBSTITUTE('Calculations'!HF30,"~","~~"),"*","~*"),"?","~?"),'Calculations'!$HN$13:$HN$512,"="&amp;SUBSTITUTE(SUBSTITUTE(SUBSTITUTE('Dashboard'!$B$7,"~","~~"),"*","~*"),"?","~?"))+COUNTIFS('Calculations'!$IF$13:$IF$512,"="&amp;SUBSTITUTE(SUBSTITUTE(SUBSTITUTE('Calculations'!HF30,"~","~~"),"*","~*"),"?","~?"),'Calculations'!$HN$13:$HN$512,"="&amp;SUBSTITUTE(SUBSTITUTE(SUBSTITUTE('Dashboard'!$B$7,"~","~~"),"*","~*"),"?","~?"))+COUNTIFS('Calculations'!$IG$13:$IG$512,"="&amp;SUBSTITUTE(SUBSTITUTE(SUBSTITUTE('Calculations'!HF30,"~","~~"),"*","~*"),"?","~?"),'Calculations'!$HN$13:$HN$512,"="&amp;SUBSTITUTE(SUBSTITUTE(SUBSTITUTE('Dashboard'!$B$7,"~","~~"),"*","~*"),"?","~?"))+COUNTIFS('Calculations'!$IH$13:$IH$512,"="&amp;SUBSTITUTE(SUBSTITUTE(SUBSTITUTE('Calculations'!HF30,"~","~~"),"*","~*"),"?","~?"),'Calculations'!$HN$13:$HN$512,"="&amp;SUBSTITUTE(SUBSTITUTE(SUBSTITUTE('Dashboard'!$B$7,"~","~~"),"*","~*"),"?","~?"))))</x:f>
        <x:v>0</x:v>
      </x:c>
      <x:c r="JD30" t="n">
        <x:f>IF('Calculations'!EM30="",0,IF('Dashboard'!$B$7="All",1,IF('Calculations'!HN30='Dashboard'!$B$7,1,0)+IFERROR(INDEX('Calculations'!$JC$13:$JC$512,MATCH('Calculations'!HE30,'Calculations'!$HF$13:$HF$512,0)),0)))</x:f>
        <x:v>0</x:v>
      </x:c>
      <x:c r="JE30" t="n">
        <x:f>IF(AND('Calculations'!EM30&lt;&gt;"",'Calculations'!$JJ$2&lt;&gt;"All",'Calculations'!$JJ$2&lt;&gt;"",'Calculations'!HF30='Calculations'!$JJ$2,'Calculations'!HL30=0,'Calculations'!JD30&gt;0),MAX('Calculations'!$JE$12:JE29)+1,0)</x:f>
        <x:v>0</x:v>
      </x:c>
      <x:c r="JF30" t="str">
        <x:f>IF('Calculations'!EM30="","",IFERROR(IF(INDEX(INDIRECT("'WCM Calibration Final'!$G$1:$G$2000"),'Calculations'!$EM30)="","",TRIM(INDEX(INDIRECT("'WCM Calibration Final'!$G$1:$G$2000"),'Calculations'!$EM30)&amp;"")),""))</x:f>
      </x:c>
      <x:c r="JQ30" t="n">
        <x:f>IF(OR('Calculations'!BM30=0,NOT('Calculations'!$AG$2),'Calculations'!$AG$8&gt;0),0,IF(OR('Dashboard'!$B$7="All",'Calculations'!HN30='Dashboard'!$B$7),IF('Calculations'!$JJ$2="All",1,IF(AND('Calculations'!HF30='Calculations'!$JJ$2,'Calculations'!HL30=0),1,0)),0))</x:f>
        <x:v>0</x:v>
      </x:c>
    </x:row>
    <x:row r="31">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t="n">
        <x:f>IF('Calculations'!$EM31="",0,IF(OR(IFERROR(INDEX(INDIRECT("'WCM Calibration Final'!$A$1:$A$2000"),'Calculations'!$EM31)&lt;&gt;"",FALSE),IFERROR(INDEX(INDIRECT("'WCM Calibration Final'!$B$1:$B$2000"),'Calculations'!$EM31)&lt;&gt;"",FALSE),IFERROR(INDEX(INDIRECT("'WCM Calibration Final'!$C$1:$C$2000"),'Calculations'!$EM31)&lt;&gt;"",FALSE)),1,0))</x:f>
        <x:v>0</x:v>
      </x:c>
      <x:c r="BN31" s="4" t="n">
        <x:f>IF(AND('Calculations'!BM31=1,'Calculations'!$AG$2,'Calculations'!$EN31=1),1,0)</x:f>
        <x:v>0</x:v>
      </x:c>
      <x:c r="BO31" s="4" t="str">
        <x:f>IF('Calculations'!BM31=0,"",IFERROR(IF(AND(VALUE(INDEX(INDIRECT("'WCM Calibration Final'!$K$1:$K$2000"),'Calculations'!$EM31))&gt;=1,VALUE(INDEX(INDIRECT("'WCM Calibration Final'!$K$1:$K$2000"),'Calculations'!$EM31))&lt;=4,MOD(VALUE(INDEX(INDIRECT("'WCM Calibration Final'!$K$1:$K$2000"),'Calculations'!$EM31)),1)=0),VALUE(INDEX(INDIRECT("'WCM Calibration Final'!$K$1:$K$2000"),'Calculations'!$EM31)),""),""))</x:f>
      </x:c>
      <x:c r="BP31" s="4" t="str">
        <x:f>IF('Calculations'!BM31=0,"",IFERROR(IF(AND(VALUE(INDEX(INDIRECT("'WCM Calibration Final'!$L$1:$L$2000"),'Calculations'!$EM31))&gt;=1,VALUE(INDEX(INDIRECT("'WCM Calibration Final'!$L$1:$L$2000"),'Calculations'!$EM31))&lt;=4,MOD(VALUE(INDEX(INDIRECT("'WCM Calibration Final'!$L$1:$L$2000"),'Calculations'!$EM31)),1)=0),VALUE(INDEX(INDIRECT("'WCM Calibration Final'!$L$1:$L$2000"),'Calculations'!$EM31)),""),""))</x:f>
      </x:c>
      <x:c r="BQ31" s="4"/>
      <x:c r="BR31" s="4"/>
      <x:c r="BS31" s="4"/>
      <x:c r="BT31" s="4" t="n">
        <x:f>IF(AND('Calculations'!BM31=1,ISNUMBER('Calculations'!BO31),ISNUMBER('Calculations'!BP31)),1,0)</x:f>
        <x:v>0</x:v>
      </x:c>
      <x:c r="BU31" s="4" t="str">
        <x:f>IF('Calculations'!BM31=0,"",'Calculations'!$EO31)</x:f>
      </x:c>
      <x:c r="BV31" s="4" t="str">
        <x:f>IF('Calculations'!BM31=0,"",IFERROR(IF(OR(INDEX(INDIRECT("'WCM Calibration Final'!$H$1:$H$2000"),'Calculations'!$EM31)="MANAGING DIRECTOR",INDEX(INDIRECT("'WCM Calibration Final'!$H$1:$H$2000"),'Calculations'!$EM31)="DIRECTOR",INDEX(INDIRECT("'WCM Calibration Final'!$H$1:$H$2000"),'Calculations'!$EM31)="SENIOR VICE PRESIDENT",INDEX(INDIRECT("'WCM Calibration Final'!$H$1:$H$2000"),'Calculations'!$EM31)="VICE PRESIDENT",INDEX(INDIRECT("'WCM Calibration Final'!$H$1:$H$2000"),'Calculations'!$EM31)="ASSISTANT VICE PRESIDENT",INDEX(INDIRECT("'WCM Calibration Final'!$H$1:$H$2000"),'Calculations'!$EM31)="OFFICER"),UPPER(INDEX(INDIRECT("'WCM Calibration Final'!$H$1:$H$2000"),'Calculations'!$EM31)),"Other"),"Other"))</x:f>
      </x:c>
      <x:c r="BW31" s="4"/>
      <x:c r="BX31" s="4"/>
      <x:c r="BY31" s="4" t="n">
        <x:f>IF(AND('Calculations'!BM31=1,'Calculations'!BU31&lt;&gt;"",COUNTIF('Calculations'!$BU$12:BU31,'Calculations'!BU31)=1),MAX('Calculations'!$BY$11:BY30)+1,0)</x:f>
        <x:v>0</x:v>
      </x:c>
      <x:c r="BZ31" s="4" t="str">
        <x:f>IF('Dashboard'!$E$67="What",'Calculations'!BO31,'Calculations'!BP31)</x:f>
      </x:c>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t="str">
        <x:f>IF(20&gt;MAX('Calculations'!$HI$13:$HI$512),"",INDEX('Calculations'!$HN$13:$HN$512,MATCH(20,'Calculations'!$HI$13:$HI$512,0)))</x:f>
      </x:c>
      <x:c r="DB31" s="4" t="str">
        <x:f>IF(20&gt;MAX('Calculations'!$HH$13:$HH$512),"",INDEX('Calculations'!$HJ$13:$HJ$512,MATCH(20,'Calculations'!$HH$13:$HH$512,0)))</x:f>
      </x:c>
      <x:c r="DC31" s="4" t="str">
        <x:f>IF(ROW()-11&gt;MAX('Calculations'!$BY$13:$BY$512),"",INDEX('Calculations'!$BU$13:$BU$512,MATCH(ROW()-11,'Calculations'!$BY$13:$BY$512,0)))</x:f>
      </x:c>
      <x:c r="DD31" s="4" t="str">
        <x:f>IF(20&gt;MAX('Calculations'!$IK$13:$IK$512),"",INDEX('Calculations'!$HK$13:$HK$512,MATCH(20,'Calculations'!$IK$13:$IK$512,0)))</x:f>
      </x:c>
      <x:c r="DE31" s="4" t="str">
        <x:f>'Calculations'!DC31</x:f>
      </x:c>
      <x:c r="DF31" s="4" t="str">
        <x:f>IF('Calculations'!DE31="","",COUNTIFS('Calculations'!$BN$13:$BN$512,1,'Calculations'!$BU$13:$BU$512,'Calculations'!DE31))</x:f>
      </x:c>
      <x:c r="DG31" s="4" t="str">
        <x:f>IF('Calculations'!DE31="","",COUNTIFS('Calculations'!$BN$13:$BN$512,1,'Calculations'!$BU$13:$BU$512,'Calculations'!DE31,'Calculations'!$BT$13:$BT$512,1))</x:f>
      </x:c>
      <x:c r="DH31" s="4" t="str">
        <x:f>IF('Calculations'!DE31="","",'Calculations'!DF31-'Calculations'!DG31)</x:f>
      </x:c>
      <x:c r="DI31" s="4" t="str">
        <x:f>IF(OR('Calculations'!DE31="",'Calculations'!DF31=0),"",'Calculations'!DG31/'Calculations'!DF31)</x:f>
      </x:c>
      <x:c r="DJ31" s="4" t="str">
        <x:f>IF('Calculations'!DE31="","",COUNTIFS('Calculations'!$BN$13:$BN$512,1,'Calculations'!$BU$13:$BU$512,'Calculations'!DE31,'Calculations'!$BT$13:$BT$512,1,'Calculations'!$EE$13:$EE$512,"High"))</x:f>
      </x:c>
      <x:c r="DK31" s="4" t="str">
        <x:f>IF('Calculations'!DE31="","",COUNTIFS('Calculations'!$BN$13:$BN$512,1,'Calculations'!$BU$13:$BU$512,'Calculations'!DE31,'Calculations'!$BT$13:$BT$512,1,'Calculations'!$EE$13:$EE$512,"Strong"))</x:f>
      </x:c>
      <x:c r="DL31" s="4" t="str">
        <x:f>IF('Calculations'!DE31="","",COUNTIFS('Calculations'!$BN$13:$BN$512,1,'Calculations'!$BU$13:$BU$512,'Calculations'!DE31,'Calculations'!$BT$13:$BT$512,1,'Calculations'!$EE$13:$EE$512,"Solid"))</x:f>
      </x:c>
      <x:c r="DM31" s="4" t="str">
        <x:f>IF('Calculations'!DE31="","",COUNTIFS('Calculations'!$BN$13:$BN$512,1,'Calculations'!$BU$13:$BU$512,'Calculations'!DE31,'Calculations'!$BT$13:$BT$512,1,'Calculations'!$EE$13:$EE$512,"Low"))</x:f>
      </x:c>
      <x:c r="DN31" s="4" t="str">
        <x:f>IF('Calculations'!DE31="","",COUNTIFS('Calculations'!$BN$13:$BN$512,1,'Calculations'!$BU$13:$BU$512,'Calculations'!DE31,'Calculations'!$EP$13:$EP$512,1))</x:f>
      </x:c>
      <x:c r="DO31" s="4" t="str">
        <x:f>IF(OR('Calculations'!DE31="",'Calculations'!DG31=0),"",('Calculations'!DJ31+'Calculations'!DK31)/'Calculations'!DG31)</x:f>
      </x:c>
      <x:c r="DP31" s="4" t="n">
        <x:f>IF(AND('Calculations'!DE31&lt;&gt;"",'Calculations'!DF31&gt;0),COUNTIF('Calculations'!$DF$12:DF31,"&gt;0"),0)</x:f>
        <x:v>0</x:v>
      </x:c>
      <x:c r="DQ31" s="4" t="str">
        <x:f>IF(20&gt;MAX('Calculations'!$HH$13:$HH$512),"",INDEX('Calculations'!$HF$13:$HF$512,MATCH(20,'Calculations'!$HH$13:$HH$512,0)))</x:f>
      </x:c>
      <x:c r="DR31" s="4" t="str">
        <x:f>IF(20&gt;MAX('Calculations'!$IK$13:$IK$512),"",INDEX('Calculations'!$HE$13:$HE$512,MATCH(20,'Calculations'!$IK$13:$IK$512,0)))</x:f>
      </x:c>
      <x:c r="DS31" s="4"/>
      <x:c r="DT31" s="4"/>
      <x:c r="DU31" s="4"/>
      <x:c r="DV31" s="4"/>
      <x:c r="DW31" s="4"/>
      <x:c r="DX31" s="4"/>
      <x:c r="DY31" s="4"/>
      <x:c r="DZ31" s="4"/>
      <x:c r="EA31" s="4"/>
      <x:c r="EB31" s="4"/>
      <x:c r="EC31" s="4"/>
      <x:c r="ED31" s="4"/>
      <x:c r="EE31" s="4" t="str">
        <x:f>IF('Calculations'!BT31=0,"Not Rated",IF(OR('Calculations'!BO31&gt;=4,'Calculations'!BP31&gt;=4),"Low",IF('Calculations'!BO31+'Calculations'!BP31&lt;=3,"High",IF('Calculations'!BO31+'Calculations'!BP31&lt;=4,"Strong","Solid"))))</x:f>
        <x:v>Not Rated</x:v>
      </x:c>
      <x:c r="EF31" s="4"/>
      <x:c r="EG31" s="4"/>
      <x:c r="EH31" s="4"/>
      <x:c r="EI31" s="4"/>
      <x:c r="EJ31" s="4"/>
      <x:c r="EK31" s="4"/>
      <x:c r="EL31" s="4"/>
      <x:c r="EM31" s="4" t="str">
        <x:f>IF(19&gt;'Calculations'!$JB$2000,"",INDEX('Calculations'!$JA$12:$JA$2000,MATCH(19,'Calculations'!$JB$12:$JB$2000,0)))</x:f>
      </x:c>
      <x:c r="EN31" s="4" t="n">
        <x:f>IF(OR('Calculations'!EM31="",'Calculations'!$AG$8&gt;0,AND('Calculations'!$EF$2&lt;&gt;"All",'Calculations'!HE31='Calculations'!$EF$2),AND('Calculations'!$EF$3&lt;&gt;"All",'Calculations'!HE31='Calculations'!$EF$3)),0,IF(OR('Dashboard'!$B$7="All",'Calculations'!HN31='Dashboard'!$B$7),IF('Calculations'!$EF$2="All",1,IF('Calculations'!HL31&gt;0,0,IF(COUNTIF('Calculations'!HO31:II31,"="&amp;SUBSTITUTE(SUBSTITUTE(SUBSTITUTE('Calculations'!$EF$2,"~","~~"),"*","~*"),"?","~?"))=0,0,IF('Calculations'!$EF$3="All",1,IF(COUNTIF('Calculations'!HO31:II31,"="&amp;SUBSTITUTE(SUBSTITUTE(SUBSTITUTE('Calculations'!$EF$3,"~","~~"),"*","~*"),"?","~?"))&gt;0,1,0))))),0))</x:f>
        <x:v>0</x:v>
      </x:c>
      <x:c r="EO31" s="4" t="str">
        <x:f>IF('Calculations'!IJ31="","",IF('Calculations'!IJ31="!UNRESOLVED","Unresolved hierarchy",IFERROR(INDEX('Calculations'!$HK$13:$HK$512,MATCH('Calculations'!IJ31,'Calculations'!$HE$13:$HE$512,0)),IFERROR(INDEX('Calculations'!$HJ$13:$HJ$512,MATCH('Calculations'!IJ31,'Calculations'!$HF$13:$HF$512,0)),'Calculations'!IJ31))))</x:f>
      </x:c>
      <x:c r="EP31" s="4" t="n">
        <x:f>IF(AND('Calculations'!EM31&lt;&gt;"",'Calculations'!HF31='Calculations'!IJ31),1,0)</x:f>
        <x:v>0</x:v>
      </x:c>
      <x:c r="EQ31" s="4"/>
      <x:c r="ER31" s="4"/>
      <x:c r="ES31" s="4"/>
      <x:c r="ET31" s="4"/>
      <x:c r="EU31" s="4"/>
      <x:c r="EV31" s="4"/>
      <x:c r="EW31" s="4"/>
      <x:c r="EX31" s="4"/>
      <x:c r="EY31" s="4"/>
      <x:c r="EZ31" s="4"/>
      <x:c r="FA31" s="4"/>
      <x:c r="FB31" s="4"/>
      <x:c r="FC31" s="4"/>
      <x:c r="FD31" s="4"/>
      <x:c r="FE31" s="4"/>
      <x:c r="FF31" s="4"/>
      <x:c r="FG31" s="4"/>
      <x:c r="FH31" s="4"/>
      <x:c r="FI31" s="4"/>
      <x:c r="FJ31" s="4"/>
      <x:c r="FK31" s="4"/>
      <x:c r="FL31" s="4"/>
      <x:c r="FM31" s="4"/>
      <x:c r="FN31" s="4"/>
      <x:c r="FO31" s="4"/>
      <x:c r="GA31" s="71"/>
      <x:c r="GB31" s="71"/>
      <x:c r="GC31" s="71"/>
      <x:c r="GD31" s="71"/>
      <x:c r="GE31" s="71"/>
      <x:c r="GF31" s="71"/>
      <x:c r="GG31" s="71"/>
      <x:c r="GH31" s="71"/>
      <x:c r="GI31" s="71"/>
      <x:c r="GJ31" s="71"/>
      <x:c r="GK31" s="71"/>
      <x:c r="GL31" s="71"/>
      <x:c r="GM31" s="71"/>
      <x:c r="GN31" s="71"/>
      <x:c r="GO31" s="71"/>
      <x:c r="GP31" s="71"/>
      <x:c r="GQ31" s="71"/>
      <x:c r="GR31" s="71"/>
      <x:c r="GS31" s="71"/>
      <x:c r="GT31" s="71"/>
      <x:c r="GU31" s="71"/>
      <x:c r="GV31" s="71"/>
      <x:c r="GW31" s="71"/>
      <x:c r="GX31" s="71"/>
      <x:c r="GY31" s="71"/>
      <x:c r="GZ31" s="71"/>
      <x:c r="HA31" s="71"/>
      <x:c r="HB31" s="71"/>
      <x:c r="HC31" s="71"/>
      <x:c r="HD31" s="71"/>
      <x:c r="HE31" t="str">
        <x:f>IF('Calculations'!EM31="","",IF(IFERROR(IF(INDEX(INDIRECT("'WCM Calibration Final'!$A$1:$A$2000"),'Calculations'!$EM31)="","",TRIM(INDEX(INDIRECT("'WCM Calibration Final'!$A$1:$A$2000"),'Calculations'!$EM31)&amp;"")),"")&lt;&gt;"","G:"&amp;IFERROR(TEXT(1*INDEX(INDIRECT("'WCM Calibration Final'!$A$1:$A$2000"),'Calculations'!$EM31),"0"),UPPER(IFERROR(IF(INDEX(INDIRECT("'WCM Calibration Final'!$A$1:$A$2000"),'Calculations'!$EM31)="","",TRIM(INDEX(INDIRECT("'WCM Calibration Final'!$A$1:$A$2000"),'Calculations'!$EM31)&amp;"")),""))),IF(IFERROR(IF(INDEX(INDIRECT("'WCM Calibration Final'!$C$1:$C$2000"),'Calculations'!$EM31)="","",TRIM(INDEX(INDIRECT("'WCM Calibration Final'!$C$1:$C$2000"),'Calculations'!$EM31)&amp;"")),"")&lt;&gt;"","S:"&amp;UPPER(IFERROR(IF(INDEX(INDIRECT("'WCM Calibration Final'!$C$1:$C$2000"),'Calculations'!$EM31)="","",TRIM(INDEX(INDIRECT("'WCM Calibration Final'!$C$1:$C$2000"),'Calculations'!$EM31)&amp;"")),"")),"R:"&amp;'Calculations'!EM31)))</x:f>
      </x:c>
      <x:c r="HF31" t="str">
        <x:f>IF('Calculations'!EM31="","",IF(IFERROR(IF(INDEX(INDIRECT("'WCM Calibration Final'!$D$1:$D$2000"),'Calculations'!$EM31)="","",TRIM(INDEX(INDIRECT("'WCM Calibration Final'!$D$1:$D$2000"),'Calculations'!$EM31)&amp;"")),"")&lt;&gt;"","G:"&amp;IFERROR(TEXT(1*INDEX(INDIRECT("'WCM Calibration Final'!$D$1:$D$2000"),'Calculations'!$EM31),"0"),UPPER(IFERROR(IF(INDEX(INDIRECT("'WCM Calibration Final'!$D$1:$D$2000"),'Calculations'!$EM31)="","",TRIM(INDEX(INDIRECT("'WCM Calibration Final'!$D$1:$D$2000"),'Calculations'!$EM31)&amp;"")),""))),IF(IFERROR(IF(INDEX(INDIRECT("'WCM Calibration Final'!$E$1:$E$2000"),'Calculations'!$EM31)="","",TRIM(INDEX(INDIRECT("'WCM Calibration Final'!$E$1:$E$2000"),'Calculations'!$EM31)&amp;"")),"")="","",IF(COUNTIF('Calculations'!$HG$13:$HG$512,"="&amp;SUBSTITUTE(SUBSTITUTE(SUBSTITUTE(IFERROR(IF(INDEX(INDIRECT("'WCM Calibration Final'!$E$1:$E$2000"),'Calculations'!$EM31)="","",TRIM(INDEX(INDIRECT("'WCM Calibration Final'!$E$1:$E$2000"),'Calculations'!$EM31)&amp;"")),""),"~","~~"),"*","~*"),"?","~?"))=1,INDEX('Calculations'!$HE$13:$HE$512,MATCH(IFERROR(IF(INDEX(INDIRECT("'WCM Calibration Final'!$E$1:$E$2000"),'Calculations'!$EM31)="","",TRIM(INDEX(INDIRECT("'WCM Calibration Final'!$E$1:$E$2000"),'Calculations'!$EM31)&amp;"")),""),'Calculations'!$HG$13:$HG$512,0)),IF(COUNTIF('Calculations'!$HG$13:$HG$512,"="&amp;SUBSTITUTE(SUBSTITUTE(SUBSTITUTE(IFERROR(IF(INDEX(INDIRECT("'WCM Calibration Final'!$E$1:$E$2000"),'Calculations'!$EM31)="","",TRIM(INDEX(INDIRECT("'WCM Calibration Final'!$E$1:$E$2000"),'Calculations'!$EM31)&amp;"")),""),"~","~~"),"*","~*"),"?","~?"))&gt;1,"!AMBIG","X:"&amp;IFERROR(IF(INDEX(INDIRECT("'WCM Calibration Final'!$E$1:$E$2000"),'Calculations'!$EM31)="","",TRIM(INDEX(INDIRECT("'WCM Calibration Final'!$E$1:$E$2000"),'Calculations'!$EM31)&amp;"")),""))))))</x:f>
      </x:c>
      <x:c r="HG31" t="str">
        <x:f>IF('Calculations'!EM31="","",IFERROR(IF(INDEX(INDIRECT("'WCM Calibration Final'!$B$1:$B$2000"),'Calculations'!$EM31)="","",TRIM(INDEX(INDIRECT("'WCM Calibration Final'!$B$1:$B$2000"),'Calculations'!$EM31)&amp;"")),""))</x:f>
      </x:c>
      <x:c r="HH31" t="n">
        <x:f>IF(AND('Calculations'!JC31&gt;0,COUNTIF('Calculations'!$HF$12:HF31,"="&amp;SUBSTITUTE(SUBSTITUTE(SUBSTITUTE('Calculations'!HF31,"~","~~"),"*","~*"),"?","~?"))=1),MAX('Calculations'!$HH$12:HH30)+1,0)</x:f>
        <x:v>0</x:v>
      </x:c>
      <x:c r="HI31" t="n">
        <x:f>IF(AND('Calculations'!HN31&lt;&gt;"",COUNTIF('Calculations'!$HN$12:HN31,"="&amp;SUBSTITUTE(SUBSTITUTE(SUBSTITUTE('Calculations'!HN31,"~","~~"),"*","~*"),"?","~?"))=1),MAX('Calculations'!$HI$12:HI30)+1,0)</x:f>
        <x:v>0</x:v>
      </x:c>
      <x:c r="HJ31" t="str">
        <x:f>IF('Calculations'!HF31="","",IF(COUNTIF('Calculations'!$HE$13:$HE$512,"="&amp;SUBSTITUTE(SUBSTITUTE(SUBSTITUTE('Calculations'!HF31,"~","~~"),"*","~*"),"?","~?"))=1,INDEX('Calculations'!$HK$13:$HK$512,MATCH('Calculations'!HF31,'Calculations'!$HE$13:$HE$512,0)),IFERROR(IF(INDEX(INDIRECT("'WCM Calibration Final'!$E$1:$E$2000"),'Calculations'!$EM31)="","",TRIM(INDEX(INDIRECT("'WCM Calibration Final'!$E$1:$E$2000"),'Calculations'!$EM31)&amp;"")),"")&amp;" ["&amp;'Calculations'!HF31&amp;"]"))</x:f>
      </x:c>
      <x:c r="HK31" t="str">
        <x:f>IF('Calculations'!EM31="","",'Calculations'!HG31&amp;" ["&amp;'Calculations'!HE31&amp;"]")</x:f>
      </x:c>
      <x:c r="HL31" t="n">
        <x:f>IF('Calculations'!EM31="",0,IF(OR('Calculations'!II31&lt;&gt;"",COUNTIF('Calculations'!$HE$13:$HE$512,"="&amp;SUBSTITUTE(SUBSTITUTE(SUBSTITUTE('Calculations'!HE31,"~","~~"),"*","~*"),"?","~?"))&gt;1),1,0))</x:f>
        <x:v>0</x:v>
      </x:c>
      <x:c r="HM31" t="str">
        <x:f>IF('Calculations'!EM31="","",IF('Calculations'!HL31=1,"!UNRESOLVED",IF('Calculations'!IH31&lt;&gt;"",'Calculations'!IH31,IF('Calculations'!IG31&lt;&gt;"",'Calculations'!IG31,IF('Calculations'!IF31&lt;&gt;"",'Calculations'!IF31,IF('Calculations'!IE31&lt;&gt;"",'Calculations'!IE31,IF('Calculations'!ID31&lt;&gt;"",'Calculations'!ID31,IF('Calculations'!IC31&lt;&gt;"",'Calculations'!IC31,IF('Calculations'!IB31&lt;&gt;"",'Calculations'!IB31,IF('Calculations'!IA31&lt;&gt;"",'Calculations'!IA31,IF('Calculations'!HZ31&lt;&gt;"",'Calculations'!HZ31,IF('Calculations'!HY31&lt;&gt;"",'Calculations'!HY31,IF('Calculations'!HX31&lt;&gt;"",'Calculations'!HX31,IF('Calculations'!HW31&lt;&gt;"",'Calculations'!HW31,IF('Calculations'!HV31&lt;&gt;"",'Calculations'!HV31,IF('Calculations'!HU31&lt;&gt;"",'Calculations'!HU31,IF('Calculations'!HT31&lt;&gt;"",'Calculations'!HT31,IF('Calculations'!HS31&lt;&gt;"",'Calculations'!HS31,IF('Calculations'!HR31&lt;&gt;"",'Calculations'!HR31,IF('Calculations'!HQ31&lt;&gt;"",'Calculations'!HQ31,IF('Calculations'!HP31&lt;&gt;"",'Calculations'!HP31,IF('Calculations'!HO31&lt;&gt;"",'Calculations'!HO31,'Calculations'!HE31))))))))))))))))))))))</x:f>
      </x:c>
      <x:c r="HN31" t="str">
        <x:f>IF('Calculations'!EM31="","",IF(IFERROR(IF(INDEX(INDIRECT("'WCM Calibration Final'!$F$1:$F$2000"),'Calculations'!$EM31)="","",TRIM(INDEX(INDIRECT("'WCM Calibration Final'!$F$1:$F$2000"),'Calculations'!$EM31)&amp;"")),"")="","(Blank)",IFERROR(IF(INDEX(INDIRECT("'WCM Calibration Final'!$F$1:$F$2000"),'Calculations'!$EM31)="","",TRIM(INDEX(INDIRECT("'WCM Calibration Final'!$F$1:$F$2000"),'Calculations'!$EM31)&amp;"")),"")))</x:f>
      </x:c>
      <x:c r="HO31" t="str">
        <x:f>'Calculations'!HF31</x:f>
      </x:c>
      <x:c r="HP31" t="str">
        <x:f>IF('Calculations'!HO31="","",IF('Calculations'!HO31="!AMBIG","!AMBIG",IF(COUNTIF('Calculations'!$HE$13:$HE$512,"="&amp;SUBSTITUTE(SUBSTITUTE(SUBSTITUTE('Calculations'!HO31,"~","~~"),"*","~*"),"?","~?"))&gt;1,"!AMBIG",IFERROR(INDEX('Calculations'!$HF$13:$HF$512,MATCH('Calculations'!HO31,'Calculations'!$HE$13:$HE$512,0)),""))))</x:f>
      </x:c>
      <x:c r="HQ31" t="str">
        <x:f>IF('Calculations'!HP31="","",IF('Calculations'!HP31="!AMBIG","!AMBIG",IF(COUNTIF('Calculations'!$HE$13:$HE$512,"="&amp;SUBSTITUTE(SUBSTITUTE(SUBSTITUTE('Calculations'!HP31,"~","~~"),"*","~*"),"?","~?"))&gt;1,"!AMBIG",IFERROR(INDEX('Calculations'!$HF$13:$HF$512,MATCH('Calculations'!HP31,'Calculations'!$HE$13:$HE$512,0)),""))))</x:f>
      </x:c>
      <x:c r="HR31" t="str">
        <x:f>IF('Calculations'!HQ31="","",IF('Calculations'!HQ31="!AMBIG","!AMBIG",IF(COUNTIF('Calculations'!$HE$13:$HE$512,"="&amp;SUBSTITUTE(SUBSTITUTE(SUBSTITUTE('Calculations'!HQ31,"~","~~"),"*","~*"),"?","~?"))&gt;1,"!AMBIG",IFERROR(INDEX('Calculations'!$HF$13:$HF$512,MATCH('Calculations'!HQ31,'Calculations'!$HE$13:$HE$512,0)),""))))</x:f>
      </x:c>
      <x:c r="HS31" t="str">
        <x:f>IF('Calculations'!HR31="","",IF('Calculations'!HR31="!AMBIG","!AMBIG",IF(COUNTIF('Calculations'!$HE$13:$HE$512,"="&amp;SUBSTITUTE(SUBSTITUTE(SUBSTITUTE('Calculations'!HR31,"~","~~"),"*","~*"),"?","~?"))&gt;1,"!AMBIG",IFERROR(INDEX('Calculations'!$HF$13:$HF$512,MATCH('Calculations'!HR31,'Calculations'!$HE$13:$HE$512,0)),""))))</x:f>
      </x:c>
      <x:c r="HT31" t="str">
        <x:f>IF('Calculations'!HS31="","",IF('Calculations'!HS31="!AMBIG","!AMBIG",IF(COUNTIF('Calculations'!$HE$13:$HE$512,"="&amp;SUBSTITUTE(SUBSTITUTE(SUBSTITUTE('Calculations'!HS31,"~","~~"),"*","~*"),"?","~?"))&gt;1,"!AMBIG",IFERROR(INDEX('Calculations'!$HF$13:$HF$512,MATCH('Calculations'!HS31,'Calculations'!$HE$13:$HE$512,0)),""))))</x:f>
      </x:c>
      <x:c r="HU31" t="str">
        <x:f>IF('Calculations'!HT31="","",IF('Calculations'!HT31="!AMBIG","!AMBIG",IF(COUNTIF('Calculations'!$HE$13:$HE$512,"="&amp;SUBSTITUTE(SUBSTITUTE(SUBSTITUTE('Calculations'!HT31,"~","~~"),"*","~*"),"?","~?"))&gt;1,"!AMBIG",IFERROR(INDEX('Calculations'!$HF$13:$HF$512,MATCH('Calculations'!HT31,'Calculations'!$HE$13:$HE$512,0)),""))))</x:f>
      </x:c>
      <x:c r="HV31" t="str">
        <x:f>IF('Calculations'!HU31="","",IF('Calculations'!HU31="!AMBIG","!AMBIG",IF(COUNTIF('Calculations'!$HE$13:$HE$512,"="&amp;SUBSTITUTE(SUBSTITUTE(SUBSTITUTE('Calculations'!HU31,"~","~~"),"*","~*"),"?","~?"))&gt;1,"!AMBIG",IFERROR(INDEX('Calculations'!$HF$13:$HF$512,MATCH('Calculations'!HU31,'Calculations'!$HE$13:$HE$512,0)),""))))</x:f>
      </x:c>
      <x:c r="HW31" t="str">
        <x:f>IF('Calculations'!HV31="","",IF('Calculations'!HV31="!AMBIG","!AMBIG",IF(COUNTIF('Calculations'!$HE$13:$HE$512,"="&amp;SUBSTITUTE(SUBSTITUTE(SUBSTITUTE('Calculations'!HV31,"~","~~"),"*","~*"),"?","~?"))&gt;1,"!AMBIG",IFERROR(INDEX('Calculations'!$HF$13:$HF$512,MATCH('Calculations'!HV31,'Calculations'!$HE$13:$HE$512,0)),""))))</x:f>
      </x:c>
      <x:c r="HX31" t="str">
        <x:f>IF('Calculations'!HW31="","",IF('Calculations'!HW31="!AMBIG","!AMBIG",IF(COUNTIF('Calculations'!$HE$13:$HE$512,"="&amp;SUBSTITUTE(SUBSTITUTE(SUBSTITUTE('Calculations'!HW31,"~","~~"),"*","~*"),"?","~?"))&gt;1,"!AMBIG",IFERROR(INDEX('Calculations'!$HF$13:$HF$512,MATCH('Calculations'!HW31,'Calculations'!$HE$13:$HE$512,0)),""))))</x:f>
      </x:c>
      <x:c r="HY31" t="str">
        <x:f>IF('Calculations'!HX31="","",IF('Calculations'!HX31="!AMBIG","!AMBIG",IF(COUNTIF('Calculations'!$HE$13:$HE$512,"="&amp;SUBSTITUTE(SUBSTITUTE(SUBSTITUTE('Calculations'!HX31,"~","~~"),"*","~*"),"?","~?"))&gt;1,"!AMBIG",IFERROR(INDEX('Calculations'!$HF$13:$HF$512,MATCH('Calculations'!HX31,'Calculations'!$HE$13:$HE$512,0)),""))))</x:f>
      </x:c>
      <x:c r="HZ31" t="str">
        <x:f>IF('Calculations'!HY31="","",IF('Calculations'!HY31="!AMBIG","!AMBIG",IF(COUNTIF('Calculations'!$HE$13:$HE$512,"="&amp;SUBSTITUTE(SUBSTITUTE(SUBSTITUTE('Calculations'!HY31,"~","~~"),"*","~*"),"?","~?"))&gt;1,"!AMBIG",IFERROR(INDEX('Calculations'!$HF$13:$HF$512,MATCH('Calculations'!HY31,'Calculations'!$HE$13:$HE$512,0)),""))))</x:f>
      </x:c>
      <x:c r="IA31" t="str">
        <x:f>IF('Calculations'!HZ31="","",IF('Calculations'!HZ31="!AMBIG","!AMBIG",IF(COUNTIF('Calculations'!$HE$13:$HE$512,"="&amp;SUBSTITUTE(SUBSTITUTE(SUBSTITUTE('Calculations'!HZ31,"~","~~"),"*","~*"),"?","~?"))&gt;1,"!AMBIG",IFERROR(INDEX('Calculations'!$HF$13:$HF$512,MATCH('Calculations'!HZ31,'Calculations'!$HE$13:$HE$512,0)),""))))</x:f>
      </x:c>
      <x:c r="IB31" t="str">
        <x:f>IF('Calculations'!IA31="","",IF('Calculations'!IA31="!AMBIG","!AMBIG",IF(COUNTIF('Calculations'!$HE$13:$HE$512,"="&amp;SUBSTITUTE(SUBSTITUTE(SUBSTITUTE('Calculations'!IA31,"~","~~"),"*","~*"),"?","~?"))&gt;1,"!AMBIG",IFERROR(INDEX('Calculations'!$HF$13:$HF$512,MATCH('Calculations'!IA31,'Calculations'!$HE$13:$HE$512,0)),""))))</x:f>
      </x:c>
      <x:c r="IC31" t="str">
        <x:f>IF('Calculations'!IB31="","",IF('Calculations'!IB31="!AMBIG","!AMBIG",IF(COUNTIF('Calculations'!$HE$13:$HE$512,"="&amp;SUBSTITUTE(SUBSTITUTE(SUBSTITUTE('Calculations'!IB31,"~","~~"),"*","~*"),"?","~?"))&gt;1,"!AMBIG",IFERROR(INDEX('Calculations'!$HF$13:$HF$512,MATCH('Calculations'!IB31,'Calculations'!$HE$13:$HE$512,0)),""))))</x:f>
      </x:c>
      <x:c r="ID31" t="str">
        <x:f>IF('Calculations'!IC31="","",IF('Calculations'!IC31="!AMBIG","!AMBIG",IF(COUNTIF('Calculations'!$HE$13:$HE$512,"="&amp;SUBSTITUTE(SUBSTITUTE(SUBSTITUTE('Calculations'!IC31,"~","~~"),"*","~*"),"?","~?"))&gt;1,"!AMBIG",IFERROR(INDEX('Calculations'!$HF$13:$HF$512,MATCH('Calculations'!IC31,'Calculations'!$HE$13:$HE$512,0)),""))))</x:f>
      </x:c>
      <x:c r="IE31" t="str">
        <x:f>IF('Calculations'!ID31="","",IF('Calculations'!ID31="!AMBIG","!AMBIG",IF(COUNTIF('Calculations'!$HE$13:$HE$512,"="&amp;SUBSTITUTE(SUBSTITUTE(SUBSTITUTE('Calculations'!ID31,"~","~~"),"*","~*"),"?","~?"))&gt;1,"!AMBIG",IFERROR(INDEX('Calculations'!$HF$13:$HF$512,MATCH('Calculations'!ID31,'Calculations'!$HE$13:$HE$512,0)),""))))</x:f>
      </x:c>
      <x:c r="IF31" t="str">
        <x:f>IF('Calculations'!IE31="","",IF('Calculations'!IE31="!AMBIG","!AMBIG",IF(COUNTIF('Calculations'!$HE$13:$HE$512,"="&amp;SUBSTITUTE(SUBSTITUTE(SUBSTITUTE('Calculations'!IE31,"~","~~"),"*","~*"),"?","~?"))&gt;1,"!AMBIG",IFERROR(INDEX('Calculations'!$HF$13:$HF$512,MATCH('Calculations'!IE31,'Calculations'!$HE$13:$HE$512,0)),""))))</x:f>
      </x:c>
      <x:c r="IG31" t="str">
        <x:f>IF('Calculations'!IF31="","",IF('Calculations'!IF31="!AMBIG","!AMBIG",IF(COUNTIF('Calculations'!$HE$13:$HE$512,"="&amp;SUBSTITUTE(SUBSTITUTE(SUBSTITUTE('Calculations'!IF31,"~","~~"),"*","~*"),"?","~?"))&gt;1,"!AMBIG",IFERROR(INDEX('Calculations'!$HF$13:$HF$512,MATCH('Calculations'!IF31,'Calculations'!$HE$13:$HE$512,0)),""))))</x:f>
      </x:c>
      <x:c r="IH31" t="str">
        <x:f>IF('Calculations'!IG31="","",IF('Calculations'!IG31="!AMBIG","!AMBIG",IF(COUNTIF('Calculations'!$HE$13:$HE$512,"="&amp;SUBSTITUTE(SUBSTITUTE(SUBSTITUTE('Calculations'!IG31,"~","~~"),"*","~*"),"?","~?"))&gt;1,"!AMBIG",IFERROR(INDEX('Calculations'!$HF$13:$HF$512,MATCH('Calculations'!IG31,'Calculations'!$HE$13:$HE$512,0)),""))))</x:f>
      </x:c>
      <x:c r="II31" t="str">
        <x:f>IF('Calculations'!IH31="","",IF('Calculations'!IH31="!AMBIG","!AMBIG",IF(COUNTIF('Calculations'!$HE$13:$HE$512,"="&amp;SUBSTITUTE(SUBSTITUTE(SUBSTITUTE('Calculations'!IH31,"~","~~"),"*","~*"),"?","~?"))&gt;1,"!AMBIG",IFERROR(INDEX('Calculations'!$HF$13:$HF$512,MATCH('Calculations'!IH31,'Calculations'!$HE$13:$HE$512,0)),""))))</x:f>
      </x:c>
      <x:c r="IJ31" t="str">
        <x:f>IF('Calculations'!EM31="","",IF('Calculations'!$EF$2="All",'Calculations'!HM31,IF('Calculations'!HL31=1,"",IFERROR(IF(MATCH('Calculations'!$EF$2,'Calculations'!HO31:II31,0)=1,'Calculations'!HE31,INDEX('Calculations'!HO31:II31,1,MATCH('Calculations'!$EF$2,'Calculations'!HO31:II31,0)-1)),""))))</x:f>
      </x:c>
      <x:c r="IK31" t="n">
        <x:f>IF(AND('Calculations'!EM31&lt;&gt;"",'Calculations'!$EF$2&lt;&gt;"All",'Calculations'!HF31='Calculations'!$EF$2,'Calculations'!HL31=0,'Calculations'!JD31&gt;0),MAX('Calculations'!$IK$12:IK30)+1,0)</x:f>
        <x:v>0</x:v>
      </x:c>
      <x:c r="JA31" t="n">
        <x:f>IF(OR(IFERROR(INDIRECT("'WCM Calibration Final'!$A$31")&lt;&gt;"",FALSE),IFERROR(INDIRECT("'WCM Calibration Final'!$B$31")&lt;&gt;"",FALSE),IFERROR(INDIRECT("'WCM Calibration Final'!$C$31")&lt;&gt;"",FALSE)),31,0)</x:f>
        <x:v>0</x:v>
      </x:c>
      <x:c r="JB31" t="n">
        <x:f>'Calculations'!JB30+IF('Calculations'!JA31&gt;0,1,0)</x:f>
        <x:v>0</x:v>
      </x:c>
      <x:c r="JC31" t="n">
        <x:f>IF(OR('Calculations'!HF31="",'Calculations'!HF31="!AMBIG"),0,IF('Dashboard'!$B$7="All",1,COUNTIFS('Calculations'!$HO$13:$HO$512,"="&amp;SUBSTITUTE(SUBSTITUTE(SUBSTITUTE('Calculations'!HF31,"~","~~"),"*","~*"),"?","~?"),'Calculations'!$HN$13:$HN$512,"="&amp;SUBSTITUTE(SUBSTITUTE(SUBSTITUTE('Dashboard'!$B$7,"~","~~"),"*","~*"),"?","~?"))+COUNTIFS('Calculations'!$HP$13:$HP$512,"="&amp;SUBSTITUTE(SUBSTITUTE(SUBSTITUTE('Calculations'!HF31,"~","~~"),"*","~*"),"?","~?"),'Calculations'!$HN$13:$HN$512,"="&amp;SUBSTITUTE(SUBSTITUTE(SUBSTITUTE('Dashboard'!$B$7,"~","~~"),"*","~*"),"?","~?"))+COUNTIFS('Calculations'!$HQ$13:$HQ$512,"="&amp;SUBSTITUTE(SUBSTITUTE(SUBSTITUTE('Calculations'!HF31,"~","~~"),"*","~*"),"?","~?"),'Calculations'!$HN$13:$HN$512,"="&amp;SUBSTITUTE(SUBSTITUTE(SUBSTITUTE('Dashboard'!$B$7,"~","~~"),"*","~*"),"?","~?"))+COUNTIFS('Calculations'!$HR$13:$HR$512,"="&amp;SUBSTITUTE(SUBSTITUTE(SUBSTITUTE('Calculations'!HF31,"~","~~"),"*","~*"),"?","~?"),'Calculations'!$HN$13:$HN$512,"="&amp;SUBSTITUTE(SUBSTITUTE(SUBSTITUTE('Dashboard'!$B$7,"~","~~"),"*","~*"),"?","~?"))+COUNTIFS('Calculations'!$HS$13:$HS$512,"="&amp;SUBSTITUTE(SUBSTITUTE(SUBSTITUTE('Calculations'!HF31,"~","~~"),"*","~*"),"?","~?"),'Calculations'!$HN$13:$HN$512,"="&amp;SUBSTITUTE(SUBSTITUTE(SUBSTITUTE('Dashboard'!$B$7,"~","~~"),"*","~*"),"?","~?"))+COUNTIFS('Calculations'!$HT$13:$HT$512,"="&amp;SUBSTITUTE(SUBSTITUTE(SUBSTITUTE('Calculations'!HF31,"~","~~"),"*","~*"),"?","~?"),'Calculations'!$HN$13:$HN$512,"="&amp;SUBSTITUTE(SUBSTITUTE(SUBSTITUTE('Dashboard'!$B$7,"~","~~"),"*","~*"),"?","~?"))+COUNTIFS('Calculations'!$HU$13:$HU$512,"="&amp;SUBSTITUTE(SUBSTITUTE(SUBSTITUTE('Calculations'!HF31,"~","~~"),"*","~*"),"?","~?"),'Calculations'!$HN$13:$HN$512,"="&amp;SUBSTITUTE(SUBSTITUTE(SUBSTITUTE('Dashboard'!$B$7,"~","~~"),"*","~*"),"?","~?"))+COUNTIFS('Calculations'!$HV$13:$HV$512,"="&amp;SUBSTITUTE(SUBSTITUTE(SUBSTITUTE('Calculations'!HF31,"~","~~"),"*","~*"),"?","~?"),'Calculations'!$HN$13:$HN$512,"="&amp;SUBSTITUTE(SUBSTITUTE(SUBSTITUTE('Dashboard'!$B$7,"~","~~"),"*","~*"),"?","~?"))+COUNTIFS('Calculations'!$HW$13:$HW$512,"="&amp;SUBSTITUTE(SUBSTITUTE(SUBSTITUTE('Calculations'!HF31,"~","~~"),"*","~*"),"?","~?"),'Calculations'!$HN$13:$HN$512,"="&amp;SUBSTITUTE(SUBSTITUTE(SUBSTITUTE('Dashboard'!$B$7,"~","~~"),"*","~*"),"?","~?"))+COUNTIFS('Calculations'!$HX$13:$HX$512,"="&amp;SUBSTITUTE(SUBSTITUTE(SUBSTITUTE('Calculations'!HF31,"~","~~"),"*","~*"),"?","~?"),'Calculations'!$HN$13:$HN$512,"="&amp;SUBSTITUTE(SUBSTITUTE(SUBSTITUTE('Dashboard'!$B$7,"~","~~"),"*","~*"),"?","~?"))+COUNTIFS('Calculations'!$HY$13:$HY$512,"="&amp;SUBSTITUTE(SUBSTITUTE(SUBSTITUTE('Calculations'!HF31,"~","~~"),"*","~*"),"?","~?"),'Calculations'!$HN$13:$HN$512,"="&amp;SUBSTITUTE(SUBSTITUTE(SUBSTITUTE('Dashboard'!$B$7,"~","~~"),"*","~*"),"?","~?"))+COUNTIFS('Calculations'!$HZ$13:$HZ$512,"="&amp;SUBSTITUTE(SUBSTITUTE(SUBSTITUTE('Calculations'!HF31,"~","~~"),"*","~*"),"?","~?"),'Calculations'!$HN$13:$HN$512,"="&amp;SUBSTITUTE(SUBSTITUTE(SUBSTITUTE('Dashboard'!$B$7,"~","~~"),"*","~*"),"?","~?"))+COUNTIFS('Calculations'!$IA$13:$IA$512,"="&amp;SUBSTITUTE(SUBSTITUTE(SUBSTITUTE('Calculations'!HF31,"~","~~"),"*","~*"),"?","~?"),'Calculations'!$HN$13:$HN$512,"="&amp;SUBSTITUTE(SUBSTITUTE(SUBSTITUTE('Dashboard'!$B$7,"~","~~"),"*","~*"),"?","~?"))+COUNTIFS('Calculations'!$IB$13:$IB$512,"="&amp;SUBSTITUTE(SUBSTITUTE(SUBSTITUTE('Calculations'!HF31,"~","~~"),"*","~*"),"?","~?"),'Calculations'!$HN$13:$HN$512,"="&amp;SUBSTITUTE(SUBSTITUTE(SUBSTITUTE('Dashboard'!$B$7,"~","~~"),"*","~*"),"?","~?"))+COUNTIFS('Calculations'!$IC$13:$IC$512,"="&amp;SUBSTITUTE(SUBSTITUTE(SUBSTITUTE('Calculations'!HF31,"~","~~"),"*","~*"),"?","~?"),'Calculations'!$HN$13:$HN$512,"="&amp;SUBSTITUTE(SUBSTITUTE(SUBSTITUTE('Dashboard'!$B$7,"~","~~"),"*","~*"),"?","~?"))+COUNTIFS('Calculations'!$ID$13:$ID$512,"="&amp;SUBSTITUTE(SUBSTITUTE(SUBSTITUTE('Calculations'!HF31,"~","~~"),"*","~*"),"?","~?"),'Calculations'!$HN$13:$HN$512,"="&amp;SUBSTITUTE(SUBSTITUTE(SUBSTITUTE('Dashboard'!$B$7,"~","~~"),"*","~*"),"?","~?"))+COUNTIFS('Calculations'!$IE$13:$IE$512,"="&amp;SUBSTITUTE(SUBSTITUTE(SUBSTITUTE('Calculations'!HF31,"~","~~"),"*","~*"),"?","~?"),'Calculations'!$HN$13:$HN$512,"="&amp;SUBSTITUTE(SUBSTITUTE(SUBSTITUTE('Dashboard'!$B$7,"~","~~"),"*","~*"),"?","~?"))+COUNTIFS('Calculations'!$IF$13:$IF$512,"="&amp;SUBSTITUTE(SUBSTITUTE(SUBSTITUTE('Calculations'!HF31,"~","~~"),"*","~*"),"?","~?"),'Calculations'!$HN$13:$HN$512,"="&amp;SUBSTITUTE(SUBSTITUTE(SUBSTITUTE('Dashboard'!$B$7,"~","~~"),"*","~*"),"?","~?"))+COUNTIFS('Calculations'!$IG$13:$IG$512,"="&amp;SUBSTITUTE(SUBSTITUTE(SUBSTITUTE('Calculations'!HF31,"~","~~"),"*","~*"),"?","~?"),'Calculations'!$HN$13:$HN$512,"="&amp;SUBSTITUTE(SUBSTITUTE(SUBSTITUTE('Dashboard'!$B$7,"~","~~"),"*","~*"),"?","~?"))+COUNTIFS('Calculations'!$IH$13:$IH$512,"="&amp;SUBSTITUTE(SUBSTITUTE(SUBSTITUTE('Calculations'!HF31,"~","~~"),"*","~*"),"?","~?"),'Calculations'!$HN$13:$HN$512,"="&amp;SUBSTITUTE(SUBSTITUTE(SUBSTITUTE('Dashboard'!$B$7,"~","~~"),"*","~*"),"?","~?"))))</x:f>
        <x:v>0</x:v>
      </x:c>
      <x:c r="JD31" t="n">
        <x:f>IF('Calculations'!EM31="",0,IF('Dashboard'!$B$7="All",1,IF('Calculations'!HN31='Dashboard'!$B$7,1,0)+IFERROR(INDEX('Calculations'!$JC$13:$JC$512,MATCH('Calculations'!HE31,'Calculations'!$HF$13:$HF$512,0)),0)))</x:f>
        <x:v>0</x:v>
      </x:c>
      <x:c r="JE31" t="n">
        <x:f>IF(AND('Calculations'!EM31&lt;&gt;"",'Calculations'!$JJ$2&lt;&gt;"All",'Calculations'!$JJ$2&lt;&gt;"",'Calculations'!HF31='Calculations'!$JJ$2,'Calculations'!HL31=0,'Calculations'!JD31&gt;0),MAX('Calculations'!$JE$12:JE30)+1,0)</x:f>
        <x:v>0</x:v>
      </x:c>
      <x:c r="JF31" t="str">
        <x:f>IF('Calculations'!EM31="","",IFERROR(IF(INDEX(INDIRECT("'WCM Calibration Final'!$G$1:$G$2000"),'Calculations'!$EM31)="","",TRIM(INDEX(INDIRECT("'WCM Calibration Final'!$G$1:$G$2000"),'Calculations'!$EM31)&amp;"")),""))</x:f>
      </x:c>
      <x:c r="JQ31" t="n">
        <x:f>IF(OR('Calculations'!BM31=0,NOT('Calculations'!$AG$2),'Calculations'!$AG$8&gt;0),0,IF(OR('Dashboard'!$B$7="All",'Calculations'!HN31='Dashboard'!$B$7),IF('Calculations'!$JJ$2="All",1,IF(AND('Calculations'!HF31='Calculations'!$JJ$2,'Calculations'!HL31=0),1,0)),0))</x:f>
        <x:v>0</x:v>
      </x:c>
    </x:row>
    <x:row r="32">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t="n">
        <x:f>IF('Calculations'!$EM32="",0,IF(OR(IFERROR(INDEX(INDIRECT("'WCM Calibration Final'!$A$1:$A$2000"),'Calculations'!$EM32)&lt;&gt;"",FALSE),IFERROR(INDEX(INDIRECT("'WCM Calibration Final'!$B$1:$B$2000"),'Calculations'!$EM32)&lt;&gt;"",FALSE),IFERROR(INDEX(INDIRECT("'WCM Calibration Final'!$C$1:$C$2000"),'Calculations'!$EM32)&lt;&gt;"",FALSE)),1,0))</x:f>
        <x:v>0</x:v>
      </x:c>
      <x:c r="BN32" s="4" t="n">
        <x:f>IF(AND('Calculations'!BM32=1,'Calculations'!$AG$2,'Calculations'!$EN32=1),1,0)</x:f>
        <x:v>0</x:v>
      </x:c>
      <x:c r="BO32" s="4" t="str">
        <x:f>IF('Calculations'!BM32=0,"",IFERROR(IF(AND(VALUE(INDEX(INDIRECT("'WCM Calibration Final'!$K$1:$K$2000"),'Calculations'!$EM32))&gt;=1,VALUE(INDEX(INDIRECT("'WCM Calibration Final'!$K$1:$K$2000"),'Calculations'!$EM32))&lt;=4,MOD(VALUE(INDEX(INDIRECT("'WCM Calibration Final'!$K$1:$K$2000"),'Calculations'!$EM32)),1)=0),VALUE(INDEX(INDIRECT("'WCM Calibration Final'!$K$1:$K$2000"),'Calculations'!$EM32)),""),""))</x:f>
      </x:c>
      <x:c r="BP32" s="4" t="str">
        <x:f>IF('Calculations'!BM32=0,"",IFERROR(IF(AND(VALUE(INDEX(INDIRECT("'WCM Calibration Final'!$L$1:$L$2000"),'Calculations'!$EM32))&gt;=1,VALUE(INDEX(INDIRECT("'WCM Calibration Final'!$L$1:$L$2000"),'Calculations'!$EM32))&lt;=4,MOD(VALUE(INDEX(INDIRECT("'WCM Calibration Final'!$L$1:$L$2000"),'Calculations'!$EM32)),1)=0),VALUE(INDEX(INDIRECT("'WCM Calibration Final'!$L$1:$L$2000"),'Calculations'!$EM32)),""),""))</x:f>
      </x:c>
      <x:c r="BQ32" s="4"/>
      <x:c r="BR32" s="4"/>
      <x:c r="BS32" s="4"/>
      <x:c r="BT32" s="4" t="n">
        <x:f>IF(AND('Calculations'!BM32=1,ISNUMBER('Calculations'!BO32),ISNUMBER('Calculations'!BP32)),1,0)</x:f>
        <x:v>0</x:v>
      </x:c>
      <x:c r="BU32" s="4" t="str">
        <x:f>IF('Calculations'!BM32=0,"",'Calculations'!$EO32)</x:f>
      </x:c>
      <x:c r="BV32" s="4" t="str">
        <x:f>IF('Calculations'!BM32=0,"",IFERROR(IF(OR(INDEX(INDIRECT("'WCM Calibration Final'!$H$1:$H$2000"),'Calculations'!$EM32)="MANAGING DIRECTOR",INDEX(INDIRECT("'WCM Calibration Final'!$H$1:$H$2000"),'Calculations'!$EM32)="DIRECTOR",INDEX(INDIRECT("'WCM Calibration Final'!$H$1:$H$2000"),'Calculations'!$EM32)="SENIOR VICE PRESIDENT",INDEX(INDIRECT("'WCM Calibration Final'!$H$1:$H$2000"),'Calculations'!$EM32)="VICE PRESIDENT",INDEX(INDIRECT("'WCM Calibration Final'!$H$1:$H$2000"),'Calculations'!$EM32)="ASSISTANT VICE PRESIDENT",INDEX(INDIRECT("'WCM Calibration Final'!$H$1:$H$2000"),'Calculations'!$EM32)="OFFICER"),UPPER(INDEX(INDIRECT("'WCM Calibration Final'!$H$1:$H$2000"),'Calculations'!$EM32)),"Other"),"Other"))</x:f>
      </x:c>
      <x:c r="BW32" s="4"/>
      <x:c r="BX32" s="4"/>
      <x:c r="BY32" s="4" t="n">
        <x:f>IF(AND('Calculations'!BM32=1,'Calculations'!BU32&lt;&gt;"",COUNTIF('Calculations'!$BU$12:BU32,'Calculations'!BU32)=1),MAX('Calculations'!$BY$11:BY31)+1,0)</x:f>
        <x:v>0</x:v>
      </x:c>
      <x:c r="BZ32" s="4" t="str">
        <x:f>IF('Dashboard'!$E$67="What",'Calculations'!BO32,'Calculations'!BP32)</x:f>
      </x:c>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t="str">
        <x:f>IF(21&gt;MAX('Calculations'!$HI$13:$HI$512),"",INDEX('Calculations'!$HN$13:$HN$512,MATCH(21,'Calculations'!$HI$13:$HI$512,0)))</x:f>
      </x:c>
      <x:c r="DB32" s="4" t="str">
        <x:f>IF(21&gt;MAX('Calculations'!$HH$13:$HH$512),"",INDEX('Calculations'!$HJ$13:$HJ$512,MATCH(21,'Calculations'!$HH$13:$HH$512,0)))</x:f>
      </x:c>
      <x:c r="DC32" s="4" t="str">
        <x:f>IF(ROW()-11&gt;MAX('Calculations'!$BY$13:$BY$512),"",INDEX('Calculations'!$BU$13:$BU$512,MATCH(ROW()-11,'Calculations'!$BY$13:$BY$512,0)))</x:f>
      </x:c>
      <x:c r="DD32" s="4" t="str">
        <x:f>IF(21&gt;MAX('Calculations'!$IK$13:$IK$512),"",INDEX('Calculations'!$HK$13:$HK$512,MATCH(21,'Calculations'!$IK$13:$IK$512,0)))</x:f>
      </x:c>
      <x:c r="DE32" s="4" t="str">
        <x:f>'Calculations'!DC32</x:f>
      </x:c>
      <x:c r="DF32" s="4" t="str">
        <x:f>IF('Calculations'!DE32="","",COUNTIFS('Calculations'!$BN$13:$BN$512,1,'Calculations'!$BU$13:$BU$512,'Calculations'!DE32))</x:f>
      </x:c>
      <x:c r="DG32" s="4" t="str">
        <x:f>IF('Calculations'!DE32="","",COUNTIFS('Calculations'!$BN$13:$BN$512,1,'Calculations'!$BU$13:$BU$512,'Calculations'!DE32,'Calculations'!$BT$13:$BT$512,1))</x:f>
      </x:c>
      <x:c r="DH32" s="4" t="str">
        <x:f>IF('Calculations'!DE32="","",'Calculations'!DF32-'Calculations'!DG32)</x:f>
      </x:c>
      <x:c r="DI32" s="4" t="str">
        <x:f>IF(OR('Calculations'!DE32="",'Calculations'!DF32=0),"",'Calculations'!DG32/'Calculations'!DF32)</x:f>
      </x:c>
      <x:c r="DJ32" s="4" t="str">
        <x:f>IF('Calculations'!DE32="","",COUNTIFS('Calculations'!$BN$13:$BN$512,1,'Calculations'!$BU$13:$BU$512,'Calculations'!DE32,'Calculations'!$BT$13:$BT$512,1,'Calculations'!$EE$13:$EE$512,"High"))</x:f>
      </x:c>
      <x:c r="DK32" s="4" t="str">
        <x:f>IF('Calculations'!DE32="","",COUNTIFS('Calculations'!$BN$13:$BN$512,1,'Calculations'!$BU$13:$BU$512,'Calculations'!DE32,'Calculations'!$BT$13:$BT$512,1,'Calculations'!$EE$13:$EE$512,"Strong"))</x:f>
      </x:c>
      <x:c r="DL32" s="4" t="str">
        <x:f>IF('Calculations'!DE32="","",COUNTIFS('Calculations'!$BN$13:$BN$512,1,'Calculations'!$BU$13:$BU$512,'Calculations'!DE32,'Calculations'!$BT$13:$BT$512,1,'Calculations'!$EE$13:$EE$512,"Solid"))</x:f>
      </x:c>
      <x:c r="DM32" s="4" t="str">
        <x:f>IF('Calculations'!DE32="","",COUNTIFS('Calculations'!$BN$13:$BN$512,1,'Calculations'!$BU$13:$BU$512,'Calculations'!DE32,'Calculations'!$BT$13:$BT$512,1,'Calculations'!$EE$13:$EE$512,"Low"))</x:f>
      </x:c>
      <x:c r="DN32" s="4" t="str">
        <x:f>IF('Calculations'!DE32="","",COUNTIFS('Calculations'!$BN$13:$BN$512,1,'Calculations'!$BU$13:$BU$512,'Calculations'!DE32,'Calculations'!$EP$13:$EP$512,1))</x:f>
      </x:c>
      <x:c r="DO32" s="4" t="str">
        <x:f>IF(OR('Calculations'!DE32="",'Calculations'!DG32=0),"",('Calculations'!DJ32+'Calculations'!DK32)/'Calculations'!DG32)</x:f>
      </x:c>
      <x:c r="DP32" s="4" t="n">
        <x:f>IF(AND('Calculations'!DE32&lt;&gt;"",'Calculations'!DF32&gt;0),COUNTIF('Calculations'!$DF$12:DF32,"&gt;0"),0)</x:f>
        <x:v>0</x:v>
      </x:c>
      <x:c r="DQ32" s="4" t="str">
        <x:f>IF(21&gt;MAX('Calculations'!$HH$13:$HH$512),"",INDEX('Calculations'!$HF$13:$HF$512,MATCH(21,'Calculations'!$HH$13:$HH$512,0)))</x:f>
      </x:c>
      <x:c r="DR32" s="4" t="str">
        <x:f>IF(21&gt;MAX('Calculations'!$IK$13:$IK$512),"",INDEX('Calculations'!$HE$13:$HE$512,MATCH(21,'Calculations'!$IK$13:$IK$512,0)))</x:f>
      </x:c>
      <x:c r="DS32" s="4"/>
      <x:c r="DT32" s="4"/>
      <x:c r="DU32" s="4"/>
      <x:c r="DV32" s="4"/>
      <x:c r="DW32" s="4"/>
      <x:c r="DX32" s="4"/>
      <x:c r="DY32" s="4"/>
      <x:c r="DZ32" s="4"/>
      <x:c r="EA32" s="4"/>
      <x:c r="EB32" s="4"/>
      <x:c r="EC32" s="4"/>
      <x:c r="ED32" s="4"/>
      <x:c r="EE32" s="4" t="str">
        <x:f>IF('Calculations'!BT32=0,"Not Rated",IF(OR('Calculations'!BO32&gt;=4,'Calculations'!BP32&gt;=4),"Low",IF('Calculations'!BO32+'Calculations'!BP32&lt;=3,"High",IF('Calculations'!BO32+'Calculations'!BP32&lt;=4,"Strong","Solid"))))</x:f>
        <x:v>Not Rated</x:v>
      </x:c>
      <x:c r="EF32" s="4"/>
      <x:c r="EG32" s="4"/>
      <x:c r="EH32" s="4"/>
      <x:c r="EI32" s="4"/>
      <x:c r="EJ32" s="4"/>
      <x:c r="EK32" s="4"/>
      <x:c r="EL32" s="4"/>
      <x:c r="EM32" s="4" t="str">
        <x:f>IF(20&gt;'Calculations'!$JB$2000,"",INDEX('Calculations'!$JA$12:$JA$2000,MATCH(20,'Calculations'!$JB$12:$JB$2000,0)))</x:f>
      </x:c>
      <x:c r="EN32" s="4" t="n">
        <x:f>IF(OR('Calculations'!EM32="",'Calculations'!$AG$8&gt;0,AND('Calculations'!$EF$2&lt;&gt;"All",'Calculations'!HE32='Calculations'!$EF$2),AND('Calculations'!$EF$3&lt;&gt;"All",'Calculations'!HE32='Calculations'!$EF$3)),0,IF(OR('Dashboard'!$B$7="All",'Calculations'!HN32='Dashboard'!$B$7),IF('Calculations'!$EF$2="All",1,IF('Calculations'!HL32&gt;0,0,IF(COUNTIF('Calculations'!HO32:II32,"="&amp;SUBSTITUTE(SUBSTITUTE(SUBSTITUTE('Calculations'!$EF$2,"~","~~"),"*","~*"),"?","~?"))=0,0,IF('Calculations'!$EF$3="All",1,IF(COUNTIF('Calculations'!HO32:II32,"="&amp;SUBSTITUTE(SUBSTITUTE(SUBSTITUTE('Calculations'!$EF$3,"~","~~"),"*","~*"),"?","~?"))&gt;0,1,0))))),0))</x:f>
        <x:v>0</x:v>
      </x:c>
      <x:c r="EO32" s="4" t="str">
        <x:f>IF('Calculations'!IJ32="","",IF('Calculations'!IJ32="!UNRESOLVED","Unresolved hierarchy",IFERROR(INDEX('Calculations'!$HK$13:$HK$512,MATCH('Calculations'!IJ32,'Calculations'!$HE$13:$HE$512,0)),IFERROR(INDEX('Calculations'!$HJ$13:$HJ$512,MATCH('Calculations'!IJ32,'Calculations'!$HF$13:$HF$512,0)),'Calculations'!IJ32))))</x:f>
      </x:c>
      <x:c r="EP32" s="4" t="n">
        <x:f>IF(AND('Calculations'!EM32&lt;&gt;"",'Calculations'!HF32='Calculations'!IJ32),1,0)</x:f>
        <x:v>0</x:v>
      </x:c>
      <x:c r="EQ32" s="4"/>
      <x:c r="ER32" s="4"/>
      <x:c r="ES32" s="4"/>
      <x:c r="ET32" s="4"/>
      <x:c r="EU32" s="4"/>
      <x:c r="EV32" s="4"/>
      <x:c r="EW32" s="4"/>
      <x:c r="EX32" s="4"/>
      <x:c r="EY32" s="4"/>
      <x:c r="EZ32" s="4"/>
      <x:c r="FA32" s="4"/>
      <x:c r="FB32" s="4"/>
      <x:c r="FC32" s="4"/>
      <x:c r="FD32" s="4"/>
      <x:c r="FE32" s="4"/>
      <x:c r="FF32" s="4"/>
      <x:c r="FG32" s="4"/>
      <x:c r="FH32" s="4"/>
      <x:c r="FI32" s="4"/>
      <x:c r="FJ32" s="4"/>
      <x:c r="FK32" s="4"/>
      <x:c r="FL32" s="4"/>
      <x:c r="FM32" s="4"/>
      <x:c r="FN32" s="4"/>
      <x:c r="FO32" s="4"/>
      <x:c r="GA32" s="71"/>
      <x:c r="GB32" s="71"/>
      <x:c r="GC32" s="71"/>
      <x:c r="GD32" s="71"/>
      <x:c r="GE32" s="71"/>
      <x:c r="GF32" s="71"/>
      <x:c r="GG32" s="71"/>
      <x:c r="GH32" s="71"/>
      <x:c r="GI32" s="71"/>
      <x:c r="GJ32" s="71"/>
      <x:c r="GK32" s="71"/>
      <x:c r="GL32" s="71"/>
      <x:c r="GM32" s="71"/>
      <x:c r="GN32" s="71"/>
      <x:c r="GO32" s="71"/>
      <x:c r="GP32" s="71"/>
      <x:c r="GQ32" s="71"/>
      <x:c r="GR32" s="71"/>
      <x:c r="GS32" s="71"/>
      <x:c r="GT32" s="71"/>
      <x:c r="GU32" s="71"/>
      <x:c r="GV32" s="71"/>
      <x:c r="GW32" s="71"/>
      <x:c r="GX32" s="71"/>
      <x:c r="GY32" s="71"/>
      <x:c r="GZ32" s="71"/>
      <x:c r="HA32" s="71"/>
      <x:c r="HB32" s="71"/>
      <x:c r="HC32" s="71"/>
      <x:c r="HD32" s="71"/>
      <x:c r="HE32" t="str">
        <x:f>IF('Calculations'!EM32="","",IF(IFERROR(IF(INDEX(INDIRECT("'WCM Calibration Final'!$A$1:$A$2000"),'Calculations'!$EM32)="","",TRIM(INDEX(INDIRECT("'WCM Calibration Final'!$A$1:$A$2000"),'Calculations'!$EM32)&amp;"")),"")&lt;&gt;"","G:"&amp;IFERROR(TEXT(1*INDEX(INDIRECT("'WCM Calibration Final'!$A$1:$A$2000"),'Calculations'!$EM32),"0"),UPPER(IFERROR(IF(INDEX(INDIRECT("'WCM Calibration Final'!$A$1:$A$2000"),'Calculations'!$EM32)="","",TRIM(INDEX(INDIRECT("'WCM Calibration Final'!$A$1:$A$2000"),'Calculations'!$EM32)&amp;"")),""))),IF(IFERROR(IF(INDEX(INDIRECT("'WCM Calibration Final'!$C$1:$C$2000"),'Calculations'!$EM32)="","",TRIM(INDEX(INDIRECT("'WCM Calibration Final'!$C$1:$C$2000"),'Calculations'!$EM32)&amp;"")),"")&lt;&gt;"","S:"&amp;UPPER(IFERROR(IF(INDEX(INDIRECT("'WCM Calibration Final'!$C$1:$C$2000"),'Calculations'!$EM32)="","",TRIM(INDEX(INDIRECT("'WCM Calibration Final'!$C$1:$C$2000"),'Calculations'!$EM32)&amp;"")),"")),"R:"&amp;'Calculations'!EM32)))</x:f>
      </x:c>
      <x:c r="HF32" t="str">
        <x:f>IF('Calculations'!EM32="","",IF(IFERROR(IF(INDEX(INDIRECT("'WCM Calibration Final'!$D$1:$D$2000"),'Calculations'!$EM32)="","",TRIM(INDEX(INDIRECT("'WCM Calibration Final'!$D$1:$D$2000"),'Calculations'!$EM32)&amp;"")),"")&lt;&gt;"","G:"&amp;IFERROR(TEXT(1*INDEX(INDIRECT("'WCM Calibration Final'!$D$1:$D$2000"),'Calculations'!$EM32),"0"),UPPER(IFERROR(IF(INDEX(INDIRECT("'WCM Calibration Final'!$D$1:$D$2000"),'Calculations'!$EM32)="","",TRIM(INDEX(INDIRECT("'WCM Calibration Final'!$D$1:$D$2000"),'Calculations'!$EM32)&amp;"")),""))),IF(IFERROR(IF(INDEX(INDIRECT("'WCM Calibration Final'!$E$1:$E$2000"),'Calculations'!$EM32)="","",TRIM(INDEX(INDIRECT("'WCM Calibration Final'!$E$1:$E$2000"),'Calculations'!$EM32)&amp;"")),"")="","",IF(COUNTIF('Calculations'!$HG$13:$HG$512,"="&amp;SUBSTITUTE(SUBSTITUTE(SUBSTITUTE(IFERROR(IF(INDEX(INDIRECT("'WCM Calibration Final'!$E$1:$E$2000"),'Calculations'!$EM32)="","",TRIM(INDEX(INDIRECT("'WCM Calibration Final'!$E$1:$E$2000"),'Calculations'!$EM32)&amp;"")),""),"~","~~"),"*","~*"),"?","~?"))=1,INDEX('Calculations'!$HE$13:$HE$512,MATCH(IFERROR(IF(INDEX(INDIRECT("'WCM Calibration Final'!$E$1:$E$2000"),'Calculations'!$EM32)="","",TRIM(INDEX(INDIRECT("'WCM Calibration Final'!$E$1:$E$2000"),'Calculations'!$EM32)&amp;"")),""),'Calculations'!$HG$13:$HG$512,0)),IF(COUNTIF('Calculations'!$HG$13:$HG$512,"="&amp;SUBSTITUTE(SUBSTITUTE(SUBSTITUTE(IFERROR(IF(INDEX(INDIRECT("'WCM Calibration Final'!$E$1:$E$2000"),'Calculations'!$EM32)="","",TRIM(INDEX(INDIRECT("'WCM Calibration Final'!$E$1:$E$2000"),'Calculations'!$EM32)&amp;"")),""),"~","~~"),"*","~*"),"?","~?"))&gt;1,"!AMBIG","X:"&amp;IFERROR(IF(INDEX(INDIRECT("'WCM Calibration Final'!$E$1:$E$2000"),'Calculations'!$EM32)="","",TRIM(INDEX(INDIRECT("'WCM Calibration Final'!$E$1:$E$2000"),'Calculations'!$EM32)&amp;"")),""))))))</x:f>
      </x:c>
      <x:c r="HG32" t="str">
        <x:f>IF('Calculations'!EM32="","",IFERROR(IF(INDEX(INDIRECT("'WCM Calibration Final'!$B$1:$B$2000"),'Calculations'!$EM32)="","",TRIM(INDEX(INDIRECT("'WCM Calibration Final'!$B$1:$B$2000"),'Calculations'!$EM32)&amp;"")),""))</x:f>
      </x:c>
      <x:c r="HH32" t="n">
        <x:f>IF(AND('Calculations'!JC32&gt;0,COUNTIF('Calculations'!$HF$12:HF32,"="&amp;SUBSTITUTE(SUBSTITUTE(SUBSTITUTE('Calculations'!HF32,"~","~~"),"*","~*"),"?","~?"))=1),MAX('Calculations'!$HH$12:HH31)+1,0)</x:f>
        <x:v>0</x:v>
      </x:c>
      <x:c r="HI32" t="n">
        <x:f>IF(AND('Calculations'!HN32&lt;&gt;"",COUNTIF('Calculations'!$HN$12:HN32,"="&amp;SUBSTITUTE(SUBSTITUTE(SUBSTITUTE('Calculations'!HN32,"~","~~"),"*","~*"),"?","~?"))=1),MAX('Calculations'!$HI$12:HI31)+1,0)</x:f>
        <x:v>0</x:v>
      </x:c>
      <x:c r="HJ32" t="str">
        <x:f>IF('Calculations'!HF32="","",IF(COUNTIF('Calculations'!$HE$13:$HE$512,"="&amp;SUBSTITUTE(SUBSTITUTE(SUBSTITUTE('Calculations'!HF32,"~","~~"),"*","~*"),"?","~?"))=1,INDEX('Calculations'!$HK$13:$HK$512,MATCH('Calculations'!HF32,'Calculations'!$HE$13:$HE$512,0)),IFERROR(IF(INDEX(INDIRECT("'WCM Calibration Final'!$E$1:$E$2000"),'Calculations'!$EM32)="","",TRIM(INDEX(INDIRECT("'WCM Calibration Final'!$E$1:$E$2000"),'Calculations'!$EM32)&amp;"")),"")&amp;" ["&amp;'Calculations'!HF32&amp;"]"))</x:f>
      </x:c>
      <x:c r="HK32" t="str">
        <x:f>IF('Calculations'!EM32="","",'Calculations'!HG32&amp;" ["&amp;'Calculations'!HE32&amp;"]")</x:f>
      </x:c>
      <x:c r="HL32" t="n">
        <x:f>IF('Calculations'!EM32="",0,IF(OR('Calculations'!II32&lt;&gt;"",COUNTIF('Calculations'!$HE$13:$HE$512,"="&amp;SUBSTITUTE(SUBSTITUTE(SUBSTITUTE('Calculations'!HE32,"~","~~"),"*","~*"),"?","~?"))&gt;1),1,0))</x:f>
        <x:v>0</x:v>
      </x:c>
      <x:c r="HM32" t="str">
        <x:f>IF('Calculations'!EM32="","",IF('Calculations'!HL32=1,"!UNRESOLVED",IF('Calculations'!IH32&lt;&gt;"",'Calculations'!IH32,IF('Calculations'!IG32&lt;&gt;"",'Calculations'!IG32,IF('Calculations'!IF32&lt;&gt;"",'Calculations'!IF32,IF('Calculations'!IE32&lt;&gt;"",'Calculations'!IE32,IF('Calculations'!ID32&lt;&gt;"",'Calculations'!ID32,IF('Calculations'!IC32&lt;&gt;"",'Calculations'!IC32,IF('Calculations'!IB32&lt;&gt;"",'Calculations'!IB32,IF('Calculations'!IA32&lt;&gt;"",'Calculations'!IA32,IF('Calculations'!HZ32&lt;&gt;"",'Calculations'!HZ32,IF('Calculations'!HY32&lt;&gt;"",'Calculations'!HY32,IF('Calculations'!HX32&lt;&gt;"",'Calculations'!HX32,IF('Calculations'!HW32&lt;&gt;"",'Calculations'!HW32,IF('Calculations'!HV32&lt;&gt;"",'Calculations'!HV32,IF('Calculations'!HU32&lt;&gt;"",'Calculations'!HU32,IF('Calculations'!HT32&lt;&gt;"",'Calculations'!HT32,IF('Calculations'!HS32&lt;&gt;"",'Calculations'!HS32,IF('Calculations'!HR32&lt;&gt;"",'Calculations'!HR32,IF('Calculations'!HQ32&lt;&gt;"",'Calculations'!HQ32,IF('Calculations'!HP32&lt;&gt;"",'Calculations'!HP32,IF('Calculations'!HO32&lt;&gt;"",'Calculations'!HO32,'Calculations'!HE32))))))))))))))))))))))</x:f>
      </x:c>
      <x:c r="HN32" t="str">
        <x:f>IF('Calculations'!EM32="","",IF(IFERROR(IF(INDEX(INDIRECT("'WCM Calibration Final'!$F$1:$F$2000"),'Calculations'!$EM32)="","",TRIM(INDEX(INDIRECT("'WCM Calibration Final'!$F$1:$F$2000"),'Calculations'!$EM32)&amp;"")),"")="","(Blank)",IFERROR(IF(INDEX(INDIRECT("'WCM Calibration Final'!$F$1:$F$2000"),'Calculations'!$EM32)="","",TRIM(INDEX(INDIRECT("'WCM Calibration Final'!$F$1:$F$2000"),'Calculations'!$EM32)&amp;"")),"")))</x:f>
      </x:c>
      <x:c r="HO32" t="str">
        <x:f>'Calculations'!HF32</x:f>
      </x:c>
      <x:c r="HP32" t="str">
        <x:f>IF('Calculations'!HO32="","",IF('Calculations'!HO32="!AMBIG","!AMBIG",IF(COUNTIF('Calculations'!$HE$13:$HE$512,"="&amp;SUBSTITUTE(SUBSTITUTE(SUBSTITUTE('Calculations'!HO32,"~","~~"),"*","~*"),"?","~?"))&gt;1,"!AMBIG",IFERROR(INDEX('Calculations'!$HF$13:$HF$512,MATCH('Calculations'!HO32,'Calculations'!$HE$13:$HE$512,0)),""))))</x:f>
      </x:c>
      <x:c r="HQ32" t="str">
        <x:f>IF('Calculations'!HP32="","",IF('Calculations'!HP32="!AMBIG","!AMBIG",IF(COUNTIF('Calculations'!$HE$13:$HE$512,"="&amp;SUBSTITUTE(SUBSTITUTE(SUBSTITUTE('Calculations'!HP32,"~","~~"),"*","~*"),"?","~?"))&gt;1,"!AMBIG",IFERROR(INDEX('Calculations'!$HF$13:$HF$512,MATCH('Calculations'!HP32,'Calculations'!$HE$13:$HE$512,0)),""))))</x:f>
      </x:c>
      <x:c r="HR32" t="str">
        <x:f>IF('Calculations'!HQ32="","",IF('Calculations'!HQ32="!AMBIG","!AMBIG",IF(COUNTIF('Calculations'!$HE$13:$HE$512,"="&amp;SUBSTITUTE(SUBSTITUTE(SUBSTITUTE('Calculations'!HQ32,"~","~~"),"*","~*"),"?","~?"))&gt;1,"!AMBIG",IFERROR(INDEX('Calculations'!$HF$13:$HF$512,MATCH('Calculations'!HQ32,'Calculations'!$HE$13:$HE$512,0)),""))))</x:f>
      </x:c>
      <x:c r="HS32" t="str">
        <x:f>IF('Calculations'!HR32="","",IF('Calculations'!HR32="!AMBIG","!AMBIG",IF(COUNTIF('Calculations'!$HE$13:$HE$512,"="&amp;SUBSTITUTE(SUBSTITUTE(SUBSTITUTE('Calculations'!HR32,"~","~~"),"*","~*"),"?","~?"))&gt;1,"!AMBIG",IFERROR(INDEX('Calculations'!$HF$13:$HF$512,MATCH('Calculations'!HR32,'Calculations'!$HE$13:$HE$512,0)),""))))</x:f>
      </x:c>
      <x:c r="HT32" t="str">
        <x:f>IF('Calculations'!HS32="","",IF('Calculations'!HS32="!AMBIG","!AMBIG",IF(COUNTIF('Calculations'!$HE$13:$HE$512,"="&amp;SUBSTITUTE(SUBSTITUTE(SUBSTITUTE('Calculations'!HS32,"~","~~"),"*","~*"),"?","~?"))&gt;1,"!AMBIG",IFERROR(INDEX('Calculations'!$HF$13:$HF$512,MATCH('Calculations'!HS32,'Calculations'!$HE$13:$HE$512,0)),""))))</x:f>
      </x:c>
      <x:c r="HU32" t="str">
        <x:f>IF('Calculations'!HT32="","",IF('Calculations'!HT32="!AMBIG","!AMBIG",IF(COUNTIF('Calculations'!$HE$13:$HE$512,"="&amp;SUBSTITUTE(SUBSTITUTE(SUBSTITUTE('Calculations'!HT32,"~","~~"),"*","~*"),"?","~?"))&gt;1,"!AMBIG",IFERROR(INDEX('Calculations'!$HF$13:$HF$512,MATCH('Calculations'!HT32,'Calculations'!$HE$13:$HE$512,0)),""))))</x:f>
      </x:c>
      <x:c r="HV32" t="str">
        <x:f>IF('Calculations'!HU32="","",IF('Calculations'!HU32="!AMBIG","!AMBIG",IF(COUNTIF('Calculations'!$HE$13:$HE$512,"="&amp;SUBSTITUTE(SUBSTITUTE(SUBSTITUTE('Calculations'!HU32,"~","~~"),"*","~*"),"?","~?"))&gt;1,"!AMBIG",IFERROR(INDEX('Calculations'!$HF$13:$HF$512,MATCH('Calculations'!HU32,'Calculations'!$HE$13:$HE$512,0)),""))))</x:f>
      </x:c>
      <x:c r="HW32" t="str">
        <x:f>IF('Calculations'!HV32="","",IF('Calculations'!HV32="!AMBIG","!AMBIG",IF(COUNTIF('Calculations'!$HE$13:$HE$512,"="&amp;SUBSTITUTE(SUBSTITUTE(SUBSTITUTE('Calculations'!HV32,"~","~~"),"*","~*"),"?","~?"))&gt;1,"!AMBIG",IFERROR(INDEX('Calculations'!$HF$13:$HF$512,MATCH('Calculations'!HV32,'Calculations'!$HE$13:$HE$512,0)),""))))</x:f>
      </x:c>
      <x:c r="HX32" t="str">
        <x:f>IF('Calculations'!HW32="","",IF('Calculations'!HW32="!AMBIG","!AMBIG",IF(COUNTIF('Calculations'!$HE$13:$HE$512,"="&amp;SUBSTITUTE(SUBSTITUTE(SUBSTITUTE('Calculations'!HW32,"~","~~"),"*","~*"),"?","~?"))&gt;1,"!AMBIG",IFERROR(INDEX('Calculations'!$HF$13:$HF$512,MATCH('Calculations'!HW32,'Calculations'!$HE$13:$HE$512,0)),""))))</x:f>
      </x:c>
      <x:c r="HY32" t="str">
        <x:f>IF('Calculations'!HX32="","",IF('Calculations'!HX32="!AMBIG","!AMBIG",IF(COUNTIF('Calculations'!$HE$13:$HE$512,"="&amp;SUBSTITUTE(SUBSTITUTE(SUBSTITUTE('Calculations'!HX32,"~","~~"),"*","~*"),"?","~?"))&gt;1,"!AMBIG",IFERROR(INDEX('Calculations'!$HF$13:$HF$512,MATCH('Calculations'!HX32,'Calculations'!$HE$13:$HE$512,0)),""))))</x:f>
      </x:c>
      <x:c r="HZ32" t="str">
        <x:f>IF('Calculations'!HY32="","",IF('Calculations'!HY32="!AMBIG","!AMBIG",IF(COUNTIF('Calculations'!$HE$13:$HE$512,"="&amp;SUBSTITUTE(SUBSTITUTE(SUBSTITUTE('Calculations'!HY32,"~","~~"),"*","~*"),"?","~?"))&gt;1,"!AMBIG",IFERROR(INDEX('Calculations'!$HF$13:$HF$512,MATCH('Calculations'!HY32,'Calculations'!$HE$13:$HE$512,0)),""))))</x:f>
      </x:c>
      <x:c r="IA32" t="str">
        <x:f>IF('Calculations'!HZ32="","",IF('Calculations'!HZ32="!AMBIG","!AMBIG",IF(COUNTIF('Calculations'!$HE$13:$HE$512,"="&amp;SUBSTITUTE(SUBSTITUTE(SUBSTITUTE('Calculations'!HZ32,"~","~~"),"*","~*"),"?","~?"))&gt;1,"!AMBIG",IFERROR(INDEX('Calculations'!$HF$13:$HF$512,MATCH('Calculations'!HZ32,'Calculations'!$HE$13:$HE$512,0)),""))))</x:f>
      </x:c>
      <x:c r="IB32" t="str">
        <x:f>IF('Calculations'!IA32="","",IF('Calculations'!IA32="!AMBIG","!AMBIG",IF(COUNTIF('Calculations'!$HE$13:$HE$512,"="&amp;SUBSTITUTE(SUBSTITUTE(SUBSTITUTE('Calculations'!IA32,"~","~~"),"*","~*"),"?","~?"))&gt;1,"!AMBIG",IFERROR(INDEX('Calculations'!$HF$13:$HF$512,MATCH('Calculations'!IA32,'Calculations'!$HE$13:$HE$512,0)),""))))</x:f>
      </x:c>
      <x:c r="IC32" t="str">
        <x:f>IF('Calculations'!IB32="","",IF('Calculations'!IB32="!AMBIG","!AMBIG",IF(COUNTIF('Calculations'!$HE$13:$HE$512,"="&amp;SUBSTITUTE(SUBSTITUTE(SUBSTITUTE('Calculations'!IB32,"~","~~"),"*","~*"),"?","~?"))&gt;1,"!AMBIG",IFERROR(INDEX('Calculations'!$HF$13:$HF$512,MATCH('Calculations'!IB32,'Calculations'!$HE$13:$HE$512,0)),""))))</x:f>
      </x:c>
      <x:c r="ID32" t="str">
        <x:f>IF('Calculations'!IC32="","",IF('Calculations'!IC32="!AMBIG","!AMBIG",IF(COUNTIF('Calculations'!$HE$13:$HE$512,"="&amp;SUBSTITUTE(SUBSTITUTE(SUBSTITUTE('Calculations'!IC32,"~","~~"),"*","~*"),"?","~?"))&gt;1,"!AMBIG",IFERROR(INDEX('Calculations'!$HF$13:$HF$512,MATCH('Calculations'!IC32,'Calculations'!$HE$13:$HE$512,0)),""))))</x:f>
      </x:c>
      <x:c r="IE32" t="str">
        <x:f>IF('Calculations'!ID32="","",IF('Calculations'!ID32="!AMBIG","!AMBIG",IF(COUNTIF('Calculations'!$HE$13:$HE$512,"="&amp;SUBSTITUTE(SUBSTITUTE(SUBSTITUTE('Calculations'!ID32,"~","~~"),"*","~*"),"?","~?"))&gt;1,"!AMBIG",IFERROR(INDEX('Calculations'!$HF$13:$HF$512,MATCH('Calculations'!ID32,'Calculations'!$HE$13:$HE$512,0)),""))))</x:f>
      </x:c>
      <x:c r="IF32" t="str">
        <x:f>IF('Calculations'!IE32="","",IF('Calculations'!IE32="!AMBIG","!AMBIG",IF(COUNTIF('Calculations'!$HE$13:$HE$512,"="&amp;SUBSTITUTE(SUBSTITUTE(SUBSTITUTE('Calculations'!IE32,"~","~~"),"*","~*"),"?","~?"))&gt;1,"!AMBIG",IFERROR(INDEX('Calculations'!$HF$13:$HF$512,MATCH('Calculations'!IE32,'Calculations'!$HE$13:$HE$512,0)),""))))</x:f>
      </x:c>
      <x:c r="IG32" t="str">
        <x:f>IF('Calculations'!IF32="","",IF('Calculations'!IF32="!AMBIG","!AMBIG",IF(COUNTIF('Calculations'!$HE$13:$HE$512,"="&amp;SUBSTITUTE(SUBSTITUTE(SUBSTITUTE('Calculations'!IF32,"~","~~"),"*","~*"),"?","~?"))&gt;1,"!AMBIG",IFERROR(INDEX('Calculations'!$HF$13:$HF$512,MATCH('Calculations'!IF32,'Calculations'!$HE$13:$HE$512,0)),""))))</x:f>
      </x:c>
      <x:c r="IH32" t="str">
        <x:f>IF('Calculations'!IG32="","",IF('Calculations'!IG32="!AMBIG","!AMBIG",IF(COUNTIF('Calculations'!$HE$13:$HE$512,"="&amp;SUBSTITUTE(SUBSTITUTE(SUBSTITUTE('Calculations'!IG32,"~","~~"),"*","~*"),"?","~?"))&gt;1,"!AMBIG",IFERROR(INDEX('Calculations'!$HF$13:$HF$512,MATCH('Calculations'!IG32,'Calculations'!$HE$13:$HE$512,0)),""))))</x:f>
      </x:c>
      <x:c r="II32" t="str">
        <x:f>IF('Calculations'!IH32="","",IF('Calculations'!IH32="!AMBIG","!AMBIG",IF(COUNTIF('Calculations'!$HE$13:$HE$512,"="&amp;SUBSTITUTE(SUBSTITUTE(SUBSTITUTE('Calculations'!IH32,"~","~~"),"*","~*"),"?","~?"))&gt;1,"!AMBIG",IFERROR(INDEX('Calculations'!$HF$13:$HF$512,MATCH('Calculations'!IH32,'Calculations'!$HE$13:$HE$512,0)),""))))</x:f>
      </x:c>
      <x:c r="IJ32" t="str">
        <x:f>IF('Calculations'!EM32="","",IF('Calculations'!$EF$2="All",'Calculations'!HM32,IF('Calculations'!HL32=1,"",IFERROR(IF(MATCH('Calculations'!$EF$2,'Calculations'!HO32:II32,0)=1,'Calculations'!HE32,INDEX('Calculations'!HO32:II32,1,MATCH('Calculations'!$EF$2,'Calculations'!HO32:II32,0)-1)),""))))</x:f>
      </x:c>
      <x:c r="IK32" t="n">
        <x:f>IF(AND('Calculations'!EM32&lt;&gt;"",'Calculations'!$EF$2&lt;&gt;"All",'Calculations'!HF32='Calculations'!$EF$2,'Calculations'!HL32=0,'Calculations'!JD32&gt;0),MAX('Calculations'!$IK$12:IK31)+1,0)</x:f>
        <x:v>0</x:v>
      </x:c>
      <x:c r="JA32" t="n">
        <x:f>IF(OR(IFERROR(INDIRECT("'WCM Calibration Final'!$A$32")&lt;&gt;"",FALSE),IFERROR(INDIRECT("'WCM Calibration Final'!$B$32")&lt;&gt;"",FALSE),IFERROR(INDIRECT("'WCM Calibration Final'!$C$32")&lt;&gt;"",FALSE)),32,0)</x:f>
        <x:v>0</x:v>
      </x:c>
      <x:c r="JB32" t="n">
        <x:f>'Calculations'!JB31+IF('Calculations'!JA32&gt;0,1,0)</x:f>
        <x:v>0</x:v>
      </x:c>
      <x:c r="JC32" t="n">
        <x:f>IF(OR('Calculations'!HF32="",'Calculations'!HF32="!AMBIG"),0,IF('Dashboard'!$B$7="All",1,COUNTIFS('Calculations'!$HO$13:$HO$512,"="&amp;SUBSTITUTE(SUBSTITUTE(SUBSTITUTE('Calculations'!HF32,"~","~~"),"*","~*"),"?","~?"),'Calculations'!$HN$13:$HN$512,"="&amp;SUBSTITUTE(SUBSTITUTE(SUBSTITUTE('Dashboard'!$B$7,"~","~~"),"*","~*"),"?","~?"))+COUNTIFS('Calculations'!$HP$13:$HP$512,"="&amp;SUBSTITUTE(SUBSTITUTE(SUBSTITUTE('Calculations'!HF32,"~","~~"),"*","~*"),"?","~?"),'Calculations'!$HN$13:$HN$512,"="&amp;SUBSTITUTE(SUBSTITUTE(SUBSTITUTE('Dashboard'!$B$7,"~","~~"),"*","~*"),"?","~?"))+COUNTIFS('Calculations'!$HQ$13:$HQ$512,"="&amp;SUBSTITUTE(SUBSTITUTE(SUBSTITUTE('Calculations'!HF32,"~","~~"),"*","~*"),"?","~?"),'Calculations'!$HN$13:$HN$512,"="&amp;SUBSTITUTE(SUBSTITUTE(SUBSTITUTE('Dashboard'!$B$7,"~","~~"),"*","~*"),"?","~?"))+COUNTIFS('Calculations'!$HR$13:$HR$512,"="&amp;SUBSTITUTE(SUBSTITUTE(SUBSTITUTE('Calculations'!HF32,"~","~~"),"*","~*"),"?","~?"),'Calculations'!$HN$13:$HN$512,"="&amp;SUBSTITUTE(SUBSTITUTE(SUBSTITUTE('Dashboard'!$B$7,"~","~~"),"*","~*"),"?","~?"))+COUNTIFS('Calculations'!$HS$13:$HS$512,"="&amp;SUBSTITUTE(SUBSTITUTE(SUBSTITUTE('Calculations'!HF32,"~","~~"),"*","~*"),"?","~?"),'Calculations'!$HN$13:$HN$512,"="&amp;SUBSTITUTE(SUBSTITUTE(SUBSTITUTE('Dashboard'!$B$7,"~","~~"),"*","~*"),"?","~?"))+COUNTIFS('Calculations'!$HT$13:$HT$512,"="&amp;SUBSTITUTE(SUBSTITUTE(SUBSTITUTE('Calculations'!HF32,"~","~~"),"*","~*"),"?","~?"),'Calculations'!$HN$13:$HN$512,"="&amp;SUBSTITUTE(SUBSTITUTE(SUBSTITUTE('Dashboard'!$B$7,"~","~~"),"*","~*"),"?","~?"))+COUNTIFS('Calculations'!$HU$13:$HU$512,"="&amp;SUBSTITUTE(SUBSTITUTE(SUBSTITUTE('Calculations'!HF32,"~","~~"),"*","~*"),"?","~?"),'Calculations'!$HN$13:$HN$512,"="&amp;SUBSTITUTE(SUBSTITUTE(SUBSTITUTE('Dashboard'!$B$7,"~","~~"),"*","~*"),"?","~?"))+COUNTIFS('Calculations'!$HV$13:$HV$512,"="&amp;SUBSTITUTE(SUBSTITUTE(SUBSTITUTE('Calculations'!HF32,"~","~~"),"*","~*"),"?","~?"),'Calculations'!$HN$13:$HN$512,"="&amp;SUBSTITUTE(SUBSTITUTE(SUBSTITUTE('Dashboard'!$B$7,"~","~~"),"*","~*"),"?","~?"))+COUNTIFS('Calculations'!$HW$13:$HW$512,"="&amp;SUBSTITUTE(SUBSTITUTE(SUBSTITUTE('Calculations'!HF32,"~","~~"),"*","~*"),"?","~?"),'Calculations'!$HN$13:$HN$512,"="&amp;SUBSTITUTE(SUBSTITUTE(SUBSTITUTE('Dashboard'!$B$7,"~","~~"),"*","~*"),"?","~?"))+COUNTIFS('Calculations'!$HX$13:$HX$512,"="&amp;SUBSTITUTE(SUBSTITUTE(SUBSTITUTE('Calculations'!HF32,"~","~~"),"*","~*"),"?","~?"),'Calculations'!$HN$13:$HN$512,"="&amp;SUBSTITUTE(SUBSTITUTE(SUBSTITUTE('Dashboard'!$B$7,"~","~~"),"*","~*"),"?","~?"))+COUNTIFS('Calculations'!$HY$13:$HY$512,"="&amp;SUBSTITUTE(SUBSTITUTE(SUBSTITUTE('Calculations'!HF32,"~","~~"),"*","~*"),"?","~?"),'Calculations'!$HN$13:$HN$512,"="&amp;SUBSTITUTE(SUBSTITUTE(SUBSTITUTE('Dashboard'!$B$7,"~","~~"),"*","~*"),"?","~?"))+COUNTIFS('Calculations'!$HZ$13:$HZ$512,"="&amp;SUBSTITUTE(SUBSTITUTE(SUBSTITUTE('Calculations'!HF32,"~","~~"),"*","~*"),"?","~?"),'Calculations'!$HN$13:$HN$512,"="&amp;SUBSTITUTE(SUBSTITUTE(SUBSTITUTE('Dashboard'!$B$7,"~","~~"),"*","~*"),"?","~?"))+COUNTIFS('Calculations'!$IA$13:$IA$512,"="&amp;SUBSTITUTE(SUBSTITUTE(SUBSTITUTE('Calculations'!HF32,"~","~~"),"*","~*"),"?","~?"),'Calculations'!$HN$13:$HN$512,"="&amp;SUBSTITUTE(SUBSTITUTE(SUBSTITUTE('Dashboard'!$B$7,"~","~~"),"*","~*"),"?","~?"))+COUNTIFS('Calculations'!$IB$13:$IB$512,"="&amp;SUBSTITUTE(SUBSTITUTE(SUBSTITUTE('Calculations'!HF32,"~","~~"),"*","~*"),"?","~?"),'Calculations'!$HN$13:$HN$512,"="&amp;SUBSTITUTE(SUBSTITUTE(SUBSTITUTE('Dashboard'!$B$7,"~","~~"),"*","~*"),"?","~?"))+COUNTIFS('Calculations'!$IC$13:$IC$512,"="&amp;SUBSTITUTE(SUBSTITUTE(SUBSTITUTE('Calculations'!HF32,"~","~~"),"*","~*"),"?","~?"),'Calculations'!$HN$13:$HN$512,"="&amp;SUBSTITUTE(SUBSTITUTE(SUBSTITUTE('Dashboard'!$B$7,"~","~~"),"*","~*"),"?","~?"))+COUNTIFS('Calculations'!$ID$13:$ID$512,"="&amp;SUBSTITUTE(SUBSTITUTE(SUBSTITUTE('Calculations'!HF32,"~","~~"),"*","~*"),"?","~?"),'Calculations'!$HN$13:$HN$512,"="&amp;SUBSTITUTE(SUBSTITUTE(SUBSTITUTE('Dashboard'!$B$7,"~","~~"),"*","~*"),"?","~?"))+COUNTIFS('Calculations'!$IE$13:$IE$512,"="&amp;SUBSTITUTE(SUBSTITUTE(SUBSTITUTE('Calculations'!HF32,"~","~~"),"*","~*"),"?","~?"),'Calculations'!$HN$13:$HN$512,"="&amp;SUBSTITUTE(SUBSTITUTE(SUBSTITUTE('Dashboard'!$B$7,"~","~~"),"*","~*"),"?","~?"))+COUNTIFS('Calculations'!$IF$13:$IF$512,"="&amp;SUBSTITUTE(SUBSTITUTE(SUBSTITUTE('Calculations'!HF32,"~","~~"),"*","~*"),"?","~?"),'Calculations'!$HN$13:$HN$512,"="&amp;SUBSTITUTE(SUBSTITUTE(SUBSTITUTE('Dashboard'!$B$7,"~","~~"),"*","~*"),"?","~?"))+COUNTIFS('Calculations'!$IG$13:$IG$512,"="&amp;SUBSTITUTE(SUBSTITUTE(SUBSTITUTE('Calculations'!HF32,"~","~~"),"*","~*"),"?","~?"),'Calculations'!$HN$13:$HN$512,"="&amp;SUBSTITUTE(SUBSTITUTE(SUBSTITUTE('Dashboard'!$B$7,"~","~~"),"*","~*"),"?","~?"))+COUNTIFS('Calculations'!$IH$13:$IH$512,"="&amp;SUBSTITUTE(SUBSTITUTE(SUBSTITUTE('Calculations'!HF32,"~","~~"),"*","~*"),"?","~?"),'Calculations'!$HN$13:$HN$512,"="&amp;SUBSTITUTE(SUBSTITUTE(SUBSTITUTE('Dashboard'!$B$7,"~","~~"),"*","~*"),"?","~?"))))</x:f>
        <x:v>0</x:v>
      </x:c>
      <x:c r="JD32" t="n">
        <x:f>IF('Calculations'!EM32="",0,IF('Dashboard'!$B$7="All",1,IF('Calculations'!HN32='Dashboard'!$B$7,1,0)+IFERROR(INDEX('Calculations'!$JC$13:$JC$512,MATCH('Calculations'!HE32,'Calculations'!$HF$13:$HF$512,0)),0)))</x:f>
        <x:v>0</x:v>
      </x:c>
      <x:c r="JE32" t="n">
        <x:f>IF(AND('Calculations'!EM32&lt;&gt;"",'Calculations'!$JJ$2&lt;&gt;"All",'Calculations'!$JJ$2&lt;&gt;"",'Calculations'!HF32='Calculations'!$JJ$2,'Calculations'!HL32=0,'Calculations'!JD32&gt;0),MAX('Calculations'!$JE$12:JE31)+1,0)</x:f>
        <x:v>0</x:v>
      </x:c>
      <x:c r="JF32" t="str">
        <x:f>IF('Calculations'!EM32="","",IFERROR(IF(INDEX(INDIRECT("'WCM Calibration Final'!$G$1:$G$2000"),'Calculations'!$EM32)="","",TRIM(INDEX(INDIRECT("'WCM Calibration Final'!$G$1:$G$2000"),'Calculations'!$EM32)&amp;"")),""))</x:f>
      </x:c>
      <x:c r="JQ32" t="n">
        <x:f>IF(OR('Calculations'!BM32=0,NOT('Calculations'!$AG$2),'Calculations'!$AG$8&gt;0),0,IF(OR('Dashboard'!$B$7="All",'Calculations'!HN32='Dashboard'!$B$7),IF('Calculations'!$JJ$2="All",1,IF(AND('Calculations'!HF32='Calculations'!$JJ$2,'Calculations'!HL32=0),1,0)),0))</x:f>
        <x:v>0</x:v>
      </x:c>
    </x:row>
    <x:row r="33">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t="n">
        <x:f>IF('Calculations'!$EM33="",0,IF(OR(IFERROR(INDEX(INDIRECT("'WCM Calibration Final'!$A$1:$A$2000"),'Calculations'!$EM33)&lt;&gt;"",FALSE),IFERROR(INDEX(INDIRECT("'WCM Calibration Final'!$B$1:$B$2000"),'Calculations'!$EM33)&lt;&gt;"",FALSE),IFERROR(INDEX(INDIRECT("'WCM Calibration Final'!$C$1:$C$2000"),'Calculations'!$EM33)&lt;&gt;"",FALSE)),1,0))</x:f>
        <x:v>0</x:v>
      </x:c>
      <x:c r="BN33" s="4" t="n">
        <x:f>IF(AND('Calculations'!BM33=1,'Calculations'!$AG$2,'Calculations'!$EN33=1),1,0)</x:f>
        <x:v>0</x:v>
      </x:c>
      <x:c r="BO33" s="4" t="str">
        <x:f>IF('Calculations'!BM33=0,"",IFERROR(IF(AND(VALUE(INDEX(INDIRECT("'WCM Calibration Final'!$K$1:$K$2000"),'Calculations'!$EM33))&gt;=1,VALUE(INDEX(INDIRECT("'WCM Calibration Final'!$K$1:$K$2000"),'Calculations'!$EM33))&lt;=4,MOD(VALUE(INDEX(INDIRECT("'WCM Calibration Final'!$K$1:$K$2000"),'Calculations'!$EM33)),1)=0),VALUE(INDEX(INDIRECT("'WCM Calibration Final'!$K$1:$K$2000"),'Calculations'!$EM33)),""),""))</x:f>
      </x:c>
      <x:c r="BP33" s="4" t="str">
        <x:f>IF('Calculations'!BM33=0,"",IFERROR(IF(AND(VALUE(INDEX(INDIRECT("'WCM Calibration Final'!$L$1:$L$2000"),'Calculations'!$EM33))&gt;=1,VALUE(INDEX(INDIRECT("'WCM Calibration Final'!$L$1:$L$2000"),'Calculations'!$EM33))&lt;=4,MOD(VALUE(INDEX(INDIRECT("'WCM Calibration Final'!$L$1:$L$2000"),'Calculations'!$EM33)),1)=0),VALUE(INDEX(INDIRECT("'WCM Calibration Final'!$L$1:$L$2000"),'Calculations'!$EM33)),""),""))</x:f>
      </x:c>
      <x:c r="BQ33" s="4"/>
      <x:c r="BR33" s="4"/>
      <x:c r="BS33" s="4"/>
      <x:c r="BT33" s="4" t="n">
        <x:f>IF(AND('Calculations'!BM33=1,ISNUMBER('Calculations'!BO33),ISNUMBER('Calculations'!BP33)),1,0)</x:f>
        <x:v>0</x:v>
      </x:c>
      <x:c r="BU33" s="4" t="str">
        <x:f>IF('Calculations'!BM33=0,"",'Calculations'!$EO33)</x:f>
      </x:c>
      <x:c r="BV33" s="4" t="str">
        <x:f>IF('Calculations'!BM33=0,"",IFERROR(IF(OR(INDEX(INDIRECT("'WCM Calibration Final'!$H$1:$H$2000"),'Calculations'!$EM33)="MANAGING DIRECTOR",INDEX(INDIRECT("'WCM Calibration Final'!$H$1:$H$2000"),'Calculations'!$EM33)="DIRECTOR",INDEX(INDIRECT("'WCM Calibration Final'!$H$1:$H$2000"),'Calculations'!$EM33)="SENIOR VICE PRESIDENT",INDEX(INDIRECT("'WCM Calibration Final'!$H$1:$H$2000"),'Calculations'!$EM33)="VICE PRESIDENT",INDEX(INDIRECT("'WCM Calibration Final'!$H$1:$H$2000"),'Calculations'!$EM33)="ASSISTANT VICE PRESIDENT",INDEX(INDIRECT("'WCM Calibration Final'!$H$1:$H$2000"),'Calculations'!$EM33)="OFFICER"),UPPER(INDEX(INDIRECT("'WCM Calibration Final'!$H$1:$H$2000"),'Calculations'!$EM33)),"Other"),"Other"))</x:f>
      </x:c>
      <x:c r="BW33" s="4"/>
      <x:c r="BX33" s="4"/>
      <x:c r="BY33" s="4" t="n">
        <x:f>IF(AND('Calculations'!BM33=1,'Calculations'!BU33&lt;&gt;"",COUNTIF('Calculations'!$BU$12:BU33,'Calculations'!BU33)=1),MAX('Calculations'!$BY$11:BY32)+1,0)</x:f>
        <x:v>0</x:v>
      </x:c>
      <x:c r="BZ33" s="4" t="str">
        <x:f>IF('Dashboard'!$E$67="What",'Calculations'!BO33,'Calculations'!BP33)</x:f>
      </x:c>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t="str">
        <x:f>IF(22&gt;MAX('Calculations'!$HI$13:$HI$512),"",INDEX('Calculations'!$HN$13:$HN$512,MATCH(22,'Calculations'!$HI$13:$HI$512,0)))</x:f>
      </x:c>
      <x:c r="DB33" s="4" t="str">
        <x:f>IF(22&gt;MAX('Calculations'!$HH$13:$HH$512),"",INDEX('Calculations'!$HJ$13:$HJ$512,MATCH(22,'Calculations'!$HH$13:$HH$512,0)))</x:f>
      </x:c>
      <x:c r="DC33" s="4" t="str">
        <x:f>IF(ROW()-11&gt;MAX('Calculations'!$BY$13:$BY$512),"",INDEX('Calculations'!$BU$13:$BU$512,MATCH(ROW()-11,'Calculations'!$BY$13:$BY$512,0)))</x:f>
      </x:c>
      <x:c r="DD33" s="4" t="str">
        <x:f>IF(22&gt;MAX('Calculations'!$IK$13:$IK$512),"",INDEX('Calculations'!$HK$13:$HK$512,MATCH(22,'Calculations'!$IK$13:$IK$512,0)))</x:f>
      </x:c>
      <x:c r="DE33" s="4" t="str">
        <x:f>'Calculations'!DC33</x:f>
      </x:c>
      <x:c r="DF33" s="4" t="str">
        <x:f>IF('Calculations'!DE33="","",COUNTIFS('Calculations'!$BN$13:$BN$512,1,'Calculations'!$BU$13:$BU$512,'Calculations'!DE33))</x:f>
      </x:c>
      <x:c r="DG33" s="4" t="str">
        <x:f>IF('Calculations'!DE33="","",COUNTIFS('Calculations'!$BN$13:$BN$512,1,'Calculations'!$BU$13:$BU$512,'Calculations'!DE33,'Calculations'!$BT$13:$BT$512,1))</x:f>
      </x:c>
      <x:c r="DH33" s="4" t="str">
        <x:f>IF('Calculations'!DE33="","",'Calculations'!DF33-'Calculations'!DG33)</x:f>
      </x:c>
      <x:c r="DI33" s="4" t="str">
        <x:f>IF(OR('Calculations'!DE33="",'Calculations'!DF33=0),"",'Calculations'!DG33/'Calculations'!DF33)</x:f>
      </x:c>
      <x:c r="DJ33" s="4" t="str">
        <x:f>IF('Calculations'!DE33="","",COUNTIFS('Calculations'!$BN$13:$BN$512,1,'Calculations'!$BU$13:$BU$512,'Calculations'!DE33,'Calculations'!$BT$13:$BT$512,1,'Calculations'!$EE$13:$EE$512,"High"))</x:f>
      </x:c>
      <x:c r="DK33" s="4" t="str">
        <x:f>IF('Calculations'!DE33="","",COUNTIFS('Calculations'!$BN$13:$BN$512,1,'Calculations'!$BU$13:$BU$512,'Calculations'!DE33,'Calculations'!$BT$13:$BT$512,1,'Calculations'!$EE$13:$EE$512,"Strong"))</x:f>
      </x:c>
      <x:c r="DL33" s="4" t="str">
        <x:f>IF('Calculations'!DE33="","",COUNTIFS('Calculations'!$BN$13:$BN$512,1,'Calculations'!$BU$13:$BU$512,'Calculations'!DE33,'Calculations'!$BT$13:$BT$512,1,'Calculations'!$EE$13:$EE$512,"Solid"))</x:f>
      </x:c>
      <x:c r="DM33" s="4" t="str">
        <x:f>IF('Calculations'!DE33="","",COUNTIFS('Calculations'!$BN$13:$BN$512,1,'Calculations'!$BU$13:$BU$512,'Calculations'!DE33,'Calculations'!$BT$13:$BT$512,1,'Calculations'!$EE$13:$EE$512,"Low"))</x:f>
      </x:c>
      <x:c r="DN33" s="4" t="str">
        <x:f>IF('Calculations'!DE33="","",COUNTIFS('Calculations'!$BN$13:$BN$512,1,'Calculations'!$BU$13:$BU$512,'Calculations'!DE33,'Calculations'!$EP$13:$EP$512,1))</x:f>
      </x:c>
      <x:c r="DO33" s="4" t="str">
        <x:f>IF(OR('Calculations'!DE33="",'Calculations'!DG33=0),"",('Calculations'!DJ33+'Calculations'!DK33)/'Calculations'!DG33)</x:f>
      </x:c>
      <x:c r="DP33" s="4" t="n">
        <x:f>IF(AND('Calculations'!DE33&lt;&gt;"",'Calculations'!DF33&gt;0),COUNTIF('Calculations'!$DF$12:DF33,"&gt;0"),0)</x:f>
        <x:v>0</x:v>
      </x:c>
      <x:c r="DQ33" s="4" t="str">
        <x:f>IF(22&gt;MAX('Calculations'!$HH$13:$HH$512),"",INDEX('Calculations'!$HF$13:$HF$512,MATCH(22,'Calculations'!$HH$13:$HH$512,0)))</x:f>
      </x:c>
      <x:c r="DR33" s="4" t="str">
        <x:f>IF(22&gt;MAX('Calculations'!$IK$13:$IK$512),"",INDEX('Calculations'!$HE$13:$HE$512,MATCH(22,'Calculations'!$IK$13:$IK$512,0)))</x:f>
      </x:c>
      <x:c r="DS33" s="4"/>
      <x:c r="DT33" s="4"/>
      <x:c r="DU33" s="4"/>
      <x:c r="DV33" s="4"/>
      <x:c r="DW33" s="4"/>
      <x:c r="DX33" s="4"/>
      <x:c r="DY33" s="4"/>
      <x:c r="DZ33" s="4"/>
      <x:c r="EA33" s="4"/>
      <x:c r="EB33" s="4"/>
      <x:c r="EC33" s="4"/>
      <x:c r="ED33" s="4"/>
      <x:c r="EE33" s="4" t="str">
        <x:f>IF('Calculations'!BT33=0,"Not Rated",IF(OR('Calculations'!BO33&gt;=4,'Calculations'!BP33&gt;=4),"Low",IF('Calculations'!BO33+'Calculations'!BP33&lt;=3,"High",IF('Calculations'!BO33+'Calculations'!BP33&lt;=4,"Strong","Solid"))))</x:f>
        <x:v>Not Rated</x:v>
      </x:c>
      <x:c r="EF33" s="4"/>
      <x:c r="EG33" s="4"/>
      <x:c r="EH33" s="4"/>
      <x:c r="EI33" s="4"/>
      <x:c r="EJ33" s="4"/>
      <x:c r="EK33" s="4"/>
      <x:c r="EL33" s="4"/>
      <x:c r="EM33" s="4" t="str">
        <x:f>IF(21&gt;'Calculations'!$JB$2000,"",INDEX('Calculations'!$JA$12:$JA$2000,MATCH(21,'Calculations'!$JB$12:$JB$2000,0)))</x:f>
      </x:c>
      <x:c r="EN33" s="4" t="n">
        <x:f>IF(OR('Calculations'!EM33="",'Calculations'!$AG$8&gt;0,AND('Calculations'!$EF$2&lt;&gt;"All",'Calculations'!HE33='Calculations'!$EF$2),AND('Calculations'!$EF$3&lt;&gt;"All",'Calculations'!HE33='Calculations'!$EF$3)),0,IF(OR('Dashboard'!$B$7="All",'Calculations'!HN33='Dashboard'!$B$7),IF('Calculations'!$EF$2="All",1,IF('Calculations'!HL33&gt;0,0,IF(COUNTIF('Calculations'!HO33:II33,"="&amp;SUBSTITUTE(SUBSTITUTE(SUBSTITUTE('Calculations'!$EF$2,"~","~~"),"*","~*"),"?","~?"))=0,0,IF('Calculations'!$EF$3="All",1,IF(COUNTIF('Calculations'!HO33:II33,"="&amp;SUBSTITUTE(SUBSTITUTE(SUBSTITUTE('Calculations'!$EF$3,"~","~~"),"*","~*"),"?","~?"))&gt;0,1,0))))),0))</x:f>
        <x:v>0</x:v>
      </x:c>
      <x:c r="EO33" s="4" t="str">
        <x:f>IF('Calculations'!IJ33="","",IF('Calculations'!IJ33="!UNRESOLVED","Unresolved hierarchy",IFERROR(INDEX('Calculations'!$HK$13:$HK$512,MATCH('Calculations'!IJ33,'Calculations'!$HE$13:$HE$512,0)),IFERROR(INDEX('Calculations'!$HJ$13:$HJ$512,MATCH('Calculations'!IJ33,'Calculations'!$HF$13:$HF$512,0)),'Calculations'!IJ33))))</x:f>
      </x:c>
      <x:c r="EP33" s="4" t="n">
        <x:f>IF(AND('Calculations'!EM33&lt;&gt;"",'Calculations'!HF33='Calculations'!IJ33),1,0)</x:f>
        <x:v>0</x:v>
      </x:c>
      <x:c r="EQ33" s="4"/>
      <x:c r="ER33" s="4"/>
      <x:c r="ES33" s="4"/>
      <x:c r="ET33" s="4"/>
      <x:c r="EU33" s="4"/>
      <x:c r="EV33" s="4"/>
      <x:c r="EW33" s="4"/>
      <x:c r="EX33" s="4"/>
      <x:c r="EY33" s="4"/>
      <x:c r="EZ33" s="4"/>
      <x:c r="FA33" s="4"/>
      <x:c r="FB33" s="4"/>
      <x:c r="FC33" s="4"/>
      <x:c r="FD33" s="4"/>
      <x:c r="FE33" s="4"/>
      <x:c r="FF33" s="4"/>
      <x:c r="FG33" s="4"/>
      <x:c r="FH33" s="4"/>
      <x:c r="FI33" s="4"/>
      <x:c r="FJ33" s="4"/>
      <x:c r="FK33" s="4"/>
      <x:c r="FL33" s="4"/>
      <x:c r="FM33" s="4"/>
      <x:c r="FN33" s="4"/>
      <x:c r="FO33" s="4"/>
      <x:c r="GA33" s="71"/>
      <x:c r="GB33" s="71"/>
      <x:c r="GC33" s="71"/>
      <x:c r="GD33" s="71"/>
      <x:c r="GE33" s="71"/>
      <x:c r="GF33" s="71"/>
      <x:c r="GG33" s="71"/>
      <x:c r="GH33" s="71"/>
      <x:c r="GI33" s="71"/>
      <x:c r="GJ33" s="71"/>
      <x:c r="GK33" s="71"/>
      <x:c r="GL33" s="71"/>
      <x:c r="GM33" s="71"/>
      <x:c r="GN33" s="71"/>
      <x:c r="GO33" s="71"/>
      <x:c r="GP33" s="71"/>
      <x:c r="GQ33" s="71"/>
      <x:c r="GR33" s="71"/>
      <x:c r="GS33" s="71"/>
      <x:c r="GT33" s="71"/>
      <x:c r="GU33" s="71"/>
      <x:c r="GV33" s="71"/>
      <x:c r="GW33" s="71"/>
      <x:c r="GX33" s="71"/>
      <x:c r="GY33" s="71"/>
      <x:c r="GZ33" s="71"/>
      <x:c r="HA33" s="71"/>
      <x:c r="HB33" s="71"/>
      <x:c r="HC33" s="71"/>
      <x:c r="HD33" s="71"/>
      <x:c r="HE33" t="str">
        <x:f>IF('Calculations'!EM33="","",IF(IFERROR(IF(INDEX(INDIRECT("'WCM Calibration Final'!$A$1:$A$2000"),'Calculations'!$EM33)="","",TRIM(INDEX(INDIRECT("'WCM Calibration Final'!$A$1:$A$2000"),'Calculations'!$EM33)&amp;"")),"")&lt;&gt;"","G:"&amp;IFERROR(TEXT(1*INDEX(INDIRECT("'WCM Calibration Final'!$A$1:$A$2000"),'Calculations'!$EM33),"0"),UPPER(IFERROR(IF(INDEX(INDIRECT("'WCM Calibration Final'!$A$1:$A$2000"),'Calculations'!$EM33)="","",TRIM(INDEX(INDIRECT("'WCM Calibration Final'!$A$1:$A$2000"),'Calculations'!$EM33)&amp;"")),""))),IF(IFERROR(IF(INDEX(INDIRECT("'WCM Calibration Final'!$C$1:$C$2000"),'Calculations'!$EM33)="","",TRIM(INDEX(INDIRECT("'WCM Calibration Final'!$C$1:$C$2000"),'Calculations'!$EM33)&amp;"")),"")&lt;&gt;"","S:"&amp;UPPER(IFERROR(IF(INDEX(INDIRECT("'WCM Calibration Final'!$C$1:$C$2000"),'Calculations'!$EM33)="","",TRIM(INDEX(INDIRECT("'WCM Calibration Final'!$C$1:$C$2000"),'Calculations'!$EM33)&amp;"")),"")),"R:"&amp;'Calculations'!EM33)))</x:f>
      </x:c>
      <x:c r="HF33" t="str">
        <x:f>IF('Calculations'!EM33="","",IF(IFERROR(IF(INDEX(INDIRECT("'WCM Calibration Final'!$D$1:$D$2000"),'Calculations'!$EM33)="","",TRIM(INDEX(INDIRECT("'WCM Calibration Final'!$D$1:$D$2000"),'Calculations'!$EM33)&amp;"")),"")&lt;&gt;"","G:"&amp;IFERROR(TEXT(1*INDEX(INDIRECT("'WCM Calibration Final'!$D$1:$D$2000"),'Calculations'!$EM33),"0"),UPPER(IFERROR(IF(INDEX(INDIRECT("'WCM Calibration Final'!$D$1:$D$2000"),'Calculations'!$EM33)="","",TRIM(INDEX(INDIRECT("'WCM Calibration Final'!$D$1:$D$2000"),'Calculations'!$EM33)&amp;"")),""))),IF(IFERROR(IF(INDEX(INDIRECT("'WCM Calibration Final'!$E$1:$E$2000"),'Calculations'!$EM33)="","",TRIM(INDEX(INDIRECT("'WCM Calibration Final'!$E$1:$E$2000"),'Calculations'!$EM33)&amp;"")),"")="","",IF(COUNTIF('Calculations'!$HG$13:$HG$512,"="&amp;SUBSTITUTE(SUBSTITUTE(SUBSTITUTE(IFERROR(IF(INDEX(INDIRECT("'WCM Calibration Final'!$E$1:$E$2000"),'Calculations'!$EM33)="","",TRIM(INDEX(INDIRECT("'WCM Calibration Final'!$E$1:$E$2000"),'Calculations'!$EM33)&amp;"")),""),"~","~~"),"*","~*"),"?","~?"))=1,INDEX('Calculations'!$HE$13:$HE$512,MATCH(IFERROR(IF(INDEX(INDIRECT("'WCM Calibration Final'!$E$1:$E$2000"),'Calculations'!$EM33)="","",TRIM(INDEX(INDIRECT("'WCM Calibration Final'!$E$1:$E$2000"),'Calculations'!$EM33)&amp;"")),""),'Calculations'!$HG$13:$HG$512,0)),IF(COUNTIF('Calculations'!$HG$13:$HG$512,"="&amp;SUBSTITUTE(SUBSTITUTE(SUBSTITUTE(IFERROR(IF(INDEX(INDIRECT("'WCM Calibration Final'!$E$1:$E$2000"),'Calculations'!$EM33)="","",TRIM(INDEX(INDIRECT("'WCM Calibration Final'!$E$1:$E$2000"),'Calculations'!$EM33)&amp;"")),""),"~","~~"),"*","~*"),"?","~?"))&gt;1,"!AMBIG","X:"&amp;IFERROR(IF(INDEX(INDIRECT("'WCM Calibration Final'!$E$1:$E$2000"),'Calculations'!$EM33)="","",TRIM(INDEX(INDIRECT("'WCM Calibration Final'!$E$1:$E$2000"),'Calculations'!$EM33)&amp;"")),""))))))</x:f>
      </x:c>
      <x:c r="HG33" t="str">
        <x:f>IF('Calculations'!EM33="","",IFERROR(IF(INDEX(INDIRECT("'WCM Calibration Final'!$B$1:$B$2000"),'Calculations'!$EM33)="","",TRIM(INDEX(INDIRECT("'WCM Calibration Final'!$B$1:$B$2000"),'Calculations'!$EM33)&amp;"")),""))</x:f>
      </x:c>
      <x:c r="HH33" t="n">
        <x:f>IF(AND('Calculations'!JC33&gt;0,COUNTIF('Calculations'!$HF$12:HF33,"="&amp;SUBSTITUTE(SUBSTITUTE(SUBSTITUTE('Calculations'!HF33,"~","~~"),"*","~*"),"?","~?"))=1),MAX('Calculations'!$HH$12:HH32)+1,0)</x:f>
        <x:v>0</x:v>
      </x:c>
      <x:c r="HI33" t="n">
        <x:f>IF(AND('Calculations'!HN33&lt;&gt;"",COUNTIF('Calculations'!$HN$12:HN33,"="&amp;SUBSTITUTE(SUBSTITUTE(SUBSTITUTE('Calculations'!HN33,"~","~~"),"*","~*"),"?","~?"))=1),MAX('Calculations'!$HI$12:HI32)+1,0)</x:f>
        <x:v>0</x:v>
      </x:c>
      <x:c r="HJ33" t="str">
        <x:f>IF('Calculations'!HF33="","",IF(COUNTIF('Calculations'!$HE$13:$HE$512,"="&amp;SUBSTITUTE(SUBSTITUTE(SUBSTITUTE('Calculations'!HF33,"~","~~"),"*","~*"),"?","~?"))=1,INDEX('Calculations'!$HK$13:$HK$512,MATCH('Calculations'!HF33,'Calculations'!$HE$13:$HE$512,0)),IFERROR(IF(INDEX(INDIRECT("'WCM Calibration Final'!$E$1:$E$2000"),'Calculations'!$EM33)="","",TRIM(INDEX(INDIRECT("'WCM Calibration Final'!$E$1:$E$2000"),'Calculations'!$EM33)&amp;"")),"")&amp;" ["&amp;'Calculations'!HF33&amp;"]"))</x:f>
      </x:c>
      <x:c r="HK33" t="str">
        <x:f>IF('Calculations'!EM33="","",'Calculations'!HG33&amp;" ["&amp;'Calculations'!HE33&amp;"]")</x:f>
      </x:c>
      <x:c r="HL33" t="n">
        <x:f>IF('Calculations'!EM33="",0,IF(OR('Calculations'!II33&lt;&gt;"",COUNTIF('Calculations'!$HE$13:$HE$512,"="&amp;SUBSTITUTE(SUBSTITUTE(SUBSTITUTE('Calculations'!HE33,"~","~~"),"*","~*"),"?","~?"))&gt;1),1,0))</x:f>
        <x:v>0</x:v>
      </x:c>
      <x:c r="HM33" t="str">
        <x:f>IF('Calculations'!EM33="","",IF('Calculations'!HL33=1,"!UNRESOLVED",IF('Calculations'!IH33&lt;&gt;"",'Calculations'!IH33,IF('Calculations'!IG33&lt;&gt;"",'Calculations'!IG33,IF('Calculations'!IF33&lt;&gt;"",'Calculations'!IF33,IF('Calculations'!IE33&lt;&gt;"",'Calculations'!IE33,IF('Calculations'!ID33&lt;&gt;"",'Calculations'!ID33,IF('Calculations'!IC33&lt;&gt;"",'Calculations'!IC33,IF('Calculations'!IB33&lt;&gt;"",'Calculations'!IB33,IF('Calculations'!IA33&lt;&gt;"",'Calculations'!IA33,IF('Calculations'!HZ33&lt;&gt;"",'Calculations'!HZ33,IF('Calculations'!HY33&lt;&gt;"",'Calculations'!HY33,IF('Calculations'!HX33&lt;&gt;"",'Calculations'!HX33,IF('Calculations'!HW33&lt;&gt;"",'Calculations'!HW33,IF('Calculations'!HV33&lt;&gt;"",'Calculations'!HV33,IF('Calculations'!HU33&lt;&gt;"",'Calculations'!HU33,IF('Calculations'!HT33&lt;&gt;"",'Calculations'!HT33,IF('Calculations'!HS33&lt;&gt;"",'Calculations'!HS33,IF('Calculations'!HR33&lt;&gt;"",'Calculations'!HR33,IF('Calculations'!HQ33&lt;&gt;"",'Calculations'!HQ33,IF('Calculations'!HP33&lt;&gt;"",'Calculations'!HP33,IF('Calculations'!HO33&lt;&gt;"",'Calculations'!HO33,'Calculations'!HE33))))))))))))))))))))))</x:f>
      </x:c>
      <x:c r="HN33" t="str">
        <x:f>IF('Calculations'!EM33="","",IF(IFERROR(IF(INDEX(INDIRECT("'WCM Calibration Final'!$F$1:$F$2000"),'Calculations'!$EM33)="","",TRIM(INDEX(INDIRECT("'WCM Calibration Final'!$F$1:$F$2000"),'Calculations'!$EM33)&amp;"")),"")="","(Blank)",IFERROR(IF(INDEX(INDIRECT("'WCM Calibration Final'!$F$1:$F$2000"),'Calculations'!$EM33)="","",TRIM(INDEX(INDIRECT("'WCM Calibration Final'!$F$1:$F$2000"),'Calculations'!$EM33)&amp;"")),"")))</x:f>
      </x:c>
      <x:c r="HO33" t="str">
        <x:f>'Calculations'!HF33</x:f>
      </x:c>
      <x:c r="HP33" t="str">
        <x:f>IF('Calculations'!HO33="","",IF('Calculations'!HO33="!AMBIG","!AMBIG",IF(COUNTIF('Calculations'!$HE$13:$HE$512,"="&amp;SUBSTITUTE(SUBSTITUTE(SUBSTITUTE('Calculations'!HO33,"~","~~"),"*","~*"),"?","~?"))&gt;1,"!AMBIG",IFERROR(INDEX('Calculations'!$HF$13:$HF$512,MATCH('Calculations'!HO33,'Calculations'!$HE$13:$HE$512,0)),""))))</x:f>
      </x:c>
      <x:c r="HQ33" t="str">
        <x:f>IF('Calculations'!HP33="","",IF('Calculations'!HP33="!AMBIG","!AMBIG",IF(COUNTIF('Calculations'!$HE$13:$HE$512,"="&amp;SUBSTITUTE(SUBSTITUTE(SUBSTITUTE('Calculations'!HP33,"~","~~"),"*","~*"),"?","~?"))&gt;1,"!AMBIG",IFERROR(INDEX('Calculations'!$HF$13:$HF$512,MATCH('Calculations'!HP33,'Calculations'!$HE$13:$HE$512,0)),""))))</x:f>
      </x:c>
      <x:c r="HR33" t="str">
        <x:f>IF('Calculations'!HQ33="","",IF('Calculations'!HQ33="!AMBIG","!AMBIG",IF(COUNTIF('Calculations'!$HE$13:$HE$512,"="&amp;SUBSTITUTE(SUBSTITUTE(SUBSTITUTE('Calculations'!HQ33,"~","~~"),"*","~*"),"?","~?"))&gt;1,"!AMBIG",IFERROR(INDEX('Calculations'!$HF$13:$HF$512,MATCH('Calculations'!HQ33,'Calculations'!$HE$13:$HE$512,0)),""))))</x:f>
      </x:c>
      <x:c r="HS33" t="str">
        <x:f>IF('Calculations'!HR33="","",IF('Calculations'!HR33="!AMBIG","!AMBIG",IF(COUNTIF('Calculations'!$HE$13:$HE$512,"="&amp;SUBSTITUTE(SUBSTITUTE(SUBSTITUTE('Calculations'!HR33,"~","~~"),"*","~*"),"?","~?"))&gt;1,"!AMBIG",IFERROR(INDEX('Calculations'!$HF$13:$HF$512,MATCH('Calculations'!HR33,'Calculations'!$HE$13:$HE$512,0)),""))))</x:f>
      </x:c>
      <x:c r="HT33" t="str">
        <x:f>IF('Calculations'!HS33="","",IF('Calculations'!HS33="!AMBIG","!AMBIG",IF(COUNTIF('Calculations'!$HE$13:$HE$512,"="&amp;SUBSTITUTE(SUBSTITUTE(SUBSTITUTE('Calculations'!HS33,"~","~~"),"*","~*"),"?","~?"))&gt;1,"!AMBIG",IFERROR(INDEX('Calculations'!$HF$13:$HF$512,MATCH('Calculations'!HS33,'Calculations'!$HE$13:$HE$512,0)),""))))</x:f>
      </x:c>
      <x:c r="HU33" t="str">
        <x:f>IF('Calculations'!HT33="","",IF('Calculations'!HT33="!AMBIG","!AMBIG",IF(COUNTIF('Calculations'!$HE$13:$HE$512,"="&amp;SUBSTITUTE(SUBSTITUTE(SUBSTITUTE('Calculations'!HT33,"~","~~"),"*","~*"),"?","~?"))&gt;1,"!AMBIG",IFERROR(INDEX('Calculations'!$HF$13:$HF$512,MATCH('Calculations'!HT33,'Calculations'!$HE$13:$HE$512,0)),""))))</x:f>
      </x:c>
      <x:c r="HV33" t="str">
        <x:f>IF('Calculations'!HU33="","",IF('Calculations'!HU33="!AMBIG","!AMBIG",IF(COUNTIF('Calculations'!$HE$13:$HE$512,"="&amp;SUBSTITUTE(SUBSTITUTE(SUBSTITUTE('Calculations'!HU33,"~","~~"),"*","~*"),"?","~?"))&gt;1,"!AMBIG",IFERROR(INDEX('Calculations'!$HF$13:$HF$512,MATCH('Calculations'!HU33,'Calculations'!$HE$13:$HE$512,0)),""))))</x:f>
      </x:c>
      <x:c r="HW33" t="str">
        <x:f>IF('Calculations'!HV33="","",IF('Calculations'!HV33="!AMBIG","!AMBIG",IF(COUNTIF('Calculations'!$HE$13:$HE$512,"="&amp;SUBSTITUTE(SUBSTITUTE(SUBSTITUTE('Calculations'!HV33,"~","~~"),"*","~*"),"?","~?"))&gt;1,"!AMBIG",IFERROR(INDEX('Calculations'!$HF$13:$HF$512,MATCH('Calculations'!HV33,'Calculations'!$HE$13:$HE$512,0)),""))))</x:f>
      </x:c>
      <x:c r="HX33" t="str">
        <x:f>IF('Calculations'!HW33="","",IF('Calculations'!HW33="!AMBIG","!AMBIG",IF(COUNTIF('Calculations'!$HE$13:$HE$512,"="&amp;SUBSTITUTE(SUBSTITUTE(SUBSTITUTE('Calculations'!HW33,"~","~~"),"*","~*"),"?","~?"))&gt;1,"!AMBIG",IFERROR(INDEX('Calculations'!$HF$13:$HF$512,MATCH('Calculations'!HW33,'Calculations'!$HE$13:$HE$512,0)),""))))</x:f>
      </x:c>
      <x:c r="HY33" t="str">
        <x:f>IF('Calculations'!HX33="","",IF('Calculations'!HX33="!AMBIG","!AMBIG",IF(COUNTIF('Calculations'!$HE$13:$HE$512,"="&amp;SUBSTITUTE(SUBSTITUTE(SUBSTITUTE('Calculations'!HX33,"~","~~"),"*","~*"),"?","~?"))&gt;1,"!AMBIG",IFERROR(INDEX('Calculations'!$HF$13:$HF$512,MATCH('Calculations'!HX33,'Calculations'!$HE$13:$HE$512,0)),""))))</x:f>
      </x:c>
      <x:c r="HZ33" t="str">
        <x:f>IF('Calculations'!HY33="","",IF('Calculations'!HY33="!AMBIG","!AMBIG",IF(COUNTIF('Calculations'!$HE$13:$HE$512,"="&amp;SUBSTITUTE(SUBSTITUTE(SUBSTITUTE('Calculations'!HY33,"~","~~"),"*","~*"),"?","~?"))&gt;1,"!AMBIG",IFERROR(INDEX('Calculations'!$HF$13:$HF$512,MATCH('Calculations'!HY33,'Calculations'!$HE$13:$HE$512,0)),""))))</x:f>
      </x:c>
      <x:c r="IA33" t="str">
        <x:f>IF('Calculations'!HZ33="","",IF('Calculations'!HZ33="!AMBIG","!AMBIG",IF(COUNTIF('Calculations'!$HE$13:$HE$512,"="&amp;SUBSTITUTE(SUBSTITUTE(SUBSTITUTE('Calculations'!HZ33,"~","~~"),"*","~*"),"?","~?"))&gt;1,"!AMBIG",IFERROR(INDEX('Calculations'!$HF$13:$HF$512,MATCH('Calculations'!HZ33,'Calculations'!$HE$13:$HE$512,0)),""))))</x:f>
      </x:c>
      <x:c r="IB33" t="str">
        <x:f>IF('Calculations'!IA33="","",IF('Calculations'!IA33="!AMBIG","!AMBIG",IF(COUNTIF('Calculations'!$HE$13:$HE$512,"="&amp;SUBSTITUTE(SUBSTITUTE(SUBSTITUTE('Calculations'!IA33,"~","~~"),"*","~*"),"?","~?"))&gt;1,"!AMBIG",IFERROR(INDEX('Calculations'!$HF$13:$HF$512,MATCH('Calculations'!IA33,'Calculations'!$HE$13:$HE$512,0)),""))))</x:f>
      </x:c>
      <x:c r="IC33" t="str">
        <x:f>IF('Calculations'!IB33="","",IF('Calculations'!IB33="!AMBIG","!AMBIG",IF(COUNTIF('Calculations'!$HE$13:$HE$512,"="&amp;SUBSTITUTE(SUBSTITUTE(SUBSTITUTE('Calculations'!IB33,"~","~~"),"*","~*"),"?","~?"))&gt;1,"!AMBIG",IFERROR(INDEX('Calculations'!$HF$13:$HF$512,MATCH('Calculations'!IB33,'Calculations'!$HE$13:$HE$512,0)),""))))</x:f>
      </x:c>
      <x:c r="ID33" t="str">
        <x:f>IF('Calculations'!IC33="","",IF('Calculations'!IC33="!AMBIG","!AMBIG",IF(COUNTIF('Calculations'!$HE$13:$HE$512,"="&amp;SUBSTITUTE(SUBSTITUTE(SUBSTITUTE('Calculations'!IC33,"~","~~"),"*","~*"),"?","~?"))&gt;1,"!AMBIG",IFERROR(INDEX('Calculations'!$HF$13:$HF$512,MATCH('Calculations'!IC33,'Calculations'!$HE$13:$HE$512,0)),""))))</x:f>
      </x:c>
      <x:c r="IE33" t="str">
        <x:f>IF('Calculations'!ID33="","",IF('Calculations'!ID33="!AMBIG","!AMBIG",IF(COUNTIF('Calculations'!$HE$13:$HE$512,"="&amp;SUBSTITUTE(SUBSTITUTE(SUBSTITUTE('Calculations'!ID33,"~","~~"),"*","~*"),"?","~?"))&gt;1,"!AMBIG",IFERROR(INDEX('Calculations'!$HF$13:$HF$512,MATCH('Calculations'!ID33,'Calculations'!$HE$13:$HE$512,0)),""))))</x:f>
      </x:c>
      <x:c r="IF33" t="str">
        <x:f>IF('Calculations'!IE33="","",IF('Calculations'!IE33="!AMBIG","!AMBIG",IF(COUNTIF('Calculations'!$HE$13:$HE$512,"="&amp;SUBSTITUTE(SUBSTITUTE(SUBSTITUTE('Calculations'!IE33,"~","~~"),"*","~*"),"?","~?"))&gt;1,"!AMBIG",IFERROR(INDEX('Calculations'!$HF$13:$HF$512,MATCH('Calculations'!IE33,'Calculations'!$HE$13:$HE$512,0)),""))))</x:f>
      </x:c>
      <x:c r="IG33" t="str">
        <x:f>IF('Calculations'!IF33="","",IF('Calculations'!IF33="!AMBIG","!AMBIG",IF(COUNTIF('Calculations'!$HE$13:$HE$512,"="&amp;SUBSTITUTE(SUBSTITUTE(SUBSTITUTE('Calculations'!IF33,"~","~~"),"*","~*"),"?","~?"))&gt;1,"!AMBIG",IFERROR(INDEX('Calculations'!$HF$13:$HF$512,MATCH('Calculations'!IF33,'Calculations'!$HE$13:$HE$512,0)),""))))</x:f>
      </x:c>
      <x:c r="IH33" t="str">
        <x:f>IF('Calculations'!IG33="","",IF('Calculations'!IG33="!AMBIG","!AMBIG",IF(COUNTIF('Calculations'!$HE$13:$HE$512,"="&amp;SUBSTITUTE(SUBSTITUTE(SUBSTITUTE('Calculations'!IG33,"~","~~"),"*","~*"),"?","~?"))&gt;1,"!AMBIG",IFERROR(INDEX('Calculations'!$HF$13:$HF$512,MATCH('Calculations'!IG33,'Calculations'!$HE$13:$HE$512,0)),""))))</x:f>
      </x:c>
      <x:c r="II33" t="str">
        <x:f>IF('Calculations'!IH33="","",IF('Calculations'!IH33="!AMBIG","!AMBIG",IF(COUNTIF('Calculations'!$HE$13:$HE$512,"="&amp;SUBSTITUTE(SUBSTITUTE(SUBSTITUTE('Calculations'!IH33,"~","~~"),"*","~*"),"?","~?"))&gt;1,"!AMBIG",IFERROR(INDEX('Calculations'!$HF$13:$HF$512,MATCH('Calculations'!IH33,'Calculations'!$HE$13:$HE$512,0)),""))))</x:f>
      </x:c>
      <x:c r="IJ33" t="str">
        <x:f>IF('Calculations'!EM33="","",IF('Calculations'!$EF$2="All",'Calculations'!HM33,IF('Calculations'!HL33=1,"",IFERROR(IF(MATCH('Calculations'!$EF$2,'Calculations'!HO33:II33,0)=1,'Calculations'!HE33,INDEX('Calculations'!HO33:II33,1,MATCH('Calculations'!$EF$2,'Calculations'!HO33:II33,0)-1)),""))))</x:f>
      </x:c>
      <x:c r="IK33" t="n">
        <x:f>IF(AND('Calculations'!EM33&lt;&gt;"",'Calculations'!$EF$2&lt;&gt;"All",'Calculations'!HF33='Calculations'!$EF$2,'Calculations'!HL33=0,'Calculations'!JD33&gt;0),MAX('Calculations'!$IK$12:IK32)+1,0)</x:f>
        <x:v>0</x:v>
      </x:c>
      <x:c r="JA33" t="n">
        <x:f>IF(OR(IFERROR(INDIRECT("'WCM Calibration Final'!$A$33")&lt;&gt;"",FALSE),IFERROR(INDIRECT("'WCM Calibration Final'!$B$33")&lt;&gt;"",FALSE),IFERROR(INDIRECT("'WCM Calibration Final'!$C$33")&lt;&gt;"",FALSE)),33,0)</x:f>
        <x:v>0</x:v>
      </x:c>
      <x:c r="JB33" t="n">
        <x:f>'Calculations'!JB32+IF('Calculations'!JA33&gt;0,1,0)</x:f>
        <x:v>0</x:v>
      </x:c>
      <x:c r="JC33" t="n">
        <x:f>IF(OR('Calculations'!HF33="",'Calculations'!HF33="!AMBIG"),0,IF('Dashboard'!$B$7="All",1,COUNTIFS('Calculations'!$HO$13:$HO$512,"="&amp;SUBSTITUTE(SUBSTITUTE(SUBSTITUTE('Calculations'!HF33,"~","~~"),"*","~*"),"?","~?"),'Calculations'!$HN$13:$HN$512,"="&amp;SUBSTITUTE(SUBSTITUTE(SUBSTITUTE('Dashboard'!$B$7,"~","~~"),"*","~*"),"?","~?"))+COUNTIFS('Calculations'!$HP$13:$HP$512,"="&amp;SUBSTITUTE(SUBSTITUTE(SUBSTITUTE('Calculations'!HF33,"~","~~"),"*","~*"),"?","~?"),'Calculations'!$HN$13:$HN$512,"="&amp;SUBSTITUTE(SUBSTITUTE(SUBSTITUTE('Dashboard'!$B$7,"~","~~"),"*","~*"),"?","~?"))+COUNTIFS('Calculations'!$HQ$13:$HQ$512,"="&amp;SUBSTITUTE(SUBSTITUTE(SUBSTITUTE('Calculations'!HF33,"~","~~"),"*","~*"),"?","~?"),'Calculations'!$HN$13:$HN$512,"="&amp;SUBSTITUTE(SUBSTITUTE(SUBSTITUTE('Dashboard'!$B$7,"~","~~"),"*","~*"),"?","~?"))+COUNTIFS('Calculations'!$HR$13:$HR$512,"="&amp;SUBSTITUTE(SUBSTITUTE(SUBSTITUTE('Calculations'!HF33,"~","~~"),"*","~*"),"?","~?"),'Calculations'!$HN$13:$HN$512,"="&amp;SUBSTITUTE(SUBSTITUTE(SUBSTITUTE('Dashboard'!$B$7,"~","~~"),"*","~*"),"?","~?"))+COUNTIFS('Calculations'!$HS$13:$HS$512,"="&amp;SUBSTITUTE(SUBSTITUTE(SUBSTITUTE('Calculations'!HF33,"~","~~"),"*","~*"),"?","~?"),'Calculations'!$HN$13:$HN$512,"="&amp;SUBSTITUTE(SUBSTITUTE(SUBSTITUTE('Dashboard'!$B$7,"~","~~"),"*","~*"),"?","~?"))+COUNTIFS('Calculations'!$HT$13:$HT$512,"="&amp;SUBSTITUTE(SUBSTITUTE(SUBSTITUTE('Calculations'!HF33,"~","~~"),"*","~*"),"?","~?"),'Calculations'!$HN$13:$HN$512,"="&amp;SUBSTITUTE(SUBSTITUTE(SUBSTITUTE('Dashboard'!$B$7,"~","~~"),"*","~*"),"?","~?"))+COUNTIFS('Calculations'!$HU$13:$HU$512,"="&amp;SUBSTITUTE(SUBSTITUTE(SUBSTITUTE('Calculations'!HF33,"~","~~"),"*","~*"),"?","~?"),'Calculations'!$HN$13:$HN$512,"="&amp;SUBSTITUTE(SUBSTITUTE(SUBSTITUTE('Dashboard'!$B$7,"~","~~"),"*","~*"),"?","~?"))+COUNTIFS('Calculations'!$HV$13:$HV$512,"="&amp;SUBSTITUTE(SUBSTITUTE(SUBSTITUTE('Calculations'!HF33,"~","~~"),"*","~*"),"?","~?"),'Calculations'!$HN$13:$HN$512,"="&amp;SUBSTITUTE(SUBSTITUTE(SUBSTITUTE('Dashboard'!$B$7,"~","~~"),"*","~*"),"?","~?"))+COUNTIFS('Calculations'!$HW$13:$HW$512,"="&amp;SUBSTITUTE(SUBSTITUTE(SUBSTITUTE('Calculations'!HF33,"~","~~"),"*","~*"),"?","~?"),'Calculations'!$HN$13:$HN$512,"="&amp;SUBSTITUTE(SUBSTITUTE(SUBSTITUTE('Dashboard'!$B$7,"~","~~"),"*","~*"),"?","~?"))+COUNTIFS('Calculations'!$HX$13:$HX$512,"="&amp;SUBSTITUTE(SUBSTITUTE(SUBSTITUTE('Calculations'!HF33,"~","~~"),"*","~*"),"?","~?"),'Calculations'!$HN$13:$HN$512,"="&amp;SUBSTITUTE(SUBSTITUTE(SUBSTITUTE('Dashboard'!$B$7,"~","~~"),"*","~*"),"?","~?"))+COUNTIFS('Calculations'!$HY$13:$HY$512,"="&amp;SUBSTITUTE(SUBSTITUTE(SUBSTITUTE('Calculations'!HF33,"~","~~"),"*","~*"),"?","~?"),'Calculations'!$HN$13:$HN$512,"="&amp;SUBSTITUTE(SUBSTITUTE(SUBSTITUTE('Dashboard'!$B$7,"~","~~"),"*","~*"),"?","~?"))+COUNTIFS('Calculations'!$HZ$13:$HZ$512,"="&amp;SUBSTITUTE(SUBSTITUTE(SUBSTITUTE('Calculations'!HF33,"~","~~"),"*","~*"),"?","~?"),'Calculations'!$HN$13:$HN$512,"="&amp;SUBSTITUTE(SUBSTITUTE(SUBSTITUTE('Dashboard'!$B$7,"~","~~"),"*","~*"),"?","~?"))+COUNTIFS('Calculations'!$IA$13:$IA$512,"="&amp;SUBSTITUTE(SUBSTITUTE(SUBSTITUTE('Calculations'!HF33,"~","~~"),"*","~*"),"?","~?"),'Calculations'!$HN$13:$HN$512,"="&amp;SUBSTITUTE(SUBSTITUTE(SUBSTITUTE('Dashboard'!$B$7,"~","~~"),"*","~*"),"?","~?"))+COUNTIFS('Calculations'!$IB$13:$IB$512,"="&amp;SUBSTITUTE(SUBSTITUTE(SUBSTITUTE('Calculations'!HF33,"~","~~"),"*","~*"),"?","~?"),'Calculations'!$HN$13:$HN$512,"="&amp;SUBSTITUTE(SUBSTITUTE(SUBSTITUTE('Dashboard'!$B$7,"~","~~"),"*","~*"),"?","~?"))+COUNTIFS('Calculations'!$IC$13:$IC$512,"="&amp;SUBSTITUTE(SUBSTITUTE(SUBSTITUTE('Calculations'!HF33,"~","~~"),"*","~*"),"?","~?"),'Calculations'!$HN$13:$HN$512,"="&amp;SUBSTITUTE(SUBSTITUTE(SUBSTITUTE('Dashboard'!$B$7,"~","~~"),"*","~*"),"?","~?"))+COUNTIFS('Calculations'!$ID$13:$ID$512,"="&amp;SUBSTITUTE(SUBSTITUTE(SUBSTITUTE('Calculations'!HF33,"~","~~"),"*","~*"),"?","~?"),'Calculations'!$HN$13:$HN$512,"="&amp;SUBSTITUTE(SUBSTITUTE(SUBSTITUTE('Dashboard'!$B$7,"~","~~"),"*","~*"),"?","~?"))+COUNTIFS('Calculations'!$IE$13:$IE$512,"="&amp;SUBSTITUTE(SUBSTITUTE(SUBSTITUTE('Calculations'!HF33,"~","~~"),"*","~*"),"?","~?"),'Calculations'!$HN$13:$HN$512,"="&amp;SUBSTITUTE(SUBSTITUTE(SUBSTITUTE('Dashboard'!$B$7,"~","~~"),"*","~*"),"?","~?"))+COUNTIFS('Calculations'!$IF$13:$IF$512,"="&amp;SUBSTITUTE(SUBSTITUTE(SUBSTITUTE('Calculations'!HF33,"~","~~"),"*","~*"),"?","~?"),'Calculations'!$HN$13:$HN$512,"="&amp;SUBSTITUTE(SUBSTITUTE(SUBSTITUTE('Dashboard'!$B$7,"~","~~"),"*","~*"),"?","~?"))+COUNTIFS('Calculations'!$IG$13:$IG$512,"="&amp;SUBSTITUTE(SUBSTITUTE(SUBSTITUTE('Calculations'!HF33,"~","~~"),"*","~*"),"?","~?"),'Calculations'!$HN$13:$HN$512,"="&amp;SUBSTITUTE(SUBSTITUTE(SUBSTITUTE('Dashboard'!$B$7,"~","~~"),"*","~*"),"?","~?"))+COUNTIFS('Calculations'!$IH$13:$IH$512,"="&amp;SUBSTITUTE(SUBSTITUTE(SUBSTITUTE('Calculations'!HF33,"~","~~"),"*","~*"),"?","~?"),'Calculations'!$HN$13:$HN$512,"="&amp;SUBSTITUTE(SUBSTITUTE(SUBSTITUTE('Dashboard'!$B$7,"~","~~"),"*","~*"),"?","~?"))))</x:f>
        <x:v>0</x:v>
      </x:c>
      <x:c r="JD33" t="n">
        <x:f>IF('Calculations'!EM33="",0,IF('Dashboard'!$B$7="All",1,IF('Calculations'!HN33='Dashboard'!$B$7,1,0)+IFERROR(INDEX('Calculations'!$JC$13:$JC$512,MATCH('Calculations'!HE33,'Calculations'!$HF$13:$HF$512,0)),0)))</x:f>
        <x:v>0</x:v>
      </x:c>
      <x:c r="JE33" t="n">
        <x:f>IF(AND('Calculations'!EM33&lt;&gt;"",'Calculations'!$JJ$2&lt;&gt;"All",'Calculations'!$JJ$2&lt;&gt;"",'Calculations'!HF33='Calculations'!$JJ$2,'Calculations'!HL33=0,'Calculations'!JD33&gt;0),MAX('Calculations'!$JE$12:JE32)+1,0)</x:f>
        <x:v>0</x:v>
      </x:c>
      <x:c r="JF33" t="str">
        <x:f>IF('Calculations'!EM33="","",IFERROR(IF(INDEX(INDIRECT("'WCM Calibration Final'!$G$1:$G$2000"),'Calculations'!$EM33)="","",TRIM(INDEX(INDIRECT("'WCM Calibration Final'!$G$1:$G$2000"),'Calculations'!$EM33)&amp;"")),""))</x:f>
      </x:c>
      <x:c r="JQ33" t="n">
        <x:f>IF(OR('Calculations'!BM33=0,NOT('Calculations'!$AG$2),'Calculations'!$AG$8&gt;0),0,IF(OR('Dashboard'!$B$7="All",'Calculations'!HN33='Dashboard'!$B$7),IF('Calculations'!$JJ$2="All",1,IF(AND('Calculations'!HF33='Calculations'!$JJ$2,'Calculations'!HL33=0),1,0)),0))</x:f>
        <x:v>0</x:v>
      </x:c>
    </x:row>
    <x:row r="3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t="n">
        <x:f>IF('Calculations'!$EM34="",0,IF(OR(IFERROR(INDEX(INDIRECT("'WCM Calibration Final'!$A$1:$A$2000"),'Calculations'!$EM34)&lt;&gt;"",FALSE),IFERROR(INDEX(INDIRECT("'WCM Calibration Final'!$B$1:$B$2000"),'Calculations'!$EM34)&lt;&gt;"",FALSE),IFERROR(INDEX(INDIRECT("'WCM Calibration Final'!$C$1:$C$2000"),'Calculations'!$EM34)&lt;&gt;"",FALSE)),1,0))</x:f>
        <x:v>0</x:v>
      </x:c>
      <x:c r="BN34" s="4" t="n">
        <x:f>IF(AND('Calculations'!BM34=1,'Calculations'!$AG$2,'Calculations'!$EN34=1),1,0)</x:f>
        <x:v>0</x:v>
      </x:c>
      <x:c r="BO34" s="4" t="str">
        <x:f>IF('Calculations'!BM34=0,"",IFERROR(IF(AND(VALUE(INDEX(INDIRECT("'WCM Calibration Final'!$K$1:$K$2000"),'Calculations'!$EM34))&gt;=1,VALUE(INDEX(INDIRECT("'WCM Calibration Final'!$K$1:$K$2000"),'Calculations'!$EM34))&lt;=4,MOD(VALUE(INDEX(INDIRECT("'WCM Calibration Final'!$K$1:$K$2000"),'Calculations'!$EM34)),1)=0),VALUE(INDEX(INDIRECT("'WCM Calibration Final'!$K$1:$K$2000"),'Calculations'!$EM34)),""),""))</x:f>
      </x:c>
      <x:c r="BP34" s="4" t="str">
        <x:f>IF('Calculations'!BM34=0,"",IFERROR(IF(AND(VALUE(INDEX(INDIRECT("'WCM Calibration Final'!$L$1:$L$2000"),'Calculations'!$EM34))&gt;=1,VALUE(INDEX(INDIRECT("'WCM Calibration Final'!$L$1:$L$2000"),'Calculations'!$EM34))&lt;=4,MOD(VALUE(INDEX(INDIRECT("'WCM Calibration Final'!$L$1:$L$2000"),'Calculations'!$EM34)),1)=0),VALUE(INDEX(INDIRECT("'WCM Calibration Final'!$L$1:$L$2000"),'Calculations'!$EM34)),""),""))</x:f>
      </x:c>
      <x:c r="BQ34" s="4"/>
      <x:c r="BR34" s="4"/>
      <x:c r="BS34" s="4"/>
      <x:c r="BT34" s="4" t="n">
        <x:f>IF(AND('Calculations'!BM34=1,ISNUMBER('Calculations'!BO34),ISNUMBER('Calculations'!BP34)),1,0)</x:f>
        <x:v>0</x:v>
      </x:c>
      <x:c r="BU34" s="4" t="str">
        <x:f>IF('Calculations'!BM34=0,"",'Calculations'!$EO34)</x:f>
      </x:c>
      <x:c r="BV34" s="4" t="str">
        <x:f>IF('Calculations'!BM34=0,"",IFERROR(IF(OR(INDEX(INDIRECT("'WCM Calibration Final'!$H$1:$H$2000"),'Calculations'!$EM34)="MANAGING DIRECTOR",INDEX(INDIRECT("'WCM Calibration Final'!$H$1:$H$2000"),'Calculations'!$EM34)="DIRECTOR",INDEX(INDIRECT("'WCM Calibration Final'!$H$1:$H$2000"),'Calculations'!$EM34)="SENIOR VICE PRESIDENT",INDEX(INDIRECT("'WCM Calibration Final'!$H$1:$H$2000"),'Calculations'!$EM34)="VICE PRESIDENT",INDEX(INDIRECT("'WCM Calibration Final'!$H$1:$H$2000"),'Calculations'!$EM34)="ASSISTANT VICE PRESIDENT",INDEX(INDIRECT("'WCM Calibration Final'!$H$1:$H$2000"),'Calculations'!$EM34)="OFFICER"),UPPER(INDEX(INDIRECT("'WCM Calibration Final'!$H$1:$H$2000"),'Calculations'!$EM34)),"Other"),"Other"))</x:f>
      </x:c>
      <x:c r="BW34" s="4"/>
      <x:c r="BX34" s="4"/>
      <x:c r="BY34" s="4" t="n">
        <x:f>IF(AND('Calculations'!BM34=1,'Calculations'!BU34&lt;&gt;"",COUNTIF('Calculations'!$BU$12:BU34,'Calculations'!BU34)=1),MAX('Calculations'!$BY$11:BY33)+1,0)</x:f>
        <x:v>0</x:v>
      </x:c>
      <x:c r="BZ34" s="4" t="str">
        <x:f>IF('Dashboard'!$E$67="What",'Calculations'!BO34,'Calculations'!BP34)</x:f>
      </x:c>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t="str">
        <x:f>IF(23&gt;MAX('Calculations'!$HI$13:$HI$512),"",INDEX('Calculations'!$HN$13:$HN$512,MATCH(23,'Calculations'!$HI$13:$HI$512,0)))</x:f>
      </x:c>
      <x:c r="DB34" s="4" t="str">
        <x:f>IF(23&gt;MAX('Calculations'!$HH$13:$HH$512),"",INDEX('Calculations'!$HJ$13:$HJ$512,MATCH(23,'Calculations'!$HH$13:$HH$512,0)))</x:f>
      </x:c>
      <x:c r="DC34" s="4" t="str">
        <x:f>IF(ROW()-11&gt;MAX('Calculations'!$BY$13:$BY$512),"",INDEX('Calculations'!$BU$13:$BU$512,MATCH(ROW()-11,'Calculations'!$BY$13:$BY$512,0)))</x:f>
      </x:c>
      <x:c r="DD34" s="4" t="str">
        <x:f>IF(23&gt;MAX('Calculations'!$IK$13:$IK$512),"",INDEX('Calculations'!$HK$13:$HK$512,MATCH(23,'Calculations'!$IK$13:$IK$512,0)))</x:f>
      </x:c>
      <x:c r="DE34" s="4" t="str">
        <x:f>'Calculations'!DC34</x:f>
      </x:c>
      <x:c r="DF34" s="4" t="str">
        <x:f>IF('Calculations'!DE34="","",COUNTIFS('Calculations'!$BN$13:$BN$512,1,'Calculations'!$BU$13:$BU$512,'Calculations'!DE34))</x:f>
      </x:c>
      <x:c r="DG34" s="4" t="str">
        <x:f>IF('Calculations'!DE34="","",COUNTIFS('Calculations'!$BN$13:$BN$512,1,'Calculations'!$BU$13:$BU$512,'Calculations'!DE34,'Calculations'!$BT$13:$BT$512,1))</x:f>
      </x:c>
      <x:c r="DH34" s="4" t="str">
        <x:f>IF('Calculations'!DE34="","",'Calculations'!DF34-'Calculations'!DG34)</x:f>
      </x:c>
      <x:c r="DI34" s="4" t="str">
        <x:f>IF(OR('Calculations'!DE34="",'Calculations'!DF34=0),"",'Calculations'!DG34/'Calculations'!DF34)</x:f>
      </x:c>
      <x:c r="DJ34" s="4" t="str">
        <x:f>IF('Calculations'!DE34="","",COUNTIFS('Calculations'!$BN$13:$BN$512,1,'Calculations'!$BU$13:$BU$512,'Calculations'!DE34,'Calculations'!$BT$13:$BT$512,1,'Calculations'!$EE$13:$EE$512,"High"))</x:f>
      </x:c>
      <x:c r="DK34" s="4" t="str">
        <x:f>IF('Calculations'!DE34="","",COUNTIFS('Calculations'!$BN$13:$BN$512,1,'Calculations'!$BU$13:$BU$512,'Calculations'!DE34,'Calculations'!$BT$13:$BT$512,1,'Calculations'!$EE$13:$EE$512,"Strong"))</x:f>
      </x:c>
      <x:c r="DL34" s="4" t="str">
        <x:f>IF('Calculations'!DE34="","",COUNTIFS('Calculations'!$BN$13:$BN$512,1,'Calculations'!$BU$13:$BU$512,'Calculations'!DE34,'Calculations'!$BT$13:$BT$512,1,'Calculations'!$EE$13:$EE$512,"Solid"))</x:f>
      </x:c>
      <x:c r="DM34" s="4" t="str">
        <x:f>IF('Calculations'!DE34="","",COUNTIFS('Calculations'!$BN$13:$BN$512,1,'Calculations'!$BU$13:$BU$512,'Calculations'!DE34,'Calculations'!$BT$13:$BT$512,1,'Calculations'!$EE$13:$EE$512,"Low"))</x:f>
      </x:c>
      <x:c r="DN34" s="4" t="str">
        <x:f>IF('Calculations'!DE34="","",COUNTIFS('Calculations'!$BN$13:$BN$512,1,'Calculations'!$BU$13:$BU$512,'Calculations'!DE34,'Calculations'!$EP$13:$EP$512,1))</x:f>
      </x:c>
      <x:c r="DO34" s="4" t="str">
        <x:f>IF(OR('Calculations'!DE34="",'Calculations'!DG34=0),"",('Calculations'!DJ34+'Calculations'!DK34)/'Calculations'!DG34)</x:f>
      </x:c>
      <x:c r="DP34" s="4" t="n">
        <x:f>IF(AND('Calculations'!DE34&lt;&gt;"",'Calculations'!DF34&gt;0),COUNTIF('Calculations'!$DF$12:DF34,"&gt;0"),0)</x:f>
        <x:v>0</x:v>
      </x:c>
      <x:c r="DQ34" s="4" t="str">
        <x:f>IF(23&gt;MAX('Calculations'!$HH$13:$HH$512),"",INDEX('Calculations'!$HF$13:$HF$512,MATCH(23,'Calculations'!$HH$13:$HH$512,0)))</x:f>
      </x:c>
      <x:c r="DR34" s="4" t="str">
        <x:f>IF(23&gt;MAX('Calculations'!$IK$13:$IK$512),"",INDEX('Calculations'!$HE$13:$HE$512,MATCH(23,'Calculations'!$IK$13:$IK$512,0)))</x:f>
      </x:c>
      <x:c r="DS34" s="4"/>
      <x:c r="DT34" s="4"/>
      <x:c r="DU34" s="4"/>
      <x:c r="DV34" s="4"/>
      <x:c r="DW34" s="4"/>
      <x:c r="DX34" s="4"/>
      <x:c r="DY34" s="4"/>
      <x:c r="DZ34" s="4"/>
      <x:c r="EA34" s="4"/>
      <x:c r="EB34" s="4"/>
      <x:c r="EC34" s="4"/>
      <x:c r="ED34" s="4"/>
      <x:c r="EE34" s="4" t="str">
        <x:f>IF('Calculations'!BT34=0,"Not Rated",IF(OR('Calculations'!BO34&gt;=4,'Calculations'!BP34&gt;=4),"Low",IF('Calculations'!BO34+'Calculations'!BP34&lt;=3,"High",IF('Calculations'!BO34+'Calculations'!BP34&lt;=4,"Strong","Solid"))))</x:f>
        <x:v>Not Rated</x:v>
      </x:c>
      <x:c r="EF34" s="4"/>
      <x:c r="EG34" s="4"/>
      <x:c r="EH34" s="4"/>
      <x:c r="EI34" s="4"/>
      <x:c r="EJ34" s="4"/>
      <x:c r="EK34" s="4"/>
      <x:c r="EL34" s="4"/>
      <x:c r="EM34" s="4" t="str">
        <x:f>IF(22&gt;'Calculations'!$JB$2000,"",INDEX('Calculations'!$JA$12:$JA$2000,MATCH(22,'Calculations'!$JB$12:$JB$2000,0)))</x:f>
      </x:c>
      <x:c r="EN34" s="4" t="n">
        <x:f>IF(OR('Calculations'!EM34="",'Calculations'!$AG$8&gt;0,AND('Calculations'!$EF$2&lt;&gt;"All",'Calculations'!HE34='Calculations'!$EF$2),AND('Calculations'!$EF$3&lt;&gt;"All",'Calculations'!HE34='Calculations'!$EF$3)),0,IF(OR('Dashboard'!$B$7="All",'Calculations'!HN34='Dashboard'!$B$7),IF('Calculations'!$EF$2="All",1,IF('Calculations'!HL34&gt;0,0,IF(COUNTIF('Calculations'!HO34:II34,"="&amp;SUBSTITUTE(SUBSTITUTE(SUBSTITUTE('Calculations'!$EF$2,"~","~~"),"*","~*"),"?","~?"))=0,0,IF('Calculations'!$EF$3="All",1,IF(COUNTIF('Calculations'!HO34:II34,"="&amp;SUBSTITUTE(SUBSTITUTE(SUBSTITUTE('Calculations'!$EF$3,"~","~~"),"*","~*"),"?","~?"))&gt;0,1,0))))),0))</x:f>
        <x:v>0</x:v>
      </x:c>
      <x:c r="EO34" s="4" t="str">
        <x:f>IF('Calculations'!IJ34="","",IF('Calculations'!IJ34="!UNRESOLVED","Unresolved hierarchy",IFERROR(INDEX('Calculations'!$HK$13:$HK$512,MATCH('Calculations'!IJ34,'Calculations'!$HE$13:$HE$512,0)),IFERROR(INDEX('Calculations'!$HJ$13:$HJ$512,MATCH('Calculations'!IJ34,'Calculations'!$HF$13:$HF$512,0)),'Calculations'!IJ34))))</x:f>
      </x:c>
      <x:c r="EP34" s="4" t="n">
        <x:f>IF(AND('Calculations'!EM34&lt;&gt;"",'Calculations'!HF34='Calculations'!IJ34),1,0)</x:f>
        <x:v>0</x:v>
      </x:c>
      <x:c r="EQ34" s="4"/>
      <x:c r="ER34" s="4"/>
      <x:c r="ES34" s="4"/>
      <x:c r="ET34" s="4"/>
      <x:c r="EU34" s="4"/>
      <x:c r="EV34" s="4"/>
      <x:c r="EW34" s="4"/>
      <x:c r="EX34" s="4"/>
      <x:c r="EY34" s="4"/>
      <x:c r="EZ34" s="4"/>
      <x:c r="FA34" s="4"/>
      <x:c r="FB34" s="4"/>
      <x:c r="FC34" s="4"/>
      <x:c r="FD34" s="4"/>
      <x:c r="FE34" s="4"/>
      <x:c r="FF34" s="4"/>
      <x:c r="FG34" s="4"/>
      <x:c r="FH34" s="4"/>
      <x:c r="FI34" s="4"/>
      <x:c r="FJ34" s="4"/>
      <x:c r="FK34" s="4"/>
      <x:c r="FL34" s="4"/>
      <x:c r="FM34" s="4"/>
      <x:c r="FN34" s="4"/>
      <x:c r="FO34" s="4"/>
      <x:c r="GA34" s="71"/>
      <x:c r="GB34" s="71"/>
      <x:c r="GC34" s="71"/>
      <x:c r="GD34" s="71"/>
      <x:c r="GE34" s="71"/>
      <x:c r="GF34" s="71"/>
      <x:c r="GG34" s="71"/>
      <x:c r="GH34" s="71"/>
      <x:c r="GI34" s="71"/>
      <x:c r="GJ34" s="71"/>
      <x:c r="GK34" s="71"/>
      <x:c r="GL34" s="71"/>
      <x:c r="GM34" s="71"/>
      <x:c r="GN34" s="71"/>
      <x:c r="GO34" s="71"/>
      <x:c r="GP34" s="71"/>
      <x:c r="GQ34" s="71"/>
      <x:c r="GR34" s="71"/>
      <x:c r="GS34" s="71"/>
      <x:c r="GT34" s="71"/>
      <x:c r="GU34" s="71"/>
      <x:c r="GV34" s="71"/>
      <x:c r="GW34" s="71"/>
      <x:c r="GX34" s="71"/>
      <x:c r="GY34" s="71"/>
      <x:c r="GZ34" s="71"/>
      <x:c r="HA34" s="71"/>
      <x:c r="HB34" s="71"/>
      <x:c r="HC34" s="71"/>
      <x:c r="HD34" s="71"/>
      <x:c r="HE34" t="str">
        <x:f>IF('Calculations'!EM34="","",IF(IFERROR(IF(INDEX(INDIRECT("'WCM Calibration Final'!$A$1:$A$2000"),'Calculations'!$EM34)="","",TRIM(INDEX(INDIRECT("'WCM Calibration Final'!$A$1:$A$2000"),'Calculations'!$EM34)&amp;"")),"")&lt;&gt;"","G:"&amp;IFERROR(TEXT(1*INDEX(INDIRECT("'WCM Calibration Final'!$A$1:$A$2000"),'Calculations'!$EM34),"0"),UPPER(IFERROR(IF(INDEX(INDIRECT("'WCM Calibration Final'!$A$1:$A$2000"),'Calculations'!$EM34)="","",TRIM(INDEX(INDIRECT("'WCM Calibration Final'!$A$1:$A$2000"),'Calculations'!$EM34)&amp;"")),""))),IF(IFERROR(IF(INDEX(INDIRECT("'WCM Calibration Final'!$C$1:$C$2000"),'Calculations'!$EM34)="","",TRIM(INDEX(INDIRECT("'WCM Calibration Final'!$C$1:$C$2000"),'Calculations'!$EM34)&amp;"")),"")&lt;&gt;"","S:"&amp;UPPER(IFERROR(IF(INDEX(INDIRECT("'WCM Calibration Final'!$C$1:$C$2000"),'Calculations'!$EM34)="","",TRIM(INDEX(INDIRECT("'WCM Calibration Final'!$C$1:$C$2000"),'Calculations'!$EM34)&amp;"")),"")),"R:"&amp;'Calculations'!EM34)))</x:f>
      </x:c>
      <x:c r="HF34" t="str">
        <x:f>IF('Calculations'!EM34="","",IF(IFERROR(IF(INDEX(INDIRECT("'WCM Calibration Final'!$D$1:$D$2000"),'Calculations'!$EM34)="","",TRIM(INDEX(INDIRECT("'WCM Calibration Final'!$D$1:$D$2000"),'Calculations'!$EM34)&amp;"")),"")&lt;&gt;"","G:"&amp;IFERROR(TEXT(1*INDEX(INDIRECT("'WCM Calibration Final'!$D$1:$D$2000"),'Calculations'!$EM34),"0"),UPPER(IFERROR(IF(INDEX(INDIRECT("'WCM Calibration Final'!$D$1:$D$2000"),'Calculations'!$EM34)="","",TRIM(INDEX(INDIRECT("'WCM Calibration Final'!$D$1:$D$2000"),'Calculations'!$EM34)&amp;"")),""))),IF(IFERROR(IF(INDEX(INDIRECT("'WCM Calibration Final'!$E$1:$E$2000"),'Calculations'!$EM34)="","",TRIM(INDEX(INDIRECT("'WCM Calibration Final'!$E$1:$E$2000"),'Calculations'!$EM34)&amp;"")),"")="","",IF(COUNTIF('Calculations'!$HG$13:$HG$512,"="&amp;SUBSTITUTE(SUBSTITUTE(SUBSTITUTE(IFERROR(IF(INDEX(INDIRECT("'WCM Calibration Final'!$E$1:$E$2000"),'Calculations'!$EM34)="","",TRIM(INDEX(INDIRECT("'WCM Calibration Final'!$E$1:$E$2000"),'Calculations'!$EM34)&amp;"")),""),"~","~~"),"*","~*"),"?","~?"))=1,INDEX('Calculations'!$HE$13:$HE$512,MATCH(IFERROR(IF(INDEX(INDIRECT("'WCM Calibration Final'!$E$1:$E$2000"),'Calculations'!$EM34)="","",TRIM(INDEX(INDIRECT("'WCM Calibration Final'!$E$1:$E$2000"),'Calculations'!$EM34)&amp;"")),""),'Calculations'!$HG$13:$HG$512,0)),IF(COUNTIF('Calculations'!$HG$13:$HG$512,"="&amp;SUBSTITUTE(SUBSTITUTE(SUBSTITUTE(IFERROR(IF(INDEX(INDIRECT("'WCM Calibration Final'!$E$1:$E$2000"),'Calculations'!$EM34)="","",TRIM(INDEX(INDIRECT("'WCM Calibration Final'!$E$1:$E$2000"),'Calculations'!$EM34)&amp;"")),""),"~","~~"),"*","~*"),"?","~?"))&gt;1,"!AMBIG","X:"&amp;IFERROR(IF(INDEX(INDIRECT("'WCM Calibration Final'!$E$1:$E$2000"),'Calculations'!$EM34)="","",TRIM(INDEX(INDIRECT("'WCM Calibration Final'!$E$1:$E$2000"),'Calculations'!$EM34)&amp;"")),""))))))</x:f>
      </x:c>
      <x:c r="HG34" t="str">
        <x:f>IF('Calculations'!EM34="","",IFERROR(IF(INDEX(INDIRECT("'WCM Calibration Final'!$B$1:$B$2000"),'Calculations'!$EM34)="","",TRIM(INDEX(INDIRECT("'WCM Calibration Final'!$B$1:$B$2000"),'Calculations'!$EM34)&amp;"")),""))</x:f>
      </x:c>
      <x:c r="HH34" t="n">
        <x:f>IF(AND('Calculations'!JC34&gt;0,COUNTIF('Calculations'!$HF$12:HF34,"="&amp;SUBSTITUTE(SUBSTITUTE(SUBSTITUTE('Calculations'!HF34,"~","~~"),"*","~*"),"?","~?"))=1),MAX('Calculations'!$HH$12:HH33)+1,0)</x:f>
        <x:v>0</x:v>
      </x:c>
      <x:c r="HI34" t="n">
        <x:f>IF(AND('Calculations'!HN34&lt;&gt;"",COUNTIF('Calculations'!$HN$12:HN34,"="&amp;SUBSTITUTE(SUBSTITUTE(SUBSTITUTE('Calculations'!HN34,"~","~~"),"*","~*"),"?","~?"))=1),MAX('Calculations'!$HI$12:HI33)+1,0)</x:f>
        <x:v>0</x:v>
      </x:c>
      <x:c r="HJ34" t="str">
        <x:f>IF('Calculations'!HF34="","",IF(COUNTIF('Calculations'!$HE$13:$HE$512,"="&amp;SUBSTITUTE(SUBSTITUTE(SUBSTITUTE('Calculations'!HF34,"~","~~"),"*","~*"),"?","~?"))=1,INDEX('Calculations'!$HK$13:$HK$512,MATCH('Calculations'!HF34,'Calculations'!$HE$13:$HE$512,0)),IFERROR(IF(INDEX(INDIRECT("'WCM Calibration Final'!$E$1:$E$2000"),'Calculations'!$EM34)="","",TRIM(INDEX(INDIRECT("'WCM Calibration Final'!$E$1:$E$2000"),'Calculations'!$EM34)&amp;"")),"")&amp;" ["&amp;'Calculations'!HF34&amp;"]"))</x:f>
      </x:c>
      <x:c r="HK34" t="str">
        <x:f>IF('Calculations'!EM34="","",'Calculations'!HG34&amp;" ["&amp;'Calculations'!HE34&amp;"]")</x:f>
      </x:c>
      <x:c r="HL34" t="n">
        <x:f>IF('Calculations'!EM34="",0,IF(OR('Calculations'!II34&lt;&gt;"",COUNTIF('Calculations'!$HE$13:$HE$512,"="&amp;SUBSTITUTE(SUBSTITUTE(SUBSTITUTE('Calculations'!HE34,"~","~~"),"*","~*"),"?","~?"))&gt;1),1,0))</x:f>
        <x:v>0</x:v>
      </x:c>
      <x:c r="HM34" t="str">
        <x:f>IF('Calculations'!EM34="","",IF('Calculations'!HL34=1,"!UNRESOLVED",IF('Calculations'!IH34&lt;&gt;"",'Calculations'!IH34,IF('Calculations'!IG34&lt;&gt;"",'Calculations'!IG34,IF('Calculations'!IF34&lt;&gt;"",'Calculations'!IF34,IF('Calculations'!IE34&lt;&gt;"",'Calculations'!IE34,IF('Calculations'!ID34&lt;&gt;"",'Calculations'!ID34,IF('Calculations'!IC34&lt;&gt;"",'Calculations'!IC34,IF('Calculations'!IB34&lt;&gt;"",'Calculations'!IB34,IF('Calculations'!IA34&lt;&gt;"",'Calculations'!IA34,IF('Calculations'!HZ34&lt;&gt;"",'Calculations'!HZ34,IF('Calculations'!HY34&lt;&gt;"",'Calculations'!HY34,IF('Calculations'!HX34&lt;&gt;"",'Calculations'!HX34,IF('Calculations'!HW34&lt;&gt;"",'Calculations'!HW34,IF('Calculations'!HV34&lt;&gt;"",'Calculations'!HV34,IF('Calculations'!HU34&lt;&gt;"",'Calculations'!HU34,IF('Calculations'!HT34&lt;&gt;"",'Calculations'!HT34,IF('Calculations'!HS34&lt;&gt;"",'Calculations'!HS34,IF('Calculations'!HR34&lt;&gt;"",'Calculations'!HR34,IF('Calculations'!HQ34&lt;&gt;"",'Calculations'!HQ34,IF('Calculations'!HP34&lt;&gt;"",'Calculations'!HP34,IF('Calculations'!HO34&lt;&gt;"",'Calculations'!HO34,'Calculations'!HE34))))))))))))))))))))))</x:f>
      </x:c>
      <x:c r="HN34" t="str">
        <x:f>IF('Calculations'!EM34="","",IF(IFERROR(IF(INDEX(INDIRECT("'WCM Calibration Final'!$F$1:$F$2000"),'Calculations'!$EM34)="","",TRIM(INDEX(INDIRECT("'WCM Calibration Final'!$F$1:$F$2000"),'Calculations'!$EM34)&amp;"")),"")="","(Blank)",IFERROR(IF(INDEX(INDIRECT("'WCM Calibration Final'!$F$1:$F$2000"),'Calculations'!$EM34)="","",TRIM(INDEX(INDIRECT("'WCM Calibration Final'!$F$1:$F$2000"),'Calculations'!$EM34)&amp;"")),"")))</x:f>
      </x:c>
      <x:c r="HO34" t="str">
        <x:f>'Calculations'!HF34</x:f>
      </x:c>
      <x:c r="HP34" t="str">
        <x:f>IF('Calculations'!HO34="","",IF('Calculations'!HO34="!AMBIG","!AMBIG",IF(COUNTIF('Calculations'!$HE$13:$HE$512,"="&amp;SUBSTITUTE(SUBSTITUTE(SUBSTITUTE('Calculations'!HO34,"~","~~"),"*","~*"),"?","~?"))&gt;1,"!AMBIG",IFERROR(INDEX('Calculations'!$HF$13:$HF$512,MATCH('Calculations'!HO34,'Calculations'!$HE$13:$HE$512,0)),""))))</x:f>
      </x:c>
      <x:c r="HQ34" t="str">
        <x:f>IF('Calculations'!HP34="","",IF('Calculations'!HP34="!AMBIG","!AMBIG",IF(COUNTIF('Calculations'!$HE$13:$HE$512,"="&amp;SUBSTITUTE(SUBSTITUTE(SUBSTITUTE('Calculations'!HP34,"~","~~"),"*","~*"),"?","~?"))&gt;1,"!AMBIG",IFERROR(INDEX('Calculations'!$HF$13:$HF$512,MATCH('Calculations'!HP34,'Calculations'!$HE$13:$HE$512,0)),""))))</x:f>
      </x:c>
      <x:c r="HR34" t="str">
        <x:f>IF('Calculations'!HQ34="","",IF('Calculations'!HQ34="!AMBIG","!AMBIG",IF(COUNTIF('Calculations'!$HE$13:$HE$512,"="&amp;SUBSTITUTE(SUBSTITUTE(SUBSTITUTE('Calculations'!HQ34,"~","~~"),"*","~*"),"?","~?"))&gt;1,"!AMBIG",IFERROR(INDEX('Calculations'!$HF$13:$HF$512,MATCH('Calculations'!HQ34,'Calculations'!$HE$13:$HE$512,0)),""))))</x:f>
      </x:c>
      <x:c r="HS34" t="str">
        <x:f>IF('Calculations'!HR34="","",IF('Calculations'!HR34="!AMBIG","!AMBIG",IF(COUNTIF('Calculations'!$HE$13:$HE$512,"="&amp;SUBSTITUTE(SUBSTITUTE(SUBSTITUTE('Calculations'!HR34,"~","~~"),"*","~*"),"?","~?"))&gt;1,"!AMBIG",IFERROR(INDEX('Calculations'!$HF$13:$HF$512,MATCH('Calculations'!HR34,'Calculations'!$HE$13:$HE$512,0)),""))))</x:f>
      </x:c>
      <x:c r="HT34" t="str">
        <x:f>IF('Calculations'!HS34="","",IF('Calculations'!HS34="!AMBIG","!AMBIG",IF(COUNTIF('Calculations'!$HE$13:$HE$512,"="&amp;SUBSTITUTE(SUBSTITUTE(SUBSTITUTE('Calculations'!HS34,"~","~~"),"*","~*"),"?","~?"))&gt;1,"!AMBIG",IFERROR(INDEX('Calculations'!$HF$13:$HF$512,MATCH('Calculations'!HS34,'Calculations'!$HE$13:$HE$512,0)),""))))</x:f>
      </x:c>
      <x:c r="HU34" t="str">
        <x:f>IF('Calculations'!HT34="","",IF('Calculations'!HT34="!AMBIG","!AMBIG",IF(COUNTIF('Calculations'!$HE$13:$HE$512,"="&amp;SUBSTITUTE(SUBSTITUTE(SUBSTITUTE('Calculations'!HT34,"~","~~"),"*","~*"),"?","~?"))&gt;1,"!AMBIG",IFERROR(INDEX('Calculations'!$HF$13:$HF$512,MATCH('Calculations'!HT34,'Calculations'!$HE$13:$HE$512,0)),""))))</x:f>
      </x:c>
      <x:c r="HV34" t="str">
        <x:f>IF('Calculations'!HU34="","",IF('Calculations'!HU34="!AMBIG","!AMBIG",IF(COUNTIF('Calculations'!$HE$13:$HE$512,"="&amp;SUBSTITUTE(SUBSTITUTE(SUBSTITUTE('Calculations'!HU34,"~","~~"),"*","~*"),"?","~?"))&gt;1,"!AMBIG",IFERROR(INDEX('Calculations'!$HF$13:$HF$512,MATCH('Calculations'!HU34,'Calculations'!$HE$13:$HE$512,0)),""))))</x:f>
      </x:c>
      <x:c r="HW34" t="str">
        <x:f>IF('Calculations'!HV34="","",IF('Calculations'!HV34="!AMBIG","!AMBIG",IF(COUNTIF('Calculations'!$HE$13:$HE$512,"="&amp;SUBSTITUTE(SUBSTITUTE(SUBSTITUTE('Calculations'!HV34,"~","~~"),"*","~*"),"?","~?"))&gt;1,"!AMBIG",IFERROR(INDEX('Calculations'!$HF$13:$HF$512,MATCH('Calculations'!HV34,'Calculations'!$HE$13:$HE$512,0)),""))))</x:f>
      </x:c>
      <x:c r="HX34" t="str">
        <x:f>IF('Calculations'!HW34="","",IF('Calculations'!HW34="!AMBIG","!AMBIG",IF(COUNTIF('Calculations'!$HE$13:$HE$512,"="&amp;SUBSTITUTE(SUBSTITUTE(SUBSTITUTE('Calculations'!HW34,"~","~~"),"*","~*"),"?","~?"))&gt;1,"!AMBIG",IFERROR(INDEX('Calculations'!$HF$13:$HF$512,MATCH('Calculations'!HW34,'Calculations'!$HE$13:$HE$512,0)),""))))</x:f>
      </x:c>
      <x:c r="HY34" t="str">
        <x:f>IF('Calculations'!HX34="","",IF('Calculations'!HX34="!AMBIG","!AMBIG",IF(COUNTIF('Calculations'!$HE$13:$HE$512,"="&amp;SUBSTITUTE(SUBSTITUTE(SUBSTITUTE('Calculations'!HX34,"~","~~"),"*","~*"),"?","~?"))&gt;1,"!AMBIG",IFERROR(INDEX('Calculations'!$HF$13:$HF$512,MATCH('Calculations'!HX34,'Calculations'!$HE$13:$HE$512,0)),""))))</x:f>
      </x:c>
      <x:c r="HZ34" t="str">
        <x:f>IF('Calculations'!HY34="","",IF('Calculations'!HY34="!AMBIG","!AMBIG",IF(COUNTIF('Calculations'!$HE$13:$HE$512,"="&amp;SUBSTITUTE(SUBSTITUTE(SUBSTITUTE('Calculations'!HY34,"~","~~"),"*","~*"),"?","~?"))&gt;1,"!AMBIG",IFERROR(INDEX('Calculations'!$HF$13:$HF$512,MATCH('Calculations'!HY34,'Calculations'!$HE$13:$HE$512,0)),""))))</x:f>
      </x:c>
      <x:c r="IA34" t="str">
        <x:f>IF('Calculations'!HZ34="","",IF('Calculations'!HZ34="!AMBIG","!AMBIG",IF(COUNTIF('Calculations'!$HE$13:$HE$512,"="&amp;SUBSTITUTE(SUBSTITUTE(SUBSTITUTE('Calculations'!HZ34,"~","~~"),"*","~*"),"?","~?"))&gt;1,"!AMBIG",IFERROR(INDEX('Calculations'!$HF$13:$HF$512,MATCH('Calculations'!HZ34,'Calculations'!$HE$13:$HE$512,0)),""))))</x:f>
      </x:c>
      <x:c r="IB34" t="str">
        <x:f>IF('Calculations'!IA34="","",IF('Calculations'!IA34="!AMBIG","!AMBIG",IF(COUNTIF('Calculations'!$HE$13:$HE$512,"="&amp;SUBSTITUTE(SUBSTITUTE(SUBSTITUTE('Calculations'!IA34,"~","~~"),"*","~*"),"?","~?"))&gt;1,"!AMBIG",IFERROR(INDEX('Calculations'!$HF$13:$HF$512,MATCH('Calculations'!IA34,'Calculations'!$HE$13:$HE$512,0)),""))))</x:f>
      </x:c>
      <x:c r="IC34" t="str">
        <x:f>IF('Calculations'!IB34="","",IF('Calculations'!IB34="!AMBIG","!AMBIG",IF(COUNTIF('Calculations'!$HE$13:$HE$512,"="&amp;SUBSTITUTE(SUBSTITUTE(SUBSTITUTE('Calculations'!IB34,"~","~~"),"*","~*"),"?","~?"))&gt;1,"!AMBIG",IFERROR(INDEX('Calculations'!$HF$13:$HF$512,MATCH('Calculations'!IB34,'Calculations'!$HE$13:$HE$512,0)),""))))</x:f>
      </x:c>
      <x:c r="ID34" t="str">
        <x:f>IF('Calculations'!IC34="","",IF('Calculations'!IC34="!AMBIG","!AMBIG",IF(COUNTIF('Calculations'!$HE$13:$HE$512,"="&amp;SUBSTITUTE(SUBSTITUTE(SUBSTITUTE('Calculations'!IC34,"~","~~"),"*","~*"),"?","~?"))&gt;1,"!AMBIG",IFERROR(INDEX('Calculations'!$HF$13:$HF$512,MATCH('Calculations'!IC34,'Calculations'!$HE$13:$HE$512,0)),""))))</x:f>
      </x:c>
      <x:c r="IE34" t="str">
        <x:f>IF('Calculations'!ID34="","",IF('Calculations'!ID34="!AMBIG","!AMBIG",IF(COUNTIF('Calculations'!$HE$13:$HE$512,"="&amp;SUBSTITUTE(SUBSTITUTE(SUBSTITUTE('Calculations'!ID34,"~","~~"),"*","~*"),"?","~?"))&gt;1,"!AMBIG",IFERROR(INDEX('Calculations'!$HF$13:$HF$512,MATCH('Calculations'!ID34,'Calculations'!$HE$13:$HE$512,0)),""))))</x:f>
      </x:c>
      <x:c r="IF34" t="str">
        <x:f>IF('Calculations'!IE34="","",IF('Calculations'!IE34="!AMBIG","!AMBIG",IF(COUNTIF('Calculations'!$HE$13:$HE$512,"="&amp;SUBSTITUTE(SUBSTITUTE(SUBSTITUTE('Calculations'!IE34,"~","~~"),"*","~*"),"?","~?"))&gt;1,"!AMBIG",IFERROR(INDEX('Calculations'!$HF$13:$HF$512,MATCH('Calculations'!IE34,'Calculations'!$HE$13:$HE$512,0)),""))))</x:f>
      </x:c>
      <x:c r="IG34" t="str">
        <x:f>IF('Calculations'!IF34="","",IF('Calculations'!IF34="!AMBIG","!AMBIG",IF(COUNTIF('Calculations'!$HE$13:$HE$512,"="&amp;SUBSTITUTE(SUBSTITUTE(SUBSTITUTE('Calculations'!IF34,"~","~~"),"*","~*"),"?","~?"))&gt;1,"!AMBIG",IFERROR(INDEX('Calculations'!$HF$13:$HF$512,MATCH('Calculations'!IF34,'Calculations'!$HE$13:$HE$512,0)),""))))</x:f>
      </x:c>
      <x:c r="IH34" t="str">
        <x:f>IF('Calculations'!IG34="","",IF('Calculations'!IG34="!AMBIG","!AMBIG",IF(COUNTIF('Calculations'!$HE$13:$HE$512,"="&amp;SUBSTITUTE(SUBSTITUTE(SUBSTITUTE('Calculations'!IG34,"~","~~"),"*","~*"),"?","~?"))&gt;1,"!AMBIG",IFERROR(INDEX('Calculations'!$HF$13:$HF$512,MATCH('Calculations'!IG34,'Calculations'!$HE$13:$HE$512,0)),""))))</x:f>
      </x:c>
      <x:c r="II34" t="str">
        <x:f>IF('Calculations'!IH34="","",IF('Calculations'!IH34="!AMBIG","!AMBIG",IF(COUNTIF('Calculations'!$HE$13:$HE$512,"="&amp;SUBSTITUTE(SUBSTITUTE(SUBSTITUTE('Calculations'!IH34,"~","~~"),"*","~*"),"?","~?"))&gt;1,"!AMBIG",IFERROR(INDEX('Calculations'!$HF$13:$HF$512,MATCH('Calculations'!IH34,'Calculations'!$HE$13:$HE$512,0)),""))))</x:f>
      </x:c>
      <x:c r="IJ34" t="str">
        <x:f>IF('Calculations'!EM34="","",IF('Calculations'!$EF$2="All",'Calculations'!HM34,IF('Calculations'!HL34=1,"",IFERROR(IF(MATCH('Calculations'!$EF$2,'Calculations'!HO34:II34,0)=1,'Calculations'!HE34,INDEX('Calculations'!HO34:II34,1,MATCH('Calculations'!$EF$2,'Calculations'!HO34:II34,0)-1)),""))))</x:f>
      </x:c>
      <x:c r="IK34" t="n">
        <x:f>IF(AND('Calculations'!EM34&lt;&gt;"",'Calculations'!$EF$2&lt;&gt;"All",'Calculations'!HF34='Calculations'!$EF$2,'Calculations'!HL34=0,'Calculations'!JD34&gt;0),MAX('Calculations'!$IK$12:IK33)+1,0)</x:f>
        <x:v>0</x:v>
      </x:c>
      <x:c r="JA34" t="n">
        <x:f>IF(OR(IFERROR(INDIRECT("'WCM Calibration Final'!$A$34")&lt;&gt;"",FALSE),IFERROR(INDIRECT("'WCM Calibration Final'!$B$34")&lt;&gt;"",FALSE),IFERROR(INDIRECT("'WCM Calibration Final'!$C$34")&lt;&gt;"",FALSE)),34,0)</x:f>
        <x:v>0</x:v>
      </x:c>
      <x:c r="JB34" t="n">
        <x:f>'Calculations'!JB33+IF('Calculations'!JA34&gt;0,1,0)</x:f>
        <x:v>0</x:v>
      </x:c>
      <x:c r="JC34" t="n">
        <x:f>IF(OR('Calculations'!HF34="",'Calculations'!HF34="!AMBIG"),0,IF('Dashboard'!$B$7="All",1,COUNTIFS('Calculations'!$HO$13:$HO$512,"="&amp;SUBSTITUTE(SUBSTITUTE(SUBSTITUTE('Calculations'!HF34,"~","~~"),"*","~*"),"?","~?"),'Calculations'!$HN$13:$HN$512,"="&amp;SUBSTITUTE(SUBSTITUTE(SUBSTITUTE('Dashboard'!$B$7,"~","~~"),"*","~*"),"?","~?"))+COUNTIFS('Calculations'!$HP$13:$HP$512,"="&amp;SUBSTITUTE(SUBSTITUTE(SUBSTITUTE('Calculations'!HF34,"~","~~"),"*","~*"),"?","~?"),'Calculations'!$HN$13:$HN$512,"="&amp;SUBSTITUTE(SUBSTITUTE(SUBSTITUTE('Dashboard'!$B$7,"~","~~"),"*","~*"),"?","~?"))+COUNTIFS('Calculations'!$HQ$13:$HQ$512,"="&amp;SUBSTITUTE(SUBSTITUTE(SUBSTITUTE('Calculations'!HF34,"~","~~"),"*","~*"),"?","~?"),'Calculations'!$HN$13:$HN$512,"="&amp;SUBSTITUTE(SUBSTITUTE(SUBSTITUTE('Dashboard'!$B$7,"~","~~"),"*","~*"),"?","~?"))+COUNTIFS('Calculations'!$HR$13:$HR$512,"="&amp;SUBSTITUTE(SUBSTITUTE(SUBSTITUTE('Calculations'!HF34,"~","~~"),"*","~*"),"?","~?"),'Calculations'!$HN$13:$HN$512,"="&amp;SUBSTITUTE(SUBSTITUTE(SUBSTITUTE('Dashboard'!$B$7,"~","~~"),"*","~*"),"?","~?"))+COUNTIFS('Calculations'!$HS$13:$HS$512,"="&amp;SUBSTITUTE(SUBSTITUTE(SUBSTITUTE('Calculations'!HF34,"~","~~"),"*","~*"),"?","~?"),'Calculations'!$HN$13:$HN$512,"="&amp;SUBSTITUTE(SUBSTITUTE(SUBSTITUTE('Dashboard'!$B$7,"~","~~"),"*","~*"),"?","~?"))+COUNTIFS('Calculations'!$HT$13:$HT$512,"="&amp;SUBSTITUTE(SUBSTITUTE(SUBSTITUTE('Calculations'!HF34,"~","~~"),"*","~*"),"?","~?"),'Calculations'!$HN$13:$HN$512,"="&amp;SUBSTITUTE(SUBSTITUTE(SUBSTITUTE('Dashboard'!$B$7,"~","~~"),"*","~*"),"?","~?"))+COUNTIFS('Calculations'!$HU$13:$HU$512,"="&amp;SUBSTITUTE(SUBSTITUTE(SUBSTITUTE('Calculations'!HF34,"~","~~"),"*","~*"),"?","~?"),'Calculations'!$HN$13:$HN$512,"="&amp;SUBSTITUTE(SUBSTITUTE(SUBSTITUTE('Dashboard'!$B$7,"~","~~"),"*","~*"),"?","~?"))+COUNTIFS('Calculations'!$HV$13:$HV$512,"="&amp;SUBSTITUTE(SUBSTITUTE(SUBSTITUTE('Calculations'!HF34,"~","~~"),"*","~*"),"?","~?"),'Calculations'!$HN$13:$HN$512,"="&amp;SUBSTITUTE(SUBSTITUTE(SUBSTITUTE('Dashboard'!$B$7,"~","~~"),"*","~*"),"?","~?"))+COUNTIFS('Calculations'!$HW$13:$HW$512,"="&amp;SUBSTITUTE(SUBSTITUTE(SUBSTITUTE('Calculations'!HF34,"~","~~"),"*","~*"),"?","~?"),'Calculations'!$HN$13:$HN$512,"="&amp;SUBSTITUTE(SUBSTITUTE(SUBSTITUTE('Dashboard'!$B$7,"~","~~"),"*","~*"),"?","~?"))+COUNTIFS('Calculations'!$HX$13:$HX$512,"="&amp;SUBSTITUTE(SUBSTITUTE(SUBSTITUTE('Calculations'!HF34,"~","~~"),"*","~*"),"?","~?"),'Calculations'!$HN$13:$HN$512,"="&amp;SUBSTITUTE(SUBSTITUTE(SUBSTITUTE('Dashboard'!$B$7,"~","~~"),"*","~*"),"?","~?"))+COUNTIFS('Calculations'!$HY$13:$HY$512,"="&amp;SUBSTITUTE(SUBSTITUTE(SUBSTITUTE('Calculations'!HF34,"~","~~"),"*","~*"),"?","~?"),'Calculations'!$HN$13:$HN$512,"="&amp;SUBSTITUTE(SUBSTITUTE(SUBSTITUTE('Dashboard'!$B$7,"~","~~"),"*","~*"),"?","~?"))+COUNTIFS('Calculations'!$HZ$13:$HZ$512,"="&amp;SUBSTITUTE(SUBSTITUTE(SUBSTITUTE('Calculations'!HF34,"~","~~"),"*","~*"),"?","~?"),'Calculations'!$HN$13:$HN$512,"="&amp;SUBSTITUTE(SUBSTITUTE(SUBSTITUTE('Dashboard'!$B$7,"~","~~"),"*","~*"),"?","~?"))+COUNTIFS('Calculations'!$IA$13:$IA$512,"="&amp;SUBSTITUTE(SUBSTITUTE(SUBSTITUTE('Calculations'!HF34,"~","~~"),"*","~*"),"?","~?"),'Calculations'!$HN$13:$HN$512,"="&amp;SUBSTITUTE(SUBSTITUTE(SUBSTITUTE('Dashboard'!$B$7,"~","~~"),"*","~*"),"?","~?"))+COUNTIFS('Calculations'!$IB$13:$IB$512,"="&amp;SUBSTITUTE(SUBSTITUTE(SUBSTITUTE('Calculations'!HF34,"~","~~"),"*","~*"),"?","~?"),'Calculations'!$HN$13:$HN$512,"="&amp;SUBSTITUTE(SUBSTITUTE(SUBSTITUTE('Dashboard'!$B$7,"~","~~"),"*","~*"),"?","~?"))+COUNTIFS('Calculations'!$IC$13:$IC$512,"="&amp;SUBSTITUTE(SUBSTITUTE(SUBSTITUTE('Calculations'!HF34,"~","~~"),"*","~*"),"?","~?"),'Calculations'!$HN$13:$HN$512,"="&amp;SUBSTITUTE(SUBSTITUTE(SUBSTITUTE('Dashboard'!$B$7,"~","~~"),"*","~*"),"?","~?"))+COUNTIFS('Calculations'!$ID$13:$ID$512,"="&amp;SUBSTITUTE(SUBSTITUTE(SUBSTITUTE('Calculations'!HF34,"~","~~"),"*","~*"),"?","~?"),'Calculations'!$HN$13:$HN$512,"="&amp;SUBSTITUTE(SUBSTITUTE(SUBSTITUTE('Dashboard'!$B$7,"~","~~"),"*","~*"),"?","~?"))+COUNTIFS('Calculations'!$IE$13:$IE$512,"="&amp;SUBSTITUTE(SUBSTITUTE(SUBSTITUTE('Calculations'!HF34,"~","~~"),"*","~*"),"?","~?"),'Calculations'!$HN$13:$HN$512,"="&amp;SUBSTITUTE(SUBSTITUTE(SUBSTITUTE('Dashboard'!$B$7,"~","~~"),"*","~*"),"?","~?"))+COUNTIFS('Calculations'!$IF$13:$IF$512,"="&amp;SUBSTITUTE(SUBSTITUTE(SUBSTITUTE('Calculations'!HF34,"~","~~"),"*","~*"),"?","~?"),'Calculations'!$HN$13:$HN$512,"="&amp;SUBSTITUTE(SUBSTITUTE(SUBSTITUTE('Dashboard'!$B$7,"~","~~"),"*","~*"),"?","~?"))+COUNTIFS('Calculations'!$IG$13:$IG$512,"="&amp;SUBSTITUTE(SUBSTITUTE(SUBSTITUTE('Calculations'!HF34,"~","~~"),"*","~*"),"?","~?"),'Calculations'!$HN$13:$HN$512,"="&amp;SUBSTITUTE(SUBSTITUTE(SUBSTITUTE('Dashboard'!$B$7,"~","~~"),"*","~*"),"?","~?"))+COUNTIFS('Calculations'!$IH$13:$IH$512,"="&amp;SUBSTITUTE(SUBSTITUTE(SUBSTITUTE('Calculations'!HF34,"~","~~"),"*","~*"),"?","~?"),'Calculations'!$HN$13:$HN$512,"="&amp;SUBSTITUTE(SUBSTITUTE(SUBSTITUTE('Dashboard'!$B$7,"~","~~"),"*","~*"),"?","~?"))))</x:f>
        <x:v>0</x:v>
      </x:c>
      <x:c r="JD34" t="n">
        <x:f>IF('Calculations'!EM34="",0,IF('Dashboard'!$B$7="All",1,IF('Calculations'!HN34='Dashboard'!$B$7,1,0)+IFERROR(INDEX('Calculations'!$JC$13:$JC$512,MATCH('Calculations'!HE34,'Calculations'!$HF$13:$HF$512,0)),0)))</x:f>
        <x:v>0</x:v>
      </x:c>
      <x:c r="JE34" t="n">
        <x:f>IF(AND('Calculations'!EM34&lt;&gt;"",'Calculations'!$JJ$2&lt;&gt;"All",'Calculations'!$JJ$2&lt;&gt;"",'Calculations'!HF34='Calculations'!$JJ$2,'Calculations'!HL34=0,'Calculations'!JD34&gt;0),MAX('Calculations'!$JE$12:JE33)+1,0)</x:f>
        <x:v>0</x:v>
      </x:c>
      <x:c r="JF34" t="str">
        <x:f>IF('Calculations'!EM34="","",IFERROR(IF(INDEX(INDIRECT("'WCM Calibration Final'!$G$1:$G$2000"),'Calculations'!$EM34)="","",TRIM(INDEX(INDIRECT("'WCM Calibration Final'!$G$1:$G$2000"),'Calculations'!$EM34)&amp;"")),""))</x:f>
      </x:c>
      <x:c r="JQ34" t="n">
        <x:f>IF(OR('Calculations'!BM34=0,NOT('Calculations'!$AG$2),'Calculations'!$AG$8&gt;0),0,IF(OR('Dashboard'!$B$7="All",'Calculations'!HN34='Dashboard'!$B$7),IF('Calculations'!$JJ$2="All",1,IF(AND('Calculations'!HF34='Calculations'!$JJ$2,'Calculations'!HL34=0),1,0)),0))</x:f>
        <x:v>0</x:v>
      </x:c>
    </x:row>
    <x:row r="35">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t="n">
        <x:f>IF('Calculations'!$EM35="",0,IF(OR(IFERROR(INDEX(INDIRECT("'WCM Calibration Final'!$A$1:$A$2000"),'Calculations'!$EM35)&lt;&gt;"",FALSE),IFERROR(INDEX(INDIRECT("'WCM Calibration Final'!$B$1:$B$2000"),'Calculations'!$EM35)&lt;&gt;"",FALSE),IFERROR(INDEX(INDIRECT("'WCM Calibration Final'!$C$1:$C$2000"),'Calculations'!$EM35)&lt;&gt;"",FALSE)),1,0))</x:f>
        <x:v>0</x:v>
      </x:c>
      <x:c r="BN35" s="4" t="n">
        <x:f>IF(AND('Calculations'!BM35=1,'Calculations'!$AG$2,'Calculations'!$EN35=1),1,0)</x:f>
        <x:v>0</x:v>
      </x:c>
      <x:c r="BO35" s="4" t="str">
        <x:f>IF('Calculations'!BM35=0,"",IFERROR(IF(AND(VALUE(INDEX(INDIRECT("'WCM Calibration Final'!$K$1:$K$2000"),'Calculations'!$EM35))&gt;=1,VALUE(INDEX(INDIRECT("'WCM Calibration Final'!$K$1:$K$2000"),'Calculations'!$EM35))&lt;=4,MOD(VALUE(INDEX(INDIRECT("'WCM Calibration Final'!$K$1:$K$2000"),'Calculations'!$EM35)),1)=0),VALUE(INDEX(INDIRECT("'WCM Calibration Final'!$K$1:$K$2000"),'Calculations'!$EM35)),""),""))</x:f>
      </x:c>
      <x:c r="BP35" s="4" t="str">
        <x:f>IF('Calculations'!BM35=0,"",IFERROR(IF(AND(VALUE(INDEX(INDIRECT("'WCM Calibration Final'!$L$1:$L$2000"),'Calculations'!$EM35))&gt;=1,VALUE(INDEX(INDIRECT("'WCM Calibration Final'!$L$1:$L$2000"),'Calculations'!$EM35))&lt;=4,MOD(VALUE(INDEX(INDIRECT("'WCM Calibration Final'!$L$1:$L$2000"),'Calculations'!$EM35)),1)=0),VALUE(INDEX(INDIRECT("'WCM Calibration Final'!$L$1:$L$2000"),'Calculations'!$EM35)),""),""))</x:f>
      </x:c>
      <x:c r="BQ35" s="4"/>
      <x:c r="BR35" s="4"/>
      <x:c r="BS35" s="4"/>
      <x:c r="BT35" s="4" t="n">
        <x:f>IF(AND('Calculations'!BM35=1,ISNUMBER('Calculations'!BO35),ISNUMBER('Calculations'!BP35)),1,0)</x:f>
        <x:v>0</x:v>
      </x:c>
      <x:c r="BU35" s="4" t="str">
        <x:f>IF('Calculations'!BM35=0,"",'Calculations'!$EO35)</x:f>
      </x:c>
      <x:c r="BV35" s="4" t="str">
        <x:f>IF('Calculations'!BM35=0,"",IFERROR(IF(OR(INDEX(INDIRECT("'WCM Calibration Final'!$H$1:$H$2000"),'Calculations'!$EM35)="MANAGING DIRECTOR",INDEX(INDIRECT("'WCM Calibration Final'!$H$1:$H$2000"),'Calculations'!$EM35)="DIRECTOR",INDEX(INDIRECT("'WCM Calibration Final'!$H$1:$H$2000"),'Calculations'!$EM35)="SENIOR VICE PRESIDENT",INDEX(INDIRECT("'WCM Calibration Final'!$H$1:$H$2000"),'Calculations'!$EM35)="VICE PRESIDENT",INDEX(INDIRECT("'WCM Calibration Final'!$H$1:$H$2000"),'Calculations'!$EM35)="ASSISTANT VICE PRESIDENT",INDEX(INDIRECT("'WCM Calibration Final'!$H$1:$H$2000"),'Calculations'!$EM35)="OFFICER"),UPPER(INDEX(INDIRECT("'WCM Calibration Final'!$H$1:$H$2000"),'Calculations'!$EM35)),"Other"),"Other"))</x:f>
      </x:c>
      <x:c r="BW35" s="4"/>
      <x:c r="BX35" s="4"/>
      <x:c r="BY35" s="4" t="n">
        <x:f>IF(AND('Calculations'!BM35=1,'Calculations'!BU35&lt;&gt;"",COUNTIF('Calculations'!$BU$12:BU35,'Calculations'!BU35)=1),MAX('Calculations'!$BY$11:BY34)+1,0)</x:f>
        <x:v>0</x:v>
      </x:c>
      <x:c r="BZ35" s="4" t="str">
        <x:f>IF('Dashboard'!$E$67="What",'Calculations'!BO35,'Calculations'!BP35)</x:f>
      </x:c>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t="str">
        <x:f>IF(24&gt;MAX('Calculations'!$HI$13:$HI$512),"",INDEX('Calculations'!$HN$13:$HN$512,MATCH(24,'Calculations'!$HI$13:$HI$512,0)))</x:f>
      </x:c>
      <x:c r="DB35" s="4" t="str">
        <x:f>IF(24&gt;MAX('Calculations'!$HH$13:$HH$512),"",INDEX('Calculations'!$HJ$13:$HJ$512,MATCH(24,'Calculations'!$HH$13:$HH$512,0)))</x:f>
      </x:c>
      <x:c r="DC35" s="4" t="str">
        <x:f>IF(ROW()-11&gt;MAX('Calculations'!$BY$13:$BY$512),"",INDEX('Calculations'!$BU$13:$BU$512,MATCH(ROW()-11,'Calculations'!$BY$13:$BY$512,0)))</x:f>
      </x:c>
      <x:c r="DD35" s="4" t="str">
        <x:f>IF(24&gt;MAX('Calculations'!$IK$13:$IK$512),"",INDEX('Calculations'!$HK$13:$HK$512,MATCH(24,'Calculations'!$IK$13:$IK$512,0)))</x:f>
      </x:c>
      <x:c r="DE35" s="4" t="str">
        <x:f>'Calculations'!DC35</x:f>
      </x:c>
      <x:c r="DF35" s="4" t="str">
        <x:f>IF('Calculations'!DE35="","",COUNTIFS('Calculations'!$BN$13:$BN$512,1,'Calculations'!$BU$13:$BU$512,'Calculations'!DE35))</x:f>
      </x:c>
      <x:c r="DG35" s="4" t="str">
        <x:f>IF('Calculations'!DE35="","",COUNTIFS('Calculations'!$BN$13:$BN$512,1,'Calculations'!$BU$13:$BU$512,'Calculations'!DE35,'Calculations'!$BT$13:$BT$512,1))</x:f>
      </x:c>
      <x:c r="DH35" s="4" t="str">
        <x:f>IF('Calculations'!DE35="","",'Calculations'!DF35-'Calculations'!DG35)</x:f>
      </x:c>
      <x:c r="DI35" s="4" t="str">
        <x:f>IF(OR('Calculations'!DE35="",'Calculations'!DF35=0),"",'Calculations'!DG35/'Calculations'!DF35)</x:f>
      </x:c>
      <x:c r="DJ35" s="4" t="str">
        <x:f>IF('Calculations'!DE35="","",COUNTIFS('Calculations'!$BN$13:$BN$512,1,'Calculations'!$BU$13:$BU$512,'Calculations'!DE35,'Calculations'!$BT$13:$BT$512,1,'Calculations'!$EE$13:$EE$512,"High"))</x:f>
      </x:c>
      <x:c r="DK35" s="4" t="str">
        <x:f>IF('Calculations'!DE35="","",COUNTIFS('Calculations'!$BN$13:$BN$512,1,'Calculations'!$BU$13:$BU$512,'Calculations'!DE35,'Calculations'!$BT$13:$BT$512,1,'Calculations'!$EE$13:$EE$512,"Strong"))</x:f>
      </x:c>
      <x:c r="DL35" s="4" t="str">
        <x:f>IF('Calculations'!DE35="","",COUNTIFS('Calculations'!$BN$13:$BN$512,1,'Calculations'!$BU$13:$BU$512,'Calculations'!DE35,'Calculations'!$BT$13:$BT$512,1,'Calculations'!$EE$13:$EE$512,"Solid"))</x:f>
      </x:c>
      <x:c r="DM35" s="4" t="str">
        <x:f>IF('Calculations'!DE35="","",COUNTIFS('Calculations'!$BN$13:$BN$512,1,'Calculations'!$BU$13:$BU$512,'Calculations'!DE35,'Calculations'!$BT$13:$BT$512,1,'Calculations'!$EE$13:$EE$512,"Low"))</x:f>
      </x:c>
      <x:c r="DN35" s="4" t="str">
        <x:f>IF('Calculations'!DE35="","",COUNTIFS('Calculations'!$BN$13:$BN$512,1,'Calculations'!$BU$13:$BU$512,'Calculations'!DE35,'Calculations'!$EP$13:$EP$512,1))</x:f>
      </x:c>
      <x:c r="DO35" s="4" t="str">
        <x:f>IF(OR('Calculations'!DE35="",'Calculations'!DG35=0),"",('Calculations'!DJ35+'Calculations'!DK35)/'Calculations'!DG35)</x:f>
      </x:c>
      <x:c r="DP35" s="4" t="n">
        <x:f>IF(AND('Calculations'!DE35&lt;&gt;"",'Calculations'!DF35&gt;0),COUNTIF('Calculations'!$DF$12:DF35,"&gt;0"),0)</x:f>
        <x:v>0</x:v>
      </x:c>
      <x:c r="DQ35" s="4" t="str">
        <x:f>IF(24&gt;MAX('Calculations'!$HH$13:$HH$512),"",INDEX('Calculations'!$HF$13:$HF$512,MATCH(24,'Calculations'!$HH$13:$HH$512,0)))</x:f>
      </x:c>
      <x:c r="DR35" s="4" t="str">
        <x:f>IF(24&gt;MAX('Calculations'!$IK$13:$IK$512),"",INDEX('Calculations'!$HE$13:$HE$512,MATCH(24,'Calculations'!$IK$13:$IK$512,0)))</x:f>
      </x:c>
      <x:c r="DS35" s="4"/>
      <x:c r="DT35" s="4"/>
      <x:c r="DU35" s="4"/>
      <x:c r="DV35" s="4"/>
      <x:c r="DW35" s="4"/>
      <x:c r="DX35" s="4"/>
      <x:c r="DY35" s="4"/>
      <x:c r="DZ35" s="4"/>
      <x:c r="EA35" s="4"/>
      <x:c r="EB35" s="4"/>
      <x:c r="EC35" s="4"/>
      <x:c r="ED35" s="4"/>
      <x:c r="EE35" s="4" t="str">
        <x:f>IF('Calculations'!BT35=0,"Not Rated",IF(OR('Calculations'!BO35&gt;=4,'Calculations'!BP35&gt;=4),"Low",IF('Calculations'!BO35+'Calculations'!BP35&lt;=3,"High",IF('Calculations'!BO35+'Calculations'!BP35&lt;=4,"Strong","Solid"))))</x:f>
        <x:v>Not Rated</x:v>
      </x:c>
      <x:c r="EF35" s="4"/>
      <x:c r="EG35" s="4"/>
      <x:c r="EH35" s="4"/>
      <x:c r="EI35" s="4"/>
      <x:c r="EJ35" s="4"/>
      <x:c r="EK35" s="4"/>
      <x:c r="EL35" s="4"/>
      <x:c r="EM35" s="4" t="str">
        <x:f>IF(23&gt;'Calculations'!$JB$2000,"",INDEX('Calculations'!$JA$12:$JA$2000,MATCH(23,'Calculations'!$JB$12:$JB$2000,0)))</x:f>
      </x:c>
      <x:c r="EN35" s="4" t="n">
        <x:f>IF(OR('Calculations'!EM35="",'Calculations'!$AG$8&gt;0,AND('Calculations'!$EF$2&lt;&gt;"All",'Calculations'!HE35='Calculations'!$EF$2),AND('Calculations'!$EF$3&lt;&gt;"All",'Calculations'!HE35='Calculations'!$EF$3)),0,IF(OR('Dashboard'!$B$7="All",'Calculations'!HN35='Dashboard'!$B$7),IF('Calculations'!$EF$2="All",1,IF('Calculations'!HL35&gt;0,0,IF(COUNTIF('Calculations'!HO35:II35,"="&amp;SUBSTITUTE(SUBSTITUTE(SUBSTITUTE('Calculations'!$EF$2,"~","~~"),"*","~*"),"?","~?"))=0,0,IF('Calculations'!$EF$3="All",1,IF(COUNTIF('Calculations'!HO35:II35,"="&amp;SUBSTITUTE(SUBSTITUTE(SUBSTITUTE('Calculations'!$EF$3,"~","~~"),"*","~*"),"?","~?"))&gt;0,1,0))))),0))</x:f>
        <x:v>0</x:v>
      </x:c>
      <x:c r="EO35" s="4" t="str">
        <x:f>IF('Calculations'!IJ35="","",IF('Calculations'!IJ35="!UNRESOLVED","Unresolved hierarchy",IFERROR(INDEX('Calculations'!$HK$13:$HK$512,MATCH('Calculations'!IJ35,'Calculations'!$HE$13:$HE$512,0)),IFERROR(INDEX('Calculations'!$HJ$13:$HJ$512,MATCH('Calculations'!IJ35,'Calculations'!$HF$13:$HF$512,0)),'Calculations'!IJ35))))</x:f>
      </x:c>
      <x:c r="EP35" s="4" t="n">
        <x:f>IF(AND('Calculations'!EM35&lt;&gt;"",'Calculations'!HF35='Calculations'!IJ35),1,0)</x:f>
        <x:v>0</x:v>
      </x:c>
      <x:c r="EQ35" s="4"/>
      <x:c r="ER35" s="4"/>
      <x:c r="ES35" s="4"/>
      <x:c r="ET35" s="4"/>
      <x:c r="EU35" s="4"/>
      <x:c r="EV35" s="4"/>
      <x:c r="EW35" s="4"/>
      <x:c r="EX35" s="4"/>
      <x:c r="EY35" s="4"/>
      <x:c r="EZ35" s="4"/>
      <x:c r="FA35" s="4"/>
      <x:c r="FB35" s="4"/>
      <x:c r="FC35" s="4"/>
      <x:c r="FD35" s="4"/>
      <x:c r="FE35" s="4"/>
      <x:c r="FF35" s="4"/>
      <x:c r="FG35" s="4"/>
      <x:c r="FH35" s="4"/>
      <x:c r="FI35" s="4"/>
      <x:c r="FJ35" s="4"/>
      <x:c r="FK35" s="4"/>
      <x:c r="FL35" s="4"/>
      <x:c r="FM35" s="4"/>
      <x:c r="FN35" s="4"/>
      <x:c r="FO35" s="4"/>
      <x:c r="GA35" s="71"/>
      <x:c r="GB35" s="71"/>
      <x:c r="GC35" s="71"/>
      <x:c r="GD35" s="71"/>
      <x:c r="GE35" s="71"/>
      <x:c r="GF35" s="71"/>
      <x:c r="GG35" s="71"/>
      <x:c r="GH35" s="71"/>
      <x:c r="GI35" s="71"/>
      <x:c r="GJ35" s="71"/>
      <x:c r="GK35" s="71"/>
      <x:c r="GL35" s="71"/>
      <x:c r="GM35" s="71"/>
      <x:c r="GN35" s="71"/>
      <x:c r="GO35" s="71"/>
      <x:c r="GP35" s="71"/>
      <x:c r="GQ35" s="71"/>
      <x:c r="GR35" s="71"/>
      <x:c r="GS35" s="71"/>
      <x:c r="GT35" s="71"/>
      <x:c r="GU35" s="71"/>
      <x:c r="GV35" s="71"/>
      <x:c r="GW35" s="71"/>
      <x:c r="GX35" s="71"/>
      <x:c r="GY35" s="71"/>
      <x:c r="GZ35" s="71"/>
      <x:c r="HA35" s="71"/>
      <x:c r="HB35" s="71"/>
      <x:c r="HC35" s="71"/>
      <x:c r="HD35" s="71"/>
      <x:c r="HE35" t="str">
        <x:f>IF('Calculations'!EM35="","",IF(IFERROR(IF(INDEX(INDIRECT("'WCM Calibration Final'!$A$1:$A$2000"),'Calculations'!$EM35)="","",TRIM(INDEX(INDIRECT("'WCM Calibration Final'!$A$1:$A$2000"),'Calculations'!$EM35)&amp;"")),"")&lt;&gt;"","G:"&amp;IFERROR(TEXT(1*INDEX(INDIRECT("'WCM Calibration Final'!$A$1:$A$2000"),'Calculations'!$EM35),"0"),UPPER(IFERROR(IF(INDEX(INDIRECT("'WCM Calibration Final'!$A$1:$A$2000"),'Calculations'!$EM35)="","",TRIM(INDEX(INDIRECT("'WCM Calibration Final'!$A$1:$A$2000"),'Calculations'!$EM35)&amp;"")),""))),IF(IFERROR(IF(INDEX(INDIRECT("'WCM Calibration Final'!$C$1:$C$2000"),'Calculations'!$EM35)="","",TRIM(INDEX(INDIRECT("'WCM Calibration Final'!$C$1:$C$2000"),'Calculations'!$EM35)&amp;"")),"")&lt;&gt;"","S:"&amp;UPPER(IFERROR(IF(INDEX(INDIRECT("'WCM Calibration Final'!$C$1:$C$2000"),'Calculations'!$EM35)="","",TRIM(INDEX(INDIRECT("'WCM Calibration Final'!$C$1:$C$2000"),'Calculations'!$EM35)&amp;"")),"")),"R:"&amp;'Calculations'!EM35)))</x:f>
      </x:c>
      <x:c r="HF35" t="str">
        <x:f>IF('Calculations'!EM35="","",IF(IFERROR(IF(INDEX(INDIRECT("'WCM Calibration Final'!$D$1:$D$2000"),'Calculations'!$EM35)="","",TRIM(INDEX(INDIRECT("'WCM Calibration Final'!$D$1:$D$2000"),'Calculations'!$EM35)&amp;"")),"")&lt;&gt;"","G:"&amp;IFERROR(TEXT(1*INDEX(INDIRECT("'WCM Calibration Final'!$D$1:$D$2000"),'Calculations'!$EM35),"0"),UPPER(IFERROR(IF(INDEX(INDIRECT("'WCM Calibration Final'!$D$1:$D$2000"),'Calculations'!$EM35)="","",TRIM(INDEX(INDIRECT("'WCM Calibration Final'!$D$1:$D$2000"),'Calculations'!$EM35)&amp;"")),""))),IF(IFERROR(IF(INDEX(INDIRECT("'WCM Calibration Final'!$E$1:$E$2000"),'Calculations'!$EM35)="","",TRIM(INDEX(INDIRECT("'WCM Calibration Final'!$E$1:$E$2000"),'Calculations'!$EM35)&amp;"")),"")="","",IF(COUNTIF('Calculations'!$HG$13:$HG$512,"="&amp;SUBSTITUTE(SUBSTITUTE(SUBSTITUTE(IFERROR(IF(INDEX(INDIRECT("'WCM Calibration Final'!$E$1:$E$2000"),'Calculations'!$EM35)="","",TRIM(INDEX(INDIRECT("'WCM Calibration Final'!$E$1:$E$2000"),'Calculations'!$EM35)&amp;"")),""),"~","~~"),"*","~*"),"?","~?"))=1,INDEX('Calculations'!$HE$13:$HE$512,MATCH(IFERROR(IF(INDEX(INDIRECT("'WCM Calibration Final'!$E$1:$E$2000"),'Calculations'!$EM35)="","",TRIM(INDEX(INDIRECT("'WCM Calibration Final'!$E$1:$E$2000"),'Calculations'!$EM35)&amp;"")),""),'Calculations'!$HG$13:$HG$512,0)),IF(COUNTIF('Calculations'!$HG$13:$HG$512,"="&amp;SUBSTITUTE(SUBSTITUTE(SUBSTITUTE(IFERROR(IF(INDEX(INDIRECT("'WCM Calibration Final'!$E$1:$E$2000"),'Calculations'!$EM35)="","",TRIM(INDEX(INDIRECT("'WCM Calibration Final'!$E$1:$E$2000"),'Calculations'!$EM35)&amp;"")),""),"~","~~"),"*","~*"),"?","~?"))&gt;1,"!AMBIG","X:"&amp;IFERROR(IF(INDEX(INDIRECT("'WCM Calibration Final'!$E$1:$E$2000"),'Calculations'!$EM35)="","",TRIM(INDEX(INDIRECT("'WCM Calibration Final'!$E$1:$E$2000"),'Calculations'!$EM35)&amp;"")),""))))))</x:f>
      </x:c>
      <x:c r="HG35" t="str">
        <x:f>IF('Calculations'!EM35="","",IFERROR(IF(INDEX(INDIRECT("'WCM Calibration Final'!$B$1:$B$2000"),'Calculations'!$EM35)="","",TRIM(INDEX(INDIRECT("'WCM Calibration Final'!$B$1:$B$2000"),'Calculations'!$EM35)&amp;"")),""))</x:f>
      </x:c>
      <x:c r="HH35" t="n">
        <x:f>IF(AND('Calculations'!JC35&gt;0,COUNTIF('Calculations'!$HF$12:HF35,"="&amp;SUBSTITUTE(SUBSTITUTE(SUBSTITUTE('Calculations'!HF35,"~","~~"),"*","~*"),"?","~?"))=1),MAX('Calculations'!$HH$12:HH34)+1,0)</x:f>
        <x:v>0</x:v>
      </x:c>
      <x:c r="HI35" t="n">
        <x:f>IF(AND('Calculations'!HN35&lt;&gt;"",COUNTIF('Calculations'!$HN$12:HN35,"="&amp;SUBSTITUTE(SUBSTITUTE(SUBSTITUTE('Calculations'!HN35,"~","~~"),"*","~*"),"?","~?"))=1),MAX('Calculations'!$HI$12:HI34)+1,0)</x:f>
        <x:v>0</x:v>
      </x:c>
      <x:c r="HJ35" t="str">
        <x:f>IF('Calculations'!HF35="","",IF(COUNTIF('Calculations'!$HE$13:$HE$512,"="&amp;SUBSTITUTE(SUBSTITUTE(SUBSTITUTE('Calculations'!HF35,"~","~~"),"*","~*"),"?","~?"))=1,INDEX('Calculations'!$HK$13:$HK$512,MATCH('Calculations'!HF35,'Calculations'!$HE$13:$HE$512,0)),IFERROR(IF(INDEX(INDIRECT("'WCM Calibration Final'!$E$1:$E$2000"),'Calculations'!$EM35)="","",TRIM(INDEX(INDIRECT("'WCM Calibration Final'!$E$1:$E$2000"),'Calculations'!$EM35)&amp;"")),"")&amp;" ["&amp;'Calculations'!HF35&amp;"]"))</x:f>
      </x:c>
      <x:c r="HK35" t="str">
        <x:f>IF('Calculations'!EM35="","",'Calculations'!HG35&amp;" ["&amp;'Calculations'!HE35&amp;"]")</x:f>
      </x:c>
      <x:c r="HL35" t="n">
        <x:f>IF('Calculations'!EM35="",0,IF(OR('Calculations'!II35&lt;&gt;"",COUNTIF('Calculations'!$HE$13:$HE$512,"="&amp;SUBSTITUTE(SUBSTITUTE(SUBSTITUTE('Calculations'!HE35,"~","~~"),"*","~*"),"?","~?"))&gt;1),1,0))</x:f>
        <x:v>0</x:v>
      </x:c>
      <x:c r="HM35" t="str">
        <x:f>IF('Calculations'!EM35="","",IF('Calculations'!HL35=1,"!UNRESOLVED",IF('Calculations'!IH35&lt;&gt;"",'Calculations'!IH35,IF('Calculations'!IG35&lt;&gt;"",'Calculations'!IG35,IF('Calculations'!IF35&lt;&gt;"",'Calculations'!IF35,IF('Calculations'!IE35&lt;&gt;"",'Calculations'!IE35,IF('Calculations'!ID35&lt;&gt;"",'Calculations'!ID35,IF('Calculations'!IC35&lt;&gt;"",'Calculations'!IC35,IF('Calculations'!IB35&lt;&gt;"",'Calculations'!IB35,IF('Calculations'!IA35&lt;&gt;"",'Calculations'!IA35,IF('Calculations'!HZ35&lt;&gt;"",'Calculations'!HZ35,IF('Calculations'!HY35&lt;&gt;"",'Calculations'!HY35,IF('Calculations'!HX35&lt;&gt;"",'Calculations'!HX35,IF('Calculations'!HW35&lt;&gt;"",'Calculations'!HW35,IF('Calculations'!HV35&lt;&gt;"",'Calculations'!HV35,IF('Calculations'!HU35&lt;&gt;"",'Calculations'!HU35,IF('Calculations'!HT35&lt;&gt;"",'Calculations'!HT35,IF('Calculations'!HS35&lt;&gt;"",'Calculations'!HS35,IF('Calculations'!HR35&lt;&gt;"",'Calculations'!HR35,IF('Calculations'!HQ35&lt;&gt;"",'Calculations'!HQ35,IF('Calculations'!HP35&lt;&gt;"",'Calculations'!HP35,IF('Calculations'!HO35&lt;&gt;"",'Calculations'!HO35,'Calculations'!HE35))))))))))))))))))))))</x:f>
      </x:c>
      <x:c r="HN35" t="str">
        <x:f>IF('Calculations'!EM35="","",IF(IFERROR(IF(INDEX(INDIRECT("'WCM Calibration Final'!$F$1:$F$2000"),'Calculations'!$EM35)="","",TRIM(INDEX(INDIRECT("'WCM Calibration Final'!$F$1:$F$2000"),'Calculations'!$EM35)&amp;"")),"")="","(Blank)",IFERROR(IF(INDEX(INDIRECT("'WCM Calibration Final'!$F$1:$F$2000"),'Calculations'!$EM35)="","",TRIM(INDEX(INDIRECT("'WCM Calibration Final'!$F$1:$F$2000"),'Calculations'!$EM35)&amp;"")),"")))</x:f>
      </x:c>
      <x:c r="HO35" t="str">
        <x:f>'Calculations'!HF35</x:f>
      </x:c>
      <x:c r="HP35" t="str">
        <x:f>IF('Calculations'!HO35="","",IF('Calculations'!HO35="!AMBIG","!AMBIG",IF(COUNTIF('Calculations'!$HE$13:$HE$512,"="&amp;SUBSTITUTE(SUBSTITUTE(SUBSTITUTE('Calculations'!HO35,"~","~~"),"*","~*"),"?","~?"))&gt;1,"!AMBIG",IFERROR(INDEX('Calculations'!$HF$13:$HF$512,MATCH('Calculations'!HO35,'Calculations'!$HE$13:$HE$512,0)),""))))</x:f>
      </x:c>
      <x:c r="HQ35" t="str">
        <x:f>IF('Calculations'!HP35="","",IF('Calculations'!HP35="!AMBIG","!AMBIG",IF(COUNTIF('Calculations'!$HE$13:$HE$512,"="&amp;SUBSTITUTE(SUBSTITUTE(SUBSTITUTE('Calculations'!HP35,"~","~~"),"*","~*"),"?","~?"))&gt;1,"!AMBIG",IFERROR(INDEX('Calculations'!$HF$13:$HF$512,MATCH('Calculations'!HP35,'Calculations'!$HE$13:$HE$512,0)),""))))</x:f>
      </x:c>
      <x:c r="HR35" t="str">
        <x:f>IF('Calculations'!HQ35="","",IF('Calculations'!HQ35="!AMBIG","!AMBIG",IF(COUNTIF('Calculations'!$HE$13:$HE$512,"="&amp;SUBSTITUTE(SUBSTITUTE(SUBSTITUTE('Calculations'!HQ35,"~","~~"),"*","~*"),"?","~?"))&gt;1,"!AMBIG",IFERROR(INDEX('Calculations'!$HF$13:$HF$512,MATCH('Calculations'!HQ35,'Calculations'!$HE$13:$HE$512,0)),""))))</x:f>
      </x:c>
      <x:c r="HS35" t="str">
        <x:f>IF('Calculations'!HR35="","",IF('Calculations'!HR35="!AMBIG","!AMBIG",IF(COUNTIF('Calculations'!$HE$13:$HE$512,"="&amp;SUBSTITUTE(SUBSTITUTE(SUBSTITUTE('Calculations'!HR35,"~","~~"),"*","~*"),"?","~?"))&gt;1,"!AMBIG",IFERROR(INDEX('Calculations'!$HF$13:$HF$512,MATCH('Calculations'!HR35,'Calculations'!$HE$13:$HE$512,0)),""))))</x:f>
      </x:c>
      <x:c r="HT35" t="str">
        <x:f>IF('Calculations'!HS35="","",IF('Calculations'!HS35="!AMBIG","!AMBIG",IF(COUNTIF('Calculations'!$HE$13:$HE$512,"="&amp;SUBSTITUTE(SUBSTITUTE(SUBSTITUTE('Calculations'!HS35,"~","~~"),"*","~*"),"?","~?"))&gt;1,"!AMBIG",IFERROR(INDEX('Calculations'!$HF$13:$HF$512,MATCH('Calculations'!HS35,'Calculations'!$HE$13:$HE$512,0)),""))))</x:f>
      </x:c>
      <x:c r="HU35" t="str">
        <x:f>IF('Calculations'!HT35="","",IF('Calculations'!HT35="!AMBIG","!AMBIG",IF(COUNTIF('Calculations'!$HE$13:$HE$512,"="&amp;SUBSTITUTE(SUBSTITUTE(SUBSTITUTE('Calculations'!HT35,"~","~~"),"*","~*"),"?","~?"))&gt;1,"!AMBIG",IFERROR(INDEX('Calculations'!$HF$13:$HF$512,MATCH('Calculations'!HT35,'Calculations'!$HE$13:$HE$512,0)),""))))</x:f>
      </x:c>
      <x:c r="HV35" t="str">
        <x:f>IF('Calculations'!HU35="","",IF('Calculations'!HU35="!AMBIG","!AMBIG",IF(COUNTIF('Calculations'!$HE$13:$HE$512,"="&amp;SUBSTITUTE(SUBSTITUTE(SUBSTITUTE('Calculations'!HU35,"~","~~"),"*","~*"),"?","~?"))&gt;1,"!AMBIG",IFERROR(INDEX('Calculations'!$HF$13:$HF$512,MATCH('Calculations'!HU35,'Calculations'!$HE$13:$HE$512,0)),""))))</x:f>
      </x:c>
      <x:c r="HW35" t="str">
        <x:f>IF('Calculations'!HV35="","",IF('Calculations'!HV35="!AMBIG","!AMBIG",IF(COUNTIF('Calculations'!$HE$13:$HE$512,"="&amp;SUBSTITUTE(SUBSTITUTE(SUBSTITUTE('Calculations'!HV35,"~","~~"),"*","~*"),"?","~?"))&gt;1,"!AMBIG",IFERROR(INDEX('Calculations'!$HF$13:$HF$512,MATCH('Calculations'!HV35,'Calculations'!$HE$13:$HE$512,0)),""))))</x:f>
      </x:c>
      <x:c r="HX35" t="str">
        <x:f>IF('Calculations'!HW35="","",IF('Calculations'!HW35="!AMBIG","!AMBIG",IF(COUNTIF('Calculations'!$HE$13:$HE$512,"="&amp;SUBSTITUTE(SUBSTITUTE(SUBSTITUTE('Calculations'!HW35,"~","~~"),"*","~*"),"?","~?"))&gt;1,"!AMBIG",IFERROR(INDEX('Calculations'!$HF$13:$HF$512,MATCH('Calculations'!HW35,'Calculations'!$HE$13:$HE$512,0)),""))))</x:f>
      </x:c>
      <x:c r="HY35" t="str">
        <x:f>IF('Calculations'!HX35="","",IF('Calculations'!HX35="!AMBIG","!AMBIG",IF(COUNTIF('Calculations'!$HE$13:$HE$512,"="&amp;SUBSTITUTE(SUBSTITUTE(SUBSTITUTE('Calculations'!HX35,"~","~~"),"*","~*"),"?","~?"))&gt;1,"!AMBIG",IFERROR(INDEX('Calculations'!$HF$13:$HF$512,MATCH('Calculations'!HX35,'Calculations'!$HE$13:$HE$512,0)),""))))</x:f>
      </x:c>
      <x:c r="HZ35" t="str">
        <x:f>IF('Calculations'!HY35="","",IF('Calculations'!HY35="!AMBIG","!AMBIG",IF(COUNTIF('Calculations'!$HE$13:$HE$512,"="&amp;SUBSTITUTE(SUBSTITUTE(SUBSTITUTE('Calculations'!HY35,"~","~~"),"*","~*"),"?","~?"))&gt;1,"!AMBIG",IFERROR(INDEX('Calculations'!$HF$13:$HF$512,MATCH('Calculations'!HY35,'Calculations'!$HE$13:$HE$512,0)),""))))</x:f>
      </x:c>
      <x:c r="IA35" t="str">
        <x:f>IF('Calculations'!HZ35="","",IF('Calculations'!HZ35="!AMBIG","!AMBIG",IF(COUNTIF('Calculations'!$HE$13:$HE$512,"="&amp;SUBSTITUTE(SUBSTITUTE(SUBSTITUTE('Calculations'!HZ35,"~","~~"),"*","~*"),"?","~?"))&gt;1,"!AMBIG",IFERROR(INDEX('Calculations'!$HF$13:$HF$512,MATCH('Calculations'!HZ35,'Calculations'!$HE$13:$HE$512,0)),""))))</x:f>
      </x:c>
      <x:c r="IB35" t="str">
        <x:f>IF('Calculations'!IA35="","",IF('Calculations'!IA35="!AMBIG","!AMBIG",IF(COUNTIF('Calculations'!$HE$13:$HE$512,"="&amp;SUBSTITUTE(SUBSTITUTE(SUBSTITUTE('Calculations'!IA35,"~","~~"),"*","~*"),"?","~?"))&gt;1,"!AMBIG",IFERROR(INDEX('Calculations'!$HF$13:$HF$512,MATCH('Calculations'!IA35,'Calculations'!$HE$13:$HE$512,0)),""))))</x:f>
      </x:c>
      <x:c r="IC35" t="str">
        <x:f>IF('Calculations'!IB35="","",IF('Calculations'!IB35="!AMBIG","!AMBIG",IF(COUNTIF('Calculations'!$HE$13:$HE$512,"="&amp;SUBSTITUTE(SUBSTITUTE(SUBSTITUTE('Calculations'!IB35,"~","~~"),"*","~*"),"?","~?"))&gt;1,"!AMBIG",IFERROR(INDEX('Calculations'!$HF$13:$HF$512,MATCH('Calculations'!IB35,'Calculations'!$HE$13:$HE$512,0)),""))))</x:f>
      </x:c>
      <x:c r="ID35" t="str">
        <x:f>IF('Calculations'!IC35="","",IF('Calculations'!IC35="!AMBIG","!AMBIG",IF(COUNTIF('Calculations'!$HE$13:$HE$512,"="&amp;SUBSTITUTE(SUBSTITUTE(SUBSTITUTE('Calculations'!IC35,"~","~~"),"*","~*"),"?","~?"))&gt;1,"!AMBIG",IFERROR(INDEX('Calculations'!$HF$13:$HF$512,MATCH('Calculations'!IC35,'Calculations'!$HE$13:$HE$512,0)),""))))</x:f>
      </x:c>
      <x:c r="IE35" t="str">
        <x:f>IF('Calculations'!ID35="","",IF('Calculations'!ID35="!AMBIG","!AMBIG",IF(COUNTIF('Calculations'!$HE$13:$HE$512,"="&amp;SUBSTITUTE(SUBSTITUTE(SUBSTITUTE('Calculations'!ID35,"~","~~"),"*","~*"),"?","~?"))&gt;1,"!AMBIG",IFERROR(INDEX('Calculations'!$HF$13:$HF$512,MATCH('Calculations'!ID35,'Calculations'!$HE$13:$HE$512,0)),""))))</x:f>
      </x:c>
      <x:c r="IF35" t="str">
        <x:f>IF('Calculations'!IE35="","",IF('Calculations'!IE35="!AMBIG","!AMBIG",IF(COUNTIF('Calculations'!$HE$13:$HE$512,"="&amp;SUBSTITUTE(SUBSTITUTE(SUBSTITUTE('Calculations'!IE35,"~","~~"),"*","~*"),"?","~?"))&gt;1,"!AMBIG",IFERROR(INDEX('Calculations'!$HF$13:$HF$512,MATCH('Calculations'!IE35,'Calculations'!$HE$13:$HE$512,0)),""))))</x:f>
      </x:c>
      <x:c r="IG35" t="str">
        <x:f>IF('Calculations'!IF35="","",IF('Calculations'!IF35="!AMBIG","!AMBIG",IF(COUNTIF('Calculations'!$HE$13:$HE$512,"="&amp;SUBSTITUTE(SUBSTITUTE(SUBSTITUTE('Calculations'!IF35,"~","~~"),"*","~*"),"?","~?"))&gt;1,"!AMBIG",IFERROR(INDEX('Calculations'!$HF$13:$HF$512,MATCH('Calculations'!IF35,'Calculations'!$HE$13:$HE$512,0)),""))))</x:f>
      </x:c>
      <x:c r="IH35" t="str">
        <x:f>IF('Calculations'!IG35="","",IF('Calculations'!IG35="!AMBIG","!AMBIG",IF(COUNTIF('Calculations'!$HE$13:$HE$512,"="&amp;SUBSTITUTE(SUBSTITUTE(SUBSTITUTE('Calculations'!IG35,"~","~~"),"*","~*"),"?","~?"))&gt;1,"!AMBIG",IFERROR(INDEX('Calculations'!$HF$13:$HF$512,MATCH('Calculations'!IG35,'Calculations'!$HE$13:$HE$512,0)),""))))</x:f>
      </x:c>
      <x:c r="II35" t="str">
        <x:f>IF('Calculations'!IH35="","",IF('Calculations'!IH35="!AMBIG","!AMBIG",IF(COUNTIF('Calculations'!$HE$13:$HE$512,"="&amp;SUBSTITUTE(SUBSTITUTE(SUBSTITUTE('Calculations'!IH35,"~","~~"),"*","~*"),"?","~?"))&gt;1,"!AMBIG",IFERROR(INDEX('Calculations'!$HF$13:$HF$512,MATCH('Calculations'!IH35,'Calculations'!$HE$13:$HE$512,0)),""))))</x:f>
      </x:c>
      <x:c r="IJ35" t="str">
        <x:f>IF('Calculations'!EM35="","",IF('Calculations'!$EF$2="All",'Calculations'!HM35,IF('Calculations'!HL35=1,"",IFERROR(IF(MATCH('Calculations'!$EF$2,'Calculations'!HO35:II35,0)=1,'Calculations'!HE35,INDEX('Calculations'!HO35:II35,1,MATCH('Calculations'!$EF$2,'Calculations'!HO35:II35,0)-1)),""))))</x:f>
      </x:c>
      <x:c r="IK35" t="n">
        <x:f>IF(AND('Calculations'!EM35&lt;&gt;"",'Calculations'!$EF$2&lt;&gt;"All",'Calculations'!HF35='Calculations'!$EF$2,'Calculations'!HL35=0,'Calculations'!JD35&gt;0),MAX('Calculations'!$IK$12:IK34)+1,0)</x:f>
        <x:v>0</x:v>
      </x:c>
      <x:c r="JA35" t="n">
        <x:f>IF(OR(IFERROR(INDIRECT("'WCM Calibration Final'!$A$35")&lt;&gt;"",FALSE),IFERROR(INDIRECT("'WCM Calibration Final'!$B$35")&lt;&gt;"",FALSE),IFERROR(INDIRECT("'WCM Calibration Final'!$C$35")&lt;&gt;"",FALSE)),35,0)</x:f>
        <x:v>0</x:v>
      </x:c>
      <x:c r="JB35" t="n">
        <x:f>'Calculations'!JB34+IF('Calculations'!JA35&gt;0,1,0)</x:f>
        <x:v>0</x:v>
      </x:c>
      <x:c r="JC35" t="n">
        <x:f>IF(OR('Calculations'!HF35="",'Calculations'!HF35="!AMBIG"),0,IF('Dashboard'!$B$7="All",1,COUNTIFS('Calculations'!$HO$13:$HO$512,"="&amp;SUBSTITUTE(SUBSTITUTE(SUBSTITUTE('Calculations'!HF35,"~","~~"),"*","~*"),"?","~?"),'Calculations'!$HN$13:$HN$512,"="&amp;SUBSTITUTE(SUBSTITUTE(SUBSTITUTE('Dashboard'!$B$7,"~","~~"),"*","~*"),"?","~?"))+COUNTIFS('Calculations'!$HP$13:$HP$512,"="&amp;SUBSTITUTE(SUBSTITUTE(SUBSTITUTE('Calculations'!HF35,"~","~~"),"*","~*"),"?","~?"),'Calculations'!$HN$13:$HN$512,"="&amp;SUBSTITUTE(SUBSTITUTE(SUBSTITUTE('Dashboard'!$B$7,"~","~~"),"*","~*"),"?","~?"))+COUNTIFS('Calculations'!$HQ$13:$HQ$512,"="&amp;SUBSTITUTE(SUBSTITUTE(SUBSTITUTE('Calculations'!HF35,"~","~~"),"*","~*"),"?","~?"),'Calculations'!$HN$13:$HN$512,"="&amp;SUBSTITUTE(SUBSTITUTE(SUBSTITUTE('Dashboard'!$B$7,"~","~~"),"*","~*"),"?","~?"))+COUNTIFS('Calculations'!$HR$13:$HR$512,"="&amp;SUBSTITUTE(SUBSTITUTE(SUBSTITUTE('Calculations'!HF35,"~","~~"),"*","~*"),"?","~?"),'Calculations'!$HN$13:$HN$512,"="&amp;SUBSTITUTE(SUBSTITUTE(SUBSTITUTE('Dashboard'!$B$7,"~","~~"),"*","~*"),"?","~?"))+COUNTIFS('Calculations'!$HS$13:$HS$512,"="&amp;SUBSTITUTE(SUBSTITUTE(SUBSTITUTE('Calculations'!HF35,"~","~~"),"*","~*"),"?","~?"),'Calculations'!$HN$13:$HN$512,"="&amp;SUBSTITUTE(SUBSTITUTE(SUBSTITUTE('Dashboard'!$B$7,"~","~~"),"*","~*"),"?","~?"))+COUNTIFS('Calculations'!$HT$13:$HT$512,"="&amp;SUBSTITUTE(SUBSTITUTE(SUBSTITUTE('Calculations'!HF35,"~","~~"),"*","~*"),"?","~?"),'Calculations'!$HN$13:$HN$512,"="&amp;SUBSTITUTE(SUBSTITUTE(SUBSTITUTE('Dashboard'!$B$7,"~","~~"),"*","~*"),"?","~?"))+COUNTIFS('Calculations'!$HU$13:$HU$512,"="&amp;SUBSTITUTE(SUBSTITUTE(SUBSTITUTE('Calculations'!HF35,"~","~~"),"*","~*"),"?","~?"),'Calculations'!$HN$13:$HN$512,"="&amp;SUBSTITUTE(SUBSTITUTE(SUBSTITUTE('Dashboard'!$B$7,"~","~~"),"*","~*"),"?","~?"))+COUNTIFS('Calculations'!$HV$13:$HV$512,"="&amp;SUBSTITUTE(SUBSTITUTE(SUBSTITUTE('Calculations'!HF35,"~","~~"),"*","~*"),"?","~?"),'Calculations'!$HN$13:$HN$512,"="&amp;SUBSTITUTE(SUBSTITUTE(SUBSTITUTE('Dashboard'!$B$7,"~","~~"),"*","~*"),"?","~?"))+COUNTIFS('Calculations'!$HW$13:$HW$512,"="&amp;SUBSTITUTE(SUBSTITUTE(SUBSTITUTE('Calculations'!HF35,"~","~~"),"*","~*"),"?","~?"),'Calculations'!$HN$13:$HN$512,"="&amp;SUBSTITUTE(SUBSTITUTE(SUBSTITUTE('Dashboard'!$B$7,"~","~~"),"*","~*"),"?","~?"))+COUNTIFS('Calculations'!$HX$13:$HX$512,"="&amp;SUBSTITUTE(SUBSTITUTE(SUBSTITUTE('Calculations'!HF35,"~","~~"),"*","~*"),"?","~?"),'Calculations'!$HN$13:$HN$512,"="&amp;SUBSTITUTE(SUBSTITUTE(SUBSTITUTE('Dashboard'!$B$7,"~","~~"),"*","~*"),"?","~?"))+COUNTIFS('Calculations'!$HY$13:$HY$512,"="&amp;SUBSTITUTE(SUBSTITUTE(SUBSTITUTE('Calculations'!HF35,"~","~~"),"*","~*"),"?","~?"),'Calculations'!$HN$13:$HN$512,"="&amp;SUBSTITUTE(SUBSTITUTE(SUBSTITUTE('Dashboard'!$B$7,"~","~~"),"*","~*"),"?","~?"))+COUNTIFS('Calculations'!$HZ$13:$HZ$512,"="&amp;SUBSTITUTE(SUBSTITUTE(SUBSTITUTE('Calculations'!HF35,"~","~~"),"*","~*"),"?","~?"),'Calculations'!$HN$13:$HN$512,"="&amp;SUBSTITUTE(SUBSTITUTE(SUBSTITUTE('Dashboard'!$B$7,"~","~~"),"*","~*"),"?","~?"))+COUNTIFS('Calculations'!$IA$13:$IA$512,"="&amp;SUBSTITUTE(SUBSTITUTE(SUBSTITUTE('Calculations'!HF35,"~","~~"),"*","~*"),"?","~?"),'Calculations'!$HN$13:$HN$512,"="&amp;SUBSTITUTE(SUBSTITUTE(SUBSTITUTE('Dashboard'!$B$7,"~","~~"),"*","~*"),"?","~?"))+COUNTIFS('Calculations'!$IB$13:$IB$512,"="&amp;SUBSTITUTE(SUBSTITUTE(SUBSTITUTE('Calculations'!HF35,"~","~~"),"*","~*"),"?","~?"),'Calculations'!$HN$13:$HN$512,"="&amp;SUBSTITUTE(SUBSTITUTE(SUBSTITUTE('Dashboard'!$B$7,"~","~~"),"*","~*"),"?","~?"))+COUNTIFS('Calculations'!$IC$13:$IC$512,"="&amp;SUBSTITUTE(SUBSTITUTE(SUBSTITUTE('Calculations'!HF35,"~","~~"),"*","~*"),"?","~?"),'Calculations'!$HN$13:$HN$512,"="&amp;SUBSTITUTE(SUBSTITUTE(SUBSTITUTE('Dashboard'!$B$7,"~","~~"),"*","~*"),"?","~?"))+COUNTIFS('Calculations'!$ID$13:$ID$512,"="&amp;SUBSTITUTE(SUBSTITUTE(SUBSTITUTE('Calculations'!HF35,"~","~~"),"*","~*"),"?","~?"),'Calculations'!$HN$13:$HN$512,"="&amp;SUBSTITUTE(SUBSTITUTE(SUBSTITUTE('Dashboard'!$B$7,"~","~~"),"*","~*"),"?","~?"))+COUNTIFS('Calculations'!$IE$13:$IE$512,"="&amp;SUBSTITUTE(SUBSTITUTE(SUBSTITUTE('Calculations'!HF35,"~","~~"),"*","~*"),"?","~?"),'Calculations'!$HN$13:$HN$512,"="&amp;SUBSTITUTE(SUBSTITUTE(SUBSTITUTE('Dashboard'!$B$7,"~","~~"),"*","~*"),"?","~?"))+COUNTIFS('Calculations'!$IF$13:$IF$512,"="&amp;SUBSTITUTE(SUBSTITUTE(SUBSTITUTE('Calculations'!HF35,"~","~~"),"*","~*"),"?","~?"),'Calculations'!$HN$13:$HN$512,"="&amp;SUBSTITUTE(SUBSTITUTE(SUBSTITUTE('Dashboard'!$B$7,"~","~~"),"*","~*"),"?","~?"))+COUNTIFS('Calculations'!$IG$13:$IG$512,"="&amp;SUBSTITUTE(SUBSTITUTE(SUBSTITUTE('Calculations'!HF35,"~","~~"),"*","~*"),"?","~?"),'Calculations'!$HN$13:$HN$512,"="&amp;SUBSTITUTE(SUBSTITUTE(SUBSTITUTE('Dashboard'!$B$7,"~","~~"),"*","~*"),"?","~?"))+COUNTIFS('Calculations'!$IH$13:$IH$512,"="&amp;SUBSTITUTE(SUBSTITUTE(SUBSTITUTE('Calculations'!HF35,"~","~~"),"*","~*"),"?","~?"),'Calculations'!$HN$13:$HN$512,"="&amp;SUBSTITUTE(SUBSTITUTE(SUBSTITUTE('Dashboard'!$B$7,"~","~~"),"*","~*"),"?","~?"))))</x:f>
        <x:v>0</x:v>
      </x:c>
      <x:c r="JD35" t="n">
        <x:f>IF('Calculations'!EM35="",0,IF('Dashboard'!$B$7="All",1,IF('Calculations'!HN35='Dashboard'!$B$7,1,0)+IFERROR(INDEX('Calculations'!$JC$13:$JC$512,MATCH('Calculations'!HE35,'Calculations'!$HF$13:$HF$512,0)),0)))</x:f>
        <x:v>0</x:v>
      </x:c>
      <x:c r="JE35" t="n">
        <x:f>IF(AND('Calculations'!EM35&lt;&gt;"",'Calculations'!$JJ$2&lt;&gt;"All",'Calculations'!$JJ$2&lt;&gt;"",'Calculations'!HF35='Calculations'!$JJ$2,'Calculations'!HL35=0,'Calculations'!JD35&gt;0),MAX('Calculations'!$JE$12:JE34)+1,0)</x:f>
        <x:v>0</x:v>
      </x:c>
      <x:c r="JF35" t="str">
        <x:f>IF('Calculations'!EM35="","",IFERROR(IF(INDEX(INDIRECT("'WCM Calibration Final'!$G$1:$G$2000"),'Calculations'!$EM35)="","",TRIM(INDEX(INDIRECT("'WCM Calibration Final'!$G$1:$G$2000"),'Calculations'!$EM35)&amp;"")),""))</x:f>
      </x:c>
      <x:c r="JQ35" t="n">
        <x:f>IF(OR('Calculations'!BM35=0,NOT('Calculations'!$AG$2),'Calculations'!$AG$8&gt;0),0,IF(OR('Dashboard'!$B$7="All",'Calculations'!HN35='Dashboard'!$B$7),IF('Calculations'!$JJ$2="All",1,IF(AND('Calculations'!HF35='Calculations'!$JJ$2,'Calculations'!HL35=0),1,0)),0))</x:f>
        <x:v>0</x:v>
      </x:c>
    </x:row>
    <x:row r="36">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t="n">
        <x:f>IF('Calculations'!$EM36="",0,IF(OR(IFERROR(INDEX(INDIRECT("'WCM Calibration Final'!$A$1:$A$2000"),'Calculations'!$EM36)&lt;&gt;"",FALSE),IFERROR(INDEX(INDIRECT("'WCM Calibration Final'!$B$1:$B$2000"),'Calculations'!$EM36)&lt;&gt;"",FALSE),IFERROR(INDEX(INDIRECT("'WCM Calibration Final'!$C$1:$C$2000"),'Calculations'!$EM36)&lt;&gt;"",FALSE)),1,0))</x:f>
        <x:v>0</x:v>
      </x:c>
      <x:c r="BN36" s="4" t="n">
        <x:f>IF(AND('Calculations'!BM36=1,'Calculations'!$AG$2,'Calculations'!$EN36=1),1,0)</x:f>
        <x:v>0</x:v>
      </x:c>
      <x:c r="BO36" s="4" t="str">
        <x:f>IF('Calculations'!BM36=0,"",IFERROR(IF(AND(VALUE(INDEX(INDIRECT("'WCM Calibration Final'!$K$1:$K$2000"),'Calculations'!$EM36))&gt;=1,VALUE(INDEX(INDIRECT("'WCM Calibration Final'!$K$1:$K$2000"),'Calculations'!$EM36))&lt;=4,MOD(VALUE(INDEX(INDIRECT("'WCM Calibration Final'!$K$1:$K$2000"),'Calculations'!$EM36)),1)=0),VALUE(INDEX(INDIRECT("'WCM Calibration Final'!$K$1:$K$2000"),'Calculations'!$EM36)),""),""))</x:f>
      </x:c>
      <x:c r="BP36" s="4" t="str">
        <x:f>IF('Calculations'!BM36=0,"",IFERROR(IF(AND(VALUE(INDEX(INDIRECT("'WCM Calibration Final'!$L$1:$L$2000"),'Calculations'!$EM36))&gt;=1,VALUE(INDEX(INDIRECT("'WCM Calibration Final'!$L$1:$L$2000"),'Calculations'!$EM36))&lt;=4,MOD(VALUE(INDEX(INDIRECT("'WCM Calibration Final'!$L$1:$L$2000"),'Calculations'!$EM36)),1)=0),VALUE(INDEX(INDIRECT("'WCM Calibration Final'!$L$1:$L$2000"),'Calculations'!$EM36)),""),""))</x:f>
      </x:c>
      <x:c r="BQ36" s="4"/>
      <x:c r="BR36" s="4"/>
      <x:c r="BS36" s="4"/>
      <x:c r="BT36" s="4" t="n">
        <x:f>IF(AND('Calculations'!BM36=1,ISNUMBER('Calculations'!BO36),ISNUMBER('Calculations'!BP36)),1,0)</x:f>
        <x:v>0</x:v>
      </x:c>
      <x:c r="BU36" s="4" t="str">
        <x:f>IF('Calculations'!BM36=0,"",'Calculations'!$EO36)</x:f>
      </x:c>
      <x:c r="BV36" s="4" t="str">
        <x:f>IF('Calculations'!BM36=0,"",IFERROR(IF(OR(INDEX(INDIRECT("'WCM Calibration Final'!$H$1:$H$2000"),'Calculations'!$EM36)="MANAGING DIRECTOR",INDEX(INDIRECT("'WCM Calibration Final'!$H$1:$H$2000"),'Calculations'!$EM36)="DIRECTOR",INDEX(INDIRECT("'WCM Calibration Final'!$H$1:$H$2000"),'Calculations'!$EM36)="SENIOR VICE PRESIDENT",INDEX(INDIRECT("'WCM Calibration Final'!$H$1:$H$2000"),'Calculations'!$EM36)="VICE PRESIDENT",INDEX(INDIRECT("'WCM Calibration Final'!$H$1:$H$2000"),'Calculations'!$EM36)="ASSISTANT VICE PRESIDENT",INDEX(INDIRECT("'WCM Calibration Final'!$H$1:$H$2000"),'Calculations'!$EM36)="OFFICER"),UPPER(INDEX(INDIRECT("'WCM Calibration Final'!$H$1:$H$2000"),'Calculations'!$EM36)),"Other"),"Other"))</x:f>
      </x:c>
      <x:c r="BW36" s="4"/>
      <x:c r="BX36" s="4"/>
      <x:c r="BY36" s="4" t="n">
        <x:f>IF(AND('Calculations'!BM36=1,'Calculations'!BU36&lt;&gt;"",COUNTIF('Calculations'!$BU$12:BU36,'Calculations'!BU36)=1),MAX('Calculations'!$BY$11:BY35)+1,0)</x:f>
        <x:v>0</x:v>
      </x:c>
      <x:c r="BZ36" s="4" t="str">
        <x:f>IF('Dashboard'!$E$67="What",'Calculations'!BO36,'Calculations'!BP36)</x:f>
      </x:c>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t="str">
        <x:f>IF(25&gt;MAX('Calculations'!$HI$13:$HI$512),"",INDEX('Calculations'!$HN$13:$HN$512,MATCH(25,'Calculations'!$HI$13:$HI$512,0)))</x:f>
      </x:c>
      <x:c r="DB36" s="4" t="str">
        <x:f>IF(25&gt;MAX('Calculations'!$HH$13:$HH$512),"",INDEX('Calculations'!$HJ$13:$HJ$512,MATCH(25,'Calculations'!$HH$13:$HH$512,0)))</x:f>
      </x:c>
      <x:c r="DC36" s="4" t="str">
        <x:f>IF(ROW()-11&gt;MAX('Calculations'!$BY$13:$BY$512),"",INDEX('Calculations'!$BU$13:$BU$512,MATCH(ROW()-11,'Calculations'!$BY$13:$BY$512,0)))</x:f>
      </x:c>
      <x:c r="DD36" s="4" t="str">
        <x:f>IF(25&gt;MAX('Calculations'!$IK$13:$IK$512),"",INDEX('Calculations'!$HK$13:$HK$512,MATCH(25,'Calculations'!$IK$13:$IK$512,0)))</x:f>
      </x:c>
      <x:c r="DE36" s="4" t="str">
        <x:f>'Calculations'!DC36</x:f>
      </x:c>
      <x:c r="DF36" s="4" t="str">
        <x:f>IF('Calculations'!DE36="","",COUNTIFS('Calculations'!$BN$13:$BN$512,1,'Calculations'!$BU$13:$BU$512,'Calculations'!DE36))</x:f>
      </x:c>
      <x:c r="DG36" s="4" t="str">
        <x:f>IF('Calculations'!DE36="","",COUNTIFS('Calculations'!$BN$13:$BN$512,1,'Calculations'!$BU$13:$BU$512,'Calculations'!DE36,'Calculations'!$BT$13:$BT$512,1))</x:f>
      </x:c>
      <x:c r="DH36" s="4" t="str">
        <x:f>IF('Calculations'!DE36="","",'Calculations'!DF36-'Calculations'!DG36)</x:f>
      </x:c>
      <x:c r="DI36" s="4" t="str">
        <x:f>IF(OR('Calculations'!DE36="",'Calculations'!DF36=0),"",'Calculations'!DG36/'Calculations'!DF36)</x:f>
      </x:c>
      <x:c r="DJ36" s="4" t="str">
        <x:f>IF('Calculations'!DE36="","",COUNTIFS('Calculations'!$BN$13:$BN$512,1,'Calculations'!$BU$13:$BU$512,'Calculations'!DE36,'Calculations'!$BT$13:$BT$512,1,'Calculations'!$EE$13:$EE$512,"High"))</x:f>
      </x:c>
      <x:c r="DK36" s="4" t="str">
        <x:f>IF('Calculations'!DE36="","",COUNTIFS('Calculations'!$BN$13:$BN$512,1,'Calculations'!$BU$13:$BU$512,'Calculations'!DE36,'Calculations'!$BT$13:$BT$512,1,'Calculations'!$EE$13:$EE$512,"Strong"))</x:f>
      </x:c>
      <x:c r="DL36" s="4" t="str">
        <x:f>IF('Calculations'!DE36="","",COUNTIFS('Calculations'!$BN$13:$BN$512,1,'Calculations'!$BU$13:$BU$512,'Calculations'!DE36,'Calculations'!$BT$13:$BT$512,1,'Calculations'!$EE$13:$EE$512,"Solid"))</x:f>
      </x:c>
      <x:c r="DM36" s="4" t="str">
        <x:f>IF('Calculations'!DE36="","",COUNTIFS('Calculations'!$BN$13:$BN$512,1,'Calculations'!$BU$13:$BU$512,'Calculations'!DE36,'Calculations'!$BT$13:$BT$512,1,'Calculations'!$EE$13:$EE$512,"Low"))</x:f>
      </x:c>
      <x:c r="DN36" s="4" t="str">
        <x:f>IF('Calculations'!DE36="","",COUNTIFS('Calculations'!$BN$13:$BN$512,1,'Calculations'!$BU$13:$BU$512,'Calculations'!DE36,'Calculations'!$EP$13:$EP$512,1))</x:f>
      </x:c>
      <x:c r="DO36" s="4" t="str">
        <x:f>IF(OR('Calculations'!DE36="",'Calculations'!DG36=0),"",('Calculations'!DJ36+'Calculations'!DK36)/'Calculations'!DG36)</x:f>
      </x:c>
      <x:c r="DP36" s="4" t="n">
        <x:f>IF(AND('Calculations'!DE36&lt;&gt;"",'Calculations'!DF36&gt;0),COUNTIF('Calculations'!$DF$12:DF36,"&gt;0"),0)</x:f>
        <x:v>0</x:v>
      </x:c>
      <x:c r="DQ36" s="4" t="str">
        <x:f>IF(25&gt;MAX('Calculations'!$HH$13:$HH$512),"",INDEX('Calculations'!$HF$13:$HF$512,MATCH(25,'Calculations'!$HH$13:$HH$512,0)))</x:f>
      </x:c>
      <x:c r="DR36" s="4" t="str">
        <x:f>IF(25&gt;MAX('Calculations'!$IK$13:$IK$512),"",INDEX('Calculations'!$HE$13:$HE$512,MATCH(25,'Calculations'!$IK$13:$IK$512,0)))</x:f>
      </x:c>
      <x:c r="DS36" s="4"/>
      <x:c r="DT36" s="4"/>
      <x:c r="DU36" s="4"/>
      <x:c r="DV36" s="4"/>
      <x:c r="DW36" s="4"/>
      <x:c r="DX36" s="4"/>
      <x:c r="DY36" s="4"/>
      <x:c r="DZ36" s="4"/>
      <x:c r="EA36" s="4"/>
      <x:c r="EB36" s="4"/>
      <x:c r="EC36" s="4"/>
      <x:c r="ED36" s="4"/>
      <x:c r="EE36" s="4" t="str">
        <x:f>IF('Calculations'!BT36=0,"Not Rated",IF(OR('Calculations'!BO36&gt;=4,'Calculations'!BP36&gt;=4),"Low",IF('Calculations'!BO36+'Calculations'!BP36&lt;=3,"High",IF('Calculations'!BO36+'Calculations'!BP36&lt;=4,"Strong","Solid"))))</x:f>
        <x:v>Not Rated</x:v>
      </x:c>
      <x:c r="EF36" s="4"/>
      <x:c r="EG36" s="4"/>
      <x:c r="EH36" s="4"/>
      <x:c r="EI36" s="4"/>
      <x:c r="EJ36" s="4"/>
      <x:c r="EK36" s="4"/>
      <x:c r="EL36" s="4"/>
      <x:c r="EM36" s="4" t="str">
        <x:f>IF(24&gt;'Calculations'!$JB$2000,"",INDEX('Calculations'!$JA$12:$JA$2000,MATCH(24,'Calculations'!$JB$12:$JB$2000,0)))</x:f>
      </x:c>
      <x:c r="EN36" s="4" t="n">
        <x:f>IF(OR('Calculations'!EM36="",'Calculations'!$AG$8&gt;0,AND('Calculations'!$EF$2&lt;&gt;"All",'Calculations'!HE36='Calculations'!$EF$2),AND('Calculations'!$EF$3&lt;&gt;"All",'Calculations'!HE36='Calculations'!$EF$3)),0,IF(OR('Dashboard'!$B$7="All",'Calculations'!HN36='Dashboard'!$B$7),IF('Calculations'!$EF$2="All",1,IF('Calculations'!HL36&gt;0,0,IF(COUNTIF('Calculations'!HO36:II36,"="&amp;SUBSTITUTE(SUBSTITUTE(SUBSTITUTE('Calculations'!$EF$2,"~","~~"),"*","~*"),"?","~?"))=0,0,IF('Calculations'!$EF$3="All",1,IF(COUNTIF('Calculations'!HO36:II36,"="&amp;SUBSTITUTE(SUBSTITUTE(SUBSTITUTE('Calculations'!$EF$3,"~","~~"),"*","~*"),"?","~?"))&gt;0,1,0))))),0))</x:f>
        <x:v>0</x:v>
      </x:c>
      <x:c r="EO36" s="4" t="str">
        <x:f>IF('Calculations'!IJ36="","",IF('Calculations'!IJ36="!UNRESOLVED","Unresolved hierarchy",IFERROR(INDEX('Calculations'!$HK$13:$HK$512,MATCH('Calculations'!IJ36,'Calculations'!$HE$13:$HE$512,0)),IFERROR(INDEX('Calculations'!$HJ$13:$HJ$512,MATCH('Calculations'!IJ36,'Calculations'!$HF$13:$HF$512,0)),'Calculations'!IJ36))))</x:f>
      </x:c>
      <x:c r="EP36" s="4" t="n">
        <x:f>IF(AND('Calculations'!EM36&lt;&gt;"",'Calculations'!HF36='Calculations'!IJ36),1,0)</x:f>
        <x:v>0</x:v>
      </x:c>
      <x:c r="EQ36" s="4"/>
      <x:c r="ER36" s="4"/>
      <x:c r="ES36" s="4"/>
      <x:c r="ET36" s="4"/>
      <x:c r="EU36" s="4"/>
      <x:c r="EV36" s="4"/>
      <x:c r="EW36" s="4"/>
      <x:c r="EX36" s="4"/>
      <x:c r="EY36" s="4"/>
      <x:c r="EZ36" s="4"/>
      <x:c r="FA36" s="4"/>
      <x:c r="FB36" s="4"/>
      <x:c r="FC36" s="4"/>
      <x:c r="FD36" s="4"/>
      <x:c r="FE36" s="4"/>
      <x:c r="FF36" s="4"/>
      <x:c r="FG36" s="4"/>
      <x:c r="FH36" s="4"/>
      <x:c r="FI36" s="4"/>
      <x:c r="FJ36" s="4"/>
      <x:c r="FK36" s="4"/>
      <x:c r="FL36" s="4"/>
      <x:c r="FM36" s="4"/>
      <x:c r="FN36" s="4"/>
      <x:c r="FO36" s="4"/>
      <x:c r="GA36" s="71"/>
      <x:c r="GB36" s="71"/>
      <x:c r="GC36" s="71"/>
      <x:c r="GD36" s="71"/>
      <x:c r="GE36" s="71"/>
      <x:c r="GF36" s="71"/>
      <x:c r="GG36" s="71"/>
      <x:c r="GH36" s="71"/>
      <x:c r="GI36" s="71"/>
      <x:c r="GJ36" s="71"/>
      <x:c r="GK36" s="71"/>
      <x:c r="GL36" s="71"/>
      <x:c r="GM36" s="71"/>
      <x:c r="GN36" s="71"/>
      <x:c r="GO36" s="71"/>
      <x:c r="GP36" s="71"/>
      <x:c r="GQ36" s="71"/>
      <x:c r="GR36" s="71"/>
      <x:c r="GS36" s="71"/>
      <x:c r="GT36" s="71"/>
      <x:c r="GU36" s="71"/>
      <x:c r="GV36" s="71"/>
      <x:c r="GW36" s="71"/>
      <x:c r="GX36" s="71"/>
      <x:c r="GY36" s="71"/>
      <x:c r="GZ36" s="71"/>
      <x:c r="HA36" s="71"/>
      <x:c r="HB36" s="71"/>
      <x:c r="HC36" s="71"/>
      <x:c r="HD36" s="71"/>
      <x:c r="HE36" t="str">
        <x:f>IF('Calculations'!EM36="","",IF(IFERROR(IF(INDEX(INDIRECT("'WCM Calibration Final'!$A$1:$A$2000"),'Calculations'!$EM36)="","",TRIM(INDEX(INDIRECT("'WCM Calibration Final'!$A$1:$A$2000"),'Calculations'!$EM36)&amp;"")),"")&lt;&gt;"","G:"&amp;IFERROR(TEXT(1*INDEX(INDIRECT("'WCM Calibration Final'!$A$1:$A$2000"),'Calculations'!$EM36),"0"),UPPER(IFERROR(IF(INDEX(INDIRECT("'WCM Calibration Final'!$A$1:$A$2000"),'Calculations'!$EM36)="","",TRIM(INDEX(INDIRECT("'WCM Calibration Final'!$A$1:$A$2000"),'Calculations'!$EM36)&amp;"")),""))),IF(IFERROR(IF(INDEX(INDIRECT("'WCM Calibration Final'!$C$1:$C$2000"),'Calculations'!$EM36)="","",TRIM(INDEX(INDIRECT("'WCM Calibration Final'!$C$1:$C$2000"),'Calculations'!$EM36)&amp;"")),"")&lt;&gt;"","S:"&amp;UPPER(IFERROR(IF(INDEX(INDIRECT("'WCM Calibration Final'!$C$1:$C$2000"),'Calculations'!$EM36)="","",TRIM(INDEX(INDIRECT("'WCM Calibration Final'!$C$1:$C$2000"),'Calculations'!$EM36)&amp;"")),"")),"R:"&amp;'Calculations'!EM36)))</x:f>
      </x:c>
      <x:c r="HF36" t="str">
        <x:f>IF('Calculations'!EM36="","",IF(IFERROR(IF(INDEX(INDIRECT("'WCM Calibration Final'!$D$1:$D$2000"),'Calculations'!$EM36)="","",TRIM(INDEX(INDIRECT("'WCM Calibration Final'!$D$1:$D$2000"),'Calculations'!$EM36)&amp;"")),"")&lt;&gt;"","G:"&amp;IFERROR(TEXT(1*INDEX(INDIRECT("'WCM Calibration Final'!$D$1:$D$2000"),'Calculations'!$EM36),"0"),UPPER(IFERROR(IF(INDEX(INDIRECT("'WCM Calibration Final'!$D$1:$D$2000"),'Calculations'!$EM36)="","",TRIM(INDEX(INDIRECT("'WCM Calibration Final'!$D$1:$D$2000"),'Calculations'!$EM36)&amp;"")),""))),IF(IFERROR(IF(INDEX(INDIRECT("'WCM Calibration Final'!$E$1:$E$2000"),'Calculations'!$EM36)="","",TRIM(INDEX(INDIRECT("'WCM Calibration Final'!$E$1:$E$2000"),'Calculations'!$EM36)&amp;"")),"")="","",IF(COUNTIF('Calculations'!$HG$13:$HG$512,"="&amp;SUBSTITUTE(SUBSTITUTE(SUBSTITUTE(IFERROR(IF(INDEX(INDIRECT("'WCM Calibration Final'!$E$1:$E$2000"),'Calculations'!$EM36)="","",TRIM(INDEX(INDIRECT("'WCM Calibration Final'!$E$1:$E$2000"),'Calculations'!$EM36)&amp;"")),""),"~","~~"),"*","~*"),"?","~?"))=1,INDEX('Calculations'!$HE$13:$HE$512,MATCH(IFERROR(IF(INDEX(INDIRECT("'WCM Calibration Final'!$E$1:$E$2000"),'Calculations'!$EM36)="","",TRIM(INDEX(INDIRECT("'WCM Calibration Final'!$E$1:$E$2000"),'Calculations'!$EM36)&amp;"")),""),'Calculations'!$HG$13:$HG$512,0)),IF(COUNTIF('Calculations'!$HG$13:$HG$512,"="&amp;SUBSTITUTE(SUBSTITUTE(SUBSTITUTE(IFERROR(IF(INDEX(INDIRECT("'WCM Calibration Final'!$E$1:$E$2000"),'Calculations'!$EM36)="","",TRIM(INDEX(INDIRECT("'WCM Calibration Final'!$E$1:$E$2000"),'Calculations'!$EM36)&amp;"")),""),"~","~~"),"*","~*"),"?","~?"))&gt;1,"!AMBIG","X:"&amp;IFERROR(IF(INDEX(INDIRECT("'WCM Calibration Final'!$E$1:$E$2000"),'Calculations'!$EM36)="","",TRIM(INDEX(INDIRECT("'WCM Calibration Final'!$E$1:$E$2000"),'Calculations'!$EM36)&amp;"")),""))))))</x:f>
      </x:c>
      <x:c r="HG36" t="str">
        <x:f>IF('Calculations'!EM36="","",IFERROR(IF(INDEX(INDIRECT("'WCM Calibration Final'!$B$1:$B$2000"),'Calculations'!$EM36)="","",TRIM(INDEX(INDIRECT("'WCM Calibration Final'!$B$1:$B$2000"),'Calculations'!$EM36)&amp;"")),""))</x:f>
      </x:c>
      <x:c r="HH36" t="n">
        <x:f>IF(AND('Calculations'!JC36&gt;0,COUNTIF('Calculations'!$HF$12:HF36,"="&amp;SUBSTITUTE(SUBSTITUTE(SUBSTITUTE('Calculations'!HF36,"~","~~"),"*","~*"),"?","~?"))=1),MAX('Calculations'!$HH$12:HH35)+1,0)</x:f>
        <x:v>0</x:v>
      </x:c>
      <x:c r="HI36" t="n">
        <x:f>IF(AND('Calculations'!HN36&lt;&gt;"",COUNTIF('Calculations'!$HN$12:HN36,"="&amp;SUBSTITUTE(SUBSTITUTE(SUBSTITUTE('Calculations'!HN36,"~","~~"),"*","~*"),"?","~?"))=1),MAX('Calculations'!$HI$12:HI35)+1,0)</x:f>
        <x:v>0</x:v>
      </x:c>
      <x:c r="HJ36" t="str">
        <x:f>IF('Calculations'!HF36="","",IF(COUNTIF('Calculations'!$HE$13:$HE$512,"="&amp;SUBSTITUTE(SUBSTITUTE(SUBSTITUTE('Calculations'!HF36,"~","~~"),"*","~*"),"?","~?"))=1,INDEX('Calculations'!$HK$13:$HK$512,MATCH('Calculations'!HF36,'Calculations'!$HE$13:$HE$512,0)),IFERROR(IF(INDEX(INDIRECT("'WCM Calibration Final'!$E$1:$E$2000"),'Calculations'!$EM36)="","",TRIM(INDEX(INDIRECT("'WCM Calibration Final'!$E$1:$E$2000"),'Calculations'!$EM36)&amp;"")),"")&amp;" ["&amp;'Calculations'!HF36&amp;"]"))</x:f>
      </x:c>
      <x:c r="HK36" t="str">
        <x:f>IF('Calculations'!EM36="","",'Calculations'!HG36&amp;" ["&amp;'Calculations'!HE36&amp;"]")</x:f>
      </x:c>
      <x:c r="HL36" t="n">
        <x:f>IF('Calculations'!EM36="",0,IF(OR('Calculations'!II36&lt;&gt;"",COUNTIF('Calculations'!$HE$13:$HE$512,"="&amp;SUBSTITUTE(SUBSTITUTE(SUBSTITUTE('Calculations'!HE36,"~","~~"),"*","~*"),"?","~?"))&gt;1),1,0))</x:f>
        <x:v>0</x:v>
      </x:c>
      <x:c r="HM36" t="str">
        <x:f>IF('Calculations'!EM36="","",IF('Calculations'!HL36=1,"!UNRESOLVED",IF('Calculations'!IH36&lt;&gt;"",'Calculations'!IH36,IF('Calculations'!IG36&lt;&gt;"",'Calculations'!IG36,IF('Calculations'!IF36&lt;&gt;"",'Calculations'!IF36,IF('Calculations'!IE36&lt;&gt;"",'Calculations'!IE36,IF('Calculations'!ID36&lt;&gt;"",'Calculations'!ID36,IF('Calculations'!IC36&lt;&gt;"",'Calculations'!IC36,IF('Calculations'!IB36&lt;&gt;"",'Calculations'!IB36,IF('Calculations'!IA36&lt;&gt;"",'Calculations'!IA36,IF('Calculations'!HZ36&lt;&gt;"",'Calculations'!HZ36,IF('Calculations'!HY36&lt;&gt;"",'Calculations'!HY36,IF('Calculations'!HX36&lt;&gt;"",'Calculations'!HX36,IF('Calculations'!HW36&lt;&gt;"",'Calculations'!HW36,IF('Calculations'!HV36&lt;&gt;"",'Calculations'!HV36,IF('Calculations'!HU36&lt;&gt;"",'Calculations'!HU36,IF('Calculations'!HT36&lt;&gt;"",'Calculations'!HT36,IF('Calculations'!HS36&lt;&gt;"",'Calculations'!HS36,IF('Calculations'!HR36&lt;&gt;"",'Calculations'!HR36,IF('Calculations'!HQ36&lt;&gt;"",'Calculations'!HQ36,IF('Calculations'!HP36&lt;&gt;"",'Calculations'!HP36,IF('Calculations'!HO36&lt;&gt;"",'Calculations'!HO36,'Calculations'!HE36))))))))))))))))))))))</x:f>
      </x:c>
      <x:c r="HN36" t="str">
        <x:f>IF('Calculations'!EM36="","",IF(IFERROR(IF(INDEX(INDIRECT("'WCM Calibration Final'!$F$1:$F$2000"),'Calculations'!$EM36)="","",TRIM(INDEX(INDIRECT("'WCM Calibration Final'!$F$1:$F$2000"),'Calculations'!$EM36)&amp;"")),"")="","(Blank)",IFERROR(IF(INDEX(INDIRECT("'WCM Calibration Final'!$F$1:$F$2000"),'Calculations'!$EM36)="","",TRIM(INDEX(INDIRECT("'WCM Calibration Final'!$F$1:$F$2000"),'Calculations'!$EM36)&amp;"")),"")))</x:f>
      </x:c>
      <x:c r="HO36" t="str">
        <x:f>'Calculations'!HF36</x:f>
      </x:c>
      <x:c r="HP36" t="str">
        <x:f>IF('Calculations'!HO36="","",IF('Calculations'!HO36="!AMBIG","!AMBIG",IF(COUNTIF('Calculations'!$HE$13:$HE$512,"="&amp;SUBSTITUTE(SUBSTITUTE(SUBSTITUTE('Calculations'!HO36,"~","~~"),"*","~*"),"?","~?"))&gt;1,"!AMBIG",IFERROR(INDEX('Calculations'!$HF$13:$HF$512,MATCH('Calculations'!HO36,'Calculations'!$HE$13:$HE$512,0)),""))))</x:f>
      </x:c>
      <x:c r="HQ36" t="str">
        <x:f>IF('Calculations'!HP36="","",IF('Calculations'!HP36="!AMBIG","!AMBIG",IF(COUNTIF('Calculations'!$HE$13:$HE$512,"="&amp;SUBSTITUTE(SUBSTITUTE(SUBSTITUTE('Calculations'!HP36,"~","~~"),"*","~*"),"?","~?"))&gt;1,"!AMBIG",IFERROR(INDEX('Calculations'!$HF$13:$HF$512,MATCH('Calculations'!HP36,'Calculations'!$HE$13:$HE$512,0)),""))))</x:f>
      </x:c>
      <x:c r="HR36" t="str">
        <x:f>IF('Calculations'!HQ36="","",IF('Calculations'!HQ36="!AMBIG","!AMBIG",IF(COUNTIF('Calculations'!$HE$13:$HE$512,"="&amp;SUBSTITUTE(SUBSTITUTE(SUBSTITUTE('Calculations'!HQ36,"~","~~"),"*","~*"),"?","~?"))&gt;1,"!AMBIG",IFERROR(INDEX('Calculations'!$HF$13:$HF$512,MATCH('Calculations'!HQ36,'Calculations'!$HE$13:$HE$512,0)),""))))</x:f>
      </x:c>
      <x:c r="HS36" t="str">
        <x:f>IF('Calculations'!HR36="","",IF('Calculations'!HR36="!AMBIG","!AMBIG",IF(COUNTIF('Calculations'!$HE$13:$HE$512,"="&amp;SUBSTITUTE(SUBSTITUTE(SUBSTITUTE('Calculations'!HR36,"~","~~"),"*","~*"),"?","~?"))&gt;1,"!AMBIG",IFERROR(INDEX('Calculations'!$HF$13:$HF$512,MATCH('Calculations'!HR36,'Calculations'!$HE$13:$HE$512,0)),""))))</x:f>
      </x:c>
      <x:c r="HT36" t="str">
        <x:f>IF('Calculations'!HS36="","",IF('Calculations'!HS36="!AMBIG","!AMBIG",IF(COUNTIF('Calculations'!$HE$13:$HE$512,"="&amp;SUBSTITUTE(SUBSTITUTE(SUBSTITUTE('Calculations'!HS36,"~","~~"),"*","~*"),"?","~?"))&gt;1,"!AMBIG",IFERROR(INDEX('Calculations'!$HF$13:$HF$512,MATCH('Calculations'!HS36,'Calculations'!$HE$13:$HE$512,0)),""))))</x:f>
      </x:c>
      <x:c r="HU36" t="str">
        <x:f>IF('Calculations'!HT36="","",IF('Calculations'!HT36="!AMBIG","!AMBIG",IF(COUNTIF('Calculations'!$HE$13:$HE$512,"="&amp;SUBSTITUTE(SUBSTITUTE(SUBSTITUTE('Calculations'!HT36,"~","~~"),"*","~*"),"?","~?"))&gt;1,"!AMBIG",IFERROR(INDEX('Calculations'!$HF$13:$HF$512,MATCH('Calculations'!HT36,'Calculations'!$HE$13:$HE$512,0)),""))))</x:f>
      </x:c>
      <x:c r="HV36" t="str">
        <x:f>IF('Calculations'!HU36="","",IF('Calculations'!HU36="!AMBIG","!AMBIG",IF(COUNTIF('Calculations'!$HE$13:$HE$512,"="&amp;SUBSTITUTE(SUBSTITUTE(SUBSTITUTE('Calculations'!HU36,"~","~~"),"*","~*"),"?","~?"))&gt;1,"!AMBIG",IFERROR(INDEX('Calculations'!$HF$13:$HF$512,MATCH('Calculations'!HU36,'Calculations'!$HE$13:$HE$512,0)),""))))</x:f>
      </x:c>
      <x:c r="HW36" t="str">
        <x:f>IF('Calculations'!HV36="","",IF('Calculations'!HV36="!AMBIG","!AMBIG",IF(COUNTIF('Calculations'!$HE$13:$HE$512,"="&amp;SUBSTITUTE(SUBSTITUTE(SUBSTITUTE('Calculations'!HV36,"~","~~"),"*","~*"),"?","~?"))&gt;1,"!AMBIG",IFERROR(INDEX('Calculations'!$HF$13:$HF$512,MATCH('Calculations'!HV36,'Calculations'!$HE$13:$HE$512,0)),""))))</x:f>
      </x:c>
      <x:c r="HX36" t="str">
        <x:f>IF('Calculations'!HW36="","",IF('Calculations'!HW36="!AMBIG","!AMBIG",IF(COUNTIF('Calculations'!$HE$13:$HE$512,"="&amp;SUBSTITUTE(SUBSTITUTE(SUBSTITUTE('Calculations'!HW36,"~","~~"),"*","~*"),"?","~?"))&gt;1,"!AMBIG",IFERROR(INDEX('Calculations'!$HF$13:$HF$512,MATCH('Calculations'!HW36,'Calculations'!$HE$13:$HE$512,0)),""))))</x:f>
      </x:c>
      <x:c r="HY36" t="str">
        <x:f>IF('Calculations'!HX36="","",IF('Calculations'!HX36="!AMBIG","!AMBIG",IF(COUNTIF('Calculations'!$HE$13:$HE$512,"="&amp;SUBSTITUTE(SUBSTITUTE(SUBSTITUTE('Calculations'!HX36,"~","~~"),"*","~*"),"?","~?"))&gt;1,"!AMBIG",IFERROR(INDEX('Calculations'!$HF$13:$HF$512,MATCH('Calculations'!HX36,'Calculations'!$HE$13:$HE$512,0)),""))))</x:f>
      </x:c>
      <x:c r="HZ36" t="str">
        <x:f>IF('Calculations'!HY36="","",IF('Calculations'!HY36="!AMBIG","!AMBIG",IF(COUNTIF('Calculations'!$HE$13:$HE$512,"="&amp;SUBSTITUTE(SUBSTITUTE(SUBSTITUTE('Calculations'!HY36,"~","~~"),"*","~*"),"?","~?"))&gt;1,"!AMBIG",IFERROR(INDEX('Calculations'!$HF$13:$HF$512,MATCH('Calculations'!HY36,'Calculations'!$HE$13:$HE$512,0)),""))))</x:f>
      </x:c>
      <x:c r="IA36" t="str">
        <x:f>IF('Calculations'!HZ36="","",IF('Calculations'!HZ36="!AMBIG","!AMBIG",IF(COUNTIF('Calculations'!$HE$13:$HE$512,"="&amp;SUBSTITUTE(SUBSTITUTE(SUBSTITUTE('Calculations'!HZ36,"~","~~"),"*","~*"),"?","~?"))&gt;1,"!AMBIG",IFERROR(INDEX('Calculations'!$HF$13:$HF$512,MATCH('Calculations'!HZ36,'Calculations'!$HE$13:$HE$512,0)),""))))</x:f>
      </x:c>
      <x:c r="IB36" t="str">
        <x:f>IF('Calculations'!IA36="","",IF('Calculations'!IA36="!AMBIG","!AMBIG",IF(COUNTIF('Calculations'!$HE$13:$HE$512,"="&amp;SUBSTITUTE(SUBSTITUTE(SUBSTITUTE('Calculations'!IA36,"~","~~"),"*","~*"),"?","~?"))&gt;1,"!AMBIG",IFERROR(INDEX('Calculations'!$HF$13:$HF$512,MATCH('Calculations'!IA36,'Calculations'!$HE$13:$HE$512,0)),""))))</x:f>
      </x:c>
      <x:c r="IC36" t="str">
        <x:f>IF('Calculations'!IB36="","",IF('Calculations'!IB36="!AMBIG","!AMBIG",IF(COUNTIF('Calculations'!$HE$13:$HE$512,"="&amp;SUBSTITUTE(SUBSTITUTE(SUBSTITUTE('Calculations'!IB36,"~","~~"),"*","~*"),"?","~?"))&gt;1,"!AMBIG",IFERROR(INDEX('Calculations'!$HF$13:$HF$512,MATCH('Calculations'!IB36,'Calculations'!$HE$13:$HE$512,0)),""))))</x:f>
      </x:c>
      <x:c r="ID36" t="str">
        <x:f>IF('Calculations'!IC36="","",IF('Calculations'!IC36="!AMBIG","!AMBIG",IF(COUNTIF('Calculations'!$HE$13:$HE$512,"="&amp;SUBSTITUTE(SUBSTITUTE(SUBSTITUTE('Calculations'!IC36,"~","~~"),"*","~*"),"?","~?"))&gt;1,"!AMBIG",IFERROR(INDEX('Calculations'!$HF$13:$HF$512,MATCH('Calculations'!IC36,'Calculations'!$HE$13:$HE$512,0)),""))))</x:f>
      </x:c>
      <x:c r="IE36" t="str">
        <x:f>IF('Calculations'!ID36="","",IF('Calculations'!ID36="!AMBIG","!AMBIG",IF(COUNTIF('Calculations'!$HE$13:$HE$512,"="&amp;SUBSTITUTE(SUBSTITUTE(SUBSTITUTE('Calculations'!ID36,"~","~~"),"*","~*"),"?","~?"))&gt;1,"!AMBIG",IFERROR(INDEX('Calculations'!$HF$13:$HF$512,MATCH('Calculations'!ID36,'Calculations'!$HE$13:$HE$512,0)),""))))</x:f>
      </x:c>
      <x:c r="IF36" t="str">
        <x:f>IF('Calculations'!IE36="","",IF('Calculations'!IE36="!AMBIG","!AMBIG",IF(COUNTIF('Calculations'!$HE$13:$HE$512,"="&amp;SUBSTITUTE(SUBSTITUTE(SUBSTITUTE('Calculations'!IE36,"~","~~"),"*","~*"),"?","~?"))&gt;1,"!AMBIG",IFERROR(INDEX('Calculations'!$HF$13:$HF$512,MATCH('Calculations'!IE36,'Calculations'!$HE$13:$HE$512,0)),""))))</x:f>
      </x:c>
      <x:c r="IG36" t="str">
        <x:f>IF('Calculations'!IF36="","",IF('Calculations'!IF36="!AMBIG","!AMBIG",IF(COUNTIF('Calculations'!$HE$13:$HE$512,"="&amp;SUBSTITUTE(SUBSTITUTE(SUBSTITUTE('Calculations'!IF36,"~","~~"),"*","~*"),"?","~?"))&gt;1,"!AMBIG",IFERROR(INDEX('Calculations'!$HF$13:$HF$512,MATCH('Calculations'!IF36,'Calculations'!$HE$13:$HE$512,0)),""))))</x:f>
      </x:c>
      <x:c r="IH36" t="str">
        <x:f>IF('Calculations'!IG36="","",IF('Calculations'!IG36="!AMBIG","!AMBIG",IF(COUNTIF('Calculations'!$HE$13:$HE$512,"="&amp;SUBSTITUTE(SUBSTITUTE(SUBSTITUTE('Calculations'!IG36,"~","~~"),"*","~*"),"?","~?"))&gt;1,"!AMBIG",IFERROR(INDEX('Calculations'!$HF$13:$HF$512,MATCH('Calculations'!IG36,'Calculations'!$HE$13:$HE$512,0)),""))))</x:f>
      </x:c>
      <x:c r="II36" t="str">
        <x:f>IF('Calculations'!IH36="","",IF('Calculations'!IH36="!AMBIG","!AMBIG",IF(COUNTIF('Calculations'!$HE$13:$HE$512,"="&amp;SUBSTITUTE(SUBSTITUTE(SUBSTITUTE('Calculations'!IH36,"~","~~"),"*","~*"),"?","~?"))&gt;1,"!AMBIG",IFERROR(INDEX('Calculations'!$HF$13:$HF$512,MATCH('Calculations'!IH36,'Calculations'!$HE$13:$HE$512,0)),""))))</x:f>
      </x:c>
      <x:c r="IJ36" t="str">
        <x:f>IF('Calculations'!EM36="","",IF('Calculations'!$EF$2="All",'Calculations'!HM36,IF('Calculations'!HL36=1,"",IFERROR(IF(MATCH('Calculations'!$EF$2,'Calculations'!HO36:II36,0)=1,'Calculations'!HE36,INDEX('Calculations'!HO36:II36,1,MATCH('Calculations'!$EF$2,'Calculations'!HO36:II36,0)-1)),""))))</x:f>
      </x:c>
      <x:c r="IK36" t="n">
        <x:f>IF(AND('Calculations'!EM36&lt;&gt;"",'Calculations'!$EF$2&lt;&gt;"All",'Calculations'!HF36='Calculations'!$EF$2,'Calculations'!HL36=0,'Calculations'!JD36&gt;0),MAX('Calculations'!$IK$12:IK35)+1,0)</x:f>
        <x:v>0</x:v>
      </x:c>
      <x:c r="JA36" t="n">
        <x:f>IF(OR(IFERROR(INDIRECT("'WCM Calibration Final'!$A$36")&lt;&gt;"",FALSE),IFERROR(INDIRECT("'WCM Calibration Final'!$B$36")&lt;&gt;"",FALSE),IFERROR(INDIRECT("'WCM Calibration Final'!$C$36")&lt;&gt;"",FALSE)),36,0)</x:f>
        <x:v>0</x:v>
      </x:c>
      <x:c r="JB36" t="n">
        <x:f>'Calculations'!JB35+IF('Calculations'!JA36&gt;0,1,0)</x:f>
        <x:v>0</x:v>
      </x:c>
      <x:c r="JC36" t="n">
        <x:f>IF(OR('Calculations'!HF36="",'Calculations'!HF36="!AMBIG"),0,IF('Dashboard'!$B$7="All",1,COUNTIFS('Calculations'!$HO$13:$HO$512,"="&amp;SUBSTITUTE(SUBSTITUTE(SUBSTITUTE('Calculations'!HF36,"~","~~"),"*","~*"),"?","~?"),'Calculations'!$HN$13:$HN$512,"="&amp;SUBSTITUTE(SUBSTITUTE(SUBSTITUTE('Dashboard'!$B$7,"~","~~"),"*","~*"),"?","~?"))+COUNTIFS('Calculations'!$HP$13:$HP$512,"="&amp;SUBSTITUTE(SUBSTITUTE(SUBSTITUTE('Calculations'!HF36,"~","~~"),"*","~*"),"?","~?"),'Calculations'!$HN$13:$HN$512,"="&amp;SUBSTITUTE(SUBSTITUTE(SUBSTITUTE('Dashboard'!$B$7,"~","~~"),"*","~*"),"?","~?"))+COUNTIFS('Calculations'!$HQ$13:$HQ$512,"="&amp;SUBSTITUTE(SUBSTITUTE(SUBSTITUTE('Calculations'!HF36,"~","~~"),"*","~*"),"?","~?"),'Calculations'!$HN$13:$HN$512,"="&amp;SUBSTITUTE(SUBSTITUTE(SUBSTITUTE('Dashboard'!$B$7,"~","~~"),"*","~*"),"?","~?"))+COUNTIFS('Calculations'!$HR$13:$HR$512,"="&amp;SUBSTITUTE(SUBSTITUTE(SUBSTITUTE('Calculations'!HF36,"~","~~"),"*","~*"),"?","~?"),'Calculations'!$HN$13:$HN$512,"="&amp;SUBSTITUTE(SUBSTITUTE(SUBSTITUTE('Dashboard'!$B$7,"~","~~"),"*","~*"),"?","~?"))+COUNTIFS('Calculations'!$HS$13:$HS$512,"="&amp;SUBSTITUTE(SUBSTITUTE(SUBSTITUTE('Calculations'!HF36,"~","~~"),"*","~*"),"?","~?"),'Calculations'!$HN$13:$HN$512,"="&amp;SUBSTITUTE(SUBSTITUTE(SUBSTITUTE('Dashboard'!$B$7,"~","~~"),"*","~*"),"?","~?"))+COUNTIFS('Calculations'!$HT$13:$HT$512,"="&amp;SUBSTITUTE(SUBSTITUTE(SUBSTITUTE('Calculations'!HF36,"~","~~"),"*","~*"),"?","~?"),'Calculations'!$HN$13:$HN$512,"="&amp;SUBSTITUTE(SUBSTITUTE(SUBSTITUTE('Dashboard'!$B$7,"~","~~"),"*","~*"),"?","~?"))+COUNTIFS('Calculations'!$HU$13:$HU$512,"="&amp;SUBSTITUTE(SUBSTITUTE(SUBSTITUTE('Calculations'!HF36,"~","~~"),"*","~*"),"?","~?"),'Calculations'!$HN$13:$HN$512,"="&amp;SUBSTITUTE(SUBSTITUTE(SUBSTITUTE('Dashboard'!$B$7,"~","~~"),"*","~*"),"?","~?"))+COUNTIFS('Calculations'!$HV$13:$HV$512,"="&amp;SUBSTITUTE(SUBSTITUTE(SUBSTITUTE('Calculations'!HF36,"~","~~"),"*","~*"),"?","~?"),'Calculations'!$HN$13:$HN$512,"="&amp;SUBSTITUTE(SUBSTITUTE(SUBSTITUTE('Dashboard'!$B$7,"~","~~"),"*","~*"),"?","~?"))+COUNTIFS('Calculations'!$HW$13:$HW$512,"="&amp;SUBSTITUTE(SUBSTITUTE(SUBSTITUTE('Calculations'!HF36,"~","~~"),"*","~*"),"?","~?"),'Calculations'!$HN$13:$HN$512,"="&amp;SUBSTITUTE(SUBSTITUTE(SUBSTITUTE('Dashboard'!$B$7,"~","~~"),"*","~*"),"?","~?"))+COUNTIFS('Calculations'!$HX$13:$HX$512,"="&amp;SUBSTITUTE(SUBSTITUTE(SUBSTITUTE('Calculations'!HF36,"~","~~"),"*","~*"),"?","~?"),'Calculations'!$HN$13:$HN$512,"="&amp;SUBSTITUTE(SUBSTITUTE(SUBSTITUTE('Dashboard'!$B$7,"~","~~"),"*","~*"),"?","~?"))+COUNTIFS('Calculations'!$HY$13:$HY$512,"="&amp;SUBSTITUTE(SUBSTITUTE(SUBSTITUTE('Calculations'!HF36,"~","~~"),"*","~*"),"?","~?"),'Calculations'!$HN$13:$HN$512,"="&amp;SUBSTITUTE(SUBSTITUTE(SUBSTITUTE('Dashboard'!$B$7,"~","~~"),"*","~*"),"?","~?"))+COUNTIFS('Calculations'!$HZ$13:$HZ$512,"="&amp;SUBSTITUTE(SUBSTITUTE(SUBSTITUTE('Calculations'!HF36,"~","~~"),"*","~*"),"?","~?"),'Calculations'!$HN$13:$HN$512,"="&amp;SUBSTITUTE(SUBSTITUTE(SUBSTITUTE('Dashboard'!$B$7,"~","~~"),"*","~*"),"?","~?"))+COUNTIFS('Calculations'!$IA$13:$IA$512,"="&amp;SUBSTITUTE(SUBSTITUTE(SUBSTITUTE('Calculations'!HF36,"~","~~"),"*","~*"),"?","~?"),'Calculations'!$HN$13:$HN$512,"="&amp;SUBSTITUTE(SUBSTITUTE(SUBSTITUTE('Dashboard'!$B$7,"~","~~"),"*","~*"),"?","~?"))+COUNTIFS('Calculations'!$IB$13:$IB$512,"="&amp;SUBSTITUTE(SUBSTITUTE(SUBSTITUTE('Calculations'!HF36,"~","~~"),"*","~*"),"?","~?"),'Calculations'!$HN$13:$HN$512,"="&amp;SUBSTITUTE(SUBSTITUTE(SUBSTITUTE('Dashboard'!$B$7,"~","~~"),"*","~*"),"?","~?"))+COUNTIFS('Calculations'!$IC$13:$IC$512,"="&amp;SUBSTITUTE(SUBSTITUTE(SUBSTITUTE('Calculations'!HF36,"~","~~"),"*","~*"),"?","~?"),'Calculations'!$HN$13:$HN$512,"="&amp;SUBSTITUTE(SUBSTITUTE(SUBSTITUTE('Dashboard'!$B$7,"~","~~"),"*","~*"),"?","~?"))+COUNTIFS('Calculations'!$ID$13:$ID$512,"="&amp;SUBSTITUTE(SUBSTITUTE(SUBSTITUTE('Calculations'!HF36,"~","~~"),"*","~*"),"?","~?"),'Calculations'!$HN$13:$HN$512,"="&amp;SUBSTITUTE(SUBSTITUTE(SUBSTITUTE('Dashboard'!$B$7,"~","~~"),"*","~*"),"?","~?"))+COUNTIFS('Calculations'!$IE$13:$IE$512,"="&amp;SUBSTITUTE(SUBSTITUTE(SUBSTITUTE('Calculations'!HF36,"~","~~"),"*","~*"),"?","~?"),'Calculations'!$HN$13:$HN$512,"="&amp;SUBSTITUTE(SUBSTITUTE(SUBSTITUTE('Dashboard'!$B$7,"~","~~"),"*","~*"),"?","~?"))+COUNTIFS('Calculations'!$IF$13:$IF$512,"="&amp;SUBSTITUTE(SUBSTITUTE(SUBSTITUTE('Calculations'!HF36,"~","~~"),"*","~*"),"?","~?"),'Calculations'!$HN$13:$HN$512,"="&amp;SUBSTITUTE(SUBSTITUTE(SUBSTITUTE('Dashboard'!$B$7,"~","~~"),"*","~*"),"?","~?"))+COUNTIFS('Calculations'!$IG$13:$IG$512,"="&amp;SUBSTITUTE(SUBSTITUTE(SUBSTITUTE('Calculations'!HF36,"~","~~"),"*","~*"),"?","~?"),'Calculations'!$HN$13:$HN$512,"="&amp;SUBSTITUTE(SUBSTITUTE(SUBSTITUTE('Dashboard'!$B$7,"~","~~"),"*","~*"),"?","~?"))+COUNTIFS('Calculations'!$IH$13:$IH$512,"="&amp;SUBSTITUTE(SUBSTITUTE(SUBSTITUTE('Calculations'!HF36,"~","~~"),"*","~*"),"?","~?"),'Calculations'!$HN$13:$HN$512,"="&amp;SUBSTITUTE(SUBSTITUTE(SUBSTITUTE('Dashboard'!$B$7,"~","~~"),"*","~*"),"?","~?"))))</x:f>
        <x:v>0</x:v>
      </x:c>
      <x:c r="JD36" t="n">
        <x:f>IF('Calculations'!EM36="",0,IF('Dashboard'!$B$7="All",1,IF('Calculations'!HN36='Dashboard'!$B$7,1,0)+IFERROR(INDEX('Calculations'!$JC$13:$JC$512,MATCH('Calculations'!HE36,'Calculations'!$HF$13:$HF$512,0)),0)))</x:f>
        <x:v>0</x:v>
      </x:c>
      <x:c r="JE36" t="n">
        <x:f>IF(AND('Calculations'!EM36&lt;&gt;"",'Calculations'!$JJ$2&lt;&gt;"All",'Calculations'!$JJ$2&lt;&gt;"",'Calculations'!HF36='Calculations'!$JJ$2,'Calculations'!HL36=0,'Calculations'!JD36&gt;0),MAX('Calculations'!$JE$12:JE35)+1,0)</x:f>
        <x:v>0</x:v>
      </x:c>
      <x:c r="JF36" t="str">
        <x:f>IF('Calculations'!EM36="","",IFERROR(IF(INDEX(INDIRECT("'WCM Calibration Final'!$G$1:$G$2000"),'Calculations'!$EM36)="","",TRIM(INDEX(INDIRECT("'WCM Calibration Final'!$G$1:$G$2000"),'Calculations'!$EM36)&amp;"")),""))</x:f>
      </x:c>
      <x:c r="JQ36" t="n">
        <x:f>IF(OR('Calculations'!BM36=0,NOT('Calculations'!$AG$2),'Calculations'!$AG$8&gt;0),0,IF(OR('Dashboard'!$B$7="All",'Calculations'!HN36='Dashboard'!$B$7),IF('Calculations'!$JJ$2="All",1,IF(AND('Calculations'!HF36='Calculations'!$JJ$2,'Calculations'!HL36=0),1,0)),0))</x:f>
        <x:v>0</x:v>
      </x:c>
    </x:row>
    <x:row r="37">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t="n">
        <x:f>IF('Calculations'!$EM37="",0,IF(OR(IFERROR(INDEX(INDIRECT("'WCM Calibration Final'!$A$1:$A$2000"),'Calculations'!$EM37)&lt;&gt;"",FALSE),IFERROR(INDEX(INDIRECT("'WCM Calibration Final'!$B$1:$B$2000"),'Calculations'!$EM37)&lt;&gt;"",FALSE),IFERROR(INDEX(INDIRECT("'WCM Calibration Final'!$C$1:$C$2000"),'Calculations'!$EM37)&lt;&gt;"",FALSE)),1,0))</x:f>
        <x:v>0</x:v>
      </x:c>
      <x:c r="BN37" s="4" t="n">
        <x:f>IF(AND('Calculations'!BM37=1,'Calculations'!$AG$2,'Calculations'!$EN37=1),1,0)</x:f>
        <x:v>0</x:v>
      </x:c>
      <x:c r="BO37" s="4" t="str">
        <x:f>IF('Calculations'!BM37=0,"",IFERROR(IF(AND(VALUE(INDEX(INDIRECT("'WCM Calibration Final'!$K$1:$K$2000"),'Calculations'!$EM37))&gt;=1,VALUE(INDEX(INDIRECT("'WCM Calibration Final'!$K$1:$K$2000"),'Calculations'!$EM37))&lt;=4,MOD(VALUE(INDEX(INDIRECT("'WCM Calibration Final'!$K$1:$K$2000"),'Calculations'!$EM37)),1)=0),VALUE(INDEX(INDIRECT("'WCM Calibration Final'!$K$1:$K$2000"),'Calculations'!$EM37)),""),""))</x:f>
      </x:c>
      <x:c r="BP37" s="4" t="str">
        <x:f>IF('Calculations'!BM37=0,"",IFERROR(IF(AND(VALUE(INDEX(INDIRECT("'WCM Calibration Final'!$L$1:$L$2000"),'Calculations'!$EM37))&gt;=1,VALUE(INDEX(INDIRECT("'WCM Calibration Final'!$L$1:$L$2000"),'Calculations'!$EM37))&lt;=4,MOD(VALUE(INDEX(INDIRECT("'WCM Calibration Final'!$L$1:$L$2000"),'Calculations'!$EM37)),1)=0),VALUE(INDEX(INDIRECT("'WCM Calibration Final'!$L$1:$L$2000"),'Calculations'!$EM37)),""),""))</x:f>
      </x:c>
      <x:c r="BQ37" s="4"/>
      <x:c r="BR37" s="4"/>
      <x:c r="BS37" s="4"/>
      <x:c r="BT37" s="4" t="n">
        <x:f>IF(AND('Calculations'!BM37=1,ISNUMBER('Calculations'!BO37),ISNUMBER('Calculations'!BP37)),1,0)</x:f>
        <x:v>0</x:v>
      </x:c>
      <x:c r="BU37" s="4" t="str">
        <x:f>IF('Calculations'!BM37=0,"",'Calculations'!$EO37)</x:f>
      </x:c>
      <x:c r="BV37" s="4" t="str">
        <x:f>IF('Calculations'!BM37=0,"",IFERROR(IF(OR(INDEX(INDIRECT("'WCM Calibration Final'!$H$1:$H$2000"),'Calculations'!$EM37)="MANAGING DIRECTOR",INDEX(INDIRECT("'WCM Calibration Final'!$H$1:$H$2000"),'Calculations'!$EM37)="DIRECTOR",INDEX(INDIRECT("'WCM Calibration Final'!$H$1:$H$2000"),'Calculations'!$EM37)="SENIOR VICE PRESIDENT",INDEX(INDIRECT("'WCM Calibration Final'!$H$1:$H$2000"),'Calculations'!$EM37)="VICE PRESIDENT",INDEX(INDIRECT("'WCM Calibration Final'!$H$1:$H$2000"),'Calculations'!$EM37)="ASSISTANT VICE PRESIDENT",INDEX(INDIRECT("'WCM Calibration Final'!$H$1:$H$2000"),'Calculations'!$EM37)="OFFICER"),UPPER(INDEX(INDIRECT("'WCM Calibration Final'!$H$1:$H$2000"),'Calculations'!$EM37)),"Other"),"Other"))</x:f>
      </x:c>
      <x:c r="BW37" s="4"/>
      <x:c r="BX37" s="4"/>
      <x:c r="BY37" s="4" t="n">
        <x:f>IF(AND('Calculations'!BM37=1,'Calculations'!BU37&lt;&gt;"",COUNTIF('Calculations'!$BU$12:BU37,'Calculations'!BU37)=1),MAX('Calculations'!$BY$11:BY36)+1,0)</x:f>
        <x:v>0</x:v>
      </x:c>
      <x:c r="BZ37" s="4" t="str">
        <x:f>IF('Dashboard'!$E$67="What",'Calculations'!BO37,'Calculations'!BP37)</x:f>
      </x:c>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t="str">
        <x:f>IF(26&gt;MAX('Calculations'!$HI$13:$HI$512),"",INDEX('Calculations'!$HN$13:$HN$512,MATCH(26,'Calculations'!$HI$13:$HI$512,0)))</x:f>
      </x:c>
      <x:c r="DB37" s="4" t="str">
        <x:f>IF(26&gt;MAX('Calculations'!$HH$13:$HH$512),"",INDEX('Calculations'!$HJ$13:$HJ$512,MATCH(26,'Calculations'!$HH$13:$HH$512,0)))</x:f>
      </x:c>
      <x:c r="DC37" s="4" t="str">
        <x:f>IF(ROW()-11&gt;MAX('Calculations'!$BY$13:$BY$512),"",INDEX('Calculations'!$BU$13:$BU$512,MATCH(ROW()-11,'Calculations'!$BY$13:$BY$512,0)))</x:f>
      </x:c>
      <x:c r="DD37" s="4" t="str">
        <x:f>IF(26&gt;MAX('Calculations'!$IK$13:$IK$512),"",INDEX('Calculations'!$HK$13:$HK$512,MATCH(26,'Calculations'!$IK$13:$IK$512,0)))</x:f>
      </x:c>
      <x:c r="DE37" s="4" t="str">
        <x:f>'Calculations'!DC37</x:f>
      </x:c>
      <x:c r="DF37" s="4" t="str">
        <x:f>IF('Calculations'!DE37="","",COUNTIFS('Calculations'!$BN$13:$BN$512,1,'Calculations'!$BU$13:$BU$512,'Calculations'!DE37))</x:f>
      </x:c>
      <x:c r="DG37" s="4" t="str">
        <x:f>IF('Calculations'!DE37="","",COUNTIFS('Calculations'!$BN$13:$BN$512,1,'Calculations'!$BU$13:$BU$512,'Calculations'!DE37,'Calculations'!$BT$13:$BT$512,1))</x:f>
      </x:c>
      <x:c r="DH37" s="4" t="str">
        <x:f>IF('Calculations'!DE37="","",'Calculations'!DF37-'Calculations'!DG37)</x:f>
      </x:c>
      <x:c r="DI37" s="4" t="str">
        <x:f>IF(OR('Calculations'!DE37="",'Calculations'!DF37=0),"",'Calculations'!DG37/'Calculations'!DF37)</x:f>
      </x:c>
      <x:c r="DJ37" s="4" t="str">
        <x:f>IF('Calculations'!DE37="","",COUNTIFS('Calculations'!$BN$13:$BN$512,1,'Calculations'!$BU$13:$BU$512,'Calculations'!DE37,'Calculations'!$BT$13:$BT$512,1,'Calculations'!$EE$13:$EE$512,"High"))</x:f>
      </x:c>
      <x:c r="DK37" s="4" t="str">
        <x:f>IF('Calculations'!DE37="","",COUNTIFS('Calculations'!$BN$13:$BN$512,1,'Calculations'!$BU$13:$BU$512,'Calculations'!DE37,'Calculations'!$BT$13:$BT$512,1,'Calculations'!$EE$13:$EE$512,"Strong"))</x:f>
      </x:c>
      <x:c r="DL37" s="4" t="str">
        <x:f>IF('Calculations'!DE37="","",COUNTIFS('Calculations'!$BN$13:$BN$512,1,'Calculations'!$BU$13:$BU$512,'Calculations'!DE37,'Calculations'!$BT$13:$BT$512,1,'Calculations'!$EE$13:$EE$512,"Solid"))</x:f>
      </x:c>
      <x:c r="DM37" s="4" t="str">
        <x:f>IF('Calculations'!DE37="","",COUNTIFS('Calculations'!$BN$13:$BN$512,1,'Calculations'!$BU$13:$BU$512,'Calculations'!DE37,'Calculations'!$BT$13:$BT$512,1,'Calculations'!$EE$13:$EE$512,"Low"))</x:f>
      </x:c>
      <x:c r="DN37" s="4" t="str">
        <x:f>IF('Calculations'!DE37="","",COUNTIFS('Calculations'!$BN$13:$BN$512,1,'Calculations'!$BU$13:$BU$512,'Calculations'!DE37,'Calculations'!$EP$13:$EP$512,1))</x:f>
      </x:c>
      <x:c r="DO37" s="4" t="str">
        <x:f>IF(OR('Calculations'!DE37="",'Calculations'!DG37=0),"",('Calculations'!DJ37+'Calculations'!DK37)/'Calculations'!DG37)</x:f>
      </x:c>
      <x:c r="DP37" s="4" t="n">
        <x:f>IF(AND('Calculations'!DE37&lt;&gt;"",'Calculations'!DF37&gt;0),COUNTIF('Calculations'!$DF$12:DF37,"&gt;0"),0)</x:f>
        <x:v>0</x:v>
      </x:c>
      <x:c r="DQ37" s="4" t="str">
        <x:f>IF(26&gt;MAX('Calculations'!$HH$13:$HH$512),"",INDEX('Calculations'!$HF$13:$HF$512,MATCH(26,'Calculations'!$HH$13:$HH$512,0)))</x:f>
      </x:c>
      <x:c r="DR37" s="4" t="str">
        <x:f>IF(26&gt;MAX('Calculations'!$IK$13:$IK$512),"",INDEX('Calculations'!$HE$13:$HE$512,MATCH(26,'Calculations'!$IK$13:$IK$512,0)))</x:f>
      </x:c>
      <x:c r="DS37" s="4"/>
      <x:c r="DT37" s="4"/>
      <x:c r="DU37" s="4"/>
      <x:c r="DV37" s="4"/>
      <x:c r="DW37" s="4"/>
      <x:c r="DX37" s="4"/>
      <x:c r="DY37" s="4"/>
      <x:c r="DZ37" s="4"/>
      <x:c r="EA37" s="4"/>
      <x:c r="EB37" s="4"/>
      <x:c r="EC37" s="4"/>
      <x:c r="ED37" s="4"/>
      <x:c r="EE37" s="4" t="str">
        <x:f>IF('Calculations'!BT37=0,"Not Rated",IF(OR('Calculations'!BO37&gt;=4,'Calculations'!BP37&gt;=4),"Low",IF('Calculations'!BO37+'Calculations'!BP37&lt;=3,"High",IF('Calculations'!BO37+'Calculations'!BP37&lt;=4,"Strong","Solid"))))</x:f>
        <x:v>Not Rated</x:v>
      </x:c>
      <x:c r="EF37" s="4"/>
      <x:c r="EG37" s="4"/>
      <x:c r="EH37" s="4"/>
      <x:c r="EI37" s="4"/>
      <x:c r="EJ37" s="4"/>
      <x:c r="EK37" s="4"/>
      <x:c r="EL37" s="4"/>
      <x:c r="EM37" s="4" t="str">
        <x:f>IF(25&gt;'Calculations'!$JB$2000,"",INDEX('Calculations'!$JA$12:$JA$2000,MATCH(25,'Calculations'!$JB$12:$JB$2000,0)))</x:f>
      </x:c>
      <x:c r="EN37" s="4" t="n">
        <x:f>IF(OR('Calculations'!EM37="",'Calculations'!$AG$8&gt;0,AND('Calculations'!$EF$2&lt;&gt;"All",'Calculations'!HE37='Calculations'!$EF$2),AND('Calculations'!$EF$3&lt;&gt;"All",'Calculations'!HE37='Calculations'!$EF$3)),0,IF(OR('Dashboard'!$B$7="All",'Calculations'!HN37='Dashboard'!$B$7),IF('Calculations'!$EF$2="All",1,IF('Calculations'!HL37&gt;0,0,IF(COUNTIF('Calculations'!HO37:II37,"="&amp;SUBSTITUTE(SUBSTITUTE(SUBSTITUTE('Calculations'!$EF$2,"~","~~"),"*","~*"),"?","~?"))=0,0,IF('Calculations'!$EF$3="All",1,IF(COUNTIF('Calculations'!HO37:II37,"="&amp;SUBSTITUTE(SUBSTITUTE(SUBSTITUTE('Calculations'!$EF$3,"~","~~"),"*","~*"),"?","~?"))&gt;0,1,0))))),0))</x:f>
        <x:v>0</x:v>
      </x:c>
      <x:c r="EO37" s="4" t="str">
        <x:f>IF('Calculations'!IJ37="","",IF('Calculations'!IJ37="!UNRESOLVED","Unresolved hierarchy",IFERROR(INDEX('Calculations'!$HK$13:$HK$512,MATCH('Calculations'!IJ37,'Calculations'!$HE$13:$HE$512,0)),IFERROR(INDEX('Calculations'!$HJ$13:$HJ$512,MATCH('Calculations'!IJ37,'Calculations'!$HF$13:$HF$512,0)),'Calculations'!IJ37))))</x:f>
      </x:c>
      <x:c r="EP37" s="4" t="n">
        <x:f>IF(AND('Calculations'!EM37&lt;&gt;"",'Calculations'!HF37='Calculations'!IJ37),1,0)</x:f>
        <x:v>0</x:v>
      </x:c>
      <x:c r="EQ37" s="4"/>
      <x:c r="ER37" s="4"/>
      <x:c r="ES37" s="4"/>
      <x:c r="ET37" s="4"/>
      <x:c r="EU37" s="4"/>
      <x:c r="EV37" s="4"/>
      <x:c r="EW37" s="4"/>
      <x:c r="EX37" s="4"/>
      <x:c r="EY37" s="4"/>
      <x:c r="EZ37" s="4"/>
      <x:c r="FA37" s="4"/>
      <x:c r="FB37" s="4"/>
      <x:c r="FC37" s="4"/>
      <x:c r="FD37" s="4"/>
      <x:c r="FE37" s="4"/>
      <x:c r="FF37" s="4"/>
      <x:c r="FG37" s="4"/>
      <x:c r="FH37" s="4"/>
      <x:c r="FI37" s="4"/>
      <x:c r="FJ37" s="4"/>
      <x:c r="FK37" s="4"/>
      <x:c r="FL37" s="4"/>
      <x:c r="FM37" s="4"/>
      <x:c r="FN37" s="4"/>
      <x:c r="FO37" s="4"/>
      <x:c r="GA37" s="71"/>
      <x:c r="GB37" s="71"/>
      <x:c r="GC37" s="71"/>
      <x:c r="GD37" s="71"/>
      <x:c r="GE37" s="71"/>
      <x:c r="GF37" s="71"/>
      <x:c r="GG37" s="71"/>
      <x:c r="GH37" s="71"/>
      <x:c r="GI37" s="71"/>
      <x:c r="GJ37" s="71"/>
      <x:c r="GK37" s="71"/>
      <x:c r="GL37" s="71"/>
      <x:c r="GM37" s="71"/>
      <x:c r="GN37" s="71"/>
      <x:c r="GO37" s="71"/>
      <x:c r="GP37" s="71"/>
      <x:c r="GQ37" s="71"/>
      <x:c r="GR37" s="71"/>
      <x:c r="GS37" s="71"/>
      <x:c r="GT37" s="71"/>
      <x:c r="GU37" s="71"/>
      <x:c r="GV37" s="71"/>
      <x:c r="GW37" s="71"/>
      <x:c r="GX37" s="71"/>
      <x:c r="GY37" s="71"/>
      <x:c r="GZ37" s="71"/>
      <x:c r="HA37" s="71"/>
      <x:c r="HB37" s="71"/>
      <x:c r="HC37" s="71"/>
      <x:c r="HD37" s="71"/>
      <x:c r="HE37" t="str">
        <x:f>IF('Calculations'!EM37="","",IF(IFERROR(IF(INDEX(INDIRECT("'WCM Calibration Final'!$A$1:$A$2000"),'Calculations'!$EM37)="","",TRIM(INDEX(INDIRECT("'WCM Calibration Final'!$A$1:$A$2000"),'Calculations'!$EM37)&amp;"")),"")&lt;&gt;"","G:"&amp;IFERROR(TEXT(1*INDEX(INDIRECT("'WCM Calibration Final'!$A$1:$A$2000"),'Calculations'!$EM37),"0"),UPPER(IFERROR(IF(INDEX(INDIRECT("'WCM Calibration Final'!$A$1:$A$2000"),'Calculations'!$EM37)="","",TRIM(INDEX(INDIRECT("'WCM Calibration Final'!$A$1:$A$2000"),'Calculations'!$EM37)&amp;"")),""))),IF(IFERROR(IF(INDEX(INDIRECT("'WCM Calibration Final'!$C$1:$C$2000"),'Calculations'!$EM37)="","",TRIM(INDEX(INDIRECT("'WCM Calibration Final'!$C$1:$C$2000"),'Calculations'!$EM37)&amp;"")),"")&lt;&gt;"","S:"&amp;UPPER(IFERROR(IF(INDEX(INDIRECT("'WCM Calibration Final'!$C$1:$C$2000"),'Calculations'!$EM37)="","",TRIM(INDEX(INDIRECT("'WCM Calibration Final'!$C$1:$C$2000"),'Calculations'!$EM37)&amp;"")),"")),"R:"&amp;'Calculations'!EM37)))</x:f>
      </x:c>
      <x:c r="HF37" t="str">
        <x:f>IF('Calculations'!EM37="","",IF(IFERROR(IF(INDEX(INDIRECT("'WCM Calibration Final'!$D$1:$D$2000"),'Calculations'!$EM37)="","",TRIM(INDEX(INDIRECT("'WCM Calibration Final'!$D$1:$D$2000"),'Calculations'!$EM37)&amp;"")),"")&lt;&gt;"","G:"&amp;IFERROR(TEXT(1*INDEX(INDIRECT("'WCM Calibration Final'!$D$1:$D$2000"),'Calculations'!$EM37),"0"),UPPER(IFERROR(IF(INDEX(INDIRECT("'WCM Calibration Final'!$D$1:$D$2000"),'Calculations'!$EM37)="","",TRIM(INDEX(INDIRECT("'WCM Calibration Final'!$D$1:$D$2000"),'Calculations'!$EM37)&amp;"")),""))),IF(IFERROR(IF(INDEX(INDIRECT("'WCM Calibration Final'!$E$1:$E$2000"),'Calculations'!$EM37)="","",TRIM(INDEX(INDIRECT("'WCM Calibration Final'!$E$1:$E$2000"),'Calculations'!$EM37)&amp;"")),"")="","",IF(COUNTIF('Calculations'!$HG$13:$HG$512,"="&amp;SUBSTITUTE(SUBSTITUTE(SUBSTITUTE(IFERROR(IF(INDEX(INDIRECT("'WCM Calibration Final'!$E$1:$E$2000"),'Calculations'!$EM37)="","",TRIM(INDEX(INDIRECT("'WCM Calibration Final'!$E$1:$E$2000"),'Calculations'!$EM37)&amp;"")),""),"~","~~"),"*","~*"),"?","~?"))=1,INDEX('Calculations'!$HE$13:$HE$512,MATCH(IFERROR(IF(INDEX(INDIRECT("'WCM Calibration Final'!$E$1:$E$2000"),'Calculations'!$EM37)="","",TRIM(INDEX(INDIRECT("'WCM Calibration Final'!$E$1:$E$2000"),'Calculations'!$EM37)&amp;"")),""),'Calculations'!$HG$13:$HG$512,0)),IF(COUNTIF('Calculations'!$HG$13:$HG$512,"="&amp;SUBSTITUTE(SUBSTITUTE(SUBSTITUTE(IFERROR(IF(INDEX(INDIRECT("'WCM Calibration Final'!$E$1:$E$2000"),'Calculations'!$EM37)="","",TRIM(INDEX(INDIRECT("'WCM Calibration Final'!$E$1:$E$2000"),'Calculations'!$EM37)&amp;"")),""),"~","~~"),"*","~*"),"?","~?"))&gt;1,"!AMBIG","X:"&amp;IFERROR(IF(INDEX(INDIRECT("'WCM Calibration Final'!$E$1:$E$2000"),'Calculations'!$EM37)="","",TRIM(INDEX(INDIRECT("'WCM Calibration Final'!$E$1:$E$2000"),'Calculations'!$EM37)&amp;"")),""))))))</x:f>
      </x:c>
      <x:c r="HG37" t="str">
        <x:f>IF('Calculations'!EM37="","",IFERROR(IF(INDEX(INDIRECT("'WCM Calibration Final'!$B$1:$B$2000"),'Calculations'!$EM37)="","",TRIM(INDEX(INDIRECT("'WCM Calibration Final'!$B$1:$B$2000"),'Calculations'!$EM37)&amp;"")),""))</x:f>
      </x:c>
      <x:c r="HH37" t="n">
        <x:f>IF(AND('Calculations'!JC37&gt;0,COUNTIF('Calculations'!$HF$12:HF37,"="&amp;SUBSTITUTE(SUBSTITUTE(SUBSTITUTE('Calculations'!HF37,"~","~~"),"*","~*"),"?","~?"))=1),MAX('Calculations'!$HH$12:HH36)+1,0)</x:f>
        <x:v>0</x:v>
      </x:c>
      <x:c r="HI37" t="n">
        <x:f>IF(AND('Calculations'!HN37&lt;&gt;"",COUNTIF('Calculations'!$HN$12:HN37,"="&amp;SUBSTITUTE(SUBSTITUTE(SUBSTITUTE('Calculations'!HN37,"~","~~"),"*","~*"),"?","~?"))=1),MAX('Calculations'!$HI$12:HI36)+1,0)</x:f>
        <x:v>0</x:v>
      </x:c>
      <x:c r="HJ37" t="str">
        <x:f>IF('Calculations'!HF37="","",IF(COUNTIF('Calculations'!$HE$13:$HE$512,"="&amp;SUBSTITUTE(SUBSTITUTE(SUBSTITUTE('Calculations'!HF37,"~","~~"),"*","~*"),"?","~?"))=1,INDEX('Calculations'!$HK$13:$HK$512,MATCH('Calculations'!HF37,'Calculations'!$HE$13:$HE$512,0)),IFERROR(IF(INDEX(INDIRECT("'WCM Calibration Final'!$E$1:$E$2000"),'Calculations'!$EM37)="","",TRIM(INDEX(INDIRECT("'WCM Calibration Final'!$E$1:$E$2000"),'Calculations'!$EM37)&amp;"")),"")&amp;" ["&amp;'Calculations'!HF37&amp;"]"))</x:f>
      </x:c>
      <x:c r="HK37" t="str">
        <x:f>IF('Calculations'!EM37="","",'Calculations'!HG37&amp;" ["&amp;'Calculations'!HE37&amp;"]")</x:f>
      </x:c>
      <x:c r="HL37" t="n">
        <x:f>IF('Calculations'!EM37="",0,IF(OR('Calculations'!II37&lt;&gt;"",COUNTIF('Calculations'!$HE$13:$HE$512,"="&amp;SUBSTITUTE(SUBSTITUTE(SUBSTITUTE('Calculations'!HE37,"~","~~"),"*","~*"),"?","~?"))&gt;1),1,0))</x:f>
        <x:v>0</x:v>
      </x:c>
      <x:c r="HM37" t="str">
        <x:f>IF('Calculations'!EM37="","",IF('Calculations'!HL37=1,"!UNRESOLVED",IF('Calculations'!IH37&lt;&gt;"",'Calculations'!IH37,IF('Calculations'!IG37&lt;&gt;"",'Calculations'!IG37,IF('Calculations'!IF37&lt;&gt;"",'Calculations'!IF37,IF('Calculations'!IE37&lt;&gt;"",'Calculations'!IE37,IF('Calculations'!ID37&lt;&gt;"",'Calculations'!ID37,IF('Calculations'!IC37&lt;&gt;"",'Calculations'!IC37,IF('Calculations'!IB37&lt;&gt;"",'Calculations'!IB37,IF('Calculations'!IA37&lt;&gt;"",'Calculations'!IA37,IF('Calculations'!HZ37&lt;&gt;"",'Calculations'!HZ37,IF('Calculations'!HY37&lt;&gt;"",'Calculations'!HY37,IF('Calculations'!HX37&lt;&gt;"",'Calculations'!HX37,IF('Calculations'!HW37&lt;&gt;"",'Calculations'!HW37,IF('Calculations'!HV37&lt;&gt;"",'Calculations'!HV37,IF('Calculations'!HU37&lt;&gt;"",'Calculations'!HU37,IF('Calculations'!HT37&lt;&gt;"",'Calculations'!HT37,IF('Calculations'!HS37&lt;&gt;"",'Calculations'!HS37,IF('Calculations'!HR37&lt;&gt;"",'Calculations'!HR37,IF('Calculations'!HQ37&lt;&gt;"",'Calculations'!HQ37,IF('Calculations'!HP37&lt;&gt;"",'Calculations'!HP37,IF('Calculations'!HO37&lt;&gt;"",'Calculations'!HO37,'Calculations'!HE37))))))))))))))))))))))</x:f>
      </x:c>
      <x:c r="HN37" t="str">
        <x:f>IF('Calculations'!EM37="","",IF(IFERROR(IF(INDEX(INDIRECT("'WCM Calibration Final'!$F$1:$F$2000"),'Calculations'!$EM37)="","",TRIM(INDEX(INDIRECT("'WCM Calibration Final'!$F$1:$F$2000"),'Calculations'!$EM37)&amp;"")),"")="","(Blank)",IFERROR(IF(INDEX(INDIRECT("'WCM Calibration Final'!$F$1:$F$2000"),'Calculations'!$EM37)="","",TRIM(INDEX(INDIRECT("'WCM Calibration Final'!$F$1:$F$2000"),'Calculations'!$EM37)&amp;"")),"")))</x:f>
      </x:c>
      <x:c r="HO37" t="str">
        <x:f>'Calculations'!HF37</x:f>
      </x:c>
      <x:c r="HP37" t="str">
        <x:f>IF('Calculations'!HO37="","",IF('Calculations'!HO37="!AMBIG","!AMBIG",IF(COUNTIF('Calculations'!$HE$13:$HE$512,"="&amp;SUBSTITUTE(SUBSTITUTE(SUBSTITUTE('Calculations'!HO37,"~","~~"),"*","~*"),"?","~?"))&gt;1,"!AMBIG",IFERROR(INDEX('Calculations'!$HF$13:$HF$512,MATCH('Calculations'!HO37,'Calculations'!$HE$13:$HE$512,0)),""))))</x:f>
      </x:c>
      <x:c r="HQ37" t="str">
        <x:f>IF('Calculations'!HP37="","",IF('Calculations'!HP37="!AMBIG","!AMBIG",IF(COUNTIF('Calculations'!$HE$13:$HE$512,"="&amp;SUBSTITUTE(SUBSTITUTE(SUBSTITUTE('Calculations'!HP37,"~","~~"),"*","~*"),"?","~?"))&gt;1,"!AMBIG",IFERROR(INDEX('Calculations'!$HF$13:$HF$512,MATCH('Calculations'!HP37,'Calculations'!$HE$13:$HE$512,0)),""))))</x:f>
      </x:c>
      <x:c r="HR37" t="str">
        <x:f>IF('Calculations'!HQ37="","",IF('Calculations'!HQ37="!AMBIG","!AMBIG",IF(COUNTIF('Calculations'!$HE$13:$HE$512,"="&amp;SUBSTITUTE(SUBSTITUTE(SUBSTITUTE('Calculations'!HQ37,"~","~~"),"*","~*"),"?","~?"))&gt;1,"!AMBIG",IFERROR(INDEX('Calculations'!$HF$13:$HF$512,MATCH('Calculations'!HQ37,'Calculations'!$HE$13:$HE$512,0)),""))))</x:f>
      </x:c>
      <x:c r="HS37" t="str">
        <x:f>IF('Calculations'!HR37="","",IF('Calculations'!HR37="!AMBIG","!AMBIG",IF(COUNTIF('Calculations'!$HE$13:$HE$512,"="&amp;SUBSTITUTE(SUBSTITUTE(SUBSTITUTE('Calculations'!HR37,"~","~~"),"*","~*"),"?","~?"))&gt;1,"!AMBIG",IFERROR(INDEX('Calculations'!$HF$13:$HF$512,MATCH('Calculations'!HR37,'Calculations'!$HE$13:$HE$512,0)),""))))</x:f>
      </x:c>
      <x:c r="HT37" t="str">
        <x:f>IF('Calculations'!HS37="","",IF('Calculations'!HS37="!AMBIG","!AMBIG",IF(COUNTIF('Calculations'!$HE$13:$HE$512,"="&amp;SUBSTITUTE(SUBSTITUTE(SUBSTITUTE('Calculations'!HS37,"~","~~"),"*","~*"),"?","~?"))&gt;1,"!AMBIG",IFERROR(INDEX('Calculations'!$HF$13:$HF$512,MATCH('Calculations'!HS37,'Calculations'!$HE$13:$HE$512,0)),""))))</x:f>
      </x:c>
      <x:c r="HU37" t="str">
        <x:f>IF('Calculations'!HT37="","",IF('Calculations'!HT37="!AMBIG","!AMBIG",IF(COUNTIF('Calculations'!$HE$13:$HE$512,"="&amp;SUBSTITUTE(SUBSTITUTE(SUBSTITUTE('Calculations'!HT37,"~","~~"),"*","~*"),"?","~?"))&gt;1,"!AMBIG",IFERROR(INDEX('Calculations'!$HF$13:$HF$512,MATCH('Calculations'!HT37,'Calculations'!$HE$13:$HE$512,0)),""))))</x:f>
      </x:c>
      <x:c r="HV37" t="str">
        <x:f>IF('Calculations'!HU37="","",IF('Calculations'!HU37="!AMBIG","!AMBIG",IF(COUNTIF('Calculations'!$HE$13:$HE$512,"="&amp;SUBSTITUTE(SUBSTITUTE(SUBSTITUTE('Calculations'!HU37,"~","~~"),"*","~*"),"?","~?"))&gt;1,"!AMBIG",IFERROR(INDEX('Calculations'!$HF$13:$HF$512,MATCH('Calculations'!HU37,'Calculations'!$HE$13:$HE$512,0)),""))))</x:f>
      </x:c>
      <x:c r="HW37" t="str">
        <x:f>IF('Calculations'!HV37="","",IF('Calculations'!HV37="!AMBIG","!AMBIG",IF(COUNTIF('Calculations'!$HE$13:$HE$512,"="&amp;SUBSTITUTE(SUBSTITUTE(SUBSTITUTE('Calculations'!HV37,"~","~~"),"*","~*"),"?","~?"))&gt;1,"!AMBIG",IFERROR(INDEX('Calculations'!$HF$13:$HF$512,MATCH('Calculations'!HV37,'Calculations'!$HE$13:$HE$512,0)),""))))</x:f>
      </x:c>
      <x:c r="HX37" t="str">
        <x:f>IF('Calculations'!HW37="","",IF('Calculations'!HW37="!AMBIG","!AMBIG",IF(COUNTIF('Calculations'!$HE$13:$HE$512,"="&amp;SUBSTITUTE(SUBSTITUTE(SUBSTITUTE('Calculations'!HW37,"~","~~"),"*","~*"),"?","~?"))&gt;1,"!AMBIG",IFERROR(INDEX('Calculations'!$HF$13:$HF$512,MATCH('Calculations'!HW37,'Calculations'!$HE$13:$HE$512,0)),""))))</x:f>
      </x:c>
      <x:c r="HY37" t="str">
        <x:f>IF('Calculations'!HX37="","",IF('Calculations'!HX37="!AMBIG","!AMBIG",IF(COUNTIF('Calculations'!$HE$13:$HE$512,"="&amp;SUBSTITUTE(SUBSTITUTE(SUBSTITUTE('Calculations'!HX37,"~","~~"),"*","~*"),"?","~?"))&gt;1,"!AMBIG",IFERROR(INDEX('Calculations'!$HF$13:$HF$512,MATCH('Calculations'!HX37,'Calculations'!$HE$13:$HE$512,0)),""))))</x:f>
      </x:c>
      <x:c r="HZ37" t="str">
        <x:f>IF('Calculations'!HY37="","",IF('Calculations'!HY37="!AMBIG","!AMBIG",IF(COUNTIF('Calculations'!$HE$13:$HE$512,"="&amp;SUBSTITUTE(SUBSTITUTE(SUBSTITUTE('Calculations'!HY37,"~","~~"),"*","~*"),"?","~?"))&gt;1,"!AMBIG",IFERROR(INDEX('Calculations'!$HF$13:$HF$512,MATCH('Calculations'!HY37,'Calculations'!$HE$13:$HE$512,0)),""))))</x:f>
      </x:c>
      <x:c r="IA37" t="str">
        <x:f>IF('Calculations'!HZ37="","",IF('Calculations'!HZ37="!AMBIG","!AMBIG",IF(COUNTIF('Calculations'!$HE$13:$HE$512,"="&amp;SUBSTITUTE(SUBSTITUTE(SUBSTITUTE('Calculations'!HZ37,"~","~~"),"*","~*"),"?","~?"))&gt;1,"!AMBIG",IFERROR(INDEX('Calculations'!$HF$13:$HF$512,MATCH('Calculations'!HZ37,'Calculations'!$HE$13:$HE$512,0)),""))))</x:f>
      </x:c>
      <x:c r="IB37" t="str">
        <x:f>IF('Calculations'!IA37="","",IF('Calculations'!IA37="!AMBIG","!AMBIG",IF(COUNTIF('Calculations'!$HE$13:$HE$512,"="&amp;SUBSTITUTE(SUBSTITUTE(SUBSTITUTE('Calculations'!IA37,"~","~~"),"*","~*"),"?","~?"))&gt;1,"!AMBIG",IFERROR(INDEX('Calculations'!$HF$13:$HF$512,MATCH('Calculations'!IA37,'Calculations'!$HE$13:$HE$512,0)),""))))</x:f>
      </x:c>
      <x:c r="IC37" t="str">
        <x:f>IF('Calculations'!IB37="","",IF('Calculations'!IB37="!AMBIG","!AMBIG",IF(COUNTIF('Calculations'!$HE$13:$HE$512,"="&amp;SUBSTITUTE(SUBSTITUTE(SUBSTITUTE('Calculations'!IB37,"~","~~"),"*","~*"),"?","~?"))&gt;1,"!AMBIG",IFERROR(INDEX('Calculations'!$HF$13:$HF$512,MATCH('Calculations'!IB37,'Calculations'!$HE$13:$HE$512,0)),""))))</x:f>
      </x:c>
      <x:c r="ID37" t="str">
        <x:f>IF('Calculations'!IC37="","",IF('Calculations'!IC37="!AMBIG","!AMBIG",IF(COUNTIF('Calculations'!$HE$13:$HE$512,"="&amp;SUBSTITUTE(SUBSTITUTE(SUBSTITUTE('Calculations'!IC37,"~","~~"),"*","~*"),"?","~?"))&gt;1,"!AMBIG",IFERROR(INDEX('Calculations'!$HF$13:$HF$512,MATCH('Calculations'!IC37,'Calculations'!$HE$13:$HE$512,0)),""))))</x:f>
      </x:c>
      <x:c r="IE37" t="str">
        <x:f>IF('Calculations'!ID37="","",IF('Calculations'!ID37="!AMBIG","!AMBIG",IF(COUNTIF('Calculations'!$HE$13:$HE$512,"="&amp;SUBSTITUTE(SUBSTITUTE(SUBSTITUTE('Calculations'!ID37,"~","~~"),"*","~*"),"?","~?"))&gt;1,"!AMBIG",IFERROR(INDEX('Calculations'!$HF$13:$HF$512,MATCH('Calculations'!ID37,'Calculations'!$HE$13:$HE$512,0)),""))))</x:f>
      </x:c>
      <x:c r="IF37" t="str">
        <x:f>IF('Calculations'!IE37="","",IF('Calculations'!IE37="!AMBIG","!AMBIG",IF(COUNTIF('Calculations'!$HE$13:$HE$512,"="&amp;SUBSTITUTE(SUBSTITUTE(SUBSTITUTE('Calculations'!IE37,"~","~~"),"*","~*"),"?","~?"))&gt;1,"!AMBIG",IFERROR(INDEX('Calculations'!$HF$13:$HF$512,MATCH('Calculations'!IE37,'Calculations'!$HE$13:$HE$512,0)),""))))</x:f>
      </x:c>
      <x:c r="IG37" t="str">
        <x:f>IF('Calculations'!IF37="","",IF('Calculations'!IF37="!AMBIG","!AMBIG",IF(COUNTIF('Calculations'!$HE$13:$HE$512,"="&amp;SUBSTITUTE(SUBSTITUTE(SUBSTITUTE('Calculations'!IF37,"~","~~"),"*","~*"),"?","~?"))&gt;1,"!AMBIG",IFERROR(INDEX('Calculations'!$HF$13:$HF$512,MATCH('Calculations'!IF37,'Calculations'!$HE$13:$HE$512,0)),""))))</x:f>
      </x:c>
      <x:c r="IH37" t="str">
        <x:f>IF('Calculations'!IG37="","",IF('Calculations'!IG37="!AMBIG","!AMBIG",IF(COUNTIF('Calculations'!$HE$13:$HE$512,"="&amp;SUBSTITUTE(SUBSTITUTE(SUBSTITUTE('Calculations'!IG37,"~","~~"),"*","~*"),"?","~?"))&gt;1,"!AMBIG",IFERROR(INDEX('Calculations'!$HF$13:$HF$512,MATCH('Calculations'!IG37,'Calculations'!$HE$13:$HE$512,0)),""))))</x:f>
      </x:c>
      <x:c r="II37" t="str">
        <x:f>IF('Calculations'!IH37="","",IF('Calculations'!IH37="!AMBIG","!AMBIG",IF(COUNTIF('Calculations'!$HE$13:$HE$512,"="&amp;SUBSTITUTE(SUBSTITUTE(SUBSTITUTE('Calculations'!IH37,"~","~~"),"*","~*"),"?","~?"))&gt;1,"!AMBIG",IFERROR(INDEX('Calculations'!$HF$13:$HF$512,MATCH('Calculations'!IH37,'Calculations'!$HE$13:$HE$512,0)),""))))</x:f>
      </x:c>
      <x:c r="IJ37" t="str">
        <x:f>IF('Calculations'!EM37="","",IF('Calculations'!$EF$2="All",'Calculations'!HM37,IF('Calculations'!HL37=1,"",IFERROR(IF(MATCH('Calculations'!$EF$2,'Calculations'!HO37:II37,0)=1,'Calculations'!HE37,INDEX('Calculations'!HO37:II37,1,MATCH('Calculations'!$EF$2,'Calculations'!HO37:II37,0)-1)),""))))</x:f>
      </x:c>
      <x:c r="IK37" t="n">
        <x:f>IF(AND('Calculations'!EM37&lt;&gt;"",'Calculations'!$EF$2&lt;&gt;"All",'Calculations'!HF37='Calculations'!$EF$2,'Calculations'!HL37=0,'Calculations'!JD37&gt;0),MAX('Calculations'!$IK$12:IK36)+1,0)</x:f>
        <x:v>0</x:v>
      </x:c>
      <x:c r="JA37" t="n">
        <x:f>IF(OR(IFERROR(INDIRECT("'WCM Calibration Final'!$A$37")&lt;&gt;"",FALSE),IFERROR(INDIRECT("'WCM Calibration Final'!$B$37")&lt;&gt;"",FALSE),IFERROR(INDIRECT("'WCM Calibration Final'!$C$37")&lt;&gt;"",FALSE)),37,0)</x:f>
        <x:v>0</x:v>
      </x:c>
      <x:c r="JB37" t="n">
        <x:f>'Calculations'!JB36+IF('Calculations'!JA37&gt;0,1,0)</x:f>
        <x:v>0</x:v>
      </x:c>
      <x:c r="JC37" t="n">
        <x:f>IF(OR('Calculations'!HF37="",'Calculations'!HF37="!AMBIG"),0,IF('Dashboard'!$B$7="All",1,COUNTIFS('Calculations'!$HO$13:$HO$512,"="&amp;SUBSTITUTE(SUBSTITUTE(SUBSTITUTE('Calculations'!HF37,"~","~~"),"*","~*"),"?","~?"),'Calculations'!$HN$13:$HN$512,"="&amp;SUBSTITUTE(SUBSTITUTE(SUBSTITUTE('Dashboard'!$B$7,"~","~~"),"*","~*"),"?","~?"))+COUNTIFS('Calculations'!$HP$13:$HP$512,"="&amp;SUBSTITUTE(SUBSTITUTE(SUBSTITUTE('Calculations'!HF37,"~","~~"),"*","~*"),"?","~?"),'Calculations'!$HN$13:$HN$512,"="&amp;SUBSTITUTE(SUBSTITUTE(SUBSTITUTE('Dashboard'!$B$7,"~","~~"),"*","~*"),"?","~?"))+COUNTIFS('Calculations'!$HQ$13:$HQ$512,"="&amp;SUBSTITUTE(SUBSTITUTE(SUBSTITUTE('Calculations'!HF37,"~","~~"),"*","~*"),"?","~?"),'Calculations'!$HN$13:$HN$512,"="&amp;SUBSTITUTE(SUBSTITUTE(SUBSTITUTE('Dashboard'!$B$7,"~","~~"),"*","~*"),"?","~?"))+COUNTIFS('Calculations'!$HR$13:$HR$512,"="&amp;SUBSTITUTE(SUBSTITUTE(SUBSTITUTE('Calculations'!HF37,"~","~~"),"*","~*"),"?","~?"),'Calculations'!$HN$13:$HN$512,"="&amp;SUBSTITUTE(SUBSTITUTE(SUBSTITUTE('Dashboard'!$B$7,"~","~~"),"*","~*"),"?","~?"))+COUNTIFS('Calculations'!$HS$13:$HS$512,"="&amp;SUBSTITUTE(SUBSTITUTE(SUBSTITUTE('Calculations'!HF37,"~","~~"),"*","~*"),"?","~?"),'Calculations'!$HN$13:$HN$512,"="&amp;SUBSTITUTE(SUBSTITUTE(SUBSTITUTE('Dashboard'!$B$7,"~","~~"),"*","~*"),"?","~?"))+COUNTIFS('Calculations'!$HT$13:$HT$512,"="&amp;SUBSTITUTE(SUBSTITUTE(SUBSTITUTE('Calculations'!HF37,"~","~~"),"*","~*"),"?","~?"),'Calculations'!$HN$13:$HN$512,"="&amp;SUBSTITUTE(SUBSTITUTE(SUBSTITUTE('Dashboard'!$B$7,"~","~~"),"*","~*"),"?","~?"))+COUNTIFS('Calculations'!$HU$13:$HU$512,"="&amp;SUBSTITUTE(SUBSTITUTE(SUBSTITUTE('Calculations'!HF37,"~","~~"),"*","~*"),"?","~?"),'Calculations'!$HN$13:$HN$512,"="&amp;SUBSTITUTE(SUBSTITUTE(SUBSTITUTE('Dashboard'!$B$7,"~","~~"),"*","~*"),"?","~?"))+COUNTIFS('Calculations'!$HV$13:$HV$512,"="&amp;SUBSTITUTE(SUBSTITUTE(SUBSTITUTE('Calculations'!HF37,"~","~~"),"*","~*"),"?","~?"),'Calculations'!$HN$13:$HN$512,"="&amp;SUBSTITUTE(SUBSTITUTE(SUBSTITUTE('Dashboard'!$B$7,"~","~~"),"*","~*"),"?","~?"))+COUNTIFS('Calculations'!$HW$13:$HW$512,"="&amp;SUBSTITUTE(SUBSTITUTE(SUBSTITUTE('Calculations'!HF37,"~","~~"),"*","~*"),"?","~?"),'Calculations'!$HN$13:$HN$512,"="&amp;SUBSTITUTE(SUBSTITUTE(SUBSTITUTE('Dashboard'!$B$7,"~","~~"),"*","~*"),"?","~?"))+COUNTIFS('Calculations'!$HX$13:$HX$512,"="&amp;SUBSTITUTE(SUBSTITUTE(SUBSTITUTE('Calculations'!HF37,"~","~~"),"*","~*"),"?","~?"),'Calculations'!$HN$13:$HN$512,"="&amp;SUBSTITUTE(SUBSTITUTE(SUBSTITUTE('Dashboard'!$B$7,"~","~~"),"*","~*"),"?","~?"))+COUNTIFS('Calculations'!$HY$13:$HY$512,"="&amp;SUBSTITUTE(SUBSTITUTE(SUBSTITUTE('Calculations'!HF37,"~","~~"),"*","~*"),"?","~?"),'Calculations'!$HN$13:$HN$512,"="&amp;SUBSTITUTE(SUBSTITUTE(SUBSTITUTE('Dashboard'!$B$7,"~","~~"),"*","~*"),"?","~?"))+COUNTIFS('Calculations'!$HZ$13:$HZ$512,"="&amp;SUBSTITUTE(SUBSTITUTE(SUBSTITUTE('Calculations'!HF37,"~","~~"),"*","~*"),"?","~?"),'Calculations'!$HN$13:$HN$512,"="&amp;SUBSTITUTE(SUBSTITUTE(SUBSTITUTE('Dashboard'!$B$7,"~","~~"),"*","~*"),"?","~?"))+COUNTIFS('Calculations'!$IA$13:$IA$512,"="&amp;SUBSTITUTE(SUBSTITUTE(SUBSTITUTE('Calculations'!HF37,"~","~~"),"*","~*"),"?","~?"),'Calculations'!$HN$13:$HN$512,"="&amp;SUBSTITUTE(SUBSTITUTE(SUBSTITUTE('Dashboard'!$B$7,"~","~~"),"*","~*"),"?","~?"))+COUNTIFS('Calculations'!$IB$13:$IB$512,"="&amp;SUBSTITUTE(SUBSTITUTE(SUBSTITUTE('Calculations'!HF37,"~","~~"),"*","~*"),"?","~?"),'Calculations'!$HN$13:$HN$512,"="&amp;SUBSTITUTE(SUBSTITUTE(SUBSTITUTE('Dashboard'!$B$7,"~","~~"),"*","~*"),"?","~?"))+COUNTIFS('Calculations'!$IC$13:$IC$512,"="&amp;SUBSTITUTE(SUBSTITUTE(SUBSTITUTE('Calculations'!HF37,"~","~~"),"*","~*"),"?","~?"),'Calculations'!$HN$13:$HN$512,"="&amp;SUBSTITUTE(SUBSTITUTE(SUBSTITUTE('Dashboard'!$B$7,"~","~~"),"*","~*"),"?","~?"))+COUNTIFS('Calculations'!$ID$13:$ID$512,"="&amp;SUBSTITUTE(SUBSTITUTE(SUBSTITUTE('Calculations'!HF37,"~","~~"),"*","~*"),"?","~?"),'Calculations'!$HN$13:$HN$512,"="&amp;SUBSTITUTE(SUBSTITUTE(SUBSTITUTE('Dashboard'!$B$7,"~","~~"),"*","~*"),"?","~?"))+COUNTIFS('Calculations'!$IE$13:$IE$512,"="&amp;SUBSTITUTE(SUBSTITUTE(SUBSTITUTE('Calculations'!HF37,"~","~~"),"*","~*"),"?","~?"),'Calculations'!$HN$13:$HN$512,"="&amp;SUBSTITUTE(SUBSTITUTE(SUBSTITUTE('Dashboard'!$B$7,"~","~~"),"*","~*"),"?","~?"))+COUNTIFS('Calculations'!$IF$13:$IF$512,"="&amp;SUBSTITUTE(SUBSTITUTE(SUBSTITUTE('Calculations'!HF37,"~","~~"),"*","~*"),"?","~?"),'Calculations'!$HN$13:$HN$512,"="&amp;SUBSTITUTE(SUBSTITUTE(SUBSTITUTE('Dashboard'!$B$7,"~","~~"),"*","~*"),"?","~?"))+COUNTIFS('Calculations'!$IG$13:$IG$512,"="&amp;SUBSTITUTE(SUBSTITUTE(SUBSTITUTE('Calculations'!HF37,"~","~~"),"*","~*"),"?","~?"),'Calculations'!$HN$13:$HN$512,"="&amp;SUBSTITUTE(SUBSTITUTE(SUBSTITUTE('Dashboard'!$B$7,"~","~~"),"*","~*"),"?","~?"))+COUNTIFS('Calculations'!$IH$13:$IH$512,"="&amp;SUBSTITUTE(SUBSTITUTE(SUBSTITUTE('Calculations'!HF37,"~","~~"),"*","~*"),"?","~?"),'Calculations'!$HN$13:$HN$512,"="&amp;SUBSTITUTE(SUBSTITUTE(SUBSTITUTE('Dashboard'!$B$7,"~","~~"),"*","~*"),"?","~?"))))</x:f>
        <x:v>0</x:v>
      </x:c>
      <x:c r="JD37" t="n">
        <x:f>IF('Calculations'!EM37="",0,IF('Dashboard'!$B$7="All",1,IF('Calculations'!HN37='Dashboard'!$B$7,1,0)+IFERROR(INDEX('Calculations'!$JC$13:$JC$512,MATCH('Calculations'!HE37,'Calculations'!$HF$13:$HF$512,0)),0)))</x:f>
        <x:v>0</x:v>
      </x:c>
      <x:c r="JE37" t="n">
        <x:f>IF(AND('Calculations'!EM37&lt;&gt;"",'Calculations'!$JJ$2&lt;&gt;"All",'Calculations'!$JJ$2&lt;&gt;"",'Calculations'!HF37='Calculations'!$JJ$2,'Calculations'!HL37=0,'Calculations'!JD37&gt;0),MAX('Calculations'!$JE$12:JE36)+1,0)</x:f>
        <x:v>0</x:v>
      </x:c>
      <x:c r="JF37" t="str">
        <x:f>IF('Calculations'!EM37="","",IFERROR(IF(INDEX(INDIRECT("'WCM Calibration Final'!$G$1:$G$2000"),'Calculations'!$EM37)="","",TRIM(INDEX(INDIRECT("'WCM Calibration Final'!$G$1:$G$2000"),'Calculations'!$EM37)&amp;"")),""))</x:f>
      </x:c>
      <x:c r="JQ37" t="n">
        <x:f>IF(OR('Calculations'!BM37=0,NOT('Calculations'!$AG$2),'Calculations'!$AG$8&gt;0),0,IF(OR('Dashboard'!$B$7="All",'Calculations'!HN37='Dashboard'!$B$7),IF('Calculations'!$JJ$2="All",1,IF(AND('Calculations'!HF37='Calculations'!$JJ$2,'Calculations'!HL37=0),1,0)),0))</x:f>
        <x:v>0</x:v>
      </x:c>
    </x:row>
    <x:row r="38">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t="n">
        <x:f>IF('Calculations'!$EM38="",0,IF(OR(IFERROR(INDEX(INDIRECT("'WCM Calibration Final'!$A$1:$A$2000"),'Calculations'!$EM38)&lt;&gt;"",FALSE),IFERROR(INDEX(INDIRECT("'WCM Calibration Final'!$B$1:$B$2000"),'Calculations'!$EM38)&lt;&gt;"",FALSE),IFERROR(INDEX(INDIRECT("'WCM Calibration Final'!$C$1:$C$2000"),'Calculations'!$EM38)&lt;&gt;"",FALSE)),1,0))</x:f>
        <x:v>0</x:v>
      </x:c>
      <x:c r="BN38" s="4" t="n">
        <x:f>IF(AND('Calculations'!BM38=1,'Calculations'!$AG$2,'Calculations'!$EN38=1),1,0)</x:f>
        <x:v>0</x:v>
      </x:c>
      <x:c r="BO38" s="4" t="str">
        <x:f>IF('Calculations'!BM38=0,"",IFERROR(IF(AND(VALUE(INDEX(INDIRECT("'WCM Calibration Final'!$K$1:$K$2000"),'Calculations'!$EM38))&gt;=1,VALUE(INDEX(INDIRECT("'WCM Calibration Final'!$K$1:$K$2000"),'Calculations'!$EM38))&lt;=4,MOD(VALUE(INDEX(INDIRECT("'WCM Calibration Final'!$K$1:$K$2000"),'Calculations'!$EM38)),1)=0),VALUE(INDEX(INDIRECT("'WCM Calibration Final'!$K$1:$K$2000"),'Calculations'!$EM38)),""),""))</x:f>
      </x:c>
      <x:c r="BP38" s="4" t="str">
        <x:f>IF('Calculations'!BM38=0,"",IFERROR(IF(AND(VALUE(INDEX(INDIRECT("'WCM Calibration Final'!$L$1:$L$2000"),'Calculations'!$EM38))&gt;=1,VALUE(INDEX(INDIRECT("'WCM Calibration Final'!$L$1:$L$2000"),'Calculations'!$EM38))&lt;=4,MOD(VALUE(INDEX(INDIRECT("'WCM Calibration Final'!$L$1:$L$2000"),'Calculations'!$EM38)),1)=0),VALUE(INDEX(INDIRECT("'WCM Calibration Final'!$L$1:$L$2000"),'Calculations'!$EM38)),""),""))</x:f>
      </x:c>
      <x:c r="BQ38" s="4"/>
      <x:c r="BR38" s="4"/>
      <x:c r="BS38" s="4"/>
      <x:c r="BT38" s="4" t="n">
        <x:f>IF(AND('Calculations'!BM38=1,ISNUMBER('Calculations'!BO38),ISNUMBER('Calculations'!BP38)),1,0)</x:f>
        <x:v>0</x:v>
      </x:c>
      <x:c r="BU38" s="4" t="str">
        <x:f>IF('Calculations'!BM38=0,"",'Calculations'!$EO38)</x:f>
      </x:c>
      <x:c r="BV38" s="4" t="str">
        <x:f>IF('Calculations'!BM38=0,"",IFERROR(IF(OR(INDEX(INDIRECT("'WCM Calibration Final'!$H$1:$H$2000"),'Calculations'!$EM38)="MANAGING DIRECTOR",INDEX(INDIRECT("'WCM Calibration Final'!$H$1:$H$2000"),'Calculations'!$EM38)="DIRECTOR",INDEX(INDIRECT("'WCM Calibration Final'!$H$1:$H$2000"),'Calculations'!$EM38)="SENIOR VICE PRESIDENT",INDEX(INDIRECT("'WCM Calibration Final'!$H$1:$H$2000"),'Calculations'!$EM38)="VICE PRESIDENT",INDEX(INDIRECT("'WCM Calibration Final'!$H$1:$H$2000"),'Calculations'!$EM38)="ASSISTANT VICE PRESIDENT",INDEX(INDIRECT("'WCM Calibration Final'!$H$1:$H$2000"),'Calculations'!$EM38)="OFFICER"),UPPER(INDEX(INDIRECT("'WCM Calibration Final'!$H$1:$H$2000"),'Calculations'!$EM38)),"Other"),"Other"))</x:f>
      </x:c>
      <x:c r="BW38" s="4"/>
      <x:c r="BX38" s="4"/>
      <x:c r="BY38" s="4" t="n">
        <x:f>IF(AND('Calculations'!BM38=1,'Calculations'!BU38&lt;&gt;"",COUNTIF('Calculations'!$BU$12:BU38,'Calculations'!BU38)=1),MAX('Calculations'!$BY$11:BY37)+1,0)</x:f>
        <x:v>0</x:v>
      </x:c>
      <x:c r="BZ38" s="4" t="str">
        <x:f>IF('Dashboard'!$E$67="What",'Calculations'!BO38,'Calculations'!BP38)</x:f>
      </x:c>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t="str">
        <x:f>IF(27&gt;MAX('Calculations'!$HI$13:$HI$512),"",INDEX('Calculations'!$HN$13:$HN$512,MATCH(27,'Calculations'!$HI$13:$HI$512,0)))</x:f>
      </x:c>
      <x:c r="DB38" s="4" t="str">
        <x:f>IF(27&gt;MAX('Calculations'!$HH$13:$HH$512),"",INDEX('Calculations'!$HJ$13:$HJ$512,MATCH(27,'Calculations'!$HH$13:$HH$512,0)))</x:f>
      </x:c>
      <x:c r="DC38" s="4" t="str">
        <x:f>IF(ROW()-11&gt;MAX('Calculations'!$BY$13:$BY$512),"",INDEX('Calculations'!$BU$13:$BU$512,MATCH(ROW()-11,'Calculations'!$BY$13:$BY$512,0)))</x:f>
      </x:c>
      <x:c r="DD38" s="4" t="str">
        <x:f>IF(27&gt;MAX('Calculations'!$IK$13:$IK$512),"",INDEX('Calculations'!$HK$13:$HK$512,MATCH(27,'Calculations'!$IK$13:$IK$512,0)))</x:f>
      </x:c>
      <x:c r="DE38" s="4" t="str">
        <x:f>'Calculations'!DC38</x:f>
      </x:c>
      <x:c r="DF38" s="4" t="str">
        <x:f>IF('Calculations'!DE38="","",COUNTIFS('Calculations'!$BN$13:$BN$512,1,'Calculations'!$BU$13:$BU$512,'Calculations'!DE38))</x:f>
      </x:c>
      <x:c r="DG38" s="4" t="str">
        <x:f>IF('Calculations'!DE38="","",COUNTIFS('Calculations'!$BN$13:$BN$512,1,'Calculations'!$BU$13:$BU$512,'Calculations'!DE38,'Calculations'!$BT$13:$BT$512,1))</x:f>
      </x:c>
      <x:c r="DH38" s="4" t="str">
        <x:f>IF('Calculations'!DE38="","",'Calculations'!DF38-'Calculations'!DG38)</x:f>
      </x:c>
      <x:c r="DI38" s="4" t="str">
        <x:f>IF(OR('Calculations'!DE38="",'Calculations'!DF38=0),"",'Calculations'!DG38/'Calculations'!DF38)</x:f>
      </x:c>
      <x:c r="DJ38" s="4" t="str">
        <x:f>IF('Calculations'!DE38="","",COUNTIFS('Calculations'!$BN$13:$BN$512,1,'Calculations'!$BU$13:$BU$512,'Calculations'!DE38,'Calculations'!$BT$13:$BT$512,1,'Calculations'!$EE$13:$EE$512,"High"))</x:f>
      </x:c>
      <x:c r="DK38" s="4" t="str">
        <x:f>IF('Calculations'!DE38="","",COUNTIFS('Calculations'!$BN$13:$BN$512,1,'Calculations'!$BU$13:$BU$512,'Calculations'!DE38,'Calculations'!$BT$13:$BT$512,1,'Calculations'!$EE$13:$EE$512,"Strong"))</x:f>
      </x:c>
      <x:c r="DL38" s="4" t="str">
        <x:f>IF('Calculations'!DE38="","",COUNTIFS('Calculations'!$BN$13:$BN$512,1,'Calculations'!$BU$13:$BU$512,'Calculations'!DE38,'Calculations'!$BT$13:$BT$512,1,'Calculations'!$EE$13:$EE$512,"Solid"))</x:f>
      </x:c>
      <x:c r="DM38" s="4" t="str">
        <x:f>IF('Calculations'!DE38="","",COUNTIFS('Calculations'!$BN$13:$BN$512,1,'Calculations'!$BU$13:$BU$512,'Calculations'!DE38,'Calculations'!$BT$13:$BT$512,1,'Calculations'!$EE$13:$EE$512,"Low"))</x:f>
      </x:c>
      <x:c r="DN38" s="4" t="str">
        <x:f>IF('Calculations'!DE38="","",COUNTIFS('Calculations'!$BN$13:$BN$512,1,'Calculations'!$BU$13:$BU$512,'Calculations'!DE38,'Calculations'!$EP$13:$EP$512,1))</x:f>
      </x:c>
      <x:c r="DO38" s="4" t="str">
        <x:f>IF(OR('Calculations'!DE38="",'Calculations'!DG38=0),"",('Calculations'!DJ38+'Calculations'!DK38)/'Calculations'!DG38)</x:f>
      </x:c>
      <x:c r="DP38" s="4" t="n">
        <x:f>IF(AND('Calculations'!DE38&lt;&gt;"",'Calculations'!DF38&gt;0),COUNTIF('Calculations'!$DF$12:DF38,"&gt;0"),0)</x:f>
        <x:v>0</x:v>
      </x:c>
      <x:c r="DQ38" s="4" t="str">
        <x:f>IF(27&gt;MAX('Calculations'!$HH$13:$HH$512),"",INDEX('Calculations'!$HF$13:$HF$512,MATCH(27,'Calculations'!$HH$13:$HH$512,0)))</x:f>
      </x:c>
      <x:c r="DR38" s="4" t="str">
        <x:f>IF(27&gt;MAX('Calculations'!$IK$13:$IK$512),"",INDEX('Calculations'!$HE$13:$HE$512,MATCH(27,'Calculations'!$IK$13:$IK$512,0)))</x:f>
      </x:c>
      <x:c r="DS38" s="4"/>
      <x:c r="DT38" s="4"/>
      <x:c r="DU38" s="4"/>
      <x:c r="DV38" s="4"/>
      <x:c r="DW38" s="4"/>
      <x:c r="DX38" s="4"/>
      <x:c r="DY38" s="4"/>
      <x:c r="DZ38" s="4"/>
      <x:c r="EA38" s="4"/>
      <x:c r="EB38" s="4"/>
      <x:c r="EC38" s="4"/>
      <x:c r="ED38" s="4"/>
      <x:c r="EE38" s="4" t="str">
        <x:f>IF('Calculations'!BT38=0,"Not Rated",IF(OR('Calculations'!BO38&gt;=4,'Calculations'!BP38&gt;=4),"Low",IF('Calculations'!BO38+'Calculations'!BP38&lt;=3,"High",IF('Calculations'!BO38+'Calculations'!BP38&lt;=4,"Strong","Solid"))))</x:f>
        <x:v>Not Rated</x:v>
      </x:c>
      <x:c r="EF38" s="4"/>
      <x:c r="EG38" s="4"/>
      <x:c r="EH38" s="4"/>
      <x:c r="EI38" s="4"/>
      <x:c r="EJ38" s="4"/>
      <x:c r="EK38" s="4"/>
      <x:c r="EL38" s="4"/>
      <x:c r="EM38" s="4" t="str">
        <x:f>IF(26&gt;'Calculations'!$JB$2000,"",INDEX('Calculations'!$JA$12:$JA$2000,MATCH(26,'Calculations'!$JB$12:$JB$2000,0)))</x:f>
      </x:c>
      <x:c r="EN38" s="4" t="n">
        <x:f>IF(OR('Calculations'!EM38="",'Calculations'!$AG$8&gt;0,AND('Calculations'!$EF$2&lt;&gt;"All",'Calculations'!HE38='Calculations'!$EF$2),AND('Calculations'!$EF$3&lt;&gt;"All",'Calculations'!HE38='Calculations'!$EF$3)),0,IF(OR('Dashboard'!$B$7="All",'Calculations'!HN38='Dashboard'!$B$7),IF('Calculations'!$EF$2="All",1,IF('Calculations'!HL38&gt;0,0,IF(COUNTIF('Calculations'!HO38:II38,"="&amp;SUBSTITUTE(SUBSTITUTE(SUBSTITUTE('Calculations'!$EF$2,"~","~~"),"*","~*"),"?","~?"))=0,0,IF('Calculations'!$EF$3="All",1,IF(COUNTIF('Calculations'!HO38:II38,"="&amp;SUBSTITUTE(SUBSTITUTE(SUBSTITUTE('Calculations'!$EF$3,"~","~~"),"*","~*"),"?","~?"))&gt;0,1,0))))),0))</x:f>
        <x:v>0</x:v>
      </x:c>
      <x:c r="EO38" s="4" t="str">
        <x:f>IF('Calculations'!IJ38="","",IF('Calculations'!IJ38="!UNRESOLVED","Unresolved hierarchy",IFERROR(INDEX('Calculations'!$HK$13:$HK$512,MATCH('Calculations'!IJ38,'Calculations'!$HE$13:$HE$512,0)),IFERROR(INDEX('Calculations'!$HJ$13:$HJ$512,MATCH('Calculations'!IJ38,'Calculations'!$HF$13:$HF$512,0)),'Calculations'!IJ38))))</x:f>
      </x:c>
      <x:c r="EP38" s="4" t="n">
        <x:f>IF(AND('Calculations'!EM38&lt;&gt;"",'Calculations'!HF38='Calculations'!IJ38),1,0)</x:f>
        <x:v>0</x:v>
      </x:c>
      <x:c r="EQ38" s="4"/>
      <x:c r="ER38" s="4"/>
      <x:c r="ES38" s="4"/>
      <x:c r="ET38" s="4"/>
      <x:c r="EU38" s="4"/>
      <x:c r="EV38" s="4"/>
      <x:c r="EW38" s="4"/>
      <x:c r="EX38" s="4"/>
      <x:c r="EY38" s="4"/>
      <x:c r="EZ38" s="4"/>
      <x:c r="FA38" s="4"/>
      <x:c r="FB38" s="4"/>
      <x:c r="FC38" s="4"/>
      <x:c r="FD38" s="4"/>
      <x:c r="FE38" s="4"/>
      <x:c r="FF38" s="4"/>
      <x:c r="FG38" s="4"/>
      <x:c r="FH38" s="4"/>
      <x:c r="FI38" s="4"/>
      <x:c r="FJ38" s="4"/>
      <x:c r="FK38" s="4"/>
      <x:c r="FL38" s="4"/>
      <x:c r="FM38" s="4"/>
      <x:c r="FN38" s="4"/>
      <x:c r="FO38" s="4"/>
      <x:c r="GA38" s="71"/>
      <x:c r="GB38" s="71"/>
      <x:c r="GC38" s="71"/>
      <x:c r="GD38" s="71"/>
      <x:c r="GE38" s="71"/>
      <x:c r="GF38" s="71"/>
      <x:c r="GG38" s="71"/>
      <x:c r="GH38" s="71"/>
      <x:c r="GI38" s="71"/>
      <x:c r="GJ38" s="71"/>
      <x:c r="GK38" s="71"/>
      <x:c r="GL38" s="71"/>
      <x:c r="GM38" s="71"/>
      <x:c r="GN38" s="71"/>
      <x:c r="GO38" s="71"/>
      <x:c r="GP38" s="71"/>
      <x:c r="GQ38" s="71"/>
      <x:c r="GR38" s="71"/>
      <x:c r="GS38" s="71"/>
      <x:c r="GT38" s="71"/>
      <x:c r="GU38" s="71"/>
      <x:c r="GV38" s="71"/>
      <x:c r="GW38" s="71"/>
      <x:c r="GX38" s="71"/>
      <x:c r="GY38" s="71"/>
      <x:c r="GZ38" s="71"/>
      <x:c r="HA38" s="71"/>
      <x:c r="HB38" s="71"/>
      <x:c r="HC38" s="71"/>
      <x:c r="HD38" s="71"/>
      <x:c r="HE38" t="str">
        <x:f>IF('Calculations'!EM38="","",IF(IFERROR(IF(INDEX(INDIRECT("'WCM Calibration Final'!$A$1:$A$2000"),'Calculations'!$EM38)="","",TRIM(INDEX(INDIRECT("'WCM Calibration Final'!$A$1:$A$2000"),'Calculations'!$EM38)&amp;"")),"")&lt;&gt;"","G:"&amp;IFERROR(TEXT(1*INDEX(INDIRECT("'WCM Calibration Final'!$A$1:$A$2000"),'Calculations'!$EM38),"0"),UPPER(IFERROR(IF(INDEX(INDIRECT("'WCM Calibration Final'!$A$1:$A$2000"),'Calculations'!$EM38)="","",TRIM(INDEX(INDIRECT("'WCM Calibration Final'!$A$1:$A$2000"),'Calculations'!$EM38)&amp;"")),""))),IF(IFERROR(IF(INDEX(INDIRECT("'WCM Calibration Final'!$C$1:$C$2000"),'Calculations'!$EM38)="","",TRIM(INDEX(INDIRECT("'WCM Calibration Final'!$C$1:$C$2000"),'Calculations'!$EM38)&amp;"")),"")&lt;&gt;"","S:"&amp;UPPER(IFERROR(IF(INDEX(INDIRECT("'WCM Calibration Final'!$C$1:$C$2000"),'Calculations'!$EM38)="","",TRIM(INDEX(INDIRECT("'WCM Calibration Final'!$C$1:$C$2000"),'Calculations'!$EM38)&amp;"")),"")),"R:"&amp;'Calculations'!EM38)))</x:f>
      </x:c>
      <x:c r="HF38" t="str">
        <x:f>IF('Calculations'!EM38="","",IF(IFERROR(IF(INDEX(INDIRECT("'WCM Calibration Final'!$D$1:$D$2000"),'Calculations'!$EM38)="","",TRIM(INDEX(INDIRECT("'WCM Calibration Final'!$D$1:$D$2000"),'Calculations'!$EM38)&amp;"")),"")&lt;&gt;"","G:"&amp;IFERROR(TEXT(1*INDEX(INDIRECT("'WCM Calibration Final'!$D$1:$D$2000"),'Calculations'!$EM38),"0"),UPPER(IFERROR(IF(INDEX(INDIRECT("'WCM Calibration Final'!$D$1:$D$2000"),'Calculations'!$EM38)="","",TRIM(INDEX(INDIRECT("'WCM Calibration Final'!$D$1:$D$2000"),'Calculations'!$EM38)&amp;"")),""))),IF(IFERROR(IF(INDEX(INDIRECT("'WCM Calibration Final'!$E$1:$E$2000"),'Calculations'!$EM38)="","",TRIM(INDEX(INDIRECT("'WCM Calibration Final'!$E$1:$E$2000"),'Calculations'!$EM38)&amp;"")),"")="","",IF(COUNTIF('Calculations'!$HG$13:$HG$512,"="&amp;SUBSTITUTE(SUBSTITUTE(SUBSTITUTE(IFERROR(IF(INDEX(INDIRECT("'WCM Calibration Final'!$E$1:$E$2000"),'Calculations'!$EM38)="","",TRIM(INDEX(INDIRECT("'WCM Calibration Final'!$E$1:$E$2000"),'Calculations'!$EM38)&amp;"")),""),"~","~~"),"*","~*"),"?","~?"))=1,INDEX('Calculations'!$HE$13:$HE$512,MATCH(IFERROR(IF(INDEX(INDIRECT("'WCM Calibration Final'!$E$1:$E$2000"),'Calculations'!$EM38)="","",TRIM(INDEX(INDIRECT("'WCM Calibration Final'!$E$1:$E$2000"),'Calculations'!$EM38)&amp;"")),""),'Calculations'!$HG$13:$HG$512,0)),IF(COUNTIF('Calculations'!$HG$13:$HG$512,"="&amp;SUBSTITUTE(SUBSTITUTE(SUBSTITUTE(IFERROR(IF(INDEX(INDIRECT("'WCM Calibration Final'!$E$1:$E$2000"),'Calculations'!$EM38)="","",TRIM(INDEX(INDIRECT("'WCM Calibration Final'!$E$1:$E$2000"),'Calculations'!$EM38)&amp;"")),""),"~","~~"),"*","~*"),"?","~?"))&gt;1,"!AMBIG","X:"&amp;IFERROR(IF(INDEX(INDIRECT("'WCM Calibration Final'!$E$1:$E$2000"),'Calculations'!$EM38)="","",TRIM(INDEX(INDIRECT("'WCM Calibration Final'!$E$1:$E$2000"),'Calculations'!$EM38)&amp;"")),""))))))</x:f>
      </x:c>
      <x:c r="HG38" t="str">
        <x:f>IF('Calculations'!EM38="","",IFERROR(IF(INDEX(INDIRECT("'WCM Calibration Final'!$B$1:$B$2000"),'Calculations'!$EM38)="","",TRIM(INDEX(INDIRECT("'WCM Calibration Final'!$B$1:$B$2000"),'Calculations'!$EM38)&amp;"")),""))</x:f>
      </x:c>
      <x:c r="HH38" t="n">
        <x:f>IF(AND('Calculations'!JC38&gt;0,COUNTIF('Calculations'!$HF$12:HF38,"="&amp;SUBSTITUTE(SUBSTITUTE(SUBSTITUTE('Calculations'!HF38,"~","~~"),"*","~*"),"?","~?"))=1),MAX('Calculations'!$HH$12:HH37)+1,0)</x:f>
        <x:v>0</x:v>
      </x:c>
      <x:c r="HI38" t="n">
        <x:f>IF(AND('Calculations'!HN38&lt;&gt;"",COUNTIF('Calculations'!$HN$12:HN38,"="&amp;SUBSTITUTE(SUBSTITUTE(SUBSTITUTE('Calculations'!HN38,"~","~~"),"*","~*"),"?","~?"))=1),MAX('Calculations'!$HI$12:HI37)+1,0)</x:f>
        <x:v>0</x:v>
      </x:c>
      <x:c r="HJ38" t="str">
        <x:f>IF('Calculations'!HF38="","",IF(COUNTIF('Calculations'!$HE$13:$HE$512,"="&amp;SUBSTITUTE(SUBSTITUTE(SUBSTITUTE('Calculations'!HF38,"~","~~"),"*","~*"),"?","~?"))=1,INDEX('Calculations'!$HK$13:$HK$512,MATCH('Calculations'!HF38,'Calculations'!$HE$13:$HE$512,0)),IFERROR(IF(INDEX(INDIRECT("'WCM Calibration Final'!$E$1:$E$2000"),'Calculations'!$EM38)="","",TRIM(INDEX(INDIRECT("'WCM Calibration Final'!$E$1:$E$2000"),'Calculations'!$EM38)&amp;"")),"")&amp;" ["&amp;'Calculations'!HF38&amp;"]"))</x:f>
      </x:c>
      <x:c r="HK38" t="str">
        <x:f>IF('Calculations'!EM38="","",'Calculations'!HG38&amp;" ["&amp;'Calculations'!HE38&amp;"]")</x:f>
      </x:c>
      <x:c r="HL38" t="n">
        <x:f>IF('Calculations'!EM38="",0,IF(OR('Calculations'!II38&lt;&gt;"",COUNTIF('Calculations'!$HE$13:$HE$512,"="&amp;SUBSTITUTE(SUBSTITUTE(SUBSTITUTE('Calculations'!HE38,"~","~~"),"*","~*"),"?","~?"))&gt;1),1,0))</x:f>
        <x:v>0</x:v>
      </x:c>
      <x:c r="HM38" t="str">
        <x:f>IF('Calculations'!EM38="","",IF('Calculations'!HL38=1,"!UNRESOLVED",IF('Calculations'!IH38&lt;&gt;"",'Calculations'!IH38,IF('Calculations'!IG38&lt;&gt;"",'Calculations'!IG38,IF('Calculations'!IF38&lt;&gt;"",'Calculations'!IF38,IF('Calculations'!IE38&lt;&gt;"",'Calculations'!IE38,IF('Calculations'!ID38&lt;&gt;"",'Calculations'!ID38,IF('Calculations'!IC38&lt;&gt;"",'Calculations'!IC38,IF('Calculations'!IB38&lt;&gt;"",'Calculations'!IB38,IF('Calculations'!IA38&lt;&gt;"",'Calculations'!IA38,IF('Calculations'!HZ38&lt;&gt;"",'Calculations'!HZ38,IF('Calculations'!HY38&lt;&gt;"",'Calculations'!HY38,IF('Calculations'!HX38&lt;&gt;"",'Calculations'!HX38,IF('Calculations'!HW38&lt;&gt;"",'Calculations'!HW38,IF('Calculations'!HV38&lt;&gt;"",'Calculations'!HV38,IF('Calculations'!HU38&lt;&gt;"",'Calculations'!HU38,IF('Calculations'!HT38&lt;&gt;"",'Calculations'!HT38,IF('Calculations'!HS38&lt;&gt;"",'Calculations'!HS38,IF('Calculations'!HR38&lt;&gt;"",'Calculations'!HR38,IF('Calculations'!HQ38&lt;&gt;"",'Calculations'!HQ38,IF('Calculations'!HP38&lt;&gt;"",'Calculations'!HP38,IF('Calculations'!HO38&lt;&gt;"",'Calculations'!HO38,'Calculations'!HE38))))))))))))))))))))))</x:f>
      </x:c>
      <x:c r="HN38" t="str">
        <x:f>IF('Calculations'!EM38="","",IF(IFERROR(IF(INDEX(INDIRECT("'WCM Calibration Final'!$F$1:$F$2000"),'Calculations'!$EM38)="","",TRIM(INDEX(INDIRECT("'WCM Calibration Final'!$F$1:$F$2000"),'Calculations'!$EM38)&amp;"")),"")="","(Blank)",IFERROR(IF(INDEX(INDIRECT("'WCM Calibration Final'!$F$1:$F$2000"),'Calculations'!$EM38)="","",TRIM(INDEX(INDIRECT("'WCM Calibration Final'!$F$1:$F$2000"),'Calculations'!$EM38)&amp;"")),"")))</x:f>
      </x:c>
      <x:c r="HO38" t="str">
        <x:f>'Calculations'!HF38</x:f>
      </x:c>
      <x:c r="HP38" t="str">
        <x:f>IF('Calculations'!HO38="","",IF('Calculations'!HO38="!AMBIG","!AMBIG",IF(COUNTIF('Calculations'!$HE$13:$HE$512,"="&amp;SUBSTITUTE(SUBSTITUTE(SUBSTITUTE('Calculations'!HO38,"~","~~"),"*","~*"),"?","~?"))&gt;1,"!AMBIG",IFERROR(INDEX('Calculations'!$HF$13:$HF$512,MATCH('Calculations'!HO38,'Calculations'!$HE$13:$HE$512,0)),""))))</x:f>
      </x:c>
      <x:c r="HQ38" t="str">
        <x:f>IF('Calculations'!HP38="","",IF('Calculations'!HP38="!AMBIG","!AMBIG",IF(COUNTIF('Calculations'!$HE$13:$HE$512,"="&amp;SUBSTITUTE(SUBSTITUTE(SUBSTITUTE('Calculations'!HP38,"~","~~"),"*","~*"),"?","~?"))&gt;1,"!AMBIG",IFERROR(INDEX('Calculations'!$HF$13:$HF$512,MATCH('Calculations'!HP38,'Calculations'!$HE$13:$HE$512,0)),""))))</x:f>
      </x:c>
      <x:c r="HR38" t="str">
        <x:f>IF('Calculations'!HQ38="","",IF('Calculations'!HQ38="!AMBIG","!AMBIG",IF(COUNTIF('Calculations'!$HE$13:$HE$512,"="&amp;SUBSTITUTE(SUBSTITUTE(SUBSTITUTE('Calculations'!HQ38,"~","~~"),"*","~*"),"?","~?"))&gt;1,"!AMBIG",IFERROR(INDEX('Calculations'!$HF$13:$HF$512,MATCH('Calculations'!HQ38,'Calculations'!$HE$13:$HE$512,0)),""))))</x:f>
      </x:c>
      <x:c r="HS38" t="str">
        <x:f>IF('Calculations'!HR38="","",IF('Calculations'!HR38="!AMBIG","!AMBIG",IF(COUNTIF('Calculations'!$HE$13:$HE$512,"="&amp;SUBSTITUTE(SUBSTITUTE(SUBSTITUTE('Calculations'!HR38,"~","~~"),"*","~*"),"?","~?"))&gt;1,"!AMBIG",IFERROR(INDEX('Calculations'!$HF$13:$HF$512,MATCH('Calculations'!HR38,'Calculations'!$HE$13:$HE$512,0)),""))))</x:f>
      </x:c>
      <x:c r="HT38" t="str">
        <x:f>IF('Calculations'!HS38="","",IF('Calculations'!HS38="!AMBIG","!AMBIG",IF(COUNTIF('Calculations'!$HE$13:$HE$512,"="&amp;SUBSTITUTE(SUBSTITUTE(SUBSTITUTE('Calculations'!HS38,"~","~~"),"*","~*"),"?","~?"))&gt;1,"!AMBIG",IFERROR(INDEX('Calculations'!$HF$13:$HF$512,MATCH('Calculations'!HS38,'Calculations'!$HE$13:$HE$512,0)),""))))</x:f>
      </x:c>
      <x:c r="HU38" t="str">
        <x:f>IF('Calculations'!HT38="","",IF('Calculations'!HT38="!AMBIG","!AMBIG",IF(COUNTIF('Calculations'!$HE$13:$HE$512,"="&amp;SUBSTITUTE(SUBSTITUTE(SUBSTITUTE('Calculations'!HT38,"~","~~"),"*","~*"),"?","~?"))&gt;1,"!AMBIG",IFERROR(INDEX('Calculations'!$HF$13:$HF$512,MATCH('Calculations'!HT38,'Calculations'!$HE$13:$HE$512,0)),""))))</x:f>
      </x:c>
      <x:c r="HV38" t="str">
        <x:f>IF('Calculations'!HU38="","",IF('Calculations'!HU38="!AMBIG","!AMBIG",IF(COUNTIF('Calculations'!$HE$13:$HE$512,"="&amp;SUBSTITUTE(SUBSTITUTE(SUBSTITUTE('Calculations'!HU38,"~","~~"),"*","~*"),"?","~?"))&gt;1,"!AMBIG",IFERROR(INDEX('Calculations'!$HF$13:$HF$512,MATCH('Calculations'!HU38,'Calculations'!$HE$13:$HE$512,0)),""))))</x:f>
      </x:c>
      <x:c r="HW38" t="str">
        <x:f>IF('Calculations'!HV38="","",IF('Calculations'!HV38="!AMBIG","!AMBIG",IF(COUNTIF('Calculations'!$HE$13:$HE$512,"="&amp;SUBSTITUTE(SUBSTITUTE(SUBSTITUTE('Calculations'!HV38,"~","~~"),"*","~*"),"?","~?"))&gt;1,"!AMBIG",IFERROR(INDEX('Calculations'!$HF$13:$HF$512,MATCH('Calculations'!HV38,'Calculations'!$HE$13:$HE$512,0)),""))))</x:f>
      </x:c>
      <x:c r="HX38" t="str">
        <x:f>IF('Calculations'!HW38="","",IF('Calculations'!HW38="!AMBIG","!AMBIG",IF(COUNTIF('Calculations'!$HE$13:$HE$512,"="&amp;SUBSTITUTE(SUBSTITUTE(SUBSTITUTE('Calculations'!HW38,"~","~~"),"*","~*"),"?","~?"))&gt;1,"!AMBIG",IFERROR(INDEX('Calculations'!$HF$13:$HF$512,MATCH('Calculations'!HW38,'Calculations'!$HE$13:$HE$512,0)),""))))</x:f>
      </x:c>
      <x:c r="HY38" t="str">
        <x:f>IF('Calculations'!HX38="","",IF('Calculations'!HX38="!AMBIG","!AMBIG",IF(COUNTIF('Calculations'!$HE$13:$HE$512,"="&amp;SUBSTITUTE(SUBSTITUTE(SUBSTITUTE('Calculations'!HX38,"~","~~"),"*","~*"),"?","~?"))&gt;1,"!AMBIG",IFERROR(INDEX('Calculations'!$HF$13:$HF$512,MATCH('Calculations'!HX38,'Calculations'!$HE$13:$HE$512,0)),""))))</x:f>
      </x:c>
      <x:c r="HZ38" t="str">
        <x:f>IF('Calculations'!HY38="","",IF('Calculations'!HY38="!AMBIG","!AMBIG",IF(COUNTIF('Calculations'!$HE$13:$HE$512,"="&amp;SUBSTITUTE(SUBSTITUTE(SUBSTITUTE('Calculations'!HY38,"~","~~"),"*","~*"),"?","~?"))&gt;1,"!AMBIG",IFERROR(INDEX('Calculations'!$HF$13:$HF$512,MATCH('Calculations'!HY38,'Calculations'!$HE$13:$HE$512,0)),""))))</x:f>
      </x:c>
      <x:c r="IA38" t="str">
        <x:f>IF('Calculations'!HZ38="","",IF('Calculations'!HZ38="!AMBIG","!AMBIG",IF(COUNTIF('Calculations'!$HE$13:$HE$512,"="&amp;SUBSTITUTE(SUBSTITUTE(SUBSTITUTE('Calculations'!HZ38,"~","~~"),"*","~*"),"?","~?"))&gt;1,"!AMBIG",IFERROR(INDEX('Calculations'!$HF$13:$HF$512,MATCH('Calculations'!HZ38,'Calculations'!$HE$13:$HE$512,0)),""))))</x:f>
      </x:c>
      <x:c r="IB38" t="str">
        <x:f>IF('Calculations'!IA38="","",IF('Calculations'!IA38="!AMBIG","!AMBIG",IF(COUNTIF('Calculations'!$HE$13:$HE$512,"="&amp;SUBSTITUTE(SUBSTITUTE(SUBSTITUTE('Calculations'!IA38,"~","~~"),"*","~*"),"?","~?"))&gt;1,"!AMBIG",IFERROR(INDEX('Calculations'!$HF$13:$HF$512,MATCH('Calculations'!IA38,'Calculations'!$HE$13:$HE$512,0)),""))))</x:f>
      </x:c>
      <x:c r="IC38" t="str">
        <x:f>IF('Calculations'!IB38="","",IF('Calculations'!IB38="!AMBIG","!AMBIG",IF(COUNTIF('Calculations'!$HE$13:$HE$512,"="&amp;SUBSTITUTE(SUBSTITUTE(SUBSTITUTE('Calculations'!IB38,"~","~~"),"*","~*"),"?","~?"))&gt;1,"!AMBIG",IFERROR(INDEX('Calculations'!$HF$13:$HF$512,MATCH('Calculations'!IB38,'Calculations'!$HE$13:$HE$512,0)),""))))</x:f>
      </x:c>
      <x:c r="ID38" t="str">
        <x:f>IF('Calculations'!IC38="","",IF('Calculations'!IC38="!AMBIG","!AMBIG",IF(COUNTIF('Calculations'!$HE$13:$HE$512,"="&amp;SUBSTITUTE(SUBSTITUTE(SUBSTITUTE('Calculations'!IC38,"~","~~"),"*","~*"),"?","~?"))&gt;1,"!AMBIG",IFERROR(INDEX('Calculations'!$HF$13:$HF$512,MATCH('Calculations'!IC38,'Calculations'!$HE$13:$HE$512,0)),""))))</x:f>
      </x:c>
      <x:c r="IE38" t="str">
        <x:f>IF('Calculations'!ID38="","",IF('Calculations'!ID38="!AMBIG","!AMBIG",IF(COUNTIF('Calculations'!$HE$13:$HE$512,"="&amp;SUBSTITUTE(SUBSTITUTE(SUBSTITUTE('Calculations'!ID38,"~","~~"),"*","~*"),"?","~?"))&gt;1,"!AMBIG",IFERROR(INDEX('Calculations'!$HF$13:$HF$512,MATCH('Calculations'!ID38,'Calculations'!$HE$13:$HE$512,0)),""))))</x:f>
      </x:c>
      <x:c r="IF38" t="str">
        <x:f>IF('Calculations'!IE38="","",IF('Calculations'!IE38="!AMBIG","!AMBIG",IF(COUNTIF('Calculations'!$HE$13:$HE$512,"="&amp;SUBSTITUTE(SUBSTITUTE(SUBSTITUTE('Calculations'!IE38,"~","~~"),"*","~*"),"?","~?"))&gt;1,"!AMBIG",IFERROR(INDEX('Calculations'!$HF$13:$HF$512,MATCH('Calculations'!IE38,'Calculations'!$HE$13:$HE$512,0)),""))))</x:f>
      </x:c>
      <x:c r="IG38" t="str">
        <x:f>IF('Calculations'!IF38="","",IF('Calculations'!IF38="!AMBIG","!AMBIG",IF(COUNTIF('Calculations'!$HE$13:$HE$512,"="&amp;SUBSTITUTE(SUBSTITUTE(SUBSTITUTE('Calculations'!IF38,"~","~~"),"*","~*"),"?","~?"))&gt;1,"!AMBIG",IFERROR(INDEX('Calculations'!$HF$13:$HF$512,MATCH('Calculations'!IF38,'Calculations'!$HE$13:$HE$512,0)),""))))</x:f>
      </x:c>
      <x:c r="IH38" t="str">
        <x:f>IF('Calculations'!IG38="","",IF('Calculations'!IG38="!AMBIG","!AMBIG",IF(COUNTIF('Calculations'!$HE$13:$HE$512,"="&amp;SUBSTITUTE(SUBSTITUTE(SUBSTITUTE('Calculations'!IG38,"~","~~"),"*","~*"),"?","~?"))&gt;1,"!AMBIG",IFERROR(INDEX('Calculations'!$HF$13:$HF$512,MATCH('Calculations'!IG38,'Calculations'!$HE$13:$HE$512,0)),""))))</x:f>
      </x:c>
      <x:c r="II38" t="str">
        <x:f>IF('Calculations'!IH38="","",IF('Calculations'!IH38="!AMBIG","!AMBIG",IF(COUNTIF('Calculations'!$HE$13:$HE$512,"="&amp;SUBSTITUTE(SUBSTITUTE(SUBSTITUTE('Calculations'!IH38,"~","~~"),"*","~*"),"?","~?"))&gt;1,"!AMBIG",IFERROR(INDEX('Calculations'!$HF$13:$HF$512,MATCH('Calculations'!IH38,'Calculations'!$HE$13:$HE$512,0)),""))))</x:f>
      </x:c>
      <x:c r="IJ38" t="str">
        <x:f>IF('Calculations'!EM38="","",IF('Calculations'!$EF$2="All",'Calculations'!HM38,IF('Calculations'!HL38=1,"",IFERROR(IF(MATCH('Calculations'!$EF$2,'Calculations'!HO38:II38,0)=1,'Calculations'!HE38,INDEX('Calculations'!HO38:II38,1,MATCH('Calculations'!$EF$2,'Calculations'!HO38:II38,0)-1)),""))))</x:f>
      </x:c>
      <x:c r="IK38" t="n">
        <x:f>IF(AND('Calculations'!EM38&lt;&gt;"",'Calculations'!$EF$2&lt;&gt;"All",'Calculations'!HF38='Calculations'!$EF$2,'Calculations'!HL38=0,'Calculations'!JD38&gt;0),MAX('Calculations'!$IK$12:IK37)+1,0)</x:f>
        <x:v>0</x:v>
      </x:c>
      <x:c r="JA38" t="n">
        <x:f>IF(OR(IFERROR(INDIRECT("'WCM Calibration Final'!$A$38")&lt;&gt;"",FALSE),IFERROR(INDIRECT("'WCM Calibration Final'!$B$38")&lt;&gt;"",FALSE),IFERROR(INDIRECT("'WCM Calibration Final'!$C$38")&lt;&gt;"",FALSE)),38,0)</x:f>
        <x:v>0</x:v>
      </x:c>
      <x:c r="JB38" t="n">
        <x:f>'Calculations'!JB37+IF('Calculations'!JA38&gt;0,1,0)</x:f>
        <x:v>0</x:v>
      </x:c>
      <x:c r="JC38" t="n">
        <x:f>IF(OR('Calculations'!HF38="",'Calculations'!HF38="!AMBIG"),0,IF('Dashboard'!$B$7="All",1,COUNTIFS('Calculations'!$HO$13:$HO$512,"="&amp;SUBSTITUTE(SUBSTITUTE(SUBSTITUTE('Calculations'!HF38,"~","~~"),"*","~*"),"?","~?"),'Calculations'!$HN$13:$HN$512,"="&amp;SUBSTITUTE(SUBSTITUTE(SUBSTITUTE('Dashboard'!$B$7,"~","~~"),"*","~*"),"?","~?"))+COUNTIFS('Calculations'!$HP$13:$HP$512,"="&amp;SUBSTITUTE(SUBSTITUTE(SUBSTITUTE('Calculations'!HF38,"~","~~"),"*","~*"),"?","~?"),'Calculations'!$HN$13:$HN$512,"="&amp;SUBSTITUTE(SUBSTITUTE(SUBSTITUTE('Dashboard'!$B$7,"~","~~"),"*","~*"),"?","~?"))+COUNTIFS('Calculations'!$HQ$13:$HQ$512,"="&amp;SUBSTITUTE(SUBSTITUTE(SUBSTITUTE('Calculations'!HF38,"~","~~"),"*","~*"),"?","~?"),'Calculations'!$HN$13:$HN$512,"="&amp;SUBSTITUTE(SUBSTITUTE(SUBSTITUTE('Dashboard'!$B$7,"~","~~"),"*","~*"),"?","~?"))+COUNTIFS('Calculations'!$HR$13:$HR$512,"="&amp;SUBSTITUTE(SUBSTITUTE(SUBSTITUTE('Calculations'!HF38,"~","~~"),"*","~*"),"?","~?"),'Calculations'!$HN$13:$HN$512,"="&amp;SUBSTITUTE(SUBSTITUTE(SUBSTITUTE('Dashboard'!$B$7,"~","~~"),"*","~*"),"?","~?"))+COUNTIFS('Calculations'!$HS$13:$HS$512,"="&amp;SUBSTITUTE(SUBSTITUTE(SUBSTITUTE('Calculations'!HF38,"~","~~"),"*","~*"),"?","~?"),'Calculations'!$HN$13:$HN$512,"="&amp;SUBSTITUTE(SUBSTITUTE(SUBSTITUTE('Dashboard'!$B$7,"~","~~"),"*","~*"),"?","~?"))+COUNTIFS('Calculations'!$HT$13:$HT$512,"="&amp;SUBSTITUTE(SUBSTITUTE(SUBSTITUTE('Calculations'!HF38,"~","~~"),"*","~*"),"?","~?"),'Calculations'!$HN$13:$HN$512,"="&amp;SUBSTITUTE(SUBSTITUTE(SUBSTITUTE('Dashboard'!$B$7,"~","~~"),"*","~*"),"?","~?"))+COUNTIFS('Calculations'!$HU$13:$HU$512,"="&amp;SUBSTITUTE(SUBSTITUTE(SUBSTITUTE('Calculations'!HF38,"~","~~"),"*","~*"),"?","~?"),'Calculations'!$HN$13:$HN$512,"="&amp;SUBSTITUTE(SUBSTITUTE(SUBSTITUTE('Dashboard'!$B$7,"~","~~"),"*","~*"),"?","~?"))+COUNTIFS('Calculations'!$HV$13:$HV$512,"="&amp;SUBSTITUTE(SUBSTITUTE(SUBSTITUTE('Calculations'!HF38,"~","~~"),"*","~*"),"?","~?"),'Calculations'!$HN$13:$HN$512,"="&amp;SUBSTITUTE(SUBSTITUTE(SUBSTITUTE('Dashboard'!$B$7,"~","~~"),"*","~*"),"?","~?"))+COUNTIFS('Calculations'!$HW$13:$HW$512,"="&amp;SUBSTITUTE(SUBSTITUTE(SUBSTITUTE('Calculations'!HF38,"~","~~"),"*","~*"),"?","~?"),'Calculations'!$HN$13:$HN$512,"="&amp;SUBSTITUTE(SUBSTITUTE(SUBSTITUTE('Dashboard'!$B$7,"~","~~"),"*","~*"),"?","~?"))+COUNTIFS('Calculations'!$HX$13:$HX$512,"="&amp;SUBSTITUTE(SUBSTITUTE(SUBSTITUTE('Calculations'!HF38,"~","~~"),"*","~*"),"?","~?"),'Calculations'!$HN$13:$HN$512,"="&amp;SUBSTITUTE(SUBSTITUTE(SUBSTITUTE('Dashboard'!$B$7,"~","~~"),"*","~*"),"?","~?"))+COUNTIFS('Calculations'!$HY$13:$HY$512,"="&amp;SUBSTITUTE(SUBSTITUTE(SUBSTITUTE('Calculations'!HF38,"~","~~"),"*","~*"),"?","~?"),'Calculations'!$HN$13:$HN$512,"="&amp;SUBSTITUTE(SUBSTITUTE(SUBSTITUTE('Dashboard'!$B$7,"~","~~"),"*","~*"),"?","~?"))+COUNTIFS('Calculations'!$HZ$13:$HZ$512,"="&amp;SUBSTITUTE(SUBSTITUTE(SUBSTITUTE('Calculations'!HF38,"~","~~"),"*","~*"),"?","~?"),'Calculations'!$HN$13:$HN$512,"="&amp;SUBSTITUTE(SUBSTITUTE(SUBSTITUTE('Dashboard'!$B$7,"~","~~"),"*","~*"),"?","~?"))+COUNTIFS('Calculations'!$IA$13:$IA$512,"="&amp;SUBSTITUTE(SUBSTITUTE(SUBSTITUTE('Calculations'!HF38,"~","~~"),"*","~*"),"?","~?"),'Calculations'!$HN$13:$HN$512,"="&amp;SUBSTITUTE(SUBSTITUTE(SUBSTITUTE('Dashboard'!$B$7,"~","~~"),"*","~*"),"?","~?"))+COUNTIFS('Calculations'!$IB$13:$IB$512,"="&amp;SUBSTITUTE(SUBSTITUTE(SUBSTITUTE('Calculations'!HF38,"~","~~"),"*","~*"),"?","~?"),'Calculations'!$HN$13:$HN$512,"="&amp;SUBSTITUTE(SUBSTITUTE(SUBSTITUTE('Dashboard'!$B$7,"~","~~"),"*","~*"),"?","~?"))+COUNTIFS('Calculations'!$IC$13:$IC$512,"="&amp;SUBSTITUTE(SUBSTITUTE(SUBSTITUTE('Calculations'!HF38,"~","~~"),"*","~*"),"?","~?"),'Calculations'!$HN$13:$HN$512,"="&amp;SUBSTITUTE(SUBSTITUTE(SUBSTITUTE('Dashboard'!$B$7,"~","~~"),"*","~*"),"?","~?"))+COUNTIFS('Calculations'!$ID$13:$ID$512,"="&amp;SUBSTITUTE(SUBSTITUTE(SUBSTITUTE('Calculations'!HF38,"~","~~"),"*","~*"),"?","~?"),'Calculations'!$HN$13:$HN$512,"="&amp;SUBSTITUTE(SUBSTITUTE(SUBSTITUTE('Dashboard'!$B$7,"~","~~"),"*","~*"),"?","~?"))+COUNTIFS('Calculations'!$IE$13:$IE$512,"="&amp;SUBSTITUTE(SUBSTITUTE(SUBSTITUTE('Calculations'!HF38,"~","~~"),"*","~*"),"?","~?"),'Calculations'!$HN$13:$HN$512,"="&amp;SUBSTITUTE(SUBSTITUTE(SUBSTITUTE('Dashboard'!$B$7,"~","~~"),"*","~*"),"?","~?"))+COUNTIFS('Calculations'!$IF$13:$IF$512,"="&amp;SUBSTITUTE(SUBSTITUTE(SUBSTITUTE('Calculations'!HF38,"~","~~"),"*","~*"),"?","~?"),'Calculations'!$HN$13:$HN$512,"="&amp;SUBSTITUTE(SUBSTITUTE(SUBSTITUTE('Dashboard'!$B$7,"~","~~"),"*","~*"),"?","~?"))+COUNTIFS('Calculations'!$IG$13:$IG$512,"="&amp;SUBSTITUTE(SUBSTITUTE(SUBSTITUTE('Calculations'!HF38,"~","~~"),"*","~*"),"?","~?"),'Calculations'!$HN$13:$HN$512,"="&amp;SUBSTITUTE(SUBSTITUTE(SUBSTITUTE('Dashboard'!$B$7,"~","~~"),"*","~*"),"?","~?"))+COUNTIFS('Calculations'!$IH$13:$IH$512,"="&amp;SUBSTITUTE(SUBSTITUTE(SUBSTITUTE('Calculations'!HF38,"~","~~"),"*","~*"),"?","~?"),'Calculations'!$HN$13:$HN$512,"="&amp;SUBSTITUTE(SUBSTITUTE(SUBSTITUTE('Dashboard'!$B$7,"~","~~"),"*","~*"),"?","~?"))))</x:f>
        <x:v>0</x:v>
      </x:c>
      <x:c r="JD38" t="n">
        <x:f>IF('Calculations'!EM38="",0,IF('Dashboard'!$B$7="All",1,IF('Calculations'!HN38='Dashboard'!$B$7,1,0)+IFERROR(INDEX('Calculations'!$JC$13:$JC$512,MATCH('Calculations'!HE38,'Calculations'!$HF$13:$HF$512,0)),0)))</x:f>
        <x:v>0</x:v>
      </x:c>
      <x:c r="JE38" t="n">
        <x:f>IF(AND('Calculations'!EM38&lt;&gt;"",'Calculations'!$JJ$2&lt;&gt;"All",'Calculations'!$JJ$2&lt;&gt;"",'Calculations'!HF38='Calculations'!$JJ$2,'Calculations'!HL38=0,'Calculations'!JD38&gt;0),MAX('Calculations'!$JE$12:JE37)+1,0)</x:f>
        <x:v>0</x:v>
      </x:c>
      <x:c r="JF38" t="str">
        <x:f>IF('Calculations'!EM38="","",IFERROR(IF(INDEX(INDIRECT("'WCM Calibration Final'!$G$1:$G$2000"),'Calculations'!$EM38)="","",TRIM(INDEX(INDIRECT("'WCM Calibration Final'!$G$1:$G$2000"),'Calculations'!$EM38)&amp;"")),""))</x:f>
      </x:c>
      <x:c r="JQ38" t="n">
        <x:f>IF(OR('Calculations'!BM38=0,NOT('Calculations'!$AG$2),'Calculations'!$AG$8&gt;0),0,IF(OR('Dashboard'!$B$7="All",'Calculations'!HN38='Dashboard'!$B$7),IF('Calculations'!$JJ$2="All",1,IF(AND('Calculations'!HF38='Calculations'!$JJ$2,'Calculations'!HL38=0),1,0)),0))</x:f>
        <x:v>0</x:v>
      </x:c>
    </x:row>
    <x:row r="39">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t="n">
        <x:f>IF('Calculations'!$EM39="",0,IF(OR(IFERROR(INDEX(INDIRECT("'WCM Calibration Final'!$A$1:$A$2000"),'Calculations'!$EM39)&lt;&gt;"",FALSE),IFERROR(INDEX(INDIRECT("'WCM Calibration Final'!$B$1:$B$2000"),'Calculations'!$EM39)&lt;&gt;"",FALSE),IFERROR(INDEX(INDIRECT("'WCM Calibration Final'!$C$1:$C$2000"),'Calculations'!$EM39)&lt;&gt;"",FALSE)),1,0))</x:f>
        <x:v>0</x:v>
      </x:c>
      <x:c r="BN39" s="4" t="n">
        <x:f>IF(AND('Calculations'!BM39=1,'Calculations'!$AG$2,'Calculations'!$EN39=1),1,0)</x:f>
        <x:v>0</x:v>
      </x:c>
      <x:c r="BO39" s="4" t="str">
        <x:f>IF('Calculations'!BM39=0,"",IFERROR(IF(AND(VALUE(INDEX(INDIRECT("'WCM Calibration Final'!$K$1:$K$2000"),'Calculations'!$EM39))&gt;=1,VALUE(INDEX(INDIRECT("'WCM Calibration Final'!$K$1:$K$2000"),'Calculations'!$EM39))&lt;=4,MOD(VALUE(INDEX(INDIRECT("'WCM Calibration Final'!$K$1:$K$2000"),'Calculations'!$EM39)),1)=0),VALUE(INDEX(INDIRECT("'WCM Calibration Final'!$K$1:$K$2000"),'Calculations'!$EM39)),""),""))</x:f>
      </x:c>
      <x:c r="BP39" s="4" t="str">
        <x:f>IF('Calculations'!BM39=0,"",IFERROR(IF(AND(VALUE(INDEX(INDIRECT("'WCM Calibration Final'!$L$1:$L$2000"),'Calculations'!$EM39))&gt;=1,VALUE(INDEX(INDIRECT("'WCM Calibration Final'!$L$1:$L$2000"),'Calculations'!$EM39))&lt;=4,MOD(VALUE(INDEX(INDIRECT("'WCM Calibration Final'!$L$1:$L$2000"),'Calculations'!$EM39)),1)=0),VALUE(INDEX(INDIRECT("'WCM Calibration Final'!$L$1:$L$2000"),'Calculations'!$EM39)),""),""))</x:f>
      </x:c>
      <x:c r="BQ39" s="4"/>
      <x:c r="BR39" s="4"/>
      <x:c r="BS39" s="4"/>
      <x:c r="BT39" s="4" t="n">
        <x:f>IF(AND('Calculations'!BM39=1,ISNUMBER('Calculations'!BO39),ISNUMBER('Calculations'!BP39)),1,0)</x:f>
        <x:v>0</x:v>
      </x:c>
      <x:c r="BU39" s="4" t="str">
        <x:f>IF('Calculations'!BM39=0,"",'Calculations'!$EO39)</x:f>
      </x:c>
      <x:c r="BV39" s="4" t="str">
        <x:f>IF('Calculations'!BM39=0,"",IFERROR(IF(OR(INDEX(INDIRECT("'WCM Calibration Final'!$H$1:$H$2000"),'Calculations'!$EM39)="MANAGING DIRECTOR",INDEX(INDIRECT("'WCM Calibration Final'!$H$1:$H$2000"),'Calculations'!$EM39)="DIRECTOR",INDEX(INDIRECT("'WCM Calibration Final'!$H$1:$H$2000"),'Calculations'!$EM39)="SENIOR VICE PRESIDENT",INDEX(INDIRECT("'WCM Calibration Final'!$H$1:$H$2000"),'Calculations'!$EM39)="VICE PRESIDENT",INDEX(INDIRECT("'WCM Calibration Final'!$H$1:$H$2000"),'Calculations'!$EM39)="ASSISTANT VICE PRESIDENT",INDEX(INDIRECT("'WCM Calibration Final'!$H$1:$H$2000"),'Calculations'!$EM39)="OFFICER"),UPPER(INDEX(INDIRECT("'WCM Calibration Final'!$H$1:$H$2000"),'Calculations'!$EM39)),"Other"),"Other"))</x:f>
      </x:c>
      <x:c r="BW39" s="4"/>
      <x:c r="BX39" s="4"/>
      <x:c r="BY39" s="4" t="n">
        <x:f>IF(AND('Calculations'!BM39=1,'Calculations'!BU39&lt;&gt;"",COUNTIF('Calculations'!$BU$12:BU39,'Calculations'!BU39)=1),MAX('Calculations'!$BY$11:BY38)+1,0)</x:f>
        <x:v>0</x:v>
      </x:c>
      <x:c r="BZ39" s="4" t="str">
        <x:f>IF('Dashboard'!$E$67="What",'Calculations'!BO39,'Calculations'!BP39)</x:f>
      </x:c>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t="str">
        <x:f>IF(28&gt;MAX('Calculations'!$HI$13:$HI$512),"",INDEX('Calculations'!$HN$13:$HN$512,MATCH(28,'Calculations'!$HI$13:$HI$512,0)))</x:f>
      </x:c>
      <x:c r="DB39" s="4" t="str">
        <x:f>IF(28&gt;MAX('Calculations'!$HH$13:$HH$512),"",INDEX('Calculations'!$HJ$13:$HJ$512,MATCH(28,'Calculations'!$HH$13:$HH$512,0)))</x:f>
      </x:c>
      <x:c r="DC39" s="4" t="str">
        <x:f>IF(ROW()-11&gt;MAX('Calculations'!$BY$13:$BY$512),"",INDEX('Calculations'!$BU$13:$BU$512,MATCH(ROW()-11,'Calculations'!$BY$13:$BY$512,0)))</x:f>
      </x:c>
      <x:c r="DD39" s="4" t="str">
        <x:f>IF(28&gt;MAX('Calculations'!$IK$13:$IK$512),"",INDEX('Calculations'!$HK$13:$HK$512,MATCH(28,'Calculations'!$IK$13:$IK$512,0)))</x:f>
      </x:c>
      <x:c r="DE39" s="4" t="str">
        <x:f>'Calculations'!DC39</x:f>
      </x:c>
      <x:c r="DF39" s="4" t="str">
        <x:f>IF('Calculations'!DE39="","",COUNTIFS('Calculations'!$BN$13:$BN$512,1,'Calculations'!$BU$13:$BU$512,'Calculations'!DE39))</x:f>
      </x:c>
      <x:c r="DG39" s="4" t="str">
        <x:f>IF('Calculations'!DE39="","",COUNTIFS('Calculations'!$BN$13:$BN$512,1,'Calculations'!$BU$13:$BU$512,'Calculations'!DE39,'Calculations'!$BT$13:$BT$512,1))</x:f>
      </x:c>
      <x:c r="DH39" s="4" t="str">
        <x:f>IF('Calculations'!DE39="","",'Calculations'!DF39-'Calculations'!DG39)</x:f>
      </x:c>
      <x:c r="DI39" s="4" t="str">
        <x:f>IF(OR('Calculations'!DE39="",'Calculations'!DF39=0),"",'Calculations'!DG39/'Calculations'!DF39)</x:f>
      </x:c>
      <x:c r="DJ39" s="4" t="str">
        <x:f>IF('Calculations'!DE39="","",COUNTIFS('Calculations'!$BN$13:$BN$512,1,'Calculations'!$BU$13:$BU$512,'Calculations'!DE39,'Calculations'!$BT$13:$BT$512,1,'Calculations'!$EE$13:$EE$512,"High"))</x:f>
      </x:c>
      <x:c r="DK39" s="4" t="str">
        <x:f>IF('Calculations'!DE39="","",COUNTIFS('Calculations'!$BN$13:$BN$512,1,'Calculations'!$BU$13:$BU$512,'Calculations'!DE39,'Calculations'!$BT$13:$BT$512,1,'Calculations'!$EE$13:$EE$512,"Strong"))</x:f>
      </x:c>
      <x:c r="DL39" s="4" t="str">
        <x:f>IF('Calculations'!DE39="","",COUNTIFS('Calculations'!$BN$13:$BN$512,1,'Calculations'!$BU$13:$BU$512,'Calculations'!DE39,'Calculations'!$BT$13:$BT$512,1,'Calculations'!$EE$13:$EE$512,"Solid"))</x:f>
      </x:c>
      <x:c r="DM39" s="4" t="str">
        <x:f>IF('Calculations'!DE39="","",COUNTIFS('Calculations'!$BN$13:$BN$512,1,'Calculations'!$BU$13:$BU$512,'Calculations'!DE39,'Calculations'!$BT$13:$BT$512,1,'Calculations'!$EE$13:$EE$512,"Low"))</x:f>
      </x:c>
      <x:c r="DN39" s="4" t="str">
        <x:f>IF('Calculations'!DE39="","",COUNTIFS('Calculations'!$BN$13:$BN$512,1,'Calculations'!$BU$13:$BU$512,'Calculations'!DE39,'Calculations'!$EP$13:$EP$512,1))</x:f>
      </x:c>
      <x:c r="DO39" s="4" t="str">
        <x:f>IF(OR('Calculations'!DE39="",'Calculations'!DG39=0),"",('Calculations'!DJ39+'Calculations'!DK39)/'Calculations'!DG39)</x:f>
      </x:c>
      <x:c r="DP39" s="4" t="n">
        <x:f>IF(AND('Calculations'!DE39&lt;&gt;"",'Calculations'!DF39&gt;0),COUNTIF('Calculations'!$DF$12:DF39,"&gt;0"),0)</x:f>
        <x:v>0</x:v>
      </x:c>
      <x:c r="DQ39" s="4" t="str">
        <x:f>IF(28&gt;MAX('Calculations'!$HH$13:$HH$512),"",INDEX('Calculations'!$HF$13:$HF$512,MATCH(28,'Calculations'!$HH$13:$HH$512,0)))</x:f>
      </x:c>
      <x:c r="DR39" s="4" t="str">
        <x:f>IF(28&gt;MAX('Calculations'!$IK$13:$IK$512),"",INDEX('Calculations'!$HE$13:$HE$512,MATCH(28,'Calculations'!$IK$13:$IK$512,0)))</x:f>
      </x:c>
      <x:c r="DS39" s="4"/>
      <x:c r="DT39" s="4"/>
      <x:c r="DU39" s="4"/>
      <x:c r="DV39" s="4"/>
      <x:c r="DW39" s="4"/>
      <x:c r="DX39" s="4"/>
      <x:c r="DY39" s="4"/>
      <x:c r="DZ39" s="4"/>
      <x:c r="EA39" s="4"/>
      <x:c r="EB39" s="4"/>
      <x:c r="EC39" s="4"/>
      <x:c r="ED39" s="4"/>
      <x:c r="EE39" s="4" t="str">
        <x:f>IF('Calculations'!BT39=0,"Not Rated",IF(OR('Calculations'!BO39&gt;=4,'Calculations'!BP39&gt;=4),"Low",IF('Calculations'!BO39+'Calculations'!BP39&lt;=3,"High",IF('Calculations'!BO39+'Calculations'!BP39&lt;=4,"Strong","Solid"))))</x:f>
        <x:v>Not Rated</x:v>
      </x:c>
      <x:c r="EF39" s="4"/>
      <x:c r="EG39" s="4"/>
      <x:c r="EH39" s="4"/>
      <x:c r="EI39" s="4"/>
      <x:c r="EJ39" s="4"/>
      <x:c r="EK39" s="4"/>
      <x:c r="EL39" s="4"/>
      <x:c r="EM39" s="4" t="str">
        <x:f>IF(27&gt;'Calculations'!$JB$2000,"",INDEX('Calculations'!$JA$12:$JA$2000,MATCH(27,'Calculations'!$JB$12:$JB$2000,0)))</x:f>
      </x:c>
      <x:c r="EN39" s="4" t="n">
        <x:f>IF(OR('Calculations'!EM39="",'Calculations'!$AG$8&gt;0,AND('Calculations'!$EF$2&lt;&gt;"All",'Calculations'!HE39='Calculations'!$EF$2),AND('Calculations'!$EF$3&lt;&gt;"All",'Calculations'!HE39='Calculations'!$EF$3)),0,IF(OR('Dashboard'!$B$7="All",'Calculations'!HN39='Dashboard'!$B$7),IF('Calculations'!$EF$2="All",1,IF('Calculations'!HL39&gt;0,0,IF(COUNTIF('Calculations'!HO39:II39,"="&amp;SUBSTITUTE(SUBSTITUTE(SUBSTITUTE('Calculations'!$EF$2,"~","~~"),"*","~*"),"?","~?"))=0,0,IF('Calculations'!$EF$3="All",1,IF(COUNTIF('Calculations'!HO39:II39,"="&amp;SUBSTITUTE(SUBSTITUTE(SUBSTITUTE('Calculations'!$EF$3,"~","~~"),"*","~*"),"?","~?"))&gt;0,1,0))))),0))</x:f>
        <x:v>0</x:v>
      </x:c>
      <x:c r="EO39" s="4" t="str">
        <x:f>IF('Calculations'!IJ39="","",IF('Calculations'!IJ39="!UNRESOLVED","Unresolved hierarchy",IFERROR(INDEX('Calculations'!$HK$13:$HK$512,MATCH('Calculations'!IJ39,'Calculations'!$HE$13:$HE$512,0)),IFERROR(INDEX('Calculations'!$HJ$13:$HJ$512,MATCH('Calculations'!IJ39,'Calculations'!$HF$13:$HF$512,0)),'Calculations'!IJ39))))</x:f>
      </x:c>
      <x:c r="EP39" s="4" t="n">
        <x:f>IF(AND('Calculations'!EM39&lt;&gt;"",'Calculations'!HF39='Calculations'!IJ39),1,0)</x:f>
        <x:v>0</x:v>
      </x:c>
      <x:c r="EQ39" s="4"/>
      <x:c r="ER39" s="4"/>
      <x:c r="ES39" s="4"/>
      <x:c r="ET39" s="4"/>
      <x:c r="EU39" s="4"/>
      <x:c r="EV39" s="4"/>
      <x:c r="EW39" s="4"/>
      <x:c r="EX39" s="4"/>
      <x:c r="EY39" s="4"/>
      <x:c r="EZ39" s="4"/>
      <x:c r="FA39" s="4"/>
      <x:c r="FB39" s="4"/>
      <x:c r="FC39" s="4"/>
      <x:c r="FD39" s="4"/>
      <x:c r="FE39" s="4"/>
      <x:c r="FF39" s="4"/>
      <x:c r="FG39" s="4"/>
      <x:c r="FH39" s="4"/>
      <x:c r="FI39" s="4"/>
      <x:c r="FJ39" s="4"/>
      <x:c r="FK39" s="4"/>
      <x:c r="FL39" s="4"/>
      <x:c r="FM39" s="4"/>
      <x:c r="FN39" s="4"/>
      <x:c r="FO39" s="4"/>
      <x:c r="GA39" s="71"/>
      <x:c r="GB39" s="71"/>
      <x:c r="GC39" s="71"/>
      <x:c r="GD39" s="71"/>
      <x:c r="GE39" s="71"/>
      <x:c r="GF39" s="71"/>
      <x:c r="GG39" s="71"/>
      <x:c r="GH39" s="71"/>
      <x:c r="GI39" s="71"/>
      <x:c r="GJ39" s="71"/>
      <x:c r="GK39" s="71"/>
      <x:c r="GL39" s="71"/>
      <x:c r="GM39" s="71"/>
      <x:c r="GN39" s="71"/>
      <x:c r="GO39" s="71"/>
      <x:c r="GP39" s="71"/>
      <x:c r="GQ39" s="71"/>
      <x:c r="GR39" s="71"/>
      <x:c r="GS39" s="71"/>
      <x:c r="GT39" s="71"/>
      <x:c r="GU39" s="71"/>
      <x:c r="GV39" s="71"/>
      <x:c r="GW39" s="71"/>
      <x:c r="GX39" s="71"/>
      <x:c r="GY39" s="71"/>
      <x:c r="GZ39" s="71"/>
      <x:c r="HA39" s="71"/>
      <x:c r="HB39" s="71"/>
      <x:c r="HC39" s="71"/>
      <x:c r="HD39" s="71"/>
      <x:c r="HE39" t="str">
        <x:f>IF('Calculations'!EM39="","",IF(IFERROR(IF(INDEX(INDIRECT("'WCM Calibration Final'!$A$1:$A$2000"),'Calculations'!$EM39)="","",TRIM(INDEX(INDIRECT("'WCM Calibration Final'!$A$1:$A$2000"),'Calculations'!$EM39)&amp;"")),"")&lt;&gt;"","G:"&amp;IFERROR(TEXT(1*INDEX(INDIRECT("'WCM Calibration Final'!$A$1:$A$2000"),'Calculations'!$EM39),"0"),UPPER(IFERROR(IF(INDEX(INDIRECT("'WCM Calibration Final'!$A$1:$A$2000"),'Calculations'!$EM39)="","",TRIM(INDEX(INDIRECT("'WCM Calibration Final'!$A$1:$A$2000"),'Calculations'!$EM39)&amp;"")),""))),IF(IFERROR(IF(INDEX(INDIRECT("'WCM Calibration Final'!$C$1:$C$2000"),'Calculations'!$EM39)="","",TRIM(INDEX(INDIRECT("'WCM Calibration Final'!$C$1:$C$2000"),'Calculations'!$EM39)&amp;"")),"")&lt;&gt;"","S:"&amp;UPPER(IFERROR(IF(INDEX(INDIRECT("'WCM Calibration Final'!$C$1:$C$2000"),'Calculations'!$EM39)="","",TRIM(INDEX(INDIRECT("'WCM Calibration Final'!$C$1:$C$2000"),'Calculations'!$EM39)&amp;"")),"")),"R:"&amp;'Calculations'!EM39)))</x:f>
      </x:c>
      <x:c r="HF39" t="str">
        <x:f>IF('Calculations'!EM39="","",IF(IFERROR(IF(INDEX(INDIRECT("'WCM Calibration Final'!$D$1:$D$2000"),'Calculations'!$EM39)="","",TRIM(INDEX(INDIRECT("'WCM Calibration Final'!$D$1:$D$2000"),'Calculations'!$EM39)&amp;"")),"")&lt;&gt;"","G:"&amp;IFERROR(TEXT(1*INDEX(INDIRECT("'WCM Calibration Final'!$D$1:$D$2000"),'Calculations'!$EM39),"0"),UPPER(IFERROR(IF(INDEX(INDIRECT("'WCM Calibration Final'!$D$1:$D$2000"),'Calculations'!$EM39)="","",TRIM(INDEX(INDIRECT("'WCM Calibration Final'!$D$1:$D$2000"),'Calculations'!$EM39)&amp;"")),""))),IF(IFERROR(IF(INDEX(INDIRECT("'WCM Calibration Final'!$E$1:$E$2000"),'Calculations'!$EM39)="","",TRIM(INDEX(INDIRECT("'WCM Calibration Final'!$E$1:$E$2000"),'Calculations'!$EM39)&amp;"")),"")="","",IF(COUNTIF('Calculations'!$HG$13:$HG$512,"="&amp;SUBSTITUTE(SUBSTITUTE(SUBSTITUTE(IFERROR(IF(INDEX(INDIRECT("'WCM Calibration Final'!$E$1:$E$2000"),'Calculations'!$EM39)="","",TRIM(INDEX(INDIRECT("'WCM Calibration Final'!$E$1:$E$2000"),'Calculations'!$EM39)&amp;"")),""),"~","~~"),"*","~*"),"?","~?"))=1,INDEX('Calculations'!$HE$13:$HE$512,MATCH(IFERROR(IF(INDEX(INDIRECT("'WCM Calibration Final'!$E$1:$E$2000"),'Calculations'!$EM39)="","",TRIM(INDEX(INDIRECT("'WCM Calibration Final'!$E$1:$E$2000"),'Calculations'!$EM39)&amp;"")),""),'Calculations'!$HG$13:$HG$512,0)),IF(COUNTIF('Calculations'!$HG$13:$HG$512,"="&amp;SUBSTITUTE(SUBSTITUTE(SUBSTITUTE(IFERROR(IF(INDEX(INDIRECT("'WCM Calibration Final'!$E$1:$E$2000"),'Calculations'!$EM39)="","",TRIM(INDEX(INDIRECT("'WCM Calibration Final'!$E$1:$E$2000"),'Calculations'!$EM39)&amp;"")),""),"~","~~"),"*","~*"),"?","~?"))&gt;1,"!AMBIG","X:"&amp;IFERROR(IF(INDEX(INDIRECT("'WCM Calibration Final'!$E$1:$E$2000"),'Calculations'!$EM39)="","",TRIM(INDEX(INDIRECT("'WCM Calibration Final'!$E$1:$E$2000"),'Calculations'!$EM39)&amp;"")),""))))))</x:f>
      </x:c>
      <x:c r="HG39" t="str">
        <x:f>IF('Calculations'!EM39="","",IFERROR(IF(INDEX(INDIRECT("'WCM Calibration Final'!$B$1:$B$2000"),'Calculations'!$EM39)="","",TRIM(INDEX(INDIRECT("'WCM Calibration Final'!$B$1:$B$2000"),'Calculations'!$EM39)&amp;"")),""))</x:f>
      </x:c>
      <x:c r="HH39" t="n">
        <x:f>IF(AND('Calculations'!JC39&gt;0,COUNTIF('Calculations'!$HF$12:HF39,"="&amp;SUBSTITUTE(SUBSTITUTE(SUBSTITUTE('Calculations'!HF39,"~","~~"),"*","~*"),"?","~?"))=1),MAX('Calculations'!$HH$12:HH38)+1,0)</x:f>
        <x:v>0</x:v>
      </x:c>
      <x:c r="HI39" t="n">
        <x:f>IF(AND('Calculations'!HN39&lt;&gt;"",COUNTIF('Calculations'!$HN$12:HN39,"="&amp;SUBSTITUTE(SUBSTITUTE(SUBSTITUTE('Calculations'!HN39,"~","~~"),"*","~*"),"?","~?"))=1),MAX('Calculations'!$HI$12:HI38)+1,0)</x:f>
        <x:v>0</x:v>
      </x:c>
      <x:c r="HJ39" t="str">
        <x:f>IF('Calculations'!HF39="","",IF(COUNTIF('Calculations'!$HE$13:$HE$512,"="&amp;SUBSTITUTE(SUBSTITUTE(SUBSTITUTE('Calculations'!HF39,"~","~~"),"*","~*"),"?","~?"))=1,INDEX('Calculations'!$HK$13:$HK$512,MATCH('Calculations'!HF39,'Calculations'!$HE$13:$HE$512,0)),IFERROR(IF(INDEX(INDIRECT("'WCM Calibration Final'!$E$1:$E$2000"),'Calculations'!$EM39)="","",TRIM(INDEX(INDIRECT("'WCM Calibration Final'!$E$1:$E$2000"),'Calculations'!$EM39)&amp;"")),"")&amp;" ["&amp;'Calculations'!HF39&amp;"]"))</x:f>
      </x:c>
      <x:c r="HK39" t="str">
        <x:f>IF('Calculations'!EM39="","",'Calculations'!HG39&amp;" ["&amp;'Calculations'!HE39&amp;"]")</x:f>
      </x:c>
      <x:c r="HL39" t="n">
        <x:f>IF('Calculations'!EM39="",0,IF(OR('Calculations'!II39&lt;&gt;"",COUNTIF('Calculations'!$HE$13:$HE$512,"="&amp;SUBSTITUTE(SUBSTITUTE(SUBSTITUTE('Calculations'!HE39,"~","~~"),"*","~*"),"?","~?"))&gt;1),1,0))</x:f>
        <x:v>0</x:v>
      </x:c>
      <x:c r="HM39" t="str">
        <x:f>IF('Calculations'!EM39="","",IF('Calculations'!HL39=1,"!UNRESOLVED",IF('Calculations'!IH39&lt;&gt;"",'Calculations'!IH39,IF('Calculations'!IG39&lt;&gt;"",'Calculations'!IG39,IF('Calculations'!IF39&lt;&gt;"",'Calculations'!IF39,IF('Calculations'!IE39&lt;&gt;"",'Calculations'!IE39,IF('Calculations'!ID39&lt;&gt;"",'Calculations'!ID39,IF('Calculations'!IC39&lt;&gt;"",'Calculations'!IC39,IF('Calculations'!IB39&lt;&gt;"",'Calculations'!IB39,IF('Calculations'!IA39&lt;&gt;"",'Calculations'!IA39,IF('Calculations'!HZ39&lt;&gt;"",'Calculations'!HZ39,IF('Calculations'!HY39&lt;&gt;"",'Calculations'!HY39,IF('Calculations'!HX39&lt;&gt;"",'Calculations'!HX39,IF('Calculations'!HW39&lt;&gt;"",'Calculations'!HW39,IF('Calculations'!HV39&lt;&gt;"",'Calculations'!HV39,IF('Calculations'!HU39&lt;&gt;"",'Calculations'!HU39,IF('Calculations'!HT39&lt;&gt;"",'Calculations'!HT39,IF('Calculations'!HS39&lt;&gt;"",'Calculations'!HS39,IF('Calculations'!HR39&lt;&gt;"",'Calculations'!HR39,IF('Calculations'!HQ39&lt;&gt;"",'Calculations'!HQ39,IF('Calculations'!HP39&lt;&gt;"",'Calculations'!HP39,IF('Calculations'!HO39&lt;&gt;"",'Calculations'!HO39,'Calculations'!HE39))))))))))))))))))))))</x:f>
      </x:c>
      <x:c r="HN39" t="str">
        <x:f>IF('Calculations'!EM39="","",IF(IFERROR(IF(INDEX(INDIRECT("'WCM Calibration Final'!$F$1:$F$2000"),'Calculations'!$EM39)="","",TRIM(INDEX(INDIRECT("'WCM Calibration Final'!$F$1:$F$2000"),'Calculations'!$EM39)&amp;"")),"")="","(Blank)",IFERROR(IF(INDEX(INDIRECT("'WCM Calibration Final'!$F$1:$F$2000"),'Calculations'!$EM39)="","",TRIM(INDEX(INDIRECT("'WCM Calibration Final'!$F$1:$F$2000"),'Calculations'!$EM39)&amp;"")),"")))</x:f>
      </x:c>
      <x:c r="HO39" t="str">
        <x:f>'Calculations'!HF39</x:f>
      </x:c>
      <x:c r="HP39" t="str">
        <x:f>IF('Calculations'!HO39="","",IF('Calculations'!HO39="!AMBIG","!AMBIG",IF(COUNTIF('Calculations'!$HE$13:$HE$512,"="&amp;SUBSTITUTE(SUBSTITUTE(SUBSTITUTE('Calculations'!HO39,"~","~~"),"*","~*"),"?","~?"))&gt;1,"!AMBIG",IFERROR(INDEX('Calculations'!$HF$13:$HF$512,MATCH('Calculations'!HO39,'Calculations'!$HE$13:$HE$512,0)),""))))</x:f>
      </x:c>
      <x:c r="HQ39" t="str">
        <x:f>IF('Calculations'!HP39="","",IF('Calculations'!HP39="!AMBIG","!AMBIG",IF(COUNTIF('Calculations'!$HE$13:$HE$512,"="&amp;SUBSTITUTE(SUBSTITUTE(SUBSTITUTE('Calculations'!HP39,"~","~~"),"*","~*"),"?","~?"))&gt;1,"!AMBIG",IFERROR(INDEX('Calculations'!$HF$13:$HF$512,MATCH('Calculations'!HP39,'Calculations'!$HE$13:$HE$512,0)),""))))</x:f>
      </x:c>
      <x:c r="HR39" t="str">
        <x:f>IF('Calculations'!HQ39="","",IF('Calculations'!HQ39="!AMBIG","!AMBIG",IF(COUNTIF('Calculations'!$HE$13:$HE$512,"="&amp;SUBSTITUTE(SUBSTITUTE(SUBSTITUTE('Calculations'!HQ39,"~","~~"),"*","~*"),"?","~?"))&gt;1,"!AMBIG",IFERROR(INDEX('Calculations'!$HF$13:$HF$512,MATCH('Calculations'!HQ39,'Calculations'!$HE$13:$HE$512,0)),""))))</x:f>
      </x:c>
      <x:c r="HS39" t="str">
        <x:f>IF('Calculations'!HR39="","",IF('Calculations'!HR39="!AMBIG","!AMBIG",IF(COUNTIF('Calculations'!$HE$13:$HE$512,"="&amp;SUBSTITUTE(SUBSTITUTE(SUBSTITUTE('Calculations'!HR39,"~","~~"),"*","~*"),"?","~?"))&gt;1,"!AMBIG",IFERROR(INDEX('Calculations'!$HF$13:$HF$512,MATCH('Calculations'!HR39,'Calculations'!$HE$13:$HE$512,0)),""))))</x:f>
      </x:c>
      <x:c r="HT39" t="str">
        <x:f>IF('Calculations'!HS39="","",IF('Calculations'!HS39="!AMBIG","!AMBIG",IF(COUNTIF('Calculations'!$HE$13:$HE$512,"="&amp;SUBSTITUTE(SUBSTITUTE(SUBSTITUTE('Calculations'!HS39,"~","~~"),"*","~*"),"?","~?"))&gt;1,"!AMBIG",IFERROR(INDEX('Calculations'!$HF$13:$HF$512,MATCH('Calculations'!HS39,'Calculations'!$HE$13:$HE$512,0)),""))))</x:f>
      </x:c>
      <x:c r="HU39" t="str">
        <x:f>IF('Calculations'!HT39="","",IF('Calculations'!HT39="!AMBIG","!AMBIG",IF(COUNTIF('Calculations'!$HE$13:$HE$512,"="&amp;SUBSTITUTE(SUBSTITUTE(SUBSTITUTE('Calculations'!HT39,"~","~~"),"*","~*"),"?","~?"))&gt;1,"!AMBIG",IFERROR(INDEX('Calculations'!$HF$13:$HF$512,MATCH('Calculations'!HT39,'Calculations'!$HE$13:$HE$512,0)),""))))</x:f>
      </x:c>
      <x:c r="HV39" t="str">
        <x:f>IF('Calculations'!HU39="","",IF('Calculations'!HU39="!AMBIG","!AMBIG",IF(COUNTIF('Calculations'!$HE$13:$HE$512,"="&amp;SUBSTITUTE(SUBSTITUTE(SUBSTITUTE('Calculations'!HU39,"~","~~"),"*","~*"),"?","~?"))&gt;1,"!AMBIG",IFERROR(INDEX('Calculations'!$HF$13:$HF$512,MATCH('Calculations'!HU39,'Calculations'!$HE$13:$HE$512,0)),""))))</x:f>
      </x:c>
      <x:c r="HW39" t="str">
        <x:f>IF('Calculations'!HV39="","",IF('Calculations'!HV39="!AMBIG","!AMBIG",IF(COUNTIF('Calculations'!$HE$13:$HE$512,"="&amp;SUBSTITUTE(SUBSTITUTE(SUBSTITUTE('Calculations'!HV39,"~","~~"),"*","~*"),"?","~?"))&gt;1,"!AMBIG",IFERROR(INDEX('Calculations'!$HF$13:$HF$512,MATCH('Calculations'!HV39,'Calculations'!$HE$13:$HE$512,0)),""))))</x:f>
      </x:c>
      <x:c r="HX39" t="str">
        <x:f>IF('Calculations'!HW39="","",IF('Calculations'!HW39="!AMBIG","!AMBIG",IF(COUNTIF('Calculations'!$HE$13:$HE$512,"="&amp;SUBSTITUTE(SUBSTITUTE(SUBSTITUTE('Calculations'!HW39,"~","~~"),"*","~*"),"?","~?"))&gt;1,"!AMBIG",IFERROR(INDEX('Calculations'!$HF$13:$HF$512,MATCH('Calculations'!HW39,'Calculations'!$HE$13:$HE$512,0)),""))))</x:f>
      </x:c>
      <x:c r="HY39" t="str">
        <x:f>IF('Calculations'!HX39="","",IF('Calculations'!HX39="!AMBIG","!AMBIG",IF(COUNTIF('Calculations'!$HE$13:$HE$512,"="&amp;SUBSTITUTE(SUBSTITUTE(SUBSTITUTE('Calculations'!HX39,"~","~~"),"*","~*"),"?","~?"))&gt;1,"!AMBIG",IFERROR(INDEX('Calculations'!$HF$13:$HF$512,MATCH('Calculations'!HX39,'Calculations'!$HE$13:$HE$512,0)),""))))</x:f>
      </x:c>
      <x:c r="HZ39" t="str">
        <x:f>IF('Calculations'!HY39="","",IF('Calculations'!HY39="!AMBIG","!AMBIG",IF(COUNTIF('Calculations'!$HE$13:$HE$512,"="&amp;SUBSTITUTE(SUBSTITUTE(SUBSTITUTE('Calculations'!HY39,"~","~~"),"*","~*"),"?","~?"))&gt;1,"!AMBIG",IFERROR(INDEX('Calculations'!$HF$13:$HF$512,MATCH('Calculations'!HY39,'Calculations'!$HE$13:$HE$512,0)),""))))</x:f>
      </x:c>
      <x:c r="IA39" t="str">
        <x:f>IF('Calculations'!HZ39="","",IF('Calculations'!HZ39="!AMBIG","!AMBIG",IF(COUNTIF('Calculations'!$HE$13:$HE$512,"="&amp;SUBSTITUTE(SUBSTITUTE(SUBSTITUTE('Calculations'!HZ39,"~","~~"),"*","~*"),"?","~?"))&gt;1,"!AMBIG",IFERROR(INDEX('Calculations'!$HF$13:$HF$512,MATCH('Calculations'!HZ39,'Calculations'!$HE$13:$HE$512,0)),""))))</x:f>
      </x:c>
      <x:c r="IB39" t="str">
        <x:f>IF('Calculations'!IA39="","",IF('Calculations'!IA39="!AMBIG","!AMBIG",IF(COUNTIF('Calculations'!$HE$13:$HE$512,"="&amp;SUBSTITUTE(SUBSTITUTE(SUBSTITUTE('Calculations'!IA39,"~","~~"),"*","~*"),"?","~?"))&gt;1,"!AMBIG",IFERROR(INDEX('Calculations'!$HF$13:$HF$512,MATCH('Calculations'!IA39,'Calculations'!$HE$13:$HE$512,0)),""))))</x:f>
      </x:c>
      <x:c r="IC39" t="str">
        <x:f>IF('Calculations'!IB39="","",IF('Calculations'!IB39="!AMBIG","!AMBIG",IF(COUNTIF('Calculations'!$HE$13:$HE$512,"="&amp;SUBSTITUTE(SUBSTITUTE(SUBSTITUTE('Calculations'!IB39,"~","~~"),"*","~*"),"?","~?"))&gt;1,"!AMBIG",IFERROR(INDEX('Calculations'!$HF$13:$HF$512,MATCH('Calculations'!IB39,'Calculations'!$HE$13:$HE$512,0)),""))))</x:f>
      </x:c>
      <x:c r="ID39" t="str">
        <x:f>IF('Calculations'!IC39="","",IF('Calculations'!IC39="!AMBIG","!AMBIG",IF(COUNTIF('Calculations'!$HE$13:$HE$512,"="&amp;SUBSTITUTE(SUBSTITUTE(SUBSTITUTE('Calculations'!IC39,"~","~~"),"*","~*"),"?","~?"))&gt;1,"!AMBIG",IFERROR(INDEX('Calculations'!$HF$13:$HF$512,MATCH('Calculations'!IC39,'Calculations'!$HE$13:$HE$512,0)),""))))</x:f>
      </x:c>
      <x:c r="IE39" t="str">
        <x:f>IF('Calculations'!ID39="","",IF('Calculations'!ID39="!AMBIG","!AMBIG",IF(COUNTIF('Calculations'!$HE$13:$HE$512,"="&amp;SUBSTITUTE(SUBSTITUTE(SUBSTITUTE('Calculations'!ID39,"~","~~"),"*","~*"),"?","~?"))&gt;1,"!AMBIG",IFERROR(INDEX('Calculations'!$HF$13:$HF$512,MATCH('Calculations'!ID39,'Calculations'!$HE$13:$HE$512,0)),""))))</x:f>
      </x:c>
      <x:c r="IF39" t="str">
        <x:f>IF('Calculations'!IE39="","",IF('Calculations'!IE39="!AMBIG","!AMBIG",IF(COUNTIF('Calculations'!$HE$13:$HE$512,"="&amp;SUBSTITUTE(SUBSTITUTE(SUBSTITUTE('Calculations'!IE39,"~","~~"),"*","~*"),"?","~?"))&gt;1,"!AMBIG",IFERROR(INDEX('Calculations'!$HF$13:$HF$512,MATCH('Calculations'!IE39,'Calculations'!$HE$13:$HE$512,0)),""))))</x:f>
      </x:c>
      <x:c r="IG39" t="str">
        <x:f>IF('Calculations'!IF39="","",IF('Calculations'!IF39="!AMBIG","!AMBIG",IF(COUNTIF('Calculations'!$HE$13:$HE$512,"="&amp;SUBSTITUTE(SUBSTITUTE(SUBSTITUTE('Calculations'!IF39,"~","~~"),"*","~*"),"?","~?"))&gt;1,"!AMBIG",IFERROR(INDEX('Calculations'!$HF$13:$HF$512,MATCH('Calculations'!IF39,'Calculations'!$HE$13:$HE$512,0)),""))))</x:f>
      </x:c>
      <x:c r="IH39" t="str">
        <x:f>IF('Calculations'!IG39="","",IF('Calculations'!IG39="!AMBIG","!AMBIG",IF(COUNTIF('Calculations'!$HE$13:$HE$512,"="&amp;SUBSTITUTE(SUBSTITUTE(SUBSTITUTE('Calculations'!IG39,"~","~~"),"*","~*"),"?","~?"))&gt;1,"!AMBIG",IFERROR(INDEX('Calculations'!$HF$13:$HF$512,MATCH('Calculations'!IG39,'Calculations'!$HE$13:$HE$512,0)),""))))</x:f>
      </x:c>
      <x:c r="II39" t="str">
        <x:f>IF('Calculations'!IH39="","",IF('Calculations'!IH39="!AMBIG","!AMBIG",IF(COUNTIF('Calculations'!$HE$13:$HE$512,"="&amp;SUBSTITUTE(SUBSTITUTE(SUBSTITUTE('Calculations'!IH39,"~","~~"),"*","~*"),"?","~?"))&gt;1,"!AMBIG",IFERROR(INDEX('Calculations'!$HF$13:$HF$512,MATCH('Calculations'!IH39,'Calculations'!$HE$13:$HE$512,0)),""))))</x:f>
      </x:c>
      <x:c r="IJ39" t="str">
        <x:f>IF('Calculations'!EM39="","",IF('Calculations'!$EF$2="All",'Calculations'!HM39,IF('Calculations'!HL39=1,"",IFERROR(IF(MATCH('Calculations'!$EF$2,'Calculations'!HO39:II39,0)=1,'Calculations'!HE39,INDEX('Calculations'!HO39:II39,1,MATCH('Calculations'!$EF$2,'Calculations'!HO39:II39,0)-1)),""))))</x:f>
      </x:c>
      <x:c r="IK39" t="n">
        <x:f>IF(AND('Calculations'!EM39&lt;&gt;"",'Calculations'!$EF$2&lt;&gt;"All",'Calculations'!HF39='Calculations'!$EF$2,'Calculations'!HL39=0,'Calculations'!JD39&gt;0),MAX('Calculations'!$IK$12:IK38)+1,0)</x:f>
        <x:v>0</x:v>
      </x:c>
      <x:c r="JA39" t="n">
        <x:f>IF(OR(IFERROR(INDIRECT("'WCM Calibration Final'!$A$39")&lt;&gt;"",FALSE),IFERROR(INDIRECT("'WCM Calibration Final'!$B$39")&lt;&gt;"",FALSE),IFERROR(INDIRECT("'WCM Calibration Final'!$C$39")&lt;&gt;"",FALSE)),39,0)</x:f>
        <x:v>0</x:v>
      </x:c>
      <x:c r="JB39" t="n">
        <x:f>'Calculations'!JB38+IF('Calculations'!JA39&gt;0,1,0)</x:f>
        <x:v>0</x:v>
      </x:c>
      <x:c r="JC39" t="n">
        <x:f>IF(OR('Calculations'!HF39="",'Calculations'!HF39="!AMBIG"),0,IF('Dashboard'!$B$7="All",1,COUNTIFS('Calculations'!$HO$13:$HO$512,"="&amp;SUBSTITUTE(SUBSTITUTE(SUBSTITUTE('Calculations'!HF39,"~","~~"),"*","~*"),"?","~?"),'Calculations'!$HN$13:$HN$512,"="&amp;SUBSTITUTE(SUBSTITUTE(SUBSTITUTE('Dashboard'!$B$7,"~","~~"),"*","~*"),"?","~?"))+COUNTIFS('Calculations'!$HP$13:$HP$512,"="&amp;SUBSTITUTE(SUBSTITUTE(SUBSTITUTE('Calculations'!HF39,"~","~~"),"*","~*"),"?","~?"),'Calculations'!$HN$13:$HN$512,"="&amp;SUBSTITUTE(SUBSTITUTE(SUBSTITUTE('Dashboard'!$B$7,"~","~~"),"*","~*"),"?","~?"))+COUNTIFS('Calculations'!$HQ$13:$HQ$512,"="&amp;SUBSTITUTE(SUBSTITUTE(SUBSTITUTE('Calculations'!HF39,"~","~~"),"*","~*"),"?","~?"),'Calculations'!$HN$13:$HN$512,"="&amp;SUBSTITUTE(SUBSTITUTE(SUBSTITUTE('Dashboard'!$B$7,"~","~~"),"*","~*"),"?","~?"))+COUNTIFS('Calculations'!$HR$13:$HR$512,"="&amp;SUBSTITUTE(SUBSTITUTE(SUBSTITUTE('Calculations'!HF39,"~","~~"),"*","~*"),"?","~?"),'Calculations'!$HN$13:$HN$512,"="&amp;SUBSTITUTE(SUBSTITUTE(SUBSTITUTE('Dashboard'!$B$7,"~","~~"),"*","~*"),"?","~?"))+COUNTIFS('Calculations'!$HS$13:$HS$512,"="&amp;SUBSTITUTE(SUBSTITUTE(SUBSTITUTE('Calculations'!HF39,"~","~~"),"*","~*"),"?","~?"),'Calculations'!$HN$13:$HN$512,"="&amp;SUBSTITUTE(SUBSTITUTE(SUBSTITUTE('Dashboard'!$B$7,"~","~~"),"*","~*"),"?","~?"))+COUNTIFS('Calculations'!$HT$13:$HT$512,"="&amp;SUBSTITUTE(SUBSTITUTE(SUBSTITUTE('Calculations'!HF39,"~","~~"),"*","~*"),"?","~?"),'Calculations'!$HN$13:$HN$512,"="&amp;SUBSTITUTE(SUBSTITUTE(SUBSTITUTE('Dashboard'!$B$7,"~","~~"),"*","~*"),"?","~?"))+COUNTIFS('Calculations'!$HU$13:$HU$512,"="&amp;SUBSTITUTE(SUBSTITUTE(SUBSTITUTE('Calculations'!HF39,"~","~~"),"*","~*"),"?","~?"),'Calculations'!$HN$13:$HN$512,"="&amp;SUBSTITUTE(SUBSTITUTE(SUBSTITUTE('Dashboard'!$B$7,"~","~~"),"*","~*"),"?","~?"))+COUNTIFS('Calculations'!$HV$13:$HV$512,"="&amp;SUBSTITUTE(SUBSTITUTE(SUBSTITUTE('Calculations'!HF39,"~","~~"),"*","~*"),"?","~?"),'Calculations'!$HN$13:$HN$512,"="&amp;SUBSTITUTE(SUBSTITUTE(SUBSTITUTE('Dashboard'!$B$7,"~","~~"),"*","~*"),"?","~?"))+COUNTIFS('Calculations'!$HW$13:$HW$512,"="&amp;SUBSTITUTE(SUBSTITUTE(SUBSTITUTE('Calculations'!HF39,"~","~~"),"*","~*"),"?","~?"),'Calculations'!$HN$13:$HN$512,"="&amp;SUBSTITUTE(SUBSTITUTE(SUBSTITUTE('Dashboard'!$B$7,"~","~~"),"*","~*"),"?","~?"))+COUNTIFS('Calculations'!$HX$13:$HX$512,"="&amp;SUBSTITUTE(SUBSTITUTE(SUBSTITUTE('Calculations'!HF39,"~","~~"),"*","~*"),"?","~?"),'Calculations'!$HN$13:$HN$512,"="&amp;SUBSTITUTE(SUBSTITUTE(SUBSTITUTE('Dashboard'!$B$7,"~","~~"),"*","~*"),"?","~?"))+COUNTIFS('Calculations'!$HY$13:$HY$512,"="&amp;SUBSTITUTE(SUBSTITUTE(SUBSTITUTE('Calculations'!HF39,"~","~~"),"*","~*"),"?","~?"),'Calculations'!$HN$13:$HN$512,"="&amp;SUBSTITUTE(SUBSTITUTE(SUBSTITUTE('Dashboard'!$B$7,"~","~~"),"*","~*"),"?","~?"))+COUNTIFS('Calculations'!$HZ$13:$HZ$512,"="&amp;SUBSTITUTE(SUBSTITUTE(SUBSTITUTE('Calculations'!HF39,"~","~~"),"*","~*"),"?","~?"),'Calculations'!$HN$13:$HN$512,"="&amp;SUBSTITUTE(SUBSTITUTE(SUBSTITUTE('Dashboard'!$B$7,"~","~~"),"*","~*"),"?","~?"))+COUNTIFS('Calculations'!$IA$13:$IA$512,"="&amp;SUBSTITUTE(SUBSTITUTE(SUBSTITUTE('Calculations'!HF39,"~","~~"),"*","~*"),"?","~?"),'Calculations'!$HN$13:$HN$512,"="&amp;SUBSTITUTE(SUBSTITUTE(SUBSTITUTE('Dashboard'!$B$7,"~","~~"),"*","~*"),"?","~?"))+COUNTIFS('Calculations'!$IB$13:$IB$512,"="&amp;SUBSTITUTE(SUBSTITUTE(SUBSTITUTE('Calculations'!HF39,"~","~~"),"*","~*"),"?","~?"),'Calculations'!$HN$13:$HN$512,"="&amp;SUBSTITUTE(SUBSTITUTE(SUBSTITUTE('Dashboard'!$B$7,"~","~~"),"*","~*"),"?","~?"))+COUNTIFS('Calculations'!$IC$13:$IC$512,"="&amp;SUBSTITUTE(SUBSTITUTE(SUBSTITUTE('Calculations'!HF39,"~","~~"),"*","~*"),"?","~?"),'Calculations'!$HN$13:$HN$512,"="&amp;SUBSTITUTE(SUBSTITUTE(SUBSTITUTE('Dashboard'!$B$7,"~","~~"),"*","~*"),"?","~?"))+COUNTIFS('Calculations'!$ID$13:$ID$512,"="&amp;SUBSTITUTE(SUBSTITUTE(SUBSTITUTE('Calculations'!HF39,"~","~~"),"*","~*"),"?","~?"),'Calculations'!$HN$13:$HN$512,"="&amp;SUBSTITUTE(SUBSTITUTE(SUBSTITUTE('Dashboard'!$B$7,"~","~~"),"*","~*"),"?","~?"))+COUNTIFS('Calculations'!$IE$13:$IE$512,"="&amp;SUBSTITUTE(SUBSTITUTE(SUBSTITUTE('Calculations'!HF39,"~","~~"),"*","~*"),"?","~?"),'Calculations'!$HN$13:$HN$512,"="&amp;SUBSTITUTE(SUBSTITUTE(SUBSTITUTE('Dashboard'!$B$7,"~","~~"),"*","~*"),"?","~?"))+COUNTIFS('Calculations'!$IF$13:$IF$512,"="&amp;SUBSTITUTE(SUBSTITUTE(SUBSTITUTE('Calculations'!HF39,"~","~~"),"*","~*"),"?","~?"),'Calculations'!$HN$13:$HN$512,"="&amp;SUBSTITUTE(SUBSTITUTE(SUBSTITUTE('Dashboard'!$B$7,"~","~~"),"*","~*"),"?","~?"))+COUNTIFS('Calculations'!$IG$13:$IG$512,"="&amp;SUBSTITUTE(SUBSTITUTE(SUBSTITUTE('Calculations'!HF39,"~","~~"),"*","~*"),"?","~?"),'Calculations'!$HN$13:$HN$512,"="&amp;SUBSTITUTE(SUBSTITUTE(SUBSTITUTE('Dashboard'!$B$7,"~","~~"),"*","~*"),"?","~?"))+COUNTIFS('Calculations'!$IH$13:$IH$512,"="&amp;SUBSTITUTE(SUBSTITUTE(SUBSTITUTE('Calculations'!HF39,"~","~~"),"*","~*"),"?","~?"),'Calculations'!$HN$13:$HN$512,"="&amp;SUBSTITUTE(SUBSTITUTE(SUBSTITUTE('Dashboard'!$B$7,"~","~~"),"*","~*"),"?","~?"))))</x:f>
        <x:v>0</x:v>
      </x:c>
      <x:c r="JD39" t="n">
        <x:f>IF('Calculations'!EM39="",0,IF('Dashboard'!$B$7="All",1,IF('Calculations'!HN39='Dashboard'!$B$7,1,0)+IFERROR(INDEX('Calculations'!$JC$13:$JC$512,MATCH('Calculations'!HE39,'Calculations'!$HF$13:$HF$512,0)),0)))</x:f>
        <x:v>0</x:v>
      </x:c>
      <x:c r="JE39" t="n">
        <x:f>IF(AND('Calculations'!EM39&lt;&gt;"",'Calculations'!$JJ$2&lt;&gt;"All",'Calculations'!$JJ$2&lt;&gt;"",'Calculations'!HF39='Calculations'!$JJ$2,'Calculations'!HL39=0,'Calculations'!JD39&gt;0),MAX('Calculations'!$JE$12:JE38)+1,0)</x:f>
        <x:v>0</x:v>
      </x:c>
      <x:c r="JF39" t="str">
        <x:f>IF('Calculations'!EM39="","",IFERROR(IF(INDEX(INDIRECT("'WCM Calibration Final'!$G$1:$G$2000"),'Calculations'!$EM39)="","",TRIM(INDEX(INDIRECT("'WCM Calibration Final'!$G$1:$G$2000"),'Calculations'!$EM39)&amp;"")),""))</x:f>
      </x:c>
      <x:c r="JQ39" t="n">
        <x:f>IF(OR('Calculations'!BM39=0,NOT('Calculations'!$AG$2),'Calculations'!$AG$8&gt;0),0,IF(OR('Dashboard'!$B$7="All",'Calculations'!HN39='Dashboard'!$B$7),IF('Calculations'!$JJ$2="All",1,IF(AND('Calculations'!HF39='Calculations'!$JJ$2,'Calculations'!HL39=0),1,0)),0))</x:f>
        <x:v>0</x:v>
      </x:c>
    </x:row>
    <x:row r="40">
      <x:c r="AF40" s="4"/>
      <x:c r="AG40" s="4" t="n">
        <x:f>MATCH('Dashboard'!E67,{"What","How"},0)</x:f>
        <x:v>1</x:v>
      </x:c>
      <x:c r="AH40" s="4"/>
      <x:c r="AI40" s="4"/>
      <x:c r="AJ40" s="4"/>
      <x:c r="AK40" s="4"/>
      <x:c r="AL40" s="4"/>
      <x:c r="AM40" s="4"/>
      <x:c r="AN40" s="4"/>
      <x:c r="AO40" s="4"/>
      <x:c r="AP40" s="4"/>
      <x:c r="AQ40" s="4"/>
      <x:c r="AR40" s="4"/>
      <x:c r="AS40" s="4"/>
      <x:c r="AT40" s="4" t="str">
        <x:f>'Dashboard'!E67&amp;" by officer category"</x:f>
        <x:v>What by officer category</x:v>
      </x:c>
      <x:c r="AU40" s="4"/>
      <x:c r="AV40" s="4"/>
      <x:c r="AW40" s="4"/>
      <x:c r="AX40" s="4"/>
      <x:c r="AY40" s="4"/>
      <x:c r="AZ40" s="4"/>
      <x:c r="BA40" s="4"/>
      <x:c r="BB40" s="4"/>
      <x:c r="BC40" s="4"/>
      <x:c r="BD40" s="4"/>
      <x:c r="BE40" s="4"/>
      <x:c r="BF40" s="4"/>
      <x:c r="BG40" s="4"/>
      <x:c r="BH40" s="4"/>
      <x:c r="BI40" s="4"/>
      <x:c r="BJ40" s="4"/>
      <x:c r="BK40" s="4"/>
      <x:c r="BL40" s="4"/>
      <x:c r="BM40" s="4" t="n">
        <x:f>IF('Calculations'!$EM40="",0,IF(OR(IFERROR(INDEX(INDIRECT("'WCM Calibration Final'!$A$1:$A$2000"),'Calculations'!$EM40)&lt;&gt;"",FALSE),IFERROR(INDEX(INDIRECT("'WCM Calibration Final'!$B$1:$B$2000"),'Calculations'!$EM40)&lt;&gt;"",FALSE),IFERROR(INDEX(INDIRECT("'WCM Calibration Final'!$C$1:$C$2000"),'Calculations'!$EM40)&lt;&gt;"",FALSE)),1,0))</x:f>
        <x:v>0</x:v>
      </x:c>
      <x:c r="BN40" s="4" t="n">
        <x:f>IF(AND('Calculations'!BM40=1,'Calculations'!$AG$2,'Calculations'!$EN40=1),1,0)</x:f>
        <x:v>0</x:v>
      </x:c>
      <x:c r="BO40" s="4" t="str">
        <x:f>IF('Calculations'!BM40=0,"",IFERROR(IF(AND(VALUE(INDEX(INDIRECT("'WCM Calibration Final'!$K$1:$K$2000"),'Calculations'!$EM40))&gt;=1,VALUE(INDEX(INDIRECT("'WCM Calibration Final'!$K$1:$K$2000"),'Calculations'!$EM40))&lt;=4,MOD(VALUE(INDEX(INDIRECT("'WCM Calibration Final'!$K$1:$K$2000"),'Calculations'!$EM40)),1)=0),VALUE(INDEX(INDIRECT("'WCM Calibration Final'!$K$1:$K$2000"),'Calculations'!$EM40)),""),""))</x:f>
      </x:c>
      <x:c r="BP40" s="4" t="str">
        <x:f>IF('Calculations'!BM40=0,"",IFERROR(IF(AND(VALUE(INDEX(INDIRECT("'WCM Calibration Final'!$L$1:$L$2000"),'Calculations'!$EM40))&gt;=1,VALUE(INDEX(INDIRECT("'WCM Calibration Final'!$L$1:$L$2000"),'Calculations'!$EM40))&lt;=4,MOD(VALUE(INDEX(INDIRECT("'WCM Calibration Final'!$L$1:$L$2000"),'Calculations'!$EM40)),1)=0),VALUE(INDEX(INDIRECT("'WCM Calibration Final'!$L$1:$L$2000"),'Calculations'!$EM40)),""),""))</x:f>
      </x:c>
      <x:c r="BQ40" s="4"/>
      <x:c r="BR40" s="4"/>
      <x:c r="BS40" s="4"/>
      <x:c r="BT40" s="4" t="n">
        <x:f>IF(AND('Calculations'!BM40=1,ISNUMBER('Calculations'!BO40),ISNUMBER('Calculations'!BP40)),1,0)</x:f>
        <x:v>0</x:v>
      </x:c>
      <x:c r="BU40" s="4" t="str">
        <x:f>IF('Calculations'!BM40=0,"",'Calculations'!$EO40)</x:f>
      </x:c>
      <x:c r="BV40" s="4" t="str">
        <x:f>IF('Calculations'!BM40=0,"",IFERROR(IF(OR(INDEX(INDIRECT("'WCM Calibration Final'!$H$1:$H$2000"),'Calculations'!$EM40)="MANAGING DIRECTOR",INDEX(INDIRECT("'WCM Calibration Final'!$H$1:$H$2000"),'Calculations'!$EM40)="DIRECTOR",INDEX(INDIRECT("'WCM Calibration Final'!$H$1:$H$2000"),'Calculations'!$EM40)="SENIOR VICE PRESIDENT",INDEX(INDIRECT("'WCM Calibration Final'!$H$1:$H$2000"),'Calculations'!$EM40)="VICE PRESIDENT",INDEX(INDIRECT("'WCM Calibration Final'!$H$1:$H$2000"),'Calculations'!$EM40)="ASSISTANT VICE PRESIDENT",INDEX(INDIRECT("'WCM Calibration Final'!$H$1:$H$2000"),'Calculations'!$EM40)="OFFICER"),UPPER(INDEX(INDIRECT("'WCM Calibration Final'!$H$1:$H$2000"),'Calculations'!$EM40)),"Other"),"Other"))</x:f>
      </x:c>
      <x:c r="BW40" s="4"/>
      <x:c r="BX40" s="4"/>
      <x:c r="BY40" s="4" t="n">
        <x:f>IF(AND('Calculations'!BM40=1,'Calculations'!BU40&lt;&gt;"",COUNTIF('Calculations'!$BU$12:BU40,'Calculations'!BU40)=1),MAX('Calculations'!$BY$11:BY39)+1,0)</x:f>
        <x:v>0</x:v>
      </x:c>
      <x:c r="BZ40" s="4" t="str">
        <x:f>IF('Dashboard'!$E$67="What",'Calculations'!BO40,'Calculations'!BP40)</x:f>
      </x:c>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t="str">
        <x:f>IF(29&gt;MAX('Calculations'!$HI$13:$HI$512),"",INDEX('Calculations'!$HN$13:$HN$512,MATCH(29,'Calculations'!$HI$13:$HI$512,0)))</x:f>
      </x:c>
      <x:c r="DB40" s="4" t="str">
        <x:f>IF(29&gt;MAX('Calculations'!$HH$13:$HH$512),"",INDEX('Calculations'!$HJ$13:$HJ$512,MATCH(29,'Calculations'!$HH$13:$HH$512,0)))</x:f>
      </x:c>
      <x:c r="DC40" s="4" t="str">
        <x:f>IF(ROW()-11&gt;MAX('Calculations'!$BY$13:$BY$512),"",INDEX('Calculations'!$BU$13:$BU$512,MATCH(ROW()-11,'Calculations'!$BY$13:$BY$512,0)))</x:f>
      </x:c>
      <x:c r="DD40" s="4" t="str">
        <x:f>IF(29&gt;MAX('Calculations'!$IK$13:$IK$512),"",INDEX('Calculations'!$HK$13:$HK$512,MATCH(29,'Calculations'!$IK$13:$IK$512,0)))</x:f>
      </x:c>
      <x:c r="DE40" s="4" t="str">
        <x:f>'Calculations'!DC40</x:f>
      </x:c>
      <x:c r="DF40" s="4" t="str">
        <x:f>IF('Calculations'!DE40="","",COUNTIFS('Calculations'!$BN$13:$BN$512,1,'Calculations'!$BU$13:$BU$512,'Calculations'!DE40))</x:f>
      </x:c>
      <x:c r="DG40" s="4" t="str">
        <x:f>IF('Calculations'!DE40="","",COUNTIFS('Calculations'!$BN$13:$BN$512,1,'Calculations'!$BU$13:$BU$512,'Calculations'!DE40,'Calculations'!$BT$13:$BT$512,1))</x:f>
      </x:c>
      <x:c r="DH40" s="4" t="str">
        <x:f>IF('Calculations'!DE40="","",'Calculations'!DF40-'Calculations'!DG40)</x:f>
      </x:c>
      <x:c r="DI40" s="4" t="str">
        <x:f>IF(OR('Calculations'!DE40="",'Calculations'!DF40=0),"",'Calculations'!DG40/'Calculations'!DF40)</x:f>
      </x:c>
      <x:c r="DJ40" s="4" t="str">
        <x:f>IF('Calculations'!DE40="","",COUNTIFS('Calculations'!$BN$13:$BN$512,1,'Calculations'!$BU$13:$BU$512,'Calculations'!DE40,'Calculations'!$BT$13:$BT$512,1,'Calculations'!$EE$13:$EE$512,"High"))</x:f>
      </x:c>
      <x:c r="DK40" s="4" t="str">
        <x:f>IF('Calculations'!DE40="","",COUNTIFS('Calculations'!$BN$13:$BN$512,1,'Calculations'!$BU$13:$BU$512,'Calculations'!DE40,'Calculations'!$BT$13:$BT$512,1,'Calculations'!$EE$13:$EE$512,"Strong"))</x:f>
      </x:c>
      <x:c r="DL40" s="4" t="str">
        <x:f>IF('Calculations'!DE40="","",COUNTIFS('Calculations'!$BN$13:$BN$512,1,'Calculations'!$BU$13:$BU$512,'Calculations'!DE40,'Calculations'!$BT$13:$BT$512,1,'Calculations'!$EE$13:$EE$512,"Solid"))</x:f>
      </x:c>
      <x:c r="DM40" s="4" t="str">
        <x:f>IF('Calculations'!DE40="","",COUNTIFS('Calculations'!$BN$13:$BN$512,1,'Calculations'!$BU$13:$BU$512,'Calculations'!DE40,'Calculations'!$BT$13:$BT$512,1,'Calculations'!$EE$13:$EE$512,"Low"))</x:f>
      </x:c>
      <x:c r="DN40" s="4" t="str">
        <x:f>IF('Calculations'!DE40="","",COUNTIFS('Calculations'!$BN$13:$BN$512,1,'Calculations'!$BU$13:$BU$512,'Calculations'!DE40,'Calculations'!$EP$13:$EP$512,1))</x:f>
      </x:c>
      <x:c r="DO40" s="4" t="str">
        <x:f>IF(OR('Calculations'!DE40="",'Calculations'!DG40=0),"",('Calculations'!DJ40+'Calculations'!DK40)/'Calculations'!DG40)</x:f>
      </x:c>
      <x:c r="DP40" s="4" t="n">
        <x:f>IF(AND('Calculations'!DE40&lt;&gt;"",'Calculations'!DF40&gt;0),COUNTIF('Calculations'!$DF$12:DF40,"&gt;0"),0)</x:f>
        <x:v>0</x:v>
      </x:c>
      <x:c r="DQ40" s="4" t="str">
        <x:f>IF(29&gt;MAX('Calculations'!$HH$13:$HH$512),"",INDEX('Calculations'!$HF$13:$HF$512,MATCH(29,'Calculations'!$HH$13:$HH$512,0)))</x:f>
      </x:c>
      <x:c r="DR40" s="4" t="str">
        <x:f>IF(29&gt;MAX('Calculations'!$IK$13:$IK$512),"",INDEX('Calculations'!$HE$13:$HE$512,MATCH(29,'Calculations'!$IK$13:$IK$512,0)))</x:f>
      </x:c>
      <x:c r="DS40" s="4"/>
      <x:c r="DT40" s="4"/>
      <x:c r="DU40" s="4"/>
      <x:c r="DV40" s="4"/>
      <x:c r="DW40" s="4"/>
      <x:c r="DX40" s="4"/>
      <x:c r="DY40" s="4" t="str">
        <x:f>'Dashboard'!E67&amp;" rating · "&amp;TEXT('Calculations'!$AG$65,"#,##0")&amp;" rated employees in officer view"</x:f>
        <x:v>What rating · 0 rated employees in officer view</x:v>
      </x:c>
      <x:c r="DZ40" s="4"/>
      <x:c r="EA40" s="4"/>
      <x:c r="EB40" s="4"/>
      <x:c r="EC40" s="4"/>
      <x:c r="ED40" s="4"/>
      <x:c r="EE40" s="4" t="str">
        <x:f>IF('Calculations'!BT40=0,"Not Rated",IF(OR('Calculations'!BO40&gt;=4,'Calculations'!BP40&gt;=4),"Low",IF('Calculations'!BO40+'Calculations'!BP40&lt;=3,"High",IF('Calculations'!BO40+'Calculations'!BP40&lt;=4,"Strong","Solid"))))</x:f>
        <x:v>Not Rated</x:v>
      </x:c>
      <x:c r="EF40" s="4"/>
      <x:c r="EG40" s="4"/>
      <x:c r="EH40" s="4"/>
      <x:c r="EI40" s="4"/>
      <x:c r="EJ40" s="4"/>
      <x:c r="EK40" s="4"/>
      <x:c r="EL40" s="4"/>
      <x:c r="EM40" s="4" t="str">
        <x:f>IF(28&gt;'Calculations'!$JB$2000,"",INDEX('Calculations'!$JA$12:$JA$2000,MATCH(28,'Calculations'!$JB$12:$JB$2000,0)))</x:f>
      </x:c>
      <x:c r="EN40" s="4" t="n">
        <x:f>IF(OR('Calculations'!EM40="",'Calculations'!$AG$8&gt;0,AND('Calculations'!$EF$2&lt;&gt;"All",'Calculations'!HE40='Calculations'!$EF$2),AND('Calculations'!$EF$3&lt;&gt;"All",'Calculations'!HE40='Calculations'!$EF$3)),0,IF(OR('Dashboard'!$B$7="All",'Calculations'!HN40='Dashboard'!$B$7),IF('Calculations'!$EF$2="All",1,IF('Calculations'!HL40&gt;0,0,IF(COUNTIF('Calculations'!HO40:II40,"="&amp;SUBSTITUTE(SUBSTITUTE(SUBSTITUTE('Calculations'!$EF$2,"~","~~"),"*","~*"),"?","~?"))=0,0,IF('Calculations'!$EF$3="All",1,IF(COUNTIF('Calculations'!HO40:II40,"="&amp;SUBSTITUTE(SUBSTITUTE(SUBSTITUTE('Calculations'!$EF$3,"~","~~"),"*","~*"),"?","~?"))&gt;0,1,0))))),0))</x:f>
        <x:v>0</x:v>
      </x:c>
      <x:c r="EO40" s="4" t="str">
        <x:f>IF('Calculations'!IJ40="","",IF('Calculations'!IJ40="!UNRESOLVED","Unresolved hierarchy",IFERROR(INDEX('Calculations'!$HK$13:$HK$512,MATCH('Calculations'!IJ40,'Calculations'!$HE$13:$HE$512,0)),IFERROR(INDEX('Calculations'!$HJ$13:$HJ$512,MATCH('Calculations'!IJ40,'Calculations'!$HF$13:$HF$512,0)),'Calculations'!IJ40))))</x:f>
      </x:c>
      <x:c r="EP40" s="4" t="n">
        <x:f>IF(AND('Calculations'!EM40&lt;&gt;"",'Calculations'!HF40='Calculations'!IJ40),1,0)</x:f>
        <x:v>0</x:v>
      </x:c>
      <x:c r="EQ40" s="4"/>
      <x:c r="ER40" s="4"/>
      <x:c r="ES40" s="4"/>
      <x:c r="ET40" s="4"/>
      <x:c r="EU40" s="4"/>
      <x:c r="EV40" s="4"/>
      <x:c r="EW40" s="4"/>
      <x:c r="EX40" s="4"/>
      <x:c r="EY40" s="4"/>
      <x:c r="EZ40" s="4"/>
      <x:c r="FA40" s="4"/>
      <x:c r="FB40" s="4"/>
      <x:c r="FC40" s="4"/>
      <x:c r="FD40" s="4"/>
      <x:c r="FE40" s="4"/>
      <x:c r="FF40" s="4"/>
      <x:c r="FG40" s="4"/>
      <x:c r="FH40" s="4"/>
      <x:c r="FI40" s="4"/>
      <x:c r="FJ40" s="4"/>
      <x:c r="FK40" s="4"/>
      <x:c r="FL40" s="4"/>
      <x:c r="FM40" s="4"/>
      <x:c r="FN40" s="4"/>
      <x:c r="FO40" s="4"/>
      <x:c r="GA40" s="71"/>
      <x:c r="GB40" s="71"/>
      <x:c r="GC40" s="71"/>
      <x:c r="GD40" s="71"/>
      <x:c r="GE40" s="71"/>
      <x:c r="GF40" s="71"/>
      <x:c r="GG40" s="71"/>
      <x:c r="GH40" s="71"/>
      <x:c r="GI40" s="71"/>
      <x:c r="GJ40" s="71"/>
      <x:c r="GK40" s="71"/>
      <x:c r="GL40" s="71"/>
      <x:c r="GM40" s="71"/>
      <x:c r="GN40" s="71"/>
      <x:c r="GO40" s="71"/>
      <x:c r="GP40" s="71"/>
      <x:c r="GQ40" s="71"/>
      <x:c r="GR40" s="71"/>
      <x:c r="GS40" s="71"/>
      <x:c r="GT40" s="71"/>
      <x:c r="GU40" s="71"/>
      <x:c r="GV40" s="71"/>
      <x:c r="GW40" s="71"/>
      <x:c r="GX40" s="71"/>
      <x:c r="GY40" s="71"/>
      <x:c r="GZ40" s="71"/>
      <x:c r="HA40" s="71"/>
      <x:c r="HB40" s="71"/>
      <x:c r="HC40" s="71"/>
      <x:c r="HD40" s="71"/>
      <x:c r="HE40" t="str">
        <x:f>IF('Calculations'!EM40="","",IF(IFERROR(IF(INDEX(INDIRECT("'WCM Calibration Final'!$A$1:$A$2000"),'Calculations'!$EM40)="","",TRIM(INDEX(INDIRECT("'WCM Calibration Final'!$A$1:$A$2000"),'Calculations'!$EM40)&amp;"")),"")&lt;&gt;"","G:"&amp;IFERROR(TEXT(1*INDEX(INDIRECT("'WCM Calibration Final'!$A$1:$A$2000"),'Calculations'!$EM40),"0"),UPPER(IFERROR(IF(INDEX(INDIRECT("'WCM Calibration Final'!$A$1:$A$2000"),'Calculations'!$EM40)="","",TRIM(INDEX(INDIRECT("'WCM Calibration Final'!$A$1:$A$2000"),'Calculations'!$EM40)&amp;"")),""))),IF(IFERROR(IF(INDEX(INDIRECT("'WCM Calibration Final'!$C$1:$C$2000"),'Calculations'!$EM40)="","",TRIM(INDEX(INDIRECT("'WCM Calibration Final'!$C$1:$C$2000"),'Calculations'!$EM40)&amp;"")),"")&lt;&gt;"","S:"&amp;UPPER(IFERROR(IF(INDEX(INDIRECT("'WCM Calibration Final'!$C$1:$C$2000"),'Calculations'!$EM40)="","",TRIM(INDEX(INDIRECT("'WCM Calibration Final'!$C$1:$C$2000"),'Calculations'!$EM40)&amp;"")),"")),"R:"&amp;'Calculations'!EM40)))</x:f>
      </x:c>
      <x:c r="HF40" t="str">
        <x:f>IF('Calculations'!EM40="","",IF(IFERROR(IF(INDEX(INDIRECT("'WCM Calibration Final'!$D$1:$D$2000"),'Calculations'!$EM40)="","",TRIM(INDEX(INDIRECT("'WCM Calibration Final'!$D$1:$D$2000"),'Calculations'!$EM40)&amp;"")),"")&lt;&gt;"","G:"&amp;IFERROR(TEXT(1*INDEX(INDIRECT("'WCM Calibration Final'!$D$1:$D$2000"),'Calculations'!$EM40),"0"),UPPER(IFERROR(IF(INDEX(INDIRECT("'WCM Calibration Final'!$D$1:$D$2000"),'Calculations'!$EM40)="","",TRIM(INDEX(INDIRECT("'WCM Calibration Final'!$D$1:$D$2000"),'Calculations'!$EM40)&amp;"")),""))),IF(IFERROR(IF(INDEX(INDIRECT("'WCM Calibration Final'!$E$1:$E$2000"),'Calculations'!$EM40)="","",TRIM(INDEX(INDIRECT("'WCM Calibration Final'!$E$1:$E$2000"),'Calculations'!$EM40)&amp;"")),"")="","",IF(COUNTIF('Calculations'!$HG$13:$HG$512,"="&amp;SUBSTITUTE(SUBSTITUTE(SUBSTITUTE(IFERROR(IF(INDEX(INDIRECT("'WCM Calibration Final'!$E$1:$E$2000"),'Calculations'!$EM40)="","",TRIM(INDEX(INDIRECT("'WCM Calibration Final'!$E$1:$E$2000"),'Calculations'!$EM40)&amp;"")),""),"~","~~"),"*","~*"),"?","~?"))=1,INDEX('Calculations'!$HE$13:$HE$512,MATCH(IFERROR(IF(INDEX(INDIRECT("'WCM Calibration Final'!$E$1:$E$2000"),'Calculations'!$EM40)="","",TRIM(INDEX(INDIRECT("'WCM Calibration Final'!$E$1:$E$2000"),'Calculations'!$EM40)&amp;"")),""),'Calculations'!$HG$13:$HG$512,0)),IF(COUNTIF('Calculations'!$HG$13:$HG$512,"="&amp;SUBSTITUTE(SUBSTITUTE(SUBSTITUTE(IFERROR(IF(INDEX(INDIRECT("'WCM Calibration Final'!$E$1:$E$2000"),'Calculations'!$EM40)="","",TRIM(INDEX(INDIRECT("'WCM Calibration Final'!$E$1:$E$2000"),'Calculations'!$EM40)&amp;"")),""),"~","~~"),"*","~*"),"?","~?"))&gt;1,"!AMBIG","X:"&amp;IFERROR(IF(INDEX(INDIRECT("'WCM Calibration Final'!$E$1:$E$2000"),'Calculations'!$EM40)="","",TRIM(INDEX(INDIRECT("'WCM Calibration Final'!$E$1:$E$2000"),'Calculations'!$EM40)&amp;"")),""))))))</x:f>
      </x:c>
      <x:c r="HG40" t="str">
        <x:f>IF('Calculations'!EM40="","",IFERROR(IF(INDEX(INDIRECT("'WCM Calibration Final'!$B$1:$B$2000"),'Calculations'!$EM40)="","",TRIM(INDEX(INDIRECT("'WCM Calibration Final'!$B$1:$B$2000"),'Calculations'!$EM40)&amp;"")),""))</x:f>
      </x:c>
      <x:c r="HH40" t="n">
        <x:f>IF(AND('Calculations'!JC40&gt;0,COUNTIF('Calculations'!$HF$12:HF40,"="&amp;SUBSTITUTE(SUBSTITUTE(SUBSTITUTE('Calculations'!HF40,"~","~~"),"*","~*"),"?","~?"))=1),MAX('Calculations'!$HH$12:HH39)+1,0)</x:f>
        <x:v>0</x:v>
      </x:c>
      <x:c r="HI40" t="n">
        <x:f>IF(AND('Calculations'!HN40&lt;&gt;"",COUNTIF('Calculations'!$HN$12:HN40,"="&amp;SUBSTITUTE(SUBSTITUTE(SUBSTITUTE('Calculations'!HN40,"~","~~"),"*","~*"),"?","~?"))=1),MAX('Calculations'!$HI$12:HI39)+1,0)</x:f>
        <x:v>0</x:v>
      </x:c>
      <x:c r="HJ40" t="str">
        <x:f>IF('Calculations'!HF40="","",IF(COUNTIF('Calculations'!$HE$13:$HE$512,"="&amp;SUBSTITUTE(SUBSTITUTE(SUBSTITUTE('Calculations'!HF40,"~","~~"),"*","~*"),"?","~?"))=1,INDEX('Calculations'!$HK$13:$HK$512,MATCH('Calculations'!HF40,'Calculations'!$HE$13:$HE$512,0)),IFERROR(IF(INDEX(INDIRECT("'WCM Calibration Final'!$E$1:$E$2000"),'Calculations'!$EM40)="","",TRIM(INDEX(INDIRECT("'WCM Calibration Final'!$E$1:$E$2000"),'Calculations'!$EM40)&amp;"")),"")&amp;" ["&amp;'Calculations'!HF40&amp;"]"))</x:f>
      </x:c>
      <x:c r="HK40" t="str">
        <x:f>IF('Calculations'!EM40="","",'Calculations'!HG40&amp;" ["&amp;'Calculations'!HE40&amp;"]")</x:f>
      </x:c>
      <x:c r="HL40" t="n">
        <x:f>IF('Calculations'!EM40="",0,IF(OR('Calculations'!II40&lt;&gt;"",COUNTIF('Calculations'!$HE$13:$HE$512,"="&amp;SUBSTITUTE(SUBSTITUTE(SUBSTITUTE('Calculations'!HE40,"~","~~"),"*","~*"),"?","~?"))&gt;1),1,0))</x:f>
        <x:v>0</x:v>
      </x:c>
      <x:c r="HM40" t="str">
        <x:f>IF('Calculations'!EM40="","",IF('Calculations'!HL40=1,"!UNRESOLVED",IF('Calculations'!IH40&lt;&gt;"",'Calculations'!IH40,IF('Calculations'!IG40&lt;&gt;"",'Calculations'!IG40,IF('Calculations'!IF40&lt;&gt;"",'Calculations'!IF40,IF('Calculations'!IE40&lt;&gt;"",'Calculations'!IE40,IF('Calculations'!ID40&lt;&gt;"",'Calculations'!ID40,IF('Calculations'!IC40&lt;&gt;"",'Calculations'!IC40,IF('Calculations'!IB40&lt;&gt;"",'Calculations'!IB40,IF('Calculations'!IA40&lt;&gt;"",'Calculations'!IA40,IF('Calculations'!HZ40&lt;&gt;"",'Calculations'!HZ40,IF('Calculations'!HY40&lt;&gt;"",'Calculations'!HY40,IF('Calculations'!HX40&lt;&gt;"",'Calculations'!HX40,IF('Calculations'!HW40&lt;&gt;"",'Calculations'!HW40,IF('Calculations'!HV40&lt;&gt;"",'Calculations'!HV40,IF('Calculations'!HU40&lt;&gt;"",'Calculations'!HU40,IF('Calculations'!HT40&lt;&gt;"",'Calculations'!HT40,IF('Calculations'!HS40&lt;&gt;"",'Calculations'!HS40,IF('Calculations'!HR40&lt;&gt;"",'Calculations'!HR40,IF('Calculations'!HQ40&lt;&gt;"",'Calculations'!HQ40,IF('Calculations'!HP40&lt;&gt;"",'Calculations'!HP40,IF('Calculations'!HO40&lt;&gt;"",'Calculations'!HO40,'Calculations'!HE40))))))))))))))))))))))</x:f>
      </x:c>
      <x:c r="HN40" t="str">
        <x:f>IF('Calculations'!EM40="","",IF(IFERROR(IF(INDEX(INDIRECT("'WCM Calibration Final'!$F$1:$F$2000"),'Calculations'!$EM40)="","",TRIM(INDEX(INDIRECT("'WCM Calibration Final'!$F$1:$F$2000"),'Calculations'!$EM40)&amp;"")),"")="","(Blank)",IFERROR(IF(INDEX(INDIRECT("'WCM Calibration Final'!$F$1:$F$2000"),'Calculations'!$EM40)="","",TRIM(INDEX(INDIRECT("'WCM Calibration Final'!$F$1:$F$2000"),'Calculations'!$EM40)&amp;"")),"")))</x:f>
      </x:c>
      <x:c r="HO40" t="str">
        <x:f>'Calculations'!HF40</x:f>
      </x:c>
      <x:c r="HP40" t="str">
        <x:f>IF('Calculations'!HO40="","",IF('Calculations'!HO40="!AMBIG","!AMBIG",IF(COUNTIF('Calculations'!$HE$13:$HE$512,"="&amp;SUBSTITUTE(SUBSTITUTE(SUBSTITUTE('Calculations'!HO40,"~","~~"),"*","~*"),"?","~?"))&gt;1,"!AMBIG",IFERROR(INDEX('Calculations'!$HF$13:$HF$512,MATCH('Calculations'!HO40,'Calculations'!$HE$13:$HE$512,0)),""))))</x:f>
      </x:c>
      <x:c r="HQ40" t="str">
        <x:f>IF('Calculations'!HP40="","",IF('Calculations'!HP40="!AMBIG","!AMBIG",IF(COUNTIF('Calculations'!$HE$13:$HE$512,"="&amp;SUBSTITUTE(SUBSTITUTE(SUBSTITUTE('Calculations'!HP40,"~","~~"),"*","~*"),"?","~?"))&gt;1,"!AMBIG",IFERROR(INDEX('Calculations'!$HF$13:$HF$512,MATCH('Calculations'!HP40,'Calculations'!$HE$13:$HE$512,0)),""))))</x:f>
      </x:c>
      <x:c r="HR40" t="str">
        <x:f>IF('Calculations'!HQ40="","",IF('Calculations'!HQ40="!AMBIG","!AMBIG",IF(COUNTIF('Calculations'!$HE$13:$HE$512,"="&amp;SUBSTITUTE(SUBSTITUTE(SUBSTITUTE('Calculations'!HQ40,"~","~~"),"*","~*"),"?","~?"))&gt;1,"!AMBIG",IFERROR(INDEX('Calculations'!$HF$13:$HF$512,MATCH('Calculations'!HQ40,'Calculations'!$HE$13:$HE$512,0)),""))))</x:f>
      </x:c>
      <x:c r="HS40" t="str">
        <x:f>IF('Calculations'!HR40="","",IF('Calculations'!HR40="!AMBIG","!AMBIG",IF(COUNTIF('Calculations'!$HE$13:$HE$512,"="&amp;SUBSTITUTE(SUBSTITUTE(SUBSTITUTE('Calculations'!HR40,"~","~~"),"*","~*"),"?","~?"))&gt;1,"!AMBIG",IFERROR(INDEX('Calculations'!$HF$13:$HF$512,MATCH('Calculations'!HR40,'Calculations'!$HE$13:$HE$512,0)),""))))</x:f>
      </x:c>
      <x:c r="HT40" t="str">
        <x:f>IF('Calculations'!HS40="","",IF('Calculations'!HS40="!AMBIG","!AMBIG",IF(COUNTIF('Calculations'!$HE$13:$HE$512,"="&amp;SUBSTITUTE(SUBSTITUTE(SUBSTITUTE('Calculations'!HS40,"~","~~"),"*","~*"),"?","~?"))&gt;1,"!AMBIG",IFERROR(INDEX('Calculations'!$HF$13:$HF$512,MATCH('Calculations'!HS40,'Calculations'!$HE$13:$HE$512,0)),""))))</x:f>
      </x:c>
      <x:c r="HU40" t="str">
        <x:f>IF('Calculations'!HT40="","",IF('Calculations'!HT40="!AMBIG","!AMBIG",IF(COUNTIF('Calculations'!$HE$13:$HE$512,"="&amp;SUBSTITUTE(SUBSTITUTE(SUBSTITUTE('Calculations'!HT40,"~","~~"),"*","~*"),"?","~?"))&gt;1,"!AMBIG",IFERROR(INDEX('Calculations'!$HF$13:$HF$512,MATCH('Calculations'!HT40,'Calculations'!$HE$13:$HE$512,0)),""))))</x:f>
      </x:c>
      <x:c r="HV40" t="str">
        <x:f>IF('Calculations'!HU40="","",IF('Calculations'!HU40="!AMBIG","!AMBIG",IF(COUNTIF('Calculations'!$HE$13:$HE$512,"="&amp;SUBSTITUTE(SUBSTITUTE(SUBSTITUTE('Calculations'!HU40,"~","~~"),"*","~*"),"?","~?"))&gt;1,"!AMBIG",IFERROR(INDEX('Calculations'!$HF$13:$HF$512,MATCH('Calculations'!HU40,'Calculations'!$HE$13:$HE$512,0)),""))))</x:f>
      </x:c>
      <x:c r="HW40" t="str">
        <x:f>IF('Calculations'!HV40="","",IF('Calculations'!HV40="!AMBIG","!AMBIG",IF(COUNTIF('Calculations'!$HE$13:$HE$512,"="&amp;SUBSTITUTE(SUBSTITUTE(SUBSTITUTE('Calculations'!HV40,"~","~~"),"*","~*"),"?","~?"))&gt;1,"!AMBIG",IFERROR(INDEX('Calculations'!$HF$13:$HF$512,MATCH('Calculations'!HV40,'Calculations'!$HE$13:$HE$512,0)),""))))</x:f>
      </x:c>
      <x:c r="HX40" t="str">
        <x:f>IF('Calculations'!HW40="","",IF('Calculations'!HW40="!AMBIG","!AMBIG",IF(COUNTIF('Calculations'!$HE$13:$HE$512,"="&amp;SUBSTITUTE(SUBSTITUTE(SUBSTITUTE('Calculations'!HW40,"~","~~"),"*","~*"),"?","~?"))&gt;1,"!AMBIG",IFERROR(INDEX('Calculations'!$HF$13:$HF$512,MATCH('Calculations'!HW40,'Calculations'!$HE$13:$HE$512,0)),""))))</x:f>
      </x:c>
      <x:c r="HY40" t="str">
        <x:f>IF('Calculations'!HX40="","",IF('Calculations'!HX40="!AMBIG","!AMBIG",IF(COUNTIF('Calculations'!$HE$13:$HE$512,"="&amp;SUBSTITUTE(SUBSTITUTE(SUBSTITUTE('Calculations'!HX40,"~","~~"),"*","~*"),"?","~?"))&gt;1,"!AMBIG",IFERROR(INDEX('Calculations'!$HF$13:$HF$512,MATCH('Calculations'!HX40,'Calculations'!$HE$13:$HE$512,0)),""))))</x:f>
      </x:c>
      <x:c r="HZ40" t="str">
        <x:f>IF('Calculations'!HY40="","",IF('Calculations'!HY40="!AMBIG","!AMBIG",IF(COUNTIF('Calculations'!$HE$13:$HE$512,"="&amp;SUBSTITUTE(SUBSTITUTE(SUBSTITUTE('Calculations'!HY40,"~","~~"),"*","~*"),"?","~?"))&gt;1,"!AMBIG",IFERROR(INDEX('Calculations'!$HF$13:$HF$512,MATCH('Calculations'!HY40,'Calculations'!$HE$13:$HE$512,0)),""))))</x:f>
      </x:c>
      <x:c r="IA40" t="str">
        <x:f>IF('Calculations'!HZ40="","",IF('Calculations'!HZ40="!AMBIG","!AMBIG",IF(COUNTIF('Calculations'!$HE$13:$HE$512,"="&amp;SUBSTITUTE(SUBSTITUTE(SUBSTITUTE('Calculations'!HZ40,"~","~~"),"*","~*"),"?","~?"))&gt;1,"!AMBIG",IFERROR(INDEX('Calculations'!$HF$13:$HF$512,MATCH('Calculations'!HZ40,'Calculations'!$HE$13:$HE$512,0)),""))))</x:f>
      </x:c>
      <x:c r="IB40" t="str">
        <x:f>IF('Calculations'!IA40="","",IF('Calculations'!IA40="!AMBIG","!AMBIG",IF(COUNTIF('Calculations'!$HE$13:$HE$512,"="&amp;SUBSTITUTE(SUBSTITUTE(SUBSTITUTE('Calculations'!IA40,"~","~~"),"*","~*"),"?","~?"))&gt;1,"!AMBIG",IFERROR(INDEX('Calculations'!$HF$13:$HF$512,MATCH('Calculations'!IA40,'Calculations'!$HE$13:$HE$512,0)),""))))</x:f>
      </x:c>
      <x:c r="IC40" t="str">
        <x:f>IF('Calculations'!IB40="","",IF('Calculations'!IB40="!AMBIG","!AMBIG",IF(COUNTIF('Calculations'!$HE$13:$HE$512,"="&amp;SUBSTITUTE(SUBSTITUTE(SUBSTITUTE('Calculations'!IB40,"~","~~"),"*","~*"),"?","~?"))&gt;1,"!AMBIG",IFERROR(INDEX('Calculations'!$HF$13:$HF$512,MATCH('Calculations'!IB40,'Calculations'!$HE$13:$HE$512,0)),""))))</x:f>
      </x:c>
      <x:c r="ID40" t="str">
        <x:f>IF('Calculations'!IC40="","",IF('Calculations'!IC40="!AMBIG","!AMBIG",IF(COUNTIF('Calculations'!$HE$13:$HE$512,"="&amp;SUBSTITUTE(SUBSTITUTE(SUBSTITUTE('Calculations'!IC40,"~","~~"),"*","~*"),"?","~?"))&gt;1,"!AMBIG",IFERROR(INDEX('Calculations'!$HF$13:$HF$512,MATCH('Calculations'!IC40,'Calculations'!$HE$13:$HE$512,0)),""))))</x:f>
      </x:c>
      <x:c r="IE40" t="str">
        <x:f>IF('Calculations'!ID40="","",IF('Calculations'!ID40="!AMBIG","!AMBIG",IF(COUNTIF('Calculations'!$HE$13:$HE$512,"="&amp;SUBSTITUTE(SUBSTITUTE(SUBSTITUTE('Calculations'!ID40,"~","~~"),"*","~*"),"?","~?"))&gt;1,"!AMBIG",IFERROR(INDEX('Calculations'!$HF$13:$HF$512,MATCH('Calculations'!ID40,'Calculations'!$HE$13:$HE$512,0)),""))))</x:f>
      </x:c>
      <x:c r="IF40" t="str">
        <x:f>IF('Calculations'!IE40="","",IF('Calculations'!IE40="!AMBIG","!AMBIG",IF(COUNTIF('Calculations'!$HE$13:$HE$512,"="&amp;SUBSTITUTE(SUBSTITUTE(SUBSTITUTE('Calculations'!IE40,"~","~~"),"*","~*"),"?","~?"))&gt;1,"!AMBIG",IFERROR(INDEX('Calculations'!$HF$13:$HF$512,MATCH('Calculations'!IE40,'Calculations'!$HE$13:$HE$512,0)),""))))</x:f>
      </x:c>
      <x:c r="IG40" t="str">
        <x:f>IF('Calculations'!IF40="","",IF('Calculations'!IF40="!AMBIG","!AMBIG",IF(COUNTIF('Calculations'!$HE$13:$HE$512,"="&amp;SUBSTITUTE(SUBSTITUTE(SUBSTITUTE('Calculations'!IF40,"~","~~"),"*","~*"),"?","~?"))&gt;1,"!AMBIG",IFERROR(INDEX('Calculations'!$HF$13:$HF$512,MATCH('Calculations'!IF40,'Calculations'!$HE$13:$HE$512,0)),""))))</x:f>
      </x:c>
      <x:c r="IH40" t="str">
        <x:f>IF('Calculations'!IG40="","",IF('Calculations'!IG40="!AMBIG","!AMBIG",IF(COUNTIF('Calculations'!$HE$13:$HE$512,"="&amp;SUBSTITUTE(SUBSTITUTE(SUBSTITUTE('Calculations'!IG40,"~","~~"),"*","~*"),"?","~?"))&gt;1,"!AMBIG",IFERROR(INDEX('Calculations'!$HF$13:$HF$512,MATCH('Calculations'!IG40,'Calculations'!$HE$13:$HE$512,0)),""))))</x:f>
      </x:c>
      <x:c r="II40" t="str">
        <x:f>IF('Calculations'!IH40="","",IF('Calculations'!IH40="!AMBIG","!AMBIG",IF(COUNTIF('Calculations'!$HE$13:$HE$512,"="&amp;SUBSTITUTE(SUBSTITUTE(SUBSTITUTE('Calculations'!IH40,"~","~~"),"*","~*"),"?","~?"))&gt;1,"!AMBIG",IFERROR(INDEX('Calculations'!$HF$13:$HF$512,MATCH('Calculations'!IH40,'Calculations'!$HE$13:$HE$512,0)),""))))</x:f>
      </x:c>
      <x:c r="IJ40" t="str">
        <x:f>IF('Calculations'!EM40="","",IF('Calculations'!$EF$2="All",'Calculations'!HM40,IF('Calculations'!HL40=1,"",IFERROR(IF(MATCH('Calculations'!$EF$2,'Calculations'!HO40:II40,0)=1,'Calculations'!HE40,INDEX('Calculations'!HO40:II40,1,MATCH('Calculations'!$EF$2,'Calculations'!HO40:II40,0)-1)),""))))</x:f>
      </x:c>
      <x:c r="IK40" t="n">
        <x:f>IF(AND('Calculations'!EM40&lt;&gt;"",'Calculations'!$EF$2&lt;&gt;"All",'Calculations'!HF40='Calculations'!$EF$2,'Calculations'!HL40=0,'Calculations'!JD40&gt;0),MAX('Calculations'!$IK$12:IK39)+1,0)</x:f>
        <x:v>0</x:v>
      </x:c>
      <x:c r="JA40" t="n">
        <x:f>IF(OR(IFERROR(INDIRECT("'WCM Calibration Final'!$A$40")&lt;&gt;"",FALSE),IFERROR(INDIRECT("'WCM Calibration Final'!$B$40")&lt;&gt;"",FALSE),IFERROR(INDIRECT("'WCM Calibration Final'!$C$40")&lt;&gt;"",FALSE)),40,0)</x:f>
        <x:v>0</x:v>
      </x:c>
      <x:c r="JB40" t="n">
        <x:f>'Calculations'!JB39+IF('Calculations'!JA40&gt;0,1,0)</x:f>
        <x:v>0</x:v>
      </x:c>
      <x:c r="JC40" t="n">
        <x:f>IF(OR('Calculations'!HF40="",'Calculations'!HF40="!AMBIG"),0,IF('Dashboard'!$B$7="All",1,COUNTIFS('Calculations'!$HO$13:$HO$512,"="&amp;SUBSTITUTE(SUBSTITUTE(SUBSTITUTE('Calculations'!HF40,"~","~~"),"*","~*"),"?","~?"),'Calculations'!$HN$13:$HN$512,"="&amp;SUBSTITUTE(SUBSTITUTE(SUBSTITUTE('Dashboard'!$B$7,"~","~~"),"*","~*"),"?","~?"))+COUNTIFS('Calculations'!$HP$13:$HP$512,"="&amp;SUBSTITUTE(SUBSTITUTE(SUBSTITUTE('Calculations'!HF40,"~","~~"),"*","~*"),"?","~?"),'Calculations'!$HN$13:$HN$512,"="&amp;SUBSTITUTE(SUBSTITUTE(SUBSTITUTE('Dashboard'!$B$7,"~","~~"),"*","~*"),"?","~?"))+COUNTIFS('Calculations'!$HQ$13:$HQ$512,"="&amp;SUBSTITUTE(SUBSTITUTE(SUBSTITUTE('Calculations'!HF40,"~","~~"),"*","~*"),"?","~?"),'Calculations'!$HN$13:$HN$512,"="&amp;SUBSTITUTE(SUBSTITUTE(SUBSTITUTE('Dashboard'!$B$7,"~","~~"),"*","~*"),"?","~?"))+COUNTIFS('Calculations'!$HR$13:$HR$512,"="&amp;SUBSTITUTE(SUBSTITUTE(SUBSTITUTE('Calculations'!HF40,"~","~~"),"*","~*"),"?","~?"),'Calculations'!$HN$13:$HN$512,"="&amp;SUBSTITUTE(SUBSTITUTE(SUBSTITUTE('Dashboard'!$B$7,"~","~~"),"*","~*"),"?","~?"))+COUNTIFS('Calculations'!$HS$13:$HS$512,"="&amp;SUBSTITUTE(SUBSTITUTE(SUBSTITUTE('Calculations'!HF40,"~","~~"),"*","~*"),"?","~?"),'Calculations'!$HN$13:$HN$512,"="&amp;SUBSTITUTE(SUBSTITUTE(SUBSTITUTE('Dashboard'!$B$7,"~","~~"),"*","~*"),"?","~?"))+COUNTIFS('Calculations'!$HT$13:$HT$512,"="&amp;SUBSTITUTE(SUBSTITUTE(SUBSTITUTE('Calculations'!HF40,"~","~~"),"*","~*"),"?","~?"),'Calculations'!$HN$13:$HN$512,"="&amp;SUBSTITUTE(SUBSTITUTE(SUBSTITUTE('Dashboard'!$B$7,"~","~~"),"*","~*"),"?","~?"))+COUNTIFS('Calculations'!$HU$13:$HU$512,"="&amp;SUBSTITUTE(SUBSTITUTE(SUBSTITUTE('Calculations'!HF40,"~","~~"),"*","~*"),"?","~?"),'Calculations'!$HN$13:$HN$512,"="&amp;SUBSTITUTE(SUBSTITUTE(SUBSTITUTE('Dashboard'!$B$7,"~","~~"),"*","~*"),"?","~?"))+COUNTIFS('Calculations'!$HV$13:$HV$512,"="&amp;SUBSTITUTE(SUBSTITUTE(SUBSTITUTE('Calculations'!HF40,"~","~~"),"*","~*"),"?","~?"),'Calculations'!$HN$13:$HN$512,"="&amp;SUBSTITUTE(SUBSTITUTE(SUBSTITUTE('Dashboard'!$B$7,"~","~~"),"*","~*"),"?","~?"))+COUNTIFS('Calculations'!$HW$13:$HW$512,"="&amp;SUBSTITUTE(SUBSTITUTE(SUBSTITUTE('Calculations'!HF40,"~","~~"),"*","~*"),"?","~?"),'Calculations'!$HN$13:$HN$512,"="&amp;SUBSTITUTE(SUBSTITUTE(SUBSTITUTE('Dashboard'!$B$7,"~","~~"),"*","~*"),"?","~?"))+COUNTIFS('Calculations'!$HX$13:$HX$512,"="&amp;SUBSTITUTE(SUBSTITUTE(SUBSTITUTE('Calculations'!HF40,"~","~~"),"*","~*"),"?","~?"),'Calculations'!$HN$13:$HN$512,"="&amp;SUBSTITUTE(SUBSTITUTE(SUBSTITUTE('Dashboard'!$B$7,"~","~~"),"*","~*"),"?","~?"))+COUNTIFS('Calculations'!$HY$13:$HY$512,"="&amp;SUBSTITUTE(SUBSTITUTE(SUBSTITUTE('Calculations'!HF40,"~","~~"),"*","~*"),"?","~?"),'Calculations'!$HN$13:$HN$512,"="&amp;SUBSTITUTE(SUBSTITUTE(SUBSTITUTE('Dashboard'!$B$7,"~","~~"),"*","~*"),"?","~?"))+COUNTIFS('Calculations'!$HZ$13:$HZ$512,"="&amp;SUBSTITUTE(SUBSTITUTE(SUBSTITUTE('Calculations'!HF40,"~","~~"),"*","~*"),"?","~?"),'Calculations'!$HN$13:$HN$512,"="&amp;SUBSTITUTE(SUBSTITUTE(SUBSTITUTE('Dashboard'!$B$7,"~","~~"),"*","~*"),"?","~?"))+COUNTIFS('Calculations'!$IA$13:$IA$512,"="&amp;SUBSTITUTE(SUBSTITUTE(SUBSTITUTE('Calculations'!HF40,"~","~~"),"*","~*"),"?","~?"),'Calculations'!$HN$13:$HN$512,"="&amp;SUBSTITUTE(SUBSTITUTE(SUBSTITUTE('Dashboard'!$B$7,"~","~~"),"*","~*"),"?","~?"))+COUNTIFS('Calculations'!$IB$13:$IB$512,"="&amp;SUBSTITUTE(SUBSTITUTE(SUBSTITUTE('Calculations'!HF40,"~","~~"),"*","~*"),"?","~?"),'Calculations'!$HN$13:$HN$512,"="&amp;SUBSTITUTE(SUBSTITUTE(SUBSTITUTE('Dashboard'!$B$7,"~","~~"),"*","~*"),"?","~?"))+COUNTIFS('Calculations'!$IC$13:$IC$512,"="&amp;SUBSTITUTE(SUBSTITUTE(SUBSTITUTE('Calculations'!HF40,"~","~~"),"*","~*"),"?","~?"),'Calculations'!$HN$13:$HN$512,"="&amp;SUBSTITUTE(SUBSTITUTE(SUBSTITUTE('Dashboard'!$B$7,"~","~~"),"*","~*"),"?","~?"))+COUNTIFS('Calculations'!$ID$13:$ID$512,"="&amp;SUBSTITUTE(SUBSTITUTE(SUBSTITUTE('Calculations'!HF40,"~","~~"),"*","~*"),"?","~?"),'Calculations'!$HN$13:$HN$512,"="&amp;SUBSTITUTE(SUBSTITUTE(SUBSTITUTE('Dashboard'!$B$7,"~","~~"),"*","~*"),"?","~?"))+COUNTIFS('Calculations'!$IE$13:$IE$512,"="&amp;SUBSTITUTE(SUBSTITUTE(SUBSTITUTE('Calculations'!HF40,"~","~~"),"*","~*"),"?","~?"),'Calculations'!$HN$13:$HN$512,"="&amp;SUBSTITUTE(SUBSTITUTE(SUBSTITUTE('Dashboard'!$B$7,"~","~~"),"*","~*"),"?","~?"))+COUNTIFS('Calculations'!$IF$13:$IF$512,"="&amp;SUBSTITUTE(SUBSTITUTE(SUBSTITUTE('Calculations'!HF40,"~","~~"),"*","~*"),"?","~?"),'Calculations'!$HN$13:$HN$512,"="&amp;SUBSTITUTE(SUBSTITUTE(SUBSTITUTE('Dashboard'!$B$7,"~","~~"),"*","~*"),"?","~?"))+COUNTIFS('Calculations'!$IG$13:$IG$512,"="&amp;SUBSTITUTE(SUBSTITUTE(SUBSTITUTE('Calculations'!HF40,"~","~~"),"*","~*"),"?","~?"),'Calculations'!$HN$13:$HN$512,"="&amp;SUBSTITUTE(SUBSTITUTE(SUBSTITUTE('Dashboard'!$B$7,"~","~~"),"*","~*"),"?","~?"))+COUNTIFS('Calculations'!$IH$13:$IH$512,"="&amp;SUBSTITUTE(SUBSTITUTE(SUBSTITUTE('Calculations'!HF40,"~","~~"),"*","~*"),"?","~?"),'Calculations'!$HN$13:$HN$512,"="&amp;SUBSTITUTE(SUBSTITUTE(SUBSTITUTE('Dashboard'!$B$7,"~","~~"),"*","~*"),"?","~?"))))</x:f>
        <x:v>0</x:v>
      </x:c>
      <x:c r="JD40" t="n">
        <x:f>IF('Calculations'!EM40="",0,IF('Dashboard'!$B$7="All",1,IF('Calculations'!HN40='Dashboard'!$B$7,1,0)+IFERROR(INDEX('Calculations'!$JC$13:$JC$512,MATCH('Calculations'!HE40,'Calculations'!$HF$13:$HF$512,0)),0)))</x:f>
        <x:v>0</x:v>
      </x:c>
      <x:c r="JE40" t="n">
        <x:f>IF(AND('Calculations'!EM40&lt;&gt;"",'Calculations'!$JJ$2&lt;&gt;"All",'Calculations'!$JJ$2&lt;&gt;"",'Calculations'!HF40='Calculations'!$JJ$2,'Calculations'!HL40=0,'Calculations'!JD40&gt;0),MAX('Calculations'!$JE$12:JE39)+1,0)</x:f>
        <x:v>0</x:v>
      </x:c>
      <x:c r="JF40" t="str">
        <x:f>IF('Calculations'!EM40="","",IFERROR(IF(INDEX(INDIRECT("'WCM Calibration Final'!$G$1:$G$2000"),'Calculations'!$EM40)="","",TRIM(INDEX(INDIRECT("'WCM Calibration Final'!$G$1:$G$2000"),'Calculations'!$EM40)&amp;"")),""))</x:f>
      </x:c>
      <x:c r="JQ40" t="n">
        <x:f>IF(OR('Calculations'!BM40=0,NOT('Calculations'!$AG$2),'Calculations'!$AG$8&gt;0),0,IF(OR('Dashboard'!$B$7="All",'Calculations'!HN40='Dashboard'!$B$7),IF('Calculations'!$JJ$2="All",1,IF(AND('Calculations'!HF40='Calculations'!$JJ$2,'Calculations'!HL40=0),1,0)),0))</x:f>
        <x:v>0</x:v>
      </x:c>
    </x:row>
    <x:row r="41">
      <x:c r="AF41" s="4" t="str">
        <x:f>'Dashboard'!E67&amp;" rating distribution"</x:f>
        <x:v>What rating distribution</x:v>
      </x:c>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t="n">
        <x:f>IF('Calculations'!$EM41="",0,IF(OR(IFERROR(INDEX(INDIRECT("'WCM Calibration Final'!$A$1:$A$2000"),'Calculations'!$EM41)&lt;&gt;"",FALSE),IFERROR(INDEX(INDIRECT("'WCM Calibration Final'!$B$1:$B$2000"),'Calculations'!$EM41)&lt;&gt;"",FALSE),IFERROR(INDEX(INDIRECT("'WCM Calibration Final'!$C$1:$C$2000"),'Calculations'!$EM41)&lt;&gt;"",FALSE)),1,0))</x:f>
        <x:v>0</x:v>
      </x:c>
      <x:c r="BN41" s="4" t="n">
        <x:f>IF(AND('Calculations'!BM41=1,'Calculations'!$AG$2,'Calculations'!$EN41=1),1,0)</x:f>
        <x:v>0</x:v>
      </x:c>
      <x:c r="BO41" s="4" t="str">
        <x:f>IF('Calculations'!BM41=0,"",IFERROR(IF(AND(VALUE(INDEX(INDIRECT("'WCM Calibration Final'!$K$1:$K$2000"),'Calculations'!$EM41))&gt;=1,VALUE(INDEX(INDIRECT("'WCM Calibration Final'!$K$1:$K$2000"),'Calculations'!$EM41))&lt;=4,MOD(VALUE(INDEX(INDIRECT("'WCM Calibration Final'!$K$1:$K$2000"),'Calculations'!$EM41)),1)=0),VALUE(INDEX(INDIRECT("'WCM Calibration Final'!$K$1:$K$2000"),'Calculations'!$EM41)),""),""))</x:f>
      </x:c>
      <x:c r="BP41" s="4" t="str">
        <x:f>IF('Calculations'!BM41=0,"",IFERROR(IF(AND(VALUE(INDEX(INDIRECT("'WCM Calibration Final'!$L$1:$L$2000"),'Calculations'!$EM41))&gt;=1,VALUE(INDEX(INDIRECT("'WCM Calibration Final'!$L$1:$L$2000"),'Calculations'!$EM41))&lt;=4,MOD(VALUE(INDEX(INDIRECT("'WCM Calibration Final'!$L$1:$L$2000"),'Calculations'!$EM41)),1)=0),VALUE(INDEX(INDIRECT("'WCM Calibration Final'!$L$1:$L$2000"),'Calculations'!$EM41)),""),""))</x:f>
      </x:c>
      <x:c r="BQ41" s="4"/>
      <x:c r="BR41" s="4"/>
      <x:c r="BS41" s="4"/>
      <x:c r="BT41" s="4" t="n">
        <x:f>IF(AND('Calculations'!BM41=1,ISNUMBER('Calculations'!BO41),ISNUMBER('Calculations'!BP41)),1,0)</x:f>
        <x:v>0</x:v>
      </x:c>
      <x:c r="BU41" s="4" t="str">
        <x:f>IF('Calculations'!BM41=0,"",'Calculations'!$EO41)</x:f>
      </x:c>
      <x:c r="BV41" s="4" t="str">
        <x:f>IF('Calculations'!BM41=0,"",IFERROR(IF(OR(INDEX(INDIRECT("'WCM Calibration Final'!$H$1:$H$2000"),'Calculations'!$EM41)="MANAGING DIRECTOR",INDEX(INDIRECT("'WCM Calibration Final'!$H$1:$H$2000"),'Calculations'!$EM41)="DIRECTOR",INDEX(INDIRECT("'WCM Calibration Final'!$H$1:$H$2000"),'Calculations'!$EM41)="SENIOR VICE PRESIDENT",INDEX(INDIRECT("'WCM Calibration Final'!$H$1:$H$2000"),'Calculations'!$EM41)="VICE PRESIDENT",INDEX(INDIRECT("'WCM Calibration Final'!$H$1:$H$2000"),'Calculations'!$EM41)="ASSISTANT VICE PRESIDENT",INDEX(INDIRECT("'WCM Calibration Final'!$H$1:$H$2000"),'Calculations'!$EM41)="OFFICER"),UPPER(INDEX(INDIRECT("'WCM Calibration Final'!$H$1:$H$2000"),'Calculations'!$EM41)),"Other"),"Other"))</x:f>
      </x:c>
      <x:c r="BW41" s="4"/>
      <x:c r="BX41" s="4"/>
      <x:c r="BY41" s="4" t="n">
        <x:f>IF(AND('Calculations'!BM41=1,'Calculations'!BU41&lt;&gt;"",COUNTIF('Calculations'!$BU$12:BU41,'Calculations'!BU41)=1),MAX('Calculations'!$BY$11:BY40)+1,0)</x:f>
        <x:v>0</x:v>
      </x:c>
      <x:c r="BZ41" s="4" t="str">
        <x:f>IF('Dashboard'!$E$67="What",'Calculations'!BO41,'Calculations'!BP41)</x:f>
      </x:c>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t="str">
        <x:f>IF(30&gt;MAX('Calculations'!$HI$13:$HI$512),"",INDEX('Calculations'!$HN$13:$HN$512,MATCH(30,'Calculations'!$HI$13:$HI$512,0)))</x:f>
      </x:c>
      <x:c r="DB41" s="4" t="str">
        <x:f>IF(30&gt;MAX('Calculations'!$HH$13:$HH$512),"",INDEX('Calculations'!$HJ$13:$HJ$512,MATCH(30,'Calculations'!$HH$13:$HH$512,0)))</x:f>
      </x:c>
      <x:c r="DC41" s="4" t="str">
        <x:f>IF(ROW()-11&gt;MAX('Calculations'!$BY$13:$BY$512),"",INDEX('Calculations'!$BU$13:$BU$512,MATCH(ROW()-11,'Calculations'!$BY$13:$BY$512,0)))</x:f>
      </x:c>
      <x:c r="DD41" s="4" t="str">
        <x:f>IF(30&gt;MAX('Calculations'!$IK$13:$IK$512),"",INDEX('Calculations'!$HK$13:$HK$512,MATCH(30,'Calculations'!$IK$13:$IK$512,0)))</x:f>
      </x:c>
      <x:c r="DE41" s="4" t="str">
        <x:f>'Calculations'!DC41</x:f>
      </x:c>
      <x:c r="DF41" s="4" t="str">
        <x:f>IF('Calculations'!DE41="","",COUNTIFS('Calculations'!$BN$13:$BN$512,1,'Calculations'!$BU$13:$BU$512,'Calculations'!DE41))</x:f>
      </x:c>
      <x:c r="DG41" s="4" t="str">
        <x:f>IF('Calculations'!DE41="","",COUNTIFS('Calculations'!$BN$13:$BN$512,1,'Calculations'!$BU$13:$BU$512,'Calculations'!DE41,'Calculations'!$BT$13:$BT$512,1))</x:f>
      </x:c>
      <x:c r="DH41" s="4" t="str">
        <x:f>IF('Calculations'!DE41="","",'Calculations'!DF41-'Calculations'!DG41)</x:f>
      </x:c>
      <x:c r="DI41" s="4" t="str">
        <x:f>IF(OR('Calculations'!DE41="",'Calculations'!DF41=0),"",'Calculations'!DG41/'Calculations'!DF41)</x:f>
      </x:c>
      <x:c r="DJ41" s="4" t="str">
        <x:f>IF('Calculations'!DE41="","",COUNTIFS('Calculations'!$BN$13:$BN$512,1,'Calculations'!$BU$13:$BU$512,'Calculations'!DE41,'Calculations'!$BT$13:$BT$512,1,'Calculations'!$EE$13:$EE$512,"High"))</x:f>
      </x:c>
      <x:c r="DK41" s="4" t="str">
        <x:f>IF('Calculations'!DE41="","",COUNTIFS('Calculations'!$BN$13:$BN$512,1,'Calculations'!$BU$13:$BU$512,'Calculations'!DE41,'Calculations'!$BT$13:$BT$512,1,'Calculations'!$EE$13:$EE$512,"Strong"))</x:f>
      </x:c>
      <x:c r="DL41" s="4" t="str">
        <x:f>IF('Calculations'!DE41="","",COUNTIFS('Calculations'!$BN$13:$BN$512,1,'Calculations'!$BU$13:$BU$512,'Calculations'!DE41,'Calculations'!$BT$13:$BT$512,1,'Calculations'!$EE$13:$EE$512,"Solid"))</x:f>
      </x:c>
      <x:c r="DM41" s="4" t="str">
        <x:f>IF('Calculations'!DE41="","",COUNTIFS('Calculations'!$BN$13:$BN$512,1,'Calculations'!$BU$13:$BU$512,'Calculations'!DE41,'Calculations'!$BT$13:$BT$512,1,'Calculations'!$EE$13:$EE$512,"Low"))</x:f>
      </x:c>
      <x:c r="DN41" s="4" t="str">
        <x:f>IF('Calculations'!DE41="","",COUNTIFS('Calculations'!$BN$13:$BN$512,1,'Calculations'!$BU$13:$BU$512,'Calculations'!DE41,'Calculations'!$EP$13:$EP$512,1))</x:f>
      </x:c>
      <x:c r="DO41" s="4" t="str">
        <x:f>IF(OR('Calculations'!DE41="",'Calculations'!DG41=0),"",('Calculations'!DJ41+'Calculations'!DK41)/'Calculations'!DG41)</x:f>
      </x:c>
      <x:c r="DP41" s="4" t="n">
        <x:f>IF(AND('Calculations'!DE41&lt;&gt;"",'Calculations'!DF41&gt;0),COUNTIF('Calculations'!$DF$12:DF41,"&gt;0"),0)</x:f>
        <x:v>0</x:v>
      </x:c>
      <x:c r="DQ41" s="4" t="str">
        <x:f>IF(30&gt;MAX('Calculations'!$HH$13:$HH$512),"",INDEX('Calculations'!$HF$13:$HF$512,MATCH(30,'Calculations'!$HH$13:$HH$512,0)))</x:f>
      </x:c>
      <x:c r="DR41" s="4" t="str">
        <x:f>IF(30&gt;MAX('Calculations'!$IK$13:$IK$512),"",INDEX('Calculations'!$HE$13:$HE$512,MATCH(30,'Calculations'!$IK$13:$IK$512,0)))</x:f>
      </x:c>
      <x:c r="DS41" s="4"/>
      <x:c r="DT41" s="4"/>
      <x:c r="DU41" s="4"/>
      <x:c r="DV41" s="4"/>
      <x:c r="DW41" s="4"/>
      <x:c r="DX41" s="4"/>
      <x:c r="DY41" s="4"/>
      <x:c r="DZ41" s="4"/>
      <x:c r="EA41" s="4"/>
      <x:c r="EB41" s="4"/>
      <x:c r="EC41" s="4"/>
      <x:c r="ED41" s="4"/>
      <x:c r="EE41" s="4" t="str">
        <x:f>IF('Calculations'!BT41=0,"Not Rated",IF(OR('Calculations'!BO41&gt;=4,'Calculations'!BP41&gt;=4),"Low",IF('Calculations'!BO41+'Calculations'!BP41&lt;=3,"High",IF('Calculations'!BO41+'Calculations'!BP41&lt;=4,"Strong","Solid"))))</x:f>
        <x:v>Not Rated</x:v>
      </x:c>
      <x:c r="EF41" s="4"/>
      <x:c r="EG41" s="4"/>
      <x:c r="EH41" s="4"/>
      <x:c r="EI41" s="4"/>
      <x:c r="EJ41" s="4"/>
      <x:c r="EK41" s="4"/>
      <x:c r="EL41" s="4"/>
      <x:c r="EM41" s="4" t="str">
        <x:f>IF(29&gt;'Calculations'!$JB$2000,"",INDEX('Calculations'!$JA$12:$JA$2000,MATCH(29,'Calculations'!$JB$12:$JB$2000,0)))</x:f>
      </x:c>
      <x:c r="EN41" s="4" t="n">
        <x:f>IF(OR('Calculations'!EM41="",'Calculations'!$AG$8&gt;0,AND('Calculations'!$EF$2&lt;&gt;"All",'Calculations'!HE41='Calculations'!$EF$2),AND('Calculations'!$EF$3&lt;&gt;"All",'Calculations'!HE41='Calculations'!$EF$3)),0,IF(OR('Dashboard'!$B$7="All",'Calculations'!HN41='Dashboard'!$B$7),IF('Calculations'!$EF$2="All",1,IF('Calculations'!HL41&gt;0,0,IF(COUNTIF('Calculations'!HO41:II41,"="&amp;SUBSTITUTE(SUBSTITUTE(SUBSTITUTE('Calculations'!$EF$2,"~","~~"),"*","~*"),"?","~?"))=0,0,IF('Calculations'!$EF$3="All",1,IF(COUNTIF('Calculations'!HO41:II41,"="&amp;SUBSTITUTE(SUBSTITUTE(SUBSTITUTE('Calculations'!$EF$3,"~","~~"),"*","~*"),"?","~?"))&gt;0,1,0))))),0))</x:f>
        <x:v>0</x:v>
      </x:c>
      <x:c r="EO41" s="4" t="str">
        <x:f>IF('Calculations'!IJ41="","",IF('Calculations'!IJ41="!UNRESOLVED","Unresolved hierarchy",IFERROR(INDEX('Calculations'!$HK$13:$HK$512,MATCH('Calculations'!IJ41,'Calculations'!$HE$13:$HE$512,0)),IFERROR(INDEX('Calculations'!$HJ$13:$HJ$512,MATCH('Calculations'!IJ41,'Calculations'!$HF$13:$HF$512,0)),'Calculations'!IJ41))))</x:f>
      </x:c>
      <x:c r="EP41" s="4" t="n">
        <x:f>IF(AND('Calculations'!EM41&lt;&gt;"",'Calculations'!HF41='Calculations'!IJ41),1,0)</x:f>
        <x:v>0</x:v>
      </x:c>
      <x:c r="EQ41" s="4"/>
      <x:c r="ER41" s="4"/>
      <x:c r="ES41" s="4"/>
      <x:c r="ET41" s="4"/>
      <x:c r="EU41" s="4"/>
      <x:c r="EV41" s="4"/>
      <x:c r="EW41" s="4"/>
      <x:c r="EX41" s="4"/>
      <x:c r="EY41" s="4"/>
      <x:c r="EZ41" s="4"/>
      <x:c r="FA41" s="4"/>
      <x:c r="FB41" s="4"/>
      <x:c r="FC41" s="4"/>
      <x:c r="FD41" s="4"/>
      <x:c r="FE41" s="4"/>
      <x:c r="FF41" s="4"/>
      <x:c r="FG41" s="4"/>
      <x:c r="FH41" s="4"/>
      <x:c r="FI41" s="4"/>
      <x:c r="FJ41" s="4"/>
      <x:c r="FK41" s="4"/>
      <x:c r="FL41" s="4"/>
      <x:c r="FM41" s="4"/>
      <x:c r="FN41" s="4"/>
      <x:c r="FO41" s="4"/>
      <x:c r="GA41" s="71"/>
      <x:c r="GB41" s="71"/>
      <x:c r="GC41" s="71"/>
      <x:c r="GD41" s="71"/>
      <x:c r="GE41" s="71"/>
      <x:c r="GF41" s="71"/>
      <x:c r="GG41" s="71"/>
      <x:c r="GH41" s="71"/>
      <x:c r="GI41" s="71"/>
      <x:c r="GJ41" s="71"/>
      <x:c r="GK41" s="71"/>
      <x:c r="GL41" s="71"/>
      <x:c r="GM41" s="71"/>
      <x:c r="GN41" s="71"/>
      <x:c r="GO41" s="71"/>
      <x:c r="GP41" s="71"/>
      <x:c r="GQ41" s="71"/>
      <x:c r="GR41" s="71"/>
      <x:c r="GS41" s="71"/>
      <x:c r="GT41" s="71"/>
      <x:c r="GU41" s="71"/>
      <x:c r="GV41" s="71"/>
      <x:c r="GW41" s="71"/>
      <x:c r="GX41" s="71"/>
      <x:c r="GY41" s="71"/>
      <x:c r="GZ41" s="71"/>
      <x:c r="HA41" s="71"/>
      <x:c r="HB41" s="71"/>
      <x:c r="HC41" s="71"/>
      <x:c r="HD41" s="71"/>
      <x:c r="HE41" t="str">
        <x:f>IF('Calculations'!EM41="","",IF(IFERROR(IF(INDEX(INDIRECT("'WCM Calibration Final'!$A$1:$A$2000"),'Calculations'!$EM41)="","",TRIM(INDEX(INDIRECT("'WCM Calibration Final'!$A$1:$A$2000"),'Calculations'!$EM41)&amp;"")),"")&lt;&gt;"","G:"&amp;IFERROR(TEXT(1*INDEX(INDIRECT("'WCM Calibration Final'!$A$1:$A$2000"),'Calculations'!$EM41),"0"),UPPER(IFERROR(IF(INDEX(INDIRECT("'WCM Calibration Final'!$A$1:$A$2000"),'Calculations'!$EM41)="","",TRIM(INDEX(INDIRECT("'WCM Calibration Final'!$A$1:$A$2000"),'Calculations'!$EM41)&amp;"")),""))),IF(IFERROR(IF(INDEX(INDIRECT("'WCM Calibration Final'!$C$1:$C$2000"),'Calculations'!$EM41)="","",TRIM(INDEX(INDIRECT("'WCM Calibration Final'!$C$1:$C$2000"),'Calculations'!$EM41)&amp;"")),"")&lt;&gt;"","S:"&amp;UPPER(IFERROR(IF(INDEX(INDIRECT("'WCM Calibration Final'!$C$1:$C$2000"),'Calculations'!$EM41)="","",TRIM(INDEX(INDIRECT("'WCM Calibration Final'!$C$1:$C$2000"),'Calculations'!$EM41)&amp;"")),"")),"R:"&amp;'Calculations'!EM41)))</x:f>
      </x:c>
      <x:c r="HF41" t="str">
        <x:f>IF('Calculations'!EM41="","",IF(IFERROR(IF(INDEX(INDIRECT("'WCM Calibration Final'!$D$1:$D$2000"),'Calculations'!$EM41)="","",TRIM(INDEX(INDIRECT("'WCM Calibration Final'!$D$1:$D$2000"),'Calculations'!$EM41)&amp;"")),"")&lt;&gt;"","G:"&amp;IFERROR(TEXT(1*INDEX(INDIRECT("'WCM Calibration Final'!$D$1:$D$2000"),'Calculations'!$EM41),"0"),UPPER(IFERROR(IF(INDEX(INDIRECT("'WCM Calibration Final'!$D$1:$D$2000"),'Calculations'!$EM41)="","",TRIM(INDEX(INDIRECT("'WCM Calibration Final'!$D$1:$D$2000"),'Calculations'!$EM41)&amp;"")),""))),IF(IFERROR(IF(INDEX(INDIRECT("'WCM Calibration Final'!$E$1:$E$2000"),'Calculations'!$EM41)="","",TRIM(INDEX(INDIRECT("'WCM Calibration Final'!$E$1:$E$2000"),'Calculations'!$EM41)&amp;"")),"")="","",IF(COUNTIF('Calculations'!$HG$13:$HG$512,"="&amp;SUBSTITUTE(SUBSTITUTE(SUBSTITUTE(IFERROR(IF(INDEX(INDIRECT("'WCM Calibration Final'!$E$1:$E$2000"),'Calculations'!$EM41)="","",TRIM(INDEX(INDIRECT("'WCM Calibration Final'!$E$1:$E$2000"),'Calculations'!$EM41)&amp;"")),""),"~","~~"),"*","~*"),"?","~?"))=1,INDEX('Calculations'!$HE$13:$HE$512,MATCH(IFERROR(IF(INDEX(INDIRECT("'WCM Calibration Final'!$E$1:$E$2000"),'Calculations'!$EM41)="","",TRIM(INDEX(INDIRECT("'WCM Calibration Final'!$E$1:$E$2000"),'Calculations'!$EM41)&amp;"")),""),'Calculations'!$HG$13:$HG$512,0)),IF(COUNTIF('Calculations'!$HG$13:$HG$512,"="&amp;SUBSTITUTE(SUBSTITUTE(SUBSTITUTE(IFERROR(IF(INDEX(INDIRECT("'WCM Calibration Final'!$E$1:$E$2000"),'Calculations'!$EM41)="","",TRIM(INDEX(INDIRECT("'WCM Calibration Final'!$E$1:$E$2000"),'Calculations'!$EM41)&amp;"")),""),"~","~~"),"*","~*"),"?","~?"))&gt;1,"!AMBIG","X:"&amp;IFERROR(IF(INDEX(INDIRECT("'WCM Calibration Final'!$E$1:$E$2000"),'Calculations'!$EM41)="","",TRIM(INDEX(INDIRECT("'WCM Calibration Final'!$E$1:$E$2000"),'Calculations'!$EM41)&amp;"")),""))))))</x:f>
      </x:c>
      <x:c r="HG41" t="str">
        <x:f>IF('Calculations'!EM41="","",IFERROR(IF(INDEX(INDIRECT("'WCM Calibration Final'!$B$1:$B$2000"),'Calculations'!$EM41)="","",TRIM(INDEX(INDIRECT("'WCM Calibration Final'!$B$1:$B$2000"),'Calculations'!$EM41)&amp;"")),""))</x:f>
      </x:c>
      <x:c r="HH41" t="n">
        <x:f>IF(AND('Calculations'!JC41&gt;0,COUNTIF('Calculations'!$HF$12:HF41,"="&amp;SUBSTITUTE(SUBSTITUTE(SUBSTITUTE('Calculations'!HF41,"~","~~"),"*","~*"),"?","~?"))=1),MAX('Calculations'!$HH$12:HH40)+1,0)</x:f>
        <x:v>0</x:v>
      </x:c>
      <x:c r="HI41" t="n">
        <x:f>IF(AND('Calculations'!HN41&lt;&gt;"",COUNTIF('Calculations'!$HN$12:HN41,"="&amp;SUBSTITUTE(SUBSTITUTE(SUBSTITUTE('Calculations'!HN41,"~","~~"),"*","~*"),"?","~?"))=1),MAX('Calculations'!$HI$12:HI40)+1,0)</x:f>
        <x:v>0</x:v>
      </x:c>
      <x:c r="HJ41" t="str">
        <x:f>IF('Calculations'!HF41="","",IF(COUNTIF('Calculations'!$HE$13:$HE$512,"="&amp;SUBSTITUTE(SUBSTITUTE(SUBSTITUTE('Calculations'!HF41,"~","~~"),"*","~*"),"?","~?"))=1,INDEX('Calculations'!$HK$13:$HK$512,MATCH('Calculations'!HF41,'Calculations'!$HE$13:$HE$512,0)),IFERROR(IF(INDEX(INDIRECT("'WCM Calibration Final'!$E$1:$E$2000"),'Calculations'!$EM41)="","",TRIM(INDEX(INDIRECT("'WCM Calibration Final'!$E$1:$E$2000"),'Calculations'!$EM41)&amp;"")),"")&amp;" ["&amp;'Calculations'!HF41&amp;"]"))</x:f>
      </x:c>
      <x:c r="HK41" t="str">
        <x:f>IF('Calculations'!EM41="","",'Calculations'!HG41&amp;" ["&amp;'Calculations'!HE41&amp;"]")</x:f>
      </x:c>
      <x:c r="HL41" t="n">
        <x:f>IF('Calculations'!EM41="",0,IF(OR('Calculations'!II41&lt;&gt;"",COUNTIF('Calculations'!$HE$13:$HE$512,"="&amp;SUBSTITUTE(SUBSTITUTE(SUBSTITUTE('Calculations'!HE41,"~","~~"),"*","~*"),"?","~?"))&gt;1),1,0))</x:f>
        <x:v>0</x:v>
      </x:c>
      <x:c r="HM41" t="str">
        <x:f>IF('Calculations'!EM41="","",IF('Calculations'!HL41=1,"!UNRESOLVED",IF('Calculations'!IH41&lt;&gt;"",'Calculations'!IH41,IF('Calculations'!IG41&lt;&gt;"",'Calculations'!IG41,IF('Calculations'!IF41&lt;&gt;"",'Calculations'!IF41,IF('Calculations'!IE41&lt;&gt;"",'Calculations'!IE41,IF('Calculations'!ID41&lt;&gt;"",'Calculations'!ID41,IF('Calculations'!IC41&lt;&gt;"",'Calculations'!IC41,IF('Calculations'!IB41&lt;&gt;"",'Calculations'!IB41,IF('Calculations'!IA41&lt;&gt;"",'Calculations'!IA41,IF('Calculations'!HZ41&lt;&gt;"",'Calculations'!HZ41,IF('Calculations'!HY41&lt;&gt;"",'Calculations'!HY41,IF('Calculations'!HX41&lt;&gt;"",'Calculations'!HX41,IF('Calculations'!HW41&lt;&gt;"",'Calculations'!HW41,IF('Calculations'!HV41&lt;&gt;"",'Calculations'!HV41,IF('Calculations'!HU41&lt;&gt;"",'Calculations'!HU41,IF('Calculations'!HT41&lt;&gt;"",'Calculations'!HT41,IF('Calculations'!HS41&lt;&gt;"",'Calculations'!HS41,IF('Calculations'!HR41&lt;&gt;"",'Calculations'!HR41,IF('Calculations'!HQ41&lt;&gt;"",'Calculations'!HQ41,IF('Calculations'!HP41&lt;&gt;"",'Calculations'!HP41,IF('Calculations'!HO41&lt;&gt;"",'Calculations'!HO41,'Calculations'!HE41))))))))))))))))))))))</x:f>
      </x:c>
      <x:c r="HN41" t="str">
        <x:f>IF('Calculations'!EM41="","",IF(IFERROR(IF(INDEX(INDIRECT("'WCM Calibration Final'!$F$1:$F$2000"),'Calculations'!$EM41)="","",TRIM(INDEX(INDIRECT("'WCM Calibration Final'!$F$1:$F$2000"),'Calculations'!$EM41)&amp;"")),"")="","(Blank)",IFERROR(IF(INDEX(INDIRECT("'WCM Calibration Final'!$F$1:$F$2000"),'Calculations'!$EM41)="","",TRIM(INDEX(INDIRECT("'WCM Calibration Final'!$F$1:$F$2000"),'Calculations'!$EM41)&amp;"")),"")))</x:f>
      </x:c>
      <x:c r="HO41" t="str">
        <x:f>'Calculations'!HF41</x:f>
      </x:c>
      <x:c r="HP41" t="str">
        <x:f>IF('Calculations'!HO41="","",IF('Calculations'!HO41="!AMBIG","!AMBIG",IF(COUNTIF('Calculations'!$HE$13:$HE$512,"="&amp;SUBSTITUTE(SUBSTITUTE(SUBSTITUTE('Calculations'!HO41,"~","~~"),"*","~*"),"?","~?"))&gt;1,"!AMBIG",IFERROR(INDEX('Calculations'!$HF$13:$HF$512,MATCH('Calculations'!HO41,'Calculations'!$HE$13:$HE$512,0)),""))))</x:f>
      </x:c>
      <x:c r="HQ41" t="str">
        <x:f>IF('Calculations'!HP41="","",IF('Calculations'!HP41="!AMBIG","!AMBIG",IF(COUNTIF('Calculations'!$HE$13:$HE$512,"="&amp;SUBSTITUTE(SUBSTITUTE(SUBSTITUTE('Calculations'!HP41,"~","~~"),"*","~*"),"?","~?"))&gt;1,"!AMBIG",IFERROR(INDEX('Calculations'!$HF$13:$HF$512,MATCH('Calculations'!HP41,'Calculations'!$HE$13:$HE$512,0)),""))))</x:f>
      </x:c>
      <x:c r="HR41" t="str">
        <x:f>IF('Calculations'!HQ41="","",IF('Calculations'!HQ41="!AMBIG","!AMBIG",IF(COUNTIF('Calculations'!$HE$13:$HE$512,"="&amp;SUBSTITUTE(SUBSTITUTE(SUBSTITUTE('Calculations'!HQ41,"~","~~"),"*","~*"),"?","~?"))&gt;1,"!AMBIG",IFERROR(INDEX('Calculations'!$HF$13:$HF$512,MATCH('Calculations'!HQ41,'Calculations'!$HE$13:$HE$512,0)),""))))</x:f>
      </x:c>
      <x:c r="HS41" t="str">
        <x:f>IF('Calculations'!HR41="","",IF('Calculations'!HR41="!AMBIG","!AMBIG",IF(COUNTIF('Calculations'!$HE$13:$HE$512,"="&amp;SUBSTITUTE(SUBSTITUTE(SUBSTITUTE('Calculations'!HR41,"~","~~"),"*","~*"),"?","~?"))&gt;1,"!AMBIG",IFERROR(INDEX('Calculations'!$HF$13:$HF$512,MATCH('Calculations'!HR41,'Calculations'!$HE$13:$HE$512,0)),""))))</x:f>
      </x:c>
      <x:c r="HT41" t="str">
        <x:f>IF('Calculations'!HS41="","",IF('Calculations'!HS41="!AMBIG","!AMBIG",IF(COUNTIF('Calculations'!$HE$13:$HE$512,"="&amp;SUBSTITUTE(SUBSTITUTE(SUBSTITUTE('Calculations'!HS41,"~","~~"),"*","~*"),"?","~?"))&gt;1,"!AMBIG",IFERROR(INDEX('Calculations'!$HF$13:$HF$512,MATCH('Calculations'!HS41,'Calculations'!$HE$13:$HE$512,0)),""))))</x:f>
      </x:c>
      <x:c r="HU41" t="str">
        <x:f>IF('Calculations'!HT41="","",IF('Calculations'!HT41="!AMBIG","!AMBIG",IF(COUNTIF('Calculations'!$HE$13:$HE$512,"="&amp;SUBSTITUTE(SUBSTITUTE(SUBSTITUTE('Calculations'!HT41,"~","~~"),"*","~*"),"?","~?"))&gt;1,"!AMBIG",IFERROR(INDEX('Calculations'!$HF$13:$HF$512,MATCH('Calculations'!HT41,'Calculations'!$HE$13:$HE$512,0)),""))))</x:f>
      </x:c>
      <x:c r="HV41" t="str">
        <x:f>IF('Calculations'!HU41="","",IF('Calculations'!HU41="!AMBIG","!AMBIG",IF(COUNTIF('Calculations'!$HE$13:$HE$512,"="&amp;SUBSTITUTE(SUBSTITUTE(SUBSTITUTE('Calculations'!HU41,"~","~~"),"*","~*"),"?","~?"))&gt;1,"!AMBIG",IFERROR(INDEX('Calculations'!$HF$13:$HF$512,MATCH('Calculations'!HU41,'Calculations'!$HE$13:$HE$512,0)),""))))</x:f>
      </x:c>
      <x:c r="HW41" t="str">
        <x:f>IF('Calculations'!HV41="","",IF('Calculations'!HV41="!AMBIG","!AMBIG",IF(COUNTIF('Calculations'!$HE$13:$HE$512,"="&amp;SUBSTITUTE(SUBSTITUTE(SUBSTITUTE('Calculations'!HV41,"~","~~"),"*","~*"),"?","~?"))&gt;1,"!AMBIG",IFERROR(INDEX('Calculations'!$HF$13:$HF$512,MATCH('Calculations'!HV41,'Calculations'!$HE$13:$HE$512,0)),""))))</x:f>
      </x:c>
      <x:c r="HX41" t="str">
        <x:f>IF('Calculations'!HW41="","",IF('Calculations'!HW41="!AMBIG","!AMBIG",IF(COUNTIF('Calculations'!$HE$13:$HE$512,"="&amp;SUBSTITUTE(SUBSTITUTE(SUBSTITUTE('Calculations'!HW41,"~","~~"),"*","~*"),"?","~?"))&gt;1,"!AMBIG",IFERROR(INDEX('Calculations'!$HF$13:$HF$512,MATCH('Calculations'!HW41,'Calculations'!$HE$13:$HE$512,0)),""))))</x:f>
      </x:c>
      <x:c r="HY41" t="str">
        <x:f>IF('Calculations'!HX41="","",IF('Calculations'!HX41="!AMBIG","!AMBIG",IF(COUNTIF('Calculations'!$HE$13:$HE$512,"="&amp;SUBSTITUTE(SUBSTITUTE(SUBSTITUTE('Calculations'!HX41,"~","~~"),"*","~*"),"?","~?"))&gt;1,"!AMBIG",IFERROR(INDEX('Calculations'!$HF$13:$HF$512,MATCH('Calculations'!HX41,'Calculations'!$HE$13:$HE$512,0)),""))))</x:f>
      </x:c>
      <x:c r="HZ41" t="str">
        <x:f>IF('Calculations'!HY41="","",IF('Calculations'!HY41="!AMBIG","!AMBIG",IF(COUNTIF('Calculations'!$HE$13:$HE$512,"="&amp;SUBSTITUTE(SUBSTITUTE(SUBSTITUTE('Calculations'!HY41,"~","~~"),"*","~*"),"?","~?"))&gt;1,"!AMBIG",IFERROR(INDEX('Calculations'!$HF$13:$HF$512,MATCH('Calculations'!HY41,'Calculations'!$HE$13:$HE$512,0)),""))))</x:f>
      </x:c>
      <x:c r="IA41" t="str">
        <x:f>IF('Calculations'!HZ41="","",IF('Calculations'!HZ41="!AMBIG","!AMBIG",IF(COUNTIF('Calculations'!$HE$13:$HE$512,"="&amp;SUBSTITUTE(SUBSTITUTE(SUBSTITUTE('Calculations'!HZ41,"~","~~"),"*","~*"),"?","~?"))&gt;1,"!AMBIG",IFERROR(INDEX('Calculations'!$HF$13:$HF$512,MATCH('Calculations'!HZ41,'Calculations'!$HE$13:$HE$512,0)),""))))</x:f>
      </x:c>
      <x:c r="IB41" t="str">
        <x:f>IF('Calculations'!IA41="","",IF('Calculations'!IA41="!AMBIG","!AMBIG",IF(COUNTIF('Calculations'!$HE$13:$HE$512,"="&amp;SUBSTITUTE(SUBSTITUTE(SUBSTITUTE('Calculations'!IA41,"~","~~"),"*","~*"),"?","~?"))&gt;1,"!AMBIG",IFERROR(INDEX('Calculations'!$HF$13:$HF$512,MATCH('Calculations'!IA41,'Calculations'!$HE$13:$HE$512,0)),""))))</x:f>
      </x:c>
      <x:c r="IC41" t="str">
        <x:f>IF('Calculations'!IB41="","",IF('Calculations'!IB41="!AMBIG","!AMBIG",IF(COUNTIF('Calculations'!$HE$13:$HE$512,"="&amp;SUBSTITUTE(SUBSTITUTE(SUBSTITUTE('Calculations'!IB41,"~","~~"),"*","~*"),"?","~?"))&gt;1,"!AMBIG",IFERROR(INDEX('Calculations'!$HF$13:$HF$512,MATCH('Calculations'!IB41,'Calculations'!$HE$13:$HE$512,0)),""))))</x:f>
      </x:c>
      <x:c r="ID41" t="str">
        <x:f>IF('Calculations'!IC41="","",IF('Calculations'!IC41="!AMBIG","!AMBIG",IF(COUNTIF('Calculations'!$HE$13:$HE$512,"="&amp;SUBSTITUTE(SUBSTITUTE(SUBSTITUTE('Calculations'!IC41,"~","~~"),"*","~*"),"?","~?"))&gt;1,"!AMBIG",IFERROR(INDEX('Calculations'!$HF$13:$HF$512,MATCH('Calculations'!IC41,'Calculations'!$HE$13:$HE$512,0)),""))))</x:f>
      </x:c>
      <x:c r="IE41" t="str">
        <x:f>IF('Calculations'!ID41="","",IF('Calculations'!ID41="!AMBIG","!AMBIG",IF(COUNTIF('Calculations'!$HE$13:$HE$512,"="&amp;SUBSTITUTE(SUBSTITUTE(SUBSTITUTE('Calculations'!ID41,"~","~~"),"*","~*"),"?","~?"))&gt;1,"!AMBIG",IFERROR(INDEX('Calculations'!$HF$13:$HF$512,MATCH('Calculations'!ID41,'Calculations'!$HE$13:$HE$512,0)),""))))</x:f>
      </x:c>
      <x:c r="IF41" t="str">
        <x:f>IF('Calculations'!IE41="","",IF('Calculations'!IE41="!AMBIG","!AMBIG",IF(COUNTIF('Calculations'!$HE$13:$HE$512,"="&amp;SUBSTITUTE(SUBSTITUTE(SUBSTITUTE('Calculations'!IE41,"~","~~"),"*","~*"),"?","~?"))&gt;1,"!AMBIG",IFERROR(INDEX('Calculations'!$HF$13:$HF$512,MATCH('Calculations'!IE41,'Calculations'!$HE$13:$HE$512,0)),""))))</x:f>
      </x:c>
      <x:c r="IG41" t="str">
        <x:f>IF('Calculations'!IF41="","",IF('Calculations'!IF41="!AMBIG","!AMBIG",IF(COUNTIF('Calculations'!$HE$13:$HE$512,"="&amp;SUBSTITUTE(SUBSTITUTE(SUBSTITUTE('Calculations'!IF41,"~","~~"),"*","~*"),"?","~?"))&gt;1,"!AMBIG",IFERROR(INDEX('Calculations'!$HF$13:$HF$512,MATCH('Calculations'!IF41,'Calculations'!$HE$13:$HE$512,0)),""))))</x:f>
      </x:c>
      <x:c r="IH41" t="str">
        <x:f>IF('Calculations'!IG41="","",IF('Calculations'!IG41="!AMBIG","!AMBIG",IF(COUNTIF('Calculations'!$HE$13:$HE$512,"="&amp;SUBSTITUTE(SUBSTITUTE(SUBSTITUTE('Calculations'!IG41,"~","~~"),"*","~*"),"?","~?"))&gt;1,"!AMBIG",IFERROR(INDEX('Calculations'!$HF$13:$HF$512,MATCH('Calculations'!IG41,'Calculations'!$HE$13:$HE$512,0)),""))))</x:f>
      </x:c>
      <x:c r="II41" t="str">
        <x:f>IF('Calculations'!IH41="","",IF('Calculations'!IH41="!AMBIG","!AMBIG",IF(COUNTIF('Calculations'!$HE$13:$HE$512,"="&amp;SUBSTITUTE(SUBSTITUTE(SUBSTITUTE('Calculations'!IH41,"~","~~"),"*","~*"),"?","~?"))&gt;1,"!AMBIG",IFERROR(INDEX('Calculations'!$HF$13:$HF$512,MATCH('Calculations'!IH41,'Calculations'!$HE$13:$HE$512,0)),""))))</x:f>
      </x:c>
      <x:c r="IJ41" t="str">
        <x:f>IF('Calculations'!EM41="","",IF('Calculations'!$EF$2="All",'Calculations'!HM41,IF('Calculations'!HL41=1,"",IFERROR(IF(MATCH('Calculations'!$EF$2,'Calculations'!HO41:II41,0)=1,'Calculations'!HE41,INDEX('Calculations'!HO41:II41,1,MATCH('Calculations'!$EF$2,'Calculations'!HO41:II41,0)-1)),""))))</x:f>
      </x:c>
      <x:c r="IK41" t="n">
        <x:f>IF(AND('Calculations'!EM41&lt;&gt;"",'Calculations'!$EF$2&lt;&gt;"All",'Calculations'!HF41='Calculations'!$EF$2,'Calculations'!HL41=0,'Calculations'!JD41&gt;0),MAX('Calculations'!$IK$12:IK40)+1,0)</x:f>
        <x:v>0</x:v>
      </x:c>
      <x:c r="JA41" t="n">
        <x:f>IF(OR(IFERROR(INDIRECT("'WCM Calibration Final'!$A$41")&lt;&gt;"",FALSE),IFERROR(INDIRECT("'WCM Calibration Final'!$B$41")&lt;&gt;"",FALSE),IFERROR(INDIRECT("'WCM Calibration Final'!$C$41")&lt;&gt;"",FALSE)),41,0)</x:f>
        <x:v>0</x:v>
      </x:c>
      <x:c r="JB41" t="n">
        <x:f>'Calculations'!JB40+IF('Calculations'!JA41&gt;0,1,0)</x:f>
        <x:v>0</x:v>
      </x:c>
      <x:c r="JC41" t="n">
        <x:f>IF(OR('Calculations'!HF41="",'Calculations'!HF41="!AMBIG"),0,IF('Dashboard'!$B$7="All",1,COUNTIFS('Calculations'!$HO$13:$HO$512,"="&amp;SUBSTITUTE(SUBSTITUTE(SUBSTITUTE('Calculations'!HF41,"~","~~"),"*","~*"),"?","~?"),'Calculations'!$HN$13:$HN$512,"="&amp;SUBSTITUTE(SUBSTITUTE(SUBSTITUTE('Dashboard'!$B$7,"~","~~"),"*","~*"),"?","~?"))+COUNTIFS('Calculations'!$HP$13:$HP$512,"="&amp;SUBSTITUTE(SUBSTITUTE(SUBSTITUTE('Calculations'!HF41,"~","~~"),"*","~*"),"?","~?"),'Calculations'!$HN$13:$HN$512,"="&amp;SUBSTITUTE(SUBSTITUTE(SUBSTITUTE('Dashboard'!$B$7,"~","~~"),"*","~*"),"?","~?"))+COUNTIFS('Calculations'!$HQ$13:$HQ$512,"="&amp;SUBSTITUTE(SUBSTITUTE(SUBSTITUTE('Calculations'!HF41,"~","~~"),"*","~*"),"?","~?"),'Calculations'!$HN$13:$HN$512,"="&amp;SUBSTITUTE(SUBSTITUTE(SUBSTITUTE('Dashboard'!$B$7,"~","~~"),"*","~*"),"?","~?"))+COUNTIFS('Calculations'!$HR$13:$HR$512,"="&amp;SUBSTITUTE(SUBSTITUTE(SUBSTITUTE('Calculations'!HF41,"~","~~"),"*","~*"),"?","~?"),'Calculations'!$HN$13:$HN$512,"="&amp;SUBSTITUTE(SUBSTITUTE(SUBSTITUTE('Dashboard'!$B$7,"~","~~"),"*","~*"),"?","~?"))+COUNTIFS('Calculations'!$HS$13:$HS$512,"="&amp;SUBSTITUTE(SUBSTITUTE(SUBSTITUTE('Calculations'!HF41,"~","~~"),"*","~*"),"?","~?"),'Calculations'!$HN$13:$HN$512,"="&amp;SUBSTITUTE(SUBSTITUTE(SUBSTITUTE('Dashboard'!$B$7,"~","~~"),"*","~*"),"?","~?"))+COUNTIFS('Calculations'!$HT$13:$HT$512,"="&amp;SUBSTITUTE(SUBSTITUTE(SUBSTITUTE('Calculations'!HF41,"~","~~"),"*","~*"),"?","~?"),'Calculations'!$HN$13:$HN$512,"="&amp;SUBSTITUTE(SUBSTITUTE(SUBSTITUTE('Dashboard'!$B$7,"~","~~"),"*","~*"),"?","~?"))+COUNTIFS('Calculations'!$HU$13:$HU$512,"="&amp;SUBSTITUTE(SUBSTITUTE(SUBSTITUTE('Calculations'!HF41,"~","~~"),"*","~*"),"?","~?"),'Calculations'!$HN$13:$HN$512,"="&amp;SUBSTITUTE(SUBSTITUTE(SUBSTITUTE('Dashboard'!$B$7,"~","~~"),"*","~*"),"?","~?"))+COUNTIFS('Calculations'!$HV$13:$HV$512,"="&amp;SUBSTITUTE(SUBSTITUTE(SUBSTITUTE('Calculations'!HF41,"~","~~"),"*","~*"),"?","~?"),'Calculations'!$HN$13:$HN$512,"="&amp;SUBSTITUTE(SUBSTITUTE(SUBSTITUTE('Dashboard'!$B$7,"~","~~"),"*","~*"),"?","~?"))+COUNTIFS('Calculations'!$HW$13:$HW$512,"="&amp;SUBSTITUTE(SUBSTITUTE(SUBSTITUTE('Calculations'!HF41,"~","~~"),"*","~*"),"?","~?"),'Calculations'!$HN$13:$HN$512,"="&amp;SUBSTITUTE(SUBSTITUTE(SUBSTITUTE('Dashboard'!$B$7,"~","~~"),"*","~*"),"?","~?"))+COUNTIFS('Calculations'!$HX$13:$HX$512,"="&amp;SUBSTITUTE(SUBSTITUTE(SUBSTITUTE('Calculations'!HF41,"~","~~"),"*","~*"),"?","~?"),'Calculations'!$HN$13:$HN$512,"="&amp;SUBSTITUTE(SUBSTITUTE(SUBSTITUTE('Dashboard'!$B$7,"~","~~"),"*","~*"),"?","~?"))+COUNTIFS('Calculations'!$HY$13:$HY$512,"="&amp;SUBSTITUTE(SUBSTITUTE(SUBSTITUTE('Calculations'!HF41,"~","~~"),"*","~*"),"?","~?"),'Calculations'!$HN$13:$HN$512,"="&amp;SUBSTITUTE(SUBSTITUTE(SUBSTITUTE('Dashboard'!$B$7,"~","~~"),"*","~*"),"?","~?"))+COUNTIFS('Calculations'!$HZ$13:$HZ$512,"="&amp;SUBSTITUTE(SUBSTITUTE(SUBSTITUTE('Calculations'!HF41,"~","~~"),"*","~*"),"?","~?"),'Calculations'!$HN$13:$HN$512,"="&amp;SUBSTITUTE(SUBSTITUTE(SUBSTITUTE('Dashboard'!$B$7,"~","~~"),"*","~*"),"?","~?"))+COUNTIFS('Calculations'!$IA$13:$IA$512,"="&amp;SUBSTITUTE(SUBSTITUTE(SUBSTITUTE('Calculations'!HF41,"~","~~"),"*","~*"),"?","~?"),'Calculations'!$HN$13:$HN$512,"="&amp;SUBSTITUTE(SUBSTITUTE(SUBSTITUTE('Dashboard'!$B$7,"~","~~"),"*","~*"),"?","~?"))+COUNTIFS('Calculations'!$IB$13:$IB$512,"="&amp;SUBSTITUTE(SUBSTITUTE(SUBSTITUTE('Calculations'!HF41,"~","~~"),"*","~*"),"?","~?"),'Calculations'!$HN$13:$HN$512,"="&amp;SUBSTITUTE(SUBSTITUTE(SUBSTITUTE('Dashboard'!$B$7,"~","~~"),"*","~*"),"?","~?"))+COUNTIFS('Calculations'!$IC$13:$IC$512,"="&amp;SUBSTITUTE(SUBSTITUTE(SUBSTITUTE('Calculations'!HF41,"~","~~"),"*","~*"),"?","~?"),'Calculations'!$HN$13:$HN$512,"="&amp;SUBSTITUTE(SUBSTITUTE(SUBSTITUTE('Dashboard'!$B$7,"~","~~"),"*","~*"),"?","~?"))+COUNTIFS('Calculations'!$ID$13:$ID$512,"="&amp;SUBSTITUTE(SUBSTITUTE(SUBSTITUTE('Calculations'!HF41,"~","~~"),"*","~*"),"?","~?"),'Calculations'!$HN$13:$HN$512,"="&amp;SUBSTITUTE(SUBSTITUTE(SUBSTITUTE('Dashboard'!$B$7,"~","~~"),"*","~*"),"?","~?"))+COUNTIFS('Calculations'!$IE$13:$IE$512,"="&amp;SUBSTITUTE(SUBSTITUTE(SUBSTITUTE('Calculations'!HF41,"~","~~"),"*","~*"),"?","~?"),'Calculations'!$HN$13:$HN$512,"="&amp;SUBSTITUTE(SUBSTITUTE(SUBSTITUTE('Dashboard'!$B$7,"~","~~"),"*","~*"),"?","~?"))+COUNTIFS('Calculations'!$IF$13:$IF$512,"="&amp;SUBSTITUTE(SUBSTITUTE(SUBSTITUTE('Calculations'!HF41,"~","~~"),"*","~*"),"?","~?"),'Calculations'!$HN$13:$HN$512,"="&amp;SUBSTITUTE(SUBSTITUTE(SUBSTITUTE('Dashboard'!$B$7,"~","~~"),"*","~*"),"?","~?"))+COUNTIFS('Calculations'!$IG$13:$IG$512,"="&amp;SUBSTITUTE(SUBSTITUTE(SUBSTITUTE('Calculations'!HF41,"~","~~"),"*","~*"),"?","~?"),'Calculations'!$HN$13:$HN$512,"="&amp;SUBSTITUTE(SUBSTITUTE(SUBSTITUTE('Dashboard'!$B$7,"~","~~"),"*","~*"),"?","~?"))+COUNTIFS('Calculations'!$IH$13:$IH$512,"="&amp;SUBSTITUTE(SUBSTITUTE(SUBSTITUTE('Calculations'!HF41,"~","~~"),"*","~*"),"?","~?"),'Calculations'!$HN$13:$HN$512,"="&amp;SUBSTITUTE(SUBSTITUTE(SUBSTITUTE('Dashboard'!$B$7,"~","~~"),"*","~*"),"?","~?"))))</x:f>
        <x:v>0</x:v>
      </x:c>
      <x:c r="JD41" t="n">
        <x:f>IF('Calculations'!EM41="",0,IF('Dashboard'!$B$7="All",1,IF('Calculations'!HN41='Dashboard'!$B$7,1,0)+IFERROR(INDEX('Calculations'!$JC$13:$JC$512,MATCH('Calculations'!HE41,'Calculations'!$HF$13:$HF$512,0)),0)))</x:f>
        <x:v>0</x:v>
      </x:c>
      <x:c r="JE41" t="n">
        <x:f>IF(AND('Calculations'!EM41&lt;&gt;"",'Calculations'!$JJ$2&lt;&gt;"All",'Calculations'!$JJ$2&lt;&gt;"",'Calculations'!HF41='Calculations'!$JJ$2,'Calculations'!HL41=0,'Calculations'!JD41&gt;0),MAX('Calculations'!$JE$12:JE40)+1,0)</x:f>
        <x:v>0</x:v>
      </x:c>
      <x:c r="JF41" t="str">
        <x:f>IF('Calculations'!EM41="","",IFERROR(IF(INDEX(INDIRECT("'WCM Calibration Final'!$G$1:$G$2000"),'Calculations'!$EM41)="","",TRIM(INDEX(INDIRECT("'WCM Calibration Final'!$G$1:$G$2000"),'Calculations'!$EM41)&amp;"")),""))</x:f>
      </x:c>
      <x:c r="JQ41" t="n">
        <x:f>IF(OR('Calculations'!BM41=0,NOT('Calculations'!$AG$2),'Calculations'!$AG$8&gt;0),0,IF(OR('Dashboard'!$B$7="All",'Calculations'!HN41='Dashboard'!$B$7),IF('Calculations'!$JJ$2="All",1,IF(AND('Calculations'!HF41='Calculations'!$JJ$2,'Calculations'!HL41=0),1,0)),0))</x:f>
        <x:v>0</x:v>
      </x:c>
    </x:row>
    <x:row r="42">
      <x:c r="AF42" s="4" t="str">
        <x:v>Rating</x:v>
      </x:c>
      <x:c r="AG42" s="4" t="str">
        <x:v>Count</x:v>
      </x:c>
      <x:c r="AH42" s="4" t="str">
        <x:v>Share</x:v>
      </x:c>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t="n">
        <x:f>IF('Calculations'!$EM42="",0,IF(OR(IFERROR(INDEX(INDIRECT("'WCM Calibration Final'!$A$1:$A$2000"),'Calculations'!$EM42)&lt;&gt;"",FALSE),IFERROR(INDEX(INDIRECT("'WCM Calibration Final'!$B$1:$B$2000"),'Calculations'!$EM42)&lt;&gt;"",FALSE),IFERROR(INDEX(INDIRECT("'WCM Calibration Final'!$C$1:$C$2000"),'Calculations'!$EM42)&lt;&gt;"",FALSE)),1,0))</x:f>
        <x:v>0</x:v>
      </x:c>
      <x:c r="BN42" s="4" t="n">
        <x:f>IF(AND('Calculations'!BM42=1,'Calculations'!$AG$2,'Calculations'!$EN42=1),1,0)</x:f>
        <x:v>0</x:v>
      </x:c>
      <x:c r="BO42" s="4" t="str">
        <x:f>IF('Calculations'!BM42=0,"",IFERROR(IF(AND(VALUE(INDEX(INDIRECT("'WCM Calibration Final'!$K$1:$K$2000"),'Calculations'!$EM42))&gt;=1,VALUE(INDEX(INDIRECT("'WCM Calibration Final'!$K$1:$K$2000"),'Calculations'!$EM42))&lt;=4,MOD(VALUE(INDEX(INDIRECT("'WCM Calibration Final'!$K$1:$K$2000"),'Calculations'!$EM42)),1)=0),VALUE(INDEX(INDIRECT("'WCM Calibration Final'!$K$1:$K$2000"),'Calculations'!$EM42)),""),""))</x:f>
      </x:c>
      <x:c r="BP42" s="4" t="str">
        <x:f>IF('Calculations'!BM42=0,"",IFERROR(IF(AND(VALUE(INDEX(INDIRECT("'WCM Calibration Final'!$L$1:$L$2000"),'Calculations'!$EM42))&gt;=1,VALUE(INDEX(INDIRECT("'WCM Calibration Final'!$L$1:$L$2000"),'Calculations'!$EM42))&lt;=4,MOD(VALUE(INDEX(INDIRECT("'WCM Calibration Final'!$L$1:$L$2000"),'Calculations'!$EM42)),1)=0),VALUE(INDEX(INDIRECT("'WCM Calibration Final'!$L$1:$L$2000"),'Calculations'!$EM42)),""),""))</x:f>
      </x:c>
      <x:c r="BQ42" s="4"/>
      <x:c r="BR42" s="4"/>
      <x:c r="BS42" s="4"/>
      <x:c r="BT42" s="4" t="n">
        <x:f>IF(AND('Calculations'!BM42=1,ISNUMBER('Calculations'!BO42),ISNUMBER('Calculations'!BP42)),1,0)</x:f>
        <x:v>0</x:v>
      </x:c>
      <x:c r="BU42" s="4" t="str">
        <x:f>IF('Calculations'!BM42=0,"",'Calculations'!$EO42)</x:f>
      </x:c>
      <x:c r="BV42" s="4" t="str">
        <x:f>IF('Calculations'!BM42=0,"",IFERROR(IF(OR(INDEX(INDIRECT("'WCM Calibration Final'!$H$1:$H$2000"),'Calculations'!$EM42)="MANAGING DIRECTOR",INDEX(INDIRECT("'WCM Calibration Final'!$H$1:$H$2000"),'Calculations'!$EM42)="DIRECTOR",INDEX(INDIRECT("'WCM Calibration Final'!$H$1:$H$2000"),'Calculations'!$EM42)="SENIOR VICE PRESIDENT",INDEX(INDIRECT("'WCM Calibration Final'!$H$1:$H$2000"),'Calculations'!$EM42)="VICE PRESIDENT",INDEX(INDIRECT("'WCM Calibration Final'!$H$1:$H$2000"),'Calculations'!$EM42)="ASSISTANT VICE PRESIDENT",INDEX(INDIRECT("'WCM Calibration Final'!$H$1:$H$2000"),'Calculations'!$EM42)="OFFICER"),UPPER(INDEX(INDIRECT("'WCM Calibration Final'!$H$1:$H$2000"),'Calculations'!$EM42)),"Other"),"Other"))</x:f>
      </x:c>
      <x:c r="BW42" s="4"/>
      <x:c r="BX42" s="4"/>
      <x:c r="BY42" s="4" t="n">
        <x:f>IF(AND('Calculations'!BM42=1,'Calculations'!BU42&lt;&gt;"",COUNTIF('Calculations'!$BU$12:BU42,'Calculations'!BU42)=1),MAX('Calculations'!$BY$11:BY41)+1,0)</x:f>
        <x:v>0</x:v>
      </x:c>
      <x:c r="BZ42" s="4" t="str">
        <x:f>IF('Dashboard'!$E$67="What",'Calculations'!BO42,'Calculations'!BP42)</x:f>
      </x:c>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t="str">
        <x:f>IF(31&gt;MAX('Calculations'!$HI$13:$HI$512),"",INDEX('Calculations'!$HN$13:$HN$512,MATCH(31,'Calculations'!$HI$13:$HI$512,0)))</x:f>
      </x:c>
      <x:c r="DB42" s="4" t="str">
        <x:f>IF(31&gt;MAX('Calculations'!$HH$13:$HH$512),"",INDEX('Calculations'!$HJ$13:$HJ$512,MATCH(31,'Calculations'!$HH$13:$HH$512,0)))</x:f>
      </x:c>
      <x:c r="DC42" s="4" t="str">
        <x:f>IF(ROW()-11&gt;MAX('Calculations'!$BY$13:$BY$512),"",INDEX('Calculations'!$BU$13:$BU$512,MATCH(ROW()-11,'Calculations'!$BY$13:$BY$512,0)))</x:f>
      </x:c>
      <x:c r="DD42" s="4" t="str">
        <x:f>IF(31&gt;MAX('Calculations'!$IK$13:$IK$512),"",INDEX('Calculations'!$HK$13:$HK$512,MATCH(31,'Calculations'!$IK$13:$IK$512,0)))</x:f>
      </x:c>
      <x:c r="DE42" s="4" t="str">
        <x:f>'Calculations'!DC42</x:f>
      </x:c>
      <x:c r="DF42" s="4" t="str">
        <x:f>IF('Calculations'!DE42="","",COUNTIFS('Calculations'!$BN$13:$BN$512,1,'Calculations'!$BU$13:$BU$512,'Calculations'!DE42))</x:f>
      </x:c>
      <x:c r="DG42" s="4" t="str">
        <x:f>IF('Calculations'!DE42="","",COUNTIFS('Calculations'!$BN$13:$BN$512,1,'Calculations'!$BU$13:$BU$512,'Calculations'!DE42,'Calculations'!$BT$13:$BT$512,1))</x:f>
      </x:c>
      <x:c r="DH42" s="4" t="str">
        <x:f>IF('Calculations'!DE42="","",'Calculations'!DF42-'Calculations'!DG42)</x:f>
      </x:c>
      <x:c r="DI42" s="4" t="str">
        <x:f>IF(OR('Calculations'!DE42="",'Calculations'!DF42=0),"",'Calculations'!DG42/'Calculations'!DF42)</x:f>
      </x:c>
      <x:c r="DJ42" s="4" t="str">
        <x:f>IF('Calculations'!DE42="","",COUNTIFS('Calculations'!$BN$13:$BN$512,1,'Calculations'!$BU$13:$BU$512,'Calculations'!DE42,'Calculations'!$BT$13:$BT$512,1,'Calculations'!$EE$13:$EE$512,"High"))</x:f>
      </x:c>
      <x:c r="DK42" s="4" t="str">
        <x:f>IF('Calculations'!DE42="","",COUNTIFS('Calculations'!$BN$13:$BN$512,1,'Calculations'!$BU$13:$BU$512,'Calculations'!DE42,'Calculations'!$BT$13:$BT$512,1,'Calculations'!$EE$13:$EE$512,"Strong"))</x:f>
      </x:c>
      <x:c r="DL42" s="4" t="str">
        <x:f>IF('Calculations'!DE42="","",COUNTIFS('Calculations'!$BN$13:$BN$512,1,'Calculations'!$BU$13:$BU$512,'Calculations'!DE42,'Calculations'!$BT$13:$BT$512,1,'Calculations'!$EE$13:$EE$512,"Solid"))</x:f>
      </x:c>
      <x:c r="DM42" s="4" t="str">
        <x:f>IF('Calculations'!DE42="","",COUNTIFS('Calculations'!$BN$13:$BN$512,1,'Calculations'!$BU$13:$BU$512,'Calculations'!DE42,'Calculations'!$BT$13:$BT$512,1,'Calculations'!$EE$13:$EE$512,"Low"))</x:f>
      </x:c>
      <x:c r="DN42" s="4" t="str">
        <x:f>IF('Calculations'!DE42="","",COUNTIFS('Calculations'!$BN$13:$BN$512,1,'Calculations'!$BU$13:$BU$512,'Calculations'!DE42,'Calculations'!$EP$13:$EP$512,1))</x:f>
      </x:c>
      <x:c r="DO42" s="4" t="str">
        <x:f>IF(OR('Calculations'!DE42="",'Calculations'!DG42=0),"",('Calculations'!DJ42+'Calculations'!DK42)/'Calculations'!DG42)</x:f>
      </x:c>
      <x:c r="DP42" s="4" t="n">
        <x:f>IF(AND('Calculations'!DE42&lt;&gt;"",'Calculations'!DF42&gt;0),COUNTIF('Calculations'!$DF$12:DF42,"&gt;0"),0)</x:f>
        <x:v>0</x:v>
      </x:c>
      <x:c r="DQ42" s="4" t="str">
        <x:f>IF(31&gt;MAX('Calculations'!$HH$13:$HH$512),"",INDEX('Calculations'!$HF$13:$HF$512,MATCH(31,'Calculations'!$HH$13:$HH$512,0)))</x:f>
      </x:c>
      <x:c r="DR42" s="4" t="str">
        <x:f>IF(31&gt;MAX('Calculations'!$IK$13:$IK$512),"",INDEX('Calculations'!$HE$13:$HE$512,MATCH(31,'Calculations'!$IK$13:$IK$512,0)))</x:f>
      </x:c>
      <x:c r="DS42" s="4"/>
      <x:c r="DT42" s="4"/>
      <x:c r="DU42" s="4"/>
      <x:c r="DV42" s="4"/>
      <x:c r="DW42" s="4"/>
      <x:c r="DX42" s="4"/>
      <x:c r="DY42" s="4"/>
      <x:c r="DZ42" s="4"/>
      <x:c r="EA42" s="4"/>
      <x:c r="EB42" s="4"/>
      <x:c r="EC42" s="4"/>
      <x:c r="ED42" s="4"/>
      <x:c r="EE42" s="4" t="str">
        <x:f>IF('Calculations'!BT42=0,"Not Rated",IF(OR('Calculations'!BO42&gt;=4,'Calculations'!BP42&gt;=4),"Low",IF('Calculations'!BO42+'Calculations'!BP42&lt;=3,"High",IF('Calculations'!BO42+'Calculations'!BP42&lt;=4,"Strong","Solid"))))</x:f>
        <x:v>Not Rated</x:v>
      </x:c>
      <x:c r="EF42" s="4"/>
      <x:c r="EG42" s="4"/>
      <x:c r="EH42" s="4"/>
      <x:c r="EI42" s="4"/>
      <x:c r="EJ42" s="4"/>
      <x:c r="EK42" s="4"/>
      <x:c r="EL42" s="4"/>
      <x:c r="EM42" s="4" t="str">
        <x:f>IF(30&gt;'Calculations'!$JB$2000,"",INDEX('Calculations'!$JA$12:$JA$2000,MATCH(30,'Calculations'!$JB$12:$JB$2000,0)))</x:f>
      </x:c>
      <x:c r="EN42" s="4" t="n">
        <x:f>IF(OR('Calculations'!EM42="",'Calculations'!$AG$8&gt;0,AND('Calculations'!$EF$2&lt;&gt;"All",'Calculations'!HE42='Calculations'!$EF$2),AND('Calculations'!$EF$3&lt;&gt;"All",'Calculations'!HE42='Calculations'!$EF$3)),0,IF(OR('Dashboard'!$B$7="All",'Calculations'!HN42='Dashboard'!$B$7),IF('Calculations'!$EF$2="All",1,IF('Calculations'!HL42&gt;0,0,IF(COUNTIF('Calculations'!HO42:II42,"="&amp;SUBSTITUTE(SUBSTITUTE(SUBSTITUTE('Calculations'!$EF$2,"~","~~"),"*","~*"),"?","~?"))=0,0,IF('Calculations'!$EF$3="All",1,IF(COUNTIF('Calculations'!HO42:II42,"="&amp;SUBSTITUTE(SUBSTITUTE(SUBSTITUTE('Calculations'!$EF$3,"~","~~"),"*","~*"),"?","~?"))&gt;0,1,0))))),0))</x:f>
        <x:v>0</x:v>
      </x:c>
      <x:c r="EO42" s="4" t="str">
        <x:f>IF('Calculations'!IJ42="","",IF('Calculations'!IJ42="!UNRESOLVED","Unresolved hierarchy",IFERROR(INDEX('Calculations'!$HK$13:$HK$512,MATCH('Calculations'!IJ42,'Calculations'!$HE$13:$HE$512,0)),IFERROR(INDEX('Calculations'!$HJ$13:$HJ$512,MATCH('Calculations'!IJ42,'Calculations'!$HF$13:$HF$512,0)),'Calculations'!IJ42))))</x:f>
      </x:c>
      <x:c r="EP42" s="4" t="n">
        <x:f>IF(AND('Calculations'!EM42&lt;&gt;"",'Calculations'!HF42='Calculations'!IJ42),1,0)</x:f>
        <x:v>0</x:v>
      </x:c>
      <x:c r="EQ42" s="4"/>
      <x:c r="ER42" s="4"/>
      <x:c r="ES42" s="4"/>
      <x:c r="ET42" s="4"/>
      <x:c r="EU42" s="4"/>
      <x:c r="EV42" s="4"/>
      <x:c r="EW42" s="4"/>
      <x:c r="EX42" s="4"/>
      <x:c r="EY42" s="4"/>
      <x:c r="EZ42" s="4"/>
      <x:c r="FA42" s="4"/>
      <x:c r="FB42" s="4"/>
      <x:c r="FC42" s="4"/>
      <x:c r="FD42" s="4"/>
      <x:c r="FE42" s="4"/>
      <x:c r="FF42" s="4"/>
      <x:c r="FG42" s="4"/>
      <x:c r="FH42" s="4"/>
      <x:c r="FI42" s="4"/>
      <x:c r="FJ42" s="4"/>
      <x:c r="FK42" s="4"/>
      <x:c r="FL42" s="4"/>
      <x:c r="FM42" s="4"/>
      <x:c r="FN42" s="4"/>
      <x:c r="FO42" s="4"/>
      <x:c r="GA42" s="71"/>
      <x:c r="GB42" s="71"/>
      <x:c r="GC42" s="71"/>
      <x:c r="GD42" s="71"/>
      <x:c r="GE42" s="71"/>
      <x:c r="GF42" s="71"/>
      <x:c r="GG42" s="71"/>
      <x:c r="GH42" s="71"/>
      <x:c r="GI42" s="71"/>
      <x:c r="GJ42" s="71"/>
      <x:c r="GK42" s="71"/>
      <x:c r="GL42" s="71"/>
      <x:c r="GM42" s="71"/>
      <x:c r="GN42" s="71"/>
      <x:c r="GO42" s="71"/>
      <x:c r="GP42" s="71"/>
      <x:c r="GQ42" s="71"/>
      <x:c r="GR42" s="71"/>
      <x:c r="GS42" s="71"/>
      <x:c r="GT42" s="71"/>
      <x:c r="GU42" s="71"/>
      <x:c r="GV42" s="71"/>
      <x:c r="GW42" s="71"/>
      <x:c r="GX42" s="71"/>
      <x:c r="GY42" s="71"/>
      <x:c r="GZ42" s="71"/>
      <x:c r="HA42" s="71"/>
      <x:c r="HB42" s="71"/>
      <x:c r="HC42" s="71"/>
      <x:c r="HD42" s="71"/>
      <x:c r="HE42" t="str">
        <x:f>IF('Calculations'!EM42="","",IF(IFERROR(IF(INDEX(INDIRECT("'WCM Calibration Final'!$A$1:$A$2000"),'Calculations'!$EM42)="","",TRIM(INDEX(INDIRECT("'WCM Calibration Final'!$A$1:$A$2000"),'Calculations'!$EM42)&amp;"")),"")&lt;&gt;"","G:"&amp;IFERROR(TEXT(1*INDEX(INDIRECT("'WCM Calibration Final'!$A$1:$A$2000"),'Calculations'!$EM42),"0"),UPPER(IFERROR(IF(INDEX(INDIRECT("'WCM Calibration Final'!$A$1:$A$2000"),'Calculations'!$EM42)="","",TRIM(INDEX(INDIRECT("'WCM Calibration Final'!$A$1:$A$2000"),'Calculations'!$EM42)&amp;"")),""))),IF(IFERROR(IF(INDEX(INDIRECT("'WCM Calibration Final'!$C$1:$C$2000"),'Calculations'!$EM42)="","",TRIM(INDEX(INDIRECT("'WCM Calibration Final'!$C$1:$C$2000"),'Calculations'!$EM42)&amp;"")),"")&lt;&gt;"","S:"&amp;UPPER(IFERROR(IF(INDEX(INDIRECT("'WCM Calibration Final'!$C$1:$C$2000"),'Calculations'!$EM42)="","",TRIM(INDEX(INDIRECT("'WCM Calibration Final'!$C$1:$C$2000"),'Calculations'!$EM42)&amp;"")),"")),"R:"&amp;'Calculations'!EM42)))</x:f>
      </x:c>
      <x:c r="HF42" t="str">
        <x:f>IF('Calculations'!EM42="","",IF(IFERROR(IF(INDEX(INDIRECT("'WCM Calibration Final'!$D$1:$D$2000"),'Calculations'!$EM42)="","",TRIM(INDEX(INDIRECT("'WCM Calibration Final'!$D$1:$D$2000"),'Calculations'!$EM42)&amp;"")),"")&lt;&gt;"","G:"&amp;IFERROR(TEXT(1*INDEX(INDIRECT("'WCM Calibration Final'!$D$1:$D$2000"),'Calculations'!$EM42),"0"),UPPER(IFERROR(IF(INDEX(INDIRECT("'WCM Calibration Final'!$D$1:$D$2000"),'Calculations'!$EM42)="","",TRIM(INDEX(INDIRECT("'WCM Calibration Final'!$D$1:$D$2000"),'Calculations'!$EM42)&amp;"")),""))),IF(IFERROR(IF(INDEX(INDIRECT("'WCM Calibration Final'!$E$1:$E$2000"),'Calculations'!$EM42)="","",TRIM(INDEX(INDIRECT("'WCM Calibration Final'!$E$1:$E$2000"),'Calculations'!$EM42)&amp;"")),"")="","",IF(COUNTIF('Calculations'!$HG$13:$HG$512,"="&amp;SUBSTITUTE(SUBSTITUTE(SUBSTITUTE(IFERROR(IF(INDEX(INDIRECT("'WCM Calibration Final'!$E$1:$E$2000"),'Calculations'!$EM42)="","",TRIM(INDEX(INDIRECT("'WCM Calibration Final'!$E$1:$E$2000"),'Calculations'!$EM42)&amp;"")),""),"~","~~"),"*","~*"),"?","~?"))=1,INDEX('Calculations'!$HE$13:$HE$512,MATCH(IFERROR(IF(INDEX(INDIRECT("'WCM Calibration Final'!$E$1:$E$2000"),'Calculations'!$EM42)="","",TRIM(INDEX(INDIRECT("'WCM Calibration Final'!$E$1:$E$2000"),'Calculations'!$EM42)&amp;"")),""),'Calculations'!$HG$13:$HG$512,0)),IF(COUNTIF('Calculations'!$HG$13:$HG$512,"="&amp;SUBSTITUTE(SUBSTITUTE(SUBSTITUTE(IFERROR(IF(INDEX(INDIRECT("'WCM Calibration Final'!$E$1:$E$2000"),'Calculations'!$EM42)="","",TRIM(INDEX(INDIRECT("'WCM Calibration Final'!$E$1:$E$2000"),'Calculations'!$EM42)&amp;"")),""),"~","~~"),"*","~*"),"?","~?"))&gt;1,"!AMBIG","X:"&amp;IFERROR(IF(INDEX(INDIRECT("'WCM Calibration Final'!$E$1:$E$2000"),'Calculations'!$EM42)="","",TRIM(INDEX(INDIRECT("'WCM Calibration Final'!$E$1:$E$2000"),'Calculations'!$EM42)&amp;"")),""))))))</x:f>
      </x:c>
      <x:c r="HG42" t="str">
        <x:f>IF('Calculations'!EM42="","",IFERROR(IF(INDEX(INDIRECT("'WCM Calibration Final'!$B$1:$B$2000"),'Calculations'!$EM42)="","",TRIM(INDEX(INDIRECT("'WCM Calibration Final'!$B$1:$B$2000"),'Calculations'!$EM42)&amp;"")),""))</x:f>
      </x:c>
      <x:c r="HH42" t="n">
        <x:f>IF(AND('Calculations'!JC42&gt;0,COUNTIF('Calculations'!$HF$12:HF42,"="&amp;SUBSTITUTE(SUBSTITUTE(SUBSTITUTE('Calculations'!HF42,"~","~~"),"*","~*"),"?","~?"))=1),MAX('Calculations'!$HH$12:HH41)+1,0)</x:f>
        <x:v>0</x:v>
      </x:c>
      <x:c r="HI42" t="n">
        <x:f>IF(AND('Calculations'!HN42&lt;&gt;"",COUNTIF('Calculations'!$HN$12:HN42,"="&amp;SUBSTITUTE(SUBSTITUTE(SUBSTITUTE('Calculations'!HN42,"~","~~"),"*","~*"),"?","~?"))=1),MAX('Calculations'!$HI$12:HI41)+1,0)</x:f>
        <x:v>0</x:v>
      </x:c>
      <x:c r="HJ42" t="str">
        <x:f>IF('Calculations'!HF42="","",IF(COUNTIF('Calculations'!$HE$13:$HE$512,"="&amp;SUBSTITUTE(SUBSTITUTE(SUBSTITUTE('Calculations'!HF42,"~","~~"),"*","~*"),"?","~?"))=1,INDEX('Calculations'!$HK$13:$HK$512,MATCH('Calculations'!HF42,'Calculations'!$HE$13:$HE$512,0)),IFERROR(IF(INDEX(INDIRECT("'WCM Calibration Final'!$E$1:$E$2000"),'Calculations'!$EM42)="","",TRIM(INDEX(INDIRECT("'WCM Calibration Final'!$E$1:$E$2000"),'Calculations'!$EM42)&amp;"")),"")&amp;" ["&amp;'Calculations'!HF42&amp;"]"))</x:f>
      </x:c>
      <x:c r="HK42" t="str">
        <x:f>IF('Calculations'!EM42="","",'Calculations'!HG42&amp;" ["&amp;'Calculations'!HE42&amp;"]")</x:f>
      </x:c>
      <x:c r="HL42" t="n">
        <x:f>IF('Calculations'!EM42="",0,IF(OR('Calculations'!II42&lt;&gt;"",COUNTIF('Calculations'!$HE$13:$HE$512,"="&amp;SUBSTITUTE(SUBSTITUTE(SUBSTITUTE('Calculations'!HE42,"~","~~"),"*","~*"),"?","~?"))&gt;1),1,0))</x:f>
        <x:v>0</x:v>
      </x:c>
      <x:c r="HM42" t="str">
        <x:f>IF('Calculations'!EM42="","",IF('Calculations'!HL42=1,"!UNRESOLVED",IF('Calculations'!IH42&lt;&gt;"",'Calculations'!IH42,IF('Calculations'!IG42&lt;&gt;"",'Calculations'!IG42,IF('Calculations'!IF42&lt;&gt;"",'Calculations'!IF42,IF('Calculations'!IE42&lt;&gt;"",'Calculations'!IE42,IF('Calculations'!ID42&lt;&gt;"",'Calculations'!ID42,IF('Calculations'!IC42&lt;&gt;"",'Calculations'!IC42,IF('Calculations'!IB42&lt;&gt;"",'Calculations'!IB42,IF('Calculations'!IA42&lt;&gt;"",'Calculations'!IA42,IF('Calculations'!HZ42&lt;&gt;"",'Calculations'!HZ42,IF('Calculations'!HY42&lt;&gt;"",'Calculations'!HY42,IF('Calculations'!HX42&lt;&gt;"",'Calculations'!HX42,IF('Calculations'!HW42&lt;&gt;"",'Calculations'!HW42,IF('Calculations'!HV42&lt;&gt;"",'Calculations'!HV42,IF('Calculations'!HU42&lt;&gt;"",'Calculations'!HU42,IF('Calculations'!HT42&lt;&gt;"",'Calculations'!HT42,IF('Calculations'!HS42&lt;&gt;"",'Calculations'!HS42,IF('Calculations'!HR42&lt;&gt;"",'Calculations'!HR42,IF('Calculations'!HQ42&lt;&gt;"",'Calculations'!HQ42,IF('Calculations'!HP42&lt;&gt;"",'Calculations'!HP42,IF('Calculations'!HO42&lt;&gt;"",'Calculations'!HO42,'Calculations'!HE42))))))))))))))))))))))</x:f>
      </x:c>
      <x:c r="HN42" t="str">
        <x:f>IF('Calculations'!EM42="","",IF(IFERROR(IF(INDEX(INDIRECT("'WCM Calibration Final'!$F$1:$F$2000"),'Calculations'!$EM42)="","",TRIM(INDEX(INDIRECT("'WCM Calibration Final'!$F$1:$F$2000"),'Calculations'!$EM42)&amp;"")),"")="","(Blank)",IFERROR(IF(INDEX(INDIRECT("'WCM Calibration Final'!$F$1:$F$2000"),'Calculations'!$EM42)="","",TRIM(INDEX(INDIRECT("'WCM Calibration Final'!$F$1:$F$2000"),'Calculations'!$EM42)&amp;"")),"")))</x:f>
      </x:c>
      <x:c r="HO42" t="str">
        <x:f>'Calculations'!HF42</x:f>
      </x:c>
      <x:c r="HP42" t="str">
        <x:f>IF('Calculations'!HO42="","",IF('Calculations'!HO42="!AMBIG","!AMBIG",IF(COUNTIF('Calculations'!$HE$13:$HE$512,"="&amp;SUBSTITUTE(SUBSTITUTE(SUBSTITUTE('Calculations'!HO42,"~","~~"),"*","~*"),"?","~?"))&gt;1,"!AMBIG",IFERROR(INDEX('Calculations'!$HF$13:$HF$512,MATCH('Calculations'!HO42,'Calculations'!$HE$13:$HE$512,0)),""))))</x:f>
      </x:c>
      <x:c r="HQ42" t="str">
        <x:f>IF('Calculations'!HP42="","",IF('Calculations'!HP42="!AMBIG","!AMBIG",IF(COUNTIF('Calculations'!$HE$13:$HE$512,"="&amp;SUBSTITUTE(SUBSTITUTE(SUBSTITUTE('Calculations'!HP42,"~","~~"),"*","~*"),"?","~?"))&gt;1,"!AMBIG",IFERROR(INDEX('Calculations'!$HF$13:$HF$512,MATCH('Calculations'!HP42,'Calculations'!$HE$13:$HE$512,0)),""))))</x:f>
      </x:c>
      <x:c r="HR42" t="str">
        <x:f>IF('Calculations'!HQ42="","",IF('Calculations'!HQ42="!AMBIG","!AMBIG",IF(COUNTIF('Calculations'!$HE$13:$HE$512,"="&amp;SUBSTITUTE(SUBSTITUTE(SUBSTITUTE('Calculations'!HQ42,"~","~~"),"*","~*"),"?","~?"))&gt;1,"!AMBIG",IFERROR(INDEX('Calculations'!$HF$13:$HF$512,MATCH('Calculations'!HQ42,'Calculations'!$HE$13:$HE$512,0)),""))))</x:f>
      </x:c>
      <x:c r="HS42" t="str">
        <x:f>IF('Calculations'!HR42="","",IF('Calculations'!HR42="!AMBIG","!AMBIG",IF(COUNTIF('Calculations'!$HE$13:$HE$512,"="&amp;SUBSTITUTE(SUBSTITUTE(SUBSTITUTE('Calculations'!HR42,"~","~~"),"*","~*"),"?","~?"))&gt;1,"!AMBIG",IFERROR(INDEX('Calculations'!$HF$13:$HF$512,MATCH('Calculations'!HR42,'Calculations'!$HE$13:$HE$512,0)),""))))</x:f>
      </x:c>
      <x:c r="HT42" t="str">
        <x:f>IF('Calculations'!HS42="","",IF('Calculations'!HS42="!AMBIG","!AMBIG",IF(COUNTIF('Calculations'!$HE$13:$HE$512,"="&amp;SUBSTITUTE(SUBSTITUTE(SUBSTITUTE('Calculations'!HS42,"~","~~"),"*","~*"),"?","~?"))&gt;1,"!AMBIG",IFERROR(INDEX('Calculations'!$HF$13:$HF$512,MATCH('Calculations'!HS42,'Calculations'!$HE$13:$HE$512,0)),""))))</x:f>
      </x:c>
      <x:c r="HU42" t="str">
        <x:f>IF('Calculations'!HT42="","",IF('Calculations'!HT42="!AMBIG","!AMBIG",IF(COUNTIF('Calculations'!$HE$13:$HE$512,"="&amp;SUBSTITUTE(SUBSTITUTE(SUBSTITUTE('Calculations'!HT42,"~","~~"),"*","~*"),"?","~?"))&gt;1,"!AMBIG",IFERROR(INDEX('Calculations'!$HF$13:$HF$512,MATCH('Calculations'!HT42,'Calculations'!$HE$13:$HE$512,0)),""))))</x:f>
      </x:c>
      <x:c r="HV42" t="str">
        <x:f>IF('Calculations'!HU42="","",IF('Calculations'!HU42="!AMBIG","!AMBIG",IF(COUNTIF('Calculations'!$HE$13:$HE$512,"="&amp;SUBSTITUTE(SUBSTITUTE(SUBSTITUTE('Calculations'!HU42,"~","~~"),"*","~*"),"?","~?"))&gt;1,"!AMBIG",IFERROR(INDEX('Calculations'!$HF$13:$HF$512,MATCH('Calculations'!HU42,'Calculations'!$HE$13:$HE$512,0)),""))))</x:f>
      </x:c>
      <x:c r="HW42" t="str">
        <x:f>IF('Calculations'!HV42="","",IF('Calculations'!HV42="!AMBIG","!AMBIG",IF(COUNTIF('Calculations'!$HE$13:$HE$512,"="&amp;SUBSTITUTE(SUBSTITUTE(SUBSTITUTE('Calculations'!HV42,"~","~~"),"*","~*"),"?","~?"))&gt;1,"!AMBIG",IFERROR(INDEX('Calculations'!$HF$13:$HF$512,MATCH('Calculations'!HV42,'Calculations'!$HE$13:$HE$512,0)),""))))</x:f>
      </x:c>
      <x:c r="HX42" t="str">
        <x:f>IF('Calculations'!HW42="","",IF('Calculations'!HW42="!AMBIG","!AMBIG",IF(COUNTIF('Calculations'!$HE$13:$HE$512,"="&amp;SUBSTITUTE(SUBSTITUTE(SUBSTITUTE('Calculations'!HW42,"~","~~"),"*","~*"),"?","~?"))&gt;1,"!AMBIG",IFERROR(INDEX('Calculations'!$HF$13:$HF$512,MATCH('Calculations'!HW42,'Calculations'!$HE$13:$HE$512,0)),""))))</x:f>
      </x:c>
      <x:c r="HY42" t="str">
        <x:f>IF('Calculations'!HX42="","",IF('Calculations'!HX42="!AMBIG","!AMBIG",IF(COUNTIF('Calculations'!$HE$13:$HE$512,"="&amp;SUBSTITUTE(SUBSTITUTE(SUBSTITUTE('Calculations'!HX42,"~","~~"),"*","~*"),"?","~?"))&gt;1,"!AMBIG",IFERROR(INDEX('Calculations'!$HF$13:$HF$512,MATCH('Calculations'!HX42,'Calculations'!$HE$13:$HE$512,0)),""))))</x:f>
      </x:c>
      <x:c r="HZ42" t="str">
        <x:f>IF('Calculations'!HY42="","",IF('Calculations'!HY42="!AMBIG","!AMBIG",IF(COUNTIF('Calculations'!$HE$13:$HE$512,"="&amp;SUBSTITUTE(SUBSTITUTE(SUBSTITUTE('Calculations'!HY42,"~","~~"),"*","~*"),"?","~?"))&gt;1,"!AMBIG",IFERROR(INDEX('Calculations'!$HF$13:$HF$512,MATCH('Calculations'!HY42,'Calculations'!$HE$13:$HE$512,0)),""))))</x:f>
      </x:c>
      <x:c r="IA42" t="str">
        <x:f>IF('Calculations'!HZ42="","",IF('Calculations'!HZ42="!AMBIG","!AMBIG",IF(COUNTIF('Calculations'!$HE$13:$HE$512,"="&amp;SUBSTITUTE(SUBSTITUTE(SUBSTITUTE('Calculations'!HZ42,"~","~~"),"*","~*"),"?","~?"))&gt;1,"!AMBIG",IFERROR(INDEX('Calculations'!$HF$13:$HF$512,MATCH('Calculations'!HZ42,'Calculations'!$HE$13:$HE$512,0)),""))))</x:f>
      </x:c>
      <x:c r="IB42" t="str">
        <x:f>IF('Calculations'!IA42="","",IF('Calculations'!IA42="!AMBIG","!AMBIG",IF(COUNTIF('Calculations'!$HE$13:$HE$512,"="&amp;SUBSTITUTE(SUBSTITUTE(SUBSTITUTE('Calculations'!IA42,"~","~~"),"*","~*"),"?","~?"))&gt;1,"!AMBIG",IFERROR(INDEX('Calculations'!$HF$13:$HF$512,MATCH('Calculations'!IA42,'Calculations'!$HE$13:$HE$512,0)),""))))</x:f>
      </x:c>
      <x:c r="IC42" t="str">
        <x:f>IF('Calculations'!IB42="","",IF('Calculations'!IB42="!AMBIG","!AMBIG",IF(COUNTIF('Calculations'!$HE$13:$HE$512,"="&amp;SUBSTITUTE(SUBSTITUTE(SUBSTITUTE('Calculations'!IB42,"~","~~"),"*","~*"),"?","~?"))&gt;1,"!AMBIG",IFERROR(INDEX('Calculations'!$HF$13:$HF$512,MATCH('Calculations'!IB42,'Calculations'!$HE$13:$HE$512,0)),""))))</x:f>
      </x:c>
      <x:c r="ID42" t="str">
        <x:f>IF('Calculations'!IC42="","",IF('Calculations'!IC42="!AMBIG","!AMBIG",IF(COUNTIF('Calculations'!$HE$13:$HE$512,"="&amp;SUBSTITUTE(SUBSTITUTE(SUBSTITUTE('Calculations'!IC42,"~","~~"),"*","~*"),"?","~?"))&gt;1,"!AMBIG",IFERROR(INDEX('Calculations'!$HF$13:$HF$512,MATCH('Calculations'!IC42,'Calculations'!$HE$13:$HE$512,0)),""))))</x:f>
      </x:c>
      <x:c r="IE42" t="str">
        <x:f>IF('Calculations'!ID42="","",IF('Calculations'!ID42="!AMBIG","!AMBIG",IF(COUNTIF('Calculations'!$HE$13:$HE$512,"="&amp;SUBSTITUTE(SUBSTITUTE(SUBSTITUTE('Calculations'!ID42,"~","~~"),"*","~*"),"?","~?"))&gt;1,"!AMBIG",IFERROR(INDEX('Calculations'!$HF$13:$HF$512,MATCH('Calculations'!ID42,'Calculations'!$HE$13:$HE$512,0)),""))))</x:f>
      </x:c>
      <x:c r="IF42" t="str">
        <x:f>IF('Calculations'!IE42="","",IF('Calculations'!IE42="!AMBIG","!AMBIG",IF(COUNTIF('Calculations'!$HE$13:$HE$512,"="&amp;SUBSTITUTE(SUBSTITUTE(SUBSTITUTE('Calculations'!IE42,"~","~~"),"*","~*"),"?","~?"))&gt;1,"!AMBIG",IFERROR(INDEX('Calculations'!$HF$13:$HF$512,MATCH('Calculations'!IE42,'Calculations'!$HE$13:$HE$512,0)),""))))</x:f>
      </x:c>
      <x:c r="IG42" t="str">
        <x:f>IF('Calculations'!IF42="","",IF('Calculations'!IF42="!AMBIG","!AMBIG",IF(COUNTIF('Calculations'!$HE$13:$HE$512,"="&amp;SUBSTITUTE(SUBSTITUTE(SUBSTITUTE('Calculations'!IF42,"~","~~"),"*","~*"),"?","~?"))&gt;1,"!AMBIG",IFERROR(INDEX('Calculations'!$HF$13:$HF$512,MATCH('Calculations'!IF42,'Calculations'!$HE$13:$HE$512,0)),""))))</x:f>
      </x:c>
      <x:c r="IH42" t="str">
        <x:f>IF('Calculations'!IG42="","",IF('Calculations'!IG42="!AMBIG","!AMBIG",IF(COUNTIF('Calculations'!$HE$13:$HE$512,"="&amp;SUBSTITUTE(SUBSTITUTE(SUBSTITUTE('Calculations'!IG42,"~","~~"),"*","~*"),"?","~?"))&gt;1,"!AMBIG",IFERROR(INDEX('Calculations'!$HF$13:$HF$512,MATCH('Calculations'!IG42,'Calculations'!$HE$13:$HE$512,0)),""))))</x:f>
      </x:c>
      <x:c r="II42" t="str">
        <x:f>IF('Calculations'!IH42="","",IF('Calculations'!IH42="!AMBIG","!AMBIG",IF(COUNTIF('Calculations'!$HE$13:$HE$512,"="&amp;SUBSTITUTE(SUBSTITUTE(SUBSTITUTE('Calculations'!IH42,"~","~~"),"*","~*"),"?","~?"))&gt;1,"!AMBIG",IFERROR(INDEX('Calculations'!$HF$13:$HF$512,MATCH('Calculations'!IH42,'Calculations'!$HE$13:$HE$512,0)),""))))</x:f>
      </x:c>
      <x:c r="IJ42" t="str">
        <x:f>IF('Calculations'!EM42="","",IF('Calculations'!$EF$2="All",'Calculations'!HM42,IF('Calculations'!HL42=1,"",IFERROR(IF(MATCH('Calculations'!$EF$2,'Calculations'!HO42:II42,0)=1,'Calculations'!HE42,INDEX('Calculations'!HO42:II42,1,MATCH('Calculations'!$EF$2,'Calculations'!HO42:II42,0)-1)),""))))</x:f>
      </x:c>
      <x:c r="IK42" t="n">
        <x:f>IF(AND('Calculations'!EM42&lt;&gt;"",'Calculations'!$EF$2&lt;&gt;"All",'Calculations'!HF42='Calculations'!$EF$2,'Calculations'!HL42=0,'Calculations'!JD42&gt;0),MAX('Calculations'!$IK$12:IK41)+1,0)</x:f>
        <x:v>0</x:v>
      </x:c>
      <x:c r="JA42" t="n">
        <x:f>IF(OR(IFERROR(INDIRECT("'WCM Calibration Final'!$A$42")&lt;&gt;"",FALSE),IFERROR(INDIRECT("'WCM Calibration Final'!$B$42")&lt;&gt;"",FALSE),IFERROR(INDIRECT("'WCM Calibration Final'!$C$42")&lt;&gt;"",FALSE)),42,0)</x:f>
        <x:v>0</x:v>
      </x:c>
      <x:c r="JB42" t="n">
        <x:f>'Calculations'!JB41+IF('Calculations'!JA42&gt;0,1,0)</x:f>
        <x:v>0</x:v>
      </x:c>
      <x:c r="JC42" t="n">
        <x:f>IF(OR('Calculations'!HF42="",'Calculations'!HF42="!AMBIG"),0,IF('Dashboard'!$B$7="All",1,COUNTIFS('Calculations'!$HO$13:$HO$512,"="&amp;SUBSTITUTE(SUBSTITUTE(SUBSTITUTE('Calculations'!HF42,"~","~~"),"*","~*"),"?","~?"),'Calculations'!$HN$13:$HN$512,"="&amp;SUBSTITUTE(SUBSTITUTE(SUBSTITUTE('Dashboard'!$B$7,"~","~~"),"*","~*"),"?","~?"))+COUNTIFS('Calculations'!$HP$13:$HP$512,"="&amp;SUBSTITUTE(SUBSTITUTE(SUBSTITUTE('Calculations'!HF42,"~","~~"),"*","~*"),"?","~?"),'Calculations'!$HN$13:$HN$512,"="&amp;SUBSTITUTE(SUBSTITUTE(SUBSTITUTE('Dashboard'!$B$7,"~","~~"),"*","~*"),"?","~?"))+COUNTIFS('Calculations'!$HQ$13:$HQ$512,"="&amp;SUBSTITUTE(SUBSTITUTE(SUBSTITUTE('Calculations'!HF42,"~","~~"),"*","~*"),"?","~?"),'Calculations'!$HN$13:$HN$512,"="&amp;SUBSTITUTE(SUBSTITUTE(SUBSTITUTE('Dashboard'!$B$7,"~","~~"),"*","~*"),"?","~?"))+COUNTIFS('Calculations'!$HR$13:$HR$512,"="&amp;SUBSTITUTE(SUBSTITUTE(SUBSTITUTE('Calculations'!HF42,"~","~~"),"*","~*"),"?","~?"),'Calculations'!$HN$13:$HN$512,"="&amp;SUBSTITUTE(SUBSTITUTE(SUBSTITUTE('Dashboard'!$B$7,"~","~~"),"*","~*"),"?","~?"))+COUNTIFS('Calculations'!$HS$13:$HS$512,"="&amp;SUBSTITUTE(SUBSTITUTE(SUBSTITUTE('Calculations'!HF42,"~","~~"),"*","~*"),"?","~?"),'Calculations'!$HN$13:$HN$512,"="&amp;SUBSTITUTE(SUBSTITUTE(SUBSTITUTE('Dashboard'!$B$7,"~","~~"),"*","~*"),"?","~?"))+COUNTIFS('Calculations'!$HT$13:$HT$512,"="&amp;SUBSTITUTE(SUBSTITUTE(SUBSTITUTE('Calculations'!HF42,"~","~~"),"*","~*"),"?","~?"),'Calculations'!$HN$13:$HN$512,"="&amp;SUBSTITUTE(SUBSTITUTE(SUBSTITUTE('Dashboard'!$B$7,"~","~~"),"*","~*"),"?","~?"))+COUNTIFS('Calculations'!$HU$13:$HU$512,"="&amp;SUBSTITUTE(SUBSTITUTE(SUBSTITUTE('Calculations'!HF42,"~","~~"),"*","~*"),"?","~?"),'Calculations'!$HN$13:$HN$512,"="&amp;SUBSTITUTE(SUBSTITUTE(SUBSTITUTE('Dashboard'!$B$7,"~","~~"),"*","~*"),"?","~?"))+COUNTIFS('Calculations'!$HV$13:$HV$512,"="&amp;SUBSTITUTE(SUBSTITUTE(SUBSTITUTE('Calculations'!HF42,"~","~~"),"*","~*"),"?","~?"),'Calculations'!$HN$13:$HN$512,"="&amp;SUBSTITUTE(SUBSTITUTE(SUBSTITUTE('Dashboard'!$B$7,"~","~~"),"*","~*"),"?","~?"))+COUNTIFS('Calculations'!$HW$13:$HW$512,"="&amp;SUBSTITUTE(SUBSTITUTE(SUBSTITUTE('Calculations'!HF42,"~","~~"),"*","~*"),"?","~?"),'Calculations'!$HN$13:$HN$512,"="&amp;SUBSTITUTE(SUBSTITUTE(SUBSTITUTE('Dashboard'!$B$7,"~","~~"),"*","~*"),"?","~?"))+COUNTIFS('Calculations'!$HX$13:$HX$512,"="&amp;SUBSTITUTE(SUBSTITUTE(SUBSTITUTE('Calculations'!HF42,"~","~~"),"*","~*"),"?","~?"),'Calculations'!$HN$13:$HN$512,"="&amp;SUBSTITUTE(SUBSTITUTE(SUBSTITUTE('Dashboard'!$B$7,"~","~~"),"*","~*"),"?","~?"))+COUNTIFS('Calculations'!$HY$13:$HY$512,"="&amp;SUBSTITUTE(SUBSTITUTE(SUBSTITUTE('Calculations'!HF42,"~","~~"),"*","~*"),"?","~?"),'Calculations'!$HN$13:$HN$512,"="&amp;SUBSTITUTE(SUBSTITUTE(SUBSTITUTE('Dashboard'!$B$7,"~","~~"),"*","~*"),"?","~?"))+COUNTIFS('Calculations'!$HZ$13:$HZ$512,"="&amp;SUBSTITUTE(SUBSTITUTE(SUBSTITUTE('Calculations'!HF42,"~","~~"),"*","~*"),"?","~?"),'Calculations'!$HN$13:$HN$512,"="&amp;SUBSTITUTE(SUBSTITUTE(SUBSTITUTE('Dashboard'!$B$7,"~","~~"),"*","~*"),"?","~?"))+COUNTIFS('Calculations'!$IA$13:$IA$512,"="&amp;SUBSTITUTE(SUBSTITUTE(SUBSTITUTE('Calculations'!HF42,"~","~~"),"*","~*"),"?","~?"),'Calculations'!$HN$13:$HN$512,"="&amp;SUBSTITUTE(SUBSTITUTE(SUBSTITUTE('Dashboard'!$B$7,"~","~~"),"*","~*"),"?","~?"))+COUNTIFS('Calculations'!$IB$13:$IB$512,"="&amp;SUBSTITUTE(SUBSTITUTE(SUBSTITUTE('Calculations'!HF42,"~","~~"),"*","~*"),"?","~?"),'Calculations'!$HN$13:$HN$512,"="&amp;SUBSTITUTE(SUBSTITUTE(SUBSTITUTE('Dashboard'!$B$7,"~","~~"),"*","~*"),"?","~?"))+COUNTIFS('Calculations'!$IC$13:$IC$512,"="&amp;SUBSTITUTE(SUBSTITUTE(SUBSTITUTE('Calculations'!HF42,"~","~~"),"*","~*"),"?","~?"),'Calculations'!$HN$13:$HN$512,"="&amp;SUBSTITUTE(SUBSTITUTE(SUBSTITUTE('Dashboard'!$B$7,"~","~~"),"*","~*"),"?","~?"))+COUNTIFS('Calculations'!$ID$13:$ID$512,"="&amp;SUBSTITUTE(SUBSTITUTE(SUBSTITUTE('Calculations'!HF42,"~","~~"),"*","~*"),"?","~?"),'Calculations'!$HN$13:$HN$512,"="&amp;SUBSTITUTE(SUBSTITUTE(SUBSTITUTE('Dashboard'!$B$7,"~","~~"),"*","~*"),"?","~?"))+COUNTIFS('Calculations'!$IE$13:$IE$512,"="&amp;SUBSTITUTE(SUBSTITUTE(SUBSTITUTE('Calculations'!HF42,"~","~~"),"*","~*"),"?","~?"),'Calculations'!$HN$13:$HN$512,"="&amp;SUBSTITUTE(SUBSTITUTE(SUBSTITUTE('Dashboard'!$B$7,"~","~~"),"*","~*"),"?","~?"))+COUNTIFS('Calculations'!$IF$13:$IF$512,"="&amp;SUBSTITUTE(SUBSTITUTE(SUBSTITUTE('Calculations'!HF42,"~","~~"),"*","~*"),"?","~?"),'Calculations'!$HN$13:$HN$512,"="&amp;SUBSTITUTE(SUBSTITUTE(SUBSTITUTE('Dashboard'!$B$7,"~","~~"),"*","~*"),"?","~?"))+COUNTIFS('Calculations'!$IG$13:$IG$512,"="&amp;SUBSTITUTE(SUBSTITUTE(SUBSTITUTE('Calculations'!HF42,"~","~~"),"*","~*"),"?","~?"),'Calculations'!$HN$13:$HN$512,"="&amp;SUBSTITUTE(SUBSTITUTE(SUBSTITUTE('Dashboard'!$B$7,"~","~~"),"*","~*"),"?","~?"))+COUNTIFS('Calculations'!$IH$13:$IH$512,"="&amp;SUBSTITUTE(SUBSTITUTE(SUBSTITUTE('Calculations'!HF42,"~","~~"),"*","~*"),"?","~?"),'Calculations'!$HN$13:$HN$512,"="&amp;SUBSTITUTE(SUBSTITUTE(SUBSTITUTE('Dashboard'!$B$7,"~","~~"),"*","~*"),"?","~?"))))</x:f>
        <x:v>0</x:v>
      </x:c>
      <x:c r="JD42" t="n">
        <x:f>IF('Calculations'!EM42="",0,IF('Dashboard'!$B$7="All",1,IF('Calculations'!HN42='Dashboard'!$B$7,1,0)+IFERROR(INDEX('Calculations'!$JC$13:$JC$512,MATCH('Calculations'!HE42,'Calculations'!$HF$13:$HF$512,0)),0)))</x:f>
        <x:v>0</x:v>
      </x:c>
      <x:c r="JE42" t="n">
        <x:f>IF(AND('Calculations'!EM42&lt;&gt;"",'Calculations'!$JJ$2&lt;&gt;"All",'Calculations'!$JJ$2&lt;&gt;"",'Calculations'!HF42='Calculations'!$JJ$2,'Calculations'!HL42=0,'Calculations'!JD42&gt;0),MAX('Calculations'!$JE$12:JE41)+1,0)</x:f>
        <x:v>0</x:v>
      </x:c>
      <x:c r="JF42" t="str">
        <x:f>IF('Calculations'!EM42="","",IFERROR(IF(INDEX(INDIRECT("'WCM Calibration Final'!$G$1:$G$2000"),'Calculations'!$EM42)="","",TRIM(INDEX(INDIRECT("'WCM Calibration Final'!$G$1:$G$2000"),'Calculations'!$EM42)&amp;"")),""))</x:f>
      </x:c>
      <x:c r="JQ42" t="n">
        <x:f>IF(OR('Calculations'!BM42=0,NOT('Calculations'!$AG$2),'Calculations'!$AG$8&gt;0),0,IF(OR('Dashboard'!$B$7="All",'Calculations'!HN42='Dashboard'!$B$7),IF('Calculations'!$JJ$2="All",1,IF(AND('Calculations'!HF42='Calculations'!$JJ$2,'Calculations'!HL42=0),1,0)),0))</x:f>
        <x:v>0</x:v>
      </x:c>
    </x:row>
    <x:row r="43">
      <x:c r="AF43" s="4" t="str">
        <x:v>1 Exemplary</x:v>
      </x:c>
      <x:c r="AG43" s="4" t="n">
        <x:f>COUNTIFS('Calculations'!$BN$13:$BN$512,1,'Calculations'!$BZ$13:$BZ$512,1)</x:f>
        <x:v>0</x:v>
      </x:c>
      <x:c r="AH43" s="4" t="e">
        <x:f>IF(SUM('Calculations'!$AG$43:$AG$46)=0,NA(),'Calculations'!AG43/SUM('Calculations'!$AG$43:$AG$46))</x:f>
        <x:v>#N/A</x:v>
      </x:c>
      <x:c r="AI43" s="4"/>
      <x:c r="AJ43" s="4"/>
      <x:c r="AK43" s="4"/>
      <x:c r="AL43" s="4"/>
      <x:c r="AM43" s="4"/>
      <x:c r="AN43" s="4"/>
      <x:c r="AO43" s="4"/>
      <x:c r="AP43" s="4"/>
      <x:c r="AQ43" s="4"/>
      <x:c r="AR43" s="4"/>
      <x:c r="AS43" s="4"/>
      <x:c r="AT43" s="4" t="str">
        <x:f>IFERROR('Calculations'!AG43&amp;" · "&amp;TEXT('Calculations'!AH43,"0.0%"),"")</x:f>
      </x:c>
      <x:c r="AU43" s="4"/>
      <x:c r="AV43" s="4"/>
      <x:c r="AW43" s="4"/>
      <x:c r="AX43" s="4"/>
      <x:c r="AY43" s="4"/>
      <x:c r="AZ43" s="4"/>
      <x:c r="BA43" s="4"/>
      <x:c r="BB43" s="4"/>
      <x:c r="BC43" s="4"/>
      <x:c r="BD43" s="4"/>
      <x:c r="BE43" s="4"/>
      <x:c r="BF43" s="4"/>
      <x:c r="BG43" s="4"/>
      <x:c r="BH43" s="4"/>
      <x:c r="BI43" s="4"/>
      <x:c r="BJ43" s="4"/>
      <x:c r="BK43" s="4"/>
      <x:c r="BL43" s="4"/>
      <x:c r="BM43" s="4" t="n">
        <x:f>IF('Calculations'!$EM43="",0,IF(OR(IFERROR(INDEX(INDIRECT("'WCM Calibration Final'!$A$1:$A$2000"),'Calculations'!$EM43)&lt;&gt;"",FALSE),IFERROR(INDEX(INDIRECT("'WCM Calibration Final'!$B$1:$B$2000"),'Calculations'!$EM43)&lt;&gt;"",FALSE),IFERROR(INDEX(INDIRECT("'WCM Calibration Final'!$C$1:$C$2000"),'Calculations'!$EM43)&lt;&gt;"",FALSE)),1,0))</x:f>
        <x:v>0</x:v>
      </x:c>
      <x:c r="BN43" s="4" t="n">
        <x:f>IF(AND('Calculations'!BM43=1,'Calculations'!$AG$2,'Calculations'!$EN43=1),1,0)</x:f>
        <x:v>0</x:v>
      </x:c>
      <x:c r="BO43" s="4" t="str">
        <x:f>IF('Calculations'!BM43=0,"",IFERROR(IF(AND(VALUE(INDEX(INDIRECT("'WCM Calibration Final'!$K$1:$K$2000"),'Calculations'!$EM43))&gt;=1,VALUE(INDEX(INDIRECT("'WCM Calibration Final'!$K$1:$K$2000"),'Calculations'!$EM43))&lt;=4,MOD(VALUE(INDEX(INDIRECT("'WCM Calibration Final'!$K$1:$K$2000"),'Calculations'!$EM43)),1)=0),VALUE(INDEX(INDIRECT("'WCM Calibration Final'!$K$1:$K$2000"),'Calculations'!$EM43)),""),""))</x:f>
      </x:c>
      <x:c r="BP43" s="4" t="str">
        <x:f>IF('Calculations'!BM43=0,"",IFERROR(IF(AND(VALUE(INDEX(INDIRECT("'WCM Calibration Final'!$L$1:$L$2000"),'Calculations'!$EM43))&gt;=1,VALUE(INDEX(INDIRECT("'WCM Calibration Final'!$L$1:$L$2000"),'Calculations'!$EM43))&lt;=4,MOD(VALUE(INDEX(INDIRECT("'WCM Calibration Final'!$L$1:$L$2000"),'Calculations'!$EM43)),1)=0),VALUE(INDEX(INDIRECT("'WCM Calibration Final'!$L$1:$L$2000"),'Calculations'!$EM43)),""),""))</x:f>
      </x:c>
      <x:c r="BQ43" s="4"/>
      <x:c r="BR43" s="4"/>
      <x:c r="BS43" s="4"/>
      <x:c r="BT43" s="4" t="n">
        <x:f>IF(AND('Calculations'!BM43=1,ISNUMBER('Calculations'!BO43),ISNUMBER('Calculations'!BP43)),1,0)</x:f>
        <x:v>0</x:v>
      </x:c>
      <x:c r="BU43" s="4" t="str">
        <x:f>IF('Calculations'!BM43=0,"",'Calculations'!$EO43)</x:f>
      </x:c>
      <x:c r="BV43" s="4" t="str">
        <x:f>IF('Calculations'!BM43=0,"",IFERROR(IF(OR(INDEX(INDIRECT("'WCM Calibration Final'!$H$1:$H$2000"),'Calculations'!$EM43)="MANAGING DIRECTOR",INDEX(INDIRECT("'WCM Calibration Final'!$H$1:$H$2000"),'Calculations'!$EM43)="DIRECTOR",INDEX(INDIRECT("'WCM Calibration Final'!$H$1:$H$2000"),'Calculations'!$EM43)="SENIOR VICE PRESIDENT",INDEX(INDIRECT("'WCM Calibration Final'!$H$1:$H$2000"),'Calculations'!$EM43)="VICE PRESIDENT",INDEX(INDIRECT("'WCM Calibration Final'!$H$1:$H$2000"),'Calculations'!$EM43)="ASSISTANT VICE PRESIDENT",INDEX(INDIRECT("'WCM Calibration Final'!$H$1:$H$2000"),'Calculations'!$EM43)="OFFICER"),UPPER(INDEX(INDIRECT("'WCM Calibration Final'!$H$1:$H$2000"),'Calculations'!$EM43)),"Other"),"Other"))</x:f>
      </x:c>
      <x:c r="BW43" s="4"/>
      <x:c r="BX43" s="4"/>
      <x:c r="BY43" s="4" t="n">
        <x:f>IF(AND('Calculations'!BM43=1,'Calculations'!BU43&lt;&gt;"",COUNTIF('Calculations'!$BU$12:BU43,'Calculations'!BU43)=1),MAX('Calculations'!$BY$11:BY42)+1,0)</x:f>
        <x:v>0</x:v>
      </x:c>
      <x:c r="BZ43" s="4" t="str">
        <x:f>IF('Dashboard'!$E$67="What",'Calculations'!BO43,'Calculations'!BP43)</x:f>
      </x:c>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t="str">
        <x:f>IF(32&gt;MAX('Calculations'!$HI$13:$HI$512),"",INDEX('Calculations'!$HN$13:$HN$512,MATCH(32,'Calculations'!$HI$13:$HI$512,0)))</x:f>
      </x:c>
      <x:c r="DB43" s="4" t="str">
        <x:f>IF(32&gt;MAX('Calculations'!$HH$13:$HH$512),"",INDEX('Calculations'!$HJ$13:$HJ$512,MATCH(32,'Calculations'!$HH$13:$HH$512,0)))</x:f>
      </x:c>
      <x:c r="DC43" s="4" t="str">
        <x:f>IF(ROW()-11&gt;MAX('Calculations'!$BY$13:$BY$512),"",INDEX('Calculations'!$BU$13:$BU$512,MATCH(ROW()-11,'Calculations'!$BY$13:$BY$512,0)))</x:f>
      </x:c>
      <x:c r="DD43" s="4" t="str">
        <x:f>IF(32&gt;MAX('Calculations'!$IK$13:$IK$512),"",INDEX('Calculations'!$HK$13:$HK$512,MATCH(32,'Calculations'!$IK$13:$IK$512,0)))</x:f>
      </x:c>
      <x:c r="DE43" s="4" t="str">
        <x:f>'Calculations'!DC43</x:f>
      </x:c>
      <x:c r="DF43" s="4" t="str">
        <x:f>IF('Calculations'!DE43="","",COUNTIFS('Calculations'!$BN$13:$BN$512,1,'Calculations'!$BU$13:$BU$512,'Calculations'!DE43))</x:f>
      </x:c>
      <x:c r="DG43" s="4" t="str">
        <x:f>IF('Calculations'!DE43="","",COUNTIFS('Calculations'!$BN$13:$BN$512,1,'Calculations'!$BU$13:$BU$512,'Calculations'!DE43,'Calculations'!$BT$13:$BT$512,1))</x:f>
      </x:c>
      <x:c r="DH43" s="4" t="str">
        <x:f>IF('Calculations'!DE43="","",'Calculations'!DF43-'Calculations'!DG43)</x:f>
      </x:c>
      <x:c r="DI43" s="4" t="str">
        <x:f>IF(OR('Calculations'!DE43="",'Calculations'!DF43=0),"",'Calculations'!DG43/'Calculations'!DF43)</x:f>
      </x:c>
      <x:c r="DJ43" s="4" t="str">
        <x:f>IF('Calculations'!DE43="","",COUNTIFS('Calculations'!$BN$13:$BN$512,1,'Calculations'!$BU$13:$BU$512,'Calculations'!DE43,'Calculations'!$BT$13:$BT$512,1,'Calculations'!$EE$13:$EE$512,"High"))</x:f>
      </x:c>
      <x:c r="DK43" s="4" t="str">
        <x:f>IF('Calculations'!DE43="","",COUNTIFS('Calculations'!$BN$13:$BN$512,1,'Calculations'!$BU$13:$BU$512,'Calculations'!DE43,'Calculations'!$BT$13:$BT$512,1,'Calculations'!$EE$13:$EE$512,"Strong"))</x:f>
      </x:c>
      <x:c r="DL43" s="4" t="str">
        <x:f>IF('Calculations'!DE43="","",COUNTIFS('Calculations'!$BN$13:$BN$512,1,'Calculations'!$BU$13:$BU$512,'Calculations'!DE43,'Calculations'!$BT$13:$BT$512,1,'Calculations'!$EE$13:$EE$512,"Solid"))</x:f>
      </x:c>
      <x:c r="DM43" s="4" t="str">
        <x:f>IF('Calculations'!DE43="","",COUNTIFS('Calculations'!$BN$13:$BN$512,1,'Calculations'!$BU$13:$BU$512,'Calculations'!DE43,'Calculations'!$BT$13:$BT$512,1,'Calculations'!$EE$13:$EE$512,"Low"))</x:f>
      </x:c>
      <x:c r="DN43" s="4" t="str">
        <x:f>IF('Calculations'!DE43="","",COUNTIFS('Calculations'!$BN$13:$BN$512,1,'Calculations'!$BU$13:$BU$512,'Calculations'!DE43,'Calculations'!$EP$13:$EP$512,1))</x:f>
      </x:c>
      <x:c r="DO43" s="4" t="str">
        <x:f>IF(OR('Calculations'!DE43="",'Calculations'!DG43=0),"",('Calculations'!DJ43+'Calculations'!DK43)/'Calculations'!DG43)</x:f>
      </x:c>
      <x:c r="DP43" s="4" t="n">
        <x:f>IF(AND('Calculations'!DE43&lt;&gt;"",'Calculations'!DF43&gt;0),COUNTIF('Calculations'!$DF$12:DF43,"&gt;0"),0)</x:f>
        <x:v>0</x:v>
      </x:c>
      <x:c r="DQ43" s="4" t="str">
        <x:f>IF(32&gt;MAX('Calculations'!$HH$13:$HH$512),"",INDEX('Calculations'!$HF$13:$HF$512,MATCH(32,'Calculations'!$HH$13:$HH$512,0)))</x:f>
      </x:c>
      <x:c r="DR43" s="4" t="str">
        <x:f>IF(32&gt;MAX('Calculations'!$IK$13:$IK$512),"",INDEX('Calculations'!$HE$13:$HE$512,MATCH(32,'Calculations'!$IK$13:$IK$512,0)))</x:f>
      </x:c>
      <x:c r="DS43" s="4"/>
      <x:c r="DT43" s="4"/>
      <x:c r="DU43" s="4"/>
      <x:c r="DV43" s="4"/>
      <x:c r="DW43" s="4"/>
      <x:c r="DX43" s="4"/>
      <x:c r="DY43" s="4"/>
      <x:c r="DZ43" s="4"/>
      <x:c r="EA43" s="4"/>
      <x:c r="EB43" s="4"/>
      <x:c r="EC43" s="4"/>
      <x:c r="ED43" s="4"/>
      <x:c r="EE43" s="4" t="str">
        <x:f>IF('Calculations'!BT43=0,"Not Rated",IF(OR('Calculations'!BO43&gt;=4,'Calculations'!BP43&gt;=4),"Low",IF('Calculations'!BO43+'Calculations'!BP43&lt;=3,"High",IF('Calculations'!BO43+'Calculations'!BP43&lt;=4,"Strong","Solid"))))</x:f>
        <x:v>Not Rated</x:v>
      </x:c>
      <x:c r="EF43" s="4"/>
      <x:c r="EG43" s="4"/>
      <x:c r="EH43" s="4"/>
      <x:c r="EI43" s="4"/>
      <x:c r="EJ43" s="4"/>
      <x:c r="EK43" s="4"/>
      <x:c r="EL43" s="4"/>
      <x:c r="EM43" s="4" t="str">
        <x:f>IF(31&gt;'Calculations'!$JB$2000,"",INDEX('Calculations'!$JA$12:$JA$2000,MATCH(31,'Calculations'!$JB$12:$JB$2000,0)))</x:f>
      </x:c>
      <x:c r="EN43" s="4" t="n">
        <x:f>IF(OR('Calculations'!EM43="",'Calculations'!$AG$8&gt;0,AND('Calculations'!$EF$2&lt;&gt;"All",'Calculations'!HE43='Calculations'!$EF$2),AND('Calculations'!$EF$3&lt;&gt;"All",'Calculations'!HE43='Calculations'!$EF$3)),0,IF(OR('Dashboard'!$B$7="All",'Calculations'!HN43='Dashboard'!$B$7),IF('Calculations'!$EF$2="All",1,IF('Calculations'!HL43&gt;0,0,IF(COUNTIF('Calculations'!HO43:II43,"="&amp;SUBSTITUTE(SUBSTITUTE(SUBSTITUTE('Calculations'!$EF$2,"~","~~"),"*","~*"),"?","~?"))=0,0,IF('Calculations'!$EF$3="All",1,IF(COUNTIF('Calculations'!HO43:II43,"="&amp;SUBSTITUTE(SUBSTITUTE(SUBSTITUTE('Calculations'!$EF$3,"~","~~"),"*","~*"),"?","~?"))&gt;0,1,0))))),0))</x:f>
        <x:v>0</x:v>
      </x:c>
      <x:c r="EO43" s="4" t="str">
        <x:f>IF('Calculations'!IJ43="","",IF('Calculations'!IJ43="!UNRESOLVED","Unresolved hierarchy",IFERROR(INDEX('Calculations'!$HK$13:$HK$512,MATCH('Calculations'!IJ43,'Calculations'!$HE$13:$HE$512,0)),IFERROR(INDEX('Calculations'!$HJ$13:$HJ$512,MATCH('Calculations'!IJ43,'Calculations'!$HF$13:$HF$512,0)),'Calculations'!IJ43))))</x:f>
      </x:c>
      <x:c r="EP43" s="4" t="n">
        <x:f>IF(AND('Calculations'!EM43&lt;&gt;"",'Calculations'!HF43='Calculations'!IJ43),1,0)</x:f>
        <x:v>0</x:v>
      </x:c>
      <x:c r="EQ43" s="4"/>
      <x:c r="ER43" s="4"/>
      <x:c r="ES43" s="4"/>
      <x:c r="ET43" s="4"/>
      <x:c r="EU43" s="4"/>
      <x:c r="EV43" s="4"/>
      <x:c r="EW43" s="4"/>
      <x:c r="EX43" s="4"/>
      <x:c r="EY43" s="4"/>
      <x:c r="EZ43" s="4"/>
      <x:c r="FA43" s="4"/>
      <x:c r="FB43" s="4"/>
      <x:c r="FC43" s="4"/>
      <x:c r="FD43" s="4"/>
      <x:c r="FE43" s="4"/>
      <x:c r="FF43" s="4"/>
      <x:c r="FG43" s="4"/>
      <x:c r="FH43" s="4"/>
      <x:c r="FI43" s="4"/>
      <x:c r="FJ43" s="4"/>
      <x:c r="FK43" s="4"/>
      <x:c r="FL43" s="4"/>
      <x:c r="FM43" s="4"/>
      <x:c r="FN43" s="4"/>
      <x:c r="FO43" s="4"/>
      <x:c r="GA43" s="71"/>
      <x:c r="GB43" s="71"/>
      <x:c r="GC43" s="71"/>
      <x:c r="GD43" s="71"/>
      <x:c r="GE43" s="71"/>
      <x:c r="GF43" s="71"/>
      <x:c r="GG43" s="71"/>
      <x:c r="GH43" s="71"/>
      <x:c r="GI43" s="71"/>
      <x:c r="GJ43" s="71"/>
      <x:c r="GK43" s="71"/>
      <x:c r="GL43" s="71"/>
      <x:c r="GM43" s="71"/>
      <x:c r="GN43" s="71"/>
      <x:c r="GO43" s="71"/>
      <x:c r="GP43" s="71"/>
      <x:c r="GQ43" s="71"/>
      <x:c r="GR43" s="71"/>
      <x:c r="GS43" s="71"/>
      <x:c r="GT43" s="71"/>
      <x:c r="GU43" s="71"/>
      <x:c r="GV43" s="71"/>
      <x:c r="GW43" s="71"/>
      <x:c r="GX43" s="71"/>
      <x:c r="GY43" s="71"/>
      <x:c r="GZ43" s="71"/>
      <x:c r="HA43" s="71"/>
      <x:c r="HB43" s="71"/>
      <x:c r="HC43" s="71"/>
      <x:c r="HD43" s="71"/>
      <x:c r="HE43" t="str">
        <x:f>IF('Calculations'!EM43="","",IF(IFERROR(IF(INDEX(INDIRECT("'WCM Calibration Final'!$A$1:$A$2000"),'Calculations'!$EM43)="","",TRIM(INDEX(INDIRECT("'WCM Calibration Final'!$A$1:$A$2000"),'Calculations'!$EM43)&amp;"")),"")&lt;&gt;"","G:"&amp;IFERROR(TEXT(1*INDEX(INDIRECT("'WCM Calibration Final'!$A$1:$A$2000"),'Calculations'!$EM43),"0"),UPPER(IFERROR(IF(INDEX(INDIRECT("'WCM Calibration Final'!$A$1:$A$2000"),'Calculations'!$EM43)="","",TRIM(INDEX(INDIRECT("'WCM Calibration Final'!$A$1:$A$2000"),'Calculations'!$EM43)&amp;"")),""))),IF(IFERROR(IF(INDEX(INDIRECT("'WCM Calibration Final'!$C$1:$C$2000"),'Calculations'!$EM43)="","",TRIM(INDEX(INDIRECT("'WCM Calibration Final'!$C$1:$C$2000"),'Calculations'!$EM43)&amp;"")),"")&lt;&gt;"","S:"&amp;UPPER(IFERROR(IF(INDEX(INDIRECT("'WCM Calibration Final'!$C$1:$C$2000"),'Calculations'!$EM43)="","",TRIM(INDEX(INDIRECT("'WCM Calibration Final'!$C$1:$C$2000"),'Calculations'!$EM43)&amp;"")),"")),"R:"&amp;'Calculations'!EM43)))</x:f>
      </x:c>
      <x:c r="HF43" t="str">
        <x:f>IF('Calculations'!EM43="","",IF(IFERROR(IF(INDEX(INDIRECT("'WCM Calibration Final'!$D$1:$D$2000"),'Calculations'!$EM43)="","",TRIM(INDEX(INDIRECT("'WCM Calibration Final'!$D$1:$D$2000"),'Calculations'!$EM43)&amp;"")),"")&lt;&gt;"","G:"&amp;IFERROR(TEXT(1*INDEX(INDIRECT("'WCM Calibration Final'!$D$1:$D$2000"),'Calculations'!$EM43),"0"),UPPER(IFERROR(IF(INDEX(INDIRECT("'WCM Calibration Final'!$D$1:$D$2000"),'Calculations'!$EM43)="","",TRIM(INDEX(INDIRECT("'WCM Calibration Final'!$D$1:$D$2000"),'Calculations'!$EM43)&amp;"")),""))),IF(IFERROR(IF(INDEX(INDIRECT("'WCM Calibration Final'!$E$1:$E$2000"),'Calculations'!$EM43)="","",TRIM(INDEX(INDIRECT("'WCM Calibration Final'!$E$1:$E$2000"),'Calculations'!$EM43)&amp;"")),"")="","",IF(COUNTIF('Calculations'!$HG$13:$HG$512,"="&amp;SUBSTITUTE(SUBSTITUTE(SUBSTITUTE(IFERROR(IF(INDEX(INDIRECT("'WCM Calibration Final'!$E$1:$E$2000"),'Calculations'!$EM43)="","",TRIM(INDEX(INDIRECT("'WCM Calibration Final'!$E$1:$E$2000"),'Calculations'!$EM43)&amp;"")),""),"~","~~"),"*","~*"),"?","~?"))=1,INDEX('Calculations'!$HE$13:$HE$512,MATCH(IFERROR(IF(INDEX(INDIRECT("'WCM Calibration Final'!$E$1:$E$2000"),'Calculations'!$EM43)="","",TRIM(INDEX(INDIRECT("'WCM Calibration Final'!$E$1:$E$2000"),'Calculations'!$EM43)&amp;"")),""),'Calculations'!$HG$13:$HG$512,0)),IF(COUNTIF('Calculations'!$HG$13:$HG$512,"="&amp;SUBSTITUTE(SUBSTITUTE(SUBSTITUTE(IFERROR(IF(INDEX(INDIRECT("'WCM Calibration Final'!$E$1:$E$2000"),'Calculations'!$EM43)="","",TRIM(INDEX(INDIRECT("'WCM Calibration Final'!$E$1:$E$2000"),'Calculations'!$EM43)&amp;"")),""),"~","~~"),"*","~*"),"?","~?"))&gt;1,"!AMBIG","X:"&amp;IFERROR(IF(INDEX(INDIRECT("'WCM Calibration Final'!$E$1:$E$2000"),'Calculations'!$EM43)="","",TRIM(INDEX(INDIRECT("'WCM Calibration Final'!$E$1:$E$2000"),'Calculations'!$EM43)&amp;"")),""))))))</x:f>
      </x:c>
      <x:c r="HG43" t="str">
        <x:f>IF('Calculations'!EM43="","",IFERROR(IF(INDEX(INDIRECT("'WCM Calibration Final'!$B$1:$B$2000"),'Calculations'!$EM43)="","",TRIM(INDEX(INDIRECT("'WCM Calibration Final'!$B$1:$B$2000"),'Calculations'!$EM43)&amp;"")),""))</x:f>
      </x:c>
      <x:c r="HH43" t="n">
        <x:f>IF(AND('Calculations'!JC43&gt;0,COUNTIF('Calculations'!$HF$12:HF43,"="&amp;SUBSTITUTE(SUBSTITUTE(SUBSTITUTE('Calculations'!HF43,"~","~~"),"*","~*"),"?","~?"))=1),MAX('Calculations'!$HH$12:HH42)+1,0)</x:f>
        <x:v>0</x:v>
      </x:c>
      <x:c r="HI43" t="n">
        <x:f>IF(AND('Calculations'!HN43&lt;&gt;"",COUNTIF('Calculations'!$HN$12:HN43,"="&amp;SUBSTITUTE(SUBSTITUTE(SUBSTITUTE('Calculations'!HN43,"~","~~"),"*","~*"),"?","~?"))=1),MAX('Calculations'!$HI$12:HI42)+1,0)</x:f>
        <x:v>0</x:v>
      </x:c>
      <x:c r="HJ43" t="str">
        <x:f>IF('Calculations'!HF43="","",IF(COUNTIF('Calculations'!$HE$13:$HE$512,"="&amp;SUBSTITUTE(SUBSTITUTE(SUBSTITUTE('Calculations'!HF43,"~","~~"),"*","~*"),"?","~?"))=1,INDEX('Calculations'!$HK$13:$HK$512,MATCH('Calculations'!HF43,'Calculations'!$HE$13:$HE$512,0)),IFERROR(IF(INDEX(INDIRECT("'WCM Calibration Final'!$E$1:$E$2000"),'Calculations'!$EM43)="","",TRIM(INDEX(INDIRECT("'WCM Calibration Final'!$E$1:$E$2000"),'Calculations'!$EM43)&amp;"")),"")&amp;" ["&amp;'Calculations'!HF43&amp;"]"))</x:f>
      </x:c>
      <x:c r="HK43" t="str">
        <x:f>IF('Calculations'!EM43="","",'Calculations'!HG43&amp;" ["&amp;'Calculations'!HE43&amp;"]")</x:f>
      </x:c>
      <x:c r="HL43" t="n">
        <x:f>IF('Calculations'!EM43="",0,IF(OR('Calculations'!II43&lt;&gt;"",COUNTIF('Calculations'!$HE$13:$HE$512,"="&amp;SUBSTITUTE(SUBSTITUTE(SUBSTITUTE('Calculations'!HE43,"~","~~"),"*","~*"),"?","~?"))&gt;1),1,0))</x:f>
        <x:v>0</x:v>
      </x:c>
      <x:c r="HM43" t="str">
        <x:f>IF('Calculations'!EM43="","",IF('Calculations'!HL43=1,"!UNRESOLVED",IF('Calculations'!IH43&lt;&gt;"",'Calculations'!IH43,IF('Calculations'!IG43&lt;&gt;"",'Calculations'!IG43,IF('Calculations'!IF43&lt;&gt;"",'Calculations'!IF43,IF('Calculations'!IE43&lt;&gt;"",'Calculations'!IE43,IF('Calculations'!ID43&lt;&gt;"",'Calculations'!ID43,IF('Calculations'!IC43&lt;&gt;"",'Calculations'!IC43,IF('Calculations'!IB43&lt;&gt;"",'Calculations'!IB43,IF('Calculations'!IA43&lt;&gt;"",'Calculations'!IA43,IF('Calculations'!HZ43&lt;&gt;"",'Calculations'!HZ43,IF('Calculations'!HY43&lt;&gt;"",'Calculations'!HY43,IF('Calculations'!HX43&lt;&gt;"",'Calculations'!HX43,IF('Calculations'!HW43&lt;&gt;"",'Calculations'!HW43,IF('Calculations'!HV43&lt;&gt;"",'Calculations'!HV43,IF('Calculations'!HU43&lt;&gt;"",'Calculations'!HU43,IF('Calculations'!HT43&lt;&gt;"",'Calculations'!HT43,IF('Calculations'!HS43&lt;&gt;"",'Calculations'!HS43,IF('Calculations'!HR43&lt;&gt;"",'Calculations'!HR43,IF('Calculations'!HQ43&lt;&gt;"",'Calculations'!HQ43,IF('Calculations'!HP43&lt;&gt;"",'Calculations'!HP43,IF('Calculations'!HO43&lt;&gt;"",'Calculations'!HO43,'Calculations'!HE43))))))))))))))))))))))</x:f>
      </x:c>
      <x:c r="HN43" t="str">
        <x:f>IF('Calculations'!EM43="","",IF(IFERROR(IF(INDEX(INDIRECT("'WCM Calibration Final'!$F$1:$F$2000"),'Calculations'!$EM43)="","",TRIM(INDEX(INDIRECT("'WCM Calibration Final'!$F$1:$F$2000"),'Calculations'!$EM43)&amp;"")),"")="","(Blank)",IFERROR(IF(INDEX(INDIRECT("'WCM Calibration Final'!$F$1:$F$2000"),'Calculations'!$EM43)="","",TRIM(INDEX(INDIRECT("'WCM Calibration Final'!$F$1:$F$2000"),'Calculations'!$EM43)&amp;"")),"")))</x:f>
      </x:c>
      <x:c r="HO43" t="str">
        <x:f>'Calculations'!HF43</x:f>
      </x:c>
      <x:c r="HP43" t="str">
        <x:f>IF('Calculations'!HO43="","",IF('Calculations'!HO43="!AMBIG","!AMBIG",IF(COUNTIF('Calculations'!$HE$13:$HE$512,"="&amp;SUBSTITUTE(SUBSTITUTE(SUBSTITUTE('Calculations'!HO43,"~","~~"),"*","~*"),"?","~?"))&gt;1,"!AMBIG",IFERROR(INDEX('Calculations'!$HF$13:$HF$512,MATCH('Calculations'!HO43,'Calculations'!$HE$13:$HE$512,0)),""))))</x:f>
      </x:c>
      <x:c r="HQ43" t="str">
        <x:f>IF('Calculations'!HP43="","",IF('Calculations'!HP43="!AMBIG","!AMBIG",IF(COUNTIF('Calculations'!$HE$13:$HE$512,"="&amp;SUBSTITUTE(SUBSTITUTE(SUBSTITUTE('Calculations'!HP43,"~","~~"),"*","~*"),"?","~?"))&gt;1,"!AMBIG",IFERROR(INDEX('Calculations'!$HF$13:$HF$512,MATCH('Calculations'!HP43,'Calculations'!$HE$13:$HE$512,0)),""))))</x:f>
      </x:c>
      <x:c r="HR43" t="str">
        <x:f>IF('Calculations'!HQ43="","",IF('Calculations'!HQ43="!AMBIG","!AMBIG",IF(COUNTIF('Calculations'!$HE$13:$HE$512,"="&amp;SUBSTITUTE(SUBSTITUTE(SUBSTITUTE('Calculations'!HQ43,"~","~~"),"*","~*"),"?","~?"))&gt;1,"!AMBIG",IFERROR(INDEX('Calculations'!$HF$13:$HF$512,MATCH('Calculations'!HQ43,'Calculations'!$HE$13:$HE$512,0)),""))))</x:f>
      </x:c>
      <x:c r="HS43" t="str">
        <x:f>IF('Calculations'!HR43="","",IF('Calculations'!HR43="!AMBIG","!AMBIG",IF(COUNTIF('Calculations'!$HE$13:$HE$512,"="&amp;SUBSTITUTE(SUBSTITUTE(SUBSTITUTE('Calculations'!HR43,"~","~~"),"*","~*"),"?","~?"))&gt;1,"!AMBIG",IFERROR(INDEX('Calculations'!$HF$13:$HF$512,MATCH('Calculations'!HR43,'Calculations'!$HE$13:$HE$512,0)),""))))</x:f>
      </x:c>
      <x:c r="HT43" t="str">
        <x:f>IF('Calculations'!HS43="","",IF('Calculations'!HS43="!AMBIG","!AMBIG",IF(COUNTIF('Calculations'!$HE$13:$HE$512,"="&amp;SUBSTITUTE(SUBSTITUTE(SUBSTITUTE('Calculations'!HS43,"~","~~"),"*","~*"),"?","~?"))&gt;1,"!AMBIG",IFERROR(INDEX('Calculations'!$HF$13:$HF$512,MATCH('Calculations'!HS43,'Calculations'!$HE$13:$HE$512,0)),""))))</x:f>
      </x:c>
      <x:c r="HU43" t="str">
        <x:f>IF('Calculations'!HT43="","",IF('Calculations'!HT43="!AMBIG","!AMBIG",IF(COUNTIF('Calculations'!$HE$13:$HE$512,"="&amp;SUBSTITUTE(SUBSTITUTE(SUBSTITUTE('Calculations'!HT43,"~","~~"),"*","~*"),"?","~?"))&gt;1,"!AMBIG",IFERROR(INDEX('Calculations'!$HF$13:$HF$512,MATCH('Calculations'!HT43,'Calculations'!$HE$13:$HE$512,0)),""))))</x:f>
      </x:c>
      <x:c r="HV43" t="str">
        <x:f>IF('Calculations'!HU43="","",IF('Calculations'!HU43="!AMBIG","!AMBIG",IF(COUNTIF('Calculations'!$HE$13:$HE$512,"="&amp;SUBSTITUTE(SUBSTITUTE(SUBSTITUTE('Calculations'!HU43,"~","~~"),"*","~*"),"?","~?"))&gt;1,"!AMBIG",IFERROR(INDEX('Calculations'!$HF$13:$HF$512,MATCH('Calculations'!HU43,'Calculations'!$HE$13:$HE$512,0)),""))))</x:f>
      </x:c>
      <x:c r="HW43" t="str">
        <x:f>IF('Calculations'!HV43="","",IF('Calculations'!HV43="!AMBIG","!AMBIG",IF(COUNTIF('Calculations'!$HE$13:$HE$512,"="&amp;SUBSTITUTE(SUBSTITUTE(SUBSTITUTE('Calculations'!HV43,"~","~~"),"*","~*"),"?","~?"))&gt;1,"!AMBIG",IFERROR(INDEX('Calculations'!$HF$13:$HF$512,MATCH('Calculations'!HV43,'Calculations'!$HE$13:$HE$512,0)),""))))</x:f>
      </x:c>
      <x:c r="HX43" t="str">
        <x:f>IF('Calculations'!HW43="","",IF('Calculations'!HW43="!AMBIG","!AMBIG",IF(COUNTIF('Calculations'!$HE$13:$HE$512,"="&amp;SUBSTITUTE(SUBSTITUTE(SUBSTITUTE('Calculations'!HW43,"~","~~"),"*","~*"),"?","~?"))&gt;1,"!AMBIG",IFERROR(INDEX('Calculations'!$HF$13:$HF$512,MATCH('Calculations'!HW43,'Calculations'!$HE$13:$HE$512,0)),""))))</x:f>
      </x:c>
      <x:c r="HY43" t="str">
        <x:f>IF('Calculations'!HX43="","",IF('Calculations'!HX43="!AMBIG","!AMBIG",IF(COUNTIF('Calculations'!$HE$13:$HE$512,"="&amp;SUBSTITUTE(SUBSTITUTE(SUBSTITUTE('Calculations'!HX43,"~","~~"),"*","~*"),"?","~?"))&gt;1,"!AMBIG",IFERROR(INDEX('Calculations'!$HF$13:$HF$512,MATCH('Calculations'!HX43,'Calculations'!$HE$13:$HE$512,0)),""))))</x:f>
      </x:c>
      <x:c r="HZ43" t="str">
        <x:f>IF('Calculations'!HY43="","",IF('Calculations'!HY43="!AMBIG","!AMBIG",IF(COUNTIF('Calculations'!$HE$13:$HE$512,"="&amp;SUBSTITUTE(SUBSTITUTE(SUBSTITUTE('Calculations'!HY43,"~","~~"),"*","~*"),"?","~?"))&gt;1,"!AMBIG",IFERROR(INDEX('Calculations'!$HF$13:$HF$512,MATCH('Calculations'!HY43,'Calculations'!$HE$13:$HE$512,0)),""))))</x:f>
      </x:c>
      <x:c r="IA43" t="str">
        <x:f>IF('Calculations'!HZ43="","",IF('Calculations'!HZ43="!AMBIG","!AMBIG",IF(COUNTIF('Calculations'!$HE$13:$HE$512,"="&amp;SUBSTITUTE(SUBSTITUTE(SUBSTITUTE('Calculations'!HZ43,"~","~~"),"*","~*"),"?","~?"))&gt;1,"!AMBIG",IFERROR(INDEX('Calculations'!$HF$13:$HF$512,MATCH('Calculations'!HZ43,'Calculations'!$HE$13:$HE$512,0)),""))))</x:f>
      </x:c>
      <x:c r="IB43" t="str">
        <x:f>IF('Calculations'!IA43="","",IF('Calculations'!IA43="!AMBIG","!AMBIG",IF(COUNTIF('Calculations'!$HE$13:$HE$512,"="&amp;SUBSTITUTE(SUBSTITUTE(SUBSTITUTE('Calculations'!IA43,"~","~~"),"*","~*"),"?","~?"))&gt;1,"!AMBIG",IFERROR(INDEX('Calculations'!$HF$13:$HF$512,MATCH('Calculations'!IA43,'Calculations'!$HE$13:$HE$512,0)),""))))</x:f>
      </x:c>
      <x:c r="IC43" t="str">
        <x:f>IF('Calculations'!IB43="","",IF('Calculations'!IB43="!AMBIG","!AMBIG",IF(COUNTIF('Calculations'!$HE$13:$HE$512,"="&amp;SUBSTITUTE(SUBSTITUTE(SUBSTITUTE('Calculations'!IB43,"~","~~"),"*","~*"),"?","~?"))&gt;1,"!AMBIG",IFERROR(INDEX('Calculations'!$HF$13:$HF$512,MATCH('Calculations'!IB43,'Calculations'!$HE$13:$HE$512,0)),""))))</x:f>
      </x:c>
      <x:c r="ID43" t="str">
        <x:f>IF('Calculations'!IC43="","",IF('Calculations'!IC43="!AMBIG","!AMBIG",IF(COUNTIF('Calculations'!$HE$13:$HE$512,"="&amp;SUBSTITUTE(SUBSTITUTE(SUBSTITUTE('Calculations'!IC43,"~","~~"),"*","~*"),"?","~?"))&gt;1,"!AMBIG",IFERROR(INDEX('Calculations'!$HF$13:$HF$512,MATCH('Calculations'!IC43,'Calculations'!$HE$13:$HE$512,0)),""))))</x:f>
      </x:c>
      <x:c r="IE43" t="str">
        <x:f>IF('Calculations'!ID43="","",IF('Calculations'!ID43="!AMBIG","!AMBIG",IF(COUNTIF('Calculations'!$HE$13:$HE$512,"="&amp;SUBSTITUTE(SUBSTITUTE(SUBSTITUTE('Calculations'!ID43,"~","~~"),"*","~*"),"?","~?"))&gt;1,"!AMBIG",IFERROR(INDEX('Calculations'!$HF$13:$HF$512,MATCH('Calculations'!ID43,'Calculations'!$HE$13:$HE$512,0)),""))))</x:f>
      </x:c>
      <x:c r="IF43" t="str">
        <x:f>IF('Calculations'!IE43="","",IF('Calculations'!IE43="!AMBIG","!AMBIG",IF(COUNTIF('Calculations'!$HE$13:$HE$512,"="&amp;SUBSTITUTE(SUBSTITUTE(SUBSTITUTE('Calculations'!IE43,"~","~~"),"*","~*"),"?","~?"))&gt;1,"!AMBIG",IFERROR(INDEX('Calculations'!$HF$13:$HF$512,MATCH('Calculations'!IE43,'Calculations'!$HE$13:$HE$512,0)),""))))</x:f>
      </x:c>
      <x:c r="IG43" t="str">
        <x:f>IF('Calculations'!IF43="","",IF('Calculations'!IF43="!AMBIG","!AMBIG",IF(COUNTIF('Calculations'!$HE$13:$HE$512,"="&amp;SUBSTITUTE(SUBSTITUTE(SUBSTITUTE('Calculations'!IF43,"~","~~"),"*","~*"),"?","~?"))&gt;1,"!AMBIG",IFERROR(INDEX('Calculations'!$HF$13:$HF$512,MATCH('Calculations'!IF43,'Calculations'!$HE$13:$HE$512,0)),""))))</x:f>
      </x:c>
      <x:c r="IH43" t="str">
        <x:f>IF('Calculations'!IG43="","",IF('Calculations'!IG43="!AMBIG","!AMBIG",IF(COUNTIF('Calculations'!$HE$13:$HE$512,"="&amp;SUBSTITUTE(SUBSTITUTE(SUBSTITUTE('Calculations'!IG43,"~","~~"),"*","~*"),"?","~?"))&gt;1,"!AMBIG",IFERROR(INDEX('Calculations'!$HF$13:$HF$512,MATCH('Calculations'!IG43,'Calculations'!$HE$13:$HE$512,0)),""))))</x:f>
      </x:c>
      <x:c r="II43" t="str">
        <x:f>IF('Calculations'!IH43="","",IF('Calculations'!IH43="!AMBIG","!AMBIG",IF(COUNTIF('Calculations'!$HE$13:$HE$512,"="&amp;SUBSTITUTE(SUBSTITUTE(SUBSTITUTE('Calculations'!IH43,"~","~~"),"*","~*"),"?","~?"))&gt;1,"!AMBIG",IFERROR(INDEX('Calculations'!$HF$13:$HF$512,MATCH('Calculations'!IH43,'Calculations'!$HE$13:$HE$512,0)),""))))</x:f>
      </x:c>
      <x:c r="IJ43" t="str">
        <x:f>IF('Calculations'!EM43="","",IF('Calculations'!$EF$2="All",'Calculations'!HM43,IF('Calculations'!HL43=1,"",IFERROR(IF(MATCH('Calculations'!$EF$2,'Calculations'!HO43:II43,0)=1,'Calculations'!HE43,INDEX('Calculations'!HO43:II43,1,MATCH('Calculations'!$EF$2,'Calculations'!HO43:II43,0)-1)),""))))</x:f>
      </x:c>
      <x:c r="IK43" t="n">
        <x:f>IF(AND('Calculations'!EM43&lt;&gt;"",'Calculations'!$EF$2&lt;&gt;"All",'Calculations'!HF43='Calculations'!$EF$2,'Calculations'!HL43=0,'Calculations'!JD43&gt;0),MAX('Calculations'!$IK$12:IK42)+1,0)</x:f>
        <x:v>0</x:v>
      </x:c>
      <x:c r="JA43" t="n">
        <x:f>IF(OR(IFERROR(INDIRECT("'WCM Calibration Final'!$A$43")&lt;&gt;"",FALSE),IFERROR(INDIRECT("'WCM Calibration Final'!$B$43")&lt;&gt;"",FALSE),IFERROR(INDIRECT("'WCM Calibration Final'!$C$43")&lt;&gt;"",FALSE)),43,0)</x:f>
        <x:v>0</x:v>
      </x:c>
      <x:c r="JB43" t="n">
        <x:f>'Calculations'!JB42+IF('Calculations'!JA43&gt;0,1,0)</x:f>
        <x:v>0</x:v>
      </x:c>
      <x:c r="JC43" t="n">
        <x:f>IF(OR('Calculations'!HF43="",'Calculations'!HF43="!AMBIG"),0,IF('Dashboard'!$B$7="All",1,COUNTIFS('Calculations'!$HO$13:$HO$512,"="&amp;SUBSTITUTE(SUBSTITUTE(SUBSTITUTE('Calculations'!HF43,"~","~~"),"*","~*"),"?","~?"),'Calculations'!$HN$13:$HN$512,"="&amp;SUBSTITUTE(SUBSTITUTE(SUBSTITUTE('Dashboard'!$B$7,"~","~~"),"*","~*"),"?","~?"))+COUNTIFS('Calculations'!$HP$13:$HP$512,"="&amp;SUBSTITUTE(SUBSTITUTE(SUBSTITUTE('Calculations'!HF43,"~","~~"),"*","~*"),"?","~?"),'Calculations'!$HN$13:$HN$512,"="&amp;SUBSTITUTE(SUBSTITUTE(SUBSTITUTE('Dashboard'!$B$7,"~","~~"),"*","~*"),"?","~?"))+COUNTIFS('Calculations'!$HQ$13:$HQ$512,"="&amp;SUBSTITUTE(SUBSTITUTE(SUBSTITUTE('Calculations'!HF43,"~","~~"),"*","~*"),"?","~?"),'Calculations'!$HN$13:$HN$512,"="&amp;SUBSTITUTE(SUBSTITUTE(SUBSTITUTE('Dashboard'!$B$7,"~","~~"),"*","~*"),"?","~?"))+COUNTIFS('Calculations'!$HR$13:$HR$512,"="&amp;SUBSTITUTE(SUBSTITUTE(SUBSTITUTE('Calculations'!HF43,"~","~~"),"*","~*"),"?","~?"),'Calculations'!$HN$13:$HN$512,"="&amp;SUBSTITUTE(SUBSTITUTE(SUBSTITUTE('Dashboard'!$B$7,"~","~~"),"*","~*"),"?","~?"))+COUNTIFS('Calculations'!$HS$13:$HS$512,"="&amp;SUBSTITUTE(SUBSTITUTE(SUBSTITUTE('Calculations'!HF43,"~","~~"),"*","~*"),"?","~?"),'Calculations'!$HN$13:$HN$512,"="&amp;SUBSTITUTE(SUBSTITUTE(SUBSTITUTE('Dashboard'!$B$7,"~","~~"),"*","~*"),"?","~?"))+COUNTIFS('Calculations'!$HT$13:$HT$512,"="&amp;SUBSTITUTE(SUBSTITUTE(SUBSTITUTE('Calculations'!HF43,"~","~~"),"*","~*"),"?","~?"),'Calculations'!$HN$13:$HN$512,"="&amp;SUBSTITUTE(SUBSTITUTE(SUBSTITUTE('Dashboard'!$B$7,"~","~~"),"*","~*"),"?","~?"))+COUNTIFS('Calculations'!$HU$13:$HU$512,"="&amp;SUBSTITUTE(SUBSTITUTE(SUBSTITUTE('Calculations'!HF43,"~","~~"),"*","~*"),"?","~?"),'Calculations'!$HN$13:$HN$512,"="&amp;SUBSTITUTE(SUBSTITUTE(SUBSTITUTE('Dashboard'!$B$7,"~","~~"),"*","~*"),"?","~?"))+COUNTIFS('Calculations'!$HV$13:$HV$512,"="&amp;SUBSTITUTE(SUBSTITUTE(SUBSTITUTE('Calculations'!HF43,"~","~~"),"*","~*"),"?","~?"),'Calculations'!$HN$13:$HN$512,"="&amp;SUBSTITUTE(SUBSTITUTE(SUBSTITUTE('Dashboard'!$B$7,"~","~~"),"*","~*"),"?","~?"))+COUNTIFS('Calculations'!$HW$13:$HW$512,"="&amp;SUBSTITUTE(SUBSTITUTE(SUBSTITUTE('Calculations'!HF43,"~","~~"),"*","~*"),"?","~?"),'Calculations'!$HN$13:$HN$512,"="&amp;SUBSTITUTE(SUBSTITUTE(SUBSTITUTE('Dashboard'!$B$7,"~","~~"),"*","~*"),"?","~?"))+COUNTIFS('Calculations'!$HX$13:$HX$512,"="&amp;SUBSTITUTE(SUBSTITUTE(SUBSTITUTE('Calculations'!HF43,"~","~~"),"*","~*"),"?","~?"),'Calculations'!$HN$13:$HN$512,"="&amp;SUBSTITUTE(SUBSTITUTE(SUBSTITUTE('Dashboard'!$B$7,"~","~~"),"*","~*"),"?","~?"))+COUNTIFS('Calculations'!$HY$13:$HY$512,"="&amp;SUBSTITUTE(SUBSTITUTE(SUBSTITUTE('Calculations'!HF43,"~","~~"),"*","~*"),"?","~?"),'Calculations'!$HN$13:$HN$512,"="&amp;SUBSTITUTE(SUBSTITUTE(SUBSTITUTE('Dashboard'!$B$7,"~","~~"),"*","~*"),"?","~?"))+COUNTIFS('Calculations'!$HZ$13:$HZ$512,"="&amp;SUBSTITUTE(SUBSTITUTE(SUBSTITUTE('Calculations'!HF43,"~","~~"),"*","~*"),"?","~?"),'Calculations'!$HN$13:$HN$512,"="&amp;SUBSTITUTE(SUBSTITUTE(SUBSTITUTE('Dashboard'!$B$7,"~","~~"),"*","~*"),"?","~?"))+COUNTIFS('Calculations'!$IA$13:$IA$512,"="&amp;SUBSTITUTE(SUBSTITUTE(SUBSTITUTE('Calculations'!HF43,"~","~~"),"*","~*"),"?","~?"),'Calculations'!$HN$13:$HN$512,"="&amp;SUBSTITUTE(SUBSTITUTE(SUBSTITUTE('Dashboard'!$B$7,"~","~~"),"*","~*"),"?","~?"))+COUNTIFS('Calculations'!$IB$13:$IB$512,"="&amp;SUBSTITUTE(SUBSTITUTE(SUBSTITUTE('Calculations'!HF43,"~","~~"),"*","~*"),"?","~?"),'Calculations'!$HN$13:$HN$512,"="&amp;SUBSTITUTE(SUBSTITUTE(SUBSTITUTE('Dashboard'!$B$7,"~","~~"),"*","~*"),"?","~?"))+COUNTIFS('Calculations'!$IC$13:$IC$512,"="&amp;SUBSTITUTE(SUBSTITUTE(SUBSTITUTE('Calculations'!HF43,"~","~~"),"*","~*"),"?","~?"),'Calculations'!$HN$13:$HN$512,"="&amp;SUBSTITUTE(SUBSTITUTE(SUBSTITUTE('Dashboard'!$B$7,"~","~~"),"*","~*"),"?","~?"))+COUNTIFS('Calculations'!$ID$13:$ID$512,"="&amp;SUBSTITUTE(SUBSTITUTE(SUBSTITUTE('Calculations'!HF43,"~","~~"),"*","~*"),"?","~?"),'Calculations'!$HN$13:$HN$512,"="&amp;SUBSTITUTE(SUBSTITUTE(SUBSTITUTE('Dashboard'!$B$7,"~","~~"),"*","~*"),"?","~?"))+COUNTIFS('Calculations'!$IE$13:$IE$512,"="&amp;SUBSTITUTE(SUBSTITUTE(SUBSTITUTE('Calculations'!HF43,"~","~~"),"*","~*"),"?","~?"),'Calculations'!$HN$13:$HN$512,"="&amp;SUBSTITUTE(SUBSTITUTE(SUBSTITUTE('Dashboard'!$B$7,"~","~~"),"*","~*"),"?","~?"))+COUNTIFS('Calculations'!$IF$13:$IF$512,"="&amp;SUBSTITUTE(SUBSTITUTE(SUBSTITUTE('Calculations'!HF43,"~","~~"),"*","~*"),"?","~?"),'Calculations'!$HN$13:$HN$512,"="&amp;SUBSTITUTE(SUBSTITUTE(SUBSTITUTE('Dashboard'!$B$7,"~","~~"),"*","~*"),"?","~?"))+COUNTIFS('Calculations'!$IG$13:$IG$512,"="&amp;SUBSTITUTE(SUBSTITUTE(SUBSTITUTE('Calculations'!HF43,"~","~~"),"*","~*"),"?","~?"),'Calculations'!$HN$13:$HN$512,"="&amp;SUBSTITUTE(SUBSTITUTE(SUBSTITUTE('Dashboard'!$B$7,"~","~~"),"*","~*"),"?","~?"))+COUNTIFS('Calculations'!$IH$13:$IH$512,"="&amp;SUBSTITUTE(SUBSTITUTE(SUBSTITUTE('Calculations'!HF43,"~","~~"),"*","~*"),"?","~?"),'Calculations'!$HN$13:$HN$512,"="&amp;SUBSTITUTE(SUBSTITUTE(SUBSTITUTE('Dashboard'!$B$7,"~","~~"),"*","~*"),"?","~?"))))</x:f>
        <x:v>0</x:v>
      </x:c>
      <x:c r="JD43" t="n">
        <x:f>IF('Calculations'!EM43="",0,IF('Dashboard'!$B$7="All",1,IF('Calculations'!HN43='Dashboard'!$B$7,1,0)+IFERROR(INDEX('Calculations'!$JC$13:$JC$512,MATCH('Calculations'!HE43,'Calculations'!$HF$13:$HF$512,0)),0)))</x:f>
        <x:v>0</x:v>
      </x:c>
      <x:c r="JE43" t="n">
        <x:f>IF(AND('Calculations'!EM43&lt;&gt;"",'Calculations'!$JJ$2&lt;&gt;"All",'Calculations'!$JJ$2&lt;&gt;"",'Calculations'!HF43='Calculations'!$JJ$2,'Calculations'!HL43=0,'Calculations'!JD43&gt;0),MAX('Calculations'!$JE$12:JE42)+1,0)</x:f>
        <x:v>0</x:v>
      </x:c>
      <x:c r="JF43" t="str">
        <x:f>IF('Calculations'!EM43="","",IFERROR(IF(INDEX(INDIRECT("'WCM Calibration Final'!$G$1:$G$2000"),'Calculations'!$EM43)="","",TRIM(INDEX(INDIRECT("'WCM Calibration Final'!$G$1:$G$2000"),'Calculations'!$EM43)&amp;"")),""))</x:f>
      </x:c>
      <x:c r="JQ43" t="n">
        <x:f>IF(OR('Calculations'!BM43=0,NOT('Calculations'!$AG$2),'Calculations'!$AG$8&gt;0),0,IF(OR('Dashboard'!$B$7="All",'Calculations'!HN43='Dashboard'!$B$7),IF('Calculations'!$JJ$2="All",1,IF(AND('Calculations'!HF43='Calculations'!$JJ$2,'Calculations'!HL43=0),1,0)),0))</x:f>
        <x:v>0</x:v>
      </x:c>
    </x:row>
    <x:row r="44">
      <x:c r="AF44" s="4" t="str">
        <x:v>2 Exceeds</x:v>
      </x:c>
      <x:c r="AG44" s="4" t="n">
        <x:f>COUNTIFS('Calculations'!$BN$13:$BN$512,1,'Calculations'!$BZ$13:$BZ$512,2)</x:f>
        <x:v>0</x:v>
      </x:c>
      <x:c r="AH44" s="4" t="e">
        <x:f>IF(SUM('Calculations'!$AG$43:$AG$46)=0,NA(),'Calculations'!AG44/SUM('Calculations'!$AG$43:$AG$46))</x:f>
        <x:v>#N/A</x:v>
      </x:c>
      <x:c r="AI44" s="4"/>
      <x:c r="AJ44" s="4"/>
      <x:c r="AK44" s="4"/>
      <x:c r="AL44" s="4"/>
      <x:c r="AM44" s="4"/>
      <x:c r="AN44" s="4"/>
      <x:c r="AO44" s="4"/>
      <x:c r="AP44" s="4"/>
      <x:c r="AQ44" s="4"/>
      <x:c r="AR44" s="4"/>
      <x:c r="AS44" s="4"/>
      <x:c r="AT44" s="4" t="str">
        <x:f>IFERROR('Calculations'!AG44&amp;" · "&amp;TEXT('Calculations'!AH44,"0.0%"),"")</x:f>
      </x:c>
      <x:c r="AU44" s="4"/>
      <x:c r="AV44" s="4"/>
      <x:c r="AW44" s="4"/>
      <x:c r="AX44" s="4"/>
      <x:c r="AY44" s="4"/>
      <x:c r="AZ44" s="4"/>
      <x:c r="BA44" s="4"/>
      <x:c r="BB44" s="4"/>
      <x:c r="BC44" s="4"/>
      <x:c r="BD44" s="4"/>
      <x:c r="BE44" s="4"/>
      <x:c r="BF44" s="4"/>
      <x:c r="BG44" s="4"/>
      <x:c r="BH44" s="4"/>
      <x:c r="BI44" s="4"/>
      <x:c r="BJ44" s="4"/>
      <x:c r="BK44" s="4"/>
      <x:c r="BL44" s="4"/>
      <x:c r="BM44" s="4" t="n">
        <x:f>IF('Calculations'!$EM44="",0,IF(OR(IFERROR(INDEX(INDIRECT("'WCM Calibration Final'!$A$1:$A$2000"),'Calculations'!$EM44)&lt;&gt;"",FALSE),IFERROR(INDEX(INDIRECT("'WCM Calibration Final'!$B$1:$B$2000"),'Calculations'!$EM44)&lt;&gt;"",FALSE),IFERROR(INDEX(INDIRECT("'WCM Calibration Final'!$C$1:$C$2000"),'Calculations'!$EM44)&lt;&gt;"",FALSE)),1,0))</x:f>
        <x:v>0</x:v>
      </x:c>
      <x:c r="BN44" s="4" t="n">
        <x:f>IF(AND('Calculations'!BM44=1,'Calculations'!$AG$2,'Calculations'!$EN44=1),1,0)</x:f>
        <x:v>0</x:v>
      </x:c>
      <x:c r="BO44" s="4" t="str">
        <x:f>IF('Calculations'!BM44=0,"",IFERROR(IF(AND(VALUE(INDEX(INDIRECT("'WCM Calibration Final'!$K$1:$K$2000"),'Calculations'!$EM44))&gt;=1,VALUE(INDEX(INDIRECT("'WCM Calibration Final'!$K$1:$K$2000"),'Calculations'!$EM44))&lt;=4,MOD(VALUE(INDEX(INDIRECT("'WCM Calibration Final'!$K$1:$K$2000"),'Calculations'!$EM44)),1)=0),VALUE(INDEX(INDIRECT("'WCM Calibration Final'!$K$1:$K$2000"),'Calculations'!$EM44)),""),""))</x:f>
      </x:c>
      <x:c r="BP44" s="4" t="str">
        <x:f>IF('Calculations'!BM44=0,"",IFERROR(IF(AND(VALUE(INDEX(INDIRECT("'WCM Calibration Final'!$L$1:$L$2000"),'Calculations'!$EM44))&gt;=1,VALUE(INDEX(INDIRECT("'WCM Calibration Final'!$L$1:$L$2000"),'Calculations'!$EM44))&lt;=4,MOD(VALUE(INDEX(INDIRECT("'WCM Calibration Final'!$L$1:$L$2000"),'Calculations'!$EM44)),1)=0),VALUE(INDEX(INDIRECT("'WCM Calibration Final'!$L$1:$L$2000"),'Calculations'!$EM44)),""),""))</x:f>
      </x:c>
      <x:c r="BQ44" s="4"/>
      <x:c r="BR44" s="4"/>
      <x:c r="BS44" s="4"/>
      <x:c r="BT44" s="4" t="n">
        <x:f>IF(AND('Calculations'!BM44=1,ISNUMBER('Calculations'!BO44),ISNUMBER('Calculations'!BP44)),1,0)</x:f>
        <x:v>0</x:v>
      </x:c>
      <x:c r="BU44" s="4" t="str">
        <x:f>IF('Calculations'!BM44=0,"",'Calculations'!$EO44)</x:f>
      </x:c>
      <x:c r="BV44" s="4" t="str">
        <x:f>IF('Calculations'!BM44=0,"",IFERROR(IF(OR(INDEX(INDIRECT("'WCM Calibration Final'!$H$1:$H$2000"),'Calculations'!$EM44)="MANAGING DIRECTOR",INDEX(INDIRECT("'WCM Calibration Final'!$H$1:$H$2000"),'Calculations'!$EM44)="DIRECTOR",INDEX(INDIRECT("'WCM Calibration Final'!$H$1:$H$2000"),'Calculations'!$EM44)="SENIOR VICE PRESIDENT",INDEX(INDIRECT("'WCM Calibration Final'!$H$1:$H$2000"),'Calculations'!$EM44)="VICE PRESIDENT",INDEX(INDIRECT("'WCM Calibration Final'!$H$1:$H$2000"),'Calculations'!$EM44)="ASSISTANT VICE PRESIDENT",INDEX(INDIRECT("'WCM Calibration Final'!$H$1:$H$2000"),'Calculations'!$EM44)="OFFICER"),UPPER(INDEX(INDIRECT("'WCM Calibration Final'!$H$1:$H$2000"),'Calculations'!$EM44)),"Other"),"Other"))</x:f>
      </x:c>
      <x:c r="BW44" s="4"/>
      <x:c r="BX44" s="4"/>
      <x:c r="BY44" s="4" t="n">
        <x:f>IF(AND('Calculations'!BM44=1,'Calculations'!BU44&lt;&gt;"",COUNTIF('Calculations'!$BU$12:BU44,'Calculations'!BU44)=1),MAX('Calculations'!$BY$11:BY43)+1,0)</x:f>
        <x:v>0</x:v>
      </x:c>
      <x:c r="BZ44" s="4" t="str">
        <x:f>IF('Dashboard'!$E$67="What",'Calculations'!BO44,'Calculations'!BP44)</x:f>
      </x:c>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t="str">
        <x:f>IF(33&gt;MAX('Calculations'!$HI$13:$HI$512),"",INDEX('Calculations'!$HN$13:$HN$512,MATCH(33,'Calculations'!$HI$13:$HI$512,0)))</x:f>
      </x:c>
      <x:c r="DB44" s="4" t="str">
        <x:f>IF(33&gt;MAX('Calculations'!$HH$13:$HH$512),"",INDEX('Calculations'!$HJ$13:$HJ$512,MATCH(33,'Calculations'!$HH$13:$HH$512,0)))</x:f>
      </x:c>
      <x:c r="DC44" s="4" t="str">
        <x:f>IF(ROW()-11&gt;MAX('Calculations'!$BY$13:$BY$512),"",INDEX('Calculations'!$BU$13:$BU$512,MATCH(ROW()-11,'Calculations'!$BY$13:$BY$512,0)))</x:f>
      </x:c>
      <x:c r="DD44" s="4" t="str">
        <x:f>IF(33&gt;MAX('Calculations'!$IK$13:$IK$512),"",INDEX('Calculations'!$HK$13:$HK$512,MATCH(33,'Calculations'!$IK$13:$IK$512,0)))</x:f>
      </x:c>
      <x:c r="DE44" s="4" t="str">
        <x:f>'Calculations'!DC44</x:f>
      </x:c>
      <x:c r="DF44" s="4" t="str">
        <x:f>IF('Calculations'!DE44="","",COUNTIFS('Calculations'!$BN$13:$BN$512,1,'Calculations'!$BU$13:$BU$512,'Calculations'!DE44))</x:f>
      </x:c>
      <x:c r="DG44" s="4" t="str">
        <x:f>IF('Calculations'!DE44="","",COUNTIFS('Calculations'!$BN$13:$BN$512,1,'Calculations'!$BU$13:$BU$512,'Calculations'!DE44,'Calculations'!$BT$13:$BT$512,1))</x:f>
      </x:c>
      <x:c r="DH44" s="4" t="str">
        <x:f>IF('Calculations'!DE44="","",'Calculations'!DF44-'Calculations'!DG44)</x:f>
      </x:c>
      <x:c r="DI44" s="4" t="str">
        <x:f>IF(OR('Calculations'!DE44="",'Calculations'!DF44=0),"",'Calculations'!DG44/'Calculations'!DF44)</x:f>
      </x:c>
      <x:c r="DJ44" s="4" t="str">
        <x:f>IF('Calculations'!DE44="","",COUNTIFS('Calculations'!$BN$13:$BN$512,1,'Calculations'!$BU$13:$BU$512,'Calculations'!DE44,'Calculations'!$BT$13:$BT$512,1,'Calculations'!$EE$13:$EE$512,"High"))</x:f>
      </x:c>
      <x:c r="DK44" s="4" t="str">
        <x:f>IF('Calculations'!DE44="","",COUNTIFS('Calculations'!$BN$13:$BN$512,1,'Calculations'!$BU$13:$BU$512,'Calculations'!DE44,'Calculations'!$BT$13:$BT$512,1,'Calculations'!$EE$13:$EE$512,"Strong"))</x:f>
      </x:c>
      <x:c r="DL44" s="4" t="str">
        <x:f>IF('Calculations'!DE44="","",COUNTIFS('Calculations'!$BN$13:$BN$512,1,'Calculations'!$BU$13:$BU$512,'Calculations'!DE44,'Calculations'!$BT$13:$BT$512,1,'Calculations'!$EE$13:$EE$512,"Solid"))</x:f>
      </x:c>
      <x:c r="DM44" s="4" t="str">
        <x:f>IF('Calculations'!DE44="","",COUNTIFS('Calculations'!$BN$13:$BN$512,1,'Calculations'!$BU$13:$BU$512,'Calculations'!DE44,'Calculations'!$BT$13:$BT$512,1,'Calculations'!$EE$13:$EE$512,"Low"))</x:f>
      </x:c>
      <x:c r="DN44" s="4" t="str">
        <x:f>IF('Calculations'!DE44="","",COUNTIFS('Calculations'!$BN$13:$BN$512,1,'Calculations'!$BU$13:$BU$512,'Calculations'!DE44,'Calculations'!$EP$13:$EP$512,1))</x:f>
      </x:c>
      <x:c r="DO44" s="4" t="str">
        <x:f>IF(OR('Calculations'!DE44="",'Calculations'!DG44=0),"",('Calculations'!DJ44+'Calculations'!DK44)/'Calculations'!DG44)</x:f>
      </x:c>
      <x:c r="DP44" s="4" t="n">
        <x:f>IF(AND('Calculations'!DE44&lt;&gt;"",'Calculations'!DF44&gt;0),COUNTIF('Calculations'!$DF$12:DF44,"&gt;0"),0)</x:f>
        <x:v>0</x:v>
      </x:c>
      <x:c r="DQ44" s="4" t="str">
        <x:f>IF(33&gt;MAX('Calculations'!$HH$13:$HH$512),"",INDEX('Calculations'!$HF$13:$HF$512,MATCH(33,'Calculations'!$HH$13:$HH$512,0)))</x:f>
      </x:c>
      <x:c r="DR44" s="4" t="str">
        <x:f>IF(33&gt;MAX('Calculations'!$IK$13:$IK$512),"",INDEX('Calculations'!$HE$13:$HE$512,MATCH(33,'Calculations'!$IK$13:$IK$512,0)))</x:f>
      </x:c>
      <x:c r="DS44" s="4"/>
      <x:c r="DT44" s="4"/>
      <x:c r="DU44" s="4"/>
      <x:c r="DV44" s="4"/>
      <x:c r="DW44" s="4"/>
      <x:c r="DX44" s="4"/>
      <x:c r="DY44" s="4"/>
      <x:c r="DZ44" s="4"/>
      <x:c r="EA44" s="4"/>
      <x:c r="EB44" s="4"/>
      <x:c r="EC44" s="4"/>
      <x:c r="ED44" s="4"/>
      <x:c r="EE44" s="4" t="str">
        <x:f>IF('Calculations'!BT44=0,"Not Rated",IF(OR('Calculations'!BO44&gt;=4,'Calculations'!BP44&gt;=4),"Low",IF('Calculations'!BO44+'Calculations'!BP44&lt;=3,"High",IF('Calculations'!BO44+'Calculations'!BP44&lt;=4,"Strong","Solid"))))</x:f>
        <x:v>Not Rated</x:v>
      </x:c>
      <x:c r="EF44" s="4"/>
      <x:c r="EG44" s="4"/>
      <x:c r="EH44" s="4"/>
      <x:c r="EI44" s="4"/>
      <x:c r="EJ44" s="4"/>
      <x:c r="EK44" s="4"/>
      <x:c r="EL44" s="4"/>
      <x:c r="EM44" s="4" t="str">
        <x:f>IF(32&gt;'Calculations'!$JB$2000,"",INDEX('Calculations'!$JA$12:$JA$2000,MATCH(32,'Calculations'!$JB$12:$JB$2000,0)))</x:f>
      </x:c>
      <x:c r="EN44" s="4" t="n">
        <x:f>IF(OR('Calculations'!EM44="",'Calculations'!$AG$8&gt;0,AND('Calculations'!$EF$2&lt;&gt;"All",'Calculations'!HE44='Calculations'!$EF$2),AND('Calculations'!$EF$3&lt;&gt;"All",'Calculations'!HE44='Calculations'!$EF$3)),0,IF(OR('Dashboard'!$B$7="All",'Calculations'!HN44='Dashboard'!$B$7),IF('Calculations'!$EF$2="All",1,IF('Calculations'!HL44&gt;0,0,IF(COUNTIF('Calculations'!HO44:II44,"="&amp;SUBSTITUTE(SUBSTITUTE(SUBSTITUTE('Calculations'!$EF$2,"~","~~"),"*","~*"),"?","~?"))=0,0,IF('Calculations'!$EF$3="All",1,IF(COUNTIF('Calculations'!HO44:II44,"="&amp;SUBSTITUTE(SUBSTITUTE(SUBSTITUTE('Calculations'!$EF$3,"~","~~"),"*","~*"),"?","~?"))&gt;0,1,0))))),0))</x:f>
        <x:v>0</x:v>
      </x:c>
      <x:c r="EO44" s="4" t="str">
        <x:f>IF('Calculations'!IJ44="","",IF('Calculations'!IJ44="!UNRESOLVED","Unresolved hierarchy",IFERROR(INDEX('Calculations'!$HK$13:$HK$512,MATCH('Calculations'!IJ44,'Calculations'!$HE$13:$HE$512,0)),IFERROR(INDEX('Calculations'!$HJ$13:$HJ$512,MATCH('Calculations'!IJ44,'Calculations'!$HF$13:$HF$512,0)),'Calculations'!IJ44))))</x:f>
      </x:c>
      <x:c r="EP44" s="4" t="n">
        <x:f>IF(AND('Calculations'!EM44&lt;&gt;"",'Calculations'!HF44='Calculations'!IJ44),1,0)</x:f>
        <x:v>0</x:v>
      </x:c>
      <x:c r="EQ44" s="4"/>
      <x:c r="ER44" s="4"/>
      <x:c r="ES44" s="4"/>
      <x:c r="ET44" s="4"/>
      <x:c r="EU44" s="4"/>
      <x:c r="EV44" s="4"/>
      <x:c r="EW44" s="4"/>
      <x:c r="EX44" s="4"/>
      <x:c r="EY44" s="4"/>
      <x:c r="EZ44" s="4"/>
      <x:c r="FA44" s="4"/>
      <x:c r="FB44" s="4"/>
      <x:c r="FC44" s="4"/>
      <x:c r="FD44" s="4"/>
      <x:c r="FE44" s="4"/>
      <x:c r="FF44" s="4"/>
      <x:c r="FG44" s="4"/>
      <x:c r="FH44" s="4"/>
      <x:c r="FI44" s="4"/>
      <x:c r="FJ44" s="4"/>
      <x:c r="FK44" s="4"/>
      <x:c r="FL44" s="4"/>
      <x:c r="FM44" s="4"/>
      <x:c r="FN44" s="4"/>
      <x:c r="FO44" s="4"/>
      <x:c r="GA44" s="71"/>
      <x:c r="GB44" s="71"/>
      <x:c r="GC44" s="71"/>
      <x:c r="GD44" s="71"/>
      <x:c r="GE44" s="71"/>
      <x:c r="GF44" s="71"/>
      <x:c r="GG44" s="71"/>
      <x:c r="GH44" s="71"/>
      <x:c r="GI44" s="71"/>
      <x:c r="GJ44" s="71"/>
      <x:c r="GK44" s="71"/>
      <x:c r="GL44" s="71"/>
      <x:c r="GM44" s="71"/>
      <x:c r="GN44" s="71"/>
      <x:c r="GO44" s="71"/>
      <x:c r="GP44" s="71"/>
      <x:c r="GQ44" s="71"/>
      <x:c r="GR44" s="71"/>
      <x:c r="GS44" s="71"/>
      <x:c r="GT44" s="71"/>
      <x:c r="GU44" s="71"/>
      <x:c r="GV44" s="71"/>
      <x:c r="GW44" s="71"/>
      <x:c r="GX44" s="71"/>
      <x:c r="GY44" s="71"/>
      <x:c r="GZ44" s="71"/>
      <x:c r="HA44" s="71"/>
      <x:c r="HB44" s="71"/>
      <x:c r="HC44" s="71"/>
      <x:c r="HD44" s="71"/>
      <x:c r="HE44" t="str">
        <x:f>IF('Calculations'!EM44="","",IF(IFERROR(IF(INDEX(INDIRECT("'WCM Calibration Final'!$A$1:$A$2000"),'Calculations'!$EM44)="","",TRIM(INDEX(INDIRECT("'WCM Calibration Final'!$A$1:$A$2000"),'Calculations'!$EM44)&amp;"")),"")&lt;&gt;"","G:"&amp;IFERROR(TEXT(1*INDEX(INDIRECT("'WCM Calibration Final'!$A$1:$A$2000"),'Calculations'!$EM44),"0"),UPPER(IFERROR(IF(INDEX(INDIRECT("'WCM Calibration Final'!$A$1:$A$2000"),'Calculations'!$EM44)="","",TRIM(INDEX(INDIRECT("'WCM Calibration Final'!$A$1:$A$2000"),'Calculations'!$EM44)&amp;"")),""))),IF(IFERROR(IF(INDEX(INDIRECT("'WCM Calibration Final'!$C$1:$C$2000"),'Calculations'!$EM44)="","",TRIM(INDEX(INDIRECT("'WCM Calibration Final'!$C$1:$C$2000"),'Calculations'!$EM44)&amp;"")),"")&lt;&gt;"","S:"&amp;UPPER(IFERROR(IF(INDEX(INDIRECT("'WCM Calibration Final'!$C$1:$C$2000"),'Calculations'!$EM44)="","",TRIM(INDEX(INDIRECT("'WCM Calibration Final'!$C$1:$C$2000"),'Calculations'!$EM44)&amp;"")),"")),"R:"&amp;'Calculations'!EM44)))</x:f>
      </x:c>
      <x:c r="HF44" t="str">
        <x:f>IF('Calculations'!EM44="","",IF(IFERROR(IF(INDEX(INDIRECT("'WCM Calibration Final'!$D$1:$D$2000"),'Calculations'!$EM44)="","",TRIM(INDEX(INDIRECT("'WCM Calibration Final'!$D$1:$D$2000"),'Calculations'!$EM44)&amp;"")),"")&lt;&gt;"","G:"&amp;IFERROR(TEXT(1*INDEX(INDIRECT("'WCM Calibration Final'!$D$1:$D$2000"),'Calculations'!$EM44),"0"),UPPER(IFERROR(IF(INDEX(INDIRECT("'WCM Calibration Final'!$D$1:$D$2000"),'Calculations'!$EM44)="","",TRIM(INDEX(INDIRECT("'WCM Calibration Final'!$D$1:$D$2000"),'Calculations'!$EM44)&amp;"")),""))),IF(IFERROR(IF(INDEX(INDIRECT("'WCM Calibration Final'!$E$1:$E$2000"),'Calculations'!$EM44)="","",TRIM(INDEX(INDIRECT("'WCM Calibration Final'!$E$1:$E$2000"),'Calculations'!$EM44)&amp;"")),"")="","",IF(COUNTIF('Calculations'!$HG$13:$HG$512,"="&amp;SUBSTITUTE(SUBSTITUTE(SUBSTITUTE(IFERROR(IF(INDEX(INDIRECT("'WCM Calibration Final'!$E$1:$E$2000"),'Calculations'!$EM44)="","",TRIM(INDEX(INDIRECT("'WCM Calibration Final'!$E$1:$E$2000"),'Calculations'!$EM44)&amp;"")),""),"~","~~"),"*","~*"),"?","~?"))=1,INDEX('Calculations'!$HE$13:$HE$512,MATCH(IFERROR(IF(INDEX(INDIRECT("'WCM Calibration Final'!$E$1:$E$2000"),'Calculations'!$EM44)="","",TRIM(INDEX(INDIRECT("'WCM Calibration Final'!$E$1:$E$2000"),'Calculations'!$EM44)&amp;"")),""),'Calculations'!$HG$13:$HG$512,0)),IF(COUNTIF('Calculations'!$HG$13:$HG$512,"="&amp;SUBSTITUTE(SUBSTITUTE(SUBSTITUTE(IFERROR(IF(INDEX(INDIRECT("'WCM Calibration Final'!$E$1:$E$2000"),'Calculations'!$EM44)="","",TRIM(INDEX(INDIRECT("'WCM Calibration Final'!$E$1:$E$2000"),'Calculations'!$EM44)&amp;"")),""),"~","~~"),"*","~*"),"?","~?"))&gt;1,"!AMBIG","X:"&amp;IFERROR(IF(INDEX(INDIRECT("'WCM Calibration Final'!$E$1:$E$2000"),'Calculations'!$EM44)="","",TRIM(INDEX(INDIRECT("'WCM Calibration Final'!$E$1:$E$2000"),'Calculations'!$EM44)&amp;"")),""))))))</x:f>
      </x:c>
      <x:c r="HG44" t="str">
        <x:f>IF('Calculations'!EM44="","",IFERROR(IF(INDEX(INDIRECT("'WCM Calibration Final'!$B$1:$B$2000"),'Calculations'!$EM44)="","",TRIM(INDEX(INDIRECT("'WCM Calibration Final'!$B$1:$B$2000"),'Calculations'!$EM44)&amp;"")),""))</x:f>
      </x:c>
      <x:c r="HH44" t="n">
        <x:f>IF(AND('Calculations'!JC44&gt;0,COUNTIF('Calculations'!$HF$12:HF44,"="&amp;SUBSTITUTE(SUBSTITUTE(SUBSTITUTE('Calculations'!HF44,"~","~~"),"*","~*"),"?","~?"))=1),MAX('Calculations'!$HH$12:HH43)+1,0)</x:f>
        <x:v>0</x:v>
      </x:c>
      <x:c r="HI44" t="n">
        <x:f>IF(AND('Calculations'!HN44&lt;&gt;"",COUNTIF('Calculations'!$HN$12:HN44,"="&amp;SUBSTITUTE(SUBSTITUTE(SUBSTITUTE('Calculations'!HN44,"~","~~"),"*","~*"),"?","~?"))=1),MAX('Calculations'!$HI$12:HI43)+1,0)</x:f>
        <x:v>0</x:v>
      </x:c>
      <x:c r="HJ44" t="str">
        <x:f>IF('Calculations'!HF44="","",IF(COUNTIF('Calculations'!$HE$13:$HE$512,"="&amp;SUBSTITUTE(SUBSTITUTE(SUBSTITUTE('Calculations'!HF44,"~","~~"),"*","~*"),"?","~?"))=1,INDEX('Calculations'!$HK$13:$HK$512,MATCH('Calculations'!HF44,'Calculations'!$HE$13:$HE$512,0)),IFERROR(IF(INDEX(INDIRECT("'WCM Calibration Final'!$E$1:$E$2000"),'Calculations'!$EM44)="","",TRIM(INDEX(INDIRECT("'WCM Calibration Final'!$E$1:$E$2000"),'Calculations'!$EM44)&amp;"")),"")&amp;" ["&amp;'Calculations'!HF44&amp;"]"))</x:f>
      </x:c>
      <x:c r="HK44" t="str">
        <x:f>IF('Calculations'!EM44="","",'Calculations'!HG44&amp;" ["&amp;'Calculations'!HE44&amp;"]")</x:f>
      </x:c>
      <x:c r="HL44" t="n">
        <x:f>IF('Calculations'!EM44="",0,IF(OR('Calculations'!II44&lt;&gt;"",COUNTIF('Calculations'!$HE$13:$HE$512,"="&amp;SUBSTITUTE(SUBSTITUTE(SUBSTITUTE('Calculations'!HE44,"~","~~"),"*","~*"),"?","~?"))&gt;1),1,0))</x:f>
        <x:v>0</x:v>
      </x:c>
      <x:c r="HM44" t="str">
        <x:f>IF('Calculations'!EM44="","",IF('Calculations'!HL44=1,"!UNRESOLVED",IF('Calculations'!IH44&lt;&gt;"",'Calculations'!IH44,IF('Calculations'!IG44&lt;&gt;"",'Calculations'!IG44,IF('Calculations'!IF44&lt;&gt;"",'Calculations'!IF44,IF('Calculations'!IE44&lt;&gt;"",'Calculations'!IE44,IF('Calculations'!ID44&lt;&gt;"",'Calculations'!ID44,IF('Calculations'!IC44&lt;&gt;"",'Calculations'!IC44,IF('Calculations'!IB44&lt;&gt;"",'Calculations'!IB44,IF('Calculations'!IA44&lt;&gt;"",'Calculations'!IA44,IF('Calculations'!HZ44&lt;&gt;"",'Calculations'!HZ44,IF('Calculations'!HY44&lt;&gt;"",'Calculations'!HY44,IF('Calculations'!HX44&lt;&gt;"",'Calculations'!HX44,IF('Calculations'!HW44&lt;&gt;"",'Calculations'!HW44,IF('Calculations'!HV44&lt;&gt;"",'Calculations'!HV44,IF('Calculations'!HU44&lt;&gt;"",'Calculations'!HU44,IF('Calculations'!HT44&lt;&gt;"",'Calculations'!HT44,IF('Calculations'!HS44&lt;&gt;"",'Calculations'!HS44,IF('Calculations'!HR44&lt;&gt;"",'Calculations'!HR44,IF('Calculations'!HQ44&lt;&gt;"",'Calculations'!HQ44,IF('Calculations'!HP44&lt;&gt;"",'Calculations'!HP44,IF('Calculations'!HO44&lt;&gt;"",'Calculations'!HO44,'Calculations'!HE44))))))))))))))))))))))</x:f>
      </x:c>
      <x:c r="HN44" t="str">
        <x:f>IF('Calculations'!EM44="","",IF(IFERROR(IF(INDEX(INDIRECT("'WCM Calibration Final'!$F$1:$F$2000"),'Calculations'!$EM44)="","",TRIM(INDEX(INDIRECT("'WCM Calibration Final'!$F$1:$F$2000"),'Calculations'!$EM44)&amp;"")),"")="","(Blank)",IFERROR(IF(INDEX(INDIRECT("'WCM Calibration Final'!$F$1:$F$2000"),'Calculations'!$EM44)="","",TRIM(INDEX(INDIRECT("'WCM Calibration Final'!$F$1:$F$2000"),'Calculations'!$EM44)&amp;"")),"")))</x:f>
      </x:c>
      <x:c r="HO44" t="str">
        <x:f>'Calculations'!HF44</x:f>
      </x:c>
      <x:c r="HP44" t="str">
        <x:f>IF('Calculations'!HO44="","",IF('Calculations'!HO44="!AMBIG","!AMBIG",IF(COUNTIF('Calculations'!$HE$13:$HE$512,"="&amp;SUBSTITUTE(SUBSTITUTE(SUBSTITUTE('Calculations'!HO44,"~","~~"),"*","~*"),"?","~?"))&gt;1,"!AMBIG",IFERROR(INDEX('Calculations'!$HF$13:$HF$512,MATCH('Calculations'!HO44,'Calculations'!$HE$13:$HE$512,0)),""))))</x:f>
      </x:c>
      <x:c r="HQ44" t="str">
        <x:f>IF('Calculations'!HP44="","",IF('Calculations'!HP44="!AMBIG","!AMBIG",IF(COUNTIF('Calculations'!$HE$13:$HE$512,"="&amp;SUBSTITUTE(SUBSTITUTE(SUBSTITUTE('Calculations'!HP44,"~","~~"),"*","~*"),"?","~?"))&gt;1,"!AMBIG",IFERROR(INDEX('Calculations'!$HF$13:$HF$512,MATCH('Calculations'!HP44,'Calculations'!$HE$13:$HE$512,0)),""))))</x:f>
      </x:c>
      <x:c r="HR44" t="str">
        <x:f>IF('Calculations'!HQ44="","",IF('Calculations'!HQ44="!AMBIG","!AMBIG",IF(COUNTIF('Calculations'!$HE$13:$HE$512,"="&amp;SUBSTITUTE(SUBSTITUTE(SUBSTITUTE('Calculations'!HQ44,"~","~~"),"*","~*"),"?","~?"))&gt;1,"!AMBIG",IFERROR(INDEX('Calculations'!$HF$13:$HF$512,MATCH('Calculations'!HQ44,'Calculations'!$HE$13:$HE$512,0)),""))))</x:f>
      </x:c>
      <x:c r="HS44" t="str">
        <x:f>IF('Calculations'!HR44="","",IF('Calculations'!HR44="!AMBIG","!AMBIG",IF(COUNTIF('Calculations'!$HE$13:$HE$512,"="&amp;SUBSTITUTE(SUBSTITUTE(SUBSTITUTE('Calculations'!HR44,"~","~~"),"*","~*"),"?","~?"))&gt;1,"!AMBIG",IFERROR(INDEX('Calculations'!$HF$13:$HF$512,MATCH('Calculations'!HR44,'Calculations'!$HE$13:$HE$512,0)),""))))</x:f>
      </x:c>
      <x:c r="HT44" t="str">
        <x:f>IF('Calculations'!HS44="","",IF('Calculations'!HS44="!AMBIG","!AMBIG",IF(COUNTIF('Calculations'!$HE$13:$HE$512,"="&amp;SUBSTITUTE(SUBSTITUTE(SUBSTITUTE('Calculations'!HS44,"~","~~"),"*","~*"),"?","~?"))&gt;1,"!AMBIG",IFERROR(INDEX('Calculations'!$HF$13:$HF$512,MATCH('Calculations'!HS44,'Calculations'!$HE$13:$HE$512,0)),""))))</x:f>
      </x:c>
      <x:c r="HU44" t="str">
        <x:f>IF('Calculations'!HT44="","",IF('Calculations'!HT44="!AMBIG","!AMBIG",IF(COUNTIF('Calculations'!$HE$13:$HE$512,"="&amp;SUBSTITUTE(SUBSTITUTE(SUBSTITUTE('Calculations'!HT44,"~","~~"),"*","~*"),"?","~?"))&gt;1,"!AMBIG",IFERROR(INDEX('Calculations'!$HF$13:$HF$512,MATCH('Calculations'!HT44,'Calculations'!$HE$13:$HE$512,0)),""))))</x:f>
      </x:c>
      <x:c r="HV44" t="str">
        <x:f>IF('Calculations'!HU44="","",IF('Calculations'!HU44="!AMBIG","!AMBIG",IF(COUNTIF('Calculations'!$HE$13:$HE$512,"="&amp;SUBSTITUTE(SUBSTITUTE(SUBSTITUTE('Calculations'!HU44,"~","~~"),"*","~*"),"?","~?"))&gt;1,"!AMBIG",IFERROR(INDEX('Calculations'!$HF$13:$HF$512,MATCH('Calculations'!HU44,'Calculations'!$HE$13:$HE$512,0)),""))))</x:f>
      </x:c>
      <x:c r="HW44" t="str">
        <x:f>IF('Calculations'!HV44="","",IF('Calculations'!HV44="!AMBIG","!AMBIG",IF(COUNTIF('Calculations'!$HE$13:$HE$512,"="&amp;SUBSTITUTE(SUBSTITUTE(SUBSTITUTE('Calculations'!HV44,"~","~~"),"*","~*"),"?","~?"))&gt;1,"!AMBIG",IFERROR(INDEX('Calculations'!$HF$13:$HF$512,MATCH('Calculations'!HV44,'Calculations'!$HE$13:$HE$512,0)),""))))</x:f>
      </x:c>
      <x:c r="HX44" t="str">
        <x:f>IF('Calculations'!HW44="","",IF('Calculations'!HW44="!AMBIG","!AMBIG",IF(COUNTIF('Calculations'!$HE$13:$HE$512,"="&amp;SUBSTITUTE(SUBSTITUTE(SUBSTITUTE('Calculations'!HW44,"~","~~"),"*","~*"),"?","~?"))&gt;1,"!AMBIG",IFERROR(INDEX('Calculations'!$HF$13:$HF$512,MATCH('Calculations'!HW44,'Calculations'!$HE$13:$HE$512,0)),""))))</x:f>
      </x:c>
      <x:c r="HY44" t="str">
        <x:f>IF('Calculations'!HX44="","",IF('Calculations'!HX44="!AMBIG","!AMBIG",IF(COUNTIF('Calculations'!$HE$13:$HE$512,"="&amp;SUBSTITUTE(SUBSTITUTE(SUBSTITUTE('Calculations'!HX44,"~","~~"),"*","~*"),"?","~?"))&gt;1,"!AMBIG",IFERROR(INDEX('Calculations'!$HF$13:$HF$512,MATCH('Calculations'!HX44,'Calculations'!$HE$13:$HE$512,0)),""))))</x:f>
      </x:c>
      <x:c r="HZ44" t="str">
        <x:f>IF('Calculations'!HY44="","",IF('Calculations'!HY44="!AMBIG","!AMBIG",IF(COUNTIF('Calculations'!$HE$13:$HE$512,"="&amp;SUBSTITUTE(SUBSTITUTE(SUBSTITUTE('Calculations'!HY44,"~","~~"),"*","~*"),"?","~?"))&gt;1,"!AMBIG",IFERROR(INDEX('Calculations'!$HF$13:$HF$512,MATCH('Calculations'!HY44,'Calculations'!$HE$13:$HE$512,0)),""))))</x:f>
      </x:c>
      <x:c r="IA44" t="str">
        <x:f>IF('Calculations'!HZ44="","",IF('Calculations'!HZ44="!AMBIG","!AMBIG",IF(COUNTIF('Calculations'!$HE$13:$HE$512,"="&amp;SUBSTITUTE(SUBSTITUTE(SUBSTITUTE('Calculations'!HZ44,"~","~~"),"*","~*"),"?","~?"))&gt;1,"!AMBIG",IFERROR(INDEX('Calculations'!$HF$13:$HF$512,MATCH('Calculations'!HZ44,'Calculations'!$HE$13:$HE$512,0)),""))))</x:f>
      </x:c>
      <x:c r="IB44" t="str">
        <x:f>IF('Calculations'!IA44="","",IF('Calculations'!IA44="!AMBIG","!AMBIG",IF(COUNTIF('Calculations'!$HE$13:$HE$512,"="&amp;SUBSTITUTE(SUBSTITUTE(SUBSTITUTE('Calculations'!IA44,"~","~~"),"*","~*"),"?","~?"))&gt;1,"!AMBIG",IFERROR(INDEX('Calculations'!$HF$13:$HF$512,MATCH('Calculations'!IA44,'Calculations'!$HE$13:$HE$512,0)),""))))</x:f>
      </x:c>
      <x:c r="IC44" t="str">
        <x:f>IF('Calculations'!IB44="","",IF('Calculations'!IB44="!AMBIG","!AMBIG",IF(COUNTIF('Calculations'!$HE$13:$HE$512,"="&amp;SUBSTITUTE(SUBSTITUTE(SUBSTITUTE('Calculations'!IB44,"~","~~"),"*","~*"),"?","~?"))&gt;1,"!AMBIG",IFERROR(INDEX('Calculations'!$HF$13:$HF$512,MATCH('Calculations'!IB44,'Calculations'!$HE$13:$HE$512,0)),""))))</x:f>
      </x:c>
      <x:c r="ID44" t="str">
        <x:f>IF('Calculations'!IC44="","",IF('Calculations'!IC44="!AMBIG","!AMBIG",IF(COUNTIF('Calculations'!$HE$13:$HE$512,"="&amp;SUBSTITUTE(SUBSTITUTE(SUBSTITUTE('Calculations'!IC44,"~","~~"),"*","~*"),"?","~?"))&gt;1,"!AMBIG",IFERROR(INDEX('Calculations'!$HF$13:$HF$512,MATCH('Calculations'!IC44,'Calculations'!$HE$13:$HE$512,0)),""))))</x:f>
      </x:c>
      <x:c r="IE44" t="str">
        <x:f>IF('Calculations'!ID44="","",IF('Calculations'!ID44="!AMBIG","!AMBIG",IF(COUNTIF('Calculations'!$HE$13:$HE$512,"="&amp;SUBSTITUTE(SUBSTITUTE(SUBSTITUTE('Calculations'!ID44,"~","~~"),"*","~*"),"?","~?"))&gt;1,"!AMBIG",IFERROR(INDEX('Calculations'!$HF$13:$HF$512,MATCH('Calculations'!ID44,'Calculations'!$HE$13:$HE$512,0)),""))))</x:f>
      </x:c>
      <x:c r="IF44" t="str">
        <x:f>IF('Calculations'!IE44="","",IF('Calculations'!IE44="!AMBIG","!AMBIG",IF(COUNTIF('Calculations'!$HE$13:$HE$512,"="&amp;SUBSTITUTE(SUBSTITUTE(SUBSTITUTE('Calculations'!IE44,"~","~~"),"*","~*"),"?","~?"))&gt;1,"!AMBIG",IFERROR(INDEX('Calculations'!$HF$13:$HF$512,MATCH('Calculations'!IE44,'Calculations'!$HE$13:$HE$512,0)),""))))</x:f>
      </x:c>
      <x:c r="IG44" t="str">
        <x:f>IF('Calculations'!IF44="","",IF('Calculations'!IF44="!AMBIG","!AMBIG",IF(COUNTIF('Calculations'!$HE$13:$HE$512,"="&amp;SUBSTITUTE(SUBSTITUTE(SUBSTITUTE('Calculations'!IF44,"~","~~"),"*","~*"),"?","~?"))&gt;1,"!AMBIG",IFERROR(INDEX('Calculations'!$HF$13:$HF$512,MATCH('Calculations'!IF44,'Calculations'!$HE$13:$HE$512,0)),""))))</x:f>
      </x:c>
      <x:c r="IH44" t="str">
        <x:f>IF('Calculations'!IG44="","",IF('Calculations'!IG44="!AMBIG","!AMBIG",IF(COUNTIF('Calculations'!$HE$13:$HE$512,"="&amp;SUBSTITUTE(SUBSTITUTE(SUBSTITUTE('Calculations'!IG44,"~","~~"),"*","~*"),"?","~?"))&gt;1,"!AMBIG",IFERROR(INDEX('Calculations'!$HF$13:$HF$512,MATCH('Calculations'!IG44,'Calculations'!$HE$13:$HE$512,0)),""))))</x:f>
      </x:c>
      <x:c r="II44" t="str">
        <x:f>IF('Calculations'!IH44="","",IF('Calculations'!IH44="!AMBIG","!AMBIG",IF(COUNTIF('Calculations'!$HE$13:$HE$512,"="&amp;SUBSTITUTE(SUBSTITUTE(SUBSTITUTE('Calculations'!IH44,"~","~~"),"*","~*"),"?","~?"))&gt;1,"!AMBIG",IFERROR(INDEX('Calculations'!$HF$13:$HF$512,MATCH('Calculations'!IH44,'Calculations'!$HE$13:$HE$512,0)),""))))</x:f>
      </x:c>
      <x:c r="IJ44" t="str">
        <x:f>IF('Calculations'!EM44="","",IF('Calculations'!$EF$2="All",'Calculations'!HM44,IF('Calculations'!HL44=1,"",IFERROR(IF(MATCH('Calculations'!$EF$2,'Calculations'!HO44:II44,0)=1,'Calculations'!HE44,INDEX('Calculations'!HO44:II44,1,MATCH('Calculations'!$EF$2,'Calculations'!HO44:II44,0)-1)),""))))</x:f>
      </x:c>
      <x:c r="IK44" t="n">
        <x:f>IF(AND('Calculations'!EM44&lt;&gt;"",'Calculations'!$EF$2&lt;&gt;"All",'Calculations'!HF44='Calculations'!$EF$2,'Calculations'!HL44=0,'Calculations'!JD44&gt;0),MAX('Calculations'!$IK$12:IK43)+1,0)</x:f>
        <x:v>0</x:v>
      </x:c>
      <x:c r="JA44" t="n">
        <x:f>IF(OR(IFERROR(INDIRECT("'WCM Calibration Final'!$A$44")&lt;&gt;"",FALSE),IFERROR(INDIRECT("'WCM Calibration Final'!$B$44")&lt;&gt;"",FALSE),IFERROR(INDIRECT("'WCM Calibration Final'!$C$44")&lt;&gt;"",FALSE)),44,0)</x:f>
        <x:v>0</x:v>
      </x:c>
      <x:c r="JB44" t="n">
        <x:f>'Calculations'!JB43+IF('Calculations'!JA44&gt;0,1,0)</x:f>
        <x:v>0</x:v>
      </x:c>
      <x:c r="JC44" t="n">
        <x:f>IF(OR('Calculations'!HF44="",'Calculations'!HF44="!AMBIG"),0,IF('Dashboard'!$B$7="All",1,COUNTIFS('Calculations'!$HO$13:$HO$512,"="&amp;SUBSTITUTE(SUBSTITUTE(SUBSTITUTE('Calculations'!HF44,"~","~~"),"*","~*"),"?","~?"),'Calculations'!$HN$13:$HN$512,"="&amp;SUBSTITUTE(SUBSTITUTE(SUBSTITUTE('Dashboard'!$B$7,"~","~~"),"*","~*"),"?","~?"))+COUNTIFS('Calculations'!$HP$13:$HP$512,"="&amp;SUBSTITUTE(SUBSTITUTE(SUBSTITUTE('Calculations'!HF44,"~","~~"),"*","~*"),"?","~?"),'Calculations'!$HN$13:$HN$512,"="&amp;SUBSTITUTE(SUBSTITUTE(SUBSTITUTE('Dashboard'!$B$7,"~","~~"),"*","~*"),"?","~?"))+COUNTIFS('Calculations'!$HQ$13:$HQ$512,"="&amp;SUBSTITUTE(SUBSTITUTE(SUBSTITUTE('Calculations'!HF44,"~","~~"),"*","~*"),"?","~?"),'Calculations'!$HN$13:$HN$512,"="&amp;SUBSTITUTE(SUBSTITUTE(SUBSTITUTE('Dashboard'!$B$7,"~","~~"),"*","~*"),"?","~?"))+COUNTIFS('Calculations'!$HR$13:$HR$512,"="&amp;SUBSTITUTE(SUBSTITUTE(SUBSTITUTE('Calculations'!HF44,"~","~~"),"*","~*"),"?","~?"),'Calculations'!$HN$13:$HN$512,"="&amp;SUBSTITUTE(SUBSTITUTE(SUBSTITUTE('Dashboard'!$B$7,"~","~~"),"*","~*"),"?","~?"))+COUNTIFS('Calculations'!$HS$13:$HS$512,"="&amp;SUBSTITUTE(SUBSTITUTE(SUBSTITUTE('Calculations'!HF44,"~","~~"),"*","~*"),"?","~?"),'Calculations'!$HN$13:$HN$512,"="&amp;SUBSTITUTE(SUBSTITUTE(SUBSTITUTE('Dashboard'!$B$7,"~","~~"),"*","~*"),"?","~?"))+COUNTIFS('Calculations'!$HT$13:$HT$512,"="&amp;SUBSTITUTE(SUBSTITUTE(SUBSTITUTE('Calculations'!HF44,"~","~~"),"*","~*"),"?","~?"),'Calculations'!$HN$13:$HN$512,"="&amp;SUBSTITUTE(SUBSTITUTE(SUBSTITUTE('Dashboard'!$B$7,"~","~~"),"*","~*"),"?","~?"))+COUNTIFS('Calculations'!$HU$13:$HU$512,"="&amp;SUBSTITUTE(SUBSTITUTE(SUBSTITUTE('Calculations'!HF44,"~","~~"),"*","~*"),"?","~?"),'Calculations'!$HN$13:$HN$512,"="&amp;SUBSTITUTE(SUBSTITUTE(SUBSTITUTE('Dashboard'!$B$7,"~","~~"),"*","~*"),"?","~?"))+COUNTIFS('Calculations'!$HV$13:$HV$512,"="&amp;SUBSTITUTE(SUBSTITUTE(SUBSTITUTE('Calculations'!HF44,"~","~~"),"*","~*"),"?","~?"),'Calculations'!$HN$13:$HN$512,"="&amp;SUBSTITUTE(SUBSTITUTE(SUBSTITUTE('Dashboard'!$B$7,"~","~~"),"*","~*"),"?","~?"))+COUNTIFS('Calculations'!$HW$13:$HW$512,"="&amp;SUBSTITUTE(SUBSTITUTE(SUBSTITUTE('Calculations'!HF44,"~","~~"),"*","~*"),"?","~?"),'Calculations'!$HN$13:$HN$512,"="&amp;SUBSTITUTE(SUBSTITUTE(SUBSTITUTE('Dashboard'!$B$7,"~","~~"),"*","~*"),"?","~?"))+COUNTIFS('Calculations'!$HX$13:$HX$512,"="&amp;SUBSTITUTE(SUBSTITUTE(SUBSTITUTE('Calculations'!HF44,"~","~~"),"*","~*"),"?","~?"),'Calculations'!$HN$13:$HN$512,"="&amp;SUBSTITUTE(SUBSTITUTE(SUBSTITUTE('Dashboard'!$B$7,"~","~~"),"*","~*"),"?","~?"))+COUNTIFS('Calculations'!$HY$13:$HY$512,"="&amp;SUBSTITUTE(SUBSTITUTE(SUBSTITUTE('Calculations'!HF44,"~","~~"),"*","~*"),"?","~?"),'Calculations'!$HN$13:$HN$512,"="&amp;SUBSTITUTE(SUBSTITUTE(SUBSTITUTE('Dashboard'!$B$7,"~","~~"),"*","~*"),"?","~?"))+COUNTIFS('Calculations'!$HZ$13:$HZ$512,"="&amp;SUBSTITUTE(SUBSTITUTE(SUBSTITUTE('Calculations'!HF44,"~","~~"),"*","~*"),"?","~?"),'Calculations'!$HN$13:$HN$512,"="&amp;SUBSTITUTE(SUBSTITUTE(SUBSTITUTE('Dashboard'!$B$7,"~","~~"),"*","~*"),"?","~?"))+COUNTIFS('Calculations'!$IA$13:$IA$512,"="&amp;SUBSTITUTE(SUBSTITUTE(SUBSTITUTE('Calculations'!HF44,"~","~~"),"*","~*"),"?","~?"),'Calculations'!$HN$13:$HN$512,"="&amp;SUBSTITUTE(SUBSTITUTE(SUBSTITUTE('Dashboard'!$B$7,"~","~~"),"*","~*"),"?","~?"))+COUNTIFS('Calculations'!$IB$13:$IB$512,"="&amp;SUBSTITUTE(SUBSTITUTE(SUBSTITUTE('Calculations'!HF44,"~","~~"),"*","~*"),"?","~?"),'Calculations'!$HN$13:$HN$512,"="&amp;SUBSTITUTE(SUBSTITUTE(SUBSTITUTE('Dashboard'!$B$7,"~","~~"),"*","~*"),"?","~?"))+COUNTIFS('Calculations'!$IC$13:$IC$512,"="&amp;SUBSTITUTE(SUBSTITUTE(SUBSTITUTE('Calculations'!HF44,"~","~~"),"*","~*"),"?","~?"),'Calculations'!$HN$13:$HN$512,"="&amp;SUBSTITUTE(SUBSTITUTE(SUBSTITUTE('Dashboard'!$B$7,"~","~~"),"*","~*"),"?","~?"))+COUNTIFS('Calculations'!$ID$13:$ID$512,"="&amp;SUBSTITUTE(SUBSTITUTE(SUBSTITUTE('Calculations'!HF44,"~","~~"),"*","~*"),"?","~?"),'Calculations'!$HN$13:$HN$512,"="&amp;SUBSTITUTE(SUBSTITUTE(SUBSTITUTE('Dashboard'!$B$7,"~","~~"),"*","~*"),"?","~?"))+COUNTIFS('Calculations'!$IE$13:$IE$512,"="&amp;SUBSTITUTE(SUBSTITUTE(SUBSTITUTE('Calculations'!HF44,"~","~~"),"*","~*"),"?","~?"),'Calculations'!$HN$13:$HN$512,"="&amp;SUBSTITUTE(SUBSTITUTE(SUBSTITUTE('Dashboard'!$B$7,"~","~~"),"*","~*"),"?","~?"))+COUNTIFS('Calculations'!$IF$13:$IF$512,"="&amp;SUBSTITUTE(SUBSTITUTE(SUBSTITUTE('Calculations'!HF44,"~","~~"),"*","~*"),"?","~?"),'Calculations'!$HN$13:$HN$512,"="&amp;SUBSTITUTE(SUBSTITUTE(SUBSTITUTE('Dashboard'!$B$7,"~","~~"),"*","~*"),"?","~?"))+COUNTIFS('Calculations'!$IG$13:$IG$512,"="&amp;SUBSTITUTE(SUBSTITUTE(SUBSTITUTE('Calculations'!HF44,"~","~~"),"*","~*"),"?","~?"),'Calculations'!$HN$13:$HN$512,"="&amp;SUBSTITUTE(SUBSTITUTE(SUBSTITUTE('Dashboard'!$B$7,"~","~~"),"*","~*"),"?","~?"))+COUNTIFS('Calculations'!$IH$13:$IH$512,"="&amp;SUBSTITUTE(SUBSTITUTE(SUBSTITUTE('Calculations'!HF44,"~","~~"),"*","~*"),"?","~?"),'Calculations'!$HN$13:$HN$512,"="&amp;SUBSTITUTE(SUBSTITUTE(SUBSTITUTE('Dashboard'!$B$7,"~","~~"),"*","~*"),"?","~?"))))</x:f>
        <x:v>0</x:v>
      </x:c>
      <x:c r="JD44" t="n">
        <x:f>IF('Calculations'!EM44="",0,IF('Dashboard'!$B$7="All",1,IF('Calculations'!HN44='Dashboard'!$B$7,1,0)+IFERROR(INDEX('Calculations'!$JC$13:$JC$512,MATCH('Calculations'!HE44,'Calculations'!$HF$13:$HF$512,0)),0)))</x:f>
        <x:v>0</x:v>
      </x:c>
      <x:c r="JE44" t="n">
        <x:f>IF(AND('Calculations'!EM44&lt;&gt;"",'Calculations'!$JJ$2&lt;&gt;"All",'Calculations'!$JJ$2&lt;&gt;"",'Calculations'!HF44='Calculations'!$JJ$2,'Calculations'!HL44=0,'Calculations'!JD44&gt;0),MAX('Calculations'!$JE$12:JE43)+1,0)</x:f>
        <x:v>0</x:v>
      </x:c>
      <x:c r="JF44" t="str">
        <x:f>IF('Calculations'!EM44="","",IFERROR(IF(INDEX(INDIRECT("'WCM Calibration Final'!$G$1:$G$2000"),'Calculations'!$EM44)="","",TRIM(INDEX(INDIRECT("'WCM Calibration Final'!$G$1:$G$2000"),'Calculations'!$EM44)&amp;"")),""))</x:f>
      </x:c>
      <x:c r="JQ44" t="n">
        <x:f>IF(OR('Calculations'!BM44=0,NOT('Calculations'!$AG$2),'Calculations'!$AG$8&gt;0),0,IF(OR('Dashboard'!$B$7="All",'Calculations'!HN44='Dashboard'!$B$7),IF('Calculations'!$JJ$2="All",1,IF(AND('Calculations'!HF44='Calculations'!$JJ$2,'Calculations'!HL44=0),1,0)),0))</x:f>
        <x:v>0</x:v>
      </x:c>
    </x:row>
    <x:row r="45">
      <x:c r="AF45" s="4" t="str">
        <x:v>3 Valued</x:v>
      </x:c>
      <x:c r="AG45" s="4" t="n">
        <x:f>COUNTIFS('Calculations'!$BN$13:$BN$512,1,'Calculations'!$BZ$13:$BZ$512,3)</x:f>
        <x:v>0</x:v>
      </x:c>
      <x:c r="AH45" s="4" t="e">
        <x:f>IF(SUM('Calculations'!$AG$43:$AG$46)=0,NA(),'Calculations'!AG45/SUM('Calculations'!$AG$43:$AG$46))</x:f>
        <x:v>#N/A</x:v>
      </x:c>
      <x:c r="AI45" s="4"/>
      <x:c r="AJ45" s="4"/>
      <x:c r="AK45" s="4"/>
      <x:c r="AL45" s="4"/>
      <x:c r="AM45" s="4"/>
      <x:c r="AN45" s="4"/>
      <x:c r="AO45" s="4"/>
      <x:c r="AP45" s="4"/>
      <x:c r="AQ45" s="4"/>
      <x:c r="AR45" s="4"/>
      <x:c r="AS45" s="4"/>
      <x:c r="AT45" s="4" t="str">
        <x:f>IFERROR('Calculations'!AG45&amp;" · "&amp;TEXT('Calculations'!AH45,"0.0%"),"")</x:f>
      </x:c>
      <x:c r="AU45" s="4"/>
      <x:c r="AV45" s="4"/>
      <x:c r="AW45" s="4"/>
      <x:c r="AX45" s="4"/>
      <x:c r="AY45" s="4"/>
      <x:c r="AZ45" s="4"/>
      <x:c r="BA45" s="4"/>
      <x:c r="BB45" s="4"/>
      <x:c r="BC45" s="4"/>
      <x:c r="BD45" s="4"/>
      <x:c r="BE45" s="4"/>
      <x:c r="BF45" s="4"/>
      <x:c r="BG45" s="4"/>
      <x:c r="BH45" s="4"/>
      <x:c r="BI45" s="4"/>
      <x:c r="BJ45" s="4"/>
      <x:c r="BK45" s="4"/>
      <x:c r="BL45" s="4"/>
      <x:c r="BM45" s="4" t="n">
        <x:f>IF('Calculations'!$EM45="",0,IF(OR(IFERROR(INDEX(INDIRECT("'WCM Calibration Final'!$A$1:$A$2000"),'Calculations'!$EM45)&lt;&gt;"",FALSE),IFERROR(INDEX(INDIRECT("'WCM Calibration Final'!$B$1:$B$2000"),'Calculations'!$EM45)&lt;&gt;"",FALSE),IFERROR(INDEX(INDIRECT("'WCM Calibration Final'!$C$1:$C$2000"),'Calculations'!$EM45)&lt;&gt;"",FALSE)),1,0))</x:f>
        <x:v>0</x:v>
      </x:c>
      <x:c r="BN45" s="4" t="n">
        <x:f>IF(AND('Calculations'!BM45=1,'Calculations'!$AG$2,'Calculations'!$EN45=1),1,0)</x:f>
        <x:v>0</x:v>
      </x:c>
      <x:c r="BO45" s="4" t="str">
        <x:f>IF('Calculations'!BM45=0,"",IFERROR(IF(AND(VALUE(INDEX(INDIRECT("'WCM Calibration Final'!$K$1:$K$2000"),'Calculations'!$EM45))&gt;=1,VALUE(INDEX(INDIRECT("'WCM Calibration Final'!$K$1:$K$2000"),'Calculations'!$EM45))&lt;=4,MOD(VALUE(INDEX(INDIRECT("'WCM Calibration Final'!$K$1:$K$2000"),'Calculations'!$EM45)),1)=0),VALUE(INDEX(INDIRECT("'WCM Calibration Final'!$K$1:$K$2000"),'Calculations'!$EM45)),""),""))</x:f>
      </x:c>
      <x:c r="BP45" s="4" t="str">
        <x:f>IF('Calculations'!BM45=0,"",IFERROR(IF(AND(VALUE(INDEX(INDIRECT("'WCM Calibration Final'!$L$1:$L$2000"),'Calculations'!$EM45))&gt;=1,VALUE(INDEX(INDIRECT("'WCM Calibration Final'!$L$1:$L$2000"),'Calculations'!$EM45))&lt;=4,MOD(VALUE(INDEX(INDIRECT("'WCM Calibration Final'!$L$1:$L$2000"),'Calculations'!$EM45)),1)=0),VALUE(INDEX(INDIRECT("'WCM Calibration Final'!$L$1:$L$2000"),'Calculations'!$EM45)),""),""))</x:f>
      </x:c>
      <x:c r="BQ45" s="4"/>
      <x:c r="BR45" s="4"/>
      <x:c r="BS45" s="4"/>
      <x:c r="BT45" s="4" t="n">
        <x:f>IF(AND('Calculations'!BM45=1,ISNUMBER('Calculations'!BO45),ISNUMBER('Calculations'!BP45)),1,0)</x:f>
        <x:v>0</x:v>
      </x:c>
      <x:c r="BU45" s="4" t="str">
        <x:f>IF('Calculations'!BM45=0,"",'Calculations'!$EO45)</x:f>
      </x:c>
      <x:c r="BV45" s="4" t="str">
        <x:f>IF('Calculations'!BM45=0,"",IFERROR(IF(OR(INDEX(INDIRECT("'WCM Calibration Final'!$H$1:$H$2000"),'Calculations'!$EM45)="MANAGING DIRECTOR",INDEX(INDIRECT("'WCM Calibration Final'!$H$1:$H$2000"),'Calculations'!$EM45)="DIRECTOR",INDEX(INDIRECT("'WCM Calibration Final'!$H$1:$H$2000"),'Calculations'!$EM45)="SENIOR VICE PRESIDENT",INDEX(INDIRECT("'WCM Calibration Final'!$H$1:$H$2000"),'Calculations'!$EM45)="VICE PRESIDENT",INDEX(INDIRECT("'WCM Calibration Final'!$H$1:$H$2000"),'Calculations'!$EM45)="ASSISTANT VICE PRESIDENT",INDEX(INDIRECT("'WCM Calibration Final'!$H$1:$H$2000"),'Calculations'!$EM45)="OFFICER"),UPPER(INDEX(INDIRECT("'WCM Calibration Final'!$H$1:$H$2000"),'Calculations'!$EM45)),"Other"),"Other"))</x:f>
      </x:c>
      <x:c r="BW45" s="4"/>
      <x:c r="BX45" s="4"/>
      <x:c r="BY45" s="4" t="n">
        <x:f>IF(AND('Calculations'!BM45=1,'Calculations'!BU45&lt;&gt;"",COUNTIF('Calculations'!$BU$12:BU45,'Calculations'!BU45)=1),MAX('Calculations'!$BY$11:BY44)+1,0)</x:f>
        <x:v>0</x:v>
      </x:c>
      <x:c r="BZ45" s="4" t="str">
        <x:f>IF('Dashboard'!$E$67="What",'Calculations'!BO45,'Calculations'!BP45)</x:f>
      </x:c>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t="str">
        <x:f>IF(34&gt;MAX('Calculations'!$HI$13:$HI$512),"",INDEX('Calculations'!$HN$13:$HN$512,MATCH(34,'Calculations'!$HI$13:$HI$512,0)))</x:f>
      </x:c>
      <x:c r="DB45" s="4" t="str">
        <x:f>IF(34&gt;MAX('Calculations'!$HH$13:$HH$512),"",INDEX('Calculations'!$HJ$13:$HJ$512,MATCH(34,'Calculations'!$HH$13:$HH$512,0)))</x:f>
      </x:c>
      <x:c r="DC45" s="4" t="str">
        <x:f>IF(ROW()-11&gt;MAX('Calculations'!$BY$13:$BY$512),"",INDEX('Calculations'!$BU$13:$BU$512,MATCH(ROW()-11,'Calculations'!$BY$13:$BY$512,0)))</x:f>
      </x:c>
      <x:c r="DD45" s="4" t="str">
        <x:f>IF(34&gt;MAX('Calculations'!$IK$13:$IK$512),"",INDEX('Calculations'!$HK$13:$HK$512,MATCH(34,'Calculations'!$IK$13:$IK$512,0)))</x:f>
      </x:c>
      <x:c r="DE45" s="4" t="str">
        <x:f>'Calculations'!DC45</x:f>
      </x:c>
      <x:c r="DF45" s="4" t="str">
        <x:f>IF('Calculations'!DE45="","",COUNTIFS('Calculations'!$BN$13:$BN$512,1,'Calculations'!$BU$13:$BU$512,'Calculations'!DE45))</x:f>
      </x:c>
      <x:c r="DG45" s="4" t="str">
        <x:f>IF('Calculations'!DE45="","",COUNTIFS('Calculations'!$BN$13:$BN$512,1,'Calculations'!$BU$13:$BU$512,'Calculations'!DE45,'Calculations'!$BT$13:$BT$512,1))</x:f>
      </x:c>
      <x:c r="DH45" s="4" t="str">
        <x:f>IF('Calculations'!DE45="","",'Calculations'!DF45-'Calculations'!DG45)</x:f>
      </x:c>
      <x:c r="DI45" s="4" t="str">
        <x:f>IF(OR('Calculations'!DE45="",'Calculations'!DF45=0),"",'Calculations'!DG45/'Calculations'!DF45)</x:f>
      </x:c>
      <x:c r="DJ45" s="4" t="str">
        <x:f>IF('Calculations'!DE45="","",COUNTIFS('Calculations'!$BN$13:$BN$512,1,'Calculations'!$BU$13:$BU$512,'Calculations'!DE45,'Calculations'!$BT$13:$BT$512,1,'Calculations'!$EE$13:$EE$512,"High"))</x:f>
      </x:c>
      <x:c r="DK45" s="4" t="str">
        <x:f>IF('Calculations'!DE45="","",COUNTIFS('Calculations'!$BN$13:$BN$512,1,'Calculations'!$BU$13:$BU$512,'Calculations'!DE45,'Calculations'!$BT$13:$BT$512,1,'Calculations'!$EE$13:$EE$512,"Strong"))</x:f>
      </x:c>
      <x:c r="DL45" s="4" t="str">
        <x:f>IF('Calculations'!DE45="","",COUNTIFS('Calculations'!$BN$13:$BN$512,1,'Calculations'!$BU$13:$BU$512,'Calculations'!DE45,'Calculations'!$BT$13:$BT$512,1,'Calculations'!$EE$13:$EE$512,"Solid"))</x:f>
      </x:c>
      <x:c r="DM45" s="4" t="str">
        <x:f>IF('Calculations'!DE45="","",COUNTIFS('Calculations'!$BN$13:$BN$512,1,'Calculations'!$BU$13:$BU$512,'Calculations'!DE45,'Calculations'!$BT$13:$BT$512,1,'Calculations'!$EE$13:$EE$512,"Low"))</x:f>
      </x:c>
      <x:c r="DN45" s="4" t="str">
        <x:f>IF('Calculations'!DE45="","",COUNTIFS('Calculations'!$BN$13:$BN$512,1,'Calculations'!$BU$13:$BU$512,'Calculations'!DE45,'Calculations'!$EP$13:$EP$512,1))</x:f>
      </x:c>
      <x:c r="DO45" s="4" t="str">
        <x:f>IF(OR('Calculations'!DE45="",'Calculations'!DG45=0),"",('Calculations'!DJ45+'Calculations'!DK45)/'Calculations'!DG45)</x:f>
      </x:c>
      <x:c r="DP45" s="4" t="n">
        <x:f>IF(AND('Calculations'!DE45&lt;&gt;"",'Calculations'!DF45&gt;0),COUNTIF('Calculations'!$DF$12:DF45,"&gt;0"),0)</x:f>
        <x:v>0</x:v>
      </x:c>
      <x:c r="DQ45" s="4" t="str">
        <x:f>IF(34&gt;MAX('Calculations'!$HH$13:$HH$512),"",INDEX('Calculations'!$HF$13:$HF$512,MATCH(34,'Calculations'!$HH$13:$HH$512,0)))</x:f>
      </x:c>
      <x:c r="DR45" s="4" t="str">
        <x:f>IF(34&gt;MAX('Calculations'!$IK$13:$IK$512),"",INDEX('Calculations'!$HE$13:$HE$512,MATCH(34,'Calculations'!$IK$13:$IK$512,0)))</x:f>
      </x:c>
      <x:c r="DS45" s="4"/>
      <x:c r="DT45" s="4"/>
      <x:c r="DU45" s="4"/>
      <x:c r="DV45" s="4"/>
      <x:c r="DW45" s="4"/>
      <x:c r="DX45" s="4"/>
      <x:c r="DY45" s="4"/>
      <x:c r="DZ45" s="4"/>
      <x:c r="EA45" s="4"/>
      <x:c r="EB45" s="4"/>
      <x:c r="EC45" s="4"/>
      <x:c r="ED45" s="4"/>
      <x:c r="EE45" s="4" t="str">
        <x:f>IF('Calculations'!BT45=0,"Not Rated",IF(OR('Calculations'!BO45&gt;=4,'Calculations'!BP45&gt;=4),"Low",IF('Calculations'!BO45+'Calculations'!BP45&lt;=3,"High",IF('Calculations'!BO45+'Calculations'!BP45&lt;=4,"Strong","Solid"))))</x:f>
        <x:v>Not Rated</x:v>
      </x:c>
      <x:c r="EF45" s="4"/>
      <x:c r="EG45" s="4"/>
      <x:c r="EH45" s="4"/>
      <x:c r="EI45" s="4"/>
      <x:c r="EJ45" s="4"/>
      <x:c r="EK45" s="4"/>
      <x:c r="EL45" s="4"/>
      <x:c r="EM45" s="4" t="str">
        <x:f>IF(33&gt;'Calculations'!$JB$2000,"",INDEX('Calculations'!$JA$12:$JA$2000,MATCH(33,'Calculations'!$JB$12:$JB$2000,0)))</x:f>
      </x:c>
      <x:c r="EN45" s="4" t="n">
        <x:f>IF(OR('Calculations'!EM45="",'Calculations'!$AG$8&gt;0,AND('Calculations'!$EF$2&lt;&gt;"All",'Calculations'!HE45='Calculations'!$EF$2),AND('Calculations'!$EF$3&lt;&gt;"All",'Calculations'!HE45='Calculations'!$EF$3)),0,IF(OR('Dashboard'!$B$7="All",'Calculations'!HN45='Dashboard'!$B$7),IF('Calculations'!$EF$2="All",1,IF('Calculations'!HL45&gt;0,0,IF(COUNTIF('Calculations'!HO45:II45,"="&amp;SUBSTITUTE(SUBSTITUTE(SUBSTITUTE('Calculations'!$EF$2,"~","~~"),"*","~*"),"?","~?"))=0,0,IF('Calculations'!$EF$3="All",1,IF(COUNTIF('Calculations'!HO45:II45,"="&amp;SUBSTITUTE(SUBSTITUTE(SUBSTITUTE('Calculations'!$EF$3,"~","~~"),"*","~*"),"?","~?"))&gt;0,1,0))))),0))</x:f>
        <x:v>0</x:v>
      </x:c>
      <x:c r="EO45" s="4" t="str">
        <x:f>IF('Calculations'!IJ45="","",IF('Calculations'!IJ45="!UNRESOLVED","Unresolved hierarchy",IFERROR(INDEX('Calculations'!$HK$13:$HK$512,MATCH('Calculations'!IJ45,'Calculations'!$HE$13:$HE$512,0)),IFERROR(INDEX('Calculations'!$HJ$13:$HJ$512,MATCH('Calculations'!IJ45,'Calculations'!$HF$13:$HF$512,0)),'Calculations'!IJ45))))</x:f>
      </x:c>
      <x:c r="EP45" s="4" t="n">
        <x:f>IF(AND('Calculations'!EM45&lt;&gt;"",'Calculations'!HF45='Calculations'!IJ45),1,0)</x:f>
        <x:v>0</x:v>
      </x:c>
      <x:c r="EQ45" s="4"/>
      <x:c r="ER45" s="4"/>
      <x:c r="ES45" s="4"/>
      <x:c r="ET45" s="4"/>
      <x:c r="EU45" s="4"/>
      <x:c r="EV45" s="4"/>
      <x:c r="EW45" s="4"/>
      <x:c r="EX45" s="4"/>
      <x:c r="EY45" s="4"/>
      <x:c r="EZ45" s="4"/>
      <x:c r="FA45" s="4"/>
      <x:c r="FB45" s="4"/>
      <x:c r="FC45" s="4"/>
      <x:c r="FD45" s="4"/>
      <x:c r="FE45" s="4"/>
      <x:c r="FF45" s="4"/>
      <x:c r="FG45" s="4"/>
      <x:c r="FH45" s="4"/>
      <x:c r="FI45" s="4"/>
      <x:c r="FJ45" s="4"/>
      <x:c r="FK45" s="4"/>
      <x:c r="FL45" s="4"/>
      <x:c r="FM45" s="4"/>
      <x:c r="FN45" s="4"/>
      <x:c r="FO45" s="4"/>
      <x:c r="GA45" s="71"/>
      <x:c r="GB45" s="71"/>
      <x:c r="GC45" s="71"/>
      <x:c r="GD45" s="71"/>
      <x:c r="GE45" s="71"/>
      <x:c r="GF45" s="71"/>
      <x:c r="GG45" s="71"/>
      <x:c r="GH45" s="71"/>
      <x:c r="GI45" s="71"/>
      <x:c r="GJ45" s="71"/>
      <x:c r="GK45" s="71"/>
      <x:c r="GL45" s="71"/>
      <x:c r="GM45" s="71"/>
      <x:c r="GN45" s="71"/>
      <x:c r="GO45" s="71"/>
      <x:c r="GP45" s="71"/>
      <x:c r="GQ45" s="71"/>
      <x:c r="GR45" s="71"/>
      <x:c r="GS45" s="71"/>
      <x:c r="GT45" s="71"/>
      <x:c r="GU45" s="71"/>
      <x:c r="GV45" s="71"/>
      <x:c r="GW45" s="71"/>
      <x:c r="GX45" s="71"/>
      <x:c r="GY45" s="71"/>
      <x:c r="GZ45" s="71"/>
      <x:c r="HA45" s="71"/>
      <x:c r="HB45" s="71"/>
      <x:c r="HC45" s="71"/>
      <x:c r="HD45" s="71"/>
      <x:c r="HE45" t="str">
        <x:f>IF('Calculations'!EM45="","",IF(IFERROR(IF(INDEX(INDIRECT("'WCM Calibration Final'!$A$1:$A$2000"),'Calculations'!$EM45)="","",TRIM(INDEX(INDIRECT("'WCM Calibration Final'!$A$1:$A$2000"),'Calculations'!$EM45)&amp;"")),"")&lt;&gt;"","G:"&amp;IFERROR(TEXT(1*INDEX(INDIRECT("'WCM Calibration Final'!$A$1:$A$2000"),'Calculations'!$EM45),"0"),UPPER(IFERROR(IF(INDEX(INDIRECT("'WCM Calibration Final'!$A$1:$A$2000"),'Calculations'!$EM45)="","",TRIM(INDEX(INDIRECT("'WCM Calibration Final'!$A$1:$A$2000"),'Calculations'!$EM45)&amp;"")),""))),IF(IFERROR(IF(INDEX(INDIRECT("'WCM Calibration Final'!$C$1:$C$2000"),'Calculations'!$EM45)="","",TRIM(INDEX(INDIRECT("'WCM Calibration Final'!$C$1:$C$2000"),'Calculations'!$EM45)&amp;"")),"")&lt;&gt;"","S:"&amp;UPPER(IFERROR(IF(INDEX(INDIRECT("'WCM Calibration Final'!$C$1:$C$2000"),'Calculations'!$EM45)="","",TRIM(INDEX(INDIRECT("'WCM Calibration Final'!$C$1:$C$2000"),'Calculations'!$EM45)&amp;"")),"")),"R:"&amp;'Calculations'!EM45)))</x:f>
      </x:c>
      <x:c r="HF45" t="str">
        <x:f>IF('Calculations'!EM45="","",IF(IFERROR(IF(INDEX(INDIRECT("'WCM Calibration Final'!$D$1:$D$2000"),'Calculations'!$EM45)="","",TRIM(INDEX(INDIRECT("'WCM Calibration Final'!$D$1:$D$2000"),'Calculations'!$EM45)&amp;"")),"")&lt;&gt;"","G:"&amp;IFERROR(TEXT(1*INDEX(INDIRECT("'WCM Calibration Final'!$D$1:$D$2000"),'Calculations'!$EM45),"0"),UPPER(IFERROR(IF(INDEX(INDIRECT("'WCM Calibration Final'!$D$1:$D$2000"),'Calculations'!$EM45)="","",TRIM(INDEX(INDIRECT("'WCM Calibration Final'!$D$1:$D$2000"),'Calculations'!$EM45)&amp;"")),""))),IF(IFERROR(IF(INDEX(INDIRECT("'WCM Calibration Final'!$E$1:$E$2000"),'Calculations'!$EM45)="","",TRIM(INDEX(INDIRECT("'WCM Calibration Final'!$E$1:$E$2000"),'Calculations'!$EM45)&amp;"")),"")="","",IF(COUNTIF('Calculations'!$HG$13:$HG$512,"="&amp;SUBSTITUTE(SUBSTITUTE(SUBSTITUTE(IFERROR(IF(INDEX(INDIRECT("'WCM Calibration Final'!$E$1:$E$2000"),'Calculations'!$EM45)="","",TRIM(INDEX(INDIRECT("'WCM Calibration Final'!$E$1:$E$2000"),'Calculations'!$EM45)&amp;"")),""),"~","~~"),"*","~*"),"?","~?"))=1,INDEX('Calculations'!$HE$13:$HE$512,MATCH(IFERROR(IF(INDEX(INDIRECT("'WCM Calibration Final'!$E$1:$E$2000"),'Calculations'!$EM45)="","",TRIM(INDEX(INDIRECT("'WCM Calibration Final'!$E$1:$E$2000"),'Calculations'!$EM45)&amp;"")),""),'Calculations'!$HG$13:$HG$512,0)),IF(COUNTIF('Calculations'!$HG$13:$HG$512,"="&amp;SUBSTITUTE(SUBSTITUTE(SUBSTITUTE(IFERROR(IF(INDEX(INDIRECT("'WCM Calibration Final'!$E$1:$E$2000"),'Calculations'!$EM45)="","",TRIM(INDEX(INDIRECT("'WCM Calibration Final'!$E$1:$E$2000"),'Calculations'!$EM45)&amp;"")),""),"~","~~"),"*","~*"),"?","~?"))&gt;1,"!AMBIG","X:"&amp;IFERROR(IF(INDEX(INDIRECT("'WCM Calibration Final'!$E$1:$E$2000"),'Calculations'!$EM45)="","",TRIM(INDEX(INDIRECT("'WCM Calibration Final'!$E$1:$E$2000"),'Calculations'!$EM45)&amp;"")),""))))))</x:f>
      </x:c>
      <x:c r="HG45" t="str">
        <x:f>IF('Calculations'!EM45="","",IFERROR(IF(INDEX(INDIRECT("'WCM Calibration Final'!$B$1:$B$2000"),'Calculations'!$EM45)="","",TRIM(INDEX(INDIRECT("'WCM Calibration Final'!$B$1:$B$2000"),'Calculations'!$EM45)&amp;"")),""))</x:f>
      </x:c>
      <x:c r="HH45" t="n">
        <x:f>IF(AND('Calculations'!JC45&gt;0,COUNTIF('Calculations'!$HF$12:HF45,"="&amp;SUBSTITUTE(SUBSTITUTE(SUBSTITUTE('Calculations'!HF45,"~","~~"),"*","~*"),"?","~?"))=1),MAX('Calculations'!$HH$12:HH44)+1,0)</x:f>
        <x:v>0</x:v>
      </x:c>
      <x:c r="HI45" t="n">
        <x:f>IF(AND('Calculations'!HN45&lt;&gt;"",COUNTIF('Calculations'!$HN$12:HN45,"="&amp;SUBSTITUTE(SUBSTITUTE(SUBSTITUTE('Calculations'!HN45,"~","~~"),"*","~*"),"?","~?"))=1),MAX('Calculations'!$HI$12:HI44)+1,0)</x:f>
        <x:v>0</x:v>
      </x:c>
      <x:c r="HJ45" t="str">
        <x:f>IF('Calculations'!HF45="","",IF(COUNTIF('Calculations'!$HE$13:$HE$512,"="&amp;SUBSTITUTE(SUBSTITUTE(SUBSTITUTE('Calculations'!HF45,"~","~~"),"*","~*"),"?","~?"))=1,INDEX('Calculations'!$HK$13:$HK$512,MATCH('Calculations'!HF45,'Calculations'!$HE$13:$HE$512,0)),IFERROR(IF(INDEX(INDIRECT("'WCM Calibration Final'!$E$1:$E$2000"),'Calculations'!$EM45)="","",TRIM(INDEX(INDIRECT("'WCM Calibration Final'!$E$1:$E$2000"),'Calculations'!$EM45)&amp;"")),"")&amp;" ["&amp;'Calculations'!HF45&amp;"]"))</x:f>
      </x:c>
      <x:c r="HK45" t="str">
        <x:f>IF('Calculations'!EM45="","",'Calculations'!HG45&amp;" ["&amp;'Calculations'!HE45&amp;"]")</x:f>
      </x:c>
      <x:c r="HL45" t="n">
        <x:f>IF('Calculations'!EM45="",0,IF(OR('Calculations'!II45&lt;&gt;"",COUNTIF('Calculations'!$HE$13:$HE$512,"="&amp;SUBSTITUTE(SUBSTITUTE(SUBSTITUTE('Calculations'!HE45,"~","~~"),"*","~*"),"?","~?"))&gt;1),1,0))</x:f>
        <x:v>0</x:v>
      </x:c>
      <x:c r="HM45" t="str">
        <x:f>IF('Calculations'!EM45="","",IF('Calculations'!HL45=1,"!UNRESOLVED",IF('Calculations'!IH45&lt;&gt;"",'Calculations'!IH45,IF('Calculations'!IG45&lt;&gt;"",'Calculations'!IG45,IF('Calculations'!IF45&lt;&gt;"",'Calculations'!IF45,IF('Calculations'!IE45&lt;&gt;"",'Calculations'!IE45,IF('Calculations'!ID45&lt;&gt;"",'Calculations'!ID45,IF('Calculations'!IC45&lt;&gt;"",'Calculations'!IC45,IF('Calculations'!IB45&lt;&gt;"",'Calculations'!IB45,IF('Calculations'!IA45&lt;&gt;"",'Calculations'!IA45,IF('Calculations'!HZ45&lt;&gt;"",'Calculations'!HZ45,IF('Calculations'!HY45&lt;&gt;"",'Calculations'!HY45,IF('Calculations'!HX45&lt;&gt;"",'Calculations'!HX45,IF('Calculations'!HW45&lt;&gt;"",'Calculations'!HW45,IF('Calculations'!HV45&lt;&gt;"",'Calculations'!HV45,IF('Calculations'!HU45&lt;&gt;"",'Calculations'!HU45,IF('Calculations'!HT45&lt;&gt;"",'Calculations'!HT45,IF('Calculations'!HS45&lt;&gt;"",'Calculations'!HS45,IF('Calculations'!HR45&lt;&gt;"",'Calculations'!HR45,IF('Calculations'!HQ45&lt;&gt;"",'Calculations'!HQ45,IF('Calculations'!HP45&lt;&gt;"",'Calculations'!HP45,IF('Calculations'!HO45&lt;&gt;"",'Calculations'!HO45,'Calculations'!HE45))))))))))))))))))))))</x:f>
      </x:c>
      <x:c r="HN45" t="str">
        <x:f>IF('Calculations'!EM45="","",IF(IFERROR(IF(INDEX(INDIRECT("'WCM Calibration Final'!$F$1:$F$2000"),'Calculations'!$EM45)="","",TRIM(INDEX(INDIRECT("'WCM Calibration Final'!$F$1:$F$2000"),'Calculations'!$EM45)&amp;"")),"")="","(Blank)",IFERROR(IF(INDEX(INDIRECT("'WCM Calibration Final'!$F$1:$F$2000"),'Calculations'!$EM45)="","",TRIM(INDEX(INDIRECT("'WCM Calibration Final'!$F$1:$F$2000"),'Calculations'!$EM45)&amp;"")),"")))</x:f>
      </x:c>
      <x:c r="HO45" t="str">
        <x:f>'Calculations'!HF45</x:f>
      </x:c>
      <x:c r="HP45" t="str">
        <x:f>IF('Calculations'!HO45="","",IF('Calculations'!HO45="!AMBIG","!AMBIG",IF(COUNTIF('Calculations'!$HE$13:$HE$512,"="&amp;SUBSTITUTE(SUBSTITUTE(SUBSTITUTE('Calculations'!HO45,"~","~~"),"*","~*"),"?","~?"))&gt;1,"!AMBIG",IFERROR(INDEX('Calculations'!$HF$13:$HF$512,MATCH('Calculations'!HO45,'Calculations'!$HE$13:$HE$512,0)),""))))</x:f>
      </x:c>
      <x:c r="HQ45" t="str">
        <x:f>IF('Calculations'!HP45="","",IF('Calculations'!HP45="!AMBIG","!AMBIG",IF(COUNTIF('Calculations'!$HE$13:$HE$512,"="&amp;SUBSTITUTE(SUBSTITUTE(SUBSTITUTE('Calculations'!HP45,"~","~~"),"*","~*"),"?","~?"))&gt;1,"!AMBIG",IFERROR(INDEX('Calculations'!$HF$13:$HF$512,MATCH('Calculations'!HP45,'Calculations'!$HE$13:$HE$512,0)),""))))</x:f>
      </x:c>
      <x:c r="HR45" t="str">
        <x:f>IF('Calculations'!HQ45="","",IF('Calculations'!HQ45="!AMBIG","!AMBIG",IF(COUNTIF('Calculations'!$HE$13:$HE$512,"="&amp;SUBSTITUTE(SUBSTITUTE(SUBSTITUTE('Calculations'!HQ45,"~","~~"),"*","~*"),"?","~?"))&gt;1,"!AMBIG",IFERROR(INDEX('Calculations'!$HF$13:$HF$512,MATCH('Calculations'!HQ45,'Calculations'!$HE$13:$HE$512,0)),""))))</x:f>
      </x:c>
      <x:c r="HS45" t="str">
        <x:f>IF('Calculations'!HR45="","",IF('Calculations'!HR45="!AMBIG","!AMBIG",IF(COUNTIF('Calculations'!$HE$13:$HE$512,"="&amp;SUBSTITUTE(SUBSTITUTE(SUBSTITUTE('Calculations'!HR45,"~","~~"),"*","~*"),"?","~?"))&gt;1,"!AMBIG",IFERROR(INDEX('Calculations'!$HF$13:$HF$512,MATCH('Calculations'!HR45,'Calculations'!$HE$13:$HE$512,0)),""))))</x:f>
      </x:c>
      <x:c r="HT45" t="str">
        <x:f>IF('Calculations'!HS45="","",IF('Calculations'!HS45="!AMBIG","!AMBIG",IF(COUNTIF('Calculations'!$HE$13:$HE$512,"="&amp;SUBSTITUTE(SUBSTITUTE(SUBSTITUTE('Calculations'!HS45,"~","~~"),"*","~*"),"?","~?"))&gt;1,"!AMBIG",IFERROR(INDEX('Calculations'!$HF$13:$HF$512,MATCH('Calculations'!HS45,'Calculations'!$HE$13:$HE$512,0)),""))))</x:f>
      </x:c>
      <x:c r="HU45" t="str">
        <x:f>IF('Calculations'!HT45="","",IF('Calculations'!HT45="!AMBIG","!AMBIG",IF(COUNTIF('Calculations'!$HE$13:$HE$512,"="&amp;SUBSTITUTE(SUBSTITUTE(SUBSTITUTE('Calculations'!HT45,"~","~~"),"*","~*"),"?","~?"))&gt;1,"!AMBIG",IFERROR(INDEX('Calculations'!$HF$13:$HF$512,MATCH('Calculations'!HT45,'Calculations'!$HE$13:$HE$512,0)),""))))</x:f>
      </x:c>
      <x:c r="HV45" t="str">
        <x:f>IF('Calculations'!HU45="","",IF('Calculations'!HU45="!AMBIG","!AMBIG",IF(COUNTIF('Calculations'!$HE$13:$HE$512,"="&amp;SUBSTITUTE(SUBSTITUTE(SUBSTITUTE('Calculations'!HU45,"~","~~"),"*","~*"),"?","~?"))&gt;1,"!AMBIG",IFERROR(INDEX('Calculations'!$HF$13:$HF$512,MATCH('Calculations'!HU45,'Calculations'!$HE$13:$HE$512,0)),""))))</x:f>
      </x:c>
      <x:c r="HW45" t="str">
        <x:f>IF('Calculations'!HV45="","",IF('Calculations'!HV45="!AMBIG","!AMBIG",IF(COUNTIF('Calculations'!$HE$13:$HE$512,"="&amp;SUBSTITUTE(SUBSTITUTE(SUBSTITUTE('Calculations'!HV45,"~","~~"),"*","~*"),"?","~?"))&gt;1,"!AMBIG",IFERROR(INDEX('Calculations'!$HF$13:$HF$512,MATCH('Calculations'!HV45,'Calculations'!$HE$13:$HE$512,0)),""))))</x:f>
      </x:c>
      <x:c r="HX45" t="str">
        <x:f>IF('Calculations'!HW45="","",IF('Calculations'!HW45="!AMBIG","!AMBIG",IF(COUNTIF('Calculations'!$HE$13:$HE$512,"="&amp;SUBSTITUTE(SUBSTITUTE(SUBSTITUTE('Calculations'!HW45,"~","~~"),"*","~*"),"?","~?"))&gt;1,"!AMBIG",IFERROR(INDEX('Calculations'!$HF$13:$HF$512,MATCH('Calculations'!HW45,'Calculations'!$HE$13:$HE$512,0)),""))))</x:f>
      </x:c>
      <x:c r="HY45" t="str">
        <x:f>IF('Calculations'!HX45="","",IF('Calculations'!HX45="!AMBIG","!AMBIG",IF(COUNTIF('Calculations'!$HE$13:$HE$512,"="&amp;SUBSTITUTE(SUBSTITUTE(SUBSTITUTE('Calculations'!HX45,"~","~~"),"*","~*"),"?","~?"))&gt;1,"!AMBIG",IFERROR(INDEX('Calculations'!$HF$13:$HF$512,MATCH('Calculations'!HX45,'Calculations'!$HE$13:$HE$512,0)),""))))</x:f>
      </x:c>
      <x:c r="HZ45" t="str">
        <x:f>IF('Calculations'!HY45="","",IF('Calculations'!HY45="!AMBIG","!AMBIG",IF(COUNTIF('Calculations'!$HE$13:$HE$512,"="&amp;SUBSTITUTE(SUBSTITUTE(SUBSTITUTE('Calculations'!HY45,"~","~~"),"*","~*"),"?","~?"))&gt;1,"!AMBIG",IFERROR(INDEX('Calculations'!$HF$13:$HF$512,MATCH('Calculations'!HY45,'Calculations'!$HE$13:$HE$512,0)),""))))</x:f>
      </x:c>
      <x:c r="IA45" t="str">
        <x:f>IF('Calculations'!HZ45="","",IF('Calculations'!HZ45="!AMBIG","!AMBIG",IF(COUNTIF('Calculations'!$HE$13:$HE$512,"="&amp;SUBSTITUTE(SUBSTITUTE(SUBSTITUTE('Calculations'!HZ45,"~","~~"),"*","~*"),"?","~?"))&gt;1,"!AMBIG",IFERROR(INDEX('Calculations'!$HF$13:$HF$512,MATCH('Calculations'!HZ45,'Calculations'!$HE$13:$HE$512,0)),""))))</x:f>
      </x:c>
      <x:c r="IB45" t="str">
        <x:f>IF('Calculations'!IA45="","",IF('Calculations'!IA45="!AMBIG","!AMBIG",IF(COUNTIF('Calculations'!$HE$13:$HE$512,"="&amp;SUBSTITUTE(SUBSTITUTE(SUBSTITUTE('Calculations'!IA45,"~","~~"),"*","~*"),"?","~?"))&gt;1,"!AMBIG",IFERROR(INDEX('Calculations'!$HF$13:$HF$512,MATCH('Calculations'!IA45,'Calculations'!$HE$13:$HE$512,0)),""))))</x:f>
      </x:c>
      <x:c r="IC45" t="str">
        <x:f>IF('Calculations'!IB45="","",IF('Calculations'!IB45="!AMBIG","!AMBIG",IF(COUNTIF('Calculations'!$HE$13:$HE$512,"="&amp;SUBSTITUTE(SUBSTITUTE(SUBSTITUTE('Calculations'!IB45,"~","~~"),"*","~*"),"?","~?"))&gt;1,"!AMBIG",IFERROR(INDEX('Calculations'!$HF$13:$HF$512,MATCH('Calculations'!IB45,'Calculations'!$HE$13:$HE$512,0)),""))))</x:f>
      </x:c>
      <x:c r="ID45" t="str">
        <x:f>IF('Calculations'!IC45="","",IF('Calculations'!IC45="!AMBIG","!AMBIG",IF(COUNTIF('Calculations'!$HE$13:$HE$512,"="&amp;SUBSTITUTE(SUBSTITUTE(SUBSTITUTE('Calculations'!IC45,"~","~~"),"*","~*"),"?","~?"))&gt;1,"!AMBIG",IFERROR(INDEX('Calculations'!$HF$13:$HF$512,MATCH('Calculations'!IC45,'Calculations'!$HE$13:$HE$512,0)),""))))</x:f>
      </x:c>
      <x:c r="IE45" t="str">
        <x:f>IF('Calculations'!ID45="","",IF('Calculations'!ID45="!AMBIG","!AMBIG",IF(COUNTIF('Calculations'!$HE$13:$HE$512,"="&amp;SUBSTITUTE(SUBSTITUTE(SUBSTITUTE('Calculations'!ID45,"~","~~"),"*","~*"),"?","~?"))&gt;1,"!AMBIG",IFERROR(INDEX('Calculations'!$HF$13:$HF$512,MATCH('Calculations'!ID45,'Calculations'!$HE$13:$HE$512,0)),""))))</x:f>
      </x:c>
      <x:c r="IF45" t="str">
        <x:f>IF('Calculations'!IE45="","",IF('Calculations'!IE45="!AMBIG","!AMBIG",IF(COUNTIF('Calculations'!$HE$13:$HE$512,"="&amp;SUBSTITUTE(SUBSTITUTE(SUBSTITUTE('Calculations'!IE45,"~","~~"),"*","~*"),"?","~?"))&gt;1,"!AMBIG",IFERROR(INDEX('Calculations'!$HF$13:$HF$512,MATCH('Calculations'!IE45,'Calculations'!$HE$13:$HE$512,0)),""))))</x:f>
      </x:c>
      <x:c r="IG45" t="str">
        <x:f>IF('Calculations'!IF45="","",IF('Calculations'!IF45="!AMBIG","!AMBIG",IF(COUNTIF('Calculations'!$HE$13:$HE$512,"="&amp;SUBSTITUTE(SUBSTITUTE(SUBSTITUTE('Calculations'!IF45,"~","~~"),"*","~*"),"?","~?"))&gt;1,"!AMBIG",IFERROR(INDEX('Calculations'!$HF$13:$HF$512,MATCH('Calculations'!IF45,'Calculations'!$HE$13:$HE$512,0)),""))))</x:f>
      </x:c>
      <x:c r="IH45" t="str">
        <x:f>IF('Calculations'!IG45="","",IF('Calculations'!IG45="!AMBIG","!AMBIG",IF(COUNTIF('Calculations'!$HE$13:$HE$512,"="&amp;SUBSTITUTE(SUBSTITUTE(SUBSTITUTE('Calculations'!IG45,"~","~~"),"*","~*"),"?","~?"))&gt;1,"!AMBIG",IFERROR(INDEX('Calculations'!$HF$13:$HF$512,MATCH('Calculations'!IG45,'Calculations'!$HE$13:$HE$512,0)),""))))</x:f>
      </x:c>
      <x:c r="II45" t="str">
        <x:f>IF('Calculations'!IH45="","",IF('Calculations'!IH45="!AMBIG","!AMBIG",IF(COUNTIF('Calculations'!$HE$13:$HE$512,"="&amp;SUBSTITUTE(SUBSTITUTE(SUBSTITUTE('Calculations'!IH45,"~","~~"),"*","~*"),"?","~?"))&gt;1,"!AMBIG",IFERROR(INDEX('Calculations'!$HF$13:$HF$512,MATCH('Calculations'!IH45,'Calculations'!$HE$13:$HE$512,0)),""))))</x:f>
      </x:c>
      <x:c r="IJ45" t="str">
        <x:f>IF('Calculations'!EM45="","",IF('Calculations'!$EF$2="All",'Calculations'!HM45,IF('Calculations'!HL45=1,"",IFERROR(IF(MATCH('Calculations'!$EF$2,'Calculations'!HO45:II45,0)=1,'Calculations'!HE45,INDEX('Calculations'!HO45:II45,1,MATCH('Calculations'!$EF$2,'Calculations'!HO45:II45,0)-1)),""))))</x:f>
      </x:c>
      <x:c r="IK45" t="n">
        <x:f>IF(AND('Calculations'!EM45&lt;&gt;"",'Calculations'!$EF$2&lt;&gt;"All",'Calculations'!HF45='Calculations'!$EF$2,'Calculations'!HL45=0,'Calculations'!JD45&gt;0),MAX('Calculations'!$IK$12:IK44)+1,0)</x:f>
        <x:v>0</x:v>
      </x:c>
      <x:c r="JA45" t="n">
        <x:f>IF(OR(IFERROR(INDIRECT("'WCM Calibration Final'!$A$45")&lt;&gt;"",FALSE),IFERROR(INDIRECT("'WCM Calibration Final'!$B$45")&lt;&gt;"",FALSE),IFERROR(INDIRECT("'WCM Calibration Final'!$C$45")&lt;&gt;"",FALSE)),45,0)</x:f>
        <x:v>0</x:v>
      </x:c>
      <x:c r="JB45" t="n">
        <x:f>'Calculations'!JB44+IF('Calculations'!JA45&gt;0,1,0)</x:f>
        <x:v>0</x:v>
      </x:c>
      <x:c r="JC45" t="n">
        <x:f>IF(OR('Calculations'!HF45="",'Calculations'!HF45="!AMBIG"),0,IF('Dashboard'!$B$7="All",1,COUNTIFS('Calculations'!$HO$13:$HO$512,"="&amp;SUBSTITUTE(SUBSTITUTE(SUBSTITUTE('Calculations'!HF45,"~","~~"),"*","~*"),"?","~?"),'Calculations'!$HN$13:$HN$512,"="&amp;SUBSTITUTE(SUBSTITUTE(SUBSTITUTE('Dashboard'!$B$7,"~","~~"),"*","~*"),"?","~?"))+COUNTIFS('Calculations'!$HP$13:$HP$512,"="&amp;SUBSTITUTE(SUBSTITUTE(SUBSTITUTE('Calculations'!HF45,"~","~~"),"*","~*"),"?","~?"),'Calculations'!$HN$13:$HN$512,"="&amp;SUBSTITUTE(SUBSTITUTE(SUBSTITUTE('Dashboard'!$B$7,"~","~~"),"*","~*"),"?","~?"))+COUNTIFS('Calculations'!$HQ$13:$HQ$512,"="&amp;SUBSTITUTE(SUBSTITUTE(SUBSTITUTE('Calculations'!HF45,"~","~~"),"*","~*"),"?","~?"),'Calculations'!$HN$13:$HN$512,"="&amp;SUBSTITUTE(SUBSTITUTE(SUBSTITUTE('Dashboard'!$B$7,"~","~~"),"*","~*"),"?","~?"))+COUNTIFS('Calculations'!$HR$13:$HR$512,"="&amp;SUBSTITUTE(SUBSTITUTE(SUBSTITUTE('Calculations'!HF45,"~","~~"),"*","~*"),"?","~?"),'Calculations'!$HN$13:$HN$512,"="&amp;SUBSTITUTE(SUBSTITUTE(SUBSTITUTE('Dashboard'!$B$7,"~","~~"),"*","~*"),"?","~?"))+COUNTIFS('Calculations'!$HS$13:$HS$512,"="&amp;SUBSTITUTE(SUBSTITUTE(SUBSTITUTE('Calculations'!HF45,"~","~~"),"*","~*"),"?","~?"),'Calculations'!$HN$13:$HN$512,"="&amp;SUBSTITUTE(SUBSTITUTE(SUBSTITUTE('Dashboard'!$B$7,"~","~~"),"*","~*"),"?","~?"))+COUNTIFS('Calculations'!$HT$13:$HT$512,"="&amp;SUBSTITUTE(SUBSTITUTE(SUBSTITUTE('Calculations'!HF45,"~","~~"),"*","~*"),"?","~?"),'Calculations'!$HN$13:$HN$512,"="&amp;SUBSTITUTE(SUBSTITUTE(SUBSTITUTE('Dashboard'!$B$7,"~","~~"),"*","~*"),"?","~?"))+COUNTIFS('Calculations'!$HU$13:$HU$512,"="&amp;SUBSTITUTE(SUBSTITUTE(SUBSTITUTE('Calculations'!HF45,"~","~~"),"*","~*"),"?","~?"),'Calculations'!$HN$13:$HN$512,"="&amp;SUBSTITUTE(SUBSTITUTE(SUBSTITUTE('Dashboard'!$B$7,"~","~~"),"*","~*"),"?","~?"))+COUNTIFS('Calculations'!$HV$13:$HV$512,"="&amp;SUBSTITUTE(SUBSTITUTE(SUBSTITUTE('Calculations'!HF45,"~","~~"),"*","~*"),"?","~?"),'Calculations'!$HN$13:$HN$512,"="&amp;SUBSTITUTE(SUBSTITUTE(SUBSTITUTE('Dashboard'!$B$7,"~","~~"),"*","~*"),"?","~?"))+COUNTIFS('Calculations'!$HW$13:$HW$512,"="&amp;SUBSTITUTE(SUBSTITUTE(SUBSTITUTE('Calculations'!HF45,"~","~~"),"*","~*"),"?","~?"),'Calculations'!$HN$13:$HN$512,"="&amp;SUBSTITUTE(SUBSTITUTE(SUBSTITUTE('Dashboard'!$B$7,"~","~~"),"*","~*"),"?","~?"))+COUNTIFS('Calculations'!$HX$13:$HX$512,"="&amp;SUBSTITUTE(SUBSTITUTE(SUBSTITUTE('Calculations'!HF45,"~","~~"),"*","~*"),"?","~?"),'Calculations'!$HN$13:$HN$512,"="&amp;SUBSTITUTE(SUBSTITUTE(SUBSTITUTE('Dashboard'!$B$7,"~","~~"),"*","~*"),"?","~?"))+COUNTIFS('Calculations'!$HY$13:$HY$512,"="&amp;SUBSTITUTE(SUBSTITUTE(SUBSTITUTE('Calculations'!HF45,"~","~~"),"*","~*"),"?","~?"),'Calculations'!$HN$13:$HN$512,"="&amp;SUBSTITUTE(SUBSTITUTE(SUBSTITUTE('Dashboard'!$B$7,"~","~~"),"*","~*"),"?","~?"))+COUNTIFS('Calculations'!$HZ$13:$HZ$512,"="&amp;SUBSTITUTE(SUBSTITUTE(SUBSTITUTE('Calculations'!HF45,"~","~~"),"*","~*"),"?","~?"),'Calculations'!$HN$13:$HN$512,"="&amp;SUBSTITUTE(SUBSTITUTE(SUBSTITUTE('Dashboard'!$B$7,"~","~~"),"*","~*"),"?","~?"))+COUNTIFS('Calculations'!$IA$13:$IA$512,"="&amp;SUBSTITUTE(SUBSTITUTE(SUBSTITUTE('Calculations'!HF45,"~","~~"),"*","~*"),"?","~?"),'Calculations'!$HN$13:$HN$512,"="&amp;SUBSTITUTE(SUBSTITUTE(SUBSTITUTE('Dashboard'!$B$7,"~","~~"),"*","~*"),"?","~?"))+COUNTIFS('Calculations'!$IB$13:$IB$512,"="&amp;SUBSTITUTE(SUBSTITUTE(SUBSTITUTE('Calculations'!HF45,"~","~~"),"*","~*"),"?","~?"),'Calculations'!$HN$13:$HN$512,"="&amp;SUBSTITUTE(SUBSTITUTE(SUBSTITUTE('Dashboard'!$B$7,"~","~~"),"*","~*"),"?","~?"))+COUNTIFS('Calculations'!$IC$13:$IC$512,"="&amp;SUBSTITUTE(SUBSTITUTE(SUBSTITUTE('Calculations'!HF45,"~","~~"),"*","~*"),"?","~?"),'Calculations'!$HN$13:$HN$512,"="&amp;SUBSTITUTE(SUBSTITUTE(SUBSTITUTE('Dashboard'!$B$7,"~","~~"),"*","~*"),"?","~?"))+COUNTIFS('Calculations'!$ID$13:$ID$512,"="&amp;SUBSTITUTE(SUBSTITUTE(SUBSTITUTE('Calculations'!HF45,"~","~~"),"*","~*"),"?","~?"),'Calculations'!$HN$13:$HN$512,"="&amp;SUBSTITUTE(SUBSTITUTE(SUBSTITUTE('Dashboard'!$B$7,"~","~~"),"*","~*"),"?","~?"))+COUNTIFS('Calculations'!$IE$13:$IE$512,"="&amp;SUBSTITUTE(SUBSTITUTE(SUBSTITUTE('Calculations'!HF45,"~","~~"),"*","~*"),"?","~?"),'Calculations'!$HN$13:$HN$512,"="&amp;SUBSTITUTE(SUBSTITUTE(SUBSTITUTE('Dashboard'!$B$7,"~","~~"),"*","~*"),"?","~?"))+COUNTIFS('Calculations'!$IF$13:$IF$512,"="&amp;SUBSTITUTE(SUBSTITUTE(SUBSTITUTE('Calculations'!HF45,"~","~~"),"*","~*"),"?","~?"),'Calculations'!$HN$13:$HN$512,"="&amp;SUBSTITUTE(SUBSTITUTE(SUBSTITUTE('Dashboard'!$B$7,"~","~~"),"*","~*"),"?","~?"))+COUNTIFS('Calculations'!$IG$13:$IG$512,"="&amp;SUBSTITUTE(SUBSTITUTE(SUBSTITUTE('Calculations'!HF45,"~","~~"),"*","~*"),"?","~?"),'Calculations'!$HN$13:$HN$512,"="&amp;SUBSTITUTE(SUBSTITUTE(SUBSTITUTE('Dashboard'!$B$7,"~","~~"),"*","~*"),"?","~?"))+COUNTIFS('Calculations'!$IH$13:$IH$512,"="&amp;SUBSTITUTE(SUBSTITUTE(SUBSTITUTE('Calculations'!HF45,"~","~~"),"*","~*"),"?","~?"),'Calculations'!$HN$13:$HN$512,"="&amp;SUBSTITUTE(SUBSTITUTE(SUBSTITUTE('Dashboard'!$B$7,"~","~~"),"*","~*"),"?","~?"))))</x:f>
        <x:v>0</x:v>
      </x:c>
      <x:c r="JD45" t="n">
        <x:f>IF('Calculations'!EM45="",0,IF('Dashboard'!$B$7="All",1,IF('Calculations'!HN45='Dashboard'!$B$7,1,0)+IFERROR(INDEX('Calculations'!$JC$13:$JC$512,MATCH('Calculations'!HE45,'Calculations'!$HF$13:$HF$512,0)),0)))</x:f>
        <x:v>0</x:v>
      </x:c>
      <x:c r="JE45" t="n">
        <x:f>IF(AND('Calculations'!EM45&lt;&gt;"",'Calculations'!$JJ$2&lt;&gt;"All",'Calculations'!$JJ$2&lt;&gt;"",'Calculations'!HF45='Calculations'!$JJ$2,'Calculations'!HL45=0,'Calculations'!JD45&gt;0),MAX('Calculations'!$JE$12:JE44)+1,0)</x:f>
        <x:v>0</x:v>
      </x:c>
      <x:c r="JF45" t="str">
        <x:f>IF('Calculations'!EM45="","",IFERROR(IF(INDEX(INDIRECT("'WCM Calibration Final'!$G$1:$G$2000"),'Calculations'!$EM45)="","",TRIM(INDEX(INDIRECT("'WCM Calibration Final'!$G$1:$G$2000"),'Calculations'!$EM45)&amp;"")),""))</x:f>
      </x:c>
      <x:c r="JQ45" t="n">
        <x:f>IF(OR('Calculations'!BM45=0,NOT('Calculations'!$AG$2),'Calculations'!$AG$8&gt;0),0,IF(OR('Dashboard'!$B$7="All",'Calculations'!HN45='Dashboard'!$B$7),IF('Calculations'!$JJ$2="All",1,IF(AND('Calculations'!HF45='Calculations'!$JJ$2,'Calculations'!HL45=0),1,0)),0))</x:f>
        <x:v>0</x:v>
      </x:c>
    </x:row>
    <x:row r="46">
      <x:c r="AF46" s="4" t="str">
        <x:v>4 Needs impr.</x:v>
      </x:c>
      <x:c r="AG46" s="4" t="n">
        <x:f>COUNTIFS('Calculations'!$BN$13:$BN$512,1,'Calculations'!$BZ$13:$BZ$512,4)</x:f>
        <x:v>0</x:v>
      </x:c>
      <x:c r="AH46" s="4" t="e">
        <x:f>IF(SUM('Calculations'!$AG$43:$AG$46)=0,NA(),'Calculations'!AG46/SUM('Calculations'!$AG$43:$AG$46))</x:f>
        <x:v>#N/A</x:v>
      </x:c>
      <x:c r="AI46" s="4"/>
      <x:c r="AJ46" s="4"/>
      <x:c r="AK46" s="4"/>
      <x:c r="AL46" s="4"/>
      <x:c r="AM46" s="4"/>
      <x:c r="AN46" s="4"/>
      <x:c r="AO46" s="4"/>
      <x:c r="AP46" s="4"/>
      <x:c r="AQ46" s="4"/>
      <x:c r="AR46" s="4"/>
      <x:c r="AS46" s="4"/>
      <x:c r="AT46" s="4" t="str">
        <x:f>IFERROR('Calculations'!AG46&amp;" · "&amp;TEXT('Calculations'!AH46,"0.0%"),"")</x:f>
      </x:c>
      <x:c r="AU46" s="4"/>
      <x:c r="AV46" s="4"/>
      <x:c r="AW46" s="4"/>
      <x:c r="AX46" s="4"/>
      <x:c r="AY46" s="4"/>
      <x:c r="AZ46" s="4"/>
      <x:c r="BA46" s="4"/>
      <x:c r="BB46" s="4"/>
      <x:c r="BC46" s="4"/>
      <x:c r="BD46" s="4"/>
      <x:c r="BE46" s="4"/>
      <x:c r="BF46" s="4"/>
      <x:c r="BG46" s="4"/>
      <x:c r="BH46" s="4"/>
      <x:c r="BI46" s="4"/>
      <x:c r="BJ46" s="4"/>
      <x:c r="BK46" s="4"/>
      <x:c r="BL46" s="4"/>
      <x:c r="BM46" s="4" t="n">
        <x:f>IF('Calculations'!$EM46="",0,IF(OR(IFERROR(INDEX(INDIRECT("'WCM Calibration Final'!$A$1:$A$2000"),'Calculations'!$EM46)&lt;&gt;"",FALSE),IFERROR(INDEX(INDIRECT("'WCM Calibration Final'!$B$1:$B$2000"),'Calculations'!$EM46)&lt;&gt;"",FALSE),IFERROR(INDEX(INDIRECT("'WCM Calibration Final'!$C$1:$C$2000"),'Calculations'!$EM46)&lt;&gt;"",FALSE)),1,0))</x:f>
        <x:v>0</x:v>
      </x:c>
      <x:c r="BN46" s="4" t="n">
        <x:f>IF(AND('Calculations'!BM46=1,'Calculations'!$AG$2,'Calculations'!$EN46=1),1,0)</x:f>
        <x:v>0</x:v>
      </x:c>
      <x:c r="BO46" s="4" t="str">
        <x:f>IF('Calculations'!BM46=0,"",IFERROR(IF(AND(VALUE(INDEX(INDIRECT("'WCM Calibration Final'!$K$1:$K$2000"),'Calculations'!$EM46))&gt;=1,VALUE(INDEX(INDIRECT("'WCM Calibration Final'!$K$1:$K$2000"),'Calculations'!$EM46))&lt;=4,MOD(VALUE(INDEX(INDIRECT("'WCM Calibration Final'!$K$1:$K$2000"),'Calculations'!$EM46)),1)=0),VALUE(INDEX(INDIRECT("'WCM Calibration Final'!$K$1:$K$2000"),'Calculations'!$EM46)),""),""))</x:f>
      </x:c>
      <x:c r="BP46" s="4" t="str">
        <x:f>IF('Calculations'!BM46=0,"",IFERROR(IF(AND(VALUE(INDEX(INDIRECT("'WCM Calibration Final'!$L$1:$L$2000"),'Calculations'!$EM46))&gt;=1,VALUE(INDEX(INDIRECT("'WCM Calibration Final'!$L$1:$L$2000"),'Calculations'!$EM46))&lt;=4,MOD(VALUE(INDEX(INDIRECT("'WCM Calibration Final'!$L$1:$L$2000"),'Calculations'!$EM46)),1)=0),VALUE(INDEX(INDIRECT("'WCM Calibration Final'!$L$1:$L$2000"),'Calculations'!$EM46)),""),""))</x:f>
      </x:c>
      <x:c r="BQ46" s="4"/>
      <x:c r="BR46" s="4"/>
      <x:c r="BS46" s="4"/>
      <x:c r="BT46" s="4" t="n">
        <x:f>IF(AND('Calculations'!BM46=1,ISNUMBER('Calculations'!BO46),ISNUMBER('Calculations'!BP46)),1,0)</x:f>
        <x:v>0</x:v>
      </x:c>
      <x:c r="BU46" s="4" t="str">
        <x:f>IF('Calculations'!BM46=0,"",'Calculations'!$EO46)</x:f>
      </x:c>
      <x:c r="BV46" s="4" t="str">
        <x:f>IF('Calculations'!BM46=0,"",IFERROR(IF(OR(INDEX(INDIRECT("'WCM Calibration Final'!$H$1:$H$2000"),'Calculations'!$EM46)="MANAGING DIRECTOR",INDEX(INDIRECT("'WCM Calibration Final'!$H$1:$H$2000"),'Calculations'!$EM46)="DIRECTOR",INDEX(INDIRECT("'WCM Calibration Final'!$H$1:$H$2000"),'Calculations'!$EM46)="SENIOR VICE PRESIDENT",INDEX(INDIRECT("'WCM Calibration Final'!$H$1:$H$2000"),'Calculations'!$EM46)="VICE PRESIDENT",INDEX(INDIRECT("'WCM Calibration Final'!$H$1:$H$2000"),'Calculations'!$EM46)="ASSISTANT VICE PRESIDENT",INDEX(INDIRECT("'WCM Calibration Final'!$H$1:$H$2000"),'Calculations'!$EM46)="OFFICER"),UPPER(INDEX(INDIRECT("'WCM Calibration Final'!$H$1:$H$2000"),'Calculations'!$EM46)),"Other"),"Other"))</x:f>
      </x:c>
      <x:c r="BW46" s="4"/>
      <x:c r="BX46" s="4"/>
      <x:c r="BY46" s="4" t="n">
        <x:f>IF(AND('Calculations'!BM46=1,'Calculations'!BU46&lt;&gt;"",COUNTIF('Calculations'!$BU$12:BU46,'Calculations'!BU46)=1),MAX('Calculations'!$BY$11:BY45)+1,0)</x:f>
        <x:v>0</x:v>
      </x:c>
      <x:c r="BZ46" s="4" t="str">
        <x:f>IF('Dashboard'!$E$67="What",'Calculations'!BO46,'Calculations'!BP46)</x:f>
      </x:c>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t="str">
        <x:f>IF(35&gt;MAX('Calculations'!$HI$13:$HI$512),"",INDEX('Calculations'!$HN$13:$HN$512,MATCH(35,'Calculations'!$HI$13:$HI$512,0)))</x:f>
      </x:c>
      <x:c r="DB46" s="4" t="str">
        <x:f>IF(35&gt;MAX('Calculations'!$HH$13:$HH$512),"",INDEX('Calculations'!$HJ$13:$HJ$512,MATCH(35,'Calculations'!$HH$13:$HH$512,0)))</x:f>
      </x:c>
      <x:c r="DC46" s="4" t="str">
        <x:f>IF(ROW()-11&gt;MAX('Calculations'!$BY$13:$BY$512),"",INDEX('Calculations'!$BU$13:$BU$512,MATCH(ROW()-11,'Calculations'!$BY$13:$BY$512,0)))</x:f>
      </x:c>
      <x:c r="DD46" s="4" t="str">
        <x:f>IF(35&gt;MAX('Calculations'!$IK$13:$IK$512),"",INDEX('Calculations'!$HK$13:$HK$512,MATCH(35,'Calculations'!$IK$13:$IK$512,0)))</x:f>
      </x:c>
      <x:c r="DE46" s="4" t="str">
        <x:f>'Calculations'!DC46</x:f>
      </x:c>
      <x:c r="DF46" s="4" t="str">
        <x:f>IF('Calculations'!DE46="","",COUNTIFS('Calculations'!$BN$13:$BN$512,1,'Calculations'!$BU$13:$BU$512,'Calculations'!DE46))</x:f>
      </x:c>
      <x:c r="DG46" s="4" t="str">
        <x:f>IF('Calculations'!DE46="","",COUNTIFS('Calculations'!$BN$13:$BN$512,1,'Calculations'!$BU$13:$BU$512,'Calculations'!DE46,'Calculations'!$BT$13:$BT$512,1))</x:f>
      </x:c>
      <x:c r="DH46" s="4" t="str">
        <x:f>IF('Calculations'!DE46="","",'Calculations'!DF46-'Calculations'!DG46)</x:f>
      </x:c>
      <x:c r="DI46" s="4" t="str">
        <x:f>IF(OR('Calculations'!DE46="",'Calculations'!DF46=0),"",'Calculations'!DG46/'Calculations'!DF46)</x:f>
      </x:c>
      <x:c r="DJ46" s="4" t="str">
        <x:f>IF('Calculations'!DE46="","",COUNTIFS('Calculations'!$BN$13:$BN$512,1,'Calculations'!$BU$13:$BU$512,'Calculations'!DE46,'Calculations'!$BT$13:$BT$512,1,'Calculations'!$EE$13:$EE$512,"High"))</x:f>
      </x:c>
      <x:c r="DK46" s="4" t="str">
        <x:f>IF('Calculations'!DE46="","",COUNTIFS('Calculations'!$BN$13:$BN$512,1,'Calculations'!$BU$13:$BU$512,'Calculations'!DE46,'Calculations'!$BT$13:$BT$512,1,'Calculations'!$EE$13:$EE$512,"Strong"))</x:f>
      </x:c>
      <x:c r="DL46" s="4" t="str">
        <x:f>IF('Calculations'!DE46="","",COUNTIFS('Calculations'!$BN$13:$BN$512,1,'Calculations'!$BU$13:$BU$512,'Calculations'!DE46,'Calculations'!$BT$13:$BT$512,1,'Calculations'!$EE$13:$EE$512,"Solid"))</x:f>
      </x:c>
      <x:c r="DM46" s="4" t="str">
        <x:f>IF('Calculations'!DE46="","",COUNTIFS('Calculations'!$BN$13:$BN$512,1,'Calculations'!$BU$13:$BU$512,'Calculations'!DE46,'Calculations'!$BT$13:$BT$512,1,'Calculations'!$EE$13:$EE$512,"Low"))</x:f>
      </x:c>
      <x:c r="DN46" s="4" t="str">
        <x:f>IF('Calculations'!DE46="","",COUNTIFS('Calculations'!$BN$13:$BN$512,1,'Calculations'!$BU$13:$BU$512,'Calculations'!DE46,'Calculations'!$EP$13:$EP$512,1))</x:f>
      </x:c>
      <x:c r="DO46" s="4" t="str">
        <x:f>IF(OR('Calculations'!DE46="",'Calculations'!DG46=0),"",('Calculations'!DJ46+'Calculations'!DK46)/'Calculations'!DG46)</x:f>
      </x:c>
      <x:c r="DP46" s="4" t="n">
        <x:f>IF(AND('Calculations'!DE46&lt;&gt;"",'Calculations'!DF46&gt;0),COUNTIF('Calculations'!$DF$12:DF46,"&gt;0"),0)</x:f>
        <x:v>0</x:v>
      </x:c>
      <x:c r="DQ46" s="4" t="str">
        <x:f>IF(35&gt;MAX('Calculations'!$HH$13:$HH$512),"",INDEX('Calculations'!$HF$13:$HF$512,MATCH(35,'Calculations'!$HH$13:$HH$512,0)))</x:f>
      </x:c>
      <x:c r="DR46" s="4" t="str">
        <x:f>IF(35&gt;MAX('Calculations'!$IK$13:$IK$512),"",INDEX('Calculations'!$HE$13:$HE$512,MATCH(35,'Calculations'!$IK$13:$IK$512,0)))</x:f>
      </x:c>
      <x:c r="DS46" s="4"/>
      <x:c r="DT46" s="4"/>
      <x:c r="DU46" s="4"/>
      <x:c r="DV46" s="4"/>
      <x:c r="DW46" s="4"/>
      <x:c r="DX46" s="4"/>
      <x:c r="DY46" s="4"/>
      <x:c r="DZ46" s="4"/>
      <x:c r="EA46" s="4"/>
      <x:c r="EB46" s="4"/>
      <x:c r="EC46" s="4"/>
      <x:c r="ED46" s="4"/>
      <x:c r="EE46" s="4" t="str">
        <x:f>IF('Calculations'!BT46=0,"Not Rated",IF(OR('Calculations'!BO46&gt;=4,'Calculations'!BP46&gt;=4),"Low",IF('Calculations'!BO46+'Calculations'!BP46&lt;=3,"High",IF('Calculations'!BO46+'Calculations'!BP46&lt;=4,"Strong","Solid"))))</x:f>
        <x:v>Not Rated</x:v>
      </x:c>
      <x:c r="EF46" s="4"/>
      <x:c r="EG46" s="4"/>
      <x:c r="EH46" s="4"/>
      <x:c r="EI46" s="4"/>
      <x:c r="EJ46" s="4"/>
      <x:c r="EK46" s="4"/>
      <x:c r="EL46" s="4"/>
      <x:c r="EM46" s="4" t="str">
        <x:f>IF(34&gt;'Calculations'!$JB$2000,"",INDEX('Calculations'!$JA$12:$JA$2000,MATCH(34,'Calculations'!$JB$12:$JB$2000,0)))</x:f>
      </x:c>
      <x:c r="EN46" s="4" t="n">
        <x:f>IF(OR('Calculations'!EM46="",'Calculations'!$AG$8&gt;0,AND('Calculations'!$EF$2&lt;&gt;"All",'Calculations'!HE46='Calculations'!$EF$2),AND('Calculations'!$EF$3&lt;&gt;"All",'Calculations'!HE46='Calculations'!$EF$3)),0,IF(OR('Dashboard'!$B$7="All",'Calculations'!HN46='Dashboard'!$B$7),IF('Calculations'!$EF$2="All",1,IF('Calculations'!HL46&gt;0,0,IF(COUNTIF('Calculations'!HO46:II46,"="&amp;SUBSTITUTE(SUBSTITUTE(SUBSTITUTE('Calculations'!$EF$2,"~","~~"),"*","~*"),"?","~?"))=0,0,IF('Calculations'!$EF$3="All",1,IF(COUNTIF('Calculations'!HO46:II46,"="&amp;SUBSTITUTE(SUBSTITUTE(SUBSTITUTE('Calculations'!$EF$3,"~","~~"),"*","~*"),"?","~?"))&gt;0,1,0))))),0))</x:f>
        <x:v>0</x:v>
      </x:c>
      <x:c r="EO46" s="4" t="str">
        <x:f>IF('Calculations'!IJ46="","",IF('Calculations'!IJ46="!UNRESOLVED","Unresolved hierarchy",IFERROR(INDEX('Calculations'!$HK$13:$HK$512,MATCH('Calculations'!IJ46,'Calculations'!$HE$13:$HE$512,0)),IFERROR(INDEX('Calculations'!$HJ$13:$HJ$512,MATCH('Calculations'!IJ46,'Calculations'!$HF$13:$HF$512,0)),'Calculations'!IJ46))))</x:f>
      </x:c>
      <x:c r="EP46" s="4" t="n">
        <x:f>IF(AND('Calculations'!EM46&lt;&gt;"",'Calculations'!HF46='Calculations'!IJ46),1,0)</x:f>
        <x:v>0</x:v>
      </x:c>
      <x:c r="EQ46" s="4"/>
      <x:c r="ER46" s="4"/>
      <x:c r="ES46" s="4"/>
      <x:c r="ET46" s="4"/>
      <x:c r="EU46" s="4"/>
      <x:c r="EV46" s="4"/>
      <x:c r="EW46" s="4"/>
      <x:c r="EX46" s="4"/>
      <x:c r="EY46" s="4"/>
      <x:c r="EZ46" s="4"/>
      <x:c r="FA46" s="4"/>
      <x:c r="FB46" s="4"/>
      <x:c r="FC46" s="4"/>
      <x:c r="FD46" s="4"/>
      <x:c r="FE46" s="4"/>
      <x:c r="FF46" s="4"/>
      <x:c r="FG46" s="4"/>
      <x:c r="FH46" s="4"/>
      <x:c r="FI46" s="4"/>
      <x:c r="FJ46" s="4"/>
      <x:c r="FK46" s="4"/>
      <x:c r="FL46" s="4"/>
      <x:c r="FM46" s="4"/>
      <x:c r="FN46" s="4"/>
      <x:c r="FO46" s="4"/>
      <x:c r="GA46" s="71"/>
      <x:c r="GB46" s="71"/>
      <x:c r="GC46" s="71"/>
      <x:c r="GD46" s="71"/>
      <x:c r="GE46" s="71"/>
      <x:c r="GF46" s="71"/>
      <x:c r="GG46" s="71"/>
      <x:c r="GH46" s="71"/>
      <x:c r="GI46" s="71"/>
      <x:c r="GJ46" s="71"/>
      <x:c r="GK46" s="71"/>
      <x:c r="GL46" s="71"/>
      <x:c r="GM46" s="71"/>
      <x:c r="GN46" s="71"/>
      <x:c r="GO46" s="71"/>
      <x:c r="GP46" s="71"/>
      <x:c r="GQ46" s="71"/>
      <x:c r="GR46" s="71"/>
      <x:c r="GS46" s="71"/>
      <x:c r="GT46" s="71"/>
      <x:c r="GU46" s="71"/>
      <x:c r="GV46" s="71"/>
      <x:c r="GW46" s="71"/>
      <x:c r="GX46" s="71"/>
      <x:c r="GY46" s="71"/>
      <x:c r="GZ46" s="71"/>
      <x:c r="HA46" s="71"/>
      <x:c r="HB46" s="71"/>
      <x:c r="HC46" s="71"/>
      <x:c r="HD46" s="71"/>
      <x:c r="HE46" t="str">
        <x:f>IF('Calculations'!EM46="","",IF(IFERROR(IF(INDEX(INDIRECT("'WCM Calibration Final'!$A$1:$A$2000"),'Calculations'!$EM46)="","",TRIM(INDEX(INDIRECT("'WCM Calibration Final'!$A$1:$A$2000"),'Calculations'!$EM46)&amp;"")),"")&lt;&gt;"","G:"&amp;IFERROR(TEXT(1*INDEX(INDIRECT("'WCM Calibration Final'!$A$1:$A$2000"),'Calculations'!$EM46),"0"),UPPER(IFERROR(IF(INDEX(INDIRECT("'WCM Calibration Final'!$A$1:$A$2000"),'Calculations'!$EM46)="","",TRIM(INDEX(INDIRECT("'WCM Calibration Final'!$A$1:$A$2000"),'Calculations'!$EM46)&amp;"")),""))),IF(IFERROR(IF(INDEX(INDIRECT("'WCM Calibration Final'!$C$1:$C$2000"),'Calculations'!$EM46)="","",TRIM(INDEX(INDIRECT("'WCM Calibration Final'!$C$1:$C$2000"),'Calculations'!$EM46)&amp;"")),"")&lt;&gt;"","S:"&amp;UPPER(IFERROR(IF(INDEX(INDIRECT("'WCM Calibration Final'!$C$1:$C$2000"),'Calculations'!$EM46)="","",TRIM(INDEX(INDIRECT("'WCM Calibration Final'!$C$1:$C$2000"),'Calculations'!$EM46)&amp;"")),"")),"R:"&amp;'Calculations'!EM46)))</x:f>
      </x:c>
      <x:c r="HF46" t="str">
        <x:f>IF('Calculations'!EM46="","",IF(IFERROR(IF(INDEX(INDIRECT("'WCM Calibration Final'!$D$1:$D$2000"),'Calculations'!$EM46)="","",TRIM(INDEX(INDIRECT("'WCM Calibration Final'!$D$1:$D$2000"),'Calculations'!$EM46)&amp;"")),"")&lt;&gt;"","G:"&amp;IFERROR(TEXT(1*INDEX(INDIRECT("'WCM Calibration Final'!$D$1:$D$2000"),'Calculations'!$EM46),"0"),UPPER(IFERROR(IF(INDEX(INDIRECT("'WCM Calibration Final'!$D$1:$D$2000"),'Calculations'!$EM46)="","",TRIM(INDEX(INDIRECT("'WCM Calibration Final'!$D$1:$D$2000"),'Calculations'!$EM46)&amp;"")),""))),IF(IFERROR(IF(INDEX(INDIRECT("'WCM Calibration Final'!$E$1:$E$2000"),'Calculations'!$EM46)="","",TRIM(INDEX(INDIRECT("'WCM Calibration Final'!$E$1:$E$2000"),'Calculations'!$EM46)&amp;"")),"")="","",IF(COUNTIF('Calculations'!$HG$13:$HG$512,"="&amp;SUBSTITUTE(SUBSTITUTE(SUBSTITUTE(IFERROR(IF(INDEX(INDIRECT("'WCM Calibration Final'!$E$1:$E$2000"),'Calculations'!$EM46)="","",TRIM(INDEX(INDIRECT("'WCM Calibration Final'!$E$1:$E$2000"),'Calculations'!$EM46)&amp;"")),""),"~","~~"),"*","~*"),"?","~?"))=1,INDEX('Calculations'!$HE$13:$HE$512,MATCH(IFERROR(IF(INDEX(INDIRECT("'WCM Calibration Final'!$E$1:$E$2000"),'Calculations'!$EM46)="","",TRIM(INDEX(INDIRECT("'WCM Calibration Final'!$E$1:$E$2000"),'Calculations'!$EM46)&amp;"")),""),'Calculations'!$HG$13:$HG$512,0)),IF(COUNTIF('Calculations'!$HG$13:$HG$512,"="&amp;SUBSTITUTE(SUBSTITUTE(SUBSTITUTE(IFERROR(IF(INDEX(INDIRECT("'WCM Calibration Final'!$E$1:$E$2000"),'Calculations'!$EM46)="","",TRIM(INDEX(INDIRECT("'WCM Calibration Final'!$E$1:$E$2000"),'Calculations'!$EM46)&amp;"")),""),"~","~~"),"*","~*"),"?","~?"))&gt;1,"!AMBIG","X:"&amp;IFERROR(IF(INDEX(INDIRECT("'WCM Calibration Final'!$E$1:$E$2000"),'Calculations'!$EM46)="","",TRIM(INDEX(INDIRECT("'WCM Calibration Final'!$E$1:$E$2000"),'Calculations'!$EM46)&amp;"")),""))))))</x:f>
      </x:c>
      <x:c r="HG46" t="str">
        <x:f>IF('Calculations'!EM46="","",IFERROR(IF(INDEX(INDIRECT("'WCM Calibration Final'!$B$1:$B$2000"),'Calculations'!$EM46)="","",TRIM(INDEX(INDIRECT("'WCM Calibration Final'!$B$1:$B$2000"),'Calculations'!$EM46)&amp;"")),""))</x:f>
      </x:c>
      <x:c r="HH46" t="n">
        <x:f>IF(AND('Calculations'!JC46&gt;0,COUNTIF('Calculations'!$HF$12:HF46,"="&amp;SUBSTITUTE(SUBSTITUTE(SUBSTITUTE('Calculations'!HF46,"~","~~"),"*","~*"),"?","~?"))=1),MAX('Calculations'!$HH$12:HH45)+1,0)</x:f>
        <x:v>0</x:v>
      </x:c>
      <x:c r="HI46" t="n">
        <x:f>IF(AND('Calculations'!HN46&lt;&gt;"",COUNTIF('Calculations'!$HN$12:HN46,"="&amp;SUBSTITUTE(SUBSTITUTE(SUBSTITUTE('Calculations'!HN46,"~","~~"),"*","~*"),"?","~?"))=1),MAX('Calculations'!$HI$12:HI45)+1,0)</x:f>
        <x:v>0</x:v>
      </x:c>
      <x:c r="HJ46" t="str">
        <x:f>IF('Calculations'!HF46="","",IF(COUNTIF('Calculations'!$HE$13:$HE$512,"="&amp;SUBSTITUTE(SUBSTITUTE(SUBSTITUTE('Calculations'!HF46,"~","~~"),"*","~*"),"?","~?"))=1,INDEX('Calculations'!$HK$13:$HK$512,MATCH('Calculations'!HF46,'Calculations'!$HE$13:$HE$512,0)),IFERROR(IF(INDEX(INDIRECT("'WCM Calibration Final'!$E$1:$E$2000"),'Calculations'!$EM46)="","",TRIM(INDEX(INDIRECT("'WCM Calibration Final'!$E$1:$E$2000"),'Calculations'!$EM46)&amp;"")),"")&amp;" ["&amp;'Calculations'!HF46&amp;"]"))</x:f>
      </x:c>
      <x:c r="HK46" t="str">
        <x:f>IF('Calculations'!EM46="","",'Calculations'!HG46&amp;" ["&amp;'Calculations'!HE46&amp;"]")</x:f>
      </x:c>
      <x:c r="HL46" t="n">
        <x:f>IF('Calculations'!EM46="",0,IF(OR('Calculations'!II46&lt;&gt;"",COUNTIF('Calculations'!$HE$13:$HE$512,"="&amp;SUBSTITUTE(SUBSTITUTE(SUBSTITUTE('Calculations'!HE46,"~","~~"),"*","~*"),"?","~?"))&gt;1),1,0))</x:f>
        <x:v>0</x:v>
      </x:c>
      <x:c r="HM46" t="str">
        <x:f>IF('Calculations'!EM46="","",IF('Calculations'!HL46=1,"!UNRESOLVED",IF('Calculations'!IH46&lt;&gt;"",'Calculations'!IH46,IF('Calculations'!IG46&lt;&gt;"",'Calculations'!IG46,IF('Calculations'!IF46&lt;&gt;"",'Calculations'!IF46,IF('Calculations'!IE46&lt;&gt;"",'Calculations'!IE46,IF('Calculations'!ID46&lt;&gt;"",'Calculations'!ID46,IF('Calculations'!IC46&lt;&gt;"",'Calculations'!IC46,IF('Calculations'!IB46&lt;&gt;"",'Calculations'!IB46,IF('Calculations'!IA46&lt;&gt;"",'Calculations'!IA46,IF('Calculations'!HZ46&lt;&gt;"",'Calculations'!HZ46,IF('Calculations'!HY46&lt;&gt;"",'Calculations'!HY46,IF('Calculations'!HX46&lt;&gt;"",'Calculations'!HX46,IF('Calculations'!HW46&lt;&gt;"",'Calculations'!HW46,IF('Calculations'!HV46&lt;&gt;"",'Calculations'!HV46,IF('Calculations'!HU46&lt;&gt;"",'Calculations'!HU46,IF('Calculations'!HT46&lt;&gt;"",'Calculations'!HT46,IF('Calculations'!HS46&lt;&gt;"",'Calculations'!HS46,IF('Calculations'!HR46&lt;&gt;"",'Calculations'!HR46,IF('Calculations'!HQ46&lt;&gt;"",'Calculations'!HQ46,IF('Calculations'!HP46&lt;&gt;"",'Calculations'!HP46,IF('Calculations'!HO46&lt;&gt;"",'Calculations'!HO46,'Calculations'!HE46))))))))))))))))))))))</x:f>
      </x:c>
      <x:c r="HN46" t="str">
        <x:f>IF('Calculations'!EM46="","",IF(IFERROR(IF(INDEX(INDIRECT("'WCM Calibration Final'!$F$1:$F$2000"),'Calculations'!$EM46)="","",TRIM(INDEX(INDIRECT("'WCM Calibration Final'!$F$1:$F$2000"),'Calculations'!$EM46)&amp;"")),"")="","(Blank)",IFERROR(IF(INDEX(INDIRECT("'WCM Calibration Final'!$F$1:$F$2000"),'Calculations'!$EM46)="","",TRIM(INDEX(INDIRECT("'WCM Calibration Final'!$F$1:$F$2000"),'Calculations'!$EM46)&amp;"")),"")))</x:f>
      </x:c>
      <x:c r="HO46" t="str">
        <x:f>'Calculations'!HF46</x:f>
      </x:c>
      <x:c r="HP46" t="str">
        <x:f>IF('Calculations'!HO46="","",IF('Calculations'!HO46="!AMBIG","!AMBIG",IF(COUNTIF('Calculations'!$HE$13:$HE$512,"="&amp;SUBSTITUTE(SUBSTITUTE(SUBSTITUTE('Calculations'!HO46,"~","~~"),"*","~*"),"?","~?"))&gt;1,"!AMBIG",IFERROR(INDEX('Calculations'!$HF$13:$HF$512,MATCH('Calculations'!HO46,'Calculations'!$HE$13:$HE$512,0)),""))))</x:f>
      </x:c>
      <x:c r="HQ46" t="str">
        <x:f>IF('Calculations'!HP46="","",IF('Calculations'!HP46="!AMBIG","!AMBIG",IF(COUNTIF('Calculations'!$HE$13:$HE$512,"="&amp;SUBSTITUTE(SUBSTITUTE(SUBSTITUTE('Calculations'!HP46,"~","~~"),"*","~*"),"?","~?"))&gt;1,"!AMBIG",IFERROR(INDEX('Calculations'!$HF$13:$HF$512,MATCH('Calculations'!HP46,'Calculations'!$HE$13:$HE$512,0)),""))))</x:f>
      </x:c>
      <x:c r="HR46" t="str">
        <x:f>IF('Calculations'!HQ46="","",IF('Calculations'!HQ46="!AMBIG","!AMBIG",IF(COUNTIF('Calculations'!$HE$13:$HE$512,"="&amp;SUBSTITUTE(SUBSTITUTE(SUBSTITUTE('Calculations'!HQ46,"~","~~"),"*","~*"),"?","~?"))&gt;1,"!AMBIG",IFERROR(INDEX('Calculations'!$HF$13:$HF$512,MATCH('Calculations'!HQ46,'Calculations'!$HE$13:$HE$512,0)),""))))</x:f>
      </x:c>
      <x:c r="HS46" t="str">
        <x:f>IF('Calculations'!HR46="","",IF('Calculations'!HR46="!AMBIG","!AMBIG",IF(COUNTIF('Calculations'!$HE$13:$HE$512,"="&amp;SUBSTITUTE(SUBSTITUTE(SUBSTITUTE('Calculations'!HR46,"~","~~"),"*","~*"),"?","~?"))&gt;1,"!AMBIG",IFERROR(INDEX('Calculations'!$HF$13:$HF$512,MATCH('Calculations'!HR46,'Calculations'!$HE$13:$HE$512,0)),""))))</x:f>
      </x:c>
      <x:c r="HT46" t="str">
        <x:f>IF('Calculations'!HS46="","",IF('Calculations'!HS46="!AMBIG","!AMBIG",IF(COUNTIF('Calculations'!$HE$13:$HE$512,"="&amp;SUBSTITUTE(SUBSTITUTE(SUBSTITUTE('Calculations'!HS46,"~","~~"),"*","~*"),"?","~?"))&gt;1,"!AMBIG",IFERROR(INDEX('Calculations'!$HF$13:$HF$512,MATCH('Calculations'!HS46,'Calculations'!$HE$13:$HE$512,0)),""))))</x:f>
      </x:c>
      <x:c r="HU46" t="str">
        <x:f>IF('Calculations'!HT46="","",IF('Calculations'!HT46="!AMBIG","!AMBIG",IF(COUNTIF('Calculations'!$HE$13:$HE$512,"="&amp;SUBSTITUTE(SUBSTITUTE(SUBSTITUTE('Calculations'!HT46,"~","~~"),"*","~*"),"?","~?"))&gt;1,"!AMBIG",IFERROR(INDEX('Calculations'!$HF$13:$HF$512,MATCH('Calculations'!HT46,'Calculations'!$HE$13:$HE$512,0)),""))))</x:f>
      </x:c>
      <x:c r="HV46" t="str">
        <x:f>IF('Calculations'!HU46="","",IF('Calculations'!HU46="!AMBIG","!AMBIG",IF(COUNTIF('Calculations'!$HE$13:$HE$512,"="&amp;SUBSTITUTE(SUBSTITUTE(SUBSTITUTE('Calculations'!HU46,"~","~~"),"*","~*"),"?","~?"))&gt;1,"!AMBIG",IFERROR(INDEX('Calculations'!$HF$13:$HF$512,MATCH('Calculations'!HU46,'Calculations'!$HE$13:$HE$512,0)),""))))</x:f>
      </x:c>
      <x:c r="HW46" t="str">
        <x:f>IF('Calculations'!HV46="","",IF('Calculations'!HV46="!AMBIG","!AMBIG",IF(COUNTIF('Calculations'!$HE$13:$HE$512,"="&amp;SUBSTITUTE(SUBSTITUTE(SUBSTITUTE('Calculations'!HV46,"~","~~"),"*","~*"),"?","~?"))&gt;1,"!AMBIG",IFERROR(INDEX('Calculations'!$HF$13:$HF$512,MATCH('Calculations'!HV46,'Calculations'!$HE$13:$HE$512,0)),""))))</x:f>
      </x:c>
      <x:c r="HX46" t="str">
        <x:f>IF('Calculations'!HW46="","",IF('Calculations'!HW46="!AMBIG","!AMBIG",IF(COUNTIF('Calculations'!$HE$13:$HE$512,"="&amp;SUBSTITUTE(SUBSTITUTE(SUBSTITUTE('Calculations'!HW46,"~","~~"),"*","~*"),"?","~?"))&gt;1,"!AMBIG",IFERROR(INDEX('Calculations'!$HF$13:$HF$512,MATCH('Calculations'!HW46,'Calculations'!$HE$13:$HE$512,0)),""))))</x:f>
      </x:c>
      <x:c r="HY46" t="str">
        <x:f>IF('Calculations'!HX46="","",IF('Calculations'!HX46="!AMBIG","!AMBIG",IF(COUNTIF('Calculations'!$HE$13:$HE$512,"="&amp;SUBSTITUTE(SUBSTITUTE(SUBSTITUTE('Calculations'!HX46,"~","~~"),"*","~*"),"?","~?"))&gt;1,"!AMBIG",IFERROR(INDEX('Calculations'!$HF$13:$HF$512,MATCH('Calculations'!HX46,'Calculations'!$HE$13:$HE$512,0)),""))))</x:f>
      </x:c>
      <x:c r="HZ46" t="str">
        <x:f>IF('Calculations'!HY46="","",IF('Calculations'!HY46="!AMBIG","!AMBIG",IF(COUNTIF('Calculations'!$HE$13:$HE$512,"="&amp;SUBSTITUTE(SUBSTITUTE(SUBSTITUTE('Calculations'!HY46,"~","~~"),"*","~*"),"?","~?"))&gt;1,"!AMBIG",IFERROR(INDEX('Calculations'!$HF$13:$HF$512,MATCH('Calculations'!HY46,'Calculations'!$HE$13:$HE$512,0)),""))))</x:f>
      </x:c>
      <x:c r="IA46" t="str">
        <x:f>IF('Calculations'!HZ46="","",IF('Calculations'!HZ46="!AMBIG","!AMBIG",IF(COUNTIF('Calculations'!$HE$13:$HE$512,"="&amp;SUBSTITUTE(SUBSTITUTE(SUBSTITUTE('Calculations'!HZ46,"~","~~"),"*","~*"),"?","~?"))&gt;1,"!AMBIG",IFERROR(INDEX('Calculations'!$HF$13:$HF$512,MATCH('Calculations'!HZ46,'Calculations'!$HE$13:$HE$512,0)),""))))</x:f>
      </x:c>
      <x:c r="IB46" t="str">
        <x:f>IF('Calculations'!IA46="","",IF('Calculations'!IA46="!AMBIG","!AMBIG",IF(COUNTIF('Calculations'!$HE$13:$HE$512,"="&amp;SUBSTITUTE(SUBSTITUTE(SUBSTITUTE('Calculations'!IA46,"~","~~"),"*","~*"),"?","~?"))&gt;1,"!AMBIG",IFERROR(INDEX('Calculations'!$HF$13:$HF$512,MATCH('Calculations'!IA46,'Calculations'!$HE$13:$HE$512,0)),""))))</x:f>
      </x:c>
      <x:c r="IC46" t="str">
        <x:f>IF('Calculations'!IB46="","",IF('Calculations'!IB46="!AMBIG","!AMBIG",IF(COUNTIF('Calculations'!$HE$13:$HE$512,"="&amp;SUBSTITUTE(SUBSTITUTE(SUBSTITUTE('Calculations'!IB46,"~","~~"),"*","~*"),"?","~?"))&gt;1,"!AMBIG",IFERROR(INDEX('Calculations'!$HF$13:$HF$512,MATCH('Calculations'!IB46,'Calculations'!$HE$13:$HE$512,0)),""))))</x:f>
      </x:c>
      <x:c r="ID46" t="str">
        <x:f>IF('Calculations'!IC46="","",IF('Calculations'!IC46="!AMBIG","!AMBIG",IF(COUNTIF('Calculations'!$HE$13:$HE$512,"="&amp;SUBSTITUTE(SUBSTITUTE(SUBSTITUTE('Calculations'!IC46,"~","~~"),"*","~*"),"?","~?"))&gt;1,"!AMBIG",IFERROR(INDEX('Calculations'!$HF$13:$HF$512,MATCH('Calculations'!IC46,'Calculations'!$HE$13:$HE$512,0)),""))))</x:f>
      </x:c>
      <x:c r="IE46" t="str">
        <x:f>IF('Calculations'!ID46="","",IF('Calculations'!ID46="!AMBIG","!AMBIG",IF(COUNTIF('Calculations'!$HE$13:$HE$512,"="&amp;SUBSTITUTE(SUBSTITUTE(SUBSTITUTE('Calculations'!ID46,"~","~~"),"*","~*"),"?","~?"))&gt;1,"!AMBIG",IFERROR(INDEX('Calculations'!$HF$13:$HF$512,MATCH('Calculations'!ID46,'Calculations'!$HE$13:$HE$512,0)),""))))</x:f>
      </x:c>
      <x:c r="IF46" t="str">
        <x:f>IF('Calculations'!IE46="","",IF('Calculations'!IE46="!AMBIG","!AMBIG",IF(COUNTIF('Calculations'!$HE$13:$HE$512,"="&amp;SUBSTITUTE(SUBSTITUTE(SUBSTITUTE('Calculations'!IE46,"~","~~"),"*","~*"),"?","~?"))&gt;1,"!AMBIG",IFERROR(INDEX('Calculations'!$HF$13:$HF$512,MATCH('Calculations'!IE46,'Calculations'!$HE$13:$HE$512,0)),""))))</x:f>
      </x:c>
      <x:c r="IG46" t="str">
        <x:f>IF('Calculations'!IF46="","",IF('Calculations'!IF46="!AMBIG","!AMBIG",IF(COUNTIF('Calculations'!$HE$13:$HE$512,"="&amp;SUBSTITUTE(SUBSTITUTE(SUBSTITUTE('Calculations'!IF46,"~","~~"),"*","~*"),"?","~?"))&gt;1,"!AMBIG",IFERROR(INDEX('Calculations'!$HF$13:$HF$512,MATCH('Calculations'!IF46,'Calculations'!$HE$13:$HE$512,0)),""))))</x:f>
      </x:c>
      <x:c r="IH46" t="str">
        <x:f>IF('Calculations'!IG46="","",IF('Calculations'!IG46="!AMBIG","!AMBIG",IF(COUNTIF('Calculations'!$HE$13:$HE$512,"="&amp;SUBSTITUTE(SUBSTITUTE(SUBSTITUTE('Calculations'!IG46,"~","~~"),"*","~*"),"?","~?"))&gt;1,"!AMBIG",IFERROR(INDEX('Calculations'!$HF$13:$HF$512,MATCH('Calculations'!IG46,'Calculations'!$HE$13:$HE$512,0)),""))))</x:f>
      </x:c>
      <x:c r="II46" t="str">
        <x:f>IF('Calculations'!IH46="","",IF('Calculations'!IH46="!AMBIG","!AMBIG",IF(COUNTIF('Calculations'!$HE$13:$HE$512,"="&amp;SUBSTITUTE(SUBSTITUTE(SUBSTITUTE('Calculations'!IH46,"~","~~"),"*","~*"),"?","~?"))&gt;1,"!AMBIG",IFERROR(INDEX('Calculations'!$HF$13:$HF$512,MATCH('Calculations'!IH46,'Calculations'!$HE$13:$HE$512,0)),""))))</x:f>
      </x:c>
      <x:c r="IJ46" t="str">
        <x:f>IF('Calculations'!EM46="","",IF('Calculations'!$EF$2="All",'Calculations'!HM46,IF('Calculations'!HL46=1,"",IFERROR(IF(MATCH('Calculations'!$EF$2,'Calculations'!HO46:II46,0)=1,'Calculations'!HE46,INDEX('Calculations'!HO46:II46,1,MATCH('Calculations'!$EF$2,'Calculations'!HO46:II46,0)-1)),""))))</x:f>
      </x:c>
      <x:c r="IK46" t="n">
        <x:f>IF(AND('Calculations'!EM46&lt;&gt;"",'Calculations'!$EF$2&lt;&gt;"All",'Calculations'!HF46='Calculations'!$EF$2,'Calculations'!HL46=0,'Calculations'!JD46&gt;0),MAX('Calculations'!$IK$12:IK45)+1,0)</x:f>
        <x:v>0</x:v>
      </x:c>
      <x:c r="JA46" t="n">
        <x:f>IF(OR(IFERROR(INDIRECT("'WCM Calibration Final'!$A$46")&lt;&gt;"",FALSE),IFERROR(INDIRECT("'WCM Calibration Final'!$B$46")&lt;&gt;"",FALSE),IFERROR(INDIRECT("'WCM Calibration Final'!$C$46")&lt;&gt;"",FALSE)),46,0)</x:f>
        <x:v>0</x:v>
      </x:c>
      <x:c r="JB46" t="n">
        <x:f>'Calculations'!JB45+IF('Calculations'!JA46&gt;0,1,0)</x:f>
        <x:v>0</x:v>
      </x:c>
      <x:c r="JC46" t="n">
        <x:f>IF(OR('Calculations'!HF46="",'Calculations'!HF46="!AMBIG"),0,IF('Dashboard'!$B$7="All",1,COUNTIFS('Calculations'!$HO$13:$HO$512,"="&amp;SUBSTITUTE(SUBSTITUTE(SUBSTITUTE('Calculations'!HF46,"~","~~"),"*","~*"),"?","~?"),'Calculations'!$HN$13:$HN$512,"="&amp;SUBSTITUTE(SUBSTITUTE(SUBSTITUTE('Dashboard'!$B$7,"~","~~"),"*","~*"),"?","~?"))+COUNTIFS('Calculations'!$HP$13:$HP$512,"="&amp;SUBSTITUTE(SUBSTITUTE(SUBSTITUTE('Calculations'!HF46,"~","~~"),"*","~*"),"?","~?"),'Calculations'!$HN$13:$HN$512,"="&amp;SUBSTITUTE(SUBSTITUTE(SUBSTITUTE('Dashboard'!$B$7,"~","~~"),"*","~*"),"?","~?"))+COUNTIFS('Calculations'!$HQ$13:$HQ$512,"="&amp;SUBSTITUTE(SUBSTITUTE(SUBSTITUTE('Calculations'!HF46,"~","~~"),"*","~*"),"?","~?"),'Calculations'!$HN$13:$HN$512,"="&amp;SUBSTITUTE(SUBSTITUTE(SUBSTITUTE('Dashboard'!$B$7,"~","~~"),"*","~*"),"?","~?"))+COUNTIFS('Calculations'!$HR$13:$HR$512,"="&amp;SUBSTITUTE(SUBSTITUTE(SUBSTITUTE('Calculations'!HF46,"~","~~"),"*","~*"),"?","~?"),'Calculations'!$HN$13:$HN$512,"="&amp;SUBSTITUTE(SUBSTITUTE(SUBSTITUTE('Dashboard'!$B$7,"~","~~"),"*","~*"),"?","~?"))+COUNTIFS('Calculations'!$HS$13:$HS$512,"="&amp;SUBSTITUTE(SUBSTITUTE(SUBSTITUTE('Calculations'!HF46,"~","~~"),"*","~*"),"?","~?"),'Calculations'!$HN$13:$HN$512,"="&amp;SUBSTITUTE(SUBSTITUTE(SUBSTITUTE('Dashboard'!$B$7,"~","~~"),"*","~*"),"?","~?"))+COUNTIFS('Calculations'!$HT$13:$HT$512,"="&amp;SUBSTITUTE(SUBSTITUTE(SUBSTITUTE('Calculations'!HF46,"~","~~"),"*","~*"),"?","~?"),'Calculations'!$HN$13:$HN$512,"="&amp;SUBSTITUTE(SUBSTITUTE(SUBSTITUTE('Dashboard'!$B$7,"~","~~"),"*","~*"),"?","~?"))+COUNTIFS('Calculations'!$HU$13:$HU$512,"="&amp;SUBSTITUTE(SUBSTITUTE(SUBSTITUTE('Calculations'!HF46,"~","~~"),"*","~*"),"?","~?"),'Calculations'!$HN$13:$HN$512,"="&amp;SUBSTITUTE(SUBSTITUTE(SUBSTITUTE('Dashboard'!$B$7,"~","~~"),"*","~*"),"?","~?"))+COUNTIFS('Calculations'!$HV$13:$HV$512,"="&amp;SUBSTITUTE(SUBSTITUTE(SUBSTITUTE('Calculations'!HF46,"~","~~"),"*","~*"),"?","~?"),'Calculations'!$HN$13:$HN$512,"="&amp;SUBSTITUTE(SUBSTITUTE(SUBSTITUTE('Dashboard'!$B$7,"~","~~"),"*","~*"),"?","~?"))+COUNTIFS('Calculations'!$HW$13:$HW$512,"="&amp;SUBSTITUTE(SUBSTITUTE(SUBSTITUTE('Calculations'!HF46,"~","~~"),"*","~*"),"?","~?"),'Calculations'!$HN$13:$HN$512,"="&amp;SUBSTITUTE(SUBSTITUTE(SUBSTITUTE('Dashboard'!$B$7,"~","~~"),"*","~*"),"?","~?"))+COUNTIFS('Calculations'!$HX$13:$HX$512,"="&amp;SUBSTITUTE(SUBSTITUTE(SUBSTITUTE('Calculations'!HF46,"~","~~"),"*","~*"),"?","~?"),'Calculations'!$HN$13:$HN$512,"="&amp;SUBSTITUTE(SUBSTITUTE(SUBSTITUTE('Dashboard'!$B$7,"~","~~"),"*","~*"),"?","~?"))+COUNTIFS('Calculations'!$HY$13:$HY$512,"="&amp;SUBSTITUTE(SUBSTITUTE(SUBSTITUTE('Calculations'!HF46,"~","~~"),"*","~*"),"?","~?"),'Calculations'!$HN$13:$HN$512,"="&amp;SUBSTITUTE(SUBSTITUTE(SUBSTITUTE('Dashboard'!$B$7,"~","~~"),"*","~*"),"?","~?"))+COUNTIFS('Calculations'!$HZ$13:$HZ$512,"="&amp;SUBSTITUTE(SUBSTITUTE(SUBSTITUTE('Calculations'!HF46,"~","~~"),"*","~*"),"?","~?"),'Calculations'!$HN$13:$HN$512,"="&amp;SUBSTITUTE(SUBSTITUTE(SUBSTITUTE('Dashboard'!$B$7,"~","~~"),"*","~*"),"?","~?"))+COUNTIFS('Calculations'!$IA$13:$IA$512,"="&amp;SUBSTITUTE(SUBSTITUTE(SUBSTITUTE('Calculations'!HF46,"~","~~"),"*","~*"),"?","~?"),'Calculations'!$HN$13:$HN$512,"="&amp;SUBSTITUTE(SUBSTITUTE(SUBSTITUTE('Dashboard'!$B$7,"~","~~"),"*","~*"),"?","~?"))+COUNTIFS('Calculations'!$IB$13:$IB$512,"="&amp;SUBSTITUTE(SUBSTITUTE(SUBSTITUTE('Calculations'!HF46,"~","~~"),"*","~*"),"?","~?"),'Calculations'!$HN$13:$HN$512,"="&amp;SUBSTITUTE(SUBSTITUTE(SUBSTITUTE('Dashboard'!$B$7,"~","~~"),"*","~*"),"?","~?"))+COUNTIFS('Calculations'!$IC$13:$IC$512,"="&amp;SUBSTITUTE(SUBSTITUTE(SUBSTITUTE('Calculations'!HF46,"~","~~"),"*","~*"),"?","~?"),'Calculations'!$HN$13:$HN$512,"="&amp;SUBSTITUTE(SUBSTITUTE(SUBSTITUTE('Dashboard'!$B$7,"~","~~"),"*","~*"),"?","~?"))+COUNTIFS('Calculations'!$ID$13:$ID$512,"="&amp;SUBSTITUTE(SUBSTITUTE(SUBSTITUTE('Calculations'!HF46,"~","~~"),"*","~*"),"?","~?"),'Calculations'!$HN$13:$HN$512,"="&amp;SUBSTITUTE(SUBSTITUTE(SUBSTITUTE('Dashboard'!$B$7,"~","~~"),"*","~*"),"?","~?"))+COUNTIFS('Calculations'!$IE$13:$IE$512,"="&amp;SUBSTITUTE(SUBSTITUTE(SUBSTITUTE('Calculations'!HF46,"~","~~"),"*","~*"),"?","~?"),'Calculations'!$HN$13:$HN$512,"="&amp;SUBSTITUTE(SUBSTITUTE(SUBSTITUTE('Dashboard'!$B$7,"~","~~"),"*","~*"),"?","~?"))+COUNTIFS('Calculations'!$IF$13:$IF$512,"="&amp;SUBSTITUTE(SUBSTITUTE(SUBSTITUTE('Calculations'!HF46,"~","~~"),"*","~*"),"?","~?"),'Calculations'!$HN$13:$HN$512,"="&amp;SUBSTITUTE(SUBSTITUTE(SUBSTITUTE('Dashboard'!$B$7,"~","~~"),"*","~*"),"?","~?"))+COUNTIFS('Calculations'!$IG$13:$IG$512,"="&amp;SUBSTITUTE(SUBSTITUTE(SUBSTITUTE('Calculations'!HF46,"~","~~"),"*","~*"),"?","~?"),'Calculations'!$HN$13:$HN$512,"="&amp;SUBSTITUTE(SUBSTITUTE(SUBSTITUTE('Dashboard'!$B$7,"~","~~"),"*","~*"),"?","~?"))+COUNTIFS('Calculations'!$IH$13:$IH$512,"="&amp;SUBSTITUTE(SUBSTITUTE(SUBSTITUTE('Calculations'!HF46,"~","~~"),"*","~*"),"?","~?"),'Calculations'!$HN$13:$HN$512,"="&amp;SUBSTITUTE(SUBSTITUTE(SUBSTITUTE('Dashboard'!$B$7,"~","~~"),"*","~*"),"?","~?"))))</x:f>
        <x:v>0</x:v>
      </x:c>
      <x:c r="JD46" t="n">
        <x:f>IF('Calculations'!EM46="",0,IF('Dashboard'!$B$7="All",1,IF('Calculations'!HN46='Dashboard'!$B$7,1,0)+IFERROR(INDEX('Calculations'!$JC$13:$JC$512,MATCH('Calculations'!HE46,'Calculations'!$HF$13:$HF$512,0)),0)))</x:f>
        <x:v>0</x:v>
      </x:c>
      <x:c r="JE46" t="n">
        <x:f>IF(AND('Calculations'!EM46&lt;&gt;"",'Calculations'!$JJ$2&lt;&gt;"All",'Calculations'!$JJ$2&lt;&gt;"",'Calculations'!HF46='Calculations'!$JJ$2,'Calculations'!HL46=0,'Calculations'!JD46&gt;0),MAX('Calculations'!$JE$12:JE45)+1,0)</x:f>
        <x:v>0</x:v>
      </x:c>
      <x:c r="JF46" t="str">
        <x:f>IF('Calculations'!EM46="","",IFERROR(IF(INDEX(INDIRECT("'WCM Calibration Final'!$G$1:$G$2000"),'Calculations'!$EM46)="","",TRIM(INDEX(INDIRECT("'WCM Calibration Final'!$G$1:$G$2000"),'Calculations'!$EM46)&amp;"")),""))</x:f>
      </x:c>
      <x:c r="JQ46" t="n">
        <x:f>IF(OR('Calculations'!BM46=0,NOT('Calculations'!$AG$2),'Calculations'!$AG$8&gt;0),0,IF(OR('Dashboard'!$B$7="All",'Calculations'!HN46='Dashboard'!$B$7),IF('Calculations'!$JJ$2="All",1,IF(AND('Calculations'!HF46='Calculations'!$JJ$2,'Calculations'!HL46=0),1,0)),0))</x:f>
        <x:v>0</x:v>
      </x:c>
    </x:row>
    <x:row r="47">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t="n">
        <x:f>IF('Calculations'!$EM47="",0,IF(OR(IFERROR(INDEX(INDIRECT("'WCM Calibration Final'!$A$1:$A$2000"),'Calculations'!$EM47)&lt;&gt;"",FALSE),IFERROR(INDEX(INDIRECT("'WCM Calibration Final'!$B$1:$B$2000"),'Calculations'!$EM47)&lt;&gt;"",FALSE),IFERROR(INDEX(INDIRECT("'WCM Calibration Final'!$C$1:$C$2000"),'Calculations'!$EM47)&lt;&gt;"",FALSE)),1,0))</x:f>
        <x:v>0</x:v>
      </x:c>
      <x:c r="BN47" s="4" t="n">
        <x:f>IF(AND('Calculations'!BM47=1,'Calculations'!$AG$2,'Calculations'!$EN47=1),1,0)</x:f>
        <x:v>0</x:v>
      </x:c>
      <x:c r="BO47" s="4" t="str">
        <x:f>IF('Calculations'!BM47=0,"",IFERROR(IF(AND(VALUE(INDEX(INDIRECT("'WCM Calibration Final'!$K$1:$K$2000"),'Calculations'!$EM47))&gt;=1,VALUE(INDEX(INDIRECT("'WCM Calibration Final'!$K$1:$K$2000"),'Calculations'!$EM47))&lt;=4,MOD(VALUE(INDEX(INDIRECT("'WCM Calibration Final'!$K$1:$K$2000"),'Calculations'!$EM47)),1)=0),VALUE(INDEX(INDIRECT("'WCM Calibration Final'!$K$1:$K$2000"),'Calculations'!$EM47)),""),""))</x:f>
      </x:c>
      <x:c r="BP47" s="4" t="str">
        <x:f>IF('Calculations'!BM47=0,"",IFERROR(IF(AND(VALUE(INDEX(INDIRECT("'WCM Calibration Final'!$L$1:$L$2000"),'Calculations'!$EM47))&gt;=1,VALUE(INDEX(INDIRECT("'WCM Calibration Final'!$L$1:$L$2000"),'Calculations'!$EM47))&lt;=4,MOD(VALUE(INDEX(INDIRECT("'WCM Calibration Final'!$L$1:$L$2000"),'Calculations'!$EM47)),1)=0),VALUE(INDEX(INDIRECT("'WCM Calibration Final'!$L$1:$L$2000"),'Calculations'!$EM47)),""),""))</x:f>
      </x:c>
      <x:c r="BQ47" s="4"/>
      <x:c r="BR47" s="4"/>
      <x:c r="BS47" s="4"/>
      <x:c r="BT47" s="4" t="n">
        <x:f>IF(AND('Calculations'!BM47=1,ISNUMBER('Calculations'!BO47),ISNUMBER('Calculations'!BP47)),1,0)</x:f>
        <x:v>0</x:v>
      </x:c>
      <x:c r="BU47" s="4" t="str">
        <x:f>IF('Calculations'!BM47=0,"",'Calculations'!$EO47)</x:f>
      </x:c>
      <x:c r="BV47" s="4" t="str">
        <x:f>IF('Calculations'!BM47=0,"",IFERROR(IF(OR(INDEX(INDIRECT("'WCM Calibration Final'!$H$1:$H$2000"),'Calculations'!$EM47)="MANAGING DIRECTOR",INDEX(INDIRECT("'WCM Calibration Final'!$H$1:$H$2000"),'Calculations'!$EM47)="DIRECTOR",INDEX(INDIRECT("'WCM Calibration Final'!$H$1:$H$2000"),'Calculations'!$EM47)="SENIOR VICE PRESIDENT",INDEX(INDIRECT("'WCM Calibration Final'!$H$1:$H$2000"),'Calculations'!$EM47)="VICE PRESIDENT",INDEX(INDIRECT("'WCM Calibration Final'!$H$1:$H$2000"),'Calculations'!$EM47)="ASSISTANT VICE PRESIDENT",INDEX(INDIRECT("'WCM Calibration Final'!$H$1:$H$2000"),'Calculations'!$EM47)="OFFICER"),UPPER(INDEX(INDIRECT("'WCM Calibration Final'!$H$1:$H$2000"),'Calculations'!$EM47)),"Other"),"Other"))</x:f>
      </x:c>
      <x:c r="BW47" s="4"/>
      <x:c r="BX47" s="4"/>
      <x:c r="BY47" s="4" t="n">
        <x:f>IF(AND('Calculations'!BM47=1,'Calculations'!BU47&lt;&gt;"",COUNTIF('Calculations'!$BU$12:BU47,'Calculations'!BU47)=1),MAX('Calculations'!$BY$11:BY46)+1,0)</x:f>
        <x:v>0</x:v>
      </x:c>
      <x:c r="BZ47" s="4" t="str">
        <x:f>IF('Dashboard'!$E$67="What",'Calculations'!BO47,'Calculations'!BP47)</x:f>
      </x:c>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t="str">
        <x:f>IF(36&gt;MAX('Calculations'!$HI$13:$HI$512),"",INDEX('Calculations'!$HN$13:$HN$512,MATCH(36,'Calculations'!$HI$13:$HI$512,0)))</x:f>
      </x:c>
      <x:c r="DB47" s="4" t="str">
        <x:f>IF(36&gt;MAX('Calculations'!$HH$13:$HH$512),"",INDEX('Calculations'!$HJ$13:$HJ$512,MATCH(36,'Calculations'!$HH$13:$HH$512,0)))</x:f>
      </x:c>
      <x:c r="DC47" s="4" t="str">
        <x:f>IF(ROW()-11&gt;MAX('Calculations'!$BY$13:$BY$512),"",INDEX('Calculations'!$BU$13:$BU$512,MATCH(ROW()-11,'Calculations'!$BY$13:$BY$512,0)))</x:f>
      </x:c>
      <x:c r="DD47" s="4" t="str">
        <x:f>IF(36&gt;MAX('Calculations'!$IK$13:$IK$512),"",INDEX('Calculations'!$HK$13:$HK$512,MATCH(36,'Calculations'!$IK$13:$IK$512,0)))</x:f>
      </x:c>
      <x:c r="DE47" s="4" t="str">
        <x:f>'Calculations'!DC47</x:f>
      </x:c>
      <x:c r="DF47" s="4" t="str">
        <x:f>IF('Calculations'!DE47="","",COUNTIFS('Calculations'!$BN$13:$BN$512,1,'Calculations'!$BU$13:$BU$512,'Calculations'!DE47))</x:f>
      </x:c>
      <x:c r="DG47" s="4" t="str">
        <x:f>IF('Calculations'!DE47="","",COUNTIFS('Calculations'!$BN$13:$BN$512,1,'Calculations'!$BU$13:$BU$512,'Calculations'!DE47,'Calculations'!$BT$13:$BT$512,1))</x:f>
      </x:c>
      <x:c r="DH47" s="4" t="str">
        <x:f>IF('Calculations'!DE47="","",'Calculations'!DF47-'Calculations'!DG47)</x:f>
      </x:c>
      <x:c r="DI47" s="4" t="str">
        <x:f>IF(OR('Calculations'!DE47="",'Calculations'!DF47=0),"",'Calculations'!DG47/'Calculations'!DF47)</x:f>
      </x:c>
      <x:c r="DJ47" s="4" t="str">
        <x:f>IF('Calculations'!DE47="","",COUNTIFS('Calculations'!$BN$13:$BN$512,1,'Calculations'!$BU$13:$BU$512,'Calculations'!DE47,'Calculations'!$BT$13:$BT$512,1,'Calculations'!$EE$13:$EE$512,"High"))</x:f>
      </x:c>
      <x:c r="DK47" s="4" t="str">
        <x:f>IF('Calculations'!DE47="","",COUNTIFS('Calculations'!$BN$13:$BN$512,1,'Calculations'!$BU$13:$BU$512,'Calculations'!DE47,'Calculations'!$BT$13:$BT$512,1,'Calculations'!$EE$13:$EE$512,"Strong"))</x:f>
      </x:c>
      <x:c r="DL47" s="4" t="str">
        <x:f>IF('Calculations'!DE47="","",COUNTIFS('Calculations'!$BN$13:$BN$512,1,'Calculations'!$BU$13:$BU$512,'Calculations'!DE47,'Calculations'!$BT$13:$BT$512,1,'Calculations'!$EE$13:$EE$512,"Solid"))</x:f>
      </x:c>
      <x:c r="DM47" s="4" t="str">
        <x:f>IF('Calculations'!DE47="","",COUNTIFS('Calculations'!$BN$13:$BN$512,1,'Calculations'!$BU$13:$BU$512,'Calculations'!DE47,'Calculations'!$BT$13:$BT$512,1,'Calculations'!$EE$13:$EE$512,"Low"))</x:f>
      </x:c>
      <x:c r="DN47" s="4" t="str">
        <x:f>IF('Calculations'!DE47="","",COUNTIFS('Calculations'!$BN$13:$BN$512,1,'Calculations'!$BU$13:$BU$512,'Calculations'!DE47,'Calculations'!$EP$13:$EP$512,1))</x:f>
      </x:c>
      <x:c r="DO47" s="4" t="str">
        <x:f>IF(OR('Calculations'!DE47="",'Calculations'!DG47=0),"",('Calculations'!DJ47+'Calculations'!DK47)/'Calculations'!DG47)</x:f>
      </x:c>
      <x:c r="DP47" s="4" t="n">
        <x:f>IF(AND('Calculations'!DE47&lt;&gt;"",'Calculations'!DF47&gt;0),COUNTIF('Calculations'!$DF$12:DF47,"&gt;0"),0)</x:f>
        <x:v>0</x:v>
      </x:c>
      <x:c r="DQ47" s="4" t="str">
        <x:f>IF(36&gt;MAX('Calculations'!$HH$13:$HH$512),"",INDEX('Calculations'!$HF$13:$HF$512,MATCH(36,'Calculations'!$HH$13:$HH$512,0)))</x:f>
      </x:c>
      <x:c r="DR47" s="4" t="str">
        <x:f>IF(36&gt;MAX('Calculations'!$IK$13:$IK$512),"",INDEX('Calculations'!$HE$13:$HE$512,MATCH(36,'Calculations'!$IK$13:$IK$512,0)))</x:f>
      </x:c>
      <x:c r="DS47" s="4"/>
      <x:c r="DT47" s="4"/>
      <x:c r="DU47" s="4"/>
      <x:c r="DV47" s="4"/>
      <x:c r="DW47" s="4"/>
      <x:c r="DX47" s="4"/>
      <x:c r="DY47" s="4"/>
      <x:c r="DZ47" s="4"/>
      <x:c r="EA47" s="4"/>
      <x:c r="EB47" s="4"/>
      <x:c r="EC47" s="4"/>
      <x:c r="ED47" s="4"/>
      <x:c r="EE47" s="4" t="str">
        <x:f>IF('Calculations'!BT47=0,"Not Rated",IF(OR('Calculations'!BO47&gt;=4,'Calculations'!BP47&gt;=4),"Low",IF('Calculations'!BO47+'Calculations'!BP47&lt;=3,"High",IF('Calculations'!BO47+'Calculations'!BP47&lt;=4,"Strong","Solid"))))</x:f>
        <x:v>Not Rated</x:v>
      </x:c>
      <x:c r="EF47" s="4"/>
      <x:c r="EG47" s="4"/>
      <x:c r="EH47" s="4"/>
      <x:c r="EI47" s="4"/>
      <x:c r="EJ47" s="4"/>
      <x:c r="EK47" s="4"/>
      <x:c r="EL47" s="4"/>
      <x:c r="EM47" s="4" t="str">
        <x:f>IF(35&gt;'Calculations'!$JB$2000,"",INDEX('Calculations'!$JA$12:$JA$2000,MATCH(35,'Calculations'!$JB$12:$JB$2000,0)))</x:f>
      </x:c>
      <x:c r="EN47" s="4" t="n">
        <x:f>IF(OR('Calculations'!EM47="",'Calculations'!$AG$8&gt;0,AND('Calculations'!$EF$2&lt;&gt;"All",'Calculations'!HE47='Calculations'!$EF$2),AND('Calculations'!$EF$3&lt;&gt;"All",'Calculations'!HE47='Calculations'!$EF$3)),0,IF(OR('Dashboard'!$B$7="All",'Calculations'!HN47='Dashboard'!$B$7),IF('Calculations'!$EF$2="All",1,IF('Calculations'!HL47&gt;0,0,IF(COUNTIF('Calculations'!HO47:II47,"="&amp;SUBSTITUTE(SUBSTITUTE(SUBSTITUTE('Calculations'!$EF$2,"~","~~"),"*","~*"),"?","~?"))=0,0,IF('Calculations'!$EF$3="All",1,IF(COUNTIF('Calculations'!HO47:II47,"="&amp;SUBSTITUTE(SUBSTITUTE(SUBSTITUTE('Calculations'!$EF$3,"~","~~"),"*","~*"),"?","~?"))&gt;0,1,0))))),0))</x:f>
        <x:v>0</x:v>
      </x:c>
      <x:c r="EO47" s="4" t="str">
        <x:f>IF('Calculations'!IJ47="","",IF('Calculations'!IJ47="!UNRESOLVED","Unresolved hierarchy",IFERROR(INDEX('Calculations'!$HK$13:$HK$512,MATCH('Calculations'!IJ47,'Calculations'!$HE$13:$HE$512,0)),IFERROR(INDEX('Calculations'!$HJ$13:$HJ$512,MATCH('Calculations'!IJ47,'Calculations'!$HF$13:$HF$512,0)),'Calculations'!IJ47))))</x:f>
      </x:c>
      <x:c r="EP47" s="4" t="n">
        <x:f>IF(AND('Calculations'!EM47&lt;&gt;"",'Calculations'!HF47='Calculations'!IJ47),1,0)</x:f>
        <x:v>0</x:v>
      </x:c>
      <x:c r="EQ47" s="4"/>
      <x:c r="ER47" s="4"/>
      <x:c r="ES47" s="4"/>
      <x:c r="ET47" s="4"/>
      <x:c r="EU47" s="4"/>
      <x:c r="EV47" s="4"/>
      <x:c r="EW47" s="4"/>
      <x:c r="EX47" s="4"/>
      <x:c r="EY47" s="4"/>
      <x:c r="EZ47" s="4"/>
      <x:c r="FA47" s="4"/>
      <x:c r="FB47" s="4"/>
      <x:c r="FC47" s="4"/>
      <x:c r="FD47" s="4"/>
      <x:c r="FE47" s="4"/>
      <x:c r="FF47" s="4"/>
      <x:c r="FG47" s="4"/>
      <x:c r="FH47" s="4"/>
      <x:c r="FI47" s="4"/>
      <x:c r="FJ47" s="4"/>
      <x:c r="FK47" s="4"/>
      <x:c r="FL47" s="4"/>
      <x:c r="FM47" s="4"/>
      <x:c r="FN47" s="4"/>
      <x:c r="FO47" s="4"/>
      <x:c r="GA47" s="71"/>
      <x:c r="GB47" s="71"/>
      <x:c r="GC47" s="71"/>
      <x:c r="GD47" s="71"/>
      <x:c r="GE47" s="71"/>
      <x:c r="GF47" s="71"/>
      <x:c r="GG47" s="71"/>
      <x:c r="GH47" s="71"/>
      <x:c r="GI47" s="71"/>
      <x:c r="GJ47" s="71"/>
      <x:c r="GK47" s="71"/>
      <x:c r="GL47" s="71"/>
      <x:c r="GM47" s="71"/>
      <x:c r="GN47" s="71"/>
      <x:c r="GO47" s="71"/>
      <x:c r="GP47" s="71"/>
      <x:c r="GQ47" s="71"/>
      <x:c r="GR47" s="71"/>
      <x:c r="GS47" s="71"/>
      <x:c r="GT47" s="71"/>
      <x:c r="GU47" s="71"/>
      <x:c r="GV47" s="71"/>
      <x:c r="GW47" s="71"/>
      <x:c r="GX47" s="71"/>
      <x:c r="GY47" s="71"/>
      <x:c r="GZ47" s="71"/>
      <x:c r="HA47" s="71"/>
      <x:c r="HB47" s="71"/>
      <x:c r="HC47" s="71"/>
      <x:c r="HD47" s="71"/>
      <x:c r="HE47" t="str">
        <x:f>IF('Calculations'!EM47="","",IF(IFERROR(IF(INDEX(INDIRECT("'WCM Calibration Final'!$A$1:$A$2000"),'Calculations'!$EM47)="","",TRIM(INDEX(INDIRECT("'WCM Calibration Final'!$A$1:$A$2000"),'Calculations'!$EM47)&amp;"")),"")&lt;&gt;"","G:"&amp;IFERROR(TEXT(1*INDEX(INDIRECT("'WCM Calibration Final'!$A$1:$A$2000"),'Calculations'!$EM47),"0"),UPPER(IFERROR(IF(INDEX(INDIRECT("'WCM Calibration Final'!$A$1:$A$2000"),'Calculations'!$EM47)="","",TRIM(INDEX(INDIRECT("'WCM Calibration Final'!$A$1:$A$2000"),'Calculations'!$EM47)&amp;"")),""))),IF(IFERROR(IF(INDEX(INDIRECT("'WCM Calibration Final'!$C$1:$C$2000"),'Calculations'!$EM47)="","",TRIM(INDEX(INDIRECT("'WCM Calibration Final'!$C$1:$C$2000"),'Calculations'!$EM47)&amp;"")),"")&lt;&gt;"","S:"&amp;UPPER(IFERROR(IF(INDEX(INDIRECT("'WCM Calibration Final'!$C$1:$C$2000"),'Calculations'!$EM47)="","",TRIM(INDEX(INDIRECT("'WCM Calibration Final'!$C$1:$C$2000"),'Calculations'!$EM47)&amp;"")),"")),"R:"&amp;'Calculations'!EM47)))</x:f>
      </x:c>
      <x:c r="HF47" t="str">
        <x:f>IF('Calculations'!EM47="","",IF(IFERROR(IF(INDEX(INDIRECT("'WCM Calibration Final'!$D$1:$D$2000"),'Calculations'!$EM47)="","",TRIM(INDEX(INDIRECT("'WCM Calibration Final'!$D$1:$D$2000"),'Calculations'!$EM47)&amp;"")),"")&lt;&gt;"","G:"&amp;IFERROR(TEXT(1*INDEX(INDIRECT("'WCM Calibration Final'!$D$1:$D$2000"),'Calculations'!$EM47),"0"),UPPER(IFERROR(IF(INDEX(INDIRECT("'WCM Calibration Final'!$D$1:$D$2000"),'Calculations'!$EM47)="","",TRIM(INDEX(INDIRECT("'WCM Calibration Final'!$D$1:$D$2000"),'Calculations'!$EM47)&amp;"")),""))),IF(IFERROR(IF(INDEX(INDIRECT("'WCM Calibration Final'!$E$1:$E$2000"),'Calculations'!$EM47)="","",TRIM(INDEX(INDIRECT("'WCM Calibration Final'!$E$1:$E$2000"),'Calculations'!$EM47)&amp;"")),"")="","",IF(COUNTIF('Calculations'!$HG$13:$HG$512,"="&amp;SUBSTITUTE(SUBSTITUTE(SUBSTITUTE(IFERROR(IF(INDEX(INDIRECT("'WCM Calibration Final'!$E$1:$E$2000"),'Calculations'!$EM47)="","",TRIM(INDEX(INDIRECT("'WCM Calibration Final'!$E$1:$E$2000"),'Calculations'!$EM47)&amp;"")),""),"~","~~"),"*","~*"),"?","~?"))=1,INDEX('Calculations'!$HE$13:$HE$512,MATCH(IFERROR(IF(INDEX(INDIRECT("'WCM Calibration Final'!$E$1:$E$2000"),'Calculations'!$EM47)="","",TRIM(INDEX(INDIRECT("'WCM Calibration Final'!$E$1:$E$2000"),'Calculations'!$EM47)&amp;"")),""),'Calculations'!$HG$13:$HG$512,0)),IF(COUNTIF('Calculations'!$HG$13:$HG$512,"="&amp;SUBSTITUTE(SUBSTITUTE(SUBSTITUTE(IFERROR(IF(INDEX(INDIRECT("'WCM Calibration Final'!$E$1:$E$2000"),'Calculations'!$EM47)="","",TRIM(INDEX(INDIRECT("'WCM Calibration Final'!$E$1:$E$2000"),'Calculations'!$EM47)&amp;"")),""),"~","~~"),"*","~*"),"?","~?"))&gt;1,"!AMBIG","X:"&amp;IFERROR(IF(INDEX(INDIRECT("'WCM Calibration Final'!$E$1:$E$2000"),'Calculations'!$EM47)="","",TRIM(INDEX(INDIRECT("'WCM Calibration Final'!$E$1:$E$2000"),'Calculations'!$EM47)&amp;"")),""))))))</x:f>
      </x:c>
      <x:c r="HG47" t="str">
        <x:f>IF('Calculations'!EM47="","",IFERROR(IF(INDEX(INDIRECT("'WCM Calibration Final'!$B$1:$B$2000"),'Calculations'!$EM47)="","",TRIM(INDEX(INDIRECT("'WCM Calibration Final'!$B$1:$B$2000"),'Calculations'!$EM47)&amp;"")),""))</x:f>
      </x:c>
      <x:c r="HH47" t="n">
        <x:f>IF(AND('Calculations'!JC47&gt;0,COUNTIF('Calculations'!$HF$12:HF47,"="&amp;SUBSTITUTE(SUBSTITUTE(SUBSTITUTE('Calculations'!HF47,"~","~~"),"*","~*"),"?","~?"))=1),MAX('Calculations'!$HH$12:HH46)+1,0)</x:f>
        <x:v>0</x:v>
      </x:c>
      <x:c r="HI47" t="n">
        <x:f>IF(AND('Calculations'!HN47&lt;&gt;"",COUNTIF('Calculations'!$HN$12:HN47,"="&amp;SUBSTITUTE(SUBSTITUTE(SUBSTITUTE('Calculations'!HN47,"~","~~"),"*","~*"),"?","~?"))=1),MAX('Calculations'!$HI$12:HI46)+1,0)</x:f>
        <x:v>0</x:v>
      </x:c>
      <x:c r="HJ47" t="str">
        <x:f>IF('Calculations'!HF47="","",IF(COUNTIF('Calculations'!$HE$13:$HE$512,"="&amp;SUBSTITUTE(SUBSTITUTE(SUBSTITUTE('Calculations'!HF47,"~","~~"),"*","~*"),"?","~?"))=1,INDEX('Calculations'!$HK$13:$HK$512,MATCH('Calculations'!HF47,'Calculations'!$HE$13:$HE$512,0)),IFERROR(IF(INDEX(INDIRECT("'WCM Calibration Final'!$E$1:$E$2000"),'Calculations'!$EM47)="","",TRIM(INDEX(INDIRECT("'WCM Calibration Final'!$E$1:$E$2000"),'Calculations'!$EM47)&amp;"")),"")&amp;" ["&amp;'Calculations'!HF47&amp;"]"))</x:f>
      </x:c>
      <x:c r="HK47" t="str">
        <x:f>IF('Calculations'!EM47="","",'Calculations'!HG47&amp;" ["&amp;'Calculations'!HE47&amp;"]")</x:f>
      </x:c>
      <x:c r="HL47" t="n">
        <x:f>IF('Calculations'!EM47="",0,IF(OR('Calculations'!II47&lt;&gt;"",COUNTIF('Calculations'!$HE$13:$HE$512,"="&amp;SUBSTITUTE(SUBSTITUTE(SUBSTITUTE('Calculations'!HE47,"~","~~"),"*","~*"),"?","~?"))&gt;1),1,0))</x:f>
        <x:v>0</x:v>
      </x:c>
      <x:c r="HM47" t="str">
        <x:f>IF('Calculations'!EM47="","",IF('Calculations'!HL47=1,"!UNRESOLVED",IF('Calculations'!IH47&lt;&gt;"",'Calculations'!IH47,IF('Calculations'!IG47&lt;&gt;"",'Calculations'!IG47,IF('Calculations'!IF47&lt;&gt;"",'Calculations'!IF47,IF('Calculations'!IE47&lt;&gt;"",'Calculations'!IE47,IF('Calculations'!ID47&lt;&gt;"",'Calculations'!ID47,IF('Calculations'!IC47&lt;&gt;"",'Calculations'!IC47,IF('Calculations'!IB47&lt;&gt;"",'Calculations'!IB47,IF('Calculations'!IA47&lt;&gt;"",'Calculations'!IA47,IF('Calculations'!HZ47&lt;&gt;"",'Calculations'!HZ47,IF('Calculations'!HY47&lt;&gt;"",'Calculations'!HY47,IF('Calculations'!HX47&lt;&gt;"",'Calculations'!HX47,IF('Calculations'!HW47&lt;&gt;"",'Calculations'!HW47,IF('Calculations'!HV47&lt;&gt;"",'Calculations'!HV47,IF('Calculations'!HU47&lt;&gt;"",'Calculations'!HU47,IF('Calculations'!HT47&lt;&gt;"",'Calculations'!HT47,IF('Calculations'!HS47&lt;&gt;"",'Calculations'!HS47,IF('Calculations'!HR47&lt;&gt;"",'Calculations'!HR47,IF('Calculations'!HQ47&lt;&gt;"",'Calculations'!HQ47,IF('Calculations'!HP47&lt;&gt;"",'Calculations'!HP47,IF('Calculations'!HO47&lt;&gt;"",'Calculations'!HO47,'Calculations'!HE47))))))))))))))))))))))</x:f>
      </x:c>
      <x:c r="HN47" t="str">
        <x:f>IF('Calculations'!EM47="","",IF(IFERROR(IF(INDEX(INDIRECT("'WCM Calibration Final'!$F$1:$F$2000"),'Calculations'!$EM47)="","",TRIM(INDEX(INDIRECT("'WCM Calibration Final'!$F$1:$F$2000"),'Calculations'!$EM47)&amp;"")),"")="","(Blank)",IFERROR(IF(INDEX(INDIRECT("'WCM Calibration Final'!$F$1:$F$2000"),'Calculations'!$EM47)="","",TRIM(INDEX(INDIRECT("'WCM Calibration Final'!$F$1:$F$2000"),'Calculations'!$EM47)&amp;"")),"")))</x:f>
      </x:c>
      <x:c r="HO47" t="str">
        <x:f>'Calculations'!HF47</x:f>
      </x:c>
      <x:c r="HP47" t="str">
        <x:f>IF('Calculations'!HO47="","",IF('Calculations'!HO47="!AMBIG","!AMBIG",IF(COUNTIF('Calculations'!$HE$13:$HE$512,"="&amp;SUBSTITUTE(SUBSTITUTE(SUBSTITUTE('Calculations'!HO47,"~","~~"),"*","~*"),"?","~?"))&gt;1,"!AMBIG",IFERROR(INDEX('Calculations'!$HF$13:$HF$512,MATCH('Calculations'!HO47,'Calculations'!$HE$13:$HE$512,0)),""))))</x:f>
      </x:c>
      <x:c r="HQ47" t="str">
        <x:f>IF('Calculations'!HP47="","",IF('Calculations'!HP47="!AMBIG","!AMBIG",IF(COUNTIF('Calculations'!$HE$13:$HE$512,"="&amp;SUBSTITUTE(SUBSTITUTE(SUBSTITUTE('Calculations'!HP47,"~","~~"),"*","~*"),"?","~?"))&gt;1,"!AMBIG",IFERROR(INDEX('Calculations'!$HF$13:$HF$512,MATCH('Calculations'!HP47,'Calculations'!$HE$13:$HE$512,0)),""))))</x:f>
      </x:c>
      <x:c r="HR47" t="str">
        <x:f>IF('Calculations'!HQ47="","",IF('Calculations'!HQ47="!AMBIG","!AMBIG",IF(COUNTIF('Calculations'!$HE$13:$HE$512,"="&amp;SUBSTITUTE(SUBSTITUTE(SUBSTITUTE('Calculations'!HQ47,"~","~~"),"*","~*"),"?","~?"))&gt;1,"!AMBIG",IFERROR(INDEX('Calculations'!$HF$13:$HF$512,MATCH('Calculations'!HQ47,'Calculations'!$HE$13:$HE$512,0)),""))))</x:f>
      </x:c>
      <x:c r="HS47" t="str">
        <x:f>IF('Calculations'!HR47="","",IF('Calculations'!HR47="!AMBIG","!AMBIG",IF(COUNTIF('Calculations'!$HE$13:$HE$512,"="&amp;SUBSTITUTE(SUBSTITUTE(SUBSTITUTE('Calculations'!HR47,"~","~~"),"*","~*"),"?","~?"))&gt;1,"!AMBIG",IFERROR(INDEX('Calculations'!$HF$13:$HF$512,MATCH('Calculations'!HR47,'Calculations'!$HE$13:$HE$512,0)),""))))</x:f>
      </x:c>
      <x:c r="HT47" t="str">
        <x:f>IF('Calculations'!HS47="","",IF('Calculations'!HS47="!AMBIG","!AMBIG",IF(COUNTIF('Calculations'!$HE$13:$HE$512,"="&amp;SUBSTITUTE(SUBSTITUTE(SUBSTITUTE('Calculations'!HS47,"~","~~"),"*","~*"),"?","~?"))&gt;1,"!AMBIG",IFERROR(INDEX('Calculations'!$HF$13:$HF$512,MATCH('Calculations'!HS47,'Calculations'!$HE$13:$HE$512,0)),""))))</x:f>
      </x:c>
      <x:c r="HU47" t="str">
        <x:f>IF('Calculations'!HT47="","",IF('Calculations'!HT47="!AMBIG","!AMBIG",IF(COUNTIF('Calculations'!$HE$13:$HE$512,"="&amp;SUBSTITUTE(SUBSTITUTE(SUBSTITUTE('Calculations'!HT47,"~","~~"),"*","~*"),"?","~?"))&gt;1,"!AMBIG",IFERROR(INDEX('Calculations'!$HF$13:$HF$512,MATCH('Calculations'!HT47,'Calculations'!$HE$13:$HE$512,0)),""))))</x:f>
      </x:c>
      <x:c r="HV47" t="str">
        <x:f>IF('Calculations'!HU47="","",IF('Calculations'!HU47="!AMBIG","!AMBIG",IF(COUNTIF('Calculations'!$HE$13:$HE$512,"="&amp;SUBSTITUTE(SUBSTITUTE(SUBSTITUTE('Calculations'!HU47,"~","~~"),"*","~*"),"?","~?"))&gt;1,"!AMBIG",IFERROR(INDEX('Calculations'!$HF$13:$HF$512,MATCH('Calculations'!HU47,'Calculations'!$HE$13:$HE$512,0)),""))))</x:f>
      </x:c>
      <x:c r="HW47" t="str">
        <x:f>IF('Calculations'!HV47="","",IF('Calculations'!HV47="!AMBIG","!AMBIG",IF(COUNTIF('Calculations'!$HE$13:$HE$512,"="&amp;SUBSTITUTE(SUBSTITUTE(SUBSTITUTE('Calculations'!HV47,"~","~~"),"*","~*"),"?","~?"))&gt;1,"!AMBIG",IFERROR(INDEX('Calculations'!$HF$13:$HF$512,MATCH('Calculations'!HV47,'Calculations'!$HE$13:$HE$512,0)),""))))</x:f>
      </x:c>
      <x:c r="HX47" t="str">
        <x:f>IF('Calculations'!HW47="","",IF('Calculations'!HW47="!AMBIG","!AMBIG",IF(COUNTIF('Calculations'!$HE$13:$HE$512,"="&amp;SUBSTITUTE(SUBSTITUTE(SUBSTITUTE('Calculations'!HW47,"~","~~"),"*","~*"),"?","~?"))&gt;1,"!AMBIG",IFERROR(INDEX('Calculations'!$HF$13:$HF$512,MATCH('Calculations'!HW47,'Calculations'!$HE$13:$HE$512,0)),""))))</x:f>
      </x:c>
      <x:c r="HY47" t="str">
        <x:f>IF('Calculations'!HX47="","",IF('Calculations'!HX47="!AMBIG","!AMBIG",IF(COUNTIF('Calculations'!$HE$13:$HE$512,"="&amp;SUBSTITUTE(SUBSTITUTE(SUBSTITUTE('Calculations'!HX47,"~","~~"),"*","~*"),"?","~?"))&gt;1,"!AMBIG",IFERROR(INDEX('Calculations'!$HF$13:$HF$512,MATCH('Calculations'!HX47,'Calculations'!$HE$13:$HE$512,0)),""))))</x:f>
      </x:c>
      <x:c r="HZ47" t="str">
        <x:f>IF('Calculations'!HY47="","",IF('Calculations'!HY47="!AMBIG","!AMBIG",IF(COUNTIF('Calculations'!$HE$13:$HE$512,"="&amp;SUBSTITUTE(SUBSTITUTE(SUBSTITUTE('Calculations'!HY47,"~","~~"),"*","~*"),"?","~?"))&gt;1,"!AMBIG",IFERROR(INDEX('Calculations'!$HF$13:$HF$512,MATCH('Calculations'!HY47,'Calculations'!$HE$13:$HE$512,0)),""))))</x:f>
      </x:c>
      <x:c r="IA47" t="str">
        <x:f>IF('Calculations'!HZ47="","",IF('Calculations'!HZ47="!AMBIG","!AMBIG",IF(COUNTIF('Calculations'!$HE$13:$HE$512,"="&amp;SUBSTITUTE(SUBSTITUTE(SUBSTITUTE('Calculations'!HZ47,"~","~~"),"*","~*"),"?","~?"))&gt;1,"!AMBIG",IFERROR(INDEX('Calculations'!$HF$13:$HF$512,MATCH('Calculations'!HZ47,'Calculations'!$HE$13:$HE$512,0)),""))))</x:f>
      </x:c>
      <x:c r="IB47" t="str">
        <x:f>IF('Calculations'!IA47="","",IF('Calculations'!IA47="!AMBIG","!AMBIG",IF(COUNTIF('Calculations'!$HE$13:$HE$512,"="&amp;SUBSTITUTE(SUBSTITUTE(SUBSTITUTE('Calculations'!IA47,"~","~~"),"*","~*"),"?","~?"))&gt;1,"!AMBIG",IFERROR(INDEX('Calculations'!$HF$13:$HF$512,MATCH('Calculations'!IA47,'Calculations'!$HE$13:$HE$512,0)),""))))</x:f>
      </x:c>
      <x:c r="IC47" t="str">
        <x:f>IF('Calculations'!IB47="","",IF('Calculations'!IB47="!AMBIG","!AMBIG",IF(COUNTIF('Calculations'!$HE$13:$HE$512,"="&amp;SUBSTITUTE(SUBSTITUTE(SUBSTITUTE('Calculations'!IB47,"~","~~"),"*","~*"),"?","~?"))&gt;1,"!AMBIG",IFERROR(INDEX('Calculations'!$HF$13:$HF$512,MATCH('Calculations'!IB47,'Calculations'!$HE$13:$HE$512,0)),""))))</x:f>
      </x:c>
      <x:c r="ID47" t="str">
        <x:f>IF('Calculations'!IC47="","",IF('Calculations'!IC47="!AMBIG","!AMBIG",IF(COUNTIF('Calculations'!$HE$13:$HE$512,"="&amp;SUBSTITUTE(SUBSTITUTE(SUBSTITUTE('Calculations'!IC47,"~","~~"),"*","~*"),"?","~?"))&gt;1,"!AMBIG",IFERROR(INDEX('Calculations'!$HF$13:$HF$512,MATCH('Calculations'!IC47,'Calculations'!$HE$13:$HE$512,0)),""))))</x:f>
      </x:c>
      <x:c r="IE47" t="str">
        <x:f>IF('Calculations'!ID47="","",IF('Calculations'!ID47="!AMBIG","!AMBIG",IF(COUNTIF('Calculations'!$HE$13:$HE$512,"="&amp;SUBSTITUTE(SUBSTITUTE(SUBSTITUTE('Calculations'!ID47,"~","~~"),"*","~*"),"?","~?"))&gt;1,"!AMBIG",IFERROR(INDEX('Calculations'!$HF$13:$HF$512,MATCH('Calculations'!ID47,'Calculations'!$HE$13:$HE$512,0)),""))))</x:f>
      </x:c>
      <x:c r="IF47" t="str">
        <x:f>IF('Calculations'!IE47="","",IF('Calculations'!IE47="!AMBIG","!AMBIG",IF(COUNTIF('Calculations'!$HE$13:$HE$512,"="&amp;SUBSTITUTE(SUBSTITUTE(SUBSTITUTE('Calculations'!IE47,"~","~~"),"*","~*"),"?","~?"))&gt;1,"!AMBIG",IFERROR(INDEX('Calculations'!$HF$13:$HF$512,MATCH('Calculations'!IE47,'Calculations'!$HE$13:$HE$512,0)),""))))</x:f>
      </x:c>
      <x:c r="IG47" t="str">
        <x:f>IF('Calculations'!IF47="","",IF('Calculations'!IF47="!AMBIG","!AMBIG",IF(COUNTIF('Calculations'!$HE$13:$HE$512,"="&amp;SUBSTITUTE(SUBSTITUTE(SUBSTITUTE('Calculations'!IF47,"~","~~"),"*","~*"),"?","~?"))&gt;1,"!AMBIG",IFERROR(INDEX('Calculations'!$HF$13:$HF$512,MATCH('Calculations'!IF47,'Calculations'!$HE$13:$HE$512,0)),""))))</x:f>
      </x:c>
      <x:c r="IH47" t="str">
        <x:f>IF('Calculations'!IG47="","",IF('Calculations'!IG47="!AMBIG","!AMBIG",IF(COUNTIF('Calculations'!$HE$13:$HE$512,"="&amp;SUBSTITUTE(SUBSTITUTE(SUBSTITUTE('Calculations'!IG47,"~","~~"),"*","~*"),"?","~?"))&gt;1,"!AMBIG",IFERROR(INDEX('Calculations'!$HF$13:$HF$512,MATCH('Calculations'!IG47,'Calculations'!$HE$13:$HE$512,0)),""))))</x:f>
      </x:c>
      <x:c r="II47" t="str">
        <x:f>IF('Calculations'!IH47="","",IF('Calculations'!IH47="!AMBIG","!AMBIG",IF(COUNTIF('Calculations'!$HE$13:$HE$512,"="&amp;SUBSTITUTE(SUBSTITUTE(SUBSTITUTE('Calculations'!IH47,"~","~~"),"*","~*"),"?","~?"))&gt;1,"!AMBIG",IFERROR(INDEX('Calculations'!$HF$13:$HF$512,MATCH('Calculations'!IH47,'Calculations'!$HE$13:$HE$512,0)),""))))</x:f>
      </x:c>
      <x:c r="IJ47" t="str">
        <x:f>IF('Calculations'!EM47="","",IF('Calculations'!$EF$2="All",'Calculations'!HM47,IF('Calculations'!HL47=1,"",IFERROR(IF(MATCH('Calculations'!$EF$2,'Calculations'!HO47:II47,0)=1,'Calculations'!HE47,INDEX('Calculations'!HO47:II47,1,MATCH('Calculations'!$EF$2,'Calculations'!HO47:II47,0)-1)),""))))</x:f>
      </x:c>
      <x:c r="IK47" t="n">
        <x:f>IF(AND('Calculations'!EM47&lt;&gt;"",'Calculations'!$EF$2&lt;&gt;"All",'Calculations'!HF47='Calculations'!$EF$2,'Calculations'!HL47=0,'Calculations'!JD47&gt;0),MAX('Calculations'!$IK$12:IK46)+1,0)</x:f>
        <x:v>0</x:v>
      </x:c>
      <x:c r="JA47" t="n">
        <x:f>IF(OR(IFERROR(INDIRECT("'WCM Calibration Final'!$A$47")&lt;&gt;"",FALSE),IFERROR(INDIRECT("'WCM Calibration Final'!$B$47")&lt;&gt;"",FALSE),IFERROR(INDIRECT("'WCM Calibration Final'!$C$47")&lt;&gt;"",FALSE)),47,0)</x:f>
        <x:v>0</x:v>
      </x:c>
      <x:c r="JB47" t="n">
        <x:f>'Calculations'!JB46+IF('Calculations'!JA47&gt;0,1,0)</x:f>
        <x:v>0</x:v>
      </x:c>
      <x:c r="JC47" t="n">
        <x:f>IF(OR('Calculations'!HF47="",'Calculations'!HF47="!AMBIG"),0,IF('Dashboard'!$B$7="All",1,COUNTIFS('Calculations'!$HO$13:$HO$512,"="&amp;SUBSTITUTE(SUBSTITUTE(SUBSTITUTE('Calculations'!HF47,"~","~~"),"*","~*"),"?","~?"),'Calculations'!$HN$13:$HN$512,"="&amp;SUBSTITUTE(SUBSTITUTE(SUBSTITUTE('Dashboard'!$B$7,"~","~~"),"*","~*"),"?","~?"))+COUNTIFS('Calculations'!$HP$13:$HP$512,"="&amp;SUBSTITUTE(SUBSTITUTE(SUBSTITUTE('Calculations'!HF47,"~","~~"),"*","~*"),"?","~?"),'Calculations'!$HN$13:$HN$512,"="&amp;SUBSTITUTE(SUBSTITUTE(SUBSTITUTE('Dashboard'!$B$7,"~","~~"),"*","~*"),"?","~?"))+COUNTIFS('Calculations'!$HQ$13:$HQ$512,"="&amp;SUBSTITUTE(SUBSTITUTE(SUBSTITUTE('Calculations'!HF47,"~","~~"),"*","~*"),"?","~?"),'Calculations'!$HN$13:$HN$512,"="&amp;SUBSTITUTE(SUBSTITUTE(SUBSTITUTE('Dashboard'!$B$7,"~","~~"),"*","~*"),"?","~?"))+COUNTIFS('Calculations'!$HR$13:$HR$512,"="&amp;SUBSTITUTE(SUBSTITUTE(SUBSTITUTE('Calculations'!HF47,"~","~~"),"*","~*"),"?","~?"),'Calculations'!$HN$13:$HN$512,"="&amp;SUBSTITUTE(SUBSTITUTE(SUBSTITUTE('Dashboard'!$B$7,"~","~~"),"*","~*"),"?","~?"))+COUNTIFS('Calculations'!$HS$13:$HS$512,"="&amp;SUBSTITUTE(SUBSTITUTE(SUBSTITUTE('Calculations'!HF47,"~","~~"),"*","~*"),"?","~?"),'Calculations'!$HN$13:$HN$512,"="&amp;SUBSTITUTE(SUBSTITUTE(SUBSTITUTE('Dashboard'!$B$7,"~","~~"),"*","~*"),"?","~?"))+COUNTIFS('Calculations'!$HT$13:$HT$512,"="&amp;SUBSTITUTE(SUBSTITUTE(SUBSTITUTE('Calculations'!HF47,"~","~~"),"*","~*"),"?","~?"),'Calculations'!$HN$13:$HN$512,"="&amp;SUBSTITUTE(SUBSTITUTE(SUBSTITUTE('Dashboard'!$B$7,"~","~~"),"*","~*"),"?","~?"))+COUNTIFS('Calculations'!$HU$13:$HU$512,"="&amp;SUBSTITUTE(SUBSTITUTE(SUBSTITUTE('Calculations'!HF47,"~","~~"),"*","~*"),"?","~?"),'Calculations'!$HN$13:$HN$512,"="&amp;SUBSTITUTE(SUBSTITUTE(SUBSTITUTE('Dashboard'!$B$7,"~","~~"),"*","~*"),"?","~?"))+COUNTIFS('Calculations'!$HV$13:$HV$512,"="&amp;SUBSTITUTE(SUBSTITUTE(SUBSTITUTE('Calculations'!HF47,"~","~~"),"*","~*"),"?","~?"),'Calculations'!$HN$13:$HN$512,"="&amp;SUBSTITUTE(SUBSTITUTE(SUBSTITUTE('Dashboard'!$B$7,"~","~~"),"*","~*"),"?","~?"))+COUNTIFS('Calculations'!$HW$13:$HW$512,"="&amp;SUBSTITUTE(SUBSTITUTE(SUBSTITUTE('Calculations'!HF47,"~","~~"),"*","~*"),"?","~?"),'Calculations'!$HN$13:$HN$512,"="&amp;SUBSTITUTE(SUBSTITUTE(SUBSTITUTE('Dashboard'!$B$7,"~","~~"),"*","~*"),"?","~?"))+COUNTIFS('Calculations'!$HX$13:$HX$512,"="&amp;SUBSTITUTE(SUBSTITUTE(SUBSTITUTE('Calculations'!HF47,"~","~~"),"*","~*"),"?","~?"),'Calculations'!$HN$13:$HN$512,"="&amp;SUBSTITUTE(SUBSTITUTE(SUBSTITUTE('Dashboard'!$B$7,"~","~~"),"*","~*"),"?","~?"))+COUNTIFS('Calculations'!$HY$13:$HY$512,"="&amp;SUBSTITUTE(SUBSTITUTE(SUBSTITUTE('Calculations'!HF47,"~","~~"),"*","~*"),"?","~?"),'Calculations'!$HN$13:$HN$512,"="&amp;SUBSTITUTE(SUBSTITUTE(SUBSTITUTE('Dashboard'!$B$7,"~","~~"),"*","~*"),"?","~?"))+COUNTIFS('Calculations'!$HZ$13:$HZ$512,"="&amp;SUBSTITUTE(SUBSTITUTE(SUBSTITUTE('Calculations'!HF47,"~","~~"),"*","~*"),"?","~?"),'Calculations'!$HN$13:$HN$512,"="&amp;SUBSTITUTE(SUBSTITUTE(SUBSTITUTE('Dashboard'!$B$7,"~","~~"),"*","~*"),"?","~?"))+COUNTIFS('Calculations'!$IA$13:$IA$512,"="&amp;SUBSTITUTE(SUBSTITUTE(SUBSTITUTE('Calculations'!HF47,"~","~~"),"*","~*"),"?","~?"),'Calculations'!$HN$13:$HN$512,"="&amp;SUBSTITUTE(SUBSTITUTE(SUBSTITUTE('Dashboard'!$B$7,"~","~~"),"*","~*"),"?","~?"))+COUNTIFS('Calculations'!$IB$13:$IB$512,"="&amp;SUBSTITUTE(SUBSTITUTE(SUBSTITUTE('Calculations'!HF47,"~","~~"),"*","~*"),"?","~?"),'Calculations'!$HN$13:$HN$512,"="&amp;SUBSTITUTE(SUBSTITUTE(SUBSTITUTE('Dashboard'!$B$7,"~","~~"),"*","~*"),"?","~?"))+COUNTIFS('Calculations'!$IC$13:$IC$512,"="&amp;SUBSTITUTE(SUBSTITUTE(SUBSTITUTE('Calculations'!HF47,"~","~~"),"*","~*"),"?","~?"),'Calculations'!$HN$13:$HN$512,"="&amp;SUBSTITUTE(SUBSTITUTE(SUBSTITUTE('Dashboard'!$B$7,"~","~~"),"*","~*"),"?","~?"))+COUNTIFS('Calculations'!$ID$13:$ID$512,"="&amp;SUBSTITUTE(SUBSTITUTE(SUBSTITUTE('Calculations'!HF47,"~","~~"),"*","~*"),"?","~?"),'Calculations'!$HN$13:$HN$512,"="&amp;SUBSTITUTE(SUBSTITUTE(SUBSTITUTE('Dashboard'!$B$7,"~","~~"),"*","~*"),"?","~?"))+COUNTIFS('Calculations'!$IE$13:$IE$512,"="&amp;SUBSTITUTE(SUBSTITUTE(SUBSTITUTE('Calculations'!HF47,"~","~~"),"*","~*"),"?","~?"),'Calculations'!$HN$13:$HN$512,"="&amp;SUBSTITUTE(SUBSTITUTE(SUBSTITUTE('Dashboard'!$B$7,"~","~~"),"*","~*"),"?","~?"))+COUNTIFS('Calculations'!$IF$13:$IF$512,"="&amp;SUBSTITUTE(SUBSTITUTE(SUBSTITUTE('Calculations'!HF47,"~","~~"),"*","~*"),"?","~?"),'Calculations'!$HN$13:$HN$512,"="&amp;SUBSTITUTE(SUBSTITUTE(SUBSTITUTE('Dashboard'!$B$7,"~","~~"),"*","~*"),"?","~?"))+COUNTIFS('Calculations'!$IG$13:$IG$512,"="&amp;SUBSTITUTE(SUBSTITUTE(SUBSTITUTE('Calculations'!HF47,"~","~~"),"*","~*"),"?","~?"),'Calculations'!$HN$13:$HN$512,"="&amp;SUBSTITUTE(SUBSTITUTE(SUBSTITUTE('Dashboard'!$B$7,"~","~~"),"*","~*"),"?","~?"))+COUNTIFS('Calculations'!$IH$13:$IH$512,"="&amp;SUBSTITUTE(SUBSTITUTE(SUBSTITUTE('Calculations'!HF47,"~","~~"),"*","~*"),"?","~?"),'Calculations'!$HN$13:$HN$512,"="&amp;SUBSTITUTE(SUBSTITUTE(SUBSTITUTE('Dashboard'!$B$7,"~","~~"),"*","~*"),"?","~?"))))</x:f>
        <x:v>0</x:v>
      </x:c>
      <x:c r="JD47" t="n">
        <x:f>IF('Calculations'!EM47="",0,IF('Dashboard'!$B$7="All",1,IF('Calculations'!HN47='Dashboard'!$B$7,1,0)+IFERROR(INDEX('Calculations'!$JC$13:$JC$512,MATCH('Calculations'!HE47,'Calculations'!$HF$13:$HF$512,0)),0)))</x:f>
        <x:v>0</x:v>
      </x:c>
      <x:c r="JE47" t="n">
        <x:f>IF(AND('Calculations'!EM47&lt;&gt;"",'Calculations'!$JJ$2&lt;&gt;"All",'Calculations'!$JJ$2&lt;&gt;"",'Calculations'!HF47='Calculations'!$JJ$2,'Calculations'!HL47=0,'Calculations'!JD47&gt;0),MAX('Calculations'!$JE$12:JE46)+1,0)</x:f>
        <x:v>0</x:v>
      </x:c>
      <x:c r="JF47" t="str">
        <x:f>IF('Calculations'!EM47="","",IFERROR(IF(INDEX(INDIRECT("'WCM Calibration Final'!$G$1:$G$2000"),'Calculations'!$EM47)="","",TRIM(INDEX(INDIRECT("'WCM Calibration Final'!$G$1:$G$2000"),'Calculations'!$EM47)&amp;"")),""))</x:f>
      </x:c>
      <x:c r="JQ47" t="n">
        <x:f>IF(OR('Calculations'!BM47=0,NOT('Calculations'!$AG$2),'Calculations'!$AG$8&gt;0),0,IF(OR('Dashboard'!$B$7="All",'Calculations'!HN47='Dashboard'!$B$7),IF('Calculations'!$JJ$2="All",1,IF(AND('Calculations'!HF47='Calculations'!$JJ$2,'Calculations'!HL47=0),1,0)),0))</x:f>
        <x:v>0</x:v>
      </x:c>
    </x:row>
    <x:row r="48">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t="n">
        <x:f>IF('Calculations'!$EM48="",0,IF(OR(IFERROR(INDEX(INDIRECT("'WCM Calibration Final'!$A$1:$A$2000"),'Calculations'!$EM48)&lt;&gt;"",FALSE),IFERROR(INDEX(INDIRECT("'WCM Calibration Final'!$B$1:$B$2000"),'Calculations'!$EM48)&lt;&gt;"",FALSE),IFERROR(INDEX(INDIRECT("'WCM Calibration Final'!$C$1:$C$2000"),'Calculations'!$EM48)&lt;&gt;"",FALSE)),1,0))</x:f>
        <x:v>0</x:v>
      </x:c>
      <x:c r="BN48" s="4" t="n">
        <x:f>IF(AND('Calculations'!BM48=1,'Calculations'!$AG$2,'Calculations'!$EN48=1),1,0)</x:f>
        <x:v>0</x:v>
      </x:c>
      <x:c r="BO48" s="4" t="str">
        <x:f>IF('Calculations'!BM48=0,"",IFERROR(IF(AND(VALUE(INDEX(INDIRECT("'WCM Calibration Final'!$K$1:$K$2000"),'Calculations'!$EM48))&gt;=1,VALUE(INDEX(INDIRECT("'WCM Calibration Final'!$K$1:$K$2000"),'Calculations'!$EM48))&lt;=4,MOD(VALUE(INDEX(INDIRECT("'WCM Calibration Final'!$K$1:$K$2000"),'Calculations'!$EM48)),1)=0),VALUE(INDEX(INDIRECT("'WCM Calibration Final'!$K$1:$K$2000"),'Calculations'!$EM48)),""),""))</x:f>
      </x:c>
      <x:c r="BP48" s="4" t="str">
        <x:f>IF('Calculations'!BM48=0,"",IFERROR(IF(AND(VALUE(INDEX(INDIRECT("'WCM Calibration Final'!$L$1:$L$2000"),'Calculations'!$EM48))&gt;=1,VALUE(INDEX(INDIRECT("'WCM Calibration Final'!$L$1:$L$2000"),'Calculations'!$EM48))&lt;=4,MOD(VALUE(INDEX(INDIRECT("'WCM Calibration Final'!$L$1:$L$2000"),'Calculations'!$EM48)),1)=0),VALUE(INDEX(INDIRECT("'WCM Calibration Final'!$L$1:$L$2000"),'Calculations'!$EM48)),""),""))</x:f>
      </x:c>
      <x:c r="BQ48" s="4"/>
      <x:c r="BR48" s="4"/>
      <x:c r="BS48" s="4"/>
      <x:c r="BT48" s="4" t="n">
        <x:f>IF(AND('Calculations'!BM48=1,ISNUMBER('Calculations'!BO48),ISNUMBER('Calculations'!BP48)),1,0)</x:f>
        <x:v>0</x:v>
      </x:c>
      <x:c r="BU48" s="4" t="str">
        <x:f>IF('Calculations'!BM48=0,"",'Calculations'!$EO48)</x:f>
      </x:c>
      <x:c r="BV48" s="4" t="str">
        <x:f>IF('Calculations'!BM48=0,"",IFERROR(IF(OR(INDEX(INDIRECT("'WCM Calibration Final'!$H$1:$H$2000"),'Calculations'!$EM48)="MANAGING DIRECTOR",INDEX(INDIRECT("'WCM Calibration Final'!$H$1:$H$2000"),'Calculations'!$EM48)="DIRECTOR",INDEX(INDIRECT("'WCM Calibration Final'!$H$1:$H$2000"),'Calculations'!$EM48)="SENIOR VICE PRESIDENT",INDEX(INDIRECT("'WCM Calibration Final'!$H$1:$H$2000"),'Calculations'!$EM48)="VICE PRESIDENT",INDEX(INDIRECT("'WCM Calibration Final'!$H$1:$H$2000"),'Calculations'!$EM48)="ASSISTANT VICE PRESIDENT",INDEX(INDIRECT("'WCM Calibration Final'!$H$1:$H$2000"),'Calculations'!$EM48)="OFFICER"),UPPER(INDEX(INDIRECT("'WCM Calibration Final'!$H$1:$H$2000"),'Calculations'!$EM48)),"Other"),"Other"))</x:f>
      </x:c>
      <x:c r="BW48" s="4"/>
      <x:c r="BX48" s="4"/>
      <x:c r="BY48" s="4" t="n">
        <x:f>IF(AND('Calculations'!BM48=1,'Calculations'!BU48&lt;&gt;"",COUNTIF('Calculations'!$BU$12:BU48,'Calculations'!BU48)=1),MAX('Calculations'!$BY$11:BY47)+1,0)</x:f>
        <x:v>0</x:v>
      </x:c>
      <x:c r="BZ48" s="4" t="str">
        <x:f>IF('Dashboard'!$E$67="What",'Calculations'!BO48,'Calculations'!BP48)</x:f>
      </x:c>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t="str">
        <x:f>IF(37&gt;MAX('Calculations'!$HI$13:$HI$512),"",INDEX('Calculations'!$HN$13:$HN$512,MATCH(37,'Calculations'!$HI$13:$HI$512,0)))</x:f>
      </x:c>
      <x:c r="DB48" s="4" t="str">
        <x:f>IF(37&gt;MAX('Calculations'!$HH$13:$HH$512),"",INDEX('Calculations'!$HJ$13:$HJ$512,MATCH(37,'Calculations'!$HH$13:$HH$512,0)))</x:f>
      </x:c>
      <x:c r="DC48" s="4" t="str">
        <x:f>IF(ROW()-11&gt;MAX('Calculations'!$BY$13:$BY$512),"",INDEX('Calculations'!$BU$13:$BU$512,MATCH(ROW()-11,'Calculations'!$BY$13:$BY$512,0)))</x:f>
      </x:c>
      <x:c r="DD48" s="4" t="str">
        <x:f>IF(37&gt;MAX('Calculations'!$IK$13:$IK$512),"",INDEX('Calculations'!$HK$13:$HK$512,MATCH(37,'Calculations'!$IK$13:$IK$512,0)))</x:f>
      </x:c>
      <x:c r="DE48" s="4" t="str">
        <x:f>'Calculations'!DC48</x:f>
      </x:c>
      <x:c r="DF48" s="4" t="str">
        <x:f>IF('Calculations'!DE48="","",COUNTIFS('Calculations'!$BN$13:$BN$512,1,'Calculations'!$BU$13:$BU$512,'Calculations'!DE48))</x:f>
      </x:c>
      <x:c r="DG48" s="4" t="str">
        <x:f>IF('Calculations'!DE48="","",COUNTIFS('Calculations'!$BN$13:$BN$512,1,'Calculations'!$BU$13:$BU$512,'Calculations'!DE48,'Calculations'!$BT$13:$BT$512,1))</x:f>
      </x:c>
      <x:c r="DH48" s="4" t="str">
        <x:f>IF('Calculations'!DE48="","",'Calculations'!DF48-'Calculations'!DG48)</x:f>
      </x:c>
      <x:c r="DI48" s="4" t="str">
        <x:f>IF(OR('Calculations'!DE48="",'Calculations'!DF48=0),"",'Calculations'!DG48/'Calculations'!DF48)</x:f>
      </x:c>
      <x:c r="DJ48" s="4" t="str">
        <x:f>IF('Calculations'!DE48="","",COUNTIFS('Calculations'!$BN$13:$BN$512,1,'Calculations'!$BU$13:$BU$512,'Calculations'!DE48,'Calculations'!$BT$13:$BT$512,1,'Calculations'!$EE$13:$EE$512,"High"))</x:f>
      </x:c>
      <x:c r="DK48" s="4" t="str">
        <x:f>IF('Calculations'!DE48="","",COUNTIFS('Calculations'!$BN$13:$BN$512,1,'Calculations'!$BU$13:$BU$512,'Calculations'!DE48,'Calculations'!$BT$13:$BT$512,1,'Calculations'!$EE$13:$EE$512,"Strong"))</x:f>
      </x:c>
      <x:c r="DL48" s="4" t="str">
        <x:f>IF('Calculations'!DE48="","",COUNTIFS('Calculations'!$BN$13:$BN$512,1,'Calculations'!$BU$13:$BU$512,'Calculations'!DE48,'Calculations'!$BT$13:$BT$512,1,'Calculations'!$EE$13:$EE$512,"Solid"))</x:f>
      </x:c>
      <x:c r="DM48" s="4" t="str">
        <x:f>IF('Calculations'!DE48="","",COUNTIFS('Calculations'!$BN$13:$BN$512,1,'Calculations'!$BU$13:$BU$512,'Calculations'!DE48,'Calculations'!$BT$13:$BT$512,1,'Calculations'!$EE$13:$EE$512,"Low"))</x:f>
      </x:c>
      <x:c r="DN48" s="4" t="str">
        <x:f>IF('Calculations'!DE48="","",COUNTIFS('Calculations'!$BN$13:$BN$512,1,'Calculations'!$BU$13:$BU$512,'Calculations'!DE48,'Calculations'!$EP$13:$EP$512,1))</x:f>
      </x:c>
      <x:c r="DO48" s="4" t="str">
        <x:f>IF(OR('Calculations'!DE48="",'Calculations'!DG48=0),"",('Calculations'!DJ48+'Calculations'!DK48)/'Calculations'!DG48)</x:f>
      </x:c>
      <x:c r="DP48" s="4" t="n">
        <x:f>IF(AND('Calculations'!DE48&lt;&gt;"",'Calculations'!DF48&gt;0),COUNTIF('Calculations'!$DF$12:DF48,"&gt;0"),0)</x:f>
        <x:v>0</x:v>
      </x:c>
      <x:c r="DQ48" s="4" t="str">
        <x:f>IF(37&gt;MAX('Calculations'!$HH$13:$HH$512),"",INDEX('Calculations'!$HF$13:$HF$512,MATCH(37,'Calculations'!$HH$13:$HH$512,0)))</x:f>
      </x:c>
      <x:c r="DR48" s="4" t="str">
        <x:f>IF(37&gt;MAX('Calculations'!$IK$13:$IK$512),"",INDEX('Calculations'!$HE$13:$HE$512,MATCH(37,'Calculations'!$IK$13:$IK$512,0)))</x:f>
      </x:c>
      <x:c r="DS48" s="4"/>
      <x:c r="DT48" s="4"/>
      <x:c r="DU48" s="4"/>
      <x:c r="DV48" s="4"/>
      <x:c r="DW48" s="4"/>
      <x:c r="DX48" s="4"/>
      <x:c r="DY48" s="4"/>
      <x:c r="DZ48" s="4"/>
      <x:c r="EA48" s="4"/>
      <x:c r="EB48" s="4"/>
      <x:c r="EC48" s="4"/>
      <x:c r="ED48" s="4"/>
      <x:c r="EE48" s="4" t="str">
        <x:f>IF('Calculations'!BT48=0,"Not Rated",IF(OR('Calculations'!BO48&gt;=4,'Calculations'!BP48&gt;=4),"Low",IF('Calculations'!BO48+'Calculations'!BP48&lt;=3,"High",IF('Calculations'!BO48+'Calculations'!BP48&lt;=4,"Strong","Solid"))))</x:f>
        <x:v>Not Rated</x:v>
      </x:c>
      <x:c r="EF48" s="4"/>
      <x:c r="EG48" s="4"/>
      <x:c r="EH48" s="4"/>
      <x:c r="EI48" s="4"/>
      <x:c r="EJ48" s="4"/>
      <x:c r="EK48" s="4"/>
      <x:c r="EL48" s="4"/>
      <x:c r="EM48" s="4" t="str">
        <x:f>IF(36&gt;'Calculations'!$JB$2000,"",INDEX('Calculations'!$JA$12:$JA$2000,MATCH(36,'Calculations'!$JB$12:$JB$2000,0)))</x:f>
      </x:c>
      <x:c r="EN48" s="4" t="n">
        <x:f>IF(OR('Calculations'!EM48="",'Calculations'!$AG$8&gt;0,AND('Calculations'!$EF$2&lt;&gt;"All",'Calculations'!HE48='Calculations'!$EF$2),AND('Calculations'!$EF$3&lt;&gt;"All",'Calculations'!HE48='Calculations'!$EF$3)),0,IF(OR('Dashboard'!$B$7="All",'Calculations'!HN48='Dashboard'!$B$7),IF('Calculations'!$EF$2="All",1,IF('Calculations'!HL48&gt;0,0,IF(COUNTIF('Calculations'!HO48:II48,"="&amp;SUBSTITUTE(SUBSTITUTE(SUBSTITUTE('Calculations'!$EF$2,"~","~~"),"*","~*"),"?","~?"))=0,0,IF('Calculations'!$EF$3="All",1,IF(COUNTIF('Calculations'!HO48:II48,"="&amp;SUBSTITUTE(SUBSTITUTE(SUBSTITUTE('Calculations'!$EF$3,"~","~~"),"*","~*"),"?","~?"))&gt;0,1,0))))),0))</x:f>
        <x:v>0</x:v>
      </x:c>
      <x:c r="EO48" s="4" t="str">
        <x:f>IF('Calculations'!IJ48="","",IF('Calculations'!IJ48="!UNRESOLVED","Unresolved hierarchy",IFERROR(INDEX('Calculations'!$HK$13:$HK$512,MATCH('Calculations'!IJ48,'Calculations'!$HE$13:$HE$512,0)),IFERROR(INDEX('Calculations'!$HJ$13:$HJ$512,MATCH('Calculations'!IJ48,'Calculations'!$HF$13:$HF$512,0)),'Calculations'!IJ48))))</x:f>
      </x:c>
      <x:c r="EP48" s="4" t="n">
        <x:f>IF(AND('Calculations'!EM48&lt;&gt;"",'Calculations'!HF48='Calculations'!IJ48),1,0)</x:f>
        <x:v>0</x:v>
      </x:c>
      <x:c r="EQ48" s="4"/>
      <x:c r="ER48" s="4"/>
      <x:c r="ES48" s="4"/>
      <x:c r="ET48" s="4"/>
      <x:c r="EU48" s="4"/>
      <x:c r="EV48" s="4"/>
      <x:c r="EW48" s="4"/>
      <x:c r="EX48" s="4"/>
      <x:c r="EY48" s="4"/>
      <x:c r="EZ48" s="4"/>
      <x:c r="FA48" s="4"/>
      <x:c r="FB48" s="4"/>
      <x:c r="FC48" s="4"/>
      <x:c r="FD48" s="4"/>
      <x:c r="FE48" s="4"/>
      <x:c r="FF48" s="4"/>
      <x:c r="FG48" s="4"/>
      <x:c r="FH48" s="4"/>
      <x:c r="FI48" s="4"/>
      <x:c r="FJ48" s="4"/>
      <x:c r="FK48" s="4"/>
      <x:c r="FL48" s="4"/>
      <x:c r="FM48" s="4"/>
      <x:c r="FN48" s="4"/>
      <x:c r="FO48" s="4"/>
      <x:c r="GA48" s="71"/>
      <x:c r="GB48" s="71"/>
      <x:c r="GC48" s="71"/>
      <x:c r="GD48" s="71"/>
      <x:c r="GE48" s="71"/>
      <x:c r="GF48" s="71"/>
      <x:c r="GG48" s="71"/>
      <x:c r="GH48" s="71"/>
      <x:c r="GI48" s="71"/>
      <x:c r="GJ48" s="71"/>
      <x:c r="GK48" s="71"/>
      <x:c r="GL48" s="71"/>
      <x:c r="GM48" s="71"/>
      <x:c r="GN48" s="71"/>
      <x:c r="GO48" s="71"/>
      <x:c r="GP48" s="71"/>
      <x:c r="GQ48" s="71"/>
      <x:c r="GR48" s="71"/>
      <x:c r="GS48" s="71"/>
      <x:c r="GT48" s="71"/>
      <x:c r="GU48" s="71"/>
      <x:c r="GV48" s="71"/>
      <x:c r="GW48" s="71"/>
      <x:c r="GX48" s="71"/>
      <x:c r="GY48" s="71"/>
      <x:c r="GZ48" s="71"/>
      <x:c r="HA48" s="71"/>
      <x:c r="HB48" s="71"/>
      <x:c r="HC48" s="71"/>
      <x:c r="HD48" s="71"/>
      <x:c r="HE48" t="str">
        <x:f>IF('Calculations'!EM48="","",IF(IFERROR(IF(INDEX(INDIRECT("'WCM Calibration Final'!$A$1:$A$2000"),'Calculations'!$EM48)="","",TRIM(INDEX(INDIRECT("'WCM Calibration Final'!$A$1:$A$2000"),'Calculations'!$EM48)&amp;"")),"")&lt;&gt;"","G:"&amp;IFERROR(TEXT(1*INDEX(INDIRECT("'WCM Calibration Final'!$A$1:$A$2000"),'Calculations'!$EM48),"0"),UPPER(IFERROR(IF(INDEX(INDIRECT("'WCM Calibration Final'!$A$1:$A$2000"),'Calculations'!$EM48)="","",TRIM(INDEX(INDIRECT("'WCM Calibration Final'!$A$1:$A$2000"),'Calculations'!$EM48)&amp;"")),""))),IF(IFERROR(IF(INDEX(INDIRECT("'WCM Calibration Final'!$C$1:$C$2000"),'Calculations'!$EM48)="","",TRIM(INDEX(INDIRECT("'WCM Calibration Final'!$C$1:$C$2000"),'Calculations'!$EM48)&amp;"")),"")&lt;&gt;"","S:"&amp;UPPER(IFERROR(IF(INDEX(INDIRECT("'WCM Calibration Final'!$C$1:$C$2000"),'Calculations'!$EM48)="","",TRIM(INDEX(INDIRECT("'WCM Calibration Final'!$C$1:$C$2000"),'Calculations'!$EM48)&amp;"")),"")),"R:"&amp;'Calculations'!EM48)))</x:f>
      </x:c>
      <x:c r="HF48" t="str">
        <x:f>IF('Calculations'!EM48="","",IF(IFERROR(IF(INDEX(INDIRECT("'WCM Calibration Final'!$D$1:$D$2000"),'Calculations'!$EM48)="","",TRIM(INDEX(INDIRECT("'WCM Calibration Final'!$D$1:$D$2000"),'Calculations'!$EM48)&amp;"")),"")&lt;&gt;"","G:"&amp;IFERROR(TEXT(1*INDEX(INDIRECT("'WCM Calibration Final'!$D$1:$D$2000"),'Calculations'!$EM48),"0"),UPPER(IFERROR(IF(INDEX(INDIRECT("'WCM Calibration Final'!$D$1:$D$2000"),'Calculations'!$EM48)="","",TRIM(INDEX(INDIRECT("'WCM Calibration Final'!$D$1:$D$2000"),'Calculations'!$EM48)&amp;"")),""))),IF(IFERROR(IF(INDEX(INDIRECT("'WCM Calibration Final'!$E$1:$E$2000"),'Calculations'!$EM48)="","",TRIM(INDEX(INDIRECT("'WCM Calibration Final'!$E$1:$E$2000"),'Calculations'!$EM48)&amp;"")),"")="","",IF(COUNTIF('Calculations'!$HG$13:$HG$512,"="&amp;SUBSTITUTE(SUBSTITUTE(SUBSTITUTE(IFERROR(IF(INDEX(INDIRECT("'WCM Calibration Final'!$E$1:$E$2000"),'Calculations'!$EM48)="","",TRIM(INDEX(INDIRECT("'WCM Calibration Final'!$E$1:$E$2000"),'Calculations'!$EM48)&amp;"")),""),"~","~~"),"*","~*"),"?","~?"))=1,INDEX('Calculations'!$HE$13:$HE$512,MATCH(IFERROR(IF(INDEX(INDIRECT("'WCM Calibration Final'!$E$1:$E$2000"),'Calculations'!$EM48)="","",TRIM(INDEX(INDIRECT("'WCM Calibration Final'!$E$1:$E$2000"),'Calculations'!$EM48)&amp;"")),""),'Calculations'!$HG$13:$HG$512,0)),IF(COUNTIF('Calculations'!$HG$13:$HG$512,"="&amp;SUBSTITUTE(SUBSTITUTE(SUBSTITUTE(IFERROR(IF(INDEX(INDIRECT("'WCM Calibration Final'!$E$1:$E$2000"),'Calculations'!$EM48)="","",TRIM(INDEX(INDIRECT("'WCM Calibration Final'!$E$1:$E$2000"),'Calculations'!$EM48)&amp;"")),""),"~","~~"),"*","~*"),"?","~?"))&gt;1,"!AMBIG","X:"&amp;IFERROR(IF(INDEX(INDIRECT("'WCM Calibration Final'!$E$1:$E$2000"),'Calculations'!$EM48)="","",TRIM(INDEX(INDIRECT("'WCM Calibration Final'!$E$1:$E$2000"),'Calculations'!$EM48)&amp;"")),""))))))</x:f>
      </x:c>
      <x:c r="HG48" t="str">
        <x:f>IF('Calculations'!EM48="","",IFERROR(IF(INDEX(INDIRECT("'WCM Calibration Final'!$B$1:$B$2000"),'Calculations'!$EM48)="","",TRIM(INDEX(INDIRECT("'WCM Calibration Final'!$B$1:$B$2000"),'Calculations'!$EM48)&amp;"")),""))</x:f>
      </x:c>
      <x:c r="HH48" t="n">
        <x:f>IF(AND('Calculations'!JC48&gt;0,COUNTIF('Calculations'!$HF$12:HF48,"="&amp;SUBSTITUTE(SUBSTITUTE(SUBSTITUTE('Calculations'!HF48,"~","~~"),"*","~*"),"?","~?"))=1),MAX('Calculations'!$HH$12:HH47)+1,0)</x:f>
        <x:v>0</x:v>
      </x:c>
      <x:c r="HI48" t="n">
        <x:f>IF(AND('Calculations'!HN48&lt;&gt;"",COUNTIF('Calculations'!$HN$12:HN48,"="&amp;SUBSTITUTE(SUBSTITUTE(SUBSTITUTE('Calculations'!HN48,"~","~~"),"*","~*"),"?","~?"))=1),MAX('Calculations'!$HI$12:HI47)+1,0)</x:f>
        <x:v>0</x:v>
      </x:c>
      <x:c r="HJ48" t="str">
        <x:f>IF('Calculations'!HF48="","",IF(COUNTIF('Calculations'!$HE$13:$HE$512,"="&amp;SUBSTITUTE(SUBSTITUTE(SUBSTITUTE('Calculations'!HF48,"~","~~"),"*","~*"),"?","~?"))=1,INDEX('Calculations'!$HK$13:$HK$512,MATCH('Calculations'!HF48,'Calculations'!$HE$13:$HE$512,0)),IFERROR(IF(INDEX(INDIRECT("'WCM Calibration Final'!$E$1:$E$2000"),'Calculations'!$EM48)="","",TRIM(INDEX(INDIRECT("'WCM Calibration Final'!$E$1:$E$2000"),'Calculations'!$EM48)&amp;"")),"")&amp;" ["&amp;'Calculations'!HF48&amp;"]"))</x:f>
      </x:c>
      <x:c r="HK48" t="str">
        <x:f>IF('Calculations'!EM48="","",'Calculations'!HG48&amp;" ["&amp;'Calculations'!HE48&amp;"]")</x:f>
      </x:c>
      <x:c r="HL48" t="n">
        <x:f>IF('Calculations'!EM48="",0,IF(OR('Calculations'!II48&lt;&gt;"",COUNTIF('Calculations'!$HE$13:$HE$512,"="&amp;SUBSTITUTE(SUBSTITUTE(SUBSTITUTE('Calculations'!HE48,"~","~~"),"*","~*"),"?","~?"))&gt;1),1,0))</x:f>
        <x:v>0</x:v>
      </x:c>
      <x:c r="HM48" t="str">
        <x:f>IF('Calculations'!EM48="","",IF('Calculations'!HL48=1,"!UNRESOLVED",IF('Calculations'!IH48&lt;&gt;"",'Calculations'!IH48,IF('Calculations'!IG48&lt;&gt;"",'Calculations'!IG48,IF('Calculations'!IF48&lt;&gt;"",'Calculations'!IF48,IF('Calculations'!IE48&lt;&gt;"",'Calculations'!IE48,IF('Calculations'!ID48&lt;&gt;"",'Calculations'!ID48,IF('Calculations'!IC48&lt;&gt;"",'Calculations'!IC48,IF('Calculations'!IB48&lt;&gt;"",'Calculations'!IB48,IF('Calculations'!IA48&lt;&gt;"",'Calculations'!IA48,IF('Calculations'!HZ48&lt;&gt;"",'Calculations'!HZ48,IF('Calculations'!HY48&lt;&gt;"",'Calculations'!HY48,IF('Calculations'!HX48&lt;&gt;"",'Calculations'!HX48,IF('Calculations'!HW48&lt;&gt;"",'Calculations'!HW48,IF('Calculations'!HV48&lt;&gt;"",'Calculations'!HV48,IF('Calculations'!HU48&lt;&gt;"",'Calculations'!HU48,IF('Calculations'!HT48&lt;&gt;"",'Calculations'!HT48,IF('Calculations'!HS48&lt;&gt;"",'Calculations'!HS48,IF('Calculations'!HR48&lt;&gt;"",'Calculations'!HR48,IF('Calculations'!HQ48&lt;&gt;"",'Calculations'!HQ48,IF('Calculations'!HP48&lt;&gt;"",'Calculations'!HP48,IF('Calculations'!HO48&lt;&gt;"",'Calculations'!HO48,'Calculations'!HE48))))))))))))))))))))))</x:f>
      </x:c>
      <x:c r="HN48" t="str">
        <x:f>IF('Calculations'!EM48="","",IF(IFERROR(IF(INDEX(INDIRECT("'WCM Calibration Final'!$F$1:$F$2000"),'Calculations'!$EM48)="","",TRIM(INDEX(INDIRECT("'WCM Calibration Final'!$F$1:$F$2000"),'Calculations'!$EM48)&amp;"")),"")="","(Blank)",IFERROR(IF(INDEX(INDIRECT("'WCM Calibration Final'!$F$1:$F$2000"),'Calculations'!$EM48)="","",TRIM(INDEX(INDIRECT("'WCM Calibration Final'!$F$1:$F$2000"),'Calculations'!$EM48)&amp;"")),"")))</x:f>
      </x:c>
      <x:c r="HO48" t="str">
        <x:f>'Calculations'!HF48</x:f>
      </x:c>
      <x:c r="HP48" t="str">
        <x:f>IF('Calculations'!HO48="","",IF('Calculations'!HO48="!AMBIG","!AMBIG",IF(COUNTIF('Calculations'!$HE$13:$HE$512,"="&amp;SUBSTITUTE(SUBSTITUTE(SUBSTITUTE('Calculations'!HO48,"~","~~"),"*","~*"),"?","~?"))&gt;1,"!AMBIG",IFERROR(INDEX('Calculations'!$HF$13:$HF$512,MATCH('Calculations'!HO48,'Calculations'!$HE$13:$HE$512,0)),""))))</x:f>
      </x:c>
      <x:c r="HQ48" t="str">
        <x:f>IF('Calculations'!HP48="","",IF('Calculations'!HP48="!AMBIG","!AMBIG",IF(COUNTIF('Calculations'!$HE$13:$HE$512,"="&amp;SUBSTITUTE(SUBSTITUTE(SUBSTITUTE('Calculations'!HP48,"~","~~"),"*","~*"),"?","~?"))&gt;1,"!AMBIG",IFERROR(INDEX('Calculations'!$HF$13:$HF$512,MATCH('Calculations'!HP48,'Calculations'!$HE$13:$HE$512,0)),""))))</x:f>
      </x:c>
      <x:c r="HR48" t="str">
        <x:f>IF('Calculations'!HQ48="","",IF('Calculations'!HQ48="!AMBIG","!AMBIG",IF(COUNTIF('Calculations'!$HE$13:$HE$512,"="&amp;SUBSTITUTE(SUBSTITUTE(SUBSTITUTE('Calculations'!HQ48,"~","~~"),"*","~*"),"?","~?"))&gt;1,"!AMBIG",IFERROR(INDEX('Calculations'!$HF$13:$HF$512,MATCH('Calculations'!HQ48,'Calculations'!$HE$13:$HE$512,0)),""))))</x:f>
      </x:c>
      <x:c r="HS48" t="str">
        <x:f>IF('Calculations'!HR48="","",IF('Calculations'!HR48="!AMBIG","!AMBIG",IF(COUNTIF('Calculations'!$HE$13:$HE$512,"="&amp;SUBSTITUTE(SUBSTITUTE(SUBSTITUTE('Calculations'!HR48,"~","~~"),"*","~*"),"?","~?"))&gt;1,"!AMBIG",IFERROR(INDEX('Calculations'!$HF$13:$HF$512,MATCH('Calculations'!HR48,'Calculations'!$HE$13:$HE$512,0)),""))))</x:f>
      </x:c>
      <x:c r="HT48" t="str">
        <x:f>IF('Calculations'!HS48="","",IF('Calculations'!HS48="!AMBIG","!AMBIG",IF(COUNTIF('Calculations'!$HE$13:$HE$512,"="&amp;SUBSTITUTE(SUBSTITUTE(SUBSTITUTE('Calculations'!HS48,"~","~~"),"*","~*"),"?","~?"))&gt;1,"!AMBIG",IFERROR(INDEX('Calculations'!$HF$13:$HF$512,MATCH('Calculations'!HS48,'Calculations'!$HE$13:$HE$512,0)),""))))</x:f>
      </x:c>
      <x:c r="HU48" t="str">
        <x:f>IF('Calculations'!HT48="","",IF('Calculations'!HT48="!AMBIG","!AMBIG",IF(COUNTIF('Calculations'!$HE$13:$HE$512,"="&amp;SUBSTITUTE(SUBSTITUTE(SUBSTITUTE('Calculations'!HT48,"~","~~"),"*","~*"),"?","~?"))&gt;1,"!AMBIG",IFERROR(INDEX('Calculations'!$HF$13:$HF$512,MATCH('Calculations'!HT48,'Calculations'!$HE$13:$HE$512,0)),""))))</x:f>
      </x:c>
      <x:c r="HV48" t="str">
        <x:f>IF('Calculations'!HU48="","",IF('Calculations'!HU48="!AMBIG","!AMBIG",IF(COUNTIF('Calculations'!$HE$13:$HE$512,"="&amp;SUBSTITUTE(SUBSTITUTE(SUBSTITUTE('Calculations'!HU48,"~","~~"),"*","~*"),"?","~?"))&gt;1,"!AMBIG",IFERROR(INDEX('Calculations'!$HF$13:$HF$512,MATCH('Calculations'!HU48,'Calculations'!$HE$13:$HE$512,0)),""))))</x:f>
      </x:c>
      <x:c r="HW48" t="str">
        <x:f>IF('Calculations'!HV48="","",IF('Calculations'!HV48="!AMBIG","!AMBIG",IF(COUNTIF('Calculations'!$HE$13:$HE$512,"="&amp;SUBSTITUTE(SUBSTITUTE(SUBSTITUTE('Calculations'!HV48,"~","~~"),"*","~*"),"?","~?"))&gt;1,"!AMBIG",IFERROR(INDEX('Calculations'!$HF$13:$HF$512,MATCH('Calculations'!HV48,'Calculations'!$HE$13:$HE$512,0)),""))))</x:f>
      </x:c>
      <x:c r="HX48" t="str">
        <x:f>IF('Calculations'!HW48="","",IF('Calculations'!HW48="!AMBIG","!AMBIG",IF(COUNTIF('Calculations'!$HE$13:$HE$512,"="&amp;SUBSTITUTE(SUBSTITUTE(SUBSTITUTE('Calculations'!HW48,"~","~~"),"*","~*"),"?","~?"))&gt;1,"!AMBIG",IFERROR(INDEX('Calculations'!$HF$13:$HF$512,MATCH('Calculations'!HW48,'Calculations'!$HE$13:$HE$512,0)),""))))</x:f>
      </x:c>
      <x:c r="HY48" t="str">
        <x:f>IF('Calculations'!HX48="","",IF('Calculations'!HX48="!AMBIG","!AMBIG",IF(COUNTIF('Calculations'!$HE$13:$HE$512,"="&amp;SUBSTITUTE(SUBSTITUTE(SUBSTITUTE('Calculations'!HX48,"~","~~"),"*","~*"),"?","~?"))&gt;1,"!AMBIG",IFERROR(INDEX('Calculations'!$HF$13:$HF$512,MATCH('Calculations'!HX48,'Calculations'!$HE$13:$HE$512,0)),""))))</x:f>
      </x:c>
      <x:c r="HZ48" t="str">
        <x:f>IF('Calculations'!HY48="","",IF('Calculations'!HY48="!AMBIG","!AMBIG",IF(COUNTIF('Calculations'!$HE$13:$HE$512,"="&amp;SUBSTITUTE(SUBSTITUTE(SUBSTITUTE('Calculations'!HY48,"~","~~"),"*","~*"),"?","~?"))&gt;1,"!AMBIG",IFERROR(INDEX('Calculations'!$HF$13:$HF$512,MATCH('Calculations'!HY48,'Calculations'!$HE$13:$HE$512,0)),""))))</x:f>
      </x:c>
      <x:c r="IA48" t="str">
        <x:f>IF('Calculations'!HZ48="","",IF('Calculations'!HZ48="!AMBIG","!AMBIG",IF(COUNTIF('Calculations'!$HE$13:$HE$512,"="&amp;SUBSTITUTE(SUBSTITUTE(SUBSTITUTE('Calculations'!HZ48,"~","~~"),"*","~*"),"?","~?"))&gt;1,"!AMBIG",IFERROR(INDEX('Calculations'!$HF$13:$HF$512,MATCH('Calculations'!HZ48,'Calculations'!$HE$13:$HE$512,0)),""))))</x:f>
      </x:c>
      <x:c r="IB48" t="str">
        <x:f>IF('Calculations'!IA48="","",IF('Calculations'!IA48="!AMBIG","!AMBIG",IF(COUNTIF('Calculations'!$HE$13:$HE$512,"="&amp;SUBSTITUTE(SUBSTITUTE(SUBSTITUTE('Calculations'!IA48,"~","~~"),"*","~*"),"?","~?"))&gt;1,"!AMBIG",IFERROR(INDEX('Calculations'!$HF$13:$HF$512,MATCH('Calculations'!IA48,'Calculations'!$HE$13:$HE$512,0)),""))))</x:f>
      </x:c>
      <x:c r="IC48" t="str">
        <x:f>IF('Calculations'!IB48="","",IF('Calculations'!IB48="!AMBIG","!AMBIG",IF(COUNTIF('Calculations'!$HE$13:$HE$512,"="&amp;SUBSTITUTE(SUBSTITUTE(SUBSTITUTE('Calculations'!IB48,"~","~~"),"*","~*"),"?","~?"))&gt;1,"!AMBIG",IFERROR(INDEX('Calculations'!$HF$13:$HF$512,MATCH('Calculations'!IB48,'Calculations'!$HE$13:$HE$512,0)),""))))</x:f>
      </x:c>
      <x:c r="ID48" t="str">
        <x:f>IF('Calculations'!IC48="","",IF('Calculations'!IC48="!AMBIG","!AMBIG",IF(COUNTIF('Calculations'!$HE$13:$HE$512,"="&amp;SUBSTITUTE(SUBSTITUTE(SUBSTITUTE('Calculations'!IC48,"~","~~"),"*","~*"),"?","~?"))&gt;1,"!AMBIG",IFERROR(INDEX('Calculations'!$HF$13:$HF$512,MATCH('Calculations'!IC48,'Calculations'!$HE$13:$HE$512,0)),""))))</x:f>
      </x:c>
      <x:c r="IE48" t="str">
        <x:f>IF('Calculations'!ID48="","",IF('Calculations'!ID48="!AMBIG","!AMBIG",IF(COUNTIF('Calculations'!$HE$13:$HE$512,"="&amp;SUBSTITUTE(SUBSTITUTE(SUBSTITUTE('Calculations'!ID48,"~","~~"),"*","~*"),"?","~?"))&gt;1,"!AMBIG",IFERROR(INDEX('Calculations'!$HF$13:$HF$512,MATCH('Calculations'!ID48,'Calculations'!$HE$13:$HE$512,0)),""))))</x:f>
      </x:c>
      <x:c r="IF48" t="str">
        <x:f>IF('Calculations'!IE48="","",IF('Calculations'!IE48="!AMBIG","!AMBIG",IF(COUNTIF('Calculations'!$HE$13:$HE$512,"="&amp;SUBSTITUTE(SUBSTITUTE(SUBSTITUTE('Calculations'!IE48,"~","~~"),"*","~*"),"?","~?"))&gt;1,"!AMBIG",IFERROR(INDEX('Calculations'!$HF$13:$HF$512,MATCH('Calculations'!IE48,'Calculations'!$HE$13:$HE$512,0)),""))))</x:f>
      </x:c>
      <x:c r="IG48" t="str">
        <x:f>IF('Calculations'!IF48="","",IF('Calculations'!IF48="!AMBIG","!AMBIG",IF(COUNTIF('Calculations'!$HE$13:$HE$512,"="&amp;SUBSTITUTE(SUBSTITUTE(SUBSTITUTE('Calculations'!IF48,"~","~~"),"*","~*"),"?","~?"))&gt;1,"!AMBIG",IFERROR(INDEX('Calculations'!$HF$13:$HF$512,MATCH('Calculations'!IF48,'Calculations'!$HE$13:$HE$512,0)),""))))</x:f>
      </x:c>
      <x:c r="IH48" t="str">
        <x:f>IF('Calculations'!IG48="","",IF('Calculations'!IG48="!AMBIG","!AMBIG",IF(COUNTIF('Calculations'!$HE$13:$HE$512,"="&amp;SUBSTITUTE(SUBSTITUTE(SUBSTITUTE('Calculations'!IG48,"~","~~"),"*","~*"),"?","~?"))&gt;1,"!AMBIG",IFERROR(INDEX('Calculations'!$HF$13:$HF$512,MATCH('Calculations'!IG48,'Calculations'!$HE$13:$HE$512,0)),""))))</x:f>
      </x:c>
      <x:c r="II48" t="str">
        <x:f>IF('Calculations'!IH48="","",IF('Calculations'!IH48="!AMBIG","!AMBIG",IF(COUNTIF('Calculations'!$HE$13:$HE$512,"="&amp;SUBSTITUTE(SUBSTITUTE(SUBSTITUTE('Calculations'!IH48,"~","~~"),"*","~*"),"?","~?"))&gt;1,"!AMBIG",IFERROR(INDEX('Calculations'!$HF$13:$HF$512,MATCH('Calculations'!IH48,'Calculations'!$HE$13:$HE$512,0)),""))))</x:f>
      </x:c>
      <x:c r="IJ48" t="str">
        <x:f>IF('Calculations'!EM48="","",IF('Calculations'!$EF$2="All",'Calculations'!HM48,IF('Calculations'!HL48=1,"",IFERROR(IF(MATCH('Calculations'!$EF$2,'Calculations'!HO48:II48,0)=1,'Calculations'!HE48,INDEX('Calculations'!HO48:II48,1,MATCH('Calculations'!$EF$2,'Calculations'!HO48:II48,0)-1)),""))))</x:f>
      </x:c>
      <x:c r="IK48" t="n">
        <x:f>IF(AND('Calculations'!EM48&lt;&gt;"",'Calculations'!$EF$2&lt;&gt;"All",'Calculations'!HF48='Calculations'!$EF$2,'Calculations'!HL48=0,'Calculations'!JD48&gt;0),MAX('Calculations'!$IK$12:IK47)+1,0)</x:f>
        <x:v>0</x:v>
      </x:c>
      <x:c r="JA48" t="n">
        <x:f>IF(OR(IFERROR(INDIRECT("'WCM Calibration Final'!$A$48")&lt;&gt;"",FALSE),IFERROR(INDIRECT("'WCM Calibration Final'!$B$48")&lt;&gt;"",FALSE),IFERROR(INDIRECT("'WCM Calibration Final'!$C$48")&lt;&gt;"",FALSE)),48,0)</x:f>
        <x:v>0</x:v>
      </x:c>
      <x:c r="JB48" t="n">
        <x:f>'Calculations'!JB47+IF('Calculations'!JA48&gt;0,1,0)</x:f>
        <x:v>0</x:v>
      </x:c>
      <x:c r="JC48" t="n">
        <x:f>IF(OR('Calculations'!HF48="",'Calculations'!HF48="!AMBIG"),0,IF('Dashboard'!$B$7="All",1,COUNTIFS('Calculations'!$HO$13:$HO$512,"="&amp;SUBSTITUTE(SUBSTITUTE(SUBSTITUTE('Calculations'!HF48,"~","~~"),"*","~*"),"?","~?"),'Calculations'!$HN$13:$HN$512,"="&amp;SUBSTITUTE(SUBSTITUTE(SUBSTITUTE('Dashboard'!$B$7,"~","~~"),"*","~*"),"?","~?"))+COUNTIFS('Calculations'!$HP$13:$HP$512,"="&amp;SUBSTITUTE(SUBSTITUTE(SUBSTITUTE('Calculations'!HF48,"~","~~"),"*","~*"),"?","~?"),'Calculations'!$HN$13:$HN$512,"="&amp;SUBSTITUTE(SUBSTITUTE(SUBSTITUTE('Dashboard'!$B$7,"~","~~"),"*","~*"),"?","~?"))+COUNTIFS('Calculations'!$HQ$13:$HQ$512,"="&amp;SUBSTITUTE(SUBSTITUTE(SUBSTITUTE('Calculations'!HF48,"~","~~"),"*","~*"),"?","~?"),'Calculations'!$HN$13:$HN$512,"="&amp;SUBSTITUTE(SUBSTITUTE(SUBSTITUTE('Dashboard'!$B$7,"~","~~"),"*","~*"),"?","~?"))+COUNTIFS('Calculations'!$HR$13:$HR$512,"="&amp;SUBSTITUTE(SUBSTITUTE(SUBSTITUTE('Calculations'!HF48,"~","~~"),"*","~*"),"?","~?"),'Calculations'!$HN$13:$HN$512,"="&amp;SUBSTITUTE(SUBSTITUTE(SUBSTITUTE('Dashboard'!$B$7,"~","~~"),"*","~*"),"?","~?"))+COUNTIFS('Calculations'!$HS$13:$HS$512,"="&amp;SUBSTITUTE(SUBSTITUTE(SUBSTITUTE('Calculations'!HF48,"~","~~"),"*","~*"),"?","~?"),'Calculations'!$HN$13:$HN$512,"="&amp;SUBSTITUTE(SUBSTITUTE(SUBSTITUTE('Dashboard'!$B$7,"~","~~"),"*","~*"),"?","~?"))+COUNTIFS('Calculations'!$HT$13:$HT$512,"="&amp;SUBSTITUTE(SUBSTITUTE(SUBSTITUTE('Calculations'!HF48,"~","~~"),"*","~*"),"?","~?"),'Calculations'!$HN$13:$HN$512,"="&amp;SUBSTITUTE(SUBSTITUTE(SUBSTITUTE('Dashboard'!$B$7,"~","~~"),"*","~*"),"?","~?"))+COUNTIFS('Calculations'!$HU$13:$HU$512,"="&amp;SUBSTITUTE(SUBSTITUTE(SUBSTITUTE('Calculations'!HF48,"~","~~"),"*","~*"),"?","~?"),'Calculations'!$HN$13:$HN$512,"="&amp;SUBSTITUTE(SUBSTITUTE(SUBSTITUTE('Dashboard'!$B$7,"~","~~"),"*","~*"),"?","~?"))+COUNTIFS('Calculations'!$HV$13:$HV$512,"="&amp;SUBSTITUTE(SUBSTITUTE(SUBSTITUTE('Calculations'!HF48,"~","~~"),"*","~*"),"?","~?"),'Calculations'!$HN$13:$HN$512,"="&amp;SUBSTITUTE(SUBSTITUTE(SUBSTITUTE('Dashboard'!$B$7,"~","~~"),"*","~*"),"?","~?"))+COUNTIFS('Calculations'!$HW$13:$HW$512,"="&amp;SUBSTITUTE(SUBSTITUTE(SUBSTITUTE('Calculations'!HF48,"~","~~"),"*","~*"),"?","~?"),'Calculations'!$HN$13:$HN$512,"="&amp;SUBSTITUTE(SUBSTITUTE(SUBSTITUTE('Dashboard'!$B$7,"~","~~"),"*","~*"),"?","~?"))+COUNTIFS('Calculations'!$HX$13:$HX$512,"="&amp;SUBSTITUTE(SUBSTITUTE(SUBSTITUTE('Calculations'!HF48,"~","~~"),"*","~*"),"?","~?"),'Calculations'!$HN$13:$HN$512,"="&amp;SUBSTITUTE(SUBSTITUTE(SUBSTITUTE('Dashboard'!$B$7,"~","~~"),"*","~*"),"?","~?"))+COUNTIFS('Calculations'!$HY$13:$HY$512,"="&amp;SUBSTITUTE(SUBSTITUTE(SUBSTITUTE('Calculations'!HF48,"~","~~"),"*","~*"),"?","~?"),'Calculations'!$HN$13:$HN$512,"="&amp;SUBSTITUTE(SUBSTITUTE(SUBSTITUTE('Dashboard'!$B$7,"~","~~"),"*","~*"),"?","~?"))+COUNTIFS('Calculations'!$HZ$13:$HZ$512,"="&amp;SUBSTITUTE(SUBSTITUTE(SUBSTITUTE('Calculations'!HF48,"~","~~"),"*","~*"),"?","~?"),'Calculations'!$HN$13:$HN$512,"="&amp;SUBSTITUTE(SUBSTITUTE(SUBSTITUTE('Dashboard'!$B$7,"~","~~"),"*","~*"),"?","~?"))+COUNTIFS('Calculations'!$IA$13:$IA$512,"="&amp;SUBSTITUTE(SUBSTITUTE(SUBSTITUTE('Calculations'!HF48,"~","~~"),"*","~*"),"?","~?"),'Calculations'!$HN$13:$HN$512,"="&amp;SUBSTITUTE(SUBSTITUTE(SUBSTITUTE('Dashboard'!$B$7,"~","~~"),"*","~*"),"?","~?"))+COUNTIFS('Calculations'!$IB$13:$IB$512,"="&amp;SUBSTITUTE(SUBSTITUTE(SUBSTITUTE('Calculations'!HF48,"~","~~"),"*","~*"),"?","~?"),'Calculations'!$HN$13:$HN$512,"="&amp;SUBSTITUTE(SUBSTITUTE(SUBSTITUTE('Dashboard'!$B$7,"~","~~"),"*","~*"),"?","~?"))+COUNTIFS('Calculations'!$IC$13:$IC$512,"="&amp;SUBSTITUTE(SUBSTITUTE(SUBSTITUTE('Calculations'!HF48,"~","~~"),"*","~*"),"?","~?"),'Calculations'!$HN$13:$HN$512,"="&amp;SUBSTITUTE(SUBSTITUTE(SUBSTITUTE('Dashboard'!$B$7,"~","~~"),"*","~*"),"?","~?"))+COUNTIFS('Calculations'!$ID$13:$ID$512,"="&amp;SUBSTITUTE(SUBSTITUTE(SUBSTITUTE('Calculations'!HF48,"~","~~"),"*","~*"),"?","~?"),'Calculations'!$HN$13:$HN$512,"="&amp;SUBSTITUTE(SUBSTITUTE(SUBSTITUTE('Dashboard'!$B$7,"~","~~"),"*","~*"),"?","~?"))+COUNTIFS('Calculations'!$IE$13:$IE$512,"="&amp;SUBSTITUTE(SUBSTITUTE(SUBSTITUTE('Calculations'!HF48,"~","~~"),"*","~*"),"?","~?"),'Calculations'!$HN$13:$HN$512,"="&amp;SUBSTITUTE(SUBSTITUTE(SUBSTITUTE('Dashboard'!$B$7,"~","~~"),"*","~*"),"?","~?"))+COUNTIFS('Calculations'!$IF$13:$IF$512,"="&amp;SUBSTITUTE(SUBSTITUTE(SUBSTITUTE('Calculations'!HF48,"~","~~"),"*","~*"),"?","~?"),'Calculations'!$HN$13:$HN$512,"="&amp;SUBSTITUTE(SUBSTITUTE(SUBSTITUTE('Dashboard'!$B$7,"~","~~"),"*","~*"),"?","~?"))+COUNTIFS('Calculations'!$IG$13:$IG$512,"="&amp;SUBSTITUTE(SUBSTITUTE(SUBSTITUTE('Calculations'!HF48,"~","~~"),"*","~*"),"?","~?"),'Calculations'!$HN$13:$HN$512,"="&amp;SUBSTITUTE(SUBSTITUTE(SUBSTITUTE('Dashboard'!$B$7,"~","~~"),"*","~*"),"?","~?"))+COUNTIFS('Calculations'!$IH$13:$IH$512,"="&amp;SUBSTITUTE(SUBSTITUTE(SUBSTITUTE('Calculations'!HF48,"~","~~"),"*","~*"),"?","~?"),'Calculations'!$HN$13:$HN$512,"="&amp;SUBSTITUTE(SUBSTITUTE(SUBSTITUTE('Dashboard'!$B$7,"~","~~"),"*","~*"),"?","~?"))))</x:f>
        <x:v>0</x:v>
      </x:c>
      <x:c r="JD48" t="n">
        <x:f>IF('Calculations'!EM48="",0,IF('Dashboard'!$B$7="All",1,IF('Calculations'!HN48='Dashboard'!$B$7,1,0)+IFERROR(INDEX('Calculations'!$JC$13:$JC$512,MATCH('Calculations'!HE48,'Calculations'!$HF$13:$HF$512,0)),0)))</x:f>
        <x:v>0</x:v>
      </x:c>
      <x:c r="JE48" t="n">
        <x:f>IF(AND('Calculations'!EM48&lt;&gt;"",'Calculations'!$JJ$2&lt;&gt;"All",'Calculations'!$JJ$2&lt;&gt;"",'Calculations'!HF48='Calculations'!$JJ$2,'Calculations'!HL48=0,'Calculations'!JD48&gt;0),MAX('Calculations'!$JE$12:JE47)+1,0)</x:f>
        <x:v>0</x:v>
      </x:c>
      <x:c r="JF48" t="str">
        <x:f>IF('Calculations'!EM48="","",IFERROR(IF(INDEX(INDIRECT("'WCM Calibration Final'!$G$1:$G$2000"),'Calculations'!$EM48)="","",TRIM(INDEX(INDIRECT("'WCM Calibration Final'!$G$1:$G$2000"),'Calculations'!$EM48)&amp;"")),""))</x:f>
      </x:c>
      <x:c r="JQ48" t="n">
        <x:f>IF(OR('Calculations'!BM48=0,NOT('Calculations'!$AG$2),'Calculations'!$AG$8&gt;0),0,IF(OR('Dashboard'!$B$7="All",'Calculations'!HN48='Dashboard'!$B$7),IF('Calculations'!$JJ$2="All",1,IF(AND('Calculations'!HF48='Calculations'!$JJ$2,'Calculations'!HL48=0),1,0)),0))</x:f>
        <x:v>0</x:v>
      </x:c>
    </x:row>
    <x:row r="49">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t="n">
        <x:f>IF('Calculations'!$EM49="",0,IF(OR(IFERROR(INDEX(INDIRECT("'WCM Calibration Final'!$A$1:$A$2000"),'Calculations'!$EM49)&lt;&gt;"",FALSE),IFERROR(INDEX(INDIRECT("'WCM Calibration Final'!$B$1:$B$2000"),'Calculations'!$EM49)&lt;&gt;"",FALSE),IFERROR(INDEX(INDIRECT("'WCM Calibration Final'!$C$1:$C$2000"),'Calculations'!$EM49)&lt;&gt;"",FALSE)),1,0))</x:f>
        <x:v>0</x:v>
      </x:c>
      <x:c r="BN49" s="4" t="n">
        <x:f>IF(AND('Calculations'!BM49=1,'Calculations'!$AG$2,'Calculations'!$EN49=1),1,0)</x:f>
        <x:v>0</x:v>
      </x:c>
      <x:c r="BO49" s="4" t="str">
        <x:f>IF('Calculations'!BM49=0,"",IFERROR(IF(AND(VALUE(INDEX(INDIRECT("'WCM Calibration Final'!$K$1:$K$2000"),'Calculations'!$EM49))&gt;=1,VALUE(INDEX(INDIRECT("'WCM Calibration Final'!$K$1:$K$2000"),'Calculations'!$EM49))&lt;=4,MOD(VALUE(INDEX(INDIRECT("'WCM Calibration Final'!$K$1:$K$2000"),'Calculations'!$EM49)),1)=0),VALUE(INDEX(INDIRECT("'WCM Calibration Final'!$K$1:$K$2000"),'Calculations'!$EM49)),""),""))</x:f>
      </x:c>
      <x:c r="BP49" s="4" t="str">
        <x:f>IF('Calculations'!BM49=0,"",IFERROR(IF(AND(VALUE(INDEX(INDIRECT("'WCM Calibration Final'!$L$1:$L$2000"),'Calculations'!$EM49))&gt;=1,VALUE(INDEX(INDIRECT("'WCM Calibration Final'!$L$1:$L$2000"),'Calculations'!$EM49))&lt;=4,MOD(VALUE(INDEX(INDIRECT("'WCM Calibration Final'!$L$1:$L$2000"),'Calculations'!$EM49)),1)=0),VALUE(INDEX(INDIRECT("'WCM Calibration Final'!$L$1:$L$2000"),'Calculations'!$EM49)),""),""))</x:f>
      </x:c>
      <x:c r="BQ49" s="4"/>
      <x:c r="BR49" s="4"/>
      <x:c r="BS49" s="4"/>
      <x:c r="BT49" s="4" t="n">
        <x:f>IF(AND('Calculations'!BM49=1,ISNUMBER('Calculations'!BO49),ISNUMBER('Calculations'!BP49)),1,0)</x:f>
        <x:v>0</x:v>
      </x:c>
      <x:c r="BU49" s="4" t="str">
        <x:f>IF('Calculations'!BM49=0,"",'Calculations'!$EO49)</x:f>
      </x:c>
      <x:c r="BV49" s="4" t="str">
        <x:f>IF('Calculations'!BM49=0,"",IFERROR(IF(OR(INDEX(INDIRECT("'WCM Calibration Final'!$H$1:$H$2000"),'Calculations'!$EM49)="MANAGING DIRECTOR",INDEX(INDIRECT("'WCM Calibration Final'!$H$1:$H$2000"),'Calculations'!$EM49)="DIRECTOR",INDEX(INDIRECT("'WCM Calibration Final'!$H$1:$H$2000"),'Calculations'!$EM49)="SENIOR VICE PRESIDENT",INDEX(INDIRECT("'WCM Calibration Final'!$H$1:$H$2000"),'Calculations'!$EM49)="VICE PRESIDENT",INDEX(INDIRECT("'WCM Calibration Final'!$H$1:$H$2000"),'Calculations'!$EM49)="ASSISTANT VICE PRESIDENT",INDEX(INDIRECT("'WCM Calibration Final'!$H$1:$H$2000"),'Calculations'!$EM49)="OFFICER"),UPPER(INDEX(INDIRECT("'WCM Calibration Final'!$H$1:$H$2000"),'Calculations'!$EM49)),"Other"),"Other"))</x:f>
      </x:c>
      <x:c r="BW49" s="4"/>
      <x:c r="BX49" s="4"/>
      <x:c r="BY49" s="4" t="n">
        <x:f>IF(AND('Calculations'!BM49=1,'Calculations'!BU49&lt;&gt;"",COUNTIF('Calculations'!$BU$12:BU49,'Calculations'!BU49)=1),MAX('Calculations'!$BY$11:BY48)+1,0)</x:f>
        <x:v>0</x:v>
      </x:c>
      <x:c r="BZ49" s="4" t="str">
        <x:f>IF('Dashboard'!$E$67="What",'Calculations'!BO49,'Calculations'!BP49)</x:f>
      </x:c>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t="str">
        <x:f>IF(38&gt;MAX('Calculations'!$HI$13:$HI$512),"",INDEX('Calculations'!$HN$13:$HN$512,MATCH(38,'Calculations'!$HI$13:$HI$512,0)))</x:f>
      </x:c>
      <x:c r="DB49" s="4" t="str">
        <x:f>IF(38&gt;MAX('Calculations'!$HH$13:$HH$512),"",INDEX('Calculations'!$HJ$13:$HJ$512,MATCH(38,'Calculations'!$HH$13:$HH$512,0)))</x:f>
      </x:c>
      <x:c r="DC49" s="4" t="str">
        <x:f>IF(ROW()-11&gt;MAX('Calculations'!$BY$13:$BY$512),"",INDEX('Calculations'!$BU$13:$BU$512,MATCH(ROW()-11,'Calculations'!$BY$13:$BY$512,0)))</x:f>
      </x:c>
      <x:c r="DD49" s="4" t="str">
        <x:f>IF(38&gt;MAX('Calculations'!$IK$13:$IK$512),"",INDEX('Calculations'!$HK$13:$HK$512,MATCH(38,'Calculations'!$IK$13:$IK$512,0)))</x:f>
      </x:c>
      <x:c r="DE49" s="4" t="str">
        <x:f>'Calculations'!DC49</x:f>
      </x:c>
      <x:c r="DF49" s="4" t="str">
        <x:f>IF('Calculations'!DE49="","",COUNTIFS('Calculations'!$BN$13:$BN$512,1,'Calculations'!$BU$13:$BU$512,'Calculations'!DE49))</x:f>
      </x:c>
      <x:c r="DG49" s="4" t="str">
        <x:f>IF('Calculations'!DE49="","",COUNTIFS('Calculations'!$BN$13:$BN$512,1,'Calculations'!$BU$13:$BU$512,'Calculations'!DE49,'Calculations'!$BT$13:$BT$512,1))</x:f>
      </x:c>
      <x:c r="DH49" s="4" t="str">
        <x:f>IF('Calculations'!DE49="","",'Calculations'!DF49-'Calculations'!DG49)</x:f>
      </x:c>
      <x:c r="DI49" s="4" t="str">
        <x:f>IF(OR('Calculations'!DE49="",'Calculations'!DF49=0),"",'Calculations'!DG49/'Calculations'!DF49)</x:f>
      </x:c>
      <x:c r="DJ49" s="4" t="str">
        <x:f>IF('Calculations'!DE49="","",COUNTIFS('Calculations'!$BN$13:$BN$512,1,'Calculations'!$BU$13:$BU$512,'Calculations'!DE49,'Calculations'!$BT$13:$BT$512,1,'Calculations'!$EE$13:$EE$512,"High"))</x:f>
      </x:c>
      <x:c r="DK49" s="4" t="str">
        <x:f>IF('Calculations'!DE49="","",COUNTIFS('Calculations'!$BN$13:$BN$512,1,'Calculations'!$BU$13:$BU$512,'Calculations'!DE49,'Calculations'!$BT$13:$BT$512,1,'Calculations'!$EE$13:$EE$512,"Strong"))</x:f>
      </x:c>
      <x:c r="DL49" s="4" t="str">
        <x:f>IF('Calculations'!DE49="","",COUNTIFS('Calculations'!$BN$13:$BN$512,1,'Calculations'!$BU$13:$BU$512,'Calculations'!DE49,'Calculations'!$BT$13:$BT$512,1,'Calculations'!$EE$13:$EE$512,"Solid"))</x:f>
      </x:c>
      <x:c r="DM49" s="4" t="str">
        <x:f>IF('Calculations'!DE49="","",COUNTIFS('Calculations'!$BN$13:$BN$512,1,'Calculations'!$BU$13:$BU$512,'Calculations'!DE49,'Calculations'!$BT$13:$BT$512,1,'Calculations'!$EE$13:$EE$512,"Low"))</x:f>
      </x:c>
      <x:c r="DN49" s="4" t="str">
        <x:f>IF('Calculations'!DE49="","",COUNTIFS('Calculations'!$BN$13:$BN$512,1,'Calculations'!$BU$13:$BU$512,'Calculations'!DE49,'Calculations'!$EP$13:$EP$512,1))</x:f>
      </x:c>
      <x:c r="DO49" s="4" t="str">
        <x:f>IF(OR('Calculations'!DE49="",'Calculations'!DG49=0),"",('Calculations'!DJ49+'Calculations'!DK49)/'Calculations'!DG49)</x:f>
      </x:c>
      <x:c r="DP49" s="4" t="n">
        <x:f>IF(AND('Calculations'!DE49&lt;&gt;"",'Calculations'!DF49&gt;0),COUNTIF('Calculations'!$DF$12:DF49,"&gt;0"),0)</x:f>
        <x:v>0</x:v>
      </x:c>
      <x:c r="DQ49" s="4" t="str">
        <x:f>IF(38&gt;MAX('Calculations'!$HH$13:$HH$512),"",INDEX('Calculations'!$HF$13:$HF$512,MATCH(38,'Calculations'!$HH$13:$HH$512,0)))</x:f>
      </x:c>
      <x:c r="DR49" s="4" t="str">
        <x:f>IF(38&gt;MAX('Calculations'!$IK$13:$IK$512),"",INDEX('Calculations'!$HE$13:$HE$512,MATCH(38,'Calculations'!$IK$13:$IK$512,0)))</x:f>
      </x:c>
      <x:c r="DS49" s="4"/>
      <x:c r="DT49" s="4"/>
      <x:c r="DU49" s="4"/>
      <x:c r="DV49" s="4"/>
      <x:c r="DW49" s="4"/>
      <x:c r="DX49" s="4"/>
      <x:c r="DY49" s="4"/>
      <x:c r="DZ49" s="4"/>
      <x:c r="EA49" s="4"/>
      <x:c r="EB49" s="4"/>
      <x:c r="EC49" s="4"/>
      <x:c r="ED49" s="4"/>
      <x:c r="EE49" s="4" t="str">
        <x:f>IF('Calculations'!BT49=0,"Not Rated",IF(OR('Calculations'!BO49&gt;=4,'Calculations'!BP49&gt;=4),"Low",IF('Calculations'!BO49+'Calculations'!BP49&lt;=3,"High",IF('Calculations'!BO49+'Calculations'!BP49&lt;=4,"Strong","Solid"))))</x:f>
        <x:v>Not Rated</x:v>
      </x:c>
      <x:c r="EF49" s="4"/>
      <x:c r="EG49" s="4"/>
      <x:c r="EH49" s="4"/>
      <x:c r="EI49" s="4"/>
      <x:c r="EJ49" s="4"/>
      <x:c r="EK49" s="4"/>
      <x:c r="EL49" s="4"/>
      <x:c r="EM49" s="4" t="str">
        <x:f>IF(37&gt;'Calculations'!$JB$2000,"",INDEX('Calculations'!$JA$12:$JA$2000,MATCH(37,'Calculations'!$JB$12:$JB$2000,0)))</x:f>
      </x:c>
      <x:c r="EN49" s="4" t="n">
        <x:f>IF(OR('Calculations'!EM49="",'Calculations'!$AG$8&gt;0,AND('Calculations'!$EF$2&lt;&gt;"All",'Calculations'!HE49='Calculations'!$EF$2),AND('Calculations'!$EF$3&lt;&gt;"All",'Calculations'!HE49='Calculations'!$EF$3)),0,IF(OR('Dashboard'!$B$7="All",'Calculations'!HN49='Dashboard'!$B$7),IF('Calculations'!$EF$2="All",1,IF('Calculations'!HL49&gt;0,0,IF(COUNTIF('Calculations'!HO49:II49,"="&amp;SUBSTITUTE(SUBSTITUTE(SUBSTITUTE('Calculations'!$EF$2,"~","~~"),"*","~*"),"?","~?"))=0,0,IF('Calculations'!$EF$3="All",1,IF(COUNTIF('Calculations'!HO49:II49,"="&amp;SUBSTITUTE(SUBSTITUTE(SUBSTITUTE('Calculations'!$EF$3,"~","~~"),"*","~*"),"?","~?"))&gt;0,1,0))))),0))</x:f>
        <x:v>0</x:v>
      </x:c>
      <x:c r="EO49" s="4" t="str">
        <x:f>IF('Calculations'!IJ49="","",IF('Calculations'!IJ49="!UNRESOLVED","Unresolved hierarchy",IFERROR(INDEX('Calculations'!$HK$13:$HK$512,MATCH('Calculations'!IJ49,'Calculations'!$HE$13:$HE$512,0)),IFERROR(INDEX('Calculations'!$HJ$13:$HJ$512,MATCH('Calculations'!IJ49,'Calculations'!$HF$13:$HF$512,0)),'Calculations'!IJ49))))</x:f>
      </x:c>
      <x:c r="EP49" s="4" t="n">
        <x:f>IF(AND('Calculations'!EM49&lt;&gt;"",'Calculations'!HF49='Calculations'!IJ49),1,0)</x:f>
        <x:v>0</x:v>
      </x:c>
      <x:c r="EQ49" s="4"/>
      <x:c r="ER49" s="4"/>
      <x:c r="ES49" s="4"/>
      <x:c r="ET49" s="4"/>
      <x:c r="EU49" s="4"/>
      <x:c r="EV49" s="4"/>
      <x:c r="EW49" s="4"/>
      <x:c r="EX49" s="4"/>
      <x:c r="EY49" s="4"/>
      <x:c r="EZ49" s="4"/>
      <x:c r="FA49" s="4"/>
      <x:c r="FB49" s="4"/>
      <x:c r="FC49" s="4"/>
      <x:c r="FD49" s="4"/>
      <x:c r="FE49" s="4"/>
      <x:c r="FF49" s="4"/>
      <x:c r="FG49" s="4"/>
      <x:c r="FH49" s="4"/>
      <x:c r="FI49" s="4"/>
      <x:c r="FJ49" s="4"/>
      <x:c r="FK49" s="4"/>
      <x:c r="FL49" s="4"/>
      <x:c r="FM49" s="4"/>
      <x:c r="FN49" s="4"/>
      <x:c r="FO49" s="4"/>
      <x:c r="GA49" s="71"/>
      <x:c r="GB49" s="71"/>
      <x:c r="GC49" s="71"/>
      <x:c r="GD49" s="71"/>
      <x:c r="GE49" s="71"/>
      <x:c r="GF49" s="71"/>
      <x:c r="GG49" s="71"/>
      <x:c r="GH49" s="71"/>
      <x:c r="GI49" s="71"/>
      <x:c r="GJ49" s="71"/>
      <x:c r="GK49" s="71"/>
      <x:c r="GL49" s="71"/>
      <x:c r="GM49" s="71"/>
      <x:c r="GN49" s="71"/>
      <x:c r="GO49" s="71"/>
      <x:c r="GP49" s="71"/>
      <x:c r="GQ49" s="71"/>
      <x:c r="GR49" s="71"/>
      <x:c r="GS49" s="71"/>
      <x:c r="GT49" s="71"/>
      <x:c r="GU49" s="71"/>
      <x:c r="GV49" s="71"/>
      <x:c r="GW49" s="71"/>
      <x:c r="GX49" s="71"/>
      <x:c r="GY49" s="71"/>
      <x:c r="GZ49" s="71"/>
      <x:c r="HA49" s="71"/>
      <x:c r="HB49" s="71"/>
      <x:c r="HC49" s="71"/>
      <x:c r="HD49" s="71"/>
      <x:c r="HE49" t="str">
        <x:f>IF('Calculations'!EM49="","",IF(IFERROR(IF(INDEX(INDIRECT("'WCM Calibration Final'!$A$1:$A$2000"),'Calculations'!$EM49)="","",TRIM(INDEX(INDIRECT("'WCM Calibration Final'!$A$1:$A$2000"),'Calculations'!$EM49)&amp;"")),"")&lt;&gt;"","G:"&amp;IFERROR(TEXT(1*INDEX(INDIRECT("'WCM Calibration Final'!$A$1:$A$2000"),'Calculations'!$EM49),"0"),UPPER(IFERROR(IF(INDEX(INDIRECT("'WCM Calibration Final'!$A$1:$A$2000"),'Calculations'!$EM49)="","",TRIM(INDEX(INDIRECT("'WCM Calibration Final'!$A$1:$A$2000"),'Calculations'!$EM49)&amp;"")),""))),IF(IFERROR(IF(INDEX(INDIRECT("'WCM Calibration Final'!$C$1:$C$2000"),'Calculations'!$EM49)="","",TRIM(INDEX(INDIRECT("'WCM Calibration Final'!$C$1:$C$2000"),'Calculations'!$EM49)&amp;"")),"")&lt;&gt;"","S:"&amp;UPPER(IFERROR(IF(INDEX(INDIRECT("'WCM Calibration Final'!$C$1:$C$2000"),'Calculations'!$EM49)="","",TRIM(INDEX(INDIRECT("'WCM Calibration Final'!$C$1:$C$2000"),'Calculations'!$EM49)&amp;"")),"")),"R:"&amp;'Calculations'!EM49)))</x:f>
      </x:c>
      <x:c r="HF49" t="str">
        <x:f>IF('Calculations'!EM49="","",IF(IFERROR(IF(INDEX(INDIRECT("'WCM Calibration Final'!$D$1:$D$2000"),'Calculations'!$EM49)="","",TRIM(INDEX(INDIRECT("'WCM Calibration Final'!$D$1:$D$2000"),'Calculations'!$EM49)&amp;"")),"")&lt;&gt;"","G:"&amp;IFERROR(TEXT(1*INDEX(INDIRECT("'WCM Calibration Final'!$D$1:$D$2000"),'Calculations'!$EM49),"0"),UPPER(IFERROR(IF(INDEX(INDIRECT("'WCM Calibration Final'!$D$1:$D$2000"),'Calculations'!$EM49)="","",TRIM(INDEX(INDIRECT("'WCM Calibration Final'!$D$1:$D$2000"),'Calculations'!$EM49)&amp;"")),""))),IF(IFERROR(IF(INDEX(INDIRECT("'WCM Calibration Final'!$E$1:$E$2000"),'Calculations'!$EM49)="","",TRIM(INDEX(INDIRECT("'WCM Calibration Final'!$E$1:$E$2000"),'Calculations'!$EM49)&amp;"")),"")="","",IF(COUNTIF('Calculations'!$HG$13:$HG$512,"="&amp;SUBSTITUTE(SUBSTITUTE(SUBSTITUTE(IFERROR(IF(INDEX(INDIRECT("'WCM Calibration Final'!$E$1:$E$2000"),'Calculations'!$EM49)="","",TRIM(INDEX(INDIRECT("'WCM Calibration Final'!$E$1:$E$2000"),'Calculations'!$EM49)&amp;"")),""),"~","~~"),"*","~*"),"?","~?"))=1,INDEX('Calculations'!$HE$13:$HE$512,MATCH(IFERROR(IF(INDEX(INDIRECT("'WCM Calibration Final'!$E$1:$E$2000"),'Calculations'!$EM49)="","",TRIM(INDEX(INDIRECT("'WCM Calibration Final'!$E$1:$E$2000"),'Calculations'!$EM49)&amp;"")),""),'Calculations'!$HG$13:$HG$512,0)),IF(COUNTIF('Calculations'!$HG$13:$HG$512,"="&amp;SUBSTITUTE(SUBSTITUTE(SUBSTITUTE(IFERROR(IF(INDEX(INDIRECT("'WCM Calibration Final'!$E$1:$E$2000"),'Calculations'!$EM49)="","",TRIM(INDEX(INDIRECT("'WCM Calibration Final'!$E$1:$E$2000"),'Calculations'!$EM49)&amp;"")),""),"~","~~"),"*","~*"),"?","~?"))&gt;1,"!AMBIG","X:"&amp;IFERROR(IF(INDEX(INDIRECT("'WCM Calibration Final'!$E$1:$E$2000"),'Calculations'!$EM49)="","",TRIM(INDEX(INDIRECT("'WCM Calibration Final'!$E$1:$E$2000"),'Calculations'!$EM49)&amp;"")),""))))))</x:f>
      </x:c>
      <x:c r="HG49" t="str">
        <x:f>IF('Calculations'!EM49="","",IFERROR(IF(INDEX(INDIRECT("'WCM Calibration Final'!$B$1:$B$2000"),'Calculations'!$EM49)="","",TRIM(INDEX(INDIRECT("'WCM Calibration Final'!$B$1:$B$2000"),'Calculations'!$EM49)&amp;"")),""))</x:f>
      </x:c>
      <x:c r="HH49" t="n">
        <x:f>IF(AND('Calculations'!JC49&gt;0,COUNTIF('Calculations'!$HF$12:HF49,"="&amp;SUBSTITUTE(SUBSTITUTE(SUBSTITUTE('Calculations'!HF49,"~","~~"),"*","~*"),"?","~?"))=1),MAX('Calculations'!$HH$12:HH48)+1,0)</x:f>
        <x:v>0</x:v>
      </x:c>
      <x:c r="HI49" t="n">
        <x:f>IF(AND('Calculations'!HN49&lt;&gt;"",COUNTIF('Calculations'!$HN$12:HN49,"="&amp;SUBSTITUTE(SUBSTITUTE(SUBSTITUTE('Calculations'!HN49,"~","~~"),"*","~*"),"?","~?"))=1),MAX('Calculations'!$HI$12:HI48)+1,0)</x:f>
        <x:v>0</x:v>
      </x:c>
      <x:c r="HJ49" t="str">
        <x:f>IF('Calculations'!HF49="","",IF(COUNTIF('Calculations'!$HE$13:$HE$512,"="&amp;SUBSTITUTE(SUBSTITUTE(SUBSTITUTE('Calculations'!HF49,"~","~~"),"*","~*"),"?","~?"))=1,INDEX('Calculations'!$HK$13:$HK$512,MATCH('Calculations'!HF49,'Calculations'!$HE$13:$HE$512,0)),IFERROR(IF(INDEX(INDIRECT("'WCM Calibration Final'!$E$1:$E$2000"),'Calculations'!$EM49)="","",TRIM(INDEX(INDIRECT("'WCM Calibration Final'!$E$1:$E$2000"),'Calculations'!$EM49)&amp;"")),"")&amp;" ["&amp;'Calculations'!HF49&amp;"]"))</x:f>
      </x:c>
      <x:c r="HK49" t="str">
        <x:f>IF('Calculations'!EM49="","",'Calculations'!HG49&amp;" ["&amp;'Calculations'!HE49&amp;"]")</x:f>
      </x:c>
      <x:c r="HL49" t="n">
        <x:f>IF('Calculations'!EM49="",0,IF(OR('Calculations'!II49&lt;&gt;"",COUNTIF('Calculations'!$HE$13:$HE$512,"="&amp;SUBSTITUTE(SUBSTITUTE(SUBSTITUTE('Calculations'!HE49,"~","~~"),"*","~*"),"?","~?"))&gt;1),1,0))</x:f>
        <x:v>0</x:v>
      </x:c>
      <x:c r="HM49" t="str">
        <x:f>IF('Calculations'!EM49="","",IF('Calculations'!HL49=1,"!UNRESOLVED",IF('Calculations'!IH49&lt;&gt;"",'Calculations'!IH49,IF('Calculations'!IG49&lt;&gt;"",'Calculations'!IG49,IF('Calculations'!IF49&lt;&gt;"",'Calculations'!IF49,IF('Calculations'!IE49&lt;&gt;"",'Calculations'!IE49,IF('Calculations'!ID49&lt;&gt;"",'Calculations'!ID49,IF('Calculations'!IC49&lt;&gt;"",'Calculations'!IC49,IF('Calculations'!IB49&lt;&gt;"",'Calculations'!IB49,IF('Calculations'!IA49&lt;&gt;"",'Calculations'!IA49,IF('Calculations'!HZ49&lt;&gt;"",'Calculations'!HZ49,IF('Calculations'!HY49&lt;&gt;"",'Calculations'!HY49,IF('Calculations'!HX49&lt;&gt;"",'Calculations'!HX49,IF('Calculations'!HW49&lt;&gt;"",'Calculations'!HW49,IF('Calculations'!HV49&lt;&gt;"",'Calculations'!HV49,IF('Calculations'!HU49&lt;&gt;"",'Calculations'!HU49,IF('Calculations'!HT49&lt;&gt;"",'Calculations'!HT49,IF('Calculations'!HS49&lt;&gt;"",'Calculations'!HS49,IF('Calculations'!HR49&lt;&gt;"",'Calculations'!HR49,IF('Calculations'!HQ49&lt;&gt;"",'Calculations'!HQ49,IF('Calculations'!HP49&lt;&gt;"",'Calculations'!HP49,IF('Calculations'!HO49&lt;&gt;"",'Calculations'!HO49,'Calculations'!HE49))))))))))))))))))))))</x:f>
      </x:c>
      <x:c r="HN49" t="str">
        <x:f>IF('Calculations'!EM49="","",IF(IFERROR(IF(INDEX(INDIRECT("'WCM Calibration Final'!$F$1:$F$2000"),'Calculations'!$EM49)="","",TRIM(INDEX(INDIRECT("'WCM Calibration Final'!$F$1:$F$2000"),'Calculations'!$EM49)&amp;"")),"")="","(Blank)",IFERROR(IF(INDEX(INDIRECT("'WCM Calibration Final'!$F$1:$F$2000"),'Calculations'!$EM49)="","",TRIM(INDEX(INDIRECT("'WCM Calibration Final'!$F$1:$F$2000"),'Calculations'!$EM49)&amp;"")),"")))</x:f>
      </x:c>
      <x:c r="HO49" t="str">
        <x:f>'Calculations'!HF49</x:f>
      </x:c>
      <x:c r="HP49" t="str">
        <x:f>IF('Calculations'!HO49="","",IF('Calculations'!HO49="!AMBIG","!AMBIG",IF(COUNTIF('Calculations'!$HE$13:$HE$512,"="&amp;SUBSTITUTE(SUBSTITUTE(SUBSTITUTE('Calculations'!HO49,"~","~~"),"*","~*"),"?","~?"))&gt;1,"!AMBIG",IFERROR(INDEX('Calculations'!$HF$13:$HF$512,MATCH('Calculations'!HO49,'Calculations'!$HE$13:$HE$512,0)),""))))</x:f>
      </x:c>
      <x:c r="HQ49" t="str">
        <x:f>IF('Calculations'!HP49="","",IF('Calculations'!HP49="!AMBIG","!AMBIG",IF(COUNTIF('Calculations'!$HE$13:$HE$512,"="&amp;SUBSTITUTE(SUBSTITUTE(SUBSTITUTE('Calculations'!HP49,"~","~~"),"*","~*"),"?","~?"))&gt;1,"!AMBIG",IFERROR(INDEX('Calculations'!$HF$13:$HF$512,MATCH('Calculations'!HP49,'Calculations'!$HE$13:$HE$512,0)),""))))</x:f>
      </x:c>
      <x:c r="HR49" t="str">
        <x:f>IF('Calculations'!HQ49="","",IF('Calculations'!HQ49="!AMBIG","!AMBIG",IF(COUNTIF('Calculations'!$HE$13:$HE$512,"="&amp;SUBSTITUTE(SUBSTITUTE(SUBSTITUTE('Calculations'!HQ49,"~","~~"),"*","~*"),"?","~?"))&gt;1,"!AMBIG",IFERROR(INDEX('Calculations'!$HF$13:$HF$512,MATCH('Calculations'!HQ49,'Calculations'!$HE$13:$HE$512,0)),""))))</x:f>
      </x:c>
      <x:c r="HS49" t="str">
        <x:f>IF('Calculations'!HR49="","",IF('Calculations'!HR49="!AMBIG","!AMBIG",IF(COUNTIF('Calculations'!$HE$13:$HE$512,"="&amp;SUBSTITUTE(SUBSTITUTE(SUBSTITUTE('Calculations'!HR49,"~","~~"),"*","~*"),"?","~?"))&gt;1,"!AMBIG",IFERROR(INDEX('Calculations'!$HF$13:$HF$512,MATCH('Calculations'!HR49,'Calculations'!$HE$13:$HE$512,0)),""))))</x:f>
      </x:c>
      <x:c r="HT49" t="str">
        <x:f>IF('Calculations'!HS49="","",IF('Calculations'!HS49="!AMBIG","!AMBIG",IF(COUNTIF('Calculations'!$HE$13:$HE$512,"="&amp;SUBSTITUTE(SUBSTITUTE(SUBSTITUTE('Calculations'!HS49,"~","~~"),"*","~*"),"?","~?"))&gt;1,"!AMBIG",IFERROR(INDEX('Calculations'!$HF$13:$HF$512,MATCH('Calculations'!HS49,'Calculations'!$HE$13:$HE$512,0)),""))))</x:f>
      </x:c>
      <x:c r="HU49" t="str">
        <x:f>IF('Calculations'!HT49="","",IF('Calculations'!HT49="!AMBIG","!AMBIG",IF(COUNTIF('Calculations'!$HE$13:$HE$512,"="&amp;SUBSTITUTE(SUBSTITUTE(SUBSTITUTE('Calculations'!HT49,"~","~~"),"*","~*"),"?","~?"))&gt;1,"!AMBIG",IFERROR(INDEX('Calculations'!$HF$13:$HF$512,MATCH('Calculations'!HT49,'Calculations'!$HE$13:$HE$512,0)),""))))</x:f>
      </x:c>
      <x:c r="HV49" t="str">
        <x:f>IF('Calculations'!HU49="","",IF('Calculations'!HU49="!AMBIG","!AMBIG",IF(COUNTIF('Calculations'!$HE$13:$HE$512,"="&amp;SUBSTITUTE(SUBSTITUTE(SUBSTITUTE('Calculations'!HU49,"~","~~"),"*","~*"),"?","~?"))&gt;1,"!AMBIG",IFERROR(INDEX('Calculations'!$HF$13:$HF$512,MATCH('Calculations'!HU49,'Calculations'!$HE$13:$HE$512,0)),""))))</x:f>
      </x:c>
      <x:c r="HW49" t="str">
        <x:f>IF('Calculations'!HV49="","",IF('Calculations'!HV49="!AMBIG","!AMBIG",IF(COUNTIF('Calculations'!$HE$13:$HE$512,"="&amp;SUBSTITUTE(SUBSTITUTE(SUBSTITUTE('Calculations'!HV49,"~","~~"),"*","~*"),"?","~?"))&gt;1,"!AMBIG",IFERROR(INDEX('Calculations'!$HF$13:$HF$512,MATCH('Calculations'!HV49,'Calculations'!$HE$13:$HE$512,0)),""))))</x:f>
      </x:c>
      <x:c r="HX49" t="str">
        <x:f>IF('Calculations'!HW49="","",IF('Calculations'!HW49="!AMBIG","!AMBIG",IF(COUNTIF('Calculations'!$HE$13:$HE$512,"="&amp;SUBSTITUTE(SUBSTITUTE(SUBSTITUTE('Calculations'!HW49,"~","~~"),"*","~*"),"?","~?"))&gt;1,"!AMBIG",IFERROR(INDEX('Calculations'!$HF$13:$HF$512,MATCH('Calculations'!HW49,'Calculations'!$HE$13:$HE$512,0)),""))))</x:f>
      </x:c>
      <x:c r="HY49" t="str">
        <x:f>IF('Calculations'!HX49="","",IF('Calculations'!HX49="!AMBIG","!AMBIG",IF(COUNTIF('Calculations'!$HE$13:$HE$512,"="&amp;SUBSTITUTE(SUBSTITUTE(SUBSTITUTE('Calculations'!HX49,"~","~~"),"*","~*"),"?","~?"))&gt;1,"!AMBIG",IFERROR(INDEX('Calculations'!$HF$13:$HF$512,MATCH('Calculations'!HX49,'Calculations'!$HE$13:$HE$512,0)),""))))</x:f>
      </x:c>
      <x:c r="HZ49" t="str">
        <x:f>IF('Calculations'!HY49="","",IF('Calculations'!HY49="!AMBIG","!AMBIG",IF(COUNTIF('Calculations'!$HE$13:$HE$512,"="&amp;SUBSTITUTE(SUBSTITUTE(SUBSTITUTE('Calculations'!HY49,"~","~~"),"*","~*"),"?","~?"))&gt;1,"!AMBIG",IFERROR(INDEX('Calculations'!$HF$13:$HF$512,MATCH('Calculations'!HY49,'Calculations'!$HE$13:$HE$512,0)),""))))</x:f>
      </x:c>
      <x:c r="IA49" t="str">
        <x:f>IF('Calculations'!HZ49="","",IF('Calculations'!HZ49="!AMBIG","!AMBIG",IF(COUNTIF('Calculations'!$HE$13:$HE$512,"="&amp;SUBSTITUTE(SUBSTITUTE(SUBSTITUTE('Calculations'!HZ49,"~","~~"),"*","~*"),"?","~?"))&gt;1,"!AMBIG",IFERROR(INDEX('Calculations'!$HF$13:$HF$512,MATCH('Calculations'!HZ49,'Calculations'!$HE$13:$HE$512,0)),""))))</x:f>
      </x:c>
      <x:c r="IB49" t="str">
        <x:f>IF('Calculations'!IA49="","",IF('Calculations'!IA49="!AMBIG","!AMBIG",IF(COUNTIF('Calculations'!$HE$13:$HE$512,"="&amp;SUBSTITUTE(SUBSTITUTE(SUBSTITUTE('Calculations'!IA49,"~","~~"),"*","~*"),"?","~?"))&gt;1,"!AMBIG",IFERROR(INDEX('Calculations'!$HF$13:$HF$512,MATCH('Calculations'!IA49,'Calculations'!$HE$13:$HE$512,0)),""))))</x:f>
      </x:c>
      <x:c r="IC49" t="str">
        <x:f>IF('Calculations'!IB49="","",IF('Calculations'!IB49="!AMBIG","!AMBIG",IF(COUNTIF('Calculations'!$HE$13:$HE$512,"="&amp;SUBSTITUTE(SUBSTITUTE(SUBSTITUTE('Calculations'!IB49,"~","~~"),"*","~*"),"?","~?"))&gt;1,"!AMBIG",IFERROR(INDEX('Calculations'!$HF$13:$HF$512,MATCH('Calculations'!IB49,'Calculations'!$HE$13:$HE$512,0)),""))))</x:f>
      </x:c>
      <x:c r="ID49" t="str">
        <x:f>IF('Calculations'!IC49="","",IF('Calculations'!IC49="!AMBIG","!AMBIG",IF(COUNTIF('Calculations'!$HE$13:$HE$512,"="&amp;SUBSTITUTE(SUBSTITUTE(SUBSTITUTE('Calculations'!IC49,"~","~~"),"*","~*"),"?","~?"))&gt;1,"!AMBIG",IFERROR(INDEX('Calculations'!$HF$13:$HF$512,MATCH('Calculations'!IC49,'Calculations'!$HE$13:$HE$512,0)),""))))</x:f>
      </x:c>
      <x:c r="IE49" t="str">
        <x:f>IF('Calculations'!ID49="","",IF('Calculations'!ID49="!AMBIG","!AMBIG",IF(COUNTIF('Calculations'!$HE$13:$HE$512,"="&amp;SUBSTITUTE(SUBSTITUTE(SUBSTITUTE('Calculations'!ID49,"~","~~"),"*","~*"),"?","~?"))&gt;1,"!AMBIG",IFERROR(INDEX('Calculations'!$HF$13:$HF$512,MATCH('Calculations'!ID49,'Calculations'!$HE$13:$HE$512,0)),""))))</x:f>
      </x:c>
      <x:c r="IF49" t="str">
        <x:f>IF('Calculations'!IE49="","",IF('Calculations'!IE49="!AMBIG","!AMBIG",IF(COUNTIF('Calculations'!$HE$13:$HE$512,"="&amp;SUBSTITUTE(SUBSTITUTE(SUBSTITUTE('Calculations'!IE49,"~","~~"),"*","~*"),"?","~?"))&gt;1,"!AMBIG",IFERROR(INDEX('Calculations'!$HF$13:$HF$512,MATCH('Calculations'!IE49,'Calculations'!$HE$13:$HE$512,0)),""))))</x:f>
      </x:c>
      <x:c r="IG49" t="str">
        <x:f>IF('Calculations'!IF49="","",IF('Calculations'!IF49="!AMBIG","!AMBIG",IF(COUNTIF('Calculations'!$HE$13:$HE$512,"="&amp;SUBSTITUTE(SUBSTITUTE(SUBSTITUTE('Calculations'!IF49,"~","~~"),"*","~*"),"?","~?"))&gt;1,"!AMBIG",IFERROR(INDEX('Calculations'!$HF$13:$HF$512,MATCH('Calculations'!IF49,'Calculations'!$HE$13:$HE$512,0)),""))))</x:f>
      </x:c>
      <x:c r="IH49" t="str">
        <x:f>IF('Calculations'!IG49="","",IF('Calculations'!IG49="!AMBIG","!AMBIG",IF(COUNTIF('Calculations'!$HE$13:$HE$512,"="&amp;SUBSTITUTE(SUBSTITUTE(SUBSTITUTE('Calculations'!IG49,"~","~~"),"*","~*"),"?","~?"))&gt;1,"!AMBIG",IFERROR(INDEX('Calculations'!$HF$13:$HF$512,MATCH('Calculations'!IG49,'Calculations'!$HE$13:$HE$512,0)),""))))</x:f>
      </x:c>
      <x:c r="II49" t="str">
        <x:f>IF('Calculations'!IH49="","",IF('Calculations'!IH49="!AMBIG","!AMBIG",IF(COUNTIF('Calculations'!$HE$13:$HE$512,"="&amp;SUBSTITUTE(SUBSTITUTE(SUBSTITUTE('Calculations'!IH49,"~","~~"),"*","~*"),"?","~?"))&gt;1,"!AMBIG",IFERROR(INDEX('Calculations'!$HF$13:$HF$512,MATCH('Calculations'!IH49,'Calculations'!$HE$13:$HE$512,0)),""))))</x:f>
      </x:c>
      <x:c r="IJ49" t="str">
        <x:f>IF('Calculations'!EM49="","",IF('Calculations'!$EF$2="All",'Calculations'!HM49,IF('Calculations'!HL49=1,"",IFERROR(IF(MATCH('Calculations'!$EF$2,'Calculations'!HO49:II49,0)=1,'Calculations'!HE49,INDEX('Calculations'!HO49:II49,1,MATCH('Calculations'!$EF$2,'Calculations'!HO49:II49,0)-1)),""))))</x:f>
      </x:c>
      <x:c r="IK49" t="n">
        <x:f>IF(AND('Calculations'!EM49&lt;&gt;"",'Calculations'!$EF$2&lt;&gt;"All",'Calculations'!HF49='Calculations'!$EF$2,'Calculations'!HL49=0,'Calculations'!JD49&gt;0),MAX('Calculations'!$IK$12:IK48)+1,0)</x:f>
        <x:v>0</x:v>
      </x:c>
      <x:c r="JA49" t="n">
        <x:f>IF(OR(IFERROR(INDIRECT("'WCM Calibration Final'!$A$49")&lt;&gt;"",FALSE),IFERROR(INDIRECT("'WCM Calibration Final'!$B$49")&lt;&gt;"",FALSE),IFERROR(INDIRECT("'WCM Calibration Final'!$C$49")&lt;&gt;"",FALSE)),49,0)</x:f>
        <x:v>0</x:v>
      </x:c>
      <x:c r="JB49" t="n">
        <x:f>'Calculations'!JB48+IF('Calculations'!JA49&gt;0,1,0)</x:f>
        <x:v>0</x:v>
      </x:c>
      <x:c r="JC49" t="n">
        <x:f>IF(OR('Calculations'!HF49="",'Calculations'!HF49="!AMBIG"),0,IF('Dashboard'!$B$7="All",1,COUNTIFS('Calculations'!$HO$13:$HO$512,"="&amp;SUBSTITUTE(SUBSTITUTE(SUBSTITUTE('Calculations'!HF49,"~","~~"),"*","~*"),"?","~?"),'Calculations'!$HN$13:$HN$512,"="&amp;SUBSTITUTE(SUBSTITUTE(SUBSTITUTE('Dashboard'!$B$7,"~","~~"),"*","~*"),"?","~?"))+COUNTIFS('Calculations'!$HP$13:$HP$512,"="&amp;SUBSTITUTE(SUBSTITUTE(SUBSTITUTE('Calculations'!HF49,"~","~~"),"*","~*"),"?","~?"),'Calculations'!$HN$13:$HN$512,"="&amp;SUBSTITUTE(SUBSTITUTE(SUBSTITUTE('Dashboard'!$B$7,"~","~~"),"*","~*"),"?","~?"))+COUNTIFS('Calculations'!$HQ$13:$HQ$512,"="&amp;SUBSTITUTE(SUBSTITUTE(SUBSTITUTE('Calculations'!HF49,"~","~~"),"*","~*"),"?","~?"),'Calculations'!$HN$13:$HN$512,"="&amp;SUBSTITUTE(SUBSTITUTE(SUBSTITUTE('Dashboard'!$B$7,"~","~~"),"*","~*"),"?","~?"))+COUNTIFS('Calculations'!$HR$13:$HR$512,"="&amp;SUBSTITUTE(SUBSTITUTE(SUBSTITUTE('Calculations'!HF49,"~","~~"),"*","~*"),"?","~?"),'Calculations'!$HN$13:$HN$512,"="&amp;SUBSTITUTE(SUBSTITUTE(SUBSTITUTE('Dashboard'!$B$7,"~","~~"),"*","~*"),"?","~?"))+COUNTIFS('Calculations'!$HS$13:$HS$512,"="&amp;SUBSTITUTE(SUBSTITUTE(SUBSTITUTE('Calculations'!HF49,"~","~~"),"*","~*"),"?","~?"),'Calculations'!$HN$13:$HN$512,"="&amp;SUBSTITUTE(SUBSTITUTE(SUBSTITUTE('Dashboard'!$B$7,"~","~~"),"*","~*"),"?","~?"))+COUNTIFS('Calculations'!$HT$13:$HT$512,"="&amp;SUBSTITUTE(SUBSTITUTE(SUBSTITUTE('Calculations'!HF49,"~","~~"),"*","~*"),"?","~?"),'Calculations'!$HN$13:$HN$512,"="&amp;SUBSTITUTE(SUBSTITUTE(SUBSTITUTE('Dashboard'!$B$7,"~","~~"),"*","~*"),"?","~?"))+COUNTIFS('Calculations'!$HU$13:$HU$512,"="&amp;SUBSTITUTE(SUBSTITUTE(SUBSTITUTE('Calculations'!HF49,"~","~~"),"*","~*"),"?","~?"),'Calculations'!$HN$13:$HN$512,"="&amp;SUBSTITUTE(SUBSTITUTE(SUBSTITUTE('Dashboard'!$B$7,"~","~~"),"*","~*"),"?","~?"))+COUNTIFS('Calculations'!$HV$13:$HV$512,"="&amp;SUBSTITUTE(SUBSTITUTE(SUBSTITUTE('Calculations'!HF49,"~","~~"),"*","~*"),"?","~?"),'Calculations'!$HN$13:$HN$512,"="&amp;SUBSTITUTE(SUBSTITUTE(SUBSTITUTE('Dashboard'!$B$7,"~","~~"),"*","~*"),"?","~?"))+COUNTIFS('Calculations'!$HW$13:$HW$512,"="&amp;SUBSTITUTE(SUBSTITUTE(SUBSTITUTE('Calculations'!HF49,"~","~~"),"*","~*"),"?","~?"),'Calculations'!$HN$13:$HN$512,"="&amp;SUBSTITUTE(SUBSTITUTE(SUBSTITUTE('Dashboard'!$B$7,"~","~~"),"*","~*"),"?","~?"))+COUNTIFS('Calculations'!$HX$13:$HX$512,"="&amp;SUBSTITUTE(SUBSTITUTE(SUBSTITUTE('Calculations'!HF49,"~","~~"),"*","~*"),"?","~?"),'Calculations'!$HN$13:$HN$512,"="&amp;SUBSTITUTE(SUBSTITUTE(SUBSTITUTE('Dashboard'!$B$7,"~","~~"),"*","~*"),"?","~?"))+COUNTIFS('Calculations'!$HY$13:$HY$512,"="&amp;SUBSTITUTE(SUBSTITUTE(SUBSTITUTE('Calculations'!HF49,"~","~~"),"*","~*"),"?","~?"),'Calculations'!$HN$13:$HN$512,"="&amp;SUBSTITUTE(SUBSTITUTE(SUBSTITUTE('Dashboard'!$B$7,"~","~~"),"*","~*"),"?","~?"))+COUNTIFS('Calculations'!$HZ$13:$HZ$512,"="&amp;SUBSTITUTE(SUBSTITUTE(SUBSTITUTE('Calculations'!HF49,"~","~~"),"*","~*"),"?","~?"),'Calculations'!$HN$13:$HN$512,"="&amp;SUBSTITUTE(SUBSTITUTE(SUBSTITUTE('Dashboard'!$B$7,"~","~~"),"*","~*"),"?","~?"))+COUNTIFS('Calculations'!$IA$13:$IA$512,"="&amp;SUBSTITUTE(SUBSTITUTE(SUBSTITUTE('Calculations'!HF49,"~","~~"),"*","~*"),"?","~?"),'Calculations'!$HN$13:$HN$512,"="&amp;SUBSTITUTE(SUBSTITUTE(SUBSTITUTE('Dashboard'!$B$7,"~","~~"),"*","~*"),"?","~?"))+COUNTIFS('Calculations'!$IB$13:$IB$512,"="&amp;SUBSTITUTE(SUBSTITUTE(SUBSTITUTE('Calculations'!HF49,"~","~~"),"*","~*"),"?","~?"),'Calculations'!$HN$13:$HN$512,"="&amp;SUBSTITUTE(SUBSTITUTE(SUBSTITUTE('Dashboard'!$B$7,"~","~~"),"*","~*"),"?","~?"))+COUNTIFS('Calculations'!$IC$13:$IC$512,"="&amp;SUBSTITUTE(SUBSTITUTE(SUBSTITUTE('Calculations'!HF49,"~","~~"),"*","~*"),"?","~?"),'Calculations'!$HN$13:$HN$512,"="&amp;SUBSTITUTE(SUBSTITUTE(SUBSTITUTE('Dashboard'!$B$7,"~","~~"),"*","~*"),"?","~?"))+COUNTIFS('Calculations'!$ID$13:$ID$512,"="&amp;SUBSTITUTE(SUBSTITUTE(SUBSTITUTE('Calculations'!HF49,"~","~~"),"*","~*"),"?","~?"),'Calculations'!$HN$13:$HN$512,"="&amp;SUBSTITUTE(SUBSTITUTE(SUBSTITUTE('Dashboard'!$B$7,"~","~~"),"*","~*"),"?","~?"))+COUNTIFS('Calculations'!$IE$13:$IE$512,"="&amp;SUBSTITUTE(SUBSTITUTE(SUBSTITUTE('Calculations'!HF49,"~","~~"),"*","~*"),"?","~?"),'Calculations'!$HN$13:$HN$512,"="&amp;SUBSTITUTE(SUBSTITUTE(SUBSTITUTE('Dashboard'!$B$7,"~","~~"),"*","~*"),"?","~?"))+COUNTIFS('Calculations'!$IF$13:$IF$512,"="&amp;SUBSTITUTE(SUBSTITUTE(SUBSTITUTE('Calculations'!HF49,"~","~~"),"*","~*"),"?","~?"),'Calculations'!$HN$13:$HN$512,"="&amp;SUBSTITUTE(SUBSTITUTE(SUBSTITUTE('Dashboard'!$B$7,"~","~~"),"*","~*"),"?","~?"))+COUNTIFS('Calculations'!$IG$13:$IG$512,"="&amp;SUBSTITUTE(SUBSTITUTE(SUBSTITUTE('Calculations'!HF49,"~","~~"),"*","~*"),"?","~?"),'Calculations'!$HN$13:$HN$512,"="&amp;SUBSTITUTE(SUBSTITUTE(SUBSTITUTE('Dashboard'!$B$7,"~","~~"),"*","~*"),"?","~?"))+COUNTIFS('Calculations'!$IH$13:$IH$512,"="&amp;SUBSTITUTE(SUBSTITUTE(SUBSTITUTE('Calculations'!HF49,"~","~~"),"*","~*"),"?","~?"),'Calculations'!$HN$13:$HN$512,"="&amp;SUBSTITUTE(SUBSTITUTE(SUBSTITUTE('Dashboard'!$B$7,"~","~~"),"*","~*"),"?","~?"))))</x:f>
        <x:v>0</x:v>
      </x:c>
      <x:c r="JD49" t="n">
        <x:f>IF('Calculations'!EM49="",0,IF('Dashboard'!$B$7="All",1,IF('Calculations'!HN49='Dashboard'!$B$7,1,0)+IFERROR(INDEX('Calculations'!$JC$13:$JC$512,MATCH('Calculations'!HE49,'Calculations'!$HF$13:$HF$512,0)),0)))</x:f>
        <x:v>0</x:v>
      </x:c>
      <x:c r="JE49" t="n">
        <x:f>IF(AND('Calculations'!EM49&lt;&gt;"",'Calculations'!$JJ$2&lt;&gt;"All",'Calculations'!$JJ$2&lt;&gt;"",'Calculations'!HF49='Calculations'!$JJ$2,'Calculations'!HL49=0,'Calculations'!JD49&gt;0),MAX('Calculations'!$JE$12:JE48)+1,0)</x:f>
        <x:v>0</x:v>
      </x:c>
      <x:c r="JF49" t="str">
        <x:f>IF('Calculations'!EM49="","",IFERROR(IF(INDEX(INDIRECT("'WCM Calibration Final'!$G$1:$G$2000"),'Calculations'!$EM49)="","",TRIM(INDEX(INDIRECT("'WCM Calibration Final'!$G$1:$G$2000"),'Calculations'!$EM49)&amp;"")),""))</x:f>
      </x:c>
      <x:c r="JQ49" t="n">
        <x:f>IF(OR('Calculations'!BM49=0,NOT('Calculations'!$AG$2),'Calculations'!$AG$8&gt;0),0,IF(OR('Dashboard'!$B$7="All",'Calculations'!HN49='Dashboard'!$B$7),IF('Calculations'!$JJ$2="All",1,IF(AND('Calculations'!HF49='Calculations'!$JJ$2,'Calculations'!HL49=0),1,0)),0))</x:f>
        <x:v>0</x:v>
      </x:c>
    </x:row>
    <x:row r="50">
      <x:c r="AF50" s="4" t="str">
        <x:v>Officer</x:v>
      </x:c>
      <x:c r="AG50" s="4" t="str">
        <x:v>Population</x:v>
      </x:c>
      <x:c r="AH50" s="4" t="str">
        <x:v>Valid</x:v>
      </x:c>
      <x:c r="AI50" s="4" t="str">
        <x:v>Pending</x:v>
      </x:c>
      <x:c r="AJ50" s="4" t="str">
        <x:v>Count 1</x:v>
      </x:c>
      <x:c r="AK50" s="4" t="str">
        <x:v>Count 2</x:v>
      </x:c>
      <x:c r="AL50" s="4" t="str">
        <x:v>Count 3</x:v>
      </x:c>
      <x:c r="AM50" s="4" t="str">
        <x:v>Count 4</x:v>
      </x:c>
      <x:c r="AN50" s="4" t="str"/>
      <x:c r="AO50" s="4" t="str">
        <x:v>Rating 1</x:v>
      </x:c>
      <x:c r="AP50" s="4" t="str">
        <x:v>Rating 2</x:v>
      </x:c>
      <x:c r="AQ50" s="4" t="str">
        <x:v>Rating 3</x:v>
      </x:c>
      <x:c r="AR50" s="4" t="str">
        <x:v>Rating 4</x:v>
      </x:c>
      <x:c r="AS50" s="4"/>
      <x:c r="AT50" s="4"/>
      <x:c r="AU50" s="4"/>
      <x:c r="AV50" s="4"/>
      <x:c r="AW50" s="4"/>
      <x:c r="AX50" s="4"/>
      <x:c r="AY50" s="4"/>
      <x:c r="AZ50" s="4"/>
      <x:c r="BA50" s="4"/>
      <x:c r="BB50" s="4"/>
      <x:c r="BC50" s="4"/>
      <x:c r="BD50" s="4"/>
      <x:c r="BE50" s="4"/>
      <x:c r="BF50" s="4"/>
      <x:c r="BG50" s="4"/>
      <x:c r="BH50" s="4"/>
      <x:c r="BI50" s="4"/>
      <x:c r="BJ50" s="4"/>
      <x:c r="BK50" s="4"/>
      <x:c r="BL50" s="4"/>
      <x:c r="BM50" s="4" t="n">
        <x:f>IF('Calculations'!$EM50="",0,IF(OR(IFERROR(INDEX(INDIRECT("'WCM Calibration Final'!$A$1:$A$2000"),'Calculations'!$EM50)&lt;&gt;"",FALSE),IFERROR(INDEX(INDIRECT("'WCM Calibration Final'!$B$1:$B$2000"),'Calculations'!$EM50)&lt;&gt;"",FALSE),IFERROR(INDEX(INDIRECT("'WCM Calibration Final'!$C$1:$C$2000"),'Calculations'!$EM50)&lt;&gt;"",FALSE)),1,0))</x:f>
        <x:v>0</x:v>
      </x:c>
      <x:c r="BN50" s="4" t="n">
        <x:f>IF(AND('Calculations'!BM50=1,'Calculations'!$AG$2,'Calculations'!$EN50=1),1,0)</x:f>
        <x:v>0</x:v>
      </x:c>
      <x:c r="BO50" s="4" t="str">
        <x:f>IF('Calculations'!BM50=0,"",IFERROR(IF(AND(VALUE(INDEX(INDIRECT("'WCM Calibration Final'!$K$1:$K$2000"),'Calculations'!$EM50))&gt;=1,VALUE(INDEX(INDIRECT("'WCM Calibration Final'!$K$1:$K$2000"),'Calculations'!$EM50))&lt;=4,MOD(VALUE(INDEX(INDIRECT("'WCM Calibration Final'!$K$1:$K$2000"),'Calculations'!$EM50)),1)=0),VALUE(INDEX(INDIRECT("'WCM Calibration Final'!$K$1:$K$2000"),'Calculations'!$EM50)),""),""))</x:f>
      </x:c>
      <x:c r="BP50" s="4" t="str">
        <x:f>IF('Calculations'!BM50=0,"",IFERROR(IF(AND(VALUE(INDEX(INDIRECT("'WCM Calibration Final'!$L$1:$L$2000"),'Calculations'!$EM50))&gt;=1,VALUE(INDEX(INDIRECT("'WCM Calibration Final'!$L$1:$L$2000"),'Calculations'!$EM50))&lt;=4,MOD(VALUE(INDEX(INDIRECT("'WCM Calibration Final'!$L$1:$L$2000"),'Calculations'!$EM50)),1)=0),VALUE(INDEX(INDIRECT("'WCM Calibration Final'!$L$1:$L$2000"),'Calculations'!$EM50)),""),""))</x:f>
      </x:c>
      <x:c r="BQ50" s="4"/>
      <x:c r="BR50" s="4"/>
      <x:c r="BS50" s="4"/>
      <x:c r="BT50" s="4" t="n">
        <x:f>IF(AND('Calculations'!BM50=1,ISNUMBER('Calculations'!BO50),ISNUMBER('Calculations'!BP50)),1,0)</x:f>
        <x:v>0</x:v>
      </x:c>
      <x:c r="BU50" s="4" t="str">
        <x:f>IF('Calculations'!BM50=0,"",'Calculations'!$EO50)</x:f>
      </x:c>
      <x:c r="BV50" s="4" t="str">
        <x:f>IF('Calculations'!BM50=0,"",IFERROR(IF(OR(INDEX(INDIRECT("'WCM Calibration Final'!$H$1:$H$2000"),'Calculations'!$EM50)="MANAGING DIRECTOR",INDEX(INDIRECT("'WCM Calibration Final'!$H$1:$H$2000"),'Calculations'!$EM50)="DIRECTOR",INDEX(INDIRECT("'WCM Calibration Final'!$H$1:$H$2000"),'Calculations'!$EM50)="SENIOR VICE PRESIDENT",INDEX(INDIRECT("'WCM Calibration Final'!$H$1:$H$2000"),'Calculations'!$EM50)="VICE PRESIDENT",INDEX(INDIRECT("'WCM Calibration Final'!$H$1:$H$2000"),'Calculations'!$EM50)="ASSISTANT VICE PRESIDENT",INDEX(INDIRECT("'WCM Calibration Final'!$H$1:$H$2000"),'Calculations'!$EM50)="OFFICER"),UPPER(INDEX(INDIRECT("'WCM Calibration Final'!$H$1:$H$2000"),'Calculations'!$EM50)),"Other"),"Other"))</x:f>
      </x:c>
      <x:c r="BW50" s="4"/>
      <x:c r="BX50" s="4"/>
      <x:c r="BY50" s="4" t="n">
        <x:f>IF(AND('Calculations'!BM50=1,'Calculations'!BU50&lt;&gt;"",COUNTIF('Calculations'!$BU$12:BU50,'Calculations'!BU50)=1),MAX('Calculations'!$BY$11:BY49)+1,0)</x:f>
        <x:v>0</x:v>
      </x:c>
      <x:c r="BZ50" s="4" t="str">
        <x:f>IF('Dashboard'!$E$67="What",'Calculations'!BO50,'Calculations'!BP50)</x:f>
      </x:c>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t="str">
        <x:f>IF(39&gt;MAX('Calculations'!$HI$13:$HI$512),"",INDEX('Calculations'!$HN$13:$HN$512,MATCH(39,'Calculations'!$HI$13:$HI$512,0)))</x:f>
      </x:c>
      <x:c r="DB50" s="4" t="str">
        <x:f>IF(39&gt;MAX('Calculations'!$HH$13:$HH$512),"",INDEX('Calculations'!$HJ$13:$HJ$512,MATCH(39,'Calculations'!$HH$13:$HH$512,0)))</x:f>
      </x:c>
      <x:c r="DC50" s="4" t="str">
        <x:f>IF(ROW()-11&gt;MAX('Calculations'!$BY$13:$BY$512),"",INDEX('Calculations'!$BU$13:$BU$512,MATCH(ROW()-11,'Calculations'!$BY$13:$BY$512,0)))</x:f>
      </x:c>
      <x:c r="DD50" s="4" t="str">
        <x:f>IF(39&gt;MAX('Calculations'!$IK$13:$IK$512),"",INDEX('Calculations'!$HK$13:$HK$512,MATCH(39,'Calculations'!$IK$13:$IK$512,0)))</x:f>
      </x:c>
      <x:c r="DE50" s="4" t="str">
        <x:f>'Calculations'!DC50</x:f>
      </x:c>
      <x:c r="DF50" s="4" t="str">
        <x:f>IF('Calculations'!DE50="","",COUNTIFS('Calculations'!$BN$13:$BN$512,1,'Calculations'!$BU$13:$BU$512,'Calculations'!DE50))</x:f>
      </x:c>
      <x:c r="DG50" s="4" t="str">
        <x:f>IF('Calculations'!DE50="","",COUNTIFS('Calculations'!$BN$13:$BN$512,1,'Calculations'!$BU$13:$BU$512,'Calculations'!DE50,'Calculations'!$BT$13:$BT$512,1))</x:f>
      </x:c>
      <x:c r="DH50" s="4" t="str">
        <x:f>IF('Calculations'!DE50="","",'Calculations'!DF50-'Calculations'!DG50)</x:f>
      </x:c>
      <x:c r="DI50" s="4" t="str">
        <x:f>IF(OR('Calculations'!DE50="",'Calculations'!DF50=0),"",'Calculations'!DG50/'Calculations'!DF50)</x:f>
      </x:c>
      <x:c r="DJ50" s="4" t="str">
        <x:f>IF('Calculations'!DE50="","",COUNTIFS('Calculations'!$BN$13:$BN$512,1,'Calculations'!$BU$13:$BU$512,'Calculations'!DE50,'Calculations'!$BT$13:$BT$512,1,'Calculations'!$EE$13:$EE$512,"High"))</x:f>
      </x:c>
      <x:c r="DK50" s="4" t="str">
        <x:f>IF('Calculations'!DE50="","",COUNTIFS('Calculations'!$BN$13:$BN$512,1,'Calculations'!$BU$13:$BU$512,'Calculations'!DE50,'Calculations'!$BT$13:$BT$512,1,'Calculations'!$EE$13:$EE$512,"Strong"))</x:f>
      </x:c>
      <x:c r="DL50" s="4" t="str">
        <x:f>IF('Calculations'!DE50="","",COUNTIFS('Calculations'!$BN$13:$BN$512,1,'Calculations'!$BU$13:$BU$512,'Calculations'!DE50,'Calculations'!$BT$13:$BT$512,1,'Calculations'!$EE$13:$EE$512,"Solid"))</x:f>
      </x:c>
      <x:c r="DM50" s="4" t="str">
        <x:f>IF('Calculations'!DE50="","",COUNTIFS('Calculations'!$BN$13:$BN$512,1,'Calculations'!$BU$13:$BU$512,'Calculations'!DE50,'Calculations'!$BT$13:$BT$512,1,'Calculations'!$EE$13:$EE$512,"Low"))</x:f>
      </x:c>
      <x:c r="DN50" s="4" t="str">
        <x:f>IF('Calculations'!DE50="","",COUNTIFS('Calculations'!$BN$13:$BN$512,1,'Calculations'!$BU$13:$BU$512,'Calculations'!DE50,'Calculations'!$EP$13:$EP$512,1))</x:f>
      </x:c>
      <x:c r="DO50" s="4" t="str">
        <x:f>IF(OR('Calculations'!DE50="",'Calculations'!DG50=0),"",('Calculations'!DJ50+'Calculations'!DK50)/'Calculations'!DG50)</x:f>
      </x:c>
      <x:c r="DP50" s="4" t="n">
        <x:f>IF(AND('Calculations'!DE50&lt;&gt;"",'Calculations'!DF50&gt;0),COUNTIF('Calculations'!$DF$12:DF50,"&gt;0"),0)</x:f>
        <x:v>0</x:v>
      </x:c>
      <x:c r="DQ50" s="4" t="str">
        <x:f>IF(39&gt;MAX('Calculations'!$HH$13:$HH$512),"",INDEX('Calculations'!$HF$13:$HF$512,MATCH(39,'Calculations'!$HH$13:$HH$512,0)))</x:f>
      </x:c>
      <x:c r="DR50" s="4" t="str">
        <x:f>IF(39&gt;MAX('Calculations'!$IK$13:$IK$512),"",INDEX('Calculations'!$HE$13:$HE$512,MATCH(39,'Calculations'!$IK$13:$IK$512,0)))</x:f>
      </x:c>
      <x:c r="DS50" s="4"/>
      <x:c r="DT50" s="4"/>
      <x:c r="DU50" s="4"/>
      <x:c r="DV50" s="4"/>
      <x:c r="DW50" s="4"/>
      <x:c r="DX50" s="4"/>
      <x:c r="DY50" s="4" t="str">
        <x:f>'Calculations'!AF71</x:f>
        <x:v>1</x:v>
      </x:c>
      <x:c r="DZ50" s="4"/>
      <x:c r="EA50" s="4"/>
      <x:c r="EB50" s="4"/>
      <x:c r="EC50" s="4"/>
      <x:c r="ED50" s="4"/>
      <x:c r="EE50" s="4" t="str">
        <x:f>IF('Calculations'!BT50=0,"Not Rated",IF(OR('Calculations'!BO50&gt;=4,'Calculations'!BP50&gt;=4),"Low",IF('Calculations'!BO50+'Calculations'!BP50&lt;=3,"High",IF('Calculations'!BO50+'Calculations'!BP50&lt;=4,"Strong","Solid"))))</x:f>
        <x:v>Not Rated</x:v>
      </x:c>
      <x:c r="EF50" s="4"/>
      <x:c r="EG50" s="4"/>
      <x:c r="EH50" s="4"/>
      <x:c r="EI50" s="4"/>
      <x:c r="EJ50" s="4"/>
      <x:c r="EK50" s="4"/>
      <x:c r="EL50" s="4"/>
      <x:c r="EM50" s="4" t="str">
        <x:f>IF(38&gt;'Calculations'!$JB$2000,"",INDEX('Calculations'!$JA$12:$JA$2000,MATCH(38,'Calculations'!$JB$12:$JB$2000,0)))</x:f>
      </x:c>
      <x:c r="EN50" s="4" t="n">
        <x:f>IF(OR('Calculations'!EM50="",'Calculations'!$AG$8&gt;0,AND('Calculations'!$EF$2&lt;&gt;"All",'Calculations'!HE50='Calculations'!$EF$2),AND('Calculations'!$EF$3&lt;&gt;"All",'Calculations'!HE50='Calculations'!$EF$3)),0,IF(OR('Dashboard'!$B$7="All",'Calculations'!HN50='Dashboard'!$B$7),IF('Calculations'!$EF$2="All",1,IF('Calculations'!HL50&gt;0,0,IF(COUNTIF('Calculations'!HO50:II50,"="&amp;SUBSTITUTE(SUBSTITUTE(SUBSTITUTE('Calculations'!$EF$2,"~","~~"),"*","~*"),"?","~?"))=0,0,IF('Calculations'!$EF$3="All",1,IF(COUNTIF('Calculations'!HO50:II50,"="&amp;SUBSTITUTE(SUBSTITUTE(SUBSTITUTE('Calculations'!$EF$3,"~","~~"),"*","~*"),"?","~?"))&gt;0,1,0))))),0))</x:f>
        <x:v>0</x:v>
      </x:c>
      <x:c r="EO50" s="4" t="str">
        <x:f>IF('Calculations'!IJ50="","",IF('Calculations'!IJ50="!UNRESOLVED","Unresolved hierarchy",IFERROR(INDEX('Calculations'!$HK$13:$HK$512,MATCH('Calculations'!IJ50,'Calculations'!$HE$13:$HE$512,0)),IFERROR(INDEX('Calculations'!$HJ$13:$HJ$512,MATCH('Calculations'!IJ50,'Calculations'!$HF$13:$HF$512,0)),'Calculations'!IJ50))))</x:f>
      </x:c>
      <x:c r="EP50" s="4" t="n">
        <x:f>IF(AND('Calculations'!EM50&lt;&gt;"",'Calculations'!HF50='Calculations'!IJ50),1,0)</x:f>
        <x:v>0</x:v>
      </x:c>
      <x:c r="EQ50" s="4"/>
      <x:c r="ER50" s="4"/>
      <x:c r="ES50" s="4"/>
      <x:c r="ET50" s="4"/>
      <x:c r="EU50" s="4"/>
      <x:c r="EV50" s="4"/>
      <x:c r="EW50" s="4"/>
      <x:c r="EX50" s="4"/>
      <x:c r="EY50" s="4"/>
      <x:c r="EZ50" s="4"/>
      <x:c r="FA50" s="4"/>
      <x:c r="FB50" s="4"/>
      <x:c r="FC50" s="4"/>
      <x:c r="FD50" s="4"/>
      <x:c r="FE50" s="4"/>
      <x:c r="FF50" s="4"/>
      <x:c r="FG50" s="4"/>
      <x:c r="FH50" s="4"/>
      <x:c r="FI50" s="4"/>
      <x:c r="FJ50" s="4"/>
      <x:c r="FK50" s="4"/>
      <x:c r="FL50" s="4"/>
      <x:c r="FM50" s="4"/>
      <x:c r="FN50" s="4"/>
      <x:c r="FO50" s="4"/>
      <x:c r="GA50" s="71"/>
      <x:c r="GB50" s="71"/>
      <x:c r="GC50" s="71"/>
      <x:c r="GD50" s="71"/>
      <x:c r="GE50" s="71"/>
      <x:c r="GF50" s="71"/>
      <x:c r="GG50" s="71"/>
      <x:c r="GH50" s="71"/>
      <x:c r="GI50" s="71"/>
      <x:c r="GJ50" s="71"/>
      <x:c r="GK50" s="71"/>
      <x:c r="GL50" s="71"/>
      <x:c r="GM50" s="71"/>
      <x:c r="GN50" s="71"/>
      <x:c r="GO50" s="71"/>
      <x:c r="GP50" s="71"/>
      <x:c r="GQ50" s="71"/>
      <x:c r="GR50" s="71"/>
      <x:c r="GS50" s="71"/>
      <x:c r="GT50" s="71"/>
      <x:c r="GU50" s="71"/>
      <x:c r="GV50" s="71"/>
      <x:c r="GW50" s="71"/>
      <x:c r="GX50" s="71"/>
      <x:c r="GY50" s="71"/>
      <x:c r="GZ50" s="71"/>
      <x:c r="HA50" s="71"/>
      <x:c r="HB50" s="71"/>
      <x:c r="HC50" s="71"/>
      <x:c r="HD50" s="71"/>
      <x:c r="HE50" t="str">
        <x:f>IF('Calculations'!EM50="","",IF(IFERROR(IF(INDEX(INDIRECT("'WCM Calibration Final'!$A$1:$A$2000"),'Calculations'!$EM50)="","",TRIM(INDEX(INDIRECT("'WCM Calibration Final'!$A$1:$A$2000"),'Calculations'!$EM50)&amp;"")),"")&lt;&gt;"","G:"&amp;IFERROR(TEXT(1*INDEX(INDIRECT("'WCM Calibration Final'!$A$1:$A$2000"),'Calculations'!$EM50),"0"),UPPER(IFERROR(IF(INDEX(INDIRECT("'WCM Calibration Final'!$A$1:$A$2000"),'Calculations'!$EM50)="","",TRIM(INDEX(INDIRECT("'WCM Calibration Final'!$A$1:$A$2000"),'Calculations'!$EM50)&amp;"")),""))),IF(IFERROR(IF(INDEX(INDIRECT("'WCM Calibration Final'!$C$1:$C$2000"),'Calculations'!$EM50)="","",TRIM(INDEX(INDIRECT("'WCM Calibration Final'!$C$1:$C$2000"),'Calculations'!$EM50)&amp;"")),"")&lt;&gt;"","S:"&amp;UPPER(IFERROR(IF(INDEX(INDIRECT("'WCM Calibration Final'!$C$1:$C$2000"),'Calculations'!$EM50)="","",TRIM(INDEX(INDIRECT("'WCM Calibration Final'!$C$1:$C$2000"),'Calculations'!$EM50)&amp;"")),"")),"R:"&amp;'Calculations'!EM50)))</x:f>
      </x:c>
      <x:c r="HF50" t="str">
        <x:f>IF('Calculations'!EM50="","",IF(IFERROR(IF(INDEX(INDIRECT("'WCM Calibration Final'!$D$1:$D$2000"),'Calculations'!$EM50)="","",TRIM(INDEX(INDIRECT("'WCM Calibration Final'!$D$1:$D$2000"),'Calculations'!$EM50)&amp;"")),"")&lt;&gt;"","G:"&amp;IFERROR(TEXT(1*INDEX(INDIRECT("'WCM Calibration Final'!$D$1:$D$2000"),'Calculations'!$EM50),"0"),UPPER(IFERROR(IF(INDEX(INDIRECT("'WCM Calibration Final'!$D$1:$D$2000"),'Calculations'!$EM50)="","",TRIM(INDEX(INDIRECT("'WCM Calibration Final'!$D$1:$D$2000"),'Calculations'!$EM50)&amp;"")),""))),IF(IFERROR(IF(INDEX(INDIRECT("'WCM Calibration Final'!$E$1:$E$2000"),'Calculations'!$EM50)="","",TRIM(INDEX(INDIRECT("'WCM Calibration Final'!$E$1:$E$2000"),'Calculations'!$EM50)&amp;"")),"")="","",IF(COUNTIF('Calculations'!$HG$13:$HG$512,"="&amp;SUBSTITUTE(SUBSTITUTE(SUBSTITUTE(IFERROR(IF(INDEX(INDIRECT("'WCM Calibration Final'!$E$1:$E$2000"),'Calculations'!$EM50)="","",TRIM(INDEX(INDIRECT("'WCM Calibration Final'!$E$1:$E$2000"),'Calculations'!$EM50)&amp;"")),""),"~","~~"),"*","~*"),"?","~?"))=1,INDEX('Calculations'!$HE$13:$HE$512,MATCH(IFERROR(IF(INDEX(INDIRECT("'WCM Calibration Final'!$E$1:$E$2000"),'Calculations'!$EM50)="","",TRIM(INDEX(INDIRECT("'WCM Calibration Final'!$E$1:$E$2000"),'Calculations'!$EM50)&amp;"")),""),'Calculations'!$HG$13:$HG$512,0)),IF(COUNTIF('Calculations'!$HG$13:$HG$512,"="&amp;SUBSTITUTE(SUBSTITUTE(SUBSTITUTE(IFERROR(IF(INDEX(INDIRECT("'WCM Calibration Final'!$E$1:$E$2000"),'Calculations'!$EM50)="","",TRIM(INDEX(INDIRECT("'WCM Calibration Final'!$E$1:$E$2000"),'Calculations'!$EM50)&amp;"")),""),"~","~~"),"*","~*"),"?","~?"))&gt;1,"!AMBIG","X:"&amp;IFERROR(IF(INDEX(INDIRECT("'WCM Calibration Final'!$E$1:$E$2000"),'Calculations'!$EM50)="","",TRIM(INDEX(INDIRECT("'WCM Calibration Final'!$E$1:$E$2000"),'Calculations'!$EM50)&amp;"")),""))))))</x:f>
      </x:c>
      <x:c r="HG50" t="str">
        <x:f>IF('Calculations'!EM50="","",IFERROR(IF(INDEX(INDIRECT("'WCM Calibration Final'!$B$1:$B$2000"),'Calculations'!$EM50)="","",TRIM(INDEX(INDIRECT("'WCM Calibration Final'!$B$1:$B$2000"),'Calculations'!$EM50)&amp;"")),""))</x:f>
      </x:c>
      <x:c r="HH50" t="n">
        <x:f>IF(AND('Calculations'!JC50&gt;0,COUNTIF('Calculations'!$HF$12:HF50,"="&amp;SUBSTITUTE(SUBSTITUTE(SUBSTITUTE('Calculations'!HF50,"~","~~"),"*","~*"),"?","~?"))=1),MAX('Calculations'!$HH$12:HH49)+1,0)</x:f>
        <x:v>0</x:v>
      </x:c>
      <x:c r="HI50" t="n">
        <x:f>IF(AND('Calculations'!HN50&lt;&gt;"",COUNTIF('Calculations'!$HN$12:HN50,"="&amp;SUBSTITUTE(SUBSTITUTE(SUBSTITUTE('Calculations'!HN50,"~","~~"),"*","~*"),"?","~?"))=1),MAX('Calculations'!$HI$12:HI49)+1,0)</x:f>
        <x:v>0</x:v>
      </x:c>
      <x:c r="HJ50" t="str">
        <x:f>IF('Calculations'!HF50="","",IF(COUNTIF('Calculations'!$HE$13:$HE$512,"="&amp;SUBSTITUTE(SUBSTITUTE(SUBSTITUTE('Calculations'!HF50,"~","~~"),"*","~*"),"?","~?"))=1,INDEX('Calculations'!$HK$13:$HK$512,MATCH('Calculations'!HF50,'Calculations'!$HE$13:$HE$512,0)),IFERROR(IF(INDEX(INDIRECT("'WCM Calibration Final'!$E$1:$E$2000"),'Calculations'!$EM50)="","",TRIM(INDEX(INDIRECT("'WCM Calibration Final'!$E$1:$E$2000"),'Calculations'!$EM50)&amp;"")),"")&amp;" ["&amp;'Calculations'!HF50&amp;"]"))</x:f>
      </x:c>
      <x:c r="HK50" t="str">
        <x:f>IF('Calculations'!EM50="","",'Calculations'!HG50&amp;" ["&amp;'Calculations'!HE50&amp;"]")</x:f>
      </x:c>
      <x:c r="HL50" t="n">
        <x:f>IF('Calculations'!EM50="",0,IF(OR('Calculations'!II50&lt;&gt;"",COUNTIF('Calculations'!$HE$13:$HE$512,"="&amp;SUBSTITUTE(SUBSTITUTE(SUBSTITUTE('Calculations'!HE50,"~","~~"),"*","~*"),"?","~?"))&gt;1),1,0))</x:f>
        <x:v>0</x:v>
      </x:c>
      <x:c r="HM50" t="str">
        <x:f>IF('Calculations'!EM50="","",IF('Calculations'!HL50=1,"!UNRESOLVED",IF('Calculations'!IH50&lt;&gt;"",'Calculations'!IH50,IF('Calculations'!IG50&lt;&gt;"",'Calculations'!IG50,IF('Calculations'!IF50&lt;&gt;"",'Calculations'!IF50,IF('Calculations'!IE50&lt;&gt;"",'Calculations'!IE50,IF('Calculations'!ID50&lt;&gt;"",'Calculations'!ID50,IF('Calculations'!IC50&lt;&gt;"",'Calculations'!IC50,IF('Calculations'!IB50&lt;&gt;"",'Calculations'!IB50,IF('Calculations'!IA50&lt;&gt;"",'Calculations'!IA50,IF('Calculations'!HZ50&lt;&gt;"",'Calculations'!HZ50,IF('Calculations'!HY50&lt;&gt;"",'Calculations'!HY50,IF('Calculations'!HX50&lt;&gt;"",'Calculations'!HX50,IF('Calculations'!HW50&lt;&gt;"",'Calculations'!HW50,IF('Calculations'!HV50&lt;&gt;"",'Calculations'!HV50,IF('Calculations'!HU50&lt;&gt;"",'Calculations'!HU50,IF('Calculations'!HT50&lt;&gt;"",'Calculations'!HT50,IF('Calculations'!HS50&lt;&gt;"",'Calculations'!HS50,IF('Calculations'!HR50&lt;&gt;"",'Calculations'!HR50,IF('Calculations'!HQ50&lt;&gt;"",'Calculations'!HQ50,IF('Calculations'!HP50&lt;&gt;"",'Calculations'!HP50,IF('Calculations'!HO50&lt;&gt;"",'Calculations'!HO50,'Calculations'!HE50))))))))))))))))))))))</x:f>
      </x:c>
      <x:c r="HN50" t="str">
        <x:f>IF('Calculations'!EM50="","",IF(IFERROR(IF(INDEX(INDIRECT("'WCM Calibration Final'!$F$1:$F$2000"),'Calculations'!$EM50)="","",TRIM(INDEX(INDIRECT("'WCM Calibration Final'!$F$1:$F$2000"),'Calculations'!$EM50)&amp;"")),"")="","(Blank)",IFERROR(IF(INDEX(INDIRECT("'WCM Calibration Final'!$F$1:$F$2000"),'Calculations'!$EM50)="","",TRIM(INDEX(INDIRECT("'WCM Calibration Final'!$F$1:$F$2000"),'Calculations'!$EM50)&amp;"")),"")))</x:f>
      </x:c>
      <x:c r="HO50" t="str">
        <x:f>'Calculations'!HF50</x:f>
      </x:c>
      <x:c r="HP50" t="str">
        <x:f>IF('Calculations'!HO50="","",IF('Calculations'!HO50="!AMBIG","!AMBIG",IF(COUNTIF('Calculations'!$HE$13:$HE$512,"="&amp;SUBSTITUTE(SUBSTITUTE(SUBSTITUTE('Calculations'!HO50,"~","~~"),"*","~*"),"?","~?"))&gt;1,"!AMBIG",IFERROR(INDEX('Calculations'!$HF$13:$HF$512,MATCH('Calculations'!HO50,'Calculations'!$HE$13:$HE$512,0)),""))))</x:f>
      </x:c>
      <x:c r="HQ50" t="str">
        <x:f>IF('Calculations'!HP50="","",IF('Calculations'!HP50="!AMBIG","!AMBIG",IF(COUNTIF('Calculations'!$HE$13:$HE$512,"="&amp;SUBSTITUTE(SUBSTITUTE(SUBSTITUTE('Calculations'!HP50,"~","~~"),"*","~*"),"?","~?"))&gt;1,"!AMBIG",IFERROR(INDEX('Calculations'!$HF$13:$HF$512,MATCH('Calculations'!HP50,'Calculations'!$HE$13:$HE$512,0)),""))))</x:f>
      </x:c>
      <x:c r="HR50" t="str">
        <x:f>IF('Calculations'!HQ50="","",IF('Calculations'!HQ50="!AMBIG","!AMBIG",IF(COUNTIF('Calculations'!$HE$13:$HE$512,"="&amp;SUBSTITUTE(SUBSTITUTE(SUBSTITUTE('Calculations'!HQ50,"~","~~"),"*","~*"),"?","~?"))&gt;1,"!AMBIG",IFERROR(INDEX('Calculations'!$HF$13:$HF$512,MATCH('Calculations'!HQ50,'Calculations'!$HE$13:$HE$512,0)),""))))</x:f>
      </x:c>
      <x:c r="HS50" t="str">
        <x:f>IF('Calculations'!HR50="","",IF('Calculations'!HR50="!AMBIG","!AMBIG",IF(COUNTIF('Calculations'!$HE$13:$HE$512,"="&amp;SUBSTITUTE(SUBSTITUTE(SUBSTITUTE('Calculations'!HR50,"~","~~"),"*","~*"),"?","~?"))&gt;1,"!AMBIG",IFERROR(INDEX('Calculations'!$HF$13:$HF$512,MATCH('Calculations'!HR50,'Calculations'!$HE$13:$HE$512,0)),""))))</x:f>
      </x:c>
      <x:c r="HT50" t="str">
        <x:f>IF('Calculations'!HS50="","",IF('Calculations'!HS50="!AMBIG","!AMBIG",IF(COUNTIF('Calculations'!$HE$13:$HE$512,"="&amp;SUBSTITUTE(SUBSTITUTE(SUBSTITUTE('Calculations'!HS50,"~","~~"),"*","~*"),"?","~?"))&gt;1,"!AMBIG",IFERROR(INDEX('Calculations'!$HF$13:$HF$512,MATCH('Calculations'!HS50,'Calculations'!$HE$13:$HE$512,0)),""))))</x:f>
      </x:c>
      <x:c r="HU50" t="str">
        <x:f>IF('Calculations'!HT50="","",IF('Calculations'!HT50="!AMBIG","!AMBIG",IF(COUNTIF('Calculations'!$HE$13:$HE$512,"="&amp;SUBSTITUTE(SUBSTITUTE(SUBSTITUTE('Calculations'!HT50,"~","~~"),"*","~*"),"?","~?"))&gt;1,"!AMBIG",IFERROR(INDEX('Calculations'!$HF$13:$HF$512,MATCH('Calculations'!HT50,'Calculations'!$HE$13:$HE$512,0)),""))))</x:f>
      </x:c>
      <x:c r="HV50" t="str">
        <x:f>IF('Calculations'!HU50="","",IF('Calculations'!HU50="!AMBIG","!AMBIG",IF(COUNTIF('Calculations'!$HE$13:$HE$512,"="&amp;SUBSTITUTE(SUBSTITUTE(SUBSTITUTE('Calculations'!HU50,"~","~~"),"*","~*"),"?","~?"))&gt;1,"!AMBIG",IFERROR(INDEX('Calculations'!$HF$13:$HF$512,MATCH('Calculations'!HU50,'Calculations'!$HE$13:$HE$512,0)),""))))</x:f>
      </x:c>
      <x:c r="HW50" t="str">
        <x:f>IF('Calculations'!HV50="","",IF('Calculations'!HV50="!AMBIG","!AMBIG",IF(COUNTIF('Calculations'!$HE$13:$HE$512,"="&amp;SUBSTITUTE(SUBSTITUTE(SUBSTITUTE('Calculations'!HV50,"~","~~"),"*","~*"),"?","~?"))&gt;1,"!AMBIG",IFERROR(INDEX('Calculations'!$HF$13:$HF$512,MATCH('Calculations'!HV50,'Calculations'!$HE$13:$HE$512,0)),""))))</x:f>
      </x:c>
      <x:c r="HX50" t="str">
        <x:f>IF('Calculations'!HW50="","",IF('Calculations'!HW50="!AMBIG","!AMBIG",IF(COUNTIF('Calculations'!$HE$13:$HE$512,"="&amp;SUBSTITUTE(SUBSTITUTE(SUBSTITUTE('Calculations'!HW50,"~","~~"),"*","~*"),"?","~?"))&gt;1,"!AMBIG",IFERROR(INDEX('Calculations'!$HF$13:$HF$512,MATCH('Calculations'!HW50,'Calculations'!$HE$13:$HE$512,0)),""))))</x:f>
      </x:c>
      <x:c r="HY50" t="str">
        <x:f>IF('Calculations'!HX50="","",IF('Calculations'!HX50="!AMBIG","!AMBIG",IF(COUNTIF('Calculations'!$HE$13:$HE$512,"="&amp;SUBSTITUTE(SUBSTITUTE(SUBSTITUTE('Calculations'!HX50,"~","~~"),"*","~*"),"?","~?"))&gt;1,"!AMBIG",IFERROR(INDEX('Calculations'!$HF$13:$HF$512,MATCH('Calculations'!HX50,'Calculations'!$HE$13:$HE$512,0)),""))))</x:f>
      </x:c>
      <x:c r="HZ50" t="str">
        <x:f>IF('Calculations'!HY50="","",IF('Calculations'!HY50="!AMBIG","!AMBIG",IF(COUNTIF('Calculations'!$HE$13:$HE$512,"="&amp;SUBSTITUTE(SUBSTITUTE(SUBSTITUTE('Calculations'!HY50,"~","~~"),"*","~*"),"?","~?"))&gt;1,"!AMBIG",IFERROR(INDEX('Calculations'!$HF$13:$HF$512,MATCH('Calculations'!HY50,'Calculations'!$HE$13:$HE$512,0)),""))))</x:f>
      </x:c>
      <x:c r="IA50" t="str">
        <x:f>IF('Calculations'!HZ50="","",IF('Calculations'!HZ50="!AMBIG","!AMBIG",IF(COUNTIF('Calculations'!$HE$13:$HE$512,"="&amp;SUBSTITUTE(SUBSTITUTE(SUBSTITUTE('Calculations'!HZ50,"~","~~"),"*","~*"),"?","~?"))&gt;1,"!AMBIG",IFERROR(INDEX('Calculations'!$HF$13:$HF$512,MATCH('Calculations'!HZ50,'Calculations'!$HE$13:$HE$512,0)),""))))</x:f>
      </x:c>
      <x:c r="IB50" t="str">
        <x:f>IF('Calculations'!IA50="","",IF('Calculations'!IA50="!AMBIG","!AMBIG",IF(COUNTIF('Calculations'!$HE$13:$HE$512,"="&amp;SUBSTITUTE(SUBSTITUTE(SUBSTITUTE('Calculations'!IA50,"~","~~"),"*","~*"),"?","~?"))&gt;1,"!AMBIG",IFERROR(INDEX('Calculations'!$HF$13:$HF$512,MATCH('Calculations'!IA50,'Calculations'!$HE$13:$HE$512,0)),""))))</x:f>
      </x:c>
      <x:c r="IC50" t="str">
        <x:f>IF('Calculations'!IB50="","",IF('Calculations'!IB50="!AMBIG","!AMBIG",IF(COUNTIF('Calculations'!$HE$13:$HE$512,"="&amp;SUBSTITUTE(SUBSTITUTE(SUBSTITUTE('Calculations'!IB50,"~","~~"),"*","~*"),"?","~?"))&gt;1,"!AMBIG",IFERROR(INDEX('Calculations'!$HF$13:$HF$512,MATCH('Calculations'!IB50,'Calculations'!$HE$13:$HE$512,0)),""))))</x:f>
      </x:c>
      <x:c r="ID50" t="str">
        <x:f>IF('Calculations'!IC50="","",IF('Calculations'!IC50="!AMBIG","!AMBIG",IF(COUNTIF('Calculations'!$HE$13:$HE$512,"="&amp;SUBSTITUTE(SUBSTITUTE(SUBSTITUTE('Calculations'!IC50,"~","~~"),"*","~*"),"?","~?"))&gt;1,"!AMBIG",IFERROR(INDEX('Calculations'!$HF$13:$HF$512,MATCH('Calculations'!IC50,'Calculations'!$HE$13:$HE$512,0)),""))))</x:f>
      </x:c>
      <x:c r="IE50" t="str">
        <x:f>IF('Calculations'!ID50="","",IF('Calculations'!ID50="!AMBIG","!AMBIG",IF(COUNTIF('Calculations'!$HE$13:$HE$512,"="&amp;SUBSTITUTE(SUBSTITUTE(SUBSTITUTE('Calculations'!ID50,"~","~~"),"*","~*"),"?","~?"))&gt;1,"!AMBIG",IFERROR(INDEX('Calculations'!$HF$13:$HF$512,MATCH('Calculations'!ID50,'Calculations'!$HE$13:$HE$512,0)),""))))</x:f>
      </x:c>
      <x:c r="IF50" t="str">
        <x:f>IF('Calculations'!IE50="","",IF('Calculations'!IE50="!AMBIG","!AMBIG",IF(COUNTIF('Calculations'!$HE$13:$HE$512,"="&amp;SUBSTITUTE(SUBSTITUTE(SUBSTITUTE('Calculations'!IE50,"~","~~"),"*","~*"),"?","~?"))&gt;1,"!AMBIG",IFERROR(INDEX('Calculations'!$HF$13:$HF$512,MATCH('Calculations'!IE50,'Calculations'!$HE$13:$HE$512,0)),""))))</x:f>
      </x:c>
      <x:c r="IG50" t="str">
        <x:f>IF('Calculations'!IF50="","",IF('Calculations'!IF50="!AMBIG","!AMBIG",IF(COUNTIF('Calculations'!$HE$13:$HE$512,"="&amp;SUBSTITUTE(SUBSTITUTE(SUBSTITUTE('Calculations'!IF50,"~","~~"),"*","~*"),"?","~?"))&gt;1,"!AMBIG",IFERROR(INDEX('Calculations'!$HF$13:$HF$512,MATCH('Calculations'!IF50,'Calculations'!$HE$13:$HE$512,0)),""))))</x:f>
      </x:c>
      <x:c r="IH50" t="str">
        <x:f>IF('Calculations'!IG50="","",IF('Calculations'!IG50="!AMBIG","!AMBIG",IF(COUNTIF('Calculations'!$HE$13:$HE$512,"="&amp;SUBSTITUTE(SUBSTITUTE(SUBSTITUTE('Calculations'!IG50,"~","~~"),"*","~*"),"?","~?"))&gt;1,"!AMBIG",IFERROR(INDEX('Calculations'!$HF$13:$HF$512,MATCH('Calculations'!IG50,'Calculations'!$HE$13:$HE$512,0)),""))))</x:f>
      </x:c>
      <x:c r="II50" t="str">
        <x:f>IF('Calculations'!IH50="","",IF('Calculations'!IH50="!AMBIG","!AMBIG",IF(COUNTIF('Calculations'!$HE$13:$HE$512,"="&amp;SUBSTITUTE(SUBSTITUTE(SUBSTITUTE('Calculations'!IH50,"~","~~"),"*","~*"),"?","~?"))&gt;1,"!AMBIG",IFERROR(INDEX('Calculations'!$HF$13:$HF$512,MATCH('Calculations'!IH50,'Calculations'!$HE$13:$HE$512,0)),""))))</x:f>
      </x:c>
      <x:c r="IJ50" t="str">
        <x:f>IF('Calculations'!EM50="","",IF('Calculations'!$EF$2="All",'Calculations'!HM50,IF('Calculations'!HL50=1,"",IFERROR(IF(MATCH('Calculations'!$EF$2,'Calculations'!HO50:II50,0)=1,'Calculations'!HE50,INDEX('Calculations'!HO50:II50,1,MATCH('Calculations'!$EF$2,'Calculations'!HO50:II50,0)-1)),""))))</x:f>
      </x:c>
      <x:c r="IK50" t="n">
        <x:f>IF(AND('Calculations'!EM50&lt;&gt;"",'Calculations'!$EF$2&lt;&gt;"All",'Calculations'!HF50='Calculations'!$EF$2,'Calculations'!HL50=0,'Calculations'!JD50&gt;0),MAX('Calculations'!$IK$12:IK49)+1,0)</x:f>
        <x:v>0</x:v>
      </x:c>
      <x:c r="JA50" t="n">
        <x:f>IF(OR(IFERROR(INDIRECT("'WCM Calibration Final'!$A$50")&lt;&gt;"",FALSE),IFERROR(INDIRECT("'WCM Calibration Final'!$B$50")&lt;&gt;"",FALSE),IFERROR(INDIRECT("'WCM Calibration Final'!$C$50")&lt;&gt;"",FALSE)),50,0)</x:f>
        <x:v>0</x:v>
      </x:c>
      <x:c r="JB50" t="n">
        <x:f>'Calculations'!JB49+IF('Calculations'!JA50&gt;0,1,0)</x:f>
        <x:v>0</x:v>
      </x:c>
      <x:c r="JC50" t="n">
        <x:f>IF(OR('Calculations'!HF50="",'Calculations'!HF50="!AMBIG"),0,IF('Dashboard'!$B$7="All",1,COUNTIFS('Calculations'!$HO$13:$HO$512,"="&amp;SUBSTITUTE(SUBSTITUTE(SUBSTITUTE('Calculations'!HF50,"~","~~"),"*","~*"),"?","~?"),'Calculations'!$HN$13:$HN$512,"="&amp;SUBSTITUTE(SUBSTITUTE(SUBSTITUTE('Dashboard'!$B$7,"~","~~"),"*","~*"),"?","~?"))+COUNTIFS('Calculations'!$HP$13:$HP$512,"="&amp;SUBSTITUTE(SUBSTITUTE(SUBSTITUTE('Calculations'!HF50,"~","~~"),"*","~*"),"?","~?"),'Calculations'!$HN$13:$HN$512,"="&amp;SUBSTITUTE(SUBSTITUTE(SUBSTITUTE('Dashboard'!$B$7,"~","~~"),"*","~*"),"?","~?"))+COUNTIFS('Calculations'!$HQ$13:$HQ$512,"="&amp;SUBSTITUTE(SUBSTITUTE(SUBSTITUTE('Calculations'!HF50,"~","~~"),"*","~*"),"?","~?"),'Calculations'!$HN$13:$HN$512,"="&amp;SUBSTITUTE(SUBSTITUTE(SUBSTITUTE('Dashboard'!$B$7,"~","~~"),"*","~*"),"?","~?"))+COUNTIFS('Calculations'!$HR$13:$HR$512,"="&amp;SUBSTITUTE(SUBSTITUTE(SUBSTITUTE('Calculations'!HF50,"~","~~"),"*","~*"),"?","~?"),'Calculations'!$HN$13:$HN$512,"="&amp;SUBSTITUTE(SUBSTITUTE(SUBSTITUTE('Dashboard'!$B$7,"~","~~"),"*","~*"),"?","~?"))+COUNTIFS('Calculations'!$HS$13:$HS$512,"="&amp;SUBSTITUTE(SUBSTITUTE(SUBSTITUTE('Calculations'!HF50,"~","~~"),"*","~*"),"?","~?"),'Calculations'!$HN$13:$HN$512,"="&amp;SUBSTITUTE(SUBSTITUTE(SUBSTITUTE('Dashboard'!$B$7,"~","~~"),"*","~*"),"?","~?"))+COUNTIFS('Calculations'!$HT$13:$HT$512,"="&amp;SUBSTITUTE(SUBSTITUTE(SUBSTITUTE('Calculations'!HF50,"~","~~"),"*","~*"),"?","~?"),'Calculations'!$HN$13:$HN$512,"="&amp;SUBSTITUTE(SUBSTITUTE(SUBSTITUTE('Dashboard'!$B$7,"~","~~"),"*","~*"),"?","~?"))+COUNTIFS('Calculations'!$HU$13:$HU$512,"="&amp;SUBSTITUTE(SUBSTITUTE(SUBSTITUTE('Calculations'!HF50,"~","~~"),"*","~*"),"?","~?"),'Calculations'!$HN$13:$HN$512,"="&amp;SUBSTITUTE(SUBSTITUTE(SUBSTITUTE('Dashboard'!$B$7,"~","~~"),"*","~*"),"?","~?"))+COUNTIFS('Calculations'!$HV$13:$HV$512,"="&amp;SUBSTITUTE(SUBSTITUTE(SUBSTITUTE('Calculations'!HF50,"~","~~"),"*","~*"),"?","~?"),'Calculations'!$HN$13:$HN$512,"="&amp;SUBSTITUTE(SUBSTITUTE(SUBSTITUTE('Dashboard'!$B$7,"~","~~"),"*","~*"),"?","~?"))+COUNTIFS('Calculations'!$HW$13:$HW$512,"="&amp;SUBSTITUTE(SUBSTITUTE(SUBSTITUTE('Calculations'!HF50,"~","~~"),"*","~*"),"?","~?"),'Calculations'!$HN$13:$HN$512,"="&amp;SUBSTITUTE(SUBSTITUTE(SUBSTITUTE('Dashboard'!$B$7,"~","~~"),"*","~*"),"?","~?"))+COUNTIFS('Calculations'!$HX$13:$HX$512,"="&amp;SUBSTITUTE(SUBSTITUTE(SUBSTITUTE('Calculations'!HF50,"~","~~"),"*","~*"),"?","~?"),'Calculations'!$HN$13:$HN$512,"="&amp;SUBSTITUTE(SUBSTITUTE(SUBSTITUTE('Dashboard'!$B$7,"~","~~"),"*","~*"),"?","~?"))+COUNTIFS('Calculations'!$HY$13:$HY$512,"="&amp;SUBSTITUTE(SUBSTITUTE(SUBSTITUTE('Calculations'!HF50,"~","~~"),"*","~*"),"?","~?"),'Calculations'!$HN$13:$HN$512,"="&amp;SUBSTITUTE(SUBSTITUTE(SUBSTITUTE('Dashboard'!$B$7,"~","~~"),"*","~*"),"?","~?"))+COUNTIFS('Calculations'!$HZ$13:$HZ$512,"="&amp;SUBSTITUTE(SUBSTITUTE(SUBSTITUTE('Calculations'!HF50,"~","~~"),"*","~*"),"?","~?"),'Calculations'!$HN$13:$HN$512,"="&amp;SUBSTITUTE(SUBSTITUTE(SUBSTITUTE('Dashboard'!$B$7,"~","~~"),"*","~*"),"?","~?"))+COUNTIFS('Calculations'!$IA$13:$IA$512,"="&amp;SUBSTITUTE(SUBSTITUTE(SUBSTITUTE('Calculations'!HF50,"~","~~"),"*","~*"),"?","~?"),'Calculations'!$HN$13:$HN$512,"="&amp;SUBSTITUTE(SUBSTITUTE(SUBSTITUTE('Dashboard'!$B$7,"~","~~"),"*","~*"),"?","~?"))+COUNTIFS('Calculations'!$IB$13:$IB$512,"="&amp;SUBSTITUTE(SUBSTITUTE(SUBSTITUTE('Calculations'!HF50,"~","~~"),"*","~*"),"?","~?"),'Calculations'!$HN$13:$HN$512,"="&amp;SUBSTITUTE(SUBSTITUTE(SUBSTITUTE('Dashboard'!$B$7,"~","~~"),"*","~*"),"?","~?"))+COUNTIFS('Calculations'!$IC$13:$IC$512,"="&amp;SUBSTITUTE(SUBSTITUTE(SUBSTITUTE('Calculations'!HF50,"~","~~"),"*","~*"),"?","~?"),'Calculations'!$HN$13:$HN$512,"="&amp;SUBSTITUTE(SUBSTITUTE(SUBSTITUTE('Dashboard'!$B$7,"~","~~"),"*","~*"),"?","~?"))+COUNTIFS('Calculations'!$ID$13:$ID$512,"="&amp;SUBSTITUTE(SUBSTITUTE(SUBSTITUTE('Calculations'!HF50,"~","~~"),"*","~*"),"?","~?"),'Calculations'!$HN$13:$HN$512,"="&amp;SUBSTITUTE(SUBSTITUTE(SUBSTITUTE('Dashboard'!$B$7,"~","~~"),"*","~*"),"?","~?"))+COUNTIFS('Calculations'!$IE$13:$IE$512,"="&amp;SUBSTITUTE(SUBSTITUTE(SUBSTITUTE('Calculations'!HF50,"~","~~"),"*","~*"),"?","~?"),'Calculations'!$HN$13:$HN$512,"="&amp;SUBSTITUTE(SUBSTITUTE(SUBSTITUTE('Dashboard'!$B$7,"~","~~"),"*","~*"),"?","~?"))+COUNTIFS('Calculations'!$IF$13:$IF$512,"="&amp;SUBSTITUTE(SUBSTITUTE(SUBSTITUTE('Calculations'!HF50,"~","~~"),"*","~*"),"?","~?"),'Calculations'!$HN$13:$HN$512,"="&amp;SUBSTITUTE(SUBSTITUTE(SUBSTITUTE('Dashboard'!$B$7,"~","~~"),"*","~*"),"?","~?"))+COUNTIFS('Calculations'!$IG$13:$IG$512,"="&amp;SUBSTITUTE(SUBSTITUTE(SUBSTITUTE('Calculations'!HF50,"~","~~"),"*","~*"),"?","~?"),'Calculations'!$HN$13:$HN$512,"="&amp;SUBSTITUTE(SUBSTITUTE(SUBSTITUTE('Dashboard'!$B$7,"~","~~"),"*","~*"),"?","~?"))+COUNTIFS('Calculations'!$IH$13:$IH$512,"="&amp;SUBSTITUTE(SUBSTITUTE(SUBSTITUTE('Calculations'!HF50,"~","~~"),"*","~*"),"?","~?"),'Calculations'!$HN$13:$HN$512,"="&amp;SUBSTITUTE(SUBSTITUTE(SUBSTITUTE('Dashboard'!$B$7,"~","~~"),"*","~*"),"?","~?"))))</x:f>
        <x:v>0</x:v>
      </x:c>
      <x:c r="JD50" t="n">
        <x:f>IF('Calculations'!EM50="",0,IF('Dashboard'!$B$7="All",1,IF('Calculations'!HN50='Dashboard'!$B$7,1,0)+IFERROR(INDEX('Calculations'!$JC$13:$JC$512,MATCH('Calculations'!HE50,'Calculations'!$HF$13:$HF$512,0)),0)))</x:f>
        <x:v>0</x:v>
      </x:c>
      <x:c r="JE50" t="n">
        <x:f>IF(AND('Calculations'!EM50&lt;&gt;"",'Calculations'!$JJ$2&lt;&gt;"All",'Calculations'!$JJ$2&lt;&gt;"",'Calculations'!HF50='Calculations'!$JJ$2,'Calculations'!HL50=0,'Calculations'!JD50&gt;0),MAX('Calculations'!$JE$12:JE49)+1,0)</x:f>
        <x:v>0</x:v>
      </x:c>
      <x:c r="JF50" t="str">
        <x:f>IF('Calculations'!EM50="","",IFERROR(IF(INDEX(INDIRECT("'WCM Calibration Final'!$G$1:$G$2000"),'Calculations'!$EM50)="","",TRIM(INDEX(INDIRECT("'WCM Calibration Final'!$G$1:$G$2000"),'Calculations'!$EM50)&amp;"")),""))</x:f>
      </x:c>
      <x:c r="JQ50" t="n">
        <x:f>IF(OR('Calculations'!BM50=0,NOT('Calculations'!$AG$2),'Calculations'!$AG$8&gt;0),0,IF(OR('Dashboard'!$B$7="All",'Calculations'!HN50='Dashboard'!$B$7),IF('Calculations'!$JJ$2="All",1,IF(AND('Calculations'!HF50='Calculations'!$JJ$2,'Calculations'!HL50=0),1,0)),0))</x:f>
        <x:v>0</x:v>
      </x:c>
    </x:row>
    <x:row r="51">
      <x:c r="AF51" s="4" t="str">
        <x:f>"MD (n="&amp;'Calculations'!AH51&amp;")"</x:f>
        <x:v>MD (n=0)</x:v>
      </x:c>
      <x:c r="AG51" s="4" t="n">
        <x:f>COUNTIFS('Calculations'!$BN$13:$BN$512,1,'Calculations'!$BV$13:$BV$512,'Calculations'!AT51)</x:f>
        <x:v>0</x:v>
      </x:c>
      <x:c r="AH51" s="4" t="n">
        <x:f>SUM('Calculations'!AJ51:AM51)</x:f>
        <x:v>0</x:v>
      </x:c>
      <x:c r="AI51" s="4" t="n">
        <x:f>'Calculations'!AG51-'Calculations'!AH51</x:f>
        <x:v>0</x:v>
      </x:c>
      <x:c r="AJ51" s="4" t="n">
        <x:f>COUNTIFS('Calculations'!$BN$13:$BN$512,1,'Calculations'!$BV$13:$BV$512,'Calculations'!AT51,'Calculations'!$BZ$13:$BZ$512,1)</x:f>
        <x:v>0</x:v>
      </x:c>
      <x:c r="AK51" s="4" t="n">
        <x:f>COUNTIFS('Calculations'!$BN$13:$BN$512,1,'Calculations'!$BV$13:$BV$512,'Calculations'!AT51,'Calculations'!$BZ$13:$BZ$512,2)</x:f>
        <x:v>0</x:v>
      </x:c>
      <x:c r="AL51" s="4" t="n">
        <x:f>COUNTIFS('Calculations'!$BN$13:$BN$512,1,'Calculations'!$BV$13:$BV$512,'Calculations'!AT51,'Calculations'!$BZ$13:$BZ$512,3)</x:f>
        <x:v>0</x:v>
      </x:c>
      <x:c r="AM51" s="4" t="n">
        <x:f>COUNTIFS('Calculations'!$BN$13:$BN$512,1,'Calculations'!$BV$13:$BV$512,'Calculations'!AT51,'Calculations'!$BZ$13:$BZ$512,4)</x:f>
        <x:v>0</x:v>
      </x:c>
      <x:c r="AN51" s="4"/>
      <x:c r="AO51" s="4" t="e">
        <x:f>IF('Calculations'!AH51=0,NA(),'Calculations'!AJ51/'Calculations'!AH51)</x:f>
        <x:v>#N/A</x:v>
      </x:c>
      <x:c r="AP51" s="4" t="e">
        <x:f>IF('Calculations'!AH51=0,NA(),'Calculations'!AK51/'Calculations'!AH51)</x:f>
        <x:v>#N/A</x:v>
      </x:c>
      <x:c r="AQ51" s="4" t="e">
        <x:f>IF('Calculations'!AH51=0,NA(),'Calculations'!AL51/'Calculations'!AH51)</x:f>
        <x:v>#N/A</x:v>
      </x:c>
      <x:c r="AR51" s="4" t="e">
        <x:f>IF('Calculations'!AH51=0,NA(),'Calculations'!AM51/'Calculations'!AH51)</x:f>
        <x:v>#N/A</x:v>
      </x:c>
      <x:c r="AS51" s="4"/>
      <x:c r="AT51" s="4" t="str">
        <x:v>MANAGING DIRECTOR</x:v>
      </x:c>
      <x:c r="AU51" s="4"/>
      <x:c r="AV51" s="4"/>
      <x:c r="AW51" s="4"/>
      <x:c r="AX51" s="4"/>
      <x:c r="AY51" s="4"/>
      <x:c r="AZ51" s="4"/>
      <x:c r="BA51" s="4"/>
      <x:c r="BB51" s="4"/>
      <x:c r="BC51" s="4"/>
      <x:c r="BD51" s="4"/>
      <x:c r="BE51" s="4"/>
      <x:c r="BF51" s="4"/>
      <x:c r="BG51" s="4"/>
      <x:c r="BH51" s="4"/>
      <x:c r="BI51" s="4"/>
      <x:c r="BJ51" s="4"/>
      <x:c r="BK51" s="4"/>
      <x:c r="BL51" s="4"/>
      <x:c r="BM51" s="4" t="n">
        <x:f>IF('Calculations'!$EM51="",0,IF(OR(IFERROR(INDEX(INDIRECT("'WCM Calibration Final'!$A$1:$A$2000"),'Calculations'!$EM51)&lt;&gt;"",FALSE),IFERROR(INDEX(INDIRECT("'WCM Calibration Final'!$B$1:$B$2000"),'Calculations'!$EM51)&lt;&gt;"",FALSE),IFERROR(INDEX(INDIRECT("'WCM Calibration Final'!$C$1:$C$2000"),'Calculations'!$EM51)&lt;&gt;"",FALSE)),1,0))</x:f>
        <x:v>0</x:v>
      </x:c>
      <x:c r="BN51" s="4" t="n">
        <x:f>IF(AND('Calculations'!BM51=1,'Calculations'!$AG$2,'Calculations'!$EN51=1),1,0)</x:f>
        <x:v>0</x:v>
      </x:c>
      <x:c r="BO51" s="4" t="str">
        <x:f>IF('Calculations'!BM51=0,"",IFERROR(IF(AND(VALUE(INDEX(INDIRECT("'WCM Calibration Final'!$K$1:$K$2000"),'Calculations'!$EM51))&gt;=1,VALUE(INDEX(INDIRECT("'WCM Calibration Final'!$K$1:$K$2000"),'Calculations'!$EM51))&lt;=4,MOD(VALUE(INDEX(INDIRECT("'WCM Calibration Final'!$K$1:$K$2000"),'Calculations'!$EM51)),1)=0),VALUE(INDEX(INDIRECT("'WCM Calibration Final'!$K$1:$K$2000"),'Calculations'!$EM51)),""),""))</x:f>
      </x:c>
      <x:c r="BP51" s="4" t="str">
        <x:f>IF('Calculations'!BM51=0,"",IFERROR(IF(AND(VALUE(INDEX(INDIRECT("'WCM Calibration Final'!$L$1:$L$2000"),'Calculations'!$EM51))&gt;=1,VALUE(INDEX(INDIRECT("'WCM Calibration Final'!$L$1:$L$2000"),'Calculations'!$EM51))&lt;=4,MOD(VALUE(INDEX(INDIRECT("'WCM Calibration Final'!$L$1:$L$2000"),'Calculations'!$EM51)),1)=0),VALUE(INDEX(INDIRECT("'WCM Calibration Final'!$L$1:$L$2000"),'Calculations'!$EM51)),""),""))</x:f>
      </x:c>
      <x:c r="BQ51" s="4"/>
      <x:c r="BR51" s="4"/>
      <x:c r="BS51" s="4"/>
      <x:c r="BT51" s="4" t="n">
        <x:f>IF(AND('Calculations'!BM51=1,ISNUMBER('Calculations'!BO51),ISNUMBER('Calculations'!BP51)),1,0)</x:f>
        <x:v>0</x:v>
      </x:c>
      <x:c r="BU51" s="4" t="str">
        <x:f>IF('Calculations'!BM51=0,"",'Calculations'!$EO51)</x:f>
      </x:c>
      <x:c r="BV51" s="4" t="str">
        <x:f>IF('Calculations'!BM51=0,"",IFERROR(IF(OR(INDEX(INDIRECT("'WCM Calibration Final'!$H$1:$H$2000"),'Calculations'!$EM51)="MANAGING DIRECTOR",INDEX(INDIRECT("'WCM Calibration Final'!$H$1:$H$2000"),'Calculations'!$EM51)="DIRECTOR",INDEX(INDIRECT("'WCM Calibration Final'!$H$1:$H$2000"),'Calculations'!$EM51)="SENIOR VICE PRESIDENT",INDEX(INDIRECT("'WCM Calibration Final'!$H$1:$H$2000"),'Calculations'!$EM51)="VICE PRESIDENT",INDEX(INDIRECT("'WCM Calibration Final'!$H$1:$H$2000"),'Calculations'!$EM51)="ASSISTANT VICE PRESIDENT",INDEX(INDIRECT("'WCM Calibration Final'!$H$1:$H$2000"),'Calculations'!$EM51)="OFFICER"),UPPER(INDEX(INDIRECT("'WCM Calibration Final'!$H$1:$H$2000"),'Calculations'!$EM51)),"Other"),"Other"))</x:f>
      </x:c>
      <x:c r="BW51" s="4"/>
      <x:c r="BX51" s="4"/>
      <x:c r="BY51" s="4" t="n">
        <x:f>IF(AND('Calculations'!BM51=1,'Calculations'!BU51&lt;&gt;"",COUNTIF('Calculations'!$BU$12:BU51,'Calculations'!BU51)=1),MAX('Calculations'!$BY$11:BY50)+1,0)</x:f>
        <x:v>0</x:v>
      </x:c>
      <x:c r="BZ51" s="4" t="str">
        <x:f>IF('Dashboard'!$E$67="What",'Calculations'!BO51,'Calculations'!BP51)</x:f>
      </x:c>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t="str">
        <x:f>IF(40&gt;MAX('Calculations'!$HI$13:$HI$512),"",INDEX('Calculations'!$HN$13:$HN$512,MATCH(40,'Calculations'!$HI$13:$HI$512,0)))</x:f>
      </x:c>
      <x:c r="DB51" s="4" t="str">
        <x:f>IF(40&gt;MAX('Calculations'!$HH$13:$HH$512),"",INDEX('Calculations'!$HJ$13:$HJ$512,MATCH(40,'Calculations'!$HH$13:$HH$512,0)))</x:f>
      </x:c>
      <x:c r="DC51" s="4" t="str">
        <x:f>IF(ROW()-11&gt;MAX('Calculations'!$BY$13:$BY$512),"",INDEX('Calculations'!$BU$13:$BU$512,MATCH(ROW()-11,'Calculations'!$BY$13:$BY$512,0)))</x:f>
      </x:c>
      <x:c r="DD51" s="4" t="str">
        <x:f>IF(40&gt;MAX('Calculations'!$IK$13:$IK$512),"",INDEX('Calculations'!$HK$13:$HK$512,MATCH(40,'Calculations'!$IK$13:$IK$512,0)))</x:f>
      </x:c>
      <x:c r="DE51" s="4" t="str">
        <x:f>'Calculations'!DC51</x:f>
      </x:c>
      <x:c r="DF51" s="4" t="str">
        <x:f>IF('Calculations'!DE51="","",COUNTIFS('Calculations'!$BN$13:$BN$512,1,'Calculations'!$BU$13:$BU$512,'Calculations'!DE51))</x:f>
      </x:c>
      <x:c r="DG51" s="4" t="str">
        <x:f>IF('Calculations'!DE51="","",COUNTIFS('Calculations'!$BN$13:$BN$512,1,'Calculations'!$BU$13:$BU$512,'Calculations'!DE51,'Calculations'!$BT$13:$BT$512,1))</x:f>
      </x:c>
      <x:c r="DH51" s="4" t="str">
        <x:f>IF('Calculations'!DE51="","",'Calculations'!DF51-'Calculations'!DG51)</x:f>
      </x:c>
      <x:c r="DI51" s="4" t="str">
        <x:f>IF(OR('Calculations'!DE51="",'Calculations'!DF51=0),"",'Calculations'!DG51/'Calculations'!DF51)</x:f>
      </x:c>
      <x:c r="DJ51" s="4" t="str">
        <x:f>IF('Calculations'!DE51="","",COUNTIFS('Calculations'!$BN$13:$BN$512,1,'Calculations'!$BU$13:$BU$512,'Calculations'!DE51,'Calculations'!$BT$13:$BT$512,1,'Calculations'!$EE$13:$EE$512,"High"))</x:f>
      </x:c>
      <x:c r="DK51" s="4" t="str">
        <x:f>IF('Calculations'!DE51="","",COUNTIFS('Calculations'!$BN$13:$BN$512,1,'Calculations'!$BU$13:$BU$512,'Calculations'!DE51,'Calculations'!$BT$13:$BT$512,1,'Calculations'!$EE$13:$EE$512,"Strong"))</x:f>
      </x:c>
      <x:c r="DL51" s="4" t="str">
        <x:f>IF('Calculations'!DE51="","",COUNTIFS('Calculations'!$BN$13:$BN$512,1,'Calculations'!$BU$13:$BU$512,'Calculations'!DE51,'Calculations'!$BT$13:$BT$512,1,'Calculations'!$EE$13:$EE$512,"Solid"))</x:f>
      </x:c>
      <x:c r="DM51" s="4" t="str">
        <x:f>IF('Calculations'!DE51="","",COUNTIFS('Calculations'!$BN$13:$BN$512,1,'Calculations'!$BU$13:$BU$512,'Calculations'!DE51,'Calculations'!$BT$13:$BT$512,1,'Calculations'!$EE$13:$EE$512,"Low"))</x:f>
      </x:c>
      <x:c r="DN51" s="4" t="str">
        <x:f>IF('Calculations'!DE51="","",COUNTIFS('Calculations'!$BN$13:$BN$512,1,'Calculations'!$BU$13:$BU$512,'Calculations'!DE51,'Calculations'!$EP$13:$EP$512,1))</x:f>
      </x:c>
      <x:c r="DO51" s="4" t="str">
        <x:f>IF(OR('Calculations'!DE51="",'Calculations'!DG51=0),"",('Calculations'!DJ51+'Calculations'!DK51)/'Calculations'!DG51)</x:f>
      </x:c>
      <x:c r="DP51" s="4" t="n">
        <x:f>IF(AND('Calculations'!DE51&lt;&gt;"",'Calculations'!DF51&gt;0),COUNTIF('Calculations'!$DF$12:DF51,"&gt;0"),0)</x:f>
        <x:v>0</x:v>
      </x:c>
      <x:c r="DQ51" s="4" t="str">
        <x:f>IF(40&gt;MAX('Calculations'!$HH$13:$HH$512),"",INDEX('Calculations'!$HF$13:$HF$512,MATCH(40,'Calculations'!$HH$13:$HH$512,0)))</x:f>
      </x:c>
      <x:c r="DR51" s="4" t="str">
        <x:f>IF(40&gt;MAX('Calculations'!$IK$13:$IK$512),"",INDEX('Calculations'!$HE$13:$HE$512,MATCH(40,'Calculations'!$IK$13:$IK$512,0)))</x:f>
      </x:c>
      <x:c r="DS51" s="4"/>
      <x:c r="DT51" s="4"/>
      <x:c r="DU51" s="4"/>
      <x:c r="DV51" s="4"/>
      <x:c r="DW51" s="4"/>
      <x:c r="DX51" s="4"/>
      <x:c r="DY51" s="4" t="str">
        <x:f>TEXT('Calculations'!AG71,"0")</x:f>
        <x:v>0</x:v>
      </x:c>
      <x:c r="DZ51" s="4"/>
      <x:c r="EA51" s="4"/>
      <x:c r="EB51" s="4"/>
      <x:c r="EC51" s="4"/>
      <x:c r="ED51" s="4"/>
      <x:c r="EE51" s="4" t="str">
        <x:f>IF('Calculations'!BT51=0,"Not Rated",IF(OR('Calculations'!BO51&gt;=4,'Calculations'!BP51&gt;=4),"Low",IF('Calculations'!BO51+'Calculations'!BP51&lt;=3,"High",IF('Calculations'!BO51+'Calculations'!BP51&lt;=4,"Strong","Solid"))))</x:f>
        <x:v>Not Rated</x:v>
      </x:c>
      <x:c r="EF51" s="4"/>
      <x:c r="EG51" s="4"/>
      <x:c r="EH51" s="4"/>
      <x:c r="EI51" s="4"/>
      <x:c r="EJ51" s="4"/>
      <x:c r="EK51" s="4"/>
      <x:c r="EL51" s="4"/>
      <x:c r="EM51" s="4" t="str">
        <x:f>IF(39&gt;'Calculations'!$JB$2000,"",INDEX('Calculations'!$JA$12:$JA$2000,MATCH(39,'Calculations'!$JB$12:$JB$2000,0)))</x:f>
      </x:c>
      <x:c r="EN51" s="4" t="n">
        <x:f>IF(OR('Calculations'!EM51="",'Calculations'!$AG$8&gt;0,AND('Calculations'!$EF$2&lt;&gt;"All",'Calculations'!HE51='Calculations'!$EF$2),AND('Calculations'!$EF$3&lt;&gt;"All",'Calculations'!HE51='Calculations'!$EF$3)),0,IF(OR('Dashboard'!$B$7="All",'Calculations'!HN51='Dashboard'!$B$7),IF('Calculations'!$EF$2="All",1,IF('Calculations'!HL51&gt;0,0,IF(COUNTIF('Calculations'!HO51:II51,"="&amp;SUBSTITUTE(SUBSTITUTE(SUBSTITUTE('Calculations'!$EF$2,"~","~~"),"*","~*"),"?","~?"))=0,0,IF('Calculations'!$EF$3="All",1,IF(COUNTIF('Calculations'!HO51:II51,"="&amp;SUBSTITUTE(SUBSTITUTE(SUBSTITUTE('Calculations'!$EF$3,"~","~~"),"*","~*"),"?","~?"))&gt;0,1,0))))),0))</x:f>
        <x:v>0</x:v>
      </x:c>
      <x:c r="EO51" s="4" t="str">
        <x:f>IF('Calculations'!IJ51="","",IF('Calculations'!IJ51="!UNRESOLVED","Unresolved hierarchy",IFERROR(INDEX('Calculations'!$HK$13:$HK$512,MATCH('Calculations'!IJ51,'Calculations'!$HE$13:$HE$512,0)),IFERROR(INDEX('Calculations'!$HJ$13:$HJ$512,MATCH('Calculations'!IJ51,'Calculations'!$HF$13:$HF$512,0)),'Calculations'!IJ51))))</x:f>
      </x:c>
      <x:c r="EP51" s="4" t="n">
        <x:f>IF(AND('Calculations'!EM51&lt;&gt;"",'Calculations'!HF51='Calculations'!IJ51),1,0)</x:f>
        <x:v>0</x:v>
      </x:c>
      <x:c r="EQ51" s="4"/>
      <x:c r="ER51" s="4"/>
      <x:c r="ES51" s="4"/>
      <x:c r="ET51" s="4"/>
      <x:c r="EU51" s="4"/>
      <x:c r="EV51" s="4"/>
      <x:c r="EW51" s="4"/>
      <x:c r="EX51" s="4"/>
      <x:c r="EY51" s="4"/>
      <x:c r="EZ51" s="4"/>
      <x:c r="FA51" s="4"/>
      <x:c r="FB51" s="4"/>
      <x:c r="FC51" s="4"/>
      <x:c r="FD51" s="4"/>
      <x:c r="FE51" s="4"/>
      <x:c r="FF51" s="4"/>
      <x:c r="FG51" s="4"/>
      <x:c r="FH51" s="4"/>
      <x:c r="FI51" s="4"/>
      <x:c r="FJ51" s="4"/>
      <x:c r="FK51" s="4"/>
      <x:c r="FL51" s="4"/>
      <x:c r="FM51" s="4"/>
      <x:c r="FN51" s="4"/>
      <x:c r="FO51" s="4"/>
      <x:c r="GA51" s="71"/>
      <x:c r="GB51" s="71"/>
      <x:c r="GC51" s="71"/>
      <x:c r="GD51" s="71"/>
      <x:c r="GE51" s="71"/>
      <x:c r="GF51" s="71"/>
      <x:c r="GG51" s="71"/>
      <x:c r="GH51" s="71"/>
      <x:c r="GI51" s="71"/>
      <x:c r="GJ51" s="71"/>
      <x:c r="GK51" s="71"/>
      <x:c r="GL51" s="71"/>
      <x:c r="GM51" s="71"/>
      <x:c r="GN51" s="71"/>
      <x:c r="GO51" s="71"/>
      <x:c r="GP51" s="71"/>
      <x:c r="GQ51" s="71"/>
      <x:c r="GR51" s="71"/>
      <x:c r="GS51" s="71"/>
      <x:c r="GT51" s="71"/>
      <x:c r="GU51" s="71"/>
      <x:c r="GV51" s="71"/>
      <x:c r="GW51" s="71"/>
      <x:c r="GX51" s="71"/>
      <x:c r="GY51" s="71"/>
      <x:c r="GZ51" s="71"/>
      <x:c r="HA51" s="71"/>
      <x:c r="HB51" s="71"/>
      <x:c r="HC51" s="71"/>
      <x:c r="HD51" s="71"/>
      <x:c r="HE51" t="str">
        <x:f>IF('Calculations'!EM51="","",IF(IFERROR(IF(INDEX(INDIRECT("'WCM Calibration Final'!$A$1:$A$2000"),'Calculations'!$EM51)="","",TRIM(INDEX(INDIRECT("'WCM Calibration Final'!$A$1:$A$2000"),'Calculations'!$EM51)&amp;"")),"")&lt;&gt;"","G:"&amp;IFERROR(TEXT(1*INDEX(INDIRECT("'WCM Calibration Final'!$A$1:$A$2000"),'Calculations'!$EM51),"0"),UPPER(IFERROR(IF(INDEX(INDIRECT("'WCM Calibration Final'!$A$1:$A$2000"),'Calculations'!$EM51)="","",TRIM(INDEX(INDIRECT("'WCM Calibration Final'!$A$1:$A$2000"),'Calculations'!$EM51)&amp;"")),""))),IF(IFERROR(IF(INDEX(INDIRECT("'WCM Calibration Final'!$C$1:$C$2000"),'Calculations'!$EM51)="","",TRIM(INDEX(INDIRECT("'WCM Calibration Final'!$C$1:$C$2000"),'Calculations'!$EM51)&amp;"")),"")&lt;&gt;"","S:"&amp;UPPER(IFERROR(IF(INDEX(INDIRECT("'WCM Calibration Final'!$C$1:$C$2000"),'Calculations'!$EM51)="","",TRIM(INDEX(INDIRECT("'WCM Calibration Final'!$C$1:$C$2000"),'Calculations'!$EM51)&amp;"")),"")),"R:"&amp;'Calculations'!EM51)))</x:f>
      </x:c>
      <x:c r="HF51" t="str">
        <x:f>IF('Calculations'!EM51="","",IF(IFERROR(IF(INDEX(INDIRECT("'WCM Calibration Final'!$D$1:$D$2000"),'Calculations'!$EM51)="","",TRIM(INDEX(INDIRECT("'WCM Calibration Final'!$D$1:$D$2000"),'Calculations'!$EM51)&amp;"")),"")&lt;&gt;"","G:"&amp;IFERROR(TEXT(1*INDEX(INDIRECT("'WCM Calibration Final'!$D$1:$D$2000"),'Calculations'!$EM51),"0"),UPPER(IFERROR(IF(INDEX(INDIRECT("'WCM Calibration Final'!$D$1:$D$2000"),'Calculations'!$EM51)="","",TRIM(INDEX(INDIRECT("'WCM Calibration Final'!$D$1:$D$2000"),'Calculations'!$EM51)&amp;"")),""))),IF(IFERROR(IF(INDEX(INDIRECT("'WCM Calibration Final'!$E$1:$E$2000"),'Calculations'!$EM51)="","",TRIM(INDEX(INDIRECT("'WCM Calibration Final'!$E$1:$E$2000"),'Calculations'!$EM51)&amp;"")),"")="","",IF(COUNTIF('Calculations'!$HG$13:$HG$512,"="&amp;SUBSTITUTE(SUBSTITUTE(SUBSTITUTE(IFERROR(IF(INDEX(INDIRECT("'WCM Calibration Final'!$E$1:$E$2000"),'Calculations'!$EM51)="","",TRIM(INDEX(INDIRECT("'WCM Calibration Final'!$E$1:$E$2000"),'Calculations'!$EM51)&amp;"")),""),"~","~~"),"*","~*"),"?","~?"))=1,INDEX('Calculations'!$HE$13:$HE$512,MATCH(IFERROR(IF(INDEX(INDIRECT("'WCM Calibration Final'!$E$1:$E$2000"),'Calculations'!$EM51)="","",TRIM(INDEX(INDIRECT("'WCM Calibration Final'!$E$1:$E$2000"),'Calculations'!$EM51)&amp;"")),""),'Calculations'!$HG$13:$HG$512,0)),IF(COUNTIF('Calculations'!$HG$13:$HG$512,"="&amp;SUBSTITUTE(SUBSTITUTE(SUBSTITUTE(IFERROR(IF(INDEX(INDIRECT("'WCM Calibration Final'!$E$1:$E$2000"),'Calculations'!$EM51)="","",TRIM(INDEX(INDIRECT("'WCM Calibration Final'!$E$1:$E$2000"),'Calculations'!$EM51)&amp;"")),""),"~","~~"),"*","~*"),"?","~?"))&gt;1,"!AMBIG","X:"&amp;IFERROR(IF(INDEX(INDIRECT("'WCM Calibration Final'!$E$1:$E$2000"),'Calculations'!$EM51)="","",TRIM(INDEX(INDIRECT("'WCM Calibration Final'!$E$1:$E$2000"),'Calculations'!$EM51)&amp;"")),""))))))</x:f>
      </x:c>
      <x:c r="HG51" t="str">
        <x:f>IF('Calculations'!EM51="","",IFERROR(IF(INDEX(INDIRECT("'WCM Calibration Final'!$B$1:$B$2000"),'Calculations'!$EM51)="","",TRIM(INDEX(INDIRECT("'WCM Calibration Final'!$B$1:$B$2000"),'Calculations'!$EM51)&amp;"")),""))</x:f>
      </x:c>
      <x:c r="HH51" t="n">
        <x:f>IF(AND('Calculations'!JC51&gt;0,COUNTIF('Calculations'!$HF$12:HF51,"="&amp;SUBSTITUTE(SUBSTITUTE(SUBSTITUTE('Calculations'!HF51,"~","~~"),"*","~*"),"?","~?"))=1),MAX('Calculations'!$HH$12:HH50)+1,0)</x:f>
        <x:v>0</x:v>
      </x:c>
      <x:c r="HI51" t="n">
        <x:f>IF(AND('Calculations'!HN51&lt;&gt;"",COUNTIF('Calculations'!$HN$12:HN51,"="&amp;SUBSTITUTE(SUBSTITUTE(SUBSTITUTE('Calculations'!HN51,"~","~~"),"*","~*"),"?","~?"))=1),MAX('Calculations'!$HI$12:HI50)+1,0)</x:f>
        <x:v>0</x:v>
      </x:c>
      <x:c r="HJ51" t="str">
        <x:f>IF('Calculations'!HF51="","",IF(COUNTIF('Calculations'!$HE$13:$HE$512,"="&amp;SUBSTITUTE(SUBSTITUTE(SUBSTITUTE('Calculations'!HF51,"~","~~"),"*","~*"),"?","~?"))=1,INDEX('Calculations'!$HK$13:$HK$512,MATCH('Calculations'!HF51,'Calculations'!$HE$13:$HE$512,0)),IFERROR(IF(INDEX(INDIRECT("'WCM Calibration Final'!$E$1:$E$2000"),'Calculations'!$EM51)="","",TRIM(INDEX(INDIRECT("'WCM Calibration Final'!$E$1:$E$2000"),'Calculations'!$EM51)&amp;"")),"")&amp;" ["&amp;'Calculations'!HF51&amp;"]"))</x:f>
      </x:c>
      <x:c r="HK51" t="str">
        <x:f>IF('Calculations'!EM51="","",'Calculations'!HG51&amp;" ["&amp;'Calculations'!HE51&amp;"]")</x:f>
      </x:c>
      <x:c r="HL51" t="n">
        <x:f>IF('Calculations'!EM51="",0,IF(OR('Calculations'!II51&lt;&gt;"",COUNTIF('Calculations'!$HE$13:$HE$512,"="&amp;SUBSTITUTE(SUBSTITUTE(SUBSTITUTE('Calculations'!HE51,"~","~~"),"*","~*"),"?","~?"))&gt;1),1,0))</x:f>
        <x:v>0</x:v>
      </x:c>
      <x:c r="HM51" t="str">
        <x:f>IF('Calculations'!EM51="","",IF('Calculations'!HL51=1,"!UNRESOLVED",IF('Calculations'!IH51&lt;&gt;"",'Calculations'!IH51,IF('Calculations'!IG51&lt;&gt;"",'Calculations'!IG51,IF('Calculations'!IF51&lt;&gt;"",'Calculations'!IF51,IF('Calculations'!IE51&lt;&gt;"",'Calculations'!IE51,IF('Calculations'!ID51&lt;&gt;"",'Calculations'!ID51,IF('Calculations'!IC51&lt;&gt;"",'Calculations'!IC51,IF('Calculations'!IB51&lt;&gt;"",'Calculations'!IB51,IF('Calculations'!IA51&lt;&gt;"",'Calculations'!IA51,IF('Calculations'!HZ51&lt;&gt;"",'Calculations'!HZ51,IF('Calculations'!HY51&lt;&gt;"",'Calculations'!HY51,IF('Calculations'!HX51&lt;&gt;"",'Calculations'!HX51,IF('Calculations'!HW51&lt;&gt;"",'Calculations'!HW51,IF('Calculations'!HV51&lt;&gt;"",'Calculations'!HV51,IF('Calculations'!HU51&lt;&gt;"",'Calculations'!HU51,IF('Calculations'!HT51&lt;&gt;"",'Calculations'!HT51,IF('Calculations'!HS51&lt;&gt;"",'Calculations'!HS51,IF('Calculations'!HR51&lt;&gt;"",'Calculations'!HR51,IF('Calculations'!HQ51&lt;&gt;"",'Calculations'!HQ51,IF('Calculations'!HP51&lt;&gt;"",'Calculations'!HP51,IF('Calculations'!HO51&lt;&gt;"",'Calculations'!HO51,'Calculations'!HE51))))))))))))))))))))))</x:f>
      </x:c>
      <x:c r="HN51" t="str">
        <x:f>IF('Calculations'!EM51="","",IF(IFERROR(IF(INDEX(INDIRECT("'WCM Calibration Final'!$F$1:$F$2000"),'Calculations'!$EM51)="","",TRIM(INDEX(INDIRECT("'WCM Calibration Final'!$F$1:$F$2000"),'Calculations'!$EM51)&amp;"")),"")="","(Blank)",IFERROR(IF(INDEX(INDIRECT("'WCM Calibration Final'!$F$1:$F$2000"),'Calculations'!$EM51)="","",TRIM(INDEX(INDIRECT("'WCM Calibration Final'!$F$1:$F$2000"),'Calculations'!$EM51)&amp;"")),"")))</x:f>
      </x:c>
      <x:c r="HO51" t="str">
        <x:f>'Calculations'!HF51</x:f>
      </x:c>
      <x:c r="HP51" t="str">
        <x:f>IF('Calculations'!HO51="","",IF('Calculations'!HO51="!AMBIG","!AMBIG",IF(COUNTIF('Calculations'!$HE$13:$HE$512,"="&amp;SUBSTITUTE(SUBSTITUTE(SUBSTITUTE('Calculations'!HO51,"~","~~"),"*","~*"),"?","~?"))&gt;1,"!AMBIG",IFERROR(INDEX('Calculations'!$HF$13:$HF$512,MATCH('Calculations'!HO51,'Calculations'!$HE$13:$HE$512,0)),""))))</x:f>
      </x:c>
      <x:c r="HQ51" t="str">
        <x:f>IF('Calculations'!HP51="","",IF('Calculations'!HP51="!AMBIG","!AMBIG",IF(COUNTIF('Calculations'!$HE$13:$HE$512,"="&amp;SUBSTITUTE(SUBSTITUTE(SUBSTITUTE('Calculations'!HP51,"~","~~"),"*","~*"),"?","~?"))&gt;1,"!AMBIG",IFERROR(INDEX('Calculations'!$HF$13:$HF$512,MATCH('Calculations'!HP51,'Calculations'!$HE$13:$HE$512,0)),""))))</x:f>
      </x:c>
      <x:c r="HR51" t="str">
        <x:f>IF('Calculations'!HQ51="","",IF('Calculations'!HQ51="!AMBIG","!AMBIG",IF(COUNTIF('Calculations'!$HE$13:$HE$512,"="&amp;SUBSTITUTE(SUBSTITUTE(SUBSTITUTE('Calculations'!HQ51,"~","~~"),"*","~*"),"?","~?"))&gt;1,"!AMBIG",IFERROR(INDEX('Calculations'!$HF$13:$HF$512,MATCH('Calculations'!HQ51,'Calculations'!$HE$13:$HE$512,0)),""))))</x:f>
      </x:c>
      <x:c r="HS51" t="str">
        <x:f>IF('Calculations'!HR51="","",IF('Calculations'!HR51="!AMBIG","!AMBIG",IF(COUNTIF('Calculations'!$HE$13:$HE$512,"="&amp;SUBSTITUTE(SUBSTITUTE(SUBSTITUTE('Calculations'!HR51,"~","~~"),"*","~*"),"?","~?"))&gt;1,"!AMBIG",IFERROR(INDEX('Calculations'!$HF$13:$HF$512,MATCH('Calculations'!HR51,'Calculations'!$HE$13:$HE$512,0)),""))))</x:f>
      </x:c>
      <x:c r="HT51" t="str">
        <x:f>IF('Calculations'!HS51="","",IF('Calculations'!HS51="!AMBIG","!AMBIG",IF(COUNTIF('Calculations'!$HE$13:$HE$512,"="&amp;SUBSTITUTE(SUBSTITUTE(SUBSTITUTE('Calculations'!HS51,"~","~~"),"*","~*"),"?","~?"))&gt;1,"!AMBIG",IFERROR(INDEX('Calculations'!$HF$13:$HF$512,MATCH('Calculations'!HS51,'Calculations'!$HE$13:$HE$512,0)),""))))</x:f>
      </x:c>
      <x:c r="HU51" t="str">
        <x:f>IF('Calculations'!HT51="","",IF('Calculations'!HT51="!AMBIG","!AMBIG",IF(COUNTIF('Calculations'!$HE$13:$HE$512,"="&amp;SUBSTITUTE(SUBSTITUTE(SUBSTITUTE('Calculations'!HT51,"~","~~"),"*","~*"),"?","~?"))&gt;1,"!AMBIG",IFERROR(INDEX('Calculations'!$HF$13:$HF$512,MATCH('Calculations'!HT51,'Calculations'!$HE$13:$HE$512,0)),""))))</x:f>
      </x:c>
      <x:c r="HV51" t="str">
        <x:f>IF('Calculations'!HU51="","",IF('Calculations'!HU51="!AMBIG","!AMBIG",IF(COUNTIF('Calculations'!$HE$13:$HE$512,"="&amp;SUBSTITUTE(SUBSTITUTE(SUBSTITUTE('Calculations'!HU51,"~","~~"),"*","~*"),"?","~?"))&gt;1,"!AMBIG",IFERROR(INDEX('Calculations'!$HF$13:$HF$512,MATCH('Calculations'!HU51,'Calculations'!$HE$13:$HE$512,0)),""))))</x:f>
      </x:c>
      <x:c r="HW51" t="str">
        <x:f>IF('Calculations'!HV51="","",IF('Calculations'!HV51="!AMBIG","!AMBIG",IF(COUNTIF('Calculations'!$HE$13:$HE$512,"="&amp;SUBSTITUTE(SUBSTITUTE(SUBSTITUTE('Calculations'!HV51,"~","~~"),"*","~*"),"?","~?"))&gt;1,"!AMBIG",IFERROR(INDEX('Calculations'!$HF$13:$HF$512,MATCH('Calculations'!HV51,'Calculations'!$HE$13:$HE$512,0)),""))))</x:f>
      </x:c>
      <x:c r="HX51" t="str">
        <x:f>IF('Calculations'!HW51="","",IF('Calculations'!HW51="!AMBIG","!AMBIG",IF(COUNTIF('Calculations'!$HE$13:$HE$512,"="&amp;SUBSTITUTE(SUBSTITUTE(SUBSTITUTE('Calculations'!HW51,"~","~~"),"*","~*"),"?","~?"))&gt;1,"!AMBIG",IFERROR(INDEX('Calculations'!$HF$13:$HF$512,MATCH('Calculations'!HW51,'Calculations'!$HE$13:$HE$512,0)),""))))</x:f>
      </x:c>
      <x:c r="HY51" t="str">
        <x:f>IF('Calculations'!HX51="","",IF('Calculations'!HX51="!AMBIG","!AMBIG",IF(COUNTIF('Calculations'!$HE$13:$HE$512,"="&amp;SUBSTITUTE(SUBSTITUTE(SUBSTITUTE('Calculations'!HX51,"~","~~"),"*","~*"),"?","~?"))&gt;1,"!AMBIG",IFERROR(INDEX('Calculations'!$HF$13:$HF$512,MATCH('Calculations'!HX51,'Calculations'!$HE$13:$HE$512,0)),""))))</x:f>
      </x:c>
      <x:c r="HZ51" t="str">
        <x:f>IF('Calculations'!HY51="","",IF('Calculations'!HY51="!AMBIG","!AMBIG",IF(COUNTIF('Calculations'!$HE$13:$HE$512,"="&amp;SUBSTITUTE(SUBSTITUTE(SUBSTITUTE('Calculations'!HY51,"~","~~"),"*","~*"),"?","~?"))&gt;1,"!AMBIG",IFERROR(INDEX('Calculations'!$HF$13:$HF$512,MATCH('Calculations'!HY51,'Calculations'!$HE$13:$HE$512,0)),""))))</x:f>
      </x:c>
      <x:c r="IA51" t="str">
        <x:f>IF('Calculations'!HZ51="","",IF('Calculations'!HZ51="!AMBIG","!AMBIG",IF(COUNTIF('Calculations'!$HE$13:$HE$512,"="&amp;SUBSTITUTE(SUBSTITUTE(SUBSTITUTE('Calculations'!HZ51,"~","~~"),"*","~*"),"?","~?"))&gt;1,"!AMBIG",IFERROR(INDEX('Calculations'!$HF$13:$HF$512,MATCH('Calculations'!HZ51,'Calculations'!$HE$13:$HE$512,0)),""))))</x:f>
      </x:c>
      <x:c r="IB51" t="str">
        <x:f>IF('Calculations'!IA51="","",IF('Calculations'!IA51="!AMBIG","!AMBIG",IF(COUNTIF('Calculations'!$HE$13:$HE$512,"="&amp;SUBSTITUTE(SUBSTITUTE(SUBSTITUTE('Calculations'!IA51,"~","~~"),"*","~*"),"?","~?"))&gt;1,"!AMBIG",IFERROR(INDEX('Calculations'!$HF$13:$HF$512,MATCH('Calculations'!IA51,'Calculations'!$HE$13:$HE$512,0)),""))))</x:f>
      </x:c>
      <x:c r="IC51" t="str">
        <x:f>IF('Calculations'!IB51="","",IF('Calculations'!IB51="!AMBIG","!AMBIG",IF(COUNTIF('Calculations'!$HE$13:$HE$512,"="&amp;SUBSTITUTE(SUBSTITUTE(SUBSTITUTE('Calculations'!IB51,"~","~~"),"*","~*"),"?","~?"))&gt;1,"!AMBIG",IFERROR(INDEX('Calculations'!$HF$13:$HF$512,MATCH('Calculations'!IB51,'Calculations'!$HE$13:$HE$512,0)),""))))</x:f>
      </x:c>
      <x:c r="ID51" t="str">
        <x:f>IF('Calculations'!IC51="","",IF('Calculations'!IC51="!AMBIG","!AMBIG",IF(COUNTIF('Calculations'!$HE$13:$HE$512,"="&amp;SUBSTITUTE(SUBSTITUTE(SUBSTITUTE('Calculations'!IC51,"~","~~"),"*","~*"),"?","~?"))&gt;1,"!AMBIG",IFERROR(INDEX('Calculations'!$HF$13:$HF$512,MATCH('Calculations'!IC51,'Calculations'!$HE$13:$HE$512,0)),""))))</x:f>
      </x:c>
      <x:c r="IE51" t="str">
        <x:f>IF('Calculations'!ID51="","",IF('Calculations'!ID51="!AMBIG","!AMBIG",IF(COUNTIF('Calculations'!$HE$13:$HE$512,"="&amp;SUBSTITUTE(SUBSTITUTE(SUBSTITUTE('Calculations'!ID51,"~","~~"),"*","~*"),"?","~?"))&gt;1,"!AMBIG",IFERROR(INDEX('Calculations'!$HF$13:$HF$512,MATCH('Calculations'!ID51,'Calculations'!$HE$13:$HE$512,0)),""))))</x:f>
      </x:c>
      <x:c r="IF51" t="str">
        <x:f>IF('Calculations'!IE51="","",IF('Calculations'!IE51="!AMBIG","!AMBIG",IF(COUNTIF('Calculations'!$HE$13:$HE$512,"="&amp;SUBSTITUTE(SUBSTITUTE(SUBSTITUTE('Calculations'!IE51,"~","~~"),"*","~*"),"?","~?"))&gt;1,"!AMBIG",IFERROR(INDEX('Calculations'!$HF$13:$HF$512,MATCH('Calculations'!IE51,'Calculations'!$HE$13:$HE$512,0)),""))))</x:f>
      </x:c>
      <x:c r="IG51" t="str">
        <x:f>IF('Calculations'!IF51="","",IF('Calculations'!IF51="!AMBIG","!AMBIG",IF(COUNTIF('Calculations'!$HE$13:$HE$512,"="&amp;SUBSTITUTE(SUBSTITUTE(SUBSTITUTE('Calculations'!IF51,"~","~~"),"*","~*"),"?","~?"))&gt;1,"!AMBIG",IFERROR(INDEX('Calculations'!$HF$13:$HF$512,MATCH('Calculations'!IF51,'Calculations'!$HE$13:$HE$512,0)),""))))</x:f>
      </x:c>
      <x:c r="IH51" t="str">
        <x:f>IF('Calculations'!IG51="","",IF('Calculations'!IG51="!AMBIG","!AMBIG",IF(COUNTIF('Calculations'!$HE$13:$HE$512,"="&amp;SUBSTITUTE(SUBSTITUTE(SUBSTITUTE('Calculations'!IG51,"~","~~"),"*","~*"),"?","~?"))&gt;1,"!AMBIG",IFERROR(INDEX('Calculations'!$HF$13:$HF$512,MATCH('Calculations'!IG51,'Calculations'!$HE$13:$HE$512,0)),""))))</x:f>
      </x:c>
      <x:c r="II51" t="str">
        <x:f>IF('Calculations'!IH51="","",IF('Calculations'!IH51="!AMBIG","!AMBIG",IF(COUNTIF('Calculations'!$HE$13:$HE$512,"="&amp;SUBSTITUTE(SUBSTITUTE(SUBSTITUTE('Calculations'!IH51,"~","~~"),"*","~*"),"?","~?"))&gt;1,"!AMBIG",IFERROR(INDEX('Calculations'!$HF$13:$HF$512,MATCH('Calculations'!IH51,'Calculations'!$HE$13:$HE$512,0)),""))))</x:f>
      </x:c>
      <x:c r="IJ51" t="str">
        <x:f>IF('Calculations'!EM51="","",IF('Calculations'!$EF$2="All",'Calculations'!HM51,IF('Calculations'!HL51=1,"",IFERROR(IF(MATCH('Calculations'!$EF$2,'Calculations'!HO51:II51,0)=1,'Calculations'!HE51,INDEX('Calculations'!HO51:II51,1,MATCH('Calculations'!$EF$2,'Calculations'!HO51:II51,0)-1)),""))))</x:f>
      </x:c>
      <x:c r="IK51" t="n">
        <x:f>IF(AND('Calculations'!EM51&lt;&gt;"",'Calculations'!$EF$2&lt;&gt;"All",'Calculations'!HF51='Calculations'!$EF$2,'Calculations'!HL51=0,'Calculations'!JD51&gt;0),MAX('Calculations'!$IK$12:IK50)+1,0)</x:f>
        <x:v>0</x:v>
      </x:c>
      <x:c r="JA51" t="n">
        <x:f>IF(OR(IFERROR(INDIRECT("'WCM Calibration Final'!$A$51")&lt;&gt;"",FALSE),IFERROR(INDIRECT("'WCM Calibration Final'!$B$51")&lt;&gt;"",FALSE),IFERROR(INDIRECT("'WCM Calibration Final'!$C$51")&lt;&gt;"",FALSE)),51,0)</x:f>
        <x:v>0</x:v>
      </x:c>
      <x:c r="JB51" t="n">
        <x:f>'Calculations'!JB50+IF('Calculations'!JA51&gt;0,1,0)</x:f>
        <x:v>0</x:v>
      </x:c>
      <x:c r="JC51" t="n">
        <x:f>IF(OR('Calculations'!HF51="",'Calculations'!HF51="!AMBIG"),0,IF('Dashboard'!$B$7="All",1,COUNTIFS('Calculations'!$HO$13:$HO$512,"="&amp;SUBSTITUTE(SUBSTITUTE(SUBSTITUTE('Calculations'!HF51,"~","~~"),"*","~*"),"?","~?"),'Calculations'!$HN$13:$HN$512,"="&amp;SUBSTITUTE(SUBSTITUTE(SUBSTITUTE('Dashboard'!$B$7,"~","~~"),"*","~*"),"?","~?"))+COUNTIFS('Calculations'!$HP$13:$HP$512,"="&amp;SUBSTITUTE(SUBSTITUTE(SUBSTITUTE('Calculations'!HF51,"~","~~"),"*","~*"),"?","~?"),'Calculations'!$HN$13:$HN$512,"="&amp;SUBSTITUTE(SUBSTITUTE(SUBSTITUTE('Dashboard'!$B$7,"~","~~"),"*","~*"),"?","~?"))+COUNTIFS('Calculations'!$HQ$13:$HQ$512,"="&amp;SUBSTITUTE(SUBSTITUTE(SUBSTITUTE('Calculations'!HF51,"~","~~"),"*","~*"),"?","~?"),'Calculations'!$HN$13:$HN$512,"="&amp;SUBSTITUTE(SUBSTITUTE(SUBSTITUTE('Dashboard'!$B$7,"~","~~"),"*","~*"),"?","~?"))+COUNTIFS('Calculations'!$HR$13:$HR$512,"="&amp;SUBSTITUTE(SUBSTITUTE(SUBSTITUTE('Calculations'!HF51,"~","~~"),"*","~*"),"?","~?"),'Calculations'!$HN$13:$HN$512,"="&amp;SUBSTITUTE(SUBSTITUTE(SUBSTITUTE('Dashboard'!$B$7,"~","~~"),"*","~*"),"?","~?"))+COUNTIFS('Calculations'!$HS$13:$HS$512,"="&amp;SUBSTITUTE(SUBSTITUTE(SUBSTITUTE('Calculations'!HF51,"~","~~"),"*","~*"),"?","~?"),'Calculations'!$HN$13:$HN$512,"="&amp;SUBSTITUTE(SUBSTITUTE(SUBSTITUTE('Dashboard'!$B$7,"~","~~"),"*","~*"),"?","~?"))+COUNTIFS('Calculations'!$HT$13:$HT$512,"="&amp;SUBSTITUTE(SUBSTITUTE(SUBSTITUTE('Calculations'!HF51,"~","~~"),"*","~*"),"?","~?"),'Calculations'!$HN$13:$HN$512,"="&amp;SUBSTITUTE(SUBSTITUTE(SUBSTITUTE('Dashboard'!$B$7,"~","~~"),"*","~*"),"?","~?"))+COUNTIFS('Calculations'!$HU$13:$HU$512,"="&amp;SUBSTITUTE(SUBSTITUTE(SUBSTITUTE('Calculations'!HF51,"~","~~"),"*","~*"),"?","~?"),'Calculations'!$HN$13:$HN$512,"="&amp;SUBSTITUTE(SUBSTITUTE(SUBSTITUTE('Dashboard'!$B$7,"~","~~"),"*","~*"),"?","~?"))+COUNTIFS('Calculations'!$HV$13:$HV$512,"="&amp;SUBSTITUTE(SUBSTITUTE(SUBSTITUTE('Calculations'!HF51,"~","~~"),"*","~*"),"?","~?"),'Calculations'!$HN$13:$HN$512,"="&amp;SUBSTITUTE(SUBSTITUTE(SUBSTITUTE('Dashboard'!$B$7,"~","~~"),"*","~*"),"?","~?"))+COUNTIFS('Calculations'!$HW$13:$HW$512,"="&amp;SUBSTITUTE(SUBSTITUTE(SUBSTITUTE('Calculations'!HF51,"~","~~"),"*","~*"),"?","~?"),'Calculations'!$HN$13:$HN$512,"="&amp;SUBSTITUTE(SUBSTITUTE(SUBSTITUTE('Dashboard'!$B$7,"~","~~"),"*","~*"),"?","~?"))+COUNTIFS('Calculations'!$HX$13:$HX$512,"="&amp;SUBSTITUTE(SUBSTITUTE(SUBSTITUTE('Calculations'!HF51,"~","~~"),"*","~*"),"?","~?"),'Calculations'!$HN$13:$HN$512,"="&amp;SUBSTITUTE(SUBSTITUTE(SUBSTITUTE('Dashboard'!$B$7,"~","~~"),"*","~*"),"?","~?"))+COUNTIFS('Calculations'!$HY$13:$HY$512,"="&amp;SUBSTITUTE(SUBSTITUTE(SUBSTITUTE('Calculations'!HF51,"~","~~"),"*","~*"),"?","~?"),'Calculations'!$HN$13:$HN$512,"="&amp;SUBSTITUTE(SUBSTITUTE(SUBSTITUTE('Dashboard'!$B$7,"~","~~"),"*","~*"),"?","~?"))+COUNTIFS('Calculations'!$HZ$13:$HZ$512,"="&amp;SUBSTITUTE(SUBSTITUTE(SUBSTITUTE('Calculations'!HF51,"~","~~"),"*","~*"),"?","~?"),'Calculations'!$HN$13:$HN$512,"="&amp;SUBSTITUTE(SUBSTITUTE(SUBSTITUTE('Dashboard'!$B$7,"~","~~"),"*","~*"),"?","~?"))+COUNTIFS('Calculations'!$IA$13:$IA$512,"="&amp;SUBSTITUTE(SUBSTITUTE(SUBSTITUTE('Calculations'!HF51,"~","~~"),"*","~*"),"?","~?"),'Calculations'!$HN$13:$HN$512,"="&amp;SUBSTITUTE(SUBSTITUTE(SUBSTITUTE('Dashboard'!$B$7,"~","~~"),"*","~*"),"?","~?"))+COUNTIFS('Calculations'!$IB$13:$IB$512,"="&amp;SUBSTITUTE(SUBSTITUTE(SUBSTITUTE('Calculations'!HF51,"~","~~"),"*","~*"),"?","~?"),'Calculations'!$HN$13:$HN$512,"="&amp;SUBSTITUTE(SUBSTITUTE(SUBSTITUTE('Dashboard'!$B$7,"~","~~"),"*","~*"),"?","~?"))+COUNTIFS('Calculations'!$IC$13:$IC$512,"="&amp;SUBSTITUTE(SUBSTITUTE(SUBSTITUTE('Calculations'!HF51,"~","~~"),"*","~*"),"?","~?"),'Calculations'!$HN$13:$HN$512,"="&amp;SUBSTITUTE(SUBSTITUTE(SUBSTITUTE('Dashboard'!$B$7,"~","~~"),"*","~*"),"?","~?"))+COUNTIFS('Calculations'!$ID$13:$ID$512,"="&amp;SUBSTITUTE(SUBSTITUTE(SUBSTITUTE('Calculations'!HF51,"~","~~"),"*","~*"),"?","~?"),'Calculations'!$HN$13:$HN$512,"="&amp;SUBSTITUTE(SUBSTITUTE(SUBSTITUTE('Dashboard'!$B$7,"~","~~"),"*","~*"),"?","~?"))+COUNTIFS('Calculations'!$IE$13:$IE$512,"="&amp;SUBSTITUTE(SUBSTITUTE(SUBSTITUTE('Calculations'!HF51,"~","~~"),"*","~*"),"?","~?"),'Calculations'!$HN$13:$HN$512,"="&amp;SUBSTITUTE(SUBSTITUTE(SUBSTITUTE('Dashboard'!$B$7,"~","~~"),"*","~*"),"?","~?"))+COUNTIFS('Calculations'!$IF$13:$IF$512,"="&amp;SUBSTITUTE(SUBSTITUTE(SUBSTITUTE('Calculations'!HF51,"~","~~"),"*","~*"),"?","~?"),'Calculations'!$HN$13:$HN$512,"="&amp;SUBSTITUTE(SUBSTITUTE(SUBSTITUTE('Dashboard'!$B$7,"~","~~"),"*","~*"),"?","~?"))+COUNTIFS('Calculations'!$IG$13:$IG$512,"="&amp;SUBSTITUTE(SUBSTITUTE(SUBSTITUTE('Calculations'!HF51,"~","~~"),"*","~*"),"?","~?"),'Calculations'!$HN$13:$HN$512,"="&amp;SUBSTITUTE(SUBSTITUTE(SUBSTITUTE('Dashboard'!$B$7,"~","~~"),"*","~*"),"?","~?"))+COUNTIFS('Calculations'!$IH$13:$IH$512,"="&amp;SUBSTITUTE(SUBSTITUTE(SUBSTITUTE('Calculations'!HF51,"~","~~"),"*","~*"),"?","~?"),'Calculations'!$HN$13:$HN$512,"="&amp;SUBSTITUTE(SUBSTITUTE(SUBSTITUTE('Dashboard'!$B$7,"~","~~"),"*","~*"),"?","~?"))))</x:f>
        <x:v>0</x:v>
      </x:c>
      <x:c r="JD51" t="n">
        <x:f>IF('Calculations'!EM51="",0,IF('Dashboard'!$B$7="All",1,IF('Calculations'!HN51='Dashboard'!$B$7,1,0)+IFERROR(INDEX('Calculations'!$JC$13:$JC$512,MATCH('Calculations'!HE51,'Calculations'!$HF$13:$HF$512,0)),0)))</x:f>
        <x:v>0</x:v>
      </x:c>
      <x:c r="JE51" t="n">
        <x:f>IF(AND('Calculations'!EM51&lt;&gt;"",'Calculations'!$JJ$2&lt;&gt;"All",'Calculations'!$JJ$2&lt;&gt;"",'Calculations'!HF51='Calculations'!$JJ$2,'Calculations'!HL51=0,'Calculations'!JD51&gt;0),MAX('Calculations'!$JE$12:JE50)+1,0)</x:f>
        <x:v>0</x:v>
      </x:c>
      <x:c r="JF51" t="str">
        <x:f>IF('Calculations'!EM51="","",IFERROR(IF(INDEX(INDIRECT("'WCM Calibration Final'!$G$1:$G$2000"),'Calculations'!$EM51)="","",TRIM(INDEX(INDIRECT("'WCM Calibration Final'!$G$1:$G$2000"),'Calculations'!$EM51)&amp;"")),""))</x:f>
      </x:c>
      <x:c r="JQ51" t="n">
        <x:f>IF(OR('Calculations'!BM51=0,NOT('Calculations'!$AG$2),'Calculations'!$AG$8&gt;0),0,IF(OR('Dashboard'!$B$7="All",'Calculations'!HN51='Dashboard'!$B$7),IF('Calculations'!$JJ$2="All",1,IF(AND('Calculations'!HF51='Calculations'!$JJ$2,'Calculations'!HL51=0),1,0)),0))</x:f>
        <x:v>0</x:v>
      </x:c>
    </x:row>
    <x:row r="52">
      <x:c r="AF52" s="4" t="str">
        <x:f>"Director (n="&amp;'Calculations'!AH52&amp;")"</x:f>
        <x:v>Director (n=0)</x:v>
      </x:c>
      <x:c r="AG52" s="4" t="n">
        <x:f>COUNTIFS('Calculations'!$BN$13:$BN$512,1,'Calculations'!$BV$13:$BV$512,'Calculations'!AT52)</x:f>
        <x:v>0</x:v>
      </x:c>
      <x:c r="AH52" s="4" t="n">
        <x:f>SUM('Calculations'!AJ52:AM52)</x:f>
        <x:v>0</x:v>
      </x:c>
      <x:c r="AI52" s="4" t="n">
        <x:f>'Calculations'!AG52-'Calculations'!AH52</x:f>
        <x:v>0</x:v>
      </x:c>
      <x:c r="AJ52" s="4" t="n">
        <x:f>COUNTIFS('Calculations'!$BN$13:$BN$512,1,'Calculations'!$BV$13:$BV$512,'Calculations'!AT52,'Calculations'!$BZ$13:$BZ$512,1)</x:f>
        <x:v>0</x:v>
      </x:c>
      <x:c r="AK52" s="4" t="n">
        <x:f>COUNTIFS('Calculations'!$BN$13:$BN$512,1,'Calculations'!$BV$13:$BV$512,'Calculations'!AT52,'Calculations'!$BZ$13:$BZ$512,2)</x:f>
        <x:v>0</x:v>
      </x:c>
      <x:c r="AL52" s="4" t="n">
        <x:f>COUNTIFS('Calculations'!$BN$13:$BN$512,1,'Calculations'!$BV$13:$BV$512,'Calculations'!AT52,'Calculations'!$BZ$13:$BZ$512,3)</x:f>
        <x:v>0</x:v>
      </x:c>
      <x:c r="AM52" s="4" t="n">
        <x:f>COUNTIFS('Calculations'!$BN$13:$BN$512,1,'Calculations'!$BV$13:$BV$512,'Calculations'!AT52,'Calculations'!$BZ$13:$BZ$512,4)</x:f>
        <x:v>0</x:v>
      </x:c>
      <x:c r="AN52" s="4"/>
      <x:c r="AO52" s="4" t="e">
        <x:f>IF('Calculations'!AH52=0,NA(),'Calculations'!AJ52/'Calculations'!AH52)</x:f>
        <x:v>#N/A</x:v>
      </x:c>
      <x:c r="AP52" s="4" t="e">
        <x:f>IF('Calculations'!AH52=0,NA(),'Calculations'!AK52/'Calculations'!AH52)</x:f>
        <x:v>#N/A</x:v>
      </x:c>
      <x:c r="AQ52" s="4" t="e">
        <x:f>IF('Calculations'!AH52=0,NA(),'Calculations'!AL52/'Calculations'!AH52)</x:f>
        <x:v>#N/A</x:v>
      </x:c>
      <x:c r="AR52" s="4" t="e">
        <x:f>IF('Calculations'!AH52=0,NA(),'Calculations'!AM52/'Calculations'!AH52)</x:f>
        <x:v>#N/A</x:v>
      </x:c>
      <x:c r="AS52" s="4"/>
      <x:c r="AT52" s="4" t="str">
        <x:v>DIRECTOR</x:v>
      </x:c>
      <x:c r="AU52" s="4"/>
      <x:c r="AV52" s="4"/>
      <x:c r="AW52" s="4"/>
      <x:c r="AX52" s="4"/>
      <x:c r="AY52" s="4"/>
      <x:c r="AZ52" s="4"/>
      <x:c r="BA52" s="4"/>
      <x:c r="BB52" s="4"/>
      <x:c r="BC52" s="4"/>
      <x:c r="BD52" s="4"/>
      <x:c r="BE52" s="4"/>
      <x:c r="BF52" s="4"/>
      <x:c r="BG52" s="4"/>
      <x:c r="BH52" s="4"/>
      <x:c r="BI52" s="4"/>
      <x:c r="BJ52" s="4"/>
      <x:c r="BK52" s="4"/>
      <x:c r="BL52" s="4"/>
      <x:c r="BM52" s="4" t="n">
        <x:f>IF('Calculations'!$EM52="",0,IF(OR(IFERROR(INDEX(INDIRECT("'WCM Calibration Final'!$A$1:$A$2000"),'Calculations'!$EM52)&lt;&gt;"",FALSE),IFERROR(INDEX(INDIRECT("'WCM Calibration Final'!$B$1:$B$2000"),'Calculations'!$EM52)&lt;&gt;"",FALSE),IFERROR(INDEX(INDIRECT("'WCM Calibration Final'!$C$1:$C$2000"),'Calculations'!$EM52)&lt;&gt;"",FALSE)),1,0))</x:f>
        <x:v>0</x:v>
      </x:c>
      <x:c r="BN52" s="4" t="n">
        <x:f>IF(AND('Calculations'!BM52=1,'Calculations'!$AG$2,'Calculations'!$EN52=1),1,0)</x:f>
        <x:v>0</x:v>
      </x:c>
      <x:c r="BO52" s="4" t="str">
        <x:f>IF('Calculations'!BM52=0,"",IFERROR(IF(AND(VALUE(INDEX(INDIRECT("'WCM Calibration Final'!$K$1:$K$2000"),'Calculations'!$EM52))&gt;=1,VALUE(INDEX(INDIRECT("'WCM Calibration Final'!$K$1:$K$2000"),'Calculations'!$EM52))&lt;=4,MOD(VALUE(INDEX(INDIRECT("'WCM Calibration Final'!$K$1:$K$2000"),'Calculations'!$EM52)),1)=0),VALUE(INDEX(INDIRECT("'WCM Calibration Final'!$K$1:$K$2000"),'Calculations'!$EM52)),""),""))</x:f>
      </x:c>
      <x:c r="BP52" s="4" t="str">
        <x:f>IF('Calculations'!BM52=0,"",IFERROR(IF(AND(VALUE(INDEX(INDIRECT("'WCM Calibration Final'!$L$1:$L$2000"),'Calculations'!$EM52))&gt;=1,VALUE(INDEX(INDIRECT("'WCM Calibration Final'!$L$1:$L$2000"),'Calculations'!$EM52))&lt;=4,MOD(VALUE(INDEX(INDIRECT("'WCM Calibration Final'!$L$1:$L$2000"),'Calculations'!$EM52)),1)=0),VALUE(INDEX(INDIRECT("'WCM Calibration Final'!$L$1:$L$2000"),'Calculations'!$EM52)),""),""))</x:f>
      </x:c>
      <x:c r="BQ52" s="4"/>
      <x:c r="BR52" s="4"/>
      <x:c r="BS52" s="4"/>
      <x:c r="BT52" s="4" t="n">
        <x:f>IF(AND('Calculations'!BM52=1,ISNUMBER('Calculations'!BO52),ISNUMBER('Calculations'!BP52)),1,0)</x:f>
        <x:v>0</x:v>
      </x:c>
      <x:c r="BU52" s="4" t="str">
        <x:f>IF('Calculations'!BM52=0,"",'Calculations'!$EO52)</x:f>
      </x:c>
      <x:c r="BV52" s="4" t="str">
        <x:f>IF('Calculations'!BM52=0,"",IFERROR(IF(OR(INDEX(INDIRECT("'WCM Calibration Final'!$H$1:$H$2000"),'Calculations'!$EM52)="MANAGING DIRECTOR",INDEX(INDIRECT("'WCM Calibration Final'!$H$1:$H$2000"),'Calculations'!$EM52)="DIRECTOR",INDEX(INDIRECT("'WCM Calibration Final'!$H$1:$H$2000"),'Calculations'!$EM52)="SENIOR VICE PRESIDENT",INDEX(INDIRECT("'WCM Calibration Final'!$H$1:$H$2000"),'Calculations'!$EM52)="VICE PRESIDENT",INDEX(INDIRECT("'WCM Calibration Final'!$H$1:$H$2000"),'Calculations'!$EM52)="ASSISTANT VICE PRESIDENT",INDEX(INDIRECT("'WCM Calibration Final'!$H$1:$H$2000"),'Calculations'!$EM52)="OFFICER"),UPPER(INDEX(INDIRECT("'WCM Calibration Final'!$H$1:$H$2000"),'Calculations'!$EM52)),"Other"),"Other"))</x:f>
      </x:c>
      <x:c r="BW52" s="4"/>
      <x:c r="BX52" s="4"/>
      <x:c r="BY52" s="4" t="n">
        <x:f>IF(AND('Calculations'!BM52=1,'Calculations'!BU52&lt;&gt;"",COUNTIF('Calculations'!$BU$12:BU52,'Calculations'!BU52)=1),MAX('Calculations'!$BY$11:BY51)+1,0)</x:f>
        <x:v>0</x:v>
      </x:c>
      <x:c r="BZ52" s="4" t="str">
        <x:f>IF('Dashboard'!$E$67="What",'Calculations'!BO52,'Calculations'!BP52)</x:f>
      </x:c>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t="str">
        <x:f>IF(41&gt;MAX('Calculations'!$HI$13:$HI$512),"",INDEX('Calculations'!$HN$13:$HN$512,MATCH(41,'Calculations'!$HI$13:$HI$512,0)))</x:f>
      </x:c>
      <x:c r="DB52" s="4" t="str">
        <x:f>IF(41&gt;MAX('Calculations'!$HH$13:$HH$512),"",INDEX('Calculations'!$HJ$13:$HJ$512,MATCH(41,'Calculations'!$HH$13:$HH$512,0)))</x:f>
      </x:c>
      <x:c r="DC52" s="4" t="str">
        <x:f>IF(ROW()-11&gt;MAX('Calculations'!$BY$13:$BY$512),"",INDEX('Calculations'!$BU$13:$BU$512,MATCH(ROW()-11,'Calculations'!$BY$13:$BY$512,0)))</x:f>
      </x:c>
      <x:c r="DD52" s="4" t="str">
        <x:f>IF(41&gt;MAX('Calculations'!$IK$13:$IK$512),"",INDEX('Calculations'!$HK$13:$HK$512,MATCH(41,'Calculations'!$IK$13:$IK$512,0)))</x:f>
      </x:c>
      <x:c r="DE52" s="4" t="str">
        <x:f>'Calculations'!DC52</x:f>
      </x:c>
      <x:c r="DF52" s="4" t="str">
        <x:f>IF('Calculations'!DE52="","",COUNTIFS('Calculations'!$BN$13:$BN$512,1,'Calculations'!$BU$13:$BU$512,'Calculations'!DE52))</x:f>
      </x:c>
      <x:c r="DG52" s="4" t="str">
        <x:f>IF('Calculations'!DE52="","",COUNTIFS('Calculations'!$BN$13:$BN$512,1,'Calculations'!$BU$13:$BU$512,'Calculations'!DE52,'Calculations'!$BT$13:$BT$512,1))</x:f>
      </x:c>
      <x:c r="DH52" s="4" t="str">
        <x:f>IF('Calculations'!DE52="","",'Calculations'!DF52-'Calculations'!DG52)</x:f>
      </x:c>
      <x:c r="DI52" s="4" t="str">
        <x:f>IF(OR('Calculations'!DE52="",'Calculations'!DF52=0),"",'Calculations'!DG52/'Calculations'!DF52)</x:f>
      </x:c>
      <x:c r="DJ52" s="4" t="str">
        <x:f>IF('Calculations'!DE52="","",COUNTIFS('Calculations'!$BN$13:$BN$512,1,'Calculations'!$BU$13:$BU$512,'Calculations'!DE52,'Calculations'!$BT$13:$BT$512,1,'Calculations'!$EE$13:$EE$512,"High"))</x:f>
      </x:c>
      <x:c r="DK52" s="4" t="str">
        <x:f>IF('Calculations'!DE52="","",COUNTIFS('Calculations'!$BN$13:$BN$512,1,'Calculations'!$BU$13:$BU$512,'Calculations'!DE52,'Calculations'!$BT$13:$BT$512,1,'Calculations'!$EE$13:$EE$512,"Strong"))</x:f>
      </x:c>
      <x:c r="DL52" s="4" t="str">
        <x:f>IF('Calculations'!DE52="","",COUNTIFS('Calculations'!$BN$13:$BN$512,1,'Calculations'!$BU$13:$BU$512,'Calculations'!DE52,'Calculations'!$BT$13:$BT$512,1,'Calculations'!$EE$13:$EE$512,"Solid"))</x:f>
      </x:c>
      <x:c r="DM52" s="4" t="str">
        <x:f>IF('Calculations'!DE52="","",COUNTIFS('Calculations'!$BN$13:$BN$512,1,'Calculations'!$BU$13:$BU$512,'Calculations'!DE52,'Calculations'!$BT$13:$BT$512,1,'Calculations'!$EE$13:$EE$512,"Low"))</x:f>
      </x:c>
      <x:c r="DN52" s="4" t="str">
        <x:f>IF('Calculations'!DE52="","",COUNTIFS('Calculations'!$BN$13:$BN$512,1,'Calculations'!$BU$13:$BU$512,'Calculations'!DE52,'Calculations'!$EP$13:$EP$512,1))</x:f>
      </x:c>
      <x:c r="DO52" s="4" t="str">
        <x:f>IF(OR('Calculations'!DE52="",'Calculations'!DG52=0),"",('Calculations'!DJ52+'Calculations'!DK52)/'Calculations'!DG52)</x:f>
      </x:c>
      <x:c r="DP52" s="4" t="n">
        <x:f>IF(AND('Calculations'!DE52&lt;&gt;"",'Calculations'!DF52&gt;0),COUNTIF('Calculations'!$DF$12:DF52,"&gt;0"),0)</x:f>
        <x:v>0</x:v>
      </x:c>
      <x:c r="DQ52" s="4" t="str">
        <x:f>IF(41&gt;MAX('Calculations'!$HH$13:$HH$512),"",INDEX('Calculations'!$HF$13:$HF$512,MATCH(41,'Calculations'!$HH$13:$HH$512,0)))</x:f>
      </x:c>
      <x:c r="DR52" s="4" t="str">
        <x:f>IF(41&gt;MAX('Calculations'!$IK$13:$IK$512),"",INDEX('Calculations'!$HE$13:$HE$512,MATCH(41,'Calculations'!$IK$13:$IK$512,0)))</x:f>
      </x:c>
      <x:c r="DS52" s="4"/>
      <x:c r="DT52" s="4"/>
      <x:c r="DU52" s="4"/>
      <x:c r="DV52" s="4"/>
      <x:c r="DW52" s="4"/>
      <x:c r="DX52" s="4"/>
      <x:c r="DY52" s="4" t="str">
        <x:f>IFERROR(TEXT('Calculations'!AH71,"0.0%"),"—")</x:f>
        <x:v>—</x:v>
      </x:c>
      <x:c r="DZ52" s="4"/>
      <x:c r="EA52" s="4"/>
      <x:c r="EB52" s="4"/>
      <x:c r="EC52" s="4"/>
      <x:c r="ED52" s="4"/>
      <x:c r="EE52" s="4" t="str">
        <x:f>IF('Calculations'!BT52=0,"Not Rated",IF(OR('Calculations'!BO52&gt;=4,'Calculations'!BP52&gt;=4),"Low",IF('Calculations'!BO52+'Calculations'!BP52&lt;=3,"High",IF('Calculations'!BO52+'Calculations'!BP52&lt;=4,"Strong","Solid"))))</x:f>
        <x:v>Not Rated</x:v>
      </x:c>
      <x:c r="EF52" s="4"/>
      <x:c r="EG52" s="4"/>
      <x:c r="EH52" s="4"/>
      <x:c r="EI52" s="4"/>
      <x:c r="EJ52" s="4"/>
      <x:c r="EK52" s="4"/>
      <x:c r="EL52" s="4"/>
      <x:c r="EM52" s="4" t="str">
        <x:f>IF(40&gt;'Calculations'!$JB$2000,"",INDEX('Calculations'!$JA$12:$JA$2000,MATCH(40,'Calculations'!$JB$12:$JB$2000,0)))</x:f>
      </x:c>
      <x:c r="EN52" s="4" t="n">
        <x:f>IF(OR('Calculations'!EM52="",'Calculations'!$AG$8&gt;0,AND('Calculations'!$EF$2&lt;&gt;"All",'Calculations'!HE52='Calculations'!$EF$2),AND('Calculations'!$EF$3&lt;&gt;"All",'Calculations'!HE52='Calculations'!$EF$3)),0,IF(OR('Dashboard'!$B$7="All",'Calculations'!HN52='Dashboard'!$B$7),IF('Calculations'!$EF$2="All",1,IF('Calculations'!HL52&gt;0,0,IF(COUNTIF('Calculations'!HO52:II52,"="&amp;SUBSTITUTE(SUBSTITUTE(SUBSTITUTE('Calculations'!$EF$2,"~","~~"),"*","~*"),"?","~?"))=0,0,IF('Calculations'!$EF$3="All",1,IF(COUNTIF('Calculations'!HO52:II52,"="&amp;SUBSTITUTE(SUBSTITUTE(SUBSTITUTE('Calculations'!$EF$3,"~","~~"),"*","~*"),"?","~?"))&gt;0,1,0))))),0))</x:f>
        <x:v>0</x:v>
      </x:c>
      <x:c r="EO52" s="4" t="str">
        <x:f>IF('Calculations'!IJ52="","",IF('Calculations'!IJ52="!UNRESOLVED","Unresolved hierarchy",IFERROR(INDEX('Calculations'!$HK$13:$HK$512,MATCH('Calculations'!IJ52,'Calculations'!$HE$13:$HE$512,0)),IFERROR(INDEX('Calculations'!$HJ$13:$HJ$512,MATCH('Calculations'!IJ52,'Calculations'!$HF$13:$HF$512,0)),'Calculations'!IJ52))))</x:f>
      </x:c>
      <x:c r="EP52" s="4" t="n">
        <x:f>IF(AND('Calculations'!EM52&lt;&gt;"",'Calculations'!HF52='Calculations'!IJ52),1,0)</x:f>
        <x:v>0</x:v>
      </x:c>
      <x:c r="EQ52" s="4"/>
      <x:c r="ER52" s="4"/>
      <x:c r="ES52" s="4"/>
      <x:c r="ET52" s="4"/>
      <x:c r="EU52" s="4"/>
      <x:c r="EV52" s="4"/>
      <x:c r="EW52" s="4"/>
      <x:c r="EX52" s="4"/>
      <x:c r="EY52" s="4"/>
      <x:c r="EZ52" s="4"/>
      <x:c r="FA52" s="4"/>
      <x:c r="FB52" s="4"/>
      <x:c r="FC52" s="4"/>
      <x:c r="FD52" s="4"/>
      <x:c r="FE52" s="4"/>
      <x:c r="FF52" s="4"/>
      <x:c r="FG52" s="4"/>
      <x:c r="FH52" s="4"/>
      <x:c r="FI52" s="4"/>
      <x:c r="FJ52" s="4"/>
      <x:c r="FK52" s="4"/>
      <x:c r="FL52" s="4"/>
      <x:c r="FM52" s="4"/>
      <x:c r="FN52" s="4"/>
      <x:c r="FO52" s="4"/>
      <x:c r="GA52" s="71"/>
      <x:c r="GB52" s="71"/>
      <x:c r="GC52" s="71"/>
      <x:c r="GD52" s="71"/>
      <x:c r="GE52" s="71"/>
      <x:c r="GF52" s="71"/>
      <x:c r="GG52" s="71"/>
      <x:c r="GH52" s="71"/>
      <x:c r="GI52" s="71"/>
      <x:c r="GJ52" s="71"/>
      <x:c r="GK52" s="71"/>
      <x:c r="GL52" s="71"/>
      <x:c r="GM52" s="71"/>
      <x:c r="GN52" s="71"/>
      <x:c r="GO52" s="71"/>
      <x:c r="GP52" s="71"/>
      <x:c r="GQ52" s="71"/>
      <x:c r="GR52" s="71"/>
      <x:c r="GS52" s="71"/>
      <x:c r="GT52" s="71"/>
      <x:c r="GU52" s="71"/>
      <x:c r="GV52" s="71"/>
      <x:c r="GW52" s="71"/>
      <x:c r="GX52" s="71"/>
      <x:c r="GY52" s="71"/>
      <x:c r="GZ52" s="71"/>
      <x:c r="HA52" s="71"/>
      <x:c r="HB52" s="71"/>
      <x:c r="HC52" s="71"/>
      <x:c r="HD52" s="71"/>
      <x:c r="HE52" t="str">
        <x:f>IF('Calculations'!EM52="","",IF(IFERROR(IF(INDEX(INDIRECT("'WCM Calibration Final'!$A$1:$A$2000"),'Calculations'!$EM52)="","",TRIM(INDEX(INDIRECT("'WCM Calibration Final'!$A$1:$A$2000"),'Calculations'!$EM52)&amp;"")),"")&lt;&gt;"","G:"&amp;IFERROR(TEXT(1*INDEX(INDIRECT("'WCM Calibration Final'!$A$1:$A$2000"),'Calculations'!$EM52),"0"),UPPER(IFERROR(IF(INDEX(INDIRECT("'WCM Calibration Final'!$A$1:$A$2000"),'Calculations'!$EM52)="","",TRIM(INDEX(INDIRECT("'WCM Calibration Final'!$A$1:$A$2000"),'Calculations'!$EM52)&amp;"")),""))),IF(IFERROR(IF(INDEX(INDIRECT("'WCM Calibration Final'!$C$1:$C$2000"),'Calculations'!$EM52)="","",TRIM(INDEX(INDIRECT("'WCM Calibration Final'!$C$1:$C$2000"),'Calculations'!$EM52)&amp;"")),"")&lt;&gt;"","S:"&amp;UPPER(IFERROR(IF(INDEX(INDIRECT("'WCM Calibration Final'!$C$1:$C$2000"),'Calculations'!$EM52)="","",TRIM(INDEX(INDIRECT("'WCM Calibration Final'!$C$1:$C$2000"),'Calculations'!$EM52)&amp;"")),"")),"R:"&amp;'Calculations'!EM52)))</x:f>
      </x:c>
      <x:c r="HF52" t="str">
        <x:f>IF('Calculations'!EM52="","",IF(IFERROR(IF(INDEX(INDIRECT("'WCM Calibration Final'!$D$1:$D$2000"),'Calculations'!$EM52)="","",TRIM(INDEX(INDIRECT("'WCM Calibration Final'!$D$1:$D$2000"),'Calculations'!$EM52)&amp;"")),"")&lt;&gt;"","G:"&amp;IFERROR(TEXT(1*INDEX(INDIRECT("'WCM Calibration Final'!$D$1:$D$2000"),'Calculations'!$EM52),"0"),UPPER(IFERROR(IF(INDEX(INDIRECT("'WCM Calibration Final'!$D$1:$D$2000"),'Calculations'!$EM52)="","",TRIM(INDEX(INDIRECT("'WCM Calibration Final'!$D$1:$D$2000"),'Calculations'!$EM52)&amp;"")),""))),IF(IFERROR(IF(INDEX(INDIRECT("'WCM Calibration Final'!$E$1:$E$2000"),'Calculations'!$EM52)="","",TRIM(INDEX(INDIRECT("'WCM Calibration Final'!$E$1:$E$2000"),'Calculations'!$EM52)&amp;"")),"")="","",IF(COUNTIF('Calculations'!$HG$13:$HG$512,"="&amp;SUBSTITUTE(SUBSTITUTE(SUBSTITUTE(IFERROR(IF(INDEX(INDIRECT("'WCM Calibration Final'!$E$1:$E$2000"),'Calculations'!$EM52)="","",TRIM(INDEX(INDIRECT("'WCM Calibration Final'!$E$1:$E$2000"),'Calculations'!$EM52)&amp;"")),""),"~","~~"),"*","~*"),"?","~?"))=1,INDEX('Calculations'!$HE$13:$HE$512,MATCH(IFERROR(IF(INDEX(INDIRECT("'WCM Calibration Final'!$E$1:$E$2000"),'Calculations'!$EM52)="","",TRIM(INDEX(INDIRECT("'WCM Calibration Final'!$E$1:$E$2000"),'Calculations'!$EM52)&amp;"")),""),'Calculations'!$HG$13:$HG$512,0)),IF(COUNTIF('Calculations'!$HG$13:$HG$512,"="&amp;SUBSTITUTE(SUBSTITUTE(SUBSTITUTE(IFERROR(IF(INDEX(INDIRECT("'WCM Calibration Final'!$E$1:$E$2000"),'Calculations'!$EM52)="","",TRIM(INDEX(INDIRECT("'WCM Calibration Final'!$E$1:$E$2000"),'Calculations'!$EM52)&amp;"")),""),"~","~~"),"*","~*"),"?","~?"))&gt;1,"!AMBIG","X:"&amp;IFERROR(IF(INDEX(INDIRECT("'WCM Calibration Final'!$E$1:$E$2000"),'Calculations'!$EM52)="","",TRIM(INDEX(INDIRECT("'WCM Calibration Final'!$E$1:$E$2000"),'Calculations'!$EM52)&amp;"")),""))))))</x:f>
      </x:c>
      <x:c r="HG52" t="str">
        <x:f>IF('Calculations'!EM52="","",IFERROR(IF(INDEX(INDIRECT("'WCM Calibration Final'!$B$1:$B$2000"),'Calculations'!$EM52)="","",TRIM(INDEX(INDIRECT("'WCM Calibration Final'!$B$1:$B$2000"),'Calculations'!$EM52)&amp;"")),""))</x:f>
      </x:c>
      <x:c r="HH52" t="n">
        <x:f>IF(AND('Calculations'!JC52&gt;0,COUNTIF('Calculations'!$HF$12:HF52,"="&amp;SUBSTITUTE(SUBSTITUTE(SUBSTITUTE('Calculations'!HF52,"~","~~"),"*","~*"),"?","~?"))=1),MAX('Calculations'!$HH$12:HH51)+1,0)</x:f>
        <x:v>0</x:v>
      </x:c>
      <x:c r="HI52" t="n">
        <x:f>IF(AND('Calculations'!HN52&lt;&gt;"",COUNTIF('Calculations'!$HN$12:HN52,"="&amp;SUBSTITUTE(SUBSTITUTE(SUBSTITUTE('Calculations'!HN52,"~","~~"),"*","~*"),"?","~?"))=1),MAX('Calculations'!$HI$12:HI51)+1,0)</x:f>
        <x:v>0</x:v>
      </x:c>
      <x:c r="HJ52" t="str">
        <x:f>IF('Calculations'!HF52="","",IF(COUNTIF('Calculations'!$HE$13:$HE$512,"="&amp;SUBSTITUTE(SUBSTITUTE(SUBSTITUTE('Calculations'!HF52,"~","~~"),"*","~*"),"?","~?"))=1,INDEX('Calculations'!$HK$13:$HK$512,MATCH('Calculations'!HF52,'Calculations'!$HE$13:$HE$512,0)),IFERROR(IF(INDEX(INDIRECT("'WCM Calibration Final'!$E$1:$E$2000"),'Calculations'!$EM52)="","",TRIM(INDEX(INDIRECT("'WCM Calibration Final'!$E$1:$E$2000"),'Calculations'!$EM52)&amp;"")),"")&amp;" ["&amp;'Calculations'!HF52&amp;"]"))</x:f>
      </x:c>
      <x:c r="HK52" t="str">
        <x:f>IF('Calculations'!EM52="","",'Calculations'!HG52&amp;" ["&amp;'Calculations'!HE52&amp;"]")</x:f>
      </x:c>
      <x:c r="HL52" t="n">
        <x:f>IF('Calculations'!EM52="",0,IF(OR('Calculations'!II52&lt;&gt;"",COUNTIF('Calculations'!$HE$13:$HE$512,"="&amp;SUBSTITUTE(SUBSTITUTE(SUBSTITUTE('Calculations'!HE52,"~","~~"),"*","~*"),"?","~?"))&gt;1),1,0))</x:f>
        <x:v>0</x:v>
      </x:c>
      <x:c r="HM52" t="str">
        <x:f>IF('Calculations'!EM52="","",IF('Calculations'!HL52=1,"!UNRESOLVED",IF('Calculations'!IH52&lt;&gt;"",'Calculations'!IH52,IF('Calculations'!IG52&lt;&gt;"",'Calculations'!IG52,IF('Calculations'!IF52&lt;&gt;"",'Calculations'!IF52,IF('Calculations'!IE52&lt;&gt;"",'Calculations'!IE52,IF('Calculations'!ID52&lt;&gt;"",'Calculations'!ID52,IF('Calculations'!IC52&lt;&gt;"",'Calculations'!IC52,IF('Calculations'!IB52&lt;&gt;"",'Calculations'!IB52,IF('Calculations'!IA52&lt;&gt;"",'Calculations'!IA52,IF('Calculations'!HZ52&lt;&gt;"",'Calculations'!HZ52,IF('Calculations'!HY52&lt;&gt;"",'Calculations'!HY52,IF('Calculations'!HX52&lt;&gt;"",'Calculations'!HX52,IF('Calculations'!HW52&lt;&gt;"",'Calculations'!HW52,IF('Calculations'!HV52&lt;&gt;"",'Calculations'!HV52,IF('Calculations'!HU52&lt;&gt;"",'Calculations'!HU52,IF('Calculations'!HT52&lt;&gt;"",'Calculations'!HT52,IF('Calculations'!HS52&lt;&gt;"",'Calculations'!HS52,IF('Calculations'!HR52&lt;&gt;"",'Calculations'!HR52,IF('Calculations'!HQ52&lt;&gt;"",'Calculations'!HQ52,IF('Calculations'!HP52&lt;&gt;"",'Calculations'!HP52,IF('Calculations'!HO52&lt;&gt;"",'Calculations'!HO52,'Calculations'!HE52))))))))))))))))))))))</x:f>
      </x:c>
      <x:c r="HN52" t="str">
        <x:f>IF('Calculations'!EM52="","",IF(IFERROR(IF(INDEX(INDIRECT("'WCM Calibration Final'!$F$1:$F$2000"),'Calculations'!$EM52)="","",TRIM(INDEX(INDIRECT("'WCM Calibration Final'!$F$1:$F$2000"),'Calculations'!$EM52)&amp;"")),"")="","(Blank)",IFERROR(IF(INDEX(INDIRECT("'WCM Calibration Final'!$F$1:$F$2000"),'Calculations'!$EM52)="","",TRIM(INDEX(INDIRECT("'WCM Calibration Final'!$F$1:$F$2000"),'Calculations'!$EM52)&amp;"")),"")))</x:f>
      </x:c>
      <x:c r="HO52" t="str">
        <x:f>'Calculations'!HF52</x:f>
      </x:c>
      <x:c r="HP52" t="str">
        <x:f>IF('Calculations'!HO52="","",IF('Calculations'!HO52="!AMBIG","!AMBIG",IF(COUNTIF('Calculations'!$HE$13:$HE$512,"="&amp;SUBSTITUTE(SUBSTITUTE(SUBSTITUTE('Calculations'!HO52,"~","~~"),"*","~*"),"?","~?"))&gt;1,"!AMBIG",IFERROR(INDEX('Calculations'!$HF$13:$HF$512,MATCH('Calculations'!HO52,'Calculations'!$HE$13:$HE$512,0)),""))))</x:f>
      </x:c>
      <x:c r="HQ52" t="str">
        <x:f>IF('Calculations'!HP52="","",IF('Calculations'!HP52="!AMBIG","!AMBIG",IF(COUNTIF('Calculations'!$HE$13:$HE$512,"="&amp;SUBSTITUTE(SUBSTITUTE(SUBSTITUTE('Calculations'!HP52,"~","~~"),"*","~*"),"?","~?"))&gt;1,"!AMBIG",IFERROR(INDEX('Calculations'!$HF$13:$HF$512,MATCH('Calculations'!HP52,'Calculations'!$HE$13:$HE$512,0)),""))))</x:f>
      </x:c>
      <x:c r="HR52" t="str">
        <x:f>IF('Calculations'!HQ52="","",IF('Calculations'!HQ52="!AMBIG","!AMBIG",IF(COUNTIF('Calculations'!$HE$13:$HE$512,"="&amp;SUBSTITUTE(SUBSTITUTE(SUBSTITUTE('Calculations'!HQ52,"~","~~"),"*","~*"),"?","~?"))&gt;1,"!AMBIG",IFERROR(INDEX('Calculations'!$HF$13:$HF$512,MATCH('Calculations'!HQ52,'Calculations'!$HE$13:$HE$512,0)),""))))</x:f>
      </x:c>
      <x:c r="HS52" t="str">
        <x:f>IF('Calculations'!HR52="","",IF('Calculations'!HR52="!AMBIG","!AMBIG",IF(COUNTIF('Calculations'!$HE$13:$HE$512,"="&amp;SUBSTITUTE(SUBSTITUTE(SUBSTITUTE('Calculations'!HR52,"~","~~"),"*","~*"),"?","~?"))&gt;1,"!AMBIG",IFERROR(INDEX('Calculations'!$HF$13:$HF$512,MATCH('Calculations'!HR52,'Calculations'!$HE$13:$HE$512,0)),""))))</x:f>
      </x:c>
      <x:c r="HT52" t="str">
        <x:f>IF('Calculations'!HS52="","",IF('Calculations'!HS52="!AMBIG","!AMBIG",IF(COUNTIF('Calculations'!$HE$13:$HE$512,"="&amp;SUBSTITUTE(SUBSTITUTE(SUBSTITUTE('Calculations'!HS52,"~","~~"),"*","~*"),"?","~?"))&gt;1,"!AMBIG",IFERROR(INDEX('Calculations'!$HF$13:$HF$512,MATCH('Calculations'!HS52,'Calculations'!$HE$13:$HE$512,0)),""))))</x:f>
      </x:c>
      <x:c r="HU52" t="str">
        <x:f>IF('Calculations'!HT52="","",IF('Calculations'!HT52="!AMBIG","!AMBIG",IF(COUNTIF('Calculations'!$HE$13:$HE$512,"="&amp;SUBSTITUTE(SUBSTITUTE(SUBSTITUTE('Calculations'!HT52,"~","~~"),"*","~*"),"?","~?"))&gt;1,"!AMBIG",IFERROR(INDEX('Calculations'!$HF$13:$HF$512,MATCH('Calculations'!HT52,'Calculations'!$HE$13:$HE$512,0)),""))))</x:f>
      </x:c>
      <x:c r="HV52" t="str">
        <x:f>IF('Calculations'!HU52="","",IF('Calculations'!HU52="!AMBIG","!AMBIG",IF(COUNTIF('Calculations'!$HE$13:$HE$512,"="&amp;SUBSTITUTE(SUBSTITUTE(SUBSTITUTE('Calculations'!HU52,"~","~~"),"*","~*"),"?","~?"))&gt;1,"!AMBIG",IFERROR(INDEX('Calculations'!$HF$13:$HF$512,MATCH('Calculations'!HU52,'Calculations'!$HE$13:$HE$512,0)),""))))</x:f>
      </x:c>
      <x:c r="HW52" t="str">
        <x:f>IF('Calculations'!HV52="","",IF('Calculations'!HV52="!AMBIG","!AMBIG",IF(COUNTIF('Calculations'!$HE$13:$HE$512,"="&amp;SUBSTITUTE(SUBSTITUTE(SUBSTITUTE('Calculations'!HV52,"~","~~"),"*","~*"),"?","~?"))&gt;1,"!AMBIG",IFERROR(INDEX('Calculations'!$HF$13:$HF$512,MATCH('Calculations'!HV52,'Calculations'!$HE$13:$HE$512,0)),""))))</x:f>
      </x:c>
      <x:c r="HX52" t="str">
        <x:f>IF('Calculations'!HW52="","",IF('Calculations'!HW52="!AMBIG","!AMBIG",IF(COUNTIF('Calculations'!$HE$13:$HE$512,"="&amp;SUBSTITUTE(SUBSTITUTE(SUBSTITUTE('Calculations'!HW52,"~","~~"),"*","~*"),"?","~?"))&gt;1,"!AMBIG",IFERROR(INDEX('Calculations'!$HF$13:$HF$512,MATCH('Calculations'!HW52,'Calculations'!$HE$13:$HE$512,0)),""))))</x:f>
      </x:c>
      <x:c r="HY52" t="str">
        <x:f>IF('Calculations'!HX52="","",IF('Calculations'!HX52="!AMBIG","!AMBIG",IF(COUNTIF('Calculations'!$HE$13:$HE$512,"="&amp;SUBSTITUTE(SUBSTITUTE(SUBSTITUTE('Calculations'!HX52,"~","~~"),"*","~*"),"?","~?"))&gt;1,"!AMBIG",IFERROR(INDEX('Calculations'!$HF$13:$HF$512,MATCH('Calculations'!HX52,'Calculations'!$HE$13:$HE$512,0)),""))))</x:f>
      </x:c>
      <x:c r="HZ52" t="str">
        <x:f>IF('Calculations'!HY52="","",IF('Calculations'!HY52="!AMBIG","!AMBIG",IF(COUNTIF('Calculations'!$HE$13:$HE$512,"="&amp;SUBSTITUTE(SUBSTITUTE(SUBSTITUTE('Calculations'!HY52,"~","~~"),"*","~*"),"?","~?"))&gt;1,"!AMBIG",IFERROR(INDEX('Calculations'!$HF$13:$HF$512,MATCH('Calculations'!HY52,'Calculations'!$HE$13:$HE$512,0)),""))))</x:f>
      </x:c>
      <x:c r="IA52" t="str">
        <x:f>IF('Calculations'!HZ52="","",IF('Calculations'!HZ52="!AMBIG","!AMBIG",IF(COUNTIF('Calculations'!$HE$13:$HE$512,"="&amp;SUBSTITUTE(SUBSTITUTE(SUBSTITUTE('Calculations'!HZ52,"~","~~"),"*","~*"),"?","~?"))&gt;1,"!AMBIG",IFERROR(INDEX('Calculations'!$HF$13:$HF$512,MATCH('Calculations'!HZ52,'Calculations'!$HE$13:$HE$512,0)),""))))</x:f>
      </x:c>
      <x:c r="IB52" t="str">
        <x:f>IF('Calculations'!IA52="","",IF('Calculations'!IA52="!AMBIG","!AMBIG",IF(COUNTIF('Calculations'!$HE$13:$HE$512,"="&amp;SUBSTITUTE(SUBSTITUTE(SUBSTITUTE('Calculations'!IA52,"~","~~"),"*","~*"),"?","~?"))&gt;1,"!AMBIG",IFERROR(INDEX('Calculations'!$HF$13:$HF$512,MATCH('Calculations'!IA52,'Calculations'!$HE$13:$HE$512,0)),""))))</x:f>
      </x:c>
      <x:c r="IC52" t="str">
        <x:f>IF('Calculations'!IB52="","",IF('Calculations'!IB52="!AMBIG","!AMBIG",IF(COUNTIF('Calculations'!$HE$13:$HE$512,"="&amp;SUBSTITUTE(SUBSTITUTE(SUBSTITUTE('Calculations'!IB52,"~","~~"),"*","~*"),"?","~?"))&gt;1,"!AMBIG",IFERROR(INDEX('Calculations'!$HF$13:$HF$512,MATCH('Calculations'!IB52,'Calculations'!$HE$13:$HE$512,0)),""))))</x:f>
      </x:c>
      <x:c r="ID52" t="str">
        <x:f>IF('Calculations'!IC52="","",IF('Calculations'!IC52="!AMBIG","!AMBIG",IF(COUNTIF('Calculations'!$HE$13:$HE$512,"="&amp;SUBSTITUTE(SUBSTITUTE(SUBSTITUTE('Calculations'!IC52,"~","~~"),"*","~*"),"?","~?"))&gt;1,"!AMBIG",IFERROR(INDEX('Calculations'!$HF$13:$HF$512,MATCH('Calculations'!IC52,'Calculations'!$HE$13:$HE$512,0)),""))))</x:f>
      </x:c>
      <x:c r="IE52" t="str">
        <x:f>IF('Calculations'!ID52="","",IF('Calculations'!ID52="!AMBIG","!AMBIG",IF(COUNTIF('Calculations'!$HE$13:$HE$512,"="&amp;SUBSTITUTE(SUBSTITUTE(SUBSTITUTE('Calculations'!ID52,"~","~~"),"*","~*"),"?","~?"))&gt;1,"!AMBIG",IFERROR(INDEX('Calculations'!$HF$13:$HF$512,MATCH('Calculations'!ID52,'Calculations'!$HE$13:$HE$512,0)),""))))</x:f>
      </x:c>
      <x:c r="IF52" t="str">
        <x:f>IF('Calculations'!IE52="","",IF('Calculations'!IE52="!AMBIG","!AMBIG",IF(COUNTIF('Calculations'!$HE$13:$HE$512,"="&amp;SUBSTITUTE(SUBSTITUTE(SUBSTITUTE('Calculations'!IE52,"~","~~"),"*","~*"),"?","~?"))&gt;1,"!AMBIG",IFERROR(INDEX('Calculations'!$HF$13:$HF$512,MATCH('Calculations'!IE52,'Calculations'!$HE$13:$HE$512,0)),""))))</x:f>
      </x:c>
      <x:c r="IG52" t="str">
        <x:f>IF('Calculations'!IF52="","",IF('Calculations'!IF52="!AMBIG","!AMBIG",IF(COUNTIF('Calculations'!$HE$13:$HE$512,"="&amp;SUBSTITUTE(SUBSTITUTE(SUBSTITUTE('Calculations'!IF52,"~","~~"),"*","~*"),"?","~?"))&gt;1,"!AMBIG",IFERROR(INDEX('Calculations'!$HF$13:$HF$512,MATCH('Calculations'!IF52,'Calculations'!$HE$13:$HE$512,0)),""))))</x:f>
      </x:c>
      <x:c r="IH52" t="str">
        <x:f>IF('Calculations'!IG52="","",IF('Calculations'!IG52="!AMBIG","!AMBIG",IF(COUNTIF('Calculations'!$HE$13:$HE$512,"="&amp;SUBSTITUTE(SUBSTITUTE(SUBSTITUTE('Calculations'!IG52,"~","~~"),"*","~*"),"?","~?"))&gt;1,"!AMBIG",IFERROR(INDEX('Calculations'!$HF$13:$HF$512,MATCH('Calculations'!IG52,'Calculations'!$HE$13:$HE$512,0)),""))))</x:f>
      </x:c>
      <x:c r="II52" t="str">
        <x:f>IF('Calculations'!IH52="","",IF('Calculations'!IH52="!AMBIG","!AMBIG",IF(COUNTIF('Calculations'!$HE$13:$HE$512,"="&amp;SUBSTITUTE(SUBSTITUTE(SUBSTITUTE('Calculations'!IH52,"~","~~"),"*","~*"),"?","~?"))&gt;1,"!AMBIG",IFERROR(INDEX('Calculations'!$HF$13:$HF$512,MATCH('Calculations'!IH52,'Calculations'!$HE$13:$HE$512,0)),""))))</x:f>
      </x:c>
      <x:c r="IJ52" t="str">
        <x:f>IF('Calculations'!EM52="","",IF('Calculations'!$EF$2="All",'Calculations'!HM52,IF('Calculations'!HL52=1,"",IFERROR(IF(MATCH('Calculations'!$EF$2,'Calculations'!HO52:II52,0)=1,'Calculations'!HE52,INDEX('Calculations'!HO52:II52,1,MATCH('Calculations'!$EF$2,'Calculations'!HO52:II52,0)-1)),""))))</x:f>
      </x:c>
      <x:c r="IK52" t="n">
        <x:f>IF(AND('Calculations'!EM52&lt;&gt;"",'Calculations'!$EF$2&lt;&gt;"All",'Calculations'!HF52='Calculations'!$EF$2,'Calculations'!HL52=0,'Calculations'!JD52&gt;0),MAX('Calculations'!$IK$12:IK51)+1,0)</x:f>
        <x:v>0</x:v>
      </x:c>
      <x:c r="JA52" t="n">
        <x:f>IF(OR(IFERROR(INDIRECT("'WCM Calibration Final'!$A$52")&lt;&gt;"",FALSE),IFERROR(INDIRECT("'WCM Calibration Final'!$B$52")&lt;&gt;"",FALSE),IFERROR(INDIRECT("'WCM Calibration Final'!$C$52")&lt;&gt;"",FALSE)),52,0)</x:f>
        <x:v>0</x:v>
      </x:c>
      <x:c r="JB52" t="n">
        <x:f>'Calculations'!JB51+IF('Calculations'!JA52&gt;0,1,0)</x:f>
        <x:v>0</x:v>
      </x:c>
      <x:c r="JC52" t="n">
        <x:f>IF(OR('Calculations'!HF52="",'Calculations'!HF52="!AMBIG"),0,IF('Dashboard'!$B$7="All",1,COUNTIFS('Calculations'!$HO$13:$HO$512,"="&amp;SUBSTITUTE(SUBSTITUTE(SUBSTITUTE('Calculations'!HF52,"~","~~"),"*","~*"),"?","~?"),'Calculations'!$HN$13:$HN$512,"="&amp;SUBSTITUTE(SUBSTITUTE(SUBSTITUTE('Dashboard'!$B$7,"~","~~"),"*","~*"),"?","~?"))+COUNTIFS('Calculations'!$HP$13:$HP$512,"="&amp;SUBSTITUTE(SUBSTITUTE(SUBSTITUTE('Calculations'!HF52,"~","~~"),"*","~*"),"?","~?"),'Calculations'!$HN$13:$HN$512,"="&amp;SUBSTITUTE(SUBSTITUTE(SUBSTITUTE('Dashboard'!$B$7,"~","~~"),"*","~*"),"?","~?"))+COUNTIFS('Calculations'!$HQ$13:$HQ$512,"="&amp;SUBSTITUTE(SUBSTITUTE(SUBSTITUTE('Calculations'!HF52,"~","~~"),"*","~*"),"?","~?"),'Calculations'!$HN$13:$HN$512,"="&amp;SUBSTITUTE(SUBSTITUTE(SUBSTITUTE('Dashboard'!$B$7,"~","~~"),"*","~*"),"?","~?"))+COUNTIFS('Calculations'!$HR$13:$HR$512,"="&amp;SUBSTITUTE(SUBSTITUTE(SUBSTITUTE('Calculations'!HF52,"~","~~"),"*","~*"),"?","~?"),'Calculations'!$HN$13:$HN$512,"="&amp;SUBSTITUTE(SUBSTITUTE(SUBSTITUTE('Dashboard'!$B$7,"~","~~"),"*","~*"),"?","~?"))+COUNTIFS('Calculations'!$HS$13:$HS$512,"="&amp;SUBSTITUTE(SUBSTITUTE(SUBSTITUTE('Calculations'!HF52,"~","~~"),"*","~*"),"?","~?"),'Calculations'!$HN$13:$HN$512,"="&amp;SUBSTITUTE(SUBSTITUTE(SUBSTITUTE('Dashboard'!$B$7,"~","~~"),"*","~*"),"?","~?"))+COUNTIFS('Calculations'!$HT$13:$HT$512,"="&amp;SUBSTITUTE(SUBSTITUTE(SUBSTITUTE('Calculations'!HF52,"~","~~"),"*","~*"),"?","~?"),'Calculations'!$HN$13:$HN$512,"="&amp;SUBSTITUTE(SUBSTITUTE(SUBSTITUTE('Dashboard'!$B$7,"~","~~"),"*","~*"),"?","~?"))+COUNTIFS('Calculations'!$HU$13:$HU$512,"="&amp;SUBSTITUTE(SUBSTITUTE(SUBSTITUTE('Calculations'!HF52,"~","~~"),"*","~*"),"?","~?"),'Calculations'!$HN$13:$HN$512,"="&amp;SUBSTITUTE(SUBSTITUTE(SUBSTITUTE('Dashboard'!$B$7,"~","~~"),"*","~*"),"?","~?"))+COUNTIFS('Calculations'!$HV$13:$HV$512,"="&amp;SUBSTITUTE(SUBSTITUTE(SUBSTITUTE('Calculations'!HF52,"~","~~"),"*","~*"),"?","~?"),'Calculations'!$HN$13:$HN$512,"="&amp;SUBSTITUTE(SUBSTITUTE(SUBSTITUTE('Dashboard'!$B$7,"~","~~"),"*","~*"),"?","~?"))+COUNTIFS('Calculations'!$HW$13:$HW$512,"="&amp;SUBSTITUTE(SUBSTITUTE(SUBSTITUTE('Calculations'!HF52,"~","~~"),"*","~*"),"?","~?"),'Calculations'!$HN$13:$HN$512,"="&amp;SUBSTITUTE(SUBSTITUTE(SUBSTITUTE('Dashboard'!$B$7,"~","~~"),"*","~*"),"?","~?"))+COUNTIFS('Calculations'!$HX$13:$HX$512,"="&amp;SUBSTITUTE(SUBSTITUTE(SUBSTITUTE('Calculations'!HF52,"~","~~"),"*","~*"),"?","~?"),'Calculations'!$HN$13:$HN$512,"="&amp;SUBSTITUTE(SUBSTITUTE(SUBSTITUTE('Dashboard'!$B$7,"~","~~"),"*","~*"),"?","~?"))+COUNTIFS('Calculations'!$HY$13:$HY$512,"="&amp;SUBSTITUTE(SUBSTITUTE(SUBSTITUTE('Calculations'!HF52,"~","~~"),"*","~*"),"?","~?"),'Calculations'!$HN$13:$HN$512,"="&amp;SUBSTITUTE(SUBSTITUTE(SUBSTITUTE('Dashboard'!$B$7,"~","~~"),"*","~*"),"?","~?"))+COUNTIFS('Calculations'!$HZ$13:$HZ$512,"="&amp;SUBSTITUTE(SUBSTITUTE(SUBSTITUTE('Calculations'!HF52,"~","~~"),"*","~*"),"?","~?"),'Calculations'!$HN$13:$HN$512,"="&amp;SUBSTITUTE(SUBSTITUTE(SUBSTITUTE('Dashboard'!$B$7,"~","~~"),"*","~*"),"?","~?"))+COUNTIFS('Calculations'!$IA$13:$IA$512,"="&amp;SUBSTITUTE(SUBSTITUTE(SUBSTITUTE('Calculations'!HF52,"~","~~"),"*","~*"),"?","~?"),'Calculations'!$HN$13:$HN$512,"="&amp;SUBSTITUTE(SUBSTITUTE(SUBSTITUTE('Dashboard'!$B$7,"~","~~"),"*","~*"),"?","~?"))+COUNTIFS('Calculations'!$IB$13:$IB$512,"="&amp;SUBSTITUTE(SUBSTITUTE(SUBSTITUTE('Calculations'!HF52,"~","~~"),"*","~*"),"?","~?"),'Calculations'!$HN$13:$HN$512,"="&amp;SUBSTITUTE(SUBSTITUTE(SUBSTITUTE('Dashboard'!$B$7,"~","~~"),"*","~*"),"?","~?"))+COUNTIFS('Calculations'!$IC$13:$IC$512,"="&amp;SUBSTITUTE(SUBSTITUTE(SUBSTITUTE('Calculations'!HF52,"~","~~"),"*","~*"),"?","~?"),'Calculations'!$HN$13:$HN$512,"="&amp;SUBSTITUTE(SUBSTITUTE(SUBSTITUTE('Dashboard'!$B$7,"~","~~"),"*","~*"),"?","~?"))+COUNTIFS('Calculations'!$ID$13:$ID$512,"="&amp;SUBSTITUTE(SUBSTITUTE(SUBSTITUTE('Calculations'!HF52,"~","~~"),"*","~*"),"?","~?"),'Calculations'!$HN$13:$HN$512,"="&amp;SUBSTITUTE(SUBSTITUTE(SUBSTITUTE('Dashboard'!$B$7,"~","~~"),"*","~*"),"?","~?"))+COUNTIFS('Calculations'!$IE$13:$IE$512,"="&amp;SUBSTITUTE(SUBSTITUTE(SUBSTITUTE('Calculations'!HF52,"~","~~"),"*","~*"),"?","~?"),'Calculations'!$HN$13:$HN$512,"="&amp;SUBSTITUTE(SUBSTITUTE(SUBSTITUTE('Dashboard'!$B$7,"~","~~"),"*","~*"),"?","~?"))+COUNTIFS('Calculations'!$IF$13:$IF$512,"="&amp;SUBSTITUTE(SUBSTITUTE(SUBSTITUTE('Calculations'!HF52,"~","~~"),"*","~*"),"?","~?"),'Calculations'!$HN$13:$HN$512,"="&amp;SUBSTITUTE(SUBSTITUTE(SUBSTITUTE('Dashboard'!$B$7,"~","~~"),"*","~*"),"?","~?"))+COUNTIFS('Calculations'!$IG$13:$IG$512,"="&amp;SUBSTITUTE(SUBSTITUTE(SUBSTITUTE('Calculations'!HF52,"~","~~"),"*","~*"),"?","~?"),'Calculations'!$HN$13:$HN$512,"="&amp;SUBSTITUTE(SUBSTITUTE(SUBSTITUTE('Dashboard'!$B$7,"~","~~"),"*","~*"),"?","~?"))+COUNTIFS('Calculations'!$IH$13:$IH$512,"="&amp;SUBSTITUTE(SUBSTITUTE(SUBSTITUTE('Calculations'!HF52,"~","~~"),"*","~*"),"?","~?"),'Calculations'!$HN$13:$HN$512,"="&amp;SUBSTITUTE(SUBSTITUTE(SUBSTITUTE('Dashboard'!$B$7,"~","~~"),"*","~*"),"?","~?"))))</x:f>
        <x:v>0</x:v>
      </x:c>
      <x:c r="JD52" t="n">
        <x:f>IF('Calculations'!EM52="",0,IF('Dashboard'!$B$7="All",1,IF('Calculations'!HN52='Dashboard'!$B$7,1,0)+IFERROR(INDEX('Calculations'!$JC$13:$JC$512,MATCH('Calculations'!HE52,'Calculations'!$HF$13:$HF$512,0)),0)))</x:f>
        <x:v>0</x:v>
      </x:c>
      <x:c r="JE52" t="n">
        <x:f>IF(AND('Calculations'!EM52&lt;&gt;"",'Calculations'!$JJ$2&lt;&gt;"All",'Calculations'!$JJ$2&lt;&gt;"",'Calculations'!HF52='Calculations'!$JJ$2,'Calculations'!HL52=0,'Calculations'!JD52&gt;0),MAX('Calculations'!$JE$12:JE51)+1,0)</x:f>
        <x:v>0</x:v>
      </x:c>
      <x:c r="JF52" t="str">
        <x:f>IF('Calculations'!EM52="","",IFERROR(IF(INDEX(INDIRECT("'WCM Calibration Final'!$G$1:$G$2000"),'Calculations'!$EM52)="","",TRIM(INDEX(INDIRECT("'WCM Calibration Final'!$G$1:$G$2000"),'Calculations'!$EM52)&amp;"")),""))</x:f>
      </x:c>
      <x:c r="JQ52" t="n">
        <x:f>IF(OR('Calculations'!BM52=0,NOT('Calculations'!$AG$2),'Calculations'!$AG$8&gt;0),0,IF(OR('Dashboard'!$B$7="All",'Calculations'!HN52='Dashboard'!$B$7),IF('Calculations'!$JJ$2="All",1,IF(AND('Calculations'!HF52='Calculations'!$JJ$2,'Calculations'!HL52=0),1,0)),0))</x:f>
        <x:v>0</x:v>
      </x:c>
    </x:row>
    <x:row r="53">
      <x:c r="AF53" s="4" t="str">
        <x:f>"SVP (n="&amp;'Calculations'!AH53&amp;")"</x:f>
        <x:v>SVP (n=0)</x:v>
      </x:c>
      <x:c r="AG53" s="4" t="n">
        <x:f>COUNTIFS('Calculations'!$BN$13:$BN$512,1,'Calculations'!$BV$13:$BV$512,'Calculations'!AT53)</x:f>
        <x:v>0</x:v>
      </x:c>
      <x:c r="AH53" s="4" t="n">
        <x:f>SUM('Calculations'!AJ53:AM53)</x:f>
        <x:v>0</x:v>
      </x:c>
      <x:c r="AI53" s="4" t="n">
        <x:f>'Calculations'!AG53-'Calculations'!AH53</x:f>
        <x:v>0</x:v>
      </x:c>
      <x:c r="AJ53" s="4" t="n">
        <x:f>COUNTIFS('Calculations'!$BN$13:$BN$512,1,'Calculations'!$BV$13:$BV$512,'Calculations'!AT53,'Calculations'!$BZ$13:$BZ$512,1)</x:f>
        <x:v>0</x:v>
      </x:c>
      <x:c r="AK53" s="4" t="n">
        <x:f>COUNTIFS('Calculations'!$BN$13:$BN$512,1,'Calculations'!$BV$13:$BV$512,'Calculations'!AT53,'Calculations'!$BZ$13:$BZ$512,2)</x:f>
        <x:v>0</x:v>
      </x:c>
      <x:c r="AL53" s="4" t="n">
        <x:f>COUNTIFS('Calculations'!$BN$13:$BN$512,1,'Calculations'!$BV$13:$BV$512,'Calculations'!AT53,'Calculations'!$BZ$13:$BZ$512,3)</x:f>
        <x:v>0</x:v>
      </x:c>
      <x:c r="AM53" s="4" t="n">
        <x:f>COUNTIFS('Calculations'!$BN$13:$BN$512,1,'Calculations'!$BV$13:$BV$512,'Calculations'!AT53,'Calculations'!$BZ$13:$BZ$512,4)</x:f>
        <x:v>0</x:v>
      </x:c>
      <x:c r="AN53" s="4"/>
      <x:c r="AO53" s="4" t="e">
        <x:f>IF('Calculations'!AH53=0,NA(),'Calculations'!AJ53/'Calculations'!AH53)</x:f>
        <x:v>#N/A</x:v>
      </x:c>
      <x:c r="AP53" s="4" t="e">
        <x:f>IF('Calculations'!AH53=0,NA(),'Calculations'!AK53/'Calculations'!AH53)</x:f>
        <x:v>#N/A</x:v>
      </x:c>
      <x:c r="AQ53" s="4" t="e">
        <x:f>IF('Calculations'!AH53=0,NA(),'Calculations'!AL53/'Calculations'!AH53)</x:f>
        <x:v>#N/A</x:v>
      </x:c>
      <x:c r="AR53" s="4" t="e">
        <x:f>IF('Calculations'!AH53=0,NA(),'Calculations'!AM53/'Calculations'!AH53)</x:f>
        <x:v>#N/A</x:v>
      </x:c>
      <x:c r="AS53" s="4"/>
      <x:c r="AT53" s="4" t="str">
        <x:v>SENIOR VICE PRESIDENT</x:v>
      </x:c>
      <x:c r="AU53" s="4"/>
      <x:c r="AV53" s="4"/>
      <x:c r="AW53" s="4"/>
      <x:c r="AX53" s="4"/>
      <x:c r="AY53" s="4"/>
      <x:c r="AZ53" s="4"/>
      <x:c r="BA53" s="4"/>
      <x:c r="BB53" s="4"/>
      <x:c r="BC53" s="4"/>
      <x:c r="BD53" s="4"/>
      <x:c r="BE53" s="4"/>
      <x:c r="BF53" s="4"/>
      <x:c r="BG53" s="4"/>
      <x:c r="BH53" s="4"/>
      <x:c r="BI53" s="4"/>
      <x:c r="BJ53" s="4"/>
      <x:c r="BK53" s="4"/>
      <x:c r="BL53" s="4"/>
      <x:c r="BM53" s="4" t="n">
        <x:f>IF('Calculations'!$EM53="",0,IF(OR(IFERROR(INDEX(INDIRECT("'WCM Calibration Final'!$A$1:$A$2000"),'Calculations'!$EM53)&lt;&gt;"",FALSE),IFERROR(INDEX(INDIRECT("'WCM Calibration Final'!$B$1:$B$2000"),'Calculations'!$EM53)&lt;&gt;"",FALSE),IFERROR(INDEX(INDIRECT("'WCM Calibration Final'!$C$1:$C$2000"),'Calculations'!$EM53)&lt;&gt;"",FALSE)),1,0))</x:f>
        <x:v>0</x:v>
      </x:c>
      <x:c r="BN53" s="4" t="n">
        <x:f>IF(AND('Calculations'!BM53=1,'Calculations'!$AG$2,'Calculations'!$EN53=1),1,0)</x:f>
        <x:v>0</x:v>
      </x:c>
      <x:c r="BO53" s="4" t="str">
        <x:f>IF('Calculations'!BM53=0,"",IFERROR(IF(AND(VALUE(INDEX(INDIRECT("'WCM Calibration Final'!$K$1:$K$2000"),'Calculations'!$EM53))&gt;=1,VALUE(INDEX(INDIRECT("'WCM Calibration Final'!$K$1:$K$2000"),'Calculations'!$EM53))&lt;=4,MOD(VALUE(INDEX(INDIRECT("'WCM Calibration Final'!$K$1:$K$2000"),'Calculations'!$EM53)),1)=0),VALUE(INDEX(INDIRECT("'WCM Calibration Final'!$K$1:$K$2000"),'Calculations'!$EM53)),""),""))</x:f>
      </x:c>
      <x:c r="BP53" s="4" t="str">
        <x:f>IF('Calculations'!BM53=0,"",IFERROR(IF(AND(VALUE(INDEX(INDIRECT("'WCM Calibration Final'!$L$1:$L$2000"),'Calculations'!$EM53))&gt;=1,VALUE(INDEX(INDIRECT("'WCM Calibration Final'!$L$1:$L$2000"),'Calculations'!$EM53))&lt;=4,MOD(VALUE(INDEX(INDIRECT("'WCM Calibration Final'!$L$1:$L$2000"),'Calculations'!$EM53)),1)=0),VALUE(INDEX(INDIRECT("'WCM Calibration Final'!$L$1:$L$2000"),'Calculations'!$EM53)),""),""))</x:f>
      </x:c>
      <x:c r="BQ53" s="4"/>
      <x:c r="BR53" s="4"/>
      <x:c r="BS53" s="4"/>
      <x:c r="BT53" s="4" t="n">
        <x:f>IF(AND('Calculations'!BM53=1,ISNUMBER('Calculations'!BO53),ISNUMBER('Calculations'!BP53)),1,0)</x:f>
        <x:v>0</x:v>
      </x:c>
      <x:c r="BU53" s="4" t="str">
        <x:f>IF('Calculations'!BM53=0,"",'Calculations'!$EO53)</x:f>
      </x:c>
      <x:c r="BV53" s="4" t="str">
        <x:f>IF('Calculations'!BM53=0,"",IFERROR(IF(OR(INDEX(INDIRECT("'WCM Calibration Final'!$H$1:$H$2000"),'Calculations'!$EM53)="MANAGING DIRECTOR",INDEX(INDIRECT("'WCM Calibration Final'!$H$1:$H$2000"),'Calculations'!$EM53)="DIRECTOR",INDEX(INDIRECT("'WCM Calibration Final'!$H$1:$H$2000"),'Calculations'!$EM53)="SENIOR VICE PRESIDENT",INDEX(INDIRECT("'WCM Calibration Final'!$H$1:$H$2000"),'Calculations'!$EM53)="VICE PRESIDENT",INDEX(INDIRECT("'WCM Calibration Final'!$H$1:$H$2000"),'Calculations'!$EM53)="ASSISTANT VICE PRESIDENT",INDEX(INDIRECT("'WCM Calibration Final'!$H$1:$H$2000"),'Calculations'!$EM53)="OFFICER"),UPPER(INDEX(INDIRECT("'WCM Calibration Final'!$H$1:$H$2000"),'Calculations'!$EM53)),"Other"),"Other"))</x:f>
      </x:c>
      <x:c r="BW53" s="4"/>
      <x:c r="BX53" s="4"/>
      <x:c r="BY53" s="4" t="n">
        <x:f>IF(AND('Calculations'!BM53=1,'Calculations'!BU53&lt;&gt;"",COUNTIF('Calculations'!$BU$12:BU53,'Calculations'!BU53)=1),MAX('Calculations'!$BY$11:BY52)+1,0)</x:f>
        <x:v>0</x:v>
      </x:c>
      <x:c r="BZ53" s="4" t="str">
        <x:f>IF('Dashboard'!$E$67="What",'Calculations'!BO53,'Calculations'!BP53)</x:f>
      </x:c>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t="str">
        <x:f>IF(42&gt;MAX('Calculations'!$HI$13:$HI$512),"",INDEX('Calculations'!$HN$13:$HN$512,MATCH(42,'Calculations'!$HI$13:$HI$512,0)))</x:f>
      </x:c>
      <x:c r="DB53" s="4" t="str">
        <x:f>IF(42&gt;MAX('Calculations'!$HH$13:$HH$512),"",INDEX('Calculations'!$HJ$13:$HJ$512,MATCH(42,'Calculations'!$HH$13:$HH$512,0)))</x:f>
      </x:c>
      <x:c r="DC53" s="4" t="str">
        <x:f>IF(ROW()-11&gt;MAX('Calculations'!$BY$13:$BY$512),"",INDEX('Calculations'!$BU$13:$BU$512,MATCH(ROW()-11,'Calculations'!$BY$13:$BY$512,0)))</x:f>
      </x:c>
      <x:c r="DD53" s="4" t="str">
        <x:f>IF(42&gt;MAX('Calculations'!$IK$13:$IK$512),"",INDEX('Calculations'!$HK$13:$HK$512,MATCH(42,'Calculations'!$IK$13:$IK$512,0)))</x:f>
      </x:c>
      <x:c r="DE53" s="4" t="str">
        <x:f>'Calculations'!DC53</x:f>
      </x:c>
      <x:c r="DF53" s="4" t="str">
        <x:f>IF('Calculations'!DE53="","",COUNTIFS('Calculations'!$BN$13:$BN$512,1,'Calculations'!$BU$13:$BU$512,'Calculations'!DE53))</x:f>
      </x:c>
      <x:c r="DG53" s="4" t="str">
        <x:f>IF('Calculations'!DE53="","",COUNTIFS('Calculations'!$BN$13:$BN$512,1,'Calculations'!$BU$13:$BU$512,'Calculations'!DE53,'Calculations'!$BT$13:$BT$512,1))</x:f>
      </x:c>
      <x:c r="DH53" s="4" t="str">
        <x:f>IF('Calculations'!DE53="","",'Calculations'!DF53-'Calculations'!DG53)</x:f>
      </x:c>
      <x:c r="DI53" s="4" t="str">
        <x:f>IF(OR('Calculations'!DE53="",'Calculations'!DF53=0),"",'Calculations'!DG53/'Calculations'!DF53)</x:f>
      </x:c>
      <x:c r="DJ53" s="4" t="str">
        <x:f>IF('Calculations'!DE53="","",COUNTIFS('Calculations'!$BN$13:$BN$512,1,'Calculations'!$BU$13:$BU$512,'Calculations'!DE53,'Calculations'!$BT$13:$BT$512,1,'Calculations'!$EE$13:$EE$512,"High"))</x:f>
      </x:c>
      <x:c r="DK53" s="4" t="str">
        <x:f>IF('Calculations'!DE53="","",COUNTIFS('Calculations'!$BN$13:$BN$512,1,'Calculations'!$BU$13:$BU$512,'Calculations'!DE53,'Calculations'!$BT$13:$BT$512,1,'Calculations'!$EE$13:$EE$512,"Strong"))</x:f>
      </x:c>
      <x:c r="DL53" s="4" t="str">
        <x:f>IF('Calculations'!DE53="","",COUNTIFS('Calculations'!$BN$13:$BN$512,1,'Calculations'!$BU$13:$BU$512,'Calculations'!DE53,'Calculations'!$BT$13:$BT$512,1,'Calculations'!$EE$13:$EE$512,"Solid"))</x:f>
      </x:c>
      <x:c r="DM53" s="4" t="str">
        <x:f>IF('Calculations'!DE53="","",COUNTIFS('Calculations'!$BN$13:$BN$512,1,'Calculations'!$BU$13:$BU$512,'Calculations'!DE53,'Calculations'!$BT$13:$BT$512,1,'Calculations'!$EE$13:$EE$512,"Low"))</x:f>
      </x:c>
      <x:c r="DN53" s="4" t="str">
        <x:f>IF('Calculations'!DE53="","",COUNTIFS('Calculations'!$BN$13:$BN$512,1,'Calculations'!$BU$13:$BU$512,'Calculations'!DE53,'Calculations'!$EP$13:$EP$512,1))</x:f>
      </x:c>
      <x:c r="DO53" s="4" t="str">
        <x:f>IF(OR('Calculations'!DE53="",'Calculations'!DG53=0),"",('Calculations'!DJ53+'Calculations'!DK53)/'Calculations'!DG53)</x:f>
      </x:c>
      <x:c r="DP53" s="4" t="n">
        <x:f>IF(AND('Calculations'!DE53&lt;&gt;"",'Calculations'!DF53&gt;0),COUNTIF('Calculations'!$DF$12:DF53,"&gt;0"),0)</x:f>
        <x:v>0</x:v>
      </x:c>
      <x:c r="DQ53" s="4" t="str">
        <x:f>IF(42&gt;MAX('Calculations'!$HH$13:$HH$512),"",INDEX('Calculations'!$HF$13:$HF$512,MATCH(42,'Calculations'!$HH$13:$HH$512,0)))</x:f>
      </x:c>
      <x:c r="DR53" s="4" t="str">
        <x:f>IF(42&gt;MAX('Calculations'!$IK$13:$IK$512),"",INDEX('Calculations'!$HE$13:$HE$512,MATCH(42,'Calculations'!$IK$13:$IK$512,0)))</x:f>
      </x:c>
      <x:c r="DS53" s="4"/>
      <x:c r="DT53" s="4"/>
      <x:c r="DU53" s="4"/>
      <x:c r="DV53" s="4"/>
      <x:c r="DW53" s="4"/>
      <x:c r="DX53" s="4"/>
      <x:c r="DY53" s="4" t="str">
        <x:f>IFERROR(TEXT('Calculations'!AI71,"0.0%"),"—")</x:f>
        <x:v>10.0%</x:v>
      </x:c>
      <x:c r="DZ53" s="4"/>
      <x:c r="EA53" s="4"/>
      <x:c r="EB53" s="4"/>
      <x:c r="EC53" s="4"/>
      <x:c r="ED53" s="4"/>
      <x:c r="EE53" s="4" t="str">
        <x:f>IF('Calculations'!BT53=0,"Not Rated",IF(OR('Calculations'!BO53&gt;=4,'Calculations'!BP53&gt;=4),"Low",IF('Calculations'!BO53+'Calculations'!BP53&lt;=3,"High",IF('Calculations'!BO53+'Calculations'!BP53&lt;=4,"Strong","Solid"))))</x:f>
        <x:v>Not Rated</x:v>
      </x:c>
      <x:c r="EF53" s="4"/>
      <x:c r="EG53" s="4"/>
      <x:c r="EH53" s="4"/>
      <x:c r="EI53" s="4"/>
      <x:c r="EJ53" s="4"/>
      <x:c r="EK53" s="4"/>
      <x:c r="EL53" s="4"/>
      <x:c r="EM53" s="4" t="str">
        <x:f>IF(41&gt;'Calculations'!$JB$2000,"",INDEX('Calculations'!$JA$12:$JA$2000,MATCH(41,'Calculations'!$JB$12:$JB$2000,0)))</x:f>
      </x:c>
      <x:c r="EN53" s="4" t="n">
        <x:f>IF(OR('Calculations'!EM53="",'Calculations'!$AG$8&gt;0,AND('Calculations'!$EF$2&lt;&gt;"All",'Calculations'!HE53='Calculations'!$EF$2),AND('Calculations'!$EF$3&lt;&gt;"All",'Calculations'!HE53='Calculations'!$EF$3)),0,IF(OR('Dashboard'!$B$7="All",'Calculations'!HN53='Dashboard'!$B$7),IF('Calculations'!$EF$2="All",1,IF('Calculations'!HL53&gt;0,0,IF(COUNTIF('Calculations'!HO53:II53,"="&amp;SUBSTITUTE(SUBSTITUTE(SUBSTITUTE('Calculations'!$EF$2,"~","~~"),"*","~*"),"?","~?"))=0,0,IF('Calculations'!$EF$3="All",1,IF(COUNTIF('Calculations'!HO53:II53,"="&amp;SUBSTITUTE(SUBSTITUTE(SUBSTITUTE('Calculations'!$EF$3,"~","~~"),"*","~*"),"?","~?"))&gt;0,1,0))))),0))</x:f>
        <x:v>0</x:v>
      </x:c>
      <x:c r="EO53" s="4" t="str">
        <x:f>IF('Calculations'!IJ53="","",IF('Calculations'!IJ53="!UNRESOLVED","Unresolved hierarchy",IFERROR(INDEX('Calculations'!$HK$13:$HK$512,MATCH('Calculations'!IJ53,'Calculations'!$HE$13:$HE$512,0)),IFERROR(INDEX('Calculations'!$HJ$13:$HJ$512,MATCH('Calculations'!IJ53,'Calculations'!$HF$13:$HF$512,0)),'Calculations'!IJ53))))</x:f>
      </x:c>
      <x:c r="EP53" s="4" t="n">
        <x:f>IF(AND('Calculations'!EM53&lt;&gt;"",'Calculations'!HF53='Calculations'!IJ53),1,0)</x:f>
        <x:v>0</x:v>
      </x:c>
      <x:c r="EQ53" s="4"/>
      <x:c r="ER53" s="4"/>
      <x:c r="ES53" s="4"/>
      <x:c r="ET53" s="4"/>
      <x:c r="EU53" s="4"/>
      <x:c r="EV53" s="4"/>
      <x:c r="EW53" s="4"/>
      <x:c r="EX53" s="4"/>
      <x:c r="EY53" s="4"/>
      <x:c r="EZ53" s="4"/>
      <x:c r="FA53" s="4"/>
      <x:c r="FB53" s="4"/>
      <x:c r="FC53" s="4"/>
      <x:c r="FD53" s="4"/>
      <x:c r="FE53" s="4"/>
      <x:c r="FF53" s="4"/>
      <x:c r="FG53" s="4"/>
      <x:c r="FH53" s="4"/>
      <x:c r="FI53" s="4"/>
      <x:c r="FJ53" s="4"/>
      <x:c r="FK53" s="4"/>
      <x:c r="FL53" s="4"/>
      <x:c r="FM53" s="4"/>
      <x:c r="FN53" s="4"/>
      <x:c r="FO53" s="4"/>
      <x:c r="GA53" s="71"/>
      <x:c r="GB53" s="71"/>
      <x:c r="GC53" s="71"/>
      <x:c r="GD53" s="71"/>
      <x:c r="GE53" s="71"/>
      <x:c r="GF53" s="71"/>
      <x:c r="GG53" s="71"/>
      <x:c r="GH53" s="71"/>
      <x:c r="GI53" s="71"/>
      <x:c r="GJ53" s="71"/>
      <x:c r="GK53" s="71"/>
      <x:c r="GL53" s="71"/>
      <x:c r="GM53" s="71"/>
      <x:c r="GN53" s="71"/>
      <x:c r="GO53" s="71"/>
      <x:c r="GP53" s="71"/>
      <x:c r="GQ53" s="71"/>
      <x:c r="GR53" s="71"/>
      <x:c r="GS53" s="71"/>
      <x:c r="GT53" s="71"/>
      <x:c r="GU53" s="71"/>
      <x:c r="GV53" s="71"/>
      <x:c r="GW53" s="71"/>
      <x:c r="GX53" s="71"/>
      <x:c r="GY53" s="71"/>
      <x:c r="GZ53" s="71"/>
      <x:c r="HA53" s="71"/>
      <x:c r="HB53" s="71"/>
      <x:c r="HC53" s="71"/>
      <x:c r="HD53" s="71"/>
      <x:c r="HE53" t="str">
        <x:f>IF('Calculations'!EM53="","",IF(IFERROR(IF(INDEX(INDIRECT("'WCM Calibration Final'!$A$1:$A$2000"),'Calculations'!$EM53)="","",TRIM(INDEX(INDIRECT("'WCM Calibration Final'!$A$1:$A$2000"),'Calculations'!$EM53)&amp;"")),"")&lt;&gt;"","G:"&amp;IFERROR(TEXT(1*INDEX(INDIRECT("'WCM Calibration Final'!$A$1:$A$2000"),'Calculations'!$EM53),"0"),UPPER(IFERROR(IF(INDEX(INDIRECT("'WCM Calibration Final'!$A$1:$A$2000"),'Calculations'!$EM53)="","",TRIM(INDEX(INDIRECT("'WCM Calibration Final'!$A$1:$A$2000"),'Calculations'!$EM53)&amp;"")),""))),IF(IFERROR(IF(INDEX(INDIRECT("'WCM Calibration Final'!$C$1:$C$2000"),'Calculations'!$EM53)="","",TRIM(INDEX(INDIRECT("'WCM Calibration Final'!$C$1:$C$2000"),'Calculations'!$EM53)&amp;"")),"")&lt;&gt;"","S:"&amp;UPPER(IFERROR(IF(INDEX(INDIRECT("'WCM Calibration Final'!$C$1:$C$2000"),'Calculations'!$EM53)="","",TRIM(INDEX(INDIRECT("'WCM Calibration Final'!$C$1:$C$2000"),'Calculations'!$EM53)&amp;"")),"")),"R:"&amp;'Calculations'!EM53)))</x:f>
      </x:c>
      <x:c r="HF53" t="str">
        <x:f>IF('Calculations'!EM53="","",IF(IFERROR(IF(INDEX(INDIRECT("'WCM Calibration Final'!$D$1:$D$2000"),'Calculations'!$EM53)="","",TRIM(INDEX(INDIRECT("'WCM Calibration Final'!$D$1:$D$2000"),'Calculations'!$EM53)&amp;"")),"")&lt;&gt;"","G:"&amp;IFERROR(TEXT(1*INDEX(INDIRECT("'WCM Calibration Final'!$D$1:$D$2000"),'Calculations'!$EM53),"0"),UPPER(IFERROR(IF(INDEX(INDIRECT("'WCM Calibration Final'!$D$1:$D$2000"),'Calculations'!$EM53)="","",TRIM(INDEX(INDIRECT("'WCM Calibration Final'!$D$1:$D$2000"),'Calculations'!$EM53)&amp;"")),""))),IF(IFERROR(IF(INDEX(INDIRECT("'WCM Calibration Final'!$E$1:$E$2000"),'Calculations'!$EM53)="","",TRIM(INDEX(INDIRECT("'WCM Calibration Final'!$E$1:$E$2000"),'Calculations'!$EM53)&amp;"")),"")="","",IF(COUNTIF('Calculations'!$HG$13:$HG$512,"="&amp;SUBSTITUTE(SUBSTITUTE(SUBSTITUTE(IFERROR(IF(INDEX(INDIRECT("'WCM Calibration Final'!$E$1:$E$2000"),'Calculations'!$EM53)="","",TRIM(INDEX(INDIRECT("'WCM Calibration Final'!$E$1:$E$2000"),'Calculations'!$EM53)&amp;"")),""),"~","~~"),"*","~*"),"?","~?"))=1,INDEX('Calculations'!$HE$13:$HE$512,MATCH(IFERROR(IF(INDEX(INDIRECT("'WCM Calibration Final'!$E$1:$E$2000"),'Calculations'!$EM53)="","",TRIM(INDEX(INDIRECT("'WCM Calibration Final'!$E$1:$E$2000"),'Calculations'!$EM53)&amp;"")),""),'Calculations'!$HG$13:$HG$512,0)),IF(COUNTIF('Calculations'!$HG$13:$HG$512,"="&amp;SUBSTITUTE(SUBSTITUTE(SUBSTITUTE(IFERROR(IF(INDEX(INDIRECT("'WCM Calibration Final'!$E$1:$E$2000"),'Calculations'!$EM53)="","",TRIM(INDEX(INDIRECT("'WCM Calibration Final'!$E$1:$E$2000"),'Calculations'!$EM53)&amp;"")),""),"~","~~"),"*","~*"),"?","~?"))&gt;1,"!AMBIG","X:"&amp;IFERROR(IF(INDEX(INDIRECT("'WCM Calibration Final'!$E$1:$E$2000"),'Calculations'!$EM53)="","",TRIM(INDEX(INDIRECT("'WCM Calibration Final'!$E$1:$E$2000"),'Calculations'!$EM53)&amp;"")),""))))))</x:f>
      </x:c>
      <x:c r="HG53" t="str">
        <x:f>IF('Calculations'!EM53="","",IFERROR(IF(INDEX(INDIRECT("'WCM Calibration Final'!$B$1:$B$2000"),'Calculations'!$EM53)="","",TRIM(INDEX(INDIRECT("'WCM Calibration Final'!$B$1:$B$2000"),'Calculations'!$EM53)&amp;"")),""))</x:f>
      </x:c>
      <x:c r="HH53" t="n">
        <x:f>IF(AND('Calculations'!JC53&gt;0,COUNTIF('Calculations'!$HF$12:HF53,"="&amp;SUBSTITUTE(SUBSTITUTE(SUBSTITUTE('Calculations'!HF53,"~","~~"),"*","~*"),"?","~?"))=1),MAX('Calculations'!$HH$12:HH52)+1,0)</x:f>
        <x:v>0</x:v>
      </x:c>
      <x:c r="HI53" t="n">
        <x:f>IF(AND('Calculations'!HN53&lt;&gt;"",COUNTIF('Calculations'!$HN$12:HN53,"="&amp;SUBSTITUTE(SUBSTITUTE(SUBSTITUTE('Calculations'!HN53,"~","~~"),"*","~*"),"?","~?"))=1),MAX('Calculations'!$HI$12:HI52)+1,0)</x:f>
        <x:v>0</x:v>
      </x:c>
      <x:c r="HJ53" t="str">
        <x:f>IF('Calculations'!HF53="","",IF(COUNTIF('Calculations'!$HE$13:$HE$512,"="&amp;SUBSTITUTE(SUBSTITUTE(SUBSTITUTE('Calculations'!HF53,"~","~~"),"*","~*"),"?","~?"))=1,INDEX('Calculations'!$HK$13:$HK$512,MATCH('Calculations'!HF53,'Calculations'!$HE$13:$HE$512,0)),IFERROR(IF(INDEX(INDIRECT("'WCM Calibration Final'!$E$1:$E$2000"),'Calculations'!$EM53)="","",TRIM(INDEX(INDIRECT("'WCM Calibration Final'!$E$1:$E$2000"),'Calculations'!$EM53)&amp;"")),"")&amp;" ["&amp;'Calculations'!HF53&amp;"]"))</x:f>
      </x:c>
      <x:c r="HK53" t="str">
        <x:f>IF('Calculations'!EM53="","",'Calculations'!HG53&amp;" ["&amp;'Calculations'!HE53&amp;"]")</x:f>
      </x:c>
      <x:c r="HL53" t="n">
        <x:f>IF('Calculations'!EM53="",0,IF(OR('Calculations'!II53&lt;&gt;"",COUNTIF('Calculations'!$HE$13:$HE$512,"="&amp;SUBSTITUTE(SUBSTITUTE(SUBSTITUTE('Calculations'!HE53,"~","~~"),"*","~*"),"?","~?"))&gt;1),1,0))</x:f>
        <x:v>0</x:v>
      </x:c>
      <x:c r="HM53" t="str">
        <x:f>IF('Calculations'!EM53="","",IF('Calculations'!HL53=1,"!UNRESOLVED",IF('Calculations'!IH53&lt;&gt;"",'Calculations'!IH53,IF('Calculations'!IG53&lt;&gt;"",'Calculations'!IG53,IF('Calculations'!IF53&lt;&gt;"",'Calculations'!IF53,IF('Calculations'!IE53&lt;&gt;"",'Calculations'!IE53,IF('Calculations'!ID53&lt;&gt;"",'Calculations'!ID53,IF('Calculations'!IC53&lt;&gt;"",'Calculations'!IC53,IF('Calculations'!IB53&lt;&gt;"",'Calculations'!IB53,IF('Calculations'!IA53&lt;&gt;"",'Calculations'!IA53,IF('Calculations'!HZ53&lt;&gt;"",'Calculations'!HZ53,IF('Calculations'!HY53&lt;&gt;"",'Calculations'!HY53,IF('Calculations'!HX53&lt;&gt;"",'Calculations'!HX53,IF('Calculations'!HW53&lt;&gt;"",'Calculations'!HW53,IF('Calculations'!HV53&lt;&gt;"",'Calculations'!HV53,IF('Calculations'!HU53&lt;&gt;"",'Calculations'!HU53,IF('Calculations'!HT53&lt;&gt;"",'Calculations'!HT53,IF('Calculations'!HS53&lt;&gt;"",'Calculations'!HS53,IF('Calculations'!HR53&lt;&gt;"",'Calculations'!HR53,IF('Calculations'!HQ53&lt;&gt;"",'Calculations'!HQ53,IF('Calculations'!HP53&lt;&gt;"",'Calculations'!HP53,IF('Calculations'!HO53&lt;&gt;"",'Calculations'!HO53,'Calculations'!HE53))))))))))))))))))))))</x:f>
      </x:c>
      <x:c r="HN53" t="str">
        <x:f>IF('Calculations'!EM53="","",IF(IFERROR(IF(INDEX(INDIRECT("'WCM Calibration Final'!$F$1:$F$2000"),'Calculations'!$EM53)="","",TRIM(INDEX(INDIRECT("'WCM Calibration Final'!$F$1:$F$2000"),'Calculations'!$EM53)&amp;"")),"")="","(Blank)",IFERROR(IF(INDEX(INDIRECT("'WCM Calibration Final'!$F$1:$F$2000"),'Calculations'!$EM53)="","",TRIM(INDEX(INDIRECT("'WCM Calibration Final'!$F$1:$F$2000"),'Calculations'!$EM53)&amp;"")),"")))</x:f>
      </x:c>
      <x:c r="HO53" t="str">
        <x:f>'Calculations'!HF53</x:f>
      </x:c>
      <x:c r="HP53" t="str">
        <x:f>IF('Calculations'!HO53="","",IF('Calculations'!HO53="!AMBIG","!AMBIG",IF(COUNTIF('Calculations'!$HE$13:$HE$512,"="&amp;SUBSTITUTE(SUBSTITUTE(SUBSTITUTE('Calculations'!HO53,"~","~~"),"*","~*"),"?","~?"))&gt;1,"!AMBIG",IFERROR(INDEX('Calculations'!$HF$13:$HF$512,MATCH('Calculations'!HO53,'Calculations'!$HE$13:$HE$512,0)),""))))</x:f>
      </x:c>
      <x:c r="HQ53" t="str">
        <x:f>IF('Calculations'!HP53="","",IF('Calculations'!HP53="!AMBIG","!AMBIG",IF(COUNTIF('Calculations'!$HE$13:$HE$512,"="&amp;SUBSTITUTE(SUBSTITUTE(SUBSTITUTE('Calculations'!HP53,"~","~~"),"*","~*"),"?","~?"))&gt;1,"!AMBIG",IFERROR(INDEX('Calculations'!$HF$13:$HF$512,MATCH('Calculations'!HP53,'Calculations'!$HE$13:$HE$512,0)),""))))</x:f>
      </x:c>
      <x:c r="HR53" t="str">
        <x:f>IF('Calculations'!HQ53="","",IF('Calculations'!HQ53="!AMBIG","!AMBIG",IF(COUNTIF('Calculations'!$HE$13:$HE$512,"="&amp;SUBSTITUTE(SUBSTITUTE(SUBSTITUTE('Calculations'!HQ53,"~","~~"),"*","~*"),"?","~?"))&gt;1,"!AMBIG",IFERROR(INDEX('Calculations'!$HF$13:$HF$512,MATCH('Calculations'!HQ53,'Calculations'!$HE$13:$HE$512,0)),""))))</x:f>
      </x:c>
      <x:c r="HS53" t="str">
        <x:f>IF('Calculations'!HR53="","",IF('Calculations'!HR53="!AMBIG","!AMBIG",IF(COUNTIF('Calculations'!$HE$13:$HE$512,"="&amp;SUBSTITUTE(SUBSTITUTE(SUBSTITUTE('Calculations'!HR53,"~","~~"),"*","~*"),"?","~?"))&gt;1,"!AMBIG",IFERROR(INDEX('Calculations'!$HF$13:$HF$512,MATCH('Calculations'!HR53,'Calculations'!$HE$13:$HE$512,0)),""))))</x:f>
      </x:c>
      <x:c r="HT53" t="str">
        <x:f>IF('Calculations'!HS53="","",IF('Calculations'!HS53="!AMBIG","!AMBIG",IF(COUNTIF('Calculations'!$HE$13:$HE$512,"="&amp;SUBSTITUTE(SUBSTITUTE(SUBSTITUTE('Calculations'!HS53,"~","~~"),"*","~*"),"?","~?"))&gt;1,"!AMBIG",IFERROR(INDEX('Calculations'!$HF$13:$HF$512,MATCH('Calculations'!HS53,'Calculations'!$HE$13:$HE$512,0)),""))))</x:f>
      </x:c>
      <x:c r="HU53" t="str">
        <x:f>IF('Calculations'!HT53="","",IF('Calculations'!HT53="!AMBIG","!AMBIG",IF(COUNTIF('Calculations'!$HE$13:$HE$512,"="&amp;SUBSTITUTE(SUBSTITUTE(SUBSTITUTE('Calculations'!HT53,"~","~~"),"*","~*"),"?","~?"))&gt;1,"!AMBIG",IFERROR(INDEX('Calculations'!$HF$13:$HF$512,MATCH('Calculations'!HT53,'Calculations'!$HE$13:$HE$512,0)),""))))</x:f>
      </x:c>
      <x:c r="HV53" t="str">
        <x:f>IF('Calculations'!HU53="","",IF('Calculations'!HU53="!AMBIG","!AMBIG",IF(COUNTIF('Calculations'!$HE$13:$HE$512,"="&amp;SUBSTITUTE(SUBSTITUTE(SUBSTITUTE('Calculations'!HU53,"~","~~"),"*","~*"),"?","~?"))&gt;1,"!AMBIG",IFERROR(INDEX('Calculations'!$HF$13:$HF$512,MATCH('Calculations'!HU53,'Calculations'!$HE$13:$HE$512,0)),""))))</x:f>
      </x:c>
      <x:c r="HW53" t="str">
        <x:f>IF('Calculations'!HV53="","",IF('Calculations'!HV53="!AMBIG","!AMBIG",IF(COUNTIF('Calculations'!$HE$13:$HE$512,"="&amp;SUBSTITUTE(SUBSTITUTE(SUBSTITUTE('Calculations'!HV53,"~","~~"),"*","~*"),"?","~?"))&gt;1,"!AMBIG",IFERROR(INDEX('Calculations'!$HF$13:$HF$512,MATCH('Calculations'!HV53,'Calculations'!$HE$13:$HE$512,0)),""))))</x:f>
      </x:c>
      <x:c r="HX53" t="str">
        <x:f>IF('Calculations'!HW53="","",IF('Calculations'!HW53="!AMBIG","!AMBIG",IF(COUNTIF('Calculations'!$HE$13:$HE$512,"="&amp;SUBSTITUTE(SUBSTITUTE(SUBSTITUTE('Calculations'!HW53,"~","~~"),"*","~*"),"?","~?"))&gt;1,"!AMBIG",IFERROR(INDEX('Calculations'!$HF$13:$HF$512,MATCH('Calculations'!HW53,'Calculations'!$HE$13:$HE$512,0)),""))))</x:f>
      </x:c>
      <x:c r="HY53" t="str">
        <x:f>IF('Calculations'!HX53="","",IF('Calculations'!HX53="!AMBIG","!AMBIG",IF(COUNTIF('Calculations'!$HE$13:$HE$512,"="&amp;SUBSTITUTE(SUBSTITUTE(SUBSTITUTE('Calculations'!HX53,"~","~~"),"*","~*"),"?","~?"))&gt;1,"!AMBIG",IFERROR(INDEX('Calculations'!$HF$13:$HF$512,MATCH('Calculations'!HX53,'Calculations'!$HE$13:$HE$512,0)),""))))</x:f>
      </x:c>
      <x:c r="HZ53" t="str">
        <x:f>IF('Calculations'!HY53="","",IF('Calculations'!HY53="!AMBIG","!AMBIG",IF(COUNTIF('Calculations'!$HE$13:$HE$512,"="&amp;SUBSTITUTE(SUBSTITUTE(SUBSTITUTE('Calculations'!HY53,"~","~~"),"*","~*"),"?","~?"))&gt;1,"!AMBIG",IFERROR(INDEX('Calculations'!$HF$13:$HF$512,MATCH('Calculations'!HY53,'Calculations'!$HE$13:$HE$512,0)),""))))</x:f>
      </x:c>
      <x:c r="IA53" t="str">
        <x:f>IF('Calculations'!HZ53="","",IF('Calculations'!HZ53="!AMBIG","!AMBIG",IF(COUNTIF('Calculations'!$HE$13:$HE$512,"="&amp;SUBSTITUTE(SUBSTITUTE(SUBSTITUTE('Calculations'!HZ53,"~","~~"),"*","~*"),"?","~?"))&gt;1,"!AMBIG",IFERROR(INDEX('Calculations'!$HF$13:$HF$512,MATCH('Calculations'!HZ53,'Calculations'!$HE$13:$HE$512,0)),""))))</x:f>
      </x:c>
      <x:c r="IB53" t="str">
        <x:f>IF('Calculations'!IA53="","",IF('Calculations'!IA53="!AMBIG","!AMBIG",IF(COUNTIF('Calculations'!$HE$13:$HE$512,"="&amp;SUBSTITUTE(SUBSTITUTE(SUBSTITUTE('Calculations'!IA53,"~","~~"),"*","~*"),"?","~?"))&gt;1,"!AMBIG",IFERROR(INDEX('Calculations'!$HF$13:$HF$512,MATCH('Calculations'!IA53,'Calculations'!$HE$13:$HE$512,0)),""))))</x:f>
      </x:c>
      <x:c r="IC53" t="str">
        <x:f>IF('Calculations'!IB53="","",IF('Calculations'!IB53="!AMBIG","!AMBIG",IF(COUNTIF('Calculations'!$HE$13:$HE$512,"="&amp;SUBSTITUTE(SUBSTITUTE(SUBSTITUTE('Calculations'!IB53,"~","~~"),"*","~*"),"?","~?"))&gt;1,"!AMBIG",IFERROR(INDEX('Calculations'!$HF$13:$HF$512,MATCH('Calculations'!IB53,'Calculations'!$HE$13:$HE$512,0)),""))))</x:f>
      </x:c>
      <x:c r="ID53" t="str">
        <x:f>IF('Calculations'!IC53="","",IF('Calculations'!IC53="!AMBIG","!AMBIG",IF(COUNTIF('Calculations'!$HE$13:$HE$512,"="&amp;SUBSTITUTE(SUBSTITUTE(SUBSTITUTE('Calculations'!IC53,"~","~~"),"*","~*"),"?","~?"))&gt;1,"!AMBIG",IFERROR(INDEX('Calculations'!$HF$13:$HF$512,MATCH('Calculations'!IC53,'Calculations'!$HE$13:$HE$512,0)),""))))</x:f>
      </x:c>
      <x:c r="IE53" t="str">
        <x:f>IF('Calculations'!ID53="","",IF('Calculations'!ID53="!AMBIG","!AMBIG",IF(COUNTIF('Calculations'!$HE$13:$HE$512,"="&amp;SUBSTITUTE(SUBSTITUTE(SUBSTITUTE('Calculations'!ID53,"~","~~"),"*","~*"),"?","~?"))&gt;1,"!AMBIG",IFERROR(INDEX('Calculations'!$HF$13:$HF$512,MATCH('Calculations'!ID53,'Calculations'!$HE$13:$HE$512,0)),""))))</x:f>
      </x:c>
      <x:c r="IF53" t="str">
        <x:f>IF('Calculations'!IE53="","",IF('Calculations'!IE53="!AMBIG","!AMBIG",IF(COUNTIF('Calculations'!$HE$13:$HE$512,"="&amp;SUBSTITUTE(SUBSTITUTE(SUBSTITUTE('Calculations'!IE53,"~","~~"),"*","~*"),"?","~?"))&gt;1,"!AMBIG",IFERROR(INDEX('Calculations'!$HF$13:$HF$512,MATCH('Calculations'!IE53,'Calculations'!$HE$13:$HE$512,0)),""))))</x:f>
      </x:c>
      <x:c r="IG53" t="str">
        <x:f>IF('Calculations'!IF53="","",IF('Calculations'!IF53="!AMBIG","!AMBIG",IF(COUNTIF('Calculations'!$HE$13:$HE$512,"="&amp;SUBSTITUTE(SUBSTITUTE(SUBSTITUTE('Calculations'!IF53,"~","~~"),"*","~*"),"?","~?"))&gt;1,"!AMBIG",IFERROR(INDEX('Calculations'!$HF$13:$HF$512,MATCH('Calculations'!IF53,'Calculations'!$HE$13:$HE$512,0)),""))))</x:f>
      </x:c>
      <x:c r="IH53" t="str">
        <x:f>IF('Calculations'!IG53="","",IF('Calculations'!IG53="!AMBIG","!AMBIG",IF(COUNTIF('Calculations'!$HE$13:$HE$512,"="&amp;SUBSTITUTE(SUBSTITUTE(SUBSTITUTE('Calculations'!IG53,"~","~~"),"*","~*"),"?","~?"))&gt;1,"!AMBIG",IFERROR(INDEX('Calculations'!$HF$13:$HF$512,MATCH('Calculations'!IG53,'Calculations'!$HE$13:$HE$512,0)),""))))</x:f>
      </x:c>
      <x:c r="II53" t="str">
        <x:f>IF('Calculations'!IH53="","",IF('Calculations'!IH53="!AMBIG","!AMBIG",IF(COUNTIF('Calculations'!$HE$13:$HE$512,"="&amp;SUBSTITUTE(SUBSTITUTE(SUBSTITUTE('Calculations'!IH53,"~","~~"),"*","~*"),"?","~?"))&gt;1,"!AMBIG",IFERROR(INDEX('Calculations'!$HF$13:$HF$512,MATCH('Calculations'!IH53,'Calculations'!$HE$13:$HE$512,0)),""))))</x:f>
      </x:c>
      <x:c r="IJ53" t="str">
        <x:f>IF('Calculations'!EM53="","",IF('Calculations'!$EF$2="All",'Calculations'!HM53,IF('Calculations'!HL53=1,"",IFERROR(IF(MATCH('Calculations'!$EF$2,'Calculations'!HO53:II53,0)=1,'Calculations'!HE53,INDEX('Calculations'!HO53:II53,1,MATCH('Calculations'!$EF$2,'Calculations'!HO53:II53,0)-1)),""))))</x:f>
      </x:c>
      <x:c r="IK53" t="n">
        <x:f>IF(AND('Calculations'!EM53&lt;&gt;"",'Calculations'!$EF$2&lt;&gt;"All",'Calculations'!HF53='Calculations'!$EF$2,'Calculations'!HL53=0,'Calculations'!JD53&gt;0),MAX('Calculations'!$IK$12:IK52)+1,0)</x:f>
        <x:v>0</x:v>
      </x:c>
      <x:c r="JA53" t="n">
        <x:f>IF(OR(IFERROR(INDIRECT("'WCM Calibration Final'!$A$53")&lt;&gt;"",FALSE),IFERROR(INDIRECT("'WCM Calibration Final'!$B$53")&lt;&gt;"",FALSE),IFERROR(INDIRECT("'WCM Calibration Final'!$C$53")&lt;&gt;"",FALSE)),53,0)</x:f>
        <x:v>0</x:v>
      </x:c>
      <x:c r="JB53" t="n">
        <x:f>'Calculations'!JB52+IF('Calculations'!JA53&gt;0,1,0)</x:f>
        <x:v>0</x:v>
      </x:c>
      <x:c r="JC53" t="n">
        <x:f>IF(OR('Calculations'!HF53="",'Calculations'!HF53="!AMBIG"),0,IF('Dashboard'!$B$7="All",1,COUNTIFS('Calculations'!$HO$13:$HO$512,"="&amp;SUBSTITUTE(SUBSTITUTE(SUBSTITUTE('Calculations'!HF53,"~","~~"),"*","~*"),"?","~?"),'Calculations'!$HN$13:$HN$512,"="&amp;SUBSTITUTE(SUBSTITUTE(SUBSTITUTE('Dashboard'!$B$7,"~","~~"),"*","~*"),"?","~?"))+COUNTIFS('Calculations'!$HP$13:$HP$512,"="&amp;SUBSTITUTE(SUBSTITUTE(SUBSTITUTE('Calculations'!HF53,"~","~~"),"*","~*"),"?","~?"),'Calculations'!$HN$13:$HN$512,"="&amp;SUBSTITUTE(SUBSTITUTE(SUBSTITUTE('Dashboard'!$B$7,"~","~~"),"*","~*"),"?","~?"))+COUNTIFS('Calculations'!$HQ$13:$HQ$512,"="&amp;SUBSTITUTE(SUBSTITUTE(SUBSTITUTE('Calculations'!HF53,"~","~~"),"*","~*"),"?","~?"),'Calculations'!$HN$13:$HN$512,"="&amp;SUBSTITUTE(SUBSTITUTE(SUBSTITUTE('Dashboard'!$B$7,"~","~~"),"*","~*"),"?","~?"))+COUNTIFS('Calculations'!$HR$13:$HR$512,"="&amp;SUBSTITUTE(SUBSTITUTE(SUBSTITUTE('Calculations'!HF53,"~","~~"),"*","~*"),"?","~?"),'Calculations'!$HN$13:$HN$512,"="&amp;SUBSTITUTE(SUBSTITUTE(SUBSTITUTE('Dashboard'!$B$7,"~","~~"),"*","~*"),"?","~?"))+COUNTIFS('Calculations'!$HS$13:$HS$512,"="&amp;SUBSTITUTE(SUBSTITUTE(SUBSTITUTE('Calculations'!HF53,"~","~~"),"*","~*"),"?","~?"),'Calculations'!$HN$13:$HN$512,"="&amp;SUBSTITUTE(SUBSTITUTE(SUBSTITUTE('Dashboard'!$B$7,"~","~~"),"*","~*"),"?","~?"))+COUNTIFS('Calculations'!$HT$13:$HT$512,"="&amp;SUBSTITUTE(SUBSTITUTE(SUBSTITUTE('Calculations'!HF53,"~","~~"),"*","~*"),"?","~?"),'Calculations'!$HN$13:$HN$512,"="&amp;SUBSTITUTE(SUBSTITUTE(SUBSTITUTE('Dashboard'!$B$7,"~","~~"),"*","~*"),"?","~?"))+COUNTIFS('Calculations'!$HU$13:$HU$512,"="&amp;SUBSTITUTE(SUBSTITUTE(SUBSTITUTE('Calculations'!HF53,"~","~~"),"*","~*"),"?","~?"),'Calculations'!$HN$13:$HN$512,"="&amp;SUBSTITUTE(SUBSTITUTE(SUBSTITUTE('Dashboard'!$B$7,"~","~~"),"*","~*"),"?","~?"))+COUNTIFS('Calculations'!$HV$13:$HV$512,"="&amp;SUBSTITUTE(SUBSTITUTE(SUBSTITUTE('Calculations'!HF53,"~","~~"),"*","~*"),"?","~?"),'Calculations'!$HN$13:$HN$512,"="&amp;SUBSTITUTE(SUBSTITUTE(SUBSTITUTE('Dashboard'!$B$7,"~","~~"),"*","~*"),"?","~?"))+COUNTIFS('Calculations'!$HW$13:$HW$512,"="&amp;SUBSTITUTE(SUBSTITUTE(SUBSTITUTE('Calculations'!HF53,"~","~~"),"*","~*"),"?","~?"),'Calculations'!$HN$13:$HN$512,"="&amp;SUBSTITUTE(SUBSTITUTE(SUBSTITUTE('Dashboard'!$B$7,"~","~~"),"*","~*"),"?","~?"))+COUNTIFS('Calculations'!$HX$13:$HX$512,"="&amp;SUBSTITUTE(SUBSTITUTE(SUBSTITUTE('Calculations'!HF53,"~","~~"),"*","~*"),"?","~?"),'Calculations'!$HN$13:$HN$512,"="&amp;SUBSTITUTE(SUBSTITUTE(SUBSTITUTE('Dashboard'!$B$7,"~","~~"),"*","~*"),"?","~?"))+COUNTIFS('Calculations'!$HY$13:$HY$512,"="&amp;SUBSTITUTE(SUBSTITUTE(SUBSTITUTE('Calculations'!HF53,"~","~~"),"*","~*"),"?","~?"),'Calculations'!$HN$13:$HN$512,"="&amp;SUBSTITUTE(SUBSTITUTE(SUBSTITUTE('Dashboard'!$B$7,"~","~~"),"*","~*"),"?","~?"))+COUNTIFS('Calculations'!$HZ$13:$HZ$512,"="&amp;SUBSTITUTE(SUBSTITUTE(SUBSTITUTE('Calculations'!HF53,"~","~~"),"*","~*"),"?","~?"),'Calculations'!$HN$13:$HN$512,"="&amp;SUBSTITUTE(SUBSTITUTE(SUBSTITUTE('Dashboard'!$B$7,"~","~~"),"*","~*"),"?","~?"))+COUNTIFS('Calculations'!$IA$13:$IA$512,"="&amp;SUBSTITUTE(SUBSTITUTE(SUBSTITUTE('Calculations'!HF53,"~","~~"),"*","~*"),"?","~?"),'Calculations'!$HN$13:$HN$512,"="&amp;SUBSTITUTE(SUBSTITUTE(SUBSTITUTE('Dashboard'!$B$7,"~","~~"),"*","~*"),"?","~?"))+COUNTIFS('Calculations'!$IB$13:$IB$512,"="&amp;SUBSTITUTE(SUBSTITUTE(SUBSTITUTE('Calculations'!HF53,"~","~~"),"*","~*"),"?","~?"),'Calculations'!$HN$13:$HN$512,"="&amp;SUBSTITUTE(SUBSTITUTE(SUBSTITUTE('Dashboard'!$B$7,"~","~~"),"*","~*"),"?","~?"))+COUNTIFS('Calculations'!$IC$13:$IC$512,"="&amp;SUBSTITUTE(SUBSTITUTE(SUBSTITUTE('Calculations'!HF53,"~","~~"),"*","~*"),"?","~?"),'Calculations'!$HN$13:$HN$512,"="&amp;SUBSTITUTE(SUBSTITUTE(SUBSTITUTE('Dashboard'!$B$7,"~","~~"),"*","~*"),"?","~?"))+COUNTIFS('Calculations'!$ID$13:$ID$512,"="&amp;SUBSTITUTE(SUBSTITUTE(SUBSTITUTE('Calculations'!HF53,"~","~~"),"*","~*"),"?","~?"),'Calculations'!$HN$13:$HN$512,"="&amp;SUBSTITUTE(SUBSTITUTE(SUBSTITUTE('Dashboard'!$B$7,"~","~~"),"*","~*"),"?","~?"))+COUNTIFS('Calculations'!$IE$13:$IE$512,"="&amp;SUBSTITUTE(SUBSTITUTE(SUBSTITUTE('Calculations'!HF53,"~","~~"),"*","~*"),"?","~?"),'Calculations'!$HN$13:$HN$512,"="&amp;SUBSTITUTE(SUBSTITUTE(SUBSTITUTE('Dashboard'!$B$7,"~","~~"),"*","~*"),"?","~?"))+COUNTIFS('Calculations'!$IF$13:$IF$512,"="&amp;SUBSTITUTE(SUBSTITUTE(SUBSTITUTE('Calculations'!HF53,"~","~~"),"*","~*"),"?","~?"),'Calculations'!$HN$13:$HN$512,"="&amp;SUBSTITUTE(SUBSTITUTE(SUBSTITUTE('Dashboard'!$B$7,"~","~~"),"*","~*"),"?","~?"))+COUNTIFS('Calculations'!$IG$13:$IG$512,"="&amp;SUBSTITUTE(SUBSTITUTE(SUBSTITUTE('Calculations'!HF53,"~","~~"),"*","~*"),"?","~?"),'Calculations'!$HN$13:$HN$512,"="&amp;SUBSTITUTE(SUBSTITUTE(SUBSTITUTE('Dashboard'!$B$7,"~","~~"),"*","~*"),"?","~?"))+COUNTIFS('Calculations'!$IH$13:$IH$512,"="&amp;SUBSTITUTE(SUBSTITUTE(SUBSTITUTE('Calculations'!HF53,"~","~~"),"*","~*"),"?","~?"),'Calculations'!$HN$13:$HN$512,"="&amp;SUBSTITUTE(SUBSTITUTE(SUBSTITUTE('Dashboard'!$B$7,"~","~~"),"*","~*"),"?","~?"))))</x:f>
        <x:v>0</x:v>
      </x:c>
      <x:c r="JD53" t="n">
        <x:f>IF('Calculations'!EM53="",0,IF('Dashboard'!$B$7="All",1,IF('Calculations'!HN53='Dashboard'!$B$7,1,0)+IFERROR(INDEX('Calculations'!$JC$13:$JC$512,MATCH('Calculations'!HE53,'Calculations'!$HF$13:$HF$512,0)),0)))</x:f>
        <x:v>0</x:v>
      </x:c>
      <x:c r="JE53" t="n">
        <x:f>IF(AND('Calculations'!EM53&lt;&gt;"",'Calculations'!$JJ$2&lt;&gt;"All",'Calculations'!$JJ$2&lt;&gt;"",'Calculations'!HF53='Calculations'!$JJ$2,'Calculations'!HL53=0,'Calculations'!JD53&gt;0),MAX('Calculations'!$JE$12:JE52)+1,0)</x:f>
        <x:v>0</x:v>
      </x:c>
      <x:c r="JF53" t="str">
        <x:f>IF('Calculations'!EM53="","",IFERROR(IF(INDEX(INDIRECT("'WCM Calibration Final'!$G$1:$G$2000"),'Calculations'!$EM53)="","",TRIM(INDEX(INDIRECT("'WCM Calibration Final'!$G$1:$G$2000"),'Calculations'!$EM53)&amp;"")),""))</x:f>
      </x:c>
      <x:c r="JQ53" t="n">
        <x:f>IF(OR('Calculations'!BM53=0,NOT('Calculations'!$AG$2),'Calculations'!$AG$8&gt;0),0,IF(OR('Dashboard'!$B$7="All",'Calculations'!HN53='Dashboard'!$B$7),IF('Calculations'!$JJ$2="All",1,IF(AND('Calculations'!HF53='Calculations'!$JJ$2,'Calculations'!HL53=0),1,0)),0))</x:f>
        <x:v>0</x:v>
      </x:c>
    </x:row>
    <x:row r="54">
      <x:c r="AF54" s="4" t="str">
        <x:f>"VP (n="&amp;'Calculations'!AH54&amp;")"</x:f>
        <x:v>VP (n=0)</x:v>
      </x:c>
      <x:c r="AG54" s="4" t="n">
        <x:f>COUNTIFS('Calculations'!$BN$13:$BN$512,1,'Calculations'!$BV$13:$BV$512,'Calculations'!AT54)</x:f>
        <x:v>0</x:v>
      </x:c>
      <x:c r="AH54" s="4" t="n">
        <x:f>SUM('Calculations'!AJ54:AM54)</x:f>
        <x:v>0</x:v>
      </x:c>
      <x:c r="AI54" s="4" t="n">
        <x:f>'Calculations'!AG54-'Calculations'!AH54</x:f>
        <x:v>0</x:v>
      </x:c>
      <x:c r="AJ54" s="4" t="n">
        <x:f>COUNTIFS('Calculations'!$BN$13:$BN$512,1,'Calculations'!$BV$13:$BV$512,'Calculations'!AT54,'Calculations'!$BZ$13:$BZ$512,1)</x:f>
        <x:v>0</x:v>
      </x:c>
      <x:c r="AK54" s="4" t="n">
        <x:f>COUNTIFS('Calculations'!$BN$13:$BN$512,1,'Calculations'!$BV$13:$BV$512,'Calculations'!AT54,'Calculations'!$BZ$13:$BZ$512,2)</x:f>
        <x:v>0</x:v>
      </x:c>
      <x:c r="AL54" s="4" t="n">
        <x:f>COUNTIFS('Calculations'!$BN$13:$BN$512,1,'Calculations'!$BV$13:$BV$512,'Calculations'!AT54,'Calculations'!$BZ$13:$BZ$512,3)</x:f>
        <x:v>0</x:v>
      </x:c>
      <x:c r="AM54" s="4" t="n">
        <x:f>COUNTIFS('Calculations'!$BN$13:$BN$512,1,'Calculations'!$BV$13:$BV$512,'Calculations'!AT54,'Calculations'!$BZ$13:$BZ$512,4)</x:f>
        <x:v>0</x:v>
      </x:c>
      <x:c r="AN54" s="4"/>
      <x:c r="AO54" s="4" t="e">
        <x:f>IF('Calculations'!AH54=0,NA(),'Calculations'!AJ54/'Calculations'!AH54)</x:f>
        <x:v>#N/A</x:v>
      </x:c>
      <x:c r="AP54" s="4" t="e">
        <x:f>IF('Calculations'!AH54=0,NA(),'Calculations'!AK54/'Calculations'!AH54)</x:f>
        <x:v>#N/A</x:v>
      </x:c>
      <x:c r="AQ54" s="4" t="e">
        <x:f>IF('Calculations'!AH54=0,NA(),'Calculations'!AL54/'Calculations'!AH54)</x:f>
        <x:v>#N/A</x:v>
      </x:c>
      <x:c r="AR54" s="4" t="e">
        <x:f>IF('Calculations'!AH54=0,NA(),'Calculations'!AM54/'Calculations'!AH54)</x:f>
        <x:v>#N/A</x:v>
      </x:c>
      <x:c r="AS54" s="4"/>
      <x:c r="AT54" s="4" t="str">
        <x:v>VICE PRESIDENT</x:v>
      </x:c>
      <x:c r="AU54" s="4"/>
      <x:c r="AV54" s="4"/>
      <x:c r="AW54" s="4"/>
      <x:c r="AX54" s="4"/>
      <x:c r="AY54" s="4"/>
      <x:c r="AZ54" s="4"/>
      <x:c r="BA54" s="4"/>
      <x:c r="BB54" s="4"/>
      <x:c r="BC54" s="4"/>
      <x:c r="BD54" s="4"/>
      <x:c r="BE54" s="4"/>
      <x:c r="BF54" s="4"/>
      <x:c r="BG54" s="4"/>
      <x:c r="BH54" s="4"/>
      <x:c r="BI54" s="4"/>
      <x:c r="BJ54" s="4"/>
      <x:c r="BK54" s="4"/>
      <x:c r="BL54" s="4"/>
      <x:c r="BM54" s="4" t="n">
        <x:f>IF('Calculations'!$EM54="",0,IF(OR(IFERROR(INDEX(INDIRECT("'WCM Calibration Final'!$A$1:$A$2000"),'Calculations'!$EM54)&lt;&gt;"",FALSE),IFERROR(INDEX(INDIRECT("'WCM Calibration Final'!$B$1:$B$2000"),'Calculations'!$EM54)&lt;&gt;"",FALSE),IFERROR(INDEX(INDIRECT("'WCM Calibration Final'!$C$1:$C$2000"),'Calculations'!$EM54)&lt;&gt;"",FALSE)),1,0))</x:f>
        <x:v>0</x:v>
      </x:c>
      <x:c r="BN54" s="4" t="n">
        <x:f>IF(AND('Calculations'!BM54=1,'Calculations'!$AG$2,'Calculations'!$EN54=1),1,0)</x:f>
        <x:v>0</x:v>
      </x:c>
      <x:c r="BO54" s="4" t="str">
        <x:f>IF('Calculations'!BM54=0,"",IFERROR(IF(AND(VALUE(INDEX(INDIRECT("'WCM Calibration Final'!$K$1:$K$2000"),'Calculations'!$EM54))&gt;=1,VALUE(INDEX(INDIRECT("'WCM Calibration Final'!$K$1:$K$2000"),'Calculations'!$EM54))&lt;=4,MOD(VALUE(INDEX(INDIRECT("'WCM Calibration Final'!$K$1:$K$2000"),'Calculations'!$EM54)),1)=0),VALUE(INDEX(INDIRECT("'WCM Calibration Final'!$K$1:$K$2000"),'Calculations'!$EM54)),""),""))</x:f>
      </x:c>
      <x:c r="BP54" s="4" t="str">
        <x:f>IF('Calculations'!BM54=0,"",IFERROR(IF(AND(VALUE(INDEX(INDIRECT("'WCM Calibration Final'!$L$1:$L$2000"),'Calculations'!$EM54))&gt;=1,VALUE(INDEX(INDIRECT("'WCM Calibration Final'!$L$1:$L$2000"),'Calculations'!$EM54))&lt;=4,MOD(VALUE(INDEX(INDIRECT("'WCM Calibration Final'!$L$1:$L$2000"),'Calculations'!$EM54)),1)=0),VALUE(INDEX(INDIRECT("'WCM Calibration Final'!$L$1:$L$2000"),'Calculations'!$EM54)),""),""))</x:f>
      </x:c>
      <x:c r="BQ54" s="4"/>
      <x:c r="BR54" s="4"/>
      <x:c r="BS54" s="4"/>
      <x:c r="BT54" s="4" t="n">
        <x:f>IF(AND('Calculations'!BM54=1,ISNUMBER('Calculations'!BO54),ISNUMBER('Calculations'!BP54)),1,0)</x:f>
        <x:v>0</x:v>
      </x:c>
      <x:c r="BU54" s="4" t="str">
        <x:f>IF('Calculations'!BM54=0,"",'Calculations'!$EO54)</x:f>
      </x:c>
      <x:c r="BV54" s="4" t="str">
        <x:f>IF('Calculations'!BM54=0,"",IFERROR(IF(OR(INDEX(INDIRECT("'WCM Calibration Final'!$H$1:$H$2000"),'Calculations'!$EM54)="MANAGING DIRECTOR",INDEX(INDIRECT("'WCM Calibration Final'!$H$1:$H$2000"),'Calculations'!$EM54)="DIRECTOR",INDEX(INDIRECT("'WCM Calibration Final'!$H$1:$H$2000"),'Calculations'!$EM54)="SENIOR VICE PRESIDENT",INDEX(INDIRECT("'WCM Calibration Final'!$H$1:$H$2000"),'Calculations'!$EM54)="VICE PRESIDENT",INDEX(INDIRECT("'WCM Calibration Final'!$H$1:$H$2000"),'Calculations'!$EM54)="ASSISTANT VICE PRESIDENT",INDEX(INDIRECT("'WCM Calibration Final'!$H$1:$H$2000"),'Calculations'!$EM54)="OFFICER"),UPPER(INDEX(INDIRECT("'WCM Calibration Final'!$H$1:$H$2000"),'Calculations'!$EM54)),"Other"),"Other"))</x:f>
      </x:c>
      <x:c r="BW54" s="4"/>
      <x:c r="BX54" s="4"/>
      <x:c r="BY54" s="4" t="n">
        <x:f>IF(AND('Calculations'!BM54=1,'Calculations'!BU54&lt;&gt;"",COUNTIF('Calculations'!$BU$12:BU54,'Calculations'!BU54)=1),MAX('Calculations'!$BY$11:BY53)+1,0)</x:f>
        <x:v>0</x:v>
      </x:c>
      <x:c r="BZ54" s="4" t="str">
        <x:f>IF('Dashboard'!$E$67="What",'Calculations'!BO54,'Calculations'!BP54)</x:f>
      </x:c>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t="str">
        <x:f>IF(43&gt;MAX('Calculations'!$HI$13:$HI$512),"",INDEX('Calculations'!$HN$13:$HN$512,MATCH(43,'Calculations'!$HI$13:$HI$512,0)))</x:f>
      </x:c>
      <x:c r="DB54" s="4" t="str">
        <x:f>IF(43&gt;MAX('Calculations'!$HH$13:$HH$512),"",INDEX('Calculations'!$HJ$13:$HJ$512,MATCH(43,'Calculations'!$HH$13:$HH$512,0)))</x:f>
      </x:c>
      <x:c r="DC54" s="4" t="str">
        <x:f>IF(ROW()-11&gt;MAX('Calculations'!$BY$13:$BY$512),"",INDEX('Calculations'!$BU$13:$BU$512,MATCH(ROW()-11,'Calculations'!$BY$13:$BY$512,0)))</x:f>
      </x:c>
      <x:c r="DD54" s="4" t="str">
        <x:f>IF(43&gt;MAX('Calculations'!$IK$13:$IK$512),"",INDEX('Calculations'!$HK$13:$HK$512,MATCH(43,'Calculations'!$IK$13:$IK$512,0)))</x:f>
      </x:c>
      <x:c r="DE54" s="4" t="str">
        <x:f>'Calculations'!DC54</x:f>
      </x:c>
      <x:c r="DF54" s="4" t="str">
        <x:f>IF('Calculations'!DE54="","",COUNTIFS('Calculations'!$BN$13:$BN$512,1,'Calculations'!$BU$13:$BU$512,'Calculations'!DE54))</x:f>
      </x:c>
      <x:c r="DG54" s="4" t="str">
        <x:f>IF('Calculations'!DE54="","",COUNTIFS('Calculations'!$BN$13:$BN$512,1,'Calculations'!$BU$13:$BU$512,'Calculations'!DE54,'Calculations'!$BT$13:$BT$512,1))</x:f>
      </x:c>
      <x:c r="DH54" s="4" t="str">
        <x:f>IF('Calculations'!DE54="","",'Calculations'!DF54-'Calculations'!DG54)</x:f>
      </x:c>
      <x:c r="DI54" s="4" t="str">
        <x:f>IF(OR('Calculations'!DE54="",'Calculations'!DF54=0),"",'Calculations'!DG54/'Calculations'!DF54)</x:f>
      </x:c>
      <x:c r="DJ54" s="4" t="str">
        <x:f>IF('Calculations'!DE54="","",COUNTIFS('Calculations'!$BN$13:$BN$512,1,'Calculations'!$BU$13:$BU$512,'Calculations'!DE54,'Calculations'!$BT$13:$BT$512,1,'Calculations'!$EE$13:$EE$512,"High"))</x:f>
      </x:c>
      <x:c r="DK54" s="4" t="str">
        <x:f>IF('Calculations'!DE54="","",COUNTIFS('Calculations'!$BN$13:$BN$512,1,'Calculations'!$BU$13:$BU$512,'Calculations'!DE54,'Calculations'!$BT$13:$BT$512,1,'Calculations'!$EE$13:$EE$512,"Strong"))</x:f>
      </x:c>
      <x:c r="DL54" s="4" t="str">
        <x:f>IF('Calculations'!DE54="","",COUNTIFS('Calculations'!$BN$13:$BN$512,1,'Calculations'!$BU$13:$BU$512,'Calculations'!DE54,'Calculations'!$BT$13:$BT$512,1,'Calculations'!$EE$13:$EE$512,"Solid"))</x:f>
      </x:c>
      <x:c r="DM54" s="4" t="str">
        <x:f>IF('Calculations'!DE54="","",COUNTIFS('Calculations'!$BN$13:$BN$512,1,'Calculations'!$BU$13:$BU$512,'Calculations'!DE54,'Calculations'!$BT$13:$BT$512,1,'Calculations'!$EE$13:$EE$512,"Low"))</x:f>
      </x:c>
      <x:c r="DN54" s="4" t="str">
        <x:f>IF('Calculations'!DE54="","",COUNTIFS('Calculations'!$BN$13:$BN$512,1,'Calculations'!$BU$13:$BU$512,'Calculations'!DE54,'Calculations'!$EP$13:$EP$512,1))</x:f>
      </x:c>
      <x:c r="DO54" s="4" t="str">
        <x:f>IF(OR('Calculations'!DE54="",'Calculations'!DG54=0),"",('Calculations'!DJ54+'Calculations'!DK54)/'Calculations'!DG54)</x:f>
      </x:c>
      <x:c r="DP54" s="4" t="n">
        <x:f>IF(AND('Calculations'!DE54&lt;&gt;"",'Calculations'!DF54&gt;0),COUNTIF('Calculations'!$DF$12:DF54,"&gt;0"),0)</x:f>
        <x:v>0</x:v>
      </x:c>
      <x:c r="DQ54" s="4" t="str">
        <x:f>IF(43&gt;MAX('Calculations'!$HH$13:$HH$512),"",INDEX('Calculations'!$HF$13:$HF$512,MATCH(43,'Calculations'!$HH$13:$HH$512,0)))</x:f>
      </x:c>
      <x:c r="DR54" s="4" t="str">
        <x:f>IF(43&gt;MAX('Calculations'!$IK$13:$IK$512),"",INDEX('Calculations'!$HE$13:$HE$512,MATCH(43,'Calculations'!$IK$13:$IK$512,0)))</x:f>
      </x:c>
      <x:c r="DS54" s="4"/>
      <x:c r="DT54" s="4"/>
      <x:c r="DU54" s="4"/>
      <x:c r="DV54" s="4"/>
      <x:c r="DW54" s="4"/>
      <x:c r="DX54" s="4"/>
      <x:c r="DY54" s="4" t="str">
        <x:f>IF('Calculations'!AJ71="","—",TEXT('Calculations'!AJ71,"+0.0;-0.0;0.0"))</x:f>
        <x:v>—</x:v>
      </x:c>
      <x:c r="DZ54" s="4"/>
      <x:c r="EA54" s="4"/>
      <x:c r="EB54" s="4"/>
      <x:c r="EC54" s="4"/>
      <x:c r="ED54" s="4"/>
      <x:c r="EE54" s="4" t="str">
        <x:f>IF('Calculations'!BT54=0,"Not Rated",IF(OR('Calculations'!BO54&gt;=4,'Calculations'!BP54&gt;=4),"Low",IF('Calculations'!BO54+'Calculations'!BP54&lt;=3,"High",IF('Calculations'!BO54+'Calculations'!BP54&lt;=4,"Strong","Solid"))))</x:f>
        <x:v>Not Rated</x:v>
      </x:c>
      <x:c r="EF54" s="4"/>
      <x:c r="EG54" s="4"/>
      <x:c r="EH54" s="4"/>
      <x:c r="EI54" s="4"/>
      <x:c r="EJ54" s="4"/>
      <x:c r="EK54" s="4"/>
      <x:c r="EL54" s="4"/>
      <x:c r="EM54" s="4" t="str">
        <x:f>IF(42&gt;'Calculations'!$JB$2000,"",INDEX('Calculations'!$JA$12:$JA$2000,MATCH(42,'Calculations'!$JB$12:$JB$2000,0)))</x:f>
      </x:c>
      <x:c r="EN54" s="4" t="n">
        <x:f>IF(OR('Calculations'!EM54="",'Calculations'!$AG$8&gt;0,AND('Calculations'!$EF$2&lt;&gt;"All",'Calculations'!HE54='Calculations'!$EF$2),AND('Calculations'!$EF$3&lt;&gt;"All",'Calculations'!HE54='Calculations'!$EF$3)),0,IF(OR('Dashboard'!$B$7="All",'Calculations'!HN54='Dashboard'!$B$7),IF('Calculations'!$EF$2="All",1,IF('Calculations'!HL54&gt;0,0,IF(COUNTIF('Calculations'!HO54:II54,"="&amp;SUBSTITUTE(SUBSTITUTE(SUBSTITUTE('Calculations'!$EF$2,"~","~~"),"*","~*"),"?","~?"))=0,0,IF('Calculations'!$EF$3="All",1,IF(COUNTIF('Calculations'!HO54:II54,"="&amp;SUBSTITUTE(SUBSTITUTE(SUBSTITUTE('Calculations'!$EF$3,"~","~~"),"*","~*"),"?","~?"))&gt;0,1,0))))),0))</x:f>
        <x:v>0</x:v>
      </x:c>
      <x:c r="EO54" s="4" t="str">
        <x:f>IF('Calculations'!IJ54="","",IF('Calculations'!IJ54="!UNRESOLVED","Unresolved hierarchy",IFERROR(INDEX('Calculations'!$HK$13:$HK$512,MATCH('Calculations'!IJ54,'Calculations'!$HE$13:$HE$512,0)),IFERROR(INDEX('Calculations'!$HJ$13:$HJ$512,MATCH('Calculations'!IJ54,'Calculations'!$HF$13:$HF$512,0)),'Calculations'!IJ54))))</x:f>
      </x:c>
      <x:c r="EP54" s="4" t="n">
        <x:f>IF(AND('Calculations'!EM54&lt;&gt;"",'Calculations'!HF54='Calculations'!IJ54),1,0)</x:f>
        <x:v>0</x:v>
      </x:c>
      <x:c r="EQ54" s="4"/>
      <x:c r="ER54" s="4"/>
      <x:c r="ES54" s="4"/>
      <x:c r="ET54" s="4"/>
      <x:c r="EU54" s="4"/>
      <x:c r="EV54" s="4"/>
      <x:c r="EW54" s="4"/>
      <x:c r="EX54" s="4"/>
      <x:c r="EY54" s="4"/>
      <x:c r="EZ54" s="4"/>
      <x:c r="FA54" s="4"/>
      <x:c r="FB54" s="4"/>
      <x:c r="FC54" s="4"/>
      <x:c r="FD54" s="4"/>
      <x:c r="FE54" s="4"/>
      <x:c r="FF54" s="4"/>
      <x:c r="FG54" s="4"/>
      <x:c r="FH54" s="4"/>
      <x:c r="FI54" s="4"/>
      <x:c r="FJ54" s="4"/>
      <x:c r="FK54" s="4"/>
      <x:c r="FL54" s="4"/>
      <x:c r="FM54" s="4"/>
      <x:c r="FN54" s="4"/>
      <x:c r="FO54" s="4"/>
      <x:c r="GA54" s="71"/>
      <x:c r="GB54" s="71"/>
      <x:c r="GC54" s="71"/>
      <x:c r="GD54" s="71"/>
      <x:c r="GE54" s="71"/>
      <x:c r="GF54" s="71"/>
      <x:c r="GG54" s="71"/>
      <x:c r="GH54" s="71"/>
      <x:c r="GI54" s="71"/>
      <x:c r="GJ54" s="71"/>
      <x:c r="GK54" s="71"/>
      <x:c r="GL54" s="71"/>
      <x:c r="GM54" s="71"/>
      <x:c r="GN54" s="71"/>
      <x:c r="GO54" s="71"/>
      <x:c r="GP54" s="71"/>
      <x:c r="GQ54" s="71"/>
      <x:c r="GR54" s="71"/>
      <x:c r="GS54" s="71"/>
      <x:c r="GT54" s="71"/>
      <x:c r="GU54" s="71"/>
      <x:c r="GV54" s="71"/>
      <x:c r="GW54" s="71"/>
      <x:c r="GX54" s="71"/>
      <x:c r="GY54" s="71"/>
      <x:c r="GZ54" s="71"/>
      <x:c r="HA54" s="71"/>
      <x:c r="HB54" s="71"/>
      <x:c r="HC54" s="71"/>
      <x:c r="HD54" s="71"/>
      <x:c r="HE54" t="str">
        <x:f>IF('Calculations'!EM54="","",IF(IFERROR(IF(INDEX(INDIRECT("'WCM Calibration Final'!$A$1:$A$2000"),'Calculations'!$EM54)="","",TRIM(INDEX(INDIRECT("'WCM Calibration Final'!$A$1:$A$2000"),'Calculations'!$EM54)&amp;"")),"")&lt;&gt;"","G:"&amp;IFERROR(TEXT(1*INDEX(INDIRECT("'WCM Calibration Final'!$A$1:$A$2000"),'Calculations'!$EM54),"0"),UPPER(IFERROR(IF(INDEX(INDIRECT("'WCM Calibration Final'!$A$1:$A$2000"),'Calculations'!$EM54)="","",TRIM(INDEX(INDIRECT("'WCM Calibration Final'!$A$1:$A$2000"),'Calculations'!$EM54)&amp;"")),""))),IF(IFERROR(IF(INDEX(INDIRECT("'WCM Calibration Final'!$C$1:$C$2000"),'Calculations'!$EM54)="","",TRIM(INDEX(INDIRECT("'WCM Calibration Final'!$C$1:$C$2000"),'Calculations'!$EM54)&amp;"")),"")&lt;&gt;"","S:"&amp;UPPER(IFERROR(IF(INDEX(INDIRECT("'WCM Calibration Final'!$C$1:$C$2000"),'Calculations'!$EM54)="","",TRIM(INDEX(INDIRECT("'WCM Calibration Final'!$C$1:$C$2000"),'Calculations'!$EM54)&amp;"")),"")),"R:"&amp;'Calculations'!EM54)))</x:f>
      </x:c>
      <x:c r="HF54" t="str">
        <x:f>IF('Calculations'!EM54="","",IF(IFERROR(IF(INDEX(INDIRECT("'WCM Calibration Final'!$D$1:$D$2000"),'Calculations'!$EM54)="","",TRIM(INDEX(INDIRECT("'WCM Calibration Final'!$D$1:$D$2000"),'Calculations'!$EM54)&amp;"")),"")&lt;&gt;"","G:"&amp;IFERROR(TEXT(1*INDEX(INDIRECT("'WCM Calibration Final'!$D$1:$D$2000"),'Calculations'!$EM54),"0"),UPPER(IFERROR(IF(INDEX(INDIRECT("'WCM Calibration Final'!$D$1:$D$2000"),'Calculations'!$EM54)="","",TRIM(INDEX(INDIRECT("'WCM Calibration Final'!$D$1:$D$2000"),'Calculations'!$EM54)&amp;"")),""))),IF(IFERROR(IF(INDEX(INDIRECT("'WCM Calibration Final'!$E$1:$E$2000"),'Calculations'!$EM54)="","",TRIM(INDEX(INDIRECT("'WCM Calibration Final'!$E$1:$E$2000"),'Calculations'!$EM54)&amp;"")),"")="","",IF(COUNTIF('Calculations'!$HG$13:$HG$512,"="&amp;SUBSTITUTE(SUBSTITUTE(SUBSTITUTE(IFERROR(IF(INDEX(INDIRECT("'WCM Calibration Final'!$E$1:$E$2000"),'Calculations'!$EM54)="","",TRIM(INDEX(INDIRECT("'WCM Calibration Final'!$E$1:$E$2000"),'Calculations'!$EM54)&amp;"")),""),"~","~~"),"*","~*"),"?","~?"))=1,INDEX('Calculations'!$HE$13:$HE$512,MATCH(IFERROR(IF(INDEX(INDIRECT("'WCM Calibration Final'!$E$1:$E$2000"),'Calculations'!$EM54)="","",TRIM(INDEX(INDIRECT("'WCM Calibration Final'!$E$1:$E$2000"),'Calculations'!$EM54)&amp;"")),""),'Calculations'!$HG$13:$HG$512,0)),IF(COUNTIF('Calculations'!$HG$13:$HG$512,"="&amp;SUBSTITUTE(SUBSTITUTE(SUBSTITUTE(IFERROR(IF(INDEX(INDIRECT("'WCM Calibration Final'!$E$1:$E$2000"),'Calculations'!$EM54)="","",TRIM(INDEX(INDIRECT("'WCM Calibration Final'!$E$1:$E$2000"),'Calculations'!$EM54)&amp;"")),""),"~","~~"),"*","~*"),"?","~?"))&gt;1,"!AMBIG","X:"&amp;IFERROR(IF(INDEX(INDIRECT("'WCM Calibration Final'!$E$1:$E$2000"),'Calculations'!$EM54)="","",TRIM(INDEX(INDIRECT("'WCM Calibration Final'!$E$1:$E$2000"),'Calculations'!$EM54)&amp;"")),""))))))</x:f>
      </x:c>
      <x:c r="HG54" t="str">
        <x:f>IF('Calculations'!EM54="","",IFERROR(IF(INDEX(INDIRECT("'WCM Calibration Final'!$B$1:$B$2000"),'Calculations'!$EM54)="","",TRIM(INDEX(INDIRECT("'WCM Calibration Final'!$B$1:$B$2000"),'Calculations'!$EM54)&amp;"")),""))</x:f>
      </x:c>
      <x:c r="HH54" t="n">
        <x:f>IF(AND('Calculations'!JC54&gt;0,COUNTIF('Calculations'!$HF$12:HF54,"="&amp;SUBSTITUTE(SUBSTITUTE(SUBSTITUTE('Calculations'!HF54,"~","~~"),"*","~*"),"?","~?"))=1),MAX('Calculations'!$HH$12:HH53)+1,0)</x:f>
        <x:v>0</x:v>
      </x:c>
      <x:c r="HI54" t="n">
        <x:f>IF(AND('Calculations'!HN54&lt;&gt;"",COUNTIF('Calculations'!$HN$12:HN54,"="&amp;SUBSTITUTE(SUBSTITUTE(SUBSTITUTE('Calculations'!HN54,"~","~~"),"*","~*"),"?","~?"))=1),MAX('Calculations'!$HI$12:HI53)+1,0)</x:f>
        <x:v>0</x:v>
      </x:c>
      <x:c r="HJ54" t="str">
        <x:f>IF('Calculations'!HF54="","",IF(COUNTIF('Calculations'!$HE$13:$HE$512,"="&amp;SUBSTITUTE(SUBSTITUTE(SUBSTITUTE('Calculations'!HF54,"~","~~"),"*","~*"),"?","~?"))=1,INDEX('Calculations'!$HK$13:$HK$512,MATCH('Calculations'!HF54,'Calculations'!$HE$13:$HE$512,0)),IFERROR(IF(INDEX(INDIRECT("'WCM Calibration Final'!$E$1:$E$2000"),'Calculations'!$EM54)="","",TRIM(INDEX(INDIRECT("'WCM Calibration Final'!$E$1:$E$2000"),'Calculations'!$EM54)&amp;"")),"")&amp;" ["&amp;'Calculations'!HF54&amp;"]"))</x:f>
      </x:c>
      <x:c r="HK54" t="str">
        <x:f>IF('Calculations'!EM54="","",'Calculations'!HG54&amp;" ["&amp;'Calculations'!HE54&amp;"]")</x:f>
      </x:c>
      <x:c r="HL54" t="n">
        <x:f>IF('Calculations'!EM54="",0,IF(OR('Calculations'!II54&lt;&gt;"",COUNTIF('Calculations'!$HE$13:$HE$512,"="&amp;SUBSTITUTE(SUBSTITUTE(SUBSTITUTE('Calculations'!HE54,"~","~~"),"*","~*"),"?","~?"))&gt;1),1,0))</x:f>
        <x:v>0</x:v>
      </x:c>
      <x:c r="HM54" t="str">
        <x:f>IF('Calculations'!EM54="","",IF('Calculations'!HL54=1,"!UNRESOLVED",IF('Calculations'!IH54&lt;&gt;"",'Calculations'!IH54,IF('Calculations'!IG54&lt;&gt;"",'Calculations'!IG54,IF('Calculations'!IF54&lt;&gt;"",'Calculations'!IF54,IF('Calculations'!IE54&lt;&gt;"",'Calculations'!IE54,IF('Calculations'!ID54&lt;&gt;"",'Calculations'!ID54,IF('Calculations'!IC54&lt;&gt;"",'Calculations'!IC54,IF('Calculations'!IB54&lt;&gt;"",'Calculations'!IB54,IF('Calculations'!IA54&lt;&gt;"",'Calculations'!IA54,IF('Calculations'!HZ54&lt;&gt;"",'Calculations'!HZ54,IF('Calculations'!HY54&lt;&gt;"",'Calculations'!HY54,IF('Calculations'!HX54&lt;&gt;"",'Calculations'!HX54,IF('Calculations'!HW54&lt;&gt;"",'Calculations'!HW54,IF('Calculations'!HV54&lt;&gt;"",'Calculations'!HV54,IF('Calculations'!HU54&lt;&gt;"",'Calculations'!HU54,IF('Calculations'!HT54&lt;&gt;"",'Calculations'!HT54,IF('Calculations'!HS54&lt;&gt;"",'Calculations'!HS54,IF('Calculations'!HR54&lt;&gt;"",'Calculations'!HR54,IF('Calculations'!HQ54&lt;&gt;"",'Calculations'!HQ54,IF('Calculations'!HP54&lt;&gt;"",'Calculations'!HP54,IF('Calculations'!HO54&lt;&gt;"",'Calculations'!HO54,'Calculations'!HE54))))))))))))))))))))))</x:f>
      </x:c>
      <x:c r="HN54" t="str">
        <x:f>IF('Calculations'!EM54="","",IF(IFERROR(IF(INDEX(INDIRECT("'WCM Calibration Final'!$F$1:$F$2000"),'Calculations'!$EM54)="","",TRIM(INDEX(INDIRECT("'WCM Calibration Final'!$F$1:$F$2000"),'Calculations'!$EM54)&amp;"")),"")="","(Blank)",IFERROR(IF(INDEX(INDIRECT("'WCM Calibration Final'!$F$1:$F$2000"),'Calculations'!$EM54)="","",TRIM(INDEX(INDIRECT("'WCM Calibration Final'!$F$1:$F$2000"),'Calculations'!$EM54)&amp;"")),"")))</x:f>
      </x:c>
      <x:c r="HO54" t="str">
        <x:f>'Calculations'!HF54</x:f>
      </x:c>
      <x:c r="HP54" t="str">
        <x:f>IF('Calculations'!HO54="","",IF('Calculations'!HO54="!AMBIG","!AMBIG",IF(COUNTIF('Calculations'!$HE$13:$HE$512,"="&amp;SUBSTITUTE(SUBSTITUTE(SUBSTITUTE('Calculations'!HO54,"~","~~"),"*","~*"),"?","~?"))&gt;1,"!AMBIG",IFERROR(INDEX('Calculations'!$HF$13:$HF$512,MATCH('Calculations'!HO54,'Calculations'!$HE$13:$HE$512,0)),""))))</x:f>
      </x:c>
      <x:c r="HQ54" t="str">
        <x:f>IF('Calculations'!HP54="","",IF('Calculations'!HP54="!AMBIG","!AMBIG",IF(COUNTIF('Calculations'!$HE$13:$HE$512,"="&amp;SUBSTITUTE(SUBSTITUTE(SUBSTITUTE('Calculations'!HP54,"~","~~"),"*","~*"),"?","~?"))&gt;1,"!AMBIG",IFERROR(INDEX('Calculations'!$HF$13:$HF$512,MATCH('Calculations'!HP54,'Calculations'!$HE$13:$HE$512,0)),""))))</x:f>
      </x:c>
      <x:c r="HR54" t="str">
        <x:f>IF('Calculations'!HQ54="","",IF('Calculations'!HQ54="!AMBIG","!AMBIG",IF(COUNTIF('Calculations'!$HE$13:$HE$512,"="&amp;SUBSTITUTE(SUBSTITUTE(SUBSTITUTE('Calculations'!HQ54,"~","~~"),"*","~*"),"?","~?"))&gt;1,"!AMBIG",IFERROR(INDEX('Calculations'!$HF$13:$HF$512,MATCH('Calculations'!HQ54,'Calculations'!$HE$13:$HE$512,0)),""))))</x:f>
      </x:c>
      <x:c r="HS54" t="str">
        <x:f>IF('Calculations'!HR54="","",IF('Calculations'!HR54="!AMBIG","!AMBIG",IF(COUNTIF('Calculations'!$HE$13:$HE$512,"="&amp;SUBSTITUTE(SUBSTITUTE(SUBSTITUTE('Calculations'!HR54,"~","~~"),"*","~*"),"?","~?"))&gt;1,"!AMBIG",IFERROR(INDEX('Calculations'!$HF$13:$HF$512,MATCH('Calculations'!HR54,'Calculations'!$HE$13:$HE$512,0)),""))))</x:f>
      </x:c>
      <x:c r="HT54" t="str">
        <x:f>IF('Calculations'!HS54="","",IF('Calculations'!HS54="!AMBIG","!AMBIG",IF(COUNTIF('Calculations'!$HE$13:$HE$512,"="&amp;SUBSTITUTE(SUBSTITUTE(SUBSTITUTE('Calculations'!HS54,"~","~~"),"*","~*"),"?","~?"))&gt;1,"!AMBIG",IFERROR(INDEX('Calculations'!$HF$13:$HF$512,MATCH('Calculations'!HS54,'Calculations'!$HE$13:$HE$512,0)),""))))</x:f>
      </x:c>
      <x:c r="HU54" t="str">
        <x:f>IF('Calculations'!HT54="","",IF('Calculations'!HT54="!AMBIG","!AMBIG",IF(COUNTIF('Calculations'!$HE$13:$HE$512,"="&amp;SUBSTITUTE(SUBSTITUTE(SUBSTITUTE('Calculations'!HT54,"~","~~"),"*","~*"),"?","~?"))&gt;1,"!AMBIG",IFERROR(INDEX('Calculations'!$HF$13:$HF$512,MATCH('Calculations'!HT54,'Calculations'!$HE$13:$HE$512,0)),""))))</x:f>
      </x:c>
      <x:c r="HV54" t="str">
        <x:f>IF('Calculations'!HU54="","",IF('Calculations'!HU54="!AMBIG","!AMBIG",IF(COUNTIF('Calculations'!$HE$13:$HE$512,"="&amp;SUBSTITUTE(SUBSTITUTE(SUBSTITUTE('Calculations'!HU54,"~","~~"),"*","~*"),"?","~?"))&gt;1,"!AMBIG",IFERROR(INDEX('Calculations'!$HF$13:$HF$512,MATCH('Calculations'!HU54,'Calculations'!$HE$13:$HE$512,0)),""))))</x:f>
      </x:c>
      <x:c r="HW54" t="str">
        <x:f>IF('Calculations'!HV54="","",IF('Calculations'!HV54="!AMBIG","!AMBIG",IF(COUNTIF('Calculations'!$HE$13:$HE$512,"="&amp;SUBSTITUTE(SUBSTITUTE(SUBSTITUTE('Calculations'!HV54,"~","~~"),"*","~*"),"?","~?"))&gt;1,"!AMBIG",IFERROR(INDEX('Calculations'!$HF$13:$HF$512,MATCH('Calculations'!HV54,'Calculations'!$HE$13:$HE$512,0)),""))))</x:f>
      </x:c>
      <x:c r="HX54" t="str">
        <x:f>IF('Calculations'!HW54="","",IF('Calculations'!HW54="!AMBIG","!AMBIG",IF(COUNTIF('Calculations'!$HE$13:$HE$512,"="&amp;SUBSTITUTE(SUBSTITUTE(SUBSTITUTE('Calculations'!HW54,"~","~~"),"*","~*"),"?","~?"))&gt;1,"!AMBIG",IFERROR(INDEX('Calculations'!$HF$13:$HF$512,MATCH('Calculations'!HW54,'Calculations'!$HE$13:$HE$512,0)),""))))</x:f>
      </x:c>
      <x:c r="HY54" t="str">
        <x:f>IF('Calculations'!HX54="","",IF('Calculations'!HX54="!AMBIG","!AMBIG",IF(COUNTIF('Calculations'!$HE$13:$HE$512,"="&amp;SUBSTITUTE(SUBSTITUTE(SUBSTITUTE('Calculations'!HX54,"~","~~"),"*","~*"),"?","~?"))&gt;1,"!AMBIG",IFERROR(INDEX('Calculations'!$HF$13:$HF$512,MATCH('Calculations'!HX54,'Calculations'!$HE$13:$HE$512,0)),""))))</x:f>
      </x:c>
      <x:c r="HZ54" t="str">
        <x:f>IF('Calculations'!HY54="","",IF('Calculations'!HY54="!AMBIG","!AMBIG",IF(COUNTIF('Calculations'!$HE$13:$HE$512,"="&amp;SUBSTITUTE(SUBSTITUTE(SUBSTITUTE('Calculations'!HY54,"~","~~"),"*","~*"),"?","~?"))&gt;1,"!AMBIG",IFERROR(INDEX('Calculations'!$HF$13:$HF$512,MATCH('Calculations'!HY54,'Calculations'!$HE$13:$HE$512,0)),""))))</x:f>
      </x:c>
      <x:c r="IA54" t="str">
        <x:f>IF('Calculations'!HZ54="","",IF('Calculations'!HZ54="!AMBIG","!AMBIG",IF(COUNTIF('Calculations'!$HE$13:$HE$512,"="&amp;SUBSTITUTE(SUBSTITUTE(SUBSTITUTE('Calculations'!HZ54,"~","~~"),"*","~*"),"?","~?"))&gt;1,"!AMBIG",IFERROR(INDEX('Calculations'!$HF$13:$HF$512,MATCH('Calculations'!HZ54,'Calculations'!$HE$13:$HE$512,0)),""))))</x:f>
      </x:c>
      <x:c r="IB54" t="str">
        <x:f>IF('Calculations'!IA54="","",IF('Calculations'!IA54="!AMBIG","!AMBIG",IF(COUNTIF('Calculations'!$HE$13:$HE$512,"="&amp;SUBSTITUTE(SUBSTITUTE(SUBSTITUTE('Calculations'!IA54,"~","~~"),"*","~*"),"?","~?"))&gt;1,"!AMBIG",IFERROR(INDEX('Calculations'!$HF$13:$HF$512,MATCH('Calculations'!IA54,'Calculations'!$HE$13:$HE$512,0)),""))))</x:f>
      </x:c>
      <x:c r="IC54" t="str">
        <x:f>IF('Calculations'!IB54="","",IF('Calculations'!IB54="!AMBIG","!AMBIG",IF(COUNTIF('Calculations'!$HE$13:$HE$512,"="&amp;SUBSTITUTE(SUBSTITUTE(SUBSTITUTE('Calculations'!IB54,"~","~~"),"*","~*"),"?","~?"))&gt;1,"!AMBIG",IFERROR(INDEX('Calculations'!$HF$13:$HF$512,MATCH('Calculations'!IB54,'Calculations'!$HE$13:$HE$512,0)),""))))</x:f>
      </x:c>
      <x:c r="ID54" t="str">
        <x:f>IF('Calculations'!IC54="","",IF('Calculations'!IC54="!AMBIG","!AMBIG",IF(COUNTIF('Calculations'!$HE$13:$HE$512,"="&amp;SUBSTITUTE(SUBSTITUTE(SUBSTITUTE('Calculations'!IC54,"~","~~"),"*","~*"),"?","~?"))&gt;1,"!AMBIG",IFERROR(INDEX('Calculations'!$HF$13:$HF$512,MATCH('Calculations'!IC54,'Calculations'!$HE$13:$HE$512,0)),""))))</x:f>
      </x:c>
      <x:c r="IE54" t="str">
        <x:f>IF('Calculations'!ID54="","",IF('Calculations'!ID54="!AMBIG","!AMBIG",IF(COUNTIF('Calculations'!$HE$13:$HE$512,"="&amp;SUBSTITUTE(SUBSTITUTE(SUBSTITUTE('Calculations'!ID54,"~","~~"),"*","~*"),"?","~?"))&gt;1,"!AMBIG",IFERROR(INDEX('Calculations'!$HF$13:$HF$512,MATCH('Calculations'!ID54,'Calculations'!$HE$13:$HE$512,0)),""))))</x:f>
      </x:c>
      <x:c r="IF54" t="str">
        <x:f>IF('Calculations'!IE54="","",IF('Calculations'!IE54="!AMBIG","!AMBIG",IF(COUNTIF('Calculations'!$HE$13:$HE$512,"="&amp;SUBSTITUTE(SUBSTITUTE(SUBSTITUTE('Calculations'!IE54,"~","~~"),"*","~*"),"?","~?"))&gt;1,"!AMBIG",IFERROR(INDEX('Calculations'!$HF$13:$HF$512,MATCH('Calculations'!IE54,'Calculations'!$HE$13:$HE$512,0)),""))))</x:f>
      </x:c>
      <x:c r="IG54" t="str">
        <x:f>IF('Calculations'!IF54="","",IF('Calculations'!IF54="!AMBIG","!AMBIG",IF(COUNTIF('Calculations'!$HE$13:$HE$512,"="&amp;SUBSTITUTE(SUBSTITUTE(SUBSTITUTE('Calculations'!IF54,"~","~~"),"*","~*"),"?","~?"))&gt;1,"!AMBIG",IFERROR(INDEX('Calculations'!$HF$13:$HF$512,MATCH('Calculations'!IF54,'Calculations'!$HE$13:$HE$512,0)),""))))</x:f>
      </x:c>
      <x:c r="IH54" t="str">
        <x:f>IF('Calculations'!IG54="","",IF('Calculations'!IG54="!AMBIG","!AMBIG",IF(COUNTIF('Calculations'!$HE$13:$HE$512,"="&amp;SUBSTITUTE(SUBSTITUTE(SUBSTITUTE('Calculations'!IG54,"~","~~"),"*","~*"),"?","~?"))&gt;1,"!AMBIG",IFERROR(INDEX('Calculations'!$HF$13:$HF$512,MATCH('Calculations'!IG54,'Calculations'!$HE$13:$HE$512,0)),""))))</x:f>
      </x:c>
      <x:c r="II54" t="str">
        <x:f>IF('Calculations'!IH54="","",IF('Calculations'!IH54="!AMBIG","!AMBIG",IF(COUNTIF('Calculations'!$HE$13:$HE$512,"="&amp;SUBSTITUTE(SUBSTITUTE(SUBSTITUTE('Calculations'!IH54,"~","~~"),"*","~*"),"?","~?"))&gt;1,"!AMBIG",IFERROR(INDEX('Calculations'!$HF$13:$HF$512,MATCH('Calculations'!IH54,'Calculations'!$HE$13:$HE$512,0)),""))))</x:f>
      </x:c>
      <x:c r="IJ54" t="str">
        <x:f>IF('Calculations'!EM54="","",IF('Calculations'!$EF$2="All",'Calculations'!HM54,IF('Calculations'!HL54=1,"",IFERROR(IF(MATCH('Calculations'!$EF$2,'Calculations'!HO54:II54,0)=1,'Calculations'!HE54,INDEX('Calculations'!HO54:II54,1,MATCH('Calculations'!$EF$2,'Calculations'!HO54:II54,0)-1)),""))))</x:f>
      </x:c>
      <x:c r="IK54" t="n">
        <x:f>IF(AND('Calculations'!EM54&lt;&gt;"",'Calculations'!$EF$2&lt;&gt;"All",'Calculations'!HF54='Calculations'!$EF$2,'Calculations'!HL54=0,'Calculations'!JD54&gt;0),MAX('Calculations'!$IK$12:IK53)+1,0)</x:f>
        <x:v>0</x:v>
      </x:c>
      <x:c r="JA54" t="n">
        <x:f>IF(OR(IFERROR(INDIRECT("'WCM Calibration Final'!$A$54")&lt;&gt;"",FALSE),IFERROR(INDIRECT("'WCM Calibration Final'!$B$54")&lt;&gt;"",FALSE),IFERROR(INDIRECT("'WCM Calibration Final'!$C$54")&lt;&gt;"",FALSE)),54,0)</x:f>
        <x:v>0</x:v>
      </x:c>
      <x:c r="JB54" t="n">
        <x:f>'Calculations'!JB53+IF('Calculations'!JA54&gt;0,1,0)</x:f>
        <x:v>0</x:v>
      </x:c>
      <x:c r="JC54" t="n">
        <x:f>IF(OR('Calculations'!HF54="",'Calculations'!HF54="!AMBIG"),0,IF('Dashboard'!$B$7="All",1,COUNTIFS('Calculations'!$HO$13:$HO$512,"="&amp;SUBSTITUTE(SUBSTITUTE(SUBSTITUTE('Calculations'!HF54,"~","~~"),"*","~*"),"?","~?"),'Calculations'!$HN$13:$HN$512,"="&amp;SUBSTITUTE(SUBSTITUTE(SUBSTITUTE('Dashboard'!$B$7,"~","~~"),"*","~*"),"?","~?"))+COUNTIFS('Calculations'!$HP$13:$HP$512,"="&amp;SUBSTITUTE(SUBSTITUTE(SUBSTITUTE('Calculations'!HF54,"~","~~"),"*","~*"),"?","~?"),'Calculations'!$HN$13:$HN$512,"="&amp;SUBSTITUTE(SUBSTITUTE(SUBSTITUTE('Dashboard'!$B$7,"~","~~"),"*","~*"),"?","~?"))+COUNTIFS('Calculations'!$HQ$13:$HQ$512,"="&amp;SUBSTITUTE(SUBSTITUTE(SUBSTITUTE('Calculations'!HF54,"~","~~"),"*","~*"),"?","~?"),'Calculations'!$HN$13:$HN$512,"="&amp;SUBSTITUTE(SUBSTITUTE(SUBSTITUTE('Dashboard'!$B$7,"~","~~"),"*","~*"),"?","~?"))+COUNTIFS('Calculations'!$HR$13:$HR$512,"="&amp;SUBSTITUTE(SUBSTITUTE(SUBSTITUTE('Calculations'!HF54,"~","~~"),"*","~*"),"?","~?"),'Calculations'!$HN$13:$HN$512,"="&amp;SUBSTITUTE(SUBSTITUTE(SUBSTITUTE('Dashboard'!$B$7,"~","~~"),"*","~*"),"?","~?"))+COUNTIFS('Calculations'!$HS$13:$HS$512,"="&amp;SUBSTITUTE(SUBSTITUTE(SUBSTITUTE('Calculations'!HF54,"~","~~"),"*","~*"),"?","~?"),'Calculations'!$HN$13:$HN$512,"="&amp;SUBSTITUTE(SUBSTITUTE(SUBSTITUTE('Dashboard'!$B$7,"~","~~"),"*","~*"),"?","~?"))+COUNTIFS('Calculations'!$HT$13:$HT$512,"="&amp;SUBSTITUTE(SUBSTITUTE(SUBSTITUTE('Calculations'!HF54,"~","~~"),"*","~*"),"?","~?"),'Calculations'!$HN$13:$HN$512,"="&amp;SUBSTITUTE(SUBSTITUTE(SUBSTITUTE('Dashboard'!$B$7,"~","~~"),"*","~*"),"?","~?"))+COUNTIFS('Calculations'!$HU$13:$HU$512,"="&amp;SUBSTITUTE(SUBSTITUTE(SUBSTITUTE('Calculations'!HF54,"~","~~"),"*","~*"),"?","~?"),'Calculations'!$HN$13:$HN$512,"="&amp;SUBSTITUTE(SUBSTITUTE(SUBSTITUTE('Dashboard'!$B$7,"~","~~"),"*","~*"),"?","~?"))+COUNTIFS('Calculations'!$HV$13:$HV$512,"="&amp;SUBSTITUTE(SUBSTITUTE(SUBSTITUTE('Calculations'!HF54,"~","~~"),"*","~*"),"?","~?"),'Calculations'!$HN$13:$HN$512,"="&amp;SUBSTITUTE(SUBSTITUTE(SUBSTITUTE('Dashboard'!$B$7,"~","~~"),"*","~*"),"?","~?"))+COUNTIFS('Calculations'!$HW$13:$HW$512,"="&amp;SUBSTITUTE(SUBSTITUTE(SUBSTITUTE('Calculations'!HF54,"~","~~"),"*","~*"),"?","~?"),'Calculations'!$HN$13:$HN$512,"="&amp;SUBSTITUTE(SUBSTITUTE(SUBSTITUTE('Dashboard'!$B$7,"~","~~"),"*","~*"),"?","~?"))+COUNTIFS('Calculations'!$HX$13:$HX$512,"="&amp;SUBSTITUTE(SUBSTITUTE(SUBSTITUTE('Calculations'!HF54,"~","~~"),"*","~*"),"?","~?"),'Calculations'!$HN$13:$HN$512,"="&amp;SUBSTITUTE(SUBSTITUTE(SUBSTITUTE('Dashboard'!$B$7,"~","~~"),"*","~*"),"?","~?"))+COUNTIFS('Calculations'!$HY$13:$HY$512,"="&amp;SUBSTITUTE(SUBSTITUTE(SUBSTITUTE('Calculations'!HF54,"~","~~"),"*","~*"),"?","~?"),'Calculations'!$HN$13:$HN$512,"="&amp;SUBSTITUTE(SUBSTITUTE(SUBSTITUTE('Dashboard'!$B$7,"~","~~"),"*","~*"),"?","~?"))+COUNTIFS('Calculations'!$HZ$13:$HZ$512,"="&amp;SUBSTITUTE(SUBSTITUTE(SUBSTITUTE('Calculations'!HF54,"~","~~"),"*","~*"),"?","~?"),'Calculations'!$HN$13:$HN$512,"="&amp;SUBSTITUTE(SUBSTITUTE(SUBSTITUTE('Dashboard'!$B$7,"~","~~"),"*","~*"),"?","~?"))+COUNTIFS('Calculations'!$IA$13:$IA$512,"="&amp;SUBSTITUTE(SUBSTITUTE(SUBSTITUTE('Calculations'!HF54,"~","~~"),"*","~*"),"?","~?"),'Calculations'!$HN$13:$HN$512,"="&amp;SUBSTITUTE(SUBSTITUTE(SUBSTITUTE('Dashboard'!$B$7,"~","~~"),"*","~*"),"?","~?"))+COUNTIFS('Calculations'!$IB$13:$IB$512,"="&amp;SUBSTITUTE(SUBSTITUTE(SUBSTITUTE('Calculations'!HF54,"~","~~"),"*","~*"),"?","~?"),'Calculations'!$HN$13:$HN$512,"="&amp;SUBSTITUTE(SUBSTITUTE(SUBSTITUTE('Dashboard'!$B$7,"~","~~"),"*","~*"),"?","~?"))+COUNTIFS('Calculations'!$IC$13:$IC$512,"="&amp;SUBSTITUTE(SUBSTITUTE(SUBSTITUTE('Calculations'!HF54,"~","~~"),"*","~*"),"?","~?"),'Calculations'!$HN$13:$HN$512,"="&amp;SUBSTITUTE(SUBSTITUTE(SUBSTITUTE('Dashboard'!$B$7,"~","~~"),"*","~*"),"?","~?"))+COUNTIFS('Calculations'!$ID$13:$ID$512,"="&amp;SUBSTITUTE(SUBSTITUTE(SUBSTITUTE('Calculations'!HF54,"~","~~"),"*","~*"),"?","~?"),'Calculations'!$HN$13:$HN$512,"="&amp;SUBSTITUTE(SUBSTITUTE(SUBSTITUTE('Dashboard'!$B$7,"~","~~"),"*","~*"),"?","~?"))+COUNTIFS('Calculations'!$IE$13:$IE$512,"="&amp;SUBSTITUTE(SUBSTITUTE(SUBSTITUTE('Calculations'!HF54,"~","~~"),"*","~*"),"?","~?"),'Calculations'!$HN$13:$HN$512,"="&amp;SUBSTITUTE(SUBSTITUTE(SUBSTITUTE('Dashboard'!$B$7,"~","~~"),"*","~*"),"?","~?"))+COUNTIFS('Calculations'!$IF$13:$IF$512,"="&amp;SUBSTITUTE(SUBSTITUTE(SUBSTITUTE('Calculations'!HF54,"~","~~"),"*","~*"),"?","~?"),'Calculations'!$HN$13:$HN$512,"="&amp;SUBSTITUTE(SUBSTITUTE(SUBSTITUTE('Dashboard'!$B$7,"~","~~"),"*","~*"),"?","~?"))+COUNTIFS('Calculations'!$IG$13:$IG$512,"="&amp;SUBSTITUTE(SUBSTITUTE(SUBSTITUTE('Calculations'!HF54,"~","~~"),"*","~*"),"?","~?"),'Calculations'!$HN$13:$HN$512,"="&amp;SUBSTITUTE(SUBSTITUTE(SUBSTITUTE('Dashboard'!$B$7,"~","~~"),"*","~*"),"?","~?"))+COUNTIFS('Calculations'!$IH$13:$IH$512,"="&amp;SUBSTITUTE(SUBSTITUTE(SUBSTITUTE('Calculations'!HF54,"~","~~"),"*","~*"),"?","~?"),'Calculations'!$HN$13:$HN$512,"="&amp;SUBSTITUTE(SUBSTITUTE(SUBSTITUTE('Dashboard'!$B$7,"~","~~"),"*","~*"),"?","~?"))))</x:f>
        <x:v>0</x:v>
      </x:c>
      <x:c r="JD54" t="n">
        <x:f>IF('Calculations'!EM54="",0,IF('Dashboard'!$B$7="All",1,IF('Calculations'!HN54='Dashboard'!$B$7,1,0)+IFERROR(INDEX('Calculations'!$JC$13:$JC$512,MATCH('Calculations'!HE54,'Calculations'!$HF$13:$HF$512,0)),0)))</x:f>
        <x:v>0</x:v>
      </x:c>
      <x:c r="JE54" t="n">
        <x:f>IF(AND('Calculations'!EM54&lt;&gt;"",'Calculations'!$JJ$2&lt;&gt;"All",'Calculations'!$JJ$2&lt;&gt;"",'Calculations'!HF54='Calculations'!$JJ$2,'Calculations'!HL54=0,'Calculations'!JD54&gt;0),MAX('Calculations'!$JE$12:JE53)+1,0)</x:f>
        <x:v>0</x:v>
      </x:c>
      <x:c r="JF54" t="str">
        <x:f>IF('Calculations'!EM54="","",IFERROR(IF(INDEX(INDIRECT("'WCM Calibration Final'!$G$1:$G$2000"),'Calculations'!$EM54)="","",TRIM(INDEX(INDIRECT("'WCM Calibration Final'!$G$1:$G$2000"),'Calculations'!$EM54)&amp;"")),""))</x:f>
      </x:c>
      <x:c r="JQ54" t="n">
        <x:f>IF(OR('Calculations'!BM54=0,NOT('Calculations'!$AG$2),'Calculations'!$AG$8&gt;0),0,IF(OR('Dashboard'!$B$7="All",'Calculations'!HN54='Dashboard'!$B$7),IF('Calculations'!$JJ$2="All",1,IF(AND('Calculations'!HF54='Calculations'!$JJ$2,'Calculations'!HL54=0),1,0)),0))</x:f>
        <x:v>0</x:v>
      </x:c>
    </x:row>
    <x:row r="55">
      <x:c r="AF55" s="4" t="str">
        <x:f>"AVP (n="&amp;'Calculations'!AH55&amp;")"</x:f>
        <x:v>AVP (n=0)</x:v>
      </x:c>
      <x:c r="AG55" s="4" t="n">
        <x:f>COUNTIFS('Calculations'!$BN$13:$BN$512,1,'Calculations'!$BV$13:$BV$512,'Calculations'!AT55)</x:f>
        <x:v>0</x:v>
      </x:c>
      <x:c r="AH55" s="4" t="n">
        <x:f>SUM('Calculations'!AJ55:AM55)</x:f>
        <x:v>0</x:v>
      </x:c>
      <x:c r="AI55" s="4" t="n">
        <x:f>'Calculations'!AG55-'Calculations'!AH55</x:f>
        <x:v>0</x:v>
      </x:c>
      <x:c r="AJ55" s="4" t="n">
        <x:f>COUNTIFS('Calculations'!$BN$13:$BN$512,1,'Calculations'!$BV$13:$BV$512,'Calculations'!AT55,'Calculations'!$BZ$13:$BZ$512,1)</x:f>
        <x:v>0</x:v>
      </x:c>
      <x:c r="AK55" s="4" t="n">
        <x:f>COUNTIFS('Calculations'!$BN$13:$BN$512,1,'Calculations'!$BV$13:$BV$512,'Calculations'!AT55,'Calculations'!$BZ$13:$BZ$512,2)</x:f>
        <x:v>0</x:v>
      </x:c>
      <x:c r="AL55" s="4" t="n">
        <x:f>COUNTIFS('Calculations'!$BN$13:$BN$512,1,'Calculations'!$BV$13:$BV$512,'Calculations'!AT55,'Calculations'!$BZ$13:$BZ$512,3)</x:f>
        <x:v>0</x:v>
      </x:c>
      <x:c r="AM55" s="4" t="n">
        <x:f>COUNTIFS('Calculations'!$BN$13:$BN$512,1,'Calculations'!$BV$13:$BV$512,'Calculations'!AT55,'Calculations'!$BZ$13:$BZ$512,4)</x:f>
        <x:v>0</x:v>
      </x:c>
      <x:c r="AN55" s="4"/>
      <x:c r="AO55" s="4" t="e">
        <x:f>IF('Calculations'!AH55=0,NA(),'Calculations'!AJ55/'Calculations'!AH55)</x:f>
        <x:v>#N/A</x:v>
      </x:c>
      <x:c r="AP55" s="4" t="e">
        <x:f>IF('Calculations'!AH55=0,NA(),'Calculations'!AK55/'Calculations'!AH55)</x:f>
        <x:v>#N/A</x:v>
      </x:c>
      <x:c r="AQ55" s="4" t="e">
        <x:f>IF('Calculations'!AH55=0,NA(),'Calculations'!AL55/'Calculations'!AH55)</x:f>
        <x:v>#N/A</x:v>
      </x:c>
      <x:c r="AR55" s="4" t="e">
        <x:f>IF('Calculations'!AH55=0,NA(),'Calculations'!AM55/'Calculations'!AH55)</x:f>
        <x:v>#N/A</x:v>
      </x:c>
      <x:c r="AS55" s="4"/>
      <x:c r="AT55" s="4" t="str">
        <x:v>ASSISTANT VICE PRESIDENT</x:v>
      </x:c>
      <x:c r="AU55" s="4"/>
      <x:c r="AV55" s="4"/>
      <x:c r="AW55" s="4"/>
      <x:c r="AX55" s="4"/>
      <x:c r="AY55" s="4"/>
      <x:c r="AZ55" s="4"/>
      <x:c r="BA55" s="4"/>
      <x:c r="BB55" s="4"/>
      <x:c r="BC55" s="4"/>
      <x:c r="BD55" s="4"/>
      <x:c r="BE55" s="4"/>
      <x:c r="BF55" s="4"/>
      <x:c r="BG55" s="4"/>
      <x:c r="BH55" s="4"/>
      <x:c r="BI55" s="4"/>
      <x:c r="BJ55" s="4"/>
      <x:c r="BK55" s="4"/>
      <x:c r="BL55" s="4"/>
      <x:c r="BM55" s="4" t="n">
        <x:f>IF('Calculations'!$EM55="",0,IF(OR(IFERROR(INDEX(INDIRECT("'WCM Calibration Final'!$A$1:$A$2000"),'Calculations'!$EM55)&lt;&gt;"",FALSE),IFERROR(INDEX(INDIRECT("'WCM Calibration Final'!$B$1:$B$2000"),'Calculations'!$EM55)&lt;&gt;"",FALSE),IFERROR(INDEX(INDIRECT("'WCM Calibration Final'!$C$1:$C$2000"),'Calculations'!$EM55)&lt;&gt;"",FALSE)),1,0))</x:f>
        <x:v>0</x:v>
      </x:c>
      <x:c r="BN55" s="4" t="n">
        <x:f>IF(AND('Calculations'!BM55=1,'Calculations'!$AG$2,'Calculations'!$EN55=1),1,0)</x:f>
        <x:v>0</x:v>
      </x:c>
      <x:c r="BO55" s="4" t="str">
        <x:f>IF('Calculations'!BM55=0,"",IFERROR(IF(AND(VALUE(INDEX(INDIRECT("'WCM Calibration Final'!$K$1:$K$2000"),'Calculations'!$EM55))&gt;=1,VALUE(INDEX(INDIRECT("'WCM Calibration Final'!$K$1:$K$2000"),'Calculations'!$EM55))&lt;=4,MOD(VALUE(INDEX(INDIRECT("'WCM Calibration Final'!$K$1:$K$2000"),'Calculations'!$EM55)),1)=0),VALUE(INDEX(INDIRECT("'WCM Calibration Final'!$K$1:$K$2000"),'Calculations'!$EM55)),""),""))</x:f>
      </x:c>
      <x:c r="BP55" s="4" t="str">
        <x:f>IF('Calculations'!BM55=0,"",IFERROR(IF(AND(VALUE(INDEX(INDIRECT("'WCM Calibration Final'!$L$1:$L$2000"),'Calculations'!$EM55))&gt;=1,VALUE(INDEX(INDIRECT("'WCM Calibration Final'!$L$1:$L$2000"),'Calculations'!$EM55))&lt;=4,MOD(VALUE(INDEX(INDIRECT("'WCM Calibration Final'!$L$1:$L$2000"),'Calculations'!$EM55)),1)=0),VALUE(INDEX(INDIRECT("'WCM Calibration Final'!$L$1:$L$2000"),'Calculations'!$EM55)),""),""))</x:f>
      </x:c>
      <x:c r="BQ55" s="4"/>
      <x:c r="BR55" s="4"/>
      <x:c r="BS55" s="4"/>
      <x:c r="BT55" s="4" t="n">
        <x:f>IF(AND('Calculations'!BM55=1,ISNUMBER('Calculations'!BO55),ISNUMBER('Calculations'!BP55)),1,0)</x:f>
        <x:v>0</x:v>
      </x:c>
      <x:c r="BU55" s="4" t="str">
        <x:f>IF('Calculations'!BM55=0,"",'Calculations'!$EO55)</x:f>
      </x:c>
      <x:c r="BV55" s="4" t="str">
        <x:f>IF('Calculations'!BM55=0,"",IFERROR(IF(OR(INDEX(INDIRECT("'WCM Calibration Final'!$H$1:$H$2000"),'Calculations'!$EM55)="MANAGING DIRECTOR",INDEX(INDIRECT("'WCM Calibration Final'!$H$1:$H$2000"),'Calculations'!$EM55)="DIRECTOR",INDEX(INDIRECT("'WCM Calibration Final'!$H$1:$H$2000"),'Calculations'!$EM55)="SENIOR VICE PRESIDENT",INDEX(INDIRECT("'WCM Calibration Final'!$H$1:$H$2000"),'Calculations'!$EM55)="VICE PRESIDENT",INDEX(INDIRECT("'WCM Calibration Final'!$H$1:$H$2000"),'Calculations'!$EM55)="ASSISTANT VICE PRESIDENT",INDEX(INDIRECT("'WCM Calibration Final'!$H$1:$H$2000"),'Calculations'!$EM55)="OFFICER"),UPPER(INDEX(INDIRECT("'WCM Calibration Final'!$H$1:$H$2000"),'Calculations'!$EM55)),"Other"),"Other"))</x:f>
      </x:c>
      <x:c r="BW55" s="4"/>
      <x:c r="BX55" s="4"/>
      <x:c r="BY55" s="4" t="n">
        <x:f>IF(AND('Calculations'!BM55=1,'Calculations'!BU55&lt;&gt;"",COUNTIF('Calculations'!$BU$12:BU55,'Calculations'!BU55)=1),MAX('Calculations'!$BY$11:BY54)+1,0)</x:f>
        <x:v>0</x:v>
      </x:c>
      <x:c r="BZ55" s="4" t="str">
        <x:f>IF('Dashboard'!$E$67="What",'Calculations'!BO55,'Calculations'!BP55)</x:f>
      </x:c>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t="str">
        <x:f>IF(44&gt;MAX('Calculations'!$HI$13:$HI$512),"",INDEX('Calculations'!$HN$13:$HN$512,MATCH(44,'Calculations'!$HI$13:$HI$512,0)))</x:f>
      </x:c>
      <x:c r="DB55" s="4" t="str">
        <x:f>IF(44&gt;MAX('Calculations'!$HH$13:$HH$512),"",INDEX('Calculations'!$HJ$13:$HJ$512,MATCH(44,'Calculations'!$HH$13:$HH$512,0)))</x:f>
      </x:c>
      <x:c r="DC55" s="4" t="str">
        <x:f>IF(ROW()-11&gt;MAX('Calculations'!$BY$13:$BY$512),"",INDEX('Calculations'!$BU$13:$BU$512,MATCH(ROW()-11,'Calculations'!$BY$13:$BY$512,0)))</x:f>
      </x:c>
      <x:c r="DD55" s="4" t="str">
        <x:f>IF(44&gt;MAX('Calculations'!$IK$13:$IK$512),"",INDEX('Calculations'!$HK$13:$HK$512,MATCH(44,'Calculations'!$IK$13:$IK$512,0)))</x:f>
      </x:c>
      <x:c r="DE55" s="4" t="str">
        <x:f>'Calculations'!DC55</x:f>
      </x:c>
      <x:c r="DF55" s="4" t="str">
        <x:f>IF('Calculations'!DE55="","",COUNTIFS('Calculations'!$BN$13:$BN$512,1,'Calculations'!$BU$13:$BU$512,'Calculations'!DE55))</x:f>
      </x:c>
      <x:c r="DG55" s="4" t="str">
        <x:f>IF('Calculations'!DE55="","",COUNTIFS('Calculations'!$BN$13:$BN$512,1,'Calculations'!$BU$13:$BU$512,'Calculations'!DE55,'Calculations'!$BT$13:$BT$512,1))</x:f>
      </x:c>
      <x:c r="DH55" s="4" t="str">
        <x:f>IF('Calculations'!DE55="","",'Calculations'!DF55-'Calculations'!DG55)</x:f>
      </x:c>
      <x:c r="DI55" s="4" t="str">
        <x:f>IF(OR('Calculations'!DE55="",'Calculations'!DF55=0),"",'Calculations'!DG55/'Calculations'!DF55)</x:f>
      </x:c>
      <x:c r="DJ55" s="4" t="str">
        <x:f>IF('Calculations'!DE55="","",COUNTIFS('Calculations'!$BN$13:$BN$512,1,'Calculations'!$BU$13:$BU$512,'Calculations'!DE55,'Calculations'!$BT$13:$BT$512,1,'Calculations'!$EE$13:$EE$512,"High"))</x:f>
      </x:c>
      <x:c r="DK55" s="4" t="str">
        <x:f>IF('Calculations'!DE55="","",COUNTIFS('Calculations'!$BN$13:$BN$512,1,'Calculations'!$BU$13:$BU$512,'Calculations'!DE55,'Calculations'!$BT$13:$BT$512,1,'Calculations'!$EE$13:$EE$512,"Strong"))</x:f>
      </x:c>
      <x:c r="DL55" s="4" t="str">
        <x:f>IF('Calculations'!DE55="","",COUNTIFS('Calculations'!$BN$13:$BN$512,1,'Calculations'!$BU$13:$BU$512,'Calculations'!DE55,'Calculations'!$BT$13:$BT$512,1,'Calculations'!$EE$13:$EE$512,"Solid"))</x:f>
      </x:c>
      <x:c r="DM55" s="4" t="str">
        <x:f>IF('Calculations'!DE55="","",COUNTIFS('Calculations'!$BN$13:$BN$512,1,'Calculations'!$BU$13:$BU$512,'Calculations'!DE55,'Calculations'!$BT$13:$BT$512,1,'Calculations'!$EE$13:$EE$512,"Low"))</x:f>
      </x:c>
      <x:c r="DN55" s="4" t="str">
        <x:f>IF('Calculations'!DE55="","",COUNTIFS('Calculations'!$BN$13:$BN$512,1,'Calculations'!$BU$13:$BU$512,'Calculations'!DE55,'Calculations'!$EP$13:$EP$512,1))</x:f>
      </x:c>
      <x:c r="DO55" s="4" t="str">
        <x:f>IF(OR('Calculations'!DE55="",'Calculations'!DG55=0),"",('Calculations'!DJ55+'Calculations'!DK55)/'Calculations'!DG55)</x:f>
      </x:c>
      <x:c r="DP55" s="4" t="n">
        <x:f>IF(AND('Calculations'!DE55&lt;&gt;"",'Calculations'!DF55&gt;0),COUNTIF('Calculations'!$DF$12:DF55,"&gt;0"),0)</x:f>
        <x:v>0</x:v>
      </x:c>
      <x:c r="DQ55" s="4" t="str">
        <x:f>IF(44&gt;MAX('Calculations'!$HH$13:$HH$512),"",INDEX('Calculations'!$HF$13:$HF$512,MATCH(44,'Calculations'!$HH$13:$HH$512,0)))</x:f>
      </x:c>
      <x:c r="DR55" s="4" t="str">
        <x:f>IF(44&gt;MAX('Calculations'!$IK$13:$IK$512),"",INDEX('Calculations'!$HE$13:$HE$512,MATCH(44,'Calculations'!$IK$13:$IK$512,0)))</x:f>
      </x:c>
      <x:c r="DS55" s="4"/>
      <x:c r="DT55" s="4"/>
      <x:c r="DU55" s="4"/>
      <x:c r="DV55" s="4"/>
      <x:c r="DW55" s="4"/>
      <x:c r="DX55" s="4"/>
      <x:c r="DY55" s="4" t="str">
        <x:f>'Calculations'!AF72</x:f>
        <x:v>2</x:v>
      </x:c>
      <x:c r="DZ55" s="4"/>
      <x:c r="EA55" s="4"/>
      <x:c r="EB55" s="4"/>
      <x:c r="EC55" s="4"/>
      <x:c r="ED55" s="4"/>
      <x:c r="EE55" s="4" t="str">
        <x:f>IF('Calculations'!BT55=0,"Not Rated",IF(OR('Calculations'!BO55&gt;=4,'Calculations'!BP55&gt;=4),"Low",IF('Calculations'!BO55+'Calculations'!BP55&lt;=3,"High",IF('Calculations'!BO55+'Calculations'!BP55&lt;=4,"Strong","Solid"))))</x:f>
        <x:v>Not Rated</x:v>
      </x:c>
      <x:c r="EF55" s="4"/>
      <x:c r="EG55" s="4"/>
      <x:c r="EH55" s="4"/>
      <x:c r="EI55" s="4"/>
      <x:c r="EJ55" s="4"/>
      <x:c r="EK55" s="4"/>
      <x:c r="EL55" s="4"/>
      <x:c r="EM55" s="4" t="str">
        <x:f>IF(43&gt;'Calculations'!$JB$2000,"",INDEX('Calculations'!$JA$12:$JA$2000,MATCH(43,'Calculations'!$JB$12:$JB$2000,0)))</x:f>
      </x:c>
      <x:c r="EN55" s="4" t="n">
        <x:f>IF(OR('Calculations'!EM55="",'Calculations'!$AG$8&gt;0,AND('Calculations'!$EF$2&lt;&gt;"All",'Calculations'!HE55='Calculations'!$EF$2),AND('Calculations'!$EF$3&lt;&gt;"All",'Calculations'!HE55='Calculations'!$EF$3)),0,IF(OR('Dashboard'!$B$7="All",'Calculations'!HN55='Dashboard'!$B$7),IF('Calculations'!$EF$2="All",1,IF('Calculations'!HL55&gt;0,0,IF(COUNTIF('Calculations'!HO55:II55,"="&amp;SUBSTITUTE(SUBSTITUTE(SUBSTITUTE('Calculations'!$EF$2,"~","~~"),"*","~*"),"?","~?"))=0,0,IF('Calculations'!$EF$3="All",1,IF(COUNTIF('Calculations'!HO55:II55,"="&amp;SUBSTITUTE(SUBSTITUTE(SUBSTITUTE('Calculations'!$EF$3,"~","~~"),"*","~*"),"?","~?"))&gt;0,1,0))))),0))</x:f>
        <x:v>0</x:v>
      </x:c>
      <x:c r="EO55" s="4" t="str">
        <x:f>IF('Calculations'!IJ55="","",IF('Calculations'!IJ55="!UNRESOLVED","Unresolved hierarchy",IFERROR(INDEX('Calculations'!$HK$13:$HK$512,MATCH('Calculations'!IJ55,'Calculations'!$HE$13:$HE$512,0)),IFERROR(INDEX('Calculations'!$HJ$13:$HJ$512,MATCH('Calculations'!IJ55,'Calculations'!$HF$13:$HF$512,0)),'Calculations'!IJ55))))</x:f>
      </x:c>
      <x:c r="EP55" s="4" t="n">
        <x:f>IF(AND('Calculations'!EM55&lt;&gt;"",'Calculations'!HF55='Calculations'!IJ55),1,0)</x:f>
        <x:v>0</x:v>
      </x:c>
      <x:c r="EQ55" s="4"/>
      <x:c r="ER55" s="4"/>
      <x:c r="ES55" s="4"/>
      <x:c r="ET55" s="4"/>
      <x:c r="EU55" s="4"/>
      <x:c r="EV55" s="4"/>
      <x:c r="EW55" s="4"/>
      <x:c r="EX55" s="4"/>
      <x:c r="EY55" s="4"/>
      <x:c r="EZ55" s="4"/>
      <x:c r="FA55" s="4"/>
      <x:c r="FB55" s="4"/>
      <x:c r="FC55" s="4"/>
      <x:c r="FD55" s="4"/>
      <x:c r="FE55" s="4"/>
      <x:c r="FF55" s="4"/>
      <x:c r="FG55" s="4"/>
      <x:c r="FH55" s="4"/>
      <x:c r="FI55" s="4"/>
      <x:c r="FJ55" s="4"/>
      <x:c r="FK55" s="4"/>
      <x:c r="FL55" s="4"/>
      <x:c r="FM55" s="4"/>
      <x:c r="FN55" s="4"/>
      <x:c r="FO55" s="4"/>
      <x:c r="GA55" s="71"/>
      <x:c r="GB55" s="71"/>
      <x:c r="GC55" s="71"/>
      <x:c r="GD55" s="71"/>
      <x:c r="GE55" s="71"/>
      <x:c r="GF55" s="71"/>
      <x:c r="GG55" s="71"/>
      <x:c r="GH55" s="71"/>
      <x:c r="GI55" s="71"/>
      <x:c r="GJ55" s="71"/>
      <x:c r="GK55" s="71"/>
      <x:c r="GL55" s="71"/>
      <x:c r="GM55" s="71"/>
      <x:c r="GN55" s="71"/>
      <x:c r="GO55" s="71"/>
      <x:c r="GP55" s="71"/>
      <x:c r="GQ55" s="71"/>
      <x:c r="GR55" s="71"/>
      <x:c r="GS55" s="71"/>
      <x:c r="GT55" s="71"/>
      <x:c r="GU55" s="71"/>
      <x:c r="GV55" s="71"/>
      <x:c r="GW55" s="71"/>
      <x:c r="GX55" s="71"/>
      <x:c r="GY55" s="71"/>
      <x:c r="GZ55" s="71"/>
      <x:c r="HA55" s="71"/>
      <x:c r="HB55" s="71"/>
      <x:c r="HC55" s="71"/>
      <x:c r="HD55" s="71"/>
      <x:c r="HE55" t="str">
        <x:f>IF('Calculations'!EM55="","",IF(IFERROR(IF(INDEX(INDIRECT("'WCM Calibration Final'!$A$1:$A$2000"),'Calculations'!$EM55)="","",TRIM(INDEX(INDIRECT("'WCM Calibration Final'!$A$1:$A$2000"),'Calculations'!$EM55)&amp;"")),"")&lt;&gt;"","G:"&amp;IFERROR(TEXT(1*INDEX(INDIRECT("'WCM Calibration Final'!$A$1:$A$2000"),'Calculations'!$EM55),"0"),UPPER(IFERROR(IF(INDEX(INDIRECT("'WCM Calibration Final'!$A$1:$A$2000"),'Calculations'!$EM55)="","",TRIM(INDEX(INDIRECT("'WCM Calibration Final'!$A$1:$A$2000"),'Calculations'!$EM55)&amp;"")),""))),IF(IFERROR(IF(INDEX(INDIRECT("'WCM Calibration Final'!$C$1:$C$2000"),'Calculations'!$EM55)="","",TRIM(INDEX(INDIRECT("'WCM Calibration Final'!$C$1:$C$2000"),'Calculations'!$EM55)&amp;"")),"")&lt;&gt;"","S:"&amp;UPPER(IFERROR(IF(INDEX(INDIRECT("'WCM Calibration Final'!$C$1:$C$2000"),'Calculations'!$EM55)="","",TRIM(INDEX(INDIRECT("'WCM Calibration Final'!$C$1:$C$2000"),'Calculations'!$EM55)&amp;"")),"")),"R:"&amp;'Calculations'!EM55)))</x:f>
      </x:c>
      <x:c r="HF55" t="str">
        <x:f>IF('Calculations'!EM55="","",IF(IFERROR(IF(INDEX(INDIRECT("'WCM Calibration Final'!$D$1:$D$2000"),'Calculations'!$EM55)="","",TRIM(INDEX(INDIRECT("'WCM Calibration Final'!$D$1:$D$2000"),'Calculations'!$EM55)&amp;"")),"")&lt;&gt;"","G:"&amp;IFERROR(TEXT(1*INDEX(INDIRECT("'WCM Calibration Final'!$D$1:$D$2000"),'Calculations'!$EM55),"0"),UPPER(IFERROR(IF(INDEX(INDIRECT("'WCM Calibration Final'!$D$1:$D$2000"),'Calculations'!$EM55)="","",TRIM(INDEX(INDIRECT("'WCM Calibration Final'!$D$1:$D$2000"),'Calculations'!$EM55)&amp;"")),""))),IF(IFERROR(IF(INDEX(INDIRECT("'WCM Calibration Final'!$E$1:$E$2000"),'Calculations'!$EM55)="","",TRIM(INDEX(INDIRECT("'WCM Calibration Final'!$E$1:$E$2000"),'Calculations'!$EM55)&amp;"")),"")="","",IF(COUNTIF('Calculations'!$HG$13:$HG$512,"="&amp;SUBSTITUTE(SUBSTITUTE(SUBSTITUTE(IFERROR(IF(INDEX(INDIRECT("'WCM Calibration Final'!$E$1:$E$2000"),'Calculations'!$EM55)="","",TRIM(INDEX(INDIRECT("'WCM Calibration Final'!$E$1:$E$2000"),'Calculations'!$EM55)&amp;"")),""),"~","~~"),"*","~*"),"?","~?"))=1,INDEX('Calculations'!$HE$13:$HE$512,MATCH(IFERROR(IF(INDEX(INDIRECT("'WCM Calibration Final'!$E$1:$E$2000"),'Calculations'!$EM55)="","",TRIM(INDEX(INDIRECT("'WCM Calibration Final'!$E$1:$E$2000"),'Calculations'!$EM55)&amp;"")),""),'Calculations'!$HG$13:$HG$512,0)),IF(COUNTIF('Calculations'!$HG$13:$HG$512,"="&amp;SUBSTITUTE(SUBSTITUTE(SUBSTITUTE(IFERROR(IF(INDEX(INDIRECT("'WCM Calibration Final'!$E$1:$E$2000"),'Calculations'!$EM55)="","",TRIM(INDEX(INDIRECT("'WCM Calibration Final'!$E$1:$E$2000"),'Calculations'!$EM55)&amp;"")),""),"~","~~"),"*","~*"),"?","~?"))&gt;1,"!AMBIG","X:"&amp;IFERROR(IF(INDEX(INDIRECT("'WCM Calibration Final'!$E$1:$E$2000"),'Calculations'!$EM55)="","",TRIM(INDEX(INDIRECT("'WCM Calibration Final'!$E$1:$E$2000"),'Calculations'!$EM55)&amp;"")),""))))))</x:f>
      </x:c>
      <x:c r="HG55" t="str">
        <x:f>IF('Calculations'!EM55="","",IFERROR(IF(INDEX(INDIRECT("'WCM Calibration Final'!$B$1:$B$2000"),'Calculations'!$EM55)="","",TRIM(INDEX(INDIRECT("'WCM Calibration Final'!$B$1:$B$2000"),'Calculations'!$EM55)&amp;"")),""))</x:f>
      </x:c>
      <x:c r="HH55" t="n">
        <x:f>IF(AND('Calculations'!JC55&gt;0,COUNTIF('Calculations'!$HF$12:HF55,"="&amp;SUBSTITUTE(SUBSTITUTE(SUBSTITUTE('Calculations'!HF55,"~","~~"),"*","~*"),"?","~?"))=1),MAX('Calculations'!$HH$12:HH54)+1,0)</x:f>
        <x:v>0</x:v>
      </x:c>
      <x:c r="HI55" t="n">
        <x:f>IF(AND('Calculations'!HN55&lt;&gt;"",COUNTIF('Calculations'!$HN$12:HN55,"="&amp;SUBSTITUTE(SUBSTITUTE(SUBSTITUTE('Calculations'!HN55,"~","~~"),"*","~*"),"?","~?"))=1),MAX('Calculations'!$HI$12:HI54)+1,0)</x:f>
        <x:v>0</x:v>
      </x:c>
      <x:c r="HJ55" t="str">
        <x:f>IF('Calculations'!HF55="","",IF(COUNTIF('Calculations'!$HE$13:$HE$512,"="&amp;SUBSTITUTE(SUBSTITUTE(SUBSTITUTE('Calculations'!HF55,"~","~~"),"*","~*"),"?","~?"))=1,INDEX('Calculations'!$HK$13:$HK$512,MATCH('Calculations'!HF55,'Calculations'!$HE$13:$HE$512,0)),IFERROR(IF(INDEX(INDIRECT("'WCM Calibration Final'!$E$1:$E$2000"),'Calculations'!$EM55)="","",TRIM(INDEX(INDIRECT("'WCM Calibration Final'!$E$1:$E$2000"),'Calculations'!$EM55)&amp;"")),"")&amp;" ["&amp;'Calculations'!HF55&amp;"]"))</x:f>
      </x:c>
      <x:c r="HK55" t="str">
        <x:f>IF('Calculations'!EM55="","",'Calculations'!HG55&amp;" ["&amp;'Calculations'!HE55&amp;"]")</x:f>
      </x:c>
      <x:c r="HL55" t="n">
        <x:f>IF('Calculations'!EM55="",0,IF(OR('Calculations'!II55&lt;&gt;"",COUNTIF('Calculations'!$HE$13:$HE$512,"="&amp;SUBSTITUTE(SUBSTITUTE(SUBSTITUTE('Calculations'!HE55,"~","~~"),"*","~*"),"?","~?"))&gt;1),1,0))</x:f>
        <x:v>0</x:v>
      </x:c>
      <x:c r="HM55" t="str">
        <x:f>IF('Calculations'!EM55="","",IF('Calculations'!HL55=1,"!UNRESOLVED",IF('Calculations'!IH55&lt;&gt;"",'Calculations'!IH55,IF('Calculations'!IG55&lt;&gt;"",'Calculations'!IG55,IF('Calculations'!IF55&lt;&gt;"",'Calculations'!IF55,IF('Calculations'!IE55&lt;&gt;"",'Calculations'!IE55,IF('Calculations'!ID55&lt;&gt;"",'Calculations'!ID55,IF('Calculations'!IC55&lt;&gt;"",'Calculations'!IC55,IF('Calculations'!IB55&lt;&gt;"",'Calculations'!IB55,IF('Calculations'!IA55&lt;&gt;"",'Calculations'!IA55,IF('Calculations'!HZ55&lt;&gt;"",'Calculations'!HZ55,IF('Calculations'!HY55&lt;&gt;"",'Calculations'!HY55,IF('Calculations'!HX55&lt;&gt;"",'Calculations'!HX55,IF('Calculations'!HW55&lt;&gt;"",'Calculations'!HW55,IF('Calculations'!HV55&lt;&gt;"",'Calculations'!HV55,IF('Calculations'!HU55&lt;&gt;"",'Calculations'!HU55,IF('Calculations'!HT55&lt;&gt;"",'Calculations'!HT55,IF('Calculations'!HS55&lt;&gt;"",'Calculations'!HS55,IF('Calculations'!HR55&lt;&gt;"",'Calculations'!HR55,IF('Calculations'!HQ55&lt;&gt;"",'Calculations'!HQ55,IF('Calculations'!HP55&lt;&gt;"",'Calculations'!HP55,IF('Calculations'!HO55&lt;&gt;"",'Calculations'!HO55,'Calculations'!HE55))))))))))))))))))))))</x:f>
      </x:c>
      <x:c r="HN55" t="str">
        <x:f>IF('Calculations'!EM55="","",IF(IFERROR(IF(INDEX(INDIRECT("'WCM Calibration Final'!$F$1:$F$2000"),'Calculations'!$EM55)="","",TRIM(INDEX(INDIRECT("'WCM Calibration Final'!$F$1:$F$2000"),'Calculations'!$EM55)&amp;"")),"")="","(Blank)",IFERROR(IF(INDEX(INDIRECT("'WCM Calibration Final'!$F$1:$F$2000"),'Calculations'!$EM55)="","",TRIM(INDEX(INDIRECT("'WCM Calibration Final'!$F$1:$F$2000"),'Calculations'!$EM55)&amp;"")),"")))</x:f>
      </x:c>
      <x:c r="HO55" t="str">
        <x:f>'Calculations'!HF55</x:f>
      </x:c>
      <x:c r="HP55" t="str">
        <x:f>IF('Calculations'!HO55="","",IF('Calculations'!HO55="!AMBIG","!AMBIG",IF(COUNTIF('Calculations'!$HE$13:$HE$512,"="&amp;SUBSTITUTE(SUBSTITUTE(SUBSTITUTE('Calculations'!HO55,"~","~~"),"*","~*"),"?","~?"))&gt;1,"!AMBIG",IFERROR(INDEX('Calculations'!$HF$13:$HF$512,MATCH('Calculations'!HO55,'Calculations'!$HE$13:$HE$512,0)),""))))</x:f>
      </x:c>
      <x:c r="HQ55" t="str">
        <x:f>IF('Calculations'!HP55="","",IF('Calculations'!HP55="!AMBIG","!AMBIG",IF(COUNTIF('Calculations'!$HE$13:$HE$512,"="&amp;SUBSTITUTE(SUBSTITUTE(SUBSTITUTE('Calculations'!HP55,"~","~~"),"*","~*"),"?","~?"))&gt;1,"!AMBIG",IFERROR(INDEX('Calculations'!$HF$13:$HF$512,MATCH('Calculations'!HP55,'Calculations'!$HE$13:$HE$512,0)),""))))</x:f>
      </x:c>
      <x:c r="HR55" t="str">
        <x:f>IF('Calculations'!HQ55="","",IF('Calculations'!HQ55="!AMBIG","!AMBIG",IF(COUNTIF('Calculations'!$HE$13:$HE$512,"="&amp;SUBSTITUTE(SUBSTITUTE(SUBSTITUTE('Calculations'!HQ55,"~","~~"),"*","~*"),"?","~?"))&gt;1,"!AMBIG",IFERROR(INDEX('Calculations'!$HF$13:$HF$512,MATCH('Calculations'!HQ55,'Calculations'!$HE$13:$HE$512,0)),""))))</x:f>
      </x:c>
      <x:c r="HS55" t="str">
        <x:f>IF('Calculations'!HR55="","",IF('Calculations'!HR55="!AMBIG","!AMBIG",IF(COUNTIF('Calculations'!$HE$13:$HE$512,"="&amp;SUBSTITUTE(SUBSTITUTE(SUBSTITUTE('Calculations'!HR55,"~","~~"),"*","~*"),"?","~?"))&gt;1,"!AMBIG",IFERROR(INDEX('Calculations'!$HF$13:$HF$512,MATCH('Calculations'!HR55,'Calculations'!$HE$13:$HE$512,0)),""))))</x:f>
      </x:c>
      <x:c r="HT55" t="str">
        <x:f>IF('Calculations'!HS55="","",IF('Calculations'!HS55="!AMBIG","!AMBIG",IF(COUNTIF('Calculations'!$HE$13:$HE$512,"="&amp;SUBSTITUTE(SUBSTITUTE(SUBSTITUTE('Calculations'!HS55,"~","~~"),"*","~*"),"?","~?"))&gt;1,"!AMBIG",IFERROR(INDEX('Calculations'!$HF$13:$HF$512,MATCH('Calculations'!HS55,'Calculations'!$HE$13:$HE$512,0)),""))))</x:f>
      </x:c>
      <x:c r="HU55" t="str">
        <x:f>IF('Calculations'!HT55="","",IF('Calculations'!HT55="!AMBIG","!AMBIG",IF(COUNTIF('Calculations'!$HE$13:$HE$512,"="&amp;SUBSTITUTE(SUBSTITUTE(SUBSTITUTE('Calculations'!HT55,"~","~~"),"*","~*"),"?","~?"))&gt;1,"!AMBIG",IFERROR(INDEX('Calculations'!$HF$13:$HF$512,MATCH('Calculations'!HT55,'Calculations'!$HE$13:$HE$512,0)),""))))</x:f>
      </x:c>
      <x:c r="HV55" t="str">
        <x:f>IF('Calculations'!HU55="","",IF('Calculations'!HU55="!AMBIG","!AMBIG",IF(COUNTIF('Calculations'!$HE$13:$HE$512,"="&amp;SUBSTITUTE(SUBSTITUTE(SUBSTITUTE('Calculations'!HU55,"~","~~"),"*","~*"),"?","~?"))&gt;1,"!AMBIG",IFERROR(INDEX('Calculations'!$HF$13:$HF$512,MATCH('Calculations'!HU55,'Calculations'!$HE$13:$HE$512,0)),""))))</x:f>
      </x:c>
      <x:c r="HW55" t="str">
        <x:f>IF('Calculations'!HV55="","",IF('Calculations'!HV55="!AMBIG","!AMBIG",IF(COUNTIF('Calculations'!$HE$13:$HE$512,"="&amp;SUBSTITUTE(SUBSTITUTE(SUBSTITUTE('Calculations'!HV55,"~","~~"),"*","~*"),"?","~?"))&gt;1,"!AMBIG",IFERROR(INDEX('Calculations'!$HF$13:$HF$512,MATCH('Calculations'!HV55,'Calculations'!$HE$13:$HE$512,0)),""))))</x:f>
      </x:c>
      <x:c r="HX55" t="str">
        <x:f>IF('Calculations'!HW55="","",IF('Calculations'!HW55="!AMBIG","!AMBIG",IF(COUNTIF('Calculations'!$HE$13:$HE$512,"="&amp;SUBSTITUTE(SUBSTITUTE(SUBSTITUTE('Calculations'!HW55,"~","~~"),"*","~*"),"?","~?"))&gt;1,"!AMBIG",IFERROR(INDEX('Calculations'!$HF$13:$HF$512,MATCH('Calculations'!HW55,'Calculations'!$HE$13:$HE$512,0)),""))))</x:f>
      </x:c>
      <x:c r="HY55" t="str">
        <x:f>IF('Calculations'!HX55="","",IF('Calculations'!HX55="!AMBIG","!AMBIG",IF(COUNTIF('Calculations'!$HE$13:$HE$512,"="&amp;SUBSTITUTE(SUBSTITUTE(SUBSTITUTE('Calculations'!HX55,"~","~~"),"*","~*"),"?","~?"))&gt;1,"!AMBIG",IFERROR(INDEX('Calculations'!$HF$13:$HF$512,MATCH('Calculations'!HX55,'Calculations'!$HE$13:$HE$512,0)),""))))</x:f>
      </x:c>
      <x:c r="HZ55" t="str">
        <x:f>IF('Calculations'!HY55="","",IF('Calculations'!HY55="!AMBIG","!AMBIG",IF(COUNTIF('Calculations'!$HE$13:$HE$512,"="&amp;SUBSTITUTE(SUBSTITUTE(SUBSTITUTE('Calculations'!HY55,"~","~~"),"*","~*"),"?","~?"))&gt;1,"!AMBIG",IFERROR(INDEX('Calculations'!$HF$13:$HF$512,MATCH('Calculations'!HY55,'Calculations'!$HE$13:$HE$512,0)),""))))</x:f>
      </x:c>
      <x:c r="IA55" t="str">
        <x:f>IF('Calculations'!HZ55="","",IF('Calculations'!HZ55="!AMBIG","!AMBIG",IF(COUNTIF('Calculations'!$HE$13:$HE$512,"="&amp;SUBSTITUTE(SUBSTITUTE(SUBSTITUTE('Calculations'!HZ55,"~","~~"),"*","~*"),"?","~?"))&gt;1,"!AMBIG",IFERROR(INDEX('Calculations'!$HF$13:$HF$512,MATCH('Calculations'!HZ55,'Calculations'!$HE$13:$HE$512,0)),""))))</x:f>
      </x:c>
      <x:c r="IB55" t="str">
        <x:f>IF('Calculations'!IA55="","",IF('Calculations'!IA55="!AMBIG","!AMBIG",IF(COUNTIF('Calculations'!$HE$13:$HE$512,"="&amp;SUBSTITUTE(SUBSTITUTE(SUBSTITUTE('Calculations'!IA55,"~","~~"),"*","~*"),"?","~?"))&gt;1,"!AMBIG",IFERROR(INDEX('Calculations'!$HF$13:$HF$512,MATCH('Calculations'!IA55,'Calculations'!$HE$13:$HE$512,0)),""))))</x:f>
      </x:c>
      <x:c r="IC55" t="str">
        <x:f>IF('Calculations'!IB55="","",IF('Calculations'!IB55="!AMBIG","!AMBIG",IF(COUNTIF('Calculations'!$HE$13:$HE$512,"="&amp;SUBSTITUTE(SUBSTITUTE(SUBSTITUTE('Calculations'!IB55,"~","~~"),"*","~*"),"?","~?"))&gt;1,"!AMBIG",IFERROR(INDEX('Calculations'!$HF$13:$HF$512,MATCH('Calculations'!IB55,'Calculations'!$HE$13:$HE$512,0)),""))))</x:f>
      </x:c>
      <x:c r="ID55" t="str">
        <x:f>IF('Calculations'!IC55="","",IF('Calculations'!IC55="!AMBIG","!AMBIG",IF(COUNTIF('Calculations'!$HE$13:$HE$512,"="&amp;SUBSTITUTE(SUBSTITUTE(SUBSTITUTE('Calculations'!IC55,"~","~~"),"*","~*"),"?","~?"))&gt;1,"!AMBIG",IFERROR(INDEX('Calculations'!$HF$13:$HF$512,MATCH('Calculations'!IC55,'Calculations'!$HE$13:$HE$512,0)),""))))</x:f>
      </x:c>
      <x:c r="IE55" t="str">
        <x:f>IF('Calculations'!ID55="","",IF('Calculations'!ID55="!AMBIG","!AMBIG",IF(COUNTIF('Calculations'!$HE$13:$HE$512,"="&amp;SUBSTITUTE(SUBSTITUTE(SUBSTITUTE('Calculations'!ID55,"~","~~"),"*","~*"),"?","~?"))&gt;1,"!AMBIG",IFERROR(INDEX('Calculations'!$HF$13:$HF$512,MATCH('Calculations'!ID55,'Calculations'!$HE$13:$HE$512,0)),""))))</x:f>
      </x:c>
      <x:c r="IF55" t="str">
        <x:f>IF('Calculations'!IE55="","",IF('Calculations'!IE55="!AMBIG","!AMBIG",IF(COUNTIF('Calculations'!$HE$13:$HE$512,"="&amp;SUBSTITUTE(SUBSTITUTE(SUBSTITUTE('Calculations'!IE55,"~","~~"),"*","~*"),"?","~?"))&gt;1,"!AMBIG",IFERROR(INDEX('Calculations'!$HF$13:$HF$512,MATCH('Calculations'!IE55,'Calculations'!$HE$13:$HE$512,0)),""))))</x:f>
      </x:c>
      <x:c r="IG55" t="str">
        <x:f>IF('Calculations'!IF55="","",IF('Calculations'!IF55="!AMBIG","!AMBIG",IF(COUNTIF('Calculations'!$HE$13:$HE$512,"="&amp;SUBSTITUTE(SUBSTITUTE(SUBSTITUTE('Calculations'!IF55,"~","~~"),"*","~*"),"?","~?"))&gt;1,"!AMBIG",IFERROR(INDEX('Calculations'!$HF$13:$HF$512,MATCH('Calculations'!IF55,'Calculations'!$HE$13:$HE$512,0)),""))))</x:f>
      </x:c>
      <x:c r="IH55" t="str">
        <x:f>IF('Calculations'!IG55="","",IF('Calculations'!IG55="!AMBIG","!AMBIG",IF(COUNTIF('Calculations'!$HE$13:$HE$512,"="&amp;SUBSTITUTE(SUBSTITUTE(SUBSTITUTE('Calculations'!IG55,"~","~~"),"*","~*"),"?","~?"))&gt;1,"!AMBIG",IFERROR(INDEX('Calculations'!$HF$13:$HF$512,MATCH('Calculations'!IG55,'Calculations'!$HE$13:$HE$512,0)),""))))</x:f>
      </x:c>
      <x:c r="II55" t="str">
        <x:f>IF('Calculations'!IH55="","",IF('Calculations'!IH55="!AMBIG","!AMBIG",IF(COUNTIF('Calculations'!$HE$13:$HE$512,"="&amp;SUBSTITUTE(SUBSTITUTE(SUBSTITUTE('Calculations'!IH55,"~","~~"),"*","~*"),"?","~?"))&gt;1,"!AMBIG",IFERROR(INDEX('Calculations'!$HF$13:$HF$512,MATCH('Calculations'!IH55,'Calculations'!$HE$13:$HE$512,0)),""))))</x:f>
      </x:c>
      <x:c r="IJ55" t="str">
        <x:f>IF('Calculations'!EM55="","",IF('Calculations'!$EF$2="All",'Calculations'!HM55,IF('Calculations'!HL55=1,"",IFERROR(IF(MATCH('Calculations'!$EF$2,'Calculations'!HO55:II55,0)=1,'Calculations'!HE55,INDEX('Calculations'!HO55:II55,1,MATCH('Calculations'!$EF$2,'Calculations'!HO55:II55,0)-1)),""))))</x:f>
      </x:c>
      <x:c r="IK55" t="n">
        <x:f>IF(AND('Calculations'!EM55&lt;&gt;"",'Calculations'!$EF$2&lt;&gt;"All",'Calculations'!HF55='Calculations'!$EF$2,'Calculations'!HL55=0,'Calculations'!JD55&gt;0),MAX('Calculations'!$IK$12:IK54)+1,0)</x:f>
        <x:v>0</x:v>
      </x:c>
      <x:c r="JA55" t="n">
        <x:f>IF(OR(IFERROR(INDIRECT("'WCM Calibration Final'!$A$55")&lt;&gt;"",FALSE),IFERROR(INDIRECT("'WCM Calibration Final'!$B$55")&lt;&gt;"",FALSE),IFERROR(INDIRECT("'WCM Calibration Final'!$C$55")&lt;&gt;"",FALSE)),55,0)</x:f>
        <x:v>0</x:v>
      </x:c>
      <x:c r="JB55" t="n">
        <x:f>'Calculations'!JB54+IF('Calculations'!JA55&gt;0,1,0)</x:f>
        <x:v>0</x:v>
      </x:c>
      <x:c r="JC55" t="n">
        <x:f>IF(OR('Calculations'!HF55="",'Calculations'!HF55="!AMBIG"),0,IF('Dashboard'!$B$7="All",1,COUNTIFS('Calculations'!$HO$13:$HO$512,"="&amp;SUBSTITUTE(SUBSTITUTE(SUBSTITUTE('Calculations'!HF55,"~","~~"),"*","~*"),"?","~?"),'Calculations'!$HN$13:$HN$512,"="&amp;SUBSTITUTE(SUBSTITUTE(SUBSTITUTE('Dashboard'!$B$7,"~","~~"),"*","~*"),"?","~?"))+COUNTIFS('Calculations'!$HP$13:$HP$512,"="&amp;SUBSTITUTE(SUBSTITUTE(SUBSTITUTE('Calculations'!HF55,"~","~~"),"*","~*"),"?","~?"),'Calculations'!$HN$13:$HN$512,"="&amp;SUBSTITUTE(SUBSTITUTE(SUBSTITUTE('Dashboard'!$B$7,"~","~~"),"*","~*"),"?","~?"))+COUNTIFS('Calculations'!$HQ$13:$HQ$512,"="&amp;SUBSTITUTE(SUBSTITUTE(SUBSTITUTE('Calculations'!HF55,"~","~~"),"*","~*"),"?","~?"),'Calculations'!$HN$13:$HN$512,"="&amp;SUBSTITUTE(SUBSTITUTE(SUBSTITUTE('Dashboard'!$B$7,"~","~~"),"*","~*"),"?","~?"))+COUNTIFS('Calculations'!$HR$13:$HR$512,"="&amp;SUBSTITUTE(SUBSTITUTE(SUBSTITUTE('Calculations'!HF55,"~","~~"),"*","~*"),"?","~?"),'Calculations'!$HN$13:$HN$512,"="&amp;SUBSTITUTE(SUBSTITUTE(SUBSTITUTE('Dashboard'!$B$7,"~","~~"),"*","~*"),"?","~?"))+COUNTIFS('Calculations'!$HS$13:$HS$512,"="&amp;SUBSTITUTE(SUBSTITUTE(SUBSTITUTE('Calculations'!HF55,"~","~~"),"*","~*"),"?","~?"),'Calculations'!$HN$13:$HN$512,"="&amp;SUBSTITUTE(SUBSTITUTE(SUBSTITUTE('Dashboard'!$B$7,"~","~~"),"*","~*"),"?","~?"))+COUNTIFS('Calculations'!$HT$13:$HT$512,"="&amp;SUBSTITUTE(SUBSTITUTE(SUBSTITUTE('Calculations'!HF55,"~","~~"),"*","~*"),"?","~?"),'Calculations'!$HN$13:$HN$512,"="&amp;SUBSTITUTE(SUBSTITUTE(SUBSTITUTE('Dashboard'!$B$7,"~","~~"),"*","~*"),"?","~?"))+COUNTIFS('Calculations'!$HU$13:$HU$512,"="&amp;SUBSTITUTE(SUBSTITUTE(SUBSTITUTE('Calculations'!HF55,"~","~~"),"*","~*"),"?","~?"),'Calculations'!$HN$13:$HN$512,"="&amp;SUBSTITUTE(SUBSTITUTE(SUBSTITUTE('Dashboard'!$B$7,"~","~~"),"*","~*"),"?","~?"))+COUNTIFS('Calculations'!$HV$13:$HV$512,"="&amp;SUBSTITUTE(SUBSTITUTE(SUBSTITUTE('Calculations'!HF55,"~","~~"),"*","~*"),"?","~?"),'Calculations'!$HN$13:$HN$512,"="&amp;SUBSTITUTE(SUBSTITUTE(SUBSTITUTE('Dashboard'!$B$7,"~","~~"),"*","~*"),"?","~?"))+COUNTIFS('Calculations'!$HW$13:$HW$512,"="&amp;SUBSTITUTE(SUBSTITUTE(SUBSTITUTE('Calculations'!HF55,"~","~~"),"*","~*"),"?","~?"),'Calculations'!$HN$13:$HN$512,"="&amp;SUBSTITUTE(SUBSTITUTE(SUBSTITUTE('Dashboard'!$B$7,"~","~~"),"*","~*"),"?","~?"))+COUNTIFS('Calculations'!$HX$13:$HX$512,"="&amp;SUBSTITUTE(SUBSTITUTE(SUBSTITUTE('Calculations'!HF55,"~","~~"),"*","~*"),"?","~?"),'Calculations'!$HN$13:$HN$512,"="&amp;SUBSTITUTE(SUBSTITUTE(SUBSTITUTE('Dashboard'!$B$7,"~","~~"),"*","~*"),"?","~?"))+COUNTIFS('Calculations'!$HY$13:$HY$512,"="&amp;SUBSTITUTE(SUBSTITUTE(SUBSTITUTE('Calculations'!HF55,"~","~~"),"*","~*"),"?","~?"),'Calculations'!$HN$13:$HN$512,"="&amp;SUBSTITUTE(SUBSTITUTE(SUBSTITUTE('Dashboard'!$B$7,"~","~~"),"*","~*"),"?","~?"))+COUNTIFS('Calculations'!$HZ$13:$HZ$512,"="&amp;SUBSTITUTE(SUBSTITUTE(SUBSTITUTE('Calculations'!HF55,"~","~~"),"*","~*"),"?","~?"),'Calculations'!$HN$13:$HN$512,"="&amp;SUBSTITUTE(SUBSTITUTE(SUBSTITUTE('Dashboard'!$B$7,"~","~~"),"*","~*"),"?","~?"))+COUNTIFS('Calculations'!$IA$13:$IA$512,"="&amp;SUBSTITUTE(SUBSTITUTE(SUBSTITUTE('Calculations'!HF55,"~","~~"),"*","~*"),"?","~?"),'Calculations'!$HN$13:$HN$512,"="&amp;SUBSTITUTE(SUBSTITUTE(SUBSTITUTE('Dashboard'!$B$7,"~","~~"),"*","~*"),"?","~?"))+COUNTIFS('Calculations'!$IB$13:$IB$512,"="&amp;SUBSTITUTE(SUBSTITUTE(SUBSTITUTE('Calculations'!HF55,"~","~~"),"*","~*"),"?","~?"),'Calculations'!$HN$13:$HN$512,"="&amp;SUBSTITUTE(SUBSTITUTE(SUBSTITUTE('Dashboard'!$B$7,"~","~~"),"*","~*"),"?","~?"))+COUNTIFS('Calculations'!$IC$13:$IC$512,"="&amp;SUBSTITUTE(SUBSTITUTE(SUBSTITUTE('Calculations'!HF55,"~","~~"),"*","~*"),"?","~?"),'Calculations'!$HN$13:$HN$512,"="&amp;SUBSTITUTE(SUBSTITUTE(SUBSTITUTE('Dashboard'!$B$7,"~","~~"),"*","~*"),"?","~?"))+COUNTIFS('Calculations'!$ID$13:$ID$512,"="&amp;SUBSTITUTE(SUBSTITUTE(SUBSTITUTE('Calculations'!HF55,"~","~~"),"*","~*"),"?","~?"),'Calculations'!$HN$13:$HN$512,"="&amp;SUBSTITUTE(SUBSTITUTE(SUBSTITUTE('Dashboard'!$B$7,"~","~~"),"*","~*"),"?","~?"))+COUNTIFS('Calculations'!$IE$13:$IE$512,"="&amp;SUBSTITUTE(SUBSTITUTE(SUBSTITUTE('Calculations'!HF55,"~","~~"),"*","~*"),"?","~?"),'Calculations'!$HN$13:$HN$512,"="&amp;SUBSTITUTE(SUBSTITUTE(SUBSTITUTE('Dashboard'!$B$7,"~","~~"),"*","~*"),"?","~?"))+COUNTIFS('Calculations'!$IF$13:$IF$512,"="&amp;SUBSTITUTE(SUBSTITUTE(SUBSTITUTE('Calculations'!HF55,"~","~~"),"*","~*"),"?","~?"),'Calculations'!$HN$13:$HN$512,"="&amp;SUBSTITUTE(SUBSTITUTE(SUBSTITUTE('Dashboard'!$B$7,"~","~~"),"*","~*"),"?","~?"))+COUNTIFS('Calculations'!$IG$13:$IG$512,"="&amp;SUBSTITUTE(SUBSTITUTE(SUBSTITUTE('Calculations'!HF55,"~","~~"),"*","~*"),"?","~?"),'Calculations'!$HN$13:$HN$512,"="&amp;SUBSTITUTE(SUBSTITUTE(SUBSTITUTE('Dashboard'!$B$7,"~","~~"),"*","~*"),"?","~?"))+COUNTIFS('Calculations'!$IH$13:$IH$512,"="&amp;SUBSTITUTE(SUBSTITUTE(SUBSTITUTE('Calculations'!HF55,"~","~~"),"*","~*"),"?","~?"),'Calculations'!$HN$13:$HN$512,"="&amp;SUBSTITUTE(SUBSTITUTE(SUBSTITUTE('Dashboard'!$B$7,"~","~~"),"*","~*"),"?","~?"))))</x:f>
        <x:v>0</x:v>
      </x:c>
      <x:c r="JD55" t="n">
        <x:f>IF('Calculations'!EM55="",0,IF('Dashboard'!$B$7="All",1,IF('Calculations'!HN55='Dashboard'!$B$7,1,0)+IFERROR(INDEX('Calculations'!$JC$13:$JC$512,MATCH('Calculations'!HE55,'Calculations'!$HF$13:$HF$512,0)),0)))</x:f>
        <x:v>0</x:v>
      </x:c>
      <x:c r="JE55" t="n">
        <x:f>IF(AND('Calculations'!EM55&lt;&gt;"",'Calculations'!$JJ$2&lt;&gt;"All",'Calculations'!$JJ$2&lt;&gt;"",'Calculations'!HF55='Calculations'!$JJ$2,'Calculations'!HL55=0,'Calculations'!JD55&gt;0),MAX('Calculations'!$JE$12:JE54)+1,0)</x:f>
        <x:v>0</x:v>
      </x:c>
      <x:c r="JF55" t="str">
        <x:f>IF('Calculations'!EM55="","",IFERROR(IF(INDEX(INDIRECT("'WCM Calibration Final'!$G$1:$G$2000"),'Calculations'!$EM55)="","",TRIM(INDEX(INDIRECT("'WCM Calibration Final'!$G$1:$G$2000"),'Calculations'!$EM55)&amp;"")),""))</x:f>
      </x:c>
      <x:c r="JQ55" t="n">
        <x:f>IF(OR('Calculations'!BM55=0,NOT('Calculations'!$AG$2),'Calculations'!$AG$8&gt;0),0,IF(OR('Dashboard'!$B$7="All",'Calculations'!HN55='Dashboard'!$B$7),IF('Calculations'!$JJ$2="All",1,IF(AND('Calculations'!HF55='Calculations'!$JJ$2,'Calculations'!HL55=0),1,0)),0))</x:f>
        <x:v>0</x:v>
      </x:c>
    </x:row>
    <x:row r="56">
      <x:c r="AF56" s="4" t="str">
        <x:f>"Officer (n="&amp;'Calculations'!AH56&amp;")"</x:f>
        <x:v>Officer (n=0)</x:v>
      </x:c>
      <x:c r="AG56" s="4" t="n">
        <x:f>COUNTIFS('Calculations'!$BN$13:$BN$512,1,'Calculations'!$BV$13:$BV$512,'Calculations'!AT56)</x:f>
        <x:v>0</x:v>
      </x:c>
      <x:c r="AH56" s="4" t="n">
        <x:f>SUM('Calculations'!AJ56:AM56)</x:f>
        <x:v>0</x:v>
      </x:c>
      <x:c r="AI56" s="4" t="n">
        <x:f>'Calculations'!AG56-'Calculations'!AH56</x:f>
        <x:v>0</x:v>
      </x:c>
      <x:c r="AJ56" s="4" t="n">
        <x:f>COUNTIFS('Calculations'!$BN$13:$BN$512,1,'Calculations'!$BV$13:$BV$512,'Calculations'!AT56,'Calculations'!$BZ$13:$BZ$512,1)</x:f>
        <x:v>0</x:v>
      </x:c>
      <x:c r="AK56" s="4" t="n">
        <x:f>COUNTIFS('Calculations'!$BN$13:$BN$512,1,'Calculations'!$BV$13:$BV$512,'Calculations'!AT56,'Calculations'!$BZ$13:$BZ$512,2)</x:f>
        <x:v>0</x:v>
      </x:c>
      <x:c r="AL56" s="4" t="n">
        <x:f>COUNTIFS('Calculations'!$BN$13:$BN$512,1,'Calculations'!$BV$13:$BV$512,'Calculations'!AT56,'Calculations'!$BZ$13:$BZ$512,3)</x:f>
        <x:v>0</x:v>
      </x:c>
      <x:c r="AM56" s="4" t="n">
        <x:f>COUNTIFS('Calculations'!$BN$13:$BN$512,1,'Calculations'!$BV$13:$BV$512,'Calculations'!AT56,'Calculations'!$BZ$13:$BZ$512,4)</x:f>
        <x:v>0</x:v>
      </x:c>
      <x:c r="AN56" s="4"/>
      <x:c r="AO56" s="4" t="e">
        <x:f>IF('Calculations'!AH56=0,NA(),'Calculations'!AJ56/'Calculations'!AH56)</x:f>
        <x:v>#N/A</x:v>
      </x:c>
      <x:c r="AP56" s="4" t="e">
        <x:f>IF('Calculations'!AH56=0,NA(),'Calculations'!AK56/'Calculations'!AH56)</x:f>
        <x:v>#N/A</x:v>
      </x:c>
      <x:c r="AQ56" s="4" t="e">
        <x:f>IF('Calculations'!AH56=0,NA(),'Calculations'!AL56/'Calculations'!AH56)</x:f>
        <x:v>#N/A</x:v>
      </x:c>
      <x:c r="AR56" s="4" t="e">
        <x:f>IF('Calculations'!AH56=0,NA(),'Calculations'!AM56/'Calculations'!AH56)</x:f>
        <x:v>#N/A</x:v>
      </x:c>
      <x:c r="AS56" s="4"/>
      <x:c r="AT56" s="4" t="str">
        <x:v>OFFICER</x:v>
      </x:c>
      <x:c r="AU56" s="4"/>
      <x:c r="AV56" s="4"/>
      <x:c r="AW56" s="4"/>
      <x:c r="AX56" s="4"/>
      <x:c r="AY56" s="4"/>
      <x:c r="AZ56" s="4"/>
      <x:c r="BA56" s="4"/>
      <x:c r="BB56" s="4"/>
      <x:c r="BC56" s="4"/>
      <x:c r="BD56" s="4"/>
      <x:c r="BE56" s="4"/>
      <x:c r="BF56" s="4"/>
      <x:c r="BG56" s="4"/>
      <x:c r="BH56" s="4"/>
      <x:c r="BI56" s="4"/>
      <x:c r="BJ56" s="4"/>
      <x:c r="BK56" s="4"/>
      <x:c r="BL56" s="4"/>
      <x:c r="BM56" s="4" t="n">
        <x:f>IF('Calculations'!$EM56="",0,IF(OR(IFERROR(INDEX(INDIRECT("'WCM Calibration Final'!$A$1:$A$2000"),'Calculations'!$EM56)&lt;&gt;"",FALSE),IFERROR(INDEX(INDIRECT("'WCM Calibration Final'!$B$1:$B$2000"),'Calculations'!$EM56)&lt;&gt;"",FALSE),IFERROR(INDEX(INDIRECT("'WCM Calibration Final'!$C$1:$C$2000"),'Calculations'!$EM56)&lt;&gt;"",FALSE)),1,0))</x:f>
        <x:v>0</x:v>
      </x:c>
      <x:c r="BN56" s="4" t="n">
        <x:f>IF(AND('Calculations'!BM56=1,'Calculations'!$AG$2,'Calculations'!$EN56=1),1,0)</x:f>
        <x:v>0</x:v>
      </x:c>
      <x:c r="BO56" s="4" t="str">
        <x:f>IF('Calculations'!BM56=0,"",IFERROR(IF(AND(VALUE(INDEX(INDIRECT("'WCM Calibration Final'!$K$1:$K$2000"),'Calculations'!$EM56))&gt;=1,VALUE(INDEX(INDIRECT("'WCM Calibration Final'!$K$1:$K$2000"),'Calculations'!$EM56))&lt;=4,MOD(VALUE(INDEX(INDIRECT("'WCM Calibration Final'!$K$1:$K$2000"),'Calculations'!$EM56)),1)=0),VALUE(INDEX(INDIRECT("'WCM Calibration Final'!$K$1:$K$2000"),'Calculations'!$EM56)),""),""))</x:f>
      </x:c>
      <x:c r="BP56" s="4" t="str">
        <x:f>IF('Calculations'!BM56=0,"",IFERROR(IF(AND(VALUE(INDEX(INDIRECT("'WCM Calibration Final'!$L$1:$L$2000"),'Calculations'!$EM56))&gt;=1,VALUE(INDEX(INDIRECT("'WCM Calibration Final'!$L$1:$L$2000"),'Calculations'!$EM56))&lt;=4,MOD(VALUE(INDEX(INDIRECT("'WCM Calibration Final'!$L$1:$L$2000"),'Calculations'!$EM56)),1)=0),VALUE(INDEX(INDIRECT("'WCM Calibration Final'!$L$1:$L$2000"),'Calculations'!$EM56)),""),""))</x:f>
      </x:c>
      <x:c r="BQ56" s="4"/>
      <x:c r="BR56" s="4"/>
      <x:c r="BS56" s="4"/>
      <x:c r="BT56" s="4" t="n">
        <x:f>IF(AND('Calculations'!BM56=1,ISNUMBER('Calculations'!BO56),ISNUMBER('Calculations'!BP56)),1,0)</x:f>
        <x:v>0</x:v>
      </x:c>
      <x:c r="BU56" s="4" t="str">
        <x:f>IF('Calculations'!BM56=0,"",'Calculations'!$EO56)</x:f>
      </x:c>
      <x:c r="BV56" s="4" t="str">
        <x:f>IF('Calculations'!BM56=0,"",IFERROR(IF(OR(INDEX(INDIRECT("'WCM Calibration Final'!$H$1:$H$2000"),'Calculations'!$EM56)="MANAGING DIRECTOR",INDEX(INDIRECT("'WCM Calibration Final'!$H$1:$H$2000"),'Calculations'!$EM56)="DIRECTOR",INDEX(INDIRECT("'WCM Calibration Final'!$H$1:$H$2000"),'Calculations'!$EM56)="SENIOR VICE PRESIDENT",INDEX(INDIRECT("'WCM Calibration Final'!$H$1:$H$2000"),'Calculations'!$EM56)="VICE PRESIDENT",INDEX(INDIRECT("'WCM Calibration Final'!$H$1:$H$2000"),'Calculations'!$EM56)="ASSISTANT VICE PRESIDENT",INDEX(INDIRECT("'WCM Calibration Final'!$H$1:$H$2000"),'Calculations'!$EM56)="OFFICER"),UPPER(INDEX(INDIRECT("'WCM Calibration Final'!$H$1:$H$2000"),'Calculations'!$EM56)),"Other"),"Other"))</x:f>
      </x:c>
      <x:c r="BW56" s="4"/>
      <x:c r="BX56" s="4"/>
      <x:c r="BY56" s="4" t="n">
        <x:f>IF(AND('Calculations'!BM56=1,'Calculations'!BU56&lt;&gt;"",COUNTIF('Calculations'!$BU$12:BU56,'Calculations'!BU56)=1),MAX('Calculations'!$BY$11:BY55)+1,0)</x:f>
        <x:v>0</x:v>
      </x:c>
      <x:c r="BZ56" s="4" t="str">
        <x:f>IF('Dashboard'!$E$67="What",'Calculations'!BO56,'Calculations'!BP56)</x:f>
      </x:c>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t="str">
        <x:f>IF(45&gt;MAX('Calculations'!$HI$13:$HI$512),"",INDEX('Calculations'!$HN$13:$HN$512,MATCH(45,'Calculations'!$HI$13:$HI$512,0)))</x:f>
      </x:c>
      <x:c r="DB56" s="4" t="str">
        <x:f>IF(45&gt;MAX('Calculations'!$HH$13:$HH$512),"",INDEX('Calculations'!$HJ$13:$HJ$512,MATCH(45,'Calculations'!$HH$13:$HH$512,0)))</x:f>
      </x:c>
      <x:c r="DC56" s="4" t="str">
        <x:f>IF(ROW()-11&gt;MAX('Calculations'!$BY$13:$BY$512),"",INDEX('Calculations'!$BU$13:$BU$512,MATCH(ROW()-11,'Calculations'!$BY$13:$BY$512,0)))</x:f>
      </x:c>
      <x:c r="DD56" s="4" t="str">
        <x:f>IF(45&gt;MAX('Calculations'!$IK$13:$IK$512),"",INDEX('Calculations'!$HK$13:$HK$512,MATCH(45,'Calculations'!$IK$13:$IK$512,0)))</x:f>
      </x:c>
      <x:c r="DE56" s="4" t="str">
        <x:f>'Calculations'!DC56</x:f>
      </x:c>
      <x:c r="DF56" s="4" t="str">
        <x:f>IF('Calculations'!DE56="","",COUNTIFS('Calculations'!$BN$13:$BN$512,1,'Calculations'!$BU$13:$BU$512,'Calculations'!DE56))</x:f>
      </x:c>
      <x:c r="DG56" s="4" t="str">
        <x:f>IF('Calculations'!DE56="","",COUNTIFS('Calculations'!$BN$13:$BN$512,1,'Calculations'!$BU$13:$BU$512,'Calculations'!DE56,'Calculations'!$BT$13:$BT$512,1))</x:f>
      </x:c>
      <x:c r="DH56" s="4" t="str">
        <x:f>IF('Calculations'!DE56="","",'Calculations'!DF56-'Calculations'!DG56)</x:f>
      </x:c>
      <x:c r="DI56" s="4" t="str">
        <x:f>IF(OR('Calculations'!DE56="",'Calculations'!DF56=0),"",'Calculations'!DG56/'Calculations'!DF56)</x:f>
      </x:c>
      <x:c r="DJ56" s="4" t="str">
        <x:f>IF('Calculations'!DE56="","",COUNTIFS('Calculations'!$BN$13:$BN$512,1,'Calculations'!$BU$13:$BU$512,'Calculations'!DE56,'Calculations'!$BT$13:$BT$512,1,'Calculations'!$EE$13:$EE$512,"High"))</x:f>
      </x:c>
      <x:c r="DK56" s="4" t="str">
        <x:f>IF('Calculations'!DE56="","",COUNTIFS('Calculations'!$BN$13:$BN$512,1,'Calculations'!$BU$13:$BU$512,'Calculations'!DE56,'Calculations'!$BT$13:$BT$512,1,'Calculations'!$EE$13:$EE$512,"Strong"))</x:f>
      </x:c>
      <x:c r="DL56" s="4" t="str">
        <x:f>IF('Calculations'!DE56="","",COUNTIFS('Calculations'!$BN$13:$BN$512,1,'Calculations'!$BU$13:$BU$512,'Calculations'!DE56,'Calculations'!$BT$13:$BT$512,1,'Calculations'!$EE$13:$EE$512,"Solid"))</x:f>
      </x:c>
      <x:c r="DM56" s="4" t="str">
        <x:f>IF('Calculations'!DE56="","",COUNTIFS('Calculations'!$BN$13:$BN$512,1,'Calculations'!$BU$13:$BU$512,'Calculations'!DE56,'Calculations'!$BT$13:$BT$512,1,'Calculations'!$EE$13:$EE$512,"Low"))</x:f>
      </x:c>
      <x:c r="DN56" s="4" t="str">
        <x:f>IF('Calculations'!DE56="","",COUNTIFS('Calculations'!$BN$13:$BN$512,1,'Calculations'!$BU$13:$BU$512,'Calculations'!DE56,'Calculations'!$EP$13:$EP$512,1))</x:f>
      </x:c>
      <x:c r="DO56" s="4" t="str">
        <x:f>IF(OR('Calculations'!DE56="",'Calculations'!DG56=0),"",('Calculations'!DJ56+'Calculations'!DK56)/'Calculations'!DG56)</x:f>
      </x:c>
      <x:c r="DP56" s="4" t="n">
        <x:f>IF(AND('Calculations'!DE56&lt;&gt;"",'Calculations'!DF56&gt;0),COUNTIF('Calculations'!$DF$12:DF56,"&gt;0"),0)</x:f>
        <x:v>0</x:v>
      </x:c>
      <x:c r="DQ56" s="4" t="str">
        <x:f>IF(45&gt;MAX('Calculations'!$HH$13:$HH$512),"",INDEX('Calculations'!$HF$13:$HF$512,MATCH(45,'Calculations'!$HH$13:$HH$512,0)))</x:f>
      </x:c>
      <x:c r="DR56" s="4" t="str">
        <x:f>IF(45&gt;MAX('Calculations'!$IK$13:$IK$512),"",INDEX('Calculations'!$HE$13:$HE$512,MATCH(45,'Calculations'!$IK$13:$IK$512,0)))</x:f>
      </x:c>
      <x:c r="DS56" s="4"/>
      <x:c r="DT56" s="4"/>
      <x:c r="DU56" s="4"/>
      <x:c r="DV56" s="4"/>
      <x:c r="DW56" s="4"/>
      <x:c r="DX56" s="4"/>
      <x:c r="DY56" s="4" t="str">
        <x:f>TEXT('Calculations'!AG72,"0")</x:f>
        <x:v>0</x:v>
      </x:c>
      <x:c r="DZ56" s="4"/>
      <x:c r="EA56" s="4"/>
      <x:c r="EB56" s="4"/>
      <x:c r="EC56" s="4"/>
      <x:c r="ED56" s="4"/>
      <x:c r="EE56" s="4" t="str">
        <x:f>IF('Calculations'!BT56=0,"Not Rated",IF(OR('Calculations'!BO56&gt;=4,'Calculations'!BP56&gt;=4),"Low",IF('Calculations'!BO56+'Calculations'!BP56&lt;=3,"High",IF('Calculations'!BO56+'Calculations'!BP56&lt;=4,"Strong","Solid"))))</x:f>
        <x:v>Not Rated</x:v>
      </x:c>
      <x:c r="EF56" s="4"/>
      <x:c r="EG56" s="4"/>
      <x:c r="EH56" s="4"/>
      <x:c r="EI56" s="4"/>
      <x:c r="EJ56" s="4"/>
      <x:c r="EK56" s="4"/>
      <x:c r="EL56" s="4"/>
      <x:c r="EM56" s="4" t="str">
        <x:f>IF(44&gt;'Calculations'!$JB$2000,"",INDEX('Calculations'!$JA$12:$JA$2000,MATCH(44,'Calculations'!$JB$12:$JB$2000,0)))</x:f>
      </x:c>
      <x:c r="EN56" s="4" t="n">
        <x:f>IF(OR('Calculations'!EM56="",'Calculations'!$AG$8&gt;0,AND('Calculations'!$EF$2&lt;&gt;"All",'Calculations'!HE56='Calculations'!$EF$2),AND('Calculations'!$EF$3&lt;&gt;"All",'Calculations'!HE56='Calculations'!$EF$3)),0,IF(OR('Dashboard'!$B$7="All",'Calculations'!HN56='Dashboard'!$B$7),IF('Calculations'!$EF$2="All",1,IF('Calculations'!HL56&gt;0,0,IF(COUNTIF('Calculations'!HO56:II56,"="&amp;SUBSTITUTE(SUBSTITUTE(SUBSTITUTE('Calculations'!$EF$2,"~","~~"),"*","~*"),"?","~?"))=0,0,IF('Calculations'!$EF$3="All",1,IF(COUNTIF('Calculations'!HO56:II56,"="&amp;SUBSTITUTE(SUBSTITUTE(SUBSTITUTE('Calculations'!$EF$3,"~","~~"),"*","~*"),"?","~?"))&gt;0,1,0))))),0))</x:f>
        <x:v>0</x:v>
      </x:c>
      <x:c r="EO56" s="4" t="str">
        <x:f>IF('Calculations'!IJ56="","",IF('Calculations'!IJ56="!UNRESOLVED","Unresolved hierarchy",IFERROR(INDEX('Calculations'!$HK$13:$HK$512,MATCH('Calculations'!IJ56,'Calculations'!$HE$13:$HE$512,0)),IFERROR(INDEX('Calculations'!$HJ$13:$HJ$512,MATCH('Calculations'!IJ56,'Calculations'!$HF$13:$HF$512,0)),'Calculations'!IJ56))))</x:f>
      </x:c>
      <x:c r="EP56" s="4" t="n">
        <x:f>IF(AND('Calculations'!EM56&lt;&gt;"",'Calculations'!HF56='Calculations'!IJ56),1,0)</x:f>
        <x:v>0</x:v>
      </x:c>
      <x:c r="EQ56" s="4"/>
      <x:c r="ER56" s="4"/>
      <x:c r="ES56" s="4"/>
      <x:c r="ET56" s="4"/>
      <x:c r="EU56" s="4"/>
      <x:c r="EV56" s="4"/>
      <x:c r="EW56" s="4"/>
      <x:c r="EX56" s="4"/>
      <x:c r="EY56" s="4"/>
      <x:c r="EZ56" s="4"/>
      <x:c r="FA56" s="4"/>
      <x:c r="FB56" s="4"/>
      <x:c r="FC56" s="4"/>
      <x:c r="FD56" s="4"/>
      <x:c r="FE56" s="4"/>
      <x:c r="FF56" s="4"/>
      <x:c r="FG56" s="4"/>
      <x:c r="FH56" s="4"/>
      <x:c r="FI56" s="4"/>
      <x:c r="FJ56" s="4"/>
      <x:c r="FK56" s="4"/>
      <x:c r="FL56" s="4"/>
      <x:c r="FM56" s="4"/>
      <x:c r="FN56" s="4"/>
      <x:c r="FO56" s="4"/>
      <x:c r="GA56" s="71"/>
      <x:c r="GB56" s="71"/>
      <x:c r="GC56" s="71"/>
      <x:c r="GD56" s="71"/>
      <x:c r="GE56" s="71"/>
      <x:c r="GF56" s="71"/>
      <x:c r="GG56" s="71"/>
      <x:c r="GH56" s="71"/>
      <x:c r="GI56" s="71"/>
      <x:c r="GJ56" s="71"/>
      <x:c r="GK56" s="71"/>
      <x:c r="GL56" s="71"/>
      <x:c r="GM56" s="71"/>
      <x:c r="GN56" s="71"/>
      <x:c r="GO56" s="71"/>
      <x:c r="GP56" s="71"/>
      <x:c r="GQ56" s="71"/>
      <x:c r="GR56" s="71"/>
      <x:c r="GS56" s="71"/>
      <x:c r="GT56" s="71"/>
      <x:c r="GU56" s="71"/>
      <x:c r="GV56" s="71"/>
      <x:c r="GW56" s="71"/>
      <x:c r="GX56" s="71"/>
      <x:c r="GY56" s="71"/>
      <x:c r="GZ56" s="71"/>
      <x:c r="HA56" s="71"/>
      <x:c r="HB56" s="71"/>
      <x:c r="HC56" s="71"/>
      <x:c r="HD56" s="71"/>
      <x:c r="HE56" t="str">
        <x:f>IF('Calculations'!EM56="","",IF(IFERROR(IF(INDEX(INDIRECT("'WCM Calibration Final'!$A$1:$A$2000"),'Calculations'!$EM56)="","",TRIM(INDEX(INDIRECT("'WCM Calibration Final'!$A$1:$A$2000"),'Calculations'!$EM56)&amp;"")),"")&lt;&gt;"","G:"&amp;IFERROR(TEXT(1*INDEX(INDIRECT("'WCM Calibration Final'!$A$1:$A$2000"),'Calculations'!$EM56),"0"),UPPER(IFERROR(IF(INDEX(INDIRECT("'WCM Calibration Final'!$A$1:$A$2000"),'Calculations'!$EM56)="","",TRIM(INDEX(INDIRECT("'WCM Calibration Final'!$A$1:$A$2000"),'Calculations'!$EM56)&amp;"")),""))),IF(IFERROR(IF(INDEX(INDIRECT("'WCM Calibration Final'!$C$1:$C$2000"),'Calculations'!$EM56)="","",TRIM(INDEX(INDIRECT("'WCM Calibration Final'!$C$1:$C$2000"),'Calculations'!$EM56)&amp;"")),"")&lt;&gt;"","S:"&amp;UPPER(IFERROR(IF(INDEX(INDIRECT("'WCM Calibration Final'!$C$1:$C$2000"),'Calculations'!$EM56)="","",TRIM(INDEX(INDIRECT("'WCM Calibration Final'!$C$1:$C$2000"),'Calculations'!$EM56)&amp;"")),"")),"R:"&amp;'Calculations'!EM56)))</x:f>
      </x:c>
      <x:c r="HF56" t="str">
        <x:f>IF('Calculations'!EM56="","",IF(IFERROR(IF(INDEX(INDIRECT("'WCM Calibration Final'!$D$1:$D$2000"),'Calculations'!$EM56)="","",TRIM(INDEX(INDIRECT("'WCM Calibration Final'!$D$1:$D$2000"),'Calculations'!$EM56)&amp;"")),"")&lt;&gt;"","G:"&amp;IFERROR(TEXT(1*INDEX(INDIRECT("'WCM Calibration Final'!$D$1:$D$2000"),'Calculations'!$EM56),"0"),UPPER(IFERROR(IF(INDEX(INDIRECT("'WCM Calibration Final'!$D$1:$D$2000"),'Calculations'!$EM56)="","",TRIM(INDEX(INDIRECT("'WCM Calibration Final'!$D$1:$D$2000"),'Calculations'!$EM56)&amp;"")),""))),IF(IFERROR(IF(INDEX(INDIRECT("'WCM Calibration Final'!$E$1:$E$2000"),'Calculations'!$EM56)="","",TRIM(INDEX(INDIRECT("'WCM Calibration Final'!$E$1:$E$2000"),'Calculations'!$EM56)&amp;"")),"")="","",IF(COUNTIF('Calculations'!$HG$13:$HG$512,"="&amp;SUBSTITUTE(SUBSTITUTE(SUBSTITUTE(IFERROR(IF(INDEX(INDIRECT("'WCM Calibration Final'!$E$1:$E$2000"),'Calculations'!$EM56)="","",TRIM(INDEX(INDIRECT("'WCM Calibration Final'!$E$1:$E$2000"),'Calculations'!$EM56)&amp;"")),""),"~","~~"),"*","~*"),"?","~?"))=1,INDEX('Calculations'!$HE$13:$HE$512,MATCH(IFERROR(IF(INDEX(INDIRECT("'WCM Calibration Final'!$E$1:$E$2000"),'Calculations'!$EM56)="","",TRIM(INDEX(INDIRECT("'WCM Calibration Final'!$E$1:$E$2000"),'Calculations'!$EM56)&amp;"")),""),'Calculations'!$HG$13:$HG$512,0)),IF(COUNTIF('Calculations'!$HG$13:$HG$512,"="&amp;SUBSTITUTE(SUBSTITUTE(SUBSTITUTE(IFERROR(IF(INDEX(INDIRECT("'WCM Calibration Final'!$E$1:$E$2000"),'Calculations'!$EM56)="","",TRIM(INDEX(INDIRECT("'WCM Calibration Final'!$E$1:$E$2000"),'Calculations'!$EM56)&amp;"")),""),"~","~~"),"*","~*"),"?","~?"))&gt;1,"!AMBIG","X:"&amp;IFERROR(IF(INDEX(INDIRECT("'WCM Calibration Final'!$E$1:$E$2000"),'Calculations'!$EM56)="","",TRIM(INDEX(INDIRECT("'WCM Calibration Final'!$E$1:$E$2000"),'Calculations'!$EM56)&amp;"")),""))))))</x:f>
      </x:c>
      <x:c r="HG56" t="str">
        <x:f>IF('Calculations'!EM56="","",IFERROR(IF(INDEX(INDIRECT("'WCM Calibration Final'!$B$1:$B$2000"),'Calculations'!$EM56)="","",TRIM(INDEX(INDIRECT("'WCM Calibration Final'!$B$1:$B$2000"),'Calculations'!$EM56)&amp;"")),""))</x:f>
      </x:c>
      <x:c r="HH56" t="n">
        <x:f>IF(AND('Calculations'!JC56&gt;0,COUNTIF('Calculations'!$HF$12:HF56,"="&amp;SUBSTITUTE(SUBSTITUTE(SUBSTITUTE('Calculations'!HF56,"~","~~"),"*","~*"),"?","~?"))=1),MAX('Calculations'!$HH$12:HH55)+1,0)</x:f>
        <x:v>0</x:v>
      </x:c>
      <x:c r="HI56" t="n">
        <x:f>IF(AND('Calculations'!HN56&lt;&gt;"",COUNTIF('Calculations'!$HN$12:HN56,"="&amp;SUBSTITUTE(SUBSTITUTE(SUBSTITUTE('Calculations'!HN56,"~","~~"),"*","~*"),"?","~?"))=1),MAX('Calculations'!$HI$12:HI55)+1,0)</x:f>
        <x:v>0</x:v>
      </x:c>
      <x:c r="HJ56" t="str">
        <x:f>IF('Calculations'!HF56="","",IF(COUNTIF('Calculations'!$HE$13:$HE$512,"="&amp;SUBSTITUTE(SUBSTITUTE(SUBSTITUTE('Calculations'!HF56,"~","~~"),"*","~*"),"?","~?"))=1,INDEX('Calculations'!$HK$13:$HK$512,MATCH('Calculations'!HF56,'Calculations'!$HE$13:$HE$512,0)),IFERROR(IF(INDEX(INDIRECT("'WCM Calibration Final'!$E$1:$E$2000"),'Calculations'!$EM56)="","",TRIM(INDEX(INDIRECT("'WCM Calibration Final'!$E$1:$E$2000"),'Calculations'!$EM56)&amp;"")),"")&amp;" ["&amp;'Calculations'!HF56&amp;"]"))</x:f>
      </x:c>
      <x:c r="HK56" t="str">
        <x:f>IF('Calculations'!EM56="","",'Calculations'!HG56&amp;" ["&amp;'Calculations'!HE56&amp;"]")</x:f>
      </x:c>
      <x:c r="HL56" t="n">
        <x:f>IF('Calculations'!EM56="",0,IF(OR('Calculations'!II56&lt;&gt;"",COUNTIF('Calculations'!$HE$13:$HE$512,"="&amp;SUBSTITUTE(SUBSTITUTE(SUBSTITUTE('Calculations'!HE56,"~","~~"),"*","~*"),"?","~?"))&gt;1),1,0))</x:f>
        <x:v>0</x:v>
      </x:c>
      <x:c r="HM56" t="str">
        <x:f>IF('Calculations'!EM56="","",IF('Calculations'!HL56=1,"!UNRESOLVED",IF('Calculations'!IH56&lt;&gt;"",'Calculations'!IH56,IF('Calculations'!IG56&lt;&gt;"",'Calculations'!IG56,IF('Calculations'!IF56&lt;&gt;"",'Calculations'!IF56,IF('Calculations'!IE56&lt;&gt;"",'Calculations'!IE56,IF('Calculations'!ID56&lt;&gt;"",'Calculations'!ID56,IF('Calculations'!IC56&lt;&gt;"",'Calculations'!IC56,IF('Calculations'!IB56&lt;&gt;"",'Calculations'!IB56,IF('Calculations'!IA56&lt;&gt;"",'Calculations'!IA56,IF('Calculations'!HZ56&lt;&gt;"",'Calculations'!HZ56,IF('Calculations'!HY56&lt;&gt;"",'Calculations'!HY56,IF('Calculations'!HX56&lt;&gt;"",'Calculations'!HX56,IF('Calculations'!HW56&lt;&gt;"",'Calculations'!HW56,IF('Calculations'!HV56&lt;&gt;"",'Calculations'!HV56,IF('Calculations'!HU56&lt;&gt;"",'Calculations'!HU56,IF('Calculations'!HT56&lt;&gt;"",'Calculations'!HT56,IF('Calculations'!HS56&lt;&gt;"",'Calculations'!HS56,IF('Calculations'!HR56&lt;&gt;"",'Calculations'!HR56,IF('Calculations'!HQ56&lt;&gt;"",'Calculations'!HQ56,IF('Calculations'!HP56&lt;&gt;"",'Calculations'!HP56,IF('Calculations'!HO56&lt;&gt;"",'Calculations'!HO56,'Calculations'!HE56))))))))))))))))))))))</x:f>
      </x:c>
      <x:c r="HN56" t="str">
        <x:f>IF('Calculations'!EM56="","",IF(IFERROR(IF(INDEX(INDIRECT("'WCM Calibration Final'!$F$1:$F$2000"),'Calculations'!$EM56)="","",TRIM(INDEX(INDIRECT("'WCM Calibration Final'!$F$1:$F$2000"),'Calculations'!$EM56)&amp;"")),"")="","(Blank)",IFERROR(IF(INDEX(INDIRECT("'WCM Calibration Final'!$F$1:$F$2000"),'Calculations'!$EM56)="","",TRIM(INDEX(INDIRECT("'WCM Calibration Final'!$F$1:$F$2000"),'Calculations'!$EM56)&amp;"")),"")))</x:f>
      </x:c>
      <x:c r="HO56" t="str">
        <x:f>'Calculations'!HF56</x:f>
      </x:c>
      <x:c r="HP56" t="str">
        <x:f>IF('Calculations'!HO56="","",IF('Calculations'!HO56="!AMBIG","!AMBIG",IF(COUNTIF('Calculations'!$HE$13:$HE$512,"="&amp;SUBSTITUTE(SUBSTITUTE(SUBSTITUTE('Calculations'!HO56,"~","~~"),"*","~*"),"?","~?"))&gt;1,"!AMBIG",IFERROR(INDEX('Calculations'!$HF$13:$HF$512,MATCH('Calculations'!HO56,'Calculations'!$HE$13:$HE$512,0)),""))))</x:f>
      </x:c>
      <x:c r="HQ56" t="str">
        <x:f>IF('Calculations'!HP56="","",IF('Calculations'!HP56="!AMBIG","!AMBIG",IF(COUNTIF('Calculations'!$HE$13:$HE$512,"="&amp;SUBSTITUTE(SUBSTITUTE(SUBSTITUTE('Calculations'!HP56,"~","~~"),"*","~*"),"?","~?"))&gt;1,"!AMBIG",IFERROR(INDEX('Calculations'!$HF$13:$HF$512,MATCH('Calculations'!HP56,'Calculations'!$HE$13:$HE$512,0)),""))))</x:f>
      </x:c>
      <x:c r="HR56" t="str">
        <x:f>IF('Calculations'!HQ56="","",IF('Calculations'!HQ56="!AMBIG","!AMBIG",IF(COUNTIF('Calculations'!$HE$13:$HE$512,"="&amp;SUBSTITUTE(SUBSTITUTE(SUBSTITUTE('Calculations'!HQ56,"~","~~"),"*","~*"),"?","~?"))&gt;1,"!AMBIG",IFERROR(INDEX('Calculations'!$HF$13:$HF$512,MATCH('Calculations'!HQ56,'Calculations'!$HE$13:$HE$512,0)),""))))</x:f>
      </x:c>
      <x:c r="HS56" t="str">
        <x:f>IF('Calculations'!HR56="","",IF('Calculations'!HR56="!AMBIG","!AMBIG",IF(COUNTIF('Calculations'!$HE$13:$HE$512,"="&amp;SUBSTITUTE(SUBSTITUTE(SUBSTITUTE('Calculations'!HR56,"~","~~"),"*","~*"),"?","~?"))&gt;1,"!AMBIG",IFERROR(INDEX('Calculations'!$HF$13:$HF$512,MATCH('Calculations'!HR56,'Calculations'!$HE$13:$HE$512,0)),""))))</x:f>
      </x:c>
      <x:c r="HT56" t="str">
        <x:f>IF('Calculations'!HS56="","",IF('Calculations'!HS56="!AMBIG","!AMBIG",IF(COUNTIF('Calculations'!$HE$13:$HE$512,"="&amp;SUBSTITUTE(SUBSTITUTE(SUBSTITUTE('Calculations'!HS56,"~","~~"),"*","~*"),"?","~?"))&gt;1,"!AMBIG",IFERROR(INDEX('Calculations'!$HF$13:$HF$512,MATCH('Calculations'!HS56,'Calculations'!$HE$13:$HE$512,0)),""))))</x:f>
      </x:c>
      <x:c r="HU56" t="str">
        <x:f>IF('Calculations'!HT56="","",IF('Calculations'!HT56="!AMBIG","!AMBIG",IF(COUNTIF('Calculations'!$HE$13:$HE$512,"="&amp;SUBSTITUTE(SUBSTITUTE(SUBSTITUTE('Calculations'!HT56,"~","~~"),"*","~*"),"?","~?"))&gt;1,"!AMBIG",IFERROR(INDEX('Calculations'!$HF$13:$HF$512,MATCH('Calculations'!HT56,'Calculations'!$HE$13:$HE$512,0)),""))))</x:f>
      </x:c>
      <x:c r="HV56" t="str">
        <x:f>IF('Calculations'!HU56="","",IF('Calculations'!HU56="!AMBIG","!AMBIG",IF(COUNTIF('Calculations'!$HE$13:$HE$512,"="&amp;SUBSTITUTE(SUBSTITUTE(SUBSTITUTE('Calculations'!HU56,"~","~~"),"*","~*"),"?","~?"))&gt;1,"!AMBIG",IFERROR(INDEX('Calculations'!$HF$13:$HF$512,MATCH('Calculations'!HU56,'Calculations'!$HE$13:$HE$512,0)),""))))</x:f>
      </x:c>
      <x:c r="HW56" t="str">
        <x:f>IF('Calculations'!HV56="","",IF('Calculations'!HV56="!AMBIG","!AMBIG",IF(COUNTIF('Calculations'!$HE$13:$HE$512,"="&amp;SUBSTITUTE(SUBSTITUTE(SUBSTITUTE('Calculations'!HV56,"~","~~"),"*","~*"),"?","~?"))&gt;1,"!AMBIG",IFERROR(INDEX('Calculations'!$HF$13:$HF$512,MATCH('Calculations'!HV56,'Calculations'!$HE$13:$HE$512,0)),""))))</x:f>
      </x:c>
      <x:c r="HX56" t="str">
        <x:f>IF('Calculations'!HW56="","",IF('Calculations'!HW56="!AMBIG","!AMBIG",IF(COUNTIF('Calculations'!$HE$13:$HE$512,"="&amp;SUBSTITUTE(SUBSTITUTE(SUBSTITUTE('Calculations'!HW56,"~","~~"),"*","~*"),"?","~?"))&gt;1,"!AMBIG",IFERROR(INDEX('Calculations'!$HF$13:$HF$512,MATCH('Calculations'!HW56,'Calculations'!$HE$13:$HE$512,0)),""))))</x:f>
      </x:c>
      <x:c r="HY56" t="str">
        <x:f>IF('Calculations'!HX56="","",IF('Calculations'!HX56="!AMBIG","!AMBIG",IF(COUNTIF('Calculations'!$HE$13:$HE$512,"="&amp;SUBSTITUTE(SUBSTITUTE(SUBSTITUTE('Calculations'!HX56,"~","~~"),"*","~*"),"?","~?"))&gt;1,"!AMBIG",IFERROR(INDEX('Calculations'!$HF$13:$HF$512,MATCH('Calculations'!HX56,'Calculations'!$HE$13:$HE$512,0)),""))))</x:f>
      </x:c>
      <x:c r="HZ56" t="str">
        <x:f>IF('Calculations'!HY56="","",IF('Calculations'!HY56="!AMBIG","!AMBIG",IF(COUNTIF('Calculations'!$HE$13:$HE$512,"="&amp;SUBSTITUTE(SUBSTITUTE(SUBSTITUTE('Calculations'!HY56,"~","~~"),"*","~*"),"?","~?"))&gt;1,"!AMBIG",IFERROR(INDEX('Calculations'!$HF$13:$HF$512,MATCH('Calculations'!HY56,'Calculations'!$HE$13:$HE$512,0)),""))))</x:f>
      </x:c>
      <x:c r="IA56" t="str">
        <x:f>IF('Calculations'!HZ56="","",IF('Calculations'!HZ56="!AMBIG","!AMBIG",IF(COUNTIF('Calculations'!$HE$13:$HE$512,"="&amp;SUBSTITUTE(SUBSTITUTE(SUBSTITUTE('Calculations'!HZ56,"~","~~"),"*","~*"),"?","~?"))&gt;1,"!AMBIG",IFERROR(INDEX('Calculations'!$HF$13:$HF$512,MATCH('Calculations'!HZ56,'Calculations'!$HE$13:$HE$512,0)),""))))</x:f>
      </x:c>
      <x:c r="IB56" t="str">
        <x:f>IF('Calculations'!IA56="","",IF('Calculations'!IA56="!AMBIG","!AMBIG",IF(COUNTIF('Calculations'!$HE$13:$HE$512,"="&amp;SUBSTITUTE(SUBSTITUTE(SUBSTITUTE('Calculations'!IA56,"~","~~"),"*","~*"),"?","~?"))&gt;1,"!AMBIG",IFERROR(INDEX('Calculations'!$HF$13:$HF$512,MATCH('Calculations'!IA56,'Calculations'!$HE$13:$HE$512,0)),""))))</x:f>
      </x:c>
      <x:c r="IC56" t="str">
        <x:f>IF('Calculations'!IB56="","",IF('Calculations'!IB56="!AMBIG","!AMBIG",IF(COUNTIF('Calculations'!$HE$13:$HE$512,"="&amp;SUBSTITUTE(SUBSTITUTE(SUBSTITUTE('Calculations'!IB56,"~","~~"),"*","~*"),"?","~?"))&gt;1,"!AMBIG",IFERROR(INDEX('Calculations'!$HF$13:$HF$512,MATCH('Calculations'!IB56,'Calculations'!$HE$13:$HE$512,0)),""))))</x:f>
      </x:c>
      <x:c r="ID56" t="str">
        <x:f>IF('Calculations'!IC56="","",IF('Calculations'!IC56="!AMBIG","!AMBIG",IF(COUNTIF('Calculations'!$HE$13:$HE$512,"="&amp;SUBSTITUTE(SUBSTITUTE(SUBSTITUTE('Calculations'!IC56,"~","~~"),"*","~*"),"?","~?"))&gt;1,"!AMBIG",IFERROR(INDEX('Calculations'!$HF$13:$HF$512,MATCH('Calculations'!IC56,'Calculations'!$HE$13:$HE$512,0)),""))))</x:f>
      </x:c>
      <x:c r="IE56" t="str">
        <x:f>IF('Calculations'!ID56="","",IF('Calculations'!ID56="!AMBIG","!AMBIG",IF(COUNTIF('Calculations'!$HE$13:$HE$512,"="&amp;SUBSTITUTE(SUBSTITUTE(SUBSTITUTE('Calculations'!ID56,"~","~~"),"*","~*"),"?","~?"))&gt;1,"!AMBIG",IFERROR(INDEX('Calculations'!$HF$13:$HF$512,MATCH('Calculations'!ID56,'Calculations'!$HE$13:$HE$512,0)),""))))</x:f>
      </x:c>
      <x:c r="IF56" t="str">
        <x:f>IF('Calculations'!IE56="","",IF('Calculations'!IE56="!AMBIG","!AMBIG",IF(COUNTIF('Calculations'!$HE$13:$HE$512,"="&amp;SUBSTITUTE(SUBSTITUTE(SUBSTITUTE('Calculations'!IE56,"~","~~"),"*","~*"),"?","~?"))&gt;1,"!AMBIG",IFERROR(INDEX('Calculations'!$HF$13:$HF$512,MATCH('Calculations'!IE56,'Calculations'!$HE$13:$HE$512,0)),""))))</x:f>
      </x:c>
      <x:c r="IG56" t="str">
        <x:f>IF('Calculations'!IF56="","",IF('Calculations'!IF56="!AMBIG","!AMBIG",IF(COUNTIF('Calculations'!$HE$13:$HE$512,"="&amp;SUBSTITUTE(SUBSTITUTE(SUBSTITUTE('Calculations'!IF56,"~","~~"),"*","~*"),"?","~?"))&gt;1,"!AMBIG",IFERROR(INDEX('Calculations'!$HF$13:$HF$512,MATCH('Calculations'!IF56,'Calculations'!$HE$13:$HE$512,0)),""))))</x:f>
      </x:c>
      <x:c r="IH56" t="str">
        <x:f>IF('Calculations'!IG56="","",IF('Calculations'!IG56="!AMBIG","!AMBIG",IF(COUNTIF('Calculations'!$HE$13:$HE$512,"="&amp;SUBSTITUTE(SUBSTITUTE(SUBSTITUTE('Calculations'!IG56,"~","~~"),"*","~*"),"?","~?"))&gt;1,"!AMBIG",IFERROR(INDEX('Calculations'!$HF$13:$HF$512,MATCH('Calculations'!IG56,'Calculations'!$HE$13:$HE$512,0)),""))))</x:f>
      </x:c>
      <x:c r="II56" t="str">
        <x:f>IF('Calculations'!IH56="","",IF('Calculations'!IH56="!AMBIG","!AMBIG",IF(COUNTIF('Calculations'!$HE$13:$HE$512,"="&amp;SUBSTITUTE(SUBSTITUTE(SUBSTITUTE('Calculations'!IH56,"~","~~"),"*","~*"),"?","~?"))&gt;1,"!AMBIG",IFERROR(INDEX('Calculations'!$HF$13:$HF$512,MATCH('Calculations'!IH56,'Calculations'!$HE$13:$HE$512,0)),""))))</x:f>
      </x:c>
      <x:c r="IJ56" t="str">
        <x:f>IF('Calculations'!EM56="","",IF('Calculations'!$EF$2="All",'Calculations'!HM56,IF('Calculations'!HL56=1,"",IFERROR(IF(MATCH('Calculations'!$EF$2,'Calculations'!HO56:II56,0)=1,'Calculations'!HE56,INDEX('Calculations'!HO56:II56,1,MATCH('Calculations'!$EF$2,'Calculations'!HO56:II56,0)-1)),""))))</x:f>
      </x:c>
      <x:c r="IK56" t="n">
        <x:f>IF(AND('Calculations'!EM56&lt;&gt;"",'Calculations'!$EF$2&lt;&gt;"All",'Calculations'!HF56='Calculations'!$EF$2,'Calculations'!HL56=0,'Calculations'!JD56&gt;0),MAX('Calculations'!$IK$12:IK55)+1,0)</x:f>
        <x:v>0</x:v>
      </x:c>
      <x:c r="JA56" t="n">
        <x:f>IF(OR(IFERROR(INDIRECT("'WCM Calibration Final'!$A$56")&lt;&gt;"",FALSE),IFERROR(INDIRECT("'WCM Calibration Final'!$B$56")&lt;&gt;"",FALSE),IFERROR(INDIRECT("'WCM Calibration Final'!$C$56")&lt;&gt;"",FALSE)),56,0)</x:f>
        <x:v>0</x:v>
      </x:c>
      <x:c r="JB56" t="n">
        <x:f>'Calculations'!JB55+IF('Calculations'!JA56&gt;0,1,0)</x:f>
        <x:v>0</x:v>
      </x:c>
      <x:c r="JC56" t="n">
        <x:f>IF(OR('Calculations'!HF56="",'Calculations'!HF56="!AMBIG"),0,IF('Dashboard'!$B$7="All",1,COUNTIFS('Calculations'!$HO$13:$HO$512,"="&amp;SUBSTITUTE(SUBSTITUTE(SUBSTITUTE('Calculations'!HF56,"~","~~"),"*","~*"),"?","~?"),'Calculations'!$HN$13:$HN$512,"="&amp;SUBSTITUTE(SUBSTITUTE(SUBSTITUTE('Dashboard'!$B$7,"~","~~"),"*","~*"),"?","~?"))+COUNTIFS('Calculations'!$HP$13:$HP$512,"="&amp;SUBSTITUTE(SUBSTITUTE(SUBSTITUTE('Calculations'!HF56,"~","~~"),"*","~*"),"?","~?"),'Calculations'!$HN$13:$HN$512,"="&amp;SUBSTITUTE(SUBSTITUTE(SUBSTITUTE('Dashboard'!$B$7,"~","~~"),"*","~*"),"?","~?"))+COUNTIFS('Calculations'!$HQ$13:$HQ$512,"="&amp;SUBSTITUTE(SUBSTITUTE(SUBSTITUTE('Calculations'!HF56,"~","~~"),"*","~*"),"?","~?"),'Calculations'!$HN$13:$HN$512,"="&amp;SUBSTITUTE(SUBSTITUTE(SUBSTITUTE('Dashboard'!$B$7,"~","~~"),"*","~*"),"?","~?"))+COUNTIFS('Calculations'!$HR$13:$HR$512,"="&amp;SUBSTITUTE(SUBSTITUTE(SUBSTITUTE('Calculations'!HF56,"~","~~"),"*","~*"),"?","~?"),'Calculations'!$HN$13:$HN$512,"="&amp;SUBSTITUTE(SUBSTITUTE(SUBSTITUTE('Dashboard'!$B$7,"~","~~"),"*","~*"),"?","~?"))+COUNTIFS('Calculations'!$HS$13:$HS$512,"="&amp;SUBSTITUTE(SUBSTITUTE(SUBSTITUTE('Calculations'!HF56,"~","~~"),"*","~*"),"?","~?"),'Calculations'!$HN$13:$HN$512,"="&amp;SUBSTITUTE(SUBSTITUTE(SUBSTITUTE('Dashboard'!$B$7,"~","~~"),"*","~*"),"?","~?"))+COUNTIFS('Calculations'!$HT$13:$HT$512,"="&amp;SUBSTITUTE(SUBSTITUTE(SUBSTITUTE('Calculations'!HF56,"~","~~"),"*","~*"),"?","~?"),'Calculations'!$HN$13:$HN$512,"="&amp;SUBSTITUTE(SUBSTITUTE(SUBSTITUTE('Dashboard'!$B$7,"~","~~"),"*","~*"),"?","~?"))+COUNTIFS('Calculations'!$HU$13:$HU$512,"="&amp;SUBSTITUTE(SUBSTITUTE(SUBSTITUTE('Calculations'!HF56,"~","~~"),"*","~*"),"?","~?"),'Calculations'!$HN$13:$HN$512,"="&amp;SUBSTITUTE(SUBSTITUTE(SUBSTITUTE('Dashboard'!$B$7,"~","~~"),"*","~*"),"?","~?"))+COUNTIFS('Calculations'!$HV$13:$HV$512,"="&amp;SUBSTITUTE(SUBSTITUTE(SUBSTITUTE('Calculations'!HF56,"~","~~"),"*","~*"),"?","~?"),'Calculations'!$HN$13:$HN$512,"="&amp;SUBSTITUTE(SUBSTITUTE(SUBSTITUTE('Dashboard'!$B$7,"~","~~"),"*","~*"),"?","~?"))+COUNTIFS('Calculations'!$HW$13:$HW$512,"="&amp;SUBSTITUTE(SUBSTITUTE(SUBSTITUTE('Calculations'!HF56,"~","~~"),"*","~*"),"?","~?"),'Calculations'!$HN$13:$HN$512,"="&amp;SUBSTITUTE(SUBSTITUTE(SUBSTITUTE('Dashboard'!$B$7,"~","~~"),"*","~*"),"?","~?"))+COUNTIFS('Calculations'!$HX$13:$HX$512,"="&amp;SUBSTITUTE(SUBSTITUTE(SUBSTITUTE('Calculations'!HF56,"~","~~"),"*","~*"),"?","~?"),'Calculations'!$HN$13:$HN$512,"="&amp;SUBSTITUTE(SUBSTITUTE(SUBSTITUTE('Dashboard'!$B$7,"~","~~"),"*","~*"),"?","~?"))+COUNTIFS('Calculations'!$HY$13:$HY$512,"="&amp;SUBSTITUTE(SUBSTITUTE(SUBSTITUTE('Calculations'!HF56,"~","~~"),"*","~*"),"?","~?"),'Calculations'!$HN$13:$HN$512,"="&amp;SUBSTITUTE(SUBSTITUTE(SUBSTITUTE('Dashboard'!$B$7,"~","~~"),"*","~*"),"?","~?"))+COUNTIFS('Calculations'!$HZ$13:$HZ$512,"="&amp;SUBSTITUTE(SUBSTITUTE(SUBSTITUTE('Calculations'!HF56,"~","~~"),"*","~*"),"?","~?"),'Calculations'!$HN$13:$HN$512,"="&amp;SUBSTITUTE(SUBSTITUTE(SUBSTITUTE('Dashboard'!$B$7,"~","~~"),"*","~*"),"?","~?"))+COUNTIFS('Calculations'!$IA$13:$IA$512,"="&amp;SUBSTITUTE(SUBSTITUTE(SUBSTITUTE('Calculations'!HF56,"~","~~"),"*","~*"),"?","~?"),'Calculations'!$HN$13:$HN$512,"="&amp;SUBSTITUTE(SUBSTITUTE(SUBSTITUTE('Dashboard'!$B$7,"~","~~"),"*","~*"),"?","~?"))+COUNTIFS('Calculations'!$IB$13:$IB$512,"="&amp;SUBSTITUTE(SUBSTITUTE(SUBSTITUTE('Calculations'!HF56,"~","~~"),"*","~*"),"?","~?"),'Calculations'!$HN$13:$HN$512,"="&amp;SUBSTITUTE(SUBSTITUTE(SUBSTITUTE('Dashboard'!$B$7,"~","~~"),"*","~*"),"?","~?"))+COUNTIFS('Calculations'!$IC$13:$IC$512,"="&amp;SUBSTITUTE(SUBSTITUTE(SUBSTITUTE('Calculations'!HF56,"~","~~"),"*","~*"),"?","~?"),'Calculations'!$HN$13:$HN$512,"="&amp;SUBSTITUTE(SUBSTITUTE(SUBSTITUTE('Dashboard'!$B$7,"~","~~"),"*","~*"),"?","~?"))+COUNTIFS('Calculations'!$ID$13:$ID$512,"="&amp;SUBSTITUTE(SUBSTITUTE(SUBSTITUTE('Calculations'!HF56,"~","~~"),"*","~*"),"?","~?"),'Calculations'!$HN$13:$HN$512,"="&amp;SUBSTITUTE(SUBSTITUTE(SUBSTITUTE('Dashboard'!$B$7,"~","~~"),"*","~*"),"?","~?"))+COUNTIFS('Calculations'!$IE$13:$IE$512,"="&amp;SUBSTITUTE(SUBSTITUTE(SUBSTITUTE('Calculations'!HF56,"~","~~"),"*","~*"),"?","~?"),'Calculations'!$HN$13:$HN$512,"="&amp;SUBSTITUTE(SUBSTITUTE(SUBSTITUTE('Dashboard'!$B$7,"~","~~"),"*","~*"),"?","~?"))+COUNTIFS('Calculations'!$IF$13:$IF$512,"="&amp;SUBSTITUTE(SUBSTITUTE(SUBSTITUTE('Calculations'!HF56,"~","~~"),"*","~*"),"?","~?"),'Calculations'!$HN$13:$HN$512,"="&amp;SUBSTITUTE(SUBSTITUTE(SUBSTITUTE('Dashboard'!$B$7,"~","~~"),"*","~*"),"?","~?"))+COUNTIFS('Calculations'!$IG$13:$IG$512,"="&amp;SUBSTITUTE(SUBSTITUTE(SUBSTITUTE('Calculations'!HF56,"~","~~"),"*","~*"),"?","~?"),'Calculations'!$HN$13:$HN$512,"="&amp;SUBSTITUTE(SUBSTITUTE(SUBSTITUTE('Dashboard'!$B$7,"~","~~"),"*","~*"),"?","~?"))+COUNTIFS('Calculations'!$IH$13:$IH$512,"="&amp;SUBSTITUTE(SUBSTITUTE(SUBSTITUTE('Calculations'!HF56,"~","~~"),"*","~*"),"?","~?"),'Calculations'!$HN$13:$HN$512,"="&amp;SUBSTITUTE(SUBSTITUTE(SUBSTITUTE('Dashboard'!$B$7,"~","~~"),"*","~*"),"?","~?"))))</x:f>
        <x:v>0</x:v>
      </x:c>
      <x:c r="JD56" t="n">
        <x:f>IF('Calculations'!EM56="",0,IF('Dashboard'!$B$7="All",1,IF('Calculations'!HN56='Dashboard'!$B$7,1,0)+IFERROR(INDEX('Calculations'!$JC$13:$JC$512,MATCH('Calculations'!HE56,'Calculations'!$HF$13:$HF$512,0)),0)))</x:f>
        <x:v>0</x:v>
      </x:c>
      <x:c r="JE56" t="n">
        <x:f>IF(AND('Calculations'!EM56&lt;&gt;"",'Calculations'!$JJ$2&lt;&gt;"All",'Calculations'!$JJ$2&lt;&gt;"",'Calculations'!HF56='Calculations'!$JJ$2,'Calculations'!HL56=0,'Calculations'!JD56&gt;0),MAX('Calculations'!$JE$12:JE55)+1,0)</x:f>
        <x:v>0</x:v>
      </x:c>
      <x:c r="JF56" t="str">
        <x:f>IF('Calculations'!EM56="","",IFERROR(IF(INDEX(INDIRECT("'WCM Calibration Final'!$G$1:$G$2000"),'Calculations'!$EM56)="","",TRIM(INDEX(INDIRECT("'WCM Calibration Final'!$G$1:$G$2000"),'Calculations'!$EM56)&amp;"")),""))</x:f>
      </x:c>
      <x:c r="JQ56" t="n">
        <x:f>IF(OR('Calculations'!BM56=0,NOT('Calculations'!$AG$2),'Calculations'!$AG$8&gt;0),0,IF(OR('Dashboard'!$B$7="All",'Calculations'!HN56='Dashboard'!$B$7),IF('Calculations'!$JJ$2="All",1,IF(AND('Calculations'!HF56='Calculations'!$JJ$2,'Calculations'!HL56=0),1,0)),0))</x:f>
        <x:v>0</x:v>
      </x:c>
    </x:row>
    <x:row r="57">
      <x:c r="AF57" s="4" t="str">
        <x:f>"Other (n="&amp;'Calculations'!AH57&amp;")"</x:f>
        <x:v>Other (n=0)</x:v>
      </x:c>
      <x:c r="AG57" s="4" t="n">
        <x:f>COUNTIFS('Calculations'!$BN$13:$BN$512,1,'Calculations'!$BV$13:$BV$512,'Calculations'!AT57)</x:f>
        <x:v>0</x:v>
      </x:c>
      <x:c r="AH57" s="4" t="n">
        <x:f>SUM('Calculations'!AJ57:AM57)</x:f>
        <x:v>0</x:v>
      </x:c>
      <x:c r="AI57" s="4" t="n">
        <x:f>'Calculations'!AG57-'Calculations'!AH57</x:f>
        <x:v>0</x:v>
      </x:c>
      <x:c r="AJ57" s="4" t="n">
        <x:f>COUNTIFS('Calculations'!$BN$13:$BN$512,1,'Calculations'!$BV$13:$BV$512,'Calculations'!AT57,'Calculations'!$BZ$13:$BZ$512,1)</x:f>
        <x:v>0</x:v>
      </x:c>
      <x:c r="AK57" s="4" t="n">
        <x:f>COUNTIFS('Calculations'!$BN$13:$BN$512,1,'Calculations'!$BV$13:$BV$512,'Calculations'!AT57,'Calculations'!$BZ$13:$BZ$512,2)</x:f>
        <x:v>0</x:v>
      </x:c>
      <x:c r="AL57" s="4" t="n">
        <x:f>COUNTIFS('Calculations'!$BN$13:$BN$512,1,'Calculations'!$BV$13:$BV$512,'Calculations'!AT57,'Calculations'!$BZ$13:$BZ$512,3)</x:f>
        <x:v>0</x:v>
      </x:c>
      <x:c r="AM57" s="4" t="n">
        <x:f>COUNTIFS('Calculations'!$BN$13:$BN$512,1,'Calculations'!$BV$13:$BV$512,'Calculations'!AT57,'Calculations'!$BZ$13:$BZ$512,4)</x:f>
        <x:v>0</x:v>
      </x:c>
      <x:c r="AN57" s="4"/>
      <x:c r="AO57" s="4" t="e">
        <x:f>IF('Calculations'!AH57=0,NA(),'Calculations'!AJ57/'Calculations'!AH57)</x:f>
        <x:v>#N/A</x:v>
      </x:c>
      <x:c r="AP57" s="4" t="e">
        <x:f>IF('Calculations'!AH57=0,NA(),'Calculations'!AK57/'Calculations'!AH57)</x:f>
        <x:v>#N/A</x:v>
      </x:c>
      <x:c r="AQ57" s="4" t="e">
        <x:f>IF('Calculations'!AH57=0,NA(),'Calculations'!AL57/'Calculations'!AH57)</x:f>
        <x:v>#N/A</x:v>
      </x:c>
      <x:c r="AR57" s="4" t="e">
        <x:f>IF('Calculations'!AH57=0,NA(),'Calculations'!AM57/'Calculations'!AH57)</x:f>
        <x:v>#N/A</x:v>
      </x:c>
      <x:c r="AS57" s="4"/>
      <x:c r="AT57" s="4" t="str">
        <x:v>Other</x:v>
      </x:c>
      <x:c r="AU57" s="4"/>
      <x:c r="AV57" s="4"/>
      <x:c r="AW57" s="4"/>
      <x:c r="AX57" s="4"/>
      <x:c r="AY57" s="4"/>
      <x:c r="AZ57" s="4"/>
      <x:c r="BA57" s="4"/>
      <x:c r="BB57" s="4"/>
      <x:c r="BC57" s="4"/>
      <x:c r="BD57" s="4"/>
      <x:c r="BE57" s="4"/>
      <x:c r="BF57" s="4"/>
      <x:c r="BG57" s="4"/>
      <x:c r="BH57" s="4"/>
      <x:c r="BI57" s="4"/>
      <x:c r="BJ57" s="4"/>
      <x:c r="BK57" s="4"/>
      <x:c r="BL57" s="4"/>
      <x:c r="BM57" s="4" t="n">
        <x:f>IF('Calculations'!$EM57="",0,IF(OR(IFERROR(INDEX(INDIRECT("'WCM Calibration Final'!$A$1:$A$2000"),'Calculations'!$EM57)&lt;&gt;"",FALSE),IFERROR(INDEX(INDIRECT("'WCM Calibration Final'!$B$1:$B$2000"),'Calculations'!$EM57)&lt;&gt;"",FALSE),IFERROR(INDEX(INDIRECT("'WCM Calibration Final'!$C$1:$C$2000"),'Calculations'!$EM57)&lt;&gt;"",FALSE)),1,0))</x:f>
        <x:v>0</x:v>
      </x:c>
      <x:c r="BN57" s="4" t="n">
        <x:f>IF(AND('Calculations'!BM57=1,'Calculations'!$AG$2,'Calculations'!$EN57=1),1,0)</x:f>
        <x:v>0</x:v>
      </x:c>
      <x:c r="BO57" s="4" t="str">
        <x:f>IF('Calculations'!BM57=0,"",IFERROR(IF(AND(VALUE(INDEX(INDIRECT("'WCM Calibration Final'!$K$1:$K$2000"),'Calculations'!$EM57))&gt;=1,VALUE(INDEX(INDIRECT("'WCM Calibration Final'!$K$1:$K$2000"),'Calculations'!$EM57))&lt;=4,MOD(VALUE(INDEX(INDIRECT("'WCM Calibration Final'!$K$1:$K$2000"),'Calculations'!$EM57)),1)=0),VALUE(INDEX(INDIRECT("'WCM Calibration Final'!$K$1:$K$2000"),'Calculations'!$EM57)),""),""))</x:f>
      </x:c>
      <x:c r="BP57" s="4" t="str">
        <x:f>IF('Calculations'!BM57=0,"",IFERROR(IF(AND(VALUE(INDEX(INDIRECT("'WCM Calibration Final'!$L$1:$L$2000"),'Calculations'!$EM57))&gt;=1,VALUE(INDEX(INDIRECT("'WCM Calibration Final'!$L$1:$L$2000"),'Calculations'!$EM57))&lt;=4,MOD(VALUE(INDEX(INDIRECT("'WCM Calibration Final'!$L$1:$L$2000"),'Calculations'!$EM57)),1)=0),VALUE(INDEX(INDIRECT("'WCM Calibration Final'!$L$1:$L$2000"),'Calculations'!$EM57)),""),""))</x:f>
      </x:c>
      <x:c r="BQ57" s="4"/>
      <x:c r="BR57" s="4"/>
      <x:c r="BS57" s="4"/>
      <x:c r="BT57" s="4" t="n">
        <x:f>IF(AND('Calculations'!BM57=1,ISNUMBER('Calculations'!BO57),ISNUMBER('Calculations'!BP57)),1,0)</x:f>
        <x:v>0</x:v>
      </x:c>
      <x:c r="BU57" s="4" t="str">
        <x:f>IF('Calculations'!BM57=0,"",'Calculations'!$EO57)</x:f>
      </x:c>
      <x:c r="BV57" s="4" t="str">
        <x:f>IF('Calculations'!BM57=0,"",IFERROR(IF(OR(INDEX(INDIRECT("'WCM Calibration Final'!$H$1:$H$2000"),'Calculations'!$EM57)="MANAGING DIRECTOR",INDEX(INDIRECT("'WCM Calibration Final'!$H$1:$H$2000"),'Calculations'!$EM57)="DIRECTOR",INDEX(INDIRECT("'WCM Calibration Final'!$H$1:$H$2000"),'Calculations'!$EM57)="SENIOR VICE PRESIDENT",INDEX(INDIRECT("'WCM Calibration Final'!$H$1:$H$2000"),'Calculations'!$EM57)="VICE PRESIDENT",INDEX(INDIRECT("'WCM Calibration Final'!$H$1:$H$2000"),'Calculations'!$EM57)="ASSISTANT VICE PRESIDENT",INDEX(INDIRECT("'WCM Calibration Final'!$H$1:$H$2000"),'Calculations'!$EM57)="OFFICER"),UPPER(INDEX(INDIRECT("'WCM Calibration Final'!$H$1:$H$2000"),'Calculations'!$EM57)),"Other"),"Other"))</x:f>
      </x:c>
      <x:c r="BW57" s="4"/>
      <x:c r="BX57" s="4"/>
      <x:c r="BY57" s="4" t="n">
        <x:f>IF(AND('Calculations'!BM57=1,'Calculations'!BU57&lt;&gt;"",COUNTIF('Calculations'!$BU$12:BU57,'Calculations'!BU57)=1),MAX('Calculations'!$BY$11:BY56)+1,0)</x:f>
        <x:v>0</x:v>
      </x:c>
      <x:c r="BZ57" s="4" t="str">
        <x:f>IF('Dashboard'!$E$67="What",'Calculations'!BO57,'Calculations'!BP57)</x:f>
      </x:c>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t="str">
        <x:f>IF(46&gt;MAX('Calculations'!$HI$13:$HI$512),"",INDEX('Calculations'!$HN$13:$HN$512,MATCH(46,'Calculations'!$HI$13:$HI$512,0)))</x:f>
      </x:c>
      <x:c r="DB57" s="4" t="str">
        <x:f>IF(46&gt;MAX('Calculations'!$HH$13:$HH$512),"",INDEX('Calculations'!$HJ$13:$HJ$512,MATCH(46,'Calculations'!$HH$13:$HH$512,0)))</x:f>
      </x:c>
      <x:c r="DC57" s="4" t="str">
        <x:f>IF(ROW()-11&gt;MAX('Calculations'!$BY$13:$BY$512),"",INDEX('Calculations'!$BU$13:$BU$512,MATCH(ROW()-11,'Calculations'!$BY$13:$BY$512,0)))</x:f>
      </x:c>
      <x:c r="DD57" s="4" t="str">
        <x:f>IF(46&gt;MAX('Calculations'!$IK$13:$IK$512),"",INDEX('Calculations'!$HK$13:$HK$512,MATCH(46,'Calculations'!$IK$13:$IK$512,0)))</x:f>
      </x:c>
      <x:c r="DE57" s="4" t="str">
        <x:f>'Calculations'!DC57</x:f>
      </x:c>
      <x:c r="DF57" s="4" t="str">
        <x:f>IF('Calculations'!DE57="","",COUNTIFS('Calculations'!$BN$13:$BN$512,1,'Calculations'!$BU$13:$BU$512,'Calculations'!DE57))</x:f>
      </x:c>
      <x:c r="DG57" s="4" t="str">
        <x:f>IF('Calculations'!DE57="","",COUNTIFS('Calculations'!$BN$13:$BN$512,1,'Calculations'!$BU$13:$BU$512,'Calculations'!DE57,'Calculations'!$BT$13:$BT$512,1))</x:f>
      </x:c>
      <x:c r="DH57" s="4" t="str">
        <x:f>IF('Calculations'!DE57="","",'Calculations'!DF57-'Calculations'!DG57)</x:f>
      </x:c>
      <x:c r="DI57" s="4" t="str">
        <x:f>IF(OR('Calculations'!DE57="",'Calculations'!DF57=0),"",'Calculations'!DG57/'Calculations'!DF57)</x:f>
      </x:c>
      <x:c r="DJ57" s="4" t="str">
        <x:f>IF('Calculations'!DE57="","",COUNTIFS('Calculations'!$BN$13:$BN$512,1,'Calculations'!$BU$13:$BU$512,'Calculations'!DE57,'Calculations'!$BT$13:$BT$512,1,'Calculations'!$EE$13:$EE$512,"High"))</x:f>
      </x:c>
      <x:c r="DK57" s="4" t="str">
        <x:f>IF('Calculations'!DE57="","",COUNTIFS('Calculations'!$BN$13:$BN$512,1,'Calculations'!$BU$13:$BU$512,'Calculations'!DE57,'Calculations'!$BT$13:$BT$512,1,'Calculations'!$EE$13:$EE$512,"Strong"))</x:f>
      </x:c>
      <x:c r="DL57" s="4" t="str">
        <x:f>IF('Calculations'!DE57="","",COUNTIFS('Calculations'!$BN$13:$BN$512,1,'Calculations'!$BU$13:$BU$512,'Calculations'!DE57,'Calculations'!$BT$13:$BT$512,1,'Calculations'!$EE$13:$EE$512,"Solid"))</x:f>
      </x:c>
      <x:c r="DM57" s="4" t="str">
        <x:f>IF('Calculations'!DE57="","",COUNTIFS('Calculations'!$BN$13:$BN$512,1,'Calculations'!$BU$13:$BU$512,'Calculations'!DE57,'Calculations'!$BT$13:$BT$512,1,'Calculations'!$EE$13:$EE$512,"Low"))</x:f>
      </x:c>
      <x:c r="DN57" s="4" t="str">
        <x:f>IF('Calculations'!DE57="","",COUNTIFS('Calculations'!$BN$13:$BN$512,1,'Calculations'!$BU$13:$BU$512,'Calculations'!DE57,'Calculations'!$EP$13:$EP$512,1))</x:f>
      </x:c>
      <x:c r="DO57" s="4" t="str">
        <x:f>IF(OR('Calculations'!DE57="",'Calculations'!DG57=0),"",('Calculations'!DJ57+'Calculations'!DK57)/'Calculations'!DG57)</x:f>
      </x:c>
      <x:c r="DP57" s="4" t="n">
        <x:f>IF(AND('Calculations'!DE57&lt;&gt;"",'Calculations'!DF57&gt;0),COUNTIF('Calculations'!$DF$12:DF57,"&gt;0"),0)</x:f>
        <x:v>0</x:v>
      </x:c>
      <x:c r="DQ57" s="4" t="str">
        <x:f>IF(46&gt;MAX('Calculations'!$HH$13:$HH$512),"",INDEX('Calculations'!$HF$13:$HF$512,MATCH(46,'Calculations'!$HH$13:$HH$512,0)))</x:f>
      </x:c>
      <x:c r="DR57" s="4" t="str">
        <x:f>IF(46&gt;MAX('Calculations'!$IK$13:$IK$512),"",INDEX('Calculations'!$HE$13:$HE$512,MATCH(46,'Calculations'!$IK$13:$IK$512,0)))</x:f>
      </x:c>
      <x:c r="DS57" s="4"/>
      <x:c r="DT57" s="4"/>
      <x:c r="DU57" s="4"/>
      <x:c r="DV57" s="4"/>
      <x:c r="DW57" s="4"/>
      <x:c r="DX57" s="4"/>
      <x:c r="DY57" s="4" t="str">
        <x:f>IFERROR(TEXT('Calculations'!AH72,"0.0%"),"—")</x:f>
        <x:v>—</x:v>
      </x:c>
      <x:c r="DZ57" s="4"/>
      <x:c r="EA57" s="4"/>
      <x:c r="EB57" s="4"/>
      <x:c r="EC57" s="4"/>
      <x:c r="ED57" s="4"/>
      <x:c r="EE57" s="4" t="str">
        <x:f>IF('Calculations'!BT57=0,"Not Rated",IF(OR('Calculations'!BO57&gt;=4,'Calculations'!BP57&gt;=4),"Low",IF('Calculations'!BO57+'Calculations'!BP57&lt;=3,"High",IF('Calculations'!BO57+'Calculations'!BP57&lt;=4,"Strong","Solid"))))</x:f>
        <x:v>Not Rated</x:v>
      </x:c>
      <x:c r="EF57" s="4"/>
      <x:c r="EG57" s="4"/>
      <x:c r="EH57" s="4"/>
      <x:c r="EI57" s="4"/>
      <x:c r="EJ57" s="4"/>
      <x:c r="EK57" s="4"/>
      <x:c r="EL57" s="4"/>
      <x:c r="EM57" s="4" t="str">
        <x:f>IF(45&gt;'Calculations'!$JB$2000,"",INDEX('Calculations'!$JA$12:$JA$2000,MATCH(45,'Calculations'!$JB$12:$JB$2000,0)))</x:f>
      </x:c>
      <x:c r="EN57" s="4" t="n">
        <x:f>IF(OR('Calculations'!EM57="",'Calculations'!$AG$8&gt;0,AND('Calculations'!$EF$2&lt;&gt;"All",'Calculations'!HE57='Calculations'!$EF$2),AND('Calculations'!$EF$3&lt;&gt;"All",'Calculations'!HE57='Calculations'!$EF$3)),0,IF(OR('Dashboard'!$B$7="All",'Calculations'!HN57='Dashboard'!$B$7),IF('Calculations'!$EF$2="All",1,IF('Calculations'!HL57&gt;0,0,IF(COUNTIF('Calculations'!HO57:II57,"="&amp;SUBSTITUTE(SUBSTITUTE(SUBSTITUTE('Calculations'!$EF$2,"~","~~"),"*","~*"),"?","~?"))=0,0,IF('Calculations'!$EF$3="All",1,IF(COUNTIF('Calculations'!HO57:II57,"="&amp;SUBSTITUTE(SUBSTITUTE(SUBSTITUTE('Calculations'!$EF$3,"~","~~"),"*","~*"),"?","~?"))&gt;0,1,0))))),0))</x:f>
        <x:v>0</x:v>
      </x:c>
      <x:c r="EO57" s="4" t="str">
        <x:f>IF('Calculations'!IJ57="","",IF('Calculations'!IJ57="!UNRESOLVED","Unresolved hierarchy",IFERROR(INDEX('Calculations'!$HK$13:$HK$512,MATCH('Calculations'!IJ57,'Calculations'!$HE$13:$HE$512,0)),IFERROR(INDEX('Calculations'!$HJ$13:$HJ$512,MATCH('Calculations'!IJ57,'Calculations'!$HF$13:$HF$512,0)),'Calculations'!IJ57))))</x:f>
      </x:c>
      <x:c r="EP57" s="4" t="n">
        <x:f>IF(AND('Calculations'!EM57&lt;&gt;"",'Calculations'!HF57='Calculations'!IJ57),1,0)</x:f>
        <x:v>0</x:v>
      </x:c>
      <x:c r="EQ57" s="4"/>
      <x:c r="ER57" s="4"/>
      <x:c r="ES57" s="4"/>
      <x:c r="ET57" s="4"/>
      <x:c r="EU57" s="4"/>
      <x:c r="EV57" s="4"/>
      <x:c r="EW57" s="4"/>
      <x:c r="EX57" s="4"/>
      <x:c r="EY57" s="4"/>
      <x:c r="EZ57" s="4"/>
      <x:c r="FA57" s="4"/>
      <x:c r="FB57" s="4"/>
      <x:c r="FC57" s="4"/>
      <x:c r="FD57" s="4"/>
      <x:c r="FE57" s="4"/>
      <x:c r="FF57" s="4"/>
      <x:c r="FG57" s="4"/>
      <x:c r="FH57" s="4"/>
      <x:c r="FI57" s="4"/>
      <x:c r="FJ57" s="4"/>
      <x:c r="FK57" s="4"/>
      <x:c r="FL57" s="4"/>
      <x:c r="FM57" s="4"/>
      <x:c r="FN57" s="4"/>
      <x:c r="FO57" s="4"/>
      <x:c r="GA57" s="71"/>
      <x:c r="GB57" s="71"/>
      <x:c r="GC57" s="71"/>
      <x:c r="GD57" s="71"/>
      <x:c r="GE57" s="71"/>
      <x:c r="GF57" s="71"/>
      <x:c r="GG57" s="71"/>
      <x:c r="GH57" s="71"/>
      <x:c r="GI57" s="71"/>
      <x:c r="GJ57" s="71"/>
      <x:c r="GK57" s="71"/>
      <x:c r="GL57" s="71"/>
      <x:c r="GM57" s="71"/>
      <x:c r="GN57" s="71"/>
      <x:c r="GO57" s="71"/>
      <x:c r="GP57" s="71"/>
      <x:c r="GQ57" s="71"/>
      <x:c r="GR57" s="71"/>
      <x:c r="GS57" s="71"/>
      <x:c r="GT57" s="71"/>
      <x:c r="GU57" s="71"/>
      <x:c r="GV57" s="71"/>
      <x:c r="GW57" s="71"/>
      <x:c r="GX57" s="71"/>
      <x:c r="GY57" s="71"/>
      <x:c r="GZ57" s="71"/>
      <x:c r="HA57" s="71"/>
      <x:c r="HB57" s="71"/>
      <x:c r="HC57" s="71"/>
      <x:c r="HD57" s="71"/>
      <x:c r="HE57" t="str">
        <x:f>IF('Calculations'!EM57="","",IF(IFERROR(IF(INDEX(INDIRECT("'WCM Calibration Final'!$A$1:$A$2000"),'Calculations'!$EM57)="","",TRIM(INDEX(INDIRECT("'WCM Calibration Final'!$A$1:$A$2000"),'Calculations'!$EM57)&amp;"")),"")&lt;&gt;"","G:"&amp;IFERROR(TEXT(1*INDEX(INDIRECT("'WCM Calibration Final'!$A$1:$A$2000"),'Calculations'!$EM57),"0"),UPPER(IFERROR(IF(INDEX(INDIRECT("'WCM Calibration Final'!$A$1:$A$2000"),'Calculations'!$EM57)="","",TRIM(INDEX(INDIRECT("'WCM Calibration Final'!$A$1:$A$2000"),'Calculations'!$EM57)&amp;"")),""))),IF(IFERROR(IF(INDEX(INDIRECT("'WCM Calibration Final'!$C$1:$C$2000"),'Calculations'!$EM57)="","",TRIM(INDEX(INDIRECT("'WCM Calibration Final'!$C$1:$C$2000"),'Calculations'!$EM57)&amp;"")),"")&lt;&gt;"","S:"&amp;UPPER(IFERROR(IF(INDEX(INDIRECT("'WCM Calibration Final'!$C$1:$C$2000"),'Calculations'!$EM57)="","",TRIM(INDEX(INDIRECT("'WCM Calibration Final'!$C$1:$C$2000"),'Calculations'!$EM57)&amp;"")),"")),"R:"&amp;'Calculations'!EM57)))</x:f>
      </x:c>
      <x:c r="HF57" t="str">
        <x:f>IF('Calculations'!EM57="","",IF(IFERROR(IF(INDEX(INDIRECT("'WCM Calibration Final'!$D$1:$D$2000"),'Calculations'!$EM57)="","",TRIM(INDEX(INDIRECT("'WCM Calibration Final'!$D$1:$D$2000"),'Calculations'!$EM57)&amp;"")),"")&lt;&gt;"","G:"&amp;IFERROR(TEXT(1*INDEX(INDIRECT("'WCM Calibration Final'!$D$1:$D$2000"),'Calculations'!$EM57),"0"),UPPER(IFERROR(IF(INDEX(INDIRECT("'WCM Calibration Final'!$D$1:$D$2000"),'Calculations'!$EM57)="","",TRIM(INDEX(INDIRECT("'WCM Calibration Final'!$D$1:$D$2000"),'Calculations'!$EM57)&amp;"")),""))),IF(IFERROR(IF(INDEX(INDIRECT("'WCM Calibration Final'!$E$1:$E$2000"),'Calculations'!$EM57)="","",TRIM(INDEX(INDIRECT("'WCM Calibration Final'!$E$1:$E$2000"),'Calculations'!$EM57)&amp;"")),"")="","",IF(COUNTIF('Calculations'!$HG$13:$HG$512,"="&amp;SUBSTITUTE(SUBSTITUTE(SUBSTITUTE(IFERROR(IF(INDEX(INDIRECT("'WCM Calibration Final'!$E$1:$E$2000"),'Calculations'!$EM57)="","",TRIM(INDEX(INDIRECT("'WCM Calibration Final'!$E$1:$E$2000"),'Calculations'!$EM57)&amp;"")),""),"~","~~"),"*","~*"),"?","~?"))=1,INDEX('Calculations'!$HE$13:$HE$512,MATCH(IFERROR(IF(INDEX(INDIRECT("'WCM Calibration Final'!$E$1:$E$2000"),'Calculations'!$EM57)="","",TRIM(INDEX(INDIRECT("'WCM Calibration Final'!$E$1:$E$2000"),'Calculations'!$EM57)&amp;"")),""),'Calculations'!$HG$13:$HG$512,0)),IF(COUNTIF('Calculations'!$HG$13:$HG$512,"="&amp;SUBSTITUTE(SUBSTITUTE(SUBSTITUTE(IFERROR(IF(INDEX(INDIRECT("'WCM Calibration Final'!$E$1:$E$2000"),'Calculations'!$EM57)="","",TRIM(INDEX(INDIRECT("'WCM Calibration Final'!$E$1:$E$2000"),'Calculations'!$EM57)&amp;"")),""),"~","~~"),"*","~*"),"?","~?"))&gt;1,"!AMBIG","X:"&amp;IFERROR(IF(INDEX(INDIRECT("'WCM Calibration Final'!$E$1:$E$2000"),'Calculations'!$EM57)="","",TRIM(INDEX(INDIRECT("'WCM Calibration Final'!$E$1:$E$2000"),'Calculations'!$EM57)&amp;"")),""))))))</x:f>
      </x:c>
      <x:c r="HG57" t="str">
        <x:f>IF('Calculations'!EM57="","",IFERROR(IF(INDEX(INDIRECT("'WCM Calibration Final'!$B$1:$B$2000"),'Calculations'!$EM57)="","",TRIM(INDEX(INDIRECT("'WCM Calibration Final'!$B$1:$B$2000"),'Calculations'!$EM57)&amp;"")),""))</x:f>
      </x:c>
      <x:c r="HH57" t="n">
        <x:f>IF(AND('Calculations'!JC57&gt;0,COUNTIF('Calculations'!$HF$12:HF57,"="&amp;SUBSTITUTE(SUBSTITUTE(SUBSTITUTE('Calculations'!HF57,"~","~~"),"*","~*"),"?","~?"))=1),MAX('Calculations'!$HH$12:HH56)+1,0)</x:f>
        <x:v>0</x:v>
      </x:c>
      <x:c r="HI57" t="n">
        <x:f>IF(AND('Calculations'!HN57&lt;&gt;"",COUNTIF('Calculations'!$HN$12:HN57,"="&amp;SUBSTITUTE(SUBSTITUTE(SUBSTITUTE('Calculations'!HN57,"~","~~"),"*","~*"),"?","~?"))=1),MAX('Calculations'!$HI$12:HI56)+1,0)</x:f>
        <x:v>0</x:v>
      </x:c>
      <x:c r="HJ57" t="str">
        <x:f>IF('Calculations'!HF57="","",IF(COUNTIF('Calculations'!$HE$13:$HE$512,"="&amp;SUBSTITUTE(SUBSTITUTE(SUBSTITUTE('Calculations'!HF57,"~","~~"),"*","~*"),"?","~?"))=1,INDEX('Calculations'!$HK$13:$HK$512,MATCH('Calculations'!HF57,'Calculations'!$HE$13:$HE$512,0)),IFERROR(IF(INDEX(INDIRECT("'WCM Calibration Final'!$E$1:$E$2000"),'Calculations'!$EM57)="","",TRIM(INDEX(INDIRECT("'WCM Calibration Final'!$E$1:$E$2000"),'Calculations'!$EM57)&amp;"")),"")&amp;" ["&amp;'Calculations'!HF57&amp;"]"))</x:f>
      </x:c>
      <x:c r="HK57" t="str">
        <x:f>IF('Calculations'!EM57="","",'Calculations'!HG57&amp;" ["&amp;'Calculations'!HE57&amp;"]")</x:f>
      </x:c>
      <x:c r="HL57" t="n">
        <x:f>IF('Calculations'!EM57="",0,IF(OR('Calculations'!II57&lt;&gt;"",COUNTIF('Calculations'!$HE$13:$HE$512,"="&amp;SUBSTITUTE(SUBSTITUTE(SUBSTITUTE('Calculations'!HE57,"~","~~"),"*","~*"),"?","~?"))&gt;1),1,0))</x:f>
        <x:v>0</x:v>
      </x:c>
      <x:c r="HM57" t="str">
        <x:f>IF('Calculations'!EM57="","",IF('Calculations'!HL57=1,"!UNRESOLVED",IF('Calculations'!IH57&lt;&gt;"",'Calculations'!IH57,IF('Calculations'!IG57&lt;&gt;"",'Calculations'!IG57,IF('Calculations'!IF57&lt;&gt;"",'Calculations'!IF57,IF('Calculations'!IE57&lt;&gt;"",'Calculations'!IE57,IF('Calculations'!ID57&lt;&gt;"",'Calculations'!ID57,IF('Calculations'!IC57&lt;&gt;"",'Calculations'!IC57,IF('Calculations'!IB57&lt;&gt;"",'Calculations'!IB57,IF('Calculations'!IA57&lt;&gt;"",'Calculations'!IA57,IF('Calculations'!HZ57&lt;&gt;"",'Calculations'!HZ57,IF('Calculations'!HY57&lt;&gt;"",'Calculations'!HY57,IF('Calculations'!HX57&lt;&gt;"",'Calculations'!HX57,IF('Calculations'!HW57&lt;&gt;"",'Calculations'!HW57,IF('Calculations'!HV57&lt;&gt;"",'Calculations'!HV57,IF('Calculations'!HU57&lt;&gt;"",'Calculations'!HU57,IF('Calculations'!HT57&lt;&gt;"",'Calculations'!HT57,IF('Calculations'!HS57&lt;&gt;"",'Calculations'!HS57,IF('Calculations'!HR57&lt;&gt;"",'Calculations'!HR57,IF('Calculations'!HQ57&lt;&gt;"",'Calculations'!HQ57,IF('Calculations'!HP57&lt;&gt;"",'Calculations'!HP57,IF('Calculations'!HO57&lt;&gt;"",'Calculations'!HO57,'Calculations'!HE57))))))))))))))))))))))</x:f>
      </x:c>
      <x:c r="HN57" t="str">
        <x:f>IF('Calculations'!EM57="","",IF(IFERROR(IF(INDEX(INDIRECT("'WCM Calibration Final'!$F$1:$F$2000"),'Calculations'!$EM57)="","",TRIM(INDEX(INDIRECT("'WCM Calibration Final'!$F$1:$F$2000"),'Calculations'!$EM57)&amp;"")),"")="","(Blank)",IFERROR(IF(INDEX(INDIRECT("'WCM Calibration Final'!$F$1:$F$2000"),'Calculations'!$EM57)="","",TRIM(INDEX(INDIRECT("'WCM Calibration Final'!$F$1:$F$2000"),'Calculations'!$EM57)&amp;"")),"")))</x:f>
      </x:c>
      <x:c r="HO57" t="str">
        <x:f>'Calculations'!HF57</x:f>
      </x:c>
      <x:c r="HP57" t="str">
        <x:f>IF('Calculations'!HO57="","",IF('Calculations'!HO57="!AMBIG","!AMBIG",IF(COUNTIF('Calculations'!$HE$13:$HE$512,"="&amp;SUBSTITUTE(SUBSTITUTE(SUBSTITUTE('Calculations'!HO57,"~","~~"),"*","~*"),"?","~?"))&gt;1,"!AMBIG",IFERROR(INDEX('Calculations'!$HF$13:$HF$512,MATCH('Calculations'!HO57,'Calculations'!$HE$13:$HE$512,0)),""))))</x:f>
      </x:c>
      <x:c r="HQ57" t="str">
        <x:f>IF('Calculations'!HP57="","",IF('Calculations'!HP57="!AMBIG","!AMBIG",IF(COUNTIF('Calculations'!$HE$13:$HE$512,"="&amp;SUBSTITUTE(SUBSTITUTE(SUBSTITUTE('Calculations'!HP57,"~","~~"),"*","~*"),"?","~?"))&gt;1,"!AMBIG",IFERROR(INDEX('Calculations'!$HF$13:$HF$512,MATCH('Calculations'!HP57,'Calculations'!$HE$13:$HE$512,0)),""))))</x:f>
      </x:c>
      <x:c r="HR57" t="str">
        <x:f>IF('Calculations'!HQ57="","",IF('Calculations'!HQ57="!AMBIG","!AMBIG",IF(COUNTIF('Calculations'!$HE$13:$HE$512,"="&amp;SUBSTITUTE(SUBSTITUTE(SUBSTITUTE('Calculations'!HQ57,"~","~~"),"*","~*"),"?","~?"))&gt;1,"!AMBIG",IFERROR(INDEX('Calculations'!$HF$13:$HF$512,MATCH('Calculations'!HQ57,'Calculations'!$HE$13:$HE$512,0)),""))))</x:f>
      </x:c>
      <x:c r="HS57" t="str">
        <x:f>IF('Calculations'!HR57="","",IF('Calculations'!HR57="!AMBIG","!AMBIG",IF(COUNTIF('Calculations'!$HE$13:$HE$512,"="&amp;SUBSTITUTE(SUBSTITUTE(SUBSTITUTE('Calculations'!HR57,"~","~~"),"*","~*"),"?","~?"))&gt;1,"!AMBIG",IFERROR(INDEX('Calculations'!$HF$13:$HF$512,MATCH('Calculations'!HR57,'Calculations'!$HE$13:$HE$512,0)),""))))</x:f>
      </x:c>
      <x:c r="HT57" t="str">
        <x:f>IF('Calculations'!HS57="","",IF('Calculations'!HS57="!AMBIG","!AMBIG",IF(COUNTIF('Calculations'!$HE$13:$HE$512,"="&amp;SUBSTITUTE(SUBSTITUTE(SUBSTITUTE('Calculations'!HS57,"~","~~"),"*","~*"),"?","~?"))&gt;1,"!AMBIG",IFERROR(INDEX('Calculations'!$HF$13:$HF$512,MATCH('Calculations'!HS57,'Calculations'!$HE$13:$HE$512,0)),""))))</x:f>
      </x:c>
      <x:c r="HU57" t="str">
        <x:f>IF('Calculations'!HT57="","",IF('Calculations'!HT57="!AMBIG","!AMBIG",IF(COUNTIF('Calculations'!$HE$13:$HE$512,"="&amp;SUBSTITUTE(SUBSTITUTE(SUBSTITUTE('Calculations'!HT57,"~","~~"),"*","~*"),"?","~?"))&gt;1,"!AMBIG",IFERROR(INDEX('Calculations'!$HF$13:$HF$512,MATCH('Calculations'!HT57,'Calculations'!$HE$13:$HE$512,0)),""))))</x:f>
      </x:c>
      <x:c r="HV57" t="str">
        <x:f>IF('Calculations'!HU57="","",IF('Calculations'!HU57="!AMBIG","!AMBIG",IF(COUNTIF('Calculations'!$HE$13:$HE$512,"="&amp;SUBSTITUTE(SUBSTITUTE(SUBSTITUTE('Calculations'!HU57,"~","~~"),"*","~*"),"?","~?"))&gt;1,"!AMBIG",IFERROR(INDEX('Calculations'!$HF$13:$HF$512,MATCH('Calculations'!HU57,'Calculations'!$HE$13:$HE$512,0)),""))))</x:f>
      </x:c>
      <x:c r="HW57" t="str">
        <x:f>IF('Calculations'!HV57="","",IF('Calculations'!HV57="!AMBIG","!AMBIG",IF(COUNTIF('Calculations'!$HE$13:$HE$512,"="&amp;SUBSTITUTE(SUBSTITUTE(SUBSTITUTE('Calculations'!HV57,"~","~~"),"*","~*"),"?","~?"))&gt;1,"!AMBIG",IFERROR(INDEX('Calculations'!$HF$13:$HF$512,MATCH('Calculations'!HV57,'Calculations'!$HE$13:$HE$512,0)),""))))</x:f>
      </x:c>
      <x:c r="HX57" t="str">
        <x:f>IF('Calculations'!HW57="","",IF('Calculations'!HW57="!AMBIG","!AMBIG",IF(COUNTIF('Calculations'!$HE$13:$HE$512,"="&amp;SUBSTITUTE(SUBSTITUTE(SUBSTITUTE('Calculations'!HW57,"~","~~"),"*","~*"),"?","~?"))&gt;1,"!AMBIG",IFERROR(INDEX('Calculations'!$HF$13:$HF$512,MATCH('Calculations'!HW57,'Calculations'!$HE$13:$HE$512,0)),""))))</x:f>
      </x:c>
      <x:c r="HY57" t="str">
        <x:f>IF('Calculations'!HX57="","",IF('Calculations'!HX57="!AMBIG","!AMBIG",IF(COUNTIF('Calculations'!$HE$13:$HE$512,"="&amp;SUBSTITUTE(SUBSTITUTE(SUBSTITUTE('Calculations'!HX57,"~","~~"),"*","~*"),"?","~?"))&gt;1,"!AMBIG",IFERROR(INDEX('Calculations'!$HF$13:$HF$512,MATCH('Calculations'!HX57,'Calculations'!$HE$13:$HE$512,0)),""))))</x:f>
      </x:c>
      <x:c r="HZ57" t="str">
        <x:f>IF('Calculations'!HY57="","",IF('Calculations'!HY57="!AMBIG","!AMBIG",IF(COUNTIF('Calculations'!$HE$13:$HE$512,"="&amp;SUBSTITUTE(SUBSTITUTE(SUBSTITUTE('Calculations'!HY57,"~","~~"),"*","~*"),"?","~?"))&gt;1,"!AMBIG",IFERROR(INDEX('Calculations'!$HF$13:$HF$512,MATCH('Calculations'!HY57,'Calculations'!$HE$13:$HE$512,0)),""))))</x:f>
      </x:c>
      <x:c r="IA57" t="str">
        <x:f>IF('Calculations'!HZ57="","",IF('Calculations'!HZ57="!AMBIG","!AMBIG",IF(COUNTIF('Calculations'!$HE$13:$HE$512,"="&amp;SUBSTITUTE(SUBSTITUTE(SUBSTITUTE('Calculations'!HZ57,"~","~~"),"*","~*"),"?","~?"))&gt;1,"!AMBIG",IFERROR(INDEX('Calculations'!$HF$13:$HF$512,MATCH('Calculations'!HZ57,'Calculations'!$HE$13:$HE$512,0)),""))))</x:f>
      </x:c>
      <x:c r="IB57" t="str">
        <x:f>IF('Calculations'!IA57="","",IF('Calculations'!IA57="!AMBIG","!AMBIG",IF(COUNTIF('Calculations'!$HE$13:$HE$512,"="&amp;SUBSTITUTE(SUBSTITUTE(SUBSTITUTE('Calculations'!IA57,"~","~~"),"*","~*"),"?","~?"))&gt;1,"!AMBIG",IFERROR(INDEX('Calculations'!$HF$13:$HF$512,MATCH('Calculations'!IA57,'Calculations'!$HE$13:$HE$512,0)),""))))</x:f>
      </x:c>
      <x:c r="IC57" t="str">
        <x:f>IF('Calculations'!IB57="","",IF('Calculations'!IB57="!AMBIG","!AMBIG",IF(COUNTIF('Calculations'!$HE$13:$HE$512,"="&amp;SUBSTITUTE(SUBSTITUTE(SUBSTITUTE('Calculations'!IB57,"~","~~"),"*","~*"),"?","~?"))&gt;1,"!AMBIG",IFERROR(INDEX('Calculations'!$HF$13:$HF$512,MATCH('Calculations'!IB57,'Calculations'!$HE$13:$HE$512,0)),""))))</x:f>
      </x:c>
      <x:c r="ID57" t="str">
        <x:f>IF('Calculations'!IC57="","",IF('Calculations'!IC57="!AMBIG","!AMBIG",IF(COUNTIF('Calculations'!$HE$13:$HE$512,"="&amp;SUBSTITUTE(SUBSTITUTE(SUBSTITUTE('Calculations'!IC57,"~","~~"),"*","~*"),"?","~?"))&gt;1,"!AMBIG",IFERROR(INDEX('Calculations'!$HF$13:$HF$512,MATCH('Calculations'!IC57,'Calculations'!$HE$13:$HE$512,0)),""))))</x:f>
      </x:c>
      <x:c r="IE57" t="str">
        <x:f>IF('Calculations'!ID57="","",IF('Calculations'!ID57="!AMBIG","!AMBIG",IF(COUNTIF('Calculations'!$HE$13:$HE$512,"="&amp;SUBSTITUTE(SUBSTITUTE(SUBSTITUTE('Calculations'!ID57,"~","~~"),"*","~*"),"?","~?"))&gt;1,"!AMBIG",IFERROR(INDEX('Calculations'!$HF$13:$HF$512,MATCH('Calculations'!ID57,'Calculations'!$HE$13:$HE$512,0)),""))))</x:f>
      </x:c>
      <x:c r="IF57" t="str">
        <x:f>IF('Calculations'!IE57="","",IF('Calculations'!IE57="!AMBIG","!AMBIG",IF(COUNTIF('Calculations'!$HE$13:$HE$512,"="&amp;SUBSTITUTE(SUBSTITUTE(SUBSTITUTE('Calculations'!IE57,"~","~~"),"*","~*"),"?","~?"))&gt;1,"!AMBIG",IFERROR(INDEX('Calculations'!$HF$13:$HF$512,MATCH('Calculations'!IE57,'Calculations'!$HE$13:$HE$512,0)),""))))</x:f>
      </x:c>
      <x:c r="IG57" t="str">
        <x:f>IF('Calculations'!IF57="","",IF('Calculations'!IF57="!AMBIG","!AMBIG",IF(COUNTIF('Calculations'!$HE$13:$HE$512,"="&amp;SUBSTITUTE(SUBSTITUTE(SUBSTITUTE('Calculations'!IF57,"~","~~"),"*","~*"),"?","~?"))&gt;1,"!AMBIG",IFERROR(INDEX('Calculations'!$HF$13:$HF$512,MATCH('Calculations'!IF57,'Calculations'!$HE$13:$HE$512,0)),""))))</x:f>
      </x:c>
      <x:c r="IH57" t="str">
        <x:f>IF('Calculations'!IG57="","",IF('Calculations'!IG57="!AMBIG","!AMBIG",IF(COUNTIF('Calculations'!$HE$13:$HE$512,"="&amp;SUBSTITUTE(SUBSTITUTE(SUBSTITUTE('Calculations'!IG57,"~","~~"),"*","~*"),"?","~?"))&gt;1,"!AMBIG",IFERROR(INDEX('Calculations'!$HF$13:$HF$512,MATCH('Calculations'!IG57,'Calculations'!$HE$13:$HE$512,0)),""))))</x:f>
      </x:c>
      <x:c r="II57" t="str">
        <x:f>IF('Calculations'!IH57="","",IF('Calculations'!IH57="!AMBIG","!AMBIG",IF(COUNTIF('Calculations'!$HE$13:$HE$512,"="&amp;SUBSTITUTE(SUBSTITUTE(SUBSTITUTE('Calculations'!IH57,"~","~~"),"*","~*"),"?","~?"))&gt;1,"!AMBIG",IFERROR(INDEX('Calculations'!$HF$13:$HF$512,MATCH('Calculations'!IH57,'Calculations'!$HE$13:$HE$512,0)),""))))</x:f>
      </x:c>
      <x:c r="IJ57" t="str">
        <x:f>IF('Calculations'!EM57="","",IF('Calculations'!$EF$2="All",'Calculations'!HM57,IF('Calculations'!HL57=1,"",IFERROR(IF(MATCH('Calculations'!$EF$2,'Calculations'!HO57:II57,0)=1,'Calculations'!HE57,INDEX('Calculations'!HO57:II57,1,MATCH('Calculations'!$EF$2,'Calculations'!HO57:II57,0)-1)),""))))</x:f>
      </x:c>
      <x:c r="IK57" t="n">
        <x:f>IF(AND('Calculations'!EM57&lt;&gt;"",'Calculations'!$EF$2&lt;&gt;"All",'Calculations'!HF57='Calculations'!$EF$2,'Calculations'!HL57=0,'Calculations'!JD57&gt;0),MAX('Calculations'!$IK$12:IK56)+1,0)</x:f>
        <x:v>0</x:v>
      </x:c>
      <x:c r="JA57" t="n">
        <x:f>IF(OR(IFERROR(INDIRECT("'WCM Calibration Final'!$A$57")&lt;&gt;"",FALSE),IFERROR(INDIRECT("'WCM Calibration Final'!$B$57")&lt;&gt;"",FALSE),IFERROR(INDIRECT("'WCM Calibration Final'!$C$57")&lt;&gt;"",FALSE)),57,0)</x:f>
        <x:v>0</x:v>
      </x:c>
      <x:c r="JB57" t="n">
        <x:f>'Calculations'!JB56+IF('Calculations'!JA57&gt;0,1,0)</x:f>
        <x:v>0</x:v>
      </x:c>
      <x:c r="JC57" t="n">
        <x:f>IF(OR('Calculations'!HF57="",'Calculations'!HF57="!AMBIG"),0,IF('Dashboard'!$B$7="All",1,COUNTIFS('Calculations'!$HO$13:$HO$512,"="&amp;SUBSTITUTE(SUBSTITUTE(SUBSTITUTE('Calculations'!HF57,"~","~~"),"*","~*"),"?","~?"),'Calculations'!$HN$13:$HN$512,"="&amp;SUBSTITUTE(SUBSTITUTE(SUBSTITUTE('Dashboard'!$B$7,"~","~~"),"*","~*"),"?","~?"))+COUNTIFS('Calculations'!$HP$13:$HP$512,"="&amp;SUBSTITUTE(SUBSTITUTE(SUBSTITUTE('Calculations'!HF57,"~","~~"),"*","~*"),"?","~?"),'Calculations'!$HN$13:$HN$512,"="&amp;SUBSTITUTE(SUBSTITUTE(SUBSTITUTE('Dashboard'!$B$7,"~","~~"),"*","~*"),"?","~?"))+COUNTIFS('Calculations'!$HQ$13:$HQ$512,"="&amp;SUBSTITUTE(SUBSTITUTE(SUBSTITUTE('Calculations'!HF57,"~","~~"),"*","~*"),"?","~?"),'Calculations'!$HN$13:$HN$512,"="&amp;SUBSTITUTE(SUBSTITUTE(SUBSTITUTE('Dashboard'!$B$7,"~","~~"),"*","~*"),"?","~?"))+COUNTIFS('Calculations'!$HR$13:$HR$512,"="&amp;SUBSTITUTE(SUBSTITUTE(SUBSTITUTE('Calculations'!HF57,"~","~~"),"*","~*"),"?","~?"),'Calculations'!$HN$13:$HN$512,"="&amp;SUBSTITUTE(SUBSTITUTE(SUBSTITUTE('Dashboard'!$B$7,"~","~~"),"*","~*"),"?","~?"))+COUNTIFS('Calculations'!$HS$13:$HS$512,"="&amp;SUBSTITUTE(SUBSTITUTE(SUBSTITUTE('Calculations'!HF57,"~","~~"),"*","~*"),"?","~?"),'Calculations'!$HN$13:$HN$512,"="&amp;SUBSTITUTE(SUBSTITUTE(SUBSTITUTE('Dashboard'!$B$7,"~","~~"),"*","~*"),"?","~?"))+COUNTIFS('Calculations'!$HT$13:$HT$512,"="&amp;SUBSTITUTE(SUBSTITUTE(SUBSTITUTE('Calculations'!HF57,"~","~~"),"*","~*"),"?","~?"),'Calculations'!$HN$13:$HN$512,"="&amp;SUBSTITUTE(SUBSTITUTE(SUBSTITUTE('Dashboard'!$B$7,"~","~~"),"*","~*"),"?","~?"))+COUNTIFS('Calculations'!$HU$13:$HU$512,"="&amp;SUBSTITUTE(SUBSTITUTE(SUBSTITUTE('Calculations'!HF57,"~","~~"),"*","~*"),"?","~?"),'Calculations'!$HN$13:$HN$512,"="&amp;SUBSTITUTE(SUBSTITUTE(SUBSTITUTE('Dashboard'!$B$7,"~","~~"),"*","~*"),"?","~?"))+COUNTIFS('Calculations'!$HV$13:$HV$512,"="&amp;SUBSTITUTE(SUBSTITUTE(SUBSTITUTE('Calculations'!HF57,"~","~~"),"*","~*"),"?","~?"),'Calculations'!$HN$13:$HN$512,"="&amp;SUBSTITUTE(SUBSTITUTE(SUBSTITUTE('Dashboard'!$B$7,"~","~~"),"*","~*"),"?","~?"))+COUNTIFS('Calculations'!$HW$13:$HW$512,"="&amp;SUBSTITUTE(SUBSTITUTE(SUBSTITUTE('Calculations'!HF57,"~","~~"),"*","~*"),"?","~?"),'Calculations'!$HN$13:$HN$512,"="&amp;SUBSTITUTE(SUBSTITUTE(SUBSTITUTE('Dashboard'!$B$7,"~","~~"),"*","~*"),"?","~?"))+COUNTIFS('Calculations'!$HX$13:$HX$512,"="&amp;SUBSTITUTE(SUBSTITUTE(SUBSTITUTE('Calculations'!HF57,"~","~~"),"*","~*"),"?","~?"),'Calculations'!$HN$13:$HN$512,"="&amp;SUBSTITUTE(SUBSTITUTE(SUBSTITUTE('Dashboard'!$B$7,"~","~~"),"*","~*"),"?","~?"))+COUNTIFS('Calculations'!$HY$13:$HY$512,"="&amp;SUBSTITUTE(SUBSTITUTE(SUBSTITUTE('Calculations'!HF57,"~","~~"),"*","~*"),"?","~?"),'Calculations'!$HN$13:$HN$512,"="&amp;SUBSTITUTE(SUBSTITUTE(SUBSTITUTE('Dashboard'!$B$7,"~","~~"),"*","~*"),"?","~?"))+COUNTIFS('Calculations'!$HZ$13:$HZ$512,"="&amp;SUBSTITUTE(SUBSTITUTE(SUBSTITUTE('Calculations'!HF57,"~","~~"),"*","~*"),"?","~?"),'Calculations'!$HN$13:$HN$512,"="&amp;SUBSTITUTE(SUBSTITUTE(SUBSTITUTE('Dashboard'!$B$7,"~","~~"),"*","~*"),"?","~?"))+COUNTIFS('Calculations'!$IA$13:$IA$512,"="&amp;SUBSTITUTE(SUBSTITUTE(SUBSTITUTE('Calculations'!HF57,"~","~~"),"*","~*"),"?","~?"),'Calculations'!$HN$13:$HN$512,"="&amp;SUBSTITUTE(SUBSTITUTE(SUBSTITUTE('Dashboard'!$B$7,"~","~~"),"*","~*"),"?","~?"))+COUNTIFS('Calculations'!$IB$13:$IB$512,"="&amp;SUBSTITUTE(SUBSTITUTE(SUBSTITUTE('Calculations'!HF57,"~","~~"),"*","~*"),"?","~?"),'Calculations'!$HN$13:$HN$512,"="&amp;SUBSTITUTE(SUBSTITUTE(SUBSTITUTE('Dashboard'!$B$7,"~","~~"),"*","~*"),"?","~?"))+COUNTIFS('Calculations'!$IC$13:$IC$512,"="&amp;SUBSTITUTE(SUBSTITUTE(SUBSTITUTE('Calculations'!HF57,"~","~~"),"*","~*"),"?","~?"),'Calculations'!$HN$13:$HN$512,"="&amp;SUBSTITUTE(SUBSTITUTE(SUBSTITUTE('Dashboard'!$B$7,"~","~~"),"*","~*"),"?","~?"))+COUNTIFS('Calculations'!$ID$13:$ID$512,"="&amp;SUBSTITUTE(SUBSTITUTE(SUBSTITUTE('Calculations'!HF57,"~","~~"),"*","~*"),"?","~?"),'Calculations'!$HN$13:$HN$512,"="&amp;SUBSTITUTE(SUBSTITUTE(SUBSTITUTE('Dashboard'!$B$7,"~","~~"),"*","~*"),"?","~?"))+COUNTIFS('Calculations'!$IE$13:$IE$512,"="&amp;SUBSTITUTE(SUBSTITUTE(SUBSTITUTE('Calculations'!HF57,"~","~~"),"*","~*"),"?","~?"),'Calculations'!$HN$13:$HN$512,"="&amp;SUBSTITUTE(SUBSTITUTE(SUBSTITUTE('Dashboard'!$B$7,"~","~~"),"*","~*"),"?","~?"))+COUNTIFS('Calculations'!$IF$13:$IF$512,"="&amp;SUBSTITUTE(SUBSTITUTE(SUBSTITUTE('Calculations'!HF57,"~","~~"),"*","~*"),"?","~?"),'Calculations'!$HN$13:$HN$512,"="&amp;SUBSTITUTE(SUBSTITUTE(SUBSTITUTE('Dashboard'!$B$7,"~","~~"),"*","~*"),"?","~?"))+COUNTIFS('Calculations'!$IG$13:$IG$512,"="&amp;SUBSTITUTE(SUBSTITUTE(SUBSTITUTE('Calculations'!HF57,"~","~~"),"*","~*"),"?","~?"),'Calculations'!$HN$13:$HN$512,"="&amp;SUBSTITUTE(SUBSTITUTE(SUBSTITUTE('Dashboard'!$B$7,"~","~~"),"*","~*"),"?","~?"))+COUNTIFS('Calculations'!$IH$13:$IH$512,"="&amp;SUBSTITUTE(SUBSTITUTE(SUBSTITUTE('Calculations'!HF57,"~","~~"),"*","~*"),"?","~?"),'Calculations'!$HN$13:$HN$512,"="&amp;SUBSTITUTE(SUBSTITUTE(SUBSTITUTE('Dashboard'!$B$7,"~","~~"),"*","~*"),"?","~?"))))</x:f>
        <x:v>0</x:v>
      </x:c>
      <x:c r="JD57" t="n">
        <x:f>IF('Calculations'!EM57="",0,IF('Dashboard'!$B$7="All",1,IF('Calculations'!HN57='Dashboard'!$B$7,1,0)+IFERROR(INDEX('Calculations'!$JC$13:$JC$512,MATCH('Calculations'!HE57,'Calculations'!$HF$13:$HF$512,0)),0)))</x:f>
        <x:v>0</x:v>
      </x:c>
      <x:c r="JE57" t="n">
        <x:f>IF(AND('Calculations'!EM57&lt;&gt;"",'Calculations'!$JJ$2&lt;&gt;"All",'Calculations'!$JJ$2&lt;&gt;"",'Calculations'!HF57='Calculations'!$JJ$2,'Calculations'!HL57=0,'Calculations'!JD57&gt;0),MAX('Calculations'!$JE$12:JE56)+1,0)</x:f>
        <x:v>0</x:v>
      </x:c>
      <x:c r="JF57" t="str">
        <x:f>IF('Calculations'!EM57="","",IFERROR(IF(INDEX(INDIRECT("'WCM Calibration Final'!$G$1:$G$2000"),'Calculations'!$EM57)="","",TRIM(INDEX(INDIRECT("'WCM Calibration Final'!$G$1:$G$2000"),'Calculations'!$EM57)&amp;"")),""))</x:f>
      </x:c>
      <x:c r="JQ57" t="n">
        <x:f>IF(OR('Calculations'!BM57=0,NOT('Calculations'!$AG$2),'Calculations'!$AG$8&gt;0),0,IF(OR('Dashboard'!$B$7="All",'Calculations'!HN57='Dashboard'!$B$7),IF('Calculations'!$JJ$2="All",1,IF(AND('Calculations'!HF57='Calculations'!$JJ$2,'Calculations'!HL57=0),1,0)),0))</x:f>
        <x:v>0</x:v>
      </x:c>
    </x:row>
    <x:row r="58">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t="n">
        <x:f>IF('Calculations'!$EM58="",0,IF(OR(IFERROR(INDEX(INDIRECT("'WCM Calibration Final'!$A$1:$A$2000"),'Calculations'!$EM58)&lt;&gt;"",FALSE),IFERROR(INDEX(INDIRECT("'WCM Calibration Final'!$B$1:$B$2000"),'Calculations'!$EM58)&lt;&gt;"",FALSE),IFERROR(INDEX(INDIRECT("'WCM Calibration Final'!$C$1:$C$2000"),'Calculations'!$EM58)&lt;&gt;"",FALSE)),1,0))</x:f>
        <x:v>0</x:v>
      </x:c>
      <x:c r="BN58" s="4" t="n">
        <x:f>IF(AND('Calculations'!BM58=1,'Calculations'!$AG$2,'Calculations'!$EN58=1),1,0)</x:f>
        <x:v>0</x:v>
      </x:c>
      <x:c r="BO58" s="4" t="str">
        <x:f>IF('Calculations'!BM58=0,"",IFERROR(IF(AND(VALUE(INDEX(INDIRECT("'WCM Calibration Final'!$K$1:$K$2000"),'Calculations'!$EM58))&gt;=1,VALUE(INDEX(INDIRECT("'WCM Calibration Final'!$K$1:$K$2000"),'Calculations'!$EM58))&lt;=4,MOD(VALUE(INDEX(INDIRECT("'WCM Calibration Final'!$K$1:$K$2000"),'Calculations'!$EM58)),1)=0),VALUE(INDEX(INDIRECT("'WCM Calibration Final'!$K$1:$K$2000"),'Calculations'!$EM58)),""),""))</x:f>
      </x:c>
      <x:c r="BP58" s="4" t="str">
        <x:f>IF('Calculations'!BM58=0,"",IFERROR(IF(AND(VALUE(INDEX(INDIRECT("'WCM Calibration Final'!$L$1:$L$2000"),'Calculations'!$EM58))&gt;=1,VALUE(INDEX(INDIRECT("'WCM Calibration Final'!$L$1:$L$2000"),'Calculations'!$EM58))&lt;=4,MOD(VALUE(INDEX(INDIRECT("'WCM Calibration Final'!$L$1:$L$2000"),'Calculations'!$EM58)),1)=0),VALUE(INDEX(INDIRECT("'WCM Calibration Final'!$L$1:$L$2000"),'Calculations'!$EM58)),""),""))</x:f>
      </x:c>
      <x:c r="BQ58" s="4"/>
      <x:c r="BR58" s="4"/>
      <x:c r="BS58" s="4"/>
      <x:c r="BT58" s="4" t="n">
        <x:f>IF(AND('Calculations'!BM58=1,ISNUMBER('Calculations'!BO58),ISNUMBER('Calculations'!BP58)),1,0)</x:f>
        <x:v>0</x:v>
      </x:c>
      <x:c r="BU58" s="4" t="str">
        <x:f>IF('Calculations'!BM58=0,"",'Calculations'!$EO58)</x:f>
      </x:c>
      <x:c r="BV58" s="4" t="str">
        <x:f>IF('Calculations'!BM58=0,"",IFERROR(IF(OR(INDEX(INDIRECT("'WCM Calibration Final'!$H$1:$H$2000"),'Calculations'!$EM58)="MANAGING DIRECTOR",INDEX(INDIRECT("'WCM Calibration Final'!$H$1:$H$2000"),'Calculations'!$EM58)="DIRECTOR",INDEX(INDIRECT("'WCM Calibration Final'!$H$1:$H$2000"),'Calculations'!$EM58)="SENIOR VICE PRESIDENT",INDEX(INDIRECT("'WCM Calibration Final'!$H$1:$H$2000"),'Calculations'!$EM58)="VICE PRESIDENT",INDEX(INDIRECT("'WCM Calibration Final'!$H$1:$H$2000"),'Calculations'!$EM58)="ASSISTANT VICE PRESIDENT",INDEX(INDIRECT("'WCM Calibration Final'!$H$1:$H$2000"),'Calculations'!$EM58)="OFFICER"),UPPER(INDEX(INDIRECT("'WCM Calibration Final'!$H$1:$H$2000"),'Calculations'!$EM58)),"Other"),"Other"))</x:f>
      </x:c>
      <x:c r="BW58" s="4"/>
      <x:c r="BX58" s="4"/>
      <x:c r="BY58" s="4" t="n">
        <x:f>IF(AND('Calculations'!BM58=1,'Calculations'!BU58&lt;&gt;"",COUNTIF('Calculations'!$BU$12:BU58,'Calculations'!BU58)=1),MAX('Calculations'!$BY$11:BY57)+1,0)</x:f>
        <x:v>0</x:v>
      </x:c>
      <x:c r="BZ58" s="4" t="str">
        <x:f>IF('Dashboard'!$E$67="What",'Calculations'!BO58,'Calculations'!BP58)</x:f>
      </x:c>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t="str">
        <x:f>IF(47&gt;MAX('Calculations'!$HI$13:$HI$512),"",INDEX('Calculations'!$HN$13:$HN$512,MATCH(47,'Calculations'!$HI$13:$HI$512,0)))</x:f>
      </x:c>
      <x:c r="DB58" s="4" t="str">
        <x:f>IF(47&gt;MAX('Calculations'!$HH$13:$HH$512),"",INDEX('Calculations'!$HJ$13:$HJ$512,MATCH(47,'Calculations'!$HH$13:$HH$512,0)))</x:f>
      </x:c>
      <x:c r="DC58" s="4" t="str">
        <x:f>IF(ROW()-11&gt;MAX('Calculations'!$BY$13:$BY$512),"",INDEX('Calculations'!$BU$13:$BU$512,MATCH(ROW()-11,'Calculations'!$BY$13:$BY$512,0)))</x:f>
      </x:c>
      <x:c r="DD58" s="4" t="str">
        <x:f>IF(47&gt;MAX('Calculations'!$IK$13:$IK$512),"",INDEX('Calculations'!$HK$13:$HK$512,MATCH(47,'Calculations'!$IK$13:$IK$512,0)))</x:f>
      </x:c>
      <x:c r="DE58" s="4" t="str">
        <x:f>'Calculations'!DC58</x:f>
      </x:c>
      <x:c r="DF58" s="4" t="str">
        <x:f>IF('Calculations'!DE58="","",COUNTIFS('Calculations'!$BN$13:$BN$512,1,'Calculations'!$BU$13:$BU$512,'Calculations'!DE58))</x:f>
      </x:c>
      <x:c r="DG58" s="4" t="str">
        <x:f>IF('Calculations'!DE58="","",COUNTIFS('Calculations'!$BN$13:$BN$512,1,'Calculations'!$BU$13:$BU$512,'Calculations'!DE58,'Calculations'!$BT$13:$BT$512,1))</x:f>
      </x:c>
      <x:c r="DH58" s="4" t="str">
        <x:f>IF('Calculations'!DE58="","",'Calculations'!DF58-'Calculations'!DG58)</x:f>
      </x:c>
      <x:c r="DI58" s="4" t="str">
        <x:f>IF(OR('Calculations'!DE58="",'Calculations'!DF58=0),"",'Calculations'!DG58/'Calculations'!DF58)</x:f>
      </x:c>
      <x:c r="DJ58" s="4" t="str">
        <x:f>IF('Calculations'!DE58="","",COUNTIFS('Calculations'!$BN$13:$BN$512,1,'Calculations'!$BU$13:$BU$512,'Calculations'!DE58,'Calculations'!$BT$13:$BT$512,1,'Calculations'!$EE$13:$EE$512,"High"))</x:f>
      </x:c>
      <x:c r="DK58" s="4" t="str">
        <x:f>IF('Calculations'!DE58="","",COUNTIFS('Calculations'!$BN$13:$BN$512,1,'Calculations'!$BU$13:$BU$512,'Calculations'!DE58,'Calculations'!$BT$13:$BT$512,1,'Calculations'!$EE$13:$EE$512,"Strong"))</x:f>
      </x:c>
      <x:c r="DL58" s="4" t="str">
        <x:f>IF('Calculations'!DE58="","",COUNTIFS('Calculations'!$BN$13:$BN$512,1,'Calculations'!$BU$13:$BU$512,'Calculations'!DE58,'Calculations'!$BT$13:$BT$512,1,'Calculations'!$EE$13:$EE$512,"Solid"))</x:f>
      </x:c>
      <x:c r="DM58" s="4" t="str">
        <x:f>IF('Calculations'!DE58="","",COUNTIFS('Calculations'!$BN$13:$BN$512,1,'Calculations'!$BU$13:$BU$512,'Calculations'!DE58,'Calculations'!$BT$13:$BT$512,1,'Calculations'!$EE$13:$EE$512,"Low"))</x:f>
      </x:c>
      <x:c r="DN58" s="4" t="str">
        <x:f>IF('Calculations'!DE58="","",COUNTIFS('Calculations'!$BN$13:$BN$512,1,'Calculations'!$BU$13:$BU$512,'Calculations'!DE58,'Calculations'!$EP$13:$EP$512,1))</x:f>
      </x:c>
      <x:c r="DO58" s="4" t="str">
        <x:f>IF(OR('Calculations'!DE58="",'Calculations'!DG58=0),"",('Calculations'!DJ58+'Calculations'!DK58)/'Calculations'!DG58)</x:f>
      </x:c>
      <x:c r="DP58" s="4" t="n">
        <x:f>IF(AND('Calculations'!DE58&lt;&gt;"",'Calculations'!DF58&gt;0),COUNTIF('Calculations'!$DF$12:DF58,"&gt;0"),0)</x:f>
        <x:v>0</x:v>
      </x:c>
      <x:c r="DQ58" s="4" t="str">
        <x:f>IF(47&gt;MAX('Calculations'!$HH$13:$HH$512),"",INDEX('Calculations'!$HF$13:$HF$512,MATCH(47,'Calculations'!$HH$13:$HH$512,0)))</x:f>
      </x:c>
      <x:c r="DR58" s="4" t="str">
        <x:f>IF(47&gt;MAX('Calculations'!$IK$13:$IK$512),"",INDEX('Calculations'!$HE$13:$HE$512,MATCH(47,'Calculations'!$IK$13:$IK$512,0)))</x:f>
      </x:c>
      <x:c r="DS58" s="4"/>
      <x:c r="DT58" s="4"/>
      <x:c r="DU58" s="4"/>
      <x:c r="DV58" s="4"/>
      <x:c r="DW58" s="4"/>
      <x:c r="DX58" s="4"/>
      <x:c r="DY58" s="4" t="str">
        <x:f>IFERROR(TEXT('Calculations'!AI72,"0.0%"),"—")</x:f>
        <x:v>30.0%</x:v>
      </x:c>
      <x:c r="DZ58" s="4"/>
      <x:c r="EA58" s="4"/>
      <x:c r="EB58" s="4"/>
      <x:c r="EC58" s="4"/>
      <x:c r="ED58" s="4"/>
      <x:c r="EE58" s="4" t="str">
        <x:f>IF('Calculations'!BT58=0,"Not Rated",IF(OR('Calculations'!BO58&gt;=4,'Calculations'!BP58&gt;=4),"Low",IF('Calculations'!BO58+'Calculations'!BP58&lt;=3,"High",IF('Calculations'!BO58+'Calculations'!BP58&lt;=4,"Strong","Solid"))))</x:f>
        <x:v>Not Rated</x:v>
      </x:c>
      <x:c r="EF58" s="4"/>
      <x:c r="EG58" s="4"/>
      <x:c r="EH58" s="4"/>
      <x:c r="EI58" s="4"/>
      <x:c r="EJ58" s="4"/>
      <x:c r="EK58" s="4"/>
      <x:c r="EL58" s="4"/>
      <x:c r="EM58" s="4" t="str">
        <x:f>IF(46&gt;'Calculations'!$JB$2000,"",INDEX('Calculations'!$JA$12:$JA$2000,MATCH(46,'Calculations'!$JB$12:$JB$2000,0)))</x:f>
      </x:c>
      <x:c r="EN58" s="4" t="n">
        <x:f>IF(OR('Calculations'!EM58="",'Calculations'!$AG$8&gt;0,AND('Calculations'!$EF$2&lt;&gt;"All",'Calculations'!HE58='Calculations'!$EF$2),AND('Calculations'!$EF$3&lt;&gt;"All",'Calculations'!HE58='Calculations'!$EF$3)),0,IF(OR('Dashboard'!$B$7="All",'Calculations'!HN58='Dashboard'!$B$7),IF('Calculations'!$EF$2="All",1,IF('Calculations'!HL58&gt;0,0,IF(COUNTIF('Calculations'!HO58:II58,"="&amp;SUBSTITUTE(SUBSTITUTE(SUBSTITUTE('Calculations'!$EF$2,"~","~~"),"*","~*"),"?","~?"))=0,0,IF('Calculations'!$EF$3="All",1,IF(COUNTIF('Calculations'!HO58:II58,"="&amp;SUBSTITUTE(SUBSTITUTE(SUBSTITUTE('Calculations'!$EF$3,"~","~~"),"*","~*"),"?","~?"))&gt;0,1,0))))),0))</x:f>
        <x:v>0</x:v>
      </x:c>
      <x:c r="EO58" s="4" t="str">
        <x:f>IF('Calculations'!IJ58="","",IF('Calculations'!IJ58="!UNRESOLVED","Unresolved hierarchy",IFERROR(INDEX('Calculations'!$HK$13:$HK$512,MATCH('Calculations'!IJ58,'Calculations'!$HE$13:$HE$512,0)),IFERROR(INDEX('Calculations'!$HJ$13:$HJ$512,MATCH('Calculations'!IJ58,'Calculations'!$HF$13:$HF$512,0)),'Calculations'!IJ58))))</x:f>
      </x:c>
      <x:c r="EP58" s="4" t="n">
        <x:f>IF(AND('Calculations'!EM58&lt;&gt;"",'Calculations'!HF58='Calculations'!IJ58),1,0)</x:f>
        <x:v>0</x:v>
      </x:c>
      <x:c r="EQ58" s="4"/>
      <x:c r="ER58" s="4"/>
      <x:c r="ES58" s="4"/>
      <x:c r="ET58" s="4"/>
      <x:c r="EU58" s="4"/>
      <x:c r="EV58" s="4"/>
      <x:c r="EW58" s="4"/>
      <x:c r="EX58" s="4"/>
      <x:c r="EY58" s="4"/>
      <x:c r="EZ58" s="4"/>
      <x:c r="FA58" s="4"/>
      <x:c r="FB58" s="4"/>
      <x:c r="FC58" s="4"/>
      <x:c r="FD58" s="4"/>
      <x:c r="FE58" s="4"/>
      <x:c r="FF58" s="4"/>
      <x:c r="FG58" s="4"/>
      <x:c r="FH58" s="4"/>
      <x:c r="FI58" s="4"/>
      <x:c r="FJ58" s="4"/>
      <x:c r="FK58" s="4"/>
      <x:c r="FL58" s="4"/>
      <x:c r="FM58" s="4"/>
      <x:c r="FN58" s="4"/>
      <x:c r="FO58" s="4"/>
      <x:c r="GA58" s="71"/>
      <x:c r="GB58" s="71"/>
      <x:c r="GC58" s="71"/>
      <x:c r="GD58" s="71"/>
      <x:c r="GE58" s="71"/>
      <x:c r="GF58" s="71"/>
      <x:c r="GG58" s="71"/>
      <x:c r="GH58" s="71"/>
      <x:c r="GI58" s="71"/>
      <x:c r="GJ58" s="71"/>
      <x:c r="GK58" s="71"/>
      <x:c r="GL58" s="71"/>
      <x:c r="GM58" s="71"/>
      <x:c r="GN58" s="71"/>
      <x:c r="GO58" s="71"/>
      <x:c r="GP58" s="71"/>
      <x:c r="GQ58" s="71"/>
      <x:c r="GR58" s="71"/>
      <x:c r="GS58" s="71"/>
      <x:c r="GT58" s="71"/>
      <x:c r="GU58" s="71"/>
      <x:c r="GV58" s="71"/>
      <x:c r="GW58" s="71"/>
      <x:c r="GX58" s="71"/>
      <x:c r="GY58" s="71"/>
      <x:c r="GZ58" s="71"/>
      <x:c r="HA58" s="71"/>
      <x:c r="HB58" s="71"/>
      <x:c r="HC58" s="71"/>
      <x:c r="HD58" s="71"/>
      <x:c r="HE58" t="str">
        <x:f>IF('Calculations'!EM58="","",IF(IFERROR(IF(INDEX(INDIRECT("'WCM Calibration Final'!$A$1:$A$2000"),'Calculations'!$EM58)="","",TRIM(INDEX(INDIRECT("'WCM Calibration Final'!$A$1:$A$2000"),'Calculations'!$EM58)&amp;"")),"")&lt;&gt;"","G:"&amp;IFERROR(TEXT(1*INDEX(INDIRECT("'WCM Calibration Final'!$A$1:$A$2000"),'Calculations'!$EM58),"0"),UPPER(IFERROR(IF(INDEX(INDIRECT("'WCM Calibration Final'!$A$1:$A$2000"),'Calculations'!$EM58)="","",TRIM(INDEX(INDIRECT("'WCM Calibration Final'!$A$1:$A$2000"),'Calculations'!$EM58)&amp;"")),""))),IF(IFERROR(IF(INDEX(INDIRECT("'WCM Calibration Final'!$C$1:$C$2000"),'Calculations'!$EM58)="","",TRIM(INDEX(INDIRECT("'WCM Calibration Final'!$C$1:$C$2000"),'Calculations'!$EM58)&amp;"")),"")&lt;&gt;"","S:"&amp;UPPER(IFERROR(IF(INDEX(INDIRECT("'WCM Calibration Final'!$C$1:$C$2000"),'Calculations'!$EM58)="","",TRIM(INDEX(INDIRECT("'WCM Calibration Final'!$C$1:$C$2000"),'Calculations'!$EM58)&amp;"")),"")),"R:"&amp;'Calculations'!EM58)))</x:f>
      </x:c>
      <x:c r="HF58" t="str">
        <x:f>IF('Calculations'!EM58="","",IF(IFERROR(IF(INDEX(INDIRECT("'WCM Calibration Final'!$D$1:$D$2000"),'Calculations'!$EM58)="","",TRIM(INDEX(INDIRECT("'WCM Calibration Final'!$D$1:$D$2000"),'Calculations'!$EM58)&amp;"")),"")&lt;&gt;"","G:"&amp;IFERROR(TEXT(1*INDEX(INDIRECT("'WCM Calibration Final'!$D$1:$D$2000"),'Calculations'!$EM58),"0"),UPPER(IFERROR(IF(INDEX(INDIRECT("'WCM Calibration Final'!$D$1:$D$2000"),'Calculations'!$EM58)="","",TRIM(INDEX(INDIRECT("'WCM Calibration Final'!$D$1:$D$2000"),'Calculations'!$EM58)&amp;"")),""))),IF(IFERROR(IF(INDEX(INDIRECT("'WCM Calibration Final'!$E$1:$E$2000"),'Calculations'!$EM58)="","",TRIM(INDEX(INDIRECT("'WCM Calibration Final'!$E$1:$E$2000"),'Calculations'!$EM58)&amp;"")),"")="","",IF(COUNTIF('Calculations'!$HG$13:$HG$512,"="&amp;SUBSTITUTE(SUBSTITUTE(SUBSTITUTE(IFERROR(IF(INDEX(INDIRECT("'WCM Calibration Final'!$E$1:$E$2000"),'Calculations'!$EM58)="","",TRIM(INDEX(INDIRECT("'WCM Calibration Final'!$E$1:$E$2000"),'Calculations'!$EM58)&amp;"")),""),"~","~~"),"*","~*"),"?","~?"))=1,INDEX('Calculations'!$HE$13:$HE$512,MATCH(IFERROR(IF(INDEX(INDIRECT("'WCM Calibration Final'!$E$1:$E$2000"),'Calculations'!$EM58)="","",TRIM(INDEX(INDIRECT("'WCM Calibration Final'!$E$1:$E$2000"),'Calculations'!$EM58)&amp;"")),""),'Calculations'!$HG$13:$HG$512,0)),IF(COUNTIF('Calculations'!$HG$13:$HG$512,"="&amp;SUBSTITUTE(SUBSTITUTE(SUBSTITUTE(IFERROR(IF(INDEX(INDIRECT("'WCM Calibration Final'!$E$1:$E$2000"),'Calculations'!$EM58)="","",TRIM(INDEX(INDIRECT("'WCM Calibration Final'!$E$1:$E$2000"),'Calculations'!$EM58)&amp;"")),""),"~","~~"),"*","~*"),"?","~?"))&gt;1,"!AMBIG","X:"&amp;IFERROR(IF(INDEX(INDIRECT("'WCM Calibration Final'!$E$1:$E$2000"),'Calculations'!$EM58)="","",TRIM(INDEX(INDIRECT("'WCM Calibration Final'!$E$1:$E$2000"),'Calculations'!$EM58)&amp;"")),""))))))</x:f>
      </x:c>
      <x:c r="HG58" t="str">
        <x:f>IF('Calculations'!EM58="","",IFERROR(IF(INDEX(INDIRECT("'WCM Calibration Final'!$B$1:$B$2000"),'Calculations'!$EM58)="","",TRIM(INDEX(INDIRECT("'WCM Calibration Final'!$B$1:$B$2000"),'Calculations'!$EM58)&amp;"")),""))</x:f>
      </x:c>
      <x:c r="HH58" t="n">
        <x:f>IF(AND('Calculations'!JC58&gt;0,COUNTIF('Calculations'!$HF$12:HF58,"="&amp;SUBSTITUTE(SUBSTITUTE(SUBSTITUTE('Calculations'!HF58,"~","~~"),"*","~*"),"?","~?"))=1),MAX('Calculations'!$HH$12:HH57)+1,0)</x:f>
        <x:v>0</x:v>
      </x:c>
      <x:c r="HI58" t="n">
        <x:f>IF(AND('Calculations'!HN58&lt;&gt;"",COUNTIF('Calculations'!$HN$12:HN58,"="&amp;SUBSTITUTE(SUBSTITUTE(SUBSTITUTE('Calculations'!HN58,"~","~~"),"*","~*"),"?","~?"))=1),MAX('Calculations'!$HI$12:HI57)+1,0)</x:f>
        <x:v>0</x:v>
      </x:c>
      <x:c r="HJ58" t="str">
        <x:f>IF('Calculations'!HF58="","",IF(COUNTIF('Calculations'!$HE$13:$HE$512,"="&amp;SUBSTITUTE(SUBSTITUTE(SUBSTITUTE('Calculations'!HF58,"~","~~"),"*","~*"),"?","~?"))=1,INDEX('Calculations'!$HK$13:$HK$512,MATCH('Calculations'!HF58,'Calculations'!$HE$13:$HE$512,0)),IFERROR(IF(INDEX(INDIRECT("'WCM Calibration Final'!$E$1:$E$2000"),'Calculations'!$EM58)="","",TRIM(INDEX(INDIRECT("'WCM Calibration Final'!$E$1:$E$2000"),'Calculations'!$EM58)&amp;"")),"")&amp;" ["&amp;'Calculations'!HF58&amp;"]"))</x:f>
      </x:c>
      <x:c r="HK58" t="str">
        <x:f>IF('Calculations'!EM58="","",'Calculations'!HG58&amp;" ["&amp;'Calculations'!HE58&amp;"]")</x:f>
      </x:c>
      <x:c r="HL58" t="n">
        <x:f>IF('Calculations'!EM58="",0,IF(OR('Calculations'!II58&lt;&gt;"",COUNTIF('Calculations'!$HE$13:$HE$512,"="&amp;SUBSTITUTE(SUBSTITUTE(SUBSTITUTE('Calculations'!HE58,"~","~~"),"*","~*"),"?","~?"))&gt;1),1,0))</x:f>
        <x:v>0</x:v>
      </x:c>
      <x:c r="HM58" t="str">
        <x:f>IF('Calculations'!EM58="","",IF('Calculations'!HL58=1,"!UNRESOLVED",IF('Calculations'!IH58&lt;&gt;"",'Calculations'!IH58,IF('Calculations'!IG58&lt;&gt;"",'Calculations'!IG58,IF('Calculations'!IF58&lt;&gt;"",'Calculations'!IF58,IF('Calculations'!IE58&lt;&gt;"",'Calculations'!IE58,IF('Calculations'!ID58&lt;&gt;"",'Calculations'!ID58,IF('Calculations'!IC58&lt;&gt;"",'Calculations'!IC58,IF('Calculations'!IB58&lt;&gt;"",'Calculations'!IB58,IF('Calculations'!IA58&lt;&gt;"",'Calculations'!IA58,IF('Calculations'!HZ58&lt;&gt;"",'Calculations'!HZ58,IF('Calculations'!HY58&lt;&gt;"",'Calculations'!HY58,IF('Calculations'!HX58&lt;&gt;"",'Calculations'!HX58,IF('Calculations'!HW58&lt;&gt;"",'Calculations'!HW58,IF('Calculations'!HV58&lt;&gt;"",'Calculations'!HV58,IF('Calculations'!HU58&lt;&gt;"",'Calculations'!HU58,IF('Calculations'!HT58&lt;&gt;"",'Calculations'!HT58,IF('Calculations'!HS58&lt;&gt;"",'Calculations'!HS58,IF('Calculations'!HR58&lt;&gt;"",'Calculations'!HR58,IF('Calculations'!HQ58&lt;&gt;"",'Calculations'!HQ58,IF('Calculations'!HP58&lt;&gt;"",'Calculations'!HP58,IF('Calculations'!HO58&lt;&gt;"",'Calculations'!HO58,'Calculations'!HE58))))))))))))))))))))))</x:f>
      </x:c>
      <x:c r="HN58" t="str">
        <x:f>IF('Calculations'!EM58="","",IF(IFERROR(IF(INDEX(INDIRECT("'WCM Calibration Final'!$F$1:$F$2000"),'Calculations'!$EM58)="","",TRIM(INDEX(INDIRECT("'WCM Calibration Final'!$F$1:$F$2000"),'Calculations'!$EM58)&amp;"")),"")="","(Blank)",IFERROR(IF(INDEX(INDIRECT("'WCM Calibration Final'!$F$1:$F$2000"),'Calculations'!$EM58)="","",TRIM(INDEX(INDIRECT("'WCM Calibration Final'!$F$1:$F$2000"),'Calculations'!$EM58)&amp;"")),"")))</x:f>
      </x:c>
      <x:c r="HO58" t="str">
        <x:f>'Calculations'!HF58</x:f>
      </x:c>
      <x:c r="HP58" t="str">
        <x:f>IF('Calculations'!HO58="","",IF('Calculations'!HO58="!AMBIG","!AMBIG",IF(COUNTIF('Calculations'!$HE$13:$HE$512,"="&amp;SUBSTITUTE(SUBSTITUTE(SUBSTITUTE('Calculations'!HO58,"~","~~"),"*","~*"),"?","~?"))&gt;1,"!AMBIG",IFERROR(INDEX('Calculations'!$HF$13:$HF$512,MATCH('Calculations'!HO58,'Calculations'!$HE$13:$HE$512,0)),""))))</x:f>
      </x:c>
      <x:c r="HQ58" t="str">
        <x:f>IF('Calculations'!HP58="","",IF('Calculations'!HP58="!AMBIG","!AMBIG",IF(COUNTIF('Calculations'!$HE$13:$HE$512,"="&amp;SUBSTITUTE(SUBSTITUTE(SUBSTITUTE('Calculations'!HP58,"~","~~"),"*","~*"),"?","~?"))&gt;1,"!AMBIG",IFERROR(INDEX('Calculations'!$HF$13:$HF$512,MATCH('Calculations'!HP58,'Calculations'!$HE$13:$HE$512,0)),""))))</x:f>
      </x:c>
      <x:c r="HR58" t="str">
        <x:f>IF('Calculations'!HQ58="","",IF('Calculations'!HQ58="!AMBIG","!AMBIG",IF(COUNTIF('Calculations'!$HE$13:$HE$512,"="&amp;SUBSTITUTE(SUBSTITUTE(SUBSTITUTE('Calculations'!HQ58,"~","~~"),"*","~*"),"?","~?"))&gt;1,"!AMBIG",IFERROR(INDEX('Calculations'!$HF$13:$HF$512,MATCH('Calculations'!HQ58,'Calculations'!$HE$13:$HE$512,0)),""))))</x:f>
      </x:c>
      <x:c r="HS58" t="str">
        <x:f>IF('Calculations'!HR58="","",IF('Calculations'!HR58="!AMBIG","!AMBIG",IF(COUNTIF('Calculations'!$HE$13:$HE$512,"="&amp;SUBSTITUTE(SUBSTITUTE(SUBSTITUTE('Calculations'!HR58,"~","~~"),"*","~*"),"?","~?"))&gt;1,"!AMBIG",IFERROR(INDEX('Calculations'!$HF$13:$HF$512,MATCH('Calculations'!HR58,'Calculations'!$HE$13:$HE$512,0)),""))))</x:f>
      </x:c>
      <x:c r="HT58" t="str">
        <x:f>IF('Calculations'!HS58="","",IF('Calculations'!HS58="!AMBIG","!AMBIG",IF(COUNTIF('Calculations'!$HE$13:$HE$512,"="&amp;SUBSTITUTE(SUBSTITUTE(SUBSTITUTE('Calculations'!HS58,"~","~~"),"*","~*"),"?","~?"))&gt;1,"!AMBIG",IFERROR(INDEX('Calculations'!$HF$13:$HF$512,MATCH('Calculations'!HS58,'Calculations'!$HE$13:$HE$512,0)),""))))</x:f>
      </x:c>
      <x:c r="HU58" t="str">
        <x:f>IF('Calculations'!HT58="","",IF('Calculations'!HT58="!AMBIG","!AMBIG",IF(COUNTIF('Calculations'!$HE$13:$HE$512,"="&amp;SUBSTITUTE(SUBSTITUTE(SUBSTITUTE('Calculations'!HT58,"~","~~"),"*","~*"),"?","~?"))&gt;1,"!AMBIG",IFERROR(INDEX('Calculations'!$HF$13:$HF$512,MATCH('Calculations'!HT58,'Calculations'!$HE$13:$HE$512,0)),""))))</x:f>
      </x:c>
      <x:c r="HV58" t="str">
        <x:f>IF('Calculations'!HU58="","",IF('Calculations'!HU58="!AMBIG","!AMBIG",IF(COUNTIF('Calculations'!$HE$13:$HE$512,"="&amp;SUBSTITUTE(SUBSTITUTE(SUBSTITUTE('Calculations'!HU58,"~","~~"),"*","~*"),"?","~?"))&gt;1,"!AMBIG",IFERROR(INDEX('Calculations'!$HF$13:$HF$512,MATCH('Calculations'!HU58,'Calculations'!$HE$13:$HE$512,0)),""))))</x:f>
      </x:c>
      <x:c r="HW58" t="str">
        <x:f>IF('Calculations'!HV58="","",IF('Calculations'!HV58="!AMBIG","!AMBIG",IF(COUNTIF('Calculations'!$HE$13:$HE$512,"="&amp;SUBSTITUTE(SUBSTITUTE(SUBSTITUTE('Calculations'!HV58,"~","~~"),"*","~*"),"?","~?"))&gt;1,"!AMBIG",IFERROR(INDEX('Calculations'!$HF$13:$HF$512,MATCH('Calculations'!HV58,'Calculations'!$HE$13:$HE$512,0)),""))))</x:f>
      </x:c>
      <x:c r="HX58" t="str">
        <x:f>IF('Calculations'!HW58="","",IF('Calculations'!HW58="!AMBIG","!AMBIG",IF(COUNTIF('Calculations'!$HE$13:$HE$512,"="&amp;SUBSTITUTE(SUBSTITUTE(SUBSTITUTE('Calculations'!HW58,"~","~~"),"*","~*"),"?","~?"))&gt;1,"!AMBIG",IFERROR(INDEX('Calculations'!$HF$13:$HF$512,MATCH('Calculations'!HW58,'Calculations'!$HE$13:$HE$512,0)),""))))</x:f>
      </x:c>
      <x:c r="HY58" t="str">
        <x:f>IF('Calculations'!HX58="","",IF('Calculations'!HX58="!AMBIG","!AMBIG",IF(COUNTIF('Calculations'!$HE$13:$HE$512,"="&amp;SUBSTITUTE(SUBSTITUTE(SUBSTITUTE('Calculations'!HX58,"~","~~"),"*","~*"),"?","~?"))&gt;1,"!AMBIG",IFERROR(INDEX('Calculations'!$HF$13:$HF$512,MATCH('Calculations'!HX58,'Calculations'!$HE$13:$HE$512,0)),""))))</x:f>
      </x:c>
      <x:c r="HZ58" t="str">
        <x:f>IF('Calculations'!HY58="","",IF('Calculations'!HY58="!AMBIG","!AMBIG",IF(COUNTIF('Calculations'!$HE$13:$HE$512,"="&amp;SUBSTITUTE(SUBSTITUTE(SUBSTITUTE('Calculations'!HY58,"~","~~"),"*","~*"),"?","~?"))&gt;1,"!AMBIG",IFERROR(INDEX('Calculations'!$HF$13:$HF$512,MATCH('Calculations'!HY58,'Calculations'!$HE$13:$HE$512,0)),""))))</x:f>
      </x:c>
      <x:c r="IA58" t="str">
        <x:f>IF('Calculations'!HZ58="","",IF('Calculations'!HZ58="!AMBIG","!AMBIG",IF(COUNTIF('Calculations'!$HE$13:$HE$512,"="&amp;SUBSTITUTE(SUBSTITUTE(SUBSTITUTE('Calculations'!HZ58,"~","~~"),"*","~*"),"?","~?"))&gt;1,"!AMBIG",IFERROR(INDEX('Calculations'!$HF$13:$HF$512,MATCH('Calculations'!HZ58,'Calculations'!$HE$13:$HE$512,0)),""))))</x:f>
      </x:c>
      <x:c r="IB58" t="str">
        <x:f>IF('Calculations'!IA58="","",IF('Calculations'!IA58="!AMBIG","!AMBIG",IF(COUNTIF('Calculations'!$HE$13:$HE$512,"="&amp;SUBSTITUTE(SUBSTITUTE(SUBSTITUTE('Calculations'!IA58,"~","~~"),"*","~*"),"?","~?"))&gt;1,"!AMBIG",IFERROR(INDEX('Calculations'!$HF$13:$HF$512,MATCH('Calculations'!IA58,'Calculations'!$HE$13:$HE$512,0)),""))))</x:f>
      </x:c>
      <x:c r="IC58" t="str">
        <x:f>IF('Calculations'!IB58="","",IF('Calculations'!IB58="!AMBIG","!AMBIG",IF(COUNTIF('Calculations'!$HE$13:$HE$512,"="&amp;SUBSTITUTE(SUBSTITUTE(SUBSTITUTE('Calculations'!IB58,"~","~~"),"*","~*"),"?","~?"))&gt;1,"!AMBIG",IFERROR(INDEX('Calculations'!$HF$13:$HF$512,MATCH('Calculations'!IB58,'Calculations'!$HE$13:$HE$512,0)),""))))</x:f>
      </x:c>
      <x:c r="ID58" t="str">
        <x:f>IF('Calculations'!IC58="","",IF('Calculations'!IC58="!AMBIG","!AMBIG",IF(COUNTIF('Calculations'!$HE$13:$HE$512,"="&amp;SUBSTITUTE(SUBSTITUTE(SUBSTITUTE('Calculations'!IC58,"~","~~"),"*","~*"),"?","~?"))&gt;1,"!AMBIG",IFERROR(INDEX('Calculations'!$HF$13:$HF$512,MATCH('Calculations'!IC58,'Calculations'!$HE$13:$HE$512,0)),""))))</x:f>
      </x:c>
      <x:c r="IE58" t="str">
        <x:f>IF('Calculations'!ID58="","",IF('Calculations'!ID58="!AMBIG","!AMBIG",IF(COUNTIF('Calculations'!$HE$13:$HE$512,"="&amp;SUBSTITUTE(SUBSTITUTE(SUBSTITUTE('Calculations'!ID58,"~","~~"),"*","~*"),"?","~?"))&gt;1,"!AMBIG",IFERROR(INDEX('Calculations'!$HF$13:$HF$512,MATCH('Calculations'!ID58,'Calculations'!$HE$13:$HE$512,0)),""))))</x:f>
      </x:c>
      <x:c r="IF58" t="str">
        <x:f>IF('Calculations'!IE58="","",IF('Calculations'!IE58="!AMBIG","!AMBIG",IF(COUNTIF('Calculations'!$HE$13:$HE$512,"="&amp;SUBSTITUTE(SUBSTITUTE(SUBSTITUTE('Calculations'!IE58,"~","~~"),"*","~*"),"?","~?"))&gt;1,"!AMBIG",IFERROR(INDEX('Calculations'!$HF$13:$HF$512,MATCH('Calculations'!IE58,'Calculations'!$HE$13:$HE$512,0)),""))))</x:f>
      </x:c>
      <x:c r="IG58" t="str">
        <x:f>IF('Calculations'!IF58="","",IF('Calculations'!IF58="!AMBIG","!AMBIG",IF(COUNTIF('Calculations'!$HE$13:$HE$512,"="&amp;SUBSTITUTE(SUBSTITUTE(SUBSTITUTE('Calculations'!IF58,"~","~~"),"*","~*"),"?","~?"))&gt;1,"!AMBIG",IFERROR(INDEX('Calculations'!$HF$13:$HF$512,MATCH('Calculations'!IF58,'Calculations'!$HE$13:$HE$512,0)),""))))</x:f>
      </x:c>
      <x:c r="IH58" t="str">
        <x:f>IF('Calculations'!IG58="","",IF('Calculations'!IG58="!AMBIG","!AMBIG",IF(COUNTIF('Calculations'!$HE$13:$HE$512,"="&amp;SUBSTITUTE(SUBSTITUTE(SUBSTITUTE('Calculations'!IG58,"~","~~"),"*","~*"),"?","~?"))&gt;1,"!AMBIG",IFERROR(INDEX('Calculations'!$HF$13:$HF$512,MATCH('Calculations'!IG58,'Calculations'!$HE$13:$HE$512,0)),""))))</x:f>
      </x:c>
      <x:c r="II58" t="str">
        <x:f>IF('Calculations'!IH58="","",IF('Calculations'!IH58="!AMBIG","!AMBIG",IF(COUNTIF('Calculations'!$HE$13:$HE$512,"="&amp;SUBSTITUTE(SUBSTITUTE(SUBSTITUTE('Calculations'!IH58,"~","~~"),"*","~*"),"?","~?"))&gt;1,"!AMBIG",IFERROR(INDEX('Calculations'!$HF$13:$HF$512,MATCH('Calculations'!IH58,'Calculations'!$HE$13:$HE$512,0)),""))))</x:f>
      </x:c>
      <x:c r="IJ58" t="str">
        <x:f>IF('Calculations'!EM58="","",IF('Calculations'!$EF$2="All",'Calculations'!HM58,IF('Calculations'!HL58=1,"",IFERROR(IF(MATCH('Calculations'!$EF$2,'Calculations'!HO58:II58,0)=1,'Calculations'!HE58,INDEX('Calculations'!HO58:II58,1,MATCH('Calculations'!$EF$2,'Calculations'!HO58:II58,0)-1)),""))))</x:f>
      </x:c>
      <x:c r="IK58" t="n">
        <x:f>IF(AND('Calculations'!EM58&lt;&gt;"",'Calculations'!$EF$2&lt;&gt;"All",'Calculations'!HF58='Calculations'!$EF$2,'Calculations'!HL58=0,'Calculations'!JD58&gt;0),MAX('Calculations'!$IK$12:IK57)+1,0)</x:f>
        <x:v>0</x:v>
      </x:c>
      <x:c r="JA58" t="n">
        <x:f>IF(OR(IFERROR(INDIRECT("'WCM Calibration Final'!$A$58")&lt;&gt;"",FALSE),IFERROR(INDIRECT("'WCM Calibration Final'!$B$58")&lt;&gt;"",FALSE),IFERROR(INDIRECT("'WCM Calibration Final'!$C$58")&lt;&gt;"",FALSE)),58,0)</x:f>
        <x:v>0</x:v>
      </x:c>
      <x:c r="JB58" t="n">
        <x:f>'Calculations'!JB57+IF('Calculations'!JA58&gt;0,1,0)</x:f>
        <x:v>0</x:v>
      </x:c>
      <x:c r="JC58" t="n">
        <x:f>IF(OR('Calculations'!HF58="",'Calculations'!HF58="!AMBIG"),0,IF('Dashboard'!$B$7="All",1,COUNTIFS('Calculations'!$HO$13:$HO$512,"="&amp;SUBSTITUTE(SUBSTITUTE(SUBSTITUTE('Calculations'!HF58,"~","~~"),"*","~*"),"?","~?"),'Calculations'!$HN$13:$HN$512,"="&amp;SUBSTITUTE(SUBSTITUTE(SUBSTITUTE('Dashboard'!$B$7,"~","~~"),"*","~*"),"?","~?"))+COUNTIFS('Calculations'!$HP$13:$HP$512,"="&amp;SUBSTITUTE(SUBSTITUTE(SUBSTITUTE('Calculations'!HF58,"~","~~"),"*","~*"),"?","~?"),'Calculations'!$HN$13:$HN$512,"="&amp;SUBSTITUTE(SUBSTITUTE(SUBSTITUTE('Dashboard'!$B$7,"~","~~"),"*","~*"),"?","~?"))+COUNTIFS('Calculations'!$HQ$13:$HQ$512,"="&amp;SUBSTITUTE(SUBSTITUTE(SUBSTITUTE('Calculations'!HF58,"~","~~"),"*","~*"),"?","~?"),'Calculations'!$HN$13:$HN$512,"="&amp;SUBSTITUTE(SUBSTITUTE(SUBSTITUTE('Dashboard'!$B$7,"~","~~"),"*","~*"),"?","~?"))+COUNTIFS('Calculations'!$HR$13:$HR$512,"="&amp;SUBSTITUTE(SUBSTITUTE(SUBSTITUTE('Calculations'!HF58,"~","~~"),"*","~*"),"?","~?"),'Calculations'!$HN$13:$HN$512,"="&amp;SUBSTITUTE(SUBSTITUTE(SUBSTITUTE('Dashboard'!$B$7,"~","~~"),"*","~*"),"?","~?"))+COUNTIFS('Calculations'!$HS$13:$HS$512,"="&amp;SUBSTITUTE(SUBSTITUTE(SUBSTITUTE('Calculations'!HF58,"~","~~"),"*","~*"),"?","~?"),'Calculations'!$HN$13:$HN$512,"="&amp;SUBSTITUTE(SUBSTITUTE(SUBSTITUTE('Dashboard'!$B$7,"~","~~"),"*","~*"),"?","~?"))+COUNTIFS('Calculations'!$HT$13:$HT$512,"="&amp;SUBSTITUTE(SUBSTITUTE(SUBSTITUTE('Calculations'!HF58,"~","~~"),"*","~*"),"?","~?"),'Calculations'!$HN$13:$HN$512,"="&amp;SUBSTITUTE(SUBSTITUTE(SUBSTITUTE('Dashboard'!$B$7,"~","~~"),"*","~*"),"?","~?"))+COUNTIFS('Calculations'!$HU$13:$HU$512,"="&amp;SUBSTITUTE(SUBSTITUTE(SUBSTITUTE('Calculations'!HF58,"~","~~"),"*","~*"),"?","~?"),'Calculations'!$HN$13:$HN$512,"="&amp;SUBSTITUTE(SUBSTITUTE(SUBSTITUTE('Dashboard'!$B$7,"~","~~"),"*","~*"),"?","~?"))+COUNTIFS('Calculations'!$HV$13:$HV$512,"="&amp;SUBSTITUTE(SUBSTITUTE(SUBSTITUTE('Calculations'!HF58,"~","~~"),"*","~*"),"?","~?"),'Calculations'!$HN$13:$HN$512,"="&amp;SUBSTITUTE(SUBSTITUTE(SUBSTITUTE('Dashboard'!$B$7,"~","~~"),"*","~*"),"?","~?"))+COUNTIFS('Calculations'!$HW$13:$HW$512,"="&amp;SUBSTITUTE(SUBSTITUTE(SUBSTITUTE('Calculations'!HF58,"~","~~"),"*","~*"),"?","~?"),'Calculations'!$HN$13:$HN$512,"="&amp;SUBSTITUTE(SUBSTITUTE(SUBSTITUTE('Dashboard'!$B$7,"~","~~"),"*","~*"),"?","~?"))+COUNTIFS('Calculations'!$HX$13:$HX$512,"="&amp;SUBSTITUTE(SUBSTITUTE(SUBSTITUTE('Calculations'!HF58,"~","~~"),"*","~*"),"?","~?"),'Calculations'!$HN$13:$HN$512,"="&amp;SUBSTITUTE(SUBSTITUTE(SUBSTITUTE('Dashboard'!$B$7,"~","~~"),"*","~*"),"?","~?"))+COUNTIFS('Calculations'!$HY$13:$HY$512,"="&amp;SUBSTITUTE(SUBSTITUTE(SUBSTITUTE('Calculations'!HF58,"~","~~"),"*","~*"),"?","~?"),'Calculations'!$HN$13:$HN$512,"="&amp;SUBSTITUTE(SUBSTITUTE(SUBSTITUTE('Dashboard'!$B$7,"~","~~"),"*","~*"),"?","~?"))+COUNTIFS('Calculations'!$HZ$13:$HZ$512,"="&amp;SUBSTITUTE(SUBSTITUTE(SUBSTITUTE('Calculations'!HF58,"~","~~"),"*","~*"),"?","~?"),'Calculations'!$HN$13:$HN$512,"="&amp;SUBSTITUTE(SUBSTITUTE(SUBSTITUTE('Dashboard'!$B$7,"~","~~"),"*","~*"),"?","~?"))+COUNTIFS('Calculations'!$IA$13:$IA$512,"="&amp;SUBSTITUTE(SUBSTITUTE(SUBSTITUTE('Calculations'!HF58,"~","~~"),"*","~*"),"?","~?"),'Calculations'!$HN$13:$HN$512,"="&amp;SUBSTITUTE(SUBSTITUTE(SUBSTITUTE('Dashboard'!$B$7,"~","~~"),"*","~*"),"?","~?"))+COUNTIFS('Calculations'!$IB$13:$IB$512,"="&amp;SUBSTITUTE(SUBSTITUTE(SUBSTITUTE('Calculations'!HF58,"~","~~"),"*","~*"),"?","~?"),'Calculations'!$HN$13:$HN$512,"="&amp;SUBSTITUTE(SUBSTITUTE(SUBSTITUTE('Dashboard'!$B$7,"~","~~"),"*","~*"),"?","~?"))+COUNTIFS('Calculations'!$IC$13:$IC$512,"="&amp;SUBSTITUTE(SUBSTITUTE(SUBSTITUTE('Calculations'!HF58,"~","~~"),"*","~*"),"?","~?"),'Calculations'!$HN$13:$HN$512,"="&amp;SUBSTITUTE(SUBSTITUTE(SUBSTITUTE('Dashboard'!$B$7,"~","~~"),"*","~*"),"?","~?"))+COUNTIFS('Calculations'!$ID$13:$ID$512,"="&amp;SUBSTITUTE(SUBSTITUTE(SUBSTITUTE('Calculations'!HF58,"~","~~"),"*","~*"),"?","~?"),'Calculations'!$HN$13:$HN$512,"="&amp;SUBSTITUTE(SUBSTITUTE(SUBSTITUTE('Dashboard'!$B$7,"~","~~"),"*","~*"),"?","~?"))+COUNTIFS('Calculations'!$IE$13:$IE$512,"="&amp;SUBSTITUTE(SUBSTITUTE(SUBSTITUTE('Calculations'!HF58,"~","~~"),"*","~*"),"?","~?"),'Calculations'!$HN$13:$HN$512,"="&amp;SUBSTITUTE(SUBSTITUTE(SUBSTITUTE('Dashboard'!$B$7,"~","~~"),"*","~*"),"?","~?"))+COUNTIFS('Calculations'!$IF$13:$IF$512,"="&amp;SUBSTITUTE(SUBSTITUTE(SUBSTITUTE('Calculations'!HF58,"~","~~"),"*","~*"),"?","~?"),'Calculations'!$HN$13:$HN$512,"="&amp;SUBSTITUTE(SUBSTITUTE(SUBSTITUTE('Dashboard'!$B$7,"~","~~"),"*","~*"),"?","~?"))+COUNTIFS('Calculations'!$IG$13:$IG$512,"="&amp;SUBSTITUTE(SUBSTITUTE(SUBSTITUTE('Calculations'!HF58,"~","~~"),"*","~*"),"?","~?"),'Calculations'!$HN$13:$HN$512,"="&amp;SUBSTITUTE(SUBSTITUTE(SUBSTITUTE('Dashboard'!$B$7,"~","~~"),"*","~*"),"?","~?"))+COUNTIFS('Calculations'!$IH$13:$IH$512,"="&amp;SUBSTITUTE(SUBSTITUTE(SUBSTITUTE('Calculations'!HF58,"~","~~"),"*","~*"),"?","~?"),'Calculations'!$HN$13:$HN$512,"="&amp;SUBSTITUTE(SUBSTITUTE(SUBSTITUTE('Dashboard'!$B$7,"~","~~"),"*","~*"),"?","~?"))))</x:f>
        <x:v>0</x:v>
      </x:c>
      <x:c r="JD58" t="n">
        <x:f>IF('Calculations'!EM58="",0,IF('Dashboard'!$B$7="All",1,IF('Calculations'!HN58='Dashboard'!$B$7,1,0)+IFERROR(INDEX('Calculations'!$JC$13:$JC$512,MATCH('Calculations'!HE58,'Calculations'!$HF$13:$HF$512,0)),0)))</x:f>
        <x:v>0</x:v>
      </x:c>
      <x:c r="JE58" t="n">
        <x:f>IF(AND('Calculations'!EM58&lt;&gt;"",'Calculations'!$JJ$2&lt;&gt;"All",'Calculations'!$JJ$2&lt;&gt;"",'Calculations'!HF58='Calculations'!$JJ$2,'Calculations'!HL58=0,'Calculations'!JD58&gt;0),MAX('Calculations'!$JE$12:JE57)+1,0)</x:f>
        <x:v>0</x:v>
      </x:c>
      <x:c r="JF58" t="str">
        <x:f>IF('Calculations'!EM58="","",IFERROR(IF(INDEX(INDIRECT("'WCM Calibration Final'!$G$1:$G$2000"),'Calculations'!$EM58)="","",TRIM(INDEX(INDIRECT("'WCM Calibration Final'!$G$1:$G$2000"),'Calculations'!$EM58)&amp;"")),""))</x:f>
      </x:c>
      <x:c r="JQ58" t="n">
        <x:f>IF(OR('Calculations'!BM58=0,NOT('Calculations'!$AG$2),'Calculations'!$AG$8&gt;0),0,IF(OR('Dashboard'!$B$7="All",'Calculations'!HN58='Dashboard'!$B$7),IF('Calculations'!$JJ$2="All",1,IF(AND('Calculations'!HF58='Calculations'!$JJ$2,'Calculations'!HL58=0),1,0)),0))</x:f>
        <x:v>0</x:v>
      </x:c>
    </x:row>
    <x:row r="59">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t="n">
        <x:f>IF('Calculations'!$EM59="",0,IF(OR(IFERROR(INDEX(INDIRECT("'WCM Calibration Final'!$A$1:$A$2000"),'Calculations'!$EM59)&lt;&gt;"",FALSE),IFERROR(INDEX(INDIRECT("'WCM Calibration Final'!$B$1:$B$2000"),'Calculations'!$EM59)&lt;&gt;"",FALSE),IFERROR(INDEX(INDIRECT("'WCM Calibration Final'!$C$1:$C$2000"),'Calculations'!$EM59)&lt;&gt;"",FALSE)),1,0))</x:f>
        <x:v>0</x:v>
      </x:c>
      <x:c r="BN59" s="4" t="n">
        <x:f>IF(AND('Calculations'!BM59=1,'Calculations'!$AG$2,'Calculations'!$EN59=1),1,0)</x:f>
        <x:v>0</x:v>
      </x:c>
      <x:c r="BO59" s="4" t="str">
        <x:f>IF('Calculations'!BM59=0,"",IFERROR(IF(AND(VALUE(INDEX(INDIRECT("'WCM Calibration Final'!$K$1:$K$2000"),'Calculations'!$EM59))&gt;=1,VALUE(INDEX(INDIRECT("'WCM Calibration Final'!$K$1:$K$2000"),'Calculations'!$EM59))&lt;=4,MOD(VALUE(INDEX(INDIRECT("'WCM Calibration Final'!$K$1:$K$2000"),'Calculations'!$EM59)),1)=0),VALUE(INDEX(INDIRECT("'WCM Calibration Final'!$K$1:$K$2000"),'Calculations'!$EM59)),""),""))</x:f>
      </x:c>
      <x:c r="BP59" s="4" t="str">
        <x:f>IF('Calculations'!BM59=0,"",IFERROR(IF(AND(VALUE(INDEX(INDIRECT("'WCM Calibration Final'!$L$1:$L$2000"),'Calculations'!$EM59))&gt;=1,VALUE(INDEX(INDIRECT("'WCM Calibration Final'!$L$1:$L$2000"),'Calculations'!$EM59))&lt;=4,MOD(VALUE(INDEX(INDIRECT("'WCM Calibration Final'!$L$1:$L$2000"),'Calculations'!$EM59)),1)=0),VALUE(INDEX(INDIRECT("'WCM Calibration Final'!$L$1:$L$2000"),'Calculations'!$EM59)),""),""))</x:f>
      </x:c>
      <x:c r="BQ59" s="4"/>
      <x:c r="BR59" s="4"/>
      <x:c r="BS59" s="4"/>
      <x:c r="BT59" s="4" t="n">
        <x:f>IF(AND('Calculations'!BM59=1,ISNUMBER('Calculations'!BO59),ISNUMBER('Calculations'!BP59)),1,0)</x:f>
        <x:v>0</x:v>
      </x:c>
      <x:c r="BU59" s="4" t="str">
        <x:f>IF('Calculations'!BM59=0,"",'Calculations'!$EO59)</x:f>
      </x:c>
      <x:c r="BV59" s="4" t="str">
        <x:f>IF('Calculations'!BM59=0,"",IFERROR(IF(OR(INDEX(INDIRECT("'WCM Calibration Final'!$H$1:$H$2000"),'Calculations'!$EM59)="MANAGING DIRECTOR",INDEX(INDIRECT("'WCM Calibration Final'!$H$1:$H$2000"),'Calculations'!$EM59)="DIRECTOR",INDEX(INDIRECT("'WCM Calibration Final'!$H$1:$H$2000"),'Calculations'!$EM59)="SENIOR VICE PRESIDENT",INDEX(INDIRECT("'WCM Calibration Final'!$H$1:$H$2000"),'Calculations'!$EM59)="VICE PRESIDENT",INDEX(INDIRECT("'WCM Calibration Final'!$H$1:$H$2000"),'Calculations'!$EM59)="ASSISTANT VICE PRESIDENT",INDEX(INDIRECT("'WCM Calibration Final'!$H$1:$H$2000"),'Calculations'!$EM59)="OFFICER"),UPPER(INDEX(INDIRECT("'WCM Calibration Final'!$H$1:$H$2000"),'Calculations'!$EM59)),"Other"),"Other"))</x:f>
      </x:c>
      <x:c r="BW59" s="4"/>
      <x:c r="BX59" s="4"/>
      <x:c r="BY59" s="4" t="n">
        <x:f>IF(AND('Calculations'!BM59=1,'Calculations'!BU59&lt;&gt;"",COUNTIF('Calculations'!$BU$12:BU59,'Calculations'!BU59)=1),MAX('Calculations'!$BY$11:BY58)+1,0)</x:f>
        <x:v>0</x:v>
      </x:c>
      <x:c r="BZ59" s="4" t="str">
        <x:f>IF('Dashboard'!$E$67="What",'Calculations'!BO59,'Calculations'!BP59)</x:f>
      </x:c>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t="str">
        <x:f>IF(48&gt;MAX('Calculations'!$HI$13:$HI$512),"",INDEX('Calculations'!$HN$13:$HN$512,MATCH(48,'Calculations'!$HI$13:$HI$512,0)))</x:f>
      </x:c>
      <x:c r="DB59" s="4" t="str">
        <x:f>IF(48&gt;MAX('Calculations'!$HH$13:$HH$512),"",INDEX('Calculations'!$HJ$13:$HJ$512,MATCH(48,'Calculations'!$HH$13:$HH$512,0)))</x:f>
      </x:c>
      <x:c r="DC59" s="4" t="str">
        <x:f>IF(ROW()-11&gt;MAX('Calculations'!$BY$13:$BY$512),"",INDEX('Calculations'!$BU$13:$BU$512,MATCH(ROW()-11,'Calculations'!$BY$13:$BY$512,0)))</x:f>
      </x:c>
      <x:c r="DD59" s="4" t="str">
        <x:f>IF(48&gt;MAX('Calculations'!$IK$13:$IK$512),"",INDEX('Calculations'!$HK$13:$HK$512,MATCH(48,'Calculations'!$IK$13:$IK$512,0)))</x:f>
      </x:c>
      <x:c r="DE59" s="4" t="str">
        <x:f>'Calculations'!DC59</x:f>
      </x:c>
      <x:c r="DF59" s="4" t="str">
        <x:f>IF('Calculations'!DE59="","",COUNTIFS('Calculations'!$BN$13:$BN$512,1,'Calculations'!$BU$13:$BU$512,'Calculations'!DE59))</x:f>
      </x:c>
      <x:c r="DG59" s="4" t="str">
        <x:f>IF('Calculations'!DE59="","",COUNTIFS('Calculations'!$BN$13:$BN$512,1,'Calculations'!$BU$13:$BU$512,'Calculations'!DE59,'Calculations'!$BT$13:$BT$512,1))</x:f>
      </x:c>
      <x:c r="DH59" s="4" t="str">
        <x:f>IF('Calculations'!DE59="","",'Calculations'!DF59-'Calculations'!DG59)</x:f>
      </x:c>
      <x:c r="DI59" s="4" t="str">
        <x:f>IF(OR('Calculations'!DE59="",'Calculations'!DF59=0),"",'Calculations'!DG59/'Calculations'!DF59)</x:f>
      </x:c>
      <x:c r="DJ59" s="4" t="str">
        <x:f>IF('Calculations'!DE59="","",COUNTIFS('Calculations'!$BN$13:$BN$512,1,'Calculations'!$BU$13:$BU$512,'Calculations'!DE59,'Calculations'!$BT$13:$BT$512,1,'Calculations'!$EE$13:$EE$512,"High"))</x:f>
      </x:c>
      <x:c r="DK59" s="4" t="str">
        <x:f>IF('Calculations'!DE59="","",COUNTIFS('Calculations'!$BN$13:$BN$512,1,'Calculations'!$BU$13:$BU$512,'Calculations'!DE59,'Calculations'!$BT$13:$BT$512,1,'Calculations'!$EE$13:$EE$512,"Strong"))</x:f>
      </x:c>
      <x:c r="DL59" s="4" t="str">
        <x:f>IF('Calculations'!DE59="","",COUNTIFS('Calculations'!$BN$13:$BN$512,1,'Calculations'!$BU$13:$BU$512,'Calculations'!DE59,'Calculations'!$BT$13:$BT$512,1,'Calculations'!$EE$13:$EE$512,"Solid"))</x:f>
      </x:c>
      <x:c r="DM59" s="4" t="str">
        <x:f>IF('Calculations'!DE59="","",COUNTIFS('Calculations'!$BN$13:$BN$512,1,'Calculations'!$BU$13:$BU$512,'Calculations'!DE59,'Calculations'!$BT$13:$BT$512,1,'Calculations'!$EE$13:$EE$512,"Low"))</x:f>
      </x:c>
      <x:c r="DN59" s="4" t="str">
        <x:f>IF('Calculations'!DE59="","",COUNTIFS('Calculations'!$BN$13:$BN$512,1,'Calculations'!$BU$13:$BU$512,'Calculations'!DE59,'Calculations'!$EP$13:$EP$512,1))</x:f>
      </x:c>
      <x:c r="DO59" s="4" t="str">
        <x:f>IF(OR('Calculations'!DE59="",'Calculations'!DG59=0),"",('Calculations'!DJ59+'Calculations'!DK59)/'Calculations'!DG59)</x:f>
      </x:c>
      <x:c r="DP59" s="4" t="n">
        <x:f>IF(AND('Calculations'!DE59&lt;&gt;"",'Calculations'!DF59&gt;0),COUNTIF('Calculations'!$DF$12:DF59,"&gt;0"),0)</x:f>
        <x:v>0</x:v>
      </x:c>
      <x:c r="DQ59" s="4" t="str">
        <x:f>IF(48&gt;MAX('Calculations'!$HH$13:$HH$512),"",INDEX('Calculations'!$HF$13:$HF$512,MATCH(48,'Calculations'!$HH$13:$HH$512,0)))</x:f>
      </x:c>
      <x:c r="DR59" s="4" t="str">
        <x:f>IF(48&gt;MAX('Calculations'!$IK$13:$IK$512),"",INDEX('Calculations'!$HE$13:$HE$512,MATCH(48,'Calculations'!$IK$13:$IK$512,0)))</x:f>
      </x:c>
      <x:c r="DS59" s="4"/>
      <x:c r="DT59" s="4"/>
      <x:c r="DU59" s="4"/>
      <x:c r="DV59" s="4"/>
      <x:c r="DW59" s="4"/>
      <x:c r="DX59" s="4"/>
      <x:c r="DY59" s="4" t="str">
        <x:f>IF('Calculations'!AJ72="","—",TEXT('Calculations'!AJ72,"+0.0;-0.0;0.0"))</x:f>
        <x:v>—</x:v>
      </x:c>
      <x:c r="DZ59" s="4"/>
      <x:c r="EA59" s="4"/>
      <x:c r="EB59" s="4"/>
      <x:c r="EC59" s="4"/>
      <x:c r="ED59" s="4"/>
      <x:c r="EE59" s="4" t="str">
        <x:f>IF('Calculations'!BT59=0,"Not Rated",IF(OR('Calculations'!BO59&gt;=4,'Calculations'!BP59&gt;=4),"Low",IF('Calculations'!BO59+'Calculations'!BP59&lt;=3,"High",IF('Calculations'!BO59+'Calculations'!BP59&lt;=4,"Strong","Solid"))))</x:f>
        <x:v>Not Rated</x:v>
      </x:c>
      <x:c r="EF59" s="4"/>
      <x:c r="EG59" s="4"/>
      <x:c r="EH59" s="4"/>
      <x:c r="EI59" s="4"/>
      <x:c r="EJ59" s="4"/>
      <x:c r="EK59" s="4"/>
      <x:c r="EL59" s="4"/>
      <x:c r="EM59" s="4" t="str">
        <x:f>IF(47&gt;'Calculations'!$JB$2000,"",INDEX('Calculations'!$JA$12:$JA$2000,MATCH(47,'Calculations'!$JB$12:$JB$2000,0)))</x:f>
      </x:c>
      <x:c r="EN59" s="4" t="n">
        <x:f>IF(OR('Calculations'!EM59="",'Calculations'!$AG$8&gt;0,AND('Calculations'!$EF$2&lt;&gt;"All",'Calculations'!HE59='Calculations'!$EF$2),AND('Calculations'!$EF$3&lt;&gt;"All",'Calculations'!HE59='Calculations'!$EF$3)),0,IF(OR('Dashboard'!$B$7="All",'Calculations'!HN59='Dashboard'!$B$7),IF('Calculations'!$EF$2="All",1,IF('Calculations'!HL59&gt;0,0,IF(COUNTIF('Calculations'!HO59:II59,"="&amp;SUBSTITUTE(SUBSTITUTE(SUBSTITUTE('Calculations'!$EF$2,"~","~~"),"*","~*"),"?","~?"))=0,0,IF('Calculations'!$EF$3="All",1,IF(COUNTIF('Calculations'!HO59:II59,"="&amp;SUBSTITUTE(SUBSTITUTE(SUBSTITUTE('Calculations'!$EF$3,"~","~~"),"*","~*"),"?","~?"))&gt;0,1,0))))),0))</x:f>
        <x:v>0</x:v>
      </x:c>
      <x:c r="EO59" s="4" t="str">
        <x:f>IF('Calculations'!IJ59="","",IF('Calculations'!IJ59="!UNRESOLVED","Unresolved hierarchy",IFERROR(INDEX('Calculations'!$HK$13:$HK$512,MATCH('Calculations'!IJ59,'Calculations'!$HE$13:$HE$512,0)),IFERROR(INDEX('Calculations'!$HJ$13:$HJ$512,MATCH('Calculations'!IJ59,'Calculations'!$HF$13:$HF$512,0)),'Calculations'!IJ59))))</x:f>
      </x:c>
      <x:c r="EP59" s="4" t="n">
        <x:f>IF(AND('Calculations'!EM59&lt;&gt;"",'Calculations'!HF59='Calculations'!IJ59),1,0)</x:f>
        <x:v>0</x:v>
      </x:c>
      <x:c r="EQ59" s="4"/>
      <x:c r="ER59" s="4"/>
      <x:c r="ES59" s="4"/>
      <x:c r="ET59" s="4"/>
      <x:c r="EU59" s="4"/>
      <x:c r="EV59" s="4"/>
      <x:c r="EW59" s="4"/>
      <x:c r="EX59" s="4"/>
      <x:c r="EY59" s="4"/>
      <x:c r="EZ59" s="4"/>
      <x:c r="FA59" s="4"/>
      <x:c r="FB59" s="4"/>
      <x:c r="FC59" s="4"/>
      <x:c r="FD59" s="4"/>
      <x:c r="FE59" s="4"/>
      <x:c r="FF59" s="4"/>
      <x:c r="FG59" s="4"/>
      <x:c r="FH59" s="4"/>
      <x:c r="FI59" s="4"/>
      <x:c r="FJ59" s="4"/>
      <x:c r="FK59" s="4"/>
      <x:c r="FL59" s="4"/>
      <x:c r="FM59" s="4"/>
      <x:c r="FN59" s="4"/>
      <x:c r="FO59" s="4"/>
      <x:c r="GA59" s="71"/>
      <x:c r="GB59" s="71"/>
      <x:c r="GC59" s="71"/>
      <x:c r="GD59" s="71"/>
      <x:c r="GE59" s="71"/>
      <x:c r="GF59" s="71"/>
      <x:c r="GG59" s="71"/>
      <x:c r="GH59" s="71"/>
      <x:c r="GI59" s="71"/>
      <x:c r="GJ59" s="71"/>
      <x:c r="GK59" s="71"/>
      <x:c r="GL59" s="71"/>
      <x:c r="GM59" s="71"/>
      <x:c r="GN59" s="71"/>
      <x:c r="GO59" s="71"/>
      <x:c r="GP59" s="71"/>
      <x:c r="GQ59" s="71"/>
      <x:c r="GR59" s="71"/>
      <x:c r="GS59" s="71"/>
      <x:c r="GT59" s="71"/>
      <x:c r="GU59" s="71"/>
      <x:c r="GV59" s="71"/>
      <x:c r="GW59" s="71"/>
      <x:c r="GX59" s="71"/>
      <x:c r="GY59" s="71"/>
      <x:c r="GZ59" s="71"/>
      <x:c r="HA59" s="71"/>
      <x:c r="HB59" s="71"/>
      <x:c r="HC59" s="71"/>
      <x:c r="HD59" s="71"/>
      <x:c r="HE59" t="str">
        <x:f>IF('Calculations'!EM59="","",IF(IFERROR(IF(INDEX(INDIRECT("'WCM Calibration Final'!$A$1:$A$2000"),'Calculations'!$EM59)="","",TRIM(INDEX(INDIRECT("'WCM Calibration Final'!$A$1:$A$2000"),'Calculations'!$EM59)&amp;"")),"")&lt;&gt;"","G:"&amp;IFERROR(TEXT(1*INDEX(INDIRECT("'WCM Calibration Final'!$A$1:$A$2000"),'Calculations'!$EM59),"0"),UPPER(IFERROR(IF(INDEX(INDIRECT("'WCM Calibration Final'!$A$1:$A$2000"),'Calculations'!$EM59)="","",TRIM(INDEX(INDIRECT("'WCM Calibration Final'!$A$1:$A$2000"),'Calculations'!$EM59)&amp;"")),""))),IF(IFERROR(IF(INDEX(INDIRECT("'WCM Calibration Final'!$C$1:$C$2000"),'Calculations'!$EM59)="","",TRIM(INDEX(INDIRECT("'WCM Calibration Final'!$C$1:$C$2000"),'Calculations'!$EM59)&amp;"")),"")&lt;&gt;"","S:"&amp;UPPER(IFERROR(IF(INDEX(INDIRECT("'WCM Calibration Final'!$C$1:$C$2000"),'Calculations'!$EM59)="","",TRIM(INDEX(INDIRECT("'WCM Calibration Final'!$C$1:$C$2000"),'Calculations'!$EM59)&amp;"")),"")),"R:"&amp;'Calculations'!EM59)))</x:f>
      </x:c>
      <x:c r="HF59" t="str">
        <x:f>IF('Calculations'!EM59="","",IF(IFERROR(IF(INDEX(INDIRECT("'WCM Calibration Final'!$D$1:$D$2000"),'Calculations'!$EM59)="","",TRIM(INDEX(INDIRECT("'WCM Calibration Final'!$D$1:$D$2000"),'Calculations'!$EM59)&amp;"")),"")&lt;&gt;"","G:"&amp;IFERROR(TEXT(1*INDEX(INDIRECT("'WCM Calibration Final'!$D$1:$D$2000"),'Calculations'!$EM59),"0"),UPPER(IFERROR(IF(INDEX(INDIRECT("'WCM Calibration Final'!$D$1:$D$2000"),'Calculations'!$EM59)="","",TRIM(INDEX(INDIRECT("'WCM Calibration Final'!$D$1:$D$2000"),'Calculations'!$EM59)&amp;"")),""))),IF(IFERROR(IF(INDEX(INDIRECT("'WCM Calibration Final'!$E$1:$E$2000"),'Calculations'!$EM59)="","",TRIM(INDEX(INDIRECT("'WCM Calibration Final'!$E$1:$E$2000"),'Calculations'!$EM59)&amp;"")),"")="","",IF(COUNTIF('Calculations'!$HG$13:$HG$512,"="&amp;SUBSTITUTE(SUBSTITUTE(SUBSTITUTE(IFERROR(IF(INDEX(INDIRECT("'WCM Calibration Final'!$E$1:$E$2000"),'Calculations'!$EM59)="","",TRIM(INDEX(INDIRECT("'WCM Calibration Final'!$E$1:$E$2000"),'Calculations'!$EM59)&amp;"")),""),"~","~~"),"*","~*"),"?","~?"))=1,INDEX('Calculations'!$HE$13:$HE$512,MATCH(IFERROR(IF(INDEX(INDIRECT("'WCM Calibration Final'!$E$1:$E$2000"),'Calculations'!$EM59)="","",TRIM(INDEX(INDIRECT("'WCM Calibration Final'!$E$1:$E$2000"),'Calculations'!$EM59)&amp;"")),""),'Calculations'!$HG$13:$HG$512,0)),IF(COUNTIF('Calculations'!$HG$13:$HG$512,"="&amp;SUBSTITUTE(SUBSTITUTE(SUBSTITUTE(IFERROR(IF(INDEX(INDIRECT("'WCM Calibration Final'!$E$1:$E$2000"),'Calculations'!$EM59)="","",TRIM(INDEX(INDIRECT("'WCM Calibration Final'!$E$1:$E$2000"),'Calculations'!$EM59)&amp;"")),""),"~","~~"),"*","~*"),"?","~?"))&gt;1,"!AMBIG","X:"&amp;IFERROR(IF(INDEX(INDIRECT("'WCM Calibration Final'!$E$1:$E$2000"),'Calculations'!$EM59)="","",TRIM(INDEX(INDIRECT("'WCM Calibration Final'!$E$1:$E$2000"),'Calculations'!$EM59)&amp;"")),""))))))</x:f>
      </x:c>
      <x:c r="HG59" t="str">
        <x:f>IF('Calculations'!EM59="","",IFERROR(IF(INDEX(INDIRECT("'WCM Calibration Final'!$B$1:$B$2000"),'Calculations'!$EM59)="","",TRIM(INDEX(INDIRECT("'WCM Calibration Final'!$B$1:$B$2000"),'Calculations'!$EM59)&amp;"")),""))</x:f>
      </x:c>
      <x:c r="HH59" t="n">
        <x:f>IF(AND('Calculations'!JC59&gt;0,COUNTIF('Calculations'!$HF$12:HF59,"="&amp;SUBSTITUTE(SUBSTITUTE(SUBSTITUTE('Calculations'!HF59,"~","~~"),"*","~*"),"?","~?"))=1),MAX('Calculations'!$HH$12:HH58)+1,0)</x:f>
        <x:v>0</x:v>
      </x:c>
      <x:c r="HI59" t="n">
        <x:f>IF(AND('Calculations'!HN59&lt;&gt;"",COUNTIF('Calculations'!$HN$12:HN59,"="&amp;SUBSTITUTE(SUBSTITUTE(SUBSTITUTE('Calculations'!HN59,"~","~~"),"*","~*"),"?","~?"))=1),MAX('Calculations'!$HI$12:HI58)+1,0)</x:f>
        <x:v>0</x:v>
      </x:c>
      <x:c r="HJ59" t="str">
        <x:f>IF('Calculations'!HF59="","",IF(COUNTIF('Calculations'!$HE$13:$HE$512,"="&amp;SUBSTITUTE(SUBSTITUTE(SUBSTITUTE('Calculations'!HF59,"~","~~"),"*","~*"),"?","~?"))=1,INDEX('Calculations'!$HK$13:$HK$512,MATCH('Calculations'!HF59,'Calculations'!$HE$13:$HE$512,0)),IFERROR(IF(INDEX(INDIRECT("'WCM Calibration Final'!$E$1:$E$2000"),'Calculations'!$EM59)="","",TRIM(INDEX(INDIRECT("'WCM Calibration Final'!$E$1:$E$2000"),'Calculations'!$EM59)&amp;"")),"")&amp;" ["&amp;'Calculations'!HF59&amp;"]"))</x:f>
      </x:c>
      <x:c r="HK59" t="str">
        <x:f>IF('Calculations'!EM59="","",'Calculations'!HG59&amp;" ["&amp;'Calculations'!HE59&amp;"]")</x:f>
      </x:c>
      <x:c r="HL59" t="n">
        <x:f>IF('Calculations'!EM59="",0,IF(OR('Calculations'!II59&lt;&gt;"",COUNTIF('Calculations'!$HE$13:$HE$512,"="&amp;SUBSTITUTE(SUBSTITUTE(SUBSTITUTE('Calculations'!HE59,"~","~~"),"*","~*"),"?","~?"))&gt;1),1,0))</x:f>
        <x:v>0</x:v>
      </x:c>
      <x:c r="HM59" t="str">
        <x:f>IF('Calculations'!EM59="","",IF('Calculations'!HL59=1,"!UNRESOLVED",IF('Calculations'!IH59&lt;&gt;"",'Calculations'!IH59,IF('Calculations'!IG59&lt;&gt;"",'Calculations'!IG59,IF('Calculations'!IF59&lt;&gt;"",'Calculations'!IF59,IF('Calculations'!IE59&lt;&gt;"",'Calculations'!IE59,IF('Calculations'!ID59&lt;&gt;"",'Calculations'!ID59,IF('Calculations'!IC59&lt;&gt;"",'Calculations'!IC59,IF('Calculations'!IB59&lt;&gt;"",'Calculations'!IB59,IF('Calculations'!IA59&lt;&gt;"",'Calculations'!IA59,IF('Calculations'!HZ59&lt;&gt;"",'Calculations'!HZ59,IF('Calculations'!HY59&lt;&gt;"",'Calculations'!HY59,IF('Calculations'!HX59&lt;&gt;"",'Calculations'!HX59,IF('Calculations'!HW59&lt;&gt;"",'Calculations'!HW59,IF('Calculations'!HV59&lt;&gt;"",'Calculations'!HV59,IF('Calculations'!HU59&lt;&gt;"",'Calculations'!HU59,IF('Calculations'!HT59&lt;&gt;"",'Calculations'!HT59,IF('Calculations'!HS59&lt;&gt;"",'Calculations'!HS59,IF('Calculations'!HR59&lt;&gt;"",'Calculations'!HR59,IF('Calculations'!HQ59&lt;&gt;"",'Calculations'!HQ59,IF('Calculations'!HP59&lt;&gt;"",'Calculations'!HP59,IF('Calculations'!HO59&lt;&gt;"",'Calculations'!HO59,'Calculations'!HE59))))))))))))))))))))))</x:f>
      </x:c>
      <x:c r="HN59" t="str">
        <x:f>IF('Calculations'!EM59="","",IF(IFERROR(IF(INDEX(INDIRECT("'WCM Calibration Final'!$F$1:$F$2000"),'Calculations'!$EM59)="","",TRIM(INDEX(INDIRECT("'WCM Calibration Final'!$F$1:$F$2000"),'Calculations'!$EM59)&amp;"")),"")="","(Blank)",IFERROR(IF(INDEX(INDIRECT("'WCM Calibration Final'!$F$1:$F$2000"),'Calculations'!$EM59)="","",TRIM(INDEX(INDIRECT("'WCM Calibration Final'!$F$1:$F$2000"),'Calculations'!$EM59)&amp;"")),"")))</x:f>
      </x:c>
      <x:c r="HO59" t="str">
        <x:f>'Calculations'!HF59</x:f>
      </x:c>
      <x:c r="HP59" t="str">
        <x:f>IF('Calculations'!HO59="","",IF('Calculations'!HO59="!AMBIG","!AMBIG",IF(COUNTIF('Calculations'!$HE$13:$HE$512,"="&amp;SUBSTITUTE(SUBSTITUTE(SUBSTITUTE('Calculations'!HO59,"~","~~"),"*","~*"),"?","~?"))&gt;1,"!AMBIG",IFERROR(INDEX('Calculations'!$HF$13:$HF$512,MATCH('Calculations'!HO59,'Calculations'!$HE$13:$HE$512,0)),""))))</x:f>
      </x:c>
      <x:c r="HQ59" t="str">
        <x:f>IF('Calculations'!HP59="","",IF('Calculations'!HP59="!AMBIG","!AMBIG",IF(COUNTIF('Calculations'!$HE$13:$HE$512,"="&amp;SUBSTITUTE(SUBSTITUTE(SUBSTITUTE('Calculations'!HP59,"~","~~"),"*","~*"),"?","~?"))&gt;1,"!AMBIG",IFERROR(INDEX('Calculations'!$HF$13:$HF$512,MATCH('Calculations'!HP59,'Calculations'!$HE$13:$HE$512,0)),""))))</x:f>
      </x:c>
      <x:c r="HR59" t="str">
        <x:f>IF('Calculations'!HQ59="","",IF('Calculations'!HQ59="!AMBIG","!AMBIG",IF(COUNTIF('Calculations'!$HE$13:$HE$512,"="&amp;SUBSTITUTE(SUBSTITUTE(SUBSTITUTE('Calculations'!HQ59,"~","~~"),"*","~*"),"?","~?"))&gt;1,"!AMBIG",IFERROR(INDEX('Calculations'!$HF$13:$HF$512,MATCH('Calculations'!HQ59,'Calculations'!$HE$13:$HE$512,0)),""))))</x:f>
      </x:c>
      <x:c r="HS59" t="str">
        <x:f>IF('Calculations'!HR59="","",IF('Calculations'!HR59="!AMBIG","!AMBIG",IF(COUNTIF('Calculations'!$HE$13:$HE$512,"="&amp;SUBSTITUTE(SUBSTITUTE(SUBSTITUTE('Calculations'!HR59,"~","~~"),"*","~*"),"?","~?"))&gt;1,"!AMBIG",IFERROR(INDEX('Calculations'!$HF$13:$HF$512,MATCH('Calculations'!HR59,'Calculations'!$HE$13:$HE$512,0)),""))))</x:f>
      </x:c>
      <x:c r="HT59" t="str">
        <x:f>IF('Calculations'!HS59="","",IF('Calculations'!HS59="!AMBIG","!AMBIG",IF(COUNTIF('Calculations'!$HE$13:$HE$512,"="&amp;SUBSTITUTE(SUBSTITUTE(SUBSTITUTE('Calculations'!HS59,"~","~~"),"*","~*"),"?","~?"))&gt;1,"!AMBIG",IFERROR(INDEX('Calculations'!$HF$13:$HF$512,MATCH('Calculations'!HS59,'Calculations'!$HE$13:$HE$512,0)),""))))</x:f>
      </x:c>
      <x:c r="HU59" t="str">
        <x:f>IF('Calculations'!HT59="","",IF('Calculations'!HT59="!AMBIG","!AMBIG",IF(COUNTIF('Calculations'!$HE$13:$HE$512,"="&amp;SUBSTITUTE(SUBSTITUTE(SUBSTITUTE('Calculations'!HT59,"~","~~"),"*","~*"),"?","~?"))&gt;1,"!AMBIG",IFERROR(INDEX('Calculations'!$HF$13:$HF$512,MATCH('Calculations'!HT59,'Calculations'!$HE$13:$HE$512,0)),""))))</x:f>
      </x:c>
      <x:c r="HV59" t="str">
        <x:f>IF('Calculations'!HU59="","",IF('Calculations'!HU59="!AMBIG","!AMBIG",IF(COUNTIF('Calculations'!$HE$13:$HE$512,"="&amp;SUBSTITUTE(SUBSTITUTE(SUBSTITUTE('Calculations'!HU59,"~","~~"),"*","~*"),"?","~?"))&gt;1,"!AMBIG",IFERROR(INDEX('Calculations'!$HF$13:$HF$512,MATCH('Calculations'!HU59,'Calculations'!$HE$13:$HE$512,0)),""))))</x:f>
      </x:c>
      <x:c r="HW59" t="str">
        <x:f>IF('Calculations'!HV59="","",IF('Calculations'!HV59="!AMBIG","!AMBIG",IF(COUNTIF('Calculations'!$HE$13:$HE$512,"="&amp;SUBSTITUTE(SUBSTITUTE(SUBSTITUTE('Calculations'!HV59,"~","~~"),"*","~*"),"?","~?"))&gt;1,"!AMBIG",IFERROR(INDEX('Calculations'!$HF$13:$HF$512,MATCH('Calculations'!HV59,'Calculations'!$HE$13:$HE$512,0)),""))))</x:f>
      </x:c>
      <x:c r="HX59" t="str">
        <x:f>IF('Calculations'!HW59="","",IF('Calculations'!HW59="!AMBIG","!AMBIG",IF(COUNTIF('Calculations'!$HE$13:$HE$512,"="&amp;SUBSTITUTE(SUBSTITUTE(SUBSTITUTE('Calculations'!HW59,"~","~~"),"*","~*"),"?","~?"))&gt;1,"!AMBIG",IFERROR(INDEX('Calculations'!$HF$13:$HF$512,MATCH('Calculations'!HW59,'Calculations'!$HE$13:$HE$512,0)),""))))</x:f>
      </x:c>
      <x:c r="HY59" t="str">
        <x:f>IF('Calculations'!HX59="","",IF('Calculations'!HX59="!AMBIG","!AMBIG",IF(COUNTIF('Calculations'!$HE$13:$HE$512,"="&amp;SUBSTITUTE(SUBSTITUTE(SUBSTITUTE('Calculations'!HX59,"~","~~"),"*","~*"),"?","~?"))&gt;1,"!AMBIG",IFERROR(INDEX('Calculations'!$HF$13:$HF$512,MATCH('Calculations'!HX59,'Calculations'!$HE$13:$HE$512,0)),""))))</x:f>
      </x:c>
      <x:c r="HZ59" t="str">
        <x:f>IF('Calculations'!HY59="","",IF('Calculations'!HY59="!AMBIG","!AMBIG",IF(COUNTIF('Calculations'!$HE$13:$HE$512,"="&amp;SUBSTITUTE(SUBSTITUTE(SUBSTITUTE('Calculations'!HY59,"~","~~"),"*","~*"),"?","~?"))&gt;1,"!AMBIG",IFERROR(INDEX('Calculations'!$HF$13:$HF$512,MATCH('Calculations'!HY59,'Calculations'!$HE$13:$HE$512,0)),""))))</x:f>
      </x:c>
      <x:c r="IA59" t="str">
        <x:f>IF('Calculations'!HZ59="","",IF('Calculations'!HZ59="!AMBIG","!AMBIG",IF(COUNTIF('Calculations'!$HE$13:$HE$512,"="&amp;SUBSTITUTE(SUBSTITUTE(SUBSTITUTE('Calculations'!HZ59,"~","~~"),"*","~*"),"?","~?"))&gt;1,"!AMBIG",IFERROR(INDEX('Calculations'!$HF$13:$HF$512,MATCH('Calculations'!HZ59,'Calculations'!$HE$13:$HE$512,0)),""))))</x:f>
      </x:c>
      <x:c r="IB59" t="str">
        <x:f>IF('Calculations'!IA59="","",IF('Calculations'!IA59="!AMBIG","!AMBIG",IF(COUNTIF('Calculations'!$HE$13:$HE$512,"="&amp;SUBSTITUTE(SUBSTITUTE(SUBSTITUTE('Calculations'!IA59,"~","~~"),"*","~*"),"?","~?"))&gt;1,"!AMBIG",IFERROR(INDEX('Calculations'!$HF$13:$HF$512,MATCH('Calculations'!IA59,'Calculations'!$HE$13:$HE$512,0)),""))))</x:f>
      </x:c>
      <x:c r="IC59" t="str">
        <x:f>IF('Calculations'!IB59="","",IF('Calculations'!IB59="!AMBIG","!AMBIG",IF(COUNTIF('Calculations'!$HE$13:$HE$512,"="&amp;SUBSTITUTE(SUBSTITUTE(SUBSTITUTE('Calculations'!IB59,"~","~~"),"*","~*"),"?","~?"))&gt;1,"!AMBIG",IFERROR(INDEX('Calculations'!$HF$13:$HF$512,MATCH('Calculations'!IB59,'Calculations'!$HE$13:$HE$512,0)),""))))</x:f>
      </x:c>
      <x:c r="ID59" t="str">
        <x:f>IF('Calculations'!IC59="","",IF('Calculations'!IC59="!AMBIG","!AMBIG",IF(COUNTIF('Calculations'!$HE$13:$HE$512,"="&amp;SUBSTITUTE(SUBSTITUTE(SUBSTITUTE('Calculations'!IC59,"~","~~"),"*","~*"),"?","~?"))&gt;1,"!AMBIG",IFERROR(INDEX('Calculations'!$HF$13:$HF$512,MATCH('Calculations'!IC59,'Calculations'!$HE$13:$HE$512,0)),""))))</x:f>
      </x:c>
      <x:c r="IE59" t="str">
        <x:f>IF('Calculations'!ID59="","",IF('Calculations'!ID59="!AMBIG","!AMBIG",IF(COUNTIF('Calculations'!$HE$13:$HE$512,"="&amp;SUBSTITUTE(SUBSTITUTE(SUBSTITUTE('Calculations'!ID59,"~","~~"),"*","~*"),"?","~?"))&gt;1,"!AMBIG",IFERROR(INDEX('Calculations'!$HF$13:$HF$512,MATCH('Calculations'!ID59,'Calculations'!$HE$13:$HE$512,0)),""))))</x:f>
      </x:c>
      <x:c r="IF59" t="str">
        <x:f>IF('Calculations'!IE59="","",IF('Calculations'!IE59="!AMBIG","!AMBIG",IF(COUNTIF('Calculations'!$HE$13:$HE$512,"="&amp;SUBSTITUTE(SUBSTITUTE(SUBSTITUTE('Calculations'!IE59,"~","~~"),"*","~*"),"?","~?"))&gt;1,"!AMBIG",IFERROR(INDEX('Calculations'!$HF$13:$HF$512,MATCH('Calculations'!IE59,'Calculations'!$HE$13:$HE$512,0)),""))))</x:f>
      </x:c>
      <x:c r="IG59" t="str">
        <x:f>IF('Calculations'!IF59="","",IF('Calculations'!IF59="!AMBIG","!AMBIG",IF(COUNTIF('Calculations'!$HE$13:$HE$512,"="&amp;SUBSTITUTE(SUBSTITUTE(SUBSTITUTE('Calculations'!IF59,"~","~~"),"*","~*"),"?","~?"))&gt;1,"!AMBIG",IFERROR(INDEX('Calculations'!$HF$13:$HF$512,MATCH('Calculations'!IF59,'Calculations'!$HE$13:$HE$512,0)),""))))</x:f>
      </x:c>
      <x:c r="IH59" t="str">
        <x:f>IF('Calculations'!IG59="","",IF('Calculations'!IG59="!AMBIG","!AMBIG",IF(COUNTIF('Calculations'!$HE$13:$HE$512,"="&amp;SUBSTITUTE(SUBSTITUTE(SUBSTITUTE('Calculations'!IG59,"~","~~"),"*","~*"),"?","~?"))&gt;1,"!AMBIG",IFERROR(INDEX('Calculations'!$HF$13:$HF$512,MATCH('Calculations'!IG59,'Calculations'!$HE$13:$HE$512,0)),""))))</x:f>
      </x:c>
      <x:c r="II59" t="str">
        <x:f>IF('Calculations'!IH59="","",IF('Calculations'!IH59="!AMBIG","!AMBIG",IF(COUNTIF('Calculations'!$HE$13:$HE$512,"="&amp;SUBSTITUTE(SUBSTITUTE(SUBSTITUTE('Calculations'!IH59,"~","~~"),"*","~*"),"?","~?"))&gt;1,"!AMBIG",IFERROR(INDEX('Calculations'!$HF$13:$HF$512,MATCH('Calculations'!IH59,'Calculations'!$HE$13:$HE$512,0)),""))))</x:f>
      </x:c>
      <x:c r="IJ59" t="str">
        <x:f>IF('Calculations'!EM59="","",IF('Calculations'!$EF$2="All",'Calculations'!HM59,IF('Calculations'!HL59=1,"",IFERROR(IF(MATCH('Calculations'!$EF$2,'Calculations'!HO59:II59,0)=1,'Calculations'!HE59,INDEX('Calculations'!HO59:II59,1,MATCH('Calculations'!$EF$2,'Calculations'!HO59:II59,0)-1)),""))))</x:f>
      </x:c>
      <x:c r="IK59" t="n">
        <x:f>IF(AND('Calculations'!EM59&lt;&gt;"",'Calculations'!$EF$2&lt;&gt;"All",'Calculations'!HF59='Calculations'!$EF$2,'Calculations'!HL59=0,'Calculations'!JD59&gt;0),MAX('Calculations'!$IK$12:IK58)+1,0)</x:f>
        <x:v>0</x:v>
      </x:c>
      <x:c r="JA59" t="n">
        <x:f>IF(OR(IFERROR(INDIRECT("'WCM Calibration Final'!$A$59")&lt;&gt;"",FALSE),IFERROR(INDIRECT("'WCM Calibration Final'!$B$59")&lt;&gt;"",FALSE),IFERROR(INDIRECT("'WCM Calibration Final'!$C$59")&lt;&gt;"",FALSE)),59,0)</x:f>
        <x:v>0</x:v>
      </x:c>
      <x:c r="JB59" t="n">
        <x:f>'Calculations'!JB58+IF('Calculations'!JA59&gt;0,1,0)</x:f>
        <x:v>0</x:v>
      </x:c>
      <x:c r="JC59" t="n">
        <x:f>IF(OR('Calculations'!HF59="",'Calculations'!HF59="!AMBIG"),0,IF('Dashboard'!$B$7="All",1,COUNTIFS('Calculations'!$HO$13:$HO$512,"="&amp;SUBSTITUTE(SUBSTITUTE(SUBSTITUTE('Calculations'!HF59,"~","~~"),"*","~*"),"?","~?"),'Calculations'!$HN$13:$HN$512,"="&amp;SUBSTITUTE(SUBSTITUTE(SUBSTITUTE('Dashboard'!$B$7,"~","~~"),"*","~*"),"?","~?"))+COUNTIFS('Calculations'!$HP$13:$HP$512,"="&amp;SUBSTITUTE(SUBSTITUTE(SUBSTITUTE('Calculations'!HF59,"~","~~"),"*","~*"),"?","~?"),'Calculations'!$HN$13:$HN$512,"="&amp;SUBSTITUTE(SUBSTITUTE(SUBSTITUTE('Dashboard'!$B$7,"~","~~"),"*","~*"),"?","~?"))+COUNTIFS('Calculations'!$HQ$13:$HQ$512,"="&amp;SUBSTITUTE(SUBSTITUTE(SUBSTITUTE('Calculations'!HF59,"~","~~"),"*","~*"),"?","~?"),'Calculations'!$HN$13:$HN$512,"="&amp;SUBSTITUTE(SUBSTITUTE(SUBSTITUTE('Dashboard'!$B$7,"~","~~"),"*","~*"),"?","~?"))+COUNTIFS('Calculations'!$HR$13:$HR$512,"="&amp;SUBSTITUTE(SUBSTITUTE(SUBSTITUTE('Calculations'!HF59,"~","~~"),"*","~*"),"?","~?"),'Calculations'!$HN$13:$HN$512,"="&amp;SUBSTITUTE(SUBSTITUTE(SUBSTITUTE('Dashboard'!$B$7,"~","~~"),"*","~*"),"?","~?"))+COUNTIFS('Calculations'!$HS$13:$HS$512,"="&amp;SUBSTITUTE(SUBSTITUTE(SUBSTITUTE('Calculations'!HF59,"~","~~"),"*","~*"),"?","~?"),'Calculations'!$HN$13:$HN$512,"="&amp;SUBSTITUTE(SUBSTITUTE(SUBSTITUTE('Dashboard'!$B$7,"~","~~"),"*","~*"),"?","~?"))+COUNTIFS('Calculations'!$HT$13:$HT$512,"="&amp;SUBSTITUTE(SUBSTITUTE(SUBSTITUTE('Calculations'!HF59,"~","~~"),"*","~*"),"?","~?"),'Calculations'!$HN$13:$HN$512,"="&amp;SUBSTITUTE(SUBSTITUTE(SUBSTITUTE('Dashboard'!$B$7,"~","~~"),"*","~*"),"?","~?"))+COUNTIFS('Calculations'!$HU$13:$HU$512,"="&amp;SUBSTITUTE(SUBSTITUTE(SUBSTITUTE('Calculations'!HF59,"~","~~"),"*","~*"),"?","~?"),'Calculations'!$HN$13:$HN$512,"="&amp;SUBSTITUTE(SUBSTITUTE(SUBSTITUTE('Dashboard'!$B$7,"~","~~"),"*","~*"),"?","~?"))+COUNTIFS('Calculations'!$HV$13:$HV$512,"="&amp;SUBSTITUTE(SUBSTITUTE(SUBSTITUTE('Calculations'!HF59,"~","~~"),"*","~*"),"?","~?"),'Calculations'!$HN$13:$HN$512,"="&amp;SUBSTITUTE(SUBSTITUTE(SUBSTITUTE('Dashboard'!$B$7,"~","~~"),"*","~*"),"?","~?"))+COUNTIFS('Calculations'!$HW$13:$HW$512,"="&amp;SUBSTITUTE(SUBSTITUTE(SUBSTITUTE('Calculations'!HF59,"~","~~"),"*","~*"),"?","~?"),'Calculations'!$HN$13:$HN$512,"="&amp;SUBSTITUTE(SUBSTITUTE(SUBSTITUTE('Dashboard'!$B$7,"~","~~"),"*","~*"),"?","~?"))+COUNTIFS('Calculations'!$HX$13:$HX$512,"="&amp;SUBSTITUTE(SUBSTITUTE(SUBSTITUTE('Calculations'!HF59,"~","~~"),"*","~*"),"?","~?"),'Calculations'!$HN$13:$HN$512,"="&amp;SUBSTITUTE(SUBSTITUTE(SUBSTITUTE('Dashboard'!$B$7,"~","~~"),"*","~*"),"?","~?"))+COUNTIFS('Calculations'!$HY$13:$HY$512,"="&amp;SUBSTITUTE(SUBSTITUTE(SUBSTITUTE('Calculations'!HF59,"~","~~"),"*","~*"),"?","~?"),'Calculations'!$HN$13:$HN$512,"="&amp;SUBSTITUTE(SUBSTITUTE(SUBSTITUTE('Dashboard'!$B$7,"~","~~"),"*","~*"),"?","~?"))+COUNTIFS('Calculations'!$HZ$13:$HZ$512,"="&amp;SUBSTITUTE(SUBSTITUTE(SUBSTITUTE('Calculations'!HF59,"~","~~"),"*","~*"),"?","~?"),'Calculations'!$HN$13:$HN$512,"="&amp;SUBSTITUTE(SUBSTITUTE(SUBSTITUTE('Dashboard'!$B$7,"~","~~"),"*","~*"),"?","~?"))+COUNTIFS('Calculations'!$IA$13:$IA$512,"="&amp;SUBSTITUTE(SUBSTITUTE(SUBSTITUTE('Calculations'!HF59,"~","~~"),"*","~*"),"?","~?"),'Calculations'!$HN$13:$HN$512,"="&amp;SUBSTITUTE(SUBSTITUTE(SUBSTITUTE('Dashboard'!$B$7,"~","~~"),"*","~*"),"?","~?"))+COUNTIFS('Calculations'!$IB$13:$IB$512,"="&amp;SUBSTITUTE(SUBSTITUTE(SUBSTITUTE('Calculations'!HF59,"~","~~"),"*","~*"),"?","~?"),'Calculations'!$HN$13:$HN$512,"="&amp;SUBSTITUTE(SUBSTITUTE(SUBSTITUTE('Dashboard'!$B$7,"~","~~"),"*","~*"),"?","~?"))+COUNTIFS('Calculations'!$IC$13:$IC$512,"="&amp;SUBSTITUTE(SUBSTITUTE(SUBSTITUTE('Calculations'!HF59,"~","~~"),"*","~*"),"?","~?"),'Calculations'!$HN$13:$HN$512,"="&amp;SUBSTITUTE(SUBSTITUTE(SUBSTITUTE('Dashboard'!$B$7,"~","~~"),"*","~*"),"?","~?"))+COUNTIFS('Calculations'!$ID$13:$ID$512,"="&amp;SUBSTITUTE(SUBSTITUTE(SUBSTITUTE('Calculations'!HF59,"~","~~"),"*","~*"),"?","~?"),'Calculations'!$HN$13:$HN$512,"="&amp;SUBSTITUTE(SUBSTITUTE(SUBSTITUTE('Dashboard'!$B$7,"~","~~"),"*","~*"),"?","~?"))+COUNTIFS('Calculations'!$IE$13:$IE$512,"="&amp;SUBSTITUTE(SUBSTITUTE(SUBSTITUTE('Calculations'!HF59,"~","~~"),"*","~*"),"?","~?"),'Calculations'!$HN$13:$HN$512,"="&amp;SUBSTITUTE(SUBSTITUTE(SUBSTITUTE('Dashboard'!$B$7,"~","~~"),"*","~*"),"?","~?"))+COUNTIFS('Calculations'!$IF$13:$IF$512,"="&amp;SUBSTITUTE(SUBSTITUTE(SUBSTITUTE('Calculations'!HF59,"~","~~"),"*","~*"),"?","~?"),'Calculations'!$HN$13:$HN$512,"="&amp;SUBSTITUTE(SUBSTITUTE(SUBSTITUTE('Dashboard'!$B$7,"~","~~"),"*","~*"),"?","~?"))+COUNTIFS('Calculations'!$IG$13:$IG$512,"="&amp;SUBSTITUTE(SUBSTITUTE(SUBSTITUTE('Calculations'!HF59,"~","~~"),"*","~*"),"?","~?"),'Calculations'!$HN$13:$HN$512,"="&amp;SUBSTITUTE(SUBSTITUTE(SUBSTITUTE('Dashboard'!$B$7,"~","~~"),"*","~*"),"?","~?"))+COUNTIFS('Calculations'!$IH$13:$IH$512,"="&amp;SUBSTITUTE(SUBSTITUTE(SUBSTITUTE('Calculations'!HF59,"~","~~"),"*","~*"),"?","~?"),'Calculations'!$HN$13:$HN$512,"="&amp;SUBSTITUTE(SUBSTITUTE(SUBSTITUTE('Dashboard'!$B$7,"~","~~"),"*","~*"),"?","~?"))))</x:f>
        <x:v>0</x:v>
      </x:c>
      <x:c r="JD59" t="n">
        <x:f>IF('Calculations'!EM59="",0,IF('Dashboard'!$B$7="All",1,IF('Calculations'!HN59='Dashboard'!$B$7,1,0)+IFERROR(INDEX('Calculations'!$JC$13:$JC$512,MATCH('Calculations'!HE59,'Calculations'!$HF$13:$HF$512,0)),0)))</x:f>
        <x:v>0</x:v>
      </x:c>
      <x:c r="JE59" t="n">
        <x:f>IF(AND('Calculations'!EM59&lt;&gt;"",'Calculations'!$JJ$2&lt;&gt;"All",'Calculations'!$JJ$2&lt;&gt;"",'Calculations'!HF59='Calculations'!$JJ$2,'Calculations'!HL59=0,'Calculations'!JD59&gt;0),MAX('Calculations'!$JE$12:JE58)+1,0)</x:f>
        <x:v>0</x:v>
      </x:c>
      <x:c r="JF59" t="str">
        <x:f>IF('Calculations'!EM59="","",IFERROR(IF(INDEX(INDIRECT("'WCM Calibration Final'!$G$1:$G$2000"),'Calculations'!$EM59)="","",TRIM(INDEX(INDIRECT("'WCM Calibration Final'!$G$1:$G$2000"),'Calculations'!$EM59)&amp;"")),""))</x:f>
      </x:c>
      <x:c r="JQ59" t="n">
        <x:f>IF(OR('Calculations'!BM59=0,NOT('Calculations'!$AG$2),'Calculations'!$AG$8&gt;0),0,IF(OR('Dashboard'!$B$7="All",'Calculations'!HN59='Dashboard'!$B$7),IF('Calculations'!$JJ$2="All",1,IF(AND('Calculations'!HF59='Calculations'!$JJ$2,'Calculations'!HL59=0),1,0)),0))</x:f>
        <x:v>0</x:v>
      </x:c>
    </x:row>
    <x:row r="60">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t="n">
        <x:f>IF('Calculations'!$EM60="",0,IF(OR(IFERROR(INDEX(INDIRECT("'WCM Calibration Final'!$A$1:$A$2000"),'Calculations'!$EM60)&lt;&gt;"",FALSE),IFERROR(INDEX(INDIRECT("'WCM Calibration Final'!$B$1:$B$2000"),'Calculations'!$EM60)&lt;&gt;"",FALSE),IFERROR(INDEX(INDIRECT("'WCM Calibration Final'!$C$1:$C$2000"),'Calculations'!$EM60)&lt;&gt;"",FALSE)),1,0))</x:f>
        <x:v>0</x:v>
      </x:c>
      <x:c r="BN60" s="4" t="n">
        <x:f>IF(AND('Calculations'!BM60=1,'Calculations'!$AG$2,'Calculations'!$EN60=1),1,0)</x:f>
        <x:v>0</x:v>
      </x:c>
      <x:c r="BO60" s="4" t="str">
        <x:f>IF('Calculations'!BM60=0,"",IFERROR(IF(AND(VALUE(INDEX(INDIRECT("'WCM Calibration Final'!$K$1:$K$2000"),'Calculations'!$EM60))&gt;=1,VALUE(INDEX(INDIRECT("'WCM Calibration Final'!$K$1:$K$2000"),'Calculations'!$EM60))&lt;=4,MOD(VALUE(INDEX(INDIRECT("'WCM Calibration Final'!$K$1:$K$2000"),'Calculations'!$EM60)),1)=0),VALUE(INDEX(INDIRECT("'WCM Calibration Final'!$K$1:$K$2000"),'Calculations'!$EM60)),""),""))</x:f>
      </x:c>
      <x:c r="BP60" s="4" t="str">
        <x:f>IF('Calculations'!BM60=0,"",IFERROR(IF(AND(VALUE(INDEX(INDIRECT("'WCM Calibration Final'!$L$1:$L$2000"),'Calculations'!$EM60))&gt;=1,VALUE(INDEX(INDIRECT("'WCM Calibration Final'!$L$1:$L$2000"),'Calculations'!$EM60))&lt;=4,MOD(VALUE(INDEX(INDIRECT("'WCM Calibration Final'!$L$1:$L$2000"),'Calculations'!$EM60)),1)=0),VALUE(INDEX(INDIRECT("'WCM Calibration Final'!$L$1:$L$2000"),'Calculations'!$EM60)),""),""))</x:f>
      </x:c>
      <x:c r="BQ60" s="4"/>
      <x:c r="BR60" s="4"/>
      <x:c r="BS60" s="4"/>
      <x:c r="BT60" s="4" t="n">
        <x:f>IF(AND('Calculations'!BM60=1,ISNUMBER('Calculations'!BO60),ISNUMBER('Calculations'!BP60)),1,0)</x:f>
        <x:v>0</x:v>
      </x:c>
      <x:c r="BU60" s="4" t="str">
        <x:f>IF('Calculations'!BM60=0,"",'Calculations'!$EO60)</x:f>
      </x:c>
      <x:c r="BV60" s="4" t="str">
        <x:f>IF('Calculations'!BM60=0,"",IFERROR(IF(OR(INDEX(INDIRECT("'WCM Calibration Final'!$H$1:$H$2000"),'Calculations'!$EM60)="MANAGING DIRECTOR",INDEX(INDIRECT("'WCM Calibration Final'!$H$1:$H$2000"),'Calculations'!$EM60)="DIRECTOR",INDEX(INDIRECT("'WCM Calibration Final'!$H$1:$H$2000"),'Calculations'!$EM60)="SENIOR VICE PRESIDENT",INDEX(INDIRECT("'WCM Calibration Final'!$H$1:$H$2000"),'Calculations'!$EM60)="VICE PRESIDENT",INDEX(INDIRECT("'WCM Calibration Final'!$H$1:$H$2000"),'Calculations'!$EM60)="ASSISTANT VICE PRESIDENT",INDEX(INDIRECT("'WCM Calibration Final'!$H$1:$H$2000"),'Calculations'!$EM60)="OFFICER"),UPPER(INDEX(INDIRECT("'WCM Calibration Final'!$H$1:$H$2000"),'Calculations'!$EM60)),"Other"),"Other"))</x:f>
      </x:c>
      <x:c r="BW60" s="4"/>
      <x:c r="BX60" s="4"/>
      <x:c r="BY60" s="4" t="n">
        <x:f>IF(AND('Calculations'!BM60=1,'Calculations'!BU60&lt;&gt;"",COUNTIF('Calculations'!$BU$12:BU60,'Calculations'!BU60)=1),MAX('Calculations'!$BY$11:BY59)+1,0)</x:f>
        <x:v>0</x:v>
      </x:c>
      <x:c r="BZ60" s="4" t="str">
        <x:f>IF('Dashboard'!$E$67="What",'Calculations'!BO60,'Calculations'!BP60)</x:f>
      </x:c>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t="str">
        <x:f>IF(49&gt;MAX('Calculations'!$HI$13:$HI$512),"",INDEX('Calculations'!$HN$13:$HN$512,MATCH(49,'Calculations'!$HI$13:$HI$512,0)))</x:f>
      </x:c>
      <x:c r="DB60" s="4" t="str">
        <x:f>IF(49&gt;MAX('Calculations'!$HH$13:$HH$512),"",INDEX('Calculations'!$HJ$13:$HJ$512,MATCH(49,'Calculations'!$HH$13:$HH$512,0)))</x:f>
      </x:c>
      <x:c r="DC60" s="4" t="str">
        <x:f>IF(ROW()-11&gt;MAX('Calculations'!$BY$13:$BY$512),"",INDEX('Calculations'!$BU$13:$BU$512,MATCH(ROW()-11,'Calculations'!$BY$13:$BY$512,0)))</x:f>
      </x:c>
      <x:c r="DD60" s="4" t="str">
        <x:f>IF(49&gt;MAX('Calculations'!$IK$13:$IK$512),"",INDEX('Calculations'!$HK$13:$HK$512,MATCH(49,'Calculations'!$IK$13:$IK$512,0)))</x:f>
      </x:c>
      <x:c r="DE60" s="4" t="str">
        <x:f>'Calculations'!DC60</x:f>
      </x:c>
      <x:c r="DF60" s="4" t="str">
        <x:f>IF('Calculations'!DE60="","",COUNTIFS('Calculations'!$BN$13:$BN$512,1,'Calculations'!$BU$13:$BU$512,'Calculations'!DE60))</x:f>
      </x:c>
      <x:c r="DG60" s="4" t="str">
        <x:f>IF('Calculations'!DE60="","",COUNTIFS('Calculations'!$BN$13:$BN$512,1,'Calculations'!$BU$13:$BU$512,'Calculations'!DE60,'Calculations'!$BT$13:$BT$512,1))</x:f>
      </x:c>
      <x:c r="DH60" s="4" t="str">
        <x:f>IF('Calculations'!DE60="","",'Calculations'!DF60-'Calculations'!DG60)</x:f>
      </x:c>
      <x:c r="DI60" s="4" t="str">
        <x:f>IF(OR('Calculations'!DE60="",'Calculations'!DF60=0),"",'Calculations'!DG60/'Calculations'!DF60)</x:f>
      </x:c>
      <x:c r="DJ60" s="4" t="str">
        <x:f>IF('Calculations'!DE60="","",COUNTIFS('Calculations'!$BN$13:$BN$512,1,'Calculations'!$BU$13:$BU$512,'Calculations'!DE60,'Calculations'!$BT$13:$BT$512,1,'Calculations'!$EE$13:$EE$512,"High"))</x:f>
      </x:c>
      <x:c r="DK60" s="4" t="str">
        <x:f>IF('Calculations'!DE60="","",COUNTIFS('Calculations'!$BN$13:$BN$512,1,'Calculations'!$BU$13:$BU$512,'Calculations'!DE60,'Calculations'!$BT$13:$BT$512,1,'Calculations'!$EE$13:$EE$512,"Strong"))</x:f>
      </x:c>
      <x:c r="DL60" s="4" t="str">
        <x:f>IF('Calculations'!DE60="","",COUNTIFS('Calculations'!$BN$13:$BN$512,1,'Calculations'!$BU$13:$BU$512,'Calculations'!DE60,'Calculations'!$BT$13:$BT$512,1,'Calculations'!$EE$13:$EE$512,"Solid"))</x:f>
      </x:c>
      <x:c r="DM60" s="4" t="str">
        <x:f>IF('Calculations'!DE60="","",COUNTIFS('Calculations'!$BN$13:$BN$512,1,'Calculations'!$BU$13:$BU$512,'Calculations'!DE60,'Calculations'!$BT$13:$BT$512,1,'Calculations'!$EE$13:$EE$512,"Low"))</x:f>
      </x:c>
      <x:c r="DN60" s="4" t="str">
        <x:f>IF('Calculations'!DE60="","",COUNTIFS('Calculations'!$BN$13:$BN$512,1,'Calculations'!$BU$13:$BU$512,'Calculations'!DE60,'Calculations'!$EP$13:$EP$512,1))</x:f>
      </x:c>
      <x:c r="DO60" s="4" t="str">
        <x:f>IF(OR('Calculations'!DE60="",'Calculations'!DG60=0),"",('Calculations'!DJ60+'Calculations'!DK60)/'Calculations'!DG60)</x:f>
      </x:c>
      <x:c r="DP60" s="4" t="n">
        <x:f>IF(AND('Calculations'!DE60&lt;&gt;"",'Calculations'!DF60&gt;0),COUNTIF('Calculations'!$DF$12:DF60,"&gt;0"),0)</x:f>
        <x:v>0</x:v>
      </x:c>
      <x:c r="DQ60" s="4" t="str">
        <x:f>IF(49&gt;MAX('Calculations'!$HH$13:$HH$512),"",INDEX('Calculations'!$HF$13:$HF$512,MATCH(49,'Calculations'!$HH$13:$HH$512,0)))</x:f>
      </x:c>
      <x:c r="DR60" s="4" t="str">
        <x:f>IF(49&gt;MAX('Calculations'!$IK$13:$IK$512),"",INDEX('Calculations'!$HE$13:$HE$512,MATCH(49,'Calculations'!$IK$13:$IK$512,0)))</x:f>
      </x:c>
      <x:c r="DS60" s="4"/>
      <x:c r="DT60" s="4"/>
      <x:c r="DU60" s="4"/>
      <x:c r="DV60" s="4"/>
      <x:c r="DW60" s="4"/>
      <x:c r="DX60" s="4"/>
      <x:c r="DY60" s="4" t="str">
        <x:f>'Calculations'!AF73</x:f>
        <x:v>3</x:v>
      </x:c>
      <x:c r="DZ60" s="4"/>
      <x:c r="EA60" s="4"/>
      <x:c r="EB60" s="4"/>
      <x:c r="EC60" s="4"/>
      <x:c r="ED60" s="4"/>
      <x:c r="EE60" s="4" t="str">
        <x:f>IF('Calculations'!BT60=0,"Not Rated",IF(OR('Calculations'!BO60&gt;=4,'Calculations'!BP60&gt;=4),"Low",IF('Calculations'!BO60+'Calculations'!BP60&lt;=3,"High",IF('Calculations'!BO60+'Calculations'!BP60&lt;=4,"Strong","Solid"))))</x:f>
        <x:v>Not Rated</x:v>
      </x:c>
      <x:c r="EF60" s="4"/>
      <x:c r="EG60" s="4"/>
      <x:c r="EH60" s="4"/>
      <x:c r="EI60" s="4"/>
      <x:c r="EJ60" s="4"/>
      <x:c r="EK60" s="4"/>
      <x:c r="EL60" s="4"/>
      <x:c r="EM60" s="4" t="str">
        <x:f>IF(48&gt;'Calculations'!$JB$2000,"",INDEX('Calculations'!$JA$12:$JA$2000,MATCH(48,'Calculations'!$JB$12:$JB$2000,0)))</x:f>
      </x:c>
      <x:c r="EN60" s="4" t="n">
        <x:f>IF(OR('Calculations'!EM60="",'Calculations'!$AG$8&gt;0,AND('Calculations'!$EF$2&lt;&gt;"All",'Calculations'!HE60='Calculations'!$EF$2),AND('Calculations'!$EF$3&lt;&gt;"All",'Calculations'!HE60='Calculations'!$EF$3)),0,IF(OR('Dashboard'!$B$7="All",'Calculations'!HN60='Dashboard'!$B$7),IF('Calculations'!$EF$2="All",1,IF('Calculations'!HL60&gt;0,0,IF(COUNTIF('Calculations'!HO60:II60,"="&amp;SUBSTITUTE(SUBSTITUTE(SUBSTITUTE('Calculations'!$EF$2,"~","~~"),"*","~*"),"?","~?"))=0,0,IF('Calculations'!$EF$3="All",1,IF(COUNTIF('Calculations'!HO60:II60,"="&amp;SUBSTITUTE(SUBSTITUTE(SUBSTITUTE('Calculations'!$EF$3,"~","~~"),"*","~*"),"?","~?"))&gt;0,1,0))))),0))</x:f>
        <x:v>0</x:v>
      </x:c>
      <x:c r="EO60" s="4" t="str">
        <x:f>IF('Calculations'!IJ60="","",IF('Calculations'!IJ60="!UNRESOLVED","Unresolved hierarchy",IFERROR(INDEX('Calculations'!$HK$13:$HK$512,MATCH('Calculations'!IJ60,'Calculations'!$HE$13:$HE$512,0)),IFERROR(INDEX('Calculations'!$HJ$13:$HJ$512,MATCH('Calculations'!IJ60,'Calculations'!$HF$13:$HF$512,0)),'Calculations'!IJ60))))</x:f>
      </x:c>
      <x:c r="EP60" s="4" t="n">
        <x:f>IF(AND('Calculations'!EM60&lt;&gt;"",'Calculations'!HF60='Calculations'!IJ60),1,0)</x:f>
        <x:v>0</x:v>
      </x:c>
      <x:c r="EQ60" s="4"/>
      <x:c r="ER60" s="4"/>
      <x:c r="ES60" s="4"/>
      <x:c r="ET60" s="4"/>
      <x:c r="EU60" s="4"/>
      <x:c r="EV60" s="4"/>
      <x:c r="EW60" s="4"/>
      <x:c r="EX60" s="4"/>
      <x:c r="EY60" s="4"/>
      <x:c r="EZ60" s="4"/>
      <x:c r="FA60" s="4"/>
      <x:c r="FB60" s="4"/>
      <x:c r="FC60" s="4"/>
      <x:c r="FD60" s="4"/>
      <x:c r="FE60" s="4"/>
      <x:c r="FF60" s="4"/>
      <x:c r="FG60" s="4"/>
      <x:c r="FH60" s="4"/>
      <x:c r="FI60" s="4"/>
      <x:c r="FJ60" s="4"/>
      <x:c r="FK60" s="4"/>
      <x:c r="FL60" s="4"/>
      <x:c r="FM60" s="4"/>
      <x:c r="FN60" s="4"/>
      <x:c r="FO60" s="4"/>
      <x:c r="GA60" s="71"/>
      <x:c r="GB60" s="71"/>
      <x:c r="GC60" s="71"/>
      <x:c r="GD60" s="71"/>
      <x:c r="GE60" s="71"/>
      <x:c r="GF60" s="71"/>
      <x:c r="GG60" s="71"/>
      <x:c r="GH60" s="71"/>
      <x:c r="GI60" s="71"/>
      <x:c r="GJ60" s="71"/>
      <x:c r="GK60" s="71"/>
      <x:c r="GL60" s="71"/>
      <x:c r="GM60" s="71"/>
      <x:c r="GN60" s="71"/>
      <x:c r="GO60" s="71"/>
      <x:c r="GP60" s="71"/>
      <x:c r="GQ60" s="71"/>
      <x:c r="GR60" s="71"/>
      <x:c r="GS60" s="71"/>
      <x:c r="GT60" s="71"/>
      <x:c r="GU60" s="71"/>
      <x:c r="GV60" s="71"/>
      <x:c r="GW60" s="71"/>
      <x:c r="GX60" s="71"/>
      <x:c r="GY60" s="71"/>
      <x:c r="GZ60" s="71"/>
      <x:c r="HA60" s="71"/>
      <x:c r="HB60" s="71"/>
      <x:c r="HC60" s="71"/>
      <x:c r="HD60" s="71"/>
      <x:c r="HE60" t="str">
        <x:f>IF('Calculations'!EM60="","",IF(IFERROR(IF(INDEX(INDIRECT("'WCM Calibration Final'!$A$1:$A$2000"),'Calculations'!$EM60)="","",TRIM(INDEX(INDIRECT("'WCM Calibration Final'!$A$1:$A$2000"),'Calculations'!$EM60)&amp;"")),"")&lt;&gt;"","G:"&amp;IFERROR(TEXT(1*INDEX(INDIRECT("'WCM Calibration Final'!$A$1:$A$2000"),'Calculations'!$EM60),"0"),UPPER(IFERROR(IF(INDEX(INDIRECT("'WCM Calibration Final'!$A$1:$A$2000"),'Calculations'!$EM60)="","",TRIM(INDEX(INDIRECT("'WCM Calibration Final'!$A$1:$A$2000"),'Calculations'!$EM60)&amp;"")),""))),IF(IFERROR(IF(INDEX(INDIRECT("'WCM Calibration Final'!$C$1:$C$2000"),'Calculations'!$EM60)="","",TRIM(INDEX(INDIRECT("'WCM Calibration Final'!$C$1:$C$2000"),'Calculations'!$EM60)&amp;"")),"")&lt;&gt;"","S:"&amp;UPPER(IFERROR(IF(INDEX(INDIRECT("'WCM Calibration Final'!$C$1:$C$2000"),'Calculations'!$EM60)="","",TRIM(INDEX(INDIRECT("'WCM Calibration Final'!$C$1:$C$2000"),'Calculations'!$EM60)&amp;"")),"")),"R:"&amp;'Calculations'!EM60)))</x:f>
      </x:c>
      <x:c r="HF60" t="str">
        <x:f>IF('Calculations'!EM60="","",IF(IFERROR(IF(INDEX(INDIRECT("'WCM Calibration Final'!$D$1:$D$2000"),'Calculations'!$EM60)="","",TRIM(INDEX(INDIRECT("'WCM Calibration Final'!$D$1:$D$2000"),'Calculations'!$EM60)&amp;"")),"")&lt;&gt;"","G:"&amp;IFERROR(TEXT(1*INDEX(INDIRECT("'WCM Calibration Final'!$D$1:$D$2000"),'Calculations'!$EM60),"0"),UPPER(IFERROR(IF(INDEX(INDIRECT("'WCM Calibration Final'!$D$1:$D$2000"),'Calculations'!$EM60)="","",TRIM(INDEX(INDIRECT("'WCM Calibration Final'!$D$1:$D$2000"),'Calculations'!$EM60)&amp;"")),""))),IF(IFERROR(IF(INDEX(INDIRECT("'WCM Calibration Final'!$E$1:$E$2000"),'Calculations'!$EM60)="","",TRIM(INDEX(INDIRECT("'WCM Calibration Final'!$E$1:$E$2000"),'Calculations'!$EM60)&amp;"")),"")="","",IF(COUNTIF('Calculations'!$HG$13:$HG$512,"="&amp;SUBSTITUTE(SUBSTITUTE(SUBSTITUTE(IFERROR(IF(INDEX(INDIRECT("'WCM Calibration Final'!$E$1:$E$2000"),'Calculations'!$EM60)="","",TRIM(INDEX(INDIRECT("'WCM Calibration Final'!$E$1:$E$2000"),'Calculations'!$EM60)&amp;"")),""),"~","~~"),"*","~*"),"?","~?"))=1,INDEX('Calculations'!$HE$13:$HE$512,MATCH(IFERROR(IF(INDEX(INDIRECT("'WCM Calibration Final'!$E$1:$E$2000"),'Calculations'!$EM60)="","",TRIM(INDEX(INDIRECT("'WCM Calibration Final'!$E$1:$E$2000"),'Calculations'!$EM60)&amp;"")),""),'Calculations'!$HG$13:$HG$512,0)),IF(COUNTIF('Calculations'!$HG$13:$HG$512,"="&amp;SUBSTITUTE(SUBSTITUTE(SUBSTITUTE(IFERROR(IF(INDEX(INDIRECT("'WCM Calibration Final'!$E$1:$E$2000"),'Calculations'!$EM60)="","",TRIM(INDEX(INDIRECT("'WCM Calibration Final'!$E$1:$E$2000"),'Calculations'!$EM60)&amp;"")),""),"~","~~"),"*","~*"),"?","~?"))&gt;1,"!AMBIG","X:"&amp;IFERROR(IF(INDEX(INDIRECT("'WCM Calibration Final'!$E$1:$E$2000"),'Calculations'!$EM60)="","",TRIM(INDEX(INDIRECT("'WCM Calibration Final'!$E$1:$E$2000"),'Calculations'!$EM60)&amp;"")),""))))))</x:f>
      </x:c>
      <x:c r="HG60" t="str">
        <x:f>IF('Calculations'!EM60="","",IFERROR(IF(INDEX(INDIRECT("'WCM Calibration Final'!$B$1:$B$2000"),'Calculations'!$EM60)="","",TRIM(INDEX(INDIRECT("'WCM Calibration Final'!$B$1:$B$2000"),'Calculations'!$EM60)&amp;"")),""))</x:f>
      </x:c>
      <x:c r="HH60" t="n">
        <x:f>IF(AND('Calculations'!JC60&gt;0,COUNTIF('Calculations'!$HF$12:HF60,"="&amp;SUBSTITUTE(SUBSTITUTE(SUBSTITUTE('Calculations'!HF60,"~","~~"),"*","~*"),"?","~?"))=1),MAX('Calculations'!$HH$12:HH59)+1,0)</x:f>
        <x:v>0</x:v>
      </x:c>
      <x:c r="HI60" t="n">
        <x:f>IF(AND('Calculations'!HN60&lt;&gt;"",COUNTIF('Calculations'!$HN$12:HN60,"="&amp;SUBSTITUTE(SUBSTITUTE(SUBSTITUTE('Calculations'!HN60,"~","~~"),"*","~*"),"?","~?"))=1),MAX('Calculations'!$HI$12:HI59)+1,0)</x:f>
        <x:v>0</x:v>
      </x:c>
      <x:c r="HJ60" t="str">
        <x:f>IF('Calculations'!HF60="","",IF(COUNTIF('Calculations'!$HE$13:$HE$512,"="&amp;SUBSTITUTE(SUBSTITUTE(SUBSTITUTE('Calculations'!HF60,"~","~~"),"*","~*"),"?","~?"))=1,INDEX('Calculations'!$HK$13:$HK$512,MATCH('Calculations'!HF60,'Calculations'!$HE$13:$HE$512,0)),IFERROR(IF(INDEX(INDIRECT("'WCM Calibration Final'!$E$1:$E$2000"),'Calculations'!$EM60)="","",TRIM(INDEX(INDIRECT("'WCM Calibration Final'!$E$1:$E$2000"),'Calculations'!$EM60)&amp;"")),"")&amp;" ["&amp;'Calculations'!HF60&amp;"]"))</x:f>
      </x:c>
      <x:c r="HK60" t="str">
        <x:f>IF('Calculations'!EM60="","",'Calculations'!HG60&amp;" ["&amp;'Calculations'!HE60&amp;"]")</x:f>
      </x:c>
      <x:c r="HL60" t="n">
        <x:f>IF('Calculations'!EM60="",0,IF(OR('Calculations'!II60&lt;&gt;"",COUNTIF('Calculations'!$HE$13:$HE$512,"="&amp;SUBSTITUTE(SUBSTITUTE(SUBSTITUTE('Calculations'!HE60,"~","~~"),"*","~*"),"?","~?"))&gt;1),1,0))</x:f>
        <x:v>0</x:v>
      </x:c>
      <x:c r="HM60" t="str">
        <x:f>IF('Calculations'!EM60="","",IF('Calculations'!HL60=1,"!UNRESOLVED",IF('Calculations'!IH60&lt;&gt;"",'Calculations'!IH60,IF('Calculations'!IG60&lt;&gt;"",'Calculations'!IG60,IF('Calculations'!IF60&lt;&gt;"",'Calculations'!IF60,IF('Calculations'!IE60&lt;&gt;"",'Calculations'!IE60,IF('Calculations'!ID60&lt;&gt;"",'Calculations'!ID60,IF('Calculations'!IC60&lt;&gt;"",'Calculations'!IC60,IF('Calculations'!IB60&lt;&gt;"",'Calculations'!IB60,IF('Calculations'!IA60&lt;&gt;"",'Calculations'!IA60,IF('Calculations'!HZ60&lt;&gt;"",'Calculations'!HZ60,IF('Calculations'!HY60&lt;&gt;"",'Calculations'!HY60,IF('Calculations'!HX60&lt;&gt;"",'Calculations'!HX60,IF('Calculations'!HW60&lt;&gt;"",'Calculations'!HW60,IF('Calculations'!HV60&lt;&gt;"",'Calculations'!HV60,IF('Calculations'!HU60&lt;&gt;"",'Calculations'!HU60,IF('Calculations'!HT60&lt;&gt;"",'Calculations'!HT60,IF('Calculations'!HS60&lt;&gt;"",'Calculations'!HS60,IF('Calculations'!HR60&lt;&gt;"",'Calculations'!HR60,IF('Calculations'!HQ60&lt;&gt;"",'Calculations'!HQ60,IF('Calculations'!HP60&lt;&gt;"",'Calculations'!HP60,IF('Calculations'!HO60&lt;&gt;"",'Calculations'!HO60,'Calculations'!HE60))))))))))))))))))))))</x:f>
      </x:c>
      <x:c r="HN60" t="str">
        <x:f>IF('Calculations'!EM60="","",IF(IFERROR(IF(INDEX(INDIRECT("'WCM Calibration Final'!$F$1:$F$2000"),'Calculations'!$EM60)="","",TRIM(INDEX(INDIRECT("'WCM Calibration Final'!$F$1:$F$2000"),'Calculations'!$EM60)&amp;"")),"")="","(Blank)",IFERROR(IF(INDEX(INDIRECT("'WCM Calibration Final'!$F$1:$F$2000"),'Calculations'!$EM60)="","",TRIM(INDEX(INDIRECT("'WCM Calibration Final'!$F$1:$F$2000"),'Calculations'!$EM60)&amp;"")),"")))</x:f>
      </x:c>
      <x:c r="HO60" t="str">
        <x:f>'Calculations'!HF60</x:f>
      </x:c>
      <x:c r="HP60" t="str">
        <x:f>IF('Calculations'!HO60="","",IF('Calculations'!HO60="!AMBIG","!AMBIG",IF(COUNTIF('Calculations'!$HE$13:$HE$512,"="&amp;SUBSTITUTE(SUBSTITUTE(SUBSTITUTE('Calculations'!HO60,"~","~~"),"*","~*"),"?","~?"))&gt;1,"!AMBIG",IFERROR(INDEX('Calculations'!$HF$13:$HF$512,MATCH('Calculations'!HO60,'Calculations'!$HE$13:$HE$512,0)),""))))</x:f>
      </x:c>
      <x:c r="HQ60" t="str">
        <x:f>IF('Calculations'!HP60="","",IF('Calculations'!HP60="!AMBIG","!AMBIG",IF(COUNTIF('Calculations'!$HE$13:$HE$512,"="&amp;SUBSTITUTE(SUBSTITUTE(SUBSTITUTE('Calculations'!HP60,"~","~~"),"*","~*"),"?","~?"))&gt;1,"!AMBIG",IFERROR(INDEX('Calculations'!$HF$13:$HF$512,MATCH('Calculations'!HP60,'Calculations'!$HE$13:$HE$512,0)),""))))</x:f>
      </x:c>
      <x:c r="HR60" t="str">
        <x:f>IF('Calculations'!HQ60="","",IF('Calculations'!HQ60="!AMBIG","!AMBIG",IF(COUNTIF('Calculations'!$HE$13:$HE$512,"="&amp;SUBSTITUTE(SUBSTITUTE(SUBSTITUTE('Calculations'!HQ60,"~","~~"),"*","~*"),"?","~?"))&gt;1,"!AMBIG",IFERROR(INDEX('Calculations'!$HF$13:$HF$512,MATCH('Calculations'!HQ60,'Calculations'!$HE$13:$HE$512,0)),""))))</x:f>
      </x:c>
      <x:c r="HS60" t="str">
        <x:f>IF('Calculations'!HR60="","",IF('Calculations'!HR60="!AMBIG","!AMBIG",IF(COUNTIF('Calculations'!$HE$13:$HE$512,"="&amp;SUBSTITUTE(SUBSTITUTE(SUBSTITUTE('Calculations'!HR60,"~","~~"),"*","~*"),"?","~?"))&gt;1,"!AMBIG",IFERROR(INDEX('Calculations'!$HF$13:$HF$512,MATCH('Calculations'!HR60,'Calculations'!$HE$13:$HE$512,0)),""))))</x:f>
      </x:c>
      <x:c r="HT60" t="str">
        <x:f>IF('Calculations'!HS60="","",IF('Calculations'!HS60="!AMBIG","!AMBIG",IF(COUNTIF('Calculations'!$HE$13:$HE$512,"="&amp;SUBSTITUTE(SUBSTITUTE(SUBSTITUTE('Calculations'!HS60,"~","~~"),"*","~*"),"?","~?"))&gt;1,"!AMBIG",IFERROR(INDEX('Calculations'!$HF$13:$HF$512,MATCH('Calculations'!HS60,'Calculations'!$HE$13:$HE$512,0)),""))))</x:f>
      </x:c>
      <x:c r="HU60" t="str">
        <x:f>IF('Calculations'!HT60="","",IF('Calculations'!HT60="!AMBIG","!AMBIG",IF(COUNTIF('Calculations'!$HE$13:$HE$512,"="&amp;SUBSTITUTE(SUBSTITUTE(SUBSTITUTE('Calculations'!HT60,"~","~~"),"*","~*"),"?","~?"))&gt;1,"!AMBIG",IFERROR(INDEX('Calculations'!$HF$13:$HF$512,MATCH('Calculations'!HT60,'Calculations'!$HE$13:$HE$512,0)),""))))</x:f>
      </x:c>
      <x:c r="HV60" t="str">
        <x:f>IF('Calculations'!HU60="","",IF('Calculations'!HU60="!AMBIG","!AMBIG",IF(COUNTIF('Calculations'!$HE$13:$HE$512,"="&amp;SUBSTITUTE(SUBSTITUTE(SUBSTITUTE('Calculations'!HU60,"~","~~"),"*","~*"),"?","~?"))&gt;1,"!AMBIG",IFERROR(INDEX('Calculations'!$HF$13:$HF$512,MATCH('Calculations'!HU60,'Calculations'!$HE$13:$HE$512,0)),""))))</x:f>
      </x:c>
      <x:c r="HW60" t="str">
        <x:f>IF('Calculations'!HV60="","",IF('Calculations'!HV60="!AMBIG","!AMBIG",IF(COUNTIF('Calculations'!$HE$13:$HE$512,"="&amp;SUBSTITUTE(SUBSTITUTE(SUBSTITUTE('Calculations'!HV60,"~","~~"),"*","~*"),"?","~?"))&gt;1,"!AMBIG",IFERROR(INDEX('Calculations'!$HF$13:$HF$512,MATCH('Calculations'!HV60,'Calculations'!$HE$13:$HE$512,0)),""))))</x:f>
      </x:c>
      <x:c r="HX60" t="str">
        <x:f>IF('Calculations'!HW60="","",IF('Calculations'!HW60="!AMBIG","!AMBIG",IF(COUNTIF('Calculations'!$HE$13:$HE$512,"="&amp;SUBSTITUTE(SUBSTITUTE(SUBSTITUTE('Calculations'!HW60,"~","~~"),"*","~*"),"?","~?"))&gt;1,"!AMBIG",IFERROR(INDEX('Calculations'!$HF$13:$HF$512,MATCH('Calculations'!HW60,'Calculations'!$HE$13:$HE$512,0)),""))))</x:f>
      </x:c>
      <x:c r="HY60" t="str">
        <x:f>IF('Calculations'!HX60="","",IF('Calculations'!HX60="!AMBIG","!AMBIG",IF(COUNTIF('Calculations'!$HE$13:$HE$512,"="&amp;SUBSTITUTE(SUBSTITUTE(SUBSTITUTE('Calculations'!HX60,"~","~~"),"*","~*"),"?","~?"))&gt;1,"!AMBIG",IFERROR(INDEX('Calculations'!$HF$13:$HF$512,MATCH('Calculations'!HX60,'Calculations'!$HE$13:$HE$512,0)),""))))</x:f>
      </x:c>
      <x:c r="HZ60" t="str">
        <x:f>IF('Calculations'!HY60="","",IF('Calculations'!HY60="!AMBIG","!AMBIG",IF(COUNTIF('Calculations'!$HE$13:$HE$512,"="&amp;SUBSTITUTE(SUBSTITUTE(SUBSTITUTE('Calculations'!HY60,"~","~~"),"*","~*"),"?","~?"))&gt;1,"!AMBIG",IFERROR(INDEX('Calculations'!$HF$13:$HF$512,MATCH('Calculations'!HY60,'Calculations'!$HE$13:$HE$512,0)),""))))</x:f>
      </x:c>
      <x:c r="IA60" t="str">
        <x:f>IF('Calculations'!HZ60="","",IF('Calculations'!HZ60="!AMBIG","!AMBIG",IF(COUNTIF('Calculations'!$HE$13:$HE$512,"="&amp;SUBSTITUTE(SUBSTITUTE(SUBSTITUTE('Calculations'!HZ60,"~","~~"),"*","~*"),"?","~?"))&gt;1,"!AMBIG",IFERROR(INDEX('Calculations'!$HF$13:$HF$512,MATCH('Calculations'!HZ60,'Calculations'!$HE$13:$HE$512,0)),""))))</x:f>
      </x:c>
      <x:c r="IB60" t="str">
        <x:f>IF('Calculations'!IA60="","",IF('Calculations'!IA60="!AMBIG","!AMBIG",IF(COUNTIF('Calculations'!$HE$13:$HE$512,"="&amp;SUBSTITUTE(SUBSTITUTE(SUBSTITUTE('Calculations'!IA60,"~","~~"),"*","~*"),"?","~?"))&gt;1,"!AMBIG",IFERROR(INDEX('Calculations'!$HF$13:$HF$512,MATCH('Calculations'!IA60,'Calculations'!$HE$13:$HE$512,0)),""))))</x:f>
      </x:c>
      <x:c r="IC60" t="str">
        <x:f>IF('Calculations'!IB60="","",IF('Calculations'!IB60="!AMBIG","!AMBIG",IF(COUNTIF('Calculations'!$HE$13:$HE$512,"="&amp;SUBSTITUTE(SUBSTITUTE(SUBSTITUTE('Calculations'!IB60,"~","~~"),"*","~*"),"?","~?"))&gt;1,"!AMBIG",IFERROR(INDEX('Calculations'!$HF$13:$HF$512,MATCH('Calculations'!IB60,'Calculations'!$HE$13:$HE$512,0)),""))))</x:f>
      </x:c>
      <x:c r="ID60" t="str">
        <x:f>IF('Calculations'!IC60="","",IF('Calculations'!IC60="!AMBIG","!AMBIG",IF(COUNTIF('Calculations'!$HE$13:$HE$512,"="&amp;SUBSTITUTE(SUBSTITUTE(SUBSTITUTE('Calculations'!IC60,"~","~~"),"*","~*"),"?","~?"))&gt;1,"!AMBIG",IFERROR(INDEX('Calculations'!$HF$13:$HF$512,MATCH('Calculations'!IC60,'Calculations'!$HE$13:$HE$512,0)),""))))</x:f>
      </x:c>
      <x:c r="IE60" t="str">
        <x:f>IF('Calculations'!ID60="","",IF('Calculations'!ID60="!AMBIG","!AMBIG",IF(COUNTIF('Calculations'!$HE$13:$HE$512,"="&amp;SUBSTITUTE(SUBSTITUTE(SUBSTITUTE('Calculations'!ID60,"~","~~"),"*","~*"),"?","~?"))&gt;1,"!AMBIG",IFERROR(INDEX('Calculations'!$HF$13:$HF$512,MATCH('Calculations'!ID60,'Calculations'!$HE$13:$HE$512,0)),""))))</x:f>
      </x:c>
      <x:c r="IF60" t="str">
        <x:f>IF('Calculations'!IE60="","",IF('Calculations'!IE60="!AMBIG","!AMBIG",IF(COUNTIF('Calculations'!$HE$13:$HE$512,"="&amp;SUBSTITUTE(SUBSTITUTE(SUBSTITUTE('Calculations'!IE60,"~","~~"),"*","~*"),"?","~?"))&gt;1,"!AMBIG",IFERROR(INDEX('Calculations'!$HF$13:$HF$512,MATCH('Calculations'!IE60,'Calculations'!$HE$13:$HE$512,0)),""))))</x:f>
      </x:c>
      <x:c r="IG60" t="str">
        <x:f>IF('Calculations'!IF60="","",IF('Calculations'!IF60="!AMBIG","!AMBIG",IF(COUNTIF('Calculations'!$HE$13:$HE$512,"="&amp;SUBSTITUTE(SUBSTITUTE(SUBSTITUTE('Calculations'!IF60,"~","~~"),"*","~*"),"?","~?"))&gt;1,"!AMBIG",IFERROR(INDEX('Calculations'!$HF$13:$HF$512,MATCH('Calculations'!IF60,'Calculations'!$HE$13:$HE$512,0)),""))))</x:f>
      </x:c>
      <x:c r="IH60" t="str">
        <x:f>IF('Calculations'!IG60="","",IF('Calculations'!IG60="!AMBIG","!AMBIG",IF(COUNTIF('Calculations'!$HE$13:$HE$512,"="&amp;SUBSTITUTE(SUBSTITUTE(SUBSTITUTE('Calculations'!IG60,"~","~~"),"*","~*"),"?","~?"))&gt;1,"!AMBIG",IFERROR(INDEX('Calculations'!$HF$13:$HF$512,MATCH('Calculations'!IG60,'Calculations'!$HE$13:$HE$512,0)),""))))</x:f>
      </x:c>
      <x:c r="II60" t="str">
        <x:f>IF('Calculations'!IH60="","",IF('Calculations'!IH60="!AMBIG","!AMBIG",IF(COUNTIF('Calculations'!$HE$13:$HE$512,"="&amp;SUBSTITUTE(SUBSTITUTE(SUBSTITUTE('Calculations'!IH60,"~","~~"),"*","~*"),"?","~?"))&gt;1,"!AMBIG",IFERROR(INDEX('Calculations'!$HF$13:$HF$512,MATCH('Calculations'!IH60,'Calculations'!$HE$13:$HE$512,0)),""))))</x:f>
      </x:c>
      <x:c r="IJ60" t="str">
        <x:f>IF('Calculations'!EM60="","",IF('Calculations'!$EF$2="All",'Calculations'!HM60,IF('Calculations'!HL60=1,"",IFERROR(IF(MATCH('Calculations'!$EF$2,'Calculations'!HO60:II60,0)=1,'Calculations'!HE60,INDEX('Calculations'!HO60:II60,1,MATCH('Calculations'!$EF$2,'Calculations'!HO60:II60,0)-1)),""))))</x:f>
      </x:c>
      <x:c r="IK60" t="n">
        <x:f>IF(AND('Calculations'!EM60&lt;&gt;"",'Calculations'!$EF$2&lt;&gt;"All",'Calculations'!HF60='Calculations'!$EF$2,'Calculations'!HL60=0,'Calculations'!JD60&gt;0),MAX('Calculations'!$IK$12:IK59)+1,0)</x:f>
        <x:v>0</x:v>
      </x:c>
      <x:c r="JA60" t="n">
        <x:f>IF(OR(IFERROR(INDIRECT("'WCM Calibration Final'!$A$60")&lt;&gt;"",FALSE),IFERROR(INDIRECT("'WCM Calibration Final'!$B$60")&lt;&gt;"",FALSE),IFERROR(INDIRECT("'WCM Calibration Final'!$C$60")&lt;&gt;"",FALSE)),60,0)</x:f>
        <x:v>0</x:v>
      </x:c>
      <x:c r="JB60" t="n">
        <x:f>'Calculations'!JB59+IF('Calculations'!JA60&gt;0,1,0)</x:f>
        <x:v>0</x:v>
      </x:c>
      <x:c r="JC60" t="n">
        <x:f>IF(OR('Calculations'!HF60="",'Calculations'!HF60="!AMBIG"),0,IF('Dashboard'!$B$7="All",1,COUNTIFS('Calculations'!$HO$13:$HO$512,"="&amp;SUBSTITUTE(SUBSTITUTE(SUBSTITUTE('Calculations'!HF60,"~","~~"),"*","~*"),"?","~?"),'Calculations'!$HN$13:$HN$512,"="&amp;SUBSTITUTE(SUBSTITUTE(SUBSTITUTE('Dashboard'!$B$7,"~","~~"),"*","~*"),"?","~?"))+COUNTIFS('Calculations'!$HP$13:$HP$512,"="&amp;SUBSTITUTE(SUBSTITUTE(SUBSTITUTE('Calculations'!HF60,"~","~~"),"*","~*"),"?","~?"),'Calculations'!$HN$13:$HN$512,"="&amp;SUBSTITUTE(SUBSTITUTE(SUBSTITUTE('Dashboard'!$B$7,"~","~~"),"*","~*"),"?","~?"))+COUNTIFS('Calculations'!$HQ$13:$HQ$512,"="&amp;SUBSTITUTE(SUBSTITUTE(SUBSTITUTE('Calculations'!HF60,"~","~~"),"*","~*"),"?","~?"),'Calculations'!$HN$13:$HN$512,"="&amp;SUBSTITUTE(SUBSTITUTE(SUBSTITUTE('Dashboard'!$B$7,"~","~~"),"*","~*"),"?","~?"))+COUNTIFS('Calculations'!$HR$13:$HR$512,"="&amp;SUBSTITUTE(SUBSTITUTE(SUBSTITUTE('Calculations'!HF60,"~","~~"),"*","~*"),"?","~?"),'Calculations'!$HN$13:$HN$512,"="&amp;SUBSTITUTE(SUBSTITUTE(SUBSTITUTE('Dashboard'!$B$7,"~","~~"),"*","~*"),"?","~?"))+COUNTIFS('Calculations'!$HS$13:$HS$512,"="&amp;SUBSTITUTE(SUBSTITUTE(SUBSTITUTE('Calculations'!HF60,"~","~~"),"*","~*"),"?","~?"),'Calculations'!$HN$13:$HN$512,"="&amp;SUBSTITUTE(SUBSTITUTE(SUBSTITUTE('Dashboard'!$B$7,"~","~~"),"*","~*"),"?","~?"))+COUNTIFS('Calculations'!$HT$13:$HT$512,"="&amp;SUBSTITUTE(SUBSTITUTE(SUBSTITUTE('Calculations'!HF60,"~","~~"),"*","~*"),"?","~?"),'Calculations'!$HN$13:$HN$512,"="&amp;SUBSTITUTE(SUBSTITUTE(SUBSTITUTE('Dashboard'!$B$7,"~","~~"),"*","~*"),"?","~?"))+COUNTIFS('Calculations'!$HU$13:$HU$512,"="&amp;SUBSTITUTE(SUBSTITUTE(SUBSTITUTE('Calculations'!HF60,"~","~~"),"*","~*"),"?","~?"),'Calculations'!$HN$13:$HN$512,"="&amp;SUBSTITUTE(SUBSTITUTE(SUBSTITUTE('Dashboard'!$B$7,"~","~~"),"*","~*"),"?","~?"))+COUNTIFS('Calculations'!$HV$13:$HV$512,"="&amp;SUBSTITUTE(SUBSTITUTE(SUBSTITUTE('Calculations'!HF60,"~","~~"),"*","~*"),"?","~?"),'Calculations'!$HN$13:$HN$512,"="&amp;SUBSTITUTE(SUBSTITUTE(SUBSTITUTE('Dashboard'!$B$7,"~","~~"),"*","~*"),"?","~?"))+COUNTIFS('Calculations'!$HW$13:$HW$512,"="&amp;SUBSTITUTE(SUBSTITUTE(SUBSTITUTE('Calculations'!HF60,"~","~~"),"*","~*"),"?","~?"),'Calculations'!$HN$13:$HN$512,"="&amp;SUBSTITUTE(SUBSTITUTE(SUBSTITUTE('Dashboard'!$B$7,"~","~~"),"*","~*"),"?","~?"))+COUNTIFS('Calculations'!$HX$13:$HX$512,"="&amp;SUBSTITUTE(SUBSTITUTE(SUBSTITUTE('Calculations'!HF60,"~","~~"),"*","~*"),"?","~?"),'Calculations'!$HN$13:$HN$512,"="&amp;SUBSTITUTE(SUBSTITUTE(SUBSTITUTE('Dashboard'!$B$7,"~","~~"),"*","~*"),"?","~?"))+COUNTIFS('Calculations'!$HY$13:$HY$512,"="&amp;SUBSTITUTE(SUBSTITUTE(SUBSTITUTE('Calculations'!HF60,"~","~~"),"*","~*"),"?","~?"),'Calculations'!$HN$13:$HN$512,"="&amp;SUBSTITUTE(SUBSTITUTE(SUBSTITUTE('Dashboard'!$B$7,"~","~~"),"*","~*"),"?","~?"))+COUNTIFS('Calculations'!$HZ$13:$HZ$512,"="&amp;SUBSTITUTE(SUBSTITUTE(SUBSTITUTE('Calculations'!HF60,"~","~~"),"*","~*"),"?","~?"),'Calculations'!$HN$13:$HN$512,"="&amp;SUBSTITUTE(SUBSTITUTE(SUBSTITUTE('Dashboard'!$B$7,"~","~~"),"*","~*"),"?","~?"))+COUNTIFS('Calculations'!$IA$13:$IA$512,"="&amp;SUBSTITUTE(SUBSTITUTE(SUBSTITUTE('Calculations'!HF60,"~","~~"),"*","~*"),"?","~?"),'Calculations'!$HN$13:$HN$512,"="&amp;SUBSTITUTE(SUBSTITUTE(SUBSTITUTE('Dashboard'!$B$7,"~","~~"),"*","~*"),"?","~?"))+COUNTIFS('Calculations'!$IB$13:$IB$512,"="&amp;SUBSTITUTE(SUBSTITUTE(SUBSTITUTE('Calculations'!HF60,"~","~~"),"*","~*"),"?","~?"),'Calculations'!$HN$13:$HN$512,"="&amp;SUBSTITUTE(SUBSTITUTE(SUBSTITUTE('Dashboard'!$B$7,"~","~~"),"*","~*"),"?","~?"))+COUNTIFS('Calculations'!$IC$13:$IC$512,"="&amp;SUBSTITUTE(SUBSTITUTE(SUBSTITUTE('Calculations'!HF60,"~","~~"),"*","~*"),"?","~?"),'Calculations'!$HN$13:$HN$512,"="&amp;SUBSTITUTE(SUBSTITUTE(SUBSTITUTE('Dashboard'!$B$7,"~","~~"),"*","~*"),"?","~?"))+COUNTIFS('Calculations'!$ID$13:$ID$512,"="&amp;SUBSTITUTE(SUBSTITUTE(SUBSTITUTE('Calculations'!HF60,"~","~~"),"*","~*"),"?","~?"),'Calculations'!$HN$13:$HN$512,"="&amp;SUBSTITUTE(SUBSTITUTE(SUBSTITUTE('Dashboard'!$B$7,"~","~~"),"*","~*"),"?","~?"))+COUNTIFS('Calculations'!$IE$13:$IE$512,"="&amp;SUBSTITUTE(SUBSTITUTE(SUBSTITUTE('Calculations'!HF60,"~","~~"),"*","~*"),"?","~?"),'Calculations'!$HN$13:$HN$512,"="&amp;SUBSTITUTE(SUBSTITUTE(SUBSTITUTE('Dashboard'!$B$7,"~","~~"),"*","~*"),"?","~?"))+COUNTIFS('Calculations'!$IF$13:$IF$512,"="&amp;SUBSTITUTE(SUBSTITUTE(SUBSTITUTE('Calculations'!HF60,"~","~~"),"*","~*"),"?","~?"),'Calculations'!$HN$13:$HN$512,"="&amp;SUBSTITUTE(SUBSTITUTE(SUBSTITUTE('Dashboard'!$B$7,"~","~~"),"*","~*"),"?","~?"))+COUNTIFS('Calculations'!$IG$13:$IG$512,"="&amp;SUBSTITUTE(SUBSTITUTE(SUBSTITUTE('Calculations'!HF60,"~","~~"),"*","~*"),"?","~?"),'Calculations'!$HN$13:$HN$512,"="&amp;SUBSTITUTE(SUBSTITUTE(SUBSTITUTE('Dashboard'!$B$7,"~","~~"),"*","~*"),"?","~?"))+COUNTIFS('Calculations'!$IH$13:$IH$512,"="&amp;SUBSTITUTE(SUBSTITUTE(SUBSTITUTE('Calculations'!HF60,"~","~~"),"*","~*"),"?","~?"),'Calculations'!$HN$13:$HN$512,"="&amp;SUBSTITUTE(SUBSTITUTE(SUBSTITUTE('Dashboard'!$B$7,"~","~~"),"*","~*"),"?","~?"))))</x:f>
        <x:v>0</x:v>
      </x:c>
      <x:c r="JD60" t="n">
        <x:f>IF('Calculations'!EM60="",0,IF('Dashboard'!$B$7="All",1,IF('Calculations'!HN60='Dashboard'!$B$7,1,0)+IFERROR(INDEX('Calculations'!$JC$13:$JC$512,MATCH('Calculations'!HE60,'Calculations'!$HF$13:$HF$512,0)),0)))</x:f>
        <x:v>0</x:v>
      </x:c>
      <x:c r="JE60" t="n">
        <x:f>IF(AND('Calculations'!EM60&lt;&gt;"",'Calculations'!$JJ$2&lt;&gt;"All",'Calculations'!$JJ$2&lt;&gt;"",'Calculations'!HF60='Calculations'!$JJ$2,'Calculations'!HL60=0,'Calculations'!JD60&gt;0),MAX('Calculations'!$JE$12:JE59)+1,0)</x:f>
        <x:v>0</x:v>
      </x:c>
      <x:c r="JF60" t="str">
        <x:f>IF('Calculations'!EM60="","",IFERROR(IF(INDEX(INDIRECT("'WCM Calibration Final'!$G$1:$G$2000"),'Calculations'!$EM60)="","",TRIM(INDEX(INDIRECT("'WCM Calibration Final'!$G$1:$G$2000"),'Calculations'!$EM60)&amp;"")),""))</x:f>
      </x:c>
      <x:c r="JQ60" t="n">
        <x:f>IF(OR('Calculations'!BM60=0,NOT('Calculations'!$AG$2),'Calculations'!$AG$8&gt;0),0,IF(OR('Dashboard'!$B$7="All",'Calculations'!HN60='Dashboard'!$B$7),IF('Calculations'!$JJ$2="All",1,IF(AND('Calculations'!HF60='Calculations'!$JJ$2,'Calculations'!HL60=0),1,0)),0))</x:f>
        <x:v>0</x:v>
      </x:c>
    </x:row>
    <x:row r="61">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t="n">
        <x:f>IF('Calculations'!$EM61="",0,IF(OR(IFERROR(INDEX(INDIRECT("'WCM Calibration Final'!$A$1:$A$2000"),'Calculations'!$EM61)&lt;&gt;"",FALSE),IFERROR(INDEX(INDIRECT("'WCM Calibration Final'!$B$1:$B$2000"),'Calculations'!$EM61)&lt;&gt;"",FALSE),IFERROR(INDEX(INDIRECT("'WCM Calibration Final'!$C$1:$C$2000"),'Calculations'!$EM61)&lt;&gt;"",FALSE)),1,0))</x:f>
        <x:v>0</x:v>
      </x:c>
      <x:c r="BN61" s="4" t="n">
        <x:f>IF(AND('Calculations'!BM61=1,'Calculations'!$AG$2,'Calculations'!$EN61=1),1,0)</x:f>
        <x:v>0</x:v>
      </x:c>
      <x:c r="BO61" s="4" t="str">
        <x:f>IF('Calculations'!BM61=0,"",IFERROR(IF(AND(VALUE(INDEX(INDIRECT("'WCM Calibration Final'!$K$1:$K$2000"),'Calculations'!$EM61))&gt;=1,VALUE(INDEX(INDIRECT("'WCM Calibration Final'!$K$1:$K$2000"),'Calculations'!$EM61))&lt;=4,MOD(VALUE(INDEX(INDIRECT("'WCM Calibration Final'!$K$1:$K$2000"),'Calculations'!$EM61)),1)=0),VALUE(INDEX(INDIRECT("'WCM Calibration Final'!$K$1:$K$2000"),'Calculations'!$EM61)),""),""))</x:f>
      </x:c>
      <x:c r="BP61" s="4" t="str">
        <x:f>IF('Calculations'!BM61=0,"",IFERROR(IF(AND(VALUE(INDEX(INDIRECT("'WCM Calibration Final'!$L$1:$L$2000"),'Calculations'!$EM61))&gt;=1,VALUE(INDEX(INDIRECT("'WCM Calibration Final'!$L$1:$L$2000"),'Calculations'!$EM61))&lt;=4,MOD(VALUE(INDEX(INDIRECT("'WCM Calibration Final'!$L$1:$L$2000"),'Calculations'!$EM61)),1)=0),VALUE(INDEX(INDIRECT("'WCM Calibration Final'!$L$1:$L$2000"),'Calculations'!$EM61)),""),""))</x:f>
      </x:c>
      <x:c r="BQ61" s="4"/>
      <x:c r="BR61" s="4"/>
      <x:c r="BS61" s="4"/>
      <x:c r="BT61" s="4" t="n">
        <x:f>IF(AND('Calculations'!BM61=1,ISNUMBER('Calculations'!BO61),ISNUMBER('Calculations'!BP61)),1,0)</x:f>
        <x:v>0</x:v>
      </x:c>
      <x:c r="BU61" s="4" t="str">
        <x:f>IF('Calculations'!BM61=0,"",'Calculations'!$EO61)</x:f>
      </x:c>
      <x:c r="BV61" s="4" t="str">
        <x:f>IF('Calculations'!BM61=0,"",IFERROR(IF(OR(INDEX(INDIRECT("'WCM Calibration Final'!$H$1:$H$2000"),'Calculations'!$EM61)="MANAGING DIRECTOR",INDEX(INDIRECT("'WCM Calibration Final'!$H$1:$H$2000"),'Calculations'!$EM61)="DIRECTOR",INDEX(INDIRECT("'WCM Calibration Final'!$H$1:$H$2000"),'Calculations'!$EM61)="SENIOR VICE PRESIDENT",INDEX(INDIRECT("'WCM Calibration Final'!$H$1:$H$2000"),'Calculations'!$EM61)="VICE PRESIDENT",INDEX(INDIRECT("'WCM Calibration Final'!$H$1:$H$2000"),'Calculations'!$EM61)="ASSISTANT VICE PRESIDENT",INDEX(INDIRECT("'WCM Calibration Final'!$H$1:$H$2000"),'Calculations'!$EM61)="OFFICER"),UPPER(INDEX(INDIRECT("'WCM Calibration Final'!$H$1:$H$2000"),'Calculations'!$EM61)),"Other"),"Other"))</x:f>
      </x:c>
      <x:c r="BW61" s="4"/>
      <x:c r="BX61" s="4"/>
      <x:c r="BY61" s="4" t="n">
        <x:f>IF(AND('Calculations'!BM61=1,'Calculations'!BU61&lt;&gt;"",COUNTIF('Calculations'!$BU$12:BU61,'Calculations'!BU61)=1),MAX('Calculations'!$BY$11:BY60)+1,0)</x:f>
        <x:v>0</x:v>
      </x:c>
      <x:c r="BZ61" s="4" t="str">
        <x:f>IF('Dashboard'!$E$67="What",'Calculations'!BO61,'Calculations'!BP61)</x:f>
      </x:c>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t="str">
        <x:f>IF(50&gt;MAX('Calculations'!$HI$13:$HI$512),"",INDEX('Calculations'!$HN$13:$HN$512,MATCH(50,'Calculations'!$HI$13:$HI$512,0)))</x:f>
      </x:c>
      <x:c r="DB61" s="4" t="str">
        <x:f>IF(50&gt;MAX('Calculations'!$HH$13:$HH$512),"",INDEX('Calculations'!$HJ$13:$HJ$512,MATCH(50,'Calculations'!$HH$13:$HH$512,0)))</x:f>
      </x:c>
      <x:c r="DC61" s="4" t="str">
        <x:f>IF(ROW()-11&gt;MAX('Calculations'!$BY$13:$BY$512),"",INDEX('Calculations'!$BU$13:$BU$512,MATCH(ROW()-11,'Calculations'!$BY$13:$BY$512,0)))</x:f>
      </x:c>
      <x:c r="DD61" s="4" t="str">
        <x:f>IF(50&gt;MAX('Calculations'!$IK$13:$IK$512),"",INDEX('Calculations'!$HK$13:$HK$512,MATCH(50,'Calculations'!$IK$13:$IK$512,0)))</x:f>
      </x:c>
      <x:c r="DE61" s="4" t="str">
        <x:f>'Calculations'!DC61</x:f>
      </x:c>
      <x:c r="DF61" s="4" t="str">
        <x:f>IF('Calculations'!DE61="","",COUNTIFS('Calculations'!$BN$13:$BN$512,1,'Calculations'!$BU$13:$BU$512,'Calculations'!DE61))</x:f>
      </x:c>
      <x:c r="DG61" s="4" t="str">
        <x:f>IF('Calculations'!DE61="","",COUNTIFS('Calculations'!$BN$13:$BN$512,1,'Calculations'!$BU$13:$BU$512,'Calculations'!DE61,'Calculations'!$BT$13:$BT$512,1))</x:f>
      </x:c>
      <x:c r="DH61" s="4" t="str">
        <x:f>IF('Calculations'!DE61="","",'Calculations'!DF61-'Calculations'!DG61)</x:f>
      </x:c>
      <x:c r="DI61" s="4" t="str">
        <x:f>IF(OR('Calculations'!DE61="",'Calculations'!DF61=0),"",'Calculations'!DG61/'Calculations'!DF61)</x:f>
      </x:c>
      <x:c r="DJ61" s="4" t="str">
        <x:f>IF('Calculations'!DE61="","",COUNTIFS('Calculations'!$BN$13:$BN$512,1,'Calculations'!$BU$13:$BU$512,'Calculations'!DE61,'Calculations'!$BT$13:$BT$512,1,'Calculations'!$EE$13:$EE$512,"High"))</x:f>
      </x:c>
      <x:c r="DK61" s="4" t="str">
        <x:f>IF('Calculations'!DE61="","",COUNTIFS('Calculations'!$BN$13:$BN$512,1,'Calculations'!$BU$13:$BU$512,'Calculations'!DE61,'Calculations'!$BT$13:$BT$512,1,'Calculations'!$EE$13:$EE$512,"Strong"))</x:f>
      </x:c>
      <x:c r="DL61" s="4" t="str">
        <x:f>IF('Calculations'!DE61="","",COUNTIFS('Calculations'!$BN$13:$BN$512,1,'Calculations'!$BU$13:$BU$512,'Calculations'!DE61,'Calculations'!$BT$13:$BT$512,1,'Calculations'!$EE$13:$EE$512,"Solid"))</x:f>
      </x:c>
      <x:c r="DM61" s="4" t="str">
        <x:f>IF('Calculations'!DE61="","",COUNTIFS('Calculations'!$BN$13:$BN$512,1,'Calculations'!$BU$13:$BU$512,'Calculations'!DE61,'Calculations'!$BT$13:$BT$512,1,'Calculations'!$EE$13:$EE$512,"Low"))</x:f>
      </x:c>
      <x:c r="DN61" s="4" t="str">
        <x:f>IF('Calculations'!DE61="","",COUNTIFS('Calculations'!$BN$13:$BN$512,1,'Calculations'!$BU$13:$BU$512,'Calculations'!DE61,'Calculations'!$EP$13:$EP$512,1))</x:f>
      </x:c>
      <x:c r="DO61" s="4" t="str">
        <x:f>IF(OR('Calculations'!DE61="",'Calculations'!DG61=0),"",('Calculations'!DJ61+'Calculations'!DK61)/'Calculations'!DG61)</x:f>
      </x:c>
      <x:c r="DP61" s="4" t="n">
        <x:f>IF(AND('Calculations'!DE61&lt;&gt;"",'Calculations'!DF61&gt;0),COUNTIF('Calculations'!$DF$12:DF61,"&gt;0"),0)</x:f>
        <x:v>0</x:v>
      </x:c>
      <x:c r="DQ61" s="4" t="str">
        <x:f>IF(50&gt;MAX('Calculations'!$HH$13:$HH$512),"",INDEX('Calculations'!$HF$13:$HF$512,MATCH(50,'Calculations'!$HH$13:$HH$512,0)))</x:f>
      </x:c>
      <x:c r="DR61" s="4" t="str">
        <x:f>IF(50&gt;MAX('Calculations'!$IK$13:$IK$512),"",INDEX('Calculations'!$HE$13:$HE$512,MATCH(50,'Calculations'!$IK$13:$IK$512,0)))</x:f>
      </x:c>
      <x:c r="DS61" s="4"/>
      <x:c r="DT61" s="4"/>
      <x:c r="DU61" s="4"/>
      <x:c r="DV61" s="4"/>
      <x:c r="DW61" s="4"/>
      <x:c r="DX61" s="4"/>
      <x:c r="DY61" s="4" t="str">
        <x:f>TEXT('Calculations'!AG73,"0")</x:f>
        <x:v>0</x:v>
      </x:c>
      <x:c r="DZ61" s="4"/>
      <x:c r="EA61" s="4"/>
      <x:c r="EB61" s="4"/>
      <x:c r="EC61" s="4"/>
      <x:c r="ED61" s="4"/>
      <x:c r="EE61" s="4" t="str">
        <x:f>IF('Calculations'!BT61=0,"Not Rated",IF(OR('Calculations'!BO61&gt;=4,'Calculations'!BP61&gt;=4),"Low",IF('Calculations'!BO61+'Calculations'!BP61&lt;=3,"High",IF('Calculations'!BO61+'Calculations'!BP61&lt;=4,"Strong","Solid"))))</x:f>
        <x:v>Not Rated</x:v>
      </x:c>
      <x:c r="EF61" s="4"/>
      <x:c r="EG61" s="4"/>
      <x:c r="EH61" s="4"/>
      <x:c r="EI61" s="4"/>
      <x:c r="EJ61" s="4"/>
      <x:c r="EK61" s="4"/>
      <x:c r="EL61" s="4"/>
      <x:c r="EM61" s="4" t="str">
        <x:f>IF(49&gt;'Calculations'!$JB$2000,"",INDEX('Calculations'!$JA$12:$JA$2000,MATCH(49,'Calculations'!$JB$12:$JB$2000,0)))</x:f>
      </x:c>
      <x:c r="EN61" s="4" t="n">
        <x:f>IF(OR('Calculations'!EM61="",'Calculations'!$AG$8&gt;0,AND('Calculations'!$EF$2&lt;&gt;"All",'Calculations'!HE61='Calculations'!$EF$2),AND('Calculations'!$EF$3&lt;&gt;"All",'Calculations'!HE61='Calculations'!$EF$3)),0,IF(OR('Dashboard'!$B$7="All",'Calculations'!HN61='Dashboard'!$B$7),IF('Calculations'!$EF$2="All",1,IF('Calculations'!HL61&gt;0,0,IF(COUNTIF('Calculations'!HO61:II61,"="&amp;SUBSTITUTE(SUBSTITUTE(SUBSTITUTE('Calculations'!$EF$2,"~","~~"),"*","~*"),"?","~?"))=0,0,IF('Calculations'!$EF$3="All",1,IF(COUNTIF('Calculations'!HO61:II61,"="&amp;SUBSTITUTE(SUBSTITUTE(SUBSTITUTE('Calculations'!$EF$3,"~","~~"),"*","~*"),"?","~?"))&gt;0,1,0))))),0))</x:f>
        <x:v>0</x:v>
      </x:c>
      <x:c r="EO61" s="4" t="str">
        <x:f>IF('Calculations'!IJ61="","",IF('Calculations'!IJ61="!UNRESOLVED","Unresolved hierarchy",IFERROR(INDEX('Calculations'!$HK$13:$HK$512,MATCH('Calculations'!IJ61,'Calculations'!$HE$13:$HE$512,0)),IFERROR(INDEX('Calculations'!$HJ$13:$HJ$512,MATCH('Calculations'!IJ61,'Calculations'!$HF$13:$HF$512,0)),'Calculations'!IJ61))))</x:f>
      </x:c>
      <x:c r="EP61" s="4" t="n">
        <x:f>IF(AND('Calculations'!EM61&lt;&gt;"",'Calculations'!HF61='Calculations'!IJ61),1,0)</x:f>
        <x:v>0</x:v>
      </x:c>
      <x:c r="EQ61" s="4"/>
      <x:c r="ER61" s="4"/>
      <x:c r="ES61" s="4"/>
      <x:c r="ET61" s="4"/>
      <x:c r="EU61" s="4"/>
      <x:c r="EV61" s="4"/>
      <x:c r="EW61" s="4"/>
      <x:c r="EX61" s="4"/>
      <x:c r="EY61" s="4"/>
      <x:c r="EZ61" s="4"/>
      <x:c r="FA61" s="4"/>
      <x:c r="FB61" s="4"/>
      <x:c r="FC61" s="4"/>
      <x:c r="FD61" s="4"/>
      <x:c r="FE61" s="4"/>
      <x:c r="FF61" s="4"/>
      <x:c r="FG61" s="4"/>
      <x:c r="FH61" s="4"/>
      <x:c r="FI61" s="4"/>
      <x:c r="FJ61" s="4"/>
      <x:c r="FK61" s="4"/>
      <x:c r="FL61" s="4"/>
      <x:c r="FM61" s="4"/>
      <x:c r="FN61" s="4"/>
      <x:c r="FO61" s="4"/>
      <x:c r="GA61" s="71"/>
      <x:c r="GB61" s="71"/>
      <x:c r="GC61" s="71"/>
      <x:c r="GD61" s="71"/>
      <x:c r="GE61" s="71"/>
      <x:c r="GF61" s="71"/>
      <x:c r="GG61" s="71"/>
      <x:c r="GH61" s="71"/>
      <x:c r="GI61" s="71"/>
      <x:c r="GJ61" s="71"/>
      <x:c r="GK61" s="71"/>
      <x:c r="GL61" s="71"/>
      <x:c r="GM61" s="71"/>
      <x:c r="GN61" s="71"/>
      <x:c r="GO61" s="71"/>
      <x:c r="GP61" s="71"/>
      <x:c r="GQ61" s="71"/>
      <x:c r="GR61" s="71"/>
      <x:c r="GS61" s="71"/>
      <x:c r="GT61" s="71"/>
      <x:c r="GU61" s="71"/>
      <x:c r="GV61" s="71"/>
      <x:c r="GW61" s="71"/>
      <x:c r="GX61" s="71"/>
      <x:c r="GY61" s="71"/>
      <x:c r="GZ61" s="71"/>
      <x:c r="HA61" s="71"/>
      <x:c r="HB61" s="71"/>
      <x:c r="HC61" s="71"/>
      <x:c r="HD61" s="71"/>
      <x:c r="HE61" t="str">
        <x:f>IF('Calculations'!EM61="","",IF(IFERROR(IF(INDEX(INDIRECT("'WCM Calibration Final'!$A$1:$A$2000"),'Calculations'!$EM61)="","",TRIM(INDEX(INDIRECT("'WCM Calibration Final'!$A$1:$A$2000"),'Calculations'!$EM61)&amp;"")),"")&lt;&gt;"","G:"&amp;IFERROR(TEXT(1*INDEX(INDIRECT("'WCM Calibration Final'!$A$1:$A$2000"),'Calculations'!$EM61),"0"),UPPER(IFERROR(IF(INDEX(INDIRECT("'WCM Calibration Final'!$A$1:$A$2000"),'Calculations'!$EM61)="","",TRIM(INDEX(INDIRECT("'WCM Calibration Final'!$A$1:$A$2000"),'Calculations'!$EM61)&amp;"")),""))),IF(IFERROR(IF(INDEX(INDIRECT("'WCM Calibration Final'!$C$1:$C$2000"),'Calculations'!$EM61)="","",TRIM(INDEX(INDIRECT("'WCM Calibration Final'!$C$1:$C$2000"),'Calculations'!$EM61)&amp;"")),"")&lt;&gt;"","S:"&amp;UPPER(IFERROR(IF(INDEX(INDIRECT("'WCM Calibration Final'!$C$1:$C$2000"),'Calculations'!$EM61)="","",TRIM(INDEX(INDIRECT("'WCM Calibration Final'!$C$1:$C$2000"),'Calculations'!$EM61)&amp;"")),"")),"R:"&amp;'Calculations'!EM61)))</x:f>
      </x:c>
      <x:c r="HF61" t="str">
        <x:f>IF('Calculations'!EM61="","",IF(IFERROR(IF(INDEX(INDIRECT("'WCM Calibration Final'!$D$1:$D$2000"),'Calculations'!$EM61)="","",TRIM(INDEX(INDIRECT("'WCM Calibration Final'!$D$1:$D$2000"),'Calculations'!$EM61)&amp;"")),"")&lt;&gt;"","G:"&amp;IFERROR(TEXT(1*INDEX(INDIRECT("'WCM Calibration Final'!$D$1:$D$2000"),'Calculations'!$EM61),"0"),UPPER(IFERROR(IF(INDEX(INDIRECT("'WCM Calibration Final'!$D$1:$D$2000"),'Calculations'!$EM61)="","",TRIM(INDEX(INDIRECT("'WCM Calibration Final'!$D$1:$D$2000"),'Calculations'!$EM61)&amp;"")),""))),IF(IFERROR(IF(INDEX(INDIRECT("'WCM Calibration Final'!$E$1:$E$2000"),'Calculations'!$EM61)="","",TRIM(INDEX(INDIRECT("'WCM Calibration Final'!$E$1:$E$2000"),'Calculations'!$EM61)&amp;"")),"")="","",IF(COUNTIF('Calculations'!$HG$13:$HG$512,"="&amp;SUBSTITUTE(SUBSTITUTE(SUBSTITUTE(IFERROR(IF(INDEX(INDIRECT("'WCM Calibration Final'!$E$1:$E$2000"),'Calculations'!$EM61)="","",TRIM(INDEX(INDIRECT("'WCM Calibration Final'!$E$1:$E$2000"),'Calculations'!$EM61)&amp;"")),""),"~","~~"),"*","~*"),"?","~?"))=1,INDEX('Calculations'!$HE$13:$HE$512,MATCH(IFERROR(IF(INDEX(INDIRECT("'WCM Calibration Final'!$E$1:$E$2000"),'Calculations'!$EM61)="","",TRIM(INDEX(INDIRECT("'WCM Calibration Final'!$E$1:$E$2000"),'Calculations'!$EM61)&amp;"")),""),'Calculations'!$HG$13:$HG$512,0)),IF(COUNTIF('Calculations'!$HG$13:$HG$512,"="&amp;SUBSTITUTE(SUBSTITUTE(SUBSTITUTE(IFERROR(IF(INDEX(INDIRECT("'WCM Calibration Final'!$E$1:$E$2000"),'Calculations'!$EM61)="","",TRIM(INDEX(INDIRECT("'WCM Calibration Final'!$E$1:$E$2000"),'Calculations'!$EM61)&amp;"")),""),"~","~~"),"*","~*"),"?","~?"))&gt;1,"!AMBIG","X:"&amp;IFERROR(IF(INDEX(INDIRECT("'WCM Calibration Final'!$E$1:$E$2000"),'Calculations'!$EM61)="","",TRIM(INDEX(INDIRECT("'WCM Calibration Final'!$E$1:$E$2000"),'Calculations'!$EM61)&amp;"")),""))))))</x:f>
      </x:c>
      <x:c r="HG61" t="str">
        <x:f>IF('Calculations'!EM61="","",IFERROR(IF(INDEX(INDIRECT("'WCM Calibration Final'!$B$1:$B$2000"),'Calculations'!$EM61)="","",TRIM(INDEX(INDIRECT("'WCM Calibration Final'!$B$1:$B$2000"),'Calculations'!$EM61)&amp;"")),""))</x:f>
      </x:c>
      <x:c r="HH61" t="n">
        <x:f>IF(AND('Calculations'!JC61&gt;0,COUNTIF('Calculations'!$HF$12:HF61,"="&amp;SUBSTITUTE(SUBSTITUTE(SUBSTITUTE('Calculations'!HF61,"~","~~"),"*","~*"),"?","~?"))=1),MAX('Calculations'!$HH$12:HH60)+1,0)</x:f>
        <x:v>0</x:v>
      </x:c>
      <x:c r="HI61" t="n">
        <x:f>IF(AND('Calculations'!HN61&lt;&gt;"",COUNTIF('Calculations'!$HN$12:HN61,"="&amp;SUBSTITUTE(SUBSTITUTE(SUBSTITUTE('Calculations'!HN61,"~","~~"),"*","~*"),"?","~?"))=1),MAX('Calculations'!$HI$12:HI60)+1,0)</x:f>
        <x:v>0</x:v>
      </x:c>
      <x:c r="HJ61" t="str">
        <x:f>IF('Calculations'!HF61="","",IF(COUNTIF('Calculations'!$HE$13:$HE$512,"="&amp;SUBSTITUTE(SUBSTITUTE(SUBSTITUTE('Calculations'!HF61,"~","~~"),"*","~*"),"?","~?"))=1,INDEX('Calculations'!$HK$13:$HK$512,MATCH('Calculations'!HF61,'Calculations'!$HE$13:$HE$512,0)),IFERROR(IF(INDEX(INDIRECT("'WCM Calibration Final'!$E$1:$E$2000"),'Calculations'!$EM61)="","",TRIM(INDEX(INDIRECT("'WCM Calibration Final'!$E$1:$E$2000"),'Calculations'!$EM61)&amp;"")),"")&amp;" ["&amp;'Calculations'!HF61&amp;"]"))</x:f>
      </x:c>
      <x:c r="HK61" t="str">
        <x:f>IF('Calculations'!EM61="","",'Calculations'!HG61&amp;" ["&amp;'Calculations'!HE61&amp;"]")</x:f>
      </x:c>
      <x:c r="HL61" t="n">
        <x:f>IF('Calculations'!EM61="",0,IF(OR('Calculations'!II61&lt;&gt;"",COUNTIF('Calculations'!$HE$13:$HE$512,"="&amp;SUBSTITUTE(SUBSTITUTE(SUBSTITUTE('Calculations'!HE61,"~","~~"),"*","~*"),"?","~?"))&gt;1),1,0))</x:f>
        <x:v>0</x:v>
      </x:c>
      <x:c r="HM61" t="str">
        <x:f>IF('Calculations'!EM61="","",IF('Calculations'!HL61=1,"!UNRESOLVED",IF('Calculations'!IH61&lt;&gt;"",'Calculations'!IH61,IF('Calculations'!IG61&lt;&gt;"",'Calculations'!IG61,IF('Calculations'!IF61&lt;&gt;"",'Calculations'!IF61,IF('Calculations'!IE61&lt;&gt;"",'Calculations'!IE61,IF('Calculations'!ID61&lt;&gt;"",'Calculations'!ID61,IF('Calculations'!IC61&lt;&gt;"",'Calculations'!IC61,IF('Calculations'!IB61&lt;&gt;"",'Calculations'!IB61,IF('Calculations'!IA61&lt;&gt;"",'Calculations'!IA61,IF('Calculations'!HZ61&lt;&gt;"",'Calculations'!HZ61,IF('Calculations'!HY61&lt;&gt;"",'Calculations'!HY61,IF('Calculations'!HX61&lt;&gt;"",'Calculations'!HX61,IF('Calculations'!HW61&lt;&gt;"",'Calculations'!HW61,IF('Calculations'!HV61&lt;&gt;"",'Calculations'!HV61,IF('Calculations'!HU61&lt;&gt;"",'Calculations'!HU61,IF('Calculations'!HT61&lt;&gt;"",'Calculations'!HT61,IF('Calculations'!HS61&lt;&gt;"",'Calculations'!HS61,IF('Calculations'!HR61&lt;&gt;"",'Calculations'!HR61,IF('Calculations'!HQ61&lt;&gt;"",'Calculations'!HQ61,IF('Calculations'!HP61&lt;&gt;"",'Calculations'!HP61,IF('Calculations'!HO61&lt;&gt;"",'Calculations'!HO61,'Calculations'!HE61))))))))))))))))))))))</x:f>
      </x:c>
      <x:c r="HN61" t="str">
        <x:f>IF('Calculations'!EM61="","",IF(IFERROR(IF(INDEX(INDIRECT("'WCM Calibration Final'!$F$1:$F$2000"),'Calculations'!$EM61)="","",TRIM(INDEX(INDIRECT("'WCM Calibration Final'!$F$1:$F$2000"),'Calculations'!$EM61)&amp;"")),"")="","(Blank)",IFERROR(IF(INDEX(INDIRECT("'WCM Calibration Final'!$F$1:$F$2000"),'Calculations'!$EM61)="","",TRIM(INDEX(INDIRECT("'WCM Calibration Final'!$F$1:$F$2000"),'Calculations'!$EM61)&amp;"")),"")))</x:f>
      </x:c>
      <x:c r="HO61" t="str">
        <x:f>'Calculations'!HF61</x:f>
      </x:c>
      <x:c r="HP61" t="str">
        <x:f>IF('Calculations'!HO61="","",IF('Calculations'!HO61="!AMBIG","!AMBIG",IF(COUNTIF('Calculations'!$HE$13:$HE$512,"="&amp;SUBSTITUTE(SUBSTITUTE(SUBSTITUTE('Calculations'!HO61,"~","~~"),"*","~*"),"?","~?"))&gt;1,"!AMBIG",IFERROR(INDEX('Calculations'!$HF$13:$HF$512,MATCH('Calculations'!HO61,'Calculations'!$HE$13:$HE$512,0)),""))))</x:f>
      </x:c>
      <x:c r="HQ61" t="str">
        <x:f>IF('Calculations'!HP61="","",IF('Calculations'!HP61="!AMBIG","!AMBIG",IF(COUNTIF('Calculations'!$HE$13:$HE$512,"="&amp;SUBSTITUTE(SUBSTITUTE(SUBSTITUTE('Calculations'!HP61,"~","~~"),"*","~*"),"?","~?"))&gt;1,"!AMBIG",IFERROR(INDEX('Calculations'!$HF$13:$HF$512,MATCH('Calculations'!HP61,'Calculations'!$HE$13:$HE$512,0)),""))))</x:f>
      </x:c>
      <x:c r="HR61" t="str">
        <x:f>IF('Calculations'!HQ61="","",IF('Calculations'!HQ61="!AMBIG","!AMBIG",IF(COUNTIF('Calculations'!$HE$13:$HE$512,"="&amp;SUBSTITUTE(SUBSTITUTE(SUBSTITUTE('Calculations'!HQ61,"~","~~"),"*","~*"),"?","~?"))&gt;1,"!AMBIG",IFERROR(INDEX('Calculations'!$HF$13:$HF$512,MATCH('Calculations'!HQ61,'Calculations'!$HE$13:$HE$512,0)),""))))</x:f>
      </x:c>
      <x:c r="HS61" t="str">
        <x:f>IF('Calculations'!HR61="","",IF('Calculations'!HR61="!AMBIG","!AMBIG",IF(COUNTIF('Calculations'!$HE$13:$HE$512,"="&amp;SUBSTITUTE(SUBSTITUTE(SUBSTITUTE('Calculations'!HR61,"~","~~"),"*","~*"),"?","~?"))&gt;1,"!AMBIG",IFERROR(INDEX('Calculations'!$HF$13:$HF$512,MATCH('Calculations'!HR61,'Calculations'!$HE$13:$HE$512,0)),""))))</x:f>
      </x:c>
      <x:c r="HT61" t="str">
        <x:f>IF('Calculations'!HS61="","",IF('Calculations'!HS61="!AMBIG","!AMBIG",IF(COUNTIF('Calculations'!$HE$13:$HE$512,"="&amp;SUBSTITUTE(SUBSTITUTE(SUBSTITUTE('Calculations'!HS61,"~","~~"),"*","~*"),"?","~?"))&gt;1,"!AMBIG",IFERROR(INDEX('Calculations'!$HF$13:$HF$512,MATCH('Calculations'!HS61,'Calculations'!$HE$13:$HE$512,0)),""))))</x:f>
      </x:c>
      <x:c r="HU61" t="str">
        <x:f>IF('Calculations'!HT61="","",IF('Calculations'!HT61="!AMBIG","!AMBIG",IF(COUNTIF('Calculations'!$HE$13:$HE$512,"="&amp;SUBSTITUTE(SUBSTITUTE(SUBSTITUTE('Calculations'!HT61,"~","~~"),"*","~*"),"?","~?"))&gt;1,"!AMBIG",IFERROR(INDEX('Calculations'!$HF$13:$HF$512,MATCH('Calculations'!HT61,'Calculations'!$HE$13:$HE$512,0)),""))))</x:f>
      </x:c>
      <x:c r="HV61" t="str">
        <x:f>IF('Calculations'!HU61="","",IF('Calculations'!HU61="!AMBIG","!AMBIG",IF(COUNTIF('Calculations'!$HE$13:$HE$512,"="&amp;SUBSTITUTE(SUBSTITUTE(SUBSTITUTE('Calculations'!HU61,"~","~~"),"*","~*"),"?","~?"))&gt;1,"!AMBIG",IFERROR(INDEX('Calculations'!$HF$13:$HF$512,MATCH('Calculations'!HU61,'Calculations'!$HE$13:$HE$512,0)),""))))</x:f>
      </x:c>
      <x:c r="HW61" t="str">
        <x:f>IF('Calculations'!HV61="","",IF('Calculations'!HV61="!AMBIG","!AMBIG",IF(COUNTIF('Calculations'!$HE$13:$HE$512,"="&amp;SUBSTITUTE(SUBSTITUTE(SUBSTITUTE('Calculations'!HV61,"~","~~"),"*","~*"),"?","~?"))&gt;1,"!AMBIG",IFERROR(INDEX('Calculations'!$HF$13:$HF$512,MATCH('Calculations'!HV61,'Calculations'!$HE$13:$HE$512,0)),""))))</x:f>
      </x:c>
      <x:c r="HX61" t="str">
        <x:f>IF('Calculations'!HW61="","",IF('Calculations'!HW61="!AMBIG","!AMBIG",IF(COUNTIF('Calculations'!$HE$13:$HE$512,"="&amp;SUBSTITUTE(SUBSTITUTE(SUBSTITUTE('Calculations'!HW61,"~","~~"),"*","~*"),"?","~?"))&gt;1,"!AMBIG",IFERROR(INDEX('Calculations'!$HF$13:$HF$512,MATCH('Calculations'!HW61,'Calculations'!$HE$13:$HE$512,0)),""))))</x:f>
      </x:c>
      <x:c r="HY61" t="str">
        <x:f>IF('Calculations'!HX61="","",IF('Calculations'!HX61="!AMBIG","!AMBIG",IF(COUNTIF('Calculations'!$HE$13:$HE$512,"="&amp;SUBSTITUTE(SUBSTITUTE(SUBSTITUTE('Calculations'!HX61,"~","~~"),"*","~*"),"?","~?"))&gt;1,"!AMBIG",IFERROR(INDEX('Calculations'!$HF$13:$HF$512,MATCH('Calculations'!HX61,'Calculations'!$HE$13:$HE$512,0)),""))))</x:f>
      </x:c>
      <x:c r="HZ61" t="str">
        <x:f>IF('Calculations'!HY61="","",IF('Calculations'!HY61="!AMBIG","!AMBIG",IF(COUNTIF('Calculations'!$HE$13:$HE$512,"="&amp;SUBSTITUTE(SUBSTITUTE(SUBSTITUTE('Calculations'!HY61,"~","~~"),"*","~*"),"?","~?"))&gt;1,"!AMBIG",IFERROR(INDEX('Calculations'!$HF$13:$HF$512,MATCH('Calculations'!HY61,'Calculations'!$HE$13:$HE$512,0)),""))))</x:f>
      </x:c>
      <x:c r="IA61" t="str">
        <x:f>IF('Calculations'!HZ61="","",IF('Calculations'!HZ61="!AMBIG","!AMBIG",IF(COUNTIF('Calculations'!$HE$13:$HE$512,"="&amp;SUBSTITUTE(SUBSTITUTE(SUBSTITUTE('Calculations'!HZ61,"~","~~"),"*","~*"),"?","~?"))&gt;1,"!AMBIG",IFERROR(INDEX('Calculations'!$HF$13:$HF$512,MATCH('Calculations'!HZ61,'Calculations'!$HE$13:$HE$512,0)),""))))</x:f>
      </x:c>
      <x:c r="IB61" t="str">
        <x:f>IF('Calculations'!IA61="","",IF('Calculations'!IA61="!AMBIG","!AMBIG",IF(COUNTIF('Calculations'!$HE$13:$HE$512,"="&amp;SUBSTITUTE(SUBSTITUTE(SUBSTITUTE('Calculations'!IA61,"~","~~"),"*","~*"),"?","~?"))&gt;1,"!AMBIG",IFERROR(INDEX('Calculations'!$HF$13:$HF$512,MATCH('Calculations'!IA61,'Calculations'!$HE$13:$HE$512,0)),""))))</x:f>
      </x:c>
      <x:c r="IC61" t="str">
        <x:f>IF('Calculations'!IB61="","",IF('Calculations'!IB61="!AMBIG","!AMBIG",IF(COUNTIF('Calculations'!$HE$13:$HE$512,"="&amp;SUBSTITUTE(SUBSTITUTE(SUBSTITUTE('Calculations'!IB61,"~","~~"),"*","~*"),"?","~?"))&gt;1,"!AMBIG",IFERROR(INDEX('Calculations'!$HF$13:$HF$512,MATCH('Calculations'!IB61,'Calculations'!$HE$13:$HE$512,0)),""))))</x:f>
      </x:c>
      <x:c r="ID61" t="str">
        <x:f>IF('Calculations'!IC61="","",IF('Calculations'!IC61="!AMBIG","!AMBIG",IF(COUNTIF('Calculations'!$HE$13:$HE$512,"="&amp;SUBSTITUTE(SUBSTITUTE(SUBSTITUTE('Calculations'!IC61,"~","~~"),"*","~*"),"?","~?"))&gt;1,"!AMBIG",IFERROR(INDEX('Calculations'!$HF$13:$HF$512,MATCH('Calculations'!IC61,'Calculations'!$HE$13:$HE$512,0)),""))))</x:f>
      </x:c>
      <x:c r="IE61" t="str">
        <x:f>IF('Calculations'!ID61="","",IF('Calculations'!ID61="!AMBIG","!AMBIG",IF(COUNTIF('Calculations'!$HE$13:$HE$512,"="&amp;SUBSTITUTE(SUBSTITUTE(SUBSTITUTE('Calculations'!ID61,"~","~~"),"*","~*"),"?","~?"))&gt;1,"!AMBIG",IFERROR(INDEX('Calculations'!$HF$13:$HF$512,MATCH('Calculations'!ID61,'Calculations'!$HE$13:$HE$512,0)),""))))</x:f>
      </x:c>
      <x:c r="IF61" t="str">
        <x:f>IF('Calculations'!IE61="","",IF('Calculations'!IE61="!AMBIG","!AMBIG",IF(COUNTIF('Calculations'!$HE$13:$HE$512,"="&amp;SUBSTITUTE(SUBSTITUTE(SUBSTITUTE('Calculations'!IE61,"~","~~"),"*","~*"),"?","~?"))&gt;1,"!AMBIG",IFERROR(INDEX('Calculations'!$HF$13:$HF$512,MATCH('Calculations'!IE61,'Calculations'!$HE$13:$HE$512,0)),""))))</x:f>
      </x:c>
      <x:c r="IG61" t="str">
        <x:f>IF('Calculations'!IF61="","",IF('Calculations'!IF61="!AMBIG","!AMBIG",IF(COUNTIF('Calculations'!$HE$13:$HE$512,"="&amp;SUBSTITUTE(SUBSTITUTE(SUBSTITUTE('Calculations'!IF61,"~","~~"),"*","~*"),"?","~?"))&gt;1,"!AMBIG",IFERROR(INDEX('Calculations'!$HF$13:$HF$512,MATCH('Calculations'!IF61,'Calculations'!$HE$13:$HE$512,0)),""))))</x:f>
      </x:c>
      <x:c r="IH61" t="str">
        <x:f>IF('Calculations'!IG61="","",IF('Calculations'!IG61="!AMBIG","!AMBIG",IF(COUNTIF('Calculations'!$HE$13:$HE$512,"="&amp;SUBSTITUTE(SUBSTITUTE(SUBSTITUTE('Calculations'!IG61,"~","~~"),"*","~*"),"?","~?"))&gt;1,"!AMBIG",IFERROR(INDEX('Calculations'!$HF$13:$HF$512,MATCH('Calculations'!IG61,'Calculations'!$HE$13:$HE$512,0)),""))))</x:f>
      </x:c>
      <x:c r="II61" t="str">
        <x:f>IF('Calculations'!IH61="","",IF('Calculations'!IH61="!AMBIG","!AMBIG",IF(COUNTIF('Calculations'!$HE$13:$HE$512,"="&amp;SUBSTITUTE(SUBSTITUTE(SUBSTITUTE('Calculations'!IH61,"~","~~"),"*","~*"),"?","~?"))&gt;1,"!AMBIG",IFERROR(INDEX('Calculations'!$HF$13:$HF$512,MATCH('Calculations'!IH61,'Calculations'!$HE$13:$HE$512,0)),""))))</x:f>
      </x:c>
      <x:c r="IJ61" t="str">
        <x:f>IF('Calculations'!EM61="","",IF('Calculations'!$EF$2="All",'Calculations'!HM61,IF('Calculations'!HL61=1,"",IFERROR(IF(MATCH('Calculations'!$EF$2,'Calculations'!HO61:II61,0)=1,'Calculations'!HE61,INDEX('Calculations'!HO61:II61,1,MATCH('Calculations'!$EF$2,'Calculations'!HO61:II61,0)-1)),""))))</x:f>
      </x:c>
      <x:c r="IK61" t="n">
        <x:f>IF(AND('Calculations'!EM61&lt;&gt;"",'Calculations'!$EF$2&lt;&gt;"All",'Calculations'!HF61='Calculations'!$EF$2,'Calculations'!HL61=0,'Calculations'!JD61&gt;0),MAX('Calculations'!$IK$12:IK60)+1,0)</x:f>
        <x:v>0</x:v>
      </x:c>
      <x:c r="JA61" t="n">
        <x:f>IF(OR(IFERROR(INDIRECT("'WCM Calibration Final'!$A$61")&lt;&gt;"",FALSE),IFERROR(INDIRECT("'WCM Calibration Final'!$B$61")&lt;&gt;"",FALSE),IFERROR(INDIRECT("'WCM Calibration Final'!$C$61")&lt;&gt;"",FALSE)),61,0)</x:f>
        <x:v>0</x:v>
      </x:c>
      <x:c r="JB61" t="n">
        <x:f>'Calculations'!JB60+IF('Calculations'!JA61&gt;0,1,0)</x:f>
        <x:v>0</x:v>
      </x:c>
      <x:c r="JC61" t="n">
        <x:f>IF(OR('Calculations'!HF61="",'Calculations'!HF61="!AMBIG"),0,IF('Dashboard'!$B$7="All",1,COUNTIFS('Calculations'!$HO$13:$HO$512,"="&amp;SUBSTITUTE(SUBSTITUTE(SUBSTITUTE('Calculations'!HF61,"~","~~"),"*","~*"),"?","~?"),'Calculations'!$HN$13:$HN$512,"="&amp;SUBSTITUTE(SUBSTITUTE(SUBSTITUTE('Dashboard'!$B$7,"~","~~"),"*","~*"),"?","~?"))+COUNTIFS('Calculations'!$HP$13:$HP$512,"="&amp;SUBSTITUTE(SUBSTITUTE(SUBSTITUTE('Calculations'!HF61,"~","~~"),"*","~*"),"?","~?"),'Calculations'!$HN$13:$HN$512,"="&amp;SUBSTITUTE(SUBSTITUTE(SUBSTITUTE('Dashboard'!$B$7,"~","~~"),"*","~*"),"?","~?"))+COUNTIFS('Calculations'!$HQ$13:$HQ$512,"="&amp;SUBSTITUTE(SUBSTITUTE(SUBSTITUTE('Calculations'!HF61,"~","~~"),"*","~*"),"?","~?"),'Calculations'!$HN$13:$HN$512,"="&amp;SUBSTITUTE(SUBSTITUTE(SUBSTITUTE('Dashboard'!$B$7,"~","~~"),"*","~*"),"?","~?"))+COUNTIFS('Calculations'!$HR$13:$HR$512,"="&amp;SUBSTITUTE(SUBSTITUTE(SUBSTITUTE('Calculations'!HF61,"~","~~"),"*","~*"),"?","~?"),'Calculations'!$HN$13:$HN$512,"="&amp;SUBSTITUTE(SUBSTITUTE(SUBSTITUTE('Dashboard'!$B$7,"~","~~"),"*","~*"),"?","~?"))+COUNTIFS('Calculations'!$HS$13:$HS$512,"="&amp;SUBSTITUTE(SUBSTITUTE(SUBSTITUTE('Calculations'!HF61,"~","~~"),"*","~*"),"?","~?"),'Calculations'!$HN$13:$HN$512,"="&amp;SUBSTITUTE(SUBSTITUTE(SUBSTITUTE('Dashboard'!$B$7,"~","~~"),"*","~*"),"?","~?"))+COUNTIFS('Calculations'!$HT$13:$HT$512,"="&amp;SUBSTITUTE(SUBSTITUTE(SUBSTITUTE('Calculations'!HF61,"~","~~"),"*","~*"),"?","~?"),'Calculations'!$HN$13:$HN$512,"="&amp;SUBSTITUTE(SUBSTITUTE(SUBSTITUTE('Dashboard'!$B$7,"~","~~"),"*","~*"),"?","~?"))+COUNTIFS('Calculations'!$HU$13:$HU$512,"="&amp;SUBSTITUTE(SUBSTITUTE(SUBSTITUTE('Calculations'!HF61,"~","~~"),"*","~*"),"?","~?"),'Calculations'!$HN$13:$HN$512,"="&amp;SUBSTITUTE(SUBSTITUTE(SUBSTITUTE('Dashboard'!$B$7,"~","~~"),"*","~*"),"?","~?"))+COUNTIFS('Calculations'!$HV$13:$HV$512,"="&amp;SUBSTITUTE(SUBSTITUTE(SUBSTITUTE('Calculations'!HF61,"~","~~"),"*","~*"),"?","~?"),'Calculations'!$HN$13:$HN$512,"="&amp;SUBSTITUTE(SUBSTITUTE(SUBSTITUTE('Dashboard'!$B$7,"~","~~"),"*","~*"),"?","~?"))+COUNTIFS('Calculations'!$HW$13:$HW$512,"="&amp;SUBSTITUTE(SUBSTITUTE(SUBSTITUTE('Calculations'!HF61,"~","~~"),"*","~*"),"?","~?"),'Calculations'!$HN$13:$HN$512,"="&amp;SUBSTITUTE(SUBSTITUTE(SUBSTITUTE('Dashboard'!$B$7,"~","~~"),"*","~*"),"?","~?"))+COUNTIFS('Calculations'!$HX$13:$HX$512,"="&amp;SUBSTITUTE(SUBSTITUTE(SUBSTITUTE('Calculations'!HF61,"~","~~"),"*","~*"),"?","~?"),'Calculations'!$HN$13:$HN$512,"="&amp;SUBSTITUTE(SUBSTITUTE(SUBSTITUTE('Dashboard'!$B$7,"~","~~"),"*","~*"),"?","~?"))+COUNTIFS('Calculations'!$HY$13:$HY$512,"="&amp;SUBSTITUTE(SUBSTITUTE(SUBSTITUTE('Calculations'!HF61,"~","~~"),"*","~*"),"?","~?"),'Calculations'!$HN$13:$HN$512,"="&amp;SUBSTITUTE(SUBSTITUTE(SUBSTITUTE('Dashboard'!$B$7,"~","~~"),"*","~*"),"?","~?"))+COUNTIFS('Calculations'!$HZ$13:$HZ$512,"="&amp;SUBSTITUTE(SUBSTITUTE(SUBSTITUTE('Calculations'!HF61,"~","~~"),"*","~*"),"?","~?"),'Calculations'!$HN$13:$HN$512,"="&amp;SUBSTITUTE(SUBSTITUTE(SUBSTITUTE('Dashboard'!$B$7,"~","~~"),"*","~*"),"?","~?"))+COUNTIFS('Calculations'!$IA$13:$IA$512,"="&amp;SUBSTITUTE(SUBSTITUTE(SUBSTITUTE('Calculations'!HF61,"~","~~"),"*","~*"),"?","~?"),'Calculations'!$HN$13:$HN$512,"="&amp;SUBSTITUTE(SUBSTITUTE(SUBSTITUTE('Dashboard'!$B$7,"~","~~"),"*","~*"),"?","~?"))+COUNTIFS('Calculations'!$IB$13:$IB$512,"="&amp;SUBSTITUTE(SUBSTITUTE(SUBSTITUTE('Calculations'!HF61,"~","~~"),"*","~*"),"?","~?"),'Calculations'!$HN$13:$HN$512,"="&amp;SUBSTITUTE(SUBSTITUTE(SUBSTITUTE('Dashboard'!$B$7,"~","~~"),"*","~*"),"?","~?"))+COUNTIFS('Calculations'!$IC$13:$IC$512,"="&amp;SUBSTITUTE(SUBSTITUTE(SUBSTITUTE('Calculations'!HF61,"~","~~"),"*","~*"),"?","~?"),'Calculations'!$HN$13:$HN$512,"="&amp;SUBSTITUTE(SUBSTITUTE(SUBSTITUTE('Dashboard'!$B$7,"~","~~"),"*","~*"),"?","~?"))+COUNTIFS('Calculations'!$ID$13:$ID$512,"="&amp;SUBSTITUTE(SUBSTITUTE(SUBSTITUTE('Calculations'!HF61,"~","~~"),"*","~*"),"?","~?"),'Calculations'!$HN$13:$HN$512,"="&amp;SUBSTITUTE(SUBSTITUTE(SUBSTITUTE('Dashboard'!$B$7,"~","~~"),"*","~*"),"?","~?"))+COUNTIFS('Calculations'!$IE$13:$IE$512,"="&amp;SUBSTITUTE(SUBSTITUTE(SUBSTITUTE('Calculations'!HF61,"~","~~"),"*","~*"),"?","~?"),'Calculations'!$HN$13:$HN$512,"="&amp;SUBSTITUTE(SUBSTITUTE(SUBSTITUTE('Dashboard'!$B$7,"~","~~"),"*","~*"),"?","~?"))+COUNTIFS('Calculations'!$IF$13:$IF$512,"="&amp;SUBSTITUTE(SUBSTITUTE(SUBSTITUTE('Calculations'!HF61,"~","~~"),"*","~*"),"?","~?"),'Calculations'!$HN$13:$HN$512,"="&amp;SUBSTITUTE(SUBSTITUTE(SUBSTITUTE('Dashboard'!$B$7,"~","~~"),"*","~*"),"?","~?"))+COUNTIFS('Calculations'!$IG$13:$IG$512,"="&amp;SUBSTITUTE(SUBSTITUTE(SUBSTITUTE('Calculations'!HF61,"~","~~"),"*","~*"),"?","~?"),'Calculations'!$HN$13:$HN$512,"="&amp;SUBSTITUTE(SUBSTITUTE(SUBSTITUTE('Dashboard'!$B$7,"~","~~"),"*","~*"),"?","~?"))+COUNTIFS('Calculations'!$IH$13:$IH$512,"="&amp;SUBSTITUTE(SUBSTITUTE(SUBSTITUTE('Calculations'!HF61,"~","~~"),"*","~*"),"?","~?"),'Calculations'!$HN$13:$HN$512,"="&amp;SUBSTITUTE(SUBSTITUTE(SUBSTITUTE('Dashboard'!$B$7,"~","~~"),"*","~*"),"?","~?"))))</x:f>
        <x:v>0</x:v>
      </x:c>
      <x:c r="JD61" t="n">
        <x:f>IF('Calculations'!EM61="",0,IF('Dashboard'!$B$7="All",1,IF('Calculations'!HN61='Dashboard'!$B$7,1,0)+IFERROR(INDEX('Calculations'!$JC$13:$JC$512,MATCH('Calculations'!HE61,'Calculations'!$HF$13:$HF$512,0)),0)))</x:f>
        <x:v>0</x:v>
      </x:c>
      <x:c r="JE61" t="n">
        <x:f>IF(AND('Calculations'!EM61&lt;&gt;"",'Calculations'!$JJ$2&lt;&gt;"All",'Calculations'!$JJ$2&lt;&gt;"",'Calculations'!HF61='Calculations'!$JJ$2,'Calculations'!HL61=0,'Calculations'!JD61&gt;0),MAX('Calculations'!$JE$12:JE60)+1,0)</x:f>
        <x:v>0</x:v>
      </x:c>
      <x:c r="JF61" t="str">
        <x:f>IF('Calculations'!EM61="","",IFERROR(IF(INDEX(INDIRECT("'WCM Calibration Final'!$G$1:$G$2000"),'Calculations'!$EM61)="","",TRIM(INDEX(INDIRECT("'WCM Calibration Final'!$G$1:$G$2000"),'Calculations'!$EM61)&amp;"")),""))</x:f>
      </x:c>
      <x:c r="JQ61" t="n">
        <x:f>IF(OR('Calculations'!BM61=0,NOT('Calculations'!$AG$2),'Calculations'!$AG$8&gt;0),0,IF(OR('Dashboard'!$B$7="All",'Calculations'!HN61='Dashboard'!$B$7),IF('Calculations'!$JJ$2="All",1,IF(AND('Calculations'!HF61='Calculations'!$JJ$2,'Calculations'!HL61=0),1,0)),0))</x:f>
        <x:v>0</x:v>
      </x:c>
    </x:row>
    <x:row r="62">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t="n">
        <x:f>IF('Calculations'!$EM62="",0,IF(OR(IFERROR(INDEX(INDIRECT("'WCM Calibration Final'!$A$1:$A$2000"),'Calculations'!$EM62)&lt;&gt;"",FALSE),IFERROR(INDEX(INDIRECT("'WCM Calibration Final'!$B$1:$B$2000"),'Calculations'!$EM62)&lt;&gt;"",FALSE),IFERROR(INDEX(INDIRECT("'WCM Calibration Final'!$C$1:$C$2000"),'Calculations'!$EM62)&lt;&gt;"",FALSE)),1,0))</x:f>
        <x:v>0</x:v>
      </x:c>
      <x:c r="BN62" s="4" t="n">
        <x:f>IF(AND('Calculations'!BM62=1,'Calculations'!$AG$2,'Calculations'!$EN62=1),1,0)</x:f>
        <x:v>0</x:v>
      </x:c>
      <x:c r="BO62" s="4" t="str">
        <x:f>IF('Calculations'!BM62=0,"",IFERROR(IF(AND(VALUE(INDEX(INDIRECT("'WCM Calibration Final'!$K$1:$K$2000"),'Calculations'!$EM62))&gt;=1,VALUE(INDEX(INDIRECT("'WCM Calibration Final'!$K$1:$K$2000"),'Calculations'!$EM62))&lt;=4,MOD(VALUE(INDEX(INDIRECT("'WCM Calibration Final'!$K$1:$K$2000"),'Calculations'!$EM62)),1)=0),VALUE(INDEX(INDIRECT("'WCM Calibration Final'!$K$1:$K$2000"),'Calculations'!$EM62)),""),""))</x:f>
      </x:c>
      <x:c r="BP62" s="4" t="str">
        <x:f>IF('Calculations'!BM62=0,"",IFERROR(IF(AND(VALUE(INDEX(INDIRECT("'WCM Calibration Final'!$L$1:$L$2000"),'Calculations'!$EM62))&gt;=1,VALUE(INDEX(INDIRECT("'WCM Calibration Final'!$L$1:$L$2000"),'Calculations'!$EM62))&lt;=4,MOD(VALUE(INDEX(INDIRECT("'WCM Calibration Final'!$L$1:$L$2000"),'Calculations'!$EM62)),1)=0),VALUE(INDEX(INDIRECT("'WCM Calibration Final'!$L$1:$L$2000"),'Calculations'!$EM62)),""),""))</x:f>
      </x:c>
      <x:c r="BQ62" s="4"/>
      <x:c r="BR62" s="4"/>
      <x:c r="BS62" s="4"/>
      <x:c r="BT62" s="4" t="n">
        <x:f>IF(AND('Calculations'!BM62=1,ISNUMBER('Calculations'!BO62),ISNUMBER('Calculations'!BP62)),1,0)</x:f>
        <x:v>0</x:v>
      </x:c>
      <x:c r="BU62" s="4" t="str">
        <x:f>IF('Calculations'!BM62=0,"",'Calculations'!$EO62)</x:f>
      </x:c>
      <x:c r="BV62" s="4" t="str">
        <x:f>IF('Calculations'!BM62=0,"",IFERROR(IF(OR(INDEX(INDIRECT("'WCM Calibration Final'!$H$1:$H$2000"),'Calculations'!$EM62)="MANAGING DIRECTOR",INDEX(INDIRECT("'WCM Calibration Final'!$H$1:$H$2000"),'Calculations'!$EM62)="DIRECTOR",INDEX(INDIRECT("'WCM Calibration Final'!$H$1:$H$2000"),'Calculations'!$EM62)="SENIOR VICE PRESIDENT",INDEX(INDIRECT("'WCM Calibration Final'!$H$1:$H$2000"),'Calculations'!$EM62)="VICE PRESIDENT",INDEX(INDIRECT("'WCM Calibration Final'!$H$1:$H$2000"),'Calculations'!$EM62)="ASSISTANT VICE PRESIDENT",INDEX(INDIRECT("'WCM Calibration Final'!$H$1:$H$2000"),'Calculations'!$EM62)="OFFICER"),UPPER(INDEX(INDIRECT("'WCM Calibration Final'!$H$1:$H$2000"),'Calculations'!$EM62)),"Other"),"Other"))</x:f>
      </x:c>
      <x:c r="BW62" s="4"/>
      <x:c r="BX62" s="4"/>
      <x:c r="BY62" s="4" t="n">
        <x:f>IF(AND('Calculations'!BM62=1,'Calculations'!BU62&lt;&gt;"",COUNTIF('Calculations'!$BU$12:BU62,'Calculations'!BU62)=1),MAX('Calculations'!$BY$11:BY61)+1,0)</x:f>
        <x:v>0</x:v>
      </x:c>
      <x:c r="BZ62" s="4" t="str">
        <x:f>IF('Dashboard'!$E$67="What",'Calculations'!BO62,'Calculations'!BP62)</x:f>
      </x:c>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t="str">
        <x:f>IF(51&gt;MAX('Calculations'!$HI$13:$HI$512),"",INDEX('Calculations'!$HN$13:$HN$512,MATCH(51,'Calculations'!$HI$13:$HI$512,0)))</x:f>
      </x:c>
      <x:c r="DB62" s="4" t="str">
        <x:f>IF(51&gt;MAX('Calculations'!$HH$13:$HH$512),"",INDEX('Calculations'!$HJ$13:$HJ$512,MATCH(51,'Calculations'!$HH$13:$HH$512,0)))</x:f>
      </x:c>
      <x:c r="DC62" s="4" t="str">
        <x:f>IF(ROW()-11&gt;MAX('Calculations'!$BY$13:$BY$512),"",INDEX('Calculations'!$BU$13:$BU$512,MATCH(ROW()-11,'Calculations'!$BY$13:$BY$512,0)))</x:f>
      </x:c>
      <x:c r="DD62" s="4" t="str">
        <x:f>IF(51&gt;MAX('Calculations'!$IK$13:$IK$512),"",INDEX('Calculations'!$HK$13:$HK$512,MATCH(51,'Calculations'!$IK$13:$IK$512,0)))</x:f>
      </x:c>
      <x:c r="DE62" s="4" t="str">
        <x:f>'Calculations'!DC62</x:f>
      </x:c>
      <x:c r="DF62" s="4" t="str">
        <x:f>IF('Calculations'!DE62="","",COUNTIFS('Calculations'!$BN$13:$BN$512,1,'Calculations'!$BU$13:$BU$512,'Calculations'!DE62))</x:f>
      </x:c>
      <x:c r="DG62" s="4" t="str">
        <x:f>IF('Calculations'!DE62="","",COUNTIFS('Calculations'!$BN$13:$BN$512,1,'Calculations'!$BU$13:$BU$512,'Calculations'!DE62,'Calculations'!$BT$13:$BT$512,1))</x:f>
      </x:c>
      <x:c r="DH62" s="4" t="str">
        <x:f>IF('Calculations'!DE62="","",'Calculations'!DF62-'Calculations'!DG62)</x:f>
      </x:c>
      <x:c r="DI62" s="4" t="str">
        <x:f>IF(OR('Calculations'!DE62="",'Calculations'!DF62=0),"",'Calculations'!DG62/'Calculations'!DF62)</x:f>
      </x:c>
      <x:c r="DJ62" s="4" t="str">
        <x:f>IF('Calculations'!DE62="","",COUNTIFS('Calculations'!$BN$13:$BN$512,1,'Calculations'!$BU$13:$BU$512,'Calculations'!DE62,'Calculations'!$BT$13:$BT$512,1,'Calculations'!$EE$13:$EE$512,"High"))</x:f>
      </x:c>
      <x:c r="DK62" s="4" t="str">
        <x:f>IF('Calculations'!DE62="","",COUNTIFS('Calculations'!$BN$13:$BN$512,1,'Calculations'!$BU$13:$BU$512,'Calculations'!DE62,'Calculations'!$BT$13:$BT$512,1,'Calculations'!$EE$13:$EE$512,"Strong"))</x:f>
      </x:c>
      <x:c r="DL62" s="4" t="str">
        <x:f>IF('Calculations'!DE62="","",COUNTIFS('Calculations'!$BN$13:$BN$512,1,'Calculations'!$BU$13:$BU$512,'Calculations'!DE62,'Calculations'!$BT$13:$BT$512,1,'Calculations'!$EE$13:$EE$512,"Solid"))</x:f>
      </x:c>
      <x:c r="DM62" s="4" t="str">
        <x:f>IF('Calculations'!DE62="","",COUNTIFS('Calculations'!$BN$13:$BN$512,1,'Calculations'!$BU$13:$BU$512,'Calculations'!DE62,'Calculations'!$BT$13:$BT$512,1,'Calculations'!$EE$13:$EE$512,"Low"))</x:f>
      </x:c>
      <x:c r="DN62" s="4" t="str">
        <x:f>IF('Calculations'!DE62="","",COUNTIFS('Calculations'!$BN$13:$BN$512,1,'Calculations'!$BU$13:$BU$512,'Calculations'!DE62,'Calculations'!$EP$13:$EP$512,1))</x:f>
      </x:c>
      <x:c r="DO62" s="4" t="str">
        <x:f>IF(OR('Calculations'!DE62="",'Calculations'!DG62=0),"",('Calculations'!DJ62+'Calculations'!DK62)/'Calculations'!DG62)</x:f>
      </x:c>
      <x:c r="DP62" s="4" t="n">
        <x:f>IF(AND('Calculations'!DE62&lt;&gt;"",'Calculations'!DF62&gt;0),COUNTIF('Calculations'!$DF$12:DF62,"&gt;0"),0)</x:f>
        <x:v>0</x:v>
      </x:c>
      <x:c r="DQ62" s="4" t="str">
        <x:f>IF(51&gt;MAX('Calculations'!$HH$13:$HH$512),"",INDEX('Calculations'!$HF$13:$HF$512,MATCH(51,'Calculations'!$HH$13:$HH$512,0)))</x:f>
      </x:c>
      <x:c r="DR62" s="4" t="str">
        <x:f>IF(51&gt;MAX('Calculations'!$IK$13:$IK$512),"",INDEX('Calculations'!$HE$13:$HE$512,MATCH(51,'Calculations'!$IK$13:$IK$512,0)))</x:f>
      </x:c>
      <x:c r="DS62" s="4"/>
      <x:c r="DT62" s="4"/>
      <x:c r="DU62" s="4"/>
      <x:c r="DV62" s="4"/>
      <x:c r="DW62" s="4"/>
      <x:c r="DX62" s="4"/>
      <x:c r="DY62" s="4" t="str">
        <x:f>IFERROR(TEXT('Calculations'!AH73,"0.0%"),"—")</x:f>
        <x:v>—</x:v>
      </x:c>
      <x:c r="DZ62" s="4"/>
      <x:c r="EA62" s="4"/>
      <x:c r="EB62" s="4"/>
      <x:c r="EC62" s="4"/>
      <x:c r="ED62" s="4"/>
      <x:c r="EE62" s="4" t="str">
        <x:f>IF('Calculations'!BT62=0,"Not Rated",IF(OR('Calculations'!BO62&gt;=4,'Calculations'!BP62&gt;=4),"Low",IF('Calculations'!BO62+'Calculations'!BP62&lt;=3,"High",IF('Calculations'!BO62+'Calculations'!BP62&lt;=4,"Strong","Solid"))))</x:f>
        <x:v>Not Rated</x:v>
      </x:c>
      <x:c r="EF62" s="4"/>
      <x:c r="EG62" s="4"/>
      <x:c r="EH62" s="4"/>
      <x:c r="EI62" s="4"/>
      <x:c r="EJ62" s="4"/>
      <x:c r="EK62" s="4"/>
      <x:c r="EL62" s="4"/>
      <x:c r="EM62" s="4" t="str">
        <x:f>IF(50&gt;'Calculations'!$JB$2000,"",INDEX('Calculations'!$JA$12:$JA$2000,MATCH(50,'Calculations'!$JB$12:$JB$2000,0)))</x:f>
      </x:c>
      <x:c r="EN62" s="4" t="n">
        <x:f>IF(OR('Calculations'!EM62="",'Calculations'!$AG$8&gt;0,AND('Calculations'!$EF$2&lt;&gt;"All",'Calculations'!HE62='Calculations'!$EF$2),AND('Calculations'!$EF$3&lt;&gt;"All",'Calculations'!HE62='Calculations'!$EF$3)),0,IF(OR('Dashboard'!$B$7="All",'Calculations'!HN62='Dashboard'!$B$7),IF('Calculations'!$EF$2="All",1,IF('Calculations'!HL62&gt;0,0,IF(COUNTIF('Calculations'!HO62:II62,"="&amp;SUBSTITUTE(SUBSTITUTE(SUBSTITUTE('Calculations'!$EF$2,"~","~~"),"*","~*"),"?","~?"))=0,0,IF('Calculations'!$EF$3="All",1,IF(COUNTIF('Calculations'!HO62:II62,"="&amp;SUBSTITUTE(SUBSTITUTE(SUBSTITUTE('Calculations'!$EF$3,"~","~~"),"*","~*"),"?","~?"))&gt;0,1,0))))),0))</x:f>
        <x:v>0</x:v>
      </x:c>
      <x:c r="EO62" s="4" t="str">
        <x:f>IF('Calculations'!IJ62="","",IF('Calculations'!IJ62="!UNRESOLVED","Unresolved hierarchy",IFERROR(INDEX('Calculations'!$HK$13:$HK$512,MATCH('Calculations'!IJ62,'Calculations'!$HE$13:$HE$512,0)),IFERROR(INDEX('Calculations'!$HJ$13:$HJ$512,MATCH('Calculations'!IJ62,'Calculations'!$HF$13:$HF$512,0)),'Calculations'!IJ62))))</x:f>
      </x:c>
      <x:c r="EP62" s="4" t="n">
        <x:f>IF(AND('Calculations'!EM62&lt;&gt;"",'Calculations'!HF62='Calculations'!IJ62),1,0)</x:f>
        <x:v>0</x:v>
      </x:c>
      <x:c r="EQ62" s="4"/>
      <x:c r="ER62" s="4"/>
      <x:c r="ES62" s="4"/>
      <x:c r="ET62" s="4"/>
      <x:c r="EU62" s="4"/>
      <x:c r="EV62" s="4"/>
      <x:c r="EW62" s="4"/>
      <x:c r="EX62" s="4"/>
      <x:c r="EY62" s="4"/>
      <x:c r="EZ62" s="4"/>
      <x:c r="FA62" s="4"/>
      <x:c r="FB62" s="4"/>
      <x:c r="FC62" s="4"/>
      <x:c r="FD62" s="4"/>
      <x:c r="FE62" s="4"/>
      <x:c r="FF62" s="4"/>
      <x:c r="FG62" s="4"/>
      <x:c r="FH62" s="4"/>
      <x:c r="FI62" s="4"/>
      <x:c r="FJ62" s="4"/>
      <x:c r="FK62" s="4"/>
      <x:c r="FL62" s="4"/>
      <x:c r="FM62" s="4"/>
      <x:c r="FN62" s="4"/>
      <x:c r="FO62" s="4"/>
      <x:c r="GA62" s="71"/>
      <x:c r="GB62" s="71"/>
      <x:c r="GC62" s="71"/>
      <x:c r="GD62" s="71"/>
      <x:c r="GE62" s="71"/>
      <x:c r="GF62" s="71"/>
      <x:c r="GG62" s="71"/>
      <x:c r="GH62" s="71"/>
      <x:c r="GI62" s="71"/>
      <x:c r="GJ62" s="71"/>
      <x:c r="GK62" s="71"/>
      <x:c r="GL62" s="71"/>
      <x:c r="GM62" s="71"/>
      <x:c r="GN62" s="71"/>
      <x:c r="GO62" s="71"/>
      <x:c r="GP62" s="71"/>
      <x:c r="GQ62" s="71"/>
      <x:c r="GR62" s="71"/>
      <x:c r="GS62" s="71"/>
      <x:c r="GT62" s="71"/>
      <x:c r="GU62" s="71"/>
      <x:c r="GV62" s="71"/>
      <x:c r="GW62" s="71"/>
      <x:c r="GX62" s="71"/>
      <x:c r="GY62" s="71"/>
      <x:c r="GZ62" s="71"/>
      <x:c r="HA62" s="71"/>
      <x:c r="HB62" s="71"/>
      <x:c r="HC62" s="71"/>
      <x:c r="HD62" s="71"/>
      <x:c r="HE62" t="str">
        <x:f>IF('Calculations'!EM62="","",IF(IFERROR(IF(INDEX(INDIRECT("'WCM Calibration Final'!$A$1:$A$2000"),'Calculations'!$EM62)="","",TRIM(INDEX(INDIRECT("'WCM Calibration Final'!$A$1:$A$2000"),'Calculations'!$EM62)&amp;"")),"")&lt;&gt;"","G:"&amp;IFERROR(TEXT(1*INDEX(INDIRECT("'WCM Calibration Final'!$A$1:$A$2000"),'Calculations'!$EM62),"0"),UPPER(IFERROR(IF(INDEX(INDIRECT("'WCM Calibration Final'!$A$1:$A$2000"),'Calculations'!$EM62)="","",TRIM(INDEX(INDIRECT("'WCM Calibration Final'!$A$1:$A$2000"),'Calculations'!$EM62)&amp;"")),""))),IF(IFERROR(IF(INDEX(INDIRECT("'WCM Calibration Final'!$C$1:$C$2000"),'Calculations'!$EM62)="","",TRIM(INDEX(INDIRECT("'WCM Calibration Final'!$C$1:$C$2000"),'Calculations'!$EM62)&amp;"")),"")&lt;&gt;"","S:"&amp;UPPER(IFERROR(IF(INDEX(INDIRECT("'WCM Calibration Final'!$C$1:$C$2000"),'Calculations'!$EM62)="","",TRIM(INDEX(INDIRECT("'WCM Calibration Final'!$C$1:$C$2000"),'Calculations'!$EM62)&amp;"")),"")),"R:"&amp;'Calculations'!EM62)))</x:f>
      </x:c>
      <x:c r="HF62" t="str">
        <x:f>IF('Calculations'!EM62="","",IF(IFERROR(IF(INDEX(INDIRECT("'WCM Calibration Final'!$D$1:$D$2000"),'Calculations'!$EM62)="","",TRIM(INDEX(INDIRECT("'WCM Calibration Final'!$D$1:$D$2000"),'Calculations'!$EM62)&amp;"")),"")&lt;&gt;"","G:"&amp;IFERROR(TEXT(1*INDEX(INDIRECT("'WCM Calibration Final'!$D$1:$D$2000"),'Calculations'!$EM62),"0"),UPPER(IFERROR(IF(INDEX(INDIRECT("'WCM Calibration Final'!$D$1:$D$2000"),'Calculations'!$EM62)="","",TRIM(INDEX(INDIRECT("'WCM Calibration Final'!$D$1:$D$2000"),'Calculations'!$EM62)&amp;"")),""))),IF(IFERROR(IF(INDEX(INDIRECT("'WCM Calibration Final'!$E$1:$E$2000"),'Calculations'!$EM62)="","",TRIM(INDEX(INDIRECT("'WCM Calibration Final'!$E$1:$E$2000"),'Calculations'!$EM62)&amp;"")),"")="","",IF(COUNTIF('Calculations'!$HG$13:$HG$512,"="&amp;SUBSTITUTE(SUBSTITUTE(SUBSTITUTE(IFERROR(IF(INDEX(INDIRECT("'WCM Calibration Final'!$E$1:$E$2000"),'Calculations'!$EM62)="","",TRIM(INDEX(INDIRECT("'WCM Calibration Final'!$E$1:$E$2000"),'Calculations'!$EM62)&amp;"")),""),"~","~~"),"*","~*"),"?","~?"))=1,INDEX('Calculations'!$HE$13:$HE$512,MATCH(IFERROR(IF(INDEX(INDIRECT("'WCM Calibration Final'!$E$1:$E$2000"),'Calculations'!$EM62)="","",TRIM(INDEX(INDIRECT("'WCM Calibration Final'!$E$1:$E$2000"),'Calculations'!$EM62)&amp;"")),""),'Calculations'!$HG$13:$HG$512,0)),IF(COUNTIF('Calculations'!$HG$13:$HG$512,"="&amp;SUBSTITUTE(SUBSTITUTE(SUBSTITUTE(IFERROR(IF(INDEX(INDIRECT("'WCM Calibration Final'!$E$1:$E$2000"),'Calculations'!$EM62)="","",TRIM(INDEX(INDIRECT("'WCM Calibration Final'!$E$1:$E$2000"),'Calculations'!$EM62)&amp;"")),""),"~","~~"),"*","~*"),"?","~?"))&gt;1,"!AMBIG","X:"&amp;IFERROR(IF(INDEX(INDIRECT("'WCM Calibration Final'!$E$1:$E$2000"),'Calculations'!$EM62)="","",TRIM(INDEX(INDIRECT("'WCM Calibration Final'!$E$1:$E$2000"),'Calculations'!$EM62)&amp;"")),""))))))</x:f>
      </x:c>
      <x:c r="HG62" t="str">
        <x:f>IF('Calculations'!EM62="","",IFERROR(IF(INDEX(INDIRECT("'WCM Calibration Final'!$B$1:$B$2000"),'Calculations'!$EM62)="","",TRIM(INDEX(INDIRECT("'WCM Calibration Final'!$B$1:$B$2000"),'Calculations'!$EM62)&amp;"")),""))</x:f>
      </x:c>
      <x:c r="HH62" t="n">
        <x:f>IF(AND('Calculations'!JC62&gt;0,COUNTIF('Calculations'!$HF$12:HF62,"="&amp;SUBSTITUTE(SUBSTITUTE(SUBSTITUTE('Calculations'!HF62,"~","~~"),"*","~*"),"?","~?"))=1),MAX('Calculations'!$HH$12:HH61)+1,0)</x:f>
        <x:v>0</x:v>
      </x:c>
      <x:c r="HI62" t="n">
        <x:f>IF(AND('Calculations'!HN62&lt;&gt;"",COUNTIF('Calculations'!$HN$12:HN62,"="&amp;SUBSTITUTE(SUBSTITUTE(SUBSTITUTE('Calculations'!HN62,"~","~~"),"*","~*"),"?","~?"))=1),MAX('Calculations'!$HI$12:HI61)+1,0)</x:f>
        <x:v>0</x:v>
      </x:c>
      <x:c r="HJ62" t="str">
        <x:f>IF('Calculations'!HF62="","",IF(COUNTIF('Calculations'!$HE$13:$HE$512,"="&amp;SUBSTITUTE(SUBSTITUTE(SUBSTITUTE('Calculations'!HF62,"~","~~"),"*","~*"),"?","~?"))=1,INDEX('Calculations'!$HK$13:$HK$512,MATCH('Calculations'!HF62,'Calculations'!$HE$13:$HE$512,0)),IFERROR(IF(INDEX(INDIRECT("'WCM Calibration Final'!$E$1:$E$2000"),'Calculations'!$EM62)="","",TRIM(INDEX(INDIRECT("'WCM Calibration Final'!$E$1:$E$2000"),'Calculations'!$EM62)&amp;"")),"")&amp;" ["&amp;'Calculations'!HF62&amp;"]"))</x:f>
      </x:c>
      <x:c r="HK62" t="str">
        <x:f>IF('Calculations'!EM62="","",'Calculations'!HG62&amp;" ["&amp;'Calculations'!HE62&amp;"]")</x:f>
      </x:c>
      <x:c r="HL62" t="n">
        <x:f>IF('Calculations'!EM62="",0,IF(OR('Calculations'!II62&lt;&gt;"",COUNTIF('Calculations'!$HE$13:$HE$512,"="&amp;SUBSTITUTE(SUBSTITUTE(SUBSTITUTE('Calculations'!HE62,"~","~~"),"*","~*"),"?","~?"))&gt;1),1,0))</x:f>
        <x:v>0</x:v>
      </x:c>
      <x:c r="HM62" t="str">
        <x:f>IF('Calculations'!EM62="","",IF('Calculations'!HL62=1,"!UNRESOLVED",IF('Calculations'!IH62&lt;&gt;"",'Calculations'!IH62,IF('Calculations'!IG62&lt;&gt;"",'Calculations'!IG62,IF('Calculations'!IF62&lt;&gt;"",'Calculations'!IF62,IF('Calculations'!IE62&lt;&gt;"",'Calculations'!IE62,IF('Calculations'!ID62&lt;&gt;"",'Calculations'!ID62,IF('Calculations'!IC62&lt;&gt;"",'Calculations'!IC62,IF('Calculations'!IB62&lt;&gt;"",'Calculations'!IB62,IF('Calculations'!IA62&lt;&gt;"",'Calculations'!IA62,IF('Calculations'!HZ62&lt;&gt;"",'Calculations'!HZ62,IF('Calculations'!HY62&lt;&gt;"",'Calculations'!HY62,IF('Calculations'!HX62&lt;&gt;"",'Calculations'!HX62,IF('Calculations'!HW62&lt;&gt;"",'Calculations'!HW62,IF('Calculations'!HV62&lt;&gt;"",'Calculations'!HV62,IF('Calculations'!HU62&lt;&gt;"",'Calculations'!HU62,IF('Calculations'!HT62&lt;&gt;"",'Calculations'!HT62,IF('Calculations'!HS62&lt;&gt;"",'Calculations'!HS62,IF('Calculations'!HR62&lt;&gt;"",'Calculations'!HR62,IF('Calculations'!HQ62&lt;&gt;"",'Calculations'!HQ62,IF('Calculations'!HP62&lt;&gt;"",'Calculations'!HP62,IF('Calculations'!HO62&lt;&gt;"",'Calculations'!HO62,'Calculations'!HE62))))))))))))))))))))))</x:f>
      </x:c>
      <x:c r="HN62" t="str">
        <x:f>IF('Calculations'!EM62="","",IF(IFERROR(IF(INDEX(INDIRECT("'WCM Calibration Final'!$F$1:$F$2000"),'Calculations'!$EM62)="","",TRIM(INDEX(INDIRECT("'WCM Calibration Final'!$F$1:$F$2000"),'Calculations'!$EM62)&amp;"")),"")="","(Blank)",IFERROR(IF(INDEX(INDIRECT("'WCM Calibration Final'!$F$1:$F$2000"),'Calculations'!$EM62)="","",TRIM(INDEX(INDIRECT("'WCM Calibration Final'!$F$1:$F$2000"),'Calculations'!$EM62)&amp;"")),"")))</x:f>
      </x:c>
      <x:c r="HO62" t="str">
        <x:f>'Calculations'!HF62</x:f>
      </x:c>
      <x:c r="HP62" t="str">
        <x:f>IF('Calculations'!HO62="","",IF('Calculations'!HO62="!AMBIG","!AMBIG",IF(COUNTIF('Calculations'!$HE$13:$HE$512,"="&amp;SUBSTITUTE(SUBSTITUTE(SUBSTITUTE('Calculations'!HO62,"~","~~"),"*","~*"),"?","~?"))&gt;1,"!AMBIG",IFERROR(INDEX('Calculations'!$HF$13:$HF$512,MATCH('Calculations'!HO62,'Calculations'!$HE$13:$HE$512,0)),""))))</x:f>
      </x:c>
      <x:c r="HQ62" t="str">
        <x:f>IF('Calculations'!HP62="","",IF('Calculations'!HP62="!AMBIG","!AMBIG",IF(COUNTIF('Calculations'!$HE$13:$HE$512,"="&amp;SUBSTITUTE(SUBSTITUTE(SUBSTITUTE('Calculations'!HP62,"~","~~"),"*","~*"),"?","~?"))&gt;1,"!AMBIG",IFERROR(INDEX('Calculations'!$HF$13:$HF$512,MATCH('Calculations'!HP62,'Calculations'!$HE$13:$HE$512,0)),""))))</x:f>
      </x:c>
      <x:c r="HR62" t="str">
        <x:f>IF('Calculations'!HQ62="","",IF('Calculations'!HQ62="!AMBIG","!AMBIG",IF(COUNTIF('Calculations'!$HE$13:$HE$512,"="&amp;SUBSTITUTE(SUBSTITUTE(SUBSTITUTE('Calculations'!HQ62,"~","~~"),"*","~*"),"?","~?"))&gt;1,"!AMBIG",IFERROR(INDEX('Calculations'!$HF$13:$HF$512,MATCH('Calculations'!HQ62,'Calculations'!$HE$13:$HE$512,0)),""))))</x:f>
      </x:c>
      <x:c r="HS62" t="str">
        <x:f>IF('Calculations'!HR62="","",IF('Calculations'!HR62="!AMBIG","!AMBIG",IF(COUNTIF('Calculations'!$HE$13:$HE$512,"="&amp;SUBSTITUTE(SUBSTITUTE(SUBSTITUTE('Calculations'!HR62,"~","~~"),"*","~*"),"?","~?"))&gt;1,"!AMBIG",IFERROR(INDEX('Calculations'!$HF$13:$HF$512,MATCH('Calculations'!HR62,'Calculations'!$HE$13:$HE$512,0)),""))))</x:f>
      </x:c>
      <x:c r="HT62" t="str">
        <x:f>IF('Calculations'!HS62="","",IF('Calculations'!HS62="!AMBIG","!AMBIG",IF(COUNTIF('Calculations'!$HE$13:$HE$512,"="&amp;SUBSTITUTE(SUBSTITUTE(SUBSTITUTE('Calculations'!HS62,"~","~~"),"*","~*"),"?","~?"))&gt;1,"!AMBIG",IFERROR(INDEX('Calculations'!$HF$13:$HF$512,MATCH('Calculations'!HS62,'Calculations'!$HE$13:$HE$512,0)),""))))</x:f>
      </x:c>
      <x:c r="HU62" t="str">
        <x:f>IF('Calculations'!HT62="","",IF('Calculations'!HT62="!AMBIG","!AMBIG",IF(COUNTIF('Calculations'!$HE$13:$HE$512,"="&amp;SUBSTITUTE(SUBSTITUTE(SUBSTITUTE('Calculations'!HT62,"~","~~"),"*","~*"),"?","~?"))&gt;1,"!AMBIG",IFERROR(INDEX('Calculations'!$HF$13:$HF$512,MATCH('Calculations'!HT62,'Calculations'!$HE$13:$HE$512,0)),""))))</x:f>
      </x:c>
      <x:c r="HV62" t="str">
        <x:f>IF('Calculations'!HU62="","",IF('Calculations'!HU62="!AMBIG","!AMBIG",IF(COUNTIF('Calculations'!$HE$13:$HE$512,"="&amp;SUBSTITUTE(SUBSTITUTE(SUBSTITUTE('Calculations'!HU62,"~","~~"),"*","~*"),"?","~?"))&gt;1,"!AMBIG",IFERROR(INDEX('Calculations'!$HF$13:$HF$512,MATCH('Calculations'!HU62,'Calculations'!$HE$13:$HE$512,0)),""))))</x:f>
      </x:c>
      <x:c r="HW62" t="str">
        <x:f>IF('Calculations'!HV62="","",IF('Calculations'!HV62="!AMBIG","!AMBIG",IF(COUNTIF('Calculations'!$HE$13:$HE$512,"="&amp;SUBSTITUTE(SUBSTITUTE(SUBSTITUTE('Calculations'!HV62,"~","~~"),"*","~*"),"?","~?"))&gt;1,"!AMBIG",IFERROR(INDEX('Calculations'!$HF$13:$HF$512,MATCH('Calculations'!HV62,'Calculations'!$HE$13:$HE$512,0)),""))))</x:f>
      </x:c>
      <x:c r="HX62" t="str">
        <x:f>IF('Calculations'!HW62="","",IF('Calculations'!HW62="!AMBIG","!AMBIG",IF(COUNTIF('Calculations'!$HE$13:$HE$512,"="&amp;SUBSTITUTE(SUBSTITUTE(SUBSTITUTE('Calculations'!HW62,"~","~~"),"*","~*"),"?","~?"))&gt;1,"!AMBIG",IFERROR(INDEX('Calculations'!$HF$13:$HF$512,MATCH('Calculations'!HW62,'Calculations'!$HE$13:$HE$512,0)),""))))</x:f>
      </x:c>
      <x:c r="HY62" t="str">
        <x:f>IF('Calculations'!HX62="","",IF('Calculations'!HX62="!AMBIG","!AMBIG",IF(COUNTIF('Calculations'!$HE$13:$HE$512,"="&amp;SUBSTITUTE(SUBSTITUTE(SUBSTITUTE('Calculations'!HX62,"~","~~"),"*","~*"),"?","~?"))&gt;1,"!AMBIG",IFERROR(INDEX('Calculations'!$HF$13:$HF$512,MATCH('Calculations'!HX62,'Calculations'!$HE$13:$HE$512,0)),""))))</x:f>
      </x:c>
      <x:c r="HZ62" t="str">
        <x:f>IF('Calculations'!HY62="","",IF('Calculations'!HY62="!AMBIG","!AMBIG",IF(COUNTIF('Calculations'!$HE$13:$HE$512,"="&amp;SUBSTITUTE(SUBSTITUTE(SUBSTITUTE('Calculations'!HY62,"~","~~"),"*","~*"),"?","~?"))&gt;1,"!AMBIG",IFERROR(INDEX('Calculations'!$HF$13:$HF$512,MATCH('Calculations'!HY62,'Calculations'!$HE$13:$HE$512,0)),""))))</x:f>
      </x:c>
      <x:c r="IA62" t="str">
        <x:f>IF('Calculations'!HZ62="","",IF('Calculations'!HZ62="!AMBIG","!AMBIG",IF(COUNTIF('Calculations'!$HE$13:$HE$512,"="&amp;SUBSTITUTE(SUBSTITUTE(SUBSTITUTE('Calculations'!HZ62,"~","~~"),"*","~*"),"?","~?"))&gt;1,"!AMBIG",IFERROR(INDEX('Calculations'!$HF$13:$HF$512,MATCH('Calculations'!HZ62,'Calculations'!$HE$13:$HE$512,0)),""))))</x:f>
      </x:c>
      <x:c r="IB62" t="str">
        <x:f>IF('Calculations'!IA62="","",IF('Calculations'!IA62="!AMBIG","!AMBIG",IF(COUNTIF('Calculations'!$HE$13:$HE$512,"="&amp;SUBSTITUTE(SUBSTITUTE(SUBSTITUTE('Calculations'!IA62,"~","~~"),"*","~*"),"?","~?"))&gt;1,"!AMBIG",IFERROR(INDEX('Calculations'!$HF$13:$HF$512,MATCH('Calculations'!IA62,'Calculations'!$HE$13:$HE$512,0)),""))))</x:f>
      </x:c>
      <x:c r="IC62" t="str">
        <x:f>IF('Calculations'!IB62="","",IF('Calculations'!IB62="!AMBIG","!AMBIG",IF(COUNTIF('Calculations'!$HE$13:$HE$512,"="&amp;SUBSTITUTE(SUBSTITUTE(SUBSTITUTE('Calculations'!IB62,"~","~~"),"*","~*"),"?","~?"))&gt;1,"!AMBIG",IFERROR(INDEX('Calculations'!$HF$13:$HF$512,MATCH('Calculations'!IB62,'Calculations'!$HE$13:$HE$512,0)),""))))</x:f>
      </x:c>
      <x:c r="ID62" t="str">
        <x:f>IF('Calculations'!IC62="","",IF('Calculations'!IC62="!AMBIG","!AMBIG",IF(COUNTIF('Calculations'!$HE$13:$HE$512,"="&amp;SUBSTITUTE(SUBSTITUTE(SUBSTITUTE('Calculations'!IC62,"~","~~"),"*","~*"),"?","~?"))&gt;1,"!AMBIG",IFERROR(INDEX('Calculations'!$HF$13:$HF$512,MATCH('Calculations'!IC62,'Calculations'!$HE$13:$HE$512,0)),""))))</x:f>
      </x:c>
      <x:c r="IE62" t="str">
        <x:f>IF('Calculations'!ID62="","",IF('Calculations'!ID62="!AMBIG","!AMBIG",IF(COUNTIF('Calculations'!$HE$13:$HE$512,"="&amp;SUBSTITUTE(SUBSTITUTE(SUBSTITUTE('Calculations'!ID62,"~","~~"),"*","~*"),"?","~?"))&gt;1,"!AMBIG",IFERROR(INDEX('Calculations'!$HF$13:$HF$512,MATCH('Calculations'!ID62,'Calculations'!$HE$13:$HE$512,0)),""))))</x:f>
      </x:c>
      <x:c r="IF62" t="str">
        <x:f>IF('Calculations'!IE62="","",IF('Calculations'!IE62="!AMBIG","!AMBIG",IF(COUNTIF('Calculations'!$HE$13:$HE$512,"="&amp;SUBSTITUTE(SUBSTITUTE(SUBSTITUTE('Calculations'!IE62,"~","~~"),"*","~*"),"?","~?"))&gt;1,"!AMBIG",IFERROR(INDEX('Calculations'!$HF$13:$HF$512,MATCH('Calculations'!IE62,'Calculations'!$HE$13:$HE$512,0)),""))))</x:f>
      </x:c>
      <x:c r="IG62" t="str">
        <x:f>IF('Calculations'!IF62="","",IF('Calculations'!IF62="!AMBIG","!AMBIG",IF(COUNTIF('Calculations'!$HE$13:$HE$512,"="&amp;SUBSTITUTE(SUBSTITUTE(SUBSTITUTE('Calculations'!IF62,"~","~~"),"*","~*"),"?","~?"))&gt;1,"!AMBIG",IFERROR(INDEX('Calculations'!$HF$13:$HF$512,MATCH('Calculations'!IF62,'Calculations'!$HE$13:$HE$512,0)),""))))</x:f>
      </x:c>
      <x:c r="IH62" t="str">
        <x:f>IF('Calculations'!IG62="","",IF('Calculations'!IG62="!AMBIG","!AMBIG",IF(COUNTIF('Calculations'!$HE$13:$HE$512,"="&amp;SUBSTITUTE(SUBSTITUTE(SUBSTITUTE('Calculations'!IG62,"~","~~"),"*","~*"),"?","~?"))&gt;1,"!AMBIG",IFERROR(INDEX('Calculations'!$HF$13:$HF$512,MATCH('Calculations'!IG62,'Calculations'!$HE$13:$HE$512,0)),""))))</x:f>
      </x:c>
      <x:c r="II62" t="str">
        <x:f>IF('Calculations'!IH62="","",IF('Calculations'!IH62="!AMBIG","!AMBIG",IF(COUNTIF('Calculations'!$HE$13:$HE$512,"="&amp;SUBSTITUTE(SUBSTITUTE(SUBSTITUTE('Calculations'!IH62,"~","~~"),"*","~*"),"?","~?"))&gt;1,"!AMBIG",IFERROR(INDEX('Calculations'!$HF$13:$HF$512,MATCH('Calculations'!IH62,'Calculations'!$HE$13:$HE$512,0)),""))))</x:f>
      </x:c>
      <x:c r="IJ62" t="str">
        <x:f>IF('Calculations'!EM62="","",IF('Calculations'!$EF$2="All",'Calculations'!HM62,IF('Calculations'!HL62=1,"",IFERROR(IF(MATCH('Calculations'!$EF$2,'Calculations'!HO62:II62,0)=1,'Calculations'!HE62,INDEX('Calculations'!HO62:II62,1,MATCH('Calculations'!$EF$2,'Calculations'!HO62:II62,0)-1)),""))))</x:f>
      </x:c>
      <x:c r="IK62" t="n">
        <x:f>IF(AND('Calculations'!EM62&lt;&gt;"",'Calculations'!$EF$2&lt;&gt;"All",'Calculations'!HF62='Calculations'!$EF$2,'Calculations'!HL62=0,'Calculations'!JD62&gt;0),MAX('Calculations'!$IK$12:IK61)+1,0)</x:f>
        <x:v>0</x:v>
      </x:c>
      <x:c r="JA62" t="n">
        <x:f>IF(OR(IFERROR(INDIRECT("'WCM Calibration Final'!$A$62")&lt;&gt;"",FALSE),IFERROR(INDIRECT("'WCM Calibration Final'!$B$62")&lt;&gt;"",FALSE),IFERROR(INDIRECT("'WCM Calibration Final'!$C$62")&lt;&gt;"",FALSE)),62,0)</x:f>
        <x:v>0</x:v>
      </x:c>
      <x:c r="JB62" t="n">
        <x:f>'Calculations'!JB61+IF('Calculations'!JA62&gt;0,1,0)</x:f>
        <x:v>0</x:v>
      </x:c>
      <x:c r="JC62" t="n">
        <x:f>IF(OR('Calculations'!HF62="",'Calculations'!HF62="!AMBIG"),0,IF('Dashboard'!$B$7="All",1,COUNTIFS('Calculations'!$HO$13:$HO$512,"="&amp;SUBSTITUTE(SUBSTITUTE(SUBSTITUTE('Calculations'!HF62,"~","~~"),"*","~*"),"?","~?"),'Calculations'!$HN$13:$HN$512,"="&amp;SUBSTITUTE(SUBSTITUTE(SUBSTITUTE('Dashboard'!$B$7,"~","~~"),"*","~*"),"?","~?"))+COUNTIFS('Calculations'!$HP$13:$HP$512,"="&amp;SUBSTITUTE(SUBSTITUTE(SUBSTITUTE('Calculations'!HF62,"~","~~"),"*","~*"),"?","~?"),'Calculations'!$HN$13:$HN$512,"="&amp;SUBSTITUTE(SUBSTITUTE(SUBSTITUTE('Dashboard'!$B$7,"~","~~"),"*","~*"),"?","~?"))+COUNTIFS('Calculations'!$HQ$13:$HQ$512,"="&amp;SUBSTITUTE(SUBSTITUTE(SUBSTITUTE('Calculations'!HF62,"~","~~"),"*","~*"),"?","~?"),'Calculations'!$HN$13:$HN$512,"="&amp;SUBSTITUTE(SUBSTITUTE(SUBSTITUTE('Dashboard'!$B$7,"~","~~"),"*","~*"),"?","~?"))+COUNTIFS('Calculations'!$HR$13:$HR$512,"="&amp;SUBSTITUTE(SUBSTITUTE(SUBSTITUTE('Calculations'!HF62,"~","~~"),"*","~*"),"?","~?"),'Calculations'!$HN$13:$HN$512,"="&amp;SUBSTITUTE(SUBSTITUTE(SUBSTITUTE('Dashboard'!$B$7,"~","~~"),"*","~*"),"?","~?"))+COUNTIFS('Calculations'!$HS$13:$HS$512,"="&amp;SUBSTITUTE(SUBSTITUTE(SUBSTITUTE('Calculations'!HF62,"~","~~"),"*","~*"),"?","~?"),'Calculations'!$HN$13:$HN$512,"="&amp;SUBSTITUTE(SUBSTITUTE(SUBSTITUTE('Dashboard'!$B$7,"~","~~"),"*","~*"),"?","~?"))+COUNTIFS('Calculations'!$HT$13:$HT$512,"="&amp;SUBSTITUTE(SUBSTITUTE(SUBSTITUTE('Calculations'!HF62,"~","~~"),"*","~*"),"?","~?"),'Calculations'!$HN$13:$HN$512,"="&amp;SUBSTITUTE(SUBSTITUTE(SUBSTITUTE('Dashboard'!$B$7,"~","~~"),"*","~*"),"?","~?"))+COUNTIFS('Calculations'!$HU$13:$HU$512,"="&amp;SUBSTITUTE(SUBSTITUTE(SUBSTITUTE('Calculations'!HF62,"~","~~"),"*","~*"),"?","~?"),'Calculations'!$HN$13:$HN$512,"="&amp;SUBSTITUTE(SUBSTITUTE(SUBSTITUTE('Dashboard'!$B$7,"~","~~"),"*","~*"),"?","~?"))+COUNTIFS('Calculations'!$HV$13:$HV$512,"="&amp;SUBSTITUTE(SUBSTITUTE(SUBSTITUTE('Calculations'!HF62,"~","~~"),"*","~*"),"?","~?"),'Calculations'!$HN$13:$HN$512,"="&amp;SUBSTITUTE(SUBSTITUTE(SUBSTITUTE('Dashboard'!$B$7,"~","~~"),"*","~*"),"?","~?"))+COUNTIFS('Calculations'!$HW$13:$HW$512,"="&amp;SUBSTITUTE(SUBSTITUTE(SUBSTITUTE('Calculations'!HF62,"~","~~"),"*","~*"),"?","~?"),'Calculations'!$HN$13:$HN$512,"="&amp;SUBSTITUTE(SUBSTITUTE(SUBSTITUTE('Dashboard'!$B$7,"~","~~"),"*","~*"),"?","~?"))+COUNTIFS('Calculations'!$HX$13:$HX$512,"="&amp;SUBSTITUTE(SUBSTITUTE(SUBSTITUTE('Calculations'!HF62,"~","~~"),"*","~*"),"?","~?"),'Calculations'!$HN$13:$HN$512,"="&amp;SUBSTITUTE(SUBSTITUTE(SUBSTITUTE('Dashboard'!$B$7,"~","~~"),"*","~*"),"?","~?"))+COUNTIFS('Calculations'!$HY$13:$HY$512,"="&amp;SUBSTITUTE(SUBSTITUTE(SUBSTITUTE('Calculations'!HF62,"~","~~"),"*","~*"),"?","~?"),'Calculations'!$HN$13:$HN$512,"="&amp;SUBSTITUTE(SUBSTITUTE(SUBSTITUTE('Dashboard'!$B$7,"~","~~"),"*","~*"),"?","~?"))+COUNTIFS('Calculations'!$HZ$13:$HZ$512,"="&amp;SUBSTITUTE(SUBSTITUTE(SUBSTITUTE('Calculations'!HF62,"~","~~"),"*","~*"),"?","~?"),'Calculations'!$HN$13:$HN$512,"="&amp;SUBSTITUTE(SUBSTITUTE(SUBSTITUTE('Dashboard'!$B$7,"~","~~"),"*","~*"),"?","~?"))+COUNTIFS('Calculations'!$IA$13:$IA$512,"="&amp;SUBSTITUTE(SUBSTITUTE(SUBSTITUTE('Calculations'!HF62,"~","~~"),"*","~*"),"?","~?"),'Calculations'!$HN$13:$HN$512,"="&amp;SUBSTITUTE(SUBSTITUTE(SUBSTITUTE('Dashboard'!$B$7,"~","~~"),"*","~*"),"?","~?"))+COUNTIFS('Calculations'!$IB$13:$IB$512,"="&amp;SUBSTITUTE(SUBSTITUTE(SUBSTITUTE('Calculations'!HF62,"~","~~"),"*","~*"),"?","~?"),'Calculations'!$HN$13:$HN$512,"="&amp;SUBSTITUTE(SUBSTITUTE(SUBSTITUTE('Dashboard'!$B$7,"~","~~"),"*","~*"),"?","~?"))+COUNTIFS('Calculations'!$IC$13:$IC$512,"="&amp;SUBSTITUTE(SUBSTITUTE(SUBSTITUTE('Calculations'!HF62,"~","~~"),"*","~*"),"?","~?"),'Calculations'!$HN$13:$HN$512,"="&amp;SUBSTITUTE(SUBSTITUTE(SUBSTITUTE('Dashboard'!$B$7,"~","~~"),"*","~*"),"?","~?"))+COUNTIFS('Calculations'!$ID$13:$ID$512,"="&amp;SUBSTITUTE(SUBSTITUTE(SUBSTITUTE('Calculations'!HF62,"~","~~"),"*","~*"),"?","~?"),'Calculations'!$HN$13:$HN$512,"="&amp;SUBSTITUTE(SUBSTITUTE(SUBSTITUTE('Dashboard'!$B$7,"~","~~"),"*","~*"),"?","~?"))+COUNTIFS('Calculations'!$IE$13:$IE$512,"="&amp;SUBSTITUTE(SUBSTITUTE(SUBSTITUTE('Calculations'!HF62,"~","~~"),"*","~*"),"?","~?"),'Calculations'!$HN$13:$HN$512,"="&amp;SUBSTITUTE(SUBSTITUTE(SUBSTITUTE('Dashboard'!$B$7,"~","~~"),"*","~*"),"?","~?"))+COUNTIFS('Calculations'!$IF$13:$IF$512,"="&amp;SUBSTITUTE(SUBSTITUTE(SUBSTITUTE('Calculations'!HF62,"~","~~"),"*","~*"),"?","~?"),'Calculations'!$HN$13:$HN$512,"="&amp;SUBSTITUTE(SUBSTITUTE(SUBSTITUTE('Dashboard'!$B$7,"~","~~"),"*","~*"),"?","~?"))+COUNTIFS('Calculations'!$IG$13:$IG$512,"="&amp;SUBSTITUTE(SUBSTITUTE(SUBSTITUTE('Calculations'!HF62,"~","~~"),"*","~*"),"?","~?"),'Calculations'!$HN$13:$HN$512,"="&amp;SUBSTITUTE(SUBSTITUTE(SUBSTITUTE('Dashboard'!$B$7,"~","~~"),"*","~*"),"?","~?"))+COUNTIFS('Calculations'!$IH$13:$IH$512,"="&amp;SUBSTITUTE(SUBSTITUTE(SUBSTITUTE('Calculations'!HF62,"~","~~"),"*","~*"),"?","~?"),'Calculations'!$HN$13:$HN$512,"="&amp;SUBSTITUTE(SUBSTITUTE(SUBSTITUTE('Dashboard'!$B$7,"~","~~"),"*","~*"),"?","~?"))))</x:f>
        <x:v>0</x:v>
      </x:c>
      <x:c r="JD62" t="n">
        <x:f>IF('Calculations'!EM62="",0,IF('Dashboard'!$B$7="All",1,IF('Calculations'!HN62='Dashboard'!$B$7,1,0)+IFERROR(INDEX('Calculations'!$JC$13:$JC$512,MATCH('Calculations'!HE62,'Calculations'!$HF$13:$HF$512,0)),0)))</x:f>
        <x:v>0</x:v>
      </x:c>
      <x:c r="JE62" t="n">
        <x:f>IF(AND('Calculations'!EM62&lt;&gt;"",'Calculations'!$JJ$2&lt;&gt;"All",'Calculations'!$JJ$2&lt;&gt;"",'Calculations'!HF62='Calculations'!$JJ$2,'Calculations'!HL62=0,'Calculations'!JD62&gt;0),MAX('Calculations'!$JE$12:JE61)+1,0)</x:f>
        <x:v>0</x:v>
      </x:c>
      <x:c r="JF62" t="str">
        <x:f>IF('Calculations'!EM62="","",IFERROR(IF(INDEX(INDIRECT("'WCM Calibration Final'!$G$1:$G$2000"),'Calculations'!$EM62)="","",TRIM(INDEX(INDIRECT("'WCM Calibration Final'!$G$1:$G$2000"),'Calculations'!$EM62)&amp;"")),""))</x:f>
      </x:c>
      <x:c r="JQ62" t="n">
        <x:f>IF(OR('Calculations'!BM62=0,NOT('Calculations'!$AG$2),'Calculations'!$AG$8&gt;0),0,IF(OR('Dashboard'!$B$7="All",'Calculations'!HN62='Dashboard'!$B$7),IF('Calculations'!$JJ$2="All",1,IF(AND('Calculations'!HF62='Calculations'!$JJ$2,'Calculations'!HL62=0),1,0)),0))</x:f>
        <x:v>0</x:v>
      </x:c>
    </x:row>
    <x:row r="63">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t="n">
        <x:f>IF('Calculations'!$EM63="",0,IF(OR(IFERROR(INDEX(INDIRECT("'WCM Calibration Final'!$A$1:$A$2000"),'Calculations'!$EM63)&lt;&gt;"",FALSE),IFERROR(INDEX(INDIRECT("'WCM Calibration Final'!$B$1:$B$2000"),'Calculations'!$EM63)&lt;&gt;"",FALSE),IFERROR(INDEX(INDIRECT("'WCM Calibration Final'!$C$1:$C$2000"),'Calculations'!$EM63)&lt;&gt;"",FALSE)),1,0))</x:f>
        <x:v>0</x:v>
      </x:c>
      <x:c r="BN63" s="4" t="n">
        <x:f>IF(AND('Calculations'!BM63=1,'Calculations'!$AG$2,'Calculations'!$EN63=1),1,0)</x:f>
        <x:v>0</x:v>
      </x:c>
      <x:c r="BO63" s="4" t="str">
        <x:f>IF('Calculations'!BM63=0,"",IFERROR(IF(AND(VALUE(INDEX(INDIRECT("'WCM Calibration Final'!$K$1:$K$2000"),'Calculations'!$EM63))&gt;=1,VALUE(INDEX(INDIRECT("'WCM Calibration Final'!$K$1:$K$2000"),'Calculations'!$EM63))&lt;=4,MOD(VALUE(INDEX(INDIRECT("'WCM Calibration Final'!$K$1:$K$2000"),'Calculations'!$EM63)),1)=0),VALUE(INDEX(INDIRECT("'WCM Calibration Final'!$K$1:$K$2000"),'Calculations'!$EM63)),""),""))</x:f>
      </x:c>
      <x:c r="BP63" s="4" t="str">
        <x:f>IF('Calculations'!BM63=0,"",IFERROR(IF(AND(VALUE(INDEX(INDIRECT("'WCM Calibration Final'!$L$1:$L$2000"),'Calculations'!$EM63))&gt;=1,VALUE(INDEX(INDIRECT("'WCM Calibration Final'!$L$1:$L$2000"),'Calculations'!$EM63))&lt;=4,MOD(VALUE(INDEX(INDIRECT("'WCM Calibration Final'!$L$1:$L$2000"),'Calculations'!$EM63)),1)=0),VALUE(INDEX(INDIRECT("'WCM Calibration Final'!$L$1:$L$2000"),'Calculations'!$EM63)),""),""))</x:f>
      </x:c>
      <x:c r="BQ63" s="4"/>
      <x:c r="BR63" s="4"/>
      <x:c r="BS63" s="4"/>
      <x:c r="BT63" s="4" t="n">
        <x:f>IF(AND('Calculations'!BM63=1,ISNUMBER('Calculations'!BO63),ISNUMBER('Calculations'!BP63)),1,0)</x:f>
        <x:v>0</x:v>
      </x:c>
      <x:c r="BU63" s="4" t="str">
        <x:f>IF('Calculations'!BM63=0,"",'Calculations'!$EO63)</x:f>
      </x:c>
      <x:c r="BV63" s="4" t="str">
        <x:f>IF('Calculations'!BM63=0,"",IFERROR(IF(OR(INDEX(INDIRECT("'WCM Calibration Final'!$H$1:$H$2000"),'Calculations'!$EM63)="MANAGING DIRECTOR",INDEX(INDIRECT("'WCM Calibration Final'!$H$1:$H$2000"),'Calculations'!$EM63)="DIRECTOR",INDEX(INDIRECT("'WCM Calibration Final'!$H$1:$H$2000"),'Calculations'!$EM63)="SENIOR VICE PRESIDENT",INDEX(INDIRECT("'WCM Calibration Final'!$H$1:$H$2000"),'Calculations'!$EM63)="VICE PRESIDENT",INDEX(INDIRECT("'WCM Calibration Final'!$H$1:$H$2000"),'Calculations'!$EM63)="ASSISTANT VICE PRESIDENT",INDEX(INDIRECT("'WCM Calibration Final'!$H$1:$H$2000"),'Calculations'!$EM63)="OFFICER"),UPPER(INDEX(INDIRECT("'WCM Calibration Final'!$H$1:$H$2000"),'Calculations'!$EM63)),"Other"),"Other"))</x:f>
      </x:c>
      <x:c r="BW63" s="4"/>
      <x:c r="BX63" s="4"/>
      <x:c r="BY63" s="4" t="n">
        <x:f>IF(AND('Calculations'!BM63=1,'Calculations'!BU63&lt;&gt;"",COUNTIF('Calculations'!$BU$12:BU63,'Calculations'!BU63)=1),MAX('Calculations'!$BY$11:BY62)+1,0)</x:f>
        <x:v>0</x:v>
      </x:c>
      <x:c r="BZ63" s="4" t="str">
        <x:f>IF('Dashboard'!$E$67="What",'Calculations'!BO63,'Calculations'!BP63)</x:f>
      </x:c>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t="str">
        <x:f>IF(52&gt;MAX('Calculations'!$HI$13:$HI$512),"",INDEX('Calculations'!$HN$13:$HN$512,MATCH(52,'Calculations'!$HI$13:$HI$512,0)))</x:f>
      </x:c>
      <x:c r="DB63" s="4" t="str">
        <x:f>IF(52&gt;MAX('Calculations'!$HH$13:$HH$512),"",INDEX('Calculations'!$HJ$13:$HJ$512,MATCH(52,'Calculations'!$HH$13:$HH$512,0)))</x:f>
      </x:c>
      <x:c r="DC63" s="4" t="str">
        <x:f>IF(ROW()-11&gt;MAX('Calculations'!$BY$13:$BY$512),"",INDEX('Calculations'!$BU$13:$BU$512,MATCH(ROW()-11,'Calculations'!$BY$13:$BY$512,0)))</x:f>
      </x:c>
      <x:c r="DD63" s="4" t="str">
        <x:f>IF(52&gt;MAX('Calculations'!$IK$13:$IK$512),"",INDEX('Calculations'!$HK$13:$HK$512,MATCH(52,'Calculations'!$IK$13:$IK$512,0)))</x:f>
      </x:c>
      <x:c r="DE63" s="4" t="str">
        <x:f>'Calculations'!DC63</x:f>
      </x:c>
      <x:c r="DF63" s="4" t="str">
        <x:f>IF('Calculations'!DE63="","",COUNTIFS('Calculations'!$BN$13:$BN$512,1,'Calculations'!$BU$13:$BU$512,'Calculations'!DE63))</x:f>
      </x:c>
      <x:c r="DG63" s="4" t="str">
        <x:f>IF('Calculations'!DE63="","",COUNTIFS('Calculations'!$BN$13:$BN$512,1,'Calculations'!$BU$13:$BU$512,'Calculations'!DE63,'Calculations'!$BT$13:$BT$512,1))</x:f>
      </x:c>
      <x:c r="DH63" s="4" t="str">
        <x:f>IF('Calculations'!DE63="","",'Calculations'!DF63-'Calculations'!DG63)</x:f>
      </x:c>
      <x:c r="DI63" s="4" t="str">
        <x:f>IF(OR('Calculations'!DE63="",'Calculations'!DF63=0),"",'Calculations'!DG63/'Calculations'!DF63)</x:f>
      </x:c>
      <x:c r="DJ63" s="4" t="str">
        <x:f>IF('Calculations'!DE63="","",COUNTIFS('Calculations'!$BN$13:$BN$512,1,'Calculations'!$BU$13:$BU$512,'Calculations'!DE63,'Calculations'!$BT$13:$BT$512,1,'Calculations'!$EE$13:$EE$512,"High"))</x:f>
      </x:c>
      <x:c r="DK63" s="4" t="str">
        <x:f>IF('Calculations'!DE63="","",COUNTIFS('Calculations'!$BN$13:$BN$512,1,'Calculations'!$BU$13:$BU$512,'Calculations'!DE63,'Calculations'!$BT$13:$BT$512,1,'Calculations'!$EE$13:$EE$512,"Strong"))</x:f>
      </x:c>
      <x:c r="DL63" s="4" t="str">
        <x:f>IF('Calculations'!DE63="","",COUNTIFS('Calculations'!$BN$13:$BN$512,1,'Calculations'!$BU$13:$BU$512,'Calculations'!DE63,'Calculations'!$BT$13:$BT$512,1,'Calculations'!$EE$13:$EE$512,"Solid"))</x:f>
      </x:c>
      <x:c r="DM63" s="4" t="str">
        <x:f>IF('Calculations'!DE63="","",COUNTIFS('Calculations'!$BN$13:$BN$512,1,'Calculations'!$BU$13:$BU$512,'Calculations'!DE63,'Calculations'!$BT$13:$BT$512,1,'Calculations'!$EE$13:$EE$512,"Low"))</x:f>
      </x:c>
      <x:c r="DN63" s="4" t="str">
        <x:f>IF('Calculations'!DE63="","",COUNTIFS('Calculations'!$BN$13:$BN$512,1,'Calculations'!$BU$13:$BU$512,'Calculations'!DE63,'Calculations'!$EP$13:$EP$512,1))</x:f>
      </x:c>
      <x:c r="DO63" s="4" t="str">
        <x:f>IF(OR('Calculations'!DE63="",'Calculations'!DG63=0),"",('Calculations'!DJ63+'Calculations'!DK63)/'Calculations'!DG63)</x:f>
      </x:c>
      <x:c r="DP63" s="4" t="n">
        <x:f>IF(AND('Calculations'!DE63&lt;&gt;"",'Calculations'!DF63&gt;0),COUNTIF('Calculations'!$DF$12:DF63,"&gt;0"),0)</x:f>
        <x:v>0</x:v>
      </x:c>
      <x:c r="DQ63" s="4" t="str">
        <x:f>IF(52&gt;MAX('Calculations'!$HH$13:$HH$512),"",INDEX('Calculations'!$HF$13:$HF$512,MATCH(52,'Calculations'!$HH$13:$HH$512,0)))</x:f>
      </x:c>
      <x:c r="DR63" s="4" t="str">
        <x:f>IF(52&gt;MAX('Calculations'!$IK$13:$IK$512),"",INDEX('Calculations'!$HE$13:$HE$512,MATCH(52,'Calculations'!$IK$13:$IK$512,0)))</x:f>
      </x:c>
      <x:c r="DS63" s="4"/>
      <x:c r="DT63" s="4"/>
      <x:c r="DU63" s="4"/>
      <x:c r="DV63" s="4"/>
      <x:c r="DW63" s="4"/>
      <x:c r="DX63" s="4"/>
      <x:c r="DY63" s="4" t="str">
        <x:f>IFERROR(TEXT('Calculations'!AI73,"0.0%"),"—")</x:f>
        <x:v>65.0%</x:v>
      </x:c>
      <x:c r="DZ63" s="4"/>
      <x:c r="EA63" s="4"/>
      <x:c r="EB63" s="4"/>
      <x:c r="EC63" s="4"/>
      <x:c r="ED63" s="4"/>
      <x:c r="EE63" s="4" t="str">
        <x:f>IF('Calculations'!BT63=0,"Not Rated",IF(OR('Calculations'!BO63&gt;=4,'Calculations'!BP63&gt;=4),"Low",IF('Calculations'!BO63+'Calculations'!BP63&lt;=3,"High",IF('Calculations'!BO63+'Calculations'!BP63&lt;=4,"Strong","Solid"))))</x:f>
        <x:v>Not Rated</x:v>
      </x:c>
      <x:c r="EF63" s="4"/>
      <x:c r="EG63" s="4"/>
      <x:c r="EH63" s="4"/>
      <x:c r="EI63" s="4"/>
      <x:c r="EJ63" s="4"/>
      <x:c r="EK63" s="4"/>
      <x:c r="EL63" s="4"/>
      <x:c r="EM63" s="4" t="str">
        <x:f>IF(51&gt;'Calculations'!$JB$2000,"",INDEX('Calculations'!$JA$12:$JA$2000,MATCH(51,'Calculations'!$JB$12:$JB$2000,0)))</x:f>
      </x:c>
      <x:c r="EN63" s="4" t="n">
        <x:f>IF(OR('Calculations'!EM63="",'Calculations'!$AG$8&gt;0,AND('Calculations'!$EF$2&lt;&gt;"All",'Calculations'!HE63='Calculations'!$EF$2),AND('Calculations'!$EF$3&lt;&gt;"All",'Calculations'!HE63='Calculations'!$EF$3)),0,IF(OR('Dashboard'!$B$7="All",'Calculations'!HN63='Dashboard'!$B$7),IF('Calculations'!$EF$2="All",1,IF('Calculations'!HL63&gt;0,0,IF(COUNTIF('Calculations'!HO63:II63,"="&amp;SUBSTITUTE(SUBSTITUTE(SUBSTITUTE('Calculations'!$EF$2,"~","~~"),"*","~*"),"?","~?"))=0,0,IF('Calculations'!$EF$3="All",1,IF(COUNTIF('Calculations'!HO63:II63,"="&amp;SUBSTITUTE(SUBSTITUTE(SUBSTITUTE('Calculations'!$EF$3,"~","~~"),"*","~*"),"?","~?"))&gt;0,1,0))))),0))</x:f>
        <x:v>0</x:v>
      </x:c>
      <x:c r="EO63" s="4" t="str">
        <x:f>IF('Calculations'!IJ63="","",IF('Calculations'!IJ63="!UNRESOLVED","Unresolved hierarchy",IFERROR(INDEX('Calculations'!$HK$13:$HK$512,MATCH('Calculations'!IJ63,'Calculations'!$HE$13:$HE$512,0)),IFERROR(INDEX('Calculations'!$HJ$13:$HJ$512,MATCH('Calculations'!IJ63,'Calculations'!$HF$13:$HF$512,0)),'Calculations'!IJ63))))</x:f>
      </x:c>
      <x:c r="EP63" s="4" t="n">
        <x:f>IF(AND('Calculations'!EM63&lt;&gt;"",'Calculations'!HF63='Calculations'!IJ63),1,0)</x:f>
        <x:v>0</x:v>
      </x:c>
      <x:c r="EQ63" s="4"/>
      <x:c r="ER63" s="4"/>
      <x:c r="ES63" s="4"/>
      <x:c r="ET63" s="4"/>
      <x:c r="EU63" s="4"/>
      <x:c r="EV63" s="4"/>
      <x:c r="EW63" s="4"/>
      <x:c r="EX63" s="4"/>
      <x:c r="EY63" s="4"/>
      <x:c r="EZ63" s="4"/>
      <x:c r="FA63" s="4"/>
      <x:c r="FB63" s="4"/>
      <x:c r="FC63" s="4"/>
      <x:c r="FD63" s="4"/>
      <x:c r="FE63" s="4"/>
      <x:c r="FF63" s="4"/>
      <x:c r="FG63" s="4"/>
      <x:c r="FH63" s="4"/>
      <x:c r="FI63" s="4"/>
      <x:c r="FJ63" s="4"/>
      <x:c r="FK63" s="4"/>
      <x:c r="FL63" s="4"/>
      <x:c r="FM63" s="4"/>
      <x:c r="FN63" s="4"/>
      <x:c r="FO63" s="4"/>
      <x:c r="GA63" s="71"/>
      <x:c r="GB63" s="71"/>
      <x:c r="GC63" s="71"/>
      <x:c r="GD63" s="71"/>
      <x:c r="GE63" s="71"/>
      <x:c r="GF63" s="71"/>
      <x:c r="GG63" s="71"/>
      <x:c r="GH63" s="71"/>
      <x:c r="GI63" s="71"/>
      <x:c r="GJ63" s="71"/>
      <x:c r="GK63" s="71"/>
      <x:c r="GL63" s="71"/>
      <x:c r="GM63" s="71"/>
      <x:c r="GN63" s="71"/>
      <x:c r="GO63" s="71"/>
      <x:c r="GP63" s="71"/>
      <x:c r="GQ63" s="71"/>
      <x:c r="GR63" s="71"/>
      <x:c r="GS63" s="71"/>
      <x:c r="GT63" s="71"/>
      <x:c r="GU63" s="71"/>
      <x:c r="GV63" s="71"/>
      <x:c r="GW63" s="71"/>
      <x:c r="GX63" s="71"/>
      <x:c r="GY63" s="71"/>
      <x:c r="GZ63" s="71"/>
      <x:c r="HA63" s="71"/>
      <x:c r="HB63" s="71"/>
      <x:c r="HC63" s="71"/>
      <x:c r="HD63" s="71"/>
      <x:c r="HE63" t="str">
        <x:f>IF('Calculations'!EM63="","",IF(IFERROR(IF(INDEX(INDIRECT("'WCM Calibration Final'!$A$1:$A$2000"),'Calculations'!$EM63)="","",TRIM(INDEX(INDIRECT("'WCM Calibration Final'!$A$1:$A$2000"),'Calculations'!$EM63)&amp;"")),"")&lt;&gt;"","G:"&amp;IFERROR(TEXT(1*INDEX(INDIRECT("'WCM Calibration Final'!$A$1:$A$2000"),'Calculations'!$EM63),"0"),UPPER(IFERROR(IF(INDEX(INDIRECT("'WCM Calibration Final'!$A$1:$A$2000"),'Calculations'!$EM63)="","",TRIM(INDEX(INDIRECT("'WCM Calibration Final'!$A$1:$A$2000"),'Calculations'!$EM63)&amp;"")),""))),IF(IFERROR(IF(INDEX(INDIRECT("'WCM Calibration Final'!$C$1:$C$2000"),'Calculations'!$EM63)="","",TRIM(INDEX(INDIRECT("'WCM Calibration Final'!$C$1:$C$2000"),'Calculations'!$EM63)&amp;"")),"")&lt;&gt;"","S:"&amp;UPPER(IFERROR(IF(INDEX(INDIRECT("'WCM Calibration Final'!$C$1:$C$2000"),'Calculations'!$EM63)="","",TRIM(INDEX(INDIRECT("'WCM Calibration Final'!$C$1:$C$2000"),'Calculations'!$EM63)&amp;"")),"")),"R:"&amp;'Calculations'!EM63)))</x:f>
      </x:c>
      <x:c r="HF63" t="str">
        <x:f>IF('Calculations'!EM63="","",IF(IFERROR(IF(INDEX(INDIRECT("'WCM Calibration Final'!$D$1:$D$2000"),'Calculations'!$EM63)="","",TRIM(INDEX(INDIRECT("'WCM Calibration Final'!$D$1:$D$2000"),'Calculations'!$EM63)&amp;"")),"")&lt;&gt;"","G:"&amp;IFERROR(TEXT(1*INDEX(INDIRECT("'WCM Calibration Final'!$D$1:$D$2000"),'Calculations'!$EM63),"0"),UPPER(IFERROR(IF(INDEX(INDIRECT("'WCM Calibration Final'!$D$1:$D$2000"),'Calculations'!$EM63)="","",TRIM(INDEX(INDIRECT("'WCM Calibration Final'!$D$1:$D$2000"),'Calculations'!$EM63)&amp;"")),""))),IF(IFERROR(IF(INDEX(INDIRECT("'WCM Calibration Final'!$E$1:$E$2000"),'Calculations'!$EM63)="","",TRIM(INDEX(INDIRECT("'WCM Calibration Final'!$E$1:$E$2000"),'Calculations'!$EM63)&amp;"")),"")="","",IF(COUNTIF('Calculations'!$HG$13:$HG$512,"="&amp;SUBSTITUTE(SUBSTITUTE(SUBSTITUTE(IFERROR(IF(INDEX(INDIRECT("'WCM Calibration Final'!$E$1:$E$2000"),'Calculations'!$EM63)="","",TRIM(INDEX(INDIRECT("'WCM Calibration Final'!$E$1:$E$2000"),'Calculations'!$EM63)&amp;"")),""),"~","~~"),"*","~*"),"?","~?"))=1,INDEX('Calculations'!$HE$13:$HE$512,MATCH(IFERROR(IF(INDEX(INDIRECT("'WCM Calibration Final'!$E$1:$E$2000"),'Calculations'!$EM63)="","",TRIM(INDEX(INDIRECT("'WCM Calibration Final'!$E$1:$E$2000"),'Calculations'!$EM63)&amp;"")),""),'Calculations'!$HG$13:$HG$512,0)),IF(COUNTIF('Calculations'!$HG$13:$HG$512,"="&amp;SUBSTITUTE(SUBSTITUTE(SUBSTITUTE(IFERROR(IF(INDEX(INDIRECT("'WCM Calibration Final'!$E$1:$E$2000"),'Calculations'!$EM63)="","",TRIM(INDEX(INDIRECT("'WCM Calibration Final'!$E$1:$E$2000"),'Calculations'!$EM63)&amp;"")),""),"~","~~"),"*","~*"),"?","~?"))&gt;1,"!AMBIG","X:"&amp;IFERROR(IF(INDEX(INDIRECT("'WCM Calibration Final'!$E$1:$E$2000"),'Calculations'!$EM63)="","",TRIM(INDEX(INDIRECT("'WCM Calibration Final'!$E$1:$E$2000"),'Calculations'!$EM63)&amp;"")),""))))))</x:f>
      </x:c>
      <x:c r="HG63" t="str">
        <x:f>IF('Calculations'!EM63="","",IFERROR(IF(INDEX(INDIRECT("'WCM Calibration Final'!$B$1:$B$2000"),'Calculations'!$EM63)="","",TRIM(INDEX(INDIRECT("'WCM Calibration Final'!$B$1:$B$2000"),'Calculations'!$EM63)&amp;"")),""))</x:f>
      </x:c>
      <x:c r="HH63" t="n">
        <x:f>IF(AND('Calculations'!JC63&gt;0,COUNTIF('Calculations'!$HF$12:HF63,"="&amp;SUBSTITUTE(SUBSTITUTE(SUBSTITUTE('Calculations'!HF63,"~","~~"),"*","~*"),"?","~?"))=1),MAX('Calculations'!$HH$12:HH62)+1,0)</x:f>
        <x:v>0</x:v>
      </x:c>
      <x:c r="HI63" t="n">
        <x:f>IF(AND('Calculations'!HN63&lt;&gt;"",COUNTIF('Calculations'!$HN$12:HN63,"="&amp;SUBSTITUTE(SUBSTITUTE(SUBSTITUTE('Calculations'!HN63,"~","~~"),"*","~*"),"?","~?"))=1),MAX('Calculations'!$HI$12:HI62)+1,0)</x:f>
        <x:v>0</x:v>
      </x:c>
      <x:c r="HJ63" t="str">
        <x:f>IF('Calculations'!HF63="","",IF(COUNTIF('Calculations'!$HE$13:$HE$512,"="&amp;SUBSTITUTE(SUBSTITUTE(SUBSTITUTE('Calculations'!HF63,"~","~~"),"*","~*"),"?","~?"))=1,INDEX('Calculations'!$HK$13:$HK$512,MATCH('Calculations'!HF63,'Calculations'!$HE$13:$HE$512,0)),IFERROR(IF(INDEX(INDIRECT("'WCM Calibration Final'!$E$1:$E$2000"),'Calculations'!$EM63)="","",TRIM(INDEX(INDIRECT("'WCM Calibration Final'!$E$1:$E$2000"),'Calculations'!$EM63)&amp;"")),"")&amp;" ["&amp;'Calculations'!HF63&amp;"]"))</x:f>
      </x:c>
      <x:c r="HK63" t="str">
        <x:f>IF('Calculations'!EM63="","",'Calculations'!HG63&amp;" ["&amp;'Calculations'!HE63&amp;"]")</x:f>
      </x:c>
      <x:c r="HL63" t="n">
        <x:f>IF('Calculations'!EM63="",0,IF(OR('Calculations'!II63&lt;&gt;"",COUNTIF('Calculations'!$HE$13:$HE$512,"="&amp;SUBSTITUTE(SUBSTITUTE(SUBSTITUTE('Calculations'!HE63,"~","~~"),"*","~*"),"?","~?"))&gt;1),1,0))</x:f>
        <x:v>0</x:v>
      </x:c>
      <x:c r="HM63" t="str">
        <x:f>IF('Calculations'!EM63="","",IF('Calculations'!HL63=1,"!UNRESOLVED",IF('Calculations'!IH63&lt;&gt;"",'Calculations'!IH63,IF('Calculations'!IG63&lt;&gt;"",'Calculations'!IG63,IF('Calculations'!IF63&lt;&gt;"",'Calculations'!IF63,IF('Calculations'!IE63&lt;&gt;"",'Calculations'!IE63,IF('Calculations'!ID63&lt;&gt;"",'Calculations'!ID63,IF('Calculations'!IC63&lt;&gt;"",'Calculations'!IC63,IF('Calculations'!IB63&lt;&gt;"",'Calculations'!IB63,IF('Calculations'!IA63&lt;&gt;"",'Calculations'!IA63,IF('Calculations'!HZ63&lt;&gt;"",'Calculations'!HZ63,IF('Calculations'!HY63&lt;&gt;"",'Calculations'!HY63,IF('Calculations'!HX63&lt;&gt;"",'Calculations'!HX63,IF('Calculations'!HW63&lt;&gt;"",'Calculations'!HW63,IF('Calculations'!HV63&lt;&gt;"",'Calculations'!HV63,IF('Calculations'!HU63&lt;&gt;"",'Calculations'!HU63,IF('Calculations'!HT63&lt;&gt;"",'Calculations'!HT63,IF('Calculations'!HS63&lt;&gt;"",'Calculations'!HS63,IF('Calculations'!HR63&lt;&gt;"",'Calculations'!HR63,IF('Calculations'!HQ63&lt;&gt;"",'Calculations'!HQ63,IF('Calculations'!HP63&lt;&gt;"",'Calculations'!HP63,IF('Calculations'!HO63&lt;&gt;"",'Calculations'!HO63,'Calculations'!HE63))))))))))))))))))))))</x:f>
      </x:c>
      <x:c r="HN63" t="str">
        <x:f>IF('Calculations'!EM63="","",IF(IFERROR(IF(INDEX(INDIRECT("'WCM Calibration Final'!$F$1:$F$2000"),'Calculations'!$EM63)="","",TRIM(INDEX(INDIRECT("'WCM Calibration Final'!$F$1:$F$2000"),'Calculations'!$EM63)&amp;"")),"")="","(Blank)",IFERROR(IF(INDEX(INDIRECT("'WCM Calibration Final'!$F$1:$F$2000"),'Calculations'!$EM63)="","",TRIM(INDEX(INDIRECT("'WCM Calibration Final'!$F$1:$F$2000"),'Calculations'!$EM63)&amp;"")),"")))</x:f>
      </x:c>
      <x:c r="HO63" t="str">
        <x:f>'Calculations'!HF63</x:f>
      </x:c>
      <x:c r="HP63" t="str">
        <x:f>IF('Calculations'!HO63="","",IF('Calculations'!HO63="!AMBIG","!AMBIG",IF(COUNTIF('Calculations'!$HE$13:$HE$512,"="&amp;SUBSTITUTE(SUBSTITUTE(SUBSTITUTE('Calculations'!HO63,"~","~~"),"*","~*"),"?","~?"))&gt;1,"!AMBIG",IFERROR(INDEX('Calculations'!$HF$13:$HF$512,MATCH('Calculations'!HO63,'Calculations'!$HE$13:$HE$512,0)),""))))</x:f>
      </x:c>
      <x:c r="HQ63" t="str">
        <x:f>IF('Calculations'!HP63="","",IF('Calculations'!HP63="!AMBIG","!AMBIG",IF(COUNTIF('Calculations'!$HE$13:$HE$512,"="&amp;SUBSTITUTE(SUBSTITUTE(SUBSTITUTE('Calculations'!HP63,"~","~~"),"*","~*"),"?","~?"))&gt;1,"!AMBIG",IFERROR(INDEX('Calculations'!$HF$13:$HF$512,MATCH('Calculations'!HP63,'Calculations'!$HE$13:$HE$512,0)),""))))</x:f>
      </x:c>
      <x:c r="HR63" t="str">
        <x:f>IF('Calculations'!HQ63="","",IF('Calculations'!HQ63="!AMBIG","!AMBIG",IF(COUNTIF('Calculations'!$HE$13:$HE$512,"="&amp;SUBSTITUTE(SUBSTITUTE(SUBSTITUTE('Calculations'!HQ63,"~","~~"),"*","~*"),"?","~?"))&gt;1,"!AMBIG",IFERROR(INDEX('Calculations'!$HF$13:$HF$512,MATCH('Calculations'!HQ63,'Calculations'!$HE$13:$HE$512,0)),""))))</x:f>
      </x:c>
      <x:c r="HS63" t="str">
        <x:f>IF('Calculations'!HR63="","",IF('Calculations'!HR63="!AMBIG","!AMBIG",IF(COUNTIF('Calculations'!$HE$13:$HE$512,"="&amp;SUBSTITUTE(SUBSTITUTE(SUBSTITUTE('Calculations'!HR63,"~","~~"),"*","~*"),"?","~?"))&gt;1,"!AMBIG",IFERROR(INDEX('Calculations'!$HF$13:$HF$512,MATCH('Calculations'!HR63,'Calculations'!$HE$13:$HE$512,0)),""))))</x:f>
      </x:c>
      <x:c r="HT63" t="str">
        <x:f>IF('Calculations'!HS63="","",IF('Calculations'!HS63="!AMBIG","!AMBIG",IF(COUNTIF('Calculations'!$HE$13:$HE$512,"="&amp;SUBSTITUTE(SUBSTITUTE(SUBSTITUTE('Calculations'!HS63,"~","~~"),"*","~*"),"?","~?"))&gt;1,"!AMBIG",IFERROR(INDEX('Calculations'!$HF$13:$HF$512,MATCH('Calculations'!HS63,'Calculations'!$HE$13:$HE$512,0)),""))))</x:f>
      </x:c>
      <x:c r="HU63" t="str">
        <x:f>IF('Calculations'!HT63="","",IF('Calculations'!HT63="!AMBIG","!AMBIG",IF(COUNTIF('Calculations'!$HE$13:$HE$512,"="&amp;SUBSTITUTE(SUBSTITUTE(SUBSTITUTE('Calculations'!HT63,"~","~~"),"*","~*"),"?","~?"))&gt;1,"!AMBIG",IFERROR(INDEX('Calculations'!$HF$13:$HF$512,MATCH('Calculations'!HT63,'Calculations'!$HE$13:$HE$512,0)),""))))</x:f>
      </x:c>
      <x:c r="HV63" t="str">
        <x:f>IF('Calculations'!HU63="","",IF('Calculations'!HU63="!AMBIG","!AMBIG",IF(COUNTIF('Calculations'!$HE$13:$HE$512,"="&amp;SUBSTITUTE(SUBSTITUTE(SUBSTITUTE('Calculations'!HU63,"~","~~"),"*","~*"),"?","~?"))&gt;1,"!AMBIG",IFERROR(INDEX('Calculations'!$HF$13:$HF$512,MATCH('Calculations'!HU63,'Calculations'!$HE$13:$HE$512,0)),""))))</x:f>
      </x:c>
      <x:c r="HW63" t="str">
        <x:f>IF('Calculations'!HV63="","",IF('Calculations'!HV63="!AMBIG","!AMBIG",IF(COUNTIF('Calculations'!$HE$13:$HE$512,"="&amp;SUBSTITUTE(SUBSTITUTE(SUBSTITUTE('Calculations'!HV63,"~","~~"),"*","~*"),"?","~?"))&gt;1,"!AMBIG",IFERROR(INDEX('Calculations'!$HF$13:$HF$512,MATCH('Calculations'!HV63,'Calculations'!$HE$13:$HE$512,0)),""))))</x:f>
      </x:c>
      <x:c r="HX63" t="str">
        <x:f>IF('Calculations'!HW63="","",IF('Calculations'!HW63="!AMBIG","!AMBIG",IF(COUNTIF('Calculations'!$HE$13:$HE$512,"="&amp;SUBSTITUTE(SUBSTITUTE(SUBSTITUTE('Calculations'!HW63,"~","~~"),"*","~*"),"?","~?"))&gt;1,"!AMBIG",IFERROR(INDEX('Calculations'!$HF$13:$HF$512,MATCH('Calculations'!HW63,'Calculations'!$HE$13:$HE$512,0)),""))))</x:f>
      </x:c>
      <x:c r="HY63" t="str">
        <x:f>IF('Calculations'!HX63="","",IF('Calculations'!HX63="!AMBIG","!AMBIG",IF(COUNTIF('Calculations'!$HE$13:$HE$512,"="&amp;SUBSTITUTE(SUBSTITUTE(SUBSTITUTE('Calculations'!HX63,"~","~~"),"*","~*"),"?","~?"))&gt;1,"!AMBIG",IFERROR(INDEX('Calculations'!$HF$13:$HF$512,MATCH('Calculations'!HX63,'Calculations'!$HE$13:$HE$512,0)),""))))</x:f>
      </x:c>
      <x:c r="HZ63" t="str">
        <x:f>IF('Calculations'!HY63="","",IF('Calculations'!HY63="!AMBIG","!AMBIG",IF(COUNTIF('Calculations'!$HE$13:$HE$512,"="&amp;SUBSTITUTE(SUBSTITUTE(SUBSTITUTE('Calculations'!HY63,"~","~~"),"*","~*"),"?","~?"))&gt;1,"!AMBIG",IFERROR(INDEX('Calculations'!$HF$13:$HF$512,MATCH('Calculations'!HY63,'Calculations'!$HE$13:$HE$512,0)),""))))</x:f>
      </x:c>
      <x:c r="IA63" t="str">
        <x:f>IF('Calculations'!HZ63="","",IF('Calculations'!HZ63="!AMBIG","!AMBIG",IF(COUNTIF('Calculations'!$HE$13:$HE$512,"="&amp;SUBSTITUTE(SUBSTITUTE(SUBSTITUTE('Calculations'!HZ63,"~","~~"),"*","~*"),"?","~?"))&gt;1,"!AMBIG",IFERROR(INDEX('Calculations'!$HF$13:$HF$512,MATCH('Calculations'!HZ63,'Calculations'!$HE$13:$HE$512,0)),""))))</x:f>
      </x:c>
      <x:c r="IB63" t="str">
        <x:f>IF('Calculations'!IA63="","",IF('Calculations'!IA63="!AMBIG","!AMBIG",IF(COUNTIF('Calculations'!$HE$13:$HE$512,"="&amp;SUBSTITUTE(SUBSTITUTE(SUBSTITUTE('Calculations'!IA63,"~","~~"),"*","~*"),"?","~?"))&gt;1,"!AMBIG",IFERROR(INDEX('Calculations'!$HF$13:$HF$512,MATCH('Calculations'!IA63,'Calculations'!$HE$13:$HE$512,0)),""))))</x:f>
      </x:c>
      <x:c r="IC63" t="str">
        <x:f>IF('Calculations'!IB63="","",IF('Calculations'!IB63="!AMBIG","!AMBIG",IF(COUNTIF('Calculations'!$HE$13:$HE$512,"="&amp;SUBSTITUTE(SUBSTITUTE(SUBSTITUTE('Calculations'!IB63,"~","~~"),"*","~*"),"?","~?"))&gt;1,"!AMBIG",IFERROR(INDEX('Calculations'!$HF$13:$HF$512,MATCH('Calculations'!IB63,'Calculations'!$HE$13:$HE$512,0)),""))))</x:f>
      </x:c>
      <x:c r="ID63" t="str">
        <x:f>IF('Calculations'!IC63="","",IF('Calculations'!IC63="!AMBIG","!AMBIG",IF(COUNTIF('Calculations'!$HE$13:$HE$512,"="&amp;SUBSTITUTE(SUBSTITUTE(SUBSTITUTE('Calculations'!IC63,"~","~~"),"*","~*"),"?","~?"))&gt;1,"!AMBIG",IFERROR(INDEX('Calculations'!$HF$13:$HF$512,MATCH('Calculations'!IC63,'Calculations'!$HE$13:$HE$512,0)),""))))</x:f>
      </x:c>
      <x:c r="IE63" t="str">
        <x:f>IF('Calculations'!ID63="","",IF('Calculations'!ID63="!AMBIG","!AMBIG",IF(COUNTIF('Calculations'!$HE$13:$HE$512,"="&amp;SUBSTITUTE(SUBSTITUTE(SUBSTITUTE('Calculations'!ID63,"~","~~"),"*","~*"),"?","~?"))&gt;1,"!AMBIG",IFERROR(INDEX('Calculations'!$HF$13:$HF$512,MATCH('Calculations'!ID63,'Calculations'!$HE$13:$HE$512,0)),""))))</x:f>
      </x:c>
      <x:c r="IF63" t="str">
        <x:f>IF('Calculations'!IE63="","",IF('Calculations'!IE63="!AMBIG","!AMBIG",IF(COUNTIF('Calculations'!$HE$13:$HE$512,"="&amp;SUBSTITUTE(SUBSTITUTE(SUBSTITUTE('Calculations'!IE63,"~","~~"),"*","~*"),"?","~?"))&gt;1,"!AMBIG",IFERROR(INDEX('Calculations'!$HF$13:$HF$512,MATCH('Calculations'!IE63,'Calculations'!$HE$13:$HE$512,0)),""))))</x:f>
      </x:c>
      <x:c r="IG63" t="str">
        <x:f>IF('Calculations'!IF63="","",IF('Calculations'!IF63="!AMBIG","!AMBIG",IF(COUNTIF('Calculations'!$HE$13:$HE$512,"="&amp;SUBSTITUTE(SUBSTITUTE(SUBSTITUTE('Calculations'!IF63,"~","~~"),"*","~*"),"?","~?"))&gt;1,"!AMBIG",IFERROR(INDEX('Calculations'!$HF$13:$HF$512,MATCH('Calculations'!IF63,'Calculations'!$HE$13:$HE$512,0)),""))))</x:f>
      </x:c>
      <x:c r="IH63" t="str">
        <x:f>IF('Calculations'!IG63="","",IF('Calculations'!IG63="!AMBIG","!AMBIG",IF(COUNTIF('Calculations'!$HE$13:$HE$512,"="&amp;SUBSTITUTE(SUBSTITUTE(SUBSTITUTE('Calculations'!IG63,"~","~~"),"*","~*"),"?","~?"))&gt;1,"!AMBIG",IFERROR(INDEX('Calculations'!$HF$13:$HF$512,MATCH('Calculations'!IG63,'Calculations'!$HE$13:$HE$512,0)),""))))</x:f>
      </x:c>
      <x:c r="II63" t="str">
        <x:f>IF('Calculations'!IH63="","",IF('Calculations'!IH63="!AMBIG","!AMBIG",IF(COUNTIF('Calculations'!$HE$13:$HE$512,"="&amp;SUBSTITUTE(SUBSTITUTE(SUBSTITUTE('Calculations'!IH63,"~","~~"),"*","~*"),"?","~?"))&gt;1,"!AMBIG",IFERROR(INDEX('Calculations'!$HF$13:$HF$512,MATCH('Calculations'!IH63,'Calculations'!$HE$13:$HE$512,0)),""))))</x:f>
      </x:c>
      <x:c r="IJ63" t="str">
        <x:f>IF('Calculations'!EM63="","",IF('Calculations'!$EF$2="All",'Calculations'!HM63,IF('Calculations'!HL63=1,"",IFERROR(IF(MATCH('Calculations'!$EF$2,'Calculations'!HO63:II63,0)=1,'Calculations'!HE63,INDEX('Calculations'!HO63:II63,1,MATCH('Calculations'!$EF$2,'Calculations'!HO63:II63,0)-1)),""))))</x:f>
      </x:c>
      <x:c r="IK63" t="n">
        <x:f>IF(AND('Calculations'!EM63&lt;&gt;"",'Calculations'!$EF$2&lt;&gt;"All",'Calculations'!HF63='Calculations'!$EF$2,'Calculations'!HL63=0,'Calculations'!JD63&gt;0),MAX('Calculations'!$IK$12:IK62)+1,0)</x:f>
        <x:v>0</x:v>
      </x:c>
      <x:c r="JA63" t="n">
        <x:f>IF(OR(IFERROR(INDIRECT("'WCM Calibration Final'!$A$63")&lt;&gt;"",FALSE),IFERROR(INDIRECT("'WCM Calibration Final'!$B$63")&lt;&gt;"",FALSE),IFERROR(INDIRECT("'WCM Calibration Final'!$C$63")&lt;&gt;"",FALSE)),63,0)</x:f>
        <x:v>0</x:v>
      </x:c>
      <x:c r="JB63" t="n">
        <x:f>'Calculations'!JB62+IF('Calculations'!JA63&gt;0,1,0)</x:f>
        <x:v>0</x:v>
      </x:c>
      <x:c r="JC63" t="n">
        <x:f>IF(OR('Calculations'!HF63="",'Calculations'!HF63="!AMBIG"),0,IF('Dashboard'!$B$7="All",1,COUNTIFS('Calculations'!$HO$13:$HO$512,"="&amp;SUBSTITUTE(SUBSTITUTE(SUBSTITUTE('Calculations'!HF63,"~","~~"),"*","~*"),"?","~?"),'Calculations'!$HN$13:$HN$512,"="&amp;SUBSTITUTE(SUBSTITUTE(SUBSTITUTE('Dashboard'!$B$7,"~","~~"),"*","~*"),"?","~?"))+COUNTIFS('Calculations'!$HP$13:$HP$512,"="&amp;SUBSTITUTE(SUBSTITUTE(SUBSTITUTE('Calculations'!HF63,"~","~~"),"*","~*"),"?","~?"),'Calculations'!$HN$13:$HN$512,"="&amp;SUBSTITUTE(SUBSTITUTE(SUBSTITUTE('Dashboard'!$B$7,"~","~~"),"*","~*"),"?","~?"))+COUNTIFS('Calculations'!$HQ$13:$HQ$512,"="&amp;SUBSTITUTE(SUBSTITUTE(SUBSTITUTE('Calculations'!HF63,"~","~~"),"*","~*"),"?","~?"),'Calculations'!$HN$13:$HN$512,"="&amp;SUBSTITUTE(SUBSTITUTE(SUBSTITUTE('Dashboard'!$B$7,"~","~~"),"*","~*"),"?","~?"))+COUNTIFS('Calculations'!$HR$13:$HR$512,"="&amp;SUBSTITUTE(SUBSTITUTE(SUBSTITUTE('Calculations'!HF63,"~","~~"),"*","~*"),"?","~?"),'Calculations'!$HN$13:$HN$512,"="&amp;SUBSTITUTE(SUBSTITUTE(SUBSTITUTE('Dashboard'!$B$7,"~","~~"),"*","~*"),"?","~?"))+COUNTIFS('Calculations'!$HS$13:$HS$512,"="&amp;SUBSTITUTE(SUBSTITUTE(SUBSTITUTE('Calculations'!HF63,"~","~~"),"*","~*"),"?","~?"),'Calculations'!$HN$13:$HN$512,"="&amp;SUBSTITUTE(SUBSTITUTE(SUBSTITUTE('Dashboard'!$B$7,"~","~~"),"*","~*"),"?","~?"))+COUNTIFS('Calculations'!$HT$13:$HT$512,"="&amp;SUBSTITUTE(SUBSTITUTE(SUBSTITUTE('Calculations'!HF63,"~","~~"),"*","~*"),"?","~?"),'Calculations'!$HN$13:$HN$512,"="&amp;SUBSTITUTE(SUBSTITUTE(SUBSTITUTE('Dashboard'!$B$7,"~","~~"),"*","~*"),"?","~?"))+COUNTIFS('Calculations'!$HU$13:$HU$512,"="&amp;SUBSTITUTE(SUBSTITUTE(SUBSTITUTE('Calculations'!HF63,"~","~~"),"*","~*"),"?","~?"),'Calculations'!$HN$13:$HN$512,"="&amp;SUBSTITUTE(SUBSTITUTE(SUBSTITUTE('Dashboard'!$B$7,"~","~~"),"*","~*"),"?","~?"))+COUNTIFS('Calculations'!$HV$13:$HV$512,"="&amp;SUBSTITUTE(SUBSTITUTE(SUBSTITUTE('Calculations'!HF63,"~","~~"),"*","~*"),"?","~?"),'Calculations'!$HN$13:$HN$512,"="&amp;SUBSTITUTE(SUBSTITUTE(SUBSTITUTE('Dashboard'!$B$7,"~","~~"),"*","~*"),"?","~?"))+COUNTIFS('Calculations'!$HW$13:$HW$512,"="&amp;SUBSTITUTE(SUBSTITUTE(SUBSTITUTE('Calculations'!HF63,"~","~~"),"*","~*"),"?","~?"),'Calculations'!$HN$13:$HN$512,"="&amp;SUBSTITUTE(SUBSTITUTE(SUBSTITUTE('Dashboard'!$B$7,"~","~~"),"*","~*"),"?","~?"))+COUNTIFS('Calculations'!$HX$13:$HX$512,"="&amp;SUBSTITUTE(SUBSTITUTE(SUBSTITUTE('Calculations'!HF63,"~","~~"),"*","~*"),"?","~?"),'Calculations'!$HN$13:$HN$512,"="&amp;SUBSTITUTE(SUBSTITUTE(SUBSTITUTE('Dashboard'!$B$7,"~","~~"),"*","~*"),"?","~?"))+COUNTIFS('Calculations'!$HY$13:$HY$512,"="&amp;SUBSTITUTE(SUBSTITUTE(SUBSTITUTE('Calculations'!HF63,"~","~~"),"*","~*"),"?","~?"),'Calculations'!$HN$13:$HN$512,"="&amp;SUBSTITUTE(SUBSTITUTE(SUBSTITUTE('Dashboard'!$B$7,"~","~~"),"*","~*"),"?","~?"))+COUNTIFS('Calculations'!$HZ$13:$HZ$512,"="&amp;SUBSTITUTE(SUBSTITUTE(SUBSTITUTE('Calculations'!HF63,"~","~~"),"*","~*"),"?","~?"),'Calculations'!$HN$13:$HN$512,"="&amp;SUBSTITUTE(SUBSTITUTE(SUBSTITUTE('Dashboard'!$B$7,"~","~~"),"*","~*"),"?","~?"))+COUNTIFS('Calculations'!$IA$13:$IA$512,"="&amp;SUBSTITUTE(SUBSTITUTE(SUBSTITUTE('Calculations'!HF63,"~","~~"),"*","~*"),"?","~?"),'Calculations'!$HN$13:$HN$512,"="&amp;SUBSTITUTE(SUBSTITUTE(SUBSTITUTE('Dashboard'!$B$7,"~","~~"),"*","~*"),"?","~?"))+COUNTIFS('Calculations'!$IB$13:$IB$512,"="&amp;SUBSTITUTE(SUBSTITUTE(SUBSTITUTE('Calculations'!HF63,"~","~~"),"*","~*"),"?","~?"),'Calculations'!$HN$13:$HN$512,"="&amp;SUBSTITUTE(SUBSTITUTE(SUBSTITUTE('Dashboard'!$B$7,"~","~~"),"*","~*"),"?","~?"))+COUNTIFS('Calculations'!$IC$13:$IC$512,"="&amp;SUBSTITUTE(SUBSTITUTE(SUBSTITUTE('Calculations'!HF63,"~","~~"),"*","~*"),"?","~?"),'Calculations'!$HN$13:$HN$512,"="&amp;SUBSTITUTE(SUBSTITUTE(SUBSTITUTE('Dashboard'!$B$7,"~","~~"),"*","~*"),"?","~?"))+COUNTIFS('Calculations'!$ID$13:$ID$512,"="&amp;SUBSTITUTE(SUBSTITUTE(SUBSTITUTE('Calculations'!HF63,"~","~~"),"*","~*"),"?","~?"),'Calculations'!$HN$13:$HN$512,"="&amp;SUBSTITUTE(SUBSTITUTE(SUBSTITUTE('Dashboard'!$B$7,"~","~~"),"*","~*"),"?","~?"))+COUNTIFS('Calculations'!$IE$13:$IE$512,"="&amp;SUBSTITUTE(SUBSTITUTE(SUBSTITUTE('Calculations'!HF63,"~","~~"),"*","~*"),"?","~?"),'Calculations'!$HN$13:$HN$512,"="&amp;SUBSTITUTE(SUBSTITUTE(SUBSTITUTE('Dashboard'!$B$7,"~","~~"),"*","~*"),"?","~?"))+COUNTIFS('Calculations'!$IF$13:$IF$512,"="&amp;SUBSTITUTE(SUBSTITUTE(SUBSTITUTE('Calculations'!HF63,"~","~~"),"*","~*"),"?","~?"),'Calculations'!$HN$13:$HN$512,"="&amp;SUBSTITUTE(SUBSTITUTE(SUBSTITUTE('Dashboard'!$B$7,"~","~~"),"*","~*"),"?","~?"))+COUNTIFS('Calculations'!$IG$13:$IG$512,"="&amp;SUBSTITUTE(SUBSTITUTE(SUBSTITUTE('Calculations'!HF63,"~","~~"),"*","~*"),"?","~?"),'Calculations'!$HN$13:$HN$512,"="&amp;SUBSTITUTE(SUBSTITUTE(SUBSTITUTE('Dashboard'!$B$7,"~","~~"),"*","~*"),"?","~?"))+COUNTIFS('Calculations'!$IH$13:$IH$512,"="&amp;SUBSTITUTE(SUBSTITUTE(SUBSTITUTE('Calculations'!HF63,"~","~~"),"*","~*"),"?","~?"),'Calculations'!$HN$13:$HN$512,"="&amp;SUBSTITUTE(SUBSTITUTE(SUBSTITUTE('Dashboard'!$B$7,"~","~~"),"*","~*"),"?","~?"))))</x:f>
        <x:v>0</x:v>
      </x:c>
      <x:c r="JD63" t="n">
        <x:f>IF('Calculations'!EM63="",0,IF('Dashboard'!$B$7="All",1,IF('Calculations'!HN63='Dashboard'!$B$7,1,0)+IFERROR(INDEX('Calculations'!$JC$13:$JC$512,MATCH('Calculations'!HE63,'Calculations'!$HF$13:$HF$512,0)),0)))</x:f>
        <x:v>0</x:v>
      </x:c>
      <x:c r="JE63" t="n">
        <x:f>IF(AND('Calculations'!EM63&lt;&gt;"",'Calculations'!$JJ$2&lt;&gt;"All",'Calculations'!$JJ$2&lt;&gt;"",'Calculations'!HF63='Calculations'!$JJ$2,'Calculations'!HL63=0,'Calculations'!JD63&gt;0),MAX('Calculations'!$JE$12:JE62)+1,0)</x:f>
        <x:v>0</x:v>
      </x:c>
      <x:c r="JF63" t="str">
        <x:f>IF('Calculations'!EM63="","",IFERROR(IF(INDEX(INDIRECT("'WCM Calibration Final'!$G$1:$G$2000"),'Calculations'!$EM63)="","",TRIM(INDEX(INDIRECT("'WCM Calibration Final'!$G$1:$G$2000"),'Calculations'!$EM63)&amp;"")),""))</x:f>
      </x:c>
      <x:c r="JQ63" t="n">
        <x:f>IF(OR('Calculations'!BM63=0,NOT('Calculations'!$AG$2),'Calculations'!$AG$8&gt;0),0,IF(OR('Dashboard'!$B$7="All",'Calculations'!HN63='Dashboard'!$B$7),IF('Calculations'!$JJ$2="All",1,IF(AND('Calculations'!HF63='Calculations'!$JJ$2,'Calculations'!HL63=0),1,0)),0))</x:f>
        <x:v>0</x:v>
      </x:c>
    </x:row>
    <x:row r="64">
      <x:c r="AF64" s="4"/>
      <x:c r="AG64" s="4" t="n">
        <x:f>IF('Dashboard'!N67="All categories",0,MATCH('Dashboard'!N67,'Calculations'!AT51:AT57,0))</x:f>
        <x:v>0</x:v>
      </x:c>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t="n">
        <x:f>IF('Calculations'!$EM64="",0,IF(OR(IFERROR(INDEX(INDIRECT("'WCM Calibration Final'!$A$1:$A$2000"),'Calculations'!$EM64)&lt;&gt;"",FALSE),IFERROR(INDEX(INDIRECT("'WCM Calibration Final'!$B$1:$B$2000"),'Calculations'!$EM64)&lt;&gt;"",FALSE),IFERROR(INDEX(INDIRECT("'WCM Calibration Final'!$C$1:$C$2000"),'Calculations'!$EM64)&lt;&gt;"",FALSE)),1,0))</x:f>
        <x:v>0</x:v>
      </x:c>
      <x:c r="BN64" s="4" t="n">
        <x:f>IF(AND('Calculations'!BM64=1,'Calculations'!$AG$2,'Calculations'!$EN64=1),1,0)</x:f>
        <x:v>0</x:v>
      </x:c>
      <x:c r="BO64" s="4" t="str">
        <x:f>IF('Calculations'!BM64=0,"",IFERROR(IF(AND(VALUE(INDEX(INDIRECT("'WCM Calibration Final'!$K$1:$K$2000"),'Calculations'!$EM64))&gt;=1,VALUE(INDEX(INDIRECT("'WCM Calibration Final'!$K$1:$K$2000"),'Calculations'!$EM64))&lt;=4,MOD(VALUE(INDEX(INDIRECT("'WCM Calibration Final'!$K$1:$K$2000"),'Calculations'!$EM64)),1)=0),VALUE(INDEX(INDIRECT("'WCM Calibration Final'!$K$1:$K$2000"),'Calculations'!$EM64)),""),""))</x:f>
      </x:c>
      <x:c r="BP64" s="4" t="str">
        <x:f>IF('Calculations'!BM64=0,"",IFERROR(IF(AND(VALUE(INDEX(INDIRECT("'WCM Calibration Final'!$L$1:$L$2000"),'Calculations'!$EM64))&gt;=1,VALUE(INDEX(INDIRECT("'WCM Calibration Final'!$L$1:$L$2000"),'Calculations'!$EM64))&lt;=4,MOD(VALUE(INDEX(INDIRECT("'WCM Calibration Final'!$L$1:$L$2000"),'Calculations'!$EM64)),1)=0),VALUE(INDEX(INDIRECT("'WCM Calibration Final'!$L$1:$L$2000"),'Calculations'!$EM64)),""),""))</x:f>
      </x:c>
      <x:c r="BQ64" s="4"/>
      <x:c r="BR64" s="4"/>
      <x:c r="BS64" s="4"/>
      <x:c r="BT64" s="4" t="n">
        <x:f>IF(AND('Calculations'!BM64=1,ISNUMBER('Calculations'!BO64),ISNUMBER('Calculations'!BP64)),1,0)</x:f>
        <x:v>0</x:v>
      </x:c>
      <x:c r="BU64" s="4" t="str">
        <x:f>IF('Calculations'!BM64=0,"",'Calculations'!$EO64)</x:f>
      </x:c>
      <x:c r="BV64" s="4" t="str">
        <x:f>IF('Calculations'!BM64=0,"",IFERROR(IF(OR(INDEX(INDIRECT("'WCM Calibration Final'!$H$1:$H$2000"),'Calculations'!$EM64)="MANAGING DIRECTOR",INDEX(INDIRECT("'WCM Calibration Final'!$H$1:$H$2000"),'Calculations'!$EM64)="DIRECTOR",INDEX(INDIRECT("'WCM Calibration Final'!$H$1:$H$2000"),'Calculations'!$EM64)="SENIOR VICE PRESIDENT",INDEX(INDIRECT("'WCM Calibration Final'!$H$1:$H$2000"),'Calculations'!$EM64)="VICE PRESIDENT",INDEX(INDIRECT("'WCM Calibration Final'!$H$1:$H$2000"),'Calculations'!$EM64)="ASSISTANT VICE PRESIDENT",INDEX(INDIRECT("'WCM Calibration Final'!$H$1:$H$2000"),'Calculations'!$EM64)="OFFICER"),UPPER(INDEX(INDIRECT("'WCM Calibration Final'!$H$1:$H$2000"),'Calculations'!$EM64)),"Other"),"Other"))</x:f>
      </x:c>
      <x:c r="BW64" s="4"/>
      <x:c r="BX64" s="4"/>
      <x:c r="BY64" s="4" t="n">
        <x:f>IF(AND('Calculations'!BM64=1,'Calculations'!BU64&lt;&gt;"",COUNTIF('Calculations'!$BU$12:BU64,'Calculations'!BU64)=1),MAX('Calculations'!$BY$11:BY63)+1,0)</x:f>
        <x:v>0</x:v>
      </x:c>
      <x:c r="BZ64" s="4" t="str">
        <x:f>IF('Dashboard'!$E$67="What",'Calculations'!BO64,'Calculations'!BP64)</x:f>
      </x:c>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t="str">
        <x:f>IF(53&gt;MAX('Calculations'!$HI$13:$HI$512),"",INDEX('Calculations'!$HN$13:$HN$512,MATCH(53,'Calculations'!$HI$13:$HI$512,0)))</x:f>
      </x:c>
      <x:c r="DB64" s="4" t="str">
        <x:f>IF(53&gt;MAX('Calculations'!$HH$13:$HH$512),"",INDEX('Calculations'!$HJ$13:$HJ$512,MATCH(53,'Calculations'!$HH$13:$HH$512,0)))</x:f>
      </x:c>
      <x:c r="DC64" s="4" t="str">
        <x:f>IF(ROW()-11&gt;MAX('Calculations'!$BY$13:$BY$512),"",INDEX('Calculations'!$BU$13:$BU$512,MATCH(ROW()-11,'Calculations'!$BY$13:$BY$512,0)))</x:f>
      </x:c>
      <x:c r="DD64" s="4" t="str">
        <x:f>IF(53&gt;MAX('Calculations'!$IK$13:$IK$512),"",INDEX('Calculations'!$HK$13:$HK$512,MATCH(53,'Calculations'!$IK$13:$IK$512,0)))</x:f>
      </x:c>
      <x:c r="DE64" s="4" t="str">
        <x:f>'Calculations'!DC64</x:f>
      </x:c>
      <x:c r="DF64" s="4" t="str">
        <x:f>IF('Calculations'!DE64="","",COUNTIFS('Calculations'!$BN$13:$BN$512,1,'Calculations'!$BU$13:$BU$512,'Calculations'!DE64))</x:f>
      </x:c>
      <x:c r="DG64" s="4" t="str">
        <x:f>IF('Calculations'!DE64="","",COUNTIFS('Calculations'!$BN$13:$BN$512,1,'Calculations'!$BU$13:$BU$512,'Calculations'!DE64,'Calculations'!$BT$13:$BT$512,1))</x:f>
      </x:c>
      <x:c r="DH64" s="4" t="str">
        <x:f>IF('Calculations'!DE64="","",'Calculations'!DF64-'Calculations'!DG64)</x:f>
      </x:c>
      <x:c r="DI64" s="4" t="str">
        <x:f>IF(OR('Calculations'!DE64="",'Calculations'!DF64=0),"",'Calculations'!DG64/'Calculations'!DF64)</x:f>
      </x:c>
      <x:c r="DJ64" s="4" t="str">
        <x:f>IF('Calculations'!DE64="","",COUNTIFS('Calculations'!$BN$13:$BN$512,1,'Calculations'!$BU$13:$BU$512,'Calculations'!DE64,'Calculations'!$BT$13:$BT$512,1,'Calculations'!$EE$13:$EE$512,"High"))</x:f>
      </x:c>
      <x:c r="DK64" s="4" t="str">
        <x:f>IF('Calculations'!DE64="","",COUNTIFS('Calculations'!$BN$13:$BN$512,1,'Calculations'!$BU$13:$BU$512,'Calculations'!DE64,'Calculations'!$BT$13:$BT$512,1,'Calculations'!$EE$13:$EE$512,"Strong"))</x:f>
      </x:c>
      <x:c r="DL64" s="4" t="str">
        <x:f>IF('Calculations'!DE64="","",COUNTIFS('Calculations'!$BN$13:$BN$512,1,'Calculations'!$BU$13:$BU$512,'Calculations'!DE64,'Calculations'!$BT$13:$BT$512,1,'Calculations'!$EE$13:$EE$512,"Solid"))</x:f>
      </x:c>
      <x:c r="DM64" s="4" t="str">
        <x:f>IF('Calculations'!DE64="","",COUNTIFS('Calculations'!$BN$13:$BN$512,1,'Calculations'!$BU$13:$BU$512,'Calculations'!DE64,'Calculations'!$BT$13:$BT$512,1,'Calculations'!$EE$13:$EE$512,"Low"))</x:f>
      </x:c>
      <x:c r="DN64" s="4" t="str">
        <x:f>IF('Calculations'!DE64="","",COUNTIFS('Calculations'!$BN$13:$BN$512,1,'Calculations'!$BU$13:$BU$512,'Calculations'!DE64,'Calculations'!$EP$13:$EP$512,1))</x:f>
      </x:c>
      <x:c r="DO64" s="4" t="str">
        <x:f>IF(OR('Calculations'!DE64="",'Calculations'!DG64=0),"",('Calculations'!DJ64+'Calculations'!DK64)/'Calculations'!DG64)</x:f>
      </x:c>
      <x:c r="DP64" s="4" t="n">
        <x:f>IF(AND('Calculations'!DE64&lt;&gt;"",'Calculations'!DF64&gt;0),COUNTIF('Calculations'!$DF$12:DF64,"&gt;0"),0)</x:f>
        <x:v>0</x:v>
      </x:c>
      <x:c r="DQ64" s="4" t="str">
        <x:f>IF(53&gt;MAX('Calculations'!$HH$13:$HH$512),"",INDEX('Calculations'!$HF$13:$HF$512,MATCH(53,'Calculations'!$HH$13:$HH$512,0)))</x:f>
      </x:c>
      <x:c r="DR64" s="4" t="str">
        <x:f>IF(53&gt;MAX('Calculations'!$IK$13:$IK$512),"",INDEX('Calculations'!$HE$13:$HE$512,MATCH(53,'Calculations'!$IK$13:$IK$512,0)))</x:f>
      </x:c>
      <x:c r="DS64" s="4"/>
      <x:c r="DT64" s="4"/>
      <x:c r="DU64" s="4"/>
      <x:c r="DV64" s="4"/>
      <x:c r="DW64" s="4"/>
      <x:c r="DX64" s="4"/>
      <x:c r="DY64" s="4" t="str">
        <x:f>IF('Calculations'!AJ73="","—",TEXT('Calculations'!AJ73,"+0.0;-0.0;0.0"))</x:f>
        <x:v>—</x:v>
      </x:c>
      <x:c r="DZ64" s="4"/>
      <x:c r="EA64" s="4"/>
      <x:c r="EB64" s="4"/>
      <x:c r="EC64" s="4"/>
      <x:c r="ED64" s="4"/>
      <x:c r="EE64" s="4" t="str">
        <x:f>IF('Calculations'!BT64=0,"Not Rated",IF(OR('Calculations'!BO64&gt;=4,'Calculations'!BP64&gt;=4),"Low",IF('Calculations'!BO64+'Calculations'!BP64&lt;=3,"High",IF('Calculations'!BO64+'Calculations'!BP64&lt;=4,"Strong","Solid"))))</x:f>
        <x:v>Not Rated</x:v>
      </x:c>
      <x:c r="EF64" s="4"/>
      <x:c r="EG64" s="4"/>
      <x:c r="EH64" s="4"/>
      <x:c r="EI64" s="4"/>
      <x:c r="EJ64" s="4"/>
      <x:c r="EK64" s="4"/>
      <x:c r="EL64" s="4"/>
      <x:c r="EM64" s="4" t="str">
        <x:f>IF(52&gt;'Calculations'!$JB$2000,"",INDEX('Calculations'!$JA$12:$JA$2000,MATCH(52,'Calculations'!$JB$12:$JB$2000,0)))</x:f>
      </x:c>
      <x:c r="EN64" s="4" t="n">
        <x:f>IF(OR('Calculations'!EM64="",'Calculations'!$AG$8&gt;0,AND('Calculations'!$EF$2&lt;&gt;"All",'Calculations'!HE64='Calculations'!$EF$2),AND('Calculations'!$EF$3&lt;&gt;"All",'Calculations'!HE64='Calculations'!$EF$3)),0,IF(OR('Dashboard'!$B$7="All",'Calculations'!HN64='Dashboard'!$B$7),IF('Calculations'!$EF$2="All",1,IF('Calculations'!HL64&gt;0,0,IF(COUNTIF('Calculations'!HO64:II64,"="&amp;SUBSTITUTE(SUBSTITUTE(SUBSTITUTE('Calculations'!$EF$2,"~","~~"),"*","~*"),"?","~?"))=0,0,IF('Calculations'!$EF$3="All",1,IF(COUNTIF('Calculations'!HO64:II64,"="&amp;SUBSTITUTE(SUBSTITUTE(SUBSTITUTE('Calculations'!$EF$3,"~","~~"),"*","~*"),"?","~?"))&gt;0,1,0))))),0))</x:f>
        <x:v>0</x:v>
      </x:c>
      <x:c r="EO64" s="4" t="str">
        <x:f>IF('Calculations'!IJ64="","",IF('Calculations'!IJ64="!UNRESOLVED","Unresolved hierarchy",IFERROR(INDEX('Calculations'!$HK$13:$HK$512,MATCH('Calculations'!IJ64,'Calculations'!$HE$13:$HE$512,0)),IFERROR(INDEX('Calculations'!$HJ$13:$HJ$512,MATCH('Calculations'!IJ64,'Calculations'!$HF$13:$HF$512,0)),'Calculations'!IJ64))))</x:f>
      </x:c>
      <x:c r="EP64" s="4" t="n">
        <x:f>IF(AND('Calculations'!EM64&lt;&gt;"",'Calculations'!HF64='Calculations'!IJ64),1,0)</x:f>
        <x:v>0</x:v>
      </x:c>
      <x:c r="EQ64" s="4"/>
      <x:c r="ER64" s="4"/>
      <x:c r="ES64" s="4"/>
      <x:c r="ET64" s="4"/>
      <x:c r="EU64" s="4"/>
      <x:c r="EV64" s="4"/>
      <x:c r="EW64" s="4"/>
      <x:c r="EX64" s="4"/>
      <x:c r="EY64" s="4"/>
      <x:c r="EZ64" s="4"/>
      <x:c r="FA64" s="4"/>
      <x:c r="FB64" s="4"/>
      <x:c r="FC64" s="4"/>
      <x:c r="FD64" s="4"/>
      <x:c r="FE64" s="4"/>
      <x:c r="FF64" s="4"/>
      <x:c r="FG64" s="4"/>
      <x:c r="FH64" s="4"/>
      <x:c r="FI64" s="4"/>
      <x:c r="FJ64" s="4"/>
      <x:c r="FK64" s="4"/>
      <x:c r="FL64" s="4"/>
      <x:c r="FM64" s="4"/>
      <x:c r="FN64" s="4"/>
      <x:c r="FO64" s="4"/>
      <x:c r="GA64" s="71"/>
      <x:c r="GB64" s="71"/>
      <x:c r="GC64" s="71"/>
      <x:c r="GD64" s="71"/>
      <x:c r="GE64" s="71"/>
      <x:c r="GF64" s="71"/>
      <x:c r="GG64" s="71"/>
      <x:c r="GH64" s="71"/>
      <x:c r="GI64" s="71"/>
      <x:c r="GJ64" s="71"/>
      <x:c r="GK64" s="71"/>
      <x:c r="GL64" s="71"/>
      <x:c r="GM64" s="71"/>
      <x:c r="GN64" s="71"/>
      <x:c r="GO64" s="71"/>
      <x:c r="GP64" s="71"/>
      <x:c r="GQ64" s="71"/>
      <x:c r="GR64" s="71"/>
      <x:c r="GS64" s="71"/>
      <x:c r="GT64" s="71"/>
      <x:c r="GU64" s="71"/>
      <x:c r="GV64" s="71"/>
      <x:c r="GW64" s="71"/>
      <x:c r="GX64" s="71"/>
      <x:c r="GY64" s="71"/>
      <x:c r="GZ64" s="71"/>
      <x:c r="HA64" s="71"/>
      <x:c r="HB64" s="71"/>
      <x:c r="HC64" s="71"/>
      <x:c r="HD64" s="71"/>
      <x:c r="HE64" t="str">
        <x:f>IF('Calculations'!EM64="","",IF(IFERROR(IF(INDEX(INDIRECT("'WCM Calibration Final'!$A$1:$A$2000"),'Calculations'!$EM64)="","",TRIM(INDEX(INDIRECT("'WCM Calibration Final'!$A$1:$A$2000"),'Calculations'!$EM64)&amp;"")),"")&lt;&gt;"","G:"&amp;IFERROR(TEXT(1*INDEX(INDIRECT("'WCM Calibration Final'!$A$1:$A$2000"),'Calculations'!$EM64),"0"),UPPER(IFERROR(IF(INDEX(INDIRECT("'WCM Calibration Final'!$A$1:$A$2000"),'Calculations'!$EM64)="","",TRIM(INDEX(INDIRECT("'WCM Calibration Final'!$A$1:$A$2000"),'Calculations'!$EM64)&amp;"")),""))),IF(IFERROR(IF(INDEX(INDIRECT("'WCM Calibration Final'!$C$1:$C$2000"),'Calculations'!$EM64)="","",TRIM(INDEX(INDIRECT("'WCM Calibration Final'!$C$1:$C$2000"),'Calculations'!$EM64)&amp;"")),"")&lt;&gt;"","S:"&amp;UPPER(IFERROR(IF(INDEX(INDIRECT("'WCM Calibration Final'!$C$1:$C$2000"),'Calculations'!$EM64)="","",TRIM(INDEX(INDIRECT("'WCM Calibration Final'!$C$1:$C$2000"),'Calculations'!$EM64)&amp;"")),"")),"R:"&amp;'Calculations'!EM64)))</x:f>
      </x:c>
      <x:c r="HF64" t="str">
        <x:f>IF('Calculations'!EM64="","",IF(IFERROR(IF(INDEX(INDIRECT("'WCM Calibration Final'!$D$1:$D$2000"),'Calculations'!$EM64)="","",TRIM(INDEX(INDIRECT("'WCM Calibration Final'!$D$1:$D$2000"),'Calculations'!$EM64)&amp;"")),"")&lt;&gt;"","G:"&amp;IFERROR(TEXT(1*INDEX(INDIRECT("'WCM Calibration Final'!$D$1:$D$2000"),'Calculations'!$EM64),"0"),UPPER(IFERROR(IF(INDEX(INDIRECT("'WCM Calibration Final'!$D$1:$D$2000"),'Calculations'!$EM64)="","",TRIM(INDEX(INDIRECT("'WCM Calibration Final'!$D$1:$D$2000"),'Calculations'!$EM64)&amp;"")),""))),IF(IFERROR(IF(INDEX(INDIRECT("'WCM Calibration Final'!$E$1:$E$2000"),'Calculations'!$EM64)="","",TRIM(INDEX(INDIRECT("'WCM Calibration Final'!$E$1:$E$2000"),'Calculations'!$EM64)&amp;"")),"")="","",IF(COUNTIF('Calculations'!$HG$13:$HG$512,"="&amp;SUBSTITUTE(SUBSTITUTE(SUBSTITUTE(IFERROR(IF(INDEX(INDIRECT("'WCM Calibration Final'!$E$1:$E$2000"),'Calculations'!$EM64)="","",TRIM(INDEX(INDIRECT("'WCM Calibration Final'!$E$1:$E$2000"),'Calculations'!$EM64)&amp;"")),""),"~","~~"),"*","~*"),"?","~?"))=1,INDEX('Calculations'!$HE$13:$HE$512,MATCH(IFERROR(IF(INDEX(INDIRECT("'WCM Calibration Final'!$E$1:$E$2000"),'Calculations'!$EM64)="","",TRIM(INDEX(INDIRECT("'WCM Calibration Final'!$E$1:$E$2000"),'Calculations'!$EM64)&amp;"")),""),'Calculations'!$HG$13:$HG$512,0)),IF(COUNTIF('Calculations'!$HG$13:$HG$512,"="&amp;SUBSTITUTE(SUBSTITUTE(SUBSTITUTE(IFERROR(IF(INDEX(INDIRECT("'WCM Calibration Final'!$E$1:$E$2000"),'Calculations'!$EM64)="","",TRIM(INDEX(INDIRECT("'WCM Calibration Final'!$E$1:$E$2000"),'Calculations'!$EM64)&amp;"")),""),"~","~~"),"*","~*"),"?","~?"))&gt;1,"!AMBIG","X:"&amp;IFERROR(IF(INDEX(INDIRECT("'WCM Calibration Final'!$E$1:$E$2000"),'Calculations'!$EM64)="","",TRIM(INDEX(INDIRECT("'WCM Calibration Final'!$E$1:$E$2000"),'Calculations'!$EM64)&amp;"")),""))))))</x:f>
      </x:c>
      <x:c r="HG64" t="str">
        <x:f>IF('Calculations'!EM64="","",IFERROR(IF(INDEX(INDIRECT("'WCM Calibration Final'!$B$1:$B$2000"),'Calculations'!$EM64)="","",TRIM(INDEX(INDIRECT("'WCM Calibration Final'!$B$1:$B$2000"),'Calculations'!$EM64)&amp;"")),""))</x:f>
      </x:c>
      <x:c r="HH64" t="n">
        <x:f>IF(AND('Calculations'!JC64&gt;0,COUNTIF('Calculations'!$HF$12:HF64,"="&amp;SUBSTITUTE(SUBSTITUTE(SUBSTITUTE('Calculations'!HF64,"~","~~"),"*","~*"),"?","~?"))=1),MAX('Calculations'!$HH$12:HH63)+1,0)</x:f>
        <x:v>0</x:v>
      </x:c>
      <x:c r="HI64" t="n">
        <x:f>IF(AND('Calculations'!HN64&lt;&gt;"",COUNTIF('Calculations'!$HN$12:HN64,"="&amp;SUBSTITUTE(SUBSTITUTE(SUBSTITUTE('Calculations'!HN64,"~","~~"),"*","~*"),"?","~?"))=1),MAX('Calculations'!$HI$12:HI63)+1,0)</x:f>
        <x:v>0</x:v>
      </x:c>
      <x:c r="HJ64" t="str">
        <x:f>IF('Calculations'!HF64="","",IF(COUNTIF('Calculations'!$HE$13:$HE$512,"="&amp;SUBSTITUTE(SUBSTITUTE(SUBSTITUTE('Calculations'!HF64,"~","~~"),"*","~*"),"?","~?"))=1,INDEX('Calculations'!$HK$13:$HK$512,MATCH('Calculations'!HF64,'Calculations'!$HE$13:$HE$512,0)),IFERROR(IF(INDEX(INDIRECT("'WCM Calibration Final'!$E$1:$E$2000"),'Calculations'!$EM64)="","",TRIM(INDEX(INDIRECT("'WCM Calibration Final'!$E$1:$E$2000"),'Calculations'!$EM64)&amp;"")),"")&amp;" ["&amp;'Calculations'!HF64&amp;"]"))</x:f>
      </x:c>
      <x:c r="HK64" t="str">
        <x:f>IF('Calculations'!EM64="","",'Calculations'!HG64&amp;" ["&amp;'Calculations'!HE64&amp;"]")</x:f>
      </x:c>
      <x:c r="HL64" t="n">
        <x:f>IF('Calculations'!EM64="",0,IF(OR('Calculations'!II64&lt;&gt;"",COUNTIF('Calculations'!$HE$13:$HE$512,"="&amp;SUBSTITUTE(SUBSTITUTE(SUBSTITUTE('Calculations'!HE64,"~","~~"),"*","~*"),"?","~?"))&gt;1),1,0))</x:f>
        <x:v>0</x:v>
      </x:c>
      <x:c r="HM64" t="str">
        <x:f>IF('Calculations'!EM64="","",IF('Calculations'!HL64=1,"!UNRESOLVED",IF('Calculations'!IH64&lt;&gt;"",'Calculations'!IH64,IF('Calculations'!IG64&lt;&gt;"",'Calculations'!IG64,IF('Calculations'!IF64&lt;&gt;"",'Calculations'!IF64,IF('Calculations'!IE64&lt;&gt;"",'Calculations'!IE64,IF('Calculations'!ID64&lt;&gt;"",'Calculations'!ID64,IF('Calculations'!IC64&lt;&gt;"",'Calculations'!IC64,IF('Calculations'!IB64&lt;&gt;"",'Calculations'!IB64,IF('Calculations'!IA64&lt;&gt;"",'Calculations'!IA64,IF('Calculations'!HZ64&lt;&gt;"",'Calculations'!HZ64,IF('Calculations'!HY64&lt;&gt;"",'Calculations'!HY64,IF('Calculations'!HX64&lt;&gt;"",'Calculations'!HX64,IF('Calculations'!HW64&lt;&gt;"",'Calculations'!HW64,IF('Calculations'!HV64&lt;&gt;"",'Calculations'!HV64,IF('Calculations'!HU64&lt;&gt;"",'Calculations'!HU64,IF('Calculations'!HT64&lt;&gt;"",'Calculations'!HT64,IF('Calculations'!HS64&lt;&gt;"",'Calculations'!HS64,IF('Calculations'!HR64&lt;&gt;"",'Calculations'!HR64,IF('Calculations'!HQ64&lt;&gt;"",'Calculations'!HQ64,IF('Calculations'!HP64&lt;&gt;"",'Calculations'!HP64,IF('Calculations'!HO64&lt;&gt;"",'Calculations'!HO64,'Calculations'!HE64))))))))))))))))))))))</x:f>
      </x:c>
      <x:c r="HN64" t="str">
        <x:f>IF('Calculations'!EM64="","",IF(IFERROR(IF(INDEX(INDIRECT("'WCM Calibration Final'!$F$1:$F$2000"),'Calculations'!$EM64)="","",TRIM(INDEX(INDIRECT("'WCM Calibration Final'!$F$1:$F$2000"),'Calculations'!$EM64)&amp;"")),"")="","(Blank)",IFERROR(IF(INDEX(INDIRECT("'WCM Calibration Final'!$F$1:$F$2000"),'Calculations'!$EM64)="","",TRIM(INDEX(INDIRECT("'WCM Calibration Final'!$F$1:$F$2000"),'Calculations'!$EM64)&amp;"")),"")))</x:f>
      </x:c>
      <x:c r="HO64" t="str">
        <x:f>'Calculations'!HF64</x:f>
      </x:c>
      <x:c r="HP64" t="str">
        <x:f>IF('Calculations'!HO64="","",IF('Calculations'!HO64="!AMBIG","!AMBIG",IF(COUNTIF('Calculations'!$HE$13:$HE$512,"="&amp;SUBSTITUTE(SUBSTITUTE(SUBSTITUTE('Calculations'!HO64,"~","~~"),"*","~*"),"?","~?"))&gt;1,"!AMBIG",IFERROR(INDEX('Calculations'!$HF$13:$HF$512,MATCH('Calculations'!HO64,'Calculations'!$HE$13:$HE$512,0)),""))))</x:f>
      </x:c>
      <x:c r="HQ64" t="str">
        <x:f>IF('Calculations'!HP64="","",IF('Calculations'!HP64="!AMBIG","!AMBIG",IF(COUNTIF('Calculations'!$HE$13:$HE$512,"="&amp;SUBSTITUTE(SUBSTITUTE(SUBSTITUTE('Calculations'!HP64,"~","~~"),"*","~*"),"?","~?"))&gt;1,"!AMBIG",IFERROR(INDEX('Calculations'!$HF$13:$HF$512,MATCH('Calculations'!HP64,'Calculations'!$HE$13:$HE$512,0)),""))))</x:f>
      </x:c>
      <x:c r="HR64" t="str">
        <x:f>IF('Calculations'!HQ64="","",IF('Calculations'!HQ64="!AMBIG","!AMBIG",IF(COUNTIF('Calculations'!$HE$13:$HE$512,"="&amp;SUBSTITUTE(SUBSTITUTE(SUBSTITUTE('Calculations'!HQ64,"~","~~"),"*","~*"),"?","~?"))&gt;1,"!AMBIG",IFERROR(INDEX('Calculations'!$HF$13:$HF$512,MATCH('Calculations'!HQ64,'Calculations'!$HE$13:$HE$512,0)),""))))</x:f>
      </x:c>
      <x:c r="HS64" t="str">
        <x:f>IF('Calculations'!HR64="","",IF('Calculations'!HR64="!AMBIG","!AMBIG",IF(COUNTIF('Calculations'!$HE$13:$HE$512,"="&amp;SUBSTITUTE(SUBSTITUTE(SUBSTITUTE('Calculations'!HR64,"~","~~"),"*","~*"),"?","~?"))&gt;1,"!AMBIG",IFERROR(INDEX('Calculations'!$HF$13:$HF$512,MATCH('Calculations'!HR64,'Calculations'!$HE$13:$HE$512,0)),""))))</x:f>
      </x:c>
      <x:c r="HT64" t="str">
        <x:f>IF('Calculations'!HS64="","",IF('Calculations'!HS64="!AMBIG","!AMBIG",IF(COUNTIF('Calculations'!$HE$13:$HE$512,"="&amp;SUBSTITUTE(SUBSTITUTE(SUBSTITUTE('Calculations'!HS64,"~","~~"),"*","~*"),"?","~?"))&gt;1,"!AMBIG",IFERROR(INDEX('Calculations'!$HF$13:$HF$512,MATCH('Calculations'!HS64,'Calculations'!$HE$13:$HE$512,0)),""))))</x:f>
      </x:c>
      <x:c r="HU64" t="str">
        <x:f>IF('Calculations'!HT64="","",IF('Calculations'!HT64="!AMBIG","!AMBIG",IF(COUNTIF('Calculations'!$HE$13:$HE$512,"="&amp;SUBSTITUTE(SUBSTITUTE(SUBSTITUTE('Calculations'!HT64,"~","~~"),"*","~*"),"?","~?"))&gt;1,"!AMBIG",IFERROR(INDEX('Calculations'!$HF$13:$HF$512,MATCH('Calculations'!HT64,'Calculations'!$HE$13:$HE$512,0)),""))))</x:f>
      </x:c>
      <x:c r="HV64" t="str">
        <x:f>IF('Calculations'!HU64="","",IF('Calculations'!HU64="!AMBIG","!AMBIG",IF(COUNTIF('Calculations'!$HE$13:$HE$512,"="&amp;SUBSTITUTE(SUBSTITUTE(SUBSTITUTE('Calculations'!HU64,"~","~~"),"*","~*"),"?","~?"))&gt;1,"!AMBIG",IFERROR(INDEX('Calculations'!$HF$13:$HF$512,MATCH('Calculations'!HU64,'Calculations'!$HE$13:$HE$512,0)),""))))</x:f>
      </x:c>
      <x:c r="HW64" t="str">
        <x:f>IF('Calculations'!HV64="","",IF('Calculations'!HV64="!AMBIG","!AMBIG",IF(COUNTIF('Calculations'!$HE$13:$HE$512,"="&amp;SUBSTITUTE(SUBSTITUTE(SUBSTITUTE('Calculations'!HV64,"~","~~"),"*","~*"),"?","~?"))&gt;1,"!AMBIG",IFERROR(INDEX('Calculations'!$HF$13:$HF$512,MATCH('Calculations'!HV64,'Calculations'!$HE$13:$HE$512,0)),""))))</x:f>
      </x:c>
      <x:c r="HX64" t="str">
        <x:f>IF('Calculations'!HW64="","",IF('Calculations'!HW64="!AMBIG","!AMBIG",IF(COUNTIF('Calculations'!$HE$13:$HE$512,"="&amp;SUBSTITUTE(SUBSTITUTE(SUBSTITUTE('Calculations'!HW64,"~","~~"),"*","~*"),"?","~?"))&gt;1,"!AMBIG",IFERROR(INDEX('Calculations'!$HF$13:$HF$512,MATCH('Calculations'!HW64,'Calculations'!$HE$13:$HE$512,0)),""))))</x:f>
      </x:c>
      <x:c r="HY64" t="str">
        <x:f>IF('Calculations'!HX64="","",IF('Calculations'!HX64="!AMBIG","!AMBIG",IF(COUNTIF('Calculations'!$HE$13:$HE$512,"="&amp;SUBSTITUTE(SUBSTITUTE(SUBSTITUTE('Calculations'!HX64,"~","~~"),"*","~*"),"?","~?"))&gt;1,"!AMBIG",IFERROR(INDEX('Calculations'!$HF$13:$HF$512,MATCH('Calculations'!HX64,'Calculations'!$HE$13:$HE$512,0)),""))))</x:f>
      </x:c>
      <x:c r="HZ64" t="str">
        <x:f>IF('Calculations'!HY64="","",IF('Calculations'!HY64="!AMBIG","!AMBIG",IF(COUNTIF('Calculations'!$HE$13:$HE$512,"="&amp;SUBSTITUTE(SUBSTITUTE(SUBSTITUTE('Calculations'!HY64,"~","~~"),"*","~*"),"?","~?"))&gt;1,"!AMBIG",IFERROR(INDEX('Calculations'!$HF$13:$HF$512,MATCH('Calculations'!HY64,'Calculations'!$HE$13:$HE$512,0)),""))))</x:f>
      </x:c>
      <x:c r="IA64" t="str">
        <x:f>IF('Calculations'!HZ64="","",IF('Calculations'!HZ64="!AMBIG","!AMBIG",IF(COUNTIF('Calculations'!$HE$13:$HE$512,"="&amp;SUBSTITUTE(SUBSTITUTE(SUBSTITUTE('Calculations'!HZ64,"~","~~"),"*","~*"),"?","~?"))&gt;1,"!AMBIG",IFERROR(INDEX('Calculations'!$HF$13:$HF$512,MATCH('Calculations'!HZ64,'Calculations'!$HE$13:$HE$512,0)),""))))</x:f>
      </x:c>
      <x:c r="IB64" t="str">
        <x:f>IF('Calculations'!IA64="","",IF('Calculations'!IA64="!AMBIG","!AMBIG",IF(COUNTIF('Calculations'!$HE$13:$HE$512,"="&amp;SUBSTITUTE(SUBSTITUTE(SUBSTITUTE('Calculations'!IA64,"~","~~"),"*","~*"),"?","~?"))&gt;1,"!AMBIG",IFERROR(INDEX('Calculations'!$HF$13:$HF$512,MATCH('Calculations'!IA64,'Calculations'!$HE$13:$HE$512,0)),""))))</x:f>
      </x:c>
      <x:c r="IC64" t="str">
        <x:f>IF('Calculations'!IB64="","",IF('Calculations'!IB64="!AMBIG","!AMBIG",IF(COUNTIF('Calculations'!$HE$13:$HE$512,"="&amp;SUBSTITUTE(SUBSTITUTE(SUBSTITUTE('Calculations'!IB64,"~","~~"),"*","~*"),"?","~?"))&gt;1,"!AMBIG",IFERROR(INDEX('Calculations'!$HF$13:$HF$512,MATCH('Calculations'!IB64,'Calculations'!$HE$13:$HE$512,0)),""))))</x:f>
      </x:c>
      <x:c r="ID64" t="str">
        <x:f>IF('Calculations'!IC64="","",IF('Calculations'!IC64="!AMBIG","!AMBIG",IF(COUNTIF('Calculations'!$HE$13:$HE$512,"="&amp;SUBSTITUTE(SUBSTITUTE(SUBSTITUTE('Calculations'!IC64,"~","~~"),"*","~*"),"?","~?"))&gt;1,"!AMBIG",IFERROR(INDEX('Calculations'!$HF$13:$HF$512,MATCH('Calculations'!IC64,'Calculations'!$HE$13:$HE$512,0)),""))))</x:f>
      </x:c>
      <x:c r="IE64" t="str">
        <x:f>IF('Calculations'!ID64="","",IF('Calculations'!ID64="!AMBIG","!AMBIG",IF(COUNTIF('Calculations'!$HE$13:$HE$512,"="&amp;SUBSTITUTE(SUBSTITUTE(SUBSTITUTE('Calculations'!ID64,"~","~~"),"*","~*"),"?","~?"))&gt;1,"!AMBIG",IFERROR(INDEX('Calculations'!$HF$13:$HF$512,MATCH('Calculations'!ID64,'Calculations'!$HE$13:$HE$512,0)),""))))</x:f>
      </x:c>
      <x:c r="IF64" t="str">
        <x:f>IF('Calculations'!IE64="","",IF('Calculations'!IE64="!AMBIG","!AMBIG",IF(COUNTIF('Calculations'!$HE$13:$HE$512,"="&amp;SUBSTITUTE(SUBSTITUTE(SUBSTITUTE('Calculations'!IE64,"~","~~"),"*","~*"),"?","~?"))&gt;1,"!AMBIG",IFERROR(INDEX('Calculations'!$HF$13:$HF$512,MATCH('Calculations'!IE64,'Calculations'!$HE$13:$HE$512,0)),""))))</x:f>
      </x:c>
      <x:c r="IG64" t="str">
        <x:f>IF('Calculations'!IF64="","",IF('Calculations'!IF64="!AMBIG","!AMBIG",IF(COUNTIF('Calculations'!$HE$13:$HE$512,"="&amp;SUBSTITUTE(SUBSTITUTE(SUBSTITUTE('Calculations'!IF64,"~","~~"),"*","~*"),"?","~?"))&gt;1,"!AMBIG",IFERROR(INDEX('Calculations'!$HF$13:$HF$512,MATCH('Calculations'!IF64,'Calculations'!$HE$13:$HE$512,0)),""))))</x:f>
      </x:c>
      <x:c r="IH64" t="str">
        <x:f>IF('Calculations'!IG64="","",IF('Calculations'!IG64="!AMBIG","!AMBIG",IF(COUNTIF('Calculations'!$HE$13:$HE$512,"="&amp;SUBSTITUTE(SUBSTITUTE(SUBSTITUTE('Calculations'!IG64,"~","~~"),"*","~*"),"?","~?"))&gt;1,"!AMBIG",IFERROR(INDEX('Calculations'!$HF$13:$HF$512,MATCH('Calculations'!IG64,'Calculations'!$HE$13:$HE$512,0)),""))))</x:f>
      </x:c>
      <x:c r="II64" t="str">
        <x:f>IF('Calculations'!IH64="","",IF('Calculations'!IH64="!AMBIG","!AMBIG",IF(COUNTIF('Calculations'!$HE$13:$HE$512,"="&amp;SUBSTITUTE(SUBSTITUTE(SUBSTITUTE('Calculations'!IH64,"~","~~"),"*","~*"),"?","~?"))&gt;1,"!AMBIG",IFERROR(INDEX('Calculations'!$HF$13:$HF$512,MATCH('Calculations'!IH64,'Calculations'!$HE$13:$HE$512,0)),""))))</x:f>
      </x:c>
      <x:c r="IJ64" t="str">
        <x:f>IF('Calculations'!EM64="","",IF('Calculations'!$EF$2="All",'Calculations'!HM64,IF('Calculations'!HL64=1,"",IFERROR(IF(MATCH('Calculations'!$EF$2,'Calculations'!HO64:II64,0)=1,'Calculations'!HE64,INDEX('Calculations'!HO64:II64,1,MATCH('Calculations'!$EF$2,'Calculations'!HO64:II64,0)-1)),""))))</x:f>
      </x:c>
      <x:c r="IK64" t="n">
        <x:f>IF(AND('Calculations'!EM64&lt;&gt;"",'Calculations'!$EF$2&lt;&gt;"All",'Calculations'!HF64='Calculations'!$EF$2,'Calculations'!HL64=0,'Calculations'!JD64&gt;0),MAX('Calculations'!$IK$12:IK63)+1,0)</x:f>
        <x:v>0</x:v>
      </x:c>
      <x:c r="JA64" t="n">
        <x:f>IF(OR(IFERROR(INDIRECT("'WCM Calibration Final'!$A$64")&lt;&gt;"",FALSE),IFERROR(INDIRECT("'WCM Calibration Final'!$B$64")&lt;&gt;"",FALSE),IFERROR(INDIRECT("'WCM Calibration Final'!$C$64")&lt;&gt;"",FALSE)),64,0)</x:f>
        <x:v>0</x:v>
      </x:c>
      <x:c r="JB64" t="n">
        <x:f>'Calculations'!JB63+IF('Calculations'!JA64&gt;0,1,0)</x:f>
        <x:v>0</x:v>
      </x:c>
      <x:c r="JC64" t="n">
        <x:f>IF(OR('Calculations'!HF64="",'Calculations'!HF64="!AMBIG"),0,IF('Dashboard'!$B$7="All",1,COUNTIFS('Calculations'!$HO$13:$HO$512,"="&amp;SUBSTITUTE(SUBSTITUTE(SUBSTITUTE('Calculations'!HF64,"~","~~"),"*","~*"),"?","~?"),'Calculations'!$HN$13:$HN$512,"="&amp;SUBSTITUTE(SUBSTITUTE(SUBSTITUTE('Dashboard'!$B$7,"~","~~"),"*","~*"),"?","~?"))+COUNTIFS('Calculations'!$HP$13:$HP$512,"="&amp;SUBSTITUTE(SUBSTITUTE(SUBSTITUTE('Calculations'!HF64,"~","~~"),"*","~*"),"?","~?"),'Calculations'!$HN$13:$HN$512,"="&amp;SUBSTITUTE(SUBSTITUTE(SUBSTITUTE('Dashboard'!$B$7,"~","~~"),"*","~*"),"?","~?"))+COUNTIFS('Calculations'!$HQ$13:$HQ$512,"="&amp;SUBSTITUTE(SUBSTITUTE(SUBSTITUTE('Calculations'!HF64,"~","~~"),"*","~*"),"?","~?"),'Calculations'!$HN$13:$HN$512,"="&amp;SUBSTITUTE(SUBSTITUTE(SUBSTITUTE('Dashboard'!$B$7,"~","~~"),"*","~*"),"?","~?"))+COUNTIFS('Calculations'!$HR$13:$HR$512,"="&amp;SUBSTITUTE(SUBSTITUTE(SUBSTITUTE('Calculations'!HF64,"~","~~"),"*","~*"),"?","~?"),'Calculations'!$HN$13:$HN$512,"="&amp;SUBSTITUTE(SUBSTITUTE(SUBSTITUTE('Dashboard'!$B$7,"~","~~"),"*","~*"),"?","~?"))+COUNTIFS('Calculations'!$HS$13:$HS$512,"="&amp;SUBSTITUTE(SUBSTITUTE(SUBSTITUTE('Calculations'!HF64,"~","~~"),"*","~*"),"?","~?"),'Calculations'!$HN$13:$HN$512,"="&amp;SUBSTITUTE(SUBSTITUTE(SUBSTITUTE('Dashboard'!$B$7,"~","~~"),"*","~*"),"?","~?"))+COUNTIFS('Calculations'!$HT$13:$HT$512,"="&amp;SUBSTITUTE(SUBSTITUTE(SUBSTITUTE('Calculations'!HF64,"~","~~"),"*","~*"),"?","~?"),'Calculations'!$HN$13:$HN$512,"="&amp;SUBSTITUTE(SUBSTITUTE(SUBSTITUTE('Dashboard'!$B$7,"~","~~"),"*","~*"),"?","~?"))+COUNTIFS('Calculations'!$HU$13:$HU$512,"="&amp;SUBSTITUTE(SUBSTITUTE(SUBSTITUTE('Calculations'!HF64,"~","~~"),"*","~*"),"?","~?"),'Calculations'!$HN$13:$HN$512,"="&amp;SUBSTITUTE(SUBSTITUTE(SUBSTITUTE('Dashboard'!$B$7,"~","~~"),"*","~*"),"?","~?"))+COUNTIFS('Calculations'!$HV$13:$HV$512,"="&amp;SUBSTITUTE(SUBSTITUTE(SUBSTITUTE('Calculations'!HF64,"~","~~"),"*","~*"),"?","~?"),'Calculations'!$HN$13:$HN$512,"="&amp;SUBSTITUTE(SUBSTITUTE(SUBSTITUTE('Dashboard'!$B$7,"~","~~"),"*","~*"),"?","~?"))+COUNTIFS('Calculations'!$HW$13:$HW$512,"="&amp;SUBSTITUTE(SUBSTITUTE(SUBSTITUTE('Calculations'!HF64,"~","~~"),"*","~*"),"?","~?"),'Calculations'!$HN$13:$HN$512,"="&amp;SUBSTITUTE(SUBSTITUTE(SUBSTITUTE('Dashboard'!$B$7,"~","~~"),"*","~*"),"?","~?"))+COUNTIFS('Calculations'!$HX$13:$HX$512,"="&amp;SUBSTITUTE(SUBSTITUTE(SUBSTITUTE('Calculations'!HF64,"~","~~"),"*","~*"),"?","~?"),'Calculations'!$HN$13:$HN$512,"="&amp;SUBSTITUTE(SUBSTITUTE(SUBSTITUTE('Dashboard'!$B$7,"~","~~"),"*","~*"),"?","~?"))+COUNTIFS('Calculations'!$HY$13:$HY$512,"="&amp;SUBSTITUTE(SUBSTITUTE(SUBSTITUTE('Calculations'!HF64,"~","~~"),"*","~*"),"?","~?"),'Calculations'!$HN$13:$HN$512,"="&amp;SUBSTITUTE(SUBSTITUTE(SUBSTITUTE('Dashboard'!$B$7,"~","~~"),"*","~*"),"?","~?"))+COUNTIFS('Calculations'!$HZ$13:$HZ$512,"="&amp;SUBSTITUTE(SUBSTITUTE(SUBSTITUTE('Calculations'!HF64,"~","~~"),"*","~*"),"?","~?"),'Calculations'!$HN$13:$HN$512,"="&amp;SUBSTITUTE(SUBSTITUTE(SUBSTITUTE('Dashboard'!$B$7,"~","~~"),"*","~*"),"?","~?"))+COUNTIFS('Calculations'!$IA$13:$IA$512,"="&amp;SUBSTITUTE(SUBSTITUTE(SUBSTITUTE('Calculations'!HF64,"~","~~"),"*","~*"),"?","~?"),'Calculations'!$HN$13:$HN$512,"="&amp;SUBSTITUTE(SUBSTITUTE(SUBSTITUTE('Dashboard'!$B$7,"~","~~"),"*","~*"),"?","~?"))+COUNTIFS('Calculations'!$IB$13:$IB$512,"="&amp;SUBSTITUTE(SUBSTITUTE(SUBSTITUTE('Calculations'!HF64,"~","~~"),"*","~*"),"?","~?"),'Calculations'!$HN$13:$HN$512,"="&amp;SUBSTITUTE(SUBSTITUTE(SUBSTITUTE('Dashboard'!$B$7,"~","~~"),"*","~*"),"?","~?"))+COUNTIFS('Calculations'!$IC$13:$IC$512,"="&amp;SUBSTITUTE(SUBSTITUTE(SUBSTITUTE('Calculations'!HF64,"~","~~"),"*","~*"),"?","~?"),'Calculations'!$HN$13:$HN$512,"="&amp;SUBSTITUTE(SUBSTITUTE(SUBSTITUTE('Dashboard'!$B$7,"~","~~"),"*","~*"),"?","~?"))+COUNTIFS('Calculations'!$ID$13:$ID$512,"="&amp;SUBSTITUTE(SUBSTITUTE(SUBSTITUTE('Calculations'!HF64,"~","~~"),"*","~*"),"?","~?"),'Calculations'!$HN$13:$HN$512,"="&amp;SUBSTITUTE(SUBSTITUTE(SUBSTITUTE('Dashboard'!$B$7,"~","~~"),"*","~*"),"?","~?"))+COUNTIFS('Calculations'!$IE$13:$IE$512,"="&amp;SUBSTITUTE(SUBSTITUTE(SUBSTITUTE('Calculations'!HF64,"~","~~"),"*","~*"),"?","~?"),'Calculations'!$HN$13:$HN$512,"="&amp;SUBSTITUTE(SUBSTITUTE(SUBSTITUTE('Dashboard'!$B$7,"~","~~"),"*","~*"),"?","~?"))+COUNTIFS('Calculations'!$IF$13:$IF$512,"="&amp;SUBSTITUTE(SUBSTITUTE(SUBSTITUTE('Calculations'!HF64,"~","~~"),"*","~*"),"?","~?"),'Calculations'!$HN$13:$HN$512,"="&amp;SUBSTITUTE(SUBSTITUTE(SUBSTITUTE('Dashboard'!$B$7,"~","~~"),"*","~*"),"?","~?"))+COUNTIFS('Calculations'!$IG$13:$IG$512,"="&amp;SUBSTITUTE(SUBSTITUTE(SUBSTITUTE('Calculations'!HF64,"~","~~"),"*","~*"),"?","~?"),'Calculations'!$HN$13:$HN$512,"="&amp;SUBSTITUTE(SUBSTITUTE(SUBSTITUTE('Dashboard'!$B$7,"~","~~"),"*","~*"),"?","~?"))+COUNTIFS('Calculations'!$IH$13:$IH$512,"="&amp;SUBSTITUTE(SUBSTITUTE(SUBSTITUTE('Calculations'!HF64,"~","~~"),"*","~*"),"?","~?"),'Calculations'!$HN$13:$HN$512,"="&amp;SUBSTITUTE(SUBSTITUTE(SUBSTITUTE('Dashboard'!$B$7,"~","~~"),"*","~*"),"?","~?"))))</x:f>
        <x:v>0</x:v>
      </x:c>
      <x:c r="JD64" t="n">
        <x:f>IF('Calculations'!EM64="",0,IF('Dashboard'!$B$7="All",1,IF('Calculations'!HN64='Dashboard'!$B$7,1,0)+IFERROR(INDEX('Calculations'!$JC$13:$JC$512,MATCH('Calculations'!HE64,'Calculations'!$HF$13:$HF$512,0)),0)))</x:f>
        <x:v>0</x:v>
      </x:c>
      <x:c r="JE64" t="n">
        <x:f>IF(AND('Calculations'!EM64&lt;&gt;"",'Calculations'!$JJ$2&lt;&gt;"All",'Calculations'!$JJ$2&lt;&gt;"",'Calculations'!HF64='Calculations'!$JJ$2,'Calculations'!HL64=0,'Calculations'!JD64&gt;0),MAX('Calculations'!$JE$12:JE63)+1,0)</x:f>
        <x:v>0</x:v>
      </x:c>
      <x:c r="JF64" t="str">
        <x:f>IF('Calculations'!EM64="","",IFERROR(IF(INDEX(INDIRECT("'WCM Calibration Final'!$G$1:$G$2000"),'Calculations'!$EM64)="","",TRIM(INDEX(INDIRECT("'WCM Calibration Final'!$G$1:$G$2000"),'Calculations'!$EM64)&amp;"")),""))</x:f>
      </x:c>
      <x:c r="JQ64" t="n">
        <x:f>IF(OR('Calculations'!BM64=0,NOT('Calculations'!$AG$2),'Calculations'!$AG$8&gt;0),0,IF(OR('Dashboard'!$B$7="All",'Calculations'!HN64='Dashboard'!$B$7),IF('Calculations'!$JJ$2="All",1,IF(AND('Calculations'!HF64='Calculations'!$JJ$2,'Calculations'!HL64=0),1,0)),0))</x:f>
        <x:v>0</x:v>
      </x:c>
    </x:row>
    <x:row r="65">
      <x:c r="AF65" s="4"/>
      <x:c r="AG65" s="4" t="n">
        <x:f>SUM('Calculations'!AG71:AG74)</x:f>
        <x:v>0</x:v>
      </x:c>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t="n">
        <x:f>IF('Calculations'!$EM65="",0,IF(OR(IFERROR(INDEX(INDIRECT("'WCM Calibration Final'!$A$1:$A$2000"),'Calculations'!$EM65)&lt;&gt;"",FALSE),IFERROR(INDEX(INDIRECT("'WCM Calibration Final'!$B$1:$B$2000"),'Calculations'!$EM65)&lt;&gt;"",FALSE),IFERROR(INDEX(INDIRECT("'WCM Calibration Final'!$C$1:$C$2000"),'Calculations'!$EM65)&lt;&gt;"",FALSE)),1,0))</x:f>
        <x:v>0</x:v>
      </x:c>
      <x:c r="BN65" s="4" t="n">
        <x:f>IF(AND('Calculations'!BM65=1,'Calculations'!$AG$2,'Calculations'!$EN65=1),1,0)</x:f>
        <x:v>0</x:v>
      </x:c>
      <x:c r="BO65" s="4" t="str">
        <x:f>IF('Calculations'!BM65=0,"",IFERROR(IF(AND(VALUE(INDEX(INDIRECT("'WCM Calibration Final'!$K$1:$K$2000"),'Calculations'!$EM65))&gt;=1,VALUE(INDEX(INDIRECT("'WCM Calibration Final'!$K$1:$K$2000"),'Calculations'!$EM65))&lt;=4,MOD(VALUE(INDEX(INDIRECT("'WCM Calibration Final'!$K$1:$K$2000"),'Calculations'!$EM65)),1)=0),VALUE(INDEX(INDIRECT("'WCM Calibration Final'!$K$1:$K$2000"),'Calculations'!$EM65)),""),""))</x:f>
      </x:c>
      <x:c r="BP65" s="4" t="str">
        <x:f>IF('Calculations'!BM65=0,"",IFERROR(IF(AND(VALUE(INDEX(INDIRECT("'WCM Calibration Final'!$L$1:$L$2000"),'Calculations'!$EM65))&gt;=1,VALUE(INDEX(INDIRECT("'WCM Calibration Final'!$L$1:$L$2000"),'Calculations'!$EM65))&lt;=4,MOD(VALUE(INDEX(INDIRECT("'WCM Calibration Final'!$L$1:$L$2000"),'Calculations'!$EM65)),1)=0),VALUE(INDEX(INDIRECT("'WCM Calibration Final'!$L$1:$L$2000"),'Calculations'!$EM65)),""),""))</x:f>
      </x:c>
      <x:c r="BQ65" s="4"/>
      <x:c r="BR65" s="4"/>
      <x:c r="BS65" s="4"/>
      <x:c r="BT65" s="4" t="n">
        <x:f>IF(AND('Calculations'!BM65=1,ISNUMBER('Calculations'!BO65),ISNUMBER('Calculations'!BP65)),1,0)</x:f>
        <x:v>0</x:v>
      </x:c>
      <x:c r="BU65" s="4" t="str">
        <x:f>IF('Calculations'!BM65=0,"",'Calculations'!$EO65)</x:f>
      </x:c>
      <x:c r="BV65" s="4" t="str">
        <x:f>IF('Calculations'!BM65=0,"",IFERROR(IF(OR(INDEX(INDIRECT("'WCM Calibration Final'!$H$1:$H$2000"),'Calculations'!$EM65)="MANAGING DIRECTOR",INDEX(INDIRECT("'WCM Calibration Final'!$H$1:$H$2000"),'Calculations'!$EM65)="DIRECTOR",INDEX(INDIRECT("'WCM Calibration Final'!$H$1:$H$2000"),'Calculations'!$EM65)="SENIOR VICE PRESIDENT",INDEX(INDIRECT("'WCM Calibration Final'!$H$1:$H$2000"),'Calculations'!$EM65)="VICE PRESIDENT",INDEX(INDIRECT("'WCM Calibration Final'!$H$1:$H$2000"),'Calculations'!$EM65)="ASSISTANT VICE PRESIDENT",INDEX(INDIRECT("'WCM Calibration Final'!$H$1:$H$2000"),'Calculations'!$EM65)="OFFICER"),UPPER(INDEX(INDIRECT("'WCM Calibration Final'!$H$1:$H$2000"),'Calculations'!$EM65)),"Other"),"Other"))</x:f>
      </x:c>
      <x:c r="BW65" s="4"/>
      <x:c r="BX65" s="4"/>
      <x:c r="BY65" s="4" t="n">
        <x:f>IF(AND('Calculations'!BM65=1,'Calculations'!BU65&lt;&gt;"",COUNTIF('Calculations'!$BU$12:BU65,'Calculations'!BU65)=1),MAX('Calculations'!$BY$11:BY64)+1,0)</x:f>
        <x:v>0</x:v>
      </x:c>
      <x:c r="BZ65" s="4" t="str">
        <x:f>IF('Dashboard'!$E$67="What",'Calculations'!BO65,'Calculations'!BP65)</x:f>
      </x:c>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t="str">
        <x:f>IF(54&gt;MAX('Calculations'!$HI$13:$HI$512),"",INDEX('Calculations'!$HN$13:$HN$512,MATCH(54,'Calculations'!$HI$13:$HI$512,0)))</x:f>
      </x:c>
      <x:c r="DB65" s="4" t="str">
        <x:f>IF(54&gt;MAX('Calculations'!$HH$13:$HH$512),"",INDEX('Calculations'!$HJ$13:$HJ$512,MATCH(54,'Calculations'!$HH$13:$HH$512,0)))</x:f>
      </x:c>
      <x:c r="DC65" s="4" t="str">
        <x:f>IF(ROW()-11&gt;MAX('Calculations'!$BY$13:$BY$512),"",INDEX('Calculations'!$BU$13:$BU$512,MATCH(ROW()-11,'Calculations'!$BY$13:$BY$512,0)))</x:f>
      </x:c>
      <x:c r="DD65" s="4" t="str">
        <x:f>IF(54&gt;MAX('Calculations'!$IK$13:$IK$512),"",INDEX('Calculations'!$HK$13:$HK$512,MATCH(54,'Calculations'!$IK$13:$IK$512,0)))</x:f>
      </x:c>
      <x:c r="DE65" s="4" t="str">
        <x:f>'Calculations'!DC65</x:f>
      </x:c>
      <x:c r="DF65" s="4" t="str">
        <x:f>IF('Calculations'!DE65="","",COUNTIFS('Calculations'!$BN$13:$BN$512,1,'Calculations'!$BU$13:$BU$512,'Calculations'!DE65))</x:f>
      </x:c>
      <x:c r="DG65" s="4" t="str">
        <x:f>IF('Calculations'!DE65="","",COUNTIFS('Calculations'!$BN$13:$BN$512,1,'Calculations'!$BU$13:$BU$512,'Calculations'!DE65,'Calculations'!$BT$13:$BT$512,1))</x:f>
      </x:c>
      <x:c r="DH65" s="4" t="str">
        <x:f>IF('Calculations'!DE65="","",'Calculations'!DF65-'Calculations'!DG65)</x:f>
      </x:c>
      <x:c r="DI65" s="4" t="str">
        <x:f>IF(OR('Calculations'!DE65="",'Calculations'!DF65=0),"",'Calculations'!DG65/'Calculations'!DF65)</x:f>
      </x:c>
      <x:c r="DJ65" s="4" t="str">
        <x:f>IF('Calculations'!DE65="","",COUNTIFS('Calculations'!$BN$13:$BN$512,1,'Calculations'!$BU$13:$BU$512,'Calculations'!DE65,'Calculations'!$BT$13:$BT$512,1,'Calculations'!$EE$13:$EE$512,"High"))</x:f>
      </x:c>
      <x:c r="DK65" s="4" t="str">
        <x:f>IF('Calculations'!DE65="","",COUNTIFS('Calculations'!$BN$13:$BN$512,1,'Calculations'!$BU$13:$BU$512,'Calculations'!DE65,'Calculations'!$BT$13:$BT$512,1,'Calculations'!$EE$13:$EE$512,"Strong"))</x:f>
      </x:c>
      <x:c r="DL65" s="4" t="str">
        <x:f>IF('Calculations'!DE65="","",COUNTIFS('Calculations'!$BN$13:$BN$512,1,'Calculations'!$BU$13:$BU$512,'Calculations'!DE65,'Calculations'!$BT$13:$BT$512,1,'Calculations'!$EE$13:$EE$512,"Solid"))</x:f>
      </x:c>
      <x:c r="DM65" s="4" t="str">
        <x:f>IF('Calculations'!DE65="","",COUNTIFS('Calculations'!$BN$13:$BN$512,1,'Calculations'!$BU$13:$BU$512,'Calculations'!DE65,'Calculations'!$BT$13:$BT$512,1,'Calculations'!$EE$13:$EE$512,"Low"))</x:f>
      </x:c>
      <x:c r="DN65" s="4" t="str">
        <x:f>IF('Calculations'!DE65="","",COUNTIFS('Calculations'!$BN$13:$BN$512,1,'Calculations'!$BU$13:$BU$512,'Calculations'!DE65,'Calculations'!$EP$13:$EP$512,1))</x:f>
      </x:c>
      <x:c r="DO65" s="4" t="str">
        <x:f>IF(OR('Calculations'!DE65="",'Calculations'!DG65=0),"",('Calculations'!DJ65+'Calculations'!DK65)/'Calculations'!DG65)</x:f>
      </x:c>
      <x:c r="DP65" s="4" t="n">
        <x:f>IF(AND('Calculations'!DE65&lt;&gt;"",'Calculations'!DF65&gt;0),COUNTIF('Calculations'!$DF$12:DF65,"&gt;0"),0)</x:f>
        <x:v>0</x:v>
      </x:c>
      <x:c r="DQ65" s="4" t="str">
        <x:f>IF(54&gt;MAX('Calculations'!$HH$13:$HH$512),"",INDEX('Calculations'!$HF$13:$HF$512,MATCH(54,'Calculations'!$HH$13:$HH$512,0)))</x:f>
      </x:c>
      <x:c r="DR65" s="4" t="str">
        <x:f>IF(54&gt;MAX('Calculations'!$IK$13:$IK$512),"",INDEX('Calculations'!$HE$13:$HE$512,MATCH(54,'Calculations'!$IK$13:$IK$512,0)))</x:f>
      </x:c>
      <x:c r="DS65" s="4"/>
      <x:c r="DT65" s="4"/>
      <x:c r="DU65" s="4"/>
      <x:c r="DV65" s="4"/>
      <x:c r="DW65" s="4"/>
      <x:c r="DX65" s="4"/>
      <x:c r="DY65" s="4" t="str">
        <x:f>'Calculations'!AF74</x:f>
        <x:v>4</x:v>
      </x:c>
      <x:c r="DZ65" s="4"/>
      <x:c r="EA65" s="4"/>
      <x:c r="EB65" s="4"/>
      <x:c r="EC65" s="4"/>
      <x:c r="ED65" s="4"/>
      <x:c r="EE65" s="4" t="str">
        <x:f>IF('Calculations'!BT65=0,"Not Rated",IF(OR('Calculations'!BO65&gt;=4,'Calculations'!BP65&gt;=4),"Low",IF('Calculations'!BO65+'Calculations'!BP65&lt;=3,"High",IF('Calculations'!BO65+'Calculations'!BP65&lt;=4,"Strong","Solid"))))</x:f>
        <x:v>Not Rated</x:v>
      </x:c>
      <x:c r="EF65" s="4"/>
      <x:c r="EG65" s="4"/>
      <x:c r="EH65" s="4"/>
      <x:c r="EI65" s="4"/>
      <x:c r="EJ65" s="4"/>
      <x:c r="EK65" s="4"/>
      <x:c r="EL65" s="4"/>
      <x:c r="EM65" s="4" t="str">
        <x:f>IF(53&gt;'Calculations'!$JB$2000,"",INDEX('Calculations'!$JA$12:$JA$2000,MATCH(53,'Calculations'!$JB$12:$JB$2000,0)))</x:f>
      </x:c>
      <x:c r="EN65" s="4" t="n">
        <x:f>IF(OR('Calculations'!EM65="",'Calculations'!$AG$8&gt;0,AND('Calculations'!$EF$2&lt;&gt;"All",'Calculations'!HE65='Calculations'!$EF$2),AND('Calculations'!$EF$3&lt;&gt;"All",'Calculations'!HE65='Calculations'!$EF$3)),0,IF(OR('Dashboard'!$B$7="All",'Calculations'!HN65='Dashboard'!$B$7),IF('Calculations'!$EF$2="All",1,IF('Calculations'!HL65&gt;0,0,IF(COUNTIF('Calculations'!HO65:II65,"="&amp;SUBSTITUTE(SUBSTITUTE(SUBSTITUTE('Calculations'!$EF$2,"~","~~"),"*","~*"),"?","~?"))=0,0,IF('Calculations'!$EF$3="All",1,IF(COUNTIF('Calculations'!HO65:II65,"="&amp;SUBSTITUTE(SUBSTITUTE(SUBSTITUTE('Calculations'!$EF$3,"~","~~"),"*","~*"),"?","~?"))&gt;0,1,0))))),0))</x:f>
        <x:v>0</x:v>
      </x:c>
      <x:c r="EO65" s="4" t="str">
        <x:f>IF('Calculations'!IJ65="","",IF('Calculations'!IJ65="!UNRESOLVED","Unresolved hierarchy",IFERROR(INDEX('Calculations'!$HK$13:$HK$512,MATCH('Calculations'!IJ65,'Calculations'!$HE$13:$HE$512,0)),IFERROR(INDEX('Calculations'!$HJ$13:$HJ$512,MATCH('Calculations'!IJ65,'Calculations'!$HF$13:$HF$512,0)),'Calculations'!IJ65))))</x:f>
      </x:c>
      <x:c r="EP65" s="4" t="n">
        <x:f>IF(AND('Calculations'!EM65&lt;&gt;"",'Calculations'!HF65='Calculations'!IJ65),1,0)</x:f>
        <x:v>0</x:v>
      </x:c>
      <x:c r="EQ65" s="4"/>
      <x:c r="ER65" s="4"/>
      <x:c r="ES65" s="4"/>
      <x:c r="ET65" s="4"/>
      <x:c r="EU65" s="4"/>
      <x:c r="EV65" s="4"/>
      <x:c r="EW65" s="4"/>
      <x:c r="EX65" s="4"/>
      <x:c r="EY65" s="4"/>
      <x:c r="EZ65" s="4"/>
      <x:c r="FA65" s="4"/>
      <x:c r="FB65" s="4"/>
      <x:c r="FC65" s="4"/>
      <x:c r="FD65" s="4"/>
      <x:c r="FE65" s="4"/>
      <x:c r="FF65" s="4"/>
      <x:c r="FG65" s="4"/>
      <x:c r="FH65" s="4"/>
      <x:c r="FI65" s="4"/>
      <x:c r="FJ65" s="4"/>
      <x:c r="FK65" s="4"/>
      <x:c r="FL65" s="4"/>
      <x:c r="FM65" s="4"/>
      <x:c r="FN65" s="4"/>
      <x:c r="FO65" s="4"/>
      <x:c r="GA65" s="71"/>
      <x:c r="GB65" s="71"/>
      <x:c r="GC65" s="71"/>
      <x:c r="GD65" s="71"/>
      <x:c r="GE65" s="71"/>
      <x:c r="GF65" s="71"/>
      <x:c r="GG65" s="71"/>
      <x:c r="GH65" s="71"/>
      <x:c r="GI65" s="71"/>
      <x:c r="GJ65" s="71"/>
      <x:c r="GK65" s="71"/>
      <x:c r="GL65" s="71"/>
      <x:c r="GM65" s="71"/>
      <x:c r="GN65" s="71"/>
      <x:c r="GO65" s="71"/>
      <x:c r="GP65" s="71"/>
      <x:c r="GQ65" s="71"/>
      <x:c r="GR65" s="71"/>
      <x:c r="GS65" s="71"/>
      <x:c r="GT65" s="71"/>
      <x:c r="GU65" s="71"/>
      <x:c r="GV65" s="71"/>
      <x:c r="GW65" s="71"/>
      <x:c r="GX65" s="71"/>
      <x:c r="GY65" s="71"/>
      <x:c r="GZ65" s="71"/>
      <x:c r="HA65" s="71"/>
      <x:c r="HB65" s="71"/>
      <x:c r="HC65" s="71"/>
      <x:c r="HD65" s="71"/>
      <x:c r="HE65" t="str">
        <x:f>IF('Calculations'!EM65="","",IF(IFERROR(IF(INDEX(INDIRECT("'WCM Calibration Final'!$A$1:$A$2000"),'Calculations'!$EM65)="","",TRIM(INDEX(INDIRECT("'WCM Calibration Final'!$A$1:$A$2000"),'Calculations'!$EM65)&amp;"")),"")&lt;&gt;"","G:"&amp;IFERROR(TEXT(1*INDEX(INDIRECT("'WCM Calibration Final'!$A$1:$A$2000"),'Calculations'!$EM65),"0"),UPPER(IFERROR(IF(INDEX(INDIRECT("'WCM Calibration Final'!$A$1:$A$2000"),'Calculations'!$EM65)="","",TRIM(INDEX(INDIRECT("'WCM Calibration Final'!$A$1:$A$2000"),'Calculations'!$EM65)&amp;"")),""))),IF(IFERROR(IF(INDEX(INDIRECT("'WCM Calibration Final'!$C$1:$C$2000"),'Calculations'!$EM65)="","",TRIM(INDEX(INDIRECT("'WCM Calibration Final'!$C$1:$C$2000"),'Calculations'!$EM65)&amp;"")),"")&lt;&gt;"","S:"&amp;UPPER(IFERROR(IF(INDEX(INDIRECT("'WCM Calibration Final'!$C$1:$C$2000"),'Calculations'!$EM65)="","",TRIM(INDEX(INDIRECT("'WCM Calibration Final'!$C$1:$C$2000"),'Calculations'!$EM65)&amp;"")),"")),"R:"&amp;'Calculations'!EM65)))</x:f>
      </x:c>
      <x:c r="HF65" t="str">
        <x:f>IF('Calculations'!EM65="","",IF(IFERROR(IF(INDEX(INDIRECT("'WCM Calibration Final'!$D$1:$D$2000"),'Calculations'!$EM65)="","",TRIM(INDEX(INDIRECT("'WCM Calibration Final'!$D$1:$D$2000"),'Calculations'!$EM65)&amp;"")),"")&lt;&gt;"","G:"&amp;IFERROR(TEXT(1*INDEX(INDIRECT("'WCM Calibration Final'!$D$1:$D$2000"),'Calculations'!$EM65),"0"),UPPER(IFERROR(IF(INDEX(INDIRECT("'WCM Calibration Final'!$D$1:$D$2000"),'Calculations'!$EM65)="","",TRIM(INDEX(INDIRECT("'WCM Calibration Final'!$D$1:$D$2000"),'Calculations'!$EM65)&amp;"")),""))),IF(IFERROR(IF(INDEX(INDIRECT("'WCM Calibration Final'!$E$1:$E$2000"),'Calculations'!$EM65)="","",TRIM(INDEX(INDIRECT("'WCM Calibration Final'!$E$1:$E$2000"),'Calculations'!$EM65)&amp;"")),"")="","",IF(COUNTIF('Calculations'!$HG$13:$HG$512,"="&amp;SUBSTITUTE(SUBSTITUTE(SUBSTITUTE(IFERROR(IF(INDEX(INDIRECT("'WCM Calibration Final'!$E$1:$E$2000"),'Calculations'!$EM65)="","",TRIM(INDEX(INDIRECT("'WCM Calibration Final'!$E$1:$E$2000"),'Calculations'!$EM65)&amp;"")),""),"~","~~"),"*","~*"),"?","~?"))=1,INDEX('Calculations'!$HE$13:$HE$512,MATCH(IFERROR(IF(INDEX(INDIRECT("'WCM Calibration Final'!$E$1:$E$2000"),'Calculations'!$EM65)="","",TRIM(INDEX(INDIRECT("'WCM Calibration Final'!$E$1:$E$2000"),'Calculations'!$EM65)&amp;"")),""),'Calculations'!$HG$13:$HG$512,0)),IF(COUNTIF('Calculations'!$HG$13:$HG$512,"="&amp;SUBSTITUTE(SUBSTITUTE(SUBSTITUTE(IFERROR(IF(INDEX(INDIRECT("'WCM Calibration Final'!$E$1:$E$2000"),'Calculations'!$EM65)="","",TRIM(INDEX(INDIRECT("'WCM Calibration Final'!$E$1:$E$2000"),'Calculations'!$EM65)&amp;"")),""),"~","~~"),"*","~*"),"?","~?"))&gt;1,"!AMBIG","X:"&amp;IFERROR(IF(INDEX(INDIRECT("'WCM Calibration Final'!$E$1:$E$2000"),'Calculations'!$EM65)="","",TRIM(INDEX(INDIRECT("'WCM Calibration Final'!$E$1:$E$2000"),'Calculations'!$EM65)&amp;"")),""))))))</x:f>
      </x:c>
      <x:c r="HG65" t="str">
        <x:f>IF('Calculations'!EM65="","",IFERROR(IF(INDEX(INDIRECT("'WCM Calibration Final'!$B$1:$B$2000"),'Calculations'!$EM65)="","",TRIM(INDEX(INDIRECT("'WCM Calibration Final'!$B$1:$B$2000"),'Calculations'!$EM65)&amp;"")),""))</x:f>
      </x:c>
      <x:c r="HH65" t="n">
        <x:f>IF(AND('Calculations'!JC65&gt;0,COUNTIF('Calculations'!$HF$12:HF65,"="&amp;SUBSTITUTE(SUBSTITUTE(SUBSTITUTE('Calculations'!HF65,"~","~~"),"*","~*"),"?","~?"))=1),MAX('Calculations'!$HH$12:HH64)+1,0)</x:f>
        <x:v>0</x:v>
      </x:c>
      <x:c r="HI65" t="n">
        <x:f>IF(AND('Calculations'!HN65&lt;&gt;"",COUNTIF('Calculations'!$HN$12:HN65,"="&amp;SUBSTITUTE(SUBSTITUTE(SUBSTITUTE('Calculations'!HN65,"~","~~"),"*","~*"),"?","~?"))=1),MAX('Calculations'!$HI$12:HI64)+1,0)</x:f>
        <x:v>0</x:v>
      </x:c>
      <x:c r="HJ65" t="str">
        <x:f>IF('Calculations'!HF65="","",IF(COUNTIF('Calculations'!$HE$13:$HE$512,"="&amp;SUBSTITUTE(SUBSTITUTE(SUBSTITUTE('Calculations'!HF65,"~","~~"),"*","~*"),"?","~?"))=1,INDEX('Calculations'!$HK$13:$HK$512,MATCH('Calculations'!HF65,'Calculations'!$HE$13:$HE$512,0)),IFERROR(IF(INDEX(INDIRECT("'WCM Calibration Final'!$E$1:$E$2000"),'Calculations'!$EM65)="","",TRIM(INDEX(INDIRECT("'WCM Calibration Final'!$E$1:$E$2000"),'Calculations'!$EM65)&amp;"")),"")&amp;" ["&amp;'Calculations'!HF65&amp;"]"))</x:f>
      </x:c>
      <x:c r="HK65" t="str">
        <x:f>IF('Calculations'!EM65="","",'Calculations'!HG65&amp;" ["&amp;'Calculations'!HE65&amp;"]")</x:f>
      </x:c>
      <x:c r="HL65" t="n">
        <x:f>IF('Calculations'!EM65="",0,IF(OR('Calculations'!II65&lt;&gt;"",COUNTIF('Calculations'!$HE$13:$HE$512,"="&amp;SUBSTITUTE(SUBSTITUTE(SUBSTITUTE('Calculations'!HE65,"~","~~"),"*","~*"),"?","~?"))&gt;1),1,0))</x:f>
        <x:v>0</x:v>
      </x:c>
      <x:c r="HM65" t="str">
        <x:f>IF('Calculations'!EM65="","",IF('Calculations'!HL65=1,"!UNRESOLVED",IF('Calculations'!IH65&lt;&gt;"",'Calculations'!IH65,IF('Calculations'!IG65&lt;&gt;"",'Calculations'!IG65,IF('Calculations'!IF65&lt;&gt;"",'Calculations'!IF65,IF('Calculations'!IE65&lt;&gt;"",'Calculations'!IE65,IF('Calculations'!ID65&lt;&gt;"",'Calculations'!ID65,IF('Calculations'!IC65&lt;&gt;"",'Calculations'!IC65,IF('Calculations'!IB65&lt;&gt;"",'Calculations'!IB65,IF('Calculations'!IA65&lt;&gt;"",'Calculations'!IA65,IF('Calculations'!HZ65&lt;&gt;"",'Calculations'!HZ65,IF('Calculations'!HY65&lt;&gt;"",'Calculations'!HY65,IF('Calculations'!HX65&lt;&gt;"",'Calculations'!HX65,IF('Calculations'!HW65&lt;&gt;"",'Calculations'!HW65,IF('Calculations'!HV65&lt;&gt;"",'Calculations'!HV65,IF('Calculations'!HU65&lt;&gt;"",'Calculations'!HU65,IF('Calculations'!HT65&lt;&gt;"",'Calculations'!HT65,IF('Calculations'!HS65&lt;&gt;"",'Calculations'!HS65,IF('Calculations'!HR65&lt;&gt;"",'Calculations'!HR65,IF('Calculations'!HQ65&lt;&gt;"",'Calculations'!HQ65,IF('Calculations'!HP65&lt;&gt;"",'Calculations'!HP65,IF('Calculations'!HO65&lt;&gt;"",'Calculations'!HO65,'Calculations'!HE65))))))))))))))))))))))</x:f>
      </x:c>
      <x:c r="HN65" t="str">
        <x:f>IF('Calculations'!EM65="","",IF(IFERROR(IF(INDEX(INDIRECT("'WCM Calibration Final'!$F$1:$F$2000"),'Calculations'!$EM65)="","",TRIM(INDEX(INDIRECT("'WCM Calibration Final'!$F$1:$F$2000"),'Calculations'!$EM65)&amp;"")),"")="","(Blank)",IFERROR(IF(INDEX(INDIRECT("'WCM Calibration Final'!$F$1:$F$2000"),'Calculations'!$EM65)="","",TRIM(INDEX(INDIRECT("'WCM Calibration Final'!$F$1:$F$2000"),'Calculations'!$EM65)&amp;"")),"")))</x:f>
      </x:c>
      <x:c r="HO65" t="str">
        <x:f>'Calculations'!HF65</x:f>
      </x:c>
      <x:c r="HP65" t="str">
        <x:f>IF('Calculations'!HO65="","",IF('Calculations'!HO65="!AMBIG","!AMBIG",IF(COUNTIF('Calculations'!$HE$13:$HE$512,"="&amp;SUBSTITUTE(SUBSTITUTE(SUBSTITUTE('Calculations'!HO65,"~","~~"),"*","~*"),"?","~?"))&gt;1,"!AMBIG",IFERROR(INDEX('Calculations'!$HF$13:$HF$512,MATCH('Calculations'!HO65,'Calculations'!$HE$13:$HE$512,0)),""))))</x:f>
      </x:c>
      <x:c r="HQ65" t="str">
        <x:f>IF('Calculations'!HP65="","",IF('Calculations'!HP65="!AMBIG","!AMBIG",IF(COUNTIF('Calculations'!$HE$13:$HE$512,"="&amp;SUBSTITUTE(SUBSTITUTE(SUBSTITUTE('Calculations'!HP65,"~","~~"),"*","~*"),"?","~?"))&gt;1,"!AMBIG",IFERROR(INDEX('Calculations'!$HF$13:$HF$512,MATCH('Calculations'!HP65,'Calculations'!$HE$13:$HE$512,0)),""))))</x:f>
      </x:c>
      <x:c r="HR65" t="str">
        <x:f>IF('Calculations'!HQ65="","",IF('Calculations'!HQ65="!AMBIG","!AMBIG",IF(COUNTIF('Calculations'!$HE$13:$HE$512,"="&amp;SUBSTITUTE(SUBSTITUTE(SUBSTITUTE('Calculations'!HQ65,"~","~~"),"*","~*"),"?","~?"))&gt;1,"!AMBIG",IFERROR(INDEX('Calculations'!$HF$13:$HF$512,MATCH('Calculations'!HQ65,'Calculations'!$HE$13:$HE$512,0)),""))))</x:f>
      </x:c>
      <x:c r="HS65" t="str">
        <x:f>IF('Calculations'!HR65="","",IF('Calculations'!HR65="!AMBIG","!AMBIG",IF(COUNTIF('Calculations'!$HE$13:$HE$512,"="&amp;SUBSTITUTE(SUBSTITUTE(SUBSTITUTE('Calculations'!HR65,"~","~~"),"*","~*"),"?","~?"))&gt;1,"!AMBIG",IFERROR(INDEX('Calculations'!$HF$13:$HF$512,MATCH('Calculations'!HR65,'Calculations'!$HE$13:$HE$512,0)),""))))</x:f>
      </x:c>
      <x:c r="HT65" t="str">
        <x:f>IF('Calculations'!HS65="","",IF('Calculations'!HS65="!AMBIG","!AMBIG",IF(COUNTIF('Calculations'!$HE$13:$HE$512,"="&amp;SUBSTITUTE(SUBSTITUTE(SUBSTITUTE('Calculations'!HS65,"~","~~"),"*","~*"),"?","~?"))&gt;1,"!AMBIG",IFERROR(INDEX('Calculations'!$HF$13:$HF$512,MATCH('Calculations'!HS65,'Calculations'!$HE$13:$HE$512,0)),""))))</x:f>
      </x:c>
      <x:c r="HU65" t="str">
        <x:f>IF('Calculations'!HT65="","",IF('Calculations'!HT65="!AMBIG","!AMBIG",IF(COUNTIF('Calculations'!$HE$13:$HE$512,"="&amp;SUBSTITUTE(SUBSTITUTE(SUBSTITUTE('Calculations'!HT65,"~","~~"),"*","~*"),"?","~?"))&gt;1,"!AMBIG",IFERROR(INDEX('Calculations'!$HF$13:$HF$512,MATCH('Calculations'!HT65,'Calculations'!$HE$13:$HE$512,0)),""))))</x:f>
      </x:c>
      <x:c r="HV65" t="str">
        <x:f>IF('Calculations'!HU65="","",IF('Calculations'!HU65="!AMBIG","!AMBIG",IF(COUNTIF('Calculations'!$HE$13:$HE$512,"="&amp;SUBSTITUTE(SUBSTITUTE(SUBSTITUTE('Calculations'!HU65,"~","~~"),"*","~*"),"?","~?"))&gt;1,"!AMBIG",IFERROR(INDEX('Calculations'!$HF$13:$HF$512,MATCH('Calculations'!HU65,'Calculations'!$HE$13:$HE$512,0)),""))))</x:f>
      </x:c>
      <x:c r="HW65" t="str">
        <x:f>IF('Calculations'!HV65="","",IF('Calculations'!HV65="!AMBIG","!AMBIG",IF(COUNTIF('Calculations'!$HE$13:$HE$512,"="&amp;SUBSTITUTE(SUBSTITUTE(SUBSTITUTE('Calculations'!HV65,"~","~~"),"*","~*"),"?","~?"))&gt;1,"!AMBIG",IFERROR(INDEX('Calculations'!$HF$13:$HF$512,MATCH('Calculations'!HV65,'Calculations'!$HE$13:$HE$512,0)),""))))</x:f>
      </x:c>
      <x:c r="HX65" t="str">
        <x:f>IF('Calculations'!HW65="","",IF('Calculations'!HW65="!AMBIG","!AMBIG",IF(COUNTIF('Calculations'!$HE$13:$HE$512,"="&amp;SUBSTITUTE(SUBSTITUTE(SUBSTITUTE('Calculations'!HW65,"~","~~"),"*","~*"),"?","~?"))&gt;1,"!AMBIG",IFERROR(INDEX('Calculations'!$HF$13:$HF$512,MATCH('Calculations'!HW65,'Calculations'!$HE$13:$HE$512,0)),""))))</x:f>
      </x:c>
      <x:c r="HY65" t="str">
        <x:f>IF('Calculations'!HX65="","",IF('Calculations'!HX65="!AMBIG","!AMBIG",IF(COUNTIF('Calculations'!$HE$13:$HE$512,"="&amp;SUBSTITUTE(SUBSTITUTE(SUBSTITUTE('Calculations'!HX65,"~","~~"),"*","~*"),"?","~?"))&gt;1,"!AMBIG",IFERROR(INDEX('Calculations'!$HF$13:$HF$512,MATCH('Calculations'!HX65,'Calculations'!$HE$13:$HE$512,0)),""))))</x:f>
      </x:c>
      <x:c r="HZ65" t="str">
        <x:f>IF('Calculations'!HY65="","",IF('Calculations'!HY65="!AMBIG","!AMBIG",IF(COUNTIF('Calculations'!$HE$13:$HE$512,"="&amp;SUBSTITUTE(SUBSTITUTE(SUBSTITUTE('Calculations'!HY65,"~","~~"),"*","~*"),"?","~?"))&gt;1,"!AMBIG",IFERROR(INDEX('Calculations'!$HF$13:$HF$512,MATCH('Calculations'!HY65,'Calculations'!$HE$13:$HE$512,0)),""))))</x:f>
      </x:c>
      <x:c r="IA65" t="str">
        <x:f>IF('Calculations'!HZ65="","",IF('Calculations'!HZ65="!AMBIG","!AMBIG",IF(COUNTIF('Calculations'!$HE$13:$HE$512,"="&amp;SUBSTITUTE(SUBSTITUTE(SUBSTITUTE('Calculations'!HZ65,"~","~~"),"*","~*"),"?","~?"))&gt;1,"!AMBIG",IFERROR(INDEX('Calculations'!$HF$13:$HF$512,MATCH('Calculations'!HZ65,'Calculations'!$HE$13:$HE$512,0)),""))))</x:f>
      </x:c>
      <x:c r="IB65" t="str">
        <x:f>IF('Calculations'!IA65="","",IF('Calculations'!IA65="!AMBIG","!AMBIG",IF(COUNTIF('Calculations'!$HE$13:$HE$512,"="&amp;SUBSTITUTE(SUBSTITUTE(SUBSTITUTE('Calculations'!IA65,"~","~~"),"*","~*"),"?","~?"))&gt;1,"!AMBIG",IFERROR(INDEX('Calculations'!$HF$13:$HF$512,MATCH('Calculations'!IA65,'Calculations'!$HE$13:$HE$512,0)),""))))</x:f>
      </x:c>
      <x:c r="IC65" t="str">
        <x:f>IF('Calculations'!IB65="","",IF('Calculations'!IB65="!AMBIG","!AMBIG",IF(COUNTIF('Calculations'!$HE$13:$HE$512,"="&amp;SUBSTITUTE(SUBSTITUTE(SUBSTITUTE('Calculations'!IB65,"~","~~"),"*","~*"),"?","~?"))&gt;1,"!AMBIG",IFERROR(INDEX('Calculations'!$HF$13:$HF$512,MATCH('Calculations'!IB65,'Calculations'!$HE$13:$HE$512,0)),""))))</x:f>
      </x:c>
      <x:c r="ID65" t="str">
        <x:f>IF('Calculations'!IC65="","",IF('Calculations'!IC65="!AMBIG","!AMBIG",IF(COUNTIF('Calculations'!$HE$13:$HE$512,"="&amp;SUBSTITUTE(SUBSTITUTE(SUBSTITUTE('Calculations'!IC65,"~","~~"),"*","~*"),"?","~?"))&gt;1,"!AMBIG",IFERROR(INDEX('Calculations'!$HF$13:$HF$512,MATCH('Calculations'!IC65,'Calculations'!$HE$13:$HE$512,0)),""))))</x:f>
      </x:c>
      <x:c r="IE65" t="str">
        <x:f>IF('Calculations'!ID65="","",IF('Calculations'!ID65="!AMBIG","!AMBIG",IF(COUNTIF('Calculations'!$HE$13:$HE$512,"="&amp;SUBSTITUTE(SUBSTITUTE(SUBSTITUTE('Calculations'!ID65,"~","~~"),"*","~*"),"?","~?"))&gt;1,"!AMBIG",IFERROR(INDEX('Calculations'!$HF$13:$HF$512,MATCH('Calculations'!ID65,'Calculations'!$HE$13:$HE$512,0)),""))))</x:f>
      </x:c>
      <x:c r="IF65" t="str">
        <x:f>IF('Calculations'!IE65="","",IF('Calculations'!IE65="!AMBIG","!AMBIG",IF(COUNTIF('Calculations'!$HE$13:$HE$512,"="&amp;SUBSTITUTE(SUBSTITUTE(SUBSTITUTE('Calculations'!IE65,"~","~~"),"*","~*"),"?","~?"))&gt;1,"!AMBIG",IFERROR(INDEX('Calculations'!$HF$13:$HF$512,MATCH('Calculations'!IE65,'Calculations'!$HE$13:$HE$512,0)),""))))</x:f>
      </x:c>
      <x:c r="IG65" t="str">
        <x:f>IF('Calculations'!IF65="","",IF('Calculations'!IF65="!AMBIG","!AMBIG",IF(COUNTIF('Calculations'!$HE$13:$HE$512,"="&amp;SUBSTITUTE(SUBSTITUTE(SUBSTITUTE('Calculations'!IF65,"~","~~"),"*","~*"),"?","~?"))&gt;1,"!AMBIG",IFERROR(INDEX('Calculations'!$HF$13:$HF$512,MATCH('Calculations'!IF65,'Calculations'!$HE$13:$HE$512,0)),""))))</x:f>
      </x:c>
      <x:c r="IH65" t="str">
        <x:f>IF('Calculations'!IG65="","",IF('Calculations'!IG65="!AMBIG","!AMBIG",IF(COUNTIF('Calculations'!$HE$13:$HE$512,"="&amp;SUBSTITUTE(SUBSTITUTE(SUBSTITUTE('Calculations'!IG65,"~","~~"),"*","~*"),"?","~?"))&gt;1,"!AMBIG",IFERROR(INDEX('Calculations'!$HF$13:$HF$512,MATCH('Calculations'!IG65,'Calculations'!$HE$13:$HE$512,0)),""))))</x:f>
      </x:c>
      <x:c r="II65" t="str">
        <x:f>IF('Calculations'!IH65="","",IF('Calculations'!IH65="!AMBIG","!AMBIG",IF(COUNTIF('Calculations'!$HE$13:$HE$512,"="&amp;SUBSTITUTE(SUBSTITUTE(SUBSTITUTE('Calculations'!IH65,"~","~~"),"*","~*"),"?","~?"))&gt;1,"!AMBIG",IFERROR(INDEX('Calculations'!$HF$13:$HF$512,MATCH('Calculations'!IH65,'Calculations'!$HE$13:$HE$512,0)),""))))</x:f>
      </x:c>
      <x:c r="IJ65" t="str">
        <x:f>IF('Calculations'!EM65="","",IF('Calculations'!$EF$2="All",'Calculations'!HM65,IF('Calculations'!HL65=1,"",IFERROR(IF(MATCH('Calculations'!$EF$2,'Calculations'!HO65:II65,0)=1,'Calculations'!HE65,INDEX('Calculations'!HO65:II65,1,MATCH('Calculations'!$EF$2,'Calculations'!HO65:II65,0)-1)),""))))</x:f>
      </x:c>
      <x:c r="IK65" t="n">
        <x:f>IF(AND('Calculations'!EM65&lt;&gt;"",'Calculations'!$EF$2&lt;&gt;"All",'Calculations'!HF65='Calculations'!$EF$2,'Calculations'!HL65=0,'Calculations'!JD65&gt;0),MAX('Calculations'!$IK$12:IK64)+1,0)</x:f>
        <x:v>0</x:v>
      </x:c>
      <x:c r="JA65" t="n">
        <x:f>IF(OR(IFERROR(INDIRECT("'WCM Calibration Final'!$A$65")&lt;&gt;"",FALSE),IFERROR(INDIRECT("'WCM Calibration Final'!$B$65")&lt;&gt;"",FALSE),IFERROR(INDIRECT("'WCM Calibration Final'!$C$65")&lt;&gt;"",FALSE)),65,0)</x:f>
        <x:v>0</x:v>
      </x:c>
      <x:c r="JB65" t="n">
        <x:f>'Calculations'!JB64+IF('Calculations'!JA65&gt;0,1,0)</x:f>
        <x:v>0</x:v>
      </x:c>
      <x:c r="JC65" t="n">
        <x:f>IF(OR('Calculations'!HF65="",'Calculations'!HF65="!AMBIG"),0,IF('Dashboard'!$B$7="All",1,COUNTIFS('Calculations'!$HO$13:$HO$512,"="&amp;SUBSTITUTE(SUBSTITUTE(SUBSTITUTE('Calculations'!HF65,"~","~~"),"*","~*"),"?","~?"),'Calculations'!$HN$13:$HN$512,"="&amp;SUBSTITUTE(SUBSTITUTE(SUBSTITUTE('Dashboard'!$B$7,"~","~~"),"*","~*"),"?","~?"))+COUNTIFS('Calculations'!$HP$13:$HP$512,"="&amp;SUBSTITUTE(SUBSTITUTE(SUBSTITUTE('Calculations'!HF65,"~","~~"),"*","~*"),"?","~?"),'Calculations'!$HN$13:$HN$512,"="&amp;SUBSTITUTE(SUBSTITUTE(SUBSTITUTE('Dashboard'!$B$7,"~","~~"),"*","~*"),"?","~?"))+COUNTIFS('Calculations'!$HQ$13:$HQ$512,"="&amp;SUBSTITUTE(SUBSTITUTE(SUBSTITUTE('Calculations'!HF65,"~","~~"),"*","~*"),"?","~?"),'Calculations'!$HN$13:$HN$512,"="&amp;SUBSTITUTE(SUBSTITUTE(SUBSTITUTE('Dashboard'!$B$7,"~","~~"),"*","~*"),"?","~?"))+COUNTIFS('Calculations'!$HR$13:$HR$512,"="&amp;SUBSTITUTE(SUBSTITUTE(SUBSTITUTE('Calculations'!HF65,"~","~~"),"*","~*"),"?","~?"),'Calculations'!$HN$13:$HN$512,"="&amp;SUBSTITUTE(SUBSTITUTE(SUBSTITUTE('Dashboard'!$B$7,"~","~~"),"*","~*"),"?","~?"))+COUNTIFS('Calculations'!$HS$13:$HS$512,"="&amp;SUBSTITUTE(SUBSTITUTE(SUBSTITUTE('Calculations'!HF65,"~","~~"),"*","~*"),"?","~?"),'Calculations'!$HN$13:$HN$512,"="&amp;SUBSTITUTE(SUBSTITUTE(SUBSTITUTE('Dashboard'!$B$7,"~","~~"),"*","~*"),"?","~?"))+COUNTIFS('Calculations'!$HT$13:$HT$512,"="&amp;SUBSTITUTE(SUBSTITUTE(SUBSTITUTE('Calculations'!HF65,"~","~~"),"*","~*"),"?","~?"),'Calculations'!$HN$13:$HN$512,"="&amp;SUBSTITUTE(SUBSTITUTE(SUBSTITUTE('Dashboard'!$B$7,"~","~~"),"*","~*"),"?","~?"))+COUNTIFS('Calculations'!$HU$13:$HU$512,"="&amp;SUBSTITUTE(SUBSTITUTE(SUBSTITUTE('Calculations'!HF65,"~","~~"),"*","~*"),"?","~?"),'Calculations'!$HN$13:$HN$512,"="&amp;SUBSTITUTE(SUBSTITUTE(SUBSTITUTE('Dashboard'!$B$7,"~","~~"),"*","~*"),"?","~?"))+COUNTIFS('Calculations'!$HV$13:$HV$512,"="&amp;SUBSTITUTE(SUBSTITUTE(SUBSTITUTE('Calculations'!HF65,"~","~~"),"*","~*"),"?","~?"),'Calculations'!$HN$13:$HN$512,"="&amp;SUBSTITUTE(SUBSTITUTE(SUBSTITUTE('Dashboard'!$B$7,"~","~~"),"*","~*"),"?","~?"))+COUNTIFS('Calculations'!$HW$13:$HW$512,"="&amp;SUBSTITUTE(SUBSTITUTE(SUBSTITUTE('Calculations'!HF65,"~","~~"),"*","~*"),"?","~?"),'Calculations'!$HN$13:$HN$512,"="&amp;SUBSTITUTE(SUBSTITUTE(SUBSTITUTE('Dashboard'!$B$7,"~","~~"),"*","~*"),"?","~?"))+COUNTIFS('Calculations'!$HX$13:$HX$512,"="&amp;SUBSTITUTE(SUBSTITUTE(SUBSTITUTE('Calculations'!HF65,"~","~~"),"*","~*"),"?","~?"),'Calculations'!$HN$13:$HN$512,"="&amp;SUBSTITUTE(SUBSTITUTE(SUBSTITUTE('Dashboard'!$B$7,"~","~~"),"*","~*"),"?","~?"))+COUNTIFS('Calculations'!$HY$13:$HY$512,"="&amp;SUBSTITUTE(SUBSTITUTE(SUBSTITUTE('Calculations'!HF65,"~","~~"),"*","~*"),"?","~?"),'Calculations'!$HN$13:$HN$512,"="&amp;SUBSTITUTE(SUBSTITUTE(SUBSTITUTE('Dashboard'!$B$7,"~","~~"),"*","~*"),"?","~?"))+COUNTIFS('Calculations'!$HZ$13:$HZ$512,"="&amp;SUBSTITUTE(SUBSTITUTE(SUBSTITUTE('Calculations'!HF65,"~","~~"),"*","~*"),"?","~?"),'Calculations'!$HN$13:$HN$512,"="&amp;SUBSTITUTE(SUBSTITUTE(SUBSTITUTE('Dashboard'!$B$7,"~","~~"),"*","~*"),"?","~?"))+COUNTIFS('Calculations'!$IA$13:$IA$512,"="&amp;SUBSTITUTE(SUBSTITUTE(SUBSTITUTE('Calculations'!HF65,"~","~~"),"*","~*"),"?","~?"),'Calculations'!$HN$13:$HN$512,"="&amp;SUBSTITUTE(SUBSTITUTE(SUBSTITUTE('Dashboard'!$B$7,"~","~~"),"*","~*"),"?","~?"))+COUNTIFS('Calculations'!$IB$13:$IB$512,"="&amp;SUBSTITUTE(SUBSTITUTE(SUBSTITUTE('Calculations'!HF65,"~","~~"),"*","~*"),"?","~?"),'Calculations'!$HN$13:$HN$512,"="&amp;SUBSTITUTE(SUBSTITUTE(SUBSTITUTE('Dashboard'!$B$7,"~","~~"),"*","~*"),"?","~?"))+COUNTIFS('Calculations'!$IC$13:$IC$512,"="&amp;SUBSTITUTE(SUBSTITUTE(SUBSTITUTE('Calculations'!HF65,"~","~~"),"*","~*"),"?","~?"),'Calculations'!$HN$13:$HN$512,"="&amp;SUBSTITUTE(SUBSTITUTE(SUBSTITUTE('Dashboard'!$B$7,"~","~~"),"*","~*"),"?","~?"))+COUNTIFS('Calculations'!$ID$13:$ID$512,"="&amp;SUBSTITUTE(SUBSTITUTE(SUBSTITUTE('Calculations'!HF65,"~","~~"),"*","~*"),"?","~?"),'Calculations'!$HN$13:$HN$512,"="&amp;SUBSTITUTE(SUBSTITUTE(SUBSTITUTE('Dashboard'!$B$7,"~","~~"),"*","~*"),"?","~?"))+COUNTIFS('Calculations'!$IE$13:$IE$512,"="&amp;SUBSTITUTE(SUBSTITUTE(SUBSTITUTE('Calculations'!HF65,"~","~~"),"*","~*"),"?","~?"),'Calculations'!$HN$13:$HN$512,"="&amp;SUBSTITUTE(SUBSTITUTE(SUBSTITUTE('Dashboard'!$B$7,"~","~~"),"*","~*"),"?","~?"))+COUNTIFS('Calculations'!$IF$13:$IF$512,"="&amp;SUBSTITUTE(SUBSTITUTE(SUBSTITUTE('Calculations'!HF65,"~","~~"),"*","~*"),"?","~?"),'Calculations'!$HN$13:$HN$512,"="&amp;SUBSTITUTE(SUBSTITUTE(SUBSTITUTE('Dashboard'!$B$7,"~","~~"),"*","~*"),"?","~?"))+COUNTIFS('Calculations'!$IG$13:$IG$512,"="&amp;SUBSTITUTE(SUBSTITUTE(SUBSTITUTE('Calculations'!HF65,"~","~~"),"*","~*"),"?","~?"),'Calculations'!$HN$13:$HN$512,"="&amp;SUBSTITUTE(SUBSTITUTE(SUBSTITUTE('Dashboard'!$B$7,"~","~~"),"*","~*"),"?","~?"))+COUNTIFS('Calculations'!$IH$13:$IH$512,"="&amp;SUBSTITUTE(SUBSTITUTE(SUBSTITUTE('Calculations'!HF65,"~","~~"),"*","~*"),"?","~?"),'Calculations'!$HN$13:$HN$512,"="&amp;SUBSTITUTE(SUBSTITUTE(SUBSTITUTE('Dashboard'!$B$7,"~","~~"),"*","~*"),"?","~?"))))</x:f>
        <x:v>0</x:v>
      </x:c>
      <x:c r="JD65" t="n">
        <x:f>IF('Calculations'!EM65="",0,IF('Dashboard'!$B$7="All",1,IF('Calculations'!HN65='Dashboard'!$B$7,1,0)+IFERROR(INDEX('Calculations'!$JC$13:$JC$512,MATCH('Calculations'!HE65,'Calculations'!$HF$13:$HF$512,0)),0)))</x:f>
        <x:v>0</x:v>
      </x:c>
      <x:c r="JE65" t="n">
        <x:f>IF(AND('Calculations'!EM65&lt;&gt;"",'Calculations'!$JJ$2&lt;&gt;"All",'Calculations'!$JJ$2&lt;&gt;"",'Calculations'!HF65='Calculations'!$JJ$2,'Calculations'!HL65=0,'Calculations'!JD65&gt;0),MAX('Calculations'!$JE$12:JE64)+1,0)</x:f>
        <x:v>0</x:v>
      </x:c>
      <x:c r="JF65" t="str">
        <x:f>IF('Calculations'!EM65="","",IFERROR(IF(INDEX(INDIRECT("'WCM Calibration Final'!$G$1:$G$2000"),'Calculations'!$EM65)="","",TRIM(INDEX(INDIRECT("'WCM Calibration Final'!$G$1:$G$2000"),'Calculations'!$EM65)&amp;"")),""))</x:f>
      </x:c>
      <x:c r="JQ65" t="n">
        <x:f>IF(OR('Calculations'!BM65=0,NOT('Calculations'!$AG$2),'Calculations'!$AG$8&gt;0),0,IF(OR('Dashboard'!$B$7="All",'Calculations'!HN65='Dashboard'!$B$7),IF('Calculations'!$JJ$2="All",1,IF(AND('Calculations'!HF65='Calculations'!$JJ$2,'Calculations'!HL65=0),1,0)),0))</x:f>
        <x:v>0</x:v>
      </x:c>
    </x:row>
    <x:row r="66">
      <x:c r="AF66" s="4"/>
      <x:c r="AG66" s="4" t="n">
        <x:f>IF('Calculations'!AG64=0,142+'Calculations'!AG40,128+('Calculations'!AG40-1)*7+'Calculations'!AG64)</x:f>
        <x:v>143</x:v>
      </x:c>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t="n">
        <x:f>IF('Calculations'!$EM66="",0,IF(OR(IFERROR(INDEX(INDIRECT("'WCM Calibration Final'!$A$1:$A$2000"),'Calculations'!$EM66)&lt;&gt;"",FALSE),IFERROR(INDEX(INDIRECT("'WCM Calibration Final'!$B$1:$B$2000"),'Calculations'!$EM66)&lt;&gt;"",FALSE),IFERROR(INDEX(INDIRECT("'WCM Calibration Final'!$C$1:$C$2000"),'Calculations'!$EM66)&lt;&gt;"",FALSE)),1,0))</x:f>
        <x:v>0</x:v>
      </x:c>
      <x:c r="BN66" s="4" t="n">
        <x:f>IF(AND('Calculations'!BM66=1,'Calculations'!$AG$2,'Calculations'!$EN66=1),1,0)</x:f>
        <x:v>0</x:v>
      </x:c>
      <x:c r="BO66" s="4" t="str">
        <x:f>IF('Calculations'!BM66=0,"",IFERROR(IF(AND(VALUE(INDEX(INDIRECT("'WCM Calibration Final'!$K$1:$K$2000"),'Calculations'!$EM66))&gt;=1,VALUE(INDEX(INDIRECT("'WCM Calibration Final'!$K$1:$K$2000"),'Calculations'!$EM66))&lt;=4,MOD(VALUE(INDEX(INDIRECT("'WCM Calibration Final'!$K$1:$K$2000"),'Calculations'!$EM66)),1)=0),VALUE(INDEX(INDIRECT("'WCM Calibration Final'!$K$1:$K$2000"),'Calculations'!$EM66)),""),""))</x:f>
      </x:c>
      <x:c r="BP66" s="4" t="str">
        <x:f>IF('Calculations'!BM66=0,"",IFERROR(IF(AND(VALUE(INDEX(INDIRECT("'WCM Calibration Final'!$L$1:$L$2000"),'Calculations'!$EM66))&gt;=1,VALUE(INDEX(INDIRECT("'WCM Calibration Final'!$L$1:$L$2000"),'Calculations'!$EM66))&lt;=4,MOD(VALUE(INDEX(INDIRECT("'WCM Calibration Final'!$L$1:$L$2000"),'Calculations'!$EM66)),1)=0),VALUE(INDEX(INDIRECT("'WCM Calibration Final'!$L$1:$L$2000"),'Calculations'!$EM66)),""),""))</x:f>
      </x:c>
      <x:c r="BQ66" s="4"/>
      <x:c r="BR66" s="4"/>
      <x:c r="BS66" s="4"/>
      <x:c r="BT66" s="4" t="n">
        <x:f>IF(AND('Calculations'!BM66=1,ISNUMBER('Calculations'!BO66),ISNUMBER('Calculations'!BP66)),1,0)</x:f>
        <x:v>0</x:v>
      </x:c>
      <x:c r="BU66" s="4" t="str">
        <x:f>IF('Calculations'!BM66=0,"",'Calculations'!$EO66)</x:f>
      </x:c>
      <x:c r="BV66" s="4" t="str">
        <x:f>IF('Calculations'!BM66=0,"",IFERROR(IF(OR(INDEX(INDIRECT("'WCM Calibration Final'!$H$1:$H$2000"),'Calculations'!$EM66)="MANAGING DIRECTOR",INDEX(INDIRECT("'WCM Calibration Final'!$H$1:$H$2000"),'Calculations'!$EM66)="DIRECTOR",INDEX(INDIRECT("'WCM Calibration Final'!$H$1:$H$2000"),'Calculations'!$EM66)="SENIOR VICE PRESIDENT",INDEX(INDIRECT("'WCM Calibration Final'!$H$1:$H$2000"),'Calculations'!$EM66)="VICE PRESIDENT",INDEX(INDIRECT("'WCM Calibration Final'!$H$1:$H$2000"),'Calculations'!$EM66)="ASSISTANT VICE PRESIDENT",INDEX(INDIRECT("'WCM Calibration Final'!$H$1:$H$2000"),'Calculations'!$EM66)="OFFICER"),UPPER(INDEX(INDIRECT("'WCM Calibration Final'!$H$1:$H$2000"),'Calculations'!$EM66)),"Other"),"Other"))</x:f>
      </x:c>
      <x:c r="BW66" s="4"/>
      <x:c r="BX66" s="4"/>
      <x:c r="BY66" s="4" t="n">
        <x:f>IF(AND('Calculations'!BM66=1,'Calculations'!BU66&lt;&gt;"",COUNTIF('Calculations'!$BU$12:BU66,'Calculations'!BU66)=1),MAX('Calculations'!$BY$11:BY65)+1,0)</x:f>
        <x:v>0</x:v>
      </x:c>
      <x:c r="BZ66" s="4" t="str">
        <x:f>IF('Dashboard'!$E$67="What",'Calculations'!BO66,'Calculations'!BP66)</x:f>
      </x:c>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t="str">
        <x:f>IF(55&gt;MAX('Calculations'!$HI$13:$HI$512),"",INDEX('Calculations'!$HN$13:$HN$512,MATCH(55,'Calculations'!$HI$13:$HI$512,0)))</x:f>
      </x:c>
      <x:c r="DB66" s="4" t="str">
        <x:f>IF(55&gt;MAX('Calculations'!$HH$13:$HH$512),"",INDEX('Calculations'!$HJ$13:$HJ$512,MATCH(55,'Calculations'!$HH$13:$HH$512,0)))</x:f>
      </x:c>
      <x:c r="DC66" s="4" t="str">
        <x:f>IF(ROW()-11&gt;MAX('Calculations'!$BY$13:$BY$512),"",INDEX('Calculations'!$BU$13:$BU$512,MATCH(ROW()-11,'Calculations'!$BY$13:$BY$512,0)))</x:f>
      </x:c>
      <x:c r="DD66" s="4" t="str">
        <x:f>IF(55&gt;MAX('Calculations'!$IK$13:$IK$512),"",INDEX('Calculations'!$HK$13:$HK$512,MATCH(55,'Calculations'!$IK$13:$IK$512,0)))</x:f>
      </x:c>
      <x:c r="DE66" s="4" t="str">
        <x:f>'Calculations'!DC66</x:f>
      </x:c>
      <x:c r="DF66" s="4" t="str">
        <x:f>IF('Calculations'!DE66="","",COUNTIFS('Calculations'!$BN$13:$BN$512,1,'Calculations'!$BU$13:$BU$512,'Calculations'!DE66))</x:f>
      </x:c>
      <x:c r="DG66" s="4" t="str">
        <x:f>IF('Calculations'!DE66="","",COUNTIFS('Calculations'!$BN$13:$BN$512,1,'Calculations'!$BU$13:$BU$512,'Calculations'!DE66,'Calculations'!$BT$13:$BT$512,1))</x:f>
      </x:c>
      <x:c r="DH66" s="4" t="str">
        <x:f>IF('Calculations'!DE66="","",'Calculations'!DF66-'Calculations'!DG66)</x:f>
      </x:c>
      <x:c r="DI66" s="4" t="str">
        <x:f>IF(OR('Calculations'!DE66="",'Calculations'!DF66=0),"",'Calculations'!DG66/'Calculations'!DF66)</x:f>
      </x:c>
      <x:c r="DJ66" s="4" t="str">
        <x:f>IF('Calculations'!DE66="","",COUNTIFS('Calculations'!$BN$13:$BN$512,1,'Calculations'!$BU$13:$BU$512,'Calculations'!DE66,'Calculations'!$BT$13:$BT$512,1,'Calculations'!$EE$13:$EE$512,"High"))</x:f>
      </x:c>
      <x:c r="DK66" s="4" t="str">
        <x:f>IF('Calculations'!DE66="","",COUNTIFS('Calculations'!$BN$13:$BN$512,1,'Calculations'!$BU$13:$BU$512,'Calculations'!DE66,'Calculations'!$BT$13:$BT$512,1,'Calculations'!$EE$13:$EE$512,"Strong"))</x:f>
      </x:c>
      <x:c r="DL66" s="4" t="str">
        <x:f>IF('Calculations'!DE66="","",COUNTIFS('Calculations'!$BN$13:$BN$512,1,'Calculations'!$BU$13:$BU$512,'Calculations'!DE66,'Calculations'!$BT$13:$BT$512,1,'Calculations'!$EE$13:$EE$512,"Solid"))</x:f>
      </x:c>
      <x:c r="DM66" s="4" t="str">
        <x:f>IF('Calculations'!DE66="","",COUNTIFS('Calculations'!$BN$13:$BN$512,1,'Calculations'!$BU$13:$BU$512,'Calculations'!DE66,'Calculations'!$BT$13:$BT$512,1,'Calculations'!$EE$13:$EE$512,"Low"))</x:f>
      </x:c>
      <x:c r="DN66" s="4" t="str">
        <x:f>IF('Calculations'!DE66="","",COUNTIFS('Calculations'!$BN$13:$BN$512,1,'Calculations'!$BU$13:$BU$512,'Calculations'!DE66,'Calculations'!$EP$13:$EP$512,1))</x:f>
      </x:c>
      <x:c r="DO66" s="4" t="str">
        <x:f>IF(OR('Calculations'!DE66="",'Calculations'!DG66=0),"",('Calculations'!DJ66+'Calculations'!DK66)/'Calculations'!DG66)</x:f>
      </x:c>
      <x:c r="DP66" s="4" t="n">
        <x:f>IF(AND('Calculations'!DE66&lt;&gt;"",'Calculations'!DF66&gt;0),COUNTIF('Calculations'!$DF$12:DF66,"&gt;0"),0)</x:f>
        <x:v>0</x:v>
      </x:c>
      <x:c r="DQ66" s="4" t="str">
        <x:f>IF(55&gt;MAX('Calculations'!$HH$13:$HH$512),"",INDEX('Calculations'!$HF$13:$HF$512,MATCH(55,'Calculations'!$HH$13:$HH$512,0)))</x:f>
      </x:c>
      <x:c r="DR66" s="4" t="str">
        <x:f>IF(55&gt;MAX('Calculations'!$IK$13:$IK$512),"",INDEX('Calculations'!$HE$13:$HE$512,MATCH(55,'Calculations'!$IK$13:$IK$512,0)))</x:f>
      </x:c>
      <x:c r="DS66" s="4"/>
      <x:c r="DT66" s="4"/>
      <x:c r="DU66" s="4"/>
      <x:c r="DV66" s="4"/>
      <x:c r="DW66" s="4"/>
      <x:c r="DX66" s="4"/>
      <x:c r="DY66" s="4" t="str">
        <x:f>TEXT('Calculations'!AG74,"0")</x:f>
        <x:v>0</x:v>
      </x:c>
      <x:c r="DZ66" s="4"/>
      <x:c r="EA66" s="4"/>
      <x:c r="EB66" s="4"/>
      <x:c r="EC66" s="4"/>
      <x:c r="ED66" s="4"/>
      <x:c r="EE66" s="4" t="str">
        <x:f>IF('Calculations'!BT66=0,"Not Rated",IF(OR('Calculations'!BO66&gt;=4,'Calculations'!BP66&gt;=4),"Low",IF('Calculations'!BO66+'Calculations'!BP66&lt;=3,"High",IF('Calculations'!BO66+'Calculations'!BP66&lt;=4,"Strong","Solid"))))</x:f>
        <x:v>Not Rated</x:v>
      </x:c>
      <x:c r="EF66" s="4"/>
      <x:c r="EG66" s="4"/>
      <x:c r="EH66" s="4"/>
      <x:c r="EI66" s="4"/>
      <x:c r="EJ66" s="4"/>
      <x:c r="EK66" s="4"/>
      <x:c r="EL66" s="4"/>
      <x:c r="EM66" s="4" t="str">
        <x:f>IF(54&gt;'Calculations'!$JB$2000,"",INDEX('Calculations'!$JA$12:$JA$2000,MATCH(54,'Calculations'!$JB$12:$JB$2000,0)))</x:f>
      </x:c>
      <x:c r="EN66" s="4" t="n">
        <x:f>IF(OR('Calculations'!EM66="",'Calculations'!$AG$8&gt;0,AND('Calculations'!$EF$2&lt;&gt;"All",'Calculations'!HE66='Calculations'!$EF$2),AND('Calculations'!$EF$3&lt;&gt;"All",'Calculations'!HE66='Calculations'!$EF$3)),0,IF(OR('Dashboard'!$B$7="All",'Calculations'!HN66='Dashboard'!$B$7),IF('Calculations'!$EF$2="All",1,IF('Calculations'!HL66&gt;0,0,IF(COUNTIF('Calculations'!HO66:II66,"="&amp;SUBSTITUTE(SUBSTITUTE(SUBSTITUTE('Calculations'!$EF$2,"~","~~"),"*","~*"),"?","~?"))=0,0,IF('Calculations'!$EF$3="All",1,IF(COUNTIF('Calculations'!HO66:II66,"="&amp;SUBSTITUTE(SUBSTITUTE(SUBSTITUTE('Calculations'!$EF$3,"~","~~"),"*","~*"),"?","~?"))&gt;0,1,0))))),0))</x:f>
        <x:v>0</x:v>
      </x:c>
      <x:c r="EO66" s="4" t="str">
        <x:f>IF('Calculations'!IJ66="","",IF('Calculations'!IJ66="!UNRESOLVED","Unresolved hierarchy",IFERROR(INDEX('Calculations'!$HK$13:$HK$512,MATCH('Calculations'!IJ66,'Calculations'!$HE$13:$HE$512,0)),IFERROR(INDEX('Calculations'!$HJ$13:$HJ$512,MATCH('Calculations'!IJ66,'Calculations'!$HF$13:$HF$512,0)),'Calculations'!IJ66))))</x:f>
      </x:c>
      <x:c r="EP66" s="4" t="n">
        <x:f>IF(AND('Calculations'!EM66&lt;&gt;"",'Calculations'!HF66='Calculations'!IJ66),1,0)</x:f>
        <x:v>0</x:v>
      </x:c>
      <x:c r="EQ66" s="4"/>
      <x:c r="ER66" s="4"/>
      <x:c r="ES66" s="4"/>
      <x:c r="ET66" s="4"/>
      <x:c r="EU66" s="4"/>
      <x:c r="EV66" s="4"/>
      <x:c r="EW66" s="4"/>
      <x:c r="EX66" s="4"/>
      <x:c r="EY66" s="4"/>
      <x:c r="EZ66" s="4"/>
      <x:c r="FA66" s="4"/>
      <x:c r="FB66" s="4"/>
      <x:c r="FC66" s="4"/>
      <x:c r="FD66" s="4"/>
      <x:c r="FE66" s="4"/>
      <x:c r="FF66" s="4"/>
      <x:c r="FG66" s="4"/>
      <x:c r="FH66" s="4"/>
      <x:c r="FI66" s="4"/>
      <x:c r="FJ66" s="4"/>
      <x:c r="FK66" s="4"/>
      <x:c r="FL66" s="4"/>
      <x:c r="FM66" s="4"/>
      <x:c r="FN66" s="4"/>
      <x:c r="FO66" s="4"/>
      <x:c r="GA66" s="71"/>
      <x:c r="GB66" s="71"/>
      <x:c r="GC66" s="71"/>
      <x:c r="GD66" s="71"/>
      <x:c r="GE66" s="71"/>
      <x:c r="GF66" s="71"/>
      <x:c r="GG66" s="71"/>
      <x:c r="GH66" s="71"/>
      <x:c r="GI66" s="71"/>
      <x:c r="GJ66" s="71"/>
      <x:c r="GK66" s="71"/>
      <x:c r="GL66" s="71"/>
      <x:c r="GM66" s="71"/>
      <x:c r="GN66" s="71"/>
      <x:c r="GO66" s="71"/>
      <x:c r="GP66" s="71"/>
      <x:c r="GQ66" s="71"/>
      <x:c r="GR66" s="71"/>
      <x:c r="GS66" s="71"/>
      <x:c r="GT66" s="71"/>
      <x:c r="GU66" s="71"/>
      <x:c r="GV66" s="71"/>
      <x:c r="GW66" s="71"/>
      <x:c r="GX66" s="71"/>
      <x:c r="GY66" s="71"/>
      <x:c r="GZ66" s="71"/>
      <x:c r="HA66" s="71"/>
      <x:c r="HB66" s="71"/>
      <x:c r="HC66" s="71"/>
      <x:c r="HD66" s="71"/>
      <x:c r="HE66" t="str">
        <x:f>IF('Calculations'!EM66="","",IF(IFERROR(IF(INDEX(INDIRECT("'WCM Calibration Final'!$A$1:$A$2000"),'Calculations'!$EM66)="","",TRIM(INDEX(INDIRECT("'WCM Calibration Final'!$A$1:$A$2000"),'Calculations'!$EM66)&amp;"")),"")&lt;&gt;"","G:"&amp;IFERROR(TEXT(1*INDEX(INDIRECT("'WCM Calibration Final'!$A$1:$A$2000"),'Calculations'!$EM66),"0"),UPPER(IFERROR(IF(INDEX(INDIRECT("'WCM Calibration Final'!$A$1:$A$2000"),'Calculations'!$EM66)="","",TRIM(INDEX(INDIRECT("'WCM Calibration Final'!$A$1:$A$2000"),'Calculations'!$EM66)&amp;"")),""))),IF(IFERROR(IF(INDEX(INDIRECT("'WCM Calibration Final'!$C$1:$C$2000"),'Calculations'!$EM66)="","",TRIM(INDEX(INDIRECT("'WCM Calibration Final'!$C$1:$C$2000"),'Calculations'!$EM66)&amp;"")),"")&lt;&gt;"","S:"&amp;UPPER(IFERROR(IF(INDEX(INDIRECT("'WCM Calibration Final'!$C$1:$C$2000"),'Calculations'!$EM66)="","",TRIM(INDEX(INDIRECT("'WCM Calibration Final'!$C$1:$C$2000"),'Calculations'!$EM66)&amp;"")),"")),"R:"&amp;'Calculations'!EM66)))</x:f>
      </x:c>
      <x:c r="HF66" t="str">
        <x:f>IF('Calculations'!EM66="","",IF(IFERROR(IF(INDEX(INDIRECT("'WCM Calibration Final'!$D$1:$D$2000"),'Calculations'!$EM66)="","",TRIM(INDEX(INDIRECT("'WCM Calibration Final'!$D$1:$D$2000"),'Calculations'!$EM66)&amp;"")),"")&lt;&gt;"","G:"&amp;IFERROR(TEXT(1*INDEX(INDIRECT("'WCM Calibration Final'!$D$1:$D$2000"),'Calculations'!$EM66),"0"),UPPER(IFERROR(IF(INDEX(INDIRECT("'WCM Calibration Final'!$D$1:$D$2000"),'Calculations'!$EM66)="","",TRIM(INDEX(INDIRECT("'WCM Calibration Final'!$D$1:$D$2000"),'Calculations'!$EM66)&amp;"")),""))),IF(IFERROR(IF(INDEX(INDIRECT("'WCM Calibration Final'!$E$1:$E$2000"),'Calculations'!$EM66)="","",TRIM(INDEX(INDIRECT("'WCM Calibration Final'!$E$1:$E$2000"),'Calculations'!$EM66)&amp;"")),"")="","",IF(COUNTIF('Calculations'!$HG$13:$HG$512,"="&amp;SUBSTITUTE(SUBSTITUTE(SUBSTITUTE(IFERROR(IF(INDEX(INDIRECT("'WCM Calibration Final'!$E$1:$E$2000"),'Calculations'!$EM66)="","",TRIM(INDEX(INDIRECT("'WCM Calibration Final'!$E$1:$E$2000"),'Calculations'!$EM66)&amp;"")),""),"~","~~"),"*","~*"),"?","~?"))=1,INDEX('Calculations'!$HE$13:$HE$512,MATCH(IFERROR(IF(INDEX(INDIRECT("'WCM Calibration Final'!$E$1:$E$2000"),'Calculations'!$EM66)="","",TRIM(INDEX(INDIRECT("'WCM Calibration Final'!$E$1:$E$2000"),'Calculations'!$EM66)&amp;"")),""),'Calculations'!$HG$13:$HG$512,0)),IF(COUNTIF('Calculations'!$HG$13:$HG$512,"="&amp;SUBSTITUTE(SUBSTITUTE(SUBSTITUTE(IFERROR(IF(INDEX(INDIRECT("'WCM Calibration Final'!$E$1:$E$2000"),'Calculations'!$EM66)="","",TRIM(INDEX(INDIRECT("'WCM Calibration Final'!$E$1:$E$2000"),'Calculations'!$EM66)&amp;"")),""),"~","~~"),"*","~*"),"?","~?"))&gt;1,"!AMBIG","X:"&amp;IFERROR(IF(INDEX(INDIRECT("'WCM Calibration Final'!$E$1:$E$2000"),'Calculations'!$EM66)="","",TRIM(INDEX(INDIRECT("'WCM Calibration Final'!$E$1:$E$2000"),'Calculations'!$EM66)&amp;"")),""))))))</x:f>
      </x:c>
      <x:c r="HG66" t="str">
        <x:f>IF('Calculations'!EM66="","",IFERROR(IF(INDEX(INDIRECT("'WCM Calibration Final'!$B$1:$B$2000"),'Calculations'!$EM66)="","",TRIM(INDEX(INDIRECT("'WCM Calibration Final'!$B$1:$B$2000"),'Calculations'!$EM66)&amp;"")),""))</x:f>
      </x:c>
      <x:c r="HH66" t="n">
        <x:f>IF(AND('Calculations'!JC66&gt;0,COUNTIF('Calculations'!$HF$12:HF66,"="&amp;SUBSTITUTE(SUBSTITUTE(SUBSTITUTE('Calculations'!HF66,"~","~~"),"*","~*"),"?","~?"))=1),MAX('Calculations'!$HH$12:HH65)+1,0)</x:f>
        <x:v>0</x:v>
      </x:c>
      <x:c r="HI66" t="n">
        <x:f>IF(AND('Calculations'!HN66&lt;&gt;"",COUNTIF('Calculations'!$HN$12:HN66,"="&amp;SUBSTITUTE(SUBSTITUTE(SUBSTITUTE('Calculations'!HN66,"~","~~"),"*","~*"),"?","~?"))=1),MAX('Calculations'!$HI$12:HI65)+1,0)</x:f>
        <x:v>0</x:v>
      </x:c>
      <x:c r="HJ66" t="str">
        <x:f>IF('Calculations'!HF66="","",IF(COUNTIF('Calculations'!$HE$13:$HE$512,"="&amp;SUBSTITUTE(SUBSTITUTE(SUBSTITUTE('Calculations'!HF66,"~","~~"),"*","~*"),"?","~?"))=1,INDEX('Calculations'!$HK$13:$HK$512,MATCH('Calculations'!HF66,'Calculations'!$HE$13:$HE$512,0)),IFERROR(IF(INDEX(INDIRECT("'WCM Calibration Final'!$E$1:$E$2000"),'Calculations'!$EM66)="","",TRIM(INDEX(INDIRECT("'WCM Calibration Final'!$E$1:$E$2000"),'Calculations'!$EM66)&amp;"")),"")&amp;" ["&amp;'Calculations'!HF66&amp;"]"))</x:f>
      </x:c>
      <x:c r="HK66" t="str">
        <x:f>IF('Calculations'!EM66="","",'Calculations'!HG66&amp;" ["&amp;'Calculations'!HE66&amp;"]")</x:f>
      </x:c>
      <x:c r="HL66" t="n">
        <x:f>IF('Calculations'!EM66="",0,IF(OR('Calculations'!II66&lt;&gt;"",COUNTIF('Calculations'!$HE$13:$HE$512,"="&amp;SUBSTITUTE(SUBSTITUTE(SUBSTITUTE('Calculations'!HE66,"~","~~"),"*","~*"),"?","~?"))&gt;1),1,0))</x:f>
        <x:v>0</x:v>
      </x:c>
      <x:c r="HM66" t="str">
        <x:f>IF('Calculations'!EM66="","",IF('Calculations'!HL66=1,"!UNRESOLVED",IF('Calculations'!IH66&lt;&gt;"",'Calculations'!IH66,IF('Calculations'!IG66&lt;&gt;"",'Calculations'!IG66,IF('Calculations'!IF66&lt;&gt;"",'Calculations'!IF66,IF('Calculations'!IE66&lt;&gt;"",'Calculations'!IE66,IF('Calculations'!ID66&lt;&gt;"",'Calculations'!ID66,IF('Calculations'!IC66&lt;&gt;"",'Calculations'!IC66,IF('Calculations'!IB66&lt;&gt;"",'Calculations'!IB66,IF('Calculations'!IA66&lt;&gt;"",'Calculations'!IA66,IF('Calculations'!HZ66&lt;&gt;"",'Calculations'!HZ66,IF('Calculations'!HY66&lt;&gt;"",'Calculations'!HY66,IF('Calculations'!HX66&lt;&gt;"",'Calculations'!HX66,IF('Calculations'!HW66&lt;&gt;"",'Calculations'!HW66,IF('Calculations'!HV66&lt;&gt;"",'Calculations'!HV66,IF('Calculations'!HU66&lt;&gt;"",'Calculations'!HU66,IF('Calculations'!HT66&lt;&gt;"",'Calculations'!HT66,IF('Calculations'!HS66&lt;&gt;"",'Calculations'!HS66,IF('Calculations'!HR66&lt;&gt;"",'Calculations'!HR66,IF('Calculations'!HQ66&lt;&gt;"",'Calculations'!HQ66,IF('Calculations'!HP66&lt;&gt;"",'Calculations'!HP66,IF('Calculations'!HO66&lt;&gt;"",'Calculations'!HO66,'Calculations'!HE66))))))))))))))))))))))</x:f>
      </x:c>
      <x:c r="HN66" t="str">
        <x:f>IF('Calculations'!EM66="","",IF(IFERROR(IF(INDEX(INDIRECT("'WCM Calibration Final'!$F$1:$F$2000"),'Calculations'!$EM66)="","",TRIM(INDEX(INDIRECT("'WCM Calibration Final'!$F$1:$F$2000"),'Calculations'!$EM66)&amp;"")),"")="","(Blank)",IFERROR(IF(INDEX(INDIRECT("'WCM Calibration Final'!$F$1:$F$2000"),'Calculations'!$EM66)="","",TRIM(INDEX(INDIRECT("'WCM Calibration Final'!$F$1:$F$2000"),'Calculations'!$EM66)&amp;"")),"")))</x:f>
      </x:c>
      <x:c r="HO66" t="str">
        <x:f>'Calculations'!HF66</x:f>
      </x:c>
      <x:c r="HP66" t="str">
        <x:f>IF('Calculations'!HO66="","",IF('Calculations'!HO66="!AMBIG","!AMBIG",IF(COUNTIF('Calculations'!$HE$13:$HE$512,"="&amp;SUBSTITUTE(SUBSTITUTE(SUBSTITUTE('Calculations'!HO66,"~","~~"),"*","~*"),"?","~?"))&gt;1,"!AMBIG",IFERROR(INDEX('Calculations'!$HF$13:$HF$512,MATCH('Calculations'!HO66,'Calculations'!$HE$13:$HE$512,0)),""))))</x:f>
      </x:c>
      <x:c r="HQ66" t="str">
        <x:f>IF('Calculations'!HP66="","",IF('Calculations'!HP66="!AMBIG","!AMBIG",IF(COUNTIF('Calculations'!$HE$13:$HE$512,"="&amp;SUBSTITUTE(SUBSTITUTE(SUBSTITUTE('Calculations'!HP66,"~","~~"),"*","~*"),"?","~?"))&gt;1,"!AMBIG",IFERROR(INDEX('Calculations'!$HF$13:$HF$512,MATCH('Calculations'!HP66,'Calculations'!$HE$13:$HE$512,0)),""))))</x:f>
      </x:c>
      <x:c r="HR66" t="str">
        <x:f>IF('Calculations'!HQ66="","",IF('Calculations'!HQ66="!AMBIG","!AMBIG",IF(COUNTIF('Calculations'!$HE$13:$HE$512,"="&amp;SUBSTITUTE(SUBSTITUTE(SUBSTITUTE('Calculations'!HQ66,"~","~~"),"*","~*"),"?","~?"))&gt;1,"!AMBIG",IFERROR(INDEX('Calculations'!$HF$13:$HF$512,MATCH('Calculations'!HQ66,'Calculations'!$HE$13:$HE$512,0)),""))))</x:f>
      </x:c>
      <x:c r="HS66" t="str">
        <x:f>IF('Calculations'!HR66="","",IF('Calculations'!HR66="!AMBIG","!AMBIG",IF(COUNTIF('Calculations'!$HE$13:$HE$512,"="&amp;SUBSTITUTE(SUBSTITUTE(SUBSTITUTE('Calculations'!HR66,"~","~~"),"*","~*"),"?","~?"))&gt;1,"!AMBIG",IFERROR(INDEX('Calculations'!$HF$13:$HF$512,MATCH('Calculations'!HR66,'Calculations'!$HE$13:$HE$512,0)),""))))</x:f>
      </x:c>
      <x:c r="HT66" t="str">
        <x:f>IF('Calculations'!HS66="","",IF('Calculations'!HS66="!AMBIG","!AMBIG",IF(COUNTIF('Calculations'!$HE$13:$HE$512,"="&amp;SUBSTITUTE(SUBSTITUTE(SUBSTITUTE('Calculations'!HS66,"~","~~"),"*","~*"),"?","~?"))&gt;1,"!AMBIG",IFERROR(INDEX('Calculations'!$HF$13:$HF$512,MATCH('Calculations'!HS66,'Calculations'!$HE$13:$HE$512,0)),""))))</x:f>
      </x:c>
      <x:c r="HU66" t="str">
        <x:f>IF('Calculations'!HT66="","",IF('Calculations'!HT66="!AMBIG","!AMBIG",IF(COUNTIF('Calculations'!$HE$13:$HE$512,"="&amp;SUBSTITUTE(SUBSTITUTE(SUBSTITUTE('Calculations'!HT66,"~","~~"),"*","~*"),"?","~?"))&gt;1,"!AMBIG",IFERROR(INDEX('Calculations'!$HF$13:$HF$512,MATCH('Calculations'!HT66,'Calculations'!$HE$13:$HE$512,0)),""))))</x:f>
      </x:c>
      <x:c r="HV66" t="str">
        <x:f>IF('Calculations'!HU66="","",IF('Calculations'!HU66="!AMBIG","!AMBIG",IF(COUNTIF('Calculations'!$HE$13:$HE$512,"="&amp;SUBSTITUTE(SUBSTITUTE(SUBSTITUTE('Calculations'!HU66,"~","~~"),"*","~*"),"?","~?"))&gt;1,"!AMBIG",IFERROR(INDEX('Calculations'!$HF$13:$HF$512,MATCH('Calculations'!HU66,'Calculations'!$HE$13:$HE$512,0)),""))))</x:f>
      </x:c>
      <x:c r="HW66" t="str">
        <x:f>IF('Calculations'!HV66="","",IF('Calculations'!HV66="!AMBIG","!AMBIG",IF(COUNTIF('Calculations'!$HE$13:$HE$512,"="&amp;SUBSTITUTE(SUBSTITUTE(SUBSTITUTE('Calculations'!HV66,"~","~~"),"*","~*"),"?","~?"))&gt;1,"!AMBIG",IFERROR(INDEX('Calculations'!$HF$13:$HF$512,MATCH('Calculations'!HV66,'Calculations'!$HE$13:$HE$512,0)),""))))</x:f>
      </x:c>
      <x:c r="HX66" t="str">
        <x:f>IF('Calculations'!HW66="","",IF('Calculations'!HW66="!AMBIG","!AMBIG",IF(COUNTIF('Calculations'!$HE$13:$HE$512,"="&amp;SUBSTITUTE(SUBSTITUTE(SUBSTITUTE('Calculations'!HW66,"~","~~"),"*","~*"),"?","~?"))&gt;1,"!AMBIG",IFERROR(INDEX('Calculations'!$HF$13:$HF$512,MATCH('Calculations'!HW66,'Calculations'!$HE$13:$HE$512,0)),""))))</x:f>
      </x:c>
      <x:c r="HY66" t="str">
        <x:f>IF('Calculations'!HX66="","",IF('Calculations'!HX66="!AMBIG","!AMBIG",IF(COUNTIF('Calculations'!$HE$13:$HE$512,"="&amp;SUBSTITUTE(SUBSTITUTE(SUBSTITUTE('Calculations'!HX66,"~","~~"),"*","~*"),"?","~?"))&gt;1,"!AMBIG",IFERROR(INDEX('Calculations'!$HF$13:$HF$512,MATCH('Calculations'!HX66,'Calculations'!$HE$13:$HE$512,0)),""))))</x:f>
      </x:c>
      <x:c r="HZ66" t="str">
        <x:f>IF('Calculations'!HY66="","",IF('Calculations'!HY66="!AMBIG","!AMBIG",IF(COUNTIF('Calculations'!$HE$13:$HE$512,"="&amp;SUBSTITUTE(SUBSTITUTE(SUBSTITUTE('Calculations'!HY66,"~","~~"),"*","~*"),"?","~?"))&gt;1,"!AMBIG",IFERROR(INDEX('Calculations'!$HF$13:$HF$512,MATCH('Calculations'!HY66,'Calculations'!$HE$13:$HE$512,0)),""))))</x:f>
      </x:c>
      <x:c r="IA66" t="str">
        <x:f>IF('Calculations'!HZ66="","",IF('Calculations'!HZ66="!AMBIG","!AMBIG",IF(COUNTIF('Calculations'!$HE$13:$HE$512,"="&amp;SUBSTITUTE(SUBSTITUTE(SUBSTITUTE('Calculations'!HZ66,"~","~~"),"*","~*"),"?","~?"))&gt;1,"!AMBIG",IFERROR(INDEX('Calculations'!$HF$13:$HF$512,MATCH('Calculations'!HZ66,'Calculations'!$HE$13:$HE$512,0)),""))))</x:f>
      </x:c>
      <x:c r="IB66" t="str">
        <x:f>IF('Calculations'!IA66="","",IF('Calculations'!IA66="!AMBIG","!AMBIG",IF(COUNTIF('Calculations'!$HE$13:$HE$512,"="&amp;SUBSTITUTE(SUBSTITUTE(SUBSTITUTE('Calculations'!IA66,"~","~~"),"*","~*"),"?","~?"))&gt;1,"!AMBIG",IFERROR(INDEX('Calculations'!$HF$13:$HF$512,MATCH('Calculations'!IA66,'Calculations'!$HE$13:$HE$512,0)),""))))</x:f>
      </x:c>
      <x:c r="IC66" t="str">
        <x:f>IF('Calculations'!IB66="","",IF('Calculations'!IB66="!AMBIG","!AMBIG",IF(COUNTIF('Calculations'!$HE$13:$HE$512,"="&amp;SUBSTITUTE(SUBSTITUTE(SUBSTITUTE('Calculations'!IB66,"~","~~"),"*","~*"),"?","~?"))&gt;1,"!AMBIG",IFERROR(INDEX('Calculations'!$HF$13:$HF$512,MATCH('Calculations'!IB66,'Calculations'!$HE$13:$HE$512,0)),""))))</x:f>
      </x:c>
      <x:c r="ID66" t="str">
        <x:f>IF('Calculations'!IC66="","",IF('Calculations'!IC66="!AMBIG","!AMBIG",IF(COUNTIF('Calculations'!$HE$13:$HE$512,"="&amp;SUBSTITUTE(SUBSTITUTE(SUBSTITUTE('Calculations'!IC66,"~","~~"),"*","~*"),"?","~?"))&gt;1,"!AMBIG",IFERROR(INDEX('Calculations'!$HF$13:$HF$512,MATCH('Calculations'!IC66,'Calculations'!$HE$13:$HE$512,0)),""))))</x:f>
      </x:c>
      <x:c r="IE66" t="str">
        <x:f>IF('Calculations'!ID66="","",IF('Calculations'!ID66="!AMBIG","!AMBIG",IF(COUNTIF('Calculations'!$HE$13:$HE$512,"="&amp;SUBSTITUTE(SUBSTITUTE(SUBSTITUTE('Calculations'!ID66,"~","~~"),"*","~*"),"?","~?"))&gt;1,"!AMBIG",IFERROR(INDEX('Calculations'!$HF$13:$HF$512,MATCH('Calculations'!ID66,'Calculations'!$HE$13:$HE$512,0)),""))))</x:f>
      </x:c>
      <x:c r="IF66" t="str">
        <x:f>IF('Calculations'!IE66="","",IF('Calculations'!IE66="!AMBIG","!AMBIG",IF(COUNTIF('Calculations'!$HE$13:$HE$512,"="&amp;SUBSTITUTE(SUBSTITUTE(SUBSTITUTE('Calculations'!IE66,"~","~~"),"*","~*"),"?","~?"))&gt;1,"!AMBIG",IFERROR(INDEX('Calculations'!$HF$13:$HF$512,MATCH('Calculations'!IE66,'Calculations'!$HE$13:$HE$512,0)),""))))</x:f>
      </x:c>
      <x:c r="IG66" t="str">
        <x:f>IF('Calculations'!IF66="","",IF('Calculations'!IF66="!AMBIG","!AMBIG",IF(COUNTIF('Calculations'!$HE$13:$HE$512,"="&amp;SUBSTITUTE(SUBSTITUTE(SUBSTITUTE('Calculations'!IF66,"~","~~"),"*","~*"),"?","~?"))&gt;1,"!AMBIG",IFERROR(INDEX('Calculations'!$HF$13:$HF$512,MATCH('Calculations'!IF66,'Calculations'!$HE$13:$HE$512,0)),""))))</x:f>
      </x:c>
      <x:c r="IH66" t="str">
        <x:f>IF('Calculations'!IG66="","",IF('Calculations'!IG66="!AMBIG","!AMBIG",IF(COUNTIF('Calculations'!$HE$13:$HE$512,"="&amp;SUBSTITUTE(SUBSTITUTE(SUBSTITUTE('Calculations'!IG66,"~","~~"),"*","~*"),"?","~?"))&gt;1,"!AMBIG",IFERROR(INDEX('Calculations'!$HF$13:$HF$512,MATCH('Calculations'!IG66,'Calculations'!$HE$13:$HE$512,0)),""))))</x:f>
      </x:c>
      <x:c r="II66" t="str">
        <x:f>IF('Calculations'!IH66="","",IF('Calculations'!IH66="!AMBIG","!AMBIG",IF(COUNTIF('Calculations'!$HE$13:$HE$512,"="&amp;SUBSTITUTE(SUBSTITUTE(SUBSTITUTE('Calculations'!IH66,"~","~~"),"*","~*"),"?","~?"))&gt;1,"!AMBIG",IFERROR(INDEX('Calculations'!$HF$13:$HF$512,MATCH('Calculations'!IH66,'Calculations'!$HE$13:$HE$512,0)),""))))</x:f>
      </x:c>
      <x:c r="IJ66" t="str">
        <x:f>IF('Calculations'!EM66="","",IF('Calculations'!$EF$2="All",'Calculations'!HM66,IF('Calculations'!HL66=1,"",IFERROR(IF(MATCH('Calculations'!$EF$2,'Calculations'!HO66:II66,0)=1,'Calculations'!HE66,INDEX('Calculations'!HO66:II66,1,MATCH('Calculations'!$EF$2,'Calculations'!HO66:II66,0)-1)),""))))</x:f>
      </x:c>
      <x:c r="IK66" t="n">
        <x:f>IF(AND('Calculations'!EM66&lt;&gt;"",'Calculations'!$EF$2&lt;&gt;"All",'Calculations'!HF66='Calculations'!$EF$2,'Calculations'!HL66=0,'Calculations'!JD66&gt;0),MAX('Calculations'!$IK$12:IK65)+1,0)</x:f>
        <x:v>0</x:v>
      </x:c>
      <x:c r="JA66" t="n">
        <x:f>IF(OR(IFERROR(INDIRECT("'WCM Calibration Final'!$A$66")&lt;&gt;"",FALSE),IFERROR(INDIRECT("'WCM Calibration Final'!$B$66")&lt;&gt;"",FALSE),IFERROR(INDIRECT("'WCM Calibration Final'!$C$66")&lt;&gt;"",FALSE)),66,0)</x:f>
        <x:v>0</x:v>
      </x:c>
      <x:c r="JB66" t="n">
        <x:f>'Calculations'!JB65+IF('Calculations'!JA66&gt;0,1,0)</x:f>
        <x:v>0</x:v>
      </x:c>
      <x:c r="JC66" t="n">
        <x:f>IF(OR('Calculations'!HF66="",'Calculations'!HF66="!AMBIG"),0,IF('Dashboard'!$B$7="All",1,COUNTIFS('Calculations'!$HO$13:$HO$512,"="&amp;SUBSTITUTE(SUBSTITUTE(SUBSTITUTE('Calculations'!HF66,"~","~~"),"*","~*"),"?","~?"),'Calculations'!$HN$13:$HN$512,"="&amp;SUBSTITUTE(SUBSTITUTE(SUBSTITUTE('Dashboard'!$B$7,"~","~~"),"*","~*"),"?","~?"))+COUNTIFS('Calculations'!$HP$13:$HP$512,"="&amp;SUBSTITUTE(SUBSTITUTE(SUBSTITUTE('Calculations'!HF66,"~","~~"),"*","~*"),"?","~?"),'Calculations'!$HN$13:$HN$512,"="&amp;SUBSTITUTE(SUBSTITUTE(SUBSTITUTE('Dashboard'!$B$7,"~","~~"),"*","~*"),"?","~?"))+COUNTIFS('Calculations'!$HQ$13:$HQ$512,"="&amp;SUBSTITUTE(SUBSTITUTE(SUBSTITUTE('Calculations'!HF66,"~","~~"),"*","~*"),"?","~?"),'Calculations'!$HN$13:$HN$512,"="&amp;SUBSTITUTE(SUBSTITUTE(SUBSTITUTE('Dashboard'!$B$7,"~","~~"),"*","~*"),"?","~?"))+COUNTIFS('Calculations'!$HR$13:$HR$512,"="&amp;SUBSTITUTE(SUBSTITUTE(SUBSTITUTE('Calculations'!HF66,"~","~~"),"*","~*"),"?","~?"),'Calculations'!$HN$13:$HN$512,"="&amp;SUBSTITUTE(SUBSTITUTE(SUBSTITUTE('Dashboard'!$B$7,"~","~~"),"*","~*"),"?","~?"))+COUNTIFS('Calculations'!$HS$13:$HS$512,"="&amp;SUBSTITUTE(SUBSTITUTE(SUBSTITUTE('Calculations'!HF66,"~","~~"),"*","~*"),"?","~?"),'Calculations'!$HN$13:$HN$512,"="&amp;SUBSTITUTE(SUBSTITUTE(SUBSTITUTE('Dashboard'!$B$7,"~","~~"),"*","~*"),"?","~?"))+COUNTIFS('Calculations'!$HT$13:$HT$512,"="&amp;SUBSTITUTE(SUBSTITUTE(SUBSTITUTE('Calculations'!HF66,"~","~~"),"*","~*"),"?","~?"),'Calculations'!$HN$13:$HN$512,"="&amp;SUBSTITUTE(SUBSTITUTE(SUBSTITUTE('Dashboard'!$B$7,"~","~~"),"*","~*"),"?","~?"))+COUNTIFS('Calculations'!$HU$13:$HU$512,"="&amp;SUBSTITUTE(SUBSTITUTE(SUBSTITUTE('Calculations'!HF66,"~","~~"),"*","~*"),"?","~?"),'Calculations'!$HN$13:$HN$512,"="&amp;SUBSTITUTE(SUBSTITUTE(SUBSTITUTE('Dashboard'!$B$7,"~","~~"),"*","~*"),"?","~?"))+COUNTIFS('Calculations'!$HV$13:$HV$512,"="&amp;SUBSTITUTE(SUBSTITUTE(SUBSTITUTE('Calculations'!HF66,"~","~~"),"*","~*"),"?","~?"),'Calculations'!$HN$13:$HN$512,"="&amp;SUBSTITUTE(SUBSTITUTE(SUBSTITUTE('Dashboard'!$B$7,"~","~~"),"*","~*"),"?","~?"))+COUNTIFS('Calculations'!$HW$13:$HW$512,"="&amp;SUBSTITUTE(SUBSTITUTE(SUBSTITUTE('Calculations'!HF66,"~","~~"),"*","~*"),"?","~?"),'Calculations'!$HN$13:$HN$512,"="&amp;SUBSTITUTE(SUBSTITUTE(SUBSTITUTE('Dashboard'!$B$7,"~","~~"),"*","~*"),"?","~?"))+COUNTIFS('Calculations'!$HX$13:$HX$512,"="&amp;SUBSTITUTE(SUBSTITUTE(SUBSTITUTE('Calculations'!HF66,"~","~~"),"*","~*"),"?","~?"),'Calculations'!$HN$13:$HN$512,"="&amp;SUBSTITUTE(SUBSTITUTE(SUBSTITUTE('Dashboard'!$B$7,"~","~~"),"*","~*"),"?","~?"))+COUNTIFS('Calculations'!$HY$13:$HY$512,"="&amp;SUBSTITUTE(SUBSTITUTE(SUBSTITUTE('Calculations'!HF66,"~","~~"),"*","~*"),"?","~?"),'Calculations'!$HN$13:$HN$512,"="&amp;SUBSTITUTE(SUBSTITUTE(SUBSTITUTE('Dashboard'!$B$7,"~","~~"),"*","~*"),"?","~?"))+COUNTIFS('Calculations'!$HZ$13:$HZ$512,"="&amp;SUBSTITUTE(SUBSTITUTE(SUBSTITUTE('Calculations'!HF66,"~","~~"),"*","~*"),"?","~?"),'Calculations'!$HN$13:$HN$512,"="&amp;SUBSTITUTE(SUBSTITUTE(SUBSTITUTE('Dashboard'!$B$7,"~","~~"),"*","~*"),"?","~?"))+COUNTIFS('Calculations'!$IA$13:$IA$512,"="&amp;SUBSTITUTE(SUBSTITUTE(SUBSTITUTE('Calculations'!HF66,"~","~~"),"*","~*"),"?","~?"),'Calculations'!$HN$13:$HN$512,"="&amp;SUBSTITUTE(SUBSTITUTE(SUBSTITUTE('Dashboard'!$B$7,"~","~~"),"*","~*"),"?","~?"))+COUNTIFS('Calculations'!$IB$13:$IB$512,"="&amp;SUBSTITUTE(SUBSTITUTE(SUBSTITUTE('Calculations'!HF66,"~","~~"),"*","~*"),"?","~?"),'Calculations'!$HN$13:$HN$512,"="&amp;SUBSTITUTE(SUBSTITUTE(SUBSTITUTE('Dashboard'!$B$7,"~","~~"),"*","~*"),"?","~?"))+COUNTIFS('Calculations'!$IC$13:$IC$512,"="&amp;SUBSTITUTE(SUBSTITUTE(SUBSTITUTE('Calculations'!HF66,"~","~~"),"*","~*"),"?","~?"),'Calculations'!$HN$13:$HN$512,"="&amp;SUBSTITUTE(SUBSTITUTE(SUBSTITUTE('Dashboard'!$B$7,"~","~~"),"*","~*"),"?","~?"))+COUNTIFS('Calculations'!$ID$13:$ID$512,"="&amp;SUBSTITUTE(SUBSTITUTE(SUBSTITUTE('Calculations'!HF66,"~","~~"),"*","~*"),"?","~?"),'Calculations'!$HN$13:$HN$512,"="&amp;SUBSTITUTE(SUBSTITUTE(SUBSTITUTE('Dashboard'!$B$7,"~","~~"),"*","~*"),"?","~?"))+COUNTIFS('Calculations'!$IE$13:$IE$512,"="&amp;SUBSTITUTE(SUBSTITUTE(SUBSTITUTE('Calculations'!HF66,"~","~~"),"*","~*"),"?","~?"),'Calculations'!$HN$13:$HN$512,"="&amp;SUBSTITUTE(SUBSTITUTE(SUBSTITUTE('Dashboard'!$B$7,"~","~~"),"*","~*"),"?","~?"))+COUNTIFS('Calculations'!$IF$13:$IF$512,"="&amp;SUBSTITUTE(SUBSTITUTE(SUBSTITUTE('Calculations'!HF66,"~","~~"),"*","~*"),"?","~?"),'Calculations'!$HN$13:$HN$512,"="&amp;SUBSTITUTE(SUBSTITUTE(SUBSTITUTE('Dashboard'!$B$7,"~","~~"),"*","~*"),"?","~?"))+COUNTIFS('Calculations'!$IG$13:$IG$512,"="&amp;SUBSTITUTE(SUBSTITUTE(SUBSTITUTE('Calculations'!HF66,"~","~~"),"*","~*"),"?","~?"),'Calculations'!$HN$13:$HN$512,"="&amp;SUBSTITUTE(SUBSTITUTE(SUBSTITUTE('Dashboard'!$B$7,"~","~~"),"*","~*"),"?","~?"))+COUNTIFS('Calculations'!$IH$13:$IH$512,"="&amp;SUBSTITUTE(SUBSTITUTE(SUBSTITUTE('Calculations'!HF66,"~","~~"),"*","~*"),"?","~?"),'Calculations'!$HN$13:$HN$512,"="&amp;SUBSTITUTE(SUBSTITUTE(SUBSTITUTE('Dashboard'!$B$7,"~","~~"),"*","~*"),"?","~?"))))</x:f>
        <x:v>0</x:v>
      </x:c>
      <x:c r="JD66" t="n">
        <x:f>IF('Calculations'!EM66="",0,IF('Dashboard'!$B$7="All",1,IF('Calculations'!HN66='Dashboard'!$B$7,1,0)+IFERROR(INDEX('Calculations'!$JC$13:$JC$512,MATCH('Calculations'!HE66,'Calculations'!$HF$13:$HF$512,0)),0)))</x:f>
        <x:v>0</x:v>
      </x:c>
      <x:c r="JE66" t="n">
        <x:f>IF(AND('Calculations'!EM66&lt;&gt;"",'Calculations'!$JJ$2&lt;&gt;"All",'Calculations'!$JJ$2&lt;&gt;"",'Calculations'!HF66='Calculations'!$JJ$2,'Calculations'!HL66=0,'Calculations'!JD66&gt;0),MAX('Calculations'!$JE$12:JE65)+1,0)</x:f>
        <x:v>0</x:v>
      </x:c>
      <x:c r="JF66" t="str">
        <x:f>IF('Calculations'!EM66="","",IFERROR(IF(INDEX(INDIRECT("'WCM Calibration Final'!$G$1:$G$2000"),'Calculations'!$EM66)="","",TRIM(INDEX(INDIRECT("'WCM Calibration Final'!$G$1:$G$2000"),'Calculations'!$EM66)&amp;"")),""))</x:f>
      </x:c>
      <x:c r="JQ66" t="n">
        <x:f>IF(OR('Calculations'!BM66=0,NOT('Calculations'!$AG$2),'Calculations'!$AG$8&gt;0),0,IF(OR('Dashboard'!$B$7="All",'Calculations'!HN66='Dashboard'!$B$7),IF('Calculations'!$JJ$2="All",1,IF(AND('Calculations'!HF66='Calculations'!$JJ$2,'Calculations'!HL66=0),1,0)),0))</x:f>
        <x:v>0</x:v>
      </x:c>
    </x:row>
    <x:row r="67">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t="n">
        <x:f>IF('Calculations'!$EM67="",0,IF(OR(IFERROR(INDEX(INDIRECT("'WCM Calibration Final'!$A$1:$A$2000"),'Calculations'!$EM67)&lt;&gt;"",FALSE),IFERROR(INDEX(INDIRECT("'WCM Calibration Final'!$B$1:$B$2000"),'Calculations'!$EM67)&lt;&gt;"",FALSE),IFERROR(INDEX(INDIRECT("'WCM Calibration Final'!$C$1:$C$2000"),'Calculations'!$EM67)&lt;&gt;"",FALSE)),1,0))</x:f>
        <x:v>0</x:v>
      </x:c>
      <x:c r="BN67" s="4" t="n">
        <x:f>IF(AND('Calculations'!BM67=1,'Calculations'!$AG$2,'Calculations'!$EN67=1),1,0)</x:f>
        <x:v>0</x:v>
      </x:c>
      <x:c r="BO67" s="4" t="str">
        <x:f>IF('Calculations'!BM67=0,"",IFERROR(IF(AND(VALUE(INDEX(INDIRECT("'WCM Calibration Final'!$K$1:$K$2000"),'Calculations'!$EM67))&gt;=1,VALUE(INDEX(INDIRECT("'WCM Calibration Final'!$K$1:$K$2000"),'Calculations'!$EM67))&lt;=4,MOD(VALUE(INDEX(INDIRECT("'WCM Calibration Final'!$K$1:$K$2000"),'Calculations'!$EM67)),1)=0),VALUE(INDEX(INDIRECT("'WCM Calibration Final'!$K$1:$K$2000"),'Calculations'!$EM67)),""),""))</x:f>
      </x:c>
      <x:c r="BP67" s="4" t="str">
        <x:f>IF('Calculations'!BM67=0,"",IFERROR(IF(AND(VALUE(INDEX(INDIRECT("'WCM Calibration Final'!$L$1:$L$2000"),'Calculations'!$EM67))&gt;=1,VALUE(INDEX(INDIRECT("'WCM Calibration Final'!$L$1:$L$2000"),'Calculations'!$EM67))&lt;=4,MOD(VALUE(INDEX(INDIRECT("'WCM Calibration Final'!$L$1:$L$2000"),'Calculations'!$EM67)),1)=0),VALUE(INDEX(INDIRECT("'WCM Calibration Final'!$L$1:$L$2000"),'Calculations'!$EM67)),""),""))</x:f>
      </x:c>
      <x:c r="BQ67" s="4"/>
      <x:c r="BR67" s="4"/>
      <x:c r="BS67" s="4"/>
      <x:c r="BT67" s="4" t="n">
        <x:f>IF(AND('Calculations'!BM67=1,ISNUMBER('Calculations'!BO67),ISNUMBER('Calculations'!BP67)),1,0)</x:f>
        <x:v>0</x:v>
      </x:c>
      <x:c r="BU67" s="4" t="str">
        <x:f>IF('Calculations'!BM67=0,"",'Calculations'!$EO67)</x:f>
      </x:c>
      <x:c r="BV67" s="4" t="str">
        <x:f>IF('Calculations'!BM67=0,"",IFERROR(IF(OR(INDEX(INDIRECT("'WCM Calibration Final'!$H$1:$H$2000"),'Calculations'!$EM67)="MANAGING DIRECTOR",INDEX(INDIRECT("'WCM Calibration Final'!$H$1:$H$2000"),'Calculations'!$EM67)="DIRECTOR",INDEX(INDIRECT("'WCM Calibration Final'!$H$1:$H$2000"),'Calculations'!$EM67)="SENIOR VICE PRESIDENT",INDEX(INDIRECT("'WCM Calibration Final'!$H$1:$H$2000"),'Calculations'!$EM67)="VICE PRESIDENT",INDEX(INDIRECT("'WCM Calibration Final'!$H$1:$H$2000"),'Calculations'!$EM67)="ASSISTANT VICE PRESIDENT",INDEX(INDIRECT("'WCM Calibration Final'!$H$1:$H$2000"),'Calculations'!$EM67)="OFFICER"),UPPER(INDEX(INDIRECT("'WCM Calibration Final'!$H$1:$H$2000"),'Calculations'!$EM67)),"Other"),"Other"))</x:f>
      </x:c>
      <x:c r="BW67" s="4"/>
      <x:c r="BX67" s="4"/>
      <x:c r="BY67" s="4" t="n">
        <x:f>IF(AND('Calculations'!BM67=1,'Calculations'!BU67&lt;&gt;"",COUNTIF('Calculations'!$BU$12:BU67,'Calculations'!BU67)=1),MAX('Calculations'!$BY$11:BY66)+1,0)</x:f>
        <x:v>0</x:v>
      </x:c>
      <x:c r="BZ67" s="4" t="str">
        <x:f>IF('Dashboard'!$E$67="What",'Calculations'!BO67,'Calculations'!BP67)</x:f>
      </x:c>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t="str">
        <x:f>IF(56&gt;MAX('Calculations'!$HI$13:$HI$512),"",INDEX('Calculations'!$HN$13:$HN$512,MATCH(56,'Calculations'!$HI$13:$HI$512,0)))</x:f>
      </x:c>
      <x:c r="DB67" s="4" t="str">
        <x:f>IF(56&gt;MAX('Calculations'!$HH$13:$HH$512),"",INDEX('Calculations'!$HJ$13:$HJ$512,MATCH(56,'Calculations'!$HH$13:$HH$512,0)))</x:f>
      </x:c>
      <x:c r="DC67" s="4" t="str">
        <x:f>IF(ROW()-11&gt;MAX('Calculations'!$BY$13:$BY$512),"",INDEX('Calculations'!$BU$13:$BU$512,MATCH(ROW()-11,'Calculations'!$BY$13:$BY$512,0)))</x:f>
      </x:c>
      <x:c r="DD67" s="4" t="str">
        <x:f>IF(56&gt;MAX('Calculations'!$IK$13:$IK$512),"",INDEX('Calculations'!$HK$13:$HK$512,MATCH(56,'Calculations'!$IK$13:$IK$512,0)))</x:f>
      </x:c>
      <x:c r="DE67" s="4" t="str">
        <x:f>'Calculations'!DC67</x:f>
      </x:c>
      <x:c r="DF67" s="4" t="str">
        <x:f>IF('Calculations'!DE67="","",COUNTIFS('Calculations'!$BN$13:$BN$512,1,'Calculations'!$BU$13:$BU$512,'Calculations'!DE67))</x:f>
      </x:c>
      <x:c r="DG67" s="4" t="str">
        <x:f>IF('Calculations'!DE67="","",COUNTIFS('Calculations'!$BN$13:$BN$512,1,'Calculations'!$BU$13:$BU$512,'Calculations'!DE67,'Calculations'!$BT$13:$BT$512,1))</x:f>
      </x:c>
      <x:c r="DH67" s="4" t="str">
        <x:f>IF('Calculations'!DE67="","",'Calculations'!DF67-'Calculations'!DG67)</x:f>
      </x:c>
      <x:c r="DI67" s="4" t="str">
        <x:f>IF(OR('Calculations'!DE67="",'Calculations'!DF67=0),"",'Calculations'!DG67/'Calculations'!DF67)</x:f>
      </x:c>
      <x:c r="DJ67" s="4" t="str">
        <x:f>IF('Calculations'!DE67="","",COUNTIFS('Calculations'!$BN$13:$BN$512,1,'Calculations'!$BU$13:$BU$512,'Calculations'!DE67,'Calculations'!$BT$13:$BT$512,1,'Calculations'!$EE$13:$EE$512,"High"))</x:f>
      </x:c>
      <x:c r="DK67" s="4" t="str">
        <x:f>IF('Calculations'!DE67="","",COUNTIFS('Calculations'!$BN$13:$BN$512,1,'Calculations'!$BU$13:$BU$512,'Calculations'!DE67,'Calculations'!$BT$13:$BT$512,1,'Calculations'!$EE$13:$EE$512,"Strong"))</x:f>
      </x:c>
      <x:c r="DL67" s="4" t="str">
        <x:f>IF('Calculations'!DE67="","",COUNTIFS('Calculations'!$BN$13:$BN$512,1,'Calculations'!$BU$13:$BU$512,'Calculations'!DE67,'Calculations'!$BT$13:$BT$512,1,'Calculations'!$EE$13:$EE$512,"Solid"))</x:f>
      </x:c>
      <x:c r="DM67" s="4" t="str">
        <x:f>IF('Calculations'!DE67="","",COUNTIFS('Calculations'!$BN$13:$BN$512,1,'Calculations'!$BU$13:$BU$512,'Calculations'!DE67,'Calculations'!$BT$13:$BT$512,1,'Calculations'!$EE$13:$EE$512,"Low"))</x:f>
      </x:c>
      <x:c r="DN67" s="4" t="str">
        <x:f>IF('Calculations'!DE67="","",COUNTIFS('Calculations'!$BN$13:$BN$512,1,'Calculations'!$BU$13:$BU$512,'Calculations'!DE67,'Calculations'!$EP$13:$EP$512,1))</x:f>
      </x:c>
      <x:c r="DO67" s="4" t="str">
        <x:f>IF(OR('Calculations'!DE67="",'Calculations'!DG67=0),"",('Calculations'!DJ67+'Calculations'!DK67)/'Calculations'!DG67)</x:f>
      </x:c>
      <x:c r="DP67" s="4" t="n">
        <x:f>IF(AND('Calculations'!DE67&lt;&gt;"",'Calculations'!DF67&gt;0),COUNTIF('Calculations'!$DF$12:DF67,"&gt;0"),0)</x:f>
        <x:v>0</x:v>
      </x:c>
      <x:c r="DQ67" s="4" t="str">
        <x:f>IF(56&gt;MAX('Calculations'!$HH$13:$HH$512),"",INDEX('Calculations'!$HF$13:$HF$512,MATCH(56,'Calculations'!$HH$13:$HH$512,0)))</x:f>
      </x:c>
      <x:c r="DR67" s="4" t="str">
        <x:f>IF(56&gt;MAX('Calculations'!$IK$13:$IK$512),"",INDEX('Calculations'!$HE$13:$HE$512,MATCH(56,'Calculations'!$IK$13:$IK$512,0)))</x:f>
      </x:c>
      <x:c r="DS67" s="4"/>
      <x:c r="DT67" s="4"/>
      <x:c r="DU67" s="4"/>
      <x:c r="DV67" s="4"/>
      <x:c r="DW67" s="4"/>
      <x:c r="DX67" s="4"/>
      <x:c r="DY67" s="4" t="str">
        <x:f>IFERROR(TEXT('Calculations'!AH74,"0.0%"),"—")</x:f>
        <x:v>—</x:v>
      </x:c>
      <x:c r="DZ67" s="4"/>
      <x:c r="EA67" s="4"/>
      <x:c r="EB67" s="4"/>
      <x:c r="EC67" s="4"/>
      <x:c r="ED67" s="4"/>
      <x:c r="EE67" s="4" t="str">
        <x:f>IF('Calculations'!BT67=0,"Not Rated",IF(OR('Calculations'!BO67&gt;=4,'Calculations'!BP67&gt;=4),"Low",IF('Calculations'!BO67+'Calculations'!BP67&lt;=3,"High",IF('Calculations'!BO67+'Calculations'!BP67&lt;=4,"Strong","Solid"))))</x:f>
        <x:v>Not Rated</x:v>
      </x:c>
      <x:c r="EF67" s="4"/>
      <x:c r="EG67" s="4"/>
      <x:c r="EH67" s="4"/>
      <x:c r="EI67" s="4"/>
      <x:c r="EJ67" s="4"/>
      <x:c r="EK67" s="4"/>
      <x:c r="EL67" s="4"/>
      <x:c r="EM67" s="4" t="str">
        <x:f>IF(55&gt;'Calculations'!$JB$2000,"",INDEX('Calculations'!$JA$12:$JA$2000,MATCH(55,'Calculations'!$JB$12:$JB$2000,0)))</x:f>
      </x:c>
      <x:c r="EN67" s="4" t="n">
        <x:f>IF(OR('Calculations'!EM67="",'Calculations'!$AG$8&gt;0,AND('Calculations'!$EF$2&lt;&gt;"All",'Calculations'!HE67='Calculations'!$EF$2),AND('Calculations'!$EF$3&lt;&gt;"All",'Calculations'!HE67='Calculations'!$EF$3)),0,IF(OR('Dashboard'!$B$7="All",'Calculations'!HN67='Dashboard'!$B$7),IF('Calculations'!$EF$2="All",1,IF('Calculations'!HL67&gt;0,0,IF(COUNTIF('Calculations'!HO67:II67,"="&amp;SUBSTITUTE(SUBSTITUTE(SUBSTITUTE('Calculations'!$EF$2,"~","~~"),"*","~*"),"?","~?"))=0,0,IF('Calculations'!$EF$3="All",1,IF(COUNTIF('Calculations'!HO67:II67,"="&amp;SUBSTITUTE(SUBSTITUTE(SUBSTITUTE('Calculations'!$EF$3,"~","~~"),"*","~*"),"?","~?"))&gt;0,1,0))))),0))</x:f>
        <x:v>0</x:v>
      </x:c>
      <x:c r="EO67" s="4" t="str">
        <x:f>IF('Calculations'!IJ67="","",IF('Calculations'!IJ67="!UNRESOLVED","Unresolved hierarchy",IFERROR(INDEX('Calculations'!$HK$13:$HK$512,MATCH('Calculations'!IJ67,'Calculations'!$HE$13:$HE$512,0)),IFERROR(INDEX('Calculations'!$HJ$13:$HJ$512,MATCH('Calculations'!IJ67,'Calculations'!$HF$13:$HF$512,0)),'Calculations'!IJ67))))</x:f>
      </x:c>
      <x:c r="EP67" s="4" t="n">
        <x:f>IF(AND('Calculations'!EM67&lt;&gt;"",'Calculations'!HF67='Calculations'!IJ67),1,0)</x:f>
        <x:v>0</x:v>
      </x:c>
      <x:c r="EQ67" s="4"/>
      <x:c r="ER67" s="4"/>
      <x:c r="ES67" s="4"/>
      <x:c r="ET67" s="4"/>
      <x:c r="EU67" s="4"/>
      <x:c r="EV67" s="4"/>
      <x:c r="EW67" s="4"/>
      <x:c r="EX67" s="4"/>
      <x:c r="EY67" s="4"/>
      <x:c r="EZ67" s="4"/>
      <x:c r="FA67" s="4"/>
      <x:c r="FB67" s="4"/>
      <x:c r="FC67" s="4"/>
      <x:c r="FD67" s="4"/>
      <x:c r="FE67" s="4"/>
      <x:c r="FF67" s="4"/>
      <x:c r="FG67" s="4"/>
      <x:c r="FH67" s="4"/>
      <x:c r="FI67" s="4"/>
      <x:c r="FJ67" s="4"/>
      <x:c r="FK67" s="4"/>
      <x:c r="FL67" s="4"/>
      <x:c r="FM67" s="4"/>
      <x:c r="FN67" s="4"/>
      <x:c r="FO67" s="4"/>
      <x:c r="GA67" s="71"/>
      <x:c r="GB67" s="71"/>
      <x:c r="GC67" s="71"/>
      <x:c r="GD67" s="71"/>
      <x:c r="GE67" s="71"/>
      <x:c r="GF67" s="71"/>
      <x:c r="GG67" s="71"/>
      <x:c r="GH67" s="71"/>
      <x:c r="GI67" s="71"/>
      <x:c r="GJ67" s="71"/>
      <x:c r="GK67" s="71"/>
      <x:c r="GL67" s="71"/>
      <x:c r="GM67" s="71"/>
      <x:c r="GN67" s="71"/>
      <x:c r="GO67" s="71"/>
      <x:c r="GP67" s="71"/>
      <x:c r="GQ67" s="71"/>
      <x:c r="GR67" s="71"/>
      <x:c r="GS67" s="71"/>
      <x:c r="GT67" s="71"/>
      <x:c r="GU67" s="71"/>
      <x:c r="GV67" s="71"/>
      <x:c r="GW67" s="71"/>
      <x:c r="GX67" s="71"/>
      <x:c r="GY67" s="71"/>
      <x:c r="GZ67" s="71"/>
      <x:c r="HA67" s="71"/>
      <x:c r="HB67" s="71"/>
      <x:c r="HC67" s="71"/>
      <x:c r="HD67" s="71"/>
      <x:c r="HE67" t="str">
        <x:f>IF('Calculations'!EM67="","",IF(IFERROR(IF(INDEX(INDIRECT("'WCM Calibration Final'!$A$1:$A$2000"),'Calculations'!$EM67)="","",TRIM(INDEX(INDIRECT("'WCM Calibration Final'!$A$1:$A$2000"),'Calculations'!$EM67)&amp;"")),"")&lt;&gt;"","G:"&amp;IFERROR(TEXT(1*INDEX(INDIRECT("'WCM Calibration Final'!$A$1:$A$2000"),'Calculations'!$EM67),"0"),UPPER(IFERROR(IF(INDEX(INDIRECT("'WCM Calibration Final'!$A$1:$A$2000"),'Calculations'!$EM67)="","",TRIM(INDEX(INDIRECT("'WCM Calibration Final'!$A$1:$A$2000"),'Calculations'!$EM67)&amp;"")),""))),IF(IFERROR(IF(INDEX(INDIRECT("'WCM Calibration Final'!$C$1:$C$2000"),'Calculations'!$EM67)="","",TRIM(INDEX(INDIRECT("'WCM Calibration Final'!$C$1:$C$2000"),'Calculations'!$EM67)&amp;"")),"")&lt;&gt;"","S:"&amp;UPPER(IFERROR(IF(INDEX(INDIRECT("'WCM Calibration Final'!$C$1:$C$2000"),'Calculations'!$EM67)="","",TRIM(INDEX(INDIRECT("'WCM Calibration Final'!$C$1:$C$2000"),'Calculations'!$EM67)&amp;"")),"")),"R:"&amp;'Calculations'!EM67)))</x:f>
      </x:c>
      <x:c r="HF67" t="str">
        <x:f>IF('Calculations'!EM67="","",IF(IFERROR(IF(INDEX(INDIRECT("'WCM Calibration Final'!$D$1:$D$2000"),'Calculations'!$EM67)="","",TRIM(INDEX(INDIRECT("'WCM Calibration Final'!$D$1:$D$2000"),'Calculations'!$EM67)&amp;"")),"")&lt;&gt;"","G:"&amp;IFERROR(TEXT(1*INDEX(INDIRECT("'WCM Calibration Final'!$D$1:$D$2000"),'Calculations'!$EM67),"0"),UPPER(IFERROR(IF(INDEX(INDIRECT("'WCM Calibration Final'!$D$1:$D$2000"),'Calculations'!$EM67)="","",TRIM(INDEX(INDIRECT("'WCM Calibration Final'!$D$1:$D$2000"),'Calculations'!$EM67)&amp;"")),""))),IF(IFERROR(IF(INDEX(INDIRECT("'WCM Calibration Final'!$E$1:$E$2000"),'Calculations'!$EM67)="","",TRIM(INDEX(INDIRECT("'WCM Calibration Final'!$E$1:$E$2000"),'Calculations'!$EM67)&amp;"")),"")="","",IF(COUNTIF('Calculations'!$HG$13:$HG$512,"="&amp;SUBSTITUTE(SUBSTITUTE(SUBSTITUTE(IFERROR(IF(INDEX(INDIRECT("'WCM Calibration Final'!$E$1:$E$2000"),'Calculations'!$EM67)="","",TRIM(INDEX(INDIRECT("'WCM Calibration Final'!$E$1:$E$2000"),'Calculations'!$EM67)&amp;"")),""),"~","~~"),"*","~*"),"?","~?"))=1,INDEX('Calculations'!$HE$13:$HE$512,MATCH(IFERROR(IF(INDEX(INDIRECT("'WCM Calibration Final'!$E$1:$E$2000"),'Calculations'!$EM67)="","",TRIM(INDEX(INDIRECT("'WCM Calibration Final'!$E$1:$E$2000"),'Calculations'!$EM67)&amp;"")),""),'Calculations'!$HG$13:$HG$512,0)),IF(COUNTIF('Calculations'!$HG$13:$HG$512,"="&amp;SUBSTITUTE(SUBSTITUTE(SUBSTITUTE(IFERROR(IF(INDEX(INDIRECT("'WCM Calibration Final'!$E$1:$E$2000"),'Calculations'!$EM67)="","",TRIM(INDEX(INDIRECT("'WCM Calibration Final'!$E$1:$E$2000"),'Calculations'!$EM67)&amp;"")),""),"~","~~"),"*","~*"),"?","~?"))&gt;1,"!AMBIG","X:"&amp;IFERROR(IF(INDEX(INDIRECT("'WCM Calibration Final'!$E$1:$E$2000"),'Calculations'!$EM67)="","",TRIM(INDEX(INDIRECT("'WCM Calibration Final'!$E$1:$E$2000"),'Calculations'!$EM67)&amp;"")),""))))))</x:f>
      </x:c>
      <x:c r="HG67" t="str">
        <x:f>IF('Calculations'!EM67="","",IFERROR(IF(INDEX(INDIRECT("'WCM Calibration Final'!$B$1:$B$2000"),'Calculations'!$EM67)="","",TRIM(INDEX(INDIRECT("'WCM Calibration Final'!$B$1:$B$2000"),'Calculations'!$EM67)&amp;"")),""))</x:f>
      </x:c>
      <x:c r="HH67" t="n">
        <x:f>IF(AND('Calculations'!JC67&gt;0,COUNTIF('Calculations'!$HF$12:HF67,"="&amp;SUBSTITUTE(SUBSTITUTE(SUBSTITUTE('Calculations'!HF67,"~","~~"),"*","~*"),"?","~?"))=1),MAX('Calculations'!$HH$12:HH66)+1,0)</x:f>
        <x:v>0</x:v>
      </x:c>
      <x:c r="HI67" t="n">
        <x:f>IF(AND('Calculations'!HN67&lt;&gt;"",COUNTIF('Calculations'!$HN$12:HN67,"="&amp;SUBSTITUTE(SUBSTITUTE(SUBSTITUTE('Calculations'!HN67,"~","~~"),"*","~*"),"?","~?"))=1),MAX('Calculations'!$HI$12:HI66)+1,0)</x:f>
        <x:v>0</x:v>
      </x:c>
      <x:c r="HJ67" t="str">
        <x:f>IF('Calculations'!HF67="","",IF(COUNTIF('Calculations'!$HE$13:$HE$512,"="&amp;SUBSTITUTE(SUBSTITUTE(SUBSTITUTE('Calculations'!HF67,"~","~~"),"*","~*"),"?","~?"))=1,INDEX('Calculations'!$HK$13:$HK$512,MATCH('Calculations'!HF67,'Calculations'!$HE$13:$HE$512,0)),IFERROR(IF(INDEX(INDIRECT("'WCM Calibration Final'!$E$1:$E$2000"),'Calculations'!$EM67)="","",TRIM(INDEX(INDIRECT("'WCM Calibration Final'!$E$1:$E$2000"),'Calculations'!$EM67)&amp;"")),"")&amp;" ["&amp;'Calculations'!HF67&amp;"]"))</x:f>
      </x:c>
      <x:c r="HK67" t="str">
        <x:f>IF('Calculations'!EM67="","",'Calculations'!HG67&amp;" ["&amp;'Calculations'!HE67&amp;"]")</x:f>
      </x:c>
      <x:c r="HL67" t="n">
        <x:f>IF('Calculations'!EM67="",0,IF(OR('Calculations'!II67&lt;&gt;"",COUNTIF('Calculations'!$HE$13:$HE$512,"="&amp;SUBSTITUTE(SUBSTITUTE(SUBSTITUTE('Calculations'!HE67,"~","~~"),"*","~*"),"?","~?"))&gt;1),1,0))</x:f>
        <x:v>0</x:v>
      </x:c>
      <x:c r="HM67" t="str">
        <x:f>IF('Calculations'!EM67="","",IF('Calculations'!HL67=1,"!UNRESOLVED",IF('Calculations'!IH67&lt;&gt;"",'Calculations'!IH67,IF('Calculations'!IG67&lt;&gt;"",'Calculations'!IG67,IF('Calculations'!IF67&lt;&gt;"",'Calculations'!IF67,IF('Calculations'!IE67&lt;&gt;"",'Calculations'!IE67,IF('Calculations'!ID67&lt;&gt;"",'Calculations'!ID67,IF('Calculations'!IC67&lt;&gt;"",'Calculations'!IC67,IF('Calculations'!IB67&lt;&gt;"",'Calculations'!IB67,IF('Calculations'!IA67&lt;&gt;"",'Calculations'!IA67,IF('Calculations'!HZ67&lt;&gt;"",'Calculations'!HZ67,IF('Calculations'!HY67&lt;&gt;"",'Calculations'!HY67,IF('Calculations'!HX67&lt;&gt;"",'Calculations'!HX67,IF('Calculations'!HW67&lt;&gt;"",'Calculations'!HW67,IF('Calculations'!HV67&lt;&gt;"",'Calculations'!HV67,IF('Calculations'!HU67&lt;&gt;"",'Calculations'!HU67,IF('Calculations'!HT67&lt;&gt;"",'Calculations'!HT67,IF('Calculations'!HS67&lt;&gt;"",'Calculations'!HS67,IF('Calculations'!HR67&lt;&gt;"",'Calculations'!HR67,IF('Calculations'!HQ67&lt;&gt;"",'Calculations'!HQ67,IF('Calculations'!HP67&lt;&gt;"",'Calculations'!HP67,IF('Calculations'!HO67&lt;&gt;"",'Calculations'!HO67,'Calculations'!HE67))))))))))))))))))))))</x:f>
      </x:c>
      <x:c r="HN67" t="str">
        <x:f>IF('Calculations'!EM67="","",IF(IFERROR(IF(INDEX(INDIRECT("'WCM Calibration Final'!$F$1:$F$2000"),'Calculations'!$EM67)="","",TRIM(INDEX(INDIRECT("'WCM Calibration Final'!$F$1:$F$2000"),'Calculations'!$EM67)&amp;"")),"")="","(Blank)",IFERROR(IF(INDEX(INDIRECT("'WCM Calibration Final'!$F$1:$F$2000"),'Calculations'!$EM67)="","",TRIM(INDEX(INDIRECT("'WCM Calibration Final'!$F$1:$F$2000"),'Calculations'!$EM67)&amp;"")),"")))</x:f>
      </x:c>
      <x:c r="HO67" t="str">
        <x:f>'Calculations'!HF67</x:f>
      </x:c>
      <x:c r="HP67" t="str">
        <x:f>IF('Calculations'!HO67="","",IF('Calculations'!HO67="!AMBIG","!AMBIG",IF(COUNTIF('Calculations'!$HE$13:$HE$512,"="&amp;SUBSTITUTE(SUBSTITUTE(SUBSTITUTE('Calculations'!HO67,"~","~~"),"*","~*"),"?","~?"))&gt;1,"!AMBIG",IFERROR(INDEX('Calculations'!$HF$13:$HF$512,MATCH('Calculations'!HO67,'Calculations'!$HE$13:$HE$512,0)),""))))</x:f>
      </x:c>
      <x:c r="HQ67" t="str">
        <x:f>IF('Calculations'!HP67="","",IF('Calculations'!HP67="!AMBIG","!AMBIG",IF(COUNTIF('Calculations'!$HE$13:$HE$512,"="&amp;SUBSTITUTE(SUBSTITUTE(SUBSTITUTE('Calculations'!HP67,"~","~~"),"*","~*"),"?","~?"))&gt;1,"!AMBIG",IFERROR(INDEX('Calculations'!$HF$13:$HF$512,MATCH('Calculations'!HP67,'Calculations'!$HE$13:$HE$512,0)),""))))</x:f>
      </x:c>
      <x:c r="HR67" t="str">
        <x:f>IF('Calculations'!HQ67="","",IF('Calculations'!HQ67="!AMBIG","!AMBIG",IF(COUNTIF('Calculations'!$HE$13:$HE$512,"="&amp;SUBSTITUTE(SUBSTITUTE(SUBSTITUTE('Calculations'!HQ67,"~","~~"),"*","~*"),"?","~?"))&gt;1,"!AMBIG",IFERROR(INDEX('Calculations'!$HF$13:$HF$512,MATCH('Calculations'!HQ67,'Calculations'!$HE$13:$HE$512,0)),""))))</x:f>
      </x:c>
      <x:c r="HS67" t="str">
        <x:f>IF('Calculations'!HR67="","",IF('Calculations'!HR67="!AMBIG","!AMBIG",IF(COUNTIF('Calculations'!$HE$13:$HE$512,"="&amp;SUBSTITUTE(SUBSTITUTE(SUBSTITUTE('Calculations'!HR67,"~","~~"),"*","~*"),"?","~?"))&gt;1,"!AMBIG",IFERROR(INDEX('Calculations'!$HF$13:$HF$512,MATCH('Calculations'!HR67,'Calculations'!$HE$13:$HE$512,0)),""))))</x:f>
      </x:c>
      <x:c r="HT67" t="str">
        <x:f>IF('Calculations'!HS67="","",IF('Calculations'!HS67="!AMBIG","!AMBIG",IF(COUNTIF('Calculations'!$HE$13:$HE$512,"="&amp;SUBSTITUTE(SUBSTITUTE(SUBSTITUTE('Calculations'!HS67,"~","~~"),"*","~*"),"?","~?"))&gt;1,"!AMBIG",IFERROR(INDEX('Calculations'!$HF$13:$HF$512,MATCH('Calculations'!HS67,'Calculations'!$HE$13:$HE$512,0)),""))))</x:f>
      </x:c>
      <x:c r="HU67" t="str">
        <x:f>IF('Calculations'!HT67="","",IF('Calculations'!HT67="!AMBIG","!AMBIG",IF(COUNTIF('Calculations'!$HE$13:$HE$512,"="&amp;SUBSTITUTE(SUBSTITUTE(SUBSTITUTE('Calculations'!HT67,"~","~~"),"*","~*"),"?","~?"))&gt;1,"!AMBIG",IFERROR(INDEX('Calculations'!$HF$13:$HF$512,MATCH('Calculations'!HT67,'Calculations'!$HE$13:$HE$512,0)),""))))</x:f>
      </x:c>
      <x:c r="HV67" t="str">
        <x:f>IF('Calculations'!HU67="","",IF('Calculations'!HU67="!AMBIG","!AMBIG",IF(COUNTIF('Calculations'!$HE$13:$HE$512,"="&amp;SUBSTITUTE(SUBSTITUTE(SUBSTITUTE('Calculations'!HU67,"~","~~"),"*","~*"),"?","~?"))&gt;1,"!AMBIG",IFERROR(INDEX('Calculations'!$HF$13:$HF$512,MATCH('Calculations'!HU67,'Calculations'!$HE$13:$HE$512,0)),""))))</x:f>
      </x:c>
      <x:c r="HW67" t="str">
        <x:f>IF('Calculations'!HV67="","",IF('Calculations'!HV67="!AMBIG","!AMBIG",IF(COUNTIF('Calculations'!$HE$13:$HE$512,"="&amp;SUBSTITUTE(SUBSTITUTE(SUBSTITUTE('Calculations'!HV67,"~","~~"),"*","~*"),"?","~?"))&gt;1,"!AMBIG",IFERROR(INDEX('Calculations'!$HF$13:$HF$512,MATCH('Calculations'!HV67,'Calculations'!$HE$13:$HE$512,0)),""))))</x:f>
      </x:c>
      <x:c r="HX67" t="str">
        <x:f>IF('Calculations'!HW67="","",IF('Calculations'!HW67="!AMBIG","!AMBIG",IF(COUNTIF('Calculations'!$HE$13:$HE$512,"="&amp;SUBSTITUTE(SUBSTITUTE(SUBSTITUTE('Calculations'!HW67,"~","~~"),"*","~*"),"?","~?"))&gt;1,"!AMBIG",IFERROR(INDEX('Calculations'!$HF$13:$HF$512,MATCH('Calculations'!HW67,'Calculations'!$HE$13:$HE$512,0)),""))))</x:f>
      </x:c>
      <x:c r="HY67" t="str">
        <x:f>IF('Calculations'!HX67="","",IF('Calculations'!HX67="!AMBIG","!AMBIG",IF(COUNTIF('Calculations'!$HE$13:$HE$512,"="&amp;SUBSTITUTE(SUBSTITUTE(SUBSTITUTE('Calculations'!HX67,"~","~~"),"*","~*"),"?","~?"))&gt;1,"!AMBIG",IFERROR(INDEX('Calculations'!$HF$13:$HF$512,MATCH('Calculations'!HX67,'Calculations'!$HE$13:$HE$512,0)),""))))</x:f>
      </x:c>
      <x:c r="HZ67" t="str">
        <x:f>IF('Calculations'!HY67="","",IF('Calculations'!HY67="!AMBIG","!AMBIG",IF(COUNTIF('Calculations'!$HE$13:$HE$512,"="&amp;SUBSTITUTE(SUBSTITUTE(SUBSTITUTE('Calculations'!HY67,"~","~~"),"*","~*"),"?","~?"))&gt;1,"!AMBIG",IFERROR(INDEX('Calculations'!$HF$13:$HF$512,MATCH('Calculations'!HY67,'Calculations'!$HE$13:$HE$512,0)),""))))</x:f>
      </x:c>
      <x:c r="IA67" t="str">
        <x:f>IF('Calculations'!HZ67="","",IF('Calculations'!HZ67="!AMBIG","!AMBIG",IF(COUNTIF('Calculations'!$HE$13:$HE$512,"="&amp;SUBSTITUTE(SUBSTITUTE(SUBSTITUTE('Calculations'!HZ67,"~","~~"),"*","~*"),"?","~?"))&gt;1,"!AMBIG",IFERROR(INDEX('Calculations'!$HF$13:$HF$512,MATCH('Calculations'!HZ67,'Calculations'!$HE$13:$HE$512,0)),""))))</x:f>
      </x:c>
      <x:c r="IB67" t="str">
        <x:f>IF('Calculations'!IA67="","",IF('Calculations'!IA67="!AMBIG","!AMBIG",IF(COUNTIF('Calculations'!$HE$13:$HE$512,"="&amp;SUBSTITUTE(SUBSTITUTE(SUBSTITUTE('Calculations'!IA67,"~","~~"),"*","~*"),"?","~?"))&gt;1,"!AMBIG",IFERROR(INDEX('Calculations'!$HF$13:$HF$512,MATCH('Calculations'!IA67,'Calculations'!$HE$13:$HE$512,0)),""))))</x:f>
      </x:c>
      <x:c r="IC67" t="str">
        <x:f>IF('Calculations'!IB67="","",IF('Calculations'!IB67="!AMBIG","!AMBIG",IF(COUNTIF('Calculations'!$HE$13:$HE$512,"="&amp;SUBSTITUTE(SUBSTITUTE(SUBSTITUTE('Calculations'!IB67,"~","~~"),"*","~*"),"?","~?"))&gt;1,"!AMBIG",IFERROR(INDEX('Calculations'!$HF$13:$HF$512,MATCH('Calculations'!IB67,'Calculations'!$HE$13:$HE$512,0)),""))))</x:f>
      </x:c>
      <x:c r="ID67" t="str">
        <x:f>IF('Calculations'!IC67="","",IF('Calculations'!IC67="!AMBIG","!AMBIG",IF(COUNTIF('Calculations'!$HE$13:$HE$512,"="&amp;SUBSTITUTE(SUBSTITUTE(SUBSTITUTE('Calculations'!IC67,"~","~~"),"*","~*"),"?","~?"))&gt;1,"!AMBIG",IFERROR(INDEX('Calculations'!$HF$13:$HF$512,MATCH('Calculations'!IC67,'Calculations'!$HE$13:$HE$512,0)),""))))</x:f>
      </x:c>
      <x:c r="IE67" t="str">
        <x:f>IF('Calculations'!ID67="","",IF('Calculations'!ID67="!AMBIG","!AMBIG",IF(COUNTIF('Calculations'!$HE$13:$HE$512,"="&amp;SUBSTITUTE(SUBSTITUTE(SUBSTITUTE('Calculations'!ID67,"~","~~"),"*","~*"),"?","~?"))&gt;1,"!AMBIG",IFERROR(INDEX('Calculations'!$HF$13:$HF$512,MATCH('Calculations'!ID67,'Calculations'!$HE$13:$HE$512,0)),""))))</x:f>
      </x:c>
      <x:c r="IF67" t="str">
        <x:f>IF('Calculations'!IE67="","",IF('Calculations'!IE67="!AMBIG","!AMBIG",IF(COUNTIF('Calculations'!$HE$13:$HE$512,"="&amp;SUBSTITUTE(SUBSTITUTE(SUBSTITUTE('Calculations'!IE67,"~","~~"),"*","~*"),"?","~?"))&gt;1,"!AMBIG",IFERROR(INDEX('Calculations'!$HF$13:$HF$512,MATCH('Calculations'!IE67,'Calculations'!$HE$13:$HE$512,0)),""))))</x:f>
      </x:c>
      <x:c r="IG67" t="str">
        <x:f>IF('Calculations'!IF67="","",IF('Calculations'!IF67="!AMBIG","!AMBIG",IF(COUNTIF('Calculations'!$HE$13:$HE$512,"="&amp;SUBSTITUTE(SUBSTITUTE(SUBSTITUTE('Calculations'!IF67,"~","~~"),"*","~*"),"?","~?"))&gt;1,"!AMBIG",IFERROR(INDEX('Calculations'!$HF$13:$HF$512,MATCH('Calculations'!IF67,'Calculations'!$HE$13:$HE$512,0)),""))))</x:f>
      </x:c>
      <x:c r="IH67" t="str">
        <x:f>IF('Calculations'!IG67="","",IF('Calculations'!IG67="!AMBIG","!AMBIG",IF(COUNTIF('Calculations'!$HE$13:$HE$512,"="&amp;SUBSTITUTE(SUBSTITUTE(SUBSTITUTE('Calculations'!IG67,"~","~~"),"*","~*"),"?","~?"))&gt;1,"!AMBIG",IFERROR(INDEX('Calculations'!$HF$13:$HF$512,MATCH('Calculations'!IG67,'Calculations'!$HE$13:$HE$512,0)),""))))</x:f>
      </x:c>
      <x:c r="II67" t="str">
        <x:f>IF('Calculations'!IH67="","",IF('Calculations'!IH67="!AMBIG","!AMBIG",IF(COUNTIF('Calculations'!$HE$13:$HE$512,"="&amp;SUBSTITUTE(SUBSTITUTE(SUBSTITUTE('Calculations'!IH67,"~","~~"),"*","~*"),"?","~?"))&gt;1,"!AMBIG",IFERROR(INDEX('Calculations'!$HF$13:$HF$512,MATCH('Calculations'!IH67,'Calculations'!$HE$13:$HE$512,0)),""))))</x:f>
      </x:c>
      <x:c r="IJ67" t="str">
        <x:f>IF('Calculations'!EM67="","",IF('Calculations'!$EF$2="All",'Calculations'!HM67,IF('Calculations'!HL67=1,"",IFERROR(IF(MATCH('Calculations'!$EF$2,'Calculations'!HO67:II67,0)=1,'Calculations'!HE67,INDEX('Calculations'!HO67:II67,1,MATCH('Calculations'!$EF$2,'Calculations'!HO67:II67,0)-1)),""))))</x:f>
      </x:c>
      <x:c r="IK67" t="n">
        <x:f>IF(AND('Calculations'!EM67&lt;&gt;"",'Calculations'!$EF$2&lt;&gt;"All",'Calculations'!HF67='Calculations'!$EF$2,'Calculations'!HL67=0,'Calculations'!JD67&gt;0),MAX('Calculations'!$IK$12:IK66)+1,0)</x:f>
        <x:v>0</x:v>
      </x:c>
      <x:c r="JA67" t="n">
        <x:f>IF(OR(IFERROR(INDIRECT("'WCM Calibration Final'!$A$67")&lt;&gt;"",FALSE),IFERROR(INDIRECT("'WCM Calibration Final'!$B$67")&lt;&gt;"",FALSE),IFERROR(INDIRECT("'WCM Calibration Final'!$C$67")&lt;&gt;"",FALSE)),67,0)</x:f>
        <x:v>0</x:v>
      </x:c>
      <x:c r="JB67" t="n">
        <x:f>'Calculations'!JB66+IF('Calculations'!JA67&gt;0,1,0)</x:f>
        <x:v>0</x:v>
      </x:c>
      <x:c r="JC67" t="n">
        <x:f>IF(OR('Calculations'!HF67="",'Calculations'!HF67="!AMBIG"),0,IF('Dashboard'!$B$7="All",1,COUNTIFS('Calculations'!$HO$13:$HO$512,"="&amp;SUBSTITUTE(SUBSTITUTE(SUBSTITUTE('Calculations'!HF67,"~","~~"),"*","~*"),"?","~?"),'Calculations'!$HN$13:$HN$512,"="&amp;SUBSTITUTE(SUBSTITUTE(SUBSTITUTE('Dashboard'!$B$7,"~","~~"),"*","~*"),"?","~?"))+COUNTIFS('Calculations'!$HP$13:$HP$512,"="&amp;SUBSTITUTE(SUBSTITUTE(SUBSTITUTE('Calculations'!HF67,"~","~~"),"*","~*"),"?","~?"),'Calculations'!$HN$13:$HN$512,"="&amp;SUBSTITUTE(SUBSTITUTE(SUBSTITUTE('Dashboard'!$B$7,"~","~~"),"*","~*"),"?","~?"))+COUNTIFS('Calculations'!$HQ$13:$HQ$512,"="&amp;SUBSTITUTE(SUBSTITUTE(SUBSTITUTE('Calculations'!HF67,"~","~~"),"*","~*"),"?","~?"),'Calculations'!$HN$13:$HN$512,"="&amp;SUBSTITUTE(SUBSTITUTE(SUBSTITUTE('Dashboard'!$B$7,"~","~~"),"*","~*"),"?","~?"))+COUNTIFS('Calculations'!$HR$13:$HR$512,"="&amp;SUBSTITUTE(SUBSTITUTE(SUBSTITUTE('Calculations'!HF67,"~","~~"),"*","~*"),"?","~?"),'Calculations'!$HN$13:$HN$512,"="&amp;SUBSTITUTE(SUBSTITUTE(SUBSTITUTE('Dashboard'!$B$7,"~","~~"),"*","~*"),"?","~?"))+COUNTIFS('Calculations'!$HS$13:$HS$512,"="&amp;SUBSTITUTE(SUBSTITUTE(SUBSTITUTE('Calculations'!HF67,"~","~~"),"*","~*"),"?","~?"),'Calculations'!$HN$13:$HN$512,"="&amp;SUBSTITUTE(SUBSTITUTE(SUBSTITUTE('Dashboard'!$B$7,"~","~~"),"*","~*"),"?","~?"))+COUNTIFS('Calculations'!$HT$13:$HT$512,"="&amp;SUBSTITUTE(SUBSTITUTE(SUBSTITUTE('Calculations'!HF67,"~","~~"),"*","~*"),"?","~?"),'Calculations'!$HN$13:$HN$512,"="&amp;SUBSTITUTE(SUBSTITUTE(SUBSTITUTE('Dashboard'!$B$7,"~","~~"),"*","~*"),"?","~?"))+COUNTIFS('Calculations'!$HU$13:$HU$512,"="&amp;SUBSTITUTE(SUBSTITUTE(SUBSTITUTE('Calculations'!HF67,"~","~~"),"*","~*"),"?","~?"),'Calculations'!$HN$13:$HN$512,"="&amp;SUBSTITUTE(SUBSTITUTE(SUBSTITUTE('Dashboard'!$B$7,"~","~~"),"*","~*"),"?","~?"))+COUNTIFS('Calculations'!$HV$13:$HV$512,"="&amp;SUBSTITUTE(SUBSTITUTE(SUBSTITUTE('Calculations'!HF67,"~","~~"),"*","~*"),"?","~?"),'Calculations'!$HN$13:$HN$512,"="&amp;SUBSTITUTE(SUBSTITUTE(SUBSTITUTE('Dashboard'!$B$7,"~","~~"),"*","~*"),"?","~?"))+COUNTIFS('Calculations'!$HW$13:$HW$512,"="&amp;SUBSTITUTE(SUBSTITUTE(SUBSTITUTE('Calculations'!HF67,"~","~~"),"*","~*"),"?","~?"),'Calculations'!$HN$13:$HN$512,"="&amp;SUBSTITUTE(SUBSTITUTE(SUBSTITUTE('Dashboard'!$B$7,"~","~~"),"*","~*"),"?","~?"))+COUNTIFS('Calculations'!$HX$13:$HX$512,"="&amp;SUBSTITUTE(SUBSTITUTE(SUBSTITUTE('Calculations'!HF67,"~","~~"),"*","~*"),"?","~?"),'Calculations'!$HN$13:$HN$512,"="&amp;SUBSTITUTE(SUBSTITUTE(SUBSTITUTE('Dashboard'!$B$7,"~","~~"),"*","~*"),"?","~?"))+COUNTIFS('Calculations'!$HY$13:$HY$512,"="&amp;SUBSTITUTE(SUBSTITUTE(SUBSTITUTE('Calculations'!HF67,"~","~~"),"*","~*"),"?","~?"),'Calculations'!$HN$13:$HN$512,"="&amp;SUBSTITUTE(SUBSTITUTE(SUBSTITUTE('Dashboard'!$B$7,"~","~~"),"*","~*"),"?","~?"))+COUNTIFS('Calculations'!$HZ$13:$HZ$512,"="&amp;SUBSTITUTE(SUBSTITUTE(SUBSTITUTE('Calculations'!HF67,"~","~~"),"*","~*"),"?","~?"),'Calculations'!$HN$13:$HN$512,"="&amp;SUBSTITUTE(SUBSTITUTE(SUBSTITUTE('Dashboard'!$B$7,"~","~~"),"*","~*"),"?","~?"))+COUNTIFS('Calculations'!$IA$13:$IA$512,"="&amp;SUBSTITUTE(SUBSTITUTE(SUBSTITUTE('Calculations'!HF67,"~","~~"),"*","~*"),"?","~?"),'Calculations'!$HN$13:$HN$512,"="&amp;SUBSTITUTE(SUBSTITUTE(SUBSTITUTE('Dashboard'!$B$7,"~","~~"),"*","~*"),"?","~?"))+COUNTIFS('Calculations'!$IB$13:$IB$512,"="&amp;SUBSTITUTE(SUBSTITUTE(SUBSTITUTE('Calculations'!HF67,"~","~~"),"*","~*"),"?","~?"),'Calculations'!$HN$13:$HN$512,"="&amp;SUBSTITUTE(SUBSTITUTE(SUBSTITUTE('Dashboard'!$B$7,"~","~~"),"*","~*"),"?","~?"))+COUNTIFS('Calculations'!$IC$13:$IC$512,"="&amp;SUBSTITUTE(SUBSTITUTE(SUBSTITUTE('Calculations'!HF67,"~","~~"),"*","~*"),"?","~?"),'Calculations'!$HN$13:$HN$512,"="&amp;SUBSTITUTE(SUBSTITUTE(SUBSTITUTE('Dashboard'!$B$7,"~","~~"),"*","~*"),"?","~?"))+COUNTIFS('Calculations'!$ID$13:$ID$512,"="&amp;SUBSTITUTE(SUBSTITUTE(SUBSTITUTE('Calculations'!HF67,"~","~~"),"*","~*"),"?","~?"),'Calculations'!$HN$13:$HN$512,"="&amp;SUBSTITUTE(SUBSTITUTE(SUBSTITUTE('Dashboard'!$B$7,"~","~~"),"*","~*"),"?","~?"))+COUNTIFS('Calculations'!$IE$13:$IE$512,"="&amp;SUBSTITUTE(SUBSTITUTE(SUBSTITUTE('Calculations'!HF67,"~","~~"),"*","~*"),"?","~?"),'Calculations'!$HN$13:$HN$512,"="&amp;SUBSTITUTE(SUBSTITUTE(SUBSTITUTE('Dashboard'!$B$7,"~","~~"),"*","~*"),"?","~?"))+COUNTIFS('Calculations'!$IF$13:$IF$512,"="&amp;SUBSTITUTE(SUBSTITUTE(SUBSTITUTE('Calculations'!HF67,"~","~~"),"*","~*"),"?","~?"),'Calculations'!$HN$13:$HN$512,"="&amp;SUBSTITUTE(SUBSTITUTE(SUBSTITUTE('Dashboard'!$B$7,"~","~~"),"*","~*"),"?","~?"))+COUNTIFS('Calculations'!$IG$13:$IG$512,"="&amp;SUBSTITUTE(SUBSTITUTE(SUBSTITUTE('Calculations'!HF67,"~","~~"),"*","~*"),"?","~?"),'Calculations'!$HN$13:$HN$512,"="&amp;SUBSTITUTE(SUBSTITUTE(SUBSTITUTE('Dashboard'!$B$7,"~","~~"),"*","~*"),"?","~?"))+COUNTIFS('Calculations'!$IH$13:$IH$512,"="&amp;SUBSTITUTE(SUBSTITUTE(SUBSTITUTE('Calculations'!HF67,"~","~~"),"*","~*"),"?","~?"),'Calculations'!$HN$13:$HN$512,"="&amp;SUBSTITUTE(SUBSTITUTE(SUBSTITUTE('Dashboard'!$B$7,"~","~~"),"*","~*"),"?","~?"))))</x:f>
        <x:v>0</x:v>
      </x:c>
      <x:c r="JD67" t="n">
        <x:f>IF('Calculations'!EM67="",0,IF('Dashboard'!$B$7="All",1,IF('Calculations'!HN67='Dashboard'!$B$7,1,0)+IFERROR(INDEX('Calculations'!$JC$13:$JC$512,MATCH('Calculations'!HE67,'Calculations'!$HF$13:$HF$512,0)),0)))</x:f>
        <x:v>0</x:v>
      </x:c>
      <x:c r="JE67" t="n">
        <x:f>IF(AND('Calculations'!EM67&lt;&gt;"",'Calculations'!$JJ$2&lt;&gt;"All",'Calculations'!$JJ$2&lt;&gt;"",'Calculations'!HF67='Calculations'!$JJ$2,'Calculations'!HL67=0,'Calculations'!JD67&gt;0),MAX('Calculations'!$JE$12:JE66)+1,0)</x:f>
        <x:v>0</x:v>
      </x:c>
      <x:c r="JF67" t="str">
        <x:f>IF('Calculations'!EM67="","",IFERROR(IF(INDEX(INDIRECT("'WCM Calibration Final'!$G$1:$G$2000"),'Calculations'!$EM67)="","",TRIM(INDEX(INDIRECT("'WCM Calibration Final'!$G$1:$G$2000"),'Calculations'!$EM67)&amp;"")),""))</x:f>
      </x:c>
      <x:c r="JQ67" t="n">
        <x:f>IF(OR('Calculations'!BM67=0,NOT('Calculations'!$AG$2),'Calculations'!$AG$8&gt;0),0,IF(OR('Dashboard'!$B$7="All",'Calculations'!HN67='Dashboard'!$B$7),IF('Calculations'!$JJ$2="All",1,IF(AND('Calculations'!HF67='Calculations'!$JJ$2,'Calculations'!HL67=0),1,0)),0))</x:f>
        <x:v>0</x:v>
      </x:c>
    </x:row>
    <x:row r="68">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t="n">
        <x:f>IF('Calculations'!$EM68="",0,IF(OR(IFERROR(INDEX(INDIRECT("'WCM Calibration Final'!$A$1:$A$2000"),'Calculations'!$EM68)&lt;&gt;"",FALSE),IFERROR(INDEX(INDIRECT("'WCM Calibration Final'!$B$1:$B$2000"),'Calculations'!$EM68)&lt;&gt;"",FALSE),IFERROR(INDEX(INDIRECT("'WCM Calibration Final'!$C$1:$C$2000"),'Calculations'!$EM68)&lt;&gt;"",FALSE)),1,0))</x:f>
        <x:v>0</x:v>
      </x:c>
      <x:c r="BN68" s="4" t="n">
        <x:f>IF(AND('Calculations'!BM68=1,'Calculations'!$AG$2,'Calculations'!$EN68=1),1,0)</x:f>
        <x:v>0</x:v>
      </x:c>
      <x:c r="BO68" s="4" t="str">
        <x:f>IF('Calculations'!BM68=0,"",IFERROR(IF(AND(VALUE(INDEX(INDIRECT("'WCM Calibration Final'!$K$1:$K$2000"),'Calculations'!$EM68))&gt;=1,VALUE(INDEX(INDIRECT("'WCM Calibration Final'!$K$1:$K$2000"),'Calculations'!$EM68))&lt;=4,MOD(VALUE(INDEX(INDIRECT("'WCM Calibration Final'!$K$1:$K$2000"),'Calculations'!$EM68)),1)=0),VALUE(INDEX(INDIRECT("'WCM Calibration Final'!$K$1:$K$2000"),'Calculations'!$EM68)),""),""))</x:f>
      </x:c>
      <x:c r="BP68" s="4" t="str">
        <x:f>IF('Calculations'!BM68=0,"",IFERROR(IF(AND(VALUE(INDEX(INDIRECT("'WCM Calibration Final'!$L$1:$L$2000"),'Calculations'!$EM68))&gt;=1,VALUE(INDEX(INDIRECT("'WCM Calibration Final'!$L$1:$L$2000"),'Calculations'!$EM68))&lt;=4,MOD(VALUE(INDEX(INDIRECT("'WCM Calibration Final'!$L$1:$L$2000"),'Calculations'!$EM68)),1)=0),VALUE(INDEX(INDIRECT("'WCM Calibration Final'!$L$1:$L$2000"),'Calculations'!$EM68)),""),""))</x:f>
      </x:c>
      <x:c r="BQ68" s="4"/>
      <x:c r="BR68" s="4"/>
      <x:c r="BS68" s="4"/>
      <x:c r="BT68" s="4" t="n">
        <x:f>IF(AND('Calculations'!BM68=1,ISNUMBER('Calculations'!BO68),ISNUMBER('Calculations'!BP68)),1,0)</x:f>
        <x:v>0</x:v>
      </x:c>
      <x:c r="BU68" s="4" t="str">
        <x:f>IF('Calculations'!BM68=0,"",'Calculations'!$EO68)</x:f>
      </x:c>
      <x:c r="BV68" s="4" t="str">
        <x:f>IF('Calculations'!BM68=0,"",IFERROR(IF(OR(INDEX(INDIRECT("'WCM Calibration Final'!$H$1:$H$2000"),'Calculations'!$EM68)="MANAGING DIRECTOR",INDEX(INDIRECT("'WCM Calibration Final'!$H$1:$H$2000"),'Calculations'!$EM68)="DIRECTOR",INDEX(INDIRECT("'WCM Calibration Final'!$H$1:$H$2000"),'Calculations'!$EM68)="SENIOR VICE PRESIDENT",INDEX(INDIRECT("'WCM Calibration Final'!$H$1:$H$2000"),'Calculations'!$EM68)="VICE PRESIDENT",INDEX(INDIRECT("'WCM Calibration Final'!$H$1:$H$2000"),'Calculations'!$EM68)="ASSISTANT VICE PRESIDENT",INDEX(INDIRECT("'WCM Calibration Final'!$H$1:$H$2000"),'Calculations'!$EM68)="OFFICER"),UPPER(INDEX(INDIRECT("'WCM Calibration Final'!$H$1:$H$2000"),'Calculations'!$EM68)),"Other"),"Other"))</x:f>
      </x:c>
      <x:c r="BW68" s="4"/>
      <x:c r="BX68" s="4"/>
      <x:c r="BY68" s="4" t="n">
        <x:f>IF(AND('Calculations'!BM68=1,'Calculations'!BU68&lt;&gt;"",COUNTIF('Calculations'!$BU$12:BU68,'Calculations'!BU68)=1),MAX('Calculations'!$BY$11:BY67)+1,0)</x:f>
        <x:v>0</x:v>
      </x:c>
      <x:c r="BZ68" s="4" t="str">
        <x:f>IF('Dashboard'!$E$67="What",'Calculations'!BO68,'Calculations'!BP68)</x:f>
      </x:c>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t="str">
        <x:f>IF(57&gt;MAX('Calculations'!$HI$13:$HI$512),"",INDEX('Calculations'!$HN$13:$HN$512,MATCH(57,'Calculations'!$HI$13:$HI$512,0)))</x:f>
      </x:c>
      <x:c r="DB68" s="4" t="str">
        <x:f>IF(57&gt;MAX('Calculations'!$HH$13:$HH$512),"",INDEX('Calculations'!$HJ$13:$HJ$512,MATCH(57,'Calculations'!$HH$13:$HH$512,0)))</x:f>
      </x:c>
      <x:c r="DC68" s="4" t="str">
        <x:f>IF(ROW()-11&gt;MAX('Calculations'!$BY$13:$BY$512),"",INDEX('Calculations'!$BU$13:$BU$512,MATCH(ROW()-11,'Calculations'!$BY$13:$BY$512,0)))</x:f>
      </x:c>
      <x:c r="DD68" s="4" t="str">
        <x:f>IF(57&gt;MAX('Calculations'!$IK$13:$IK$512),"",INDEX('Calculations'!$HK$13:$HK$512,MATCH(57,'Calculations'!$IK$13:$IK$512,0)))</x:f>
      </x:c>
      <x:c r="DE68" s="4" t="str">
        <x:f>'Calculations'!DC68</x:f>
      </x:c>
      <x:c r="DF68" s="4" t="str">
        <x:f>IF('Calculations'!DE68="","",COUNTIFS('Calculations'!$BN$13:$BN$512,1,'Calculations'!$BU$13:$BU$512,'Calculations'!DE68))</x:f>
      </x:c>
      <x:c r="DG68" s="4" t="str">
        <x:f>IF('Calculations'!DE68="","",COUNTIFS('Calculations'!$BN$13:$BN$512,1,'Calculations'!$BU$13:$BU$512,'Calculations'!DE68,'Calculations'!$BT$13:$BT$512,1))</x:f>
      </x:c>
      <x:c r="DH68" s="4" t="str">
        <x:f>IF('Calculations'!DE68="","",'Calculations'!DF68-'Calculations'!DG68)</x:f>
      </x:c>
      <x:c r="DI68" s="4" t="str">
        <x:f>IF(OR('Calculations'!DE68="",'Calculations'!DF68=0),"",'Calculations'!DG68/'Calculations'!DF68)</x:f>
      </x:c>
      <x:c r="DJ68" s="4" t="str">
        <x:f>IF('Calculations'!DE68="","",COUNTIFS('Calculations'!$BN$13:$BN$512,1,'Calculations'!$BU$13:$BU$512,'Calculations'!DE68,'Calculations'!$BT$13:$BT$512,1,'Calculations'!$EE$13:$EE$512,"High"))</x:f>
      </x:c>
      <x:c r="DK68" s="4" t="str">
        <x:f>IF('Calculations'!DE68="","",COUNTIFS('Calculations'!$BN$13:$BN$512,1,'Calculations'!$BU$13:$BU$512,'Calculations'!DE68,'Calculations'!$BT$13:$BT$512,1,'Calculations'!$EE$13:$EE$512,"Strong"))</x:f>
      </x:c>
      <x:c r="DL68" s="4" t="str">
        <x:f>IF('Calculations'!DE68="","",COUNTIFS('Calculations'!$BN$13:$BN$512,1,'Calculations'!$BU$13:$BU$512,'Calculations'!DE68,'Calculations'!$BT$13:$BT$512,1,'Calculations'!$EE$13:$EE$512,"Solid"))</x:f>
      </x:c>
      <x:c r="DM68" s="4" t="str">
        <x:f>IF('Calculations'!DE68="","",COUNTIFS('Calculations'!$BN$13:$BN$512,1,'Calculations'!$BU$13:$BU$512,'Calculations'!DE68,'Calculations'!$BT$13:$BT$512,1,'Calculations'!$EE$13:$EE$512,"Low"))</x:f>
      </x:c>
      <x:c r="DN68" s="4" t="str">
        <x:f>IF('Calculations'!DE68="","",COUNTIFS('Calculations'!$BN$13:$BN$512,1,'Calculations'!$BU$13:$BU$512,'Calculations'!DE68,'Calculations'!$EP$13:$EP$512,1))</x:f>
      </x:c>
      <x:c r="DO68" s="4" t="str">
        <x:f>IF(OR('Calculations'!DE68="",'Calculations'!DG68=0),"",('Calculations'!DJ68+'Calculations'!DK68)/'Calculations'!DG68)</x:f>
      </x:c>
      <x:c r="DP68" s="4" t="n">
        <x:f>IF(AND('Calculations'!DE68&lt;&gt;"",'Calculations'!DF68&gt;0),COUNTIF('Calculations'!$DF$12:DF68,"&gt;0"),0)</x:f>
        <x:v>0</x:v>
      </x:c>
      <x:c r="DQ68" s="4" t="str">
        <x:f>IF(57&gt;MAX('Calculations'!$HH$13:$HH$512),"",INDEX('Calculations'!$HF$13:$HF$512,MATCH(57,'Calculations'!$HH$13:$HH$512,0)))</x:f>
      </x:c>
      <x:c r="DR68" s="4" t="str">
        <x:f>IF(57&gt;MAX('Calculations'!$IK$13:$IK$512),"",INDEX('Calculations'!$HE$13:$HE$512,MATCH(57,'Calculations'!$IK$13:$IK$512,0)))</x:f>
      </x:c>
      <x:c r="DS68" s="4"/>
      <x:c r="DT68" s="4"/>
      <x:c r="DU68" s="4"/>
      <x:c r="DV68" s="4"/>
      <x:c r="DW68" s="4"/>
      <x:c r="DX68" s="4"/>
      <x:c r="DY68" s="4" t="str">
        <x:f>IFERROR(TEXT('Calculations'!AI74,"0.0%"),"—")</x:f>
        <x:v>7.0%</x:v>
      </x:c>
      <x:c r="DZ68" s="4"/>
      <x:c r="EA68" s="4"/>
      <x:c r="EB68" s="4"/>
      <x:c r="EC68" s="4"/>
      <x:c r="ED68" s="4"/>
      <x:c r="EE68" s="4" t="str">
        <x:f>IF('Calculations'!BT68=0,"Not Rated",IF(OR('Calculations'!BO68&gt;=4,'Calculations'!BP68&gt;=4),"Low",IF('Calculations'!BO68+'Calculations'!BP68&lt;=3,"High",IF('Calculations'!BO68+'Calculations'!BP68&lt;=4,"Strong","Solid"))))</x:f>
        <x:v>Not Rated</x:v>
      </x:c>
      <x:c r="EF68" s="4"/>
      <x:c r="EG68" s="4"/>
      <x:c r="EH68" s="4"/>
      <x:c r="EI68" s="4"/>
      <x:c r="EJ68" s="4"/>
      <x:c r="EK68" s="4"/>
      <x:c r="EL68" s="4"/>
      <x:c r="EM68" s="4" t="str">
        <x:f>IF(56&gt;'Calculations'!$JB$2000,"",INDEX('Calculations'!$JA$12:$JA$2000,MATCH(56,'Calculations'!$JB$12:$JB$2000,0)))</x:f>
      </x:c>
      <x:c r="EN68" s="4" t="n">
        <x:f>IF(OR('Calculations'!EM68="",'Calculations'!$AG$8&gt;0,AND('Calculations'!$EF$2&lt;&gt;"All",'Calculations'!HE68='Calculations'!$EF$2),AND('Calculations'!$EF$3&lt;&gt;"All",'Calculations'!HE68='Calculations'!$EF$3)),0,IF(OR('Dashboard'!$B$7="All",'Calculations'!HN68='Dashboard'!$B$7),IF('Calculations'!$EF$2="All",1,IF('Calculations'!HL68&gt;0,0,IF(COUNTIF('Calculations'!HO68:II68,"="&amp;SUBSTITUTE(SUBSTITUTE(SUBSTITUTE('Calculations'!$EF$2,"~","~~"),"*","~*"),"?","~?"))=0,0,IF('Calculations'!$EF$3="All",1,IF(COUNTIF('Calculations'!HO68:II68,"="&amp;SUBSTITUTE(SUBSTITUTE(SUBSTITUTE('Calculations'!$EF$3,"~","~~"),"*","~*"),"?","~?"))&gt;0,1,0))))),0))</x:f>
        <x:v>0</x:v>
      </x:c>
      <x:c r="EO68" s="4" t="str">
        <x:f>IF('Calculations'!IJ68="","",IF('Calculations'!IJ68="!UNRESOLVED","Unresolved hierarchy",IFERROR(INDEX('Calculations'!$HK$13:$HK$512,MATCH('Calculations'!IJ68,'Calculations'!$HE$13:$HE$512,0)),IFERROR(INDEX('Calculations'!$HJ$13:$HJ$512,MATCH('Calculations'!IJ68,'Calculations'!$HF$13:$HF$512,0)),'Calculations'!IJ68))))</x:f>
      </x:c>
      <x:c r="EP68" s="4" t="n">
        <x:f>IF(AND('Calculations'!EM68&lt;&gt;"",'Calculations'!HF68='Calculations'!IJ68),1,0)</x:f>
        <x:v>0</x:v>
      </x:c>
      <x:c r="EQ68" s="4"/>
      <x:c r="ER68" s="4"/>
      <x:c r="ES68" s="4"/>
      <x:c r="ET68" s="4"/>
      <x:c r="EU68" s="4"/>
      <x:c r="EV68" s="4"/>
      <x:c r="EW68" s="4"/>
      <x:c r="EX68" s="4"/>
      <x:c r="EY68" s="4"/>
      <x:c r="EZ68" s="4"/>
      <x:c r="FA68" s="4"/>
      <x:c r="FB68" s="4"/>
      <x:c r="FC68" s="4"/>
      <x:c r="FD68" s="4"/>
      <x:c r="FE68" s="4"/>
      <x:c r="FF68" s="4"/>
      <x:c r="FG68" s="4"/>
      <x:c r="FH68" s="4"/>
      <x:c r="FI68" s="4"/>
      <x:c r="FJ68" s="4"/>
      <x:c r="FK68" s="4"/>
      <x:c r="FL68" s="4"/>
      <x:c r="FM68" s="4"/>
      <x:c r="FN68" s="4"/>
      <x:c r="FO68" s="4"/>
      <x:c r="GA68" s="71"/>
      <x:c r="GB68" s="71"/>
      <x:c r="GC68" s="71"/>
      <x:c r="GD68" s="71"/>
      <x:c r="GE68" s="71"/>
      <x:c r="GF68" s="71"/>
      <x:c r="GG68" s="71"/>
      <x:c r="GH68" s="71"/>
      <x:c r="GI68" s="71"/>
      <x:c r="GJ68" s="71"/>
      <x:c r="GK68" s="71"/>
      <x:c r="GL68" s="71"/>
      <x:c r="GM68" s="71"/>
      <x:c r="GN68" s="71"/>
      <x:c r="GO68" s="71"/>
      <x:c r="GP68" s="71"/>
      <x:c r="GQ68" s="71"/>
      <x:c r="GR68" s="71"/>
      <x:c r="GS68" s="71"/>
      <x:c r="GT68" s="71"/>
      <x:c r="GU68" s="71"/>
      <x:c r="GV68" s="71"/>
      <x:c r="GW68" s="71"/>
      <x:c r="GX68" s="71"/>
      <x:c r="GY68" s="71"/>
      <x:c r="GZ68" s="71"/>
      <x:c r="HA68" s="71"/>
      <x:c r="HB68" s="71"/>
      <x:c r="HC68" s="71"/>
      <x:c r="HD68" s="71"/>
      <x:c r="HE68" t="str">
        <x:f>IF('Calculations'!EM68="","",IF(IFERROR(IF(INDEX(INDIRECT("'WCM Calibration Final'!$A$1:$A$2000"),'Calculations'!$EM68)="","",TRIM(INDEX(INDIRECT("'WCM Calibration Final'!$A$1:$A$2000"),'Calculations'!$EM68)&amp;"")),"")&lt;&gt;"","G:"&amp;IFERROR(TEXT(1*INDEX(INDIRECT("'WCM Calibration Final'!$A$1:$A$2000"),'Calculations'!$EM68),"0"),UPPER(IFERROR(IF(INDEX(INDIRECT("'WCM Calibration Final'!$A$1:$A$2000"),'Calculations'!$EM68)="","",TRIM(INDEX(INDIRECT("'WCM Calibration Final'!$A$1:$A$2000"),'Calculations'!$EM68)&amp;"")),""))),IF(IFERROR(IF(INDEX(INDIRECT("'WCM Calibration Final'!$C$1:$C$2000"),'Calculations'!$EM68)="","",TRIM(INDEX(INDIRECT("'WCM Calibration Final'!$C$1:$C$2000"),'Calculations'!$EM68)&amp;"")),"")&lt;&gt;"","S:"&amp;UPPER(IFERROR(IF(INDEX(INDIRECT("'WCM Calibration Final'!$C$1:$C$2000"),'Calculations'!$EM68)="","",TRIM(INDEX(INDIRECT("'WCM Calibration Final'!$C$1:$C$2000"),'Calculations'!$EM68)&amp;"")),"")),"R:"&amp;'Calculations'!EM68)))</x:f>
      </x:c>
      <x:c r="HF68" t="str">
        <x:f>IF('Calculations'!EM68="","",IF(IFERROR(IF(INDEX(INDIRECT("'WCM Calibration Final'!$D$1:$D$2000"),'Calculations'!$EM68)="","",TRIM(INDEX(INDIRECT("'WCM Calibration Final'!$D$1:$D$2000"),'Calculations'!$EM68)&amp;"")),"")&lt;&gt;"","G:"&amp;IFERROR(TEXT(1*INDEX(INDIRECT("'WCM Calibration Final'!$D$1:$D$2000"),'Calculations'!$EM68),"0"),UPPER(IFERROR(IF(INDEX(INDIRECT("'WCM Calibration Final'!$D$1:$D$2000"),'Calculations'!$EM68)="","",TRIM(INDEX(INDIRECT("'WCM Calibration Final'!$D$1:$D$2000"),'Calculations'!$EM68)&amp;"")),""))),IF(IFERROR(IF(INDEX(INDIRECT("'WCM Calibration Final'!$E$1:$E$2000"),'Calculations'!$EM68)="","",TRIM(INDEX(INDIRECT("'WCM Calibration Final'!$E$1:$E$2000"),'Calculations'!$EM68)&amp;"")),"")="","",IF(COUNTIF('Calculations'!$HG$13:$HG$512,"="&amp;SUBSTITUTE(SUBSTITUTE(SUBSTITUTE(IFERROR(IF(INDEX(INDIRECT("'WCM Calibration Final'!$E$1:$E$2000"),'Calculations'!$EM68)="","",TRIM(INDEX(INDIRECT("'WCM Calibration Final'!$E$1:$E$2000"),'Calculations'!$EM68)&amp;"")),""),"~","~~"),"*","~*"),"?","~?"))=1,INDEX('Calculations'!$HE$13:$HE$512,MATCH(IFERROR(IF(INDEX(INDIRECT("'WCM Calibration Final'!$E$1:$E$2000"),'Calculations'!$EM68)="","",TRIM(INDEX(INDIRECT("'WCM Calibration Final'!$E$1:$E$2000"),'Calculations'!$EM68)&amp;"")),""),'Calculations'!$HG$13:$HG$512,0)),IF(COUNTIF('Calculations'!$HG$13:$HG$512,"="&amp;SUBSTITUTE(SUBSTITUTE(SUBSTITUTE(IFERROR(IF(INDEX(INDIRECT("'WCM Calibration Final'!$E$1:$E$2000"),'Calculations'!$EM68)="","",TRIM(INDEX(INDIRECT("'WCM Calibration Final'!$E$1:$E$2000"),'Calculations'!$EM68)&amp;"")),""),"~","~~"),"*","~*"),"?","~?"))&gt;1,"!AMBIG","X:"&amp;IFERROR(IF(INDEX(INDIRECT("'WCM Calibration Final'!$E$1:$E$2000"),'Calculations'!$EM68)="","",TRIM(INDEX(INDIRECT("'WCM Calibration Final'!$E$1:$E$2000"),'Calculations'!$EM68)&amp;"")),""))))))</x:f>
      </x:c>
      <x:c r="HG68" t="str">
        <x:f>IF('Calculations'!EM68="","",IFERROR(IF(INDEX(INDIRECT("'WCM Calibration Final'!$B$1:$B$2000"),'Calculations'!$EM68)="","",TRIM(INDEX(INDIRECT("'WCM Calibration Final'!$B$1:$B$2000"),'Calculations'!$EM68)&amp;"")),""))</x:f>
      </x:c>
      <x:c r="HH68" t="n">
        <x:f>IF(AND('Calculations'!JC68&gt;0,COUNTIF('Calculations'!$HF$12:HF68,"="&amp;SUBSTITUTE(SUBSTITUTE(SUBSTITUTE('Calculations'!HF68,"~","~~"),"*","~*"),"?","~?"))=1),MAX('Calculations'!$HH$12:HH67)+1,0)</x:f>
        <x:v>0</x:v>
      </x:c>
      <x:c r="HI68" t="n">
        <x:f>IF(AND('Calculations'!HN68&lt;&gt;"",COUNTIF('Calculations'!$HN$12:HN68,"="&amp;SUBSTITUTE(SUBSTITUTE(SUBSTITUTE('Calculations'!HN68,"~","~~"),"*","~*"),"?","~?"))=1),MAX('Calculations'!$HI$12:HI67)+1,0)</x:f>
        <x:v>0</x:v>
      </x:c>
      <x:c r="HJ68" t="str">
        <x:f>IF('Calculations'!HF68="","",IF(COUNTIF('Calculations'!$HE$13:$HE$512,"="&amp;SUBSTITUTE(SUBSTITUTE(SUBSTITUTE('Calculations'!HF68,"~","~~"),"*","~*"),"?","~?"))=1,INDEX('Calculations'!$HK$13:$HK$512,MATCH('Calculations'!HF68,'Calculations'!$HE$13:$HE$512,0)),IFERROR(IF(INDEX(INDIRECT("'WCM Calibration Final'!$E$1:$E$2000"),'Calculations'!$EM68)="","",TRIM(INDEX(INDIRECT("'WCM Calibration Final'!$E$1:$E$2000"),'Calculations'!$EM68)&amp;"")),"")&amp;" ["&amp;'Calculations'!HF68&amp;"]"))</x:f>
      </x:c>
      <x:c r="HK68" t="str">
        <x:f>IF('Calculations'!EM68="","",'Calculations'!HG68&amp;" ["&amp;'Calculations'!HE68&amp;"]")</x:f>
      </x:c>
      <x:c r="HL68" t="n">
        <x:f>IF('Calculations'!EM68="",0,IF(OR('Calculations'!II68&lt;&gt;"",COUNTIF('Calculations'!$HE$13:$HE$512,"="&amp;SUBSTITUTE(SUBSTITUTE(SUBSTITUTE('Calculations'!HE68,"~","~~"),"*","~*"),"?","~?"))&gt;1),1,0))</x:f>
        <x:v>0</x:v>
      </x:c>
      <x:c r="HM68" t="str">
        <x:f>IF('Calculations'!EM68="","",IF('Calculations'!HL68=1,"!UNRESOLVED",IF('Calculations'!IH68&lt;&gt;"",'Calculations'!IH68,IF('Calculations'!IG68&lt;&gt;"",'Calculations'!IG68,IF('Calculations'!IF68&lt;&gt;"",'Calculations'!IF68,IF('Calculations'!IE68&lt;&gt;"",'Calculations'!IE68,IF('Calculations'!ID68&lt;&gt;"",'Calculations'!ID68,IF('Calculations'!IC68&lt;&gt;"",'Calculations'!IC68,IF('Calculations'!IB68&lt;&gt;"",'Calculations'!IB68,IF('Calculations'!IA68&lt;&gt;"",'Calculations'!IA68,IF('Calculations'!HZ68&lt;&gt;"",'Calculations'!HZ68,IF('Calculations'!HY68&lt;&gt;"",'Calculations'!HY68,IF('Calculations'!HX68&lt;&gt;"",'Calculations'!HX68,IF('Calculations'!HW68&lt;&gt;"",'Calculations'!HW68,IF('Calculations'!HV68&lt;&gt;"",'Calculations'!HV68,IF('Calculations'!HU68&lt;&gt;"",'Calculations'!HU68,IF('Calculations'!HT68&lt;&gt;"",'Calculations'!HT68,IF('Calculations'!HS68&lt;&gt;"",'Calculations'!HS68,IF('Calculations'!HR68&lt;&gt;"",'Calculations'!HR68,IF('Calculations'!HQ68&lt;&gt;"",'Calculations'!HQ68,IF('Calculations'!HP68&lt;&gt;"",'Calculations'!HP68,IF('Calculations'!HO68&lt;&gt;"",'Calculations'!HO68,'Calculations'!HE68))))))))))))))))))))))</x:f>
      </x:c>
      <x:c r="HN68" t="str">
        <x:f>IF('Calculations'!EM68="","",IF(IFERROR(IF(INDEX(INDIRECT("'WCM Calibration Final'!$F$1:$F$2000"),'Calculations'!$EM68)="","",TRIM(INDEX(INDIRECT("'WCM Calibration Final'!$F$1:$F$2000"),'Calculations'!$EM68)&amp;"")),"")="","(Blank)",IFERROR(IF(INDEX(INDIRECT("'WCM Calibration Final'!$F$1:$F$2000"),'Calculations'!$EM68)="","",TRIM(INDEX(INDIRECT("'WCM Calibration Final'!$F$1:$F$2000"),'Calculations'!$EM68)&amp;"")),"")))</x:f>
      </x:c>
      <x:c r="HO68" t="str">
        <x:f>'Calculations'!HF68</x:f>
      </x:c>
      <x:c r="HP68" t="str">
        <x:f>IF('Calculations'!HO68="","",IF('Calculations'!HO68="!AMBIG","!AMBIG",IF(COUNTIF('Calculations'!$HE$13:$HE$512,"="&amp;SUBSTITUTE(SUBSTITUTE(SUBSTITUTE('Calculations'!HO68,"~","~~"),"*","~*"),"?","~?"))&gt;1,"!AMBIG",IFERROR(INDEX('Calculations'!$HF$13:$HF$512,MATCH('Calculations'!HO68,'Calculations'!$HE$13:$HE$512,0)),""))))</x:f>
      </x:c>
      <x:c r="HQ68" t="str">
        <x:f>IF('Calculations'!HP68="","",IF('Calculations'!HP68="!AMBIG","!AMBIG",IF(COUNTIF('Calculations'!$HE$13:$HE$512,"="&amp;SUBSTITUTE(SUBSTITUTE(SUBSTITUTE('Calculations'!HP68,"~","~~"),"*","~*"),"?","~?"))&gt;1,"!AMBIG",IFERROR(INDEX('Calculations'!$HF$13:$HF$512,MATCH('Calculations'!HP68,'Calculations'!$HE$13:$HE$512,0)),""))))</x:f>
      </x:c>
      <x:c r="HR68" t="str">
        <x:f>IF('Calculations'!HQ68="","",IF('Calculations'!HQ68="!AMBIG","!AMBIG",IF(COUNTIF('Calculations'!$HE$13:$HE$512,"="&amp;SUBSTITUTE(SUBSTITUTE(SUBSTITUTE('Calculations'!HQ68,"~","~~"),"*","~*"),"?","~?"))&gt;1,"!AMBIG",IFERROR(INDEX('Calculations'!$HF$13:$HF$512,MATCH('Calculations'!HQ68,'Calculations'!$HE$13:$HE$512,0)),""))))</x:f>
      </x:c>
      <x:c r="HS68" t="str">
        <x:f>IF('Calculations'!HR68="","",IF('Calculations'!HR68="!AMBIG","!AMBIG",IF(COUNTIF('Calculations'!$HE$13:$HE$512,"="&amp;SUBSTITUTE(SUBSTITUTE(SUBSTITUTE('Calculations'!HR68,"~","~~"),"*","~*"),"?","~?"))&gt;1,"!AMBIG",IFERROR(INDEX('Calculations'!$HF$13:$HF$512,MATCH('Calculations'!HR68,'Calculations'!$HE$13:$HE$512,0)),""))))</x:f>
      </x:c>
      <x:c r="HT68" t="str">
        <x:f>IF('Calculations'!HS68="","",IF('Calculations'!HS68="!AMBIG","!AMBIG",IF(COUNTIF('Calculations'!$HE$13:$HE$512,"="&amp;SUBSTITUTE(SUBSTITUTE(SUBSTITUTE('Calculations'!HS68,"~","~~"),"*","~*"),"?","~?"))&gt;1,"!AMBIG",IFERROR(INDEX('Calculations'!$HF$13:$HF$512,MATCH('Calculations'!HS68,'Calculations'!$HE$13:$HE$512,0)),""))))</x:f>
      </x:c>
      <x:c r="HU68" t="str">
        <x:f>IF('Calculations'!HT68="","",IF('Calculations'!HT68="!AMBIG","!AMBIG",IF(COUNTIF('Calculations'!$HE$13:$HE$512,"="&amp;SUBSTITUTE(SUBSTITUTE(SUBSTITUTE('Calculations'!HT68,"~","~~"),"*","~*"),"?","~?"))&gt;1,"!AMBIG",IFERROR(INDEX('Calculations'!$HF$13:$HF$512,MATCH('Calculations'!HT68,'Calculations'!$HE$13:$HE$512,0)),""))))</x:f>
      </x:c>
      <x:c r="HV68" t="str">
        <x:f>IF('Calculations'!HU68="","",IF('Calculations'!HU68="!AMBIG","!AMBIG",IF(COUNTIF('Calculations'!$HE$13:$HE$512,"="&amp;SUBSTITUTE(SUBSTITUTE(SUBSTITUTE('Calculations'!HU68,"~","~~"),"*","~*"),"?","~?"))&gt;1,"!AMBIG",IFERROR(INDEX('Calculations'!$HF$13:$HF$512,MATCH('Calculations'!HU68,'Calculations'!$HE$13:$HE$512,0)),""))))</x:f>
      </x:c>
      <x:c r="HW68" t="str">
        <x:f>IF('Calculations'!HV68="","",IF('Calculations'!HV68="!AMBIG","!AMBIG",IF(COUNTIF('Calculations'!$HE$13:$HE$512,"="&amp;SUBSTITUTE(SUBSTITUTE(SUBSTITUTE('Calculations'!HV68,"~","~~"),"*","~*"),"?","~?"))&gt;1,"!AMBIG",IFERROR(INDEX('Calculations'!$HF$13:$HF$512,MATCH('Calculations'!HV68,'Calculations'!$HE$13:$HE$512,0)),""))))</x:f>
      </x:c>
      <x:c r="HX68" t="str">
        <x:f>IF('Calculations'!HW68="","",IF('Calculations'!HW68="!AMBIG","!AMBIG",IF(COUNTIF('Calculations'!$HE$13:$HE$512,"="&amp;SUBSTITUTE(SUBSTITUTE(SUBSTITUTE('Calculations'!HW68,"~","~~"),"*","~*"),"?","~?"))&gt;1,"!AMBIG",IFERROR(INDEX('Calculations'!$HF$13:$HF$512,MATCH('Calculations'!HW68,'Calculations'!$HE$13:$HE$512,0)),""))))</x:f>
      </x:c>
      <x:c r="HY68" t="str">
        <x:f>IF('Calculations'!HX68="","",IF('Calculations'!HX68="!AMBIG","!AMBIG",IF(COUNTIF('Calculations'!$HE$13:$HE$512,"="&amp;SUBSTITUTE(SUBSTITUTE(SUBSTITUTE('Calculations'!HX68,"~","~~"),"*","~*"),"?","~?"))&gt;1,"!AMBIG",IFERROR(INDEX('Calculations'!$HF$13:$HF$512,MATCH('Calculations'!HX68,'Calculations'!$HE$13:$HE$512,0)),""))))</x:f>
      </x:c>
      <x:c r="HZ68" t="str">
        <x:f>IF('Calculations'!HY68="","",IF('Calculations'!HY68="!AMBIG","!AMBIG",IF(COUNTIF('Calculations'!$HE$13:$HE$512,"="&amp;SUBSTITUTE(SUBSTITUTE(SUBSTITUTE('Calculations'!HY68,"~","~~"),"*","~*"),"?","~?"))&gt;1,"!AMBIG",IFERROR(INDEX('Calculations'!$HF$13:$HF$512,MATCH('Calculations'!HY68,'Calculations'!$HE$13:$HE$512,0)),""))))</x:f>
      </x:c>
      <x:c r="IA68" t="str">
        <x:f>IF('Calculations'!HZ68="","",IF('Calculations'!HZ68="!AMBIG","!AMBIG",IF(COUNTIF('Calculations'!$HE$13:$HE$512,"="&amp;SUBSTITUTE(SUBSTITUTE(SUBSTITUTE('Calculations'!HZ68,"~","~~"),"*","~*"),"?","~?"))&gt;1,"!AMBIG",IFERROR(INDEX('Calculations'!$HF$13:$HF$512,MATCH('Calculations'!HZ68,'Calculations'!$HE$13:$HE$512,0)),""))))</x:f>
      </x:c>
      <x:c r="IB68" t="str">
        <x:f>IF('Calculations'!IA68="","",IF('Calculations'!IA68="!AMBIG","!AMBIG",IF(COUNTIF('Calculations'!$HE$13:$HE$512,"="&amp;SUBSTITUTE(SUBSTITUTE(SUBSTITUTE('Calculations'!IA68,"~","~~"),"*","~*"),"?","~?"))&gt;1,"!AMBIG",IFERROR(INDEX('Calculations'!$HF$13:$HF$512,MATCH('Calculations'!IA68,'Calculations'!$HE$13:$HE$512,0)),""))))</x:f>
      </x:c>
      <x:c r="IC68" t="str">
        <x:f>IF('Calculations'!IB68="","",IF('Calculations'!IB68="!AMBIG","!AMBIG",IF(COUNTIF('Calculations'!$HE$13:$HE$512,"="&amp;SUBSTITUTE(SUBSTITUTE(SUBSTITUTE('Calculations'!IB68,"~","~~"),"*","~*"),"?","~?"))&gt;1,"!AMBIG",IFERROR(INDEX('Calculations'!$HF$13:$HF$512,MATCH('Calculations'!IB68,'Calculations'!$HE$13:$HE$512,0)),""))))</x:f>
      </x:c>
      <x:c r="ID68" t="str">
        <x:f>IF('Calculations'!IC68="","",IF('Calculations'!IC68="!AMBIG","!AMBIG",IF(COUNTIF('Calculations'!$HE$13:$HE$512,"="&amp;SUBSTITUTE(SUBSTITUTE(SUBSTITUTE('Calculations'!IC68,"~","~~"),"*","~*"),"?","~?"))&gt;1,"!AMBIG",IFERROR(INDEX('Calculations'!$HF$13:$HF$512,MATCH('Calculations'!IC68,'Calculations'!$HE$13:$HE$512,0)),""))))</x:f>
      </x:c>
      <x:c r="IE68" t="str">
        <x:f>IF('Calculations'!ID68="","",IF('Calculations'!ID68="!AMBIG","!AMBIG",IF(COUNTIF('Calculations'!$HE$13:$HE$512,"="&amp;SUBSTITUTE(SUBSTITUTE(SUBSTITUTE('Calculations'!ID68,"~","~~"),"*","~*"),"?","~?"))&gt;1,"!AMBIG",IFERROR(INDEX('Calculations'!$HF$13:$HF$512,MATCH('Calculations'!ID68,'Calculations'!$HE$13:$HE$512,0)),""))))</x:f>
      </x:c>
      <x:c r="IF68" t="str">
        <x:f>IF('Calculations'!IE68="","",IF('Calculations'!IE68="!AMBIG","!AMBIG",IF(COUNTIF('Calculations'!$HE$13:$HE$512,"="&amp;SUBSTITUTE(SUBSTITUTE(SUBSTITUTE('Calculations'!IE68,"~","~~"),"*","~*"),"?","~?"))&gt;1,"!AMBIG",IFERROR(INDEX('Calculations'!$HF$13:$HF$512,MATCH('Calculations'!IE68,'Calculations'!$HE$13:$HE$512,0)),""))))</x:f>
      </x:c>
      <x:c r="IG68" t="str">
        <x:f>IF('Calculations'!IF68="","",IF('Calculations'!IF68="!AMBIG","!AMBIG",IF(COUNTIF('Calculations'!$HE$13:$HE$512,"="&amp;SUBSTITUTE(SUBSTITUTE(SUBSTITUTE('Calculations'!IF68,"~","~~"),"*","~*"),"?","~?"))&gt;1,"!AMBIG",IFERROR(INDEX('Calculations'!$HF$13:$HF$512,MATCH('Calculations'!IF68,'Calculations'!$HE$13:$HE$512,0)),""))))</x:f>
      </x:c>
      <x:c r="IH68" t="str">
        <x:f>IF('Calculations'!IG68="","",IF('Calculations'!IG68="!AMBIG","!AMBIG",IF(COUNTIF('Calculations'!$HE$13:$HE$512,"="&amp;SUBSTITUTE(SUBSTITUTE(SUBSTITUTE('Calculations'!IG68,"~","~~"),"*","~*"),"?","~?"))&gt;1,"!AMBIG",IFERROR(INDEX('Calculations'!$HF$13:$HF$512,MATCH('Calculations'!IG68,'Calculations'!$HE$13:$HE$512,0)),""))))</x:f>
      </x:c>
      <x:c r="II68" t="str">
        <x:f>IF('Calculations'!IH68="","",IF('Calculations'!IH68="!AMBIG","!AMBIG",IF(COUNTIF('Calculations'!$HE$13:$HE$512,"="&amp;SUBSTITUTE(SUBSTITUTE(SUBSTITUTE('Calculations'!IH68,"~","~~"),"*","~*"),"?","~?"))&gt;1,"!AMBIG",IFERROR(INDEX('Calculations'!$HF$13:$HF$512,MATCH('Calculations'!IH68,'Calculations'!$HE$13:$HE$512,0)),""))))</x:f>
      </x:c>
      <x:c r="IJ68" t="str">
        <x:f>IF('Calculations'!EM68="","",IF('Calculations'!$EF$2="All",'Calculations'!HM68,IF('Calculations'!HL68=1,"",IFERROR(IF(MATCH('Calculations'!$EF$2,'Calculations'!HO68:II68,0)=1,'Calculations'!HE68,INDEX('Calculations'!HO68:II68,1,MATCH('Calculations'!$EF$2,'Calculations'!HO68:II68,0)-1)),""))))</x:f>
      </x:c>
      <x:c r="IK68" t="n">
        <x:f>IF(AND('Calculations'!EM68&lt;&gt;"",'Calculations'!$EF$2&lt;&gt;"All",'Calculations'!HF68='Calculations'!$EF$2,'Calculations'!HL68=0,'Calculations'!JD68&gt;0),MAX('Calculations'!$IK$12:IK67)+1,0)</x:f>
        <x:v>0</x:v>
      </x:c>
      <x:c r="JA68" t="n">
        <x:f>IF(OR(IFERROR(INDIRECT("'WCM Calibration Final'!$A$68")&lt;&gt;"",FALSE),IFERROR(INDIRECT("'WCM Calibration Final'!$B$68")&lt;&gt;"",FALSE),IFERROR(INDIRECT("'WCM Calibration Final'!$C$68")&lt;&gt;"",FALSE)),68,0)</x:f>
        <x:v>0</x:v>
      </x:c>
      <x:c r="JB68" t="n">
        <x:f>'Calculations'!JB67+IF('Calculations'!JA68&gt;0,1,0)</x:f>
        <x:v>0</x:v>
      </x:c>
      <x:c r="JC68" t="n">
        <x:f>IF(OR('Calculations'!HF68="",'Calculations'!HF68="!AMBIG"),0,IF('Dashboard'!$B$7="All",1,COUNTIFS('Calculations'!$HO$13:$HO$512,"="&amp;SUBSTITUTE(SUBSTITUTE(SUBSTITUTE('Calculations'!HF68,"~","~~"),"*","~*"),"?","~?"),'Calculations'!$HN$13:$HN$512,"="&amp;SUBSTITUTE(SUBSTITUTE(SUBSTITUTE('Dashboard'!$B$7,"~","~~"),"*","~*"),"?","~?"))+COUNTIFS('Calculations'!$HP$13:$HP$512,"="&amp;SUBSTITUTE(SUBSTITUTE(SUBSTITUTE('Calculations'!HF68,"~","~~"),"*","~*"),"?","~?"),'Calculations'!$HN$13:$HN$512,"="&amp;SUBSTITUTE(SUBSTITUTE(SUBSTITUTE('Dashboard'!$B$7,"~","~~"),"*","~*"),"?","~?"))+COUNTIFS('Calculations'!$HQ$13:$HQ$512,"="&amp;SUBSTITUTE(SUBSTITUTE(SUBSTITUTE('Calculations'!HF68,"~","~~"),"*","~*"),"?","~?"),'Calculations'!$HN$13:$HN$512,"="&amp;SUBSTITUTE(SUBSTITUTE(SUBSTITUTE('Dashboard'!$B$7,"~","~~"),"*","~*"),"?","~?"))+COUNTIFS('Calculations'!$HR$13:$HR$512,"="&amp;SUBSTITUTE(SUBSTITUTE(SUBSTITUTE('Calculations'!HF68,"~","~~"),"*","~*"),"?","~?"),'Calculations'!$HN$13:$HN$512,"="&amp;SUBSTITUTE(SUBSTITUTE(SUBSTITUTE('Dashboard'!$B$7,"~","~~"),"*","~*"),"?","~?"))+COUNTIFS('Calculations'!$HS$13:$HS$512,"="&amp;SUBSTITUTE(SUBSTITUTE(SUBSTITUTE('Calculations'!HF68,"~","~~"),"*","~*"),"?","~?"),'Calculations'!$HN$13:$HN$512,"="&amp;SUBSTITUTE(SUBSTITUTE(SUBSTITUTE('Dashboard'!$B$7,"~","~~"),"*","~*"),"?","~?"))+COUNTIFS('Calculations'!$HT$13:$HT$512,"="&amp;SUBSTITUTE(SUBSTITUTE(SUBSTITUTE('Calculations'!HF68,"~","~~"),"*","~*"),"?","~?"),'Calculations'!$HN$13:$HN$512,"="&amp;SUBSTITUTE(SUBSTITUTE(SUBSTITUTE('Dashboard'!$B$7,"~","~~"),"*","~*"),"?","~?"))+COUNTIFS('Calculations'!$HU$13:$HU$512,"="&amp;SUBSTITUTE(SUBSTITUTE(SUBSTITUTE('Calculations'!HF68,"~","~~"),"*","~*"),"?","~?"),'Calculations'!$HN$13:$HN$512,"="&amp;SUBSTITUTE(SUBSTITUTE(SUBSTITUTE('Dashboard'!$B$7,"~","~~"),"*","~*"),"?","~?"))+COUNTIFS('Calculations'!$HV$13:$HV$512,"="&amp;SUBSTITUTE(SUBSTITUTE(SUBSTITUTE('Calculations'!HF68,"~","~~"),"*","~*"),"?","~?"),'Calculations'!$HN$13:$HN$512,"="&amp;SUBSTITUTE(SUBSTITUTE(SUBSTITUTE('Dashboard'!$B$7,"~","~~"),"*","~*"),"?","~?"))+COUNTIFS('Calculations'!$HW$13:$HW$512,"="&amp;SUBSTITUTE(SUBSTITUTE(SUBSTITUTE('Calculations'!HF68,"~","~~"),"*","~*"),"?","~?"),'Calculations'!$HN$13:$HN$512,"="&amp;SUBSTITUTE(SUBSTITUTE(SUBSTITUTE('Dashboard'!$B$7,"~","~~"),"*","~*"),"?","~?"))+COUNTIFS('Calculations'!$HX$13:$HX$512,"="&amp;SUBSTITUTE(SUBSTITUTE(SUBSTITUTE('Calculations'!HF68,"~","~~"),"*","~*"),"?","~?"),'Calculations'!$HN$13:$HN$512,"="&amp;SUBSTITUTE(SUBSTITUTE(SUBSTITUTE('Dashboard'!$B$7,"~","~~"),"*","~*"),"?","~?"))+COUNTIFS('Calculations'!$HY$13:$HY$512,"="&amp;SUBSTITUTE(SUBSTITUTE(SUBSTITUTE('Calculations'!HF68,"~","~~"),"*","~*"),"?","~?"),'Calculations'!$HN$13:$HN$512,"="&amp;SUBSTITUTE(SUBSTITUTE(SUBSTITUTE('Dashboard'!$B$7,"~","~~"),"*","~*"),"?","~?"))+COUNTIFS('Calculations'!$HZ$13:$HZ$512,"="&amp;SUBSTITUTE(SUBSTITUTE(SUBSTITUTE('Calculations'!HF68,"~","~~"),"*","~*"),"?","~?"),'Calculations'!$HN$13:$HN$512,"="&amp;SUBSTITUTE(SUBSTITUTE(SUBSTITUTE('Dashboard'!$B$7,"~","~~"),"*","~*"),"?","~?"))+COUNTIFS('Calculations'!$IA$13:$IA$512,"="&amp;SUBSTITUTE(SUBSTITUTE(SUBSTITUTE('Calculations'!HF68,"~","~~"),"*","~*"),"?","~?"),'Calculations'!$HN$13:$HN$512,"="&amp;SUBSTITUTE(SUBSTITUTE(SUBSTITUTE('Dashboard'!$B$7,"~","~~"),"*","~*"),"?","~?"))+COUNTIFS('Calculations'!$IB$13:$IB$512,"="&amp;SUBSTITUTE(SUBSTITUTE(SUBSTITUTE('Calculations'!HF68,"~","~~"),"*","~*"),"?","~?"),'Calculations'!$HN$13:$HN$512,"="&amp;SUBSTITUTE(SUBSTITUTE(SUBSTITUTE('Dashboard'!$B$7,"~","~~"),"*","~*"),"?","~?"))+COUNTIFS('Calculations'!$IC$13:$IC$512,"="&amp;SUBSTITUTE(SUBSTITUTE(SUBSTITUTE('Calculations'!HF68,"~","~~"),"*","~*"),"?","~?"),'Calculations'!$HN$13:$HN$512,"="&amp;SUBSTITUTE(SUBSTITUTE(SUBSTITUTE('Dashboard'!$B$7,"~","~~"),"*","~*"),"?","~?"))+COUNTIFS('Calculations'!$ID$13:$ID$512,"="&amp;SUBSTITUTE(SUBSTITUTE(SUBSTITUTE('Calculations'!HF68,"~","~~"),"*","~*"),"?","~?"),'Calculations'!$HN$13:$HN$512,"="&amp;SUBSTITUTE(SUBSTITUTE(SUBSTITUTE('Dashboard'!$B$7,"~","~~"),"*","~*"),"?","~?"))+COUNTIFS('Calculations'!$IE$13:$IE$512,"="&amp;SUBSTITUTE(SUBSTITUTE(SUBSTITUTE('Calculations'!HF68,"~","~~"),"*","~*"),"?","~?"),'Calculations'!$HN$13:$HN$512,"="&amp;SUBSTITUTE(SUBSTITUTE(SUBSTITUTE('Dashboard'!$B$7,"~","~~"),"*","~*"),"?","~?"))+COUNTIFS('Calculations'!$IF$13:$IF$512,"="&amp;SUBSTITUTE(SUBSTITUTE(SUBSTITUTE('Calculations'!HF68,"~","~~"),"*","~*"),"?","~?"),'Calculations'!$HN$13:$HN$512,"="&amp;SUBSTITUTE(SUBSTITUTE(SUBSTITUTE('Dashboard'!$B$7,"~","~~"),"*","~*"),"?","~?"))+COUNTIFS('Calculations'!$IG$13:$IG$512,"="&amp;SUBSTITUTE(SUBSTITUTE(SUBSTITUTE('Calculations'!HF68,"~","~~"),"*","~*"),"?","~?"),'Calculations'!$HN$13:$HN$512,"="&amp;SUBSTITUTE(SUBSTITUTE(SUBSTITUTE('Dashboard'!$B$7,"~","~~"),"*","~*"),"?","~?"))+COUNTIFS('Calculations'!$IH$13:$IH$512,"="&amp;SUBSTITUTE(SUBSTITUTE(SUBSTITUTE('Calculations'!HF68,"~","~~"),"*","~*"),"?","~?"),'Calculations'!$HN$13:$HN$512,"="&amp;SUBSTITUTE(SUBSTITUTE(SUBSTITUTE('Dashboard'!$B$7,"~","~~"),"*","~*"),"?","~?"))))</x:f>
        <x:v>0</x:v>
      </x:c>
      <x:c r="JD68" t="n">
        <x:f>IF('Calculations'!EM68="",0,IF('Dashboard'!$B$7="All",1,IF('Calculations'!HN68='Dashboard'!$B$7,1,0)+IFERROR(INDEX('Calculations'!$JC$13:$JC$512,MATCH('Calculations'!HE68,'Calculations'!$HF$13:$HF$512,0)),0)))</x:f>
        <x:v>0</x:v>
      </x:c>
      <x:c r="JE68" t="n">
        <x:f>IF(AND('Calculations'!EM68&lt;&gt;"",'Calculations'!$JJ$2&lt;&gt;"All",'Calculations'!$JJ$2&lt;&gt;"",'Calculations'!HF68='Calculations'!$JJ$2,'Calculations'!HL68=0,'Calculations'!JD68&gt;0),MAX('Calculations'!$JE$12:JE67)+1,0)</x:f>
        <x:v>0</x:v>
      </x:c>
      <x:c r="JF68" t="str">
        <x:f>IF('Calculations'!EM68="","",IFERROR(IF(INDEX(INDIRECT("'WCM Calibration Final'!$G$1:$G$2000"),'Calculations'!$EM68)="","",TRIM(INDEX(INDIRECT("'WCM Calibration Final'!$G$1:$G$2000"),'Calculations'!$EM68)&amp;"")),""))</x:f>
      </x:c>
      <x:c r="JQ68" t="n">
        <x:f>IF(OR('Calculations'!BM68=0,NOT('Calculations'!$AG$2),'Calculations'!$AG$8&gt;0),0,IF(OR('Dashboard'!$B$7="All",'Calculations'!HN68='Dashboard'!$B$7),IF('Calculations'!$JJ$2="All",1,IF(AND('Calculations'!HF68='Calculations'!$JJ$2,'Calculations'!HL68=0),1,0)),0))</x:f>
        <x:v>0</x:v>
      </x:c>
    </x:row>
    <x:row r="69">
      <x:c r="AF69" s="4" t="str">
        <x:f>'Dashboard'!E67&amp;" — actual vs threshold"</x:f>
        <x:v>What — actual vs threshold</x:v>
      </x:c>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t="n">
        <x:f>IF('Calculations'!$EM69="",0,IF(OR(IFERROR(INDEX(INDIRECT("'WCM Calibration Final'!$A$1:$A$2000"),'Calculations'!$EM69)&lt;&gt;"",FALSE),IFERROR(INDEX(INDIRECT("'WCM Calibration Final'!$B$1:$B$2000"),'Calculations'!$EM69)&lt;&gt;"",FALSE),IFERROR(INDEX(INDIRECT("'WCM Calibration Final'!$C$1:$C$2000"),'Calculations'!$EM69)&lt;&gt;"",FALSE)),1,0))</x:f>
        <x:v>0</x:v>
      </x:c>
      <x:c r="BN69" s="4" t="n">
        <x:f>IF(AND('Calculations'!BM69=1,'Calculations'!$AG$2,'Calculations'!$EN69=1),1,0)</x:f>
        <x:v>0</x:v>
      </x:c>
      <x:c r="BO69" s="4" t="str">
        <x:f>IF('Calculations'!BM69=0,"",IFERROR(IF(AND(VALUE(INDEX(INDIRECT("'WCM Calibration Final'!$K$1:$K$2000"),'Calculations'!$EM69))&gt;=1,VALUE(INDEX(INDIRECT("'WCM Calibration Final'!$K$1:$K$2000"),'Calculations'!$EM69))&lt;=4,MOD(VALUE(INDEX(INDIRECT("'WCM Calibration Final'!$K$1:$K$2000"),'Calculations'!$EM69)),1)=0),VALUE(INDEX(INDIRECT("'WCM Calibration Final'!$K$1:$K$2000"),'Calculations'!$EM69)),""),""))</x:f>
      </x:c>
      <x:c r="BP69" s="4" t="str">
        <x:f>IF('Calculations'!BM69=0,"",IFERROR(IF(AND(VALUE(INDEX(INDIRECT("'WCM Calibration Final'!$L$1:$L$2000"),'Calculations'!$EM69))&gt;=1,VALUE(INDEX(INDIRECT("'WCM Calibration Final'!$L$1:$L$2000"),'Calculations'!$EM69))&lt;=4,MOD(VALUE(INDEX(INDIRECT("'WCM Calibration Final'!$L$1:$L$2000"),'Calculations'!$EM69)),1)=0),VALUE(INDEX(INDIRECT("'WCM Calibration Final'!$L$1:$L$2000"),'Calculations'!$EM69)),""),""))</x:f>
      </x:c>
      <x:c r="BQ69" s="4"/>
      <x:c r="BR69" s="4"/>
      <x:c r="BS69" s="4"/>
      <x:c r="BT69" s="4" t="n">
        <x:f>IF(AND('Calculations'!BM69=1,ISNUMBER('Calculations'!BO69),ISNUMBER('Calculations'!BP69)),1,0)</x:f>
        <x:v>0</x:v>
      </x:c>
      <x:c r="BU69" s="4" t="str">
        <x:f>IF('Calculations'!BM69=0,"",'Calculations'!$EO69)</x:f>
      </x:c>
      <x:c r="BV69" s="4" t="str">
        <x:f>IF('Calculations'!BM69=0,"",IFERROR(IF(OR(INDEX(INDIRECT("'WCM Calibration Final'!$H$1:$H$2000"),'Calculations'!$EM69)="MANAGING DIRECTOR",INDEX(INDIRECT("'WCM Calibration Final'!$H$1:$H$2000"),'Calculations'!$EM69)="DIRECTOR",INDEX(INDIRECT("'WCM Calibration Final'!$H$1:$H$2000"),'Calculations'!$EM69)="SENIOR VICE PRESIDENT",INDEX(INDIRECT("'WCM Calibration Final'!$H$1:$H$2000"),'Calculations'!$EM69)="VICE PRESIDENT",INDEX(INDIRECT("'WCM Calibration Final'!$H$1:$H$2000"),'Calculations'!$EM69)="ASSISTANT VICE PRESIDENT",INDEX(INDIRECT("'WCM Calibration Final'!$H$1:$H$2000"),'Calculations'!$EM69)="OFFICER"),UPPER(INDEX(INDIRECT("'WCM Calibration Final'!$H$1:$H$2000"),'Calculations'!$EM69)),"Other"),"Other"))</x:f>
      </x:c>
      <x:c r="BW69" s="4"/>
      <x:c r="BX69" s="4"/>
      <x:c r="BY69" s="4" t="n">
        <x:f>IF(AND('Calculations'!BM69=1,'Calculations'!BU69&lt;&gt;"",COUNTIF('Calculations'!$BU$12:BU69,'Calculations'!BU69)=1),MAX('Calculations'!$BY$11:BY68)+1,0)</x:f>
        <x:v>0</x:v>
      </x:c>
      <x:c r="BZ69" s="4" t="str">
        <x:f>IF('Dashboard'!$E$67="What",'Calculations'!BO69,'Calculations'!BP69)</x:f>
      </x:c>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t="str">
        <x:f>IF(58&gt;MAX('Calculations'!$HI$13:$HI$512),"",INDEX('Calculations'!$HN$13:$HN$512,MATCH(58,'Calculations'!$HI$13:$HI$512,0)))</x:f>
      </x:c>
      <x:c r="DB69" s="4" t="str">
        <x:f>IF(58&gt;MAX('Calculations'!$HH$13:$HH$512),"",INDEX('Calculations'!$HJ$13:$HJ$512,MATCH(58,'Calculations'!$HH$13:$HH$512,0)))</x:f>
      </x:c>
      <x:c r="DC69" s="4" t="str">
        <x:f>IF(ROW()-11&gt;MAX('Calculations'!$BY$13:$BY$512),"",INDEX('Calculations'!$BU$13:$BU$512,MATCH(ROW()-11,'Calculations'!$BY$13:$BY$512,0)))</x:f>
      </x:c>
      <x:c r="DD69" s="4" t="str">
        <x:f>IF(58&gt;MAX('Calculations'!$IK$13:$IK$512),"",INDEX('Calculations'!$HK$13:$HK$512,MATCH(58,'Calculations'!$IK$13:$IK$512,0)))</x:f>
      </x:c>
      <x:c r="DE69" s="4" t="str">
        <x:f>'Calculations'!DC69</x:f>
      </x:c>
      <x:c r="DF69" s="4" t="str">
        <x:f>IF('Calculations'!DE69="","",COUNTIFS('Calculations'!$BN$13:$BN$512,1,'Calculations'!$BU$13:$BU$512,'Calculations'!DE69))</x:f>
      </x:c>
      <x:c r="DG69" s="4" t="str">
        <x:f>IF('Calculations'!DE69="","",COUNTIFS('Calculations'!$BN$13:$BN$512,1,'Calculations'!$BU$13:$BU$512,'Calculations'!DE69,'Calculations'!$BT$13:$BT$512,1))</x:f>
      </x:c>
      <x:c r="DH69" s="4" t="str">
        <x:f>IF('Calculations'!DE69="","",'Calculations'!DF69-'Calculations'!DG69)</x:f>
      </x:c>
      <x:c r="DI69" s="4" t="str">
        <x:f>IF(OR('Calculations'!DE69="",'Calculations'!DF69=0),"",'Calculations'!DG69/'Calculations'!DF69)</x:f>
      </x:c>
      <x:c r="DJ69" s="4" t="str">
        <x:f>IF('Calculations'!DE69="","",COUNTIFS('Calculations'!$BN$13:$BN$512,1,'Calculations'!$BU$13:$BU$512,'Calculations'!DE69,'Calculations'!$BT$13:$BT$512,1,'Calculations'!$EE$13:$EE$512,"High"))</x:f>
      </x:c>
      <x:c r="DK69" s="4" t="str">
        <x:f>IF('Calculations'!DE69="","",COUNTIFS('Calculations'!$BN$13:$BN$512,1,'Calculations'!$BU$13:$BU$512,'Calculations'!DE69,'Calculations'!$BT$13:$BT$512,1,'Calculations'!$EE$13:$EE$512,"Strong"))</x:f>
      </x:c>
      <x:c r="DL69" s="4" t="str">
        <x:f>IF('Calculations'!DE69="","",COUNTIFS('Calculations'!$BN$13:$BN$512,1,'Calculations'!$BU$13:$BU$512,'Calculations'!DE69,'Calculations'!$BT$13:$BT$512,1,'Calculations'!$EE$13:$EE$512,"Solid"))</x:f>
      </x:c>
      <x:c r="DM69" s="4" t="str">
        <x:f>IF('Calculations'!DE69="","",COUNTIFS('Calculations'!$BN$13:$BN$512,1,'Calculations'!$BU$13:$BU$512,'Calculations'!DE69,'Calculations'!$BT$13:$BT$512,1,'Calculations'!$EE$13:$EE$512,"Low"))</x:f>
      </x:c>
      <x:c r="DN69" s="4" t="str">
        <x:f>IF('Calculations'!DE69="","",COUNTIFS('Calculations'!$BN$13:$BN$512,1,'Calculations'!$BU$13:$BU$512,'Calculations'!DE69,'Calculations'!$EP$13:$EP$512,1))</x:f>
      </x:c>
      <x:c r="DO69" s="4" t="str">
        <x:f>IF(OR('Calculations'!DE69="",'Calculations'!DG69=0),"",('Calculations'!DJ69+'Calculations'!DK69)/'Calculations'!DG69)</x:f>
      </x:c>
      <x:c r="DP69" s="4" t="n">
        <x:f>IF(AND('Calculations'!DE69&lt;&gt;"",'Calculations'!DF69&gt;0),COUNTIF('Calculations'!$DF$12:DF69,"&gt;0"),0)</x:f>
        <x:v>0</x:v>
      </x:c>
      <x:c r="DQ69" s="4" t="str">
        <x:f>IF(58&gt;MAX('Calculations'!$HH$13:$HH$512),"",INDEX('Calculations'!$HF$13:$HF$512,MATCH(58,'Calculations'!$HH$13:$HH$512,0)))</x:f>
      </x:c>
      <x:c r="DR69" s="4" t="str">
        <x:f>IF(58&gt;MAX('Calculations'!$IK$13:$IK$512),"",INDEX('Calculations'!$HE$13:$HE$512,MATCH(58,'Calculations'!$IK$13:$IK$512,0)))</x:f>
      </x:c>
      <x:c r="DS69" s="4"/>
      <x:c r="DT69" s="4"/>
      <x:c r="DU69" s="4"/>
      <x:c r="DV69" s="4"/>
      <x:c r="DW69" s="4"/>
      <x:c r="DX69" s="4"/>
      <x:c r="DY69" s="4" t="str">
        <x:f>IF('Calculations'!AJ74="","—",TEXT('Calculations'!AJ74,"+0.0;-0.0;0.0"))</x:f>
        <x:v>—</x:v>
      </x:c>
      <x:c r="DZ69" s="4"/>
      <x:c r="EA69" s="4"/>
      <x:c r="EB69" s="4"/>
      <x:c r="EC69" s="4"/>
      <x:c r="ED69" s="4"/>
      <x:c r="EE69" s="4" t="str">
        <x:f>IF('Calculations'!BT69=0,"Not Rated",IF(OR('Calculations'!BO69&gt;=4,'Calculations'!BP69&gt;=4),"Low",IF('Calculations'!BO69+'Calculations'!BP69&lt;=3,"High",IF('Calculations'!BO69+'Calculations'!BP69&lt;=4,"Strong","Solid"))))</x:f>
        <x:v>Not Rated</x:v>
      </x:c>
      <x:c r="EF69" s="4"/>
      <x:c r="EG69" s="4"/>
      <x:c r="EH69" s="4"/>
      <x:c r="EI69" s="4"/>
      <x:c r="EJ69" s="4"/>
      <x:c r="EK69" s="4"/>
      <x:c r="EL69" s="4"/>
      <x:c r="EM69" s="4" t="str">
        <x:f>IF(57&gt;'Calculations'!$JB$2000,"",INDEX('Calculations'!$JA$12:$JA$2000,MATCH(57,'Calculations'!$JB$12:$JB$2000,0)))</x:f>
      </x:c>
      <x:c r="EN69" s="4" t="n">
        <x:f>IF(OR('Calculations'!EM69="",'Calculations'!$AG$8&gt;0,AND('Calculations'!$EF$2&lt;&gt;"All",'Calculations'!HE69='Calculations'!$EF$2),AND('Calculations'!$EF$3&lt;&gt;"All",'Calculations'!HE69='Calculations'!$EF$3)),0,IF(OR('Dashboard'!$B$7="All",'Calculations'!HN69='Dashboard'!$B$7),IF('Calculations'!$EF$2="All",1,IF('Calculations'!HL69&gt;0,0,IF(COUNTIF('Calculations'!HO69:II69,"="&amp;SUBSTITUTE(SUBSTITUTE(SUBSTITUTE('Calculations'!$EF$2,"~","~~"),"*","~*"),"?","~?"))=0,0,IF('Calculations'!$EF$3="All",1,IF(COUNTIF('Calculations'!HO69:II69,"="&amp;SUBSTITUTE(SUBSTITUTE(SUBSTITUTE('Calculations'!$EF$3,"~","~~"),"*","~*"),"?","~?"))&gt;0,1,0))))),0))</x:f>
        <x:v>0</x:v>
      </x:c>
      <x:c r="EO69" s="4" t="str">
        <x:f>IF('Calculations'!IJ69="","",IF('Calculations'!IJ69="!UNRESOLVED","Unresolved hierarchy",IFERROR(INDEX('Calculations'!$HK$13:$HK$512,MATCH('Calculations'!IJ69,'Calculations'!$HE$13:$HE$512,0)),IFERROR(INDEX('Calculations'!$HJ$13:$HJ$512,MATCH('Calculations'!IJ69,'Calculations'!$HF$13:$HF$512,0)),'Calculations'!IJ69))))</x:f>
      </x:c>
      <x:c r="EP69" s="4" t="n">
        <x:f>IF(AND('Calculations'!EM69&lt;&gt;"",'Calculations'!HF69='Calculations'!IJ69),1,0)</x:f>
        <x:v>0</x:v>
      </x:c>
      <x:c r="EQ69" s="4"/>
      <x:c r="ER69" s="4"/>
      <x:c r="ES69" s="4"/>
      <x:c r="ET69" s="4"/>
      <x:c r="EU69" s="4"/>
      <x:c r="EV69" s="4"/>
      <x:c r="EW69" s="4"/>
      <x:c r="EX69" s="4"/>
      <x:c r="EY69" s="4"/>
      <x:c r="EZ69" s="4"/>
      <x:c r="FA69" s="4"/>
      <x:c r="FB69" s="4"/>
      <x:c r="FC69" s="4"/>
      <x:c r="FD69" s="4"/>
      <x:c r="FE69" s="4"/>
      <x:c r="FF69" s="4"/>
      <x:c r="FG69" s="4"/>
      <x:c r="FH69" s="4"/>
      <x:c r="FI69" s="4"/>
      <x:c r="FJ69" s="4"/>
      <x:c r="FK69" s="4"/>
      <x:c r="FL69" s="4"/>
      <x:c r="FM69" s="4"/>
      <x:c r="FN69" s="4"/>
      <x:c r="FO69" s="4"/>
      <x:c r="GA69" s="71"/>
      <x:c r="GB69" s="71" t="str">
        <x:f>IF('Calculations'!AG65=0,"No valid "&amp;'Dashboard'!E67&amp;" ratings in this view. Blank or error ratings are not plotted.",IF('Calculations'!$JJ$2="All","All managers: aggregate overview only. Select a Manager to assess their immediate direct reports.","Rated immediate direct reports only; Product and Officer filters apply. Blank thresholds are unavailable; 0% is valid."))</x:f>
        <x:v>No valid What ratings in this view. Blank or error ratings are not plotted.</x:v>
      </x:c>
      <x:c r="GC69" s="71"/>
      <x:c r="GD69" s="71"/>
      <x:c r="GE69" s="71"/>
      <x:c r="GF69" s="71"/>
      <x:c r="GG69" s="71"/>
      <x:c r="GH69" s="71"/>
      <x:c r="GI69" s="71"/>
      <x:c r="GJ69" s="71"/>
      <x:c r="GK69" s="71"/>
      <x:c r="GL69" s="71"/>
      <x:c r="GM69" s="71"/>
      <x:c r="GN69" s="71"/>
      <x:c r="GO69" s="71"/>
      <x:c r="GP69" s="71"/>
      <x:c r="GQ69" s="71"/>
      <x:c r="GR69" s="71"/>
      <x:c r="GS69" s="71"/>
      <x:c r="GT69" s="71"/>
      <x:c r="GU69" s="71"/>
      <x:c r="GV69" s="71"/>
      <x:c r="GW69" s="71"/>
      <x:c r="GX69" s="71"/>
      <x:c r="GY69" s="71"/>
      <x:c r="GZ69" s="71"/>
      <x:c r="HA69" s="71"/>
      <x:c r="HB69" s="71"/>
      <x:c r="HC69" s="71"/>
      <x:c r="HD69" s="71"/>
      <x:c r="HE69" t="str">
        <x:f>IF('Calculations'!EM69="","",IF(IFERROR(IF(INDEX(INDIRECT("'WCM Calibration Final'!$A$1:$A$2000"),'Calculations'!$EM69)="","",TRIM(INDEX(INDIRECT("'WCM Calibration Final'!$A$1:$A$2000"),'Calculations'!$EM69)&amp;"")),"")&lt;&gt;"","G:"&amp;IFERROR(TEXT(1*INDEX(INDIRECT("'WCM Calibration Final'!$A$1:$A$2000"),'Calculations'!$EM69),"0"),UPPER(IFERROR(IF(INDEX(INDIRECT("'WCM Calibration Final'!$A$1:$A$2000"),'Calculations'!$EM69)="","",TRIM(INDEX(INDIRECT("'WCM Calibration Final'!$A$1:$A$2000"),'Calculations'!$EM69)&amp;"")),""))),IF(IFERROR(IF(INDEX(INDIRECT("'WCM Calibration Final'!$C$1:$C$2000"),'Calculations'!$EM69)="","",TRIM(INDEX(INDIRECT("'WCM Calibration Final'!$C$1:$C$2000"),'Calculations'!$EM69)&amp;"")),"")&lt;&gt;"","S:"&amp;UPPER(IFERROR(IF(INDEX(INDIRECT("'WCM Calibration Final'!$C$1:$C$2000"),'Calculations'!$EM69)="","",TRIM(INDEX(INDIRECT("'WCM Calibration Final'!$C$1:$C$2000"),'Calculations'!$EM69)&amp;"")),"")),"R:"&amp;'Calculations'!EM69)))</x:f>
      </x:c>
      <x:c r="HF69" t="str">
        <x:f>IF('Calculations'!EM69="","",IF(IFERROR(IF(INDEX(INDIRECT("'WCM Calibration Final'!$D$1:$D$2000"),'Calculations'!$EM69)="","",TRIM(INDEX(INDIRECT("'WCM Calibration Final'!$D$1:$D$2000"),'Calculations'!$EM69)&amp;"")),"")&lt;&gt;"","G:"&amp;IFERROR(TEXT(1*INDEX(INDIRECT("'WCM Calibration Final'!$D$1:$D$2000"),'Calculations'!$EM69),"0"),UPPER(IFERROR(IF(INDEX(INDIRECT("'WCM Calibration Final'!$D$1:$D$2000"),'Calculations'!$EM69)="","",TRIM(INDEX(INDIRECT("'WCM Calibration Final'!$D$1:$D$2000"),'Calculations'!$EM69)&amp;"")),""))),IF(IFERROR(IF(INDEX(INDIRECT("'WCM Calibration Final'!$E$1:$E$2000"),'Calculations'!$EM69)="","",TRIM(INDEX(INDIRECT("'WCM Calibration Final'!$E$1:$E$2000"),'Calculations'!$EM69)&amp;"")),"")="","",IF(COUNTIF('Calculations'!$HG$13:$HG$512,"="&amp;SUBSTITUTE(SUBSTITUTE(SUBSTITUTE(IFERROR(IF(INDEX(INDIRECT("'WCM Calibration Final'!$E$1:$E$2000"),'Calculations'!$EM69)="","",TRIM(INDEX(INDIRECT("'WCM Calibration Final'!$E$1:$E$2000"),'Calculations'!$EM69)&amp;"")),""),"~","~~"),"*","~*"),"?","~?"))=1,INDEX('Calculations'!$HE$13:$HE$512,MATCH(IFERROR(IF(INDEX(INDIRECT("'WCM Calibration Final'!$E$1:$E$2000"),'Calculations'!$EM69)="","",TRIM(INDEX(INDIRECT("'WCM Calibration Final'!$E$1:$E$2000"),'Calculations'!$EM69)&amp;"")),""),'Calculations'!$HG$13:$HG$512,0)),IF(COUNTIF('Calculations'!$HG$13:$HG$512,"="&amp;SUBSTITUTE(SUBSTITUTE(SUBSTITUTE(IFERROR(IF(INDEX(INDIRECT("'WCM Calibration Final'!$E$1:$E$2000"),'Calculations'!$EM69)="","",TRIM(INDEX(INDIRECT("'WCM Calibration Final'!$E$1:$E$2000"),'Calculations'!$EM69)&amp;"")),""),"~","~~"),"*","~*"),"?","~?"))&gt;1,"!AMBIG","X:"&amp;IFERROR(IF(INDEX(INDIRECT("'WCM Calibration Final'!$E$1:$E$2000"),'Calculations'!$EM69)="","",TRIM(INDEX(INDIRECT("'WCM Calibration Final'!$E$1:$E$2000"),'Calculations'!$EM69)&amp;"")),""))))))</x:f>
      </x:c>
      <x:c r="HG69" t="str">
        <x:f>IF('Calculations'!EM69="","",IFERROR(IF(INDEX(INDIRECT("'WCM Calibration Final'!$B$1:$B$2000"),'Calculations'!$EM69)="","",TRIM(INDEX(INDIRECT("'WCM Calibration Final'!$B$1:$B$2000"),'Calculations'!$EM69)&amp;"")),""))</x:f>
      </x:c>
      <x:c r="HH69" t="n">
        <x:f>IF(AND('Calculations'!JC69&gt;0,COUNTIF('Calculations'!$HF$12:HF69,"="&amp;SUBSTITUTE(SUBSTITUTE(SUBSTITUTE('Calculations'!HF69,"~","~~"),"*","~*"),"?","~?"))=1),MAX('Calculations'!$HH$12:HH68)+1,0)</x:f>
        <x:v>0</x:v>
      </x:c>
      <x:c r="HI69" t="n">
        <x:f>IF(AND('Calculations'!HN69&lt;&gt;"",COUNTIF('Calculations'!$HN$12:HN69,"="&amp;SUBSTITUTE(SUBSTITUTE(SUBSTITUTE('Calculations'!HN69,"~","~~"),"*","~*"),"?","~?"))=1),MAX('Calculations'!$HI$12:HI68)+1,0)</x:f>
        <x:v>0</x:v>
      </x:c>
      <x:c r="HJ69" t="str">
        <x:f>IF('Calculations'!HF69="","",IF(COUNTIF('Calculations'!$HE$13:$HE$512,"="&amp;SUBSTITUTE(SUBSTITUTE(SUBSTITUTE('Calculations'!HF69,"~","~~"),"*","~*"),"?","~?"))=1,INDEX('Calculations'!$HK$13:$HK$512,MATCH('Calculations'!HF69,'Calculations'!$HE$13:$HE$512,0)),IFERROR(IF(INDEX(INDIRECT("'WCM Calibration Final'!$E$1:$E$2000"),'Calculations'!$EM69)="","",TRIM(INDEX(INDIRECT("'WCM Calibration Final'!$E$1:$E$2000"),'Calculations'!$EM69)&amp;"")),"")&amp;" ["&amp;'Calculations'!HF69&amp;"]"))</x:f>
      </x:c>
      <x:c r="HK69" t="str">
        <x:f>IF('Calculations'!EM69="","",'Calculations'!HG69&amp;" ["&amp;'Calculations'!HE69&amp;"]")</x:f>
      </x:c>
      <x:c r="HL69" t="n">
        <x:f>IF('Calculations'!EM69="",0,IF(OR('Calculations'!II69&lt;&gt;"",COUNTIF('Calculations'!$HE$13:$HE$512,"="&amp;SUBSTITUTE(SUBSTITUTE(SUBSTITUTE('Calculations'!HE69,"~","~~"),"*","~*"),"?","~?"))&gt;1),1,0))</x:f>
        <x:v>0</x:v>
      </x:c>
      <x:c r="HM69" t="str">
        <x:f>IF('Calculations'!EM69="","",IF('Calculations'!HL69=1,"!UNRESOLVED",IF('Calculations'!IH69&lt;&gt;"",'Calculations'!IH69,IF('Calculations'!IG69&lt;&gt;"",'Calculations'!IG69,IF('Calculations'!IF69&lt;&gt;"",'Calculations'!IF69,IF('Calculations'!IE69&lt;&gt;"",'Calculations'!IE69,IF('Calculations'!ID69&lt;&gt;"",'Calculations'!ID69,IF('Calculations'!IC69&lt;&gt;"",'Calculations'!IC69,IF('Calculations'!IB69&lt;&gt;"",'Calculations'!IB69,IF('Calculations'!IA69&lt;&gt;"",'Calculations'!IA69,IF('Calculations'!HZ69&lt;&gt;"",'Calculations'!HZ69,IF('Calculations'!HY69&lt;&gt;"",'Calculations'!HY69,IF('Calculations'!HX69&lt;&gt;"",'Calculations'!HX69,IF('Calculations'!HW69&lt;&gt;"",'Calculations'!HW69,IF('Calculations'!HV69&lt;&gt;"",'Calculations'!HV69,IF('Calculations'!HU69&lt;&gt;"",'Calculations'!HU69,IF('Calculations'!HT69&lt;&gt;"",'Calculations'!HT69,IF('Calculations'!HS69&lt;&gt;"",'Calculations'!HS69,IF('Calculations'!HR69&lt;&gt;"",'Calculations'!HR69,IF('Calculations'!HQ69&lt;&gt;"",'Calculations'!HQ69,IF('Calculations'!HP69&lt;&gt;"",'Calculations'!HP69,IF('Calculations'!HO69&lt;&gt;"",'Calculations'!HO69,'Calculations'!HE69))))))))))))))))))))))</x:f>
      </x:c>
      <x:c r="HN69" t="str">
        <x:f>IF('Calculations'!EM69="","",IF(IFERROR(IF(INDEX(INDIRECT("'WCM Calibration Final'!$F$1:$F$2000"),'Calculations'!$EM69)="","",TRIM(INDEX(INDIRECT("'WCM Calibration Final'!$F$1:$F$2000"),'Calculations'!$EM69)&amp;"")),"")="","(Blank)",IFERROR(IF(INDEX(INDIRECT("'WCM Calibration Final'!$F$1:$F$2000"),'Calculations'!$EM69)="","",TRIM(INDEX(INDIRECT("'WCM Calibration Final'!$F$1:$F$2000"),'Calculations'!$EM69)&amp;"")),"")))</x:f>
      </x:c>
      <x:c r="HO69" t="str">
        <x:f>'Calculations'!HF69</x:f>
      </x:c>
      <x:c r="HP69" t="str">
        <x:f>IF('Calculations'!HO69="","",IF('Calculations'!HO69="!AMBIG","!AMBIG",IF(COUNTIF('Calculations'!$HE$13:$HE$512,"="&amp;SUBSTITUTE(SUBSTITUTE(SUBSTITUTE('Calculations'!HO69,"~","~~"),"*","~*"),"?","~?"))&gt;1,"!AMBIG",IFERROR(INDEX('Calculations'!$HF$13:$HF$512,MATCH('Calculations'!HO69,'Calculations'!$HE$13:$HE$512,0)),""))))</x:f>
      </x:c>
      <x:c r="HQ69" t="str">
        <x:f>IF('Calculations'!HP69="","",IF('Calculations'!HP69="!AMBIG","!AMBIG",IF(COUNTIF('Calculations'!$HE$13:$HE$512,"="&amp;SUBSTITUTE(SUBSTITUTE(SUBSTITUTE('Calculations'!HP69,"~","~~"),"*","~*"),"?","~?"))&gt;1,"!AMBIG",IFERROR(INDEX('Calculations'!$HF$13:$HF$512,MATCH('Calculations'!HP69,'Calculations'!$HE$13:$HE$512,0)),""))))</x:f>
      </x:c>
      <x:c r="HR69" t="str">
        <x:f>IF('Calculations'!HQ69="","",IF('Calculations'!HQ69="!AMBIG","!AMBIG",IF(COUNTIF('Calculations'!$HE$13:$HE$512,"="&amp;SUBSTITUTE(SUBSTITUTE(SUBSTITUTE('Calculations'!HQ69,"~","~~"),"*","~*"),"?","~?"))&gt;1,"!AMBIG",IFERROR(INDEX('Calculations'!$HF$13:$HF$512,MATCH('Calculations'!HQ69,'Calculations'!$HE$13:$HE$512,0)),""))))</x:f>
      </x:c>
      <x:c r="HS69" t="str">
        <x:f>IF('Calculations'!HR69="","",IF('Calculations'!HR69="!AMBIG","!AMBIG",IF(COUNTIF('Calculations'!$HE$13:$HE$512,"="&amp;SUBSTITUTE(SUBSTITUTE(SUBSTITUTE('Calculations'!HR69,"~","~~"),"*","~*"),"?","~?"))&gt;1,"!AMBIG",IFERROR(INDEX('Calculations'!$HF$13:$HF$512,MATCH('Calculations'!HR69,'Calculations'!$HE$13:$HE$512,0)),""))))</x:f>
      </x:c>
      <x:c r="HT69" t="str">
        <x:f>IF('Calculations'!HS69="","",IF('Calculations'!HS69="!AMBIG","!AMBIG",IF(COUNTIF('Calculations'!$HE$13:$HE$512,"="&amp;SUBSTITUTE(SUBSTITUTE(SUBSTITUTE('Calculations'!HS69,"~","~~"),"*","~*"),"?","~?"))&gt;1,"!AMBIG",IFERROR(INDEX('Calculations'!$HF$13:$HF$512,MATCH('Calculations'!HS69,'Calculations'!$HE$13:$HE$512,0)),""))))</x:f>
      </x:c>
      <x:c r="HU69" t="str">
        <x:f>IF('Calculations'!HT69="","",IF('Calculations'!HT69="!AMBIG","!AMBIG",IF(COUNTIF('Calculations'!$HE$13:$HE$512,"="&amp;SUBSTITUTE(SUBSTITUTE(SUBSTITUTE('Calculations'!HT69,"~","~~"),"*","~*"),"?","~?"))&gt;1,"!AMBIG",IFERROR(INDEX('Calculations'!$HF$13:$HF$512,MATCH('Calculations'!HT69,'Calculations'!$HE$13:$HE$512,0)),""))))</x:f>
      </x:c>
      <x:c r="HV69" t="str">
        <x:f>IF('Calculations'!HU69="","",IF('Calculations'!HU69="!AMBIG","!AMBIG",IF(COUNTIF('Calculations'!$HE$13:$HE$512,"="&amp;SUBSTITUTE(SUBSTITUTE(SUBSTITUTE('Calculations'!HU69,"~","~~"),"*","~*"),"?","~?"))&gt;1,"!AMBIG",IFERROR(INDEX('Calculations'!$HF$13:$HF$512,MATCH('Calculations'!HU69,'Calculations'!$HE$13:$HE$512,0)),""))))</x:f>
      </x:c>
      <x:c r="HW69" t="str">
        <x:f>IF('Calculations'!HV69="","",IF('Calculations'!HV69="!AMBIG","!AMBIG",IF(COUNTIF('Calculations'!$HE$13:$HE$512,"="&amp;SUBSTITUTE(SUBSTITUTE(SUBSTITUTE('Calculations'!HV69,"~","~~"),"*","~*"),"?","~?"))&gt;1,"!AMBIG",IFERROR(INDEX('Calculations'!$HF$13:$HF$512,MATCH('Calculations'!HV69,'Calculations'!$HE$13:$HE$512,0)),""))))</x:f>
      </x:c>
      <x:c r="HX69" t="str">
        <x:f>IF('Calculations'!HW69="","",IF('Calculations'!HW69="!AMBIG","!AMBIG",IF(COUNTIF('Calculations'!$HE$13:$HE$512,"="&amp;SUBSTITUTE(SUBSTITUTE(SUBSTITUTE('Calculations'!HW69,"~","~~"),"*","~*"),"?","~?"))&gt;1,"!AMBIG",IFERROR(INDEX('Calculations'!$HF$13:$HF$512,MATCH('Calculations'!HW69,'Calculations'!$HE$13:$HE$512,0)),""))))</x:f>
      </x:c>
      <x:c r="HY69" t="str">
        <x:f>IF('Calculations'!HX69="","",IF('Calculations'!HX69="!AMBIG","!AMBIG",IF(COUNTIF('Calculations'!$HE$13:$HE$512,"="&amp;SUBSTITUTE(SUBSTITUTE(SUBSTITUTE('Calculations'!HX69,"~","~~"),"*","~*"),"?","~?"))&gt;1,"!AMBIG",IFERROR(INDEX('Calculations'!$HF$13:$HF$512,MATCH('Calculations'!HX69,'Calculations'!$HE$13:$HE$512,0)),""))))</x:f>
      </x:c>
      <x:c r="HZ69" t="str">
        <x:f>IF('Calculations'!HY69="","",IF('Calculations'!HY69="!AMBIG","!AMBIG",IF(COUNTIF('Calculations'!$HE$13:$HE$512,"="&amp;SUBSTITUTE(SUBSTITUTE(SUBSTITUTE('Calculations'!HY69,"~","~~"),"*","~*"),"?","~?"))&gt;1,"!AMBIG",IFERROR(INDEX('Calculations'!$HF$13:$HF$512,MATCH('Calculations'!HY69,'Calculations'!$HE$13:$HE$512,0)),""))))</x:f>
      </x:c>
      <x:c r="IA69" t="str">
        <x:f>IF('Calculations'!HZ69="","",IF('Calculations'!HZ69="!AMBIG","!AMBIG",IF(COUNTIF('Calculations'!$HE$13:$HE$512,"="&amp;SUBSTITUTE(SUBSTITUTE(SUBSTITUTE('Calculations'!HZ69,"~","~~"),"*","~*"),"?","~?"))&gt;1,"!AMBIG",IFERROR(INDEX('Calculations'!$HF$13:$HF$512,MATCH('Calculations'!HZ69,'Calculations'!$HE$13:$HE$512,0)),""))))</x:f>
      </x:c>
      <x:c r="IB69" t="str">
        <x:f>IF('Calculations'!IA69="","",IF('Calculations'!IA69="!AMBIG","!AMBIG",IF(COUNTIF('Calculations'!$HE$13:$HE$512,"="&amp;SUBSTITUTE(SUBSTITUTE(SUBSTITUTE('Calculations'!IA69,"~","~~"),"*","~*"),"?","~?"))&gt;1,"!AMBIG",IFERROR(INDEX('Calculations'!$HF$13:$HF$512,MATCH('Calculations'!IA69,'Calculations'!$HE$13:$HE$512,0)),""))))</x:f>
      </x:c>
      <x:c r="IC69" t="str">
        <x:f>IF('Calculations'!IB69="","",IF('Calculations'!IB69="!AMBIG","!AMBIG",IF(COUNTIF('Calculations'!$HE$13:$HE$512,"="&amp;SUBSTITUTE(SUBSTITUTE(SUBSTITUTE('Calculations'!IB69,"~","~~"),"*","~*"),"?","~?"))&gt;1,"!AMBIG",IFERROR(INDEX('Calculations'!$HF$13:$HF$512,MATCH('Calculations'!IB69,'Calculations'!$HE$13:$HE$512,0)),""))))</x:f>
      </x:c>
      <x:c r="ID69" t="str">
        <x:f>IF('Calculations'!IC69="","",IF('Calculations'!IC69="!AMBIG","!AMBIG",IF(COUNTIF('Calculations'!$HE$13:$HE$512,"="&amp;SUBSTITUTE(SUBSTITUTE(SUBSTITUTE('Calculations'!IC69,"~","~~"),"*","~*"),"?","~?"))&gt;1,"!AMBIG",IFERROR(INDEX('Calculations'!$HF$13:$HF$512,MATCH('Calculations'!IC69,'Calculations'!$HE$13:$HE$512,0)),""))))</x:f>
      </x:c>
      <x:c r="IE69" t="str">
        <x:f>IF('Calculations'!ID69="","",IF('Calculations'!ID69="!AMBIG","!AMBIG",IF(COUNTIF('Calculations'!$HE$13:$HE$512,"="&amp;SUBSTITUTE(SUBSTITUTE(SUBSTITUTE('Calculations'!ID69,"~","~~"),"*","~*"),"?","~?"))&gt;1,"!AMBIG",IFERROR(INDEX('Calculations'!$HF$13:$HF$512,MATCH('Calculations'!ID69,'Calculations'!$HE$13:$HE$512,0)),""))))</x:f>
      </x:c>
      <x:c r="IF69" t="str">
        <x:f>IF('Calculations'!IE69="","",IF('Calculations'!IE69="!AMBIG","!AMBIG",IF(COUNTIF('Calculations'!$HE$13:$HE$512,"="&amp;SUBSTITUTE(SUBSTITUTE(SUBSTITUTE('Calculations'!IE69,"~","~~"),"*","~*"),"?","~?"))&gt;1,"!AMBIG",IFERROR(INDEX('Calculations'!$HF$13:$HF$512,MATCH('Calculations'!IE69,'Calculations'!$HE$13:$HE$512,0)),""))))</x:f>
      </x:c>
      <x:c r="IG69" t="str">
        <x:f>IF('Calculations'!IF69="","",IF('Calculations'!IF69="!AMBIG","!AMBIG",IF(COUNTIF('Calculations'!$HE$13:$HE$512,"="&amp;SUBSTITUTE(SUBSTITUTE(SUBSTITUTE('Calculations'!IF69,"~","~~"),"*","~*"),"?","~?"))&gt;1,"!AMBIG",IFERROR(INDEX('Calculations'!$HF$13:$HF$512,MATCH('Calculations'!IF69,'Calculations'!$HE$13:$HE$512,0)),""))))</x:f>
      </x:c>
      <x:c r="IH69" t="str">
        <x:f>IF('Calculations'!IG69="","",IF('Calculations'!IG69="!AMBIG","!AMBIG",IF(COUNTIF('Calculations'!$HE$13:$HE$512,"="&amp;SUBSTITUTE(SUBSTITUTE(SUBSTITUTE('Calculations'!IG69,"~","~~"),"*","~*"),"?","~?"))&gt;1,"!AMBIG",IFERROR(INDEX('Calculations'!$HF$13:$HF$512,MATCH('Calculations'!IG69,'Calculations'!$HE$13:$HE$512,0)),""))))</x:f>
      </x:c>
      <x:c r="II69" t="str">
        <x:f>IF('Calculations'!IH69="","",IF('Calculations'!IH69="!AMBIG","!AMBIG",IF(COUNTIF('Calculations'!$HE$13:$HE$512,"="&amp;SUBSTITUTE(SUBSTITUTE(SUBSTITUTE('Calculations'!IH69,"~","~~"),"*","~*"),"?","~?"))&gt;1,"!AMBIG",IFERROR(INDEX('Calculations'!$HF$13:$HF$512,MATCH('Calculations'!IH69,'Calculations'!$HE$13:$HE$512,0)),""))))</x:f>
      </x:c>
      <x:c r="IJ69" t="str">
        <x:f>IF('Calculations'!EM69="","",IF('Calculations'!$EF$2="All",'Calculations'!HM69,IF('Calculations'!HL69=1,"",IFERROR(IF(MATCH('Calculations'!$EF$2,'Calculations'!HO69:II69,0)=1,'Calculations'!HE69,INDEX('Calculations'!HO69:II69,1,MATCH('Calculations'!$EF$2,'Calculations'!HO69:II69,0)-1)),""))))</x:f>
      </x:c>
      <x:c r="IK69" t="n">
        <x:f>IF(AND('Calculations'!EM69&lt;&gt;"",'Calculations'!$EF$2&lt;&gt;"All",'Calculations'!HF69='Calculations'!$EF$2,'Calculations'!HL69=0,'Calculations'!JD69&gt;0),MAX('Calculations'!$IK$12:IK68)+1,0)</x:f>
        <x:v>0</x:v>
      </x:c>
      <x:c r="JA69" t="n">
        <x:f>IF(OR(IFERROR(INDIRECT("'WCM Calibration Final'!$A$69")&lt;&gt;"",FALSE),IFERROR(INDIRECT("'WCM Calibration Final'!$B$69")&lt;&gt;"",FALSE),IFERROR(INDIRECT("'WCM Calibration Final'!$C$69")&lt;&gt;"",FALSE)),69,0)</x:f>
        <x:v>0</x:v>
      </x:c>
      <x:c r="JB69" t="n">
        <x:f>'Calculations'!JB68+IF('Calculations'!JA69&gt;0,1,0)</x:f>
        <x:v>0</x:v>
      </x:c>
      <x:c r="JC69" t="n">
        <x:f>IF(OR('Calculations'!HF69="",'Calculations'!HF69="!AMBIG"),0,IF('Dashboard'!$B$7="All",1,COUNTIFS('Calculations'!$HO$13:$HO$512,"="&amp;SUBSTITUTE(SUBSTITUTE(SUBSTITUTE('Calculations'!HF69,"~","~~"),"*","~*"),"?","~?"),'Calculations'!$HN$13:$HN$512,"="&amp;SUBSTITUTE(SUBSTITUTE(SUBSTITUTE('Dashboard'!$B$7,"~","~~"),"*","~*"),"?","~?"))+COUNTIFS('Calculations'!$HP$13:$HP$512,"="&amp;SUBSTITUTE(SUBSTITUTE(SUBSTITUTE('Calculations'!HF69,"~","~~"),"*","~*"),"?","~?"),'Calculations'!$HN$13:$HN$512,"="&amp;SUBSTITUTE(SUBSTITUTE(SUBSTITUTE('Dashboard'!$B$7,"~","~~"),"*","~*"),"?","~?"))+COUNTIFS('Calculations'!$HQ$13:$HQ$512,"="&amp;SUBSTITUTE(SUBSTITUTE(SUBSTITUTE('Calculations'!HF69,"~","~~"),"*","~*"),"?","~?"),'Calculations'!$HN$13:$HN$512,"="&amp;SUBSTITUTE(SUBSTITUTE(SUBSTITUTE('Dashboard'!$B$7,"~","~~"),"*","~*"),"?","~?"))+COUNTIFS('Calculations'!$HR$13:$HR$512,"="&amp;SUBSTITUTE(SUBSTITUTE(SUBSTITUTE('Calculations'!HF69,"~","~~"),"*","~*"),"?","~?"),'Calculations'!$HN$13:$HN$512,"="&amp;SUBSTITUTE(SUBSTITUTE(SUBSTITUTE('Dashboard'!$B$7,"~","~~"),"*","~*"),"?","~?"))+COUNTIFS('Calculations'!$HS$13:$HS$512,"="&amp;SUBSTITUTE(SUBSTITUTE(SUBSTITUTE('Calculations'!HF69,"~","~~"),"*","~*"),"?","~?"),'Calculations'!$HN$13:$HN$512,"="&amp;SUBSTITUTE(SUBSTITUTE(SUBSTITUTE('Dashboard'!$B$7,"~","~~"),"*","~*"),"?","~?"))+COUNTIFS('Calculations'!$HT$13:$HT$512,"="&amp;SUBSTITUTE(SUBSTITUTE(SUBSTITUTE('Calculations'!HF69,"~","~~"),"*","~*"),"?","~?"),'Calculations'!$HN$13:$HN$512,"="&amp;SUBSTITUTE(SUBSTITUTE(SUBSTITUTE('Dashboard'!$B$7,"~","~~"),"*","~*"),"?","~?"))+COUNTIFS('Calculations'!$HU$13:$HU$512,"="&amp;SUBSTITUTE(SUBSTITUTE(SUBSTITUTE('Calculations'!HF69,"~","~~"),"*","~*"),"?","~?"),'Calculations'!$HN$13:$HN$512,"="&amp;SUBSTITUTE(SUBSTITUTE(SUBSTITUTE('Dashboard'!$B$7,"~","~~"),"*","~*"),"?","~?"))+COUNTIFS('Calculations'!$HV$13:$HV$512,"="&amp;SUBSTITUTE(SUBSTITUTE(SUBSTITUTE('Calculations'!HF69,"~","~~"),"*","~*"),"?","~?"),'Calculations'!$HN$13:$HN$512,"="&amp;SUBSTITUTE(SUBSTITUTE(SUBSTITUTE('Dashboard'!$B$7,"~","~~"),"*","~*"),"?","~?"))+COUNTIFS('Calculations'!$HW$13:$HW$512,"="&amp;SUBSTITUTE(SUBSTITUTE(SUBSTITUTE('Calculations'!HF69,"~","~~"),"*","~*"),"?","~?"),'Calculations'!$HN$13:$HN$512,"="&amp;SUBSTITUTE(SUBSTITUTE(SUBSTITUTE('Dashboard'!$B$7,"~","~~"),"*","~*"),"?","~?"))+COUNTIFS('Calculations'!$HX$13:$HX$512,"="&amp;SUBSTITUTE(SUBSTITUTE(SUBSTITUTE('Calculations'!HF69,"~","~~"),"*","~*"),"?","~?"),'Calculations'!$HN$13:$HN$512,"="&amp;SUBSTITUTE(SUBSTITUTE(SUBSTITUTE('Dashboard'!$B$7,"~","~~"),"*","~*"),"?","~?"))+COUNTIFS('Calculations'!$HY$13:$HY$512,"="&amp;SUBSTITUTE(SUBSTITUTE(SUBSTITUTE('Calculations'!HF69,"~","~~"),"*","~*"),"?","~?"),'Calculations'!$HN$13:$HN$512,"="&amp;SUBSTITUTE(SUBSTITUTE(SUBSTITUTE('Dashboard'!$B$7,"~","~~"),"*","~*"),"?","~?"))+COUNTIFS('Calculations'!$HZ$13:$HZ$512,"="&amp;SUBSTITUTE(SUBSTITUTE(SUBSTITUTE('Calculations'!HF69,"~","~~"),"*","~*"),"?","~?"),'Calculations'!$HN$13:$HN$512,"="&amp;SUBSTITUTE(SUBSTITUTE(SUBSTITUTE('Dashboard'!$B$7,"~","~~"),"*","~*"),"?","~?"))+COUNTIFS('Calculations'!$IA$13:$IA$512,"="&amp;SUBSTITUTE(SUBSTITUTE(SUBSTITUTE('Calculations'!HF69,"~","~~"),"*","~*"),"?","~?"),'Calculations'!$HN$13:$HN$512,"="&amp;SUBSTITUTE(SUBSTITUTE(SUBSTITUTE('Dashboard'!$B$7,"~","~~"),"*","~*"),"?","~?"))+COUNTIFS('Calculations'!$IB$13:$IB$512,"="&amp;SUBSTITUTE(SUBSTITUTE(SUBSTITUTE('Calculations'!HF69,"~","~~"),"*","~*"),"?","~?"),'Calculations'!$HN$13:$HN$512,"="&amp;SUBSTITUTE(SUBSTITUTE(SUBSTITUTE('Dashboard'!$B$7,"~","~~"),"*","~*"),"?","~?"))+COUNTIFS('Calculations'!$IC$13:$IC$512,"="&amp;SUBSTITUTE(SUBSTITUTE(SUBSTITUTE('Calculations'!HF69,"~","~~"),"*","~*"),"?","~?"),'Calculations'!$HN$13:$HN$512,"="&amp;SUBSTITUTE(SUBSTITUTE(SUBSTITUTE('Dashboard'!$B$7,"~","~~"),"*","~*"),"?","~?"))+COUNTIFS('Calculations'!$ID$13:$ID$512,"="&amp;SUBSTITUTE(SUBSTITUTE(SUBSTITUTE('Calculations'!HF69,"~","~~"),"*","~*"),"?","~?"),'Calculations'!$HN$13:$HN$512,"="&amp;SUBSTITUTE(SUBSTITUTE(SUBSTITUTE('Dashboard'!$B$7,"~","~~"),"*","~*"),"?","~?"))+COUNTIFS('Calculations'!$IE$13:$IE$512,"="&amp;SUBSTITUTE(SUBSTITUTE(SUBSTITUTE('Calculations'!HF69,"~","~~"),"*","~*"),"?","~?"),'Calculations'!$HN$13:$HN$512,"="&amp;SUBSTITUTE(SUBSTITUTE(SUBSTITUTE('Dashboard'!$B$7,"~","~~"),"*","~*"),"?","~?"))+COUNTIFS('Calculations'!$IF$13:$IF$512,"="&amp;SUBSTITUTE(SUBSTITUTE(SUBSTITUTE('Calculations'!HF69,"~","~~"),"*","~*"),"?","~?"),'Calculations'!$HN$13:$HN$512,"="&amp;SUBSTITUTE(SUBSTITUTE(SUBSTITUTE('Dashboard'!$B$7,"~","~~"),"*","~*"),"?","~?"))+COUNTIFS('Calculations'!$IG$13:$IG$512,"="&amp;SUBSTITUTE(SUBSTITUTE(SUBSTITUTE('Calculations'!HF69,"~","~~"),"*","~*"),"?","~?"),'Calculations'!$HN$13:$HN$512,"="&amp;SUBSTITUTE(SUBSTITUTE(SUBSTITUTE('Dashboard'!$B$7,"~","~~"),"*","~*"),"?","~?"))+COUNTIFS('Calculations'!$IH$13:$IH$512,"="&amp;SUBSTITUTE(SUBSTITUTE(SUBSTITUTE('Calculations'!HF69,"~","~~"),"*","~*"),"?","~?"),'Calculations'!$HN$13:$HN$512,"="&amp;SUBSTITUTE(SUBSTITUTE(SUBSTITUTE('Dashboard'!$B$7,"~","~~"),"*","~*"),"?","~?"))))</x:f>
        <x:v>0</x:v>
      </x:c>
      <x:c r="JD69" t="n">
        <x:f>IF('Calculations'!EM69="",0,IF('Dashboard'!$B$7="All",1,IF('Calculations'!HN69='Dashboard'!$B$7,1,0)+IFERROR(INDEX('Calculations'!$JC$13:$JC$512,MATCH('Calculations'!HE69,'Calculations'!$HF$13:$HF$512,0)),0)))</x:f>
        <x:v>0</x:v>
      </x:c>
      <x:c r="JE69" t="n">
        <x:f>IF(AND('Calculations'!EM69&lt;&gt;"",'Calculations'!$JJ$2&lt;&gt;"All",'Calculations'!$JJ$2&lt;&gt;"",'Calculations'!HF69='Calculations'!$JJ$2,'Calculations'!HL69=0,'Calculations'!JD69&gt;0),MAX('Calculations'!$JE$12:JE68)+1,0)</x:f>
        <x:v>0</x:v>
      </x:c>
      <x:c r="JF69" t="str">
        <x:f>IF('Calculations'!EM69="","",IFERROR(IF(INDEX(INDIRECT("'WCM Calibration Final'!$G$1:$G$2000"),'Calculations'!$EM69)="","",TRIM(INDEX(INDIRECT("'WCM Calibration Final'!$G$1:$G$2000"),'Calculations'!$EM69)&amp;"")),""))</x:f>
      </x:c>
      <x:c r="JQ69" t="n">
        <x:f>IF(OR('Calculations'!BM69=0,NOT('Calculations'!$AG$2),'Calculations'!$AG$8&gt;0),0,IF(OR('Dashboard'!$B$7="All",'Calculations'!HN69='Dashboard'!$B$7),IF('Calculations'!$JJ$2="All",1,IF(AND('Calculations'!HF69='Calculations'!$JJ$2,'Calculations'!HL69=0),1,0)),0))</x:f>
        <x:v>0</x:v>
      </x:c>
    </x:row>
    <x:row r="70">
      <x:c r="AF70" s="4" t="str">
        <x:v>Rating</x:v>
      </x:c>
      <x:c r="AG70" s="4" t="str">
        <x:v>Count</x:v>
      </x:c>
      <x:c r="AH70" s="4" t="str">
        <x:v>Actual</x:v>
      </x:c>
      <x:c r="AI70" s="4" t="str">
        <x:v>Threshold</x:v>
      </x:c>
      <x:c r="AJ70" s="4" t="str">
        <x:v>Gap pp</x:v>
      </x:c>
      <x:c r="AK70" s="4" t="str">
        <x:v>Threshold input</x:v>
      </x:c>
      <x:c r="AL70" s="4"/>
      <x:c r="AM70" s="4"/>
      <x:c r="AN70" s="4"/>
      <x:c r="AO70" s="4"/>
      <x:c r="AP70" s="4"/>
      <x:c r="AQ70" s="4"/>
      <x:c r="AR70" s="4"/>
      <x:c r="AS70" s="4"/>
      <x:c r="AT70" s="4"/>
      <x:c r="AU70" s="4"/>
      <x:c r="AV70" s="4" t="str">
        <x:v>Rating</x:v>
      </x:c>
      <x:c r="AW70" s="4" t="str">
        <x:v>Actual</x:v>
      </x:c>
      <x:c r="AX70" s="4" t="str">
        <x:v>Threshold</x:v>
      </x:c>
      <x:c r="AY70" s="4"/>
      <x:c r="AZ70" s="4"/>
      <x:c r="BA70" s="4"/>
      <x:c r="BB70" s="4"/>
      <x:c r="BC70" s="4"/>
      <x:c r="BD70" s="4"/>
      <x:c r="BE70" s="4"/>
      <x:c r="BF70" s="4"/>
      <x:c r="BG70" s="4"/>
      <x:c r="BH70" s="4"/>
      <x:c r="BI70" s="4"/>
      <x:c r="BJ70" s="4"/>
      <x:c r="BK70" s="4"/>
      <x:c r="BL70" s="4"/>
      <x:c r="BM70" s="4" t="n">
        <x:f>IF('Calculations'!$EM70="",0,IF(OR(IFERROR(INDEX(INDIRECT("'WCM Calibration Final'!$A$1:$A$2000"),'Calculations'!$EM70)&lt;&gt;"",FALSE),IFERROR(INDEX(INDIRECT("'WCM Calibration Final'!$B$1:$B$2000"),'Calculations'!$EM70)&lt;&gt;"",FALSE),IFERROR(INDEX(INDIRECT("'WCM Calibration Final'!$C$1:$C$2000"),'Calculations'!$EM70)&lt;&gt;"",FALSE)),1,0))</x:f>
        <x:v>0</x:v>
      </x:c>
      <x:c r="BN70" s="4" t="n">
        <x:f>IF(AND('Calculations'!BM70=1,'Calculations'!$AG$2,'Calculations'!$EN70=1),1,0)</x:f>
        <x:v>0</x:v>
      </x:c>
      <x:c r="BO70" s="4" t="str">
        <x:f>IF('Calculations'!BM70=0,"",IFERROR(IF(AND(VALUE(INDEX(INDIRECT("'WCM Calibration Final'!$K$1:$K$2000"),'Calculations'!$EM70))&gt;=1,VALUE(INDEX(INDIRECT("'WCM Calibration Final'!$K$1:$K$2000"),'Calculations'!$EM70))&lt;=4,MOD(VALUE(INDEX(INDIRECT("'WCM Calibration Final'!$K$1:$K$2000"),'Calculations'!$EM70)),1)=0),VALUE(INDEX(INDIRECT("'WCM Calibration Final'!$K$1:$K$2000"),'Calculations'!$EM70)),""),""))</x:f>
      </x:c>
      <x:c r="BP70" s="4" t="str">
        <x:f>IF('Calculations'!BM70=0,"",IFERROR(IF(AND(VALUE(INDEX(INDIRECT("'WCM Calibration Final'!$L$1:$L$2000"),'Calculations'!$EM70))&gt;=1,VALUE(INDEX(INDIRECT("'WCM Calibration Final'!$L$1:$L$2000"),'Calculations'!$EM70))&lt;=4,MOD(VALUE(INDEX(INDIRECT("'WCM Calibration Final'!$L$1:$L$2000"),'Calculations'!$EM70)),1)=0),VALUE(INDEX(INDIRECT("'WCM Calibration Final'!$L$1:$L$2000"),'Calculations'!$EM70)),""),""))</x:f>
      </x:c>
      <x:c r="BQ70" s="4"/>
      <x:c r="BR70" s="4"/>
      <x:c r="BS70" s="4"/>
      <x:c r="BT70" s="4" t="n">
        <x:f>IF(AND('Calculations'!BM70=1,ISNUMBER('Calculations'!BO70),ISNUMBER('Calculations'!BP70)),1,0)</x:f>
        <x:v>0</x:v>
      </x:c>
      <x:c r="BU70" s="4" t="str">
        <x:f>IF('Calculations'!BM70=0,"",'Calculations'!$EO70)</x:f>
      </x:c>
      <x:c r="BV70" s="4" t="str">
        <x:f>IF('Calculations'!BM70=0,"",IFERROR(IF(OR(INDEX(INDIRECT("'WCM Calibration Final'!$H$1:$H$2000"),'Calculations'!$EM70)="MANAGING DIRECTOR",INDEX(INDIRECT("'WCM Calibration Final'!$H$1:$H$2000"),'Calculations'!$EM70)="DIRECTOR",INDEX(INDIRECT("'WCM Calibration Final'!$H$1:$H$2000"),'Calculations'!$EM70)="SENIOR VICE PRESIDENT",INDEX(INDIRECT("'WCM Calibration Final'!$H$1:$H$2000"),'Calculations'!$EM70)="VICE PRESIDENT",INDEX(INDIRECT("'WCM Calibration Final'!$H$1:$H$2000"),'Calculations'!$EM70)="ASSISTANT VICE PRESIDENT",INDEX(INDIRECT("'WCM Calibration Final'!$H$1:$H$2000"),'Calculations'!$EM70)="OFFICER"),UPPER(INDEX(INDIRECT("'WCM Calibration Final'!$H$1:$H$2000"),'Calculations'!$EM70)),"Other"),"Other"))</x:f>
      </x:c>
      <x:c r="BW70" s="4"/>
      <x:c r="BX70" s="4"/>
      <x:c r="BY70" s="4" t="n">
        <x:f>IF(AND('Calculations'!BM70=1,'Calculations'!BU70&lt;&gt;"",COUNTIF('Calculations'!$BU$12:BU70,'Calculations'!BU70)=1),MAX('Calculations'!$BY$11:BY69)+1,0)</x:f>
        <x:v>0</x:v>
      </x:c>
      <x:c r="BZ70" s="4" t="str">
        <x:f>IF('Dashboard'!$E$67="What",'Calculations'!BO70,'Calculations'!BP70)</x:f>
      </x:c>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t="str">
        <x:f>IF(59&gt;MAX('Calculations'!$HI$13:$HI$512),"",INDEX('Calculations'!$HN$13:$HN$512,MATCH(59,'Calculations'!$HI$13:$HI$512,0)))</x:f>
      </x:c>
      <x:c r="DB70" s="4" t="str">
        <x:f>IF(59&gt;MAX('Calculations'!$HH$13:$HH$512),"",INDEX('Calculations'!$HJ$13:$HJ$512,MATCH(59,'Calculations'!$HH$13:$HH$512,0)))</x:f>
      </x:c>
      <x:c r="DC70" s="4" t="str">
        <x:f>IF(ROW()-11&gt;MAX('Calculations'!$BY$13:$BY$512),"",INDEX('Calculations'!$BU$13:$BU$512,MATCH(ROW()-11,'Calculations'!$BY$13:$BY$512,0)))</x:f>
      </x:c>
      <x:c r="DD70" s="4" t="str">
        <x:f>IF(59&gt;MAX('Calculations'!$IK$13:$IK$512),"",INDEX('Calculations'!$HK$13:$HK$512,MATCH(59,'Calculations'!$IK$13:$IK$512,0)))</x:f>
      </x:c>
      <x:c r="DE70" s="4" t="str">
        <x:f>'Calculations'!DC70</x:f>
      </x:c>
      <x:c r="DF70" s="4" t="str">
        <x:f>IF('Calculations'!DE70="","",COUNTIFS('Calculations'!$BN$13:$BN$512,1,'Calculations'!$BU$13:$BU$512,'Calculations'!DE70))</x:f>
      </x:c>
      <x:c r="DG70" s="4" t="str">
        <x:f>IF('Calculations'!DE70="","",COUNTIFS('Calculations'!$BN$13:$BN$512,1,'Calculations'!$BU$13:$BU$512,'Calculations'!DE70,'Calculations'!$BT$13:$BT$512,1))</x:f>
      </x:c>
      <x:c r="DH70" s="4" t="str">
        <x:f>IF('Calculations'!DE70="","",'Calculations'!DF70-'Calculations'!DG70)</x:f>
      </x:c>
      <x:c r="DI70" s="4" t="str">
        <x:f>IF(OR('Calculations'!DE70="",'Calculations'!DF70=0),"",'Calculations'!DG70/'Calculations'!DF70)</x:f>
      </x:c>
      <x:c r="DJ70" s="4" t="str">
        <x:f>IF('Calculations'!DE70="","",COUNTIFS('Calculations'!$BN$13:$BN$512,1,'Calculations'!$BU$13:$BU$512,'Calculations'!DE70,'Calculations'!$BT$13:$BT$512,1,'Calculations'!$EE$13:$EE$512,"High"))</x:f>
      </x:c>
      <x:c r="DK70" s="4" t="str">
        <x:f>IF('Calculations'!DE70="","",COUNTIFS('Calculations'!$BN$13:$BN$512,1,'Calculations'!$BU$13:$BU$512,'Calculations'!DE70,'Calculations'!$BT$13:$BT$512,1,'Calculations'!$EE$13:$EE$512,"Strong"))</x:f>
      </x:c>
      <x:c r="DL70" s="4" t="str">
        <x:f>IF('Calculations'!DE70="","",COUNTIFS('Calculations'!$BN$13:$BN$512,1,'Calculations'!$BU$13:$BU$512,'Calculations'!DE70,'Calculations'!$BT$13:$BT$512,1,'Calculations'!$EE$13:$EE$512,"Solid"))</x:f>
      </x:c>
      <x:c r="DM70" s="4" t="str">
        <x:f>IF('Calculations'!DE70="","",COUNTIFS('Calculations'!$BN$13:$BN$512,1,'Calculations'!$BU$13:$BU$512,'Calculations'!DE70,'Calculations'!$BT$13:$BT$512,1,'Calculations'!$EE$13:$EE$512,"Low"))</x:f>
      </x:c>
      <x:c r="DN70" s="4" t="str">
        <x:f>IF('Calculations'!DE70="","",COUNTIFS('Calculations'!$BN$13:$BN$512,1,'Calculations'!$BU$13:$BU$512,'Calculations'!DE70,'Calculations'!$EP$13:$EP$512,1))</x:f>
      </x:c>
      <x:c r="DO70" s="4" t="str">
        <x:f>IF(OR('Calculations'!DE70="",'Calculations'!DG70=0),"",('Calculations'!DJ70+'Calculations'!DK70)/'Calculations'!DG70)</x:f>
      </x:c>
      <x:c r="DP70" s="4" t="n">
        <x:f>IF(AND('Calculations'!DE70&lt;&gt;"",'Calculations'!DF70&gt;0),COUNTIF('Calculations'!$DF$12:DF70,"&gt;0"),0)</x:f>
        <x:v>0</x:v>
      </x:c>
      <x:c r="DQ70" s="4" t="str">
        <x:f>IF(59&gt;MAX('Calculations'!$HH$13:$HH$512),"",INDEX('Calculations'!$HF$13:$HF$512,MATCH(59,'Calculations'!$HH$13:$HH$512,0)))</x:f>
      </x:c>
      <x:c r="DR70" s="4" t="str">
        <x:f>IF(59&gt;MAX('Calculations'!$IK$13:$IK$512),"",INDEX('Calculations'!$HE$13:$HE$512,MATCH(59,'Calculations'!$IK$13:$IK$512,0)))</x:f>
      </x:c>
      <x:c r="DS70" s="4"/>
      <x:c r="DT70" s="4"/>
      <x:c r="DU70" s="4"/>
      <x:c r="DV70" s="4"/>
      <x:c r="DW70" s="4"/>
      <x:c r="DX70" s="4"/>
      <x:c r="DY70" s="4"/>
      <x:c r="DZ70" s="4"/>
      <x:c r="EA70" s="4"/>
      <x:c r="EB70" s="4"/>
      <x:c r="EC70" s="4"/>
      <x:c r="ED70" s="4"/>
      <x:c r="EE70" s="4" t="str">
        <x:f>IF('Calculations'!BT70=0,"Not Rated",IF(OR('Calculations'!BO70&gt;=4,'Calculations'!BP70&gt;=4),"Low",IF('Calculations'!BO70+'Calculations'!BP70&lt;=3,"High",IF('Calculations'!BO70+'Calculations'!BP70&lt;=4,"Strong","Solid"))))</x:f>
        <x:v>Not Rated</x:v>
      </x:c>
      <x:c r="EF70" s="4"/>
      <x:c r="EG70" s="4"/>
      <x:c r="EH70" s="4"/>
      <x:c r="EI70" s="4"/>
      <x:c r="EJ70" s="4"/>
      <x:c r="EK70" s="4"/>
      <x:c r="EL70" s="4"/>
      <x:c r="EM70" s="4" t="str">
        <x:f>IF(58&gt;'Calculations'!$JB$2000,"",INDEX('Calculations'!$JA$12:$JA$2000,MATCH(58,'Calculations'!$JB$12:$JB$2000,0)))</x:f>
      </x:c>
      <x:c r="EN70" s="4" t="n">
        <x:f>IF(OR('Calculations'!EM70="",'Calculations'!$AG$8&gt;0,AND('Calculations'!$EF$2&lt;&gt;"All",'Calculations'!HE70='Calculations'!$EF$2),AND('Calculations'!$EF$3&lt;&gt;"All",'Calculations'!HE70='Calculations'!$EF$3)),0,IF(OR('Dashboard'!$B$7="All",'Calculations'!HN70='Dashboard'!$B$7),IF('Calculations'!$EF$2="All",1,IF('Calculations'!HL70&gt;0,0,IF(COUNTIF('Calculations'!HO70:II70,"="&amp;SUBSTITUTE(SUBSTITUTE(SUBSTITUTE('Calculations'!$EF$2,"~","~~"),"*","~*"),"?","~?"))=0,0,IF('Calculations'!$EF$3="All",1,IF(COUNTIF('Calculations'!HO70:II70,"="&amp;SUBSTITUTE(SUBSTITUTE(SUBSTITUTE('Calculations'!$EF$3,"~","~~"),"*","~*"),"?","~?"))&gt;0,1,0))))),0))</x:f>
        <x:v>0</x:v>
      </x:c>
      <x:c r="EO70" s="4" t="str">
        <x:f>IF('Calculations'!IJ70="","",IF('Calculations'!IJ70="!UNRESOLVED","Unresolved hierarchy",IFERROR(INDEX('Calculations'!$HK$13:$HK$512,MATCH('Calculations'!IJ70,'Calculations'!$HE$13:$HE$512,0)),IFERROR(INDEX('Calculations'!$HJ$13:$HJ$512,MATCH('Calculations'!IJ70,'Calculations'!$HF$13:$HF$512,0)),'Calculations'!IJ70))))</x:f>
      </x:c>
      <x:c r="EP70" s="4" t="n">
        <x:f>IF(AND('Calculations'!EM70&lt;&gt;"",'Calculations'!HF70='Calculations'!IJ70),1,0)</x:f>
        <x:v>0</x:v>
      </x:c>
      <x:c r="EQ70" s="4"/>
      <x:c r="ER70" s="4"/>
      <x:c r="ES70" s="4"/>
      <x:c r="ET70" s="4"/>
      <x:c r="EU70" s="4"/>
      <x:c r="EV70" s="4"/>
      <x:c r="EW70" s="4"/>
      <x:c r="EX70" s="4"/>
      <x:c r="EY70" s="4"/>
      <x:c r="EZ70" s="4"/>
      <x:c r="FA70" s="4"/>
      <x:c r="FB70" s="4"/>
      <x:c r="FC70" s="4"/>
      <x:c r="FD70" s="4"/>
      <x:c r="FE70" s="4"/>
      <x:c r="FF70" s="4"/>
      <x:c r="FG70" s="4"/>
      <x:c r="FH70" s="4"/>
      <x:c r="FI70" s="4"/>
      <x:c r="FJ70" s="4"/>
      <x:c r="FK70" s="4"/>
      <x:c r="FL70" s="4"/>
      <x:c r="FM70" s="4"/>
      <x:c r="FN70" s="4"/>
      <x:c r="FO70" s="4"/>
      <x:c r="GA70" s="71"/>
      <x:c r="GB70" s="71"/>
      <x:c r="GC70" s="71"/>
      <x:c r="GD70" s="71"/>
      <x:c r="GE70" s="71"/>
      <x:c r="GF70" s="71"/>
      <x:c r="GG70" s="71"/>
      <x:c r="GH70" s="71"/>
      <x:c r="GI70" s="71"/>
      <x:c r="GJ70" s="71"/>
      <x:c r="GK70" s="71"/>
      <x:c r="GL70" s="71"/>
      <x:c r="GM70" s="71"/>
      <x:c r="GN70" s="71"/>
      <x:c r="GO70" s="71"/>
      <x:c r="GP70" s="71"/>
      <x:c r="GQ70" s="71"/>
      <x:c r="GR70" s="71"/>
      <x:c r="GS70" s="71"/>
      <x:c r="GT70" s="71"/>
      <x:c r="GU70" s="71"/>
      <x:c r="GV70" s="71"/>
      <x:c r="GW70" s="71"/>
      <x:c r="GX70" s="71"/>
      <x:c r="GY70" s="71"/>
      <x:c r="GZ70" s="71"/>
      <x:c r="HA70" s="71"/>
      <x:c r="HB70" s="71"/>
      <x:c r="HC70" s="71"/>
      <x:c r="HD70" s="71"/>
      <x:c r="HE70" t="str">
        <x:f>IF('Calculations'!EM70="","",IF(IFERROR(IF(INDEX(INDIRECT("'WCM Calibration Final'!$A$1:$A$2000"),'Calculations'!$EM70)="","",TRIM(INDEX(INDIRECT("'WCM Calibration Final'!$A$1:$A$2000"),'Calculations'!$EM70)&amp;"")),"")&lt;&gt;"","G:"&amp;IFERROR(TEXT(1*INDEX(INDIRECT("'WCM Calibration Final'!$A$1:$A$2000"),'Calculations'!$EM70),"0"),UPPER(IFERROR(IF(INDEX(INDIRECT("'WCM Calibration Final'!$A$1:$A$2000"),'Calculations'!$EM70)="","",TRIM(INDEX(INDIRECT("'WCM Calibration Final'!$A$1:$A$2000"),'Calculations'!$EM70)&amp;"")),""))),IF(IFERROR(IF(INDEX(INDIRECT("'WCM Calibration Final'!$C$1:$C$2000"),'Calculations'!$EM70)="","",TRIM(INDEX(INDIRECT("'WCM Calibration Final'!$C$1:$C$2000"),'Calculations'!$EM70)&amp;"")),"")&lt;&gt;"","S:"&amp;UPPER(IFERROR(IF(INDEX(INDIRECT("'WCM Calibration Final'!$C$1:$C$2000"),'Calculations'!$EM70)="","",TRIM(INDEX(INDIRECT("'WCM Calibration Final'!$C$1:$C$2000"),'Calculations'!$EM70)&amp;"")),"")),"R:"&amp;'Calculations'!EM70)))</x:f>
      </x:c>
      <x:c r="HF70" t="str">
        <x:f>IF('Calculations'!EM70="","",IF(IFERROR(IF(INDEX(INDIRECT("'WCM Calibration Final'!$D$1:$D$2000"),'Calculations'!$EM70)="","",TRIM(INDEX(INDIRECT("'WCM Calibration Final'!$D$1:$D$2000"),'Calculations'!$EM70)&amp;"")),"")&lt;&gt;"","G:"&amp;IFERROR(TEXT(1*INDEX(INDIRECT("'WCM Calibration Final'!$D$1:$D$2000"),'Calculations'!$EM70),"0"),UPPER(IFERROR(IF(INDEX(INDIRECT("'WCM Calibration Final'!$D$1:$D$2000"),'Calculations'!$EM70)="","",TRIM(INDEX(INDIRECT("'WCM Calibration Final'!$D$1:$D$2000"),'Calculations'!$EM70)&amp;"")),""))),IF(IFERROR(IF(INDEX(INDIRECT("'WCM Calibration Final'!$E$1:$E$2000"),'Calculations'!$EM70)="","",TRIM(INDEX(INDIRECT("'WCM Calibration Final'!$E$1:$E$2000"),'Calculations'!$EM70)&amp;"")),"")="","",IF(COUNTIF('Calculations'!$HG$13:$HG$512,"="&amp;SUBSTITUTE(SUBSTITUTE(SUBSTITUTE(IFERROR(IF(INDEX(INDIRECT("'WCM Calibration Final'!$E$1:$E$2000"),'Calculations'!$EM70)="","",TRIM(INDEX(INDIRECT("'WCM Calibration Final'!$E$1:$E$2000"),'Calculations'!$EM70)&amp;"")),""),"~","~~"),"*","~*"),"?","~?"))=1,INDEX('Calculations'!$HE$13:$HE$512,MATCH(IFERROR(IF(INDEX(INDIRECT("'WCM Calibration Final'!$E$1:$E$2000"),'Calculations'!$EM70)="","",TRIM(INDEX(INDIRECT("'WCM Calibration Final'!$E$1:$E$2000"),'Calculations'!$EM70)&amp;"")),""),'Calculations'!$HG$13:$HG$512,0)),IF(COUNTIF('Calculations'!$HG$13:$HG$512,"="&amp;SUBSTITUTE(SUBSTITUTE(SUBSTITUTE(IFERROR(IF(INDEX(INDIRECT("'WCM Calibration Final'!$E$1:$E$2000"),'Calculations'!$EM70)="","",TRIM(INDEX(INDIRECT("'WCM Calibration Final'!$E$1:$E$2000"),'Calculations'!$EM70)&amp;"")),""),"~","~~"),"*","~*"),"?","~?"))&gt;1,"!AMBIG","X:"&amp;IFERROR(IF(INDEX(INDIRECT("'WCM Calibration Final'!$E$1:$E$2000"),'Calculations'!$EM70)="","",TRIM(INDEX(INDIRECT("'WCM Calibration Final'!$E$1:$E$2000"),'Calculations'!$EM70)&amp;"")),""))))))</x:f>
      </x:c>
      <x:c r="HG70" t="str">
        <x:f>IF('Calculations'!EM70="","",IFERROR(IF(INDEX(INDIRECT("'WCM Calibration Final'!$B$1:$B$2000"),'Calculations'!$EM70)="","",TRIM(INDEX(INDIRECT("'WCM Calibration Final'!$B$1:$B$2000"),'Calculations'!$EM70)&amp;"")),""))</x:f>
      </x:c>
      <x:c r="HH70" t="n">
        <x:f>IF(AND('Calculations'!JC70&gt;0,COUNTIF('Calculations'!$HF$12:HF70,"="&amp;SUBSTITUTE(SUBSTITUTE(SUBSTITUTE('Calculations'!HF70,"~","~~"),"*","~*"),"?","~?"))=1),MAX('Calculations'!$HH$12:HH69)+1,0)</x:f>
        <x:v>0</x:v>
      </x:c>
      <x:c r="HI70" t="n">
        <x:f>IF(AND('Calculations'!HN70&lt;&gt;"",COUNTIF('Calculations'!$HN$12:HN70,"="&amp;SUBSTITUTE(SUBSTITUTE(SUBSTITUTE('Calculations'!HN70,"~","~~"),"*","~*"),"?","~?"))=1),MAX('Calculations'!$HI$12:HI69)+1,0)</x:f>
        <x:v>0</x:v>
      </x:c>
      <x:c r="HJ70" t="str">
        <x:f>IF('Calculations'!HF70="","",IF(COUNTIF('Calculations'!$HE$13:$HE$512,"="&amp;SUBSTITUTE(SUBSTITUTE(SUBSTITUTE('Calculations'!HF70,"~","~~"),"*","~*"),"?","~?"))=1,INDEX('Calculations'!$HK$13:$HK$512,MATCH('Calculations'!HF70,'Calculations'!$HE$13:$HE$512,0)),IFERROR(IF(INDEX(INDIRECT("'WCM Calibration Final'!$E$1:$E$2000"),'Calculations'!$EM70)="","",TRIM(INDEX(INDIRECT("'WCM Calibration Final'!$E$1:$E$2000"),'Calculations'!$EM70)&amp;"")),"")&amp;" ["&amp;'Calculations'!HF70&amp;"]"))</x:f>
      </x:c>
      <x:c r="HK70" t="str">
        <x:f>IF('Calculations'!EM70="","",'Calculations'!HG70&amp;" ["&amp;'Calculations'!HE70&amp;"]")</x:f>
      </x:c>
      <x:c r="HL70" t="n">
        <x:f>IF('Calculations'!EM70="",0,IF(OR('Calculations'!II70&lt;&gt;"",COUNTIF('Calculations'!$HE$13:$HE$512,"="&amp;SUBSTITUTE(SUBSTITUTE(SUBSTITUTE('Calculations'!HE70,"~","~~"),"*","~*"),"?","~?"))&gt;1),1,0))</x:f>
        <x:v>0</x:v>
      </x:c>
      <x:c r="HM70" t="str">
        <x:f>IF('Calculations'!EM70="","",IF('Calculations'!HL70=1,"!UNRESOLVED",IF('Calculations'!IH70&lt;&gt;"",'Calculations'!IH70,IF('Calculations'!IG70&lt;&gt;"",'Calculations'!IG70,IF('Calculations'!IF70&lt;&gt;"",'Calculations'!IF70,IF('Calculations'!IE70&lt;&gt;"",'Calculations'!IE70,IF('Calculations'!ID70&lt;&gt;"",'Calculations'!ID70,IF('Calculations'!IC70&lt;&gt;"",'Calculations'!IC70,IF('Calculations'!IB70&lt;&gt;"",'Calculations'!IB70,IF('Calculations'!IA70&lt;&gt;"",'Calculations'!IA70,IF('Calculations'!HZ70&lt;&gt;"",'Calculations'!HZ70,IF('Calculations'!HY70&lt;&gt;"",'Calculations'!HY70,IF('Calculations'!HX70&lt;&gt;"",'Calculations'!HX70,IF('Calculations'!HW70&lt;&gt;"",'Calculations'!HW70,IF('Calculations'!HV70&lt;&gt;"",'Calculations'!HV70,IF('Calculations'!HU70&lt;&gt;"",'Calculations'!HU70,IF('Calculations'!HT70&lt;&gt;"",'Calculations'!HT70,IF('Calculations'!HS70&lt;&gt;"",'Calculations'!HS70,IF('Calculations'!HR70&lt;&gt;"",'Calculations'!HR70,IF('Calculations'!HQ70&lt;&gt;"",'Calculations'!HQ70,IF('Calculations'!HP70&lt;&gt;"",'Calculations'!HP70,IF('Calculations'!HO70&lt;&gt;"",'Calculations'!HO70,'Calculations'!HE70))))))))))))))))))))))</x:f>
      </x:c>
      <x:c r="HN70" t="str">
        <x:f>IF('Calculations'!EM70="","",IF(IFERROR(IF(INDEX(INDIRECT("'WCM Calibration Final'!$F$1:$F$2000"),'Calculations'!$EM70)="","",TRIM(INDEX(INDIRECT("'WCM Calibration Final'!$F$1:$F$2000"),'Calculations'!$EM70)&amp;"")),"")="","(Blank)",IFERROR(IF(INDEX(INDIRECT("'WCM Calibration Final'!$F$1:$F$2000"),'Calculations'!$EM70)="","",TRIM(INDEX(INDIRECT("'WCM Calibration Final'!$F$1:$F$2000"),'Calculations'!$EM70)&amp;"")),"")))</x:f>
      </x:c>
      <x:c r="HO70" t="str">
        <x:f>'Calculations'!HF70</x:f>
      </x:c>
      <x:c r="HP70" t="str">
        <x:f>IF('Calculations'!HO70="","",IF('Calculations'!HO70="!AMBIG","!AMBIG",IF(COUNTIF('Calculations'!$HE$13:$HE$512,"="&amp;SUBSTITUTE(SUBSTITUTE(SUBSTITUTE('Calculations'!HO70,"~","~~"),"*","~*"),"?","~?"))&gt;1,"!AMBIG",IFERROR(INDEX('Calculations'!$HF$13:$HF$512,MATCH('Calculations'!HO70,'Calculations'!$HE$13:$HE$512,0)),""))))</x:f>
      </x:c>
      <x:c r="HQ70" t="str">
        <x:f>IF('Calculations'!HP70="","",IF('Calculations'!HP70="!AMBIG","!AMBIG",IF(COUNTIF('Calculations'!$HE$13:$HE$512,"="&amp;SUBSTITUTE(SUBSTITUTE(SUBSTITUTE('Calculations'!HP70,"~","~~"),"*","~*"),"?","~?"))&gt;1,"!AMBIG",IFERROR(INDEX('Calculations'!$HF$13:$HF$512,MATCH('Calculations'!HP70,'Calculations'!$HE$13:$HE$512,0)),""))))</x:f>
      </x:c>
      <x:c r="HR70" t="str">
        <x:f>IF('Calculations'!HQ70="","",IF('Calculations'!HQ70="!AMBIG","!AMBIG",IF(COUNTIF('Calculations'!$HE$13:$HE$512,"="&amp;SUBSTITUTE(SUBSTITUTE(SUBSTITUTE('Calculations'!HQ70,"~","~~"),"*","~*"),"?","~?"))&gt;1,"!AMBIG",IFERROR(INDEX('Calculations'!$HF$13:$HF$512,MATCH('Calculations'!HQ70,'Calculations'!$HE$13:$HE$512,0)),""))))</x:f>
      </x:c>
      <x:c r="HS70" t="str">
        <x:f>IF('Calculations'!HR70="","",IF('Calculations'!HR70="!AMBIG","!AMBIG",IF(COUNTIF('Calculations'!$HE$13:$HE$512,"="&amp;SUBSTITUTE(SUBSTITUTE(SUBSTITUTE('Calculations'!HR70,"~","~~"),"*","~*"),"?","~?"))&gt;1,"!AMBIG",IFERROR(INDEX('Calculations'!$HF$13:$HF$512,MATCH('Calculations'!HR70,'Calculations'!$HE$13:$HE$512,0)),""))))</x:f>
      </x:c>
      <x:c r="HT70" t="str">
        <x:f>IF('Calculations'!HS70="","",IF('Calculations'!HS70="!AMBIG","!AMBIG",IF(COUNTIF('Calculations'!$HE$13:$HE$512,"="&amp;SUBSTITUTE(SUBSTITUTE(SUBSTITUTE('Calculations'!HS70,"~","~~"),"*","~*"),"?","~?"))&gt;1,"!AMBIG",IFERROR(INDEX('Calculations'!$HF$13:$HF$512,MATCH('Calculations'!HS70,'Calculations'!$HE$13:$HE$512,0)),""))))</x:f>
      </x:c>
      <x:c r="HU70" t="str">
        <x:f>IF('Calculations'!HT70="","",IF('Calculations'!HT70="!AMBIG","!AMBIG",IF(COUNTIF('Calculations'!$HE$13:$HE$512,"="&amp;SUBSTITUTE(SUBSTITUTE(SUBSTITUTE('Calculations'!HT70,"~","~~"),"*","~*"),"?","~?"))&gt;1,"!AMBIG",IFERROR(INDEX('Calculations'!$HF$13:$HF$512,MATCH('Calculations'!HT70,'Calculations'!$HE$13:$HE$512,0)),""))))</x:f>
      </x:c>
      <x:c r="HV70" t="str">
        <x:f>IF('Calculations'!HU70="","",IF('Calculations'!HU70="!AMBIG","!AMBIG",IF(COUNTIF('Calculations'!$HE$13:$HE$512,"="&amp;SUBSTITUTE(SUBSTITUTE(SUBSTITUTE('Calculations'!HU70,"~","~~"),"*","~*"),"?","~?"))&gt;1,"!AMBIG",IFERROR(INDEX('Calculations'!$HF$13:$HF$512,MATCH('Calculations'!HU70,'Calculations'!$HE$13:$HE$512,0)),""))))</x:f>
      </x:c>
      <x:c r="HW70" t="str">
        <x:f>IF('Calculations'!HV70="","",IF('Calculations'!HV70="!AMBIG","!AMBIG",IF(COUNTIF('Calculations'!$HE$13:$HE$512,"="&amp;SUBSTITUTE(SUBSTITUTE(SUBSTITUTE('Calculations'!HV70,"~","~~"),"*","~*"),"?","~?"))&gt;1,"!AMBIG",IFERROR(INDEX('Calculations'!$HF$13:$HF$512,MATCH('Calculations'!HV70,'Calculations'!$HE$13:$HE$512,0)),""))))</x:f>
      </x:c>
      <x:c r="HX70" t="str">
        <x:f>IF('Calculations'!HW70="","",IF('Calculations'!HW70="!AMBIG","!AMBIG",IF(COUNTIF('Calculations'!$HE$13:$HE$512,"="&amp;SUBSTITUTE(SUBSTITUTE(SUBSTITUTE('Calculations'!HW70,"~","~~"),"*","~*"),"?","~?"))&gt;1,"!AMBIG",IFERROR(INDEX('Calculations'!$HF$13:$HF$512,MATCH('Calculations'!HW70,'Calculations'!$HE$13:$HE$512,0)),""))))</x:f>
      </x:c>
      <x:c r="HY70" t="str">
        <x:f>IF('Calculations'!HX70="","",IF('Calculations'!HX70="!AMBIG","!AMBIG",IF(COUNTIF('Calculations'!$HE$13:$HE$512,"="&amp;SUBSTITUTE(SUBSTITUTE(SUBSTITUTE('Calculations'!HX70,"~","~~"),"*","~*"),"?","~?"))&gt;1,"!AMBIG",IFERROR(INDEX('Calculations'!$HF$13:$HF$512,MATCH('Calculations'!HX70,'Calculations'!$HE$13:$HE$512,0)),""))))</x:f>
      </x:c>
      <x:c r="HZ70" t="str">
        <x:f>IF('Calculations'!HY70="","",IF('Calculations'!HY70="!AMBIG","!AMBIG",IF(COUNTIF('Calculations'!$HE$13:$HE$512,"="&amp;SUBSTITUTE(SUBSTITUTE(SUBSTITUTE('Calculations'!HY70,"~","~~"),"*","~*"),"?","~?"))&gt;1,"!AMBIG",IFERROR(INDEX('Calculations'!$HF$13:$HF$512,MATCH('Calculations'!HY70,'Calculations'!$HE$13:$HE$512,0)),""))))</x:f>
      </x:c>
      <x:c r="IA70" t="str">
        <x:f>IF('Calculations'!HZ70="","",IF('Calculations'!HZ70="!AMBIG","!AMBIG",IF(COUNTIF('Calculations'!$HE$13:$HE$512,"="&amp;SUBSTITUTE(SUBSTITUTE(SUBSTITUTE('Calculations'!HZ70,"~","~~"),"*","~*"),"?","~?"))&gt;1,"!AMBIG",IFERROR(INDEX('Calculations'!$HF$13:$HF$512,MATCH('Calculations'!HZ70,'Calculations'!$HE$13:$HE$512,0)),""))))</x:f>
      </x:c>
      <x:c r="IB70" t="str">
        <x:f>IF('Calculations'!IA70="","",IF('Calculations'!IA70="!AMBIG","!AMBIG",IF(COUNTIF('Calculations'!$HE$13:$HE$512,"="&amp;SUBSTITUTE(SUBSTITUTE(SUBSTITUTE('Calculations'!IA70,"~","~~"),"*","~*"),"?","~?"))&gt;1,"!AMBIG",IFERROR(INDEX('Calculations'!$HF$13:$HF$512,MATCH('Calculations'!IA70,'Calculations'!$HE$13:$HE$512,0)),""))))</x:f>
      </x:c>
      <x:c r="IC70" t="str">
        <x:f>IF('Calculations'!IB70="","",IF('Calculations'!IB70="!AMBIG","!AMBIG",IF(COUNTIF('Calculations'!$HE$13:$HE$512,"="&amp;SUBSTITUTE(SUBSTITUTE(SUBSTITUTE('Calculations'!IB70,"~","~~"),"*","~*"),"?","~?"))&gt;1,"!AMBIG",IFERROR(INDEX('Calculations'!$HF$13:$HF$512,MATCH('Calculations'!IB70,'Calculations'!$HE$13:$HE$512,0)),""))))</x:f>
      </x:c>
      <x:c r="ID70" t="str">
        <x:f>IF('Calculations'!IC70="","",IF('Calculations'!IC70="!AMBIG","!AMBIG",IF(COUNTIF('Calculations'!$HE$13:$HE$512,"="&amp;SUBSTITUTE(SUBSTITUTE(SUBSTITUTE('Calculations'!IC70,"~","~~"),"*","~*"),"?","~?"))&gt;1,"!AMBIG",IFERROR(INDEX('Calculations'!$HF$13:$HF$512,MATCH('Calculations'!IC70,'Calculations'!$HE$13:$HE$512,0)),""))))</x:f>
      </x:c>
      <x:c r="IE70" t="str">
        <x:f>IF('Calculations'!ID70="","",IF('Calculations'!ID70="!AMBIG","!AMBIG",IF(COUNTIF('Calculations'!$HE$13:$HE$512,"="&amp;SUBSTITUTE(SUBSTITUTE(SUBSTITUTE('Calculations'!ID70,"~","~~"),"*","~*"),"?","~?"))&gt;1,"!AMBIG",IFERROR(INDEX('Calculations'!$HF$13:$HF$512,MATCH('Calculations'!ID70,'Calculations'!$HE$13:$HE$512,0)),""))))</x:f>
      </x:c>
      <x:c r="IF70" t="str">
        <x:f>IF('Calculations'!IE70="","",IF('Calculations'!IE70="!AMBIG","!AMBIG",IF(COUNTIF('Calculations'!$HE$13:$HE$512,"="&amp;SUBSTITUTE(SUBSTITUTE(SUBSTITUTE('Calculations'!IE70,"~","~~"),"*","~*"),"?","~?"))&gt;1,"!AMBIG",IFERROR(INDEX('Calculations'!$HF$13:$HF$512,MATCH('Calculations'!IE70,'Calculations'!$HE$13:$HE$512,0)),""))))</x:f>
      </x:c>
      <x:c r="IG70" t="str">
        <x:f>IF('Calculations'!IF70="","",IF('Calculations'!IF70="!AMBIG","!AMBIG",IF(COUNTIF('Calculations'!$HE$13:$HE$512,"="&amp;SUBSTITUTE(SUBSTITUTE(SUBSTITUTE('Calculations'!IF70,"~","~~"),"*","~*"),"?","~?"))&gt;1,"!AMBIG",IFERROR(INDEX('Calculations'!$HF$13:$HF$512,MATCH('Calculations'!IF70,'Calculations'!$HE$13:$HE$512,0)),""))))</x:f>
      </x:c>
      <x:c r="IH70" t="str">
        <x:f>IF('Calculations'!IG70="","",IF('Calculations'!IG70="!AMBIG","!AMBIG",IF(COUNTIF('Calculations'!$HE$13:$HE$512,"="&amp;SUBSTITUTE(SUBSTITUTE(SUBSTITUTE('Calculations'!IG70,"~","~~"),"*","~*"),"?","~?"))&gt;1,"!AMBIG",IFERROR(INDEX('Calculations'!$HF$13:$HF$512,MATCH('Calculations'!IG70,'Calculations'!$HE$13:$HE$512,0)),""))))</x:f>
      </x:c>
      <x:c r="II70" t="str">
        <x:f>IF('Calculations'!IH70="","",IF('Calculations'!IH70="!AMBIG","!AMBIG",IF(COUNTIF('Calculations'!$HE$13:$HE$512,"="&amp;SUBSTITUTE(SUBSTITUTE(SUBSTITUTE('Calculations'!IH70,"~","~~"),"*","~*"),"?","~?"))&gt;1,"!AMBIG",IFERROR(INDEX('Calculations'!$HF$13:$HF$512,MATCH('Calculations'!IH70,'Calculations'!$HE$13:$HE$512,0)),""))))</x:f>
      </x:c>
      <x:c r="IJ70" t="str">
        <x:f>IF('Calculations'!EM70="","",IF('Calculations'!$EF$2="All",'Calculations'!HM70,IF('Calculations'!HL70=1,"",IFERROR(IF(MATCH('Calculations'!$EF$2,'Calculations'!HO70:II70,0)=1,'Calculations'!HE70,INDEX('Calculations'!HO70:II70,1,MATCH('Calculations'!$EF$2,'Calculations'!HO70:II70,0)-1)),""))))</x:f>
      </x:c>
      <x:c r="IK70" t="n">
        <x:f>IF(AND('Calculations'!EM70&lt;&gt;"",'Calculations'!$EF$2&lt;&gt;"All",'Calculations'!HF70='Calculations'!$EF$2,'Calculations'!HL70=0,'Calculations'!JD70&gt;0),MAX('Calculations'!$IK$12:IK69)+1,0)</x:f>
        <x:v>0</x:v>
      </x:c>
      <x:c r="JA70" t="n">
        <x:f>IF(OR(IFERROR(INDIRECT("'WCM Calibration Final'!$A$70")&lt;&gt;"",FALSE),IFERROR(INDIRECT("'WCM Calibration Final'!$B$70")&lt;&gt;"",FALSE),IFERROR(INDIRECT("'WCM Calibration Final'!$C$70")&lt;&gt;"",FALSE)),70,0)</x:f>
        <x:v>0</x:v>
      </x:c>
      <x:c r="JB70" t="n">
        <x:f>'Calculations'!JB69+IF('Calculations'!JA70&gt;0,1,0)</x:f>
        <x:v>0</x:v>
      </x:c>
      <x:c r="JC70" t="n">
        <x:f>IF(OR('Calculations'!HF70="",'Calculations'!HF70="!AMBIG"),0,IF('Dashboard'!$B$7="All",1,COUNTIFS('Calculations'!$HO$13:$HO$512,"="&amp;SUBSTITUTE(SUBSTITUTE(SUBSTITUTE('Calculations'!HF70,"~","~~"),"*","~*"),"?","~?"),'Calculations'!$HN$13:$HN$512,"="&amp;SUBSTITUTE(SUBSTITUTE(SUBSTITUTE('Dashboard'!$B$7,"~","~~"),"*","~*"),"?","~?"))+COUNTIFS('Calculations'!$HP$13:$HP$512,"="&amp;SUBSTITUTE(SUBSTITUTE(SUBSTITUTE('Calculations'!HF70,"~","~~"),"*","~*"),"?","~?"),'Calculations'!$HN$13:$HN$512,"="&amp;SUBSTITUTE(SUBSTITUTE(SUBSTITUTE('Dashboard'!$B$7,"~","~~"),"*","~*"),"?","~?"))+COUNTIFS('Calculations'!$HQ$13:$HQ$512,"="&amp;SUBSTITUTE(SUBSTITUTE(SUBSTITUTE('Calculations'!HF70,"~","~~"),"*","~*"),"?","~?"),'Calculations'!$HN$13:$HN$512,"="&amp;SUBSTITUTE(SUBSTITUTE(SUBSTITUTE('Dashboard'!$B$7,"~","~~"),"*","~*"),"?","~?"))+COUNTIFS('Calculations'!$HR$13:$HR$512,"="&amp;SUBSTITUTE(SUBSTITUTE(SUBSTITUTE('Calculations'!HF70,"~","~~"),"*","~*"),"?","~?"),'Calculations'!$HN$13:$HN$512,"="&amp;SUBSTITUTE(SUBSTITUTE(SUBSTITUTE('Dashboard'!$B$7,"~","~~"),"*","~*"),"?","~?"))+COUNTIFS('Calculations'!$HS$13:$HS$512,"="&amp;SUBSTITUTE(SUBSTITUTE(SUBSTITUTE('Calculations'!HF70,"~","~~"),"*","~*"),"?","~?"),'Calculations'!$HN$13:$HN$512,"="&amp;SUBSTITUTE(SUBSTITUTE(SUBSTITUTE('Dashboard'!$B$7,"~","~~"),"*","~*"),"?","~?"))+COUNTIFS('Calculations'!$HT$13:$HT$512,"="&amp;SUBSTITUTE(SUBSTITUTE(SUBSTITUTE('Calculations'!HF70,"~","~~"),"*","~*"),"?","~?"),'Calculations'!$HN$13:$HN$512,"="&amp;SUBSTITUTE(SUBSTITUTE(SUBSTITUTE('Dashboard'!$B$7,"~","~~"),"*","~*"),"?","~?"))+COUNTIFS('Calculations'!$HU$13:$HU$512,"="&amp;SUBSTITUTE(SUBSTITUTE(SUBSTITUTE('Calculations'!HF70,"~","~~"),"*","~*"),"?","~?"),'Calculations'!$HN$13:$HN$512,"="&amp;SUBSTITUTE(SUBSTITUTE(SUBSTITUTE('Dashboard'!$B$7,"~","~~"),"*","~*"),"?","~?"))+COUNTIFS('Calculations'!$HV$13:$HV$512,"="&amp;SUBSTITUTE(SUBSTITUTE(SUBSTITUTE('Calculations'!HF70,"~","~~"),"*","~*"),"?","~?"),'Calculations'!$HN$13:$HN$512,"="&amp;SUBSTITUTE(SUBSTITUTE(SUBSTITUTE('Dashboard'!$B$7,"~","~~"),"*","~*"),"?","~?"))+COUNTIFS('Calculations'!$HW$13:$HW$512,"="&amp;SUBSTITUTE(SUBSTITUTE(SUBSTITUTE('Calculations'!HF70,"~","~~"),"*","~*"),"?","~?"),'Calculations'!$HN$13:$HN$512,"="&amp;SUBSTITUTE(SUBSTITUTE(SUBSTITUTE('Dashboard'!$B$7,"~","~~"),"*","~*"),"?","~?"))+COUNTIFS('Calculations'!$HX$13:$HX$512,"="&amp;SUBSTITUTE(SUBSTITUTE(SUBSTITUTE('Calculations'!HF70,"~","~~"),"*","~*"),"?","~?"),'Calculations'!$HN$13:$HN$512,"="&amp;SUBSTITUTE(SUBSTITUTE(SUBSTITUTE('Dashboard'!$B$7,"~","~~"),"*","~*"),"?","~?"))+COUNTIFS('Calculations'!$HY$13:$HY$512,"="&amp;SUBSTITUTE(SUBSTITUTE(SUBSTITUTE('Calculations'!HF70,"~","~~"),"*","~*"),"?","~?"),'Calculations'!$HN$13:$HN$512,"="&amp;SUBSTITUTE(SUBSTITUTE(SUBSTITUTE('Dashboard'!$B$7,"~","~~"),"*","~*"),"?","~?"))+COUNTIFS('Calculations'!$HZ$13:$HZ$512,"="&amp;SUBSTITUTE(SUBSTITUTE(SUBSTITUTE('Calculations'!HF70,"~","~~"),"*","~*"),"?","~?"),'Calculations'!$HN$13:$HN$512,"="&amp;SUBSTITUTE(SUBSTITUTE(SUBSTITUTE('Dashboard'!$B$7,"~","~~"),"*","~*"),"?","~?"))+COUNTIFS('Calculations'!$IA$13:$IA$512,"="&amp;SUBSTITUTE(SUBSTITUTE(SUBSTITUTE('Calculations'!HF70,"~","~~"),"*","~*"),"?","~?"),'Calculations'!$HN$13:$HN$512,"="&amp;SUBSTITUTE(SUBSTITUTE(SUBSTITUTE('Dashboard'!$B$7,"~","~~"),"*","~*"),"?","~?"))+COUNTIFS('Calculations'!$IB$13:$IB$512,"="&amp;SUBSTITUTE(SUBSTITUTE(SUBSTITUTE('Calculations'!HF70,"~","~~"),"*","~*"),"?","~?"),'Calculations'!$HN$13:$HN$512,"="&amp;SUBSTITUTE(SUBSTITUTE(SUBSTITUTE('Dashboard'!$B$7,"~","~~"),"*","~*"),"?","~?"))+COUNTIFS('Calculations'!$IC$13:$IC$512,"="&amp;SUBSTITUTE(SUBSTITUTE(SUBSTITUTE('Calculations'!HF70,"~","~~"),"*","~*"),"?","~?"),'Calculations'!$HN$13:$HN$512,"="&amp;SUBSTITUTE(SUBSTITUTE(SUBSTITUTE('Dashboard'!$B$7,"~","~~"),"*","~*"),"?","~?"))+COUNTIFS('Calculations'!$ID$13:$ID$512,"="&amp;SUBSTITUTE(SUBSTITUTE(SUBSTITUTE('Calculations'!HF70,"~","~~"),"*","~*"),"?","~?"),'Calculations'!$HN$13:$HN$512,"="&amp;SUBSTITUTE(SUBSTITUTE(SUBSTITUTE('Dashboard'!$B$7,"~","~~"),"*","~*"),"?","~?"))+COUNTIFS('Calculations'!$IE$13:$IE$512,"="&amp;SUBSTITUTE(SUBSTITUTE(SUBSTITUTE('Calculations'!HF70,"~","~~"),"*","~*"),"?","~?"),'Calculations'!$HN$13:$HN$512,"="&amp;SUBSTITUTE(SUBSTITUTE(SUBSTITUTE('Dashboard'!$B$7,"~","~~"),"*","~*"),"?","~?"))+COUNTIFS('Calculations'!$IF$13:$IF$512,"="&amp;SUBSTITUTE(SUBSTITUTE(SUBSTITUTE('Calculations'!HF70,"~","~~"),"*","~*"),"?","~?"),'Calculations'!$HN$13:$HN$512,"="&amp;SUBSTITUTE(SUBSTITUTE(SUBSTITUTE('Dashboard'!$B$7,"~","~~"),"*","~*"),"?","~?"))+COUNTIFS('Calculations'!$IG$13:$IG$512,"="&amp;SUBSTITUTE(SUBSTITUTE(SUBSTITUTE('Calculations'!HF70,"~","~~"),"*","~*"),"?","~?"),'Calculations'!$HN$13:$HN$512,"="&amp;SUBSTITUTE(SUBSTITUTE(SUBSTITUTE('Dashboard'!$B$7,"~","~~"),"*","~*"),"?","~?"))+COUNTIFS('Calculations'!$IH$13:$IH$512,"="&amp;SUBSTITUTE(SUBSTITUTE(SUBSTITUTE('Calculations'!HF70,"~","~~"),"*","~*"),"?","~?"),'Calculations'!$HN$13:$HN$512,"="&amp;SUBSTITUTE(SUBSTITUTE(SUBSTITUTE('Dashboard'!$B$7,"~","~~"),"*","~*"),"?","~?"))))</x:f>
        <x:v>0</x:v>
      </x:c>
      <x:c r="JD70" t="n">
        <x:f>IF('Calculations'!EM70="",0,IF('Dashboard'!$B$7="All",1,IF('Calculations'!HN70='Dashboard'!$B$7,1,0)+IFERROR(INDEX('Calculations'!$JC$13:$JC$512,MATCH('Calculations'!HE70,'Calculations'!$HF$13:$HF$512,0)),0)))</x:f>
        <x:v>0</x:v>
      </x:c>
      <x:c r="JE70" t="n">
        <x:f>IF(AND('Calculations'!EM70&lt;&gt;"",'Calculations'!$JJ$2&lt;&gt;"All",'Calculations'!$JJ$2&lt;&gt;"",'Calculations'!HF70='Calculations'!$JJ$2,'Calculations'!HL70=0,'Calculations'!JD70&gt;0),MAX('Calculations'!$JE$12:JE69)+1,0)</x:f>
        <x:v>0</x:v>
      </x:c>
      <x:c r="JF70" t="str">
        <x:f>IF('Calculations'!EM70="","",IFERROR(IF(INDEX(INDIRECT("'WCM Calibration Final'!$G$1:$G$2000"),'Calculations'!$EM70)="","",TRIM(INDEX(INDIRECT("'WCM Calibration Final'!$G$1:$G$2000"),'Calculations'!$EM70)&amp;"")),""))</x:f>
      </x:c>
      <x:c r="JQ70" t="n">
        <x:f>IF(OR('Calculations'!BM70=0,NOT('Calculations'!$AG$2),'Calculations'!$AG$8&gt;0),0,IF(OR('Dashboard'!$B$7="All",'Calculations'!HN70='Dashboard'!$B$7),IF('Calculations'!$JJ$2="All",1,IF(AND('Calculations'!HF70='Calculations'!$JJ$2,'Calculations'!HL70=0),1,0)),0))</x:f>
        <x:v>0</x:v>
      </x:c>
    </x:row>
    <x:row r="71">
      <x:c r="AF71" s="4" t="str">
        <x:v>1</x:v>
      </x:c>
      <x:c r="AG71" s="4" t="n">
        <x:f>IF('Calculations'!$AG$64=0,COUNTIFS('Calculations'!$JQ$13:$JQ$512,1,'Calculations'!$BZ$13:$BZ$512,1),COUNTIFS('Calculations'!$JQ$13:$JQ$512,1,'Calculations'!$BZ$13:$BZ$512,1,'Calculations'!$BV$13:$BV$512,'Dashboard'!$N$67))</x:f>
        <x:v>0</x:v>
      </x:c>
      <x:c r="AH71" s="4" t="e">
        <x:f>IF('Calculations'!$AG$65=0,NA(),'Calculations'!AG71/'Calculations'!$AG$65)</x:f>
        <x:v>#N/A</x:v>
      </x:c>
      <x:c r="AI71" s="4" t="n">
        <x:f>IF(COUNT('Calculations'!AK71)=0,NA(),IF(AND('Calculations'!AK71&gt;=0,'Calculations'!AK71&lt;=1),'Calculations'!AK71,NA()))</x:f>
        <x:v>0.1</x:v>
      </x:c>
      <x:c r="AJ71" s="4" t="str">
        <x:f>IFERROR(('Calculations'!AH71-'Calculations'!AI71)*100,"")</x:f>
      </x:c>
      <x:c r="AK71" s="4" t="n">
        <x:f>IF(COUNT(INDEX('Dashboard'!$N$129:$N$144,'Calculations'!$AG$66-128))=0,"",INDEX('Dashboard'!$N$129:$N$144,'Calculations'!$AG$66-128))</x:f>
        <x:v>0.1</x:v>
      </x:c>
      <x:c r="AL71" s="4"/>
      <x:c r="AM71" s="4"/>
      <x:c r="AN71" s="4"/>
      <x:c r="AO71" s="4"/>
      <x:c r="AP71" s="4"/>
      <x:c r="AQ71" s="4"/>
      <x:c r="AR71" s="4"/>
      <x:c r="AS71" s="4"/>
      <x:c r="AT71" s="4"/>
      <x:c r="AU71" s="4"/>
      <x:c r="AV71" s="4" t="str">
        <x:v>1 Exemplary</x:v>
      </x:c>
      <x:c r="AW71" s="4" t="e">
        <x:f>'Calculations'!AH71</x:f>
        <x:v>#N/A</x:v>
      </x:c>
      <x:c r="AX71" s="4" t="n">
        <x:f>'Calculations'!AI71</x:f>
        <x:v>0.1</x:v>
      </x:c>
      <x:c r="AY71" s="4"/>
      <x:c r="AZ71" s="4"/>
      <x:c r="BA71" s="4"/>
      <x:c r="BB71" s="4"/>
      <x:c r="BC71" s="4"/>
      <x:c r="BD71" s="4"/>
      <x:c r="BE71" s="4"/>
      <x:c r="BF71" s="4"/>
      <x:c r="BG71" s="4"/>
      <x:c r="BH71" s="4"/>
      <x:c r="BI71" s="4"/>
      <x:c r="BJ71" s="4"/>
      <x:c r="BK71" s="4"/>
      <x:c r="BL71" s="4"/>
      <x:c r="BM71" s="4" t="n">
        <x:f>IF('Calculations'!$EM71="",0,IF(OR(IFERROR(INDEX(INDIRECT("'WCM Calibration Final'!$A$1:$A$2000"),'Calculations'!$EM71)&lt;&gt;"",FALSE),IFERROR(INDEX(INDIRECT("'WCM Calibration Final'!$B$1:$B$2000"),'Calculations'!$EM71)&lt;&gt;"",FALSE),IFERROR(INDEX(INDIRECT("'WCM Calibration Final'!$C$1:$C$2000"),'Calculations'!$EM71)&lt;&gt;"",FALSE)),1,0))</x:f>
        <x:v>0</x:v>
      </x:c>
      <x:c r="BN71" s="4" t="n">
        <x:f>IF(AND('Calculations'!BM71=1,'Calculations'!$AG$2,'Calculations'!$EN71=1),1,0)</x:f>
        <x:v>0</x:v>
      </x:c>
      <x:c r="BO71" s="4" t="str">
        <x:f>IF('Calculations'!BM71=0,"",IFERROR(IF(AND(VALUE(INDEX(INDIRECT("'WCM Calibration Final'!$K$1:$K$2000"),'Calculations'!$EM71))&gt;=1,VALUE(INDEX(INDIRECT("'WCM Calibration Final'!$K$1:$K$2000"),'Calculations'!$EM71))&lt;=4,MOD(VALUE(INDEX(INDIRECT("'WCM Calibration Final'!$K$1:$K$2000"),'Calculations'!$EM71)),1)=0),VALUE(INDEX(INDIRECT("'WCM Calibration Final'!$K$1:$K$2000"),'Calculations'!$EM71)),""),""))</x:f>
      </x:c>
      <x:c r="BP71" s="4" t="str">
        <x:f>IF('Calculations'!BM71=0,"",IFERROR(IF(AND(VALUE(INDEX(INDIRECT("'WCM Calibration Final'!$L$1:$L$2000"),'Calculations'!$EM71))&gt;=1,VALUE(INDEX(INDIRECT("'WCM Calibration Final'!$L$1:$L$2000"),'Calculations'!$EM71))&lt;=4,MOD(VALUE(INDEX(INDIRECT("'WCM Calibration Final'!$L$1:$L$2000"),'Calculations'!$EM71)),1)=0),VALUE(INDEX(INDIRECT("'WCM Calibration Final'!$L$1:$L$2000"),'Calculations'!$EM71)),""),""))</x:f>
      </x:c>
      <x:c r="BQ71" s="4"/>
      <x:c r="BR71" s="4"/>
      <x:c r="BS71" s="4"/>
      <x:c r="BT71" s="4" t="n">
        <x:f>IF(AND('Calculations'!BM71=1,ISNUMBER('Calculations'!BO71),ISNUMBER('Calculations'!BP71)),1,0)</x:f>
        <x:v>0</x:v>
      </x:c>
      <x:c r="BU71" s="4" t="str">
        <x:f>IF('Calculations'!BM71=0,"",'Calculations'!$EO71)</x:f>
      </x:c>
      <x:c r="BV71" s="4" t="str">
        <x:f>IF('Calculations'!BM71=0,"",IFERROR(IF(OR(INDEX(INDIRECT("'WCM Calibration Final'!$H$1:$H$2000"),'Calculations'!$EM71)="MANAGING DIRECTOR",INDEX(INDIRECT("'WCM Calibration Final'!$H$1:$H$2000"),'Calculations'!$EM71)="DIRECTOR",INDEX(INDIRECT("'WCM Calibration Final'!$H$1:$H$2000"),'Calculations'!$EM71)="SENIOR VICE PRESIDENT",INDEX(INDIRECT("'WCM Calibration Final'!$H$1:$H$2000"),'Calculations'!$EM71)="VICE PRESIDENT",INDEX(INDIRECT("'WCM Calibration Final'!$H$1:$H$2000"),'Calculations'!$EM71)="ASSISTANT VICE PRESIDENT",INDEX(INDIRECT("'WCM Calibration Final'!$H$1:$H$2000"),'Calculations'!$EM71)="OFFICER"),UPPER(INDEX(INDIRECT("'WCM Calibration Final'!$H$1:$H$2000"),'Calculations'!$EM71)),"Other"),"Other"))</x:f>
      </x:c>
      <x:c r="BW71" s="4"/>
      <x:c r="BX71" s="4"/>
      <x:c r="BY71" s="4" t="n">
        <x:f>IF(AND('Calculations'!BM71=1,'Calculations'!BU71&lt;&gt;"",COUNTIF('Calculations'!$BU$12:BU71,'Calculations'!BU71)=1),MAX('Calculations'!$BY$11:BY70)+1,0)</x:f>
        <x:v>0</x:v>
      </x:c>
      <x:c r="BZ71" s="4" t="str">
        <x:f>IF('Dashboard'!$E$67="What",'Calculations'!BO71,'Calculations'!BP71)</x:f>
      </x:c>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t="str">
        <x:f>IF(60&gt;MAX('Calculations'!$HI$13:$HI$512),"",INDEX('Calculations'!$HN$13:$HN$512,MATCH(60,'Calculations'!$HI$13:$HI$512,0)))</x:f>
      </x:c>
      <x:c r="DB71" s="4" t="str">
        <x:f>IF(60&gt;MAX('Calculations'!$HH$13:$HH$512),"",INDEX('Calculations'!$HJ$13:$HJ$512,MATCH(60,'Calculations'!$HH$13:$HH$512,0)))</x:f>
      </x:c>
      <x:c r="DC71" s="4" t="str">
        <x:f>IF(ROW()-11&gt;MAX('Calculations'!$BY$13:$BY$512),"",INDEX('Calculations'!$BU$13:$BU$512,MATCH(ROW()-11,'Calculations'!$BY$13:$BY$512,0)))</x:f>
      </x:c>
      <x:c r="DD71" s="4" t="str">
        <x:f>IF(60&gt;MAX('Calculations'!$IK$13:$IK$512),"",INDEX('Calculations'!$HK$13:$HK$512,MATCH(60,'Calculations'!$IK$13:$IK$512,0)))</x:f>
      </x:c>
      <x:c r="DE71" s="4" t="str">
        <x:f>'Calculations'!DC71</x:f>
      </x:c>
      <x:c r="DF71" s="4" t="str">
        <x:f>IF('Calculations'!DE71="","",COUNTIFS('Calculations'!$BN$13:$BN$512,1,'Calculations'!$BU$13:$BU$512,'Calculations'!DE71))</x:f>
      </x:c>
      <x:c r="DG71" s="4" t="str">
        <x:f>IF('Calculations'!DE71="","",COUNTIFS('Calculations'!$BN$13:$BN$512,1,'Calculations'!$BU$13:$BU$512,'Calculations'!DE71,'Calculations'!$BT$13:$BT$512,1))</x:f>
      </x:c>
      <x:c r="DH71" s="4" t="str">
        <x:f>IF('Calculations'!DE71="","",'Calculations'!DF71-'Calculations'!DG71)</x:f>
      </x:c>
      <x:c r="DI71" s="4" t="str">
        <x:f>IF(OR('Calculations'!DE71="",'Calculations'!DF71=0),"",'Calculations'!DG71/'Calculations'!DF71)</x:f>
      </x:c>
      <x:c r="DJ71" s="4" t="str">
        <x:f>IF('Calculations'!DE71="","",COUNTIFS('Calculations'!$BN$13:$BN$512,1,'Calculations'!$BU$13:$BU$512,'Calculations'!DE71,'Calculations'!$BT$13:$BT$512,1,'Calculations'!$EE$13:$EE$512,"High"))</x:f>
      </x:c>
      <x:c r="DK71" s="4" t="str">
        <x:f>IF('Calculations'!DE71="","",COUNTIFS('Calculations'!$BN$13:$BN$512,1,'Calculations'!$BU$13:$BU$512,'Calculations'!DE71,'Calculations'!$BT$13:$BT$512,1,'Calculations'!$EE$13:$EE$512,"Strong"))</x:f>
      </x:c>
      <x:c r="DL71" s="4" t="str">
        <x:f>IF('Calculations'!DE71="","",COUNTIFS('Calculations'!$BN$13:$BN$512,1,'Calculations'!$BU$13:$BU$512,'Calculations'!DE71,'Calculations'!$BT$13:$BT$512,1,'Calculations'!$EE$13:$EE$512,"Solid"))</x:f>
      </x:c>
      <x:c r="DM71" s="4" t="str">
        <x:f>IF('Calculations'!DE71="","",COUNTIFS('Calculations'!$BN$13:$BN$512,1,'Calculations'!$BU$13:$BU$512,'Calculations'!DE71,'Calculations'!$BT$13:$BT$512,1,'Calculations'!$EE$13:$EE$512,"Low"))</x:f>
      </x:c>
      <x:c r="DN71" s="4" t="str">
        <x:f>IF('Calculations'!DE71="","",COUNTIFS('Calculations'!$BN$13:$BN$512,1,'Calculations'!$BU$13:$BU$512,'Calculations'!DE71,'Calculations'!$EP$13:$EP$512,1))</x:f>
      </x:c>
      <x:c r="DO71" s="4" t="str">
        <x:f>IF(OR('Calculations'!DE71="",'Calculations'!DG71=0),"",('Calculations'!DJ71+'Calculations'!DK71)/'Calculations'!DG71)</x:f>
      </x:c>
      <x:c r="DP71" s="4" t="n">
        <x:f>IF(AND('Calculations'!DE71&lt;&gt;"",'Calculations'!DF71&gt;0),COUNTIF('Calculations'!$DF$12:DF71,"&gt;0"),0)</x:f>
        <x:v>0</x:v>
      </x:c>
      <x:c r="DQ71" s="4" t="str">
        <x:f>IF(60&gt;MAX('Calculations'!$HH$13:$HH$512),"",INDEX('Calculations'!$HF$13:$HF$512,MATCH(60,'Calculations'!$HH$13:$HH$512,0)))</x:f>
      </x:c>
      <x:c r="DR71" s="4" t="str">
        <x:f>IF(60&gt;MAX('Calculations'!$IK$13:$IK$512),"",INDEX('Calculations'!$HE$13:$HE$512,MATCH(60,'Calculations'!$IK$13:$IK$512,0)))</x:f>
      </x:c>
      <x:c r="DS71" s="4"/>
      <x:c r="DT71" s="4"/>
      <x:c r="DU71" s="4"/>
      <x:c r="DV71" s="4"/>
      <x:c r="DW71" s="4"/>
      <x:c r="DX71" s="4"/>
      <x:c r="DY71" s="4"/>
      <x:c r="DZ71" s="4"/>
      <x:c r="EA71" s="4"/>
      <x:c r="EB71" s="4"/>
      <x:c r="EC71" s="4"/>
      <x:c r="ED71" s="4"/>
      <x:c r="EE71" s="4" t="str">
        <x:f>IF('Calculations'!BT71=0,"Not Rated",IF(OR('Calculations'!BO71&gt;=4,'Calculations'!BP71&gt;=4),"Low",IF('Calculations'!BO71+'Calculations'!BP71&lt;=3,"High",IF('Calculations'!BO71+'Calculations'!BP71&lt;=4,"Strong","Solid"))))</x:f>
        <x:v>Not Rated</x:v>
      </x:c>
      <x:c r="EF71" s="4"/>
      <x:c r="EG71" s="4"/>
      <x:c r="EH71" s="4"/>
      <x:c r="EI71" s="4"/>
      <x:c r="EJ71" s="4"/>
      <x:c r="EK71" s="4"/>
      <x:c r="EL71" s="4"/>
      <x:c r="EM71" s="4" t="str">
        <x:f>IF(59&gt;'Calculations'!$JB$2000,"",INDEX('Calculations'!$JA$12:$JA$2000,MATCH(59,'Calculations'!$JB$12:$JB$2000,0)))</x:f>
      </x:c>
      <x:c r="EN71" s="4" t="n">
        <x:f>IF(OR('Calculations'!EM71="",'Calculations'!$AG$8&gt;0,AND('Calculations'!$EF$2&lt;&gt;"All",'Calculations'!HE71='Calculations'!$EF$2),AND('Calculations'!$EF$3&lt;&gt;"All",'Calculations'!HE71='Calculations'!$EF$3)),0,IF(OR('Dashboard'!$B$7="All",'Calculations'!HN71='Dashboard'!$B$7),IF('Calculations'!$EF$2="All",1,IF('Calculations'!HL71&gt;0,0,IF(COUNTIF('Calculations'!HO71:II71,"="&amp;SUBSTITUTE(SUBSTITUTE(SUBSTITUTE('Calculations'!$EF$2,"~","~~"),"*","~*"),"?","~?"))=0,0,IF('Calculations'!$EF$3="All",1,IF(COUNTIF('Calculations'!HO71:II71,"="&amp;SUBSTITUTE(SUBSTITUTE(SUBSTITUTE('Calculations'!$EF$3,"~","~~"),"*","~*"),"?","~?"))&gt;0,1,0))))),0))</x:f>
        <x:v>0</x:v>
      </x:c>
      <x:c r="EO71" s="4" t="str">
        <x:f>IF('Calculations'!IJ71="","",IF('Calculations'!IJ71="!UNRESOLVED","Unresolved hierarchy",IFERROR(INDEX('Calculations'!$HK$13:$HK$512,MATCH('Calculations'!IJ71,'Calculations'!$HE$13:$HE$512,0)),IFERROR(INDEX('Calculations'!$HJ$13:$HJ$512,MATCH('Calculations'!IJ71,'Calculations'!$HF$13:$HF$512,0)),'Calculations'!IJ71))))</x:f>
      </x:c>
      <x:c r="EP71" s="4" t="n">
        <x:f>IF(AND('Calculations'!EM71&lt;&gt;"",'Calculations'!HF71='Calculations'!IJ71),1,0)</x:f>
        <x:v>0</x:v>
      </x:c>
      <x:c r="EQ71" s="4"/>
      <x:c r="ER71" s="4"/>
      <x:c r="ES71" s="4"/>
      <x:c r="ET71" s="4"/>
      <x:c r="EU71" s="4"/>
      <x:c r="EV71" s="4"/>
      <x:c r="EW71" s="4"/>
      <x:c r="EX71" s="4"/>
      <x:c r="EY71" s="4"/>
      <x:c r="EZ71" s="4"/>
      <x:c r="FA71" s="4"/>
      <x:c r="FB71" s="4"/>
      <x:c r="FC71" s="4"/>
      <x:c r="FD71" s="4"/>
      <x:c r="FE71" s="4"/>
      <x:c r="FF71" s="4"/>
      <x:c r="FG71" s="4"/>
      <x:c r="FH71" s="4"/>
      <x:c r="FI71" s="4"/>
      <x:c r="FJ71" s="4"/>
      <x:c r="FK71" s="4"/>
      <x:c r="FL71" s="4"/>
      <x:c r="FM71" s="4"/>
      <x:c r="FN71" s="4"/>
      <x:c r="FO71" s="4"/>
      <x:c r="GA71" s="71"/>
      <x:c r="GB71" s="71"/>
      <x:c r="GC71" s="71"/>
      <x:c r="GD71" s="71"/>
      <x:c r="GE71" s="71"/>
      <x:c r="GF71" s="71"/>
      <x:c r="GG71" s="71"/>
      <x:c r="GH71" s="71"/>
      <x:c r="GI71" s="71"/>
      <x:c r="GJ71" s="71"/>
      <x:c r="GK71" s="71"/>
      <x:c r="GL71" s="71"/>
      <x:c r="GM71" s="71"/>
      <x:c r="GN71" s="71"/>
      <x:c r="GO71" s="71"/>
      <x:c r="GP71" s="71"/>
      <x:c r="GQ71" s="71"/>
      <x:c r="GR71" s="71"/>
      <x:c r="GS71" s="71"/>
      <x:c r="GT71" s="71"/>
      <x:c r="GU71" s="71"/>
      <x:c r="GV71" s="71"/>
      <x:c r="GW71" s="71"/>
      <x:c r="GX71" s="71"/>
      <x:c r="GY71" s="71"/>
      <x:c r="GZ71" s="71"/>
      <x:c r="HA71" s="71"/>
      <x:c r="HB71" s="71"/>
      <x:c r="HC71" s="71"/>
      <x:c r="HD71" s="71"/>
      <x:c r="HE71" t="str">
        <x:f>IF('Calculations'!EM71="","",IF(IFERROR(IF(INDEX(INDIRECT("'WCM Calibration Final'!$A$1:$A$2000"),'Calculations'!$EM71)="","",TRIM(INDEX(INDIRECT("'WCM Calibration Final'!$A$1:$A$2000"),'Calculations'!$EM71)&amp;"")),"")&lt;&gt;"","G:"&amp;IFERROR(TEXT(1*INDEX(INDIRECT("'WCM Calibration Final'!$A$1:$A$2000"),'Calculations'!$EM71),"0"),UPPER(IFERROR(IF(INDEX(INDIRECT("'WCM Calibration Final'!$A$1:$A$2000"),'Calculations'!$EM71)="","",TRIM(INDEX(INDIRECT("'WCM Calibration Final'!$A$1:$A$2000"),'Calculations'!$EM71)&amp;"")),""))),IF(IFERROR(IF(INDEX(INDIRECT("'WCM Calibration Final'!$C$1:$C$2000"),'Calculations'!$EM71)="","",TRIM(INDEX(INDIRECT("'WCM Calibration Final'!$C$1:$C$2000"),'Calculations'!$EM71)&amp;"")),"")&lt;&gt;"","S:"&amp;UPPER(IFERROR(IF(INDEX(INDIRECT("'WCM Calibration Final'!$C$1:$C$2000"),'Calculations'!$EM71)="","",TRIM(INDEX(INDIRECT("'WCM Calibration Final'!$C$1:$C$2000"),'Calculations'!$EM71)&amp;"")),"")),"R:"&amp;'Calculations'!EM71)))</x:f>
      </x:c>
      <x:c r="HF71" t="str">
        <x:f>IF('Calculations'!EM71="","",IF(IFERROR(IF(INDEX(INDIRECT("'WCM Calibration Final'!$D$1:$D$2000"),'Calculations'!$EM71)="","",TRIM(INDEX(INDIRECT("'WCM Calibration Final'!$D$1:$D$2000"),'Calculations'!$EM71)&amp;"")),"")&lt;&gt;"","G:"&amp;IFERROR(TEXT(1*INDEX(INDIRECT("'WCM Calibration Final'!$D$1:$D$2000"),'Calculations'!$EM71),"0"),UPPER(IFERROR(IF(INDEX(INDIRECT("'WCM Calibration Final'!$D$1:$D$2000"),'Calculations'!$EM71)="","",TRIM(INDEX(INDIRECT("'WCM Calibration Final'!$D$1:$D$2000"),'Calculations'!$EM71)&amp;"")),""))),IF(IFERROR(IF(INDEX(INDIRECT("'WCM Calibration Final'!$E$1:$E$2000"),'Calculations'!$EM71)="","",TRIM(INDEX(INDIRECT("'WCM Calibration Final'!$E$1:$E$2000"),'Calculations'!$EM71)&amp;"")),"")="","",IF(COUNTIF('Calculations'!$HG$13:$HG$512,"="&amp;SUBSTITUTE(SUBSTITUTE(SUBSTITUTE(IFERROR(IF(INDEX(INDIRECT("'WCM Calibration Final'!$E$1:$E$2000"),'Calculations'!$EM71)="","",TRIM(INDEX(INDIRECT("'WCM Calibration Final'!$E$1:$E$2000"),'Calculations'!$EM71)&amp;"")),""),"~","~~"),"*","~*"),"?","~?"))=1,INDEX('Calculations'!$HE$13:$HE$512,MATCH(IFERROR(IF(INDEX(INDIRECT("'WCM Calibration Final'!$E$1:$E$2000"),'Calculations'!$EM71)="","",TRIM(INDEX(INDIRECT("'WCM Calibration Final'!$E$1:$E$2000"),'Calculations'!$EM71)&amp;"")),""),'Calculations'!$HG$13:$HG$512,0)),IF(COUNTIF('Calculations'!$HG$13:$HG$512,"="&amp;SUBSTITUTE(SUBSTITUTE(SUBSTITUTE(IFERROR(IF(INDEX(INDIRECT("'WCM Calibration Final'!$E$1:$E$2000"),'Calculations'!$EM71)="","",TRIM(INDEX(INDIRECT("'WCM Calibration Final'!$E$1:$E$2000"),'Calculations'!$EM71)&amp;"")),""),"~","~~"),"*","~*"),"?","~?"))&gt;1,"!AMBIG","X:"&amp;IFERROR(IF(INDEX(INDIRECT("'WCM Calibration Final'!$E$1:$E$2000"),'Calculations'!$EM71)="","",TRIM(INDEX(INDIRECT("'WCM Calibration Final'!$E$1:$E$2000"),'Calculations'!$EM71)&amp;"")),""))))))</x:f>
      </x:c>
      <x:c r="HG71" t="str">
        <x:f>IF('Calculations'!EM71="","",IFERROR(IF(INDEX(INDIRECT("'WCM Calibration Final'!$B$1:$B$2000"),'Calculations'!$EM71)="","",TRIM(INDEX(INDIRECT("'WCM Calibration Final'!$B$1:$B$2000"),'Calculations'!$EM71)&amp;"")),""))</x:f>
      </x:c>
      <x:c r="HH71" t="n">
        <x:f>IF(AND('Calculations'!JC71&gt;0,COUNTIF('Calculations'!$HF$12:HF71,"="&amp;SUBSTITUTE(SUBSTITUTE(SUBSTITUTE('Calculations'!HF71,"~","~~"),"*","~*"),"?","~?"))=1),MAX('Calculations'!$HH$12:HH70)+1,0)</x:f>
        <x:v>0</x:v>
      </x:c>
      <x:c r="HI71" t="n">
        <x:f>IF(AND('Calculations'!HN71&lt;&gt;"",COUNTIF('Calculations'!$HN$12:HN71,"="&amp;SUBSTITUTE(SUBSTITUTE(SUBSTITUTE('Calculations'!HN71,"~","~~"),"*","~*"),"?","~?"))=1),MAX('Calculations'!$HI$12:HI70)+1,0)</x:f>
        <x:v>0</x:v>
      </x:c>
      <x:c r="HJ71" t="str">
        <x:f>IF('Calculations'!HF71="","",IF(COUNTIF('Calculations'!$HE$13:$HE$512,"="&amp;SUBSTITUTE(SUBSTITUTE(SUBSTITUTE('Calculations'!HF71,"~","~~"),"*","~*"),"?","~?"))=1,INDEX('Calculations'!$HK$13:$HK$512,MATCH('Calculations'!HF71,'Calculations'!$HE$13:$HE$512,0)),IFERROR(IF(INDEX(INDIRECT("'WCM Calibration Final'!$E$1:$E$2000"),'Calculations'!$EM71)="","",TRIM(INDEX(INDIRECT("'WCM Calibration Final'!$E$1:$E$2000"),'Calculations'!$EM71)&amp;"")),"")&amp;" ["&amp;'Calculations'!HF71&amp;"]"))</x:f>
      </x:c>
      <x:c r="HK71" t="str">
        <x:f>IF('Calculations'!EM71="","",'Calculations'!HG71&amp;" ["&amp;'Calculations'!HE71&amp;"]")</x:f>
      </x:c>
      <x:c r="HL71" t="n">
        <x:f>IF('Calculations'!EM71="",0,IF(OR('Calculations'!II71&lt;&gt;"",COUNTIF('Calculations'!$HE$13:$HE$512,"="&amp;SUBSTITUTE(SUBSTITUTE(SUBSTITUTE('Calculations'!HE71,"~","~~"),"*","~*"),"?","~?"))&gt;1),1,0))</x:f>
        <x:v>0</x:v>
      </x:c>
      <x:c r="HM71" t="str">
        <x:f>IF('Calculations'!EM71="","",IF('Calculations'!HL71=1,"!UNRESOLVED",IF('Calculations'!IH71&lt;&gt;"",'Calculations'!IH71,IF('Calculations'!IG71&lt;&gt;"",'Calculations'!IG71,IF('Calculations'!IF71&lt;&gt;"",'Calculations'!IF71,IF('Calculations'!IE71&lt;&gt;"",'Calculations'!IE71,IF('Calculations'!ID71&lt;&gt;"",'Calculations'!ID71,IF('Calculations'!IC71&lt;&gt;"",'Calculations'!IC71,IF('Calculations'!IB71&lt;&gt;"",'Calculations'!IB71,IF('Calculations'!IA71&lt;&gt;"",'Calculations'!IA71,IF('Calculations'!HZ71&lt;&gt;"",'Calculations'!HZ71,IF('Calculations'!HY71&lt;&gt;"",'Calculations'!HY71,IF('Calculations'!HX71&lt;&gt;"",'Calculations'!HX71,IF('Calculations'!HW71&lt;&gt;"",'Calculations'!HW71,IF('Calculations'!HV71&lt;&gt;"",'Calculations'!HV71,IF('Calculations'!HU71&lt;&gt;"",'Calculations'!HU71,IF('Calculations'!HT71&lt;&gt;"",'Calculations'!HT71,IF('Calculations'!HS71&lt;&gt;"",'Calculations'!HS71,IF('Calculations'!HR71&lt;&gt;"",'Calculations'!HR71,IF('Calculations'!HQ71&lt;&gt;"",'Calculations'!HQ71,IF('Calculations'!HP71&lt;&gt;"",'Calculations'!HP71,IF('Calculations'!HO71&lt;&gt;"",'Calculations'!HO71,'Calculations'!HE71))))))))))))))))))))))</x:f>
      </x:c>
      <x:c r="HN71" t="str">
        <x:f>IF('Calculations'!EM71="","",IF(IFERROR(IF(INDEX(INDIRECT("'WCM Calibration Final'!$F$1:$F$2000"),'Calculations'!$EM71)="","",TRIM(INDEX(INDIRECT("'WCM Calibration Final'!$F$1:$F$2000"),'Calculations'!$EM71)&amp;"")),"")="","(Blank)",IFERROR(IF(INDEX(INDIRECT("'WCM Calibration Final'!$F$1:$F$2000"),'Calculations'!$EM71)="","",TRIM(INDEX(INDIRECT("'WCM Calibration Final'!$F$1:$F$2000"),'Calculations'!$EM71)&amp;"")),"")))</x:f>
      </x:c>
      <x:c r="HO71" t="str">
        <x:f>'Calculations'!HF71</x:f>
      </x:c>
      <x:c r="HP71" t="str">
        <x:f>IF('Calculations'!HO71="","",IF('Calculations'!HO71="!AMBIG","!AMBIG",IF(COUNTIF('Calculations'!$HE$13:$HE$512,"="&amp;SUBSTITUTE(SUBSTITUTE(SUBSTITUTE('Calculations'!HO71,"~","~~"),"*","~*"),"?","~?"))&gt;1,"!AMBIG",IFERROR(INDEX('Calculations'!$HF$13:$HF$512,MATCH('Calculations'!HO71,'Calculations'!$HE$13:$HE$512,0)),""))))</x:f>
      </x:c>
      <x:c r="HQ71" t="str">
        <x:f>IF('Calculations'!HP71="","",IF('Calculations'!HP71="!AMBIG","!AMBIG",IF(COUNTIF('Calculations'!$HE$13:$HE$512,"="&amp;SUBSTITUTE(SUBSTITUTE(SUBSTITUTE('Calculations'!HP71,"~","~~"),"*","~*"),"?","~?"))&gt;1,"!AMBIG",IFERROR(INDEX('Calculations'!$HF$13:$HF$512,MATCH('Calculations'!HP71,'Calculations'!$HE$13:$HE$512,0)),""))))</x:f>
      </x:c>
      <x:c r="HR71" t="str">
        <x:f>IF('Calculations'!HQ71="","",IF('Calculations'!HQ71="!AMBIG","!AMBIG",IF(COUNTIF('Calculations'!$HE$13:$HE$512,"="&amp;SUBSTITUTE(SUBSTITUTE(SUBSTITUTE('Calculations'!HQ71,"~","~~"),"*","~*"),"?","~?"))&gt;1,"!AMBIG",IFERROR(INDEX('Calculations'!$HF$13:$HF$512,MATCH('Calculations'!HQ71,'Calculations'!$HE$13:$HE$512,0)),""))))</x:f>
      </x:c>
      <x:c r="HS71" t="str">
        <x:f>IF('Calculations'!HR71="","",IF('Calculations'!HR71="!AMBIG","!AMBIG",IF(COUNTIF('Calculations'!$HE$13:$HE$512,"="&amp;SUBSTITUTE(SUBSTITUTE(SUBSTITUTE('Calculations'!HR71,"~","~~"),"*","~*"),"?","~?"))&gt;1,"!AMBIG",IFERROR(INDEX('Calculations'!$HF$13:$HF$512,MATCH('Calculations'!HR71,'Calculations'!$HE$13:$HE$512,0)),""))))</x:f>
      </x:c>
      <x:c r="HT71" t="str">
        <x:f>IF('Calculations'!HS71="","",IF('Calculations'!HS71="!AMBIG","!AMBIG",IF(COUNTIF('Calculations'!$HE$13:$HE$512,"="&amp;SUBSTITUTE(SUBSTITUTE(SUBSTITUTE('Calculations'!HS71,"~","~~"),"*","~*"),"?","~?"))&gt;1,"!AMBIG",IFERROR(INDEX('Calculations'!$HF$13:$HF$512,MATCH('Calculations'!HS71,'Calculations'!$HE$13:$HE$512,0)),""))))</x:f>
      </x:c>
      <x:c r="HU71" t="str">
        <x:f>IF('Calculations'!HT71="","",IF('Calculations'!HT71="!AMBIG","!AMBIG",IF(COUNTIF('Calculations'!$HE$13:$HE$512,"="&amp;SUBSTITUTE(SUBSTITUTE(SUBSTITUTE('Calculations'!HT71,"~","~~"),"*","~*"),"?","~?"))&gt;1,"!AMBIG",IFERROR(INDEX('Calculations'!$HF$13:$HF$512,MATCH('Calculations'!HT71,'Calculations'!$HE$13:$HE$512,0)),""))))</x:f>
      </x:c>
      <x:c r="HV71" t="str">
        <x:f>IF('Calculations'!HU71="","",IF('Calculations'!HU71="!AMBIG","!AMBIG",IF(COUNTIF('Calculations'!$HE$13:$HE$512,"="&amp;SUBSTITUTE(SUBSTITUTE(SUBSTITUTE('Calculations'!HU71,"~","~~"),"*","~*"),"?","~?"))&gt;1,"!AMBIG",IFERROR(INDEX('Calculations'!$HF$13:$HF$512,MATCH('Calculations'!HU71,'Calculations'!$HE$13:$HE$512,0)),""))))</x:f>
      </x:c>
      <x:c r="HW71" t="str">
        <x:f>IF('Calculations'!HV71="","",IF('Calculations'!HV71="!AMBIG","!AMBIG",IF(COUNTIF('Calculations'!$HE$13:$HE$512,"="&amp;SUBSTITUTE(SUBSTITUTE(SUBSTITUTE('Calculations'!HV71,"~","~~"),"*","~*"),"?","~?"))&gt;1,"!AMBIG",IFERROR(INDEX('Calculations'!$HF$13:$HF$512,MATCH('Calculations'!HV71,'Calculations'!$HE$13:$HE$512,0)),""))))</x:f>
      </x:c>
      <x:c r="HX71" t="str">
        <x:f>IF('Calculations'!HW71="","",IF('Calculations'!HW71="!AMBIG","!AMBIG",IF(COUNTIF('Calculations'!$HE$13:$HE$512,"="&amp;SUBSTITUTE(SUBSTITUTE(SUBSTITUTE('Calculations'!HW71,"~","~~"),"*","~*"),"?","~?"))&gt;1,"!AMBIG",IFERROR(INDEX('Calculations'!$HF$13:$HF$512,MATCH('Calculations'!HW71,'Calculations'!$HE$13:$HE$512,0)),""))))</x:f>
      </x:c>
      <x:c r="HY71" t="str">
        <x:f>IF('Calculations'!HX71="","",IF('Calculations'!HX71="!AMBIG","!AMBIG",IF(COUNTIF('Calculations'!$HE$13:$HE$512,"="&amp;SUBSTITUTE(SUBSTITUTE(SUBSTITUTE('Calculations'!HX71,"~","~~"),"*","~*"),"?","~?"))&gt;1,"!AMBIG",IFERROR(INDEX('Calculations'!$HF$13:$HF$512,MATCH('Calculations'!HX71,'Calculations'!$HE$13:$HE$512,0)),""))))</x:f>
      </x:c>
      <x:c r="HZ71" t="str">
        <x:f>IF('Calculations'!HY71="","",IF('Calculations'!HY71="!AMBIG","!AMBIG",IF(COUNTIF('Calculations'!$HE$13:$HE$512,"="&amp;SUBSTITUTE(SUBSTITUTE(SUBSTITUTE('Calculations'!HY71,"~","~~"),"*","~*"),"?","~?"))&gt;1,"!AMBIG",IFERROR(INDEX('Calculations'!$HF$13:$HF$512,MATCH('Calculations'!HY71,'Calculations'!$HE$13:$HE$512,0)),""))))</x:f>
      </x:c>
      <x:c r="IA71" t="str">
        <x:f>IF('Calculations'!HZ71="","",IF('Calculations'!HZ71="!AMBIG","!AMBIG",IF(COUNTIF('Calculations'!$HE$13:$HE$512,"="&amp;SUBSTITUTE(SUBSTITUTE(SUBSTITUTE('Calculations'!HZ71,"~","~~"),"*","~*"),"?","~?"))&gt;1,"!AMBIG",IFERROR(INDEX('Calculations'!$HF$13:$HF$512,MATCH('Calculations'!HZ71,'Calculations'!$HE$13:$HE$512,0)),""))))</x:f>
      </x:c>
      <x:c r="IB71" t="str">
        <x:f>IF('Calculations'!IA71="","",IF('Calculations'!IA71="!AMBIG","!AMBIG",IF(COUNTIF('Calculations'!$HE$13:$HE$512,"="&amp;SUBSTITUTE(SUBSTITUTE(SUBSTITUTE('Calculations'!IA71,"~","~~"),"*","~*"),"?","~?"))&gt;1,"!AMBIG",IFERROR(INDEX('Calculations'!$HF$13:$HF$512,MATCH('Calculations'!IA71,'Calculations'!$HE$13:$HE$512,0)),""))))</x:f>
      </x:c>
      <x:c r="IC71" t="str">
        <x:f>IF('Calculations'!IB71="","",IF('Calculations'!IB71="!AMBIG","!AMBIG",IF(COUNTIF('Calculations'!$HE$13:$HE$512,"="&amp;SUBSTITUTE(SUBSTITUTE(SUBSTITUTE('Calculations'!IB71,"~","~~"),"*","~*"),"?","~?"))&gt;1,"!AMBIG",IFERROR(INDEX('Calculations'!$HF$13:$HF$512,MATCH('Calculations'!IB71,'Calculations'!$HE$13:$HE$512,0)),""))))</x:f>
      </x:c>
      <x:c r="ID71" t="str">
        <x:f>IF('Calculations'!IC71="","",IF('Calculations'!IC71="!AMBIG","!AMBIG",IF(COUNTIF('Calculations'!$HE$13:$HE$512,"="&amp;SUBSTITUTE(SUBSTITUTE(SUBSTITUTE('Calculations'!IC71,"~","~~"),"*","~*"),"?","~?"))&gt;1,"!AMBIG",IFERROR(INDEX('Calculations'!$HF$13:$HF$512,MATCH('Calculations'!IC71,'Calculations'!$HE$13:$HE$512,0)),""))))</x:f>
      </x:c>
      <x:c r="IE71" t="str">
        <x:f>IF('Calculations'!ID71="","",IF('Calculations'!ID71="!AMBIG","!AMBIG",IF(COUNTIF('Calculations'!$HE$13:$HE$512,"="&amp;SUBSTITUTE(SUBSTITUTE(SUBSTITUTE('Calculations'!ID71,"~","~~"),"*","~*"),"?","~?"))&gt;1,"!AMBIG",IFERROR(INDEX('Calculations'!$HF$13:$HF$512,MATCH('Calculations'!ID71,'Calculations'!$HE$13:$HE$512,0)),""))))</x:f>
      </x:c>
      <x:c r="IF71" t="str">
        <x:f>IF('Calculations'!IE71="","",IF('Calculations'!IE71="!AMBIG","!AMBIG",IF(COUNTIF('Calculations'!$HE$13:$HE$512,"="&amp;SUBSTITUTE(SUBSTITUTE(SUBSTITUTE('Calculations'!IE71,"~","~~"),"*","~*"),"?","~?"))&gt;1,"!AMBIG",IFERROR(INDEX('Calculations'!$HF$13:$HF$512,MATCH('Calculations'!IE71,'Calculations'!$HE$13:$HE$512,0)),""))))</x:f>
      </x:c>
      <x:c r="IG71" t="str">
        <x:f>IF('Calculations'!IF71="","",IF('Calculations'!IF71="!AMBIG","!AMBIG",IF(COUNTIF('Calculations'!$HE$13:$HE$512,"="&amp;SUBSTITUTE(SUBSTITUTE(SUBSTITUTE('Calculations'!IF71,"~","~~"),"*","~*"),"?","~?"))&gt;1,"!AMBIG",IFERROR(INDEX('Calculations'!$HF$13:$HF$512,MATCH('Calculations'!IF71,'Calculations'!$HE$13:$HE$512,0)),""))))</x:f>
      </x:c>
      <x:c r="IH71" t="str">
        <x:f>IF('Calculations'!IG71="","",IF('Calculations'!IG71="!AMBIG","!AMBIG",IF(COUNTIF('Calculations'!$HE$13:$HE$512,"="&amp;SUBSTITUTE(SUBSTITUTE(SUBSTITUTE('Calculations'!IG71,"~","~~"),"*","~*"),"?","~?"))&gt;1,"!AMBIG",IFERROR(INDEX('Calculations'!$HF$13:$HF$512,MATCH('Calculations'!IG71,'Calculations'!$HE$13:$HE$512,0)),""))))</x:f>
      </x:c>
      <x:c r="II71" t="str">
        <x:f>IF('Calculations'!IH71="","",IF('Calculations'!IH71="!AMBIG","!AMBIG",IF(COUNTIF('Calculations'!$HE$13:$HE$512,"="&amp;SUBSTITUTE(SUBSTITUTE(SUBSTITUTE('Calculations'!IH71,"~","~~"),"*","~*"),"?","~?"))&gt;1,"!AMBIG",IFERROR(INDEX('Calculations'!$HF$13:$HF$512,MATCH('Calculations'!IH71,'Calculations'!$HE$13:$HE$512,0)),""))))</x:f>
      </x:c>
      <x:c r="IJ71" t="str">
        <x:f>IF('Calculations'!EM71="","",IF('Calculations'!$EF$2="All",'Calculations'!HM71,IF('Calculations'!HL71=1,"",IFERROR(IF(MATCH('Calculations'!$EF$2,'Calculations'!HO71:II71,0)=1,'Calculations'!HE71,INDEX('Calculations'!HO71:II71,1,MATCH('Calculations'!$EF$2,'Calculations'!HO71:II71,0)-1)),""))))</x:f>
      </x:c>
      <x:c r="IK71" t="n">
        <x:f>IF(AND('Calculations'!EM71&lt;&gt;"",'Calculations'!$EF$2&lt;&gt;"All",'Calculations'!HF71='Calculations'!$EF$2,'Calculations'!HL71=0,'Calculations'!JD71&gt;0),MAX('Calculations'!$IK$12:IK70)+1,0)</x:f>
        <x:v>0</x:v>
      </x:c>
      <x:c r="JA71" t="n">
        <x:f>IF(OR(IFERROR(INDIRECT("'WCM Calibration Final'!$A$71")&lt;&gt;"",FALSE),IFERROR(INDIRECT("'WCM Calibration Final'!$B$71")&lt;&gt;"",FALSE),IFERROR(INDIRECT("'WCM Calibration Final'!$C$71")&lt;&gt;"",FALSE)),71,0)</x:f>
        <x:v>0</x:v>
      </x:c>
      <x:c r="JB71" t="n">
        <x:f>'Calculations'!JB70+IF('Calculations'!JA71&gt;0,1,0)</x:f>
        <x:v>0</x:v>
      </x:c>
      <x:c r="JC71" t="n">
        <x:f>IF(OR('Calculations'!HF71="",'Calculations'!HF71="!AMBIG"),0,IF('Dashboard'!$B$7="All",1,COUNTIFS('Calculations'!$HO$13:$HO$512,"="&amp;SUBSTITUTE(SUBSTITUTE(SUBSTITUTE('Calculations'!HF71,"~","~~"),"*","~*"),"?","~?"),'Calculations'!$HN$13:$HN$512,"="&amp;SUBSTITUTE(SUBSTITUTE(SUBSTITUTE('Dashboard'!$B$7,"~","~~"),"*","~*"),"?","~?"))+COUNTIFS('Calculations'!$HP$13:$HP$512,"="&amp;SUBSTITUTE(SUBSTITUTE(SUBSTITUTE('Calculations'!HF71,"~","~~"),"*","~*"),"?","~?"),'Calculations'!$HN$13:$HN$512,"="&amp;SUBSTITUTE(SUBSTITUTE(SUBSTITUTE('Dashboard'!$B$7,"~","~~"),"*","~*"),"?","~?"))+COUNTIFS('Calculations'!$HQ$13:$HQ$512,"="&amp;SUBSTITUTE(SUBSTITUTE(SUBSTITUTE('Calculations'!HF71,"~","~~"),"*","~*"),"?","~?"),'Calculations'!$HN$13:$HN$512,"="&amp;SUBSTITUTE(SUBSTITUTE(SUBSTITUTE('Dashboard'!$B$7,"~","~~"),"*","~*"),"?","~?"))+COUNTIFS('Calculations'!$HR$13:$HR$512,"="&amp;SUBSTITUTE(SUBSTITUTE(SUBSTITUTE('Calculations'!HF71,"~","~~"),"*","~*"),"?","~?"),'Calculations'!$HN$13:$HN$512,"="&amp;SUBSTITUTE(SUBSTITUTE(SUBSTITUTE('Dashboard'!$B$7,"~","~~"),"*","~*"),"?","~?"))+COUNTIFS('Calculations'!$HS$13:$HS$512,"="&amp;SUBSTITUTE(SUBSTITUTE(SUBSTITUTE('Calculations'!HF71,"~","~~"),"*","~*"),"?","~?"),'Calculations'!$HN$13:$HN$512,"="&amp;SUBSTITUTE(SUBSTITUTE(SUBSTITUTE('Dashboard'!$B$7,"~","~~"),"*","~*"),"?","~?"))+COUNTIFS('Calculations'!$HT$13:$HT$512,"="&amp;SUBSTITUTE(SUBSTITUTE(SUBSTITUTE('Calculations'!HF71,"~","~~"),"*","~*"),"?","~?"),'Calculations'!$HN$13:$HN$512,"="&amp;SUBSTITUTE(SUBSTITUTE(SUBSTITUTE('Dashboard'!$B$7,"~","~~"),"*","~*"),"?","~?"))+COUNTIFS('Calculations'!$HU$13:$HU$512,"="&amp;SUBSTITUTE(SUBSTITUTE(SUBSTITUTE('Calculations'!HF71,"~","~~"),"*","~*"),"?","~?"),'Calculations'!$HN$13:$HN$512,"="&amp;SUBSTITUTE(SUBSTITUTE(SUBSTITUTE('Dashboard'!$B$7,"~","~~"),"*","~*"),"?","~?"))+COUNTIFS('Calculations'!$HV$13:$HV$512,"="&amp;SUBSTITUTE(SUBSTITUTE(SUBSTITUTE('Calculations'!HF71,"~","~~"),"*","~*"),"?","~?"),'Calculations'!$HN$13:$HN$512,"="&amp;SUBSTITUTE(SUBSTITUTE(SUBSTITUTE('Dashboard'!$B$7,"~","~~"),"*","~*"),"?","~?"))+COUNTIFS('Calculations'!$HW$13:$HW$512,"="&amp;SUBSTITUTE(SUBSTITUTE(SUBSTITUTE('Calculations'!HF71,"~","~~"),"*","~*"),"?","~?"),'Calculations'!$HN$13:$HN$512,"="&amp;SUBSTITUTE(SUBSTITUTE(SUBSTITUTE('Dashboard'!$B$7,"~","~~"),"*","~*"),"?","~?"))+COUNTIFS('Calculations'!$HX$13:$HX$512,"="&amp;SUBSTITUTE(SUBSTITUTE(SUBSTITUTE('Calculations'!HF71,"~","~~"),"*","~*"),"?","~?"),'Calculations'!$HN$13:$HN$512,"="&amp;SUBSTITUTE(SUBSTITUTE(SUBSTITUTE('Dashboard'!$B$7,"~","~~"),"*","~*"),"?","~?"))+COUNTIFS('Calculations'!$HY$13:$HY$512,"="&amp;SUBSTITUTE(SUBSTITUTE(SUBSTITUTE('Calculations'!HF71,"~","~~"),"*","~*"),"?","~?"),'Calculations'!$HN$13:$HN$512,"="&amp;SUBSTITUTE(SUBSTITUTE(SUBSTITUTE('Dashboard'!$B$7,"~","~~"),"*","~*"),"?","~?"))+COUNTIFS('Calculations'!$HZ$13:$HZ$512,"="&amp;SUBSTITUTE(SUBSTITUTE(SUBSTITUTE('Calculations'!HF71,"~","~~"),"*","~*"),"?","~?"),'Calculations'!$HN$13:$HN$512,"="&amp;SUBSTITUTE(SUBSTITUTE(SUBSTITUTE('Dashboard'!$B$7,"~","~~"),"*","~*"),"?","~?"))+COUNTIFS('Calculations'!$IA$13:$IA$512,"="&amp;SUBSTITUTE(SUBSTITUTE(SUBSTITUTE('Calculations'!HF71,"~","~~"),"*","~*"),"?","~?"),'Calculations'!$HN$13:$HN$512,"="&amp;SUBSTITUTE(SUBSTITUTE(SUBSTITUTE('Dashboard'!$B$7,"~","~~"),"*","~*"),"?","~?"))+COUNTIFS('Calculations'!$IB$13:$IB$512,"="&amp;SUBSTITUTE(SUBSTITUTE(SUBSTITUTE('Calculations'!HF71,"~","~~"),"*","~*"),"?","~?"),'Calculations'!$HN$13:$HN$512,"="&amp;SUBSTITUTE(SUBSTITUTE(SUBSTITUTE('Dashboard'!$B$7,"~","~~"),"*","~*"),"?","~?"))+COUNTIFS('Calculations'!$IC$13:$IC$512,"="&amp;SUBSTITUTE(SUBSTITUTE(SUBSTITUTE('Calculations'!HF71,"~","~~"),"*","~*"),"?","~?"),'Calculations'!$HN$13:$HN$512,"="&amp;SUBSTITUTE(SUBSTITUTE(SUBSTITUTE('Dashboard'!$B$7,"~","~~"),"*","~*"),"?","~?"))+COUNTIFS('Calculations'!$ID$13:$ID$512,"="&amp;SUBSTITUTE(SUBSTITUTE(SUBSTITUTE('Calculations'!HF71,"~","~~"),"*","~*"),"?","~?"),'Calculations'!$HN$13:$HN$512,"="&amp;SUBSTITUTE(SUBSTITUTE(SUBSTITUTE('Dashboard'!$B$7,"~","~~"),"*","~*"),"?","~?"))+COUNTIFS('Calculations'!$IE$13:$IE$512,"="&amp;SUBSTITUTE(SUBSTITUTE(SUBSTITUTE('Calculations'!HF71,"~","~~"),"*","~*"),"?","~?"),'Calculations'!$HN$13:$HN$512,"="&amp;SUBSTITUTE(SUBSTITUTE(SUBSTITUTE('Dashboard'!$B$7,"~","~~"),"*","~*"),"?","~?"))+COUNTIFS('Calculations'!$IF$13:$IF$512,"="&amp;SUBSTITUTE(SUBSTITUTE(SUBSTITUTE('Calculations'!HF71,"~","~~"),"*","~*"),"?","~?"),'Calculations'!$HN$13:$HN$512,"="&amp;SUBSTITUTE(SUBSTITUTE(SUBSTITUTE('Dashboard'!$B$7,"~","~~"),"*","~*"),"?","~?"))+COUNTIFS('Calculations'!$IG$13:$IG$512,"="&amp;SUBSTITUTE(SUBSTITUTE(SUBSTITUTE('Calculations'!HF71,"~","~~"),"*","~*"),"?","~?"),'Calculations'!$HN$13:$HN$512,"="&amp;SUBSTITUTE(SUBSTITUTE(SUBSTITUTE('Dashboard'!$B$7,"~","~~"),"*","~*"),"?","~?"))+COUNTIFS('Calculations'!$IH$13:$IH$512,"="&amp;SUBSTITUTE(SUBSTITUTE(SUBSTITUTE('Calculations'!HF71,"~","~~"),"*","~*"),"?","~?"),'Calculations'!$HN$13:$HN$512,"="&amp;SUBSTITUTE(SUBSTITUTE(SUBSTITUTE('Dashboard'!$B$7,"~","~~"),"*","~*"),"?","~?"))))</x:f>
        <x:v>0</x:v>
      </x:c>
      <x:c r="JD71" t="n">
        <x:f>IF('Calculations'!EM71="",0,IF('Dashboard'!$B$7="All",1,IF('Calculations'!HN71='Dashboard'!$B$7,1,0)+IFERROR(INDEX('Calculations'!$JC$13:$JC$512,MATCH('Calculations'!HE71,'Calculations'!$HF$13:$HF$512,0)),0)))</x:f>
        <x:v>0</x:v>
      </x:c>
      <x:c r="JE71" t="n">
        <x:f>IF(AND('Calculations'!EM71&lt;&gt;"",'Calculations'!$JJ$2&lt;&gt;"All",'Calculations'!$JJ$2&lt;&gt;"",'Calculations'!HF71='Calculations'!$JJ$2,'Calculations'!HL71=0,'Calculations'!JD71&gt;0),MAX('Calculations'!$JE$12:JE70)+1,0)</x:f>
        <x:v>0</x:v>
      </x:c>
      <x:c r="JF71" t="str">
        <x:f>IF('Calculations'!EM71="","",IFERROR(IF(INDEX(INDIRECT("'WCM Calibration Final'!$G$1:$G$2000"),'Calculations'!$EM71)="","",TRIM(INDEX(INDIRECT("'WCM Calibration Final'!$G$1:$G$2000"),'Calculations'!$EM71)&amp;"")),""))</x:f>
      </x:c>
      <x:c r="JQ71" t="n">
        <x:f>IF(OR('Calculations'!BM71=0,NOT('Calculations'!$AG$2),'Calculations'!$AG$8&gt;0),0,IF(OR('Dashboard'!$B$7="All",'Calculations'!HN71='Dashboard'!$B$7),IF('Calculations'!$JJ$2="All",1,IF(AND('Calculations'!HF71='Calculations'!$JJ$2,'Calculations'!HL71=0),1,0)),0))</x:f>
        <x:v>0</x:v>
      </x:c>
    </x:row>
    <x:row r="72">
      <x:c r="AF72" s="4" t="str">
        <x:v>2</x:v>
      </x:c>
      <x:c r="AG72" s="4" t="n">
        <x:f>IF('Calculations'!$AG$64=0,COUNTIFS('Calculations'!$JQ$13:$JQ$512,1,'Calculations'!$BZ$13:$BZ$512,2),COUNTIFS('Calculations'!$JQ$13:$JQ$512,1,'Calculations'!$BZ$13:$BZ$512,2,'Calculations'!$BV$13:$BV$512,'Dashboard'!$N$67))</x:f>
        <x:v>0</x:v>
      </x:c>
      <x:c r="AH72" s="4" t="e">
        <x:f>IF('Calculations'!$AG$65=0,NA(),'Calculations'!AG72/'Calculations'!$AG$65)</x:f>
        <x:v>#N/A</x:v>
      </x:c>
      <x:c r="AI72" s="4" t="n">
        <x:f>IF(COUNT('Calculations'!AK72)=0,NA(),IF(AND('Calculations'!AK72&gt;=0,'Calculations'!AK72&lt;=1),'Calculations'!AK72,NA()))</x:f>
        <x:v>0.3</x:v>
      </x:c>
      <x:c r="AJ72" s="4" t="str">
        <x:f>IFERROR(('Calculations'!AH72-'Calculations'!AI72)*100,"")</x:f>
      </x:c>
      <x:c r="AK72" s="4" t="n">
        <x:f>IF(COUNT(INDEX('Dashboard'!$P$129:$P$144,'Calculations'!$AG$66-128))=0,"",INDEX('Dashboard'!$P$129:$P$144,'Calculations'!$AG$66-128))</x:f>
        <x:v>0.3</x:v>
      </x:c>
      <x:c r="AL72" s="4"/>
      <x:c r="AM72" s="4"/>
      <x:c r="AN72" s="4"/>
      <x:c r="AO72" s="4"/>
      <x:c r="AP72" s="4"/>
      <x:c r="AQ72" s="4"/>
      <x:c r="AR72" s="4"/>
      <x:c r="AS72" s="4"/>
      <x:c r="AT72" s="4"/>
      <x:c r="AU72" s="4"/>
      <x:c r="AV72" s="4" t="str">
        <x:v>2 Exceeds</x:v>
      </x:c>
      <x:c r="AW72" s="4" t="e">
        <x:f>'Calculations'!AH72</x:f>
        <x:v>#N/A</x:v>
      </x:c>
      <x:c r="AX72" s="4" t="n">
        <x:f>'Calculations'!AI72</x:f>
        <x:v>0.3</x:v>
      </x:c>
      <x:c r="AY72" s="4"/>
      <x:c r="AZ72" s="4"/>
      <x:c r="BA72" s="4"/>
      <x:c r="BB72" s="4"/>
      <x:c r="BC72" s="4"/>
      <x:c r="BD72" s="4"/>
      <x:c r="BE72" s="4"/>
      <x:c r="BF72" s="4"/>
      <x:c r="BG72" s="4"/>
      <x:c r="BH72" s="4"/>
      <x:c r="BI72" s="4"/>
      <x:c r="BJ72" s="4"/>
      <x:c r="BK72" s="4"/>
      <x:c r="BL72" s="4"/>
      <x:c r="BM72" s="4" t="n">
        <x:f>IF('Calculations'!$EM72="",0,IF(OR(IFERROR(INDEX(INDIRECT("'WCM Calibration Final'!$A$1:$A$2000"),'Calculations'!$EM72)&lt;&gt;"",FALSE),IFERROR(INDEX(INDIRECT("'WCM Calibration Final'!$B$1:$B$2000"),'Calculations'!$EM72)&lt;&gt;"",FALSE),IFERROR(INDEX(INDIRECT("'WCM Calibration Final'!$C$1:$C$2000"),'Calculations'!$EM72)&lt;&gt;"",FALSE)),1,0))</x:f>
        <x:v>0</x:v>
      </x:c>
      <x:c r="BN72" s="4" t="n">
        <x:f>IF(AND('Calculations'!BM72=1,'Calculations'!$AG$2,'Calculations'!$EN72=1),1,0)</x:f>
        <x:v>0</x:v>
      </x:c>
      <x:c r="BO72" s="4" t="str">
        <x:f>IF('Calculations'!BM72=0,"",IFERROR(IF(AND(VALUE(INDEX(INDIRECT("'WCM Calibration Final'!$K$1:$K$2000"),'Calculations'!$EM72))&gt;=1,VALUE(INDEX(INDIRECT("'WCM Calibration Final'!$K$1:$K$2000"),'Calculations'!$EM72))&lt;=4,MOD(VALUE(INDEX(INDIRECT("'WCM Calibration Final'!$K$1:$K$2000"),'Calculations'!$EM72)),1)=0),VALUE(INDEX(INDIRECT("'WCM Calibration Final'!$K$1:$K$2000"),'Calculations'!$EM72)),""),""))</x:f>
      </x:c>
      <x:c r="BP72" s="4" t="str">
        <x:f>IF('Calculations'!BM72=0,"",IFERROR(IF(AND(VALUE(INDEX(INDIRECT("'WCM Calibration Final'!$L$1:$L$2000"),'Calculations'!$EM72))&gt;=1,VALUE(INDEX(INDIRECT("'WCM Calibration Final'!$L$1:$L$2000"),'Calculations'!$EM72))&lt;=4,MOD(VALUE(INDEX(INDIRECT("'WCM Calibration Final'!$L$1:$L$2000"),'Calculations'!$EM72)),1)=0),VALUE(INDEX(INDIRECT("'WCM Calibration Final'!$L$1:$L$2000"),'Calculations'!$EM72)),""),""))</x:f>
      </x:c>
      <x:c r="BQ72" s="4"/>
      <x:c r="BR72" s="4"/>
      <x:c r="BS72" s="4"/>
      <x:c r="BT72" s="4" t="n">
        <x:f>IF(AND('Calculations'!BM72=1,ISNUMBER('Calculations'!BO72),ISNUMBER('Calculations'!BP72)),1,0)</x:f>
        <x:v>0</x:v>
      </x:c>
      <x:c r="BU72" s="4" t="str">
        <x:f>IF('Calculations'!BM72=0,"",'Calculations'!$EO72)</x:f>
      </x:c>
      <x:c r="BV72" s="4" t="str">
        <x:f>IF('Calculations'!BM72=0,"",IFERROR(IF(OR(INDEX(INDIRECT("'WCM Calibration Final'!$H$1:$H$2000"),'Calculations'!$EM72)="MANAGING DIRECTOR",INDEX(INDIRECT("'WCM Calibration Final'!$H$1:$H$2000"),'Calculations'!$EM72)="DIRECTOR",INDEX(INDIRECT("'WCM Calibration Final'!$H$1:$H$2000"),'Calculations'!$EM72)="SENIOR VICE PRESIDENT",INDEX(INDIRECT("'WCM Calibration Final'!$H$1:$H$2000"),'Calculations'!$EM72)="VICE PRESIDENT",INDEX(INDIRECT("'WCM Calibration Final'!$H$1:$H$2000"),'Calculations'!$EM72)="ASSISTANT VICE PRESIDENT",INDEX(INDIRECT("'WCM Calibration Final'!$H$1:$H$2000"),'Calculations'!$EM72)="OFFICER"),UPPER(INDEX(INDIRECT("'WCM Calibration Final'!$H$1:$H$2000"),'Calculations'!$EM72)),"Other"),"Other"))</x:f>
      </x:c>
      <x:c r="BW72" s="4"/>
      <x:c r="BX72" s="4"/>
      <x:c r="BY72" s="4" t="n">
        <x:f>IF(AND('Calculations'!BM72=1,'Calculations'!BU72&lt;&gt;"",COUNTIF('Calculations'!$BU$12:BU72,'Calculations'!BU72)=1),MAX('Calculations'!$BY$11:BY71)+1,0)</x:f>
        <x:v>0</x:v>
      </x:c>
      <x:c r="BZ72" s="4" t="str">
        <x:f>IF('Dashboard'!$E$67="What",'Calculations'!BO72,'Calculations'!BP72)</x:f>
      </x:c>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t="str">
        <x:f>IF(61&gt;MAX('Calculations'!$HI$13:$HI$512),"",INDEX('Calculations'!$HN$13:$HN$512,MATCH(61,'Calculations'!$HI$13:$HI$512,0)))</x:f>
      </x:c>
      <x:c r="DB72" s="4" t="str">
        <x:f>IF(61&gt;MAX('Calculations'!$HH$13:$HH$512),"",INDEX('Calculations'!$HJ$13:$HJ$512,MATCH(61,'Calculations'!$HH$13:$HH$512,0)))</x:f>
      </x:c>
      <x:c r="DC72" s="4" t="str">
        <x:f>IF(ROW()-11&gt;MAX('Calculations'!$BY$13:$BY$512),"",INDEX('Calculations'!$BU$13:$BU$512,MATCH(ROW()-11,'Calculations'!$BY$13:$BY$512,0)))</x:f>
      </x:c>
      <x:c r="DD72" s="4" t="str">
        <x:f>IF(61&gt;MAX('Calculations'!$IK$13:$IK$512),"",INDEX('Calculations'!$HK$13:$HK$512,MATCH(61,'Calculations'!$IK$13:$IK$512,0)))</x:f>
      </x:c>
      <x:c r="DE72" s="4" t="str">
        <x:f>'Calculations'!DC72</x:f>
      </x:c>
      <x:c r="DF72" s="4" t="str">
        <x:f>IF('Calculations'!DE72="","",COUNTIFS('Calculations'!$BN$13:$BN$512,1,'Calculations'!$BU$13:$BU$512,'Calculations'!DE72))</x:f>
      </x:c>
      <x:c r="DG72" s="4" t="str">
        <x:f>IF('Calculations'!DE72="","",COUNTIFS('Calculations'!$BN$13:$BN$512,1,'Calculations'!$BU$13:$BU$512,'Calculations'!DE72,'Calculations'!$BT$13:$BT$512,1))</x:f>
      </x:c>
      <x:c r="DH72" s="4" t="str">
        <x:f>IF('Calculations'!DE72="","",'Calculations'!DF72-'Calculations'!DG72)</x:f>
      </x:c>
      <x:c r="DI72" s="4" t="str">
        <x:f>IF(OR('Calculations'!DE72="",'Calculations'!DF72=0),"",'Calculations'!DG72/'Calculations'!DF72)</x:f>
      </x:c>
      <x:c r="DJ72" s="4" t="str">
        <x:f>IF('Calculations'!DE72="","",COUNTIFS('Calculations'!$BN$13:$BN$512,1,'Calculations'!$BU$13:$BU$512,'Calculations'!DE72,'Calculations'!$BT$13:$BT$512,1,'Calculations'!$EE$13:$EE$512,"High"))</x:f>
      </x:c>
      <x:c r="DK72" s="4" t="str">
        <x:f>IF('Calculations'!DE72="","",COUNTIFS('Calculations'!$BN$13:$BN$512,1,'Calculations'!$BU$13:$BU$512,'Calculations'!DE72,'Calculations'!$BT$13:$BT$512,1,'Calculations'!$EE$13:$EE$512,"Strong"))</x:f>
      </x:c>
      <x:c r="DL72" s="4" t="str">
        <x:f>IF('Calculations'!DE72="","",COUNTIFS('Calculations'!$BN$13:$BN$512,1,'Calculations'!$BU$13:$BU$512,'Calculations'!DE72,'Calculations'!$BT$13:$BT$512,1,'Calculations'!$EE$13:$EE$512,"Solid"))</x:f>
      </x:c>
      <x:c r="DM72" s="4" t="str">
        <x:f>IF('Calculations'!DE72="","",COUNTIFS('Calculations'!$BN$13:$BN$512,1,'Calculations'!$BU$13:$BU$512,'Calculations'!DE72,'Calculations'!$BT$13:$BT$512,1,'Calculations'!$EE$13:$EE$512,"Low"))</x:f>
      </x:c>
      <x:c r="DN72" s="4" t="str">
        <x:f>IF('Calculations'!DE72="","",COUNTIFS('Calculations'!$BN$13:$BN$512,1,'Calculations'!$BU$13:$BU$512,'Calculations'!DE72,'Calculations'!$EP$13:$EP$512,1))</x:f>
      </x:c>
      <x:c r="DO72" s="4" t="str">
        <x:f>IF(OR('Calculations'!DE72="",'Calculations'!DG72=0),"",('Calculations'!DJ72+'Calculations'!DK72)/'Calculations'!DG72)</x:f>
      </x:c>
      <x:c r="DP72" s="4" t="n">
        <x:f>IF(AND('Calculations'!DE72&lt;&gt;"",'Calculations'!DF72&gt;0),COUNTIF('Calculations'!$DF$12:DF72,"&gt;0"),0)</x:f>
        <x:v>0</x:v>
      </x:c>
      <x:c r="DQ72" s="4" t="str">
        <x:f>IF(61&gt;MAX('Calculations'!$HH$13:$HH$512),"",INDEX('Calculations'!$HF$13:$HF$512,MATCH(61,'Calculations'!$HH$13:$HH$512,0)))</x:f>
      </x:c>
      <x:c r="DR72" s="4" t="str">
        <x:f>IF(61&gt;MAX('Calculations'!$IK$13:$IK$512),"",INDEX('Calculations'!$HE$13:$HE$512,MATCH(61,'Calculations'!$IK$13:$IK$512,0)))</x:f>
      </x:c>
      <x:c r="DS72" s="4"/>
      <x:c r="DT72" s="4"/>
      <x:c r="DU72" s="4"/>
      <x:c r="DV72" s="4"/>
      <x:c r="DW72" s="4"/>
      <x:c r="DX72" s="4"/>
      <x:c r="DY72" s="4"/>
      <x:c r="DZ72" s="4"/>
      <x:c r="EA72" s="4"/>
      <x:c r="EB72" s="4"/>
      <x:c r="EC72" s="4"/>
      <x:c r="ED72" s="4"/>
      <x:c r="EE72" s="4" t="str">
        <x:f>IF('Calculations'!BT72=0,"Not Rated",IF(OR('Calculations'!BO72&gt;=4,'Calculations'!BP72&gt;=4),"Low",IF('Calculations'!BO72+'Calculations'!BP72&lt;=3,"High",IF('Calculations'!BO72+'Calculations'!BP72&lt;=4,"Strong","Solid"))))</x:f>
        <x:v>Not Rated</x:v>
      </x:c>
      <x:c r="EF72" s="4"/>
      <x:c r="EG72" s="4"/>
      <x:c r="EH72" s="4"/>
      <x:c r="EI72" s="4"/>
      <x:c r="EJ72" s="4"/>
      <x:c r="EK72" s="4"/>
      <x:c r="EL72" s="4"/>
      <x:c r="EM72" s="4" t="str">
        <x:f>IF(60&gt;'Calculations'!$JB$2000,"",INDEX('Calculations'!$JA$12:$JA$2000,MATCH(60,'Calculations'!$JB$12:$JB$2000,0)))</x:f>
      </x:c>
      <x:c r="EN72" s="4" t="n">
        <x:f>IF(OR('Calculations'!EM72="",'Calculations'!$AG$8&gt;0,AND('Calculations'!$EF$2&lt;&gt;"All",'Calculations'!HE72='Calculations'!$EF$2),AND('Calculations'!$EF$3&lt;&gt;"All",'Calculations'!HE72='Calculations'!$EF$3)),0,IF(OR('Dashboard'!$B$7="All",'Calculations'!HN72='Dashboard'!$B$7),IF('Calculations'!$EF$2="All",1,IF('Calculations'!HL72&gt;0,0,IF(COUNTIF('Calculations'!HO72:II72,"="&amp;SUBSTITUTE(SUBSTITUTE(SUBSTITUTE('Calculations'!$EF$2,"~","~~"),"*","~*"),"?","~?"))=0,0,IF('Calculations'!$EF$3="All",1,IF(COUNTIF('Calculations'!HO72:II72,"="&amp;SUBSTITUTE(SUBSTITUTE(SUBSTITUTE('Calculations'!$EF$3,"~","~~"),"*","~*"),"?","~?"))&gt;0,1,0))))),0))</x:f>
        <x:v>0</x:v>
      </x:c>
      <x:c r="EO72" s="4" t="str">
        <x:f>IF('Calculations'!IJ72="","",IF('Calculations'!IJ72="!UNRESOLVED","Unresolved hierarchy",IFERROR(INDEX('Calculations'!$HK$13:$HK$512,MATCH('Calculations'!IJ72,'Calculations'!$HE$13:$HE$512,0)),IFERROR(INDEX('Calculations'!$HJ$13:$HJ$512,MATCH('Calculations'!IJ72,'Calculations'!$HF$13:$HF$512,0)),'Calculations'!IJ72))))</x:f>
      </x:c>
      <x:c r="EP72" s="4" t="n">
        <x:f>IF(AND('Calculations'!EM72&lt;&gt;"",'Calculations'!HF72='Calculations'!IJ72),1,0)</x:f>
        <x:v>0</x:v>
      </x:c>
      <x:c r="EQ72" s="4"/>
      <x:c r="ER72" s="4"/>
      <x:c r="ES72" s="4"/>
      <x:c r="ET72" s="4"/>
      <x:c r="EU72" s="4"/>
      <x:c r="EV72" s="4"/>
      <x:c r="EW72" s="4"/>
      <x:c r="EX72" s="4"/>
      <x:c r="EY72" s="4"/>
      <x:c r="EZ72" s="4"/>
      <x:c r="FA72" s="4"/>
      <x:c r="FB72" s="4"/>
      <x:c r="FC72" s="4"/>
      <x:c r="FD72" s="4"/>
      <x:c r="FE72" s="4"/>
      <x:c r="FF72" s="4"/>
      <x:c r="FG72" s="4"/>
      <x:c r="FH72" s="4"/>
      <x:c r="FI72" s="4"/>
      <x:c r="FJ72" s="4"/>
      <x:c r="FK72" s="4"/>
      <x:c r="FL72" s="4"/>
      <x:c r="FM72" s="4"/>
      <x:c r="FN72" s="4"/>
      <x:c r="FO72" s="4"/>
      <x:c r="GA72" s="71"/>
      <x:c r="GB72" s="71"/>
      <x:c r="GC72" s="71"/>
      <x:c r="GD72" s="71"/>
      <x:c r="GE72" s="71"/>
      <x:c r="GF72" s="71"/>
      <x:c r="GG72" s="71"/>
      <x:c r="GH72" s="71"/>
      <x:c r="GI72" s="71"/>
      <x:c r="GJ72" s="71"/>
      <x:c r="GK72" s="71"/>
      <x:c r="GL72" s="71"/>
      <x:c r="GM72" s="71"/>
      <x:c r="GN72" s="71"/>
      <x:c r="GO72" s="71"/>
      <x:c r="GP72" s="71"/>
      <x:c r="GQ72" s="71"/>
      <x:c r="GR72" s="71"/>
      <x:c r="GS72" s="71"/>
      <x:c r="GT72" s="71"/>
      <x:c r="GU72" s="71"/>
      <x:c r="GV72" s="71"/>
      <x:c r="GW72" s="71"/>
      <x:c r="GX72" s="71"/>
      <x:c r="GY72" s="71"/>
      <x:c r="GZ72" s="71"/>
      <x:c r="HA72" s="71"/>
      <x:c r="HB72" s="71"/>
      <x:c r="HC72" s="71"/>
      <x:c r="HD72" s="71"/>
      <x:c r="HE72" t="str">
        <x:f>IF('Calculations'!EM72="","",IF(IFERROR(IF(INDEX(INDIRECT("'WCM Calibration Final'!$A$1:$A$2000"),'Calculations'!$EM72)="","",TRIM(INDEX(INDIRECT("'WCM Calibration Final'!$A$1:$A$2000"),'Calculations'!$EM72)&amp;"")),"")&lt;&gt;"","G:"&amp;IFERROR(TEXT(1*INDEX(INDIRECT("'WCM Calibration Final'!$A$1:$A$2000"),'Calculations'!$EM72),"0"),UPPER(IFERROR(IF(INDEX(INDIRECT("'WCM Calibration Final'!$A$1:$A$2000"),'Calculations'!$EM72)="","",TRIM(INDEX(INDIRECT("'WCM Calibration Final'!$A$1:$A$2000"),'Calculations'!$EM72)&amp;"")),""))),IF(IFERROR(IF(INDEX(INDIRECT("'WCM Calibration Final'!$C$1:$C$2000"),'Calculations'!$EM72)="","",TRIM(INDEX(INDIRECT("'WCM Calibration Final'!$C$1:$C$2000"),'Calculations'!$EM72)&amp;"")),"")&lt;&gt;"","S:"&amp;UPPER(IFERROR(IF(INDEX(INDIRECT("'WCM Calibration Final'!$C$1:$C$2000"),'Calculations'!$EM72)="","",TRIM(INDEX(INDIRECT("'WCM Calibration Final'!$C$1:$C$2000"),'Calculations'!$EM72)&amp;"")),"")),"R:"&amp;'Calculations'!EM72)))</x:f>
      </x:c>
      <x:c r="HF72" t="str">
        <x:f>IF('Calculations'!EM72="","",IF(IFERROR(IF(INDEX(INDIRECT("'WCM Calibration Final'!$D$1:$D$2000"),'Calculations'!$EM72)="","",TRIM(INDEX(INDIRECT("'WCM Calibration Final'!$D$1:$D$2000"),'Calculations'!$EM72)&amp;"")),"")&lt;&gt;"","G:"&amp;IFERROR(TEXT(1*INDEX(INDIRECT("'WCM Calibration Final'!$D$1:$D$2000"),'Calculations'!$EM72),"0"),UPPER(IFERROR(IF(INDEX(INDIRECT("'WCM Calibration Final'!$D$1:$D$2000"),'Calculations'!$EM72)="","",TRIM(INDEX(INDIRECT("'WCM Calibration Final'!$D$1:$D$2000"),'Calculations'!$EM72)&amp;"")),""))),IF(IFERROR(IF(INDEX(INDIRECT("'WCM Calibration Final'!$E$1:$E$2000"),'Calculations'!$EM72)="","",TRIM(INDEX(INDIRECT("'WCM Calibration Final'!$E$1:$E$2000"),'Calculations'!$EM72)&amp;"")),"")="","",IF(COUNTIF('Calculations'!$HG$13:$HG$512,"="&amp;SUBSTITUTE(SUBSTITUTE(SUBSTITUTE(IFERROR(IF(INDEX(INDIRECT("'WCM Calibration Final'!$E$1:$E$2000"),'Calculations'!$EM72)="","",TRIM(INDEX(INDIRECT("'WCM Calibration Final'!$E$1:$E$2000"),'Calculations'!$EM72)&amp;"")),""),"~","~~"),"*","~*"),"?","~?"))=1,INDEX('Calculations'!$HE$13:$HE$512,MATCH(IFERROR(IF(INDEX(INDIRECT("'WCM Calibration Final'!$E$1:$E$2000"),'Calculations'!$EM72)="","",TRIM(INDEX(INDIRECT("'WCM Calibration Final'!$E$1:$E$2000"),'Calculations'!$EM72)&amp;"")),""),'Calculations'!$HG$13:$HG$512,0)),IF(COUNTIF('Calculations'!$HG$13:$HG$512,"="&amp;SUBSTITUTE(SUBSTITUTE(SUBSTITUTE(IFERROR(IF(INDEX(INDIRECT("'WCM Calibration Final'!$E$1:$E$2000"),'Calculations'!$EM72)="","",TRIM(INDEX(INDIRECT("'WCM Calibration Final'!$E$1:$E$2000"),'Calculations'!$EM72)&amp;"")),""),"~","~~"),"*","~*"),"?","~?"))&gt;1,"!AMBIG","X:"&amp;IFERROR(IF(INDEX(INDIRECT("'WCM Calibration Final'!$E$1:$E$2000"),'Calculations'!$EM72)="","",TRIM(INDEX(INDIRECT("'WCM Calibration Final'!$E$1:$E$2000"),'Calculations'!$EM72)&amp;"")),""))))))</x:f>
      </x:c>
      <x:c r="HG72" t="str">
        <x:f>IF('Calculations'!EM72="","",IFERROR(IF(INDEX(INDIRECT("'WCM Calibration Final'!$B$1:$B$2000"),'Calculations'!$EM72)="","",TRIM(INDEX(INDIRECT("'WCM Calibration Final'!$B$1:$B$2000"),'Calculations'!$EM72)&amp;"")),""))</x:f>
      </x:c>
      <x:c r="HH72" t="n">
        <x:f>IF(AND('Calculations'!JC72&gt;0,COUNTIF('Calculations'!$HF$12:HF72,"="&amp;SUBSTITUTE(SUBSTITUTE(SUBSTITUTE('Calculations'!HF72,"~","~~"),"*","~*"),"?","~?"))=1),MAX('Calculations'!$HH$12:HH71)+1,0)</x:f>
        <x:v>0</x:v>
      </x:c>
      <x:c r="HI72" t="n">
        <x:f>IF(AND('Calculations'!HN72&lt;&gt;"",COUNTIF('Calculations'!$HN$12:HN72,"="&amp;SUBSTITUTE(SUBSTITUTE(SUBSTITUTE('Calculations'!HN72,"~","~~"),"*","~*"),"?","~?"))=1),MAX('Calculations'!$HI$12:HI71)+1,0)</x:f>
        <x:v>0</x:v>
      </x:c>
      <x:c r="HJ72" t="str">
        <x:f>IF('Calculations'!HF72="","",IF(COUNTIF('Calculations'!$HE$13:$HE$512,"="&amp;SUBSTITUTE(SUBSTITUTE(SUBSTITUTE('Calculations'!HF72,"~","~~"),"*","~*"),"?","~?"))=1,INDEX('Calculations'!$HK$13:$HK$512,MATCH('Calculations'!HF72,'Calculations'!$HE$13:$HE$512,0)),IFERROR(IF(INDEX(INDIRECT("'WCM Calibration Final'!$E$1:$E$2000"),'Calculations'!$EM72)="","",TRIM(INDEX(INDIRECT("'WCM Calibration Final'!$E$1:$E$2000"),'Calculations'!$EM72)&amp;"")),"")&amp;" ["&amp;'Calculations'!HF72&amp;"]"))</x:f>
      </x:c>
      <x:c r="HK72" t="str">
        <x:f>IF('Calculations'!EM72="","",'Calculations'!HG72&amp;" ["&amp;'Calculations'!HE72&amp;"]")</x:f>
      </x:c>
      <x:c r="HL72" t="n">
        <x:f>IF('Calculations'!EM72="",0,IF(OR('Calculations'!II72&lt;&gt;"",COUNTIF('Calculations'!$HE$13:$HE$512,"="&amp;SUBSTITUTE(SUBSTITUTE(SUBSTITUTE('Calculations'!HE72,"~","~~"),"*","~*"),"?","~?"))&gt;1),1,0))</x:f>
        <x:v>0</x:v>
      </x:c>
      <x:c r="HM72" t="str">
        <x:f>IF('Calculations'!EM72="","",IF('Calculations'!HL72=1,"!UNRESOLVED",IF('Calculations'!IH72&lt;&gt;"",'Calculations'!IH72,IF('Calculations'!IG72&lt;&gt;"",'Calculations'!IG72,IF('Calculations'!IF72&lt;&gt;"",'Calculations'!IF72,IF('Calculations'!IE72&lt;&gt;"",'Calculations'!IE72,IF('Calculations'!ID72&lt;&gt;"",'Calculations'!ID72,IF('Calculations'!IC72&lt;&gt;"",'Calculations'!IC72,IF('Calculations'!IB72&lt;&gt;"",'Calculations'!IB72,IF('Calculations'!IA72&lt;&gt;"",'Calculations'!IA72,IF('Calculations'!HZ72&lt;&gt;"",'Calculations'!HZ72,IF('Calculations'!HY72&lt;&gt;"",'Calculations'!HY72,IF('Calculations'!HX72&lt;&gt;"",'Calculations'!HX72,IF('Calculations'!HW72&lt;&gt;"",'Calculations'!HW72,IF('Calculations'!HV72&lt;&gt;"",'Calculations'!HV72,IF('Calculations'!HU72&lt;&gt;"",'Calculations'!HU72,IF('Calculations'!HT72&lt;&gt;"",'Calculations'!HT72,IF('Calculations'!HS72&lt;&gt;"",'Calculations'!HS72,IF('Calculations'!HR72&lt;&gt;"",'Calculations'!HR72,IF('Calculations'!HQ72&lt;&gt;"",'Calculations'!HQ72,IF('Calculations'!HP72&lt;&gt;"",'Calculations'!HP72,IF('Calculations'!HO72&lt;&gt;"",'Calculations'!HO72,'Calculations'!HE72))))))))))))))))))))))</x:f>
      </x:c>
      <x:c r="HN72" t="str">
        <x:f>IF('Calculations'!EM72="","",IF(IFERROR(IF(INDEX(INDIRECT("'WCM Calibration Final'!$F$1:$F$2000"),'Calculations'!$EM72)="","",TRIM(INDEX(INDIRECT("'WCM Calibration Final'!$F$1:$F$2000"),'Calculations'!$EM72)&amp;"")),"")="","(Blank)",IFERROR(IF(INDEX(INDIRECT("'WCM Calibration Final'!$F$1:$F$2000"),'Calculations'!$EM72)="","",TRIM(INDEX(INDIRECT("'WCM Calibration Final'!$F$1:$F$2000"),'Calculations'!$EM72)&amp;"")),"")))</x:f>
      </x:c>
      <x:c r="HO72" t="str">
        <x:f>'Calculations'!HF72</x:f>
      </x:c>
      <x:c r="HP72" t="str">
        <x:f>IF('Calculations'!HO72="","",IF('Calculations'!HO72="!AMBIG","!AMBIG",IF(COUNTIF('Calculations'!$HE$13:$HE$512,"="&amp;SUBSTITUTE(SUBSTITUTE(SUBSTITUTE('Calculations'!HO72,"~","~~"),"*","~*"),"?","~?"))&gt;1,"!AMBIG",IFERROR(INDEX('Calculations'!$HF$13:$HF$512,MATCH('Calculations'!HO72,'Calculations'!$HE$13:$HE$512,0)),""))))</x:f>
      </x:c>
      <x:c r="HQ72" t="str">
        <x:f>IF('Calculations'!HP72="","",IF('Calculations'!HP72="!AMBIG","!AMBIG",IF(COUNTIF('Calculations'!$HE$13:$HE$512,"="&amp;SUBSTITUTE(SUBSTITUTE(SUBSTITUTE('Calculations'!HP72,"~","~~"),"*","~*"),"?","~?"))&gt;1,"!AMBIG",IFERROR(INDEX('Calculations'!$HF$13:$HF$512,MATCH('Calculations'!HP72,'Calculations'!$HE$13:$HE$512,0)),""))))</x:f>
      </x:c>
      <x:c r="HR72" t="str">
        <x:f>IF('Calculations'!HQ72="","",IF('Calculations'!HQ72="!AMBIG","!AMBIG",IF(COUNTIF('Calculations'!$HE$13:$HE$512,"="&amp;SUBSTITUTE(SUBSTITUTE(SUBSTITUTE('Calculations'!HQ72,"~","~~"),"*","~*"),"?","~?"))&gt;1,"!AMBIG",IFERROR(INDEX('Calculations'!$HF$13:$HF$512,MATCH('Calculations'!HQ72,'Calculations'!$HE$13:$HE$512,0)),""))))</x:f>
      </x:c>
      <x:c r="HS72" t="str">
        <x:f>IF('Calculations'!HR72="","",IF('Calculations'!HR72="!AMBIG","!AMBIG",IF(COUNTIF('Calculations'!$HE$13:$HE$512,"="&amp;SUBSTITUTE(SUBSTITUTE(SUBSTITUTE('Calculations'!HR72,"~","~~"),"*","~*"),"?","~?"))&gt;1,"!AMBIG",IFERROR(INDEX('Calculations'!$HF$13:$HF$512,MATCH('Calculations'!HR72,'Calculations'!$HE$13:$HE$512,0)),""))))</x:f>
      </x:c>
      <x:c r="HT72" t="str">
        <x:f>IF('Calculations'!HS72="","",IF('Calculations'!HS72="!AMBIG","!AMBIG",IF(COUNTIF('Calculations'!$HE$13:$HE$512,"="&amp;SUBSTITUTE(SUBSTITUTE(SUBSTITUTE('Calculations'!HS72,"~","~~"),"*","~*"),"?","~?"))&gt;1,"!AMBIG",IFERROR(INDEX('Calculations'!$HF$13:$HF$512,MATCH('Calculations'!HS72,'Calculations'!$HE$13:$HE$512,0)),""))))</x:f>
      </x:c>
      <x:c r="HU72" t="str">
        <x:f>IF('Calculations'!HT72="","",IF('Calculations'!HT72="!AMBIG","!AMBIG",IF(COUNTIF('Calculations'!$HE$13:$HE$512,"="&amp;SUBSTITUTE(SUBSTITUTE(SUBSTITUTE('Calculations'!HT72,"~","~~"),"*","~*"),"?","~?"))&gt;1,"!AMBIG",IFERROR(INDEX('Calculations'!$HF$13:$HF$512,MATCH('Calculations'!HT72,'Calculations'!$HE$13:$HE$512,0)),""))))</x:f>
      </x:c>
      <x:c r="HV72" t="str">
        <x:f>IF('Calculations'!HU72="","",IF('Calculations'!HU72="!AMBIG","!AMBIG",IF(COUNTIF('Calculations'!$HE$13:$HE$512,"="&amp;SUBSTITUTE(SUBSTITUTE(SUBSTITUTE('Calculations'!HU72,"~","~~"),"*","~*"),"?","~?"))&gt;1,"!AMBIG",IFERROR(INDEX('Calculations'!$HF$13:$HF$512,MATCH('Calculations'!HU72,'Calculations'!$HE$13:$HE$512,0)),""))))</x:f>
      </x:c>
      <x:c r="HW72" t="str">
        <x:f>IF('Calculations'!HV72="","",IF('Calculations'!HV72="!AMBIG","!AMBIG",IF(COUNTIF('Calculations'!$HE$13:$HE$512,"="&amp;SUBSTITUTE(SUBSTITUTE(SUBSTITUTE('Calculations'!HV72,"~","~~"),"*","~*"),"?","~?"))&gt;1,"!AMBIG",IFERROR(INDEX('Calculations'!$HF$13:$HF$512,MATCH('Calculations'!HV72,'Calculations'!$HE$13:$HE$512,0)),""))))</x:f>
      </x:c>
      <x:c r="HX72" t="str">
        <x:f>IF('Calculations'!HW72="","",IF('Calculations'!HW72="!AMBIG","!AMBIG",IF(COUNTIF('Calculations'!$HE$13:$HE$512,"="&amp;SUBSTITUTE(SUBSTITUTE(SUBSTITUTE('Calculations'!HW72,"~","~~"),"*","~*"),"?","~?"))&gt;1,"!AMBIG",IFERROR(INDEX('Calculations'!$HF$13:$HF$512,MATCH('Calculations'!HW72,'Calculations'!$HE$13:$HE$512,0)),""))))</x:f>
      </x:c>
      <x:c r="HY72" t="str">
        <x:f>IF('Calculations'!HX72="","",IF('Calculations'!HX72="!AMBIG","!AMBIG",IF(COUNTIF('Calculations'!$HE$13:$HE$512,"="&amp;SUBSTITUTE(SUBSTITUTE(SUBSTITUTE('Calculations'!HX72,"~","~~"),"*","~*"),"?","~?"))&gt;1,"!AMBIG",IFERROR(INDEX('Calculations'!$HF$13:$HF$512,MATCH('Calculations'!HX72,'Calculations'!$HE$13:$HE$512,0)),""))))</x:f>
      </x:c>
      <x:c r="HZ72" t="str">
        <x:f>IF('Calculations'!HY72="","",IF('Calculations'!HY72="!AMBIG","!AMBIG",IF(COUNTIF('Calculations'!$HE$13:$HE$512,"="&amp;SUBSTITUTE(SUBSTITUTE(SUBSTITUTE('Calculations'!HY72,"~","~~"),"*","~*"),"?","~?"))&gt;1,"!AMBIG",IFERROR(INDEX('Calculations'!$HF$13:$HF$512,MATCH('Calculations'!HY72,'Calculations'!$HE$13:$HE$512,0)),""))))</x:f>
      </x:c>
      <x:c r="IA72" t="str">
        <x:f>IF('Calculations'!HZ72="","",IF('Calculations'!HZ72="!AMBIG","!AMBIG",IF(COUNTIF('Calculations'!$HE$13:$HE$512,"="&amp;SUBSTITUTE(SUBSTITUTE(SUBSTITUTE('Calculations'!HZ72,"~","~~"),"*","~*"),"?","~?"))&gt;1,"!AMBIG",IFERROR(INDEX('Calculations'!$HF$13:$HF$512,MATCH('Calculations'!HZ72,'Calculations'!$HE$13:$HE$512,0)),""))))</x:f>
      </x:c>
      <x:c r="IB72" t="str">
        <x:f>IF('Calculations'!IA72="","",IF('Calculations'!IA72="!AMBIG","!AMBIG",IF(COUNTIF('Calculations'!$HE$13:$HE$512,"="&amp;SUBSTITUTE(SUBSTITUTE(SUBSTITUTE('Calculations'!IA72,"~","~~"),"*","~*"),"?","~?"))&gt;1,"!AMBIG",IFERROR(INDEX('Calculations'!$HF$13:$HF$512,MATCH('Calculations'!IA72,'Calculations'!$HE$13:$HE$512,0)),""))))</x:f>
      </x:c>
      <x:c r="IC72" t="str">
        <x:f>IF('Calculations'!IB72="","",IF('Calculations'!IB72="!AMBIG","!AMBIG",IF(COUNTIF('Calculations'!$HE$13:$HE$512,"="&amp;SUBSTITUTE(SUBSTITUTE(SUBSTITUTE('Calculations'!IB72,"~","~~"),"*","~*"),"?","~?"))&gt;1,"!AMBIG",IFERROR(INDEX('Calculations'!$HF$13:$HF$512,MATCH('Calculations'!IB72,'Calculations'!$HE$13:$HE$512,0)),""))))</x:f>
      </x:c>
      <x:c r="ID72" t="str">
        <x:f>IF('Calculations'!IC72="","",IF('Calculations'!IC72="!AMBIG","!AMBIG",IF(COUNTIF('Calculations'!$HE$13:$HE$512,"="&amp;SUBSTITUTE(SUBSTITUTE(SUBSTITUTE('Calculations'!IC72,"~","~~"),"*","~*"),"?","~?"))&gt;1,"!AMBIG",IFERROR(INDEX('Calculations'!$HF$13:$HF$512,MATCH('Calculations'!IC72,'Calculations'!$HE$13:$HE$512,0)),""))))</x:f>
      </x:c>
      <x:c r="IE72" t="str">
        <x:f>IF('Calculations'!ID72="","",IF('Calculations'!ID72="!AMBIG","!AMBIG",IF(COUNTIF('Calculations'!$HE$13:$HE$512,"="&amp;SUBSTITUTE(SUBSTITUTE(SUBSTITUTE('Calculations'!ID72,"~","~~"),"*","~*"),"?","~?"))&gt;1,"!AMBIG",IFERROR(INDEX('Calculations'!$HF$13:$HF$512,MATCH('Calculations'!ID72,'Calculations'!$HE$13:$HE$512,0)),""))))</x:f>
      </x:c>
      <x:c r="IF72" t="str">
        <x:f>IF('Calculations'!IE72="","",IF('Calculations'!IE72="!AMBIG","!AMBIG",IF(COUNTIF('Calculations'!$HE$13:$HE$512,"="&amp;SUBSTITUTE(SUBSTITUTE(SUBSTITUTE('Calculations'!IE72,"~","~~"),"*","~*"),"?","~?"))&gt;1,"!AMBIG",IFERROR(INDEX('Calculations'!$HF$13:$HF$512,MATCH('Calculations'!IE72,'Calculations'!$HE$13:$HE$512,0)),""))))</x:f>
      </x:c>
      <x:c r="IG72" t="str">
        <x:f>IF('Calculations'!IF72="","",IF('Calculations'!IF72="!AMBIG","!AMBIG",IF(COUNTIF('Calculations'!$HE$13:$HE$512,"="&amp;SUBSTITUTE(SUBSTITUTE(SUBSTITUTE('Calculations'!IF72,"~","~~"),"*","~*"),"?","~?"))&gt;1,"!AMBIG",IFERROR(INDEX('Calculations'!$HF$13:$HF$512,MATCH('Calculations'!IF72,'Calculations'!$HE$13:$HE$512,0)),""))))</x:f>
      </x:c>
      <x:c r="IH72" t="str">
        <x:f>IF('Calculations'!IG72="","",IF('Calculations'!IG72="!AMBIG","!AMBIG",IF(COUNTIF('Calculations'!$HE$13:$HE$512,"="&amp;SUBSTITUTE(SUBSTITUTE(SUBSTITUTE('Calculations'!IG72,"~","~~"),"*","~*"),"?","~?"))&gt;1,"!AMBIG",IFERROR(INDEX('Calculations'!$HF$13:$HF$512,MATCH('Calculations'!IG72,'Calculations'!$HE$13:$HE$512,0)),""))))</x:f>
      </x:c>
      <x:c r="II72" t="str">
        <x:f>IF('Calculations'!IH72="","",IF('Calculations'!IH72="!AMBIG","!AMBIG",IF(COUNTIF('Calculations'!$HE$13:$HE$512,"="&amp;SUBSTITUTE(SUBSTITUTE(SUBSTITUTE('Calculations'!IH72,"~","~~"),"*","~*"),"?","~?"))&gt;1,"!AMBIG",IFERROR(INDEX('Calculations'!$HF$13:$HF$512,MATCH('Calculations'!IH72,'Calculations'!$HE$13:$HE$512,0)),""))))</x:f>
      </x:c>
      <x:c r="IJ72" t="str">
        <x:f>IF('Calculations'!EM72="","",IF('Calculations'!$EF$2="All",'Calculations'!HM72,IF('Calculations'!HL72=1,"",IFERROR(IF(MATCH('Calculations'!$EF$2,'Calculations'!HO72:II72,0)=1,'Calculations'!HE72,INDEX('Calculations'!HO72:II72,1,MATCH('Calculations'!$EF$2,'Calculations'!HO72:II72,0)-1)),""))))</x:f>
      </x:c>
      <x:c r="IK72" t="n">
        <x:f>IF(AND('Calculations'!EM72&lt;&gt;"",'Calculations'!$EF$2&lt;&gt;"All",'Calculations'!HF72='Calculations'!$EF$2,'Calculations'!HL72=0,'Calculations'!JD72&gt;0),MAX('Calculations'!$IK$12:IK71)+1,0)</x:f>
        <x:v>0</x:v>
      </x:c>
      <x:c r="JA72" t="n">
        <x:f>IF(OR(IFERROR(INDIRECT("'WCM Calibration Final'!$A$72")&lt;&gt;"",FALSE),IFERROR(INDIRECT("'WCM Calibration Final'!$B$72")&lt;&gt;"",FALSE),IFERROR(INDIRECT("'WCM Calibration Final'!$C$72")&lt;&gt;"",FALSE)),72,0)</x:f>
        <x:v>0</x:v>
      </x:c>
      <x:c r="JB72" t="n">
        <x:f>'Calculations'!JB71+IF('Calculations'!JA72&gt;0,1,0)</x:f>
        <x:v>0</x:v>
      </x:c>
      <x:c r="JC72" t="n">
        <x:f>IF(OR('Calculations'!HF72="",'Calculations'!HF72="!AMBIG"),0,IF('Dashboard'!$B$7="All",1,COUNTIFS('Calculations'!$HO$13:$HO$512,"="&amp;SUBSTITUTE(SUBSTITUTE(SUBSTITUTE('Calculations'!HF72,"~","~~"),"*","~*"),"?","~?"),'Calculations'!$HN$13:$HN$512,"="&amp;SUBSTITUTE(SUBSTITUTE(SUBSTITUTE('Dashboard'!$B$7,"~","~~"),"*","~*"),"?","~?"))+COUNTIFS('Calculations'!$HP$13:$HP$512,"="&amp;SUBSTITUTE(SUBSTITUTE(SUBSTITUTE('Calculations'!HF72,"~","~~"),"*","~*"),"?","~?"),'Calculations'!$HN$13:$HN$512,"="&amp;SUBSTITUTE(SUBSTITUTE(SUBSTITUTE('Dashboard'!$B$7,"~","~~"),"*","~*"),"?","~?"))+COUNTIFS('Calculations'!$HQ$13:$HQ$512,"="&amp;SUBSTITUTE(SUBSTITUTE(SUBSTITUTE('Calculations'!HF72,"~","~~"),"*","~*"),"?","~?"),'Calculations'!$HN$13:$HN$512,"="&amp;SUBSTITUTE(SUBSTITUTE(SUBSTITUTE('Dashboard'!$B$7,"~","~~"),"*","~*"),"?","~?"))+COUNTIFS('Calculations'!$HR$13:$HR$512,"="&amp;SUBSTITUTE(SUBSTITUTE(SUBSTITUTE('Calculations'!HF72,"~","~~"),"*","~*"),"?","~?"),'Calculations'!$HN$13:$HN$512,"="&amp;SUBSTITUTE(SUBSTITUTE(SUBSTITUTE('Dashboard'!$B$7,"~","~~"),"*","~*"),"?","~?"))+COUNTIFS('Calculations'!$HS$13:$HS$512,"="&amp;SUBSTITUTE(SUBSTITUTE(SUBSTITUTE('Calculations'!HF72,"~","~~"),"*","~*"),"?","~?"),'Calculations'!$HN$13:$HN$512,"="&amp;SUBSTITUTE(SUBSTITUTE(SUBSTITUTE('Dashboard'!$B$7,"~","~~"),"*","~*"),"?","~?"))+COUNTIFS('Calculations'!$HT$13:$HT$512,"="&amp;SUBSTITUTE(SUBSTITUTE(SUBSTITUTE('Calculations'!HF72,"~","~~"),"*","~*"),"?","~?"),'Calculations'!$HN$13:$HN$512,"="&amp;SUBSTITUTE(SUBSTITUTE(SUBSTITUTE('Dashboard'!$B$7,"~","~~"),"*","~*"),"?","~?"))+COUNTIFS('Calculations'!$HU$13:$HU$512,"="&amp;SUBSTITUTE(SUBSTITUTE(SUBSTITUTE('Calculations'!HF72,"~","~~"),"*","~*"),"?","~?"),'Calculations'!$HN$13:$HN$512,"="&amp;SUBSTITUTE(SUBSTITUTE(SUBSTITUTE('Dashboard'!$B$7,"~","~~"),"*","~*"),"?","~?"))+COUNTIFS('Calculations'!$HV$13:$HV$512,"="&amp;SUBSTITUTE(SUBSTITUTE(SUBSTITUTE('Calculations'!HF72,"~","~~"),"*","~*"),"?","~?"),'Calculations'!$HN$13:$HN$512,"="&amp;SUBSTITUTE(SUBSTITUTE(SUBSTITUTE('Dashboard'!$B$7,"~","~~"),"*","~*"),"?","~?"))+COUNTIFS('Calculations'!$HW$13:$HW$512,"="&amp;SUBSTITUTE(SUBSTITUTE(SUBSTITUTE('Calculations'!HF72,"~","~~"),"*","~*"),"?","~?"),'Calculations'!$HN$13:$HN$512,"="&amp;SUBSTITUTE(SUBSTITUTE(SUBSTITUTE('Dashboard'!$B$7,"~","~~"),"*","~*"),"?","~?"))+COUNTIFS('Calculations'!$HX$13:$HX$512,"="&amp;SUBSTITUTE(SUBSTITUTE(SUBSTITUTE('Calculations'!HF72,"~","~~"),"*","~*"),"?","~?"),'Calculations'!$HN$13:$HN$512,"="&amp;SUBSTITUTE(SUBSTITUTE(SUBSTITUTE('Dashboard'!$B$7,"~","~~"),"*","~*"),"?","~?"))+COUNTIFS('Calculations'!$HY$13:$HY$512,"="&amp;SUBSTITUTE(SUBSTITUTE(SUBSTITUTE('Calculations'!HF72,"~","~~"),"*","~*"),"?","~?"),'Calculations'!$HN$13:$HN$512,"="&amp;SUBSTITUTE(SUBSTITUTE(SUBSTITUTE('Dashboard'!$B$7,"~","~~"),"*","~*"),"?","~?"))+COUNTIFS('Calculations'!$HZ$13:$HZ$512,"="&amp;SUBSTITUTE(SUBSTITUTE(SUBSTITUTE('Calculations'!HF72,"~","~~"),"*","~*"),"?","~?"),'Calculations'!$HN$13:$HN$512,"="&amp;SUBSTITUTE(SUBSTITUTE(SUBSTITUTE('Dashboard'!$B$7,"~","~~"),"*","~*"),"?","~?"))+COUNTIFS('Calculations'!$IA$13:$IA$512,"="&amp;SUBSTITUTE(SUBSTITUTE(SUBSTITUTE('Calculations'!HF72,"~","~~"),"*","~*"),"?","~?"),'Calculations'!$HN$13:$HN$512,"="&amp;SUBSTITUTE(SUBSTITUTE(SUBSTITUTE('Dashboard'!$B$7,"~","~~"),"*","~*"),"?","~?"))+COUNTIFS('Calculations'!$IB$13:$IB$512,"="&amp;SUBSTITUTE(SUBSTITUTE(SUBSTITUTE('Calculations'!HF72,"~","~~"),"*","~*"),"?","~?"),'Calculations'!$HN$13:$HN$512,"="&amp;SUBSTITUTE(SUBSTITUTE(SUBSTITUTE('Dashboard'!$B$7,"~","~~"),"*","~*"),"?","~?"))+COUNTIFS('Calculations'!$IC$13:$IC$512,"="&amp;SUBSTITUTE(SUBSTITUTE(SUBSTITUTE('Calculations'!HF72,"~","~~"),"*","~*"),"?","~?"),'Calculations'!$HN$13:$HN$512,"="&amp;SUBSTITUTE(SUBSTITUTE(SUBSTITUTE('Dashboard'!$B$7,"~","~~"),"*","~*"),"?","~?"))+COUNTIFS('Calculations'!$ID$13:$ID$512,"="&amp;SUBSTITUTE(SUBSTITUTE(SUBSTITUTE('Calculations'!HF72,"~","~~"),"*","~*"),"?","~?"),'Calculations'!$HN$13:$HN$512,"="&amp;SUBSTITUTE(SUBSTITUTE(SUBSTITUTE('Dashboard'!$B$7,"~","~~"),"*","~*"),"?","~?"))+COUNTIFS('Calculations'!$IE$13:$IE$512,"="&amp;SUBSTITUTE(SUBSTITUTE(SUBSTITUTE('Calculations'!HF72,"~","~~"),"*","~*"),"?","~?"),'Calculations'!$HN$13:$HN$512,"="&amp;SUBSTITUTE(SUBSTITUTE(SUBSTITUTE('Dashboard'!$B$7,"~","~~"),"*","~*"),"?","~?"))+COUNTIFS('Calculations'!$IF$13:$IF$512,"="&amp;SUBSTITUTE(SUBSTITUTE(SUBSTITUTE('Calculations'!HF72,"~","~~"),"*","~*"),"?","~?"),'Calculations'!$HN$13:$HN$512,"="&amp;SUBSTITUTE(SUBSTITUTE(SUBSTITUTE('Dashboard'!$B$7,"~","~~"),"*","~*"),"?","~?"))+COUNTIFS('Calculations'!$IG$13:$IG$512,"="&amp;SUBSTITUTE(SUBSTITUTE(SUBSTITUTE('Calculations'!HF72,"~","~~"),"*","~*"),"?","~?"),'Calculations'!$HN$13:$HN$512,"="&amp;SUBSTITUTE(SUBSTITUTE(SUBSTITUTE('Dashboard'!$B$7,"~","~~"),"*","~*"),"?","~?"))+COUNTIFS('Calculations'!$IH$13:$IH$512,"="&amp;SUBSTITUTE(SUBSTITUTE(SUBSTITUTE('Calculations'!HF72,"~","~~"),"*","~*"),"?","~?"),'Calculations'!$HN$13:$HN$512,"="&amp;SUBSTITUTE(SUBSTITUTE(SUBSTITUTE('Dashboard'!$B$7,"~","~~"),"*","~*"),"?","~?"))))</x:f>
        <x:v>0</x:v>
      </x:c>
      <x:c r="JD72" t="n">
        <x:f>IF('Calculations'!EM72="",0,IF('Dashboard'!$B$7="All",1,IF('Calculations'!HN72='Dashboard'!$B$7,1,0)+IFERROR(INDEX('Calculations'!$JC$13:$JC$512,MATCH('Calculations'!HE72,'Calculations'!$HF$13:$HF$512,0)),0)))</x:f>
        <x:v>0</x:v>
      </x:c>
      <x:c r="JE72" t="n">
        <x:f>IF(AND('Calculations'!EM72&lt;&gt;"",'Calculations'!$JJ$2&lt;&gt;"All",'Calculations'!$JJ$2&lt;&gt;"",'Calculations'!HF72='Calculations'!$JJ$2,'Calculations'!HL72=0,'Calculations'!JD72&gt;0),MAX('Calculations'!$JE$12:JE71)+1,0)</x:f>
        <x:v>0</x:v>
      </x:c>
      <x:c r="JF72" t="str">
        <x:f>IF('Calculations'!EM72="","",IFERROR(IF(INDEX(INDIRECT("'WCM Calibration Final'!$G$1:$G$2000"),'Calculations'!$EM72)="","",TRIM(INDEX(INDIRECT("'WCM Calibration Final'!$G$1:$G$2000"),'Calculations'!$EM72)&amp;"")),""))</x:f>
      </x:c>
      <x:c r="JQ72" t="n">
        <x:f>IF(OR('Calculations'!BM72=0,NOT('Calculations'!$AG$2),'Calculations'!$AG$8&gt;0),0,IF(OR('Dashboard'!$B$7="All",'Calculations'!HN72='Dashboard'!$B$7),IF('Calculations'!$JJ$2="All",1,IF(AND('Calculations'!HF72='Calculations'!$JJ$2,'Calculations'!HL72=0),1,0)),0))</x:f>
        <x:v>0</x:v>
      </x:c>
    </x:row>
    <x:row r="73">
      <x:c r="AF73" s="4" t="str">
        <x:v>3</x:v>
      </x:c>
      <x:c r="AG73" s="4" t="n">
        <x:f>IF('Calculations'!$AG$64=0,COUNTIFS('Calculations'!$JQ$13:$JQ$512,1,'Calculations'!$BZ$13:$BZ$512,3),COUNTIFS('Calculations'!$JQ$13:$JQ$512,1,'Calculations'!$BZ$13:$BZ$512,3,'Calculations'!$BV$13:$BV$512,'Dashboard'!$N$67))</x:f>
        <x:v>0</x:v>
      </x:c>
      <x:c r="AH73" s="4" t="e">
        <x:f>IF('Calculations'!$AG$65=0,NA(),'Calculations'!AG73/'Calculations'!$AG$65)</x:f>
        <x:v>#N/A</x:v>
      </x:c>
      <x:c r="AI73" s="4" t="n">
        <x:f>IF(COUNT('Calculations'!AK73)=0,NA(),IF(AND('Calculations'!AK73&gt;=0,'Calculations'!AK73&lt;=1),'Calculations'!AK73,NA()))</x:f>
        <x:v>0.65</x:v>
      </x:c>
      <x:c r="AJ73" s="4" t="str">
        <x:f>IFERROR(('Calculations'!AH73-'Calculations'!AI73)*100,"")</x:f>
      </x:c>
      <x:c r="AK73" s="4" t="n">
        <x:f>IF(COUNT(INDEX('Dashboard'!$R$129:$R$144,'Calculations'!$AG$66-128))=0,"",INDEX('Dashboard'!$R$129:$R$144,'Calculations'!$AG$66-128))</x:f>
        <x:v>0.65</x:v>
      </x:c>
      <x:c r="AL73" s="4"/>
      <x:c r="AM73" s="4"/>
      <x:c r="AN73" s="4"/>
      <x:c r="AO73" s="4"/>
      <x:c r="AP73" s="4"/>
      <x:c r="AQ73" s="4"/>
      <x:c r="AR73" s="4"/>
      <x:c r="AS73" s="4"/>
      <x:c r="AT73" s="4"/>
      <x:c r="AU73" s="4"/>
      <x:c r="AV73" s="4" t="str">
        <x:v>3 Valued</x:v>
      </x:c>
      <x:c r="AW73" s="4" t="e">
        <x:f>'Calculations'!AH73</x:f>
        <x:v>#N/A</x:v>
      </x:c>
      <x:c r="AX73" s="4" t="n">
        <x:f>'Calculations'!AI73</x:f>
        <x:v>0.65</x:v>
      </x:c>
      <x:c r="AY73" s="4"/>
      <x:c r="AZ73" s="4"/>
      <x:c r="BA73" s="4"/>
      <x:c r="BB73" s="4"/>
      <x:c r="BC73" s="4"/>
      <x:c r="BD73" s="4"/>
      <x:c r="BE73" s="4"/>
      <x:c r="BF73" s="4"/>
      <x:c r="BG73" s="4"/>
      <x:c r="BH73" s="4"/>
      <x:c r="BI73" s="4"/>
      <x:c r="BJ73" s="4"/>
      <x:c r="BK73" s="4"/>
      <x:c r="BL73" s="4"/>
      <x:c r="BM73" s="4" t="n">
        <x:f>IF('Calculations'!$EM73="",0,IF(OR(IFERROR(INDEX(INDIRECT("'WCM Calibration Final'!$A$1:$A$2000"),'Calculations'!$EM73)&lt;&gt;"",FALSE),IFERROR(INDEX(INDIRECT("'WCM Calibration Final'!$B$1:$B$2000"),'Calculations'!$EM73)&lt;&gt;"",FALSE),IFERROR(INDEX(INDIRECT("'WCM Calibration Final'!$C$1:$C$2000"),'Calculations'!$EM73)&lt;&gt;"",FALSE)),1,0))</x:f>
        <x:v>0</x:v>
      </x:c>
      <x:c r="BN73" s="4" t="n">
        <x:f>IF(AND('Calculations'!BM73=1,'Calculations'!$AG$2,'Calculations'!$EN73=1),1,0)</x:f>
        <x:v>0</x:v>
      </x:c>
      <x:c r="BO73" s="4" t="str">
        <x:f>IF('Calculations'!BM73=0,"",IFERROR(IF(AND(VALUE(INDEX(INDIRECT("'WCM Calibration Final'!$K$1:$K$2000"),'Calculations'!$EM73))&gt;=1,VALUE(INDEX(INDIRECT("'WCM Calibration Final'!$K$1:$K$2000"),'Calculations'!$EM73))&lt;=4,MOD(VALUE(INDEX(INDIRECT("'WCM Calibration Final'!$K$1:$K$2000"),'Calculations'!$EM73)),1)=0),VALUE(INDEX(INDIRECT("'WCM Calibration Final'!$K$1:$K$2000"),'Calculations'!$EM73)),""),""))</x:f>
      </x:c>
      <x:c r="BP73" s="4" t="str">
        <x:f>IF('Calculations'!BM73=0,"",IFERROR(IF(AND(VALUE(INDEX(INDIRECT("'WCM Calibration Final'!$L$1:$L$2000"),'Calculations'!$EM73))&gt;=1,VALUE(INDEX(INDIRECT("'WCM Calibration Final'!$L$1:$L$2000"),'Calculations'!$EM73))&lt;=4,MOD(VALUE(INDEX(INDIRECT("'WCM Calibration Final'!$L$1:$L$2000"),'Calculations'!$EM73)),1)=0),VALUE(INDEX(INDIRECT("'WCM Calibration Final'!$L$1:$L$2000"),'Calculations'!$EM73)),""),""))</x:f>
      </x:c>
      <x:c r="BQ73" s="4"/>
      <x:c r="BR73" s="4"/>
      <x:c r="BS73" s="4"/>
      <x:c r="BT73" s="4" t="n">
        <x:f>IF(AND('Calculations'!BM73=1,ISNUMBER('Calculations'!BO73),ISNUMBER('Calculations'!BP73)),1,0)</x:f>
        <x:v>0</x:v>
      </x:c>
      <x:c r="BU73" s="4" t="str">
        <x:f>IF('Calculations'!BM73=0,"",'Calculations'!$EO73)</x:f>
      </x:c>
      <x:c r="BV73" s="4" t="str">
        <x:f>IF('Calculations'!BM73=0,"",IFERROR(IF(OR(INDEX(INDIRECT("'WCM Calibration Final'!$H$1:$H$2000"),'Calculations'!$EM73)="MANAGING DIRECTOR",INDEX(INDIRECT("'WCM Calibration Final'!$H$1:$H$2000"),'Calculations'!$EM73)="DIRECTOR",INDEX(INDIRECT("'WCM Calibration Final'!$H$1:$H$2000"),'Calculations'!$EM73)="SENIOR VICE PRESIDENT",INDEX(INDIRECT("'WCM Calibration Final'!$H$1:$H$2000"),'Calculations'!$EM73)="VICE PRESIDENT",INDEX(INDIRECT("'WCM Calibration Final'!$H$1:$H$2000"),'Calculations'!$EM73)="ASSISTANT VICE PRESIDENT",INDEX(INDIRECT("'WCM Calibration Final'!$H$1:$H$2000"),'Calculations'!$EM73)="OFFICER"),UPPER(INDEX(INDIRECT("'WCM Calibration Final'!$H$1:$H$2000"),'Calculations'!$EM73)),"Other"),"Other"))</x:f>
      </x:c>
      <x:c r="BW73" s="4"/>
      <x:c r="BX73" s="4"/>
      <x:c r="BY73" s="4" t="n">
        <x:f>IF(AND('Calculations'!BM73=1,'Calculations'!BU73&lt;&gt;"",COUNTIF('Calculations'!$BU$12:BU73,'Calculations'!BU73)=1),MAX('Calculations'!$BY$11:BY72)+1,0)</x:f>
        <x:v>0</x:v>
      </x:c>
      <x:c r="BZ73" s="4" t="str">
        <x:f>IF('Dashboard'!$E$67="What",'Calculations'!BO73,'Calculations'!BP73)</x:f>
      </x:c>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t="str">
        <x:f>IF(62&gt;MAX('Calculations'!$HI$13:$HI$512),"",INDEX('Calculations'!$HN$13:$HN$512,MATCH(62,'Calculations'!$HI$13:$HI$512,0)))</x:f>
      </x:c>
      <x:c r="DB73" s="4" t="str">
        <x:f>IF(62&gt;MAX('Calculations'!$HH$13:$HH$512),"",INDEX('Calculations'!$HJ$13:$HJ$512,MATCH(62,'Calculations'!$HH$13:$HH$512,0)))</x:f>
      </x:c>
      <x:c r="DC73" s="4" t="str">
        <x:f>IF(ROW()-11&gt;MAX('Calculations'!$BY$13:$BY$512),"",INDEX('Calculations'!$BU$13:$BU$512,MATCH(ROW()-11,'Calculations'!$BY$13:$BY$512,0)))</x:f>
      </x:c>
      <x:c r="DD73" s="4" t="str">
        <x:f>IF(62&gt;MAX('Calculations'!$IK$13:$IK$512),"",INDEX('Calculations'!$HK$13:$HK$512,MATCH(62,'Calculations'!$IK$13:$IK$512,0)))</x:f>
      </x:c>
      <x:c r="DE73" s="4" t="str">
        <x:f>'Calculations'!DC73</x:f>
      </x:c>
      <x:c r="DF73" s="4" t="str">
        <x:f>IF('Calculations'!DE73="","",COUNTIFS('Calculations'!$BN$13:$BN$512,1,'Calculations'!$BU$13:$BU$512,'Calculations'!DE73))</x:f>
      </x:c>
      <x:c r="DG73" s="4" t="str">
        <x:f>IF('Calculations'!DE73="","",COUNTIFS('Calculations'!$BN$13:$BN$512,1,'Calculations'!$BU$13:$BU$512,'Calculations'!DE73,'Calculations'!$BT$13:$BT$512,1))</x:f>
      </x:c>
      <x:c r="DH73" s="4" t="str">
        <x:f>IF('Calculations'!DE73="","",'Calculations'!DF73-'Calculations'!DG73)</x:f>
      </x:c>
      <x:c r="DI73" s="4" t="str">
        <x:f>IF(OR('Calculations'!DE73="",'Calculations'!DF73=0),"",'Calculations'!DG73/'Calculations'!DF73)</x:f>
      </x:c>
      <x:c r="DJ73" s="4" t="str">
        <x:f>IF('Calculations'!DE73="","",COUNTIFS('Calculations'!$BN$13:$BN$512,1,'Calculations'!$BU$13:$BU$512,'Calculations'!DE73,'Calculations'!$BT$13:$BT$512,1,'Calculations'!$EE$13:$EE$512,"High"))</x:f>
      </x:c>
      <x:c r="DK73" s="4" t="str">
        <x:f>IF('Calculations'!DE73="","",COUNTIFS('Calculations'!$BN$13:$BN$512,1,'Calculations'!$BU$13:$BU$512,'Calculations'!DE73,'Calculations'!$BT$13:$BT$512,1,'Calculations'!$EE$13:$EE$512,"Strong"))</x:f>
      </x:c>
      <x:c r="DL73" s="4" t="str">
        <x:f>IF('Calculations'!DE73="","",COUNTIFS('Calculations'!$BN$13:$BN$512,1,'Calculations'!$BU$13:$BU$512,'Calculations'!DE73,'Calculations'!$BT$13:$BT$512,1,'Calculations'!$EE$13:$EE$512,"Solid"))</x:f>
      </x:c>
      <x:c r="DM73" s="4" t="str">
        <x:f>IF('Calculations'!DE73="","",COUNTIFS('Calculations'!$BN$13:$BN$512,1,'Calculations'!$BU$13:$BU$512,'Calculations'!DE73,'Calculations'!$BT$13:$BT$512,1,'Calculations'!$EE$13:$EE$512,"Low"))</x:f>
      </x:c>
      <x:c r="DN73" s="4" t="str">
        <x:f>IF('Calculations'!DE73="","",COUNTIFS('Calculations'!$BN$13:$BN$512,1,'Calculations'!$BU$13:$BU$512,'Calculations'!DE73,'Calculations'!$EP$13:$EP$512,1))</x:f>
      </x:c>
      <x:c r="DO73" s="4" t="str">
        <x:f>IF(OR('Calculations'!DE73="",'Calculations'!DG73=0),"",('Calculations'!DJ73+'Calculations'!DK73)/'Calculations'!DG73)</x:f>
      </x:c>
      <x:c r="DP73" s="4" t="n">
        <x:f>IF(AND('Calculations'!DE73&lt;&gt;"",'Calculations'!DF73&gt;0),COUNTIF('Calculations'!$DF$12:DF73,"&gt;0"),0)</x:f>
        <x:v>0</x:v>
      </x:c>
      <x:c r="DQ73" s="4" t="str">
        <x:f>IF(62&gt;MAX('Calculations'!$HH$13:$HH$512),"",INDEX('Calculations'!$HF$13:$HF$512,MATCH(62,'Calculations'!$HH$13:$HH$512,0)))</x:f>
      </x:c>
      <x:c r="DR73" s="4" t="str">
        <x:f>IF(62&gt;MAX('Calculations'!$IK$13:$IK$512),"",INDEX('Calculations'!$HE$13:$HE$512,MATCH(62,'Calculations'!$IK$13:$IK$512,0)))</x:f>
      </x:c>
      <x:c r="DS73" s="4"/>
      <x:c r="DT73" s="4"/>
      <x:c r="DU73" s="4"/>
      <x:c r="DV73" s="4"/>
      <x:c r="DW73" s="4"/>
      <x:c r="DX73" s="4"/>
      <x:c r="DY73" s="4"/>
      <x:c r="DZ73" s="4"/>
      <x:c r="EA73" s="4"/>
      <x:c r="EB73" s="4"/>
      <x:c r="EC73" s="4"/>
      <x:c r="ED73" s="4"/>
      <x:c r="EE73" s="4" t="str">
        <x:f>IF('Calculations'!BT73=0,"Not Rated",IF(OR('Calculations'!BO73&gt;=4,'Calculations'!BP73&gt;=4),"Low",IF('Calculations'!BO73+'Calculations'!BP73&lt;=3,"High",IF('Calculations'!BO73+'Calculations'!BP73&lt;=4,"Strong","Solid"))))</x:f>
        <x:v>Not Rated</x:v>
      </x:c>
      <x:c r="EF73" s="4"/>
      <x:c r="EG73" s="4"/>
      <x:c r="EH73" s="4"/>
      <x:c r="EI73" s="4"/>
      <x:c r="EJ73" s="4"/>
      <x:c r="EK73" s="4"/>
      <x:c r="EL73" s="4"/>
      <x:c r="EM73" s="4" t="str">
        <x:f>IF(61&gt;'Calculations'!$JB$2000,"",INDEX('Calculations'!$JA$12:$JA$2000,MATCH(61,'Calculations'!$JB$12:$JB$2000,0)))</x:f>
      </x:c>
      <x:c r="EN73" s="4" t="n">
        <x:f>IF(OR('Calculations'!EM73="",'Calculations'!$AG$8&gt;0,AND('Calculations'!$EF$2&lt;&gt;"All",'Calculations'!HE73='Calculations'!$EF$2),AND('Calculations'!$EF$3&lt;&gt;"All",'Calculations'!HE73='Calculations'!$EF$3)),0,IF(OR('Dashboard'!$B$7="All",'Calculations'!HN73='Dashboard'!$B$7),IF('Calculations'!$EF$2="All",1,IF('Calculations'!HL73&gt;0,0,IF(COUNTIF('Calculations'!HO73:II73,"="&amp;SUBSTITUTE(SUBSTITUTE(SUBSTITUTE('Calculations'!$EF$2,"~","~~"),"*","~*"),"?","~?"))=0,0,IF('Calculations'!$EF$3="All",1,IF(COUNTIF('Calculations'!HO73:II73,"="&amp;SUBSTITUTE(SUBSTITUTE(SUBSTITUTE('Calculations'!$EF$3,"~","~~"),"*","~*"),"?","~?"))&gt;0,1,0))))),0))</x:f>
        <x:v>0</x:v>
      </x:c>
      <x:c r="EO73" s="4" t="str">
        <x:f>IF('Calculations'!IJ73="","",IF('Calculations'!IJ73="!UNRESOLVED","Unresolved hierarchy",IFERROR(INDEX('Calculations'!$HK$13:$HK$512,MATCH('Calculations'!IJ73,'Calculations'!$HE$13:$HE$512,0)),IFERROR(INDEX('Calculations'!$HJ$13:$HJ$512,MATCH('Calculations'!IJ73,'Calculations'!$HF$13:$HF$512,0)),'Calculations'!IJ73))))</x:f>
      </x:c>
      <x:c r="EP73" s="4" t="n">
        <x:f>IF(AND('Calculations'!EM73&lt;&gt;"",'Calculations'!HF73='Calculations'!IJ73),1,0)</x:f>
        <x:v>0</x:v>
      </x:c>
      <x:c r="EQ73" s="4"/>
      <x:c r="ER73" s="4"/>
      <x:c r="ES73" s="4"/>
      <x:c r="ET73" s="4"/>
      <x:c r="EU73" s="4"/>
      <x:c r="EV73" s="4"/>
      <x:c r="EW73" s="4"/>
      <x:c r="EX73" s="4"/>
      <x:c r="EY73" s="4"/>
      <x:c r="EZ73" s="4"/>
      <x:c r="FA73" s="4"/>
      <x:c r="FB73" s="4"/>
      <x:c r="FC73" s="4"/>
      <x:c r="FD73" s="4"/>
      <x:c r="FE73" s="4"/>
      <x:c r="FF73" s="4"/>
      <x:c r="FG73" s="4"/>
      <x:c r="FH73" s="4"/>
      <x:c r="FI73" s="4"/>
      <x:c r="FJ73" s="4"/>
      <x:c r="FK73" s="4"/>
      <x:c r="FL73" s="4"/>
      <x:c r="FM73" s="4"/>
      <x:c r="FN73" s="4"/>
      <x:c r="FO73" s="4"/>
      <x:c r="GA73" s="71"/>
      <x:c r="GB73" s="71"/>
      <x:c r="GC73" s="71"/>
      <x:c r="GD73" s="71"/>
      <x:c r="GE73" s="71"/>
      <x:c r="GF73" s="71"/>
      <x:c r="GG73" s="71"/>
      <x:c r="GH73" s="71"/>
      <x:c r="GI73" s="71"/>
      <x:c r="GJ73" s="71"/>
      <x:c r="GK73" s="71"/>
      <x:c r="GL73" s="71"/>
      <x:c r="GM73" s="71"/>
      <x:c r="GN73" s="71"/>
      <x:c r="GO73" s="71"/>
      <x:c r="GP73" s="71"/>
      <x:c r="GQ73" s="71"/>
      <x:c r="GR73" s="71"/>
      <x:c r="GS73" s="71"/>
      <x:c r="GT73" s="71"/>
      <x:c r="GU73" s="71"/>
      <x:c r="GV73" s="71"/>
      <x:c r="GW73" s="71"/>
      <x:c r="GX73" s="71"/>
      <x:c r="GY73" s="71"/>
      <x:c r="GZ73" s="71"/>
      <x:c r="HA73" s="71"/>
      <x:c r="HB73" s="71"/>
      <x:c r="HC73" s="71"/>
      <x:c r="HD73" s="71"/>
      <x:c r="HE73" t="str">
        <x:f>IF('Calculations'!EM73="","",IF(IFERROR(IF(INDEX(INDIRECT("'WCM Calibration Final'!$A$1:$A$2000"),'Calculations'!$EM73)="","",TRIM(INDEX(INDIRECT("'WCM Calibration Final'!$A$1:$A$2000"),'Calculations'!$EM73)&amp;"")),"")&lt;&gt;"","G:"&amp;IFERROR(TEXT(1*INDEX(INDIRECT("'WCM Calibration Final'!$A$1:$A$2000"),'Calculations'!$EM73),"0"),UPPER(IFERROR(IF(INDEX(INDIRECT("'WCM Calibration Final'!$A$1:$A$2000"),'Calculations'!$EM73)="","",TRIM(INDEX(INDIRECT("'WCM Calibration Final'!$A$1:$A$2000"),'Calculations'!$EM73)&amp;"")),""))),IF(IFERROR(IF(INDEX(INDIRECT("'WCM Calibration Final'!$C$1:$C$2000"),'Calculations'!$EM73)="","",TRIM(INDEX(INDIRECT("'WCM Calibration Final'!$C$1:$C$2000"),'Calculations'!$EM73)&amp;"")),"")&lt;&gt;"","S:"&amp;UPPER(IFERROR(IF(INDEX(INDIRECT("'WCM Calibration Final'!$C$1:$C$2000"),'Calculations'!$EM73)="","",TRIM(INDEX(INDIRECT("'WCM Calibration Final'!$C$1:$C$2000"),'Calculations'!$EM73)&amp;"")),"")),"R:"&amp;'Calculations'!EM73)))</x:f>
      </x:c>
      <x:c r="HF73" t="str">
        <x:f>IF('Calculations'!EM73="","",IF(IFERROR(IF(INDEX(INDIRECT("'WCM Calibration Final'!$D$1:$D$2000"),'Calculations'!$EM73)="","",TRIM(INDEX(INDIRECT("'WCM Calibration Final'!$D$1:$D$2000"),'Calculations'!$EM73)&amp;"")),"")&lt;&gt;"","G:"&amp;IFERROR(TEXT(1*INDEX(INDIRECT("'WCM Calibration Final'!$D$1:$D$2000"),'Calculations'!$EM73),"0"),UPPER(IFERROR(IF(INDEX(INDIRECT("'WCM Calibration Final'!$D$1:$D$2000"),'Calculations'!$EM73)="","",TRIM(INDEX(INDIRECT("'WCM Calibration Final'!$D$1:$D$2000"),'Calculations'!$EM73)&amp;"")),""))),IF(IFERROR(IF(INDEX(INDIRECT("'WCM Calibration Final'!$E$1:$E$2000"),'Calculations'!$EM73)="","",TRIM(INDEX(INDIRECT("'WCM Calibration Final'!$E$1:$E$2000"),'Calculations'!$EM73)&amp;"")),"")="","",IF(COUNTIF('Calculations'!$HG$13:$HG$512,"="&amp;SUBSTITUTE(SUBSTITUTE(SUBSTITUTE(IFERROR(IF(INDEX(INDIRECT("'WCM Calibration Final'!$E$1:$E$2000"),'Calculations'!$EM73)="","",TRIM(INDEX(INDIRECT("'WCM Calibration Final'!$E$1:$E$2000"),'Calculations'!$EM73)&amp;"")),""),"~","~~"),"*","~*"),"?","~?"))=1,INDEX('Calculations'!$HE$13:$HE$512,MATCH(IFERROR(IF(INDEX(INDIRECT("'WCM Calibration Final'!$E$1:$E$2000"),'Calculations'!$EM73)="","",TRIM(INDEX(INDIRECT("'WCM Calibration Final'!$E$1:$E$2000"),'Calculations'!$EM73)&amp;"")),""),'Calculations'!$HG$13:$HG$512,0)),IF(COUNTIF('Calculations'!$HG$13:$HG$512,"="&amp;SUBSTITUTE(SUBSTITUTE(SUBSTITUTE(IFERROR(IF(INDEX(INDIRECT("'WCM Calibration Final'!$E$1:$E$2000"),'Calculations'!$EM73)="","",TRIM(INDEX(INDIRECT("'WCM Calibration Final'!$E$1:$E$2000"),'Calculations'!$EM73)&amp;"")),""),"~","~~"),"*","~*"),"?","~?"))&gt;1,"!AMBIG","X:"&amp;IFERROR(IF(INDEX(INDIRECT("'WCM Calibration Final'!$E$1:$E$2000"),'Calculations'!$EM73)="","",TRIM(INDEX(INDIRECT("'WCM Calibration Final'!$E$1:$E$2000"),'Calculations'!$EM73)&amp;"")),""))))))</x:f>
      </x:c>
      <x:c r="HG73" t="str">
        <x:f>IF('Calculations'!EM73="","",IFERROR(IF(INDEX(INDIRECT("'WCM Calibration Final'!$B$1:$B$2000"),'Calculations'!$EM73)="","",TRIM(INDEX(INDIRECT("'WCM Calibration Final'!$B$1:$B$2000"),'Calculations'!$EM73)&amp;"")),""))</x:f>
      </x:c>
      <x:c r="HH73" t="n">
        <x:f>IF(AND('Calculations'!JC73&gt;0,COUNTIF('Calculations'!$HF$12:HF73,"="&amp;SUBSTITUTE(SUBSTITUTE(SUBSTITUTE('Calculations'!HF73,"~","~~"),"*","~*"),"?","~?"))=1),MAX('Calculations'!$HH$12:HH72)+1,0)</x:f>
        <x:v>0</x:v>
      </x:c>
      <x:c r="HI73" t="n">
        <x:f>IF(AND('Calculations'!HN73&lt;&gt;"",COUNTIF('Calculations'!$HN$12:HN73,"="&amp;SUBSTITUTE(SUBSTITUTE(SUBSTITUTE('Calculations'!HN73,"~","~~"),"*","~*"),"?","~?"))=1),MAX('Calculations'!$HI$12:HI72)+1,0)</x:f>
        <x:v>0</x:v>
      </x:c>
      <x:c r="HJ73" t="str">
        <x:f>IF('Calculations'!HF73="","",IF(COUNTIF('Calculations'!$HE$13:$HE$512,"="&amp;SUBSTITUTE(SUBSTITUTE(SUBSTITUTE('Calculations'!HF73,"~","~~"),"*","~*"),"?","~?"))=1,INDEX('Calculations'!$HK$13:$HK$512,MATCH('Calculations'!HF73,'Calculations'!$HE$13:$HE$512,0)),IFERROR(IF(INDEX(INDIRECT("'WCM Calibration Final'!$E$1:$E$2000"),'Calculations'!$EM73)="","",TRIM(INDEX(INDIRECT("'WCM Calibration Final'!$E$1:$E$2000"),'Calculations'!$EM73)&amp;"")),"")&amp;" ["&amp;'Calculations'!HF73&amp;"]"))</x:f>
      </x:c>
      <x:c r="HK73" t="str">
        <x:f>IF('Calculations'!EM73="","",'Calculations'!HG73&amp;" ["&amp;'Calculations'!HE73&amp;"]")</x:f>
      </x:c>
      <x:c r="HL73" t="n">
        <x:f>IF('Calculations'!EM73="",0,IF(OR('Calculations'!II73&lt;&gt;"",COUNTIF('Calculations'!$HE$13:$HE$512,"="&amp;SUBSTITUTE(SUBSTITUTE(SUBSTITUTE('Calculations'!HE73,"~","~~"),"*","~*"),"?","~?"))&gt;1),1,0))</x:f>
        <x:v>0</x:v>
      </x:c>
      <x:c r="HM73" t="str">
        <x:f>IF('Calculations'!EM73="","",IF('Calculations'!HL73=1,"!UNRESOLVED",IF('Calculations'!IH73&lt;&gt;"",'Calculations'!IH73,IF('Calculations'!IG73&lt;&gt;"",'Calculations'!IG73,IF('Calculations'!IF73&lt;&gt;"",'Calculations'!IF73,IF('Calculations'!IE73&lt;&gt;"",'Calculations'!IE73,IF('Calculations'!ID73&lt;&gt;"",'Calculations'!ID73,IF('Calculations'!IC73&lt;&gt;"",'Calculations'!IC73,IF('Calculations'!IB73&lt;&gt;"",'Calculations'!IB73,IF('Calculations'!IA73&lt;&gt;"",'Calculations'!IA73,IF('Calculations'!HZ73&lt;&gt;"",'Calculations'!HZ73,IF('Calculations'!HY73&lt;&gt;"",'Calculations'!HY73,IF('Calculations'!HX73&lt;&gt;"",'Calculations'!HX73,IF('Calculations'!HW73&lt;&gt;"",'Calculations'!HW73,IF('Calculations'!HV73&lt;&gt;"",'Calculations'!HV73,IF('Calculations'!HU73&lt;&gt;"",'Calculations'!HU73,IF('Calculations'!HT73&lt;&gt;"",'Calculations'!HT73,IF('Calculations'!HS73&lt;&gt;"",'Calculations'!HS73,IF('Calculations'!HR73&lt;&gt;"",'Calculations'!HR73,IF('Calculations'!HQ73&lt;&gt;"",'Calculations'!HQ73,IF('Calculations'!HP73&lt;&gt;"",'Calculations'!HP73,IF('Calculations'!HO73&lt;&gt;"",'Calculations'!HO73,'Calculations'!HE73))))))))))))))))))))))</x:f>
      </x:c>
      <x:c r="HN73" t="str">
        <x:f>IF('Calculations'!EM73="","",IF(IFERROR(IF(INDEX(INDIRECT("'WCM Calibration Final'!$F$1:$F$2000"),'Calculations'!$EM73)="","",TRIM(INDEX(INDIRECT("'WCM Calibration Final'!$F$1:$F$2000"),'Calculations'!$EM73)&amp;"")),"")="","(Blank)",IFERROR(IF(INDEX(INDIRECT("'WCM Calibration Final'!$F$1:$F$2000"),'Calculations'!$EM73)="","",TRIM(INDEX(INDIRECT("'WCM Calibration Final'!$F$1:$F$2000"),'Calculations'!$EM73)&amp;"")),"")))</x:f>
      </x:c>
      <x:c r="HO73" t="str">
        <x:f>'Calculations'!HF73</x:f>
      </x:c>
      <x:c r="HP73" t="str">
        <x:f>IF('Calculations'!HO73="","",IF('Calculations'!HO73="!AMBIG","!AMBIG",IF(COUNTIF('Calculations'!$HE$13:$HE$512,"="&amp;SUBSTITUTE(SUBSTITUTE(SUBSTITUTE('Calculations'!HO73,"~","~~"),"*","~*"),"?","~?"))&gt;1,"!AMBIG",IFERROR(INDEX('Calculations'!$HF$13:$HF$512,MATCH('Calculations'!HO73,'Calculations'!$HE$13:$HE$512,0)),""))))</x:f>
      </x:c>
      <x:c r="HQ73" t="str">
        <x:f>IF('Calculations'!HP73="","",IF('Calculations'!HP73="!AMBIG","!AMBIG",IF(COUNTIF('Calculations'!$HE$13:$HE$512,"="&amp;SUBSTITUTE(SUBSTITUTE(SUBSTITUTE('Calculations'!HP73,"~","~~"),"*","~*"),"?","~?"))&gt;1,"!AMBIG",IFERROR(INDEX('Calculations'!$HF$13:$HF$512,MATCH('Calculations'!HP73,'Calculations'!$HE$13:$HE$512,0)),""))))</x:f>
      </x:c>
      <x:c r="HR73" t="str">
        <x:f>IF('Calculations'!HQ73="","",IF('Calculations'!HQ73="!AMBIG","!AMBIG",IF(COUNTIF('Calculations'!$HE$13:$HE$512,"="&amp;SUBSTITUTE(SUBSTITUTE(SUBSTITUTE('Calculations'!HQ73,"~","~~"),"*","~*"),"?","~?"))&gt;1,"!AMBIG",IFERROR(INDEX('Calculations'!$HF$13:$HF$512,MATCH('Calculations'!HQ73,'Calculations'!$HE$13:$HE$512,0)),""))))</x:f>
      </x:c>
      <x:c r="HS73" t="str">
        <x:f>IF('Calculations'!HR73="","",IF('Calculations'!HR73="!AMBIG","!AMBIG",IF(COUNTIF('Calculations'!$HE$13:$HE$512,"="&amp;SUBSTITUTE(SUBSTITUTE(SUBSTITUTE('Calculations'!HR73,"~","~~"),"*","~*"),"?","~?"))&gt;1,"!AMBIG",IFERROR(INDEX('Calculations'!$HF$13:$HF$512,MATCH('Calculations'!HR73,'Calculations'!$HE$13:$HE$512,0)),""))))</x:f>
      </x:c>
      <x:c r="HT73" t="str">
        <x:f>IF('Calculations'!HS73="","",IF('Calculations'!HS73="!AMBIG","!AMBIG",IF(COUNTIF('Calculations'!$HE$13:$HE$512,"="&amp;SUBSTITUTE(SUBSTITUTE(SUBSTITUTE('Calculations'!HS73,"~","~~"),"*","~*"),"?","~?"))&gt;1,"!AMBIG",IFERROR(INDEX('Calculations'!$HF$13:$HF$512,MATCH('Calculations'!HS73,'Calculations'!$HE$13:$HE$512,0)),""))))</x:f>
      </x:c>
      <x:c r="HU73" t="str">
        <x:f>IF('Calculations'!HT73="","",IF('Calculations'!HT73="!AMBIG","!AMBIG",IF(COUNTIF('Calculations'!$HE$13:$HE$512,"="&amp;SUBSTITUTE(SUBSTITUTE(SUBSTITUTE('Calculations'!HT73,"~","~~"),"*","~*"),"?","~?"))&gt;1,"!AMBIG",IFERROR(INDEX('Calculations'!$HF$13:$HF$512,MATCH('Calculations'!HT73,'Calculations'!$HE$13:$HE$512,0)),""))))</x:f>
      </x:c>
      <x:c r="HV73" t="str">
        <x:f>IF('Calculations'!HU73="","",IF('Calculations'!HU73="!AMBIG","!AMBIG",IF(COUNTIF('Calculations'!$HE$13:$HE$512,"="&amp;SUBSTITUTE(SUBSTITUTE(SUBSTITUTE('Calculations'!HU73,"~","~~"),"*","~*"),"?","~?"))&gt;1,"!AMBIG",IFERROR(INDEX('Calculations'!$HF$13:$HF$512,MATCH('Calculations'!HU73,'Calculations'!$HE$13:$HE$512,0)),""))))</x:f>
      </x:c>
      <x:c r="HW73" t="str">
        <x:f>IF('Calculations'!HV73="","",IF('Calculations'!HV73="!AMBIG","!AMBIG",IF(COUNTIF('Calculations'!$HE$13:$HE$512,"="&amp;SUBSTITUTE(SUBSTITUTE(SUBSTITUTE('Calculations'!HV73,"~","~~"),"*","~*"),"?","~?"))&gt;1,"!AMBIG",IFERROR(INDEX('Calculations'!$HF$13:$HF$512,MATCH('Calculations'!HV73,'Calculations'!$HE$13:$HE$512,0)),""))))</x:f>
      </x:c>
      <x:c r="HX73" t="str">
        <x:f>IF('Calculations'!HW73="","",IF('Calculations'!HW73="!AMBIG","!AMBIG",IF(COUNTIF('Calculations'!$HE$13:$HE$512,"="&amp;SUBSTITUTE(SUBSTITUTE(SUBSTITUTE('Calculations'!HW73,"~","~~"),"*","~*"),"?","~?"))&gt;1,"!AMBIG",IFERROR(INDEX('Calculations'!$HF$13:$HF$512,MATCH('Calculations'!HW73,'Calculations'!$HE$13:$HE$512,0)),""))))</x:f>
      </x:c>
      <x:c r="HY73" t="str">
        <x:f>IF('Calculations'!HX73="","",IF('Calculations'!HX73="!AMBIG","!AMBIG",IF(COUNTIF('Calculations'!$HE$13:$HE$512,"="&amp;SUBSTITUTE(SUBSTITUTE(SUBSTITUTE('Calculations'!HX73,"~","~~"),"*","~*"),"?","~?"))&gt;1,"!AMBIG",IFERROR(INDEX('Calculations'!$HF$13:$HF$512,MATCH('Calculations'!HX73,'Calculations'!$HE$13:$HE$512,0)),""))))</x:f>
      </x:c>
      <x:c r="HZ73" t="str">
        <x:f>IF('Calculations'!HY73="","",IF('Calculations'!HY73="!AMBIG","!AMBIG",IF(COUNTIF('Calculations'!$HE$13:$HE$512,"="&amp;SUBSTITUTE(SUBSTITUTE(SUBSTITUTE('Calculations'!HY73,"~","~~"),"*","~*"),"?","~?"))&gt;1,"!AMBIG",IFERROR(INDEX('Calculations'!$HF$13:$HF$512,MATCH('Calculations'!HY73,'Calculations'!$HE$13:$HE$512,0)),""))))</x:f>
      </x:c>
      <x:c r="IA73" t="str">
        <x:f>IF('Calculations'!HZ73="","",IF('Calculations'!HZ73="!AMBIG","!AMBIG",IF(COUNTIF('Calculations'!$HE$13:$HE$512,"="&amp;SUBSTITUTE(SUBSTITUTE(SUBSTITUTE('Calculations'!HZ73,"~","~~"),"*","~*"),"?","~?"))&gt;1,"!AMBIG",IFERROR(INDEX('Calculations'!$HF$13:$HF$512,MATCH('Calculations'!HZ73,'Calculations'!$HE$13:$HE$512,0)),""))))</x:f>
      </x:c>
      <x:c r="IB73" t="str">
        <x:f>IF('Calculations'!IA73="","",IF('Calculations'!IA73="!AMBIG","!AMBIG",IF(COUNTIF('Calculations'!$HE$13:$HE$512,"="&amp;SUBSTITUTE(SUBSTITUTE(SUBSTITUTE('Calculations'!IA73,"~","~~"),"*","~*"),"?","~?"))&gt;1,"!AMBIG",IFERROR(INDEX('Calculations'!$HF$13:$HF$512,MATCH('Calculations'!IA73,'Calculations'!$HE$13:$HE$512,0)),""))))</x:f>
      </x:c>
      <x:c r="IC73" t="str">
        <x:f>IF('Calculations'!IB73="","",IF('Calculations'!IB73="!AMBIG","!AMBIG",IF(COUNTIF('Calculations'!$HE$13:$HE$512,"="&amp;SUBSTITUTE(SUBSTITUTE(SUBSTITUTE('Calculations'!IB73,"~","~~"),"*","~*"),"?","~?"))&gt;1,"!AMBIG",IFERROR(INDEX('Calculations'!$HF$13:$HF$512,MATCH('Calculations'!IB73,'Calculations'!$HE$13:$HE$512,0)),""))))</x:f>
      </x:c>
      <x:c r="ID73" t="str">
        <x:f>IF('Calculations'!IC73="","",IF('Calculations'!IC73="!AMBIG","!AMBIG",IF(COUNTIF('Calculations'!$HE$13:$HE$512,"="&amp;SUBSTITUTE(SUBSTITUTE(SUBSTITUTE('Calculations'!IC73,"~","~~"),"*","~*"),"?","~?"))&gt;1,"!AMBIG",IFERROR(INDEX('Calculations'!$HF$13:$HF$512,MATCH('Calculations'!IC73,'Calculations'!$HE$13:$HE$512,0)),""))))</x:f>
      </x:c>
      <x:c r="IE73" t="str">
        <x:f>IF('Calculations'!ID73="","",IF('Calculations'!ID73="!AMBIG","!AMBIG",IF(COUNTIF('Calculations'!$HE$13:$HE$512,"="&amp;SUBSTITUTE(SUBSTITUTE(SUBSTITUTE('Calculations'!ID73,"~","~~"),"*","~*"),"?","~?"))&gt;1,"!AMBIG",IFERROR(INDEX('Calculations'!$HF$13:$HF$512,MATCH('Calculations'!ID73,'Calculations'!$HE$13:$HE$512,0)),""))))</x:f>
      </x:c>
      <x:c r="IF73" t="str">
        <x:f>IF('Calculations'!IE73="","",IF('Calculations'!IE73="!AMBIG","!AMBIG",IF(COUNTIF('Calculations'!$HE$13:$HE$512,"="&amp;SUBSTITUTE(SUBSTITUTE(SUBSTITUTE('Calculations'!IE73,"~","~~"),"*","~*"),"?","~?"))&gt;1,"!AMBIG",IFERROR(INDEX('Calculations'!$HF$13:$HF$512,MATCH('Calculations'!IE73,'Calculations'!$HE$13:$HE$512,0)),""))))</x:f>
      </x:c>
      <x:c r="IG73" t="str">
        <x:f>IF('Calculations'!IF73="","",IF('Calculations'!IF73="!AMBIG","!AMBIG",IF(COUNTIF('Calculations'!$HE$13:$HE$512,"="&amp;SUBSTITUTE(SUBSTITUTE(SUBSTITUTE('Calculations'!IF73,"~","~~"),"*","~*"),"?","~?"))&gt;1,"!AMBIG",IFERROR(INDEX('Calculations'!$HF$13:$HF$512,MATCH('Calculations'!IF73,'Calculations'!$HE$13:$HE$512,0)),""))))</x:f>
      </x:c>
      <x:c r="IH73" t="str">
        <x:f>IF('Calculations'!IG73="","",IF('Calculations'!IG73="!AMBIG","!AMBIG",IF(COUNTIF('Calculations'!$HE$13:$HE$512,"="&amp;SUBSTITUTE(SUBSTITUTE(SUBSTITUTE('Calculations'!IG73,"~","~~"),"*","~*"),"?","~?"))&gt;1,"!AMBIG",IFERROR(INDEX('Calculations'!$HF$13:$HF$512,MATCH('Calculations'!IG73,'Calculations'!$HE$13:$HE$512,0)),""))))</x:f>
      </x:c>
      <x:c r="II73" t="str">
        <x:f>IF('Calculations'!IH73="","",IF('Calculations'!IH73="!AMBIG","!AMBIG",IF(COUNTIF('Calculations'!$HE$13:$HE$512,"="&amp;SUBSTITUTE(SUBSTITUTE(SUBSTITUTE('Calculations'!IH73,"~","~~"),"*","~*"),"?","~?"))&gt;1,"!AMBIG",IFERROR(INDEX('Calculations'!$HF$13:$HF$512,MATCH('Calculations'!IH73,'Calculations'!$HE$13:$HE$512,0)),""))))</x:f>
      </x:c>
      <x:c r="IJ73" t="str">
        <x:f>IF('Calculations'!EM73="","",IF('Calculations'!$EF$2="All",'Calculations'!HM73,IF('Calculations'!HL73=1,"",IFERROR(IF(MATCH('Calculations'!$EF$2,'Calculations'!HO73:II73,0)=1,'Calculations'!HE73,INDEX('Calculations'!HO73:II73,1,MATCH('Calculations'!$EF$2,'Calculations'!HO73:II73,0)-1)),""))))</x:f>
      </x:c>
      <x:c r="IK73" t="n">
        <x:f>IF(AND('Calculations'!EM73&lt;&gt;"",'Calculations'!$EF$2&lt;&gt;"All",'Calculations'!HF73='Calculations'!$EF$2,'Calculations'!HL73=0,'Calculations'!JD73&gt;0),MAX('Calculations'!$IK$12:IK72)+1,0)</x:f>
        <x:v>0</x:v>
      </x:c>
      <x:c r="JA73" t="n">
        <x:f>IF(OR(IFERROR(INDIRECT("'WCM Calibration Final'!$A$73")&lt;&gt;"",FALSE),IFERROR(INDIRECT("'WCM Calibration Final'!$B$73")&lt;&gt;"",FALSE),IFERROR(INDIRECT("'WCM Calibration Final'!$C$73")&lt;&gt;"",FALSE)),73,0)</x:f>
        <x:v>0</x:v>
      </x:c>
      <x:c r="JB73" t="n">
        <x:f>'Calculations'!JB72+IF('Calculations'!JA73&gt;0,1,0)</x:f>
        <x:v>0</x:v>
      </x:c>
      <x:c r="JC73" t="n">
        <x:f>IF(OR('Calculations'!HF73="",'Calculations'!HF73="!AMBIG"),0,IF('Dashboard'!$B$7="All",1,COUNTIFS('Calculations'!$HO$13:$HO$512,"="&amp;SUBSTITUTE(SUBSTITUTE(SUBSTITUTE('Calculations'!HF73,"~","~~"),"*","~*"),"?","~?"),'Calculations'!$HN$13:$HN$512,"="&amp;SUBSTITUTE(SUBSTITUTE(SUBSTITUTE('Dashboard'!$B$7,"~","~~"),"*","~*"),"?","~?"))+COUNTIFS('Calculations'!$HP$13:$HP$512,"="&amp;SUBSTITUTE(SUBSTITUTE(SUBSTITUTE('Calculations'!HF73,"~","~~"),"*","~*"),"?","~?"),'Calculations'!$HN$13:$HN$512,"="&amp;SUBSTITUTE(SUBSTITUTE(SUBSTITUTE('Dashboard'!$B$7,"~","~~"),"*","~*"),"?","~?"))+COUNTIFS('Calculations'!$HQ$13:$HQ$512,"="&amp;SUBSTITUTE(SUBSTITUTE(SUBSTITUTE('Calculations'!HF73,"~","~~"),"*","~*"),"?","~?"),'Calculations'!$HN$13:$HN$512,"="&amp;SUBSTITUTE(SUBSTITUTE(SUBSTITUTE('Dashboard'!$B$7,"~","~~"),"*","~*"),"?","~?"))+COUNTIFS('Calculations'!$HR$13:$HR$512,"="&amp;SUBSTITUTE(SUBSTITUTE(SUBSTITUTE('Calculations'!HF73,"~","~~"),"*","~*"),"?","~?"),'Calculations'!$HN$13:$HN$512,"="&amp;SUBSTITUTE(SUBSTITUTE(SUBSTITUTE('Dashboard'!$B$7,"~","~~"),"*","~*"),"?","~?"))+COUNTIFS('Calculations'!$HS$13:$HS$512,"="&amp;SUBSTITUTE(SUBSTITUTE(SUBSTITUTE('Calculations'!HF73,"~","~~"),"*","~*"),"?","~?"),'Calculations'!$HN$13:$HN$512,"="&amp;SUBSTITUTE(SUBSTITUTE(SUBSTITUTE('Dashboard'!$B$7,"~","~~"),"*","~*"),"?","~?"))+COUNTIFS('Calculations'!$HT$13:$HT$512,"="&amp;SUBSTITUTE(SUBSTITUTE(SUBSTITUTE('Calculations'!HF73,"~","~~"),"*","~*"),"?","~?"),'Calculations'!$HN$13:$HN$512,"="&amp;SUBSTITUTE(SUBSTITUTE(SUBSTITUTE('Dashboard'!$B$7,"~","~~"),"*","~*"),"?","~?"))+COUNTIFS('Calculations'!$HU$13:$HU$512,"="&amp;SUBSTITUTE(SUBSTITUTE(SUBSTITUTE('Calculations'!HF73,"~","~~"),"*","~*"),"?","~?"),'Calculations'!$HN$13:$HN$512,"="&amp;SUBSTITUTE(SUBSTITUTE(SUBSTITUTE('Dashboard'!$B$7,"~","~~"),"*","~*"),"?","~?"))+COUNTIFS('Calculations'!$HV$13:$HV$512,"="&amp;SUBSTITUTE(SUBSTITUTE(SUBSTITUTE('Calculations'!HF73,"~","~~"),"*","~*"),"?","~?"),'Calculations'!$HN$13:$HN$512,"="&amp;SUBSTITUTE(SUBSTITUTE(SUBSTITUTE('Dashboard'!$B$7,"~","~~"),"*","~*"),"?","~?"))+COUNTIFS('Calculations'!$HW$13:$HW$512,"="&amp;SUBSTITUTE(SUBSTITUTE(SUBSTITUTE('Calculations'!HF73,"~","~~"),"*","~*"),"?","~?"),'Calculations'!$HN$13:$HN$512,"="&amp;SUBSTITUTE(SUBSTITUTE(SUBSTITUTE('Dashboard'!$B$7,"~","~~"),"*","~*"),"?","~?"))+COUNTIFS('Calculations'!$HX$13:$HX$512,"="&amp;SUBSTITUTE(SUBSTITUTE(SUBSTITUTE('Calculations'!HF73,"~","~~"),"*","~*"),"?","~?"),'Calculations'!$HN$13:$HN$512,"="&amp;SUBSTITUTE(SUBSTITUTE(SUBSTITUTE('Dashboard'!$B$7,"~","~~"),"*","~*"),"?","~?"))+COUNTIFS('Calculations'!$HY$13:$HY$512,"="&amp;SUBSTITUTE(SUBSTITUTE(SUBSTITUTE('Calculations'!HF73,"~","~~"),"*","~*"),"?","~?"),'Calculations'!$HN$13:$HN$512,"="&amp;SUBSTITUTE(SUBSTITUTE(SUBSTITUTE('Dashboard'!$B$7,"~","~~"),"*","~*"),"?","~?"))+COUNTIFS('Calculations'!$HZ$13:$HZ$512,"="&amp;SUBSTITUTE(SUBSTITUTE(SUBSTITUTE('Calculations'!HF73,"~","~~"),"*","~*"),"?","~?"),'Calculations'!$HN$13:$HN$512,"="&amp;SUBSTITUTE(SUBSTITUTE(SUBSTITUTE('Dashboard'!$B$7,"~","~~"),"*","~*"),"?","~?"))+COUNTIFS('Calculations'!$IA$13:$IA$512,"="&amp;SUBSTITUTE(SUBSTITUTE(SUBSTITUTE('Calculations'!HF73,"~","~~"),"*","~*"),"?","~?"),'Calculations'!$HN$13:$HN$512,"="&amp;SUBSTITUTE(SUBSTITUTE(SUBSTITUTE('Dashboard'!$B$7,"~","~~"),"*","~*"),"?","~?"))+COUNTIFS('Calculations'!$IB$13:$IB$512,"="&amp;SUBSTITUTE(SUBSTITUTE(SUBSTITUTE('Calculations'!HF73,"~","~~"),"*","~*"),"?","~?"),'Calculations'!$HN$13:$HN$512,"="&amp;SUBSTITUTE(SUBSTITUTE(SUBSTITUTE('Dashboard'!$B$7,"~","~~"),"*","~*"),"?","~?"))+COUNTIFS('Calculations'!$IC$13:$IC$512,"="&amp;SUBSTITUTE(SUBSTITUTE(SUBSTITUTE('Calculations'!HF73,"~","~~"),"*","~*"),"?","~?"),'Calculations'!$HN$13:$HN$512,"="&amp;SUBSTITUTE(SUBSTITUTE(SUBSTITUTE('Dashboard'!$B$7,"~","~~"),"*","~*"),"?","~?"))+COUNTIFS('Calculations'!$ID$13:$ID$512,"="&amp;SUBSTITUTE(SUBSTITUTE(SUBSTITUTE('Calculations'!HF73,"~","~~"),"*","~*"),"?","~?"),'Calculations'!$HN$13:$HN$512,"="&amp;SUBSTITUTE(SUBSTITUTE(SUBSTITUTE('Dashboard'!$B$7,"~","~~"),"*","~*"),"?","~?"))+COUNTIFS('Calculations'!$IE$13:$IE$512,"="&amp;SUBSTITUTE(SUBSTITUTE(SUBSTITUTE('Calculations'!HF73,"~","~~"),"*","~*"),"?","~?"),'Calculations'!$HN$13:$HN$512,"="&amp;SUBSTITUTE(SUBSTITUTE(SUBSTITUTE('Dashboard'!$B$7,"~","~~"),"*","~*"),"?","~?"))+COUNTIFS('Calculations'!$IF$13:$IF$512,"="&amp;SUBSTITUTE(SUBSTITUTE(SUBSTITUTE('Calculations'!HF73,"~","~~"),"*","~*"),"?","~?"),'Calculations'!$HN$13:$HN$512,"="&amp;SUBSTITUTE(SUBSTITUTE(SUBSTITUTE('Dashboard'!$B$7,"~","~~"),"*","~*"),"?","~?"))+COUNTIFS('Calculations'!$IG$13:$IG$512,"="&amp;SUBSTITUTE(SUBSTITUTE(SUBSTITUTE('Calculations'!HF73,"~","~~"),"*","~*"),"?","~?"),'Calculations'!$HN$13:$HN$512,"="&amp;SUBSTITUTE(SUBSTITUTE(SUBSTITUTE('Dashboard'!$B$7,"~","~~"),"*","~*"),"?","~?"))+COUNTIFS('Calculations'!$IH$13:$IH$512,"="&amp;SUBSTITUTE(SUBSTITUTE(SUBSTITUTE('Calculations'!HF73,"~","~~"),"*","~*"),"?","~?"),'Calculations'!$HN$13:$HN$512,"="&amp;SUBSTITUTE(SUBSTITUTE(SUBSTITUTE('Dashboard'!$B$7,"~","~~"),"*","~*"),"?","~?"))))</x:f>
        <x:v>0</x:v>
      </x:c>
      <x:c r="JD73" t="n">
        <x:f>IF('Calculations'!EM73="",0,IF('Dashboard'!$B$7="All",1,IF('Calculations'!HN73='Dashboard'!$B$7,1,0)+IFERROR(INDEX('Calculations'!$JC$13:$JC$512,MATCH('Calculations'!HE73,'Calculations'!$HF$13:$HF$512,0)),0)))</x:f>
        <x:v>0</x:v>
      </x:c>
      <x:c r="JE73" t="n">
        <x:f>IF(AND('Calculations'!EM73&lt;&gt;"",'Calculations'!$JJ$2&lt;&gt;"All",'Calculations'!$JJ$2&lt;&gt;"",'Calculations'!HF73='Calculations'!$JJ$2,'Calculations'!HL73=0,'Calculations'!JD73&gt;0),MAX('Calculations'!$JE$12:JE72)+1,0)</x:f>
        <x:v>0</x:v>
      </x:c>
      <x:c r="JF73" t="str">
        <x:f>IF('Calculations'!EM73="","",IFERROR(IF(INDEX(INDIRECT("'WCM Calibration Final'!$G$1:$G$2000"),'Calculations'!$EM73)="","",TRIM(INDEX(INDIRECT("'WCM Calibration Final'!$G$1:$G$2000"),'Calculations'!$EM73)&amp;"")),""))</x:f>
      </x:c>
      <x:c r="JQ73" t="n">
        <x:f>IF(OR('Calculations'!BM73=0,NOT('Calculations'!$AG$2),'Calculations'!$AG$8&gt;0),0,IF(OR('Dashboard'!$B$7="All",'Calculations'!HN73='Dashboard'!$B$7),IF('Calculations'!$JJ$2="All",1,IF(AND('Calculations'!HF73='Calculations'!$JJ$2,'Calculations'!HL73=0),1,0)),0))</x:f>
        <x:v>0</x:v>
      </x:c>
    </x:row>
    <x:row r="74">
      <x:c r="AF74" s="4" t="str">
        <x:v>4</x:v>
      </x:c>
      <x:c r="AG74" s="4" t="n">
        <x:f>IF('Calculations'!$AG$64=0,COUNTIFS('Calculations'!$JQ$13:$JQ$512,1,'Calculations'!$BZ$13:$BZ$512,4),COUNTIFS('Calculations'!$JQ$13:$JQ$512,1,'Calculations'!$BZ$13:$BZ$512,4,'Calculations'!$BV$13:$BV$512,'Dashboard'!$N$67))</x:f>
        <x:v>0</x:v>
      </x:c>
      <x:c r="AH74" s="4" t="e">
        <x:f>IF('Calculations'!$AG$65=0,NA(),'Calculations'!AG74/'Calculations'!$AG$65)</x:f>
        <x:v>#N/A</x:v>
      </x:c>
      <x:c r="AI74" s="4" t="n">
        <x:f>IF(COUNT('Calculations'!AK74)=0,NA(),IF(AND('Calculations'!AK74&gt;=0,'Calculations'!AK74&lt;=1),'Calculations'!AK74,NA()))</x:f>
        <x:v>0.07</x:v>
      </x:c>
      <x:c r="AJ74" s="4" t="str">
        <x:f>IFERROR(('Calculations'!AH74-'Calculations'!AI74)*100,"")</x:f>
      </x:c>
      <x:c r="AK74" s="4" t="n">
        <x:f>IF(COUNT(INDEX('Dashboard'!$T$129:$T$144,'Calculations'!$AG$66-128))=0,"",INDEX('Dashboard'!$T$129:$T$144,'Calculations'!$AG$66-128))</x:f>
        <x:v>0.07</x:v>
      </x:c>
      <x:c r="AL74" s="4"/>
      <x:c r="AM74" s="4"/>
      <x:c r="AN74" s="4"/>
      <x:c r="AO74" s="4"/>
      <x:c r="AP74" s="4"/>
      <x:c r="AQ74" s="4"/>
      <x:c r="AR74" s="4"/>
      <x:c r="AS74" s="4"/>
      <x:c r="AT74" s="4"/>
      <x:c r="AU74" s="4"/>
      <x:c r="AV74" s="4" t="str">
        <x:v>4 Needs impr.</x:v>
      </x:c>
      <x:c r="AW74" s="4" t="e">
        <x:f>'Calculations'!AH74</x:f>
        <x:v>#N/A</x:v>
      </x:c>
      <x:c r="AX74" s="4" t="n">
        <x:f>'Calculations'!AI74</x:f>
        <x:v>0.07</x:v>
      </x:c>
      <x:c r="AY74" s="4"/>
      <x:c r="AZ74" s="4"/>
      <x:c r="BA74" s="4"/>
      <x:c r="BB74" s="4"/>
      <x:c r="BC74" s="4"/>
      <x:c r="BD74" s="4"/>
      <x:c r="BE74" s="4"/>
      <x:c r="BF74" s="4"/>
      <x:c r="BG74" s="4"/>
      <x:c r="BH74" s="4"/>
      <x:c r="BI74" s="4"/>
      <x:c r="BJ74" s="4"/>
      <x:c r="BK74" s="4"/>
      <x:c r="BL74" s="4"/>
      <x:c r="BM74" s="4" t="n">
        <x:f>IF('Calculations'!$EM74="",0,IF(OR(IFERROR(INDEX(INDIRECT("'WCM Calibration Final'!$A$1:$A$2000"),'Calculations'!$EM74)&lt;&gt;"",FALSE),IFERROR(INDEX(INDIRECT("'WCM Calibration Final'!$B$1:$B$2000"),'Calculations'!$EM74)&lt;&gt;"",FALSE),IFERROR(INDEX(INDIRECT("'WCM Calibration Final'!$C$1:$C$2000"),'Calculations'!$EM74)&lt;&gt;"",FALSE)),1,0))</x:f>
        <x:v>0</x:v>
      </x:c>
      <x:c r="BN74" s="4" t="n">
        <x:f>IF(AND('Calculations'!BM74=1,'Calculations'!$AG$2,'Calculations'!$EN74=1),1,0)</x:f>
        <x:v>0</x:v>
      </x:c>
      <x:c r="BO74" s="4" t="str">
        <x:f>IF('Calculations'!BM74=0,"",IFERROR(IF(AND(VALUE(INDEX(INDIRECT("'WCM Calibration Final'!$K$1:$K$2000"),'Calculations'!$EM74))&gt;=1,VALUE(INDEX(INDIRECT("'WCM Calibration Final'!$K$1:$K$2000"),'Calculations'!$EM74))&lt;=4,MOD(VALUE(INDEX(INDIRECT("'WCM Calibration Final'!$K$1:$K$2000"),'Calculations'!$EM74)),1)=0),VALUE(INDEX(INDIRECT("'WCM Calibration Final'!$K$1:$K$2000"),'Calculations'!$EM74)),""),""))</x:f>
      </x:c>
      <x:c r="BP74" s="4" t="str">
        <x:f>IF('Calculations'!BM74=0,"",IFERROR(IF(AND(VALUE(INDEX(INDIRECT("'WCM Calibration Final'!$L$1:$L$2000"),'Calculations'!$EM74))&gt;=1,VALUE(INDEX(INDIRECT("'WCM Calibration Final'!$L$1:$L$2000"),'Calculations'!$EM74))&lt;=4,MOD(VALUE(INDEX(INDIRECT("'WCM Calibration Final'!$L$1:$L$2000"),'Calculations'!$EM74)),1)=0),VALUE(INDEX(INDIRECT("'WCM Calibration Final'!$L$1:$L$2000"),'Calculations'!$EM74)),""),""))</x:f>
      </x:c>
      <x:c r="BQ74" s="4"/>
      <x:c r="BR74" s="4"/>
      <x:c r="BS74" s="4"/>
      <x:c r="BT74" s="4" t="n">
        <x:f>IF(AND('Calculations'!BM74=1,ISNUMBER('Calculations'!BO74),ISNUMBER('Calculations'!BP74)),1,0)</x:f>
        <x:v>0</x:v>
      </x:c>
      <x:c r="BU74" s="4" t="str">
        <x:f>IF('Calculations'!BM74=0,"",'Calculations'!$EO74)</x:f>
      </x:c>
      <x:c r="BV74" s="4" t="str">
        <x:f>IF('Calculations'!BM74=0,"",IFERROR(IF(OR(INDEX(INDIRECT("'WCM Calibration Final'!$H$1:$H$2000"),'Calculations'!$EM74)="MANAGING DIRECTOR",INDEX(INDIRECT("'WCM Calibration Final'!$H$1:$H$2000"),'Calculations'!$EM74)="DIRECTOR",INDEX(INDIRECT("'WCM Calibration Final'!$H$1:$H$2000"),'Calculations'!$EM74)="SENIOR VICE PRESIDENT",INDEX(INDIRECT("'WCM Calibration Final'!$H$1:$H$2000"),'Calculations'!$EM74)="VICE PRESIDENT",INDEX(INDIRECT("'WCM Calibration Final'!$H$1:$H$2000"),'Calculations'!$EM74)="ASSISTANT VICE PRESIDENT",INDEX(INDIRECT("'WCM Calibration Final'!$H$1:$H$2000"),'Calculations'!$EM74)="OFFICER"),UPPER(INDEX(INDIRECT("'WCM Calibration Final'!$H$1:$H$2000"),'Calculations'!$EM74)),"Other"),"Other"))</x:f>
      </x:c>
      <x:c r="BW74" s="4"/>
      <x:c r="BX74" s="4"/>
      <x:c r="BY74" s="4" t="n">
        <x:f>IF(AND('Calculations'!BM74=1,'Calculations'!BU74&lt;&gt;"",COUNTIF('Calculations'!$BU$12:BU74,'Calculations'!BU74)=1),MAX('Calculations'!$BY$11:BY73)+1,0)</x:f>
        <x:v>0</x:v>
      </x:c>
      <x:c r="BZ74" s="4" t="str">
        <x:f>IF('Dashboard'!$E$67="What",'Calculations'!BO74,'Calculations'!BP74)</x:f>
      </x:c>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t="str">
        <x:f>IF(63&gt;MAX('Calculations'!$HI$13:$HI$512),"",INDEX('Calculations'!$HN$13:$HN$512,MATCH(63,'Calculations'!$HI$13:$HI$512,0)))</x:f>
      </x:c>
      <x:c r="DB74" s="4" t="str">
        <x:f>IF(63&gt;MAX('Calculations'!$HH$13:$HH$512),"",INDEX('Calculations'!$HJ$13:$HJ$512,MATCH(63,'Calculations'!$HH$13:$HH$512,0)))</x:f>
      </x:c>
      <x:c r="DC74" s="4" t="str">
        <x:f>IF(ROW()-11&gt;MAX('Calculations'!$BY$13:$BY$512),"",INDEX('Calculations'!$BU$13:$BU$512,MATCH(ROW()-11,'Calculations'!$BY$13:$BY$512,0)))</x:f>
      </x:c>
      <x:c r="DD74" s="4" t="str">
        <x:f>IF(63&gt;MAX('Calculations'!$IK$13:$IK$512),"",INDEX('Calculations'!$HK$13:$HK$512,MATCH(63,'Calculations'!$IK$13:$IK$512,0)))</x:f>
      </x:c>
      <x:c r="DE74" s="4" t="str">
        <x:f>'Calculations'!DC74</x:f>
      </x:c>
      <x:c r="DF74" s="4" t="str">
        <x:f>IF('Calculations'!DE74="","",COUNTIFS('Calculations'!$BN$13:$BN$512,1,'Calculations'!$BU$13:$BU$512,'Calculations'!DE74))</x:f>
      </x:c>
      <x:c r="DG74" s="4" t="str">
        <x:f>IF('Calculations'!DE74="","",COUNTIFS('Calculations'!$BN$13:$BN$512,1,'Calculations'!$BU$13:$BU$512,'Calculations'!DE74,'Calculations'!$BT$13:$BT$512,1))</x:f>
      </x:c>
      <x:c r="DH74" s="4" t="str">
        <x:f>IF('Calculations'!DE74="","",'Calculations'!DF74-'Calculations'!DG74)</x:f>
      </x:c>
      <x:c r="DI74" s="4" t="str">
        <x:f>IF(OR('Calculations'!DE74="",'Calculations'!DF74=0),"",'Calculations'!DG74/'Calculations'!DF74)</x:f>
      </x:c>
      <x:c r="DJ74" s="4" t="str">
        <x:f>IF('Calculations'!DE74="","",COUNTIFS('Calculations'!$BN$13:$BN$512,1,'Calculations'!$BU$13:$BU$512,'Calculations'!DE74,'Calculations'!$BT$13:$BT$512,1,'Calculations'!$EE$13:$EE$512,"High"))</x:f>
      </x:c>
      <x:c r="DK74" s="4" t="str">
        <x:f>IF('Calculations'!DE74="","",COUNTIFS('Calculations'!$BN$13:$BN$512,1,'Calculations'!$BU$13:$BU$512,'Calculations'!DE74,'Calculations'!$BT$13:$BT$512,1,'Calculations'!$EE$13:$EE$512,"Strong"))</x:f>
      </x:c>
      <x:c r="DL74" s="4" t="str">
        <x:f>IF('Calculations'!DE74="","",COUNTIFS('Calculations'!$BN$13:$BN$512,1,'Calculations'!$BU$13:$BU$512,'Calculations'!DE74,'Calculations'!$BT$13:$BT$512,1,'Calculations'!$EE$13:$EE$512,"Solid"))</x:f>
      </x:c>
      <x:c r="DM74" s="4" t="str">
        <x:f>IF('Calculations'!DE74="","",COUNTIFS('Calculations'!$BN$13:$BN$512,1,'Calculations'!$BU$13:$BU$512,'Calculations'!DE74,'Calculations'!$BT$13:$BT$512,1,'Calculations'!$EE$13:$EE$512,"Low"))</x:f>
      </x:c>
      <x:c r="DN74" s="4" t="str">
        <x:f>IF('Calculations'!DE74="","",COUNTIFS('Calculations'!$BN$13:$BN$512,1,'Calculations'!$BU$13:$BU$512,'Calculations'!DE74,'Calculations'!$EP$13:$EP$512,1))</x:f>
      </x:c>
      <x:c r="DO74" s="4" t="str">
        <x:f>IF(OR('Calculations'!DE74="",'Calculations'!DG74=0),"",('Calculations'!DJ74+'Calculations'!DK74)/'Calculations'!DG74)</x:f>
      </x:c>
      <x:c r="DP74" s="4" t="n">
        <x:f>IF(AND('Calculations'!DE74&lt;&gt;"",'Calculations'!DF74&gt;0),COUNTIF('Calculations'!$DF$12:DF74,"&gt;0"),0)</x:f>
        <x:v>0</x:v>
      </x:c>
      <x:c r="DQ74" s="4" t="str">
        <x:f>IF(63&gt;MAX('Calculations'!$HH$13:$HH$512),"",INDEX('Calculations'!$HF$13:$HF$512,MATCH(63,'Calculations'!$HH$13:$HH$512,0)))</x:f>
      </x:c>
      <x:c r="DR74" s="4" t="str">
        <x:f>IF(63&gt;MAX('Calculations'!$IK$13:$IK$512),"",INDEX('Calculations'!$HE$13:$HE$512,MATCH(63,'Calculations'!$IK$13:$IK$512,0)))</x:f>
      </x:c>
      <x:c r="DS74" s="4"/>
      <x:c r="DT74" s="4"/>
      <x:c r="DU74" s="4"/>
      <x:c r="DV74" s="4"/>
      <x:c r="DW74" s="4"/>
      <x:c r="DX74" s="4"/>
      <x:c r="DY74" s="4"/>
      <x:c r="DZ74" s="4"/>
      <x:c r="EA74" s="4"/>
      <x:c r="EB74" s="4"/>
      <x:c r="EC74" s="4"/>
      <x:c r="ED74" s="4"/>
      <x:c r="EE74" s="4" t="str">
        <x:f>IF('Calculations'!BT74=0,"Not Rated",IF(OR('Calculations'!BO74&gt;=4,'Calculations'!BP74&gt;=4),"Low",IF('Calculations'!BO74+'Calculations'!BP74&lt;=3,"High",IF('Calculations'!BO74+'Calculations'!BP74&lt;=4,"Strong","Solid"))))</x:f>
        <x:v>Not Rated</x:v>
      </x:c>
      <x:c r="EF74" s="4"/>
      <x:c r="EG74" s="4"/>
      <x:c r="EH74" s="4"/>
      <x:c r="EI74" s="4"/>
      <x:c r="EJ74" s="4"/>
      <x:c r="EK74" s="4"/>
      <x:c r="EL74" s="4"/>
      <x:c r="EM74" s="4" t="str">
        <x:f>IF(62&gt;'Calculations'!$JB$2000,"",INDEX('Calculations'!$JA$12:$JA$2000,MATCH(62,'Calculations'!$JB$12:$JB$2000,0)))</x:f>
      </x:c>
      <x:c r="EN74" s="4" t="n">
        <x:f>IF(OR('Calculations'!EM74="",'Calculations'!$AG$8&gt;0,AND('Calculations'!$EF$2&lt;&gt;"All",'Calculations'!HE74='Calculations'!$EF$2),AND('Calculations'!$EF$3&lt;&gt;"All",'Calculations'!HE74='Calculations'!$EF$3)),0,IF(OR('Dashboard'!$B$7="All",'Calculations'!HN74='Dashboard'!$B$7),IF('Calculations'!$EF$2="All",1,IF('Calculations'!HL74&gt;0,0,IF(COUNTIF('Calculations'!HO74:II74,"="&amp;SUBSTITUTE(SUBSTITUTE(SUBSTITUTE('Calculations'!$EF$2,"~","~~"),"*","~*"),"?","~?"))=0,0,IF('Calculations'!$EF$3="All",1,IF(COUNTIF('Calculations'!HO74:II74,"="&amp;SUBSTITUTE(SUBSTITUTE(SUBSTITUTE('Calculations'!$EF$3,"~","~~"),"*","~*"),"?","~?"))&gt;0,1,0))))),0))</x:f>
        <x:v>0</x:v>
      </x:c>
      <x:c r="EO74" s="4" t="str">
        <x:f>IF('Calculations'!IJ74="","",IF('Calculations'!IJ74="!UNRESOLVED","Unresolved hierarchy",IFERROR(INDEX('Calculations'!$HK$13:$HK$512,MATCH('Calculations'!IJ74,'Calculations'!$HE$13:$HE$512,0)),IFERROR(INDEX('Calculations'!$HJ$13:$HJ$512,MATCH('Calculations'!IJ74,'Calculations'!$HF$13:$HF$512,0)),'Calculations'!IJ74))))</x:f>
      </x:c>
      <x:c r="EP74" s="4" t="n">
        <x:f>IF(AND('Calculations'!EM74&lt;&gt;"",'Calculations'!HF74='Calculations'!IJ74),1,0)</x:f>
        <x:v>0</x:v>
      </x:c>
      <x:c r="EQ74" s="4"/>
      <x:c r="ER74" s="4"/>
      <x:c r="ES74" s="4"/>
      <x:c r="ET74" s="4"/>
      <x:c r="EU74" s="4"/>
      <x:c r="EV74" s="4"/>
      <x:c r="EW74" s="4"/>
      <x:c r="EX74" s="4"/>
      <x:c r="EY74" s="4"/>
      <x:c r="EZ74" s="4"/>
      <x:c r="FA74" s="4"/>
      <x:c r="FB74" s="4"/>
      <x:c r="FC74" s="4"/>
      <x:c r="FD74" s="4"/>
      <x:c r="FE74" s="4"/>
      <x:c r="FF74" s="4"/>
      <x:c r="FG74" s="4"/>
      <x:c r="FH74" s="4"/>
      <x:c r="FI74" s="4"/>
      <x:c r="FJ74" s="4"/>
      <x:c r="FK74" s="4"/>
      <x:c r="FL74" s="4"/>
      <x:c r="FM74" s="4"/>
      <x:c r="FN74" s="4"/>
      <x:c r="FO74" s="4"/>
      <x:c r="GA74" s="71"/>
      <x:c r="GB74" s="71"/>
      <x:c r="GC74" s="71"/>
      <x:c r="GD74" s="71"/>
      <x:c r="GE74" s="71"/>
      <x:c r="GF74" s="71"/>
      <x:c r="GG74" s="71"/>
      <x:c r="GH74" s="71"/>
      <x:c r="GI74" s="71"/>
      <x:c r="GJ74" s="71"/>
      <x:c r="GK74" s="71"/>
      <x:c r="GL74" s="71"/>
      <x:c r="GM74" s="71"/>
      <x:c r="GN74" s="71"/>
      <x:c r="GO74" s="71"/>
      <x:c r="GP74" s="71"/>
      <x:c r="GQ74" s="71"/>
      <x:c r="GR74" s="71" t="str">
        <x:f>'Calculations'!DY40</x:f>
        <x:v>What rating · 0 rated employees in officer view</x:v>
      </x:c>
      <x:c r="GS74" s="71"/>
      <x:c r="GT74" s="71"/>
      <x:c r="GU74" s="71"/>
      <x:c r="GV74" s="71"/>
      <x:c r="GW74" s="71"/>
      <x:c r="GX74" s="71"/>
      <x:c r="GY74" s="71"/>
      <x:c r="GZ74" s="71"/>
      <x:c r="HA74" s="71"/>
      <x:c r="HB74" s="71"/>
      <x:c r="HC74" s="71"/>
      <x:c r="HD74" s="71"/>
      <x:c r="HE74" t="str">
        <x:f>IF('Calculations'!EM74="","",IF(IFERROR(IF(INDEX(INDIRECT("'WCM Calibration Final'!$A$1:$A$2000"),'Calculations'!$EM74)="","",TRIM(INDEX(INDIRECT("'WCM Calibration Final'!$A$1:$A$2000"),'Calculations'!$EM74)&amp;"")),"")&lt;&gt;"","G:"&amp;IFERROR(TEXT(1*INDEX(INDIRECT("'WCM Calibration Final'!$A$1:$A$2000"),'Calculations'!$EM74),"0"),UPPER(IFERROR(IF(INDEX(INDIRECT("'WCM Calibration Final'!$A$1:$A$2000"),'Calculations'!$EM74)="","",TRIM(INDEX(INDIRECT("'WCM Calibration Final'!$A$1:$A$2000"),'Calculations'!$EM74)&amp;"")),""))),IF(IFERROR(IF(INDEX(INDIRECT("'WCM Calibration Final'!$C$1:$C$2000"),'Calculations'!$EM74)="","",TRIM(INDEX(INDIRECT("'WCM Calibration Final'!$C$1:$C$2000"),'Calculations'!$EM74)&amp;"")),"")&lt;&gt;"","S:"&amp;UPPER(IFERROR(IF(INDEX(INDIRECT("'WCM Calibration Final'!$C$1:$C$2000"),'Calculations'!$EM74)="","",TRIM(INDEX(INDIRECT("'WCM Calibration Final'!$C$1:$C$2000"),'Calculations'!$EM74)&amp;"")),"")),"R:"&amp;'Calculations'!EM74)))</x:f>
      </x:c>
      <x:c r="HF74" t="str">
        <x:f>IF('Calculations'!EM74="","",IF(IFERROR(IF(INDEX(INDIRECT("'WCM Calibration Final'!$D$1:$D$2000"),'Calculations'!$EM74)="","",TRIM(INDEX(INDIRECT("'WCM Calibration Final'!$D$1:$D$2000"),'Calculations'!$EM74)&amp;"")),"")&lt;&gt;"","G:"&amp;IFERROR(TEXT(1*INDEX(INDIRECT("'WCM Calibration Final'!$D$1:$D$2000"),'Calculations'!$EM74),"0"),UPPER(IFERROR(IF(INDEX(INDIRECT("'WCM Calibration Final'!$D$1:$D$2000"),'Calculations'!$EM74)="","",TRIM(INDEX(INDIRECT("'WCM Calibration Final'!$D$1:$D$2000"),'Calculations'!$EM74)&amp;"")),""))),IF(IFERROR(IF(INDEX(INDIRECT("'WCM Calibration Final'!$E$1:$E$2000"),'Calculations'!$EM74)="","",TRIM(INDEX(INDIRECT("'WCM Calibration Final'!$E$1:$E$2000"),'Calculations'!$EM74)&amp;"")),"")="","",IF(COUNTIF('Calculations'!$HG$13:$HG$512,"="&amp;SUBSTITUTE(SUBSTITUTE(SUBSTITUTE(IFERROR(IF(INDEX(INDIRECT("'WCM Calibration Final'!$E$1:$E$2000"),'Calculations'!$EM74)="","",TRIM(INDEX(INDIRECT("'WCM Calibration Final'!$E$1:$E$2000"),'Calculations'!$EM74)&amp;"")),""),"~","~~"),"*","~*"),"?","~?"))=1,INDEX('Calculations'!$HE$13:$HE$512,MATCH(IFERROR(IF(INDEX(INDIRECT("'WCM Calibration Final'!$E$1:$E$2000"),'Calculations'!$EM74)="","",TRIM(INDEX(INDIRECT("'WCM Calibration Final'!$E$1:$E$2000"),'Calculations'!$EM74)&amp;"")),""),'Calculations'!$HG$13:$HG$512,0)),IF(COUNTIF('Calculations'!$HG$13:$HG$512,"="&amp;SUBSTITUTE(SUBSTITUTE(SUBSTITUTE(IFERROR(IF(INDEX(INDIRECT("'WCM Calibration Final'!$E$1:$E$2000"),'Calculations'!$EM74)="","",TRIM(INDEX(INDIRECT("'WCM Calibration Final'!$E$1:$E$2000"),'Calculations'!$EM74)&amp;"")),""),"~","~~"),"*","~*"),"?","~?"))&gt;1,"!AMBIG","X:"&amp;IFERROR(IF(INDEX(INDIRECT("'WCM Calibration Final'!$E$1:$E$2000"),'Calculations'!$EM74)="","",TRIM(INDEX(INDIRECT("'WCM Calibration Final'!$E$1:$E$2000"),'Calculations'!$EM74)&amp;"")),""))))))</x:f>
      </x:c>
      <x:c r="HG74" t="str">
        <x:f>IF('Calculations'!EM74="","",IFERROR(IF(INDEX(INDIRECT("'WCM Calibration Final'!$B$1:$B$2000"),'Calculations'!$EM74)="","",TRIM(INDEX(INDIRECT("'WCM Calibration Final'!$B$1:$B$2000"),'Calculations'!$EM74)&amp;"")),""))</x:f>
      </x:c>
      <x:c r="HH74" t="n">
        <x:f>IF(AND('Calculations'!JC74&gt;0,COUNTIF('Calculations'!$HF$12:HF74,"="&amp;SUBSTITUTE(SUBSTITUTE(SUBSTITUTE('Calculations'!HF74,"~","~~"),"*","~*"),"?","~?"))=1),MAX('Calculations'!$HH$12:HH73)+1,0)</x:f>
        <x:v>0</x:v>
      </x:c>
      <x:c r="HI74" t="n">
        <x:f>IF(AND('Calculations'!HN74&lt;&gt;"",COUNTIF('Calculations'!$HN$12:HN74,"="&amp;SUBSTITUTE(SUBSTITUTE(SUBSTITUTE('Calculations'!HN74,"~","~~"),"*","~*"),"?","~?"))=1),MAX('Calculations'!$HI$12:HI73)+1,0)</x:f>
        <x:v>0</x:v>
      </x:c>
      <x:c r="HJ74" t="str">
        <x:f>IF('Calculations'!HF74="","",IF(COUNTIF('Calculations'!$HE$13:$HE$512,"="&amp;SUBSTITUTE(SUBSTITUTE(SUBSTITUTE('Calculations'!HF74,"~","~~"),"*","~*"),"?","~?"))=1,INDEX('Calculations'!$HK$13:$HK$512,MATCH('Calculations'!HF74,'Calculations'!$HE$13:$HE$512,0)),IFERROR(IF(INDEX(INDIRECT("'WCM Calibration Final'!$E$1:$E$2000"),'Calculations'!$EM74)="","",TRIM(INDEX(INDIRECT("'WCM Calibration Final'!$E$1:$E$2000"),'Calculations'!$EM74)&amp;"")),"")&amp;" ["&amp;'Calculations'!HF74&amp;"]"))</x:f>
      </x:c>
      <x:c r="HK74" t="str">
        <x:f>IF('Calculations'!EM74="","",'Calculations'!HG74&amp;" ["&amp;'Calculations'!HE74&amp;"]")</x:f>
      </x:c>
      <x:c r="HL74" t="n">
        <x:f>IF('Calculations'!EM74="",0,IF(OR('Calculations'!II74&lt;&gt;"",COUNTIF('Calculations'!$HE$13:$HE$512,"="&amp;SUBSTITUTE(SUBSTITUTE(SUBSTITUTE('Calculations'!HE74,"~","~~"),"*","~*"),"?","~?"))&gt;1),1,0))</x:f>
        <x:v>0</x:v>
      </x:c>
      <x:c r="HM74" t="str">
        <x:f>IF('Calculations'!EM74="","",IF('Calculations'!HL74=1,"!UNRESOLVED",IF('Calculations'!IH74&lt;&gt;"",'Calculations'!IH74,IF('Calculations'!IG74&lt;&gt;"",'Calculations'!IG74,IF('Calculations'!IF74&lt;&gt;"",'Calculations'!IF74,IF('Calculations'!IE74&lt;&gt;"",'Calculations'!IE74,IF('Calculations'!ID74&lt;&gt;"",'Calculations'!ID74,IF('Calculations'!IC74&lt;&gt;"",'Calculations'!IC74,IF('Calculations'!IB74&lt;&gt;"",'Calculations'!IB74,IF('Calculations'!IA74&lt;&gt;"",'Calculations'!IA74,IF('Calculations'!HZ74&lt;&gt;"",'Calculations'!HZ74,IF('Calculations'!HY74&lt;&gt;"",'Calculations'!HY74,IF('Calculations'!HX74&lt;&gt;"",'Calculations'!HX74,IF('Calculations'!HW74&lt;&gt;"",'Calculations'!HW74,IF('Calculations'!HV74&lt;&gt;"",'Calculations'!HV74,IF('Calculations'!HU74&lt;&gt;"",'Calculations'!HU74,IF('Calculations'!HT74&lt;&gt;"",'Calculations'!HT74,IF('Calculations'!HS74&lt;&gt;"",'Calculations'!HS74,IF('Calculations'!HR74&lt;&gt;"",'Calculations'!HR74,IF('Calculations'!HQ74&lt;&gt;"",'Calculations'!HQ74,IF('Calculations'!HP74&lt;&gt;"",'Calculations'!HP74,IF('Calculations'!HO74&lt;&gt;"",'Calculations'!HO74,'Calculations'!HE74))))))))))))))))))))))</x:f>
      </x:c>
      <x:c r="HN74" t="str">
        <x:f>IF('Calculations'!EM74="","",IF(IFERROR(IF(INDEX(INDIRECT("'WCM Calibration Final'!$F$1:$F$2000"),'Calculations'!$EM74)="","",TRIM(INDEX(INDIRECT("'WCM Calibration Final'!$F$1:$F$2000"),'Calculations'!$EM74)&amp;"")),"")="","(Blank)",IFERROR(IF(INDEX(INDIRECT("'WCM Calibration Final'!$F$1:$F$2000"),'Calculations'!$EM74)="","",TRIM(INDEX(INDIRECT("'WCM Calibration Final'!$F$1:$F$2000"),'Calculations'!$EM74)&amp;"")),"")))</x:f>
      </x:c>
      <x:c r="HO74" t="str">
        <x:f>'Calculations'!HF74</x:f>
      </x:c>
      <x:c r="HP74" t="str">
        <x:f>IF('Calculations'!HO74="","",IF('Calculations'!HO74="!AMBIG","!AMBIG",IF(COUNTIF('Calculations'!$HE$13:$HE$512,"="&amp;SUBSTITUTE(SUBSTITUTE(SUBSTITUTE('Calculations'!HO74,"~","~~"),"*","~*"),"?","~?"))&gt;1,"!AMBIG",IFERROR(INDEX('Calculations'!$HF$13:$HF$512,MATCH('Calculations'!HO74,'Calculations'!$HE$13:$HE$512,0)),""))))</x:f>
      </x:c>
      <x:c r="HQ74" t="str">
        <x:f>IF('Calculations'!HP74="","",IF('Calculations'!HP74="!AMBIG","!AMBIG",IF(COUNTIF('Calculations'!$HE$13:$HE$512,"="&amp;SUBSTITUTE(SUBSTITUTE(SUBSTITUTE('Calculations'!HP74,"~","~~"),"*","~*"),"?","~?"))&gt;1,"!AMBIG",IFERROR(INDEX('Calculations'!$HF$13:$HF$512,MATCH('Calculations'!HP74,'Calculations'!$HE$13:$HE$512,0)),""))))</x:f>
      </x:c>
      <x:c r="HR74" t="str">
        <x:f>IF('Calculations'!HQ74="","",IF('Calculations'!HQ74="!AMBIG","!AMBIG",IF(COUNTIF('Calculations'!$HE$13:$HE$512,"="&amp;SUBSTITUTE(SUBSTITUTE(SUBSTITUTE('Calculations'!HQ74,"~","~~"),"*","~*"),"?","~?"))&gt;1,"!AMBIG",IFERROR(INDEX('Calculations'!$HF$13:$HF$512,MATCH('Calculations'!HQ74,'Calculations'!$HE$13:$HE$512,0)),""))))</x:f>
      </x:c>
      <x:c r="HS74" t="str">
        <x:f>IF('Calculations'!HR74="","",IF('Calculations'!HR74="!AMBIG","!AMBIG",IF(COUNTIF('Calculations'!$HE$13:$HE$512,"="&amp;SUBSTITUTE(SUBSTITUTE(SUBSTITUTE('Calculations'!HR74,"~","~~"),"*","~*"),"?","~?"))&gt;1,"!AMBIG",IFERROR(INDEX('Calculations'!$HF$13:$HF$512,MATCH('Calculations'!HR74,'Calculations'!$HE$13:$HE$512,0)),""))))</x:f>
      </x:c>
      <x:c r="HT74" t="str">
        <x:f>IF('Calculations'!HS74="","",IF('Calculations'!HS74="!AMBIG","!AMBIG",IF(COUNTIF('Calculations'!$HE$13:$HE$512,"="&amp;SUBSTITUTE(SUBSTITUTE(SUBSTITUTE('Calculations'!HS74,"~","~~"),"*","~*"),"?","~?"))&gt;1,"!AMBIG",IFERROR(INDEX('Calculations'!$HF$13:$HF$512,MATCH('Calculations'!HS74,'Calculations'!$HE$13:$HE$512,0)),""))))</x:f>
      </x:c>
      <x:c r="HU74" t="str">
        <x:f>IF('Calculations'!HT74="","",IF('Calculations'!HT74="!AMBIG","!AMBIG",IF(COUNTIF('Calculations'!$HE$13:$HE$512,"="&amp;SUBSTITUTE(SUBSTITUTE(SUBSTITUTE('Calculations'!HT74,"~","~~"),"*","~*"),"?","~?"))&gt;1,"!AMBIG",IFERROR(INDEX('Calculations'!$HF$13:$HF$512,MATCH('Calculations'!HT74,'Calculations'!$HE$13:$HE$512,0)),""))))</x:f>
      </x:c>
      <x:c r="HV74" t="str">
        <x:f>IF('Calculations'!HU74="","",IF('Calculations'!HU74="!AMBIG","!AMBIG",IF(COUNTIF('Calculations'!$HE$13:$HE$512,"="&amp;SUBSTITUTE(SUBSTITUTE(SUBSTITUTE('Calculations'!HU74,"~","~~"),"*","~*"),"?","~?"))&gt;1,"!AMBIG",IFERROR(INDEX('Calculations'!$HF$13:$HF$512,MATCH('Calculations'!HU74,'Calculations'!$HE$13:$HE$512,0)),""))))</x:f>
      </x:c>
      <x:c r="HW74" t="str">
        <x:f>IF('Calculations'!HV74="","",IF('Calculations'!HV74="!AMBIG","!AMBIG",IF(COUNTIF('Calculations'!$HE$13:$HE$512,"="&amp;SUBSTITUTE(SUBSTITUTE(SUBSTITUTE('Calculations'!HV74,"~","~~"),"*","~*"),"?","~?"))&gt;1,"!AMBIG",IFERROR(INDEX('Calculations'!$HF$13:$HF$512,MATCH('Calculations'!HV74,'Calculations'!$HE$13:$HE$512,0)),""))))</x:f>
      </x:c>
      <x:c r="HX74" t="str">
        <x:f>IF('Calculations'!HW74="","",IF('Calculations'!HW74="!AMBIG","!AMBIG",IF(COUNTIF('Calculations'!$HE$13:$HE$512,"="&amp;SUBSTITUTE(SUBSTITUTE(SUBSTITUTE('Calculations'!HW74,"~","~~"),"*","~*"),"?","~?"))&gt;1,"!AMBIG",IFERROR(INDEX('Calculations'!$HF$13:$HF$512,MATCH('Calculations'!HW74,'Calculations'!$HE$13:$HE$512,0)),""))))</x:f>
      </x:c>
      <x:c r="HY74" t="str">
        <x:f>IF('Calculations'!HX74="","",IF('Calculations'!HX74="!AMBIG","!AMBIG",IF(COUNTIF('Calculations'!$HE$13:$HE$512,"="&amp;SUBSTITUTE(SUBSTITUTE(SUBSTITUTE('Calculations'!HX74,"~","~~"),"*","~*"),"?","~?"))&gt;1,"!AMBIG",IFERROR(INDEX('Calculations'!$HF$13:$HF$512,MATCH('Calculations'!HX74,'Calculations'!$HE$13:$HE$512,0)),""))))</x:f>
      </x:c>
      <x:c r="HZ74" t="str">
        <x:f>IF('Calculations'!HY74="","",IF('Calculations'!HY74="!AMBIG","!AMBIG",IF(COUNTIF('Calculations'!$HE$13:$HE$512,"="&amp;SUBSTITUTE(SUBSTITUTE(SUBSTITUTE('Calculations'!HY74,"~","~~"),"*","~*"),"?","~?"))&gt;1,"!AMBIG",IFERROR(INDEX('Calculations'!$HF$13:$HF$512,MATCH('Calculations'!HY74,'Calculations'!$HE$13:$HE$512,0)),""))))</x:f>
      </x:c>
      <x:c r="IA74" t="str">
        <x:f>IF('Calculations'!HZ74="","",IF('Calculations'!HZ74="!AMBIG","!AMBIG",IF(COUNTIF('Calculations'!$HE$13:$HE$512,"="&amp;SUBSTITUTE(SUBSTITUTE(SUBSTITUTE('Calculations'!HZ74,"~","~~"),"*","~*"),"?","~?"))&gt;1,"!AMBIG",IFERROR(INDEX('Calculations'!$HF$13:$HF$512,MATCH('Calculations'!HZ74,'Calculations'!$HE$13:$HE$512,0)),""))))</x:f>
      </x:c>
      <x:c r="IB74" t="str">
        <x:f>IF('Calculations'!IA74="","",IF('Calculations'!IA74="!AMBIG","!AMBIG",IF(COUNTIF('Calculations'!$HE$13:$HE$512,"="&amp;SUBSTITUTE(SUBSTITUTE(SUBSTITUTE('Calculations'!IA74,"~","~~"),"*","~*"),"?","~?"))&gt;1,"!AMBIG",IFERROR(INDEX('Calculations'!$HF$13:$HF$512,MATCH('Calculations'!IA74,'Calculations'!$HE$13:$HE$512,0)),""))))</x:f>
      </x:c>
      <x:c r="IC74" t="str">
        <x:f>IF('Calculations'!IB74="","",IF('Calculations'!IB74="!AMBIG","!AMBIG",IF(COUNTIF('Calculations'!$HE$13:$HE$512,"="&amp;SUBSTITUTE(SUBSTITUTE(SUBSTITUTE('Calculations'!IB74,"~","~~"),"*","~*"),"?","~?"))&gt;1,"!AMBIG",IFERROR(INDEX('Calculations'!$HF$13:$HF$512,MATCH('Calculations'!IB74,'Calculations'!$HE$13:$HE$512,0)),""))))</x:f>
      </x:c>
      <x:c r="ID74" t="str">
        <x:f>IF('Calculations'!IC74="","",IF('Calculations'!IC74="!AMBIG","!AMBIG",IF(COUNTIF('Calculations'!$HE$13:$HE$512,"="&amp;SUBSTITUTE(SUBSTITUTE(SUBSTITUTE('Calculations'!IC74,"~","~~"),"*","~*"),"?","~?"))&gt;1,"!AMBIG",IFERROR(INDEX('Calculations'!$HF$13:$HF$512,MATCH('Calculations'!IC74,'Calculations'!$HE$13:$HE$512,0)),""))))</x:f>
      </x:c>
      <x:c r="IE74" t="str">
        <x:f>IF('Calculations'!ID74="","",IF('Calculations'!ID74="!AMBIG","!AMBIG",IF(COUNTIF('Calculations'!$HE$13:$HE$512,"="&amp;SUBSTITUTE(SUBSTITUTE(SUBSTITUTE('Calculations'!ID74,"~","~~"),"*","~*"),"?","~?"))&gt;1,"!AMBIG",IFERROR(INDEX('Calculations'!$HF$13:$HF$512,MATCH('Calculations'!ID74,'Calculations'!$HE$13:$HE$512,0)),""))))</x:f>
      </x:c>
      <x:c r="IF74" t="str">
        <x:f>IF('Calculations'!IE74="","",IF('Calculations'!IE74="!AMBIG","!AMBIG",IF(COUNTIF('Calculations'!$HE$13:$HE$512,"="&amp;SUBSTITUTE(SUBSTITUTE(SUBSTITUTE('Calculations'!IE74,"~","~~"),"*","~*"),"?","~?"))&gt;1,"!AMBIG",IFERROR(INDEX('Calculations'!$HF$13:$HF$512,MATCH('Calculations'!IE74,'Calculations'!$HE$13:$HE$512,0)),""))))</x:f>
      </x:c>
      <x:c r="IG74" t="str">
        <x:f>IF('Calculations'!IF74="","",IF('Calculations'!IF74="!AMBIG","!AMBIG",IF(COUNTIF('Calculations'!$HE$13:$HE$512,"="&amp;SUBSTITUTE(SUBSTITUTE(SUBSTITUTE('Calculations'!IF74,"~","~~"),"*","~*"),"?","~?"))&gt;1,"!AMBIG",IFERROR(INDEX('Calculations'!$HF$13:$HF$512,MATCH('Calculations'!IF74,'Calculations'!$HE$13:$HE$512,0)),""))))</x:f>
      </x:c>
      <x:c r="IH74" t="str">
        <x:f>IF('Calculations'!IG74="","",IF('Calculations'!IG74="!AMBIG","!AMBIG",IF(COUNTIF('Calculations'!$HE$13:$HE$512,"="&amp;SUBSTITUTE(SUBSTITUTE(SUBSTITUTE('Calculations'!IG74,"~","~~"),"*","~*"),"?","~?"))&gt;1,"!AMBIG",IFERROR(INDEX('Calculations'!$HF$13:$HF$512,MATCH('Calculations'!IG74,'Calculations'!$HE$13:$HE$512,0)),""))))</x:f>
      </x:c>
      <x:c r="II74" t="str">
        <x:f>IF('Calculations'!IH74="","",IF('Calculations'!IH74="!AMBIG","!AMBIG",IF(COUNTIF('Calculations'!$HE$13:$HE$512,"="&amp;SUBSTITUTE(SUBSTITUTE(SUBSTITUTE('Calculations'!IH74,"~","~~"),"*","~*"),"?","~?"))&gt;1,"!AMBIG",IFERROR(INDEX('Calculations'!$HF$13:$HF$512,MATCH('Calculations'!IH74,'Calculations'!$HE$13:$HE$512,0)),""))))</x:f>
      </x:c>
      <x:c r="IJ74" t="str">
        <x:f>IF('Calculations'!EM74="","",IF('Calculations'!$EF$2="All",'Calculations'!HM74,IF('Calculations'!HL74=1,"",IFERROR(IF(MATCH('Calculations'!$EF$2,'Calculations'!HO74:II74,0)=1,'Calculations'!HE74,INDEX('Calculations'!HO74:II74,1,MATCH('Calculations'!$EF$2,'Calculations'!HO74:II74,0)-1)),""))))</x:f>
      </x:c>
      <x:c r="IK74" t="n">
        <x:f>IF(AND('Calculations'!EM74&lt;&gt;"",'Calculations'!$EF$2&lt;&gt;"All",'Calculations'!HF74='Calculations'!$EF$2,'Calculations'!HL74=0,'Calculations'!JD74&gt;0),MAX('Calculations'!$IK$12:IK73)+1,0)</x:f>
        <x:v>0</x:v>
      </x:c>
      <x:c r="JA74" t="n">
        <x:f>IF(OR(IFERROR(INDIRECT("'WCM Calibration Final'!$A$74")&lt;&gt;"",FALSE),IFERROR(INDIRECT("'WCM Calibration Final'!$B$74")&lt;&gt;"",FALSE),IFERROR(INDIRECT("'WCM Calibration Final'!$C$74")&lt;&gt;"",FALSE)),74,0)</x:f>
        <x:v>0</x:v>
      </x:c>
      <x:c r="JB74" t="n">
        <x:f>'Calculations'!JB73+IF('Calculations'!JA74&gt;0,1,0)</x:f>
        <x:v>0</x:v>
      </x:c>
      <x:c r="JC74" t="n">
        <x:f>IF(OR('Calculations'!HF74="",'Calculations'!HF74="!AMBIG"),0,IF('Dashboard'!$B$7="All",1,COUNTIFS('Calculations'!$HO$13:$HO$512,"="&amp;SUBSTITUTE(SUBSTITUTE(SUBSTITUTE('Calculations'!HF74,"~","~~"),"*","~*"),"?","~?"),'Calculations'!$HN$13:$HN$512,"="&amp;SUBSTITUTE(SUBSTITUTE(SUBSTITUTE('Dashboard'!$B$7,"~","~~"),"*","~*"),"?","~?"))+COUNTIFS('Calculations'!$HP$13:$HP$512,"="&amp;SUBSTITUTE(SUBSTITUTE(SUBSTITUTE('Calculations'!HF74,"~","~~"),"*","~*"),"?","~?"),'Calculations'!$HN$13:$HN$512,"="&amp;SUBSTITUTE(SUBSTITUTE(SUBSTITUTE('Dashboard'!$B$7,"~","~~"),"*","~*"),"?","~?"))+COUNTIFS('Calculations'!$HQ$13:$HQ$512,"="&amp;SUBSTITUTE(SUBSTITUTE(SUBSTITUTE('Calculations'!HF74,"~","~~"),"*","~*"),"?","~?"),'Calculations'!$HN$13:$HN$512,"="&amp;SUBSTITUTE(SUBSTITUTE(SUBSTITUTE('Dashboard'!$B$7,"~","~~"),"*","~*"),"?","~?"))+COUNTIFS('Calculations'!$HR$13:$HR$512,"="&amp;SUBSTITUTE(SUBSTITUTE(SUBSTITUTE('Calculations'!HF74,"~","~~"),"*","~*"),"?","~?"),'Calculations'!$HN$13:$HN$512,"="&amp;SUBSTITUTE(SUBSTITUTE(SUBSTITUTE('Dashboard'!$B$7,"~","~~"),"*","~*"),"?","~?"))+COUNTIFS('Calculations'!$HS$13:$HS$512,"="&amp;SUBSTITUTE(SUBSTITUTE(SUBSTITUTE('Calculations'!HF74,"~","~~"),"*","~*"),"?","~?"),'Calculations'!$HN$13:$HN$512,"="&amp;SUBSTITUTE(SUBSTITUTE(SUBSTITUTE('Dashboard'!$B$7,"~","~~"),"*","~*"),"?","~?"))+COUNTIFS('Calculations'!$HT$13:$HT$512,"="&amp;SUBSTITUTE(SUBSTITUTE(SUBSTITUTE('Calculations'!HF74,"~","~~"),"*","~*"),"?","~?"),'Calculations'!$HN$13:$HN$512,"="&amp;SUBSTITUTE(SUBSTITUTE(SUBSTITUTE('Dashboard'!$B$7,"~","~~"),"*","~*"),"?","~?"))+COUNTIFS('Calculations'!$HU$13:$HU$512,"="&amp;SUBSTITUTE(SUBSTITUTE(SUBSTITUTE('Calculations'!HF74,"~","~~"),"*","~*"),"?","~?"),'Calculations'!$HN$13:$HN$512,"="&amp;SUBSTITUTE(SUBSTITUTE(SUBSTITUTE('Dashboard'!$B$7,"~","~~"),"*","~*"),"?","~?"))+COUNTIFS('Calculations'!$HV$13:$HV$512,"="&amp;SUBSTITUTE(SUBSTITUTE(SUBSTITUTE('Calculations'!HF74,"~","~~"),"*","~*"),"?","~?"),'Calculations'!$HN$13:$HN$512,"="&amp;SUBSTITUTE(SUBSTITUTE(SUBSTITUTE('Dashboard'!$B$7,"~","~~"),"*","~*"),"?","~?"))+COUNTIFS('Calculations'!$HW$13:$HW$512,"="&amp;SUBSTITUTE(SUBSTITUTE(SUBSTITUTE('Calculations'!HF74,"~","~~"),"*","~*"),"?","~?"),'Calculations'!$HN$13:$HN$512,"="&amp;SUBSTITUTE(SUBSTITUTE(SUBSTITUTE('Dashboard'!$B$7,"~","~~"),"*","~*"),"?","~?"))+COUNTIFS('Calculations'!$HX$13:$HX$512,"="&amp;SUBSTITUTE(SUBSTITUTE(SUBSTITUTE('Calculations'!HF74,"~","~~"),"*","~*"),"?","~?"),'Calculations'!$HN$13:$HN$512,"="&amp;SUBSTITUTE(SUBSTITUTE(SUBSTITUTE('Dashboard'!$B$7,"~","~~"),"*","~*"),"?","~?"))+COUNTIFS('Calculations'!$HY$13:$HY$512,"="&amp;SUBSTITUTE(SUBSTITUTE(SUBSTITUTE('Calculations'!HF74,"~","~~"),"*","~*"),"?","~?"),'Calculations'!$HN$13:$HN$512,"="&amp;SUBSTITUTE(SUBSTITUTE(SUBSTITUTE('Dashboard'!$B$7,"~","~~"),"*","~*"),"?","~?"))+COUNTIFS('Calculations'!$HZ$13:$HZ$512,"="&amp;SUBSTITUTE(SUBSTITUTE(SUBSTITUTE('Calculations'!HF74,"~","~~"),"*","~*"),"?","~?"),'Calculations'!$HN$13:$HN$512,"="&amp;SUBSTITUTE(SUBSTITUTE(SUBSTITUTE('Dashboard'!$B$7,"~","~~"),"*","~*"),"?","~?"))+COUNTIFS('Calculations'!$IA$13:$IA$512,"="&amp;SUBSTITUTE(SUBSTITUTE(SUBSTITUTE('Calculations'!HF74,"~","~~"),"*","~*"),"?","~?"),'Calculations'!$HN$13:$HN$512,"="&amp;SUBSTITUTE(SUBSTITUTE(SUBSTITUTE('Dashboard'!$B$7,"~","~~"),"*","~*"),"?","~?"))+COUNTIFS('Calculations'!$IB$13:$IB$512,"="&amp;SUBSTITUTE(SUBSTITUTE(SUBSTITUTE('Calculations'!HF74,"~","~~"),"*","~*"),"?","~?"),'Calculations'!$HN$13:$HN$512,"="&amp;SUBSTITUTE(SUBSTITUTE(SUBSTITUTE('Dashboard'!$B$7,"~","~~"),"*","~*"),"?","~?"))+COUNTIFS('Calculations'!$IC$13:$IC$512,"="&amp;SUBSTITUTE(SUBSTITUTE(SUBSTITUTE('Calculations'!HF74,"~","~~"),"*","~*"),"?","~?"),'Calculations'!$HN$13:$HN$512,"="&amp;SUBSTITUTE(SUBSTITUTE(SUBSTITUTE('Dashboard'!$B$7,"~","~~"),"*","~*"),"?","~?"))+COUNTIFS('Calculations'!$ID$13:$ID$512,"="&amp;SUBSTITUTE(SUBSTITUTE(SUBSTITUTE('Calculations'!HF74,"~","~~"),"*","~*"),"?","~?"),'Calculations'!$HN$13:$HN$512,"="&amp;SUBSTITUTE(SUBSTITUTE(SUBSTITUTE('Dashboard'!$B$7,"~","~~"),"*","~*"),"?","~?"))+COUNTIFS('Calculations'!$IE$13:$IE$512,"="&amp;SUBSTITUTE(SUBSTITUTE(SUBSTITUTE('Calculations'!HF74,"~","~~"),"*","~*"),"?","~?"),'Calculations'!$HN$13:$HN$512,"="&amp;SUBSTITUTE(SUBSTITUTE(SUBSTITUTE('Dashboard'!$B$7,"~","~~"),"*","~*"),"?","~?"))+COUNTIFS('Calculations'!$IF$13:$IF$512,"="&amp;SUBSTITUTE(SUBSTITUTE(SUBSTITUTE('Calculations'!HF74,"~","~~"),"*","~*"),"?","~?"),'Calculations'!$HN$13:$HN$512,"="&amp;SUBSTITUTE(SUBSTITUTE(SUBSTITUTE('Dashboard'!$B$7,"~","~~"),"*","~*"),"?","~?"))+COUNTIFS('Calculations'!$IG$13:$IG$512,"="&amp;SUBSTITUTE(SUBSTITUTE(SUBSTITUTE('Calculations'!HF74,"~","~~"),"*","~*"),"?","~?"),'Calculations'!$HN$13:$HN$512,"="&amp;SUBSTITUTE(SUBSTITUTE(SUBSTITUTE('Dashboard'!$B$7,"~","~~"),"*","~*"),"?","~?"))+COUNTIFS('Calculations'!$IH$13:$IH$512,"="&amp;SUBSTITUTE(SUBSTITUTE(SUBSTITUTE('Calculations'!HF74,"~","~~"),"*","~*"),"?","~?"),'Calculations'!$HN$13:$HN$512,"="&amp;SUBSTITUTE(SUBSTITUTE(SUBSTITUTE('Dashboard'!$B$7,"~","~~"),"*","~*"),"?","~?"))))</x:f>
        <x:v>0</x:v>
      </x:c>
      <x:c r="JD74" t="n">
        <x:f>IF('Calculations'!EM74="",0,IF('Dashboard'!$B$7="All",1,IF('Calculations'!HN74='Dashboard'!$B$7,1,0)+IFERROR(INDEX('Calculations'!$JC$13:$JC$512,MATCH('Calculations'!HE74,'Calculations'!$HF$13:$HF$512,0)),0)))</x:f>
        <x:v>0</x:v>
      </x:c>
      <x:c r="JE74" t="n">
        <x:f>IF(AND('Calculations'!EM74&lt;&gt;"",'Calculations'!$JJ$2&lt;&gt;"All",'Calculations'!$JJ$2&lt;&gt;"",'Calculations'!HF74='Calculations'!$JJ$2,'Calculations'!HL74=0,'Calculations'!JD74&gt;0),MAX('Calculations'!$JE$12:JE73)+1,0)</x:f>
        <x:v>0</x:v>
      </x:c>
      <x:c r="JF74" t="str">
        <x:f>IF('Calculations'!EM74="","",IFERROR(IF(INDEX(INDIRECT("'WCM Calibration Final'!$G$1:$G$2000"),'Calculations'!$EM74)="","",TRIM(INDEX(INDIRECT("'WCM Calibration Final'!$G$1:$G$2000"),'Calculations'!$EM74)&amp;"")),""))</x:f>
      </x:c>
      <x:c r="JQ74" t="n">
        <x:f>IF(OR('Calculations'!BM74=0,NOT('Calculations'!$AG$2),'Calculations'!$AG$8&gt;0),0,IF(OR('Dashboard'!$B$7="All",'Calculations'!HN74='Dashboard'!$B$7),IF('Calculations'!$JJ$2="All",1,IF(AND('Calculations'!HF74='Calculations'!$JJ$2,'Calculations'!HL74=0),1,0)),0))</x:f>
        <x:v>0</x:v>
      </x:c>
    </x:row>
    <x:row r="75">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t="n">
        <x:f>IF('Calculations'!$EM75="",0,IF(OR(IFERROR(INDEX(INDIRECT("'WCM Calibration Final'!$A$1:$A$2000"),'Calculations'!$EM75)&lt;&gt;"",FALSE),IFERROR(INDEX(INDIRECT("'WCM Calibration Final'!$B$1:$B$2000"),'Calculations'!$EM75)&lt;&gt;"",FALSE),IFERROR(INDEX(INDIRECT("'WCM Calibration Final'!$C$1:$C$2000"),'Calculations'!$EM75)&lt;&gt;"",FALSE)),1,0))</x:f>
        <x:v>0</x:v>
      </x:c>
      <x:c r="BN75" s="4" t="n">
        <x:f>IF(AND('Calculations'!BM75=1,'Calculations'!$AG$2,'Calculations'!$EN75=1),1,0)</x:f>
        <x:v>0</x:v>
      </x:c>
      <x:c r="BO75" s="4" t="str">
        <x:f>IF('Calculations'!BM75=0,"",IFERROR(IF(AND(VALUE(INDEX(INDIRECT("'WCM Calibration Final'!$K$1:$K$2000"),'Calculations'!$EM75))&gt;=1,VALUE(INDEX(INDIRECT("'WCM Calibration Final'!$K$1:$K$2000"),'Calculations'!$EM75))&lt;=4,MOD(VALUE(INDEX(INDIRECT("'WCM Calibration Final'!$K$1:$K$2000"),'Calculations'!$EM75)),1)=0),VALUE(INDEX(INDIRECT("'WCM Calibration Final'!$K$1:$K$2000"),'Calculations'!$EM75)),""),""))</x:f>
      </x:c>
      <x:c r="BP75" s="4" t="str">
        <x:f>IF('Calculations'!BM75=0,"",IFERROR(IF(AND(VALUE(INDEX(INDIRECT("'WCM Calibration Final'!$L$1:$L$2000"),'Calculations'!$EM75))&gt;=1,VALUE(INDEX(INDIRECT("'WCM Calibration Final'!$L$1:$L$2000"),'Calculations'!$EM75))&lt;=4,MOD(VALUE(INDEX(INDIRECT("'WCM Calibration Final'!$L$1:$L$2000"),'Calculations'!$EM75)),1)=0),VALUE(INDEX(INDIRECT("'WCM Calibration Final'!$L$1:$L$2000"),'Calculations'!$EM75)),""),""))</x:f>
      </x:c>
      <x:c r="BQ75" s="4"/>
      <x:c r="BR75" s="4"/>
      <x:c r="BS75" s="4"/>
      <x:c r="BT75" s="4" t="n">
        <x:f>IF(AND('Calculations'!BM75=1,ISNUMBER('Calculations'!BO75),ISNUMBER('Calculations'!BP75)),1,0)</x:f>
        <x:v>0</x:v>
      </x:c>
      <x:c r="BU75" s="4" t="str">
        <x:f>IF('Calculations'!BM75=0,"",'Calculations'!$EO75)</x:f>
      </x:c>
      <x:c r="BV75" s="4" t="str">
        <x:f>IF('Calculations'!BM75=0,"",IFERROR(IF(OR(INDEX(INDIRECT("'WCM Calibration Final'!$H$1:$H$2000"),'Calculations'!$EM75)="MANAGING DIRECTOR",INDEX(INDIRECT("'WCM Calibration Final'!$H$1:$H$2000"),'Calculations'!$EM75)="DIRECTOR",INDEX(INDIRECT("'WCM Calibration Final'!$H$1:$H$2000"),'Calculations'!$EM75)="SENIOR VICE PRESIDENT",INDEX(INDIRECT("'WCM Calibration Final'!$H$1:$H$2000"),'Calculations'!$EM75)="VICE PRESIDENT",INDEX(INDIRECT("'WCM Calibration Final'!$H$1:$H$2000"),'Calculations'!$EM75)="ASSISTANT VICE PRESIDENT",INDEX(INDIRECT("'WCM Calibration Final'!$H$1:$H$2000"),'Calculations'!$EM75)="OFFICER"),UPPER(INDEX(INDIRECT("'WCM Calibration Final'!$H$1:$H$2000"),'Calculations'!$EM75)),"Other"),"Other"))</x:f>
      </x:c>
      <x:c r="BW75" s="4"/>
      <x:c r="BX75" s="4"/>
      <x:c r="BY75" s="4" t="n">
        <x:f>IF(AND('Calculations'!BM75=1,'Calculations'!BU75&lt;&gt;"",COUNTIF('Calculations'!$BU$12:BU75,'Calculations'!BU75)=1),MAX('Calculations'!$BY$11:BY74)+1,0)</x:f>
        <x:v>0</x:v>
      </x:c>
      <x:c r="BZ75" s="4" t="str">
        <x:f>IF('Dashboard'!$E$67="What",'Calculations'!BO75,'Calculations'!BP75)</x:f>
      </x:c>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t="str">
        <x:f>IF(64&gt;MAX('Calculations'!$HI$13:$HI$512),"",INDEX('Calculations'!$HN$13:$HN$512,MATCH(64,'Calculations'!$HI$13:$HI$512,0)))</x:f>
      </x:c>
      <x:c r="DB75" s="4" t="str">
        <x:f>IF(64&gt;MAX('Calculations'!$HH$13:$HH$512),"",INDEX('Calculations'!$HJ$13:$HJ$512,MATCH(64,'Calculations'!$HH$13:$HH$512,0)))</x:f>
      </x:c>
      <x:c r="DC75" s="4" t="str">
        <x:f>IF(ROW()-11&gt;MAX('Calculations'!$BY$13:$BY$512),"",INDEX('Calculations'!$BU$13:$BU$512,MATCH(ROW()-11,'Calculations'!$BY$13:$BY$512,0)))</x:f>
      </x:c>
      <x:c r="DD75" s="4" t="str">
        <x:f>IF(64&gt;MAX('Calculations'!$IK$13:$IK$512),"",INDEX('Calculations'!$HK$13:$HK$512,MATCH(64,'Calculations'!$IK$13:$IK$512,0)))</x:f>
      </x:c>
      <x:c r="DE75" s="4" t="str">
        <x:f>'Calculations'!DC75</x:f>
      </x:c>
      <x:c r="DF75" s="4" t="str">
        <x:f>IF('Calculations'!DE75="","",COUNTIFS('Calculations'!$BN$13:$BN$512,1,'Calculations'!$BU$13:$BU$512,'Calculations'!DE75))</x:f>
      </x:c>
      <x:c r="DG75" s="4" t="str">
        <x:f>IF('Calculations'!DE75="","",COUNTIFS('Calculations'!$BN$13:$BN$512,1,'Calculations'!$BU$13:$BU$512,'Calculations'!DE75,'Calculations'!$BT$13:$BT$512,1))</x:f>
      </x:c>
      <x:c r="DH75" s="4" t="str">
        <x:f>IF('Calculations'!DE75="","",'Calculations'!DF75-'Calculations'!DG75)</x:f>
      </x:c>
      <x:c r="DI75" s="4" t="str">
        <x:f>IF(OR('Calculations'!DE75="",'Calculations'!DF75=0),"",'Calculations'!DG75/'Calculations'!DF75)</x:f>
      </x:c>
      <x:c r="DJ75" s="4" t="str">
        <x:f>IF('Calculations'!DE75="","",COUNTIFS('Calculations'!$BN$13:$BN$512,1,'Calculations'!$BU$13:$BU$512,'Calculations'!DE75,'Calculations'!$BT$13:$BT$512,1,'Calculations'!$EE$13:$EE$512,"High"))</x:f>
      </x:c>
      <x:c r="DK75" s="4" t="str">
        <x:f>IF('Calculations'!DE75="","",COUNTIFS('Calculations'!$BN$13:$BN$512,1,'Calculations'!$BU$13:$BU$512,'Calculations'!DE75,'Calculations'!$BT$13:$BT$512,1,'Calculations'!$EE$13:$EE$512,"Strong"))</x:f>
      </x:c>
      <x:c r="DL75" s="4" t="str">
        <x:f>IF('Calculations'!DE75="","",COUNTIFS('Calculations'!$BN$13:$BN$512,1,'Calculations'!$BU$13:$BU$512,'Calculations'!DE75,'Calculations'!$BT$13:$BT$512,1,'Calculations'!$EE$13:$EE$512,"Solid"))</x:f>
      </x:c>
      <x:c r="DM75" s="4" t="str">
        <x:f>IF('Calculations'!DE75="","",COUNTIFS('Calculations'!$BN$13:$BN$512,1,'Calculations'!$BU$13:$BU$512,'Calculations'!DE75,'Calculations'!$BT$13:$BT$512,1,'Calculations'!$EE$13:$EE$512,"Low"))</x:f>
      </x:c>
      <x:c r="DN75" s="4" t="str">
        <x:f>IF('Calculations'!DE75="","",COUNTIFS('Calculations'!$BN$13:$BN$512,1,'Calculations'!$BU$13:$BU$512,'Calculations'!DE75,'Calculations'!$EP$13:$EP$512,1))</x:f>
      </x:c>
      <x:c r="DO75" s="4" t="str">
        <x:f>IF(OR('Calculations'!DE75="",'Calculations'!DG75=0),"",('Calculations'!DJ75+'Calculations'!DK75)/'Calculations'!DG75)</x:f>
      </x:c>
      <x:c r="DP75" s="4" t="n">
        <x:f>IF(AND('Calculations'!DE75&lt;&gt;"",'Calculations'!DF75&gt;0),COUNTIF('Calculations'!$DF$12:DF75,"&gt;0"),0)</x:f>
        <x:v>0</x:v>
      </x:c>
      <x:c r="DQ75" s="4" t="str">
        <x:f>IF(64&gt;MAX('Calculations'!$HH$13:$HH$512),"",INDEX('Calculations'!$HF$13:$HF$512,MATCH(64,'Calculations'!$HH$13:$HH$512,0)))</x:f>
      </x:c>
      <x:c r="DR75" s="4" t="str">
        <x:f>IF(64&gt;MAX('Calculations'!$IK$13:$IK$512),"",INDEX('Calculations'!$HE$13:$HE$512,MATCH(64,'Calculations'!$IK$13:$IK$512,0)))</x:f>
      </x:c>
      <x:c r="DS75" s="4"/>
      <x:c r="DT75" s="4"/>
      <x:c r="DU75" s="4"/>
      <x:c r="DV75" s="4"/>
      <x:c r="DW75" s="4"/>
      <x:c r="DX75" s="4"/>
      <x:c r="DY75" s="4"/>
      <x:c r="DZ75" s="4"/>
      <x:c r="EA75" s="4"/>
      <x:c r="EB75" s="4"/>
      <x:c r="EC75" s="4"/>
      <x:c r="ED75" s="4"/>
      <x:c r="EE75" s="4" t="str">
        <x:f>IF('Calculations'!BT75=0,"Not Rated",IF(OR('Calculations'!BO75&gt;=4,'Calculations'!BP75&gt;=4),"Low",IF('Calculations'!BO75+'Calculations'!BP75&lt;=3,"High",IF('Calculations'!BO75+'Calculations'!BP75&lt;=4,"Strong","Solid"))))</x:f>
        <x:v>Not Rated</x:v>
      </x:c>
      <x:c r="EF75" s="4"/>
      <x:c r="EG75" s="4"/>
      <x:c r="EH75" s="4"/>
      <x:c r="EI75" s="4"/>
      <x:c r="EJ75" s="4"/>
      <x:c r="EK75" s="4"/>
      <x:c r="EL75" s="4"/>
      <x:c r="EM75" s="4" t="str">
        <x:f>IF(63&gt;'Calculations'!$JB$2000,"",INDEX('Calculations'!$JA$12:$JA$2000,MATCH(63,'Calculations'!$JB$12:$JB$2000,0)))</x:f>
      </x:c>
      <x:c r="EN75" s="4" t="n">
        <x:f>IF(OR('Calculations'!EM75="",'Calculations'!$AG$8&gt;0,AND('Calculations'!$EF$2&lt;&gt;"All",'Calculations'!HE75='Calculations'!$EF$2),AND('Calculations'!$EF$3&lt;&gt;"All",'Calculations'!HE75='Calculations'!$EF$3)),0,IF(OR('Dashboard'!$B$7="All",'Calculations'!HN75='Dashboard'!$B$7),IF('Calculations'!$EF$2="All",1,IF('Calculations'!HL75&gt;0,0,IF(COUNTIF('Calculations'!HO75:II75,"="&amp;SUBSTITUTE(SUBSTITUTE(SUBSTITUTE('Calculations'!$EF$2,"~","~~"),"*","~*"),"?","~?"))=0,0,IF('Calculations'!$EF$3="All",1,IF(COUNTIF('Calculations'!HO75:II75,"="&amp;SUBSTITUTE(SUBSTITUTE(SUBSTITUTE('Calculations'!$EF$3,"~","~~"),"*","~*"),"?","~?"))&gt;0,1,0))))),0))</x:f>
        <x:v>0</x:v>
      </x:c>
      <x:c r="EO75" s="4" t="str">
        <x:f>IF('Calculations'!IJ75="","",IF('Calculations'!IJ75="!UNRESOLVED","Unresolved hierarchy",IFERROR(INDEX('Calculations'!$HK$13:$HK$512,MATCH('Calculations'!IJ75,'Calculations'!$HE$13:$HE$512,0)),IFERROR(INDEX('Calculations'!$HJ$13:$HJ$512,MATCH('Calculations'!IJ75,'Calculations'!$HF$13:$HF$512,0)),'Calculations'!IJ75))))</x:f>
      </x:c>
      <x:c r="EP75" s="4" t="n">
        <x:f>IF(AND('Calculations'!EM75&lt;&gt;"",'Calculations'!HF75='Calculations'!IJ75),1,0)</x:f>
        <x:v>0</x:v>
      </x:c>
      <x:c r="EQ75" s="4"/>
      <x:c r="ER75" s="4"/>
      <x:c r="ES75" s="4"/>
      <x:c r="ET75" s="4"/>
      <x:c r="EU75" s="4"/>
      <x:c r="EV75" s="4"/>
      <x:c r="EW75" s="4"/>
      <x:c r="EX75" s="4"/>
      <x:c r="EY75" s="4"/>
      <x:c r="EZ75" s="4"/>
      <x:c r="FA75" s="4"/>
      <x:c r="FB75" s="4"/>
      <x:c r="FC75" s="4"/>
      <x:c r="FD75" s="4"/>
      <x:c r="FE75" s="4"/>
      <x:c r="FF75" s="4"/>
      <x:c r="FG75" s="4"/>
      <x:c r="FH75" s="4"/>
      <x:c r="FI75" s="4"/>
      <x:c r="FJ75" s="4"/>
      <x:c r="FK75" s="4"/>
      <x:c r="FL75" s="4"/>
      <x:c r="FM75" s="4"/>
      <x:c r="FN75" s="4"/>
      <x:c r="FO75" s="4"/>
      <x:c r="GA75" s="71"/>
      <x:c r="GB75" s="71"/>
      <x:c r="GC75" s="71"/>
      <x:c r="GD75" s="71"/>
      <x:c r="GE75" s="71"/>
      <x:c r="GF75" s="71"/>
      <x:c r="GG75" s="71"/>
      <x:c r="GH75" s="71"/>
      <x:c r="GI75" s="71"/>
      <x:c r="GJ75" s="71"/>
      <x:c r="GK75" s="71"/>
      <x:c r="GL75" s="71"/>
      <x:c r="GM75" s="71"/>
      <x:c r="GN75" s="71"/>
      <x:c r="GO75" s="71"/>
      <x:c r="GP75" s="71"/>
      <x:c r="GQ75" s="71"/>
      <x:c r="GR75" s="71"/>
      <x:c r="GS75" s="71"/>
      <x:c r="GT75" s="71"/>
      <x:c r="GU75" s="71"/>
      <x:c r="GV75" s="71"/>
      <x:c r="GW75" s="71"/>
      <x:c r="GX75" s="71"/>
      <x:c r="GY75" s="71"/>
      <x:c r="GZ75" s="71"/>
      <x:c r="HA75" s="71"/>
      <x:c r="HB75" s="71"/>
      <x:c r="HC75" s="71"/>
      <x:c r="HD75" s="71"/>
      <x:c r="HE75" t="str">
        <x:f>IF('Calculations'!EM75="","",IF(IFERROR(IF(INDEX(INDIRECT("'WCM Calibration Final'!$A$1:$A$2000"),'Calculations'!$EM75)="","",TRIM(INDEX(INDIRECT("'WCM Calibration Final'!$A$1:$A$2000"),'Calculations'!$EM75)&amp;"")),"")&lt;&gt;"","G:"&amp;IFERROR(TEXT(1*INDEX(INDIRECT("'WCM Calibration Final'!$A$1:$A$2000"),'Calculations'!$EM75),"0"),UPPER(IFERROR(IF(INDEX(INDIRECT("'WCM Calibration Final'!$A$1:$A$2000"),'Calculations'!$EM75)="","",TRIM(INDEX(INDIRECT("'WCM Calibration Final'!$A$1:$A$2000"),'Calculations'!$EM75)&amp;"")),""))),IF(IFERROR(IF(INDEX(INDIRECT("'WCM Calibration Final'!$C$1:$C$2000"),'Calculations'!$EM75)="","",TRIM(INDEX(INDIRECT("'WCM Calibration Final'!$C$1:$C$2000"),'Calculations'!$EM75)&amp;"")),"")&lt;&gt;"","S:"&amp;UPPER(IFERROR(IF(INDEX(INDIRECT("'WCM Calibration Final'!$C$1:$C$2000"),'Calculations'!$EM75)="","",TRIM(INDEX(INDIRECT("'WCM Calibration Final'!$C$1:$C$2000"),'Calculations'!$EM75)&amp;"")),"")),"R:"&amp;'Calculations'!EM75)))</x:f>
      </x:c>
      <x:c r="HF75" t="str">
        <x:f>IF('Calculations'!EM75="","",IF(IFERROR(IF(INDEX(INDIRECT("'WCM Calibration Final'!$D$1:$D$2000"),'Calculations'!$EM75)="","",TRIM(INDEX(INDIRECT("'WCM Calibration Final'!$D$1:$D$2000"),'Calculations'!$EM75)&amp;"")),"")&lt;&gt;"","G:"&amp;IFERROR(TEXT(1*INDEX(INDIRECT("'WCM Calibration Final'!$D$1:$D$2000"),'Calculations'!$EM75),"0"),UPPER(IFERROR(IF(INDEX(INDIRECT("'WCM Calibration Final'!$D$1:$D$2000"),'Calculations'!$EM75)="","",TRIM(INDEX(INDIRECT("'WCM Calibration Final'!$D$1:$D$2000"),'Calculations'!$EM75)&amp;"")),""))),IF(IFERROR(IF(INDEX(INDIRECT("'WCM Calibration Final'!$E$1:$E$2000"),'Calculations'!$EM75)="","",TRIM(INDEX(INDIRECT("'WCM Calibration Final'!$E$1:$E$2000"),'Calculations'!$EM75)&amp;"")),"")="","",IF(COUNTIF('Calculations'!$HG$13:$HG$512,"="&amp;SUBSTITUTE(SUBSTITUTE(SUBSTITUTE(IFERROR(IF(INDEX(INDIRECT("'WCM Calibration Final'!$E$1:$E$2000"),'Calculations'!$EM75)="","",TRIM(INDEX(INDIRECT("'WCM Calibration Final'!$E$1:$E$2000"),'Calculations'!$EM75)&amp;"")),""),"~","~~"),"*","~*"),"?","~?"))=1,INDEX('Calculations'!$HE$13:$HE$512,MATCH(IFERROR(IF(INDEX(INDIRECT("'WCM Calibration Final'!$E$1:$E$2000"),'Calculations'!$EM75)="","",TRIM(INDEX(INDIRECT("'WCM Calibration Final'!$E$1:$E$2000"),'Calculations'!$EM75)&amp;"")),""),'Calculations'!$HG$13:$HG$512,0)),IF(COUNTIF('Calculations'!$HG$13:$HG$512,"="&amp;SUBSTITUTE(SUBSTITUTE(SUBSTITUTE(IFERROR(IF(INDEX(INDIRECT("'WCM Calibration Final'!$E$1:$E$2000"),'Calculations'!$EM75)="","",TRIM(INDEX(INDIRECT("'WCM Calibration Final'!$E$1:$E$2000"),'Calculations'!$EM75)&amp;"")),""),"~","~~"),"*","~*"),"?","~?"))&gt;1,"!AMBIG","X:"&amp;IFERROR(IF(INDEX(INDIRECT("'WCM Calibration Final'!$E$1:$E$2000"),'Calculations'!$EM75)="","",TRIM(INDEX(INDIRECT("'WCM Calibration Final'!$E$1:$E$2000"),'Calculations'!$EM75)&amp;"")),""))))))</x:f>
      </x:c>
      <x:c r="HG75" t="str">
        <x:f>IF('Calculations'!EM75="","",IFERROR(IF(INDEX(INDIRECT("'WCM Calibration Final'!$B$1:$B$2000"),'Calculations'!$EM75)="","",TRIM(INDEX(INDIRECT("'WCM Calibration Final'!$B$1:$B$2000"),'Calculations'!$EM75)&amp;"")),""))</x:f>
      </x:c>
      <x:c r="HH75" t="n">
        <x:f>IF(AND('Calculations'!JC75&gt;0,COUNTIF('Calculations'!$HF$12:HF75,"="&amp;SUBSTITUTE(SUBSTITUTE(SUBSTITUTE('Calculations'!HF75,"~","~~"),"*","~*"),"?","~?"))=1),MAX('Calculations'!$HH$12:HH74)+1,0)</x:f>
        <x:v>0</x:v>
      </x:c>
      <x:c r="HI75" t="n">
        <x:f>IF(AND('Calculations'!HN75&lt;&gt;"",COUNTIF('Calculations'!$HN$12:HN75,"="&amp;SUBSTITUTE(SUBSTITUTE(SUBSTITUTE('Calculations'!HN75,"~","~~"),"*","~*"),"?","~?"))=1),MAX('Calculations'!$HI$12:HI74)+1,0)</x:f>
        <x:v>0</x:v>
      </x:c>
      <x:c r="HJ75" t="str">
        <x:f>IF('Calculations'!HF75="","",IF(COUNTIF('Calculations'!$HE$13:$HE$512,"="&amp;SUBSTITUTE(SUBSTITUTE(SUBSTITUTE('Calculations'!HF75,"~","~~"),"*","~*"),"?","~?"))=1,INDEX('Calculations'!$HK$13:$HK$512,MATCH('Calculations'!HF75,'Calculations'!$HE$13:$HE$512,0)),IFERROR(IF(INDEX(INDIRECT("'WCM Calibration Final'!$E$1:$E$2000"),'Calculations'!$EM75)="","",TRIM(INDEX(INDIRECT("'WCM Calibration Final'!$E$1:$E$2000"),'Calculations'!$EM75)&amp;"")),"")&amp;" ["&amp;'Calculations'!HF75&amp;"]"))</x:f>
      </x:c>
      <x:c r="HK75" t="str">
        <x:f>IF('Calculations'!EM75="","",'Calculations'!HG75&amp;" ["&amp;'Calculations'!HE75&amp;"]")</x:f>
      </x:c>
      <x:c r="HL75" t="n">
        <x:f>IF('Calculations'!EM75="",0,IF(OR('Calculations'!II75&lt;&gt;"",COUNTIF('Calculations'!$HE$13:$HE$512,"="&amp;SUBSTITUTE(SUBSTITUTE(SUBSTITUTE('Calculations'!HE75,"~","~~"),"*","~*"),"?","~?"))&gt;1),1,0))</x:f>
        <x:v>0</x:v>
      </x:c>
      <x:c r="HM75" t="str">
        <x:f>IF('Calculations'!EM75="","",IF('Calculations'!HL75=1,"!UNRESOLVED",IF('Calculations'!IH75&lt;&gt;"",'Calculations'!IH75,IF('Calculations'!IG75&lt;&gt;"",'Calculations'!IG75,IF('Calculations'!IF75&lt;&gt;"",'Calculations'!IF75,IF('Calculations'!IE75&lt;&gt;"",'Calculations'!IE75,IF('Calculations'!ID75&lt;&gt;"",'Calculations'!ID75,IF('Calculations'!IC75&lt;&gt;"",'Calculations'!IC75,IF('Calculations'!IB75&lt;&gt;"",'Calculations'!IB75,IF('Calculations'!IA75&lt;&gt;"",'Calculations'!IA75,IF('Calculations'!HZ75&lt;&gt;"",'Calculations'!HZ75,IF('Calculations'!HY75&lt;&gt;"",'Calculations'!HY75,IF('Calculations'!HX75&lt;&gt;"",'Calculations'!HX75,IF('Calculations'!HW75&lt;&gt;"",'Calculations'!HW75,IF('Calculations'!HV75&lt;&gt;"",'Calculations'!HV75,IF('Calculations'!HU75&lt;&gt;"",'Calculations'!HU75,IF('Calculations'!HT75&lt;&gt;"",'Calculations'!HT75,IF('Calculations'!HS75&lt;&gt;"",'Calculations'!HS75,IF('Calculations'!HR75&lt;&gt;"",'Calculations'!HR75,IF('Calculations'!HQ75&lt;&gt;"",'Calculations'!HQ75,IF('Calculations'!HP75&lt;&gt;"",'Calculations'!HP75,IF('Calculations'!HO75&lt;&gt;"",'Calculations'!HO75,'Calculations'!HE75))))))))))))))))))))))</x:f>
      </x:c>
      <x:c r="HN75" t="str">
        <x:f>IF('Calculations'!EM75="","",IF(IFERROR(IF(INDEX(INDIRECT("'WCM Calibration Final'!$F$1:$F$2000"),'Calculations'!$EM75)="","",TRIM(INDEX(INDIRECT("'WCM Calibration Final'!$F$1:$F$2000"),'Calculations'!$EM75)&amp;"")),"")="","(Blank)",IFERROR(IF(INDEX(INDIRECT("'WCM Calibration Final'!$F$1:$F$2000"),'Calculations'!$EM75)="","",TRIM(INDEX(INDIRECT("'WCM Calibration Final'!$F$1:$F$2000"),'Calculations'!$EM75)&amp;"")),"")))</x:f>
      </x:c>
      <x:c r="HO75" t="str">
        <x:f>'Calculations'!HF75</x:f>
      </x:c>
      <x:c r="HP75" t="str">
        <x:f>IF('Calculations'!HO75="","",IF('Calculations'!HO75="!AMBIG","!AMBIG",IF(COUNTIF('Calculations'!$HE$13:$HE$512,"="&amp;SUBSTITUTE(SUBSTITUTE(SUBSTITUTE('Calculations'!HO75,"~","~~"),"*","~*"),"?","~?"))&gt;1,"!AMBIG",IFERROR(INDEX('Calculations'!$HF$13:$HF$512,MATCH('Calculations'!HO75,'Calculations'!$HE$13:$HE$512,0)),""))))</x:f>
      </x:c>
      <x:c r="HQ75" t="str">
        <x:f>IF('Calculations'!HP75="","",IF('Calculations'!HP75="!AMBIG","!AMBIG",IF(COUNTIF('Calculations'!$HE$13:$HE$512,"="&amp;SUBSTITUTE(SUBSTITUTE(SUBSTITUTE('Calculations'!HP75,"~","~~"),"*","~*"),"?","~?"))&gt;1,"!AMBIG",IFERROR(INDEX('Calculations'!$HF$13:$HF$512,MATCH('Calculations'!HP75,'Calculations'!$HE$13:$HE$512,0)),""))))</x:f>
      </x:c>
      <x:c r="HR75" t="str">
        <x:f>IF('Calculations'!HQ75="","",IF('Calculations'!HQ75="!AMBIG","!AMBIG",IF(COUNTIF('Calculations'!$HE$13:$HE$512,"="&amp;SUBSTITUTE(SUBSTITUTE(SUBSTITUTE('Calculations'!HQ75,"~","~~"),"*","~*"),"?","~?"))&gt;1,"!AMBIG",IFERROR(INDEX('Calculations'!$HF$13:$HF$512,MATCH('Calculations'!HQ75,'Calculations'!$HE$13:$HE$512,0)),""))))</x:f>
      </x:c>
      <x:c r="HS75" t="str">
        <x:f>IF('Calculations'!HR75="","",IF('Calculations'!HR75="!AMBIG","!AMBIG",IF(COUNTIF('Calculations'!$HE$13:$HE$512,"="&amp;SUBSTITUTE(SUBSTITUTE(SUBSTITUTE('Calculations'!HR75,"~","~~"),"*","~*"),"?","~?"))&gt;1,"!AMBIG",IFERROR(INDEX('Calculations'!$HF$13:$HF$512,MATCH('Calculations'!HR75,'Calculations'!$HE$13:$HE$512,0)),""))))</x:f>
      </x:c>
      <x:c r="HT75" t="str">
        <x:f>IF('Calculations'!HS75="","",IF('Calculations'!HS75="!AMBIG","!AMBIG",IF(COUNTIF('Calculations'!$HE$13:$HE$512,"="&amp;SUBSTITUTE(SUBSTITUTE(SUBSTITUTE('Calculations'!HS75,"~","~~"),"*","~*"),"?","~?"))&gt;1,"!AMBIG",IFERROR(INDEX('Calculations'!$HF$13:$HF$512,MATCH('Calculations'!HS75,'Calculations'!$HE$13:$HE$512,0)),""))))</x:f>
      </x:c>
      <x:c r="HU75" t="str">
        <x:f>IF('Calculations'!HT75="","",IF('Calculations'!HT75="!AMBIG","!AMBIG",IF(COUNTIF('Calculations'!$HE$13:$HE$512,"="&amp;SUBSTITUTE(SUBSTITUTE(SUBSTITUTE('Calculations'!HT75,"~","~~"),"*","~*"),"?","~?"))&gt;1,"!AMBIG",IFERROR(INDEX('Calculations'!$HF$13:$HF$512,MATCH('Calculations'!HT75,'Calculations'!$HE$13:$HE$512,0)),""))))</x:f>
      </x:c>
      <x:c r="HV75" t="str">
        <x:f>IF('Calculations'!HU75="","",IF('Calculations'!HU75="!AMBIG","!AMBIG",IF(COUNTIF('Calculations'!$HE$13:$HE$512,"="&amp;SUBSTITUTE(SUBSTITUTE(SUBSTITUTE('Calculations'!HU75,"~","~~"),"*","~*"),"?","~?"))&gt;1,"!AMBIG",IFERROR(INDEX('Calculations'!$HF$13:$HF$512,MATCH('Calculations'!HU75,'Calculations'!$HE$13:$HE$512,0)),""))))</x:f>
      </x:c>
      <x:c r="HW75" t="str">
        <x:f>IF('Calculations'!HV75="","",IF('Calculations'!HV75="!AMBIG","!AMBIG",IF(COUNTIF('Calculations'!$HE$13:$HE$512,"="&amp;SUBSTITUTE(SUBSTITUTE(SUBSTITUTE('Calculations'!HV75,"~","~~"),"*","~*"),"?","~?"))&gt;1,"!AMBIG",IFERROR(INDEX('Calculations'!$HF$13:$HF$512,MATCH('Calculations'!HV75,'Calculations'!$HE$13:$HE$512,0)),""))))</x:f>
      </x:c>
      <x:c r="HX75" t="str">
        <x:f>IF('Calculations'!HW75="","",IF('Calculations'!HW75="!AMBIG","!AMBIG",IF(COUNTIF('Calculations'!$HE$13:$HE$512,"="&amp;SUBSTITUTE(SUBSTITUTE(SUBSTITUTE('Calculations'!HW75,"~","~~"),"*","~*"),"?","~?"))&gt;1,"!AMBIG",IFERROR(INDEX('Calculations'!$HF$13:$HF$512,MATCH('Calculations'!HW75,'Calculations'!$HE$13:$HE$512,0)),""))))</x:f>
      </x:c>
      <x:c r="HY75" t="str">
        <x:f>IF('Calculations'!HX75="","",IF('Calculations'!HX75="!AMBIG","!AMBIG",IF(COUNTIF('Calculations'!$HE$13:$HE$512,"="&amp;SUBSTITUTE(SUBSTITUTE(SUBSTITUTE('Calculations'!HX75,"~","~~"),"*","~*"),"?","~?"))&gt;1,"!AMBIG",IFERROR(INDEX('Calculations'!$HF$13:$HF$512,MATCH('Calculations'!HX75,'Calculations'!$HE$13:$HE$512,0)),""))))</x:f>
      </x:c>
      <x:c r="HZ75" t="str">
        <x:f>IF('Calculations'!HY75="","",IF('Calculations'!HY75="!AMBIG","!AMBIG",IF(COUNTIF('Calculations'!$HE$13:$HE$512,"="&amp;SUBSTITUTE(SUBSTITUTE(SUBSTITUTE('Calculations'!HY75,"~","~~"),"*","~*"),"?","~?"))&gt;1,"!AMBIG",IFERROR(INDEX('Calculations'!$HF$13:$HF$512,MATCH('Calculations'!HY75,'Calculations'!$HE$13:$HE$512,0)),""))))</x:f>
      </x:c>
      <x:c r="IA75" t="str">
        <x:f>IF('Calculations'!HZ75="","",IF('Calculations'!HZ75="!AMBIG","!AMBIG",IF(COUNTIF('Calculations'!$HE$13:$HE$512,"="&amp;SUBSTITUTE(SUBSTITUTE(SUBSTITUTE('Calculations'!HZ75,"~","~~"),"*","~*"),"?","~?"))&gt;1,"!AMBIG",IFERROR(INDEX('Calculations'!$HF$13:$HF$512,MATCH('Calculations'!HZ75,'Calculations'!$HE$13:$HE$512,0)),""))))</x:f>
      </x:c>
      <x:c r="IB75" t="str">
        <x:f>IF('Calculations'!IA75="","",IF('Calculations'!IA75="!AMBIG","!AMBIG",IF(COUNTIF('Calculations'!$HE$13:$HE$512,"="&amp;SUBSTITUTE(SUBSTITUTE(SUBSTITUTE('Calculations'!IA75,"~","~~"),"*","~*"),"?","~?"))&gt;1,"!AMBIG",IFERROR(INDEX('Calculations'!$HF$13:$HF$512,MATCH('Calculations'!IA75,'Calculations'!$HE$13:$HE$512,0)),""))))</x:f>
      </x:c>
      <x:c r="IC75" t="str">
        <x:f>IF('Calculations'!IB75="","",IF('Calculations'!IB75="!AMBIG","!AMBIG",IF(COUNTIF('Calculations'!$HE$13:$HE$512,"="&amp;SUBSTITUTE(SUBSTITUTE(SUBSTITUTE('Calculations'!IB75,"~","~~"),"*","~*"),"?","~?"))&gt;1,"!AMBIG",IFERROR(INDEX('Calculations'!$HF$13:$HF$512,MATCH('Calculations'!IB75,'Calculations'!$HE$13:$HE$512,0)),""))))</x:f>
      </x:c>
      <x:c r="ID75" t="str">
        <x:f>IF('Calculations'!IC75="","",IF('Calculations'!IC75="!AMBIG","!AMBIG",IF(COUNTIF('Calculations'!$HE$13:$HE$512,"="&amp;SUBSTITUTE(SUBSTITUTE(SUBSTITUTE('Calculations'!IC75,"~","~~"),"*","~*"),"?","~?"))&gt;1,"!AMBIG",IFERROR(INDEX('Calculations'!$HF$13:$HF$512,MATCH('Calculations'!IC75,'Calculations'!$HE$13:$HE$512,0)),""))))</x:f>
      </x:c>
      <x:c r="IE75" t="str">
        <x:f>IF('Calculations'!ID75="","",IF('Calculations'!ID75="!AMBIG","!AMBIG",IF(COUNTIF('Calculations'!$HE$13:$HE$512,"="&amp;SUBSTITUTE(SUBSTITUTE(SUBSTITUTE('Calculations'!ID75,"~","~~"),"*","~*"),"?","~?"))&gt;1,"!AMBIG",IFERROR(INDEX('Calculations'!$HF$13:$HF$512,MATCH('Calculations'!ID75,'Calculations'!$HE$13:$HE$512,0)),""))))</x:f>
      </x:c>
      <x:c r="IF75" t="str">
        <x:f>IF('Calculations'!IE75="","",IF('Calculations'!IE75="!AMBIG","!AMBIG",IF(COUNTIF('Calculations'!$HE$13:$HE$512,"="&amp;SUBSTITUTE(SUBSTITUTE(SUBSTITUTE('Calculations'!IE75,"~","~~"),"*","~*"),"?","~?"))&gt;1,"!AMBIG",IFERROR(INDEX('Calculations'!$HF$13:$HF$512,MATCH('Calculations'!IE75,'Calculations'!$HE$13:$HE$512,0)),""))))</x:f>
      </x:c>
      <x:c r="IG75" t="str">
        <x:f>IF('Calculations'!IF75="","",IF('Calculations'!IF75="!AMBIG","!AMBIG",IF(COUNTIF('Calculations'!$HE$13:$HE$512,"="&amp;SUBSTITUTE(SUBSTITUTE(SUBSTITUTE('Calculations'!IF75,"~","~~"),"*","~*"),"?","~?"))&gt;1,"!AMBIG",IFERROR(INDEX('Calculations'!$HF$13:$HF$512,MATCH('Calculations'!IF75,'Calculations'!$HE$13:$HE$512,0)),""))))</x:f>
      </x:c>
      <x:c r="IH75" t="str">
        <x:f>IF('Calculations'!IG75="","",IF('Calculations'!IG75="!AMBIG","!AMBIG",IF(COUNTIF('Calculations'!$HE$13:$HE$512,"="&amp;SUBSTITUTE(SUBSTITUTE(SUBSTITUTE('Calculations'!IG75,"~","~~"),"*","~*"),"?","~?"))&gt;1,"!AMBIG",IFERROR(INDEX('Calculations'!$HF$13:$HF$512,MATCH('Calculations'!IG75,'Calculations'!$HE$13:$HE$512,0)),""))))</x:f>
      </x:c>
      <x:c r="II75" t="str">
        <x:f>IF('Calculations'!IH75="","",IF('Calculations'!IH75="!AMBIG","!AMBIG",IF(COUNTIF('Calculations'!$HE$13:$HE$512,"="&amp;SUBSTITUTE(SUBSTITUTE(SUBSTITUTE('Calculations'!IH75,"~","~~"),"*","~*"),"?","~?"))&gt;1,"!AMBIG",IFERROR(INDEX('Calculations'!$HF$13:$HF$512,MATCH('Calculations'!IH75,'Calculations'!$HE$13:$HE$512,0)),""))))</x:f>
      </x:c>
      <x:c r="IJ75" t="str">
        <x:f>IF('Calculations'!EM75="","",IF('Calculations'!$EF$2="All",'Calculations'!HM75,IF('Calculations'!HL75=1,"",IFERROR(IF(MATCH('Calculations'!$EF$2,'Calculations'!HO75:II75,0)=1,'Calculations'!HE75,INDEX('Calculations'!HO75:II75,1,MATCH('Calculations'!$EF$2,'Calculations'!HO75:II75,0)-1)),""))))</x:f>
      </x:c>
      <x:c r="IK75" t="n">
        <x:f>IF(AND('Calculations'!EM75&lt;&gt;"",'Calculations'!$EF$2&lt;&gt;"All",'Calculations'!HF75='Calculations'!$EF$2,'Calculations'!HL75=0,'Calculations'!JD75&gt;0),MAX('Calculations'!$IK$12:IK74)+1,0)</x:f>
        <x:v>0</x:v>
      </x:c>
      <x:c r="JA75" t="n">
        <x:f>IF(OR(IFERROR(INDIRECT("'WCM Calibration Final'!$A$75")&lt;&gt;"",FALSE),IFERROR(INDIRECT("'WCM Calibration Final'!$B$75")&lt;&gt;"",FALSE),IFERROR(INDIRECT("'WCM Calibration Final'!$C$75")&lt;&gt;"",FALSE)),75,0)</x:f>
        <x:v>0</x:v>
      </x:c>
      <x:c r="JB75" t="n">
        <x:f>'Calculations'!JB74+IF('Calculations'!JA75&gt;0,1,0)</x:f>
        <x:v>0</x:v>
      </x:c>
      <x:c r="JC75" t="n">
        <x:f>IF(OR('Calculations'!HF75="",'Calculations'!HF75="!AMBIG"),0,IF('Dashboard'!$B$7="All",1,COUNTIFS('Calculations'!$HO$13:$HO$512,"="&amp;SUBSTITUTE(SUBSTITUTE(SUBSTITUTE('Calculations'!HF75,"~","~~"),"*","~*"),"?","~?"),'Calculations'!$HN$13:$HN$512,"="&amp;SUBSTITUTE(SUBSTITUTE(SUBSTITUTE('Dashboard'!$B$7,"~","~~"),"*","~*"),"?","~?"))+COUNTIFS('Calculations'!$HP$13:$HP$512,"="&amp;SUBSTITUTE(SUBSTITUTE(SUBSTITUTE('Calculations'!HF75,"~","~~"),"*","~*"),"?","~?"),'Calculations'!$HN$13:$HN$512,"="&amp;SUBSTITUTE(SUBSTITUTE(SUBSTITUTE('Dashboard'!$B$7,"~","~~"),"*","~*"),"?","~?"))+COUNTIFS('Calculations'!$HQ$13:$HQ$512,"="&amp;SUBSTITUTE(SUBSTITUTE(SUBSTITUTE('Calculations'!HF75,"~","~~"),"*","~*"),"?","~?"),'Calculations'!$HN$13:$HN$512,"="&amp;SUBSTITUTE(SUBSTITUTE(SUBSTITUTE('Dashboard'!$B$7,"~","~~"),"*","~*"),"?","~?"))+COUNTIFS('Calculations'!$HR$13:$HR$512,"="&amp;SUBSTITUTE(SUBSTITUTE(SUBSTITUTE('Calculations'!HF75,"~","~~"),"*","~*"),"?","~?"),'Calculations'!$HN$13:$HN$512,"="&amp;SUBSTITUTE(SUBSTITUTE(SUBSTITUTE('Dashboard'!$B$7,"~","~~"),"*","~*"),"?","~?"))+COUNTIFS('Calculations'!$HS$13:$HS$512,"="&amp;SUBSTITUTE(SUBSTITUTE(SUBSTITUTE('Calculations'!HF75,"~","~~"),"*","~*"),"?","~?"),'Calculations'!$HN$13:$HN$512,"="&amp;SUBSTITUTE(SUBSTITUTE(SUBSTITUTE('Dashboard'!$B$7,"~","~~"),"*","~*"),"?","~?"))+COUNTIFS('Calculations'!$HT$13:$HT$512,"="&amp;SUBSTITUTE(SUBSTITUTE(SUBSTITUTE('Calculations'!HF75,"~","~~"),"*","~*"),"?","~?"),'Calculations'!$HN$13:$HN$512,"="&amp;SUBSTITUTE(SUBSTITUTE(SUBSTITUTE('Dashboard'!$B$7,"~","~~"),"*","~*"),"?","~?"))+COUNTIFS('Calculations'!$HU$13:$HU$512,"="&amp;SUBSTITUTE(SUBSTITUTE(SUBSTITUTE('Calculations'!HF75,"~","~~"),"*","~*"),"?","~?"),'Calculations'!$HN$13:$HN$512,"="&amp;SUBSTITUTE(SUBSTITUTE(SUBSTITUTE('Dashboard'!$B$7,"~","~~"),"*","~*"),"?","~?"))+COUNTIFS('Calculations'!$HV$13:$HV$512,"="&amp;SUBSTITUTE(SUBSTITUTE(SUBSTITUTE('Calculations'!HF75,"~","~~"),"*","~*"),"?","~?"),'Calculations'!$HN$13:$HN$512,"="&amp;SUBSTITUTE(SUBSTITUTE(SUBSTITUTE('Dashboard'!$B$7,"~","~~"),"*","~*"),"?","~?"))+COUNTIFS('Calculations'!$HW$13:$HW$512,"="&amp;SUBSTITUTE(SUBSTITUTE(SUBSTITUTE('Calculations'!HF75,"~","~~"),"*","~*"),"?","~?"),'Calculations'!$HN$13:$HN$512,"="&amp;SUBSTITUTE(SUBSTITUTE(SUBSTITUTE('Dashboard'!$B$7,"~","~~"),"*","~*"),"?","~?"))+COUNTIFS('Calculations'!$HX$13:$HX$512,"="&amp;SUBSTITUTE(SUBSTITUTE(SUBSTITUTE('Calculations'!HF75,"~","~~"),"*","~*"),"?","~?"),'Calculations'!$HN$13:$HN$512,"="&amp;SUBSTITUTE(SUBSTITUTE(SUBSTITUTE('Dashboard'!$B$7,"~","~~"),"*","~*"),"?","~?"))+COUNTIFS('Calculations'!$HY$13:$HY$512,"="&amp;SUBSTITUTE(SUBSTITUTE(SUBSTITUTE('Calculations'!HF75,"~","~~"),"*","~*"),"?","~?"),'Calculations'!$HN$13:$HN$512,"="&amp;SUBSTITUTE(SUBSTITUTE(SUBSTITUTE('Dashboard'!$B$7,"~","~~"),"*","~*"),"?","~?"))+COUNTIFS('Calculations'!$HZ$13:$HZ$512,"="&amp;SUBSTITUTE(SUBSTITUTE(SUBSTITUTE('Calculations'!HF75,"~","~~"),"*","~*"),"?","~?"),'Calculations'!$HN$13:$HN$512,"="&amp;SUBSTITUTE(SUBSTITUTE(SUBSTITUTE('Dashboard'!$B$7,"~","~~"),"*","~*"),"?","~?"))+COUNTIFS('Calculations'!$IA$13:$IA$512,"="&amp;SUBSTITUTE(SUBSTITUTE(SUBSTITUTE('Calculations'!HF75,"~","~~"),"*","~*"),"?","~?"),'Calculations'!$HN$13:$HN$512,"="&amp;SUBSTITUTE(SUBSTITUTE(SUBSTITUTE('Dashboard'!$B$7,"~","~~"),"*","~*"),"?","~?"))+COUNTIFS('Calculations'!$IB$13:$IB$512,"="&amp;SUBSTITUTE(SUBSTITUTE(SUBSTITUTE('Calculations'!HF75,"~","~~"),"*","~*"),"?","~?"),'Calculations'!$HN$13:$HN$512,"="&amp;SUBSTITUTE(SUBSTITUTE(SUBSTITUTE('Dashboard'!$B$7,"~","~~"),"*","~*"),"?","~?"))+COUNTIFS('Calculations'!$IC$13:$IC$512,"="&amp;SUBSTITUTE(SUBSTITUTE(SUBSTITUTE('Calculations'!HF75,"~","~~"),"*","~*"),"?","~?"),'Calculations'!$HN$13:$HN$512,"="&amp;SUBSTITUTE(SUBSTITUTE(SUBSTITUTE('Dashboard'!$B$7,"~","~~"),"*","~*"),"?","~?"))+COUNTIFS('Calculations'!$ID$13:$ID$512,"="&amp;SUBSTITUTE(SUBSTITUTE(SUBSTITUTE('Calculations'!HF75,"~","~~"),"*","~*"),"?","~?"),'Calculations'!$HN$13:$HN$512,"="&amp;SUBSTITUTE(SUBSTITUTE(SUBSTITUTE('Dashboard'!$B$7,"~","~~"),"*","~*"),"?","~?"))+COUNTIFS('Calculations'!$IE$13:$IE$512,"="&amp;SUBSTITUTE(SUBSTITUTE(SUBSTITUTE('Calculations'!HF75,"~","~~"),"*","~*"),"?","~?"),'Calculations'!$HN$13:$HN$512,"="&amp;SUBSTITUTE(SUBSTITUTE(SUBSTITUTE('Dashboard'!$B$7,"~","~~"),"*","~*"),"?","~?"))+COUNTIFS('Calculations'!$IF$13:$IF$512,"="&amp;SUBSTITUTE(SUBSTITUTE(SUBSTITUTE('Calculations'!HF75,"~","~~"),"*","~*"),"?","~?"),'Calculations'!$HN$13:$HN$512,"="&amp;SUBSTITUTE(SUBSTITUTE(SUBSTITUTE('Dashboard'!$B$7,"~","~~"),"*","~*"),"?","~?"))+COUNTIFS('Calculations'!$IG$13:$IG$512,"="&amp;SUBSTITUTE(SUBSTITUTE(SUBSTITUTE('Calculations'!HF75,"~","~~"),"*","~*"),"?","~?"),'Calculations'!$HN$13:$HN$512,"="&amp;SUBSTITUTE(SUBSTITUTE(SUBSTITUTE('Dashboard'!$B$7,"~","~~"),"*","~*"),"?","~?"))+COUNTIFS('Calculations'!$IH$13:$IH$512,"="&amp;SUBSTITUTE(SUBSTITUTE(SUBSTITUTE('Calculations'!HF75,"~","~~"),"*","~*"),"?","~?"),'Calculations'!$HN$13:$HN$512,"="&amp;SUBSTITUTE(SUBSTITUTE(SUBSTITUTE('Dashboard'!$B$7,"~","~~"),"*","~*"),"?","~?"))))</x:f>
        <x:v>0</x:v>
      </x:c>
      <x:c r="JD75" t="n">
        <x:f>IF('Calculations'!EM75="",0,IF('Dashboard'!$B$7="All",1,IF('Calculations'!HN75='Dashboard'!$B$7,1,0)+IFERROR(INDEX('Calculations'!$JC$13:$JC$512,MATCH('Calculations'!HE75,'Calculations'!$HF$13:$HF$512,0)),0)))</x:f>
        <x:v>0</x:v>
      </x:c>
      <x:c r="JE75" t="n">
        <x:f>IF(AND('Calculations'!EM75&lt;&gt;"",'Calculations'!$JJ$2&lt;&gt;"All",'Calculations'!$JJ$2&lt;&gt;"",'Calculations'!HF75='Calculations'!$JJ$2,'Calculations'!HL75=0,'Calculations'!JD75&gt;0),MAX('Calculations'!$JE$12:JE74)+1,0)</x:f>
        <x:v>0</x:v>
      </x:c>
      <x:c r="JF75" t="str">
        <x:f>IF('Calculations'!EM75="","",IFERROR(IF(INDEX(INDIRECT("'WCM Calibration Final'!$G$1:$G$2000"),'Calculations'!$EM75)="","",TRIM(INDEX(INDIRECT("'WCM Calibration Final'!$G$1:$G$2000"),'Calculations'!$EM75)&amp;"")),""))</x:f>
      </x:c>
      <x:c r="JQ75" t="n">
        <x:f>IF(OR('Calculations'!BM75=0,NOT('Calculations'!$AG$2),'Calculations'!$AG$8&gt;0),0,IF(OR('Dashboard'!$B$7="All",'Calculations'!HN75='Dashboard'!$B$7),IF('Calculations'!$JJ$2="All",1,IF(AND('Calculations'!HF75='Calculations'!$JJ$2,'Calculations'!HL75=0),1,0)),0))</x:f>
        <x:v>0</x:v>
      </x:c>
    </x:row>
    <x:row r="76">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t="n">
        <x:f>IF('Calculations'!$EM76="",0,IF(OR(IFERROR(INDEX(INDIRECT("'WCM Calibration Final'!$A$1:$A$2000"),'Calculations'!$EM76)&lt;&gt;"",FALSE),IFERROR(INDEX(INDIRECT("'WCM Calibration Final'!$B$1:$B$2000"),'Calculations'!$EM76)&lt;&gt;"",FALSE),IFERROR(INDEX(INDIRECT("'WCM Calibration Final'!$C$1:$C$2000"),'Calculations'!$EM76)&lt;&gt;"",FALSE)),1,0))</x:f>
        <x:v>0</x:v>
      </x:c>
      <x:c r="BN76" s="4" t="n">
        <x:f>IF(AND('Calculations'!BM76=1,'Calculations'!$AG$2,'Calculations'!$EN76=1),1,0)</x:f>
        <x:v>0</x:v>
      </x:c>
      <x:c r="BO76" s="4" t="str">
        <x:f>IF('Calculations'!BM76=0,"",IFERROR(IF(AND(VALUE(INDEX(INDIRECT("'WCM Calibration Final'!$K$1:$K$2000"),'Calculations'!$EM76))&gt;=1,VALUE(INDEX(INDIRECT("'WCM Calibration Final'!$K$1:$K$2000"),'Calculations'!$EM76))&lt;=4,MOD(VALUE(INDEX(INDIRECT("'WCM Calibration Final'!$K$1:$K$2000"),'Calculations'!$EM76)),1)=0),VALUE(INDEX(INDIRECT("'WCM Calibration Final'!$K$1:$K$2000"),'Calculations'!$EM76)),""),""))</x:f>
      </x:c>
      <x:c r="BP76" s="4" t="str">
        <x:f>IF('Calculations'!BM76=0,"",IFERROR(IF(AND(VALUE(INDEX(INDIRECT("'WCM Calibration Final'!$L$1:$L$2000"),'Calculations'!$EM76))&gt;=1,VALUE(INDEX(INDIRECT("'WCM Calibration Final'!$L$1:$L$2000"),'Calculations'!$EM76))&lt;=4,MOD(VALUE(INDEX(INDIRECT("'WCM Calibration Final'!$L$1:$L$2000"),'Calculations'!$EM76)),1)=0),VALUE(INDEX(INDIRECT("'WCM Calibration Final'!$L$1:$L$2000"),'Calculations'!$EM76)),""),""))</x:f>
      </x:c>
      <x:c r="BQ76" s="4"/>
      <x:c r="BR76" s="4"/>
      <x:c r="BS76" s="4"/>
      <x:c r="BT76" s="4" t="n">
        <x:f>IF(AND('Calculations'!BM76=1,ISNUMBER('Calculations'!BO76),ISNUMBER('Calculations'!BP76)),1,0)</x:f>
        <x:v>0</x:v>
      </x:c>
      <x:c r="BU76" s="4" t="str">
        <x:f>IF('Calculations'!BM76=0,"",'Calculations'!$EO76)</x:f>
      </x:c>
      <x:c r="BV76" s="4" t="str">
        <x:f>IF('Calculations'!BM76=0,"",IFERROR(IF(OR(INDEX(INDIRECT("'WCM Calibration Final'!$H$1:$H$2000"),'Calculations'!$EM76)="MANAGING DIRECTOR",INDEX(INDIRECT("'WCM Calibration Final'!$H$1:$H$2000"),'Calculations'!$EM76)="DIRECTOR",INDEX(INDIRECT("'WCM Calibration Final'!$H$1:$H$2000"),'Calculations'!$EM76)="SENIOR VICE PRESIDENT",INDEX(INDIRECT("'WCM Calibration Final'!$H$1:$H$2000"),'Calculations'!$EM76)="VICE PRESIDENT",INDEX(INDIRECT("'WCM Calibration Final'!$H$1:$H$2000"),'Calculations'!$EM76)="ASSISTANT VICE PRESIDENT",INDEX(INDIRECT("'WCM Calibration Final'!$H$1:$H$2000"),'Calculations'!$EM76)="OFFICER"),UPPER(INDEX(INDIRECT("'WCM Calibration Final'!$H$1:$H$2000"),'Calculations'!$EM76)),"Other"),"Other"))</x:f>
      </x:c>
      <x:c r="BW76" s="4"/>
      <x:c r="BX76" s="4"/>
      <x:c r="BY76" s="4" t="n">
        <x:f>IF(AND('Calculations'!BM76=1,'Calculations'!BU76&lt;&gt;"",COUNTIF('Calculations'!$BU$12:BU76,'Calculations'!BU76)=1),MAX('Calculations'!$BY$11:BY75)+1,0)</x:f>
        <x:v>0</x:v>
      </x:c>
      <x:c r="BZ76" s="4" t="str">
        <x:f>IF('Dashboard'!$E$67="What",'Calculations'!BO76,'Calculations'!BP76)</x:f>
      </x:c>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t="str">
        <x:f>IF(65&gt;MAX('Calculations'!$HI$13:$HI$512),"",INDEX('Calculations'!$HN$13:$HN$512,MATCH(65,'Calculations'!$HI$13:$HI$512,0)))</x:f>
      </x:c>
      <x:c r="DB76" s="4" t="str">
        <x:f>IF(65&gt;MAX('Calculations'!$HH$13:$HH$512),"",INDEX('Calculations'!$HJ$13:$HJ$512,MATCH(65,'Calculations'!$HH$13:$HH$512,0)))</x:f>
      </x:c>
      <x:c r="DC76" s="4" t="str">
        <x:f>IF(ROW()-11&gt;MAX('Calculations'!$BY$13:$BY$512),"",INDEX('Calculations'!$BU$13:$BU$512,MATCH(ROW()-11,'Calculations'!$BY$13:$BY$512,0)))</x:f>
      </x:c>
      <x:c r="DD76" s="4" t="str">
        <x:f>IF(65&gt;MAX('Calculations'!$IK$13:$IK$512),"",INDEX('Calculations'!$HK$13:$HK$512,MATCH(65,'Calculations'!$IK$13:$IK$512,0)))</x:f>
      </x:c>
      <x:c r="DE76" s="4" t="str">
        <x:f>'Calculations'!DC76</x:f>
      </x:c>
      <x:c r="DF76" s="4" t="str">
        <x:f>IF('Calculations'!DE76="","",COUNTIFS('Calculations'!$BN$13:$BN$512,1,'Calculations'!$BU$13:$BU$512,'Calculations'!DE76))</x:f>
      </x:c>
      <x:c r="DG76" s="4" t="str">
        <x:f>IF('Calculations'!DE76="","",COUNTIFS('Calculations'!$BN$13:$BN$512,1,'Calculations'!$BU$13:$BU$512,'Calculations'!DE76,'Calculations'!$BT$13:$BT$512,1))</x:f>
      </x:c>
      <x:c r="DH76" s="4" t="str">
        <x:f>IF('Calculations'!DE76="","",'Calculations'!DF76-'Calculations'!DG76)</x:f>
      </x:c>
      <x:c r="DI76" s="4" t="str">
        <x:f>IF(OR('Calculations'!DE76="",'Calculations'!DF76=0),"",'Calculations'!DG76/'Calculations'!DF76)</x:f>
      </x:c>
      <x:c r="DJ76" s="4" t="str">
        <x:f>IF('Calculations'!DE76="","",COUNTIFS('Calculations'!$BN$13:$BN$512,1,'Calculations'!$BU$13:$BU$512,'Calculations'!DE76,'Calculations'!$BT$13:$BT$512,1,'Calculations'!$EE$13:$EE$512,"High"))</x:f>
      </x:c>
      <x:c r="DK76" s="4" t="str">
        <x:f>IF('Calculations'!DE76="","",COUNTIFS('Calculations'!$BN$13:$BN$512,1,'Calculations'!$BU$13:$BU$512,'Calculations'!DE76,'Calculations'!$BT$13:$BT$512,1,'Calculations'!$EE$13:$EE$512,"Strong"))</x:f>
      </x:c>
      <x:c r="DL76" s="4" t="str">
        <x:f>IF('Calculations'!DE76="","",COUNTIFS('Calculations'!$BN$13:$BN$512,1,'Calculations'!$BU$13:$BU$512,'Calculations'!DE76,'Calculations'!$BT$13:$BT$512,1,'Calculations'!$EE$13:$EE$512,"Solid"))</x:f>
      </x:c>
      <x:c r="DM76" s="4" t="str">
        <x:f>IF('Calculations'!DE76="","",COUNTIFS('Calculations'!$BN$13:$BN$512,1,'Calculations'!$BU$13:$BU$512,'Calculations'!DE76,'Calculations'!$BT$13:$BT$512,1,'Calculations'!$EE$13:$EE$512,"Low"))</x:f>
      </x:c>
      <x:c r="DN76" s="4" t="str">
        <x:f>IF('Calculations'!DE76="","",COUNTIFS('Calculations'!$BN$13:$BN$512,1,'Calculations'!$BU$13:$BU$512,'Calculations'!DE76,'Calculations'!$EP$13:$EP$512,1))</x:f>
      </x:c>
      <x:c r="DO76" s="4" t="str">
        <x:f>IF(OR('Calculations'!DE76="",'Calculations'!DG76=0),"",('Calculations'!DJ76+'Calculations'!DK76)/'Calculations'!DG76)</x:f>
      </x:c>
      <x:c r="DP76" s="4" t="n">
        <x:f>IF(AND('Calculations'!DE76&lt;&gt;"",'Calculations'!DF76&gt;0),COUNTIF('Calculations'!$DF$12:DF76,"&gt;0"),0)</x:f>
        <x:v>0</x:v>
      </x:c>
      <x:c r="DQ76" s="4" t="str">
        <x:f>IF(65&gt;MAX('Calculations'!$HH$13:$HH$512),"",INDEX('Calculations'!$HF$13:$HF$512,MATCH(65,'Calculations'!$HH$13:$HH$512,0)))</x:f>
      </x:c>
      <x:c r="DR76" s="4" t="str">
        <x:f>IF(65&gt;MAX('Calculations'!$IK$13:$IK$512),"",INDEX('Calculations'!$HE$13:$HE$512,MATCH(65,'Calculations'!$IK$13:$IK$512,0)))</x:f>
      </x:c>
      <x:c r="DS76" s="4"/>
      <x:c r="DT76" s="4"/>
      <x:c r="DU76" s="4"/>
      <x:c r="DV76" s="4"/>
      <x:c r="DW76" s="4"/>
      <x:c r="DX76" s="4"/>
      <x:c r="DY76" s="4"/>
      <x:c r="DZ76" s="4"/>
      <x:c r="EA76" s="4"/>
      <x:c r="EB76" s="4"/>
      <x:c r="EC76" s="4"/>
      <x:c r="ED76" s="4"/>
      <x:c r="EE76" s="4" t="str">
        <x:f>IF('Calculations'!BT76=0,"Not Rated",IF(OR('Calculations'!BO76&gt;=4,'Calculations'!BP76&gt;=4),"Low",IF('Calculations'!BO76+'Calculations'!BP76&lt;=3,"High",IF('Calculations'!BO76+'Calculations'!BP76&lt;=4,"Strong","Solid"))))</x:f>
        <x:v>Not Rated</x:v>
      </x:c>
      <x:c r="EF76" s="4"/>
      <x:c r="EG76" s="4"/>
      <x:c r="EH76" s="4"/>
      <x:c r="EI76" s="4"/>
      <x:c r="EJ76" s="4"/>
      <x:c r="EK76" s="4"/>
      <x:c r="EL76" s="4"/>
      <x:c r="EM76" s="4" t="str">
        <x:f>IF(64&gt;'Calculations'!$JB$2000,"",INDEX('Calculations'!$JA$12:$JA$2000,MATCH(64,'Calculations'!$JB$12:$JB$2000,0)))</x:f>
      </x:c>
      <x:c r="EN76" s="4" t="n">
        <x:f>IF(OR('Calculations'!EM76="",'Calculations'!$AG$8&gt;0,AND('Calculations'!$EF$2&lt;&gt;"All",'Calculations'!HE76='Calculations'!$EF$2),AND('Calculations'!$EF$3&lt;&gt;"All",'Calculations'!HE76='Calculations'!$EF$3)),0,IF(OR('Dashboard'!$B$7="All",'Calculations'!HN76='Dashboard'!$B$7),IF('Calculations'!$EF$2="All",1,IF('Calculations'!HL76&gt;0,0,IF(COUNTIF('Calculations'!HO76:II76,"="&amp;SUBSTITUTE(SUBSTITUTE(SUBSTITUTE('Calculations'!$EF$2,"~","~~"),"*","~*"),"?","~?"))=0,0,IF('Calculations'!$EF$3="All",1,IF(COUNTIF('Calculations'!HO76:II76,"="&amp;SUBSTITUTE(SUBSTITUTE(SUBSTITUTE('Calculations'!$EF$3,"~","~~"),"*","~*"),"?","~?"))&gt;0,1,0))))),0))</x:f>
        <x:v>0</x:v>
      </x:c>
      <x:c r="EO76" s="4" t="str">
        <x:f>IF('Calculations'!IJ76="","",IF('Calculations'!IJ76="!UNRESOLVED","Unresolved hierarchy",IFERROR(INDEX('Calculations'!$HK$13:$HK$512,MATCH('Calculations'!IJ76,'Calculations'!$HE$13:$HE$512,0)),IFERROR(INDEX('Calculations'!$HJ$13:$HJ$512,MATCH('Calculations'!IJ76,'Calculations'!$HF$13:$HF$512,0)),'Calculations'!IJ76))))</x:f>
      </x:c>
      <x:c r="EP76" s="4" t="n">
        <x:f>IF(AND('Calculations'!EM76&lt;&gt;"",'Calculations'!HF76='Calculations'!IJ76),1,0)</x:f>
        <x:v>0</x:v>
      </x:c>
      <x:c r="EQ76" s="4"/>
      <x:c r="ER76" s="4"/>
      <x:c r="ES76" s="4"/>
      <x:c r="ET76" s="4"/>
      <x:c r="EU76" s="4"/>
      <x:c r="EV76" s="4"/>
      <x:c r="EW76" s="4"/>
      <x:c r="EX76" s="4"/>
      <x:c r="EY76" s="4"/>
      <x:c r="EZ76" s="4"/>
      <x:c r="FA76" s="4"/>
      <x:c r="FB76" s="4"/>
      <x:c r="FC76" s="4"/>
      <x:c r="FD76" s="4"/>
      <x:c r="FE76" s="4"/>
      <x:c r="FF76" s="4"/>
      <x:c r="FG76" s="4"/>
      <x:c r="FH76" s="4"/>
      <x:c r="FI76" s="4"/>
      <x:c r="FJ76" s="4"/>
      <x:c r="FK76" s="4"/>
      <x:c r="FL76" s="4"/>
      <x:c r="FM76" s="4"/>
      <x:c r="FN76" s="4"/>
      <x:c r="FO76" s="4"/>
      <x:c r="GA76" s="71"/>
      <x:c r="GB76" s="71"/>
      <x:c r="GC76" s="71"/>
      <x:c r="GD76" s="71"/>
      <x:c r="GE76" s="71"/>
      <x:c r="GF76" s="71"/>
      <x:c r="GG76" s="71"/>
      <x:c r="GH76" s="71"/>
      <x:c r="GI76" s="71"/>
      <x:c r="GJ76" s="71"/>
      <x:c r="GK76" s="71"/>
      <x:c r="GL76" s="71"/>
      <x:c r="GM76" s="71"/>
      <x:c r="GN76" s="71"/>
      <x:c r="GO76" s="71"/>
      <x:c r="GP76" s="71"/>
      <x:c r="GQ76" s="71"/>
      <x:c r="GR76" s="71"/>
      <x:c r="GS76" s="71"/>
      <x:c r="GT76" s="71"/>
      <x:c r="GU76" s="71"/>
      <x:c r="GV76" s="71"/>
      <x:c r="GW76" s="71"/>
      <x:c r="GX76" s="71"/>
      <x:c r="GY76" s="71"/>
      <x:c r="GZ76" s="71"/>
      <x:c r="HA76" s="71"/>
      <x:c r="HB76" s="71"/>
      <x:c r="HC76" s="71"/>
      <x:c r="HD76" s="71"/>
      <x:c r="HE76" t="str">
        <x:f>IF('Calculations'!EM76="","",IF(IFERROR(IF(INDEX(INDIRECT("'WCM Calibration Final'!$A$1:$A$2000"),'Calculations'!$EM76)="","",TRIM(INDEX(INDIRECT("'WCM Calibration Final'!$A$1:$A$2000"),'Calculations'!$EM76)&amp;"")),"")&lt;&gt;"","G:"&amp;IFERROR(TEXT(1*INDEX(INDIRECT("'WCM Calibration Final'!$A$1:$A$2000"),'Calculations'!$EM76),"0"),UPPER(IFERROR(IF(INDEX(INDIRECT("'WCM Calibration Final'!$A$1:$A$2000"),'Calculations'!$EM76)="","",TRIM(INDEX(INDIRECT("'WCM Calibration Final'!$A$1:$A$2000"),'Calculations'!$EM76)&amp;"")),""))),IF(IFERROR(IF(INDEX(INDIRECT("'WCM Calibration Final'!$C$1:$C$2000"),'Calculations'!$EM76)="","",TRIM(INDEX(INDIRECT("'WCM Calibration Final'!$C$1:$C$2000"),'Calculations'!$EM76)&amp;"")),"")&lt;&gt;"","S:"&amp;UPPER(IFERROR(IF(INDEX(INDIRECT("'WCM Calibration Final'!$C$1:$C$2000"),'Calculations'!$EM76)="","",TRIM(INDEX(INDIRECT("'WCM Calibration Final'!$C$1:$C$2000"),'Calculations'!$EM76)&amp;"")),"")),"R:"&amp;'Calculations'!EM76)))</x:f>
      </x:c>
      <x:c r="HF76" t="str">
        <x:f>IF('Calculations'!EM76="","",IF(IFERROR(IF(INDEX(INDIRECT("'WCM Calibration Final'!$D$1:$D$2000"),'Calculations'!$EM76)="","",TRIM(INDEX(INDIRECT("'WCM Calibration Final'!$D$1:$D$2000"),'Calculations'!$EM76)&amp;"")),"")&lt;&gt;"","G:"&amp;IFERROR(TEXT(1*INDEX(INDIRECT("'WCM Calibration Final'!$D$1:$D$2000"),'Calculations'!$EM76),"0"),UPPER(IFERROR(IF(INDEX(INDIRECT("'WCM Calibration Final'!$D$1:$D$2000"),'Calculations'!$EM76)="","",TRIM(INDEX(INDIRECT("'WCM Calibration Final'!$D$1:$D$2000"),'Calculations'!$EM76)&amp;"")),""))),IF(IFERROR(IF(INDEX(INDIRECT("'WCM Calibration Final'!$E$1:$E$2000"),'Calculations'!$EM76)="","",TRIM(INDEX(INDIRECT("'WCM Calibration Final'!$E$1:$E$2000"),'Calculations'!$EM76)&amp;"")),"")="","",IF(COUNTIF('Calculations'!$HG$13:$HG$512,"="&amp;SUBSTITUTE(SUBSTITUTE(SUBSTITUTE(IFERROR(IF(INDEX(INDIRECT("'WCM Calibration Final'!$E$1:$E$2000"),'Calculations'!$EM76)="","",TRIM(INDEX(INDIRECT("'WCM Calibration Final'!$E$1:$E$2000"),'Calculations'!$EM76)&amp;"")),""),"~","~~"),"*","~*"),"?","~?"))=1,INDEX('Calculations'!$HE$13:$HE$512,MATCH(IFERROR(IF(INDEX(INDIRECT("'WCM Calibration Final'!$E$1:$E$2000"),'Calculations'!$EM76)="","",TRIM(INDEX(INDIRECT("'WCM Calibration Final'!$E$1:$E$2000"),'Calculations'!$EM76)&amp;"")),""),'Calculations'!$HG$13:$HG$512,0)),IF(COUNTIF('Calculations'!$HG$13:$HG$512,"="&amp;SUBSTITUTE(SUBSTITUTE(SUBSTITUTE(IFERROR(IF(INDEX(INDIRECT("'WCM Calibration Final'!$E$1:$E$2000"),'Calculations'!$EM76)="","",TRIM(INDEX(INDIRECT("'WCM Calibration Final'!$E$1:$E$2000"),'Calculations'!$EM76)&amp;"")),""),"~","~~"),"*","~*"),"?","~?"))&gt;1,"!AMBIG","X:"&amp;IFERROR(IF(INDEX(INDIRECT("'WCM Calibration Final'!$E$1:$E$2000"),'Calculations'!$EM76)="","",TRIM(INDEX(INDIRECT("'WCM Calibration Final'!$E$1:$E$2000"),'Calculations'!$EM76)&amp;"")),""))))))</x:f>
      </x:c>
      <x:c r="HG76" t="str">
        <x:f>IF('Calculations'!EM76="","",IFERROR(IF(INDEX(INDIRECT("'WCM Calibration Final'!$B$1:$B$2000"),'Calculations'!$EM76)="","",TRIM(INDEX(INDIRECT("'WCM Calibration Final'!$B$1:$B$2000"),'Calculations'!$EM76)&amp;"")),""))</x:f>
      </x:c>
      <x:c r="HH76" t="n">
        <x:f>IF(AND('Calculations'!JC76&gt;0,COUNTIF('Calculations'!$HF$12:HF76,"="&amp;SUBSTITUTE(SUBSTITUTE(SUBSTITUTE('Calculations'!HF76,"~","~~"),"*","~*"),"?","~?"))=1),MAX('Calculations'!$HH$12:HH75)+1,0)</x:f>
        <x:v>0</x:v>
      </x:c>
      <x:c r="HI76" t="n">
        <x:f>IF(AND('Calculations'!HN76&lt;&gt;"",COUNTIF('Calculations'!$HN$12:HN76,"="&amp;SUBSTITUTE(SUBSTITUTE(SUBSTITUTE('Calculations'!HN76,"~","~~"),"*","~*"),"?","~?"))=1),MAX('Calculations'!$HI$12:HI75)+1,0)</x:f>
        <x:v>0</x:v>
      </x:c>
      <x:c r="HJ76" t="str">
        <x:f>IF('Calculations'!HF76="","",IF(COUNTIF('Calculations'!$HE$13:$HE$512,"="&amp;SUBSTITUTE(SUBSTITUTE(SUBSTITUTE('Calculations'!HF76,"~","~~"),"*","~*"),"?","~?"))=1,INDEX('Calculations'!$HK$13:$HK$512,MATCH('Calculations'!HF76,'Calculations'!$HE$13:$HE$512,0)),IFERROR(IF(INDEX(INDIRECT("'WCM Calibration Final'!$E$1:$E$2000"),'Calculations'!$EM76)="","",TRIM(INDEX(INDIRECT("'WCM Calibration Final'!$E$1:$E$2000"),'Calculations'!$EM76)&amp;"")),"")&amp;" ["&amp;'Calculations'!HF76&amp;"]"))</x:f>
      </x:c>
      <x:c r="HK76" t="str">
        <x:f>IF('Calculations'!EM76="","",'Calculations'!HG76&amp;" ["&amp;'Calculations'!HE76&amp;"]")</x:f>
      </x:c>
      <x:c r="HL76" t="n">
        <x:f>IF('Calculations'!EM76="",0,IF(OR('Calculations'!II76&lt;&gt;"",COUNTIF('Calculations'!$HE$13:$HE$512,"="&amp;SUBSTITUTE(SUBSTITUTE(SUBSTITUTE('Calculations'!HE76,"~","~~"),"*","~*"),"?","~?"))&gt;1),1,0))</x:f>
        <x:v>0</x:v>
      </x:c>
      <x:c r="HM76" t="str">
        <x:f>IF('Calculations'!EM76="","",IF('Calculations'!HL76=1,"!UNRESOLVED",IF('Calculations'!IH76&lt;&gt;"",'Calculations'!IH76,IF('Calculations'!IG76&lt;&gt;"",'Calculations'!IG76,IF('Calculations'!IF76&lt;&gt;"",'Calculations'!IF76,IF('Calculations'!IE76&lt;&gt;"",'Calculations'!IE76,IF('Calculations'!ID76&lt;&gt;"",'Calculations'!ID76,IF('Calculations'!IC76&lt;&gt;"",'Calculations'!IC76,IF('Calculations'!IB76&lt;&gt;"",'Calculations'!IB76,IF('Calculations'!IA76&lt;&gt;"",'Calculations'!IA76,IF('Calculations'!HZ76&lt;&gt;"",'Calculations'!HZ76,IF('Calculations'!HY76&lt;&gt;"",'Calculations'!HY76,IF('Calculations'!HX76&lt;&gt;"",'Calculations'!HX76,IF('Calculations'!HW76&lt;&gt;"",'Calculations'!HW76,IF('Calculations'!HV76&lt;&gt;"",'Calculations'!HV76,IF('Calculations'!HU76&lt;&gt;"",'Calculations'!HU76,IF('Calculations'!HT76&lt;&gt;"",'Calculations'!HT76,IF('Calculations'!HS76&lt;&gt;"",'Calculations'!HS76,IF('Calculations'!HR76&lt;&gt;"",'Calculations'!HR76,IF('Calculations'!HQ76&lt;&gt;"",'Calculations'!HQ76,IF('Calculations'!HP76&lt;&gt;"",'Calculations'!HP76,IF('Calculations'!HO76&lt;&gt;"",'Calculations'!HO76,'Calculations'!HE76))))))))))))))))))))))</x:f>
      </x:c>
      <x:c r="HN76" t="str">
        <x:f>IF('Calculations'!EM76="","",IF(IFERROR(IF(INDEX(INDIRECT("'WCM Calibration Final'!$F$1:$F$2000"),'Calculations'!$EM76)="","",TRIM(INDEX(INDIRECT("'WCM Calibration Final'!$F$1:$F$2000"),'Calculations'!$EM76)&amp;"")),"")="","(Blank)",IFERROR(IF(INDEX(INDIRECT("'WCM Calibration Final'!$F$1:$F$2000"),'Calculations'!$EM76)="","",TRIM(INDEX(INDIRECT("'WCM Calibration Final'!$F$1:$F$2000"),'Calculations'!$EM76)&amp;"")),"")))</x:f>
      </x:c>
      <x:c r="HO76" t="str">
        <x:f>'Calculations'!HF76</x:f>
      </x:c>
      <x:c r="HP76" t="str">
        <x:f>IF('Calculations'!HO76="","",IF('Calculations'!HO76="!AMBIG","!AMBIG",IF(COUNTIF('Calculations'!$HE$13:$HE$512,"="&amp;SUBSTITUTE(SUBSTITUTE(SUBSTITUTE('Calculations'!HO76,"~","~~"),"*","~*"),"?","~?"))&gt;1,"!AMBIG",IFERROR(INDEX('Calculations'!$HF$13:$HF$512,MATCH('Calculations'!HO76,'Calculations'!$HE$13:$HE$512,0)),""))))</x:f>
      </x:c>
      <x:c r="HQ76" t="str">
        <x:f>IF('Calculations'!HP76="","",IF('Calculations'!HP76="!AMBIG","!AMBIG",IF(COUNTIF('Calculations'!$HE$13:$HE$512,"="&amp;SUBSTITUTE(SUBSTITUTE(SUBSTITUTE('Calculations'!HP76,"~","~~"),"*","~*"),"?","~?"))&gt;1,"!AMBIG",IFERROR(INDEX('Calculations'!$HF$13:$HF$512,MATCH('Calculations'!HP76,'Calculations'!$HE$13:$HE$512,0)),""))))</x:f>
      </x:c>
      <x:c r="HR76" t="str">
        <x:f>IF('Calculations'!HQ76="","",IF('Calculations'!HQ76="!AMBIG","!AMBIG",IF(COUNTIF('Calculations'!$HE$13:$HE$512,"="&amp;SUBSTITUTE(SUBSTITUTE(SUBSTITUTE('Calculations'!HQ76,"~","~~"),"*","~*"),"?","~?"))&gt;1,"!AMBIG",IFERROR(INDEX('Calculations'!$HF$13:$HF$512,MATCH('Calculations'!HQ76,'Calculations'!$HE$13:$HE$512,0)),""))))</x:f>
      </x:c>
      <x:c r="HS76" t="str">
        <x:f>IF('Calculations'!HR76="","",IF('Calculations'!HR76="!AMBIG","!AMBIG",IF(COUNTIF('Calculations'!$HE$13:$HE$512,"="&amp;SUBSTITUTE(SUBSTITUTE(SUBSTITUTE('Calculations'!HR76,"~","~~"),"*","~*"),"?","~?"))&gt;1,"!AMBIG",IFERROR(INDEX('Calculations'!$HF$13:$HF$512,MATCH('Calculations'!HR76,'Calculations'!$HE$13:$HE$512,0)),""))))</x:f>
      </x:c>
      <x:c r="HT76" t="str">
        <x:f>IF('Calculations'!HS76="","",IF('Calculations'!HS76="!AMBIG","!AMBIG",IF(COUNTIF('Calculations'!$HE$13:$HE$512,"="&amp;SUBSTITUTE(SUBSTITUTE(SUBSTITUTE('Calculations'!HS76,"~","~~"),"*","~*"),"?","~?"))&gt;1,"!AMBIG",IFERROR(INDEX('Calculations'!$HF$13:$HF$512,MATCH('Calculations'!HS76,'Calculations'!$HE$13:$HE$512,0)),""))))</x:f>
      </x:c>
      <x:c r="HU76" t="str">
        <x:f>IF('Calculations'!HT76="","",IF('Calculations'!HT76="!AMBIG","!AMBIG",IF(COUNTIF('Calculations'!$HE$13:$HE$512,"="&amp;SUBSTITUTE(SUBSTITUTE(SUBSTITUTE('Calculations'!HT76,"~","~~"),"*","~*"),"?","~?"))&gt;1,"!AMBIG",IFERROR(INDEX('Calculations'!$HF$13:$HF$512,MATCH('Calculations'!HT76,'Calculations'!$HE$13:$HE$512,0)),""))))</x:f>
      </x:c>
      <x:c r="HV76" t="str">
        <x:f>IF('Calculations'!HU76="","",IF('Calculations'!HU76="!AMBIG","!AMBIG",IF(COUNTIF('Calculations'!$HE$13:$HE$512,"="&amp;SUBSTITUTE(SUBSTITUTE(SUBSTITUTE('Calculations'!HU76,"~","~~"),"*","~*"),"?","~?"))&gt;1,"!AMBIG",IFERROR(INDEX('Calculations'!$HF$13:$HF$512,MATCH('Calculations'!HU76,'Calculations'!$HE$13:$HE$512,0)),""))))</x:f>
      </x:c>
      <x:c r="HW76" t="str">
        <x:f>IF('Calculations'!HV76="","",IF('Calculations'!HV76="!AMBIG","!AMBIG",IF(COUNTIF('Calculations'!$HE$13:$HE$512,"="&amp;SUBSTITUTE(SUBSTITUTE(SUBSTITUTE('Calculations'!HV76,"~","~~"),"*","~*"),"?","~?"))&gt;1,"!AMBIG",IFERROR(INDEX('Calculations'!$HF$13:$HF$512,MATCH('Calculations'!HV76,'Calculations'!$HE$13:$HE$512,0)),""))))</x:f>
      </x:c>
      <x:c r="HX76" t="str">
        <x:f>IF('Calculations'!HW76="","",IF('Calculations'!HW76="!AMBIG","!AMBIG",IF(COUNTIF('Calculations'!$HE$13:$HE$512,"="&amp;SUBSTITUTE(SUBSTITUTE(SUBSTITUTE('Calculations'!HW76,"~","~~"),"*","~*"),"?","~?"))&gt;1,"!AMBIG",IFERROR(INDEX('Calculations'!$HF$13:$HF$512,MATCH('Calculations'!HW76,'Calculations'!$HE$13:$HE$512,0)),""))))</x:f>
      </x:c>
      <x:c r="HY76" t="str">
        <x:f>IF('Calculations'!HX76="","",IF('Calculations'!HX76="!AMBIG","!AMBIG",IF(COUNTIF('Calculations'!$HE$13:$HE$512,"="&amp;SUBSTITUTE(SUBSTITUTE(SUBSTITUTE('Calculations'!HX76,"~","~~"),"*","~*"),"?","~?"))&gt;1,"!AMBIG",IFERROR(INDEX('Calculations'!$HF$13:$HF$512,MATCH('Calculations'!HX76,'Calculations'!$HE$13:$HE$512,0)),""))))</x:f>
      </x:c>
      <x:c r="HZ76" t="str">
        <x:f>IF('Calculations'!HY76="","",IF('Calculations'!HY76="!AMBIG","!AMBIG",IF(COUNTIF('Calculations'!$HE$13:$HE$512,"="&amp;SUBSTITUTE(SUBSTITUTE(SUBSTITUTE('Calculations'!HY76,"~","~~"),"*","~*"),"?","~?"))&gt;1,"!AMBIG",IFERROR(INDEX('Calculations'!$HF$13:$HF$512,MATCH('Calculations'!HY76,'Calculations'!$HE$13:$HE$512,0)),""))))</x:f>
      </x:c>
      <x:c r="IA76" t="str">
        <x:f>IF('Calculations'!HZ76="","",IF('Calculations'!HZ76="!AMBIG","!AMBIG",IF(COUNTIF('Calculations'!$HE$13:$HE$512,"="&amp;SUBSTITUTE(SUBSTITUTE(SUBSTITUTE('Calculations'!HZ76,"~","~~"),"*","~*"),"?","~?"))&gt;1,"!AMBIG",IFERROR(INDEX('Calculations'!$HF$13:$HF$512,MATCH('Calculations'!HZ76,'Calculations'!$HE$13:$HE$512,0)),""))))</x:f>
      </x:c>
      <x:c r="IB76" t="str">
        <x:f>IF('Calculations'!IA76="","",IF('Calculations'!IA76="!AMBIG","!AMBIG",IF(COUNTIF('Calculations'!$HE$13:$HE$512,"="&amp;SUBSTITUTE(SUBSTITUTE(SUBSTITUTE('Calculations'!IA76,"~","~~"),"*","~*"),"?","~?"))&gt;1,"!AMBIG",IFERROR(INDEX('Calculations'!$HF$13:$HF$512,MATCH('Calculations'!IA76,'Calculations'!$HE$13:$HE$512,0)),""))))</x:f>
      </x:c>
      <x:c r="IC76" t="str">
        <x:f>IF('Calculations'!IB76="","",IF('Calculations'!IB76="!AMBIG","!AMBIG",IF(COUNTIF('Calculations'!$HE$13:$HE$512,"="&amp;SUBSTITUTE(SUBSTITUTE(SUBSTITUTE('Calculations'!IB76,"~","~~"),"*","~*"),"?","~?"))&gt;1,"!AMBIG",IFERROR(INDEX('Calculations'!$HF$13:$HF$512,MATCH('Calculations'!IB76,'Calculations'!$HE$13:$HE$512,0)),""))))</x:f>
      </x:c>
      <x:c r="ID76" t="str">
        <x:f>IF('Calculations'!IC76="","",IF('Calculations'!IC76="!AMBIG","!AMBIG",IF(COUNTIF('Calculations'!$HE$13:$HE$512,"="&amp;SUBSTITUTE(SUBSTITUTE(SUBSTITUTE('Calculations'!IC76,"~","~~"),"*","~*"),"?","~?"))&gt;1,"!AMBIG",IFERROR(INDEX('Calculations'!$HF$13:$HF$512,MATCH('Calculations'!IC76,'Calculations'!$HE$13:$HE$512,0)),""))))</x:f>
      </x:c>
      <x:c r="IE76" t="str">
        <x:f>IF('Calculations'!ID76="","",IF('Calculations'!ID76="!AMBIG","!AMBIG",IF(COUNTIF('Calculations'!$HE$13:$HE$512,"="&amp;SUBSTITUTE(SUBSTITUTE(SUBSTITUTE('Calculations'!ID76,"~","~~"),"*","~*"),"?","~?"))&gt;1,"!AMBIG",IFERROR(INDEX('Calculations'!$HF$13:$HF$512,MATCH('Calculations'!ID76,'Calculations'!$HE$13:$HE$512,0)),""))))</x:f>
      </x:c>
      <x:c r="IF76" t="str">
        <x:f>IF('Calculations'!IE76="","",IF('Calculations'!IE76="!AMBIG","!AMBIG",IF(COUNTIF('Calculations'!$HE$13:$HE$512,"="&amp;SUBSTITUTE(SUBSTITUTE(SUBSTITUTE('Calculations'!IE76,"~","~~"),"*","~*"),"?","~?"))&gt;1,"!AMBIG",IFERROR(INDEX('Calculations'!$HF$13:$HF$512,MATCH('Calculations'!IE76,'Calculations'!$HE$13:$HE$512,0)),""))))</x:f>
      </x:c>
      <x:c r="IG76" t="str">
        <x:f>IF('Calculations'!IF76="","",IF('Calculations'!IF76="!AMBIG","!AMBIG",IF(COUNTIF('Calculations'!$HE$13:$HE$512,"="&amp;SUBSTITUTE(SUBSTITUTE(SUBSTITUTE('Calculations'!IF76,"~","~~"),"*","~*"),"?","~?"))&gt;1,"!AMBIG",IFERROR(INDEX('Calculations'!$HF$13:$HF$512,MATCH('Calculations'!IF76,'Calculations'!$HE$13:$HE$512,0)),""))))</x:f>
      </x:c>
      <x:c r="IH76" t="str">
        <x:f>IF('Calculations'!IG76="","",IF('Calculations'!IG76="!AMBIG","!AMBIG",IF(COUNTIF('Calculations'!$HE$13:$HE$512,"="&amp;SUBSTITUTE(SUBSTITUTE(SUBSTITUTE('Calculations'!IG76,"~","~~"),"*","~*"),"?","~?"))&gt;1,"!AMBIG",IFERROR(INDEX('Calculations'!$HF$13:$HF$512,MATCH('Calculations'!IG76,'Calculations'!$HE$13:$HE$512,0)),""))))</x:f>
      </x:c>
      <x:c r="II76" t="str">
        <x:f>IF('Calculations'!IH76="","",IF('Calculations'!IH76="!AMBIG","!AMBIG",IF(COUNTIF('Calculations'!$HE$13:$HE$512,"="&amp;SUBSTITUTE(SUBSTITUTE(SUBSTITUTE('Calculations'!IH76,"~","~~"),"*","~*"),"?","~?"))&gt;1,"!AMBIG",IFERROR(INDEX('Calculations'!$HF$13:$HF$512,MATCH('Calculations'!IH76,'Calculations'!$HE$13:$HE$512,0)),""))))</x:f>
      </x:c>
      <x:c r="IJ76" t="str">
        <x:f>IF('Calculations'!EM76="","",IF('Calculations'!$EF$2="All",'Calculations'!HM76,IF('Calculations'!HL76=1,"",IFERROR(IF(MATCH('Calculations'!$EF$2,'Calculations'!HO76:II76,0)=1,'Calculations'!HE76,INDEX('Calculations'!HO76:II76,1,MATCH('Calculations'!$EF$2,'Calculations'!HO76:II76,0)-1)),""))))</x:f>
      </x:c>
      <x:c r="IK76" t="n">
        <x:f>IF(AND('Calculations'!EM76&lt;&gt;"",'Calculations'!$EF$2&lt;&gt;"All",'Calculations'!HF76='Calculations'!$EF$2,'Calculations'!HL76=0,'Calculations'!JD76&gt;0),MAX('Calculations'!$IK$12:IK75)+1,0)</x:f>
        <x:v>0</x:v>
      </x:c>
      <x:c r="JA76" t="n">
        <x:f>IF(OR(IFERROR(INDIRECT("'WCM Calibration Final'!$A$76")&lt;&gt;"",FALSE),IFERROR(INDIRECT("'WCM Calibration Final'!$B$76")&lt;&gt;"",FALSE),IFERROR(INDIRECT("'WCM Calibration Final'!$C$76")&lt;&gt;"",FALSE)),76,0)</x:f>
        <x:v>0</x:v>
      </x:c>
      <x:c r="JB76" t="n">
        <x:f>'Calculations'!JB75+IF('Calculations'!JA76&gt;0,1,0)</x:f>
        <x:v>0</x:v>
      </x:c>
      <x:c r="JC76" t="n">
        <x:f>IF(OR('Calculations'!HF76="",'Calculations'!HF76="!AMBIG"),0,IF('Dashboard'!$B$7="All",1,COUNTIFS('Calculations'!$HO$13:$HO$512,"="&amp;SUBSTITUTE(SUBSTITUTE(SUBSTITUTE('Calculations'!HF76,"~","~~"),"*","~*"),"?","~?"),'Calculations'!$HN$13:$HN$512,"="&amp;SUBSTITUTE(SUBSTITUTE(SUBSTITUTE('Dashboard'!$B$7,"~","~~"),"*","~*"),"?","~?"))+COUNTIFS('Calculations'!$HP$13:$HP$512,"="&amp;SUBSTITUTE(SUBSTITUTE(SUBSTITUTE('Calculations'!HF76,"~","~~"),"*","~*"),"?","~?"),'Calculations'!$HN$13:$HN$512,"="&amp;SUBSTITUTE(SUBSTITUTE(SUBSTITUTE('Dashboard'!$B$7,"~","~~"),"*","~*"),"?","~?"))+COUNTIFS('Calculations'!$HQ$13:$HQ$512,"="&amp;SUBSTITUTE(SUBSTITUTE(SUBSTITUTE('Calculations'!HF76,"~","~~"),"*","~*"),"?","~?"),'Calculations'!$HN$13:$HN$512,"="&amp;SUBSTITUTE(SUBSTITUTE(SUBSTITUTE('Dashboard'!$B$7,"~","~~"),"*","~*"),"?","~?"))+COUNTIFS('Calculations'!$HR$13:$HR$512,"="&amp;SUBSTITUTE(SUBSTITUTE(SUBSTITUTE('Calculations'!HF76,"~","~~"),"*","~*"),"?","~?"),'Calculations'!$HN$13:$HN$512,"="&amp;SUBSTITUTE(SUBSTITUTE(SUBSTITUTE('Dashboard'!$B$7,"~","~~"),"*","~*"),"?","~?"))+COUNTIFS('Calculations'!$HS$13:$HS$512,"="&amp;SUBSTITUTE(SUBSTITUTE(SUBSTITUTE('Calculations'!HF76,"~","~~"),"*","~*"),"?","~?"),'Calculations'!$HN$13:$HN$512,"="&amp;SUBSTITUTE(SUBSTITUTE(SUBSTITUTE('Dashboard'!$B$7,"~","~~"),"*","~*"),"?","~?"))+COUNTIFS('Calculations'!$HT$13:$HT$512,"="&amp;SUBSTITUTE(SUBSTITUTE(SUBSTITUTE('Calculations'!HF76,"~","~~"),"*","~*"),"?","~?"),'Calculations'!$HN$13:$HN$512,"="&amp;SUBSTITUTE(SUBSTITUTE(SUBSTITUTE('Dashboard'!$B$7,"~","~~"),"*","~*"),"?","~?"))+COUNTIFS('Calculations'!$HU$13:$HU$512,"="&amp;SUBSTITUTE(SUBSTITUTE(SUBSTITUTE('Calculations'!HF76,"~","~~"),"*","~*"),"?","~?"),'Calculations'!$HN$13:$HN$512,"="&amp;SUBSTITUTE(SUBSTITUTE(SUBSTITUTE('Dashboard'!$B$7,"~","~~"),"*","~*"),"?","~?"))+COUNTIFS('Calculations'!$HV$13:$HV$512,"="&amp;SUBSTITUTE(SUBSTITUTE(SUBSTITUTE('Calculations'!HF76,"~","~~"),"*","~*"),"?","~?"),'Calculations'!$HN$13:$HN$512,"="&amp;SUBSTITUTE(SUBSTITUTE(SUBSTITUTE('Dashboard'!$B$7,"~","~~"),"*","~*"),"?","~?"))+COUNTIFS('Calculations'!$HW$13:$HW$512,"="&amp;SUBSTITUTE(SUBSTITUTE(SUBSTITUTE('Calculations'!HF76,"~","~~"),"*","~*"),"?","~?"),'Calculations'!$HN$13:$HN$512,"="&amp;SUBSTITUTE(SUBSTITUTE(SUBSTITUTE('Dashboard'!$B$7,"~","~~"),"*","~*"),"?","~?"))+COUNTIFS('Calculations'!$HX$13:$HX$512,"="&amp;SUBSTITUTE(SUBSTITUTE(SUBSTITUTE('Calculations'!HF76,"~","~~"),"*","~*"),"?","~?"),'Calculations'!$HN$13:$HN$512,"="&amp;SUBSTITUTE(SUBSTITUTE(SUBSTITUTE('Dashboard'!$B$7,"~","~~"),"*","~*"),"?","~?"))+COUNTIFS('Calculations'!$HY$13:$HY$512,"="&amp;SUBSTITUTE(SUBSTITUTE(SUBSTITUTE('Calculations'!HF76,"~","~~"),"*","~*"),"?","~?"),'Calculations'!$HN$13:$HN$512,"="&amp;SUBSTITUTE(SUBSTITUTE(SUBSTITUTE('Dashboard'!$B$7,"~","~~"),"*","~*"),"?","~?"))+COUNTIFS('Calculations'!$HZ$13:$HZ$512,"="&amp;SUBSTITUTE(SUBSTITUTE(SUBSTITUTE('Calculations'!HF76,"~","~~"),"*","~*"),"?","~?"),'Calculations'!$HN$13:$HN$512,"="&amp;SUBSTITUTE(SUBSTITUTE(SUBSTITUTE('Dashboard'!$B$7,"~","~~"),"*","~*"),"?","~?"))+COUNTIFS('Calculations'!$IA$13:$IA$512,"="&amp;SUBSTITUTE(SUBSTITUTE(SUBSTITUTE('Calculations'!HF76,"~","~~"),"*","~*"),"?","~?"),'Calculations'!$HN$13:$HN$512,"="&amp;SUBSTITUTE(SUBSTITUTE(SUBSTITUTE('Dashboard'!$B$7,"~","~~"),"*","~*"),"?","~?"))+COUNTIFS('Calculations'!$IB$13:$IB$512,"="&amp;SUBSTITUTE(SUBSTITUTE(SUBSTITUTE('Calculations'!HF76,"~","~~"),"*","~*"),"?","~?"),'Calculations'!$HN$13:$HN$512,"="&amp;SUBSTITUTE(SUBSTITUTE(SUBSTITUTE('Dashboard'!$B$7,"~","~~"),"*","~*"),"?","~?"))+COUNTIFS('Calculations'!$IC$13:$IC$512,"="&amp;SUBSTITUTE(SUBSTITUTE(SUBSTITUTE('Calculations'!HF76,"~","~~"),"*","~*"),"?","~?"),'Calculations'!$HN$13:$HN$512,"="&amp;SUBSTITUTE(SUBSTITUTE(SUBSTITUTE('Dashboard'!$B$7,"~","~~"),"*","~*"),"?","~?"))+COUNTIFS('Calculations'!$ID$13:$ID$512,"="&amp;SUBSTITUTE(SUBSTITUTE(SUBSTITUTE('Calculations'!HF76,"~","~~"),"*","~*"),"?","~?"),'Calculations'!$HN$13:$HN$512,"="&amp;SUBSTITUTE(SUBSTITUTE(SUBSTITUTE('Dashboard'!$B$7,"~","~~"),"*","~*"),"?","~?"))+COUNTIFS('Calculations'!$IE$13:$IE$512,"="&amp;SUBSTITUTE(SUBSTITUTE(SUBSTITUTE('Calculations'!HF76,"~","~~"),"*","~*"),"?","~?"),'Calculations'!$HN$13:$HN$512,"="&amp;SUBSTITUTE(SUBSTITUTE(SUBSTITUTE('Dashboard'!$B$7,"~","~~"),"*","~*"),"?","~?"))+COUNTIFS('Calculations'!$IF$13:$IF$512,"="&amp;SUBSTITUTE(SUBSTITUTE(SUBSTITUTE('Calculations'!HF76,"~","~~"),"*","~*"),"?","~?"),'Calculations'!$HN$13:$HN$512,"="&amp;SUBSTITUTE(SUBSTITUTE(SUBSTITUTE('Dashboard'!$B$7,"~","~~"),"*","~*"),"?","~?"))+COUNTIFS('Calculations'!$IG$13:$IG$512,"="&amp;SUBSTITUTE(SUBSTITUTE(SUBSTITUTE('Calculations'!HF76,"~","~~"),"*","~*"),"?","~?"),'Calculations'!$HN$13:$HN$512,"="&amp;SUBSTITUTE(SUBSTITUTE(SUBSTITUTE('Dashboard'!$B$7,"~","~~"),"*","~*"),"?","~?"))+COUNTIFS('Calculations'!$IH$13:$IH$512,"="&amp;SUBSTITUTE(SUBSTITUTE(SUBSTITUTE('Calculations'!HF76,"~","~~"),"*","~*"),"?","~?"),'Calculations'!$HN$13:$HN$512,"="&amp;SUBSTITUTE(SUBSTITUTE(SUBSTITUTE('Dashboard'!$B$7,"~","~~"),"*","~*"),"?","~?"))))</x:f>
        <x:v>0</x:v>
      </x:c>
      <x:c r="JD76" t="n">
        <x:f>IF('Calculations'!EM76="",0,IF('Dashboard'!$B$7="All",1,IF('Calculations'!HN76='Dashboard'!$B$7,1,0)+IFERROR(INDEX('Calculations'!$JC$13:$JC$512,MATCH('Calculations'!HE76,'Calculations'!$HF$13:$HF$512,0)),0)))</x:f>
        <x:v>0</x:v>
      </x:c>
      <x:c r="JE76" t="n">
        <x:f>IF(AND('Calculations'!EM76&lt;&gt;"",'Calculations'!$JJ$2&lt;&gt;"All",'Calculations'!$JJ$2&lt;&gt;"",'Calculations'!HF76='Calculations'!$JJ$2,'Calculations'!HL76=0,'Calculations'!JD76&gt;0),MAX('Calculations'!$JE$12:JE75)+1,0)</x:f>
        <x:v>0</x:v>
      </x:c>
      <x:c r="JF76" t="str">
        <x:f>IF('Calculations'!EM76="","",IFERROR(IF(INDEX(INDIRECT("'WCM Calibration Final'!$G$1:$G$2000"),'Calculations'!$EM76)="","",TRIM(INDEX(INDIRECT("'WCM Calibration Final'!$G$1:$G$2000"),'Calculations'!$EM76)&amp;"")),""))</x:f>
      </x:c>
      <x:c r="JQ76" t="n">
        <x:f>IF(OR('Calculations'!BM76=0,NOT('Calculations'!$AG$2),'Calculations'!$AG$8&gt;0),0,IF(OR('Dashboard'!$B$7="All",'Calculations'!HN76='Dashboard'!$B$7),IF('Calculations'!$JJ$2="All",1,IF(AND('Calculations'!HF76='Calculations'!$JJ$2,'Calculations'!HL76=0),1,0)),0))</x:f>
        <x:v>0</x:v>
      </x:c>
    </x:row>
    <x:row r="77">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t="n">
        <x:f>IF('Calculations'!$EM77="",0,IF(OR(IFERROR(INDEX(INDIRECT("'WCM Calibration Final'!$A$1:$A$2000"),'Calculations'!$EM77)&lt;&gt;"",FALSE),IFERROR(INDEX(INDIRECT("'WCM Calibration Final'!$B$1:$B$2000"),'Calculations'!$EM77)&lt;&gt;"",FALSE),IFERROR(INDEX(INDIRECT("'WCM Calibration Final'!$C$1:$C$2000"),'Calculations'!$EM77)&lt;&gt;"",FALSE)),1,0))</x:f>
        <x:v>0</x:v>
      </x:c>
      <x:c r="BN77" s="4" t="n">
        <x:f>IF(AND('Calculations'!BM77=1,'Calculations'!$AG$2,'Calculations'!$EN77=1),1,0)</x:f>
        <x:v>0</x:v>
      </x:c>
      <x:c r="BO77" s="4" t="str">
        <x:f>IF('Calculations'!BM77=0,"",IFERROR(IF(AND(VALUE(INDEX(INDIRECT("'WCM Calibration Final'!$K$1:$K$2000"),'Calculations'!$EM77))&gt;=1,VALUE(INDEX(INDIRECT("'WCM Calibration Final'!$K$1:$K$2000"),'Calculations'!$EM77))&lt;=4,MOD(VALUE(INDEX(INDIRECT("'WCM Calibration Final'!$K$1:$K$2000"),'Calculations'!$EM77)),1)=0),VALUE(INDEX(INDIRECT("'WCM Calibration Final'!$K$1:$K$2000"),'Calculations'!$EM77)),""),""))</x:f>
      </x:c>
      <x:c r="BP77" s="4" t="str">
        <x:f>IF('Calculations'!BM77=0,"",IFERROR(IF(AND(VALUE(INDEX(INDIRECT("'WCM Calibration Final'!$L$1:$L$2000"),'Calculations'!$EM77))&gt;=1,VALUE(INDEX(INDIRECT("'WCM Calibration Final'!$L$1:$L$2000"),'Calculations'!$EM77))&lt;=4,MOD(VALUE(INDEX(INDIRECT("'WCM Calibration Final'!$L$1:$L$2000"),'Calculations'!$EM77)),1)=0),VALUE(INDEX(INDIRECT("'WCM Calibration Final'!$L$1:$L$2000"),'Calculations'!$EM77)),""),""))</x:f>
      </x:c>
      <x:c r="BQ77" s="4"/>
      <x:c r="BR77" s="4"/>
      <x:c r="BS77" s="4"/>
      <x:c r="BT77" s="4" t="n">
        <x:f>IF(AND('Calculations'!BM77=1,ISNUMBER('Calculations'!BO77),ISNUMBER('Calculations'!BP77)),1,0)</x:f>
        <x:v>0</x:v>
      </x:c>
      <x:c r="BU77" s="4" t="str">
        <x:f>IF('Calculations'!BM77=0,"",'Calculations'!$EO77)</x:f>
      </x:c>
      <x:c r="BV77" s="4" t="str">
        <x:f>IF('Calculations'!BM77=0,"",IFERROR(IF(OR(INDEX(INDIRECT("'WCM Calibration Final'!$H$1:$H$2000"),'Calculations'!$EM77)="MANAGING DIRECTOR",INDEX(INDIRECT("'WCM Calibration Final'!$H$1:$H$2000"),'Calculations'!$EM77)="DIRECTOR",INDEX(INDIRECT("'WCM Calibration Final'!$H$1:$H$2000"),'Calculations'!$EM77)="SENIOR VICE PRESIDENT",INDEX(INDIRECT("'WCM Calibration Final'!$H$1:$H$2000"),'Calculations'!$EM77)="VICE PRESIDENT",INDEX(INDIRECT("'WCM Calibration Final'!$H$1:$H$2000"),'Calculations'!$EM77)="ASSISTANT VICE PRESIDENT",INDEX(INDIRECT("'WCM Calibration Final'!$H$1:$H$2000"),'Calculations'!$EM77)="OFFICER"),UPPER(INDEX(INDIRECT("'WCM Calibration Final'!$H$1:$H$2000"),'Calculations'!$EM77)),"Other"),"Other"))</x:f>
      </x:c>
      <x:c r="BW77" s="4"/>
      <x:c r="BX77" s="4"/>
      <x:c r="BY77" s="4" t="n">
        <x:f>IF(AND('Calculations'!BM77=1,'Calculations'!BU77&lt;&gt;"",COUNTIF('Calculations'!$BU$12:BU77,'Calculations'!BU77)=1),MAX('Calculations'!$BY$11:BY76)+1,0)</x:f>
        <x:v>0</x:v>
      </x:c>
      <x:c r="BZ77" s="4" t="str">
        <x:f>IF('Dashboard'!$E$67="What",'Calculations'!BO77,'Calculations'!BP77)</x:f>
      </x:c>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t="str">
        <x:f>IF(66&gt;MAX('Calculations'!$HI$13:$HI$512),"",INDEX('Calculations'!$HN$13:$HN$512,MATCH(66,'Calculations'!$HI$13:$HI$512,0)))</x:f>
      </x:c>
      <x:c r="DB77" s="4" t="str">
        <x:f>IF(66&gt;MAX('Calculations'!$HH$13:$HH$512),"",INDEX('Calculations'!$HJ$13:$HJ$512,MATCH(66,'Calculations'!$HH$13:$HH$512,0)))</x:f>
      </x:c>
      <x:c r="DC77" s="4" t="str">
        <x:f>IF(ROW()-11&gt;MAX('Calculations'!$BY$13:$BY$512),"",INDEX('Calculations'!$BU$13:$BU$512,MATCH(ROW()-11,'Calculations'!$BY$13:$BY$512,0)))</x:f>
      </x:c>
      <x:c r="DD77" s="4" t="str">
        <x:f>IF(66&gt;MAX('Calculations'!$IK$13:$IK$512),"",INDEX('Calculations'!$HK$13:$HK$512,MATCH(66,'Calculations'!$IK$13:$IK$512,0)))</x:f>
      </x:c>
      <x:c r="DE77" s="4" t="str">
        <x:f>'Calculations'!DC77</x:f>
      </x:c>
      <x:c r="DF77" s="4" t="str">
        <x:f>IF('Calculations'!DE77="","",COUNTIFS('Calculations'!$BN$13:$BN$512,1,'Calculations'!$BU$13:$BU$512,'Calculations'!DE77))</x:f>
      </x:c>
      <x:c r="DG77" s="4" t="str">
        <x:f>IF('Calculations'!DE77="","",COUNTIFS('Calculations'!$BN$13:$BN$512,1,'Calculations'!$BU$13:$BU$512,'Calculations'!DE77,'Calculations'!$BT$13:$BT$512,1))</x:f>
      </x:c>
      <x:c r="DH77" s="4" t="str">
        <x:f>IF('Calculations'!DE77="","",'Calculations'!DF77-'Calculations'!DG77)</x:f>
      </x:c>
      <x:c r="DI77" s="4" t="str">
        <x:f>IF(OR('Calculations'!DE77="",'Calculations'!DF77=0),"",'Calculations'!DG77/'Calculations'!DF77)</x:f>
      </x:c>
      <x:c r="DJ77" s="4" t="str">
        <x:f>IF('Calculations'!DE77="","",COUNTIFS('Calculations'!$BN$13:$BN$512,1,'Calculations'!$BU$13:$BU$512,'Calculations'!DE77,'Calculations'!$BT$13:$BT$512,1,'Calculations'!$EE$13:$EE$512,"High"))</x:f>
      </x:c>
      <x:c r="DK77" s="4" t="str">
        <x:f>IF('Calculations'!DE77="","",COUNTIFS('Calculations'!$BN$13:$BN$512,1,'Calculations'!$BU$13:$BU$512,'Calculations'!DE77,'Calculations'!$BT$13:$BT$512,1,'Calculations'!$EE$13:$EE$512,"Strong"))</x:f>
      </x:c>
      <x:c r="DL77" s="4" t="str">
        <x:f>IF('Calculations'!DE77="","",COUNTIFS('Calculations'!$BN$13:$BN$512,1,'Calculations'!$BU$13:$BU$512,'Calculations'!DE77,'Calculations'!$BT$13:$BT$512,1,'Calculations'!$EE$13:$EE$512,"Solid"))</x:f>
      </x:c>
      <x:c r="DM77" s="4" t="str">
        <x:f>IF('Calculations'!DE77="","",COUNTIFS('Calculations'!$BN$13:$BN$512,1,'Calculations'!$BU$13:$BU$512,'Calculations'!DE77,'Calculations'!$BT$13:$BT$512,1,'Calculations'!$EE$13:$EE$512,"Low"))</x:f>
      </x:c>
      <x:c r="DN77" s="4" t="str">
        <x:f>IF('Calculations'!DE77="","",COUNTIFS('Calculations'!$BN$13:$BN$512,1,'Calculations'!$BU$13:$BU$512,'Calculations'!DE77,'Calculations'!$EP$13:$EP$512,1))</x:f>
      </x:c>
      <x:c r="DO77" s="4" t="str">
        <x:f>IF(OR('Calculations'!DE77="",'Calculations'!DG77=0),"",('Calculations'!DJ77+'Calculations'!DK77)/'Calculations'!DG77)</x:f>
      </x:c>
      <x:c r="DP77" s="4" t="n">
        <x:f>IF(AND('Calculations'!DE77&lt;&gt;"",'Calculations'!DF77&gt;0),COUNTIF('Calculations'!$DF$12:DF77,"&gt;0"),0)</x:f>
        <x:v>0</x:v>
      </x:c>
      <x:c r="DQ77" s="4" t="str">
        <x:f>IF(66&gt;MAX('Calculations'!$HH$13:$HH$512),"",INDEX('Calculations'!$HF$13:$HF$512,MATCH(66,'Calculations'!$HH$13:$HH$512,0)))</x:f>
      </x:c>
      <x:c r="DR77" s="4" t="str">
        <x:f>IF(66&gt;MAX('Calculations'!$IK$13:$IK$512),"",INDEX('Calculations'!$HE$13:$HE$512,MATCH(66,'Calculations'!$IK$13:$IK$512,0)))</x:f>
      </x:c>
      <x:c r="DS77" s="4"/>
      <x:c r="DT77" s="4"/>
      <x:c r="DU77" s="4"/>
      <x:c r="DV77" s="4"/>
      <x:c r="DW77" s="4"/>
      <x:c r="DX77" s="4"/>
      <x:c r="DY77" s="4"/>
      <x:c r="DZ77" s="4"/>
      <x:c r="EA77" s="4"/>
      <x:c r="EB77" s="4"/>
      <x:c r="EC77" s="4"/>
      <x:c r="ED77" s="4"/>
      <x:c r="EE77" s="4" t="str">
        <x:f>IF('Calculations'!BT77=0,"Not Rated",IF(OR('Calculations'!BO77&gt;=4,'Calculations'!BP77&gt;=4),"Low",IF('Calculations'!BO77+'Calculations'!BP77&lt;=3,"High",IF('Calculations'!BO77+'Calculations'!BP77&lt;=4,"Strong","Solid"))))</x:f>
        <x:v>Not Rated</x:v>
      </x:c>
      <x:c r="EF77" s="4"/>
      <x:c r="EG77" s="4"/>
      <x:c r="EH77" s="4"/>
      <x:c r="EI77" s="4"/>
      <x:c r="EJ77" s="4"/>
      <x:c r="EK77" s="4"/>
      <x:c r="EL77" s="4"/>
      <x:c r="EM77" s="4" t="str">
        <x:f>IF(65&gt;'Calculations'!$JB$2000,"",INDEX('Calculations'!$JA$12:$JA$2000,MATCH(65,'Calculations'!$JB$12:$JB$2000,0)))</x:f>
      </x:c>
      <x:c r="EN77" s="4" t="n">
        <x:f>IF(OR('Calculations'!EM77="",'Calculations'!$AG$8&gt;0,AND('Calculations'!$EF$2&lt;&gt;"All",'Calculations'!HE77='Calculations'!$EF$2),AND('Calculations'!$EF$3&lt;&gt;"All",'Calculations'!HE77='Calculations'!$EF$3)),0,IF(OR('Dashboard'!$B$7="All",'Calculations'!HN77='Dashboard'!$B$7),IF('Calculations'!$EF$2="All",1,IF('Calculations'!HL77&gt;0,0,IF(COUNTIF('Calculations'!HO77:II77,"="&amp;SUBSTITUTE(SUBSTITUTE(SUBSTITUTE('Calculations'!$EF$2,"~","~~"),"*","~*"),"?","~?"))=0,0,IF('Calculations'!$EF$3="All",1,IF(COUNTIF('Calculations'!HO77:II77,"="&amp;SUBSTITUTE(SUBSTITUTE(SUBSTITUTE('Calculations'!$EF$3,"~","~~"),"*","~*"),"?","~?"))&gt;0,1,0))))),0))</x:f>
        <x:v>0</x:v>
      </x:c>
      <x:c r="EO77" s="4" t="str">
        <x:f>IF('Calculations'!IJ77="","",IF('Calculations'!IJ77="!UNRESOLVED","Unresolved hierarchy",IFERROR(INDEX('Calculations'!$HK$13:$HK$512,MATCH('Calculations'!IJ77,'Calculations'!$HE$13:$HE$512,0)),IFERROR(INDEX('Calculations'!$HJ$13:$HJ$512,MATCH('Calculations'!IJ77,'Calculations'!$HF$13:$HF$512,0)),'Calculations'!IJ77))))</x:f>
      </x:c>
      <x:c r="EP77" s="4" t="n">
        <x:f>IF(AND('Calculations'!EM77&lt;&gt;"",'Calculations'!HF77='Calculations'!IJ77),1,0)</x:f>
        <x:v>0</x:v>
      </x:c>
      <x:c r="EQ77" s="4"/>
      <x:c r="ER77" s="4"/>
      <x:c r="ES77" s="4"/>
      <x:c r="ET77" s="4"/>
      <x:c r="EU77" s="4"/>
      <x:c r="EV77" s="4"/>
      <x:c r="EW77" s="4"/>
      <x:c r="EX77" s="4"/>
      <x:c r="EY77" s="4"/>
      <x:c r="EZ77" s="4"/>
      <x:c r="FA77" s="4"/>
      <x:c r="FB77" s="4"/>
      <x:c r="FC77" s="4"/>
      <x:c r="FD77" s="4"/>
      <x:c r="FE77" s="4"/>
      <x:c r="FF77" s="4"/>
      <x:c r="FG77" s="4"/>
      <x:c r="FH77" s="4"/>
      <x:c r="FI77" s="4"/>
      <x:c r="FJ77" s="4"/>
      <x:c r="FK77" s="4"/>
      <x:c r="FL77" s="4"/>
      <x:c r="FM77" s="4"/>
      <x:c r="FN77" s="4"/>
      <x:c r="FO77" s="4"/>
      <x:c r="GA77" s="71"/>
      <x:c r="GB77" s="71"/>
      <x:c r="GC77" s="71"/>
      <x:c r="GD77" s="71"/>
      <x:c r="GE77" s="71"/>
      <x:c r="GF77" s="71"/>
      <x:c r="GG77" s="71"/>
      <x:c r="GH77" s="71"/>
      <x:c r="GI77" s="71"/>
      <x:c r="GJ77" s="71"/>
      <x:c r="GK77" s="71"/>
      <x:c r="GL77" s="71"/>
      <x:c r="GM77" s="71"/>
      <x:c r="GN77" s="71"/>
      <x:c r="GO77" s="71"/>
      <x:c r="GP77" s="71"/>
      <x:c r="GQ77" s="71"/>
      <x:c r="GR77" s="71" t="str">
        <x:f>'Calculations'!AF71</x:f>
        <x:v>1</x:v>
      </x:c>
      <x:c r="GS77" s="71"/>
      <x:c r="GT77" s="71" t="n">
        <x:f>'Calculations'!AG71</x:f>
        <x:v>0</x:v>
      </x:c>
      <x:c r="GU77" s="71"/>
      <x:c r="GV77" s="71" t="str">
        <x:f>IFERROR('Calculations'!AH71,"n.a.")</x:f>
        <x:v>n.a.</x:v>
      </x:c>
      <x:c r="GW77" s="71"/>
      <x:c r="GX77" s="71" t="n">
        <x:f>IFERROR('Calculations'!AI71,"—")</x:f>
        <x:v>0.1</x:v>
      </x:c>
      <x:c r="GY77" s="71"/>
      <x:c r="GZ77" s="71" t="str">
        <x:f>IF('Calculations'!AJ71="","—",'Calculations'!AJ71)</x:f>
        <x:v>—</x:v>
      </x:c>
      <x:c r="HA77" s="71"/>
      <x:c r="HB77" s="71"/>
      <x:c r="HC77" s="71"/>
      <x:c r="HD77" s="71"/>
      <x:c r="HE77" t="str">
        <x:f>IF('Calculations'!EM77="","",IF(IFERROR(IF(INDEX(INDIRECT("'WCM Calibration Final'!$A$1:$A$2000"),'Calculations'!$EM77)="","",TRIM(INDEX(INDIRECT("'WCM Calibration Final'!$A$1:$A$2000"),'Calculations'!$EM77)&amp;"")),"")&lt;&gt;"","G:"&amp;IFERROR(TEXT(1*INDEX(INDIRECT("'WCM Calibration Final'!$A$1:$A$2000"),'Calculations'!$EM77),"0"),UPPER(IFERROR(IF(INDEX(INDIRECT("'WCM Calibration Final'!$A$1:$A$2000"),'Calculations'!$EM77)="","",TRIM(INDEX(INDIRECT("'WCM Calibration Final'!$A$1:$A$2000"),'Calculations'!$EM77)&amp;"")),""))),IF(IFERROR(IF(INDEX(INDIRECT("'WCM Calibration Final'!$C$1:$C$2000"),'Calculations'!$EM77)="","",TRIM(INDEX(INDIRECT("'WCM Calibration Final'!$C$1:$C$2000"),'Calculations'!$EM77)&amp;"")),"")&lt;&gt;"","S:"&amp;UPPER(IFERROR(IF(INDEX(INDIRECT("'WCM Calibration Final'!$C$1:$C$2000"),'Calculations'!$EM77)="","",TRIM(INDEX(INDIRECT("'WCM Calibration Final'!$C$1:$C$2000"),'Calculations'!$EM77)&amp;"")),"")),"R:"&amp;'Calculations'!EM77)))</x:f>
      </x:c>
      <x:c r="HF77" t="str">
        <x:f>IF('Calculations'!EM77="","",IF(IFERROR(IF(INDEX(INDIRECT("'WCM Calibration Final'!$D$1:$D$2000"),'Calculations'!$EM77)="","",TRIM(INDEX(INDIRECT("'WCM Calibration Final'!$D$1:$D$2000"),'Calculations'!$EM77)&amp;"")),"")&lt;&gt;"","G:"&amp;IFERROR(TEXT(1*INDEX(INDIRECT("'WCM Calibration Final'!$D$1:$D$2000"),'Calculations'!$EM77),"0"),UPPER(IFERROR(IF(INDEX(INDIRECT("'WCM Calibration Final'!$D$1:$D$2000"),'Calculations'!$EM77)="","",TRIM(INDEX(INDIRECT("'WCM Calibration Final'!$D$1:$D$2000"),'Calculations'!$EM77)&amp;"")),""))),IF(IFERROR(IF(INDEX(INDIRECT("'WCM Calibration Final'!$E$1:$E$2000"),'Calculations'!$EM77)="","",TRIM(INDEX(INDIRECT("'WCM Calibration Final'!$E$1:$E$2000"),'Calculations'!$EM77)&amp;"")),"")="","",IF(COUNTIF('Calculations'!$HG$13:$HG$512,"="&amp;SUBSTITUTE(SUBSTITUTE(SUBSTITUTE(IFERROR(IF(INDEX(INDIRECT("'WCM Calibration Final'!$E$1:$E$2000"),'Calculations'!$EM77)="","",TRIM(INDEX(INDIRECT("'WCM Calibration Final'!$E$1:$E$2000"),'Calculations'!$EM77)&amp;"")),""),"~","~~"),"*","~*"),"?","~?"))=1,INDEX('Calculations'!$HE$13:$HE$512,MATCH(IFERROR(IF(INDEX(INDIRECT("'WCM Calibration Final'!$E$1:$E$2000"),'Calculations'!$EM77)="","",TRIM(INDEX(INDIRECT("'WCM Calibration Final'!$E$1:$E$2000"),'Calculations'!$EM77)&amp;"")),""),'Calculations'!$HG$13:$HG$512,0)),IF(COUNTIF('Calculations'!$HG$13:$HG$512,"="&amp;SUBSTITUTE(SUBSTITUTE(SUBSTITUTE(IFERROR(IF(INDEX(INDIRECT("'WCM Calibration Final'!$E$1:$E$2000"),'Calculations'!$EM77)="","",TRIM(INDEX(INDIRECT("'WCM Calibration Final'!$E$1:$E$2000"),'Calculations'!$EM77)&amp;"")),""),"~","~~"),"*","~*"),"?","~?"))&gt;1,"!AMBIG","X:"&amp;IFERROR(IF(INDEX(INDIRECT("'WCM Calibration Final'!$E$1:$E$2000"),'Calculations'!$EM77)="","",TRIM(INDEX(INDIRECT("'WCM Calibration Final'!$E$1:$E$2000"),'Calculations'!$EM77)&amp;"")),""))))))</x:f>
      </x:c>
      <x:c r="HG77" t="str">
        <x:f>IF('Calculations'!EM77="","",IFERROR(IF(INDEX(INDIRECT("'WCM Calibration Final'!$B$1:$B$2000"),'Calculations'!$EM77)="","",TRIM(INDEX(INDIRECT("'WCM Calibration Final'!$B$1:$B$2000"),'Calculations'!$EM77)&amp;"")),""))</x:f>
      </x:c>
      <x:c r="HH77" t="n">
        <x:f>IF(AND('Calculations'!JC77&gt;0,COUNTIF('Calculations'!$HF$12:HF77,"="&amp;SUBSTITUTE(SUBSTITUTE(SUBSTITUTE('Calculations'!HF77,"~","~~"),"*","~*"),"?","~?"))=1),MAX('Calculations'!$HH$12:HH76)+1,0)</x:f>
        <x:v>0</x:v>
      </x:c>
      <x:c r="HI77" t="n">
        <x:f>IF(AND('Calculations'!HN77&lt;&gt;"",COUNTIF('Calculations'!$HN$12:HN77,"="&amp;SUBSTITUTE(SUBSTITUTE(SUBSTITUTE('Calculations'!HN77,"~","~~"),"*","~*"),"?","~?"))=1),MAX('Calculations'!$HI$12:HI76)+1,0)</x:f>
        <x:v>0</x:v>
      </x:c>
      <x:c r="HJ77" t="str">
        <x:f>IF('Calculations'!HF77="","",IF(COUNTIF('Calculations'!$HE$13:$HE$512,"="&amp;SUBSTITUTE(SUBSTITUTE(SUBSTITUTE('Calculations'!HF77,"~","~~"),"*","~*"),"?","~?"))=1,INDEX('Calculations'!$HK$13:$HK$512,MATCH('Calculations'!HF77,'Calculations'!$HE$13:$HE$512,0)),IFERROR(IF(INDEX(INDIRECT("'WCM Calibration Final'!$E$1:$E$2000"),'Calculations'!$EM77)="","",TRIM(INDEX(INDIRECT("'WCM Calibration Final'!$E$1:$E$2000"),'Calculations'!$EM77)&amp;"")),"")&amp;" ["&amp;'Calculations'!HF77&amp;"]"))</x:f>
      </x:c>
      <x:c r="HK77" t="str">
        <x:f>IF('Calculations'!EM77="","",'Calculations'!HG77&amp;" ["&amp;'Calculations'!HE77&amp;"]")</x:f>
      </x:c>
      <x:c r="HL77" t="n">
        <x:f>IF('Calculations'!EM77="",0,IF(OR('Calculations'!II77&lt;&gt;"",COUNTIF('Calculations'!$HE$13:$HE$512,"="&amp;SUBSTITUTE(SUBSTITUTE(SUBSTITUTE('Calculations'!HE77,"~","~~"),"*","~*"),"?","~?"))&gt;1),1,0))</x:f>
        <x:v>0</x:v>
      </x:c>
      <x:c r="HM77" t="str">
        <x:f>IF('Calculations'!EM77="","",IF('Calculations'!HL77=1,"!UNRESOLVED",IF('Calculations'!IH77&lt;&gt;"",'Calculations'!IH77,IF('Calculations'!IG77&lt;&gt;"",'Calculations'!IG77,IF('Calculations'!IF77&lt;&gt;"",'Calculations'!IF77,IF('Calculations'!IE77&lt;&gt;"",'Calculations'!IE77,IF('Calculations'!ID77&lt;&gt;"",'Calculations'!ID77,IF('Calculations'!IC77&lt;&gt;"",'Calculations'!IC77,IF('Calculations'!IB77&lt;&gt;"",'Calculations'!IB77,IF('Calculations'!IA77&lt;&gt;"",'Calculations'!IA77,IF('Calculations'!HZ77&lt;&gt;"",'Calculations'!HZ77,IF('Calculations'!HY77&lt;&gt;"",'Calculations'!HY77,IF('Calculations'!HX77&lt;&gt;"",'Calculations'!HX77,IF('Calculations'!HW77&lt;&gt;"",'Calculations'!HW77,IF('Calculations'!HV77&lt;&gt;"",'Calculations'!HV77,IF('Calculations'!HU77&lt;&gt;"",'Calculations'!HU77,IF('Calculations'!HT77&lt;&gt;"",'Calculations'!HT77,IF('Calculations'!HS77&lt;&gt;"",'Calculations'!HS77,IF('Calculations'!HR77&lt;&gt;"",'Calculations'!HR77,IF('Calculations'!HQ77&lt;&gt;"",'Calculations'!HQ77,IF('Calculations'!HP77&lt;&gt;"",'Calculations'!HP77,IF('Calculations'!HO77&lt;&gt;"",'Calculations'!HO77,'Calculations'!HE77))))))))))))))))))))))</x:f>
      </x:c>
      <x:c r="HN77" t="str">
        <x:f>IF('Calculations'!EM77="","",IF(IFERROR(IF(INDEX(INDIRECT("'WCM Calibration Final'!$F$1:$F$2000"),'Calculations'!$EM77)="","",TRIM(INDEX(INDIRECT("'WCM Calibration Final'!$F$1:$F$2000"),'Calculations'!$EM77)&amp;"")),"")="","(Blank)",IFERROR(IF(INDEX(INDIRECT("'WCM Calibration Final'!$F$1:$F$2000"),'Calculations'!$EM77)="","",TRIM(INDEX(INDIRECT("'WCM Calibration Final'!$F$1:$F$2000"),'Calculations'!$EM77)&amp;"")),"")))</x:f>
      </x:c>
      <x:c r="HO77" t="str">
        <x:f>'Calculations'!HF77</x:f>
      </x:c>
      <x:c r="HP77" t="str">
        <x:f>IF('Calculations'!HO77="","",IF('Calculations'!HO77="!AMBIG","!AMBIG",IF(COUNTIF('Calculations'!$HE$13:$HE$512,"="&amp;SUBSTITUTE(SUBSTITUTE(SUBSTITUTE('Calculations'!HO77,"~","~~"),"*","~*"),"?","~?"))&gt;1,"!AMBIG",IFERROR(INDEX('Calculations'!$HF$13:$HF$512,MATCH('Calculations'!HO77,'Calculations'!$HE$13:$HE$512,0)),""))))</x:f>
      </x:c>
      <x:c r="HQ77" t="str">
        <x:f>IF('Calculations'!HP77="","",IF('Calculations'!HP77="!AMBIG","!AMBIG",IF(COUNTIF('Calculations'!$HE$13:$HE$512,"="&amp;SUBSTITUTE(SUBSTITUTE(SUBSTITUTE('Calculations'!HP77,"~","~~"),"*","~*"),"?","~?"))&gt;1,"!AMBIG",IFERROR(INDEX('Calculations'!$HF$13:$HF$512,MATCH('Calculations'!HP77,'Calculations'!$HE$13:$HE$512,0)),""))))</x:f>
      </x:c>
      <x:c r="HR77" t="str">
        <x:f>IF('Calculations'!HQ77="","",IF('Calculations'!HQ77="!AMBIG","!AMBIG",IF(COUNTIF('Calculations'!$HE$13:$HE$512,"="&amp;SUBSTITUTE(SUBSTITUTE(SUBSTITUTE('Calculations'!HQ77,"~","~~"),"*","~*"),"?","~?"))&gt;1,"!AMBIG",IFERROR(INDEX('Calculations'!$HF$13:$HF$512,MATCH('Calculations'!HQ77,'Calculations'!$HE$13:$HE$512,0)),""))))</x:f>
      </x:c>
      <x:c r="HS77" t="str">
        <x:f>IF('Calculations'!HR77="","",IF('Calculations'!HR77="!AMBIG","!AMBIG",IF(COUNTIF('Calculations'!$HE$13:$HE$512,"="&amp;SUBSTITUTE(SUBSTITUTE(SUBSTITUTE('Calculations'!HR77,"~","~~"),"*","~*"),"?","~?"))&gt;1,"!AMBIG",IFERROR(INDEX('Calculations'!$HF$13:$HF$512,MATCH('Calculations'!HR77,'Calculations'!$HE$13:$HE$512,0)),""))))</x:f>
      </x:c>
      <x:c r="HT77" t="str">
        <x:f>IF('Calculations'!HS77="","",IF('Calculations'!HS77="!AMBIG","!AMBIG",IF(COUNTIF('Calculations'!$HE$13:$HE$512,"="&amp;SUBSTITUTE(SUBSTITUTE(SUBSTITUTE('Calculations'!HS77,"~","~~"),"*","~*"),"?","~?"))&gt;1,"!AMBIG",IFERROR(INDEX('Calculations'!$HF$13:$HF$512,MATCH('Calculations'!HS77,'Calculations'!$HE$13:$HE$512,0)),""))))</x:f>
      </x:c>
      <x:c r="HU77" t="str">
        <x:f>IF('Calculations'!HT77="","",IF('Calculations'!HT77="!AMBIG","!AMBIG",IF(COUNTIF('Calculations'!$HE$13:$HE$512,"="&amp;SUBSTITUTE(SUBSTITUTE(SUBSTITUTE('Calculations'!HT77,"~","~~"),"*","~*"),"?","~?"))&gt;1,"!AMBIG",IFERROR(INDEX('Calculations'!$HF$13:$HF$512,MATCH('Calculations'!HT77,'Calculations'!$HE$13:$HE$512,0)),""))))</x:f>
      </x:c>
      <x:c r="HV77" t="str">
        <x:f>IF('Calculations'!HU77="","",IF('Calculations'!HU77="!AMBIG","!AMBIG",IF(COUNTIF('Calculations'!$HE$13:$HE$512,"="&amp;SUBSTITUTE(SUBSTITUTE(SUBSTITUTE('Calculations'!HU77,"~","~~"),"*","~*"),"?","~?"))&gt;1,"!AMBIG",IFERROR(INDEX('Calculations'!$HF$13:$HF$512,MATCH('Calculations'!HU77,'Calculations'!$HE$13:$HE$512,0)),""))))</x:f>
      </x:c>
      <x:c r="HW77" t="str">
        <x:f>IF('Calculations'!HV77="","",IF('Calculations'!HV77="!AMBIG","!AMBIG",IF(COUNTIF('Calculations'!$HE$13:$HE$512,"="&amp;SUBSTITUTE(SUBSTITUTE(SUBSTITUTE('Calculations'!HV77,"~","~~"),"*","~*"),"?","~?"))&gt;1,"!AMBIG",IFERROR(INDEX('Calculations'!$HF$13:$HF$512,MATCH('Calculations'!HV77,'Calculations'!$HE$13:$HE$512,0)),""))))</x:f>
      </x:c>
      <x:c r="HX77" t="str">
        <x:f>IF('Calculations'!HW77="","",IF('Calculations'!HW77="!AMBIG","!AMBIG",IF(COUNTIF('Calculations'!$HE$13:$HE$512,"="&amp;SUBSTITUTE(SUBSTITUTE(SUBSTITUTE('Calculations'!HW77,"~","~~"),"*","~*"),"?","~?"))&gt;1,"!AMBIG",IFERROR(INDEX('Calculations'!$HF$13:$HF$512,MATCH('Calculations'!HW77,'Calculations'!$HE$13:$HE$512,0)),""))))</x:f>
      </x:c>
      <x:c r="HY77" t="str">
        <x:f>IF('Calculations'!HX77="","",IF('Calculations'!HX77="!AMBIG","!AMBIG",IF(COUNTIF('Calculations'!$HE$13:$HE$512,"="&amp;SUBSTITUTE(SUBSTITUTE(SUBSTITUTE('Calculations'!HX77,"~","~~"),"*","~*"),"?","~?"))&gt;1,"!AMBIG",IFERROR(INDEX('Calculations'!$HF$13:$HF$512,MATCH('Calculations'!HX77,'Calculations'!$HE$13:$HE$512,0)),""))))</x:f>
      </x:c>
      <x:c r="HZ77" t="str">
        <x:f>IF('Calculations'!HY77="","",IF('Calculations'!HY77="!AMBIG","!AMBIG",IF(COUNTIF('Calculations'!$HE$13:$HE$512,"="&amp;SUBSTITUTE(SUBSTITUTE(SUBSTITUTE('Calculations'!HY77,"~","~~"),"*","~*"),"?","~?"))&gt;1,"!AMBIG",IFERROR(INDEX('Calculations'!$HF$13:$HF$512,MATCH('Calculations'!HY77,'Calculations'!$HE$13:$HE$512,0)),""))))</x:f>
      </x:c>
      <x:c r="IA77" t="str">
        <x:f>IF('Calculations'!HZ77="","",IF('Calculations'!HZ77="!AMBIG","!AMBIG",IF(COUNTIF('Calculations'!$HE$13:$HE$512,"="&amp;SUBSTITUTE(SUBSTITUTE(SUBSTITUTE('Calculations'!HZ77,"~","~~"),"*","~*"),"?","~?"))&gt;1,"!AMBIG",IFERROR(INDEX('Calculations'!$HF$13:$HF$512,MATCH('Calculations'!HZ77,'Calculations'!$HE$13:$HE$512,0)),""))))</x:f>
      </x:c>
      <x:c r="IB77" t="str">
        <x:f>IF('Calculations'!IA77="","",IF('Calculations'!IA77="!AMBIG","!AMBIG",IF(COUNTIF('Calculations'!$HE$13:$HE$512,"="&amp;SUBSTITUTE(SUBSTITUTE(SUBSTITUTE('Calculations'!IA77,"~","~~"),"*","~*"),"?","~?"))&gt;1,"!AMBIG",IFERROR(INDEX('Calculations'!$HF$13:$HF$512,MATCH('Calculations'!IA77,'Calculations'!$HE$13:$HE$512,0)),""))))</x:f>
      </x:c>
      <x:c r="IC77" t="str">
        <x:f>IF('Calculations'!IB77="","",IF('Calculations'!IB77="!AMBIG","!AMBIG",IF(COUNTIF('Calculations'!$HE$13:$HE$512,"="&amp;SUBSTITUTE(SUBSTITUTE(SUBSTITUTE('Calculations'!IB77,"~","~~"),"*","~*"),"?","~?"))&gt;1,"!AMBIG",IFERROR(INDEX('Calculations'!$HF$13:$HF$512,MATCH('Calculations'!IB77,'Calculations'!$HE$13:$HE$512,0)),""))))</x:f>
      </x:c>
      <x:c r="ID77" t="str">
        <x:f>IF('Calculations'!IC77="","",IF('Calculations'!IC77="!AMBIG","!AMBIG",IF(COUNTIF('Calculations'!$HE$13:$HE$512,"="&amp;SUBSTITUTE(SUBSTITUTE(SUBSTITUTE('Calculations'!IC77,"~","~~"),"*","~*"),"?","~?"))&gt;1,"!AMBIG",IFERROR(INDEX('Calculations'!$HF$13:$HF$512,MATCH('Calculations'!IC77,'Calculations'!$HE$13:$HE$512,0)),""))))</x:f>
      </x:c>
      <x:c r="IE77" t="str">
        <x:f>IF('Calculations'!ID77="","",IF('Calculations'!ID77="!AMBIG","!AMBIG",IF(COUNTIF('Calculations'!$HE$13:$HE$512,"="&amp;SUBSTITUTE(SUBSTITUTE(SUBSTITUTE('Calculations'!ID77,"~","~~"),"*","~*"),"?","~?"))&gt;1,"!AMBIG",IFERROR(INDEX('Calculations'!$HF$13:$HF$512,MATCH('Calculations'!ID77,'Calculations'!$HE$13:$HE$512,0)),""))))</x:f>
      </x:c>
      <x:c r="IF77" t="str">
        <x:f>IF('Calculations'!IE77="","",IF('Calculations'!IE77="!AMBIG","!AMBIG",IF(COUNTIF('Calculations'!$HE$13:$HE$512,"="&amp;SUBSTITUTE(SUBSTITUTE(SUBSTITUTE('Calculations'!IE77,"~","~~"),"*","~*"),"?","~?"))&gt;1,"!AMBIG",IFERROR(INDEX('Calculations'!$HF$13:$HF$512,MATCH('Calculations'!IE77,'Calculations'!$HE$13:$HE$512,0)),""))))</x:f>
      </x:c>
      <x:c r="IG77" t="str">
        <x:f>IF('Calculations'!IF77="","",IF('Calculations'!IF77="!AMBIG","!AMBIG",IF(COUNTIF('Calculations'!$HE$13:$HE$512,"="&amp;SUBSTITUTE(SUBSTITUTE(SUBSTITUTE('Calculations'!IF77,"~","~~"),"*","~*"),"?","~?"))&gt;1,"!AMBIG",IFERROR(INDEX('Calculations'!$HF$13:$HF$512,MATCH('Calculations'!IF77,'Calculations'!$HE$13:$HE$512,0)),""))))</x:f>
      </x:c>
      <x:c r="IH77" t="str">
        <x:f>IF('Calculations'!IG77="","",IF('Calculations'!IG77="!AMBIG","!AMBIG",IF(COUNTIF('Calculations'!$HE$13:$HE$512,"="&amp;SUBSTITUTE(SUBSTITUTE(SUBSTITUTE('Calculations'!IG77,"~","~~"),"*","~*"),"?","~?"))&gt;1,"!AMBIG",IFERROR(INDEX('Calculations'!$HF$13:$HF$512,MATCH('Calculations'!IG77,'Calculations'!$HE$13:$HE$512,0)),""))))</x:f>
      </x:c>
      <x:c r="II77" t="str">
        <x:f>IF('Calculations'!IH77="","",IF('Calculations'!IH77="!AMBIG","!AMBIG",IF(COUNTIF('Calculations'!$HE$13:$HE$512,"="&amp;SUBSTITUTE(SUBSTITUTE(SUBSTITUTE('Calculations'!IH77,"~","~~"),"*","~*"),"?","~?"))&gt;1,"!AMBIG",IFERROR(INDEX('Calculations'!$HF$13:$HF$512,MATCH('Calculations'!IH77,'Calculations'!$HE$13:$HE$512,0)),""))))</x:f>
      </x:c>
      <x:c r="IJ77" t="str">
        <x:f>IF('Calculations'!EM77="","",IF('Calculations'!$EF$2="All",'Calculations'!HM77,IF('Calculations'!HL77=1,"",IFERROR(IF(MATCH('Calculations'!$EF$2,'Calculations'!HO77:II77,0)=1,'Calculations'!HE77,INDEX('Calculations'!HO77:II77,1,MATCH('Calculations'!$EF$2,'Calculations'!HO77:II77,0)-1)),""))))</x:f>
      </x:c>
      <x:c r="IK77" t="n">
        <x:f>IF(AND('Calculations'!EM77&lt;&gt;"",'Calculations'!$EF$2&lt;&gt;"All",'Calculations'!HF77='Calculations'!$EF$2,'Calculations'!HL77=0,'Calculations'!JD77&gt;0),MAX('Calculations'!$IK$12:IK76)+1,0)</x:f>
        <x:v>0</x:v>
      </x:c>
      <x:c r="JA77" t="n">
        <x:f>IF(OR(IFERROR(INDIRECT("'WCM Calibration Final'!$A$77")&lt;&gt;"",FALSE),IFERROR(INDIRECT("'WCM Calibration Final'!$B$77")&lt;&gt;"",FALSE),IFERROR(INDIRECT("'WCM Calibration Final'!$C$77")&lt;&gt;"",FALSE)),77,0)</x:f>
        <x:v>0</x:v>
      </x:c>
      <x:c r="JB77" t="n">
        <x:f>'Calculations'!JB76+IF('Calculations'!JA77&gt;0,1,0)</x:f>
        <x:v>0</x:v>
      </x:c>
      <x:c r="JC77" t="n">
        <x:f>IF(OR('Calculations'!HF77="",'Calculations'!HF77="!AMBIG"),0,IF('Dashboard'!$B$7="All",1,COUNTIFS('Calculations'!$HO$13:$HO$512,"="&amp;SUBSTITUTE(SUBSTITUTE(SUBSTITUTE('Calculations'!HF77,"~","~~"),"*","~*"),"?","~?"),'Calculations'!$HN$13:$HN$512,"="&amp;SUBSTITUTE(SUBSTITUTE(SUBSTITUTE('Dashboard'!$B$7,"~","~~"),"*","~*"),"?","~?"))+COUNTIFS('Calculations'!$HP$13:$HP$512,"="&amp;SUBSTITUTE(SUBSTITUTE(SUBSTITUTE('Calculations'!HF77,"~","~~"),"*","~*"),"?","~?"),'Calculations'!$HN$13:$HN$512,"="&amp;SUBSTITUTE(SUBSTITUTE(SUBSTITUTE('Dashboard'!$B$7,"~","~~"),"*","~*"),"?","~?"))+COUNTIFS('Calculations'!$HQ$13:$HQ$512,"="&amp;SUBSTITUTE(SUBSTITUTE(SUBSTITUTE('Calculations'!HF77,"~","~~"),"*","~*"),"?","~?"),'Calculations'!$HN$13:$HN$512,"="&amp;SUBSTITUTE(SUBSTITUTE(SUBSTITUTE('Dashboard'!$B$7,"~","~~"),"*","~*"),"?","~?"))+COUNTIFS('Calculations'!$HR$13:$HR$512,"="&amp;SUBSTITUTE(SUBSTITUTE(SUBSTITUTE('Calculations'!HF77,"~","~~"),"*","~*"),"?","~?"),'Calculations'!$HN$13:$HN$512,"="&amp;SUBSTITUTE(SUBSTITUTE(SUBSTITUTE('Dashboard'!$B$7,"~","~~"),"*","~*"),"?","~?"))+COUNTIFS('Calculations'!$HS$13:$HS$512,"="&amp;SUBSTITUTE(SUBSTITUTE(SUBSTITUTE('Calculations'!HF77,"~","~~"),"*","~*"),"?","~?"),'Calculations'!$HN$13:$HN$512,"="&amp;SUBSTITUTE(SUBSTITUTE(SUBSTITUTE('Dashboard'!$B$7,"~","~~"),"*","~*"),"?","~?"))+COUNTIFS('Calculations'!$HT$13:$HT$512,"="&amp;SUBSTITUTE(SUBSTITUTE(SUBSTITUTE('Calculations'!HF77,"~","~~"),"*","~*"),"?","~?"),'Calculations'!$HN$13:$HN$512,"="&amp;SUBSTITUTE(SUBSTITUTE(SUBSTITUTE('Dashboard'!$B$7,"~","~~"),"*","~*"),"?","~?"))+COUNTIFS('Calculations'!$HU$13:$HU$512,"="&amp;SUBSTITUTE(SUBSTITUTE(SUBSTITUTE('Calculations'!HF77,"~","~~"),"*","~*"),"?","~?"),'Calculations'!$HN$13:$HN$512,"="&amp;SUBSTITUTE(SUBSTITUTE(SUBSTITUTE('Dashboard'!$B$7,"~","~~"),"*","~*"),"?","~?"))+COUNTIFS('Calculations'!$HV$13:$HV$512,"="&amp;SUBSTITUTE(SUBSTITUTE(SUBSTITUTE('Calculations'!HF77,"~","~~"),"*","~*"),"?","~?"),'Calculations'!$HN$13:$HN$512,"="&amp;SUBSTITUTE(SUBSTITUTE(SUBSTITUTE('Dashboard'!$B$7,"~","~~"),"*","~*"),"?","~?"))+COUNTIFS('Calculations'!$HW$13:$HW$512,"="&amp;SUBSTITUTE(SUBSTITUTE(SUBSTITUTE('Calculations'!HF77,"~","~~"),"*","~*"),"?","~?"),'Calculations'!$HN$13:$HN$512,"="&amp;SUBSTITUTE(SUBSTITUTE(SUBSTITUTE('Dashboard'!$B$7,"~","~~"),"*","~*"),"?","~?"))+COUNTIFS('Calculations'!$HX$13:$HX$512,"="&amp;SUBSTITUTE(SUBSTITUTE(SUBSTITUTE('Calculations'!HF77,"~","~~"),"*","~*"),"?","~?"),'Calculations'!$HN$13:$HN$512,"="&amp;SUBSTITUTE(SUBSTITUTE(SUBSTITUTE('Dashboard'!$B$7,"~","~~"),"*","~*"),"?","~?"))+COUNTIFS('Calculations'!$HY$13:$HY$512,"="&amp;SUBSTITUTE(SUBSTITUTE(SUBSTITUTE('Calculations'!HF77,"~","~~"),"*","~*"),"?","~?"),'Calculations'!$HN$13:$HN$512,"="&amp;SUBSTITUTE(SUBSTITUTE(SUBSTITUTE('Dashboard'!$B$7,"~","~~"),"*","~*"),"?","~?"))+COUNTIFS('Calculations'!$HZ$13:$HZ$512,"="&amp;SUBSTITUTE(SUBSTITUTE(SUBSTITUTE('Calculations'!HF77,"~","~~"),"*","~*"),"?","~?"),'Calculations'!$HN$13:$HN$512,"="&amp;SUBSTITUTE(SUBSTITUTE(SUBSTITUTE('Dashboard'!$B$7,"~","~~"),"*","~*"),"?","~?"))+COUNTIFS('Calculations'!$IA$13:$IA$512,"="&amp;SUBSTITUTE(SUBSTITUTE(SUBSTITUTE('Calculations'!HF77,"~","~~"),"*","~*"),"?","~?"),'Calculations'!$HN$13:$HN$512,"="&amp;SUBSTITUTE(SUBSTITUTE(SUBSTITUTE('Dashboard'!$B$7,"~","~~"),"*","~*"),"?","~?"))+COUNTIFS('Calculations'!$IB$13:$IB$512,"="&amp;SUBSTITUTE(SUBSTITUTE(SUBSTITUTE('Calculations'!HF77,"~","~~"),"*","~*"),"?","~?"),'Calculations'!$HN$13:$HN$512,"="&amp;SUBSTITUTE(SUBSTITUTE(SUBSTITUTE('Dashboard'!$B$7,"~","~~"),"*","~*"),"?","~?"))+COUNTIFS('Calculations'!$IC$13:$IC$512,"="&amp;SUBSTITUTE(SUBSTITUTE(SUBSTITUTE('Calculations'!HF77,"~","~~"),"*","~*"),"?","~?"),'Calculations'!$HN$13:$HN$512,"="&amp;SUBSTITUTE(SUBSTITUTE(SUBSTITUTE('Dashboard'!$B$7,"~","~~"),"*","~*"),"?","~?"))+COUNTIFS('Calculations'!$ID$13:$ID$512,"="&amp;SUBSTITUTE(SUBSTITUTE(SUBSTITUTE('Calculations'!HF77,"~","~~"),"*","~*"),"?","~?"),'Calculations'!$HN$13:$HN$512,"="&amp;SUBSTITUTE(SUBSTITUTE(SUBSTITUTE('Dashboard'!$B$7,"~","~~"),"*","~*"),"?","~?"))+COUNTIFS('Calculations'!$IE$13:$IE$512,"="&amp;SUBSTITUTE(SUBSTITUTE(SUBSTITUTE('Calculations'!HF77,"~","~~"),"*","~*"),"?","~?"),'Calculations'!$HN$13:$HN$512,"="&amp;SUBSTITUTE(SUBSTITUTE(SUBSTITUTE('Dashboard'!$B$7,"~","~~"),"*","~*"),"?","~?"))+COUNTIFS('Calculations'!$IF$13:$IF$512,"="&amp;SUBSTITUTE(SUBSTITUTE(SUBSTITUTE('Calculations'!HF77,"~","~~"),"*","~*"),"?","~?"),'Calculations'!$HN$13:$HN$512,"="&amp;SUBSTITUTE(SUBSTITUTE(SUBSTITUTE('Dashboard'!$B$7,"~","~~"),"*","~*"),"?","~?"))+COUNTIFS('Calculations'!$IG$13:$IG$512,"="&amp;SUBSTITUTE(SUBSTITUTE(SUBSTITUTE('Calculations'!HF77,"~","~~"),"*","~*"),"?","~?"),'Calculations'!$HN$13:$HN$512,"="&amp;SUBSTITUTE(SUBSTITUTE(SUBSTITUTE('Dashboard'!$B$7,"~","~~"),"*","~*"),"?","~?"))+COUNTIFS('Calculations'!$IH$13:$IH$512,"="&amp;SUBSTITUTE(SUBSTITUTE(SUBSTITUTE('Calculations'!HF77,"~","~~"),"*","~*"),"?","~?"),'Calculations'!$HN$13:$HN$512,"="&amp;SUBSTITUTE(SUBSTITUTE(SUBSTITUTE('Dashboard'!$B$7,"~","~~"),"*","~*"),"?","~?"))))</x:f>
        <x:v>0</x:v>
      </x:c>
      <x:c r="JD77" t="n">
        <x:f>IF('Calculations'!EM77="",0,IF('Dashboard'!$B$7="All",1,IF('Calculations'!HN77='Dashboard'!$B$7,1,0)+IFERROR(INDEX('Calculations'!$JC$13:$JC$512,MATCH('Calculations'!HE77,'Calculations'!$HF$13:$HF$512,0)),0)))</x:f>
        <x:v>0</x:v>
      </x:c>
      <x:c r="JE77" t="n">
        <x:f>IF(AND('Calculations'!EM77&lt;&gt;"",'Calculations'!$JJ$2&lt;&gt;"All",'Calculations'!$JJ$2&lt;&gt;"",'Calculations'!HF77='Calculations'!$JJ$2,'Calculations'!HL77=0,'Calculations'!JD77&gt;0),MAX('Calculations'!$JE$12:JE76)+1,0)</x:f>
        <x:v>0</x:v>
      </x:c>
      <x:c r="JF77" t="str">
        <x:f>IF('Calculations'!EM77="","",IFERROR(IF(INDEX(INDIRECT("'WCM Calibration Final'!$G$1:$G$2000"),'Calculations'!$EM77)="","",TRIM(INDEX(INDIRECT("'WCM Calibration Final'!$G$1:$G$2000"),'Calculations'!$EM77)&amp;"")),""))</x:f>
      </x:c>
      <x:c r="JQ77" t="n">
        <x:f>IF(OR('Calculations'!BM77=0,NOT('Calculations'!$AG$2),'Calculations'!$AG$8&gt;0),0,IF(OR('Dashboard'!$B$7="All",'Calculations'!HN77='Dashboard'!$B$7),IF('Calculations'!$JJ$2="All",1,IF(AND('Calculations'!HF77='Calculations'!$JJ$2,'Calculations'!HL77=0),1,0)),0))</x:f>
        <x:v>0</x:v>
      </x:c>
    </x:row>
    <x:row r="78">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t="n">
        <x:f>IF('Calculations'!$EM78="",0,IF(OR(IFERROR(INDEX(INDIRECT("'WCM Calibration Final'!$A$1:$A$2000"),'Calculations'!$EM78)&lt;&gt;"",FALSE),IFERROR(INDEX(INDIRECT("'WCM Calibration Final'!$B$1:$B$2000"),'Calculations'!$EM78)&lt;&gt;"",FALSE),IFERROR(INDEX(INDIRECT("'WCM Calibration Final'!$C$1:$C$2000"),'Calculations'!$EM78)&lt;&gt;"",FALSE)),1,0))</x:f>
        <x:v>0</x:v>
      </x:c>
      <x:c r="BN78" s="4" t="n">
        <x:f>IF(AND('Calculations'!BM78=1,'Calculations'!$AG$2,'Calculations'!$EN78=1),1,0)</x:f>
        <x:v>0</x:v>
      </x:c>
      <x:c r="BO78" s="4" t="str">
        <x:f>IF('Calculations'!BM78=0,"",IFERROR(IF(AND(VALUE(INDEX(INDIRECT("'WCM Calibration Final'!$K$1:$K$2000"),'Calculations'!$EM78))&gt;=1,VALUE(INDEX(INDIRECT("'WCM Calibration Final'!$K$1:$K$2000"),'Calculations'!$EM78))&lt;=4,MOD(VALUE(INDEX(INDIRECT("'WCM Calibration Final'!$K$1:$K$2000"),'Calculations'!$EM78)),1)=0),VALUE(INDEX(INDIRECT("'WCM Calibration Final'!$K$1:$K$2000"),'Calculations'!$EM78)),""),""))</x:f>
      </x:c>
      <x:c r="BP78" s="4" t="str">
        <x:f>IF('Calculations'!BM78=0,"",IFERROR(IF(AND(VALUE(INDEX(INDIRECT("'WCM Calibration Final'!$L$1:$L$2000"),'Calculations'!$EM78))&gt;=1,VALUE(INDEX(INDIRECT("'WCM Calibration Final'!$L$1:$L$2000"),'Calculations'!$EM78))&lt;=4,MOD(VALUE(INDEX(INDIRECT("'WCM Calibration Final'!$L$1:$L$2000"),'Calculations'!$EM78)),1)=0),VALUE(INDEX(INDIRECT("'WCM Calibration Final'!$L$1:$L$2000"),'Calculations'!$EM78)),""),""))</x:f>
      </x:c>
      <x:c r="BQ78" s="4"/>
      <x:c r="BR78" s="4"/>
      <x:c r="BS78" s="4"/>
      <x:c r="BT78" s="4" t="n">
        <x:f>IF(AND('Calculations'!BM78=1,ISNUMBER('Calculations'!BO78),ISNUMBER('Calculations'!BP78)),1,0)</x:f>
        <x:v>0</x:v>
      </x:c>
      <x:c r="BU78" s="4" t="str">
        <x:f>IF('Calculations'!BM78=0,"",'Calculations'!$EO78)</x:f>
      </x:c>
      <x:c r="BV78" s="4" t="str">
        <x:f>IF('Calculations'!BM78=0,"",IFERROR(IF(OR(INDEX(INDIRECT("'WCM Calibration Final'!$H$1:$H$2000"),'Calculations'!$EM78)="MANAGING DIRECTOR",INDEX(INDIRECT("'WCM Calibration Final'!$H$1:$H$2000"),'Calculations'!$EM78)="DIRECTOR",INDEX(INDIRECT("'WCM Calibration Final'!$H$1:$H$2000"),'Calculations'!$EM78)="SENIOR VICE PRESIDENT",INDEX(INDIRECT("'WCM Calibration Final'!$H$1:$H$2000"),'Calculations'!$EM78)="VICE PRESIDENT",INDEX(INDIRECT("'WCM Calibration Final'!$H$1:$H$2000"),'Calculations'!$EM78)="ASSISTANT VICE PRESIDENT",INDEX(INDIRECT("'WCM Calibration Final'!$H$1:$H$2000"),'Calculations'!$EM78)="OFFICER"),UPPER(INDEX(INDIRECT("'WCM Calibration Final'!$H$1:$H$2000"),'Calculations'!$EM78)),"Other"),"Other"))</x:f>
      </x:c>
      <x:c r="BW78" s="4"/>
      <x:c r="BX78" s="4"/>
      <x:c r="BY78" s="4" t="n">
        <x:f>IF(AND('Calculations'!BM78=1,'Calculations'!BU78&lt;&gt;"",COUNTIF('Calculations'!$BU$12:BU78,'Calculations'!BU78)=1),MAX('Calculations'!$BY$11:BY77)+1,0)</x:f>
        <x:v>0</x:v>
      </x:c>
      <x:c r="BZ78" s="4" t="str">
        <x:f>IF('Dashboard'!$E$67="What",'Calculations'!BO78,'Calculations'!BP78)</x:f>
      </x:c>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t="str">
        <x:f>IF(67&gt;MAX('Calculations'!$HI$13:$HI$512),"",INDEX('Calculations'!$HN$13:$HN$512,MATCH(67,'Calculations'!$HI$13:$HI$512,0)))</x:f>
      </x:c>
      <x:c r="DB78" s="4" t="str">
        <x:f>IF(67&gt;MAX('Calculations'!$HH$13:$HH$512),"",INDEX('Calculations'!$HJ$13:$HJ$512,MATCH(67,'Calculations'!$HH$13:$HH$512,0)))</x:f>
      </x:c>
      <x:c r="DC78" s="4" t="str">
        <x:f>IF(ROW()-11&gt;MAX('Calculations'!$BY$13:$BY$512),"",INDEX('Calculations'!$BU$13:$BU$512,MATCH(ROW()-11,'Calculations'!$BY$13:$BY$512,0)))</x:f>
      </x:c>
      <x:c r="DD78" s="4" t="str">
        <x:f>IF(67&gt;MAX('Calculations'!$IK$13:$IK$512),"",INDEX('Calculations'!$HK$13:$HK$512,MATCH(67,'Calculations'!$IK$13:$IK$512,0)))</x:f>
      </x:c>
      <x:c r="DE78" s="4" t="str">
        <x:f>'Calculations'!DC78</x:f>
      </x:c>
      <x:c r="DF78" s="4" t="str">
        <x:f>IF('Calculations'!DE78="","",COUNTIFS('Calculations'!$BN$13:$BN$512,1,'Calculations'!$BU$13:$BU$512,'Calculations'!DE78))</x:f>
      </x:c>
      <x:c r="DG78" s="4" t="str">
        <x:f>IF('Calculations'!DE78="","",COUNTIFS('Calculations'!$BN$13:$BN$512,1,'Calculations'!$BU$13:$BU$512,'Calculations'!DE78,'Calculations'!$BT$13:$BT$512,1))</x:f>
      </x:c>
      <x:c r="DH78" s="4" t="str">
        <x:f>IF('Calculations'!DE78="","",'Calculations'!DF78-'Calculations'!DG78)</x:f>
      </x:c>
      <x:c r="DI78" s="4" t="str">
        <x:f>IF(OR('Calculations'!DE78="",'Calculations'!DF78=0),"",'Calculations'!DG78/'Calculations'!DF78)</x:f>
      </x:c>
      <x:c r="DJ78" s="4" t="str">
        <x:f>IF('Calculations'!DE78="","",COUNTIFS('Calculations'!$BN$13:$BN$512,1,'Calculations'!$BU$13:$BU$512,'Calculations'!DE78,'Calculations'!$BT$13:$BT$512,1,'Calculations'!$EE$13:$EE$512,"High"))</x:f>
      </x:c>
      <x:c r="DK78" s="4" t="str">
        <x:f>IF('Calculations'!DE78="","",COUNTIFS('Calculations'!$BN$13:$BN$512,1,'Calculations'!$BU$13:$BU$512,'Calculations'!DE78,'Calculations'!$BT$13:$BT$512,1,'Calculations'!$EE$13:$EE$512,"Strong"))</x:f>
      </x:c>
      <x:c r="DL78" s="4" t="str">
        <x:f>IF('Calculations'!DE78="","",COUNTIFS('Calculations'!$BN$13:$BN$512,1,'Calculations'!$BU$13:$BU$512,'Calculations'!DE78,'Calculations'!$BT$13:$BT$512,1,'Calculations'!$EE$13:$EE$512,"Solid"))</x:f>
      </x:c>
      <x:c r="DM78" s="4" t="str">
        <x:f>IF('Calculations'!DE78="","",COUNTIFS('Calculations'!$BN$13:$BN$512,1,'Calculations'!$BU$13:$BU$512,'Calculations'!DE78,'Calculations'!$BT$13:$BT$512,1,'Calculations'!$EE$13:$EE$512,"Low"))</x:f>
      </x:c>
      <x:c r="DN78" s="4" t="str">
        <x:f>IF('Calculations'!DE78="","",COUNTIFS('Calculations'!$BN$13:$BN$512,1,'Calculations'!$BU$13:$BU$512,'Calculations'!DE78,'Calculations'!$EP$13:$EP$512,1))</x:f>
      </x:c>
      <x:c r="DO78" s="4" t="str">
        <x:f>IF(OR('Calculations'!DE78="",'Calculations'!DG78=0),"",('Calculations'!DJ78+'Calculations'!DK78)/'Calculations'!DG78)</x:f>
      </x:c>
      <x:c r="DP78" s="4" t="n">
        <x:f>IF(AND('Calculations'!DE78&lt;&gt;"",'Calculations'!DF78&gt;0),COUNTIF('Calculations'!$DF$12:DF78,"&gt;0"),0)</x:f>
        <x:v>0</x:v>
      </x:c>
      <x:c r="DQ78" s="4" t="str">
        <x:f>IF(67&gt;MAX('Calculations'!$HH$13:$HH$512),"",INDEX('Calculations'!$HF$13:$HF$512,MATCH(67,'Calculations'!$HH$13:$HH$512,0)))</x:f>
      </x:c>
      <x:c r="DR78" s="4" t="str">
        <x:f>IF(67&gt;MAX('Calculations'!$IK$13:$IK$512),"",INDEX('Calculations'!$HE$13:$HE$512,MATCH(67,'Calculations'!$IK$13:$IK$512,0)))</x:f>
      </x:c>
      <x:c r="DS78" s="4"/>
      <x:c r="DT78" s="4"/>
      <x:c r="DU78" s="4"/>
      <x:c r="DV78" s="4"/>
      <x:c r="DW78" s="4"/>
      <x:c r="DX78" s="4"/>
      <x:c r="DY78" s="4"/>
      <x:c r="DZ78" s="4"/>
      <x:c r="EA78" s="4"/>
      <x:c r="EB78" s="4"/>
      <x:c r="EC78" s="4"/>
      <x:c r="ED78" s="4"/>
      <x:c r="EE78" s="4" t="str">
        <x:f>IF('Calculations'!BT78=0,"Not Rated",IF(OR('Calculations'!BO78&gt;=4,'Calculations'!BP78&gt;=4),"Low",IF('Calculations'!BO78+'Calculations'!BP78&lt;=3,"High",IF('Calculations'!BO78+'Calculations'!BP78&lt;=4,"Strong","Solid"))))</x:f>
        <x:v>Not Rated</x:v>
      </x:c>
      <x:c r="EF78" s="4"/>
      <x:c r="EG78" s="4"/>
      <x:c r="EH78" s="4"/>
      <x:c r="EI78" s="4"/>
      <x:c r="EJ78" s="4"/>
      <x:c r="EK78" s="4"/>
      <x:c r="EL78" s="4"/>
      <x:c r="EM78" s="4" t="str">
        <x:f>IF(66&gt;'Calculations'!$JB$2000,"",INDEX('Calculations'!$JA$12:$JA$2000,MATCH(66,'Calculations'!$JB$12:$JB$2000,0)))</x:f>
      </x:c>
      <x:c r="EN78" s="4" t="n">
        <x:f>IF(OR('Calculations'!EM78="",'Calculations'!$AG$8&gt;0,AND('Calculations'!$EF$2&lt;&gt;"All",'Calculations'!HE78='Calculations'!$EF$2),AND('Calculations'!$EF$3&lt;&gt;"All",'Calculations'!HE78='Calculations'!$EF$3)),0,IF(OR('Dashboard'!$B$7="All",'Calculations'!HN78='Dashboard'!$B$7),IF('Calculations'!$EF$2="All",1,IF('Calculations'!HL78&gt;0,0,IF(COUNTIF('Calculations'!HO78:II78,"="&amp;SUBSTITUTE(SUBSTITUTE(SUBSTITUTE('Calculations'!$EF$2,"~","~~"),"*","~*"),"?","~?"))=0,0,IF('Calculations'!$EF$3="All",1,IF(COUNTIF('Calculations'!HO78:II78,"="&amp;SUBSTITUTE(SUBSTITUTE(SUBSTITUTE('Calculations'!$EF$3,"~","~~"),"*","~*"),"?","~?"))&gt;0,1,0))))),0))</x:f>
        <x:v>0</x:v>
      </x:c>
      <x:c r="EO78" s="4" t="str">
        <x:f>IF('Calculations'!IJ78="","",IF('Calculations'!IJ78="!UNRESOLVED","Unresolved hierarchy",IFERROR(INDEX('Calculations'!$HK$13:$HK$512,MATCH('Calculations'!IJ78,'Calculations'!$HE$13:$HE$512,0)),IFERROR(INDEX('Calculations'!$HJ$13:$HJ$512,MATCH('Calculations'!IJ78,'Calculations'!$HF$13:$HF$512,0)),'Calculations'!IJ78))))</x:f>
      </x:c>
      <x:c r="EP78" s="4" t="n">
        <x:f>IF(AND('Calculations'!EM78&lt;&gt;"",'Calculations'!HF78='Calculations'!IJ78),1,0)</x:f>
        <x:v>0</x:v>
      </x:c>
      <x:c r="EQ78" s="4"/>
      <x:c r="ER78" s="4"/>
      <x:c r="ES78" s="4"/>
      <x:c r="ET78" s="4"/>
      <x:c r="EU78" s="4"/>
      <x:c r="EV78" s="4"/>
      <x:c r="EW78" s="4"/>
      <x:c r="EX78" s="4"/>
      <x:c r="EY78" s="4"/>
      <x:c r="EZ78" s="4"/>
      <x:c r="FA78" s="4"/>
      <x:c r="FB78" s="4"/>
      <x:c r="FC78" s="4"/>
      <x:c r="FD78" s="4"/>
      <x:c r="FE78" s="4"/>
      <x:c r="FF78" s="4"/>
      <x:c r="FG78" s="4"/>
      <x:c r="FH78" s="4"/>
      <x:c r="FI78" s="4"/>
      <x:c r="FJ78" s="4"/>
      <x:c r="FK78" s="4"/>
      <x:c r="FL78" s="4"/>
      <x:c r="FM78" s="4"/>
      <x:c r="FN78" s="4"/>
      <x:c r="FO78" s="4"/>
      <x:c r="GA78" s="71"/>
      <x:c r="GB78" s="71"/>
      <x:c r="GC78" s="71"/>
      <x:c r="GD78" s="71"/>
      <x:c r="GE78" s="71"/>
      <x:c r="GF78" s="71"/>
      <x:c r="GG78" s="71"/>
      <x:c r="GH78" s="71"/>
      <x:c r="GI78" s="71"/>
      <x:c r="GJ78" s="71"/>
      <x:c r="GK78" s="71"/>
      <x:c r="GL78" s="71"/>
      <x:c r="GM78" s="71"/>
      <x:c r="GN78" s="71"/>
      <x:c r="GO78" s="71"/>
      <x:c r="GP78" s="71"/>
      <x:c r="GQ78" s="71"/>
      <x:c r="GR78" s="71"/>
      <x:c r="GS78" s="71"/>
      <x:c r="GT78" s="71"/>
      <x:c r="GU78" s="71"/>
      <x:c r="GV78" s="71"/>
      <x:c r="GW78" s="71"/>
      <x:c r="GX78" s="71"/>
      <x:c r="GY78" s="71"/>
      <x:c r="GZ78" s="71"/>
      <x:c r="HA78" s="71"/>
      <x:c r="HB78" s="71"/>
      <x:c r="HC78" s="71"/>
      <x:c r="HD78" s="71"/>
      <x:c r="HE78" t="str">
        <x:f>IF('Calculations'!EM78="","",IF(IFERROR(IF(INDEX(INDIRECT("'WCM Calibration Final'!$A$1:$A$2000"),'Calculations'!$EM78)="","",TRIM(INDEX(INDIRECT("'WCM Calibration Final'!$A$1:$A$2000"),'Calculations'!$EM78)&amp;"")),"")&lt;&gt;"","G:"&amp;IFERROR(TEXT(1*INDEX(INDIRECT("'WCM Calibration Final'!$A$1:$A$2000"),'Calculations'!$EM78),"0"),UPPER(IFERROR(IF(INDEX(INDIRECT("'WCM Calibration Final'!$A$1:$A$2000"),'Calculations'!$EM78)="","",TRIM(INDEX(INDIRECT("'WCM Calibration Final'!$A$1:$A$2000"),'Calculations'!$EM78)&amp;"")),""))),IF(IFERROR(IF(INDEX(INDIRECT("'WCM Calibration Final'!$C$1:$C$2000"),'Calculations'!$EM78)="","",TRIM(INDEX(INDIRECT("'WCM Calibration Final'!$C$1:$C$2000"),'Calculations'!$EM78)&amp;"")),"")&lt;&gt;"","S:"&amp;UPPER(IFERROR(IF(INDEX(INDIRECT("'WCM Calibration Final'!$C$1:$C$2000"),'Calculations'!$EM78)="","",TRIM(INDEX(INDIRECT("'WCM Calibration Final'!$C$1:$C$2000"),'Calculations'!$EM78)&amp;"")),"")),"R:"&amp;'Calculations'!EM78)))</x:f>
      </x:c>
      <x:c r="HF78" t="str">
        <x:f>IF('Calculations'!EM78="","",IF(IFERROR(IF(INDEX(INDIRECT("'WCM Calibration Final'!$D$1:$D$2000"),'Calculations'!$EM78)="","",TRIM(INDEX(INDIRECT("'WCM Calibration Final'!$D$1:$D$2000"),'Calculations'!$EM78)&amp;"")),"")&lt;&gt;"","G:"&amp;IFERROR(TEXT(1*INDEX(INDIRECT("'WCM Calibration Final'!$D$1:$D$2000"),'Calculations'!$EM78),"0"),UPPER(IFERROR(IF(INDEX(INDIRECT("'WCM Calibration Final'!$D$1:$D$2000"),'Calculations'!$EM78)="","",TRIM(INDEX(INDIRECT("'WCM Calibration Final'!$D$1:$D$2000"),'Calculations'!$EM78)&amp;"")),""))),IF(IFERROR(IF(INDEX(INDIRECT("'WCM Calibration Final'!$E$1:$E$2000"),'Calculations'!$EM78)="","",TRIM(INDEX(INDIRECT("'WCM Calibration Final'!$E$1:$E$2000"),'Calculations'!$EM78)&amp;"")),"")="","",IF(COUNTIF('Calculations'!$HG$13:$HG$512,"="&amp;SUBSTITUTE(SUBSTITUTE(SUBSTITUTE(IFERROR(IF(INDEX(INDIRECT("'WCM Calibration Final'!$E$1:$E$2000"),'Calculations'!$EM78)="","",TRIM(INDEX(INDIRECT("'WCM Calibration Final'!$E$1:$E$2000"),'Calculations'!$EM78)&amp;"")),""),"~","~~"),"*","~*"),"?","~?"))=1,INDEX('Calculations'!$HE$13:$HE$512,MATCH(IFERROR(IF(INDEX(INDIRECT("'WCM Calibration Final'!$E$1:$E$2000"),'Calculations'!$EM78)="","",TRIM(INDEX(INDIRECT("'WCM Calibration Final'!$E$1:$E$2000"),'Calculations'!$EM78)&amp;"")),""),'Calculations'!$HG$13:$HG$512,0)),IF(COUNTIF('Calculations'!$HG$13:$HG$512,"="&amp;SUBSTITUTE(SUBSTITUTE(SUBSTITUTE(IFERROR(IF(INDEX(INDIRECT("'WCM Calibration Final'!$E$1:$E$2000"),'Calculations'!$EM78)="","",TRIM(INDEX(INDIRECT("'WCM Calibration Final'!$E$1:$E$2000"),'Calculations'!$EM78)&amp;"")),""),"~","~~"),"*","~*"),"?","~?"))&gt;1,"!AMBIG","X:"&amp;IFERROR(IF(INDEX(INDIRECT("'WCM Calibration Final'!$E$1:$E$2000"),'Calculations'!$EM78)="","",TRIM(INDEX(INDIRECT("'WCM Calibration Final'!$E$1:$E$2000"),'Calculations'!$EM78)&amp;"")),""))))))</x:f>
      </x:c>
      <x:c r="HG78" t="str">
        <x:f>IF('Calculations'!EM78="","",IFERROR(IF(INDEX(INDIRECT("'WCM Calibration Final'!$B$1:$B$2000"),'Calculations'!$EM78)="","",TRIM(INDEX(INDIRECT("'WCM Calibration Final'!$B$1:$B$2000"),'Calculations'!$EM78)&amp;"")),""))</x:f>
      </x:c>
      <x:c r="HH78" t="n">
        <x:f>IF(AND('Calculations'!JC78&gt;0,COUNTIF('Calculations'!$HF$12:HF78,"="&amp;SUBSTITUTE(SUBSTITUTE(SUBSTITUTE('Calculations'!HF78,"~","~~"),"*","~*"),"?","~?"))=1),MAX('Calculations'!$HH$12:HH77)+1,0)</x:f>
        <x:v>0</x:v>
      </x:c>
      <x:c r="HI78" t="n">
        <x:f>IF(AND('Calculations'!HN78&lt;&gt;"",COUNTIF('Calculations'!$HN$12:HN78,"="&amp;SUBSTITUTE(SUBSTITUTE(SUBSTITUTE('Calculations'!HN78,"~","~~"),"*","~*"),"?","~?"))=1),MAX('Calculations'!$HI$12:HI77)+1,0)</x:f>
        <x:v>0</x:v>
      </x:c>
      <x:c r="HJ78" t="str">
        <x:f>IF('Calculations'!HF78="","",IF(COUNTIF('Calculations'!$HE$13:$HE$512,"="&amp;SUBSTITUTE(SUBSTITUTE(SUBSTITUTE('Calculations'!HF78,"~","~~"),"*","~*"),"?","~?"))=1,INDEX('Calculations'!$HK$13:$HK$512,MATCH('Calculations'!HF78,'Calculations'!$HE$13:$HE$512,0)),IFERROR(IF(INDEX(INDIRECT("'WCM Calibration Final'!$E$1:$E$2000"),'Calculations'!$EM78)="","",TRIM(INDEX(INDIRECT("'WCM Calibration Final'!$E$1:$E$2000"),'Calculations'!$EM78)&amp;"")),"")&amp;" ["&amp;'Calculations'!HF78&amp;"]"))</x:f>
      </x:c>
      <x:c r="HK78" t="str">
        <x:f>IF('Calculations'!EM78="","",'Calculations'!HG78&amp;" ["&amp;'Calculations'!HE78&amp;"]")</x:f>
      </x:c>
      <x:c r="HL78" t="n">
        <x:f>IF('Calculations'!EM78="",0,IF(OR('Calculations'!II78&lt;&gt;"",COUNTIF('Calculations'!$HE$13:$HE$512,"="&amp;SUBSTITUTE(SUBSTITUTE(SUBSTITUTE('Calculations'!HE78,"~","~~"),"*","~*"),"?","~?"))&gt;1),1,0))</x:f>
        <x:v>0</x:v>
      </x:c>
      <x:c r="HM78" t="str">
        <x:f>IF('Calculations'!EM78="","",IF('Calculations'!HL78=1,"!UNRESOLVED",IF('Calculations'!IH78&lt;&gt;"",'Calculations'!IH78,IF('Calculations'!IG78&lt;&gt;"",'Calculations'!IG78,IF('Calculations'!IF78&lt;&gt;"",'Calculations'!IF78,IF('Calculations'!IE78&lt;&gt;"",'Calculations'!IE78,IF('Calculations'!ID78&lt;&gt;"",'Calculations'!ID78,IF('Calculations'!IC78&lt;&gt;"",'Calculations'!IC78,IF('Calculations'!IB78&lt;&gt;"",'Calculations'!IB78,IF('Calculations'!IA78&lt;&gt;"",'Calculations'!IA78,IF('Calculations'!HZ78&lt;&gt;"",'Calculations'!HZ78,IF('Calculations'!HY78&lt;&gt;"",'Calculations'!HY78,IF('Calculations'!HX78&lt;&gt;"",'Calculations'!HX78,IF('Calculations'!HW78&lt;&gt;"",'Calculations'!HW78,IF('Calculations'!HV78&lt;&gt;"",'Calculations'!HV78,IF('Calculations'!HU78&lt;&gt;"",'Calculations'!HU78,IF('Calculations'!HT78&lt;&gt;"",'Calculations'!HT78,IF('Calculations'!HS78&lt;&gt;"",'Calculations'!HS78,IF('Calculations'!HR78&lt;&gt;"",'Calculations'!HR78,IF('Calculations'!HQ78&lt;&gt;"",'Calculations'!HQ78,IF('Calculations'!HP78&lt;&gt;"",'Calculations'!HP78,IF('Calculations'!HO78&lt;&gt;"",'Calculations'!HO78,'Calculations'!HE78))))))))))))))))))))))</x:f>
      </x:c>
      <x:c r="HN78" t="str">
        <x:f>IF('Calculations'!EM78="","",IF(IFERROR(IF(INDEX(INDIRECT("'WCM Calibration Final'!$F$1:$F$2000"),'Calculations'!$EM78)="","",TRIM(INDEX(INDIRECT("'WCM Calibration Final'!$F$1:$F$2000"),'Calculations'!$EM78)&amp;"")),"")="","(Blank)",IFERROR(IF(INDEX(INDIRECT("'WCM Calibration Final'!$F$1:$F$2000"),'Calculations'!$EM78)="","",TRIM(INDEX(INDIRECT("'WCM Calibration Final'!$F$1:$F$2000"),'Calculations'!$EM78)&amp;"")),"")))</x:f>
      </x:c>
      <x:c r="HO78" t="str">
        <x:f>'Calculations'!HF78</x:f>
      </x:c>
      <x:c r="HP78" t="str">
        <x:f>IF('Calculations'!HO78="","",IF('Calculations'!HO78="!AMBIG","!AMBIG",IF(COUNTIF('Calculations'!$HE$13:$HE$512,"="&amp;SUBSTITUTE(SUBSTITUTE(SUBSTITUTE('Calculations'!HO78,"~","~~"),"*","~*"),"?","~?"))&gt;1,"!AMBIG",IFERROR(INDEX('Calculations'!$HF$13:$HF$512,MATCH('Calculations'!HO78,'Calculations'!$HE$13:$HE$512,0)),""))))</x:f>
      </x:c>
      <x:c r="HQ78" t="str">
        <x:f>IF('Calculations'!HP78="","",IF('Calculations'!HP78="!AMBIG","!AMBIG",IF(COUNTIF('Calculations'!$HE$13:$HE$512,"="&amp;SUBSTITUTE(SUBSTITUTE(SUBSTITUTE('Calculations'!HP78,"~","~~"),"*","~*"),"?","~?"))&gt;1,"!AMBIG",IFERROR(INDEX('Calculations'!$HF$13:$HF$512,MATCH('Calculations'!HP78,'Calculations'!$HE$13:$HE$512,0)),""))))</x:f>
      </x:c>
      <x:c r="HR78" t="str">
        <x:f>IF('Calculations'!HQ78="","",IF('Calculations'!HQ78="!AMBIG","!AMBIG",IF(COUNTIF('Calculations'!$HE$13:$HE$512,"="&amp;SUBSTITUTE(SUBSTITUTE(SUBSTITUTE('Calculations'!HQ78,"~","~~"),"*","~*"),"?","~?"))&gt;1,"!AMBIG",IFERROR(INDEX('Calculations'!$HF$13:$HF$512,MATCH('Calculations'!HQ78,'Calculations'!$HE$13:$HE$512,0)),""))))</x:f>
      </x:c>
      <x:c r="HS78" t="str">
        <x:f>IF('Calculations'!HR78="","",IF('Calculations'!HR78="!AMBIG","!AMBIG",IF(COUNTIF('Calculations'!$HE$13:$HE$512,"="&amp;SUBSTITUTE(SUBSTITUTE(SUBSTITUTE('Calculations'!HR78,"~","~~"),"*","~*"),"?","~?"))&gt;1,"!AMBIG",IFERROR(INDEX('Calculations'!$HF$13:$HF$512,MATCH('Calculations'!HR78,'Calculations'!$HE$13:$HE$512,0)),""))))</x:f>
      </x:c>
      <x:c r="HT78" t="str">
        <x:f>IF('Calculations'!HS78="","",IF('Calculations'!HS78="!AMBIG","!AMBIG",IF(COUNTIF('Calculations'!$HE$13:$HE$512,"="&amp;SUBSTITUTE(SUBSTITUTE(SUBSTITUTE('Calculations'!HS78,"~","~~"),"*","~*"),"?","~?"))&gt;1,"!AMBIG",IFERROR(INDEX('Calculations'!$HF$13:$HF$512,MATCH('Calculations'!HS78,'Calculations'!$HE$13:$HE$512,0)),""))))</x:f>
      </x:c>
      <x:c r="HU78" t="str">
        <x:f>IF('Calculations'!HT78="","",IF('Calculations'!HT78="!AMBIG","!AMBIG",IF(COUNTIF('Calculations'!$HE$13:$HE$512,"="&amp;SUBSTITUTE(SUBSTITUTE(SUBSTITUTE('Calculations'!HT78,"~","~~"),"*","~*"),"?","~?"))&gt;1,"!AMBIG",IFERROR(INDEX('Calculations'!$HF$13:$HF$512,MATCH('Calculations'!HT78,'Calculations'!$HE$13:$HE$512,0)),""))))</x:f>
      </x:c>
      <x:c r="HV78" t="str">
        <x:f>IF('Calculations'!HU78="","",IF('Calculations'!HU78="!AMBIG","!AMBIG",IF(COUNTIF('Calculations'!$HE$13:$HE$512,"="&amp;SUBSTITUTE(SUBSTITUTE(SUBSTITUTE('Calculations'!HU78,"~","~~"),"*","~*"),"?","~?"))&gt;1,"!AMBIG",IFERROR(INDEX('Calculations'!$HF$13:$HF$512,MATCH('Calculations'!HU78,'Calculations'!$HE$13:$HE$512,0)),""))))</x:f>
      </x:c>
      <x:c r="HW78" t="str">
        <x:f>IF('Calculations'!HV78="","",IF('Calculations'!HV78="!AMBIG","!AMBIG",IF(COUNTIF('Calculations'!$HE$13:$HE$512,"="&amp;SUBSTITUTE(SUBSTITUTE(SUBSTITUTE('Calculations'!HV78,"~","~~"),"*","~*"),"?","~?"))&gt;1,"!AMBIG",IFERROR(INDEX('Calculations'!$HF$13:$HF$512,MATCH('Calculations'!HV78,'Calculations'!$HE$13:$HE$512,0)),""))))</x:f>
      </x:c>
      <x:c r="HX78" t="str">
        <x:f>IF('Calculations'!HW78="","",IF('Calculations'!HW78="!AMBIG","!AMBIG",IF(COUNTIF('Calculations'!$HE$13:$HE$512,"="&amp;SUBSTITUTE(SUBSTITUTE(SUBSTITUTE('Calculations'!HW78,"~","~~"),"*","~*"),"?","~?"))&gt;1,"!AMBIG",IFERROR(INDEX('Calculations'!$HF$13:$HF$512,MATCH('Calculations'!HW78,'Calculations'!$HE$13:$HE$512,0)),""))))</x:f>
      </x:c>
      <x:c r="HY78" t="str">
        <x:f>IF('Calculations'!HX78="","",IF('Calculations'!HX78="!AMBIG","!AMBIG",IF(COUNTIF('Calculations'!$HE$13:$HE$512,"="&amp;SUBSTITUTE(SUBSTITUTE(SUBSTITUTE('Calculations'!HX78,"~","~~"),"*","~*"),"?","~?"))&gt;1,"!AMBIG",IFERROR(INDEX('Calculations'!$HF$13:$HF$512,MATCH('Calculations'!HX78,'Calculations'!$HE$13:$HE$512,0)),""))))</x:f>
      </x:c>
      <x:c r="HZ78" t="str">
        <x:f>IF('Calculations'!HY78="","",IF('Calculations'!HY78="!AMBIG","!AMBIG",IF(COUNTIF('Calculations'!$HE$13:$HE$512,"="&amp;SUBSTITUTE(SUBSTITUTE(SUBSTITUTE('Calculations'!HY78,"~","~~"),"*","~*"),"?","~?"))&gt;1,"!AMBIG",IFERROR(INDEX('Calculations'!$HF$13:$HF$512,MATCH('Calculations'!HY78,'Calculations'!$HE$13:$HE$512,0)),""))))</x:f>
      </x:c>
      <x:c r="IA78" t="str">
        <x:f>IF('Calculations'!HZ78="","",IF('Calculations'!HZ78="!AMBIG","!AMBIG",IF(COUNTIF('Calculations'!$HE$13:$HE$512,"="&amp;SUBSTITUTE(SUBSTITUTE(SUBSTITUTE('Calculations'!HZ78,"~","~~"),"*","~*"),"?","~?"))&gt;1,"!AMBIG",IFERROR(INDEX('Calculations'!$HF$13:$HF$512,MATCH('Calculations'!HZ78,'Calculations'!$HE$13:$HE$512,0)),""))))</x:f>
      </x:c>
      <x:c r="IB78" t="str">
        <x:f>IF('Calculations'!IA78="","",IF('Calculations'!IA78="!AMBIG","!AMBIG",IF(COUNTIF('Calculations'!$HE$13:$HE$512,"="&amp;SUBSTITUTE(SUBSTITUTE(SUBSTITUTE('Calculations'!IA78,"~","~~"),"*","~*"),"?","~?"))&gt;1,"!AMBIG",IFERROR(INDEX('Calculations'!$HF$13:$HF$512,MATCH('Calculations'!IA78,'Calculations'!$HE$13:$HE$512,0)),""))))</x:f>
      </x:c>
      <x:c r="IC78" t="str">
        <x:f>IF('Calculations'!IB78="","",IF('Calculations'!IB78="!AMBIG","!AMBIG",IF(COUNTIF('Calculations'!$HE$13:$HE$512,"="&amp;SUBSTITUTE(SUBSTITUTE(SUBSTITUTE('Calculations'!IB78,"~","~~"),"*","~*"),"?","~?"))&gt;1,"!AMBIG",IFERROR(INDEX('Calculations'!$HF$13:$HF$512,MATCH('Calculations'!IB78,'Calculations'!$HE$13:$HE$512,0)),""))))</x:f>
      </x:c>
      <x:c r="ID78" t="str">
        <x:f>IF('Calculations'!IC78="","",IF('Calculations'!IC78="!AMBIG","!AMBIG",IF(COUNTIF('Calculations'!$HE$13:$HE$512,"="&amp;SUBSTITUTE(SUBSTITUTE(SUBSTITUTE('Calculations'!IC78,"~","~~"),"*","~*"),"?","~?"))&gt;1,"!AMBIG",IFERROR(INDEX('Calculations'!$HF$13:$HF$512,MATCH('Calculations'!IC78,'Calculations'!$HE$13:$HE$512,0)),""))))</x:f>
      </x:c>
      <x:c r="IE78" t="str">
        <x:f>IF('Calculations'!ID78="","",IF('Calculations'!ID78="!AMBIG","!AMBIG",IF(COUNTIF('Calculations'!$HE$13:$HE$512,"="&amp;SUBSTITUTE(SUBSTITUTE(SUBSTITUTE('Calculations'!ID78,"~","~~"),"*","~*"),"?","~?"))&gt;1,"!AMBIG",IFERROR(INDEX('Calculations'!$HF$13:$HF$512,MATCH('Calculations'!ID78,'Calculations'!$HE$13:$HE$512,0)),""))))</x:f>
      </x:c>
      <x:c r="IF78" t="str">
        <x:f>IF('Calculations'!IE78="","",IF('Calculations'!IE78="!AMBIG","!AMBIG",IF(COUNTIF('Calculations'!$HE$13:$HE$512,"="&amp;SUBSTITUTE(SUBSTITUTE(SUBSTITUTE('Calculations'!IE78,"~","~~"),"*","~*"),"?","~?"))&gt;1,"!AMBIG",IFERROR(INDEX('Calculations'!$HF$13:$HF$512,MATCH('Calculations'!IE78,'Calculations'!$HE$13:$HE$512,0)),""))))</x:f>
      </x:c>
      <x:c r="IG78" t="str">
        <x:f>IF('Calculations'!IF78="","",IF('Calculations'!IF78="!AMBIG","!AMBIG",IF(COUNTIF('Calculations'!$HE$13:$HE$512,"="&amp;SUBSTITUTE(SUBSTITUTE(SUBSTITUTE('Calculations'!IF78,"~","~~"),"*","~*"),"?","~?"))&gt;1,"!AMBIG",IFERROR(INDEX('Calculations'!$HF$13:$HF$512,MATCH('Calculations'!IF78,'Calculations'!$HE$13:$HE$512,0)),""))))</x:f>
      </x:c>
      <x:c r="IH78" t="str">
        <x:f>IF('Calculations'!IG78="","",IF('Calculations'!IG78="!AMBIG","!AMBIG",IF(COUNTIF('Calculations'!$HE$13:$HE$512,"="&amp;SUBSTITUTE(SUBSTITUTE(SUBSTITUTE('Calculations'!IG78,"~","~~"),"*","~*"),"?","~?"))&gt;1,"!AMBIG",IFERROR(INDEX('Calculations'!$HF$13:$HF$512,MATCH('Calculations'!IG78,'Calculations'!$HE$13:$HE$512,0)),""))))</x:f>
      </x:c>
      <x:c r="II78" t="str">
        <x:f>IF('Calculations'!IH78="","",IF('Calculations'!IH78="!AMBIG","!AMBIG",IF(COUNTIF('Calculations'!$HE$13:$HE$512,"="&amp;SUBSTITUTE(SUBSTITUTE(SUBSTITUTE('Calculations'!IH78,"~","~~"),"*","~*"),"?","~?"))&gt;1,"!AMBIG",IFERROR(INDEX('Calculations'!$HF$13:$HF$512,MATCH('Calculations'!IH78,'Calculations'!$HE$13:$HE$512,0)),""))))</x:f>
      </x:c>
      <x:c r="IJ78" t="str">
        <x:f>IF('Calculations'!EM78="","",IF('Calculations'!$EF$2="All",'Calculations'!HM78,IF('Calculations'!HL78=1,"",IFERROR(IF(MATCH('Calculations'!$EF$2,'Calculations'!HO78:II78,0)=1,'Calculations'!HE78,INDEX('Calculations'!HO78:II78,1,MATCH('Calculations'!$EF$2,'Calculations'!HO78:II78,0)-1)),""))))</x:f>
      </x:c>
      <x:c r="IK78" t="n">
        <x:f>IF(AND('Calculations'!EM78&lt;&gt;"",'Calculations'!$EF$2&lt;&gt;"All",'Calculations'!HF78='Calculations'!$EF$2,'Calculations'!HL78=0,'Calculations'!JD78&gt;0),MAX('Calculations'!$IK$12:IK77)+1,0)</x:f>
        <x:v>0</x:v>
      </x:c>
      <x:c r="JA78" t="n">
        <x:f>IF(OR(IFERROR(INDIRECT("'WCM Calibration Final'!$A$78")&lt;&gt;"",FALSE),IFERROR(INDIRECT("'WCM Calibration Final'!$B$78")&lt;&gt;"",FALSE),IFERROR(INDIRECT("'WCM Calibration Final'!$C$78")&lt;&gt;"",FALSE)),78,0)</x:f>
        <x:v>0</x:v>
      </x:c>
      <x:c r="JB78" t="n">
        <x:f>'Calculations'!JB77+IF('Calculations'!JA78&gt;0,1,0)</x:f>
        <x:v>0</x:v>
      </x:c>
      <x:c r="JC78" t="n">
        <x:f>IF(OR('Calculations'!HF78="",'Calculations'!HF78="!AMBIG"),0,IF('Dashboard'!$B$7="All",1,COUNTIFS('Calculations'!$HO$13:$HO$512,"="&amp;SUBSTITUTE(SUBSTITUTE(SUBSTITUTE('Calculations'!HF78,"~","~~"),"*","~*"),"?","~?"),'Calculations'!$HN$13:$HN$512,"="&amp;SUBSTITUTE(SUBSTITUTE(SUBSTITUTE('Dashboard'!$B$7,"~","~~"),"*","~*"),"?","~?"))+COUNTIFS('Calculations'!$HP$13:$HP$512,"="&amp;SUBSTITUTE(SUBSTITUTE(SUBSTITUTE('Calculations'!HF78,"~","~~"),"*","~*"),"?","~?"),'Calculations'!$HN$13:$HN$512,"="&amp;SUBSTITUTE(SUBSTITUTE(SUBSTITUTE('Dashboard'!$B$7,"~","~~"),"*","~*"),"?","~?"))+COUNTIFS('Calculations'!$HQ$13:$HQ$512,"="&amp;SUBSTITUTE(SUBSTITUTE(SUBSTITUTE('Calculations'!HF78,"~","~~"),"*","~*"),"?","~?"),'Calculations'!$HN$13:$HN$512,"="&amp;SUBSTITUTE(SUBSTITUTE(SUBSTITUTE('Dashboard'!$B$7,"~","~~"),"*","~*"),"?","~?"))+COUNTIFS('Calculations'!$HR$13:$HR$512,"="&amp;SUBSTITUTE(SUBSTITUTE(SUBSTITUTE('Calculations'!HF78,"~","~~"),"*","~*"),"?","~?"),'Calculations'!$HN$13:$HN$512,"="&amp;SUBSTITUTE(SUBSTITUTE(SUBSTITUTE('Dashboard'!$B$7,"~","~~"),"*","~*"),"?","~?"))+COUNTIFS('Calculations'!$HS$13:$HS$512,"="&amp;SUBSTITUTE(SUBSTITUTE(SUBSTITUTE('Calculations'!HF78,"~","~~"),"*","~*"),"?","~?"),'Calculations'!$HN$13:$HN$512,"="&amp;SUBSTITUTE(SUBSTITUTE(SUBSTITUTE('Dashboard'!$B$7,"~","~~"),"*","~*"),"?","~?"))+COUNTIFS('Calculations'!$HT$13:$HT$512,"="&amp;SUBSTITUTE(SUBSTITUTE(SUBSTITUTE('Calculations'!HF78,"~","~~"),"*","~*"),"?","~?"),'Calculations'!$HN$13:$HN$512,"="&amp;SUBSTITUTE(SUBSTITUTE(SUBSTITUTE('Dashboard'!$B$7,"~","~~"),"*","~*"),"?","~?"))+COUNTIFS('Calculations'!$HU$13:$HU$512,"="&amp;SUBSTITUTE(SUBSTITUTE(SUBSTITUTE('Calculations'!HF78,"~","~~"),"*","~*"),"?","~?"),'Calculations'!$HN$13:$HN$512,"="&amp;SUBSTITUTE(SUBSTITUTE(SUBSTITUTE('Dashboard'!$B$7,"~","~~"),"*","~*"),"?","~?"))+COUNTIFS('Calculations'!$HV$13:$HV$512,"="&amp;SUBSTITUTE(SUBSTITUTE(SUBSTITUTE('Calculations'!HF78,"~","~~"),"*","~*"),"?","~?"),'Calculations'!$HN$13:$HN$512,"="&amp;SUBSTITUTE(SUBSTITUTE(SUBSTITUTE('Dashboard'!$B$7,"~","~~"),"*","~*"),"?","~?"))+COUNTIFS('Calculations'!$HW$13:$HW$512,"="&amp;SUBSTITUTE(SUBSTITUTE(SUBSTITUTE('Calculations'!HF78,"~","~~"),"*","~*"),"?","~?"),'Calculations'!$HN$13:$HN$512,"="&amp;SUBSTITUTE(SUBSTITUTE(SUBSTITUTE('Dashboard'!$B$7,"~","~~"),"*","~*"),"?","~?"))+COUNTIFS('Calculations'!$HX$13:$HX$512,"="&amp;SUBSTITUTE(SUBSTITUTE(SUBSTITUTE('Calculations'!HF78,"~","~~"),"*","~*"),"?","~?"),'Calculations'!$HN$13:$HN$512,"="&amp;SUBSTITUTE(SUBSTITUTE(SUBSTITUTE('Dashboard'!$B$7,"~","~~"),"*","~*"),"?","~?"))+COUNTIFS('Calculations'!$HY$13:$HY$512,"="&amp;SUBSTITUTE(SUBSTITUTE(SUBSTITUTE('Calculations'!HF78,"~","~~"),"*","~*"),"?","~?"),'Calculations'!$HN$13:$HN$512,"="&amp;SUBSTITUTE(SUBSTITUTE(SUBSTITUTE('Dashboard'!$B$7,"~","~~"),"*","~*"),"?","~?"))+COUNTIFS('Calculations'!$HZ$13:$HZ$512,"="&amp;SUBSTITUTE(SUBSTITUTE(SUBSTITUTE('Calculations'!HF78,"~","~~"),"*","~*"),"?","~?"),'Calculations'!$HN$13:$HN$512,"="&amp;SUBSTITUTE(SUBSTITUTE(SUBSTITUTE('Dashboard'!$B$7,"~","~~"),"*","~*"),"?","~?"))+COUNTIFS('Calculations'!$IA$13:$IA$512,"="&amp;SUBSTITUTE(SUBSTITUTE(SUBSTITUTE('Calculations'!HF78,"~","~~"),"*","~*"),"?","~?"),'Calculations'!$HN$13:$HN$512,"="&amp;SUBSTITUTE(SUBSTITUTE(SUBSTITUTE('Dashboard'!$B$7,"~","~~"),"*","~*"),"?","~?"))+COUNTIFS('Calculations'!$IB$13:$IB$512,"="&amp;SUBSTITUTE(SUBSTITUTE(SUBSTITUTE('Calculations'!HF78,"~","~~"),"*","~*"),"?","~?"),'Calculations'!$HN$13:$HN$512,"="&amp;SUBSTITUTE(SUBSTITUTE(SUBSTITUTE('Dashboard'!$B$7,"~","~~"),"*","~*"),"?","~?"))+COUNTIFS('Calculations'!$IC$13:$IC$512,"="&amp;SUBSTITUTE(SUBSTITUTE(SUBSTITUTE('Calculations'!HF78,"~","~~"),"*","~*"),"?","~?"),'Calculations'!$HN$13:$HN$512,"="&amp;SUBSTITUTE(SUBSTITUTE(SUBSTITUTE('Dashboard'!$B$7,"~","~~"),"*","~*"),"?","~?"))+COUNTIFS('Calculations'!$ID$13:$ID$512,"="&amp;SUBSTITUTE(SUBSTITUTE(SUBSTITUTE('Calculations'!HF78,"~","~~"),"*","~*"),"?","~?"),'Calculations'!$HN$13:$HN$512,"="&amp;SUBSTITUTE(SUBSTITUTE(SUBSTITUTE('Dashboard'!$B$7,"~","~~"),"*","~*"),"?","~?"))+COUNTIFS('Calculations'!$IE$13:$IE$512,"="&amp;SUBSTITUTE(SUBSTITUTE(SUBSTITUTE('Calculations'!HF78,"~","~~"),"*","~*"),"?","~?"),'Calculations'!$HN$13:$HN$512,"="&amp;SUBSTITUTE(SUBSTITUTE(SUBSTITUTE('Dashboard'!$B$7,"~","~~"),"*","~*"),"?","~?"))+COUNTIFS('Calculations'!$IF$13:$IF$512,"="&amp;SUBSTITUTE(SUBSTITUTE(SUBSTITUTE('Calculations'!HF78,"~","~~"),"*","~*"),"?","~?"),'Calculations'!$HN$13:$HN$512,"="&amp;SUBSTITUTE(SUBSTITUTE(SUBSTITUTE('Dashboard'!$B$7,"~","~~"),"*","~*"),"?","~?"))+COUNTIFS('Calculations'!$IG$13:$IG$512,"="&amp;SUBSTITUTE(SUBSTITUTE(SUBSTITUTE('Calculations'!HF78,"~","~~"),"*","~*"),"?","~?"),'Calculations'!$HN$13:$HN$512,"="&amp;SUBSTITUTE(SUBSTITUTE(SUBSTITUTE('Dashboard'!$B$7,"~","~~"),"*","~*"),"?","~?"))+COUNTIFS('Calculations'!$IH$13:$IH$512,"="&amp;SUBSTITUTE(SUBSTITUTE(SUBSTITUTE('Calculations'!HF78,"~","~~"),"*","~*"),"?","~?"),'Calculations'!$HN$13:$HN$512,"="&amp;SUBSTITUTE(SUBSTITUTE(SUBSTITUTE('Dashboard'!$B$7,"~","~~"),"*","~*"),"?","~?"))))</x:f>
        <x:v>0</x:v>
      </x:c>
      <x:c r="JD78" t="n">
        <x:f>IF('Calculations'!EM78="",0,IF('Dashboard'!$B$7="All",1,IF('Calculations'!HN78='Dashboard'!$B$7,1,0)+IFERROR(INDEX('Calculations'!$JC$13:$JC$512,MATCH('Calculations'!HE78,'Calculations'!$HF$13:$HF$512,0)),0)))</x:f>
        <x:v>0</x:v>
      </x:c>
      <x:c r="JE78" t="n">
        <x:f>IF(AND('Calculations'!EM78&lt;&gt;"",'Calculations'!$JJ$2&lt;&gt;"All",'Calculations'!$JJ$2&lt;&gt;"",'Calculations'!HF78='Calculations'!$JJ$2,'Calculations'!HL78=0,'Calculations'!JD78&gt;0),MAX('Calculations'!$JE$12:JE77)+1,0)</x:f>
        <x:v>0</x:v>
      </x:c>
      <x:c r="JF78" t="str">
        <x:f>IF('Calculations'!EM78="","",IFERROR(IF(INDEX(INDIRECT("'WCM Calibration Final'!$G$1:$G$2000"),'Calculations'!$EM78)="","",TRIM(INDEX(INDIRECT("'WCM Calibration Final'!$G$1:$G$2000"),'Calculations'!$EM78)&amp;"")),""))</x:f>
      </x:c>
      <x:c r="JQ78" t="n">
        <x:f>IF(OR('Calculations'!BM78=0,NOT('Calculations'!$AG$2),'Calculations'!$AG$8&gt;0),0,IF(OR('Dashboard'!$B$7="All",'Calculations'!HN78='Dashboard'!$B$7),IF('Calculations'!$JJ$2="All",1,IF(AND('Calculations'!HF78='Calculations'!$JJ$2,'Calculations'!HL78=0),1,0)),0))</x:f>
        <x:v>0</x:v>
      </x:c>
    </x:row>
    <x:row r="79">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t="n">
        <x:f>IF('Calculations'!$EM79="",0,IF(OR(IFERROR(INDEX(INDIRECT("'WCM Calibration Final'!$A$1:$A$2000"),'Calculations'!$EM79)&lt;&gt;"",FALSE),IFERROR(INDEX(INDIRECT("'WCM Calibration Final'!$B$1:$B$2000"),'Calculations'!$EM79)&lt;&gt;"",FALSE),IFERROR(INDEX(INDIRECT("'WCM Calibration Final'!$C$1:$C$2000"),'Calculations'!$EM79)&lt;&gt;"",FALSE)),1,0))</x:f>
        <x:v>0</x:v>
      </x:c>
      <x:c r="BN79" s="4" t="n">
        <x:f>IF(AND('Calculations'!BM79=1,'Calculations'!$AG$2,'Calculations'!$EN79=1),1,0)</x:f>
        <x:v>0</x:v>
      </x:c>
      <x:c r="BO79" s="4" t="str">
        <x:f>IF('Calculations'!BM79=0,"",IFERROR(IF(AND(VALUE(INDEX(INDIRECT("'WCM Calibration Final'!$K$1:$K$2000"),'Calculations'!$EM79))&gt;=1,VALUE(INDEX(INDIRECT("'WCM Calibration Final'!$K$1:$K$2000"),'Calculations'!$EM79))&lt;=4,MOD(VALUE(INDEX(INDIRECT("'WCM Calibration Final'!$K$1:$K$2000"),'Calculations'!$EM79)),1)=0),VALUE(INDEX(INDIRECT("'WCM Calibration Final'!$K$1:$K$2000"),'Calculations'!$EM79)),""),""))</x:f>
      </x:c>
      <x:c r="BP79" s="4" t="str">
        <x:f>IF('Calculations'!BM79=0,"",IFERROR(IF(AND(VALUE(INDEX(INDIRECT("'WCM Calibration Final'!$L$1:$L$2000"),'Calculations'!$EM79))&gt;=1,VALUE(INDEX(INDIRECT("'WCM Calibration Final'!$L$1:$L$2000"),'Calculations'!$EM79))&lt;=4,MOD(VALUE(INDEX(INDIRECT("'WCM Calibration Final'!$L$1:$L$2000"),'Calculations'!$EM79)),1)=0),VALUE(INDEX(INDIRECT("'WCM Calibration Final'!$L$1:$L$2000"),'Calculations'!$EM79)),""),""))</x:f>
      </x:c>
      <x:c r="BQ79" s="4"/>
      <x:c r="BR79" s="4"/>
      <x:c r="BS79" s="4"/>
      <x:c r="BT79" s="4" t="n">
        <x:f>IF(AND('Calculations'!BM79=1,ISNUMBER('Calculations'!BO79),ISNUMBER('Calculations'!BP79)),1,0)</x:f>
        <x:v>0</x:v>
      </x:c>
      <x:c r="BU79" s="4" t="str">
        <x:f>IF('Calculations'!BM79=0,"",'Calculations'!$EO79)</x:f>
      </x:c>
      <x:c r="BV79" s="4" t="str">
        <x:f>IF('Calculations'!BM79=0,"",IFERROR(IF(OR(INDEX(INDIRECT("'WCM Calibration Final'!$H$1:$H$2000"),'Calculations'!$EM79)="MANAGING DIRECTOR",INDEX(INDIRECT("'WCM Calibration Final'!$H$1:$H$2000"),'Calculations'!$EM79)="DIRECTOR",INDEX(INDIRECT("'WCM Calibration Final'!$H$1:$H$2000"),'Calculations'!$EM79)="SENIOR VICE PRESIDENT",INDEX(INDIRECT("'WCM Calibration Final'!$H$1:$H$2000"),'Calculations'!$EM79)="VICE PRESIDENT",INDEX(INDIRECT("'WCM Calibration Final'!$H$1:$H$2000"),'Calculations'!$EM79)="ASSISTANT VICE PRESIDENT",INDEX(INDIRECT("'WCM Calibration Final'!$H$1:$H$2000"),'Calculations'!$EM79)="OFFICER"),UPPER(INDEX(INDIRECT("'WCM Calibration Final'!$H$1:$H$2000"),'Calculations'!$EM79)),"Other"),"Other"))</x:f>
      </x:c>
      <x:c r="BW79" s="4"/>
      <x:c r="BX79" s="4"/>
      <x:c r="BY79" s="4" t="n">
        <x:f>IF(AND('Calculations'!BM79=1,'Calculations'!BU79&lt;&gt;"",COUNTIF('Calculations'!$BU$12:BU79,'Calculations'!BU79)=1),MAX('Calculations'!$BY$11:BY78)+1,0)</x:f>
        <x:v>0</x:v>
      </x:c>
      <x:c r="BZ79" s="4" t="str">
        <x:f>IF('Dashboard'!$E$67="What",'Calculations'!BO79,'Calculations'!BP79)</x:f>
      </x:c>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t="str">
        <x:f>IF(68&gt;MAX('Calculations'!$HI$13:$HI$512),"",INDEX('Calculations'!$HN$13:$HN$512,MATCH(68,'Calculations'!$HI$13:$HI$512,0)))</x:f>
      </x:c>
      <x:c r="DB79" s="4" t="str">
        <x:f>IF(68&gt;MAX('Calculations'!$HH$13:$HH$512),"",INDEX('Calculations'!$HJ$13:$HJ$512,MATCH(68,'Calculations'!$HH$13:$HH$512,0)))</x:f>
      </x:c>
      <x:c r="DC79" s="4" t="str">
        <x:f>IF(ROW()-11&gt;MAX('Calculations'!$BY$13:$BY$512),"",INDEX('Calculations'!$BU$13:$BU$512,MATCH(ROW()-11,'Calculations'!$BY$13:$BY$512,0)))</x:f>
      </x:c>
      <x:c r="DD79" s="4" t="str">
        <x:f>IF(68&gt;MAX('Calculations'!$IK$13:$IK$512),"",INDEX('Calculations'!$HK$13:$HK$512,MATCH(68,'Calculations'!$IK$13:$IK$512,0)))</x:f>
      </x:c>
      <x:c r="DE79" s="4" t="str">
        <x:f>'Calculations'!DC79</x:f>
      </x:c>
      <x:c r="DF79" s="4" t="str">
        <x:f>IF('Calculations'!DE79="","",COUNTIFS('Calculations'!$BN$13:$BN$512,1,'Calculations'!$BU$13:$BU$512,'Calculations'!DE79))</x:f>
      </x:c>
      <x:c r="DG79" s="4" t="str">
        <x:f>IF('Calculations'!DE79="","",COUNTIFS('Calculations'!$BN$13:$BN$512,1,'Calculations'!$BU$13:$BU$512,'Calculations'!DE79,'Calculations'!$BT$13:$BT$512,1))</x:f>
      </x:c>
      <x:c r="DH79" s="4" t="str">
        <x:f>IF('Calculations'!DE79="","",'Calculations'!DF79-'Calculations'!DG79)</x:f>
      </x:c>
      <x:c r="DI79" s="4" t="str">
        <x:f>IF(OR('Calculations'!DE79="",'Calculations'!DF79=0),"",'Calculations'!DG79/'Calculations'!DF79)</x:f>
      </x:c>
      <x:c r="DJ79" s="4" t="str">
        <x:f>IF('Calculations'!DE79="","",COUNTIFS('Calculations'!$BN$13:$BN$512,1,'Calculations'!$BU$13:$BU$512,'Calculations'!DE79,'Calculations'!$BT$13:$BT$512,1,'Calculations'!$EE$13:$EE$512,"High"))</x:f>
      </x:c>
      <x:c r="DK79" s="4" t="str">
        <x:f>IF('Calculations'!DE79="","",COUNTIFS('Calculations'!$BN$13:$BN$512,1,'Calculations'!$BU$13:$BU$512,'Calculations'!DE79,'Calculations'!$BT$13:$BT$512,1,'Calculations'!$EE$13:$EE$512,"Strong"))</x:f>
      </x:c>
      <x:c r="DL79" s="4" t="str">
        <x:f>IF('Calculations'!DE79="","",COUNTIFS('Calculations'!$BN$13:$BN$512,1,'Calculations'!$BU$13:$BU$512,'Calculations'!DE79,'Calculations'!$BT$13:$BT$512,1,'Calculations'!$EE$13:$EE$512,"Solid"))</x:f>
      </x:c>
      <x:c r="DM79" s="4" t="str">
        <x:f>IF('Calculations'!DE79="","",COUNTIFS('Calculations'!$BN$13:$BN$512,1,'Calculations'!$BU$13:$BU$512,'Calculations'!DE79,'Calculations'!$BT$13:$BT$512,1,'Calculations'!$EE$13:$EE$512,"Low"))</x:f>
      </x:c>
      <x:c r="DN79" s="4" t="str">
        <x:f>IF('Calculations'!DE79="","",COUNTIFS('Calculations'!$BN$13:$BN$512,1,'Calculations'!$BU$13:$BU$512,'Calculations'!DE79,'Calculations'!$EP$13:$EP$512,1))</x:f>
      </x:c>
      <x:c r="DO79" s="4" t="str">
        <x:f>IF(OR('Calculations'!DE79="",'Calculations'!DG79=0),"",('Calculations'!DJ79+'Calculations'!DK79)/'Calculations'!DG79)</x:f>
      </x:c>
      <x:c r="DP79" s="4" t="n">
        <x:f>IF(AND('Calculations'!DE79&lt;&gt;"",'Calculations'!DF79&gt;0),COUNTIF('Calculations'!$DF$12:DF79,"&gt;0"),0)</x:f>
        <x:v>0</x:v>
      </x:c>
      <x:c r="DQ79" s="4" t="str">
        <x:f>IF(68&gt;MAX('Calculations'!$HH$13:$HH$512),"",INDEX('Calculations'!$HF$13:$HF$512,MATCH(68,'Calculations'!$HH$13:$HH$512,0)))</x:f>
      </x:c>
      <x:c r="DR79" s="4" t="str">
        <x:f>IF(68&gt;MAX('Calculations'!$IK$13:$IK$512),"",INDEX('Calculations'!$HE$13:$HE$512,MATCH(68,'Calculations'!$IK$13:$IK$512,0)))</x:f>
      </x:c>
      <x:c r="DS79" s="4"/>
      <x:c r="DT79" s="4"/>
      <x:c r="DU79" s="4"/>
      <x:c r="DV79" s="4"/>
      <x:c r="DW79" s="4"/>
      <x:c r="DX79" s="4"/>
      <x:c r="DY79" s="4"/>
      <x:c r="DZ79" s="4"/>
      <x:c r="EA79" s="4"/>
      <x:c r="EB79" s="4"/>
      <x:c r="EC79" s="4"/>
      <x:c r="ED79" s="4"/>
      <x:c r="EE79" s="4" t="str">
        <x:f>IF('Calculations'!BT79=0,"Not Rated",IF(OR('Calculations'!BO79&gt;=4,'Calculations'!BP79&gt;=4),"Low",IF('Calculations'!BO79+'Calculations'!BP79&lt;=3,"High",IF('Calculations'!BO79+'Calculations'!BP79&lt;=4,"Strong","Solid"))))</x:f>
        <x:v>Not Rated</x:v>
      </x:c>
      <x:c r="EF79" s="4"/>
      <x:c r="EG79" s="4"/>
      <x:c r="EH79" s="4"/>
      <x:c r="EI79" s="4"/>
      <x:c r="EJ79" s="4"/>
      <x:c r="EK79" s="4"/>
      <x:c r="EL79" s="4"/>
      <x:c r="EM79" s="4" t="str">
        <x:f>IF(67&gt;'Calculations'!$JB$2000,"",INDEX('Calculations'!$JA$12:$JA$2000,MATCH(67,'Calculations'!$JB$12:$JB$2000,0)))</x:f>
      </x:c>
      <x:c r="EN79" s="4" t="n">
        <x:f>IF(OR('Calculations'!EM79="",'Calculations'!$AG$8&gt;0,AND('Calculations'!$EF$2&lt;&gt;"All",'Calculations'!HE79='Calculations'!$EF$2),AND('Calculations'!$EF$3&lt;&gt;"All",'Calculations'!HE79='Calculations'!$EF$3)),0,IF(OR('Dashboard'!$B$7="All",'Calculations'!HN79='Dashboard'!$B$7),IF('Calculations'!$EF$2="All",1,IF('Calculations'!HL79&gt;0,0,IF(COUNTIF('Calculations'!HO79:II79,"="&amp;SUBSTITUTE(SUBSTITUTE(SUBSTITUTE('Calculations'!$EF$2,"~","~~"),"*","~*"),"?","~?"))=0,0,IF('Calculations'!$EF$3="All",1,IF(COUNTIF('Calculations'!HO79:II79,"="&amp;SUBSTITUTE(SUBSTITUTE(SUBSTITUTE('Calculations'!$EF$3,"~","~~"),"*","~*"),"?","~?"))&gt;0,1,0))))),0))</x:f>
        <x:v>0</x:v>
      </x:c>
      <x:c r="EO79" s="4" t="str">
        <x:f>IF('Calculations'!IJ79="","",IF('Calculations'!IJ79="!UNRESOLVED","Unresolved hierarchy",IFERROR(INDEX('Calculations'!$HK$13:$HK$512,MATCH('Calculations'!IJ79,'Calculations'!$HE$13:$HE$512,0)),IFERROR(INDEX('Calculations'!$HJ$13:$HJ$512,MATCH('Calculations'!IJ79,'Calculations'!$HF$13:$HF$512,0)),'Calculations'!IJ79))))</x:f>
      </x:c>
      <x:c r="EP79" s="4" t="n">
        <x:f>IF(AND('Calculations'!EM79&lt;&gt;"",'Calculations'!HF79='Calculations'!IJ79),1,0)</x:f>
        <x:v>0</x:v>
      </x:c>
      <x:c r="EQ79" s="4"/>
      <x:c r="ER79" s="4"/>
      <x:c r="ES79" s="4"/>
      <x:c r="ET79" s="4"/>
      <x:c r="EU79" s="4"/>
      <x:c r="EV79" s="4"/>
      <x:c r="EW79" s="4"/>
      <x:c r="EX79" s="4"/>
      <x:c r="EY79" s="4"/>
      <x:c r="EZ79" s="4"/>
      <x:c r="FA79" s="4"/>
      <x:c r="FB79" s="4"/>
      <x:c r="FC79" s="4"/>
      <x:c r="FD79" s="4"/>
      <x:c r="FE79" s="4"/>
      <x:c r="FF79" s="4"/>
      <x:c r="FG79" s="4"/>
      <x:c r="FH79" s="4"/>
      <x:c r="FI79" s="4"/>
      <x:c r="FJ79" s="4"/>
      <x:c r="FK79" s="4"/>
      <x:c r="FL79" s="4"/>
      <x:c r="FM79" s="4"/>
      <x:c r="FN79" s="4"/>
      <x:c r="FO79" s="4"/>
      <x:c r="GA79" s="71"/>
      <x:c r="GB79" s="71"/>
      <x:c r="GC79" s="71"/>
      <x:c r="GD79" s="71"/>
      <x:c r="GE79" s="71"/>
      <x:c r="GF79" s="71"/>
      <x:c r="GG79" s="71"/>
      <x:c r="GH79" s="71"/>
      <x:c r="GI79" s="71"/>
      <x:c r="GJ79" s="71"/>
      <x:c r="GK79" s="71"/>
      <x:c r="GL79" s="71"/>
      <x:c r="GM79" s="71"/>
      <x:c r="GN79" s="71"/>
      <x:c r="GO79" s="71"/>
      <x:c r="GP79" s="71"/>
      <x:c r="GQ79" s="71"/>
      <x:c r="GR79" s="71" t="str">
        <x:f>'Calculations'!AF72</x:f>
        <x:v>2</x:v>
      </x:c>
      <x:c r="GS79" s="71"/>
      <x:c r="GT79" s="71" t="n">
        <x:f>'Calculations'!AG72</x:f>
        <x:v>0</x:v>
      </x:c>
      <x:c r="GU79" s="71"/>
      <x:c r="GV79" s="71" t="str">
        <x:f>IFERROR('Calculations'!AH72,"n.a.")</x:f>
        <x:v>n.a.</x:v>
      </x:c>
      <x:c r="GW79" s="71"/>
      <x:c r="GX79" s="71" t="n">
        <x:f>IFERROR('Calculations'!AI72,"—")</x:f>
        <x:v>0.3</x:v>
      </x:c>
      <x:c r="GY79" s="71"/>
      <x:c r="GZ79" s="71" t="str">
        <x:f>IF('Calculations'!AJ72="","—",'Calculations'!AJ72)</x:f>
        <x:v>—</x:v>
      </x:c>
      <x:c r="HA79" s="71"/>
      <x:c r="HB79" s="71"/>
      <x:c r="HC79" s="71"/>
      <x:c r="HD79" s="71"/>
      <x:c r="HE79" t="str">
        <x:f>IF('Calculations'!EM79="","",IF(IFERROR(IF(INDEX(INDIRECT("'WCM Calibration Final'!$A$1:$A$2000"),'Calculations'!$EM79)="","",TRIM(INDEX(INDIRECT("'WCM Calibration Final'!$A$1:$A$2000"),'Calculations'!$EM79)&amp;"")),"")&lt;&gt;"","G:"&amp;IFERROR(TEXT(1*INDEX(INDIRECT("'WCM Calibration Final'!$A$1:$A$2000"),'Calculations'!$EM79),"0"),UPPER(IFERROR(IF(INDEX(INDIRECT("'WCM Calibration Final'!$A$1:$A$2000"),'Calculations'!$EM79)="","",TRIM(INDEX(INDIRECT("'WCM Calibration Final'!$A$1:$A$2000"),'Calculations'!$EM79)&amp;"")),""))),IF(IFERROR(IF(INDEX(INDIRECT("'WCM Calibration Final'!$C$1:$C$2000"),'Calculations'!$EM79)="","",TRIM(INDEX(INDIRECT("'WCM Calibration Final'!$C$1:$C$2000"),'Calculations'!$EM79)&amp;"")),"")&lt;&gt;"","S:"&amp;UPPER(IFERROR(IF(INDEX(INDIRECT("'WCM Calibration Final'!$C$1:$C$2000"),'Calculations'!$EM79)="","",TRIM(INDEX(INDIRECT("'WCM Calibration Final'!$C$1:$C$2000"),'Calculations'!$EM79)&amp;"")),"")),"R:"&amp;'Calculations'!EM79)))</x:f>
      </x:c>
      <x:c r="HF79" t="str">
        <x:f>IF('Calculations'!EM79="","",IF(IFERROR(IF(INDEX(INDIRECT("'WCM Calibration Final'!$D$1:$D$2000"),'Calculations'!$EM79)="","",TRIM(INDEX(INDIRECT("'WCM Calibration Final'!$D$1:$D$2000"),'Calculations'!$EM79)&amp;"")),"")&lt;&gt;"","G:"&amp;IFERROR(TEXT(1*INDEX(INDIRECT("'WCM Calibration Final'!$D$1:$D$2000"),'Calculations'!$EM79),"0"),UPPER(IFERROR(IF(INDEX(INDIRECT("'WCM Calibration Final'!$D$1:$D$2000"),'Calculations'!$EM79)="","",TRIM(INDEX(INDIRECT("'WCM Calibration Final'!$D$1:$D$2000"),'Calculations'!$EM79)&amp;"")),""))),IF(IFERROR(IF(INDEX(INDIRECT("'WCM Calibration Final'!$E$1:$E$2000"),'Calculations'!$EM79)="","",TRIM(INDEX(INDIRECT("'WCM Calibration Final'!$E$1:$E$2000"),'Calculations'!$EM79)&amp;"")),"")="","",IF(COUNTIF('Calculations'!$HG$13:$HG$512,"="&amp;SUBSTITUTE(SUBSTITUTE(SUBSTITUTE(IFERROR(IF(INDEX(INDIRECT("'WCM Calibration Final'!$E$1:$E$2000"),'Calculations'!$EM79)="","",TRIM(INDEX(INDIRECT("'WCM Calibration Final'!$E$1:$E$2000"),'Calculations'!$EM79)&amp;"")),""),"~","~~"),"*","~*"),"?","~?"))=1,INDEX('Calculations'!$HE$13:$HE$512,MATCH(IFERROR(IF(INDEX(INDIRECT("'WCM Calibration Final'!$E$1:$E$2000"),'Calculations'!$EM79)="","",TRIM(INDEX(INDIRECT("'WCM Calibration Final'!$E$1:$E$2000"),'Calculations'!$EM79)&amp;"")),""),'Calculations'!$HG$13:$HG$512,0)),IF(COUNTIF('Calculations'!$HG$13:$HG$512,"="&amp;SUBSTITUTE(SUBSTITUTE(SUBSTITUTE(IFERROR(IF(INDEX(INDIRECT("'WCM Calibration Final'!$E$1:$E$2000"),'Calculations'!$EM79)="","",TRIM(INDEX(INDIRECT("'WCM Calibration Final'!$E$1:$E$2000"),'Calculations'!$EM79)&amp;"")),""),"~","~~"),"*","~*"),"?","~?"))&gt;1,"!AMBIG","X:"&amp;IFERROR(IF(INDEX(INDIRECT("'WCM Calibration Final'!$E$1:$E$2000"),'Calculations'!$EM79)="","",TRIM(INDEX(INDIRECT("'WCM Calibration Final'!$E$1:$E$2000"),'Calculations'!$EM79)&amp;"")),""))))))</x:f>
      </x:c>
      <x:c r="HG79" t="str">
        <x:f>IF('Calculations'!EM79="","",IFERROR(IF(INDEX(INDIRECT("'WCM Calibration Final'!$B$1:$B$2000"),'Calculations'!$EM79)="","",TRIM(INDEX(INDIRECT("'WCM Calibration Final'!$B$1:$B$2000"),'Calculations'!$EM79)&amp;"")),""))</x:f>
      </x:c>
      <x:c r="HH79" t="n">
        <x:f>IF(AND('Calculations'!JC79&gt;0,COUNTIF('Calculations'!$HF$12:HF79,"="&amp;SUBSTITUTE(SUBSTITUTE(SUBSTITUTE('Calculations'!HF79,"~","~~"),"*","~*"),"?","~?"))=1),MAX('Calculations'!$HH$12:HH78)+1,0)</x:f>
        <x:v>0</x:v>
      </x:c>
      <x:c r="HI79" t="n">
        <x:f>IF(AND('Calculations'!HN79&lt;&gt;"",COUNTIF('Calculations'!$HN$12:HN79,"="&amp;SUBSTITUTE(SUBSTITUTE(SUBSTITUTE('Calculations'!HN79,"~","~~"),"*","~*"),"?","~?"))=1),MAX('Calculations'!$HI$12:HI78)+1,0)</x:f>
        <x:v>0</x:v>
      </x:c>
      <x:c r="HJ79" t="str">
        <x:f>IF('Calculations'!HF79="","",IF(COUNTIF('Calculations'!$HE$13:$HE$512,"="&amp;SUBSTITUTE(SUBSTITUTE(SUBSTITUTE('Calculations'!HF79,"~","~~"),"*","~*"),"?","~?"))=1,INDEX('Calculations'!$HK$13:$HK$512,MATCH('Calculations'!HF79,'Calculations'!$HE$13:$HE$512,0)),IFERROR(IF(INDEX(INDIRECT("'WCM Calibration Final'!$E$1:$E$2000"),'Calculations'!$EM79)="","",TRIM(INDEX(INDIRECT("'WCM Calibration Final'!$E$1:$E$2000"),'Calculations'!$EM79)&amp;"")),"")&amp;" ["&amp;'Calculations'!HF79&amp;"]"))</x:f>
      </x:c>
      <x:c r="HK79" t="str">
        <x:f>IF('Calculations'!EM79="","",'Calculations'!HG79&amp;" ["&amp;'Calculations'!HE79&amp;"]")</x:f>
      </x:c>
      <x:c r="HL79" t="n">
        <x:f>IF('Calculations'!EM79="",0,IF(OR('Calculations'!II79&lt;&gt;"",COUNTIF('Calculations'!$HE$13:$HE$512,"="&amp;SUBSTITUTE(SUBSTITUTE(SUBSTITUTE('Calculations'!HE79,"~","~~"),"*","~*"),"?","~?"))&gt;1),1,0))</x:f>
        <x:v>0</x:v>
      </x:c>
      <x:c r="HM79" t="str">
        <x:f>IF('Calculations'!EM79="","",IF('Calculations'!HL79=1,"!UNRESOLVED",IF('Calculations'!IH79&lt;&gt;"",'Calculations'!IH79,IF('Calculations'!IG79&lt;&gt;"",'Calculations'!IG79,IF('Calculations'!IF79&lt;&gt;"",'Calculations'!IF79,IF('Calculations'!IE79&lt;&gt;"",'Calculations'!IE79,IF('Calculations'!ID79&lt;&gt;"",'Calculations'!ID79,IF('Calculations'!IC79&lt;&gt;"",'Calculations'!IC79,IF('Calculations'!IB79&lt;&gt;"",'Calculations'!IB79,IF('Calculations'!IA79&lt;&gt;"",'Calculations'!IA79,IF('Calculations'!HZ79&lt;&gt;"",'Calculations'!HZ79,IF('Calculations'!HY79&lt;&gt;"",'Calculations'!HY79,IF('Calculations'!HX79&lt;&gt;"",'Calculations'!HX79,IF('Calculations'!HW79&lt;&gt;"",'Calculations'!HW79,IF('Calculations'!HV79&lt;&gt;"",'Calculations'!HV79,IF('Calculations'!HU79&lt;&gt;"",'Calculations'!HU79,IF('Calculations'!HT79&lt;&gt;"",'Calculations'!HT79,IF('Calculations'!HS79&lt;&gt;"",'Calculations'!HS79,IF('Calculations'!HR79&lt;&gt;"",'Calculations'!HR79,IF('Calculations'!HQ79&lt;&gt;"",'Calculations'!HQ79,IF('Calculations'!HP79&lt;&gt;"",'Calculations'!HP79,IF('Calculations'!HO79&lt;&gt;"",'Calculations'!HO79,'Calculations'!HE79))))))))))))))))))))))</x:f>
      </x:c>
      <x:c r="HN79" t="str">
        <x:f>IF('Calculations'!EM79="","",IF(IFERROR(IF(INDEX(INDIRECT("'WCM Calibration Final'!$F$1:$F$2000"),'Calculations'!$EM79)="","",TRIM(INDEX(INDIRECT("'WCM Calibration Final'!$F$1:$F$2000"),'Calculations'!$EM79)&amp;"")),"")="","(Blank)",IFERROR(IF(INDEX(INDIRECT("'WCM Calibration Final'!$F$1:$F$2000"),'Calculations'!$EM79)="","",TRIM(INDEX(INDIRECT("'WCM Calibration Final'!$F$1:$F$2000"),'Calculations'!$EM79)&amp;"")),"")))</x:f>
      </x:c>
      <x:c r="HO79" t="str">
        <x:f>'Calculations'!HF79</x:f>
      </x:c>
      <x:c r="HP79" t="str">
        <x:f>IF('Calculations'!HO79="","",IF('Calculations'!HO79="!AMBIG","!AMBIG",IF(COUNTIF('Calculations'!$HE$13:$HE$512,"="&amp;SUBSTITUTE(SUBSTITUTE(SUBSTITUTE('Calculations'!HO79,"~","~~"),"*","~*"),"?","~?"))&gt;1,"!AMBIG",IFERROR(INDEX('Calculations'!$HF$13:$HF$512,MATCH('Calculations'!HO79,'Calculations'!$HE$13:$HE$512,0)),""))))</x:f>
      </x:c>
      <x:c r="HQ79" t="str">
        <x:f>IF('Calculations'!HP79="","",IF('Calculations'!HP79="!AMBIG","!AMBIG",IF(COUNTIF('Calculations'!$HE$13:$HE$512,"="&amp;SUBSTITUTE(SUBSTITUTE(SUBSTITUTE('Calculations'!HP79,"~","~~"),"*","~*"),"?","~?"))&gt;1,"!AMBIG",IFERROR(INDEX('Calculations'!$HF$13:$HF$512,MATCH('Calculations'!HP79,'Calculations'!$HE$13:$HE$512,0)),""))))</x:f>
      </x:c>
      <x:c r="HR79" t="str">
        <x:f>IF('Calculations'!HQ79="","",IF('Calculations'!HQ79="!AMBIG","!AMBIG",IF(COUNTIF('Calculations'!$HE$13:$HE$512,"="&amp;SUBSTITUTE(SUBSTITUTE(SUBSTITUTE('Calculations'!HQ79,"~","~~"),"*","~*"),"?","~?"))&gt;1,"!AMBIG",IFERROR(INDEX('Calculations'!$HF$13:$HF$512,MATCH('Calculations'!HQ79,'Calculations'!$HE$13:$HE$512,0)),""))))</x:f>
      </x:c>
      <x:c r="HS79" t="str">
        <x:f>IF('Calculations'!HR79="","",IF('Calculations'!HR79="!AMBIG","!AMBIG",IF(COUNTIF('Calculations'!$HE$13:$HE$512,"="&amp;SUBSTITUTE(SUBSTITUTE(SUBSTITUTE('Calculations'!HR79,"~","~~"),"*","~*"),"?","~?"))&gt;1,"!AMBIG",IFERROR(INDEX('Calculations'!$HF$13:$HF$512,MATCH('Calculations'!HR79,'Calculations'!$HE$13:$HE$512,0)),""))))</x:f>
      </x:c>
      <x:c r="HT79" t="str">
        <x:f>IF('Calculations'!HS79="","",IF('Calculations'!HS79="!AMBIG","!AMBIG",IF(COUNTIF('Calculations'!$HE$13:$HE$512,"="&amp;SUBSTITUTE(SUBSTITUTE(SUBSTITUTE('Calculations'!HS79,"~","~~"),"*","~*"),"?","~?"))&gt;1,"!AMBIG",IFERROR(INDEX('Calculations'!$HF$13:$HF$512,MATCH('Calculations'!HS79,'Calculations'!$HE$13:$HE$512,0)),""))))</x:f>
      </x:c>
      <x:c r="HU79" t="str">
        <x:f>IF('Calculations'!HT79="","",IF('Calculations'!HT79="!AMBIG","!AMBIG",IF(COUNTIF('Calculations'!$HE$13:$HE$512,"="&amp;SUBSTITUTE(SUBSTITUTE(SUBSTITUTE('Calculations'!HT79,"~","~~"),"*","~*"),"?","~?"))&gt;1,"!AMBIG",IFERROR(INDEX('Calculations'!$HF$13:$HF$512,MATCH('Calculations'!HT79,'Calculations'!$HE$13:$HE$512,0)),""))))</x:f>
      </x:c>
      <x:c r="HV79" t="str">
        <x:f>IF('Calculations'!HU79="","",IF('Calculations'!HU79="!AMBIG","!AMBIG",IF(COUNTIF('Calculations'!$HE$13:$HE$512,"="&amp;SUBSTITUTE(SUBSTITUTE(SUBSTITUTE('Calculations'!HU79,"~","~~"),"*","~*"),"?","~?"))&gt;1,"!AMBIG",IFERROR(INDEX('Calculations'!$HF$13:$HF$512,MATCH('Calculations'!HU79,'Calculations'!$HE$13:$HE$512,0)),""))))</x:f>
      </x:c>
      <x:c r="HW79" t="str">
        <x:f>IF('Calculations'!HV79="","",IF('Calculations'!HV79="!AMBIG","!AMBIG",IF(COUNTIF('Calculations'!$HE$13:$HE$512,"="&amp;SUBSTITUTE(SUBSTITUTE(SUBSTITUTE('Calculations'!HV79,"~","~~"),"*","~*"),"?","~?"))&gt;1,"!AMBIG",IFERROR(INDEX('Calculations'!$HF$13:$HF$512,MATCH('Calculations'!HV79,'Calculations'!$HE$13:$HE$512,0)),""))))</x:f>
      </x:c>
      <x:c r="HX79" t="str">
        <x:f>IF('Calculations'!HW79="","",IF('Calculations'!HW79="!AMBIG","!AMBIG",IF(COUNTIF('Calculations'!$HE$13:$HE$512,"="&amp;SUBSTITUTE(SUBSTITUTE(SUBSTITUTE('Calculations'!HW79,"~","~~"),"*","~*"),"?","~?"))&gt;1,"!AMBIG",IFERROR(INDEX('Calculations'!$HF$13:$HF$512,MATCH('Calculations'!HW79,'Calculations'!$HE$13:$HE$512,0)),""))))</x:f>
      </x:c>
      <x:c r="HY79" t="str">
        <x:f>IF('Calculations'!HX79="","",IF('Calculations'!HX79="!AMBIG","!AMBIG",IF(COUNTIF('Calculations'!$HE$13:$HE$512,"="&amp;SUBSTITUTE(SUBSTITUTE(SUBSTITUTE('Calculations'!HX79,"~","~~"),"*","~*"),"?","~?"))&gt;1,"!AMBIG",IFERROR(INDEX('Calculations'!$HF$13:$HF$512,MATCH('Calculations'!HX79,'Calculations'!$HE$13:$HE$512,0)),""))))</x:f>
      </x:c>
      <x:c r="HZ79" t="str">
        <x:f>IF('Calculations'!HY79="","",IF('Calculations'!HY79="!AMBIG","!AMBIG",IF(COUNTIF('Calculations'!$HE$13:$HE$512,"="&amp;SUBSTITUTE(SUBSTITUTE(SUBSTITUTE('Calculations'!HY79,"~","~~"),"*","~*"),"?","~?"))&gt;1,"!AMBIG",IFERROR(INDEX('Calculations'!$HF$13:$HF$512,MATCH('Calculations'!HY79,'Calculations'!$HE$13:$HE$512,0)),""))))</x:f>
      </x:c>
      <x:c r="IA79" t="str">
        <x:f>IF('Calculations'!HZ79="","",IF('Calculations'!HZ79="!AMBIG","!AMBIG",IF(COUNTIF('Calculations'!$HE$13:$HE$512,"="&amp;SUBSTITUTE(SUBSTITUTE(SUBSTITUTE('Calculations'!HZ79,"~","~~"),"*","~*"),"?","~?"))&gt;1,"!AMBIG",IFERROR(INDEX('Calculations'!$HF$13:$HF$512,MATCH('Calculations'!HZ79,'Calculations'!$HE$13:$HE$512,0)),""))))</x:f>
      </x:c>
      <x:c r="IB79" t="str">
        <x:f>IF('Calculations'!IA79="","",IF('Calculations'!IA79="!AMBIG","!AMBIG",IF(COUNTIF('Calculations'!$HE$13:$HE$512,"="&amp;SUBSTITUTE(SUBSTITUTE(SUBSTITUTE('Calculations'!IA79,"~","~~"),"*","~*"),"?","~?"))&gt;1,"!AMBIG",IFERROR(INDEX('Calculations'!$HF$13:$HF$512,MATCH('Calculations'!IA79,'Calculations'!$HE$13:$HE$512,0)),""))))</x:f>
      </x:c>
      <x:c r="IC79" t="str">
        <x:f>IF('Calculations'!IB79="","",IF('Calculations'!IB79="!AMBIG","!AMBIG",IF(COUNTIF('Calculations'!$HE$13:$HE$512,"="&amp;SUBSTITUTE(SUBSTITUTE(SUBSTITUTE('Calculations'!IB79,"~","~~"),"*","~*"),"?","~?"))&gt;1,"!AMBIG",IFERROR(INDEX('Calculations'!$HF$13:$HF$512,MATCH('Calculations'!IB79,'Calculations'!$HE$13:$HE$512,0)),""))))</x:f>
      </x:c>
      <x:c r="ID79" t="str">
        <x:f>IF('Calculations'!IC79="","",IF('Calculations'!IC79="!AMBIG","!AMBIG",IF(COUNTIF('Calculations'!$HE$13:$HE$512,"="&amp;SUBSTITUTE(SUBSTITUTE(SUBSTITUTE('Calculations'!IC79,"~","~~"),"*","~*"),"?","~?"))&gt;1,"!AMBIG",IFERROR(INDEX('Calculations'!$HF$13:$HF$512,MATCH('Calculations'!IC79,'Calculations'!$HE$13:$HE$512,0)),""))))</x:f>
      </x:c>
      <x:c r="IE79" t="str">
        <x:f>IF('Calculations'!ID79="","",IF('Calculations'!ID79="!AMBIG","!AMBIG",IF(COUNTIF('Calculations'!$HE$13:$HE$512,"="&amp;SUBSTITUTE(SUBSTITUTE(SUBSTITUTE('Calculations'!ID79,"~","~~"),"*","~*"),"?","~?"))&gt;1,"!AMBIG",IFERROR(INDEX('Calculations'!$HF$13:$HF$512,MATCH('Calculations'!ID79,'Calculations'!$HE$13:$HE$512,0)),""))))</x:f>
      </x:c>
      <x:c r="IF79" t="str">
        <x:f>IF('Calculations'!IE79="","",IF('Calculations'!IE79="!AMBIG","!AMBIG",IF(COUNTIF('Calculations'!$HE$13:$HE$512,"="&amp;SUBSTITUTE(SUBSTITUTE(SUBSTITUTE('Calculations'!IE79,"~","~~"),"*","~*"),"?","~?"))&gt;1,"!AMBIG",IFERROR(INDEX('Calculations'!$HF$13:$HF$512,MATCH('Calculations'!IE79,'Calculations'!$HE$13:$HE$512,0)),""))))</x:f>
      </x:c>
      <x:c r="IG79" t="str">
        <x:f>IF('Calculations'!IF79="","",IF('Calculations'!IF79="!AMBIG","!AMBIG",IF(COUNTIF('Calculations'!$HE$13:$HE$512,"="&amp;SUBSTITUTE(SUBSTITUTE(SUBSTITUTE('Calculations'!IF79,"~","~~"),"*","~*"),"?","~?"))&gt;1,"!AMBIG",IFERROR(INDEX('Calculations'!$HF$13:$HF$512,MATCH('Calculations'!IF79,'Calculations'!$HE$13:$HE$512,0)),""))))</x:f>
      </x:c>
      <x:c r="IH79" t="str">
        <x:f>IF('Calculations'!IG79="","",IF('Calculations'!IG79="!AMBIG","!AMBIG",IF(COUNTIF('Calculations'!$HE$13:$HE$512,"="&amp;SUBSTITUTE(SUBSTITUTE(SUBSTITUTE('Calculations'!IG79,"~","~~"),"*","~*"),"?","~?"))&gt;1,"!AMBIG",IFERROR(INDEX('Calculations'!$HF$13:$HF$512,MATCH('Calculations'!IG79,'Calculations'!$HE$13:$HE$512,0)),""))))</x:f>
      </x:c>
      <x:c r="II79" t="str">
        <x:f>IF('Calculations'!IH79="","",IF('Calculations'!IH79="!AMBIG","!AMBIG",IF(COUNTIF('Calculations'!$HE$13:$HE$512,"="&amp;SUBSTITUTE(SUBSTITUTE(SUBSTITUTE('Calculations'!IH79,"~","~~"),"*","~*"),"?","~?"))&gt;1,"!AMBIG",IFERROR(INDEX('Calculations'!$HF$13:$HF$512,MATCH('Calculations'!IH79,'Calculations'!$HE$13:$HE$512,0)),""))))</x:f>
      </x:c>
      <x:c r="IJ79" t="str">
        <x:f>IF('Calculations'!EM79="","",IF('Calculations'!$EF$2="All",'Calculations'!HM79,IF('Calculations'!HL79=1,"",IFERROR(IF(MATCH('Calculations'!$EF$2,'Calculations'!HO79:II79,0)=1,'Calculations'!HE79,INDEX('Calculations'!HO79:II79,1,MATCH('Calculations'!$EF$2,'Calculations'!HO79:II79,0)-1)),""))))</x:f>
      </x:c>
      <x:c r="IK79" t="n">
        <x:f>IF(AND('Calculations'!EM79&lt;&gt;"",'Calculations'!$EF$2&lt;&gt;"All",'Calculations'!HF79='Calculations'!$EF$2,'Calculations'!HL79=0,'Calculations'!JD79&gt;0),MAX('Calculations'!$IK$12:IK78)+1,0)</x:f>
        <x:v>0</x:v>
      </x:c>
      <x:c r="JA79" t="n">
        <x:f>IF(OR(IFERROR(INDIRECT("'WCM Calibration Final'!$A$79")&lt;&gt;"",FALSE),IFERROR(INDIRECT("'WCM Calibration Final'!$B$79")&lt;&gt;"",FALSE),IFERROR(INDIRECT("'WCM Calibration Final'!$C$79")&lt;&gt;"",FALSE)),79,0)</x:f>
        <x:v>0</x:v>
      </x:c>
      <x:c r="JB79" t="n">
        <x:f>'Calculations'!JB78+IF('Calculations'!JA79&gt;0,1,0)</x:f>
        <x:v>0</x:v>
      </x:c>
      <x:c r="JC79" t="n">
        <x:f>IF(OR('Calculations'!HF79="",'Calculations'!HF79="!AMBIG"),0,IF('Dashboard'!$B$7="All",1,COUNTIFS('Calculations'!$HO$13:$HO$512,"="&amp;SUBSTITUTE(SUBSTITUTE(SUBSTITUTE('Calculations'!HF79,"~","~~"),"*","~*"),"?","~?"),'Calculations'!$HN$13:$HN$512,"="&amp;SUBSTITUTE(SUBSTITUTE(SUBSTITUTE('Dashboard'!$B$7,"~","~~"),"*","~*"),"?","~?"))+COUNTIFS('Calculations'!$HP$13:$HP$512,"="&amp;SUBSTITUTE(SUBSTITUTE(SUBSTITUTE('Calculations'!HF79,"~","~~"),"*","~*"),"?","~?"),'Calculations'!$HN$13:$HN$512,"="&amp;SUBSTITUTE(SUBSTITUTE(SUBSTITUTE('Dashboard'!$B$7,"~","~~"),"*","~*"),"?","~?"))+COUNTIFS('Calculations'!$HQ$13:$HQ$512,"="&amp;SUBSTITUTE(SUBSTITUTE(SUBSTITUTE('Calculations'!HF79,"~","~~"),"*","~*"),"?","~?"),'Calculations'!$HN$13:$HN$512,"="&amp;SUBSTITUTE(SUBSTITUTE(SUBSTITUTE('Dashboard'!$B$7,"~","~~"),"*","~*"),"?","~?"))+COUNTIFS('Calculations'!$HR$13:$HR$512,"="&amp;SUBSTITUTE(SUBSTITUTE(SUBSTITUTE('Calculations'!HF79,"~","~~"),"*","~*"),"?","~?"),'Calculations'!$HN$13:$HN$512,"="&amp;SUBSTITUTE(SUBSTITUTE(SUBSTITUTE('Dashboard'!$B$7,"~","~~"),"*","~*"),"?","~?"))+COUNTIFS('Calculations'!$HS$13:$HS$512,"="&amp;SUBSTITUTE(SUBSTITUTE(SUBSTITUTE('Calculations'!HF79,"~","~~"),"*","~*"),"?","~?"),'Calculations'!$HN$13:$HN$512,"="&amp;SUBSTITUTE(SUBSTITUTE(SUBSTITUTE('Dashboard'!$B$7,"~","~~"),"*","~*"),"?","~?"))+COUNTIFS('Calculations'!$HT$13:$HT$512,"="&amp;SUBSTITUTE(SUBSTITUTE(SUBSTITUTE('Calculations'!HF79,"~","~~"),"*","~*"),"?","~?"),'Calculations'!$HN$13:$HN$512,"="&amp;SUBSTITUTE(SUBSTITUTE(SUBSTITUTE('Dashboard'!$B$7,"~","~~"),"*","~*"),"?","~?"))+COUNTIFS('Calculations'!$HU$13:$HU$512,"="&amp;SUBSTITUTE(SUBSTITUTE(SUBSTITUTE('Calculations'!HF79,"~","~~"),"*","~*"),"?","~?"),'Calculations'!$HN$13:$HN$512,"="&amp;SUBSTITUTE(SUBSTITUTE(SUBSTITUTE('Dashboard'!$B$7,"~","~~"),"*","~*"),"?","~?"))+COUNTIFS('Calculations'!$HV$13:$HV$512,"="&amp;SUBSTITUTE(SUBSTITUTE(SUBSTITUTE('Calculations'!HF79,"~","~~"),"*","~*"),"?","~?"),'Calculations'!$HN$13:$HN$512,"="&amp;SUBSTITUTE(SUBSTITUTE(SUBSTITUTE('Dashboard'!$B$7,"~","~~"),"*","~*"),"?","~?"))+COUNTIFS('Calculations'!$HW$13:$HW$512,"="&amp;SUBSTITUTE(SUBSTITUTE(SUBSTITUTE('Calculations'!HF79,"~","~~"),"*","~*"),"?","~?"),'Calculations'!$HN$13:$HN$512,"="&amp;SUBSTITUTE(SUBSTITUTE(SUBSTITUTE('Dashboard'!$B$7,"~","~~"),"*","~*"),"?","~?"))+COUNTIFS('Calculations'!$HX$13:$HX$512,"="&amp;SUBSTITUTE(SUBSTITUTE(SUBSTITUTE('Calculations'!HF79,"~","~~"),"*","~*"),"?","~?"),'Calculations'!$HN$13:$HN$512,"="&amp;SUBSTITUTE(SUBSTITUTE(SUBSTITUTE('Dashboard'!$B$7,"~","~~"),"*","~*"),"?","~?"))+COUNTIFS('Calculations'!$HY$13:$HY$512,"="&amp;SUBSTITUTE(SUBSTITUTE(SUBSTITUTE('Calculations'!HF79,"~","~~"),"*","~*"),"?","~?"),'Calculations'!$HN$13:$HN$512,"="&amp;SUBSTITUTE(SUBSTITUTE(SUBSTITUTE('Dashboard'!$B$7,"~","~~"),"*","~*"),"?","~?"))+COUNTIFS('Calculations'!$HZ$13:$HZ$512,"="&amp;SUBSTITUTE(SUBSTITUTE(SUBSTITUTE('Calculations'!HF79,"~","~~"),"*","~*"),"?","~?"),'Calculations'!$HN$13:$HN$512,"="&amp;SUBSTITUTE(SUBSTITUTE(SUBSTITUTE('Dashboard'!$B$7,"~","~~"),"*","~*"),"?","~?"))+COUNTIFS('Calculations'!$IA$13:$IA$512,"="&amp;SUBSTITUTE(SUBSTITUTE(SUBSTITUTE('Calculations'!HF79,"~","~~"),"*","~*"),"?","~?"),'Calculations'!$HN$13:$HN$512,"="&amp;SUBSTITUTE(SUBSTITUTE(SUBSTITUTE('Dashboard'!$B$7,"~","~~"),"*","~*"),"?","~?"))+COUNTIFS('Calculations'!$IB$13:$IB$512,"="&amp;SUBSTITUTE(SUBSTITUTE(SUBSTITUTE('Calculations'!HF79,"~","~~"),"*","~*"),"?","~?"),'Calculations'!$HN$13:$HN$512,"="&amp;SUBSTITUTE(SUBSTITUTE(SUBSTITUTE('Dashboard'!$B$7,"~","~~"),"*","~*"),"?","~?"))+COUNTIFS('Calculations'!$IC$13:$IC$512,"="&amp;SUBSTITUTE(SUBSTITUTE(SUBSTITUTE('Calculations'!HF79,"~","~~"),"*","~*"),"?","~?"),'Calculations'!$HN$13:$HN$512,"="&amp;SUBSTITUTE(SUBSTITUTE(SUBSTITUTE('Dashboard'!$B$7,"~","~~"),"*","~*"),"?","~?"))+COUNTIFS('Calculations'!$ID$13:$ID$512,"="&amp;SUBSTITUTE(SUBSTITUTE(SUBSTITUTE('Calculations'!HF79,"~","~~"),"*","~*"),"?","~?"),'Calculations'!$HN$13:$HN$512,"="&amp;SUBSTITUTE(SUBSTITUTE(SUBSTITUTE('Dashboard'!$B$7,"~","~~"),"*","~*"),"?","~?"))+COUNTIFS('Calculations'!$IE$13:$IE$512,"="&amp;SUBSTITUTE(SUBSTITUTE(SUBSTITUTE('Calculations'!HF79,"~","~~"),"*","~*"),"?","~?"),'Calculations'!$HN$13:$HN$512,"="&amp;SUBSTITUTE(SUBSTITUTE(SUBSTITUTE('Dashboard'!$B$7,"~","~~"),"*","~*"),"?","~?"))+COUNTIFS('Calculations'!$IF$13:$IF$512,"="&amp;SUBSTITUTE(SUBSTITUTE(SUBSTITUTE('Calculations'!HF79,"~","~~"),"*","~*"),"?","~?"),'Calculations'!$HN$13:$HN$512,"="&amp;SUBSTITUTE(SUBSTITUTE(SUBSTITUTE('Dashboard'!$B$7,"~","~~"),"*","~*"),"?","~?"))+COUNTIFS('Calculations'!$IG$13:$IG$512,"="&amp;SUBSTITUTE(SUBSTITUTE(SUBSTITUTE('Calculations'!HF79,"~","~~"),"*","~*"),"?","~?"),'Calculations'!$HN$13:$HN$512,"="&amp;SUBSTITUTE(SUBSTITUTE(SUBSTITUTE('Dashboard'!$B$7,"~","~~"),"*","~*"),"?","~?"))+COUNTIFS('Calculations'!$IH$13:$IH$512,"="&amp;SUBSTITUTE(SUBSTITUTE(SUBSTITUTE('Calculations'!HF79,"~","~~"),"*","~*"),"?","~?"),'Calculations'!$HN$13:$HN$512,"="&amp;SUBSTITUTE(SUBSTITUTE(SUBSTITUTE('Dashboard'!$B$7,"~","~~"),"*","~*"),"?","~?"))))</x:f>
        <x:v>0</x:v>
      </x:c>
      <x:c r="JD79" t="n">
        <x:f>IF('Calculations'!EM79="",0,IF('Dashboard'!$B$7="All",1,IF('Calculations'!HN79='Dashboard'!$B$7,1,0)+IFERROR(INDEX('Calculations'!$JC$13:$JC$512,MATCH('Calculations'!HE79,'Calculations'!$HF$13:$HF$512,0)),0)))</x:f>
        <x:v>0</x:v>
      </x:c>
      <x:c r="JE79" t="n">
        <x:f>IF(AND('Calculations'!EM79&lt;&gt;"",'Calculations'!$JJ$2&lt;&gt;"All",'Calculations'!$JJ$2&lt;&gt;"",'Calculations'!HF79='Calculations'!$JJ$2,'Calculations'!HL79=0,'Calculations'!JD79&gt;0),MAX('Calculations'!$JE$12:JE78)+1,0)</x:f>
        <x:v>0</x:v>
      </x:c>
      <x:c r="JF79" t="str">
        <x:f>IF('Calculations'!EM79="","",IFERROR(IF(INDEX(INDIRECT("'WCM Calibration Final'!$G$1:$G$2000"),'Calculations'!$EM79)="","",TRIM(INDEX(INDIRECT("'WCM Calibration Final'!$G$1:$G$2000"),'Calculations'!$EM79)&amp;"")),""))</x:f>
      </x:c>
      <x:c r="JQ79" t="n">
        <x:f>IF(OR('Calculations'!BM79=0,NOT('Calculations'!$AG$2),'Calculations'!$AG$8&gt;0),0,IF(OR('Dashboard'!$B$7="All",'Calculations'!HN79='Dashboard'!$B$7),IF('Calculations'!$JJ$2="All",1,IF(AND('Calculations'!HF79='Calculations'!$JJ$2,'Calculations'!HL79=0),1,0)),0))</x:f>
        <x:v>0</x:v>
      </x:c>
    </x:row>
    <x:row r="80">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t="n">
        <x:f>IF('Calculations'!$EM80="",0,IF(OR(IFERROR(INDEX(INDIRECT("'WCM Calibration Final'!$A$1:$A$2000"),'Calculations'!$EM80)&lt;&gt;"",FALSE),IFERROR(INDEX(INDIRECT("'WCM Calibration Final'!$B$1:$B$2000"),'Calculations'!$EM80)&lt;&gt;"",FALSE),IFERROR(INDEX(INDIRECT("'WCM Calibration Final'!$C$1:$C$2000"),'Calculations'!$EM80)&lt;&gt;"",FALSE)),1,0))</x:f>
        <x:v>0</x:v>
      </x:c>
      <x:c r="BN80" s="4" t="n">
        <x:f>IF(AND('Calculations'!BM80=1,'Calculations'!$AG$2,'Calculations'!$EN80=1),1,0)</x:f>
        <x:v>0</x:v>
      </x:c>
      <x:c r="BO80" s="4" t="str">
        <x:f>IF('Calculations'!BM80=0,"",IFERROR(IF(AND(VALUE(INDEX(INDIRECT("'WCM Calibration Final'!$K$1:$K$2000"),'Calculations'!$EM80))&gt;=1,VALUE(INDEX(INDIRECT("'WCM Calibration Final'!$K$1:$K$2000"),'Calculations'!$EM80))&lt;=4,MOD(VALUE(INDEX(INDIRECT("'WCM Calibration Final'!$K$1:$K$2000"),'Calculations'!$EM80)),1)=0),VALUE(INDEX(INDIRECT("'WCM Calibration Final'!$K$1:$K$2000"),'Calculations'!$EM80)),""),""))</x:f>
      </x:c>
      <x:c r="BP80" s="4" t="str">
        <x:f>IF('Calculations'!BM80=0,"",IFERROR(IF(AND(VALUE(INDEX(INDIRECT("'WCM Calibration Final'!$L$1:$L$2000"),'Calculations'!$EM80))&gt;=1,VALUE(INDEX(INDIRECT("'WCM Calibration Final'!$L$1:$L$2000"),'Calculations'!$EM80))&lt;=4,MOD(VALUE(INDEX(INDIRECT("'WCM Calibration Final'!$L$1:$L$2000"),'Calculations'!$EM80)),1)=0),VALUE(INDEX(INDIRECT("'WCM Calibration Final'!$L$1:$L$2000"),'Calculations'!$EM80)),""),""))</x:f>
      </x:c>
      <x:c r="BQ80" s="4"/>
      <x:c r="BR80" s="4"/>
      <x:c r="BS80" s="4"/>
      <x:c r="BT80" s="4" t="n">
        <x:f>IF(AND('Calculations'!BM80=1,ISNUMBER('Calculations'!BO80),ISNUMBER('Calculations'!BP80)),1,0)</x:f>
        <x:v>0</x:v>
      </x:c>
      <x:c r="BU80" s="4" t="str">
        <x:f>IF('Calculations'!BM80=0,"",'Calculations'!$EO80)</x:f>
      </x:c>
      <x:c r="BV80" s="4" t="str">
        <x:f>IF('Calculations'!BM80=0,"",IFERROR(IF(OR(INDEX(INDIRECT("'WCM Calibration Final'!$H$1:$H$2000"),'Calculations'!$EM80)="MANAGING DIRECTOR",INDEX(INDIRECT("'WCM Calibration Final'!$H$1:$H$2000"),'Calculations'!$EM80)="DIRECTOR",INDEX(INDIRECT("'WCM Calibration Final'!$H$1:$H$2000"),'Calculations'!$EM80)="SENIOR VICE PRESIDENT",INDEX(INDIRECT("'WCM Calibration Final'!$H$1:$H$2000"),'Calculations'!$EM80)="VICE PRESIDENT",INDEX(INDIRECT("'WCM Calibration Final'!$H$1:$H$2000"),'Calculations'!$EM80)="ASSISTANT VICE PRESIDENT",INDEX(INDIRECT("'WCM Calibration Final'!$H$1:$H$2000"),'Calculations'!$EM80)="OFFICER"),UPPER(INDEX(INDIRECT("'WCM Calibration Final'!$H$1:$H$2000"),'Calculations'!$EM80)),"Other"),"Other"))</x:f>
      </x:c>
      <x:c r="BW80" s="4"/>
      <x:c r="BX80" s="4"/>
      <x:c r="BY80" s="4" t="n">
        <x:f>IF(AND('Calculations'!BM80=1,'Calculations'!BU80&lt;&gt;"",COUNTIF('Calculations'!$BU$12:BU80,'Calculations'!BU80)=1),MAX('Calculations'!$BY$11:BY79)+1,0)</x:f>
        <x:v>0</x:v>
      </x:c>
      <x:c r="BZ80" s="4" t="str">
        <x:f>IF('Dashboard'!$E$67="What",'Calculations'!BO80,'Calculations'!BP80)</x:f>
      </x:c>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t="str">
        <x:f>IF(69&gt;MAX('Calculations'!$HI$13:$HI$512),"",INDEX('Calculations'!$HN$13:$HN$512,MATCH(69,'Calculations'!$HI$13:$HI$512,0)))</x:f>
      </x:c>
      <x:c r="DB80" s="4" t="str">
        <x:f>IF(69&gt;MAX('Calculations'!$HH$13:$HH$512),"",INDEX('Calculations'!$HJ$13:$HJ$512,MATCH(69,'Calculations'!$HH$13:$HH$512,0)))</x:f>
      </x:c>
      <x:c r="DC80" s="4" t="str">
        <x:f>IF(ROW()-11&gt;MAX('Calculations'!$BY$13:$BY$512),"",INDEX('Calculations'!$BU$13:$BU$512,MATCH(ROW()-11,'Calculations'!$BY$13:$BY$512,0)))</x:f>
      </x:c>
      <x:c r="DD80" s="4" t="str">
        <x:f>IF(69&gt;MAX('Calculations'!$IK$13:$IK$512),"",INDEX('Calculations'!$HK$13:$HK$512,MATCH(69,'Calculations'!$IK$13:$IK$512,0)))</x:f>
      </x:c>
      <x:c r="DE80" s="4" t="str">
        <x:f>'Calculations'!DC80</x:f>
      </x:c>
      <x:c r="DF80" s="4" t="str">
        <x:f>IF('Calculations'!DE80="","",COUNTIFS('Calculations'!$BN$13:$BN$512,1,'Calculations'!$BU$13:$BU$512,'Calculations'!DE80))</x:f>
      </x:c>
      <x:c r="DG80" s="4" t="str">
        <x:f>IF('Calculations'!DE80="","",COUNTIFS('Calculations'!$BN$13:$BN$512,1,'Calculations'!$BU$13:$BU$512,'Calculations'!DE80,'Calculations'!$BT$13:$BT$512,1))</x:f>
      </x:c>
      <x:c r="DH80" s="4" t="str">
        <x:f>IF('Calculations'!DE80="","",'Calculations'!DF80-'Calculations'!DG80)</x:f>
      </x:c>
      <x:c r="DI80" s="4" t="str">
        <x:f>IF(OR('Calculations'!DE80="",'Calculations'!DF80=0),"",'Calculations'!DG80/'Calculations'!DF80)</x:f>
      </x:c>
      <x:c r="DJ80" s="4" t="str">
        <x:f>IF('Calculations'!DE80="","",COUNTIFS('Calculations'!$BN$13:$BN$512,1,'Calculations'!$BU$13:$BU$512,'Calculations'!DE80,'Calculations'!$BT$13:$BT$512,1,'Calculations'!$EE$13:$EE$512,"High"))</x:f>
      </x:c>
      <x:c r="DK80" s="4" t="str">
        <x:f>IF('Calculations'!DE80="","",COUNTIFS('Calculations'!$BN$13:$BN$512,1,'Calculations'!$BU$13:$BU$512,'Calculations'!DE80,'Calculations'!$BT$13:$BT$512,1,'Calculations'!$EE$13:$EE$512,"Strong"))</x:f>
      </x:c>
      <x:c r="DL80" s="4" t="str">
        <x:f>IF('Calculations'!DE80="","",COUNTIFS('Calculations'!$BN$13:$BN$512,1,'Calculations'!$BU$13:$BU$512,'Calculations'!DE80,'Calculations'!$BT$13:$BT$512,1,'Calculations'!$EE$13:$EE$512,"Solid"))</x:f>
      </x:c>
      <x:c r="DM80" s="4" t="str">
        <x:f>IF('Calculations'!DE80="","",COUNTIFS('Calculations'!$BN$13:$BN$512,1,'Calculations'!$BU$13:$BU$512,'Calculations'!DE80,'Calculations'!$BT$13:$BT$512,1,'Calculations'!$EE$13:$EE$512,"Low"))</x:f>
      </x:c>
      <x:c r="DN80" s="4" t="str">
        <x:f>IF('Calculations'!DE80="","",COUNTIFS('Calculations'!$BN$13:$BN$512,1,'Calculations'!$BU$13:$BU$512,'Calculations'!DE80,'Calculations'!$EP$13:$EP$512,1))</x:f>
      </x:c>
      <x:c r="DO80" s="4" t="str">
        <x:f>IF(OR('Calculations'!DE80="",'Calculations'!DG80=0),"",('Calculations'!DJ80+'Calculations'!DK80)/'Calculations'!DG80)</x:f>
      </x:c>
      <x:c r="DP80" s="4" t="n">
        <x:f>IF(AND('Calculations'!DE80&lt;&gt;"",'Calculations'!DF80&gt;0),COUNTIF('Calculations'!$DF$12:DF80,"&gt;0"),0)</x:f>
        <x:v>0</x:v>
      </x:c>
      <x:c r="DQ80" s="4" t="str">
        <x:f>IF(69&gt;MAX('Calculations'!$HH$13:$HH$512),"",INDEX('Calculations'!$HF$13:$HF$512,MATCH(69,'Calculations'!$HH$13:$HH$512,0)))</x:f>
      </x:c>
      <x:c r="DR80" s="4" t="str">
        <x:f>IF(69&gt;MAX('Calculations'!$IK$13:$IK$512),"",INDEX('Calculations'!$HE$13:$HE$512,MATCH(69,'Calculations'!$IK$13:$IK$512,0)))</x:f>
      </x:c>
      <x:c r="DS80" s="4"/>
      <x:c r="DT80" s="4"/>
      <x:c r="DU80" s="4"/>
      <x:c r="DV80" s="4"/>
      <x:c r="DW80" s="4"/>
      <x:c r="DX80" s="4"/>
      <x:c r="DY80" s="4"/>
      <x:c r="DZ80" s="4"/>
      <x:c r="EA80" s="4"/>
      <x:c r="EB80" s="4"/>
      <x:c r="EC80" s="4"/>
      <x:c r="ED80" s="4"/>
      <x:c r="EE80" s="4" t="str">
        <x:f>IF('Calculations'!BT80=0,"Not Rated",IF(OR('Calculations'!BO80&gt;=4,'Calculations'!BP80&gt;=4),"Low",IF('Calculations'!BO80+'Calculations'!BP80&lt;=3,"High",IF('Calculations'!BO80+'Calculations'!BP80&lt;=4,"Strong","Solid"))))</x:f>
        <x:v>Not Rated</x:v>
      </x:c>
      <x:c r="EF80" s="4"/>
      <x:c r="EG80" s="4"/>
      <x:c r="EH80" s="4"/>
      <x:c r="EI80" s="4"/>
      <x:c r="EJ80" s="4"/>
      <x:c r="EK80" s="4"/>
      <x:c r="EL80" s="4"/>
      <x:c r="EM80" s="4" t="str">
        <x:f>IF(68&gt;'Calculations'!$JB$2000,"",INDEX('Calculations'!$JA$12:$JA$2000,MATCH(68,'Calculations'!$JB$12:$JB$2000,0)))</x:f>
      </x:c>
      <x:c r="EN80" s="4" t="n">
        <x:f>IF(OR('Calculations'!EM80="",'Calculations'!$AG$8&gt;0,AND('Calculations'!$EF$2&lt;&gt;"All",'Calculations'!HE80='Calculations'!$EF$2),AND('Calculations'!$EF$3&lt;&gt;"All",'Calculations'!HE80='Calculations'!$EF$3)),0,IF(OR('Dashboard'!$B$7="All",'Calculations'!HN80='Dashboard'!$B$7),IF('Calculations'!$EF$2="All",1,IF('Calculations'!HL80&gt;0,0,IF(COUNTIF('Calculations'!HO80:II80,"="&amp;SUBSTITUTE(SUBSTITUTE(SUBSTITUTE('Calculations'!$EF$2,"~","~~"),"*","~*"),"?","~?"))=0,0,IF('Calculations'!$EF$3="All",1,IF(COUNTIF('Calculations'!HO80:II80,"="&amp;SUBSTITUTE(SUBSTITUTE(SUBSTITUTE('Calculations'!$EF$3,"~","~~"),"*","~*"),"?","~?"))&gt;0,1,0))))),0))</x:f>
        <x:v>0</x:v>
      </x:c>
      <x:c r="EO80" s="4" t="str">
        <x:f>IF('Calculations'!IJ80="","",IF('Calculations'!IJ80="!UNRESOLVED","Unresolved hierarchy",IFERROR(INDEX('Calculations'!$HK$13:$HK$512,MATCH('Calculations'!IJ80,'Calculations'!$HE$13:$HE$512,0)),IFERROR(INDEX('Calculations'!$HJ$13:$HJ$512,MATCH('Calculations'!IJ80,'Calculations'!$HF$13:$HF$512,0)),'Calculations'!IJ80))))</x:f>
      </x:c>
      <x:c r="EP80" s="4" t="n">
        <x:f>IF(AND('Calculations'!EM80&lt;&gt;"",'Calculations'!HF80='Calculations'!IJ80),1,0)</x:f>
        <x:v>0</x:v>
      </x:c>
      <x:c r="EQ80" s="4"/>
      <x:c r="ER80" s="4"/>
      <x:c r="ES80" s="4"/>
      <x:c r="ET80" s="4"/>
      <x:c r="EU80" s="4"/>
      <x:c r="EV80" s="4"/>
      <x:c r="EW80" s="4"/>
      <x:c r="EX80" s="4"/>
      <x:c r="EY80" s="4"/>
      <x:c r="EZ80" s="4"/>
      <x:c r="FA80" s="4"/>
      <x:c r="FB80" s="4"/>
      <x:c r="FC80" s="4"/>
      <x:c r="FD80" s="4"/>
      <x:c r="FE80" s="4"/>
      <x:c r="FF80" s="4"/>
      <x:c r="FG80" s="4"/>
      <x:c r="FH80" s="4"/>
      <x:c r="FI80" s="4"/>
      <x:c r="FJ80" s="4"/>
      <x:c r="FK80" s="4"/>
      <x:c r="FL80" s="4"/>
      <x:c r="FM80" s="4"/>
      <x:c r="FN80" s="4"/>
      <x:c r="FO80" s="4"/>
      <x:c r="GA80" s="71"/>
      <x:c r="GB80" s="71"/>
      <x:c r="GC80" s="71"/>
      <x:c r="GD80" s="71"/>
      <x:c r="GE80" s="71"/>
      <x:c r="GF80" s="71"/>
      <x:c r="GG80" s="71"/>
      <x:c r="GH80" s="71"/>
      <x:c r="GI80" s="71"/>
      <x:c r="GJ80" s="71"/>
      <x:c r="GK80" s="71"/>
      <x:c r="GL80" s="71"/>
      <x:c r="GM80" s="71"/>
      <x:c r="GN80" s="71"/>
      <x:c r="GO80" s="71"/>
      <x:c r="GP80" s="71"/>
      <x:c r="GQ80" s="71"/>
      <x:c r="GR80" s="71"/>
      <x:c r="GS80" s="71"/>
      <x:c r="GT80" s="71"/>
      <x:c r="GU80" s="71"/>
      <x:c r="GV80" s="71"/>
      <x:c r="GW80" s="71"/>
      <x:c r="GX80" s="71"/>
      <x:c r="GY80" s="71"/>
      <x:c r="GZ80" s="71"/>
      <x:c r="HA80" s="71"/>
      <x:c r="HB80" s="71"/>
      <x:c r="HC80" s="71"/>
      <x:c r="HD80" s="71"/>
      <x:c r="HE80" t="str">
        <x:f>IF('Calculations'!EM80="","",IF(IFERROR(IF(INDEX(INDIRECT("'WCM Calibration Final'!$A$1:$A$2000"),'Calculations'!$EM80)="","",TRIM(INDEX(INDIRECT("'WCM Calibration Final'!$A$1:$A$2000"),'Calculations'!$EM80)&amp;"")),"")&lt;&gt;"","G:"&amp;IFERROR(TEXT(1*INDEX(INDIRECT("'WCM Calibration Final'!$A$1:$A$2000"),'Calculations'!$EM80),"0"),UPPER(IFERROR(IF(INDEX(INDIRECT("'WCM Calibration Final'!$A$1:$A$2000"),'Calculations'!$EM80)="","",TRIM(INDEX(INDIRECT("'WCM Calibration Final'!$A$1:$A$2000"),'Calculations'!$EM80)&amp;"")),""))),IF(IFERROR(IF(INDEX(INDIRECT("'WCM Calibration Final'!$C$1:$C$2000"),'Calculations'!$EM80)="","",TRIM(INDEX(INDIRECT("'WCM Calibration Final'!$C$1:$C$2000"),'Calculations'!$EM80)&amp;"")),"")&lt;&gt;"","S:"&amp;UPPER(IFERROR(IF(INDEX(INDIRECT("'WCM Calibration Final'!$C$1:$C$2000"),'Calculations'!$EM80)="","",TRIM(INDEX(INDIRECT("'WCM Calibration Final'!$C$1:$C$2000"),'Calculations'!$EM80)&amp;"")),"")),"R:"&amp;'Calculations'!EM80)))</x:f>
      </x:c>
      <x:c r="HF80" t="str">
        <x:f>IF('Calculations'!EM80="","",IF(IFERROR(IF(INDEX(INDIRECT("'WCM Calibration Final'!$D$1:$D$2000"),'Calculations'!$EM80)="","",TRIM(INDEX(INDIRECT("'WCM Calibration Final'!$D$1:$D$2000"),'Calculations'!$EM80)&amp;"")),"")&lt;&gt;"","G:"&amp;IFERROR(TEXT(1*INDEX(INDIRECT("'WCM Calibration Final'!$D$1:$D$2000"),'Calculations'!$EM80),"0"),UPPER(IFERROR(IF(INDEX(INDIRECT("'WCM Calibration Final'!$D$1:$D$2000"),'Calculations'!$EM80)="","",TRIM(INDEX(INDIRECT("'WCM Calibration Final'!$D$1:$D$2000"),'Calculations'!$EM80)&amp;"")),""))),IF(IFERROR(IF(INDEX(INDIRECT("'WCM Calibration Final'!$E$1:$E$2000"),'Calculations'!$EM80)="","",TRIM(INDEX(INDIRECT("'WCM Calibration Final'!$E$1:$E$2000"),'Calculations'!$EM80)&amp;"")),"")="","",IF(COUNTIF('Calculations'!$HG$13:$HG$512,"="&amp;SUBSTITUTE(SUBSTITUTE(SUBSTITUTE(IFERROR(IF(INDEX(INDIRECT("'WCM Calibration Final'!$E$1:$E$2000"),'Calculations'!$EM80)="","",TRIM(INDEX(INDIRECT("'WCM Calibration Final'!$E$1:$E$2000"),'Calculations'!$EM80)&amp;"")),""),"~","~~"),"*","~*"),"?","~?"))=1,INDEX('Calculations'!$HE$13:$HE$512,MATCH(IFERROR(IF(INDEX(INDIRECT("'WCM Calibration Final'!$E$1:$E$2000"),'Calculations'!$EM80)="","",TRIM(INDEX(INDIRECT("'WCM Calibration Final'!$E$1:$E$2000"),'Calculations'!$EM80)&amp;"")),""),'Calculations'!$HG$13:$HG$512,0)),IF(COUNTIF('Calculations'!$HG$13:$HG$512,"="&amp;SUBSTITUTE(SUBSTITUTE(SUBSTITUTE(IFERROR(IF(INDEX(INDIRECT("'WCM Calibration Final'!$E$1:$E$2000"),'Calculations'!$EM80)="","",TRIM(INDEX(INDIRECT("'WCM Calibration Final'!$E$1:$E$2000"),'Calculations'!$EM80)&amp;"")),""),"~","~~"),"*","~*"),"?","~?"))&gt;1,"!AMBIG","X:"&amp;IFERROR(IF(INDEX(INDIRECT("'WCM Calibration Final'!$E$1:$E$2000"),'Calculations'!$EM80)="","",TRIM(INDEX(INDIRECT("'WCM Calibration Final'!$E$1:$E$2000"),'Calculations'!$EM80)&amp;"")),""))))))</x:f>
      </x:c>
      <x:c r="HG80" t="str">
        <x:f>IF('Calculations'!EM80="","",IFERROR(IF(INDEX(INDIRECT("'WCM Calibration Final'!$B$1:$B$2000"),'Calculations'!$EM80)="","",TRIM(INDEX(INDIRECT("'WCM Calibration Final'!$B$1:$B$2000"),'Calculations'!$EM80)&amp;"")),""))</x:f>
      </x:c>
      <x:c r="HH80" t="n">
        <x:f>IF(AND('Calculations'!JC80&gt;0,COUNTIF('Calculations'!$HF$12:HF80,"="&amp;SUBSTITUTE(SUBSTITUTE(SUBSTITUTE('Calculations'!HF80,"~","~~"),"*","~*"),"?","~?"))=1),MAX('Calculations'!$HH$12:HH79)+1,0)</x:f>
        <x:v>0</x:v>
      </x:c>
      <x:c r="HI80" t="n">
        <x:f>IF(AND('Calculations'!HN80&lt;&gt;"",COUNTIF('Calculations'!$HN$12:HN80,"="&amp;SUBSTITUTE(SUBSTITUTE(SUBSTITUTE('Calculations'!HN80,"~","~~"),"*","~*"),"?","~?"))=1),MAX('Calculations'!$HI$12:HI79)+1,0)</x:f>
        <x:v>0</x:v>
      </x:c>
      <x:c r="HJ80" t="str">
        <x:f>IF('Calculations'!HF80="","",IF(COUNTIF('Calculations'!$HE$13:$HE$512,"="&amp;SUBSTITUTE(SUBSTITUTE(SUBSTITUTE('Calculations'!HF80,"~","~~"),"*","~*"),"?","~?"))=1,INDEX('Calculations'!$HK$13:$HK$512,MATCH('Calculations'!HF80,'Calculations'!$HE$13:$HE$512,0)),IFERROR(IF(INDEX(INDIRECT("'WCM Calibration Final'!$E$1:$E$2000"),'Calculations'!$EM80)="","",TRIM(INDEX(INDIRECT("'WCM Calibration Final'!$E$1:$E$2000"),'Calculations'!$EM80)&amp;"")),"")&amp;" ["&amp;'Calculations'!HF80&amp;"]"))</x:f>
      </x:c>
      <x:c r="HK80" t="str">
        <x:f>IF('Calculations'!EM80="","",'Calculations'!HG80&amp;" ["&amp;'Calculations'!HE80&amp;"]")</x:f>
      </x:c>
      <x:c r="HL80" t="n">
        <x:f>IF('Calculations'!EM80="",0,IF(OR('Calculations'!II80&lt;&gt;"",COUNTIF('Calculations'!$HE$13:$HE$512,"="&amp;SUBSTITUTE(SUBSTITUTE(SUBSTITUTE('Calculations'!HE80,"~","~~"),"*","~*"),"?","~?"))&gt;1),1,0))</x:f>
        <x:v>0</x:v>
      </x:c>
      <x:c r="HM80" t="str">
        <x:f>IF('Calculations'!EM80="","",IF('Calculations'!HL80=1,"!UNRESOLVED",IF('Calculations'!IH80&lt;&gt;"",'Calculations'!IH80,IF('Calculations'!IG80&lt;&gt;"",'Calculations'!IG80,IF('Calculations'!IF80&lt;&gt;"",'Calculations'!IF80,IF('Calculations'!IE80&lt;&gt;"",'Calculations'!IE80,IF('Calculations'!ID80&lt;&gt;"",'Calculations'!ID80,IF('Calculations'!IC80&lt;&gt;"",'Calculations'!IC80,IF('Calculations'!IB80&lt;&gt;"",'Calculations'!IB80,IF('Calculations'!IA80&lt;&gt;"",'Calculations'!IA80,IF('Calculations'!HZ80&lt;&gt;"",'Calculations'!HZ80,IF('Calculations'!HY80&lt;&gt;"",'Calculations'!HY80,IF('Calculations'!HX80&lt;&gt;"",'Calculations'!HX80,IF('Calculations'!HW80&lt;&gt;"",'Calculations'!HW80,IF('Calculations'!HV80&lt;&gt;"",'Calculations'!HV80,IF('Calculations'!HU80&lt;&gt;"",'Calculations'!HU80,IF('Calculations'!HT80&lt;&gt;"",'Calculations'!HT80,IF('Calculations'!HS80&lt;&gt;"",'Calculations'!HS80,IF('Calculations'!HR80&lt;&gt;"",'Calculations'!HR80,IF('Calculations'!HQ80&lt;&gt;"",'Calculations'!HQ80,IF('Calculations'!HP80&lt;&gt;"",'Calculations'!HP80,IF('Calculations'!HO80&lt;&gt;"",'Calculations'!HO80,'Calculations'!HE80))))))))))))))))))))))</x:f>
      </x:c>
      <x:c r="HN80" t="str">
        <x:f>IF('Calculations'!EM80="","",IF(IFERROR(IF(INDEX(INDIRECT("'WCM Calibration Final'!$F$1:$F$2000"),'Calculations'!$EM80)="","",TRIM(INDEX(INDIRECT("'WCM Calibration Final'!$F$1:$F$2000"),'Calculations'!$EM80)&amp;"")),"")="","(Blank)",IFERROR(IF(INDEX(INDIRECT("'WCM Calibration Final'!$F$1:$F$2000"),'Calculations'!$EM80)="","",TRIM(INDEX(INDIRECT("'WCM Calibration Final'!$F$1:$F$2000"),'Calculations'!$EM80)&amp;"")),"")))</x:f>
      </x:c>
      <x:c r="HO80" t="str">
        <x:f>'Calculations'!HF80</x:f>
      </x:c>
      <x:c r="HP80" t="str">
        <x:f>IF('Calculations'!HO80="","",IF('Calculations'!HO80="!AMBIG","!AMBIG",IF(COUNTIF('Calculations'!$HE$13:$HE$512,"="&amp;SUBSTITUTE(SUBSTITUTE(SUBSTITUTE('Calculations'!HO80,"~","~~"),"*","~*"),"?","~?"))&gt;1,"!AMBIG",IFERROR(INDEX('Calculations'!$HF$13:$HF$512,MATCH('Calculations'!HO80,'Calculations'!$HE$13:$HE$512,0)),""))))</x:f>
      </x:c>
      <x:c r="HQ80" t="str">
        <x:f>IF('Calculations'!HP80="","",IF('Calculations'!HP80="!AMBIG","!AMBIG",IF(COUNTIF('Calculations'!$HE$13:$HE$512,"="&amp;SUBSTITUTE(SUBSTITUTE(SUBSTITUTE('Calculations'!HP80,"~","~~"),"*","~*"),"?","~?"))&gt;1,"!AMBIG",IFERROR(INDEX('Calculations'!$HF$13:$HF$512,MATCH('Calculations'!HP80,'Calculations'!$HE$13:$HE$512,0)),""))))</x:f>
      </x:c>
      <x:c r="HR80" t="str">
        <x:f>IF('Calculations'!HQ80="","",IF('Calculations'!HQ80="!AMBIG","!AMBIG",IF(COUNTIF('Calculations'!$HE$13:$HE$512,"="&amp;SUBSTITUTE(SUBSTITUTE(SUBSTITUTE('Calculations'!HQ80,"~","~~"),"*","~*"),"?","~?"))&gt;1,"!AMBIG",IFERROR(INDEX('Calculations'!$HF$13:$HF$512,MATCH('Calculations'!HQ80,'Calculations'!$HE$13:$HE$512,0)),""))))</x:f>
      </x:c>
      <x:c r="HS80" t="str">
        <x:f>IF('Calculations'!HR80="","",IF('Calculations'!HR80="!AMBIG","!AMBIG",IF(COUNTIF('Calculations'!$HE$13:$HE$512,"="&amp;SUBSTITUTE(SUBSTITUTE(SUBSTITUTE('Calculations'!HR80,"~","~~"),"*","~*"),"?","~?"))&gt;1,"!AMBIG",IFERROR(INDEX('Calculations'!$HF$13:$HF$512,MATCH('Calculations'!HR80,'Calculations'!$HE$13:$HE$512,0)),""))))</x:f>
      </x:c>
      <x:c r="HT80" t="str">
        <x:f>IF('Calculations'!HS80="","",IF('Calculations'!HS80="!AMBIG","!AMBIG",IF(COUNTIF('Calculations'!$HE$13:$HE$512,"="&amp;SUBSTITUTE(SUBSTITUTE(SUBSTITUTE('Calculations'!HS80,"~","~~"),"*","~*"),"?","~?"))&gt;1,"!AMBIG",IFERROR(INDEX('Calculations'!$HF$13:$HF$512,MATCH('Calculations'!HS80,'Calculations'!$HE$13:$HE$512,0)),""))))</x:f>
      </x:c>
      <x:c r="HU80" t="str">
        <x:f>IF('Calculations'!HT80="","",IF('Calculations'!HT80="!AMBIG","!AMBIG",IF(COUNTIF('Calculations'!$HE$13:$HE$512,"="&amp;SUBSTITUTE(SUBSTITUTE(SUBSTITUTE('Calculations'!HT80,"~","~~"),"*","~*"),"?","~?"))&gt;1,"!AMBIG",IFERROR(INDEX('Calculations'!$HF$13:$HF$512,MATCH('Calculations'!HT80,'Calculations'!$HE$13:$HE$512,0)),""))))</x:f>
      </x:c>
      <x:c r="HV80" t="str">
        <x:f>IF('Calculations'!HU80="","",IF('Calculations'!HU80="!AMBIG","!AMBIG",IF(COUNTIF('Calculations'!$HE$13:$HE$512,"="&amp;SUBSTITUTE(SUBSTITUTE(SUBSTITUTE('Calculations'!HU80,"~","~~"),"*","~*"),"?","~?"))&gt;1,"!AMBIG",IFERROR(INDEX('Calculations'!$HF$13:$HF$512,MATCH('Calculations'!HU80,'Calculations'!$HE$13:$HE$512,0)),""))))</x:f>
      </x:c>
      <x:c r="HW80" t="str">
        <x:f>IF('Calculations'!HV80="","",IF('Calculations'!HV80="!AMBIG","!AMBIG",IF(COUNTIF('Calculations'!$HE$13:$HE$512,"="&amp;SUBSTITUTE(SUBSTITUTE(SUBSTITUTE('Calculations'!HV80,"~","~~"),"*","~*"),"?","~?"))&gt;1,"!AMBIG",IFERROR(INDEX('Calculations'!$HF$13:$HF$512,MATCH('Calculations'!HV80,'Calculations'!$HE$13:$HE$512,0)),""))))</x:f>
      </x:c>
      <x:c r="HX80" t="str">
        <x:f>IF('Calculations'!HW80="","",IF('Calculations'!HW80="!AMBIG","!AMBIG",IF(COUNTIF('Calculations'!$HE$13:$HE$512,"="&amp;SUBSTITUTE(SUBSTITUTE(SUBSTITUTE('Calculations'!HW80,"~","~~"),"*","~*"),"?","~?"))&gt;1,"!AMBIG",IFERROR(INDEX('Calculations'!$HF$13:$HF$512,MATCH('Calculations'!HW80,'Calculations'!$HE$13:$HE$512,0)),""))))</x:f>
      </x:c>
      <x:c r="HY80" t="str">
        <x:f>IF('Calculations'!HX80="","",IF('Calculations'!HX80="!AMBIG","!AMBIG",IF(COUNTIF('Calculations'!$HE$13:$HE$512,"="&amp;SUBSTITUTE(SUBSTITUTE(SUBSTITUTE('Calculations'!HX80,"~","~~"),"*","~*"),"?","~?"))&gt;1,"!AMBIG",IFERROR(INDEX('Calculations'!$HF$13:$HF$512,MATCH('Calculations'!HX80,'Calculations'!$HE$13:$HE$512,0)),""))))</x:f>
      </x:c>
      <x:c r="HZ80" t="str">
        <x:f>IF('Calculations'!HY80="","",IF('Calculations'!HY80="!AMBIG","!AMBIG",IF(COUNTIF('Calculations'!$HE$13:$HE$512,"="&amp;SUBSTITUTE(SUBSTITUTE(SUBSTITUTE('Calculations'!HY80,"~","~~"),"*","~*"),"?","~?"))&gt;1,"!AMBIG",IFERROR(INDEX('Calculations'!$HF$13:$HF$512,MATCH('Calculations'!HY80,'Calculations'!$HE$13:$HE$512,0)),""))))</x:f>
      </x:c>
      <x:c r="IA80" t="str">
        <x:f>IF('Calculations'!HZ80="","",IF('Calculations'!HZ80="!AMBIG","!AMBIG",IF(COUNTIF('Calculations'!$HE$13:$HE$512,"="&amp;SUBSTITUTE(SUBSTITUTE(SUBSTITUTE('Calculations'!HZ80,"~","~~"),"*","~*"),"?","~?"))&gt;1,"!AMBIG",IFERROR(INDEX('Calculations'!$HF$13:$HF$512,MATCH('Calculations'!HZ80,'Calculations'!$HE$13:$HE$512,0)),""))))</x:f>
      </x:c>
      <x:c r="IB80" t="str">
        <x:f>IF('Calculations'!IA80="","",IF('Calculations'!IA80="!AMBIG","!AMBIG",IF(COUNTIF('Calculations'!$HE$13:$HE$512,"="&amp;SUBSTITUTE(SUBSTITUTE(SUBSTITUTE('Calculations'!IA80,"~","~~"),"*","~*"),"?","~?"))&gt;1,"!AMBIG",IFERROR(INDEX('Calculations'!$HF$13:$HF$512,MATCH('Calculations'!IA80,'Calculations'!$HE$13:$HE$512,0)),""))))</x:f>
      </x:c>
      <x:c r="IC80" t="str">
        <x:f>IF('Calculations'!IB80="","",IF('Calculations'!IB80="!AMBIG","!AMBIG",IF(COUNTIF('Calculations'!$HE$13:$HE$512,"="&amp;SUBSTITUTE(SUBSTITUTE(SUBSTITUTE('Calculations'!IB80,"~","~~"),"*","~*"),"?","~?"))&gt;1,"!AMBIG",IFERROR(INDEX('Calculations'!$HF$13:$HF$512,MATCH('Calculations'!IB80,'Calculations'!$HE$13:$HE$512,0)),""))))</x:f>
      </x:c>
      <x:c r="ID80" t="str">
        <x:f>IF('Calculations'!IC80="","",IF('Calculations'!IC80="!AMBIG","!AMBIG",IF(COUNTIF('Calculations'!$HE$13:$HE$512,"="&amp;SUBSTITUTE(SUBSTITUTE(SUBSTITUTE('Calculations'!IC80,"~","~~"),"*","~*"),"?","~?"))&gt;1,"!AMBIG",IFERROR(INDEX('Calculations'!$HF$13:$HF$512,MATCH('Calculations'!IC80,'Calculations'!$HE$13:$HE$512,0)),""))))</x:f>
      </x:c>
      <x:c r="IE80" t="str">
        <x:f>IF('Calculations'!ID80="","",IF('Calculations'!ID80="!AMBIG","!AMBIG",IF(COUNTIF('Calculations'!$HE$13:$HE$512,"="&amp;SUBSTITUTE(SUBSTITUTE(SUBSTITUTE('Calculations'!ID80,"~","~~"),"*","~*"),"?","~?"))&gt;1,"!AMBIG",IFERROR(INDEX('Calculations'!$HF$13:$HF$512,MATCH('Calculations'!ID80,'Calculations'!$HE$13:$HE$512,0)),""))))</x:f>
      </x:c>
      <x:c r="IF80" t="str">
        <x:f>IF('Calculations'!IE80="","",IF('Calculations'!IE80="!AMBIG","!AMBIG",IF(COUNTIF('Calculations'!$HE$13:$HE$512,"="&amp;SUBSTITUTE(SUBSTITUTE(SUBSTITUTE('Calculations'!IE80,"~","~~"),"*","~*"),"?","~?"))&gt;1,"!AMBIG",IFERROR(INDEX('Calculations'!$HF$13:$HF$512,MATCH('Calculations'!IE80,'Calculations'!$HE$13:$HE$512,0)),""))))</x:f>
      </x:c>
      <x:c r="IG80" t="str">
        <x:f>IF('Calculations'!IF80="","",IF('Calculations'!IF80="!AMBIG","!AMBIG",IF(COUNTIF('Calculations'!$HE$13:$HE$512,"="&amp;SUBSTITUTE(SUBSTITUTE(SUBSTITUTE('Calculations'!IF80,"~","~~"),"*","~*"),"?","~?"))&gt;1,"!AMBIG",IFERROR(INDEX('Calculations'!$HF$13:$HF$512,MATCH('Calculations'!IF80,'Calculations'!$HE$13:$HE$512,0)),""))))</x:f>
      </x:c>
      <x:c r="IH80" t="str">
        <x:f>IF('Calculations'!IG80="","",IF('Calculations'!IG80="!AMBIG","!AMBIG",IF(COUNTIF('Calculations'!$HE$13:$HE$512,"="&amp;SUBSTITUTE(SUBSTITUTE(SUBSTITUTE('Calculations'!IG80,"~","~~"),"*","~*"),"?","~?"))&gt;1,"!AMBIG",IFERROR(INDEX('Calculations'!$HF$13:$HF$512,MATCH('Calculations'!IG80,'Calculations'!$HE$13:$HE$512,0)),""))))</x:f>
      </x:c>
      <x:c r="II80" t="str">
        <x:f>IF('Calculations'!IH80="","",IF('Calculations'!IH80="!AMBIG","!AMBIG",IF(COUNTIF('Calculations'!$HE$13:$HE$512,"="&amp;SUBSTITUTE(SUBSTITUTE(SUBSTITUTE('Calculations'!IH80,"~","~~"),"*","~*"),"?","~?"))&gt;1,"!AMBIG",IFERROR(INDEX('Calculations'!$HF$13:$HF$512,MATCH('Calculations'!IH80,'Calculations'!$HE$13:$HE$512,0)),""))))</x:f>
      </x:c>
      <x:c r="IJ80" t="str">
        <x:f>IF('Calculations'!EM80="","",IF('Calculations'!$EF$2="All",'Calculations'!HM80,IF('Calculations'!HL80=1,"",IFERROR(IF(MATCH('Calculations'!$EF$2,'Calculations'!HO80:II80,0)=1,'Calculations'!HE80,INDEX('Calculations'!HO80:II80,1,MATCH('Calculations'!$EF$2,'Calculations'!HO80:II80,0)-1)),""))))</x:f>
      </x:c>
      <x:c r="IK80" t="n">
        <x:f>IF(AND('Calculations'!EM80&lt;&gt;"",'Calculations'!$EF$2&lt;&gt;"All",'Calculations'!HF80='Calculations'!$EF$2,'Calculations'!HL80=0,'Calculations'!JD80&gt;0),MAX('Calculations'!$IK$12:IK79)+1,0)</x:f>
        <x:v>0</x:v>
      </x:c>
      <x:c r="JA80" t="n">
        <x:f>IF(OR(IFERROR(INDIRECT("'WCM Calibration Final'!$A$80")&lt;&gt;"",FALSE),IFERROR(INDIRECT("'WCM Calibration Final'!$B$80")&lt;&gt;"",FALSE),IFERROR(INDIRECT("'WCM Calibration Final'!$C$80")&lt;&gt;"",FALSE)),80,0)</x:f>
        <x:v>0</x:v>
      </x:c>
      <x:c r="JB80" t="n">
        <x:f>'Calculations'!JB79+IF('Calculations'!JA80&gt;0,1,0)</x:f>
        <x:v>0</x:v>
      </x:c>
      <x:c r="JC80" t="n">
        <x:f>IF(OR('Calculations'!HF80="",'Calculations'!HF80="!AMBIG"),0,IF('Dashboard'!$B$7="All",1,COUNTIFS('Calculations'!$HO$13:$HO$512,"="&amp;SUBSTITUTE(SUBSTITUTE(SUBSTITUTE('Calculations'!HF80,"~","~~"),"*","~*"),"?","~?"),'Calculations'!$HN$13:$HN$512,"="&amp;SUBSTITUTE(SUBSTITUTE(SUBSTITUTE('Dashboard'!$B$7,"~","~~"),"*","~*"),"?","~?"))+COUNTIFS('Calculations'!$HP$13:$HP$512,"="&amp;SUBSTITUTE(SUBSTITUTE(SUBSTITUTE('Calculations'!HF80,"~","~~"),"*","~*"),"?","~?"),'Calculations'!$HN$13:$HN$512,"="&amp;SUBSTITUTE(SUBSTITUTE(SUBSTITUTE('Dashboard'!$B$7,"~","~~"),"*","~*"),"?","~?"))+COUNTIFS('Calculations'!$HQ$13:$HQ$512,"="&amp;SUBSTITUTE(SUBSTITUTE(SUBSTITUTE('Calculations'!HF80,"~","~~"),"*","~*"),"?","~?"),'Calculations'!$HN$13:$HN$512,"="&amp;SUBSTITUTE(SUBSTITUTE(SUBSTITUTE('Dashboard'!$B$7,"~","~~"),"*","~*"),"?","~?"))+COUNTIFS('Calculations'!$HR$13:$HR$512,"="&amp;SUBSTITUTE(SUBSTITUTE(SUBSTITUTE('Calculations'!HF80,"~","~~"),"*","~*"),"?","~?"),'Calculations'!$HN$13:$HN$512,"="&amp;SUBSTITUTE(SUBSTITUTE(SUBSTITUTE('Dashboard'!$B$7,"~","~~"),"*","~*"),"?","~?"))+COUNTIFS('Calculations'!$HS$13:$HS$512,"="&amp;SUBSTITUTE(SUBSTITUTE(SUBSTITUTE('Calculations'!HF80,"~","~~"),"*","~*"),"?","~?"),'Calculations'!$HN$13:$HN$512,"="&amp;SUBSTITUTE(SUBSTITUTE(SUBSTITUTE('Dashboard'!$B$7,"~","~~"),"*","~*"),"?","~?"))+COUNTIFS('Calculations'!$HT$13:$HT$512,"="&amp;SUBSTITUTE(SUBSTITUTE(SUBSTITUTE('Calculations'!HF80,"~","~~"),"*","~*"),"?","~?"),'Calculations'!$HN$13:$HN$512,"="&amp;SUBSTITUTE(SUBSTITUTE(SUBSTITUTE('Dashboard'!$B$7,"~","~~"),"*","~*"),"?","~?"))+COUNTIFS('Calculations'!$HU$13:$HU$512,"="&amp;SUBSTITUTE(SUBSTITUTE(SUBSTITUTE('Calculations'!HF80,"~","~~"),"*","~*"),"?","~?"),'Calculations'!$HN$13:$HN$512,"="&amp;SUBSTITUTE(SUBSTITUTE(SUBSTITUTE('Dashboard'!$B$7,"~","~~"),"*","~*"),"?","~?"))+COUNTIFS('Calculations'!$HV$13:$HV$512,"="&amp;SUBSTITUTE(SUBSTITUTE(SUBSTITUTE('Calculations'!HF80,"~","~~"),"*","~*"),"?","~?"),'Calculations'!$HN$13:$HN$512,"="&amp;SUBSTITUTE(SUBSTITUTE(SUBSTITUTE('Dashboard'!$B$7,"~","~~"),"*","~*"),"?","~?"))+COUNTIFS('Calculations'!$HW$13:$HW$512,"="&amp;SUBSTITUTE(SUBSTITUTE(SUBSTITUTE('Calculations'!HF80,"~","~~"),"*","~*"),"?","~?"),'Calculations'!$HN$13:$HN$512,"="&amp;SUBSTITUTE(SUBSTITUTE(SUBSTITUTE('Dashboard'!$B$7,"~","~~"),"*","~*"),"?","~?"))+COUNTIFS('Calculations'!$HX$13:$HX$512,"="&amp;SUBSTITUTE(SUBSTITUTE(SUBSTITUTE('Calculations'!HF80,"~","~~"),"*","~*"),"?","~?"),'Calculations'!$HN$13:$HN$512,"="&amp;SUBSTITUTE(SUBSTITUTE(SUBSTITUTE('Dashboard'!$B$7,"~","~~"),"*","~*"),"?","~?"))+COUNTIFS('Calculations'!$HY$13:$HY$512,"="&amp;SUBSTITUTE(SUBSTITUTE(SUBSTITUTE('Calculations'!HF80,"~","~~"),"*","~*"),"?","~?"),'Calculations'!$HN$13:$HN$512,"="&amp;SUBSTITUTE(SUBSTITUTE(SUBSTITUTE('Dashboard'!$B$7,"~","~~"),"*","~*"),"?","~?"))+COUNTIFS('Calculations'!$HZ$13:$HZ$512,"="&amp;SUBSTITUTE(SUBSTITUTE(SUBSTITUTE('Calculations'!HF80,"~","~~"),"*","~*"),"?","~?"),'Calculations'!$HN$13:$HN$512,"="&amp;SUBSTITUTE(SUBSTITUTE(SUBSTITUTE('Dashboard'!$B$7,"~","~~"),"*","~*"),"?","~?"))+COUNTIFS('Calculations'!$IA$13:$IA$512,"="&amp;SUBSTITUTE(SUBSTITUTE(SUBSTITUTE('Calculations'!HF80,"~","~~"),"*","~*"),"?","~?"),'Calculations'!$HN$13:$HN$512,"="&amp;SUBSTITUTE(SUBSTITUTE(SUBSTITUTE('Dashboard'!$B$7,"~","~~"),"*","~*"),"?","~?"))+COUNTIFS('Calculations'!$IB$13:$IB$512,"="&amp;SUBSTITUTE(SUBSTITUTE(SUBSTITUTE('Calculations'!HF80,"~","~~"),"*","~*"),"?","~?"),'Calculations'!$HN$13:$HN$512,"="&amp;SUBSTITUTE(SUBSTITUTE(SUBSTITUTE('Dashboard'!$B$7,"~","~~"),"*","~*"),"?","~?"))+COUNTIFS('Calculations'!$IC$13:$IC$512,"="&amp;SUBSTITUTE(SUBSTITUTE(SUBSTITUTE('Calculations'!HF80,"~","~~"),"*","~*"),"?","~?"),'Calculations'!$HN$13:$HN$512,"="&amp;SUBSTITUTE(SUBSTITUTE(SUBSTITUTE('Dashboard'!$B$7,"~","~~"),"*","~*"),"?","~?"))+COUNTIFS('Calculations'!$ID$13:$ID$512,"="&amp;SUBSTITUTE(SUBSTITUTE(SUBSTITUTE('Calculations'!HF80,"~","~~"),"*","~*"),"?","~?"),'Calculations'!$HN$13:$HN$512,"="&amp;SUBSTITUTE(SUBSTITUTE(SUBSTITUTE('Dashboard'!$B$7,"~","~~"),"*","~*"),"?","~?"))+COUNTIFS('Calculations'!$IE$13:$IE$512,"="&amp;SUBSTITUTE(SUBSTITUTE(SUBSTITUTE('Calculations'!HF80,"~","~~"),"*","~*"),"?","~?"),'Calculations'!$HN$13:$HN$512,"="&amp;SUBSTITUTE(SUBSTITUTE(SUBSTITUTE('Dashboard'!$B$7,"~","~~"),"*","~*"),"?","~?"))+COUNTIFS('Calculations'!$IF$13:$IF$512,"="&amp;SUBSTITUTE(SUBSTITUTE(SUBSTITUTE('Calculations'!HF80,"~","~~"),"*","~*"),"?","~?"),'Calculations'!$HN$13:$HN$512,"="&amp;SUBSTITUTE(SUBSTITUTE(SUBSTITUTE('Dashboard'!$B$7,"~","~~"),"*","~*"),"?","~?"))+COUNTIFS('Calculations'!$IG$13:$IG$512,"="&amp;SUBSTITUTE(SUBSTITUTE(SUBSTITUTE('Calculations'!HF80,"~","~~"),"*","~*"),"?","~?"),'Calculations'!$HN$13:$HN$512,"="&amp;SUBSTITUTE(SUBSTITUTE(SUBSTITUTE('Dashboard'!$B$7,"~","~~"),"*","~*"),"?","~?"))+COUNTIFS('Calculations'!$IH$13:$IH$512,"="&amp;SUBSTITUTE(SUBSTITUTE(SUBSTITUTE('Calculations'!HF80,"~","~~"),"*","~*"),"?","~?"),'Calculations'!$HN$13:$HN$512,"="&amp;SUBSTITUTE(SUBSTITUTE(SUBSTITUTE('Dashboard'!$B$7,"~","~~"),"*","~*"),"?","~?"))))</x:f>
        <x:v>0</x:v>
      </x:c>
      <x:c r="JD80" t="n">
        <x:f>IF('Calculations'!EM80="",0,IF('Dashboard'!$B$7="All",1,IF('Calculations'!HN80='Dashboard'!$B$7,1,0)+IFERROR(INDEX('Calculations'!$JC$13:$JC$512,MATCH('Calculations'!HE80,'Calculations'!$HF$13:$HF$512,0)),0)))</x:f>
        <x:v>0</x:v>
      </x:c>
      <x:c r="JE80" t="n">
        <x:f>IF(AND('Calculations'!EM80&lt;&gt;"",'Calculations'!$JJ$2&lt;&gt;"All",'Calculations'!$JJ$2&lt;&gt;"",'Calculations'!HF80='Calculations'!$JJ$2,'Calculations'!HL80=0,'Calculations'!JD80&gt;0),MAX('Calculations'!$JE$12:JE79)+1,0)</x:f>
        <x:v>0</x:v>
      </x:c>
      <x:c r="JF80" t="str">
        <x:f>IF('Calculations'!EM80="","",IFERROR(IF(INDEX(INDIRECT("'WCM Calibration Final'!$G$1:$G$2000"),'Calculations'!$EM80)="","",TRIM(INDEX(INDIRECT("'WCM Calibration Final'!$G$1:$G$2000"),'Calculations'!$EM80)&amp;"")),""))</x:f>
      </x:c>
      <x:c r="JQ80" t="n">
        <x:f>IF(OR('Calculations'!BM80=0,NOT('Calculations'!$AG$2),'Calculations'!$AG$8&gt;0),0,IF(OR('Dashboard'!$B$7="All",'Calculations'!HN80='Dashboard'!$B$7),IF('Calculations'!$JJ$2="All",1,IF(AND('Calculations'!HF80='Calculations'!$JJ$2,'Calculations'!HL80=0),1,0)),0))</x:f>
        <x:v>0</x:v>
      </x:c>
    </x:row>
    <x:row r="81">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t="n">
        <x:f>IF('Calculations'!$EM81="",0,IF(OR(IFERROR(INDEX(INDIRECT("'WCM Calibration Final'!$A$1:$A$2000"),'Calculations'!$EM81)&lt;&gt;"",FALSE),IFERROR(INDEX(INDIRECT("'WCM Calibration Final'!$B$1:$B$2000"),'Calculations'!$EM81)&lt;&gt;"",FALSE),IFERROR(INDEX(INDIRECT("'WCM Calibration Final'!$C$1:$C$2000"),'Calculations'!$EM81)&lt;&gt;"",FALSE)),1,0))</x:f>
        <x:v>0</x:v>
      </x:c>
      <x:c r="BN81" s="4" t="n">
        <x:f>IF(AND('Calculations'!BM81=1,'Calculations'!$AG$2,'Calculations'!$EN81=1),1,0)</x:f>
        <x:v>0</x:v>
      </x:c>
      <x:c r="BO81" s="4" t="str">
        <x:f>IF('Calculations'!BM81=0,"",IFERROR(IF(AND(VALUE(INDEX(INDIRECT("'WCM Calibration Final'!$K$1:$K$2000"),'Calculations'!$EM81))&gt;=1,VALUE(INDEX(INDIRECT("'WCM Calibration Final'!$K$1:$K$2000"),'Calculations'!$EM81))&lt;=4,MOD(VALUE(INDEX(INDIRECT("'WCM Calibration Final'!$K$1:$K$2000"),'Calculations'!$EM81)),1)=0),VALUE(INDEX(INDIRECT("'WCM Calibration Final'!$K$1:$K$2000"),'Calculations'!$EM81)),""),""))</x:f>
      </x:c>
      <x:c r="BP81" s="4" t="str">
        <x:f>IF('Calculations'!BM81=0,"",IFERROR(IF(AND(VALUE(INDEX(INDIRECT("'WCM Calibration Final'!$L$1:$L$2000"),'Calculations'!$EM81))&gt;=1,VALUE(INDEX(INDIRECT("'WCM Calibration Final'!$L$1:$L$2000"),'Calculations'!$EM81))&lt;=4,MOD(VALUE(INDEX(INDIRECT("'WCM Calibration Final'!$L$1:$L$2000"),'Calculations'!$EM81)),1)=0),VALUE(INDEX(INDIRECT("'WCM Calibration Final'!$L$1:$L$2000"),'Calculations'!$EM81)),""),""))</x:f>
      </x:c>
      <x:c r="BQ81" s="4"/>
      <x:c r="BR81" s="4"/>
      <x:c r="BS81" s="4"/>
      <x:c r="BT81" s="4" t="n">
        <x:f>IF(AND('Calculations'!BM81=1,ISNUMBER('Calculations'!BO81),ISNUMBER('Calculations'!BP81)),1,0)</x:f>
        <x:v>0</x:v>
      </x:c>
      <x:c r="BU81" s="4" t="str">
        <x:f>IF('Calculations'!BM81=0,"",'Calculations'!$EO81)</x:f>
      </x:c>
      <x:c r="BV81" s="4" t="str">
        <x:f>IF('Calculations'!BM81=0,"",IFERROR(IF(OR(INDEX(INDIRECT("'WCM Calibration Final'!$H$1:$H$2000"),'Calculations'!$EM81)="MANAGING DIRECTOR",INDEX(INDIRECT("'WCM Calibration Final'!$H$1:$H$2000"),'Calculations'!$EM81)="DIRECTOR",INDEX(INDIRECT("'WCM Calibration Final'!$H$1:$H$2000"),'Calculations'!$EM81)="SENIOR VICE PRESIDENT",INDEX(INDIRECT("'WCM Calibration Final'!$H$1:$H$2000"),'Calculations'!$EM81)="VICE PRESIDENT",INDEX(INDIRECT("'WCM Calibration Final'!$H$1:$H$2000"),'Calculations'!$EM81)="ASSISTANT VICE PRESIDENT",INDEX(INDIRECT("'WCM Calibration Final'!$H$1:$H$2000"),'Calculations'!$EM81)="OFFICER"),UPPER(INDEX(INDIRECT("'WCM Calibration Final'!$H$1:$H$2000"),'Calculations'!$EM81)),"Other"),"Other"))</x:f>
      </x:c>
      <x:c r="BW81" s="4"/>
      <x:c r="BX81" s="4"/>
      <x:c r="BY81" s="4" t="n">
        <x:f>IF(AND('Calculations'!BM81=1,'Calculations'!BU81&lt;&gt;"",COUNTIF('Calculations'!$BU$12:BU81,'Calculations'!BU81)=1),MAX('Calculations'!$BY$11:BY80)+1,0)</x:f>
        <x:v>0</x:v>
      </x:c>
      <x:c r="BZ81" s="4" t="str">
        <x:f>IF('Dashboard'!$E$67="What",'Calculations'!BO81,'Calculations'!BP81)</x:f>
      </x:c>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t="str">
        <x:f>IF(70&gt;MAX('Calculations'!$HI$13:$HI$512),"",INDEX('Calculations'!$HN$13:$HN$512,MATCH(70,'Calculations'!$HI$13:$HI$512,0)))</x:f>
      </x:c>
      <x:c r="DB81" s="4" t="str">
        <x:f>IF(70&gt;MAX('Calculations'!$HH$13:$HH$512),"",INDEX('Calculations'!$HJ$13:$HJ$512,MATCH(70,'Calculations'!$HH$13:$HH$512,0)))</x:f>
      </x:c>
      <x:c r="DC81" s="4" t="str">
        <x:f>IF(ROW()-11&gt;MAX('Calculations'!$BY$13:$BY$512),"",INDEX('Calculations'!$BU$13:$BU$512,MATCH(ROW()-11,'Calculations'!$BY$13:$BY$512,0)))</x:f>
      </x:c>
      <x:c r="DD81" s="4" t="str">
        <x:f>IF(70&gt;MAX('Calculations'!$IK$13:$IK$512),"",INDEX('Calculations'!$HK$13:$HK$512,MATCH(70,'Calculations'!$IK$13:$IK$512,0)))</x:f>
      </x:c>
      <x:c r="DE81" s="4" t="str">
        <x:f>'Calculations'!DC81</x:f>
      </x:c>
      <x:c r="DF81" s="4" t="str">
        <x:f>IF('Calculations'!DE81="","",COUNTIFS('Calculations'!$BN$13:$BN$512,1,'Calculations'!$BU$13:$BU$512,'Calculations'!DE81))</x:f>
      </x:c>
      <x:c r="DG81" s="4" t="str">
        <x:f>IF('Calculations'!DE81="","",COUNTIFS('Calculations'!$BN$13:$BN$512,1,'Calculations'!$BU$13:$BU$512,'Calculations'!DE81,'Calculations'!$BT$13:$BT$512,1))</x:f>
      </x:c>
      <x:c r="DH81" s="4" t="str">
        <x:f>IF('Calculations'!DE81="","",'Calculations'!DF81-'Calculations'!DG81)</x:f>
      </x:c>
      <x:c r="DI81" s="4" t="str">
        <x:f>IF(OR('Calculations'!DE81="",'Calculations'!DF81=0),"",'Calculations'!DG81/'Calculations'!DF81)</x:f>
      </x:c>
      <x:c r="DJ81" s="4" t="str">
        <x:f>IF('Calculations'!DE81="","",COUNTIFS('Calculations'!$BN$13:$BN$512,1,'Calculations'!$BU$13:$BU$512,'Calculations'!DE81,'Calculations'!$BT$13:$BT$512,1,'Calculations'!$EE$13:$EE$512,"High"))</x:f>
      </x:c>
      <x:c r="DK81" s="4" t="str">
        <x:f>IF('Calculations'!DE81="","",COUNTIFS('Calculations'!$BN$13:$BN$512,1,'Calculations'!$BU$13:$BU$512,'Calculations'!DE81,'Calculations'!$BT$13:$BT$512,1,'Calculations'!$EE$13:$EE$512,"Strong"))</x:f>
      </x:c>
      <x:c r="DL81" s="4" t="str">
        <x:f>IF('Calculations'!DE81="","",COUNTIFS('Calculations'!$BN$13:$BN$512,1,'Calculations'!$BU$13:$BU$512,'Calculations'!DE81,'Calculations'!$BT$13:$BT$512,1,'Calculations'!$EE$13:$EE$512,"Solid"))</x:f>
      </x:c>
      <x:c r="DM81" s="4" t="str">
        <x:f>IF('Calculations'!DE81="","",COUNTIFS('Calculations'!$BN$13:$BN$512,1,'Calculations'!$BU$13:$BU$512,'Calculations'!DE81,'Calculations'!$BT$13:$BT$512,1,'Calculations'!$EE$13:$EE$512,"Low"))</x:f>
      </x:c>
      <x:c r="DN81" s="4" t="str">
        <x:f>IF('Calculations'!DE81="","",COUNTIFS('Calculations'!$BN$13:$BN$512,1,'Calculations'!$BU$13:$BU$512,'Calculations'!DE81,'Calculations'!$EP$13:$EP$512,1))</x:f>
      </x:c>
      <x:c r="DO81" s="4" t="str">
        <x:f>IF(OR('Calculations'!DE81="",'Calculations'!DG81=0),"",('Calculations'!DJ81+'Calculations'!DK81)/'Calculations'!DG81)</x:f>
      </x:c>
      <x:c r="DP81" s="4" t="n">
        <x:f>IF(AND('Calculations'!DE81&lt;&gt;"",'Calculations'!DF81&gt;0),COUNTIF('Calculations'!$DF$12:DF81,"&gt;0"),0)</x:f>
        <x:v>0</x:v>
      </x:c>
      <x:c r="DQ81" s="4" t="str">
        <x:f>IF(70&gt;MAX('Calculations'!$HH$13:$HH$512),"",INDEX('Calculations'!$HF$13:$HF$512,MATCH(70,'Calculations'!$HH$13:$HH$512,0)))</x:f>
      </x:c>
      <x:c r="DR81" s="4" t="str">
        <x:f>IF(70&gt;MAX('Calculations'!$IK$13:$IK$512),"",INDEX('Calculations'!$HE$13:$HE$512,MATCH(70,'Calculations'!$IK$13:$IK$512,0)))</x:f>
      </x:c>
      <x:c r="DS81" s="4"/>
      <x:c r="DT81" s="4"/>
      <x:c r="DU81" s="4"/>
      <x:c r="DV81" s="4"/>
      <x:c r="DW81" s="4"/>
      <x:c r="DX81" s="4"/>
      <x:c r="DY81" s="4"/>
      <x:c r="DZ81" s="4"/>
      <x:c r="EA81" s="4"/>
      <x:c r="EB81" s="4"/>
      <x:c r="EC81" s="4"/>
      <x:c r="ED81" s="4"/>
      <x:c r="EE81" s="4" t="str">
        <x:f>IF('Calculations'!BT81=0,"Not Rated",IF(OR('Calculations'!BO81&gt;=4,'Calculations'!BP81&gt;=4),"Low",IF('Calculations'!BO81+'Calculations'!BP81&lt;=3,"High",IF('Calculations'!BO81+'Calculations'!BP81&lt;=4,"Strong","Solid"))))</x:f>
        <x:v>Not Rated</x:v>
      </x:c>
      <x:c r="EF81" s="4"/>
      <x:c r="EG81" s="4"/>
      <x:c r="EH81" s="4"/>
      <x:c r="EI81" s="4"/>
      <x:c r="EJ81" s="4"/>
      <x:c r="EK81" s="4"/>
      <x:c r="EL81" s="4"/>
      <x:c r="EM81" s="4" t="str">
        <x:f>IF(69&gt;'Calculations'!$JB$2000,"",INDEX('Calculations'!$JA$12:$JA$2000,MATCH(69,'Calculations'!$JB$12:$JB$2000,0)))</x:f>
      </x:c>
      <x:c r="EN81" s="4" t="n">
        <x:f>IF(OR('Calculations'!EM81="",'Calculations'!$AG$8&gt;0,AND('Calculations'!$EF$2&lt;&gt;"All",'Calculations'!HE81='Calculations'!$EF$2),AND('Calculations'!$EF$3&lt;&gt;"All",'Calculations'!HE81='Calculations'!$EF$3)),0,IF(OR('Dashboard'!$B$7="All",'Calculations'!HN81='Dashboard'!$B$7),IF('Calculations'!$EF$2="All",1,IF('Calculations'!HL81&gt;0,0,IF(COUNTIF('Calculations'!HO81:II81,"="&amp;SUBSTITUTE(SUBSTITUTE(SUBSTITUTE('Calculations'!$EF$2,"~","~~"),"*","~*"),"?","~?"))=0,0,IF('Calculations'!$EF$3="All",1,IF(COUNTIF('Calculations'!HO81:II81,"="&amp;SUBSTITUTE(SUBSTITUTE(SUBSTITUTE('Calculations'!$EF$3,"~","~~"),"*","~*"),"?","~?"))&gt;0,1,0))))),0))</x:f>
        <x:v>0</x:v>
      </x:c>
      <x:c r="EO81" s="4" t="str">
        <x:f>IF('Calculations'!IJ81="","",IF('Calculations'!IJ81="!UNRESOLVED","Unresolved hierarchy",IFERROR(INDEX('Calculations'!$HK$13:$HK$512,MATCH('Calculations'!IJ81,'Calculations'!$HE$13:$HE$512,0)),IFERROR(INDEX('Calculations'!$HJ$13:$HJ$512,MATCH('Calculations'!IJ81,'Calculations'!$HF$13:$HF$512,0)),'Calculations'!IJ81))))</x:f>
      </x:c>
      <x:c r="EP81" s="4" t="n">
        <x:f>IF(AND('Calculations'!EM81&lt;&gt;"",'Calculations'!HF81='Calculations'!IJ81),1,0)</x:f>
        <x:v>0</x:v>
      </x:c>
      <x:c r="EQ81" s="4"/>
      <x:c r="ER81" s="4"/>
      <x:c r="ES81" s="4"/>
      <x:c r="ET81" s="4"/>
      <x:c r="EU81" s="4"/>
      <x:c r="EV81" s="4"/>
      <x:c r="EW81" s="4"/>
      <x:c r="EX81" s="4"/>
      <x:c r="EY81" s="4"/>
      <x:c r="EZ81" s="4"/>
      <x:c r="FA81" s="4"/>
      <x:c r="FB81" s="4"/>
      <x:c r="FC81" s="4"/>
      <x:c r="FD81" s="4"/>
      <x:c r="FE81" s="4"/>
      <x:c r="FF81" s="4"/>
      <x:c r="FG81" s="4"/>
      <x:c r="FH81" s="4"/>
      <x:c r="FI81" s="4"/>
      <x:c r="FJ81" s="4"/>
      <x:c r="FK81" s="4"/>
      <x:c r="FL81" s="4"/>
      <x:c r="FM81" s="4"/>
      <x:c r="FN81" s="4"/>
      <x:c r="FO81" s="4"/>
      <x:c r="GA81" s="71"/>
      <x:c r="GB81" s="71"/>
      <x:c r="GC81" s="71"/>
      <x:c r="GD81" s="71"/>
      <x:c r="GE81" s="71"/>
      <x:c r="GF81" s="71"/>
      <x:c r="GG81" s="71"/>
      <x:c r="GH81" s="71"/>
      <x:c r="GI81" s="71"/>
      <x:c r="GJ81" s="71"/>
      <x:c r="GK81" s="71"/>
      <x:c r="GL81" s="71"/>
      <x:c r="GM81" s="71"/>
      <x:c r="GN81" s="71"/>
      <x:c r="GO81" s="71"/>
      <x:c r="GP81" s="71"/>
      <x:c r="GQ81" s="71"/>
      <x:c r="GR81" s="71" t="str">
        <x:f>'Calculations'!AF73</x:f>
        <x:v>3</x:v>
      </x:c>
      <x:c r="GS81" s="71"/>
      <x:c r="GT81" s="71" t="n">
        <x:f>'Calculations'!AG73</x:f>
        <x:v>0</x:v>
      </x:c>
      <x:c r="GU81" s="71"/>
      <x:c r="GV81" s="71" t="str">
        <x:f>IFERROR('Calculations'!AH73,"n.a.")</x:f>
        <x:v>n.a.</x:v>
      </x:c>
      <x:c r="GW81" s="71"/>
      <x:c r="GX81" s="71" t="n">
        <x:f>IFERROR('Calculations'!AI73,"—")</x:f>
        <x:v>0.65</x:v>
      </x:c>
      <x:c r="GY81" s="71"/>
      <x:c r="GZ81" s="71" t="str">
        <x:f>IF('Calculations'!AJ73="","—",'Calculations'!AJ73)</x:f>
        <x:v>—</x:v>
      </x:c>
      <x:c r="HA81" s="71"/>
      <x:c r="HB81" s="71"/>
      <x:c r="HC81" s="71"/>
      <x:c r="HD81" s="71"/>
      <x:c r="HE81" t="str">
        <x:f>IF('Calculations'!EM81="","",IF(IFERROR(IF(INDEX(INDIRECT("'WCM Calibration Final'!$A$1:$A$2000"),'Calculations'!$EM81)="","",TRIM(INDEX(INDIRECT("'WCM Calibration Final'!$A$1:$A$2000"),'Calculations'!$EM81)&amp;"")),"")&lt;&gt;"","G:"&amp;IFERROR(TEXT(1*INDEX(INDIRECT("'WCM Calibration Final'!$A$1:$A$2000"),'Calculations'!$EM81),"0"),UPPER(IFERROR(IF(INDEX(INDIRECT("'WCM Calibration Final'!$A$1:$A$2000"),'Calculations'!$EM81)="","",TRIM(INDEX(INDIRECT("'WCM Calibration Final'!$A$1:$A$2000"),'Calculations'!$EM81)&amp;"")),""))),IF(IFERROR(IF(INDEX(INDIRECT("'WCM Calibration Final'!$C$1:$C$2000"),'Calculations'!$EM81)="","",TRIM(INDEX(INDIRECT("'WCM Calibration Final'!$C$1:$C$2000"),'Calculations'!$EM81)&amp;"")),"")&lt;&gt;"","S:"&amp;UPPER(IFERROR(IF(INDEX(INDIRECT("'WCM Calibration Final'!$C$1:$C$2000"),'Calculations'!$EM81)="","",TRIM(INDEX(INDIRECT("'WCM Calibration Final'!$C$1:$C$2000"),'Calculations'!$EM81)&amp;"")),"")),"R:"&amp;'Calculations'!EM81)))</x:f>
      </x:c>
      <x:c r="HF81" t="str">
        <x:f>IF('Calculations'!EM81="","",IF(IFERROR(IF(INDEX(INDIRECT("'WCM Calibration Final'!$D$1:$D$2000"),'Calculations'!$EM81)="","",TRIM(INDEX(INDIRECT("'WCM Calibration Final'!$D$1:$D$2000"),'Calculations'!$EM81)&amp;"")),"")&lt;&gt;"","G:"&amp;IFERROR(TEXT(1*INDEX(INDIRECT("'WCM Calibration Final'!$D$1:$D$2000"),'Calculations'!$EM81),"0"),UPPER(IFERROR(IF(INDEX(INDIRECT("'WCM Calibration Final'!$D$1:$D$2000"),'Calculations'!$EM81)="","",TRIM(INDEX(INDIRECT("'WCM Calibration Final'!$D$1:$D$2000"),'Calculations'!$EM81)&amp;"")),""))),IF(IFERROR(IF(INDEX(INDIRECT("'WCM Calibration Final'!$E$1:$E$2000"),'Calculations'!$EM81)="","",TRIM(INDEX(INDIRECT("'WCM Calibration Final'!$E$1:$E$2000"),'Calculations'!$EM81)&amp;"")),"")="","",IF(COUNTIF('Calculations'!$HG$13:$HG$512,"="&amp;SUBSTITUTE(SUBSTITUTE(SUBSTITUTE(IFERROR(IF(INDEX(INDIRECT("'WCM Calibration Final'!$E$1:$E$2000"),'Calculations'!$EM81)="","",TRIM(INDEX(INDIRECT("'WCM Calibration Final'!$E$1:$E$2000"),'Calculations'!$EM81)&amp;"")),""),"~","~~"),"*","~*"),"?","~?"))=1,INDEX('Calculations'!$HE$13:$HE$512,MATCH(IFERROR(IF(INDEX(INDIRECT("'WCM Calibration Final'!$E$1:$E$2000"),'Calculations'!$EM81)="","",TRIM(INDEX(INDIRECT("'WCM Calibration Final'!$E$1:$E$2000"),'Calculations'!$EM81)&amp;"")),""),'Calculations'!$HG$13:$HG$512,0)),IF(COUNTIF('Calculations'!$HG$13:$HG$512,"="&amp;SUBSTITUTE(SUBSTITUTE(SUBSTITUTE(IFERROR(IF(INDEX(INDIRECT("'WCM Calibration Final'!$E$1:$E$2000"),'Calculations'!$EM81)="","",TRIM(INDEX(INDIRECT("'WCM Calibration Final'!$E$1:$E$2000"),'Calculations'!$EM81)&amp;"")),""),"~","~~"),"*","~*"),"?","~?"))&gt;1,"!AMBIG","X:"&amp;IFERROR(IF(INDEX(INDIRECT("'WCM Calibration Final'!$E$1:$E$2000"),'Calculations'!$EM81)="","",TRIM(INDEX(INDIRECT("'WCM Calibration Final'!$E$1:$E$2000"),'Calculations'!$EM81)&amp;"")),""))))))</x:f>
      </x:c>
      <x:c r="HG81" t="str">
        <x:f>IF('Calculations'!EM81="","",IFERROR(IF(INDEX(INDIRECT("'WCM Calibration Final'!$B$1:$B$2000"),'Calculations'!$EM81)="","",TRIM(INDEX(INDIRECT("'WCM Calibration Final'!$B$1:$B$2000"),'Calculations'!$EM81)&amp;"")),""))</x:f>
      </x:c>
      <x:c r="HH81" t="n">
        <x:f>IF(AND('Calculations'!JC81&gt;0,COUNTIF('Calculations'!$HF$12:HF81,"="&amp;SUBSTITUTE(SUBSTITUTE(SUBSTITUTE('Calculations'!HF81,"~","~~"),"*","~*"),"?","~?"))=1),MAX('Calculations'!$HH$12:HH80)+1,0)</x:f>
        <x:v>0</x:v>
      </x:c>
      <x:c r="HI81" t="n">
        <x:f>IF(AND('Calculations'!HN81&lt;&gt;"",COUNTIF('Calculations'!$HN$12:HN81,"="&amp;SUBSTITUTE(SUBSTITUTE(SUBSTITUTE('Calculations'!HN81,"~","~~"),"*","~*"),"?","~?"))=1),MAX('Calculations'!$HI$12:HI80)+1,0)</x:f>
        <x:v>0</x:v>
      </x:c>
      <x:c r="HJ81" t="str">
        <x:f>IF('Calculations'!HF81="","",IF(COUNTIF('Calculations'!$HE$13:$HE$512,"="&amp;SUBSTITUTE(SUBSTITUTE(SUBSTITUTE('Calculations'!HF81,"~","~~"),"*","~*"),"?","~?"))=1,INDEX('Calculations'!$HK$13:$HK$512,MATCH('Calculations'!HF81,'Calculations'!$HE$13:$HE$512,0)),IFERROR(IF(INDEX(INDIRECT("'WCM Calibration Final'!$E$1:$E$2000"),'Calculations'!$EM81)="","",TRIM(INDEX(INDIRECT("'WCM Calibration Final'!$E$1:$E$2000"),'Calculations'!$EM81)&amp;"")),"")&amp;" ["&amp;'Calculations'!HF81&amp;"]"))</x:f>
      </x:c>
      <x:c r="HK81" t="str">
        <x:f>IF('Calculations'!EM81="","",'Calculations'!HG81&amp;" ["&amp;'Calculations'!HE81&amp;"]")</x:f>
      </x:c>
      <x:c r="HL81" t="n">
        <x:f>IF('Calculations'!EM81="",0,IF(OR('Calculations'!II81&lt;&gt;"",COUNTIF('Calculations'!$HE$13:$HE$512,"="&amp;SUBSTITUTE(SUBSTITUTE(SUBSTITUTE('Calculations'!HE81,"~","~~"),"*","~*"),"?","~?"))&gt;1),1,0))</x:f>
        <x:v>0</x:v>
      </x:c>
      <x:c r="HM81" t="str">
        <x:f>IF('Calculations'!EM81="","",IF('Calculations'!HL81=1,"!UNRESOLVED",IF('Calculations'!IH81&lt;&gt;"",'Calculations'!IH81,IF('Calculations'!IG81&lt;&gt;"",'Calculations'!IG81,IF('Calculations'!IF81&lt;&gt;"",'Calculations'!IF81,IF('Calculations'!IE81&lt;&gt;"",'Calculations'!IE81,IF('Calculations'!ID81&lt;&gt;"",'Calculations'!ID81,IF('Calculations'!IC81&lt;&gt;"",'Calculations'!IC81,IF('Calculations'!IB81&lt;&gt;"",'Calculations'!IB81,IF('Calculations'!IA81&lt;&gt;"",'Calculations'!IA81,IF('Calculations'!HZ81&lt;&gt;"",'Calculations'!HZ81,IF('Calculations'!HY81&lt;&gt;"",'Calculations'!HY81,IF('Calculations'!HX81&lt;&gt;"",'Calculations'!HX81,IF('Calculations'!HW81&lt;&gt;"",'Calculations'!HW81,IF('Calculations'!HV81&lt;&gt;"",'Calculations'!HV81,IF('Calculations'!HU81&lt;&gt;"",'Calculations'!HU81,IF('Calculations'!HT81&lt;&gt;"",'Calculations'!HT81,IF('Calculations'!HS81&lt;&gt;"",'Calculations'!HS81,IF('Calculations'!HR81&lt;&gt;"",'Calculations'!HR81,IF('Calculations'!HQ81&lt;&gt;"",'Calculations'!HQ81,IF('Calculations'!HP81&lt;&gt;"",'Calculations'!HP81,IF('Calculations'!HO81&lt;&gt;"",'Calculations'!HO81,'Calculations'!HE81))))))))))))))))))))))</x:f>
      </x:c>
      <x:c r="HN81" t="str">
        <x:f>IF('Calculations'!EM81="","",IF(IFERROR(IF(INDEX(INDIRECT("'WCM Calibration Final'!$F$1:$F$2000"),'Calculations'!$EM81)="","",TRIM(INDEX(INDIRECT("'WCM Calibration Final'!$F$1:$F$2000"),'Calculations'!$EM81)&amp;"")),"")="","(Blank)",IFERROR(IF(INDEX(INDIRECT("'WCM Calibration Final'!$F$1:$F$2000"),'Calculations'!$EM81)="","",TRIM(INDEX(INDIRECT("'WCM Calibration Final'!$F$1:$F$2000"),'Calculations'!$EM81)&amp;"")),"")))</x:f>
      </x:c>
      <x:c r="HO81" t="str">
        <x:f>'Calculations'!HF81</x:f>
      </x:c>
      <x:c r="HP81" t="str">
        <x:f>IF('Calculations'!HO81="","",IF('Calculations'!HO81="!AMBIG","!AMBIG",IF(COUNTIF('Calculations'!$HE$13:$HE$512,"="&amp;SUBSTITUTE(SUBSTITUTE(SUBSTITUTE('Calculations'!HO81,"~","~~"),"*","~*"),"?","~?"))&gt;1,"!AMBIG",IFERROR(INDEX('Calculations'!$HF$13:$HF$512,MATCH('Calculations'!HO81,'Calculations'!$HE$13:$HE$512,0)),""))))</x:f>
      </x:c>
      <x:c r="HQ81" t="str">
        <x:f>IF('Calculations'!HP81="","",IF('Calculations'!HP81="!AMBIG","!AMBIG",IF(COUNTIF('Calculations'!$HE$13:$HE$512,"="&amp;SUBSTITUTE(SUBSTITUTE(SUBSTITUTE('Calculations'!HP81,"~","~~"),"*","~*"),"?","~?"))&gt;1,"!AMBIG",IFERROR(INDEX('Calculations'!$HF$13:$HF$512,MATCH('Calculations'!HP81,'Calculations'!$HE$13:$HE$512,0)),""))))</x:f>
      </x:c>
      <x:c r="HR81" t="str">
        <x:f>IF('Calculations'!HQ81="","",IF('Calculations'!HQ81="!AMBIG","!AMBIG",IF(COUNTIF('Calculations'!$HE$13:$HE$512,"="&amp;SUBSTITUTE(SUBSTITUTE(SUBSTITUTE('Calculations'!HQ81,"~","~~"),"*","~*"),"?","~?"))&gt;1,"!AMBIG",IFERROR(INDEX('Calculations'!$HF$13:$HF$512,MATCH('Calculations'!HQ81,'Calculations'!$HE$13:$HE$512,0)),""))))</x:f>
      </x:c>
      <x:c r="HS81" t="str">
        <x:f>IF('Calculations'!HR81="","",IF('Calculations'!HR81="!AMBIG","!AMBIG",IF(COUNTIF('Calculations'!$HE$13:$HE$512,"="&amp;SUBSTITUTE(SUBSTITUTE(SUBSTITUTE('Calculations'!HR81,"~","~~"),"*","~*"),"?","~?"))&gt;1,"!AMBIG",IFERROR(INDEX('Calculations'!$HF$13:$HF$512,MATCH('Calculations'!HR81,'Calculations'!$HE$13:$HE$512,0)),""))))</x:f>
      </x:c>
      <x:c r="HT81" t="str">
        <x:f>IF('Calculations'!HS81="","",IF('Calculations'!HS81="!AMBIG","!AMBIG",IF(COUNTIF('Calculations'!$HE$13:$HE$512,"="&amp;SUBSTITUTE(SUBSTITUTE(SUBSTITUTE('Calculations'!HS81,"~","~~"),"*","~*"),"?","~?"))&gt;1,"!AMBIG",IFERROR(INDEX('Calculations'!$HF$13:$HF$512,MATCH('Calculations'!HS81,'Calculations'!$HE$13:$HE$512,0)),""))))</x:f>
      </x:c>
      <x:c r="HU81" t="str">
        <x:f>IF('Calculations'!HT81="","",IF('Calculations'!HT81="!AMBIG","!AMBIG",IF(COUNTIF('Calculations'!$HE$13:$HE$512,"="&amp;SUBSTITUTE(SUBSTITUTE(SUBSTITUTE('Calculations'!HT81,"~","~~"),"*","~*"),"?","~?"))&gt;1,"!AMBIG",IFERROR(INDEX('Calculations'!$HF$13:$HF$512,MATCH('Calculations'!HT81,'Calculations'!$HE$13:$HE$512,0)),""))))</x:f>
      </x:c>
      <x:c r="HV81" t="str">
        <x:f>IF('Calculations'!HU81="","",IF('Calculations'!HU81="!AMBIG","!AMBIG",IF(COUNTIF('Calculations'!$HE$13:$HE$512,"="&amp;SUBSTITUTE(SUBSTITUTE(SUBSTITUTE('Calculations'!HU81,"~","~~"),"*","~*"),"?","~?"))&gt;1,"!AMBIG",IFERROR(INDEX('Calculations'!$HF$13:$HF$512,MATCH('Calculations'!HU81,'Calculations'!$HE$13:$HE$512,0)),""))))</x:f>
      </x:c>
      <x:c r="HW81" t="str">
        <x:f>IF('Calculations'!HV81="","",IF('Calculations'!HV81="!AMBIG","!AMBIG",IF(COUNTIF('Calculations'!$HE$13:$HE$512,"="&amp;SUBSTITUTE(SUBSTITUTE(SUBSTITUTE('Calculations'!HV81,"~","~~"),"*","~*"),"?","~?"))&gt;1,"!AMBIG",IFERROR(INDEX('Calculations'!$HF$13:$HF$512,MATCH('Calculations'!HV81,'Calculations'!$HE$13:$HE$512,0)),""))))</x:f>
      </x:c>
      <x:c r="HX81" t="str">
        <x:f>IF('Calculations'!HW81="","",IF('Calculations'!HW81="!AMBIG","!AMBIG",IF(COUNTIF('Calculations'!$HE$13:$HE$512,"="&amp;SUBSTITUTE(SUBSTITUTE(SUBSTITUTE('Calculations'!HW81,"~","~~"),"*","~*"),"?","~?"))&gt;1,"!AMBIG",IFERROR(INDEX('Calculations'!$HF$13:$HF$512,MATCH('Calculations'!HW81,'Calculations'!$HE$13:$HE$512,0)),""))))</x:f>
      </x:c>
      <x:c r="HY81" t="str">
        <x:f>IF('Calculations'!HX81="","",IF('Calculations'!HX81="!AMBIG","!AMBIG",IF(COUNTIF('Calculations'!$HE$13:$HE$512,"="&amp;SUBSTITUTE(SUBSTITUTE(SUBSTITUTE('Calculations'!HX81,"~","~~"),"*","~*"),"?","~?"))&gt;1,"!AMBIG",IFERROR(INDEX('Calculations'!$HF$13:$HF$512,MATCH('Calculations'!HX81,'Calculations'!$HE$13:$HE$512,0)),""))))</x:f>
      </x:c>
      <x:c r="HZ81" t="str">
        <x:f>IF('Calculations'!HY81="","",IF('Calculations'!HY81="!AMBIG","!AMBIG",IF(COUNTIF('Calculations'!$HE$13:$HE$512,"="&amp;SUBSTITUTE(SUBSTITUTE(SUBSTITUTE('Calculations'!HY81,"~","~~"),"*","~*"),"?","~?"))&gt;1,"!AMBIG",IFERROR(INDEX('Calculations'!$HF$13:$HF$512,MATCH('Calculations'!HY81,'Calculations'!$HE$13:$HE$512,0)),""))))</x:f>
      </x:c>
      <x:c r="IA81" t="str">
        <x:f>IF('Calculations'!HZ81="","",IF('Calculations'!HZ81="!AMBIG","!AMBIG",IF(COUNTIF('Calculations'!$HE$13:$HE$512,"="&amp;SUBSTITUTE(SUBSTITUTE(SUBSTITUTE('Calculations'!HZ81,"~","~~"),"*","~*"),"?","~?"))&gt;1,"!AMBIG",IFERROR(INDEX('Calculations'!$HF$13:$HF$512,MATCH('Calculations'!HZ81,'Calculations'!$HE$13:$HE$512,0)),""))))</x:f>
      </x:c>
      <x:c r="IB81" t="str">
        <x:f>IF('Calculations'!IA81="","",IF('Calculations'!IA81="!AMBIG","!AMBIG",IF(COUNTIF('Calculations'!$HE$13:$HE$512,"="&amp;SUBSTITUTE(SUBSTITUTE(SUBSTITUTE('Calculations'!IA81,"~","~~"),"*","~*"),"?","~?"))&gt;1,"!AMBIG",IFERROR(INDEX('Calculations'!$HF$13:$HF$512,MATCH('Calculations'!IA81,'Calculations'!$HE$13:$HE$512,0)),""))))</x:f>
      </x:c>
      <x:c r="IC81" t="str">
        <x:f>IF('Calculations'!IB81="","",IF('Calculations'!IB81="!AMBIG","!AMBIG",IF(COUNTIF('Calculations'!$HE$13:$HE$512,"="&amp;SUBSTITUTE(SUBSTITUTE(SUBSTITUTE('Calculations'!IB81,"~","~~"),"*","~*"),"?","~?"))&gt;1,"!AMBIG",IFERROR(INDEX('Calculations'!$HF$13:$HF$512,MATCH('Calculations'!IB81,'Calculations'!$HE$13:$HE$512,0)),""))))</x:f>
      </x:c>
      <x:c r="ID81" t="str">
        <x:f>IF('Calculations'!IC81="","",IF('Calculations'!IC81="!AMBIG","!AMBIG",IF(COUNTIF('Calculations'!$HE$13:$HE$512,"="&amp;SUBSTITUTE(SUBSTITUTE(SUBSTITUTE('Calculations'!IC81,"~","~~"),"*","~*"),"?","~?"))&gt;1,"!AMBIG",IFERROR(INDEX('Calculations'!$HF$13:$HF$512,MATCH('Calculations'!IC81,'Calculations'!$HE$13:$HE$512,0)),""))))</x:f>
      </x:c>
      <x:c r="IE81" t="str">
        <x:f>IF('Calculations'!ID81="","",IF('Calculations'!ID81="!AMBIG","!AMBIG",IF(COUNTIF('Calculations'!$HE$13:$HE$512,"="&amp;SUBSTITUTE(SUBSTITUTE(SUBSTITUTE('Calculations'!ID81,"~","~~"),"*","~*"),"?","~?"))&gt;1,"!AMBIG",IFERROR(INDEX('Calculations'!$HF$13:$HF$512,MATCH('Calculations'!ID81,'Calculations'!$HE$13:$HE$512,0)),""))))</x:f>
      </x:c>
      <x:c r="IF81" t="str">
        <x:f>IF('Calculations'!IE81="","",IF('Calculations'!IE81="!AMBIG","!AMBIG",IF(COUNTIF('Calculations'!$HE$13:$HE$512,"="&amp;SUBSTITUTE(SUBSTITUTE(SUBSTITUTE('Calculations'!IE81,"~","~~"),"*","~*"),"?","~?"))&gt;1,"!AMBIG",IFERROR(INDEX('Calculations'!$HF$13:$HF$512,MATCH('Calculations'!IE81,'Calculations'!$HE$13:$HE$512,0)),""))))</x:f>
      </x:c>
      <x:c r="IG81" t="str">
        <x:f>IF('Calculations'!IF81="","",IF('Calculations'!IF81="!AMBIG","!AMBIG",IF(COUNTIF('Calculations'!$HE$13:$HE$512,"="&amp;SUBSTITUTE(SUBSTITUTE(SUBSTITUTE('Calculations'!IF81,"~","~~"),"*","~*"),"?","~?"))&gt;1,"!AMBIG",IFERROR(INDEX('Calculations'!$HF$13:$HF$512,MATCH('Calculations'!IF81,'Calculations'!$HE$13:$HE$512,0)),""))))</x:f>
      </x:c>
      <x:c r="IH81" t="str">
        <x:f>IF('Calculations'!IG81="","",IF('Calculations'!IG81="!AMBIG","!AMBIG",IF(COUNTIF('Calculations'!$HE$13:$HE$512,"="&amp;SUBSTITUTE(SUBSTITUTE(SUBSTITUTE('Calculations'!IG81,"~","~~"),"*","~*"),"?","~?"))&gt;1,"!AMBIG",IFERROR(INDEX('Calculations'!$HF$13:$HF$512,MATCH('Calculations'!IG81,'Calculations'!$HE$13:$HE$512,0)),""))))</x:f>
      </x:c>
      <x:c r="II81" t="str">
        <x:f>IF('Calculations'!IH81="","",IF('Calculations'!IH81="!AMBIG","!AMBIG",IF(COUNTIF('Calculations'!$HE$13:$HE$512,"="&amp;SUBSTITUTE(SUBSTITUTE(SUBSTITUTE('Calculations'!IH81,"~","~~"),"*","~*"),"?","~?"))&gt;1,"!AMBIG",IFERROR(INDEX('Calculations'!$HF$13:$HF$512,MATCH('Calculations'!IH81,'Calculations'!$HE$13:$HE$512,0)),""))))</x:f>
      </x:c>
      <x:c r="IJ81" t="str">
        <x:f>IF('Calculations'!EM81="","",IF('Calculations'!$EF$2="All",'Calculations'!HM81,IF('Calculations'!HL81=1,"",IFERROR(IF(MATCH('Calculations'!$EF$2,'Calculations'!HO81:II81,0)=1,'Calculations'!HE81,INDEX('Calculations'!HO81:II81,1,MATCH('Calculations'!$EF$2,'Calculations'!HO81:II81,0)-1)),""))))</x:f>
      </x:c>
      <x:c r="IK81" t="n">
        <x:f>IF(AND('Calculations'!EM81&lt;&gt;"",'Calculations'!$EF$2&lt;&gt;"All",'Calculations'!HF81='Calculations'!$EF$2,'Calculations'!HL81=0,'Calculations'!JD81&gt;0),MAX('Calculations'!$IK$12:IK80)+1,0)</x:f>
        <x:v>0</x:v>
      </x:c>
      <x:c r="JA81" t="n">
        <x:f>IF(OR(IFERROR(INDIRECT("'WCM Calibration Final'!$A$81")&lt;&gt;"",FALSE),IFERROR(INDIRECT("'WCM Calibration Final'!$B$81")&lt;&gt;"",FALSE),IFERROR(INDIRECT("'WCM Calibration Final'!$C$81")&lt;&gt;"",FALSE)),81,0)</x:f>
        <x:v>0</x:v>
      </x:c>
      <x:c r="JB81" t="n">
        <x:f>'Calculations'!JB80+IF('Calculations'!JA81&gt;0,1,0)</x:f>
        <x:v>0</x:v>
      </x:c>
      <x:c r="JC81" t="n">
        <x:f>IF(OR('Calculations'!HF81="",'Calculations'!HF81="!AMBIG"),0,IF('Dashboard'!$B$7="All",1,COUNTIFS('Calculations'!$HO$13:$HO$512,"="&amp;SUBSTITUTE(SUBSTITUTE(SUBSTITUTE('Calculations'!HF81,"~","~~"),"*","~*"),"?","~?"),'Calculations'!$HN$13:$HN$512,"="&amp;SUBSTITUTE(SUBSTITUTE(SUBSTITUTE('Dashboard'!$B$7,"~","~~"),"*","~*"),"?","~?"))+COUNTIFS('Calculations'!$HP$13:$HP$512,"="&amp;SUBSTITUTE(SUBSTITUTE(SUBSTITUTE('Calculations'!HF81,"~","~~"),"*","~*"),"?","~?"),'Calculations'!$HN$13:$HN$512,"="&amp;SUBSTITUTE(SUBSTITUTE(SUBSTITUTE('Dashboard'!$B$7,"~","~~"),"*","~*"),"?","~?"))+COUNTIFS('Calculations'!$HQ$13:$HQ$512,"="&amp;SUBSTITUTE(SUBSTITUTE(SUBSTITUTE('Calculations'!HF81,"~","~~"),"*","~*"),"?","~?"),'Calculations'!$HN$13:$HN$512,"="&amp;SUBSTITUTE(SUBSTITUTE(SUBSTITUTE('Dashboard'!$B$7,"~","~~"),"*","~*"),"?","~?"))+COUNTIFS('Calculations'!$HR$13:$HR$512,"="&amp;SUBSTITUTE(SUBSTITUTE(SUBSTITUTE('Calculations'!HF81,"~","~~"),"*","~*"),"?","~?"),'Calculations'!$HN$13:$HN$512,"="&amp;SUBSTITUTE(SUBSTITUTE(SUBSTITUTE('Dashboard'!$B$7,"~","~~"),"*","~*"),"?","~?"))+COUNTIFS('Calculations'!$HS$13:$HS$512,"="&amp;SUBSTITUTE(SUBSTITUTE(SUBSTITUTE('Calculations'!HF81,"~","~~"),"*","~*"),"?","~?"),'Calculations'!$HN$13:$HN$512,"="&amp;SUBSTITUTE(SUBSTITUTE(SUBSTITUTE('Dashboard'!$B$7,"~","~~"),"*","~*"),"?","~?"))+COUNTIFS('Calculations'!$HT$13:$HT$512,"="&amp;SUBSTITUTE(SUBSTITUTE(SUBSTITUTE('Calculations'!HF81,"~","~~"),"*","~*"),"?","~?"),'Calculations'!$HN$13:$HN$512,"="&amp;SUBSTITUTE(SUBSTITUTE(SUBSTITUTE('Dashboard'!$B$7,"~","~~"),"*","~*"),"?","~?"))+COUNTIFS('Calculations'!$HU$13:$HU$512,"="&amp;SUBSTITUTE(SUBSTITUTE(SUBSTITUTE('Calculations'!HF81,"~","~~"),"*","~*"),"?","~?"),'Calculations'!$HN$13:$HN$512,"="&amp;SUBSTITUTE(SUBSTITUTE(SUBSTITUTE('Dashboard'!$B$7,"~","~~"),"*","~*"),"?","~?"))+COUNTIFS('Calculations'!$HV$13:$HV$512,"="&amp;SUBSTITUTE(SUBSTITUTE(SUBSTITUTE('Calculations'!HF81,"~","~~"),"*","~*"),"?","~?"),'Calculations'!$HN$13:$HN$512,"="&amp;SUBSTITUTE(SUBSTITUTE(SUBSTITUTE('Dashboard'!$B$7,"~","~~"),"*","~*"),"?","~?"))+COUNTIFS('Calculations'!$HW$13:$HW$512,"="&amp;SUBSTITUTE(SUBSTITUTE(SUBSTITUTE('Calculations'!HF81,"~","~~"),"*","~*"),"?","~?"),'Calculations'!$HN$13:$HN$512,"="&amp;SUBSTITUTE(SUBSTITUTE(SUBSTITUTE('Dashboard'!$B$7,"~","~~"),"*","~*"),"?","~?"))+COUNTIFS('Calculations'!$HX$13:$HX$512,"="&amp;SUBSTITUTE(SUBSTITUTE(SUBSTITUTE('Calculations'!HF81,"~","~~"),"*","~*"),"?","~?"),'Calculations'!$HN$13:$HN$512,"="&amp;SUBSTITUTE(SUBSTITUTE(SUBSTITUTE('Dashboard'!$B$7,"~","~~"),"*","~*"),"?","~?"))+COUNTIFS('Calculations'!$HY$13:$HY$512,"="&amp;SUBSTITUTE(SUBSTITUTE(SUBSTITUTE('Calculations'!HF81,"~","~~"),"*","~*"),"?","~?"),'Calculations'!$HN$13:$HN$512,"="&amp;SUBSTITUTE(SUBSTITUTE(SUBSTITUTE('Dashboard'!$B$7,"~","~~"),"*","~*"),"?","~?"))+COUNTIFS('Calculations'!$HZ$13:$HZ$512,"="&amp;SUBSTITUTE(SUBSTITUTE(SUBSTITUTE('Calculations'!HF81,"~","~~"),"*","~*"),"?","~?"),'Calculations'!$HN$13:$HN$512,"="&amp;SUBSTITUTE(SUBSTITUTE(SUBSTITUTE('Dashboard'!$B$7,"~","~~"),"*","~*"),"?","~?"))+COUNTIFS('Calculations'!$IA$13:$IA$512,"="&amp;SUBSTITUTE(SUBSTITUTE(SUBSTITUTE('Calculations'!HF81,"~","~~"),"*","~*"),"?","~?"),'Calculations'!$HN$13:$HN$512,"="&amp;SUBSTITUTE(SUBSTITUTE(SUBSTITUTE('Dashboard'!$B$7,"~","~~"),"*","~*"),"?","~?"))+COUNTIFS('Calculations'!$IB$13:$IB$512,"="&amp;SUBSTITUTE(SUBSTITUTE(SUBSTITUTE('Calculations'!HF81,"~","~~"),"*","~*"),"?","~?"),'Calculations'!$HN$13:$HN$512,"="&amp;SUBSTITUTE(SUBSTITUTE(SUBSTITUTE('Dashboard'!$B$7,"~","~~"),"*","~*"),"?","~?"))+COUNTIFS('Calculations'!$IC$13:$IC$512,"="&amp;SUBSTITUTE(SUBSTITUTE(SUBSTITUTE('Calculations'!HF81,"~","~~"),"*","~*"),"?","~?"),'Calculations'!$HN$13:$HN$512,"="&amp;SUBSTITUTE(SUBSTITUTE(SUBSTITUTE('Dashboard'!$B$7,"~","~~"),"*","~*"),"?","~?"))+COUNTIFS('Calculations'!$ID$13:$ID$512,"="&amp;SUBSTITUTE(SUBSTITUTE(SUBSTITUTE('Calculations'!HF81,"~","~~"),"*","~*"),"?","~?"),'Calculations'!$HN$13:$HN$512,"="&amp;SUBSTITUTE(SUBSTITUTE(SUBSTITUTE('Dashboard'!$B$7,"~","~~"),"*","~*"),"?","~?"))+COUNTIFS('Calculations'!$IE$13:$IE$512,"="&amp;SUBSTITUTE(SUBSTITUTE(SUBSTITUTE('Calculations'!HF81,"~","~~"),"*","~*"),"?","~?"),'Calculations'!$HN$13:$HN$512,"="&amp;SUBSTITUTE(SUBSTITUTE(SUBSTITUTE('Dashboard'!$B$7,"~","~~"),"*","~*"),"?","~?"))+COUNTIFS('Calculations'!$IF$13:$IF$512,"="&amp;SUBSTITUTE(SUBSTITUTE(SUBSTITUTE('Calculations'!HF81,"~","~~"),"*","~*"),"?","~?"),'Calculations'!$HN$13:$HN$512,"="&amp;SUBSTITUTE(SUBSTITUTE(SUBSTITUTE('Dashboard'!$B$7,"~","~~"),"*","~*"),"?","~?"))+COUNTIFS('Calculations'!$IG$13:$IG$512,"="&amp;SUBSTITUTE(SUBSTITUTE(SUBSTITUTE('Calculations'!HF81,"~","~~"),"*","~*"),"?","~?"),'Calculations'!$HN$13:$HN$512,"="&amp;SUBSTITUTE(SUBSTITUTE(SUBSTITUTE('Dashboard'!$B$7,"~","~~"),"*","~*"),"?","~?"))+COUNTIFS('Calculations'!$IH$13:$IH$512,"="&amp;SUBSTITUTE(SUBSTITUTE(SUBSTITUTE('Calculations'!HF81,"~","~~"),"*","~*"),"?","~?"),'Calculations'!$HN$13:$HN$512,"="&amp;SUBSTITUTE(SUBSTITUTE(SUBSTITUTE('Dashboard'!$B$7,"~","~~"),"*","~*"),"?","~?"))))</x:f>
        <x:v>0</x:v>
      </x:c>
      <x:c r="JD81" t="n">
        <x:f>IF('Calculations'!EM81="",0,IF('Dashboard'!$B$7="All",1,IF('Calculations'!HN81='Dashboard'!$B$7,1,0)+IFERROR(INDEX('Calculations'!$JC$13:$JC$512,MATCH('Calculations'!HE81,'Calculations'!$HF$13:$HF$512,0)),0)))</x:f>
        <x:v>0</x:v>
      </x:c>
      <x:c r="JE81" t="n">
        <x:f>IF(AND('Calculations'!EM81&lt;&gt;"",'Calculations'!$JJ$2&lt;&gt;"All",'Calculations'!$JJ$2&lt;&gt;"",'Calculations'!HF81='Calculations'!$JJ$2,'Calculations'!HL81=0,'Calculations'!JD81&gt;0),MAX('Calculations'!$JE$12:JE80)+1,0)</x:f>
        <x:v>0</x:v>
      </x:c>
      <x:c r="JF81" t="str">
        <x:f>IF('Calculations'!EM81="","",IFERROR(IF(INDEX(INDIRECT("'WCM Calibration Final'!$G$1:$G$2000"),'Calculations'!$EM81)="","",TRIM(INDEX(INDIRECT("'WCM Calibration Final'!$G$1:$G$2000"),'Calculations'!$EM81)&amp;"")),""))</x:f>
      </x:c>
      <x:c r="JQ81" t="n">
        <x:f>IF(OR('Calculations'!BM81=0,NOT('Calculations'!$AG$2),'Calculations'!$AG$8&gt;0),0,IF(OR('Dashboard'!$B$7="All",'Calculations'!HN81='Dashboard'!$B$7),IF('Calculations'!$JJ$2="All",1,IF(AND('Calculations'!HF81='Calculations'!$JJ$2,'Calculations'!HL81=0),1,0)),0))</x:f>
        <x:v>0</x:v>
      </x:c>
    </x:row>
    <x:row r="82">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t="n">
        <x:f>IF('Calculations'!$EM82="",0,IF(OR(IFERROR(INDEX(INDIRECT("'WCM Calibration Final'!$A$1:$A$2000"),'Calculations'!$EM82)&lt;&gt;"",FALSE),IFERROR(INDEX(INDIRECT("'WCM Calibration Final'!$B$1:$B$2000"),'Calculations'!$EM82)&lt;&gt;"",FALSE),IFERROR(INDEX(INDIRECT("'WCM Calibration Final'!$C$1:$C$2000"),'Calculations'!$EM82)&lt;&gt;"",FALSE)),1,0))</x:f>
        <x:v>0</x:v>
      </x:c>
      <x:c r="BN82" s="4" t="n">
        <x:f>IF(AND('Calculations'!BM82=1,'Calculations'!$AG$2,'Calculations'!$EN82=1),1,0)</x:f>
        <x:v>0</x:v>
      </x:c>
      <x:c r="BO82" s="4" t="str">
        <x:f>IF('Calculations'!BM82=0,"",IFERROR(IF(AND(VALUE(INDEX(INDIRECT("'WCM Calibration Final'!$K$1:$K$2000"),'Calculations'!$EM82))&gt;=1,VALUE(INDEX(INDIRECT("'WCM Calibration Final'!$K$1:$K$2000"),'Calculations'!$EM82))&lt;=4,MOD(VALUE(INDEX(INDIRECT("'WCM Calibration Final'!$K$1:$K$2000"),'Calculations'!$EM82)),1)=0),VALUE(INDEX(INDIRECT("'WCM Calibration Final'!$K$1:$K$2000"),'Calculations'!$EM82)),""),""))</x:f>
      </x:c>
      <x:c r="BP82" s="4" t="str">
        <x:f>IF('Calculations'!BM82=0,"",IFERROR(IF(AND(VALUE(INDEX(INDIRECT("'WCM Calibration Final'!$L$1:$L$2000"),'Calculations'!$EM82))&gt;=1,VALUE(INDEX(INDIRECT("'WCM Calibration Final'!$L$1:$L$2000"),'Calculations'!$EM82))&lt;=4,MOD(VALUE(INDEX(INDIRECT("'WCM Calibration Final'!$L$1:$L$2000"),'Calculations'!$EM82)),1)=0),VALUE(INDEX(INDIRECT("'WCM Calibration Final'!$L$1:$L$2000"),'Calculations'!$EM82)),""),""))</x:f>
      </x:c>
      <x:c r="BQ82" s="4"/>
      <x:c r="BR82" s="4"/>
      <x:c r="BS82" s="4"/>
      <x:c r="BT82" s="4" t="n">
        <x:f>IF(AND('Calculations'!BM82=1,ISNUMBER('Calculations'!BO82),ISNUMBER('Calculations'!BP82)),1,0)</x:f>
        <x:v>0</x:v>
      </x:c>
      <x:c r="BU82" s="4" t="str">
        <x:f>IF('Calculations'!BM82=0,"",'Calculations'!$EO82)</x:f>
      </x:c>
      <x:c r="BV82" s="4" t="str">
        <x:f>IF('Calculations'!BM82=0,"",IFERROR(IF(OR(INDEX(INDIRECT("'WCM Calibration Final'!$H$1:$H$2000"),'Calculations'!$EM82)="MANAGING DIRECTOR",INDEX(INDIRECT("'WCM Calibration Final'!$H$1:$H$2000"),'Calculations'!$EM82)="DIRECTOR",INDEX(INDIRECT("'WCM Calibration Final'!$H$1:$H$2000"),'Calculations'!$EM82)="SENIOR VICE PRESIDENT",INDEX(INDIRECT("'WCM Calibration Final'!$H$1:$H$2000"),'Calculations'!$EM82)="VICE PRESIDENT",INDEX(INDIRECT("'WCM Calibration Final'!$H$1:$H$2000"),'Calculations'!$EM82)="ASSISTANT VICE PRESIDENT",INDEX(INDIRECT("'WCM Calibration Final'!$H$1:$H$2000"),'Calculations'!$EM82)="OFFICER"),UPPER(INDEX(INDIRECT("'WCM Calibration Final'!$H$1:$H$2000"),'Calculations'!$EM82)),"Other"),"Other"))</x:f>
      </x:c>
      <x:c r="BW82" s="4"/>
      <x:c r="BX82" s="4"/>
      <x:c r="BY82" s="4" t="n">
        <x:f>IF(AND('Calculations'!BM82=1,'Calculations'!BU82&lt;&gt;"",COUNTIF('Calculations'!$BU$12:BU82,'Calculations'!BU82)=1),MAX('Calculations'!$BY$11:BY81)+1,0)</x:f>
        <x:v>0</x:v>
      </x:c>
      <x:c r="BZ82" s="4" t="str">
        <x:f>IF('Dashboard'!$E$67="What",'Calculations'!BO82,'Calculations'!BP82)</x:f>
      </x:c>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t="str">
        <x:f>IF(71&gt;MAX('Calculations'!$HI$13:$HI$512),"",INDEX('Calculations'!$HN$13:$HN$512,MATCH(71,'Calculations'!$HI$13:$HI$512,0)))</x:f>
      </x:c>
      <x:c r="DB82" s="4" t="str">
        <x:f>IF(71&gt;MAX('Calculations'!$HH$13:$HH$512),"",INDEX('Calculations'!$HJ$13:$HJ$512,MATCH(71,'Calculations'!$HH$13:$HH$512,0)))</x:f>
      </x:c>
      <x:c r="DC82" s="4" t="str">
        <x:f>IF(ROW()-11&gt;MAX('Calculations'!$BY$13:$BY$512),"",INDEX('Calculations'!$BU$13:$BU$512,MATCH(ROW()-11,'Calculations'!$BY$13:$BY$512,0)))</x:f>
      </x:c>
      <x:c r="DD82" s="4" t="str">
        <x:f>IF(71&gt;MAX('Calculations'!$IK$13:$IK$512),"",INDEX('Calculations'!$HK$13:$HK$512,MATCH(71,'Calculations'!$IK$13:$IK$512,0)))</x:f>
      </x:c>
      <x:c r="DE82" s="4" t="str">
        <x:f>'Calculations'!DC82</x:f>
      </x:c>
      <x:c r="DF82" s="4" t="str">
        <x:f>IF('Calculations'!DE82="","",COUNTIFS('Calculations'!$BN$13:$BN$512,1,'Calculations'!$BU$13:$BU$512,'Calculations'!DE82))</x:f>
      </x:c>
      <x:c r="DG82" s="4" t="str">
        <x:f>IF('Calculations'!DE82="","",COUNTIFS('Calculations'!$BN$13:$BN$512,1,'Calculations'!$BU$13:$BU$512,'Calculations'!DE82,'Calculations'!$BT$13:$BT$512,1))</x:f>
      </x:c>
      <x:c r="DH82" s="4" t="str">
        <x:f>IF('Calculations'!DE82="","",'Calculations'!DF82-'Calculations'!DG82)</x:f>
      </x:c>
      <x:c r="DI82" s="4" t="str">
        <x:f>IF(OR('Calculations'!DE82="",'Calculations'!DF82=0),"",'Calculations'!DG82/'Calculations'!DF82)</x:f>
      </x:c>
      <x:c r="DJ82" s="4" t="str">
        <x:f>IF('Calculations'!DE82="","",COUNTIFS('Calculations'!$BN$13:$BN$512,1,'Calculations'!$BU$13:$BU$512,'Calculations'!DE82,'Calculations'!$BT$13:$BT$512,1,'Calculations'!$EE$13:$EE$512,"High"))</x:f>
      </x:c>
      <x:c r="DK82" s="4" t="str">
        <x:f>IF('Calculations'!DE82="","",COUNTIFS('Calculations'!$BN$13:$BN$512,1,'Calculations'!$BU$13:$BU$512,'Calculations'!DE82,'Calculations'!$BT$13:$BT$512,1,'Calculations'!$EE$13:$EE$512,"Strong"))</x:f>
      </x:c>
      <x:c r="DL82" s="4" t="str">
        <x:f>IF('Calculations'!DE82="","",COUNTIFS('Calculations'!$BN$13:$BN$512,1,'Calculations'!$BU$13:$BU$512,'Calculations'!DE82,'Calculations'!$BT$13:$BT$512,1,'Calculations'!$EE$13:$EE$512,"Solid"))</x:f>
      </x:c>
      <x:c r="DM82" s="4" t="str">
        <x:f>IF('Calculations'!DE82="","",COUNTIFS('Calculations'!$BN$13:$BN$512,1,'Calculations'!$BU$13:$BU$512,'Calculations'!DE82,'Calculations'!$BT$13:$BT$512,1,'Calculations'!$EE$13:$EE$512,"Low"))</x:f>
      </x:c>
      <x:c r="DN82" s="4" t="str">
        <x:f>IF('Calculations'!DE82="","",COUNTIFS('Calculations'!$BN$13:$BN$512,1,'Calculations'!$BU$13:$BU$512,'Calculations'!DE82,'Calculations'!$EP$13:$EP$512,1))</x:f>
      </x:c>
      <x:c r="DO82" s="4" t="str">
        <x:f>IF(OR('Calculations'!DE82="",'Calculations'!DG82=0),"",('Calculations'!DJ82+'Calculations'!DK82)/'Calculations'!DG82)</x:f>
      </x:c>
      <x:c r="DP82" s="4" t="n">
        <x:f>IF(AND('Calculations'!DE82&lt;&gt;"",'Calculations'!DF82&gt;0),COUNTIF('Calculations'!$DF$12:DF82,"&gt;0"),0)</x:f>
        <x:v>0</x:v>
      </x:c>
      <x:c r="DQ82" s="4" t="str">
        <x:f>IF(71&gt;MAX('Calculations'!$HH$13:$HH$512),"",INDEX('Calculations'!$HF$13:$HF$512,MATCH(71,'Calculations'!$HH$13:$HH$512,0)))</x:f>
      </x:c>
      <x:c r="DR82" s="4" t="str">
        <x:f>IF(71&gt;MAX('Calculations'!$IK$13:$IK$512),"",INDEX('Calculations'!$HE$13:$HE$512,MATCH(71,'Calculations'!$IK$13:$IK$512,0)))</x:f>
      </x:c>
      <x:c r="DS82" s="4"/>
      <x:c r="DT82" s="4"/>
      <x:c r="DU82" s="4"/>
      <x:c r="DV82" s="4"/>
      <x:c r="DW82" s="4"/>
      <x:c r="DX82" s="4"/>
      <x:c r="DY82" s="4"/>
      <x:c r="DZ82" s="4"/>
      <x:c r="EA82" s="4"/>
      <x:c r="EB82" s="4"/>
      <x:c r="EC82" s="4"/>
      <x:c r="ED82" s="4"/>
      <x:c r="EE82" s="4" t="str">
        <x:f>IF('Calculations'!BT82=0,"Not Rated",IF(OR('Calculations'!BO82&gt;=4,'Calculations'!BP82&gt;=4),"Low",IF('Calculations'!BO82+'Calculations'!BP82&lt;=3,"High",IF('Calculations'!BO82+'Calculations'!BP82&lt;=4,"Strong","Solid"))))</x:f>
        <x:v>Not Rated</x:v>
      </x:c>
      <x:c r="EF82" s="4"/>
      <x:c r="EG82" s="4"/>
      <x:c r="EH82" s="4"/>
      <x:c r="EI82" s="4"/>
      <x:c r="EJ82" s="4"/>
      <x:c r="EK82" s="4"/>
      <x:c r="EL82" s="4"/>
      <x:c r="EM82" s="4" t="str">
        <x:f>IF(70&gt;'Calculations'!$JB$2000,"",INDEX('Calculations'!$JA$12:$JA$2000,MATCH(70,'Calculations'!$JB$12:$JB$2000,0)))</x:f>
      </x:c>
      <x:c r="EN82" s="4" t="n">
        <x:f>IF(OR('Calculations'!EM82="",'Calculations'!$AG$8&gt;0,AND('Calculations'!$EF$2&lt;&gt;"All",'Calculations'!HE82='Calculations'!$EF$2),AND('Calculations'!$EF$3&lt;&gt;"All",'Calculations'!HE82='Calculations'!$EF$3)),0,IF(OR('Dashboard'!$B$7="All",'Calculations'!HN82='Dashboard'!$B$7),IF('Calculations'!$EF$2="All",1,IF('Calculations'!HL82&gt;0,0,IF(COUNTIF('Calculations'!HO82:II82,"="&amp;SUBSTITUTE(SUBSTITUTE(SUBSTITUTE('Calculations'!$EF$2,"~","~~"),"*","~*"),"?","~?"))=0,0,IF('Calculations'!$EF$3="All",1,IF(COUNTIF('Calculations'!HO82:II82,"="&amp;SUBSTITUTE(SUBSTITUTE(SUBSTITUTE('Calculations'!$EF$3,"~","~~"),"*","~*"),"?","~?"))&gt;0,1,0))))),0))</x:f>
        <x:v>0</x:v>
      </x:c>
      <x:c r="EO82" s="4" t="str">
        <x:f>IF('Calculations'!IJ82="","",IF('Calculations'!IJ82="!UNRESOLVED","Unresolved hierarchy",IFERROR(INDEX('Calculations'!$HK$13:$HK$512,MATCH('Calculations'!IJ82,'Calculations'!$HE$13:$HE$512,0)),IFERROR(INDEX('Calculations'!$HJ$13:$HJ$512,MATCH('Calculations'!IJ82,'Calculations'!$HF$13:$HF$512,0)),'Calculations'!IJ82))))</x:f>
      </x:c>
      <x:c r="EP82" s="4" t="n">
        <x:f>IF(AND('Calculations'!EM82&lt;&gt;"",'Calculations'!HF82='Calculations'!IJ82),1,0)</x:f>
        <x:v>0</x:v>
      </x:c>
      <x:c r="EQ82" s="4"/>
      <x:c r="ER82" s="4"/>
      <x:c r="ES82" s="4"/>
      <x:c r="ET82" s="4"/>
      <x:c r="EU82" s="4"/>
      <x:c r="EV82" s="4"/>
      <x:c r="EW82" s="4"/>
      <x:c r="EX82" s="4"/>
      <x:c r="EY82" s="4"/>
      <x:c r="EZ82" s="4"/>
      <x:c r="FA82" s="4"/>
      <x:c r="FB82" s="4"/>
      <x:c r="FC82" s="4"/>
      <x:c r="FD82" s="4"/>
      <x:c r="FE82" s="4"/>
      <x:c r="FF82" s="4"/>
      <x:c r="FG82" s="4"/>
      <x:c r="FH82" s="4"/>
      <x:c r="FI82" s="4"/>
      <x:c r="FJ82" s="4"/>
      <x:c r="FK82" s="4"/>
      <x:c r="FL82" s="4"/>
      <x:c r="FM82" s="4"/>
      <x:c r="FN82" s="4"/>
      <x:c r="FO82" s="4"/>
      <x:c r="GA82" s="71"/>
      <x:c r="GB82" s="71"/>
      <x:c r="GC82" s="71"/>
      <x:c r="GD82" s="71"/>
      <x:c r="GE82" s="71"/>
      <x:c r="GF82" s="71"/>
      <x:c r="GG82" s="71"/>
      <x:c r="GH82" s="71"/>
      <x:c r="GI82" s="71"/>
      <x:c r="GJ82" s="71"/>
      <x:c r="GK82" s="71"/>
      <x:c r="GL82" s="71"/>
      <x:c r="GM82" s="71"/>
      <x:c r="GN82" s="71"/>
      <x:c r="GO82" s="71"/>
      <x:c r="GP82" s="71"/>
      <x:c r="GQ82" s="71"/>
      <x:c r="GR82" s="71"/>
      <x:c r="GS82" s="71"/>
      <x:c r="GT82" s="71"/>
      <x:c r="GU82" s="71"/>
      <x:c r="GV82" s="71"/>
      <x:c r="GW82" s="71"/>
      <x:c r="GX82" s="71"/>
      <x:c r="GY82" s="71"/>
      <x:c r="GZ82" s="71"/>
      <x:c r="HA82" s="71"/>
      <x:c r="HB82" s="71"/>
      <x:c r="HC82" s="71"/>
      <x:c r="HD82" s="71"/>
      <x:c r="HE82" t="str">
        <x:f>IF('Calculations'!EM82="","",IF(IFERROR(IF(INDEX(INDIRECT("'WCM Calibration Final'!$A$1:$A$2000"),'Calculations'!$EM82)="","",TRIM(INDEX(INDIRECT("'WCM Calibration Final'!$A$1:$A$2000"),'Calculations'!$EM82)&amp;"")),"")&lt;&gt;"","G:"&amp;IFERROR(TEXT(1*INDEX(INDIRECT("'WCM Calibration Final'!$A$1:$A$2000"),'Calculations'!$EM82),"0"),UPPER(IFERROR(IF(INDEX(INDIRECT("'WCM Calibration Final'!$A$1:$A$2000"),'Calculations'!$EM82)="","",TRIM(INDEX(INDIRECT("'WCM Calibration Final'!$A$1:$A$2000"),'Calculations'!$EM82)&amp;"")),""))),IF(IFERROR(IF(INDEX(INDIRECT("'WCM Calibration Final'!$C$1:$C$2000"),'Calculations'!$EM82)="","",TRIM(INDEX(INDIRECT("'WCM Calibration Final'!$C$1:$C$2000"),'Calculations'!$EM82)&amp;"")),"")&lt;&gt;"","S:"&amp;UPPER(IFERROR(IF(INDEX(INDIRECT("'WCM Calibration Final'!$C$1:$C$2000"),'Calculations'!$EM82)="","",TRIM(INDEX(INDIRECT("'WCM Calibration Final'!$C$1:$C$2000"),'Calculations'!$EM82)&amp;"")),"")),"R:"&amp;'Calculations'!EM82)))</x:f>
      </x:c>
      <x:c r="HF82" t="str">
        <x:f>IF('Calculations'!EM82="","",IF(IFERROR(IF(INDEX(INDIRECT("'WCM Calibration Final'!$D$1:$D$2000"),'Calculations'!$EM82)="","",TRIM(INDEX(INDIRECT("'WCM Calibration Final'!$D$1:$D$2000"),'Calculations'!$EM82)&amp;"")),"")&lt;&gt;"","G:"&amp;IFERROR(TEXT(1*INDEX(INDIRECT("'WCM Calibration Final'!$D$1:$D$2000"),'Calculations'!$EM82),"0"),UPPER(IFERROR(IF(INDEX(INDIRECT("'WCM Calibration Final'!$D$1:$D$2000"),'Calculations'!$EM82)="","",TRIM(INDEX(INDIRECT("'WCM Calibration Final'!$D$1:$D$2000"),'Calculations'!$EM82)&amp;"")),""))),IF(IFERROR(IF(INDEX(INDIRECT("'WCM Calibration Final'!$E$1:$E$2000"),'Calculations'!$EM82)="","",TRIM(INDEX(INDIRECT("'WCM Calibration Final'!$E$1:$E$2000"),'Calculations'!$EM82)&amp;"")),"")="","",IF(COUNTIF('Calculations'!$HG$13:$HG$512,"="&amp;SUBSTITUTE(SUBSTITUTE(SUBSTITUTE(IFERROR(IF(INDEX(INDIRECT("'WCM Calibration Final'!$E$1:$E$2000"),'Calculations'!$EM82)="","",TRIM(INDEX(INDIRECT("'WCM Calibration Final'!$E$1:$E$2000"),'Calculations'!$EM82)&amp;"")),""),"~","~~"),"*","~*"),"?","~?"))=1,INDEX('Calculations'!$HE$13:$HE$512,MATCH(IFERROR(IF(INDEX(INDIRECT("'WCM Calibration Final'!$E$1:$E$2000"),'Calculations'!$EM82)="","",TRIM(INDEX(INDIRECT("'WCM Calibration Final'!$E$1:$E$2000"),'Calculations'!$EM82)&amp;"")),""),'Calculations'!$HG$13:$HG$512,0)),IF(COUNTIF('Calculations'!$HG$13:$HG$512,"="&amp;SUBSTITUTE(SUBSTITUTE(SUBSTITUTE(IFERROR(IF(INDEX(INDIRECT("'WCM Calibration Final'!$E$1:$E$2000"),'Calculations'!$EM82)="","",TRIM(INDEX(INDIRECT("'WCM Calibration Final'!$E$1:$E$2000"),'Calculations'!$EM82)&amp;"")),""),"~","~~"),"*","~*"),"?","~?"))&gt;1,"!AMBIG","X:"&amp;IFERROR(IF(INDEX(INDIRECT("'WCM Calibration Final'!$E$1:$E$2000"),'Calculations'!$EM82)="","",TRIM(INDEX(INDIRECT("'WCM Calibration Final'!$E$1:$E$2000"),'Calculations'!$EM82)&amp;"")),""))))))</x:f>
      </x:c>
      <x:c r="HG82" t="str">
        <x:f>IF('Calculations'!EM82="","",IFERROR(IF(INDEX(INDIRECT("'WCM Calibration Final'!$B$1:$B$2000"),'Calculations'!$EM82)="","",TRIM(INDEX(INDIRECT("'WCM Calibration Final'!$B$1:$B$2000"),'Calculations'!$EM82)&amp;"")),""))</x:f>
      </x:c>
      <x:c r="HH82" t="n">
        <x:f>IF(AND('Calculations'!JC82&gt;0,COUNTIF('Calculations'!$HF$12:HF82,"="&amp;SUBSTITUTE(SUBSTITUTE(SUBSTITUTE('Calculations'!HF82,"~","~~"),"*","~*"),"?","~?"))=1),MAX('Calculations'!$HH$12:HH81)+1,0)</x:f>
        <x:v>0</x:v>
      </x:c>
      <x:c r="HI82" t="n">
        <x:f>IF(AND('Calculations'!HN82&lt;&gt;"",COUNTIF('Calculations'!$HN$12:HN82,"="&amp;SUBSTITUTE(SUBSTITUTE(SUBSTITUTE('Calculations'!HN82,"~","~~"),"*","~*"),"?","~?"))=1),MAX('Calculations'!$HI$12:HI81)+1,0)</x:f>
        <x:v>0</x:v>
      </x:c>
      <x:c r="HJ82" t="str">
        <x:f>IF('Calculations'!HF82="","",IF(COUNTIF('Calculations'!$HE$13:$HE$512,"="&amp;SUBSTITUTE(SUBSTITUTE(SUBSTITUTE('Calculations'!HF82,"~","~~"),"*","~*"),"?","~?"))=1,INDEX('Calculations'!$HK$13:$HK$512,MATCH('Calculations'!HF82,'Calculations'!$HE$13:$HE$512,0)),IFERROR(IF(INDEX(INDIRECT("'WCM Calibration Final'!$E$1:$E$2000"),'Calculations'!$EM82)="","",TRIM(INDEX(INDIRECT("'WCM Calibration Final'!$E$1:$E$2000"),'Calculations'!$EM82)&amp;"")),"")&amp;" ["&amp;'Calculations'!HF82&amp;"]"))</x:f>
      </x:c>
      <x:c r="HK82" t="str">
        <x:f>IF('Calculations'!EM82="","",'Calculations'!HG82&amp;" ["&amp;'Calculations'!HE82&amp;"]")</x:f>
      </x:c>
      <x:c r="HL82" t="n">
        <x:f>IF('Calculations'!EM82="",0,IF(OR('Calculations'!II82&lt;&gt;"",COUNTIF('Calculations'!$HE$13:$HE$512,"="&amp;SUBSTITUTE(SUBSTITUTE(SUBSTITUTE('Calculations'!HE82,"~","~~"),"*","~*"),"?","~?"))&gt;1),1,0))</x:f>
        <x:v>0</x:v>
      </x:c>
      <x:c r="HM82" t="str">
        <x:f>IF('Calculations'!EM82="","",IF('Calculations'!HL82=1,"!UNRESOLVED",IF('Calculations'!IH82&lt;&gt;"",'Calculations'!IH82,IF('Calculations'!IG82&lt;&gt;"",'Calculations'!IG82,IF('Calculations'!IF82&lt;&gt;"",'Calculations'!IF82,IF('Calculations'!IE82&lt;&gt;"",'Calculations'!IE82,IF('Calculations'!ID82&lt;&gt;"",'Calculations'!ID82,IF('Calculations'!IC82&lt;&gt;"",'Calculations'!IC82,IF('Calculations'!IB82&lt;&gt;"",'Calculations'!IB82,IF('Calculations'!IA82&lt;&gt;"",'Calculations'!IA82,IF('Calculations'!HZ82&lt;&gt;"",'Calculations'!HZ82,IF('Calculations'!HY82&lt;&gt;"",'Calculations'!HY82,IF('Calculations'!HX82&lt;&gt;"",'Calculations'!HX82,IF('Calculations'!HW82&lt;&gt;"",'Calculations'!HW82,IF('Calculations'!HV82&lt;&gt;"",'Calculations'!HV82,IF('Calculations'!HU82&lt;&gt;"",'Calculations'!HU82,IF('Calculations'!HT82&lt;&gt;"",'Calculations'!HT82,IF('Calculations'!HS82&lt;&gt;"",'Calculations'!HS82,IF('Calculations'!HR82&lt;&gt;"",'Calculations'!HR82,IF('Calculations'!HQ82&lt;&gt;"",'Calculations'!HQ82,IF('Calculations'!HP82&lt;&gt;"",'Calculations'!HP82,IF('Calculations'!HO82&lt;&gt;"",'Calculations'!HO82,'Calculations'!HE82))))))))))))))))))))))</x:f>
      </x:c>
      <x:c r="HN82" t="str">
        <x:f>IF('Calculations'!EM82="","",IF(IFERROR(IF(INDEX(INDIRECT("'WCM Calibration Final'!$F$1:$F$2000"),'Calculations'!$EM82)="","",TRIM(INDEX(INDIRECT("'WCM Calibration Final'!$F$1:$F$2000"),'Calculations'!$EM82)&amp;"")),"")="","(Blank)",IFERROR(IF(INDEX(INDIRECT("'WCM Calibration Final'!$F$1:$F$2000"),'Calculations'!$EM82)="","",TRIM(INDEX(INDIRECT("'WCM Calibration Final'!$F$1:$F$2000"),'Calculations'!$EM82)&amp;"")),"")))</x:f>
      </x:c>
      <x:c r="HO82" t="str">
        <x:f>'Calculations'!HF82</x:f>
      </x:c>
      <x:c r="HP82" t="str">
        <x:f>IF('Calculations'!HO82="","",IF('Calculations'!HO82="!AMBIG","!AMBIG",IF(COUNTIF('Calculations'!$HE$13:$HE$512,"="&amp;SUBSTITUTE(SUBSTITUTE(SUBSTITUTE('Calculations'!HO82,"~","~~"),"*","~*"),"?","~?"))&gt;1,"!AMBIG",IFERROR(INDEX('Calculations'!$HF$13:$HF$512,MATCH('Calculations'!HO82,'Calculations'!$HE$13:$HE$512,0)),""))))</x:f>
      </x:c>
      <x:c r="HQ82" t="str">
        <x:f>IF('Calculations'!HP82="","",IF('Calculations'!HP82="!AMBIG","!AMBIG",IF(COUNTIF('Calculations'!$HE$13:$HE$512,"="&amp;SUBSTITUTE(SUBSTITUTE(SUBSTITUTE('Calculations'!HP82,"~","~~"),"*","~*"),"?","~?"))&gt;1,"!AMBIG",IFERROR(INDEX('Calculations'!$HF$13:$HF$512,MATCH('Calculations'!HP82,'Calculations'!$HE$13:$HE$512,0)),""))))</x:f>
      </x:c>
      <x:c r="HR82" t="str">
        <x:f>IF('Calculations'!HQ82="","",IF('Calculations'!HQ82="!AMBIG","!AMBIG",IF(COUNTIF('Calculations'!$HE$13:$HE$512,"="&amp;SUBSTITUTE(SUBSTITUTE(SUBSTITUTE('Calculations'!HQ82,"~","~~"),"*","~*"),"?","~?"))&gt;1,"!AMBIG",IFERROR(INDEX('Calculations'!$HF$13:$HF$512,MATCH('Calculations'!HQ82,'Calculations'!$HE$13:$HE$512,0)),""))))</x:f>
      </x:c>
      <x:c r="HS82" t="str">
        <x:f>IF('Calculations'!HR82="","",IF('Calculations'!HR82="!AMBIG","!AMBIG",IF(COUNTIF('Calculations'!$HE$13:$HE$512,"="&amp;SUBSTITUTE(SUBSTITUTE(SUBSTITUTE('Calculations'!HR82,"~","~~"),"*","~*"),"?","~?"))&gt;1,"!AMBIG",IFERROR(INDEX('Calculations'!$HF$13:$HF$512,MATCH('Calculations'!HR82,'Calculations'!$HE$13:$HE$512,0)),""))))</x:f>
      </x:c>
      <x:c r="HT82" t="str">
        <x:f>IF('Calculations'!HS82="","",IF('Calculations'!HS82="!AMBIG","!AMBIG",IF(COUNTIF('Calculations'!$HE$13:$HE$512,"="&amp;SUBSTITUTE(SUBSTITUTE(SUBSTITUTE('Calculations'!HS82,"~","~~"),"*","~*"),"?","~?"))&gt;1,"!AMBIG",IFERROR(INDEX('Calculations'!$HF$13:$HF$512,MATCH('Calculations'!HS82,'Calculations'!$HE$13:$HE$512,0)),""))))</x:f>
      </x:c>
      <x:c r="HU82" t="str">
        <x:f>IF('Calculations'!HT82="","",IF('Calculations'!HT82="!AMBIG","!AMBIG",IF(COUNTIF('Calculations'!$HE$13:$HE$512,"="&amp;SUBSTITUTE(SUBSTITUTE(SUBSTITUTE('Calculations'!HT82,"~","~~"),"*","~*"),"?","~?"))&gt;1,"!AMBIG",IFERROR(INDEX('Calculations'!$HF$13:$HF$512,MATCH('Calculations'!HT82,'Calculations'!$HE$13:$HE$512,0)),""))))</x:f>
      </x:c>
      <x:c r="HV82" t="str">
        <x:f>IF('Calculations'!HU82="","",IF('Calculations'!HU82="!AMBIG","!AMBIG",IF(COUNTIF('Calculations'!$HE$13:$HE$512,"="&amp;SUBSTITUTE(SUBSTITUTE(SUBSTITUTE('Calculations'!HU82,"~","~~"),"*","~*"),"?","~?"))&gt;1,"!AMBIG",IFERROR(INDEX('Calculations'!$HF$13:$HF$512,MATCH('Calculations'!HU82,'Calculations'!$HE$13:$HE$512,0)),""))))</x:f>
      </x:c>
      <x:c r="HW82" t="str">
        <x:f>IF('Calculations'!HV82="","",IF('Calculations'!HV82="!AMBIG","!AMBIG",IF(COUNTIF('Calculations'!$HE$13:$HE$512,"="&amp;SUBSTITUTE(SUBSTITUTE(SUBSTITUTE('Calculations'!HV82,"~","~~"),"*","~*"),"?","~?"))&gt;1,"!AMBIG",IFERROR(INDEX('Calculations'!$HF$13:$HF$512,MATCH('Calculations'!HV82,'Calculations'!$HE$13:$HE$512,0)),""))))</x:f>
      </x:c>
      <x:c r="HX82" t="str">
        <x:f>IF('Calculations'!HW82="","",IF('Calculations'!HW82="!AMBIG","!AMBIG",IF(COUNTIF('Calculations'!$HE$13:$HE$512,"="&amp;SUBSTITUTE(SUBSTITUTE(SUBSTITUTE('Calculations'!HW82,"~","~~"),"*","~*"),"?","~?"))&gt;1,"!AMBIG",IFERROR(INDEX('Calculations'!$HF$13:$HF$512,MATCH('Calculations'!HW82,'Calculations'!$HE$13:$HE$512,0)),""))))</x:f>
      </x:c>
      <x:c r="HY82" t="str">
        <x:f>IF('Calculations'!HX82="","",IF('Calculations'!HX82="!AMBIG","!AMBIG",IF(COUNTIF('Calculations'!$HE$13:$HE$512,"="&amp;SUBSTITUTE(SUBSTITUTE(SUBSTITUTE('Calculations'!HX82,"~","~~"),"*","~*"),"?","~?"))&gt;1,"!AMBIG",IFERROR(INDEX('Calculations'!$HF$13:$HF$512,MATCH('Calculations'!HX82,'Calculations'!$HE$13:$HE$512,0)),""))))</x:f>
      </x:c>
      <x:c r="HZ82" t="str">
        <x:f>IF('Calculations'!HY82="","",IF('Calculations'!HY82="!AMBIG","!AMBIG",IF(COUNTIF('Calculations'!$HE$13:$HE$512,"="&amp;SUBSTITUTE(SUBSTITUTE(SUBSTITUTE('Calculations'!HY82,"~","~~"),"*","~*"),"?","~?"))&gt;1,"!AMBIG",IFERROR(INDEX('Calculations'!$HF$13:$HF$512,MATCH('Calculations'!HY82,'Calculations'!$HE$13:$HE$512,0)),""))))</x:f>
      </x:c>
      <x:c r="IA82" t="str">
        <x:f>IF('Calculations'!HZ82="","",IF('Calculations'!HZ82="!AMBIG","!AMBIG",IF(COUNTIF('Calculations'!$HE$13:$HE$512,"="&amp;SUBSTITUTE(SUBSTITUTE(SUBSTITUTE('Calculations'!HZ82,"~","~~"),"*","~*"),"?","~?"))&gt;1,"!AMBIG",IFERROR(INDEX('Calculations'!$HF$13:$HF$512,MATCH('Calculations'!HZ82,'Calculations'!$HE$13:$HE$512,0)),""))))</x:f>
      </x:c>
      <x:c r="IB82" t="str">
        <x:f>IF('Calculations'!IA82="","",IF('Calculations'!IA82="!AMBIG","!AMBIG",IF(COUNTIF('Calculations'!$HE$13:$HE$512,"="&amp;SUBSTITUTE(SUBSTITUTE(SUBSTITUTE('Calculations'!IA82,"~","~~"),"*","~*"),"?","~?"))&gt;1,"!AMBIG",IFERROR(INDEX('Calculations'!$HF$13:$HF$512,MATCH('Calculations'!IA82,'Calculations'!$HE$13:$HE$512,0)),""))))</x:f>
      </x:c>
      <x:c r="IC82" t="str">
        <x:f>IF('Calculations'!IB82="","",IF('Calculations'!IB82="!AMBIG","!AMBIG",IF(COUNTIF('Calculations'!$HE$13:$HE$512,"="&amp;SUBSTITUTE(SUBSTITUTE(SUBSTITUTE('Calculations'!IB82,"~","~~"),"*","~*"),"?","~?"))&gt;1,"!AMBIG",IFERROR(INDEX('Calculations'!$HF$13:$HF$512,MATCH('Calculations'!IB82,'Calculations'!$HE$13:$HE$512,0)),""))))</x:f>
      </x:c>
      <x:c r="ID82" t="str">
        <x:f>IF('Calculations'!IC82="","",IF('Calculations'!IC82="!AMBIG","!AMBIG",IF(COUNTIF('Calculations'!$HE$13:$HE$512,"="&amp;SUBSTITUTE(SUBSTITUTE(SUBSTITUTE('Calculations'!IC82,"~","~~"),"*","~*"),"?","~?"))&gt;1,"!AMBIG",IFERROR(INDEX('Calculations'!$HF$13:$HF$512,MATCH('Calculations'!IC82,'Calculations'!$HE$13:$HE$512,0)),""))))</x:f>
      </x:c>
      <x:c r="IE82" t="str">
        <x:f>IF('Calculations'!ID82="","",IF('Calculations'!ID82="!AMBIG","!AMBIG",IF(COUNTIF('Calculations'!$HE$13:$HE$512,"="&amp;SUBSTITUTE(SUBSTITUTE(SUBSTITUTE('Calculations'!ID82,"~","~~"),"*","~*"),"?","~?"))&gt;1,"!AMBIG",IFERROR(INDEX('Calculations'!$HF$13:$HF$512,MATCH('Calculations'!ID82,'Calculations'!$HE$13:$HE$512,0)),""))))</x:f>
      </x:c>
      <x:c r="IF82" t="str">
        <x:f>IF('Calculations'!IE82="","",IF('Calculations'!IE82="!AMBIG","!AMBIG",IF(COUNTIF('Calculations'!$HE$13:$HE$512,"="&amp;SUBSTITUTE(SUBSTITUTE(SUBSTITUTE('Calculations'!IE82,"~","~~"),"*","~*"),"?","~?"))&gt;1,"!AMBIG",IFERROR(INDEX('Calculations'!$HF$13:$HF$512,MATCH('Calculations'!IE82,'Calculations'!$HE$13:$HE$512,0)),""))))</x:f>
      </x:c>
      <x:c r="IG82" t="str">
        <x:f>IF('Calculations'!IF82="","",IF('Calculations'!IF82="!AMBIG","!AMBIG",IF(COUNTIF('Calculations'!$HE$13:$HE$512,"="&amp;SUBSTITUTE(SUBSTITUTE(SUBSTITUTE('Calculations'!IF82,"~","~~"),"*","~*"),"?","~?"))&gt;1,"!AMBIG",IFERROR(INDEX('Calculations'!$HF$13:$HF$512,MATCH('Calculations'!IF82,'Calculations'!$HE$13:$HE$512,0)),""))))</x:f>
      </x:c>
      <x:c r="IH82" t="str">
        <x:f>IF('Calculations'!IG82="","",IF('Calculations'!IG82="!AMBIG","!AMBIG",IF(COUNTIF('Calculations'!$HE$13:$HE$512,"="&amp;SUBSTITUTE(SUBSTITUTE(SUBSTITUTE('Calculations'!IG82,"~","~~"),"*","~*"),"?","~?"))&gt;1,"!AMBIG",IFERROR(INDEX('Calculations'!$HF$13:$HF$512,MATCH('Calculations'!IG82,'Calculations'!$HE$13:$HE$512,0)),""))))</x:f>
      </x:c>
      <x:c r="II82" t="str">
        <x:f>IF('Calculations'!IH82="","",IF('Calculations'!IH82="!AMBIG","!AMBIG",IF(COUNTIF('Calculations'!$HE$13:$HE$512,"="&amp;SUBSTITUTE(SUBSTITUTE(SUBSTITUTE('Calculations'!IH82,"~","~~"),"*","~*"),"?","~?"))&gt;1,"!AMBIG",IFERROR(INDEX('Calculations'!$HF$13:$HF$512,MATCH('Calculations'!IH82,'Calculations'!$HE$13:$HE$512,0)),""))))</x:f>
      </x:c>
      <x:c r="IJ82" t="str">
        <x:f>IF('Calculations'!EM82="","",IF('Calculations'!$EF$2="All",'Calculations'!HM82,IF('Calculations'!HL82=1,"",IFERROR(IF(MATCH('Calculations'!$EF$2,'Calculations'!HO82:II82,0)=1,'Calculations'!HE82,INDEX('Calculations'!HO82:II82,1,MATCH('Calculations'!$EF$2,'Calculations'!HO82:II82,0)-1)),""))))</x:f>
      </x:c>
      <x:c r="IK82" t="n">
        <x:f>IF(AND('Calculations'!EM82&lt;&gt;"",'Calculations'!$EF$2&lt;&gt;"All",'Calculations'!HF82='Calculations'!$EF$2,'Calculations'!HL82=0,'Calculations'!JD82&gt;0),MAX('Calculations'!$IK$12:IK81)+1,0)</x:f>
        <x:v>0</x:v>
      </x:c>
      <x:c r="JA82" t="n">
        <x:f>IF(OR(IFERROR(INDIRECT("'WCM Calibration Final'!$A$82")&lt;&gt;"",FALSE),IFERROR(INDIRECT("'WCM Calibration Final'!$B$82")&lt;&gt;"",FALSE),IFERROR(INDIRECT("'WCM Calibration Final'!$C$82")&lt;&gt;"",FALSE)),82,0)</x:f>
        <x:v>0</x:v>
      </x:c>
      <x:c r="JB82" t="n">
        <x:f>'Calculations'!JB81+IF('Calculations'!JA82&gt;0,1,0)</x:f>
        <x:v>0</x:v>
      </x:c>
      <x:c r="JC82" t="n">
        <x:f>IF(OR('Calculations'!HF82="",'Calculations'!HF82="!AMBIG"),0,IF('Dashboard'!$B$7="All",1,COUNTIFS('Calculations'!$HO$13:$HO$512,"="&amp;SUBSTITUTE(SUBSTITUTE(SUBSTITUTE('Calculations'!HF82,"~","~~"),"*","~*"),"?","~?"),'Calculations'!$HN$13:$HN$512,"="&amp;SUBSTITUTE(SUBSTITUTE(SUBSTITUTE('Dashboard'!$B$7,"~","~~"),"*","~*"),"?","~?"))+COUNTIFS('Calculations'!$HP$13:$HP$512,"="&amp;SUBSTITUTE(SUBSTITUTE(SUBSTITUTE('Calculations'!HF82,"~","~~"),"*","~*"),"?","~?"),'Calculations'!$HN$13:$HN$512,"="&amp;SUBSTITUTE(SUBSTITUTE(SUBSTITUTE('Dashboard'!$B$7,"~","~~"),"*","~*"),"?","~?"))+COUNTIFS('Calculations'!$HQ$13:$HQ$512,"="&amp;SUBSTITUTE(SUBSTITUTE(SUBSTITUTE('Calculations'!HF82,"~","~~"),"*","~*"),"?","~?"),'Calculations'!$HN$13:$HN$512,"="&amp;SUBSTITUTE(SUBSTITUTE(SUBSTITUTE('Dashboard'!$B$7,"~","~~"),"*","~*"),"?","~?"))+COUNTIFS('Calculations'!$HR$13:$HR$512,"="&amp;SUBSTITUTE(SUBSTITUTE(SUBSTITUTE('Calculations'!HF82,"~","~~"),"*","~*"),"?","~?"),'Calculations'!$HN$13:$HN$512,"="&amp;SUBSTITUTE(SUBSTITUTE(SUBSTITUTE('Dashboard'!$B$7,"~","~~"),"*","~*"),"?","~?"))+COUNTIFS('Calculations'!$HS$13:$HS$512,"="&amp;SUBSTITUTE(SUBSTITUTE(SUBSTITUTE('Calculations'!HF82,"~","~~"),"*","~*"),"?","~?"),'Calculations'!$HN$13:$HN$512,"="&amp;SUBSTITUTE(SUBSTITUTE(SUBSTITUTE('Dashboard'!$B$7,"~","~~"),"*","~*"),"?","~?"))+COUNTIFS('Calculations'!$HT$13:$HT$512,"="&amp;SUBSTITUTE(SUBSTITUTE(SUBSTITUTE('Calculations'!HF82,"~","~~"),"*","~*"),"?","~?"),'Calculations'!$HN$13:$HN$512,"="&amp;SUBSTITUTE(SUBSTITUTE(SUBSTITUTE('Dashboard'!$B$7,"~","~~"),"*","~*"),"?","~?"))+COUNTIFS('Calculations'!$HU$13:$HU$512,"="&amp;SUBSTITUTE(SUBSTITUTE(SUBSTITUTE('Calculations'!HF82,"~","~~"),"*","~*"),"?","~?"),'Calculations'!$HN$13:$HN$512,"="&amp;SUBSTITUTE(SUBSTITUTE(SUBSTITUTE('Dashboard'!$B$7,"~","~~"),"*","~*"),"?","~?"))+COUNTIFS('Calculations'!$HV$13:$HV$512,"="&amp;SUBSTITUTE(SUBSTITUTE(SUBSTITUTE('Calculations'!HF82,"~","~~"),"*","~*"),"?","~?"),'Calculations'!$HN$13:$HN$512,"="&amp;SUBSTITUTE(SUBSTITUTE(SUBSTITUTE('Dashboard'!$B$7,"~","~~"),"*","~*"),"?","~?"))+COUNTIFS('Calculations'!$HW$13:$HW$512,"="&amp;SUBSTITUTE(SUBSTITUTE(SUBSTITUTE('Calculations'!HF82,"~","~~"),"*","~*"),"?","~?"),'Calculations'!$HN$13:$HN$512,"="&amp;SUBSTITUTE(SUBSTITUTE(SUBSTITUTE('Dashboard'!$B$7,"~","~~"),"*","~*"),"?","~?"))+COUNTIFS('Calculations'!$HX$13:$HX$512,"="&amp;SUBSTITUTE(SUBSTITUTE(SUBSTITUTE('Calculations'!HF82,"~","~~"),"*","~*"),"?","~?"),'Calculations'!$HN$13:$HN$512,"="&amp;SUBSTITUTE(SUBSTITUTE(SUBSTITUTE('Dashboard'!$B$7,"~","~~"),"*","~*"),"?","~?"))+COUNTIFS('Calculations'!$HY$13:$HY$512,"="&amp;SUBSTITUTE(SUBSTITUTE(SUBSTITUTE('Calculations'!HF82,"~","~~"),"*","~*"),"?","~?"),'Calculations'!$HN$13:$HN$512,"="&amp;SUBSTITUTE(SUBSTITUTE(SUBSTITUTE('Dashboard'!$B$7,"~","~~"),"*","~*"),"?","~?"))+COUNTIFS('Calculations'!$HZ$13:$HZ$512,"="&amp;SUBSTITUTE(SUBSTITUTE(SUBSTITUTE('Calculations'!HF82,"~","~~"),"*","~*"),"?","~?"),'Calculations'!$HN$13:$HN$512,"="&amp;SUBSTITUTE(SUBSTITUTE(SUBSTITUTE('Dashboard'!$B$7,"~","~~"),"*","~*"),"?","~?"))+COUNTIFS('Calculations'!$IA$13:$IA$512,"="&amp;SUBSTITUTE(SUBSTITUTE(SUBSTITUTE('Calculations'!HF82,"~","~~"),"*","~*"),"?","~?"),'Calculations'!$HN$13:$HN$512,"="&amp;SUBSTITUTE(SUBSTITUTE(SUBSTITUTE('Dashboard'!$B$7,"~","~~"),"*","~*"),"?","~?"))+COUNTIFS('Calculations'!$IB$13:$IB$512,"="&amp;SUBSTITUTE(SUBSTITUTE(SUBSTITUTE('Calculations'!HF82,"~","~~"),"*","~*"),"?","~?"),'Calculations'!$HN$13:$HN$512,"="&amp;SUBSTITUTE(SUBSTITUTE(SUBSTITUTE('Dashboard'!$B$7,"~","~~"),"*","~*"),"?","~?"))+COUNTIFS('Calculations'!$IC$13:$IC$512,"="&amp;SUBSTITUTE(SUBSTITUTE(SUBSTITUTE('Calculations'!HF82,"~","~~"),"*","~*"),"?","~?"),'Calculations'!$HN$13:$HN$512,"="&amp;SUBSTITUTE(SUBSTITUTE(SUBSTITUTE('Dashboard'!$B$7,"~","~~"),"*","~*"),"?","~?"))+COUNTIFS('Calculations'!$ID$13:$ID$512,"="&amp;SUBSTITUTE(SUBSTITUTE(SUBSTITUTE('Calculations'!HF82,"~","~~"),"*","~*"),"?","~?"),'Calculations'!$HN$13:$HN$512,"="&amp;SUBSTITUTE(SUBSTITUTE(SUBSTITUTE('Dashboard'!$B$7,"~","~~"),"*","~*"),"?","~?"))+COUNTIFS('Calculations'!$IE$13:$IE$512,"="&amp;SUBSTITUTE(SUBSTITUTE(SUBSTITUTE('Calculations'!HF82,"~","~~"),"*","~*"),"?","~?"),'Calculations'!$HN$13:$HN$512,"="&amp;SUBSTITUTE(SUBSTITUTE(SUBSTITUTE('Dashboard'!$B$7,"~","~~"),"*","~*"),"?","~?"))+COUNTIFS('Calculations'!$IF$13:$IF$512,"="&amp;SUBSTITUTE(SUBSTITUTE(SUBSTITUTE('Calculations'!HF82,"~","~~"),"*","~*"),"?","~?"),'Calculations'!$HN$13:$HN$512,"="&amp;SUBSTITUTE(SUBSTITUTE(SUBSTITUTE('Dashboard'!$B$7,"~","~~"),"*","~*"),"?","~?"))+COUNTIFS('Calculations'!$IG$13:$IG$512,"="&amp;SUBSTITUTE(SUBSTITUTE(SUBSTITUTE('Calculations'!HF82,"~","~~"),"*","~*"),"?","~?"),'Calculations'!$HN$13:$HN$512,"="&amp;SUBSTITUTE(SUBSTITUTE(SUBSTITUTE('Dashboard'!$B$7,"~","~~"),"*","~*"),"?","~?"))+COUNTIFS('Calculations'!$IH$13:$IH$512,"="&amp;SUBSTITUTE(SUBSTITUTE(SUBSTITUTE('Calculations'!HF82,"~","~~"),"*","~*"),"?","~?"),'Calculations'!$HN$13:$HN$512,"="&amp;SUBSTITUTE(SUBSTITUTE(SUBSTITUTE('Dashboard'!$B$7,"~","~~"),"*","~*"),"?","~?"))))</x:f>
        <x:v>0</x:v>
      </x:c>
      <x:c r="JD82" t="n">
        <x:f>IF('Calculations'!EM82="",0,IF('Dashboard'!$B$7="All",1,IF('Calculations'!HN82='Dashboard'!$B$7,1,0)+IFERROR(INDEX('Calculations'!$JC$13:$JC$512,MATCH('Calculations'!HE82,'Calculations'!$HF$13:$HF$512,0)),0)))</x:f>
        <x:v>0</x:v>
      </x:c>
      <x:c r="JE82" t="n">
        <x:f>IF(AND('Calculations'!EM82&lt;&gt;"",'Calculations'!$JJ$2&lt;&gt;"All",'Calculations'!$JJ$2&lt;&gt;"",'Calculations'!HF82='Calculations'!$JJ$2,'Calculations'!HL82=0,'Calculations'!JD82&gt;0),MAX('Calculations'!$JE$12:JE81)+1,0)</x:f>
        <x:v>0</x:v>
      </x:c>
      <x:c r="JF82" t="str">
        <x:f>IF('Calculations'!EM82="","",IFERROR(IF(INDEX(INDIRECT("'WCM Calibration Final'!$G$1:$G$2000"),'Calculations'!$EM82)="","",TRIM(INDEX(INDIRECT("'WCM Calibration Final'!$G$1:$G$2000"),'Calculations'!$EM82)&amp;"")),""))</x:f>
      </x:c>
      <x:c r="JQ82" t="n">
        <x:f>IF(OR('Calculations'!BM82=0,NOT('Calculations'!$AG$2),'Calculations'!$AG$8&gt;0),0,IF(OR('Dashboard'!$B$7="All",'Calculations'!HN82='Dashboard'!$B$7),IF('Calculations'!$JJ$2="All",1,IF(AND('Calculations'!HF82='Calculations'!$JJ$2,'Calculations'!HL82=0),1,0)),0))</x:f>
        <x:v>0</x:v>
      </x:c>
    </x:row>
    <x:row r="83">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t="n">
        <x:f>IF('Calculations'!$EM83="",0,IF(OR(IFERROR(INDEX(INDIRECT("'WCM Calibration Final'!$A$1:$A$2000"),'Calculations'!$EM83)&lt;&gt;"",FALSE),IFERROR(INDEX(INDIRECT("'WCM Calibration Final'!$B$1:$B$2000"),'Calculations'!$EM83)&lt;&gt;"",FALSE),IFERROR(INDEX(INDIRECT("'WCM Calibration Final'!$C$1:$C$2000"),'Calculations'!$EM83)&lt;&gt;"",FALSE)),1,0))</x:f>
        <x:v>0</x:v>
      </x:c>
      <x:c r="BN83" s="4" t="n">
        <x:f>IF(AND('Calculations'!BM83=1,'Calculations'!$AG$2,'Calculations'!$EN83=1),1,0)</x:f>
        <x:v>0</x:v>
      </x:c>
      <x:c r="BO83" s="4" t="str">
        <x:f>IF('Calculations'!BM83=0,"",IFERROR(IF(AND(VALUE(INDEX(INDIRECT("'WCM Calibration Final'!$K$1:$K$2000"),'Calculations'!$EM83))&gt;=1,VALUE(INDEX(INDIRECT("'WCM Calibration Final'!$K$1:$K$2000"),'Calculations'!$EM83))&lt;=4,MOD(VALUE(INDEX(INDIRECT("'WCM Calibration Final'!$K$1:$K$2000"),'Calculations'!$EM83)),1)=0),VALUE(INDEX(INDIRECT("'WCM Calibration Final'!$K$1:$K$2000"),'Calculations'!$EM83)),""),""))</x:f>
      </x:c>
      <x:c r="BP83" s="4" t="str">
        <x:f>IF('Calculations'!BM83=0,"",IFERROR(IF(AND(VALUE(INDEX(INDIRECT("'WCM Calibration Final'!$L$1:$L$2000"),'Calculations'!$EM83))&gt;=1,VALUE(INDEX(INDIRECT("'WCM Calibration Final'!$L$1:$L$2000"),'Calculations'!$EM83))&lt;=4,MOD(VALUE(INDEX(INDIRECT("'WCM Calibration Final'!$L$1:$L$2000"),'Calculations'!$EM83)),1)=0),VALUE(INDEX(INDIRECT("'WCM Calibration Final'!$L$1:$L$2000"),'Calculations'!$EM83)),""),""))</x:f>
      </x:c>
      <x:c r="BQ83" s="4"/>
      <x:c r="BR83" s="4"/>
      <x:c r="BS83" s="4"/>
      <x:c r="BT83" s="4" t="n">
        <x:f>IF(AND('Calculations'!BM83=1,ISNUMBER('Calculations'!BO83),ISNUMBER('Calculations'!BP83)),1,0)</x:f>
        <x:v>0</x:v>
      </x:c>
      <x:c r="BU83" s="4" t="str">
        <x:f>IF('Calculations'!BM83=0,"",'Calculations'!$EO83)</x:f>
      </x:c>
      <x:c r="BV83" s="4" t="str">
        <x:f>IF('Calculations'!BM83=0,"",IFERROR(IF(OR(INDEX(INDIRECT("'WCM Calibration Final'!$H$1:$H$2000"),'Calculations'!$EM83)="MANAGING DIRECTOR",INDEX(INDIRECT("'WCM Calibration Final'!$H$1:$H$2000"),'Calculations'!$EM83)="DIRECTOR",INDEX(INDIRECT("'WCM Calibration Final'!$H$1:$H$2000"),'Calculations'!$EM83)="SENIOR VICE PRESIDENT",INDEX(INDIRECT("'WCM Calibration Final'!$H$1:$H$2000"),'Calculations'!$EM83)="VICE PRESIDENT",INDEX(INDIRECT("'WCM Calibration Final'!$H$1:$H$2000"),'Calculations'!$EM83)="ASSISTANT VICE PRESIDENT",INDEX(INDIRECT("'WCM Calibration Final'!$H$1:$H$2000"),'Calculations'!$EM83)="OFFICER"),UPPER(INDEX(INDIRECT("'WCM Calibration Final'!$H$1:$H$2000"),'Calculations'!$EM83)),"Other"),"Other"))</x:f>
      </x:c>
      <x:c r="BW83" s="4"/>
      <x:c r="BX83" s="4"/>
      <x:c r="BY83" s="4" t="n">
        <x:f>IF(AND('Calculations'!BM83=1,'Calculations'!BU83&lt;&gt;"",COUNTIF('Calculations'!$BU$12:BU83,'Calculations'!BU83)=1),MAX('Calculations'!$BY$11:BY82)+1,0)</x:f>
        <x:v>0</x:v>
      </x:c>
      <x:c r="BZ83" s="4" t="str">
        <x:f>IF('Dashboard'!$E$67="What",'Calculations'!BO83,'Calculations'!BP83)</x:f>
      </x:c>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t="str">
        <x:f>IF(72&gt;MAX('Calculations'!$HI$13:$HI$512),"",INDEX('Calculations'!$HN$13:$HN$512,MATCH(72,'Calculations'!$HI$13:$HI$512,0)))</x:f>
      </x:c>
      <x:c r="DB83" s="4" t="str">
        <x:f>IF(72&gt;MAX('Calculations'!$HH$13:$HH$512),"",INDEX('Calculations'!$HJ$13:$HJ$512,MATCH(72,'Calculations'!$HH$13:$HH$512,0)))</x:f>
      </x:c>
      <x:c r="DC83" s="4" t="str">
        <x:f>IF(ROW()-11&gt;MAX('Calculations'!$BY$13:$BY$512),"",INDEX('Calculations'!$BU$13:$BU$512,MATCH(ROW()-11,'Calculations'!$BY$13:$BY$512,0)))</x:f>
      </x:c>
      <x:c r="DD83" s="4" t="str">
        <x:f>IF(72&gt;MAX('Calculations'!$IK$13:$IK$512),"",INDEX('Calculations'!$HK$13:$HK$512,MATCH(72,'Calculations'!$IK$13:$IK$512,0)))</x:f>
      </x:c>
      <x:c r="DE83" s="4" t="str">
        <x:f>'Calculations'!DC83</x:f>
      </x:c>
      <x:c r="DF83" s="4" t="str">
        <x:f>IF('Calculations'!DE83="","",COUNTIFS('Calculations'!$BN$13:$BN$512,1,'Calculations'!$BU$13:$BU$512,'Calculations'!DE83))</x:f>
      </x:c>
      <x:c r="DG83" s="4" t="str">
        <x:f>IF('Calculations'!DE83="","",COUNTIFS('Calculations'!$BN$13:$BN$512,1,'Calculations'!$BU$13:$BU$512,'Calculations'!DE83,'Calculations'!$BT$13:$BT$512,1))</x:f>
      </x:c>
      <x:c r="DH83" s="4" t="str">
        <x:f>IF('Calculations'!DE83="","",'Calculations'!DF83-'Calculations'!DG83)</x:f>
      </x:c>
      <x:c r="DI83" s="4" t="str">
        <x:f>IF(OR('Calculations'!DE83="",'Calculations'!DF83=0),"",'Calculations'!DG83/'Calculations'!DF83)</x:f>
      </x:c>
      <x:c r="DJ83" s="4" t="str">
        <x:f>IF('Calculations'!DE83="","",COUNTIFS('Calculations'!$BN$13:$BN$512,1,'Calculations'!$BU$13:$BU$512,'Calculations'!DE83,'Calculations'!$BT$13:$BT$512,1,'Calculations'!$EE$13:$EE$512,"High"))</x:f>
      </x:c>
      <x:c r="DK83" s="4" t="str">
        <x:f>IF('Calculations'!DE83="","",COUNTIFS('Calculations'!$BN$13:$BN$512,1,'Calculations'!$BU$13:$BU$512,'Calculations'!DE83,'Calculations'!$BT$13:$BT$512,1,'Calculations'!$EE$13:$EE$512,"Strong"))</x:f>
      </x:c>
      <x:c r="DL83" s="4" t="str">
        <x:f>IF('Calculations'!DE83="","",COUNTIFS('Calculations'!$BN$13:$BN$512,1,'Calculations'!$BU$13:$BU$512,'Calculations'!DE83,'Calculations'!$BT$13:$BT$512,1,'Calculations'!$EE$13:$EE$512,"Solid"))</x:f>
      </x:c>
      <x:c r="DM83" s="4" t="str">
        <x:f>IF('Calculations'!DE83="","",COUNTIFS('Calculations'!$BN$13:$BN$512,1,'Calculations'!$BU$13:$BU$512,'Calculations'!DE83,'Calculations'!$BT$13:$BT$512,1,'Calculations'!$EE$13:$EE$512,"Low"))</x:f>
      </x:c>
      <x:c r="DN83" s="4" t="str">
        <x:f>IF('Calculations'!DE83="","",COUNTIFS('Calculations'!$BN$13:$BN$512,1,'Calculations'!$BU$13:$BU$512,'Calculations'!DE83,'Calculations'!$EP$13:$EP$512,1))</x:f>
      </x:c>
      <x:c r="DO83" s="4" t="str">
        <x:f>IF(OR('Calculations'!DE83="",'Calculations'!DG83=0),"",('Calculations'!DJ83+'Calculations'!DK83)/'Calculations'!DG83)</x:f>
      </x:c>
      <x:c r="DP83" s="4" t="n">
        <x:f>IF(AND('Calculations'!DE83&lt;&gt;"",'Calculations'!DF83&gt;0),COUNTIF('Calculations'!$DF$12:DF83,"&gt;0"),0)</x:f>
        <x:v>0</x:v>
      </x:c>
      <x:c r="DQ83" s="4" t="str">
        <x:f>IF(72&gt;MAX('Calculations'!$HH$13:$HH$512),"",INDEX('Calculations'!$HF$13:$HF$512,MATCH(72,'Calculations'!$HH$13:$HH$512,0)))</x:f>
      </x:c>
      <x:c r="DR83" s="4" t="str">
        <x:f>IF(72&gt;MAX('Calculations'!$IK$13:$IK$512),"",INDEX('Calculations'!$HE$13:$HE$512,MATCH(72,'Calculations'!$IK$13:$IK$512,0)))</x:f>
      </x:c>
      <x:c r="DS83" s="4"/>
      <x:c r="DT83" s="4"/>
      <x:c r="DU83" s="4"/>
      <x:c r="DV83" s="4"/>
      <x:c r="DW83" s="4"/>
      <x:c r="DX83" s="4"/>
      <x:c r="DY83" s="4"/>
      <x:c r="DZ83" s="4"/>
      <x:c r="EA83" s="4"/>
      <x:c r="EB83" s="4"/>
      <x:c r="EC83" s="4"/>
      <x:c r="ED83" s="4"/>
      <x:c r="EE83" s="4" t="str">
        <x:f>IF('Calculations'!BT83=0,"Not Rated",IF(OR('Calculations'!BO83&gt;=4,'Calculations'!BP83&gt;=4),"Low",IF('Calculations'!BO83+'Calculations'!BP83&lt;=3,"High",IF('Calculations'!BO83+'Calculations'!BP83&lt;=4,"Strong","Solid"))))</x:f>
        <x:v>Not Rated</x:v>
      </x:c>
      <x:c r="EF83" s="4"/>
      <x:c r="EG83" s="4"/>
      <x:c r="EH83" s="4"/>
      <x:c r="EI83" s="4"/>
      <x:c r="EJ83" s="4"/>
      <x:c r="EK83" s="4"/>
      <x:c r="EL83" s="4"/>
      <x:c r="EM83" s="4" t="str">
        <x:f>IF(71&gt;'Calculations'!$JB$2000,"",INDEX('Calculations'!$JA$12:$JA$2000,MATCH(71,'Calculations'!$JB$12:$JB$2000,0)))</x:f>
      </x:c>
      <x:c r="EN83" s="4" t="n">
        <x:f>IF(OR('Calculations'!EM83="",'Calculations'!$AG$8&gt;0,AND('Calculations'!$EF$2&lt;&gt;"All",'Calculations'!HE83='Calculations'!$EF$2),AND('Calculations'!$EF$3&lt;&gt;"All",'Calculations'!HE83='Calculations'!$EF$3)),0,IF(OR('Dashboard'!$B$7="All",'Calculations'!HN83='Dashboard'!$B$7),IF('Calculations'!$EF$2="All",1,IF('Calculations'!HL83&gt;0,0,IF(COUNTIF('Calculations'!HO83:II83,"="&amp;SUBSTITUTE(SUBSTITUTE(SUBSTITUTE('Calculations'!$EF$2,"~","~~"),"*","~*"),"?","~?"))=0,0,IF('Calculations'!$EF$3="All",1,IF(COUNTIF('Calculations'!HO83:II83,"="&amp;SUBSTITUTE(SUBSTITUTE(SUBSTITUTE('Calculations'!$EF$3,"~","~~"),"*","~*"),"?","~?"))&gt;0,1,0))))),0))</x:f>
        <x:v>0</x:v>
      </x:c>
      <x:c r="EO83" s="4" t="str">
        <x:f>IF('Calculations'!IJ83="","",IF('Calculations'!IJ83="!UNRESOLVED","Unresolved hierarchy",IFERROR(INDEX('Calculations'!$HK$13:$HK$512,MATCH('Calculations'!IJ83,'Calculations'!$HE$13:$HE$512,0)),IFERROR(INDEX('Calculations'!$HJ$13:$HJ$512,MATCH('Calculations'!IJ83,'Calculations'!$HF$13:$HF$512,0)),'Calculations'!IJ83))))</x:f>
      </x:c>
      <x:c r="EP83" s="4" t="n">
        <x:f>IF(AND('Calculations'!EM83&lt;&gt;"",'Calculations'!HF83='Calculations'!IJ83),1,0)</x:f>
        <x:v>0</x:v>
      </x:c>
      <x:c r="EQ83" s="4"/>
      <x:c r="ER83" s="4"/>
      <x:c r="ES83" s="4"/>
      <x:c r="ET83" s="4"/>
      <x:c r="EU83" s="4"/>
      <x:c r="EV83" s="4"/>
      <x:c r="EW83" s="4"/>
      <x:c r="EX83" s="4"/>
      <x:c r="EY83" s="4"/>
      <x:c r="EZ83" s="4"/>
      <x:c r="FA83" s="4"/>
      <x:c r="FB83" s="4"/>
      <x:c r="FC83" s="4"/>
      <x:c r="FD83" s="4"/>
      <x:c r="FE83" s="4"/>
      <x:c r="FF83" s="4"/>
      <x:c r="FG83" s="4"/>
      <x:c r="FH83" s="4"/>
      <x:c r="FI83" s="4"/>
      <x:c r="FJ83" s="4"/>
      <x:c r="FK83" s="4"/>
      <x:c r="FL83" s="4"/>
      <x:c r="FM83" s="4"/>
      <x:c r="FN83" s="4"/>
      <x:c r="FO83" s="4"/>
      <x:c r="GA83" s="71"/>
      <x:c r="GB83" s="71"/>
      <x:c r="GC83" s="71"/>
      <x:c r="GD83" s="71"/>
      <x:c r="GE83" s="71"/>
      <x:c r="GF83" s="71"/>
      <x:c r="GG83" s="71"/>
      <x:c r="GH83" s="71"/>
      <x:c r="GI83" s="71"/>
      <x:c r="GJ83" s="71"/>
      <x:c r="GK83" s="71"/>
      <x:c r="GL83" s="71"/>
      <x:c r="GM83" s="71"/>
      <x:c r="GN83" s="71"/>
      <x:c r="GO83" s="71"/>
      <x:c r="GP83" s="71"/>
      <x:c r="GQ83" s="71"/>
      <x:c r="GR83" s="71" t="str">
        <x:f>'Calculations'!AF74</x:f>
        <x:v>4</x:v>
      </x:c>
      <x:c r="GS83" s="71"/>
      <x:c r="GT83" s="71" t="n">
        <x:f>'Calculations'!AG74</x:f>
        <x:v>0</x:v>
      </x:c>
      <x:c r="GU83" s="71"/>
      <x:c r="GV83" s="71" t="str">
        <x:f>IFERROR('Calculations'!AH74,"n.a.")</x:f>
        <x:v>n.a.</x:v>
      </x:c>
      <x:c r="GW83" s="71"/>
      <x:c r="GX83" s="71" t="n">
        <x:f>IFERROR('Calculations'!AI74,"—")</x:f>
        <x:v>0.07</x:v>
      </x:c>
      <x:c r="GY83" s="71"/>
      <x:c r="GZ83" s="71" t="str">
        <x:f>IF('Calculations'!AJ74="","—",'Calculations'!AJ74)</x:f>
        <x:v>—</x:v>
      </x:c>
      <x:c r="HA83" s="71"/>
      <x:c r="HB83" s="71"/>
      <x:c r="HC83" s="71"/>
      <x:c r="HD83" s="71"/>
      <x:c r="HE83" t="str">
        <x:f>IF('Calculations'!EM83="","",IF(IFERROR(IF(INDEX(INDIRECT("'WCM Calibration Final'!$A$1:$A$2000"),'Calculations'!$EM83)="","",TRIM(INDEX(INDIRECT("'WCM Calibration Final'!$A$1:$A$2000"),'Calculations'!$EM83)&amp;"")),"")&lt;&gt;"","G:"&amp;IFERROR(TEXT(1*INDEX(INDIRECT("'WCM Calibration Final'!$A$1:$A$2000"),'Calculations'!$EM83),"0"),UPPER(IFERROR(IF(INDEX(INDIRECT("'WCM Calibration Final'!$A$1:$A$2000"),'Calculations'!$EM83)="","",TRIM(INDEX(INDIRECT("'WCM Calibration Final'!$A$1:$A$2000"),'Calculations'!$EM83)&amp;"")),""))),IF(IFERROR(IF(INDEX(INDIRECT("'WCM Calibration Final'!$C$1:$C$2000"),'Calculations'!$EM83)="","",TRIM(INDEX(INDIRECT("'WCM Calibration Final'!$C$1:$C$2000"),'Calculations'!$EM83)&amp;"")),"")&lt;&gt;"","S:"&amp;UPPER(IFERROR(IF(INDEX(INDIRECT("'WCM Calibration Final'!$C$1:$C$2000"),'Calculations'!$EM83)="","",TRIM(INDEX(INDIRECT("'WCM Calibration Final'!$C$1:$C$2000"),'Calculations'!$EM83)&amp;"")),"")),"R:"&amp;'Calculations'!EM83)))</x:f>
      </x:c>
      <x:c r="HF83" t="str">
        <x:f>IF('Calculations'!EM83="","",IF(IFERROR(IF(INDEX(INDIRECT("'WCM Calibration Final'!$D$1:$D$2000"),'Calculations'!$EM83)="","",TRIM(INDEX(INDIRECT("'WCM Calibration Final'!$D$1:$D$2000"),'Calculations'!$EM83)&amp;"")),"")&lt;&gt;"","G:"&amp;IFERROR(TEXT(1*INDEX(INDIRECT("'WCM Calibration Final'!$D$1:$D$2000"),'Calculations'!$EM83),"0"),UPPER(IFERROR(IF(INDEX(INDIRECT("'WCM Calibration Final'!$D$1:$D$2000"),'Calculations'!$EM83)="","",TRIM(INDEX(INDIRECT("'WCM Calibration Final'!$D$1:$D$2000"),'Calculations'!$EM83)&amp;"")),""))),IF(IFERROR(IF(INDEX(INDIRECT("'WCM Calibration Final'!$E$1:$E$2000"),'Calculations'!$EM83)="","",TRIM(INDEX(INDIRECT("'WCM Calibration Final'!$E$1:$E$2000"),'Calculations'!$EM83)&amp;"")),"")="","",IF(COUNTIF('Calculations'!$HG$13:$HG$512,"="&amp;SUBSTITUTE(SUBSTITUTE(SUBSTITUTE(IFERROR(IF(INDEX(INDIRECT("'WCM Calibration Final'!$E$1:$E$2000"),'Calculations'!$EM83)="","",TRIM(INDEX(INDIRECT("'WCM Calibration Final'!$E$1:$E$2000"),'Calculations'!$EM83)&amp;"")),""),"~","~~"),"*","~*"),"?","~?"))=1,INDEX('Calculations'!$HE$13:$HE$512,MATCH(IFERROR(IF(INDEX(INDIRECT("'WCM Calibration Final'!$E$1:$E$2000"),'Calculations'!$EM83)="","",TRIM(INDEX(INDIRECT("'WCM Calibration Final'!$E$1:$E$2000"),'Calculations'!$EM83)&amp;"")),""),'Calculations'!$HG$13:$HG$512,0)),IF(COUNTIF('Calculations'!$HG$13:$HG$512,"="&amp;SUBSTITUTE(SUBSTITUTE(SUBSTITUTE(IFERROR(IF(INDEX(INDIRECT("'WCM Calibration Final'!$E$1:$E$2000"),'Calculations'!$EM83)="","",TRIM(INDEX(INDIRECT("'WCM Calibration Final'!$E$1:$E$2000"),'Calculations'!$EM83)&amp;"")),""),"~","~~"),"*","~*"),"?","~?"))&gt;1,"!AMBIG","X:"&amp;IFERROR(IF(INDEX(INDIRECT("'WCM Calibration Final'!$E$1:$E$2000"),'Calculations'!$EM83)="","",TRIM(INDEX(INDIRECT("'WCM Calibration Final'!$E$1:$E$2000"),'Calculations'!$EM83)&amp;"")),""))))))</x:f>
      </x:c>
      <x:c r="HG83" t="str">
        <x:f>IF('Calculations'!EM83="","",IFERROR(IF(INDEX(INDIRECT("'WCM Calibration Final'!$B$1:$B$2000"),'Calculations'!$EM83)="","",TRIM(INDEX(INDIRECT("'WCM Calibration Final'!$B$1:$B$2000"),'Calculations'!$EM83)&amp;"")),""))</x:f>
      </x:c>
      <x:c r="HH83" t="n">
        <x:f>IF(AND('Calculations'!JC83&gt;0,COUNTIF('Calculations'!$HF$12:HF83,"="&amp;SUBSTITUTE(SUBSTITUTE(SUBSTITUTE('Calculations'!HF83,"~","~~"),"*","~*"),"?","~?"))=1),MAX('Calculations'!$HH$12:HH82)+1,0)</x:f>
        <x:v>0</x:v>
      </x:c>
      <x:c r="HI83" t="n">
        <x:f>IF(AND('Calculations'!HN83&lt;&gt;"",COUNTIF('Calculations'!$HN$12:HN83,"="&amp;SUBSTITUTE(SUBSTITUTE(SUBSTITUTE('Calculations'!HN83,"~","~~"),"*","~*"),"?","~?"))=1),MAX('Calculations'!$HI$12:HI82)+1,0)</x:f>
        <x:v>0</x:v>
      </x:c>
      <x:c r="HJ83" t="str">
        <x:f>IF('Calculations'!HF83="","",IF(COUNTIF('Calculations'!$HE$13:$HE$512,"="&amp;SUBSTITUTE(SUBSTITUTE(SUBSTITUTE('Calculations'!HF83,"~","~~"),"*","~*"),"?","~?"))=1,INDEX('Calculations'!$HK$13:$HK$512,MATCH('Calculations'!HF83,'Calculations'!$HE$13:$HE$512,0)),IFERROR(IF(INDEX(INDIRECT("'WCM Calibration Final'!$E$1:$E$2000"),'Calculations'!$EM83)="","",TRIM(INDEX(INDIRECT("'WCM Calibration Final'!$E$1:$E$2000"),'Calculations'!$EM83)&amp;"")),"")&amp;" ["&amp;'Calculations'!HF83&amp;"]"))</x:f>
      </x:c>
      <x:c r="HK83" t="str">
        <x:f>IF('Calculations'!EM83="","",'Calculations'!HG83&amp;" ["&amp;'Calculations'!HE83&amp;"]")</x:f>
      </x:c>
      <x:c r="HL83" t="n">
        <x:f>IF('Calculations'!EM83="",0,IF(OR('Calculations'!II83&lt;&gt;"",COUNTIF('Calculations'!$HE$13:$HE$512,"="&amp;SUBSTITUTE(SUBSTITUTE(SUBSTITUTE('Calculations'!HE83,"~","~~"),"*","~*"),"?","~?"))&gt;1),1,0))</x:f>
        <x:v>0</x:v>
      </x:c>
      <x:c r="HM83" t="str">
        <x:f>IF('Calculations'!EM83="","",IF('Calculations'!HL83=1,"!UNRESOLVED",IF('Calculations'!IH83&lt;&gt;"",'Calculations'!IH83,IF('Calculations'!IG83&lt;&gt;"",'Calculations'!IG83,IF('Calculations'!IF83&lt;&gt;"",'Calculations'!IF83,IF('Calculations'!IE83&lt;&gt;"",'Calculations'!IE83,IF('Calculations'!ID83&lt;&gt;"",'Calculations'!ID83,IF('Calculations'!IC83&lt;&gt;"",'Calculations'!IC83,IF('Calculations'!IB83&lt;&gt;"",'Calculations'!IB83,IF('Calculations'!IA83&lt;&gt;"",'Calculations'!IA83,IF('Calculations'!HZ83&lt;&gt;"",'Calculations'!HZ83,IF('Calculations'!HY83&lt;&gt;"",'Calculations'!HY83,IF('Calculations'!HX83&lt;&gt;"",'Calculations'!HX83,IF('Calculations'!HW83&lt;&gt;"",'Calculations'!HW83,IF('Calculations'!HV83&lt;&gt;"",'Calculations'!HV83,IF('Calculations'!HU83&lt;&gt;"",'Calculations'!HU83,IF('Calculations'!HT83&lt;&gt;"",'Calculations'!HT83,IF('Calculations'!HS83&lt;&gt;"",'Calculations'!HS83,IF('Calculations'!HR83&lt;&gt;"",'Calculations'!HR83,IF('Calculations'!HQ83&lt;&gt;"",'Calculations'!HQ83,IF('Calculations'!HP83&lt;&gt;"",'Calculations'!HP83,IF('Calculations'!HO83&lt;&gt;"",'Calculations'!HO83,'Calculations'!HE83))))))))))))))))))))))</x:f>
      </x:c>
      <x:c r="HN83" t="str">
        <x:f>IF('Calculations'!EM83="","",IF(IFERROR(IF(INDEX(INDIRECT("'WCM Calibration Final'!$F$1:$F$2000"),'Calculations'!$EM83)="","",TRIM(INDEX(INDIRECT("'WCM Calibration Final'!$F$1:$F$2000"),'Calculations'!$EM83)&amp;"")),"")="","(Blank)",IFERROR(IF(INDEX(INDIRECT("'WCM Calibration Final'!$F$1:$F$2000"),'Calculations'!$EM83)="","",TRIM(INDEX(INDIRECT("'WCM Calibration Final'!$F$1:$F$2000"),'Calculations'!$EM83)&amp;"")),"")))</x:f>
      </x:c>
      <x:c r="HO83" t="str">
        <x:f>'Calculations'!HF83</x:f>
      </x:c>
      <x:c r="HP83" t="str">
        <x:f>IF('Calculations'!HO83="","",IF('Calculations'!HO83="!AMBIG","!AMBIG",IF(COUNTIF('Calculations'!$HE$13:$HE$512,"="&amp;SUBSTITUTE(SUBSTITUTE(SUBSTITUTE('Calculations'!HO83,"~","~~"),"*","~*"),"?","~?"))&gt;1,"!AMBIG",IFERROR(INDEX('Calculations'!$HF$13:$HF$512,MATCH('Calculations'!HO83,'Calculations'!$HE$13:$HE$512,0)),""))))</x:f>
      </x:c>
      <x:c r="HQ83" t="str">
        <x:f>IF('Calculations'!HP83="","",IF('Calculations'!HP83="!AMBIG","!AMBIG",IF(COUNTIF('Calculations'!$HE$13:$HE$512,"="&amp;SUBSTITUTE(SUBSTITUTE(SUBSTITUTE('Calculations'!HP83,"~","~~"),"*","~*"),"?","~?"))&gt;1,"!AMBIG",IFERROR(INDEX('Calculations'!$HF$13:$HF$512,MATCH('Calculations'!HP83,'Calculations'!$HE$13:$HE$512,0)),""))))</x:f>
      </x:c>
      <x:c r="HR83" t="str">
        <x:f>IF('Calculations'!HQ83="","",IF('Calculations'!HQ83="!AMBIG","!AMBIG",IF(COUNTIF('Calculations'!$HE$13:$HE$512,"="&amp;SUBSTITUTE(SUBSTITUTE(SUBSTITUTE('Calculations'!HQ83,"~","~~"),"*","~*"),"?","~?"))&gt;1,"!AMBIG",IFERROR(INDEX('Calculations'!$HF$13:$HF$512,MATCH('Calculations'!HQ83,'Calculations'!$HE$13:$HE$512,0)),""))))</x:f>
      </x:c>
      <x:c r="HS83" t="str">
        <x:f>IF('Calculations'!HR83="","",IF('Calculations'!HR83="!AMBIG","!AMBIG",IF(COUNTIF('Calculations'!$HE$13:$HE$512,"="&amp;SUBSTITUTE(SUBSTITUTE(SUBSTITUTE('Calculations'!HR83,"~","~~"),"*","~*"),"?","~?"))&gt;1,"!AMBIG",IFERROR(INDEX('Calculations'!$HF$13:$HF$512,MATCH('Calculations'!HR83,'Calculations'!$HE$13:$HE$512,0)),""))))</x:f>
      </x:c>
      <x:c r="HT83" t="str">
        <x:f>IF('Calculations'!HS83="","",IF('Calculations'!HS83="!AMBIG","!AMBIG",IF(COUNTIF('Calculations'!$HE$13:$HE$512,"="&amp;SUBSTITUTE(SUBSTITUTE(SUBSTITUTE('Calculations'!HS83,"~","~~"),"*","~*"),"?","~?"))&gt;1,"!AMBIG",IFERROR(INDEX('Calculations'!$HF$13:$HF$512,MATCH('Calculations'!HS83,'Calculations'!$HE$13:$HE$512,0)),""))))</x:f>
      </x:c>
      <x:c r="HU83" t="str">
        <x:f>IF('Calculations'!HT83="","",IF('Calculations'!HT83="!AMBIG","!AMBIG",IF(COUNTIF('Calculations'!$HE$13:$HE$512,"="&amp;SUBSTITUTE(SUBSTITUTE(SUBSTITUTE('Calculations'!HT83,"~","~~"),"*","~*"),"?","~?"))&gt;1,"!AMBIG",IFERROR(INDEX('Calculations'!$HF$13:$HF$512,MATCH('Calculations'!HT83,'Calculations'!$HE$13:$HE$512,0)),""))))</x:f>
      </x:c>
      <x:c r="HV83" t="str">
        <x:f>IF('Calculations'!HU83="","",IF('Calculations'!HU83="!AMBIG","!AMBIG",IF(COUNTIF('Calculations'!$HE$13:$HE$512,"="&amp;SUBSTITUTE(SUBSTITUTE(SUBSTITUTE('Calculations'!HU83,"~","~~"),"*","~*"),"?","~?"))&gt;1,"!AMBIG",IFERROR(INDEX('Calculations'!$HF$13:$HF$512,MATCH('Calculations'!HU83,'Calculations'!$HE$13:$HE$512,0)),""))))</x:f>
      </x:c>
      <x:c r="HW83" t="str">
        <x:f>IF('Calculations'!HV83="","",IF('Calculations'!HV83="!AMBIG","!AMBIG",IF(COUNTIF('Calculations'!$HE$13:$HE$512,"="&amp;SUBSTITUTE(SUBSTITUTE(SUBSTITUTE('Calculations'!HV83,"~","~~"),"*","~*"),"?","~?"))&gt;1,"!AMBIG",IFERROR(INDEX('Calculations'!$HF$13:$HF$512,MATCH('Calculations'!HV83,'Calculations'!$HE$13:$HE$512,0)),""))))</x:f>
      </x:c>
      <x:c r="HX83" t="str">
        <x:f>IF('Calculations'!HW83="","",IF('Calculations'!HW83="!AMBIG","!AMBIG",IF(COUNTIF('Calculations'!$HE$13:$HE$512,"="&amp;SUBSTITUTE(SUBSTITUTE(SUBSTITUTE('Calculations'!HW83,"~","~~"),"*","~*"),"?","~?"))&gt;1,"!AMBIG",IFERROR(INDEX('Calculations'!$HF$13:$HF$512,MATCH('Calculations'!HW83,'Calculations'!$HE$13:$HE$512,0)),""))))</x:f>
      </x:c>
      <x:c r="HY83" t="str">
        <x:f>IF('Calculations'!HX83="","",IF('Calculations'!HX83="!AMBIG","!AMBIG",IF(COUNTIF('Calculations'!$HE$13:$HE$512,"="&amp;SUBSTITUTE(SUBSTITUTE(SUBSTITUTE('Calculations'!HX83,"~","~~"),"*","~*"),"?","~?"))&gt;1,"!AMBIG",IFERROR(INDEX('Calculations'!$HF$13:$HF$512,MATCH('Calculations'!HX83,'Calculations'!$HE$13:$HE$512,0)),""))))</x:f>
      </x:c>
      <x:c r="HZ83" t="str">
        <x:f>IF('Calculations'!HY83="","",IF('Calculations'!HY83="!AMBIG","!AMBIG",IF(COUNTIF('Calculations'!$HE$13:$HE$512,"="&amp;SUBSTITUTE(SUBSTITUTE(SUBSTITUTE('Calculations'!HY83,"~","~~"),"*","~*"),"?","~?"))&gt;1,"!AMBIG",IFERROR(INDEX('Calculations'!$HF$13:$HF$512,MATCH('Calculations'!HY83,'Calculations'!$HE$13:$HE$512,0)),""))))</x:f>
      </x:c>
      <x:c r="IA83" t="str">
        <x:f>IF('Calculations'!HZ83="","",IF('Calculations'!HZ83="!AMBIG","!AMBIG",IF(COUNTIF('Calculations'!$HE$13:$HE$512,"="&amp;SUBSTITUTE(SUBSTITUTE(SUBSTITUTE('Calculations'!HZ83,"~","~~"),"*","~*"),"?","~?"))&gt;1,"!AMBIG",IFERROR(INDEX('Calculations'!$HF$13:$HF$512,MATCH('Calculations'!HZ83,'Calculations'!$HE$13:$HE$512,0)),""))))</x:f>
      </x:c>
      <x:c r="IB83" t="str">
        <x:f>IF('Calculations'!IA83="","",IF('Calculations'!IA83="!AMBIG","!AMBIG",IF(COUNTIF('Calculations'!$HE$13:$HE$512,"="&amp;SUBSTITUTE(SUBSTITUTE(SUBSTITUTE('Calculations'!IA83,"~","~~"),"*","~*"),"?","~?"))&gt;1,"!AMBIG",IFERROR(INDEX('Calculations'!$HF$13:$HF$512,MATCH('Calculations'!IA83,'Calculations'!$HE$13:$HE$512,0)),""))))</x:f>
      </x:c>
      <x:c r="IC83" t="str">
        <x:f>IF('Calculations'!IB83="","",IF('Calculations'!IB83="!AMBIG","!AMBIG",IF(COUNTIF('Calculations'!$HE$13:$HE$512,"="&amp;SUBSTITUTE(SUBSTITUTE(SUBSTITUTE('Calculations'!IB83,"~","~~"),"*","~*"),"?","~?"))&gt;1,"!AMBIG",IFERROR(INDEX('Calculations'!$HF$13:$HF$512,MATCH('Calculations'!IB83,'Calculations'!$HE$13:$HE$512,0)),""))))</x:f>
      </x:c>
      <x:c r="ID83" t="str">
        <x:f>IF('Calculations'!IC83="","",IF('Calculations'!IC83="!AMBIG","!AMBIG",IF(COUNTIF('Calculations'!$HE$13:$HE$512,"="&amp;SUBSTITUTE(SUBSTITUTE(SUBSTITUTE('Calculations'!IC83,"~","~~"),"*","~*"),"?","~?"))&gt;1,"!AMBIG",IFERROR(INDEX('Calculations'!$HF$13:$HF$512,MATCH('Calculations'!IC83,'Calculations'!$HE$13:$HE$512,0)),""))))</x:f>
      </x:c>
      <x:c r="IE83" t="str">
        <x:f>IF('Calculations'!ID83="","",IF('Calculations'!ID83="!AMBIG","!AMBIG",IF(COUNTIF('Calculations'!$HE$13:$HE$512,"="&amp;SUBSTITUTE(SUBSTITUTE(SUBSTITUTE('Calculations'!ID83,"~","~~"),"*","~*"),"?","~?"))&gt;1,"!AMBIG",IFERROR(INDEX('Calculations'!$HF$13:$HF$512,MATCH('Calculations'!ID83,'Calculations'!$HE$13:$HE$512,0)),""))))</x:f>
      </x:c>
      <x:c r="IF83" t="str">
        <x:f>IF('Calculations'!IE83="","",IF('Calculations'!IE83="!AMBIG","!AMBIG",IF(COUNTIF('Calculations'!$HE$13:$HE$512,"="&amp;SUBSTITUTE(SUBSTITUTE(SUBSTITUTE('Calculations'!IE83,"~","~~"),"*","~*"),"?","~?"))&gt;1,"!AMBIG",IFERROR(INDEX('Calculations'!$HF$13:$HF$512,MATCH('Calculations'!IE83,'Calculations'!$HE$13:$HE$512,0)),""))))</x:f>
      </x:c>
      <x:c r="IG83" t="str">
        <x:f>IF('Calculations'!IF83="","",IF('Calculations'!IF83="!AMBIG","!AMBIG",IF(COUNTIF('Calculations'!$HE$13:$HE$512,"="&amp;SUBSTITUTE(SUBSTITUTE(SUBSTITUTE('Calculations'!IF83,"~","~~"),"*","~*"),"?","~?"))&gt;1,"!AMBIG",IFERROR(INDEX('Calculations'!$HF$13:$HF$512,MATCH('Calculations'!IF83,'Calculations'!$HE$13:$HE$512,0)),""))))</x:f>
      </x:c>
      <x:c r="IH83" t="str">
        <x:f>IF('Calculations'!IG83="","",IF('Calculations'!IG83="!AMBIG","!AMBIG",IF(COUNTIF('Calculations'!$HE$13:$HE$512,"="&amp;SUBSTITUTE(SUBSTITUTE(SUBSTITUTE('Calculations'!IG83,"~","~~"),"*","~*"),"?","~?"))&gt;1,"!AMBIG",IFERROR(INDEX('Calculations'!$HF$13:$HF$512,MATCH('Calculations'!IG83,'Calculations'!$HE$13:$HE$512,0)),""))))</x:f>
      </x:c>
      <x:c r="II83" t="str">
        <x:f>IF('Calculations'!IH83="","",IF('Calculations'!IH83="!AMBIG","!AMBIG",IF(COUNTIF('Calculations'!$HE$13:$HE$512,"="&amp;SUBSTITUTE(SUBSTITUTE(SUBSTITUTE('Calculations'!IH83,"~","~~"),"*","~*"),"?","~?"))&gt;1,"!AMBIG",IFERROR(INDEX('Calculations'!$HF$13:$HF$512,MATCH('Calculations'!IH83,'Calculations'!$HE$13:$HE$512,0)),""))))</x:f>
      </x:c>
      <x:c r="IJ83" t="str">
        <x:f>IF('Calculations'!EM83="","",IF('Calculations'!$EF$2="All",'Calculations'!HM83,IF('Calculations'!HL83=1,"",IFERROR(IF(MATCH('Calculations'!$EF$2,'Calculations'!HO83:II83,0)=1,'Calculations'!HE83,INDEX('Calculations'!HO83:II83,1,MATCH('Calculations'!$EF$2,'Calculations'!HO83:II83,0)-1)),""))))</x:f>
      </x:c>
      <x:c r="IK83" t="n">
        <x:f>IF(AND('Calculations'!EM83&lt;&gt;"",'Calculations'!$EF$2&lt;&gt;"All",'Calculations'!HF83='Calculations'!$EF$2,'Calculations'!HL83=0,'Calculations'!JD83&gt;0),MAX('Calculations'!$IK$12:IK82)+1,0)</x:f>
        <x:v>0</x:v>
      </x:c>
      <x:c r="JA83" t="n">
        <x:f>IF(OR(IFERROR(INDIRECT("'WCM Calibration Final'!$A$83")&lt;&gt;"",FALSE),IFERROR(INDIRECT("'WCM Calibration Final'!$B$83")&lt;&gt;"",FALSE),IFERROR(INDIRECT("'WCM Calibration Final'!$C$83")&lt;&gt;"",FALSE)),83,0)</x:f>
        <x:v>0</x:v>
      </x:c>
      <x:c r="JB83" t="n">
        <x:f>'Calculations'!JB82+IF('Calculations'!JA83&gt;0,1,0)</x:f>
        <x:v>0</x:v>
      </x:c>
      <x:c r="JC83" t="n">
        <x:f>IF(OR('Calculations'!HF83="",'Calculations'!HF83="!AMBIG"),0,IF('Dashboard'!$B$7="All",1,COUNTIFS('Calculations'!$HO$13:$HO$512,"="&amp;SUBSTITUTE(SUBSTITUTE(SUBSTITUTE('Calculations'!HF83,"~","~~"),"*","~*"),"?","~?"),'Calculations'!$HN$13:$HN$512,"="&amp;SUBSTITUTE(SUBSTITUTE(SUBSTITUTE('Dashboard'!$B$7,"~","~~"),"*","~*"),"?","~?"))+COUNTIFS('Calculations'!$HP$13:$HP$512,"="&amp;SUBSTITUTE(SUBSTITUTE(SUBSTITUTE('Calculations'!HF83,"~","~~"),"*","~*"),"?","~?"),'Calculations'!$HN$13:$HN$512,"="&amp;SUBSTITUTE(SUBSTITUTE(SUBSTITUTE('Dashboard'!$B$7,"~","~~"),"*","~*"),"?","~?"))+COUNTIFS('Calculations'!$HQ$13:$HQ$512,"="&amp;SUBSTITUTE(SUBSTITUTE(SUBSTITUTE('Calculations'!HF83,"~","~~"),"*","~*"),"?","~?"),'Calculations'!$HN$13:$HN$512,"="&amp;SUBSTITUTE(SUBSTITUTE(SUBSTITUTE('Dashboard'!$B$7,"~","~~"),"*","~*"),"?","~?"))+COUNTIFS('Calculations'!$HR$13:$HR$512,"="&amp;SUBSTITUTE(SUBSTITUTE(SUBSTITUTE('Calculations'!HF83,"~","~~"),"*","~*"),"?","~?"),'Calculations'!$HN$13:$HN$512,"="&amp;SUBSTITUTE(SUBSTITUTE(SUBSTITUTE('Dashboard'!$B$7,"~","~~"),"*","~*"),"?","~?"))+COUNTIFS('Calculations'!$HS$13:$HS$512,"="&amp;SUBSTITUTE(SUBSTITUTE(SUBSTITUTE('Calculations'!HF83,"~","~~"),"*","~*"),"?","~?"),'Calculations'!$HN$13:$HN$512,"="&amp;SUBSTITUTE(SUBSTITUTE(SUBSTITUTE('Dashboard'!$B$7,"~","~~"),"*","~*"),"?","~?"))+COUNTIFS('Calculations'!$HT$13:$HT$512,"="&amp;SUBSTITUTE(SUBSTITUTE(SUBSTITUTE('Calculations'!HF83,"~","~~"),"*","~*"),"?","~?"),'Calculations'!$HN$13:$HN$512,"="&amp;SUBSTITUTE(SUBSTITUTE(SUBSTITUTE('Dashboard'!$B$7,"~","~~"),"*","~*"),"?","~?"))+COUNTIFS('Calculations'!$HU$13:$HU$512,"="&amp;SUBSTITUTE(SUBSTITUTE(SUBSTITUTE('Calculations'!HF83,"~","~~"),"*","~*"),"?","~?"),'Calculations'!$HN$13:$HN$512,"="&amp;SUBSTITUTE(SUBSTITUTE(SUBSTITUTE('Dashboard'!$B$7,"~","~~"),"*","~*"),"?","~?"))+COUNTIFS('Calculations'!$HV$13:$HV$512,"="&amp;SUBSTITUTE(SUBSTITUTE(SUBSTITUTE('Calculations'!HF83,"~","~~"),"*","~*"),"?","~?"),'Calculations'!$HN$13:$HN$512,"="&amp;SUBSTITUTE(SUBSTITUTE(SUBSTITUTE('Dashboard'!$B$7,"~","~~"),"*","~*"),"?","~?"))+COUNTIFS('Calculations'!$HW$13:$HW$512,"="&amp;SUBSTITUTE(SUBSTITUTE(SUBSTITUTE('Calculations'!HF83,"~","~~"),"*","~*"),"?","~?"),'Calculations'!$HN$13:$HN$512,"="&amp;SUBSTITUTE(SUBSTITUTE(SUBSTITUTE('Dashboard'!$B$7,"~","~~"),"*","~*"),"?","~?"))+COUNTIFS('Calculations'!$HX$13:$HX$512,"="&amp;SUBSTITUTE(SUBSTITUTE(SUBSTITUTE('Calculations'!HF83,"~","~~"),"*","~*"),"?","~?"),'Calculations'!$HN$13:$HN$512,"="&amp;SUBSTITUTE(SUBSTITUTE(SUBSTITUTE('Dashboard'!$B$7,"~","~~"),"*","~*"),"?","~?"))+COUNTIFS('Calculations'!$HY$13:$HY$512,"="&amp;SUBSTITUTE(SUBSTITUTE(SUBSTITUTE('Calculations'!HF83,"~","~~"),"*","~*"),"?","~?"),'Calculations'!$HN$13:$HN$512,"="&amp;SUBSTITUTE(SUBSTITUTE(SUBSTITUTE('Dashboard'!$B$7,"~","~~"),"*","~*"),"?","~?"))+COUNTIFS('Calculations'!$HZ$13:$HZ$512,"="&amp;SUBSTITUTE(SUBSTITUTE(SUBSTITUTE('Calculations'!HF83,"~","~~"),"*","~*"),"?","~?"),'Calculations'!$HN$13:$HN$512,"="&amp;SUBSTITUTE(SUBSTITUTE(SUBSTITUTE('Dashboard'!$B$7,"~","~~"),"*","~*"),"?","~?"))+COUNTIFS('Calculations'!$IA$13:$IA$512,"="&amp;SUBSTITUTE(SUBSTITUTE(SUBSTITUTE('Calculations'!HF83,"~","~~"),"*","~*"),"?","~?"),'Calculations'!$HN$13:$HN$512,"="&amp;SUBSTITUTE(SUBSTITUTE(SUBSTITUTE('Dashboard'!$B$7,"~","~~"),"*","~*"),"?","~?"))+COUNTIFS('Calculations'!$IB$13:$IB$512,"="&amp;SUBSTITUTE(SUBSTITUTE(SUBSTITUTE('Calculations'!HF83,"~","~~"),"*","~*"),"?","~?"),'Calculations'!$HN$13:$HN$512,"="&amp;SUBSTITUTE(SUBSTITUTE(SUBSTITUTE('Dashboard'!$B$7,"~","~~"),"*","~*"),"?","~?"))+COUNTIFS('Calculations'!$IC$13:$IC$512,"="&amp;SUBSTITUTE(SUBSTITUTE(SUBSTITUTE('Calculations'!HF83,"~","~~"),"*","~*"),"?","~?"),'Calculations'!$HN$13:$HN$512,"="&amp;SUBSTITUTE(SUBSTITUTE(SUBSTITUTE('Dashboard'!$B$7,"~","~~"),"*","~*"),"?","~?"))+COUNTIFS('Calculations'!$ID$13:$ID$512,"="&amp;SUBSTITUTE(SUBSTITUTE(SUBSTITUTE('Calculations'!HF83,"~","~~"),"*","~*"),"?","~?"),'Calculations'!$HN$13:$HN$512,"="&amp;SUBSTITUTE(SUBSTITUTE(SUBSTITUTE('Dashboard'!$B$7,"~","~~"),"*","~*"),"?","~?"))+COUNTIFS('Calculations'!$IE$13:$IE$512,"="&amp;SUBSTITUTE(SUBSTITUTE(SUBSTITUTE('Calculations'!HF83,"~","~~"),"*","~*"),"?","~?"),'Calculations'!$HN$13:$HN$512,"="&amp;SUBSTITUTE(SUBSTITUTE(SUBSTITUTE('Dashboard'!$B$7,"~","~~"),"*","~*"),"?","~?"))+COUNTIFS('Calculations'!$IF$13:$IF$512,"="&amp;SUBSTITUTE(SUBSTITUTE(SUBSTITUTE('Calculations'!HF83,"~","~~"),"*","~*"),"?","~?"),'Calculations'!$HN$13:$HN$512,"="&amp;SUBSTITUTE(SUBSTITUTE(SUBSTITUTE('Dashboard'!$B$7,"~","~~"),"*","~*"),"?","~?"))+COUNTIFS('Calculations'!$IG$13:$IG$512,"="&amp;SUBSTITUTE(SUBSTITUTE(SUBSTITUTE('Calculations'!HF83,"~","~~"),"*","~*"),"?","~?"),'Calculations'!$HN$13:$HN$512,"="&amp;SUBSTITUTE(SUBSTITUTE(SUBSTITUTE('Dashboard'!$B$7,"~","~~"),"*","~*"),"?","~?"))+COUNTIFS('Calculations'!$IH$13:$IH$512,"="&amp;SUBSTITUTE(SUBSTITUTE(SUBSTITUTE('Calculations'!HF83,"~","~~"),"*","~*"),"?","~?"),'Calculations'!$HN$13:$HN$512,"="&amp;SUBSTITUTE(SUBSTITUTE(SUBSTITUTE('Dashboard'!$B$7,"~","~~"),"*","~*"),"?","~?"))))</x:f>
        <x:v>0</x:v>
      </x:c>
      <x:c r="JD83" t="n">
        <x:f>IF('Calculations'!EM83="",0,IF('Dashboard'!$B$7="All",1,IF('Calculations'!HN83='Dashboard'!$B$7,1,0)+IFERROR(INDEX('Calculations'!$JC$13:$JC$512,MATCH('Calculations'!HE83,'Calculations'!$HF$13:$HF$512,0)),0)))</x:f>
        <x:v>0</x:v>
      </x:c>
      <x:c r="JE83" t="n">
        <x:f>IF(AND('Calculations'!EM83&lt;&gt;"",'Calculations'!$JJ$2&lt;&gt;"All",'Calculations'!$JJ$2&lt;&gt;"",'Calculations'!HF83='Calculations'!$JJ$2,'Calculations'!HL83=0,'Calculations'!JD83&gt;0),MAX('Calculations'!$JE$12:JE82)+1,0)</x:f>
        <x:v>0</x:v>
      </x:c>
      <x:c r="JF83" t="str">
        <x:f>IF('Calculations'!EM83="","",IFERROR(IF(INDEX(INDIRECT("'WCM Calibration Final'!$G$1:$G$2000"),'Calculations'!$EM83)="","",TRIM(INDEX(INDIRECT("'WCM Calibration Final'!$G$1:$G$2000"),'Calculations'!$EM83)&amp;"")),""))</x:f>
      </x:c>
      <x:c r="JQ83" t="n">
        <x:f>IF(OR('Calculations'!BM83=0,NOT('Calculations'!$AG$2),'Calculations'!$AG$8&gt;0),0,IF(OR('Dashboard'!$B$7="All",'Calculations'!HN83='Dashboard'!$B$7),IF('Calculations'!$JJ$2="All",1,IF(AND('Calculations'!HF83='Calculations'!$JJ$2,'Calculations'!HL83=0),1,0)),0))</x:f>
        <x:v>0</x:v>
      </x:c>
    </x:row>
    <x:row r="8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t="n">
        <x:f>IF('Calculations'!$EM84="",0,IF(OR(IFERROR(INDEX(INDIRECT("'WCM Calibration Final'!$A$1:$A$2000"),'Calculations'!$EM84)&lt;&gt;"",FALSE),IFERROR(INDEX(INDIRECT("'WCM Calibration Final'!$B$1:$B$2000"),'Calculations'!$EM84)&lt;&gt;"",FALSE),IFERROR(INDEX(INDIRECT("'WCM Calibration Final'!$C$1:$C$2000"),'Calculations'!$EM84)&lt;&gt;"",FALSE)),1,0))</x:f>
        <x:v>0</x:v>
      </x:c>
      <x:c r="BN84" s="4" t="n">
        <x:f>IF(AND('Calculations'!BM84=1,'Calculations'!$AG$2,'Calculations'!$EN84=1),1,0)</x:f>
        <x:v>0</x:v>
      </x:c>
      <x:c r="BO84" s="4" t="str">
        <x:f>IF('Calculations'!BM84=0,"",IFERROR(IF(AND(VALUE(INDEX(INDIRECT("'WCM Calibration Final'!$K$1:$K$2000"),'Calculations'!$EM84))&gt;=1,VALUE(INDEX(INDIRECT("'WCM Calibration Final'!$K$1:$K$2000"),'Calculations'!$EM84))&lt;=4,MOD(VALUE(INDEX(INDIRECT("'WCM Calibration Final'!$K$1:$K$2000"),'Calculations'!$EM84)),1)=0),VALUE(INDEX(INDIRECT("'WCM Calibration Final'!$K$1:$K$2000"),'Calculations'!$EM84)),""),""))</x:f>
      </x:c>
      <x:c r="BP84" s="4" t="str">
        <x:f>IF('Calculations'!BM84=0,"",IFERROR(IF(AND(VALUE(INDEX(INDIRECT("'WCM Calibration Final'!$L$1:$L$2000"),'Calculations'!$EM84))&gt;=1,VALUE(INDEX(INDIRECT("'WCM Calibration Final'!$L$1:$L$2000"),'Calculations'!$EM84))&lt;=4,MOD(VALUE(INDEX(INDIRECT("'WCM Calibration Final'!$L$1:$L$2000"),'Calculations'!$EM84)),1)=0),VALUE(INDEX(INDIRECT("'WCM Calibration Final'!$L$1:$L$2000"),'Calculations'!$EM84)),""),""))</x:f>
      </x:c>
      <x:c r="BQ84" s="4"/>
      <x:c r="BR84" s="4"/>
      <x:c r="BS84" s="4"/>
      <x:c r="BT84" s="4" t="n">
        <x:f>IF(AND('Calculations'!BM84=1,ISNUMBER('Calculations'!BO84),ISNUMBER('Calculations'!BP84)),1,0)</x:f>
        <x:v>0</x:v>
      </x:c>
      <x:c r="BU84" s="4" t="str">
        <x:f>IF('Calculations'!BM84=0,"",'Calculations'!$EO84)</x:f>
      </x:c>
      <x:c r="BV84" s="4" t="str">
        <x:f>IF('Calculations'!BM84=0,"",IFERROR(IF(OR(INDEX(INDIRECT("'WCM Calibration Final'!$H$1:$H$2000"),'Calculations'!$EM84)="MANAGING DIRECTOR",INDEX(INDIRECT("'WCM Calibration Final'!$H$1:$H$2000"),'Calculations'!$EM84)="DIRECTOR",INDEX(INDIRECT("'WCM Calibration Final'!$H$1:$H$2000"),'Calculations'!$EM84)="SENIOR VICE PRESIDENT",INDEX(INDIRECT("'WCM Calibration Final'!$H$1:$H$2000"),'Calculations'!$EM84)="VICE PRESIDENT",INDEX(INDIRECT("'WCM Calibration Final'!$H$1:$H$2000"),'Calculations'!$EM84)="ASSISTANT VICE PRESIDENT",INDEX(INDIRECT("'WCM Calibration Final'!$H$1:$H$2000"),'Calculations'!$EM84)="OFFICER"),UPPER(INDEX(INDIRECT("'WCM Calibration Final'!$H$1:$H$2000"),'Calculations'!$EM84)),"Other"),"Other"))</x:f>
      </x:c>
      <x:c r="BW84" s="4"/>
      <x:c r="BX84" s="4"/>
      <x:c r="BY84" s="4" t="n">
        <x:f>IF(AND('Calculations'!BM84=1,'Calculations'!BU84&lt;&gt;"",COUNTIF('Calculations'!$BU$12:BU84,'Calculations'!BU84)=1),MAX('Calculations'!$BY$11:BY83)+1,0)</x:f>
        <x:v>0</x:v>
      </x:c>
      <x:c r="BZ84" s="4" t="str">
        <x:f>IF('Dashboard'!$E$67="What",'Calculations'!BO84,'Calculations'!BP84)</x:f>
      </x:c>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t="str">
        <x:f>IF(73&gt;MAX('Calculations'!$HI$13:$HI$512),"",INDEX('Calculations'!$HN$13:$HN$512,MATCH(73,'Calculations'!$HI$13:$HI$512,0)))</x:f>
      </x:c>
      <x:c r="DB84" s="4" t="str">
        <x:f>IF(73&gt;MAX('Calculations'!$HH$13:$HH$512),"",INDEX('Calculations'!$HJ$13:$HJ$512,MATCH(73,'Calculations'!$HH$13:$HH$512,0)))</x:f>
      </x:c>
      <x:c r="DC84" s="4" t="str">
        <x:f>IF(ROW()-11&gt;MAX('Calculations'!$BY$13:$BY$512),"",INDEX('Calculations'!$BU$13:$BU$512,MATCH(ROW()-11,'Calculations'!$BY$13:$BY$512,0)))</x:f>
      </x:c>
      <x:c r="DD84" s="4" t="str">
        <x:f>IF(73&gt;MAX('Calculations'!$IK$13:$IK$512),"",INDEX('Calculations'!$HK$13:$HK$512,MATCH(73,'Calculations'!$IK$13:$IK$512,0)))</x:f>
      </x:c>
      <x:c r="DE84" s="4" t="str">
        <x:f>'Calculations'!DC84</x:f>
      </x:c>
      <x:c r="DF84" s="4" t="str">
        <x:f>IF('Calculations'!DE84="","",COUNTIFS('Calculations'!$BN$13:$BN$512,1,'Calculations'!$BU$13:$BU$512,'Calculations'!DE84))</x:f>
      </x:c>
      <x:c r="DG84" s="4" t="str">
        <x:f>IF('Calculations'!DE84="","",COUNTIFS('Calculations'!$BN$13:$BN$512,1,'Calculations'!$BU$13:$BU$512,'Calculations'!DE84,'Calculations'!$BT$13:$BT$512,1))</x:f>
      </x:c>
      <x:c r="DH84" s="4" t="str">
        <x:f>IF('Calculations'!DE84="","",'Calculations'!DF84-'Calculations'!DG84)</x:f>
      </x:c>
      <x:c r="DI84" s="4" t="str">
        <x:f>IF(OR('Calculations'!DE84="",'Calculations'!DF84=0),"",'Calculations'!DG84/'Calculations'!DF84)</x:f>
      </x:c>
      <x:c r="DJ84" s="4" t="str">
        <x:f>IF('Calculations'!DE84="","",COUNTIFS('Calculations'!$BN$13:$BN$512,1,'Calculations'!$BU$13:$BU$512,'Calculations'!DE84,'Calculations'!$BT$13:$BT$512,1,'Calculations'!$EE$13:$EE$512,"High"))</x:f>
      </x:c>
      <x:c r="DK84" s="4" t="str">
        <x:f>IF('Calculations'!DE84="","",COUNTIFS('Calculations'!$BN$13:$BN$512,1,'Calculations'!$BU$13:$BU$512,'Calculations'!DE84,'Calculations'!$BT$13:$BT$512,1,'Calculations'!$EE$13:$EE$512,"Strong"))</x:f>
      </x:c>
      <x:c r="DL84" s="4" t="str">
        <x:f>IF('Calculations'!DE84="","",COUNTIFS('Calculations'!$BN$13:$BN$512,1,'Calculations'!$BU$13:$BU$512,'Calculations'!DE84,'Calculations'!$BT$13:$BT$512,1,'Calculations'!$EE$13:$EE$512,"Solid"))</x:f>
      </x:c>
      <x:c r="DM84" s="4" t="str">
        <x:f>IF('Calculations'!DE84="","",COUNTIFS('Calculations'!$BN$13:$BN$512,1,'Calculations'!$BU$13:$BU$512,'Calculations'!DE84,'Calculations'!$BT$13:$BT$512,1,'Calculations'!$EE$13:$EE$512,"Low"))</x:f>
      </x:c>
      <x:c r="DN84" s="4" t="str">
        <x:f>IF('Calculations'!DE84="","",COUNTIFS('Calculations'!$BN$13:$BN$512,1,'Calculations'!$BU$13:$BU$512,'Calculations'!DE84,'Calculations'!$EP$13:$EP$512,1))</x:f>
      </x:c>
      <x:c r="DO84" s="4" t="str">
        <x:f>IF(OR('Calculations'!DE84="",'Calculations'!DG84=0),"",('Calculations'!DJ84+'Calculations'!DK84)/'Calculations'!DG84)</x:f>
      </x:c>
      <x:c r="DP84" s="4" t="n">
        <x:f>IF(AND('Calculations'!DE84&lt;&gt;"",'Calculations'!DF84&gt;0),COUNTIF('Calculations'!$DF$12:DF84,"&gt;0"),0)</x:f>
        <x:v>0</x:v>
      </x:c>
      <x:c r="DQ84" s="4" t="str">
        <x:f>IF(73&gt;MAX('Calculations'!$HH$13:$HH$512),"",INDEX('Calculations'!$HF$13:$HF$512,MATCH(73,'Calculations'!$HH$13:$HH$512,0)))</x:f>
      </x:c>
      <x:c r="DR84" s="4" t="str">
        <x:f>IF(73&gt;MAX('Calculations'!$IK$13:$IK$512),"",INDEX('Calculations'!$HE$13:$HE$512,MATCH(73,'Calculations'!$IK$13:$IK$512,0)))</x:f>
      </x:c>
      <x:c r="DS84" s="4"/>
      <x:c r="DT84" s="4"/>
      <x:c r="DU84" s="4"/>
      <x:c r="DV84" s="4"/>
      <x:c r="DW84" s="4"/>
      <x:c r="DX84" s="4"/>
      <x:c r="DY84" s="4"/>
      <x:c r="DZ84" s="4"/>
      <x:c r="EA84" s="4"/>
      <x:c r="EB84" s="4"/>
      <x:c r="EC84" s="4"/>
      <x:c r="ED84" s="4"/>
      <x:c r="EE84" s="4" t="str">
        <x:f>IF('Calculations'!BT84=0,"Not Rated",IF(OR('Calculations'!BO84&gt;=4,'Calculations'!BP84&gt;=4),"Low",IF('Calculations'!BO84+'Calculations'!BP84&lt;=3,"High",IF('Calculations'!BO84+'Calculations'!BP84&lt;=4,"Strong","Solid"))))</x:f>
        <x:v>Not Rated</x:v>
      </x:c>
      <x:c r="EF84" s="4"/>
      <x:c r="EG84" s="4"/>
      <x:c r="EH84" s="4"/>
      <x:c r="EI84" s="4"/>
      <x:c r="EJ84" s="4"/>
      <x:c r="EK84" s="4"/>
      <x:c r="EL84" s="4"/>
      <x:c r="EM84" s="4" t="str">
        <x:f>IF(72&gt;'Calculations'!$JB$2000,"",INDEX('Calculations'!$JA$12:$JA$2000,MATCH(72,'Calculations'!$JB$12:$JB$2000,0)))</x:f>
      </x:c>
      <x:c r="EN84" s="4" t="n">
        <x:f>IF(OR('Calculations'!EM84="",'Calculations'!$AG$8&gt;0,AND('Calculations'!$EF$2&lt;&gt;"All",'Calculations'!HE84='Calculations'!$EF$2),AND('Calculations'!$EF$3&lt;&gt;"All",'Calculations'!HE84='Calculations'!$EF$3)),0,IF(OR('Dashboard'!$B$7="All",'Calculations'!HN84='Dashboard'!$B$7),IF('Calculations'!$EF$2="All",1,IF('Calculations'!HL84&gt;0,0,IF(COUNTIF('Calculations'!HO84:II84,"="&amp;SUBSTITUTE(SUBSTITUTE(SUBSTITUTE('Calculations'!$EF$2,"~","~~"),"*","~*"),"?","~?"))=0,0,IF('Calculations'!$EF$3="All",1,IF(COUNTIF('Calculations'!HO84:II84,"="&amp;SUBSTITUTE(SUBSTITUTE(SUBSTITUTE('Calculations'!$EF$3,"~","~~"),"*","~*"),"?","~?"))&gt;0,1,0))))),0))</x:f>
        <x:v>0</x:v>
      </x:c>
      <x:c r="EO84" s="4" t="str">
        <x:f>IF('Calculations'!IJ84="","",IF('Calculations'!IJ84="!UNRESOLVED","Unresolved hierarchy",IFERROR(INDEX('Calculations'!$HK$13:$HK$512,MATCH('Calculations'!IJ84,'Calculations'!$HE$13:$HE$512,0)),IFERROR(INDEX('Calculations'!$HJ$13:$HJ$512,MATCH('Calculations'!IJ84,'Calculations'!$HF$13:$HF$512,0)),'Calculations'!IJ84))))</x:f>
      </x:c>
      <x:c r="EP84" s="4" t="n">
        <x:f>IF(AND('Calculations'!EM84&lt;&gt;"",'Calculations'!HF84='Calculations'!IJ84),1,0)</x:f>
        <x:v>0</x:v>
      </x:c>
      <x:c r="EQ84" s="4"/>
      <x:c r="ER84" s="4"/>
      <x:c r="ES84" s="4"/>
      <x:c r="ET84" s="4"/>
      <x:c r="EU84" s="4"/>
      <x:c r="EV84" s="4"/>
      <x:c r="EW84" s="4"/>
      <x:c r="EX84" s="4"/>
      <x:c r="EY84" s="4"/>
      <x:c r="EZ84" s="4"/>
      <x:c r="FA84" s="4"/>
      <x:c r="FB84" s="4"/>
      <x:c r="FC84" s="4"/>
      <x:c r="FD84" s="4"/>
      <x:c r="FE84" s="4"/>
      <x:c r="FF84" s="4"/>
      <x:c r="FG84" s="4"/>
      <x:c r="FH84" s="4"/>
      <x:c r="FI84" s="4"/>
      <x:c r="FJ84" s="4"/>
      <x:c r="FK84" s="4"/>
      <x:c r="FL84" s="4"/>
      <x:c r="FM84" s="4"/>
      <x:c r="FN84" s="4"/>
      <x:c r="FO84" s="4"/>
      <x:c r="GA84" s="71"/>
      <x:c r="GB84" s="71"/>
      <x:c r="GC84" s="71"/>
      <x:c r="GD84" s="71"/>
      <x:c r="GE84" s="71"/>
      <x:c r="GF84" s="71"/>
      <x:c r="GG84" s="71"/>
      <x:c r="GH84" s="71"/>
      <x:c r="GI84" s="71"/>
      <x:c r="GJ84" s="71"/>
      <x:c r="GK84" s="71"/>
      <x:c r="GL84" s="71"/>
      <x:c r="GM84" s="71"/>
      <x:c r="GN84" s="71"/>
      <x:c r="GO84" s="71"/>
      <x:c r="GP84" s="71"/>
      <x:c r="GQ84" s="71"/>
      <x:c r="GR84" s="71"/>
      <x:c r="GS84" s="71"/>
      <x:c r="GT84" s="71"/>
      <x:c r="GU84" s="71"/>
      <x:c r="GV84" s="71"/>
      <x:c r="GW84" s="71"/>
      <x:c r="GX84" s="71"/>
      <x:c r="GY84" s="71"/>
      <x:c r="GZ84" s="71"/>
      <x:c r="HA84" s="71"/>
      <x:c r="HB84" s="71"/>
      <x:c r="HC84" s="71"/>
      <x:c r="HD84" s="71"/>
      <x:c r="HE84" t="str">
        <x:f>IF('Calculations'!EM84="","",IF(IFERROR(IF(INDEX(INDIRECT("'WCM Calibration Final'!$A$1:$A$2000"),'Calculations'!$EM84)="","",TRIM(INDEX(INDIRECT("'WCM Calibration Final'!$A$1:$A$2000"),'Calculations'!$EM84)&amp;"")),"")&lt;&gt;"","G:"&amp;IFERROR(TEXT(1*INDEX(INDIRECT("'WCM Calibration Final'!$A$1:$A$2000"),'Calculations'!$EM84),"0"),UPPER(IFERROR(IF(INDEX(INDIRECT("'WCM Calibration Final'!$A$1:$A$2000"),'Calculations'!$EM84)="","",TRIM(INDEX(INDIRECT("'WCM Calibration Final'!$A$1:$A$2000"),'Calculations'!$EM84)&amp;"")),""))),IF(IFERROR(IF(INDEX(INDIRECT("'WCM Calibration Final'!$C$1:$C$2000"),'Calculations'!$EM84)="","",TRIM(INDEX(INDIRECT("'WCM Calibration Final'!$C$1:$C$2000"),'Calculations'!$EM84)&amp;"")),"")&lt;&gt;"","S:"&amp;UPPER(IFERROR(IF(INDEX(INDIRECT("'WCM Calibration Final'!$C$1:$C$2000"),'Calculations'!$EM84)="","",TRIM(INDEX(INDIRECT("'WCM Calibration Final'!$C$1:$C$2000"),'Calculations'!$EM84)&amp;"")),"")),"R:"&amp;'Calculations'!EM84)))</x:f>
      </x:c>
      <x:c r="HF84" t="str">
        <x:f>IF('Calculations'!EM84="","",IF(IFERROR(IF(INDEX(INDIRECT("'WCM Calibration Final'!$D$1:$D$2000"),'Calculations'!$EM84)="","",TRIM(INDEX(INDIRECT("'WCM Calibration Final'!$D$1:$D$2000"),'Calculations'!$EM84)&amp;"")),"")&lt;&gt;"","G:"&amp;IFERROR(TEXT(1*INDEX(INDIRECT("'WCM Calibration Final'!$D$1:$D$2000"),'Calculations'!$EM84),"0"),UPPER(IFERROR(IF(INDEX(INDIRECT("'WCM Calibration Final'!$D$1:$D$2000"),'Calculations'!$EM84)="","",TRIM(INDEX(INDIRECT("'WCM Calibration Final'!$D$1:$D$2000"),'Calculations'!$EM84)&amp;"")),""))),IF(IFERROR(IF(INDEX(INDIRECT("'WCM Calibration Final'!$E$1:$E$2000"),'Calculations'!$EM84)="","",TRIM(INDEX(INDIRECT("'WCM Calibration Final'!$E$1:$E$2000"),'Calculations'!$EM84)&amp;"")),"")="","",IF(COUNTIF('Calculations'!$HG$13:$HG$512,"="&amp;SUBSTITUTE(SUBSTITUTE(SUBSTITUTE(IFERROR(IF(INDEX(INDIRECT("'WCM Calibration Final'!$E$1:$E$2000"),'Calculations'!$EM84)="","",TRIM(INDEX(INDIRECT("'WCM Calibration Final'!$E$1:$E$2000"),'Calculations'!$EM84)&amp;"")),""),"~","~~"),"*","~*"),"?","~?"))=1,INDEX('Calculations'!$HE$13:$HE$512,MATCH(IFERROR(IF(INDEX(INDIRECT("'WCM Calibration Final'!$E$1:$E$2000"),'Calculations'!$EM84)="","",TRIM(INDEX(INDIRECT("'WCM Calibration Final'!$E$1:$E$2000"),'Calculations'!$EM84)&amp;"")),""),'Calculations'!$HG$13:$HG$512,0)),IF(COUNTIF('Calculations'!$HG$13:$HG$512,"="&amp;SUBSTITUTE(SUBSTITUTE(SUBSTITUTE(IFERROR(IF(INDEX(INDIRECT("'WCM Calibration Final'!$E$1:$E$2000"),'Calculations'!$EM84)="","",TRIM(INDEX(INDIRECT("'WCM Calibration Final'!$E$1:$E$2000"),'Calculations'!$EM84)&amp;"")),""),"~","~~"),"*","~*"),"?","~?"))&gt;1,"!AMBIG","X:"&amp;IFERROR(IF(INDEX(INDIRECT("'WCM Calibration Final'!$E$1:$E$2000"),'Calculations'!$EM84)="","",TRIM(INDEX(INDIRECT("'WCM Calibration Final'!$E$1:$E$2000"),'Calculations'!$EM84)&amp;"")),""))))))</x:f>
      </x:c>
      <x:c r="HG84" t="str">
        <x:f>IF('Calculations'!EM84="","",IFERROR(IF(INDEX(INDIRECT("'WCM Calibration Final'!$B$1:$B$2000"),'Calculations'!$EM84)="","",TRIM(INDEX(INDIRECT("'WCM Calibration Final'!$B$1:$B$2000"),'Calculations'!$EM84)&amp;"")),""))</x:f>
      </x:c>
      <x:c r="HH84" t="n">
        <x:f>IF(AND('Calculations'!JC84&gt;0,COUNTIF('Calculations'!$HF$12:HF84,"="&amp;SUBSTITUTE(SUBSTITUTE(SUBSTITUTE('Calculations'!HF84,"~","~~"),"*","~*"),"?","~?"))=1),MAX('Calculations'!$HH$12:HH83)+1,0)</x:f>
        <x:v>0</x:v>
      </x:c>
      <x:c r="HI84" t="n">
        <x:f>IF(AND('Calculations'!HN84&lt;&gt;"",COUNTIF('Calculations'!$HN$12:HN84,"="&amp;SUBSTITUTE(SUBSTITUTE(SUBSTITUTE('Calculations'!HN84,"~","~~"),"*","~*"),"?","~?"))=1),MAX('Calculations'!$HI$12:HI83)+1,0)</x:f>
        <x:v>0</x:v>
      </x:c>
      <x:c r="HJ84" t="str">
        <x:f>IF('Calculations'!HF84="","",IF(COUNTIF('Calculations'!$HE$13:$HE$512,"="&amp;SUBSTITUTE(SUBSTITUTE(SUBSTITUTE('Calculations'!HF84,"~","~~"),"*","~*"),"?","~?"))=1,INDEX('Calculations'!$HK$13:$HK$512,MATCH('Calculations'!HF84,'Calculations'!$HE$13:$HE$512,0)),IFERROR(IF(INDEX(INDIRECT("'WCM Calibration Final'!$E$1:$E$2000"),'Calculations'!$EM84)="","",TRIM(INDEX(INDIRECT("'WCM Calibration Final'!$E$1:$E$2000"),'Calculations'!$EM84)&amp;"")),"")&amp;" ["&amp;'Calculations'!HF84&amp;"]"))</x:f>
      </x:c>
      <x:c r="HK84" t="str">
        <x:f>IF('Calculations'!EM84="","",'Calculations'!HG84&amp;" ["&amp;'Calculations'!HE84&amp;"]")</x:f>
      </x:c>
      <x:c r="HL84" t="n">
        <x:f>IF('Calculations'!EM84="",0,IF(OR('Calculations'!II84&lt;&gt;"",COUNTIF('Calculations'!$HE$13:$HE$512,"="&amp;SUBSTITUTE(SUBSTITUTE(SUBSTITUTE('Calculations'!HE84,"~","~~"),"*","~*"),"?","~?"))&gt;1),1,0))</x:f>
        <x:v>0</x:v>
      </x:c>
      <x:c r="HM84" t="str">
        <x:f>IF('Calculations'!EM84="","",IF('Calculations'!HL84=1,"!UNRESOLVED",IF('Calculations'!IH84&lt;&gt;"",'Calculations'!IH84,IF('Calculations'!IG84&lt;&gt;"",'Calculations'!IG84,IF('Calculations'!IF84&lt;&gt;"",'Calculations'!IF84,IF('Calculations'!IE84&lt;&gt;"",'Calculations'!IE84,IF('Calculations'!ID84&lt;&gt;"",'Calculations'!ID84,IF('Calculations'!IC84&lt;&gt;"",'Calculations'!IC84,IF('Calculations'!IB84&lt;&gt;"",'Calculations'!IB84,IF('Calculations'!IA84&lt;&gt;"",'Calculations'!IA84,IF('Calculations'!HZ84&lt;&gt;"",'Calculations'!HZ84,IF('Calculations'!HY84&lt;&gt;"",'Calculations'!HY84,IF('Calculations'!HX84&lt;&gt;"",'Calculations'!HX84,IF('Calculations'!HW84&lt;&gt;"",'Calculations'!HW84,IF('Calculations'!HV84&lt;&gt;"",'Calculations'!HV84,IF('Calculations'!HU84&lt;&gt;"",'Calculations'!HU84,IF('Calculations'!HT84&lt;&gt;"",'Calculations'!HT84,IF('Calculations'!HS84&lt;&gt;"",'Calculations'!HS84,IF('Calculations'!HR84&lt;&gt;"",'Calculations'!HR84,IF('Calculations'!HQ84&lt;&gt;"",'Calculations'!HQ84,IF('Calculations'!HP84&lt;&gt;"",'Calculations'!HP84,IF('Calculations'!HO84&lt;&gt;"",'Calculations'!HO84,'Calculations'!HE84))))))))))))))))))))))</x:f>
      </x:c>
      <x:c r="HN84" t="str">
        <x:f>IF('Calculations'!EM84="","",IF(IFERROR(IF(INDEX(INDIRECT("'WCM Calibration Final'!$F$1:$F$2000"),'Calculations'!$EM84)="","",TRIM(INDEX(INDIRECT("'WCM Calibration Final'!$F$1:$F$2000"),'Calculations'!$EM84)&amp;"")),"")="","(Blank)",IFERROR(IF(INDEX(INDIRECT("'WCM Calibration Final'!$F$1:$F$2000"),'Calculations'!$EM84)="","",TRIM(INDEX(INDIRECT("'WCM Calibration Final'!$F$1:$F$2000"),'Calculations'!$EM84)&amp;"")),"")))</x:f>
      </x:c>
      <x:c r="HO84" t="str">
        <x:f>'Calculations'!HF84</x:f>
      </x:c>
      <x:c r="HP84" t="str">
        <x:f>IF('Calculations'!HO84="","",IF('Calculations'!HO84="!AMBIG","!AMBIG",IF(COUNTIF('Calculations'!$HE$13:$HE$512,"="&amp;SUBSTITUTE(SUBSTITUTE(SUBSTITUTE('Calculations'!HO84,"~","~~"),"*","~*"),"?","~?"))&gt;1,"!AMBIG",IFERROR(INDEX('Calculations'!$HF$13:$HF$512,MATCH('Calculations'!HO84,'Calculations'!$HE$13:$HE$512,0)),""))))</x:f>
      </x:c>
      <x:c r="HQ84" t="str">
        <x:f>IF('Calculations'!HP84="","",IF('Calculations'!HP84="!AMBIG","!AMBIG",IF(COUNTIF('Calculations'!$HE$13:$HE$512,"="&amp;SUBSTITUTE(SUBSTITUTE(SUBSTITUTE('Calculations'!HP84,"~","~~"),"*","~*"),"?","~?"))&gt;1,"!AMBIG",IFERROR(INDEX('Calculations'!$HF$13:$HF$512,MATCH('Calculations'!HP84,'Calculations'!$HE$13:$HE$512,0)),""))))</x:f>
      </x:c>
      <x:c r="HR84" t="str">
        <x:f>IF('Calculations'!HQ84="","",IF('Calculations'!HQ84="!AMBIG","!AMBIG",IF(COUNTIF('Calculations'!$HE$13:$HE$512,"="&amp;SUBSTITUTE(SUBSTITUTE(SUBSTITUTE('Calculations'!HQ84,"~","~~"),"*","~*"),"?","~?"))&gt;1,"!AMBIG",IFERROR(INDEX('Calculations'!$HF$13:$HF$512,MATCH('Calculations'!HQ84,'Calculations'!$HE$13:$HE$512,0)),""))))</x:f>
      </x:c>
      <x:c r="HS84" t="str">
        <x:f>IF('Calculations'!HR84="","",IF('Calculations'!HR84="!AMBIG","!AMBIG",IF(COUNTIF('Calculations'!$HE$13:$HE$512,"="&amp;SUBSTITUTE(SUBSTITUTE(SUBSTITUTE('Calculations'!HR84,"~","~~"),"*","~*"),"?","~?"))&gt;1,"!AMBIG",IFERROR(INDEX('Calculations'!$HF$13:$HF$512,MATCH('Calculations'!HR84,'Calculations'!$HE$13:$HE$512,0)),""))))</x:f>
      </x:c>
      <x:c r="HT84" t="str">
        <x:f>IF('Calculations'!HS84="","",IF('Calculations'!HS84="!AMBIG","!AMBIG",IF(COUNTIF('Calculations'!$HE$13:$HE$512,"="&amp;SUBSTITUTE(SUBSTITUTE(SUBSTITUTE('Calculations'!HS84,"~","~~"),"*","~*"),"?","~?"))&gt;1,"!AMBIG",IFERROR(INDEX('Calculations'!$HF$13:$HF$512,MATCH('Calculations'!HS84,'Calculations'!$HE$13:$HE$512,0)),""))))</x:f>
      </x:c>
      <x:c r="HU84" t="str">
        <x:f>IF('Calculations'!HT84="","",IF('Calculations'!HT84="!AMBIG","!AMBIG",IF(COUNTIF('Calculations'!$HE$13:$HE$512,"="&amp;SUBSTITUTE(SUBSTITUTE(SUBSTITUTE('Calculations'!HT84,"~","~~"),"*","~*"),"?","~?"))&gt;1,"!AMBIG",IFERROR(INDEX('Calculations'!$HF$13:$HF$512,MATCH('Calculations'!HT84,'Calculations'!$HE$13:$HE$512,0)),""))))</x:f>
      </x:c>
      <x:c r="HV84" t="str">
        <x:f>IF('Calculations'!HU84="","",IF('Calculations'!HU84="!AMBIG","!AMBIG",IF(COUNTIF('Calculations'!$HE$13:$HE$512,"="&amp;SUBSTITUTE(SUBSTITUTE(SUBSTITUTE('Calculations'!HU84,"~","~~"),"*","~*"),"?","~?"))&gt;1,"!AMBIG",IFERROR(INDEX('Calculations'!$HF$13:$HF$512,MATCH('Calculations'!HU84,'Calculations'!$HE$13:$HE$512,0)),""))))</x:f>
      </x:c>
      <x:c r="HW84" t="str">
        <x:f>IF('Calculations'!HV84="","",IF('Calculations'!HV84="!AMBIG","!AMBIG",IF(COUNTIF('Calculations'!$HE$13:$HE$512,"="&amp;SUBSTITUTE(SUBSTITUTE(SUBSTITUTE('Calculations'!HV84,"~","~~"),"*","~*"),"?","~?"))&gt;1,"!AMBIG",IFERROR(INDEX('Calculations'!$HF$13:$HF$512,MATCH('Calculations'!HV84,'Calculations'!$HE$13:$HE$512,0)),""))))</x:f>
      </x:c>
      <x:c r="HX84" t="str">
        <x:f>IF('Calculations'!HW84="","",IF('Calculations'!HW84="!AMBIG","!AMBIG",IF(COUNTIF('Calculations'!$HE$13:$HE$512,"="&amp;SUBSTITUTE(SUBSTITUTE(SUBSTITUTE('Calculations'!HW84,"~","~~"),"*","~*"),"?","~?"))&gt;1,"!AMBIG",IFERROR(INDEX('Calculations'!$HF$13:$HF$512,MATCH('Calculations'!HW84,'Calculations'!$HE$13:$HE$512,0)),""))))</x:f>
      </x:c>
      <x:c r="HY84" t="str">
        <x:f>IF('Calculations'!HX84="","",IF('Calculations'!HX84="!AMBIG","!AMBIG",IF(COUNTIF('Calculations'!$HE$13:$HE$512,"="&amp;SUBSTITUTE(SUBSTITUTE(SUBSTITUTE('Calculations'!HX84,"~","~~"),"*","~*"),"?","~?"))&gt;1,"!AMBIG",IFERROR(INDEX('Calculations'!$HF$13:$HF$512,MATCH('Calculations'!HX84,'Calculations'!$HE$13:$HE$512,0)),""))))</x:f>
      </x:c>
      <x:c r="HZ84" t="str">
        <x:f>IF('Calculations'!HY84="","",IF('Calculations'!HY84="!AMBIG","!AMBIG",IF(COUNTIF('Calculations'!$HE$13:$HE$512,"="&amp;SUBSTITUTE(SUBSTITUTE(SUBSTITUTE('Calculations'!HY84,"~","~~"),"*","~*"),"?","~?"))&gt;1,"!AMBIG",IFERROR(INDEX('Calculations'!$HF$13:$HF$512,MATCH('Calculations'!HY84,'Calculations'!$HE$13:$HE$512,0)),""))))</x:f>
      </x:c>
      <x:c r="IA84" t="str">
        <x:f>IF('Calculations'!HZ84="","",IF('Calculations'!HZ84="!AMBIG","!AMBIG",IF(COUNTIF('Calculations'!$HE$13:$HE$512,"="&amp;SUBSTITUTE(SUBSTITUTE(SUBSTITUTE('Calculations'!HZ84,"~","~~"),"*","~*"),"?","~?"))&gt;1,"!AMBIG",IFERROR(INDEX('Calculations'!$HF$13:$HF$512,MATCH('Calculations'!HZ84,'Calculations'!$HE$13:$HE$512,0)),""))))</x:f>
      </x:c>
      <x:c r="IB84" t="str">
        <x:f>IF('Calculations'!IA84="","",IF('Calculations'!IA84="!AMBIG","!AMBIG",IF(COUNTIF('Calculations'!$HE$13:$HE$512,"="&amp;SUBSTITUTE(SUBSTITUTE(SUBSTITUTE('Calculations'!IA84,"~","~~"),"*","~*"),"?","~?"))&gt;1,"!AMBIG",IFERROR(INDEX('Calculations'!$HF$13:$HF$512,MATCH('Calculations'!IA84,'Calculations'!$HE$13:$HE$512,0)),""))))</x:f>
      </x:c>
      <x:c r="IC84" t="str">
        <x:f>IF('Calculations'!IB84="","",IF('Calculations'!IB84="!AMBIG","!AMBIG",IF(COUNTIF('Calculations'!$HE$13:$HE$512,"="&amp;SUBSTITUTE(SUBSTITUTE(SUBSTITUTE('Calculations'!IB84,"~","~~"),"*","~*"),"?","~?"))&gt;1,"!AMBIG",IFERROR(INDEX('Calculations'!$HF$13:$HF$512,MATCH('Calculations'!IB84,'Calculations'!$HE$13:$HE$512,0)),""))))</x:f>
      </x:c>
      <x:c r="ID84" t="str">
        <x:f>IF('Calculations'!IC84="","",IF('Calculations'!IC84="!AMBIG","!AMBIG",IF(COUNTIF('Calculations'!$HE$13:$HE$512,"="&amp;SUBSTITUTE(SUBSTITUTE(SUBSTITUTE('Calculations'!IC84,"~","~~"),"*","~*"),"?","~?"))&gt;1,"!AMBIG",IFERROR(INDEX('Calculations'!$HF$13:$HF$512,MATCH('Calculations'!IC84,'Calculations'!$HE$13:$HE$512,0)),""))))</x:f>
      </x:c>
      <x:c r="IE84" t="str">
        <x:f>IF('Calculations'!ID84="","",IF('Calculations'!ID84="!AMBIG","!AMBIG",IF(COUNTIF('Calculations'!$HE$13:$HE$512,"="&amp;SUBSTITUTE(SUBSTITUTE(SUBSTITUTE('Calculations'!ID84,"~","~~"),"*","~*"),"?","~?"))&gt;1,"!AMBIG",IFERROR(INDEX('Calculations'!$HF$13:$HF$512,MATCH('Calculations'!ID84,'Calculations'!$HE$13:$HE$512,0)),""))))</x:f>
      </x:c>
      <x:c r="IF84" t="str">
        <x:f>IF('Calculations'!IE84="","",IF('Calculations'!IE84="!AMBIG","!AMBIG",IF(COUNTIF('Calculations'!$HE$13:$HE$512,"="&amp;SUBSTITUTE(SUBSTITUTE(SUBSTITUTE('Calculations'!IE84,"~","~~"),"*","~*"),"?","~?"))&gt;1,"!AMBIG",IFERROR(INDEX('Calculations'!$HF$13:$HF$512,MATCH('Calculations'!IE84,'Calculations'!$HE$13:$HE$512,0)),""))))</x:f>
      </x:c>
      <x:c r="IG84" t="str">
        <x:f>IF('Calculations'!IF84="","",IF('Calculations'!IF84="!AMBIG","!AMBIG",IF(COUNTIF('Calculations'!$HE$13:$HE$512,"="&amp;SUBSTITUTE(SUBSTITUTE(SUBSTITUTE('Calculations'!IF84,"~","~~"),"*","~*"),"?","~?"))&gt;1,"!AMBIG",IFERROR(INDEX('Calculations'!$HF$13:$HF$512,MATCH('Calculations'!IF84,'Calculations'!$HE$13:$HE$512,0)),""))))</x:f>
      </x:c>
      <x:c r="IH84" t="str">
        <x:f>IF('Calculations'!IG84="","",IF('Calculations'!IG84="!AMBIG","!AMBIG",IF(COUNTIF('Calculations'!$HE$13:$HE$512,"="&amp;SUBSTITUTE(SUBSTITUTE(SUBSTITUTE('Calculations'!IG84,"~","~~"),"*","~*"),"?","~?"))&gt;1,"!AMBIG",IFERROR(INDEX('Calculations'!$HF$13:$HF$512,MATCH('Calculations'!IG84,'Calculations'!$HE$13:$HE$512,0)),""))))</x:f>
      </x:c>
      <x:c r="II84" t="str">
        <x:f>IF('Calculations'!IH84="","",IF('Calculations'!IH84="!AMBIG","!AMBIG",IF(COUNTIF('Calculations'!$HE$13:$HE$512,"="&amp;SUBSTITUTE(SUBSTITUTE(SUBSTITUTE('Calculations'!IH84,"~","~~"),"*","~*"),"?","~?"))&gt;1,"!AMBIG",IFERROR(INDEX('Calculations'!$HF$13:$HF$512,MATCH('Calculations'!IH84,'Calculations'!$HE$13:$HE$512,0)),""))))</x:f>
      </x:c>
      <x:c r="IJ84" t="str">
        <x:f>IF('Calculations'!EM84="","",IF('Calculations'!$EF$2="All",'Calculations'!HM84,IF('Calculations'!HL84=1,"",IFERROR(IF(MATCH('Calculations'!$EF$2,'Calculations'!HO84:II84,0)=1,'Calculations'!HE84,INDEX('Calculations'!HO84:II84,1,MATCH('Calculations'!$EF$2,'Calculations'!HO84:II84,0)-1)),""))))</x:f>
      </x:c>
      <x:c r="IK84" t="n">
        <x:f>IF(AND('Calculations'!EM84&lt;&gt;"",'Calculations'!$EF$2&lt;&gt;"All",'Calculations'!HF84='Calculations'!$EF$2,'Calculations'!HL84=0,'Calculations'!JD84&gt;0),MAX('Calculations'!$IK$12:IK83)+1,0)</x:f>
        <x:v>0</x:v>
      </x:c>
      <x:c r="JA84" t="n">
        <x:f>IF(OR(IFERROR(INDIRECT("'WCM Calibration Final'!$A$84")&lt;&gt;"",FALSE),IFERROR(INDIRECT("'WCM Calibration Final'!$B$84")&lt;&gt;"",FALSE),IFERROR(INDIRECT("'WCM Calibration Final'!$C$84")&lt;&gt;"",FALSE)),84,0)</x:f>
        <x:v>0</x:v>
      </x:c>
      <x:c r="JB84" t="n">
        <x:f>'Calculations'!JB83+IF('Calculations'!JA84&gt;0,1,0)</x:f>
        <x:v>0</x:v>
      </x:c>
      <x:c r="JC84" t="n">
        <x:f>IF(OR('Calculations'!HF84="",'Calculations'!HF84="!AMBIG"),0,IF('Dashboard'!$B$7="All",1,COUNTIFS('Calculations'!$HO$13:$HO$512,"="&amp;SUBSTITUTE(SUBSTITUTE(SUBSTITUTE('Calculations'!HF84,"~","~~"),"*","~*"),"?","~?"),'Calculations'!$HN$13:$HN$512,"="&amp;SUBSTITUTE(SUBSTITUTE(SUBSTITUTE('Dashboard'!$B$7,"~","~~"),"*","~*"),"?","~?"))+COUNTIFS('Calculations'!$HP$13:$HP$512,"="&amp;SUBSTITUTE(SUBSTITUTE(SUBSTITUTE('Calculations'!HF84,"~","~~"),"*","~*"),"?","~?"),'Calculations'!$HN$13:$HN$512,"="&amp;SUBSTITUTE(SUBSTITUTE(SUBSTITUTE('Dashboard'!$B$7,"~","~~"),"*","~*"),"?","~?"))+COUNTIFS('Calculations'!$HQ$13:$HQ$512,"="&amp;SUBSTITUTE(SUBSTITUTE(SUBSTITUTE('Calculations'!HF84,"~","~~"),"*","~*"),"?","~?"),'Calculations'!$HN$13:$HN$512,"="&amp;SUBSTITUTE(SUBSTITUTE(SUBSTITUTE('Dashboard'!$B$7,"~","~~"),"*","~*"),"?","~?"))+COUNTIFS('Calculations'!$HR$13:$HR$512,"="&amp;SUBSTITUTE(SUBSTITUTE(SUBSTITUTE('Calculations'!HF84,"~","~~"),"*","~*"),"?","~?"),'Calculations'!$HN$13:$HN$512,"="&amp;SUBSTITUTE(SUBSTITUTE(SUBSTITUTE('Dashboard'!$B$7,"~","~~"),"*","~*"),"?","~?"))+COUNTIFS('Calculations'!$HS$13:$HS$512,"="&amp;SUBSTITUTE(SUBSTITUTE(SUBSTITUTE('Calculations'!HF84,"~","~~"),"*","~*"),"?","~?"),'Calculations'!$HN$13:$HN$512,"="&amp;SUBSTITUTE(SUBSTITUTE(SUBSTITUTE('Dashboard'!$B$7,"~","~~"),"*","~*"),"?","~?"))+COUNTIFS('Calculations'!$HT$13:$HT$512,"="&amp;SUBSTITUTE(SUBSTITUTE(SUBSTITUTE('Calculations'!HF84,"~","~~"),"*","~*"),"?","~?"),'Calculations'!$HN$13:$HN$512,"="&amp;SUBSTITUTE(SUBSTITUTE(SUBSTITUTE('Dashboard'!$B$7,"~","~~"),"*","~*"),"?","~?"))+COUNTIFS('Calculations'!$HU$13:$HU$512,"="&amp;SUBSTITUTE(SUBSTITUTE(SUBSTITUTE('Calculations'!HF84,"~","~~"),"*","~*"),"?","~?"),'Calculations'!$HN$13:$HN$512,"="&amp;SUBSTITUTE(SUBSTITUTE(SUBSTITUTE('Dashboard'!$B$7,"~","~~"),"*","~*"),"?","~?"))+COUNTIFS('Calculations'!$HV$13:$HV$512,"="&amp;SUBSTITUTE(SUBSTITUTE(SUBSTITUTE('Calculations'!HF84,"~","~~"),"*","~*"),"?","~?"),'Calculations'!$HN$13:$HN$512,"="&amp;SUBSTITUTE(SUBSTITUTE(SUBSTITUTE('Dashboard'!$B$7,"~","~~"),"*","~*"),"?","~?"))+COUNTIFS('Calculations'!$HW$13:$HW$512,"="&amp;SUBSTITUTE(SUBSTITUTE(SUBSTITUTE('Calculations'!HF84,"~","~~"),"*","~*"),"?","~?"),'Calculations'!$HN$13:$HN$512,"="&amp;SUBSTITUTE(SUBSTITUTE(SUBSTITUTE('Dashboard'!$B$7,"~","~~"),"*","~*"),"?","~?"))+COUNTIFS('Calculations'!$HX$13:$HX$512,"="&amp;SUBSTITUTE(SUBSTITUTE(SUBSTITUTE('Calculations'!HF84,"~","~~"),"*","~*"),"?","~?"),'Calculations'!$HN$13:$HN$512,"="&amp;SUBSTITUTE(SUBSTITUTE(SUBSTITUTE('Dashboard'!$B$7,"~","~~"),"*","~*"),"?","~?"))+COUNTIFS('Calculations'!$HY$13:$HY$512,"="&amp;SUBSTITUTE(SUBSTITUTE(SUBSTITUTE('Calculations'!HF84,"~","~~"),"*","~*"),"?","~?"),'Calculations'!$HN$13:$HN$512,"="&amp;SUBSTITUTE(SUBSTITUTE(SUBSTITUTE('Dashboard'!$B$7,"~","~~"),"*","~*"),"?","~?"))+COUNTIFS('Calculations'!$HZ$13:$HZ$512,"="&amp;SUBSTITUTE(SUBSTITUTE(SUBSTITUTE('Calculations'!HF84,"~","~~"),"*","~*"),"?","~?"),'Calculations'!$HN$13:$HN$512,"="&amp;SUBSTITUTE(SUBSTITUTE(SUBSTITUTE('Dashboard'!$B$7,"~","~~"),"*","~*"),"?","~?"))+COUNTIFS('Calculations'!$IA$13:$IA$512,"="&amp;SUBSTITUTE(SUBSTITUTE(SUBSTITUTE('Calculations'!HF84,"~","~~"),"*","~*"),"?","~?"),'Calculations'!$HN$13:$HN$512,"="&amp;SUBSTITUTE(SUBSTITUTE(SUBSTITUTE('Dashboard'!$B$7,"~","~~"),"*","~*"),"?","~?"))+COUNTIFS('Calculations'!$IB$13:$IB$512,"="&amp;SUBSTITUTE(SUBSTITUTE(SUBSTITUTE('Calculations'!HF84,"~","~~"),"*","~*"),"?","~?"),'Calculations'!$HN$13:$HN$512,"="&amp;SUBSTITUTE(SUBSTITUTE(SUBSTITUTE('Dashboard'!$B$7,"~","~~"),"*","~*"),"?","~?"))+COUNTIFS('Calculations'!$IC$13:$IC$512,"="&amp;SUBSTITUTE(SUBSTITUTE(SUBSTITUTE('Calculations'!HF84,"~","~~"),"*","~*"),"?","~?"),'Calculations'!$HN$13:$HN$512,"="&amp;SUBSTITUTE(SUBSTITUTE(SUBSTITUTE('Dashboard'!$B$7,"~","~~"),"*","~*"),"?","~?"))+COUNTIFS('Calculations'!$ID$13:$ID$512,"="&amp;SUBSTITUTE(SUBSTITUTE(SUBSTITUTE('Calculations'!HF84,"~","~~"),"*","~*"),"?","~?"),'Calculations'!$HN$13:$HN$512,"="&amp;SUBSTITUTE(SUBSTITUTE(SUBSTITUTE('Dashboard'!$B$7,"~","~~"),"*","~*"),"?","~?"))+COUNTIFS('Calculations'!$IE$13:$IE$512,"="&amp;SUBSTITUTE(SUBSTITUTE(SUBSTITUTE('Calculations'!HF84,"~","~~"),"*","~*"),"?","~?"),'Calculations'!$HN$13:$HN$512,"="&amp;SUBSTITUTE(SUBSTITUTE(SUBSTITUTE('Dashboard'!$B$7,"~","~~"),"*","~*"),"?","~?"))+COUNTIFS('Calculations'!$IF$13:$IF$512,"="&amp;SUBSTITUTE(SUBSTITUTE(SUBSTITUTE('Calculations'!HF84,"~","~~"),"*","~*"),"?","~?"),'Calculations'!$HN$13:$HN$512,"="&amp;SUBSTITUTE(SUBSTITUTE(SUBSTITUTE('Dashboard'!$B$7,"~","~~"),"*","~*"),"?","~?"))+COUNTIFS('Calculations'!$IG$13:$IG$512,"="&amp;SUBSTITUTE(SUBSTITUTE(SUBSTITUTE('Calculations'!HF84,"~","~~"),"*","~*"),"?","~?"),'Calculations'!$HN$13:$HN$512,"="&amp;SUBSTITUTE(SUBSTITUTE(SUBSTITUTE('Dashboard'!$B$7,"~","~~"),"*","~*"),"?","~?"))+COUNTIFS('Calculations'!$IH$13:$IH$512,"="&amp;SUBSTITUTE(SUBSTITUTE(SUBSTITUTE('Calculations'!HF84,"~","~~"),"*","~*"),"?","~?"),'Calculations'!$HN$13:$HN$512,"="&amp;SUBSTITUTE(SUBSTITUTE(SUBSTITUTE('Dashboard'!$B$7,"~","~~"),"*","~*"),"?","~?"))))</x:f>
        <x:v>0</x:v>
      </x:c>
      <x:c r="JD84" t="n">
        <x:f>IF('Calculations'!EM84="",0,IF('Dashboard'!$B$7="All",1,IF('Calculations'!HN84='Dashboard'!$B$7,1,0)+IFERROR(INDEX('Calculations'!$JC$13:$JC$512,MATCH('Calculations'!HE84,'Calculations'!$HF$13:$HF$512,0)),0)))</x:f>
        <x:v>0</x:v>
      </x:c>
      <x:c r="JE84" t="n">
        <x:f>IF(AND('Calculations'!EM84&lt;&gt;"",'Calculations'!$JJ$2&lt;&gt;"All",'Calculations'!$JJ$2&lt;&gt;"",'Calculations'!HF84='Calculations'!$JJ$2,'Calculations'!HL84=0,'Calculations'!JD84&gt;0),MAX('Calculations'!$JE$12:JE83)+1,0)</x:f>
        <x:v>0</x:v>
      </x:c>
      <x:c r="JF84" t="str">
        <x:f>IF('Calculations'!EM84="","",IFERROR(IF(INDEX(INDIRECT("'WCM Calibration Final'!$G$1:$G$2000"),'Calculations'!$EM84)="","",TRIM(INDEX(INDIRECT("'WCM Calibration Final'!$G$1:$G$2000"),'Calculations'!$EM84)&amp;"")),""))</x:f>
      </x:c>
      <x:c r="JQ84" t="n">
        <x:f>IF(OR('Calculations'!BM84=0,NOT('Calculations'!$AG$2),'Calculations'!$AG$8&gt;0),0,IF(OR('Dashboard'!$B$7="All",'Calculations'!HN84='Dashboard'!$B$7),IF('Calculations'!$JJ$2="All",1,IF(AND('Calculations'!HF84='Calculations'!$JJ$2,'Calculations'!HL84=0),1,0)),0))</x:f>
        <x:v>0</x:v>
      </x:c>
    </x:row>
    <x:row r="85">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t="n">
        <x:f>IF('Calculations'!$EM85="",0,IF(OR(IFERROR(INDEX(INDIRECT("'WCM Calibration Final'!$A$1:$A$2000"),'Calculations'!$EM85)&lt;&gt;"",FALSE),IFERROR(INDEX(INDIRECT("'WCM Calibration Final'!$B$1:$B$2000"),'Calculations'!$EM85)&lt;&gt;"",FALSE),IFERROR(INDEX(INDIRECT("'WCM Calibration Final'!$C$1:$C$2000"),'Calculations'!$EM85)&lt;&gt;"",FALSE)),1,0))</x:f>
        <x:v>0</x:v>
      </x:c>
      <x:c r="BN85" s="4" t="n">
        <x:f>IF(AND('Calculations'!BM85=1,'Calculations'!$AG$2,'Calculations'!$EN85=1),1,0)</x:f>
        <x:v>0</x:v>
      </x:c>
      <x:c r="BO85" s="4" t="str">
        <x:f>IF('Calculations'!BM85=0,"",IFERROR(IF(AND(VALUE(INDEX(INDIRECT("'WCM Calibration Final'!$K$1:$K$2000"),'Calculations'!$EM85))&gt;=1,VALUE(INDEX(INDIRECT("'WCM Calibration Final'!$K$1:$K$2000"),'Calculations'!$EM85))&lt;=4,MOD(VALUE(INDEX(INDIRECT("'WCM Calibration Final'!$K$1:$K$2000"),'Calculations'!$EM85)),1)=0),VALUE(INDEX(INDIRECT("'WCM Calibration Final'!$K$1:$K$2000"),'Calculations'!$EM85)),""),""))</x:f>
      </x:c>
      <x:c r="BP85" s="4" t="str">
        <x:f>IF('Calculations'!BM85=0,"",IFERROR(IF(AND(VALUE(INDEX(INDIRECT("'WCM Calibration Final'!$L$1:$L$2000"),'Calculations'!$EM85))&gt;=1,VALUE(INDEX(INDIRECT("'WCM Calibration Final'!$L$1:$L$2000"),'Calculations'!$EM85))&lt;=4,MOD(VALUE(INDEX(INDIRECT("'WCM Calibration Final'!$L$1:$L$2000"),'Calculations'!$EM85)),1)=0),VALUE(INDEX(INDIRECT("'WCM Calibration Final'!$L$1:$L$2000"),'Calculations'!$EM85)),""),""))</x:f>
      </x:c>
      <x:c r="BQ85" s="4"/>
      <x:c r="BR85" s="4"/>
      <x:c r="BS85" s="4"/>
      <x:c r="BT85" s="4" t="n">
        <x:f>IF(AND('Calculations'!BM85=1,ISNUMBER('Calculations'!BO85),ISNUMBER('Calculations'!BP85)),1,0)</x:f>
        <x:v>0</x:v>
      </x:c>
      <x:c r="BU85" s="4" t="str">
        <x:f>IF('Calculations'!BM85=0,"",'Calculations'!$EO85)</x:f>
      </x:c>
      <x:c r="BV85" s="4" t="str">
        <x:f>IF('Calculations'!BM85=0,"",IFERROR(IF(OR(INDEX(INDIRECT("'WCM Calibration Final'!$H$1:$H$2000"),'Calculations'!$EM85)="MANAGING DIRECTOR",INDEX(INDIRECT("'WCM Calibration Final'!$H$1:$H$2000"),'Calculations'!$EM85)="DIRECTOR",INDEX(INDIRECT("'WCM Calibration Final'!$H$1:$H$2000"),'Calculations'!$EM85)="SENIOR VICE PRESIDENT",INDEX(INDIRECT("'WCM Calibration Final'!$H$1:$H$2000"),'Calculations'!$EM85)="VICE PRESIDENT",INDEX(INDIRECT("'WCM Calibration Final'!$H$1:$H$2000"),'Calculations'!$EM85)="ASSISTANT VICE PRESIDENT",INDEX(INDIRECT("'WCM Calibration Final'!$H$1:$H$2000"),'Calculations'!$EM85)="OFFICER"),UPPER(INDEX(INDIRECT("'WCM Calibration Final'!$H$1:$H$2000"),'Calculations'!$EM85)),"Other"),"Other"))</x:f>
      </x:c>
      <x:c r="BW85" s="4"/>
      <x:c r="BX85" s="4"/>
      <x:c r="BY85" s="4" t="n">
        <x:f>IF(AND('Calculations'!BM85=1,'Calculations'!BU85&lt;&gt;"",COUNTIF('Calculations'!$BU$12:BU85,'Calculations'!BU85)=1),MAX('Calculations'!$BY$11:BY84)+1,0)</x:f>
        <x:v>0</x:v>
      </x:c>
      <x:c r="BZ85" s="4" t="str">
        <x:f>IF('Dashboard'!$E$67="What",'Calculations'!BO85,'Calculations'!BP85)</x:f>
      </x:c>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t="str">
        <x:f>IF(74&gt;MAX('Calculations'!$HI$13:$HI$512),"",INDEX('Calculations'!$HN$13:$HN$512,MATCH(74,'Calculations'!$HI$13:$HI$512,0)))</x:f>
      </x:c>
      <x:c r="DB85" s="4" t="str">
        <x:f>IF(74&gt;MAX('Calculations'!$HH$13:$HH$512),"",INDEX('Calculations'!$HJ$13:$HJ$512,MATCH(74,'Calculations'!$HH$13:$HH$512,0)))</x:f>
      </x:c>
      <x:c r="DC85" s="4" t="str">
        <x:f>IF(ROW()-11&gt;MAX('Calculations'!$BY$13:$BY$512),"",INDEX('Calculations'!$BU$13:$BU$512,MATCH(ROW()-11,'Calculations'!$BY$13:$BY$512,0)))</x:f>
      </x:c>
      <x:c r="DD85" s="4" t="str">
        <x:f>IF(74&gt;MAX('Calculations'!$IK$13:$IK$512),"",INDEX('Calculations'!$HK$13:$HK$512,MATCH(74,'Calculations'!$IK$13:$IK$512,0)))</x:f>
      </x:c>
      <x:c r="DE85" s="4" t="str">
        <x:f>'Calculations'!DC85</x:f>
      </x:c>
      <x:c r="DF85" s="4" t="str">
        <x:f>IF('Calculations'!DE85="","",COUNTIFS('Calculations'!$BN$13:$BN$512,1,'Calculations'!$BU$13:$BU$512,'Calculations'!DE85))</x:f>
      </x:c>
      <x:c r="DG85" s="4" t="str">
        <x:f>IF('Calculations'!DE85="","",COUNTIFS('Calculations'!$BN$13:$BN$512,1,'Calculations'!$BU$13:$BU$512,'Calculations'!DE85,'Calculations'!$BT$13:$BT$512,1))</x:f>
      </x:c>
      <x:c r="DH85" s="4" t="str">
        <x:f>IF('Calculations'!DE85="","",'Calculations'!DF85-'Calculations'!DG85)</x:f>
      </x:c>
      <x:c r="DI85" s="4" t="str">
        <x:f>IF(OR('Calculations'!DE85="",'Calculations'!DF85=0),"",'Calculations'!DG85/'Calculations'!DF85)</x:f>
      </x:c>
      <x:c r="DJ85" s="4" t="str">
        <x:f>IF('Calculations'!DE85="","",COUNTIFS('Calculations'!$BN$13:$BN$512,1,'Calculations'!$BU$13:$BU$512,'Calculations'!DE85,'Calculations'!$BT$13:$BT$512,1,'Calculations'!$EE$13:$EE$512,"High"))</x:f>
      </x:c>
      <x:c r="DK85" s="4" t="str">
        <x:f>IF('Calculations'!DE85="","",COUNTIFS('Calculations'!$BN$13:$BN$512,1,'Calculations'!$BU$13:$BU$512,'Calculations'!DE85,'Calculations'!$BT$13:$BT$512,1,'Calculations'!$EE$13:$EE$512,"Strong"))</x:f>
      </x:c>
      <x:c r="DL85" s="4" t="str">
        <x:f>IF('Calculations'!DE85="","",COUNTIFS('Calculations'!$BN$13:$BN$512,1,'Calculations'!$BU$13:$BU$512,'Calculations'!DE85,'Calculations'!$BT$13:$BT$512,1,'Calculations'!$EE$13:$EE$512,"Solid"))</x:f>
      </x:c>
      <x:c r="DM85" s="4" t="str">
        <x:f>IF('Calculations'!DE85="","",COUNTIFS('Calculations'!$BN$13:$BN$512,1,'Calculations'!$BU$13:$BU$512,'Calculations'!DE85,'Calculations'!$BT$13:$BT$512,1,'Calculations'!$EE$13:$EE$512,"Low"))</x:f>
      </x:c>
      <x:c r="DN85" s="4" t="str">
        <x:f>IF('Calculations'!DE85="","",COUNTIFS('Calculations'!$BN$13:$BN$512,1,'Calculations'!$BU$13:$BU$512,'Calculations'!DE85,'Calculations'!$EP$13:$EP$512,1))</x:f>
      </x:c>
      <x:c r="DO85" s="4" t="str">
        <x:f>IF(OR('Calculations'!DE85="",'Calculations'!DG85=0),"",('Calculations'!DJ85+'Calculations'!DK85)/'Calculations'!DG85)</x:f>
      </x:c>
      <x:c r="DP85" s="4" t="n">
        <x:f>IF(AND('Calculations'!DE85&lt;&gt;"",'Calculations'!DF85&gt;0),COUNTIF('Calculations'!$DF$12:DF85,"&gt;0"),0)</x:f>
        <x:v>0</x:v>
      </x:c>
      <x:c r="DQ85" s="4" t="str">
        <x:f>IF(74&gt;MAX('Calculations'!$HH$13:$HH$512),"",INDEX('Calculations'!$HF$13:$HF$512,MATCH(74,'Calculations'!$HH$13:$HH$512,0)))</x:f>
      </x:c>
      <x:c r="DR85" s="4" t="str">
        <x:f>IF(74&gt;MAX('Calculations'!$IK$13:$IK$512),"",INDEX('Calculations'!$HE$13:$HE$512,MATCH(74,'Calculations'!$IK$13:$IK$512,0)))</x:f>
      </x:c>
      <x:c r="DS85" s="4"/>
      <x:c r="DT85" s="4"/>
      <x:c r="DU85" s="4"/>
      <x:c r="DV85" s="4"/>
      <x:c r="DW85" s="4"/>
      <x:c r="DX85" s="4"/>
      <x:c r="DY85" s="4"/>
      <x:c r="DZ85" s="4"/>
      <x:c r="EA85" s="4"/>
      <x:c r="EB85" s="4"/>
      <x:c r="EC85" s="4"/>
      <x:c r="ED85" s="4"/>
      <x:c r="EE85" s="4" t="str">
        <x:f>IF('Calculations'!BT85=0,"Not Rated",IF(OR('Calculations'!BO85&gt;=4,'Calculations'!BP85&gt;=4),"Low",IF('Calculations'!BO85+'Calculations'!BP85&lt;=3,"High",IF('Calculations'!BO85+'Calculations'!BP85&lt;=4,"Strong","Solid"))))</x:f>
        <x:v>Not Rated</x:v>
      </x:c>
      <x:c r="EF85" s="4"/>
      <x:c r="EG85" s="4"/>
      <x:c r="EH85" s="4"/>
      <x:c r="EI85" s="4"/>
      <x:c r="EJ85" s="4"/>
      <x:c r="EK85" s="4"/>
      <x:c r="EL85" s="4"/>
      <x:c r="EM85" s="4" t="str">
        <x:f>IF(73&gt;'Calculations'!$JB$2000,"",INDEX('Calculations'!$JA$12:$JA$2000,MATCH(73,'Calculations'!$JB$12:$JB$2000,0)))</x:f>
      </x:c>
      <x:c r="EN85" s="4" t="n">
        <x:f>IF(OR('Calculations'!EM85="",'Calculations'!$AG$8&gt;0,AND('Calculations'!$EF$2&lt;&gt;"All",'Calculations'!HE85='Calculations'!$EF$2),AND('Calculations'!$EF$3&lt;&gt;"All",'Calculations'!HE85='Calculations'!$EF$3)),0,IF(OR('Dashboard'!$B$7="All",'Calculations'!HN85='Dashboard'!$B$7),IF('Calculations'!$EF$2="All",1,IF('Calculations'!HL85&gt;0,0,IF(COUNTIF('Calculations'!HO85:II85,"="&amp;SUBSTITUTE(SUBSTITUTE(SUBSTITUTE('Calculations'!$EF$2,"~","~~"),"*","~*"),"?","~?"))=0,0,IF('Calculations'!$EF$3="All",1,IF(COUNTIF('Calculations'!HO85:II85,"="&amp;SUBSTITUTE(SUBSTITUTE(SUBSTITUTE('Calculations'!$EF$3,"~","~~"),"*","~*"),"?","~?"))&gt;0,1,0))))),0))</x:f>
        <x:v>0</x:v>
      </x:c>
      <x:c r="EO85" s="4" t="str">
        <x:f>IF('Calculations'!IJ85="","",IF('Calculations'!IJ85="!UNRESOLVED","Unresolved hierarchy",IFERROR(INDEX('Calculations'!$HK$13:$HK$512,MATCH('Calculations'!IJ85,'Calculations'!$HE$13:$HE$512,0)),IFERROR(INDEX('Calculations'!$HJ$13:$HJ$512,MATCH('Calculations'!IJ85,'Calculations'!$HF$13:$HF$512,0)),'Calculations'!IJ85))))</x:f>
      </x:c>
      <x:c r="EP85" s="4" t="n">
        <x:f>IF(AND('Calculations'!EM85&lt;&gt;"",'Calculations'!HF85='Calculations'!IJ85),1,0)</x:f>
        <x:v>0</x:v>
      </x:c>
      <x:c r="EQ85" s="4"/>
      <x:c r="ER85" s="4"/>
      <x:c r="ES85" s="4"/>
      <x:c r="ET85" s="4"/>
      <x:c r="EU85" s="4"/>
      <x:c r="EV85" s="4"/>
      <x:c r="EW85" s="4"/>
      <x:c r="EX85" s="4"/>
      <x:c r="EY85" s="4"/>
      <x:c r="EZ85" s="4"/>
      <x:c r="FA85" s="4"/>
      <x:c r="FB85" s="4"/>
      <x:c r="FC85" s="4"/>
      <x:c r="FD85" s="4"/>
      <x:c r="FE85" s="4"/>
      <x:c r="FF85" s="4"/>
      <x:c r="FG85" s="4"/>
      <x:c r="FH85" s="4"/>
      <x:c r="FI85" s="4"/>
      <x:c r="FJ85" s="4"/>
      <x:c r="FK85" s="4"/>
      <x:c r="FL85" s="4"/>
      <x:c r="FM85" s="4"/>
      <x:c r="FN85" s="4"/>
      <x:c r="FO85" s="4"/>
      <x:c r="GA85" s="71"/>
      <x:c r="GB85" s="71"/>
      <x:c r="GC85" s="71"/>
      <x:c r="GD85" s="71"/>
      <x:c r="GE85" s="71"/>
      <x:c r="GF85" s="71"/>
      <x:c r="GG85" s="71"/>
      <x:c r="GH85" s="71"/>
      <x:c r="GI85" s="71"/>
      <x:c r="GJ85" s="71"/>
      <x:c r="GK85" s="71"/>
      <x:c r="GL85" s="71"/>
      <x:c r="GM85" s="71"/>
      <x:c r="GN85" s="71"/>
      <x:c r="GO85" s="71"/>
      <x:c r="GP85" s="71"/>
      <x:c r="GQ85" s="71"/>
      <x:c r="GR85" s="71"/>
      <x:c r="GS85" s="71"/>
      <x:c r="GT85" s="71"/>
      <x:c r="GU85" s="71"/>
      <x:c r="GV85" s="71"/>
      <x:c r="GW85" s="71"/>
      <x:c r="GX85" s="71"/>
      <x:c r="GY85" s="71"/>
      <x:c r="GZ85" s="71"/>
      <x:c r="HA85" s="71"/>
      <x:c r="HB85" s="71"/>
      <x:c r="HC85" s="71"/>
      <x:c r="HD85" s="71"/>
      <x:c r="HE85" t="str">
        <x:f>IF('Calculations'!EM85="","",IF(IFERROR(IF(INDEX(INDIRECT("'WCM Calibration Final'!$A$1:$A$2000"),'Calculations'!$EM85)="","",TRIM(INDEX(INDIRECT("'WCM Calibration Final'!$A$1:$A$2000"),'Calculations'!$EM85)&amp;"")),"")&lt;&gt;"","G:"&amp;IFERROR(TEXT(1*INDEX(INDIRECT("'WCM Calibration Final'!$A$1:$A$2000"),'Calculations'!$EM85),"0"),UPPER(IFERROR(IF(INDEX(INDIRECT("'WCM Calibration Final'!$A$1:$A$2000"),'Calculations'!$EM85)="","",TRIM(INDEX(INDIRECT("'WCM Calibration Final'!$A$1:$A$2000"),'Calculations'!$EM85)&amp;"")),""))),IF(IFERROR(IF(INDEX(INDIRECT("'WCM Calibration Final'!$C$1:$C$2000"),'Calculations'!$EM85)="","",TRIM(INDEX(INDIRECT("'WCM Calibration Final'!$C$1:$C$2000"),'Calculations'!$EM85)&amp;"")),"")&lt;&gt;"","S:"&amp;UPPER(IFERROR(IF(INDEX(INDIRECT("'WCM Calibration Final'!$C$1:$C$2000"),'Calculations'!$EM85)="","",TRIM(INDEX(INDIRECT("'WCM Calibration Final'!$C$1:$C$2000"),'Calculations'!$EM85)&amp;"")),"")),"R:"&amp;'Calculations'!EM85)))</x:f>
      </x:c>
      <x:c r="HF85" t="str">
        <x:f>IF('Calculations'!EM85="","",IF(IFERROR(IF(INDEX(INDIRECT("'WCM Calibration Final'!$D$1:$D$2000"),'Calculations'!$EM85)="","",TRIM(INDEX(INDIRECT("'WCM Calibration Final'!$D$1:$D$2000"),'Calculations'!$EM85)&amp;"")),"")&lt;&gt;"","G:"&amp;IFERROR(TEXT(1*INDEX(INDIRECT("'WCM Calibration Final'!$D$1:$D$2000"),'Calculations'!$EM85),"0"),UPPER(IFERROR(IF(INDEX(INDIRECT("'WCM Calibration Final'!$D$1:$D$2000"),'Calculations'!$EM85)="","",TRIM(INDEX(INDIRECT("'WCM Calibration Final'!$D$1:$D$2000"),'Calculations'!$EM85)&amp;"")),""))),IF(IFERROR(IF(INDEX(INDIRECT("'WCM Calibration Final'!$E$1:$E$2000"),'Calculations'!$EM85)="","",TRIM(INDEX(INDIRECT("'WCM Calibration Final'!$E$1:$E$2000"),'Calculations'!$EM85)&amp;"")),"")="","",IF(COUNTIF('Calculations'!$HG$13:$HG$512,"="&amp;SUBSTITUTE(SUBSTITUTE(SUBSTITUTE(IFERROR(IF(INDEX(INDIRECT("'WCM Calibration Final'!$E$1:$E$2000"),'Calculations'!$EM85)="","",TRIM(INDEX(INDIRECT("'WCM Calibration Final'!$E$1:$E$2000"),'Calculations'!$EM85)&amp;"")),""),"~","~~"),"*","~*"),"?","~?"))=1,INDEX('Calculations'!$HE$13:$HE$512,MATCH(IFERROR(IF(INDEX(INDIRECT("'WCM Calibration Final'!$E$1:$E$2000"),'Calculations'!$EM85)="","",TRIM(INDEX(INDIRECT("'WCM Calibration Final'!$E$1:$E$2000"),'Calculations'!$EM85)&amp;"")),""),'Calculations'!$HG$13:$HG$512,0)),IF(COUNTIF('Calculations'!$HG$13:$HG$512,"="&amp;SUBSTITUTE(SUBSTITUTE(SUBSTITUTE(IFERROR(IF(INDEX(INDIRECT("'WCM Calibration Final'!$E$1:$E$2000"),'Calculations'!$EM85)="","",TRIM(INDEX(INDIRECT("'WCM Calibration Final'!$E$1:$E$2000"),'Calculations'!$EM85)&amp;"")),""),"~","~~"),"*","~*"),"?","~?"))&gt;1,"!AMBIG","X:"&amp;IFERROR(IF(INDEX(INDIRECT("'WCM Calibration Final'!$E$1:$E$2000"),'Calculations'!$EM85)="","",TRIM(INDEX(INDIRECT("'WCM Calibration Final'!$E$1:$E$2000"),'Calculations'!$EM85)&amp;"")),""))))))</x:f>
      </x:c>
      <x:c r="HG85" t="str">
        <x:f>IF('Calculations'!EM85="","",IFERROR(IF(INDEX(INDIRECT("'WCM Calibration Final'!$B$1:$B$2000"),'Calculations'!$EM85)="","",TRIM(INDEX(INDIRECT("'WCM Calibration Final'!$B$1:$B$2000"),'Calculations'!$EM85)&amp;"")),""))</x:f>
      </x:c>
      <x:c r="HH85" t="n">
        <x:f>IF(AND('Calculations'!JC85&gt;0,COUNTIF('Calculations'!$HF$12:HF85,"="&amp;SUBSTITUTE(SUBSTITUTE(SUBSTITUTE('Calculations'!HF85,"~","~~"),"*","~*"),"?","~?"))=1),MAX('Calculations'!$HH$12:HH84)+1,0)</x:f>
        <x:v>0</x:v>
      </x:c>
      <x:c r="HI85" t="n">
        <x:f>IF(AND('Calculations'!HN85&lt;&gt;"",COUNTIF('Calculations'!$HN$12:HN85,"="&amp;SUBSTITUTE(SUBSTITUTE(SUBSTITUTE('Calculations'!HN85,"~","~~"),"*","~*"),"?","~?"))=1),MAX('Calculations'!$HI$12:HI84)+1,0)</x:f>
        <x:v>0</x:v>
      </x:c>
      <x:c r="HJ85" t="str">
        <x:f>IF('Calculations'!HF85="","",IF(COUNTIF('Calculations'!$HE$13:$HE$512,"="&amp;SUBSTITUTE(SUBSTITUTE(SUBSTITUTE('Calculations'!HF85,"~","~~"),"*","~*"),"?","~?"))=1,INDEX('Calculations'!$HK$13:$HK$512,MATCH('Calculations'!HF85,'Calculations'!$HE$13:$HE$512,0)),IFERROR(IF(INDEX(INDIRECT("'WCM Calibration Final'!$E$1:$E$2000"),'Calculations'!$EM85)="","",TRIM(INDEX(INDIRECT("'WCM Calibration Final'!$E$1:$E$2000"),'Calculations'!$EM85)&amp;"")),"")&amp;" ["&amp;'Calculations'!HF85&amp;"]"))</x:f>
      </x:c>
      <x:c r="HK85" t="str">
        <x:f>IF('Calculations'!EM85="","",'Calculations'!HG85&amp;" ["&amp;'Calculations'!HE85&amp;"]")</x:f>
      </x:c>
      <x:c r="HL85" t="n">
        <x:f>IF('Calculations'!EM85="",0,IF(OR('Calculations'!II85&lt;&gt;"",COUNTIF('Calculations'!$HE$13:$HE$512,"="&amp;SUBSTITUTE(SUBSTITUTE(SUBSTITUTE('Calculations'!HE85,"~","~~"),"*","~*"),"?","~?"))&gt;1),1,0))</x:f>
        <x:v>0</x:v>
      </x:c>
      <x:c r="HM85" t="str">
        <x:f>IF('Calculations'!EM85="","",IF('Calculations'!HL85=1,"!UNRESOLVED",IF('Calculations'!IH85&lt;&gt;"",'Calculations'!IH85,IF('Calculations'!IG85&lt;&gt;"",'Calculations'!IG85,IF('Calculations'!IF85&lt;&gt;"",'Calculations'!IF85,IF('Calculations'!IE85&lt;&gt;"",'Calculations'!IE85,IF('Calculations'!ID85&lt;&gt;"",'Calculations'!ID85,IF('Calculations'!IC85&lt;&gt;"",'Calculations'!IC85,IF('Calculations'!IB85&lt;&gt;"",'Calculations'!IB85,IF('Calculations'!IA85&lt;&gt;"",'Calculations'!IA85,IF('Calculations'!HZ85&lt;&gt;"",'Calculations'!HZ85,IF('Calculations'!HY85&lt;&gt;"",'Calculations'!HY85,IF('Calculations'!HX85&lt;&gt;"",'Calculations'!HX85,IF('Calculations'!HW85&lt;&gt;"",'Calculations'!HW85,IF('Calculations'!HV85&lt;&gt;"",'Calculations'!HV85,IF('Calculations'!HU85&lt;&gt;"",'Calculations'!HU85,IF('Calculations'!HT85&lt;&gt;"",'Calculations'!HT85,IF('Calculations'!HS85&lt;&gt;"",'Calculations'!HS85,IF('Calculations'!HR85&lt;&gt;"",'Calculations'!HR85,IF('Calculations'!HQ85&lt;&gt;"",'Calculations'!HQ85,IF('Calculations'!HP85&lt;&gt;"",'Calculations'!HP85,IF('Calculations'!HO85&lt;&gt;"",'Calculations'!HO85,'Calculations'!HE85))))))))))))))))))))))</x:f>
      </x:c>
      <x:c r="HN85" t="str">
        <x:f>IF('Calculations'!EM85="","",IF(IFERROR(IF(INDEX(INDIRECT("'WCM Calibration Final'!$F$1:$F$2000"),'Calculations'!$EM85)="","",TRIM(INDEX(INDIRECT("'WCM Calibration Final'!$F$1:$F$2000"),'Calculations'!$EM85)&amp;"")),"")="","(Blank)",IFERROR(IF(INDEX(INDIRECT("'WCM Calibration Final'!$F$1:$F$2000"),'Calculations'!$EM85)="","",TRIM(INDEX(INDIRECT("'WCM Calibration Final'!$F$1:$F$2000"),'Calculations'!$EM85)&amp;"")),"")))</x:f>
      </x:c>
      <x:c r="HO85" t="str">
        <x:f>'Calculations'!HF85</x:f>
      </x:c>
      <x:c r="HP85" t="str">
        <x:f>IF('Calculations'!HO85="","",IF('Calculations'!HO85="!AMBIG","!AMBIG",IF(COUNTIF('Calculations'!$HE$13:$HE$512,"="&amp;SUBSTITUTE(SUBSTITUTE(SUBSTITUTE('Calculations'!HO85,"~","~~"),"*","~*"),"?","~?"))&gt;1,"!AMBIG",IFERROR(INDEX('Calculations'!$HF$13:$HF$512,MATCH('Calculations'!HO85,'Calculations'!$HE$13:$HE$512,0)),""))))</x:f>
      </x:c>
      <x:c r="HQ85" t="str">
        <x:f>IF('Calculations'!HP85="","",IF('Calculations'!HP85="!AMBIG","!AMBIG",IF(COUNTIF('Calculations'!$HE$13:$HE$512,"="&amp;SUBSTITUTE(SUBSTITUTE(SUBSTITUTE('Calculations'!HP85,"~","~~"),"*","~*"),"?","~?"))&gt;1,"!AMBIG",IFERROR(INDEX('Calculations'!$HF$13:$HF$512,MATCH('Calculations'!HP85,'Calculations'!$HE$13:$HE$512,0)),""))))</x:f>
      </x:c>
      <x:c r="HR85" t="str">
        <x:f>IF('Calculations'!HQ85="","",IF('Calculations'!HQ85="!AMBIG","!AMBIG",IF(COUNTIF('Calculations'!$HE$13:$HE$512,"="&amp;SUBSTITUTE(SUBSTITUTE(SUBSTITUTE('Calculations'!HQ85,"~","~~"),"*","~*"),"?","~?"))&gt;1,"!AMBIG",IFERROR(INDEX('Calculations'!$HF$13:$HF$512,MATCH('Calculations'!HQ85,'Calculations'!$HE$13:$HE$512,0)),""))))</x:f>
      </x:c>
      <x:c r="HS85" t="str">
        <x:f>IF('Calculations'!HR85="","",IF('Calculations'!HR85="!AMBIG","!AMBIG",IF(COUNTIF('Calculations'!$HE$13:$HE$512,"="&amp;SUBSTITUTE(SUBSTITUTE(SUBSTITUTE('Calculations'!HR85,"~","~~"),"*","~*"),"?","~?"))&gt;1,"!AMBIG",IFERROR(INDEX('Calculations'!$HF$13:$HF$512,MATCH('Calculations'!HR85,'Calculations'!$HE$13:$HE$512,0)),""))))</x:f>
      </x:c>
      <x:c r="HT85" t="str">
        <x:f>IF('Calculations'!HS85="","",IF('Calculations'!HS85="!AMBIG","!AMBIG",IF(COUNTIF('Calculations'!$HE$13:$HE$512,"="&amp;SUBSTITUTE(SUBSTITUTE(SUBSTITUTE('Calculations'!HS85,"~","~~"),"*","~*"),"?","~?"))&gt;1,"!AMBIG",IFERROR(INDEX('Calculations'!$HF$13:$HF$512,MATCH('Calculations'!HS85,'Calculations'!$HE$13:$HE$512,0)),""))))</x:f>
      </x:c>
      <x:c r="HU85" t="str">
        <x:f>IF('Calculations'!HT85="","",IF('Calculations'!HT85="!AMBIG","!AMBIG",IF(COUNTIF('Calculations'!$HE$13:$HE$512,"="&amp;SUBSTITUTE(SUBSTITUTE(SUBSTITUTE('Calculations'!HT85,"~","~~"),"*","~*"),"?","~?"))&gt;1,"!AMBIG",IFERROR(INDEX('Calculations'!$HF$13:$HF$512,MATCH('Calculations'!HT85,'Calculations'!$HE$13:$HE$512,0)),""))))</x:f>
      </x:c>
      <x:c r="HV85" t="str">
        <x:f>IF('Calculations'!HU85="","",IF('Calculations'!HU85="!AMBIG","!AMBIG",IF(COUNTIF('Calculations'!$HE$13:$HE$512,"="&amp;SUBSTITUTE(SUBSTITUTE(SUBSTITUTE('Calculations'!HU85,"~","~~"),"*","~*"),"?","~?"))&gt;1,"!AMBIG",IFERROR(INDEX('Calculations'!$HF$13:$HF$512,MATCH('Calculations'!HU85,'Calculations'!$HE$13:$HE$512,0)),""))))</x:f>
      </x:c>
      <x:c r="HW85" t="str">
        <x:f>IF('Calculations'!HV85="","",IF('Calculations'!HV85="!AMBIG","!AMBIG",IF(COUNTIF('Calculations'!$HE$13:$HE$512,"="&amp;SUBSTITUTE(SUBSTITUTE(SUBSTITUTE('Calculations'!HV85,"~","~~"),"*","~*"),"?","~?"))&gt;1,"!AMBIG",IFERROR(INDEX('Calculations'!$HF$13:$HF$512,MATCH('Calculations'!HV85,'Calculations'!$HE$13:$HE$512,0)),""))))</x:f>
      </x:c>
      <x:c r="HX85" t="str">
        <x:f>IF('Calculations'!HW85="","",IF('Calculations'!HW85="!AMBIG","!AMBIG",IF(COUNTIF('Calculations'!$HE$13:$HE$512,"="&amp;SUBSTITUTE(SUBSTITUTE(SUBSTITUTE('Calculations'!HW85,"~","~~"),"*","~*"),"?","~?"))&gt;1,"!AMBIG",IFERROR(INDEX('Calculations'!$HF$13:$HF$512,MATCH('Calculations'!HW85,'Calculations'!$HE$13:$HE$512,0)),""))))</x:f>
      </x:c>
      <x:c r="HY85" t="str">
        <x:f>IF('Calculations'!HX85="","",IF('Calculations'!HX85="!AMBIG","!AMBIG",IF(COUNTIF('Calculations'!$HE$13:$HE$512,"="&amp;SUBSTITUTE(SUBSTITUTE(SUBSTITUTE('Calculations'!HX85,"~","~~"),"*","~*"),"?","~?"))&gt;1,"!AMBIG",IFERROR(INDEX('Calculations'!$HF$13:$HF$512,MATCH('Calculations'!HX85,'Calculations'!$HE$13:$HE$512,0)),""))))</x:f>
      </x:c>
      <x:c r="HZ85" t="str">
        <x:f>IF('Calculations'!HY85="","",IF('Calculations'!HY85="!AMBIG","!AMBIG",IF(COUNTIF('Calculations'!$HE$13:$HE$512,"="&amp;SUBSTITUTE(SUBSTITUTE(SUBSTITUTE('Calculations'!HY85,"~","~~"),"*","~*"),"?","~?"))&gt;1,"!AMBIG",IFERROR(INDEX('Calculations'!$HF$13:$HF$512,MATCH('Calculations'!HY85,'Calculations'!$HE$13:$HE$512,0)),""))))</x:f>
      </x:c>
      <x:c r="IA85" t="str">
        <x:f>IF('Calculations'!HZ85="","",IF('Calculations'!HZ85="!AMBIG","!AMBIG",IF(COUNTIF('Calculations'!$HE$13:$HE$512,"="&amp;SUBSTITUTE(SUBSTITUTE(SUBSTITUTE('Calculations'!HZ85,"~","~~"),"*","~*"),"?","~?"))&gt;1,"!AMBIG",IFERROR(INDEX('Calculations'!$HF$13:$HF$512,MATCH('Calculations'!HZ85,'Calculations'!$HE$13:$HE$512,0)),""))))</x:f>
      </x:c>
      <x:c r="IB85" t="str">
        <x:f>IF('Calculations'!IA85="","",IF('Calculations'!IA85="!AMBIG","!AMBIG",IF(COUNTIF('Calculations'!$HE$13:$HE$512,"="&amp;SUBSTITUTE(SUBSTITUTE(SUBSTITUTE('Calculations'!IA85,"~","~~"),"*","~*"),"?","~?"))&gt;1,"!AMBIG",IFERROR(INDEX('Calculations'!$HF$13:$HF$512,MATCH('Calculations'!IA85,'Calculations'!$HE$13:$HE$512,0)),""))))</x:f>
      </x:c>
      <x:c r="IC85" t="str">
        <x:f>IF('Calculations'!IB85="","",IF('Calculations'!IB85="!AMBIG","!AMBIG",IF(COUNTIF('Calculations'!$HE$13:$HE$512,"="&amp;SUBSTITUTE(SUBSTITUTE(SUBSTITUTE('Calculations'!IB85,"~","~~"),"*","~*"),"?","~?"))&gt;1,"!AMBIG",IFERROR(INDEX('Calculations'!$HF$13:$HF$512,MATCH('Calculations'!IB85,'Calculations'!$HE$13:$HE$512,0)),""))))</x:f>
      </x:c>
      <x:c r="ID85" t="str">
        <x:f>IF('Calculations'!IC85="","",IF('Calculations'!IC85="!AMBIG","!AMBIG",IF(COUNTIF('Calculations'!$HE$13:$HE$512,"="&amp;SUBSTITUTE(SUBSTITUTE(SUBSTITUTE('Calculations'!IC85,"~","~~"),"*","~*"),"?","~?"))&gt;1,"!AMBIG",IFERROR(INDEX('Calculations'!$HF$13:$HF$512,MATCH('Calculations'!IC85,'Calculations'!$HE$13:$HE$512,0)),""))))</x:f>
      </x:c>
      <x:c r="IE85" t="str">
        <x:f>IF('Calculations'!ID85="","",IF('Calculations'!ID85="!AMBIG","!AMBIG",IF(COUNTIF('Calculations'!$HE$13:$HE$512,"="&amp;SUBSTITUTE(SUBSTITUTE(SUBSTITUTE('Calculations'!ID85,"~","~~"),"*","~*"),"?","~?"))&gt;1,"!AMBIG",IFERROR(INDEX('Calculations'!$HF$13:$HF$512,MATCH('Calculations'!ID85,'Calculations'!$HE$13:$HE$512,0)),""))))</x:f>
      </x:c>
      <x:c r="IF85" t="str">
        <x:f>IF('Calculations'!IE85="","",IF('Calculations'!IE85="!AMBIG","!AMBIG",IF(COUNTIF('Calculations'!$HE$13:$HE$512,"="&amp;SUBSTITUTE(SUBSTITUTE(SUBSTITUTE('Calculations'!IE85,"~","~~"),"*","~*"),"?","~?"))&gt;1,"!AMBIG",IFERROR(INDEX('Calculations'!$HF$13:$HF$512,MATCH('Calculations'!IE85,'Calculations'!$HE$13:$HE$512,0)),""))))</x:f>
      </x:c>
      <x:c r="IG85" t="str">
        <x:f>IF('Calculations'!IF85="","",IF('Calculations'!IF85="!AMBIG","!AMBIG",IF(COUNTIF('Calculations'!$HE$13:$HE$512,"="&amp;SUBSTITUTE(SUBSTITUTE(SUBSTITUTE('Calculations'!IF85,"~","~~"),"*","~*"),"?","~?"))&gt;1,"!AMBIG",IFERROR(INDEX('Calculations'!$HF$13:$HF$512,MATCH('Calculations'!IF85,'Calculations'!$HE$13:$HE$512,0)),""))))</x:f>
      </x:c>
      <x:c r="IH85" t="str">
        <x:f>IF('Calculations'!IG85="","",IF('Calculations'!IG85="!AMBIG","!AMBIG",IF(COUNTIF('Calculations'!$HE$13:$HE$512,"="&amp;SUBSTITUTE(SUBSTITUTE(SUBSTITUTE('Calculations'!IG85,"~","~~"),"*","~*"),"?","~?"))&gt;1,"!AMBIG",IFERROR(INDEX('Calculations'!$HF$13:$HF$512,MATCH('Calculations'!IG85,'Calculations'!$HE$13:$HE$512,0)),""))))</x:f>
      </x:c>
      <x:c r="II85" t="str">
        <x:f>IF('Calculations'!IH85="","",IF('Calculations'!IH85="!AMBIG","!AMBIG",IF(COUNTIF('Calculations'!$HE$13:$HE$512,"="&amp;SUBSTITUTE(SUBSTITUTE(SUBSTITUTE('Calculations'!IH85,"~","~~"),"*","~*"),"?","~?"))&gt;1,"!AMBIG",IFERROR(INDEX('Calculations'!$HF$13:$HF$512,MATCH('Calculations'!IH85,'Calculations'!$HE$13:$HE$512,0)),""))))</x:f>
      </x:c>
      <x:c r="IJ85" t="str">
        <x:f>IF('Calculations'!EM85="","",IF('Calculations'!$EF$2="All",'Calculations'!HM85,IF('Calculations'!HL85=1,"",IFERROR(IF(MATCH('Calculations'!$EF$2,'Calculations'!HO85:II85,0)=1,'Calculations'!HE85,INDEX('Calculations'!HO85:II85,1,MATCH('Calculations'!$EF$2,'Calculations'!HO85:II85,0)-1)),""))))</x:f>
      </x:c>
      <x:c r="IK85" t="n">
        <x:f>IF(AND('Calculations'!EM85&lt;&gt;"",'Calculations'!$EF$2&lt;&gt;"All",'Calculations'!HF85='Calculations'!$EF$2,'Calculations'!HL85=0,'Calculations'!JD85&gt;0),MAX('Calculations'!$IK$12:IK84)+1,0)</x:f>
        <x:v>0</x:v>
      </x:c>
      <x:c r="JA85" t="n">
        <x:f>IF(OR(IFERROR(INDIRECT("'WCM Calibration Final'!$A$85")&lt;&gt;"",FALSE),IFERROR(INDIRECT("'WCM Calibration Final'!$B$85")&lt;&gt;"",FALSE),IFERROR(INDIRECT("'WCM Calibration Final'!$C$85")&lt;&gt;"",FALSE)),85,0)</x:f>
        <x:v>0</x:v>
      </x:c>
      <x:c r="JB85" t="n">
        <x:f>'Calculations'!JB84+IF('Calculations'!JA85&gt;0,1,0)</x:f>
        <x:v>0</x:v>
      </x:c>
      <x:c r="JC85" t="n">
        <x:f>IF(OR('Calculations'!HF85="",'Calculations'!HF85="!AMBIG"),0,IF('Dashboard'!$B$7="All",1,COUNTIFS('Calculations'!$HO$13:$HO$512,"="&amp;SUBSTITUTE(SUBSTITUTE(SUBSTITUTE('Calculations'!HF85,"~","~~"),"*","~*"),"?","~?"),'Calculations'!$HN$13:$HN$512,"="&amp;SUBSTITUTE(SUBSTITUTE(SUBSTITUTE('Dashboard'!$B$7,"~","~~"),"*","~*"),"?","~?"))+COUNTIFS('Calculations'!$HP$13:$HP$512,"="&amp;SUBSTITUTE(SUBSTITUTE(SUBSTITUTE('Calculations'!HF85,"~","~~"),"*","~*"),"?","~?"),'Calculations'!$HN$13:$HN$512,"="&amp;SUBSTITUTE(SUBSTITUTE(SUBSTITUTE('Dashboard'!$B$7,"~","~~"),"*","~*"),"?","~?"))+COUNTIFS('Calculations'!$HQ$13:$HQ$512,"="&amp;SUBSTITUTE(SUBSTITUTE(SUBSTITUTE('Calculations'!HF85,"~","~~"),"*","~*"),"?","~?"),'Calculations'!$HN$13:$HN$512,"="&amp;SUBSTITUTE(SUBSTITUTE(SUBSTITUTE('Dashboard'!$B$7,"~","~~"),"*","~*"),"?","~?"))+COUNTIFS('Calculations'!$HR$13:$HR$512,"="&amp;SUBSTITUTE(SUBSTITUTE(SUBSTITUTE('Calculations'!HF85,"~","~~"),"*","~*"),"?","~?"),'Calculations'!$HN$13:$HN$512,"="&amp;SUBSTITUTE(SUBSTITUTE(SUBSTITUTE('Dashboard'!$B$7,"~","~~"),"*","~*"),"?","~?"))+COUNTIFS('Calculations'!$HS$13:$HS$512,"="&amp;SUBSTITUTE(SUBSTITUTE(SUBSTITUTE('Calculations'!HF85,"~","~~"),"*","~*"),"?","~?"),'Calculations'!$HN$13:$HN$512,"="&amp;SUBSTITUTE(SUBSTITUTE(SUBSTITUTE('Dashboard'!$B$7,"~","~~"),"*","~*"),"?","~?"))+COUNTIFS('Calculations'!$HT$13:$HT$512,"="&amp;SUBSTITUTE(SUBSTITUTE(SUBSTITUTE('Calculations'!HF85,"~","~~"),"*","~*"),"?","~?"),'Calculations'!$HN$13:$HN$512,"="&amp;SUBSTITUTE(SUBSTITUTE(SUBSTITUTE('Dashboard'!$B$7,"~","~~"),"*","~*"),"?","~?"))+COUNTIFS('Calculations'!$HU$13:$HU$512,"="&amp;SUBSTITUTE(SUBSTITUTE(SUBSTITUTE('Calculations'!HF85,"~","~~"),"*","~*"),"?","~?"),'Calculations'!$HN$13:$HN$512,"="&amp;SUBSTITUTE(SUBSTITUTE(SUBSTITUTE('Dashboard'!$B$7,"~","~~"),"*","~*"),"?","~?"))+COUNTIFS('Calculations'!$HV$13:$HV$512,"="&amp;SUBSTITUTE(SUBSTITUTE(SUBSTITUTE('Calculations'!HF85,"~","~~"),"*","~*"),"?","~?"),'Calculations'!$HN$13:$HN$512,"="&amp;SUBSTITUTE(SUBSTITUTE(SUBSTITUTE('Dashboard'!$B$7,"~","~~"),"*","~*"),"?","~?"))+COUNTIFS('Calculations'!$HW$13:$HW$512,"="&amp;SUBSTITUTE(SUBSTITUTE(SUBSTITUTE('Calculations'!HF85,"~","~~"),"*","~*"),"?","~?"),'Calculations'!$HN$13:$HN$512,"="&amp;SUBSTITUTE(SUBSTITUTE(SUBSTITUTE('Dashboard'!$B$7,"~","~~"),"*","~*"),"?","~?"))+COUNTIFS('Calculations'!$HX$13:$HX$512,"="&amp;SUBSTITUTE(SUBSTITUTE(SUBSTITUTE('Calculations'!HF85,"~","~~"),"*","~*"),"?","~?"),'Calculations'!$HN$13:$HN$512,"="&amp;SUBSTITUTE(SUBSTITUTE(SUBSTITUTE('Dashboard'!$B$7,"~","~~"),"*","~*"),"?","~?"))+COUNTIFS('Calculations'!$HY$13:$HY$512,"="&amp;SUBSTITUTE(SUBSTITUTE(SUBSTITUTE('Calculations'!HF85,"~","~~"),"*","~*"),"?","~?"),'Calculations'!$HN$13:$HN$512,"="&amp;SUBSTITUTE(SUBSTITUTE(SUBSTITUTE('Dashboard'!$B$7,"~","~~"),"*","~*"),"?","~?"))+COUNTIFS('Calculations'!$HZ$13:$HZ$512,"="&amp;SUBSTITUTE(SUBSTITUTE(SUBSTITUTE('Calculations'!HF85,"~","~~"),"*","~*"),"?","~?"),'Calculations'!$HN$13:$HN$512,"="&amp;SUBSTITUTE(SUBSTITUTE(SUBSTITUTE('Dashboard'!$B$7,"~","~~"),"*","~*"),"?","~?"))+COUNTIFS('Calculations'!$IA$13:$IA$512,"="&amp;SUBSTITUTE(SUBSTITUTE(SUBSTITUTE('Calculations'!HF85,"~","~~"),"*","~*"),"?","~?"),'Calculations'!$HN$13:$HN$512,"="&amp;SUBSTITUTE(SUBSTITUTE(SUBSTITUTE('Dashboard'!$B$7,"~","~~"),"*","~*"),"?","~?"))+COUNTIFS('Calculations'!$IB$13:$IB$512,"="&amp;SUBSTITUTE(SUBSTITUTE(SUBSTITUTE('Calculations'!HF85,"~","~~"),"*","~*"),"?","~?"),'Calculations'!$HN$13:$HN$512,"="&amp;SUBSTITUTE(SUBSTITUTE(SUBSTITUTE('Dashboard'!$B$7,"~","~~"),"*","~*"),"?","~?"))+COUNTIFS('Calculations'!$IC$13:$IC$512,"="&amp;SUBSTITUTE(SUBSTITUTE(SUBSTITUTE('Calculations'!HF85,"~","~~"),"*","~*"),"?","~?"),'Calculations'!$HN$13:$HN$512,"="&amp;SUBSTITUTE(SUBSTITUTE(SUBSTITUTE('Dashboard'!$B$7,"~","~~"),"*","~*"),"?","~?"))+COUNTIFS('Calculations'!$ID$13:$ID$512,"="&amp;SUBSTITUTE(SUBSTITUTE(SUBSTITUTE('Calculations'!HF85,"~","~~"),"*","~*"),"?","~?"),'Calculations'!$HN$13:$HN$512,"="&amp;SUBSTITUTE(SUBSTITUTE(SUBSTITUTE('Dashboard'!$B$7,"~","~~"),"*","~*"),"?","~?"))+COUNTIFS('Calculations'!$IE$13:$IE$512,"="&amp;SUBSTITUTE(SUBSTITUTE(SUBSTITUTE('Calculations'!HF85,"~","~~"),"*","~*"),"?","~?"),'Calculations'!$HN$13:$HN$512,"="&amp;SUBSTITUTE(SUBSTITUTE(SUBSTITUTE('Dashboard'!$B$7,"~","~~"),"*","~*"),"?","~?"))+COUNTIFS('Calculations'!$IF$13:$IF$512,"="&amp;SUBSTITUTE(SUBSTITUTE(SUBSTITUTE('Calculations'!HF85,"~","~~"),"*","~*"),"?","~?"),'Calculations'!$HN$13:$HN$512,"="&amp;SUBSTITUTE(SUBSTITUTE(SUBSTITUTE('Dashboard'!$B$7,"~","~~"),"*","~*"),"?","~?"))+COUNTIFS('Calculations'!$IG$13:$IG$512,"="&amp;SUBSTITUTE(SUBSTITUTE(SUBSTITUTE('Calculations'!HF85,"~","~~"),"*","~*"),"?","~?"),'Calculations'!$HN$13:$HN$512,"="&amp;SUBSTITUTE(SUBSTITUTE(SUBSTITUTE('Dashboard'!$B$7,"~","~~"),"*","~*"),"?","~?"))+COUNTIFS('Calculations'!$IH$13:$IH$512,"="&amp;SUBSTITUTE(SUBSTITUTE(SUBSTITUTE('Calculations'!HF85,"~","~~"),"*","~*"),"?","~?"),'Calculations'!$HN$13:$HN$512,"="&amp;SUBSTITUTE(SUBSTITUTE(SUBSTITUTE('Dashboard'!$B$7,"~","~~"),"*","~*"),"?","~?"))))</x:f>
        <x:v>0</x:v>
      </x:c>
      <x:c r="JD85" t="n">
        <x:f>IF('Calculations'!EM85="",0,IF('Dashboard'!$B$7="All",1,IF('Calculations'!HN85='Dashboard'!$B$7,1,0)+IFERROR(INDEX('Calculations'!$JC$13:$JC$512,MATCH('Calculations'!HE85,'Calculations'!$HF$13:$HF$512,0)),0)))</x:f>
        <x:v>0</x:v>
      </x:c>
      <x:c r="JE85" t="n">
        <x:f>IF(AND('Calculations'!EM85&lt;&gt;"",'Calculations'!$JJ$2&lt;&gt;"All",'Calculations'!$JJ$2&lt;&gt;"",'Calculations'!HF85='Calculations'!$JJ$2,'Calculations'!HL85=0,'Calculations'!JD85&gt;0),MAX('Calculations'!$JE$12:JE84)+1,0)</x:f>
        <x:v>0</x:v>
      </x:c>
      <x:c r="JF85" t="str">
        <x:f>IF('Calculations'!EM85="","",IFERROR(IF(INDEX(INDIRECT("'WCM Calibration Final'!$G$1:$G$2000"),'Calculations'!$EM85)="","",TRIM(INDEX(INDIRECT("'WCM Calibration Final'!$G$1:$G$2000"),'Calculations'!$EM85)&amp;"")),""))</x:f>
      </x:c>
      <x:c r="JQ85" t="n">
        <x:f>IF(OR('Calculations'!BM85=0,NOT('Calculations'!$AG$2),'Calculations'!$AG$8&gt;0),0,IF(OR('Dashboard'!$B$7="All",'Calculations'!HN85='Dashboard'!$B$7),IF('Calculations'!$JJ$2="All",1,IF(AND('Calculations'!HF85='Calculations'!$JJ$2,'Calculations'!HL85=0),1,0)),0))</x:f>
        <x:v>0</x:v>
      </x:c>
    </x:row>
    <x:row r="86">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t="n">
        <x:f>IF('Calculations'!$EM86="",0,IF(OR(IFERROR(INDEX(INDIRECT("'WCM Calibration Final'!$A$1:$A$2000"),'Calculations'!$EM86)&lt;&gt;"",FALSE),IFERROR(INDEX(INDIRECT("'WCM Calibration Final'!$B$1:$B$2000"),'Calculations'!$EM86)&lt;&gt;"",FALSE),IFERROR(INDEX(INDIRECT("'WCM Calibration Final'!$C$1:$C$2000"),'Calculations'!$EM86)&lt;&gt;"",FALSE)),1,0))</x:f>
        <x:v>0</x:v>
      </x:c>
      <x:c r="BN86" s="4" t="n">
        <x:f>IF(AND('Calculations'!BM86=1,'Calculations'!$AG$2,'Calculations'!$EN86=1),1,0)</x:f>
        <x:v>0</x:v>
      </x:c>
      <x:c r="BO86" s="4" t="str">
        <x:f>IF('Calculations'!BM86=0,"",IFERROR(IF(AND(VALUE(INDEX(INDIRECT("'WCM Calibration Final'!$K$1:$K$2000"),'Calculations'!$EM86))&gt;=1,VALUE(INDEX(INDIRECT("'WCM Calibration Final'!$K$1:$K$2000"),'Calculations'!$EM86))&lt;=4,MOD(VALUE(INDEX(INDIRECT("'WCM Calibration Final'!$K$1:$K$2000"),'Calculations'!$EM86)),1)=0),VALUE(INDEX(INDIRECT("'WCM Calibration Final'!$K$1:$K$2000"),'Calculations'!$EM86)),""),""))</x:f>
      </x:c>
      <x:c r="BP86" s="4" t="str">
        <x:f>IF('Calculations'!BM86=0,"",IFERROR(IF(AND(VALUE(INDEX(INDIRECT("'WCM Calibration Final'!$L$1:$L$2000"),'Calculations'!$EM86))&gt;=1,VALUE(INDEX(INDIRECT("'WCM Calibration Final'!$L$1:$L$2000"),'Calculations'!$EM86))&lt;=4,MOD(VALUE(INDEX(INDIRECT("'WCM Calibration Final'!$L$1:$L$2000"),'Calculations'!$EM86)),1)=0),VALUE(INDEX(INDIRECT("'WCM Calibration Final'!$L$1:$L$2000"),'Calculations'!$EM86)),""),""))</x:f>
      </x:c>
      <x:c r="BQ86" s="4"/>
      <x:c r="BR86" s="4"/>
      <x:c r="BS86" s="4"/>
      <x:c r="BT86" s="4" t="n">
        <x:f>IF(AND('Calculations'!BM86=1,ISNUMBER('Calculations'!BO86),ISNUMBER('Calculations'!BP86)),1,0)</x:f>
        <x:v>0</x:v>
      </x:c>
      <x:c r="BU86" s="4" t="str">
        <x:f>IF('Calculations'!BM86=0,"",'Calculations'!$EO86)</x:f>
      </x:c>
      <x:c r="BV86" s="4" t="str">
        <x:f>IF('Calculations'!BM86=0,"",IFERROR(IF(OR(INDEX(INDIRECT("'WCM Calibration Final'!$H$1:$H$2000"),'Calculations'!$EM86)="MANAGING DIRECTOR",INDEX(INDIRECT("'WCM Calibration Final'!$H$1:$H$2000"),'Calculations'!$EM86)="DIRECTOR",INDEX(INDIRECT("'WCM Calibration Final'!$H$1:$H$2000"),'Calculations'!$EM86)="SENIOR VICE PRESIDENT",INDEX(INDIRECT("'WCM Calibration Final'!$H$1:$H$2000"),'Calculations'!$EM86)="VICE PRESIDENT",INDEX(INDIRECT("'WCM Calibration Final'!$H$1:$H$2000"),'Calculations'!$EM86)="ASSISTANT VICE PRESIDENT",INDEX(INDIRECT("'WCM Calibration Final'!$H$1:$H$2000"),'Calculations'!$EM86)="OFFICER"),UPPER(INDEX(INDIRECT("'WCM Calibration Final'!$H$1:$H$2000"),'Calculations'!$EM86)),"Other"),"Other"))</x:f>
      </x:c>
      <x:c r="BW86" s="4"/>
      <x:c r="BX86" s="4"/>
      <x:c r="BY86" s="4" t="n">
        <x:f>IF(AND('Calculations'!BM86=1,'Calculations'!BU86&lt;&gt;"",COUNTIF('Calculations'!$BU$12:BU86,'Calculations'!BU86)=1),MAX('Calculations'!$BY$11:BY85)+1,0)</x:f>
        <x:v>0</x:v>
      </x:c>
      <x:c r="BZ86" s="4" t="str">
        <x:f>IF('Dashboard'!$E$67="What",'Calculations'!BO86,'Calculations'!BP86)</x:f>
      </x:c>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t="str">
        <x:f>IF(75&gt;MAX('Calculations'!$HI$13:$HI$512),"",INDEX('Calculations'!$HN$13:$HN$512,MATCH(75,'Calculations'!$HI$13:$HI$512,0)))</x:f>
      </x:c>
      <x:c r="DB86" s="4" t="str">
        <x:f>IF(75&gt;MAX('Calculations'!$HH$13:$HH$512),"",INDEX('Calculations'!$HJ$13:$HJ$512,MATCH(75,'Calculations'!$HH$13:$HH$512,0)))</x:f>
      </x:c>
      <x:c r="DC86" s="4" t="str">
        <x:f>IF(ROW()-11&gt;MAX('Calculations'!$BY$13:$BY$512),"",INDEX('Calculations'!$BU$13:$BU$512,MATCH(ROW()-11,'Calculations'!$BY$13:$BY$512,0)))</x:f>
      </x:c>
      <x:c r="DD86" s="4" t="str">
        <x:f>IF(75&gt;MAX('Calculations'!$IK$13:$IK$512),"",INDEX('Calculations'!$HK$13:$HK$512,MATCH(75,'Calculations'!$IK$13:$IK$512,0)))</x:f>
      </x:c>
      <x:c r="DE86" s="4" t="str">
        <x:f>'Calculations'!DC86</x:f>
      </x:c>
      <x:c r="DF86" s="4" t="str">
        <x:f>IF('Calculations'!DE86="","",COUNTIFS('Calculations'!$BN$13:$BN$512,1,'Calculations'!$BU$13:$BU$512,'Calculations'!DE86))</x:f>
      </x:c>
      <x:c r="DG86" s="4" t="str">
        <x:f>IF('Calculations'!DE86="","",COUNTIFS('Calculations'!$BN$13:$BN$512,1,'Calculations'!$BU$13:$BU$512,'Calculations'!DE86,'Calculations'!$BT$13:$BT$512,1))</x:f>
      </x:c>
      <x:c r="DH86" s="4" t="str">
        <x:f>IF('Calculations'!DE86="","",'Calculations'!DF86-'Calculations'!DG86)</x:f>
      </x:c>
      <x:c r="DI86" s="4" t="str">
        <x:f>IF(OR('Calculations'!DE86="",'Calculations'!DF86=0),"",'Calculations'!DG86/'Calculations'!DF86)</x:f>
      </x:c>
      <x:c r="DJ86" s="4" t="str">
        <x:f>IF('Calculations'!DE86="","",COUNTIFS('Calculations'!$BN$13:$BN$512,1,'Calculations'!$BU$13:$BU$512,'Calculations'!DE86,'Calculations'!$BT$13:$BT$512,1,'Calculations'!$EE$13:$EE$512,"High"))</x:f>
      </x:c>
      <x:c r="DK86" s="4" t="str">
        <x:f>IF('Calculations'!DE86="","",COUNTIFS('Calculations'!$BN$13:$BN$512,1,'Calculations'!$BU$13:$BU$512,'Calculations'!DE86,'Calculations'!$BT$13:$BT$512,1,'Calculations'!$EE$13:$EE$512,"Strong"))</x:f>
      </x:c>
      <x:c r="DL86" s="4" t="str">
        <x:f>IF('Calculations'!DE86="","",COUNTIFS('Calculations'!$BN$13:$BN$512,1,'Calculations'!$BU$13:$BU$512,'Calculations'!DE86,'Calculations'!$BT$13:$BT$512,1,'Calculations'!$EE$13:$EE$512,"Solid"))</x:f>
      </x:c>
      <x:c r="DM86" s="4" t="str">
        <x:f>IF('Calculations'!DE86="","",COUNTIFS('Calculations'!$BN$13:$BN$512,1,'Calculations'!$BU$13:$BU$512,'Calculations'!DE86,'Calculations'!$BT$13:$BT$512,1,'Calculations'!$EE$13:$EE$512,"Low"))</x:f>
      </x:c>
      <x:c r="DN86" s="4" t="str">
        <x:f>IF('Calculations'!DE86="","",COUNTIFS('Calculations'!$BN$13:$BN$512,1,'Calculations'!$BU$13:$BU$512,'Calculations'!DE86,'Calculations'!$EP$13:$EP$512,1))</x:f>
      </x:c>
      <x:c r="DO86" s="4" t="str">
        <x:f>IF(OR('Calculations'!DE86="",'Calculations'!DG86=0),"",('Calculations'!DJ86+'Calculations'!DK86)/'Calculations'!DG86)</x:f>
      </x:c>
      <x:c r="DP86" s="4" t="n">
        <x:f>IF(AND('Calculations'!DE86&lt;&gt;"",'Calculations'!DF86&gt;0),COUNTIF('Calculations'!$DF$12:DF86,"&gt;0"),0)</x:f>
        <x:v>0</x:v>
      </x:c>
      <x:c r="DQ86" s="4" t="str">
        <x:f>IF(75&gt;MAX('Calculations'!$HH$13:$HH$512),"",INDEX('Calculations'!$HF$13:$HF$512,MATCH(75,'Calculations'!$HH$13:$HH$512,0)))</x:f>
      </x:c>
      <x:c r="DR86" s="4" t="str">
        <x:f>IF(75&gt;MAX('Calculations'!$IK$13:$IK$512),"",INDEX('Calculations'!$HE$13:$HE$512,MATCH(75,'Calculations'!$IK$13:$IK$512,0)))</x:f>
      </x:c>
      <x:c r="DS86" s="4"/>
      <x:c r="DT86" s="4"/>
      <x:c r="DU86" s="4"/>
      <x:c r="DV86" s="4"/>
      <x:c r="DW86" s="4"/>
      <x:c r="DX86" s="4"/>
      <x:c r="DY86" s="4"/>
      <x:c r="DZ86" s="4"/>
      <x:c r="EA86" s="4"/>
      <x:c r="EB86" s="4"/>
      <x:c r="EC86" s="4"/>
      <x:c r="ED86" s="4"/>
      <x:c r="EE86" s="4" t="str">
        <x:f>IF('Calculations'!BT86=0,"Not Rated",IF(OR('Calculations'!BO86&gt;=4,'Calculations'!BP86&gt;=4),"Low",IF('Calculations'!BO86+'Calculations'!BP86&lt;=3,"High",IF('Calculations'!BO86+'Calculations'!BP86&lt;=4,"Strong","Solid"))))</x:f>
        <x:v>Not Rated</x:v>
      </x:c>
      <x:c r="EF86" s="4"/>
      <x:c r="EG86" s="4"/>
      <x:c r="EH86" s="4"/>
      <x:c r="EI86" s="4"/>
      <x:c r="EJ86" s="4"/>
      <x:c r="EK86" s="4"/>
      <x:c r="EL86" s="4"/>
      <x:c r="EM86" s="4" t="str">
        <x:f>IF(74&gt;'Calculations'!$JB$2000,"",INDEX('Calculations'!$JA$12:$JA$2000,MATCH(74,'Calculations'!$JB$12:$JB$2000,0)))</x:f>
      </x:c>
      <x:c r="EN86" s="4" t="n">
        <x:f>IF(OR('Calculations'!EM86="",'Calculations'!$AG$8&gt;0,AND('Calculations'!$EF$2&lt;&gt;"All",'Calculations'!HE86='Calculations'!$EF$2),AND('Calculations'!$EF$3&lt;&gt;"All",'Calculations'!HE86='Calculations'!$EF$3)),0,IF(OR('Dashboard'!$B$7="All",'Calculations'!HN86='Dashboard'!$B$7),IF('Calculations'!$EF$2="All",1,IF('Calculations'!HL86&gt;0,0,IF(COUNTIF('Calculations'!HO86:II86,"="&amp;SUBSTITUTE(SUBSTITUTE(SUBSTITUTE('Calculations'!$EF$2,"~","~~"),"*","~*"),"?","~?"))=0,0,IF('Calculations'!$EF$3="All",1,IF(COUNTIF('Calculations'!HO86:II86,"="&amp;SUBSTITUTE(SUBSTITUTE(SUBSTITUTE('Calculations'!$EF$3,"~","~~"),"*","~*"),"?","~?"))&gt;0,1,0))))),0))</x:f>
        <x:v>0</x:v>
      </x:c>
      <x:c r="EO86" s="4" t="str">
        <x:f>IF('Calculations'!IJ86="","",IF('Calculations'!IJ86="!UNRESOLVED","Unresolved hierarchy",IFERROR(INDEX('Calculations'!$HK$13:$HK$512,MATCH('Calculations'!IJ86,'Calculations'!$HE$13:$HE$512,0)),IFERROR(INDEX('Calculations'!$HJ$13:$HJ$512,MATCH('Calculations'!IJ86,'Calculations'!$HF$13:$HF$512,0)),'Calculations'!IJ86))))</x:f>
      </x:c>
      <x:c r="EP86" s="4" t="n">
        <x:f>IF(AND('Calculations'!EM86&lt;&gt;"",'Calculations'!HF86='Calculations'!IJ86),1,0)</x:f>
        <x:v>0</x:v>
      </x:c>
      <x:c r="EQ86" s="4"/>
      <x:c r="ER86" s="4"/>
      <x:c r="ES86" s="4"/>
      <x:c r="ET86" s="4"/>
      <x:c r="EU86" s="4"/>
      <x:c r="EV86" s="4"/>
      <x:c r="EW86" s="4"/>
      <x:c r="EX86" s="4"/>
      <x:c r="EY86" s="4"/>
      <x:c r="EZ86" s="4"/>
      <x:c r="FA86" s="4"/>
      <x:c r="FB86" s="4"/>
      <x:c r="FC86" s="4"/>
      <x:c r="FD86" s="4"/>
      <x:c r="FE86" s="4"/>
      <x:c r="FF86" s="4"/>
      <x:c r="FG86" s="4"/>
      <x:c r="FH86" s="4"/>
      <x:c r="FI86" s="4"/>
      <x:c r="FJ86" s="4"/>
      <x:c r="FK86" s="4"/>
      <x:c r="FL86" s="4"/>
      <x:c r="FM86" s="4"/>
      <x:c r="FN86" s="4"/>
      <x:c r="FO86" s="4"/>
      <x:c r="GA86" s="71"/>
      <x:c r="GB86" s="71"/>
      <x:c r="GC86" s="71"/>
      <x:c r="GD86" s="71"/>
      <x:c r="GE86" s="71"/>
      <x:c r="GF86" s="71"/>
      <x:c r="GG86" s="71"/>
      <x:c r="GH86" s="71"/>
      <x:c r="GI86" s="71"/>
      <x:c r="GJ86" s="71"/>
      <x:c r="GK86" s="71"/>
      <x:c r="GL86" s="71"/>
      <x:c r="GM86" s="71"/>
      <x:c r="GN86" s="71"/>
      <x:c r="GO86" s="71"/>
      <x:c r="GP86" s="71"/>
      <x:c r="GQ86" s="71"/>
      <x:c r="GR86" s="71"/>
      <x:c r="GS86" s="71"/>
      <x:c r="GT86" s="71"/>
      <x:c r="GU86" s="71"/>
      <x:c r="GV86" s="71"/>
      <x:c r="GW86" s="71"/>
      <x:c r="GX86" s="71"/>
      <x:c r="GY86" s="71"/>
      <x:c r="GZ86" s="71"/>
      <x:c r="HA86" s="71"/>
      <x:c r="HB86" s="71"/>
      <x:c r="HC86" s="71"/>
      <x:c r="HD86" s="71"/>
      <x:c r="HE86" t="str">
        <x:f>IF('Calculations'!EM86="","",IF(IFERROR(IF(INDEX(INDIRECT("'WCM Calibration Final'!$A$1:$A$2000"),'Calculations'!$EM86)="","",TRIM(INDEX(INDIRECT("'WCM Calibration Final'!$A$1:$A$2000"),'Calculations'!$EM86)&amp;"")),"")&lt;&gt;"","G:"&amp;IFERROR(TEXT(1*INDEX(INDIRECT("'WCM Calibration Final'!$A$1:$A$2000"),'Calculations'!$EM86),"0"),UPPER(IFERROR(IF(INDEX(INDIRECT("'WCM Calibration Final'!$A$1:$A$2000"),'Calculations'!$EM86)="","",TRIM(INDEX(INDIRECT("'WCM Calibration Final'!$A$1:$A$2000"),'Calculations'!$EM86)&amp;"")),""))),IF(IFERROR(IF(INDEX(INDIRECT("'WCM Calibration Final'!$C$1:$C$2000"),'Calculations'!$EM86)="","",TRIM(INDEX(INDIRECT("'WCM Calibration Final'!$C$1:$C$2000"),'Calculations'!$EM86)&amp;"")),"")&lt;&gt;"","S:"&amp;UPPER(IFERROR(IF(INDEX(INDIRECT("'WCM Calibration Final'!$C$1:$C$2000"),'Calculations'!$EM86)="","",TRIM(INDEX(INDIRECT("'WCM Calibration Final'!$C$1:$C$2000"),'Calculations'!$EM86)&amp;"")),"")),"R:"&amp;'Calculations'!EM86)))</x:f>
      </x:c>
      <x:c r="HF86" t="str">
        <x:f>IF('Calculations'!EM86="","",IF(IFERROR(IF(INDEX(INDIRECT("'WCM Calibration Final'!$D$1:$D$2000"),'Calculations'!$EM86)="","",TRIM(INDEX(INDIRECT("'WCM Calibration Final'!$D$1:$D$2000"),'Calculations'!$EM86)&amp;"")),"")&lt;&gt;"","G:"&amp;IFERROR(TEXT(1*INDEX(INDIRECT("'WCM Calibration Final'!$D$1:$D$2000"),'Calculations'!$EM86),"0"),UPPER(IFERROR(IF(INDEX(INDIRECT("'WCM Calibration Final'!$D$1:$D$2000"),'Calculations'!$EM86)="","",TRIM(INDEX(INDIRECT("'WCM Calibration Final'!$D$1:$D$2000"),'Calculations'!$EM86)&amp;"")),""))),IF(IFERROR(IF(INDEX(INDIRECT("'WCM Calibration Final'!$E$1:$E$2000"),'Calculations'!$EM86)="","",TRIM(INDEX(INDIRECT("'WCM Calibration Final'!$E$1:$E$2000"),'Calculations'!$EM86)&amp;"")),"")="","",IF(COUNTIF('Calculations'!$HG$13:$HG$512,"="&amp;SUBSTITUTE(SUBSTITUTE(SUBSTITUTE(IFERROR(IF(INDEX(INDIRECT("'WCM Calibration Final'!$E$1:$E$2000"),'Calculations'!$EM86)="","",TRIM(INDEX(INDIRECT("'WCM Calibration Final'!$E$1:$E$2000"),'Calculations'!$EM86)&amp;"")),""),"~","~~"),"*","~*"),"?","~?"))=1,INDEX('Calculations'!$HE$13:$HE$512,MATCH(IFERROR(IF(INDEX(INDIRECT("'WCM Calibration Final'!$E$1:$E$2000"),'Calculations'!$EM86)="","",TRIM(INDEX(INDIRECT("'WCM Calibration Final'!$E$1:$E$2000"),'Calculations'!$EM86)&amp;"")),""),'Calculations'!$HG$13:$HG$512,0)),IF(COUNTIF('Calculations'!$HG$13:$HG$512,"="&amp;SUBSTITUTE(SUBSTITUTE(SUBSTITUTE(IFERROR(IF(INDEX(INDIRECT("'WCM Calibration Final'!$E$1:$E$2000"),'Calculations'!$EM86)="","",TRIM(INDEX(INDIRECT("'WCM Calibration Final'!$E$1:$E$2000"),'Calculations'!$EM86)&amp;"")),""),"~","~~"),"*","~*"),"?","~?"))&gt;1,"!AMBIG","X:"&amp;IFERROR(IF(INDEX(INDIRECT("'WCM Calibration Final'!$E$1:$E$2000"),'Calculations'!$EM86)="","",TRIM(INDEX(INDIRECT("'WCM Calibration Final'!$E$1:$E$2000"),'Calculations'!$EM86)&amp;"")),""))))))</x:f>
      </x:c>
      <x:c r="HG86" t="str">
        <x:f>IF('Calculations'!EM86="","",IFERROR(IF(INDEX(INDIRECT("'WCM Calibration Final'!$B$1:$B$2000"),'Calculations'!$EM86)="","",TRIM(INDEX(INDIRECT("'WCM Calibration Final'!$B$1:$B$2000"),'Calculations'!$EM86)&amp;"")),""))</x:f>
      </x:c>
      <x:c r="HH86" t="n">
        <x:f>IF(AND('Calculations'!JC86&gt;0,COUNTIF('Calculations'!$HF$12:HF86,"="&amp;SUBSTITUTE(SUBSTITUTE(SUBSTITUTE('Calculations'!HF86,"~","~~"),"*","~*"),"?","~?"))=1),MAX('Calculations'!$HH$12:HH85)+1,0)</x:f>
        <x:v>0</x:v>
      </x:c>
      <x:c r="HI86" t="n">
        <x:f>IF(AND('Calculations'!HN86&lt;&gt;"",COUNTIF('Calculations'!$HN$12:HN86,"="&amp;SUBSTITUTE(SUBSTITUTE(SUBSTITUTE('Calculations'!HN86,"~","~~"),"*","~*"),"?","~?"))=1),MAX('Calculations'!$HI$12:HI85)+1,0)</x:f>
        <x:v>0</x:v>
      </x:c>
      <x:c r="HJ86" t="str">
        <x:f>IF('Calculations'!HF86="","",IF(COUNTIF('Calculations'!$HE$13:$HE$512,"="&amp;SUBSTITUTE(SUBSTITUTE(SUBSTITUTE('Calculations'!HF86,"~","~~"),"*","~*"),"?","~?"))=1,INDEX('Calculations'!$HK$13:$HK$512,MATCH('Calculations'!HF86,'Calculations'!$HE$13:$HE$512,0)),IFERROR(IF(INDEX(INDIRECT("'WCM Calibration Final'!$E$1:$E$2000"),'Calculations'!$EM86)="","",TRIM(INDEX(INDIRECT("'WCM Calibration Final'!$E$1:$E$2000"),'Calculations'!$EM86)&amp;"")),"")&amp;" ["&amp;'Calculations'!HF86&amp;"]"))</x:f>
      </x:c>
      <x:c r="HK86" t="str">
        <x:f>IF('Calculations'!EM86="","",'Calculations'!HG86&amp;" ["&amp;'Calculations'!HE86&amp;"]")</x:f>
      </x:c>
      <x:c r="HL86" t="n">
        <x:f>IF('Calculations'!EM86="",0,IF(OR('Calculations'!II86&lt;&gt;"",COUNTIF('Calculations'!$HE$13:$HE$512,"="&amp;SUBSTITUTE(SUBSTITUTE(SUBSTITUTE('Calculations'!HE86,"~","~~"),"*","~*"),"?","~?"))&gt;1),1,0))</x:f>
        <x:v>0</x:v>
      </x:c>
      <x:c r="HM86" t="str">
        <x:f>IF('Calculations'!EM86="","",IF('Calculations'!HL86=1,"!UNRESOLVED",IF('Calculations'!IH86&lt;&gt;"",'Calculations'!IH86,IF('Calculations'!IG86&lt;&gt;"",'Calculations'!IG86,IF('Calculations'!IF86&lt;&gt;"",'Calculations'!IF86,IF('Calculations'!IE86&lt;&gt;"",'Calculations'!IE86,IF('Calculations'!ID86&lt;&gt;"",'Calculations'!ID86,IF('Calculations'!IC86&lt;&gt;"",'Calculations'!IC86,IF('Calculations'!IB86&lt;&gt;"",'Calculations'!IB86,IF('Calculations'!IA86&lt;&gt;"",'Calculations'!IA86,IF('Calculations'!HZ86&lt;&gt;"",'Calculations'!HZ86,IF('Calculations'!HY86&lt;&gt;"",'Calculations'!HY86,IF('Calculations'!HX86&lt;&gt;"",'Calculations'!HX86,IF('Calculations'!HW86&lt;&gt;"",'Calculations'!HW86,IF('Calculations'!HV86&lt;&gt;"",'Calculations'!HV86,IF('Calculations'!HU86&lt;&gt;"",'Calculations'!HU86,IF('Calculations'!HT86&lt;&gt;"",'Calculations'!HT86,IF('Calculations'!HS86&lt;&gt;"",'Calculations'!HS86,IF('Calculations'!HR86&lt;&gt;"",'Calculations'!HR86,IF('Calculations'!HQ86&lt;&gt;"",'Calculations'!HQ86,IF('Calculations'!HP86&lt;&gt;"",'Calculations'!HP86,IF('Calculations'!HO86&lt;&gt;"",'Calculations'!HO86,'Calculations'!HE86))))))))))))))))))))))</x:f>
      </x:c>
      <x:c r="HN86" t="str">
        <x:f>IF('Calculations'!EM86="","",IF(IFERROR(IF(INDEX(INDIRECT("'WCM Calibration Final'!$F$1:$F$2000"),'Calculations'!$EM86)="","",TRIM(INDEX(INDIRECT("'WCM Calibration Final'!$F$1:$F$2000"),'Calculations'!$EM86)&amp;"")),"")="","(Blank)",IFERROR(IF(INDEX(INDIRECT("'WCM Calibration Final'!$F$1:$F$2000"),'Calculations'!$EM86)="","",TRIM(INDEX(INDIRECT("'WCM Calibration Final'!$F$1:$F$2000"),'Calculations'!$EM86)&amp;"")),"")))</x:f>
      </x:c>
      <x:c r="HO86" t="str">
        <x:f>'Calculations'!HF86</x:f>
      </x:c>
      <x:c r="HP86" t="str">
        <x:f>IF('Calculations'!HO86="","",IF('Calculations'!HO86="!AMBIG","!AMBIG",IF(COUNTIF('Calculations'!$HE$13:$HE$512,"="&amp;SUBSTITUTE(SUBSTITUTE(SUBSTITUTE('Calculations'!HO86,"~","~~"),"*","~*"),"?","~?"))&gt;1,"!AMBIG",IFERROR(INDEX('Calculations'!$HF$13:$HF$512,MATCH('Calculations'!HO86,'Calculations'!$HE$13:$HE$512,0)),""))))</x:f>
      </x:c>
      <x:c r="HQ86" t="str">
        <x:f>IF('Calculations'!HP86="","",IF('Calculations'!HP86="!AMBIG","!AMBIG",IF(COUNTIF('Calculations'!$HE$13:$HE$512,"="&amp;SUBSTITUTE(SUBSTITUTE(SUBSTITUTE('Calculations'!HP86,"~","~~"),"*","~*"),"?","~?"))&gt;1,"!AMBIG",IFERROR(INDEX('Calculations'!$HF$13:$HF$512,MATCH('Calculations'!HP86,'Calculations'!$HE$13:$HE$512,0)),""))))</x:f>
      </x:c>
      <x:c r="HR86" t="str">
        <x:f>IF('Calculations'!HQ86="","",IF('Calculations'!HQ86="!AMBIG","!AMBIG",IF(COUNTIF('Calculations'!$HE$13:$HE$512,"="&amp;SUBSTITUTE(SUBSTITUTE(SUBSTITUTE('Calculations'!HQ86,"~","~~"),"*","~*"),"?","~?"))&gt;1,"!AMBIG",IFERROR(INDEX('Calculations'!$HF$13:$HF$512,MATCH('Calculations'!HQ86,'Calculations'!$HE$13:$HE$512,0)),""))))</x:f>
      </x:c>
      <x:c r="HS86" t="str">
        <x:f>IF('Calculations'!HR86="","",IF('Calculations'!HR86="!AMBIG","!AMBIG",IF(COUNTIF('Calculations'!$HE$13:$HE$512,"="&amp;SUBSTITUTE(SUBSTITUTE(SUBSTITUTE('Calculations'!HR86,"~","~~"),"*","~*"),"?","~?"))&gt;1,"!AMBIG",IFERROR(INDEX('Calculations'!$HF$13:$HF$512,MATCH('Calculations'!HR86,'Calculations'!$HE$13:$HE$512,0)),""))))</x:f>
      </x:c>
      <x:c r="HT86" t="str">
        <x:f>IF('Calculations'!HS86="","",IF('Calculations'!HS86="!AMBIG","!AMBIG",IF(COUNTIF('Calculations'!$HE$13:$HE$512,"="&amp;SUBSTITUTE(SUBSTITUTE(SUBSTITUTE('Calculations'!HS86,"~","~~"),"*","~*"),"?","~?"))&gt;1,"!AMBIG",IFERROR(INDEX('Calculations'!$HF$13:$HF$512,MATCH('Calculations'!HS86,'Calculations'!$HE$13:$HE$512,0)),""))))</x:f>
      </x:c>
      <x:c r="HU86" t="str">
        <x:f>IF('Calculations'!HT86="","",IF('Calculations'!HT86="!AMBIG","!AMBIG",IF(COUNTIF('Calculations'!$HE$13:$HE$512,"="&amp;SUBSTITUTE(SUBSTITUTE(SUBSTITUTE('Calculations'!HT86,"~","~~"),"*","~*"),"?","~?"))&gt;1,"!AMBIG",IFERROR(INDEX('Calculations'!$HF$13:$HF$512,MATCH('Calculations'!HT86,'Calculations'!$HE$13:$HE$512,0)),""))))</x:f>
      </x:c>
      <x:c r="HV86" t="str">
        <x:f>IF('Calculations'!HU86="","",IF('Calculations'!HU86="!AMBIG","!AMBIG",IF(COUNTIF('Calculations'!$HE$13:$HE$512,"="&amp;SUBSTITUTE(SUBSTITUTE(SUBSTITUTE('Calculations'!HU86,"~","~~"),"*","~*"),"?","~?"))&gt;1,"!AMBIG",IFERROR(INDEX('Calculations'!$HF$13:$HF$512,MATCH('Calculations'!HU86,'Calculations'!$HE$13:$HE$512,0)),""))))</x:f>
      </x:c>
      <x:c r="HW86" t="str">
        <x:f>IF('Calculations'!HV86="","",IF('Calculations'!HV86="!AMBIG","!AMBIG",IF(COUNTIF('Calculations'!$HE$13:$HE$512,"="&amp;SUBSTITUTE(SUBSTITUTE(SUBSTITUTE('Calculations'!HV86,"~","~~"),"*","~*"),"?","~?"))&gt;1,"!AMBIG",IFERROR(INDEX('Calculations'!$HF$13:$HF$512,MATCH('Calculations'!HV86,'Calculations'!$HE$13:$HE$512,0)),""))))</x:f>
      </x:c>
      <x:c r="HX86" t="str">
        <x:f>IF('Calculations'!HW86="","",IF('Calculations'!HW86="!AMBIG","!AMBIG",IF(COUNTIF('Calculations'!$HE$13:$HE$512,"="&amp;SUBSTITUTE(SUBSTITUTE(SUBSTITUTE('Calculations'!HW86,"~","~~"),"*","~*"),"?","~?"))&gt;1,"!AMBIG",IFERROR(INDEX('Calculations'!$HF$13:$HF$512,MATCH('Calculations'!HW86,'Calculations'!$HE$13:$HE$512,0)),""))))</x:f>
      </x:c>
      <x:c r="HY86" t="str">
        <x:f>IF('Calculations'!HX86="","",IF('Calculations'!HX86="!AMBIG","!AMBIG",IF(COUNTIF('Calculations'!$HE$13:$HE$512,"="&amp;SUBSTITUTE(SUBSTITUTE(SUBSTITUTE('Calculations'!HX86,"~","~~"),"*","~*"),"?","~?"))&gt;1,"!AMBIG",IFERROR(INDEX('Calculations'!$HF$13:$HF$512,MATCH('Calculations'!HX86,'Calculations'!$HE$13:$HE$512,0)),""))))</x:f>
      </x:c>
      <x:c r="HZ86" t="str">
        <x:f>IF('Calculations'!HY86="","",IF('Calculations'!HY86="!AMBIG","!AMBIG",IF(COUNTIF('Calculations'!$HE$13:$HE$512,"="&amp;SUBSTITUTE(SUBSTITUTE(SUBSTITUTE('Calculations'!HY86,"~","~~"),"*","~*"),"?","~?"))&gt;1,"!AMBIG",IFERROR(INDEX('Calculations'!$HF$13:$HF$512,MATCH('Calculations'!HY86,'Calculations'!$HE$13:$HE$512,0)),""))))</x:f>
      </x:c>
      <x:c r="IA86" t="str">
        <x:f>IF('Calculations'!HZ86="","",IF('Calculations'!HZ86="!AMBIG","!AMBIG",IF(COUNTIF('Calculations'!$HE$13:$HE$512,"="&amp;SUBSTITUTE(SUBSTITUTE(SUBSTITUTE('Calculations'!HZ86,"~","~~"),"*","~*"),"?","~?"))&gt;1,"!AMBIG",IFERROR(INDEX('Calculations'!$HF$13:$HF$512,MATCH('Calculations'!HZ86,'Calculations'!$HE$13:$HE$512,0)),""))))</x:f>
      </x:c>
      <x:c r="IB86" t="str">
        <x:f>IF('Calculations'!IA86="","",IF('Calculations'!IA86="!AMBIG","!AMBIG",IF(COUNTIF('Calculations'!$HE$13:$HE$512,"="&amp;SUBSTITUTE(SUBSTITUTE(SUBSTITUTE('Calculations'!IA86,"~","~~"),"*","~*"),"?","~?"))&gt;1,"!AMBIG",IFERROR(INDEX('Calculations'!$HF$13:$HF$512,MATCH('Calculations'!IA86,'Calculations'!$HE$13:$HE$512,0)),""))))</x:f>
      </x:c>
      <x:c r="IC86" t="str">
        <x:f>IF('Calculations'!IB86="","",IF('Calculations'!IB86="!AMBIG","!AMBIG",IF(COUNTIF('Calculations'!$HE$13:$HE$512,"="&amp;SUBSTITUTE(SUBSTITUTE(SUBSTITUTE('Calculations'!IB86,"~","~~"),"*","~*"),"?","~?"))&gt;1,"!AMBIG",IFERROR(INDEX('Calculations'!$HF$13:$HF$512,MATCH('Calculations'!IB86,'Calculations'!$HE$13:$HE$512,0)),""))))</x:f>
      </x:c>
      <x:c r="ID86" t="str">
        <x:f>IF('Calculations'!IC86="","",IF('Calculations'!IC86="!AMBIG","!AMBIG",IF(COUNTIF('Calculations'!$HE$13:$HE$512,"="&amp;SUBSTITUTE(SUBSTITUTE(SUBSTITUTE('Calculations'!IC86,"~","~~"),"*","~*"),"?","~?"))&gt;1,"!AMBIG",IFERROR(INDEX('Calculations'!$HF$13:$HF$512,MATCH('Calculations'!IC86,'Calculations'!$HE$13:$HE$512,0)),""))))</x:f>
      </x:c>
      <x:c r="IE86" t="str">
        <x:f>IF('Calculations'!ID86="","",IF('Calculations'!ID86="!AMBIG","!AMBIG",IF(COUNTIF('Calculations'!$HE$13:$HE$512,"="&amp;SUBSTITUTE(SUBSTITUTE(SUBSTITUTE('Calculations'!ID86,"~","~~"),"*","~*"),"?","~?"))&gt;1,"!AMBIG",IFERROR(INDEX('Calculations'!$HF$13:$HF$512,MATCH('Calculations'!ID86,'Calculations'!$HE$13:$HE$512,0)),""))))</x:f>
      </x:c>
      <x:c r="IF86" t="str">
        <x:f>IF('Calculations'!IE86="","",IF('Calculations'!IE86="!AMBIG","!AMBIG",IF(COUNTIF('Calculations'!$HE$13:$HE$512,"="&amp;SUBSTITUTE(SUBSTITUTE(SUBSTITUTE('Calculations'!IE86,"~","~~"),"*","~*"),"?","~?"))&gt;1,"!AMBIG",IFERROR(INDEX('Calculations'!$HF$13:$HF$512,MATCH('Calculations'!IE86,'Calculations'!$HE$13:$HE$512,0)),""))))</x:f>
      </x:c>
      <x:c r="IG86" t="str">
        <x:f>IF('Calculations'!IF86="","",IF('Calculations'!IF86="!AMBIG","!AMBIG",IF(COUNTIF('Calculations'!$HE$13:$HE$512,"="&amp;SUBSTITUTE(SUBSTITUTE(SUBSTITUTE('Calculations'!IF86,"~","~~"),"*","~*"),"?","~?"))&gt;1,"!AMBIG",IFERROR(INDEX('Calculations'!$HF$13:$HF$512,MATCH('Calculations'!IF86,'Calculations'!$HE$13:$HE$512,0)),""))))</x:f>
      </x:c>
      <x:c r="IH86" t="str">
        <x:f>IF('Calculations'!IG86="","",IF('Calculations'!IG86="!AMBIG","!AMBIG",IF(COUNTIF('Calculations'!$HE$13:$HE$512,"="&amp;SUBSTITUTE(SUBSTITUTE(SUBSTITUTE('Calculations'!IG86,"~","~~"),"*","~*"),"?","~?"))&gt;1,"!AMBIG",IFERROR(INDEX('Calculations'!$HF$13:$HF$512,MATCH('Calculations'!IG86,'Calculations'!$HE$13:$HE$512,0)),""))))</x:f>
      </x:c>
      <x:c r="II86" t="str">
        <x:f>IF('Calculations'!IH86="","",IF('Calculations'!IH86="!AMBIG","!AMBIG",IF(COUNTIF('Calculations'!$HE$13:$HE$512,"="&amp;SUBSTITUTE(SUBSTITUTE(SUBSTITUTE('Calculations'!IH86,"~","~~"),"*","~*"),"?","~?"))&gt;1,"!AMBIG",IFERROR(INDEX('Calculations'!$HF$13:$HF$512,MATCH('Calculations'!IH86,'Calculations'!$HE$13:$HE$512,0)),""))))</x:f>
      </x:c>
      <x:c r="IJ86" t="str">
        <x:f>IF('Calculations'!EM86="","",IF('Calculations'!$EF$2="All",'Calculations'!HM86,IF('Calculations'!HL86=1,"",IFERROR(IF(MATCH('Calculations'!$EF$2,'Calculations'!HO86:II86,0)=1,'Calculations'!HE86,INDEX('Calculations'!HO86:II86,1,MATCH('Calculations'!$EF$2,'Calculations'!HO86:II86,0)-1)),""))))</x:f>
      </x:c>
      <x:c r="IK86" t="n">
        <x:f>IF(AND('Calculations'!EM86&lt;&gt;"",'Calculations'!$EF$2&lt;&gt;"All",'Calculations'!HF86='Calculations'!$EF$2,'Calculations'!HL86=0,'Calculations'!JD86&gt;0),MAX('Calculations'!$IK$12:IK85)+1,0)</x:f>
        <x:v>0</x:v>
      </x:c>
      <x:c r="JA86" t="n">
        <x:f>IF(OR(IFERROR(INDIRECT("'WCM Calibration Final'!$A$86")&lt;&gt;"",FALSE),IFERROR(INDIRECT("'WCM Calibration Final'!$B$86")&lt;&gt;"",FALSE),IFERROR(INDIRECT("'WCM Calibration Final'!$C$86")&lt;&gt;"",FALSE)),86,0)</x:f>
        <x:v>0</x:v>
      </x:c>
      <x:c r="JB86" t="n">
        <x:f>'Calculations'!JB85+IF('Calculations'!JA86&gt;0,1,0)</x:f>
        <x:v>0</x:v>
      </x:c>
      <x:c r="JC86" t="n">
        <x:f>IF(OR('Calculations'!HF86="",'Calculations'!HF86="!AMBIG"),0,IF('Dashboard'!$B$7="All",1,COUNTIFS('Calculations'!$HO$13:$HO$512,"="&amp;SUBSTITUTE(SUBSTITUTE(SUBSTITUTE('Calculations'!HF86,"~","~~"),"*","~*"),"?","~?"),'Calculations'!$HN$13:$HN$512,"="&amp;SUBSTITUTE(SUBSTITUTE(SUBSTITUTE('Dashboard'!$B$7,"~","~~"),"*","~*"),"?","~?"))+COUNTIFS('Calculations'!$HP$13:$HP$512,"="&amp;SUBSTITUTE(SUBSTITUTE(SUBSTITUTE('Calculations'!HF86,"~","~~"),"*","~*"),"?","~?"),'Calculations'!$HN$13:$HN$512,"="&amp;SUBSTITUTE(SUBSTITUTE(SUBSTITUTE('Dashboard'!$B$7,"~","~~"),"*","~*"),"?","~?"))+COUNTIFS('Calculations'!$HQ$13:$HQ$512,"="&amp;SUBSTITUTE(SUBSTITUTE(SUBSTITUTE('Calculations'!HF86,"~","~~"),"*","~*"),"?","~?"),'Calculations'!$HN$13:$HN$512,"="&amp;SUBSTITUTE(SUBSTITUTE(SUBSTITUTE('Dashboard'!$B$7,"~","~~"),"*","~*"),"?","~?"))+COUNTIFS('Calculations'!$HR$13:$HR$512,"="&amp;SUBSTITUTE(SUBSTITUTE(SUBSTITUTE('Calculations'!HF86,"~","~~"),"*","~*"),"?","~?"),'Calculations'!$HN$13:$HN$512,"="&amp;SUBSTITUTE(SUBSTITUTE(SUBSTITUTE('Dashboard'!$B$7,"~","~~"),"*","~*"),"?","~?"))+COUNTIFS('Calculations'!$HS$13:$HS$512,"="&amp;SUBSTITUTE(SUBSTITUTE(SUBSTITUTE('Calculations'!HF86,"~","~~"),"*","~*"),"?","~?"),'Calculations'!$HN$13:$HN$512,"="&amp;SUBSTITUTE(SUBSTITUTE(SUBSTITUTE('Dashboard'!$B$7,"~","~~"),"*","~*"),"?","~?"))+COUNTIFS('Calculations'!$HT$13:$HT$512,"="&amp;SUBSTITUTE(SUBSTITUTE(SUBSTITUTE('Calculations'!HF86,"~","~~"),"*","~*"),"?","~?"),'Calculations'!$HN$13:$HN$512,"="&amp;SUBSTITUTE(SUBSTITUTE(SUBSTITUTE('Dashboard'!$B$7,"~","~~"),"*","~*"),"?","~?"))+COUNTIFS('Calculations'!$HU$13:$HU$512,"="&amp;SUBSTITUTE(SUBSTITUTE(SUBSTITUTE('Calculations'!HF86,"~","~~"),"*","~*"),"?","~?"),'Calculations'!$HN$13:$HN$512,"="&amp;SUBSTITUTE(SUBSTITUTE(SUBSTITUTE('Dashboard'!$B$7,"~","~~"),"*","~*"),"?","~?"))+COUNTIFS('Calculations'!$HV$13:$HV$512,"="&amp;SUBSTITUTE(SUBSTITUTE(SUBSTITUTE('Calculations'!HF86,"~","~~"),"*","~*"),"?","~?"),'Calculations'!$HN$13:$HN$512,"="&amp;SUBSTITUTE(SUBSTITUTE(SUBSTITUTE('Dashboard'!$B$7,"~","~~"),"*","~*"),"?","~?"))+COUNTIFS('Calculations'!$HW$13:$HW$512,"="&amp;SUBSTITUTE(SUBSTITUTE(SUBSTITUTE('Calculations'!HF86,"~","~~"),"*","~*"),"?","~?"),'Calculations'!$HN$13:$HN$512,"="&amp;SUBSTITUTE(SUBSTITUTE(SUBSTITUTE('Dashboard'!$B$7,"~","~~"),"*","~*"),"?","~?"))+COUNTIFS('Calculations'!$HX$13:$HX$512,"="&amp;SUBSTITUTE(SUBSTITUTE(SUBSTITUTE('Calculations'!HF86,"~","~~"),"*","~*"),"?","~?"),'Calculations'!$HN$13:$HN$512,"="&amp;SUBSTITUTE(SUBSTITUTE(SUBSTITUTE('Dashboard'!$B$7,"~","~~"),"*","~*"),"?","~?"))+COUNTIFS('Calculations'!$HY$13:$HY$512,"="&amp;SUBSTITUTE(SUBSTITUTE(SUBSTITUTE('Calculations'!HF86,"~","~~"),"*","~*"),"?","~?"),'Calculations'!$HN$13:$HN$512,"="&amp;SUBSTITUTE(SUBSTITUTE(SUBSTITUTE('Dashboard'!$B$7,"~","~~"),"*","~*"),"?","~?"))+COUNTIFS('Calculations'!$HZ$13:$HZ$512,"="&amp;SUBSTITUTE(SUBSTITUTE(SUBSTITUTE('Calculations'!HF86,"~","~~"),"*","~*"),"?","~?"),'Calculations'!$HN$13:$HN$512,"="&amp;SUBSTITUTE(SUBSTITUTE(SUBSTITUTE('Dashboard'!$B$7,"~","~~"),"*","~*"),"?","~?"))+COUNTIFS('Calculations'!$IA$13:$IA$512,"="&amp;SUBSTITUTE(SUBSTITUTE(SUBSTITUTE('Calculations'!HF86,"~","~~"),"*","~*"),"?","~?"),'Calculations'!$HN$13:$HN$512,"="&amp;SUBSTITUTE(SUBSTITUTE(SUBSTITUTE('Dashboard'!$B$7,"~","~~"),"*","~*"),"?","~?"))+COUNTIFS('Calculations'!$IB$13:$IB$512,"="&amp;SUBSTITUTE(SUBSTITUTE(SUBSTITUTE('Calculations'!HF86,"~","~~"),"*","~*"),"?","~?"),'Calculations'!$HN$13:$HN$512,"="&amp;SUBSTITUTE(SUBSTITUTE(SUBSTITUTE('Dashboard'!$B$7,"~","~~"),"*","~*"),"?","~?"))+COUNTIFS('Calculations'!$IC$13:$IC$512,"="&amp;SUBSTITUTE(SUBSTITUTE(SUBSTITUTE('Calculations'!HF86,"~","~~"),"*","~*"),"?","~?"),'Calculations'!$HN$13:$HN$512,"="&amp;SUBSTITUTE(SUBSTITUTE(SUBSTITUTE('Dashboard'!$B$7,"~","~~"),"*","~*"),"?","~?"))+COUNTIFS('Calculations'!$ID$13:$ID$512,"="&amp;SUBSTITUTE(SUBSTITUTE(SUBSTITUTE('Calculations'!HF86,"~","~~"),"*","~*"),"?","~?"),'Calculations'!$HN$13:$HN$512,"="&amp;SUBSTITUTE(SUBSTITUTE(SUBSTITUTE('Dashboard'!$B$7,"~","~~"),"*","~*"),"?","~?"))+COUNTIFS('Calculations'!$IE$13:$IE$512,"="&amp;SUBSTITUTE(SUBSTITUTE(SUBSTITUTE('Calculations'!HF86,"~","~~"),"*","~*"),"?","~?"),'Calculations'!$HN$13:$HN$512,"="&amp;SUBSTITUTE(SUBSTITUTE(SUBSTITUTE('Dashboard'!$B$7,"~","~~"),"*","~*"),"?","~?"))+COUNTIFS('Calculations'!$IF$13:$IF$512,"="&amp;SUBSTITUTE(SUBSTITUTE(SUBSTITUTE('Calculations'!HF86,"~","~~"),"*","~*"),"?","~?"),'Calculations'!$HN$13:$HN$512,"="&amp;SUBSTITUTE(SUBSTITUTE(SUBSTITUTE('Dashboard'!$B$7,"~","~~"),"*","~*"),"?","~?"))+COUNTIFS('Calculations'!$IG$13:$IG$512,"="&amp;SUBSTITUTE(SUBSTITUTE(SUBSTITUTE('Calculations'!HF86,"~","~~"),"*","~*"),"?","~?"),'Calculations'!$HN$13:$HN$512,"="&amp;SUBSTITUTE(SUBSTITUTE(SUBSTITUTE('Dashboard'!$B$7,"~","~~"),"*","~*"),"?","~?"))+COUNTIFS('Calculations'!$IH$13:$IH$512,"="&amp;SUBSTITUTE(SUBSTITUTE(SUBSTITUTE('Calculations'!HF86,"~","~~"),"*","~*"),"?","~?"),'Calculations'!$HN$13:$HN$512,"="&amp;SUBSTITUTE(SUBSTITUTE(SUBSTITUTE('Dashboard'!$B$7,"~","~~"),"*","~*"),"?","~?"))))</x:f>
        <x:v>0</x:v>
      </x:c>
      <x:c r="JD86" t="n">
        <x:f>IF('Calculations'!EM86="",0,IF('Dashboard'!$B$7="All",1,IF('Calculations'!HN86='Dashboard'!$B$7,1,0)+IFERROR(INDEX('Calculations'!$JC$13:$JC$512,MATCH('Calculations'!HE86,'Calculations'!$HF$13:$HF$512,0)),0)))</x:f>
        <x:v>0</x:v>
      </x:c>
      <x:c r="JE86" t="n">
        <x:f>IF(AND('Calculations'!EM86&lt;&gt;"",'Calculations'!$JJ$2&lt;&gt;"All",'Calculations'!$JJ$2&lt;&gt;"",'Calculations'!HF86='Calculations'!$JJ$2,'Calculations'!HL86=0,'Calculations'!JD86&gt;0),MAX('Calculations'!$JE$12:JE85)+1,0)</x:f>
        <x:v>0</x:v>
      </x:c>
      <x:c r="JF86" t="str">
        <x:f>IF('Calculations'!EM86="","",IFERROR(IF(INDEX(INDIRECT("'WCM Calibration Final'!$G$1:$G$2000"),'Calculations'!$EM86)="","",TRIM(INDEX(INDIRECT("'WCM Calibration Final'!$G$1:$G$2000"),'Calculations'!$EM86)&amp;"")),""))</x:f>
      </x:c>
      <x:c r="JQ86" t="n">
        <x:f>IF(OR('Calculations'!BM86=0,NOT('Calculations'!$AG$2),'Calculations'!$AG$8&gt;0),0,IF(OR('Dashboard'!$B$7="All",'Calculations'!HN86='Dashboard'!$B$7),IF('Calculations'!$JJ$2="All",1,IF(AND('Calculations'!HF86='Calculations'!$JJ$2,'Calculations'!HL86=0),1,0)),0))</x:f>
        <x:v>0</x:v>
      </x:c>
    </x:row>
    <x:row r="87">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t="n">
        <x:f>IF('Calculations'!$EM87="",0,IF(OR(IFERROR(INDEX(INDIRECT("'WCM Calibration Final'!$A$1:$A$2000"),'Calculations'!$EM87)&lt;&gt;"",FALSE),IFERROR(INDEX(INDIRECT("'WCM Calibration Final'!$B$1:$B$2000"),'Calculations'!$EM87)&lt;&gt;"",FALSE),IFERROR(INDEX(INDIRECT("'WCM Calibration Final'!$C$1:$C$2000"),'Calculations'!$EM87)&lt;&gt;"",FALSE)),1,0))</x:f>
        <x:v>0</x:v>
      </x:c>
      <x:c r="BN87" s="4" t="n">
        <x:f>IF(AND('Calculations'!BM87=1,'Calculations'!$AG$2,'Calculations'!$EN87=1),1,0)</x:f>
        <x:v>0</x:v>
      </x:c>
      <x:c r="BO87" s="4" t="str">
        <x:f>IF('Calculations'!BM87=0,"",IFERROR(IF(AND(VALUE(INDEX(INDIRECT("'WCM Calibration Final'!$K$1:$K$2000"),'Calculations'!$EM87))&gt;=1,VALUE(INDEX(INDIRECT("'WCM Calibration Final'!$K$1:$K$2000"),'Calculations'!$EM87))&lt;=4,MOD(VALUE(INDEX(INDIRECT("'WCM Calibration Final'!$K$1:$K$2000"),'Calculations'!$EM87)),1)=0),VALUE(INDEX(INDIRECT("'WCM Calibration Final'!$K$1:$K$2000"),'Calculations'!$EM87)),""),""))</x:f>
      </x:c>
      <x:c r="BP87" s="4" t="str">
        <x:f>IF('Calculations'!BM87=0,"",IFERROR(IF(AND(VALUE(INDEX(INDIRECT("'WCM Calibration Final'!$L$1:$L$2000"),'Calculations'!$EM87))&gt;=1,VALUE(INDEX(INDIRECT("'WCM Calibration Final'!$L$1:$L$2000"),'Calculations'!$EM87))&lt;=4,MOD(VALUE(INDEX(INDIRECT("'WCM Calibration Final'!$L$1:$L$2000"),'Calculations'!$EM87)),1)=0),VALUE(INDEX(INDIRECT("'WCM Calibration Final'!$L$1:$L$2000"),'Calculations'!$EM87)),""),""))</x:f>
      </x:c>
      <x:c r="BQ87" s="4"/>
      <x:c r="BR87" s="4"/>
      <x:c r="BS87" s="4"/>
      <x:c r="BT87" s="4" t="n">
        <x:f>IF(AND('Calculations'!BM87=1,ISNUMBER('Calculations'!BO87),ISNUMBER('Calculations'!BP87)),1,0)</x:f>
        <x:v>0</x:v>
      </x:c>
      <x:c r="BU87" s="4" t="str">
        <x:f>IF('Calculations'!BM87=0,"",'Calculations'!$EO87)</x:f>
      </x:c>
      <x:c r="BV87" s="4" t="str">
        <x:f>IF('Calculations'!BM87=0,"",IFERROR(IF(OR(INDEX(INDIRECT("'WCM Calibration Final'!$H$1:$H$2000"),'Calculations'!$EM87)="MANAGING DIRECTOR",INDEX(INDIRECT("'WCM Calibration Final'!$H$1:$H$2000"),'Calculations'!$EM87)="DIRECTOR",INDEX(INDIRECT("'WCM Calibration Final'!$H$1:$H$2000"),'Calculations'!$EM87)="SENIOR VICE PRESIDENT",INDEX(INDIRECT("'WCM Calibration Final'!$H$1:$H$2000"),'Calculations'!$EM87)="VICE PRESIDENT",INDEX(INDIRECT("'WCM Calibration Final'!$H$1:$H$2000"),'Calculations'!$EM87)="ASSISTANT VICE PRESIDENT",INDEX(INDIRECT("'WCM Calibration Final'!$H$1:$H$2000"),'Calculations'!$EM87)="OFFICER"),UPPER(INDEX(INDIRECT("'WCM Calibration Final'!$H$1:$H$2000"),'Calculations'!$EM87)),"Other"),"Other"))</x:f>
      </x:c>
      <x:c r="BW87" s="4"/>
      <x:c r="BX87" s="4"/>
      <x:c r="BY87" s="4" t="n">
        <x:f>IF(AND('Calculations'!BM87=1,'Calculations'!BU87&lt;&gt;"",COUNTIF('Calculations'!$BU$12:BU87,'Calculations'!BU87)=1),MAX('Calculations'!$BY$11:BY86)+1,0)</x:f>
        <x:v>0</x:v>
      </x:c>
      <x:c r="BZ87" s="4" t="str">
        <x:f>IF('Dashboard'!$E$67="What",'Calculations'!BO87,'Calculations'!BP87)</x:f>
      </x:c>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t="str">
        <x:f>IF(76&gt;MAX('Calculations'!$HI$13:$HI$512),"",INDEX('Calculations'!$HN$13:$HN$512,MATCH(76,'Calculations'!$HI$13:$HI$512,0)))</x:f>
      </x:c>
      <x:c r="DB87" s="4" t="str">
        <x:f>IF(76&gt;MAX('Calculations'!$HH$13:$HH$512),"",INDEX('Calculations'!$HJ$13:$HJ$512,MATCH(76,'Calculations'!$HH$13:$HH$512,0)))</x:f>
      </x:c>
      <x:c r="DC87" s="4" t="str">
        <x:f>IF(ROW()-11&gt;MAX('Calculations'!$BY$13:$BY$512),"",INDEX('Calculations'!$BU$13:$BU$512,MATCH(ROW()-11,'Calculations'!$BY$13:$BY$512,0)))</x:f>
      </x:c>
      <x:c r="DD87" s="4" t="str">
        <x:f>IF(76&gt;MAX('Calculations'!$IK$13:$IK$512),"",INDEX('Calculations'!$HK$13:$HK$512,MATCH(76,'Calculations'!$IK$13:$IK$512,0)))</x:f>
      </x:c>
      <x:c r="DE87" s="4" t="str">
        <x:f>'Calculations'!DC87</x:f>
      </x:c>
      <x:c r="DF87" s="4" t="str">
        <x:f>IF('Calculations'!DE87="","",COUNTIFS('Calculations'!$BN$13:$BN$512,1,'Calculations'!$BU$13:$BU$512,'Calculations'!DE87))</x:f>
      </x:c>
      <x:c r="DG87" s="4" t="str">
        <x:f>IF('Calculations'!DE87="","",COUNTIFS('Calculations'!$BN$13:$BN$512,1,'Calculations'!$BU$13:$BU$512,'Calculations'!DE87,'Calculations'!$BT$13:$BT$512,1))</x:f>
      </x:c>
      <x:c r="DH87" s="4" t="str">
        <x:f>IF('Calculations'!DE87="","",'Calculations'!DF87-'Calculations'!DG87)</x:f>
      </x:c>
      <x:c r="DI87" s="4" t="str">
        <x:f>IF(OR('Calculations'!DE87="",'Calculations'!DF87=0),"",'Calculations'!DG87/'Calculations'!DF87)</x:f>
      </x:c>
      <x:c r="DJ87" s="4" t="str">
        <x:f>IF('Calculations'!DE87="","",COUNTIFS('Calculations'!$BN$13:$BN$512,1,'Calculations'!$BU$13:$BU$512,'Calculations'!DE87,'Calculations'!$BT$13:$BT$512,1,'Calculations'!$EE$13:$EE$512,"High"))</x:f>
      </x:c>
      <x:c r="DK87" s="4" t="str">
        <x:f>IF('Calculations'!DE87="","",COUNTIFS('Calculations'!$BN$13:$BN$512,1,'Calculations'!$BU$13:$BU$512,'Calculations'!DE87,'Calculations'!$BT$13:$BT$512,1,'Calculations'!$EE$13:$EE$512,"Strong"))</x:f>
      </x:c>
      <x:c r="DL87" s="4" t="str">
        <x:f>IF('Calculations'!DE87="","",COUNTIFS('Calculations'!$BN$13:$BN$512,1,'Calculations'!$BU$13:$BU$512,'Calculations'!DE87,'Calculations'!$BT$13:$BT$512,1,'Calculations'!$EE$13:$EE$512,"Solid"))</x:f>
      </x:c>
      <x:c r="DM87" s="4" t="str">
        <x:f>IF('Calculations'!DE87="","",COUNTIFS('Calculations'!$BN$13:$BN$512,1,'Calculations'!$BU$13:$BU$512,'Calculations'!DE87,'Calculations'!$BT$13:$BT$512,1,'Calculations'!$EE$13:$EE$512,"Low"))</x:f>
      </x:c>
      <x:c r="DN87" s="4" t="str">
        <x:f>IF('Calculations'!DE87="","",COUNTIFS('Calculations'!$BN$13:$BN$512,1,'Calculations'!$BU$13:$BU$512,'Calculations'!DE87,'Calculations'!$EP$13:$EP$512,1))</x:f>
      </x:c>
      <x:c r="DO87" s="4" t="str">
        <x:f>IF(OR('Calculations'!DE87="",'Calculations'!DG87=0),"",('Calculations'!DJ87+'Calculations'!DK87)/'Calculations'!DG87)</x:f>
      </x:c>
      <x:c r="DP87" s="4" t="n">
        <x:f>IF(AND('Calculations'!DE87&lt;&gt;"",'Calculations'!DF87&gt;0),COUNTIF('Calculations'!$DF$12:DF87,"&gt;0"),0)</x:f>
        <x:v>0</x:v>
      </x:c>
      <x:c r="DQ87" s="4" t="str">
        <x:f>IF(76&gt;MAX('Calculations'!$HH$13:$HH$512),"",INDEX('Calculations'!$HF$13:$HF$512,MATCH(76,'Calculations'!$HH$13:$HH$512,0)))</x:f>
      </x:c>
      <x:c r="DR87" s="4" t="str">
        <x:f>IF(76&gt;MAX('Calculations'!$IK$13:$IK$512),"",INDEX('Calculations'!$HE$13:$HE$512,MATCH(76,'Calculations'!$IK$13:$IK$512,0)))</x:f>
      </x:c>
      <x:c r="DS87" s="4"/>
      <x:c r="DT87" s="4"/>
      <x:c r="DU87" s="4"/>
      <x:c r="DV87" s="4"/>
      <x:c r="DW87" s="4"/>
      <x:c r="DX87" s="4"/>
      <x:c r="DY87" s="4"/>
      <x:c r="DZ87" s="4"/>
      <x:c r="EA87" s="4"/>
      <x:c r="EB87" s="4"/>
      <x:c r="EC87" s="4"/>
      <x:c r="ED87" s="4"/>
      <x:c r="EE87" s="4" t="str">
        <x:f>IF('Calculations'!BT87=0,"Not Rated",IF(OR('Calculations'!BO87&gt;=4,'Calculations'!BP87&gt;=4),"Low",IF('Calculations'!BO87+'Calculations'!BP87&lt;=3,"High",IF('Calculations'!BO87+'Calculations'!BP87&lt;=4,"Strong","Solid"))))</x:f>
        <x:v>Not Rated</x:v>
      </x:c>
      <x:c r="EF87" s="4"/>
      <x:c r="EG87" s="4"/>
      <x:c r="EH87" s="4"/>
      <x:c r="EI87" s="4"/>
      <x:c r="EJ87" s="4"/>
      <x:c r="EK87" s="4"/>
      <x:c r="EL87" s="4"/>
      <x:c r="EM87" s="4" t="str">
        <x:f>IF(75&gt;'Calculations'!$JB$2000,"",INDEX('Calculations'!$JA$12:$JA$2000,MATCH(75,'Calculations'!$JB$12:$JB$2000,0)))</x:f>
      </x:c>
      <x:c r="EN87" s="4" t="n">
        <x:f>IF(OR('Calculations'!EM87="",'Calculations'!$AG$8&gt;0,AND('Calculations'!$EF$2&lt;&gt;"All",'Calculations'!HE87='Calculations'!$EF$2),AND('Calculations'!$EF$3&lt;&gt;"All",'Calculations'!HE87='Calculations'!$EF$3)),0,IF(OR('Dashboard'!$B$7="All",'Calculations'!HN87='Dashboard'!$B$7),IF('Calculations'!$EF$2="All",1,IF('Calculations'!HL87&gt;0,0,IF(COUNTIF('Calculations'!HO87:II87,"="&amp;SUBSTITUTE(SUBSTITUTE(SUBSTITUTE('Calculations'!$EF$2,"~","~~"),"*","~*"),"?","~?"))=0,0,IF('Calculations'!$EF$3="All",1,IF(COUNTIF('Calculations'!HO87:II87,"="&amp;SUBSTITUTE(SUBSTITUTE(SUBSTITUTE('Calculations'!$EF$3,"~","~~"),"*","~*"),"?","~?"))&gt;0,1,0))))),0))</x:f>
        <x:v>0</x:v>
      </x:c>
      <x:c r="EO87" s="4" t="str">
        <x:f>IF('Calculations'!IJ87="","",IF('Calculations'!IJ87="!UNRESOLVED","Unresolved hierarchy",IFERROR(INDEX('Calculations'!$HK$13:$HK$512,MATCH('Calculations'!IJ87,'Calculations'!$HE$13:$HE$512,0)),IFERROR(INDEX('Calculations'!$HJ$13:$HJ$512,MATCH('Calculations'!IJ87,'Calculations'!$HF$13:$HF$512,0)),'Calculations'!IJ87))))</x:f>
      </x:c>
      <x:c r="EP87" s="4" t="n">
        <x:f>IF(AND('Calculations'!EM87&lt;&gt;"",'Calculations'!HF87='Calculations'!IJ87),1,0)</x:f>
        <x:v>0</x:v>
      </x:c>
      <x:c r="EQ87" s="4"/>
      <x:c r="ER87" s="4"/>
      <x:c r="ES87" s="4"/>
      <x:c r="ET87" s="4"/>
      <x:c r="EU87" s="4"/>
      <x:c r="EV87" s="4"/>
      <x:c r="EW87" s="4"/>
      <x:c r="EX87" s="4"/>
      <x:c r="EY87" s="4"/>
      <x:c r="EZ87" s="4"/>
      <x:c r="FA87" s="4"/>
      <x:c r="FB87" s="4"/>
      <x:c r="FC87" s="4"/>
      <x:c r="FD87" s="4"/>
      <x:c r="FE87" s="4"/>
      <x:c r="FF87" s="4"/>
      <x:c r="FG87" s="4"/>
      <x:c r="FH87" s="4"/>
      <x:c r="FI87" s="4"/>
      <x:c r="FJ87" s="4"/>
      <x:c r="FK87" s="4"/>
      <x:c r="FL87" s="4"/>
      <x:c r="FM87" s="4"/>
      <x:c r="FN87" s="4"/>
      <x:c r="FO87" s="4"/>
      <x:c r="GA87" s="71"/>
      <x:c r="GB87" s="71"/>
      <x:c r="GC87" s="71"/>
      <x:c r="GD87" s="71"/>
      <x:c r="GE87" s="71"/>
      <x:c r="GF87" s="71"/>
      <x:c r="GG87" s="71"/>
      <x:c r="GH87" s="71"/>
      <x:c r="GI87" s="71"/>
      <x:c r="GJ87" s="71"/>
      <x:c r="GK87" s="71"/>
      <x:c r="GL87" s="71"/>
      <x:c r="GM87" s="71"/>
      <x:c r="GN87" s="71"/>
      <x:c r="GO87" s="71"/>
      <x:c r="GP87" s="71"/>
      <x:c r="GQ87" s="71"/>
      <x:c r="GR87" s="71"/>
      <x:c r="GS87" s="71"/>
      <x:c r="GT87" s="71"/>
      <x:c r="GU87" s="71"/>
      <x:c r="GV87" s="71"/>
      <x:c r="GW87" s="71"/>
      <x:c r="GX87" s="71"/>
      <x:c r="GY87" s="71"/>
      <x:c r="GZ87" s="71"/>
      <x:c r="HA87" s="71"/>
      <x:c r="HB87" s="71"/>
      <x:c r="HC87" s="71"/>
      <x:c r="HD87" s="71"/>
      <x:c r="HE87" t="str">
        <x:f>IF('Calculations'!EM87="","",IF(IFERROR(IF(INDEX(INDIRECT("'WCM Calibration Final'!$A$1:$A$2000"),'Calculations'!$EM87)="","",TRIM(INDEX(INDIRECT("'WCM Calibration Final'!$A$1:$A$2000"),'Calculations'!$EM87)&amp;"")),"")&lt;&gt;"","G:"&amp;IFERROR(TEXT(1*INDEX(INDIRECT("'WCM Calibration Final'!$A$1:$A$2000"),'Calculations'!$EM87),"0"),UPPER(IFERROR(IF(INDEX(INDIRECT("'WCM Calibration Final'!$A$1:$A$2000"),'Calculations'!$EM87)="","",TRIM(INDEX(INDIRECT("'WCM Calibration Final'!$A$1:$A$2000"),'Calculations'!$EM87)&amp;"")),""))),IF(IFERROR(IF(INDEX(INDIRECT("'WCM Calibration Final'!$C$1:$C$2000"),'Calculations'!$EM87)="","",TRIM(INDEX(INDIRECT("'WCM Calibration Final'!$C$1:$C$2000"),'Calculations'!$EM87)&amp;"")),"")&lt;&gt;"","S:"&amp;UPPER(IFERROR(IF(INDEX(INDIRECT("'WCM Calibration Final'!$C$1:$C$2000"),'Calculations'!$EM87)="","",TRIM(INDEX(INDIRECT("'WCM Calibration Final'!$C$1:$C$2000"),'Calculations'!$EM87)&amp;"")),"")),"R:"&amp;'Calculations'!EM87)))</x:f>
      </x:c>
      <x:c r="HF87" t="str">
        <x:f>IF('Calculations'!EM87="","",IF(IFERROR(IF(INDEX(INDIRECT("'WCM Calibration Final'!$D$1:$D$2000"),'Calculations'!$EM87)="","",TRIM(INDEX(INDIRECT("'WCM Calibration Final'!$D$1:$D$2000"),'Calculations'!$EM87)&amp;"")),"")&lt;&gt;"","G:"&amp;IFERROR(TEXT(1*INDEX(INDIRECT("'WCM Calibration Final'!$D$1:$D$2000"),'Calculations'!$EM87),"0"),UPPER(IFERROR(IF(INDEX(INDIRECT("'WCM Calibration Final'!$D$1:$D$2000"),'Calculations'!$EM87)="","",TRIM(INDEX(INDIRECT("'WCM Calibration Final'!$D$1:$D$2000"),'Calculations'!$EM87)&amp;"")),""))),IF(IFERROR(IF(INDEX(INDIRECT("'WCM Calibration Final'!$E$1:$E$2000"),'Calculations'!$EM87)="","",TRIM(INDEX(INDIRECT("'WCM Calibration Final'!$E$1:$E$2000"),'Calculations'!$EM87)&amp;"")),"")="","",IF(COUNTIF('Calculations'!$HG$13:$HG$512,"="&amp;SUBSTITUTE(SUBSTITUTE(SUBSTITUTE(IFERROR(IF(INDEX(INDIRECT("'WCM Calibration Final'!$E$1:$E$2000"),'Calculations'!$EM87)="","",TRIM(INDEX(INDIRECT("'WCM Calibration Final'!$E$1:$E$2000"),'Calculations'!$EM87)&amp;"")),""),"~","~~"),"*","~*"),"?","~?"))=1,INDEX('Calculations'!$HE$13:$HE$512,MATCH(IFERROR(IF(INDEX(INDIRECT("'WCM Calibration Final'!$E$1:$E$2000"),'Calculations'!$EM87)="","",TRIM(INDEX(INDIRECT("'WCM Calibration Final'!$E$1:$E$2000"),'Calculations'!$EM87)&amp;"")),""),'Calculations'!$HG$13:$HG$512,0)),IF(COUNTIF('Calculations'!$HG$13:$HG$512,"="&amp;SUBSTITUTE(SUBSTITUTE(SUBSTITUTE(IFERROR(IF(INDEX(INDIRECT("'WCM Calibration Final'!$E$1:$E$2000"),'Calculations'!$EM87)="","",TRIM(INDEX(INDIRECT("'WCM Calibration Final'!$E$1:$E$2000"),'Calculations'!$EM87)&amp;"")),""),"~","~~"),"*","~*"),"?","~?"))&gt;1,"!AMBIG","X:"&amp;IFERROR(IF(INDEX(INDIRECT("'WCM Calibration Final'!$E$1:$E$2000"),'Calculations'!$EM87)="","",TRIM(INDEX(INDIRECT("'WCM Calibration Final'!$E$1:$E$2000"),'Calculations'!$EM87)&amp;"")),""))))))</x:f>
      </x:c>
      <x:c r="HG87" t="str">
        <x:f>IF('Calculations'!EM87="","",IFERROR(IF(INDEX(INDIRECT("'WCM Calibration Final'!$B$1:$B$2000"),'Calculations'!$EM87)="","",TRIM(INDEX(INDIRECT("'WCM Calibration Final'!$B$1:$B$2000"),'Calculations'!$EM87)&amp;"")),""))</x:f>
      </x:c>
      <x:c r="HH87" t="n">
        <x:f>IF(AND('Calculations'!JC87&gt;0,COUNTIF('Calculations'!$HF$12:HF87,"="&amp;SUBSTITUTE(SUBSTITUTE(SUBSTITUTE('Calculations'!HF87,"~","~~"),"*","~*"),"?","~?"))=1),MAX('Calculations'!$HH$12:HH86)+1,0)</x:f>
        <x:v>0</x:v>
      </x:c>
      <x:c r="HI87" t="n">
        <x:f>IF(AND('Calculations'!HN87&lt;&gt;"",COUNTIF('Calculations'!$HN$12:HN87,"="&amp;SUBSTITUTE(SUBSTITUTE(SUBSTITUTE('Calculations'!HN87,"~","~~"),"*","~*"),"?","~?"))=1),MAX('Calculations'!$HI$12:HI86)+1,0)</x:f>
        <x:v>0</x:v>
      </x:c>
      <x:c r="HJ87" t="str">
        <x:f>IF('Calculations'!HF87="","",IF(COUNTIF('Calculations'!$HE$13:$HE$512,"="&amp;SUBSTITUTE(SUBSTITUTE(SUBSTITUTE('Calculations'!HF87,"~","~~"),"*","~*"),"?","~?"))=1,INDEX('Calculations'!$HK$13:$HK$512,MATCH('Calculations'!HF87,'Calculations'!$HE$13:$HE$512,0)),IFERROR(IF(INDEX(INDIRECT("'WCM Calibration Final'!$E$1:$E$2000"),'Calculations'!$EM87)="","",TRIM(INDEX(INDIRECT("'WCM Calibration Final'!$E$1:$E$2000"),'Calculations'!$EM87)&amp;"")),"")&amp;" ["&amp;'Calculations'!HF87&amp;"]"))</x:f>
      </x:c>
      <x:c r="HK87" t="str">
        <x:f>IF('Calculations'!EM87="","",'Calculations'!HG87&amp;" ["&amp;'Calculations'!HE87&amp;"]")</x:f>
      </x:c>
      <x:c r="HL87" t="n">
        <x:f>IF('Calculations'!EM87="",0,IF(OR('Calculations'!II87&lt;&gt;"",COUNTIF('Calculations'!$HE$13:$HE$512,"="&amp;SUBSTITUTE(SUBSTITUTE(SUBSTITUTE('Calculations'!HE87,"~","~~"),"*","~*"),"?","~?"))&gt;1),1,0))</x:f>
        <x:v>0</x:v>
      </x:c>
      <x:c r="HM87" t="str">
        <x:f>IF('Calculations'!EM87="","",IF('Calculations'!HL87=1,"!UNRESOLVED",IF('Calculations'!IH87&lt;&gt;"",'Calculations'!IH87,IF('Calculations'!IG87&lt;&gt;"",'Calculations'!IG87,IF('Calculations'!IF87&lt;&gt;"",'Calculations'!IF87,IF('Calculations'!IE87&lt;&gt;"",'Calculations'!IE87,IF('Calculations'!ID87&lt;&gt;"",'Calculations'!ID87,IF('Calculations'!IC87&lt;&gt;"",'Calculations'!IC87,IF('Calculations'!IB87&lt;&gt;"",'Calculations'!IB87,IF('Calculations'!IA87&lt;&gt;"",'Calculations'!IA87,IF('Calculations'!HZ87&lt;&gt;"",'Calculations'!HZ87,IF('Calculations'!HY87&lt;&gt;"",'Calculations'!HY87,IF('Calculations'!HX87&lt;&gt;"",'Calculations'!HX87,IF('Calculations'!HW87&lt;&gt;"",'Calculations'!HW87,IF('Calculations'!HV87&lt;&gt;"",'Calculations'!HV87,IF('Calculations'!HU87&lt;&gt;"",'Calculations'!HU87,IF('Calculations'!HT87&lt;&gt;"",'Calculations'!HT87,IF('Calculations'!HS87&lt;&gt;"",'Calculations'!HS87,IF('Calculations'!HR87&lt;&gt;"",'Calculations'!HR87,IF('Calculations'!HQ87&lt;&gt;"",'Calculations'!HQ87,IF('Calculations'!HP87&lt;&gt;"",'Calculations'!HP87,IF('Calculations'!HO87&lt;&gt;"",'Calculations'!HO87,'Calculations'!HE87))))))))))))))))))))))</x:f>
      </x:c>
      <x:c r="HN87" t="str">
        <x:f>IF('Calculations'!EM87="","",IF(IFERROR(IF(INDEX(INDIRECT("'WCM Calibration Final'!$F$1:$F$2000"),'Calculations'!$EM87)="","",TRIM(INDEX(INDIRECT("'WCM Calibration Final'!$F$1:$F$2000"),'Calculations'!$EM87)&amp;"")),"")="","(Blank)",IFERROR(IF(INDEX(INDIRECT("'WCM Calibration Final'!$F$1:$F$2000"),'Calculations'!$EM87)="","",TRIM(INDEX(INDIRECT("'WCM Calibration Final'!$F$1:$F$2000"),'Calculations'!$EM87)&amp;"")),"")))</x:f>
      </x:c>
      <x:c r="HO87" t="str">
        <x:f>'Calculations'!HF87</x:f>
      </x:c>
      <x:c r="HP87" t="str">
        <x:f>IF('Calculations'!HO87="","",IF('Calculations'!HO87="!AMBIG","!AMBIG",IF(COUNTIF('Calculations'!$HE$13:$HE$512,"="&amp;SUBSTITUTE(SUBSTITUTE(SUBSTITUTE('Calculations'!HO87,"~","~~"),"*","~*"),"?","~?"))&gt;1,"!AMBIG",IFERROR(INDEX('Calculations'!$HF$13:$HF$512,MATCH('Calculations'!HO87,'Calculations'!$HE$13:$HE$512,0)),""))))</x:f>
      </x:c>
      <x:c r="HQ87" t="str">
        <x:f>IF('Calculations'!HP87="","",IF('Calculations'!HP87="!AMBIG","!AMBIG",IF(COUNTIF('Calculations'!$HE$13:$HE$512,"="&amp;SUBSTITUTE(SUBSTITUTE(SUBSTITUTE('Calculations'!HP87,"~","~~"),"*","~*"),"?","~?"))&gt;1,"!AMBIG",IFERROR(INDEX('Calculations'!$HF$13:$HF$512,MATCH('Calculations'!HP87,'Calculations'!$HE$13:$HE$512,0)),""))))</x:f>
      </x:c>
      <x:c r="HR87" t="str">
        <x:f>IF('Calculations'!HQ87="","",IF('Calculations'!HQ87="!AMBIG","!AMBIG",IF(COUNTIF('Calculations'!$HE$13:$HE$512,"="&amp;SUBSTITUTE(SUBSTITUTE(SUBSTITUTE('Calculations'!HQ87,"~","~~"),"*","~*"),"?","~?"))&gt;1,"!AMBIG",IFERROR(INDEX('Calculations'!$HF$13:$HF$512,MATCH('Calculations'!HQ87,'Calculations'!$HE$13:$HE$512,0)),""))))</x:f>
      </x:c>
      <x:c r="HS87" t="str">
        <x:f>IF('Calculations'!HR87="","",IF('Calculations'!HR87="!AMBIG","!AMBIG",IF(COUNTIF('Calculations'!$HE$13:$HE$512,"="&amp;SUBSTITUTE(SUBSTITUTE(SUBSTITUTE('Calculations'!HR87,"~","~~"),"*","~*"),"?","~?"))&gt;1,"!AMBIG",IFERROR(INDEX('Calculations'!$HF$13:$HF$512,MATCH('Calculations'!HR87,'Calculations'!$HE$13:$HE$512,0)),""))))</x:f>
      </x:c>
      <x:c r="HT87" t="str">
        <x:f>IF('Calculations'!HS87="","",IF('Calculations'!HS87="!AMBIG","!AMBIG",IF(COUNTIF('Calculations'!$HE$13:$HE$512,"="&amp;SUBSTITUTE(SUBSTITUTE(SUBSTITUTE('Calculations'!HS87,"~","~~"),"*","~*"),"?","~?"))&gt;1,"!AMBIG",IFERROR(INDEX('Calculations'!$HF$13:$HF$512,MATCH('Calculations'!HS87,'Calculations'!$HE$13:$HE$512,0)),""))))</x:f>
      </x:c>
      <x:c r="HU87" t="str">
        <x:f>IF('Calculations'!HT87="","",IF('Calculations'!HT87="!AMBIG","!AMBIG",IF(COUNTIF('Calculations'!$HE$13:$HE$512,"="&amp;SUBSTITUTE(SUBSTITUTE(SUBSTITUTE('Calculations'!HT87,"~","~~"),"*","~*"),"?","~?"))&gt;1,"!AMBIG",IFERROR(INDEX('Calculations'!$HF$13:$HF$512,MATCH('Calculations'!HT87,'Calculations'!$HE$13:$HE$512,0)),""))))</x:f>
      </x:c>
      <x:c r="HV87" t="str">
        <x:f>IF('Calculations'!HU87="","",IF('Calculations'!HU87="!AMBIG","!AMBIG",IF(COUNTIF('Calculations'!$HE$13:$HE$512,"="&amp;SUBSTITUTE(SUBSTITUTE(SUBSTITUTE('Calculations'!HU87,"~","~~"),"*","~*"),"?","~?"))&gt;1,"!AMBIG",IFERROR(INDEX('Calculations'!$HF$13:$HF$512,MATCH('Calculations'!HU87,'Calculations'!$HE$13:$HE$512,0)),""))))</x:f>
      </x:c>
      <x:c r="HW87" t="str">
        <x:f>IF('Calculations'!HV87="","",IF('Calculations'!HV87="!AMBIG","!AMBIG",IF(COUNTIF('Calculations'!$HE$13:$HE$512,"="&amp;SUBSTITUTE(SUBSTITUTE(SUBSTITUTE('Calculations'!HV87,"~","~~"),"*","~*"),"?","~?"))&gt;1,"!AMBIG",IFERROR(INDEX('Calculations'!$HF$13:$HF$512,MATCH('Calculations'!HV87,'Calculations'!$HE$13:$HE$512,0)),""))))</x:f>
      </x:c>
      <x:c r="HX87" t="str">
        <x:f>IF('Calculations'!HW87="","",IF('Calculations'!HW87="!AMBIG","!AMBIG",IF(COUNTIF('Calculations'!$HE$13:$HE$512,"="&amp;SUBSTITUTE(SUBSTITUTE(SUBSTITUTE('Calculations'!HW87,"~","~~"),"*","~*"),"?","~?"))&gt;1,"!AMBIG",IFERROR(INDEX('Calculations'!$HF$13:$HF$512,MATCH('Calculations'!HW87,'Calculations'!$HE$13:$HE$512,0)),""))))</x:f>
      </x:c>
      <x:c r="HY87" t="str">
        <x:f>IF('Calculations'!HX87="","",IF('Calculations'!HX87="!AMBIG","!AMBIG",IF(COUNTIF('Calculations'!$HE$13:$HE$512,"="&amp;SUBSTITUTE(SUBSTITUTE(SUBSTITUTE('Calculations'!HX87,"~","~~"),"*","~*"),"?","~?"))&gt;1,"!AMBIG",IFERROR(INDEX('Calculations'!$HF$13:$HF$512,MATCH('Calculations'!HX87,'Calculations'!$HE$13:$HE$512,0)),""))))</x:f>
      </x:c>
      <x:c r="HZ87" t="str">
        <x:f>IF('Calculations'!HY87="","",IF('Calculations'!HY87="!AMBIG","!AMBIG",IF(COUNTIF('Calculations'!$HE$13:$HE$512,"="&amp;SUBSTITUTE(SUBSTITUTE(SUBSTITUTE('Calculations'!HY87,"~","~~"),"*","~*"),"?","~?"))&gt;1,"!AMBIG",IFERROR(INDEX('Calculations'!$HF$13:$HF$512,MATCH('Calculations'!HY87,'Calculations'!$HE$13:$HE$512,0)),""))))</x:f>
      </x:c>
      <x:c r="IA87" t="str">
        <x:f>IF('Calculations'!HZ87="","",IF('Calculations'!HZ87="!AMBIG","!AMBIG",IF(COUNTIF('Calculations'!$HE$13:$HE$512,"="&amp;SUBSTITUTE(SUBSTITUTE(SUBSTITUTE('Calculations'!HZ87,"~","~~"),"*","~*"),"?","~?"))&gt;1,"!AMBIG",IFERROR(INDEX('Calculations'!$HF$13:$HF$512,MATCH('Calculations'!HZ87,'Calculations'!$HE$13:$HE$512,0)),""))))</x:f>
      </x:c>
      <x:c r="IB87" t="str">
        <x:f>IF('Calculations'!IA87="","",IF('Calculations'!IA87="!AMBIG","!AMBIG",IF(COUNTIF('Calculations'!$HE$13:$HE$512,"="&amp;SUBSTITUTE(SUBSTITUTE(SUBSTITUTE('Calculations'!IA87,"~","~~"),"*","~*"),"?","~?"))&gt;1,"!AMBIG",IFERROR(INDEX('Calculations'!$HF$13:$HF$512,MATCH('Calculations'!IA87,'Calculations'!$HE$13:$HE$512,0)),""))))</x:f>
      </x:c>
      <x:c r="IC87" t="str">
        <x:f>IF('Calculations'!IB87="","",IF('Calculations'!IB87="!AMBIG","!AMBIG",IF(COUNTIF('Calculations'!$HE$13:$HE$512,"="&amp;SUBSTITUTE(SUBSTITUTE(SUBSTITUTE('Calculations'!IB87,"~","~~"),"*","~*"),"?","~?"))&gt;1,"!AMBIG",IFERROR(INDEX('Calculations'!$HF$13:$HF$512,MATCH('Calculations'!IB87,'Calculations'!$HE$13:$HE$512,0)),""))))</x:f>
      </x:c>
      <x:c r="ID87" t="str">
        <x:f>IF('Calculations'!IC87="","",IF('Calculations'!IC87="!AMBIG","!AMBIG",IF(COUNTIF('Calculations'!$HE$13:$HE$512,"="&amp;SUBSTITUTE(SUBSTITUTE(SUBSTITUTE('Calculations'!IC87,"~","~~"),"*","~*"),"?","~?"))&gt;1,"!AMBIG",IFERROR(INDEX('Calculations'!$HF$13:$HF$512,MATCH('Calculations'!IC87,'Calculations'!$HE$13:$HE$512,0)),""))))</x:f>
      </x:c>
      <x:c r="IE87" t="str">
        <x:f>IF('Calculations'!ID87="","",IF('Calculations'!ID87="!AMBIG","!AMBIG",IF(COUNTIF('Calculations'!$HE$13:$HE$512,"="&amp;SUBSTITUTE(SUBSTITUTE(SUBSTITUTE('Calculations'!ID87,"~","~~"),"*","~*"),"?","~?"))&gt;1,"!AMBIG",IFERROR(INDEX('Calculations'!$HF$13:$HF$512,MATCH('Calculations'!ID87,'Calculations'!$HE$13:$HE$512,0)),""))))</x:f>
      </x:c>
      <x:c r="IF87" t="str">
        <x:f>IF('Calculations'!IE87="","",IF('Calculations'!IE87="!AMBIG","!AMBIG",IF(COUNTIF('Calculations'!$HE$13:$HE$512,"="&amp;SUBSTITUTE(SUBSTITUTE(SUBSTITUTE('Calculations'!IE87,"~","~~"),"*","~*"),"?","~?"))&gt;1,"!AMBIG",IFERROR(INDEX('Calculations'!$HF$13:$HF$512,MATCH('Calculations'!IE87,'Calculations'!$HE$13:$HE$512,0)),""))))</x:f>
      </x:c>
      <x:c r="IG87" t="str">
        <x:f>IF('Calculations'!IF87="","",IF('Calculations'!IF87="!AMBIG","!AMBIG",IF(COUNTIF('Calculations'!$HE$13:$HE$512,"="&amp;SUBSTITUTE(SUBSTITUTE(SUBSTITUTE('Calculations'!IF87,"~","~~"),"*","~*"),"?","~?"))&gt;1,"!AMBIG",IFERROR(INDEX('Calculations'!$HF$13:$HF$512,MATCH('Calculations'!IF87,'Calculations'!$HE$13:$HE$512,0)),""))))</x:f>
      </x:c>
      <x:c r="IH87" t="str">
        <x:f>IF('Calculations'!IG87="","",IF('Calculations'!IG87="!AMBIG","!AMBIG",IF(COUNTIF('Calculations'!$HE$13:$HE$512,"="&amp;SUBSTITUTE(SUBSTITUTE(SUBSTITUTE('Calculations'!IG87,"~","~~"),"*","~*"),"?","~?"))&gt;1,"!AMBIG",IFERROR(INDEX('Calculations'!$HF$13:$HF$512,MATCH('Calculations'!IG87,'Calculations'!$HE$13:$HE$512,0)),""))))</x:f>
      </x:c>
      <x:c r="II87" t="str">
        <x:f>IF('Calculations'!IH87="","",IF('Calculations'!IH87="!AMBIG","!AMBIG",IF(COUNTIF('Calculations'!$HE$13:$HE$512,"="&amp;SUBSTITUTE(SUBSTITUTE(SUBSTITUTE('Calculations'!IH87,"~","~~"),"*","~*"),"?","~?"))&gt;1,"!AMBIG",IFERROR(INDEX('Calculations'!$HF$13:$HF$512,MATCH('Calculations'!IH87,'Calculations'!$HE$13:$HE$512,0)),""))))</x:f>
      </x:c>
      <x:c r="IJ87" t="str">
        <x:f>IF('Calculations'!EM87="","",IF('Calculations'!$EF$2="All",'Calculations'!HM87,IF('Calculations'!HL87=1,"",IFERROR(IF(MATCH('Calculations'!$EF$2,'Calculations'!HO87:II87,0)=1,'Calculations'!HE87,INDEX('Calculations'!HO87:II87,1,MATCH('Calculations'!$EF$2,'Calculations'!HO87:II87,0)-1)),""))))</x:f>
      </x:c>
      <x:c r="IK87" t="n">
        <x:f>IF(AND('Calculations'!EM87&lt;&gt;"",'Calculations'!$EF$2&lt;&gt;"All",'Calculations'!HF87='Calculations'!$EF$2,'Calculations'!HL87=0,'Calculations'!JD87&gt;0),MAX('Calculations'!$IK$12:IK86)+1,0)</x:f>
        <x:v>0</x:v>
      </x:c>
      <x:c r="JA87" t="n">
        <x:f>IF(OR(IFERROR(INDIRECT("'WCM Calibration Final'!$A$87")&lt;&gt;"",FALSE),IFERROR(INDIRECT("'WCM Calibration Final'!$B$87")&lt;&gt;"",FALSE),IFERROR(INDIRECT("'WCM Calibration Final'!$C$87")&lt;&gt;"",FALSE)),87,0)</x:f>
        <x:v>0</x:v>
      </x:c>
      <x:c r="JB87" t="n">
        <x:f>'Calculations'!JB86+IF('Calculations'!JA87&gt;0,1,0)</x:f>
        <x:v>0</x:v>
      </x:c>
      <x:c r="JC87" t="n">
        <x:f>IF(OR('Calculations'!HF87="",'Calculations'!HF87="!AMBIG"),0,IF('Dashboard'!$B$7="All",1,COUNTIFS('Calculations'!$HO$13:$HO$512,"="&amp;SUBSTITUTE(SUBSTITUTE(SUBSTITUTE('Calculations'!HF87,"~","~~"),"*","~*"),"?","~?"),'Calculations'!$HN$13:$HN$512,"="&amp;SUBSTITUTE(SUBSTITUTE(SUBSTITUTE('Dashboard'!$B$7,"~","~~"),"*","~*"),"?","~?"))+COUNTIFS('Calculations'!$HP$13:$HP$512,"="&amp;SUBSTITUTE(SUBSTITUTE(SUBSTITUTE('Calculations'!HF87,"~","~~"),"*","~*"),"?","~?"),'Calculations'!$HN$13:$HN$512,"="&amp;SUBSTITUTE(SUBSTITUTE(SUBSTITUTE('Dashboard'!$B$7,"~","~~"),"*","~*"),"?","~?"))+COUNTIFS('Calculations'!$HQ$13:$HQ$512,"="&amp;SUBSTITUTE(SUBSTITUTE(SUBSTITUTE('Calculations'!HF87,"~","~~"),"*","~*"),"?","~?"),'Calculations'!$HN$13:$HN$512,"="&amp;SUBSTITUTE(SUBSTITUTE(SUBSTITUTE('Dashboard'!$B$7,"~","~~"),"*","~*"),"?","~?"))+COUNTIFS('Calculations'!$HR$13:$HR$512,"="&amp;SUBSTITUTE(SUBSTITUTE(SUBSTITUTE('Calculations'!HF87,"~","~~"),"*","~*"),"?","~?"),'Calculations'!$HN$13:$HN$512,"="&amp;SUBSTITUTE(SUBSTITUTE(SUBSTITUTE('Dashboard'!$B$7,"~","~~"),"*","~*"),"?","~?"))+COUNTIFS('Calculations'!$HS$13:$HS$512,"="&amp;SUBSTITUTE(SUBSTITUTE(SUBSTITUTE('Calculations'!HF87,"~","~~"),"*","~*"),"?","~?"),'Calculations'!$HN$13:$HN$512,"="&amp;SUBSTITUTE(SUBSTITUTE(SUBSTITUTE('Dashboard'!$B$7,"~","~~"),"*","~*"),"?","~?"))+COUNTIFS('Calculations'!$HT$13:$HT$512,"="&amp;SUBSTITUTE(SUBSTITUTE(SUBSTITUTE('Calculations'!HF87,"~","~~"),"*","~*"),"?","~?"),'Calculations'!$HN$13:$HN$512,"="&amp;SUBSTITUTE(SUBSTITUTE(SUBSTITUTE('Dashboard'!$B$7,"~","~~"),"*","~*"),"?","~?"))+COUNTIFS('Calculations'!$HU$13:$HU$512,"="&amp;SUBSTITUTE(SUBSTITUTE(SUBSTITUTE('Calculations'!HF87,"~","~~"),"*","~*"),"?","~?"),'Calculations'!$HN$13:$HN$512,"="&amp;SUBSTITUTE(SUBSTITUTE(SUBSTITUTE('Dashboard'!$B$7,"~","~~"),"*","~*"),"?","~?"))+COUNTIFS('Calculations'!$HV$13:$HV$512,"="&amp;SUBSTITUTE(SUBSTITUTE(SUBSTITUTE('Calculations'!HF87,"~","~~"),"*","~*"),"?","~?"),'Calculations'!$HN$13:$HN$512,"="&amp;SUBSTITUTE(SUBSTITUTE(SUBSTITUTE('Dashboard'!$B$7,"~","~~"),"*","~*"),"?","~?"))+COUNTIFS('Calculations'!$HW$13:$HW$512,"="&amp;SUBSTITUTE(SUBSTITUTE(SUBSTITUTE('Calculations'!HF87,"~","~~"),"*","~*"),"?","~?"),'Calculations'!$HN$13:$HN$512,"="&amp;SUBSTITUTE(SUBSTITUTE(SUBSTITUTE('Dashboard'!$B$7,"~","~~"),"*","~*"),"?","~?"))+COUNTIFS('Calculations'!$HX$13:$HX$512,"="&amp;SUBSTITUTE(SUBSTITUTE(SUBSTITUTE('Calculations'!HF87,"~","~~"),"*","~*"),"?","~?"),'Calculations'!$HN$13:$HN$512,"="&amp;SUBSTITUTE(SUBSTITUTE(SUBSTITUTE('Dashboard'!$B$7,"~","~~"),"*","~*"),"?","~?"))+COUNTIFS('Calculations'!$HY$13:$HY$512,"="&amp;SUBSTITUTE(SUBSTITUTE(SUBSTITUTE('Calculations'!HF87,"~","~~"),"*","~*"),"?","~?"),'Calculations'!$HN$13:$HN$512,"="&amp;SUBSTITUTE(SUBSTITUTE(SUBSTITUTE('Dashboard'!$B$7,"~","~~"),"*","~*"),"?","~?"))+COUNTIFS('Calculations'!$HZ$13:$HZ$512,"="&amp;SUBSTITUTE(SUBSTITUTE(SUBSTITUTE('Calculations'!HF87,"~","~~"),"*","~*"),"?","~?"),'Calculations'!$HN$13:$HN$512,"="&amp;SUBSTITUTE(SUBSTITUTE(SUBSTITUTE('Dashboard'!$B$7,"~","~~"),"*","~*"),"?","~?"))+COUNTIFS('Calculations'!$IA$13:$IA$512,"="&amp;SUBSTITUTE(SUBSTITUTE(SUBSTITUTE('Calculations'!HF87,"~","~~"),"*","~*"),"?","~?"),'Calculations'!$HN$13:$HN$512,"="&amp;SUBSTITUTE(SUBSTITUTE(SUBSTITUTE('Dashboard'!$B$7,"~","~~"),"*","~*"),"?","~?"))+COUNTIFS('Calculations'!$IB$13:$IB$512,"="&amp;SUBSTITUTE(SUBSTITUTE(SUBSTITUTE('Calculations'!HF87,"~","~~"),"*","~*"),"?","~?"),'Calculations'!$HN$13:$HN$512,"="&amp;SUBSTITUTE(SUBSTITUTE(SUBSTITUTE('Dashboard'!$B$7,"~","~~"),"*","~*"),"?","~?"))+COUNTIFS('Calculations'!$IC$13:$IC$512,"="&amp;SUBSTITUTE(SUBSTITUTE(SUBSTITUTE('Calculations'!HF87,"~","~~"),"*","~*"),"?","~?"),'Calculations'!$HN$13:$HN$512,"="&amp;SUBSTITUTE(SUBSTITUTE(SUBSTITUTE('Dashboard'!$B$7,"~","~~"),"*","~*"),"?","~?"))+COUNTIFS('Calculations'!$ID$13:$ID$512,"="&amp;SUBSTITUTE(SUBSTITUTE(SUBSTITUTE('Calculations'!HF87,"~","~~"),"*","~*"),"?","~?"),'Calculations'!$HN$13:$HN$512,"="&amp;SUBSTITUTE(SUBSTITUTE(SUBSTITUTE('Dashboard'!$B$7,"~","~~"),"*","~*"),"?","~?"))+COUNTIFS('Calculations'!$IE$13:$IE$512,"="&amp;SUBSTITUTE(SUBSTITUTE(SUBSTITUTE('Calculations'!HF87,"~","~~"),"*","~*"),"?","~?"),'Calculations'!$HN$13:$HN$512,"="&amp;SUBSTITUTE(SUBSTITUTE(SUBSTITUTE('Dashboard'!$B$7,"~","~~"),"*","~*"),"?","~?"))+COUNTIFS('Calculations'!$IF$13:$IF$512,"="&amp;SUBSTITUTE(SUBSTITUTE(SUBSTITUTE('Calculations'!HF87,"~","~~"),"*","~*"),"?","~?"),'Calculations'!$HN$13:$HN$512,"="&amp;SUBSTITUTE(SUBSTITUTE(SUBSTITUTE('Dashboard'!$B$7,"~","~~"),"*","~*"),"?","~?"))+COUNTIFS('Calculations'!$IG$13:$IG$512,"="&amp;SUBSTITUTE(SUBSTITUTE(SUBSTITUTE('Calculations'!HF87,"~","~~"),"*","~*"),"?","~?"),'Calculations'!$HN$13:$HN$512,"="&amp;SUBSTITUTE(SUBSTITUTE(SUBSTITUTE('Dashboard'!$B$7,"~","~~"),"*","~*"),"?","~?"))+COUNTIFS('Calculations'!$IH$13:$IH$512,"="&amp;SUBSTITUTE(SUBSTITUTE(SUBSTITUTE('Calculations'!HF87,"~","~~"),"*","~*"),"?","~?"),'Calculations'!$HN$13:$HN$512,"="&amp;SUBSTITUTE(SUBSTITUTE(SUBSTITUTE('Dashboard'!$B$7,"~","~~"),"*","~*"),"?","~?"))))</x:f>
        <x:v>0</x:v>
      </x:c>
      <x:c r="JD87" t="n">
        <x:f>IF('Calculations'!EM87="",0,IF('Dashboard'!$B$7="All",1,IF('Calculations'!HN87='Dashboard'!$B$7,1,0)+IFERROR(INDEX('Calculations'!$JC$13:$JC$512,MATCH('Calculations'!HE87,'Calculations'!$HF$13:$HF$512,0)),0)))</x:f>
        <x:v>0</x:v>
      </x:c>
      <x:c r="JE87" t="n">
        <x:f>IF(AND('Calculations'!EM87&lt;&gt;"",'Calculations'!$JJ$2&lt;&gt;"All",'Calculations'!$JJ$2&lt;&gt;"",'Calculations'!HF87='Calculations'!$JJ$2,'Calculations'!HL87=0,'Calculations'!JD87&gt;0),MAX('Calculations'!$JE$12:JE86)+1,0)</x:f>
        <x:v>0</x:v>
      </x:c>
      <x:c r="JF87" t="str">
        <x:f>IF('Calculations'!EM87="","",IFERROR(IF(INDEX(INDIRECT("'WCM Calibration Final'!$G$1:$G$2000"),'Calculations'!$EM87)="","",TRIM(INDEX(INDIRECT("'WCM Calibration Final'!$G$1:$G$2000"),'Calculations'!$EM87)&amp;"")),""))</x:f>
      </x:c>
      <x:c r="JQ87" t="n">
        <x:f>IF(OR('Calculations'!BM87=0,NOT('Calculations'!$AG$2),'Calculations'!$AG$8&gt;0),0,IF(OR('Dashboard'!$B$7="All",'Calculations'!HN87='Dashboard'!$B$7),IF('Calculations'!$JJ$2="All",1,IF(AND('Calculations'!HF87='Calculations'!$JJ$2,'Calculations'!HL87=0),1,0)),0))</x:f>
        <x:v>0</x:v>
      </x:c>
    </x:row>
    <x:row r="88">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t="n">
        <x:f>IF('Calculations'!$EM88="",0,IF(OR(IFERROR(INDEX(INDIRECT("'WCM Calibration Final'!$A$1:$A$2000"),'Calculations'!$EM88)&lt;&gt;"",FALSE),IFERROR(INDEX(INDIRECT("'WCM Calibration Final'!$B$1:$B$2000"),'Calculations'!$EM88)&lt;&gt;"",FALSE),IFERROR(INDEX(INDIRECT("'WCM Calibration Final'!$C$1:$C$2000"),'Calculations'!$EM88)&lt;&gt;"",FALSE)),1,0))</x:f>
        <x:v>0</x:v>
      </x:c>
      <x:c r="BN88" s="4" t="n">
        <x:f>IF(AND('Calculations'!BM88=1,'Calculations'!$AG$2,'Calculations'!$EN88=1),1,0)</x:f>
        <x:v>0</x:v>
      </x:c>
      <x:c r="BO88" s="4" t="str">
        <x:f>IF('Calculations'!BM88=0,"",IFERROR(IF(AND(VALUE(INDEX(INDIRECT("'WCM Calibration Final'!$K$1:$K$2000"),'Calculations'!$EM88))&gt;=1,VALUE(INDEX(INDIRECT("'WCM Calibration Final'!$K$1:$K$2000"),'Calculations'!$EM88))&lt;=4,MOD(VALUE(INDEX(INDIRECT("'WCM Calibration Final'!$K$1:$K$2000"),'Calculations'!$EM88)),1)=0),VALUE(INDEX(INDIRECT("'WCM Calibration Final'!$K$1:$K$2000"),'Calculations'!$EM88)),""),""))</x:f>
      </x:c>
      <x:c r="BP88" s="4" t="str">
        <x:f>IF('Calculations'!BM88=0,"",IFERROR(IF(AND(VALUE(INDEX(INDIRECT("'WCM Calibration Final'!$L$1:$L$2000"),'Calculations'!$EM88))&gt;=1,VALUE(INDEX(INDIRECT("'WCM Calibration Final'!$L$1:$L$2000"),'Calculations'!$EM88))&lt;=4,MOD(VALUE(INDEX(INDIRECT("'WCM Calibration Final'!$L$1:$L$2000"),'Calculations'!$EM88)),1)=0),VALUE(INDEX(INDIRECT("'WCM Calibration Final'!$L$1:$L$2000"),'Calculations'!$EM88)),""),""))</x:f>
      </x:c>
      <x:c r="BQ88" s="4"/>
      <x:c r="BR88" s="4"/>
      <x:c r="BS88" s="4"/>
      <x:c r="BT88" s="4" t="n">
        <x:f>IF(AND('Calculations'!BM88=1,ISNUMBER('Calculations'!BO88),ISNUMBER('Calculations'!BP88)),1,0)</x:f>
        <x:v>0</x:v>
      </x:c>
      <x:c r="BU88" s="4" t="str">
        <x:f>IF('Calculations'!BM88=0,"",'Calculations'!$EO88)</x:f>
      </x:c>
      <x:c r="BV88" s="4" t="str">
        <x:f>IF('Calculations'!BM88=0,"",IFERROR(IF(OR(INDEX(INDIRECT("'WCM Calibration Final'!$H$1:$H$2000"),'Calculations'!$EM88)="MANAGING DIRECTOR",INDEX(INDIRECT("'WCM Calibration Final'!$H$1:$H$2000"),'Calculations'!$EM88)="DIRECTOR",INDEX(INDIRECT("'WCM Calibration Final'!$H$1:$H$2000"),'Calculations'!$EM88)="SENIOR VICE PRESIDENT",INDEX(INDIRECT("'WCM Calibration Final'!$H$1:$H$2000"),'Calculations'!$EM88)="VICE PRESIDENT",INDEX(INDIRECT("'WCM Calibration Final'!$H$1:$H$2000"),'Calculations'!$EM88)="ASSISTANT VICE PRESIDENT",INDEX(INDIRECT("'WCM Calibration Final'!$H$1:$H$2000"),'Calculations'!$EM88)="OFFICER"),UPPER(INDEX(INDIRECT("'WCM Calibration Final'!$H$1:$H$2000"),'Calculations'!$EM88)),"Other"),"Other"))</x:f>
      </x:c>
      <x:c r="BW88" s="4"/>
      <x:c r="BX88" s="4"/>
      <x:c r="BY88" s="4" t="n">
        <x:f>IF(AND('Calculations'!BM88=1,'Calculations'!BU88&lt;&gt;"",COUNTIF('Calculations'!$BU$12:BU88,'Calculations'!BU88)=1),MAX('Calculations'!$BY$11:BY87)+1,0)</x:f>
        <x:v>0</x:v>
      </x:c>
      <x:c r="BZ88" s="4" t="str">
        <x:f>IF('Dashboard'!$E$67="What",'Calculations'!BO88,'Calculations'!BP88)</x:f>
      </x:c>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t="str">
        <x:f>IF(77&gt;MAX('Calculations'!$HI$13:$HI$512),"",INDEX('Calculations'!$HN$13:$HN$512,MATCH(77,'Calculations'!$HI$13:$HI$512,0)))</x:f>
      </x:c>
      <x:c r="DB88" s="4" t="str">
        <x:f>IF(77&gt;MAX('Calculations'!$HH$13:$HH$512),"",INDEX('Calculations'!$HJ$13:$HJ$512,MATCH(77,'Calculations'!$HH$13:$HH$512,0)))</x:f>
      </x:c>
      <x:c r="DC88" s="4" t="str">
        <x:f>IF(ROW()-11&gt;MAX('Calculations'!$BY$13:$BY$512),"",INDEX('Calculations'!$BU$13:$BU$512,MATCH(ROW()-11,'Calculations'!$BY$13:$BY$512,0)))</x:f>
      </x:c>
      <x:c r="DD88" s="4" t="str">
        <x:f>IF(77&gt;MAX('Calculations'!$IK$13:$IK$512),"",INDEX('Calculations'!$HK$13:$HK$512,MATCH(77,'Calculations'!$IK$13:$IK$512,0)))</x:f>
      </x:c>
      <x:c r="DE88" s="4" t="str">
        <x:f>'Calculations'!DC88</x:f>
      </x:c>
      <x:c r="DF88" s="4" t="str">
        <x:f>IF('Calculations'!DE88="","",COUNTIFS('Calculations'!$BN$13:$BN$512,1,'Calculations'!$BU$13:$BU$512,'Calculations'!DE88))</x:f>
      </x:c>
      <x:c r="DG88" s="4" t="str">
        <x:f>IF('Calculations'!DE88="","",COUNTIFS('Calculations'!$BN$13:$BN$512,1,'Calculations'!$BU$13:$BU$512,'Calculations'!DE88,'Calculations'!$BT$13:$BT$512,1))</x:f>
      </x:c>
      <x:c r="DH88" s="4" t="str">
        <x:f>IF('Calculations'!DE88="","",'Calculations'!DF88-'Calculations'!DG88)</x:f>
      </x:c>
      <x:c r="DI88" s="4" t="str">
        <x:f>IF(OR('Calculations'!DE88="",'Calculations'!DF88=0),"",'Calculations'!DG88/'Calculations'!DF88)</x:f>
      </x:c>
      <x:c r="DJ88" s="4" t="str">
        <x:f>IF('Calculations'!DE88="","",COUNTIFS('Calculations'!$BN$13:$BN$512,1,'Calculations'!$BU$13:$BU$512,'Calculations'!DE88,'Calculations'!$BT$13:$BT$512,1,'Calculations'!$EE$13:$EE$512,"High"))</x:f>
      </x:c>
      <x:c r="DK88" s="4" t="str">
        <x:f>IF('Calculations'!DE88="","",COUNTIFS('Calculations'!$BN$13:$BN$512,1,'Calculations'!$BU$13:$BU$512,'Calculations'!DE88,'Calculations'!$BT$13:$BT$512,1,'Calculations'!$EE$13:$EE$512,"Strong"))</x:f>
      </x:c>
      <x:c r="DL88" s="4" t="str">
        <x:f>IF('Calculations'!DE88="","",COUNTIFS('Calculations'!$BN$13:$BN$512,1,'Calculations'!$BU$13:$BU$512,'Calculations'!DE88,'Calculations'!$BT$13:$BT$512,1,'Calculations'!$EE$13:$EE$512,"Solid"))</x:f>
      </x:c>
      <x:c r="DM88" s="4" t="str">
        <x:f>IF('Calculations'!DE88="","",COUNTIFS('Calculations'!$BN$13:$BN$512,1,'Calculations'!$BU$13:$BU$512,'Calculations'!DE88,'Calculations'!$BT$13:$BT$512,1,'Calculations'!$EE$13:$EE$512,"Low"))</x:f>
      </x:c>
      <x:c r="DN88" s="4" t="str">
        <x:f>IF('Calculations'!DE88="","",COUNTIFS('Calculations'!$BN$13:$BN$512,1,'Calculations'!$BU$13:$BU$512,'Calculations'!DE88,'Calculations'!$EP$13:$EP$512,1))</x:f>
      </x:c>
      <x:c r="DO88" s="4" t="str">
        <x:f>IF(OR('Calculations'!DE88="",'Calculations'!DG88=0),"",('Calculations'!DJ88+'Calculations'!DK88)/'Calculations'!DG88)</x:f>
      </x:c>
      <x:c r="DP88" s="4" t="n">
        <x:f>IF(AND('Calculations'!DE88&lt;&gt;"",'Calculations'!DF88&gt;0),COUNTIF('Calculations'!$DF$12:DF88,"&gt;0"),0)</x:f>
        <x:v>0</x:v>
      </x:c>
      <x:c r="DQ88" s="4" t="str">
        <x:f>IF(77&gt;MAX('Calculations'!$HH$13:$HH$512),"",INDEX('Calculations'!$HF$13:$HF$512,MATCH(77,'Calculations'!$HH$13:$HH$512,0)))</x:f>
      </x:c>
      <x:c r="DR88" s="4" t="str">
        <x:f>IF(77&gt;MAX('Calculations'!$IK$13:$IK$512),"",INDEX('Calculations'!$HE$13:$HE$512,MATCH(77,'Calculations'!$IK$13:$IK$512,0)))</x:f>
      </x:c>
      <x:c r="DS88" s="4"/>
      <x:c r="DT88" s="4"/>
      <x:c r="DU88" s="4"/>
      <x:c r="DV88" s="4"/>
      <x:c r="DW88" s="4"/>
      <x:c r="DX88" s="4"/>
      <x:c r="DY88" s="4"/>
      <x:c r="DZ88" s="4"/>
      <x:c r="EA88" s="4"/>
      <x:c r="EB88" s="4"/>
      <x:c r="EC88" s="4"/>
      <x:c r="ED88" s="4"/>
      <x:c r="EE88" s="4" t="str">
        <x:f>IF('Calculations'!BT88=0,"Not Rated",IF(OR('Calculations'!BO88&gt;=4,'Calculations'!BP88&gt;=4),"Low",IF('Calculations'!BO88+'Calculations'!BP88&lt;=3,"High",IF('Calculations'!BO88+'Calculations'!BP88&lt;=4,"Strong","Solid"))))</x:f>
        <x:v>Not Rated</x:v>
      </x:c>
      <x:c r="EF88" s="4"/>
      <x:c r="EG88" s="4"/>
      <x:c r="EH88" s="4"/>
      <x:c r="EI88" s="4"/>
      <x:c r="EJ88" s="4"/>
      <x:c r="EK88" s="4"/>
      <x:c r="EL88" s="4"/>
      <x:c r="EM88" s="4" t="str">
        <x:f>IF(76&gt;'Calculations'!$JB$2000,"",INDEX('Calculations'!$JA$12:$JA$2000,MATCH(76,'Calculations'!$JB$12:$JB$2000,0)))</x:f>
      </x:c>
      <x:c r="EN88" s="4" t="n">
        <x:f>IF(OR('Calculations'!EM88="",'Calculations'!$AG$8&gt;0,AND('Calculations'!$EF$2&lt;&gt;"All",'Calculations'!HE88='Calculations'!$EF$2),AND('Calculations'!$EF$3&lt;&gt;"All",'Calculations'!HE88='Calculations'!$EF$3)),0,IF(OR('Dashboard'!$B$7="All",'Calculations'!HN88='Dashboard'!$B$7),IF('Calculations'!$EF$2="All",1,IF('Calculations'!HL88&gt;0,0,IF(COUNTIF('Calculations'!HO88:II88,"="&amp;SUBSTITUTE(SUBSTITUTE(SUBSTITUTE('Calculations'!$EF$2,"~","~~"),"*","~*"),"?","~?"))=0,0,IF('Calculations'!$EF$3="All",1,IF(COUNTIF('Calculations'!HO88:II88,"="&amp;SUBSTITUTE(SUBSTITUTE(SUBSTITUTE('Calculations'!$EF$3,"~","~~"),"*","~*"),"?","~?"))&gt;0,1,0))))),0))</x:f>
        <x:v>0</x:v>
      </x:c>
      <x:c r="EO88" s="4" t="str">
        <x:f>IF('Calculations'!IJ88="","",IF('Calculations'!IJ88="!UNRESOLVED","Unresolved hierarchy",IFERROR(INDEX('Calculations'!$HK$13:$HK$512,MATCH('Calculations'!IJ88,'Calculations'!$HE$13:$HE$512,0)),IFERROR(INDEX('Calculations'!$HJ$13:$HJ$512,MATCH('Calculations'!IJ88,'Calculations'!$HF$13:$HF$512,0)),'Calculations'!IJ88))))</x:f>
      </x:c>
      <x:c r="EP88" s="4" t="n">
        <x:f>IF(AND('Calculations'!EM88&lt;&gt;"",'Calculations'!HF88='Calculations'!IJ88),1,0)</x:f>
        <x:v>0</x:v>
      </x:c>
      <x:c r="EQ88" s="4"/>
      <x:c r="ER88" s="4"/>
      <x:c r="ES88" s="4"/>
      <x:c r="ET88" s="4"/>
      <x:c r="EU88" s="4"/>
      <x:c r="EV88" s="4"/>
      <x:c r="EW88" s="4"/>
      <x:c r="EX88" s="4"/>
      <x:c r="EY88" s="4"/>
      <x:c r="EZ88" s="4"/>
      <x:c r="FA88" s="4"/>
      <x:c r="FB88" s="4"/>
      <x:c r="FC88" s="4"/>
      <x:c r="FD88" s="4"/>
      <x:c r="FE88" s="4"/>
      <x:c r="FF88" s="4"/>
      <x:c r="FG88" s="4"/>
      <x:c r="FH88" s="4"/>
      <x:c r="FI88" s="4"/>
      <x:c r="FJ88" s="4"/>
      <x:c r="FK88" s="4"/>
      <x:c r="FL88" s="4"/>
      <x:c r="FM88" s="4"/>
      <x:c r="FN88" s="4"/>
      <x:c r="FO88" s="4"/>
      <x:c r="GA88" s="71"/>
      <x:c r="GB88" s="71"/>
      <x:c r="GC88" s="71"/>
      <x:c r="GD88" s="71"/>
      <x:c r="GE88" s="71"/>
      <x:c r="GF88" s="71"/>
      <x:c r="GG88" s="71"/>
      <x:c r="GH88" s="71"/>
      <x:c r="GI88" s="71"/>
      <x:c r="GJ88" s="71"/>
      <x:c r="GK88" s="71"/>
      <x:c r="GL88" s="71"/>
      <x:c r="GM88" s="71"/>
      <x:c r="GN88" s="71"/>
      <x:c r="GO88" s="71"/>
      <x:c r="GP88" s="71"/>
      <x:c r="GQ88" s="71"/>
      <x:c r="GR88" s="71"/>
      <x:c r="GS88" s="71"/>
      <x:c r="GT88" s="71"/>
      <x:c r="GU88" s="71"/>
      <x:c r="GV88" s="71"/>
      <x:c r="GW88" s="71"/>
      <x:c r="GX88" s="71"/>
      <x:c r="GY88" s="71"/>
      <x:c r="GZ88" s="71"/>
      <x:c r="HA88" s="71"/>
      <x:c r="HB88" s="71"/>
      <x:c r="HC88" s="71"/>
      <x:c r="HD88" s="71"/>
      <x:c r="HE88" t="str">
        <x:f>IF('Calculations'!EM88="","",IF(IFERROR(IF(INDEX(INDIRECT("'WCM Calibration Final'!$A$1:$A$2000"),'Calculations'!$EM88)="","",TRIM(INDEX(INDIRECT("'WCM Calibration Final'!$A$1:$A$2000"),'Calculations'!$EM88)&amp;"")),"")&lt;&gt;"","G:"&amp;IFERROR(TEXT(1*INDEX(INDIRECT("'WCM Calibration Final'!$A$1:$A$2000"),'Calculations'!$EM88),"0"),UPPER(IFERROR(IF(INDEX(INDIRECT("'WCM Calibration Final'!$A$1:$A$2000"),'Calculations'!$EM88)="","",TRIM(INDEX(INDIRECT("'WCM Calibration Final'!$A$1:$A$2000"),'Calculations'!$EM88)&amp;"")),""))),IF(IFERROR(IF(INDEX(INDIRECT("'WCM Calibration Final'!$C$1:$C$2000"),'Calculations'!$EM88)="","",TRIM(INDEX(INDIRECT("'WCM Calibration Final'!$C$1:$C$2000"),'Calculations'!$EM88)&amp;"")),"")&lt;&gt;"","S:"&amp;UPPER(IFERROR(IF(INDEX(INDIRECT("'WCM Calibration Final'!$C$1:$C$2000"),'Calculations'!$EM88)="","",TRIM(INDEX(INDIRECT("'WCM Calibration Final'!$C$1:$C$2000"),'Calculations'!$EM88)&amp;"")),"")),"R:"&amp;'Calculations'!EM88)))</x:f>
      </x:c>
      <x:c r="HF88" t="str">
        <x:f>IF('Calculations'!EM88="","",IF(IFERROR(IF(INDEX(INDIRECT("'WCM Calibration Final'!$D$1:$D$2000"),'Calculations'!$EM88)="","",TRIM(INDEX(INDIRECT("'WCM Calibration Final'!$D$1:$D$2000"),'Calculations'!$EM88)&amp;"")),"")&lt;&gt;"","G:"&amp;IFERROR(TEXT(1*INDEX(INDIRECT("'WCM Calibration Final'!$D$1:$D$2000"),'Calculations'!$EM88),"0"),UPPER(IFERROR(IF(INDEX(INDIRECT("'WCM Calibration Final'!$D$1:$D$2000"),'Calculations'!$EM88)="","",TRIM(INDEX(INDIRECT("'WCM Calibration Final'!$D$1:$D$2000"),'Calculations'!$EM88)&amp;"")),""))),IF(IFERROR(IF(INDEX(INDIRECT("'WCM Calibration Final'!$E$1:$E$2000"),'Calculations'!$EM88)="","",TRIM(INDEX(INDIRECT("'WCM Calibration Final'!$E$1:$E$2000"),'Calculations'!$EM88)&amp;"")),"")="","",IF(COUNTIF('Calculations'!$HG$13:$HG$512,"="&amp;SUBSTITUTE(SUBSTITUTE(SUBSTITUTE(IFERROR(IF(INDEX(INDIRECT("'WCM Calibration Final'!$E$1:$E$2000"),'Calculations'!$EM88)="","",TRIM(INDEX(INDIRECT("'WCM Calibration Final'!$E$1:$E$2000"),'Calculations'!$EM88)&amp;"")),""),"~","~~"),"*","~*"),"?","~?"))=1,INDEX('Calculations'!$HE$13:$HE$512,MATCH(IFERROR(IF(INDEX(INDIRECT("'WCM Calibration Final'!$E$1:$E$2000"),'Calculations'!$EM88)="","",TRIM(INDEX(INDIRECT("'WCM Calibration Final'!$E$1:$E$2000"),'Calculations'!$EM88)&amp;"")),""),'Calculations'!$HG$13:$HG$512,0)),IF(COUNTIF('Calculations'!$HG$13:$HG$512,"="&amp;SUBSTITUTE(SUBSTITUTE(SUBSTITUTE(IFERROR(IF(INDEX(INDIRECT("'WCM Calibration Final'!$E$1:$E$2000"),'Calculations'!$EM88)="","",TRIM(INDEX(INDIRECT("'WCM Calibration Final'!$E$1:$E$2000"),'Calculations'!$EM88)&amp;"")),""),"~","~~"),"*","~*"),"?","~?"))&gt;1,"!AMBIG","X:"&amp;IFERROR(IF(INDEX(INDIRECT("'WCM Calibration Final'!$E$1:$E$2000"),'Calculations'!$EM88)="","",TRIM(INDEX(INDIRECT("'WCM Calibration Final'!$E$1:$E$2000"),'Calculations'!$EM88)&amp;"")),""))))))</x:f>
      </x:c>
      <x:c r="HG88" t="str">
        <x:f>IF('Calculations'!EM88="","",IFERROR(IF(INDEX(INDIRECT("'WCM Calibration Final'!$B$1:$B$2000"),'Calculations'!$EM88)="","",TRIM(INDEX(INDIRECT("'WCM Calibration Final'!$B$1:$B$2000"),'Calculations'!$EM88)&amp;"")),""))</x:f>
      </x:c>
      <x:c r="HH88" t="n">
        <x:f>IF(AND('Calculations'!JC88&gt;0,COUNTIF('Calculations'!$HF$12:HF88,"="&amp;SUBSTITUTE(SUBSTITUTE(SUBSTITUTE('Calculations'!HF88,"~","~~"),"*","~*"),"?","~?"))=1),MAX('Calculations'!$HH$12:HH87)+1,0)</x:f>
        <x:v>0</x:v>
      </x:c>
      <x:c r="HI88" t="n">
        <x:f>IF(AND('Calculations'!HN88&lt;&gt;"",COUNTIF('Calculations'!$HN$12:HN88,"="&amp;SUBSTITUTE(SUBSTITUTE(SUBSTITUTE('Calculations'!HN88,"~","~~"),"*","~*"),"?","~?"))=1),MAX('Calculations'!$HI$12:HI87)+1,0)</x:f>
        <x:v>0</x:v>
      </x:c>
      <x:c r="HJ88" t="str">
        <x:f>IF('Calculations'!HF88="","",IF(COUNTIF('Calculations'!$HE$13:$HE$512,"="&amp;SUBSTITUTE(SUBSTITUTE(SUBSTITUTE('Calculations'!HF88,"~","~~"),"*","~*"),"?","~?"))=1,INDEX('Calculations'!$HK$13:$HK$512,MATCH('Calculations'!HF88,'Calculations'!$HE$13:$HE$512,0)),IFERROR(IF(INDEX(INDIRECT("'WCM Calibration Final'!$E$1:$E$2000"),'Calculations'!$EM88)="","",TRIM(INDEX(INDIRECT("'WCM Calibration Final'!$E$1:$E$2000"),'Calculations'!$EM88)&amp;"")),"")&amp;" ["&amp;'Calculations'!HF88&amp;"]"))</x:f>
      </x:c>
      <x:c r="HK88" t="str">
        <x:f>IF('Calculations'!EM88="","",'Calculations'!HG88&amp;" ["&amp;'Calculations'!HE88&amp;"]")</x:f>
      </x:c>
      <x:c r="HL88" t="n">
        <x:f>IF('Calculations'!EM88="",0,IF(OR('Calculations'!II88&lt;&gt;"",COUNTIF('Calculations'!$HE$13:$HE$512,"="&amp;SUBSTITUTE(SUBSTITUTE(SUBSTITUTE('Calculations'!HE88,"~","~~"),"*","~*"),"?","~?"))&gt;1),1,0))</x:f>
        <x:v>0</x:v>
      </x:c>
      <x:c r="HM88" t="str">
        <x:f>IF('Calculations'!EM88="","",IF('Calculations'!HL88=1,"!UNRESOLVED",IF('Calculations'!IH88&lt;&gt;"",'Calculations'!IH88,IF('Calculations'!IG88&lt;&gt;"",'Calculations'!IG88,IF('Calculations'!IF88&lt;&gt;"",'Calculations'!IF88,IF('Calculations'!IE88&lt;&gt;"",'Calculations'!IE88,IF('Calculations'!ID88&lt;&gt;"",'Calculations'!ID88,IF('Calculations'!IC88&lt;&gt;"",'Calculations'!IC88,IF('Calculations'!IB88&lt;&gt;"",'Calculations'!IB88,IF('Calculations'!IA88&lt;&gt;"",'Calculations'!IA88,IF('Calculations'!HZ88&lt;&gt;"",'Calculations'!HZ88,IF('Calculations'!HY88&lt;&gt;"",'Calculations'!HY88,IF('Calculations'!HX88&lt;&gt;"",'Calculations'!HX88,IF('Calculations'!HW88&lt;&gt;"",'Calculations'!HW88,IF('Calculations'!HV88&lt;&gt;"",'Calculations'!HV88,IF('Calculations'!HU88&lt;&gt;"",'Calculations'!HU88,IF('Calculations'!HT88&lt;&gt;"",'Calculations'!HT88,IF('Calculations'!HS88&lt;&gt;"",'Calculations'!HS88,IF('Calculations'!HR88&lt;&gt;"",'Calculations'!HR88,IF('Calculations'!HQ88&lt;&gt;"",'Calculations'!HQ88,IF('Calculations'!HP88&lt;&gt;"",'Calculations'!HP88,IF('Calculations'!HO88&lt;&gt;"",'Calculations'!HO88,'Calculations'!HE88))))))))))))))))))))))</x:f>
      </x:c>
      <x:c r="HN88" t="str">
        <x:f>IF('Calculations'!EM88="","",IF(IFERROR(IF(INDEX(INDIRECT("'WCM Calibration Final'!$F$1:$F$2000"),'Calculations'!$EM88)="","",TRIM(INDEX(INDIRECT("'WCM Calibration Final'!$F$1:$F$2000"),'Calculations'!$EM88)&amp;"")),"")="","(Blank)",IFERROR(IF(INDEX(INDIRECT("'WCM Calibration Final'!$F$1:$F$2000"),'Calculations'!$EM88)="","",TRIM(INDEX(INDIRECT("'WCM Calibration Final'!$F$1:$F$2000"),'Calculations'!$EM88)&amp;"")),"")))</x:f>
      </x:c>
      <x:c r="HO88" t="str">
        <x:f>'Calculations'!HF88</x:f>
      </x:c>
      <x:c r="HP88" t="str">
        <x:f>IF('Calculations'!HO88="","",IF('Calculations'!HO88="!AMBIG","!AMBIG",IF(COUNTIF('Calculations'!$HE$13:$HE$512,"="&amp;SUBSTITUTE(SUBSTITUTE(SUBSTITUTE('Calculations'!HO88,"~","~~"),"*","~*"),"?","~?"))&gt;1,"!AMBIG",IFERROR(INDEX('Calculations'!$HF$13:$HF$512,MATCH('Calculations'!HO88,'Calculations'!$HE$13:$HE$512,0)),""))))</x:f>
      </x:c>
      <x:c r="HQ88" t="str">
        <x:f>IF('Calculations'!HP88="","",IF('Calculations'!HP88="!AMBIG","!AMBIG",IF(COUNTIF('Calculations'!$HE$13:$HE$512,"="&amp;SUBSTITUTE(SUBSTITUTE(SUBSTITUTE('Calculations'!HP88,"~","~~"),"*","~*"),"?","~?"))&gt;1,"!AMBIG",IFERROR(INDEX('Calculations'!$HF$13:$HF$512,MATCH('Calculations'!HP88,'Calculations'!$HE$13:$HE$512,0)),""))))</x:f>
      </x:c>
      <x:c r="HR88" t="str">
        <x:f>IF('Calculations'!HQ88="","",IF('Calculations'!HQ88="!AMBIG","!AMBIG",IF(COUNTIF('Calculations'!$HE$13:$HE$512,"="&amp;SUBSTITUTE(SUBSTITUTE(SUBSTITUTE('Calculations'!HQ88,"~","~~"),"*","~*"),"?","~?"))&gt;1,"!AMBIG",IFERROR(INDEX('Calculations'!$HF$13:$HF$512,MATCH('Calculations'!HQ88,'Calculations'!$HE$13:$HE$512,0)),""))))</x:f>
      </x:c>
      <x:c r="HS88" t="str">
        <x:f>IF('Calculations'!HR88="","",IF('Calculations'!HR88="!AMBIG","!AMBIG",IF(COUNTIF('Calculations'!$HE$13:$HE$512,"="&amp;SUBSTITUTE(SUBSTITUTE(SUBSTITUTE('Calculations'!HR88,"~","~~"),"*","~*"),"?","~?"))&gt;1,"!AMBIG",IFERROR(INDEX('Calculations'!$HF$13:$HF$512,MATCH('Calculations'!HR88,'Calculations'!$HE$13:$HE$512,0)),""))))</x:f>
      </x:c>
      <x:c r="HT88" t="str">
        <x:f>IF('Calculations'!HS88="","",IF('Calculations'!HS88="!AMBIG","!AMBIG",IF(COUNTIF('Calculations'!$HE$13:$HE$512,"="&amp;SUBSTITUTE(SUBSTITUTE(SUBSTITUTE('Calculations'!HS88,"~","~~"),"*","~*"),"?","~?"))&gt;1,"!AMBIG",IFERROR(INDEX('Calculations'!$HF$13:$HF$512,MATCH('Calculations'!HS88,'Calculations'!$HE$13:$HE$512,0)),""))))</x:f>
      </x:c>
      <x:c r="HU88" t="str">
        <x:f>IF('Calculations'!HT88="","",IF('Calculations'!HT88="!AMBIG","!AMBIG",IF(COUNTIF('Calculations'!$HE$13:$HE$512,"="&amp;SUBSTITUTE(SUBSTITUTE(SUBSTITUTE('Calculations'!HT88,"~","~~"),"*","~*"),"?","~?"))&gt;1,"!AMBIG",IFERROR(INDEX('Calculations'!$HF$13:$HF$512,MATCH('Calculations'!HT88,'Calculations'!$HE$13:$HE$512,0)),""))))</x:f>
      </x:c>
      <x:c r="HV88" t="str">
        <x:f>IF('Calculations'!HU88="","",IF('Calculations'!HU88="!AMBIG","!AMBIG",IF(COUNTIF('Calculations'!$HE$13:$HE$512,"="&amp;SUBSTITUTE(SUBSTITUTE(SUBSTITUTE('Calculations'!HU88,"~","~~"),"*","~*"),"?","~?"))&gt;1,"!AMBIG",IFERROR(INDEX('Calculations'!$HF$13:$HF$512,MATCH('Calculations'!HU88,'Calculations'!$HE$13:$HE$512,0)),""))))</x:f>
      </x:c>
      <x:c r="HW88" t="str">
        <x:f>IF('Calculations'!HV88="","",IF('Calculations'!HV88="!AMBIG","!AMBIG",IF(COUNTIF('Calculations'!$HE$13:$HE$512,"="&amp;SUBSTITUTE(SUBSTITUTE(SUBSTITUTE('Calculations'!HV88,"~","~~"),"*","~*"),"?","~?"))&gt;1,"!AMBIG",IFERROR(INDEX('Calculations'!$HF$13:$HF$512,MATCH('Calculations'!HV88,'Calculations'!$HE$13:$HE$512,0)),""))))</x:f>
      </x:c>
      <x:c r="HX88" t="str">
        <x:f>IF('Calculations'!HW88="","",IF('Calculations'!HW88="!AMBIG","!AMBIG",IF(COUNTIF('Calculations'!$HE$13:$HE$512,"="&amp;SUBSTITUTE(SUBSTITUTE(SUBSTITUTE('Calculations'!HW88,"~","~~"),"*","~*"),"?","~?"))&gt;1,"!AMBIG",IFERROR(INDEX('Calculations'!$HF$13:$HF$512,MATCH('Calculations'!HW88,'Calculations'!$HE$13:$HE$512,0)),""))))</x:f>
      </x:c>
      <x:c r="HY88" t="str">
        <x:f>IF('Calculations'!HX88="","",IF('Calculations'!HX88="!AMBIG","!AMBIG",IF(COUNTIF('Calculations'!$HE$13:$HE$512,"="&amp;SUBSTITUTE(SUBSTITUTE(SUBSTITUTE('Calculations'!HX88,"~","~~"),"*","~*"),"?","~?"))&gt;1,"!AMBIG",IFERROR(INDEX('Calculations'!$HF$13:$HF$512,MATCH('Calculations'!HX88,'Calculations'!$HE$13:$HE$512,0)),""))))</x:f>
      </x:c>
      <x:c r="HZ88" t="str">
        <x:f>IF('Calculations'!HY88="","",IF('Calculations'!HY88="!AMBIG","!AMBIG",IF(COUNTIF('Calculations'!$HE$13:$HE$512,"="&amp;SUBSTITUTE(SUBSTITUTE(SUBSTITUTE('Calculations'!HY88,"~","~~"),"*","~*"),"?","~?"))&gt;1,"!AMBIG",IFERROR(INDEX('Calculations'!$HF$13:$HF$512,MATCH('Calculations'!HY88,'Calculations'!$HE$13:$HE$512,0)),""))))</x:f>
      </x:c>
      <x:c r="IA88" t="str">
        <x:f>IF('Calculations'!HZ88="","",IF('Calculations'!HZ88="!AMBIG","!AMBIG",IF(COUNTIF('Calculations'!$HE$13:$HE$512,"="&amp;SUBSTITUTE(SUBSTITUTE(SUBSTITUTE('Calculations'!HZ88,"~","~~"),"*","~*"),"?","~?"))&gt;1,"!AMBIG",IFERROR(INDEX('Calculations'!$HF$13:$HF$512,MATCH('Calculations'!HZ88,'Calculations'!$HE$13:$HE$512,0)),""))))</x:f>
      </x:c>
      <x:c r="IB88" t="str">
        <x:f>IF('Calculations'!IA88="","",IF('Calculations'!IA88="!AMBIG","!AMBIG",IF(COUNTIF('Calculations'!$HE$13:$HE$512,"="&amp;SUBSTITUTE(SUBSTITUTE(SUBSTITUTE('Calculations'!IA88,"~","~~"),"*","~*"),"?","~?"))&gt;1,"!AMBIG",IFERROR(INDEX('Calculations'!$HF$13:$HF$512,MATCH('Calculations'!IA88,'Calculations'!$HE$13:$HE$512,0)),""))))</x:f>
      </x:c>
      <x:c r="IC88" t="str">
        <x:f>IF('Calculations'!IB88="","",IF('Calculations'!IB88="!AMBIG","!AMBIG",IF(COUNTIF('Calculations'!$HE$13:$HE$512,"="&amp;SUBSTITUTE(SUBSTITUTE(SUBSTITUTE('Calculations'!IB88,"~","~~"),"*","~*"),"?","~?"))&gt;1,"!AMBIG",IFERROR(INDEX('Calculations'!$HF$13:$HF$512,MATCH('Calculations'!IB88,'Calculations'!$HE$13:$HE$512,0)),""))))</x:f>
      </x:c>
      <x:c r="ID88" t="str">
        <x:f>IF('Calculations'!IC88="","",IF('Calculations'!IC88="!AMBIG","!AMBIG",IF(COUNTIF('Calculations'!$HE$13:$HE$512,"="&amp;SUBSTITUTE(SUBSTITUTE(SUBSTITUTE('Calculations'!IC88,"~","~~"),"*","~*"),"?","~?"))&gt;1,"!AMBIG",IFERROR(INDEX('Calculations'!$HF$13:$HF$512,MATCH('Calculations'!IC88,'Calculations'!$HE$13:$HE$512,0)),""))))</x:f>
      </x:c>
      <x:c r="IE88" t="str">
        <x:f>IF('Calculations'!ID88="","",IF('Calculations'!ID88="!AMBIG","!AMBIG",IF(COUNTIF('Calculations'!$HE$13:$HE$512,"="&amp;SUBSTITUTE(SUBSTITUTE(SUBSTITUTE('Calculations'!ID88,"~","~~"),"*","~*"),"?","~?"))&gt;1,"!AMBIG",IFERROR(INDEX('Calculations'!$HF$13:$HF$512,MATCH('Calculations'!ID88,'Calculations'!$HE$13:$HE$512,0)),""))))</x:f>
      </x:c>
      <x:c r="IF88" t="str">
        <x:f>IF('Calculations'!IE88="","",IF('Calculations'!IE88="!AMBIG","!AMBIG",IF(COUNTIF('Calculations'!$HE$13:$HE$512,"="&amp;SUBSTITUTE(SUBSTITUTE(SUBSTITUTE('Calculations'!IE88,"~","~~"),"*","~*"),"?","~?"))&gt;1,"!AMBIG",IFERROR(INDEX('Calculations'!$HF$13:$HF$512,MATCH('Calculations'!IE88,'Calculations'!$HE$13:$HE$512,0)),""))))</x:f>
      </x:c>
      <x:c r="IG88" t="str">
        <x:f>IF('Calculations'!IF88="","",IF('Calculations'!IF88="!AMBIG","!AMBIG",IF(COUNTIF('Calculations'!$HE$13:$HE$512,"="&amp;SUBSTITUTE(SUBSTITUTE(SUBSTITUTE('Calculations'!IF88,"~","~~"),"*","~*"),"?","~?"))&gt;1,"!AMBIG",IFERROR(INDEX('Calculations'!$HF$13:$HF$512,MATCH('Calculations'!IF88,'Calculations'!$HE$13:$HE$512,0)),""))))</x:f>
      </x:c>
      <x:c r="IH88" t="str">
        <x:f>IF('Calculations'!IG88="","",IF('Calculations'!IG88="!AMBIG","!AMBIG",IF(COUNTIF('Calculations'!$HE$13:$HE$512,"="&amp;SUBSTITUTE(SUBSTITUTE(SUBSTITUTE('Calculations'!IG88,"~","~~"),"*","~*"),"?","~?"))&gt;1,"!AMBIG",IFERROR(INDEX('Calculations'!$HF$13:$HF$512,MATCH('Calculations'!IG88,'Calculations'!$HE$13:$HE$512,0)),""))))</x:f>
      </x:c>
      <x:c r="II88" t="str">
        <x:f>IF('Calculations'!IH88="","",IF('Calculations'!IH88="!AMBIG","!AMBIG",IF(COUNTIF('Calculations'!$HE$13:$HE$512,"="&amp;SUBSTITUTE(SUBSTITUTE(SUBSTITUTE('Calculations'!IH88,"~","~~"),"*","~*"),"?","~?"))&gt;1,"!AMBIG",IFERROR(INDEX('Calculations'!$HF$13:$HF$512,MATCH('Calculations'!IH88,'Calculations'!$HE$13:$HE$512,0)),""))))</x:f>
      </x:c>
      <x:c r="IJ88" t="str">
        <x:f>IF('Calculations'!EM88="","",IF('Calculations'!$EF$2="All",'Calculations'!HM88,IF('Calculations'!HL88=1,"",IFERROR(IF(MATCH('Calculations'!$EF$2,'Calculations'!HO88:II88,0)=1,'Calculations'!HE88,INDEX('Calculations'!HO88:II88,1,MATCH('Calculations'!$EF$2,'Calculations'!HO88:II88,0)-1)),""))))</x:f>
      </x:c>
      <x:c r="IK88" t="n">
        <x:f>IF(AND('Calculations'!EM88&lt;&gt;"",'Calculations'!$EF$2&lt;&gt;"All",'Calculations'!HF88='Calculations'!$EF$2,'Calculations'!HL88=0,'Calculations'!JD88&gt;0),MAX('Calculations'!$IK$12:IK87)+1,0)</x:f>
        <x:v>0</x:v>
      </x:c>
      <x:c r="JA88" t="n">
        <x:f>IF(OR(IFERROR(INDIRECT("'WCM Calibration Final'!$A$88")&lt;&gt;"",FALSE),IFERROR(INDIRECT("'WCM Calibration Final'!$B$88")&lt;&gt;"",FALSE),IFERROR(INDIRECT("'WCM Calibration Final'!$C$88")&lt;&gt;"",FALSE)),88,0)</x:f>
        <x:v>0</x:v>
      </x:c>
      <x:c r="JB88" t="n">
        <x:f>'Calculations'!JB87+IF('Calculations'!JA88&gt;0,1,0)</x:f>
        <x:v>0</x:v>
      </x:c>
      <x:c r="JC88" t="n">
        <x:f>IF(OR('Calculations'!HF88="",'Calculations'!HF88="!AMBIG"),0,IF('Dashboard'!$B$7="All",1,COUNTIFS('Calculations'!$HO$13:$HO$512,"="&amp;SUBSTITUTE(SUBSTITUTE(SUBSTITUTE('Calculations'!HF88,"~","~~"),"*","~*"),"?","~?"),'Calculations'!$HN$13:$HN$512,"="&amp;SUBSTITUTE(SUBSTITUTE(SUBSTITUTE('Dashboard'!$B$7,"~","~~"),"*","~*"),"?","~?"))+COUNTIFS('Calculations'!$HP$13:$HP$512,"="&amp;SUBSTITUTE(SUBSTITUTE(SUBSTITUTE('Calculations'!HF88,"~","~~"),"*","~*"),"?","~?"),'Calculations'!$HN$13:$HN$512,"="&amp;SUBSTITUTE(SUBSTITUTE(SUBSTITUTE('Dashboard'!$B$7,"~","~~"),"*","~*"),"?","~?"))+COUNTIFS('Calculations'!$HQ$13:$HQ$512,"="&amp;SUBSTITUTE(SUBSTITUTE(SUBSTITUTE('Calculations'!HF88,"~","~~"),"*","~*"),"?","~?"),'Calculations'!$HN$13:$HN$512,"="&amp;SUBSTITUTE(SUBSTITUTE(SUBSTITUTE('Dashboard'!$B$7,"~","~~"),"*","~*"),"?","~?"))+COUNTIFS('Calculations'!$HR$13:$HR$512,"="&amp;SUBSTITUTE(SUBSTITUTE(SUBSTITUTE('Calculations'!HF88,"~","~~"),"*","~*"),"?","~?"),'Calculations'!$HN$13:$HN$512,"="&amp;SUBSTITUTE(SUBSTITUTE(SUBSTITUTE('Dashboard'!$B$7,"~","~~"),"*","~*"),"?","~?"))+COUNTIFS('Calculations'!$HS$13:$HS$512,"="&amp;SUBSTITUTE(SUBSTITUTE(SUBSTITUTE('Calculations'!HF88,"~","~~"),"*","~*"),"?","~?"),'Calculations'!$HN$13:$HN$512,"="&amp;SUBSTITUTE(SUBSTITUTE(SUBSTITUTE('Dashboard'!$B$7,"~","~~"),"*","~*"),"?","~?"))+COUNTIFS('Calculations'!$HT$13:$HT$512,"="&amp;SUBSTITUTE(SUBSTITUTE(SUBSTITUTE('Calculations'!HF88,"~","~~"),"*","~*"),"?","~?"),'Calculations'!$HN$13:$HN$512,"="&amp;SUBSTITUTE(SUBSTITUTE(SUBSTITUTE('Dashboard'!$B$7,"~","~~"),"*","~*"),"?","~?"))+COUNTIFS('Calculations'!$HU$13:$HU$512,"="&amp;SUBSTITUTE(SUBSTITUTE(SUBSTITUTE('Calculations'!HF88,"~","~~"),"*","~*"),"?","~?"),'Calculations'!$HN$13:$HN$512,"="&amp;SUBSTITUTE(SUBSTITUTE(SUBSTITUTE('Dashboard'!$B$7,"~","~~"),"*","~*"),"?","~?"))+COUNTIFS('Calculations'!$HV$13:$HV$512,"="&amp;SUBSTITUTE(SUBSTITUTE(SUBSTITUTE('Calculations'!HF88,"~","~~"),"*","~*"),"?","~?"),'Calculations'!$HN$13:$HN$512,"="&amp;SUBSTITUTE(SUBSTITUTE(SUBSTITUTE('Dashboard'!$B$7,"~","~~"),"*","~*"),"?","~?"))+COUNTIFS('Calculations'!$HW$13:$HW$512,"="&amp;SUBSTITUTE(SUBSTITUTE(SUBSTITUTE('Calculations'!HF88,"~","~~"),"*","~*"),"?","~?"),'Calculations'!$HN$13:$HN$512,"="&amp;SUBSTITUTE(SUBSTITUTE(SUBSTITUTE('Dashboard'!$B$7,"~","~~"),"*","~*"),"?","~?"))+COUNTIFS('Calculations'!$HX$13:$HX$512,"="&amp;SUBSTITUTE(SUBSTITUTE(SUBSTITUTE('Calculations'!HF88,"~","~~"),"*","~*"),"?","~?"),'Calculations'!$HN$13:$HN$512,"="&amp;SUBSTITUTE(SUBSTITUTE(SUBSTITUTE('Dashboard'!$B$7,"~","~~"),"*","~*"),"?","~?"))+COUNTIFS('Calculations'!$HY$13:$HY$512,"="&amp;SUBSTITUTE(SUBSTITUTE(SUBSTITUTE('Calculations'!HF88,"~","~~"),"*","~*"),"?","~?"),'Calculations'!$HN$13:$HN$512,"="&amp;SUBSTITUTE(SUBSTITUTE(SUBSTITUTE('Dashboard'!$B$7,"~","~~"),"*","~*"),"?","~?"))+COUNTIFS('Calculations'!$HZ$13:$HZ$512,"="&amp;SUBSTITUTE(SUBSTITUTE(SUBSTITUTE('Calculations'!HF88,"~","~~"),"*","~*"),"?","~?"),'Calculations'!$HN$13:$HN$512,"="&amp;SUBSTITUTE(SUBSTITUTE(SUBSTITUTE('Dashboard'!$B$7,"~","~~"),"*","~*"),"?","~?"))+COUNTIFS('Calculations'!$IA$13:$IA$512,"="&amp;SUBSTITUTE(SUBSTITUTE(SUBSTITUTE('Calculations'!HF88,"~","~~"),"*","~*"),"?","~?"),'Calculations'!$HN$13:$HN$512,"="&amp;SUBSTITUTE(SUBSTITUTE(SUBSTITUTE('Dashboard'!$B$7,"~","~~"),"*","~*"),"?","~?"))+COUNTIFS('Calculations'!$IB$13:$IB$512,"="&amp;SUBSTITUTE(SUBSTITUTE(SUBSTITUTE('Calculations'!HF88,"~","~~"),"*","~*"),"?","~?"),'Calculations'!$HN$13:$HN$512,"="&amp;SUBSTITUTE(SUBSTITUTE(SUBSTITUTE('Dashboard'!$B$7,"~","~~"),"*","~*"),"?","~?"))+COUNTIFS('Calculations'!$IC$13:$IC$512,"="&amp;SUBSTITUTE(SUBSTITUTE(SUBSTITUTE('Calculations'!HF88,"~","~~"),"*","~*"),"?","~?"),'Calculations'!$HN$13:$HN$512,"="&amp;SUBSTITUTE(SUBSTITUTE(SUBSTITUTE('Dashboard'!$B$7,"~","~~"),"*","~*"),"?","~?"))+COUNTIFS('Calculations'!$ID$13:$ID$512,"="&amp;SUBSTITUTE(SUBSTITUTE(SUBSTITUTE('Calculations'!HF88,"~","~~"),"*","~*"),"?","~?"),'Calculations'!$HN$13:$HN$512,"="&amp;SUBSTITUTE(SUBSTITUTE(SUBSTITUTE('Dashboard'!$B$7,"~","~~"),"*","~*"),"?","~?"))+COUNTIFS('Calculations'!$IE$13:$IE$512,"="&amp;SUBSTITUTE(SUBSTITUTE(SUBSTITUTE('Calculations'!HF88,"~","~~"),"*","~*"),"?","~?"),'Calculations'!$HN$13:$HN$512,"="&amp;SUBSTITUTE(SUBSTITUTE(SUBSTITUTE('Dashboard'!$B$7,"~","~~"),"*","~*"),"?","~?"))+COUNTIFS('Calculations'!$IF$13:$IF$512,"="&amp;SUBSTITUTE(SUBSTITUTE(SUBSTITUTE('Calculations'!HF88,"~","~~"),"*","~*"),"?","~?"),'Calculations'!$HN$13:$HN$512,"="&amp;SUBSTITUTE(SUBSTITUTE(SUBSTITUTE('Dashboard'!$B$7,"~","~~"),"*","~*"),"?","~?"))+COUNTIFS('Calculations'!$IG$13:$IG$512,"="&amp;SUBSTITUTE(SUBSTITUTE(SUBSTITUTE('Calculations'!HF88,"~","~~"),"*","~*"),"?","~?"),'Calculations'!$HN$13:$HN$512,"="&amp;SUBSTITUTE(SUBSTITUTE(SUBSTITUTE('Dashboard'!$B$7,"~","~~"),"*","~*"),"?","~?"))+COUNTIFS('Calculations'!$IH$13:$IH$512,"="&amp;SUBSTITUTE(SUBSTITUTE(SUBSTITUTE('Calculations'!HF88,"~","~~"),"*","~*"),"?","~?"),'Calculations'!$HN$13:$HN$512,"="&amp;SUBSTITUTE(SUBSTITUTE(SUBSTITUTE('Dashboard'!$B$7,"~","~~"),"*","~*"),"?","~?"))))</x:f>
        <x:v>0</x:v>
      </x:c>
      <x:c r="JD88" t="n">
        <x:f>IF('Calculations'!EM88="",0,IF('Dashboard'!$B$7="All",1,IF('Calculations'!HN88='Dashboard'!$B$7,1,0)+IFERROR(INDEX('Calculations'!$JC$13:$JC$512,MATCH('Calculations'!HE88,'Calculations'!$HF$13:$HF$512,0)),0)))</x:f>
        <x:v>0</x:v>
      </x:c>
      <x:c r="JE88" t="n">
        <x:f>IF(AND('Calculations'!EM88&lt;&gt;"",'Calculations'!$JJ$2&lt;&gt;"All",'Calculations'!$JJ$2&lt;&gt;"",'Calculations'!HF88='Calculations'!$JJ$2,'Calculations'!HL88=0,'Calculations'!JD88&gt;0),MAX('Calculations'!$JE$12:JE87)+1,0)</x:f>
        <x:v>0</x:v>
      </x:c>
      <x:c r="JF88" t="str">
        <x:f>IF('Calculations'!EM88="","",IFERROR(IF(INDEX(INDIRECT("'WCM Calibration Final'!$G$1:$G$2000"),'Calculations'!$EM88)="","",TRIM(INDEX(INDIRECT("'WCM Calibration Final'!$G$1:$G$2000"),'Calculations'!$EM88)&amp;"")),""))</x:f>
      </x:c>
      <x:c r="JQ88" t="n">
        <x:f>IF(OR('Calculations'!BM88=0,NOT('Calculations'!$AG$2),'Calculations'!$AG$8&gt;0),0,IF(OR('Dashboard'!$B$7="All",'Calculations'!HN88='Dashboard'!$B$7),IF('Calculations'!$JJ$2="All",1,IF(AND('Calculations'!HF88='Calculations'!$JJ$2,'Calculations'!HL88=0),1,0)),0))</x:f>
        <x:v>0</x:v>
      </x:c>
    </x:row>
    <x:row r="89">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t="n">
        <x:f>IF('Calculations'!$EM89="",0,IF(OR(IFERROR(INDEX(INDIRECT("'WCM Calibration Final'!$A$1:$A$2000"),'Calculations'!$EM89)&lt;&gt;"",FALSE),IFERROR(INDEX(INDIRECT("'WCM Calibration Final'!$B$1:$B$2000"),'Calculations'!$EM89)&lt;&gt;"",FALSE),IFERROR(INDEX(INDIRECT("'WCM Calibration Final'!$C$1:$C$2000"),'Calculations'!$EM89)&lt;&gt;"",FALSE)),1,0))</x:f>
        <x:v>0</x:v>
      </x:c>
      <x:c r="BN89" s="4" t="n">
        <x:f>IF(AND('Calculations'!BM89=1,'Calculations'!$AG$2,'Calculations'!$EN89=1),1,0)</x:f>
        <x:v>0</x:v>
      </x:c>
      <x:c r="BO89" s="4" t="str">
        <x:f>IF('Calculations'!BM89=0,"",IFERROR(IF(AND(VALUE(INDEX(INDIRECT("'WCM Calibration Final'!$K$1:$K$2000"),'Calculations'!$EM89))&gt;=1,VALUE(INDEX(INDIRECT("'WCM Calibration Final'!$K$1:$K$2000"),'Calculations'!$EM89))&lt;=4,MOD(VALUE(INDEX(INDIRECT("'WCM Calibration Final'!$K$1:$K$2000"),'Calculations'!$EM89)),1)=0),VALUE(INDEX(INDIRECT("'WCM Calibration Final'!$K$1:$K$2000"),'Calculations'!$EM89)),""),""))</x:f>
      </x:c>
      <x:c r="BP89" s="4" t="str">
        <x:f>IF('Calculations'!BM89=0,"",IFERROR(IF(AND(VALUE(INDEX(INDIRECT("'WCM Calibration Final'!$L$1:$L$2000"),'Calculations'!$EM89))&gt;=1,VALUE(INDEX(INDIRECT("'WCM Calibration Final'!$L$1:$L$2000"),'Calculations'!$EM89))&lt;=4,MOD(VALUE(INDEX(INDIRECT("'WCM Calibration Final'!$L$1:$L$2000"),'Calculations'!$EM89)),1)=0),VALUE(INDEX(INDIRECT("'WCM Calibration Final'!$L$1:$L$2000"),'Calculations'!$EM89)),""),""))</x:f>
      </x:c>
      <x:c r="BQ89" s="4"/>
      <x:c r="BR89" s="4"/>
      <x:c r="BS89" s="4"/>
      <x:c r="BT89" s="4" t="n">
        <x:f>IF(AND('Calculations'!BM89=1,ISNUMBER('Calculations'!BO89),ISNUMBER('Calculations'!BP89)),1,0)</x:f>
        <x:v>0</x:v>
      </x:c>
      <x:c r="BU89" s="4" t="str">
        <x:f>IF('Calculations'!BM89=0,"",'Calculations'!$EO89)</x:f>
      </x:c>
      <x:c r="BV89" s="4" t="str">
        <x:f>IF('Calculations'!BM89=0,"",IFERROR(IF(OR(INDEX(INDIRECT("'WCM Calibration Final'!$H$1:$H$2000"),'Calculations'!$EM89)="MANAGING DIRECTOR",INDEX(INDIRECT("'WCM Calibration Final'!$H$1:$H$2000"),'Calculations'!$EM89)="DIRECTOR",INDEX(INDIRECT("'WCM Calibration Final'!$H$1:$H$2000"),'Calculations'!$EM89)="SENIOR VICE PRESIDENT",INDEX(INDIRECT("'WCM Calibration Final'!$H$1:$H$2000"),'Calculations'!$EM89)="VICE PRESIDENT",INDEX(INDIRECT("'WCM Calibration Final'!$H$1:$H$2000"),'Calculations'!$EM89)="ASSISTANT VICE PRESIDENT",INDEX(INDIRECT("'WCM Calibration Final'!$H$1:$H$2000"),'Calculations'!$EM89)="OFFICER"),UPPER(INDEX(INDIRECT("'WCM Calibration Final'!$H$1:$H$2000"),'Calculations'!$EM89)),"Other"),"Other"))</x:f>
      </x:c>
      <x:c r="BW89" s="4"/>
      <x:c r="BX89" s="4"/>
      <x:c r="BY89" s="4" t="n">
        <x:f>IF(AND('Calculations'!BM89=1,'Calculations'!BU89&lt;&gt;"",COUNTIF('Calculations'!$BU$12:BU89,'Calculations'!BU89)=1),MAX('Calculations'!$BY$11:BY88)+1,0)</x:f>
        <x:v>0</x:v>
      </x:c>
      <x:c r="BZ89" s="4" t="str">
        <x:f>IF('Dashboard'!$E$67="What",'Calculations'!BO89,'Calculations'!BP89)</x:f>
      </x:c>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t="str">
        <x:f>IF(78&gt;MAX('Calculations'!$HI$13:$HI$512),"",INDEX('Calculations'!$HN$13:$HN$512,MATCH(78,'Calculations'!$HI$13:$HI$512,0)))</x:f>
      </x:c>
      <x:c r="DB89" s="4" t="str">
        <x:f>IF(78&gt;MAX('Calculations'!$HH$13:$HH$512),"",INDEX('Calculations'!$HJ$13:$HJ$512,MATCH(78,'Calculations'!$HH$13:$HH$512,0)))</x:f>
      </x:c>
      <x:c r="DC89" s="4" t="str">
        <x:f>IF(ROW()-11&gt;MAX('Calculations'!$BY$13:$BY$512),"",INDEX('Calculations'!$BU$13:$BU$512,MATCH(ROW()-11,'Calculations'!$BY$13:$BY$512,0)))</x:f>
      </x:c>
      <x:c r="DD89" s="4" t="str">
        <x:f>IF(78&gt;MAX('Calculations'!$IK$13:$IK$512),"",INDEX('Calculations'!$HK$13:$HK$512,MATCH(78,'Calculations'!$IK$13:$IK$512,0)))</x:f>
      </x:c>
      <x:c r="DE89" s="4" t="str">
        <x:f>'Calculations'!DC89</x:f>
      </x:c>
      <x:c r="DF89" s="4" t="str">
        <x:f>IF('Calculations'!DE89="","",COUNTIFS('Calculations'!$BN$13:$BN$512,1,'Calculations'!$BU$13:$BU$512,'Calculations'!DE89))</x:f>
      </x:c>
      <x:c r="DG89" s="4" t="str">
        <x:f>IF('Calculations'!DE89="","",COUNTIFS('Calculations'!$BN$13:$BN$512,1,'Calculations'!$BU$13:$BU$512,'Calculations'!DE89,'Calculations'!$BT$13:$BT$512,1))</x:f>
      </x:c>
      <x:c r="DH89" s="4" t="str">
        <x:f>IF('Calculations'!DE89="","",'Calculations'!DF89-'Calculations'!DG89)</x:f>
      </x:c>
      <x:c r="DI89" s="4" t="str">
        <x:f>IF(OR('Calculations'!DE89="",'Calculations'!DF89=0),"",'Calculations'!DG89/'Calculations'!DF89)</x:f>
      </x:c>
      <x:c r="DJ89" s="4" t="str">
        <x:f>IF('Calculations'!DE89="","",COUNTIFS('Calculations'!$BN$13:$BN$512,1,'Calculations'!$BU$13:$BU$512,'Calculations'!DE89,'Calculations'!$BT$13:$BT$512,1,'Calculations'!$EE$13:$EE$512,"High"))</x:f>
      </x:c>
      <x:c r="DK89" s="4" t="str">
        <x:f>IF('Calculations'!DE89="","",COUNTIFS('Calculations'!$BN$13:$BN$512,1,'Calculations'!$BU$13:$BU$512,'Calculations'!DE89,'Calculations'!$BT$13:$BT$512,1,'Calculations'!$EE$13:$EE$512,"Strong"))</x:f>
      </x:c>
      <x:c r="DL89" s="4" t="str">
        <x:f>IF('Calculations'!DE89="","",COUNTIFS('Calculations'!$BN$13:$BN$512,1,'Calculations'!$BU$13:$BU$512,'Calculations'!DE89,'Calculations'!$BT$13:$BT$512,1,'Calculations'!$EE$13:$EE$512,"Solid"))</x:f>
      </x:c>
      <x:c r="DM89" s="4" t="str">
        <x:f>IF('Calculations'!DE89="","",COUNTIFS('Calculations'!$BN$13:$BN$512,1,'Calculations'!$BU$13:$BU$512,'Calculations'!DE89,'Calculations'!$BT$13:$BT$512,1,'Calculations'!$EE$13:$EE$512,"Low"))</x:f>
      </x:c>
      <x:c r="DN89" s="4" t="str">
        <x:f>IF('Calculations'!DE89="","",COUNTIFS('Calculations'!$BN$13:$BN$512,1,'Calculations'!$BU$13:$BU$512,'Calculations'!DE89,'Calculations'!$EP$13:$EP$512,1))</x:f>
      </x:c>
      <x:c r="DO89" s="4" t="str">
        <x:f>IF(OR('Calculations'!DE89="",'Calculations'!DG89=0),"",('Calculations'!DJ89+'Calculations'!DK89)/'Calculations'!DG89)</x:f>
      </x:c>
      <x:c r="DP89" s="4" t="n">
        <x:f>IF(AND('Calculations'!DE89&lt;&gt;"",'Calculations'!DF89&gt;0),COUNTIF('Calculations'!$DF$12:DF89,"&gt;0"),0)</x:f>
        <x:v>0</x:v>
      </x:c>
      <x:c r="DQ89" s="4" t="str">
        <x:f>IF(78&gt;MAX('Calculations'!$HH$13:$HH$512),"",INDEX('Calculations'!$HF$13:$HF$512,MATCH(78,'Calculations'!$HH$13:$HH$512,0)))</x:f>
      </x:c>
      <x:c r="DR89" s="4" t="str">
        <x:f>IF(78&gt;MAX('Calculations'!$IK$13:$IK$512),"",INDEX('Calculations'!$HE$13:$HE$512,MATCH(78,'Calculations'!$IK$13:$IK$512,0)))</x:f>
      </x:c>
      <x:c r="DS89" s="4"/>
      <x:c r="DT89" s="4"/>
      <x:c r="DU89" s="4"/>
      <x:c r="DV89" s="4"/>
      <x:c r="DW89" s="4"/>
      <x:c r="DX89" s="4"/>
      <x:c r="DY89" s="4"/>
      <x:c r="DZ89" s="4"/>
      <x:c r="EA89" s="4"/>
      <x:c r="EB89" s="4"/>
      <x:c r="EC89" s="4"/>
      <x:c r="ED89" s="4"/>
      <x:c r="EE89" s="4" t="str">
        <x:f>IF('Calculations'!BT89=0,"Not Rated",IF(OR('Calculations'!BO89&gt;=4,'Calculations'!BP89&gt;=4),"Low",IF('Calculations'!BO89+'Calculations'!BP89&lt;=3,"High",IF('Calculations'!BO89+'Calculations'!BP89&lt;=4,"Strong","Solid"))))</x:f>
        <x:v>Not Rated</x:v>
      </x:c>
      <x:c r="EF89" s="4"/>
      <x:c r="EG89" s="4"/>
      <x:c r="EH89" s="4"/>
      <x:c r="EI89" s="4"/>
      <x:c r="EJ89" s="4"/>
      <x:c r="EK89" s="4"/>
      <x:c r="EL89" s="4"/>
      <x:c r="EM89" s="4" t="str">
        <x:f>IF(77&gt;'Calculations'!$JB$2000,"",INDEX('Calculations'!$JA$12:$JA$2000,MATCH(77,'Calculations'!$JB$12:$JB$2000,0)))</x:f>
      </x:c>
      <x:c r="EN89" s="4" t="n">
        <x:f>IF(OR('Calculations'!EM89="",'Calculations'!$AG$8&gt;0,AND('Calculations'!$EF$2&lt;&gt;"All",'Calculations'!HE89='Calculations'!$EF$2),AND('Calculations'!$EF$3&lt;&gt;"All",'Calculations'!HE89='Calculations'!$EF$3)),0,IF(OR('Dashboard'!$B$7="All",'Calculations'!HN89='Dashboard'!$B$7),IF('Calculations'!$EF$2="All",1,IF('Calculations'!HL89&gt;0,0,IF(COUNTIF('Calculations'!HO89:II89,"="&amp;SUBSTITUTE(SUBSTITUTE(SUBSTITUTE('Calculations'!$EF$2,"~","~~"),"*","~*"),"?","~?"))=0,0,IF('Calculations'!$EF$3="All",1,IF(COUNTIF('Calculations'!HO89:II89,"="&amp;SUBSTITUTE(SUBSTITUTE(SUBSTITUTE('Calculations'!$EF$3,"~","~~"),"*","~*"),"?","~?"))&gt;0,1,0))))),0))</x:f>
        <x:v>0</x:v>
      </x:c>
      <x:c r="EO89" s="4" t="str">
        <x:f>IF('Calculations'!IJ89="","",IF('Calculations'!IJ89="!UNRESOLVED","Unresolved hierarchy",IFERROR(INDEX('Calculations'!$HK$13:$HK$512,MATCH('Calculations'!IJ89,'Calculations'!$HE$13:$HE$512,0)),IFERROR(INDEX('Calculations'!$HJ$13:$HJ$512,MATCH('Calculations'!IJ89,'Calculations'!$HF$13:$HF$512,0)),'Calculations'!IJ89))))</x:f>
      </x:c>
      <x:c r="EP89" s="4" t="n">
        <x:f>IF(AND('Calculations'!EM89&lt;&gt;"",'Calculations'!HF89='Calculations'!IJ89),1,0)</x:f>
        <x:v>0</x:v>
      </x:c>
      <x:c r="EQ89" s="4"/>
      <x:c r="ER89" s="4"/>
      <x:c r="ES89" s="4"/>
      <x:c r="ET89" s="4"/>
      <x:c r="EU89" s="4"/>
      <x:c r="EV89" s="4"/>
      <x:c r="EW89" s="4"/>
      <x:c r="EX89" s="4"/>
      <x:c r="EY89" s="4"/>
      <x:c r="EZ89" s="4"/>
      <x:c r="FA89" s="4"/>
      <x:c r="FB89" s="4"/>
      <x:c r="FC89" s="4"/>
      <x:c r="FD89" s="4"/>
      <x:c r="FE89" s="4"/>
      <x:c r="FF89" s="4"/>
      <x:c r="FG89" s="4"/>
      <x:c r="FH89" s="4"/>
      <x:c r="FI89" s="4"/>
      <x:c r="FJ89" s="4"/>
      <x:c r="FK89" s="4"/>
      <x:c r="FL89" s="4"/>
      <x:c r="FM89" s="4"/>
      <x:c r="FN89" s="4"/>
      <x:c r="FO89" s="4"/>
      <x:c r="GA89" s="71"/>
      <x:c r="GB89" s="71"/>
      <x:c r="GC89" s="71"/>
      <x:c r="GD89" s="71"/>
      <x:c r="GE89" s="71"/>
      <x:c r="GF89" s="71"/>
      <x:c r="GG89" s="71"/>
      <x:c r="GH89" s="71"/>
      <x:c r="GI89" s="71"/>
      <x:c r="GJ89" s="71"/>
      <x:c r="GK89" s="71"/>
      <x:c r="GL89" s="71"/>
      <x:c r="GM89" s="71"/>
      <x:c r="GN89" s="71"/>
      <x:c r="GO89" s="71"/>
      <x:c r="GP89" s="71"/>
      <x:c r="GQ89" s="71"/>
      <x:c r="GR89" s="71"/>
      <x:c r="GS89" s="71"/>
      <x:c r="GT89" s="71"/>
      <x:c r="GU89" s="71"/>
      <x:c r="GV89" s="71"/>
      <x:c r="GW89" s="71"/>
      <x:c r="GX89" s="71"/>
      <x:c r="GY89" s="71"/>
      <x:c r="GZ89" s="71"/>
      <x:c r="HA89" s="71"/>
      <x:c r="HB89" s="71"/>
      <x:c r="HC89" s="71"/>
      <x:c r="HD89" s="71"/>
      <x:c r="HE89" t="str">
        <x:f>IF('Calculations'!EM89="","",IF(IFERROR(IF(INDEX(INDIRECT("'WCM Calibration Final'!$A$1:$A$2000"),'Calculations'!$EM89)="","",TRIM(INDEX(INDIRECT("'WCM Calibration Final'!$A$1:$A$2000"),'Calculations'!$EM89)&amp;"")),"")&lt;&gt;"","G:"&amp;IFERROR(TEXT(1*INDEX(INDIRECT("'WCM Calibration Final'!$A$1:$A$2000"),'Calculations'!$EM89),"0"),UPPER(IFERROR(IF(INDEX(INDIRECT("'WCM Calibration Final'!$A$1:$A$2000"),'Calculations'!$EM89)="","",TRIM(INDEX(INDIRECT("'WCM Calibration Final'!$A$1:$A$2000"),'Calculations'!$EM89)&amp;"")),""))),IF(IFERROR(IF(INDEX(INDIRECT("'WCM Calibration Final'!$C$1:$C$2000"),'Calculations'!$EM89)="","",TRIM(INDEX(INDIRECT("'WCM Calibration Final'!$C$1:$C$2000"),'Calculations'!$EM89)&amp;"")),"")&lt;&gt;"","S:"&amp;UPPER(IFERROR(IF(INDEX(INDIRECT("'WCM Calibration Final'!$C$1:$C$2000"),'Calculations'!$EM89)="","",TRIM(INDEX(INDIRECT("'WCM Calibration Final'!$C$1:$C$2000"),'Calculations'!$EM89)&amp;"")),"")),"R:"&amp;'Calculations'!EM89)))</x:f>
      </x:c>
      <x:c r="HF89" t="str">
        <x:f>IF('Calculations'!EM89="","",IF(IFERROR(IF(INDEX(INDIRECT("'WCM Calibration Final'!$D$1:$D$2000"),'Calculations'!$EM89)="","",TRIM(INDEX(INDIRECT("'WCM Calibration Final'!$D$1:$D$2000"),'Calculations'!$EM89)&amp;"")),"")&lt;&gt;"","G:"&amp;IFERROR(TEXT(1*INDEX(INDIRECT("'WCM Calibration Final'!$D$1:$D$2000"),'Calculations'!$EM89),"0"),UPPER(IFERROR(IF(INDEX(INDIRECT("'WCM Calibration Final'!$D$1:$D$2000"),'Calculations'!$EM89)="","",TRIM(INDEX(INDIRECT("'WCM Calibration Final'!$D$1:$D$2000"),'Calculations'!$EM89)&amp;"")),""))),IF(IFERROR(IF(INDEX(INDIRECT("'WCM Calibration Final'!$E$1:$E$2000"),'Calculations'!$EM89)="","",TRIM(INDEX(INDIRECT("'WCM Calibration Final'!$E$1:$E$2000"),'Calculations'!$EM89)&amp;"")),"")="","",IF(COUNTIF('Calculations'!$HG$13:$HG$512,"="&amp;SUBSTITUTE(SUBSTITUTE(SUBSTITUTE(IFERROR(IF(INDEX(INDIRECT("'WCM Calibration Final'!$E$1:$E$2000"),'Calculations'!$EM89)="","",TRIM(INDEX(INDIRECT("'WCM Calibration Final'!$E$1:$E$2000"),'Calculations'!$EM89)&amp;"")),""),"~","~~"),"*","~*"),"?","~?"))=1,INDEX('Calculations'!$HE$13:$HE$512,MATCH(IFERROR(IF(INDEX(INDIRECT("'WCM Calibration Final'!$E$1:$E$2000"),'Calculations'!$EM89)="","",TRIM(INDEX(INDIRECT("'WCM Calibration Final'!$E$1:$E$2000"),'Calculations'!$EM89)&amp;"")),""),'Calculations'!$HG$13:$HG$512,0)),IF(COUNTIF('Calculations'!$HG$13:$HG$512,"="&amp;SUBSTITUTE(SUBSTITUTE(SUBSTITUTE(IFERROR(IF(INDEX(INDIRECT("'WCM Calibration Final'!$E$1:$E$2000"),'Calculations'!$EM89)="","",TRIM(INDEX(INDIRECT("'WCM Calibration Final'!$E$1:$E$2000"),'Calculations'!$EM89)&amp;"")),""),"~","~~"),"*","~*"),"?","~?"))&gt;1,"!AMBIG","X:"&amp;IFERROR(IF(INDEX(INDIRECT("'WCM Calibration Final'!$E$1:$E$2000"),'Calculations'!$EM89)="","",TRIM(INDEX(INDIRECT("'WCM Calibration Final'!$E$1:$E$2000"),'Calculations'!$EM89)&amp;"")),""))))))</x:f>
      </x:c>
      <x:c r="HG89" t="str">
        <x:f>IF('Calculations'!EM89="","",IFERROR(IF(INDEX(INDIRECT("'WCM Calibration Final'!$B$1:$B$2000"),'Calculations'!$EM89)="","",TRIM(INDEX(INDIRECT("'WCM Calibration Final'!$B$1:$B$2000"),'Calculations'!$EM89)&amp;"")),""))</x:f>
      </x:c>
      <x:c r="HH89" t="n">
        <x:f>IF(AND('Calculations'!JC89&gt;0,COUNTIF('Calculations'!$HF$12:HF89,"="&amp;SUBSTITUTE(SUBSTITUTE(SUBSTITUTE('Calculations'!HF89,"~","~~"),"*","~*"),"?","~?"))=1),MAX('Calculations'!$HH$12:HH88)+1,0)</x:f>
        <x:v>0</x:v>
      </x:c>
      <x:c r="HI89" t="n">
        <x:f>IF(AND('Calculations'!HN89&lt;&gt;"",COUNTIF('Calculations'!$HN$12:HN89,"="&amp;SUBSTITUTE(SUBSTITUTE(SUBSTITUTE('Calculations'!HN89,"~","~~"),"*","~*"),"?","~?"))=1),MAX('Calculations'!$HI$12:HI88)+1,0)</x:f>
        <x:v>0</x:v>
      </x:c>
      <x:c r="HJ89" t="str">
        <x:f>IF('Calculations'!HF89="","",IF(COUNTIF('Calculations'!$HE$13:$HE$512,"="&amp;SUBSTITUTE(SUBSTITUTE(SUBSTITUTE('Calculations'!HF89,"~","~~"),"*","~*"),"?","~?"))=1,INDEX('Calculations'!$HK$13:$HK$512,MATCH('Calculations'!HF89,'Calculations'!$HE$13:$HE$512,0)),IFERROR(IF(INDEX(INDIRECT("'WCM Calibration Final'!$E$1:$E$2000"),'Calculations'!$EM89)="","",TRIM(INDEX(INDIRECT("'WCM Calibration Final'!$E$1:$E$2000"),'Calculations'!$EM89)&amp;"")),"")&amp;" ["&amp;'Calculations'!HF89&amp;"]"))</x:f>
      </x:c>
      <x:c r="HK89" t="str">
        <x:f>IF('Calculations'!EM89="","",'Calculations'!HG89&amp;" ["&amp;'Calculations'!HE89&amp;"]")</x:f>
      </x:c>
      <x:c r="HL89" t="n">
        <x:f>IF('Calculations'!EM89="",0,IF(OR('Calculations'!II89&lt;&gt;"",COUNTIF('Calculations'!$HE$13:$HE$512,"="&amp;SUBSTITUTE(SUBSTITUTE(SUBSTITUTE('Calculations'!HE89,"~","~~"),"*","~*"),"?","~?"))&gt;1),1,0))</x:f>
        <x:v>0</x:v>
      </x:c>
      <x:c r="HM89" t="str">
        <x:f>IF('Calculations'!EM89="","",IF('Calculations'!HL89=1,"!UNRESOLVED",IF('Calculations'!IH89&lt;&gt;"",'Calculations'!IH89,IF('Calculations'!IG89&lt;&gt;"",'Calculations'!IG89,IF('Calculations'!IF89&lt;&gt;"",'Calculations'!IF89,IF('Calculations'!IE89&lt;&gt;"",'Calculations'!IE89,IF('Calculations'!ID89&lt;&gt;"",'Calculations'!ID89,IF('Calculations'!IC89&lt;&gt;"",'Calculations'!IC89,IF('Calculations'!IB89&lt;&gt;"",'Calculations'!IB89,IF('Calculations'!IA89&lt;&gt;"",'Calculations'!IA89,IF('Calculations'!HZ89&lt;&gt;"",'Calculations'!HZ89,IF('Calculations'!HY89&lt;&gt;"",'Calculations'!HY89,IF('Calculations'!HX89&lt;&gt;"",'Calculations'!HX89,IF('Calculations'!HW89&lt;&gt;"",'Calculations'!HW89,IF('Calculations'!HV89&lt;&gt;"",'Calculations'!HV89,IF('Calculations'!HU89&lt;&gt;"",'Calculations'!HU89,IF('Calculations'!HT89&lt;&gt;"",'Calculations'!HT89,IF('Calculations'!HS89&lt;&gt;"",'Calculations'!HS89,IF('Calculations'!HR89&lt;&gt;"",'Calculations'!HR89,IF('Calculations'!HQ89&lt;&gt;"",'Calculations'!HQ89,IF('Calculations'!HP89&lt;&gt;"",'Calculations'!HP89,IF('Calculations'!HO89&lt;&gt;"",'Calculations'!HO89,'Calculations'!HE89))))))))))))))))))))))</x:f>
      </x:c>
      <x:c r="HN89" t="str">
        <x:f>IF('Calculations'!EM89="","",IF(IFERROR(IF(INDEX(INDIRECT("'WCM Calibration Final'!$F$1:$F$2000"),'Calculations'!$EM89)="","",TRIM(INDEX(INDIRECT("'WCM Calibration Final'!$F$1:$F$2000"),'Calculations'!$EM89)&amp;"")),"")="","(Blank)",IFERROR(IF(INDEX(INDIRECT("'WCM Calibration Final'!$F$1:$F$2000"),'Calculations'!$EM89)="","",TRIM(INDEX(INDIRECT("'WCM Calibration Final'!$F$1:$F$2000"),'Calculations'!$EM89)&amp;"")),"")))</x:f>
      </x:c>
      <x:c r="HO89" t="str">
        <x:f>'Calculations'!HF89</x:f>
      </x:c>
      <x:c r="HP89" t="str">
        <x:f>IF('Calculations'!HO89="","",IF('Calculations'!HO89="!AMBIG","!AMBIG",IF(COUNTIF('Calculations'!$HE$13:$HE$512,"="&amp;SUBSTITUTE(SUBSTITUTE(SUBSTITUTE('Calculations'!HO89,"~","~~"),"*","~*"),"?","~?"))&gt;1,"!AMBIG",IFERROR(INDEX('Calculations'!$HF$13:$HF$512,MATCH('Calculations'!HO89,'Calculations'!$HE$13:$HE$512,0)),""))))</x:f>
      </x:c>
      <x:c r="HQ89" t="str">
        <x:f>IF('Calculations'!HP89="","",IF('Calculations'!HP89="!AMBIG","!AMBIG",IF(COUNTIF('Calculations'!$HE$13:$HE$512,"="&amp;SUBSTITUTE(SUBSTITUTE(SUBSTITUTE('Calculations'!HP89,"~","~~"),"*","~*"),"?","~?"))&gt;1,"!AMBIG",IFERROR(INDEX('Calculations'!$HF$13:$HF$512,MATCH('Calculations'!HP89,'Calculations'!$HE$13:$HE$512,0)),""))))</x:f>
      </x:c>
      <x:c r="HR89" t="str">
        <x:f>IF('Calculations'!HQ89="","",IF('Calculations'!HQ89="!AMBIG","!AMBIG",IF(COUNTIF('Calculations'!$HE$13:$HE$512,"="&amp;SUBSTITUTE(SUBSTITUTE(SUBSTITUTE('Calculations'!HQ89,"~","~~"),"*","~*"),"?","~?"))&gt;1,"!AMBIG",IFERROR(INDEX('Calculations'!$HF$13:$HF$512,MATCH('Calculations'!HQ89,'Calculations'!$HE$13:$HE$512,0)),""))))</x:f>
      </x:c>
      <x:c r="HS89" t="str">
        <x:f>IF('Calculations'!HR89="","",IF('Calculations'!HR89="!AMBIG","!AMBIG",IF(COUNTIF('Calculations'!$HE$13:$HE$512,"="&amp;SUBSTITUTE(SUBSTITUTE(SUBSTITUTE('Calculations'!HR89,"~","~~"),"*","~*"),"?","~?"))&gt;1,"!AMBIG",IFERROR(INDEX('Calculations'!$HF$13:$HF$512,MATCH('Calculations'!HR89,'Calculations'!$HE$13:$HE$512,0)),""))))</x:f>
      </x:c>
      <x:c r="HT89" t="str">
        <x:f>IF('Calculations'!HS89="","",IF('Calculations'!HS89="!AMBIG","!AMBIG",IF(COUNTIF('Calculations'!$HE$13:$HE$512,"="&amp;SUBSTITUTE(SUBSTITUTE(SUBSTITUTE('Calculations'!HS89,"~","~~"),"*","~*"),"?","~?"))&gt;1,"!AMBIG",IFERROR(INDEX('Calculations'!$HF$13:$HF$512,MATCH('Calculations'!HS89,'Calculations'!$HE$13:$HE$512,0)),""))))</x:f>
      </x:c>
      <x:c r="HU89" t="str">
        <x:f>IF('Calculations'!HT89="","",IF('Calculations'!HT89="!AMBIG","!AMBIG",IF(COUNTIF('Calculations'!$HE$13:$HE$512,"="&amp;SUBSTITUTE(SUBSTITUTE(SUBSTITUTE('Calculations'!HT89,"~","~~"),"*","~*"),"?","~?"))&gt;1,"!AMBIG",IFERROR(INDEX('Calculations'!$HF$13:$HF$512,MATCH('Calculations'!HT89,'Calculations'!$HE$13:$HE$512,0)),""))))</x:f>
      </x:c>
      <x:c r="HV89" t="str">
        <x:f>IF('Calculations'!HU89="","",IF('Calculations'!HU89="!AMBIG","!AMBIG",IF(COUNTIF('Calculations'!$HE$13:$HE$512,"="&amp;SUBSTITUTE(SUBSTITUTE(SUBSTITUTE('Calculations'!HU89,"~","~~"),"*","~*"),"?","~?"))&gt;1,"!AMBIG",IFERROR(INDEX('Calculations'!$HF$13:$HF$512,MATCH('Calculations'!HU89,'Calculations'!$HE$13:$HE$512,0)),""))))</x:f>
      </x:c>
      <x:c r="HW89" t="str">
        <x:f>IF('Calculations'!HV89="","",IF('Calculations'!HV89="!AMBIG","!AMBIG",IF(COUNTIF('Calculations'!$HE$13:$HE$512,"="&amp;SUBSTITUTE(SUBSTITUTE(SUBSTITUTE('Calculations'!HV89,"~","~~"),"*","~*"),"?","~?"))&gt;1,"!AMBIG",IFERROR(INDEX('Calculations'!$HF$13:$HF$512,MATCH('Calculations'!HV89,'Calculations'!$HE$13:$HE$512,0)),""))))</x:f>
      </x:c>
      <x:c r="HX89" t="str">
        <x:f>IF('Calculations'!HW89="","",IF('Calculations'!HW89="!AMBIG","!AMBIG",IF(COUNTIF('Calculations'!$HE$13:$HE$512,"="&amp;SUBSTITUTE(SUBSTITUTE(SUBSTITUTE('Calculations'!HW89,"~","~~"),"*","~*"),"?","~?"))&gt;1,"!AMBIG",IFERROR(INDEX('Calculations'!$HF$13:$HF$512,MATCH('Calculations'!HW89,'Calculations'!$HE$13:$HE$512,0)),""))))</x:f>
      </x:c>
      <x:c r="HY89" t="str">
        <x:f>IF('Calculations'!HX89="","",IF('Calculations'!HX89="!AMBIG","!AMBIG",IF(COUNTIF('Calculations'!$HE$13:$HE$512,"="&amp;SUBSTITUTE(SUBSTITUTE(SUBSTITUTE('Calculations'!HX89,"~","~~"),"*","~*"),"?","~?"))&gt;1,"!AMBIG",IFERROR(INDEX('Calculations'!$HF$13:$HF$512,MATCH('Calculations'!HX89,'Calculations'!$HE$13:$HE$512,0)),""))))</x:f>
      </x:c>
      <x:c r="HZ89" t="str">
        <x:f>IF('Calculations'!HY89="","",IF('Calculations'!HY89="!AMBIG","!AMBIG",IF(COUNTIF('Calculations'!$HE$13:$HE$512,"="&amp;SUBSTITUTE(SUBSTITUTE(SUBSTITUTE('Calculations'!HY89,"~","~~"),"*","~*"),"?","~?"))&gt;1,"!AMBIG",IFERROR(INDEX('Calculations'!$HF$13:$HF$512,MATCH('Calculations'!HY89,'Calculations'!$HE$13:$HE$512,0)),""))))</x:f>
      </x:c>
      <x:c r="IA89" t="str">
        <x:f>IF('Calculations'!HZ89="","",IF('Calculations'!HZ89="!AMBIG","!AMBIG",IF(COUNTIF('Calculations'!$HE$13:$HE$512,"="&amp;SUBSTITUTE(SUBSTITUTE(SUBSTITUTE('Calculations'!HZ89,"~","~~"),"*","~*"),"?","~?"))&gt;1,"!AMBIG",IFERROR(INDEX('Calculations'!$HF$13:$HF$512,MATCH('Calculations'!HZ89,'Calculations'!$HE$13:$HE$512,0)),""))))</x:f>
      </x:c>
      <x:c r="IB89" t="str">
        <x:f>IF('Calculations'!IA89="","",IF('Calculations'!IA89="!AMBIG","!AMBIG",IF(COUNTIF('Calculations'!$HE$13:$HE$512,"="&amp;SUBSTITUTE(SUBSTITUTE(SUBSTITUTE('Calculations'!IA89,"~","~~"),"*","~*"),"?","~?"))&gt;1,"!AMBIG",IFERROR(INDEX('Calculations'!$HF$13:$HF$512,MATCH('Calculations'!IA89,'Calculations'!$HE$13:$HE$512,0)),""))))</x:f>
      </x:c>
      <x:c r="IC89" t="str">
        <x:f>IF('Calculations'!IB89="","",IF('Calculations'!IB89="!AMBIG","!AMBIG",IF(COUNTIF('Calculations'!$HE$13:$HE$512,"="&amp;SUBSTITUTE(SUBSTITUTE(SUBSTITUTE('Calculations'!IB89,"~","~~"),"*","~*"),"?","~?"))&gt;1,"!AMBIG",IFERROR(INDEX('Calculations'!$HF$13:$HF$512,MATCH('Calculations'!IB89,'Calculations'!$HE$13:$HE$512,0)),""))))</x:f>
      </x:c>
      <x:c r="ID89" t="str">
        <x:f>IF('Calculations'!IC89="","",IF('Calculations'!IC89="!AMBIG","!AMBIG",IF(COUNTIF('Calculations'!$HE$13:$HE$512,"="&amp;SUBSTITUTE(SUBSTITUTE(SUBSTITUTE('Calculations'!IC89,"~","~~"),"*","~*"),"?","~?"))&gt;1,"!AMBIG",IFERROR(INDEX('Calculations'!$HF$13:$HF$512,MATCH('Calculations'!IC89,'Calculations'!$HE$13:$HE$512,0)),""))))</x:f>
      </x:c>
      <x:c r="IE89" t="str">
        <x:f>IF('Calculations'!ID89="","",IF('Calculations'!ID89="!AMBIG","!AMBIG",IF(COUNTIF('Calculations'!$HE$13:$HE$512,"="&amp;SUBSTITUTE(SUBSTITUTE(SUBSTITUTE('Calculations'!ID89,"~","~~"),"*","~*"),"?","~?"))&gt;1,"!AMBIG",IFERROR(INDEX('Calculations'!$HF$13:$HF$512,MATCH('Calculations'!ID89,'Calculations'!$HE$13:$HE$512,0)),""))))</x:f>
      </x:c>
      <x:c r="IF89" t="str">
        <x:f>IF('Calculations'!IE89="","",IF('Calculations'!IE89="!AMBIG","!AMBIG",IF(COUNTIF('Calculations'!$HE$13:$HE$512,"="&amp;SUBSTITUTE(SUBSTITUTE(SUBSTITUTE('Calculations'!IE89,"~","~~"),"*","~*"),"?","~?"))&gt;1,"!AMBIG",IFERROR(INDEX('Calculations'!$HF$13:$HF$512,MATCH('Calculations'!IE89,'Calculations'!$HE$13:$HE$512,0)),""))))</x:f>
      </x:c>
      <x:c r="IG89" t="str">
        <x:f>IF('Calculations'!IF89="","",IF('Calculations'!IF89="!AMBIG","!AMBIG",IF(COUNTIF('Calculations'!$HE$13:$HE$512,"="&amp;SUBSTITUTE(SUBSTITUTE(SUBSTITUTE('Calculations'!IF89,"~","~~"),"*","~*"),"?","~?"))&gt;1,"!AMBIG",IFERROR(INDEX('Calculations'!$HF$13:$HF$512,MATCH('Calculations'!IF89,'Calculations'!$HE$13:$HE$512,0)),""))))</x:f>
      </x:c>
      <x:c r="IH89" t="str">
        <x:f>IF('Calculations'!IG89="","",IF('Calculations'!IG89="!AMBIG","!AMBIG",IF(COUNTIF('Calculations'!$HE$13:$HE$512,"="&amp;SUBSTITUTE(SUBSTITUTE(SUBSTITUTE('Calculations'!IG89,"~","~~"),"*","~*"),"?","~?"))&gt;1,"!AMBIG",IFERROR(INDEX('Calculations'!$HF$13:$HF$512,MATCH('Calculations'!IG89,'Calculations'!$HE$13:$HE$512,0)),""))))</x:f>
      </x:c>
      <x:c r="II89" t="str">
        <x:f>IF('Calculations'!IH89="","",IF('Calculations'!IH89="!AMBIG","!AMBIG",IF(COUNTIF('Calculations'!$HE$13:$HE$512,"="&amp;SUBSTITUTE(SUBSTITUTE(SUBSTITUTE('Calculations'!IH89,"~","~~"),"*","~*"),"?","~?"))&gt;1,"!AMBIG",IFERROR(INDEX('Calculations'!$HF$13:$HF$512,MATCH('Calculations'!IH89,'Calculations'!$HE$13:$HE$512,0)),""))))</x:f>
      </x:c>
      <x:c r="IJ89" t="str">
        <x:f>IF('Calculations'!EM89="","",IF('Calculations'!$EF$2="All",'Calculations'!HM89,IF('Calculations'!HL89=1,"",IFERROR(IF(MATCH('Calculations'!$EF$2,'Calculations'!HO89:II89,0)=1,'Calculations'!HE89,INDEX('Calculations'!HO89:II89,1,MATCH('Calculations'!$EF$2,'Calculations'!HO89:II89,0)-1)),""))))</x:f>
      </x:c>
      <x:c r="IK89" t="n">
        <x:f>IF(AND('Calculations'!EM89&lt;&gt;"",'Calculations'!$EF$2&lt;&gt;"All",'Calculations'!HF89='Calculations'!$EF$2,'Calculations'!HL89=0,'Calculations'!JD89&gt;0),MAX('Calculations'!$IK$12:IK88)+1,0)</x:f>
        <x:v>0</x:v>
      </x:c>
      <x:c r="JA89" t="n">
        <x:f>IF(OR(IFERROR(INDIRECT("'WCM Calibration Final'!$A$89")&lt;&gt;"",FALSE),IFERROR(INDIRECT("'WCM Calibration Final'!$B$89")&lt;&gt;"",FALSE),IFERROR(INDIRECT("'WCM Calibration Final'!$C$89")&lt;&gt;"",FALSE)),89,0)</x:f>
        <x:v>0</x:v>
      </x:c>
      <x:c r="JB89" t="n">
        <x:f>'Calculations'!JB88+IF('Calculations'!JA89&gt;0,1,0)</x:f>
        <x:v>0</x:v>
      </x:c>
      <x:c r="JC89" t="n">
        <x:f>IF(OR('Calculations'!HF89="",'Calculations'!HF89="!AMBIG"),0,IF('Dashboard'!$B$7="All",1,COUNTIFS('Calculations'!$HO$13:$HO$512,"="&amp;SUBSTITUTE(SUBSTITUTE(SUBSTITUTE('Calculations'!HF89,"~","~~"),"*","~*"),"?","~?"),'Calculations'!$HN$13:$HN$512,"="&amp;SUBSTITUTE(SUBSTITUTE(SUBSTITUTE('Dashboard'!$B$7,"~","~~"),"*","~*"),"?","~?"))+COUNTIFS('Calculations'!$HP$13:$HP$512,"="&amp;SUBSTITUTE(SUBSTITUTE(SUBSTITUTE('Calculations'!HF89,"~","~~"),"*","~*"),"?","~?"),'Calculations'!$HN$13:$HN$512,"="&amp;SUBSTITUTE(SUBSTITUTE(SUBSTITUTE('Dashboard'!$B$7,"~","~~"),"*","~*"),"?","~?"))+COUNTIFS('Calculations'!$HQ$13:$HQ$512,"="&amp;SUBSTITUTE(SUBSTITUTE(SUBSTITUTE('Calculations'!HF89,"~","~~"),"*","~*"),"?","~?"),'Calculations'!$HN$13:$HN$512,"="&amp;SUBSTITUTE(SUBSTITUTE(SUBSTITUTE('Dashboard'!$B$7,"~","~~"),"*","~*"),"?","~?"))+COUNTIFS('Calculations'!$HR$13:$HR$512,"="&amp;SUBSTITUTE(SUBSTITUTE(SUBSTITUTE('Calculations'!HF89,"~","~~"),"*","~*"),"?","~?"),'Calculations'!$HN$13:$HN$512,"="&amp;SUBSTITUTE(SUBSTITUTE(SUBSTITUTE('Dashboard'!$B$7,"~","~~"),"*","~*"),"?","~?"))+COUNTIFS('Calculations'!$HS$13:$HS$512,"="&amp;SUBSTITUTE(SUBSTITUTE(SUBSTITUTE('Calculations'!HF89,"~","~~"),"*","~*"),"?","~?"),'Calculations'!$HN$13:$HN$512,"="&amp;SUBSTITUTE(SUBSTITUTE(SUBSTITUTE('Dashboard'!$B$7,"~","~~"),"*","~*"),"?","~?"))+COUNTIFS('Calculations'!$HT$13:$HT$512,"="&amp;SUBSTITUTE(SUBSTITUTE(SUBSTITUTE('Calculations'!HF89,"~","~~"),"*","~*"),"?","~?"),'Calculations'!$HN$13:$HN$512,"="&amp;SUBSTITUTE(SUBSTITUTE(SUBSTITUTE('Dashboard'!$B$7,"~","~~"),"*","~*"),"?","~?"))+COUNTIFS('Calculations'!$HU$13:$HU$512,"="&amp;SUBSTITUTE(SUBSTITUTE(SUBSTITUTE('Calculations'!HF89,"~","~~"),"*","~*"),"?","~?"),'Calculations'!$HN$13:$HN$512,"="&amp;SUBSTITUTE(SUBSTITUTE(SUBSTITUTE('Dashboard'!$B$7,"~","~~"),"*","~*"),"?","~?"))+COUNTIFS('Calculations'!$HV$13:$HV$512,"="&amp;SUBSTITUTE(SUBSTITUTE(SUBSTITUTE('Calculations'!HF89,"~","~~"),"*","~*"),"?","~?"),'Calculations'!$HN$13:$HN$512,"="&amp;SUBSTITUTE(SUBSTITUTE(SUBSTITUTE('Dashboard'!$B$7,"~","~~"),"*","~*"),"?","~?"))+COUNTIFS('Calculations'!$HW$13:$HW$512,"="&amp;SUBSTITUTE(SUBSTITUTE(SUBSTITUTE('Calculations'!HF89,"~","~~"),"*","~*"),"?","~?"),'Calculations'!$HN$13:$HN$512,"="&amp;SUBSTITUTE(SUBSTITUTE(SUBSTITUTE('Dashboard'!$B$7,"~","~~"),"*","~*"),"?","~?"))+COUNTIFS('Calculations'!$HX$13:$HX$512,"="&amp;SUBSTITUTE(SUBSTITUTE(SUBSTITUTE('Calculations'!HF89,"~","~~"),"*","~*"),"?","~?"),'Calculations'!$HN$13:$HN$512,"="&amp;SUBSTITUTE(SUBSTITUTE(SUBSTITUTE('Dashboard'!$B$7,"~","~~"),"*","~*"),"?","~?"))+COUNTIFS('Calculations'!$HY$13:$HY$512,"="&amp;SUBSTITUTE(SUBSTITUTE(SUBSTITUTE('Calculations'!HF89,"~","~~"),"*","~*"),"?","~?"),'Calculations'!$HN$13:$HN$512,"="&amp;SUBSTITUTE(SUBSTITUTE(SUBSTITUTE('Dashboard'!$B$7,"~","~~"),"*","~*"),"?","~?"))+COUNTIFS('Calculations'!$HZ$13:$HZ$512,"="&amp;SUBSTITUTE(SUBSTITUTE(SUBSTITUTE('Calculations'!HF89,"~","~~"),"*","~*"),"?","~?"),'Calculations'!$HN$13:$HN$512,"="&amp;SUBSTITUTE(SUBSTITUTE(SUBSTITUTE('Dashboard'!$B$7,"~","~~"),"*","~*"),"?","~?"))+COUNTIFS('Calculations'!$IA$13:$IA$512,"="&amp;SUBSTITUTE(SUBSTITUTE(SUBSTITUTE('Calculations'!HF89,"~","~~"),"*","~*"),"?","~?"),'Calculations'!$HN$13:$HN$512,"="&amp;SUBSTITUTE(SUBSTITUTE(SUBSTITUTE('Dashboard'!$B$7,"~","~~"),"*","~*"),"?","~?"))+COUNTIFS('Calculations'!$IB$13:$IB$512,"="&amp;SUBSTITUTE(SUBSTITUTE(SUBSTITUTE('Calculations'!HF89,"~","~~"),"*","~*"),"?","~?"),'Calculations'!$HN$13:$HN$512,"="&amp;SUBSTITUTE(SUBSTITUTE(SUBSTITUTE('Dashboard'!$B$7,"~","~~"),"*","~*"),"?","~?"))+COUNTIFS('Calculations'!$IC$13:$IC$512,"="&amp;SUBSTITUTE(SUBSTITUTE(SUBSTITUTE('Calculations'!HF89,"~","~~"),"*","~*"),"?","~?"),'Calculations'!$HN$13:$HN$512,"="&amp;SUBSTITUTE(SUBSTITUTE(SUBSTITUTE('Dashboard'!$B$7,"~","~~"),"*","~*"),"?","~?"))+COUNTIFS('Calculations'!$ID$13:$ID$512,"="&amp;SUBSTITUTE(SUBSTITUTE(SUBSTITUTE('Calculations'!HF89,"~","~~"),"*","~*"),"?","~?"),'Calculations'!$HN$13:$HN$512,"="&amp;SUBSTITUTE(SUBSTITUTE(SUBSTITUTE('Dashboard'!$B$7,"~","~~"),"*","~*"),"?","~?"))+COUNTIFS('Calculations'!$IE$13:$IE$512,"="&amp;SUBSTITUTE(SUBSTITUTE(SUBSTITUTE('Calculations'!HF89,"~","~~"),"*","~*"),"?","~?"),'Calculations'!$HN$13:$HN$512,"="&amp;SUBSTITUTE(SUBSTITUTE(SUBSTITUTE('Dashboard'!$B$7,"~","~~"),"*","~*"),"?","~?"))+COUNTIFS('Calculations'!$IF$13:$IF$512,"="&amp;SUBSTITUTE(SUBSTITUTE(SUBSTITUTE('Calculations'!HF89,"~","~~"),"*","~*"),"?","~?"),'Calculations'!$HN$13:$HN$512,"="&amp;SUBSTITUTE(SUBSTITUTE(SUBSTITUTE('Dashboard'!$B$7,"~","~~"),"*","~*"),"?","~?"))+COUNTIFS('Calculations'!$IG$13:$IG$512,"="&amp;SUBSTITUTE(SUBSTITUTE(SUBSTITUTE('Calculations'!HF89,"~","~~"),"*","~*"),"?","~?"),'Calculations'!$HN$13:$HN$512,"="&amp;SUBSTITUTE(SUBSTITUTE(SUBSTITUTE('Dashboard'!$B$7,"~","~~"),"*","~*"),"?","~?"))+COUNTIFS('Calculations'!$IH$13:$IH$512,"="&amp;SUBSTITUTE(SUBSTITUTE(SUBSTITUTE('Calculations'!HF89,"~","~~"),"*","~*"),"?","~?"),'Calculations'!$HN$13:$HN$512,"="&amp;SUBSTITUTE(SUBSTITUTE(SUBSTITUTE('Dashboard'!$B$7,"~","~~"),"*","~*"),"?","~?"))))</x:f>
        <x:v>0</x:v>
      </x:c>
      <x:c r="JD89" t="n">
        <x:f>IF('Calculations'!EM89="",0,IF('Dashboard'!$B$7="All",1,IF('Calculations'!HN89='Dashboard'!$B$7,1,0)+IFERROR(INDEX('Calculations'!$JC$13:$JC$512,MATCH('Calculations'!HE89,'Calculations'!$HF$13:$HF$512,0)),0)))</x:f>
        <x:v>0</x:v>
      </x:c>
      <x:c r="JE89" t="n">
        <x:f>IF(AND('Calculations'!EM89&lt;&gt;"",'Calculations'!$JJ$2&lt;&gt;"All",'Calculations'!$JJ$2&lt;&gt;"",'Calculations'!HF89='Calculations'!$JJ$2,'Calculations'!HL89=0,'Calculations'!JD89&gt;0),MAX('Calculations'!$JE$12:JE88)+1,0)</x:f>
        <x:v>0</x:v>
      </x:c>
      <x:c r="JF89" t="str">
        <x:f>IF('Calculations'!EM89="","",IFERROR(IF(INDEX(INDIRECT("'WCM Calibration Final'!$G$1:$G$2000"),'Calculations'!$EM89)="","",TRIM(INDEX(INDIRECT("'WCM Calibration Final'!$G$1:$G$2000"),'Calculations'!$EM89)&amp;"")),""))</x:f>
      </x:c>
      <x:c r="JQ89" t="n">
        <x:f>IF(OR('Calculations'!BM89=0,NOT('Calculations'!$AG$2),'Calculations'!$AG$8&gt;0),0,IF(OR('Dashboard'!$B$7="All",'Calculations'!HN89='Dashboard'!$B$7),IF('Calculations'!$JJ$2="All",1,IF(AND('Calculations'!HF89='Calculations'!$JJ$2,'Calculations'!HL89=0),1,0)),0))</x:f>
        <x:v>0</x:v>
      </x:c>
    </x:row>
    <x:row r="90">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t="n">
        <x:f>IF('Calculations'!$EM90="",0,IF(OR(IFERROR(INDEX(INDIRECT("'WCM Calibration Final'!$A$1:$A$2000"),'Calculations'!$EM90)&lt;&gt;"",FALSE),IFERROR(INDEX(INDIRECT("'WCM Calibration Final'!$B$1:$B$2000"),'Calculations'!$EM90)&lt;&gt;"",FALSE),IFERROR(INDEX(INDIRECT("'WCM Calibration Final'!$C$1:$C$2000"),'Calculations'!$EM90)&lt;&gt;"",FALSE)),1,0))</x:f>
        <x:v>0</x:v>
      </x:c>
      <x:c r="BN90" s="4" t="n">
        <x:f>IF(AND('Calculations'!BM90=1,'Calculations'!$AG$2,'Calculations'!$EN90=1),1,0)</x:f>
        <x:v>0</x:v>
      </x:c>
      <x:c r="BO90" s="4" t="str">
        <x:f>IF('Calculations'!BM90=0,"",IFERROR(IF(AND(VALUE(INDEX(INDIRECT("'WCM Calibration Final'!$K$1:$K$2000"),'Calculations'!$EM90))&gt;=1,VALUE(INDEX(INDIRECT("'WCM Calibration Final'!$K$1:$K$2000"),'Calculations'!$EM90))&lt;=4,MOD(VALUE(INDEX(INDIRECT("'WCM Calibration Final'!$K$1:$K$2000"),'Calculations'!$EM90)),1)=0),VALUE(INDEX(INDIRECT("'WCM Calibration Final'!$K$1:$K$2000"),'Calculations'!$EM90)),""),""))</x:f>
      </x:c>
      <x:c r="BP90" s="4" t="str">
        <x:f>IF('Calculations'!BM90=0,"",IFERROR(IF(AND(VALUE(INDEX(INDIRECT("'WCM Calibration Final'!$L$1:$L$2000"),'Calculations'!$EM90))&gt;=1,VALUE(INDEX(INDIRECT("'WCM Calibration Final'!$L$1:$L$2000"),'Calculations'!$EM90))&lt;=4,MOD(VALUE(INDEX(INDIRECT("'WCM Calibration Final'!$L$1:$L$2000"),'Calculations'!$EM90)),1)=0),VALUE(INDEX(INDIRECT("'WCM Calibration Final'!$L$1:$L$2000"),'Calculations'!$EM90)),""),""))</x:f>
      </x:c>
      <x:c r="BQ90" s="4"/>
      <x:c r="BR90" s="4"/>
      <x:c r="BS90" s="4"/>
      <x:c r="BT90" s="4" t="n">
        <x:f>IF(AND('Calculations'!BM90=1,ISNUMBER('Calculations'!BO90),ISNUMBER('Calculations'!BP90)),1,0)</x:f>
        <x:v>0</x:v>
      </x:c>
      <x:c r="BU90" s="4" t="str">
        <x:f>IF('Calculations'!BM90=0,"",'Calculations'!$EO90)</x:f>
      </x:c>
      <x:c r="BV90" s="4" t="str">
        <x:f>IF('Calculations'!BM90=0,"",IFERROR(IF(OR(INDEX(INDIRECT("'WCM Calibration Final'!$H$1:$H$2000"),'Calculations'!$EM90)="MANAGING DIRECTOR",INDEX(INDIRECT("'WCM Calibration Final'!$H$1:$H$2000"),'Calculations'!$EM90)="DIRECTOR",INDEX(INDIRECT("'WCM Calibration Final'!$H$1:$H$2000"),'Calculations'!$EM90)="SENIOR VICE PRESIDENT",INDEX(INDIRECT("'WCM Calibration Final'!$H$1:$H$2000"),'Calculations'!$EM90)="VICE PRESIDENT",INDEX(INDIRECT("'WCM Calibration Final'!$H$1:$H$2000"),'Calculations'!$EM90)="ASSISTANT VICE PRESIDENT",INDEX(INDIRECT("'WCM Calibration Final'!$H$1:$H$2000"),'Calculations'!$EM90)="OFFICER"),UPPER(INDEX(INDIRECT("'WCM Calibration Final'!$H$1:$H$2000"),'Calculations'!$EM90)),"Other"),"Other"))</x:f>
      </x:c>
      <x:c r="BW90" s="4"/>
      <x:c r="BX90" s="4"/>
      <x:c r="BY90" s="4" t="n">
        <x:f>IF(AND('Calculations'!BM90=1,'Calculations'!BU90&lt;&gt;"",COUNTIF('Calculations'!$BU$12:BU90,'Calculations'!BU90)=1),MAX('Calculations'!$BY$11:BY89)+1,0)</x:f>
        <x:v>0</x:v>
      </x:c>
      <x:c r="BZ90" s="4" t="str">
        <x:f>IF('Dashboard'!$E$67="What",'Calculations'!BO90,'Calculations'!BP90)</x:f>
      </x:c>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t="str">
        <x:f>IF(79&gt;MAX('Calculations'!$HI$13:$HI$512),"",INDEX('Calculations'!$HN$13:$HN$512,MATCH(79,'Calculations'!$HI$13:$HI$512,0)))</x:f>
      </x:c>
      <x:c r="DB90" s="4" t="str">
        <x:f>IF(79&gt;MAX('Calculations'!$HH$13:$HH$512),"",INDEX('Calculations'!$HJ$13:$HJ$512,MATCH(79,'Calculations'!$HH$13:$HH$512,0)))</x:f>
      </x:c>
      <x:c r="DC90" s="4" t="str">
        <x:f>IF(ROW()-11&gt;MAX('Calculations'!$BY$13:$BY$512),"",INDEX('Calculations'!$BU$13:$BU$512,MATCH(ROW()-11,'Calculations'!$BY$13:$BY$512,0)))</x:f>
      </x:c>
      <x:c r="DD90" s="4" t="str">
        <x:f>IF(79&gt;MAX('Calculations'!$IK$13:$IK$512),"",INDEX('Calculations'!$HK$13:$HK$512,MATCH(79,'Calculations'!$IK$13:$IK$512,0)))</x:f>
      </x:c>
      <x:c r="DE90" s="4" t="str">
        <x:f>'Calculations'!DC90</x:f>
      </x:c>
      <x:c r="DF90" s="4" t="str">
        <x:f>IF('Calculations'!DE90="","",COUNTIFS('Calculations'!$BN$13:$BN$512,1,'Calculations'!$BU$13:$BU$512,'Calculations'!DE90))</x:f>
      </x:c>
      <x:c r="DG90" s="4" t="str">
        <x:f>IF('Calculations'!DE90="","",COUNTIFS('Calculations'!$BN$13:$BN$512,1,'Calculations'!$BU$13:$BU$512,'Calculations'!DE90,'Calculations'!$BT$13:$BT$512,1))</x:f>
      </x:c>
      <x:c r="DH90" s="4" t="str">
        <x:f>IF('Calculations'!DE90="","",'Calculations'!DF90-'Calculations'!DG90)</x:f>
      </x:c>
      <x:c r="DI90" s="4" t="str">
        <x:f>IF(OR('Calculations'!DE90="",'Calculations'!DF90=0),"",'Calculations'!DG90/'Calculations'!DF90)</x:f>
      </x:c>
      <x:c r="DJ90" s="4" t="str">
        <x:f>IF('Calculations'!DE90="","",COUNTIFS('Calculations'!$BN$13:$BN$512,1,'Calculations'!$BU$13:$BU$512,'Calculations'!DE90,'Calculations'!$BT$13:$BT$512,1,'Calculations'!$EE$13:$EE$512,"High"))</x:f>
      </x:c>
      <x:c r="DK90" s="4" t="str">
        <x:f>IF('Calculations'!DE90="","",COUNTIFS('Calculations'!$BN$13:$BN$512,1,'Calculations'!$BU$13:$BU$512,'Calculations'!DE90,'Calculations'!$BT$13:$BT$512,1,'Calculations'!$EE$13:$EE$512,"Strong"))</x:f>
      </x:c>
      <x:c r="DL90" s="4" t="str">
        <x:f>IF('Calculations'!DE90="","",COUNTIFS('Calculations'!$BN$13:$BN$512,1,'Calculations'!$BU$13:$BU$512,'Calculations'!DE90,'Calculations'!$BT$13:$BT$512,1,'Calculations'!$EE$13:$EE$512,"Solid"))</x:f>
      </x:c>
      <x:c r="DM90" s="4" t="str">
        <x:f>IF('Calculations'!DE90="","",COUNTIFS('Calculations'!$BN$13:$BN$512,1,'Calculations'!$BU$13:$BU$512,'Calculations'!DE90,'Calculations'!$BT$13:$BT$512,1,'Calculations'!$EE$13:$EE$512,"Low"))</x:f>
      </x:c>
      <x:c r="DN90" s="4" t="str">
        <x:f>IF('Calculations'!DE90="","",COUNTIFS('Calculations'!$BN$13:$BN$512,1,'Calculations'!$BU$13:$BU$512,'Calculations'!DE90,'Calculations'!$EP$13:$EP$512,1))</x:f>
      </x:c>
      <x:c r="DO90" s="4" t="str">
        <x:f>IF(OR('Calculations'!DE90="",'Calculations'!DG90=0),"",('Calculations'!DJ90+'Calculations'!DK90)/'Calculations'!DG90)</x:f>
      </x:c>
      <x:c r="DP90" s="4" t="n">
        <x:f>IF(AND('Calculations'!DE90&lt;&gt;"",'Calculations'!DF90&gt;0),COUNTIF('Calculations'!$DF$12:DF90,"&gt;0"),0)</x:f>
        <x:v>0</x:v>
      </x:c>
      <x:c r="DQ90" s="4" t="str">
        <x:f>IF(79&gt;MAX('Calculations'!$HH$13:$HH$512),"",INDEX('Calculations'!$HF$13:$HF$512,MATCH(79,'Calculations'!$HH$13:$HH$512,0)))</x:f>
      </x:c>
      <x:c r="DR90" s="4" t="str">
        <x:f>IF(79&gt;MAX('Calculations'!$IK$13:$IK$512),"",INDEX('Calculations'!$HE$13:$HE$512,MATCH(79,'Calculations'!$IK$13:$IK$512,0)))</x:f>
      </x:c>
      <x:c r="DS90" s="4"/>
      <x:c r="DT90" s="4"/>
      <x:c r="DU90" s="4"/>
      <x:c r="DV90" s="4"/>
      <x:c r="DW90" s="4"/>
      <x:c r="DX90" s="4"/>
      <x:c r="DY90" s="4"/>
      <x:c r="DZ90" s="4"/>
      <x:c r="EA90" s="4"/>
      <x:c r="EB90" s="4"/>
      <x:c r="EC90" s="4"/>
      <x:c r="ED90" s="4"/>
      <x:c r="EE90" s="4" t="str">
        <x:f>IF('Calculations'!BT90=0,"Not Rated",IF(OR('Calculations'!BO90&gt;=4,'Calculations'!BP90&gt;=4),"Low",IF('Calculations'!BO90+'Calculations'!BP90&lt;=3,"High",IF('Calculations'!BO90+'Calculations'!BP90&lt;=4,"Strong","Solid"))))</x:f>
        <x:v>Not Rated</x:v>
      </x:c>
      <x:c r="EF90" s="4"/>
      <x:c r="EG90" s="4"/>
      <x:c r="EH90" s="4"/>
      <x:c r="EI90" s="4"/>
      <x:c r="EJ90" s="4"/>
      <x:c r="EK90" s="4"/>
      <x:c r="EL90" s="4"/>
      <x:c r="EM90" s="4" t="str">
        <x:f>IF(78&gt;'Calculations'!$JB$2000,"",INDEX('Calculations'!$JA$12:$JA$2000,MATCH(78,'Calculations'!$JB$12:$JB$2000,0)))</x:f>
      </x:c>
      <x:c r="EN90" s="4" t="n">
        <x:f>IF(OR('Calculations'!EM90="",'Calculations'!$AG$8&gt;0,AND('Calculations'!$EF$2&lt;&gt;"All",'Calculations'!HE90='Calculations'!$EF$2),AND('Calculations'!$EF$3&lt;&gt;"All",'Calculations'!HE90='Calculations'!$EF$3)),0,IF(OR('Dashboard'!$B$7="All",'Calculations'!HN90='Dashboard'!$B$7),IF('Calculations'!$EF$2="All",1,IF('Calculations'!HL90&gt;0,0,IF(COUNTIF('Calculations'!HO90:II90,"="&amp;SUBSTITUTE(SUBSTITUTE(SUBSTITUTE('Calculations'!$EF$2,"~","~~"),"*","~*"),"?","~?"))=0,0,IF('Calculations'!$EF$3="All",1,IF(COUNTIF('Calculations'!HO90:II90,"="&amp;SUBSTITUTE(SUBSTITUTE(SUBSTITUTE('Calculations'!$EF$3,"~","~~"),"*","~*"),"?","~?"))&gt;0,1,0))))),0))</x:f>
        <x:v>0</x:v>
      </x:c>
      <x:c r="EO90" s="4" t="str">
        <x:f>IF('Calculations'!IJ90="","",IF('Calculations'!IJ90="!UNRESOLVED","Unresolved hierarchy",IFERROR(INDEX('Calculations'!$HK$13:$HK$512,MATCH('Calculations'!IJ90,'Calculations'!$HE$13:$HE$512,0)),IFERROR(INDEX('Calculations'!$HJ$13:$HJ$512,MATCH('Calculations'!IJ90,'Calculations'!$HF$13:$HF$512,0)),'Calculations'!IJ90))))</x:f>
      </x:c>
      <x:c r="EP90" s="4" t="n">
        <x:f>IF(AND('Calculations'!EM90&lt;&gt;"",'Calculations'!HF90='Calculations'!IJ90),1,0)</x:f>
        <x:v>0</x:v>
      </x:c>
      <x:c r="EQ90" s="4"/>
      <x:c r="ER90" s="4"/>
      <x:c r="ES90" s="4"/>
      <x:c r="ET90" s="4"/>
      <x:c r="EU90" s="4"/>
      <x:c r="EV90" s="4"/>
      <x:c r="EW90" s="4"/>
      <x:c r="EX90" s="4"/>
      <x:c r="EY90" s="4"/>
      <x:c r="EZ90" s="4"/>
      <x:c r="FA90" s="4"/>
      <x:c r="FB90" s="4"/>
      <x:c r="FC90" s="4"/>
      <x:c r="FD90" s="4"/>
      <x:c r="FE90" s="4"/>
      <x:c r="FF90" s="4"/>
      <x:c r="FG90" s="4"/>
      <x:c r="FH90" s="4"/>
      <x:c r="FI90" s="4"/>
      <x:c r="FJ90" s="4"/>
      <x:c r="FK90" s="4"/>
      <x:c r="FL90" s="4"/>
      <x:c r="FM90" s="4"/>
      <x:c r="FN90" s="4"/>
      <x:c r="FO90" s="4"/>
      <x:c r="GA90" s="71"/>
      <x:c r="GB90" s="71"/>
      <x:c r="GC90" s="71"/>
      <x:c r="GD90" s="71"/>
      <x:c r="GE90" s="71"/>
      <x:c r="GF90" s="71"/>
      <x:c r="GG90" s="71"/>
      <x:c r="GH90" s="71"/>
      <x:c r="GI90" s="71"/>
      <x:c r="GJ90" s="71"/>
      <x:c r="GK90" s="71"/>
      <x:c r="GL90" s="71"/>
      <x:c r="GM90" s="71"/>
      <x:c r="GN90" s="71"/>
      <x:c r="GO90" s="71"/>
      <x:c r="GP90" s="71"/>
      <x:c r="GQ90" s="71"/>
      <x:c r="GR90" s="71"/>
      <x:c r="GS90" s="71"/>
      <x:c r="GT90" s="71"/>
      <x:c r="GU90" s="71"/>
      <x:c r="GV90" s="71"/>
      <x:c r="GW90" s="71"/>
      <x:c r="GX90" s="71"/>
      <x:c r="GY90" s="71"/>
      <x:c r="GZ90" s="71"/>
      <x:c r="HA90" s="71"/>
      <x:c r="HB90" s="71"/>
      <x:c r="HC90" s="71"/>
      <x:c r="HD90" s="71"/>
      <x:c r="HE90" t="str">
        <x:f>IF('Calculations'!EM90="","",IF(IFERROR(IF(INDEX(INDIRECT("'WCM Calibration Final'!$A$1:$A$2000"),'Calculations'!$EM90)="","",TRIM(INDEX(INDIRECT("'WCM Calibration Final'!$A$1:$A$2000"),'Calculations'!$EM90)&amp;"")),"")&lt;&gt;"","G:"&amp;IFERROR(TEXT(1*INDEX(INDIRECT("'WCM Calibration Final'!$A$1:$A$2000"),'Calculations'!$EM90),"0"),UPPER(IFERROR(IF(INDEX(INDIRECT("'WCM Calibration Final'!$A$1:$A$2000"),'Calculations'!$EM90)="","",TRIM(INDEX(INDIRECT("'WCM Calibration Final'!$A$1:$A$2000"),'Calculations'!$EM90)&amp;"")),""))),IF(IFERROR(IF(INDEX(INDIRECT("'WCM Calibration Final'!$C$1:$C$2000"),'Calculations'!$EM90)="","",TRIM(INDEX(INDIRECT("'WCM Calibration Final'!$C$1:$C$2000"),'Calculations'!$EM90)&amp;"")),"")&lt;&gt;"","S:"&amp;UPPER(IFERROR(IF(INDEX(INDIRECT("'WCM Calibration Final'!$C$1:$C$2000"),'Calculations'!$EM90)="","",TRIM(INDEX(INDIRECT("'WCM Calibration Final'!$C$1:$C$2000"),'Calculations'!$EM90)&amp;"")),"")),"R:"&amp;'Calculations'!EM90)))</x:f>
      </x:c>
      <x:c r="HF90" t="str">
        <x:f>IF('Calculations'!EM90="","",IF(IFERROR(IF(INDEX(INDIRECT("'WCM Calibration Final'!$D$1:$D$2000"),'Calculations'!$EM90)="","",TRIM(INDEX(INDIRECT("'WCM Calibration Final'!$D$1:$D$2000"),'Calculations'!$EM90)&amp;"")),"")&lt;&gt;"","G:"&amp;IFERROR(TEXT(1*INDEX(INDIRECT("'WCM Calibration Final'!$D$1:$D$2000"),'Calculations'!$EM90),"0"),UPPER(IFERROR(IF(INDEX(INDIRECT("'WCM Calibration Final'!$D$1:$D$2000"),'Calculations'!$EM90)="","",TRIM(INDEX(INDIRECT("'WCM Calibration Final'!$D$1:$D$2000"),'Calculations'!$EM90)&amp;"")),""))),IF(IFERROR(IF(INDEX(INDIRECT("'WCM Calibration Final'!$E$1:$E$2000"),'Calculations'!$EM90)="","",TRIM(INDEX(INDIRECT("'WCM Calibration Final'!$E$1:$E$2000"),'Calculations'!$EM90)&amp;"")),"")="","",IF(COUNTIF('Calculations'!$HG$13:$HG$512,"="&amp;SUBSTITUTE(SUBSTITUTE(SUBSTITUTE(IFERROR(IF(INDEX(INDIRECT("'WCM Calibration Final'!$E$1:$E$2000"),'Calculations'!$EM90)="","",TRIM(INDEX(INDIRECT("'WCM Calibration Final'!$E$1:$E$2000"),'Calculations'!$EM90)&amp;"")),""),"~","~~"),"*","~*"),"?","~?"))=1,INDEX('Calculations'!$HE$13:$HE$512,MATCH(IFERROR(IF(INDEX(INDIRECT("'WCM Calibration Final'!$E$1:$E$2000"),'Calculations'!$EM90)="","",TRIM(INDEX(INDIRECT("'WCM Calibration Final'!$E$1:$E$2000"),'Calculations'!$EM90)&amp;"")),""),'Calculations'!$HG$13:$HG$512,0)),IF(COUNTIF('Calculations'!$HG$13:$HG$512,"="&amp;SUBSTITUTE(SUBSTITUTE(SUBSTITUTE(IFERROR(IF(INDEX(INDIRECT("'WCM Calibration Final'!$E$1:$E$2000"),'Calculations'!$EM90)="","",TRIM(INDEX(INDIRECT("'WCM Calibration Final'!$E$1:$E$2000"),'Calculations'!$EM90)&amp;"")),""),"~","~~"),"*","~*"),"?","~?"))&gt;1,"!AMBIG","X:"&amp;IFERROR(IF(INDEX(INDIRECT("'WCM Calibration Final'!$E$1:$E$2000"),'Calculations'!$EM90)="","",TRIM(INDEX(INDIRECT("'WCM Calibration Final'!$E$1:$E$2000"),'Calculations'!$EM90)&amp;"")),""))))))</x:f>
      </x:c>
      <x:c r="HG90" t="str">
        <x:f>IF('Calculations'!EM90="","",IFERROR(IF(INDEX(INDIRECT("'WCM Calibration Final'!$B$1:$B$2000"),'Calculations'!$EM90)="","",TRIM(INDEX(INDIRECT("'WCM Calibration Final'!$B$1:$B$2000"),'Calculations'!$EM90)&amp;"")),""))</x:f>
      </x:c>
      <x:c r="HH90" t="n">
        <x:f>IF(AND('Calculations'!JC90&gt;0,COUNTIF('Calculations'!$HF$12:HF90,"="&amp;SUBSTITUTE(SUBSTITUTE(SUBSTITUTE('Calculations'!HF90,"~","~~"),"*","~*"),"?","~?"))=1),MAX('Calculations'!$HH$12:HH89)+1,0)</x:f>
        <x:v>0</x:v>
      </x:c>
      <x:c r="HI90" t="n">
        <x:f>IF(AND('Calculations'!HN90&lt;&gt;"",COUNTIF('Calculations'!$HN$12:HN90,"="&amp;SUBSTITUTE(SUBSTITUTE(SUBSTITUTE('Calculations'!HN90,"~","~~"),"*","~*"),"?","~?"))=1),MAX('Calculations'!$HI$12:HI89)+1,0)</x:f>
        <x:v>0</x:v>
      </x:c>
      <x:c r="HJ90" t="str">
        <x:f>IF('Calculations'!HF90="","",IF(COUNTIF('Calculations'!$HE$13:$HE$512,"="&amp;SUBSTITUTE(SUBSTITUTE(SUBSTITUTE('Calculations'!HF90,"~","~~"),"*","~*"),"?","~?"))=1,INDEX('Calculations'!$HK$13:$HK$512,MATCH('Calculations'!HF90,'Calculations'!$HE$13:$HE$512,0)),IFERROR(IF(INDEX(INDIRECT("'WCM Calibration Final'!$E$1:$E$2000"),'Calculations'!$EM90)="","",TRIM(INDEX(INDIRECT("'WCM Calibration Final'!$E$1:$E$2000"),'Calculations'!$EM90)&amp;"")),"")&amp;" ["&amp;'Calculations'!HF90&amp;"]"))</x:f>
      </x:c>
      <x:c r="HK90" t="str">
        <x:f>IF('Calculations'!EM90="","",'Calculations'!HG90&amp;" ["&amp;'Calculations'!HE90&amp;"]")</x:f>
      </x:c>
      <x:c r="HL90" t="n">
        <x:f>IF('Calculations'!EM90="",0,IF(OR('Calculations'!II90&lt;&gt;"",COUNTIF('Calculations'!$HE$13:$HE$512,"="&amp;SUBSTITUTE(SUBSTITUTE(SUBSTITUTE('Calculations'!HE90,"~","~~"),"*","~*"),"?","~?"))&gt;1),1,0))</x:f>
        <x:v>0</x:v>
      </x:c>
      <x:c r="HM90" t="str">
        <x:f>IF('Calculations'!EM90="","",IF('Calculations'!HL90=1,"!UNRESOLVED",IF('Calculations'!IH90&lt;&gt;"",'Calculations'!IH90,IF('Calculations'!IG90&lt;&gt;"",'Calculations'!IG90,IF('Calculations'!IF90&lt;&gt;"",'Calculations'!IF90,IF('Calculations'!IE90&lt;&gt;"",'Calculations'!IE90,IF('Calculations'!ID90&lt;&gt;"",'Calculations'!ID90,IF('Calculations'!IC90&lt;&gt;"",'Calculations'!IC90,IF('Calculations'!IB90&lt;&gt;"",'Calculations'!IB90,IF('Calculations'!IA90&lt;&gt;"",'Calculations'!IA90,IF('Calculations'!HZ90&lt;&gt;"",'Calculations'!HZ90,IF('Calculations'!HY90&lt;&gt;"",'Calculations'!HY90,IF('Calculations'!HX90&lt;&gt;"",'Calculations'!HX90,IF('Calculations'!HW90&lt;&gt;"",'Calculations'!HW90,IF('Calculations'!HV90&lt;&gt;"",'Calculations'!HV90,IF('Calculations'!HU90&lt;&gt;"",'Calculations'!HU90,IF('Calculations'!HT90&lt;&gt;"",'Calculations'!HT90,IF('Calculations'!HS90&lt;&gt;"",'Calculations'!HS90,IF('Calculations'!HR90&lt;&gt;"",'Calculations'!HR90,IF('Calculations'!HQ90&lt;&gt;"",'Calculations'!HQ90,IF('Calculations'!HP90&lt;&gt;"",'Calculations'!HP90,IF('Calculations'!HO90&lt;&gt;"",'Calculations'!HO90,'Calculations'!HE90))))))))))))))))))))))</x:f>
      </x:c>
      <x:c r="HN90" t="str">
        <x:f>IF('Calculations'!EM90="","",IF(IFERROR(IF(INDEX(INDIRECT("'WCM Calibration Final'!$F$1:$F$2000"),'Calculations'!$EM90)="","",TRIM(INDEX(INDIRECT("'WCM Calibration Final'!$F$1:$F$2000"),'Calculations'!$EM90)&amp;"")),"")="","(Blank)",IFERROR(IF(INDEX(INDIRECT("'WCM Calibration Final'!$F$1:$F$2000"),'Calculations'!$EM90)="","",TRIM(INDEX(INDIRECT("'WCM Calibration Final'!$F$1:$F$2000"),'Calculations'!$EM90)&amp;"")),"")))</x:f>
      </x:c>
      <x:c r="HO90" t="str">
        <x:f>'Calculations'!HF90</x:f>
      </x:c>
      <x:c r="HP90" t="str">
        <x:f>IF('Calculations'!HO90="","",IF('Calculations'!HO90="!AMBIG","!AMBIG",IF(COUNTIF('Calculations'!$HE$13:$HE$512,"="&amp;SUBSTITUTE(SUBSTITUTE(SUBSTITUTE('Calculations'!HO90,"~","~~"),"*","~*"),"?","~?"))&gt;1,"!AMBIG",IFERROR(INDEX('Calculations'!$HF$13:$HF$512,MATCH('Calculations'!HO90,'Calculations'!$HE$13:$HE$512,0)),""))))</x:f>
      </x:c>
      <x:c r="HQ90" t="str">
        <x:f>IF('Calculations'!HP90="","",IF('Calculations'!HP90="!AMBIG","!AMBIG",IF(COUNTIF('Calculations'!$HE$13:$HE$512,"="&amp;SUBSTITUTE(SUBSTITUTE(SUBSTITUTE('Calculations'!HP90,"~","~~"),"*","~*"),"?","~?"))&gt;1,"!AMBIG",IFERROR(INDEX('Calculations'!$HF$13:$HF$512,MATCH('Calculations'!HP90,'Calculations'!$HE$13:$HE$512,0)),""))))</x:f>
      </x:c>
      <x:c r="HR90" t="str">
        <x:f>IF('Calculations'!HQ90="","",IF('Calculations'!HQ90="!AMBIG","!AMBIG",IF(COUNTIF('Calculations'!$HE$13:$HE$512,"="&amp;SUBSTITUTE(SUBSTITUTE(SUBSTITUTE('Calculations'!HQ90,"~","~~"),"*","~*"),"?","~?"))&gt;1,"!AMBIG",IFERROR(INDEX('Calculations'!$HF$13:$HF$512,MATCH('Calculations'!HQ90,'Calculations'!$HE$13:$HE$512,0)),""))))</x:f>
      </x:c>
      <x:c r="HS90" t="str">
        <x:f>IF('Calculations'!HR90="","",IF('Calculations'!HR90="!AMBIG","!AMBIG",IF(COUNTIF('Calculations'!$HE$13:$HE$512,"="&amp;SUBSTITUTE(SUBSTITUTE(SUBSTITUTE('Calculations'!HR90,"~","~~"),"*","~*"),"?","~?"))&gt;1,"!AMBIG",IFERROR(INDEX('Calculations'!$HF$13:$HF$512,MATCH('Calculations'!HR90,'Calculations'!$HE$13:$HE$512,0)),""))))</x:f>
      </x:c>
      <x:c r="HT90" t="str">
        <x:f>IF('Calculations'!HS90="","",IF('Calculations'!HS90="!AMBIG","!AMBIG",IF(COUNTIF('Calculations'!$HE$13:$HE$512,"="&amp;SUBSTITUTE(SUBSTITUTE(SUBSTITUTE('Calculations'!HS90,"~","~~"),"*","~*"),"?","~?"))&gt;1,"!AMBIG",IFERROR(INDEX('Calculations'!$HF$13:$HF$512,MATCH('Calculations'!HS90,'Calculations'!$HE$13:$HE$512,0)),""))))</x:f>
      </x:c>
      <x:c r="HU90" t="str">
        <x:f>IF('Calculations'!HT90="","",IF('Calculations'!HT90="!AMBIG","!AMBIG",IF(COUNTIF('Calculations'!$HE$13:$HE$512,"="&amp;SUBSTITUTE(SUBSTITUTE(SUBSTITUTE('Calculations'!HT90,"~","~~"),"*","~*"),"?","~?"))&gt;1,"!AMBIG",IFERROR(INDEX('Calculations'!$HF$13:$HF$512,MATCH('Calculations'!HT90,'Calculations'!$HE$13:$HE$512,0)),""))))</x:f>
      </x:c>
      <x:c r="HV90" t="str">
        <x:f>IF('Calculations'!HU90="","",IF('Calculations'!HU90="!AMBIG","!AMBIG",IF(COUNTIF('Calculations'!$HE$13:$HE$512,"="&amp;SUBSTITUTE(SUBSTITUTE(SUBSTITUTE('Calculations'!HU90,"~","~~"),"*","~*"),"?","~?"))&gt;1,"!AMBIG",IFERROR(INDEX('Calculations'!$HF$13:$HF$512,MATCH('Calculations'!HU90,'Calculations'!$HE$13:$HE$512,0)),""))))</x:f>
      </x:c>
      <x:c r="HW90" t="str">
        <x:f>IF('Calculations'!HV90="","",IF('Calculations'!HV90="!AMBIG","!AMBIG",IF(COUNTIF('Calculations'!$HE$13:$HE$512,"="&amp;SUBSTITUTE(SUBSTITUTE(SUBSTITUTE('Calculations'!HV90,"~","~~"),"*","~*"),"?","~?"))&gt;1,"!AMBIG",IFERROR(INDEX('Calculations'!$HF$13:$HF$512,MATCH('Calculations'!HV90,'Calculations'!$HE$13:$HE$512,0)),""))))</x:f>
      </x:c>
      <x:c r="HX90" t="str">
        <x:f>IF('Calculations'!HW90="","",IF('Calculations'!HW90="!AMBIG","!AMBIG",IF(COUNTIF('Calculations'!$HE$13:$HE$512,"="&amp;SUBSTITUTE(SUBSTITUTE(SUBSTITUTE('Calculations'!HW90,"~","~~"),"*","~*"),"?","~?"))&gt;1,"!AMBIG",IFERROR(INDEX('Calculations'!$HF$13:$HF$512,MATCH('Calculations'!HW90,'Calculations'!$HE$13:$HE$512,0)),""))))</x:f>
      </x:c>
      <x:c r="HY90" t="str">
        <x:f>IF('Calculations'!HX90="","",IF('Calculations'!HX90="!AMBIG","!AMBIG",IF(COUNTIF('Calculations'!$HE$13:$HE$512,"="&amp;SUBSTITUTE(SUBSTITUTE(SUBSTITUTE('Calculations'!HX90,"~","~~"),"*","~*"),"?","~?"))&gt;1,"!AMBIG",IFERROR(INDEX('Calculations'!$HF$13:$HF$512,MATCH('Calculations'!HX90,'Calculations'!$HE$13:$HE$512,0)),""))))</x:f>
      </x:c>
      <x:c r="HZ90" t="str">
        <x:f>IF('Calculations'!HY90="","",IF('Calculations'!HY90="!AMBIG","!AMBIG",IF(COUNTIF('Calculations'!$HE$13:$HE$512,"="&amp;SUBSTITUTE(SUBSTITUTE(SUBSTITUTE('Calculations'!HY90,"~","~~"),"*","~*"),"?","~?"))&gt;1,"!AMBIG",IFERROR(INDEX('Calculations'!$HF$13:$HF$512,MATCH('Calculations'!HY90,'Calculations'!$HE$13:$HE$512,0)),""))))</x:f>
      </x:c>
      <x:c r="IA90" t="str">
        <x:f>IF('Calculations'!HZ90="","",IF('Calculations'!HZ90="!AMBIG","!AMBIG",IF(COUNTIF('Calculations'!$HE$13:$HE$512,"="&amp;SUBSTITUTE(SUBSTITUTE(SUBSTITUTE('Calculations'!HZ90,"~","~~"),"*","~*"),"?","~?"))&gt;1,"!AMBIG",IFERROR(INDEX('Calculations'!$HF$13:$HF$512,MATCH('Calculations'!HZ90,'Calculations'!$HE$13:$HE$512,0)),""))))</x:f>
      </x:c>
      <x:c r="IB90" t="str">
        <x:f>IF('Calculations'!IA90="","",IF('Calculations'!IA90="!AMBIG","!AMBIG",IF(COUNTIF('Calculations'!$HE$13:$HE$512,"="&amp;SUBSTITUTE(SUBSTITUTE(SUBSTITUTE('Calculations'!IA90,"~","~~"),"*","~*"),"?","~?"))&gt;1,"!AMBIG",IFERROR(INDEX('Calculations'!$HF$13:$HF$512,MATCH('Calculations'!IA90,'Calculations'!$HE$13:$HE$512,0)),""))))</x:f>
      </x:c>
      <x:c r="IC90" t="str">
        <x:f>IF('Calculations'!IB90="","",IF('Calculations'!IB90="!AMBIG","!AMBIG",IF(COUNTIF('Calculations'!$HE$13:$HE$512,"="&amp;SUBSTITUTE(SUBSTITUTE(SUBSTITUTE('Calculations'!IB90,"~","~~"),"*","~*"),"?","~?"))&gt;1,"!AMBIG",IFERROR(INDEX('Calculations'!$HF$13:$HF$512,MATCH('Calculations'!IB90,'Calculations'!$HE$13:$HE$512,0)),""))))</x:f>
      </x:c>
      <x:c r="ID90" t="str">
        <x:f>IF('Calculations'!IC90="","",IF('Calculations'!IC90="!AMBIG","!AMBIG",IF(COUNTIF('Calculations'!$HE$13:$HE$512,"="&amp;SUBSTITUTE(SUBSTITUTE(SUBSTITUTE('Calculations'!IC90,"~","~~"),"*","~*"),"?","~?"))&gt;1,"!AMBIG",IFERROR(INDEX('Calculations'!$HF$13:$HF$512,MATCH('Calculations'!IC90,'Calculations'!$HE$13:$HE$512,0)),""))))</x:f>
      </x:c>
      <x:c r="IE90" t="str">
        <x:f>IF('Calculations'!ID90="","",IF('Calculations'!ID90="!AMBIG","!AMBIG",IF(COUNTIF('Calculations'!$HE$13:$HE$512,"="&amp;SUBSTITUTE(SUBSTITUTE(SUBSTITUTE('Calculations'!ID90,"~","~~"),"*","~*"),"?","~?"))&gt;1,"!AMBIG",IFERROR(INDEX('Calculations'!$HF$13:$HF$512,MATCH('Calculations'!ID90,'Calculations'!$HE$13:$HE$512,0)),""))))</x:f>
      </x:c>
      <x:c r="IF90" t="str">
        <x:f>IF('Calculations'!IE90="","",IF('Calculations'!IE90="!AMBIG","!AMBIG",IF(COUNTIF('Calculations'!$HE$13:$HE$512,"="&amp;SUBSTITUTE(SUBSTITUTE(SUBSTITUTE('Calculations'!IE90,"~","~~"),"*","~*"),"?","~?"))&gt;1,"!AMBIG",IFERROR(INDEX('Calculations'!$HF$13:$HF$512,MATCH('Calculations'!IE90,'Calculations'!$HE$13:$HE$512,0)),""))))</x:f>
      </x:c>
      <x:c r="IG90" t="str">
        <x:f>IF('Calculations'!IF90="","",IF('Calculations'!IF90="!AMBIG","!AMBIG",IF(COUNTIF('Calculations'!$HE$13:$HE$512,"="&amp;SUBSTITUTE(SUBSTITUTE(SUBSTITUTE('Calculations'!IF90,"~","~~"),"*","~*"),"?","~?"))&gt;1,"!AMBIG",IFERROR(INDEX('Calculations'!$HF$13:$HF$512,MATCH('Calculations'!IF90,'Calculations'!$HE$13:$HE$512,0)),""))))</x:f>
      </x:c>
      <x:c r="IH90" t="str">
        <x:f>IF('Calculations'!IG90="","",IF('Calculations'!IG90="!AMBIG","!AMBIG",IF(COUNTIF('Calculations'!$HE$13:$HE$512,"="&amp;SUBSTITUTE(SUBSTITUTE(SUBSTITUTE('Calculations'!IG90,"~","~~"),"*","~*"),"?","~?"))&gt;1,"!AMBIG",IFERROR(INDEX('Calculations'!$HF$13:$HF$512,MATCH('Calculations'!IG90,'Calculations'!$HE$13:$HE$512,0)),""))))</x:f>
      </x:c>
      <x:c r="II90" t="str">
        <x:f>IF('Calculations'!IH90="","",IF('Calculations'!IH90="!AMBIG","!AMBIG",IF(COUNTIF('Calculations'!$HE$13:$HE$512,"="&amp;SUBSTITUTE(SUBSTITUTE(SUBSTITUTE('Calculations'!IH90,"~","~~"),"*","~*"),"?","~?"))&gt;1,"!AMBIG",IFERROR(INDEX('Calculations'!$HF$13:$HF$512,MATCH('Calculations'!IH90,'Calculations'!$HE$13:$HE$512,0)),""))))</x:f>
      </x:c>
      <x:c r="IJ90" t="str">
        <x:f>IF('Calculations'!EM90="","",IF('Calculations'!$EF$2="All",'Calculations'!HM90,IF('Calculations'!HL90=1,"",IFERROR(IF(MATCH('Calculations'!$EF$2,'Calculations'!HO90:II90,0)=1,'Calculations'!HE90,INDEX('Calculations'!HO90:II90,1,MATCH('Calculations'!$EF$2,'Calculations'!HO90:II90,0)-1)),""))))</x:f>
      </x:c>
      <x:c r="IK90" t="n">
        <x:f>IF(AND('Calculations'!EM90&lt;&gt;"",'Calculations'!$EF$2&lt;&gt;"All",'Calculations'!HF90='Calculations'!$EF$2,'Calculations'!HL90=0,'Calculations'!JD90&gt;0),MAX('Calculations'!$IK$12:IK89)+1,0)</x:f>
        <x:v>0</x:v>
      </x:c>
      <x:c r="JA90" t="n">
        <x:f>IF(OR(IFERROR(INDIRECT("'WCM Calibration Final'!$A$90")&lt;&gt;"",FALSE),IFERROR(INDIRECT("'WCM Calibration Final'!$B$90")&lt;&gt;"",FALSE),IFERROR(INDIRECT("'WCM Calibration Final'!$C$90")&lt;&gt;"",FALSE)),90,0)</x:f>
        <x:v>0</x:v>
      </x:c>
      <x:c r="JB90" t="n">
        <x:f>'Calculations'!JB89+IF('Calculations'!JA90&gt;0,1,0)</x:f>
        <x:v>0</x:v>
      </x:c>
      <x:c r="JC90" t="n">
        <x:f>IF(OR('Calculations'!HF90="",'Calculations'!HF90="!AMBIG"),0,IF('Dashboard'!$B$7="All",1,COUNTIFS('Calculations'!$HO$13:$HO$512,"="&amp;SUBSTITUTE(SUBSTITUTE(SUBSTITUTE('Calculations'!HF90,"~","~~"),"*","~*"),"?","~?"),'Calculations'!$HN$13:$HN$512,"="&amp;SUBSTITUTE(SUBSTITUTE(SUBSTITUTE('Dashboard'!$B$7,"~","~~"),"*","~*"),"?","~?"))+COUNTIFS('Calculations'!$HP$13:$HP$512,"="&amp;SUBSTITUTE(SUBSTITUTE(SUBSTITUTE('Calculations'!HF90,"~","~~"),"*","~*"),"?","~?"),'Calculations'!$HN$13:$HN$512,"="&amp;SUBSTITUTE(SUBSTITUTE(SUBSTITUTE('Dashboard'!$B$7,"~","~~"),"*","~*"),"?","~?"))+COUNTIFS('Calculations'!$HQ$13:$HQ$512,"="&amp;SUBSTITUTE(SUBSTITUTE(SUBSTITUTE('Calculations'!HF90,"~","~~"),"*","~*"),"?","~?"),'Calculations'!$HN$13:$HN$512,"="&amp;SUBSTITUTE(SUBSTITUTE(SUBSTITUTE('Dashboard'!$B$7,"~","~~"),"*","~*"),"?","~?"))+COUNTIFS('Calculations'!$HR$13:$HR$512,"="&amp;SUBSTITUTE(SUBSTITUTE(SUBSTITUTE('Calculations'!HF90,"~","~~"),"*","~*"),"?","~?"),'Calculations'!$HN$13:$HN$512,"="&amp;SUBSTITUTE(SUBSTITUTE(SUBSTITUTE('Dashboard'!$B$7,"~","~~"),"*","~*"),"?","~?"))+COUNTIFS('Calculations'!$HS$13:$HS$512,"="&amp;SUBSTITUTE(SUBSTITUTE(SUBSTITUTE('Calculations'!HF90,"~","~~"),"*","~*"),"?","~?"),'Calculations'!$HN$13:$HN$512,"="&amp;SUBSTITUTE(SUBSTITUTE(SUBSTITUTE('Dashboard'!$B$7,"~","~~"),"*","~*"),"?","~?"))+COUNTIFS('Calculations'!$HT$13:$HT$512,"="&amp;SUBSTITUTE(SUBSTITUTE(SUBSTITUTE('Calculations'!HF90,"~","~~"),"*","~*"),"?","~?"),'Calculations'!$HN$13:$HN$512,"="&amp;SUBSTITUTE(SUBSTITUTE(SUBSTITUTE('Dashboard'!$B$7,"~","~~"),"*","~*"),"?","~?"))+COUNTIFS('Calculations'!$HU$13:$HU$512,"="&amp;SUBSTITUTE(SUBSTITUTE(SUBSTITUTE('Calculations'!HF90,"~","~~"),"*","~*"),"?","~?"),'Calculations'!$HN$13:$HN$512,"="&amp;SUBSTITUTE(SUBSTITUTE(SUBSTITUTE('Dashboard'!$B$7,"~","~~"),"*","~*"),"?","~?"))+COUNTIFS('Calculations'!$HV$13:$HV$512,"="&amp;SUBSTITUTE(SUBSTITUTE(SUBSTITUTE('Calculations'!HF90,"~","~~"),"*","~*"),"?","~?"),'Calculations'!$HN$13:$HN$512,"="&amp;SUBSTITUTE(SUBSTITUTE(SUBSTITUTE('Dashboard'!$B$7,"~","~~"),"*","~*"),"?","~?"))+COUNTIFS('Calculations'!$HW$13:$HW$512,"="&amp;SUBSTITUTE(SUBSTITUTE(SUBSTITUTE('Calculations'!HF90,"~","~~"),"*","~*"),"?","~?"),'Calculations'!$HN$13:$HN$512,"="&amp;SUBSTITUTE(SUBSTITUTE(SUBSTITUTE('Dashboard'!$B$7,"~","~~"),"*","~*"),"?","~?"))+COUNTIFS('Calculations'!$HX$13:$HX$512,"="&amp;SUBSTITUTE(SUBSTITUTE(SUBSTITUTE('Calculations'!HF90,"~","~~"),"*","~*"),"?","~?"),'Calculations'!$HN$13:$HN$512,"="&amp;SUBSTITUTE(SUBSTITUTE(SUBSTITUTE('Dashboard'!$B$7,"~","~~"),"*","~*"),"?","~?"))+COUNTIFS('Calculations'!$HY$13:$HY$512,"="&amp;SUBSTITUTE(SUBSTITUTE(SUBSTITUTE('Calculations'!HF90,"~","~~"),"*","~*"),"?","~?"),'Calculations'!$HN$13:$HN$512,"="&amp;SUBSTITUTE(SUBSTITUTE(SUBSTITUTE('Dashboard'!$B$7,"~","~~"),"*","~*"),"?","~?"))+COUNTIFS('Calculations'!$HZ$13:$HZ$512,"="&amp;SUBSTITUTE(SUBSTITUTE(SUBSTITUTE('Calculations'!HF90,"~","~~"),"*","~*"),"?","~?"),'Calculations'!$HN$13:$HN$512,"="&amp;SUBSTITUTE(SUBSTITUTE(SUBSTITUTE('Dashboard'!$B$7,"~","~~"),"*","~*"),"?","~?"))+COUNTIFS('Calculations'!$IA$13:$IA$512,"="&amp;SUBSTITUTE(SUBSTITUTE(SUBSTITUTE('Calculations'!HF90,"~","~~"),"*","~*"),"?","~?"),'Calculations'!$HN$13:$HN$512,"="&amp;SUBSTITUTE(SUBSTITUTE(SUBSTITUTE('Dashboard'!$B$7,"~","~~"),"*","~*"),"?","~?"))+COUNTIFS('Calculations'!$IB$13:$IB$512,"="&amp;SUBSTITUTE(SUBSTITUTE(SUBSTITUTE('Calculations'!HF90,"~","~~"),"*","~*"),"?","~?"),'Calculations'!$HN$13:$HN$512,"="&amp;SUBSTITUTE(SUBSTITUTE(SUBSTITUTE('Dashboard'!$B$7,"~","~~"),"*","~*"),"?","~?"))+COUNTIFS('Calculations'!$IC$13:$IC$512,"="&amp;SUBSTITUTE(SUBSTITUTE(SUBSTITUTE('Calculations'!HF90,"~","~~"),"*","~*"),"?","~?"),'Calculations'!$HN$13:$HN$512,"="&amp;SUBSTITUTE(SUBSTITUTE(SUBSTITUTE('Dashboard'!$B$7,"~","~~"),"*","~*"),"?","~?"))+COUNTIFS('Calculations'!$ID$13:$ID$512,"="&amp;SUBSTITUTE(SUBSTITUTE(SUBSTITUTE('Calculations'!HF90,"~","~~"),"*","~*"),"?","~?"),'Calculations'!$HN$13:$HN$512,"="&amp;SUBSTITUTE(SUBSTITUTE(SUBSTITUTE('Dashboard'!$B$7,"~","~~"),"*","~*"),"?","~?"))+COUNTIFS('Calculations'!$IE$13:$IE$512,"="&amp;SUBSTITUTE(SUBSTITUTE(SUBSTITUTE('Calculations'!HF90,"~","~~"),"*","~*"),"?","~?"),'Calculations'!$HN$13:$HN$512,"="&amp;SUBSTITUTE(SUBSTITUTE(SUBSTITUTE('Dashboard'!$B$7,"~","~~"),"*","~*"),"?","~?"))+COUNTIFS('Calculations'!$IF$13:$IF$512,"="&amp;SUBSTITUTE(SUBSTITUTE(SUBSTITUTE('Calculations'!HF90,"~","~~"),"*","~*"),"?","~?"),'Calculations'!$HN$13:$HN$512,"="&amp;SUBSTITUTE(SUBSTITUTE(SUBSTITUTE('Dashboard'!$B$7,"~","~~"),"*","~*"),"?","~?"))+COUNTIFS('Calculations'!$IG$13:$IG$512,"="&amp;SUBSTITUTE(SUBSTITUTE(SUBSTITUTE('Calculations'!HF90,"~","~~"),"*","~*"),"?","~?"),'Calculations'!$HN$13:$HN$512,"="&amp;SUBSTITUTE(SUBSTITUTE(SUBSTITUTE('Dashboard'!$B$7,"~","~~"),"*","~*"),"?","~?"))+COUNTIFS('Calculations'!$IH$13:$IH$512,"="&amp;SUBSTITUTE(SUBSTITUTE(SUBSTITUTE('Calculations'!HF90,"~","~~"),"*","~*"),"?","~?"),'Calculations'!$HN$13:$HN$512,"="&amp;SUBSTITUTE(SUBSTITUTE(SUBSTITUTE('Dashboard'!$B$7,"~","~~"),"*","~*"),"?","~?"))))</x:f>
        <x:v>0</x:v>
      </x:c>
      <x:c r="JD90" t="n">
        <x:f>IF('Calculations'!EM90="",0,IF('Dashboard'!$B$7="All",1,IF('Calculations'!HN90='Dashboard'!$B$7,1,0)+IFERROR(INDEX('Calculations'!$JC$13:$JC$512,MATCH('Calculations'!HE90,'Calculations'!$HF$13:$HF$512,0)),0)))</x:f>
        <x:v>0</x:v>
      </x:c>
      <x:c r="JE90" t="n">
        <x:f>IF(AND('Calculations'!EM90&lt;&gt;"",'Calculations'!$JJ$2&lt;&gt;"All",'Calculations'!$JJ$2&lt;&gt;"",'Calculations'!HF90='Calculations'!$JJ$2,'Calculations'!HL90=0,'Calculations'!JD90&gt;0),MAX('Calculations'!$JE$12:JE89)+1,0)</x:f>
        <x:v>0</x:v>
      </x:c>
      <x:c r="JF90" t="str">
        <x:f>IF('Calculations'!EM90="","",IFERROR(IF(INDEX(INDIRECT("'WCM Calibration Final'!$G$1:$G$2000"),'Calculations'!$EM90)="","",TRIM(INDEX(INDIRECT("'WCM Calibration Final'!$G$1:$G$2000"),'Calculations'!$EM90)&amp;"")),""))</x:f>
      </x:c>
      <x:c r="JQ90" t="n">
        <x:f>IF(OR('Calculations'!BM90=0,NOT('Calculations'!$AG$2),'Calculations'!$AG$8&gt;0),0,IF(OR('Dashboard'!$B$7="All",'Calculations'!HN90='Dashboard'!$B$7),IF('Calculations'!$JJ$2="All",1,IF(AND('Calculations'!HF90='Calculations'!$JJ$2,'Calculations'!HL90=0),1,0)),0))</x:f>
        <x:v>0</x:v>
      </x:c>
    </x:row>
    <x:row r="91">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t="n">
        <x:f>IF('Calculations'!$EM91="",0,IF(OR(IFERROR(INDEX(INDIRECT("'WCM Calibration Final'!$A$1:$A$2000"),'Calculations'!$EM91)&lt;&gt;"",FALSE),IFERROR(INDEX(INDIRECT("'WCM Calibration Final'!$B$1:$B$2000"),'Calculations'!$EM91)&lt;&gt;"",FALSE),IFERROR(INDEX(INDIRECT("'WCM Calibration Final'!$C$1:$C$2000"),'Calculations'!$EM91)&lt;&gt;"",FALSE)),1,0))</x:f>
        <x:v>0</x:v>
      </x:c>
      <x:c r="BN91" s="4" t="n">
        <x:f>IF(AND('Calculations'!BM91=1,'Calculations'!$AG$2,'Calculations'!$EN91=1),1,0)</x:f>
        <x:v>0</x:v>
      </x:c>
      <x:c r="BO91" s="4" t="str">
        <x:f>IF('Calculations'!BM91=0,"",IFERROR(IF(AND(VALUE(INDEX(INDIRECT("'WCM Calibration Final'!$K$1:$K$2000"),'Calculations'!$EM91))&gt;=1,VALUE(INDEX(INDIRECT("'WCM Calibration Final'!$K$1:$K$2000"),'Calculations'!$EM91))&lt;=4,MOD(VALUE(INDEX(INDIRECT("'WCM Calibration Final'!$K$1:$K$2000"),'Calculations'!$EM91)),1)=0),VALUE(INDEX(INDIRECT("'WCM Calibration Final'!$K$1:$K$2000"),'Calculations'!$EM91)),""),""))</x:f>
      </x:c>
      <x:c r="BP91" s="4" t="str">
        <x:f>IF('Calculations'!BM91=0,"",IFERROR(IF(AND(VALUE(INDEX(INDIRECT("'WCM Calibration Final'!$L$1:$L$2000"),'Calculations'!$EM91))&gt;=1,VALUE(INDEX(INDIRECT("'WCM Calibration Final'!$L$1:$L$2000"),'Calculations'!$EM91))&lt;=4,MOD(VALUE(INDEX(INDIRECT("'WCM Calibration Final'!$L$1:$L$2000"),'Calculations'!$EM91)),1)=0),VALUE(INDEX(INDIRECT("'WCM Calibration Final'!$L$1:$L$2000"),'Calculations'!$EM91)),""),""))</x:f>
      </x:c>
      <x:c r="BQ91" s="4"/>
      <x:c r="BR91" s="4"/>
      <x:c r="BS91" s="4"/>
      <x:c r="BT91" s="4" t="n">
        <x:f>IF(AND('Calculations'!BM91=1,ISNUMBER('Calculations'!BO91),ISNUMBER('Calculations'!BP91)),1,0)</x:f>
        <x:v>0</x:v>
      </x:c>
      <x:c r="BU91" s="4" t="str">
        <x:f>IF('Calculations'!BM91=0,"",'Calculations'!$EO91)</x:f>
      </x:c>
      <x:c r="BV91" s="4" t="str">
        <x:f>IF('Calculations'!BM91=0,"",IFERROR(IF(OR(INDEX(INDIRECT("'WCM Calibration Final'!$H$1:$H$2000"),'Calculations'!$EM91)="MANAGING DIRECTOR",INDEX(INDIRECT("'WCM Calibration Final'!$H$1:$H$2000"),'Calculations'!$EM91)="DIRECTOR",INDEX(INDIRECT("'WCM Calibration Final'!$H$1:$H$2000"),'Calculations'!$EM91)="SENIOR VICE PRESIDENT",INDEX(INDIRECT("'WCM Calibration Final'!$H$1:$H$2000"),'Calculations'!$EM91)="VICE PRESIDENT",INDEX(INDIRECT("'WCM Calibration Final'!$H$1:$H$2000"),'Calculations'!$EM91)="ASSISTANT VICE PRESIDENT",INDEX(INDIRECT("'WCM Calibration Final'!$H$1:$H$2000"),'Calculations'!$EM91)="OFFICER"),UPPER(INDEX(INDIRECT("'WCM Calibration Final'!$H$1:$H$2000"),'Calculations'!$EM91)),"Other"),"Other"))</x:f>
      </x:c>
      <x:c r="BW91" s="4"/>
      <x:c r="BX91" s="4"/>
      <x:c r="BY91" s="4" t="n">
        <x:f>IF(AND('Calculations'!BM91=1,'Calculations'!BU91&lt;&gt;"",COUNTIF('Calculations'!$BU$12:BU91,'Calculations'!BU91)=1),MAX('Calculations'!$BY$11:BY90)+1,0)</x:f>
        <x:v>0</x:v>
      </x:c>
      <x:c r="BZ91" s="4" t="str">
        <x:f>IF('Dashboard'!$E$67="What",'Calculations'!BO91,'Calculations'!BP91)</x:f>
      </x:c>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t="str">
        <x:f>IF(80&gt;MAX('Calculations'!$HI$13:$HI$512),"",INDEX('Calculations'!$HN$13:$HN$512,MATCH(80,'Calculations'!$HI$13:$HI$512,0)))</x:f>
      </x:c>
      <x:c r="DB91" s="4" t="str">
        <x:f>IF(80&gt;MAX('Calculations'!$HH$13:$HH$512),"",INDEX('Calculations'!$HJ$13:$HJ$512,MATCH(80,'Calculations'!$HH$13:$HH$512,0)))</x:f>
      </x:c>
      <x:c r="DC91" s="4" t="str">
        <x:f>IF(ROW()-11&gt;MAX('Calculations'!$BY$13:$BY$512),"",INDEX('Calculations'!$BU$13:$BU$512,MATCH(ROW()-11,'Calculations'!$BY$13:$BY$512,0)))</x:f>
      </x:c>
      <x:c r="DD91" s="4" t="str">
        <x:f>IF(80&gt;MAX('Calculations'!$IK$13:$IK$512),"",INDEX('Calculations'!$HK$13:$HK$512,MATCH(80,'Calculations'!$IK$13:$IK$512,0)))</x:f>
      </x:c>
      <x:c r="DE91" s="4" t="str">
        <x:f>'Calculations'!DC91</x:f>
      </x:c>
      <x:c r="DF91" s="4" t="str">
        <x:f>IF('Calculations'!DE91="","",COUNTIFS('Calculations'!$BN$13:$BN$512,1,'Calculations'!$BU$13:$BU$512,'Calculations'!DE91))</x:f>
      </x:c>
      <x:c r="DG91" s="4" t="str">
        <x:f>IF('Calculations'!DE91="","",COUNTIFS('Calculations'!$BN$13:$BN$512,1,'Calculations'!$BU$13:$BU$512,'Calculations'!DE91,'Calculations'!$BT$13:$BT$512,1))</x:f>
      </x:c>
      <x:c r="DH91" s="4" t="str">
        <x:f>IF('Calculations'!DE91="","",'Calculations'!DF91-'Calculations'!DG91)</x:f>
      </x:c>
      <x:c r="DI91" s="4" t="str">
        <x:f>IF(OR('Calculations'!DE91="",'Calculations'!DF91=0),"",'Calculations'!DG91/'Calculations'!DF91)</x:f>
      </x:c>
      <x:c r="DJ91" s="4" t="str">
        <x:f>IF('Calculations'!DE91="","",COUNTIFS('Calculations'!$BN$13:$BN$512,1,'Calculations'!$BU$13:$BU$512,'Calculations'!DE91,'Calculations'!$BT$13:$BT$512,1,'Calculations'!$EE$13:$EE$512,"High"))</x:f>
      </x:c>
      <x:c r="DK91" s="4" t="str">
        <x:f>IF('Calculations'!DE91="","",COUNTIFS('Calculations'!$BN$13:$BN$512,1,'Calculations'!$BU$13:$BU$512,'Calculations'!DE91,'Calculations'!$BT$13:$BT$512,1,'Calculations'!$EE$13:$EE$512,"Strong"))</x:f>
      </x:c>
      <x:c r="DL91" s="4" t="str">
        <x:f>IF('Calculations'!DE91="","",COUNTIFS('Calculations'!$BN$13:$BN$512,1,'Calculations'!$BU$13:$BU$512,'Calculations'!DE91,'Calculations'!$BT$13:$BT$512,1,'Calculations'!$EE$13:$EE$512,"Solid"))</x:f>
      </x:c>
      <x:c r="DM91" s="4" t="str">
        <x:f>IF('Calculations'!DE91="","",COUNTIFS('Calculations'!$BN$13:$BN$512,1,'Calculations'!$BU$13:$BU$512,'Calculations'!DE91,'Calculations'!$BT$13:$BT$512,1,'Calculations'!$EE$13:$EE$512,"Low"))</x:f>
      </x:c>
      <x:c r="DN91" s="4" t="str">
        <x:f>IF('Calculations'!DE91="","",COUNTIFS('Calculations'!$BN$13:$BN$512,1,'Calculations'!$BU$13:$BU$512,'Calculations'!DE91,'Calculations'!$EP$13:$EP$512,1))</x:f>
      </x:c>
      <x:c r="DO91" s="4" t="str">
        <x:f>IF(OR('Calculations'!DE91="",'Calculations'!DG91=0),"",('Calculations'!DJ91+'Calculations'!DK91)/'Calculations'!DG91)</x:f>
      </x:c>
      <x:c r="DP91" s="4" t="n">
        <x:f>IF(AND('Calculations'!DE91&lt;&gt;"",'Calculations'!DF91&gt;0),COUNTIF('Calculations'!$DF$12:DF91,"&gt;0"),0)</x:f>
        <x:v>0</x:v>
      </x:c>
      <x:c r="DQ91" s="4" t="str">
        <x:f>IF(80&gt;MAX('Calculations'!$HH$13:$HH$512),"",INDEX('Calculations'!$HF$13:$HF$512,MATCH(80,'Calculations'!$HH$13:$HH$512,0)))</x:f>
      </x:c>
      <x:c r="DR91" s="4" t="str">
        <x:f>IF(80&gt;MAX('Calculations'!$IK$13:$IK$512),"",INDEX('Calculations'!$HE$13:$HE$512,MATCH(80,'Calculations'!$IK$13:$IK$512,0)))</x:f>
      </x:c>
      <x:c r="DS91" s="4"/>
      <x:c r="DT91" s="4"/>
      <x:c r="DU91" s="4"/>
      <x:c r="DV91" s="4"/>
      <x:c r="DW91" s="4"/>
      <x:c r="DX91" s="4"/>
      <x:c r="DY91" s="4"/>
      <x:c r="DZ91" s="4"/>
      <x:c r="EA91" s="4"/>
      <x:c r="EB91" s="4"/>
      <x:c r="EC91" s="4"/>
      <x:c r="ED91" s="4"/>
      <x:c r="EE91" s="4" t="str">
        <x:f>IF('Calculations'!BT91=0,"Not Rated",IF(OR('Calculations'!BO91&gt;=4,'Calculations'!BP91&gt;=4),"Low",IF('Calculations'!BO91+'Calculations'!BP91&lt;=3,"High",IF('Calculations'!BO91+'Calculations'!BP91&lt;=4,"Strong","Solid"))))</x:f>
        <x:v>Not Rated</x:v>
      </x:c>
      <x:c r="EF91" s="4"/>
      <x:c r="EG91" s="4"/>
      <x:c r="EH91" s="4"/>
      <x:c r="EI91" s="4"/>
      <x:c r="EJ91" s="4"/>
      <x:c r="EK91" s="4"/>
      <x:c r="EL91" s="4"/>
      <x:c r="EM91" s="4" t="str">
        <x:f>IF(79&gt;'Calculations'!$JB$2000,"",INDEX('Calculations'!$JA$12:$JA$2000,MATCH(79,'Calculations'!$JB$12:$JB$2000,0)))</x:f>
      </x:c>
      <x:c r="EN91" s="4" t="n">
        <x:f>IF(OR('Calculations'!EM91="",'Calculations'!$AG$8&gt;0,AND('Calculations'!$EF$2&lt;&gt;"All",'Calculations'!HE91='Calculations'!$EF$2),AND('Calculations'!$EF$3&lt;&gt;"All",'Calculations'!HE91='Calculations'!$EF$3)),0,IF(OR('Dashboard'!$B$7="All",'Calculations'!HN91='Dashboard'!$B$7),IF('Calculations'!$EF$2="All",1,IF('Calculations'!HL91&gt;0,0,IF(COUNTIF('Calculations'!HO91:II91,"="&amp;SUBSTITUTE(SUBSTITUTE(SUBSTITUTE('Calculations'!$EF$2,"~","~~"),"*","~*"),"?","~?"))=0,0,IF('Calculations'!$EF$3="All",1,IF(COUNTIF('Calculations'!HO91:II91,"="&amp;SUBSTITUTE(SUBSTITUTE(SUBSTITUTE('Calculations'!$EF$3,"~","~~"),"*","~*"),"?","~?"))&gt;0,1,0))))),0))</x:f>
        <x:v>0</x:v>
      </x:c>
      <x:c r="EO91" s="4" t="str">
        <x:f>IF('Calculations'!IJ91="","",IF('Calculations'!IJ91="!UNRESOLVED","Unresolved hierarchy",IFERROR(INDEX('Calculations'!$HK$13:$HK$512,MATCH('Calculations'!IJ91,'Calculations'!$HE$13:$HE$512,0)),IFERROR(INDEX('Calculations'!$HJ$13:$HJ$512,MATCH('Calculations'!IJ91,'Calculations'!$HF$13:$HF$512,0)),'Calculations'!IJ91))))</x:f>
      </x:c>
      <x:c r="EP91" s="4" t="n">
        <x:f>IF(AND('Calculations'!EM91&lt;&gt;"",'Calculations'!HF91='Calculations'!IJ91),1,0)</x:f>
        <x:v>0</x:v>
      </x:c>
      <x:c r="EQ91" s="4"/>
      <x:c r="ER91" s="4"/>
      <x:c r="ES91" s="4"/>
      <x:c r="ET91" s="4"/>
      <x:c r="EU91" s="4"/>
      <x:c r="EV91" s="4"/>
      <x:c r="EW91" s="4"/>
      <x:c r="EX91" s="4"/>
      <x:c r="EY91" s="4"/>
      <x:c r="EZ91" s="4"/>
      <x:c r="FA91" s="4"/>
      <x:c r="FB91" s="4"/>
      <x:c r="FC91" s="4"/>
      <x:c r="FD91" s="4"/>
      <x:c r="FE91" s="4"/>
      <x:c r="FF91" s="4"/>
      <x:c r="FG91" s="4"/>
      <x:c r="FH91" s="4"/>
      <x:c r="FI91" s="4"/>
      <x:c r="FJ91" s="4"/>
      <x:c r="FK91" s="4"/>
      <x:c r="FL91" s="4"/>
      <x:c r="FM91" s="4"/>
      <x:c r="FN91" s="4"/>
      <x:c r="FO91" s="4"/>
      <x:c r="GA91" s="71"/>
      <x:c r="GB91" s="71"/>
      <x:c r="GC91" s="71"/>
      <x:c r="GD91" s="71"/>
      <x:c r="GE91" s="71"/>
      <x:c r="GF91" s="71"/>
      <x:c r="GG91" s="71"/>
      <x:c r="GH91" s="71"/>
      <x:c r="GI91" s="71"/>
      <x:c r="GJ91" s="71"/>
      <x:c r="GK91" s="71"/>
      <x:c r="GL91" s="71"/>
      <x:c r="GM91" s="71"/>
      <x:c r="GN91" s="71"/>
      <x:c r="GO91" s="71"/>
      <x:c r="GP91" s="71"/>
      <x:c r="GQ91" s="71"/>
      <x:c r="GR91" s="71"/>
      <x:c r="GS91" s="71"/>
      <x:c r="GT91" s="71"/>
      <x:c r="GU91" s="71"/>
      <x:c r="GV91" s="71"/>
      <x:c r="GW91" s="71"/>
      <x:c r="GX91" s="71"/>
      <x:c r="GY91" s="71"/>
      <x:c r="GZ91" s="71"/>
      <x:c r="HA91" s="71"/>
      <x:c r="HB91" s="71"/>
      <x:c r="HC91" s="71"/>
      <x:c r="HD91" s="71"/>
      <x:c r="HE91" t="str">
        <x:f>IF('Calculations'!EM91="","",IF(IFERROR(IF(INDEX(INDIRECT("'WCM Calibration Final'!$A$1:$A$2000"),'Calculations'!$EM91)="","",TRIM(INDEX(INDIRECT("'WCM Calibration Final'!$A$1:$A$2000"),'Calculations'!$EM91)&amp;"")),"")&lt;&gt;"","G:"&amp;IFERROR(TEXT(1*INDEX(INDIRECT("'WCM Calibration Final'!$A$1:$A$2000"),'Calculations'!$EM91),"0"),UPPER(IFERROR(IF(INDEX(INDIRECT("'WCM Calibration Final'!$A$1:$A$2000"),'Calculations'!$EM91)="","",TRIM(INDEX(INDIRECT("'WCM Calibration Final'!$A$1:$A$2000"),'Calculations'!$EM91)&amp;"")),""))),IF(IFERROR(IF(INDEX(INDIRECT("'WCM Calibration Final'!$C$1:$C$2000"),'Calculations'!$EM91)="","",TRIM(INDEX(INDIRECT("'WCM Calibration Final'!$C$1:$C$2000"),'Calculations'!$EM91)&amp;"")),"")&lt;&gt;"","S:"&amp;UPPER(IFERROR(IF(INDEX(INDIRECT("'WCM Calibration Final'!$C$1:$C$2000"),'Calculations'!$EM91)="","",TRIM(INDEX(INDIRECT("'WCM Calibration Final'!$C$1:$C$2000"),'Calculations'!$EM91)&amp;"")),"")),"R:"&amp;'Calculations'!EM91)))</x:f>
      </x:c>
      <x:c r="HF91" t="str">
        <x:f>IF('Calculations'!EM91="","",IF(IFERROR(IF(INDEX(INDIRECT("'WCM Calibration Final'!$D$1:$D$2000"),'Calculations'!$EM91)="","",TRIM(INDEX(INDIRECT("'WCM Calibration Final'!$D$1:$D$2000"),'Calculations'!$EM91)&amp;"")),"")&lt;&gt;"","G:"&amp;IFERROR(TEXT(1*INDEX(INDIRECT("'WCM Calibration Final'!$D$1:$D$2000"),'Calculations'!$EM91),"0"),UPPER(IFERROR(IF(INDEX(INDIRECT("'WCM Calibration Final'!$D$1:$D$2000"),'Calculations'!$EM91)="","",TRIM(INDEX(INDIRECT("'WCM Calibration Final'!$D$1:$D$2000"),'Calculations'!$EM91)&amp;"")),""))),IF(IFERROR(IF(INDEX(INDIRECT("'WCM Calibration Final'!$E$1:$E$2000"),'Calculations'!$EM91)="","",TRIM(INDEX(INDIRECT("'WCM Calibration Final'!$E$1:$E$2000"),'Calculations'!$EM91)&amp;"")),"")="","",IF(COUNTIF('Calculations'!$HG$13:$HG$512,"="&amp;SUBSTITUTE(SUBSTITUTE(SUBSTITUTE(IFERROR(IF(INDEX(INDIRECT("'WCM Calibration Final'!$E$1:$E$2000"),'Calculations'!$EM91)="","",TRIM(INDEX(INDIRECT("'WCM Calibration Final'!$E$1:$E$2000"),'Calculations'!$EM91)&amp;"")),""),"~","~~"),"*","~*"),"?","~?"))=1,INDEX('Calculations'!$HE$13:$HE$512,MATCH(IFERROR(IF(INDEX(INDIRECT("'WCM Calibration Final'!$E$1:$E$2000"),'Calculations'!$EM91)="","",TRIM(INDEX(INDIRECT("'WCM Calibration Final'!$E$1:$E$2000"),'Calculations'!$EM91)&amp;"")),""),'Calculations'!$HG$13:$HG$512,0)),IF(COUNTIF('Calculations'!$HG$13:$HG$512,"="&amp;SUBSTITUTE(SUBSTITUTE(SUBSTITUTE(IFERROR(IF(INDEX(INDIRECT("'WCM Calibration Final'!$E$1:$E$2000"),'Calculations'!$EM91)="","",TRIM(INDEX(INDIRECT("'WCM Calibration Final'!$E$1:$E$2000"),'Calculations'!$EM91)&amp;"")),""),"~","~~"),"*","~*"),"?","~?"))&gt;1,"!AMBIG","X:"&amp;IFERROR(IF(INDEX(INDIRECT("'WCM Calibration Final'!$E$1:$E$2000"),'Calculations'!$EM91)="","",TRIM(INDEX(INDIRECT("'WCM Calibration Final'!$E$1:$E$2000"),'Calculations'!$EM91)&amp;"")),""))))))</x:f>
      </x:c>
      <x:c r="HG91" t="str">
        <x:f>IF('Calculations'!EM91="","",IFERROR(IF(INDEX(INDIRECT("'WCM Calibration Final'!$B$1:$B$2000"),'Calculations'!$EM91)="","",TRIM(INDEX(INDIRECT("'WCM Calibration Final'!$B$1:$B$2000"),'Calculations'!$EM91)&amp;"")),""))</x:f>
      </x:c>
      <x:c r="HH91" t="n">
        <x:f>IF(AND('Calculations'!JC91&gt;0,COUNTIF('Calculations'!$HF$12:HF91,"="&amp;SUBSTITUTE(SUBSTITUTE(SUBSTITUTE('Calculations'!HF91,"~","~~"),"*","~*"),"?","~?"))=1),MAX('Calculations'!$HH$12:HH90)+1,0)</x:f>
        <x:v>0</x:v>
      </x:c>
      <x:c r="HI91" t="n">
        <x:f>IF(AND('Calculations'!HN91&lt;&gt;"",COUNTIF('Calculations'!$HN$12:HN91,"="&amp;SUBSTITUTE(SUBSTITUTE(SUBSTITUTE('Calculations'!HN91,"~","~~"),"*","~*"),"?","~?"))=1),MAX('Calculations'!$HI$12:HI90)+1,0)</x:f>
        <x:v>0</x:v>
      </x:c>
      <x:c r="HJ91" t="str">
        <x:f>IF('Calculations'!HF91="","",IF(COUNTIF('Calculations'!$HE$13:$HE$512,"="&amp;SUBSTITUTE(SUBSTITUTE(SUBSTITUTE('Calculations'!HF91,"~","~~"),"*","~*"),"?","~?"))=1,INDEX('Calculations'!$HK$13:$HK$512,MATCH('Calculations'!HF91,'Calculations'!$HE$13:$HE$512,0)),IFERROR(IF(INDEX(INDIRECT("'WCM Calibration Final'!$E$1:$E$2000"),'Calculations'!$EM91)="","",TRIM(INDEX(INDIRECT("'WCM Calibration Final'!$E$1:$E$2000"),'Calculations'!$EM91)&amp;"")),"")&amp;" ["&amp;'Calculations'!HF91&amp;"]"))</x:f>
      </x:c>
      <x:c r="HK91" t="str">
        <x:f>IF('Calculations'!EM91="","",'Calculations'!HG91&amp;" ["&amp;'Calculations'!HE91&amp;"]")</x:f>
      </x:c>
      <x:c r="HL91" t="n">
        <x:f>IF('Calculations'!EM91="",0,IF(OR('Calculations'!II91&lt;&gt;"",COUNTIF('Calculations'!$HE$13:$HE$512,"="&amp;SUBSTITUTE(SUBSTITUTE(SUBSTITUTE('Calculations'!HE91,"~","~~"),"*","~*"),"?","~?"))&gt;1),1,0))</x:f>
        <x:v>0</x:v>
      </x:c>
      <x:c r="HM91" t="str">
        <x:f>IF('Calculations'!EM91="","",IF('Calculations'!HL91=1,"!UNRESOLVED",IF('Calculations'!IH91&lt;&gt;"",'Calculations'!IH91,IF('Calculations'!IG91&lt;&gt;"",'Calculations'!IG91,IF('Calculations'!IF91&lt;&gt;"",'Calculations'!IF91,IF('Calculations'!IE91&lt;&gt;"",'Calculations'!IE91,IF('Calculations'!ID91&lt;&gt;"",'Calculations'!ID91,IF('Calculations'!IC91&lt;&gt;"",'Calculations'!IC91,IF('Calculations'!IB91&lt;&gt;"",'Calculations'!IB91,IF('Calculations'!IA91&lt;&gt;"",'Calculations'!IA91,IF('Calculations'!HZ91&lt;&gt;"",'Calculations'!HZ91,IF('Calculations'!HY91&lt;&gt;"",'Calculations'!HY91,IF('Calculations'!HX91&lt;&gt;"",'Calculations'!HX91,IF('Calculations'!HW91&lt;&gt;"",'Calculations'!HW91,IF('Calculations'!HV91&lt;&gt;"",'Calculations'!HV91,IF('Calculations'!HU91&lt;&gt;"",'Calculations'!HU91,IF('Calculations'!HT91&lt;&gt;"",'Calculations'!HT91,IF('Calculations'!HS91&lt;&gt;"",'Calculations'!HS91,IF('Calculations'!HR91&lt;&gt;"",'Calculations'!HR91,IF('Calculations'!HQ91&lt;&gt;"",'Calculations'!HQ91,IF('Calculations'!HP91&lt;&gt;"",'Calculations'!HP91,IF('Calculations'!HO91&lt;&gt;"",'Calculations'!HO91,'Calculations'!HE91))))))))))))))))))))))</x:f>
      </x:c>
      <x:c r="HN91" t="str">
        <x:f>IF('Calculations'!EM91="","",IF(IFERROR(IF(INDEX(INDIRECT("'WCM Calibration Final'!$F$1:$F$2000"),'Calculations'!$EM91)="","",TRIM(INDEX(INDIRECT("'WCM Calibration Final'!$F$1:$F$2000"),'Calculations'!$EM91)&amp;"")),"")="","(Blank)",IFERROR(IF(INDEX(INDIRECT("'WCM Calibration Final'!$F$1:$F$2000"),'Calculations'!$EM91)="","",TRIM(INDEX(INDIRECT("'WCM Calibration Final'!$F$1:$F$2000"),'Calculations'!$EM91)&amp;"")),"")))</x:f>
      </x:c>
      <x:c r="HO91" t="str">
        <x:f>'Calculations'!HF91</x:f>
      </x:c>
      <x:c r="HP91" t="str">
        <x:f>IF('Calculations'!HO91="","",IF('Calculations'!HO91="!AMBIG","!AMBIG",IF(COUNTIF('Calculations'!$HE$13:$HE$512,"="&amp;SUBSTITUTE(SUBSTITUTE(SUBSTITUTE('Calculations'!HO91,"~","~~"),"*","~*"),"?","~?"))&gt;1,"!AMBIG",IFERROR(INDEX('Calculations'!$HF$13:$HF$512,MATCH('Calculations'!HO91,'Calculations'!$HE$13:$HE$512,0)),""))))</x:f>
      </x:c>
      <x:c r="HQ91" t="str">
        <x:f>IF('Calculations'!HP91="","",IF('Calculations'!HP91="!AMBIG","!AMBIG",IF(COUNTIF('Calculations'!$HE$13:$HE$512,"="&amp;SUBSTITUTE(SUBSTITUTE(SUBSTITUTE('Calculations'!HP91,"~","~~"),"*","~*"),"?","~?"))&gt;1,"!AMBIG",IFERROR(INDEX('Calculations'!$HF$13:$HF$512,MATCH('Calculations'!HP91,'Calculations'!$HE$13:$HE$512,0)),""))))</x:f>
      </x:c>
      <x:c r="HR91" t="str">
        <x:f>IF('Calculations'!HQ91="","",IF('Calculations'!HQ91="!AMBIG","!AMBIG",IF(COUNTIF('Calculations'!$HE$13:$HE$512,"="&amp;SUBSTITUTE(SUBSTITUTE(SUBSTITUTE('Calculations'!HQ91,"~","~~"),"*","~*"),"?","~?"))&gt;1,"!AMBIG",IFERROR(INDEX('Calculations'!$HF$13:$HF$512,MATCH('Calculations'!HQ91,'Calculations'!$HE$13:$HE$512,0)),""))))</x:f>
      </x:c>
      <x:c r="HS91" t="str">
        <x:f>IF('Calculations'!HR91="","",IF('Calculations'!HR91="!AMBIG","!AMBIG",IF(COUNTIF('Calculations'!$HE$13:$HE$512,"="&amp;SUBSTITUTE(SUBSTITUTE(SUBSTITUTE('Calculations'!HR91,"~","~~"),"*","~*"),"?","~?"))&gt;1,"!AMBIG",IFERROR(INDEX('Calculations'!$HF$13:$HF$512,MATCH('Calculations'!HR91,'Calculations'!$HE$13:$HE$512,0)),""))))</x:f>
      </x:c>
      <x:c r="HT91" t="str">
        <x:f>IF('Calculations'!HS91="","",IF('Calculations'!HS91="!AMBIG","!AMBIG",IF(COUNTIF('Calculations'!$HE$13:$HE$512,"="&amp;SUBSTITUTE(SUBSTITUTE(SUBSTITUTE('Calculations'!HS91,"~","~~"),"*","~*"),"?","~?"))&gt;1,"!AMBIG",IFERROR(INDEX('Calculations'!$HF$13:$HF$512,MATCH('Calculations'!HS91,'Calculations'!$HE$13:$HE$512,0)),""))))</x:f>
      </x:c>
      <x:c r="HU91" t="str">
        <x:f>IF('Calculations'!HT91="","",IF('Calculations'!HT91="!AMBIG","!AMBIG",IF(COUNTIF('Calculations'!$HE$13:$HE$512,"="&amp;SUBSTITUTE(SUBSTITUTE(SUBSTITUTE('Calculations'!HT91,"~","~~"),"*","~*"),"?","~?"))&gt;1,"!AMBIG",IFERROR(INDEX('Calculations'!$HF$13:$HF$512,MATCH('Calculations'!HT91,'Calculations'!$HE$13:$HE$512,0)),""))))</x:f>
      </x:c>
      <x:c r="HV91" t="str">
        <x:f>IF('Calculations'!HU91="","",IF('Calculations'!HU91="!AMBIG","!AMBIG",IF(COUNTIF('Calculations'!$HE$13:$HE$512,"="&amp;SUBSTITUTE(SUBSTITUTE(SUBSTITUTE('Calculations'!HU91,"~","~~"),"*","~*"),"?","~?"))&gt;1,"!AMBIG",IFERROR(INDEX('Calculations'!$HF$13:$HF$512,MATCH('Calculations'!HU91,'Calculations'!$HE$13:$HE$512,0)),""))))</x:f>
      </x:c>
      <x:c r="HW91" t="str">
        <x:f>IF('Calculations'!HV91="","",IF('Calculations'!HV91="!AMBIG","!AMBIG",IF(COUNTIF('Calculations'!$HE$13:$HE$512,"="&amp;SUBSTITUTE(SUBSTITUTE(SUBSTITUTE('Calculations'!HV91,"~","~~"),"*","~*"),"?","~?"))&gt;1,"!AMBIG",IFERROR(INDEX('Calculations'!$HF$13:$HF$512,MATCH('Calculations'!HV91,'Calculations'!$HE$13:$HE$512,0)),""))))</x:f>
      </x:c>
      <x:c r="HX91" t="str">
        <x:f>IF('Calculations'!HW91="","",IF('Calculations'!HW91="!AMBIG","!AMBIG",IF(COUNTIF('Calculations'!$HE$13:$HE$512,"="&amp;SUBSTITUTE(SUBSTITUTE(SUBSTITUTE('Calculations'!HW91,"~","~~"),"*","~*"),"?","~?"))&gt;1,"!AMBIG",IFERROR(INDEX('Calculations'!$HF$13:$HF$512,MATCH('Calculations'!HW91,'Calculations'!$HE$13:$HE$512,0)),""))))</x:f>
      </x:c>
      <x:c r="HY91" t="str">
        <x:f>IF('Calculations'!HX91="","",IF('Calculations'!HX91="!AMBIG","!AMBIG",IF(COUNTIF('Calculations'!$HE$13:$HE$512,"="&amp;SUBSTITUTE(SUBSTITUTE(SUBSTITUTE('Calculations'!HX91,"~","~~"),"*","~*"),"?","~?"))&gt;1,"!AMBIG",IFERROR(INDEX('Calculations'!$HF$13:$HF$512,MATCH('Calculations'!HX91,'Calculations'!$HE$13:$HE$512,0)),""))))</x:f>
      </x:c>
      <x:c r="HZ91" t="str">
        <x:f>IF('Calculations'!HY91="","",IF('Calculations'!HY91="!AMBIG","!AMBIG",IF(COUNTIF('Calculations'!$HE$13:$HE$512,"="&amp;SUBSTITUTE(SUBSTITUTE(SUBSTITUTE('Calculations'!HY91,"~","~~"),"*","~*"),"?","~?"))&gt;1,"!AMBIG",IFERROR(INDEX('Calculations'!$HF$13:$HF$512,MATCH('Calculations'!HY91,'Calculations'!$HE$13:$HE$512,0)),""))))</x:f>
      </x:c>
      <x:c r="IA91" t="str">
        <x:f>IF('Calculations'!HZ91="","",IF('Calculations'!HZ91="!AMBIG","!AMBIG",IF(COUNTIF('Calculations'!$HE$13:$HE$512,"="&amp;SUBSTITUTE(SUBSTITUTE(SUBSTITUTE('Calculations'!HZ91,"~","~~"),"*","~*"),"?","~?"))&gt;1,"!AMBIG",IFERROR(INDEX('Calculations'!$HF$13:$HF$512,MATCH('Calculations'!HZ91,'Calculations'!$HE$13:$HE$512,0)),""))))</x:f>
      </x:c>
      <x:c r="IB91" t="str">
        <x:f>IF('Calculations'!IA91="","",IF('Calculations'!IA91="!AMBIG","!AMBIG",IF(COUNTIF('Calculations'!$HE$13:$HE$512,"="&amp;SUBSTITUTE(SUBSTITUTE(SUBSTITUTE('Calculations'!IA91,"~","~~"),"*","~*"),"?","~?"))&gt;1,"!AMBIG",IFERROR(INDEX('Calculations'!$HF$13:$HF$512,MATCH('Calculations'!IA91,'Calculations'!$HE$13:$HE$512,0)),""))))</x:f>
      </x:c>
      <x:c r="IC91" t="str">
        <x:f>IF('Calculations'!IB91="","",IF('Calculations'!IB91="!AMBIG","!AMBIG",IF(COUNTIF('Calculations'!$HE$13:$HE$512,"="&amp;SUBSTITUTE(SUBSTITUTE(SUBSTITUTE('Calculations'!IB91,"~","~~"),"*","~*"),"?","~?"))&gt;1,"!AMBIG",IFERROR(INDEX('Calculations'!$HF$13:$HF$512,MATCH('Calculations'!IB91,'Calculations'!$HE$13:$HE$512,0)),""))))</x:f>
      </x:c>
      <x:c r="ID91" t="str">
        <x:f>IF('Calculations'!IC91="","",IF('Calculations'!IC91="!AMBIG","!AMBIG",IF(COUNTIF('Calculations'!$HE$13:$HE$512,"="&amp;SUBSTITUTE(SUBSTITUTE(SUBSTITUTE('Calculations'!IC91,"~","~~"),"*","~*"),"?","~?"))&gt;1,"!AMBIG",IFERROR(INDEX('Calculations'!$HF$13:$HF$512,MATCH('Calculations'!IC91,'Calculations'!$HE$13:$HE$512,0)),""))))</x:f>
      </x:c>
      <x:c r="IE91" t="str">
        <x:f>IF('Calculations'!ID91="","",IF('Calculations'!ID91="!AMBIG","!AMBIG",IF(COUNTIF('Calculations'!$HE$13:$HE$512,"="&amp;SUBSTITUTE(SUBSTITUTE(SUBSTITUTE('Calculations'!ID91,"~","~~"),"*","~*"),"?","~?"))&gt;1,"!AMBIG",IFERROR(INDEX('Calculations'!$HF$13:$HF$512,MATCH('Calculations'!ID91,'Calculations'!$HE$13:$HE$512,0)),""))))</x:f>
      </x:c>
      <x:c r="IF91" t="str">
        <x:f>IF('Calculations'!IE91="","",IF('Calculations'!IE91="!AMBIG","!AMBIG",IF(COUNTIF('Calculations'!$HE$13:$HE$512,"="&amp;SUBSTITUTE(SUBSTITUTE(SUBSTITUTE('Calculations'!IE91,"~","~~"),"*","~*"),"?","~?"))&gt;1,"!AMBIG",IFERROR(INDEX('Calculations'!$HF$13:$HF$512,MATCH('Calculations'!IE91,'Calculations'!$HE$13:$HE$512,0)),""))))</x:f>
      </x:c>
      <x:c r="IG91" t="str">
        <x:f>IF('Calculations'!IF91="","",IF('Calculations'!IF91="!AMBIG","!AMBIG",IF(COUNTIF('Calculations'!$HE$13:$HE$512,"="&amp;SUBSTITUTE(SUBSTITUTE(SUBSTITUTE('Calculations'!IF91,"~","~~"),"*","~*"),"?","~?"))&gt;1,"!AMBIG",IFERROR(INDEX('Calculations'!$HF$13:$HF$512,MATCH('Calculations'!IF91,'Calculations'!$HE$13:$HE$512,0)),""))))</x:f>
      </x:c>
      <x:c r="IH91" t="str">
        <x:f>IF('Calculations'!IG91="","",IF('Calculations'!IG91="!AMBIG","!AMBIG",IF(COUNTIF('Calculations'!$HE$13:$HE$512,"="&amp;SUBSTITUTE(SUBSTITUTE(SUBSTITUTE('Calculations'!IG91,"~","~~"),"*","~*"),"?","~?"))&gt;1,"!AMBIG",IFERROR(INDEX('Calculations'!$HF$13:$HF$512,MATCH('Calculations'!IG91,'Calculations'!$HE$13:$HE$512,0)),""))))</x:f>
      </x:c>
      <x:c r="II91" t="str">
        <x:f>IF('Calculations'!IH91="","",IF('Calculations'!IH91="!AMBIG","!AMBIG",IF(COUNTIF('Calculations'!$HE$13:$HE$512,"="&amp;SUBSTITUTE(SUBSTITUTE(SUBSTITUTE('Calculations'!IH91,"~","~~"),"*","~*"),"?","~?"))&gt;1,"!AMBIG",IFERROR(INDEX('Calculations'!$HF$13:$HF$512,MATCH('Calculations'!IH91,'Calculations'!$HE$13:$HE$512,0)),""))))</x:f>
      </x:c>
      <x:c r="IJ91" t="str">
        <x:f>IF('Calculations'!EM91="","",IF('Calculations'!$EF$2="All",'Calculations'!HM91,IF('Calculations'!HL91=1,"",IFERROR(IF(MATCH('Calculations'!$EF$2,'Calculations'!HO91:II91,0)=1,'Calculations'!HE91,INDEX('Calculations'!HO91:II91,1,MATCH('Calculations'!$EF$2,'Calculations'!HO91:II91,0)-1)),""))))</x:f>
      </x:c>
      <x:c r="IK91" t="n">
        <x:f>IF(AND('Calculations'!EM91&lt;&gt;"",'Calculations'!$EF$2&lt;&gt;"All",'Calculations'!HF91='Calculations'!$EF$2,'Calculations'!HL91=0,'Calculations'!JD91&gt;0),MAX('Calculations'!$IK$12:IK90)+1,0)</x:f>
        <x:v>0</x:v>
      </x:c>
      <x:c r="JA91" t="n">
        <x:f>IF(OR(IFERROR(INDIRECT("'WCM Calibration Final'!$A$91")&lt;&gt;"",FALSE),IFERROR(INDIRECT("'WCM Calibration Final'!$B$91")&lt;&gt;"",FALSE),IFERROR(INDIRECT("'WCM Calibration Final'!$C$91")&lt;&gt;"",FALSE)),91,0)</x:f>
        <x:v>0</x:v>
      </x:c>
      <x:c r="JB91" t="n">
        <x:f>'Calculations'!JB90+IF('Calculations'!JA91&gt;0,1,0)</x:f>
        <x:v>0</x:v>
      </x:c>
      <x:c r="JC91" t="n">
        <x:f>IF(OR('Calculations'!HF91="",'Calculations'!HF91="!AMBIG"),0,IF('Dashboard'!$B$7="All",1,COUNTIFS('Calculations'!$HO$13:$HO$512,"="&amp;SUBSTITUTE(SUBSTITUTE(SUBSTITUTE('Calculations'!HF91,"~","~~"),"*","~*"),"?","~?"),'Calculations'!$HN$13:$HN$512,"="&amp;SUBSTITUTE(SUBSTITUTE(SUBSTITUTE('Dashboard'!$B$7,"~","~~"),"*","~*"),"?","~?"))+COUNTIFS('Calculations'!$HP$13:$HP$512,"="&amp;SUBSTITUTE(SUBSTITUTE(SUBSTITUTE('Calculations'!HF91,"~","~~"),"*","~*"),"?","~?"),'Calculations'!$HN$13:$HN$512,"="&amp;SUBSTITUTE(SUBSTITUTE(SUBSTITUTE('Dashboard'!$B$7,"~","~~"),"*","~*"),"?","~?"))+COUNTIFS('Calculations'!$HQ$13:$HQ$512,"="&amp;SUBSTITUTE(SUBSTITUTE(SUBSTITUTE('Calculations'!HF91,"~","~~"),"*","~*"),"?","~?"),'Calculations'!$HN$13:$HN$512,"="&amp;SUBSTITUTE(SUBSTITUTE(SUBSTITUTE('Dashboard'!$B$7,"~","~~"),"*","~*"),"?","~?"))+COUNTIFS('Calculations'!$HR$13:$HR$512,"="&amp;SUBSTITUTE(SUBSTITUTE(SUBSTITUTE('Calculations'!HF91,"~","~~"),"*","~*"),"?","~?"),'Calculations'!$HN$13:$HN$512,"="&amp;SUBSTITUTE(SUBSTITUTE(SUBSTITUTE('Dashboard'!$B$7,"~","~~"),"*","~*"),"?","~?"))+COUNTIFS('Calculations'!$HS$13:$HS$512,"="&amp;SUBSTITUTE(SUBSTITUTE(SUBSTITUTE('Calculations'!HF91,"~","~~"),"*","~*"),"?","~?"),'Calculations'!$HN$13:$HN$512,"="&amp;SUBSTITUTE(SUBSTITUTE(SUBSTITUTE('Dashboard'!$B$7,"~","~~"),"*","~*"),"?","~?"))+COUNTIFS('Calculations'!$HT$13:$HT$512,"="&amp;SUBSTITUTE(SUBSTITUTE(SUBSTITUTE('Calculations'!HF91,"~","~~"),"*","~*"),"?","~?"),'Calculations'!$HN$13:$HN$512,"="&amp;SUBSTITUTE(SUBSTITUTE(SUBSTITUTE('Dashboard'!$B$7,"~","~~"),"*","~*"),"?","~?"))+COUNTIFS('Calculations'!$HU$13:$HU$512,"="&amp;SUBSTITUTE(SUBSTITUTE(SUBSTITUTE('Calculations'!HF91,"~","~~"),"*","~*"),"?","~?"),'Calculations'!$HN$13:$HN$512,"="&amp;SUBSTITUTE(SUBSTITUTE(SUBSTITUTE('Dashboard'!$B$7,"~","~~"),"*","~*"),"?","~?"))+COUNTIFS('Calculations'!$HV$13:$HV$512,"="&amp;SUBSTITUTE(SUBSTITUTE(SUBSTITUTE('Calculations'!HF91,"~","~~"),"*","~*"),"?","~?"),'Calculations'!$HN$13:$HN$512,"="&amp;SUBSTITUTE(SUBSTITUTE(SUBSTITUTE('Dashboard'!$B$7,"~","~~"),"*","~*"),"?","~?"))+COUNTIFS('Calculations'!$HW$13:$HW$512,"="&amp;SUBSTITUTE(SUBSTITUTE(SUBSTITUTE('Calculations'!HF91,"~","~~"),"*","~*"),"?","~?"),'Calculations'!$HN$13:$HN$512,"="&amp;SUBSTITUTE(SUBSTITUTE(SUBSTITUTE('Dashboard'!$B$7,"~","~~"),"*","~*"),"?","~?"))+COUNTIFS('Calculations'!$HX$13:$HX$512,"="&amp;SUBSTITUTE(SUBSTITUTE(SUBSTITUTE('Calculations'!HF91,"~","~~"),"*","~*"),"?","~?"),'Calculations'!$HN$13:$HN$512,"="&amp;SUBSTITUTE(SUBSTITUTE(SUBSTITUTE('Dashboard'!$B$7,"~","~~"),"*","~*"),"?","~?"))+COUNTIFS('Calculations'!$HY$13:$HY$512,"="&amp;SUBSTITUTE(SUBSTITUTE(SUBSTITUTE('Calculations'!HF91,"~","~~"),"*","~*"),"?","~?"),'Calculations'!$HN$13:$HN$512,"="&amp;SUBSTITUTE(SUBSTITUTE(SUBSTITUTE('Dashboard'!$B$7,"~","~~"),"*","~*"),"?","~?"))+COUNTIFS('Calculations'!$HZ$13:$HZ$512,"="&amp;SUBSTITUTE(SUBSTITUTE(SUBSTITUTE('Calculations'!HF91,"~","~~"),"*","~*"),"?","~?"),'Calculations'!$HN$13:$HN$512,"="&amp;SUBSTITUTE(SUBSTITUTE(SUBSTITUTE('Dashboard'!$B$7,"~","~~"),"*","~*"),"?","~?"))+COUNTIFS('Calculations'!$IA$13:$IA$512,"="&amp;SUBSTITUTE(SUBSTITUTE(SUBSTITUTE('Calculations'!HF91,"~","~~"),"*","~*"),"?","~?"),'Calculations'!$HN$13:$HN$512,"="&amp;SUBSTITUTE(SUBSTITUTE(SUBSTITUTE('Dashboard'!$B$7,"~","~~"),"*","~*"),"?","~?"))+COUNTIFS('Calculations'!$IB$13:$IB$512,"="&amp;SUBSTITUTE(SUBSTITUTE(SUBSTITUTE('Calculations'!HF91,"~","~~"),"*","~*"),"?","~?"),'Calculations'!$HN$13:$HN$512,"="&amp;SUBSTITUTE(SUBSTITUTE(SUBSTITUTE('Dashboard'!$B$7,"~","~~"),"*","~*"),"?","~?"))+COUNTIFS('Calculations'!$IC$13:$IC$512,"="&amp;SUBSTITUTE(SUBSTITUTE(SUBSTITUTE('Calculations'!HF91,"~","~~"),"*","~*"),"?","~?"),'Calculations'!$HN$13:$HN$512,"="&amp;SUBSTITUTE(SUBSTITUTE(SUBSTITUTE('Dashboard'!$B$7,"~","~~"),"*","~*"),"?","~?"))+COUNTIFS('Calculations'!$ID$13:$ID$512,"="&amp;SUBSTITUTE(SUBSTITUTE(SUBSTITUTE('Calculations'!HF91,"~","~~"),"*","~*"),"?","~?"),'Calculations'!$HN$13:$HN$512,"="&amp;SUBSTITUTE(SUBSTITUTE(SUBSTITUTE('Dashboard'!$B$7,"~","~~"),"*","~*"),"?","~?"))+COUNTIFS('Calculations'!$IE$13:$IE$512,"="&amp;SUBSTITUTE(SUBSTITUTE(SUBSTITUTE('Calculations'!HF91,"~","~~"),"*","~*"),"?","~?"),'Calculations'!$HN$13:$HN$512,"="&amp;SUBSTITUTE(SUBSTITUTE(SUBSTITUTE('Dashboard'!$B$7,"~","~~"),"*","~*"),"?","~?"))+COUNTIFS('Calculations'!$IF$13:$IF$512,"="&amp;SUBSTITUTE(SUBSTITUTE(SUBSTITUTE('Calculations'!HF91,"~","~~"),"*","~*"),"?","~?"),'Calculations'!$HN$13:$HN$512,"="&amp;SUBSTITUTE(SUBSTITUTE(SUBSTITUTE('Dashboard'!$B$7,"~","~~"),"*","~*"),"?","~?"))+COUNTIFS('Calculations'!$IG$13:$IG$512,"="&amp;SUBSTITUTE(SUBSTITUTE(SUBSTITUTE('Calculations'!HF91,"~","~~"),"*","~*"),"?","~?"),'Calculations'!$HN$13:$HN$512,"="&amp;SUBSTITUTE(SUBSTITUTE(SUBSTITUTE('Dashboard'!$B$7,"~","~~"),"*","~*"),"?","~?"))+COUNTIFS('Calculations'!$IH$13:$IH$512,"="&amp;SUBSTITUTE(SUBSTITUTE(SUBSTITUTE('Calculations'!HF91,"~","~~"),"*","~*"),"?","~?"),'Calculations'!$HN$13:$HN$512,"="&amp;SUBSTITUTE(SUBSTITUTE(SUBSTITUTE('Dashboard'!$B$7,"~","~~"),"*","~*"),"?","~?"))))</x:f>
        <x:v>0</x:v>
      </x:c>
      <x:c r="JD91" t="n">
        <x:f>IF('Calculations'!EM91="",0,IF('Dashboard'!$B$7="All",1,IF('Calculations'!HN91='Dashboard'!$B$7,1,0)+IFERROR(INDEX('Calculations'!$JC$13:$JC$512,MATCH('Calculations'!HE91,'Calculations'!$HF$13:$HF$512,0)),0)))</x:f>
        <x:v>0</x:v>
      </x:c>
      <x:c r="JE91" t="n">
        <x:f>IF(AND('Calculations'!EM91&lt;&gt;"",'Calculations'!$JJ$2&lt;&gt;"All",'Calculations'!$JJ$2&lt;&gt;"",'Calculations'!HF91='Calculations'!$JJ$2,'Calculations'!HL91=0,'Calculations'!JD91&gt;0),MAX('Calculations'!$JE$12:JE90)+1,0)</x:f>
        <x:v>0</x:v>
      </x:c>
      <x:c r="JF91" t="str">
        <x:f>IF('Calculations'!EM91="","",IFERROR(IF(INDEX(INDIRECT("'WCM Calibration Final'!$G$1:$G$2000"),'Calculations'!$EM91)="","",TRIM(INDEX(INDIRECT("'WCM Calibration Final'!$G$1:$G$2000"),'Calculations'!$EM91)&amp;"")),""))</x:f>
      </x:c>
      <x:c r="JQ91" t="n">
        <x:f>IF(OR('Calculations'!BM91=0,NOT('Calculations'!$AG$2),'Calculations'!$AG$8&gt;0),0,IF(OR('Dashboard'!$B$7="All",'Calculations'!HN91='Dashboard'!$B$7),IF('Calculations'!$JJ$2="All",1,IF(AND('Calculations'!HF91='Calculations'!$JJ$2,'Calculations'!HL91=0),1,0)),0))</x:f>
        <x:v>0</x:v>
      </x:c>
    </x:row>
    <x:row r="92">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t="n">
        <x:f>IF('Calculations'!$EM92="",0,IF(OR(IFERROR(INDEX(INDIRECT("'WCM Calibration Final'!$A$1:$A$2000"),'Calculations'!$EM92)&lt;&gt;"",FALSE),IFERROR(INDEX(INDIRECT("'WCM Calibration Final'!$B$1:$B$2000"),'Calculations'!$EM92)&lt;&gt;"",FALSE),IFERROR(INDEX(INDIRECT("'WCM Calibration Final'!$C$1:$C$2000"),'Calculations'!$EM92)&lt;&gt;"",FALSE)),1,0))</x:f>
        <x:v>0</x:v>
      </x:c>
      <x:c r="BN92" s="4" t="n">
        <x:f>IF(AND('Calculations'!BM92=1,'Calculations'!$AG$2,'Calculations'!$EN92=1),1,0)</x:f>
        <x:v>0</x:v>
      </x:c>
      <x:c r="BO92" s="4" t="str">
        <x:f>IF('Calculations'!BM92=0,"",IFERROR(IF(AND(VALUE(INDEX(INDIRECT("'WCM Calibration Final'!$K$1:$K$2000"),'Calculations'!$EM92))&gt;=1,VALUE(INDEX(INDIRECT("'WCM Calibration Final'!$K$1:$K$2000"),'Calculations'!$EM92))&lt;=4,MOD(VALUE(INDEX(INDIRECT("'WCM Calibration Final'!$K$1:$K$2000"),'Calculations'!$EM92)),1)=0),VALUE(INDEX(INDIRECT("'WCM Calibration Final'!$K$1:$K$2000"),'Calculations'!$EM92)),""),""))</x:f>
      </x:c>
      <x:c r="BP92" s="4" t="str">
        <x:f>IF('Calculations'!BM92=0,"",IFERROR(IF(AND(VALUE(INDEX(INDIRECT("'WCM Calibration Final'!$L$1:$L$2000"),'Calculations'!$EM92))&gt;=1,VALUE(INDEX(INDIRECT("'WCM Calibration Final'!$L$1:$L$2000"),'Calculations'!$EM92))&lt;=4,MOD(VALUE(INDEX(INDIRECT("'WCM Calibration Final'!$L$1:$L$2000"),'Calculations'!$EM92)),1)=0),VALUE(INDEX(INDIRECT("'WCM Calibration Final'!$L$1:$L$2000"),'Calculations'!$EM92)),""),""))</x:f>
      </x:c>
      <x:c r="BQ92" s="4"/>
      <x:c r="BR92" s="4"/>
      <x:c r="BS92" s="4"/>
      <x:c r="BT92" s="4" t="n">
        <x:f>IF(AND('Calculations'!BM92=1,ISNUMBER('Calculations'!BO92),ISNUMBER('Calculations'!BP92)),1,0)</x:f>
        <x:v>0</x:v>
      </x:c>
      <x:c r="BU92" s="4" t="str">
        <x:f>IF('Calculations'!BM92=0,"",'Calculations'!$EO92)</x:f>
      </x:c>
      <x:c r="BV92" s="4" t="str">
        <x:f>IF('Calculations'!BM92=0,"",IFERROR(IF(OR(INDEX(INDIRECT("'WCM Calibration Final'!$H$1:$H$2000"),'Calculations'!$EM92)="MANAGING DIRECTOR",INDEX(INDIRECT("'WCM Calibration Final'!$H$1:$H$2000"),'Calculations'!$EM92)="DIRECTOR",INDEX(INDIRECT("'WCM Calibration Final'!$H$1:$H$2000"),'Calculations'!$EM92)="SENIOR VICE PRESIDENT",INDEX(INDIRECT("'WCM Calibration Final'!$H$1:$H$2000"),'Calculations'!$EM92)="VICE PRESIDENT",INDEX(INDIRECT("'WCM Calibration Final'!$H$1:$H$2000"),'Calculations'!$EM92)="ASSISTANT VICE PRESIDENT",INDEX(INDIRECT("'WCM Calibration Final'!$H$1:$H$2000"),'Calculations'!$EM92)="OFFICER"),UPPER(INDEX(INDIRECT("'WCM Calibration Final'!$H$1:$H$2000"),'Calculations'!$EM92)),"Other"),"Other"))</x:f>
      </x:c>
      <x:c r="BW92" s="4"/>
      <x:c r="BX92" s="4"/>
      <x:c r="BY92" s="4" t="n">
        <x:f>IF(AND('Calculations'!BM92=1,'Calculations'!BU92&lt;&gt;"",COUNTIF('Calculations'!$BU$12:BU92,'Calculations'!BU92)=1),MAX('Calculations'!$BY$11:BY91)+1,0)</x:f>
        <x:v>0</x:v>
      </x:c>
      <x:c r="BZ92" s="4" t="str">
        <x:f>IF('Dashboard'!$E$67="What",'Calculations'!BO92,'Calculations'!BP92)</x:f>
      </x:c>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t="str">
        <x:f>IF(81&gt;MAX('Calculations'!$HI$13:$HI$512),"",INDEX('Calculations'!$HN$13:$HN$512,MATCH(81,'Calculations'!$HI$13:$HI$512,0)))</x:f>
      </x:c>
      <x:c r="DB92" s="4" t="str">
        <x:f>IF(81&gt;MAX('Calculations'!$HH$13:$HH$512),"",INDEX('Calculations'!$HJ$13:$HJ$512,MATCH(81,'Calculations'!$HH$13:$HH$512,0)))</x:f>
      </x:c>
      <x:c r="DC92" s="4" t="str">
        <x:f>IF(ROW()-11&gt;MAX('Calculations'!$BY$13:$BY$512),"",INDEX('Calculations'!$BU$13:$BU$512,MATCH(ROW()-11,'Calculations'!$BY$13:$BY$512,0)))</x:f>
      </x:c>
      <x:c r="DD92" s="4" t="str">
        <x:f>IF(81&gt;MAX('Calculations'!$IK$13:$IK$512),"",INDEX('Calculations'!$HK$13:$HK$512,MATCH(81,'Calculations'!$IK$13:$IK$512,0)))</x:f>
      </x:c>
      <x:c r="DE92" s="4" t="str">
        <x:f>'Calculations'!DC92</x:f>
      </x:c>
      <x:c r="DF92" s="4" t="str">
        <x:f>IF('Calculations'!DE92="","",COUNTIFS('Calculations'!$BN$13:$BN$512,1,'Calculations'!$BU$13:$BU$512,'Calculations'!DE92))</x:f>
      </x:c>
      <x:c r="DG92" s="4" t="str">
        <x:f>IF('Calculations'!DE92="","",COUNTIFS('Calculations'!$BN$13:$BN$512,1,'Calculations'!$BU$13:$BU$512,'Calculations'!DE92,'Calculations'!$BT$13:$BT$512,1))</x:f>
      </x:c>
      <x:c r="DH92" s="4" t="str">
        <x:f>IF('Calculations'!DE92="","",'Calculations'!DF92-'Calculations'!DG92)</x:f>
      </x:c>
      <x:c r="DI92" s="4" t="str">
        <x:f>IF(OR('Calculations'!DE92="",'Calculations'!DF92=0),"",'Calculations'!DG92/'Calculations'!DF92)</x:f>
      </x:c>
      <x:c r="DJ92" s="4" t="str">
        <x:f>IF('Calculations'!DE92="","",COUNTIFS('Calculations'!$BN$13:$BN$512,1,'Calculations'!$BU$13:$BU$512,'Calculations'!DE92,'Calculations'!$BT$13:$BT$512,1,'Calculations'!$EE$13:$EE$512,"High"))</x:f>
      </x:c>
      <x:c r="DK92" s="4" t="str">
        <x:f>IF('Calculations'!DE92="","",COUNTIFS('Calculations'!$BN$13:$BN$512,1,'Calculations'!$BU$13:$BU$512,'Calculations'!DE92,'Calculations'!$BT$13:$BT$512,1,'Calculations'!$EE$13:$EE$512,"Strong"))</x:f>
      </x:c>
      <x:c r="DL92" s="4" t="str">
        <x:f>IF('Calculations'!DE92="","",COUNTIFS('Calculations'!$BN$13:$BN$512,1,'Calculations'!$BU$13:$BU$512,'Calculations'!DE92,'Calculations'!$BT$13:$BT$512,1,'Calculations'!$EE$13:$EE$512,"Solid"))</x:f>
      </x:c>
      <x:c r="DM92" s="4" t="str">
        <x:f>IF('Calculations'!DE92="","",COUNTIFS('Calculations'!$BN$13:$BN$512,1,'Calculations'!$BU$13:$BU$512,'Calculations'!DE92,'Calculations'!$BT$13:$BT$512,1,'Calculations'!$EE$13:$EE$512,"Low"))</x:f>
      </x:c>
      <x:c r="DN92" s="4" t="str">
        <x:f>IF('Calculations'!DE92="","",COUNTIFS('Calculations'!$BN$13:$BN$512,1,'Calculations'!$BU$13:$BU$512,'Calculations'!DE92,'Calculations'!$EP$13:$EP$512,1))</x:f>
      </x:c>
      <x:c r="DO92" s="4" t="str">
        <x:f>IF(OR('Calculations'!DE92="",'Calculations'!DG92=0),"",('Calculations'!DJ92+'Calculations'!DK92)/'Calculations'!DG92)</x:f>
      </x:c>
      <x:c r="DP92" s="4" t="n">
        <x:f>IF(AND('Calculations'!DE92&lt;&gt;"",'Calculations'!DF92&gt;0),COUNTIF('Calculations'!$DF$12:DF92,"&gt;0"),0)</x:f>
        <x:v>0</x:v>
      </x:c>
      <x:c r="DQ92" s="4" t="str">
        <x:f>IF(81&gt;MAX('Calculations'!$HH$13:$HH$512),"",INDEX('Calculations'!$HF$13:$HF$512,MATCH(81,'Calculations'!$HH$13:$HH$512,0)))</x:f>
      </x:c>
      <x:c r="DR92" s="4" t="str">
        <x:f>IF(81&gt;MAX('Calculations'!$IK$13:$IK$512),"",INDEX('Calculations'!$HE$13:$HE$512,MATCH(81,'Calculations'!$IK$13:$IK$512,0)))</x:f>
      </x:c>
      <x:c r="DS92" s="4"/>
      <x:c r="DT92" s="4"/>
      <x:c r="DU92" s="4"/>
      <x:c r="DV92" s="4"/>
      <x:c r="DW92" s="4"/>
      <x:c r="DX92" s="4"/>
      <x:c r="DY92" s="4"/>
      <x:c r="DZ92" s="4"/>
      <x:c r="EA92" s="4"/>
      <x:c r="EB92" s="4"/>
      <x:c r="EC92" s="4"/>
      <x:c r="ED92" s="4"/>
      <x:c r="EE92" s="4" t="str">
        <x:f>IF('Calculations'!BT92=0,"Not Rated",IF(OR('Calculations'!BO92&gt;=4,'Calculations'!BP92&gt;=4),"Low",IF('Calculations'!BO92+'Calculations'!BP92&lt;=3,"High",IF('Calculations'!BO92+'Calculations'!BP92&lt;=4,"Strong","Solid"))))</x:f>
        <x:v>Not Rated</x:v>
      </x:c>
      <x:c r="EF92" s="4"/>
      <x:c r="EG92" s="4"/>
      <x:c r="EH92" s="4"/>
      <x:c r="EI92" s="4"/>
      <x:c r="EJ92" s="4"/>
      <x:c r="EK92" s="4"/>
      <x:c r="EL92" s="4"/>
      <x:c r="EM92" s="4" t="str">
        <x:f>IF(80&gt;'Calculations'!$JB$2000,"",INDEX('Calculations'!$JA$12:$JA$2000,MATCH(80,'Calculations'!$JB$12:$JB$2000,0)))</x:f>
      </x:c>
      <x:c r="EN92" s="4" t="n">
        <x:f>IF(OR('Calculations'!EM92="",'Calculations'!$AG$8&gt;0,AND('Calculations'!$EF$2&lt;&gt;"All",'Calculations'!HE92='Calculations'!$EF$2),AND('Calculations'!$EF$3&lt;&gt;"All",'Calculations'!HE92='Calculations'!$EF$3)),0,IF(OR('Dashboard'!$B$7="All",'Calculations'!HN92='Dashboard'!$B$7),IF('Calculations'!$EF$2="All",1,IF('Calculations'!HL92&gt;0,0,IF(COUNTIF('Calculations'!HO92:II92,"="&amp;SUBSTITUTE(SUBSTITUTE(SUBSTITUTE('Calculations'!$EF$2,"~","~~"),"*","~*"),"?","~?"))=0,0,IF('Calculations'!$EF$3="All",1,IF(COUNTIF('Calculations'!HO92:II92,"="&amp;SUBSTITUTE(SUBSTITUTE(SUBSTITUTE('Calculations'!$EF$3,"~","~~"),"*","~*"),"?","~?"))&gt;0,1,0))))),0))</x:f>
        <x:v>0</x:v>
      </x:c>
      <x:c r="EO92" s="4" t="str">
        <x:f>IF('Calculations'!IJ92="","",IF('Calculations'!IJ92="!UNRESOLVED","Unresolved hierarchy",IFERROR(INDEX('Calculations'!$HK$13:$HK$512,MATCH('Calculations'!IJ92,'Calculations'!$HE$13:$HE$512,0)),IFERROR(INDEX('Calculations'!$HJ$13:$HJ$512,MATCH('Calculations'!IJ92,'Calculations'!$HF$13:$HF$512,0)),'Calculations'!IJ92))))</x:f>
      </x:c>
      <x:c r="EP92" s="4" t="n">
        <x:f>IF(AND('Calculations'!EM92&lt;&gt;"",'Calculations'!HF92='Calculations'!IJ92),1,0)</x:f>
        <x:v>0</x:v>
      </x:c>
      <x:c r="EQ92" s="4"/>
      <x:c r="ER92" s="4"/>
      <x:c r="ES92" s="4"/>
      <x:c r="ET92" s="4"/>
      <x:c r="EU92" s="4"/>
      <x:c r="EV92" s="4"/>
      <x:c r="EW92" s="4"/>
      <x:c r="EX92" s="4"/>
      <x:c r="EY92" s="4"/>
      <x:c r="EZ92" s="4"/>
      <x:c r="FA92" s="4"/>
      <x:c r="FB92" s="4"/>
      <x:c r="FC92" s="4"/>
      <x:c r="FD92" s="4"/>
      <x:c r="FE92" s="4"/>
      <x:c r="FF92" s="4"/>
      <x:c r="FG92" s="4"/>
      <x:c r="FH92" s="4"/>
      <x:c r="FI92" s="4"/>
      <x:c r="FJ92" s="4"/>
      <x:c r="FK92" s="4"/>
      <x:c r="FL92" s="4"/>
      <x:c r="FM92" s="4"/>
      <x:c r="FN92" s="4"/>
      <x:c r="FO92" s="4"/>
      <x:c r="GA92" s="71"/>
      <x:c r="GB92" s="71"/>
      <x:c r="GC92" s="71"/>
      <x:c r="GD92" s="71"/>
      <x:c r="GE92" s="71"/>
      <x:c r="GF92" s="71"/>
      <x:c r="GG92" s="71"/>
      <x:c r="GH92" s="71"/>
      <x:c r="GI92" s="71"/>
      <x:c r="GJ92" s="71"/>
      <x:c r="GK92" s="71"/>
      <x:c r="GL92" s="71"/>
      <x:c r="GM92" s="71"/>
      <x:c r="GN92" s="71"/>
      <x:c r="GO92" s="71"/>
      <x:c r="GP92" s="71"/>
      <x:c r="GQ92" s="71"/>
      <x:c r="GR92" s="71"/>
      <x:c r="GS92" s="71"/>
      <x:c r="GT92" s="71"/>
      <x:c r="GU92" s="71"/>
      <x:c r="GV92" s="71"/>
      <x:c r="GW92" s="71"/>
      <x:c r="GX92" s="71"/>
      <x:c r="GY92" s="71"/>
      <x:c r="GZ92" s="71"/>
      <x:c r="HA92" s="71"/>
      <x:c r="HB92" s="71"/>
      <x:c r="HC92" s="71"/>
      <x:c r="HD92" s="71"/>
      <x:c r="HE92" t="str">
        <x:f>IF('Calculations'!EM92="","",IF(IFERROR(IF(INDEX(INDIRECT("'WCM Calibration Final'!$A$1:$A$2000"),'Calculations'!$EM92)="","",TRIM(INDEX(INDIRECT("'WCM Calibration Final'!$A$1:$A$2000"),'Calculations'!$EM92)&amp;"")),"")&lt;&gt;"","G:"&amp;IFERROR(TEXT(1*INDEX(INDIRECT("'WCM Calibration Final'!$A$1:$A$2000"),'Calculations'!$EM92),"0"),UPPER(IFERROR(IF(INDEX(INDIRECT("'WCM Calibration Final'!$A$1:$A$2000"),'Calculations'!$EM92)="","",TRIM(INDEX(INDIRECT("'WCM Calibration Final'!$A$1:$A$2000"),'Calculations'!$EM92)&amp;"")),""))),IF(IFERROR(IF(INDEX(INDIRECT("'WCM Calibration Final'!$C$1:$C$2000"),'Calculations'!$EM92)="","",TRIM(INDEX(INDIRECT("'WCM Calibration Final'!$C$1:$C$2000"),'Calculations'!$EM92)&amp;"")),"")&lt;&gt;"","S:"&amp;UPPER(IFERROR(IF(INDEX(INDIRECT("'WCM Calibration Final'!$C$1:$C$2000"),'Calculations'!$EM92)="","",TRIM(INDEX(INDIRECT("'WCM Calibration Final'!$C$1:$C$2000"),'Calculations'!$EM92)&amp;"")),"")),"R:"&amp;'Calculations'!EM92)))</x:f>
      </x:c>
      <x:c r="HF92" t="str">
        <x:f>IF('Calculations'!EM92="","",IF(IFERROR(IF(INDEX(INDIRECT("'WCM Calibration Final'!$D$1:$D$2000"),'Calculations'!$EM92)="","",TRIM(INDEX(INDIRECT("'WCM Calibration Final'!$D$1:$D$2000"),'Calculations'!$EM92)&amp;"")),"")&lt;&gt;"","G:"&amp;IFERROR(TEXT(1*INDEX(INDIRECT("'WCM Calibration Final'!$D$1:$D$2000"),'Calculations'!$EM92),"0"),UPPER(IFERROR(IF(INDEX(INDIRECT("'WCM Calibration Final'!$D$1:$D$2000"),'Calculations'!$EM92)="","",TRIM(INDEX(INDIRECT("'WCM Calibration Final'!$D$1:$D$2000"),'Calculations'!$EM92)&amp;"")),""))),IF(IFERROR(IF(INDEX(INDIRECT("'WCM Calibration Final'!$E$1:$E$2000"),'Calculations'!$EM92)="","",TRIM(INDEX(INDIRECT("'WCM Calibration Final'!$E$1:$E$2000"),'Calculations'!$EM92)&amp;"")),"")="","",IF(COUNTIF('Calculations'!$HG$13:$HG$512,"="&amp;SUBSTITUTE(SUBSTITUTE(SUBSTITUTE(IFERROR(IF(INDEX(INDIRECT("'WCM Calibration Final'!$E$1:$E$2000"),'Calculations'!$EM92)="","",TRIM(INDEX(INDIRECT("'WCM Calibration Final'!$E$1:$E$2000"),'Calculations'!$EM92)&amp;"")),""),"~","~~"),"*","~*"),"?","~?"))=1,INDEX('Calculations'!$HE$13:$HE$512,MATCH(IFERROR(IF(INDEX(INDIRECT("'WCM Calibration Final'!$E$1:$E$2000"),'Calculations'!$EM92)="","",TRIM(INDEX(INDIRECT("'WCM Calibration Final'!$E$1:$E$2000"),'Calculations'!$EM92)&amp;"")),""),'Calculations'!$HG$13:$HG$512,0)),IF(COUNTIF('Calculations'!$HG$13:$HG$512,"="&amp;SUBSTITUTE(SUBSTITUTE(SUBSTITUTE(IFERROR(IF(INDEX(INDIRECT("'WCM Calibration Final'!$E$1:$E$2000"),'Calculations'!$EM92)="","",TRIM(INDEX(INDIRECT("'WCM Calibration Final'!$E$1:$E$2000"),'Calculations'!$EM92)&amp;"")),""),"~","~~"),"*","~*"),"?","~?"))&gt;1,"!AMBIG","X:"&amp;IFERROR(IF(INDEX(INDIRECT("'WCM Calibration Final'!$E$1:$E$2000"),'Calculations'!$EM92)="","",TRIM(INDEX(INDIRECT("'WCM Calibration Final'!$E$1:$E$2000"),'Calculations'!$EM92)&amp;"")),""))))))</x:f>
      </x:c>
      <x:c r="HG92" t="str">
        <x:f>IF('Calculations'!EM92="","",IFERROR(IF(INDEX(INDIRECT("'WCM Calibration Final'!$B$1:$B$2000"),'Calculations'!$EM92)="","",TRIM(INDEX(INDIRECT("'WCM Calibration Final'!$B$1:$B$2000"),'Calculations'!$EM92)&amp;"")),""))</x:f>
      </x:c>
      <x:c r="HH92" t="n">
        <x:f>IF(AND('Calculations'!JC92&gt;0,COUNTIF('Calculations'!$HF$12:HF92,"="&amp;SUBSTITUTE(SUBSTITUTE(SUBSTITUTE('Calculations'!HF92,"~","~~"),"*","~*"),"?","~?"))=1),MAX('Calculations'!$HH$12:HH91)+1,0)</x:f>
        <x:v>0</x:v>
      </x:c>
      <x:c r="HI92" t="n">
        <x:f>IF(AND('Calculations'!HN92&lt;&gt;"",COUNTIF('Calculations'!$HN$12:HN92,"="&amp;SUBSTITUTE(SUBSTITUTE(SUBSTITUTE('Calculations'!HN92,"~","~~"),"*","~*"),"?","~?"))=1),MAX('Calculations'!$HI$12:HI91)+1,0)</x:f>
        <x:v>0</x:v>
      </x:c>
      <x:c r="HJ92" t="str">
        <x:f>IF('Calculations'!HF92="","",IF(COUNTIF('Calculations'!$HE$13:$HE$512,"="&amp;SUBSTITUTE(SUBSTITUTE(SUBSTITUTE('Calculations'!HF92,"~","~~"),"*","~*"),"?","~?"))=1,INDEX('Calculations'!$HK$13:$HK$512,MATCH('Calculations'!HF92,'Calculations'!$HE$13:$HE$512,0)),IFERROR(IF(INDEX(INDIRECT("'WCM Calibration Final'!$E$1:$E$2000"),'Calculations'!$EM92)="","",TRIM(INDEX(INDIRECT("'WCM Calibration Final'!$E$1:$E$2000"),'Calculations'!$EM92)&amp;"")),"")&amp;" ["&amp;'Calculations'!HF92&amp;"]"))</x:f>
      </x:c>
      <x:c r="HK92" t="str">
        <x:f>IF('Calculations'!EM92="","",'Calculations'!HG92&amp;" ["&amp;'Calculations'!HE92&amp;"]")</x:f>
      </x:c>
      <x:c r="HL92" t="n">
        <x:f>IF('Calculations'!EM92="",0,IF(OR('Calculations'!II92&lt;&gt;"",COUNTIF('Calculations'!$HE$13:$HE$512,"="&amp;SUBSTITUTE(SUBSTITUTE(SUBSTITUTE('Calculations'!HE92,"~","~~"),"*","~*"),"?","~?"))&gt;1),1,0))</x:f>
        <x:v>0</x:v>
      </x:c>
      <x:c r="HM92" t="str">
        <x:f>IF('Calculations'!EM92="","",IF('Calculations'!HL92=1,"!UNRESOLVED",IF('Calculations'!IH92&lt;&gt;"",'Calculations'!IH92,IF('Calculations'!IG92&lt;&gt;"",'Calculations'!IG92,IF('Calculations'!IF92&lt;&gt;"",'Calculations'!IF92,IF('Calculations'!IE92&lt;&gt;"",'Calculations'!IE92,IF('Calculations'!ID92&lt;&gt;"",'Calculations'!ID92,IF('Calculations'!IC92&lt;&gt;"",'Calculations'!IC92,IF('Calculations'!IB92&lt;&gt;"",'Calculations'!IB92,IF('Calculations'!IA92&lt;&gt;"",'Calculations'!IA92,IF('Calculations'!HZ92&lt;&gt;"",'Calculations'!HZ92,IF('Calculations'!HY92&lt;&gt;"",'Calculations'!HY92,IF('Calculations'!HX92&lt;&gt;"",'Calculations'!HX92,IF('Calculations'!HW92&lt;&gt;"",'Calculations'!HW92,IF('Calculations'!HV92&lt;&gt;"",'Calculations'!HV92,IF('Calculations'!HU92&lt;&gt;"",'Calculations'!HU92,IF('Calculations'!HT92&lt;&gt;"",'Calculations'!HT92,IF('Calculations'!HS92&lt;&gt;"",'Calculations'!HS92,IF('Calculations'!HR92&lt;&gt;"",'Calculations'!HR92,IF('Calculations'!HQ92&lt;&gt;"",'Calculations'!HQ92,IF('Calculations'!HP92&lt;&gt;"",'Calculations'!HP92,IF('Calculations'!HO92&lt;&gt;"",'Calculations'!HO92,'Calculations'!HE92))))))))))))))))))))))</x:f>
      </x:c>
      <x:c r="HN92" t="str">
        <x:f>IF('Calculations'!EM92="","",IF(IFERROR(IF(INDEX(INDIRECT("'WCM Calibration Final'!$F$1:$F$2000"),'Calculations'!$EM92)="","",TRIM(INDEX(INDIRECT("'WCM Calibration Final'!$F$1:$F$2000"),'Calculations'!$EM92)&amp;"")),"")="","(Blank)",IFERROR(IF(INDEX(INDIRECT("'WCM Calibration Final'!$F$1:$F$2000"),'Calculations'!$EM92)="","",TRIM(INDEX(INDIRECT("'WCM Calibration Final'!$F$1:$F$2000"),'Calculations'!$EM92)&amp;"")),"")))</x:f>
      </x:c>
      <x:c r="HO92" t="str">
        <x:f>'Calculations'!HF92</x:f>
      </x:c>
      <x:c r="HP92" t="str">
        <x:f>IF('Calculations'!HO92="","",IF('Calculations'!HO92="!AMBIG","!AMBIG",IF(COUNTIF('Calculations'!$HE$13:$HE$512,"="&amp;SUBSTITUTE(SUBSTITUTE(SUBSTITUTE('Calculations'!HO92,"~","~~"),"*","~*"),"?","~?"))&gt;1,"!AMBIG",IFERROR(INDEX('Calculations'!$HF$13:$HF$512,MATCH('Calculations'!HO92,'Calculations'!$HE$13:$HE$512,0)),""))))</x:f>
      </x:c>
      <x:c r="HQ92" t="str">
        <x:f>IF('Calculations'!HP92="","",IF('Calculations'!HP92="!AMBIG","!AMBIG",IF(COUNTIF('Calculations'!$HE$13:$HE$512,"="&amp;SUBSTITUTE(SUBSTITUTE(SUBSTITUTE('Calculations'!HP92,"~","~~"),"*","~*"),"?","~?"))&gt;1,"!AMBIG",IFERROR(INDEX('Calculations'!$HF$13:$HF$512,MATCH('Calculations'!HP92,'Calculations'!$HE$13:$HE$512,0)),""))))</x:f>
      </x:c>
      <x:c r="HR92" t="str">
        <x:f>IF('Calculations'!HQ92="","",IF('Calculations'!HQ92="!AMBIG","!AMBIG",IF(COUNTIF('Calculations'!$HE$13:$HE$512,"="&amp;SUBSTITUTE(SUBSTITUTE(SUBSTITUTE('Calculations'!HQ92,"~","~~"),"*","~*"),"?","~?"))&gt;1,"!AMBIG",IFERROR(INDEX('Calculations'!$HF$13:$HF$512,MATCH('Calculations'!HQ92,'Calculations'!$HE$13:$HE$512,0)),""))))</x:f>
      </x:c>
      <x:c r="HS92" t="str">
        <x:f>IF('Calculations'!HR92="","",IF('Calculations'!HR92="!AMBIG","!AMBIG",IF(COUNTIF('Calculations'!$HE$13:$HE$512,"="&amp;SUBSTITUTE(SUBSTITUTE(SUBSTITUTE('Calculations'!HR92,"~","~~"),"*","~*"),"?","~?"))&gt;1,"!AMBIG",IFERROR(INDEX('Calculations'!$HF$13:$HF$512,MATCH('Calculations'!HR92,'Calculations'!$HE$13:$HE$512,0)),""))))</x:f>
      </x:c>
      <x:c r="HT92" t="str">
        <x:f>IF('Calculations'!HS92="","",IF('Calculations'!HS92="!AMBIG","!AMBIG",IF(COUNTIF('Calculations'!$HE$13:$HE$512,"="&amp;SUBSTITUTE(SUBSTITUTE(SUBSTITUTE('Calculations'!HS92,"~","~~"),"*","~*"),"?","~?"))&gt;1,"!AMBIG",IFERROR(INDEX('Calculations'!$HF$13:$HF$512,MATCH('Calculations'!HS92,'Calculations'!$HE$13:$HE$512,0)),""))))</x:f>
      </x:c>
      <x:c r="HU92" t="str">
        <x:f>IF('Calculations'!HT92="","",IF('Calculations'!HT92="!AMBIG","!AMBIG",IF(COUNTIF('Calculations'!$HE$13:$HE$512,"="&amp;SUBSTITUTE(SUBSTITUTE(SUBSTITUTE('Calculations'!HT92,"~","~~"),"*","~*"),"?","~?"))&gt;1,"!AMBIG",IFERROR(INDEX('Calculations'!$HF$13:$HF$512,MATCH('Calculations'!HT92,'Calculations'!$HE$13:$HE$512,0)),""))))</x:f>
      </x:c>
      <x:c r="HV92" t="str">
        <x:f>IF('Calculations'!HU92="","",IF('Calculations'!HU92="!AMBIG","!AMBIG",IF(COUNTIF('Calculations'!$HE$13:$HE$512,"="&amp;SUBSTITUTE(SUBSTITUTE(SUBSTITUTE('Calculations'!HU92,"~","~~"),"*","~*"),"?","~?"))&gt;1,"!AMBIG",IFERROR(INDEX('Calculations'!$HF$13:$HF$512,MATCH('Calculations'!HU92,'Calculations'!$HE$13:$HE$512,0)),""))))</x:f>
      </x:c>
      <x:c r="HW92" t="str">
        <x:f>IF('Calculations'!HV92="","",IF('Calculations'!HV92="!AMBIG","!AMBIG",IF(COUNTIF('Calculations'!$HE$13:$HE$512,"="&amp;SUBSTITUTE(SUBSTITUTE(SUBSTITUTE('Calculations'!HV92,"~","~~"),"*","~*"),"?","~?"))&gt;1,"!AMBIG",IFERROR(INDEX('Calculations'!$HF$13:$HF$512,MATCH('Calculations'!HV92,'Calculations'!$HE$13:$HE$512,0)),""))))</x:f>
      </x:c>
      <x:c r="HX92" t="str">
        <x:f>IF('Calculations'!HW92="","",IF('Calculations'!HW92="!AMBIG","!AMBIG",IF(COUNTIF('Calculations'!$HE$13:$HE$512,"="&amp;SUBSTITUTE(SUBSTITUTE(SUBSTITUTE('Calculations'!HW92,"~","~~"),"*","~*"),"?","~?"))&gt;1,"!AMBIG",IFERROR(INDEX('Calculations'!$HF$13:$HF$512,MATCH('Calculations'!HW92,'Calculations'!$HE$13:$HE$512,0)),""))))</x:f>
      </x:c>
      <x:c r="HY92" t="str">
        <x:f>IF('Calculations'!HX92="","",IF('Calculations'!HX92="!AMBIG","!AMBIG",IF(COUNTIF('Calculations'!$HE$13:$HE$512,"="&amp;SUBSTITUTE(SUBSTITUTE(SUBSTITUTE('Calculations'!HX92,"~","~~"),"*","~*"),"?","~?"))&gt;1,"!AMBIG",IFERROR(INDEX('Calculations'!$HF$13:$HF$512,MATCH('Calculations'!HX92,'Calculations'!$HE$13:$HE$512,0)),""))))</x:f>
      </x:c>
      <x:c r="HZ92" t="str">
        <x:f>IF('Calculations'!HY92="","",IF('Calculations'!HY92="!AMBIG","!AMBIG",IF(COUNTIF('Calculations'!$HE$13:$HE$512,"="&amp;SUBSTITUTE(SUBSTITUTE(SUBSTITUTE('Calculations'!HY92,"~","~~"),"*","~*"),"?","~?"))&gt;1,"!AMBIG",IFERROR(INDEX('Calculations'!$HF$13:$HF$512,MATCH('Calculations'!HY92,'Calculations'!$HE$13:$HE$512,0)),""))))</x:f>
      </x:c>
      <x:c r="IA92" t="str">
        <x:f>IF('Calculations'!HZ92="","",IF('Calculations'!HZ92="!AMBIG","!AMBIG",IF(COUNTIF('Calculations'!$HE$13:$HE$512,"="&amp;SUBSTITUTE(SUBSTITUTE(SUBSTITUTE('Calculations'!HZ92,"~","~~"),"*","~*"),"?","~?"))&gt;1,"!AMBIG",IFERROR(INDEX('Calculations'!$HF$13:$HF$512,MATCH('Calculations'!HZ92,'Calculations'!$HE$13:$HE$512,0)),""))))</x:f>
      </x:c>
      <x:c r="IB92" t="str">
        <x:f>IF('Calculations'!IA92="","",IF('Calculations'!IA92="!AMBIG","!AMBIG",IF(COUNTIF('Calculations'!$HE$13:$HE$512,"="&amp;SUBSTITUTE(SUBSTITUTE(SUBSTITUTE('Calculations'!IA92,"~","~~"),"*","~*"),"?","~?"))&gt;1,"!AMBIG",IFERROR(INDEX('Calculations'!$HF$13:$HF$512,MATCH('Calculations'!IA92,'Calculations'!$HE$13:$HE$512,0)),""))))</x:f>
      </x:c>
      <x:c r="IC92" t="str">
        <x:f>IF('Calculations'!IB92="","",IF('Calculations'!IB92="!AMBIG","!AMBIG",IF(COUNTIF('Calculations'!$HE$13:$HE$512,"="&amp;SUBSTITUTE(SUBSTITUTE(SUBSTITUTE('Calculations'!IB92,"~","~~"),"*","~*"),"?","~?"))&gt;1,"!AMBIG",IFERROR(INDEX('Calculations'!$HF$13:$HF$512,MATCH('Calculations'!IB92,'Calculations'!$HE$13:$HE$512,0)),""))))</x:f>
      </x:c>
      <x:c r="ID92" t="str">
        <x:f>IF('Calculations'!IC92="","",IF('Calculations'!IC92="!AMBIG","!AMBIG",IF(COUNTIF('Calculations'!$HE$13:$HE$512,"="&amp;SUBSTITUTE(SUBSTITUTE(SUBSTITUTE('Calculations'!IC92,"~","~~"),"*","~*"),"?","~?"))&gt;1,"!AMBIG",IFERROR(INDEX('Calculations'!$HF$13:$HF$512,MATCH('Calculations'!IC92,'Calculations'!$HE$13:$HE$512,0)),""))))</x:f>
      </x:c>
      <x:c r="IE92" t="str">
        <x:f>IF('Calculations'!ID92="","",IF('Calculations'!ID92="!AMBIG","!AMBIG",IF(COUNTIF('Calculations'!$HE$13:$HE$512,"="&amp;SUBSTITUTE(SUBSTITUTE(SUBSTITUTE('Calculations'!ID92,"~","~~"),"*","~*"),"?","~?"))&gt;1,"!AMBIG",IFERROR(INDEX('Calculations'!$HF$13:$HF$512,MATCH('Calculations'!ID92,'Calculations'!$HE$13:$HE$512,0)),""))))</x:f>
      </x:c>
      <x:c r="IF92" t="str">
        <x:f>IF('Calculations'!IE92="","",IF('Calculations'!IE92="!AMBIG","!AMBIG",IF(COUNTIF('Calculations'!$HE$13:$HE$512,"="&amp;SUBSTITUTE(SUBSTITUTE(SUBSTITUTE('Calculations'!IE92,"~","~~"),"*","~*"),"?","~?"))&gt;1,"!AMBIG",IFERROR(INDEX('Calculations'!$HF$13:$HF$512,MATCH('Calculations'!IE92,'Calculations'!$HE$13:$HE$512,0)),""))))</x:f>
      </x:c>
      <x:c r="IG92" t="str">
        <x:f>IF('Calculations'!IF92="","",IF('Calculations'!IF92="!AMBIG","!AMBIG",IF(COUNTIF('Calculations'!$HE$13:$HE$512,"="&amp;SUBSTITUTE(SUBSTITUTE(SUBSTITUTE('Calculations'!IF92,"~","~~"),"*","~*"),"?","~?"))&gt;1,"!AMBIG",IFERROR(INDEX('Calculations'!$HF$13:$HF$512,MATCH('Calculations'!IF92,'Calculations'!$HE$13:$HE$512,0)),""))))</x:f>
      </x:c>
      <x:c r="IH92" t="str">
        <x:f>IF('Calculations'!IG92="","",IF('Calculations'!IG92="!AMBIG","!AMBIG",IF(COUNTIF('Calculations'!$HE$13:$HE$512,"="&amp;SUBSTITUTE(SUBSTITUTE(SUBSTITUTE('Calculations'!IG92,"~","~~"),"*","~*"),"?","~?"))&gt;1,"!AMBIG",IFERROR(INDEX('Calculations'!$HF$13:$HF$512,MATCH('Calculations'!IG92,'Calculations'!$HE$13:$HE$512,0)),""))))</x:f>
      </x:c>
      <x:c r="II92" t="str">
        <x:f>IF('Calculations'!IH92="","",IF('Calculations'!IH92="!AMBIG","!AMBIG",IF(COUNTIF('Calculations'!$HE$13:$HE$512,"="&amp;SUBSTITUTE(SUBSTITUTE(SUBSTITUTE('Calculations'!IH92,"~","~~"),"*","~*"),"?","~?"))&gt;1,"!AMBIG",IFERROR(INDEX('Calculations'!$HF$13:$HF$512,MATCH('Calculations'!IH92,'Calculations'!$HE$13:$HE$512,0)),""))))</x:f>
      </x:c>
      <x:c r="IJ92" t="str">
        <x:f>IF('Calculations'!EM92="","",IF('Calculations'!$EF$2="All",'Calculations'!HM92,IF('Calculations'!HL92=1,"",IFERROR(IF(MATCH('Calculations'!$EF$2,'Calculations'!HO92:II92,0)=1,'Calculations'!HE92,INDEX('Calculations'!HO92:II92,1,MATCH('Calculations'!$EF$2,'Calculations'!HO92:II92,0)-1)),""))))</x:f>
      </x:c>
      <x:c r="IK92" t="n">
        <x:f>IF(AND('Calculations'!EM92&lt;&gt;"",'Calculations'!$EF$2&lt;&gt;"All",'Calculations'!HF92='Calculations'!$EF$2,'Calculations'!HL92=0,'Calculations'!JD92&gt;0),MAX('Calculations'!$IK$12:IK91)+1,0)</x:f>
        <x:v>0</x:v>
      </x:c>
      <x:c r="JA92" t="n">
        <x:f>IF(OR(IFERROR(INDIRECT("'WCM Calibration Final'!$A$92")&lt;&gt;"",FALSE),IFERROR(INDIRECT("'WCM Calibration Final'!$B$92")&lt;&gt;"",FALSE),IFERROR(INDIRECT("'WCM Calibration Final'!$C$92")&lt;&gt;"",FALSE)),92,0)</x:f>
        <x:v>0</x:v>
      </x:c>
      <x:c r="JB92" t="n">
        <x:f>'Calculations'!JB91+IF('Calculations'!JA92&gt;0,1,0)</x:f>
        <x:v>0</x:v>
      </x:c>
      <x:c r="JC92" t="n">
        <x:f>IF(OR('Calculations'!HF92="",'Calculations'!HF92="!AMBIG"),0,IF('Dashboard'!$B$7="All",1,COUNTIFS('Calculations'!$HO$13:$HO$512,"="&amp;SUBSTITUTE(SUBSTITUTE(SUBSTITUTE('Calculations'!HF92,"~","~~"),"*","~*"),"?","~?"),'Calculations'!$HN$13:$HN$512,"="&amp;SUBSTITUTE(SUBSTITUTE(SUBSTITUTE('Dashboard'!$B$7,"~","~~"),"*","~*"),"?","~?"))+COUNTIFS('Calculations'!$HP$13:$HP$512,"="&amp;SUBSTITUTE(SUBSTITUTE(SUBSTITUTE('Calculations'!HF92,"~","~~"),"*","~*"),"?","~?"),'Calculations'!$HN$13:$HN$512,"="&amp;SUBSTITUTE(SUBSTITUTE(SUBSTITUTE('Dashboard'!$B$7,"~","~~"),"*","~*"),"?","~?"))+COUNTIFS('Calculations'!$HQ$13:$HQ$512,"="&amp;SUBSTITUTE(SUBSTITUTE(SUBSTITUTE('Calculations'!HF92,"~","~~"),"*","~*"),"?","~?"),'Calculations'!$HN$13:$HN$512,"="&amp;SUBSTITUTE(SUBSTITUTE(SUBSTITUTE('Dashboard'!$B$7,"~","~~"),"*","~*"),"?","~?"))+COUNTIFS('Calculations'!$HR$13:$HR$512,"="&amp;SUBSTITUTE(SUBSTITUTE(SUBSTITUTE('Calculations'!HF92,"~","~~"),"*","~*"),"?","~?"),'Calculations'!$HN$13:$HN$512,"="&amp;SUBSTITUTE(SUBSTITUTE(SUBSTITUTE('Dashboard'!$B$7,"~","~~"),"*","~*"),"?","~?"))+COUNTIFS('Calculations'!$HS$13:$HS$512,"="&amp;SUBSTITUTE(SUBSTITUTE(SUBSTITUTE('Calculations'!HF92,"~","~~"),"*","~*"),"?","~?"),'Calculations'!$HN$13:$HN$512,"="&amp;SUBSTITUTE(SUBSTITUTE(SUBSTITUTE('Dashboard'!$B$7,"~","~~"),"*","~*"),"?","~?"))+COUNTIFS('Calculations'!$HT$13:$HT$512,"="&amp;SUBSTITUTE(SUBSTITUTE(SUBSTITUTE('Calculations'!HF92,"~","~~"),"*","~*"),"?","~?"),'Calculations'!$HN$13:$HN$512,"="&amp;SUBSTITUTE(SUBSTITUTE(SUBSTITUTE('Dashboard'!$B$7,"~","~~"),"*","~*"),"?","~?"))+COUNTIFS('Calculations'!$HU$13:$HU$512,"="&amp;SUBSTITUTE(SUBSTITUTE(SUBSTITUTE('Calculations'!HF92,"~","~~"),"*","~*"),"?","~?"),'Calculations'!$HN$13:$HN$512,"="&amp;SUBSTITUTE(SUBSTITUTE(SUBSTITUTE('Dashboard'!$B$7,"~","~~"),"*","~*"),"?","~?"))+COUNTIFS('Calculations'!$HV$13:$HV$512,"="&amp;SUBSTITUTE(SUBSTITUTE(SUBSTITUTE('Calculations'!HF92,"~","~~"),"*","~*"),"?","~?"),'Calculations'!$HN$13:$HN$512,"="&amp;SUBSTITUTE(SUBSTITUTE(SUBSTITUTE('Dashboard'!$B$7,"~","~~"),"*","~*"),"?","~?"))+COUNTIFS('Calculations'!$HW$13:$HW$512,"="&amp;SUBSTITUTE(SUBSTITUTE(SUBSTITUTE('Calculations'!HF92,"~","~~"),"*","~*"),"?","~?"),'Calculations'!$HN$13:$HN$512,"="&amp;SUBSTITUTE(SUBSTITUTE(SUBSTITUTE('Dashboard'!$B$7,"~","~~"),"*","~*"),"?","~?"))+COUNTIFS('Calculations'!$HX$13:$HX$512,"="&amp;SUBSTITUTE(SUBSTITUTE(SUBSTITUTE('Calculations'!HF92,"~","~~"),"*","~*"),"?","~?"),'Calculations'!$HN$13:$HN$512,"="&amp;SUBSTITUTE(SUBSTITUTE(SUBSTITUTE('Dashboard'!$B$7,"~","~~"),"*","~*"),"?","~?"))+COUNTIFS('Calculations'!$HY$13:$HY$512,"="&amp;SUBSTITUTE(SUBSTITUTE(SUBSTITUTE('Calculations'!HF92,"~","~~"),"*","~*"),"?","~?"),'Calculations'!$HN$13:$HN$512,"="&amp;SUBSTITUTE(SUBSTITUTE(SUBSTITUTE('Dashboard'!$B$7,"~","~~"),"*","~*"),"?","~?"))+COUNTIFS('Calculations'!$HZ$13:$HZ$512,"="&amp;SUBSTITUTE(SUBSTITUTE(SUBSTITUTE('Calculations'!HF92,"~","~~"),"*","~*"),"?","~?"),'Calculations'!$HN$13:$HN$512,"="&amp;SUBSTITUTE(SUBSTITUTE(SUBSTITUTE('Dashboard'!$B$7,"~","~~"),"*","~*"),"?","~?"))+COUNTIFS('Calculations'!$IA$13:$IA$512,"="&amp;SUBSTITUTE(SUBSTITUTE(SUBSTITUTE('Calculations'!HF92,"~","~~"),"*","~*"),"?","~?"),'Calculations'!$HN$13:$HN$512,"="&amp;SUBSTITUTE(SUBSTITUTE(SUBSTITUTE('Dashboard'!$B$7,"~","~~"),"*","~*"),"?","~?"))+COUNTIFS('Calculations'!$IB$13:$IB$512,"="&amp;SUBSTITUTE(SUBSTITUTE(SUBSTITUTE('Calculations'!HF92,"~","~~"),"*","~*"),"?","~?"),'Calculations'!$HN$13:$HN$512,"="&amp;SUBSTITUTE(SUBSTITUTE(SUBSTITUTE('Dashboard'!$B$7,"~","~~"),"*","~*"),"?","~?"))+COUNTIFS('Calculations'!$IC$13:$IC$512,"="&amp;SUBSTITUTE(SUBSTITUTE(SUBSTITUTE('Calculations'!HF92,"~","~~"),"*","~*"),"?","~?"),'Calculations'!$HN$13:$HN$512,"="&amp;SUBSTITUTE(SUBSTITUTE(SUBSTITUTE('Dashboard'!$B$7,"~","~~"),"*","~*"),"?","~?"))+COUNTIFS('Calculations'!$ID$13:$ID$512,"="&amp;SUBSTITUTE(SUBSTITUTE(SUBSTITUTE('Calculations'!HF92,"~","~~"),"*","~*"),"?","~?"),'Calculations'!$HN$13:$HN$512,"="&amp;SUBSTITUTE(SUBSTITUTE(SUBSTITUTE('Dashboard'!$B$7,"~","~~"),"*","~*"),"?","~?"))+COUNTIFS('Calculations'!$IE$13:$IE$512,"="&amp;SUBSTITUTE(SUBSTITUTE(SUBSTITUTE('Calculations'!HF92,"~","~~"),"*","~*"),"?","~?"),'Calculations'!$HN$13:$HN$512,"="&amp;SUBSTITUTE(SUBSTITUTE(SUBSTITUTE('Dashboard'!$B$7,"~","~~"),"*","~*"),"?","~?"))+COUNTIFS('Calculations'!$IF$13:$IF$512,"="&amp;SUBSTITUTE(SUBSTITUTE(SUBSTITUTE('Calculations'!HF92,"~","~~"),"*","~*"),"?","~?"),'Calculations'!$HN$13:$HN$512,"="&amp;SUBSTITUTE(SUBSTITUTE(SUBSTITUTE('Dashboard'!$B$7,"~","~~"),"*","~*"),"?","~?"))+COUNTIFS('Calculations'!$IG$13:$IG$512,"="&amp;SUBSTITUTE(SUBSTITUTE(SUBSTITUTE('Calculations'!HF92,"~","~~"),"*","~*"),"?","~?"),'Calculations'!$HN$13:$HN$512,"="&amp;SUBSTITUTE(SUBSTITUTE(SUBSTITUTE('Dashboard'!$B$7,"~","~~"),"*","~*"),"?","~?"))+COUNTIFS('Calculations'!$IH$13:$IH$512,"="&amp;SUBSTITUTE(SUBSTITUTE(SUBSTITUTE('Calculations'!HF92,"~","~~"),"*","~*"),"?","~?"),'Calculations'!$HN$13:$HN$512,"="&amp;SUBSTITUTE(SUBSTITUTE(SUBSTITUTE('Dashboard'!$B$7,"~","~~"),"*","~*"),"?","~?"))))</x:f>
        <x:v>0</x:v>
      </x:c>
      <x:c r="JD92" t="n">
        <x:f>IF('Calculations'!EM92="",0,IF('Dashboard'!$B$7="All",1,IF('Calculations'!HN92='Dashboard'!$B$7,1,0)+IFERROR(INDEX('Calculations'!$JC$13:$JC$512,MATCH('Calculations'!HE92,'Calculations'!$HF$13:$HF$512,0)),0)))</x:f>
        <x:v>0</x:v>
      </x:c>
      <x:c r="JE92" t="n">
        <x:f>IF(AND('Calculations'!EM92&lt;&gt;"",'Calculations'!$JJ$2&lt;&gt;"All",'Calculations'!$JJ$2&lt;&gt;"",'Calculations'!HF92='Calculations'!$JJ$2,'Calculations'!HL92=0,'Calculations'!JD92&gt;0),MAX('Calculations'!$JE$12:JE91)+1,0)</x:f>
        <x:v>0</x:v>
      </x:c>
      <x:c r="JF92" t="str">
        <x:f>IF('Calculations'!EM92="","",IFERROR(IF(INDEX(INDIRECT("'WCM Calibration Final'!$G$1:$G$2000"),'Calculations'!$EM92)="","",TRIM(INDEX(INDIRECT("'WCM Calibration Final'!$G$1:$G$2000"),'Calculations'!$EM92)&amp;"")),""))</x:f>
      </x:c>
      <x:c r="JQ92" t="n">
        <x:f>IF(OR('Calculations'!BM92=0,NOT('Calculations'!$AG$2),'Calculations'!$AG$8&gt;0),0,IF(OR('Dashboard'!$B$7="All",'Calculations'!HN92='Dashboard'!$B$7),IF('Calculations'!$JJ$2="All",1,IF(AND('Calculations'!HF92='Calculations'!$JJ$2,'Calculations'!HL92=0),1,0)),0))</x:f>
        <x:v>0</x:v>
      </x:c>
    </x:row>
    <x:row r="93">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t="n">
        <x:f>IF('Calculations'!$EM93="",0,IF(OR(IFERROR(INDEX(INDIRECT("'WCM Calibration Final'!$A$1:$A$2000"),'Calculations'!$EM93)&lt;&gt;"",FALSE),IFERROR(INDEX(INDIRECT("'WCM Calibration Final'!$B$1:$B$2000"),'Calculations'!$EM93)&lt;&gt;"",FALSE),IFERROR(INDEX(INDIRECT("'WCM Calibration Final'!$C$1:$C$2000"),'Calculations'!$EM93)&lt;&gt;"",FALSE)),1,0))</x:f>
        <x:v>0</x:v>
      </x:c>
      <x:c r="BN93" s="4" t="n">
        <x:f>IF(AND('Calculations'!BM93=1,'Calculations'!$AG$2,'Calculations'!$EN93=1),1,0)</x:f>
        <x:v>0</x:v>
      </x:c>
      <x:c r="BO93" s="4" t="str">
        <x:f>IF('Calculations'!BM93=0,"",IFERROR(IF(AND(VALUE(INDEX(INDIRECT("'WCM Calibration Final'!$K$1:$K$2000"),'Calculations'!$EM93))&gt;=1,VALUE(INDEX(INDIRECT("'WCM Calibration Final'!$K$1:$K$2000"),'Calculations'!$EM93))&lt;=4,MOD(VALUE(INDEX(INDIRECT("'WCM Calibration Final'!$K$1:$K$2000"),'Calculations'!$EM93)),1)=0),VALUE(INDEX(INDIRECT("'WCM Calibration Final'!$K$1:$K$2000"),'Calculations'!$EM93)),""),""))</x:f>
      </x:c>
      <x:c r="BP93" s="4" t="str">
        <x:f>IF('Calculations'!BM93=0,"",IFERROR(IF(AND(VALUE(INDEX(INDIRECT("'WCM Calibration Final'!$L$1:$L$2000"),'Calculations'!$EM93))&gt;=1,VALUE(INDEX(INDIRECT("'WCM Calibration Final'!$L$1:$L$2000"),'Calculations'!$EM93))&lt;=4,MOD(VALUE(INDEX(INDIRECT("'WCM Calibration Final'!$L$1:$L$2000"),'Calculations'!$EM93)),1)=0),VALUE(INDEX(INDIRECT("'WCM Calibration Final'!$L$1:$L$2000"),'Calculations'!$EM93)),""),""))</x:f>
      </x:c>
      <x:c r="BQ93" s="4"/>
      <x:c r="BR93" s="4"/>
      <x:c r="BS93" s="4"/>
      <x:c r="BT93" s="4" t="n">
        <x:f>IF(AND('Calculations'!BM93=1,ISNUMBER('Calculations'!BO93),ISNUMBER('Calculations'!BP93)),1,0)</x:f>
        <x:v>0</x:v>
      </x:c>
      <x:c r="BU93" s="4" t="str">
        <x:f>IF('Calculations'!BM93=0,"",'Calculations'!$EO93)</x:f>
      </x:c>
      <x:c r="BV93" s="4" t="str">
        <x:f>IF('Calculations'!BM93=0,"",IFERROR(IF(OR(INDEX(INDIRECT("'WCM Calibration Final'!$H$1:$H$2000"),'Calculations'!$EM93)="MANAGING DIRECTOR",INDEX(INDIRECT("'WCM Calibration Final'!$H$1:$H$2000"),'Calculations'!$EM93)="DIRECTOR",INDEX(INDIRECT("'WCM Calibration Final'!$H$1:$H$2000"),'Calculations'!$EM93)="SENIOR VICE PRESIDENT",INDEX(INDIRECT("'WCM Calibration Final'!$H$1:$H$2000"),'Calculations'!$EM93)="VICE PRESIDENT",INDEX(INDIRECT("'WCM Calibration Final'!$H$1:$H$2000"),'Calculations'!$EM93)="ASSISTANT VICE PRESIDENT",INDEX(INDIRECT("'WCM Calibration Final'!$H$1:$H$2000"),'Calculations'!$EM93)="OFFICER"),UPPER(INDEX(INDIRECT("'WCM Calibration Final'!$H$1:$H$2000"),'Calculations'!$EM93)),"Other"),"Other"))</x:f>
      </x:c>
      <x:c r="BW93" s="4"/>
      <x:c r="BX93" s="4"/>
      <x:c r="BY93" s="4" t="n">
        <x:f>IF(AND('Calculations'!BM93=1,'Calculations'!BU93&lt;&gt;"",COUNTIF('Calculations'!$BU$12:BU93,'Calculations'!BU93)=1),MAX('Calculations'!$BY$11:BY92)+1,0)</x:f>
        <x:v>0</x:v>
      </x:c>
      <x:c r="BZ93" s="4" t="str">
        <x:f>IF('Dashboard'!$E$67="What",'Calculations'!BO93,'Calculations'!BP93)</x:f>
      </x:c>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t="str">
        <x:f>IF(82&gt;MAX('Calculations'!$HI$13:$HI$512),"",INDEX('Calculations'!$HN$13:$HN$512,MATCH(82,'Calculations'!$HI$13:$HI$512,0)))</x:f>
      </x:c>
      <x:c r="DB93" s="4" t="str">
        <x:f>IF(82&gt;MAX('Calculations'!$HH$13:$HH$512),"",INDEX('Calculations'!$HJ$13:$HJ$512,MATCH(82,'Calculations'!$HH$13:$HH$512,0)))</x:f>
      </x:c>
      <x:c r="DC93" s="4" t="str">
        <x:f>IF(ROW()-11&gt;MAX('Calculations'!$BY$13:$BY$512),"",INDEX('Calculations'!$BU$13:$BU$512,MATCH(ROW()-11,'Calculations'!$BY$13:$BY$512,0)))</x:f>
      </x:c>
      <x:c r="DD93" s="4" t="str">
        <x:f>IF(82&gt;MAX('Calculations'!$IK$13:$IK$512),"",INDEX('Calculations'!$HK$13:$HK$512,MATCH(82,'Calculations'!$IK$13:$IK$512,0)))</x:f>
      </x:c>
      <x:c r="DE93" s="4" t="str">
        <x:f>'Calculations'!DC93</x:f>
      </x:c>
      <x:c r="DF93" s="4" t="str">
        <x:f>IF('Calculations'!DE93="","",COUNTIFS('Calculations'!$BN$13:$BN$512,1,'Calculations'!$BU$13:$BU$512,'Calculations'!DE93))</x:f>
      </x:c>
      <x:c r="DG93" s="4" t="str">
        <x:f>IF('Calculations'!DE93="","",COUNTIFS('Calculations'!$BN$13:$BN$512,1,'Calculations'!$BU$13:$BU$512,'Calculations'!DE93,'Calculations'!$BT$13:$BT$512,1))</x:f>
      </x:c>
      <x:c r="DH93" s="4" t="str">
        <x:f>IF('Calculations'!DE93="","",'Calculations'!DF93-'Calculations'!DG93)</x:f>
      </x:c>
      <x:c r="DI93" s="4" t="str">
        <x:f>IF(OR('Calculations'!DE93="",'Calculations'!DF93=0),"",'Calculations'!DG93/'Calculations'!DF93)</x:f>
      </x:c>
      <x:c r="DJ93" s="4" t="str">
        <x:f>IF('Calculations'!DE93="","",COUNTIFS('Calculations'!$BN$13:$BN$512,1,'Calculations'!$BU$13:$BU$512,'Calculations'!DE93,'Calculations'!$BT$13:$BT$512,1,'Calculations'!$EE$13:$EE$512,"High"))</x:f>
      </x:c>
      <x:c r="DK93" s="4" t="str">
        <x:f>IF('Calculations'!DE93="","",COUNTIFS('Calculations'!$BN$13:$BN$512,1,'Calculations'!$BU$13:$BU$512,'Calculations'!DE93,'Calculations'!$BT$13:$BT$512,1,'Calculations'!$EE$13:$EE$512,"Strong"))</x:f>
      </x:c>
      <x:c r="DL93" s="4" t="str">
        <x:f>IF('Calculations'!DE93="","",COUNTIFS('Calculations'!$BN$13:$BN$512,1,'Calculations'!$BU$13:$BU$512,'Calculations'!DE93,'Calculations'!$BT$13:$BT$512,1,'Calculations'!$EE$13:$EE$512,"Solid"))</x:f>
      </x:c>
      <x:c r="DM93" s="4" t="str">
        <x:f>IF('Calculations'!DE93="","",COUNTIFS('Calculations'!$BN$13:$BN$512,1,'Calculations'!$BU$13:$BU$512,'Calculations'!DE93,'Calculations'!$BT$13:$BT$512,1,'Calculations'!$EE$13:$EE$512,"Low"))</x:f>
      </x:c>
      <x:c r="DN93" s="4" t="str">
        <x:f>IF('Calculations'!DE93="","",COUNTIFS('Calculations'!$BN$13:$BN$512,1,'Calculations'!$BU$13:$BU$512,'Calculations'!DE93,'Calculations'!$EP$13:$EP$512,1))</x:f>
      </x:c>
      <x:c r="DO93" s="4" t="str">
        <x:f>IF(OR('Calculations'!DE93="",'Calculations'!DG93=0),"",('Calculations'!DJ93+'Calculations'!DK93)/'Calculations'!DG93)</x:f>
      </x:c>
      <x:c r="DP93" s="4" t="n">
        <x:f>IF(AND('Calculations'!DE93&lt;&gt;"",'Calculations'!DF93&gt;0),COUNTIF('Calculations'!$DF$12:DF93,"&gt;0"),0)</x:f>
        <x:v>0</x:v>
      </x:c>
      <x:c r="DQ93" s="4" t="str">
        <x:f>IF(82&gt;MAX('Calculations'!$HH$13:$HH$512),"",INDEX('Calculations'!$HF$13:$HF$512,MATCH(82,'Calculations'!$HH$13:$HH$512,0)))</x:f>
      </x:c>
      <x:c r="DR93" s="4" t="str">
        <x:f>IF(82&gt;MAX('Calculations'!$IK$13:$IK$512),"",INDEX('Calculations'!$HE$13:$HE$512,MATCH(82,'Calculations'!$IK$13:$IK$512,0)))</x:f>
      </x:c>
      <x:c r="DS93" s="4"/>
      <x:c r="DT93" s="4"/>
      <x:c r="DU93" s="4"/>
      <x:c r="DV93" s="4"/>
      <x:c r="DW93" s="4"/>
      <x:c r="DX93" s="4"/>
      <x:c r="DY93" s="4"/>
      <x:c r="DZ93" s="4"/>
      <x:c r="EA93" s="4"/>
      <x:c r="EB93" s="4"/>
      <x:c r="EC93" s="4"/>
      <x:c r="ED93" s="4"/>
      <x:c r="EE93" s="4" t="str">
        <x:f>IF('Calculations'!BT93=0,"Not Rated",IF(OR('Calculations'!BO93&gt;=4,'Calculations'!BP93&gt;=4),"Low",IF('Calculations'!BO93+'Calculations'!BP93&lt;=3,"High",IF('Calculations'!BO93+'Calculations'!BP93&lt;=4,"Strong","Solid"))))</x:f>
        <x:v>Not Rated</x:v>
      </x:c>
      <x:c r="EF93" s="4"/>
      <x:c r="EG93" s="4"/>
      <x:c r="EH93" s="4"/>
      <x:c r="EI93" s="4"/>
      <x:c r="EJ93" s="4"/>
      <x:c r="EK93" s="4"/>
      <x:c r="EL93" s="4"/>
      <x:c r="EM93" s="4" t="str">
        <x:f>IF(81&gt;'Calculations'!$JB$2000,"",INDEX('Calculations'!$JA$12:$JA$2000,MATCH(81,'Calculations'!$JB$12:$JB$2000,0)))</x:f>
      </x:c>
      <x:c r="EN93" s="4" t="n">
        <x:f>IF(OR('Calculations'!EM93="",'Calculations'!$AG$8&gt;0,AND('Calculations'!$EF$2&lt;&gt;"All",'Calculations'!HE93='Calculations'!$EF$2),AND('Calculations'!$EF$3&lt;&gt;"All",'Calculations'!HE93='Calculations'!$EF$3)),0,IF(OR('Dashboard'!$B$7="All",'Calculations'!HN93='Dashboard'!$B$7),IF('Calculations'!$EF$2="All",1,IF('Calculations'!HL93&gt;0,0,IF(COUNTIF('Calculations'!HO93:II93,"="&amp;SUBSTITUTE(SUBSTITUTE(SUBSTITUTE('Calculations'!$EF$2,"~","~~"),"*","~*"),"?","~?"))=0,0,IF('Calculations'!$EF$3="All",1,IF(COUNTIF('Calculations'!HO93:II93,"="&amp;SUBSTITUTE(SUBSTITUTE(SUBSTITUTE('Calculations'!$EF$3,"~","~~"),"*","~*"),"?","~?"))&gt;0,1,0))))),0))</x:f>
        <x:v>0</x:v>
      </x:c>
      <x:c r="EO93" s="4" t="str">
        <x:f>IF('Calculations'!IJ93="","",IF('Calculations'!IJ93="!UNRESOLVED","Unresolved hierarchy",IFERROR(INDEX('Calculations'!$HK$13:$HK$512,MATCH('Calculations'!IJ93,'Calculations'!$HE$13:$HE$512,0)),IFERROR(INDEX('Calculations'!$HJ$13:$HJ$512,MATCH('Calculations'!IJ93,'Calculations'!$HF$13:$HF$512,0)),'Calculations'!IJ93))))</x:f>
      </x:c>
      <x:c r="EP93" s="4" t="n">
        <x:f>IF(AND('Calculations'!EM93&lt;&gt;"",'Calculations'!HF93='Calculations'!IJ93),1,0)</x:f>
        <x:v>0</x:v>
      </x:c>
      <x:c r="EQ93" s="4"/>
      <x:c r="ER93" s="4"/>
      <x:c r="ES93" s="4"/>
      <x:c r="ET93" s="4"/>
      <x:c r="EU93" s="4"/>
      <x:c r="EV93" s="4"/>
      <x:c r="EW93" s="4"/>
      <x:c r="EX93" s="4"/>
      <x:c r="EY93" s="4"/>
      <x:c r="EZ93" s="4"/>
      <x:c r="FA93" s="4"/>
      <x:c r="FB93" s="4"/>
      <x:c r="FC93" s="4"/>
      <x:c r="FD93" s="4"/>
      <x:c r="FE93" s="4"/>
      <x:c r="FF93" s="4"/>
      <x:c r="FG93" s="4"/>
      <x:c r="FH93" s="4"/>
      <x:c r="FI93" s="4"/>
      <x:c r="FJ93" s="4"/>
      <x:c r="FK93" s="4"/>
      <x:c r="FL93" s="4"/>
      <x:c r="FM93" s="4"/>
      <x:c r="FN93" s="4"/>
      <x:c r="FO93" s="4"/>
      <x:c r="GA93" s="71"/>
      <x:c r="GB93" s="71"/>
      <x:c r="GC93" s="71"/>
      <x:c r="GD93" s="71"/>
      <x:c r="GE93" s="71"/>
      <x:c r="GF93" s="71"/>
      <x:c r="GG93" s="71"/>
      <x:c r="GH93" s="71"/>
      <x:c r="GI93" s="71"/>
      <x:c r="GJ93" s="71"/>
      <x:c r="GK93" s="71"/>
      <x:c r="GL93" s="71"/>
      <x:c r="GM93" s="71"/>
      <x:c r="GN93" s="71"/>
      <x:c r="GO93" s="71"/>
      <x:c r="GP93" s="71"/>
      <x:c r="GQ93" s="71"/>
      <x:c r="GR93" s="71"/>
      <x:c r="GS93" s="71"/>
      <x:c r="GT93" s="71"/>
      <x:c r="GU93" s="71"/>
      <x:c r="GV93" s="71"/>
      <x:c r="GW93" s="71"/>
      <x:c r="GX93" s="71"/>
      <x:c r="GY93" s="71"/>
      <x:c r="GZ93" s="71"/>
      <x:c r="HA93" s="71"/>
      <x:c r="HB93" s="71" t="str">
        <x:f>"/ "&amp;MAX(1,ROUNDUP(MAX('Calculations'!$DP$12:$DP$1012)/20,0))</x:f>
        <x:v>/ 1</x:v>
      </x:c>
      <x:c r="HC93" s="71"/>
      <x:c r="HD93" s="71"/>
      <x:c r="HE93" t="str">
        <x:f>IF('Calculations'!EM93="","",IF(IFERROR(IF(INDEX(INDIRECT("'WCM Calibration Final'!$A$1:$A$2000"),'Calculations'!$EM93)="","",TRIM(INDEX(INDIRECT("'WCM Calibration Final'!$A$1:$A$2000"),'Calculations'!$EM93)&amp;"")),"")&lt;&gt;"","G:"&amp;IFERROR(TEXT(1*INDEX(INDIRECT("'WCM Calibration Final'!$A$1:$A$2000"),'Calculations'!$EM93),"0"),UPPER(IFERROR(IF(INDEX(INDIRECT("'WCM Calibration Final'!$A$1:$A$2000"),'Calculations'!$EM93)="","",TRIM(INDEX(INDIRECT("'WCM Calibration Final'!$A$1:$A$2000"),'Calculations'!$EM93)&amp;"")),""))),IF(IFERROR(IF(INDEX(INDIRECT("'WCM Calibration Final'!$C$1:$C$2000"),'Calculations'!$EM93)="","",TRIM(INDEX(INDIRECT("'WCM Calibration Final'!$C$1:$C$2000"),'Calculations'!$EM93)&amp;"")),"")&lt;&gt;"","S:"&amp;UPPER(IFERROR(IF(INDEX(INDIRECT("'WCM Calibration Final'!$C$1:$C$2000"),'Calculations'!$EM93)="","",TRIM(INDEX(INDIRECT("'WCM Calibration Final'!$C$1:$C$2000"),'Calculations'!$EM93)&amp;"")),"")),"R:"&amp;'Calculations'!EM93)))</x:f>
      </x:c>
      <x:c r="HF93" t="str">
        <x:f>IF('Calculations'!EM93="","",IF(IFERROR(IF(INDEX(INDIRECT("'WCM Calibration Final'!$D$1:$D$2000"),'Calculations'!$EM93)="","",TRIM(INDEX(INDIRECT("'WCM Calibration Final'!$D$1:$D$2000"),'Calculations'!$EM93)&amp;"")),"")&lt;&gt;"","G:"&amp;IFERROR(TEXT(1*INDEX(INDIRECT("'WCM Calibration Final'!$D$1:$D$2000"),'Calculations'!$EM93),"0"),UPPER(IFERROR(IF(INDEX(INDIRECT("'WCM Calibration Final'!$D$1:$D$2000"),'Calculations'!$EM93)="","",TRIM(INDEX(INDIRECT("'WCM Calibration Final'!$D$1:$D$2000"),'Calculations'!$EM93)&amp;"")),""))),IF(IFERROR(IF(INDEX(INDIRECT("'WCM Calibration Final'!$E$1:$E$2000"),'Calculations'!$EM93)="","",TRIM(INDEX(INDIRECT("'WCM Calibration Final'!$E$1:$E$2000"),'Calculations'!$EM93)&amp;"")),"")="","",IF(COUNTIF('Calculations'!$HG$13:$HG$512,"="&amp;SUBSTITUTE(SUBSTITUTE(SUBSTITUTE(IFERROR(IF(INDEX(INDIRECT("'WCM Calibration Final'!$E$1:$E$2000"),'Calculations'!$EM93)="","",TRIM(INDEX(INDIRECT("'WCM Calibration Final'!$E$1:$E$2000"),'Calculations'!$EM93)&amp;"")),""),"~","~~"),"*","~*"),"?","~?"))=1,INDEX('Calculations'!$HE$13:$HE$512,MATCH(IFERROR(IF(INDEX(INDIRECT("'WCM Calibration Final'!$E$1:$E$2000"),'Calculations'!$EM93)="","",TRIM(INDEX(INDIRECT("'WCM Calibration Final'!$E$1:$E$2000"),'Calculations'!$EM93)&amp;"")),""),'Calculations'!$HG$13:$HG$512,0)),IF(COUNTIF('Calculations'!$HG$13:$HG$512,"="&amp;SUBSTITUTE(SUBSTITUTE(SUBSTITUTE(IFERROR(IF(INDEX(INDIRECT("'WCM Calibration Final'!$E$1:$E$2000"),'Calculations'!$EM93)="","",TRIM(INDEX(INDIRECT("'WCM Calibration Final'!$E$1:$E$2000"),'Calculations'!$EM93)&amp;"")),""),"~","~~"),"*","~*"),"?","~?"))&gt;1,"!AMBIG","X:"&amp;IFERROR(IF(INDEX(INDIRECT("'WCM Calibration Final'!$E$1:$E$2000"),'Calculations'!$EM93)="","",TRIM(INDEX(INDIRECT("'WCM Calibration Final'!$E$1:$E$2000"),'Calculations'!$EM93)&amp;"")),""))))))</x:f>
      </x:c>
      <x:c r="HG93" t="str">
        <x:f>IF('Calculations'!EM93="","",IFERROR(IF(INDEX(INDIRECT("'WCM Calibration Final'!$B$1:$B$2000"),'Calculations'!$EM93)="","",TRIM(INDEX(INDIRECT("'WCM Calibration Final'!$B$1:$B$2000"),'Calculations'!$EM93)&amp;"")),""))</x:f>
      </x:c>
      <x:c r="HH93" t="n">
        <x:f>IF(AND('Calculations'!JC93&gt;0,COUNTIF('Calculations'!$HF$12:HF93,"="&amp;SUBSTITUTE(SUBSTITUTE(SUBSTITUTE('Calculations'!HF93,"~","~~"),"*","~*"),"?","~?"))=1),MAX('Calculations'!$HH$12:HH92)+1,0)</x:f>
        <x:v>0</x:v>
      </x:c>
      <x:c r="HI93" t="n">
        <x:f>IF(AND('Calculations'!HN93&lt;&gt;"",COUNTIF('Calculations'!$HN$12:HN93,"="&amp;SUBSTITUTE(SUBSTITUTE(SUBSTITUTE('Calculations'!HN93,"~","~~"),"*","~*"),"?","~?"))=1),MAX('Calculations'!$HI$12:HI92)+1,0)</x:f>
        <x:v>0</x:v>
      </x:c>
      <x:c r="HJ93" t="str">
        <x:f>IF('Calculations'!HF93="","",IF(COUNTIF('Calculations'!$HE$13:$HE$512,"="&amp;SUBSTITUTE(SUBSTITUTE(SUBSTITUTE('Calculations'!HF93,"~","~~"),"*","~*"),"?","~?"))=1,INDEX('Calculations'!$HK$13:$HK$512,MATCH('Calculations'!HF93,'Calculations'!$HE$13:$HE$512,0)),IFERROR(IF(INDEX(INDIRECT("'WCM Calibration Final'!$E$1:$E$2000"),'Calculations'!$EM93)="","",TRIM(INDEX(INDIRECT("'WCM Calibration Final'!$E$1:$E$2000"),'Calculations'!$EM93)&amp;"")),"")&amp;" ["&amp;'Calculations'!HF93&amp;"]"))</x:f>
      </x:c>
      <x:c r="HK93" t="str">
        <x:f>IF('Calculations'!EM93="","",'Calculations'!HG93&amp;" ["&amp;'Calculations'!HE93&amp;"]")</x:f>
      </x:c>
      <x:c r="HL93" t="n">
        <x:f>IF('Calculations'!EM93="",0,IF(OR('Calculations'!II93&lt;&gt;"",COUNTIF('Calculations'!$HE$13:$HE$512,"="&amp;SUBSTITUTE(SUBSTITUTE(SUBSTITUTE('Calculations'!HE93,"~","~~"),"*","~*"),"?","~?"))&gt;1),1,0))</x:f>
        <x:v>0</x:v>
      </x:c>
      <x:c r="HM93" t="str">
        <x:f>IF('Calculations'!EM93="","",IF('Calculations'!HL93=1,"!UNRESOLVED",IF('Calculations'!IH93&lt;&gt;"",'Calculations'!IH93,IF('Calculations'!IG93&lt;&gt;"",'Calculations'!IG93,IF('Calculations'!IF93&lt;&gt;"",'Calculations'!IF93,IF('Calculations'!IE93&lt;&gt;"",'Calculations'!IE93,IF('Calculations'!ID93&lt;&gt;"",'Calculations'!ID93,IF('Calculations'!IC93&lt;&gt;"",'Calculations'!IC93,IF('Calculations'!IB93&lt;&gt;"",'Calculations'!IB93,IF('Calculations'!IA93&lt;&gt;"",'Calculations'!IA93,IF('Calculations'!HZ93&lt;&gt;"",'Calculations'!HZ93,IF('Calculations'!HY93&lt;&gt;"",'Calculations'!HY93,IF('Calculations'!HX93&lt;&gt;"",'Calculations'!HX93,IF('Calculations'!HW93&lt;&gt;"",'Calculations'!HW93,IF('Calculations'!HV93&lt;&gt;"",'Calculations'!HV93,IF('Calculations'!HU93&lt;&gt;"",'Calculations'!HU93,IF('Calculations'!HT93&lt;&gt;"",'Calculations'!HT93,IF('Calculations'!HS93&lt;&gt;"",'Calculations'!HS93,IF('Calculations'!HR93&lt;&gt;"",'Calculations'!HR93,IF('Calculations'!HQ93&lt;&gt;"",'Calculations'!HQ93,IF('Calculations'!HP93&lt;&gt;"",'Calculations'!HP93,IF('Calculations'!HO93&lt;&gt;"",'Calculations'!HO93,'Calculations'!HE93))))))))))))))))))))))</x:f>
      </x:c>
      <x:c r="HN93" t="str">
        <x:f>IF('Calculations'!EM93="","",IF(IFERROR(IF(INDEX(INDIRECT("'WCM Calibration Final'!$F$1:$F$2000"),'Calculations'!$EM93)="","",TRIM(INDEX(INDIRECT("'WCM Calibration Final'!$F$1:$F$2000"),'Calculations'!$EM93)&amp;"")),"")="","(Blank)",IFERROR(IF(INDEX(INDIRECT("'WCM Calibration Final'!$F$1:$F$2000"),'Calculations'!$EM93)="","",TRIM(INDEX(INDIRECT("'WCM Calibration Final'!$F$1:$F$2000"),'Calculations'!$EM93)&amp;"")),"")))</x:f>
      </x:c>
      <x:c r="HO93" t="str">
        <x:f>'Calculations'!HF93</x:f>
      </x:c>
      <x:c r="HP93" t="str">
        <x:f>IF('Calculations'!HO93="","",IF('Calculations'!HO93="!AMBIG","!AMBIG",IF(COUNTIF('Calculations'!$HE$13:$HE$512,"="&amp;SUBSTITUTE(SUBSTITUTE(SUBSTITUTE('Calculations'!HO93,"~","~~"),"*","~*"),"?","~?"))&gt;1,"!AMBIG",IFERROR(INDEX('Calculations'!$HF$13:$HF$512,MATCH('Calculations'!HO93,'Calculations'!$HE$13:$HE$512,0)),""))))</x:f>
      </x:c>
      <x:c r="HQ93" t="str">
        <x:f>IF('Calculations'!HP93="","",IF('Calculations'!HP93="!AMBIG","!AMBIG",IF(COUNTIF('Calculations'!$HE$13:$HE$512,"="&amp;SUBSTITUTE(SUBSTITUTE(SUBSTITUTE('Calculations'!HP93,"~","~~"),"*","~*"),"?","~?"))&gt;1,"!AMBIG",IFERROR(INDEX('Calculations'!$HF$13:$HF$512,MATCH('Calculations'!HP93,'Calculations'!$HE$13:$HE$512,0)),""))))</x:f>
      </x:c>
      <x:c r="HR93" t="str">
        <x:f>IF('Calculations'!HQ93="","",IF('Calculations'!HQ93="!AMBIG","!AMBIG",IF(COUNTIF('Calculations'!$HE$13:$HE$512,"="&amp;SUBSTITUTE(SUBSTITUTE(SUBSTITUTE('Calculations'!HQ93,"~","~~"),"*","~*"),"?","~?"))&gt;1,"!AMBIG",IFERROR(INDEX('Calculations'!$HF$13:$HF$512,MATCH('Calculations'!HQ93,'Calculations'!$HE$13:$HE$512,0)),""))))</x:f>
      </x:c>
      <x:c r="HS93" t="str">
        <x:f>IF('Calculations'!HR93="","",IF('Calculations'!HR93="!AMBIG","!AMBIG",IF(COUNTIF('Calculations'!$HE$13:$HE$512,"="&amp;SUBSTITUTE(SUBSTITUTE(SUBSTITUTE('Calculations'!HR93,"~","~~"),"*","~*"),"?","~?"))&gt;1,"!AMBIG",IFERROR(INDEX('Calculations'!$HF$13:$HF$512,MATCH('Calculations'!HR93,'Calculations'!$HE$13:$HE$512,0)),""))))</x:f>
      </x:c>
      <x:c r="HT93" t="str">
        <x:f>IF('Calculations'!HS93="","",IF('Calculations'!HS93="!AMBIG","!AMBIG",IF(COUNTIF('Calculations'!$HE$13:$HE$512,"="&amp;SUBSTITUTE(SUBSTITUTE(SUBSTITUTE('Calculations'!HS93,"~","~~"),"*","~*"),"?","~?"))&gt;1,"!AMBIG",IFERROR(INDEX('Calculations'!$HF$13:$HF$512,MATCH('Calculations'!HS93,'Calculations'!$HE$13:$HE$512,0)),""))))</x:f>
      </x:c>
      <x:c r="HU93" t="str">
        <x:f>IF('Calculations'!HT93="","",IF('Calculations'!HT93="!AMBIG","!AMBIG",IF(COUNTIF('Calculations'!$HE$13:$HE$512,"="&amp;SUBSTITUTE(SUBSTITUTE(SUBSTITUTE('Calculations'!HT93,"~","~~"),"*","~*"),"?","~?"))&gt;1,"!AMBIG",IFERROR(INDEX('Calculations'!$HF$13:$HF$512,MATCH('Calculations'!HT93,'Calculations'!$HE$13:$HE$512,0)),""))))</x:f>
      </x:c>
      <x:c r="HV93" t="str">
        <x:f>IF('Calculations'!HU93="","",IF('Calculations'!HU93="!AMBIG","!AMBIG",IF(COUNTIF('Calculations'!$HE$13:$HE$512,"="&amp;SUBSTITUTE(SUBSTITUTE(SUBSTITUTE('Calculations'!HU93,"~","~~"),"*","~*"),"?","~?"))&gt;1,"!AMBIG",IFERROR(INDEX('Calculations'!$HF$13:$HF$512,MATCH('Calculations'!HU93,'Calculations'!$HE$13:$HE$512,0)),""))))</x:f>
      </x:c>
      <x:c r="HW93" t="str">
        <x:f>IF('Calculations'!HV93="","",IF('Calculations'!HV93="!AMBIG","!AMBIG",IF(COUNTIF('Calculations'!$HE$13:$HE$512,"="&amp;SUBSTITUTE(SUBSTITUTE(SUBSTITUTE('Calculations'!HV93,"~","~~"),"*","~*"),"?","~?"))&gt;1,"!AMBIG",IFERROR(INDEX('Calculations'!$HF$13:$HF$512,MATCH('Calculations'!HV93,'Calculations'!$HE$13:$HE$512,0)),""))))</x:f>
      </x:c>
      <x:c r="HX93" t="str">
        <x:f>IF('Calculations'!HW93="","",IF('Calculations'!HW93="!AMBIG","!AMBIG",IF(COUNTIF('Calculations'!$HE$13:$HE$512,"="&amp;SUBSTITUTE(SUBSTITUTE(SUBSTITUTE('Calculations'!HW93,"~","~~"),"*","~*"),"?","~?"))&gt;1,"!AMBIG",IFERROR(INDEX('Calculations'!$HF$13:$HF$512,MATCH('Calculations'!HW93,'Calculations'!$HE$13:$HE$512,0)),""))))</x:f>
      </x:c>
      <x:c r="HY93" t="str">
        <x:f>IF('Calculations'!HX93="","",IF('Calculations'!HX93="!AMBIG","!AMBIG",IF(COUNTIF('Calculations'!$HE$13:$HE$512,"="&amp;SUBSTITUTE(SUBSTITUTE(SUBSTITUTE('Calculations'!HX93,"~","~~"),"*","~*"),"?","~?"))&gt;1,"!AMBIG",IFERROR(INDEX('Calculations'!$HF$13:$HF$512,MATCH('Calculations'!HX93,'Calculations'!$HE$13:$HE$512,0)),""))))</x:f>
      </x:c>
      <x:c r="HZ93" t="str">
        <x:f>IF('Calculations'!HY93="","",IF('Calculations'!HY93="!AMBIG","!AMBIG",IF(COUNTIF('Calculations'!$HE$13:$HE$512,"="&amp;SUBSTITUTE(SUBSTITUTE(SUBSTITUTE('Calculations'!HY93,"~","~~"),"*","~*"),"?","~?"))&gt;1,"!AMBIG",IFERROR(INDEX('Calculations'!$HF$13:$HF$512,MATCH('Calculations'!HY93,'Calculations'!$HE$13:$HE$512,0)),""))))</x:f>
      </x:c>
      <x:c r="IA93" t="str">
        <x:f>IF('Calculations'!HZ93="","",IF('Calculations'!HZ93="!AMBIG","!AMBIG",IF(COUNTIF('Calculations'!$HE$13:$HE$512,"="&amp;SUBSTITUTE(SUBSTITUTE(SUBSTITUTE('Calculations'!HZ93,"~","~~"),"*","~*"),"?","~?"))&gt;1,"!AMBIG",IFERROR(INDEX('Calculations'!$HF$13:$HF$512,MATCH('Calculations'!HZ93,'Calculations'!$HE$13:$HE$512,0)),""))))</x:f>
      </x:c>
      <x:c r="IB93" t="str">
        <x:f>IF('Calculations'!IA93="","",IF('Calculations'!IA93="!AMBIG","!AMBIG",IF(COUNTIF('Calculations'!$HE$13:$HE$512,"="&amp;SUBSTITUTE(SUBSTITUTE(SUBSTITUTE('Calculations'!IA93,"~","~~"),"*","~*"),"?","~?"))&gt;1,"!AMBIG",IFERROR(INDEX('Calculations'!$HF$13:$HF$512,MATCH('Calculations'!IA93,'Calculations'!$HE$13:$HE$512,0)),""))))</x:f>
      </x:c>
      <x:c r="IC93" t="str">
        <x:f>IF('Calculations'!IB93="","",IF('Calculations'!IB93="!AMBIG","!AMBIG",IF(COUNTIF('Calculations'!$HE$13:$HE$512,"="&amp;SUBSTITUTE(SUBSTITUTE(SUBSTITUTE('Calculations'!IB93,"~","~~"),"*","~*"),"?","~?"))&gt;1,"!AMBIG",IFERROR(INDEX('Calculations'!$HF$13:$HF$512,MATCH('Calculations'!IB93,'Calculations'!$HE$13:$HE$512,0)),""))))</x:f>
      </x:c>
      <x:c r="ID93" t="str">
        <x:f>IF('Calculations'!IC93="","",IF('Calculations'!IC93="!AMBIG","!AMBIG",IF(COUNTIF('Calculations'!$HE$13:$HE$512,"="&amp;SUBSTITUTE(SUBSTITUTE(SUBSTITUTE('Calculations'!IC93,"~","~~"),"*","~*"),"?","~?"))&gt;1,"!AMBIG",IFERROR(INDEX('Calculations'!$HF$13:$HF$512,MATCH('Calculations'!IC93,'Calculations'!$HE$13:$HE$512,0)),""))))</x:f>
      </x:c>
      <x:c r="IE93" t="str">
        <x:f>IF('Calculations'!ID93="","",IF('Calculations'!ID93="!AMBIG","!AMBIG",IF(COUNTIF('Calculations'!$HE$13:$HE$512,"="&amp;SUBSTITUTE(SUBSTITUTE(SUBSTITUTE('Calculations'!ID93,"~","~~"),"*","~*"),"?","~?"))&gt;1,"!AMBIG",IFERROR(INDEX('Calculations'!$HF$13:$HF$512,MATCH('Calculations'!ID93,'Calculations'!$HE$13:$HE$512,0)),""))))</x:f>
      </x:c>
      <x:c r="IF93" t="str">
        <x:f>IF('Calculations'!IE93="","",IF('Calculations'!IE93="!AMBIG","!AMBIG",IF(COUNTIF('Calculations'!$HE$13:$HE$512,"="&amp;SUBSTITUTE(SUBSTITUTE(SUBSTITUTE('Calculations'!IE93,"~","~~"),"*","~*"),"?","~?"))&gt;1,"!AMBIG",IFERROR(INDEX('Calculations'!$HF$13:$HF$512,MATCH('Calculations'!IE93,'Calculations'!$HE$13:$HE$512,0)),""))))</x:f>
      </x:c>
      <x:c r="IG93" t="str">
        <x:f>IF('Calculations'!IF93="","",IF('Calculations'!IF93="!AMBIG","!AMBIG",IF(COUNTIF('Calculations'!$HE$13:$HE$512,"="&amp;SUBSTITUTE(SUBSTITUTE(SUBSTITUTE('Calculations'!IF93,"~","~~"),"*","~*"),"?","~?"))&gt;1,"!AMBIG",IFERROR(INDEX('Calculations'!$HF$13:$HF$512,MATCH('Calculations'!IF93,'Calculations'!$HE$13:$HE$512,0)),""))))</x:f>
      </x:c>
      <x:c r="IH93" t="str">
        <x:f>IF('Calculations'!IG93="","",IF('Calculations'!IG93="!AMBIG","!AMBIG",IF(COUNTIF('Calculations'!$HE$13:$HE$512,"="&amp;SUBSTITUTE(SUBSTITUTE(SUBSTITUTE('Calculations'!IG93,"~","~~"),"*","~*"),"?","~?"))&gt;1,"!AMBIG",IFERROR(INDEX('Calculations'!$HF$13:$HF$512,MATCH('Calculations'!IG93,'Calculations'!$HE$13:$HE$512,0)),""))))</x:f>
      </x:c>
      <x:c r="II93" t="str">
        <x:f>IF('Calculations'!IH93="","",IF('Calculations'!IH93="!AMBIG","!AMBIG",IF(COUNTIF('Calculations'!$HE$13:$HE$512,"="&amp;SUBSTITUTE(SUBSTITUTE(SUBSTITUTE('Calculations'!IH93,"~","~~"),"*","~*"),"?","~?"))&gt;1,"!AMBIG",IFERROR(INDEX('Calculations'!$HF$13:$HF$512,MATCH('Calculations'!IH93,'Calculations'!$HE$13:$HE$512,0)),""))))</x:f>
      </x:c>
      <x:c r="IJ93" t="str">
        <x:f>IF('Calculations'!EM93="","",IF('Calculations'!$EF$2="All",'Calculations'!HM93,IF('Calculations'!HL93=1,"",IFERROR(IF(MATCH('Calculations'!$EF$2,'Calculations'!HO93:II93,0)=1,'Calculations'!HE93,INDEX('Calculations'!HO93:II93,1,MATCH('Calculations'!$EF$2,'Calculations'!HO93:II93,0)-1)),""))))</x:f>
      </x:c>
      <x:c r="IK93" t="n">
        <x:f>IF(AND('Calculations'!EM93&lt;&gt;"",'Calculations'!$EF$2&lt;&gt;"All",'Calculations'!HF93='Calculations'!$EF$2,'Calculations'!HL93=0,'Calculations'!JD93&gt;0),MAX('Calculations'!$IK$12:IK92)+1,0)</x:f>
        <x:v>0</x:v>
      </x:c>
      <x:c r="JA93" t="n">
        <x:f>IF(OR(IFERROR(INDIRECT("'WCM Calibration Final'!$A$93")&lt;&gt;"",FALSE),IFERROR(INDIRECT("'WCM Calibration Final'!$B$93")&lt;&gt;"",FALSE),IFERROR(INDIRECT("'WCM Calibration Final'!$C$93")&lt;&gt;"",FALSE)),93,0)</x:f>
        <x:v>0</x:v>
      </x:c>
      <x:c r="JB93" t="n">
        <x:f>'Calculations'!JB92+IF('Calculations'!JA93&gt;0,1,0)</x:f>
        <x:v>0</x:v>
      </x:c>
      <x:c r="JC93" t="n">
        <x:f>IF(OR('Calculations'!HF93="",'Calculations'!HF93="!AMBIG"),0,IF('Dashboard'!$B$7="All",1,COUNTIFS('Calculations'!$HO$13:$HO$512,"="&amp;SUBSTITUTE(SUBSTITUTE(SUBSTITUTE('Calculations'!HF93,"~","~~"),"*","~*"),"?","~?"),'Calculations'!$HN$13:$HN$512,"="&amp;SUBSTITUTE(SUBSTITUTE(SUBSTITUTE('Dashboard'!$B$7,"~","~~"),"*","~*"),"?","~?"))+COUNTIFS('Calculations'!$HP$13:$HP$512,"="&amp;SUBSTITUTE(SUBSTITUTE(SUBSTITUTE('Calculations'!HF93,"~","~~"),"*","~*"),"?","~?"),'Calculations'!$HN$13:$HN$512,"="&amp;SUBSTITUTE(SUBSTITUTE(SUBSTITUTE('Dashboard'!$B$7,"~","~~"),"*","~*"),"?","~?"))+COUNTIFS('Calculations'!$HQ$13:$HQ$512,"="&amp;SUBSTITUTE(SUBSTITUTE(SUBSTITUTE('Calculations'!HF93,"~","~~"),"*","~*"),"?","~?"),'Calculations'!$HN$13:$HN$512,"="&amp;SUBSTITUTE(SUBSTITUTE(SUBSTITUTE('Dashboard'!$B$7,"~","~~"),"*","~*"),"?","~?"))+COUNTIFS('Calculations'!$HR$13:$HR$512,"="&amp;SUBSTITUTE(SUBSTITUTE(SUBSTITUTE('Calculations'!HF93,"~","~~"),"*","~*"),"?","~?"),'Calculations'!$HN$13:$HN$512,"="&amp;SUBSTITUTE(SUBSTITUTE(SUBSTITUTE('Dashboard'!$B$7,"~","~~"),"*","~*"),"?","~?"))+COUNTIFS('Calculations'!$HS$13:$HS$512,"="&amp;SUBSTITUTE(SUBSTITUTE(SUBSTITUTE('Calculations'!HF93,"~","~~"),"*","~*"),"?","~?"),'Calculations'!$HN$13:$HN$512,"="&amp;SUBSTITUTE(SUBSTITUTE(SUBSTITUTE('Dashboard'!$B$7,"~","~~"),"*","~*"),"?","~?"))+COUNTIFS('Calculations'!$HT$13:$HT$512,"="&amp;SUBSTITUTE(SUBSTITUTE(SUBSTITUTE('Calculations'!HF93,"~","~~"),"*","~*"),"?","~?"),'Calculations'!$HN$13:$HN$512,"="&amp;SUBSTITUTE(SUBSTITUTE(SUBSTITUTE('Dashboard'!$B$7,"~","~~"),"*","~*"),"?","~?"))+COUNTIFS('Calculations'!$HU$13:$HU$512,"="&amp;SUBSTITUTE(SUBSTITUTE(SUBSTITUTE('Calculations'!HF93,"~","~~"),"*","~*"),"?","~?"),'Calculations'!$HN$13:$HN$512,"="&amp;SUBSTITUTE(SUBSTITUTE(SUBSTITUTE('Dashboard'!$B$7,"~","~~"),"*","~*"),"?","~?"))+COUNTIFS('Calculations'!$HV$13:$HV$512,"="&amp;SUBSTITUTE(SUBSTITUTE(SUBSTITUTE('Calculations'!HF93,"~","~~"),"*","~*"),"?","~?"),'Calculations'!$HN$13:$HN$512,"="&amp;SUBSTITUTE(SUBSTITUTE(SUBSTITUTE('Dashboard'!$B$7,"~","~~"),"*","~*"),"?","~?"))+COUNTIFS('Calculations'!$HW$13:$HW$512,"="&amp;SUBSTITUTE(SUBSTITUTE(SUBSTITUTE('Calculations'!HF93,"~","~~"),"*","~*"),"?","~?"),'Calculations'!$HN$13:$HN$512,"="&amp;SUBSTITUTE(SUBSTITUTE(SUBSTITUTE('Dashboard'!$B$7,"~","~~"),"*","~*"),"?","~?"))+COUNTIFS('Calculations'!$HX$13:$HX$512,"="&amp;SUBSTITUTE(SUBSTITUTE(SUBSTITUTE('Calculations'!HF93,"~","~~"),"*","~*"),"?","~?"),'Calculations'!$HN$13:$HN$512,"="&amp;SUBSTITUTE(SUBSTITUTE(SUBSTITUTE('Dashboard'!$B$7,"~","~~"),"*","~*"),"?","~?"))+COUNTIFS('Calculations'!$HY$13:$HY$512,"="&amp;SUBSTITUTE(SUBSTITUTE(SUBSTITUTE('Calculations'!HF93,"~","~~"),"*","~*"),"?","~?"),'Calculations'!$HN$13:$HN$512,"="&amp;SUBSTITUTE(SUBSTITUTE(SUBSTITUTE('Dashboard'!$B$7,"~","~~"),"*","~*"),"?","~?"))+COUNTIFS('Calculations'!$HZ$13:$HZ$512,"="&amp;SUBSTITUTE(SUBSTITUTE(SUBSTITUTE('Calculations'!HF93,"~","~~"),"*","~*"),"?","~?"),'Calculations'!$HN$13:$HN$512,"="&amp;SUBSTITUTE(SUBSTITUTE(SUBSTITUTE('Dashboard'!$B$7,"~","~~"),"*","~*"),"?","~?"))+COUNTIFS('Calculations'!$IA$13:$IA$512,"="&amp;SUBSTITUTE(SUBSTITUTE(SUBSTITUTE('Calculations'!HF93,"~","~~"),"*","~*"),"?","~?"),'Calculations'!$HN$13:$HN$512,"="&amp;SUBSTITUTE(SUBSTITUTE(SUBSTITUTE('Dashboard'!$B$7,"~","~~"),"*","~*"),"?","~?"))+COUNTIFS('Calculations'!$IB$13:$IB$512,"="&amp;SUBSTITUTE(SUBSTITUTE(SUBSTITUTE('Calculations'!HF93,"~","~~"),"*","~*"),"?","~?"),'Calculations'!$HN$13:$HN$512,"="&amp;SUBSTITUTE(SUBSTITUTE(SUBSTITUTE('Dashboard'!$B$7,"~","~~"),"*","~*"),"?","~?"))+COUNTIFS('Calculations'!$IC$13:$IC$512,"="&amp;SUBSTITUTE(SUBSTITUTE(SUBSTITUTE('Calculations'!HF93,"~","~~"),"*","~*"),"?","~?"),'Calculations'!$HN$13:$HN$512,"="&amp;SUBSTITUTE(SUBSTITUTE(SUBSTITUTE('Dashboard'!$B$7,"~","~~"),"*","~*"),"?","~?"))+COUNTIFS('Calculations'!$ID$13:$ID$512,"="&amp;SUBSTITUTE(SUBSTITUTE(SUBSTITUTE('Calculations'!HF93,"~","~~"),"*","~*"),"?","~?"),'Calculations'!$HN$13:$HN$512,"="&amp;SUBSTITUTE(SUBSTITUTE(SUBSTITUTE('Dashboard'!$B$7,"~","~~"),"*","~*"),"?","~?"))+COUNTIFS('Calculations'!$IE$13:$IE$512,"="&amp;SUBSTITUTE(SUBSTITUTE(SUBSTITUTE('Calculations'!HF93,"~","~~"),"*","~*"),"?","~?"),'Calculations'!$HN$13:$HN$512,"="&amp;SUBSTITUTE(SUBSTITUTE(SUBSTITUTE('Dashboard'!$B$7,"~","~~"),"*","~*"),"?","~?"))+COUNTIFS('Calculations'!$IF$13:$IF$512,"="&amp;SUBSTITUTE(SUBSTITUTE(SUBSTITUTE('Calculations'!HF93,"~","~~"),"*","~*"),"?","~?"),'Calculations'!$HN$13:$HN$512,"="&amp;SUBSTITUTE(SUBSTITUTE(SUBSTITUTE('Dashboard'!$B$7,"~","~~"),"*","~*"),"?","~?"))+COUNTIFS('Calculations'!$IG$13:$IG$512,"="&amp;SUBSTITUTE(SUBSTITUTE(SUBSTITUTE('Calculations'!HF93,"~","~~"),"*","~*"),"?","~?"),'Calculations'!$HN$13:$HN$512,"="&amp;SUBSTITUTE(SUBSTITUTE(SUBSTITUTE('Dashboard'!$B$7,"~","~~"),"*","~*"),"?","~?"))+COUNTIFS('Calculations'!$IH$13:$IH$512,"="&amp;SUBSTITUTE(SUBSTITUTE(SUBSTITUTE('Calculations'!HF93,"~","~~"),"*","~*"),"?","~?"),'Calculations'!$HN$13:$HN$512,"="&amp;SUBSTITUTE(SUBSTITUTE(SUBSTITUTE('Dashboard'!$B$7,"~","~~"),"*","~*"),"?","~?"))))</x:f>
        <x:v>0</x:v>
      </x:c>
      <x:c r="JD93" t="n">
        <x:f>IF('Calculations'!EM93="",0,IF('Dashboard'!$B$7="All",1,IF('Calculations'!HN93='Dashboard'!$B$7,1,0)+IFERROR(INDEX('Calculations'!$JC$13:$JC$512,MATCH('Calculations'!HE93,'Calculations'!$HF$13:$HF$512,0)),0)))</x:f>
        <x:v>0</x:v>
      </x:c>
      <x:c r="JE93" t="n">
        <x:f>IF(AND('Calculations'!EM93&lt;&gt;"",'Calculations'!$JJ$2&lt;&gt;"All",'Calculations'!$JJ$2&lt;&gt;"",'Calculations'!HF93='Calculations'!$JJ$2,'Calculations'!HL93=0,'Calculations'!JD93&gt;0),MAX('Calculations'!$JE$12:JE92)+1,0)</x:f>
        <x:v>0</x:v>
      </x:c>
      <x:c r="JF93" t="str">
        <x:f>IF('Calculations'!EM93="","",IFERROR(IF(INDEX(INDIRECT("'WCM Calibration Final'!$G$1:$G$2000"),'Calculations'!$EM93)="","",TRIM(INDEX(INDIRECT("'WCM Calibration Final'!$G$1:$G$2000"),'Calculations'!$EM93)&amp;"")),""))</x:f>
      </x:c>
      <x:c r="JQ93" t="n">
        <x:f>IF(OR('Calculations'!BM93=0,NOT('Calculations'!$AG$2),'Calculations'!$AG$8&gt;0),0,IF(OR('Dashboard'!$B$7="All",'Calculations'!HN93='Dashboard'!$B$7),IF('Calculations'!$JJ$2="All",1,IF(AND('Calculations'!HF93='Calculations'!$JJ$2,'Calculations'!HL93=0),1,0)),0))</x:f>
        <x:v>0</x:v>
      </x:c>
    </x:row>
    <x:row r="9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t="n">
        <x:f>IF('Calculations'!$EM94="",0,IF(OR(IFERROR(INDEX(INDIRECT("'WCM Calibration Final'!$A$1:$A$2000"),'Calculations'!$EM94)&lt;&gt;"",FALSE),IFERROR(INDEX(INDIRECT("'WCM Calibration Final'!$B$1:$B$2000"),'Calculations'!$EM94)&lt;&gt;"",FALSE),IFERROR(INDEX(INDIRECT("'WCM Calibration Final'!$C$1:$C$2000"),'Calculations'!$EM94)&lt;&gt;"",FALSE)),1,0))</x:f>
        <x:v>0</x:v>
      </x:c>
      <x:c r="BN94" s="4" t="n">
        <x:f>IF(AND('Calculations'!BM94=1,'Calculations'!$AG$2,'Calculations'!$EN94=1),1,0)</x:f>
        <x:v>0</x:v>
      </x:c>
      <x:c r="BO94" s="4" t="str">
        <x:f>IF('Calculations'!BM94=0,"",IFERROR(IF(AND(VALUE(INDEX(INDIRECT("'WCM Calibration Final'!$K$1:$K$2000"),'Calculations'!$EM94))&gt;=1,VALUE(INDEX(INDIRECT("'WCM Calibration Final'!$K$1:$K$2000"),'Calculations'!$EM94))&lt;=4,MOD(VALUE(INDEX(INDIRECT("'WCM Calibration Final'!$K$1:$K$2000"),'Calculations'!$EM94)),1)=0),VALUE(INDEX(INDIRECT("'WCM Calibration Final'!$K$1:$K$2000"),'Calculations'!$EM94)),""),""))</x:f>
      </x:c>
      <x:c r="BP94" s="4" t="str">
        <x:f>IF('Calculations'!BM94=0,"",IFERROR(IF(AND(VALUE(INDEX(INDIRECT("'WCM Calibration Final'!$L$1:$L$2000"),'Calculations'!$EM94))&gt;=1,VALUE(INDEX(INDIRECT("'WCM Calibration Final'!$L$1:$L$2000"),'Calculations'!$EM94))&lt;=4,MOD(VALUE(INDEX(INDIRECT("'WCM Calibration Final'!$L$1:$L$2000"),'Calculations'!$EM94)),1)=0),VALUE(INDEX(INDIRECT("'WCM Calibration Final'!$L$1:$L$2000"),'Calculations'!$EM94)),""),""))</x:f>
      </x:c>
      <x:c r="BQ94" s="4"/>
      <x:c r="BR94" s="4"/>
      <x:c r="BS94" s="4"/>
      <x:c r="BT94" s="4" t="n">
        <x:f>IF(AND('Calculations'!BM94=1,ISNUMBER('Calculations'!BO94),ISNUMBER('Calculations'!BP94)),1,0)</x:f>
        <x:v>0</x:v>
      </x:c>
      <x:c r="BU94" s="4" t="str">
        <x:f>IF('Calculations'!BM94=0,"",'Calculations'!$EO94)</x:f>
      </x:c>
      <x:c r="BV94" s="4" t="str">
        <x:f>IF('Calculations'!BM94=0,"",IFERROR(IF(OR(INDEX(INDIRECT("'WCM Calibration Final'!$H$1:$H$2000"),'Calculations'!$EM94)="MANAGING DIRECTOR",INDEX(INDIRECT("'WCM Calibration Final'!$H$1:$H$2000"),'Calculations'!$EM94)="DIRECTOR",INDEX(INDIRECT("'WCM Calibration Final'!$H$1:$H$2000"),'Calculations'!$EM94)="SENIOR VICE PRESIDENT",INDEX(INDIRECT("'WCM Calibration Final'!$H$1:$H$2000"),'Calculations'!$EM94)="VICE PRESIDENT",INDEX(INDIRECT("'WCM Calibration Final'!$H$1:$H$2000"),'Calculations'!$EM94)="ASSISTANT VICE PRESIDENT",INDEX(INDIRECT("'WCM Calibration Final'!$H$1:$H$2000"),'Calculations'!$EM94)="OFFICER"),UPPER(INDEX(INDIRECT("'WCM Calibration Final'!$H$1:$H$2000"),'Calculations'!$EM94)),"Other"),"Other"))</x:f>
      </x:c>
      <x:c r="BW94" s="4"/>
      <x:c r="BX94" s="4"/>
      <x:c r="BY94" s="4" t="n">
        <x:f>IF(AND('Calculations'!BM94=1,'Calculations'!BU94&lt;&gt;"",COUNTIF('Calculations'!$BU$12:BU94,'Calculations'!BU94)=1),MAX('Calculations'!$BY$11:BY93)+1,0)</x:f>
        <x:v>0</x:v>
      </x:c>
      <x:c r="BZ94" s="4" t="str">
        <x:f>IF('Dashboard'!$E$67="What",'Calculations'!BO94,'Calculations'!BP94)</x:f>
      </x:c>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t="str">
        <x:f>IF(83&gt;MAX('Calculations'!$HI$13:$HI$512),"",INDEX('Calculations'!$HN$13:$HN$512,MATCH(83,'Calculations'!$HI$13:$HI$512,0)))</x:f>
      </x:c>
      <x:c r="DB94" s="4" t="str">
        <x:f>IF(83&gt;MAX('Calculations'!$HH$13:$HH$512),"",INDEX('Calculations'!$HJ$13:$HJ$512,MATCH(83,'Calculations'!$HH$13:$HH$512,0)))</x:f>
      </x:c>
      <x:c r="DC94" s="4" t="str">
        <x:f>IF(ROW()-11&gt;MAX('Calculations'!$BY$13:$BY$512),"",INDEX('Calculations'!$BU$13:$BU$512,MATCH(ROW()-11,'Calculations'!$BY$13:$BY$512,0)))</x:f>
      </x:c>
      <x:c r="DD94" s="4" t="str">
        <x:f>IF(83&gt;MAX('Calculations'!$IK$13:$IK$512),"",INDEX('Calculations'!$HK$13:$HK$512,MATCH(83,'Calculations'!$IK$13:$IK$512,0)))</x:f>
      </x:c>
      <x:c r="DE94" s="4" t="str">
        <x:f>'Calculations'!DC94</x:f>
      </x:c>
      <x:c r="DF94" s="4" t="str">
        <x:f>IF('Calculations'!DE94="","",COUNTIFS('Calculations'!$BN$13:$BN$512,1,'Calculations'!$BU$13:$BU$512,'Calculations'!DE94))</x:f>
      </x:c>
      <x:c r="DG94" s="4" t="str">
        <x:f>IF('Calculations'!DE94="","",COUNTIFS('Calculations'!$BN$13:$BN$512,1,'Calculations'!$BU$13:$BU$512,'Calculations'!DE94,'Calculations'!$BT$13:$BT$512,1))</x:f>
      </x:c>
      <x:c r="DH94" s="4" t="str">
        <x:f>IF('Calculations'!DE94="","",'Calculations'!DF94-'Calculations'!DG94)</x:f>
      </x:c>
      <x:c r="DI94" s="4" t="str">
        <x:f>IF(OR('Calculations'!DE94="",'Calculations'!DF94=0),"",'Calculations'!DG94/'Calculations'!DF94)</x:f>
      </x:c>
      <x:c r="DJ94" s="4" t="str">
        <x:f>IF('Calculations'!DE94="","",COUNTIFS('Calculations'!$BN$13:$BN$512,1,'Calculations'!$BU$13:$BU$512,'Calculations'!DE94,'Calculations'!$BT$13:$BT$512,1,'Calculations'!$EE$13:$EE$512,"High"))</x:f>
      </x:c>
      <x:c r="DK94" s="4" t="str">
        <x:f>IF('Calculations'!DE94="","",COUNTIFS('Calculations'!$BN$13:$BN$512,1,'Calculations'!$BU$13:$BU$512,'Calculations'!DE94,'Calculations'!$BT$13:$BT$512,1,'Calculations'!$EE$13:$EE$512,"Strong"))</x:f>
      </x:c>
      <x:c r="DL94" s="4" t="str">
        <x:f>IF('Calculations'!DE94="","",COUNTIFS('Calculations'!$BN$13:$BN$512,1,'Calculations'!$BU$13:$BU$512,'Calculations'!DE94,'Calculations'!$BT$13:$BT$512,1,'Calculations'!$EE$13:$EE$512,"Solid"))</x:f>
      </x:c>
      <x:c r="DM94" s="4" t="str">
        <x:f>IF('Calculations'!DE94="","",COUNTIFS('Calculations'!$BN$13:$BN$512,1,'Calculations'!$BU$13:$BU$512,'Calculations'!DE94,'Calculations'!$BT$13:$BT$512,1,'Calculations'!$EE$13:$EE$512,"Low"))</x:f>
      </x:c>
      <x:c r="DN94" s="4" t="str">
        <x:f>IF('Calculations'!DE94="","",COUNTIFS('Calculations'!$BN$13:$BN$512,1,'Calculations'!$BU$13:$BU$512,'Calculations'!DE94,'Calculations'!$EP$13:$EP$512,1))</x:f>
      </x:c>
      <x:c r="DO94" s="4" t="str">
        <x:f>IF(OR('Calculations'!DE94="",'Calculations'!DG94=0),"",('Calculations'!DJ94+'Calculations'!DK94)/'Calculations'!DG94)</x:f>
      </x:c>
      <x:c r="DP94" s="4" t="n">
        <x:f>IF(AND('Calculations'!DE94&lt;&gt;"",'Calculations'!DF94&gt;0),COUNTIF('Calculations'!$DF$12:DF94,"&gt;0"),0)</x:f>
        <x:v>0</x:v>
      </x:c>
      <x:c r="DQ94" s="4" t="str">
        <x:f>IF(83&gt;MAX('Calculations'!$HH$13:$HH$512),"",INDEX('Calculations'!$HF$13:$HF$512,MATCH(83,'Calculations'!$HH$13:$HH$512,0)))</x:f>
      </x:c>
      <x:c r="DR94" s="4" t="str">
        <x:f>IF(83&gt;MAX('Calculations'!$IK$13:$IK$512),"",INDEX('Calculations'!$HE$13:$HE$512,MATCH(83,'Calculations'!$IK$13:$IK$512,0)))</x:f>
      </x:c>
      <x:c r="DS94" s="4"/>
      <x:c r="DT94" s="4"/>
      <x:c r="DU94" s="4"/>
      <x:c r="DV94" s="4"/>
      <x:c r="DW94" s="4"/>
      <x:c r="DX94" s="4"/>
      <x:c r="DY94" s="4"/>
      <x:c r="DZ94" s="4"/>
      <x:c r="EA94" s="4"/>
      <x:c r="EB94" s="4"/>
      <x:c r="EC94" s="4"/>
      <x:c r="ED94" s="4"/>
      <x:c r="EE94" s="4" t="str">
        <x:f>IF('Calculations'!BT94=0,"Not Rated",IF(OR('Calculations'!BO94&gt;=4,'Calculations'!BP94&gt;=4),"Low",IF('Calculations'!BO94+'Calculations'!BP94&lt;=3,"High",IF('Calculations'!BO94+'Calculations'!BP94&lt;=4,"Strong","Solid"))))</x:f>
        <x:v>Not Rated</x:v>
      </x:c>
      <x:c r="EF94" s="4"/>
      <x:c r="EG94" s="4"/>
      <x:c r="EH94" s="4"/>
      <x:c r="EI94" s="4"/>
      <x:c r="EJ94" s="4"/>
      <x:c r="EK94" s="4"/>
      <x:c r="EL94" s="4"/>
      <x:c r="EM94" s="4" t="str">
        <x:f>IF(82&gt;'Calculations'!$JB$2000,"",INDEX('Calculations'!$JA$12:$JA$2000,MATCH(82,'Calculations'!$JB$12:$JB$2000,0)))</x:f>
      </x:c>
      <x:c r="EN94" s="4" t="n">
        <x:f>IF(OR('Calculations'!EM94="",'Calculations'!$AG$8&gt;0,AND('Calculations'!$EF$2&lt;&gt;"All",'Calculations'!HE94='Calculations'!$EF$2),AND('Calculations'!$EF$3&lt;&gt;"All",'Calculations'!HE94='Calculations'!$EF$3)),0,IF(OR('Dashboard'!$B$7="All",'Calculations'!HN94='Dashboard'!$B$7),IF('Calculations'!$EF$2="All",1,IF('Calculations'!HL94&gt;0,0,IF(COUNTIF('Calculations'!HO94:II94,"="&amp;SUBSTITUTE(SUBSTITUTE(SUBSTITUTE('Calculations'!$EF$2,"~","~~"),"*","~*"),"?","~?"))=0,0,IF('Calculations'!$EF$3="All",1,IF(COUNTIF('Calculations'!HO94:II94,"="&amp;SUBSTITUTE(SUBSTITUTE(SUBSTITUTE('Calculations'!$EF$3,"~","~~"),"*","~*"),"?","~?"))&gt;0,1,0))))),0))</x:f>
        <x:v>0</x:v>
      </x:c>
      <x:c r="EO94" s="4" t="str">
        <x:f>IF('Calculations'!IJ94="","",IF('Calculations'!IJ94="!UNRESOLVED","Unresolved hierarchy",IFERROR(INDEX('Calculations'!$HK$13:$HK$512,MATCH('Calculations'!IJ94,'Calculations'!$HE$13:$HE$512,0)),IFERROR(INDEX('Calculations'!$HJ$13:$HJ$512,MATCH('Calculations'!IJ94,'Calculations'!$HF$13:$HF$512,0)),'Calculations'!IJ94))))</x:f>
      </x:c>
      <x:c r="EP94" s="4" t="n">
        <x:f>IF(AND('Calculations'!EM94&lt;&gt;"",'Calculations'!HF94='Calculations'!IJ94),1,0)</x:f>
        <x:v>0</x:v>
      </x:c>
      <x:c r="EQ94" s="4"/>
      <x:c r="ER94" s="4"/>
      <x:c r="ES94" s="4"/>
      <x:c r="ET94" s="4"/>
      <x:c r="EU94" s="4"/>
      <x:c r="EV94" s="4"/>
      <x:c r="EW94" s="4"/>
      <x:c r="EX94" s="4"/>
      <x:c r="EY94" s="4"/>
      <x:c r="EZ94" s="4"/>
      <x:c r="FA94" s="4"/>
      <x:c r="FB94" s="4"/>
      <x:c r="FC94" s="4"/>
      <x:c r="FD94" s="4"/>
      <x:c r="FE94" s="4"/>
      <x:c r="FF94" s="4"/>
      <x:c r="FG94" s="4"/>
      <x:c r="FH94" s="4"/>
      <x:c r="FI94" s="4"/>
      <x:c r="FJ94" s="4"/>
      <x:c r="FK94" s="4"/>
      <x:c r="FL94" s="4"/>
      <x:c r="FM94" s="4"/>
      <x:c r="FN94" s="4"/>
      <x:c r="FO94" s="4"/>
      <x:c r="GA94" s="71"/>
      <x:c r="GB94" s="71"/>
      <x:c r="GC94" s="71"/>
      <x:c r="GD94" s="71"/>
      <x:c r="GE94" s="71"/>
      <x:c r="GF94" s="71"/>
      <x:c r="GG94" s="71"/>
      <x:c r="GH94" s="71"/>
      <x:c r="GI94" s="71"/>
      <x:c r="GJ94" s="71"/>
      <x:c r="GK94" s="71"/>
      <x:c r="GL94" s="71"/>
      <x:c r="GM94" s="71"/>
      <x:c r="GN94" s="71"/>
      <x:c r="GO94" s="71"/>
      <x:c r="GP94" s="71"/>
      <x:c r="GQ94" s="71"/>
      <x:c r="GR94" s="71"/>
      <x:c r="GS94" s="71"/>
      <x:c r="GT94" s="71"/>
      <x:c r="GU94" s="71"/>
      <x:c r="GV94" s="71"/>
      <x:c r="GW94" s="71"/>
      <x:c r="GX94" s="71"/>
      <x:c r="GY94" s="71"/>
      <x:c r="GZ94" s="71"/>
      <x:c r="HA94" s="71"/>
      <x:c r="HB94" s="71"/>
      <x:c r="HC94" s="71"/>
      <x:c r="HD94" s="71"/>
      <x:c r="HE94" t="str">
        <x:f>IF('Calculations'!EM94="","",IF(IFERROR(IF(INDEX(INDIRECT("'WCM Calibration Final'!$A$1:$A$2000"),'Calculations'!$EM94)="","",TRIM(INDEX(INDIRECT("'WCM Calibration Final'!$A$1:$A$2000"),'Calculations'!$EM94)&amp;"")),"")&lt;&gt;"","G:"&amp;IFERROR(TEXT(1*INDEX(INDIRECT("'WCM Calibration Final'!$A$1:$A$2000"),'Calculations'!$EM94),"0"),UPPER(IFERROR(IF(INDEX(INDIRECT("'WCM Calibration Final'!$A$1:$A$2000"),'Calculations'!$EM94)="","",TRIM(INDEX(INDIRECT("'WCM Calibration Final'!$A$1:$A$2000"),'Calculations'!$EM94)&amp;"")),""))),IF(IFERROR(IF(INDEX(INDIRECT("'WCM Calibration Final'!$C$1:$C$2000"),'Calculations'!$EM94)="","",TRIM(INDEX(INDIRECT("'WCM Calibration Final'!$C$1:$C$2000"),'Calculations'!$EM94)&amp;"")),"")&lt;&gt;"","S:"&amp;UPPER(IFERROR(IF(INDEX(INDIRECT("'WCM Calibration Final'!$C$1:$C$2000"),'Calculations'!$EM94)="","",TRIM(INDEX(INDIRECT("'WCM Calibration Final'!$C$1:$C$2000"),'Calculations'!$EM94)&amp;"")),"")),"R:"&amp;'Calculations'!EM94)))</x:f>
      </x:c>
      <x:c r="HF94" t="str">
        <x:f>IF('Calculations'!EM94="","",IF(IFERROR(IF(INDEX(INDIRECT("'WCM Calibration Final'!$D$1:$D$2000"),'Calculations'!$EM94)="","",TRIM(INDEX(INDIRECT("'WCM Calibration Final'!$D$1:$D$2000"),'Calculations'!$EM94)&amp;"")),"")&lt;&gt;"","G:"&amp;IFERROR(TEXT(1*INDEX(INDIRECT("'WCM Calibration Final'!$D$1:$D$2000"),'Calculations'!$EM94),"0"),UPPER(IFERROR(IF(INDEX(INDIRECT("'WCM Calibration Final'!$D$1:$D$2000"),'Calculations'!$EM94)="","",TRIM(INDEX(INDIRECT("'WCM Calibration Final'!$D$1:$D$2000"),'Calculations'!$EM94)&amp;"")),""))),IF(IFERROR(IF(INDEX(INDIRECT("'WCM Calibration Final'!$E$1:$E$2000"),'Calculations'!$EM94)="","",TRIM(INDEX(INDIRECT("'WCM Calibration Final'!$E$1:$E$2000"),'Calculations'!$EM94)&amp;"")),"")="","",IF(COUNTIF('Calculations'!$HG$13:$HG$512,"="&amp;SUBSTITUTE(SUBSTITUTE(SUBSTITUTE(IFERROR(IF(INDEX(INDIRECT("'WCM Calibration Final'!$E$1:$E$2000"),'Calculations'!$EM94)="","",TRIM(INDEX(INDIRECT("'WCM Calibration Final'!$E$1:$E$2000"),'Calculations'!$EM94)&amp;"")),""),"~","~~"),"*","~*"),"?","~?"))=1,INDEX('Calculations'!$HE$13:$HE$512,MATCH(IFERROR(IF(INDEX(INDIRECT("'WCM Calibration Final'!$E$1:$E$2000"),'Calculations'!$EM94)="","",TRIM(INDEX(INDIRECT("'WCM Calibration Final'!$E$1:$E$2000"),'Calculations'!$EM94)&amp;"")),""),'Calculations'!$HG$13:$HG$512,0)),IF(COUNTIF('Calculations'!$HG$13:$HG$512,"="&amp;SUBSTITUTE(SUBSTITUTE(SUBSTITUTE(IFERROR(IF(INDEX(INDIRECT("'WCM Calibration Final'!$E$1:$E$2000"),'Calculations'!$EM94)="","",TRIM(INDEX(INDIRECT("'WCM Calibration Final'!$E$1:$E$2000"),'Calculations'!$EM94)&amp;"")),""),"~","~~"),"*","~*"),"?","~?"))&gt;1,"!AMBIG","X:"&amp;IFERROR(IF(INDEX(INDIRECT("'WCM Calibration Final'!$E$1:$E$2000"),'Calculations'!$EM94)="","",TRIM(INDEX(INDIRECT("'WCM Calibration Final'!$E$1:$E$2000"),'Calculations'!$EM94)&amp;"")),""))))))</x:f>
      </x:c>
      <x:c r="HG94" t="str">
        <x:f>IF('Calculations'!EM94="","",IFERROR(IF(INDEX(INDIRECT("'WCM Calibration Final'!$B$1:$B$2000"),'Calculations'!$EM94)="","",TRIM(INDEX(INDIRECT("'WCM Calibration Final'!$B$1:$B$2000"),'Calculations'!$EM94)&amp;"")),""))</x:f>
      </x:c>
      <x:c r="HH94" t="n">
        <x:f>IF(AND('Calculations'!JC94&gt;0,COUNTIF('Calculations'!$HF$12:HF94,"="&amp;SUBSTITUTE(SUBSTITUTE(SUBSTITUTE('Calculations'!HF94,"~","~~"),"*","~*"),"?","~?"))=1),MAX('Calculations'!$HH$12:HH93)+1,0)</x:f>
        <x:v>0</x:v>
      </x:c>
      <x:c r="HI94" t="n">
        <x:f>IF(AND('Calculations'!HN94&lt;&gt;"",COUNTIF('Calculations'!$HN$12:HN94,"="&amp;SUBSTITUTE(SUBSTITUTE(SUBSTITUTE('Calculations'!HN94,"~","~~"),"*","~*"),"?","~?"))=1),MAX('Calculations'!$HI$12:HI93)+1,0)</x:f>
        <x:v>0</x:v>
      </x:c>
      <x:c r="HJ94" t="str">
        <x:f>IF('Calculations'!HF94="","",IF(COUNTIF('Calculations'!$HE$13:$HE$512,"="&amp;SUBSTITUTE(SUBSTITUTE(SUBSTITUTE('Calculations'!HF94,"~","~~"),"*","~*"),"?","~?"))=1,INDEX('Calculations'!$HK$13:$HK$512,MATCH('Calculations'!HF94,'Calculations'!$HE$13:$HE$512,0)),IFERROR(IF(INDEX(INDIRECT("'WCM Calibration Final'!$E$1:$E$2000"),'Calculations'!$EM94)="","",TRIM(INDEX(INDIRECT("'WCM Calibration Final'!$E$1:$E$2000"),'Calculations'!$EM94)&amp;"")),"")&amp;" ["&amp;'Calculations'!HF94&amp;"]"))</x:f>
      </x:c>
      <x:c r="HK94" t="str">
        <x:f>IF('Calculations'!EM94="","",'Calculations'!HG94&amp;" ["&amp;'Calculations'!HE94&amp;"]")</x:f>
      </x:c>
      <x:c r="HL94" t="n">
        <x:f>IF('Calculations'!EM94="",0,IF(OR('Calculations'!II94&lt;&gt;"",COUNTIF('Calculations'!$HE$13:$HE$512,"="&amp;SUBSTITUTE(SUBSTITUTE(SUBSTITUTE('Calculations'!HE94,"~","~~"),"*","~*"),"?","~?"))&gt;1),1,0))</x:f>
        <x:v>0</x:v>
      </x:c>
      <x:c r="HM94" t="str">
        <x:f>IF('Calculations'!EM94="","",IF('Calculations'!HL94=1,"!UNRESOLVED",IF('Calculations'!IH94&lt;&gt;"",'Calculations'!IH94,IF('Calculations'!IG94&lt;&gt;"",'Calculations'!IG94,IF('Calculations'!IF94&lt;&gt;"",'Calculations'!IF94,IF('Calculations'!IE94&lt;&gt;"",'Calculations'!IE94,IF('Calculations'!ID94&lt;&gt;"",'Calculations'!ID94,IF('Calculations'!IC94&lt;&gt;"",'Calculations'!IC94,IF('Calculations'!IB94&lt;&gt;"",'Calculations'!IB94,IF('Calculations'!IA94&lt;&gt;"",'Calculations'!IA94,IF('Calculations'!HZ94&lt;&gt;"",'Calculations'!HZ94,IF('Calculations'!HY94&lt;&gt;"",'Calculations'!HY94,IF('Calculations'!HX94&lt;&gt;"",'Calculations'!HX94,IF('Calculations'!HW94&lt;&gt;"",'Calculations'!HW94,IF('Calculations'!HV94&lt;&gt;"",'Calculations'!HV94,IF('Calculations'!HU94&lt;&gt;"",'Calculations'!HU94,IF('Calculations'!HT94&lt;&gt;"",'Calculations'!HT94,IF('Calculations'!HS94&lt;&gt;"",'Calculations'!HS94,IF('Calculations'!HR94&lt;&gt;"",'Calculations'!HR94,IF('Calculations'!HQ94&lt;&gt;"",'Calculations'!HQ94,IF('Calculations'!HP94&lt;&gt;"",'Calculations'!HP94,IF('Calculations'!HO94&lt;&gt;"",'Calculations'!HO94,'Calculations'!HE94))))))))))))))))))))))</x:f>
      </x:c>
      <x:c r="HN94" t="str">
        <x:f>IF('Calculations'!EM94="","",IF(IFERROR(IF(INDEX(INDIRECT("'WCM Calibration Final'!$F$1:$F$2000"),'Calculations'!$EM94)="","",TRIM(INDEX(INDIRECT("'WCM Calibration Final'!$F$1:$F$2000"),'Calculations'!$EM94)&amp;"")),"")="","(Blank)",IFERROR(IF(INDEX(INDIRECT("'WCM Calibration Final'!$F$1:$F$2000"),'Calculations'!$EM94)="","",TRIM(INDEX(INDIRECT("'WCM Calibration Final'!$F$1:$F$2000"),'Calculations'!$EM94)&amp;"")),"")))</x:f>
      </x:c>
      <x:c r="HO94" t="str">
        <x:f>'Calculations'!HF94</x:f>
      </x:c>
      <x:c r="HP94" t="str">
        <x:f>IF('Calculations'!HO94="","",IF('Calculations'!HO94="!AMBIG","!AMBIG",IF(COUNTIF('Calculations'!$HE$13:$HE$512,"="&amp;SUBSTITUTE(SUBSTITUTE(SUBSTITUTE('Calculations'!HO94,"~","~~"),"*","~*"),"?","~?"))&gt;1,"!AMBIG",IFERROR(INDEX('Calculations'!$HF$13:$HF$512,MATCH('Calculations'!HO94,'Calculations'!$HE$13:$HE$512,0)),""))))</x:f>
      </x:c>
      <x:c r="HQ94" t="str">
        <x:f>IF('Calculations'!HP94="","",IF('Calculations'!HP94="!AMBIG","!AMBIG",IF(COUNTIF('Calculations'!$HE$13:$HE$512,"="&amp;SUBSTITUTE(SUBSTITUTE(SUBSTITUTE('Calculations'!HP94,"~","~~"),"*","~*"),"?","~?"))&gt;1,"!AMBIG",IFERROR(INDEX('Calculations'!$HF$13:$HF$512,MATCH('Calculations'!HP94,'Calculations'!$HE$13:$HE$512,0)),""))))</x:f>
      </x:c>
      <x:c r="HR94" t="str">
        <x:f>IF('Calculations'!HQ94="","",IF('Calculations'!HQ94="!AMBIG","!AMBIG",IF(COUNTIF('Calculations'!$HE$13:$HE$512,"="&amp;SUBSTITUTE(SUBSTITUTE(SUBSTITUTE('Calculations'!HQ94,"~","~~"),"*","~*"),"?","~?"))&gt;1,"!AMBIG",IFERROR(INDEX('Calculations'!$HF$13:$HF$512,MATCH('Calculations'!HQ94,'Calculations'!$HE$13:$HE$512,0)),""))))</x:f>
      </x:c>
      <x:c r="HS94" t="str">
        <x:f>IF('Calculations'!HR94="","",IF('Calculations'!HR94="!AMBIG","!AMBIG",IF(COUNTIF('Calculations'!$HE$13:$HE$512,"="&amp;SUBSTITUTE(SUBSTITUTE(SUBSTITUTE('Calculations'!HR94,"~","~~"),"*","~*"),"?","~?"))&gt;1,"!AMBIG",IFERROR(INDEX('Calculations'!$HF$13:$HF$512,MATCH('Calculations'!HR94,'Calculations'!$HE$13:$HE$512,0)),""))))</x:f>
      </x:c>
      <x:c r="HT94" t="str">
        <x:f>IF('Calculations'!HS94="","",IF('Calculations'!HS94="!AMBIG","!AMBIG",IF(COUNTIF('Calculations'!$HE$13:$HE$512,"="&amp;SUBSTITUTE(SUBSTITUTE(SUBSTITUTE('Calculations'!HS94,"~","~~"),"*","~*"),"?","~?"))&gt;1,"!AMBIG",IFERROR(INDEX('Calculations'!$HF$13:$HF$512,MATCH('Calculations'!HS94,'Calculations'!$HE$13:$HE$512,0)),""))))</x:f>
      </x:c>
      <x:c r="HU94" t="str">
        <x:f>IF('Calculations'!HT94="","",IF('Calculations'!HT94="!AMBIG","!AMBIG",IF(COUNTIF('Calculations'!$HE$13:$HE$512,"="&amp;SUBSTITUTE(SUBSTITUTE(SUBSTITUTE('Calculations'!HT94,"~","~~"),"*","~*"),"?","~?"))&gt;1,"!AMBIG",IFERROR(INDEX('Calculations'!$HF$13:$HF$512,MATCH('Calculations'!HT94,'Calculations'!$HE$13:$HE$512,0)),""))))</x:f>
      </x:c>
      <x:c r="HV94" t="str">
        <x:f>IF('Calculations'!HU94="","",IF('Calculations'!HU94="!AMBIG","!AMBIG",IF(COUNTIF('Calculations'!$HE$13:$HE$512,"="&amp;SUBSTITUTE(SUBSTITUTE(SUBSTITUTE('Calculations'!HU94,"~","~~"),"*","~*"),"?","~?"))&gt;1,"!AMBIG",IFERROR(INDEX('Calculations'!$HF$13:$HF$512,MATCH('Calculations'!HU94,'Calculations'!$HE$13:$HE$512,0)),""))))</x:f>
      </x:c>
      <x:c r="HW94" t="str">
        <x:f>IF('Calculations'!HV94="","",IF('Calculations'!HV94="!AMBIG","!AMBIG",IF(COUNTIF('Calculations'!$HE$13:$HE$512,"="&amp;SUBSTITUTE(SUBSTITUTE(SUBSTITUTE('Calculations'!HV94,"~","~~"),"*","~*"),"?","~?"))&gt;1,"!AMBIG",IFERROR(INDEX('Calculations'!$HF$13:$HF$512,MATCH('Calculations'!HV94,'Calculations'!$HE$13:$HE$512,0)),""))))</x:f>
      </x:c>
      <x:c r="HX94" t="str">
        <x:f>IF('Calculations'!HW94="","",IF('Calculations'!HW94="!AMBIG","!AMBIG",IF(COUNTIF('Calculations'!$HE$13:$HE$512,"="&amp;SUBSTITUTE(SUBSTITUTE(SUBSTITUTE('Calculations'!HW94,"~","~~"),"*","~*"),"?","~?"))&gt;1,"!AMBIG",IFERROR(INDEX('Calculations'!$HF$13:$HF$512,MATCH('Calculations'!HW94,'Calculations'!$HE$13:$HE$512,0)),""))))</x:f>
      </x:c>
      <x:c r="HY94" t="str">
        <x:f>IF('Calculations'!HX94="","",IF('Calculations'!HX94="!AMBIG","!AMBIG",IF(COUNTIF('Calculations'!$HE$13:$HE$512,"="&amp;SUBSTITUTE(SUBSTITUTE(SUBSTITUTE('Calculations'!HX94,"~","~~"),"*","~*"),"?","~?"))&gt;1,"!AMBIG",IFERROR(INDEX('Calculations'!$HF$13:$HF$512,MATCH('Calculations'!HX94,'Calculations'!$HE$13:$HE$512,0)),""))))</x:f>
      </x:c>
      <x:c r="HZ94" t="str">
        <x:f>IF('Calculations'!HY94="","",IF('Calculations'!HY94="!AMBIG","!AMBIG",IF(COUNTIF('Calculations'!$HE$13:$HE$512,"="&amp;SUBSTITUTE(SUBSTITUTE(SUBSTITUTE('Calculations'!HY94,"~","~~"),"*","~*"),"?","~?"))&gt;1,"!AMBIG",IFERROR(INDEX('Calculations'!$HF$13:$HF$512,MATCH('Calculations'!HY94,'Calculations'!$HE$13:$HE$512,0)),""))))</x:f>
      </x:c>
      <x:c r="IA94" t="str">
        <x:f>IF('Calculations'!HZ94="","",IF('Calculations'!HZ94="!AMBIG","!AMBIG",IF(COUNTIF('Calculations'!$HE$13:$HE$512,"="&amp;SUBSTITUTE(SUBSTITUTE(SUBSTITUTE('Calculations'!HZ94,"~","~~"),"*","~*"),"?","~?"))&gt;1,"!AMBIG",IFERROR(INDEX('Calculations'!$HF$13:$HF$512,MATCH('Calculations'!HZ94,'Calculations'!$HE$13:$HE$512,0)),""))))</x:f>
      </x:c>
      <x:c r="IB94" t="str">
        <x:f>IF('Calculations'!IA94="","",IF('Calculations'!IA94="!AMBIG","!AMBIG",IF(COUNTIF('Calculations'!$HE$13:$HE$512,"="&amp;SUBSTITUTE(SUBSTITUTE(SUBSTITUTE('Calculations'!IA94,"~","~~"),"*","~*"),"?","~?"))&gt;1,"!AMBIG",IFERROR(INDEX('Calculations'!$HF$13:$HF$512,MATCH('Calculations'!IA94,'Calculations'!$HE$13:$HE$512,0)),""))))</x:f>
      </x:c>
      <x:c r="IC94" t="str">
        <x:f>IF('Calculations'!IB94="","",IF('Calculations'!IB94="!AMBIG","!AMBIG",IF(COUNTIF('Calculations'!$HE$13:$HE$512,"="&amp;SUBSTITUTE(SUBSTITUTE(SUBSTITUTE('Calculations'!IB94,"~","~~"),"*","~*"),"?","~?"))&gt;1,"!AMBIG",IFERROR(INDEX('Calculations'!$HF$13:$HF$512,MATCH('Calculations'!IB94,'Calculations'!$HE$13:$HE$512,0)),""))))</x:f>
      </x:c>
      <x:c r="ID94" t="str">
        <x:f>IF('Calculations'!IC94="","",IF('Calculations'!IC94="!AMBIG","!AMBIG",IF(COUNTIF('Calculations'!$HE$13:$HE$512,"="&amp;SUBSTITUTE(SUBSTITUTE(SUBSTITUTE('Calculations'!IC94,"~","~~"),"*","~*"),"?","~?"))&gt;1,"!AMBIG",IFERROR(INDEX('Calculations'!$HF$13:$HF$512,MATCH('Calculations'!IC94,'Calculations'!$HE$13:$HE$512,0)),""))))</x:f>
      </x:c>
      <x:c r="IE94" t="str">
        <x:f>IF('Calculations'!ID94="","",IF('Calculations'!ID94="!AMBIG","!AMBIG",IF(COUNTIF('Calculations'!$HE$13:$HE$512,"="&amp;SUBSTITUTE(SUBSTITUTE(SUBSTITUTE('Calculations'!ID94,"~","~~"),"*","~*"),"?","~?"))&gt;1,"!AMBIG",IFERROR(INDEX('Calculations'!$HF$13:$HF$512,MATCH('Calculations'!ID94,'Calculations'!$HE$13:$HE$512,0)),""))))</x:f>
      </x:c>
      <x:c r="IF94" t="str">
        <x:f>IF('Calculations'!IE94="","",IF('Calculations'!IE94="!AMBIG","!AMBIG",IF(COUNTIF('Calculations'!$HE$13:$HE$512,"="&amp;SUBSTITUTE(SUBSTITUTE(SUBSTITUTE('Calculations'!IE94,"~","~~"),"*","~*"),"?","~?"))&gt;1,"!AMBIG",IFERROR(INDEX('Calculations'!$HF$13:$HF$512,MATCH('Calculations'!IE94,'Calculations'!$HE$13:$HE$512,0)),""))))</x:f>
      </x:c>
      <x:c r="IG94" t="str">
        <x:f>IF('Calculations'!IF94="","",IF('Calculations'!IF94="!AMBIG","!AMBIG",IF(COUNTIF('Calculations'!$HE$13:$HE$512,"="&amp;SUBSTITUTE(SUBSTITUTE(SUBSTITUTE('Calculations'!IF94,"~","~~"),"*","~*"),"?","~?"))&gt;1,"!AMBIG",IFERROR(INDEX('Calculations'!$HF$13:$HF$512,MATCH('Calculations'!IF94,'Calculations'!$HE$13:$HE$512,0)),""))))</x:f>
      </x:c>
      <x:c r="IH94" t="str">
        <x:f>IF('Calculations'!IG94="","",IF('Calculations'!IG94="!AMBIG","!AMBIG",IF(COUNTIF('Calculations'!$HE$13:$HE$512,"="&amp;SUBSTITUTE(SUBSTITUTE(SUBSTITUTE('Calculations'!IG94,"~","~~"),"*","~*"),"?","~?"))&gt;1,"!AMBIG",IFERROR(INDEX('Calculations'!$HF$13:$HF$512,MATCH('Calculations'!IG94,'Calculations'!$HE$13:$HE$512,0)),""))))</x:f>
      </x:c>
      <x:c r="II94" t="str">
        <x:f>IF('Calculations'!IH94="","",IF('Calculations'!IH94="!AMBIG","!AMBIG",IF(COUNTIF('Calculations'!$HE$13:$HE$512,"="&amp;SUBSTITUTE(SUBSTITUTE(SUBSTITUTE('Calculations'!IH94,"~","~~"),"*","~*"),"?","~?"))&gt;1,"!AMBIG",IFERROR(INDEX('Calculations'!$HF$13:$HF$512,MATCH('Calculations'!IH94,'Calculations'!$HE$13:$HE$512,0)),""))))</x:f>
      </x:c>
      <x:c r="IJ94" t="str">
        <x:f>IF('Calculations'!EM94="","",IF('Calculations'!$EF$2="All",'Calculations'!HM94,IF('Calculations'!HL94=1,"",IFERROR(IF(MATCH('Calculations'!$EF$2,'Calculations'!HO94:II94,0)=1,'Calculations'!HE94,INDEX('Calculations'!HO94:II94,1,MATCH('Calculations'!$EF$2,'Calculations'!HO94:II94,0)-1)),""))))</x:f>
      </x:c>
      <x:c r="IK94" t="n">
        <x:f>IF(AND('Calculations'!EM94&lt;&gt;"",'Calculations'!$EF$2&lt;&gt;"All",'Calculations'!HF94='Calculations'!$EF$2,'Calculations'!HL94=0,'Calculations'!JD94&gt;0),MAX('Calculations'!$IK$12:IK93)+1,0)</x:f>
        <x:v>0</x:v>
      </x:c>
      <x:c r="JA94" t="n">
        <x:f>IF(OR(IFERROR(INDIRECT("'WCM Calibration Final'!$A$94")&lt;&gt;"",FALSE),IFERROR(INDIRECT("'WCM Calibration Final'!$B$94")&lt;&gt;"",FALSE),IFERROR(INDIRECT("'WCM Calibration Final'!$C$94")&lt;&gt;"",FALSE)),94,0)</x:f>
        <x:v>0</x:v>
      </x:c>
      <x:c r="JB94" t="n">
        <x:f>'Calculations'!JB93+IF('Calculations'!JA94&gt;0,1,0)</x:f>
        <x:v>0</x:v>
      </x:c>
      <x:c r="JC94" t="n">
        <x:f>IF(OR('Calculations'!HF94="",'Calculations'!HF94="!AMBIG"),0,IF('Dashboard'!$B$7="All",1,COUNTIFS('Calculations'!$HO$13:$HO$512,"="&amp;SUBSTITUTE(SUBSTITUTE(SUBSTITUTE('Calculations'!HF94,"~","~~"),"*","~*"),"?","~?"),'Calculations'!$HN$13:$HN$512,"="&amp;SUBSTITUTE(SUBSTITUTE(SUBSTITUTE('Dashboard'!$B$7,"~","~~"),"*","~*"),"?","~?"))+COUNTIFS('Calculations'!$HP$13:$HP$512,"="&amp;SUBSTITUTE(SUBSTITUTE(SUBSTITUTE('Calculations'!HF94,"~","~~"),"*","~*"),"?","~?"),'Calculations'!$HN$13:$HN$512,"="&amp;SUBSTITUTE(SUBSTITUTE(SUBSTITUTE('Dashboard'!$B$7,"~","~~"),"*","~*"),"?","~?"))+COUNTIFS('Calculations'!$HQ$13:$HQ$512,"="&amp;SUBSTITUTE(SUBSTITUTE(SUBSTITUTE('Calculations'!HF94,"~","~~"),"*","~*"),"?","~?"),'Calculations'!$HN$13:$HN$512,"="&amp;SUBSTITUTE(SUBSTITUTE(SUBSTITUTE('Dashboard'!$B$7,"~","~~"),"*","~*"),"?","~?"))+COUNTIFS('Calculations'!$HR$13:$HR$512,"="&amp;SUBSTITUTE(SUBSTITUTE(SUBSTITUTE('Calculations'!HF94,"~","~~"),"*","~*"),"?","~?"),'Calculations'!$HN$13:$HN$512,"="&amp;SUBSTITUTE(SUBSTITUTE(SUBSTITUTE('Dashboard'!$B$7,"~","~~"),"*","~*"),"?","~?"))+COUNTIFS('Calculations'!$HS$13:$HS$512,"="&amp;SUBSTITUTE(SUBSTITUTE(SUBSTITUTE('Calculations'!HF94,"~","~~"),"*","~*"),"?","~?"),'Calculations'!$HN$13:$HN$512,"="&amp;SUBSTITUTE(SUBSTITUTE(SUBSTITUTE('Dashboard'!$B$7,"~","~~"),"*","~*"),"?","~?"))+COUNTIFS('Calculations'!$HT$13:$HT$512,"="&amp;SUBSTITUTE(SUBSTITUTE(SUBSTITUTE('Calculations'!HF94,"~","~~"),"*","~*"),"?","~?"),'Calculations'!$HN$13:$HN$512,"="&amp;SUBSTITUTE(SUBSTITUTE(SUBSTITUTE('Dashboard'!$B$7,"~","~~"),"*","~*"),"?","~?"))+COUNTIFS('Calculations'!$HU$13:$HU$512,"="&amp;SUBSTITUTE(SUBSTITUTE(SUBSTITUTE('Calculations'!HF94,"~","~~"),"*","~*"),"?","~?"),'Calculations'!$HN$13:$HN$512,"="&amp;SUBSTITUTE(SUBSTITUTE(SUBSTITUTE('Dashboard'!$B$7,"~","~~"),"*","~*"),"?","~?"))+COUNTIFS('Calculations'!$HV$13:$HV$512,"="&amp;SUBSTITUTE(SUBSTITUTE(SUBSTITUTE('Calculations'!HF94,"~","~~"),"*","~*"),"?","~?"),'Calculations'!$HN$13:$HN$512,"="&amp;SUBSTITUTE(SUBSTITUTE(SUBSTITUTE('Dashboard'!$B$7,"~","~~"),"*","~*"),"?","~?"))+COUNTIFS('Calculations'!$HW$13:$HW$512,"="&amp;SUBSTITUTE(SUBSTITUTE(SUBSTITUTE('Calculations'!HF94,"~","~~"),"*","~*"),"?","~?"),'Calculations'!$HN$13:$HN$512,"="&amp;SUBSTITUTE(SUBSTITUTE(SUBSTITUTE('Dashboard'!$B$7,"~","~~"),"*","~*"),"?","~?"))+COUNTIFS('Calculations'!$HX$13:$HX$512,"="&amp;SUBSTITUTE(SUBSTITUTE(SUBSTITUTE('Calculations'!HF94,"~","~~"),"*","~*"),"?","~?"),'Calculations'!$HN$13:$HN$512,"="&amp;SUBSTITUTE(SUBSTITUTE(SUBSTITUTE('Dashboard'!$B$7,"~","~~"),"*","~*"),"?","~?"))+COUNTIFS('Calculations'!$HY$13:$HY$512,"="&amp;SUBSTITUTE(SUBSTITUTE(SUBSTITUTE('Calculations'!HF94,"~","~~"),"*","~*"),"?","~?"),'Calculations'!$HN$13:$HN$512,"="&amp;SUBSTITUTE(SUBSTITUTE(SUBSTITUTE('Dashboard'!$B$7,"~","~~"),"*","~*"),"?","~?"))+COUNTIFS('Calculations'!$HZ$13:$HZ$512,"="&amp;SUBSTITUTE(SUBSTITUTE(SUBSTITUTE('Calculations'!HF94,"~","~~"),"*","~*"),"?","~?"),'Calculations'!$HN$13:$HN$512,"="&amp;SUBSTITUTE(SUBSTITUTE(SUBSTITUTE('Dashboard'!$B$7,"~","~~"),"*","~*"),"?","~?"))+COUNTIFS('Calculations'!$IA$13:$IA$512,"="&amp;SUBSTITUTE(SUBSTITUTE(SUBSTITUTE('Calculations'!HF94,"~","~~"),"*","~*"),"?","~?"),'Calculations'!$HN$13:$HN$512,"="&amp;SUBSTITUTE(SUBSTITUTE(SUBSTITUTE('Dashboard'!$B$7,"~","~~"),"*","~*"),"?","~?"))+COUNTIFS('Calculations'!$IB$13:$IB$512,"="&amp;SUBSTITUTE(SUBSTITUTE(SUBSTITUTE('Calculations'!HF94,"~","~~"),"*","~*"),"?","~?"),'Calculations'!$HN$13:$HN$512,"="&amp;SUBSTITUTE(SUBSTITUTE(SUBSTITUTE('Dashboard'!$B$7,"~","~~"),"*","~*"),"?","~?"))+COUNTIFS('Calculations'!$IC$13:$IC$512,"="&amp;SUBSTITUTE(SUBSTITUTE(SUBSTITUTE('Calculations'!HF94,"~","~~"),"*","~*"),"?","~?"),'Calculations'!$HN$13:$HN$512,"="&amp;SUBSTITUTE(SUBSTITUTE(SUBSTITUTE('Dashboard'!$B$7,"~","~~"),"*","~*"),"?","~?"))+COUNTIFS('Calculations'!$ID$13:$ID$512,"="&amp;SUBSTITUTE(SUBSTITUTE(SUBSTITUTE('Calculations'!HF94,"~","~~"),"*","~*"),"?","~?"),'Calculations'!$HN$13:$HN$512,"="&amp;SUBSTITUTE(SUBSTITUTE(SUBSTITUTE('Dashboard'!$B$7,"~","~~"),"*","~*"),"?","~?"))+COUNTIFS('Calculations'!$IE$13:$IE$512,"="&amp;SUBSTITUTE(SUBSTITUTE(SUBSTITUTE('Calculations'!HF94,"~","~~"),"*","~*"),"?","~?"),'Calculations'!$HN$13:$HN$512,"="&amp;SUBSTITUTE(SUBSTITUTE(SUBSTITUTE('Dashboard'!$B$7,"~","~~"),"*","~*"),"?","~?"))+COUNTIFS('Calculations'!$IF$13:$IF$512,"="&amp;SUBSTITUTE(SUBSTITUTE(SUBSTITUTE('Calculations'!HF94,"~","~~"),"*","~*"),"?","~?"),'Calculations'!$HN$13:$HN$512,"="&amp;SUBSTITUTE(SUBSTITUTE(SUBSTITUTE('Dashboard'!$B$7,"~","~~"),"*","~*"),"?","~?"))+COUNTIFS('Calculations'!$IG$13:$IG$512,"="&amp;SUBSTITUTE(SUBSTITUTE(SUBSTITUTE('Calculations'!HF94,"~","~~"),"*","~*"),"?","~?"),'Calculations'!$HN$13:$HN$512,"="&amp;SUBSTITUTE(SUBSTITUTE(SUBSTITUTE('Dashboard'!$B$7,"~","~~"),"*","~*"),"?","~?"))+COUNTIFS('Calculations'!$IH$13:$IH$512,"="&amp;SUBSTITUTE(SUBSTITUTE(SUBSTITUTE('Calculations'!HF94,"~","~~"),"*","~*"),"?","~?"),'Calculations'!$HN$13:$HN$512,"="&amp;SUBSTITUTE(SUBSTITUTE(SUBSTITUTE('Dashboard'!$B$7,"~","~~"),"*","~*"),"?","~?"))))</x:f>
        <x:v>0</x:v>
      </x:c>
      <x:c r="JD94" t="n">
        <x:f>IF('Calculations'!EM94="",0,IF('Dashboard'!$B$7="All",1,IF('Calculations'!HN94='Dashboard'!$B$7,1,0)+IFERROR(INDEX('Calculations'!$JC$13:$JC$512,MATCH('Calculations'!HE94,'Calculations'!$HF$13:$HF$512,0)),0)))</x:f>
        <x:v>0</x:v>
      </x:c>
      <x:c r="JE94" t="n">
        <x:f>IF(AND('Calculations'!EM94&lt;&gt;"",'Calculations'!$JJ$2&lt;&gt;"All",'Calculations'!$JJ$2&lt;&gt;"",'Calculations'!HF94='Calculations'!$JJ$2,'Calculations'!HL94=0,'Calculations'!JD94&gt;0),MAX('Calculations'!$JE$12:JE93)+1,0)</x:f>
        <x:v>0</x:v>
      </x:c>
      <x:c r="JF94" t="str">
        <x:f>IF('Calculations'!EM94="","",IFERROR(IF(INDEX(INDIRECT("'WCM Calibration Final'!$G$1:$G$2000"),'Calculations'!$EM94)="","",TRIM(INDEX(INDIRECT("'WCM Calibration Final'!$G$1:$G$2000"),'Calculations'!$EM94)&amp;"")),""))</x:f>
      </x:c>
      <x:c r="JQ94" t="n">
        <x:f>IF(OR('Calculations'!BM94=0,NOT('Calculations'!$AG$2),'Calculations'!$AG$8&gt;0),0,IF(OR('Dashboard'!$B$7="All",'Calculations'!HN94='Dashboard'!$B$7),IF('Calculations'!$JJ$2="All",1,IF(AND('Calculations'!HF94='Calculations'!$JJ$2,'Calculations'!HL94=0),1,0)),0))</x:f>
        <x:v>0</x:v>
      </x:c>
    </x:row>
    <x:row r="95">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t="n">
        <x:f>IF('Calculations'!$EM95="",0,IF(OR(IFERROR(INDEX(INDIRECT("'WCM Calibration Final'!$A$1:$A$2000"),'Calculations'!$EM95)&lt;&gt;"",FALSE),IFERROR(INDEX(INDIRECT("'WCM Calibration Final'!$B$1:$B$2000"),'Calculations'!$EM95)&lt;&gt;"",FALSE),IFERROR(INDEX(INDIRECT("'WCM Calibration Final'!$C$1:$C$2000"),'Calculations'!$EM95)&lt;&gt;"",FALSE)),1,0))</x:f>
        <x:v>0</x:v>
      </x:c>
      <x:c r="BN95" s="4" t="n">
        <x:f>IF(AND('Calculations'!BM95=1,'Calculations'!$AG$2,'Calculations'!$EN95=1),1,0)</x:f>
        <x:v>0</x:v>
      </x:c>
      <x:c r="BO95" s="4" t="str">
        <x:f>IF('Calculations'!BM95=0,"",IFERROR(IF(AND(VALUE(INDEX(INDIRECT("'WCM Calibration Final'!$K$1:$K$2000"),'Calculations'!$EM95))&gt;=1,VALUE(INDEX(INDIRECT("'WCM Calibration Final'!$K$1:$K$2000"),'Calculations'!$EM95))&lt;=4,MOD(VALUE(INDEX(INDIRECT("'WCM Calibration Final'!$K$1:$K$2000"),'Calculations'!$EM95)),1)=0),VALUE(INDEX(INDIRECT("'WCM Calibration Final'!$K$1:$K$2000"),'Calculations'!$EM95)),""),""))</x:f>
      </x:c>
      <x:c r="BP95" s="4" t="str">
        <x:f>IF('Calculations'!BM95=0,"",IFERROR(IF(AND(VALUE(INDEX(INDIRECT("'WCM Calibration Final'!$L$1:$L$2000"),'Calculations'!$EM95))&gt;=1,VALUE(INDEX(INDIRECT("'WCM Calibration Final'!$L$1:$L$2000"),'Calculations'!$EM95))&lt;=4,MOD(VALUE(INDEX(INDIRECT("'WCM Calibration Final'!$L$1:$L$2000"),'Calculations'!$EM95)),1)=0),VALUE(INDEX(INDIRECT("'WCM Calibration Final'!$L$1:$L$2000"),'Calculations'!$EM95)),""),""))</x:f>
      </x:c>
      <x:c r="BQ95" s="4"/>
      <x:c r="BR95" s="4"/>
      <x:c r="BS95" s="4"/>
      <x:c r="BT95" s="4" t="n">
        <x:f>IF(AND('Calculations'!BM95=1,ISNUMBER('Calculations'!BO95),ISNUMBER('Calculations'!BP95)),1,0)</x:f>
        <x:v>0</x:v>
      </x:c>
      <x:c r="BU95" s="4" t="str">
        <x:f>IF('Calculations'!BM95=0,"",'Calculations'!$EO95)</x:f>
      </x:c>
      <x:c r="BV95" s="4" t="str">
        <x:f>IF('Calculations'!BM95=0,"",IFERROR(IF(OR(INDEX(INDIRECT("'WCM Calibration Final'!$H$1:$H$2000"),'Calculations'!$EM95)="MANAGING DIRECTOR",INDEX(INDIRECT("'WCM Calibration Final'!$H$1:$H$2000"),'Calculations'!$EM95)="DIRECTOR",INDEX(INDIRECT("'WCM Calibration Final'!$H$1:$H$2000"),'Calculations'!$EM95)="SENIOR VICE PRESIDENT",INDEX(INDIRECT("'WCM Calibration Final'!$H$1:$H$2000"),'Calculations'!$EM95)="VICE PRESIDENT",INDEX(INDIRECT("'WCM Calibration Final'!$H$1:$H$2000"),'Calculations'!$EM95)="ASSISTANT VICE PRESIDENT",INDEX(INDIRECT("'WCM Calibration Final'!$H$1:$H$2000"),'Calculations'!$EM95)="OFFICER"),UPPER(INDEX(INDIRECT("'WCM Calibration Final'!$H$1:$H$2000"),'Calculations'!$EM95)),"Other"),"Other"))</x:f>
      </x:c>
      <x:c r="BW95" s="4"/>
      <x:c r="BX95" s="4"/>
      <x:c r="BY95" s="4" t="n">
        <x:f>IF(AND('Calculations'!BM95=1,'Calculations'!BU95&lt;&gt;"",COUNTIF('Calculations'!$BU$12:BU95,'Calculations'!BU95)=1),MAX('Calculations'!$BY$11:BY94)+1,0)</x:f>
        <x:v>0</x:v>
      </x:c>
      <x:c r="BZ95" s="4" t="str">
        <x:f>IF('Dashboard'!$E$67="What",'Calculations'!BO95,'Calculations'!BP95)</x:f>
      </x:c>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t="str">
        <x:f>IF(84&gt;MAX('Calculations'!$HI$13:$HI$512),"",INDEX('Calculations'!$HN$13:$HN$512,MATCH(84,'Calculations'!$HI$13:$HI$512,0)))</x:f>
      </x:c>
      <x:c r="DB95" s="4" t="str">
        <x:f>IF(84&gt;MAX('Calculations'!$HH$13:$HH$512),"",INDEX('Calculations'!$HJ$13:$HJ$512,MATCH(84,'Calculations'!$HH$13:$HH$512,0)))</x:f>
      </x:c>
      <x:c r="DC95" s="4" t="str">
        <x:f>IF(ROW()-11&gt;MAX('Calculations'!$BY$13:$BY$512),"",INDEX('Calculations'!$BU$13:$BU$512,MATCH(ROW()-11,'Calculations'!$BY$13:$BY$512,0)))</x:f>
      </x:c>
      <x:c r="DD95" s="4" t="str">
        <x:f>IF(84&gt;MAX('Calculations'!$IK$13:$IK$512),"",INDEX('Calculations'!$HK$13:$HK$512,MATCH(84,'Calculations'!$IK$13:$IK$512,0)))</x:f>
      </x:c>
      <x:c r="DE95" s="4" t="str">
        <x:f>'Calculations'!DC95</x:f>
      </x:c>
      <x:c r="DF95" s="4" t="str">
        <x:f>IF('Calculations'!DE95="","",COUNTIFS('Calculations'!$BN$13:$BN$512,1,'Calculations'!$BU$13:$BU$512,'Calculations'!DE95))</x:f>
      </x:c>
      <x:c r="DG95" s="4" t="str">
        <x:f>IF('Calculations'!DE95="","",COUNTIFS('Calculations'!$BN$13:$BN$512,1,'Calculations'!$BU$13:$BU$512,'Calculations'!DE95,'Calculations'!$BT$13:$BT$512,1))</x:f>
      </x:c>
      <x:c r="DH95" s="4" t="str">
        <x:f>IF('Calculations'!DE95="","",'Calculations'!DF95-'Calculations'!DG95)</x:f>
      </x:c>
      <x:c r="DI95" s="4" t="str">
        <x:f>IF(OR('Calculations'!DE95="",'Calculations'!DF95=0),"",'Calculations'!DG95/'Calculations'!DF95)</x:f>
      </x:c>
      <x:c r="DJ95" s="4" t="str">
        <x:f>IF('Calculations'!DE95="","",COUNTIFS('Calculations'!$BN$13:$BN$512,1,'Calculations'!$BU$13:$BU$512,'Calculations'!DE95,'Calculations'!$BT$13:$BT$512,1,'Calculations'!$EE$13:$EE$512,"High"))</x:f>
      </x:c>
      <x:c r="DK95" s="4" t="str">
        <x:f>IF('Calculations'!DE95="","",COUNTIFS('Calculations'!$BN$13:$BN$512,1,'Calculations'!$BU$13:$BU$512,'Calculations'!DE95,'Calculations'!$BT$13:$BT$512,1,'Calculations'!$EE$13:$EE$512,"Strong"))</x:f>
      </x:c>
      <x:c r="DL95" s="4" t="str">
        <x:f>IF('Calculations'!DE95="","",COUNTIFS('Calculations'!$BN$13:$BN$512,1,'Calculations'!$BU$13:$BU$512,'Calculations'!DE95,'Calculations'!$BT$13:$BT$512,1,'Calculations'!$EE$13:$EE$512,"Solid"))</x:f>
      </x:c>
      <x:c r="DM95" s="4" t="str">
        <x:f>IF('Calculations'!DE95="","",COUNTIFS('Calculations'!$BN$13:$BN$512,1,'Calculations'!$BU$13:$BU$512,'Calculations'!DE95,'Calculations'!$BT$13:$BT$512,1,'Calculations'!$EE$13:$EE$512,"Low"))</x:f>
      </x:c>
      <x:c r="DN95" s="4" t="str">
        <x:f>IF('Calculations'!DE95="","",COUNTIFS('Calculations'!$BN$13:$BN$512,1,'Calculations'!$BU$13:$BU$512,'Calculations'!DE95,'Calculations'!$EP$13:$EP$512,1))</x:f>
      </x:c>
      <x:c r="DO95" s="4" t="str">
        <x:f>IF(OR('Calculations'!DE95="",'Calculations'!DG95=0),"",('Calculations'!DJ95+'Calculations'!DK95)/'Calculations'!DG95)</x:f>
      </x:c>
      <x:c r="DP95" s="4" t="n">
        <x:f>IF(AND('Calculations'!DE95&lt;&gt;"",'Calculations'!DF95&gt;0),COUNTIF('Calculations'!$DF$12:DF95,"&gt;0"),0)</x:f>
        <x:v>0</x:v>
      </x:c>
      <x:c r="DQ95" s="4" t="str">
        <x:f>IF(84&gt;MAX('Calculations'!$HH$13:$HH$512),"",INDEX('Calculations'!$HF$13:$HF$512,MATCH(84,'Calculations'!$HH$13:$HH$512,0)))</x:f>
      </x:c>
      <x:c r="DR95" s="4" t="str">
        <x:f>IF(84&gt;MAX('Calculations'!$IK$13:$IK$512),"",INDEX('Calculations'!$HE$13:$HE$512,MATCH(84,'Calculations'!$IK$13:$IK$512,0)))</x:f>
      </x:c>
      <x:c r="DS95" s="4"/>
      <x:c r="DT95" s="4"/>
      <x:c r="DU95" s="4"/>
      <x:c r="DV95" s="4"/>
      <x:c r="DW95" s="4"/>
      <x:c r="DX95" s="4"/>
      <x:c r="DY95" s="4"/>
      <x:c r="DZ95" s="4"/>
      <x:c r="EA95" s="4"/>
      <x:c r="EB95" s="4"/>
      <x:c r="EC95" s="4"/>
      <x:c r="ED95" s="4"/>
      <x:c r="EE95" s="4" t="str">
        <x:f>IF('Calculations'!BT95=0,"Not Rated",IF(OR('Calculations'!BO95&gt;=4,'Calculations'!BP95&gt;=4),"Low",IF('Calculations'!BO95+'Calculations'!BP95&lt;=3,"High",IF('Calculations'!BO95+'Calculations'!BP95&lt;=4,"Strong","Solid"))))</x:f>
        <x:v>Not Rated</x:v>
      </x:c>
      <x:c r="EF95" s="4"/>
      <x:c r="EG95" s="4"/>
      <x:c r="EH95" s="4"/>
      <x:c r="EI95" s="4"/>
      <x:c r="EJ95" s="4"/>
      <x:c r="EK95" s="4"/>
      <x:c r="EL95" s="4"/>
      <x:c r="EM95" s="4" t="str">
        <x:f>IF(83&gt;'Calculations'!$JB$2000,"",INDEX('Calculations'!$JA$12:$JA$2000,MATCH(83,'Calculations'!$JB$12:$JB$2000,0)))</x:f>
      </x:c>
      <x:c r="EN95" s="4" t="n">
        <x:f>IF(OR('Calculations'!EM95="",'Calculations'!$AG$8&gt;0,AND('Calculations'!$EF$2&lt;&gt;"All",'Calculations'!HE95='Calculations'!$EF$2),AND('Calculations'!$EF$3&lt;&gt;"All",'Calculations'!HE95='Calculations'!$EF$3)),0,IF(OR('Dashboard'!$B$7="All",'Calculations'!HN95='Dashboard'!$B$7),IF('Calculations'!$EF$2="All",1,IF('Calculations'!HL95&gt;0,0,IF(COUNTIF('Calculations'!HO95:II95,"="&amp;SUBSTITUTE(SUBSTITUTE(SUBSTITUTE('Calculations'!$EF$2,"~","~~"),"*","~*"),"?","~?"))=0,0,IF('Calculations'!$EF$3="All",1,IF(COUNTIF('Calculations'!HO95:II95,"="&amp;SUBSTITUTE(SUBSTITUTE(SUBSTITUTE('Calculations'!$EF$3,"~","~~"),"*","~*"),"?","~?"))&gt;0,1,0))))),0))</x:f>
        <x:v>0</x:v>
      </x:c>
      <x:c r="EO95" s="4" t="str">
        <x:f>IF('Calculations'!IJ95="","",IF('Calculations'!IJ95="!UNRESOLVED","Unresolved hierarchy",IFERROR(INDEX('Calculations'!$HK$13:$HK$512,MATCH('Calculations'!IJ95,'Calculations'!$HE$13:$HE$512,0)),IFERROR(INDEX('Calculations'!$HJ$13:$HJ$512,MATCH('Calculations'!IJ95,'Calculations'!$HF$13:$HF$512,0)),'Calculations'!IJ95))))</x:f>
      </x:c>
      <x:c r="EP95" s="4" t="n">
        <x:f>IF(AND('Calculations'!EM95&lt;&gt;"",'Calculations'!HF95='Calculations'!IJ95),1,0)</x:f>
        <x:v>0</x:v>
      </x:c>
      <x:c r="EQ95" s="4"/>
      <x:c r="ER95" s="4"/>
      <x:c r="ES95" s="4"/>
      <x:c r="ET95" s="4"/>
      <x:c r="EU95" s="4"/>
      <x:c r="EV95" s="4"/>
      <x:c r="EW95" s="4"/>
      <x:c r="EX95" s="4"/>
      <x:c r="EY95" s="4"/>
      <x:c r="EZ95" s="4"/>
      <x:c r="FA95" s="4"/>
      <x:c r="FB95" s="4"/>
      <x:c r="FC95" s="4"/>
      <x:c r="FD95" s="4"/>
      <x:c r="FE95" s="4"/>
      <x:c r="FF95" s="4"/>
      <x:c r="FG95" s="4"/>
      <x:c r="FH95" s="4"/>
      <x:c r="FI95" s="4"/>
      <x:c r="FJ95" s="4"/>
      <x:c r="FK95" s="4"/>
      <x:c r="FL95" s="4"/>
      <x:c r="FM95" s="4"/>
      <x:c r="FN95" s="4"/>
      <x:c r="FO95" s="4"/>
      <x:c r="GA95" s="71"/>
      <x:c r="GB95" s="71"/>
      <x:c r="GC95" s="71"/>
      <x:c r="GD95" s="71"/>
      <x:c r="GE95" s="71"/>
      <x:c r="GF95" s="71"/>
      <x:c r="GG95" s="71"/>
      <x:c r="GH95" s="71"/>
      <x:c r="GI95" s="71"/>
      <x:c r="GJ95" s="71"/>
      <x:c r="GK95" s="71"/>
      <x:c r="GL95" s="71"/>
      <x:c r="GM95" s="71"/>
      <x:c r="GN95" s="71"/>
      <x:c r="GO95" s="71"/>
      <x:c r="GP95" s="71"/>
      <x:c r="GQ95" s="71"/>
      <x:c r="GR95" s="71"/>
      <x:c r="GS95" s="71"/>
      <x:c r="GT95" s="71"/>
      <x:c r="GU95" s="71"/>
      <x:c r="GV95" s="71"/>
      <x:c r="GW95" s="71"/>
      <x:c r="GX95" s="71"/>
      <x:c r="GY95" s="71"/>
      <x:c r="GZ95" s="71"/>
      <x:c r="HA95" s="71"/>
      <x:c r="HB95" s="71"/>
      <x:c r="HC95" s="71"/>
      <x:c r="HD95" s="71"/>
      <x:c r="HE95" t="str">
        <x:f>IF('Calculations'!EM95="","",IF(IFERROR(IF(INDEX(INDIRECT("'WCM Calibration Final'!$A$1:$A$2000"),'Calculations'!$EM95)="","",TRIM(INDEX(INDIRECT("'WCM Calibration Final'!$A$1:$A$2000"),'Calculations'!$EM95)&amp;"")),"")&lt;&gt;"","G:"&amp;IFERROR(TEXT(1*INDEX(INDIRECT("'WCM Calibration Final'!$A$1:$A$2000"),'Calculations'!$EM95),"0"),UPPER(IFERROR(IF(INDEX(INDIRECT("'WCM Calibration Final'!$A$1:$A$2000"),'Calculations'!$EM95)="","",TRIM(INDEX(INDIRECT("'WCM Calibration Final'!$A$1:$A$2000"),'Calculations'!$EM95)&amp;"")),""))),IF(IFERROR(IF(INDEX(INDIRECT("'WCM Calibration Final'!$C$1:$C$2000"),'Calculations'!$EM95)="","",TRIM(INDEX(INDIRECT("'WCM Calibration Final'!$C$1:$C$2000"),'Calculations'!$EM95)&amp;"")),"")&lt;&gt;"","S:"&amp;UPPER(IFERROR(IF(INDEX(INDIRECT("'WCM Calibration Final'!$C$1:$C$2000"),'Calculations'!$EM95)="","",TRIM(INDEX(INDIRECT("'WCM Calibration Final'!$C$1:$C$2000"),'Calculations'!$EM95)&amp;"")),"")),"R:"&amp;'Calculations'!EM95)))</x:f>
      </x:c>
      <x:c r="HF95" t="str">
        <x:f>IF('Calculations'!EM95="","",IF(IFERROR(IF(INDEX(INDIRECT("'WCM Calibration Final'!$D$1:$D$2000"),'Calculations'!$EM95)="","",TRIM(INDEX(INDIRECT("'WCM Calibration Final'!$D$1:$D$2000"),'Calculations'!$EM95)&amp;"")),"")&lt;&gt;"","G:"&amp;IFERROR(TEXT(1*INDEX(INDIRECT("'WCM Calibration Final'!$D$1:$D$2000"),'Calculations'!$EM95),"0"),UPPER(IFERROR(IF(INDEX(INDIRECT("'WCM Calibration Final'!$D$1:$D$2000"),'Calculations'!$EM95)="","",TRIM(INDEX(INDIRECT("'WCM Calibration Final'!$D$1:$D$2000"),'Calculations'!$EM95)&amp;"")),""))),IF(IFERROR(IF(INDEX(INDIRECT("'WCM Calibration Final'!$E$1:$E$2000"),'Calculations'!$EM95)="","",TRIM(INDEX(INDIRECT("'WCM Calibration Final'!$E$1:$E$2000"),'Calculations'!$EM95)&amp;"")),"")="","",IF(COUNTIF('Calculations'!$HG$13:$HG$512,"="&amp;SUBSTITUTE(SUBSTITUTE(SUBSTITUTE(IFERROR(IF(INDEX(INDIRECT("'WCM Calibration Final'!$E$1:$E$2000"),'Calculations'!$EM95)="","",TRIM(INDEX(INDIRECT("'WCM Calibration Final'!$E$1:$E$2000"),'Calculations'!$EM95)&amp;"")),""),"~","~~"),"*","~*"),"?","~?"))=1,INDEX('Calculations'!$HE$13:$HE$512,MATCH(IFERROR(IF(INDEX(INDIRECT("'WCM Calibration Final'!$E$1:$E$2000"),'Calculations'!$EM95)="","",TRIM(INDEX(INDIRECT("'WCM Calibration Final'!$E$1:$E$2000"),'Calculations'!$EM95)&amp;"")),""),'Calculations'!$HG$13:$HG$512,0)),IF(COUNTIF('Calculations'!$HG$13:$HG$512,"="&amp;SUBSTITUTE(SUBSTITUTE(SUBSTITUTE(IFERROR(IF(INDEX(INDIRECT("'WCM Calibration Final'!$E$1:$E$2000"),'Calculations'!$EM95)="","",TRIM(INDEX(INDIRECT("'WCM Calibration Final'!$E$1:$E$2000"),'Calculations'!$EM95)&amp;"")),""),"~","~~"),"*","~*"),"?","~?"))&gt;1,"!AMBIG","X:"&amp;IFERROR(IF(INDEX(INDIRECT("'WCM Calibration Final'!$E$1:$E$2000"),'Calculations'!$EM95)="","",TRIM(INDEX(INDIRECT("'WCM Calibration Final'!$E$1:$E$2000"),'Calculations'!$EM95)&amp;"")),""))))))</x:f>
      </x:c>
      <x:c r="HG95" t="str">
        <x:f>IF('Calculations'!EM95="","",IFERROR(IF(INDEX(INDIRECT("'WCM Calibration Final'!$B$1:$B$2000"),'Calculations'!$EM95)="","",TRIM(INDEX(INDIRECT("'WCM Calibration Final'!$B$1:$B$2000"),'Calculations'!$EM95)&amp;"")),""))</x:f>
      </x:c>
      <x:c r="HH95" t="n">
        <x:f>IF(AND('Calculations'!JC95&gt;0,COUNTIF('Calculations'!$HF$12:HF95,"="&amp;SUBSTITUTE(SUBSTITUTE(SUBSTITUTE('Calculations'!HF95,"~","~~"),"*","~*"),"?","~?"))=1),MAX('Calculations'!$HH$12:HH94)+1,0)</x:f>
        <x:v>0</x:v>
      </x:c>
      <x:c r="HI95" t="n">
        <x:f>IF(AND('Calculations'!HN95&lt;&gt;"",COUNTIF('Calculations'!$HN$12:HN95,"="&amp;SUBSTITUTE(SUBSTITUTE(SUBSTITUTE('Calculations'!HN95,"~","~~"),"*","~*"),"?","~?"))=1),MAX('Calculations'!$HI$12:HI94)+1,0)</x:f>
        <x:v>0</x:v>
      </x:c>
      <x:c r="HJ95" t="str">
        <x:f>IF('Calculations'!HF95="","",IF(COUNTIF('Calculations'!$HE$13:$HE$512,"="&amp;SUBSTITUTE(SUBSTITUTE(SUBSTITUTE('Calculations'!HF95,"~","~~"),"*","~*"),"?","~?"))=1,INDEX('Calculations'!$HK$13:$HK$512,MATCH('Calculations'!HF95,'Calculations'!$HE$13:$HE$512,0)),IFERROR(IF(INDEX(INDIRECT("'WCM Calibration Final'!$E$1:$E$2000"),'Calculations'!$EM95)="","",TRIM(INDEX(INDIRECT("'WCM Calibration Final'!$E$1:$E$2000"),'Calculations'!$EM95)&amp;"")),"")&amp;" ["&amp;'Calculations'!HF95&amp;"]"))</x:f>
      </x:c>
      <x:c r="HK95" t="str">
        <x:f>IF('Calculations'!EM95="","",'Calculations'!HG95&amp;" ["&amp;'Calculations'!HE95&amp;"]")</x:f>
      </x:c>
      <x:c r="HL95" t="n">
        <x:f>IF('Calculations'!EM95="",0,IF(OR('Calculations'!II95&lt;&gt;"",COUNTIF('Calculations'!$HE$13:$HE$512,"="&amp;SUBSTITUTE(SUBSTITUTE(SUBSTITUTE('Calculations'!HE95,"~","~~"),"*","~*"),"?","~?"))&gt;1),1,0))</x:f>
        <x:v>0</x:v>
      </x:c>
      <x:c r="HM95" t="str">
        <x:f>IF('Calculations'!EM95="","",IF('Calculations'!HL95=1,"!UNRESOLVED",IF('Calculations'!IH95&lt;&gt;"",'Calculations'!IH95,IF('Calculations'!IG95&lt;&gt;"",'Calculations'!IG95,IF('Calculations'!IF95&lt;&gt;"",'Calculations'!IF95,IF('Calculations'!IE95&lt;&gt;"",'Calculations'!IE95,IF('Calculations'!ID95&lt;&gt;"",'Calculations'!ID95,IF('Calculations'!IC95&lt;&gt;"",'Calculations'!IC95,IF('Calculations'!IB95&lt;&gt;"",'Calculations'!IB95,IF('Calculations'!IA95&lt;&gt;"",'Calculations'!IA95,IF('Calculations'!HZ95&lt;&gt;"",'Calculations'!HZ95,IF('Calculations'!HY95&lt;&gt;"",'Calculations'!HY95,IF('Calculations'!HX95&lt;&gt;"",'Calculations'!HX95,IF('Calculations'!HW95&lt;&gt;"",'Calculations'!HW95,IF('Calculations'!HV95&lt;&gt;"",'Calculations'!HV95,IF('Calculations'!HU95&lt;&gt;"",'Calculations'!HU95,IF('Calculations'!HT95&lt;&gt;"",'Calculations'!HT95,IF('Calculations'!HS95&lt;&gt;"",'Calculations'!HS95,IF('Calculations'!HR95&lt;&gt;"",'Calculations'!HR95,IF('Calculations'!HQ95&lt;&gt;"",'Calculations'!HQ95,IF('Calculations'!HP95&lt;&gt;"",'Calculations'!HP95,IF('Calculations'!HO95&lt;&gt;"",'Calculations'!HO95,'Calculations'!HE95))))))))))))))))))))))</x:f>
      </x:c>
      <x:c r="HN95" t="str">
        <x:f>IF('Calculations'!EM95="","",IF(IFERROR(IF(INDEX(INDIRECT("'WCM Calibration Final'!$F$1:$F$2000"),'Calculations'!$EM95)="","",TRIM(INDEX(INDIRECT("'WCM Calibration Final'!$F$1:$F$2000"),'Calculations'!$EM95)&amp;"")),"")="","(Blank)",IFERROR(IF(INDEX(INDIRECT("'WCM Calibration Final'!$F$1:$F$2000"),'Calculations'!$EM95)="","",TRIM(INDEX(INDIRECT("'WCM Calibration Final'!$F$1:$F$2000"),'Calculations'!$EM95)&amp;"")),"")))</x:f>
      </x:c>
      <x:c r="HO95" t="str">
        <x:f>'Calculations'!HF95</x:f>
      </x:c>
      <x:c r="HP95" t="str">
        <x:f>IF('Calculations'!HO95="","",IF('Calculations'!HO95="!AMBIG","!AMBIG",IF(COUNTIF('Calculations'!$HE$13:$HE$512,"="&amp;SUBSTITUTE(SUBSTITUTE(SUBSTITUTE('Calculations'!HO95,"~","~~"),"*","~*"),"?","~?"))&gt;1,"!AMBIG",IFERROR(INDEX('Calculations'!$HF$13:$HF$512,MATCH('Calculations'!HO95,'Calculations'!$HE$13:$HE$512,0)),""))))</x:f>
      </x:c>
      <x:c r="HQ95" t="str">
        <x:f>IF('Calculations'!HP95="","",IF('Calculations'!HP95="!AMBIG","!AMBIG",IF(COUNTIF('Calculations'!$HE$13:$HE$512,"="&amp;SUBSTITUTE(SUBSTITUTE(SUBSTITUTE('Calculations'!HP95,"~","~~"),"*","~*"),"?","~?"))&gt;1,"!AMBIG",IFERROR(INDEX('Calculations'!$HF$13:$HF$512,MATCH('Calculations'!HP95,'Calculations'!$HE$13:$HE$512,0)),""))))</x:f>
      </x:c>
      <x:c r="HR95" t="str">
        <x:f>IF('Calculations'!HQ95="","",IF('Calculations'!HQ95="!AMBIG","!AMBIG",IF(COUNTIF('Calculations'!$HE$13:$HE$512,"="&amp;SUBSTITUTE(SUBSTITUTE(SUBSTITUTE('Calculations'!HQ95,"~","~~"),"*","~*"),"?","~?"))&gt;1,"!AMBIG",IFERROR(INDEX('Calculations'!$HF$13:$HF$512,MATCH('Calculations'!HQ95,'Calculations'!$HE$13:$HE$512,0)),""))))</x:f>
      </x:c>
      <x:c r="HS95" t="str">
        <x:f>IF('Calculations'!HR95="","",IF('Calculations'!HR95="!AMBIG","!AMBIG",IF(COUNTIF('Calculations'!$HE$13:$HE$512,"="&amp;SUBSTITUTE(SUBSTITUTE(SUBSTITUTE('Calculations'!HR95,"~","~~"),"*","~*"),"?","~?"))&gt;1,"!AMBIG",IFERROR(INDEX('Calculations'!$HF$13:$HF$512,MATCH('Calculations'!HR95,'Calculations'!$HE$13:$HE$512,0)),""))))</x:f>
      </x:c>
      <x:c r="HT95" t="str">
        <x:f>IF('Calculations'!HS95="","",IF('Calculations'!HS95="!AMBIG","!AMBIG",IF(COUNTIF('Calculations'!$HE$13:$HE$512,"="&amp;SUBSTITUTE(SUBSTITUTE(SUBSTITUTE('Calculations'!HS95,"~","~~"),"*","~*"),"?","~?"))&gt;1,"!AMBIG",IFERROR(INDEX('Calculations'!$HF$13:$HF$512,MATCH('Calculations'!HS95,'Calculations'!$HE$13:$HE$512,0)),""))))</x:f>
      </x:c>
      <x:c r="HU95" t="str">
        <x:f>IF('Calculations'!HT95="","",IF('Calculations'!HT95="!AMBIG","!AMBIG",IF(COUNTIF('Calculations'!$HE$13:$HE$512,"="&amp;SUBSTITUTE(SUBSTITUTE(SUBSTITUTE('Calculations'!HT95,"~","~~"),"*","~*"),"?","~?"))&gt;1,"!AMBIG",IFERROR(INDEX('Calculations'!$HF$13:$HF$512,MATCH('Calculations'!HT95,'Calculations'!$HE$13:$HE$512,0)),""))))</x:f>
      </x:c>
      <x:c r="HV95" t="str">
        <x:f>IF('Calculations'!HU95="","",IF('Calculations'!HU95="!AMBIG","!AMBIG",IF(COUNTIF('Calculations'!$HE$13:$HE$512,"="&amp;SUBSTITUTE(SUBSTITUTE(SUBSTITUTE('Calculations'!HU95,"~","~~"),"*","~*"),"?","~?"))&gt;1,"!AMBIG",IFERROR(INDEX('Calculations'!$HF$13:$HF$512,MATCH('Calculations'!HU95,'Calculations'!$HE$13:$HE$512,0)),""))))</x:f>
      </x:c>
      <x:c r="HW95" t="str">
        <x:f>IF('Calculations'!HV95="","",IF('Calculations'!HV95="!AMBIG","!AMBIG",IF(COUNTIF('Calculations'!$HE$13:$HE$512,"="&amp;SUBSTITUTE(SUBSTITUTE(SUBSTITUTE('Calculations'!HV95,"~","~~"),"*","~*"),"?","~?"))&gt;1,"!AMBIG",IFERROR(INDEX('Calculations'!$HF$13:$HF$512,MATCH('Calculations'!HV95,'Calculations'!$HE$13:$HE$512,0)),""))))</x:f>
      </x:c>
      <x:c r="HX95" t="str">
        <x:f>IF('Calculations'!HW95="","",IF('Calculations'!HW95="!AMBIG","!AMBIG",IF(COUNTIF('Calculations'!$HE$13:$HE$512,"="&amp;SUBSTITUTE(SUBSTITUTE(SUBSTITUTE('Calculations'!HW95,"~","~~"),"*","~*"),"?","~?"))&gt;1,"!AMBIG",IFERROR(INDEX('Calculations'!$HF$13:$HF$512,MATCH('Calculations'!HW95,'Calculations'!$HE$13:$HE$512,0)),""))))</x:f>
      </x:c>
      <x:c r="HY95" t="str">
        <x:f>IF('Calculations'!HX95="","",IF('Calculations'!HX95="!AMBIG","!AMBIG",IF(COUNTIF('Calculations'!$HE$13:$HE$512,"="&amp;SUBSTITUTE(SUBSTITUTE(SUBSTITUTE('Calculations'!HX95,"~","~~"),"*","~*"),"?","~?"))&gt;1,"!AMBIG",IFERROR(INDEX('Calculations'!$HF$13:$HF$512,MATCH('Calculations'!HX95,'Calculations'!$HE$13:$HE$512,0)),""))))</x:f>
      </x:c>
      <x:c r="HZ95" t="str">
        <x:f>IF('Calculations'!HY95="","",IF('Calculations'!HY95="!AMBIG","!AMBIG",IF(COUNTIF('Calculations'!$HE$13:$HE$512,"="&amp;SUBSTITUTE(SUBSTITUTE(SUBSTITUTE('Calculations'!HY95,"~","~~"),"*","~*"),"?","~?"))&gt;1,"!AMBIG",IFERROR(INDEX('Calculations'!$HF$13:$HF$512,MATCH('Calculations'!HY95,'Calculations'!$HE$13:$HE$512,0)),""))))</x:f>
      </x:c>
      <x:c r="IA95" t="str">
        <x:f>IF('Calculations'!HZ95="","",IF('Calculations'!HZ95="!AMBIG","!AMBIG",IF(COUNTIF('Calculations'!$HE$13:$HE$512,"="&amp;SUBSTITUTE(SUBSTITUTE(SUBSTITUTE('Calculations'!HZ95,"~","~~"),"*","~*"),"?","~?"))&gt;1,"!AMBIG",IFERROR(INDEX('Calculations'!$HF$13:$HF$512,MATCH('Calculations'!HZ95,'Calculations'!$HE$13:$HE$512,0)),""))))</x:f>
      </x:c>
      <x:c r="IB95" t="str">
        <x:f>IF('Calculations'!IA95="","",IF('Calculations'!IA95="!AMBIG","!AMBIG",IF(COUNTIF('Calculations'!$HE$13:$HE$512,"="&amp;SUBSTITUTE(SUBSTITUTE(SUBSTITUTE('Calculations'!IA95,"~","~~"),"*","~*"),"?","~?"))&gt;1,"!AMBIG",IFERROR(INDEX('Calculations'!$HF$13:$HF$512,MATCH('Calculations'!IA95,'Calculations'!$HE$13:$HE$512,0)),""))))</x:f>
      </x:c>
      <x:c r="IC95" t="str">
        <x:f>IF('Calculations'!IB95="","",IF('Calculations'!IB95="!AMBIG","!AMBIG",IF(COUNTIF('Calculations'!$HE$13:$HE$512,"="&amp;SUBSTITUTE(SUBSTITUTE(SUBSTITUTE('Calculations'!IB95,"~","~~"),"*","~*"),"?","~?"))&gt;1,"!AMBIG",IFERROR(INDEX('Calculations'!$HF$13:$HF$512,MATCH('Calculations'!IB95,'Calculations'!$HE$13:$HE$512,0)),""))))</x:f>
      </x:c>
      <x:c r="ID95" t="str">
        <x:f>IF('Calculations'!IC95="","",IF('Calculations'!IC95="!AMBIG","!AMBIG",IF(COUNTIF('Calculations'!$HE$13:$HE$512,"="&amp;SUBSTITUTE(SUBSTITUTE(SUBSTITUTE('Calculations'!IC95,"~","~~"),"*","~*"),"?","~?"))&gt;1,"!AMBIG",IFERROR(INDEX('Calculations'!$HF$13:$HF$512,MATCH('Calculations'!IC95,'Calculations'!$HE$13:$HE$512,0)),""))))</x:f>
      </x:c>
      <x:c r="IE95" t="str">
        <x:f>IF('Calculations'!ID95="","",IF('Calculations'!ID95="!AMBIG","!AMBIG",IF(COUNTIF('Calculations'!$HE$13:$HE$512,"="&amp;SUBSTITUTE(SUBSTITUTE(SUBSTITUTE('Calculations'!ID95,"~","~~"),"*","~*"),"?","~?"))&gt;1,"!AMBIG",IFERROR(INDEX('Calculations'!$HF$13:$HF$512,MATCH('Calculations'!ID95,'Calculations'!$HE$13:$HE$512,0)),""))))</x:f>
      </x:c>
      <x:c r="IF95" t="str">
        <x:f>IF('Calculations'!IE95="","",IF('Calculations'!IE95="!AMBIG","!AMBIG",IF(COUNTIF('Calculations'!$HE$13:$HE$512,"="&amp;SUBSTITUTE(SUBSTITUTE(SUBSTITUTE('Calculations'!IE95,"~","~~"),"*","~*"),"?","~?"))&gt;1,"!AMBIG",IFERROR(INDEX('Calculations'!$HF$13:$HF$512,MATCH('Calculations'!IE95,'Calculations'!$HE$13:$HE$512,0)),""))))</x:f>
      </x:c>
      <x:c r="IG95" t="str">
        <x:f>IF('Calculations'!IF95="","",IF('Calculations'!IF95="!AMBIG","!AMBIG",IF(COUNTIF('Calculations'!$HE$13:$HE$512,"="&amp;SUBSTITUTE(SUBSTITUTE(SUBSTITUTE('Calculations'!IF95,"~","~~"),"*","~*"),"?","~?"))&gt;1,"!AMBIG",IFERROR(INDEX('Calculations'!$HF$13:$HF$512,MATCH('Calculations'!IF95,'Calculations'!$HE$13:$HE$512,0)),""))))</x:f>
      </x:c>
      <x:c r="IH95" t="str">
        <x:f>IF('Calculations'!IG95="","",IF('Calculations'!IG95="!AMBIG","!AMBIG",IF(COUNTIF('Calculations'!$HE$13:$HE$512,"="&amp;SUBSTITUTE(SUBSTITUTE(SUBSTITUTE('Calculations'!IG95,"~","~~"),"*","~*"),"?","~?"))&gt;1,"!AMBIG",IFERROR(INDEX('Calculations'!$HF$13:$HF$512,MATCH('Calculations'!IG95,'Calculations'!$HE$13:$HE$512,0)),""))))</x:f>
      </x:c>
      <x:c r="II95" t="str">
        <x:f>IF('Calculations'!IH95="","",IF('Calculations'!IH95="!AMBIG","!AMBIG",IF(COUNTIF('Calculations'!$HE$13:$HE$512,"="&amp;SUBSTITUTE(SUBSTITUTE(SUBSTITUTE('Calculations'!IH95,"~","~~"),"*","~*"),"?","~?"))&gt;1,"!AMBIG",IFERROR(INDEX('Calculations'!$HF$13:$HF$512,MATCH('Calculations'!IH95,'Calculations'!$HE$13:$HE$512,0)),""))))</x:f>
      </x:c>
      <x:c r="IJ95" t="str">
        <x:f>IF('Calculations'!EM95="","",IF('Calculations'!$EF$2="All",'Calculations'!HM95,IF('Calculations'!HL95=1,"",IFERROR(IF(MATCH('Calculations'!$EF$2,'Calculations'!HO95:II95,0)=1,'Calculations'!HE95,INDEX('Calculations'!HO95:II95,1,MATCH('Calculations'!$EF$2,'Calculations'!HO95:II95,0)-1)),""))))</x:f>
      </x:c>
      <x:c r="IK95" t="n">
        <x:f>IF(AND('Calculations'!EM95&lt;&gt;"",'Calculations'!$EF$2&lt;&gt;"All",'Calculations'!HF95='Calculations'!$EF$2,'Calculations'!HL95=0,'Calculations'!JD95&gt;0),MAX('Calculations'!$IK$12:IK94)+1,0)</x:f>
        <x:v>0</x:v>
      </x:c>
      <x:c r="JA95" t="n">
        <x:f>IF(OR(IFERROR(INDIRECT("'WCM Calibration Final'!$A$95")&lt;&gt;"",FALSE),IFERROR(INDIRECT("'WCM Calibration Final'!$B$95")&lt;&gt;"",FALSE),IFERROR(INDIRECT("'WCM Calibration Final'!$C$95")&lt;&gt;"",FALSE)),95,0)</x:f>
        <x:v>0</x:v>
      </x:c>
      <x:c r="JB95" t="n">
        <x:f>'Calculations'!JB94+IF('Calculations'!JA95&gt;0,1,0)</x:f>
        <x:v>0</x:v>
      </x:c>
      <x:c r="JC95" t="n">
        <x:f>IF(OR('Calculations'!HF95="",'Calculations'!HF95="!AMBIG"),0,IF('Dashboard'!$B$7="All",1,COUNTIFS('Calculations'!$HO$13:$HO$512,"="&amp;SUBSTITUTE(SUBSTITUTE(SUBSTITUTE('Calculations'!HF95,"~","~~"),"*","~*"),"?","~?"),'Calculations'!$HN$13:$HN$512,"="&amp;SUBSTITUTE(SUBSTITUTE(SUBSTITUTE('Dashboard'!$B$7,"~","~~"),"*","~*"),"?","~?"))+COUNTIFS('Calculations'!$HP$13:$HP$512,"="&amp;SUBSTITUTE(SUBSTITUTE(SUBSTITUTE('Calculations'!HF95,"~","~~"),"*","~*"),"?","~?"),'Calculations'!$HN$13:$HN$512,"="&amp;SUBSTITUTE(SUBSTITUTE(SUBSTITUTE('Dashboard'!$B$7,"~","~~"),"*","~*"),"?","~?"))+COUNTIFS('Calculations'!$HQ$13:$HQ$512,"="&amp;SUBSTITUTE(SUBSTITUTE(SUBSTITUTE('Calculations'!HF95,"~","~~"),"*","~*"),"?","~?"),'Calculations'!$HN$13:$HN$512,"="&amp;SUBSTITUTE(SUBSTITUTE(SUBSTITUTE('Dashboard'!$B$7,"~","~~"),"*","~*"),"?","~?"))+COUNTIFS('Calculations'!$HR$13:$HR$512,"="&amp;SUBSTITUTE(SUBSTITUTE(SUBSTITUTE('Calculations'!HF95,"~","~~"),"*","~*"),"?","~?"),'Calculations'!$HN$13:$HN$512,"="&amp;SUBSTITUTE(SUBSTITUTE(SUBSTITUTE('Dashboard'!$B$7,"~","~~"),"*","~*"),"?","~?"))+COUNTIFS('Calculations'!$HS$13:$HS$512,"="&amp;SUBSTITUTE(SUBSTITUTE(SUBSTITUTE('Calculations'!HF95,"~","~~"),"*","~*"),"?","~?"),'Calculations'!$HN$13:$HN$512,"="&amp;SUBSTITUTE(SUBSTITUTE(SUBSTITUTE('Dashboard'!$B$7,"~","~~"),"*","~*"),"?","~?"))+COUNTIFS('Calculations'!$HT$13:$HT$512,"="&amp;SUBSTITUTE(SUBSTITUTE(SUBSTITUTE('Calculations'!HF95,"~","~~"),"*","~*"),"?","~?"),'Calculations'!$HN$13:$HN$512,"="&amp;SUBSTITUTE(SUBSTITUTE(SUBSTITUTE('Dashboard'!$B$7,"~","~~"),"*","~*"),"?","~?"))+COUNTIFS('Calculations'!$HU$13:$HU$512,"="&amp;SUBSTITUTE(SUBSTITUTE(SUBSTITUTE('Calculations'!HF95,"~","~~"),"*","~*"),"?","~?"),'Calculations'!$HN$13:$HN$512,"="&amp;SUBSTITUTE(SUBSTITUTE(SUBSTITUTE('Dashboard'!$B$7,"~","~~"),"*","~*"),"?","~?"))+COUNTIFS('Calculations'!$HV$13:$HV$512,"="&amp;SUBSTITUTE(SUBSTITUTE(SUBSTITUTE('Calculations'!HF95,"~","~~"),"*","~*"),"?","~?"),'Calculations'!$HN$13:$HN$512,"="&amp;SUBSTITUTE(SUBSTITUTE(SUBSTITUTE('Dashboard'!$B$7,"~","~~"),"*","~*"),"?","~?"))+COUNTIFS('Calculations'!$HW$13:$HW$512,"="&amp;SUBSTITUTE(SUBSTITUTE(SUBSTITUTE('Calculations'!HF95,"~","~~"),"*","~*"),"?","~?"),'Calculations'!$HN$13:$HN$512,"="&amp;SUBSTITUTE(SUBSTITUTE(SUBSTITUTE('Dashboard'!$B$7,"~","~~"),"*","~*"),"?","~?"))+COUNTIFS('Calculations'!$HX$13:$HX$512,"="&amp;SUBSTITUTE(SUBSTITUTE(SUBSTITUTE('Calculations'!HF95,"~","~~"),"*","~*"),"?","~?"),'Calculations'!$HN$13:$HN$512,"="&amp;SUBSTITUTE(SUBSTITUTE(SUBSTITUTE('Dashboard'!$B$7,"~","~~"),"*","~*"),"?","~?"))+COUNTIFS('Calculations'!$HY$13:$HY$512,"="&amp;SUBSTITUTE(SUBSTITUTE(SUBSTITUTE('Calculations'!HF95,"~","~~"),"*","~*"),"?","~?"),'Calculations'!$HN$13:$HN$512,"="&amp;SUBSTITUTE(SUBSTITUTE(SUBSTITUTE('Dashboard'!$B$7,"~","~~"),"*","~*"),"?","~?"))+COUNTIFS('Calculations'!$HZ$13:$HZ$512,"="&amp;SUBSTITUTE(SUBSTITUTE(SUBSTITUTE('Calculations'!HF95,"~","~~"),"*","~*"),"?","~?"),'Calculations'!$HN$13:$HN$512,"="&amp;SUBSTITUTE(SUBSTITUTE(SUBSTITUTE('Dashboard'!$B$7,"~","~~"),"*","~*"),"?","~?"))+COUNTIFS('Calculations'!$IA$13:$IA$512,"="&amp;SUBSTITUTE(SUBSTITUTE(SUBSTITUTE('Calculations'!HF95,"~","~~"),"*","~*"),"?","~?"),'Calculations'!$HN$13:$HN$512,"="&amp;SUBSTITUTE(SUBSTITUTE(SUBSTITUTE('Dashboard'!$B$7,"~","~~"),"*","~*"),"?","~?"))+COUNTIFS('Calculations'!$IB$13:$IB$512,"="&amp;SUBSTITUTE(SUBSTITUTE(SUBSTITUTE('Calculations'!HF95,"~","~~"),"*","~*"),"?","~?"),'Calculations'!$HN$13:$HN$512,"="&amp;SUBSTITUTE(SUBSTITUTE(SUBSTITUTE('Dashboard'!$B$7,"~","~~"),"*","~*"),"?","~?"))+COUNTIFS('Calculations'!$IC$13:$IC$512,"="&amp;SUBSTITUTE(SUBSTITUTE(SUBSTITUTE('Calculations'!HF95,"~","~~"),"*","~*"),"?","~?"),'Calculations'!$HN$13:$HN$512,"="&amp;SUBSTITUTE(SUBSTITUTE(SUBSTITUTE('Dashboard'!$B$7,"~","~~"),"*","~*"),"?","~?"))+COUNTIFS('Calculations'!$ID$13:$ID$512,"="&amp;SUBSTITUTE(SUBSTITUTE(SUBSTITUTE('Calculations'!HF95,"~","~~"),"*","~*"),"?","~?"),'Calculations'!$HN$13:$HN$512,"="&amp;SUBSTITUTE(SUBSTITUTE(SUBSTITUTE('Dashboard'!$B$7,"~","~~"),"*","~*"),"?","~?"))+COUNTIFS('Calculations'!$IE$13:$IE$512,"="&amp;SUBSTITUTE(SUBSTITUTE(SUBSTITUTE('Calculations'!HF95,"~","~~"),"*","~*"),"?","~?"),'Calculations'!$HN$13:$HN$512,"="&amp;SUBSTITUTE(SUBSTITUTE(SUBSTITUTE('Dashboard'!$B$7,"~","~~"),"*","~*"),"?","~?"))+COUNTIFS('Calculations'!$IF$13:$IF$512,"="&amp;SUBSTITUTE(SUBSTITUTE(SUBSTITUTE('Calculations'!HF95,"~","~~"),"*","~*"),"?","~?"),'Calculations'!$HN$13:$HN$512,"="&amp;SUBSTITUTE(SUBSTITUTE(SUBSTITUTE('Dashboard'!$B$7,"~","~~"),"*","~*"),"?","~?"))+COUNTIFS('Calculations'!$IG$13:$IG$512,"="&amp;SUBSTITUTE(SUBSTITUTE(SUBSTITUTE('Calculations'!HF95,"~","~~"),"*","~*"),"?","~?"),'Calculations'!$HN$13:$HN$512,"="&amp;SUBSTITUTE(SUBSTITUTE(SUBSTITUTE('Dashboard'!$B$7,"~","~~"),"*","~*"),"?","~?"))+COUNTIFS('Calculations'!$IH$13:$IH$512,"="&amp;SUBSTITUTE(SUBSTITUTE(SUBSTITUTE('Calculations'!HF95,"~","~~"),"*","~*"),"?","~?"),'Calculations'!$HN$13:$HN$512,"="&amp;SUBSTITUTE(SUBSTITUTE(SUBSTITUTE('Dashboard'!$B$7,"~","~~"),"*","~*"),"?","~?"))))</x:f>
        <x:v>0</x:v>
      </x:c>
      <x:c r="JD95" t="n">
        <x:f>IF('Calculations'!EM95="",0,IF('Dashboard'!$B$7="All",1,IF('Calculations'!HN95='Dashboard'!$B$7,1,0)+IFERROR(INDEX('Calculations'!$JC$13:$JC$512,MATCH('Calculations'!HE95,'Calculations'!$HF$13:$HF$512,0)),0)))</x:f>
        <x:v>0</x:v>
      </x:c>
      <x:c r="JE95" t="n">
        <x:f>IF(AND('Calculations'!EM95&lt;&gt;"",'Calculations'!$JJ$2&lt;&gt;"All",'Calculations'!$JJ$2&lt;&gt;"",'Calculations'!HF95='Calculations'!$JJ$2,'Calculations'!HL95=0,'Calculations'!JD95&gt;0),MAX('Calculations'!$JE$12:JE94)+1,0)</x:f>
        <x:v>0</x:v>
      </x:c>
      <x:c r="JF95" t="str">
        <x:f>IF('Calculations'!EM95="","",IFERROR(IF(INDEX(INDIRECT("'WCM Calibration Final'!$G$1:$G$2000"),'Calculations'!$EM95)="","",TRIM(INDEX(INDIRECT("'WCM Calibration Final'!$G$1:$G$2000"),'Calculations'!$EM95)&amp;"")),""))</x:f>
      </x:c>
      <x:c r="JQ95" t="n">
        <x:f>IF(OR('Calculations'!BM95=0,NOT('Calculations'!$AG$2),'Calculations'!$AG$8&gt;0),0,IF(OR('Dashboard'!$B$7="All",'Calculations'!HN95='Dashboard'!$B$7),IF('Calculations'!$JJ$2="All",1,IF(AND('Calculations'!HF95='Calculations'!$JJ$2,'Calculations'!HL95=0),1,0)),0))</x:f>
        <x:v>0</x:v>
      </x:c>
    </x:row>
    <x:row r="96">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t="n">
        <x:f>IF('Calculations'!$EM96="",0,IF(OR(IFERROR(INDEX(INDIRECT("'WCM Calibration Final'!$A$1:$A$2000"),'Calculations'!$EM96)&lt;&gt;"",FALSE),IFERROR(INDEX(INDIRECT("'WCM Calibration Final'!$B$1:$B$2000"),'Calculations'!$EM96)&lt;&gt;"",FALSE),IFERROR(INDEX(INDIRECT("'WCM Calibration Final'!$C$1:$C$2000"),'Calculations'!$EM96)&lt;&gt;"",FALSE)),1,0))</x:f>
        <x:v>0</x:v>
      </x:c>
      <x:c r="BN96" s="4" t="n">
        <x:f>IF(AND('Calculations'!BM96=1,'Calculations'!$AG$2,'Calculations'!$EN96=1),1,0)</x:f>
        <x:v>0</x:v>
      </x:c>
      <x:c r="BO96" s="4" t="str">
        <x:f>IF('Calculations'!BM96=0,"",IFERROR(IF(AND(VALUE(INDEX(INDIRECT("'WCM Calibration Final'!$K$1:$K$2000"),'Calculations'!$EM96))&gt;=1,VALUE(INDEX(INDIRECT("'WCM Calibration Final'!$K$1:$K$2000"),'Calculations'!$EM96))&lt;=4,MOD(VALUE(INDEX(INDIRECT("'WCM Calibration Final'!$K$1:$K$2000"),'Calculations'!$EM96)),1)=0),VALUE(INDEX(INDIRECT("'WCM Calibration Final'!$K$1:$K$2000"),'Calculations'!$EM96)),""),""))</x:f>
      </x:c>
      <x:c r="BP96" s="4" t="str">
        <x:f>IF('Calculations'!BM96=0,"",IFERROR(IF(AND(VALUE(INDEX(INDIRECT("'WCM Calibration Final'!$L$1:$L$2000"),'Calculations'!$EM96))&gt;=1,VALUE(INDEX(INDIRECT("'WCM Calibration Final'!$L$1:$L$2000"),'Calculations'!$EM96))&lt;=4,MOD(VALUE(INDEX(INDIRECT("'WCM Calibration Final'!$L$1:$L$2000"),'Calculations'!$EM96)),1)=0),VALUE(INDEX(INDIRECT("'WCM Calibration Final'!$L$1:$L$2000"),'Calculations'!$EM96)),""),""))</x:f>
      </x:c>
      <x:c r="BQ96" s="4"/>
      <x:c r="BR96" s="4"/>
      <x:c r="BS96" s="4"/>
      <x:c r="BT96" s="4" t="n">
        <x:f>IF(AND('Calculations'!BM96=1,ISNUMBER('Calculations'!BO96),ISNUMBER('Calculations'!BP96)),1,0)</x:f>
        <x:v>0</x:v>
      </x:c>
      <x:c r="BU96" s="4" t="str">
        <x:f>IF('Calculations'!BM96=0,"",'Calculations'!$EO96)</x:f>
      </x:c>
      <x:c r="BV96" s="4" t="str">
        <x:f>IF('Calculations'!BM96=0,"",IFERROR(IF(OR(INDEX(INDIRECT("'WCM Calibration Final'!$H$1:$H$2000"),'Calculations'!$EM96)="MANAGING DIRECTOR",INDEX(INDIRECT("'WCM Calibration Final'!$H$1:$H$2000"),'Calculations'!$EM96)="DIRECTOR",INDEX(INDIRECT("'WCM Calibration Final'!$H$1:$H$2000"),'Calculations'!$EM96)="SENIOR VICE PRESIDENT",INDEX(INDIRECT("'WCM Calibration Final'!$H$1:$H$2000"),'Calculations'!$EM96)="VICE PRESIDENT",INDEX(INDIRECT("'WCM Calibration Final'!$H$1:$H$2000"),'Calculations'!$EM96)="ASSISTANT VICE PRESIDENT",INDEX(INDIRECT("'WCM Calibration Final'!$H$1:$H$2000"),'Calculations'!$EM96)="OFFICER"),UPPER(INDEX(INDIRECT("'WCM Calibration Final'!$H$1:$H$2000"),'Calculations'!$EM96)),"Other"),"Other"))</x:f>
      </x:c>
      <x:c r="BW96" s="4"/>
      <x:c r="BX96" s="4"/>
      <x:c r="BY96" s="4" t="n">
        <x:f>IF(AND('Calculations'!BM96=1,'Calculations'!BU96&lt;&gt;"",COUNTIF('Calculations'!$BU$12:BU96,'Calculations'!BU96)=1),MAX('Calculations'!$BY$11:BY95)+1,0)</x:f>
        <x:v>0</x:v>
      </x:c>
      <x:c r="BZ96" s="4" t="str">
        <x:f>IF('Dashboard'!$E$67="What",'Calculations'!BO96,'Calculations'!BP96)</x:f>
      </x:c>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t="str">
        <x:f>IF(85&gt;MAX('Calculations'!$HI$13:$HI$512),"",INDEX('Calculations'!$HN$13:$HN$512,MATCH(85,'Calculations'!$HI$13:$HI$512,0)))</x:f>
      </x:c>
      <x:c r="DB96" s="4" t="str">
        <x:f>IF(85&gt;MAX('Calculations'!$HH$13:$HH$512),"",INDEX('Calculations'!$HJ$13:$HJ$512,MATCH(85,'Calculations'!$HH$13:$HH$512,0)))</x:f>
      </x:c>
      <x:c r="DC96" s="4" t="str">
        <x:f>IF(ROW()-11&gt;MAX('Calculations'!$BY$13:$BY$512),"",INDEX('Calculations'!$BU$13:$BU$512,MATCH(ROW()-11,'Calculations'!$BY$13:$BY$512,0)))</x:f>
      </x:c>
      <x:c r="DD96" s="4" t="str">
        <x:f>IF(85&gt;MAX('Calculations'!$IK$13:$IK$512),"",INDEX('Calculations'!$HK$13:$HK$512,MATCH(85,'Calculations'!$IK$13:$IK$512,0)))</x:f>
      </x:c>
      <x:c r="DE96" s="4" t="str">
        <x:f>'Calculations'!DC96</x:f>
      </x:c>
      <x:c r="DF96" s="4" t="str">
        <x:f>IF('Calculations'!DE96="","",COUNTIFS('Calculations'!$BN$13:$BN$512,1,'Calculations'!$BU$13:$BU$512,'Calculations'!DE96))</x:f>
      </x:c>
      <x:c r="DG96" s="4" t="str">
        <x:f>IF('Calculations'!DE96="","",COUNTIFS('Calculations'!$BN$13:$BN$512,1,'Calculations'!$BU$13:$BU$512,'Calculations'!DE96,'Calculations'!$BT$13:$BT$512,1))</x:f>
      </x:c>
      <x:c r="DH96" s="4" t="str">
        <x:f>IF('Calculations'!DE96="","",'Calculations'!DF96-'Calculations'!DG96)</x:f>
      </x:c>
      <x:c r="DI96" s="4" t="str">
        <x:f>IF(OR('Calculations'!DE96="",'Calculations'!DF96=0),"",'Calculations'!DG96/'Calculations'!DF96)</x:f>
      </x:c>
      <x:c r="DJ96" s="4" t="str">
        <x:f>IF('Calculations'!DE96="","",COUNTIFS('Calculations'!$BN$13:$BN$512,1,'Calculations'!$BU$13:$BU$512,'Calculations'!DE96,'Calculations'!$BT$13:$BT$512,1,'Calculations'!$EE$13:$EE$512,"High"))</x:f>
      </x:c>
      <x:c r="DK96" s="4" t="str">
        <x:f>IF('Calculations'!DE96="","",COUNTIFS('Calculations'!$BN$13:$BN$512,1,'Calculations'!$BU$13:$BU$512,'Calculations'!DE96,'Calculations'!$BT$13:$BT$512,1,'Calculations'!$EE$13:$EE$512,"Strong"))</x:f>
      </x:c>
      <x:c r="DL96" s="4" t="str">
        <x:f>IF('Calculations'!DE96="","",COUNTIFS('Calculations'!$BN$13:$BN$512,1,'Calculations'!$BU$13:$BU$512,'Calculations'!DE96,'Calculations'!$BT$13:$BT$512,1,'Calculations'!$EE$13:$EE$512,"Solid"))</x:f>
      </x:c>
      <x:c r="DM96" s="4" t="str">
        <x:f>IF('Calculations'!DE96="","",COUNTIFS('Calculations'!$BN$13:$BN$512,1,'Calculations'!$BU$13:$BU$512,'Calculations'!DE96,'Calculations'!$BT$13:$BT$512,1,'Calculations'!$EE$13:$EE$512,"Low"))</x:f>
      </x:c>
      <x:c r="DN96" s="4" t="str">
        <x:f>IF('Calculations'!DE96="","",COUNTIFS('Calculations'!$BN$13:$BN$512,1,'Calculations'!$BU$13:$BU$512,'Calculations'!DE96,'Calculations'!$EP$13:$EP$512,1))</x:f>
      </x:c>
      <x:c r="DO96" s="4" t="str">
        <x:f>IF(OR('Calculations'!DE96="",'Calculations'!DG96=0),"",('Calculations'!DJ96+'Calculations'!DK96)/'Calculations'!DG96)</x:f>
      </x:c>
      <x:c r="DP96" s="4" t="n">
        <x:f>IF(AND('Calculations'!DE96&lt;&gt;"",'Calculations'!DF96&gt;0),COUNTIF('Calculations'!$DF$12:DF96,"&gt;0"),0)</x:f>
        <x:v>0</x:v>
      </x:c>
      <x:c r="DQ96" s="4" t="str">
        <x:f>IF(85&gt;MAX('Calculations'!$HH$13:$HH$512),"",INDEX('Calculations'!$HF$13:$HF$512,MATCH(85,'Calculations'!$HH$13:$HH$512,0)))</x:f>
      </x:c>
      <x:c r="DR96" s="4" t="str">
        <x:f>IF(85&gt;MAX('Calculations'!$IK$13:$IK$512),"",INDEX('Calculations'!$HE$13:$HE$512,MATCH(85,'Calculations'!$IK$13:$IK$512,0)))</x:f>
      </x:c>
      <x:c r="DS96" s="4"/>
      <x:c r="DT96" s="4"/>
      <x:c r="DU96" s="4"/>
      <x:c r="DV96" s="4"/>
      <x:c r="DW96" s="4"/>
      <x:c r="DX96" s="4"/>
      <x:c r="DY96" s="4"/>
      <x:c r="DZ96" s="4"/>
      <x:c r="EA96" s="4"/>
      <x:c r="EB96" s="4"/>
      <x:c r="EC96" s="4"/>
      <x:c r="ED96" s="4"/>
      <x:c r="EE96" s="4" t="str">
        <x:f>IF('Calculations'!BT96=0,"Not Rated",IF(OR('Calculations'!BO96&gt;=4,'Calculations'!BP96&gt;=4),"Low",IF('Calculations'!BO96+'Calculations'!BP96&lt;=3,"High",IF('Calculations'!BO96+'Calculations'!BP96&lt;=4,"Strong","Solid"))))</x:f>
        <x:v>Not Rated</x:v>
      </x:c>
      <x:c r="EF96" s="4"/>
      <x:c r="EG96" s="4"/>
      <x:c r="EH96" s="4"/>
      <x:c r="EI96" s="4"/>
      <x:c r="EJ96" s="4"/>
      <x:c r="EK96" s="4"/>
      <x:c r="EL96" s="4"/>
      <x:c r="EM96" s="4" t="str">
        <x:f>IF(84&gt;'Calculations'!$JB$2000,"",INDEX('Calculations'!$JA$12:$JA$2000,MATCH(84,'Calculations'!$JB$12:$JB$2000,0)))</x:f>
      </x:c>
      <x:c r="EN96" s="4" t="n">
        <x:f>IF(OR('Calculations'!EM96="",'Calculations'!$AG$8&gt;0,AND('Calculations'!$EF$2&lt;&gt;"All",'Calculations'!HE96='Calculations'!$EF$2),AND('Calculations'!$EF$3&lt;&gt;"All",'Calculations'!HE96='Calculations'!$EF$3)),0,IF(OR('Dashboard'!$B$7="All",'Calculations'!HN96='Dashboard'!$B$7),IF('Calculations'!$EF$2="All",1,IF('Calculations'!HL96&gt;0,0,IF(COUNTIF('Calculations'!HO96:II96,"="&amp;SUBSTITUTE(SUBSTITUTE(SUBSTITUTE('Calculations'!$EF$2,"~","~~"),"*","~*"),"?","~?"))=0,0,IF('Calculations'!$EF$3="All",1,IF(COUNTIF('Calculations'!HO96:II96,"="&amp;SUBSTITUTE(SUBSTITUTE(SUBSTITUTE('Calculations'!$EF$3,"~","~~"),"*","~*"),"?","~?"))&gt;0,1,0))))),0))</x:f>
        <x:v>0</x:v>
      </x:c>
      <x:c r="EO96" s="4" t="str">
        <x:f>IF('Calculations'!IJ96="","",IF('Calculations'!IJ96="!UNRESOLVED","Unresolved hierarchy",IFERROR(INDEX('Calculations'!$HK$13:$HK$512,MATCH('Calculations'!IJ96,'Calculations'!$HE$13:$HE$512,0)),IFERROR(INDEX('Calculations'!$HJ$13:$HJ$512,MATCH('Calculations'!IJ96,'Calculations'!$HF$13:$HF$512,0)),'Calculations'!IJ96))))</x:f>
      </x:c>
      <x:c r="EP96" s="4" t="n">
        <x:f>IF(AND('Calculations'!EM96&lt;&gt;"",'Calculations'!HF96='Calculations'!IJ96),1,0)</x:f>
        <x:v>0</x:v>
      </x:c>
      <x:c r="EQ96" s="4"/>
      <x:c r="ER96" s="4"/>
      <x:c r="ES96" s="4"/>
      <x:c r="ET96" s="4"/>
      <x:c r="EU96" s="4"/>
      <x:c r="EV96" s="4"/>
      <x:c r="EW96" s="4"/>
      <x:c r="EX96" s="4"/>
      <x:c r="EY96" s="4"/>
      <x:c r="EZ96" s="4"/>
      <x:c r="FA96" s="4"/>
      <x:c r="FB96" s="4"/>
      <x:c r="FC96" s="4"/>
      <x:c r="FD96" s="4"/>
      <x:c r="FE96" s="4"/>
      <x:c r="FF96" s="4"/>
      <x:c r="FG96" s="4"/>
      <x:c r="FH96" s="4"/>
      <x:c r="FI96" s="4"/>
      <x:c r="FJ96" s="4"/>
      <x:c r="FK96" s="4"/>
      <x:c r="FL96" s="4"/>
      <x:c r="FM96" s="4"/>
      <x:c r="FN96" s="4"/>
      <x:c r="FO96" s="4"/>
      <x:c r="GA96" s="71"/>
      <x:c r="GB96" s="71"/>
      <x:c r="GC96" s="71"/>
      <x:c r="GD96" s="71"/>
      <x:c r="GE96" s="71"/>
      <x:c r="GF96" s="71"/>
      <x:c r="GG96" s="71"/>
      <x:c r="GH96" s="71"/>
      <x:c r="GI96" s="71"/>
      <x:c r="GJ96" s="71"/>
      <x:c r="GK96" s="71"/>
      <x:c r="GL96" s="71"/>
      <x:c r="GM96" s="71"/>
      <x:c r="GN96" s="71"/>
      <x:c r="GO96" s="71"/>
      <x:c r="GP96" s="71"/>
      <x:c r="GQ96" s="71"/>
      <x:c r="GR96" s="71"/>
      <x:c r="GS96" s="71"/>
      <x:c r="GT96" s="71"/>
      <x:c r="GU96" s="71"/>
      <x:c r="GV96" s="71"/>
      <x:c r="GW96" s="71"/>
      <x:c r="GX96" s="71"/>
      <x:c r="GY96" s="71"/>
      <x:c r="GZ96" s="71"/>
      <x:c r="HA96" s="71"/>
      <x:c r="HB96" s="71"/>
      <x:c r="HC96" s="71"/>
      <x:c r="HD96" s="71"/>
      <x:c r="HE96" t="str">
        <x:f>IF('Calculations'!EM96="","",IF(IFERROR(IF(INDEX(INDIRECT("'WCM Calibration Final'!$A$1:$A$2000"),'Calculations'!$EM96)="","",TRIM(INDEX(INDIRECT("'WCM Calibration Final'!$A$1:$A$2000"),'Calculations'!$EM96)&amp;"")),"")&lt;&gt;"","G:"&amp;IFERROR(TEXT(1*INDEX(INDIRECT("'WCM Calibration Final'!$A$1:$A$2000"),'Calculations'!$EM96),"0"),UPPER(IFERROR(IF(INDEX(INDIRECT("'WCM Calibration Final'!$A$1:$A$2000"),'Calculations'!$EM96)="","",TRIM(INDEX(INDIRECT("'WCM Calibration Final'!$A$1:$A$2000"),'Calculations'!$EM96)&amp;"")),""))),IF(IFERROR(IF(INDEX(INDIRECT("'WCM Calibration Final'!$C$1:$C$2000"),'Calculations'!$EM96)="","",TRIM(INDEX(INDIRECT("'WCM Calibration Final'!$C$1:$C$2000"),'Calculations'!$EM96)&amp;"")),"")&lt;&gt;"","S:"&amp;UPPER(IFERROR(IF(INDEX(INDIRECT("'WCM Calibration Final'!$C$1:$C$2000"),'Calculations'!$EM96)="","",TRIM(INDEX(INDIRECT("'WCM Calibration Final'!$C$1:$C$2000"),'Calculations'!$EM96)&amp;"")),"")),"R:"&amp;'Calculations'!EM96)))</x:f>
      </x:c>
      <x:c r="HF96" t="str">
        <x:f>IF('Calculations'!EM96="","",IF(IFERROR(IF(INDEX(INDIRECT("'WCM Calibration Final'!$D$1:$D$2000"),'Calculations'!$EM96)="","",TRIM(INDEX(INDIRECT("'WCM Calibration Final'!$D$1:$D$2000"),'Calculations'!$EM96)&amp;"")),"")&lt;&gt;"","G:"&amp;IFERROR(TEXT(1*INDEX(INDIRECT("'WCM Calibration Final'!$D$1:$D$2000"),'Calculations'!$EM96),"0"),UPPER(IFERROR(IF(INDEX(INDIRECT("'WCM Calibration Final'!$D$1:$D$2000"),'Calculations'!$EM96)="","",TRIM(INDEX(INDIRECT("'WCM Calibration Final'!$D$1:$D$2000"),'Calculations'!$EM96)&amp;"")),""))),IF(IFERROR(IF(INDEX(INDIRECT("'WCM Calibration Final'!$E$1:$E$2000"),'Calculations'!$EM96)="","",TRIM(INDEX(INDIRECT("'WCM Calibration Final'!$E$1:$E$2000"),'Calculations'!$EM96)&amp;"")),"")="","",IF(COUNTIF('Calculations'!$HG$13:$HG$512,"="&amp;SUBSTITUTE(SUBSTITUTE(SUBSTITUTE(IFERROR(IF(INDEX(INDIRECT("'WCM Calibration Final'!$E$1:$E$2000"),'Calculations'!$EM96)="","",TRIM(INDEX(INDIRECT("'WCM Calibration Final'!$E$1:$E$2000"),'Calculations'!$EM96)&amp;"")),""),"~","~~"),"*","~*"),"?","~?"))=1,INDEX('Calculations'!$HE$13:$HE$512,MATCH(IFERROR(IF(INDEX(INDIRECT("'WCM Calibration Final'!$E$1:$E$2000"),'Calculations'!$EM96)="","",TRIM(INDEX(INDIRECT("'WCM Calibration Final'!$E$1:$E$2000"),'Calculations'!$EM96)&amp;"")),""),'Calculations'!$HG$13:$HG$512,0)),IF(COUNTIF('Calculations'!$HG$13:$HG$512,"="&amp;SUBSTITUTE(SUBSTITUTE(SUBSTITUTE(IFERROR(IF(INDEX(INDIRECT("'WCM Calibration Final'!$E$1:$E$2000"),'Calculations'!$EM96)="","",TRIM(INDEX(INDIRECT("'WCM Calibration Final'!$E$1:$E$2000"),'Calculations'!$EM96)&amp;"")),""),"~","~~"),"*","~*"),"?","~?"))&gt;1,"!AMBIG","X:"&amp;IFERROR(IF(INDEX(INDIRECT("'WCM Calibration Final'!$E$1:$E$2000"),'Calculations'!$EM96)="","",TRIM(INDEX(INDIRECT("'WCM Calibration Final'!$E$1:$E$2000"),'Calculations'!$EM96)&amp;"")),""))))))</x:f>
      </x:c>
      <x:c r="HG96" t="str">
        <x:f>IF('Calculations'!EM96="","",IFERROR(IF(INDEX(INDIRECT("'WCM Calibration Final'!$B$1:$B$2000"),'Calculations'!$EM96)="","",TRIM(INDEX(INDIRECT("'WCM Calibration Final'!$B$1:$B$2000"),'Calculations'!$EM96)&amp;"")),""))</x:f>
      </x:c>
      <x:c r="HH96" t="n">
        <x:f>IF(AND('Calculations'!JC96&gt;0,COUNTIF('Calculations'!$HF$12:HF96,"="&amp;SUBSTITUTE(SUBSTITUTE(SUBSTITUTE('Calculations'!HF96,"~","~~"),"*","~*"),"?","~?"))=1),MAX('Calculations'!$HH$12:HH95)+1,0)</x:f>
        <x:v>0</x:v>
      </x:c>
      <x:c r="HI96" t="n">
        <x:f>IF(AND('Calculations'!HN96&lt;&gt;"",COUNTIF('Calculations'!$HN$12:HN96,"="&amp;SUBSTITUTE(SUBSTITUTE(SUBSTITUTE('Calculations'!HN96,"~","~~"),"*","~*"),"?","~?"))=1),MAX('Calculations'!$HI$12:HI95)+1,0)</x:f>
        <x:v>0</x:v>
      </x:c>
      <x:c r="HJ96" t="str">
        <x:f>IF('Calculations'!HF96="","",IF(COUNTIF('Calculations'!$HE$13:$HE$512,"="&amp;SUBSTITUTE(SUBSTITUTE(SUBSTITUTE('Calculations'!HF96,"~","~~"),"*","~*"),"?","~?"))=1,INDEX('Calculations'!$HK$13:$HK$512,MATCH('Calculations'!HF96,'Calculations'!$HE$13:$HE$512,0)),IFERROR(IF(INDEX(INDIRECT("'WCM Calibration Final'!$E$1:$E$2000"),'Calculations'!$EM96)="","",TRIM(INDEX(INDIRECT("'WCM Calibration Final'!$E$1:$E$2000"),'Calculations'!$EM96)&amp;"")),"")&amp;" ["&amp;'Calculations'!HF96&amp;"]"))</x:f>
      </x:c>
      <x:c r="HK96" t="str">
        <x:f>IF('Calculations'!EM96="","",'Calculations'!HG96&amp;" ["&amp;'Calculations'!HE96&amp;"]")</x:f>
      </x:c>
      <x:c r="HL96" t="n">
        <x:f>IF('Calculations'!EM96="",0,IF(OR('Calculations'!II96&lt;&gt;"",COUNTIF('Calculations'!$HE$13:$HE$512,"="&amp;SUBSTITUTE(SUBSTITUTE(SUBSTITUTE('Calculations'!HE96,"~","~~"),"*","~*"),"?","~?"))&gt;1),1,0))</x:f>
        <x:v>0</x:v>
      </x:c>
      <x:c r="HM96" t="str">
        <x:f>IF('Calculations'!EM96="","",IF('Calculations'!HL96=1,"!UNRESOLVED",IF('Calculations'!IH96&lt;&gt;"",'Calculations'!IH96,IF('Calculations'!IG96&lt;&gt;"",'Calculations'!IG96,IF('Calculations'!IF96&lt;&gt;"",'Calculations'!IF96,IF('Calculations'!IE96&lt;&gt;"",'Calculations'!IE96,IF('Calculations'!ID96&lt;&gt;"",'Calculations'!ID96,IF('Calculations'!IC96&lt;&gt;"",'Calculations'!IC96,IF('Calculations'!IB96&lt;&gt;"",'Calculations'!IB96,IF('Calculations'!IA96&lt;&gt;"",'Calculations'!IA96,IF('Calculations'!HZ96&lt;&gt;"",'Calculations'!HZ96,IF('Calculations'!HY96&lt;&gt;"",'Calculations'!HY96,IF('Calculations'!HX96&lt;&gt;"",'Calculations'!HX96,IF('Calculations'!HW96&lt;&gt;"",'Calculations'!HW96,IF('Calculations'!HV96&lt;&gt;"",'Calculations'!HV96,IF('Calculations'!HU96&lt;&gt;"",'Calculations'!HU96,IF('Calculations'!HT96&lt;&gt;"",'Calculations'!HT96,IF('Calculations'!HS96&lt;&gt;"",'Calculations'!HS96,IF('Calculations'!HR96&lt;&gt;"",'Calculations'!HR96,IF('Calculations'!HQ96&lt;&gt;"",'Calculations'!HQ96,IF('Calculations'!HP96&lt;&gt;"",'Calculations'!HP96,IF('Calculations'!HO96&lt;&gt;"",'Calculations'!HO96,'Calculations'!HE96))))))))))))))))))))))</x:f>
      </x:c>
      <x:c r="HN96" t="str">
        <x:f>IF('Calculations'!EM96="","",IF(IFERROR(IF(INDEX(INDIRECT("'WCM Calibration Final'!$F$1:$F$2000"),'Calculations'!$EM96)="","",TRIM(INDEX(INDIRECT("'WCM Calibration Final'!$F$1:$F$2000"),'Calculations'!$EM96)&amp;"")),"")="","(Blank)",IFERROR(IF(INDEX(INDIRECT("'WCM Calibration Final'!$F$1:$F$2000"),'Calculations'!$EM96)="","",TRIM(INDEX(INDIRECT("'WCM Calibration Final'!$F$1:$F$2000"),'Calculations'!$EM96)&amp;"")),"")))</x:f>
      </x:c>
      <x:c r="HO96" t="str">
        <x:f>'Calculations'!HF96</x:f>
      </x:c>
      <x:c r="HP96" t="str">
        <x:f>IF('Calculations'!HO96="","",IF('Calculations'!HO96="!AMBIG","!AMBIG",IF(COUNTIF('Calculations'!$HE$13:$HE$512,"="&amp;SUBSTITUTE(SUBSTITUTE(SUBSTITUTE('Calculations'!HO96,"~","~~"),"*","~*"),"?","~?"))&gt;1,"!AMBIG",IFERROR(INDEX('Calculations'!$HF$13:$HF$512,MATCH('Calculations'!HO96,'Calculations'!$HE$13:$HE$512,0)),""))))</x:f>
      </x:c>
      <x:c r="HQ96" t="str">
        <x:f>IF('Calculations'!HP96="","",IF('Calculations'!HP96="!AMBIG","!AMBIG",IF(COUNTIF('Calculations'!$HE$13:$HE$512,"="&amp;SUBSTITUTE(SUBSTITUTE(SUBSTITUTE('Calculations'!HP96,"~","~~"),"*","~*"),"?","~?"))&gt;1,"!AMBIG",IFERROR(INDEX('Calculations'!$HF$13:$HF$512,MATCH('Calculations'!HP96,'Calculations'!$HE$13:$HE$512,0)),""))))</x:f>
      </x:c>
      <x:c r="HR96" t="str">
        <x:f>IF('Calculations'!HQ96="","",IF('Calculations'!HQ96="!AMBIG","!AMBIG",IF(COUNTIF('Calculations'!$HE$13:$HE$512,"="&amp;SUBSTITUTE(SUBSTITUTE(SUBSTITUTE('Calculations'!HQ96,"~","~~"),"*","~*"),"?","~?"))&gt;1,"!AMBIG",IFERROR(INDEX('Calculations'!$HF$13:$HF$512,MATCH('Calculations'!HQ96,'Calculations'!$HE$13:$HE$512,0)),""))))</x:f>
      </x:c>
      <x:c r="HS96" t="str">
        <x:f>IF('Calculations'!HR96="","",IF('Calculations'!HR96="!AMBIG","!AMBIG",IF(COUNTIF('Calculations'!$HE$13:$HE$512,"="&amp;SUBSTITUTE(SUBSTITUTE(SUBSTITUTE('Calculations'!HR96,"~","~~"),"*","~*"),"?","~?"))&gt;1,"!AMBIG",IFERROR(INDEX('Calculations'!$HF$13:$HF$512,MATCH('Calculations'!HR96,'Calculations'!$HE$13:$HE$512,0)),""))))</x:f>
      </x:c>
      <x:c r="HT96" t="str">
        <x:f>IF('Calculations'!HS96="","",IF('Calculations'!HS96="!AMBIG","!AMBIG",IF(COUNTIF('Calculations'!$HE$13:$HE$512,"="&amp;SUBSTITUTE(SUBSTITUTE(SUBSTITUTE('Calculations'!HS96,"~","~~"),"*","~*"),"?","~?"))&gt;1,"!AMBIG",IFERROR(INDEX('Calculations'!$HF$13:$HF$512,MATCH('Calculations'!HS96,'Calculations'!$HE$13:$HE$512,0)),""))))</x:f>
      </x:c>
      <x:c r="HU96" t="str">
        <x:f>IF('Calculations'!HT96="","",IF('Calculations'!HT96="!AMBIG","!AMBIG",IF(COUNTIF('Calculations'!$HE$13:$HE$512,"="&amp;SUBSTITUTE(SUBSTITUTE(SUBSTITUTE('Calculations'!HT96,"~","~~"),"*","~*"),"?","~?"))&gt;1,"!AMBIG",IFERROR(INDEX('Calculations'!$HF$13:$HF$512,MATCH('Calculations'!HT96,'Calculations'!$HE$13:$HE$512,0)),""))))</x:f>
      </x:c>
      <x:c r="HV96" t="str">
        <x:f>IF('Calculations'!HU96="","",IF('Calculations'!HU96="!AMBIG","!AMBIG",IF(COUNTIF('Calculations'!$HE$13:$HE$512,"="&amp;SUBSTITUTE(SUBSTITUTE(SUBSTITUTE('Calculations'!HU96,"~","~~"),"*","~*"),"?","~?"))&gt;1,"!AMBIG",IFERROR(INDEX('Calculations'!$HF$13:$HF$512,MATCH('Calculations'!HU96,'Calculations'!$HE$13:$HE$512,0)),""))))</x:f>
      </x:c>
      <x:c r="HW96" t="str">
        <x:f>IF('Calculations'!HV96="","",IF('Calculations'!HV96="!AMBIG","!AMBIG",IF(COUNTIF('Calculations'!$HE$13:$HE$512,"="&amp;SUBSTITUTE(SUBSTITUTE(SUBSTITUTE('Calculations'!HV96,"~","~~"),"*","~*"),"?","~?"))&gt;1,"!AMBIG",IFERROR(INDEX('Calculations'!$HF$13:$HF$512,MATCH('Calculations'!HV96,'Calculations'!$HE$13:$HE$512,0)),""))))</x:f>
      </x:c>
      <x:c r="HX96" t="str">
        <x:f>IF('Calculations'!HW96="","",IF('Calculations'!HW96="!AMBIG","!AMBIG",IF(COUNTIF('Calculations'!$HE$13:$HE$512,"="&amp;SUBSTITUTE(SUBSTITUTE(SUBSTITUTE('Calculations'!HW96,"~","~~"),"*","~*"),"?","~?"))&gt;1,"!AMBIG",IFERROR(INDEX('Calculations'!$HF$13:$HF$512,MATCH('Calculations'!HW96,'Calculations'!$HE$13:$HE$512,0)),""))))</x:f>
      </x:c>
      <x:c r="HY96" t="str">
        <x:f>IF('Calculations'!HX96="","",IF('Calculations'!HX96="!AMBIG","!AMBIG",IF(COUNTIF('Calculations'!$HE$13:$HE$512,"="&amp;SUBSTITUTE(SUBSTITUTE(SUBSTITUTE('Calculations'!HX96,"~","~~"),"*","~*"),"?","~?"))&gt;1,"!AMBIG",IFERROR(INDEX('Calculations'!$HF$13:$HF$512,MATCH('Calculations'!HX96,'Calculations'!$HE$13:$HE$512,0)),""))))</x:f>
      </x:c>
      <x:c r="HZ96" t="str">
        <x:f>IF('Calculations'!HY96="","",IF('Calculations'!HY96="!AMBIG","!AMBIG",IF(COUNTIF('Calculations'!$HE$13:$HE$512,"="&amp;SUBSTITUTE(SUBSTITUTE(SUBSTITUTE('Calculations'!HY96,"~","~~"),"*","~*"),"?","~?"))&gt;1,"!AMBIG",IFERROR(INDEX('Calculations'!$HF$13:$HF$512,MATCH('Calculations'!HY96,'Calculations'!$HE$13:$HE$512,0)),""))))</x:f>
      </x:c>
      <x:c r="IA96" t="str">
        <x:f>IF('Calculations'!HZ96="","",IF('Calculations'!HZ96="!AMBIG","!AMBIG",IF(COUNTIF('Calculations'!$HE$13:$HE$512,"="&amp;SUBSTITUTE(SUBSTITUTE(SUBSTITUTE('Calculations'!HZ96,"~","~~"),"*","~*"),"?","~?"))&gt;1,"!AMBIG",IFERROR(INDEX('Calculations'!$HF$13:$HF$512,MATCH('Calculations'!HZ96,'Calculations'!$HE$13:$HE$512,0)),""))))</x:f>
      </x:c>
      <x:c r="IB96" t="str">
        <x:f>IF('Calculations'!IA96="","",IF('Calculations'!IA96="!AMBIG","!AMBIG",IF(COUNTIF('Calculations'!$HE$13:$HE$512,"="&amp;SUBSTITUTE(SUBSTITUTE(SUBSTITUTE('Calculations'!IA96,"~","~~"),"*","~*"),"?","~?"))&gt;1,"!AMBIG",IFERROR(INDEX('Calculations'!$HF$13:$HF$512,MATCH('Calculations'!IA96,'Calculations'!$HE$13:$HE$512,0)),""))))</x:f>
      </x:c>
      <x:c r="IC96" t="str">
        <x:f>IF('Calculations'!IB96="","",IF('Calculations'!IB96="!AMBIG","!AMBIG",IF(COUNTIF('Calculations'!$HE$13:$HE$512,"="&amp;SUBSTITUTE(SUBSTITUTE(SUBSTITUTE('Calculations'!IB96,"~","~~"),"*","~*"),"?","~?"))&gt;1,"!AMBIG",IFERROR(INDEX('Calculations'!$HF$13:$HF$512,MATCH('Calculations'!IB96,'Calculations'!$HE$13:$HE$512,0)),""))))</x:f>
      </x:c>
      <x:c r="ID96" t="str">
        <x:f>IF('Calculations'!IC96="","",IF('Calculations'!IC96="!AMBIG","!AMBIG",IF(COUNTIF('Calculations'!$HE$13:$HE$512,"="&amp;SUBSTITUTE(SUBSTITUTE(SUBSTITUTE('Calculations'!IC96,"~","~~"),"*","~*"),"?","~?"))&gt;1,"!AMBIG",IFERROR(INDEX('Calculations'!$HF$13:$HF$512,MATCH('Calculations'!IC96,'Calculations'!$HE$13:$HE$512,0)),""))))</x:f>
      </x:c>
      <x:c r="IE96" t="str">
        <x:f>IF('Calculations'!ID96="","",IF('Calculations'!ID96="!AMBIG","!AMBIG",IF(COUNTIF('Calculations'!$HE$13:$HE$512,"="&amp;SUBSTITUTE(SUBSTITUTE(SUBSTITUTE('Calculations'!ID96,"~","~~"),"*","~*"),"?","~?"))&gt;1,"!AMBIG",IFERROR(INDEX('Calculations'!$HF$13:$HF$512,MATCH('Calculations'!ID96,'Calculations'!$HE$13:$HE$512,0)),""))))</x:f>
      </x:c>
      <x:c r="IF96" t="str">
        <x:f>IF('Calculations'!IE96="","",IF('Calculations'!IE96="!AMBIG","!AMBIG",IF(COUNTIF('Calculations'!$HE$13:$HE$512,"="&amp;SUBSTITUTE(SUBSTITUTE(SUBSTITUTE('Calculations'!IE96,"~","~~"),"*","~*"),"?","~?"))&gt;1,"!AMBIG",IFERROR(INDEX('Calculations'!$HF$13:$HF$512,MATCH('Calculations'!IE96,'Calculations'!$HE$13:$HE$512,0)),""))))</x:f>
      </x:c>
      <x:c r="IG96" t="str">
        <x:f>IF('Calculations'!IF96="","",IF('Calculations'!IF96="!AMBIG","!AMBIG",IF(COUNTIF('Calculations'!$HE$13:$HE$512,"="&amp;SUBSTITUTE(SUBSTITUTE(SUBSTITUTE('Calculations'!IF96,"~","~~"),"*","~*"),"?","~?"))&gt;1,"!AMBIG",IFERROR(INDEX('Calculations'!$HF$13:$HF$512,MATCH('Calculations'!IF96,'Calculations'!$HE$13:$HE$512,0)),""))))</x:f>
      </x:c>
      <x:c r="IH96" t="str">
        <x:f>IF('Calculations'!IG96="","",IF('Calculations'!IG96="!AMBIG","!AMBIG",IF(COUNTIF('Calculations'!$HE$13:$HE$512,"="&amp;SUBSTITUTE(SUBSTITUTE(SUBSTITUTE('Calculations'!IG96,"~","~~"),"*","~*"),"?","~?"))&gt;1,"!AMBIG",IFERROR(INDEX('Calculations'!$HF$13:$HF$512,MATCH('Calculations'!IG96,'Calculations'!$HE$13:$HE$512,0)),""))))</x:f>
      </x:c>
      <x:c r="II96" t="str">
        <x:f>IF('Calculations'!IH96="","",IF('Calculations'!IH96="!AMBIG","!AMBIG",IF(COUNTIF('Calculations'!$HE$13:$HE$512,"="&amp;SUBSTITUTE(SUBSTITUTE(SUBSTITUTE('Calculations'!IH96,"~","~~"),"*","~*"),"?","~?"))&gt;1,"!AMBIG",IFERROR(INDEX('Calculations'!$HF$13:$HF$512,MATCH('Calculations'!IH96,'Calculations'!$HE$13:$HE$512,0)),""))))</x:f>
      </x:c>
      <x:c r="IJ96" t="str">
        <x:f>IF('Calculations'!EM96="","",IF('Calculations'!$EF$2="All",'Calculations'!HM96,IF('Calculations'!HL96=1,"",IFERROR(IF(MATCH('Calculations'!$EF$2,'Calculations'!HO96:II96,0)=1,'Calculations'!HE96,INDEX('Calculations'!HO96:II96,1,MATCH('Calculations'!$EF$2,'Calculations'!HO96:II96,0)-1)),""))))</x:f>
      </x:c>
      <x:c r="IK96" t="n">
        <x:f>IF(AND('Calculations'!EM96&lt;&gt;"",'Calculations'!$EF$2&lt;&gt;"All",'Calculations'!HF96='Calculations'!$EF$2,'Calculations'!HL96=0,'Calculations'!JD96&gt;0),MAX('Calculations'!$IK$12:IK95)+1,0)</x:f>
        <x:v>0</x:v>
      </x:c>
      <x:c r="JA96" t="n">
        <x:f>IF(OR(IFERROR(INDIRECT("'WCM Calibration Final'!$A$96")&lt;&gt;"",FALSE),IFERROR(INDIRECT("'WCM Calibration Final'!$B$96")&lt;&gt;"",FALSE),IFERROR(INDIRECT("'WCM Calibration Final'!$C$96")&lt;&gt;"",FALSE)),96,0)</x:f>
        <x:v>0</x:v>
      </x:c>
      <x:c r="JB96" t="n">
        <x:f>'Calculations'!JB95+IF('Calculations'!JA96&gt;0,1,0)</x:f>
        <x:v>0</x:v>
      </x:c>
      <x:c r="JC96" t="n">
        <x:f>IF(OR('Calculations'!HF96="",'Calculations'!HF96="!AMBIG"),0,IF('Dashboard'!$B$7="All",1,COUNTIFS('Calculations'!$HO$13:$HO$512,"="&amp;SUBSTITUTE(SUBSTITUTE(SUBSTITUTE('Calculations'!HF96,"~","~~"),"*","~*"),"?","~?"),'Calculations'!$HN$13:$HN$512,"="&amp;SUBSTITUTE(SUBSTITUTE(SUBSTITUTE('Dashboard'!$B$7,"~","~~"),"*","~*"),"?","~?"))+COUNTIFS('Calculations'!$HP$13:$HP$512,"="&amp;SUBSTITUTE(SUBSTITUTE(SUBSTITUTE('Calculations'!HF96,"~","~~"),"*","~*"),"?","~?"),'Calculations'!$HN$13:$HN$512,"="&amp;SUBSTITUTE(SUBSTITUTE(SUBSTITUTE('Dashboard'!$B$7,"~","~~"),"*","~*"),"?","~?"))+COUNTIFS('Calculations'!$HQ$13:$HQ$512,"="&amp;SUBSTITUTE(SUBSTITUTE(SUBSTITUTE('Calculations'!HF96,"~","~~"),"*","~*"),"?","~?"),'Calculations'!$HN$13:$HN$512,"="&amp;SUBSTITUTE(SUBSTITUTE(SUBSTITUTE('Dashboard'!$B$7,"~","~~"),"*","~*"),"?","~?"))+COUNTIFS('Calculations'!$HR$13:$HR$512,"="&amp;SUBSTITUTE(SUBSTITUTE(SUBSTITUTE('Calculations'!HF96,"~","~~"),"*","~*"),"?","~?"),'Calculations'!$HN$13:$HN$512,"="&amp;SUBSTITUTE(SUBSTITUTE(SUBSTITUTE('Dashboard'!$B$7,"~","~~"),"*","~*"),"?","~?"))+COUNTIFS('Calculations'!$HS$13:$HS$512,"="&amp;SUBSTITUTE(SUBSTITUTE(SUBSTITUTE('Calculations'!HF96,"~","~~"),"*","~*"),"?","~?"),'Calculations'!$HN$13:$HN$512,"="&amp;SUBSTITUTE(SUBSTITUTE(SUBSTITUTE('Dashboard'!$B$7,"~","~~"),"*","~*"),"?","~?"))+COUNTIFS('Calculations'!$HT$13:$HT$512,"="&amp;SUBSTITUTE(SUBSTITUTE(SUBSTITUTE('Calculations'!HF96,"~","~~"),"*","~*"),"?","~?"),'Calculations'!$HN$13:$HN$512,"="&amp;SUBSTITUTE(SUBSTITUTE(SUBSTITUTE('Dashboard'!$B$7,"~","~~"),"*","~*"),"?","~?"))+COUNTIFS('Calculations'!$HU$13:$HU$512,"="&amp;SUBSTITUTE(SUBSTITUTE(SUBSTITUTE('Calculations'!HF96,"~","~~"),"*","~*"),"?","~?"),'Calculations'!$HN$13:$HN$512,"="&amp;SUBSTITUTE(SUBSTITUTE(SUBSTITUTE('Dashboard'!$B$7,"~","~~"),"*","~*"),"?","~?"))+COUNTIFS('Calculations'!$HV$13:$HV$512,"="&amp;SUBSTITUTE(SUBSTITUTE(SUBSTITUTE('Calculations'!HF96,"~","~~"),"*","~*"),"?","~?"),'Calculations'!$HN$13:$HN$512,"="&amp;SUBSTITUTE(SUBSTITUTE(SUBSTITUTE('Dashboard'!$B$7,"~","~~"),"*","~*"),"?","~?"))+COUNTIFS('Calculations'!$HW$13:$HW$512,"="&amp;SUBSTITUTE(SUBSTITUTE(SUBSTITUTE('Calculations'!HF96,"~","~~"),"*","~*"),"?","~?"),'Calculations'!$HN$13:$HN$512,"="&amp;SUBSTITUTE(SUBSTITUTE(SUBSTITUTE('Dashboard'!$B$7,"~","~~"),"*","~*"),"?","~?"))+COUNTIFS('Calculations'!$HX$13:$HX$512,"="&amp;SUBSTITUTE(SUBSTITUTE(SUBSTITUTE('Calculations'!HF96,"~","~~"),"*","~*"),"?","~?"),'Calculations'!$HN$13:$HN$512,"="&amp;SUBSTITUTE(SUBSTITUTE(SUBSTITUTE('Dashboard'!$B$7,"~","~~"),"*","~*"),"?","~?"))+COUNTIFS('Calculations'!$HY$13:$HY$512,"="&amp;SUBSTITUTE(SUBSTITUTE(SUBSTITUTE('Calculations'!HF96,"~","~~"),"*","~*"),"?","~?"),'Calculations'!$HN$13:$HN$512,"="&amp;SUBSTITUTE(SUBSTITUTE(SUBSTITUTE('Dashboard'!$B$7,"~","~~"),"*","~*"),"?","~?"))+COUNTIFS('Calculations'!$HZ$13:$HZ$512,"="&amp;SUBSTITUTE(SUBSTITUTE(SUBSTITUTE('Calculations'!HF96,"~","~~"),"*","~*"),"?","~?"),'Calculations'!$HN$13:$HN$512,"="&amp;SUBSTITUTE(SUBSTITUTE(SUBSTITUTE('Dashboard'!$B$7,"~","~~"),"*","~*"),"?","~?"))+COUNTIFS('Calculations'!$IA$13:$IA$512,"="&amp;SUBSTITUTE(SUBSTITUTE(SUBSTITUTE('Calculations'!HF96,"~","~~"),"*","~*"),"?","~?"),'Calculations'!$HN$13:$HN$512,"="&amp;SUBSTITUTE(SUBSTITUTE(SUBSTITUTE('Dashboard'!$B$7,"~","~~"),"*","~*"),"?","~?"))+COUNTIFS('Calculations'!$IB$13:$IB$512,"="&amp;SUBSTITUTE(SUBSTITUTE(SUBSTITUTE('Calculations'!HF96,"~","~~"),"*","~*"),"?","~?"),'Calculations'!$HN$13:$HN$512,"="&amp;SUBSTITUTE(SUBSTITUTE(SUBSTITUTE('Dashboard'!$B$7,"~","~~"),"*","~*"),"?","~?"))+COUNTIFS('Calculations'!$IC$13:$IC$512,"="&amp;SUBSTITUTE(SUBSTITUTE(SUBSTITUTE('Calculations'!HF96,"~","~~"),"*","~*"),"?","~?"),'Calculations'!$HN$13:$HN$512,"="&amp;SUBSTITUTE(SUBSTITUTE(SUBSTITUTE('Dashboard'!$B$7,"~","~~"),"*","~*"),"?","~?"))+COUNTIFS('Calculations'!$ID$13:$ID$512,"="&amp;SUBSTITUTE(SUBSTITUTE(SUBSTITUTE('Calculations'!HF96,"~","~~"),"*","~*"),"?","~?"),'Calculations'!$HN$13:$HN$512,"="&amp;SUBSTITUTE(SUBSTITUTE(SUBSTITUTE('Dashboard'!$B$7,"~","~~"),"*","~*"),"?","~?"))+COUNTIFS('Calculations'!$IE$13:$IE$512,"="&amp;SUBSTITUTE(SUBSTITUTE(SUBSTITUTE('Calculations'!HF96,"~","~~"),"*","~*"),"?","~?"),'Calculations'!$HN$13:$HN$512,"="&amp;SUBSTITUTE(SUBSTITUTE(SUBSTITUTE('Dashboard'!$B$7,"~","~~"),"*","~*"),"?","~?"))+COUNTIFS('Calculations'!$IF$13:$IF$512,"="&amp;SUBSTITUTE(SUBSTITUTE(SUBSTITUTE('Calculations'!HF96,"~","~~"),"*","~*"),"?","~?"),'Calculations'!$HN$13:$HN$512,"="&amp;SUBSTITUTE(SUBSTITUTE(SUBSTITUTE('Dashboard'!$B$7,"~","~~"),"*","~*"),"?","~?"))+COUNTIFS('Calculations'!$IG$13:$IG$512,"="&amp;SUBSTITUTE(SUBSTITUTE(SUBSTITUTE('Calculations'!HF96,"~","~~"),"*","~*"),"?","~?"),'Calculations'!$HN$13:$HN$512,"="&amp;SUBSTITUTE(SUBSTITUTE(SUBSTITUTE('Dashboard'!$B$7,"~","~~"),"*","~*"),"?","~?"))+COUNTIFS('Calculations'!$IH$13:$IH$512,"="&amp;SUBSTITUTE(SUBSTITUTE(SUBSTITUTE('Calculations'!HF96,"~","~~"),"*","~*"),"?","~?"),'Calculations'!$HN$13:$HN$512,"="&amp;SUBSTITUTE(SUBSTITUTE(SUBSTITUTE('Dashboard'!$B$7,"~","~~"),"*","~*"),"?","~?"))))</x:f>
        <x:v>0</x:v>
      </x:c>
      <x:c r="JD96" t="n">
        <x:f>IF('Calculations'!EM96="",0,IF('Dashboard'!$B$7="All",1,IF('Calculations'!HN96='Dashboard'!$B$7,1,0)+IFERROR(INDEX('Calculations'!$JC$13:$JC$512,MATCH('Calculations'!HE96,'Calculations'!$HF$13:$HF$512,0)),0)))</x:f>
        <x:v>0</x:v>
      </x:c>
      <x:c r="JE96" t="n">
        <x:f>IF(AND('Calculations'!EM96&lt;&gt;"",'Calculations'!$JJ$2&lt;&gt;"All",'Calculations'!$JJ$2&lt;&gt;"",'Calculations'!HF96='Calculations'!$JJ$2,'Calculations'!HL96=0,'Calculations'!JD96&gt;0),MAX('Calculations'!$JE$12:JE95)+1,0)</x:f>
        <x:v>0</x:v>
      </x:c>
      <x:c r="JF96" t="str">
        <x:f>IF('Calculations'!EM96="","",IFERROR(IF(INDEX(INDIRECT("'WCM Calibration Final'!$G$1:$G$2000"),'Calculations'!$EM96)="","",TRIM(INDEX(INDIRECT("'WCM Calibration Final'!$G$1:$G$2000"),'Calculations'!$EM96)&amp;"")),""))</x:f>
      </x:c>
      <x:c r="JQ96" t="n">
        <x:f>IF(OR('Calculations'!BM96=0,NOT('Calculations'!$AG$2),'Calculations'!$AG$8&gt;0),0,IF(OR('Dashboard'!$B$7="All",'Calculations'!HN96='Dashboard'!$B$7),IF('Calculations'!$JJ$2="All",1,IF(AND('Calculations'!HF96='Calculations'!$JJ$2,'Calculations'!HL96=0),1,0)),0))</x:f>
        <x:v>0</x:v>
      </x:c>
    </x:row>
    <x:row r="97">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t="n">
        <x:f>IF('Calculations'!$EM97="",0,IF(OR(IFERROR(INDEX(INDIRECT("'WCM Calibration Final'!$A$1:$A$2000"),'Calculations'!$EM97)&lt;&gt;"",FALSE),IFERROR(INDEX(INDIRECT("'WCM Calibration Final'!$B$1:$B$2000"),'Calculations'!$EM97)&lt;&gt;"",FALSE),IFERROR(INDEX(INDIRECT("'WCM Calibration Final'!$C$1:$C$2000"),'Calculations'!$EM97)&lt;&gt;"",FALSE)),1,0))</x:f>
        <x:v>0</x:v>
      </x:c>
      <x:c r="BN97" s="4" t="n">
        <x:f>IF(AND('Calculations'!BM97=1,'Calculations'!$AG$2,'Calculations'!$EN97=1),1,0)</x:f>
        <x:v>0</x:v>
      </x:c>
      <x:c r="BO97" s="4" t="str">
        <x:f>IF('Calculations'!BM97=0,"",IFERROR(IF(AND(VALUE(INDEX(INDIRECT("'WCM Calibration Final'!$K$1:$K$2000"),'Calculations'!$EM97))&gt;=1,VALUE(INDEX(INDIRECT("'WCM Calibration Final'!$K$1:$K$2000"),'Calculations'!$EM97))&lt;=4,MOD(VALUE(INDEX(INDIRECT("'WCM Calibration Final'!$K$1:$K$2000"),'Calculations'!$EM97)),1)=0),VALUE(INDEX(INDIRECT("'WCM Calibration Final'!$K$1:$K$2000"),'Calculations'!$EM97)),""),""))</x:f>
      </x:c>
      <x:c r="BP97" s="4" t="str">
        <x:f>IF('Calculations'!BM97=0,"",IFERROR(IF(AND(VALUE(INDEX(INDIRECT("'WCM Calibration Final'!$L$1:$L$2000"),'Calculations'!$EM97))&gt;=1,VALUE(INDEX(INDIRECT("'WCM Calibration Final'!$L$1:$L$2000"),'Calculations'!$EM97))&lt;=4,MOD(VALUE(INDEX(INDIRECT("'WCM Calibration Final'!$L$1:$L$2000"),'Calculations'!$EM97)),1)=0),VALUE(INDEX(INDIRECT("'WCM Calibration Final'!$L$1:$L$2000"),'Calculations'!$EM97)),""),""))</x:f>
      </x:c>
      <x:c r="BQ97" s="4"/>
      <x:c r="BR97" s="4"/>
      <x:c r="BS97" s="4"/>
      <x:c r="BT97" s="4" t="n">
        <x:f>IF(AND('Calculations'!BM97=1,ISNUMBER('Calculations'!BO97),ISNUMBER('Calculations'!BP97)),1,0)</x:f>
        <x:v>0</x:v>
      </x:c>
      <x:c r="BU97" s="4" t="str">
        <x:f>IF('Calculations'!BM97=0,"",'Calculations'!$EO97)</x:f>
      </x:c>
      <x:c r="BV97" s="4" t="str">
        <x:f>IF('Calculations'!BM97=0,"",IFERROR(IF(OR(INDEX(INDIRECT("'WCM Calibration Final'!$H$1:$H$2000"),'Calculations'!$EM97)="MANAGING DIRECTOR",INDEX(INDIRECT("'WCM Calibration Final'!$H$1:$H$2000"),'Calculations'!$EM97)="DIRECTOR",INDEX(INDIRECT("'WCM Calibration Final'!$H$1:$H$2000"),'Calculations'!$EM97)="SENIOR VICE PRESIDENT",INDEX(INDIRECT("'WCM Calibration Final'!$H$1:$H$2000"),'Calculations'!$EM97)="VICE PRESIDENT",INDEX(INDIRECT("'WCM Calibration Final'!$H$1:$H$2000"),'Calculations'!$EM97)="ASSISTANT VICE PRESIDENT",INDEX(INDIRECT("'WCM Calibration Final'!$H$1:$H$2000"),'Calculations'!$EM97)="OFFICER"),UPPER(INDEX(INDIRECT("'WCM Calibration Final'!$H$1:$H$2000"),'Calculations'!$EM97)),"Other"),"Other"))</x:f>
      </x:c>
      <x:c r="BW97" s="4"/>
      <x:c r="BX97" s="4"/>
      <x:c r="BY97" s="4" t="n">
        <x:f>IF(AND('Calculations'!BM97=1,'Calculations'!BU97&lt;&gt;"",COUNTIF('Calculations'!$BU$12:BU97,'Calculations'!BU97)=1),MAX('Calculations'!$BY$11:BY96)+1,0)</x:f>
        <x:v>0</x:v>
      </x:c>
      <x:c r="BZ97" s="4" t="str">
        <x:f>IF('Dashboard'!$E$67="What",'Calculations'!BO97,'Calculations'!BP97)</x:f>
      </x:c>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t="str">
        <x:f>IF(86&gt;MAX('Calculations'!$HI$13:$HI$512),"",INDEX('Calculations'!$HN$13:$HN$512,MATCH(86,'Calculations'!$HI$13:$HI$512,0)))</x:f>
      </x:c>
      <x:c r="DB97" s="4" t="str">
        <x:f>IF(86&gt;MAX('Calculations'!$HH$13:$HH$512),"",INDEX('Calculations'!$HJ$13:$HJ$512,MATCH(86,'Calculations'!$HH$13:$HH$512,0)))</x:f>
      </x:c>
      <x:c r="DC97" s="4" t="str">
        <x:f>IF(ROW()-11&gt;MAX('Calculations'!$BY$13:$BY$512),"",INDEX('Calculations'!$BU$13:$BU$512,MATCH(ROW()-11,'Calculations'!$BY$13:$BY$512,0)))</x:f>
      </x:c>
      <x:c r="DD97" s="4" t="str">
        <x:f>IF(86&gt;MAX('Calculations'!$IK$13:$IK$512),"",INDEX('Calculations'!$HK$13:$HK$512,MATCH(86,'Calculations'!$IK$13:$IK$512,0)))</x:f>
      </x:c>
      <x:c r="DE97" s="4" t="str">
        <x:f>'Calculations'!DC97</x:f>
      </x:c>
      <x:c r="DF97" s="4" t="str">
        <x:f>IF('Calculations'!DE97="","",COUNTIFS('Calculations'!$BN$13:$BN$512,1,'Calculations'!$BU$13:$BU$512,'Calculations'!DE97))</x:f>
      </x:c>
      <x:c r="DG97" s="4" t="str">
        <x:f>IF('Calculations'!DE97="","",COUNTIFS('Calculations'!$BN$13:$BN$512,1,'Calculations'!$BU$13:$BU$512,'Calculations'!DE97,'Calculations'!$BT$13:$BT$512,1))</x:f>
      </x:c>
      <x:c r="DH97" s="4" t="str">
        <x:f>IF('Calculations'!DE97="","",'Calculations'!DF97-'Calculations'!DG97)</x:f>
      </x:c>
      <x:c r="DI97" s="4" t="str">
        <x:f>IF(OR('Calculations'!DE97="",'Calculations'!DF97=0),"",'Calculations'!DG97/'Calculations'!DF97)</x:f>
      </x:c>
      <x:c r="DJ97" s="4" t="str">
        <x:f>IF('Calculations'!DE97="","",COUNTIFS('Calculations'!$BN$13:$BN$512,1,'Calculations'!$BU$13:$BU$512,'Calculations'!DE97,'Calculations'!$BT$13:$BT$512,1,'Calculations'!$EE$13:$EE$512,"High"))</x:f>
      </x:c>
      <x:c r="DK97" s="4" t="str">
        <x:f>IF('Calculations'!DE97="","",COUNTIFS('Calculations'!$BN$13:$BN$512,1,'Calculations'!$BU$13:$BU$512,'Calculations'!DE97,'Calculations'!$BT$13:$BT$512,1,'Calculations'!$EE$13:$EE$512,"Strong"))</x:f>
      </x:c>
      <x:c r="DL97" s="4" t="str">
        <x:f>IF('Calculations'!DE97="","",COUNTIFS('Calculations'!$BN$13:$BN$512,1,'Calculations'!$BU$13:$BU$512,'Calculations'!DE97,'Calculations'!$BT$13:$BT$512,1,'Calculations'!$EE$13:$EE$512,"Solid"))</x:f>
      </x:c>
      <x:c r="DM97" s="4" t="str">
        <x:f>IF('Calculations'!DE97="","",COUNTIFS('Calculations'!$BN$13:$BN$512,1,'Calculations'!$BU$13:$BU$512,'Calculations'!DE97,'Calculations'!$BT$13:$BT$512,1,'Calculations'!$EE$13:$EE$512,"Low"))</x:f>
      </x:c>
      <x:c r="DN97" s="4" t="str">
        <x:f>IF('Calculations'!DE97="","",COUNTIFS('Calculations'!$BN$13:$BN$512,1,'Calculations'!$BU$13:$BU$512,'Calculations'!DE97,'Calculations'!$EP$13:$EP$512,1))</x:f>
      </x:c>
      <x:c r="DO97" s="4" t="str">
        <x:f>IF(OR('Calculations'!DE97="",'Calculations'!DG97=0),"",('Calculations'!DJ97+'Calculations'!DK97)/'Calculations'!DG97)</x:f>
      </x:c>
      <x:c r="DP97" s="4" t="n">
        <x:f>IF(AND('Calculations'!DE97&lt;&gt;"",'Calculations'!DF97&gt;0),COUNTIF('Calculations'!$DF$12:DF97,"&gt;0"),0)</x:f>
        <x:v>0</x:v>
      </x:c>
      <x:c r="DQ97" s="4" t="str">
        <x:f>IF(86&gt;MAX('Calculations'!$HH$13:$HH$512),"",INDEX('Calculations'!$HF$13:$HF$512,MATCH(86,'Calculations'!$HH$13:$HH$512,0)))</x:f>
      </x:c>
      <x:c r="DR97" s="4" t="str">
        <x:f>IF(86&gt;MAX('Calculations'!$IK$13:$IK$512),"",INDEX('Calculations'!$HE$13:$HE$512,MATCH(86,'Calculations'!$IK$13:$IK$512,0)))</x:f>
      </x:c>
      <x:c r="DS97" s="4"/>
      <x:c r="DT97" s="4"/>
      <x:c r="DU97" s="4"/>
      <x:c r="DV97" s="4"/>
      <x:c r="DW97" s="4"/>
      <x:c r="DX97" s="4"/>
      <x:c r="DY97" s="4"/>
      <x:c r="DZ97" s="4"/>
      <x:c r="EA97" s="4"/>
      <x:c r="EB97" s="4"/>
      <x:c r="EC97" s="4"/>
      <x:c r="ED97" s="4"/>
      <x:c r="EE97" s="4" t="str">
        <x:f>IF('Calculations'!BT97=0,"Not Rated",IF(OR('Calculations'!BO97&gt;=4,'Calculations'!BP97&gt;=4),"Low",IF('Calculations'!BO97+'Calculations'!BP97&lt;=3,"High",IF('Calculations'!BO97+'Calculations'!BP97&lt;=4,"Strong","Solid"))))</x:f>
        <x:v>Not Rated</x:v>
      </x:c>
      <x:c r="EF97" s="4"/>
      <x:c r="EG97" s="4"/>
      <x:c r="EH97" s="4"/>
      <x:c r="EI97" s="4"/>
      <x:c r="EJ97" s="4"/>
      <x:c r="EK97" s="4"/>
      <x:c r="EL97" s="4"/>
      <x:c r="EM97" s="4" t="str">
        <x:f>IF(85&gt;'Calculations'!$JB$2000,"",INDEX('Calculations'!$JA$12:$JA$2000,MATCH(85,'Calculations'!$JB$12:$JB$2000,0)))</x:f>
      </x:c>
      <x:c r="EN97" s="4" t="n">
        <x:f>IF(OR('Calculations'!EM97="",'Calculations'!$AG$8&gt;0,AND('Calculations'!$EF$2&lt;&gt;"All",'Calculations'!HE97='Calculations'!$EF$2),AND('Calculations'!$EF$3&lt;&gt;"All",'Calculations'!HE97='Calculations'!$EF$3)),0,IF(OR('Dashboard'!$B$7="All",'Calculations'!HN97='Dashboard'!$B$7),IF('Calculations'!$EF$2="All",1,IF('Calculations'!HL97&gt;0,0,IF(COUNTIF('Calculations'!HO97:II97,"="&amp;SUBSTITUTE(SUBSTITUTE(SUBSTITUTE('Calculations'!$EF$2,"~","~~"),"*","~*"),"?","~?"))=0,0,IF('Calculations'!$EF$3="All",1,IF(COUNTIF('Calculations'!HO97:II97,"="&amp;SUBSTITUTE(SUBSTITUTE(SUBSTITUTE('Calculations'!$EF$3,"~","~~"),"*","~*"),"?","~?"))&gt;0,1,0))))),0))</x:f>
        <x:v>0</x:v>
      </x:c>
      <x:c r="EO97" s="4" t="str">
        <x:f>IF('Calculations'!IJ97="","",IF('Calculations'!IJ97="!UNRESOLVED","Unresolved hierarchy",IFERROR(INDEX('Calculations'!$HK$13:$HK$512,MATCH('Calculations'!IJ97,'Calculations'!$HE$13:$HE$512,0)),IFERROR(INDEX('Calculations'!$HJ$13:$HJ$512,MATCH('Calculations'!IJ97,'Calculations'!$HF$13:$HF$512,0)),'Calculations'!IJ97))))</x:f>
      </x:c>
      <x:c r="EP97" s="4" t="n">
        <x:f>IF(AND('Calculations'!EM97&lt;&gt;"",'Calculations'!HF97='Calculations'!IJ97),1,0)</x:f>
        <x:v>0</x:v>
      </x:c>
      <x:c r="EQ97" s="4"/>
      <x:c r="ER97" s="4"/>
      <x:c r="ES97" s="4"/>
      <x:c r="ET97" s="4"/>
      <x:c r="EU97" s="4"/>
      <x:c r="EV97" s="4"/>
      <x:c r="EW97" s="4"/>
      <x:c r="EX97" s="4"/>
      <x:c r="EY97" s="4"/>
      <x:c r="EZ97" s="4"/>
      <x:c r="FA97" s="4"/>
      <x:c r="FB97" s="4"/>
      <x:c r="FC97" s="4"/>
      <x:c r="FD97" s="4"/>
      <x:c r="FE97" s="4"/>
      <x:c r="FF97" s="4"/>
      <x:c r="FG97" s="4"/>
      <x:c r="FH97" s="4"/>
      <x:c r="FI97" s="4"/>
      <x:c r="FJ97" s="4"/>
      <x:c r="FK97" s="4"/>
      <x:c r="FL97" s="4"/>
      <x:c r="FM97" s="4"/>
      <x:c r="FN97" s="4"/>
      <x:c r="FO97" s="4"/>
      <x:c r="GA97" s="71"/>
      <x:c r="GB97" s="71"/>
      <x:c r="GC97" s="71"/>
      <x:c r="GD97" s="71"/>
      <x:c r="GE97" s="71"/>
      <x:c r="GF97" s="71"/>
      <x:c r="GG97" s="71"/>
      <x:c r="GH97" s="71"/>
      <x:c r="GI97" s="71"/>
      <x:c r="GJ97" s="71"/>
      <x:c r="GK97" s="71"/>
      <x:c r="GL97" s="71"/>
      <x:c r="GM97" s="71"/>
      <x:c r="GN97" s="71"/>
      <x:c r="GO97" s="71"/>
      <x:c r="GP97" s="71"/>
      <x:c r="GQ97" s="71"/>
      <x:c r="GR97" s="71"/>
      <x:c r="GS97" s="71"/>
      <x:c r="GT97" s="71"/>
      <x:c r="GU97" s="71"/>
      <x:c r="GV97" s="71"/>
      <x:c r="GW97" s="71"/>
      <x:c r="GX97" s="71"/>
      <x:c r="GY97" s="71"/>
      <x:c r="GZ97" s="71"/>
      <x:c r="HA97" s="71"/>
      <x:c r="HB97" s="71"/>
      <x:c r="HC97" s="71"/>
      <x:c r="HD97" s="71"/>
      <x:c r="HE97" t="str">
        <x:f>IF('Calculations'!EM97="","",IF(IFERROR(IF(INDEX(INDIRECT("'WCM Calibration Final'!$A$1:$A$2000"),'Calculations'!$EM97)="","",TRIM(INDEX(INDIRECT("'WCM Calibration Final'!$A$1:$A$2000"),'Calculations'!$EM97)&amp;"")),"")&lt;&gt;"","G:"&amp;IFERROR(TEXT(1*INDEX(INDIRECT("'WCM Calibration Final'!$A$1:$A$2000"),'Calculations'!$EM97),"0"),UPPER(IFERROR(IF(INDEX(INDIRECT("'WCM Calibration Final'!$A$1:$A$2000"),'Calculations'!$EM97)="","",TRIM(INDEX(INDIRECT("'WCM Calibration Final'!$A$1:$A$2000"),'Calculations'!$EM97)&amp;"")),""))),IF(IFERROR(IF(INDEX(INDIRECT("'WCM Calibration Final'!$C$1:$C$2000"),'Calculations'!$EM97)="","",TRIM(INDEX(INDIRECT("'WCM Calibration Final'!$C$1:$C$2000"),'Calculations'!$EM97)&amp;"")),"")&lt;&gt;"","S:"&amp;UPPER(IFERROR(IF(INDEX(INDIRECT("'WCM Calibration Final'!$C$1:$C$2000"),'Calculations'!$EM97)="","",TRIM(INDEX(INDIRECT("'WCM Calibration Final'!$C$1:$C$2000"),'Calculations'!$EM97)&amp;"")),"")),"R:"&amp;'Calculations'!EM97)))</x:f>
      </x:c>
      <x:c r="HF97" t="str">
        <x:f>IF('Calculations'!EM97="","",IF(IFERROR(IF(INDEX(INDIRECT("'WCM Calibration Final'!$D$1:$D$2000"),'Calculations'!$EM97)="","",TRIM(INDEX(INDIRECT("'WCM Calibration Final'!$D$1:$D$2000"),'Calculations'!$EM97)&amp;"")),"")&lt;&gt;"","G:"&amp;IFERROR(TEXT(1*INDEX(INDIRECT("'WCM Calibration Final'!$D$1:$D$2000"),'Calculations'!$EM97),"0"),UPPER(IFERROR(IF(INDEX(INDIRECT("'WCM Calibration Final'!$D$1:$D$2000"),'Calculations'!$EM97)="","",TRIM(INDEX(INDIRECT("'WCM Calibration Final'!$D$1:$D$2000"),'Calculations'!$EM97)&amp;"")),""))),IF(IFERROR(IF(INDEX(INDIRECT("'WCM Calibration Final'!$E$1:$E$2000"),'Calculations'!$EM97)="","",TRIM(INDEX(INDIRECT("'WCM Calibration Final'!$E$1:$E$2000"),'Calculations'!$EM97)&amp;"")),"")="","",IF(COUNTIF('Calculations'!$HG$13:$HG$512,"="&amp;SUBSTITUTE(SUBSTITUTE(SUBSTITUTE(IFERROR(IF(INDEX(INDIRECT("'WCM Calibration Final'!$E$1:$E$2000"),'Calculations'!$EM97)="","",TRIM(INDEX(INDIRECT("'WCM Calibration Final'!$E$1:$E$2000"),'Calculations'!$EM97)&amp;"")),""),"~","~~"),"*","~*"),"?","~?"))=1,INDEX('Calculations'!$HE$13:$HE$512,MATCH(IFERROR(IF(INDEX(INDIRECT("'WCM Calibration Final'!$E$1:$E$2000"),'Calculations'!$EM97)="","",TRIM(INDEX(INDIRECT("'WCM Calibration Final'!$E$1:$E$2000"),'Calculations'!$EM97)&amp;"")),""),'Calculations'!$HG$13:$HG$512,0)),IF(COUNTIF('Calculations'!$HG$13:$HG$512,"="&amp;SUBSTITUTE(SUBSTITUTE(SUBSTITUTE(IFERROR(IF(INDEX(INDIRECT("'WCM Calibration Final'!$E$1:$E$2000"),'Calculations'!$EM97)="","",TRIM(INDEX(INDIRECT("'WCM Calibration Final'!$E$1:$E$2000"),'Calculations'!$EM97)&amp;"")),""),"~","~~"),"*","~*"),"?","~?"))&gt;1,"!AMBIG","X:"&amp;IFERROR(IF(INDEX(INDIRECT("'WCM Calibration Final'!$E$1:$E$2000"),'Calculations'!$EM97)="","",TRIM(INDEX(INDIRECT("'WCM Calibration Final'!$E$1:$E$2000"),'Calculations'!$EM97)&amp;"")),""))))))</x:f>
      </x:c>
      <x:c r="HG97" t="str">
        <x:f>IF('Calculations'!EM97="","",IFERROR(IF(INDEX(INDIRECT("'WCM Calibration Final'!$B$1:$B$2000"),'Calculations'!$EM97)="","",TRIM(INDEX(INDIRECT("'WCM Calibration Final'!$B$1:$B$2000"),'Calculations'!$EM97)&amp;"")),""))</x:f>
      </x:c>
      <x:c r="HH97" t="n">
        <x:f>IF(AND('Calculations'!JC97&gt;0,COUNTIF('Calculations'!$HF$12:HF97,"="&amp;SUBSTITUTE(SUBSTITUTE(SUBSTITUTE('Calculations'!HF97,"~","~~"),"*","~*"),"?","~?"))=1),MAX('Calculations'!$HH$12:HH96)+1,0)</x:f>
        <x:v>0</x:v>
      </x:c>
      <x:c r="HI97" t="n">
        <x:f>IF(AND('Calculations'!HN97&lt;&gt;"",COUNTIF('Calculations'!$HN$12:HN97,"="&amp;SUBSTITUTE(SUBSTITUTE(SUBSTITUTE('Calculations'!HN97,"~","~~"),"*","~*"),"?","~?"))=1),MAX('Calculations'!$HI$12:HI96)+1,0)</x:f>
        <x:v>0</x:v>
      </x:c>
      <x:c r="HJ97" t="str">
        <x:f>IF('Calculations'!HF97="","",IF(COUNTIF('Calculations'!$HE$13:$HE$512,"="&amp;SUBSTITUTE(SUBSTITUTE(SUBSTITUTE('Calculations'!HF97,"~","~~"),"*","~*"),"?","~?"))=1,INDEX('Calculations'!$HK$13:$HK$512,MATCH('Calculations'!HF97,'Calculations'!$HE$13:$HE$512,0)),IFERROR(IF(INDEX(INDIRECT("'WCM Calibration Final'!$E$1:$E$2000"),'Calculations'!$EM97)="","",TRIM(INDEX(INDIRECT("'WCM Calibration Final'!$E$1:$E$2000"),'Calculations'!$EM97)&amp;"")),"")&amp;" ["&amp;'Calculations'!HF97&amp;"]"))</x:f>
      </x:c>
      <x:c r="HK97" t="str">
        <x:f>IF('Calculations'!EM97="","",'Calculations'!HG97&amp;" ["&amp;'Calculations'!HE97&amp;"]")</x:f>
      </x:c>
      <x:c r="HL97" t="n">
        <x:f>IF('Calculations'!EM97="",0,IF(OR('Calculations'!II97&lt;&gt;"",COUNTIF('Calculations'!$HE$13:$HE$512,"="&amp;SUBSTITUTE(SUBSTITUTE(SUBSTITUTE('Calculations'!HE97,"~","~~"),"*","~*"),"?","~?"))&gt;1),1,0))</x:f>
        <x:v>0</x:v>
      </x:c>
      <x:c r="HM97" t="str">
        <x:f>IF('Calculations'!EM97="","",IF('Calculations'!HL97=1,"!UNRESOLVED",IF('Calculations'!IH97&lt;&gt;"",'Calculations'!IH97,IF('Calculations'!IG97&lt;&gt;"",'Calculations'!IG97,IF('Calculations'!IF97&lt;&gt;"",'Calculations'!IF97,IF('Calculations'!IE97&lt;&gt;"",'Calculations'!IE97,IF('Calculations'!ID97&lt;&gt;"",'Calculations'!ID97,IF('Calculations'!IC97&lt;&gt;"",'Calculations'!IC97,IF('Calculations'!IB97&lt;&gt;"",'Calculations'!IB97,IF('Calculations'!IA97&lt;&gt;"",'Calculations'!IA97,IF('Calculations'!HZ97&lt;&gt;"",'Calculations'!HZ97,IF('Calculations'!HY97&lt;&gt;"",'Calculations'!HY97,IF('Calculations'!HX97&lt;&gt;"",'Calculations'!HX97,IF('Calculations'!HW97&lt;&gt;"",'Calculations'!HW97,IF('Calculations'!HV97&lt;&gt;"",'Calculations'!HV97,IF('Calculations'!HU97&lt;&gt;"",'Calculations'!HU97,IF('Calculations'!HT97&lt;&gt;"",'Calculations'!HT97,IF('Calculations'!HS97&lt;&gt;"",'Calculations'!HS97,IF('Calculations'!HR97&lt;&gt;"",'Calculations'!HR97,IF('Calculations'!HQ97&lt;&gt;"",'Calculations'!HQ97,IF('Calculations'!HP97&lt;&gt;"",'Calculations'!HP97,IF('Calculations'!HO97&lt;&gt;"",'Calculations'!HO97,'Calculations'!HE97))))))))))))))))))))))</x:f>
      </x:c>
      <x:c r="HN97" t="str">
        <x:f>IF('Calculations'!EM97="","",IF(IFERROR(IF(INDEX(INDIRECT("'WCM Calibration Final'!$F$1:$F$2000"),'Calculations'!$EM97)="","",TRIM(INDEX(INDIRECT("'WCM Calibration Final'!$F$1:$F$2000"),'Calculations'!$EM97)&amp;"")),"")="","(Blank)",IFERROR(IF(INDEX(INDIRECT("'WCM Calibration Final'!$F$1:$F$2000"),'Calculations'!$EM97)="","",TRIM(INDEX(INDIRECT("'WCM Calibration Final'!$F$1:$F$2000"),'Calculations'!$EM97)&amp;"")),"")))</x:f>
      </x:c>
      <x:c r="HO97" t="str">
        <x:f>'Calculations'!HF97</x:f>
      </x:c>
      <x:c r="HP97" t="str">
        <x:f>IF('Calculations'!HO97="","",IF('Calculations'!HO97="!AMBIG","!AMBIG",IF(COUNTIF('Calculations'!$HE$13:$HE$512,"="&amp;SUBSTITUTE(SUBSTITUTE(SUBSTITUTE('Calculations'!HO97,"~","~~"),"*","~*"),"?","~?"))&gt;1,"!AMBIG",IFERROR(INDEX('Calculations'!$HF$13:$HF$512,MATCH('Calculations'!HO97,'Calculations'!$HE$13:$HE$512,0)),""))))</x:f>
      </x:c>
      <x:c r="HQ97" t="str">
        <x:f>IF('Calculations'!HP97="","",IF('Calculations'!HP97="!AMBIG","!AMBIG",IF(COUNTIF('Calculations'!$HE$13:$HE$512,"="&amp;SUBSTITUTE(SUBSTITUTE(SUBSTITUTE('Calculations'!HP97,"~","~~"),"*","~*"),"?","~?"))&gt;1,"!AMBIG",IFERROR(INDEX('Calculations'!$HF$13:$HF$512,MATCH('Calculations'!HP97,'Calculations'!$HE$13:$HE$512,0)),""))))</x:f>
      </x:c>
      <x:c r="HR97" t="str">
        <x:f>IF('Calculations'!HQ97="","",IF('Calculations'!HQ97="!AMBIG","!AMBIG",IF(COUNTIF('Calculations'!$HE$13:$HE$512,"="&amp;SUBSTITUTE(SUBSTITUTE(SUBSTITUTE('Calculations'!HQ97,"~","~~"),"*","~*"),"?","~?"))&gt;1,"!AMBIG",IFERROR(INDEX('Calculations'!$HF$13:$HF$512,MATCH('Calculations'!HQ97,'Calculations'!$HE$13:$HE$512,0)),""))))</x:f>
      </x:c>
      <x:c r="HS97" t="str">
        <x:f>IF('Calculations'!HR97="","",IF('Calculations'!HR97="!AMBIG","!AMBIG",IF(COUNTIF('Calculations'!$HE$13:$HE$512,"="&amp;SUBSTITUTE(SUBSTITUTE(SUBSTITUTE('Calculations'!HR97,"~","~~"),"*","~*"),"?","~?"))&gt;1,"!AMBIG",IFERROR(INDEX('Calculations'!$HF$13:$HF$512,MATCH('Calculations'!HR97,'Calculations'!$HE$13:$HE$512,0)),""))))</x:f>
      </x:c>
      <x:c r="HT97" t="str">
        <x:f>IF('Calculations'!HS97="","",IF('Calculations'!HS97="!AMBIG","!AMBIG",IF(COUNTIF('Calculations'!$HE$13:$HE$512,"="&amp;SUBSTITUTE(SUBSTITUTE(SUBSTITUTE('Calculations'!HS97,"~","~~"),"*","~*"),"?","~?"))&gt;1,"!AMBIG",IFERROR(INDEX('Calculations'!$HF$13:$HF$512,MATCH('Calculations'!HS97,'Calculations'!$HE$13:$HE$512,0)),""))))</x:f>
      </x:c>
      <x:c r="HU97" t="str">
        <x:f>IF('Calculations'!HT97="","",IF('Calculations'!HT97="!AMBIG","!AMBIG",IF(COUNTIF('Calculations'!$HE$13:$HE$512,"="&amp;SUBSTITUTE(SUBSTITUTE(SUBSTITUTE('Calculations'!HT97,"~","~~"),"*","~*"),"?","~?"))&gt;1,"!AMBIG",IFERROR(INDEX('Calculations'!$HF$13:$HF$512,MATCH('Calculations'!HT97,'Calculations'!$HE$13:$HE$512,0)),""))))</x:f>
      </x:c>
      <x:c r="HV97" t="str">
        <x:f>IF('Calculations'!HU97="","",IF('Calculations'!HU97="!AMBIG","!AMBIG",IF(COUNTIF('Calculations'!$HE$13:$HE$512,"="&amp;SUBSTITUTE(SUBSTITUTE(SUBSTITUTE('Calculations'!HU97,"~","~~"),"*","~*"),"?","~?"))&gt;1,"!AMBIG",IFERROR(INDEX('Calculations'!$HF$13:$HF$512,MATCH('Calculations'!HU97,'Calculations'!$HE$13:$HE$512,0)),""))))</x:f>
      </x:c>
      <x:c r="HW97" t="str">
        <x:f>IF('Calculations'!HV97="","",IF('Calculations'!HV97="!AMBIG","!AMBIG",IF(COUNTIF('Calculations'!$HE$13:$HE$512,"="&amp;SUBSTITUTE(SUBSTITUTE(SUBSTITUTE('Calculations'!HV97,"~","~~"),"*","~*"),"?","~?"))&gt;1,"!AMBIG",IFERROR(INDEX('Calculations'!$HF$13:$HF$512,MATCH('Calculations'!HV97,'Calculations'!$HE$13:$HE$512,0)),""))))</x:f>
      </x:c>
      <x:c r="HX97" t="str">
        <x:f>IF('Calculations'!HW97="","",IF('Calculations'!HW97="!AMBIG","!AMBIG",IF(COUNTIF('Calculations'!$HE$13:$HE$512,"="&amp;SUBSTITUTE(SUBSTITUTE(SUBSTITUTE('Calculations'!HW97,"~","~~"),"*","~*"),"?","~?"))&gt;1,"!AMBIG",IFERROR(INDEX('Calculations'!$HF$13:$HF$512,MATCH('Calculations'!HW97,'Calculations'!$HE$13:$HE$512,0)),""))))</x:f>
      </x:c>
      <x:c r="HY97" t="str">
        <x:f>IF('Calculations'!HX97="","",IF('Calculations'!HX97="!AMBIG","!AMBIG",IF(COUNTIF('Calculations'!$HE$13:$HE$512,"="&amp;SUBSTITUTE(SUBSTITUTE(SUBSTITUTE('Calculations'!HX97,"~","~~"),"*","~*"),"?","~?"))&gt;1,"!AMBIG",IFERROR(INDEX('Calculations'!$HF$13:$HF$512,MATCH('Calculations'!HX97,'Calculations'!$HE$13:$HE$512,0)),""))))</x:f>
      </x:c>
      <x:c r="HZ97" t="str">
        <x:f>IF('Calculations'!HY97="","",IF('Calculations'!HY97="!AMBIG","!AMBIG",IF(COUNTIF('Calculations'!$HE$13:$HE$512,"="&amp;SUBSTITUTE(SUBSTITUTE(SUBSTITUTE('Calculations'!HY97,"~","~~"),"*","~*"),"?","~?"))&gt;1,"!AMBIG",IFERROR(INDEX('Calculations'!$HF$13:$HF$512,MATCH('Calculations'!HY97,'Calculations'!$HE$13:$HE$512,0)),""))))</x:f>
      </x:c>
      <x:c r="IA97" t="str">
        <x:f>IF('Calculations'!HZ97="","",IF('Calculations'!HZ97="!AMBIG","!AMBIG",IF(COUNTIF('Calculations'!$HE$13:$HE$512,"="&amp;SUBSTITUTE(SUBSTITUTE(SUBSTITUTE('Calculations'!HZ97,"~","~~"),"*","~*"),"?","~?"))&gt;1,"!AMBIG",IFERROR(INDEX('Calculations'!$HF$13:$HF$512,MATCH('Calculations'!HZ97,'Calculations'!$HE$13:$HE$512,0)),""))))</x:f>
      </x:c>
      <x:c r="IB97" t="str">
        <x:f>IF('Calculations'!IA97="","",IF('Calculations'!IA97="!AMBIG","!AMBIG",IF(COUNTIF('Calculations'!$HE$13:$HE$512,"="&amp;SUBSTITUTE(SUBSTITUTE(SUBSTITUTE('Calculations'!IA97,"~","~~"),"*","~*"),"?","~?"))&gt;1,"!AMBIG",IFERROR(INDEX('Calculations'!$HF$13:$HF$512,MATCH('Calculations'!IA97,'Calculations'!$HE$13:$HE$512,0)),""))))</x:f>
      </x:c>
      <x:c r="IC97" t="str">
        <x:f>IF('Calculations'!IB97="","",IF('Calculations'!IB97="!AMBIG","!AMBIG",IF(COUNTIF('Calculations'!$HE$13:$HE$512,"="&amp;SUBSTITUTE(SUBSTITUTE(SUBSTITUTE('Calculations'!IB97,"~","~~"),"*","~*"),"?","~?"))&gt;1,"!AMBIG",IFERROR(INDEX('Calculations'!$HF$13:$HF$512,MATCH('Calculations'!IB97,'Calculations'!$HE$13:$HE$512,0)),""))))</x:f>
      </x:c>
      <x:c r="ID97" t="str">
        <x:f>IF('Calculations'!IC97="","",IF('Calculations'!IC97="!AMBIG","!AMBIG",IF(COUNTIF('Calculations'!$HE$13:$HE$512,"="&amp;SUBSTITUTE(SUBSTITUTE(SUBSTITUTE('Calculations'!IC97,"~","~~"),"*","~*"),"?","~?"))&gt;1,"!AMBIG",IFERROR(INDEX('Calculations'!$HF$13:$HF$512,MATCH('Calculations'!IC97,'Calculations'!$HE$13:$HE$512,0)),""))))</x:f>
      </x:c>
      <x:c r="IE97" t="str">
        <x:f>IF('Calculations'!ID97="","",IF('Calculations'!ID97="!AMBIG","!AMBIG",IF(COUNTIF('Calculations'!$HE$13:$HE$512,"="&amp;SUBSTITUTE(SUBSTITUTE(SUBSTITUTE('Calculations'!ID97,"~","~~"),"*","~*"),"?","~?"))&gt;1,"!AMBIG",IFERROR(INDEX('Calculations'!$HF$13:$HF$512,MATCH('Calculations'!ID97,'Calculations'!$HE$13:$HE$512,0)),""))))</x:f>
      </x:c>
      <x:c r="IF97" t="str">
        <x:f>IF('Calculations'!IE97="","",IF('Calculations'!IE97="!AMBIG","!AMBIG",IF(COUNTIF('Calculations'!$HE$13:$HE$512,"="&amp;SUBSTITUTE(SUBSTITUTE(SUBSTITUTE('Calculations'!IE97,"~","~~"),"*","~*"),"?","~?"))&gt;1,"!AMBIG",IFERROR(INDEX('Calculations'!$HF$13:$HF$512,MATCH('Calculations'!IE97,'Calculations'!$HE$13:$HE$512,0)),""))))</x:f>
      </x:c>
      <x:c r="IG97" t="str">
        <x:f>IF('Calculations'!IF97="","",IF('Calculations'!IF97="!AMBIG","!AMBIG",IF(COUNTIF('Calculations'!$HE$13:$HE$512,"="&amp;SUBSTITUTE(SUBSTITUTE(SUBSTITUTE('Calculations'!IF97,"~","~~"),"*","~*"),"?","~?"))&gt;1,"!AMBIG",IFERROR(INDEX('Calculations'!$HF$13:$HF$512,MATCH('Calculations'!IF97,'Calculations'!$HE$13:$HE$512,0)),""))))</x:f>
      </x:c>
      <x:c r="IH97" t="str">
        <x:f>IF('Calculations'!IG97="","",IF('Calculations'!IG97="!AMBIG","!AMBIG",IF(COUNTIF('Calculations'!$HE$13:$HE$512,"="&amp;SUBSTITUTE(SUBSTITUTE(SUBSTITUTE('Calculations'!IG97,"~","~~"),"*","~*"),"?","~?"))&gt;1,"!AMBIG",IFERROR(INDEX('Calculations'!$HF$13:$HF$512,MATCH('Calculations'!IG97,'Calculations'!$HE$13:$HE$512,0)),""))))</x:f>
      </x:c>
      <x:c r="II97" t="str">
        <x:f>IF('Calculations'!IH97="","",IF('Calculations'!IH97="!AMBIG","!AMBIG",IF(COUNTIF('Calculations'!$HE$13:$HE$512,"="&amp;SUBSTITUTE(SUBSTITUTE(SUBSTITUTE('Calculations'!IH97,"~","~~"),"*","~*"),"?","~?"))&gt;1,"!AMBIG",IFERROR(INDEX('Calculations'!$HF$13:$HF$512,MATCH('Calculations'!IH97,'Calculations'!$HE$13:$HE$512,0)),""))))</x:f>
      </x:c>
      <x:c r="IJ97" t="str">
        <x:f>IF('Calculations'!EM97="","",IF('Calculations'!$EF$2="All",'Calculations'!HM97,IF('Calculations'!HL97=1,"",IFERROR(IF(MATCH('Calculations'!$EF$2,'Calculations'!HO97:II97,0)=1,'Calculations'!HE97,INDEX('Calculations'!HO97:II97,1,MATCH('Calculations'!$EF$2,'Calculations'!HO97:II97,0)-1)),""))))</x:f>
      </x:c>
      <x:c r="IK97" t="n">
        <x:f>IF(AND('Calculations'!EM97&lt;&gt;"",'Calculations'!$EF$2&lt;&gt;"All",'Calculations'!HF97='Calculations'!$EF$2,'Calculations'!HL97=0,'Calculations'!JD97&gt;0),MAX('Calculations'!$IK$12:IK96)+1,0)</x:f>
        <x:v>0</x:v>
      </x:c>
      <x:c r="JA97" t="n">
        <x:f>IF(OR(IFERROR(INDIRECT("'WCM Calibration Final'!$A$97")&lt;&gt;"",FALSE),IFERROR(INDIRECT("'WCM Calibration Final'!$B$97")&lt;&gt;"",FALSE),IFERROR(INDIRECT("'WCM Calibration Final'!$C$97")&lt;&gt;"",FALSE)),97,0)</x:f>
        <x:v>0</x:v>
      </x:c>
      <x:c r="JB97" t="n">
        <x:f>'Calculations'!JB96+IF('Calculations'!JA97&gt;0,1,0)</x:f>
        <x:v>0</x:v>
      </x:c>
      <x:c r="JC97" t="n">
        <x:f>IF(OR('Calculations'!HF97="",'Calculations'!HF97="!AMBIG"),0,IF('Dashboard'!$B$7="All",1,COUNTIFS('Calculations'!$HO$13:$HO$512,"="&amp;SUBSTITUTE(SUBSTITUTE(SUBSTITUTE('Calculations'!HF97,"~","~~"),"*","~*"),"?","~?"),'Calculations'!$HN$13:$HN$512,"="&amp;SUBSTITUTE(SUBSTITUTE(SUBSTITUTE('Dashboard'!$B$7,"~","~~"),"*","~*"),"?","~?"))+COUNTIFS('Calculations'!$HP$13:$HP$512,"="&amp;SUBSTITUTE(SUBSTITUTE(SUBSTITUTE('Calculations'!HF97,"~","~~"),"*","~*"),"?","~?"),'Calculations'!$HN$13:$HN$512,"="&amp;SUBSTITUTE(SUBSTITUTE(SUBSTITUTE('Dashboard'!$B$7,"~","~~"),"*","~*"),"?","~?"))+COUNTIFS('Calculations'!$HQ$13:$HQ$512,"="&amp;SUBSTITUTE(SUBSTITUTE(SUBSTITUTE('Calculations'!HF97,"~","~~"),"*","~*"),"?","~?"),'Calculations'!$HN$13:$HN$512,"="&amp;SUBSTITUTE(SUBSTITUTE(SUBSTITUTE('Dashboard'!$B$7,"~","~~"),"*","~*"),"?","~?"))+COUNTIFS('Calculations'!$HR$13:$HR$512,"="&amp;SUBSTITUTE(SUBSTITUTE(SUBSTITUTE('Calculations'!HF97,"~","~~"),"*","~*"),"?","~?"),'Calculations'!$HN$13:$HN$512,"="&amp;SUBSTITUTE(SUBSTITUTE(SUBSTITUTE('Dashboard'!$B$7,"~","~~"),"*","~*"),"?","~?"))+COUNTIFS('Calculations'!$HS$13:$HS$512,"="&amp;SUBSTITUTE(SUBSTITUTE(SUBSTITUTE('Calculations'!HF97,"~","~~"),"*","~*"),"?","~?"),'Calculations'!$HN$13:$HN$512,"="&amp;SUBSTITUTE(SUBSTITUTE(SUBSTITUTE('Dashboard'!$B$7,"~","~~"),"*","~*"),"?","~?"))+COUNTIFS('Calculations'!$HT$13:$HT$512,"="&amp;SUBSTITUTE(SUBSTITUTE(SUBSTITUTE('Calculations'!HF97,"~","~~"),"*","~*"),"?","~?"),'Calculations'!$HN$13:$HN$512,"="&amp;SUBSTITUTE(SUBSTITUTE(SUBSTITUTE('Dashboard'!$B$7,"~","~~"),"*","~*"),"?","~?"))+COUNTIFS('Calculations'!$HU$13:$HU$512,"="&amp;SUBSTITUTE(SUBSTITUTE(SUBSTITUTE('Calculations'!HF97,"~","~~"),"*","~*"),"?","~?"),'Calculations'!$HN$13:$HN$512,"="&amp;SUBSTITUTE(SUBSTITUTE(SUBSTITUTE('Dashboard'!$B$7,"~","~~"),"*","~*"),"?","~?"))+COUNTIFS('Calculations'!$HV$13:$HV$512,"="&amp;SUBSTITUTE(SUBSTITUTE(SUBSTITUTE('Calculations'!HF97,"~","~~"),"*","~*"),"?","~?"),'Calculations'!$HN$13:$HN$512,"="&amp;SUBSTITUTE(SUBSTITUTE(SUBSTITUTE('Dashboard'!$B$7,"~","~~"),"*","~*"),"?","~?"))+COUNTIFS('Calculations'!$HW$13:$HW$512,"="&amp;SUBSTITUTE(SUBSTITUTE(SUBSTITUTE('Calculations'!HF97,"~","~~"),"*","~*"),"?","~?"),'Calculations'!$HN$13:$HN$512,"="&amp;SUBSTITUTE(SUBSTITUTE(SUBSTITUTE('Dashboard'!$B$7,"~","~~"),"*","~*"),"?","~?"))+COUNTIFS('Calculations'!$HX$13:$HX$512,"="&amp;SUBSTITUTE(SUBSTITUTE(SUBSTITUTE('Calculations'!HF97,"~","~~"),"*","~*"),"?","~?"),'Calculations'!$HN$13:$HN$512,"="&amp;SUBSTITUTE(SUBSTITUTE(SUBSTITUTE('Dashboard'!$B$7,"~","~~"),"*","~*"),"?","~?"))+COUNTIFS('Calculations'!$HY$13:$HY$512,"="&amp;SUBSTITUTE(SUBSTITUTE(SUBSTITUTE('Calculations'!HF97,"~","~~"),"*","~*"),"?","~?"),'Calculations'!$HN$13:$HN$512,"="&amp;SUBSTITUTE(SUBSTITUTE(SUBSTITUTE('Dashboard'!$B$7,"~","~~"),"*","~*"),"?","~?"))+COUNTIFS('Calculations'!$HZ$13:$HZ$512,"="&amp;SUBSTITUTE(SUBSTITUTE(SUBSTITUTE('Calculations'!HF97,"~","~~"),"*","~*"),"?","~?"),'Calculations'!$HN$13:$HN$512,"="&amp;SUBSTITUTE(SUBSTITUTE(SUBSTITUTE('Dashboard'!$B$7,"~","~~"),"*","~*"),"?","~?"))+COUNTIFS('Calculations'!$IA$13:$IA$512,"="&amp;SUBSTITUTE(SUBSTITUTE(SUBSTITUTE('Calculations'!HF97,"~","~~"),"*","~*"),"?","~?"),'Calculations'!$HN$13:$HN$512,"="&amp;SUBSTITUTE(SUBSTITUTE(SUBSTITUTE('Dashboard'!$B$7,"~","~~"),"*","~*"),"?","~?"))+COUNTIFS('Calculations'!$IB$13:$IB$512,"="&amp;SUBSTITUTE(SUBSTITUTE(SUBSTITUTE('Calculations'!HF97,"~","~~"),"*","~*"),"?","~?"),'Calculations'!$HN$13:$HN$512,"="&amp;SUBSTITUTE(SUBSTITUTE(SUBSTITUTE('Dashboard'!$B$7,"~","~~"),"*","~*"),"?","~?"))+COUNTIFS('Calculations'!$IC$13:$IC$512,"="&amp;SUBSTITUTE(SUBSTITUTE(SUBSTITUTE('Calculations'!HF97,"~","~~"),"*","~*"),"?","~?"),'Calculations'!$HN$13:$HN$512,"="&amp;SUBSTITUTE(SUBSTITUTE(SUBSTITUTE('Dashboard'!$B$7,"~","~~"),"*","~*"),"?","~?"))+COUNTIFS('Calculations'!$ID$13:$ID$512,"="&amp;SUBSTITUTE(SUBSTITUTE(SUBSTITUTE('Calculations'!HF97,"~","~~"),"*","~*"),"?","~?"),'Calculations'!$HN$13:$HN$512,"="&amp;SUBSTITUTE(SUBSTITUTE(SUBSTITUTE('Dashboard'!$B$7,"~","~~"),"*","~*"),"?","~?"))+COUNTIFS('Calculations'!$IE$13:$IE$512,"="&amp;SUBSTITUTE(SUBSTITUTE(SUBSTITUTE('Calculations'!HF97,"~","~~"),"*","~*"),"?","~?"),'Calculations'!$HN$13:$HN$512,"="&amp;SUBSTITUTE(SUBSTITUTE(SUBSTITUTE('Dashboard'!$B$7,"~","~~"),"*","~*"),"?","~?"))+COUNTIFS('Calculations'!$IF$13:$IF$512,"="&amp;SUBSTITUTE(SUBSTITUTE(SUBSTITUTE('Calculations'!HF97,"~","~~"),"*","~*"),"?","~?"),'Calculations'!$HN$13:$HN$512,"="&amp;SUBSTITUTE(SUBSTITUTE(SUBSTITUTE('Dashboard'!$B$7,"~","~~"),"*","~*"),"?","~?"))+COUNTIFS('Calculations'!$IG$13:$IG$512,"="&amp;SUBSTITUTE(SUBSTITUTE(SUBSTITUTE('Calculations'!HF97,"~","~~"),"*","~*"),"?","~?"),'Calculations'!$HN$13:$HN$512,"="&amp;SUBSTITUTE(SUBSTITUTE(SUBSTITUTE('Dashboard'!$B$7,"~","~~"),"*","~*"),"?","~?"))+COUNTIFS('Calculations'!$IH$13:$IH$512,"="&amp;SUBSTITUTE(SUBSTITUTE(SUBSTITUTE('Calculations'!HF97,"~","~~"),"*","~*"),"?","~?"),'Calculations'!$HN$13:$HN$512,"="&amp;SUBSTITUTE(SUBSTITUTE(SUBSTITUTE('Dashboard'!$B$7,"~","~~"),"*","~*"),"?","~?"))))</x:f>
        <x:v>0</x:v>
      </x:c>
      <x:c r="JD97" t="n">
        <x:f>IF('Calculations'!EM97="",0,IF('Dashboard'!$B$7="All",1,IF('Calculations'!HN97='Dashboard'!$B$7,1,0)+IFERROR(INDEX('Calculations'!$JC$13:$JC$512,MATCH('Calculations'!HE97,'Calculations'!$HF$13:$HF$512,0)),0)))</x:f>
        <x:v>0</x:v>
      </x:c>
      <x:c r="JE97" t="n">
        <x:f>IF(AND('Calculations'!EM97&lt;&gt;"",'Calculations'!$JJ$2&lt;&gt;"All",'Calculations'!$JJ$2&lt;&gt;"",'Calculations'!HF97='Calculations'!$JJ$2,'Calculations'!HL97=0,'Calculations'!JD97&gt;0),MAX('Calculations'!$JE$12:JE96)+1,0)</x:f>
        <x:v>0</x:v>
      </x:c>
      <x:c r="JF97" t="str">
        <x:f>IF('Calculations'!EM97="","",IFERROR(IF(INDEX(INDIRECT("'WCM Calibration Final'!$G$1:$G$2000"),'Calculations'!$EM97)="","",TRIM(INDEX(INDIRECT("'WCM Calibration Final'!$G$1:$G$2000"),'Calculations'!$EM97)&amp;"")),""))</x:f>
      </x:c>
      <x:c r="JQ97" t="n">
        <x:f>IF(OR('Calculations'!BM97=0,NOT('Calculations'!$AG$2),'Calculations'!$AG$8&gt;0),0,IF(OR('Dashboard'!$B$7="All",'Calculations'!HN97='Dashboard'!$B$7),IF('Calculations'!$JJ$2="All",1,IF(AND('Calculations'!HF97='Calculations'!$JJ$2,'Calculations'!HL97=0),1,0)),0))</x:f>
        <x:v>0</x:v>
      </x:c>
    </x:row>
    <x:row r="98">
      <x:c r="AF98" s="4"/>
      <x:c r="AG98" s="4"/>
      <x:c r="AH98" s="4"/>
      <x:c r="AI98" s="4"/>
      <x:c r="AJ98" s="4"/>
      <x:c r="AK98" s="4"/>
      <x:c r="AL98" s="4"/>
      <x:c r="AM98" s="4"/>
      <x:c r="AN98" s="4"/>
      <x:c r="AO98" s="4"/>
      <x:c r="AP98" s="4"/>
      <x:c r="AQ98" s="4"/>
      <x:c r="AR98" s="4" t="n">
        <x:f>IFERROR(MATCH((MIN('Dashboard'!$Z$93,MAX(1,ROUNDUP(MAX('Calculations'!$DP$12:$DP$1012)/20,0)))-1)*20+1,'Calculations'!$DP$12:$DP$1012,0),0)</x:f>
        <x:v>0</x:v>
      </x:c>
      <x:c r="AS98" s="4"/>
      <x:c r="AT98" s="4"/>
      <x:c r="AU98" s="4"/>
      <x:c r="AV98" s="4"/>
      <x:c r="AW98" s="4"/>
      <x:c r="AX98" s="4"/>
      <x:c r="AY98" s="4"/>
      <x:c r="AZ98" s="4"/>
      <x:c r="BA98" s="4"/>
      <x:c r="BB98" s="4"/>
      <x:c r="BC98" s="4"/>
      <x:c r="BD98" s="4"/>
      <x:c r="BE98" s="4"/>
      <x:c r="BF98" s="4"/>
      <x:c r="BG98" s="4"/>
      <x:c r="BH98" s="4"/>
      <x:c r="BI98" s="4"/>
      <x:c r="BJ98" s="4"/>
      <x:c r="BK98" s="4"/>
      <x:c r="BL98" s="4"/>
      <x:c r="BM98" s="4" t="n">
        <x:f>IF('Calculations'!$EM98="",0,IF(OR(IFERROR(INDEX(INDIRECT("'WCM Calibration Final'!$A$1:$A$2000"),'Calculations'!$EM98)&lt;&gt;"",FALSE),IFERROR(INDEX(INDIRECT("'WCM Calibration Final'!$B$1:$B$2000"),'Calculations'!$EM98)&lt;&gt;"",FALSE),IFERROR(INDEX(INDIRECT("'WCM Calibration Final'!$C$1:$C$2000"),'Calculations'!$EM98)&lt;&gt;"",FALSE)),1,0))</x:f>
        <x:v>0</x:v>
      </x:c>
      <x:c r="BN98" s="4" t="n">
        <x:f>IF(AND('Calculations'!BM98=1,'Calculations'!$AG$2,'Calculations'!$EN98=1),1,0)</x:f>
        <x:v>0</x:v>
      </x:c>
      <x:c r="BO98" s="4" t="str">
        <x:f>IF('Calculations'!BM98=0,"",IFERROR(IF(AND(VALUE(INDEX(INDIRECT("'WCM Calibration Final'!$K$1:$K$2000"),'Calculations'!$EM98))&gt;=1,VALUE(INDEX(INDIRECT("'WCM Calibration Final'!$K$1:$K$2000"),'Calculations'!$EM98))&lt;=4,MOD(VALUE(INDEX(INDIRECT("'WCM Calibration Final'!$K$1:$K$2000"),'Calculations'!$EM98)),1)=0),VALUE(INDEX(INDIRECT("'WCM Calibration Final'!$K$1:$K$2000"),'Calculations'!$EM98)),""),""))</x:f>
      </x:c>
      <x:c r="BP98" s="4" t="str">
        <x:f>IF('Calculations'!BM98=0,"",IFERROR(IF(AND(VALUE(INDEX(INDIRECT("'WCM Calibration Final'!$L$1:$L$2000"),'Calculations'!$EM98))&gt;=1,VALUE(INDEX(INDIRECT("'WCM Calibration Final'!$L$1:$L$2000"),'Calculations'!$EM98))&lt;=4,MOD(VALUE(INDEX(INDIRECT("'WCM Calibration Final'!$L$1:$L$2000"),'Calculations'!$EM98)),1)=0),VALUE(INDEX(INDIRECT("'WCM Calibration Final'!$L$1:$L$2000"),'Calculations'!$EM98)),""),""))</x:f>
      </x:c>
      <x:c r="BQ98" s="4"/>
      <x:c r="BR98" s="4"/>
      <x:c r="BS98" s="4"/>
      <x:c r="BT98" s="4" t="n">
        <x:f>IF(AND('Calculations'!BM98=1,ISNUMBER('Calculations'!BO98),ISNUMBER('Calculations'!BP98)),1,0)</x:f>
        <x:v>0</x:v>
      </x:c>
      <x:c r="BU98" s="4" t="str">
        <x:f>IF('Calculations'!BM98=0,"",'Calculations'!$EO98)</x:f>
      </x:c>
      <x:c r="BV98" s="4" t="str">
        <x:f>IF('Calculations'!BM98=0,"",IFERROR(IF(OR(INDEX(INDIRECT("'WCM Calibration Final'!$H$1:$H$2000"),'Calculations'!$EM98)="MANAGING DIRECTOR",INDEX(INDIRECT("'WCM Calibration Final'!$H$1:$H$2000"),'Calculations'!$EM98)="DIRECTOR",INDEX(INDIRECT("'WCM Calibration Final'!$H$1:$H$2000"),'Calculations'!$EM98)="SENIOR VICE PRESIDENT",INDEX(INDIRECT("'WCM Calibration Final'!$H$1:$H$2000"),'Calculations'!$EM98)="VICE PRESIDENT",INDEX(INDIRECT("'WCM Calibration Final'!$H$1:$H$2000"),'Calculations'!$EM98)="ASSISTANT VICE PRESIDENT",INDEX(INDIRECT("'WCM Calibration Final'!$H$1:$H$2000"),'Calculations'!$EM98)="OFFICER"),UPPER(INDEX(INDIRECT("'WCM Calibration Final'!$H$1:$H$2000"),'Calculations'!$EM98)),"Other"),"Other"))</x:f>
      </x:c>
      <x:c r="BW98" s="4"/>
      <x:c r="BX98" s="4"/>
      <x:c r="BY98" s="4" t="n">
        <x:f>IF(AND('Calculations'!BM98=1,'Calculations'!BU98&lt;&gt;"",COUNTIF('Calculations'!$BU$12:BU98,'Calculations'!BU98)=1),MAX('Calculations'!$BY$11:BY97)+1,0)</x:f>
        <x:v>0</x:v>
      </x:c>
      <x:c r="BZ98" s="4" t="str">
        <x:f>IF('Dashboard'!$E$67="What",'Calculations'!BO98,'Calculations'!BP98)</x:f>
      </x:c>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t="str">
        <x:f>IF(87&gt;MAX('Calculations'!$HI$13:$HI$512),"",INDEX('Calculations'!$HN$13:$HN$512,MATCH(87,'Calculations'!$HI$13:$HI$512,0)))</x:f>
      </x:c>
      <x:c r="DB98" s="4" t="str">
        <x:f>IF(87&gt;MAX('Calculations'!$HH$13:$HH$512),"",INDEX('Calculations'!$HJ$13:$HJ$512,MATCH(87,'Calculations'!$HH$13:$HH$512,0)))</x:f>
      </x:c>
      <x:c r="DC98" s="4" t="str">
        <x:f>IF(ROW()-11&gt;MAX('Calculations'!$BY$13:$BY$512),"",INDEX('Calculations'!$BU$13:$BU$512,MATCH(ROW()-11,'Calculations'!$BY$13:$BY$512,0)))</x:f>
      </x:c>
      <x:c r="DD98" s="4" t="str">
        <x:f>IF(87&gt;MAX('Calculations'!$IK$13:$IK$512),"",INDEX('Calculations'!$HK$13:$HK$512,MATCH(87,'Calculations'!$IK$13:$IK$512,0)))</x:f>
      </x:c>
      <x:c r="DE98" s="4" t="str">
        <x:f>'Calculations'!DC98</x:f>
      </x:c>
      <x:c r="DF98" s="4" t="str">
        <x:f>IF('Calculations'!DE98="","",COUNTIFS('Calculations'!$BN$13:$BN$512,1,'Calculations'!$BU$13:$BU$512,'Calculations'!DE98))</x:f>
      </x:c>
      <x:c r="DG98" s="4" t="str">
        <x:f>IF('Calculations'!DE98="","",COUNTIFS('Calculations'!$BN$13:$BN$512,1,'Calculations'!$BU$13:$BU$512,'Calculations'!DE98,'Calculations'!$BT$13:$BT$512,1))</x:f>
      </x:c>
      <x:c r="DH98" s="4" t="str">
        <x:f>IF('Calculations'!DE98="","",'Calculations'!DF98-'Calculations'!DG98)</x:f>
      </x:c>
      <x:c r="DI98" s="4" t="str">
        <x:f>IF(OR('Calculations'!DE98="",'Calculations'!DF98=0),"",'Calculations'!DG98/'Calculations'!DF98)</x:f>
      </x:c>
      <x:c r="DJ98" s="4" t="str">
        <x:f>IF('Calculations'!DE98="","",COUNTIFS('Calculations'!$BN$13:$BN$512,1,'Calculations'!$BU$13:$BU$512,'Calculations'!DE98,'Calculations'!$BT$13:$BT$512,1,'Calculations'!$EE$13:$EE$512,"High"))</x:f>
      </x:c>
      <x:c r="DK98" s="4" t="str">
        <x:f>IF('Calculations'!DE98="","",COUNTIFS('Calculations'!$BN$13:$BN$512,1,'Calculations'!$BU$13:$BU$512,'Calculations'!DE98,'Calculations'!$BT$13:$BT$512,1,'Calculations'!$EE$13:$EE$512,"Strong"))</x:f>
      </x:c>
      <x:c r="DL98" s="4" t="str">
        <x:f>IF('Calculations'!DE98="","",COUNTIFS('Calculations'!$BN$13:$BN$512,1,'Calculations'!$BU$13:$BU$512,'Calculations'!DE98,'Calculations'!$BT$13:$BT$512,1,'Calculations'!$EE$13:$EE$512,"Solid"))</x:f>
      </x:c>
      <x:c r="DM98" s="4" t="str">
        <x:f>IF('Calculations'!DE98="","",COUNTIFS('Calculations'!$BN$13:$BN$512,1,'Calculations'!$BU$13:$BU$512,'Calculations'!DE98,'Calculations'!$BT$13:$BT$512,1,'Calculations'!$EE$13:$EE$512,"Low"))</x:f>
      </x:c>
      <x:c r="DN98" s="4" t="str">
        <x:f>IF('Calculations'!DE98="","",COUNTIFS('Calculations'!$BN$13:$BN$512,1,'Calculations'!$BU$13:$BU$512,'Calculations'!DE98,'Calculations'!$EP$13:$EP$512,1))</x:f>
      </x:c>
      <x:c r="DO98" s="4" t="str">
        <x:f>IF(OR('Calculations'!DE98="",'Calculations'!DG98=0),"",('Calculations'!DJ98+'Calculations'!DK98)/'Calculations'!DG98)</x:f>
      </x:c>
      <x:c r="DP98" s="4" t="n">
        <x:f>IF(AND('Calculations'!DE98&lt;&gt;"",'Calculations'!DF98&gt;0),COUNTIF('Calculations'!$DF$12:DF98,"&gt;0"),0)</x:f>
        <x:v>0</x:v>
      </x:c>
      <x:c r="DQ98" s="4" t="str">
        <x:f>IF(87&gt;MAX('Calculations'!$HH$13:$HH$512),"",INDEX('Calculations'!$HF$13:$HF$512,MATCH(87,'Calculations'!$HH$13:$HH$512,0)))</x:f>
      </x:c>
      <x:c r="DR98" s="4" t="str">
        <x:f>IF(87&gt;MAX('Calculations'!$IK$13:$IK$512),"",INDEX('Calculations'!$HE$13:$HE$512,MATCH(87,'Calculations'!$IK$13:$IK$512,0)))</x:f>
      </x:c>
      <x:c r="DS98" s="4"/>
      <x:c r="DT98" s="4"/>
      <x:c r="DU98" s="4"/>
      <x:c r="DV98" s="4"/>
      <x:c r="DW98" s="4"/>
      <x:c r="DX98" s="4"/>
      <x:c r="DY98" s="4"/>
      <x:c r="DZ98" s="4"/>
      <x:c r="EA98" s="4"/>
      <x:c r="EB98" s="4"/>
      <x:c r="EC98" s="4"/>
      <x:c r="ED98" s="4"/>
      <x:c r="EE98" s="4" t="str">
        <x:f>IF('Calculations'!BT98=0,"Not Rated",IF(OR('Calculations'!BO98&gt;=4,'Calculations'!BP98&gt;=4),"Low",IF('Calculations'!BO98+'Calculations'!BP98&lt;=3,"High",IF('Calculations'!BO98+'Calculations'!BP98&lt;=4,"Strong","Solid"))))</x:f>
        <x:v>Not Rated</x:v>
      </x:c>
      <x:c r="EF98" s="4"/>
      <x:c r="EG98" s="4"/>
      <x:c r="EH98" s="4"/>
      <x:c r="EI98" s="4"/>
      <x:c r="EJ98" s="4"/>
      <x:c r="EK98" s="4"/>
      <x:c r="EL98" s="4"/>
      <x:c r="EM98" s="4" t="str">
        <x:f>IF(86&gt;'Calculations'!$JB$2000,"",INDEX('Calculations'!$JA$12:$JA$2000,MATCH(86,'Calculations'!$JB$12:$JB$2000,0)))</x:f>
      </x:c>
      <x:c r="EN98" s="4" t="n">
        <x:f>IF(OR('Calculations'!EM98="",'Calculations'!$AG$8&gt;0,AND('Calculations'!$EF$2&lt;&gt;"All",'Calculations'!HE98='Calculations'!$EF$2),AND('Calculations'!$EF$3&lt;&gt;"All",'Calculations'!HE98='Calculations'!$EF$3)),0,IF(OR('Dashboard'!$B$7="All",'Calculations'!HN98='Dashboard'!$B$7),IF('Calculations'!$EF$2="All",1,IF('Calculations'!HL98&gt;0,0,IF(COUNTIF('Calculations'!HO98:II98,"="&amp;SUBSTITUTE(SUBSTITUTE(SUBSTITUTE('Calculations'!$EF$2,"~","~~"),"*","~*"),"?","~?"))=0,0,IF('Calculations'!$EF$3="All",1,IF(COUNTIF('Calculations'!HO98:II98,"="&amp;SUBSTITUTE(SUBSTITUTE(SUBSTITUTE('Calculations'!$EF$3,"~","~~"),"*","~*"),"?","~?"))&gt;0,1,0))))),0))</x:f>
        <x:v>0</x:v>
      </x:c>
      <x:c r="EO98" s="4" t="str">
        <x:f>IF('Calculations'!IJ98="","",IF('Calculations'!IJ98="!UNRESOLVED","Unresolved hierarchy",IFERROR(INDEX('Calculations'!$HK$13:$HK$512,MATCH('Calculations'!IJ98,'Calculations'!$HE$13:$HE$512,0)),IFERROR(INDEX('Calculations'!$HJ$13:$HJ$512,MATCH('Calculations'!IJ98,'Calculations'!$HF$13:$HF$512,0)),'Calculations'!IJ98))))</x:f>
      </x:c>
      <x:c r="EP98" s="4" t="n">
        <x:f>IF(AND('Calculations'!EM98&lt;&gt;"",'Calculations'!HF98='Calculations'!IJ98),1,0)</x:f>
        <x:v>0</x:v>
      </x:c>
      <x:c r="EQ98" s="4"/>
      <x:c r="ER98" s="4"/>
      <x:c r="ES98" s="4"/>
      <x:c r="ET98" s="4"/>
      <x:c r="EU98" s="4"/>
      <x:c r="EV98" s="4"/>
      <x:c r="EW98" s="4"/>
      <x:c r="EX98" s="4"/>
      <x:c r="EY98" s="4"/>
      <x:c r="EZ98" s="4"/>
      <x:c r="FA98" s="4"/>
      <x:c r="FB98" s="4"/>
      <x:c r="FC98" s="4"/>
      <x:c r="FD98" s="4"/>
      <x:c r="FE98" s="4"/>
      <x:c r="FF98" s="4"/>
      <x:c r="FG98" s="4"/>
      <x:c r="FH98" s="4"/>
      <x:c r="FI98" s="4"/>
      <x:c r="FJ98" s="4"/>
      <x:c r="FK98" s="4"/>
      <x:c r="FL98" s="4"/>
      <x:c r="FM98" s="4"/>
      <x:c r="FN98" s="4"/>
      <x:c r="FO98" s="4"/>
      <x:c r="GA98" s="71"/>
      <x:c r="GB98" s="71" t="str">
        <x:f>IF('Calculations'!$AR98=0,"",INDEX('Calculations'!$DE$12:$DE$1012,'Calculations'!$AR98))</x:f>
      </x:c>
      <x:c r="GC98" s="71"/>
      <x:c r="GD98" s="71"/>
      <x:c r="GE98" s="71"/>
      <x:c r="GF98" s="71"/>
      <x:c r="GG98" s="71"/>
      <x:c r="GH98" s="71"/>
      <x:c r="GI98" s="71" t="str">
        <x:f>IF('Calculations'!$AR98=0,"",INDEX('Calculations'!$DF$12:$DF$1012,'Calculations'!$AR98))</x:f>
      </x:c>
      <x:c r="GJ98" s="71"/>
      <x:c r="GK98" s="71" t="str">
        <x:f>IF('Calculations'!$AR98=0,"",INDEX('Calculations'!$DG$12:$DG$1012,'Calculations'!$AR98))</x:f>
      </x:c>
      <x:c r="GL98" s="71"/>
      <x:c r="GM98" s="71" t="str">
        <x:f>IF('Calculations'!$AR98=0,"",INDEX('Calculations'!$DH$12:$DH$1012,'Calculations'!$AR98))</x:f>
      </x:c>
      <x:c r="GN98" s="71"/>
      <x:c r="GO98" s="71" t="str">
        <x:f>IF('Calculations'!$AR98=0,"",INDEX('Calculations'!$DI$12:$DI$1012,'Calculations'!$AR98))</x:f>
      </x:c>
      <x:c r="GP98" s="71"/>
      <x:c r="GQ98" s="71" t="str">
        <x:f>IF('Calculations'!$AR98=0,"",INDEX('Calculations'!$DJ$12:$DJ$1012,'Calculations'!$AR98)&amp;" · "&amp;IF(INDEX('Calculations'!$DG$12:$DG$1012,'Calculations'!$AR98)=0,"n.a.",TEXT(INDEX('Calculations'!$DJ$12:$DJ$1012,'Calculations'!$AR98)/INDEX('Calculations'!$DG$12:$DG$1012,'Calculations'!$AR98),"0.0%")))</x:f>
      </x:c>
      <x:c r="GR98" s="71"/>
      <x:c r="GS98" s="71" t="str">
        <x:f>IF('Calculations'!$AR98=0,"",INDEX('Calculations'!$DK$12:$DK$1012,'Calculations'!$AR98)&amp;" · "&amp;IF(INDEX('Calculations'!$DG$12:$DG$1012,'Calculations'!$AR98)=0,"n.a.",TEXT(INDEX('Calculations'!$DK$12:$DK$1012,'Calculations'!$AR98)/INDEX('Calculations'!$DG$12:$DG$1012,'Calculations'!$AR98),"0.0%")))</x:f>
      </x:c>
      <x:c r="GT98" s="71"/>
      <x:c r="GU98" s="71" t="str">
        <x:f>IF('Calculations'!$AR98=0,"",INDEX('Calculations'!$DL$12:$DL$1012,'Calculations'!$AR98)&amp;" · "&amp;IF(INDEX('Calculations'!$DG$12:$DG$1012,'Calculations'!$AR98)=0,"n.a.",TEXT(INDEX('Calculations'!$DL$12:$DL$1012,'Calculations'!$AR98)/INDEX('Calculations'!$DG$12:$DG$1012,'Calculations'!$AR98),"0.0%")))</x:f>
      </x:c>
      <x:c r="GV98" s="71"/>
      <x:c r="GW98" s="71" t="str">
        <x:f>IF('Calculations'!$AR98=0,"",INDEX('Calculations'!$DM$12:$DM$1012,'Calculations'!$AR98)&amp;" · "&amp;IF(INDEX('Calculations'!$DG$12:$DG$1012,'Calculations'!$AR98)=0,"n.a.",TEXT(INDEX('Calculations'!$DM$12:$DM$1012,'Calculations'!$AR98)/INDEX('Calculations'!$DG$12:$DG$1012,'Calculations'!$AR98),"0.0%")))</x:f>
      </x:c>
      <x:c r="GX98" s="71"/>
      <x:c r="GY98" s="71" t="str">
        <x:f>IF('Calculations'!$AR98=0,"",INDEX('Calculations'!$DN$12:$DN$1012,'Calculations'!$AR98))</x:f>
      </x:c>
      <x:c r="GZ98" s="71"/>
      <x:c r="HA98" s="71" t="str">
        <x:f>IF('Calculations'!$AR98=0,"",INDEX('Calculations'!$DO$12:$DO$1012,'Calculations'!$AR98))</x:f>
      </x:c>
      <x:c r="HB98" s="71"/>
      <x:c r="HC98" s="71"/>
      <x:c r="HD98" s="71"/>
      <x:c r="HE98" t="str">
        <x:f>IF('Calculations'!EM98="","",IF(IFERROR(IF(INDEX(INDIRECT("'WCM Calibration Final'!$A$1:$A$2000"),'Calculations'!$EM98)="","",TRIM(INDEX(INDIRECT("'WCM Calibration Final'!$A$1:$A$2000"),'Calculations'!$EM98)&amp;"")),"")&lt;&gt;"","G:"&amp;IFERROR(TEXT(1*INDEX(INDIRECT("'WCM Calibration Final'!$A$1:$A$2000"),'Calculations'!$EM98),"0"),UPPER(IFERROR(IF(INDEX(INDIRECT("'WCM Calibration Final'!$A$1:$A$2000"),'Calculations'!$EM98)="","",TRIM(INDEX(INDIRECT("'WCM Calibration Final'!$A$1:$A$2000"),'Calculations'!$EM98)&amp;"")),""))),IF(IFERROR(IF(INDEX(INDIRECT("'WCM Calibration Final'!$C$1:$C$2000"),'Calculations'!$EM98)="","",TRIM(INDEX(INDIRECT("'WCM Calibration Final'!$C$1:$C$2000"),'Calculations'!$EM98)&amp;"")),"")&lt;&gt;"","S:"&amp;UPPER(IFERROR(IF(INDEX(INDIRECT("'WCM Calibration Final'!$C$1:$C$2000"),'Calculations'!$EM98)="","",TRIM(INDEX(INDIRECT("'WCM Calibration Final'!$C$1:$C$2000"),'Calculations'!$EM98)&amp;"")),"")),"R:"&amp;'Calculations'!EM98)))</x:f>
      </x:c>
      <x:c r="HF98" t="str">
        <x:f>IF('Calculations'!EM98="","",IF(IFERROR(IF(INDEX(INDIRECT("'WCM Calibration Final'!$D$1:$D$2000"),'Calculations'!$EM98)="","",TRIM(INDEX(INDIRECT("'WCM Calibration Final'!$D$1:$D$2000"),'Calculations'!$EM98)&amp;"")),"")&lt;&gt;"","G:"&amp;IFERROR(TEXT(1*INDEX(INDIRECT("'WCM Calibration Final'!$D$1:$D$2000"),'Calculations'!$EM98),"0"),UPPER(IFERROR(IF(INDEX(INDIRECT("'WCM Calibration Final'!$D$1:$D$2000"),'Calculations'!$EM98)="","",TRIM(INDEX(INDIRECT("'WCM Calibration Final'!$D$1:$D$2000"),'Calculations'!$EM98)&amp;"")),""))),IF(IFERROR(IF(INDEX(INDIRECT("'WCM Calibration Final'!$E$1:$E$2000"),'Calculations'!$EM98)="","",TRIM(INDEX(INDIRECT("'WCM Calibration Final'!$E$1:$E$2000"),'Calculations'!$EM98)&amp;"")),"")="","",IF(COUNTIF('Calculations'!$HG$13:$HG$512,"="&amp;SUBSTITUTE(SUBSTITUTE(SUBSTITUTE(IFERROR(IF(INDEX(INDIRECT("'WCM Calibration Final'!$E$1:$E$2000"),'Calculations'!$EM98)="","",TRIM(INDEX(INDIRECT("'WCM Calibration Final'!$E$1:$E$2000"),'Calculations'!$EM98)&amp;"")),""),"~","~~"),"*","~*"),"?","~?"))=1,INDEX('Calculations'!$HE$13:$HE$512,MATCH(IFERROR(IF(INDEX(INDIRECT("'WCM Calibration Final'!$E$1:$E$2000"),'Calculations'!$EM98)="","",TRIM(INDEX(INDIRECT("'WCM Calibration Final'!$E$1:$E$2000"),'Calculations'!$EM98)&amp;"")),""),'Calculations'!$HG$13:$HG$512,0)),IF(COUNTIF('Calculations'!$HG$13:$HG$512,"="&amp;SUBSTITUTE(SUBSTITUTE(SUBSTITUTE(IFERROR(IF(INDEX(INDIRECT("'WCM Calibration Final'!$E$1:$E$2000"),'Calculations'!$EM98)="","",TRIM(INDEX(INDIRECT("'WCM Calibration Final'!$E$1:$E$2000"),'Calculations'!$EM98)&amp;"")),""),"~","~~"),"*","~*"),"?","~?"))&gt;1,"!AMBIG","X:"&amp;IFERROR(IF(INDEX(INDIRECT("'WCM Calibration Final'!$E$1:$E$2000"),'Calculations'!$EM98)="","",TRIM(INDEX(INDIRECT("'WCM Calibration Final'!$E$1:$E$2000"),'Calculations'!$EM98)&amp;"")),""))))))</x:f>
      </x:c>
      <x:c r="HG98" t="str">
        <x:f>IF('Calculations'!EM98="","",IFERROR(IF(INDEX(INDIRECT("'WCM Calibration Final'!$B$1:$B$2000"),'Calculations'!$EM98)="","",TRIM(INDEX(INDIRECT("'WCM Calibration Final'!$B$1:$B$2000"),'Calculations'!$EM98)&amp;"")),""))</x:f>
      </x:c>
      <x:c r="HH98" t="n">
        <x:f>IF(AND('Calculations'!JC98&gt;0,COUNTIF('Calculations'!$HF$12:HF98,"="&amp;SUBSTITUTE(SUBSTITUTE(SUBSTITUTE('Calculations'!HF98,"~","~~"),"*","~*"),"?","~?"))=1),MAX('Calculations'!$HH$12:HH97)+1,0)</x:f>
        <x:v>0</x:v>
      </x:c>
      <x:c r="HI98" t="n">
        <x:f>IF(AND('Calculations'!HN98&lt;&gt;"",COUNTIF('Calculations'!$HN$12:HN98,"="&amp;SUBSTITUTE(SUBSTITUTE(SUBSTITUTE('Calculations'!HN98,"~","~~"),"*","~*"),"?","~?"))=1),MAX('Calculations'!$HI$12:HI97)+1,0)</x:f>
        <x:v>0</x:v>
      </x:c>
      <x:c r="HJ98" t="str">
        <x:f>IF('Calculations'!HF98="","",IF(COUNTIF('Calculations'!$HE$13:$HE$512,"="&amp;SUBSTITUTE(SUBSTITUTE(SUBSTITUTE('Calculations'!HF98,"~","~~"),"*","~*"),"?","~?"))=1,INDEX('Calculations'!$HK$13:$HK$512,MATCH('Calculations'!HF98,'Calculations'!$HE$13:$HE$512,0)),IFERROR(IF(INDEX(INDIRECT("'WCM Calibration Final'!$E$1:$E$2000"),'Calculations'!$EM98)="","",TRIM(INDEX(INDIRECT("'WCM Calibration Final'!$E$1:$E$2000"),'Calculations'!$EM98)&amp;"")),"")&amp;" ["&amp;'Calculations'!HF98&amp;"]"))</x:f>
      </x:c>
      <x:c r="HK98" t="str">
        <x:f>IF('Calculations'!EM98="","",'Calculations'!HG98&amp;" ["&amp;'Calculations'!HE98&amp;"]")</x:f>
      </x:c>
      <x:c r="HL98" t="n">
        <x:f>IF('Calculations'!EM98="",0,IF(OR('Calculations'!II98&lt;&gt;"",COUNTIF('Calculations'!$HE$13:$HE$512,"="&amp;SUBSTITUTE(SUBSTITUTE(SUBSTITUTE('Calculations'!HE98,"~","~~"),"*","~*"),"?","~?"))&gt;1),1,0))</x:f>
        <x:v>0</x:v>
      </x:c>
      <x:c r="HM98" t="str">
        <x:f>IF('Calculations'!EM98="","",IF('Calculations'!HL98=1,"!UNRESOLVED",IF('Calculations'!IH98&lt;&gt;"",'Calculations'!IH98,IF('Calculations'!IG98&lt;&gt;"",'Calculations'!IG98,IF('Calculations'!IF98&lt;&gt;"",'Calculations'!IF98,IF('Calculations'!IE98&lt;&gt;"",'Calculations'!IE98,IF('Calculations'!ID98&lt;&gt;"",'Calculations'!ID98,IF('Calculations'!IC98&lt;&gt;"",'Calculations'!IC98,IF('Calculations'!IB98&lt;&gt;"",'Calculations'!IB98,IF('Calculations'!IA98&lt;&gt;"",'Calculations'!IA98,IF('Calculations'!HZ98&lt;&gt;"",'Calculations'!HZ98,IF('Calculations'!HY98&lt;&gt;"",'Calculations'!HY98,IF('Calculations'!HX98&lt;&gt;"",'Calculations'!HX98,IF('Calculations'!HW98&lt;&gt;"",'Calculations'!HW98,IF('Calculations'!HV98&lt;&gt;"",'Calculations'!HV98,IF('Calculations'!HU98&lt;&gt;"",'Calculations'!HU98,IF('Calculations'!HT98&lt;&gt;"",'Calculations'!HT98,IF('Calculations'!HS98&lt;&gt;"",'Calculations'!HS98,IF('Calculations'!HR98&lt;&gt;"",'Calculations'!HR98,IF('Calculations'!HQ98&lt;&gt;"",'Calculations'!HQ98,IF('Calculations'!HP98&lt;&gt;"",'Calculations'!HP98,IF('Calculations'!HO98&lt;&gt;"",'Calculations'!HO98,'Calculations'!HE98))))))))))))))))))))))</x:f>
      </x:c>
      <x:c r="HN98" t="str">
        <x:f>IF('Calculations'!EM98="","",IF(IFERROR(IF(INDEX(INDIRECT("'WCM Calibration Final'!$F$1:$F$2000"),'Calculations'!$EM98)="","",TRIM(INDEX(INDIRECT("'WCM Calibration Final'!$F$1:$F$2000"),'Calculations'!$EM98)&amp;"")),"")="","(Blank)",IFERROR(IF(INDEX(INDIRECT("'WCM Calibration Final'!$F$1:$F$2000"),'Calculations'!$EM98)="","",TRIM(INDEX(INDIRECT("'WCM Calibration Final'!$F$1:$F$2000"),'Calculations'!$EM98)&amp;"")),"")))</x:f>
      </x:c>
      <x:c r="HO98" t="str">
        <x:f>'Calculations'!HF98</x:f>
      </x:c>
      <x:c r="HP98" t="str">
        <x:f>IF('Calculations'!HO98="","",IF('Calculations'!HO98="!AMBIG","!AMBIG",IF(COUNTIF('Calculations'!$HE$13:$HE$512,"="&amp;SUBSTITUTE(SUBSTITUTE(SUBSTITUTE('Calculations'!HO98,"~","~~"),"*","~*"),"?","~?"))&gt;1,"!AMBIG",IFERROR(INDEX('Calculations'!$HF$13:$HF$512,MATCH('Calculations'!HO98,'Calculations'!$HE$13:$HE$512,0)),""))))</x:f>
      </x:c>
      <x:c r="HQ98" t="str">
        <x:f>IF('Calculations'!HP98="","",IF('Calculations'!HP98="!AMBIG","!AMBIG",IF(COUNTIF('Calculations'!$HE$13:$HE$512,"="&amp;SUBSTITUTE(SUBSTITUTE(SUBSTITUTE('Calculations'!HP98,"~","~~"),"*","~*"),"?","~?"))&gt;1,"!AMBIG",IFERROR(INDEX('Calculations'!$HF$13:$HF$512,MATCH('Calculations'!HP98,'Calculations'!$HE$13:$HE$512,0)),""))))</x:f>
      </x:c>
      <x:c r="HR98" t="str">
        <x:f>IF('Calculations'!HQ98="","",IF('Calculations'!HQ98="!AMBIG","!AMBIG",IF(COUNTIF('Calculations'!$HE$13:$HE$512,"="&amp;SUBSTITUTE(SUBSTITUTE(SUBSTITUTE('Calculations'!HQ98,"~","~~"),"*","~*"),"?","~?"))&gt;1,"!AMBIG",IFERROR(INDEX('Calculations'!$HF$13:$HF$512,MATCH('Calculations'!HQ98,'Calculations'!$HE$13:$HE$512,0)),""))))</x:f>
      </x:c>
      <x:c r="HS98" t="str">
        <x:f>IF('Calculations'!HR98="","",IF('Calculations'!HR98="!AMBIG","!AMBIG",IF(COUNTIF('Calculations'!$HE$13:$HE$512,"="&amp;SUBSTITUTE(SUBSTITUTE(SUBSTITUTE('Calculations'!HR98,"~","~~"),"*","~*"),"?","~?"))&gt;1,"!AMBIG",IFERROR(INDEX('Calculations'!$HF$13:$HF$512,MATCH('Calculations'!HR98,'Calculations'!$HE$13:$HE$512,0)),""))))</x:f>
      </x:c>
      <x:c r="HT98" t="str">
        <x:f>IF('Calculations'!HS98="","",IF('Calculations'!HS98="!AMBIG","!AMBIG",IF(COUNTIF('Calculations'!$HE$13:$HE$512,"="&amp;SUBSTITUTE(SUBSTITUTE(SUBSTITUTE('Calculations'!HS98,"~","~~"),"*","~*"),"?","~?"))&gt;1,"!AMBIG",IFERROR(INDEX('Calculations'!$HF$13:$HF$512,MATCH('Calculations'!HS98,'Calculations'!$HE$13:$HE$512,0)),""))))</x:f>
      </x:c>
      <x:c r="HU98" t="str">
        <x:f>IF('Calculations'!HT98="","",IF('Calculations'!HT98="!AMBIG","!AMBIG",IF(COUNTIF('Calculations'!$HE$13:$HE$512,"="&amp;SUBSTITUTE(SUBSTITUTE(SUBSTITUTE('Calculations'!HT98,"~","~~"),"*","~*"),"?","~?"))&gt;1,"!AMBIG",IFERROR(INDEX('Calculations'!$HF$13:$HF$512,MATCH('Calculations'!HT98,'Calculations'!$HE$13:$HE$512,0)),""))))</x:f>
      </x:c>
      <x:c r="HV98" t="str">
        <x:f>IF('Calculations'!HU98="","",IF('Calculations'!HU98="!AMBIG","!AMBIG",IF(COUNTIF('Calculations'!$HE$13:$HE$512,"="&amp;SUBSTITUTE(SUBSTITUTE(SUBSTITUTE('Calculations'!HU98,"~","~~"),"*","~*"),"?","~?"))&gt;1,"!AMBIG",IFERROR(INDEX('Calculations'!$HF$13:$HF$512,MATCH('Calculations'!HU98,'Calculations'!$HE$13:$HE$512,0)),""))))</x:f>
      </x:c>
      <x:c r="HW98" t="str">
        <x:f>IF('Calculations'!HV98="","",IF('Calculations'!HV98="!AMBIG","!AMBIG",IF(COUNTIF('Calculations'!$HE$13:$HE$512,"="&amp;SUBSTITUTE(SUBSTITUTE(SUBSTITUTE('Calculations'!HV98,"~","~~"),"*","~*"),"?","~?"))&gt;1,"!AMBIG",IFERROR(INDEX('Calculations'!$HF$13:$HF$512,MATCH('Calculations'!HV98,'Calculations'!$HE$13:$HE$512,0)),""))))</x:f>
      </x:c>
      <x:c r="HX98" t="str">
        <x:f>IF('Calculations'!HW98="","",IF('Calculations'!HW98="!AMBIG","!AMBIG",IF(COUNTIF('Calculations'!$HE$13:$HE$512,"="&amp;SUBSTITUTE(SUBSTITUTE(SUBSTITUTE('Calculations'!HW98,"~","~~"),"*","~*"),"?","~?"))&gt;1,"!AMBIG",IFERROR(INDEX('Calculations'!$HF$13:$HF$512,MATCH('Calculations'!HW98,'Calculations'!$HE$13:$HE$512,0)),""))))</x:f>
      </x:c>
      <x:c r="HY98" t="str">
        <x:f>IF('Calculations'!HX98="","",IF('Calculations'!HX98="!AMBIG","!AMBIG",IF(COUNTIF('Calculations'!$HE$13:$HE$512,"="&amp;SUBSTITUTE(SUBSTITUTE(SUBSTITUTE('Calculations'!HX98,"~","~~"),"*","~*"),"?","~?"))&gt;1,"!AMBIG",IFERROR(INDEX('Calculations'!$HF$13:$HF$512,MATCH('Calculations'!HX98,'Calculations'!$HE$13:$HE$512,0)),""))))</x:f>
      </x:c>
      <x:c r="HZ98" t="str">
        <x:f>IF('Calculations'!HY98="","",IF('Calculations'!HY98="!AMBIG","!AMBIG",IF(COUNTIF('Calculations'!$HE$13:$HE$512,"="&amp;SUBSTITUTE(SUBSTITUTE(SUBSTITUTE('Calculations'!HY98,"~","~~"),"*","~*"),"?","~?"))&gt;1,"!AMBIG",IFERROR(INDEX('Calculations'!$HF$13:$HF$512,MATCH('Calculations'!HY98,'Calculations'!$HE$13:$HE$512,0)),""))))</x:f>
      </x:c>
      <x:c r="IA98" t="str">
        <x:f>IF('Calculations'!HZ98="","",IF('Calculations'!HZ98="!AMBIG","!AMBIG",IF(COUNTIF('Calculations'!$HE$13:$HE$512,"="&amp;SUBSTITUTE(SUBSTITUTE(SUBSTITUTE('Calculations'!HZ98,"~","~~"),"*","~*"),"?","~?"))&gt;1,"!AMBIG",IFERROR(INDEX('Calculations'!$HF$13:$HF$512,MATCH('Calculations'!HZ98,'Calculations'!$HE$13:$HE$512,0)),""))))</x:f>
      </x:c>
      <x:c r="IB98" t="str">
        <x:f>IF('Calculations'!IA98="","",IF('Calculations'!IA98="!AMBIG","!AMBIG",IF(COUNTIF('Calculations'!$HE$13:$HE$512,"="&amp;SUBSTITUTE(SUBSTITUTE(SUBSTITUTE('Calculations'!IA98,"~","~~"),"*","~*"),"?","~?"))&gt;1,"!AMBIG",IFERROR(INDEX('Calculations'!$HF$13:$HF$512,MATCH('Calculations'!IA98,'Calculations'!$HE$13:$HE$512,0)),""))))</x:f>
      </x:c>
      <x:c r="IC98" t="str">
        <x:f>IF('Calculations'!IB98="","",IF('Calculations'!IB98="!AMBIG","!AMBIG",IF(COUNTIF('Calculations'!$HE$13:$HE$512,"="&amp;SUBSTITUTE(SUBSTITUTE(SUBSTITUTE('Calculations'!IB98,"~","~~"),"*","~*"),"?","~?"))&gt;1,"!AMBIG",IFERROR(INDEX('Calculations'!$HF$13:$HF$512,MATCH('Calculations'!IB98,'Calculations'!$HE$13:$HE$512,0)),""))))</x:f>
      </x:c>
      <x:c r="ID98" t="str">
        <x:f>IF('Calculations'!IC98="","",IF('Calculations'!IC98="!AMBIG","!AMBIG",IF(COUNTIF('Calculations'!$HE$13:$HE$512,"="&amp;SUBSTITUTE(SUBSTITUTE(SUBSTITUTE('Calculations'!IC98,"~","~~"),"*","~*"),"?","~?"))&gt;1,"!AMBIG",IFERROR(INDEX('Calculations'!$HF$13:$HF$512,MATCH('Calculations'!IC98,'Calculations'!$HE$13:$HE$512,0)),""))))</x:f>
      </x:c>
      <x:c r="IE98" t="str">
        <x:f>IF('Calculations'!ID98="","",IF('Calculations'!ID98="!AMBIG","!AMBIG",IF(COUNTIF('Calculations'!$HE$13:$HE$512,"="&amp;SUBSTITUTE(SUBSTITUTE(SUBSTITUTE('Calculations'!ID98,"~","~~"),"*","~*"),"?","~?"))&gt;1,"!AMBIG",IFERROR(INDEX('Calculations'!$HF$13:$HF$512,MATCH('Calculations'!ID98,'Calculations'!$HE$13:$HE$512,0)),""))))</x:f>
      </x:c>
      <x:c r="IF98" t="str">
        <x:f>IF('Calculations'!IE98="","",IF('Calculations'!IE98="!AMBIG","!AMBIG",IF(COUNTIF('Calculations'!$HE$13:$HE$512,"="&amp;SUBSTITUTE(SUBSTITUTE(SUBSTITUTE('Calculations'!IE98,"~","~~"),"*","~*"),"?","~?"))&gt;1,"!AMBIG",IFERROR(INDEX('Calculations'!$HF$13:$HF$512,MATCH('Calculations'!IE98,'Calculations'!$HE$13:$HE$512,0)),""))))</x:f>
      </x:c>
      <x:c r="IG98" t="str">
        <x:f>IF('Calculations'!IF98="","",IF('Calculations'!IF98="!AMBIG","!AMBIG",IF(COUNTIF('Calculations'!$HE$13:$HE$512,"="&amp;SUBSTITUTE(SUBSTITUTE(SUBSTITUTE('Calculations'!IF98,"~","~~"),"*","~*"),"?","~?"))&gt;1,"!AMBIG",IFERROR(INDEX('Calculations'!$HF$13:$HF$512,MATCH('Calculations'!IF98,'Calculations'!$HE$13:$HE$512,0)),""))))</x:f>
      </x:c>
      <x:c r="IH98" t="str">
        <x:f>IF('Calculations'!IG98="","",IF('Calculations'!IG98="!AMBIG","!AMBIG",IF(COUNTIF('Calculations'!$HE$13:$HE$512,"="&amp;SUBSTITUTE(SUBSTITUTE(SUBSTITUTE('Calculations'!IG98,"~","~~"),"*","~*"),"?","~?"))&gt;1,"!AMBIG",IFERROR(INDEX('Calculations'!$HF$13:$HF$512,MATCH('Calculations'!IG98,'Calculations'!$HE$13:$HE$512,0)),""))))</x:f>
      </x:c>
      <x:c r="II98" t="str">
        <x:f>IF('Calculations'!IH98="","",IF('Calculations'!IH98="!AMBIG","!AMBIG",IF(COUNTIF('Calculations'!$HE$13:$HE$512,"="&amp;SUBSTITUTE(SUBSTITUTE(SUBSTITUTE('Calculations'!IH98,"~","~~"),"*","~*"),"?","~?"))&gt;1,"!AMBIG",IFERROR(INDEX('Calculations'!$HF$13:$HF$512,MATCH('Calculations'!IH98,'Calculations'!$HE$13:$HE$512,0)),""))))</x:f>
      </x:c>
      <x:c r="IJ98" t="str">
        <x:f>IF('Calculations'!EM98="","",IF('Calculations'!$EF$2="All",'Calculations'!HM98,IF('Calculations'!HL98=1,"",IFERROR(IF(MATCH('Calculations'!$EF$2,'Calculations'!HO98:II98,0)=1,'Calculations'!HE98,INDEX('Calculations'!HO98:II98,1,MATCH('Calculations'!$EF$2,'Calculations'!HO98:II98,0)-1)),""))))</x:f>
      </x:c>
      <x:c r="IK98" t="n">
        <x:f>IF(AND('Calculations'!EM98&lt;&gt;"",'Calculations'!$EF$2&lt;&gt;"All",'Calculations'!HF98='Calculations'!$EF$2,'Calculations'!HL98=0,'Calculations'!JD98&gt;0),MAX('Calculations'!$IK$12:IK97)+1,0)</x:f>
        <x:v>0</x:v>
      </x:c>
      <x:c r="JA98" t="n">
        <x:f>IF(OR(IFERROR(INDIRECT("'WCM Calibration Final'!$A$98")&lt;&gt;"",FALSE),IFERROR(INDIRECT("'WCM Calibration Final'!$B$98")&lt;&gt;"",FALSE),IFERROR(INDIRECT("'WCM Calibration Final'!$C$98")&lt;&gt;"",FALSE)),98,0)</x:f>
        <x:v>0</x:v>
      </x:c>
      <x:c r="JB98" t="n">
        <x:f>'Calculations'!JB97+IF('Calculations'!JA98&gt;0,1,0)</x:f>
        <x:v>0</x:v>
      </x:c>
      <x:c r="JC98" t="n">
        <x:f>IF(OR('Calculations'!HF98="",'Calculations'!HF98="!AMBIG"),0,IF('Dashboard'!$B$7="All",1,COUNTIFS('Calculations'!$HO$13:$HO$512,"="&amp;SUBSTITUTE(SUBSTITUTE(SUBSTITUTE('Calculations'!HF98,"~","~~"),"*","~*"),"?","~?"),'Calculations'!$HN$13:$HN$512,"="&amp;SUBSTITUTE(SUBSTITUTE(SUBSTITUTE('Dashboard'!$B$7,"~","~~"),"*","~*"),"?","~?"))+COUNTIFS('Calculations'!$HP$13:$HP$512,"="&amp;SUBSTITUTE(SUBSTITUTE(SUBSTITUTE('Calculations'!HF98,"~","~~"),"*","~*"),"?","~?"),'Calculations'!$HN$13:$HN$512,"="&amp;SUBSTITUTE(SUBSTITUTE(SUBSTITUTE('Dashboard'!$B$7,"~","~~"),"*","~*"),"?","~?"))+COUNTIFS('Calculations'!$HQ$13:$HQ$512,"="&amp;SUBSTITUTE(SUBSTITUTE(SUBSTITUTE('Calculations'!HF98,"~","~~"),"*","~*"),"?","~?"),'Calculations'!$HN$13:$HN$512,"="&amp;SUBSTITUTE(SUBSTITUTE(SUBSTITUTE('Dashboard'!$B$7,"~","~~"),"*","~*"),"?","~?"))+COUNTIFS('Calculations'!$HR$13:$HR$512,"="&amp;SUBSTITUTE(SUBSTITUTE(SUBSTITUTE('Calculations'!HF98,"~","~~"),"*","~*"),"?","~?"),'Calculations'!$HN$13:$HN$512,"="&amp;SUBSTITUTE(SUBSTITUTE(SUBSTITUTE('Dashboard'!$B$7,"~","~~"),"*","~*"),"?","~?"))+COUNTIFS('Calculations'!$HS$13:$HS$512,"="&amp;SUBSTITUTE(SUBSTITUTE(SUBSTITUTE('Calculations'!HF98,"~","~~"),"*","~*"),"?","~?"),'Calculations'!$HN$13:$HN$512,"="&amp;SUBSTITUTE(SUBSTITUTE(SUBSTITUTE('Dashboard'!$B$7,"~","~~"),"*","~*"),"?","~?"))+COUNTIFS('Calculations'!$HT$13:$HT$512,"="&amp;SUBSTITUTE(SUBSTITUTE(SUBSTITUTE('Calculations'!HF98,"~","~~"),"*","~*"),"?","~?"),'Calculations'!$HN$13:$HN$512,"="&amp;SUBSTITUTE(SUBSTITUTE(SUBSTITUTE('Dashboard'!$B$7,"~","~~"),"*","~*"),"?","~?"))+COUNTIFS('Calculations'!$HU$13:$HU$512,"="&amp;SUBSTITUTE(SUBSTITUTE(SUBSTITUTE('Calculations'!HF98,"~","~~"),"*","~*"),"?","~?"),'Calculations'!$HN$13:$HN$512,"="&amp;SUBSTITUTE(SUBSTITUTE(SUBSTITUTE('Dashboard'!$B$7,"~","~~"),"*","~*"),"?","~?"))+COUNTIFS('Calculations'!$HV$13:$HV$512,"="&amp;SUBSTITUTE(SUBSTITUTE(SUBSTITUTE('Calculations'!HF98,"~","~~"),"*","~*"),"?","~?"),'Calculations'!$HN$13:$HN$512,"="&amp;SUBSTITUTE(SUBSTITUTE(SUBSTITUTE('Dashboard'!$B$7,"~","~~"),"*","~*"),"?","~?"))+COUNTIFS('Calculations'!$HW$13:$HW$512,"="&amp;SUBSTITUTE(SUBSTITUTE(SUBSTITUTE('Calculations'!HF98,"~","~~"),"*","~*"),"?","~?"),'Calculations'!$HN$13:$HN$512,"="&amp;SUBSTITUTE(SUBSTITUTE(SUBSTITUTE('Dashboard'!$B$7,"~","~~"),"*","~*"),"?","~?"))+COUNTIFS('Calculations'!$HX$13:$HX$512,"="&amp;SUBSTITUTE(SUBSTITUTE(SUBSTITUTE('Calculations'!HF98,"~","~~"),"*","~*"),"?","~?"),'Calculations'!$HN$13:$HN$512,"="&amp;SUBSTITUTE(SUBSTITUTE(SUBSTITUTE('Dashboard'!$B$7,"~","~~"),"*","~*"),"?","~?"))+COUNTIFS('Calculations'!$HY$13:$HY$512,"="&amp;SUBSTITUTE(SUBSTITUTE(SUBSTITUTE('Calculations'!HF98,"~","~~"),"*","~*"),"?","~?"),'Calculations'!$HN$13:$HN$512,"="&amp;SUBSTITUTE(SUBSTITUTE(SUBSTITUTE('Dashboard'!$B$7,"~","~~"),"*","~*"),"?","~?"))+COUNTIFS('Calculations'!$HZ$13:$HZ$512,"="&amp;SUBSTITUTE(SUBSTITUTE(SUBSTITUTE('Calculations'!HF98,"~","~~"),"*","~*"),"?","~?"),'Calculations'!$HN$13:$HN$512,"="&amp;SUBSTITUTE(SUBSTITUTE(SUBSTITUTE('Dashboard'!$B$7,"~","~~"),"*","~*"),"?","~?"))+COUNTIFS('Calculations'!$IA$13:$IA$512,"="&amp;SUBSTITUTE(SUBSTITUTE(SUBSTITUTE('Calculations'!HF98,"~","~~"),"*","~*"),"?","~?"),'Calculations'!$HN$13:$HN$512,"="&amp;SUBSTITUTE(SUBSTITUTE(SUBSTITUTE('Dashboard'!$B$7,"~","~~"),"*","~*"),"?","~?"))+COUNTIFS('Calculations'!$IB$13:$IB$512,"="&amp;SUBSTITUTE(SUBSTITUTE(SUBSTITUTE('Calculations'!HF98,"~","~~"),"*","~*"),"?","~?"),'Calculations'!$HN$13:$HN$512,"="&amp;SUBSTITUTE(SUBSTITUTE(SUBSTITUTE('Dashboard'!$B$7,"~","~~"),"*","~*"),"?","~?"))+COUNTIFS('Calculations'!$IC$13:$IC$512,"="&amp;SUBSTITUTE(SUBSTITUTE(SUBSTITUTE('Calculations'!HF98,"~","~~"),"*","~*"),"?","~?"),'Calculations'!$HN$13:$HN$512,"="&amp;SUBSTITUTE(SUBSTITUTE(SUBSTITUTE('Dashboard'!$B$7,"~","~~"),"*","~*"),"?","~?"))+COUNTIFS('Calculations'!$ID$13:$ID$512,"="&amp;SUBSTITUTE(SUBSTITUTE(SUBSTITUTE('Calculations'!HF98,"~","~~"),"*","~*"),"?","~?"),'Calculations'!$HN$13:$HN$512,"="&amp;SUBSTITUTE(SUBSTITUTE(SUBSTITUTE('Dashboard'!$B$7,"~","~~"),"*","~*"),"?","~?"))+COUNTIFS('Calculations'!$IE$13:$IE$512,"="&amp;SUBSTITUTE(SUBSTITUTE(SUBSTITUTE('Calculations'!HF98,"~","~~"),"*","~*"),"?","~?"),'Calculations'!$HN$13:$HN$512,"="&amp;SUBSTITUTE(SUBSTITUTE(SUBSTITUTE('Dashboard'!$B$7,"~","~~"),"*","~*"),"?","~?"))+COUNTIFS('Calculations'!$IF$13:$IF$512,"="&amp;SUBSTITUTE(SUBSTITUTE(SUBSTITUTE('Calculations'!HF98,"~","~~"),"*","~*"),"?","~?"),'Calculations'!$HN$13:$HN$512,"="&amp;SUBSTITUTE(SUBSTITUTE(SUBSTITUTE('Dashboard'!$B$7,"~","~~"),"*","~*"),"?","~?"))+COUNTIFS('Calculations'!$IG$13:$IG$512,"="&amp;SUBSTITUTE(SUBSTITUTE(SUBSTITUTE('Calculations'!HF98,"~","~~"),"*","~*"),"?","~?"),'Calculations'!$HN$13:$HN$512,"="&amp;SUBSTITUTE(SUBSTITUTE(SUBSTITUTE('Dashboard'!$B$7,"~","~~"),"*","~*"),"?","~?"))+COUNTIFS('Calculations'!$IH$13:$IH$512,"="&amp;SUBSTITUTE(SUBSTITUTE(SUBSTITUTE('Calculations'!HF98,"~","~~"),"*","~*"),"?","~?"),'Calculations'!$HN$13:$HN$512,"="&amp;SUBSTITUTE(SUBSTITUTE(SUBSTITUTE('Dashboard'!$B$7,"~","~~"),"*","~*"),"?","~?"))))</x:f>
        <x:v>0</x:v>
      </x:c>
      <x:c r="JD98" t="n">
        <x:f>IF('Calculations'!EM98="",0,IF('Dashboard'!$B$7="All",1,IF('Calculations'!HN98='Dashboard'!$B$7,1,0)+IFERROR(INDEX('Calculations'!$JC$13:$JC$512,MATCH('Calculations'!HE98,'Calculations'!$HF$13:$HF$512,0)),0)))</x:f>
        <x:v>0</x:v>
      </x:c>
      <x:c r="JE98" t="n">
        <x:f>IF(AND('Calculations'!EM98&lt;&gt;"",'Calculations'!$JJ$2&lt;&gt;"All",'Calculations'!$JJ$2&lt;&gt;"",'Calculations'!HF98='Calculations'!$JJ$2,'Calculations'!HL98=0,'Calculations'!JD98&gt;0),MAX('Calculations'!$JE$12:JE97)+1,0)</x:f>
        <x:v>0</x:v>
      </x:c>
      <x:c r="JF98" t="str">
        <x:f>IF('Calculations'!EM98="","",IFERROR(IF(INDEX(INDIRECT("'WCM Calibration Final'!$G$1:$G$2000"),'Calculations'!$EM98)="","",TRIM(INDEX(INDIRECT("'WCM Calibration Final'!$G$1:$G$2000"),'Calculations'!$EM98)&amp;"")),""))</x:f>
      </x:c>
      <x:c r="JQ98" t="n">
        <x:f>IF(OR('Calculations'!BM98=0,NOT('Calculations'!$AG$2),'Calculations'!$AG$8&gt;0),0,IF(OR('Dashboard'!$B$7="All",'Calculations'!HN98='Dashboard'!$B$7),IF('Calculations'!$JJ$2="All",1,IF(AND('Calculations'!HF98='Calculations'!$JJ$2,'Calculations'!HL98=0),1,0)),0))</x:f>
        <x:v>0</x:v>
      </x:c>
    </x:row>
    <x:row r="99">
      <x:c r="AF99" s="4"/>
      <x:c r="AG99" s="4"/>
      <x:c r="AH99" s="4"/>
      <x:c r="AI99" s="4"/>
      <x:c r="AJ99" s="4"/>
      <x:c r="AK99" s="4"/>
      <x:c r="AL99" s="4"/>
      <x:c r="AM99" s="4"/>
      <x:c r="AN99" s="4"/>
      <x:c r="AO99" s="4"/>
      <x:c r="AP99" s="4"/>
      <x:c r="AQ99" s="4"/>
      <x:c r="AR99" s="4" t="n">
        <x:f>IFERROR(MATCH((MIN('Dashboard'!$Z$93,MAX(1,ROUNDUP(MAX('Calculations'!$DP$12:$DP$1012)/20,0)))-1)*20+2,'Calculations'!$DP$12:$DP$1012,0),0)</x:f>
        <x:v>0</x:v>
      </x:c>
      <x:c r="AS99" s="4"/>
      <x:c r="AT99" s="4"/>
      <x:c r="AU99" s="4"/>
      <x:c r="AV99" s="4"/>
      <x:c r="AW99" s="4"/>
      <x:c r="AX99" s="4"/>
      <x:c r="AY99" s="4"/>
      <x:c r="AZ99" s="4"/>
      <x:c r="BA99" s="4"/>
      <x:c r="BB99" s="4"/>
      <x:c r="BC99" s="4"/>
      <x:c r="BD99" s="4"/>
      <x:c r="BE99" s="4"/>
      <x:c r="BF99" s="4"/>
      <x:c r="BG99" s="4"/>
      <x:c r="BH99" s="4"/>
      <x:c r="BI99" s="4"/>
      <x:c r="BJ99" s="4"/>
      <x:c r="BK99" s="4"/>
      <x:c r="BL99" s="4"/>
      <x:c r="BM99" s="4" t="n">
        <x:f>IF('Calculations'!$EM99="",0,IF(OR(IFERROR(INDEX(INDIRECT("'WCM Calibration Final'!$A$1:$A$2000"),'Calculations'!$EM99)&lt;&gt;"",FALSE),IFERROR(INDEX(INDIRECT("'WCM Calibration Final'!$B$1:$B$2000"),'Calculations'!$EM99)&lt;&gt;"",FALSE),IFERROR(INDEX(INDIRECT("'WCM Calibration Final'!$C$1:$C$2000"),'Calculations'!$EM99)&lt;&gt;"",FALSE)),1,0))</x:f>
        <x:v>0</x:v>
      </x:c>
      <x:c r="BN99" s="4" t="n">
        <x:f>IF(AND('Calculations'!BM99=1,'Calculations'!$AG$2,'Calculations'!$EN99=1),1,0)</x:f>
        <x:v>0</x:v>
      </x:c>
      <x:c r="BO99" s="4" t="str">
        <x:f>IF('Calculations'!BM99=0,"",IFERROR(IF(AND(VALUE(INDEX(INDIRECT("'WCM Calibration Final'!$K$1:$K$2000"),'Calculations'!$EM99))&gt;=1,VALUE(INDEX(INDIRECT("'WCM Calibration Final'!$K$1:$K$2000"),'Calculations'!$EM99))&lt;=4,MOD(VALUE(INDEX(INDIRECT("'WCM Calibration Final'!$K$1:$K$2000"),'Calculations'!$EM99)),1)=0),VALUE(INDEX(INDIRECT("'WCM Calibration Final'!$K$1:$K$2000"),'Calculations'!$EM99)),""),""))</x:f>
      </x:c>
      <x:c r="BP99" s="4" t="str">
        <x:f>IF('Calculations'!BM99=0,"",IFERROR(IF(AND(VALUE(INDEX(INDIRECT("'WCM Calibration Final'!$L$1:$L$2000"),'Calculations'!$EM99))&gt;=1,VALUE(INDEX(INDIRECT("'WCM Calibration Final'!$L$1:$L$2000"),'Calculations'!$EM99))&lt;=4,MOD(VALUE(INDEX(INDIRECT("'WCM Calibration Final'!$L$1:$L$2000"),'Calculations'!$EM99)),1)=0),VALUE(INDEX(INDIRECT("'WCM Calibration Final'!$L$1:$L$2000"),'Calculations'!$EM99)),""),""))</x:f>
      </x:c>
      <x:c r="BQ99" s="4"/>
      <x:c r="BR99" s="4"/>
      <x:c r="BS99" s="4"/>
      <x:c r="BT99" s="4" t="n">
        <x:f>IF(AND('Calculations'!BM99=1,ISNUMBER('Calculations'!BO99),ISNUMBER('Calculations'!BP99)),1,0)</x:f>
        <x:v>0</x:v>
      </x:c>
      <x:c r="BU99" s="4" t="str">
        <x:f>IF('Calculations'!BM99=0,"",'Calculations'!$EO99)</x:f>
      </x:c>
      <x:c r="BV99" s="4" t="str">
        <x:f>IF('Calculations'!BM99=0,"",IFERROR(IF(OR(INDEX(INDIRECT("'WCM Calibration Final'!$H$1:$H$2000"),'Calculations'!$EM99)="MANAGING DIRECTOR",INDEX(INDIRECT("'WCM Calibration Final'!$H$1:$H$2000"),'Calculations'!$EM99)="DIRECTOR",INDEX(INDIRECT("'WCM Calibration Final'!$H$1:$H$2000"),'Calculations'!$EM99)="SENIOR VICE PRESIDENT",INDEX(INDIRECT("'WCM Calibration Final'!$H$1:$H$2000"),'Calculations'!$EM99)="VICE PRESIDENT",INDEX(INDIRECT("'WCM Calibration Final'!$H$1:$H$2000"),'Calculations'!$EM99)="ASSISTANT VICE PRESIDENT",INDEX(INDIRECT("'WCM Calibration Final'!$H$1:$H$2000"),'Calculations'!$EM99)="OFFICER"),UPPER(INDEX(INDIRECT("'WCM Calibration Final'!$H$1:$H$2000"),'Calculations'!$EM99)),"Other"),"Other"))</x:f>
      </x:c>
      <x:c r="BW99" s="4"/>
      <x:c r="BX99" s="4"/>
      <x:c r="BY99" s="4" t="n">
        <x:f>IF(AND('Calculations'!BM99=1,'Calculations'!BU99&lt;&gt;"",COUNTIF('Calculations'!$BU$12:BU99,'Calculations'!BU99)=1),MAX('Calculations'!$BY$11:BY98)+1,0)</x:f>
        <x:v>0</x:v>
      </x:c>
      <x:c r="BZ99" s="4" t="str">
        <x:f>IF('Dashboard'!$E$67="What",'Calculations'!BO99,'Calculations'!BP99)</x:f>
      </x:c>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t="str">
        <x:f>IF(88&gt;MAX('Calculations'!$HI$13:$HI$512),"",INDEX('Calculations'!$HN$13:$HN$512,MATCH(88,'Calculations'!$HI$13:$HI$512,0)))</x:f>
      </x:c>
      <x:c r="DB99" s="4" t="str">
        <x:f>IF(88&gt;MAX('Calculations'!$HH$13:$HH$512),"",INDEX('Calculations'!$HJ$13:$HJ$512,MATCH(88,'Calculations'!$HH$13:$HH$512,0)))</x:f>
      </x:c>
      <x:c r="DC99" s="4" t="str">
        <x:f>IF(ROW()-11&gt;MAX('Calculations'!$BY$13:$BY$512),"",INDEX('Calculations'!$BU$13:$BU$512,MATCH(ROW()-11,'Calculations'!$BY$13:$BY$512,0)))</x:f>
      </x:c>
      <x:c r="DD99" s="4" t="str">
        <x:f>IF(88&gt;MAX('Calculations'!$IK$13:$IK$512),"",INDEX('Calculations'!$HK$13:$HK$512,MATCH(88,'Calculations'!$IK$13:$IK$512,0)))</x:f>
      </x:c>
      <x:c r="DE99" s="4" t="str">
        <x:f>'Calculations'!DC99</x:f>
      </x:c>
      <x:c r="DF99" s="4" t="str">
        <x:f>IF('Calculations'!DE99="","",COUNTIFS('Calculations'!$BN$13:$BN$512,1,'Calculations'!$BU$13:$BU$512,'Calculations'!DE99))</x:f>
      </x:c>
      <x:c r="DG99" s="4" t="str">
        <x:f>IF('Calculations'!DE99="","",COUNTIFS('Calculations'!$BN$13:$BN$512,1,'Calculations'!$BU$13:$BU$512,'Calculations'!DE99,'Calculations'!$BT$13:$BT$512,1))</x:f>
      </x:c>
      <x:c r="DH99" s="4" t="str">
        <x:f>IF('Calculations'!DE99="","",'Calculations'!DF99-'Calculations'!DG99)</x:f>
      </x:c>
      <x:c r="DI99" s="4" t="str">
        <x:f>IF(OR('Calculations'!DE99="",'Calculations'!DF99=0),"",'Calculations'!DG99/'Calculations'!DF99)</x:f>
      </x:c>
      <x:c r="DJ99" s="4" t="str">
        <x:f>IF('Calculations'!DE99="","",COUNTIFS('Calculations'!$BN$13:$BN$512,1,'Calculations'!$BU$13:$BU$512,'Calculations'!DE99,'Calculations'!$BT$13:$BT$512,1,'Calculations'!$EE$13:$EE$512,"High"))</x:f>
      </x:c>
      <x:c r="DK99" s="4" t="str">
        <x:f>IF('Calculations'!DE99="","",COUNTIFS('Calculations'!$BN$13:$BN$512,1,'Calculations'!$BU$13:$BU$512,'Calculations'!DE99,'Calculations'!$BT$13:$BT$512,1,'Calculations'!$EE$13:$EE$512,"Strong"))</x:f>
      </x:c>
      <x:c r="DL99" s="4" t="str">
        <x:f>IF('Calculations'!DE99="","",COUNTIFS('Calculations'!$BN$13:$BN$512,1,'Calculations'!$BU$13:$BU$512,'Calculations'!DE99,'Calculations'!$BT$13:$BT$512,1,'Calculations'!$EE$13:$EE$512,"Solid"))</x:f>
      </x:c>
      <x:c r="DM99" s="4" t="str">
        <x:f>IF('Calculations'!DE99="","",COUNTIFS('Calculations'!$BN$13:$BN$512,1,'Calculations'!$BU$13:$BU$512,'Calculations'!DE99,'Calculations'!$BT$13:$BT$512,1,'Calculations'!$EE$13:$EE$512,"Low"))</x:f>
      </x:c>
      <x:c r="DN99" s="4" t="str">
        <x:f>IF('Calculations'!DE99="","",COUNTIFS('Calculations'!$BN$13:$BN$512,1,'Calculations'!$BU$13:$BU$512,'Calculations'!DE99,'Calculations'!$EP$13:$EP$512,1))</x:f>
      </x:c>
      <x:c r="DO99" s="4" t="str">
        <x:f>IF(OR('Calculations'!DE99="",'Calculations'!DG99=0),"",('Calculations'!DJ99+'Calculations'!DK99)/'Calculations'!DG99)</x:f>
      </x:c>
      <x:c r="DP99" s="4" t="n">
        <x:f>IF(AND('Calculations'!DE99&lt;&gt;"",'Calculations'!DF99&gt;0),COUNTIF('Calculations'!$DF$12:DF99,"&gt;0"),0)</x:f>
        <x:v>0</x:v>
      </x:c>
      <x:c r="DQ99" s="4" t="str">
        <x:f>IF(88&gt;MAX('Calculations'!$HH$13:$HH$512),"",INDEX('Calculations'!$HF$13:$HF$512,MATCH(88,'Calculations'!$HH$13:$HH$512,0)))</x:f>
      </x:c>
      <x:c r="DR99" s="4" t="str">
        <x:f>IF(88&gt;MAX('Calculations'!$IK$13:$IK$512),"",INDEX('Calculations'!$HE$13:$HE$512,MATCH(88,'Calculations'!$IK$13:$IK$512,0)))</x:f>
      </x:c>
      <x:c r="DS99" s="4"/>
      <x:c r="DT99" s="4"/>
      <x:c r="DU99" s="4"/>
      <x:c r="DV99" s="4"/>
      <x:c r="DW99" s="4"/>
      <x:c r="DX99" s="4"/>
      <x:c r="DY99" s="4"/>
      <x:c r="DZ99" s="4"/>
      <x:c r="EA99" s="4"/>
      <x:c r="EB99" s="4"/>
      <x:c r="EC99" s="4"/>
      <x:c r="ED99" s="4"/>
      <x:c r="EE99" s="4" t="str">
        <x:f>IF('Calculations'!BT99=0,"Not Rated",IF(OR('Calculations'!BO99&gt;=4,'Calculations'!BP99&gt;=4),"Low",IF('Calculations'!BO99+'Calculations'!BP99&lt;=3,"High",IF('Calculations'!BO99+'Calculations'!BP99&lt;=4,"Strong","Solid"))))</x:f>
        <x:v>Not Rated</x:v>
      </x:c>
      <x:c r="EF99" s="4"/>
      <x:c r="EG99" s="4"/>
      <x:c r="EH99" s="4"/>
      <x:c r="EI99" s="4"/>
      <x:c r="EJ99" s="4"/>
      <x:c r="EK99" s="4"/>
      <x:c r="EL99" s="4"/>
      <x:c r="EM99" s="4" t="str">
        <x:f>IF(87&gt;'Calculations'!$JB$2000,"",INDEX('Calculations'!$JA$12:$JA$2000,MATCH(87,'Calculations'!$JB$12:$JB$2000,0)))</x:f>
      </x:c>
      <x:c r="EN99" s="4" t="n">
        <x:f>IF(OR('Calculations'!EM99="",'Calculations'!$AG$8&gt;0,AND('Calculations'!$EF$2&lt;&gt;"All",'Calculations'!HE99='Calculations'!$EF$2),AND('Calculations'!$EF$3&lt;&gt;"All",'Calculations'!HE99='Calculations'!$EF$3)),0,IF(OR('Dashboard'!$B$7="All",'Calculations'!HN99='Dashboard'!$B$7),IF('Calculations'!$EF$2="All",1,IF('Calculations'!HL99&gt;0,0,IF(COUNTIF('Calculations'!HO99:II99,"="&amp;SUBSTITUTE(SUBSTITUTE(SUBSTITUTE('Calculations'!$EF$2,"~","~~"),"*","~*"),"?","~?"))=0,0,IF('Calculations'!$EF$3="All",1,IF(COUNTIF('Calculations'!HO99:II99,"="&amp;SUBSTITUTE(SUBSTITUTE(SUBSTITUTE('Calculations'!$EF$3,"~","~~"),"*","~*"),"?","~?"))&gt;0,1,0))))),0))</x:f>
        <x:v>0</x:v>
      </x:c>
      <x:c r="EO99" s="4" t="str">
        <x:f>IF('Calculations'!IJ99="","",IF('Calculations'!IJ99="!UNRESOLVED","Unresolved hierarchy",IFERROR(INDEX('Calculations'!$HK$13:$HK$512,MATCH('Calculations'!IJ99,'Calculations'!$HE$13:$HE$512,0)),IFERROR(INDEX('Calculations'!$HJ$13:$HJ$512,MATCH('Calculations'!IJ99,'Calculations'!$HF$13:$HF$512,0)),'Calculations'!IJ99))))</x:f>
      </x:c>
      <x:c r="EP99" s="4" t="n">
        <x:f>IF(AND('Calculations'!EM99&lt;&gt;"",'Calculations'!HF99='Calculations'!IJ99),1,0)</x:f>
        <x:v>0</x:v>
      </x:c>
      <x:c r="EQ99" s="4"/>
      <x:c r="ER99" s="4"/>
      <x:c r="ES99" s="4"/>
      <x:c r="ET99" s="4"/>
      <x:c r="EU99" s="4"/>
      <x:c r="EV99" s="4"/>
      <x:c r="EW99" s="4"/>
      <x:c r="EX99" s="4"/>
      <x:c r="EY99" s="4"/>
      <x:c r="EZ99" s="4"/>
      <x:c r="FA99" s="4"/>
      <x:c r="FB99" s="4"/>
      <x:c r="FC99" s="4"/>
      <x:c r="FD99" s="4"/>
      <x:c r="FE99" s="4"/>
      <x:c r="FF99" s="4"/>
      <x:c r="FG99" s="4"/>
      <x:c r="FH99" s="4"/>
      <x:c r="FI99" s="4"/>
      <x:c r="FJ99" s="4"/>
      <x:c r="FK99" s="4"/>
      <x:c r="FL99" s="4"/>
      <x:c r="FM99" s="4"/>
      <x:c r="FN99" s="4"/>
      <x:c r="FO99" s="4"/>
      <x:c r="GA99" s="71"/>
      <x:c r="GB99" s="71" t="str">
        <x:f>IF('Calculations'!$AR99=0,"",INDEX('Calculations'!$DE$12:$DE$1012,'Calculations'!$AR99))</x:f>
      </x:c>
      <x:c r="GC99" s="71"/>
      <x:c r="GD99" s="71"/>
      <x:c r="GE99" s="71"/>
      <x:c r="GF99" s="71"/>
      <x:c r="GG99" s="71"/>
      <x:c r="GH99" s="71"/>
      <x:c r="GI99" s="71" t="str">
        <x:f>IF('Calculations'!$AR99=0,"",INDEX('Calculations'!$DF$12:$DF$1012,'Calculations'!$AR99))</x:f>
      </x:c>
      <x:c r="GJ99" s="71"/>
      <x:c r="GK99" s="71" t="str">
        <x:f>IF('Calculations'!$AR99=0,"",INDEX('Calculations'!$DG$12:$DG$1012,'Calculations'!$AR99))</x:f>
      </x:c>
      <x:c r="GL99" s="71"/>
      <x:c r="GM99" s="71" t="str">
        <x:f>IF('Calculations'!$AR99=0,"",INDEX('Calculations'!$DH$12:$DH$1012,'Calculations'!$AR99))</x:f>
      </x:c>
      <x:c r="GN99" s="71"/>
      <x:c r="GO99" s="71" t="str">
        <x:f>IF('Calculations'!$AR99=0,"",INDEX('Calculations'!$DI$12:$DI$1012,'Calculations'!$AR99))</x:f>
      </x:c>
      <x:c r="GP99" s="71"/>
      <x:c r="GQ99" s="71" t="str">
        <x:f>IF('Calculations'!$AR99=0,"",INDEX('Calculations'!$DJ$12:$DJ$1012,'Calculations'!$AR99)&amp;" · "&amp;IF(INDEX('Calculations'!$DG$12:$DG$1012,'Calculations'!$AR99)=0,"n.a.",TEXT(INDEX('Calculations'!$DJ$12:$DJ$1012,'Calculations'!$AR99)/INDEX('Calculations'!$DG$12:$DG$1012,'Calculations'!$AR99),"0.0%")))</x:f>
      </x:c>
      <x:c r="GR99" s="71"/>
      <x:c r="GS99" s="71" t="str">
        <x:f>IF('Calculations'!$AR99=0,"",INDEX('Calculations'!$DK$12:$DK$1012,'Calculations'!$AR99)&amp;" · "&amp;IF(INDEX('Calculations'!$DG$12:$DG$1012,'Calculations'!$AR99)=0,"n.a.",TEXT(INDEX('Calculations'!$DK$12:$DK$1012,'Calculations'!$AR99)/INDEX('Calculations'!$DG$12:$DG$1012,'Calculations'!$AR99),"0.0%")))</x:f>
      </x:c>
      <x:c r="GT99" s="71"/>
      <x:c r="GU99" s="71" t="str">
        <x:f>IF('Calculations'!$AR99=0,"",INDEX('Calculations'!$DL$12:$DL$1012,'Calculations'!$AR99)&amp;" · "&amp;IF(INDEX('Calculations'!$DG$12:$DG$1012,'Calculations'!$AR99)=0,"n.a.",TEXT(INDEX('Calculations'!$DL$12:$DL$1012,'Calculations'!$AR99)/INDEX('Calculations'!$DG$12:$DG$1012,'Calculations'!$AR99),"0.0%")))</x:f>
      </x:c>
      <x:c r="GV99" s="71"/>
      <x:c r="GW99" s="71" t="str">
        <x:f>IF('Calculations'!$AR99=0,"",INDEX('Calculations'!$DM$12:$DM$1012,'Calculations'!$AR99)&amp;" · "&amp;IF(INDEX('Calculations'!$DG$12:$DG$1012,'Calculations'!$AR99)=0,"n.a.",TEXT(INDEX('Calculations'!$DM$12:$DM$1012,'Calculations'!$AR99)/INDEX('Calculations'!$DG$12:$DG$1012,'Calculations'!$AR99),"0.0%")))</x:f>
      </x:c>
      <x:c r="GX99" s="71"/>
      <x:c r="GY99" s="71" t="str">
        <x:f>IF('Calculations'!$AR99=0,"",INDEX('Calculations'!$DN$12:$DN$1012,'Calculations'!$AR99))</x:f>
      </x:c>
      <x:c r="GZ99" s="71"/>
      <x:c r="HA99" s="71" t="str">
        <x:f>IF('Calculations'!$AR99=0,"",INDEX('Calculations'!$DO$12:$DO$1012,'Calculations'!$AR99))</x:f>
      </x:c>
      <x:c r="HB99" s="71"/>
      <x:c r="HC99" s="71"/>
      <x:c r="HD99" s="71"/>
      <x:c r="HE99" t="str">
        <x:f>IF('Calculations'!EM99="","",IF(IFERROR(IF(INDEX(INDIRECT("'WCM Calibration Final'!$A$1:$A$2000"),'Calculations'!$EM99)="","",TRIM(INDEX(INDIRECT("'WCM Calibration Final'!$A$1:$A$2000"),'Calculations'!$EM99)&amp;"")),"")&lt;&gt;"","G:"&amp;IFERROR(TEXT(1*INDEX(INDIRECT("'WCM Calibration Final'!$A$1:$A$2000"),'Calculations'!$EM99),"0"),UPPER(IFERROR(IF(INDEX(INDIRECT("'WCM Calibration Final'!$A$1:$A$2000"),'Calculations'!$EM99)="","",TRIM(INDEX(INDIRECT("'WCM Calibration Final'!$A$1:$A$2000"),'Calculations'!$EM99)&amp;"")),""))),IF(IFERROR(IF(INDEX(INDIRECT("'WCM Calibration Final'!$C$1:$C$2000"),'Calculations'!$EM99)="","",TRIM(INDEX(INDIRECT("'WCM Calibration Final'!$C$1:$C$2000"),'Calculations'!$EM99)&amp;"")),"")&lt;&gt;"","S:"&amp;UPPER(IFERROR(IF(INDEX(INDIRECT("'WCM Calibration Final'!$C$1:$C$2000"),'Calculations'!$EM99)="","",TRIM(INDEX(INDIRECT("'WCM Calibration Final'!$C$1:$C$2000"),'Calculations'!$EM99)&amp;"")),"")),"R:"&amp;'Calculations'!EM99)))</x:f>
      </x:c>
      <x:c r="HF99" t="str">
        <x:f>IF('Calculations'!EM99="","",IF(IFERROR(IF(INDEX(INDIRECT("'WCM Calibration Final'!$D$1:$D$2000"),'Calculations'!$EM99)="","",TRIM(INDEX(INDIRECT("'WCM Calibration Final'!$D$1:$D$2000"),'Calculations'!$EM99)&amp;"")),"")&lt;&gt;"","G:"&amp;IFERROR(TEXT(1*INDEX(INDIRECT("'WCM Calibration Final'!$D$1:$D$2000"),'Calculations'!$EM99),"0"),UPPER(IFERROR(IF(INDEX(INDIRECT("'WCM Calibration Final'!$D$1:$D$2000"),'Calculations'!$EM99)="","",TRIM(INDEX(INDIRECT("'WCM Calibration Final'!$D$1:$D$2000"),'Calculations'!$EM99)&amp;"")),""))),IF(IFERROR(IF(INDEX(INDIRECT("'WCM Calibration Final'!$E$1:$E$2000"),'Calculations'!$EM99)="","",TRIM(INDEX(INDIRECT("'WCM Calibration Final'!$E$1:$E$2000"),'Calculations'!$EM99)&amp;"")),"")="","",IF(COUNTIF('Calculations'!$HG$13:$HG$512,"="&amp;SUBSTITUTE(SUBSTITUTE(SUBSTITUTE(IFERROR(IF(INDEX(INDIRECT("'WCM Calibration Final'!$E$1:$E$2000"),'Calculations'!$EM99)="","",TRIM(INDEX(INDIRECT("'WCM Calibration Final'!$E$1:$E$2000"),'Calculations'!$EM99)&amp;"")),""),"~","~~"),"*","~*"),"?","~?"))=1,INDEX('Calculations'!$HE$13:$HE$512,MATCH(IFERROR(IF(INDEX(INDIRECT("'WCM Calibration Final'!$E$1:$E$2000"),'Calculations'!$EM99)="","",TRIM(INDEX(INDIRECT("'WCM Calibration Final'!$E$1:$E$2000"),'Calculations'!$EM99)&amp;"")),""),'Calculations'!$HG$13:$HG$512,0)),IF(COUNTIF('Calculations'!$HG$13:$HG$512,"="&amp;SUBSTITUTE(SUBSTITUTE(SUBSTITUTE(IFERROR(IF(INDEX(INDIRECT("'WCM Calibration Final'!$E$1:$E$2000"),'Calculations'!$EM99)="","",TRIM(INDEX(INDIRECT("'WCM Calibration Final'!$E$1:$E$2000"),'Calculations'!$EM99)&amp;"")),""),"~","~~"),"*","~*"),"?","~?"))&gt;1,"!AMBIG","X:"&amp;IFERROR(IF(INDEX(INDIRECT("'WCM Calibration Final'!$E$1:$E$2000"),'Calculations'!$EM99)="","",TRIM(INDEX(INDIRECT("'WCM Calibration Final'!$E$1:$E$2000"),'Calculations'!$EM99)&amp;"")),""))))))</x:f>
      </x:c>
      <x:c r="HG99" t="str">
        <x:f>IF('Calculations'!EM99="","",IFERROR(IF(INDEX(INDIRECT("'WCM Calibration Final'!$B$1:$B$2000"),'Calculations'!$EM99)="","",TRIM(INDEX(INDIRECT("'WCM Calibration Final'!$B$1:$B$2000"),'Calculations'!$EM99)&amp;"")),""))</x:f>
      </x:c>
      <x:c r="HH99" t="n">
        <x:f>IF(AND('Calculations'!JC99&gt;0,COUNTIF('Calculations'!$HF$12:HF99,"="&amp;SUBSTITUTE(SUBSTITUTE(SUBSTITUTE('Calculations'!HF99,"~","~~"),"*","~*"),"?","~?"))=1),MAX('Calculations'!$HH$12:HH98)+1,0)</x:f>
        <x:v>0</x:v>
      </x:c>
      <x:c r="HI99" t="n">
        <x:f>IF(AND('Calculations'!HN99&lt;&gt;"",COUNTIF('Calculations'!$HN$12:HN99,"="&amp;SUBSTITUTE(SUBSTITUTE(SUBSTITUTE('Calculations'!HN99,"~","~~"),"*","~*"),"?","~?"))=1),MAX('Calculations'!$HI$12:HI98)+1,0)</x:f>
        <x:v>0</x:v>
      </x:c>
      <x:c r="HJ99" t="str">
        <x:f>IF('Calculations'!HF99="","",IF(COUNTIF('Calculations'!$HE$13:$HE$512,"="&amp;SUBSTITUTE(SUBSTITUTE(SUBSTITUTE('Calculations'!HF99,"~","~~"),"*","~*"),"?","~?"))=1,INDEX('Calculations'!$HK$13:$HK$512,MATCH('Calculations'!HF99,'Calculations'!$HE$13:$HE$512,0)),IFERROR(IF(INDEX(INDIRECT("'WCM Calibration Final'!$E$1:$E$2000"),'Calculations'!$EM99)="","",TRIM(INDEX(INDIRECT("'WCM Calibration Final'!$E$1:$E$2000"),'Calculations'!$EM99)&amp;"")),"")&amp;" ["&amp;'Calculations'!HF99&amp;"]"))</x:f>
      </x:c>
      <x:c r="HK99" t="str">
        <x:f>IF('Calculations'!EM99="","",'Calculations'!HG99&amp;" ["&amp;'Calculations'!HE99&amp;"]")</x:f>
      </x:c>
      <x:c r="HL99" t="n">
        <x:f>IF('Calculations'!EM99="",0,IF(OR('Calculations'!II99&lt;&gt;"",COUNTIF('Calculations'!$HE$13:$HE$512,"="&amp;SUBSTITUTE(SUBSTITUTE(SUBSTITUTE('Calculations'!HE99,"~","~~"),"*","~*"),"?","~?"))&gt;1),1,0))</x:f>
        <x:v>0</x:v>
      </x:c>
      <x:c r="HM99" t="str">
        <x:f>IF('Calculations'!EM99="","",IF('Calculations'!HL99=1,"!UNRESOLVED",IF('Calculations'!IH99&lt;&gt;"",'Calculations'!IH99,IF('Calculations'!IG99&lt;&gt;"",'Calculations'!IG99,IF('Calculations'!IF99&lt;&gt;"",'Calculations'!IF99,IF('Calculations'!IE99&lt;&gt;"",'Calculations'!IE99,IF('Calculations'!ID99&lt;&gt;"",'Calculations'!ID99,IF('Calculations'!IC99&lt;&gt;"",'Calculations'!IC99,IF('Calculations'!IB99&lt;&gt;"",'Calculations'!IB99,IF('Calculations'!IA99&lt;&gt;"",'Calculations'!IA99,IF('Calculations'!HZ99&lt;&gt;"",'Calculations'!HZ99,IF('Calculations'!HY99&lt;&gt;"",'Calculations'!HY99,IF('Calculations'!HX99&lt;&gt;"",'Calculations'!HX99,IF('Calculations'!HW99&lt;&gt;"",'Calculations'!HW99,IF('Calculations'!HV99&lt;&gt;"",'Calculations'!HV99,IF('Calculations'!HU99&lt;&gt;"",'Calculations'!HU99,IF('Calculations'!HT99&lt;&gt;"",'Calculations'!HT99,IF('Calculations'!HS99&lt;&gt;"",'Calculations'!HS99,IF('Calculations'!HR99&lt;&gt;"",'Calculations'!HR99,IF('Calculations'!HQ99&lt;&gt;"",'Calculations'!HQ99,IF('Calculations'!HP99&lt;&gt;"",'Calculations'!HP99,IF('Calculations'!HO99&lt;&gt;"",'Calculations'!HO99,'Calculations'!HE99))))))))))))))))))))))</x:f>
      </x:c>
      <x:c r="HN99" t="str">
        <x:f>IF('Calculations'!EM99="","",IF(IFERROR(IF(INDEX(INDIRECT("'WCM Calibration Final'!$F$1:$F$2000"),'Calculations'!$EM99)="","",TRIM(INDEX(INDIRECT("'WCM Calibration Final'!$F$1:$F$2000"),'Calculations'!$EM99)&amp;"")),"")="","(Blank)",IFERROR(IF(INDEX(INDIRECT("'WCM Calibration Final'!$F$1:$F$2000"),'Calculations'!$EM99)="","",TRIM(INDEX(INDIRECT("'WCM Calibration Final'!$F$1:$F$2000"),'Calculations'!$EM99)&amp;"")),"")))</x:f>
      </x:c>
      <x:c r="HO99" t="str">
        <x:f>'Calculations'!HF99</x:f>
      </x:c>
      <x:c r="HP99" t="str">
        <x:f>IF('Calculations'!HO99="","",IF('Calculations'!HO99="!AMBIG","!AMBIG",IF(COUNTIF('Calculations'!$HE$13:$HE$512,"="&amp;SUBSTITUTE(SUBSTITUTE(SUBSTITUTE('Calculations'!HO99,"~","~~"),"*","~*"),"?","~?"))&gt;1,"!AMBIG",IFERROR(INDEX('Calculations'!$HF$13:$HF$512,MATCH('Calculations'!HO99,'Calculations'!$HE$13:$HE$512,0)),""))))</x:f>
      </x:c>
      <x:c r="HQ99" t="str">
        <x:f>IF('Calculations'!HP99="","",IF('Calculations'!HP99="!AMBIG","!AMBIG",IF(COUNTIF('Calculations'!$HE$13:$HE$512,"="&amp;SUBSTITUTE(SUBSTITUTE(SUBSTITUTE('Calculations'!HP99,"~","~~"),"*","~*"),"?","~?"))&gt;1,"!AMBIG",IFERROR(INDEX('Calculations'!$HF$13:$HF$512,MATCH('Calculations'!HP99,'Calculations'!$HE$13:$HE$512,0)),""))))</x:f>
      </x:c>
      <x:c r="HR99" t="str">
        <x:f>IF('Calculations'!HQ99="","",IF('Calculations'!HQ99="!AMBIG","!AMBIG",IF(COUNTIF('Calculations'!$HE$13:$HE$512,"="&amp;SUBSTITUTE(SUBSTITUTE(SUBSTITUTE('Calculations'!HQ99,"~","~~"),"*","~*"),"?","~?"))&gt;1,"!AMBIG",IFERROR(INDEX('Calculations'!$HF$13:$HF$512,MATCH('Calculations'!HQ99,'Calculations'!$HE$13:$HE$512,0)),""))))</x:f>
      </x:c>
      <x:c r="HS99" t="str">
        <x:f>IF('Calculations'!HR99="","",IF('Calculations'!HR99="!AMBIG","!AMBIG",IF(COUNTIF('Calculations'!$HE$13:$HE$512,"="&amp;SUBSTITUTE(SUBSTITUTE(SUBSTITUTE('Calculations'!HR99,"~","~~"),"*","~*"),"?","~?"))&gt;1,"!AMBIG",IFERROR(INDEX('Calculations'!$HF$13:$HF$512,MATCH('Calculations'!HR99,'Calculations'!$HE$13:$HE$512,0)),""))))</x:f>
      </x:c>
      <x:c r="HT99" t="str">
        <x:f>IF('Calculations'!HS99="","",IF('Calculations'!HS99="!AMBIG","!AMBIG",IF(COUNTIF('Calculations'!$HE$13:$HE$512,"="&amp;SUBSTITUTE(SUBSTITUTE(SUBSTITUTE('Calculations'!HS99,"~","~~"),"*","~*"),"?","~?"))&gt;1,"!AMBIG",IFERROR(INDEX('Calculations'!$HF$13:$HF$512,MATCH('Calculations'!HS99,'Calculations'!$HE$13:$HE$512,0)),""))))</x:f>
      </x:c>
      <x:c r="HU99" t="str">
        <x:f>IF('Calculations'!HT99="","",IF('Calculations'!HT99="!AMBIG","!AMBIG",IF(COUNTIF('Calculations'!$HE$13:$HE$512,"="&amp;SUBSTITUTE(SUBSTITUTE(SUBSTITUTE('Calculations'!HT99,"~","~~"),"*","~*"),"?","~?"))&gt;1,"!AMBIG",IFERROR(INDEX('Calculations'!$HF$13:$HF$512,MATCH('Calculations'!HT99,'Calculations'!$HE$13:$HE$512,0)),""))))</x:f>
      </x:c>
      <x:c r="HV99" t="str">
        <x:f>IF('Calculations'!HU99="","",IF('Calculations'!HU99="!AMBIG","!AMBIG",IF(COUNTIF('Calculations'!$HE$13:$HE$512,"="&amp;SUBSTITUTE(SUBSTITUTE(SUBSTITUTE('Calculations'!HU99,"~","~~"),"*","~*"),"?","~?"))&gt;1,"!AMBIG",IFERROR(INDEX('Calculations'!$HF$13:$HF$512,MATCH('Calculations'!HU99,'Calculations'!$HE$13:$HE$512,0)),""))))</x:f>
      </x:c>
      <x:c r="HW99" t="str">
        <x:f>IF('Calculations'!HV99="","",IF('Calculations'!HV99="!AMBIG","!AMBIG",IF(COUNTIF('Calculations'!$HE$13:$HE$512,"="&amp;SUBSTITUTE(SUBSTITUTE(SUBSTITUTE('Calculations'!HV99,"~","~~"),"*","~*"),"?","~?"))&gt;1,"!AMBIG",IFERROR(INDEX('Calculations'!$HF$13:$HF$512,MATCH('Calculations'!HV99,'Calculations'!$HE$13:$HE$512,0)),""))))</x:f>
      </x:c>
      <x:c r="HX99" t="str">
        <x:f>IF('Calculations'!HW99="","",IF('Calculations'!HW99="!AMBIG","!AMBIG",IF(COUNTIF('Calculations'!$HE$13:$HE$512,"="&amp;SUBSTITUTE(SUBSTITUTE(SUBSTITUTE('Calculations'!HW99,"~","~~"),"*","~*"),"?","~?"))&gt;1,"!AMBIG",IFERROR(INDEX('Calculations'!$HF$13:$HF$512,MATCH('Calculations'!HW99,'Calculations'!$HE$13:$HE$512,0)),""))))</x:f>
      </x:c>
      <x:c r="HY99" t="str">
        <x:f>IF('Calculations'!HX99="","",IF('Calculations'!HX99="!AMBIG","!AMBIG",IF(COUNTIF('Calculations'!$HE$13:$HE$512,"="&amp;SUBSTITUTE(SUBSTITUTE(SUBSTITUTE('Calculations'!HX99,"~","~~"),"*","~*"),"?","~?"))&gt;1,"!AMBIG",IFERROR(INDEX('Calculations'!$HF$13:$HF$512,MATCH('Calculations'!HX99,'Calculations'!$HE$13:$HE$512,0)),""))))</x:f>
      </x:c>
      <x:c r="HZ99" t="str">
        <x:f>IF('Calculations'!HY99="","",IF('Calculations'!HY99="!AMBIG","!AMBIG",IF(COUNTIF('Calculations'!$HE$13:$HE$512,"="&amp;SUBSTITUTE(SUBSTITUTE(SUBSTITUTE('Calculations'!HY99,"~","~~"),"*","~*"),"?","~?"))&gt;1,"!AMBIG",IFERROR(INDEX('Calculations'!$HF$13:$HF$512,MATCH('Calculations'!HY99,'Calculations'!$HE$13:$HE$512,0)),""))))</x:f>
      </x:c>
      <x:c r="IA99" t="str">
        <x:f>IF('Calculations'!HZ99="","",IF('Calculations'!HZ99="!AMBIG","!AMBIG",IF(COUNTIF('Calculations'!$HE$13:$HE$512,"="&amp;SUBSTITUTE(SUBSTITUTE(SUBSTITUTE('Calculations'!HZ99,"~","~~"),"*","~*"),"?","~?"))&gt;1,"!AMBIG",IFERROR(INDEX('Calculations'!$HF$13:$HF$512,MATCH('Calculations'!HZ99,'Calculations'!$HE$13:$HE$512,0)),""))))</x:f>
      </x:c>
      <x:c r="IB99" t="str">
        <x:f>IF('Calculations'!IA99="","",IF('Calculations'!IA99="!AMBIG","!AMBIG",IF(COUNTIF('Calculations'!$HE$13:$HE$512,"="&amp;SUBSTITUTE(SUBSTITUTE(SUBSTITUTE('Calculations'!IA99,"~","~~"),"*","~*"),"?","~?"))&gt;1,"!AMBIG",IFERROR(INDEX('Calculations'!$HF$13:$HF$512,MATCH('Calculations'!IA99,'Calculations'!$HE$13:$HE$512,0)),""))))</x:f>
      </x:c>
      <x:c r="IC99" t="str">
        <x:f>IF('Calculations'!IB99="","",IF('Calculations'!IB99="!AMBIG","!AMBIG",IF(COUNTIF('Calculations'!$HE$13:$HE$512,"="&amp;SUBSTITUTE(SUBSTITUTE(SUBSTITUTE('Calculations'!IB99,"~","~~"),"*","~*"),"?","~?"))&gt;1,"!AMBIG",IFERROR(INDEX('Calculations'!$HF$13:$HF$512,MATCH('Calculations'!IB99,'Calculations'!$HE$13:$HE$512,0)),""))))</x:f>
      </x:c>
      <x:c r="ID99" t="str">
        <x:f>IF('Calculations'!IC99="","",IF('Calculations'!IC99="!AMBIG","!AMBIG",IF(COUNTIF('Calculations'!$HE$13:$HE$512,"="&amp;SUBSTITUTE(SUBSTITUTE(SUBSTITUTE('Calculations'!IC99,"~","~~"),"*","~*"),"?","~?"))&gt;1,"!AMBIG",IFERROR(INDEX('Calculations'!$HF$13:$HF$512,MATCH('Calculations'!IC99,'Calculations'!$HE$13:$HE$512,0)),""))))</x:f>
      </x:c>
      <x:c r="IE99" t="str">
        <x:f>IF('Calculations'!ID99="","",IF('Calculations'!ID99="!AMBIG","!AMBIG",IF(COUNTIF('Calculations'!$HE$13:$HE$512,"="&amp;SUBSTITUTE(SUBSTITUTE(SUBSTITUTE('Calculations'!ID99,"~","~~"),"*","~*"),"?","~?"))&gt;1,"!AMBIG",IFERROR(INDEX('Calculations'!$HF$13:$HF$512,MATCH('Calculations'!ID99,'Calculations'!$HE$13:$HE$512,0)),""))))</x:f>
      </x:c>
      <x:c r="IF99" t="str">
        <x:f>IF('Calculations'!IE99="","",IF('Calculations'!IE99="!AMBIG","!AMBIG",IF(COUNTIF('Calculations'!$HE$13:$HE$512,"="&amp;SUBSTITUTE(SUBSTITUTE(SUBSTITUTE('Calculations'!IE99,"~","~~"),"*","~*"),"?","~?"))&gt;1,"!AMBIG",IFERROR(INDEX('Calculations'!$HF$13:$HF$512,MATCH('Calculations'!IE99,'Calculations'!$HE$13:$HE$512,0)),""))))</x:f>
      </x:c>
      <x:c r="IG99" t="str">
        <x:f>IF('Calculations'!IF99="","",IF('Calculations'!IF99="!AMBIG","!AMBIG",IF(COUNTIF('Calculations'!$HE$13:$HE$512,"="&amp;SUBSTITUTE(SUBSTITUTE(SUBSTITUTE('Calculations'!IF99,"~","~~"),"*","~*"),"?","~?"))&gt;1,"!AMBIG",IFERROR(INDEX('Calculations'!$HF$13:$HF$512,MATCH('Calculations'!IF99,'Calculations'!$HE$13:$HE$512,0)),""))))</x:f>
      </x:c>
      <x:c r="IH99" t="str">
        <x:f>IF('Calculations'!IG99="","",IF('Calculations'!IG99="!AMBIG","!AMBIG",IF(COUNTIF('Calculations'!$HE$13:$HE$512,"="&amp;SUBSTITUTE(SUBSTITUTE(SUBSTITUTE('Calculations'!IG99,"~","~~"),"*","~*"),"?","~?"))&gt;1,"!AMBIG",IFERROR(INDEX('Calculations'!$HF$13:$HF$512,MATCH('Calculations'!IG99,'Calculations'!$HE$13:$HE$512,0)),""))))</x:f>
      </x:c>
      <x:c r="II99" t="str">
        <x:f>IF('Calculations'!IH99="","",IF('Calculations'!IH99="!AMBIG","!AMBIG",IF(COUNTIF('Calculations'!$HE$13:$HE$512,"="&amp;SUBSTITUTE(SUBSTITUTE(SUBSTITUTE('Calculations'!IH99,"~","~~"),"*","~*"),"?","~?"))&gt;1,"!AMBIG",IFERROR(INDEX('Calculations'!$HF$13:$HF$512,MATCH('Calculations'!IH99,'Calculations'!$HE$13:$HE$512,0)),""))))</x:f>
      </x:c>
      <x:c r="IJ99" t="str">
        <x:f>IF('Calculations'!EM99="","",IF('Calculations'!$EF$2="All",'Calculations'!HM99,IF('Calculations'!HL99=1,"",IFERROR(IF(MATCH('Calculations'!$EF$2,'Calculations'!HO99:II99,0)=1,'Calculations'!HE99,INDEX('Calculations'!HO99:II99,1,MATCH('Calculations'!$EF$2,'Calculations'!HO99:II99,0)-1)),""))))</x:f>
      </x:c>
      <x:c r="IK99" t="n">
        <x:f>IF(AND('Calculations'!EM99&lt;&gt;"",'Calculations'!$EF$2&lt;&gt;"All",'Calculations'!HF99='Calculations'!$EF$2,'Calculations'!HL99=0,'Calculations'!JD99&gt;0),MAX('Calculations'!$IK$12:IK98)+1,0)</x:f>
        <x:v>0</x:v>
      </x:c>
      <x:c r="JA99" t="n">
        <x:f>IF(OR(IFERROR(INDIRECT("'WCM Calibration Final'!$A$99")&lt;&gt;"",FALSE),IFERROR(INDIRECT("'WCM Calibration Final'!$B$99")&lt;&gt;"",FALSE),IFERROR(INDIRECT("'WCM Calibration Final'!$C$99")&lt;&gt;"",FALSE)),99,0)</x:f>
        <x:v>0</x:v>
      </x:c>
      <x:c r="JB99" t="n">
        <x:f>'Calculations'!JB98+IF('Calculations'!JA99&gt;0,1,0)</x:f>
        <x:v>0</x:v>
      </x:c>
      <x:c r="JC99" t="n">
        <x:f>IF(OR('Calculations'!HF99="",'Calculations'!HF99="!AMBIG"),0,IF('Dashboard'!$B$7="All",1,COUNTIFS('Calculations'!$HO$13:$HO$512,"="&amp;SUBSTITUTE(SUBSTITUTE(SUBSTITUTE('Calculations'!HF99,"~","~~"),"*","~*"),"?","~?"),'Calculations'!$HN$13:$HN$512,"="&amp;SUBSTITUTE(SUBSTITUTE(SUBSTITUTE('Dashboard'!$B$7,"~","~~"),"*","~*"),"?","~?"))+COUNTIFS('Calculations'!$HP$13:$HP$512,"="&amp;SUBSTITUTE(SUBSTITUTE(SUBSTITUTE('Calculations'!HF99,"~","~~"),"*","~*"),"?","~?"),'Calculations'!$HN$13:$HN$512,"="&amp;SUBSTITUTE(SUBSTITUTE(SUBSTITUTE('Dashboard'!$B$7,"~","~~"),"*","~*"),"?","~?"))+COUNTIFS('Calculations'!$HQ$13:$HQ$512,"="&amp;SUBSTITUTE(SUBSTITUTE(SUBSTITUTE('Calculations'!HF99,"~","~~"),"*","~*"),"?","~?"),'Calculations'!$HN$13:$HN$512,"="&amp;SUBSTITUTE(SUBSTITUTE(SUBSTITUTE('Dashboard'!$B$7,"~","~~"),"*","~*"),"?","~?"))+COUNTIFS('Calculations'!$HR$13:$HR$512,"="&amp;SUBSTITUTE(SUBSTITUTE(SUBSTITUTE('Calculations'!HF99,"~","~~"),"*","~*"),"?","~?"),'Calculations'!$HN$13:$HN$512,"="&amp;SUBSTITUTE(SUBSTITUTE(SUBSTITUTE('Dashboard'!$B$7,"~","~~"),"*","~*"),"?","~?"))+COUNTIFS('Calculations'!$HS$13:$HS$512,"="&amp;SUBSTITUTE(SUBSTITUTE(SUBSTITUTE('Calculations'!HF99,"~","~~"),"*","~*"),"?","~?"),'Calculations'!$HN$13:$HN$512,"="&amp;SUBSTITUTE(SUBSTITUTE(SUBSTITUTE('Dashboard'!$B$7,"~","~~"),"*","~*"),"?","~?"))+COUNTIFS('Calculations'!$HT$13:$HT$512,"="&amp;SUBSTITUTE(SUBSTITUTE(SUBSTITUTE('Calculations'!HF99,"~","~~"),"*","~*"),"?","~?"),'Calculations'!$HN$13:$HN$512,"="&amp;SUBSTITUTE(SUBSTITUTE(SUBSTITUTE('Dashboard'!$B$7,"~","~~"),"*","~*"),"?","~?"))+COUNTIFS('Calculations'!$HU$13:$HU$512,"="&amp;SUBSTITUTE(SUBSTITUTE(SUBSTITUTE('Calculations'!HF99,"~","~~"),"*","~*"),"?","~?"),'Calculations'!$HN$13:$HN$512,"="&amp;SUBSTITUTE(SUBSTITUTE(SUBSTITUTE('Dashboard'!$B$7,"~","~~"),"*","~*"),"?","~?"))+COUNTIFS('Calculations'!$HV$13:$HV$512,"="&amp;SUBSTITUTE(SUBSTITUTE(SUBSTITUTE('Calculations'!HF99,"~","~~"),"*","~*"),"?","~?"),'Calculations'!$HN$13:$HN$512,"="&amp;SUBSTITUTE(SUBSTITUTE(SUBSTITUTE('Dashboard'!$B$7,"~","~~"),"*","~*"),"?","~?"))+COUNTIFS('Calculations'!$HW$13:$HW$512,"="&amp;SUBSTITUTE(SUBSTITUTE(SUBSTITUTE('Calculations'!HF99,"~","~~"),"*","~*"),"?","~?"),'Calculations'!$HN$13:$HN$512,"="&amp;SUBSTITUTE(SUBSTITUTE(SUBSTITUTE('Dashboard'!$B$7,"~","~~"),"*","~*"),"?","~?"))+COUNTIFS('Calculations'!$HX$13:$HX$512,"="&amp;SUBSTITUTE(SUBSTITUTE(SUBSTITUTE('Calculations'!HF99,"~","~~"),"*","~*"),"?","~?"),'Calculations'!$HN$13:$HN$512,"="&amp;SUBSTITUTE(SUBSTITUTE(SUBSTITUTE('Dashboard'!$B$7,"~","~~"),"*","~*"),"?","~?"))+COUNTIFS('Calculations'!$HY$13:$HY$512,"="&amp;SUBSTITUTE(SUBSTITUTE(SUBSTITUTE('Calculations'!HF99,"~","~~"),"*","~*"),"?","~?"),'Calculations'!$HN$13:$HN$512,"="&amp;SUBSTITUTE(SUBSTITUTE(SUBSTITUTE('Dashboard'!$B$7,"~","~~"),"*","~*"),"?","~?"))+COUNTIFS('Calculations'!$HZ$13:$HZ$512,"="&amp;SUBSTITUTE(SUBSTITUTE(SUBSTITUTE('Calculations'!HF99,"~","~~"),"*","~*"),"?","~?"),'Calculations'!$HN$13:$HN$512,"="&amp;SUBSTITUTE(SUBSTITUTE(SUBSTITUTE('Dashboard'!$B$7,"~","~~"),"*","~*"),"?","~?"))+COUNTIFS('Calculations'!$IA$13:$IA$512,"="&amp;SUBSTITUTE(SUBSTITUTE(SUBSTITUTE('Calculations'!HF99,"~","~~"),"*","~*"),"?","~?"),'Calculations'!$HN$13:$HN$512,"="&amp;SUBSTITUTE(SUBSTITUTE(SUBSTITUTE('Dashboard'!$B$7,"~","~~"),"*","~*"),"?","~?"))+COUNTIFS('Calculations'!$IB$13:$IB$512,"="&amp;SUBSTITUTE(SUBSTITUTE(SUBSTITUTE('Calculations'!HF99,"~","~~"),"*","~*"),"?","~?"),'Calculations'!$HN$13:$HN$512,"="&amp;SUBSTITUTE(SUBSTITUTE(SUBSTITUTE('Dashboard'!$B$7,"~","~~"),"*","~*"),"?","~?"))+COUNTIFS('Calculations'!$IC$13:$IC$512,"="&amp;SUBSTITUTE(SUBSTITUTE(SUBSTITUTE('Calculations'!HF99,"~","~~"),"*","~*"),"?","~?"),'Calculations'!$HN$13:$HN$512,"="&amp;SUBSTITUTE(SUBSTITUTE(SUBSTITUTE('Dashboard'!$B$7,"~","~~"),"*","~*"),"?","~?"))+COUNTIFS('Calculations'!$ID$13:$ID$512,"="&amp;SUBSTITUTE(SUBSTITUTE(SUBSTITUTE('Calculations'!HF99,"~","~~"),"*","~*"),"?","~?"),'Calculations'!$HN$13:$HN$512,"="&amp;SUBSTITUTE(SUBSTITUTE(SUBSTITUTE('Dashboard'!$B$7,"~","~~"),"*","~*"),"?","~?"))+COUNTIFS('Calculations'!$IE$13:$IE$512,"="&amp;SUBSTITUTE(SUBSTITUTE(SUBSTITUTE('Calculations'!HF99,"~","~~"),"*","~*"),"?","~?"),'Calculations'!$HN$13:$HN$512,"="&amp;SUBSTITUTE(SUBSTITUTE(SUBSTITUTE('Dashboard'!$B$7,"~","~~"),"*","~*"),"?","~?"))+COUNTIFS('Calculations'!$IF$13:$IF$512,"="&amp;SUBSTITUTE(SUBSTITUTE(SUBSTITUTE('Calculations'!HF99,"~","~~"),"*","~*"),"?","~?"),'Calculations'!$HN$13:$HN$512,"="&amp;SUBSTITUTE(SUBSTITUTE(SUBSTITUTE('Dashboard'!$B$7,"~","~~"),"*","~*"),"?","~?"))+COUNTIFS('Calculations'!$IG$13:$IG$512,"="&amp;SUBSTITUTE(SUBSTITUTE(SUBSTITUTE('Calculations'!HF99,"~","~~"),"*","~*"),"?","~?"),'Calculations'!$HN$13:$HN$512,"="&amp;SUBSTITUTE(SUBSTITUTE(SUBSTITUTE('Dashboard'!$B$7,"~","~~"),"*","~*"),"?","~?"))+COUNTIFS('Calculations'!$IH$13:$IH$512,"="&amp;SUBSTITUTE(SUBSTITUTE(SUBSTITUTE('Calculations'!HF99,"~","~~"),"*","~*"),"?","~?"),'Calculations'!$HN$13:$HN$512,"="&amp;SUBSTITUTE(SUBSTITUTE(SUBSTITUTE('Dashboard'!$B$7,"~","~~"),"*","~*"),"?","~?"))))</x:f>
        <x:v>0</x:v>
      </x:c>
      <x:c r="JD99" t="n">
        <x:f>IF('Calculations'!EM99="",0,IF('Dashboard'!$B$7="All",1,IF('Calculations'!HN99='Dashboard'!$B$7,1,0)+IFERROR(INDEX('Calculations'!$JC$13:$JC$512,MATCH('Calculations'!HE99,'Calculations'!$HF$13:$HF$512,0)),0)))</x:f>
        <x:v>0</x:v>
      </x:c>
      <x:c r="JE99" t="n">
        <x:f>IF(AND('Calculations'!EM99&lt;&gt;"",'Calculations'!$JJ$2&lt;&gt;"All",'Calculations'!$JJ$2&lt;&gt;"",'Calculations'!HF99='Calculations'!$JJ$2,'Calculations'!HL99=0,'Calculations'!JD99&gt;0),MAX('Calculations'!$JE$12:JE98)+1,0)</x:f>
        <x:v>0</x:v>
      </x:c>
      <x:c r="JF99" t="str">
        <x:f>IF('Calculations'!EM99="","",IFERROR(IF(INDEX(INDIRECT("'WCM Calibration Final'!$G$1:$G$2000"),'Calculations'!$EM99)="","",TRIM(INDEX(INDIRECT("'WCM Calibration Final'!$G$1:$G$2000"),'Calculations'!$EM99)&amp;"")),""))</x:f>
      </x:c>
      <x:c r="JQ99" t="n">
        <x:f>IF(OR('Calculations'!BM99=0,NOT('Calculations'!$AG$2),'Calculations'!$AG$8&gt;0),0,IF(OR('Dashboard'!$B$7="All",'Calculations'!HN99='Dashboard'!$B$7),IF('Calculations'!$JJ$2="All",1,IF(AND('Calculations'!HF99='Calculations'!$JJ$2,'Calculations'!HL99=0),1,0)),0))</x:f>
        <x:v>0</x:v>
      </x:c>
    </x:row>
    <x:row r="100">
      <x:c r="AF100" s="4"/>
      <x:c r="AG100" s="4"/>
      <x:c r="AH100" s="4"/>
      <x:c r="AI100" s="4"/>
      <x:c r="AJ100" s="4"/>
      <x:c r="AK100" s="4"/>
      <x:c r="AL100" s="4"/>
      <x:c r="AM100" s="4"/>
      <x:c r="AN100" s="4"/>
      <x:c r="AO100" s="4"/>
      <x:c r="AP100" s="4"/>
      <x:c r="AQ100" s="4"/>
      <x:c r="AR100" s="4" t="n">
        <x:f>IFERROR(MATCH((MIN('Dashboard'!$Z$93,MAX(1,ROUNDUP(MAX('Calculations'!$DP$12:$DP$1012)/20,0)))-1)*20+3,'Calculations'!$DP$12:$DP$1012,0),0)</x:f>
        <x:v>0</x:v>
      </x:c>
      <x:c r="AS100" s="4"/>
      <x:c r="AT100" s="4"/>
      <x:c r="AU100" s="4"/>
      <x:c r="AV100" s="4"/>
      <x:c r="AW100" s="4"/>
      <x:c r="AX100" s="4"/>
      <x:c r="AY100" s="4"/>
      <x:c r="AZ100" s="4"/>
      <x:c r="BA100" s="4"/>
      <x:c r="BB100" s="4"/>
      <x:c r="BC100" s="4"/>
      <x:c r="BD100" s="4"/>
      <x:c r="BE100" s="4"/>
      <x:c r="BF100" s="4"/>
      <x:c r="BG100" s="4"/>
      <x:c r="BH100" s="4"/>
      <x:c r="BI100" s="4"/>
      <x:c r="BJ100" s="4"/>
      <x:c r="BK100" s="4"/>
      <x:c r="BL100" s="4"/>
      <x:c r="BM100" s="4" t="n">
        <x:f>IF('Calculations'!$EM100="",0,IF(OR(IFERROR(INDEX(INDIRECT("'WCM Calibration Final'!$A$1:$A$2000"),'Calculations'!$EM100)&lt;&gt;"",FALSE),IFERROR(INDEX(INDIRECT("'WCM Calibration Final'!$B$1:$B$2000"),'Calculations'!$EM100)&lt;&gt;"",FALSE),IFERROR(INDEX(INDIRECT("'WCM Calibration Final'!$C$1:$C$2000"),'Calculations'!$EM100)&lt;&gt;"",FALSE)),1,0))</x:f>
        <x:v>0</x:v>
      </x:c>
      <x:c r="BN100" s="4" t="n">
        <x:f>IF(AND('Calculations'!BM100=1,'Calculations'!$AG$2,'Calculations'!$EN100=1),1,0)</x:f>
        <x:v>0</x:v>
      </x:c>
      <x:c r="BO100" s="4" t="str">
        <x:f>IF('Calculations'!BM100=0,"",IFERROR(IF(AND(VALUE(INDEX(INDIRECT("'WCM Calibration Final'!$K$1:$K$2000"),'Calculations'!$EM100))&gt;=1,VALUE(INDEX(INDIRECT("'WCM Calibration Final'!$K$1:$K$2000"),'Calculations'!$EM100))&lt;=4,MOD(VALUE(INDEX(INDIRECT("'WCM Calibration Final'!$K$1:$K$2000"),'Calculations'!$EM100)),1)=0),VALUE(INDEX(INDIRECT("'WCM Calibration Final'!$K$1:$K$2000"),'Calculations'!$EM100)),""),""))</x:f>
      </x:c>
      <x:c r="BP100" s="4" t="str">
        <x:f>IF('Calculations'!BM100=0,"",IFERROR(IF(AND(VALUE(INDEX(INDIRECT("'WCM Calibration Final'!$L$1:$L$2000"),'Calculations'!$EM100))&gt;=1,VALUE(INDEX(INDIRECT("'WCM Calibration Final'!$L$1:$L$2000"),'Calculations'!$EM100))&lt;=4,MOD(VALUE(INDEX(INDIRECT("'WCM Calibration Final'!$L$1:$L$2000"),'Calculations'!$EM100)),1)=0),VALUE(INDEX(INDIRECT("'WCM Calibration Final'!$L$1:$L$2000"),'Calculations'!$EM100)),""),""))</x:f>
      </x:c>
      <x:c r="BQ100" s="4"/>
      <x:c r="BR100" s="4"/>
      <x:c r="BS100" s="4"/>
      <x:c r="BT100" s="4" t="n">
        <x:f>IF(AND('Calculations'!BM100=1,ISNUMBER('Calculations'!BO100),ISNUMBER('Calculations'!BP100)),1,0)</x:f>
        <x:v>0</x:v>
      </x:c>
      <x:c r="BU100" s="4" t="str">
        <x:f>IF('Calculations'!BM100=0,"",'Calculations'!$EO100)</x:f>
      </x:c>
      <x:c r="BV100" s="4" t="str">
        <x:f>IF('Calculations'!BM100=0,"",IFERROR(IF(OR(INDEX(INDIRECT("'WCM Calibration Final'!$H$1:$H$2000"),'Calculations'!$EM100)="MANAGING DIRECTOR",INDEX(INDIRECT("'WCM Calibration Final'!$H$1:$H$2000"),'Calculations'!$EM100)="DIRECTOR",INDEX(INDIRECT("'WCM Calibration Final'!$H$1:$H$2000"),'Calculations'!$EM100)="SENIOR VICE PRESIDENT",INDEX(INDIRECT("'WCM Calibration Final'!$H$1:$H$2000"),'Calculations'!$EM100)="VICE PRESIDENT",INDEX(INDIRECT("'WCM Calibration Final'!$H$1:$H$2000"),'Calculations'!$EM100)="ASSISTANT VICE PRESIDENT",INDEX(INDIRECT("'WCM Calibration Final'!$H$1:$H$2000"),'Calculations'!$EM100)="OFFICER"),UPPER(INDEX(INDIRECT("'WCM Calibration Final'!$H$1:$H$2000"),'Calculations'!$EM100)),"Other"),"Other"))</x:f>
      </x:c>
      <x:c r="BW100" s="4"/>
      <x:c r="BX100" s="4"/>
      <x:c r="BY100" s="4" t="n">
        <x:f>IF(AND('Calculations'!BM100=1,'Calculations'!BU100&lt;&gt;"",COUNTIF('Calculations'!$BU$12:BU100,'Calculations'!BU100)=1),MAX('Calculations'!$BY$11:BY99)+1,0)</x:f>
        <x:v>0</x:v>
      </x:c>
      <x:c r="BZ100" s="4" t="str">
        <x:f>IF('Dashboard'!$E$67="What",'Calculations'!BO100,'Calculations'!BP100)</x:f>
      </x:c>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t="str">
        <x:f>IF(89&gt;MAX('Calculations'!$HI$13:$HI$512),"",INDEX('Calculations'!$HN$13:$HN$512,MATCH(89,'Calculations'!$HI$13:$HI$512,0)))</x:f>
      </x:c>
      <x:c r="DB100" s="4" t="str">
        <x:f>IF(89&gt;MAX('Calculations'!$HH$13:$HH$512),"",INDEX('Calculations'!$HJ$13:$HJ$512,MATCH(89,'Calculations'!$HH$13:$HH$512,0)))</x:f>
      </x:c>
      <x:c r="DC100" s="4" t="str">
        <x:f>IF(ROW()-11&gt;MAX('Calculations'!$BY$13:$BY$512),"",INDEX('Calculations'!$BU$13:$BU$512,MATCH(ROW()-11,'Calculations'!$BY$13:$BY$512,0)))</x:f>
      </x:c>
      <x:c r="DD100" s="4" t="str">
        <x:f>IF(89&gt;MAX('Calculations'!$IK$13:$IK$512),"",INDEX('Calculations'!$HK$13:$HK$512,MATCH(89,'Calculations'!$IK$13:$IK$512,0)))</x:f>
      </x:c>
      <x:c r="DE100" s="4" t="str">
        <x:f>'Calculations'!DC100</x:f>
      </x:c>
      <x:c r="DF100" s="4" t="str">
        <x:f>IF('Calculations'!DE100="","",COUNTIFS('Calculations'!$BN$13:$BN$512,1,'Calculations'!$BU$13:$BU$512,'Calculations'!DE100))</x:f>
      </x:c>
      <x:c r="DG100" s="4" t="str">
        <x:f>IF('Calculations'!DE100="","",COUNTIFS('Calculations'!$BN$13:$BN$512,1,'Calculations'!$BU$13:$BU$512,'Calculations'!DE100,'Calculations'!$BT$13:$BT$512,1))</x:f>
      </x:c>
      <x:c r="DH100" s="4" t="str">
        <x:f>IF('Calculations'!DE100="","",'Calculations'!DF100-'Calculations'!DG100)</x:f>
      </x:c>
      <x:c r="DI100" s="4" t="str">
        <x:f>IF(OR('Calculations'!DE100="",'Calculations'!DF100=0),"",'Calculations'!DG100/'Calculations'!DF100)</x:f>
      </x:c>
      <x:c r="DJ100" s="4" t="str">
        <x:f>IF('Calculations'!DE100="","",COUNTIFS('Calculations'!$BN$13:$BN$512,1,'Calculations'!$BU$13:$BU$512,'Calculations'!DE100,'Calculations'!$BT$13:$BT$512,1,'Calculations'!$EE$13:$EE$512,"High"))</x:f>
      </x:c>
      <x:c r="DK100" s="4" t="str">
        <x:f>IF('Calculations'!DE100="","",COUNTIFS('Calculations'!$BN$13:$BN$512,1,'Calculations'!$BU$13:$BU$512,'Calculations'!DE100,'Calculations'!$BT$13:$BT$512,1,'Calculations'!$EE$13:$EE$512,"Strong"))</x:f>
      </x:c>
      <x:c r="DL100" s="4" t="str">
        <x:f>IF('Calculations'!DE100="","",COUNTIFS('Calculations'!$BN$13:$BN$512,1,'Calculations'!$BU$13:$BU$512,'Calculations'!DE100,'Calculations'!$BT$13:$BT$512,1,'Calculations'!$EE$13:$EE$512,"Solid"))</x:f>
      </x:c>
      <x:c r="DM100" s="4" t="str">
        <x:f>IF('Calculations'!DE100="","",COUNTIFS('Calculations'!$BN$13:$BN$512,1,'Calculations'!$BU$13:$BU$512,'Calculations'!DE100,'Calculations'!$BT$13:$BT$512,1,'Calculations'!$EE$13:$EE$512,"Low"))</x:f>
      </x:c>
      <x:c r="DN100" s="4" t="str">
        <x:f>IF('Calculations'!DE100="","",COUNTIFS('Calculations'!$BN$13:$BN$512,1,'Calculations'!$BU$13:$BU$512,'Calculations'!DE100,'Calculations'!$EP$13:$EP$512,1))</x:f>
      </x:c>
      <x:c r="DO100" s="4" t="str">
        <x:f>IF(OR('Calculations'!DE100="",'Calculations'!DG100=0),"",('Calculations'!DJ100+'Calculations'!DK100)/'Calculations'!DG100)</x:f>
      </x:c>
      <x:c r="DP100" s="4" t="n">
        <x:f>IF(AND('Calculations'!DE100&lt;&gt;"",'Calculations'!DF100&gt;0),COUNTIF('Calculations'!$DF$12:DF100,"&gt;0"),0)</x:f>
        <x:v>0</x:v>
      </x:c>
      <x:c r="DQ100" s="4" t="str">
        <x:f>IF(89&gt;MAX('Calculations'!$HH$13:$HH$512),"",INDEX('Calculations'!$HF$13:$HF$512,MATCH(89,'Calculations'!$HH$13:$HH$512,0)))</x:f>
      </x:c>
      <x:c r="DR100" s="4" t="str">
        <x:f>IF(89&gt;MAX('Calculations'!$IK$13:$IK$512),"",INDEX('Calculations'!$HE$13:$HE$512,MATCH(89,'Calculations'!$IK$13:$IK$512,0)))</x:f>
      </x:c>
      <x:c r="DS100" s="4"/>
      <x:c r="DT100" s="4"/>
      <x:c r="DU100" s="4"/>
      <x:c r="DV100" s="4"/>
      <x:c r="DW100" s="4"/>
      <x:c r="DX100" s="4"/>
      <x:c r="DY100" s="4"/>
      <x:c r="DZ100" s="4"/>
      <x:c r="EA100" s="4"/>
      <x:c r="EB100" s="4"/>
      <x:c r="EC100" s="4"/>
      <x:c r="ED100" s="4"/>
      <x:c r="EE100" s="4" t="str">
        <x:f>IF('Calculations'!BT100=0,"Not Rated",IF(OR('Calculations'!BO100&gt;=4,'Calculations'!BP100&gt;=4),"Low",IF('Calculations'!BO100+'Calculations'!BP100&lt;=3,"High",IF('Calculations'!BO100+'Calculations'!BP100&lt;=4,"Strong","Solid"))))</x:f>
        <x:v>Not Rated</x:v>
      </x:c>
      <x:c r="EF100" s="4"/>
      <x:c r="EG100" s="4"/>
      <x:c r="EH100" s="4"/>
      <x:c r="EI100" s="4"/>
      <x:c r="EJ100" s="4"/>
      <x:c r="EK100" s="4"/>
      <x:c r="EL100" s="4"/>
      <x:c r="EM100" s="4" t="str">
        <x:f>IF(88&gt;'Calculations'!$JB$2000,"",INDEX('Calculations'!$JA$12:$JA$2000,MATCH(88,'Calculations'!$JB$12:$JB$2000,0)))</x:f>
      </x:c>
      <x:c r="EN100" s="4" t="n">
        <x:f>IF(OR('Calculations'!EM100="",'Calculations'!$AG$8&gt;0,AND('Calculations'!$EF$2&lt;&gt;"All",'Calculations'!HE100='Calculations'!$EF$2),AND('Calculations'!$EF$3&lt;&gt;"All",'Calculations'!HE100='Calculations'!$EF$3)),0,IF(OR('Dashboard'!$B$7="All",'Calculations'!HN100='Dashboard'!$B$7),IF('Calculations'!$EF$2="All",1,IF('Calculations'!HL100&gt;0,0,IF(COUNTIF('Calculations'!HO100:II100,"="&amp;SUBSTITUTE(SUBSTITUTE(SUBSTITUTE('Calculations'!$EF$2,"~","~~"),"*","~*"),"?","~?"))=0,0,IF('Calculations'!$EF$3="All",1,IF(COUNTIF('Calculations'!HO100:II100,"="&amp;SUBSTITUTE(SUBSTITUTE(SUBSTITUTE('Calculations'!$EF$3,"~","~~"),"*","~*"),"?","~?"))&gt;0,1,0))))),0))</x:f>
        <x:v>0</x:v>
      </x:c>
      <x:c r="EO100" s="4" t="str">
        <x:f>IF('Calculations'!IJ100="","",IF('Calculations'!IJ100="!UNRESOLVED","Unresolved hierarchy",IFERROR(INDEX('Calculations'!$HK$13:$HK$512,MATCH('Calculations'!IJ100,'Calculations'!$HE$13:$HE$512,0)),IFERROR(INDEX('Calculations'!$HJ$13:$HJ$512,MATCH('Calculations'!IJ100,'Calculations'!$HF$13:$HF$512,0)),'Calculations'!IJ100))))</x:f>
      </x:c>
      <x:c r="EP100" s="4" t="n">
        <x:f>IF(AND('Calculations'!EM100&lt;&gt;"",'Calculations'!HF100='Calculations'!IJ100),1,0)</x:f>
        <x:v>0</x:v>
      </x:c>
      <x:c r="EQ100" s="4"/>
      <x:c r="ER100" s="4"/>
      <x:c r="ES100" s="4"/>
      <x:c r="ET100" s="4"/>
      <x:c r="EU100" s="4"/>
      <x:c r="EV100" s="4"/>
      <x:c r="EW100" s="4"/>
      <x:c r="EX100" s="4"/>
      <x:c r="EY100" s="4"/>
      <x:c r="EZ100" s="4"/>
      <x:c r="FA100" s="4"/>
      <x:c r="FB100" s="4"/>
      <x:c r="FC100" s="4"/>
      <x:c r="FD100" s="4"/>
      <x:c r="FE100" s="4"/>
      <x:c r="FF100" s="4"/>
      <x:c r="FG100" s="4"/>
      <x:c r="FH100" s="4"/>
      <x:c r="FI100" s="4"/>
      <x:c r="FJ100" s="4"/>
      <x:c r="FK100" s="4"/>
      <x:c r="FL100" s="4"/>
      <x:c r="FM100" s="4"/>
      <x:c r="FN100" s="4"/>
      <x:c r="FO100" s="4"/>
      <x:c r="GA100" s="71"/>
      <x:c r="GB100" s="71" t="str">
        <x:f>IF('Calculations'!$AR100=0,"",INDEX('Calculations'!$DE$12:$DE$1012,'Calculations'!$AR100))</x:f>
      </x:c>
      <x:c r="GC100" s="71"/>
      <x:c r="GD100" s="71"/>
      <x:c r="GE100" s="71"/>
      <x:c r="GF100" s="71"/>
      <x:c r="GG100" s="71"/>
      <x:c r="GH100" s="71"/>
      <x:c r="GI100" s="71" t="str">
        <x:f>IF('Calculations'!$AR100=0,"",INDEX('Calculations'!$DF$12:$DF$1012,'Calculations'!$AR100))</x:f>
      </x:c>
      <x:c r="GJ100" s="71"/>
      <x:c r="GK100" s="71" t="str">
        <x:f>IF('Calculations'!$AR100=0,"",INDEX('Calculations'!$DG$12:$DG$1012,'Calculations'!$AR100))</x:f>
      </x:c>
      <x:c r="GL100" s="71"/>
      <x:c r="GM100" s="71" t="str">
        <x:f>IF('Calculations'!$AR100=0,"",INDEX('Calculations'!$DH$12:$DH$1012,'Calculations'!$AR100))</x:f>
      </x:c>
      <x:c r="GN100" s="71"/>
      <x:c r="GO100" s="71" t="str">
        <x:f>IF('Calculations'!$AR100=0,"",INDEX('Calculations'!$DI$12:$DI$1012,'Calculations'!$AR100))</x:f>
      </x:c>
      <x:c r="GP100" s="71"/>
      <x:c r="GQ100" s="71" t="str">
        <x:f>IF('Calculations'!$AR100=0,"",INDEX('Calculations'!$DJ$12:$DJ$1012,'Calculations'!$AR100)&amp;" · "&amp;IF(INDEX('Calculations'!$DG$12:$DG$1012,'Calculations'!$AR100)=0,"n.a.",TEXT(INDEX('Calculations'!$DJ$12:$DJ$1012,'Calculations'!$AR100)/INDEX('Calculations'!$DG$12:$DG$1012,'Calculations'!$AR100),"0.0%")))</x:f>
      </x:c>
      <x:c r="GR100" s="71"/>
      <x:c r="GS100" s="71" t="str">
        <x:f>IF('Calculations'!$AR100=0,"",INDEX('Calculations'!$DK$12:$DK$1012,'Calculations'!$AR100)&amp;" · "&amp;IF(INDEX('Calculations'!$DG$12:$DG$1012,'Calculations'!$AR100)=0,"n.a.",TEXT(INDEX('Calculations'!$DK$12:$DK$1012,'Calculations'!$AR100)/INDEX('Calculations'!$DG$12:$DG$1012,'Calculations'!$AR100),"0.0%")))</x:f>
      </x:c>
      <x:c r="GT100" s="71"/>
      <x:c r="GU100" s="71" t="str">
        <x:f>IF('Calculations'!$AR100=0,"",INDEX('Calculations'!$DL$12:$DL$1012,'Calculations'!$AR100)&amp;" · "&amp;IF(INDEX('Calculations'!$DG$12:$DG$1012,'Calculations'!$AR100)=0,"n.a.",TEXT(INDEX('Calculations'!$DL$12:$DL$1012,'Calculations'!$AR100)/INDEX('Calculations'!$DG$12:$DG$1012,'Calculations'!$AR100),"0.0%")))</x:f>
      </x:c>
      <x:c r="GV100" s="71"/>
      <x:c r="GW100" s="71" t="str">
        <x:f>IF('Calculations'!$AR100=0,"",INDEX('Calculations'!$DM$12:$DM$1012,'Calculations'!$AR100)&amp;" · "&amp;IF(INDEX('Calculations'!$DG$12:$DG$1012,'Calculations'!$AR100)=0,"n.a.",TEXT(INDEX('Calculations'!$DM$12:$DM$1012,'Calculations'!$AR100)/INDEX('Calculations'!$DG$12:$DG$1012,'Calculations'!$AR100),"0.0%")))</x:f>
      </x:c>
      <x:c r="GX100" s="71"/>
      <x:c r="GY100" s="71" t="str">
        <x:f>IF('Calculations'!$AR100=0,"",INDEX('Calculations'!$DN$12:$DN$1012,'Calculations'!$AR100))</x:f>
      </x:c>
      <x:c r="GZ100" s="71"/>
      <x:c r="HA100" s="71" t="str">
        <x:f>IF('Calculations'!$AR100=0,"",INDEX('Calculations'!$DO$12:$DO$1012,'Calculations'!$AR100))</x:f>
      </x:c>
      <x:c r="HB100" s="71"/>
      <x:c r="HC100" s="71"/>
      <x:c r="HD100" s="71"/>
      <x:c r="HE100" t="str">
        <x:f>IF('Calculations'!EM100="","",IF(IFERROR(IF(INDEX(INDIRECT("'WCM Calibration Final'!$A$1:$A$2000"),'Calculations'!$EM100)="","",TRIM(INDEX(INDIRECT("'WCM Calibration Final'!$A$1:$A$2000"),'Calculations'!$EM100)&amp;"")),"")&lt;&gt;"","G:"&amp;IFERROR(TEXT(1*INDEX(INDIRECT("'WCM Calibration Final'!$A$1:$A$2000"),'Calculations'!$EM100),"0"),UPPER(IFERROR(IF(INDEX(INDIRECT("'WCM Calibration Final'!$A$1:$A$2000"),'Calculations'!$EM100)="","",TRIM(INDEX(INDIRECT("'WCM Calibration Final'!$A$1:$A$2000"),'Calculations'!$EM100)&amp;"")),""))),IF(IFERROR(IF(INDEX(INDIRECT("'WCM Calibration Final'!$C$1:$C$2000"),'Calculations'!$EM100)="","",TRIM(INDEX(INDIRECT("'WCM Calibration Final'!$C$1:$C$2000"),'Calculations'!$EM100)&amp;"")),"")&lt;&gt;"","S:"&amp;UPPER(IFERROR(IF(INDEX(INDIRECT("'WCM Calibration Final'!$C$1:$C$2000"),'Calculations'!$EM100)="","",TRIM(INDEX(INDIRECT("'WCM Calibration Final'!$C$1:$C$2000"),'Calculations'!$EM100)&amp;"")),"")),"R:"&amp;'Calculations'!EM100)))</x:f>
      </x:c>
      <x:c r="HF100" t="str">
        <x:f>IF('Calculations'!EM100="","",IF(IFERROR(IF(INDEX(INDIRECT("'WCM Calibration Final'!$D$1:$D$2000"),'Calculations'!$EM100)="","",TRIM(INDEX(INDIRECT("'WCM Calibration Final'!$D$1:$D$2000"),'Calculations'!$EM100)&amp;"")),"")&lt;&gt;"","G:"&amp;IFERROR(TEXT(1*INDEX(INDIRECT("'WCM Calibration Final'!$D$1:$D$2000"),'Calculations'!$EM100),"0"),UPPER(IFERROR(IF(INDEX(INDIRECT("'WCM Calibration Final'!$D$1:$D$2000"),'Calculations'!$EM100)="","",TRIM(INDEX(INDIRECT("'WCM Calibration Final'!$D$1:$D$2000"),'Calculations'!$EM100)&amp;"")),""))),IF(IFERROR(IF(INDEX(INDIRECT("'WCM Calibration Final'!$E$1:$E$2000"),'Calculations'!$EM100)="","",TRIM(INDEX(INDIRECT("'WCM Calibration Final'!$E$1:$E$2000"),'Calculations'!$EM100)&amp;"")),"")="","",IF(COUNTIF('Calculations'!$HG$13:$HG$512,"="&amp;SUBSTITUTE(SUBSTITUTE(SUBSTITUTE(IFERROR(IF(INDEX(INDIRECT("'WCM Calibration Final'!$E$1:$E$2000"),'Calculations'!$EM100)="","",TRIM(INDEX(INDIRECT("'WCM Calibration Final'!$E$1:$E$2000"),'Calculations'!$EM100)&amp;"")),""),"~","~~"),"*","~*"),"?","~?"))=1,INDEX('Calculations'!$HE$13:$HE$512,MATCH(IFERROR(IF(INDEX(INDIRECT("'WCM Calibration Final'!$E$1:$E$2000"),'Calculations'!$EM100)="","",TRIM(INDEX(INDIRECT("'WCM Calibration Final'!$E$1:$E$2000"),'Calculations'!$EM100)&amp;"")),""),'Calculations'!$HG$13:$HG$512,0)),IF(COUNTIF('Calculations'!$HG$13:$HG$512,"="&amp;SUBSTITUTE(SUBSTITUTE(SUBSTITUTE(IFERROR(IF(INDEX(INDIRECT("'WCM Calibration Final'!$E$1:$E$2000"),'Calculations'!$EM100)="","",TRIM(INDEX(INDIRECT("'WCM Calibration Final'!$E$1:$E$2000"),'Calculations'!$EM100)&amp;"")),""),"~","~~"),"*","~*"),"?","~?"))&gt;1,"!AMBIG","X:"&amp;IFERROR(IF(INDEX(INDIRECT("'WCM Calibration Final'!$E$1:$E$2000"),'Calculations'!$EM100)="","",TRIM(INDEX(INDIRECT("'WCM Calibration Final'!$E$1:$E$2000"),'Calculations'!$EM100)&amp;"")),""))))))</x:f>
      </x:c>
      <x:c r="HG100" t="str">
        <x:f>IF('Calculations'!EM100="","",IFERROR(IF(INDEX(INDIRECT("'WCM Calibration Final'!$B$1:$B$2000"),'Calculations'!$EM100)="","",TRIM(INDEX(INDIRECT("'WCM Calibration Final'!$B$1:$B$2000"),'Calculations'!$EM100)&amp;"")),""))</x:f>
      </x:c>
      <x:c r="HH100" t="n">
        <x:f>IF(AND('Calculations'!JC100&gt;0,COUNTIF('Calculations'!$HF$12:HF100,"="&amp;SUBSTITUTE(SUBSTITUTE(SUBSTITUTE('Calculations'!HF100,"~","~~"),"*","~*"),"?","~?"))=1),MAX('Calculations'!$HH$12:HH99)+1,0)</x:f>
        <x:v>0</x:v>
      </x:c>
      <x:c r="HI100" t="n">
        <x:f>IF(AND('Calculations'!HN100&lt;&gt;"",COUNTIF('Calculations'!$HN$12:HN100,"="&amp;SUBSTITUTE(SUBSTITUTE(SUBSTITUTE('Calculations'!HN100,"~","~~"),"*","~*"),"?","~?"))=1),MAX('Calculations'!$HI$12:HI99)+1,0)</x:f>
        <x:v>0</x:v>
      </x:c>
      <x:c r="HJ100" t="str">
        <x:f>IF('Calculations'!HF100="","",IF(COUNTIF('Calculations'!$HE$13:$HE$512,"="&amp;SUBSTITUTE(SUBSTITUTE(SUBSTITUTE('Calculations'!HF100,"~","~~"),"*","~*"),"?","~?"))=1,INDEX('Calculations'!$HK$13:$HK$512,MATCH('Calculations'!HF100,'Calculations'!$HE$13:$HE$512,0)),IFERROR(IF(INDEX(INDIRECT("'WCM Calibration Final'!$E$1:$E$2000"),'Calculations'!$EM100)="","",TRIM(INDEX(INDIRECT("'WCM Calibration Final'!$E$1:$E$2000"),'Calculations'!$EM100)&amp;"")),"")&amp;" ["&amp;'Calculations'!HF100&amp;"]"))</x:f>
      </x:c>
      <x:c r="HK100" t="str">
        <x:f>IF('Calculations'!EM100="","",'Calculations'!HG100&amp;" ["&amp;'Calculations'!HE100&amp;"]")</x:f>
      </x:c>
      <x:c r="HL100" t="n">
        <x:f>IF('Calculations'!EM100="",0,IF(OR('Calculations'!II100&lt;&gt;"",COUNTIF('Calculations'!$HE$13:$HE$512,"="&amp;SUBSTITUTE(SUBSTITUTE(SUBSTITUTE('Calculations'!HE100,"~","~~"),"*","~*"),"?","~?"))&gt;1),1,0))</x:f>
        <x:v>0</x:v>
      </x:c>
      <x:c r="HM100" t="str">
        <x:f>IF('Calculations'!EM100="","",IF('Calculations'!HL100=1,"!UNRESOLVED",IF('Calculations'!IH100&lt;&gt;"",'Calculations'!IH100,IF('Calculations'!IG100&lt;&gt;"",'Calculations'!IG100,IF('Calculations'!IF100&lt;&gt;"",'Calculations'!IF100,IF('Calculations'!IE100&lt;&gt;"",'Calculations'!IE100,IF('Calculations'!ID100&lt;&gt;"",'Calculations'!ID100,IF('Calculations'!IC100&lt;&gt;"",'Calculations'!IC100,IF('Calculations'!IB100&lt;&gt;"",'Calculations'!IB100,IF('Calculations'!IA100&lt;&gt;"",'Calculations'!IA100,IF('Calculations'!HZ100&lt;&gt;"",'Calculations'!HZ100,IF('Calculations'!HY100&lt;&gt;"",'Calculations'!HY100,IF('Calculations'!HX100&lt;&gt;"",'Calculations'!HX100,IF('Calculations'!HW100&lt;&gt;"",'Calculations'!HW100,IF('Calculations'!HV100&lt;&gt;"",'Calculations'!HV100,IF('Calculations'!HU100&lt;&gt;"",'Calculations'!HU100,IF('Calculations'!HT100&lt;&gt;"",'Calculations'!HT100,IF('Calculations'!HS100&lt;&gt;"",'Calculations'!HS100,IF('Calculations'!HR100&lt;&gt;"",'Calculations'!HR100,IF('Calculations'!HQ100&lt;&gt;"",'Calculations'!HQ100,IF('Calculations'!HP100&lt;&gt;"",'Calculations'!HP100,IF('Calculations'!HO100&lt;&gt;"",'Calculations'!HO100,'Calculations'!HE100))))))))))))))))))))))</x:f>
      </x:c>
      <x:c r="HN100" t="str">
        <x:f>IF('Calculations'!EM100="","",IF(IFERROR(IF(INDEX(INDIRECT("'WCM Calibration Final'!$F$1:$F$2000"),'Calculations'!$EM100)="","",TRIM(INDEX(INDIRECT("'WCM Calibration Final'!$F$1:$F$2000"),'Calculations'!$EM100)&amp;"")),"")="","(Blank)",IFERROR(IF(INDEX(INDIRECT("'WCM Calibration Final'!$F$1:$F$2000"),'Calculations'!$EM100)="","",TRIM(INDEX(INDIRECT("'WCM Calibration Final'!$F$1:$F$2000"),'Calculations'!$EM100)&amp;"")),"")))</x:f>
      </x:c>
      <x:c r="HO100" t="str">
        <x:f>'Calculations'!HF100</x:f>
      </x:c>
      <x:c r="HP100" t="str">
        <x:f>IF('Calculations'!HO100="","",IF('Calculations'!HO100="!AMBIG","!AMBIG",IF(COUNTIF('Calculations'!$HE$13:$HE$512,"="&amp;SUBSTITUTE(SUBSTITUTE(SUBSTITUTE('Calculations'!HO100,"~","~~"),"*","~*"),"?","~?"))&gt;1,"!AMBIG",IFERROR(INDEX('Calculations'!$HF$13:$HF$512,MATCH('Calculations'!HO100,'Calculations'!$HE$13:$HE$512,0)),""))))</x:f>
      </x:c>
      <x:c r="HQ100" t="str">
        <x:f>IF('Calculations'!HP100="","",IF('Calculations'!HP100="!AMBIG","!AMBIG",IF(COUNTIF('Calculations'!$HE$13:$HE$512,"="&amp;SUBSTITUTE(SUBSTITUTE(SUBSTITUTE('Calculations'!HP100,"~","~~"),"*","~*"),"?","~?"))&gt;1,"!AMBIG",IFERROR(INDEX('Calculations'!$HF$13:$HF$512,MATCH('Calculations'!HP100,'Calculations'!$HE$13:$HE$512,0)),""))))</x:f>
      </x:c>
      <x:c r="HR100" t="str">
        <x:f>IF('Calculations'!HQ100="","",IF('Calculations'!HQ100="!AMBIG","!AMBIG",IF(COUNTIF('Calculations'!$HE$13:$HE$512,"="&amp;SUBSTITUTE(SUBSTITUTE(SUBSTITUTE('Calculations'!HQ100,"~","~~"),"*","~*"),"?","~?"))&gt;1,"!AMBIG",IFERROR(INDEX('Calculations'!$HF$13:$HF$512,MATCH('Calculations'!HQ100,'Calculations'!$HE$13:$HE$512,0)),""))))</x:f>
      </x:c>
      <x:c r="HS100" t="str">
        <x:f>IF('Calculations'!HR100="","",IF('Calculations'!HR100="!AMBIG","!AMBIG",IF(COUNTIF('Calculations'!$HE$13:$HE$512,"="&amp;SUBSTITUTE(SUBSTITUTE(SUBSTITUTE('Calculations'!HR100,"~","~~"),"*","~*"),"?","~?"))&gt;1,"!AMBIG",IFERROR(INDEX('Calculations'!$HF$13:$HF$512,MATCH('Calculations'!HR100,'Calculations'!$HE$13:$HE$512,0)),""))))</x:f>
      </x:c>
      <x:c r="HT100" t="str">
        <x:f>IF('Calculations'!HS100="","",IF('Calculations'!HS100="!AMBIG","!AMBIG",IF(COUNTIF('Calculations'!$HE$13:$HE$512,"="&amp;SUBSTITUTE(SUBSTITUTE(SUBSTITUTE('Calculations'!HS100,"~","~~"),"*","~*"),"?","~?"))&gt;1,"!AMBIG",IFERROR(INDEX('Calculations'!$HF$13:$HF$512,MATCH('Calculations'!HS100,'Calculations'!$HE$13:$HE$512,0)),""))))</x:f>
      </x:c>
      <x:c r="HU100" t="str">
        <x:f>IF('Calculations'!HT100="","",IF('Calculations'!HT100="!AMBIG","!AMBIG",IF(COUNTIF('Calculations'!$HE$13:$HE$512,"="&amp;SUBSTITUTE(SUBSTITUTE(SUBSTITUTE('Calculations'!HT100,"~","~~"),"*","~*"),"?","~?"))&gt;1,"!AMBIG",IFERROR(INDEX('Calculations'!$HF$13:$HF$512,MATCH('Calculations'!HT100,'Calculations'!$HE$13:$HE$512,0)),""))))</x:f>
      </x:c>
      <x:c r="HV100" t="str">
        <x:f>IF('Calculations'!HU100="","",IF('Calculations'!HU100="!AMBIG","!AMBIG",IF(COUNTIF('Calculations'!$HE$13:$HE$512,"="&amp;SUBSTITUTE(SUBSTITUTE(SUBSTITUTE('Calculations'!HU100,"~","~~"),"*","~*"),"?","~?"))&gt;1,"!AMBIG",IFERROR(INDEX('Calculations'!$HF$13:$HF$512,MATCH('Calculations'!HU100,'Calculations'!$HE$13:$HE$512,0)),""))))</x:f>
      </x:c>
      <x:c r="HW100" t="str">
        <x:f>IF('Calculations'!HV100="","",IF('Calculations'!HV100="!AMBIG","!AMBIG",IF(COUNTIF('Calculations'!$HE$13:$HE$512,"="&amp;SUBSTITUTE(SUBSTITUTE(SUBSTITUTE('Calculations'!HV100,"~","~~"),"*","~*"),"?","~?"))&gt;1,"!AMBIG",IFERROR(INDEX('Calculations'!$HF$13:$HF$512,MATCH('Calculations'!HV100,'Calculations'!$HE$13:$HE$512,0)),""))))</x:f>
      </x:c>
      <x:c r="HX100" t="str">
        <x:f>IF('Calculations'!HW100="","",IF('Calculations'!HW100="!AMBIG","!AMBIG",IF(COUNTIF('Calculations'!$HE$13:$HE$512,"="&amp;SUBSTITUTE(SUBSTITUTE(SUBSTITUTE('Calculations'!HW100,"~","~~"),"*","~*"),"?","~?"))&gt;1,"!AMBIG",IFERROR(INDEX('Calculations'!$HF$13:$HF$512,MATCH('Calculations'!HW100,'Calculations'!$HE$13:$HE$512,0)),""))))</x:f>
      </x:c>
      <x:c r="HY100" t="str">
        <x:f>IF('Calculations'!HX100="","",IF('Calculations'!HX100="!AMBIG","!AMBIG",IF(COUNTIF('Calculations'!$HE$13:$HE$512,"="&amp;SUBSTITUTE(SUBSTITUTE(SUBSTITUTE('Calculations'!HX100,"~","~~"),"*","~*"),"?","~?"))&gt;1,"!AMBIG",IFERROR(INDEX('Calculations'!$HF$13:$HF$512,MATCH('Calculations'!HX100,'Calculations'!$HE$13:$HE$512,0)),""))))</x:f>
      </x:c>
      <x:c r="HZ100" t="str">
        <x:f>IF('Calculations'!HY100="","",IF('Calculations'!HY100="!AMBIG","!AMBIG",IF(COUNTIF('Calculations'!$HE$13:$HE$512,"="&amp;SUBSTITUTE(SUBSTITUTE(SUBSTITUTE('Calculations'!HY100,"~","~~"),"*","~*"),"?","~?"))&gt;1,"!AMBIG",IFERROR(INDEX('Calculations'!$HF$13:$HF$512,MATCH('Calculations'!HY100,'Calculations'!$HE$13:$HE$512,0)),""))))</x:f>
      </x:c>
      <x:c r="IA100" t="str">
        <x:f>IF('Calculations'!HZ100="","",IF('Calculations'!HZ100="!AMBIG","!AMBIG",IF(COUNTIF('Calculations'!$HE$13:$HE$512,"="&amp;SUBSTITUTE(SUBSTITUTE(SUBSTITUTE('Calculations'!HZ100,"~","~~"),"*","~*"),"?","~?"))&gt;1,"!AMBIG",IFERROR(INDEX('Calculations'!$HF$13:$HF$512,MATCH('Calculations'!HZ100,'Calculations'!$HE$13:$HE$512,0)),""))))</x:f>
      </x:c>
      <x:c r="IB100" t="str">
        <x:f>IF('Calculations'!IA100="","",IF('Calculations'!IA100="!AMBIG","!AMBIG",IF(COUNTIF('Calculations'!$HE$13:$HE$512,"="&amp;SUBSTITUTE(SUBSTITUTE(SUBSTITUTE('Calculations'!IA100,"~","~~"),"*","~*"),"?","~?"))&gt;1,"!AMBIG",IFERROR(INDEX('Calculations'!$HF$13:$HF$512,MATCH('Calculations'!IA100,'Calculations'!$HE$13:$HE$512,0)),""))))</x:f>
      </x:c>
      <x:c r="IC100" t="str">
        <x:f>IF('Calculations'!IB100="","",IF('Calculations'!IB100="!AMBIG","!AMBIG",IF(COUNTIF('Calculations'!$HE$13:$HE$512,"="&amp;SUBSTITUTE(SUBSTITUTE(SUBSTITUTE('Calculations'!IB100,"~","~~"),"*","~*"),"?","~?"))&gt;1,"!AMBIG",IFERROR(INDEX('Calculations'!$HF$13:$HF$512,MATCH('Calculations'!IB100,'Calculations'!$HE$13:$HE$512,0)),""))))</x:f>
      </x:c>
      <x:c r="ID100" t="str">
        <x:f>IF('Calculations'!IC100="","",IF('Calculations'!IC100="!AMBIG","!AMBIG",IF(COUNTIF('Calculations'!$HE$13:$HE$512,"="&amp;SUBSTITUTE(SUBSTITUTE(SUBSTITUTE('Calculations'!IC100,"~","~~"),"*","~*"),"?","~?"))&gt;1,"!AMBIG",IFERROR(INDEX('Calculations'!$HF$13:$HF$512,MATCH('Calculations'!IC100,'Calculations'!$HE$13:$HE$512,0)),""))))</x:f>
      </x:c>
      <x:c r="IE100" t="str">
        <x:f>IF('Calculations'!ID100="","",IF('Calculations'!ID100="!AMBIG","!AMBIG",IF(COUNTIF('Calculations'!$HE$13:$HE$512,"="&amp;SUBSTITUTE(SUBSTITUTE(SUBSTITUTE('Calculations'!ID100,"~","~~"),"*","~*"),"?","~?"))&gt;1,"!AMBIG",IFERROR(INDEX('Calculations'!$HF$13:$HF$512,MATCH('Calculations'!ID100,'Calculations'!$HE$13:$HE$512,0)),""))))</x:f>
      </x:c>
      <x:c r="IF100" t="str">
        <x:f>IF('Calculations'!IE100="","",IF('Calculations'!IE100="!AMBIG","!AMBIG",IF(COUNTIF('Calculations'!$HE$13:$HE$512,"="&amp;SUBSTITUTE(SUBSTITUTE(SUBSTITUTE('Calculations'!IE100,"~","~~"),"*","~*"),"?","~?"))&gt;1,"!AMBIG",IFERROR(INDEX('Calculations'!$HF$13:$HF$512,MATCH('Calculations'!IE100,'Calculations'!$HE$13:$HE$512,0)),""))))</x:f>
      </x:c>
      <x:c r="IG100" t="str">
        <x:f>IF('Calculations'!IF100="","",IF('Calculations'!IF100="!AMBIG","!AMBIG",IF(COUNTIF('Calculations'!$HE$13:$HE$512,"="&amp;SUBSTITUTE(SUBSTITUTE(SUBSTITUTE('Calculations'!IF100,"~","~~"),"*","~*"),"?","~?"))&gt;1,"!AMBIG",IFERROR(INDEX('Calculations'!$HF$13:$HF$512,MATCH('Calculations'!IF100,'Calculations'!$HE$13:$HE$512,0)),""))))</x:f>
      </x:c>
      <x:c r="IH100" t="str">
        <x:f>IF('Calculations'!IG100="","",IF('Calculations'!IG100="!AMBIG","!AMBIG",IF(COUNTIF('Calculations'!$HE$13:$HE$512,"="&amp;SUBSTITUTE(SUBSTITUTE(SUBSTITUTE('Calculations'!IG100,"~","~~"),"*","~*"),"?","~?"))&gt;1,"!AMBIG",IFERROR(INDEX('Calculations'!$HF$13:$HF$512,MATCH('Calculations'!IG100,'Calculations'!$HE$13:$HE$512,0)),""))))</x:f>
      </x:c>
      <x:c r="II100" t="str">
        <x:f>IF('Calculations'!IH100="","",IF('Calculations'!IH100="!AMBIG","!AMBIG",IF(COUNTIF('Calculations'!$HE$13:$HE$512,"="&amp;SUBSTITUTE(SUBSTITUTE(SUBSTITUTE('Calculations'!IH100,"~","~~"),"*","~*"),"?","~?"))&gt;1,"!AMBIG",IFERROR(INDEX('Calculations'!$HF$13:$HF$512,MATCH('Calculations'!IH100,'Calculations'!$HE$13:$HE$512,0)),""))))</x:f>
      </x:c>
      <x:c r="IJ100" t="str">
        <x:f>IF('Calculations'!EM100="","",IF('Calculations'!$EF$2="All",'Calculations'!HM100,IF('Calculations'!HL100=1,"",IFERROR(IF(MATCH('Calculations'!$EF$2,'Calculations'!HO100:II100,0)=1,'Calculations'!HE100,INDEX('Calculations'!HO100:II100,1,MATCH('Calculations'!$EF$2,'Calculations'!HO100:II100,0)-1)),""))))</x:f>
      </x:c>
      <x:c r="IK100" t="n">
        <x:f>IF(AND('Calculations'!EM100&lt;&gt;"",'Calculations'!$EF$2&lt;&gt;"All",'Calculations'!HF100='Calculations'!$EF$2,'Calculations'!HL100=0,'Calculations'!JD100&gt;0),MAX('Calculations'!$IK$12:IK99)+1,0)</x:f>
        <x:v>0</x:v>
      </x:c>
      <x:c r="JA100" t="n">
        <x:f>IF(OR(IFERROR(INDIRECT("'WCM Calibration Final'!$A$100")&lt;&gt;"",FALSE),IFERROR(INDIRECT("'WCM Calibration Final'!$B$100")&lt;&gt;"",FALSE),IFERROR(INDIRECT("'WCM Calibration Final'!$C$100")&lt;&gt;"",FALSE)),100,0)</x:f>
        <x:v>0</x:v>
      </x:c>
      <x:c r="JB100" t="n">
        <x:f>'Calculations'!JB99+IF('Calculations'!JA100&gt;0,1,0)</x:f>
        <x:v>0</x:v>
      </x:c>
      <x:c r="JC100" t="n">
        <x:f>IF(OR('Calculations'!HF100="",'Calculations'!HF100="!AMBIG"),0,IF('Dashboard'!$B$7="All",1,COUNTIFS('Calculations'!$HO$13:$HO$512,"="&amp;SUBSTITUTE(SUBSTITUTE(SUBSTITUTE('Calculations'!HF100,"~","~~"),"*","~*"),"?","~?"),'Calculations'!$HN$13:$HN$512,"="&amp;SUBSTITUTE(SUBSTITUTE(SUBSTITUTE('Dashboard'!$B$7,"~","~~"),"*","~*"),"?","~?"))+COUNTIFS('Calculations'!$HP$13:$HP$512,"="&amp;SUBSTITUTE(SUBSTITUTE(SUBSTITUTE('Calculations'!HF100,"~","~~"),"*","~*"),"?","~?"),'Calculations'!$HN$13:$HN$512,"="&amp;SUBSTITUTE(SUBSTITUTE(SUBSTITUTE('Dashboard'!$B$7,"~","~~"),"*","~*"),"?","~?"))+COUNTIFS('Calculations'!$HQ$13:$HQ$512,"="&amp;SUBSTITUTE(SUBSTITUTE(SUBSTITUTE('Calculations'!HF100,"~","~~"),"*","~*"),"?","~?"),'Calculations'!$HN$13:$HN$512,"="&amp;SUBSTITUTE(SUBSTITUTE(SUBSTITUTE('Dashboard'!$B$7,"~","~~"),"*","~*"),"?","~?"))+COUNTIFS('Calculations'!$HR$13:$HR$512,"="&amp;SUBSTITUTE(SUBSTITUTE(SUBSTITUTE('Calculations'!HF100,"~","~~"),"*","~*"),"?","~?"),'Calculations'!$HN$13:$HN$512,"="&amp;SUBSTITUTE(SUBSTITUTE(SUBSTITUTE('Dashboard'!$B$7,"~","~~"),"*","~*"),"?","~?"))+COUNTIFS('Calculations'!$HS$13:$HS$512,"="&amp;SUBSTITUTE(SUBSTITUTE(SUBSTITUTE('Calculations'!HF100,"~","~~"),"*","~*"),"?","~?"),'Calculations'!$HN$13:$HN$512,"="&amp;SUBSTITUTE(SUBSTITUTE(SUBSTITUTE('Dashboard'!$B$7,"~","~~"),"*","~*"),"?","~?"))+COUNTIFS('Calculations'!$HT$13:$HT$512,"="&amp;SUBSTITUTE(SUBSTITUTE(SUBSTITUTE('Calculations'!HF100,"~","~~"),"*","~*"),"?","~?"),'Calculations'!$HN$13:$HN$512,"="&amp;SUBSTITUTE(SUBSTITUTE(SUBSTITUTE('Dashboard'!$B$7,"~","~~"),"*","~*"),"?","~?"))+COUNTIFS('Calculations'!$HU$13:$HU$512,"="&amp;SUBSTITUTE(SUBSTITUTE(SUBSTITUTE('Calculations'!HF100,"~","~~"),"*","~*"),"?","~?"),'Calculations'!$HN$13:$HN$512,"="&amp;SUBSTITUTE(SUBSTITUTE(SUBSTITUTE('Dashboard'!$B$7,"~","~~"),"*","~*"),"?","~?"))+COUNTIFS('Calculations'!$HV$13:$HV$512,"="&amp;SUBSTITUTE(SUBSTITUTE(SUBSTITUTE('Calculations'!HF100,"~","~~"),"*","~*"),"?","~?"),'Calculations'!$HN$13:$HN$512,"="&amp;SUBSTITUTE(SUBSTITUTE(SUBSTITUTE('Dashboard'!$B$7,"~","~~"),"*","~*"),"?","~?"))+COUNTIFS('Calculations'!$HW$13:$HW$512,"="&amp;SUBSTITUTE(SUBSTITUTE(SUBSTITUTE('Calculations'!HF100,"~","~~"),"*","~*"),"?","~?"),'Calculations'!$HN$13:$HN$512,"="&amp;SUBSTITUTE(SUBSTITUTE(SUBSTITUTE('Dashboard'!$B$7,"~","~~"),"*","~*"),"?","~?"))+COUNTIFS('Calculations'!$HX$13:$HX$512,"="&amp;SUBSTITUTE(SUBSTITUTE(SUBSTITUTE('Calculations'!HF100,"~","~~"),"*","~*"),"?","~?"),'Calculations'!$HN$13:$HN$512,"="&amp;SUBSTITUTE(SUBSTITUTE(SUBSTITUTE('Dashboard'!$B$7,"~","~~"),"*","~*"),"?","~?"))+COUNTIFS('Calculations'!$HY$13:$HY$512,"="&amp;SUBSTITUTE(SUBSTITUTE(SUBSTITUTE('Calculations'!HF100,"~","~~"),"*","~*"),"?","~?"),'Calculations'!$HN$13:$HN$512,"="&amp;SUBSTITUTE(SUBSTITUTE(SUBSTITUTE('Dashboard'!$B$7,"~","~~"),"*","~*"),"?","~?"))+COUNTIFS('Calculations'!$HZ$13:$HZ$512,"="&amp;SUBSTITUTE(SUBSTITUTE(SUBSTITUTE('Calculations'!HF100,"~","~~"),"*","~*"),"?","~?"),'Calculations'!$HN$13:$HN$512,"="&amp;SUBSTITUTE(SUBSTITUTE(SUBSTITUTE('Dashboard'!$B$7,"~","~~"),"*","~*"),"?","~?"))+COUNTIFS('Calculations'!$IA$13:$IA$512,"="&amp;SUBSTITUTE(SUBSTITUTE(SUBSTITUTE('Calculations'!HF100,"~","~~"),"*","~*"),"?","~?"),'Calculations'!$HN$13:$HN$512,"="&amp;SUBSTITUTE(SUBSTITUTE(SUBSTITUTE('Dashboard'!$B$7,"~","~~"),"*","~*"),"?","~?"))+COUNTIFS('Calculations'!$IB$13:$IB$512,"="&amp;SUBSTITUTE(SUBSTITUTE(SUBSTITUTE('Calculations'!HF100,"~","~~"),"*","~*"),"?","~?"),'Calculations'!$HN$13:$HN$512,"="&amp;SUBSTITUTE(SUBSTITUTE(SUBSTITUTE('Dashboard'!$B$7,"~","~~"),"*","~*"),"?","~?"))+COUNTIFS('Calculations'!$IC$13:$IC$512,"="&amp;SUBSTITUTE(SUBSTITUTE(SUBSTITUTE('Calculations'!HF100,"~","~~"),"*","~*"),"?","~?"),'Calculations'!$HN$13:$HN$512,"="&amp;SUBSTITUTE(SUBSTITUTE(SUBSTITUTE('Dashboard'!$B$7,"~","~~"),"*","~*"),"?","~?"))+COUNTIFS('Calculations'!$ID$13:$ID$512,"="&amp;SUBSTITUTE(SUBSTITUTE(SUBSTITUTE('Calculations'!HF100,"~","~~"),"*","~*"),"?","~?"),'Calculations'!$HN$13:$HN$512,"="&amp;SUBSTITUTE(SUBSTITUTE(SUBSTITUTE('Dashboard'!$B$7,"~","~~"),"*","~*"),"?","~?"))+COUNTIFS('Calculations'!$IE$13:$IE$512,"="&amp;SUBSTITUTE(SUBSTITUTE(SUBSTITUTE('Calculations'!HF100,"~","~~"),"*","~*"),"?","~?"),'Calculations'!$HN$13:$HN$512,"="&amp;SUBSTITUTE(SUBSTITUTE(SUBSTITUTE('Dashboard'!$B$7,"~","~~"),"*","~*"),"?","~?"))+COUNTIFS('Calculations'!$IF$13:$IF$512,"="&amp;SUBSTITUTE(SUBSTITUTE(SUBSTITUTE('Calculations'!HF100,"~","~~"),"*","~*"),"?","~?"),'Calculations'!$HN$13:$HN$512,"="&amp;SUBSTITUTE(SUBSTITUTE(SUBSTITUTE('Dashboard'!$B$7,"~","~~"),"*","~*"),"?","~?"))+COUNTIFS('Calculations'!$IG$13:$IG$512,"="&amp;SUBSTITUTE(SUBSTITUTE(SUBSTITUTE('Calculations'!HF100,"~","~~"),"*","~*"),"?","~?"),'Calculations'!$HN$13:$HN$512,"="&amp;SUBSTITUTE(SUBSTITUTE(SUBSTITUTE('Dashboard'!$B$7,"~","~~"),"*","~*"),"?","~?"))+COUNTIFS('Calculations'!$IH$13:$IH$512,"="&amp;SUBSTITUTE(SUBSTITUTE(SUBSTITUTE('Calculations'!HF100,"~","~~"),"*","~*"),"?","~?"),'Calculations'!$HN$13:$HN$512,"="&amp;SUBSTITUTE(SUBSTITUTE(SUBSTITUTE('Dashboard'!$B$7,"~","~~"),"*","~*"),"?","~?"))))</x:f>
        <x:v>0</x:v>
      </x:c>
      <x:c r="JD100" t="n">
        <x:f>IF('Calculations'!EM100="",0,IF('Dashboard'!$B$7="All",1,IF('Calculations'!HN100='Dashboard'!$B$7,1,0)+IFERROR(INDEX('Calculations'!$JC$13:$JC$512,MATCH('Calculations'!HE100,'Calculations'!$HF$13:$HF$512,0)),0)))</x:f>
        <x:v>0</x:v>
      </x:c>
      <x:c r="JE100" t="n">
        <x:f>IF(AND('Calculations'!EM100&lt;&gt;"",'Calculations'!$JJ$2&lt;&gt;"All",'Calculations'!$JJ$2&lt;&gt;"",'Calculations'!HF100='Calculations'!$JJ$2,'Calculations'!HL100=0,'Calculations'!JD100&gt;0),MAX('Calculations'!$JE$12:JE99)+1,0)</x:f>
        <x:v>0</x:v>
      </x:c>
      <x:c r="JF100" t="str">
        <x:f>IF('Calculations'!EM100="","",IFERROR(IF(INDEX(INDIRECT("'WCM Calibration Final'!$G$1:$G$2000"),'Calculations'!$EM100)="","",TRIM(INDEX(INDIRECT("'WCM Calibration Final'!$G$1:$G$2000"),'Calculations'!$EM100)&amp;"")),""))</x:f>
      </x:c>
      <x:c r="JQ100" t="n">
        <x:f>IF(OR('Calculations'!BM100=0,NOT('Calculations'!$AG$2),'Calculations'!$AG$8&gt;0),0,IF(OR('Dashboard'!$B$7="All",'Calculations'!HN100='Dashboard'!$B$7),IF('Calculations'!$JJ$2="All",1,IF(AND('Calculations'!HF100='Calculations'!$JJ$2,'Calculations'!HL100=0),1,0)),0))</x:f>
        <x:v>0</x:v>
      </x:c>
    </x:row>
    <x:row r="101">
      <x:c r="AF101" s="4"/>
      <x:c r="AG101" s="4"/>
      <x:c r="AH101" s="4"/>
      <x:c r="AI101" s="4"/>
      <x:c r="AJ101" s="4"/>
      <x:c r="AK101" s="4"/>
      <x:c r="AL101" s="4"/>
      <x:c r="AM101" s="4"/>
      <x:c r="AN101" s="4"/>
      <x:c r="AO101" s="4"/>
      <x:c r="AP101" s="4"/>
      <x:c r="AQ101" s="4"/>
      <x:c r="AR101" s="4" t="n">
        <x:f>IFERROR(MATCH((MIN('Dashboard'!$Z$93,MAX(1,ROUNDUP(MAX('Calculations'!$DP$12:$DP$1012)/20,0)))-1)*20+4,'Calculations'!$DP$12:$DP$1012,0),0)</x:f>
        <x:v>0</x:v>
      </x:c>
      <x:c r="AS101" s="4"/>
      <x:c r="AT101" s="4"/>
      <x:c r="AU101" s="4"/>
      <x:c r="AV101" s="4"/>
      <x:c r="AW101" s="4"/>
      <x:c r="AX101" s="4"/>
      <x:c r="AY101" s="4"/>
      <x:c r="AZ101" s="4"/>
      <x:c r="BA101" s="4"/>
      <x:c r="BB101" s="4"/>
      <x:c r="BC101" s="4"/>
      <x:c r="BD101" s="4"/>
      <x:c r="BE101" s="4"/>
      <x:c r="BF101" s="4"/>
      <x:c r="BG101" s="4"/>
      <x:c r="BH101" s="4"/>
      <x:c r="BI101" s="4"/>
      <x:c r="BJ101" s="4"/>
      <x:c r="BK101" s="4"/>
      <x:c r="BL101" s="4"/>
      <x:c r="BM101" s="4" t="n">
        <x:f>IF('Calculations'!$EM101="",0,IF(OR(IFERROR(INDEX(INDIRECT("'WCM Calibration Final'!$A$1:$A$2000"),'Calculations'!$EM101)&lt;&gt;"",FALSE),IFERROR(INDEX(INDIRECT("'WCM Calibration Final'!$B$1:$B$2000"),'Calculations'!$EM101)&lt;&gt;"",FALSE),IFERROR(INDEX(INDIRECT("'WCM Calibration Final'!$C$1:$C$2000"),'Calculations'!$EM101)&lt;&gt;"",FALSE)),1,0))</x:f>
        <x:v>0</x:v>
      </x:c>
      <x:c r="BN101" s="4" t="n">
        <x:f>IF(AND('Calculations'!BM101=1,'Calculations'!$AG$2,'Calculations'!$EN101=1),1,0)</x:f>
        <x:v>0</x:v>
      </x:c>
      <x:c r="BO101" s="4" t="str">
        <x:f>IF('Calculations'!BM101=0,"",IFERROR(IF(AND(VALUE(INDEX(INDIRECT("'WCM Calibration Final'!$K$1:$K$2000"),'Calculations'!$EM101))&gt;=1,VALUE(INDEX(INDIRECT("'WCM Calibration Final'!$K$1:$K$2000"),'Calculations'!$EM101))&lt;=4,MOD(VALUE(INDEX(INDIRECT("'WCM Calibration Final'!$K$1:$K$2000"),'Calculations'!$EM101)),1)=0),VALUE(INDEX(INDIRECT("'WCM Calibration Final'!$K$1:$K$2000"),'Calculations'!$EM101)),""),""))</x:f>
      </x:c>
      <x:c r="BP101" s="4" t="str">
        <x:f>IF('Calculations'!BM101=0,"",IFERROR(IF(AND(VALUE(INDEX(INDIRECT("'WCM Calibration Final'!$L$1:$L$2000"),'Calculations'!$EM101))&gt;=1,VALUE(INDEX(INDIRECT("'WCM Calibration Final'!$L$1:$L$2000"),'Calculations'!$EM101))&lt;=4,MOD(VALUE(INDEX(INDIRECT("'WCM Calibration Final'!$L$1:$L$2000"),'Calculations'!$EM101)),1)=0),VALUE(INDEX(INDIRECT("'WCM Calibration Final'!$L$1:$L$2000"),'Calculations'!$EM101)),""),""))</x:f>
      </x:c>
      <x:c r="BQ101" s="4"/>
      <x:c r="BR101" s="4"/>
      <x:c r="BS101" s="4"/>
      <x:c r="BT101" s="4" t="n">
        <x:f>IF(AND('Calculations'!BM101=1,ISNUMBER('Calculations'!BO101),ISNUMBER('Calculations'!BP101)),1,0)</x:f>
        <x:v>0</x:v>
      </x:c>
      <x:c r="BU101" s="4" t="str">
        <x:f>IF('Calculations'!BM101=0,"",'Calculations'!$EO101)</x:f>
      </x:c>
      <x:c r="BV101" s="4" t="str">
        <x:f>IF('Calculations'!BM101=0,"",IFERROR(IF(OR(INDEX(INDIRECT("'WCM Calibration Final'!$H$1:$H$2000"),'Calculations'!$EM101)="MANAGING DIRECTOR",INDEX(INDIRECT("'WCM Calibration Final'!$H$1:$H$2000"),'Calculations'!$EM101)="DIRECTOR",INDEX(INDIRECT("'WCM Calibration Final'!$H$1:$H$2000"),'Calculations'!$EM101)="SENIOR VICE PRESIDENT",INDEX(INDIRECT("'WCM Calibration Final'!$H$1:$H$2000"),'Calculations'!$EM101)="VICE PRESIDENT",INDEX(INDIRECT("'WCM Calibration Final'!$H$1:$H$2000"),'Calculations'!$EM101)="ASSISTANT VICE PRESIDENT",INDEX(INDIRECT("'WCM Calibration Final'!$H$1:$H$2000"),'Calculations'!$EM101)="OFFICER"),UPPER(INDEX(INDIRECT("'WCM Calibration Final'!$H$1:$H$2000"),'Calculations'!$EM101)),"Other"),"Other"))</x:f>
      </x:c>
      <x:c r="BW101" s="4"/>
      <x:c r="BX101" s="4"/>
      <x:c r="BY101" s="4" t="n">
        <x:f>IF(AND('Calculations'!BM101=1,'Calculations'!BU101&lt;&gt;"",COUNTIF('Calculations'!$BU$12:BU101,'Calculations'!BU101)=1),MAX('Calculations'!$BY$11:BY100)+1,0)</x:f>
        <x:v>0</x:v>
      </x:c>
      <x:c r="BZ101" s="4" t="str">
        <x:f>IF('Dashboard'!$E$67="What",'Calculations'!BO101,'Calculations'!BP101)</x:f>
      </x:c>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t="str">
        <x:f>IF(90&gt;MAX('Calculations'!$HI$13:$HI$512),"",INDEX('Calculations'!$HN$13:$HN$512,MATCH(90,'Calculations'!$HI$13:$HI$512,0)))</x:f>
      </x:c>
      <x:c r="DB101" s="4" t="str">
        <x:f>IF(90&gt;MAX('Calculations'!$HH$13:$HH$512),"",INDEX('Calculations'!$HJ$13:$HJ$512,MATCH(90,'Calculations'!$HH$13:$HH$512,0)))</x:f>
      </x:c>
      <x:c r="DC101" s="4" t="str">
        <x:f>IF(ROW()-11&gt;MAX('Calculations'!$BY$13:$BY$512),"",INDEX('Calculations'!$BU$13:$BU$512,MATCH(ROW()-11,'Calculations'!$BY$13:$BY$512,0)))</x:f>
      </x:c>
      <x:c r="DD101" s="4" t="str">
        <x:f>IF(90&gt;MAX('Calculations'!$IK$13:$IK$512),"",INDEX('Calculations'!$HK$13:$HK$512,MATCH(90,'Calculations'!$IK$13:$IK$512,0)))</x:f>
      </x:c>
      <x:c r="DE101" s="4" t="str">
        <x:f>'Calculations'!DC101</x:f>
      </x:c>
      <x:c r="DF101" s="4" t="str">
        <x:f>IF('Calculations'!DE101="","",COUNTIFS('Calculations'!$BN$13:$BN$512,1,'Calculations'!$BU$13:$BU$512,'Calculations'!DE101))</x:f>
      </x:c>
      <x:c r="DG101" s="4" t="str">
        <x:f>IF('Calculations'!DE101="","",COUNTIFS('Calculations'!$BN$13:$BN$512,1,'Calculations'!$BU$13:$BU$512,'Calculations'!DE101,'Calculations'!$BT$13:$BT$512,1))</x:f>
      </x:c>
      <x:c r="DH101" s="4" t="str">
        <x:f>IF('Calculations'!DE101="","",'Calculations'!DF101-'Calculations'!DG101)</x:f>
      </x:c>
      <x:c r="DI101" s="4" t="str">
        <x:f>IF(OR('Calculations'!DE101="",'Calculations'!DF101=0),"",'Calculations'!DG101/'Calculations'!DF101)</x:f>
      </x:c>
      <x:c r="DJ101" s="4" t="str">
        <x:f>IF('Calculations'!DE101="","",COUNTIFS('Calculations'!$BN$13:$BN$512,1,'Calculations'!$BU$13:$BU$512,'Calculations'!DE101,'Calculations'!$BT$13:$BT$512,1,'Calculations'!$EE$13:$EE$512,"High"))</x:f>
      </x:c>
      <x:c r="DK101" s="4" t="str">
        <x:f>IF('Calculations'!DE101="","",COUNTIFS('Calculations'!$BN$13:$BN$512,1,'Calculations'!$BU$13:$BU$512,'Calculations'!DE101,'Calculations'!$BT$13:$BT$512,1,'Calculations'!$EE$13:$EE$512,"Strong"))</x:f>
      </x:c>
      <x:c r="DL101" s="4" t="str">
        <x:f>IF('Calculations'!DE101="","",COUNTIFS('Calculations'!$BN$13:$BN$512,1,'Calculations'!$BU$13:$BU$512,'Calculations'!DE101,'Calculations'!$BT$13:$BT$512,1,'Calculations'!$EE$13:$EE$512,"Solid"))</x:f>
      </x:c>
      <x:c r="DM101" s="4" t="str">
        <x:f>IF('Calculations'!DE101="","",COUNTIFS('Calculations'!$BN$13:$BN$512,1,'Calculations'!$BU$13:$BU$512,'Calculations'!DE101,'Calculations'!$BT$13:$BT$512,1,'Calculations'!$EE$13:$EE$512,"Low"))</x:f>
      </x:c>
      <x:c r="DN101" s="4" t="str">
        <x:f>IF('Calculations'!DE101="","",COUNTIFS('Calculations'!$BN$13:$BN$512,1,'Calculations'!$BU$13:$BU$512,'Calculations'!DE101,'Calculations'!$EP$13:$EP$512,1))</x:f>
      </x:c>
      <x:c r="DO101" s="4" t="str">
        <x:f>IF(OR('Calculations'!DE101="",'Calculations'!DG101=0),"",('Calculations'!DJ101+'Calculations'!DK101)/'Calculations'!DG101)</x:f>
      </x:c>
      <x:c r="DP101" s="4" t="n">
        <x:f>IF(AND('Calculations'!DE101&lt;&gt;"",'Calculations'!DF101&gt;0),COUNTIF('Calculations'!$DF$12:DF101,"&gt;0"),0)</x:f>
        <x:v>0</x:v>
      </x:c>
      <x:c r="DQ101" s="4" t="str">
        <x:f>IF(90&gt;MAX('Calculations'!$HH$13:$HH$512),"",INDEX('Calculations'!$HF$13:$HF$512,MATCH(90,'Calculations'!$HH$13:$HH$512,0)))</x:f>
      </x:c>
      <x:c r="DR101" s="4" t="str">
        <x:f>IF(90&gt;MAX('Calculations'!$IK$13:$IK$512),"",INDEX('Calculations'!$HE$13:$HE$512,MATCH(90,'Calculations'!$IK$13:$IK$512,0)))</x:f>
      </x:c>
      <x:c r="DS101" s="4"/>
      <x:c r="DT101" s="4"/>
      <x:c r="DU101" s="4"/>
      <x:c r="DV101" s="4"/>
      <x:c r="DW101" s="4"/>
      <x:c r="DX101" s="4"/>
      <x:c r="DY101" s="4"/>
      <x:c r="DZ101" s="4"/>
      <x:c r="EA101" s="4"/>
      <x:c r="EB101" s="4"/>
      <x:c r="EC101" s="4"/>
      <x:c r="ED101" s="4"/>
      <x:c r="EE101" s="4" t="str">
        <x:f>IF('Calculations'!BT101=0,"Not Rated",IF(OR('Calculations'!BO101&gt;=4,'Calculations'!BP101&gt;=4),"Low",IF('Calculations'!BO101+'Calculations'!BP101&lt;=3,"High",IF('Calculations'!BO101+'Calculations'!BP101&lt;=4,"Strong","Solid"))))</x:f>
        <x:v>Not Rated</x:v>
      </x:c>
      <x:c r="EF101" s="4"/>
      <x:c r="EG101" s="4"/>
      <x:c r="EH101" s="4"/>
      <x:c r="EI101" s="4"/>
      <x:c r="EJ101" s="4"/>
      <x:c r="EK101" s="4"/>
      <x:c r="EL101" s="4"/>
      <x:c r="EM101" s="4" t="str">
        <x:f>IF(89&gt;'Calculations'!$JB$2000,"",INDEX('Calculations'!$JA$12:$JA$2000,MATCH(89,'Calculations'!$JB$12:$JB$2000,0)))</x:f>
      </x:c>
      <x:c r="EN101" s="4" t="n">
        <x:f>IF(OR('Calculations'!EM101="",'Calculations'!$AG$8&gt;0,AND('Calculations'!$EF$2&lt;&gt;"All",'Calculations'!HE101='Calculations'!$EF$2),AND('Calculations'!$EF$3&lt;&gt;"All",'Calculations'!HE101='Calculations'!$EF$3)),0,IF(OR('Dashboard'!$B$7="All",'Calculations'!HN101='Dashboard'!$B$7),IF('Calculations'!$EF$2="All",1,IF('Calculations'!HL101&gt;0,0,IF(COUNTIF('Calculations'!HO101:II101,"="&amp;SUBSTITUTE(SUBSTITUTE(SUBSTITUTE('Calculations'!$EF$2,"~","~~"),"*","~*"),"?","~?"))=0,0,IF('Calculations'!$EF$3="All",1,IF(COUNTIF('Calculations'!HO101:II101,"="&amp;SUBSTITUTE(SUBSTITUTE(SUBSTITUTE('Calculations'!$EF$3,"~","~~"),"*","~*"),"?","~?"))&gt;0,1,0))))),0))</x:f>
        <x:v>0</x:v>
      </x:c>
      <x:c r="EO101" s="4" t="str">
        <x:f>IF('Calculations'!IJ101="","",IF('Calculations'!IJ101="!UNRESOLVED","Unresolved hierarchy",IFERROR(INDEX('Calculations'!$HK$13:$HK$512,MATCH('Calculations'!IJ101,'Calculations'!$HE$13:$HE$512,0)),IFERROR(INDEX('Calculations'!$HJ$13:$HJ$512,MATCH('Calculations'!IJ101,'Calculations'!$HF$13:$HF$512,0)),'Calculations'!IJ101))))</x:f>
      </x:c>
      <x:c r="EP101" s="4" t="n">
        <x:f>IF(AND('Calculations'!EM101&lt;&gt;"",'Calculations'!HF101='Calculations'!IJ101),1,0)</x:f>
        <x:v>0</x:v>
      </x:c>
      <x:c r="EQ101" s="4"/>
      <x:c r="ER101" s="4"/>
      <x:c r="ES101" s="4"/>
      <x:c r="ET101" s="4"/>
      <x:c r="EU101" s="4"/>
      <x:c r="EV101" s="4"/>
      <x:c r="EW101" s="4"/>
      <x:c r="EX101" s="4"/>
      <x:c r="EY101" s="4"/>
      <x:c r="EZ101" s="4"/>
      <x:c r="FA101" s="4"/>
      <x:c r="FB101" s="4"/>
      <x:c r="FC101" s="4"/>
      <x:c r="FD101" s="4"/>
      <x:c r="FE101" s="4"/>
      <x:c r="FF101" s="4"/>
      <x:c r="FG101" s="4"/>
      <x:c r="FH101" s="4"/>
      <x:c r="FI101" s="4"/>
      <x:c r="FJ101" s="4"/>
      <x:c r="FK101" s="4"/>
      <x:c r="FL101" s="4"/>
      <x:c r="FM101" s="4"/>
      <x:c r="FN101" s="4"/>
      <x:c r="FO101" s="4"/>
      <x:c r="GA101" s="71"/>
      <x:c r="GB101" s="71" t="str">
        <x:f>IF('Calculations'!$AR101=0,"",INDEX('Calculations'!$DE$12:$DE$1012,'Calculations'!$AR101))</x:f>
      </x:c>
      <x:c r="GC101" s="71"/>
      <x:c r="GD101" s="71"/>
      <x:c r="GE101" s="71"/>
      <x:c r="GF101" s="71"/>
      <x:c r="GG101" s="71"/>
      <x:c r="GH101" s="71"/>
      <x:c r="GI101" s="71" t="str">
        <x:f>IF('Calculations'!$AR101=0,"",INDEX('Calculations'!$DF$12:$DF$1012,'Calculations'!$AR101))</x:f>
      </x:c>
      <x:c r="GJ101" s="71"/>
      <x:c r="GK101" s="71" t="str">
        <x:f>IF('Calculations'!$AR101=0,"",INDEX('Calculations'!$DG$12:$DG$1012,'Calculations'!$AR101))</x:f>
      </x:c>
      <x:c r="GL101" s="71"/>
      <x:c r="GM101" s="71" t="str">
        <x:f>IF('Calculations'!$AR101=0,"",INDEX('Calculations'!$DH$12:$DH$1012,'Calculations'!$AR101))</x:f>
      </x:c>
      <x:c r="GN101" s="71"/>
      <x:c r="GO101" s="71" t="str">
        <x:f>IF('Calculations'!$AR101=0,"",INDEX('Calculations'!$DI$12:$DI$1012,'Calculations'!$AR101))</x:f>
      </x:c>
      <x:c r="GP101" s="71"/>
      <x:c r="GQ101" s="71" t="str">
        <x:f>IF('Calculations'!$AR101=0,"",INDEX('Calculations'!$DJ$12:$DJ$1012,'Calculations'!$AR101)&amp;" · "&amp;IF(INDEX('Calculations'!$DG$12:$DG$1012,'Calculations'!$AR101)=0,"n.a.",TEXT(INDEX('Calculations'!$DJ$12:$DJ$1012,'Calculations'!$AR101)/INDEX('Calculations'!$DG$12:$DG$1012,'Calculations'!$AR101),"0.0%")))</x:f>
      </x:c>
      <x:c r="GR101" s="71"/>
      <x:c r="GS101" s="71" t="str">
        <x:f>IF('Calculations'!$AR101=0,"",INDEX('Calculations'!$DK$12:$DK$1012,'Calculations'!$AR101)&amp;" · "&amp;IF(INDEX('Calculations'!$DG$12:$DG$1012,'Calculations'!$AR101)=0,"n.a.",TEXT(INDEX('Calculations'!$DK$12:$DK$1012,'Calculations'!$AR101)/INDEX('Calculations'!$DG$12:$DG$1012,'Calculations'!$AR101),"0.0%")))</x:f>
      </x:c>
      <x:c r="GT101" s="71"/>
      <x:c r="GU101" s="71" t="str">
        <x:f>IF('Calculations'!$AR101=0,"",INDEX('Calculations'!$DL$12:$DL$1012,'Calculations'!$AR101)&amp;" · "&amp;IF(INDEX('Calculations'!$DG$12:$DG$1012,'Calculations'!$AR101)=0,"n.a.",TEXT(INDEX('Calculations'!$DL$12:$DL$1012,'Calculations'!$AR101)/INDEX('Calculations'!$DG$12:$DG$1012,'Calculations'!$AR101),"0.0%")))</x:f>
      </x:c>
      <x:c r="GV101" s="71"/>
      <x:c r="GW101" s="71" t="str">
        <x:f>IF('Calculations'!$AR101=0,"",INDEX('Calculations'!$DM$12:$DM$1012,'Calculations'!$AR101)&amp;" · "&amp;IF(INDEX('Calculations'!$DG$12:$DG$1012,'Calculations'!$AR101)=0,"n.a.",TEXT(INDEX('Calculations'!$DM$12:$DM$1012,'Calculations'!$AR101)/INDEX('Calculations'!$DG$12:$DG$1012,'Calculations'!$AR101),"0.0%")))</x:f>
      </x:c>
      <x:c r="GX101" s="71"/>
      <x:c r="GY101" s="71" t="str">
        <x:f>IF('Calculations'!$AR101=0,"",INDEX('Calculations'!$DN$12:$DN$1012,'Calculations'!$AR101))</x:f>
      </x:c>
      <x:c r="GZ101" s="71"/>
      <x:c r="HA101" s="71" t="str">
        <x:f>IF('Calculations'!$AR101=0,"",INDEX('Calculations'!$DO$12:$DO$1012,'Calculations'!$AR101))</x:f>
      </x:c>
      <x:c r="HB101" s="71"/>
      <x:c r="HC101" s="71"/>
      <x:c r="HD101" s="71"/>
      <x:c r="HE101" t="str">
        <x:f>IF('Calculations'!EM101="","",IF(IFERROR(IF(INDEX(INDIRECT("'WCM Calibration Final'!$A$1:$A$2000"),'Calculations'!$EM101)="","",TRIM(INDEX(INDIRECT("'WCM Calibration Final'!$A$1:$A$2000"),'Calculations'!$EM101)&amp;"")),"")&lt;&gt;"","G:"&amp;IFERROR(TEXT(1*INDEX(INDIRECT("'WCM Calibration Final'!$A$1:$A$2000"),'Calculations'!$EM101),"0"),UPPER(IFERROR(IF(INDEX(INDIRECT("'WCM Calibration Final'!$A$1:$A$2000"),'Calculations'!$EM101)="","",TRIM(INDEX(INDIRECT("'WCM Calibration Final'!$A$1:$A$2000"),'Calculations'!$EM101)&amp;"")),""))),IF(IFERROR(IF(INDEX(INDIRECT("'WCM Calibration Final'!$C$1:$C$2000"),'Calculations'!$EM101)="","",TRIM(INDEX(INDIRECT("'WCM Calibration Final'!$C$1:$C$2000"),'Calculations'!$EM101)&amp;"")),"")&lt;&gt;"","S:"&amp;UPPER(IFERROR(IF(INDEX(INDIRECT("'WCM Calibration Final'!$C$1:$C$2000"),'Calculations'!$EM101)="","",TRIM(INDEX(INDIRECT("'WCM Calibration Final'!$C$1:$C$2000"),'Calculations'!$EM101)&amp;"")),"")),"R:"&amp;'Calculations'!EM101)))</x:f>
      </x:c>
      <x:c r="HF101" t="str">
        <x:f>IF('Calculations'!EM101="","",IF(IFERROR(IF(INDEX(INDIRECT("'WCM Calibration Final'!$D$1:$D$2000"),'Calculations'!$EM101)="","",TRIM(INDEX(INDIRECT("'WCM Calibration Final'!$D$1:$D$2000"),'Calculations'!$EM101)&amp;"")),"")&lt;&gt;"","G:"&amp;IFERROR(TEXT(1*INDEX(INDIRECT("'WCM Calibration Final'!$D$1:$D$2000"),'Calculations'!$EM101),"0"),UPPER(IFERROR(IF(INDEX(INDIRECT("'WCM Calibration Final'!$D$1:$D$2000"),'Calculations'!$EM101)="","",TRIM(INDEX(INDIRECT("'WCM Calibration Final'!$D$1:$D$2000"),'Calculations'!$EM101)&amp;"")),""))),IF(IFERROR(IF(INDEX(INDIRECT("'WCM Calibration Final'!$E$1:$E$2000"),'Calculations'!$EM101)="","",TRIM(INDEX(INDIRECT("'WCM Calibration Final'!$E$1:$E$2000"),'Calculations'!$EM101)&amp;"")),"")="","",IF(COUNTIF('Calculations'!$HG$13:$HG$512,"="&amp;SUBSTITUTE(SUBSTITUTE(SUBSTITUTE(IFERROR(IF(INDEX(INDIRECT("'WCM Calibration Final'!$E$1:$E$2000"),'Calculations'!$EM101)="","",TRIM(INDEX(INDIRECT("'WCM Calibration Final'!$E$1:$E$2000"),'Calculations'!$EM101)&amp;"")),""),"~","~~"),"*","~*"),"?","~?"))=1,INDEX('Calculations'!$HE$13:$HE$512,MATCH(IFERROR(IF(INDEX(INDIRECT("'WCM Calibration Final'!$E$1:$E$2000"),'Calculations'!$EM101)="","",TRIM(INDEX(INDIRECT("'WCM Calibration Final'!$E$1:$E$2000"),'Calculations'!$EM101)&amp;"")),""),'Calculations'!$HG$13:$HG$512,0)),IF(COUNTIF('Calculations'!$HG$13:$HG$512,"="&amp;SUBSTITUTE(SUBSTITUTE(SUBSTITUTE(IFERROR(IF(INDEX(INDIRECT("'WCM Calibration Final'!$E$1:$E$2000"),'Calculations'!$EM101)="","",TRIM(INDEX(INDIRECT("'WCM Calibration Final'!$E$1:$E$2000"),'Calculations'!$EM101)&amp;"")),""),"~","~~"),"*","~*"),"?","~?"))&gt;1,"!AMBIG","X:"&amp;IFERROR(IF(INDEX(INDIRECT("'WCM Calibration Final'!$E$1:$E$2000"),'Calculations'!$EM101)="","",TRIM(INDEX(INDIRECT("'WCM Calibration Final'!$E$1:$E$2000"),'Calculations'!$EM101)&amp;"")),""))))))</x:f>
      </x:c>
      <x:c r="HG101" t="str">
        <x:f>IF('Calculations'!EM101="","",IFERROR(IF(INDEX(INDIRECT("'WCM Calibration Final'!$B$1:$B$2000"),'Calculations'!$EM101)="","",TRIM(INDEX(INDIRECT("'WCM Calibration Final'!$B$1:$B$2000"),'Calculations'!$EM101)&amp;"")),""))</x:f>
      </x:c>
      <x:c r="HH101" t="n">
        <x:f>IF(AND('Calculations'!JC101&gt;0,COUNTIF('Calculations'!$HF$12:HF101,"="&amp;SUBSTITUTE(SUBSTITUTE(SUBSTITUTE('Calculations'!HF101,"~","~~"),"*","~*"),"?","~?"))=1),MAX('Calculations'!$HH$12:HH100)+1,0)</x:f>
        <x:v>0</x:v>
      </x:c>
      <x:c r="HI101" t="n">
        <x:f>IF(AND('Calculations'!HN101&lt;&gt;"",COUNTIF('Calculations'!$HN$12:HN101,"="&amp;SUBSTITUTE(SUBSTITUTE(SUBSTITUTE('Calculations'!HN101,"~","~~"),"*","~*"),"?","~?"))=1),MAX('Calculations'!$HI$12:HI100)+1,0)</x:f>
        <x:v>0</x:v>
      </x:c>
      <x:c r="HJ101" t="str">
        <x:f>IF('Calculations'!HF101="","",IF(COUNTIF('Calculations'!$HE$13:$HE$512,"="&amp;SUBSTITUTE(SUBSTITUTE(SUBSTITUTE('Calculations'!HF101,"~","~~"),"*","~*"),"?","~?"))=1,INDEX('Calculations'!$HK$13:$HK$512,MATCH('Calculations'!HF101,'Calculations'!$HE$13:$HE$512,0)),IFERROR(IF(INDEX(INDIRECT("'WCM Calibration Final'!$E$1:$E$2000"),'Calculations'!$EM101)="","",TRIM(INDEX(INDIRECT("'WCM Calibration Final'!$E$1:$E$2000"),'Calculations'!$EM101)&amp;"")),"")&amp;" ["&amp;'Calculations'!HF101&amp;"]"))</x:f>
      </x:c>
      <x:c r="HK101" t="str">
        <x:f>IF('Calculations'!EM101="","",'Calculations'!HG101&amp;" ["&amp;'Calculations'!HE101&amp;"]")</x:f>
      </x:c>
      <x:c r="HL101" t="n">
        <x:f>IF('Calculations'!EM101="",0,IF(OR('Calculations'!II101&lt;&gt;"",COUNTIF('Calculations'!$HE$13:$HE$512,"="&amp;SUBSTITUTE(SUBSTITUTE(SUBSTITUTE('Calculations'!HE101,"~","~~"),"*","~*"),"?","~?"))&gt;1),1,0))</x:f>
        <x:v>0</x:v>
      </x:c>
      <x:c r="HM101" t="str">
        <x:f>IF('Calculations'!EM101="","",IF('Calculations'!HL101=1,"!UNRESOLVED",IF('Calculations'!IH101&lt;&gt;"",'Calculations'!IH101,IF('Calculations'!IG101&lt;&gt;"",'Calculations'!IG101,IF('Calculations'!IF101&lt;&gt;"",'Calculations'!IF101,IF('Calculations'!IE101&lt;&gt;"",'Calculations'!IE101,IF('Calculations'!ID101&lt;&gt;"",'Calculations'!ID101,IF('Calculations'!IC101&lt;&gt;"",'Calculations'!IC101,IF('Calculations'!IB101&lt;&gt;"",'Calculations'!IB101,IF('Calculations'!IA101&lt;&gt;"",'Calculations'!IA101,IF('Calculations'!HZ101&lt;&gt;"",'Calculations'!HZ101,IF('Calculations'!HY101&lt;&gt;"",'Calculations'!HY101,IF('Calculations'!HX101&lt;&gt;"",'Calculations'!HX101,IF('Calculations'!HW101&lt;&gt;"",'Calculations'!HW101,IF('Calculations'!HV101&lt;&gt;"",'Calculations'!HV101,IF('Calculations'!HU101&lt;&gt;"",'Calculations'!HU101,IF('Calculations'!HT101&lt;&gt;"",'Calculations'!HT101,IF('Calculations'!HS101&lt;&gt;"",'Calculations'!HS101,IF('Calculations'!HR101&lt;&gt;"",'Calculations'!HR101,IF('Calculations'!HQ101&lt;&gt;"",'Calculations'!HQ101,IF('Calculations'!HP101&lt;&gt;"",'Calculations'!HP101,IF('Calculations'!HO101&lt;&gt;"",'Calculations'!HO101,'Calculations'!HE101))))))))))))))))))))))</x:f>
      </x:c>
      <x:c r="HN101" t="str">
        <x:f>IF('Calculations'!EM101="","",IF(IFERROR(IF(INDEX(INDIRECT("'WCM Calibration Final'!$F$1:$F$2000"),'Calculations'!$EM101)="","",TRIM(INDEX(INDIRECT("'WCM Calibration Final'!$F$1:$F$2000"),'Calculations'!$EM101)&amp;"")),"")="","(Blank)",IFERROR(IF(INDEX(INDIRECT("'WCM Calibration Final'!$F$1:$F$2000"),'Calculations'!$EM101)="","",TRIM(INDEX(INDIRECT("'WCM Calibration Final'!$F$1:$F$2000"),'Calculations'!$EM101)&amp;"")),"")))</x:f>
      </x:c>
      <x:c r="HO101" t="str">
        <x:f>'Calculations'!HF101</x:f>
      </x:c>
      <x:c r="HP101" t="str">
        <x:f>IF('Calculations'!HO101="","",IF('Calculations'!HO101="!AMBIG","!AMBIG",IF(COUNTIF('Calculations'!$HE$13:$HE$512,"="&amp;SUBSTITUTE(SUBSTITUTE(SUBSTITUTE('Calculations'!HO101,"~","~~"),"*","~*"),"?","~?"))&gt;1,"!AMBIG",IFERROR(INDEX('Calculations'!$HF$13:$HF$512,MATCH('Calculations'!HO101,'Calculations'!$HE$13:$HE$512,0)),""))))</x:f>
      </x:c>
      <x:c r="HQ101" t="str">
        <x:f>IF('Calculations'!HP101="","",IF('Calculations'!HP101="!AMBIG","!AMBIG",IF(COUNTIF('Calculations'!$HE$13:$HE$512,"="&amp;SUBSTITUTE(SUBSTITUTE(SUBSTITUTE('Calculations'!HP101,"~","~~"),"*","~*"),"?","~?"))&gt;1,"!AMBIG",IFERROR(INDEX('Calculations'!$HF$13:$HF$512,MATCH('Calculations'!HP101,'Calculations'!$HE$13:$HE$512,0)),""))))</x:f>
      </x:c>
      <x:c r="HR101" t="str">
        <x:f>IF('Calculations'!HQ101="","",IF('Calculations'!HQ101="!AMBIG","!AMBIG",IF(COUNTIF('Calculations'!$HE$13:$HE$512,"="&amp;SUBSTITUTE(SUBSTITUTE(SUBSTITUTE('Calculations'!HQ101,"~","~~"),"*","~*"),"?","~?"))&gt;1,"!AMBIG",IFERROR(INDEX('Calculations'!$HF$13:$HF$512,MATCH('Calculations'!HQ101,'Calculations'!$HE$13:$HE$512,0)),""))))</x:f>
      </x:c>
      <x:c r="HS101" t="str">
        <x:f>IF('Calculations'!HR101="","",IF('Calculations'!HR101="!AMBIG","!AMBIG",IF(COUNTIF('Calculations'!$HE$13:$HE$512,"="&amp;SUBSTITUTE(SUBSTITUTE(SUBSTITUTE('Calculations'!HR101,"~","~~"),"*","~*"),"?","~?"))&gt;1,"!AMBIG",IFERROR(INDEX('Calculations'!$HF$13:$HF$512,MATCH('Calculations'!HR101,'Calculations'!$HE$13:$HE$512,0)),""))))</x:f>
      </x:c>
      <x:c r="HT101" t="str">
        <x:f>IF('Calculations'!HS101="","",IF('Calculations'!HS101="!AMBIG","!AMBIG",IF(COUNTIF('Calculations'!$HE$13:$HE$512,"="&amp;SUBSTITUTE(SUBSTITUTE(SUBSTITUTE('Calculations'!HS101,"~","~~"),"*","~*"),"?","~?"))&gt;1,"!AMBIG",IFERROR(INDEX('Calculations'!$HF$13:$HF$512,MATCH('Calculations'!HS101,'Calculations'!$HE$13:$HE$512,0)),""))))</x:f>
      </x:c>
      <x:c r="HU101" t="str">
        <x:f>IF('Calculations'!HT101="","",IF('Calculations'!HT101="!AMBIG","!AMBIG",IF(COUNTIF('Calculations'!$HE$13:$HE$512,"="&amp;SUBSTITUTE(SUBSTITUTE(SUBSTITUTE('Calculations'!HT101,"~","~~"),"*","~*"),"?","~?"))&gt;1,"!AMBIG",IFERROR(INDEX('Calculations'!$HF$13:$HF$512,MATCH('Calculations'!HT101,'Calculations'!$HE$13:$HE$512,0)),""))))</x:f>
      </x:c>
      <x:c r="HV101" t="str">
        <x:f>IF('Calculations'!HU101="","",IF('Calculations'!HU101="!AMBIG","!AMBIG",IF(COUNTIF('Calculations'!$HE$13:$HE$512,"="&amp;SUBSTITUTE(SUBSTITUTE(SUBSTITUTE('Calculations'!HU101,"~","~~"),"*","~*"),"?","~?"))&gt;1,"!AMBIG",IFERROR(INDEX('Calculations'!$HF$13:$HF$512,MATCH('Calculations'!HU101,'Calculations'!$HE$13:$HE$512,0)),""))))</x:f>
      </x:c>
      <x:c r="HW101" t="str">
        <x:f>IF('Calculations'!HV101="","",IF('Calculations'!HV101="!AMBIG","!AMBIG",IF(COUNTIF('Calculations'!$HE$13:$HE$512,"="&amp;SUBSTITUTE(SUBSTITUTE(SUBSTITUTE('Calculations'!HV101,"~","~~"),"*","~*"),"?","~?"))&gt;1,"!AMBIG",IFERROR(INDEX('Calculations'!$HF$13:$HF$512,MATCH('Calculations'!HV101,'Calculations'!$HE$13:$HE$512,0)),""))))</x:f>
      </x:c>
      <x:c r="HX101" t="str">
        <x:f>IF('Calculations'!HW101="","",IF('Calculations'!HW101="!AMBIG","!AMBIG",IF(COUNTIF('Calculations'!$HE$13:$HE$512,"="&amp;SUBSTITUTE(SUBSTITUTE(SUBSTITUTE('Calculations'!HW101,"~","~~"),"*","~*"),"?","~?"))&gt;1,"!AMBIG",IFERROR(INDEX('Calculations'!$HF$13:$HF$512,MATCH('Calculations'!HW101,'Calculations'!$HE$13:$HE$512,0)),""))))</x:f>
      </x:c>
      <x:c r="HY101" t="str">
        <x:f>IF('Calculations'!HX101="","",IF('Calculations'!HX101="!AMBIG","!AMBIG",IF(COUNTIF('Calculations'!$HE$13:$HE$512,"="&amp;SUBSTITUTE(SUBSTITUTE(SUBSTITUTE('Calculations'!HX101,"~","~~"),"*","~*"),"?","~?"))&gt;1,"!AMBIG",IFERROR(INDEX('Calculations'!$HF$13:$HF$512,MATCH('Calculations'!HX101,'Calculations'!$HE$13:$HE$512,0)),""))))</x:f>
      </x:c>
      <x:c r="HZ101" t="str">
        <x:f>IF('Calculations'!HY101="","",IF('Calculations'!HY101="!AMBIG","!AMBIG",IF(COUNTIF('Calculations'!$HE$13:$HE$512,"="&amp;SUBSTITUTE(SUBSTITUTE(SUBSTITUTE('Calculations'!HY101,"~","~~"),"*","~*"),"?","~?"))&gt;1,"!AMBIG",IFERROR(INDEX('Calculations'!$HF$13:$HF$512,MATCH('Calculations'!HY101,'Calculations'!$HE$13:$HE$512,0)),""))))</x:f>
      </x:c>
      <x:c r="IA101" t="str">
        <x:f>IF('Calculations'!HZ101="","",IF('Calculations'!HZ101="!AMBIG","!AMBIG",IF(COUNTIF('Calculations'!$HE$13:$HE$512,"="&amp;SUBSTITUTE(SUBSTITUTE(SUBSTITUTE('Calculations'!HZ101,"~","~~"),"*","~*"),"?","~?"))&gt;1,"!AMBIG",IFERROR(INDEX('Calculations'!$HF$13:$HF$512,MATCH('Calculations'!HZ101,'Calculations'!$HE$13:$HE$512,0)),""))))</x:f>
      </x:c>
      <x:c r="IB101" t="str">
        <x:f>IF('Calculations'!IA101="","",IF('Calculations'!IA101="!AMBIG","!AMBIG",IF(COUNTIF('Calculations'!$HE$13:$HE$512,"="&amp;SUBSTITUTE(SUBSTITUTE(SUBSTITUTE('Calculations'!IA101,"~","~~"),"*","~*"),"?","~?"))&gt;1,"!AMBIG",IFERROR(INDEX('Calculations'!$HF$13:$HF$512,MATCH('Calculations'!IA101,'Calculations'!$HE$13:$HE$512,0)),""))))</x:f>
      </x:c>
      <x:c r="IC101" t="str">
        <x:f>IF('Calculations'!IB101="","",IF('Calculations'!IB101="!AMBIG","!AMBIG",IF(COUNTIF('Calculations'!$HE$13:$HE$512,"="&amp;SUBSTITUTE(SUBSTITUTE(SUBSTITUTE('Calculations'!IB101,"~","~~"),"*","~*"),"?","~?"))&gt;1,"!AMBIG",IFERROR(INDEX('Calculations'!$HF$13:$HF$512,MATCH('Calculations'!IB101,'Calculations'!$HE$13:$HE$512,0)),""))))</x:f>
      </x:c>
      <x:c r="ID101" t="str">
        <x:f>IF('Calculations'!IC101="","",IF('Calculations'!IC101="!AMBIG","!AMBIG",IF(COUNTIF('Calculations'!$HE$13:$HE$512,"="&amp;SUBSTITUTE(SUBSTITUTE(SUBSTITUTE('Calculations'!IC101,"~","~~"),"*","~*"),"?","~?"))&gt;1,"!AMBIG",IFERROR(INDEX('Calculations'!$HF$13:$HF$512,MATCH('Calculations'!IC101,'Calculations'!$HE$13:$HE$512,0)),""))))</x:f>
      </x:c>
      <x:c r="IE101" t="str">
        <x:f>IF('Calculations'!ID101="","",IF('Calculations'!ID101="!AMBIG","!AMBIG",IF(COUNTIF('Calculations'!$HE$13:$HE$512,"="&amp;SUBSTITUTE(SUBSTITUTE(SUBSTITUTE('Calculations'!ID101,"~","~~"),"*","~*"),"?","~?"))&gt;1,"!AMBIG",IFERROR(INDEX('Calculations'!$HF$13:$HF$512,MATCH('Calculations'!ID101,'Calculations'!$HE$13:$HE$512,0)),""))))</x:f>
      </x:c>
      <x:c r="IF101" t="str">
        <x:f>IF('Calculations'!IE101="","",IF('Calculations'!IE101="!AMBIG","!AMBIG",IF(COUNTIF('Calculations'!$HE$13:$HE$512,"="&amp;SUBSTITUTE(SUBSTITUTE(SUBSTITUTE('Calculations'!IE101,"~","~~"),"*","~*"),"?","~?"))&gt;1,"!AMBIG",IFERROR(INDEX('Calculations'!$HF$13:$HF$512,MATCH('Calculations'!IE101,'Calculations'!$HE$13:$HE$512,0)),""))))</x:f>
      </x:c>
      <x:c r="IG101" t="str">
        <x:f>IF('Calculations'!IF101="","",IF('Calculations'!IF101="!AMBIG","!AMBIG",IF(COUNTIF('Calculations'!$HE$13:$HE$512,"="&amp;SUBSTITUTE(SUBSTITUTE(SUBSTITUTE('Calculations'!IF101,"~","~~"),"*","~*"),"?","~?"))&gt;1,"!AMBIG",IFERROR(INDEX('Calculations'!$HF$13:$HF$512,MATCH('Calculations'!IF101,'Calculations'!$HE$13:$HE$512,0)),""))))</x:f>
      </x:c>
      <x:c r="IH101" t="str">
        <x:f>IF('Calculations'!IG101="","",IF('Calculations'!IG101="!AMBIG","!AMBIG",IF(COUNTIF('Calculations'!$HE$13:$HE$512,"="&amp;SUBSTITUTE(SUBSTITUTE(SUBSTITUTE('Calculations'!IG101,"~","~~"),"*","~*"),"?","~?"))&gt;1,"!AMBIG",IFERROR(INDEX('Calculations'!$HF$13:$HF$512,MATCH('Calculations'!IG101,'Calculations'!$HE$13:$HE$512,0)),""))))</x:f>
      </x:c>
      <x:c r="II101" t="str">
        <x:f>IF('Calculations'!IH101="","",IF('Calculations'!IH101="!AMBIG","!AMBIG",IF(COUNTIF('Calculations'!$HE$13:$HE$512,"="&amp;SUBSTITUTE(SUBSTITUTE(SUBSTITUTE('Calculations'!IH101,"~","~~"),"*","~*"),"?","~?"))&gt;1,"!AMBIG",IFERROR(INDEX('Calculations'!$HF$13:$HF$512,MATCH('Calculations'!IH101,'Calculations'!$HE$13:$HE$512,0)),""))))</x:f>
      </x:c>
      <x:c r="IJ101" t="str">
        <x:f>IF('Calculations'!EM101="","",IF('Calculations'!$EF$2="All",'Calculations'!HM101,IF('Calculations'!HL101=1,"",IFERROR(IF(MATCH('Calculations'!$EF$2,'Calculations'!HO101:II101,0)=1,'Calculations'!HE101,INDEX('Calculations'!HO101:II101,1,MATCH('Calculations'!$EF$2,'Calculations'!HO101:II101,0)-1)),""))))</x:f>
      </x:c>
      <x:c r="IK101" t="n">
        <x:f>IF(AND('Calculations'!EM101&lt;&gt;"",'Calculations'!$EF$2&lt;&gt;"All",'Calculations'!HF101='Calculations'!$EF$2,'Calculations'!HL101=0,'Calculations'!JD101&gt;0),MAX('Calculations'!$IK$12:IK100)+1,0)</x:f>
        <x:v>0</x:v>
      </x:c>
      <x:c r="JA101" t="n">
        <x:f>IF(OR(IFERROR(INDIRECT("'WCM Calibration Final'!$A$101")&lt;&gt;"",FALSE),IFERROR(INDIRECT("'WCM Calibration Final'!$B$101")&lt;&gt;"",FALSE),IFERROR(INDIRECT("'WCM Calibration Final'!$C$101")&lt;&gt;"",FALSE)),101,0)</x:f>
        <x:v>0</x:v>
      </x:c>
      <x:c r="JB101" t="n">
        <x:f>'Calculations'!JB100+IF('Calculations'!JA101&gt;0,1,0)</x:f>
        <x:v>0</x:v>
      </x:c>
      <x:c r="JC101" t="n">
        <x:f>IF(OR('Calculations'!HF101="",'Calculations'!HF101="!AMBIG"),0,IF('Dashboard'!$B$7="All",1,COUNTIFS('Calculations'!$HO$13:$HO$512,"="&amp;SUBSTITUTE(SUBSTITUTE(SUBSTITUTE('Calculations'!HF101,"~","~~"),"*","~*"),"?","~?"),'Calculations'!$HN$13:$HN$512,"="&amp;SUBSTITUTE(SUBSTITUTE(SUBSTITUTE('Dashboard'!$B$7,"~","~~"),"*","~*"),"?","~?"))+COUNTIFS('Calculations'!$HP$13:$HP$512,"="&amp;SUBSTITUTE(SUBSTITUTE(SUBSTITUTE('Calculations'!HF101,"~","~~"),"*","~*"),"?","~?"),'Calculations'!$HN$13:$HN$512,"="&amp;SUBSTITUTE(SUBSTITUTE(SUBSTITUTE('Dashboard'!$B$7,"~","~~"),"*","~*"),"?","~?"))+COUNTIFS('Calculations'!$HQ$13:$HQ$512,"="&amp;SUBSTITUTE(SUBSTITUTE(SUBSTITUTE('Calculations'!HF101,"~","~~"),"*","~*"),"?","~?"),'Calculations'!$HN$13:$HN$512,"="&amp;SUBSTITUTE(SUBSTITUTE(SUBSTITUTE('Dashboard'!$B$7,"~","~~"),"*","~*"),"?","~?"))+COUNTIFS('Calculations'!$HR$13:$HR$512,"="&amp;SUBSTITUTE(SUBSTITUTE(SUBSTITUTE('Calculations'!HF101,"~","~~"),"*","~*"),"?","~?"),'Calculations'!$HN$13:$HN$512,"="&amp;SUBSTITUTE(SUBSTITUTE(SUBSTITUTE('Dashboard'!$B$7,"~","~~"),"*","~*"),"?","~?"))+COUNTIFS('Calculations'!$HS$13:$HS$512,"="&amp;SUBSTITUTE(SUBSTITUTE(SUBSTITUTE('Calculations'!HF101,"~","~~"),"*","~*"),"?","~?"),'Calculations'!$HN$13:$HN$512,"="&amp;SUBSTITUTE(SUBSTITUTE(SUBSTITUTE('Dashboard'!$B$7,"~","~~"),"*","~*"),"?","~?"))+COUNTIFS('Calculations'!$HT$13:$HT$512,"="&amp;SUBSTITUTE(SUBSTITUTE(SUBSTITUTE('Calculations'!HF101,"~","~~"),"*","~*"),"?","~?"),'Calculations'!$HN$13:$HN$512,"="&amp;SUBSTITUTE(SUBSTITUTE(SUBSTITUTE('Dashboard'!$B$7,"~","~~"),"*","~*"),"?","~?"))+COUNTIFS('Calculations'!$HU$13:$HU$512,"="&amp;SUBSTITUTE(SUBSTITUTE(SUBSTITUTE('Calculations'!HF101,"~","~~"),"*","~*"),"?","~?"),'Calculations'!$HN$13:$HN$512,"="&amp;SUBSTITUTE(SUBSTITUTE(SUBSTITUTE('Dashboard'!$B$7,"~","~~"),"*","~*"),"?","~?"))+COUNTIFS('Calculations'!$HV$13:$HV$512,"="&amp;SUBSTITUTE(SUBSTITUTE(SUBSTITUTE('Calculations'!HF101,"~","~~"),"*","~*"),"?","~?"),'Calculations'!$HN$13:$HN$512,"="&amp;SUBSTITUTE(SUBSTITUTE(SUBSTITUTE('Dashboard'!$B$7,"~","~~"),"*","~*"),"?","~?"))+COUNTIFS('Calculations'!$HW$13:$HW$512,"="&amp;SUBSTITUTE(SUBSTITUTE(SUBSTITUTE('Calculations'!HF101,"~","~~"),"*","~*"),"?","~?"),'Calculations'!$HN$13:$HN$512,"="&amp;SUBSTITUTE(SUBSTITUTE(SUBSTITUTE('Dashboard'!$B$7,"~","~~"),"*","~*"),"?","~?"))+COUNTIFS('Calculations'!$HX$13:$HX$512,"="&amp;SUBSTITUTE(SUBSTITUTE(SUBSTITUTE('Calculations'!HF101,"~","~~"),"*","~*"),"?","~?"),'Calculations'!$HN$13:$HN$512,"="&amp;SUBSTITUTE(SUBSTITUTE(SUBSTITUTE('Dashboard'!$B$7,"~","~~"),"*","~*"),"?","~?"))+COUNTIFS('Calculations'!$HY$13:$HY$512,"="&amp;SUBSTITUTE(SUBSTITUTE(SUBSTITUTE('Calculations'!HF101,"~","~~"),"*","~*"),"?","~?"),'Calculations'!$HN$13:$HN$512,"="&amp;SUBSTITUTE(SUBSTITUTE(SUBSTITUTE('Dashboard'!$B$7,"~","~~"),"*","~*"),"?","~?"))+COUNTIFS('Calculations'!$HZ$13:$HZ$512,"="&amp;SUBSTITUTE(SUBSTITUTE(SUBSTITUTE('Calculations'!HF101,"~","~~"),"*","~*"),"?","~?"),'Calculations'!$HN$13:$HN$512,"="&amp;SUBSTITUTE(SUBSTITUTE(SUBSTITUTE('Dashboard'!$B$7,"~","~~"),"*","~*"),"?","~?"))+COUNTIFS('Calculations'!$IA$13:$IA$512,"="&amp;SUBSTITUTE(SUBSTITUTE(SUBSTITUTE('Calculations'!HF101,"~","~~"),"*","~*"),"?","~?"),'Calculations'!$HN$13:$HN$512,"="&amp;SUBSTITUTE(SUBSTITUTE(SUBSTITUTE('Dashboard'!$B$7,"~","~~"),"*","~*"),"?","~?"))+COUNTIFS('Calculations'!$IB$13:$IB$512,"="&amp;SUBSTITUTE(SUBSTITUTE(SUBSTITUTE('Calculations'!HF101,"~","~~"),"*","~*"),"?","~?"),'Calculations'!$HN$13:$HN$512,"="&amp;SUBSTITUTE(SUBSTITUTE(SUBSTITUTE('Dashboard'!$B$7,"~","~~"),"*","~*"),"?","~?"))+COUNTIFS('Calculations'!$IC$13:$IC$512,"="&amp;SUBSTITUTE(SUBSTITUTE(SUBSTITUTE('Calculations'!HF101,"~","~~"),"*","~*"),"?","~?"),'Calculations'!$HN$13:$HN$512,"="&amp;SUBSTITUTE(SUBSTITUTE(SUBSTITUTE('Dashboard'!$B$7,"~","~~"),"*","~*"),"?","~?"))+COUNTIFS('Calculations'!$ID$13:$ID$512,"="&amp;SUBSTITUTE(SUBSTITUTE(SUBSTITUTE('Calculations'!HF101,"~","~~"),"*","~*"),"?","~?"),'Calculations'!$HN$13:$HN$512,"="&amp;SUBSTITUTE(SUBSTITUTE(SUBSTITUTE('Dashboard'!$B$7,"~","~~"),"*","~*"),"?","~?"))+COUNTIFS('Calculations'!$IE$13:$IE$512,"="&amp;SUBSTITUTE(SUBSTITUTE(SUBSTITUTE('Calculations'!HF101,"~","~~"),"*","~*"),"?","~?"),'Calculations'!$HN$13:$HN$512,"="&amp;SUBSTITUTE(SUBSTITUTE(SUBSTITUTE('Dashboard'!$B$7,"~","~~"),"*","~*"),"?","~?"))+COUNTIFS('Calculations'!$IF$13:$IF$512,"="&amp;SUBSTITUTE(SUBSTITUTE(SUBSTITUTE('Calculations'!HF101,"~","~~"),"*","~*"),"?","~?"),'Calculations'!$HN$13:$HN$512,"="&amp;SUBSTITUTE(SUBSTITUTE(SUBSTITUTE('Dashboard'!$B$7,"~","~~"),"*","~*"),"?","~?"))+COUNTIFS('Calculations'!$IG$13:$IG$512,"="&amp;SUBSTITUTE(SUBSTITUTE(SUBSTITUTE('Calculations'!HF101,"~","~~"),"*","~*"),"?","~?"),'Calculations'!$HN$13:$HN$512,"="&amp;SUBSTITUTE(SUBSTITUTE(SUBSTITUTE('Dashboard'!$B$7,"~","~~"),"*","~*"),"?","~?"))+COUNTIFS('Calculations'!$IH$13:$IH$512,"="&amp;SUBSTITUTE(SUBSTITUTE(SUBSTITUTE('Calculations'!HF101,"~","~~"),"*","~*"),"?","~?"),'Calculations'!$HN$13:$HN$512,"="&amp;SUBSTITUTE(SUBSTITUTE(SUBSTITUTE('Dashboard'!$B$7,"~","~~"),"*","~*"),"?","~?"))))</x:f>
        <x:v>0</x:v>
      </x:c>
      <x:c r="JD101" t="n">
        <x:f>IF('Calculations'!EM101="",0,IF('Dashboard'!$B$7="All",1,IF('Calculations'!HN101='Dashboard'!$B$7,1,0)+IFERROR(INDEX('Calculations'!$JC$13:$JC$512,MATCH('Calculations'!HE101,'Calculations'!$HF$13:$HF$512,0)),0)))</x:f>
        <x:v>0</x:v>
      </x:c>
      <x:c r="JE101" t="n">
        <x:f>IF(AND('Calculations'!EM101&lt;&gt;"",'Calculations'!$JJ$2&lt;&gt;"All",'Calculations'!$JJ$2&lt;&gt;"",'Calculations'!HF101='Calculations'!$JJ$2,'Calculations'!HL101=0,'Calculations'!JD101&gt;0),MAX('Calculations'!$JE$12:JE100)+1,0)</x:f>
        <x:v>0</x:v>
      </x:c>
      <x:c r="JF101" t="str">
        <x:f>IF('Calculations'!EM101="","",IFERROR(IF(INDEX(INDIRECT("'WCM Calibration Final'!$G$1:$G$2000"),'Calculations'!$EM101)="","",TRIM(INDEX(INDIRECT("'WCM Calibration Final'!$G$1:$G$2000"),'Calculations'!$EM101)&amp;"")),""))</x:f>
      </x:c>
      <x:c r="JQ101" t="n">
        <x:f>IF(OR('Calculations'!BM101=0,NOT('Calculations'!$AG$2),'Calculations'!$AG$8&gt;0),0,IF(OR('Dashboard'!$B$7="All",'Calculations'!HN101='Dashboard'!$B$7),IF('Calculations'!$JJ$2="All",1,IF(AND('Calculations'!HF101='Calculations'!$JJ$2,'Calculations'!HL101=0),1,0)),0))</x:f>
        <x:v>0</x:v>
      </x:c>
    </x:row>
    <x:row r="102">
      <x:c r="AF102" s="4"/>
      <x:c r="AG102" s="4"/>
      <x:c r="AH102" s="4"/>
      <x:c r="AI102" s="4"/>
      <x:c r="AJ102" s="4"/>
      <x:c r="AK102" s="4"/>
      <x:c r="AL102" s="4"/>
      <x:c r="AM102" s="4"/>
      <x:c r="AN102" s="4"/>
      <x:c r="AO102" s="4"/>
      <x:c r="AP102" s="4"/>
      <x:c r="AQ102" s="4"/>
      <x:c r="AR102" s="4" t="n">
        <x:f>IFERROR(MATCH((MIN('Dashboard'!$Z$93,MAX(1,ROUNDUP(MAX('Calculations'!$DP$12:$DP$1012)/20,0)))-1)*20+5,'Calculations'!$DP$12:$DP$1012,0),0)</x:f>
        <x:v>0</x:v>
      </x:c>
      <x:c r="AS102" s="4"/>
      <x:c r="AT102" s="4"/>
      <x:c r="AU102" s="4"/>
      <x:c r="AV102" s="4"/>
      <x:c r="AW102" s="4"/>
      <x:c r="AX102" s="4"/>
      <x:c r="AY102" s="4"/>
      <x:c r="AZ102" s="4"/>
      <x:c r="BA102" s="4"/>
      <x:c r="BB102" s="4"/>
      <x:c r="BC102" s="4"/>
      <x:c r="BD102" s="4"/>
      <x:c r="BE102" s="4"/>
      <x:c r="BF102" s="4"/>
      <x:c r="BG102" s="4"/>
      <x:c r="BH102" s="4"/>
      <x:c r="BI102" s="4"/>
      <x:c r="BJ102" s="4"/>
      <x:c r="BK102" s="4"/>
      <x:c r="BL102" s="4"/>
      <x:c r="BM102" s="4" t="n">
        <x:f>IF('Calculations'!$EM102="",0,IF(OR(IFERROR(INDEX(INDIRECT("'WCM Calibration Final'!$A$1:$A$2000"),'Calculations'!$EM102)&lt;&gt;"",FALSE),IFERROR(INDEX(INDIRECT("'WCM Calibration Final'!$B$1:$B$2000"),'Calculations'!$EM102)&lt;&gt;"",FALSE),IFERROR(INDEX(INDIRECT("'WCM Calibration Final'!$C$1:$C$2000"),'Calculations'!$EM102)&lt;&gt;"",FALSE)),1,0))</x:f>
        <x:v>0</x:v>
      </x:c>
      <x:c r="BN102" s="4" t="n">
        <x:f>IF(AND('Calculations'!BM102=1,'Calculations'!$AG$2,'Calculations'!$EN102=1),1,0)</x:f>
        <x:v>0</x:v>
      </x:c>
      <x:c r="BO102" s="4" t="str">
        <x:f>IF('Calculations'!BM102=0,"",IFERROR(IF(AND(VALUE(INDEX(INDIRECT("'WCM Calibration Final'!$K$1:$K$2000"),'Calculations'!$EM102))&gt;=1,VALUE(INDEX(INDIRECT("'WCM Calibration Final'!$K$1:$K$2000"),'Calculations'!$EM102))&lt;=4,MOD(VALUE(INDEX(INDIRECT("'WCM Calibration Final'!$K$1:$K$2000"),'Calculations'!$EM102)),1)=0),VALUE(INDEX(INDIRECT("'WCM Calibration Final'!$K$1:$K$2000"),'Calculations'!$EM102)),""),""))</x:f>
      </x:c>
      <x:c r="BP102" s="4" t="str">
        <x:f>IF('Calculations'!BM102=0,"",IFERROR(IF(AND(VALUE(INDEX(INDIRECT("'WCM Calibration Final'!$L$1:$L$2000"),'Calculations'!$EM102))&gt;=1,VALUE(INDEX(INDIRECT("'WCM Calibration Final'!$L$1:$L$2000"),'Calculations'!$EM102))&lt;=4,MOD(VALUE(INDEX(INDIRECT("'WCM Calibration Final'!$L$1:$L$2000"),'Calculations'!$EM102)),1)=0),VALUE(INDEX(INDIRECT("'WCM Calibration Final'!$L$1:$L$2000"),'Calculations'!$EM102)),""),""))</x:f>
      </x:c>
      <x:c r="BQ102" s="4"/>
      <x:c r="BR102" s="4"/>
      <x:c r="BS102" s="4"/>
      <x:c r="BT102" s="4" t="n">
        <x:f>IF(AND('Calculations'!BM102=1,ISNUMBER('Calculations'!BO102),ISNUMBER('Calculations'!BP102)),1,0)</x:f>
        <x:v>0</x:v>
      </x:c>
      <x:c r="BU102" s="4" t="str">
        <x:f>IF('Calculations'!BM102=0,"",'Calculations'!$EO102)</x:f>
      </x:c>
      <x:c r="BV102" s="4" t="str">
        <x:f>IF('Calculations'!BM102=0,"",IFERROR(IF(OR(INDEX(INDIRECT("'WCM Calibration Final'!$H$1:$H$2000"),'Calculations'!$EM102)="MANAGING DIRECTOR",INDEX(INDIRECT("'WCM Calibration Final'!$H$1:$H$2000"),'Calculations'!$EM102)="DIRECTOR",INDEX(INDIRECT("'WCM Calibration Final'!$H$1:$H$2000"),'Calculations'!$EM102)="SENIOR VICE PRESIDENT",INDEX(INDIRECT("'WCM Calibration Final'!$H$1:$H$2000"),'Calculations'!$EM102)="VICE PRESIDENT",INDEX(INDIRECT("'WCM Calibration Final'!$H$1:$H$2000"),'Calculations'!$EM102)="ASSISTANT VICE PRESIDENT",INDEX(INDIRECT("'WCM Calibration Final'!$H$1:$H$2000"),'Calculations'!$EM102)="OFFICER"),UPPER(INDEX(INDIRECT("'WCM Calibration Final'!$H$1:$H$2000"),'Calculations'!$EM102)),"Other"),"Other"))</x:f>
      </x:c>
      <x:c r="BW102" s="4"/>
      <x:c r="BX102" s="4"/>
      <x:c r="BY102" s="4" t="n">
        <x:f>IF(AND('Calculations'!BM102=1,'Calculations'!BU102&lt;&gt;"",COUNTIF('Calculations'!$BU$12:BU102,'Calculations'!BU102)=1),MAX('Calculations'!$BY$11:BY101)+1,0)</x:f>
        <x:v>0</x:v>
      </x:c>
      <x:c r="BZ102" s="4" t="str">
        <x:f>IF('Dashboard'!$E$67="What",'Calculations'!BO102,'Calculations'!BP102)</x:f>
      </x:c>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t="str">
        <x:f>IF(91&gt;MAX('Calculations'!$HI$13:$HI$512),"",INDEX('Calculations'!$HN$13:$HN$512,MATCH(91,'Calculations'!$HI$13:$HI$512,0)))</x:f>
      </x:c>
      <x:c r="DB102" s="4" t="str">
        <x:f>IF(91&gt;MAX('Calculations'!$HH$13:$HH$512),"",INDEX('Calculations'!$HJ$13:$HJ$512,MATCH(91,'Calculations'!$HH$13:$HH$512,0)))</x:f>
      </x:c>
      <x:c r="DC102" s="4" t="str">
        <x:f>IF(ROW()-11&gt;MAX('Calculations'!$BY$13:$BY$512),"",INDEX('Calculations'!$BU$13:$BU$512,MATCH(ROW()-11,'Calculations'!$BY$13:$BY$512,0)))</x:f>
      </x:c>
      <x:c r="DD102" s="4" t="str">
        <x:f>IF(91&gt;MAX('Calculations'!$IK$13:$IK$512),"",INDEX('Calculations'!$HK$13:$HK$512,MATCH(91,'Calculations'!$IK$13:$IK$512,0)))</x:f>
      </x:c>
      <x:c r="DE102" s="4" t="str">
        <x:f>'Calculations'!DC102</x:f>
      </x:c>
      <x:c r="DF102" s="4" t="str">
        <x:f>IF('Calculations'!DE102="","",COUNTIFS('Calculations'!$BN$13:$BN$512,1,'Calculations'!$BU$13:$BU$512,'Calculations'!DE102))</x:f>
      </x:c>
      <x:c r="DG102" s="4" t="str">
        <x:f>IF('Calculations'!DE102="","",COUNTIFS('Calculations'!$BN$13:$BN$512,1,'Calculations'!$BU$13:$BU$512,'Calculations'!DE102,'Calculations'!$BT$13:$BT$512,1))</x:f>
      </x:c>
      <x:c r="DH102" s="4" t="str">
        <x:f>IF('Calculations'!DE102="","",'Calculations'!DF102-'Calculations'!DG102)</x:f>
      </x:c>
      <x:c r="DI102" s="4" t="str">
        <x:f>IF(OR('Calculations'!DE102="",'Calculations'!DF102=0),"",'Calculations'!DG102/'Calculations'!DF102)</x:f>
      </x:c>
      <x:c r="DJ102" s="4" t="str">
        <x:f>IF('Calculations'!DE102="","",COUNTIFS('Calculations'!$BN$13:$BN$512,1,'Calculations'!$BU$13:$BU$512,'Calculations'!DE102,'Calculations'!$BT$13:$BT$512,1,'Calculations'!$EE$13:$EE$512,"High"))</x:f>
      </x:c>
      <x:c r="DK102" s="4" t="str">
        <x:f>IF('Calculations'!DE102="","",COUNTIFS('Calculations'!$BN$13:$BN$512,1,'Calculations'!$BU$13:$BU$512,'Calculations'!DE102,'Calculations'!$BT$13:$BT$512,1,'Calculations'!$EE$13:$EE$512,"Strong"))</x:f>
      </x:c>
      <x:c r="DL102" s="4" t="str">
        <x:f>IF('Calculations'!DE102="","",COUNTIFS('Calculations'!$BN$13:$BN$512,1,'Calculations'!$BU$13:$BU$512,'Calculations'!DE102,'Calculations'!$BT$13:$BT$512,1,'Calculations'!$EE$13:$EE$512,"Solid"))</x:f>
      </x:c>
      <x:c r="DM102" s="4" t="str">
        <x:f>IF('Calculations'!DE102="","",COUNTIFS('Calculations'!$BN$13:$BN$512,1,'Calculations'!$BU$13:$BU$512,'Calculations'!DE102,'Calculations'!$BT$13:$BT$512,1,'Calculations'!$EE$13:$EE$512,"Low"))</x:f>
      </x:c>
      <x:c r="DN102" s="4" t="str">
        <x:f>IF('Calculations'!DE102="","",COUNTIFS('Calculations'!$BN$13:$BN$512,1,'Calculations'!$BU$13:$BU$512,'Calculations'!DE102,'Calculations'!$EP$13:$EP$512,1))</x:f>
      </x:c>
      <x:c r="DO102" s="4" t="str">
        <x:f>IF(OR('Calculations'!DE102="",'Calculations'!DG102=0),"",('Calculations'!DJ102+'Calculations'!DK102)/'Calculations'!DG102)</x:f>
      </x:c>
      <x:c r="DP102" s="4" t="n">
        <x:f>IF(AND('Calculations'!DE102&lt;&gt;"",'Calculations'!DF102&gt;0),COUNTIF('Calculations'!$DF$12:DF102,"&gt;0"),0)</x:f>
        <x:v>0</x:v>
      </x:c>
      <x:c r="DQ102" s="4" t="str">
        <x:f>IF(91&gt;MAX('Calculations'!$HH$13:$HH$512),"",INDEX('Calculations'!$HF$13:$HF$512,MATCH(91,'Calculations'!$HH$13:$HH$512,0)))</x:f>
      </x:c>
      <x:c r="DR102" s="4" t="str">
        <x:f>IF(91&gt;MAX('Calculations'!$IK$13:$IK$512),"",INDEX('Calculations'!$HE$13:$HE$512,MATCH(91,'Calculations'!$IK$13:$IK$512,0)))</x:f>
      </x:c>
      <x:c r="DS102" s="4"/>
      <x:c r="DT102" s="4"/>
      <x:c r="DU102" s="4"/>
      <x:c r="DV102" s="4"/>
      <x:c r="DW102" s="4"/>
      <x:c r="DX102" s="4"/>
      <x:c r="DY102" s="4"/>
      <x:c r="DZ102" s="4"/>
      <x:c r="EA102" s="4"/>
      <x:c r="EB102" s="4"/>
      <x:c r="EC102" s="4"/>
      <x:c r="ED102" s="4"/>
      <x:c r="EE102" s="4" t="str">
        <x:f>IF('Calculations'!BT102=0,"Not Rated",IF(OR('Calculations'!BO102&gt;=4,'Calculations'!BP102&gt;=4),"Low",IF('Calculations'!BO102+'Calculations'!BP102&lt;=3,"High",IF('Calculations'!BO102+'Calculations'!BP102&lt;=4,"Strong","Solid"))))</x:f>
        <x:v>Not Rated</x:v>
      </x:c>
      <x:c r="EF102" s="4"/>
      <x:c r="EG102" s="4"/>
      <x:c r="EH102" s="4"/>
      <x:c r="EI102" s="4"/>
      <x:c r="EJ102" s="4"/>
      <x:c r="EK102" s="4"/>
      <x:c r="EL102" s="4"/>
      <x:c r="EM102" s="4" t="str">
        <x:f>IF(90&gt;'Calculations'!$JB$2000,"",INDEX('Calculations'!$JA$12:$JA$2000,MATCH(90,'Calculations'!$JB$12:$JB$2000,0)))</x:f>
      </x:c>
      <x:c r="EN102" s="4" t="n">
        <x:f>IF(OR('Calculations'!EM102="",'Calculations'!$AG$8&gt;0,AND('Calculations'!$EF$2&lt;&gt;"All",'Calculations'!HE102='Calculations'!$EF$2),AND('Calculations'!$EF$3&lt;&gt;"All",'Calculations'!HE102='Calculations'!$EF$3)),0,IF(OR('Dashboard'!$B$7="All",'Calculations'!HN102='Dashboard'!$B$7),IF('Calculations'!$EF$2="All",1,IF('Calculations'!HL102&gt;0,0,IF(COUNTIF('Calculations'!HO102:II102,"="&amp;SUBSTITUTE(SUBSTITUTE(SUBSTITUTE('Calculations'!$EF$2,"~","~~"),"*","~*"),"?","~?"))=0,0,IF('Calculations'!$EF$3="All",1,IF(COUNTIF('Calculations'!HO102:II102,"="&amp;SUBSTITUTE(SUBSTITUTE(SUBSTITUTE('Calculations'!$EF$3,"~","~~"),"*","~*"),"?","~?"))&gt;0,1,0))))),0))</x:f>
        <x:v>0</x:v>
      </x:c>
      <x:c r="EO102" s="4" t="str">
        <x:f>IF('Calculations'!IJ102="","",IF('Calculations'!IJ102="!UNRESOLVED","Unresolved hierarchy",IFERROR(INDEX('Calculations'!$HK$13:$HK$512,MATCH('Calculations'!IJ102,'Calculations'!$HE$13:$HE$512,0)),IFERROR(INDEX('Calculations'!$HJ$13:$HJ$512,MATCH('Calculations'!IJ102,'Calculations'!$HF$13:$HF$512,0)),'Calculations'!IJ102))))</x:f>
      </x:c>
      <x:c r="EP102" s="4" t="n">
        <x:f>IF(AND('Calculations'!EM102&lt;&gt;"",'Calculations'!HF102='Calculations'!IJ102),1,0)</x:f>
        <x:v>0</x:v>
      </x:c>
      <x:c r="EQ102" s="4"/>
      <x:c r="ER102" s="4"/>
      <x:c r="ES102" s="4"/>
      <x:c r="ET102" s="4"/>
      <x:c r="EU102" s="4"/>
      <x:c r="EV102" s="4"/>
      <x:c r="EW102" s="4"/>
      <x:c r="EX102" s="4"/>
      <x:c r="EY102" s="4"/>
      <x:c r="EZ102" s="4"/>
      <x:c r="FA102" s="4"/>
      <x:c r="FB102" s="4"/>
      <x:c r="FC102" s="4"/>
      <x:c r="FD102" s="4"/>
      <x:c r="FE102" s="4"/>
      <x:c r="FF102" s="4"/>
      <x:c r="FG102" s="4"/>
      <x:c r="FH102" s="4"/>
      <x:c r="FI102" s="4"/>
      <x:c r="FJ102" s="4"/>
      <x:c r="FK102" s="4"/>
      <x:c r="FL102" s="4"/>
      <x:c r="FM102" s="4"/>
      <x:c r="FN102" s="4"/>
      <x:c r="FO102" s="4"/>
      <x:c r="GA102" s="71"/>
      <x:c r="GB102" s="71" t="str">
        <x:f>IF('Calculations'!$AR102=0,"",INDEX('Calculations'!$DE$12:$DE$1012,'Calculations'!$AR102))</x:f>
      </x:c>
      <x:c r="GC102" s="71"/>
      <x:c r="GD102" s="71"/>
      <x:c r="GE102" s="71"/>
      <x:c r="GF102" s="71"/>
      <x:c r="GG102" s="71"/>
      <x:c r="GH102" s="71"/>
      <x:c r="GI102" s="71" t="str">
        <x:f>IF('Calculations'!$AR102=0,"",INDEX('Calculations'!$DF$12:$DF$1012,'Calculations'!$AR102))</x:f>
      </x:c>
      <x:c r="GJ102" s="71"/>
      <x:c r="GK102" s="71" t="str">
        <x:f>IF('Calculations'!$AR102=0,"",INDEX('Calculations'!$DG$12:$DG$1012,'Calculations'!$AR102))</x:f>
      </x:c>
      <x:c r="GL102" s="71"/>
      <x:c r="GM102" s="71" t="str">
        <x:f>IF('Calculations'!$AR102=0,"",INDEX('Calculations'!$DH$12:$DH$1012,'Calculations'!$AR102))</x:f>
      </x:c>
      <x:c r="GN102" s="71"/>
      <x:c r="GO102" s="71" t="str">
        <x:f>IF('Calculations'!$AR102=0,"",INDEX('Calculations'!$DI$12:$DI$1012,'Calculations'!$AR102))</x:f>
      </x:c>
      <x:c r="GP102" s="71"/>
      <x:c r="GQ102" s="71" t="str">
        <x:f>IF('Calculations'!$AR102=0,"",INDEX('Calculations'!$DJ$12:$DJ$1012,'Calculations'!$AR102)&amp;" · "&amp;IF(INDEX('Calculations'!$DG$12:$DG$1012,'Calculations'!$AR102)=0,"n.a.",TEXT(INDEX('Calculations'!$DJ$12:$DJ$1012,'Calculations'!$AR102)/INDEX('Calculations'!$DG$12:$DG$1012,'Calculations'!$AR102),"0.0%")))</x:f>
      </x:c>
      <x:c r="GR102" s="71"/>
      <x:c r="GS102" s="71" t="str">
        <x:f>IF('Calculations'!$AR102=0,"",INDEX('Calculations'!$DK$12:$DK$1012,'Calculations'!$AR102)&amp;" · "&amp;IF(INDEX('Calculations'!$DG$12:$DG$1012,'Calculations'!$AR102)=0,"n.a.",TEXT(INDEX('Calculations'!$DK$12:$DK$1012,'Calculations'!$AR102)/INDEX('Calculations'!$DG$12:$DG$1012,'Calculations'!$AR102),"0.0%")))</x:f>
      </x:c>
      <x:c r="GT102" s="71"/>
      <x:c r="GU102" s="71" t="str">
        <x:f>IF('Calculations'!$AR102=0,"",INDEX('Calculations'!$DL$12:$DL$1012,'Calculations'!$AR102)&amp;" · "&amp;IF(INDEX('Calculations'!$DG$12:$DG$1012,'Calculations'!$AR102)=0,"n.a.",TEXT(INDEX('Calculations'!$DL$12:$DL$1012,'Calculations'!$AR102)/INDEX('Calculations'!$DG$12:$DG$1012,'Calculations'!$AR102),"0.0%")))</x:f>
      </x:c>
      <x:c r="GV102" s="71"/>
      <x:c r="GW102" s="71" t="str">
        <x:f>IF('Calculations'!$AR102=0,"",INDEX('Calculations'!$DM$12:$DM$1012,'Calculations'!$AR102)&amp;" · "&amp;IF(INDEX('Calculations'!$DG$12:$DG$1012,'Calculations'!$AR102)=0,"n.a.",TEXT(INDEX('Calculations'!$DM$12:$DM$1012,'Calculations'!$AR102)/INDEX('Calculations'!$DG$12:$DG$1012,'Calculations'!$AR102),"0.0%")))</x:f>
      </x:c>
      <x:c r="GX102" s="71"/>
      <x:c r="GY102" s="71" t="str">
        <x:f>IF('Calculations'!$AR102=0,"",INDEX('Calculations'!$DN$12:$DN$1012,'Calculations'!$AR102))</x:f>
      </x:c>
      <x:c r="GZ102" s="71"/>
      <x:c r="HA102" s="71" t="str">
        <x:f>IF('Calculations'!$AR102=0,"",INDEX('Calculations'!$DO$12:$DO$1012,'Calculations'!$AR102))</x:f>
      </x:c>
      <x:c r="HB102" s="71"/>
      <x:c r="HC102" s="71"/>
      <x:c r="HD102" s="71"/>
      <x:c r="HE102" t="str">
        <x:f>IF('Calculations'!EM102="","",IF(IFERROR(IF(INDEX(INDIRECT("'WCM Calibration Final'!$A$1:$A$2000"),'Calculations'!$EM102)="","",TRIM(INDEX(INDIRECT("'WCM Calibration Final'!$A$1:$A$2000"),'Calculations'!$EM102)&amp;"")),"")&lt;&gt;"","G:"&amp;IFERROR(TEXT(1*INDEX(INDIRECT("'WCM Calibration Final'!$A$1:$A$2000"),'Calculations'!$EM102),"0"),UPPER(IFERROR(IF(INDEX(INDIRECT("'WCM Calibration Final'!$A$1:$A$2000"),'Calculations'!$EM102)="","",TRIM(INDEX(INDIRECT("'WCM Calibration Final'!$A$1:$A$2000"),'Calculations'!$EM102)&amp;"")),""))),IF(IFERROR(IF(INDEX(INDIRECT("'WCM Calibration Final'!$C$1:$C$2000"),'Calculations'!$EM102)="","",TRIM(INDEX(INDIRECT("'WCM Calibration Final'!$C$1:$C$2000"),'Calculations'!$EM102)&amp;"")),"")&lt;&gt;"","S:"&amp;UPPER(IFERROR(IF(INDEX(INDIRECT("'WCM Calibration Final'!$C$1:$C$2000"),'Calculations'!$EM102)="","",TRIM(INDEX(INDIRECT("'WCM Calibration Final'!$C$1:$C$2000"),'Calculations'!$EM102)&amp;"")),"")),"R:"&amp;'Calculations'!EM102)))</x:f>
      </x:c>
      <x:c r="HF102" t="str">
        <x:f>IF('Calculations'!EM102="","",IF(IFERROR(IF(INDEX(INDIRECT("'WCM Calibration Final'!$D$1:$D$2000"),'Calculations'!$EM102)="","",TRIM(INDEX(INDIRECT("'WCM Calibration Final'!$D$1:$D$2000"),'Calculations'!$EM102)&amp;"")),"")&lt;&gt;"","G:"&amp;IFERROR(TEXT(1*INDEX(INDIRECT("'WCM Calibration Final'!$D$1:$D$2000"),'Calculations'!$EM102),"0"),UPPER(IFERROR(IF(INDEX(INDIRECT("'WCM Calibration Final'!$D$1:$D$2000"),'Calculations'!$EM102)="","",TRIM(INDEX(INDIRECT("'WCM Calibration Final'!$D$1:$D$2000"),'Calculations'!$EM102)&amp;"")),""))),IF(IFERROR(IF(INDEX(INDIRECT("'WCM Calibration Final'!$E$1:$E$2000"),'Calculations'!$EM102)="","",TRIM(INDEX(INDIRECT("'WCM Calibration Final'!$E$1:$E$2000"),'Calculations'!$EM102)&amp;"")),"")="","",IF(COUNTIF('Calculations'!$HG$13:$HG$512,"="&amp;SUBSTITUTE(SUBSTITUTE(SUBSTITUTE(IFERROR(IF(INDEX(INDIRECT("'WCM Calibration Final'!$E$1:$E$2000"),'Calculations'!$EM102)="","",TRIM(INDEX(INDIRECT("'WCM Calibration Final'!$E$1:$E$2000"),'Calculations'!$EM102)&amp;"")),""),"~","~~"),"*","~*"),"?","~?"))=1,INDEX('Calculations'!$HE$13:$HE$512,MATCH(IFERROR(IF(INDEX(INDIRECT("'WCM Calibration Final'!$E$1:$E$2000"),'Calculations'!$EM102)="","",TRIM(INDEX(INDIRECT("'WCM Calibration Final'!$E$1:$E$2000"),'Calculations'!$EM102)&amp;"")),""),'Calculations'!$HG$13:$HG$512,0)),IF(COUNTIF('Calculations'!$HG$13:$HG$512,"="&amp;SUBSTITUTE(SUBSTITUTE(SUBSTITUTE(IFERROR(IF(INDEX(INDIRECT("'WCM Calibration Final'!$E$1:$E$2000"),'Calculations'!$EM102)="","",TRIM(INDEX(INDIRECT("'WCM Calibration Final'!$E$1:$E$2000"),'Calculations'!$EM102)&amp;"")),""),"~","~~"),"*","~*"),"?","~?"))&gt;1,"!AMBIG","X:"&amp;IFERROR(IF(INDEX(INDIRECT("'WCM Calibration Final'!$E$1:$E$2000"),'Calculations'!$EM102)="","",TRIM(INDEX(INDIRECT("'WCM Calibration Final'!$E$1:$E$2000"),'Calculations'!$EM102)&amp;"")),""))))))</x:f>
      </x:c>
      <x:c r="HG102" t="str">
        <x:f>IF('Calculations'!EM102="","",IFERROR(IF(INDEX(INDIRECT("'WCM Calibration Final'!$B$1:$B$2000"),'Calculations'!$EM102)="","",TRIM(INDEX(INDIRECT("'WCM Calibration Final'!$B$1:$B$2000"),'Calculations'!$EM102)&amp;"")),""))</x:f>
      </x:c>
      <x:c r="HH102" t="n">
        <x:f>IF(AND('Calculations'!JC102&gt;0,COUNTIF('Calculations'!$HF$12:HF102,"="&amp;SUBSTITUTE(SUBSTITUTE(SUBSTITUTE('Calculations'!HF102,"~","~~"),"*","~*"),"?","~?"))=1),MAX('Calculations'!$HH$12:HH101)+1,0)</x:f>
        <x:v>0</x:v>
      </x:c>
      <x:c r="HI102" t="n">
        <x:f>IF(AND('Calculations'!HN102&lt;&gt;"",COUNTIF('Calculations'!$HN$12:HN102,"="&amp;SUBSTITUTE(SUBSTITUTE(SUBSTITUTE('Calculations'!HN102,"~","~~"),"*","~*"),"?","~?"))=1),MAX('Calculations'!$HI$12:HI101)+1,0)</x:f>
        <x:v>0</x:v>
      </x:c>
      <x:c r="HJ102" t="str">
        <x:f>IF('Calculations'!HF102="","",IF(COUNTIF('Calculations'!$HE$13:$HE$512,"="&amp;SUBSTITUTE(SUBSTITUTE(SUBSTITUTE('Calculations'!HF102,"~","~~"),"*","~*"),"?","~?"))=1,INDEX('Calculations'!$HK$13:$HK$512,MATCH('Calculations'!HF102,'Calculations'!$HE$13:$HE$512,0)),IFERROR(IF(INDEX(INDIRECT("'WCM Calibration Final'!$E$1:$E$2000"),'Calculations'!$EM102)="","",TRIM(INDEX(INDIRECT("'WCM Calibration Final'!$E$1:$E$2000"),'Calculations'!$EM102)&amp;"")),"")&amp;" ["&amp;'Calculations'!HF102&amp;"]"))</x:f>
      </x:c>
      <x:c r="HK102" t="str">
        <x:f>IF('Calculations'!EM102="","",'Calculations'!HG102&amp;" ["&amp;'Calculations'!HE102&amp;"]")</x:f>
      </x:c>
      <x:c r="HL102" t="n">
        <x:f>IF('Calculations'!EM102="",0,IF(OR('Calculations'!II102&lt;&gt;"",COUNTIF('Calculations'!$HE$13:$HE$512,"="&amp;SUBSTITUTE(SUBSTITUTE(SUBSTITUTE('Calculations'!HE102,"~","~~"),"*","~*"),"?","~?"))&gt;1),1,0))</x:f>
        <x:v>0</x:v>
      </x:c>
      <x:c r="HM102" t="str">
        <x:f>IF('Calculations'!EM102="","",IF('Calculations'!HL102=1,"!UNRESOLVED",IF('Calculations'!IH102&lt;&gt;"",'Calculations'!IH102,IF('Calculations'!IG102&lt;&gt;"",'Calculations'!IG102,IF('Calculations'!IF102&lt;&gt;"",'Calculations'!IF102,IF('Calculations'!IE102&lt;&gt;"",'Calculations'!IE102,IF('Calculations'!ID102&lt;&gt;"",'Calculations'!ID102,IF('Calculations'!IC102&lt;&gt;"",'Calculations'!IC102,IF('Calculations'!IB102&lt;&gt;"",'Calculations'!IB102,IF('Calculations'!IA102&lt;&gt;"",'Calculations'!IA102,IF('Calculations'!HZ102&lt;&gt;"",'Calculations'!HZ102,IF('Calculations'!HY102&lt;&gt;"",'Calculations'!HY102,IF('Calculations'!HX102&lt;&gt;"",'Calculations'!HX102,IF('Calculations'!HW102&lt;&gt;"",'Calculations'!HW102,IF('Calculations'!HV102&lt;&gt;"",'Calculations'!HV102,IF('Calculations'!HU102&lt;&gt;"",'Calculations'!HU102,IF('Calculations'!HT102&lt;&gt;"",'Calculations'!HT102,IF('Calculations'!HS102&lt;&gt;"",'Calculations'!HS102,IF('Calculations'!HR102&lt;&gt;"",'Calculations'!HR102,IF('Calculations'!HQ102&lt;&gt;"",'Calculations'!HQ102,IF('Calculations'!HP102&lt;&gt;"",'Calculations'!HP102,IF('Calculations'!HO102&lt;&gt;"",'Calculations'!HO102,'Calculations'!HE102))))))))))))))))))))))</x:f>
      </x:c>
      <x:c r="HN102" t="str">
        <x:f>IF('Calculations'!EM102="","",IF(IFERROR(IF(INDEX(INDIRECT("'WCM Calibration Final'!$F$1:$F$2000"),'Calculations'!$EM102)="","",TRIM(INDEX(INDIRECT("'WCM Calibration Final'!$F$1:$F$2000"),'Calculations'!$EM102)&amp;"")),"")="","(Blank)",IFERROR(IF(INDEX(INDIRECT("'WCM Calibration Final'!$F$1:$F$2000"),'Calculations'!$EM102)="","",TRIM(INDEX(INDIRECT("'WCM Calibration Final'!$F$1:$F$2000"),'Calculations'!$EM102)&amp;"")),"")))</x:f>
      </x:c>
      <x:c r="HO102" t="str">
        <x:f>'Calculations'!HF102</x:f>
      </x:c>
      <x:c r="HP102" t="str">
        <x:f>IF('Calculations'!HO102="","",IF('Calculations'!HO102="!AMBIG","!AMBIG",IF(COUNTIF('Calculations'!$HE$13:$HE$512,"="&amp;SUBSTITUTE(SUBSTITUTE(SUBSTITUTE('Calculations'!HO102,"~","~~"),"*","~*"),"?","~?"))&gt;1,"!AMBIG",IFERROR(INDEX('Calculations'!$HF$13:$HF$512,MATCH('Calculations'!HO102,'Calculations'!$HE$13:$HE$512,0)),""))))</x:f>
      </x:c>
      <x:c r="HQ102" t="str">
        <x:f>IF('Calculations'!HP102="","",IF('Calculations'!HP102="!AMBIG","!AMBIG",IF(COUNTIF('Calculations'!$HE$13:$HE$512,"="&amp;SUBSTITUTE(SUBSTITUTE(SUBSTITUTE('Calculations'!HP102,"~","~~"),"*","~*"),"?","~?"))&gt;1,"!AMBIG",IFERROR(INDEX('Calculations'!$HF$13:$HF$512,MATCH('Calculations'!HP102,'Calculations'!$HE$13:$HE$512,0)),""))))</x:f>
      </x:c>
      <x:c r="HR102" t="str">
        <x:f>IF('Calculations'!HQ102="","",IF('Calculations'!HQ102="!AMBIG","!AMBIG",IF(COUNTIF('Calculations'!$HE$13:$HE$512,"="&amp;SUBSTITUTE(SUBSTITUTE(SUBSTITUTE('Calculations'!HQ102,"~","~~"),"*","~*"),"?","~?"))&gt;1,"!AMBIG",IFERROR(INDEX('Calculations'!$HF$13:$HF$512,MATCH('Calculations'!HQ102,'Calculations'!$HE$13:$HE$512,0)),""))))</x:f>
      </x:c>
      <x:c r="HS102" t="str">
        <x:f>IF('Calculations'!HR102="","",IF('Calculations'!HR102="!AMBIG","!AMBIG",IF(COUNTIF('Calculations'!$HE$13:$HE$512,"="&amp;SUBSTITUTE(SUBSTITUTE(SUBSTITUTE('Calculations'!HR102,"~","~~"),"*","~*"),"?","~?"))&gt;1,"!AMBIG",IFERROR(INDEX('Calculations'!$HF$13:$HF$512,MATCH('Calculations'!HR102,'Calculations'!$HE$13:$HE$512,0)),""))))</x:f>
      </x:c>
      <x:c r="HT102" t="str">
        <x:f>IF('Calculations'!HS102="","",IF('Calculations'!HS102="!AMBIG","!AMBIG",IF(COUNTIF('Calculations'!$HE$13:$HE$512,"="&amp;SUBSTITUTE(SUBSTITUTE(SUBSTITUTE('Calculations'!HS102,"~","~~"),"*","~*"),"?","~?"))&gt;1,"!AMBIG",IFERROR(INDEX('Calculations'!$HF$13:$HF$512,MATCH('Calculations'!HS102,'Calculations'!$HE$13:$HE$512,0)),""))))</x:f>
      </x:c>
      <x:c r="HU102" t="str">
        <x:f>IF('Calculations'!HT102="","",IF('Calculations'!HT102="!AMBIG","!AMBIG",IF(COUNTIF('Calculations'!$HE$13:$HE$512,"="&amp;SUBSTITUTE(SUBSTITUTE(SUBSTITUTE('Calculations'!HT102,"~","~~"),"*","~*"),"?","~?"))&gt;1,"!AMBIG",IFERROR(INDEX('Calculations'!$HF$13:$HF$512,MATCH('Calculations'!HT102,'Calculations'!$HE$13:$HE$512,0)),""))))</x:f>
      </x:c>
      <x:c r="HV102" t="str">
        <x:f>IF('Calculations'!HU102="","",IF('Calculations'!HU102="!AMBIG","!AMBIG",IF(COUNTIF('Calculations'!$HE$13:$HE$512,"="&amp;SUBSTITUTE(SUBSTITUTE(SUBSTITUTE('Calculations'!HU102,"~","~~"),"*","~*"),"?","~?"))&gt;1,"!AMBIG",IFERROR(INDEX('Calculations'!$HF$13:$HF$512,MATCH('Calculations'!HU102,'Calculations'!$HE$13:$HE$512,0)),""))))</x:f>
      </x:c>
      <x:c r="HW102" t="str">
        <x:f>IF('Calculations'!HV102="","",IF('Calculations'!HV102="!AMBIG","!AMBIG",IF(COUNTIF('Calculations'!$HE$13:$HE$512,"="&amp;SUBSTITUTE(SUBSTITUTE(SUBSTITUTE('Calculations'!HV102,"~","~~"),"*","~*"),"?","~?"))&gt;1,"!AMBIG",IFERROR(INDEX('Calculations'!$HF$13:$HF$512,MATCH('Calculations'!HV102,'Calculations'!$HE$13:$HE$512,0)),""))))</x:f>
      </x:c>
      <x:c r="HX102" t="str">
        <x:f>IF('Calculations'!HW102="","",IF('Calculations'!HW102="!AMBIG","!AMBIG",IF(COUNTIF('Calculations'!$HE$13:$HE$512,"="&amp;SUBSTITUTE(SUBSTITUTE(SUBSTITUTE('Calculations'!HW102,"~","~~"),"*","~*"),"?","~?"))&gt;1,"!AMBIG",IFERROR(INDEX('Calculations'!$HF$13:$HF$512,MATCH('Calculations'!HW102,'Calculations'!$HE$13:$HE$512,0)),""))))</x:f>
      </x:c>
      <x:c r="HY102" t="str">
        <x:f>IF('Calculations'!HX102="","",IF('Calculations'!HX102="!AMBIG","!AMBIG",IF(COUNTIF('Calculations'!$HE$13:$HE$512,"="&amp;SUBSTITUTE(SUBSTITUTE(SUBSTITUTE('Calculations'!HX102,"~","~~"),"*","~*"),"?","~?"))&gt;1,"!AMBIG",IFERROR(INDEX('Calculations'!$HF$13:$HF$512,MATCH('Calculations'!HX102,'Calculations'!$HE$13:$HE$512,0)),""))))</x:f>
      </x:c>
      <x:c r="HZ102" t="str">
        <x:f>IF('Calculations'!HY102="","",IF('Calculations'!HY102="!AMBIG","!AMBIG",IF(COUNTIF('Calculations'!$HE$13:$HE$512,"="&amp;SUBSTITUTE(SUBSTITUTE(SUBSTITUTE('Calculations'!HY102,"~","~~"),"*","~*"),"?","~?"))&gt;1,"!AMBIG",IFERROR(INDEX('Calculations'!$HF$13:$HF$512,MATCH('Calculations'!HY102,'Calculations'!$HE$13:$HE$512,0)),""))))</x:f>
      </x:c>
      <x:c r="IA102" t="str">
        <x:f>IF('Calculations'!HZ102="","",IF('Calculations'!HZ102="!AMBIG","!AMBIG",IF(COUNTIF('Calculations'!$HE$13:$HE$512,"="&amp;SUBSTITUTE(SUBSTITUTE(SUBSTITUTE('Calculations'!HZ102,"~","~~"),"*","~*"),"?","~?"))&gt;1,"!AMBIG",IFERROR(INDEX('Calculations'!$HF$13:$HF$512,MATCH('Calculations'!HZ102,'Calculations'!$HE$13:$HE$512,0)),""))))</x:f>
      </x:c>
      <x:c r="IB102" t="str">
        <x:f>IF('Calculations'!IA102="","",IF('Calculations'!IA102="!AMBIG","!AMBIG",IF(COUNTIF('Calculations'!$HE$13:$HE$512,"="&amp;SUBSTITUTE(SUBSTITUTE(SUBSTITUTE('Calculations'!IA102,"~","~~"),"*","~*"),"?","~?"))&gt;1,"!AMBIG",IFERROR(INDEX('Calculations'!$HF$13:$HF$512,MATCH('Calculations'!IA102,'Calculations'!$HE$13:$HE$512,0)),""))))</x:f>
      </x:c>
      <x:c r="IC102" t="str">
        <x:f>IF('Calculations'!IB102="","",IF('Calculations'!IB102="!AMBIG","!AMBIG",IF(COUNTIF('Calculations'!$HE$13:$HE$512,"="&amp;SUBSTITUTE(SUBSTITUTE(SUBSTITUTE('Calculations'!IB102,"~","~~"),"*","~*"),"?","~?"))&gt;1,"!AMBIG",IFERROR(INDEX('Calculations'!$HF$13:$HF$512,MATCH('Calculations'!IB102,'Calculations'!$HE$13:$HE$512,0)),""))))</x:f>
      </x:c>
      <x:c r="ID102" t="str">
        <x:f>IF('Calculations'!IC102="","",IF('Calculations'!IC102="!AMBIG","!AMBIG",IF(COUNTIF('Calculations'!$HE$13:$HE$512,"="&amp;SUBSTITUTE(SUBSTITUTE(SUBSTITUTE('Calculations'!IC102,"~","~~"),"*","~*"),"?","~?"))&gt;1,"!AMBIG",IFERROR(INDEX('Calculations'!$HF$13:$HF$512,MATCH('Calculations'!IC102,'Calculations'!$HE$13:$HE$512,0)),""))))</x:f>
      </x:c>
      <x:c r="IE102" t="str">
        <x:f>IF('Calculations'!ID102="","",IF('Calculations'!ID102="!AMBIG","!AMBIG",IF(COUNTIF('Calculations'!$HE$13:$HE$512,"="&amp;SUBSTITUTE(SUBSTITUTE(SUBSTITUTE('Calculations'!ID102,"~","~~"),"*","~*"),"?","~?"))&gt;1,"!AMBIG",IFERROR(INDEX('Calculations'!$HF$13:$HF$512,MATCH('Calculations'!ID102,'Calculations'!$HE$13:$HE$512,0)),""))))</x:f>
      </x:c>
      <x:c r="IF102" t="str">
        <x:f>IF('Calculations'!IE102="","",IF('Calculations'!IE102="!AMBIG","!AMBIG",IF(COUNTIF('Calculations'!$HE$13:$HE$512,"="&amp;SUBSTITUTE(SUBSTITUTE(SUBSTITUTE('Calculations'!IE102,"~","~~"),"*","~*"),"?","~?"))&gt;1,"!AMBIG",IFERROR(INDEX('Calculations'!$HF$13:$HF$512,MATCH('Calculations'!IE102,'Calculations'!$HE$13:$HE$512,0)),""))))</x:f>
      </x:c>
      <x:c r="IG102" t="str">
        <x:f>IF('Calculations'!IF102="","",IF('Calculations'!IF102="!AMBIG","!AMBIG",IF(COUNTIF('Calculations'!$HE$13:$HE$512,"="&amp;SUBSTITUTE(SUBSTITUTE(SUBSTITUTE('Calculations'!IF102,"~","~~"),"*","~*"),"?","~?"))&gt;1,"!AMBIG",IFERROR(INDEX('Calculations'!$HF$13:$HF$512,MATCH('Calculations'!IF102,'Calculations'!$HE$13:$HE$512,0)),""))))</x:f>
      </x:c>
      <x:c r="IH102" t="str">
        <x:f>IF('Calculations'!IG102="","",IF('Calculations'!IG102="!AMBIG","!AMBIG",IF(COUNTIF('Calculations'!$HE$13:$HE$512,"="&amp;SUBSTITUTE(SUBSTITUTE(SUBSTITUTE('Calculations'!IG102,"~","~~"),"*","~*"),"?","~?"))&gt;1,"!AMBIG",IFERROR(INDEX('Calculations'!$HF$13:$HF$512,MATCH('Calculations'!IG102,'Calculations'!$HE$13:$HE$512,0)),""))))</x:f>
      </x:c>
      <x:c r="II102" t="str">
        <x:f>IF('Calculations'!IH102="","",IF('Calculations'!IH102="!AMBIG","!AMBIG",IF(COUNTIF('Calculations'!$HE$13:$HE$512,"="&amp;SUBSTITUTE(SUBSTITUTE(SUBSTITUTE('Calculations'!IH102,"~","~~"),"*","~*"),"?","~?"))&gt;1,"!AMBIG",IFERROR(INDEX('Calculations'!$HF$13:$HF$512,MATCH('Calculations'!IH102,'Calculations'!$HE$13:$HE$512,0)),""))))</x:f>
      </x:c>
      <x:c r="IJ102" t="str">
        <x:f>IF('Calculations'!EM102="","",IF('Calculations'!$EF$2="All",'Calculations'!HM102,IF('Calculations'!HL102=1,"",IFERROR(IF(MATCH('Calculations'!$EF$2,'Calculations'!HO102:II102,0)=1,'Calculations'!HE102,INDEX('Calculations'!HO102:II102,1,MATCH('Calculations'!$EF$2,'Calculations'!HO102:II102,0)-1)),""))))</x:f>
      </x:c>
      <x:c r="IK102" t="n">
        <x:f>IF(AND('Calculations'!EM102&lt;&gt;"",'Calculations'!$EF$2&lt;&gt;"All",'Calculations'!HF102='Calculations'!$EF$2,'Calculations'!HL102=0,'Calculations'!JD102&gt;0),MAX('Calculations'!$IK$12:IK101)+1,0)</x:f>
        <x:v>0</x:v>
      </x:c>
      <x:c r="JA102" t="n">
        <x:f>IF(OR(IFERROR(INDIRECT("'WCM Calibration Final'!$A$102")&lt;&gt;"",FALSE),IFERROR(INDIRECT("'WCM Calibration Final'!$B$102")&lt;&gt;"",FALSE),IFERROR(INDIRECT("'WCM Calibration Final'!$C$102")&lt;&gt;"",FALSE)),102,0)</x:f>
        <x:v>0</x:v>
      </x:c>
      <x:c r="JB102" t="n">
        <x:f>'Calculations'!JB101+IF('Calculations'!JA102&gt;0,1,0)</x:f>
        <x:v>0</x:v>
      </x:c>
      <x:c r="JC102" t="n">
        <x:f>IF(OR('Calculations'!HF102="",'Calculations'!HF102="!AMBIG"),0,IF('Dashboard'!$B$7="All",1,COUNTIFS('Calculations'!$HO$13:$HO$512,"="&amp;SUBSTITUTE(SUBSTITUTE(SUBSTITUTE('Calculations'!HF102,"~","~~"),"*","~*"),"?","~?"),'Calculations'!$HN$13:$HN$512,"="&amp;SUBSTITUTE(SUBSTITUTE(SUBSTITUTE('Dashboard'!$B$7,"~","~~"),"*","~*"),"?","~?"))+COUNTIFS('Calculations'!$HP$13:$HP$512,"="&amp;SUBSTITUTE(SUBSTITUTE(SUBSTITUTE('Calculations'!HF102,"~","~~"),"*","~*"),"?","~?"),'Calculations'!$HN$13:$HN$512,"="&amp;SUBSTITUTE(SUBSTITUTE(SUBSTITUTE('Dashboard'!$B$7,"~","~~"),"*","~*"),"?","~?"))+COUNTIFS('Calculations'!$HQ$13:$HQ$512,"="&amp;SUBSTITUTE(SUBSTITUTE(SUBSTITUTE('Calculations'!HF102,"~","~~"),"*","~*"),"?","~?"),'Calculations'!$HN$13:$HN$512,"="&amp;SUBSTITUTE(SUBSTITUTE(SUBSTITUTE('Dashboard'!$B$7,"~","~~"),"*","~*"),"?","~?"))+COUNTIFS('Calculations'!$HR$13:$HR$512,"="&amp;SUBSTITUTE(SUBSTITUTE(SUBSTITUTE('Calculations'!HF102,"~","~~"),"*","~*"),"?","~?"),'Calculations'!$HN$13:$HN$512,"="&amp;SUBSTITUTE(SUBSTITUTE(SUBSTITUTE('Dashboard'!$B$7,"~","~~"),"*","~*"),"?","~?"))+COUNTIFS('Calculations'!$HS$13:$HS$512,"="&amp;SUBSTITUTE(SUBSTITUTE(SUBSTITUTE('Calculations'!HF102,"~","~~"),"*","~*"),"?","~?"),'Calculations'!$HN$13:$HN$512,"="&amp;SUBSTITUTE(SUBSTITUTE(SUBSTITUTE('Dashboard'!$B$7,"~","~~"),"*","~*"),"?","~?"))+COUNTIFS('Calculations'!$HT$13:$HT$512,"="&amp;SUBSTITUTE(SUBSTITUTE(SUBSTITUTE('Calculations'!HF102,"~","~~"),"*","~*"),"?","~?"),'Calculations'!$HN$13:$HN$512,"="&amp;SUBSTITUTE(SUBSTITUTE(SUBSTITUTE('Dashboard'!$B$7,"~","~~"),"*","~*"),"?","~?"))+COUNTIFS('Calculations'!$HU$13:$HU$512,"="&amp;SUBSTITUTE(SUBSTITUTE(SUBSTITUTE('Calculations'!HF102,"~","~~"),"*","~*"),"?","~?"),'Calculations'!$HN$13:$HN$512,"="&amp;SUBSTITUTE(SUBSTITUTE(SUBSTITUTE('Dashboard'!$B$7,"~","~~"),"*","~*"),"?","~?"))+COUNTIFS('Calculations'!$HV$13:$HV$512,"="&amp;SUBSTITUTE(SUBSTITUTE(SUBSTITUTE('Calculations'!HF102,"~","~~"),"*","~*"),"?","~?"),'Calculations'!$HN$13:$HN$512,"="&amp;SUBSTITUTE(SUBSTITUTE(SUBSTITUTE('Dashboard'!$B$7,"~","~~"),"*","~*"),"?","~?"))+COUNTIFS('Calculations'!$HW$13:$HW$512,"="&amp;SUBSTITUTE(SUBSTITUTE(SUBSTITUTE('Calculations'!HF102,"~","~~"),"*","~*"),"?","~?"),'Calculations'!$HN$13:$HN$512,"="&amp;SUBSTITUTE(SUBSTITUTE(SUBSTITUTE('Dashboard'!$B$7,"~","~~"),"*","~*"),"?","~?"))+COUNTIFS('Calculations'!$HX$13:$HX$512,"="&amp;SUBSTITUTE(SUBSTITUTE(SUBSTITUTE('Calculations'!HF102,"~","~~"),"*","~*"),"?","~?"),'Calculations'!$HN$13:$HN$512,"="&amp;SUBSTITUTE(SUBSTITUTE(SUBSTITUTE('Dashboard'!$B$7,"~","~~"),"*","~*"),"?","~?"))+COUNTIFS('Calculations'!$HY$13:$HY$512,"="&amp;SUBSTITUTE(SUBSTITUTE(SUBSTITUTE('Calculations'!HF102,"~","~~"),"*","~*"),"?","~?"),'Calculations'!$HN$13:$HN$512,"="&amp;SUBSTITUTE(SUBSTITUTE(SUBSTITUTE('Dashboard'!$B$7,"~","~~"),"*","~*"),"?","~?"))+COUNTIFS('Calculations'!$HZ$13:$HZ$512,"="&amp;SUBSTITUTE(SUBSTITUTE(SUBSTITUTE('Calculations'!HF102,"~","~~"),"*","~*"),"?","~?"),'Calculations'!$HN$13:$HN$512,"="&amp;SUBSTITUTE(SUBSTITUTE(SUBSTITUTE('Dashboard'!$B$7,"~","~~"),"*","~*"),"?","~?"))+COUNTIFS('Calculations'!$IA$13:$IA$512,"="&amp;SUBSTITUTE(SUBSTITUTE(SUBSTITUTE('Calculations'!HF102,"~","~~"),"*","~*"),"?","~?"),'Calculations'!$HN$13:$HN$512,"="&amp;SUBSTITUTE(SUBSTITUTE(SUBSTITUTE('Dashboard'!$B$7,"~","~~"),"*","~*"),"?","~?"))+COUNTIFS('Calculations'!$IB$13:$IB$512,"="&amp;SUBSTITUTE(SUBSTITUTE(SUBSTITUTE('Calculations'!HF102,"~","~~"),"*","~*"),"?","~?"),'Calculations'!$HN$13:$HN$512,"="&amp;SUBSTITUTE(SUBSTITUTE(SUBSTITUTE('Dashboard'!$B$7,"~","~~"),"*","~*"),"?","~?"))+COUNTIFS('Calculations'!$IC$13:$IC$512,"="&amp;SUBSTITUTE(SUBSTITUTE(SUBSTITUTE('Calculations'!HF102,"~","~~"),"*","~*"),"?","~?"),'Calculations'!$HN$13:$HN$512,"="&amp;SUBSTITUTE(SUBSTITUTE(SUBSTITUTE('Dashboard'!$B$7,"~","~~"),"*","~*"),"?","~?"))+COUNTIFS('Calculations'!$ID$13:$ID$512,"="&amp;SUBSTITUTE(SUBSTITUTE(SUBSTITUTE('Calculations'!HF102,"~","~~"),"*","~*"),"?","~?"),'Calculations'!$HN$13:$HN$512,"="&amp;SUBSTITUTE(SUBSTITUTE(SUBSTITUTE('Dashboard'!$B$7,"~","~~"),"*","~*"),"?","~?"))+COUNTIFS('Calculations'!$IE$13:$IE$512,"="&amp;SUBSTITUTE(SUBSTITUTE(SUBSTITUTE('Calculations'!HF102,"~","~~"),"*","~*"),"?","~?"),'Calculations'!$HN$13:$HN$512,"="&amp;SUBSTITUTE(SUBSTITUTE(SUBSTITUTE('Dashboard'!$B$7,"~","~~"),"*","~*"),"?","~?"))+COUNTIFS('Calculations'!$IF$13:$IF$512,"="&amp;SUBSTITUTE(SUBSTITUTE(SUBSTITUTE('Calculations'!HF102,"~","~~"),"*","~*"),"?","~?"),'Calculations'!$HN$13:$HN$512,"="&amp;SUBSTITUTE(SUBSTITUTE(SUBSTITUTE('Dashboard'!$B$7,"~","~~"),"*","~*"),"?","~?"))+COUNTIFS('Calculations'!$IG$13:$IG$512,"="&amp;SUBSTITUTE(SUBSTITUTE(SUBSTITUTE('Calculations'!HF102,"~","~~"),"*","~*"),"?","~?"),'Calculations'!$HN$13:$HN$512,"="&amp;SUBSTITUTE(SUBSTITUTE(SUBSTITUTE('Dashboard'!$B$7,"~","~~"),"*","~*"),"?","~?"))+COUNTIFS('Calculations'!$IH$13:$IH$512,"="&amp;SUBSTITUTE(SUBSTITUTE(SUBSTITUTE('Calculations'!HF102,"~","~~"),"*","~*"),"?","~?"),'Calculations'!$HN$13:$HN$512,"="&amp;SUBSTITUTE(SUBSTITUTE(SUBSTITUTE('Dashboard'!$B$7,"~","~~"),"*","~*"),"?","~?"))))</x:f>
        <x:v>0</x:v>
      </x:c>
      <x:c r="JD102" t="n">
        <x:f>IF('Calculations'!EM102="",0,IF('Dashboard'!$B$7="All",1,IF('Calculations'!HN102='Dashboard'!$B$7,1,0)+IFERROR(INDEX('Calculations'!$JC$13:$JC$512,MATCH('Calculations'!HE102,'Calculations'!$HF$13:$HF$512,0)),0)))</x:f>
        <x:v>0</x:v>
      </x:c>
      <x:c r="JE102" t="n">
        <x:f>IF(AND('Calculations'!EM102&lt;&gt;"",'Calculations'!$JJ$2&lt;&gt;"All",'Calculations'!$JJ$2&lt;&gt;"",'Calculations'!HF102='Calculations'!$JJ$2,'Calculations'!HL102=0,'Calculations'!JD102&gt;0),MAX('Calculations'!$JE$12:JE101)+1,0)</x:f>
        <x:v>0</x:v>
      </x:c>
      <x:c r="JF102" t="str">
        <x:f>IF('Calculations'!EM102="","",IFERROR(IF(INDEX(INDIRECT("'WCM Calibration Final'!$G$1:$G$2000"),'Calculations'!$EM102)="","",TRIM(INDEX(INDIRECT("'WCM Calibration Final'!$G$1:$G$2000"),'Calculations'!$EM102)&amp;"")),""))</x:f>
      </x:c>
      <x:c r="JQ102" t="n">
        <x:f>IF(OR('Calculations'!BM102=0,NOT('Calculations'!$AG$2),'Calculations'!$AG$8&gt;0),0,IF(OR('Dashboard'!$B$7="All",'Calculations'!HN102='Dashboard'!$B$7),IF('Calculations'!$JJ$2="All",1,IF(AND('Calculations'!HF102='Calculations'!$JJ$2,'Calculations'!HL102=0),1,0)),0))</x:f>
        <x:v>0</x:v>
      </x:c>
    </x:row>
    <x:row r="103">
      <x:c r="AF103" s="4"/>
      <x:c r="AG103" s="4"/>
      <x:c r="AH103" s="4"/>
      <x:c r="AI103" s="4"/>
      <x:c r="AJ103" s="4"/>
      <x:c r="AK103" s="4"/>
      <x:c r="AL103" s="4"/>
      <x:c r="AM103" s="4"/>
      <x:c r="AN103" s="4"/>
      <x:c r="AO103" s="4"/>
      <x:c r="AP103" s="4"/>
      <x:c r="AQ103" s="4"/>
      <x:c r="AR103" s="4" t="n">
        <x:f>IFERROR(MATCH((MIN('Dashboard'!$Z$93,MAX(1,ROUNDUP(MAX('Calculations'!$DP$12:$DP$1012)/20,0)))-1)*20+6,'Calculations'!$DP$12:$DP$1012,0),0)</x:f>
        <x:v>0</x:v>
      </x:c>
      <x:c r="AS103" s="4"/>
      <x:c r="AT103" s="4"/>
      <x:c r="AU103" s="4"/>
      <x:c r="AV103" s="4"/>
      <x:c r="AW103" s="4"/>
      <x:c r="AX103" s="4"/>
      <x:c r="AY103" s="4"/>
      <x:c r="AZ103" s="4"/>
      <x:c r="BA103" s="4"/>
      <x:c r="BB103" s="4"/>
      <x:c r="BC103" s="4"/>
      <x:c r="BD103" s="4"/>
      <x:c r="BE103" s="4"/>
      <x:c r="BF103" s="4"/>
      <x:c r="BG103" s="4"/>
      <x:c r="BH103" s="4"/>
      <x:c r="BI103" s="4"/>
      <x:c r="BJ103" s="4"/>
      <x:c r="BK103" s="4"/>
      <x:c r="BL103" s="4"/>
      <x:c r="BM103" s="4" t="n">
        <x:f>IF('Calculations'!$EM103="",0,IF(OR(IFERROR(INDEX(INDIRECT("'WCM Calibration Final'!$A$1:$A$2000"),'Calculations'!$EM103)&lt;&gt;"",FALSE),IFERROR(INDEX(INDIRECT("'WCM Calibration Final'!$B$1:$B$2000"),'Calculations'!$EM103)&lt;&gt;"",FALSE),IFERROR(INDEX(INDIRECT("'WCM Calibration Final'!$C$1:$C$2000"),'Calculations'!$EM103)&lt;&gt;"",FALSE)),1,0))</x:f>
        <x:v>0</x:v>
      </x:c>
      <x:c r="BN103" s="4" t="n">
        <x:f>IF(AND('Calculations'!BM103=1,'Calculations'!$AG$2,'Calculations'!$EN103=1),1,0)</x:f>
        <x:v>0</x:v>
      </x:c>
      <x:c r="BO103" s="4" t="str">
        <x:f>IF('Calculations'!BM103=0,"",IFERROR(IF(AND(VALUE(INDEX(INDIRECT("'WCM Calibration Final'!$K$1:$K$2000"),'Calculations'!$EM103))&gt;=1,VALUE(INDEX(INDIRECT("'WCM Calibration Final'!$K$1:$K$2000"),'Calculations'!$EM103))&lt;=4,MOD(VALUE(INDEX(INDIRECT("'WCM Calibration Final'!$K$1:$K$2000"),'Calculations'!$EM103)),1)=0),VALUE(INDEX(INDIRECT("'WCM Calibration Final'!$K$1:$K$2000"),'Calculations'!$EM103)),""),""))</x:f>
      </x:c>
      <x:c r="BP103" s="4" t="str">
        <x:f>IF('Calculations'!BM103=0,"",IFERROR(IF(AND(VALUE(INDEX(INDIRECT("'WCM Calibration Final'!$L$1:$L$2000"),'Calculations'!$EM103))&gt;=1,VALUE(INDEX(INDIRECT("'WCM Calibration Final'!$L$1:$L$2000"),'Calculations'!$EM103))&lt;=4,MOD(VALUE(INDEX(INDIRECT("'WCM Calibration Final'!$L$1:$L$2000"),'Calculations'!$EM103)),1)=0),VALUE(INDEX(INDIRECT("'WCM Calibration Final'!$L$1:$L$2000"),'Calculations'!$EM103)),""),""))</x:f>
      </x:c>
      <x:c r="BQ103" s="4"/>
      <x:c r="BR103" s="4"/>
      <x:c r="BS103" s="4"/>
      <x:c r="BT103" s="4" t="n">
        <x:f>IF(AND('Calculations'!BM103=1,ISNUMBER('Calculations'!BO103),ISNUMBER('Calculations'!BP103)),1,0)</x:f>
        <x:v>0</x:v>
      </x:c>
      <x:c r="BU103" s="4" t="str">
        <x:f>IF('Calculations'!BM103=0,"",'Calculations'!$EO103)</x:f>
      </x:c>
      <x:c r="BV103" s="4" t="str">
        <x:f>IF('Calculations'!BM103=0,"",IFERROR(IF(OR(INDEX(INDIRECT("'WCM Calibration Final'!$H$1:$H$2000"),'Calculations'!$EM103)="MANAGING DIRECTOR",INDEX(INDIRECT("'WCM Calibration Final'!$H$1:$H$2000"),'Calculations'!$EM103)="DIRECTOR",INDEX(INDIRECT("'WCM Calibration Final'!$H$1:$H$2000"),'Calculations'!$EM103)="SENIOR VICE PRESIDENT",INDEX(INDIRECT("'WCM Calibration Final'!$H$1:$H$2000"),'Calculations'!$EM103)="VICE PRESIDENT",INDEX(INDIRECT("'WCM Calibration Final'!$H$1:$H$2000"),'Calculations'!$EM103)="ASSISTANT VICE PRESIDENT",INDEX(INDIRECT("'WCM Calibration Final'!$H$1:$H$2000"),'Calculations'!$EM103)="OFFICER"),UPPER(INDEX(INDIRECT("'WCM Calibration Final'!$H$1:$H$2000"),'Calculations'!$EM103)),"Other"),"Other"))</x:f>
      </x:c>
      <x:c r="BW103" s="4"/>
      <x:c r="BX103" s="4"/>
      <x:c r="BY103" s="4" t="n">
        <x:f>IF(AND('Calculations'!BM103=1,'Calculations'!BU103&lt;&gt;"",COUNTIF('Calculations'!$BU$12:BU103,'Calculations'!BU103)=1),MAX('Calculations'!$BY$11:BY102)+1,0)</x:f>
        <x:v>0</x:v>
      </x:c>
      <x:c r="BZ103" s="4" t="str">
        <x:f>IF('Dashboard'!$E$67="What",'Calculations'!BO103,'Calculations'!BP103)</x:f>
      </x:c>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t="str">
        <x:f>IF(92&gt;MAX('Calculations'!$HI$13:$HI$512),"",INDEX('Calculations'!$HN$13:$HN$512,MATCH(92,'Calculations'!$HI$13:$HI$512,0)))</x:f>
      </x:c>
      <x:c r="DB103" s="4" t="str">
        <x:f>IF(92&gt;MAX('Calculations'!$HH$13:$HH$512),"",INDEX('Calculations'!$HJ$13:$HJ$512,MATCH(92,'Calculations'!$HH$13:$HH$512,0)))</x:f>
      </x:c>
      <x:c r="DC103" s="4" t="str">
        <x:f>IF(ROW()-11&gt;MAX('Calculations'!$BY$13:$BY$512),"",INDEX('Calculations'!$BU$13:$BU$512,MATCH(ROW()-11,'Calculations'!$BY$13:$BY$512,0)))</x:f>
      </x:c>
      <x:c r="DD103" s="4" t="str">
        <x:f>IF(92&gt;MAX('Calculations'!$IK$13:$IK$512),"",INDEX('Calculations'!$HK$13:$HK$512,MATCH(92,'Calculations'!$IK$13:$IK$512,0)))</x:f>
      </x:c>
      <x:c r="DE103" s="4" t="str">
        <x:f>'Calculations'!DC103</x:f>
      </x:c>
      <x:c r="DF103" s="4" t="str">
        <x:f>IF('Calculations'!DE103="","",COUNTIFS('Calculations'!$BN$13:$BN$512,1,'Calculations'!$BU$13:$BU$512,'Calculations'!DE103))</x:f>
      </x:c>
      <x:c r="DG103" s="4" t="str">
        <x:f>IF('Calculations'!DE103="","",COUNTIFS('Calculations'!$BN$13:$BN$512,1,'Calculations'!$BU$13:$BU$512,'Calculations'!DE103,'Calculations'!$BT$13:$BT$512,1))</x:f>
      </x:c>
      <x:c r="DH103" s="4" t="str">
        <x:f>IF('Calculations'!DE103="","",'Calculations'!DF103-'Calculations'!DG103)</x:f>
      </x:c>
      <x:c r="DI103" s="4" t="str">
        <x:f>IF(OR('Calculations'!DE103="",'Calculations'!DF103=0),"",'Calculations'!DG103/'Calculations'!DF103)</x:f>
      </x:c>
      <x:c r="DJ103" s="4" t="str">
        <x:f>IF('Calculations'!DE103="","",COUNTIFS('Calculations'!$BN$13:$BN$512,1,'Calculations'!$BU$13:$BU$512,'Calculations'!DE103,'Calculations'!$BT$13:$BT$512,1,'Calculations'!$EE$13:$EE$512,"High"))</x:f>
      </x:c>
      <x:c r="DK103" s="4" t="str">
        <x:f>IF('Calculations'!DE103="","",COUNTIFS('Calculations'!$BN$13:$BN$512,1,'Calculations'!$BU$13:$BU$512,'Calculations'!DE103,'Calculations'!$BT$13:$BT$512,1,'Calculations'!$EE$13:$EE$512,"Strong"))</x:f>
      </x:c>
      <x:c r="DL103" s="4" t="str">
        <x:f>IF('Calculations'!DE103="","",COUNTIFS('Calculations'!$BN$13:$BN$512,1,'Calculations'!$BU$13:$BU$512,'Calculations'!DE103,'Calculations'!$BT$13:$BT$512,1,'Calculations'!$EE$13:$EE$512,"Solid"))</x:f>
      </x:c>
      <x:c r="DM103" s="4" t="str">
        <x:f>IF('Calculations'!DE103="","",COUNTIFS('Calculations'!$BN$13:$BN$512,1,'Calculations'!$BU$13:$BU$512,'Calculations'!DE103,'Calculations'!$BT$13:$BT$512,1,'Calculations'!$EE$13:$EE$512,"Low"))</x:f>
      </x:c>
      <x:c r="DN103" s="4" t="str">
        <x:f>IF('Calculations'!DE103="","",COUNTIFS('Calculations'!$BN$13:$BN$512,1,'Calculations'!$BU$13:$BU$512,'Calculations'!DE103,'Calculations'!$EP$13:$EP$512,1))</x:f>
      </x:c>
      <x:c r="DO103" s="4" t="str">
        <x:f>IF(OR('Calculations'!DE103="",'Calculations'!DG103=0),"",('Calculations'!DJ103+'Calculations'!DK103)/'Calculations'!DG103)</x:f>
      </x:c>
      <x:c r="DP103" s="4" t="n">
        <x:f>IF(AND('Calculations'!DE103&lt;&gt;"",'Calculations'!DF103&gt;0),COUNTIF('Calculations'!$DF$12:DF103,"&gt;0"),0)</x:f>
        <x:v>0</x:v>
      </x:c>
      <x:c r="DQ103" s="4" t="str">
        <x:f>IF(92&gt;MAX('Calculations'!$HH$13:$HH$512),"",INDEX('Calculations'!$HF$13:$HF$512,MATCH(92,'Calculations'!$HH$13:$HH$512,0)))</x:f>
      </x:c>
      <x:c r="DR103" s="4" t="str">
        <x:f>IF(92&gt;MAX('Calculations'!$IK$13:$IK$512),"",INDEX('Calculations'!$HE$13:$HE$512,MATCH(92,'Calculations'!$IK$13:$IK$512,0)))</x:f>
      </x:c>
      <x:c r="DS103" s="4"/>
      <x:c r="DT103" s="4"/>
      <x:c r="DU103" s="4"/>
      <x:c r="DV103" s="4"/>
      <x:c r="DW103" s="4"/>
      <x:c r="DX103" s="4"/>
      <x:c r="DY103" s="4"/>
      <x:c r="DZ103" s="4"/>
      <x:c r="EA103" s="4"/>
      <x:c r="EB103" s="4"/>
      <x:c r="EC103" s="4"/>
      <x:c r="ED103" s="4"/>
      <x:c r="EE103" s="4" t="str">
        <x:f>IF('Calculations'!BT103=0,"Not Rated",IF(OR('Calculations'!BO103&gt;=4,'Calculations'!BP103&gt;=4),"Low",IF('Calculations'!BO103+'Calculations'!BP103&lt;=3,"High",IF('Calculations'!BO103+'Calculations'!BP103&lt;=4,"Strong","Solid"))))</x:f>
        <x:v>Not Rated</x:v>
      </x:c>
      <x:c r="EF103" s="4"/>
      <x:c r="EG103" s="4"/>
      <x:c r="EH103" s="4"/>
      <x:c r="EI103" s="4"/>
      <x:c r="EJ103" s="4"/>
      <x:c r="EK103" s="4"/>
      <x:c r="EL103" s="4"/>
      <x:c r="EM103" s="4" t="str">
        <x:f>IF(91&gt;'Calculations'!$JB$2000,"",INDEX('Calculations'!$JA$12:$JA$2000,MATCH(91,'Calculations'!$JB$12:$JB$2000,0)))</x:f>
      </x:c>
      <x:c r="EN103" s="4" t="n">
        <x:f>IF(OR('Calculations'!EM103="",'Calculations'!$AG$8&gt;0,AND('Calculations'!$EF$2&lt;&gt;"All",'Calculations'!HE103='Calculations'!$EF$2),AND('Calculations'!$EF$3&lt;&gt;"All",'Calculations'!HE103='Calculations'!$EF$3)),0,IF(OR('Dashboard'!$B$7="All",'Calculations'!HN103='Dashboard'!$B$7),IF('Calculations'!$EF$2="All",1,IF('Calculations'!HL103&gt;0,0,IF(COUNTIF('Calculations'!HO103:II103,"="&amp;SUBSTITUTE(SUBSTITUTE(SUBSTITUTE('Calculations'!$EF$2,"~","~~"),"*","~*"),"?","~?"))=0,0,IF('Calculations'!$EF$3="All",1,IF(COUNTIF('Calculations'!HO103:II103,"="&amp;SUBSTITUTE(SUBSTITUTE(SUBSTITUTE('Calculations'!$EF$3,"~","~~"),"*","~*"),"?","~?"))&gt;0,1,0))))),0))</x:f>
        <x:v>0</x:v>
      </x:c>
      <x:c r="EO103" s="4" t="str">
        <x:f>IF('Calculations'!IJ103="","",IF('Calculations'!IJ103="!UNRESOLVED","Unresolved hierarchy",IFERROR(INDEX('Calculations'!$HK$13:$HK$512,MATCH('Calculations'!IJ103,'Calculations'!$HE$13:$HE$512,0)),IFERROR(INDEX('Calculations'!$HJ$13:$HJ$512,MATCH('Calculations'!IJ103,'Calculations'!$HF$13:$HF$512,0)),'Calculations'!IJ103))))</x:f>
      </x:c>
      <x:c r="EP103" s="4" t="n">
        <x:f>IF(AND('Calculations'!EM103&lt;&gt;"",'Calculations'!HF103='Calculations'!IJ103),1,0)</x:f>
        <x:v>0</x:v>
      </x:c>
      <x:c r="EQ103" s="4"/>
      <x:c r="ER103" s="4"/>
      <x:c r="ES103" s="4"/>
      <x:c r="ET103" s="4"/>
      <x:c r="EU103" s="4"/>
      <x:c r="EV103" s="4"/>
      <x:c r="EW103" s="4"/>
      <x:c r="EX103" s="4"/>
      <x:c r="EY103" s="4"/>
      <x:c r="EZ103" s="4"/>
      <x:c r="FA103" s="4"/>
      <x:c r="FB103" s="4"/>
      <x:c r="FC103" s="4"/>
      <x:c r="FD103" s="4"/>
      <x:c r="FE103" s="4"/>
      <x:c r="FF103" s="4"/>
      <x:c r="FG103" s="4"/>
      <x:c r="FH103" s="4"/>
      <x:c r="FI103" s="4"/>
      <x:c r="FJ103" s="4"/>
      <x:c r="FK103" s="4"/>
      <x:c r="FL103" s="4"/>
      <x:c r="FM103" s="4"/>
      <x:c r="FN103" s="4"/>
      <x:c r="FO103" s="4"/>
      <x:c r="GA103" s="71"/>
      <x:c r="GB103" s="71" t="str">
        <x:f>IF('Calculations'!$AR103=0,"",INDEX('Calculations'!$DE$12:$DE$1012,'Calculations'!$AR103))</x:f>
      </x:c>
      <x:c r="GC103" s="71"/>
      <x:c r="GD103" s="71"/>
      <x:c r="GE103" s="71"/>
      <x:c r="GF103" s="71"/>
      <x:c r="GG103" s="71"/>
      <x:c r="GH103" s="71"/>
      <x:c r="GI103" s="71" t="str">
        <x:f>IF('Calculations'!$AR103=0,"",INDEX('Calculations'!$DF$12:$DF$1012,'Calculations'!$AR103))</x:f>
      </x:c>
      <x:c r="GJ103" s="71"/>
      <x:c r="GK103" s="71" t="str">
        <x:f>IF('Calculations'!$AR103=0,"",INDEX('Calculations'!$DG$12:$DG$1012,'Calculations'!$AR103))</x:f>
      </x:c>
      <x:c r="GL103" s="71"/>
      <x:c r="GM103" s="71" t="str">
        <x:f>IF('Calculations'!$AR103=0,"",INDEX('Calculations'!$DH$12:$DH$1012,'Calculations'!$AR103))</x:f>
      </x:c>
      <x:c r="GN103" s="71"/>
      <x:c r="GO103" s="71" t="str">
        <x:f>IF('Calculations'!$AR103=0,"",INDEX('Calculations'!$DI$12:$DI$1012,'Calculations'!$AR103))</x:f>
      </x:c>
      <x:c r="GP103" s="71"/>
      <x:c r="GQ103" s="71" t="str">
        <x:f>IF('Calculations'!$AR103=0,"",INDEX('Calculations'!$DJ$12:$DJ$1012,'Calculations'!$AR103)&amp;" · "&amp;IF(INDEX('Calculations'!$DG$12:$DG$1012,'Calculations'!$AR103)=0,"n.a.",TEXT(INDEX('Calculations'!$DJ$12:$DJ$1012,'Calculations'!$AR103)/INDEX('Calculations'!$DG$12:$DG$1012,'Calculations'!$AR103),"0.0%")))</x:f>
      </x:c>
      <x:c r="GR103" s="71"/>
      <x:c r="GS103" s="71" t="str">
        <x:f>IF('Calculations'!$AR103=0,"",INDEX('Calculations'!$DK$12:$DK$1012,'Calculations'!$AR103)&amp;" · "&amp;IF(INDEX('Calculations'!$DG$12:$DG$1012,'Calculations'!$AR103)=0,"n.a.",TEXT(INDEX('Calculations'!$DK$12:$DK$1012,'Calculations'!$AR103)/INDEX('Calculations'!$DG$12:$DG$1012,'Calculations'!$AR103),"0.0%")))</x:f>
      </x:c>
      <x:c r="GT103" s="71"/>
      <x:c r="GU103" s="71" t="str">
        <x:f>IF('Calculations'!$AR103=0,"",INDEX('Calculations'!$DL$12:$DL$1012,'Calculations'!$AR103)&amp;" · "&amp;IF(INDEX('Calculations'!$DG$12:$DG$1012,'Calculations'!$AR103)=0,"n.a.",TEXT(INDEX('Calculations'!$DL$12:$DL$1012,'Calculations'!$AR103)/INDEX('Calculations'!$DG$12:$DG$1012,'Calculations'!$AR103),"0.0%")))</x:f>
      </x:c>
      <x:c r="GV103" s="71"/>
      <x:c r="GW103" s="71" t="str">
        <x:f>IF('Calculations'!$AR103=0,"",INDEX('Calculations'!$DM$12:$DM$1012,'Calculations'!$AR103)&amp;" · "&amp;IF(INDEX('Calculations'!$DG$12:$DG$1012,'Calculations'!$AR103)=0,"n.a.",TEXT(INDEX('Calculations'!$DM$12:$DM$1012,'Calculations'!$AR103)/INDEX('Calculations'!$DG$12:$DG$1012,'Calculations'!$AR103),"0.0%")))</x:f>
      </x:c>
      <x:c r="GX103" s="71"/>
      <x:c r="GY103" s="71" t="str">
        <x:f>IF('Calculations'!$AR103=0,"",INDEX('Calculations'!$DN$12:$DN$1012,'Calculations'!$AR103))</x:f>
      </x:c>
      <x:c r="GZ103" s="71"/>
      <x:c r="HA103" s="71" t="str">
        <x:f>IF('Calculations'!$AR103=0,"",INDEX('Calculations'!$DO$12:$DO$1012,'Calculations'!$AR103))</x:f>
      </x:c>
      <x:c r="HB103" s="71"/>
      <x:c r="HC103" s="71"/>
      <x:c r="HD103" s="71"/>
      <x:c r="HE103" t="str">
        <x:f>IF('Calculations'!EM103="","",IF(IFERROR(IF(INDEX(INDIRECT("'WCM Calibration Final'!$A$1:$A$2000"),'Calculations'!$EM103)="","",TRIM(INDEX(INDIRECT("'WCM Calibration Final'!$A$1:$A$2000"),'Calculations'!$EM103)&amp;"")),"")&lt;&gt;"","G:"&amp;IFERROR(TEXT(1*INDEX(INDIRECT("'WCM Calibration Final'!$A$1:$A$2000"),'Calculations'!$EM103),"0"),UPPER(IFERROR(IF(INDEX(INDIRECT("'WCM Calibration Final'!$A$1:$A$2000"),'Calculations'!$EM103)="","",TRIM(INDEX(INDIRECT("'WCM Calibration Final'!$A$1:$A$2000"),'Calculations'!$EM103)&amp;"")),""))),IF(IFERROR(IF(INDEX(INDIRECT("'WCM Calibration Final'!$C$1:$C$2000"),'Calculations'!$EM103)="","",TRIM(INDEX(INDIRECT("'WCM Calibration Final'!$C$1:$C$2000"),'Calculations'!$EM103)&amp;"")),"")&lt;&gt;"","S:"&amp;UPPER(IFERROR(IF(INDEX(INDIRECT("'WCM Calibration Final'!$C$1:$C$2000"),'Calculations'!$EM103)="","",TRIM(INDEX(INDIRECT("'WCM Calibration Final'!$C$1:$C$2000"),'Calculations'!$EM103)&amp;"")),"")),"R:"&amp;'Calculations'!EM103)))</x:f>
      </x:c>
      <x:c r="HF103" t="str">
        <x:f>IF('Calculations'!EM103="","",IF(IFERROR(IF(INDEX(INDIRECT("'WCM Calibration Final'!$D$1:$D$2000"),'Calculations'!$EM103)="","",TRIM(INDEX(INDIRECT("'WCM Calibration Final'!$D$1:$D$2000"),'Calculations'!$EM103)&amp;"")),"")&lt;&gt;"","G:"&amp;IFERROR(TEXT(1*INDEX(INDIRECT("'WCM Calibration Final'!$D$1:$D$2000"),'Calculations'!$EM103),"0"),UPPER(IFERROR(IF(INDEX(INDIRECT("'WCM Calibration Final'!$D$1:$D$2000"),'Calculations'!$EM103)="","",TRIM(INDEX(INDIRECT("'WCM Calibration Final'!$D$1:$D$2000"),'Calculations'!$EM103)&amp;"")),""))),IF(IFERROR(IF(INDEX(INDIRECT("'WCM Calibration Final'!$E$1:$E$2000"),'Calculations'!$EM103)="","",TRIM(INDEX(INDIRECT("'WCM Calibration Final'!$E$1:$E$2000"),'Calculations'!$EM103)&amp;"")),"")="","",IF(COUNTIF('Calculations'!$HG$13:$HG$512,"="&amp;SUBSTITUTE(SUBSTITUTE(SUBSTITUTE(IFERROR(IF(INDEX(INDIRECT("'WCM Calibration Final'!$E$1:$E$2000"),'Calculations'!$EM103)="","",TRIM(INDEX(INDIRECT("'WCM Calibration Final'!$E$1:$E$2000"),'Calculations'!$EM103)&amp;"")),""),"~","~~"),"*","~*"),"?","~?"))=1,INDEX('Calculations'!$HE$13:$HE$512,MATCH(IFERROR(IF(INDEX(INDIRECT("'WCM Calibration Final'!$E$1:$E$2000"),'Calculations'!$EM103)="","",TRIM(INDEX(INDIRECT("'WCM Calibration Final'!$E$1:$E$2000"),'Calculations'!$EM103)&amp;"")),""),'Calculations'!$HG$13:$HG$512,0)),IF(COUNTIF('Calculations'!$HG$13:$HG$512,"="&amp;SUBSTITUTE(SUBSTITUTE(SUBSTITUTE(IFERROR(IF(INDEX(INDIRECT("'WCM Calibration Final'!$E$1:$E$2000"),'Calculations'!$EM103)="","",TRIM(INDEX(INDIRECT("'WCM Calibration Final'!$E$1:$E$2000"),'Calculations'!$EM103)&amp;"")),""),"~","~~"),"*","~*"),"?","~?"))&gt;1,"!AMBIG","X:"&amp;IFERROR(IF(INDEX(INDIRECT("'WCM Calibration Final'!$E$1:$E$2000"),'Calculations'!$EM103)="","",TRIM(INDEX(INDIRECT("'WCM Calibration Final'!$E$1:$E$2000"),'Calculations'!$EM103)&amp;"")),""))))))</x:f>
      </x:c>
      <x:c r="HG103" t="str">
        <x:f>IF('Calculations'!EM103="","",IFERROR(IF(INDEX(INDIRECT("'WCM Calibration Final'!$B$1:$B$2000"),'Calculations'!$EM103)="","",TRIM(INDEX(INDIRECT("'WCM Calibration Final'!$B$1:$B$2000"),'Calculations'!$EM103)&amp;"")),""))</x:f>
      </x:c>
      <x:c r="HH103" t="n">
        <x:f>IF(AND('Calculations'!JC103&gt;0,COUNTIF('Calculations'!$HF$12:HF103,"="&amp;SUBSTITUTE(SUBSTITUTE(SUBSTITUTE('Calculations'!HF103,"~","~~"),"*","~*"),"?","~?"))=1),MAX('Calculations'!$HH$12:HH102)+1,0)</x:f>
        <x:v>0</x:v>
      </x:c>
      <x:c r="HI103" t="n">
        <x:f>IF(AND('Calculations'!HN103&lt;&gt;"",COUNTIF('Calculations'!$HN$12:HN103,"="&amp;SUBSTITUTE(SUBSTITUTE(SUBSTITUTE('Calculations'!HN103,"~","~~"),"*","~*"),"?","~?"))=1),MAX('Calculations'!$HI$12:HI102)+1,0)</x:f>
        <x:v>0</x:v>
      </x:c>
      <x:c r="HJ103" t="str">
        <x:f>IF('Calculations'!HF103="","",IF(COUNTIF('Calculations'!$HE$13:$HE$512,"="&amp;SUBSTITUTE(SUBSTITUTE(SUBSTITUTE('Calculations'!HF103,"~","~~"),"*","~*"),"?","~?"))=1,INDEX('Calculations'!$HK$13:$HK$512,MATCH('Calculations'!HF103,'Calculations'!$HE$13:$HE$512,0)),IFERROR(IF(INDEX(INDIRECT("'WCM Calibration Final'!$E$1:$E$2000"),'Calculations'!$EM103)="","",TRIM(INDEX(INDIRECT("'WCM Calibration Final'!$E$1:$E$2000"),'Calculations'!$EM103)&amp;"")),"")&amp;" ["&amp;'Calculations'!HF103&amp;"]"))</x:f>
      </x:c>
      <x:c r="HK103" t="str">
        <x:f>IF('Calculations'!EM103="","",'Calculations'!HG103&amp;" ["&amp;'Calculations'!HE103&amp;"]")</x:f>
      </x:c>
      <x:c r="HL103" t="n">
        <x:f>IF('Calculations'!EM103="",0,IF(OR('Calculations'!II103&lt;&gt;"",COUNTIF('Calculations'!$HE$13:$HE$512,"="&amp;SUBSTITUTE(SUBSTITUTE(SUBSTITUTE('Calculations'!HE103,"~","~~"),"*","~*"),"?","~?"))&gt;1),1,0))</x:f>
        <x:v>0</x:v>
      </x:c>
      <x:c r="HM103" t="str">
        <x:f>IF('Calculations'!EM103="","",IF('Calculations'!HL103=1,"!UNRESOLVED",IF('Calculations'!IH103&lt;&gt;"",'Calculations'!IH103,IF('Calculations'!IG103&lt;&gt;"",'Calculations'!IG103,IF('Calculations'!IF103&lt;&gt;"",'Calculations'!IF103,IF('Calculations'!IE103&lt;&gt;"",'Calculations'!IE103,IF('Calculations'!ID103&lt;&gt;"",'Calculations'!ID103,IF('Calculations'!IC103&lt;&gt;"",'Calculations'!IC103,IF('Calculations'!IB103&lt;&gt;"",'Calculations'!IB103,IF('Calculations'!IA103&lt;&gt;"",'Calculations'!IA103,IF('Calculations'!HZ103&lt;&gt;"",'Calculations'!HZ103,IF('Calculations'!HY103&lt;&gt;"",'Calculations'!HY103,IF('Calculations'!HX103&lt;&gt;"",'Calculations'!HX103,IF('Calculations'!HW103&lt;&gt;"",'Calculations'!HW103,IF('Calculations'!HV103&lt;&gt;"",'Calculations'!HV103,IF('Calculations'!HU103&lt;&gt;"",'Calculations'!HU103,IF('Calculations'!HT103&lt;&gt;"",'Calculations'!HT103,IF('Calculations'!HS103&lt;&gt;"",'Calculations'!HS103,IF('Calculations'!HR103&lt;&gt;"",'Calculations'!HR103,IF('Calculations'!HQ103&lt;&gt;"",'Calculations'!HQ103,IF('Calculations'!HP103&lt;&gt;"",'Calculations'!HP103,IF('Calculations'!HO103&lt;&gt;"",'Calculations'!HO103,'Calculations'!HE103))))))))))))))))))))))</x:f>
      </x:c>
      <x:c r="HN103" t="str">
        <x:f>IF('Calculations'!EM103="","",IF(IFERROR(IF(INDEX(INDIRECT("'WCM Calibration Final'!$F$1:$F$2000"),'Calculations'!$EM103)="","",TRIM(INDEX(INDIRECT("'WCM Calibration Final'!$F$1:$F$2000"),'Calculations'!$EM103)&amp;"")),"")="","(Blank)",IFERROR(IF(INDEX(INDIRECT("'WCM Calibration Final'!$F$1:$F$2000"),'Calculations'!$EM103)="","",TRIM(INDEX(INDIRECT("'WCM Calibration Final'!$F$1:$F$2000"),'Calculations'!$EM103)&amp;"")),"")))</x:f>
      </x:c>
      <x:c r="HO103" t="str">
        <x:f>'Calculations'!HF103</x:f>
      </x:c>
      <x:c r="HP103" t="str">
        <x:f>IF('Calculations'!HO103="","",IF('Calculations'!HO103="!AMBIG","!AMBIG",IF(COUNTIF('Calculations'!$HE$13:$HE$512,"="&amp;SUBSTITUTE(SUBSTITUTE(SUBSTITUTE('Calculations'!HO103,"~","~~"),"*","~*"),"?","~?"))&gt;1,"!AMBIG",IFERROR(INDEX('Calculations'!$HF$13:$HF$512,MATCH('Calculations'!HO103,'Calculations'!$HE$13:$HE$512,0)),""))))</x:f>
      </x:c>
      <x:c r="HQ103" t="str">
        <x:f>IF('Calculations'!HP103="","",IF('Calculations'!HP103="!AMBIG","!AMBIG",IF(COUNTIF('Calculations'!$HE$13:$HE$512,"="&amp;SUBSTITUTE(SUBSTITUTE(SUBSTITUTE('Calculations'!HP103,"~","~~"),"*","~*"),"?","~?"))&gt;1,"!AMBIG",IFERROR(INDEX('Calculations'!$HF$13:$HF$512,MATCH('Calculations'!HP103,'Calculations'!$HE$13:$HE$512,0)),""))))</x:f>
      </x:c>
      <x:c r="HR103" t="str">
        <x:f>IF('Calculations'!HQ103="","",IF('Calculations'!HQ103="!AMBIG","!AMBIG",IF(COUNTIF('Calculations'!$HE$13:$HE$512,"="&amp;SUBSTITUTE(SUBSTITUTE(SUBSTITUTE('Calculations'!HQ103,"~","~~"),"*","~*"),"?","~?"))&gt;1,"!AMBIG",IFERROR(INDEX('Calculations'!$HF$13:$HF$512,MATCH('Calculations'!HQ103,'Calculations'!$HE$13:$HE$512,0)),""))))</x:f>
      </x:c>
      <x:c r="HS103" t="str">
        <x:f>IF('Calculations'!HR103="","",IF('Calculations'!HR103="!AMBIG","!AMBIG",IF(COUNTIF('Calculations'!$HE$13:$HE$512,"="&amp;SUBSTITUTE(SUBSTITUTE(SUBSTITUTE('Calculations'!HR103,"~","~~"),"*","~*"),"?","~?"))&gt;1,"!AMBIG",IFERROR(INDEX('Calculations'!$HF$13:$HF$512,MATCH('Calculations'!HR103,'Calculations'!$HE$13:$HE$512,0)),""))))</x:f>
      </x:c>
      <x:c r="HT103" t="str">
        <x:f>IF('Calculations'!HS103="","",IF('Calculations'!HS103="!AMBIG","!AMBIG",IF(COUNTIF('Calculations'!$HE$13:$HE$512,"="&amp;SUBSTITUTE(SUBSTITUTE(SUBSTITUTE('Calculations'!HS103,"~","~~"),"*","~*"),"?","~?"))&gt;1,"!AMBIG",IFERROR(INDEX('Calculations'!$HF$13:$HF$512,MATCH('Calculations'!HS103,'Calculations'!$HE$13:$HE$512,0)),""))))</x:f>
      </x:c>
      <x:c r="HU103" t="str">
        <x:f>IF('Calculations'!HT103="","",IF('Calculations'!HT103="!AMBIG","!AMBIG",IF(COUNTIF('Calculations'!$HE$13:$HE$512,"="&amp;SUBSTITUTE(SUBSTITUTE(SUBSTITUTE('Calculations'!HT103,"~","~~"),"*","~*"),"?","~?"))&gt;1,"!AMBIG",IFERROR(INDEX('Calculations'!$HF$13:$HF$512,MATCH('Calculations'!HT103,'Calculations'!$HE$13:$HE$512,0)),""))))</x:f>
      </x:c>
      <x:c r="HV103" t="str">
        <x:f>IF('Calculations'!HU103="","",IF('Calculations'!HU103="!AMBIG","!AMBIG",IF(COUNTIF('Calculations'!$HE$13:$HE$512,"="&amp;SUBSTITUTE(SUBSTITUTE(SUBSTITUTE('Calculations'!HU103,"~","~~"),"*","~*"),"?","~?"))&gt;1,"!AMBIG",IFERROR(INDEX('Calculations'!$HF$13:$HF$512,MATCH('Calculations'!HU103,'Calculations'!$HE$13:$HE$512,0)),""))))</x:f>
      </x:c>
      <x:c r="HW103" t="str">
        <x:f>IF('Calculations'!HV103="","",IF('Calculations'!HV103="!AMBIG","!AMBIG",IF(COUNTIF('Calculations'!$HE$13:$HE$512,"="&amp;SUBSTITUTE(SUBSTITUTE(SUBSTITUTE('Calculations'!HV103,"~","~~"),"*","~*"),"?","~?"))&gt;1,"!AMBIG",IFERROR(INDEX('Calculations'!$HF$13:$HF$512,MATCH('Calculations'!HV103,'Calculations'!$HE$13:$HE$512,0)),""))))</x:f>
      </x:c>
      <x:c r="HX103" t="str">
        <x:f>IF('Calculations'!HW103="","",IF('Calculations'!HW103="!AMBIG","!AMBIG",IF(COUNTIF('Calculations'!$HE$13:$HE$512,"="&amp;SUBSTITUTE(SUBSTITUTE(SUBSTITUTE('Calculations'!HW103,"~","~~"),"*","~*"),"?","~?"))&gt;1,"!AMBIG",IFERROR(INDEX('Calculations'!$HF$13:$HF$512,MATCH('Calculations'!HW103,'Calculations'!$HE$13:$HE$512,0)),""))))</x:f>
      </x:c>
      <x:c r="HY103" t="str">
        <x:f>IF('Calculations'!HX103="","",IF('Calculations'!HX103="!AMBIG","!AMBIG",IF(COUNTIF('Calculations'!$HE$13:$HE$512,"="&amp;SUBSTITUTE(SUBSTITUTE(SUBSTITUTE('Calculations'!HX103,"~","~~"),"*","~*"),"?","~?"))&gt;1,"!AMBIG",IFERROR(INDEX('Calculations'!$HF$13:$HF$512,MATCH('Calculations'!HX103,'Calculations'!$HE$13:$HE$512,0)),""))))</x:f>
      </x:c>
      <x:c r="HZ103" t="str">
        <x:f>IF('Calculations'!HY103="","",IF('Calculations'!HY103="!AMBIG","!AMBIG",IF(COUNTIF('Calculations'!$HE$13:$HE$512,"="&amp;SUBSTITUTE(SUBSTITUTE(SUBSTITUTE('Calculations'!HY103,"~","~~"),"*","~*"),"?","~?"))&gt;1,"!AMBIG",IFERROR(INDEX('Calculations'!$HF$13:$HF$512,MATCH('Calculations'!HY103,'Calculations'!$HE$13:$HE$512,0)),""))))</x:f>
      </x:c>
      <x:c r="IA103" t="str">
        <x:f>IF('Calculations'!HZ103="","",IF('Calculations'!HZ103="!AMBIG","!AMBIG",IF(COUNTIF('Calculations'!$HE$13:$HE$512,"="&amp;SUBSTITUTE(SUBSTITUTE(SUBSTITUTE('Calculations'!HZ103,"~","~~"),"*","~*"),"?","~?"))&gt;1,"!AMBIG",IFERROR(INDEX('Calculations'!$HF$13:$HF$512,MATCH('Calculations'!HZ103,'Calculations'!$HE$13:$HE$512,0)),""))))</x:f>
      </x:c>
      <x:c r="IB103" t="str">
        <x:f>IF('Calculations'!IA103="","",IF('Calculations'!IA103="!AMBIG","!AMBIG",IF(COUNTIF('Calculations'!$HE$13:$HE$512,"="&amp;SUBSTITUTE(SUBSTITUTE(SUBSTITUTE('Calculations'!IA103,"~","~~"),"*","~*"),"?","~?"))&gt;1,"!AMBIG",IFERROR(INDEX('Calculations'!$HF$13:$HF$512,MATCH('Calculations'!IA103,'Calculations'!$HE$13:$HE$512,0)),""))))</x:f>
      </x:c>
      <x:c r="IC103" t="str">
        <x:f>IF('Calculations'!IB103="","",IF('Calculations'!IB103="!AMBIG","!AMBIG",IF(COUNTIF('Calculations'!$HE$13:$HE$512,"="&amp;SUBSTITUTE(SUBSTITUTE(SUBSTITUTE('Calculations'!IB103,"~","~~"),"*","~*"),"?","~?"))&gt;1,"!AMBIG",IFERROR(INDEX('Calculations'!$HF$13:$HF$512,MATCH('Calculations'!IB103,'Calculations'!$HE$13:$HE$512,0)),""))))</x:f>
      </x:c>
      <x:c r="ID103" t="str">
        <x:f>IF('Calculations'!IC103="","",IF('Calculations'!IC103="!AMBIG","!AMBIG",IF(COUNTIF('Calculations'!$HE$13:$HE$512,"="&amp;SUBSTITUTE(SUBSTITUTE(SUBSTITUTE('Calculations'!IC103,"~","~~"),"*","~*"),"?","~?"))&gt;1,"!AMBIG",IFERROR(INDEX('Calculations'!$HF$13:$HF$512,MATCH('Calculations'!IC103,'Calculations'!$HE$13:$HE$512,0)),""))))</x:f>
      </x:c>
      <x:c r="IE103" t="str">
        <x:f>IF('Calculations'!ID103="","",IF('Calculations'!ID103="!AMBIG","!AMBIG",IF(COUNTIF('Calculations'!$HE$13:$HE$512,"="&amp;SUBSTITUTE(SUBSTITUTE(SUBSTITUTE('Calculations'!ID103,"~","~~"),"*","~*"),"?","~?"))&gt;1,"!AMBIG",IFERROR(INDEX('Calculations'!$HF$13:$HF$512,MATCH('Calculations'!ID103,'Calculations'!$HE$13:$HE$512,0)),""))))</x:f>
      </x:c>
      <x:c r="IF103" t="str">
        <x:f>IF('Calculations'!IE103="","",IF('Calculations'!IE103="!AMBIG","!AMBIG",IF(COUNTIF('Calculations'!$HE$13:$HE$512,"="&amp;SUBSTITUTE(SUBSTITUTE(SUBSTITUTE('Calculations'!IE103,"~","~~"),"*","~*"),"?","~?"))&gt;1,"!AMBIG",IFERROR(INDEX('Calculations'!$HF$13:$HF$512,MATCH('Calculations'!IE103,'Calculations'!$HE$13:$HE$512,0)),""))))</x:f>
      </x:c>
      <x:c r="IG103" t="str">
        <x:f>IF('Calculations'!IF103="","",IF('Calculations'!IF103="!AMBIG","!AMBIG",IF(COUNTIF('Calculations'!$HE$13:$HE$512,"="&amp;SUBSTITUTE(SUBSTITUTE(SUBSTITUTE('Calculations'!IF103,"~","~~"),"*","~*"),"?","~?"))&gt;1,"!AMBIG",IFERROR(INDEX('Calculations'!$HF$13:$HF$512,MATCH('Calculations'!IF103,'Calculations'!$HE$13:$HE$512,0)),""))))</x:f>
      </x:c>
      <x:c r="IH103" t="str">
        <x:f>IF('Calculations'!IG103="","",IF('Calculations'!IG103="!AMBIG","!AMBIG",IF(COUNTIF('Calculations'!$HE$13:$HE$512,"="&amp;SUBSTITUTE(SUBSTITUTE(SUBSTITUTE('Calculations'!IG103,"~","~~"),"*","~*"),"?","~?"))&gt;1,"!AMBIG",IFERROR(INDEX('Calculations'!$HF$13:$HF$512,MATCH('Calculations'!IG103,'Calculations'!$HE$13:$HE$512,0)),""))))</x:f>
      </x:c>
      <x:c r="II103" t="str">
        <x:f>IF('Calculations'!IH103="","",IF('Calculations'!IH103="!AMBIG","!AMBIG",IF(COUNTIF('Calculations'!$HE$13:$HE$512,"="&amp;SUBSTITUTE(SUBSTITUTE(SUBSTITUTE('Calculations'!IH103,"~","~~"),"*","~*"),"?","~?"))&gt;1,"!AMBIG",IFERROR(INDEX('Calculations'!$HF$13:$HF$512,MATCH('Calculations'!IH103,'Calculations'!$HE$13:$HE$512,0)),""))))</x:f>
      </x:c>
      <x:c r="IJ103" t="str">
        <x:f>IF('Calculations'!EM103="","",IF('Calculations'!$EF$2="All",'Calculations'!HM103,IF('Calculations'!HL103=1,"",IFERROR(IF(MATCH('Calculations'!$EF$2,'Calculations'!HO103:II103,0)=1,'Calculations'!HE103,INDEX('Calculations'!HO103:II103,1,MATCH('Calculations'!$EF$2,'Calculations'!HO103:II103,0)-1)),""))))</x:f>
      </x:c>
      <x:c r="IK103" t="n">
        <x:f>IF(AND('Calculations'!EM103&lt;&gt;"",'Calculations'!$EF$2&lt;&gt;"All",'Calculations'!HF103='Calculations'!$EF$2,'Calculations'!HL103=0,'Calculations'!JD103&gt;0),MAX('Calculations'!$IK$12:IK102)+1,0)</x:f>
        <x:v>0</x:v>
      </x:c>
      <x:c r="JA103" t="n">
        <x:f>IF(OR(IFERROR(INDIRECT("'WCM Calibration Final'!$A$103")&lt;&gt;"",FALSE),IFERROR(INDIRECT("'WCM Calibration Final'!$B$103")&lt;&gt;"",FALSE),IFERROR(INDIRECT("'WCM Calibration Final'!$C$103")&lt;&gt;"",FALSE)),103,0)</x:f>
        <x:v>0</x:v>
      </x:c>
      <x:c r="JB103" t="n">
        <x:f>'Calculations'!JB102+IF('Calculations'!JA103&gt;0,1,0)</x:f>
        <x:v>0</x:v>
      </x:c>
      <x:c r="JC103" t="n">
        <x:f>IF(OR('Calculations'!HF103="",'Calculations'!HF103="!AMBIG"),0,IF('Dashboard'!$B$7="All",1,COUNTIFS('Calculations'!$HO$13:$HO$512,"="&amp;SUBSTITUTE(SUBSTITUTE(SUBSTITUTE('Calculations'!HF103,"~","~~"),"*","~*"),"?","~?"),'Calculations'!$HN$13:$HN$512,"="&amp;SUBSTITUTE(SUBSTITUTE(SUBSTITUTE('Dashboard'!$B$7,"~","~~"),"*","~*"),"?","~?"))+COUNTIFS('Calculations'!$HP$13:$HP$512,"="&amp;SUBSTITUTE(SUBSTITUTE(SUBSTITUTE('Calculations'!HF103,"~","~~"),"*","~*"),"?","~?"),'Calculations'!$HN$13:$HN$512,"="&amp;SUBSTITUTE(SUBSTITUTE(SUBSTITUTE('Dashboard'!$B$7,"~","~~"),"*","~*"),"?","~?"))+COUNTIFS('Calculations'!$HQ$13:$HQ$512,"="&amp;SUBSTITUTE(SUBSTITUTE(SUBSTITUTE('Calculations'!HF103,"~","~~"),"*","~*"),"?","~?"),'Calculations'!$HN$13:$HN$512,"="&amp;SUBSTITUTE(SUBSTITUTE(SUBSTITUTE('Dashboard'!$B$7,"~","~~"),"*","~*"),"?","~?"))+COUNTIFS('Calculations'!$HR$13:$HR$512,"="&amp;SUBSTITUTE(SUBSTITUTE(SUBSTITUTE('Calculations'!HF103,"~","~~"),"*","~*"),"?","~?"),'Calculations'!$HN$13:$HN$512,"="&amp;SUBSTITUTE(SUBSTITUTE(SUBSTITUTE('Dashboard'!$B$7,"~","~~"),"*","~*"),"?","~?"))+COUNTIFS('Calculations'!$HS$13:$HS$512,"="&amp;SUBSTITUTE(SUBSTITUTE(SUBSTITUTE('Calculations'!HF103,"~","~~"),"*","~*"),"?","~?"),'Calculations'!$HN$13:$HN$512,"="&amp;SUBSTITUTE(SUBSTITUTE(SUBSTITUTE('Dashboard'!$B$7,"~","~~"),"*","~*"),"?","~?"))+COUNTIFS('Calculations'!$HT$13:$HT$512,"="&amp;SUBSTITUTE(SUBSTITUTE(SUBSTITUTE('Calculations'!HF103,"~","~~"),"*","~*"),"?","~?"),'Calculations'!$HN$13:$HN$512,"="&amp;SUBSTITUTE(SUBSTITUTE(SUBSTITUTE('Dashboard'!$B$7,"~","~~"),"*","~*"),"?","~?"))+COUNTIFS('Calculations'!$HU$13:$HU$512,"="&amp;SUBSTITUTE(SUBSTITUTE(SUBSTITUTE('Calculations'!HF103,"~","~~"),"*","~*"),"?","~?"),'Calculations'!$HN$13:$HN$512,"="&amp;SUBSTITUTE(SUBSTITUTE(SUBSTITUTE('Dashboard'!$B$7,"~","~~"),"*","~*"),"?","~?"))+COUNTIFS('Calculations'!$HV$13:$HV$512,"="&amp;SUBSTITUTE(SUBSTITUTE(SUBSTITUTE('Calculations'!HF103,"~","~~"),"*","~*"),"?","~?"),'Calculations'!$HN$13:$HN$512,"="&amp;SUBSTITUTE(SUBSTITUTE(SUBSTITUTE('Dashboard'!$B$7,"~","~~"),"*","~*"),"?","~?"))+COUNTIFS('Calculations'!$HW$13:$HW$512,"="&amp;SUBSTITUTE(SUBSTITUTE(SUBSTITUTE('Calculations'!HF103,"~","~~"),"*","~*"),"?","~?"),'Calculations'!$HN$13:$HN$512,"="&amp;SUBSTITUTE(SUBSTITUTE(SUBSTITUTE('Dashboard'!$B$7,"~","~~"),"*","~*"),"?","~?"))+COUNTIFS('Calculations'!$HX$13:$HX$512,"="&amp;SUBSTITUTE(SUBSTITUTE(SUBSTITUTE('Calculations'!HF103,"~","~~"),"*","~*"),"?","~?"),'Calculations'!$HN$13:$HN$512,"="&amp;SUBSTITUTE(SUBSTITUTE(SUBSTITUTE('Dashboard'!$B$7,"~","~~"),"*","~*"),"?","~?"))+COUNTIFS('Calculations'!$HY$13:$HY$512,"="&amp;SUBSTITUTE(SUBSTITUTE(SUBSTITUTE('Calculations'!HF103,"~","~~"),"*","~*"),"?","~?"),'Calculations'!$HN$13:$HN$512,"="&amp;SUBSTITUTE(SUBSTITUTE(SUBSTITUTE('Dashboard'!$B$7,"~","~~"),"*","~*"),"?","~?"))+COUNTIFS('Calculations'!$HZ$13:$HZ$512,"="&amp;SUBSTITUTE(SUBSTITUTE(SUBSTITUTE('Calculations'!HF103,"~","~~"),"*","~*"),"?","~?"),'Calculations'!$HN$13:$HN$512,"="&amp;SUBSTITUTE(SUBSTITUTE(SUBSTITUTE('Dashboard'!$B$7,"~","~~"),"*","~*"),"?","~?"))+COUNTIFS('Calculations'!$IA$13:$IA$512,"="&amp;SUBSTITUTE(SUBSTITUTE(SUBSTITUTE('Calculations'!HF103,"~","~~"),"*","~*"),"?","~?"),'Calculations'!$HN$13:$HN$512,"="&amp;SUBSTITUTE(SUBSTITUTE(SUBSTITUTE('Dashboard'!$B$7,"~","~~"),"*","~*"),"?","~?"))+COUNTIFS('Calculations'!$IB$13:$IB$512,"="&amp;SUBSTITUTE(SUBSTITUTE(SUBSTITUTE('Calculations'!HF103,"~","~~"),"*","~*"),"?","~?"),'Calculations'!$HN$13:$HN$512,"="&amp;SUBSTITUTE(SUBSTITUTE(SUBSTITUTE('Dashboard'!$B$7,"~","~~"),"*","~*"),"?","~?"))+COUNTIFS('Calculations'!$IC$13:$IC$512,"="&amp;SUBSTITUTE(SUBSTITUTE(SUBSTITUTE('Calculations'!HF103,"~","~~"),"*","~*"),"?","~?"),'Calculations'!$HN$13:$HN$512,"="&amp;SUBSTITUTE(SUBSTITUTE(SUBSTITUTE('Dashboard'!$B$7,"~","~~"),"*","~*"),"?","~?"))+COUNTIFS('Calculations'!$ID$13:$ID$512,"="&amp;SUBSTITUTE(SUBSTITUTE(SUBSTITUTE('Calculations'!HF103,"~","~~"),"*","~*"),"?","~?"),'Calculations'!$HN$13:$HN$512,"="&amp;SUBSTITUTE(SUBSTITUTE(SUBSTITUTE('Dashboard'!$B$7,"~","~~"),"*","~*"),"?","~?"))+COUNTIFS('Calculations'!$IE$13:$IE$512,"="&amp;SUBSTITUTE(SUBSTITUTE(SUBSTITUTE('Calculations'!HF103,"~","~~"),"*","~*"),"?","~?"),'Calculations'!$HN$13:$HN$512,"="&amp;SUBSTITUTE(SUBSTITUTE(SUBSTITUTE('Dashboard'!$B$7,"~","~~"),"*","~*"),"?","~?"))+COUNTIFS('Calculations'!$IF$13:$IF$512,"="&amp;SUBSTITUTE(SUBSTITUTE(SUBSTITUTE('Calculations'!HF103,"~","~~"),"*","~*"),"?","~?"),'Calculations'!$HN$13:$HN$512,"="&amp;SUBSTITUTE(SUBSTITUTE(SUBSTITUTE('Dashboard'!$B$7,"~","~~"),"*","~*"),"?","~?"))+COUNTIFS('Calculations'!$IG$13:$IG$512,"="&amp;SUBSTITUTE(SUBSTITUTE(SUBSTITUTE('Calculations'!HF103,"~","~~"),"*","~*"),"?","~?"),'Calculations'!$HN$13:$HN$512,"="&amp;SUBSTITUTE(SUBSTITUTE(SUBSTITUTE('Dashboard'!$B$7,"~","~~"),"*","~*"),"?","~?"))+COUNTIFS('Calculations'!$IH$13:$IH$512,"="&amp;SUBSTITUTE(SUBSTITUTE(SUBSTITUTE('Calculations'!HF103,"~","~~"),"*","~*"),"?","~?"),'Calculations'!$HN$13:$HN$512,"="&amp;SUBSTITUTE(SUBSTITUTE(SUBSTITUTE('Dashboard'!$B$7,"~","~~"),"*","~*"),"?","~?"))))</x:f>
        <x:v>0</x:v>
      </x:c>
      <x:c r="JD103" t="n">
        <x:f>IF('Calculations'!EM103="",0,IF('Dashboard'!$B$7="All",1,IF('Calculations'!HN103='Dashboard'!$B$7,1,0)+IFERROR(INDEX('Calculations'!$JC$13:$JC$512,MATCH('Calculations'!HE103,'Calculations'!$HF$13:$HF$512,0)),0)))</x:f>
        <x:v>0</x:v>
      </x:c>
      <x:c r="JE103" t="n">
        <x:f>IF(AND('Calculations'!EM103&lt;&gt;"",'Calculations'!$JJ$2&lt;&gt;"All",'Calculations'!$JJ$2&lt;&gt;"",'Calculations'!HF103='Calculations'!$JJ$2,'Calculations'!HL103=0,'Calculations'!JD103&gt;0),MAX('Calculations'!$JE$12:JE102)+1,0)</x:f>
        <x:v>0</x:v>
      </x:c>
      <x:c r="JF103" t="str">
        <x:f>IF('Calculations'!EM103="","",IFERROR(IF(INDEX(INDIRECT("'WCM Calibration Final'!$G$1:$G$2000"),'Calculations'!$EM103)="","",TRIM(INDEX(INDIRECT("'WCM Calibration Final'!$G$1:$G$2000"),'Calculations'!$EM103)&amp;"")),""))</x:f>
      </x:c>
      <x:c r="JQ103" t="n">
        <x:f>IF(OR('Calculations'!BM103=0,NOT('Calculations'!$AG$2),'Calculations'!$AG$8&gt;0),0,IF(OR('Dashboard'!$B$7="All",'Calculations'!HN103='Dashboard'!$B$7),IF('Calculations'!$JJ$2="All",1,IF(AND('Calculations'!HF103='Calculations'!$JJ$2,'Calculations'!HL103=0),1,0)),0))</x:f>
        <x:v>0</x:v>
      </x:c>
    </x:row>
    <x:row r="104">
      <x:c r="AF104" s="4"/>
      <x:c r="AG104" s="4"/>
      <x:c r="AH104" s="4"/>
      <x:c r="AI104" s="4"/>
      <x:c r="AJ104" s="4"/>
      <x:c r="AK104" s="4"/>
      <x:c r="AL104" s="4"/>
      <x:c r="AM104" s="4"/>
      <x:c r="AN104" s="4"/>
      <x:c r="AO104" s="4"/>
      <x:c r="AP104" s="4"/>
      <x:c r="AQ104" s="4"/>
      <x:c r="AR104" s="4" t="n">
        <x:f>IFERROR(MATCH((MIN('Dashboard'!$Z$93,MAX(1,ROUNDUP(MAX('Calculations'!$DP$12:$DP$1012)/20,0)))-1)*20+7,'Calculations'!$DP$12:$DP$1012,0),0)</x:f>
        <x:v>0</x:v>
      </x:c>
      <x:c r="AS104" s="4"/>
      <x:c r="AT104" s="4"/>
      <x:c r="AU104" s="4"/>
      <x:c r="AV104" s="4"/>
      <x:c r="AW104" s="4"/>
      <x:c r="AX104" s="4"/>
      <x:c r="AY104" s="4"/>
      <x:c r="AZ104" s="4"/>
      <x:c r="BA104" s="4"/>
      <x:c r="BB104" s="4"/>
      <x:c r="BC104" s="4"/>
      <x:c r="BD104" s="4"/>
      <x:c r="BE104" s="4"/>
      <x:c r="BF104" s="4"/>
      <x:c r="BG104" s="4"/>
      <x:c r="BH104" s="4"/>
      <x:c r="BI104" s="4"/>
      <x:c r="BJ104" s="4"/>
      <x:c r="BK104" s="4"/>
      <x:c r="BL104" s="4"/>
      <x:c r="BM104" s="4" t="n">
        <x:f>IF('Calculations'!$EM104="",0,IF(OR(IFERROR(INDEX(INDIRECT("'WCM Calibration Final'!$A$1:$A$2000"),'Calculations'!$EM104)&lt;&gt;"",FALSE),IFERROR(INDEX(INDIRECT("'WCM Calibration Final'!$B$1:$B$2000"),'Calculations'!$EM104)&lt;&gt;"",FALSE),IFERROR(INDEX(INDIRECT("'WCM Calibration Final'!$C$1:$C$2000"),'Calculations'!$EM104)&lt;&gt;"",FALSE)),1,0))</x:f>
        <x:v>0</x:v>
      </x:c>
      <x:c r="BN104" s="4" t="n">
        <x:f>IF(AND('Calculations'!BM104=1,'Calculations'!$AG$2,'Calculations'!$EN104=1),1,0)</x:f>
        <x:v>0</x:v>
      </x:c>
      <x:c r="BO104" s="4" t="str">
        <x:f>IF('Calculations'!BM104=0,"",IFERROR(IF(AND(VALUE(INDEX(INDIRECT("'WCM Calibration Final'!$K$1:$K$2000"),'Calculations'!$EM104))&gt;=1,VALUE(INDEX(INDIRECT("'WCM Calibration Final'!$K$1:$K$2000"),'Calculations'!$EM104))&lt;=4,MOD(VALUE(INDEX(INDIRECT("'WCM Calibration Final'!$K$1:$K$2000"),'Calculations'!$EM104)),1)=0),VALUE(INDEX(INDIRECT("'WCM Calibration Final'!$K$1:$K$2000"),'Calculations'!$EM104)),""),""))</x:f>
      </x:c>
      <x:c r="BP104" s="4" t="str">
        <x:f>IF('Calculations'!BM104=0,"",IFERROR(IF(AND(VALUE(INDEX(INDIRECT("'WCM Calibration Final'!$L$1:$L$2000"),'Calculations'!$EM104))&gt;=1,VALUE(INDEX(INDIRECT("'WCM Calibration Final'!$L$1:$L$2000"),'Calculations'!$EM104))&lt;=4,MOD(VALUE(INDEX(INDIRECT("'WCM Calibration Final'!$L$1:$L$2000"),'Calculations'!$EM104)),1)=0),VALUE(INDEX(INDIRECT("'WCM Calibration Final'!$L$1:$L$2000"),'Calculations'!$EM104)),""),""))</x:f>
      </x:c>
      <x:c r="BQ104" s="4"/>
      <x:c r="BR104" s="4"/>
      <x:c r="BS104" s="4"/>
      <x:c r="BT104" s="4" t="n">
        <x:f>IF(AND('Calculations'!BM104=1,ISNUMBER('Calculations'!BO104),ISNUMBER('Calculations'!BP104)),1,0)</x:f>
        <x:v>0</x:v>
      </x:c>
      <x:c r="BU104" s="4" t="str">
        <x:f>IF('Calculations'!BM104=0,"",'Calculations'!$EO104)</x:f>
      </x:c>
      <x:c r="BV104" s="4" t="str">
        <x:f>IF('Calculations'!BM104=0,"",IFERROR(IF(OR(INDEX(INDIRECT("'WCM Calibration Final'!$H$1:$H$2000"),'Calculations'!$EM104)="MANAGING DIRECTOR",INDEX(INDIRECT("'WCM Calibration Final'!$H$1:$H$2000"),'Calculations'!$EM104)="DIRECTOR",INDEX(INDIRECT("'WCM Calibration Final'!$H$1:$H$2000"),'Calculations'!$EM104)="SENIOR VICE PRESIDENT",INDEX(INDIRECT("'WCM Calibration Final'!$H$1:$H$2000"),'Calculations'!$EM104)="VICE PRESIDENT",INDEX(INDIRECT("'WCM Calibration Final'!$H$1:$H$2000"),'Calculations'!$EM104)="ASSISTANT VICE PRESIDENT",INDEX(INDIRECT("'WCM Calibration Final'!$H$1:$H$2000"),'Calculations'!$EM104)="OFFICER"),UPPER(INDEX(INDIRECT("'WCM Calibration Final'!$H$1:$H$2000"),'Calculations'!$EM104)),"Other"),"Other"))</x:f>
      </x:c>
      <x:c r="BW104" s="4"/>
      <x:c r="BX104" s="4"/>
      <x:c r="BY104" s="4" t="n">
        <x:f>IF(AND('Calculations'!BM104=1,'Calculations'!BU104&lt;&gt;"",COUNTIF('Calculations'!$BU$12:BU104,'Calculations'!BU104)=1),MAX('Calculations'!$BY$11:BY103)+1,0)</x:f>
        <x:v>0</x:v>
      </x:c>
      <x:c r="BZ104" s="4" t="str">
        <x:f>IF('Dashboard'!$E$67="What",'Calculations'!BO104,'Calculations'!BP104)</x:f>
      </x:c>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t="str">
        <x:f>IF(93&gt;MAX('Calculations'!$HI$13:$HI$512),"",INDEX('Calculations'!$HN$13:$HN$512,MATCH(93,'Calculations'!$HI$13:$HI$512,0)))</x:f>
      </x:c>
      <x:c r="DB104" s="4" t="str">
        <x:f>IF(93&gt;MAX('Calculations'!$HH$13:$HH$512),"",INDEX('Calculations'!$HJ$13:$HJ$512,MATCH(93,'Calculations'!$HH$13:$HH$512,0)))</x:f>
      </x:c>
      <x:c r="DC104" s="4" t="str">
        <x:f>IF(ROW()-11&gt;MAX('Calculations'!$BY$13:$BY$512),"",INDEX('Calculations'!$BU$13:$BU$512,MATCH(ROW()-11,'Calculations'!$BY$13:$BY$512,0)))</x:f>
      </x:c>
      <x:c r="DD104" s="4" t="str">
        <x:f>IF(93&gt;MAX('Calculations'!$IK$13:$IK$512),"",INDEX('Calculations'!$HK$13:$HK$512,MATCH(93,'Calculations'!$IK$13:$IK$512,0)))</x:f>
      </x:c>
      <x:c r="DE104" s="4" t="str">
        <x:f>'Calculations'!DC104</x:f>
      </x:c>
      <x:c r="DF104" s="4" t="str">
        <x:f>IF('Calculations'!DE104="","",COUNTIFS('Calculations'!$BN$13:$BN$512,1,'Calculations'!$BU$13:$BU$512,'Calculations'!DE104))</x:f>
      </x:c>
      <x:c r="DG104" s="4" t="str">
        <x:f>IF('Calculations'!DE104="","",COUNTIFS('Calculations'!$BN$13:$BN$512,1,'Calculations'!$BU$13:$BU$512,'Calculations'!DE104,'Calculations'!$BT$13:$BT$512,1))</x:f>
      </x:c>
      <x:c r="DH104" s="4" t="str">
        <x:f>IF('Calculations'!DE104="","",'Calculations'!DF104-'Calculations'!DG104)</x:f>
      </x:c>
      <x:c r="DI104" s="4" t="str">
        <x:f>IF(OR('Calculations'!DE104="",'Calculations'!DF104=0),"",'Calculations'!DG104/'Calculations'!DF104)</x:f>
      </x:c>
      <x:c r="DJ104" s="4" t="str">
        <x:f>IF('Calculations'!DE104="","",COUNTIFS('Calculations'!$BN$13:$BN$512,1,'Calculations'!$BU$13:$BU$512,'Calculations'!DE104,'Calculations'!$BT$13:$BT$512,1,'Calculations'!$EE$13:$EE$512,"High"))</x:f>
      </x:c>
      <x:c r="DK104" s="4" t="str">
        <x:f>IF('Calculations'!DE104="","",COUNTIFS('Calculations'!$BN$13:$BN$512,1,'Calculations'!$BU$13:$BU$512,'Calculations'!DE104,'Calculations'!$BT$13:$BT$512,1,'Calculations'!$EE$13:$EE$512,"Strong"))</x:f>
      </x:c>
      <x:c r="DL104" s="4" t="str">
        <x:f>IF('Calculations'!DE104="","",COUNTIFS('Calculations'!$BN$13:$BN$512,1,'Calculations'!$BU$13:$BU$512,'Calculations'!DE104,'Calculations'!$BT$13:$BT$512,1,'Calculations'!$EE$13:$EE$512,"Solid"))</x:f>
      </x:c>
      <x:c r="DM104" s="4" t="str">
        <x:f>IF('Calculations'!DE104="","",COUNTIFS('Calculations'!$BN$13:$BN$512,1,'Calculations'!$BU$13:$BU$512,'Calculations'!DE104,'Calculations'!$BT$13:$BT$512,1,'Calculations'!$EE$13:$EE$512,"Low"))</x:f>
      </x:c>
      <x:c r="DN104" s="4" t="str">
        <x:f>IF('Calculations'!DE104="","",COUNTIFS('Calculations'!$BN$13:$BN$512,1,'Calculations'!$BU$13:$BU$512,'Calculations'!DE104,'Calculations'!$EP$13:$EP$512,1))</x:f>
      </x:c>
      <x:c r="DO104" s="4" t="str">
        <x:f>IF(OR('Calculations'!DE104="",'Calculations'!DG104=0),"",('Calculations'!DJ104+'Calculations'!DK104)/'Calculations'!DG104)</x:f>
      </x:c>
      <x:c r="DP104" s="4" t="n">
        <x:f>IF(AND('Calculations'!DE104&lt;&gt;"",'Calculations'!DF104&gt;0),COUNTIF('Calculations'!$DF$12:DF104,"&gt;0"),0)</x:f>
        <x:v>0</x:v>
      </x:c>
      <x:c r="DQ104" s="4" t="str">
        <x:f>IF(93&gt;MAX('Calculations'!$HH$13:$HH$512),"",INDEX('Calculations'!$HF$13:$HF$512,MATCH(93,'Calculations'!$HH$13:$HH$512,0)))</x:f>
      </x:c>
      <x:c r="DR104" s="4" t="str">
        <x:f>IF(93&gt;MAX('Calculations'!$IK$13:$IK$512),"",INDEX('Calculations'!$HE$13:$HE$512,MATCH(93,'Calculations'!$IK$13:$IK$512,0)))</x:f>
      </x:c>
      <x:c r="DS104" s="4"/>
      <x:c r="DT104" s="4"/>
      <x:c r="DU104" s="4"/>
      <x:c r="DV104" s="4"/>
      <x:c r="DW104" s="4"/>
      <x:c r="DX104" s="4"/>
      <x:c r="DY104" s="4"/>
      <x:c r="DZ104" s="4"/>
      <x:c r="EA104" s="4"/>
      <x:c r="EB104" s="4"/>
      <x:c r="EC104" s="4"/>
      <x:c r="ED104" s="4"/>
      <x:c r="EE104" s="4" t="str">
        <x:f>IF('Calculations'!BT104=0,"Not Rated",IF(OR('Calculations'!BO104&gt;=4,'Calculations'!BP104&gt;=4),"Low",IF('Calculations'!BO104+'Calculations'!BP104&lt;=3,"High",IF('Calculations'!BO104+'Calculations'!BP104&lt;=4,"Strong","Solid"))))</x:f>
        <x:v>Not Rated</x:v>
      </x:c>
      <x:c r="EF104" s="4"/>
      <x:c r="EG104" s="4"/>
      <x:c r="EH104" s="4"/>
      <x:c r="EI104" s="4"/>
      <x:c r="EJ104" s="4"/>
      <x:c r="EK104" s="4"/>
      <x:c r="EL104" s="4"/>
      <x:c r="EM104" s="4" t="str">
        <x:f>IF(92&gt;'Calculations'!$JB$2000,"",INDEX('Calculations'!$JA$12:$JA$2000,MATCH(92,'Calculations'!$JB$12:$JB$2000,0)))</x:f>
      </x:c>
      <x:c r="EN104" s="4" t="n">
        <x:f>IF(OR('Calculations'!EM104="",'Calculations'!$AG$8&gt;0,AND('Calculations'!$EF$2&lt;&gt;"All",'Calculations'!HE104='Calculations'!$EF$2),AND('Calculations'!$EF$3&lt;&gt;"All",'Calculations'!HE104='Calculations'!$EF$3)),0,IF(OR('Dashboard'!$B$7="All",'Calculations'!HN104='Dashboard'!$B$7),IF('Calculations'!$EF$2="All",1,IF('Calculations'!HL104&gt;0,0,IF(COUNTIF('Calculations'!HO104:II104,"="&amp;SUBSTITUTE(SUBSTITUTE(SUBSTITUTE('Calculations'!$EF$2,"~","~~"),"*","~*"),"?","~?"))=0,0,IF('Calculations'!$EF$3="All",1,IF(COUNTIF('Calculations'!HO104:II104,"="&amp;SUBSTITUTE(SUBSTITUTE(SUBSTITUTE('Calculations'!$EF$3,"~","~~"),"*","~*"),"?","~?"))&gt;0,1,0))))),0))</x:f>
        <x:v>0</x:v>
      </x:c>
      <x:c r="EO104" s="4" t="str">
        <x:f>IF('Calculations'!IJ104="","",IF('Calculations'!IJ104="!UNRESOLVED","Unresolved hierarchy",IFERROR(INDEX('Calculations'!$HK$13:$HK$512,MATCH('Calculations'!IJ104,'Calculations'!$HE$13:$HE$512,0)),IFERROR(INDEX('Calculations'!$HJ$13:$HJ$512,MATCH('Calculations'!IJ104,'Calculations'!$HF$13:$HF$512,0)),'Calculations'!IJ104))))</x:f>
      </x:c>
      <x:c r="EP104" s="4" t="n">
        <x:f>IF(AND('Calculations'!EM104&lt;&gt;"",'Calculations'!HF104='Calculations'!IJ104),1,0)</x:f>
        <x:v>0</x:v>
      </x:c>
      <x:c r="EQ104" s="4"/>
      <x:c r="ER104" s="4"/>
      <x:c r="ES104" s="4"/>
      <x:c r="ET104" s="4"/>
      <x:c r="EU104" s="4"/>
      <x:c r="EV104" s="4"/>
      <x:c r="EW104" s="4"/>
      <x:c r="EX104" s="4"/>
      <x:c r="EY104" s="4"/>
      <x:c r="EZ104" s="4"/>
      <x:c r="FA104" s="4"/>
      <x:c r="FB104" s="4"/>
      <x:c r="FC104" s="4"/>
      <x:c r="FD104" s="4"/>
      <x:c r="FE104" s="4"/>
      <x:c r="FF104" s="4"/>
      <x:c r="FG104" s="4"/>
      <x:c r="FH104" s="4"/>
      <x:c r="FI104" s="4"/>
      <x:c r="FJ104" s="4"/>
      <x:c r="FK104" s="4"/>
      <x:c r="FL104" s="4"/>
      <x:c r="FM104" s="4"/>
      <x:c r="FN104" s="4"/>
      <x:c r="FO104" s="4"/>
      <x:c r="GA104" s="71"/>
      <x:c r="GB104" s="71" t="str">
        <x:f>IF('Calculations'!$AR104=0,"",INDEX('Calculations'!$DE$12:$DE$1012,'Calculations'!$AR104))</x:f>
      </x:c>
      <x:c r="GC104" s="71"/>
      <x:c r="GD104" s="71"/>
      <x:c r="GE104" s="71"/>
      <x:c r="GF104" s="71"/>
      <x:c r="GG104" s="71"/>
      <x:c r="GH104" s="71"/>
      <x:c r="GI104" s="71" t="str">
        <x:f>IF('Calculations'!$AR104=0,"",INDEX('Calculations'!$DF$12:$DF$1012,'Calculations'!$AR104))</x:f>
      </x:c>
      <x:c r="GJ104" s="71"/>
      <x:c r="GK104" s="71" t="str">
        <x:f>IF('Calculations'!$AR104=0,"",INDEX('Calculations'!$DG$12:$DG$1012,'Calculations'!$AR104))</x:f>
      </x:c>
      <x:c r="GL104" s="71"/>
      <x:c r="GM104" s="71" t="str">
        <x:f>IF('Calculations'!$AR104=0,"",INDEX('Calculations'!$DH$12:$DH$1012,'Calculations'!$AR104))</x:f>
      </x:c>
      <x:c r="GN104" s="71"/>
      <x:c r="GO104" s="71" t="str">
        <x:f>IF('Calculations'!$AR104=0,"",INDEX('Calculations'!$DI$12:$DI$1012,'Calculations'!$AR104))</x:f>
      </x:c>
      <x:c r="GP104" s="71"/>
      <x:c r="GQ104" s="71" t="str">
        <x:f>IF('Calculations'!$AR104=0,"",INDEX('Calculations'!$DJ$12:$DJ$1012,'Calculations'!$AR104)&amp;" · "&amp;IF(INDEX('Calculations'!$DG$12:$DG$1012,'Calculations'!$AR104)=0,"n.a.",TEXT(INDEX('Calculations'!$DJ$12:$DJ$1012,'Calculations'!$AR104)/INDEX('Calculations'!$DG$12:$DG$1012,'Calculations'!$AR104),"0.0%")))</x:f>
      </x:c>
      <x:c r="GR104" s="71"/>
      <x:c r="GS104" s="71" t="str">
        <x:f>IF('Calculations'!$AR104=0,"",INDEX('Calculations'!$DK$12:$DK$1012,'Calculations'!$AR104)&amp;" · "&amp;IF(INDEX('Calculations'!$DG$12:$DG$1012,'Calculations'!$AR104)=0,"n.a.",TEXT(INDEX('Calculations'!$DK$12:$DK$1012,'Calculations'!$AR104)/INDEX('Calculations'!$DG$12:$DG$1012,'Calculations'!$AR104),"0.0%")))</x:f>
      </x:c>
      <x:c r="GT104" s="71"/>
      <x:c r="GU104" s="71" t="str">
        <x:f>IF('Calculations'!$AR104=0,"",INDEX('Calculations'!$DL$12:$DL$1012,'Calculations'!$AR104)&amp;" · "&amp;IF(INDEX('Calculations'!$DG$12:$DG$1012,'Calculations'!$AR104)=0,"n.a.",TEXT(INDEX('Calculations'!$DL$12:$DL$1012,'Calculations'!$AR104)/INDEX('Calculations'!$DG$12:$DG$1012,'Calculations'!$AR104),"0.0%")))</x:f>
      </x:c>
      <x:c r="GV104" s="71"/>
      <x:c r="GW104" s="71" t="str">
        <x:f>IF('Calculations'!$AR104=0,"",INDEX('Calculations'!$DM$12:$DM$1012,'Calculations'!$AR104)&amp;" · "&amp;IF(INDEX('Calculations'!$DG$12:$DG$1012,'Calculations'!$AR104)=0,"n.a.",TEXT(INDEX('Calculations'!$DM$12:$DM$1012,'Calculations'!$AR104)/INDEX('Calculations'!$DG$12:$DG$1012,'Calculations'!$AR104),"0.0%")))</x:f>
      </x:c>
      <x:c r="GX104" s="71"/>
      <x:c r="GY104" s="71" t="str">
        <x:f>IF('Calculations'!$AR104=0,"",INDEX('Calculations'!$DN$12:$DN$1012,'Calculations'!$AR104))</x:f>
      </x:c>
      <x:c r="GZ104" s="71"/>
      <x:c r="HA104" s="71" t="str">
        <x:f>IF('Calculations'!$AR104=0,"",INDEX('Calculations'!$DO$12:$DO$1012,'Calculations'!$AR104))</x:f>
      </x:c>
      <x:c r="HB104" s="71"/>
      <x:c r="HC104" s="71"/>
      <x:c r="HD104" s="71"/>
      <x:c r="HE104" t="str">
        <x:f>IF('Calculations'!EM104="","",IF(IFERROR(IF(INDEX(INDIRECT("'WCM Calibration Final'!$A$1:$A$2000"),'Calculations'!$EM104)="","",TRIM(INDEX(INDIRECT("'WCM Calibration Final'!$A$1:$A$2000"),'Calculations'!$EM104)&amp;"")),"")&lt;&gt;"","G:"&amp;IFERROR(TEXT(1*INDEX(INDIRECT("'WCM Calibration Final'!$A$1:$A$2000"),'Calculations'!$EM104),"0"),UPPER(IFERROR(IF(INDEX(INDIRECT("'WCM Calibration Final'!$A$1:$A$2000"),'Calculations'!$EM104)="","",TRIM(INDEX(INDIRECT("'WCM Calibration Final'!$A$1:$A$2000"),'Calculations'!$EM104)&amp;"")),""))),IF(IFERROR(IF(INDEX(INDIRECT("'WCM Calibration Final'!$C$1:$C$2000"),'Calculations'!$EM104)="","",TRIM(INDEX(INDIRECT("'WCM Calibration Final'!$C$1:$C$2000"),'Calculations'!$EM104)&amp;"")),"")&lt;&gt;"","S:"&amp;UPPER(IFERROR(IF(INDEX(INDIRECT("'WCM Calibration Final'!$C$1:$C$2000"),'Calculations'!$EM104)="","",TRIM(INDEX(INDIRECT("'WCM Calibration Final'!$C$1:$C$2000"),'Calculations'!$EM104)&amp;"")),"")),"R:"&amp;'Calculations'!EM104)))</x:f>
      </x:c>
      <x:c r="HF104" t="str">
        <x:f>IF('Calculations'!EM104="","",IF(IFERROR(IF(INDEX(INDIRECT("'WCM Calibration Final'!$D$1:$D$2000"),'Calculations'!$EM104)="","",TRIM(INDEX(INDIRECT("'WCM Calibration Final'!$D$1:$D$2000"),'Calculations'!$EM104)&amp;"")),"")&lt;&gt;"","G:"&amp;IFERROR(TEXT(1*INDEX(INDIRECT("'WCM Calibration Final'!$D$1:$D$2000"),'Calculations'!$EM104),"0"),UPPER(IFERROR(IF(INDEX(INDIRECT("'WCM Calibration Final'!$D$1:$D$2000"),'Calculations'!$EM104)="","",TRIM(INDEX(INDIRECT("'WCM Calibration Final'!$D$1:$D$2000"),'Calculations'!$EM104)&amp;"")),""))),IF(IFERROR(IF(INDEX(INDIRECT("'WCM Calibration Final'!$E$1:$E$2000"),'Calculations'!$EM104)="","",TRIM(INDEX(INDIRECT("'WCM Calibration Final'!$E$1:$E$2000"),'Calculations'!$EM104)&amp;"")),"")="","",IF(COUNTIF('Calculations'!$HG$13:$HG$512,"="&amp;SUBSTITUTE(SUBSTITUTE(SUBSTITUTE(IFERROR(IF(INDEX(INDIRECT("'WCM Calibration Final'!$E$1:$E$2000"),'Calculations'!$EM104)="","",TRIM(INDEX(INDIRECT("'WCM Calibration Final'!$E$1:$E$2000"),'Calculations'!$EM104)&amp;"")),""),"~","~~"),"*","~*"),"?","~?"))=1,INDEX('Calculations'!$HE$13:$HE$512,MATCH(IFERROR(IF(INDEX(INDIRECT("'WCM Calibration Final'!$E$1:$E$2000"),'Calculations'!$EM104)="","",TRIM(INDEX(INDIRECT("'WCM Calibration Final'!$E$1:$E$2000"),'Calculations'!$EM104)&amp;"")),""),'Calculations'!$HG$13:$HG$512,0)),IF(COUNTIF('Calculations'!$HG$13:$HG$512,"="&amp;SUBSTITUTE(SUBSTITUTE(SUBSTITUTE(IFERROR(IF(INDEX(INDIRECT("'WCM Calibration Final'!$E$1:$E$2000"),'Calculations'!$EM104)="","",TRIM(INDEX(INDIRECT("'WCM Calibration Final'!$E$1:$E$2000"),'Calculations'!$EM104)&amp;"")),""),"~","~~"),"*","~*"),"?","~?"))&gt;1,"!AMBIG","X:"&amp;IFERROR(IF(INDEX(INDIRECT("'WCM Calibration Final'!$E$1:$E$2000"),'Calculations'!$EM104)="","",TRIM(INDEX(INDIRECT("'WCM Calibration Final'!$E$1:$E$2000"),'Calculations'!$EM104)&amp;"")),""))))))</x:f>
      </x:c>
      <x:c r="HG104" t="str">
        <x:f>IF('Calculations'!EM104="","",IFERROR(IF(INDEX(INDIRECT("'WCM Calibration Final'!$B$1:$B$2000"),'Calculations'!$EM104)="","",TRIM(INDEX(INDIRECT("'WCM Calibration Final'!$B$1:$B$2000"),'Calculations'!$EM104)&amp;"")),""))</x:f>
      </x:c>
      <x:c r="HH104" t="n">
        <x:f>IF(AND('Calculations'!JC104&gt;0,COUNTIF('Calculations'!$HF$12:HF104,"="&amp;SUBSTITUTE(SUBSTITUTE(SUBSTITUTE('Calculations'!HF104,"~","~~"),"*","~*"),"?","~?"))=1),MAX('Calculations'!$HH$12:HH103)+1,0)</x:f>
        <x:v>0</x:v>
      </x:c>
      <x:c r="HI104" t="n">
        <x:f>IF(AND('Calculations'!HN104&lt;&gt;"",COUNTIF('Calculations'!$HN$12:HN104,"="&amp;SUBSTITUTE(SUBSTITUTE(SUBSTITUTE('Calculations'!HN104,"~","~~"),"*","~*"),"?","~?"))=1),MAX('Calculations'!$HI$12:HI103)+1,0)</x:f>
        <x:v>0</x:v>
      </x:c>
      <x:c r="HJ104" t="str">
        <x:f>IF('Calculations'!HF104="","",IF(COUNTIF('Calculations'!$HE$13:$HE$512,"="&amp;SUBSTITUTE(SUBSTITUTE(SUBSTITUTE('Calculations'!HF104,"~","~~"),"*","~*"),"?","~?"))=1,INDEX('Calculations'!$HK$13:$HK$512,MATCH('Calculations'!HF104,'Calculations'!$HE$13:$HE$512,0)),IFERROR(IF(INDEX(INDIRECT("'WCM Calibration Final'!$E$1:$E$2000"),'Calculations'!$EM104)="","",TRIM(INDEX(INDIRECT("'WCM Calibration Final'!$E$1:$E$2000"),'Calculations'!$EM104)&amp;"")),"")&amp;" ["&amp;'Calculations'!HF104&amp;"]"))</x:f>
      </x:c>
      <x:c r="HK104" t="str">
        <x:f>IF('Calculations'!EM104="","",'Calculations'!HG104&amp;" ["&amp;'Calculations'!HE104&amp;"]")</x:f>
      </x:c>
      <x:c r="HL104" t="n">
        <x:f>IF('Calculations'!EM104="",0,IF(OR('Calculations'!II104&lt;&gt;"",COUNTIF('Calculations'!$HE$13:$HE$512,"="&amp;SUBSTITUTE(SUBSTITUTE(SUBSTITUTE('Calculations'!HE104,"~","~~"),"*","~*"),"?","~?"))&gt;1),1,0))</x:f>
        <x:v>0</x:v>
      </x:c>
      <x:c r="HM104" t="str">
        <x:f>IF('Calculations'!EM104="","",IF('Calculations'!HL104=1,"!UNRESOLVED",IF('Calculations'!IH104&lt;&gt;"",'Calculations'!IH104,IF('Calculations'!IG104&lt;&gt;"",'Calculations'!IG104,IF('Calculations'!IF104&lt;&gt;"",'Calculations'!IF104,IF('Calculations'!IE104&lt;&gt;"",'Calculations'!IE104,IF('Calculations'!ID104&lt;&gt;"",'Calculations'!ID104,IF('Calculations'!IC104&lt;&gt;"",'Calculations'!IC104,IF('Calculations'!IB104&lt;&gt;"",'Calculations'!IB104,IF('Calculations'!IA104&lt;&gt;"",'Calculations'!IA104,IF('Calculations'!HZ104&lt;&gt;"",'Calculations'!HZ104,IF('Calculations'!HY104&lt;&gt;"",'Calculations'!HY104,IF('Calculations'!HX104&lt;&gt;"",'Calculations'!HX104,IF('Calculations'!HW104&lt;&gt;"",'Calculations'!HW104,IF('Calculations'!HV104&lt;&gt;"",'Calculations'!HV104,IF('Calculations'!HU104&lt;&gt;"",'Calculations'!HU104,IF('Calculations'!HT104&lt;&gt;"",'Calculations'!HT104,IF('Calculations'!HS104&lt;&gt;"",'Calculations'!HS104,IF('Calculations'!HR104&lt;&gt;"",'Calculations'!HR104,IF('Calculations'!HQ104&lt;&gt;"",'Calculations'!HQ104,IF('Calculations'!HP104&lt;&gt;"",'Calculations'!HP104,IF('Calculations'!HO104&lt;&gt;"",'Calculations'!HO104,'Calculations'!HE104))))))))))))))))))))))</x:f>
      </x:c>
      <x:c r="HN104" t="str">
        <x:f>IF('Calculations'!EM104="","",IF(IFERROR(IF(INDEX(INDIRECT("'WCM Calibration Final'!$F$1:$F$2000"),'Calculations'!$EM104)="","",TRIM(INDEX(INDIRECT("'WCM Calibration Final'!$F$1:$F$2000"),'Calculations'!$EM104)&amp;"")),"")="","(Blank)",IFERROR(IF(INDEX(INDIRECT("'WCM Calibration Final'!$F$1:$F$2000"),'Calculations'!$EM104)="","",TRIM(INDEX(INDIRECT("'WCM Calibration Final'!$F$1:$F$2000"),'Calculations'!$EM104)&amp;"")),"")))</x:f>
      </x:c>
      <x:c r="HO104" t="str">
        <x:f>'Calculations'!HF104</x:f>
      </x:c>
      <x:c r="HP104" t="str">
        <x:f>IF('Calculations'!HO104="","",IF('Calculations'!HO104="!AMBIG","!AMBIG",IF(COUNTIF('Calculations'!$HE$13:$HE$512,"="&amp;SUBSTITUTE(SUBSTITUTE(SUBSTITUTE('Calculations'!HO104,"~","~~"),"*","~*"),"?","~?"))&gt;1,"!AMBIG",IFERROR(INDEX('Calculations'!$HF$13:$HF$512,MATCH('Calculations'!HO104,'Calculations'!$HE$13:$HE$512,0)),""))))</x:f>
      </x:c>
      <x:c r="HQ104" t="str">
        <x:f>IF('Calculations'!HP104="","",IF('Calculations'!HP104="!AMBIG","!AMBIG",IF(COUNTIF('Calculations'!$HE$13:$HE$512,"="&amp;SUBSTITUTE(SUBSTITUTE(SUBSTITUTE('Calculations'!HP104,"~","~~"),"*","~*"),"?","~?"))&gt;1,"!AMBIG",IFERROR(INDEX('Calculations'!$HF$13:$HF$512,MATCH('Calculations'!HP104,'Calculations'!$HE$13:$HE$512,0)),""))))</x:f>
      </x:c>
      <x:c r="HR104" t="str">
        <x:f>IF('Calculations'!HQ104="","",IF('Calculations'!HQ104="!AMBIG","!AMBIG",IF(COUNTIF('Calculations'!$HE$13:$HE$512,"="&amp;SUBSTITUTE(SUBSTITUTE(SUBSTITUTE('Calculations'!HQ104,"~","~~"),"*","~*"),"?","~?"))&gt;1,"!AMBIG",IFERROR(INDEX('Calculations'!$HF$13:$HF$512,MATCH('Calculations'!HQ104,'Calculations'!$HE$13:$HE$512,0)),""))))</x:f>
      </x:c>
      <x:c r="HS104" t="str">
        <x:f>IF('Calculations'!HR104="","",IF('Calculations'!HR104="!AMBIG","!AMBIG",IF(COUNTIF('Calculations'!$HE$13:$HE$512,"="&amp;SUBSTITUTE(SUBSTITUTE(SUBSTITUTE('Calculations'!HR104,"~","~~"),"*","~*"),"?","~?"))&gt;1,"!AMBIG",IFERROR(INDEX('Calculations'!$HF$13:$HF$512,MATCH('Calculations'!HR104,'Calculations'!$HE$13:$HE$512,0)),""))))</x:f>
      </x:c>
      <x:c r="HT104" t="str">
        <x:f>IF('Calculations'!HS104="","",IF('Calculations'!HS104="!AMBIG","!AMBIG",IF(COUNTIF('Calculations'!$HE$13:$HE$512,"="&amp;SUBSTITUTE(SUBSTITUTE(SUBSTITUTE('Calculations'!HS104,"~","~~"),"*","~*"),"?","~?"))&gt;1,"!AMBIG",IFERROR(INDEX('Calculations'!$HF$13:$HF$512,MATCH('Calculations'!HS104,'Calculations'!$HE$13:$HE$512,0)),""))))</x:f>
      </x:c>
      <x:c r="HU104" t="str">
        <x:f>IF('Calculations'!HT104="","",IF('Calculations'!HT104="!AMBIG","!AMBIG",IF(COUNTIF('Calculations'!$HE$13:$HE$512,"="&amp;SUBSTITUTE(SUBSTITUTE(SUBSTITUTE('Calculations'!HT104,"~","~~"),"*","~*"),"?","~?"))&gt;1,"!AMBIG",IFERROR(INDEX('Calculations'!$HF$13:$HF$512,MATCH('Calculations'!HT104,'Calculations'!$HE$13:$HE$512,0)),""))))</x:f>
      </x:c>
      <x:c r="HV104" t="str">
        <x:f>IF('Calculations'!HU104="","",IF('Calculations'!HU104="!AMBIG","!AMBIG",IF(COUNTIF('Calculations'!$HE$13:$HE$512,"="&amp;SUBSTITUTE(SUBSTITUTE(SUBSTITUTE('Calculations'!HU104,"~","~~"),"*","~*"),"?","~?"))&gt;1,"!AMBIG",IFERROR(INDEX('Calculations'!$HF$13:$HF$512,MATCH('Calculations'!HU104,'Calculations'!$HE$13:$HE$512,0)),""))))</x:f>
      </x:c>
      <x:c r="HW104" t="str">
        <x:f>IF('Calculations'!HV104="","",IF('Calculations'!HV104="!AMBIG","!AMBIG",IF(COUNTIF('Calculations'!$HE$13:$HE$512,"="&amp;SUBSTITUTE(SUBSTITUTE(SUBSTITUTE('Calculations'!HV104,"~","~~"),"*","~*"),"?","~?"))&gt;1,"!AMBIG",IFERROR(INDEX('Calculations'!$HF$13:$HF$512,MATCH('Calculations'!HV104,'Calculations'!$HE$13:$HE$512,0)),""))))</x:f>
      </x:c>
      <x:c r="HX104" t="str">
        <x:f>IF('Calculations'!HW104="","",IF('Calculations'!HW104="!AMBIG","!AMBIG",IF(COUNTIF('Calculations'!$HE$13:$HE$512,"="&amp;SUBSTITUTE(SUBSTITUTE(SUBSTITUTE('Calculations'!HW104,"~","~~"),"*","~*"),"?","~?"))&gt;1,"!AMBIG",IFERROR(INDEX('Calculations'!$HF$13:$HF$512,MATCH('Calculations'!HW104,'Calculations'!$HE$13:$HE$512,0)),""))))</x:f>
      </x:c>
      <x:c r="HY104" t="str">
        <x:f>IF('Calculations'!HX104="","",IF('Calculations'!HX104="!AMBIG","!AMBIG",IF(COUNTIF('Calculations'!$HE$13:$HE$512,"="&amp;SUBSTITUTE(SUBSTITUTE(SUBSTITUTE('Calculations'!HX104,"~","~~"),"*","~*"),"?","~?"))&gt;1,"!AMBIG",IFERROR(INDEX('Calculations'!$HF$13:$HF$512,MATCH('Calculations'!HX104,'Calculations'!$HE$13:$HE$512,0)),""))))</x:f>
      </x:c>
      <x:c r="HZ104" t="str">
        <x:f>IF('Calculations'!HY104="","",IF('Calculations'!HY104="!AMBIG","!AMBIG",IF(COUNTIF('Calculations'!$HE$13:$HE$512,"="&amp;SUBSTITUTE(SUBSTITUTE(SUBSTITUTE('Calculations'!HY104,"~","~~"),"*","~*"),"?","~?"))&gt;1,"!AMBIG",IFERROR(INDEX('Calculations'!$HF$13:$HF$512,MATCH('Calculations'!HY104,'Calculations'!$HE$13:$HE$512,0)),""))))</x:f>
      </x:c>
      <x:c r="IA104" t="str">
        <x:f>IF('Calculations'!HZ104="","",IF('Calculations'!HZ104="!AMBIG","!AMBIG",IF(COUNTIF('Calculations'!$HE$13:$HE$512,"="&amp;SUBSTITUTE(SUBSTITUTE(SUBSTITUTE('Calculations'!HZ104,"~","~~"),"*","~*"),"?","~?"))&gt;1,"!AMBIG",IFERROR(INDEX('Calculations'!$HF$13:$HF$512,MATCH('Calculations'!HZ104,'Calculations'!$HE$13:$HE$512,0)),""))))</x:f>
      </x:c>
      <x:c r="IB104" t="str">
        <x:f>IF('Calculations'!IA104="","",IF('Calculations'!IA104="!AMBIG","!AMBIG",IF(COUNTIF('Calculations'!$HE$13:$HE$512,"="&amp;SUBSTITUTE(SUBSTITUTE(SUBSTITUTE('Calculations'!IA104,"~","~~"),"*","~*"),"?","~?"))&gt;1,"!AMBIG",IFERROR(INDEX('Calculations'!$HF$13:$HF$512,MATCH('Calculations'!IA104,'Calculations'!$HE$13:$HE$512,0)),""))))</x:f>
      </x:c>
      <x:c r="IC104" t="str">
        <x:f>IF('Calculations'!IB104="","",IF('Calculations'!IB104="!AMBIG","!AMBIG",IF(COUNTIF('Calculations'!$HE$13:$HE$512,"="&amp;SUBSTITUTE(SUBSTITUTE(SUBSTITUTE('Calculations'!IB104,"~","~~"),"*","~*"),"?","~?"))&gt;1,"!AMBIG",IFERROR(INDEX('Calculations'!$HF$13:$HF$512,MATCH('Calculations'!IB104,'Calculations'!$HE$13:$HE$512,0)),""))))</x:f>
      </x:c>
      <x:c r="ID104" t="str">
        <x:f>IF('Calculations'!IC104="","",IF('Calculations'!IC104="!AMBIG","!AMBIG",IF(COUNTIF('Calculations'!$HE$13:$HE$512,"="&amp;SUBSTITUTE(SUBSTITUTE(SUBSTITUTE('Calculations'!IC104,"~","~~"),"*","~*"),"?","~?"))&gt;1,"!AMBIG",IFERROR(INDEX('Calculations'!$HF$13:$HF$512,MATCH('Calculations'!IC104,'Calculations'!$HE$13:$HE$512,0)),""))))</x:f>
      </x:c>
      <x:c r="IE104" t="str">
        <x:f>IF('Calculations'!ID104="","",IF('Calculations'!ID104="!AMBIG","!AMBIG",IF(COUNTIF('Calculations'!$HE$13:$HE$512,"="&amp;SUBSTITUTE(SUBSTITUTE(SUBSTITUTE('Calculations'!ID104,"~","~~"),"*","~*"),"?","~?"))&gt;1,"!AMBIG",IFERROR(INDEX('Calculations'!$HF$13:$HF$512,MATCH('Calculations'!ID104,'Calculations'!$HE$13:$HE$512,0)),""))))</x:f>
      </x:c>
      <x:c r="IF104" t="str">
        <x:f>IF('Calculations'!IE104="","",IF('Calculations'!IE104="!AMBIG","!AMBIG",IF(COUNTIF('Calculations'!$HE$13:$HE$512,"="&amp;SUBSTITUTE(SUBSTITUTE(SUBSTITUTE('Calculations'!IE104,"~","~~"),"*","~*"),"?","~?"))&gt;1,"!AMBIG",IFERROR(INDEX('Calculations'!$HF$13:$HF$512,MATCH('Calculations'!IE104,'Calculations'!$HE$13:$HE$512,0)),""))))</x:f>
      </x:c>
      <x:c r="IG104" t="str">
        <x:f>IF('Calculations'!IF104="","",IF('Calculations'!IF104="!AMBIG","!AMBIG",IF(COUNTIF('Calculations'!$HE$13:$HE$512,"="&amp;SUBSTITUTE(SUBSTITUTE(SUBSTITUTE('Calculations'!IF104,"~","~~"),"*","~*"),"?","~?"))&gt;1,"!AMBIG",IFERROR(INDEX('Calculations'!$HF$13:$HF$512,MATCH('Calculations'!IF104,'Calculations'!$HE$13:$HE$512,0)),""))))</x:f>
      </x:c>
      <x:c r="IH104" t="str">
        <x:f>IF('Calculations'!IG104="","",IF('Calculations'!IG104="!AMBIG","!AMBIG",IF(COUNTIF('Calculations'!$HE$13:$HE$512,"="&amp;SUBSTITUTE(SUBSTITUTE(SUBSTITUTE('Calculations'!IG104,"~","~~"),"*","~*"),"?","~?"))&gt;1,"!AMBIG",IFERROR(INDEX('Calculations'!$HF$13:$HF$512,MATCH('Calculations'!IG104,'Calculations'!$HE$13:$HE$512,0)),""))))</x:f>
      </x:c>
      <x:c r="II104" t="str">
        <x:f>IF('Calculations'!IH104="","",IF('Calculations'!IH104="!AMBIG","!AMBIG",IF(COUNTIF('Calculations'!$HE$13:$HE$512,"="&amp;SUBSTITUTE(SUBSTITUTE(SUBSTITUTE('Calculations'!IH104,"~","~~"),"*","~*"),"?","~?"))&gt;1,"!AMBIG",IFERROR(INDEX('Calculations'!$HF$13:$HF$512,MATCH('Calculations'!IH104,'Calculations'!$HE$13:$HE$512,0)),""))))</x:f>
      </x:c>
      <x:c r="IJ104" t="str">
        <x:f>IF('Calculations'!EM104="","",IF('Calculations'!$EF$2="All",'Calculations'!HM104,IF('Calculations'!HL104=1,"",IFERROR(IF(MATCH('Calculations'!$EF$2,'Calculations'!HO104:II104,0)=1,'Calculations'!HE104,INDEX('Calculations'!HO104:II104,1,MATCH('Calculations'!$EF$2,'Calculations'!HO104:II104,0)-1)),""))))</x:f>
      </x:c>
      <x:c r="IK104" t="n">
        <x:f>IF(AND('Calculations'!EM104&lt;&gt;"",'Calculations'!$EF$2&lt;&gt;"All",'Calculations'!HF104='Calculations'!$EF$2,'Calculations'!HL104=0,'Calculations'!JD104&gt;0),MAX('Calculations'!$IK$12:IK103)+1,0)</x:f>
        <x:v>0</x:v>
      </x:c>
      <x:c r="JA104" t="n">
        <x:f>IF(OR(IFERROR(INDIRECT("'WCM Calibration Final'!$A$104")&lt;&gt;"",FALSE),IFERROR(INDIRECT("'WCM Calibration Final'!$B$104")&lt;&gt;"",FALSE),IFERROR(INDIRECT("'WCM Calibration Final'!$C$104")&lt;&gt;"",FALSE)),104,0)</x:f>
        <x:v>0</x:v>
      </x:c>
      <x:c r="JB104" t="n">
        <x:f>'Calculations'!JB103+IF('Calculations'!JA104&gt;0,1,0)</x:f>
        <x:v>0</x:v>
      </x:c>
      <x:c r="JC104" t="n">
        <x:f>IF(OR('Calculations'!HF104="",'Calculations'!HF104="!AMBIG"),0,IF('Dashboard'!$B$7="All",1,COUNTIFS('Calculations'!$HO$13:$HO$512,"="&amp;SUBSTITUTE(SUBSTITUTE(SUBSTITUTE('Calculations'!HF104,"~","~~"),"*","~*"),"?","~?"),'Calculations'!$HN$13:$HN$512,"="&amp;SUBSTITUTE(SUBSTITUTE(SUBSTITUTE('Dashboard'!$B$7,"~","~~"),"*","~*"),"?","~?"))+COUNTIFS('Calculations'!$HP$13:$HP$512,"="&amp;SUBSTITUTE(SUBSTITUTE(SUBSTITUTE('Calculations'!HF104,"~","~~"),"*","~*"),"?","~?"),'Calculations'!$HN$13:$HN$512,"="&amp;SUBSTITUTE(SUBSTITUTE(SUBSTITUTE('Dashboard'!$B$7,"~","~~"),"*","~*"),"?","~?"))+COUNTIFS('Calculations'!$HQ$13:$HQ$512,"="&amp;SUBSTITUTE(SUBSTITUTE(SUBSTITUTE('Calculations'!HF104,"~","~~"),"*","~*"),"?","~?"),'Calculations'!$HN$13:$HN$512,"="&amp;SUBSTITUTE(SUBSTITUTE(SUBSTITUTE('Dashboard'!$B$7,"~","~~"),"*","~*"),"?","~?"))+COUNTIFS('Calculations'!$HR$13:$HR$512,"="&amp;SUBSTITUTE(SUBSTITUTE(SUBSTITUTE('Calculations'!HF104,"~","~~"),"*","~*"),"?","~?"),'Calculations'!$HN$13:$HN$512,"="&amp;SUBSTITUTE(SUBSTITUTE(SUBSTITUTE('Dashboard'!$B$7,"~","~~"),"*","~*"),"?","~?"))+COUNTIFS('Calculations'!$HS$13:$HS$512,"="&amp;SUBSTITUTE(SUBSTITUTE(SUBSTITUTE('Calculations'!HF104,"~","~~"),"*","~*"),"?","~?"),'Calculations'!$HN$13:$HN$512,"="&amp;SUBSTITUTE(SUBSTITUTE(SUBSTITUTE('Dashboard'!$B$7,"~","~~"),"*","~*"),"?","~?"))+COUNTIFS('Calculations'!$HT$13:$HT$512,"="&amp;SUBSTITUTE(SUBSTITUTE(SUBSTITUTE('Calculations'!HF104,"~","~~"),"*","~*"),"?","~?"),'Calculations'!$HN$13:$HN$512,"="&amp;SUBSTITUTE(SUBSTITUTE(SUBSTITUTE('Dashboard'!$B$7,"~","~~"),"*","~*"),"?","~?"))+COUNTIFS('Calculations'!$HU$13:$HU$512,"="&amp;SUBSTITUTE(SUBSTITUTE(SUBSTITUTE('Calculations'!HF104,"~","~~"),"*","~*"),"?","~?"),'Calculations'!$HN$13:$HN$512,"="&amp;SUBSTITUTE(SUBSTITUTE(SUBSTITUTE('Dashboard'!$B$7,"~","~~"),"*","~*"),"?","~?"))+COUNTIFS('Calculations'!$HV$13:$HV$512,"="&amp;SUBSTITUTE(SUBSTITUTE(SUBSTITUTE('Calculations'!HF104,"~","~~"),"*","~*"),"?","~?"),'Calculations'!$HN$13:$HN$512,"="&amp;SUBSTITUTE(SUBSTITUTE(SUBSTITUTE('Dashboard'!$B$7,"~","~~"),"*","~*"),"?","~?"))+COUNTIFS('Calculations'!$HW$13:$HW$512,"="&amp;SUBSTITUTE(SUBSTITUTE(SUBSTITUTE('Calculations'!HF104,"~","~~"),"*","~*"),"?","~?"),'Calculations'!$HN$13:$HN$512,"="&amp;SUBSTITUTE(SUBSTITUTE(SUBSTITUTE('Dashboard'!$B$7,"~","~~"),"*","~*"),"?","~?"))+COUNTIFS('Calculations'!$HX$13:$HX$512,"="&amp;SUBSTITUTE(SUBSTITUTE(SUBSTITUTE('Calculations'!HF104,"~","~~"),"*","~*"),"?","~?"),'Calculations'!$HN$13:$HN$512,"="&amp;SUBSTITUTE(SUBSTITUTE(SUBSTITUTE('Dashboard'!$B$7,"~","~~"),"*","~*"),"?","~?"))+COUNTIFS('Calculations'!$HY$13:$HY$512,"="&amp;SUBSTITUTE(SUBSTITUTE(SUBSTITUTE('Calculations'!HF104,"~","~~"),"*","~*"),"?","~?"),'Calculations'!$HN$13:$HN$512,"="&amp;SUBSTITUTE(SUBSTITUTE(SUBSTITUTE('Dashboard'!$B$7,"~","~~"),"*","~*"),"?","~?"))+COUNTIFS('Calculations'!$HZ$13:$HZ$512,"="&amp;SUBSTITUTE(SUBSTITUTE(SUBSTITUTE('Calculations'!HF104,"~","~~"),"*","~*"),"?","~?"),'Calculations'!$HN$13:$HN$512,"="&amp;SUBSTITUTE(SUBSTITUTE(SUBSTITUTE('Dashboard'!$B$7,"~","~~"),"*","~*"),"?","~?"))+COUNTIFS('Calculations'!$IA$13:$IA$512,"="&amp;SUBSTITUTE(SUBSTITUTE(SUBSTITUTE('Calculations'!HF104,"~","~~"),"*","~*"),"?","~?"),'Calculations'!$HN$13:$HN$512,"="&amp;SUBSTITUTE(SUBSTITUTE(SUBSTITUTE('Dashboard'!$B$7,"~","~~"),"*","~*"),"?","~?"))+COUNTIFS('Calculations'!$IB$13:$IB$512,"="&amp;SUBSTITUTE(SUBSTITUTE(SUBSTITUTE('Calculations'!HF104,"~","~~"),"*","~*"),"?","~?"),'Calculations'!$HN$13:$HN$512,"="&amp;SUBSTITUTE(SUBSTITUTE(SUBSTITUTE('Dashboard'!$B$7,"~","~~"),"*","~*"),"?","~?"))+COUNTIFS('Calculations'!$IC$13:$IC$512,"="&amp;SUBSTITUTE(SUBSTITUTE(SUBSTITUTE('Calculations'!HF104,"~","~~"),"*","~*"),"?","~?"),'Calculations'!$HN$13:$HN$512,"="&amp;SUBSTITUTE(SUBSTITUTE(SUBSTITUTE('Dashboard'!$B$7,"~","~~"),"*","~*"),"?","~?"))+COUNTIFS('Calculations'!$ID$13:$ID$512,"="&amp;SUBSTITUTE(SUBSTITUTE(SUBSTITUTE('Calculations'!HF104,"~","~~"),"*","~*"),"?","~?"),'Calculations'!$HN$13:$HN$512,"="&amp;SUBSTITUTE(SUBSTITUTE(SUBSTITUTE('Dashboard'!$B$7,"~","~~"),"*","~*"),"?","~?"))+COUNTIFS('Calculations'!$IE$13:$IE$512,"="&amp;SUBSTITUTE(SUBSTITUTE(SUBSTITUTE('Calculations'!HF104,"~","~~"),"*","~*"),"?","~?"),'Calculations'!$HN$13:$HN$512,"="&amp;SUBSTITUTE(SUBSTITUTE(SUBSTITUTE('Dashboard'!$B$7,"~","~~"),"*","~*"),"?","~?"))+COUNTIFS('Calculations'!$IF$13:$IF$512,"="&amp;SUBSTITUTE(SUBSTITUTE(SUBSTITUTE('Calculations'!HF104,"~","~~"),"*","~*"),"?","~?"),'Calculations'!$HN$13:$HN$512,"="&amp;SUBSTITUTE(SUBSTITUTE(SUBSTITUTE('Dashboard'!$B$7,"~","~~"),"*","~*"),"?","~?"))+COUNTIFS('Calculations'!$IG$13:$IG$512,"="&amp;SUBSTITUTE(SUBSTITUTE(SUBSTITUTE('Calculations'!HF104,"~","~~"),"*","~*"),"?","~?"),'Calculations'!$HN$13:$HN$512,"="&amp;SUBSTITUTE(SUBSTITUTE(SUBSTITUTE('Dashboard'!$B$7,"~","~~"),"*","~*"),"?","~?"))+COUNTIFS('Calculations'!$IH$13:$IH$512,"="&amp;SUBSTITUTE(SUBSTITUTE(SUBSTITUTE('Calculations'!HF104,"~","~~"),"*","~*"),"?","~?"),'Calculations'!$HN$13:$HN$512,"="&amp;SUBSTITUTE(SUBSTITUTE(SUBSTITUTE('Dashboard'!$B$7,"~","~~"),"*","~*"),"?","~?"))))</x:f>
        <x:v>0</x:v>
      </x:c>
      <x:c r="JD104" t="n">
        <x:f>IF('Calculations'!EM104="",0,IF('Dashboard'!$B$7="All",1,IF('Calculations'!HN104='Dashboard'!$B$7,1,0)+IFERROR(INDEX('Calculations'!$JC$13:$JC$512,MATCH('Calculations'!HE104,'Calculations'!$HF$13:$HF$512,0)),0)))</x:f>
        <x:v>0</x:v>
      </x:c>
      <x:c r="JE104" t="n">
        <x:f>IF(AND('Calculations'!EM104&lt;&gt;"",'Calculations'!$JJ$2&lt;&gt;"All",'Calculations'!$JJ$2&lt;&gt;"",'Calculations'!HF104='Calculations'!$JJ$2,'Calculations'!HL104=0,'Calculations'!JD104&gt;0),MAX('Calculations'!$JE$12:JE103)+1,0)</x:f>
        <x:v>0</x:v>
      </x:c>
      <x:c r="JF104" t="str">
        <x:f>IF('Calculations'!EM104="","",IFERROR(IF(INDEX(INDIRECT("'WCM Calibration Final'!$G$1:$G$2000"),'Calculations'!$EM104)="","",TRIM(INDEX(INDIRECT("'WCM Calibration Final'!$G$1:$G$2000"),'Calculations'!$EM104)&amp;"")),""))</x:f>
      </x:c>
      <x:c r="JQ104" t="n">
        <x:f>IF(OR('Calculations'!BM104=0,NOT('Calculations'!$AG$2),'Calculations'!$AG$8&gt;0),0,IF(OR('Dashboard'!$B$7="All",'Calculations'!HN104='Dashboard'!$B$7),IF('Calculations'!$JJ$2="All",1,IF(AND('Calculations'!HF104='Calculations'!$JJ$2,'Calculations'!HL104=0),1,0)),0))</x:f>
        <x:v>0</x:v>
      </x:c>
    </x:row>
    <x:row r="105">
      <x:c r="AF105" s="4"/>
      <x:c r="AG105" s="4"/>
      <x:c r="AH105" s="4"/>
      <x:c r="AI105" s="4"/>
      <x:c r="AJ105" s="4"/>
      <x:c r="AK105" s="4"/>
      <x:c r="AL105" s="4"/>
      <x:c r="AM105" s="4"/>
      <x:c r="AN105" s="4"/>
      <x:c r="AO105" s="4"/>
      <x:c r="AP105" s="4"/>
      <x:c r="AQ105" s="4"/>
      <x:c r="AR105" s="4" t="n">
        <x:f>IFERROR(MATCH((MIN('Dashboard'!$Z$93,MAX(1,ROUNDUP(MAX('Calculations'!$DP$12:$DP$1012)/20,0)))-1)*20+8,'Calculations'!$DP$12:$DP$1012,0),0)</x:f>
        <x:v>0</x:v>
      </x:c>
      <x:c r="AS105" s="4"/>
      <x:c r="AT105" s="4"/>
      <x:c r="AU105" s="4"/>
      <x:c r="AV105" s="4"/>
      <x:c r="AW105" s="4"/>
      <x:c r="AX105" s="4"/>
      <x:c r="AY105" s="4"/>
      <x:c r="AZ105" s="4"/>
      <x:c r="BA105" s="4"/>
      <x:c r="BB105" s="4"/>
      <x:c r="BC105" s="4"/>
      <x:c r="BD105" s="4"/>
      <x:c r="BE105" s="4"/>
      <x:c r="BF105" s="4"/>
      <x:c r="BG105" s="4"/>
      <x:c r="BH105" s="4"/>
      <x:c r="BI105" s="4"/>
      <x:c r="BJ105" s="4"/>
      <x:c r="BK105" s="4"/>
      <x:c r="BL105" s="4"/>
      <x:c r="BM105" s="4" t="n">
        <x:f>IF('Calculations'!$EM105="",0,IF(OR(IFERROR(INDEX(INDIRECT("'WCM Calibration Final'!$A$1:$A$2000"),'Calculations'!$EM105)&lt;&gt;"",FALSE),IFERROR(INDEX(INDIRECT("'WCM Calibration Final'!$B$1:$B$2000"),'Calculations'!$EM105)&lt;&gt;"",FALSE),IFERROR(INDEX(INDIRECT("'WCM Calibration Final'!$C$1:$C$2000"),'Calculations'!$EM105)&lt;&gt;"",FALSE)),1,0))</x:f>
        <x:v>0</x:v>
      </x:c>
      <x:c r="BN105" s="4" t="n">
        <x:f>IF(AND('Calculations'!BM105=1,'Calculations'!$AG$2,'Calculations'!$EN105=1),1,0)</x:f>
        <x:v>0</x:v>
      </x:c>
      <x:c r="BO105" s="4" t="str">
        <x:f>IF('Calculations'!BM105=0,"",IFERROR(IF(AND(VALUE(INDEX(INDIRECT("'WCM Calibration Final'!$K$1:$K$2000"),'Calculations'!$EM105))&gt;=1,VALUE(INDEX(INDIRECT("'WCM Calibration Final'!$K$1:$K$2000"),'Calculations'!$EM105))&lt;=4,MOD(VALUE(INDEX(INDIRECT("'WCM Calibration Final'!$K$1:$K$2000"),'Calculations'!$EM105)),1)=0),VALUE(INDEX(INDIRECT("'WCM Calibration Final'!$K$1:$K$2000"),'Calculations'!$EM105)),""),""))</x:f>
      </x:c>
      <x:c r="BP105" s="4" t="str">
        <x:f>IF('Calculations'!BM105=0,"",IFERROR(IF(AND(VALUE(INDEX(INDIRECT("'WCM Calibration Final'!$L$1:$L$2000"),'Calculations'!$EM105))&gt;=1,VALUE(INDEX(INDIRECT("'WCM Calibration Final'!$L$1:$L$2000"),'Calculations'!$EM105))&lt;=4,MOD(VALUE(INDEX(INDIRECT("'WCM Calibration Final'!$L$1:$L$2000"),'Calculations'!$EM105)),1)=0),VALUE(INDEX(INDIRECT("'WCM Calibration Final'!$L$1:$L$2000"),'Calculations'!$EM105)),""),""))</x:f>
      </x:c>
      <x:c r="BQ105" s="4"/>
      <x:c r="BR105" s="4"/>
      <x:c r="BS105" s="4"/>
      <x:c r="BT105" s="4" t="n">
        <x:f>IF(AND('Calculations'!BM105=1,ISNUMBER('Calculations'!BO105),ISNUMBER('Calculations'!BP105)),1,0)</x:f>
        <x:v>0</x:v>
      </x:c>
      <x:c r="BU105" s="4" t="str">
        <x:f>IF('Calculations'!BM105=0,"",'Calculations'!$EO105)</x:f>
      </x:c>
      <x:c r="BV105" s="4" t="str">
        <x:f>IF('Calculations'!BM105=0,"",IFERROR(IF(OR(INDEX(INDIRECT("'WCM Calibration Final'!$H$1:$H$2000"),'Calculations'!$EM105)="MANAGING DIRECTOR",INDEX(INDIRECT("'WCM Calibration Final'!$H$1:$H$2000"),'Calculations'!$EM105)="DIRECTOR",INDEX(INDIRECT("'WCM Calibration Final'!$H$1:$H$2000"),'Calculations'!$EM105)="SENIOR VICE PRESIDENT",INDEX(INDIRECT("'WCM Calibration Final'!$H$1:$H$2000"),'Calculations'!$EM105)="VICE PRESIDENT",INDEX(INDIRECT("'WCM Calibration Final'!$H$1:$H$2000"),'Calculations'!$EM105)="ASSISTANT VICE PRESIDENT",INDEX(INDIRECT("'WCM Calibration Final'!$H$1:$H$2000"),'Calculations'!$EM105)="OFFICER"),UPPER(INDEX(INDIRECT("'WCM Calibration Final'!$H$1:$H$2000"),'Calculations'!$EM105)),"Other"),"Other"))</x:f>
      </x:c>
      <x:c r="BW105" s="4"/>
      <x:c r="BX105" s="4"/>
      <x:c r="BY105" s="4" t="n">
        <x:f>IF(AND('Calculations'!BM105=1,'Calculations'!BU105&lt;&gt;"",COUNTIF('Calculations'!$BU$12:BU105,'Calculations'!BU105)=1),MAX('Calculations'!$BY$11:BY104)+1,0)</x:f>
        <x:v>0</x:v>
      </x:c>
      <x:c r="BZ105" s="4" t="str">
        <x:f>IF('Dashboard'!$E$67="What",'Calculations'!BO105,'Calculations'!BP105)</x:f>
      </x:c>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t="str">
        <x:f>IF(94&gt;MAX('Calculations'!$HI$13:$HI$512),"",INDEX('Calculations'!$HN$13:$HN$512,MATCH(94,'Calculations'!$HI$13:$HI$512,0)))</x:f>
      </x:c>
      <x:c r="DB105" s="4" t="str">
        <x:f>IF(94&gt;MAX('Calculations'!$HH$13:$HH$512),"",INDEX('Calculations'!$HJ$13:$HJ$512,MATCH(94,'Calculations'!$HH$13:$HH$512,0)))</x:f>
      </x:c>
      <x:c r="DC105" s="4" t="str">
        <x:f>IF(ROW()-11&gt;MAX('Calculations'!$BY$13:$BY$512),"",INDEX('Calculations'!$BU$13:$BU$512,MATCH(ROW()-11,'Calculations'!$BY$13:$BY$512,0)))</x:f>
      </x:c>
      <x:c r="DD105" s="4" t="str">
        <x:f>IF(94&gt;MAX('Calculations'!$IK$13:$IK$512),"",INDEX('Calculations'!$HK$13:$HK$512,MATCH(94,'Calculations'!$IK$13:$IK$512,0)))</x:f>
      </x:c>
      <x:c r="DE105" s="4" t="str">
        <x:f>'Calculations'!DC105</x:f>
      </x:c>
      <x:c r="DF105" s="4" t="str">
        <x:f>IF('Calculations'!DE105="","",COUNTIFS('Calculations'!$BN$13:$BN$512,1,'Calculations'!$BU$13:$BU$512,'Calculations'!DE105))</x:f>
      </x:c>
      <x:c r="DG105" s="4" t="str">
        <x:f>IF('Calculations'!DE105="","",COUNTIFS('Calculations'!$BN$13:$BN$512,1,'Calculations'!$BU$13:$BU$512,'Calculations'!DE105,'Calculations'!$BT$13:$BT$512,1))</x:f>
      </x:c>
      <x:c r="DH105" s="4" t="str">
        <x:f>IF('Calculations'!DE105="","",'Calculations'!DF105-'Calculations'!DG105)</x:f>
      </x:c>
      <x:c r="DI105" s="4" t="str">
        <x:f>IF(OR('Calculations'!DE105="",'Calculations'!DF105=0),"",'Calculations'!DG105/'Calculations'!DF105)</x:f>
      </x:c>
      <x:c r="DJ105" s="4" t="str">
        <x:f>IF('Calculations'!DE105="","",COUNTIFS('Calculations'!$BN$13:$BN$512,1,'Calculations'!$BU$13:$BU$512,'Calculations'!DE105,'Calculations'!$BT$13:$BT$512,1,'Calculations'!$EE$13:$EE$512,"High"))</x:f>
      </x:c>
      <x:c r="DK105" s="4" t="str">
        <x:f>IF('Calculations'!DE105="","",COUNTIFS('Calculations'!$BN$13:$BN$512,1,'Calculations'!$BU$13:$BU$512,'Calculations'!DE105,'Calculations'!$BT$13:$BT$512,1,'Calculations'!$EE$13:$EE$512,"Strong"))</x:f>
      </x:c>
      <x:c r="DL105" s="4" t="str">
        <x:f>IF('Calculations'!DE105="","",COUNTIFS('Calculations'!$BN$13:$BN$512,1,'Calculations'!$BU$13:$BU$512,'Calculations'!DE105,'Calculations'!$BT$13:$BT$512,1,'Calculations'!$EE$13:$EE$512,"Solid"))</x:f>
      </x:c>
      <x:c r="DM105" s="4" t="str">
        <x:f>IF('Calculations'!DE105="","",COUNTIFS('Calculations'!$BN$13:$BN$512,1,'Calculations'!$BU$13:$BU$512,'Calculations'!DE105,'Calculations'!$BT$13:$BT$512,1,'Calculations'!$EE$13:$EE$512,"Low"))</x:f>
      </x:c>
      <x:c r="DN105" s="4" t="str">
        <x:f>IF('Calculations'!DE105="","",COUNTIFS('Calculations'!$BN$13:$BN$512,1,'Calculations'!$BU$13:$BU$512,'Calculations'!DE105,'Calculations'!$EP$13:$EP$512,1))</x:f>
      </x:c>
      <x:c r="DO105" s="4" t="str">
        <x:f>IF(OR('Calculations'!DE105="",'Calculations'!DG105=0),"",('Calculations'!DJ105+'Calculations'!DK105)/'Calculations'!DG105)</x:f>
      </x:c>
      <x:c r="DP105" s="4" t="n">
        <x:f>IF(AND('Calculations'!DE105&lt;&gt;"",'Calculations'!DF105&gt;0),COUNTIF('Calculations'!$DF$12:DF105,"&gt;0"),0)</x:f>
        <x:v>0</x:v>
      </x:c>
      <x:c r="DQ105" s="4" t="str">
        <x:f>IF(94&gt;MAX('Calculations'!$HH$13:$HH$512),"",INDEX('Calculations'!$HF$13:$HF$512,MATCH(94,'Calculations'!$HH$13:$HH$512,0)))</x:f>
      </x:c>
      <x:c r="DR105" s="4" t="str">
        <x:f>IF(94&gt;MAX('Calculations'!$IK$13:$IK$512),"",INDEX('Calculations'!$HE$13:$HE$512,MATCH(94,'Calculations'!$IK$13:$IK$512,0)))</x:f>
      </x:c>
      <x:c r="DS105" s="4"/>
      <x:c r="DT105" s="4"/>
      <x:c r="DU105" s="4"/>
      <x:c r="DV105" s="4"/>
      <x:c r="DW105" s="4"/>
      <x:c r="DX105" s="4"/>
      <x:c r="DY105" s="4"/>
      <x:c r="DZ105" s="4"/>
      <x:c r="EA105" s="4"/>
      <x:c r="EB105" s="4"/>
      <x:c r="EC105" s="4"/>
      <x:c r="ED105" s="4"/>
      <x:c r="EE105" s="4" t="str">
        <x:f>IF('Calculations'!BT105=0,"Not Rated",IF(OR('Calculations'!BO105&gt;=4,'Calculations'!BP105&gt;=4),"Low",IF('Calculations'!BO105+'Calculations'!BP105&lt;=3,"High",IF('Calculations'!BO105+'Calculations'!BP105&lt;=4,"Strong","Solid"))))</x:f>
        <x:v>Not Rated</x:v>
      </x:c>
      <x:c r="EF105" s="4"/>
      <x:c r="EG105" s="4"/>
      <x:c r="EH105" s="4"/>
      <x:c r="EI105" s="4"/>
      <x:c r="EJ105" s="4"/>
      <x:c r="EK105" s="4"/>
      <x:c r="EL105" s="4"/>
      <x:c r="EM105" s="4" t="str">
        <x:f>IF(93&gt;'Calculations'!$JB$2000,"",INDEX('Calculations'!$JA$12:$JA$2000,MATCH(93,'Calculations'!$JB$12:$JB$2000,0)))</x:f>
      </x:c>
      <x:c r="EN105" s="4" t="n">
        <x:f>IF(OR('Calculations'!EM105="",'Calculations'!$AG$8&gt;0,AND('Calculations'!$EF$2&lt;&gt;"All",'Calculations'!HE105='Calculations'!$EF$2),AND('Calculations'!$EF$3&lt;&gt;"All",'Calculations'!HE105='Calculations'!$EF$3)),0,IF(OR('Dashboard'!$B$7="All",'Calculations'!HN105='Dashboard'!$B$7),IF('Calculations'!$EF$2="All",1,IF('Calculations'!HL105&gt;0,0,IF(COUNTIF('Calculations'!HO105:II105,"="&amp;SUBSTITUTE(SUBSTITUTE(SUBSTITUTE('Calculations'!$EF$2,"~","~~"),"*","~*"),"?","~?"))=0,0,IF('Calculations'!$EF$3="All",1,IF(COUNTIF('Calculations'!HO105:II105,"="&amp;SUBSTITUTE(SUBSTITUTE(SUBSTITUTE('Calculations'!$EF$3,"~","~~"),"*","~*"),"?","~?"))&gt;0,1,0))))),0))</x:f>
        <x:v>0</x:v>
      </x:c>
      <x:c r="EO105" s="4" t="str">
        <x:f>IF('Calculations'!IJ105="","",IF('Calculations'!IJ105="!UNRESOLVED","Unresolved hierarchy",IFERROR(INDEX('Calculations'!$HK$13:$HK$512,MATCH('Calculations'!IJ105,'Calculations'!$HE$13:$HE$512,0)),IFERROR(INDEX('Calculations'!$HJ$13:$HJ$512,MATCH('Calculations'!IJ105,'Calculations'!$HF$13:$HF$512,0)),'Calculations'!IJ105))))</x:f>
      </x:c>
      <x:c r="EP105" s="4" t="n">
        <x:f>IF(AND('Calculations'!EM105&lt;&gt;"",'Calculations'!HF105='Calculations'!IJ105),1,0)</x:f>
        <x:v>0</x:v>
      </x:c>
      <x:c r="EQ105" s="4"/>
      <x:c r="ER105" s="4"/>
      <x:c r="ES105" s="4"/>
      <x:c r="ET105" s="4"/>
      <x:c r="EU105" s="4"/>
      <x:c r="EV105" s="4"/>
      <x:c r="EW105" s="4"/>
      <x:c r="EX105" s="4"/>
      <x:c r="EY105" s="4"/>
      <x:c r="EZ105" s="4"/>
      <x:c r="FA105" s="4"/>
      <x:c r="FB105" s="4"/>
      <x:c r="FC105" s="4"/>
      <x:c r="FD105" s="4"/>
      <x:c r="FE105" s="4"/>
      <x:c r="FF105" s="4"/>
      <x:c r="FG105" s="4"/>
      <x:c r="FH105" s="4"/>
      <x:c r="FI105" s="4"/>
      <x:c r="FJ105" s="4"/>
      <x:c r="FK105" s="4"/>
      <x:c r="FL105" s="4"/>
      <x:c r="FM105" s="4"/>
      <x:c r="FN105" s="4"/>
      <x:c r="FO105" s="4"/>
      <x:c r="GA105" s="71"/>
      <x:c r="GB105" s="71" t="str">
        <x:f>IF('Calculations'!$AR105=0,"",INDEX('Calculations'!$DE$12:$DE$1012,'Calculations'!$AR105))</x:f>
      </x:c>
      <x:c r="GC105" s="71"/>
      <x:c r="GD105" s="71"/>
      <x:c r="GE105" s="71"/>
      <x:c r="GF105" s="71"/>
      <x:c r="GG105" s="71"/>
      <x:c r="GH105" s="71"/>
      <x:c r="GI105" s="71" t="str">
        <x:f>IF('Calculations'!$AR105=0,"",INDEX('Calculations'!$DF$12:$DF$1012,'Calculations'!$AR105))</x:f>
      </x:c>
      <x:c r="GJ105" s="71"/>
      <x:c r="GK105" s="71" t="str">
        <x:f>IF('Calculations'!$AR105=0,"",INDEX('Calculations'!$DG$12:$DG$1012,'Calculations'!$AR105))</x:f>
      </x:c>
      <x:c r="GL105" s="71"/>
      <x:c r="GM105" s="71" t="str">
        <x:f>IF('Calculations'!$AR105=0,"",INDEX('Calculations'!$DH$12:$DH$1012,'Calculations'!$AR105))</x:f>
      </x:c>
      <x:c r="GN105" s="71"/>
      <x:c r="GO105" s="71" t="str">
        <x:f>IF('Calculations'!$AR105=0,"",INDEX('Calculations'!$DI$12:$DI$1012,'Calculations'!$AR105))</x:f>
      </x:c>
      <x:c r="GP105" s="71"/>
      <x:c r="GQ105" s="71" t="str">
        <x:f>IF('Calculations'!$AR105=0,"",INDEX('Calculations'!$DJ$12:$DJ$1012,'Calculations'!$AR105)&amp;" · "&amp;IF(INDEX('Calculations'!$DG$12:$DG$1012,'Calculations'!$AR105)=0,"n.a.",TEXT(INDEX('Calculations'!$DJ$12:$DJ$1012,'Calculations'!$AR105)/INDEX('Calculations'!$DG$12:$DG$1012,'Calculations'!$AR105),"0.0%")))</x:f>
      </x:c>
      <x:c r="GR105" s="71"/>
      <x:c r="GS105" s="71" t="str">
        <x:f>IF('Calculations'!$AR105=0,"",INDEX('Calculations'!$DK$12:$DK$1012,'Calculations'!$AR105)&amp;" · "&amp;IF(INDEX('Calculations'!$DG$12:$DG$1012,'Calculations'!$AR105)=0,"n.a.",TEXT(INDEX('Calculations'!$DK$12:$DK$1012,'Calculations'!$AR105)/INDEX('Calculations'!$DG$12:$DG$1012,'Calculations'!$AR105),"0.0%")))</x:f>
      </x:c>
      <x:c r="GT105" s="71"/>
      <x:c r="GU105" s="71" t="str">
        <x:f>IF('Calculations'!$AR105=0,"",INDEX('Calculations'!$DL$12:$DL$1012,'Calculations'!$AR105)&amp;" · "&amp;IF(INDEX('Calculations'!$DG$12:$DG$1012,'Calculations'!$AR105)=0,"n.a.",TEXT(INDEX('Calculations'!$DL$12:$DL$1012,'Calculations'!$AR105)/INDEX('Calculations'!$DG$12:$DG$1012,'Calculations'!$AR105),"0.0%")))</x:f>
      </x:c>
      <x:c r="GV105" s="71"/>
      <x:c r="GW105" s="71" t="str">
        <x:f>IF('Calculations'!$AR105=0,"",INDEX('Calculations'!$DM$12:$DM$1012,'Calculations'!$AR105)&amp;" · "&amp;IF(INDEX('Calculations'!$DG$12:$DG$1012,'Calculations'!$AR105)=0,"n.a.",TEXT(INDEX('Calculations'!$DM$12:$DM$1012,'Calculations'!$AR105)/INDEX('Calculations'!$DG$12:$DG$1012,'Calculations'!$AR105),"0.0%")))</x:f>
      </x:c>
      <x:c r="GX105" s="71"/>
      <x:c r="GY105" s="71" t="str">
        <x:f>IF('Calculations'!$AR105=0,"",INDEX('Calculations'!$DN$12:$DN$1012,'Calculations'!$AR105))</x:f>
      </x:c>
      <x:c r="GZ105" s="71"/>
      <x:c r="HA105" s="71" t="str">
        <x:f>IF('Calculations'!$AR105=0,"",INDEX('Calculations'!$DO$12:$DO$1012,'Calculations'!$AR105))</x:f>
      </x:c>
      <x:c r="HB105" s="71"/>
      <x:c r="HC105" s="71"/>
      <x:c r="HD105" s="71"/>
      <x:c r="HE105" t="str">
        <x:f>IF('Calculations'!EM105="","",IF(IFERROR(IF(INDEX(INDIRECT("'WCM Calibration Final'!$A$1:$A$2000"),'Calculations'!$EM105)="","",TRIM(INDEX(INDIRECT("'WCM Calibration Final'!$A$1:$A$2000"),'Calculations'!$EM105)&amp;"")),"")&lt;&gt;"","G:"&amp;IFERROR(TEXT(1*INDEX(INDIRECT("'WCM Calibration Final'!$A$1:$A$2000"),'Calculations'!$EM105),"0"),UPPER(IFERROR(IF(INDEX(INDIRECT("'WCM Calibration Final'!$A$1:$A$2000"),'Calculations'!$EM105)="","",TRIM(INDEX(INDIRECT("'WCM Calibration Final'!$A$1:$A$2000"),'Calculations'!$EM105)&amp;"")),""))),IF(IFERROR(IF(INDEX(INDIRECT("'WCM Calibration Final'!$C$1:$C$2000"),'Calculations'!$EM105)="","",TRIM(INDEX(INDIRECT("'WCM Calibration Final'!$C$1:$C$2000"),'Calculations'!$EM105)&amp;"")),"")&lt;&gt;"","S:"&amp;UPPER(IFERROR(IF(INDEX(INDIRECT("'WCM Calibration Final'!$C$1:$C$2000"),'Calculations'!$EM105)="","",TRIM(INDEX(INDIRECT("'WCM Calibration Final'!$C$1:$C$2000"),'Calculations'!$EM105)&amp;"")),"")),"R:"&amp;'Calculations'!EM105)))</x:f>
      </x:c>
      <x:c r="HF105" t="str">
        <x:f>IF('Calculations'!EM105="","",IF(IFERROR(IF(INDEX(INDIRECT("'WCM Calibration Final'!$D$1:$D$2000"),'Calculations'!$EM105)="","",TRIM(INDEX(INDIRECT("'WCM Calibration Final'!$D$1:$D$2000"),'Calculations'!$EM105)&amp;"")),"")&lt;&gt;"","G:"&amp;IFERROR(TEXT(1*INDEX(INDIRECT("'WCM Calibration Final'!$D$1:$D$2000"),'Calculations'!$EM105),"0"),UPPER(IFERROR(IF(INDEX(INDIRECT("'WCM Calibration Final'!$D$1:$D$2000"),'Calculations'!$EM105)="","",TRIM(INDEX(INDIRECT("'WCM Calibration Final'!$D$1:$D$2000"),'Calculations'!$EM105)&amp;"")),""))),IF(IFERROR(IF(INDEX(INDIRECT("'WCM Calibration Final'!$E$1:$E$2000"),'Calculations'!$EM105)="","",TRIM(INDEX(INDIRECT("'WCM Calibration Final'!$E$1:$E$2000"),'Calculations'!$EM105)&amp;"")),"")="","",IF(COUNTIF('Calculations'!$HG$13:$HG$512,"="&amp;SUBSTITUTE(SUBSTITUTE(SUBSTITUTE(IFERROR(IF(INDEX(INDIRECT("'WCM Calibration Final'!$E$1:$E$2000"),'Calculations'!$EM105)="","",TRIM(INDEX(INDIRECT("'WCM Calibration Final'!$E$1:$E$2000"),'Calculations'!$EM105)&amp;"")),""),"~","~~"),"*","~*"),"?","~?"))=1,INDEX('Calculations'!$HE$13:$HE$512,MATCH(IFERROR(IF(INDEX(INDIRECT("'WCM Calibration Final'!$E$1:$E$2000"),'Calculations'!$EM105)="","",TRIM(INDEX(INDIRECT("'WCM Calibration Final'!$E$1:$E$2000"),'Calculations'!$EM105)&amp;"")),""),'Calculations'!$HG$13:$HG$512,0)),IF(COUNTIF('Calculations'!$HG$13:$HG$512,"="&amp;SUBSTITUTE(SUBSTITUTE(SUBSTITUTE(IFERROR(IF(INDEX(INDIRECT("'WCM Calibration Final'!$E$1:$E$2000"),'Calculations'!$EM105)="","",TRIM(INDEX(INDIRECT("'WCM Calibration Final'!$E$1:$E$2000"),'Calculations'!$EM105)&amp;"")),""),"~","~~"),"*","~*"),"?","~?"))&gt;1,"!AMBIG","X:"&amp;IFERROR(IF(INDEX(INDIRECT("'WCM Calibration Final'!$E$1:$E$2000"),'Calculations'!$EM105)="","",TRIM(INDEX(INDIRECT("'WCM Calibration Final'!$E$1:$E$2000"),'Calculations'!$EM105)&amp;"")),""))))))</x:f>
      </x:c>
      <x:c r="HG105" t="str">
        <x:f>IF('Calculations'!EM105="","",IFERROR(IF(INDEX(INDIRECT("'WCM Calibration Final'!$B$1:$B$2000"),'Calculations'!$EM105)="","",TRIM(INDEX(INDIRECT("'WCM Calibration Final'!$B$1:$B$2000"),'Calculations'!$EM105)&amp;"")),""))</x:f>
      </x:c>
      <x:c r="HH105" t="n">
        <x:f>IF(AND('Calculations'!JC105&gt;0,COUNTIF('Calculations'!$HF$12:HF105,"="&amp;SUBSTITUTE(SUBSTITUTE(SUBSTITUTE('Calculations'!HF105,"~","~~"),"*","~*"),"?","~?"))=1),MAX('Calculations'!$HH$12:HH104)+1,0)</x:f>
        <x:v>0</x:v>
      </x:c>
      <x:c r="HI105" t="n">
        <x:f>IF(AND('Calculations'!HN105&lt;&gt;"",COUNTIF('Calculations'!$HN$12:HN105,"="&amp;SUBSTITUTE(SUBSTITUTE(SUBSTITUTE('Calculations'!HN105,"~","~~"),"*","~*"),"?","~?"))=1),MAX('Calculations'!$HI$12:HI104)+1,0)</x:f>
        <x:v>0</x:v>
      </x:c>
      <x:c r="HJ105" t="str">
        <x:f>IF('Calculations'!HF105="","",IF(COUNTIF('Calculations'!$HE$13:$HE$512,"="&amp;SUBSTITUTE(SUBSTITUTE(SUBSTITUTE('Calculations'!HF105,"~","~~"),"*","~*"),"?","~?"))=1,INDEX('Calculations'!$HK$13:$HK$512,MATCH('Calculations'!HF105,'Calculations'!$HE$13:$HE$512,0)),IFERROR(IF(INDEX(INDIRECT("'WCM Calibration Final'!$E$1:$E$2000"),'Calculations'!$EM105)="","",TRIM(INDEX(INDIRECT("'WCM Calibration Final'!$E$1:$E$2000"),'Calculations'!$EM105)&amp;"")),"")&amp;" ["&amp;'Calculations'!HF105&amp;"]"))</x:f>
      </x:c>
      <x:c r="HK105" t="str">
        <x:f>IF('Calculations'!EM105="","",'Calculations'!HG105&amp;" ["&amp;'Calculations'!HE105&amp;"]")</x:f>
      </x:c>
      <x:c r="HL105" t="n">
        <x:f>IF('Calculations'!EM105="",0,IF(OR('Calculations'!II105&lt;&gt;"",COUNTIF('Calculations'!$HE$13:$HE$512,"="&amp;SUBSTITUTE(SUBSTITUTE(SUBSTITUTE('Calculations'!HE105,"~","~~"),"*","~*"),"?","~?"))&gt;1),1,0))</x:f>
        <x:v>0</x:v>
      </x:c>
      <x:c r="HM105" t="str">
        <x:f>IF('Calculations'!EM105="","",IF('Calculations'!HL105=1,"!UNRESOLVED",IF('Calculations'!IH105&lt;&gt;"",'Calculations'!IH105,IF('Calculations'!IG105&lt;&gt;"",'Calculations'!IG105,IF('Calculations'!IF105&lt;&gt;"",'Calculations'!IF105,IF('Calculations'!IE105&lt;&gt;"",'Calculations'!IE105,IF('Calculations'!ID105&lt;&gt;"",'Calculations'!ID105,IF('Calculations'!IC105&lt;&gt;"",'Calculations'!IC105,IF('Calculations'!IB105&lt;&gt;"",'Calculations'!IB105,IF('Calculations'!IA105&lt;&gt;"",'Calculations'!IA105,IF('Calculations'!HZ105&lt;&gt;"",'Calculations'!HZ105,IF('Calculations'!HY105&lt;&gt;"",'Calculations'!HY105,IF('Calculations'!HX105&lt;&gt;"",'Calculations'!HX105,IF('Calculations'!HW105&lt;&gt;"",'Calculations'!HW105,IF('Calculations'!HV105&lt;&gt;"",'Calculations'!HV105,IF('Calculations'!HU105&lt;&gt;"",'Calculations'!HU105,IF('Calculations'!HT105&lt;&gt;"",'Calculations'!HT105,IF('Calculations'!HS105&lt;&gt;"",'Calculations'!HS105,IF('Calculations'!HR105&lt;&gt;"",'Calculations'!HR105,IF('Calculations'!HQ105&lt;&gt;"",'Calculations'!HQ105,IF('Calculations'!HP105&lt;&gt;"",'Calculations'!HP105,IF('Calculations'!HO105&lt;&gt;"",'Calculations'!HO105,'Calculations'!HE105))))))))))))))))))))))</x:f>
      </x:c>
      <x:c r="HN105" t="str">
        <x:f>IF('Calculations'!EM105="","",IF(IFERROR(IF(INDEX(INDIRECT("'WCM Calibration Final'!$F$1:$F$2000"),'Calculations'!$EM105)="","",TRIM(INDEX(INDIRECT("'WCM Calibration Final'!$F$1:$F$2000"),'Calculations'!$EM105)&amp;"")),"")="","(Blank)",IFERROR(IF(INDEX(INDIRECT("'WCM Calibration Final'!$F$1:$F$2000"),'Calculations'!$EM105)="","",TRIM(INDEX(INDIRECT("'WCM Calibration Final'!$F$1:$F$2000"),'Calculations'!$EM105)&amp;"")),"")))</x:f>
      </x:c>
      <x:c r="HO105" t="str">
        <x:f>'Calculations'!HF105</x:f>
      </x:c>
      <x:c r="HP105" t="str">
        <x:f>IF('Calculations'!HO105="","",IF('Calculations'!HO105="!AMBIG","!AMBIG",IF(COUNTIF('Calculations'!$HE$13:$HE$512,"="&amp;SUBSTITUTE(SUBSTITUTE(SUBSTITUTE('Calculations'!HO105,"~","~~"),"*","~*"),"?","~?"))&gt;1,"!AMBIG",IFERROR(INDEX('Calculations'!$HF$13:$HF$512,MATCH('Calculations'!HO105,'Calculations'!$HE$13:$HE$512,0)),""))))</x:f>
      </x:c>
      <x:c r="HQ105" t="str">
        <x:f>IF('Calculations'!HP105="","",IF('Calculations'!HP105="!AMBIG","!AMBIG",IF(COUNTIF('Calculations'!$HE$13:$HE$512,"="&amp;SUBSTITUTE(SUBSTITUTE(SUBSTITUTE('Calculations'!HP105,"~","~~"),"*","~*"),"?","~?"))&gt;1,"!AMBIG",IFERROR(INDEX('Calculations'!$HF$13:$HF$512,MATCH('Calculations'!HP105,'Calculations'!$HE$13:$HE$512,0)),""))))</x:f>
      </x:c>
      <x:c r="HR105" t="str">
        <x:f>IF('Calculations'!HQ105="","",IF('Calculations'!HQ105="!AMBIG","!AMBIG",IF(COUNTIF('Calculations'!$HE$13:$HE$512,"="&amp;SUBSTITUTE(SUBSTITUTE(SUBSTITUTE('Calculations'!HQ105,"~","~~"),"*","~*"),"?","~?"))&gt;1,"!AMBIG",IFERROR(INDEX('Calculations'!$HF$13:$HF$512,MATCH('Calculations'!HQ105,'Calculations'!$HE$13:$HE$512,0)),""))))</x:f>
      </x:c>
      <x:c r="HS105" t="str">
        <x:f>IF('Calculations'!HR105="","",IF('Calculations'!HR105="!AMBIG","!AMBIG",IF(COUNTIF('Calculations'!$HE$13:$HE$512,"="&amp;SUBSTITUTE(SUBSTITUTE(SUBSTITUTE('Calculations'!HR105,"~","~~"),"*","~*"),"?","~?"))&gt;1,"!AMBIG",IFERROR(INDEX('Calculations'!$HF$13:$HF$512,MATCH('Calculations'!HR105,'Calculations'!$HE$13:$HE$512,0)),""))))</x:f>
      </x:c>
      <x:c r="HT105" t="str">
        <x:f>IF('Calculations'!HS105="","",IF('Calculations'!HS105="!AMBIG","!AMBIG",IF(COUNTIF('Calculations'!$HE$13:$HE$512,"="&amp;SUBSTITUTE(SUBSTITUTE(SUBSTITUTE('Calculations'!HS105,"~","~~"),"*","~*"),"?","~?"))&gt;1,"!AMBIG",IFERROR(INDEX('Calculations'!$HF$13:$HF$512,MATCH('Calculations'!HS105,'Calculations'!$HE$13:$HE$512,0)),""))))</x:f>
      </x:c>
      <x:c r="HU105" t="str">
        <x:f>IF('Calculations'!HT105="","",IF('Calculations'!HT105="!AMBIG","!AMBIG",IF(COUNTIF('Calculations'!$HE$13:$HE$512,"="&amp;SUBSTITUTE(SUBSTITUTE(SUBSTITUTE('Calculations'!HT105,"~","~~"),"*","~*"),"?","~?"))&gt;1,"!AMBIG",IFERROR(INDEX('Calculations'!$HF$13:$HF$512,MATCH('Calculations'!HT105,'Calculations'!$HE$13:$HE$512,0)),""))))</x:f>
      </x:c>
      <x:c r="HV105" t="str">
        <x:f>IF('Calculations'!HU105="","",IF('Calculations'!HU105="!AMBIG","!AMBIG",IF(COUNTIF('Calculations'!$HE$13:$HE$512,"="&amp;SUBSTITUTE(SUBSTITUTE(SUBSTITUTE('Calculations'!HU105,"~","~~"),"*","~*"),"?","~?"))&gt;1,"!AMBIG",IFERROR(INDEX('Calculations'!$HF$13:$HF$512,MATCH('Calculations'!HU105,'Calculations'!$HE$13:$HE$512,0)),""))))</x:f>
      </x:c>
      <x:c r="HW105" t="str">
        <x:f>IF('Calculations'!HV105="","",IF('Calculations'!HV105="!AMBIG","!AMBIG",IF(COUNTIF('Calculations'!$HE$13:$HE$512,"="&amp;SUBSTITUTE(SUBSTITUTE(SUBSTITUTE('Calculations'!HV105,"~","~~"),"*","~*"),"?","~?"))&gt;1,"!AMBIG",IFERROR(INDEX('Calculations'!$HF$13:$HF$512,MATCH('Calculations'!HV105,'Calculations'!$HE$13:$HE$512,0)),""))))</x:f>
      </x:c>
      <x:c r="HX105" t="str">
        <x:f>IF('Calculations'!HW105="","",IF('Calculations'!HW105="!AMBIG","!AMBIG",IF(COUNTIF('Calculations'!$HE$13:$HE$512,"="&amp;SUBSTITUTE(SUBSTITUTE(SUBSTITUTE('Calculations'!HW105,"~","~~"),"*","~*"),"?","~?"))&gt;1,"!AMBIG",IFERROR(INDEX('Calculations'!$HF$13:$HF$512,MATCH('Calculations'!HW105,'Calculations'!$HE$13:$HE$512,0)),""))))</x:f>
      </x:c>
      <x:c r="HY105" t="str">
        <x:f>IF('Calculations'!HX105="","",IF('Calculations'!HX105="!AMBIG","!AMBIG",IF(COUNTIF('Calculations'!$HE$13:$HE$512,"="&amp;SUBSTITUTE(SUBSTITUTE(SUBSTITUTE('Calculations'!HX105,"~","~~"),"*","~*"),"?","~?"))&gt;1,"!AMBIG",IFERROR(INDEX('Calculations'!$HF$13:$HF$512,MATCH('Calculations'!HX105,'Calculations'!$HE$13:$HE$512,0)),""))))</x:f>
      </x:c>
      <x:c r="HZ105" t="str">
        <x:f>IF('Calculations'!HY105="","",IF('Calculations'!HY105="!AMBIG","!AMBIG",IF(COUNTIF('Calculations'!$HE$13:$HE$512,"="&amp;SUBSTITUTE(SUBSTITUTE(SUBSTITUTE('Calculations'!HY105,"~","~~"),"*","~*"),"?","~?"))&gt;1,"!AMBIG",IFERROR(INDEX('Calculations'!$HF$13:$HF$512,MATCH('Calculations'!HY105,'Calculations'!$HE$13:$HE$512,0)),""))))</x:f>
      </x:c>
      <x:c r="IA105" t="str">
        <x:f>IF('Calculations'!HZ105="","",IF('Calculations'!HZ105="!AMBIG","!AMBIG",IF(COUNTIF('Calculations'!$HE$13:$HE$512,"="&amp;SUBSTITUTE(SUBSTITUTE(SUBSTITUTE('Calculations'!HZ105,"~","~~"),"*","~*"),"?","~?"))&gt;1,"!AMBIG",IFERROR(INDEX('Calculations'!$HF$13:$HF$512,MATCH('Calculations'!HZ105,'Calculations'!$HE$13:$HE$512,0)),""))))</x:f>
      </x:c>
      <x:c r="IB105" t="str">
        <x:f>IF('Calculations'!IA105="","",IF('Calculations'!IA105="!AMBIG","!AMBIG",IF(COUNTIF('Calculations'!$HE$13:$HE$512,"="&amp;SUBSTITUTE(SUBSTITUTE(SUBSTITUTE('Calculations'!IA105,"~","~~"),"*","~*"),"?","~?"))&gt;1,"!AMBIG",IFERROR(INDEX('Calculations'!$HF$13:$HF$512,MATCH('Calculations'!IA105,'Calculations'!$HE$13:$HE$512,0)),""))))</x:f>
      </x:c>
      <x:c r="IC105" t="str">
        <x:f>IF('Calculations'!IB105="","",IF('Calculations'!IB105="!AMBIG","!AMBIG",IF(COUNTIF('Calculations'!$HE$13:$HE$512,"="&amp;SUBSTITUTE(SUBSTITUTE(SUBSTITUTE('Calculations'!IB105,"~","~~"),"*","~*"),"?","~?"))&gt;1,"!AMBIG",IFERROR(INDEX('Calculations'!$HF$13:$HF$512,MATCH('Calculations'!IB105,'Calculations'!$HE$13:$HE$512,0)),""))))</x:f>
      </x:c>
      <x:c r="ID105" t="str">
        <x:f>IF('Calculations'!IC105="","",IF('Calculations'!IC105="!AMBIG","!AMBIG",IF(COUNTIF('Calculations'!$HE$13:$HE$512,"="&amp;SUBSTITUTE(SUBSTITUTE(SUBSTITUTE('Calculations'!IC105,"~","~~"),"*","~*"),"?","~?"))&gt;1,"!AMBIG",IFERROR(INDEX('Calculations'!$HF$13:$HF$512,MATCH('Calculations'!IC105,'Calculations'!$HE$13:$HE$512,0)),""))))</x:f>
      </x:c>
      <x:c r="IE105" t="str">
        <x:f>IF('Calculations'!ID105="","",IF('Calculations'!ID105="!AMBIG","!AMBIG",IF(COUNTIF('Calculations'!$HE$13:$HE$512,"="&amp;SUBSTITUTE(SUBSTITUTE(SUBSTITUTE('Calculations'!ID105,"~","~~"),"*","~*"),"?","~?"))&gt;1,"!AMBIG",IFERROR(INDEX('Calculations'!$HF$13:$HF$512,MATCH('Calculations'!ID105,'Calculations'!$HE$13:$HE$512,0)),""))))</x:f>
      </x:c>
      <x:c r="IF105" t="str">
        <x:f>IF('Calculations'!IE105="","",IF('Calculations'!IE105="!AMBIG","!AMBIG",IF(COUNTIF('Calculations'!$HE$13:$HE$512,"="&amp;SUBSTITUTE(SUBSTITUTE(SUBSTITUTE('Calculations'!IE105,"~","~~"),"*","~*"),"?","~?"))&gt;1,"!AMBIG",IFERROR(INDEX('Calculations'!$HF$13:$HF$512,MATCH('Calculations'!IE105,'Calculations'!$HE$13:$HE$512,0)),""))))</x:f>
      </x:c>
      <x:c r="IG105" t="str">
        <x:f>IF('Calculations'!IF105="","",IF('Calculations'!IF105="!AMBIG","!AMBIG",IF(COUNTIF('Calculations'!$HE$13:$HE$512,"="&amp;SUBSTITUTE(SUBSTITUTE(SUBSTITUTE('Calculations'!IF105,"~","~~"),"*","~*"),"?","~?"))&gt;1,"!AMBIG",IFERROR(INDEX('Calculations'!$HF$13:$HF$512,MATCH('Calculations'!IF105,'Calculations'!$HE$13:$HE$512,0)),""))))</x:f>
      </x:c>
      <x:c r="IH105" t="str">
        <x:f>IF('Calculations'!IG105="","",IF('Calculations'!IG105="!AMBIG","!AMBIG",IF(COUNTIF('Calculations'!$HE$13:$HE$512,"="&amp;SUBSTITUTE(SUBSTITUTE(SUBSTITUTE('Calculations'!IG105,"~","~~"),"*","~*"),"?","~?"))&gt;1,"!AMBIG",IFERROR(INDEX('Calculations'!$HF$13:$HF$512,MATCH('Calculations'!IG105,'Calculations'!$HE$13:$HE$512,0)),""))))</x:f>
      </x:c>
      <x:c r="II105" t="str">
        <x:f>IF('Calculations'!IH105="","",IF('Calculations'!IH105="!AMBIG","!AMBIG",IF(COUNTIF('Calculations'!$HE$13:$HE$512,"="&amp;SUBSTITUTE(SUBSTITUTE(SUBSTITUTE('Calculations'!IH105,"~","~~"),"*","~*"),"?","~?"))&gt;1,"!AMBIG",IFERROR(INDEX('Calculations'!$HF$13:$HF$512,MATCH('Calculations'!IH105,'Calculations'!$HE$13:$HE$512,0)),""))))</x:f>
      </x:c>
      <x:c r="IJ105" t="str">
        <x:f>IF('Calculations'!EM105="","",IF('Calculations'!$EF$2="All",'Calculations'!HM105,IF('Calculations'!HL105=1,"",IFERROR(IF(MATCH('Calculations'!$EF$2,'Calculations'!HO105:II105,0)=1,'Calculations'!HE105,INDEX('Calculations'!HO105:II105,1,MATCH('Calculations'!$EF$2,'Calculations'!HO105:II105,0)-1)),""))))</x:f>
      </x:c>
      <x:c r="IK105" t="n">
        <x:f>IF(AND('Calculations'!EM105&lt;&gt;"",'Calculations'!$EF$2&lt;&gt;"All",'Calculations'!HF105='Calculations'!$EF$2,'Calculations'!HL105=0,'Calculations'!JD105&gt;0),MAX('Calculations'!$IK$12:IK104)+1,0)</x:f>
        <x:v>0</x:v>
      </x:c>
      <x:c r="JA105" t="n">
        <x:f>IF(OR(IFERROR(INDIRECT("'WCM Calibration Final'!$A$105")&lt;&gt;"",FALSE),IFERROR(INDIRECT("'WCM Calibration Final'!$B$105")&lt;&gt;"",FALSE),IFERROR(INDIRECT("'WCM Calibration Final'!$C$105")&lt;&gt;"",FALSE)),105,0)</x:f>
        <x:v>0</x:v>
      </x:c>
      <x:c r="JB105" t="n">
        <x:f>'Calculations'!JB104+IF('Calculations'!JA105&gt;0,1,0)</x:f>
        <x:v>0</x:v>
      </x:c>
      <x:c r="JC105" t="n">
        <x:f>IF(OR('Calculations'!HF105="",'Calculations'!HF105="!AMBIG"),0,IF('Dashboard'!$B$7="All",1,COUNTIFS('Calculations'!$HO$13:$HO$512,"="&amp;SUBSTITUTE(SUBSTITUTE(SUBSTITUTE('Calculations'!HF105,"~","~~"),"*","~*"),"?","~?"),'Calculations'!$HN$13:$HN$512,"="&amp;SUBSTITUTE(SUBSTITUTE(SUBSTITUTE('Dashboard'!$B$7,"~","~~"),"*","~*"),"?","~?"))+COUNTIFS('Calculations'!$HP$13:$HP$512,"="&amp;SUBSTITUTE(SUBSTITUTE(SUBSTITUTE('Calculations'!HF105,"~","~~"),"*","~*"),"?","~?"),'Calculations'!$HN$13:$HN$512,"="&amp;SUBSTITUTE(SUBSTITUTE(SUBSTITUTE('Dashboard'!$B$7,"~","~~"),"*","~*"),"?","~?"))+COUNTIFS('Calculations'!$HQ$13:$HQ$512,"="&amp;SUBSTITUTE(SUBSTITUTE(SUBSTITUTE('Calculations'!HF105,"~","~~"),"*","~*"),"?","~?"),'Calculations'!$HN$13:$HN$512,"="&amp;SUBSTITUTE(SUBSTITUTE(SUBSTITUTE('Dashboard'!$B$7,"~","~~"),"*","~*"),"?","~?"))+COUNTIFS('Calculations'!$HR$13:$HR$512,"="&amp;SUBSTITUTE(SUBSTITUTE(SUBSTITUTE('Calculations'!HF105,"~","~~"),"*","~*"),"?","~?"),'Calculations'!$HN$13:$HN$512,"="&amp;SUBSTITUTE(SUBSTITUTE(SUBSTITUTE('Dashboard'!$B$7,"~","~~"),"*","~*"),"?","~?"))+COUNTIFS('Calculations'!$HS$13:$HS$512,"="&amp;SUBSTITUTE(SUBSTITUTE(SUBSTITUTE('Calculations'!HF105,"~","~~"),"*","~*"),"?","~?"),'Calculations'!$HN$13:$HN$512,"="&amp;SUBSTITUTE(SUBSTITUTE(SUBSTITUTE('Dashboard'!$B$7,"~","~~"),"*","~*"),"?","~?"))+COUNTIFS('Calculations'!$HT$13:$HT$512,"="&amp;SUBSTITUTE(SUBSTITUTE(SUBSTITUTE('Calculations'!HF105,"~","~~"),"*","~*"),"?","~?"),'Calculations'!$HN$13:$HN$512,"="&amp;SUBSTITUTE(SUBSTITUTE(SUBSTITUTE('Dashboard'!$B$7,"~","~~"),"*","~*"),"?","~?"))+COUNTIFS('Calculations'!$HU$13:$HU$512,"="&amp;SUBSTITUTE(SUBSTITUTE(SUBSTITUTE('Calculations'!HF105,"~","~~"),"*","~*"),"?","~?"),'Calculations'!$HN$13:$HN$512,"="&amp;SUBSTITUTE(SUBSTITUTE(SUBSTITUTE('Dashboard'!$B$7,"~","~~"),"*","~*"),"?","~?"))+COUNTIFS('Calculations'!$HV$13:$HV$512,"="&amp;SUBSTITUTE(SUBSTITUTE(SUBSTITUTE('Calculations'!HF105,"~","~~"),"*","~*"),"?","~?"),'Calculations'!$HN$13:$HN$512,"="&amp;SUBSTITUTE(SUBSTITUTE(SUBSTITUTE('Dashboard'!$B$7,"~","~~"),"*","~*"),"?","~?"))+COUNTIFS('Calculations'!$HW$13:$HW$512,"="&amp;SUBSTITUTE(SUBSTITUTE(SUBSTITUTE('Calculations'!HF105,"~","~~"),"*","~*"),"?","~?"),'Calculations'!$HN$13:$HN$512,"="&amp;SUBSTITUTE(SUBSTITUTE(SUBSTITUTE('Dashboard'!$B$7,"~","~~"),"*","~*"),"?","~?"))+COUNTIFS('Calculations'!$HX$13:$HX$512,"="&amp;SUBSTITUTE(SUBSTITUTE(SUBSTITUTE('Calculations'!HF105,"~","~~"),"*","~*"),"?","~?"),'Calculations'!$HN$13:$HN$512,"="&amp;SUBSTITUTE(SUBSTITUTE(SUBSTITUTE('Dashboard'!$B$7,"~","~~"),"*","~*"),"?","~?"))+COUNTIFS('Calculations'!$HY$13:$HY$512,"="&amp;SUBSTITUTE(SUBSTITUTE(SUBSTITUTE('Calculations'!HF105,"~","~~"),"*","~*"),"?","~?"),'Calculations'!$HN$13:$HN$512,"="&amp;SUBSTITUTE(SUBSTITUTE(SUBSTITUTE('Dashboard'!$B$7,"~","~~"),"*","~*"),"?","~?"))+COUNTIFS('Calculations'!$HZ$13:$HZ$512,"="&amp;SUBSTITUTE(SUBSTITUTE(SUBSTITUTE('Calculations'!HF105,"~","~~"),"*","~*"),"?","~?"),'Calculations'!$HN$13:$HN$512,"="&amp;SUBSTITUTE(SUBSTITUTE(SUBSTITUTE('Dashboard'!$B$7,"~","~~"),"*","~*"),"?","~?"))+COUNTIFS('Calculations'!$IA$13:$IA$512,"="&amp;SUBSTITUTE(SUBSTITUTE(SUBSTITUTE('Calculations'!HF105,"~","~~"),"*","~*"),"?","~?"),'Calculations'!$HN$13:$HN$512,"="&amp;SUBSTITUTE(SUBSTITUTE(SUBSTITUTE('Dashboard'!$B$7,"~","~~"),"*","~*"),"?","~?"))+COUNTIFS('Calculations'!$IB$13:$IB$512,"="&amp;SUBSTITUTE(SUBSTITUTE(SUBSTITUTE('Calculations'!HF105,"~","~~"),"*","~*"),"?","~?"),'Calculations'!$HN$13:$HN$512,"="&amp;SUBSTITUTE(SUBSTITUTE(SUBSTITUTE('Dashboard'!$B$7,"~","~~"),"*","~*"),"?","~?"))+COUNTIFS('Calculations'!$IC$13:$IC$512,"="&amp;SUBSTITUTE(SUBSTITUTE(SUBSTITUTE('Calculations'!HF105,"~","~~"),"*","~*"),"?","~?"),'Calculations'!$HN$13:$HN$512,"="&amp;SUBSTITUTE(SUBSTITUTE(SUBSTITUTE('Dashboard'!$B$7,"~","~~"),"*","~*"),"?","~?"))+COUNTIFS('Calculations'!$ID$13:$ID$512,"="&amp;SUBSTITUTE(SUBSTITUTE(SUBSTITUTE('Calculations'!HF105,"~","~~"),"*","~*"),"?","~?"),'Calculations'!$HN$13:$HN$512,"="&amp;SUBSTITUTE(SUBSTITUTE(SUBSTITUTE('Dashboard'!$B$7,"~","~~"),"*","~*"),"?","~?"))+COUNTIFS('Calculations'!$IE$13:$IE$512,"="&amp;SUBSTITUTE(SUBSTITUTE(SUBSTITUTE('Calculations'!HF105,"~","~~"),"*","~*"),"?","~?"),'Calculations'!$HN$13:$HN$512,"="&amp;SUBSTITUTE(SUBSTITUTE(SUBSTITUTE('Dashboard'!$B$7,"~","~~"),"*","~*"),"?","~?"))+COUNTIFS('Calculations'!$IF$13:$IF$512,"="&amp;SUBSTITUTE(SUBSTITUTE(SUBSTITUTE('Calculations'!HF105,"~","~~"),"*","~*"),"?","~?"),'Calculations'!$HN$13:$HN$512,"="&amp;SUBSTITUTE(SUBSTITUTE(SUBSTITUTE('Dashboard'!$B$7,"~","~~"),"*","~*"),"?","~?"))+COUNTIFS('Calculations'!$IG$13:$IG$512,"="&amp;SUBSTITUTE(SUBSTITUTE(SUBSTITUTE('Calculations'!HF105,"~","~~"),"*","~*"),"?","~?"),'Calculations'!$HN$13:$HN$512,"="&amp;SUBSTITUTE(SUBSTITUTE(SUBSTITUTE('Dashboard'!$B$7,"~","~~"),"*","~*"),"?","~?"))+COUNTIFS('Calculations'!$IH$13:$IH$512,"="&amp;SUBSTITUTE(SUBSTITUTE(SUBSTITUTE('Calculations'!HF105,"~","~~"),"*","~*"),"?","~?"),'Calculations'!$HN$13:$HN$512,"="&amp;SUBSTITUTE(SUBSTITUTE(SUBSTITUTE('Dashboard'!$B$7,"~","~~"),"*","~*"),"?","~?"))))</x:f>
        <x:v>0</x:v>
      </x:c>
      <x:c r="JD105" t="n">
        <x:f>IF('Calculations'!EM105="",0,IF('Dashboard'!$B$7="All",1,IF('Calculations'!HN105='Dashboard'!$B$7,1,0)+IFERROR(INDEX('Calculations'!$JC$13:$JC$512,MATCH('Calculations'!HE105,'Calculations'!$HF$13:$HF$512,0)),0)))</x:f>
        <x:v>0</x:v>
      </x:c>
      <x:c r="JE105" t="n">
        <x:f>IF(AND('Calculations'!EM105&lt;&gt;"",'Calculations'!$JJ$2&lt;&gt;"All",'Calculations'!$JJ$2&lt;&gt;"",'Calculations'!HF105='Calculations'!$JJ$2,'Calculations'!HL105=0,'Calculations'!JD105&gt;0),MAX('Calculations'!$JE$12:JE104)+1,0)</x:f>
        <x:v>0</x:v>
      </x:c>
      <x:c r="JF105" t="str">
        <x:f>IF('Calculations'!EM105="","",IFERROR(IF(INDEX(INDIRECT("'WCM Calibration Final'!$G$1:$G$2000"),'Calculations'!$EM105)="","",TRIM(INDEX(INDIRECT("'WCM Calibration Final'!$G$1:$G$2000"),'Calculations'!$EM105)&amp;"")),""))</x:f>
      </x:c>
      <x:c r="JQ105" t="n">
        <x:f>IF(OR('Calculations'!BM105=0,NOT('Calculations'!$AG$2),'Calculations'!$AG$8&gt;0),0,IF(OR('Dashboard'!$B$7="All",'Calculations'!HN105='Dashboard'!$B$7),IF('Calculations'!$JJ$2="All",1,IF(AND('Calculations'!HF105='Calculations'!$JJ$2,'Calculations'!HL105=0),1,0)),0))</x:f>
        <x:v>0</x:v>
      </x:c>
    </x:row>
    <x:row r="106">
      <x:c r="AF106" s="4"/>
      <x:c r="AG106" s="4"/>
      <x:c r="AH106" s="4"/>
      <x:c r="AI106" s="4"/>
      <x:c r="AJ106" s="4"/>
      <x:c r="AK106" s="4"/>
      <x:c r="AL106" s="4"/>
      <x:c r="AM106" s="4"/>
      <x:c r="AN106" s="4"/>
      <x:c r="AO106" s="4"/>
      <x:c r="AP106" s="4"/>
      <x:c r="AQ106" s="4"/>
      <x:c r="AR106" s="4" t="n">
        <x:f>IFERROR(MATCH((MIN('Dashboard'!$Z$93,MAX(1,ROUNDUP(MAX('Calculations'!$DP$12:$DP$1012)/20,0)))-1)*20+9,'Calculations'!$DP$12:$DP$1012,0),0)</x:f>
        <x:v>0</x:v>
      </x:c>
      <x:c r="AS106" s="4"/>
      <x:c r="AT106" s="4"/>
      <x:c r="AU106" s="4"/>
      <x:c r="AV106" s="4"/>
      <x:c r="AW106" s="4"/>
      <x:c r="AX106" s="4"/>
      <x:c r="AY106" s="4"/>
      <x:c r="AZ106" s="4"/>
      <x:c r="BA106" s="4"/>
      <x:c r="BB106" s="4"/>
      <x:c r="BC106" s="4"/>
      <x:c r="BD106" s="4"/>
      <x:c r="BE106" s="4"/>
      <x:c r="BF106" s="4"/>
      <x:c r="BG106" s="4"/>
      <x:c r="BH106" s="4"/>
      <x:c r="BI106" s="4"/>
      <x:c r="BJ106" s="4"/>
      <x:c r="BK106" s="4"/>
      <x:c r="BL106" s="4"/>
      <x:c r="BM106" s="4" t="n">
        <x:f>IF('Calculations'!$EM106="",0,IF(OR(IFERROR(INDEX(INDIRECT("'WCM Calibration Final'!$A$1:$A$2000"),'Calculations'!$EM106)&lt;&gt;"",FALSE),IFERROR(INDEX(INDIRECT("'WCM Calibration Final'!$B$1:$B$2000"),'Calculations'!$EM106)&lt;&gt;"",FALSE),IFERROR(INDEX(INDIRECT("'WCM Calibration Final'!$C$1:$C$2000"),'Calculations'!$EM106)&lt;&gt;"",FALSE)),1,0))</x:f>
        <x:v>0</x:v>
      </x:c>
      <x:c r="BN106" s="4" t="n">
        <x:f>IF(AND('Calculations'!BM106=1,'Calculations'!$AG$2,'Calculations'!$EN106=1),1,0)</x:f>
        <x:v>0</x:v>
      </x:c>
      <x:c r="BO106" s="4" t="str">
        <x:f>IF('Calculations'!BM106=0,"",IFERROR(IF(AND(VALUE(INDEX(INDIRECT("'WCM Calibration Final'!$K$1:$K$2000"),'Calculations'!$EM106))&gt;=1,VALUE(INDEX(INDIRECT("'WCM Calibration Final'!$K$1:$K$2000"),'Calculations'!$EM106))&lt;=4,MOD(VALUE(INDEX(INDIRECT("'WCM Calibration Final'!$K$1:$K$2000"),'Calculations'!$EM106)),1)=0),VALUE(INDEX(INDIRECT("'WCM Calibration Final'!$K$1:$K$2000"),'Calculations'!$EM106)),""),""))</x:f>
      </x:c>
      <x:c r="BP106" s="4" t="str">
        <x:f>IF('Calculations'!BM106=0,"",IFERROR(IF(AND(VALUE(INDEX(INDIRECT("'WCM Calibration Final'!$L$1:$L$2000"),'Calculations'!$EM106))&gt;=1,VALUE(INDEX(INDIRECT("'WCM Calibration Final'!$L$1:$L$2000"),'Calculations'!$EM106))&lt;=4,MOD(VALUE(INDEX(INDIRECT("'WCM Calibration Final'!$L$1:$L$2000"),'Calculations'!$EM106)),1)=0),VALUE(INDEX(INDIRECT("'WCM Calibration Final'!$L$1:$L$2000"),'Calculations'!$EM106)),""),""))</x:f>
      </x:c>
      <x:c r="BQ106" s="4"/>
      <x:c r="BR106" s="4"/>
      <x:c r="BS106" s="4"/>
      <x:c r="BT106" s="4" t="n">
        <x:f>IF(AND('Calculations'!BM106=1,ISNUMBER('Calculations'!BO106),ISNUMBER('Calculations'!BP106)),1,0)</x:f>
        <x:v>0</x:v>
      </x:c>
      <x:c r="BU106" s="4" t="str">
        <x:f>IF('Calculations'!BM106=0,"",'Calculations'!$EO106)</x:f>
      </x:c>
      <x:c r="BV106" s="4" t="str">
        <x:f>IF('Calculations'!BM106=0,"",IFERROR(IF(OR(INDEX(INDIRECT("'WCM Calibration Final'!$H$1:$H$2000"),'Calculations'!$EM106)="MANAGING DIRECTOR",INDEX(INDIRECT("'WCM Calibration Final'!$H$1:$H$2000"),'Calculations'!$EM106)="DIRECTOR",INDEX(INDIRECT("'WCM Calibration Final'!$H$1:$H$2000"),'Calculations'!$EM106)="SENIOR VICE PRESIDENT",INDEX(INDIRECT("'WCM Calibration Final'!$H$1:$H$2000"),'Calculations'!$EM106)="VICE PRESIDENT",INDEX(INDIRECT("'WCM Calibration Final'!$H$1:$H$2000"),'Calculations'!$EM106)="ASSISTANT VICE PRESIDENT",INDEX(INDIRECT("'WCM Calibration Final'!$H$1:$H$2000"),'Calculations'!$EM106)="OFFICER"),UPPER(INDEX(INDIRECT("'WCM Calibration Final'!$H$1:$H$2000"),'Calculations'!$EM106)),"Other"),"Other"))</x:f>
      </x:c>
      <x:c r="BW106" s="4"/>
      <x:c r="BX106" s="4"/>
      <x:c r="BY106" s="4" t="n">
        <x:f>IF(AND('Calculations'!BM106=1,'Calculations'!BU106&lt;&gt;"",COUNTIF('Calculations'!$BU$12:BU106,'Calculations'!BU106)=1),MAX('Calculations'!$BY$11:BY105)+1,0)</x:f>
        <x:v>0</x:v>
      </x:c>
      <x:c r="BZ106" s="4" t="str">
        <x:f>IF('Dashboard'!$E$67="What",'Calculations'!BO106,'Calculations'!BP106)</x:f>
      </x:c>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t="str">
        <x:f>IF(95&gt;MAX('Calculations'!$HI$13:$HI$512),"",INDEX('Calculations'!$HN$13:$HN$512,MATCH(95,'Calculations'!$HI$13:$HI$512,0)))</x:f>
      </x:c>
      <x:c r="DB106" s="4" t="str">
        <x:f>IF(95&gt;MAX('Calculations'!$HH$13:$HH$512),"",INDEX('Calculations'!$HJ$13:$HJ$512,MATCH(95,'Calculations'!$HH$13:$HH$512,0)))</x:f>
      </x:c>
      <x:c r="DC106" s="4" t="str">
        <x:f>IF(ROW()-11&gt;MAX('Calculations'!$BY$13:$BY$512),"",INDEX('Calculations'!$BU$13:$BU$512,MATCH(ROW()-11,'Calculations'!$BY$13:$BY$512,0)))</x:f>
      </x:c>
      <x:c r="DD106" s="4" t="str">
        <x:f>IF(95&gt;MAX('Calculations'!$IK$13:$IK$512),"",INDEX('Calculations'!$HK$13:$HK$512,MATCH(95,'Calculations'!$IK$13:$IK$512,0)))</x:f>
      </x:c>
      <x:c r="DE106" s="4" t="str">
        <x:f>'Calculations'!DC106</x:f>
      </x:c>
      <x:c r="DF106" s="4" t="str">
        <x:f>IF('Calculations'!DE106="","",COUNTIFS('Calculations'!$BN$13:$BN$512,1,'Calculations'!$BU$13:$BU$512,'Calculations'!DE106))</x:f>
      </x:c>
      <x:c r="DG106" s="4" t="str">
        <x:f>IF('Calculations'!DE106="","",COUNTIFS('Calculations'!$BN$13:$BN$512,1,'Calculations'!$BU$13:$BU$512,'Calculations'!DE106,'Calculations'!$BT$13:$BT$512,1))</x:f>
      </x:c>
      <x:c r="DH106" s="4" t="str">
        <x:f>IF('Calculations'!DE106="","",'Calculations'!DF106-'Calculations'!DG106)</x:f>
      </x:c>
      <x:c r="DI106" s="4" t="str">
        <x:f>IF(OR('Calculations'!DE106="",'Calculations'!DF106=0),"",'Calculations'!DG106/'Calculations'!DF106)</x:f>
      </x:c>
      <x:c r="DJ106" s="4" t="str">
        <x:f>IF('Calculations'!DE106="","",COUNTIFS('Calculations'!$BN$13:$BN$512,1,'Calculations'!$BU$13:$BU$512,'Calculations'!DE106,'Calculations'!$BT$13:$BT$512,1,'Calculations'!$EE$13:$EE$512,"High"))</x:f>
      </x:c>
      <x:c r="DK106" s="4" t="str">
        <x:f>IF('Calculations'!DE106="","",COUNTIFS('Calculations'!$BN$13:$BN$512,1,'Calculations'!$BU$13:$BU$512,'Calculations'!DE106,'Calculations'!$BT$13:$BT$512,1,'Calculations'!$EE$13:$EE$512,"Strong"))</x:f>
      </x:c>
      <x:c r="DL106" s="4" t="str">
        <x:f>IF('Calculations'!DE106="","",COUNTIFS('Calculations'!$BN$13:$BN$512,1,'Calculations'!$BU$13:$BU$512,'Calculations'!DE106,'Calculations'!$BT$13:$BT$512,1,'Calculations'!$EE$13:$EE$512,"Solid"))</x:f>
      </x:c>
      <x:c r="DM106" s="4" t="str">
        <x:f>IF('Calculations'!DE106="","",COUNTIFS('Calculations'!$BN$13:$BN$512,1,'Calculations'!$BU$13:$BU$512,'Calculations'!DE106,'Calculations'!$BT$13:$BT$512,1,'Calculations'!$EE$13:$EE$512,"Low"))</x:f>
      </x:c>
      <x:c r="DN106" s="4" t="str">
        <x:f>IF('Calculations'!DE106="","",COUNTIFS('Calculations'!$BN$13:$BN$512,1,'Calculations'!$BU$13:$BU$512,'Calculations'!DE106,'Calculations'!$EP$13:$EP$512,1))</x:f>
      </x:c>
      <x:c r="DO106" s="4" t="str">
        <x:f>IF(OR('Calculations'!DE106="",'Calculations'!DG106=0),"",('Calculations'!DJ106+'Calculations'!DK106)/'Calculations'!DG106)</x:f>
      </x:c>
      <x:c r="DP106" s="4" t="n">
        <x:f>IF(AND('Calculations'!DE106&lt;&gt;"",'Calculations'!DF106&gt;0),COUNTIF('Calculations'!$DF$12:DF106,"&gt;0"),0)</x:f>
        <x:v>0</x:v>
      </x:c>
      <x:c r="DQ106" s="4" t="str">
        <x:f>IF(95&gt;MAX('Calculations'!$HH$13:$HH$512),"",INDEX('Calculations'!$HF$13:$HF$512,MATCH(95,'Calculations'!$HH$13:$HH$512,0)))</x:f>
      </x:c>
      <x:c r="DR106" s="4" t="str">
        <x:f>IF(95&gt;MAX('Calculations'!$IK$13:$IK$512),"",INDEX('Calculations'!$HE$13:$HE$512,MATCH(95,'Calculations'!$IK$13:$IK$512,0)))</x:f>
      </x:c>
      <x:c r="DS106" s="4"/>
      <x:c r="DT106" s="4"/>
      <x:c r="DU106" s="4"/>
      <x:c r="DV106" s="4"/>
      <x:c r="DW106" s="4"/>
      <x:c r="DX106" s="4"/>
      <x:c r="DY106" s="4"/>
      <x:c r="DZ106" s="4"/>
      <x:c r="EA106" s="4"/>
      <x:c r="EB106" s="4"/>
      <x:c r="EC106" s="4"/>
      <x:c r="ED106" s="4"/>
      <x:c r="EE106" s="4" t="str">
        <x:f>IF('Calculations'!BT106=0,"Not Rated",IF(OR('Calculations'!BO106&gt;=4,'Calculations'!BP106&gt;=4),"Low",IF('Calculations'!BO106+'Calculations'!BP106&lt;=3,"High",IF('Calculations'!BO106+'Calculations'!BP106&lt;=4,"Strong","Solid"))))</x:f>
        <x:v>Not Rated</x:v>
      </x:c>
      <x:c r="EF106" s="4"/>
      <x:c r="EG106" s="4"/>
      <x:c r="EH106" s="4"/>
      <x:c r="EI106" s="4"/>
      <x:c r="EJ106" s="4"/>
      <x:c r="EK106" s="4"/>
      <x:c r="EL106" s="4"/>
      <x:c r="EM106" s="4" t="str">
        <x:f>IF(94&gt;'Calculations'!$JB$2000,"",INDEX('Calculations'!$JA$12:$JA$2000,MATCH(94,'Calculations'!$JB$12:$JB$2000,0)))</x:f>
      </x:c>
      <x:c r="EN106" s="4" t="n">
        <x:f>IF(OR('Calculations'!EM106="",'Calculations'!$AG$8&gt;0,AND('Calculations'!$EF$2&lt;&gt;"All",'Calculations'!HE106='Calculations'!$EF$2),AND('Calculations'!$EF$3&lt;&gt;"All",'Calculations'!HE106='Calculations'!$EF$3)),0,IF(OR('Dashboard'!$B$7="All",'Calculations'!HN106='Dashboard'!$B$7),IF('Calculations'!$EF$2="All",1,IF('Calculations'!HL106&gt;0,0,IF(COUNTIF('Calculations'!HO106:II106,"="&amp;SUBSTITUTE(SUBSTITUTE(SUBSTITUTE('Calculations'!$EF$2,"~","~~"),"*","~*"),"?","~?"))=0,0,IF('Calculations'!$EF$3="All",1,IF(COUNTIF('Calculations'!HO106:II106,"="&amp;SUBSTITUTE(SUBSTITUTE(SUBSTITUTE('Calculations'!$EF$3,"~","~~"),"*","~*"),"?","~?"))&gt;0,1,0))))),0))</x:f>
        <x:v>0</x:v>
      </x:c>
      <x:c r="EO106" s="4" t="str">
        <x:f>IF('Calculations'!IJ106="","",IF('Calculations'!IJ106="!UNRESOLVED","Unresolved hierarchy",IFERROR(INDEX('Calculations'!$HK$13:$HK$512,MATCH('Calculations'!IJ106,'Calculations'!$HE$13:$HE$512,0)),IFERROR(INDEX('Calculations'!$HJ$13:$HJ$512,MATCH('Calculations'!IJ106,'Calculations'!$HF$13:$HF$512,0)),'Calculations'!IJ106))))</x:f>
      </x:c>
      <x:c r="EP106" s="4" t="n">
        <x:f>IF(AND('Calculations'!EM106&lt;&gt;"",'Calculations'!HF106='Calculations'!IJ106),1,0)</x:f>
        <x:v>0</x:v>
      </x:c>
      <x:c r="EQ106" s="4"/>
      <x:c r="ER106" s="4"/>
      <x:c r="ES106" s="4"/>
      <x:c r="ET106" s="4"/>
      <x:c r="EU106" s="4"/>
      <x:c r="EV106" s="4"/>
      <x:c r="EW106" s="4"/>
      <x:c r="EX106" s="4"/>
      <x:c r="EY106" s="4"/>
      <x:c r="EZ106" s="4"/>
      <x:c r="FA106" s="4"/>
      <x:c r="FB106" s="4"/>
      <x:c r="FC106" s="4"/>
      <x:c r="FD106" s="4"/>
      <x:c r="FE106" s="4"/>
      <x:c r="FF106" s="4"/>
      <x:c r="FG106" s="4"/>
      <x:c r="FH106" s="4"/>
      <x:c r="FI106" s="4"/>
      <x:c r="FJ106" s="4"/>
      <x:c r="FK106" s="4"/>
      <x:c r="FL106" s="4"/>
      <x:c r="FM106" s="4"/>
      <x:c r="FN106" s="4"/>
      <x:c r="FO106" s="4"/>
      <x:c r="GA106" s="71"/>
      <x:c r="GB106" s="71" t="str">
        <x:f>IF('Calculations'!$AR106=0,"",INDEX('Calculations'!$DE$12:$DE$1012,'Calculations'!$AR106))</x:f>
      </x:c>
      <x:c r="GC106" s="71"/>
      <x:c r="GD106" s="71"/>
      <x:c r="GE106" s="71"/>
      <x:c r="GF106" s="71"/>
      <x:c r="GG106" s="71"/>
      <x:c r="GH106" s="71"/>
      <x:c r="GI106" s="71" t="str">
        <x:f>IF('Calculations'!$AR106=0,"",INDEX('Calculations'!$DF$12:$DF$1012,'Calculations'!$AR106))</x:f>
      </x:c>
      <x:c r="GJ106" s="71"/>
      <x:c r="GK106" s="71" t="str">
        <x:f>IF('Calculations'!$AR106=0,"",INDEX('Calculations'!$DG$12:$DG$1012,'Calculations'!$AR106))</x:f>
      </x:c>
      <x:c r="GL106" s="71"/>
      <x:c r="GM106" s="71" t="str">
        <x:f>IF('Calculations'!$AR106=0,"",INDEX('Calculations'!$DH$12:$DH$1012,'Calculations'!$AR106))</x:f>
      </x:c>
      <x:c r="GN106" s="71"/>
      <x:c r="GO106" s="71" t="str">
        <x:f>IF('Calculations'!$AR106=0,"",INDEX('Calculations'!$DI$12:$DI$1012,'Calculations'!$AR106))</x:f>
      </x:c>
      <x:c r="GP106" s="71"/>
      <x:c r="GQ106" s="71" t="str">
        <x:f>IF('Calculations'!$AR106=0,"",INDEX('Calculations'!$DJ$12:$DJ$1012,'Calculations'!$AR106)&amp;" · "&amp;IF(INDEX('Calculations'!$DG$12:$DG$1012,'Calculations'!$AR106)=0,"n.a.",TEXT(INDEX('Calculations'!$DJ$12:$DJ$1012,'Calculations'!$AR106)/INDEX('Calculations'!$DG$12:$DG$1012,'Calculations'!$AR106),"0.0%")))</x:f>
      </x:c>
      <x:c r="GR106" s="71"/>
      <x:c r="GS106" s="71" t="str">
        <x:f>IF('Calculations'!$AR106=0,"",INDEX('Calculations'!$DK$12:$DK$1012,'Calculations'!$AR106)&amp;" · "&amp;IF(INDEX('Calculations'!$DG$12:$DG$1012,'Calculations'!$AR106)=0,"n.a.",TEXT(INDEX('Calculations'!$DK$12:$DK$1012,'Calculations'!$AR106)/INDEX('Calculations'!$DG$12:$DG$1012,'Calculations'!$AR106),"0.0%")))</x:f>
      </x:c>
      <x:c r="GT106" s="71"/>
      <x:c r="GU106" s="71" t="str">
        <x:f>IF('Calculations'!$AR106=0,"",INDEX('Calculations'!$DL$12:$DL$1012,'Calculations'!$AR106)&amp;" · "&amp;IF(INDEX('Calculations'!$DG$12:$DG$1012,'Calculations'!$AR106)=0,"n.a.",TEXT(INDEX('Calculations'!$DL$12:$DL$1012,'Calculations'!$AR106)/INDEX('Calculations'!$DG$12:$DG$1012,'Calculations'!$AR106),"0.0%")))</x:f>
      </x:c>
      <x:c r="GV106" s="71"/>
      <x:c r="GW106" s="71" t="str">
        <x:f>IF('Calculations'!$AR106=0,"",INDEX('Calculations'!$DM$12:$DM$1012,'Calculations'!$AR106)&amp;" · "&amp;IF(INDEX('Calculations'!$DG$12:$DG$1012,'Calculations'!$AR106)=0,"n.a.",TEXT(INDEX('Calculations'!$DM$12:$DM$1012,'Calculations'!$AR106)/INDEX('Calculations'!$DG$12:$DG$1012,'Calculations'!$AR106),"0.0%")))</x:f>
      </x:c>
      <x:c r="GX106" s="71"/>
      <x:c r="GY106" s="71" t="str">
        <x:f>IF('Calculations'!$AR106=0,"",INDEX('Calculations'!$DN$12:$DN$1012,'Calculations'!$AR106))</x:f>
      </x:c>
      <x:c r="GZ106" s="71"/>
      <x:c r="HA106" s="71" t="str">
        <x:f>IF('Calculations'!$AR106=0,"",INDEX('Calculations'!$DO$12:$DO$1012,'Calculations'!$AR106))</x:f>
      </x:c>
      <x:c r="HB106" s="71"/>
      <x:c r="HC106" s="71"/>
      <x:c r="HD106" s="71"/>
      <x:c r="HE106" t="str">
        <x:f>IF('Calculations'!EM106="","",IF(IFERROR(IF(INDEX(INDIRECT("'WCM Calibration Final'!$A$1:$A$2000"),'Calculations'!$EM106)="","",TRIM(INDEX(INDIRECT("'WCM Calibration Final'!$A$1:$A$2000"),'Calculations'!$EM106)&amp;"")),"")&lt;&gt;"","G:"&amp;IFERROR(TEXT(1*INDEX(INDIRECT("'WCM Calibration Final'!$A$1:$A$2000"),'Calculations'!$EM106),"0"),UPPER(IFERROR(IF(INDEX(INDIRECT("'WCM Calibration Final'!$A$1:$A$2000"),'Calculations'!$EM106)="","",TRIM(INDEX(INDIRECT("'WCM Calibration Final'!$A$1:$A$2000"),'Calculations'!$EM106)&amp;"")),""))),IF(IFERROR(IF(INDEX(INDIRECT("'WCM Calibration Final'!$C$1:$C$2000"),'Calculations'!$EM106)="","",TRIM(INDEX(INDIRECT("'WCM Calibration Final'!$C$1:$C$2000"),'Calculations'!$EM106)&amp;"")),"")&lt;&gt;"","S:"&amp;UPPER(IFERROR(IF(INDEX(INDIRECT("'WCM Calibration Final'!$C$1:$C$2000"),'Calculations'!$EM106)="","",TRIM(INDEX(INDIRECT("'WCM Calibration Final'!$C$1:$C$2000"),'Calculations'!$EM106)&amp;"")),"")),"R:"&amp;'Calculations'!EM106)))</x:f>
      </x:c>
      <x:c r="HF106" t="str">
        <x:f>IF('Calculations'!EM106="","",IF(IFERROR(IF(INDEX(INDIRECT("'WCM Calibration Final'!$D$1:$D$2000"),'Calculations'!$EM106)="","",TRIM(INDEX(INDIRECT("'WCM Calibration Final'!$D$1:$D$2000"),'Calculations'!$EM106)&amp;"")),"")&lt;&gt;"","G:"&amp;IFERROR(TEXT(1*INDEX(INDIRECT("'WCM Calibration Final'!$D$1:$D$2000"),'Calculations'!$EM106),"0"),UPPER(IFERROR(IF(INDEX(INDIRECT("'WCM Calibration Final'!$D$1:$D$2000"),'Calculations'!$EM106)="","",TRIM(INDEX(INDIRECT("'WCM Calibration Final'!$D$1:$D$2000"),'Calculations'!$EM106)&amp;"")),""))),IF(IFERROR(IF(INDEX(INDIRECT("'WCM Calibration Final'!$E$1:$E$2000"),'Calculations'!$EM106)="","",TRIM(INDEX(INDIRECT("'WCM Calibration Final'!$E$1:$E$2000"),'Calculations'!$EM106)&amp;"")),"")="","",IF(COUNTIF('Calculations'!$HG$13:$HG$512,"="&amp;SUBSTITUTE(SUBSTITUTE(SUBSTITUTE(IFERROR(IF(INDEX(INDIRECT("'WCM Calibration Final'!$E$1:$E$2000"),'Calculations'!$EM106)="","",TRIM(INDEX(INDIRECT("'WCM Calibration Final'!$E$1:$E$2000"),'Calculations'!$EM106)&amp;"")),""),"~","~~"),"*","~*"),"?","~?"))=1,INDEX('Calculations'!$HE$13:$HE$512,MATCH(IFERROR(IF(INDEX(INDIRECT("'WCM Calibration Final'!$E$1:$E$2000"),'Calculations'!$EM106)="","",TRIM(INDEX(INDIRECT("'WCM Calibration Final'!$E$1:$E$2000"),'Calculations'!$EM106)&amp;"")),""),'Calculations'!$HG$13:$HG$512,0)),IF(COUNTIF('Calculations'!$HG$13:$HG$512,"="&amp;SUBSTITUTE(SUBSTITUTE(SUBSTITUTE(IFERROR(IF(INDEX(INDIRECT("'WCM Calibration Final'!$E$1:$E$2000"),'Calculations'!$EM106)="","",TRIM(INDEX(INDIRECT("'WCM Calibration Final'!$E$1:$E$2000"),'Calculations'!$EM106)&amp;"")),""),"~","~~"),"*","~*"),"?","~?"))&gt;1,"!AMBIG","X:"&amp;IFERROR(IF(INDEX(INDIRECT("'WCM Calibration Final'!$E$1:$E$2000"),'Calculations'!$EM106)="","",TRIM(INDEX(INDIRECT("'WCM Calibration Final'!$E$1:$E$2000"),'Calculations'!$EM106)&amp;"")),""))))))</x:f>
      </x:c>
      <x:c r="HG106" t="str">
        <x:f>IF('Calculations'!EM106="","",IFERROR(IF(INDEX(INDIRECT("'WCM Calibration Final'!$B$1:$B$2000"),'Calculations'!$EM106)="","",TRIM(INDEX(INDIRECT("'WCM Calibration Final'!$B$1:$B$2000"),'Calculations'!$EM106)&amp;"")),""))</x:f>
      </x:c>
      <x:c r="HH106" t="n">
        <x:f>IF(AND('Calculations'!JC106&gt;0,COUNTIF('Calculations'!$HF$12:HF106,"="&amp;SUBSTITUTE(SUBSTITUTE(SUBSTITUTE('Calculations'!HF106,"~","~~"),"*","~*"),"?","~?"))=1),MAX('Calculations'!$HH$12:HH105)+1,0)</x:f>
        <x:v>0</x:v>
      </x:c>
      <x:c r="HI106" t="n">
        <x:f>IF(AND('Calculations'!HN106&lt;&gt;"",COUNTIF('Calculations'!$HN$12:HN106,"="&amp;SUBSTITUTE(SUBSTITUTE(SUBSTITUTE('Calculations'!HN106,"~","~~"),"*","~*"),"?","~?"))=1),MAX('Calculations'!$HI$12:HI105)+1,0)</x:f>
        <x:v>0</x:v>
      </x:c>
      <x:c r="HJ106" t="str">
        <x:f>IF('Calculations'!HF106="","",IF(COUNTIF('Calculations'!$HE$13:$HE$512,"="&amp;SUBSTITUTE(SUBSTITUTE(SUBSTITUTE('Calculations'!HF106,"~","~~"),"*","~*"),"?","~?"))=1,INDEX('Calculations'!$HK$13:$HK$512,MATCH('Calculations'!HF106,'Calculations'!$HE$13:$HE$512,0)),IFERROR(IF(INDEX(INDIRECT("'WCM Calibration Final'!$E$1:$E$2000"),'Calculations'!$EM106)="","",TRIM(INDEX(INDIRECT("'WCM Calibration Final'!$E$1:$E$2000"),'Calculations'!$EM106)&amp;"")),"")&amp;" ["&amp;'Calculations'!HF106&amp;"]"))</x:f>
      </x:c>
      <x:c r="HK106" t="str">
        <x:f>IF('Calculations'!EM106="","",'Calculations'!HG106&amp;" ["&amp;'Calculations'!HE106&amp;"]")</x:f>
      </x:c>
      <x:c r="HL106" t="n">
        <x:f>IF('Calculations'!EM106="",0,IF(OR('Calculations'!II106&lt;&gt;"",COUNTIF('Calculations'!$HE$13:$HE$512,"="&amp;SUBSTITUTE(SUBSTITUTE(SUBSTITUTE('Calculations'!HE106,"~","~~"),"*","~*"),"?","~?"))&gt;1),1,0))</x:f>
        <x:v>0</x:v>
      </x:c>
      <x:c r="HM106" t="str">
        <x:f>IF('Calculations'!EM106="","",IF('Calculations'!HL106=1,"!UNRESOLVED",IF('Calculations'!IH106&lt;&gt;"",'Calculations'!IH106,IF('Calculations'!IG106&lt;&gt;"",'Calculations'!IG106,IF('Calculations'!IF106&lt;&gt;"",'Calculations'!IF106,IF('Calculations'!IE106&lt;&gt;"",'Calculations'!IE106,IF('Calculations'!ID106&lt;&gt;"",'Calculations'!ID106,IF('Calculations'!IC106&lt;&gt;"",'Calculations'!IC106,IF('Calculations'!IB106&lt;&gt;"",'Calculations'!IB106,IF('Calculations'!IA106&lt;&gt;"",'Calculations'!IA106,IF('Calculations'!HZ106&lt;&gt;"",'Calculations'!HZ106,IF('Calculations'!HY106&lt;&gt;"",'Calculations'!HY106,IF('Calculations'!HX106&lt;&gt;"",'Calculations'!HX106,IF('Calculations'!HW106&lt;&gt;"",'Calculations'!HW106,IF('Calculations'!HV106&lt;&gt;"",'Calculations'!HV106,IF('Calculations'!HU106&lt;&gt;"",'Calculations'!HU106,IF('Calculations'!HT106&lt;&gt;"",'Calculations'!HT106,IF('Calculations'!HS106&lt;&gt;"",'Calculations'!HS106,IF('Calculations'!HR106&lt;&gt;"",'Calculations'!HR106,IF('Calculations'!HQ106&lt;&gt;"",'Calculations'!HQ106,IF('Calculations'!HP106&lt;&gt;"",'Calculations'!HP106,IF('Calculations'!HO106&lt;&gt;"",'Calculations'!HO106,'Calculations'!HE106))))))))))))))))))))))</x:f>
      </x:c>
      <x:c r="HN106" t="str">
        <x:f>IF('Calculations'!EM106="","",IF(IFERROR(IF(INDEX(INDIRECT("'WCM Calibration Final'!$F$1:$F$2000"),'Calculations'!$EM106)="","",TRIM(INDEX(INDIRECT("'WCM Calibration Final'!$F$1:$F$2000"),'Calculations'!$EM106)&amp;"")),"")="","(Blank)",IFERROR(IF(INDEX(INDIRECT("'WCM Calibration Final'!$F$1:$F$2000"),'Calculations'!$EM106)="","",TRIM(INDEX(INDIRECT("'WCM Calibration Final'!$F$1:$F$2000"),'Calculations'!$EM106)&amp;"")),"")))</x:f>
      </x:c>
      <x:c r="HO106" t="str">
        <x:f>'Calculations'!HF106</x:f>
      </x:c>
      <x:c r="HP106" t="str">
        <x:f>IF('Calculations'!HO106="","",IF('Calculations'!HO106="!AMBIG","!AMBIG",IF(COUNTIF('Calculations'!$HE$13:$HE$512,"="&amp;SUBSTITUTE(SUBSTITUTE(SUBSTITUTE('Calculations'!HO106,"~","~~"),"*","~*"),"?","~?"))&gt;1,"!AMBIG",IFERROR(INDEX('Calculations'!$HF$13:$HF$512,MATCH('Calculations'!HO106,'Calculations'!$HE$13:$HE$512,0)),""))))</x:f>
      </x:c>
      <x:c r="HQ106" t="str">
        <x:f>IF('Calculations'!HP106="","",IF('Calculations'!HP106="!AMBIG","!AMBIG",IF(COUNTIF('Calculations'!$HE$13:$HE$512,"="&amp;SUBSTITUTE(SUBSTITUTE(SUBSTITUTE('Calculations'!HP106,"~","~~"),"*","~*"),"?","~?"))&gt;1,"!AMBIG",IFERROR(INDEX('Calculations'!$HF$13:$HF$512,MATCH('Calculations'!HP106,'Calculations'!$HE$13:$HE$512,0)),""))))</x:f>
      </x:c>
      <x:c r="HR106" t="str">
        <x:f>IF('Calculations'!HQ106="","",IF('Calculations'!HQ106="!AMBIG","!AMBIG",IF(COUNTIF('Calculations'!$HE$13:$HE$512,"="&amp;SUBSTITUTE(SUBSTITUTE(SUBSTITUTE('Calculations'!HQ106,"~","~~"),"*","~*"),"?","~?"))&gt;1,"!AMBIG",IFERROR(INDEX('Calculations'!$HF$13:$HF$512,MATCH('Calculations'!HQ106,'Calculations'!$HE$13:$HE$512,0)),""))))</x:f>
      </x:c>
      <x:c r="HS106" t="str">
        <x:f>IF('Calculations'!HR106="","",IF('Calculations'!HR106="!AMBIG","!AMBIG",IF(COUNTIF('Calculations'!$HE$13:$HE$512,"="&amp;SUBSTITUTE(SUBSTITUTE(SUBSTITUTE('Calculations'!HR106,"~","~~"),"*","~*"),"?","~?"))&gt;1,"!AMBIG",IFERROR(INDEX('Calculations'!$HF$13:$HF$512,MATCH('Calculations'!HR106,'Calculations'!$HE$13:$HE$512,0)),""))))</x:f>
      </x:c>
      <x:c r="HT106" t="str">
        <x:f>IF('Calculations'!HS106="","",IF('Calculations'!HS106="!AMBIG","!AMBIG",IF(COUNTIF('Calculations'!$HE$13:$HE$512,"="&amp;SUBSTITUTE(SUBSTITUTE(SUBSTITUTE('Calculations'!HS106,"~","~~"),"*","~*"),"?","~?"))&gt;1,"!AMBIG",IFERROR(INDEX('Calculations'!$HF$13:$HF$512,MATCH('Calculations'!HS106,'Calculations'!$HE$13:$HE$512,0)),""))))</x:f>
      </x:c>
      <x:c r="HU106" t="str">
        <x:f>IF('Calculations'!HT106="","",IF('Calculations'!HT106="!AMBIG","!AMBIG",IF(COUNTIF('Calculations'!$HE$13:$HE$512,"="&amp;SUBSTITUTE(SUBSTITUTE(SUBSTITUTE('Calculations'!HT106,"~","~~"),"*","~*"),"?","~?"))&gt;1,"!AMBIG",IFERROR(INDEX('Calculations'!$HF$13:$HF$512,MATCH('Calculations'!HT106,'Calculations'!$HE$13:$HE$512,0)),""))))</x:f>
      </x:c>
      <x:c r="HV106" t="str">
        <x:f>IF('Calculations'!HU106="","",IF('Calculations'!HU106="!AMBIG","!AMBIG",IF(COUNTIF('Calculations'!$HE$13:$HE$512,"="&amp;SUBSTITUTE(SUBSTITUTE(SUBSTITUTE('Calculations'!HU106,"~","~~"),"*","~*"),"?","~?"))&gt;1,"!AMBIG",IFERROR(INDEX('Calculations'!$HF$13:$HF$512,MATCH('Calculations'!HU106,'Calculations'!$HE$13:$HE$512,0)),""))))</x:f>
      </x:c>
      <x:c r="HW106" t="str">
        <x:f>IF('Calculations'!HV106="","",IF('Calculations'!HV106="!AMBIG","!AMBIG",IF(COUNTIF('Calculations'!$HE$13:$HE$512,"="&amp;SUBSTITUTE(SUBSTITUTE(SUBSTITUTE('Calculations'!HV106,"~","~~"),"*","~*"),"?","~?"))&gt;1,"!AMBIG",IFERROR(INDEX('Calculations'!$HF$13:$HF$512,MATCH('Calculations'!HV106,'Calculations'!$HE$13:$HE$512,0)),""))))</x:f>
      </x:c>
      <x:c r="HX106" t="str">
        <x:f>IF('Calculations'!HW106="","",IF('Calculations'!HW106="!AMBIG","!AMBIG",IF(COUNTIF('Calculations'!$HE$13:$HE$512,"="&amp;SUBSTITUTE(SUBSTITUTE(SUBSTITUTE('Calculations'!HW106,"~","~~"),"*","~*"),"?","~?"))&gt;1,"!AMBIG",IFERROR(INDEX('Calculations'!$HF$13:$HF$512,MATCH('Calculations'!HW106,'Calculations'!$HE$13:$HE$512,0)),""))))</x:f>
      </x:c>
      <x:c r="HY106" t="str">
        <x:f>IF('Calculations'!HX106="","",IF('Calculations'!HX106="!AMBIG","!AMBIG",IF(COUNTIF('Calculations'!$HE$13:$HE$512,"="&amp;SUBSTITUTE(SUBSTITUTE(SUBSTITUTE('Calculations'!HX106,"~","~~"),"*","~*"),"?","~?"))&gt;1,"!AMBIG",IFERROR(INDEX('Calculations'!$HF$13:$HF$512,MATCH('Calculations'!HX106,'Calculations'!$HE$13:$HE$512,0)),""))))</x:f>
      </x:c>
      <x:c r="HZ106" t="str">
        <x:f>IF('Calculations'!HY106="","",IF('Calculations'!HY106="!AMBIG","!AMBIG",IF(COUNTIF('Calculations'!$HE$13:$HE$512,"="&amp;SUBSTITUTE(SUBSTITUTE(SUBSTITUTE('Calculations'!HY106,"~","~~"),"*","~*"),"?","~?"))&gt;1,"!AMBIG",IFERROR(INDEX('Calculations'!$HF$13:$HF$512,MATCH('Calculations'!HY106,'Calculations'!$HE$13:$HE$512,0)),""))))</x:f>
      </x:c>
      <x:c r="IA106" t="str">
        <x:f>IF('Calculations'!HZ106="","",IF('Calculations'!HZ106="!AMBIG","!AMBIG",IF(COUNTIF('Calculations'!$HE$13:$HE$512,"="&amp;SUBSTITUTE(SUBSTITUTE(SUBSTITUTE('Calculations'!HZ106,"~","~~"),"*","~*"),"?","~?"))&gt;1,"!AMBIG",IFERROR(INDEX('Calculations'!$HF$13:$HF$512,MATCH('Calculations'!HZ106,'Calculations'!$HE$13:$HE$512,0)),""))))</x:f>
      </x:c>
      <x:c r="IB106" t="str">
        <x:f>IF('Calculations'!IA106="","",IF('Calculations'!IA106="!AMBIG","!AMBIG",IF(COUNTIF('Calculations'!$HE$13:$HE$512,"="&amp;SUBSTITUTE(SUBSTITUTE(SUBSTITUTE('Calculations'!IA106,"~","~~"),"*","~*"),"?","~?"))&gt;1,"!AMBIG",IFERROR(INDEX('Calculations'!$HF$13:$HF$512,MATCH('Calculations'!IA106,'Calculations'!$HE$13:$HE$512,0)),""))))</x:f>
      </x:c>
      <x:c r="IC106" t="str">
        <x:f>IF('Calculations'!IB106="","",IF('Calculations'!IB106="!AMBIG","!AMBIG",IF(COUNTIF('Calculations'!$HE$13:$HE$512,"="&amp;SUBSTITUTE(SUBSTITUTE(SUBSTITUTE('Calculations'!IB106,"~","~~"),"*","~*"),"?","~?"))&gt;1,"!AMBIG",IFERROR(INDEX('Calculations'!$HF$13:$HF$512,MATCH('Calculations'!IB106,'Calculations'!$HE$13:$HE$512,0)),""))))</x:f>
      </x:c>
      <x:c r="ID106" t="str">
        <x:f>IF('Calculations'!IC106="","",IF('Calculations'!IC106="!AMBIG","!AMBIG",IF(COUNTIF('Calculations'!$HE$13:$HE$512,"="&amp;SUBSTITUTE(SUBSTITUTE(SUBSTITUTE('Calculations'!IC106,"~","~~"),"*","~*"),"?","~?"))&gt;1,"!AMBIG",IFERROR(INDEX('Calculations'!$HF$13:$HF$512,MATCH('Calculations'!IC106,'Calculations'!$HE$13:$HE$512,0)),""))))</x:f>
      </x:c>
      <x:c r="IE106" t="str">
        <x:f>IF('Calculations'!ID106="","",IF('Calculations'!ID106="!AMBIG","!AMBIG",IF(COUNTIF('Calculations'!$HE$13:$HE$512,"="&amp;SUBSTITUTE(SUBSTITUTE(SUBSTITUTE('Calculations'!ID106,"~","~~"),"*","~*"),"?","~?"))&gt;1,"!AMBIG",IFERROR(INDEX('Calculations'!$HF$13:$HF$512,MATCH('Calculations'!ID106,'Calculations'!$HE$13:$HE$512,0)),""))))</x:f>
      </x:c>
      <x:c r="IF106" t="str">
        <x:f>IF('Calculations'!IE106="","",IF('Calculations'!IE106="!AMBIG","!AMBIG",IF(COUNTIF('Calculations'!$HE$13:$HE$512,"="&amp;SUBSTITUTE(SUBSTITUTE(SUBSTITUTE('Calculations'!IE106,"~","~~"),"*","~*"),"?","~?"))&gt;1,"!AMBIG",IFERROR(INDEX('Calculations'!$HF$13:$HF$512,MATCH('Calculations'!IE106,'Calculations'!$HE$13:$HE$512,0)),""))))</x:f>
      </x:c>
      <x:c r="IG106" t="str">
        <x:f>IF('Calculations'!IF106="","",IF('Calculations'!IF106="!AMBIG","!AMBIG",IF(COUNTIF('Calculations'!$HE$13:$HE$512,"="&amp;SUBSTITUTE(SUBSTITUTE(SUBSTITUTE('Calculations'!IF106,"~","~~"),"*","~*"),"?","~?"))&gt;1,"!AMBIG",IFERROR(INDEX('Calculations'!$HF$13:$HF$512,MATCH('Calculations'!IF106,'Calculations'!$HE$13:$HE$512,0)),""))))</x:f>
      </x:c>
      <x:c r="IH106" t="str">
        <x:f>IF('Calculations'!IG106="","",IF('Calculations'!IG106="!AMBIG","!AMBIG",IF(COUNTIF('Calculations'!$HE$13:$HE$512,"="&amp;SUBSTITUTE(SUBSTITUTE(SUBSTITUTE('Calculations'!IG106,"~","~~"),"*","~*"),"?","~?"))&gt;1,"!AMBIG",IFERROR(INDEX('Calculations'!$HF$13:$HF$512,MATCH('Calculations'!IG106,'Calculations'!$HE$13:$HE$512,0)),""))))</x:f>
      </x:c>
      <x:c r="II106" t="str">
        <x:f>IF('Calculations'!IH106="","",IF('Calculations'!IH106="!AMBIG","!AMBIG",IF(COUNTIF('Calculations'!$HE$13:$HE$512,"="&amp;SUBSTITUTE(SUBSTITUTE(SUBSTITUTE('Calculations'!IH106,"~","~~"),"*","~*"),"?","~?"))&gt;1,"!AMBIG",IFERROR(INDEX('Calculations'!$HF$13:$HF$512,MATCH('Calculations'!IH106,'Calculations'!$HE$13:$HE$512,0)),""))))</x:f>
      </x:c>
      <x:c r="IJ106" t="str">
        <x:f>IF('Calculations'!EM106="","",IF('Calculations'!$EF$2="All",'Calculations'!HM106,IF('Calculations'!HL106=1,"",IFERROR(IF(MATCH('Calculations'!$EF$2,'Calculations'!HO106:II106,0)=1,'Calculations'!HE106,INDEX('Calculations'!HO106:II106,1,MATCH('Calculations'!$EF$2,'Calculations'!HO106:II106,0)-1)),""))))</x:f>
      </x:c>
      <x:c r="IK106" t="n">
        <x:f>IF(AND('Calculations'!EM106&lt;&gt;"",'Calculations'!$EF$2&lt;&gt;"All",'Calculations'!HF106='Calculations'!$EF$2,'Calculations'!HL106=0,'Calculations'!JD106&gt;0),MAX('Calculations'!$IK$12:IK105)+1,0)</x:f>
        <x:v>0</x:v>
      </x:c>
      <x:c r="JA106" t="n">
        <x:f>IF(OR(IFERROR(INDIRECT("'WCM Calibration Final'!$A$106")&lt;&gt;"",FALSE),IFERROR(INDIRECT("'WCM Calibration Final'!$B$106")&lt;&gt;"",FALSE),IFERROR(INDIRECT("'WCM Calibration Final'!$C$106")&lt;&gt;"",FALSE)),106,0)</x:f>
        <x:v>0</x:v>
      </x:c>
      <x:c r="JB106" t="n">
        <x:f>'Calculations'!JB105+IF('Calculations'!JA106&gt;0,1,0)</x:f>
        <x:v>0</x:v>
      </x:c>
      <x:c r="JC106" t="n">
        <x:f>IF(OR('Calculations'!HF106="",'Calculations'!HF106="!AMBIG"),0,IF('Dashboard'!$B$7="All",1,COUNTIFS('Calculations'!$HO$13:$HO$512,"="&amp;SUBSTITUTE(SUBSTITUTE(SUBSTITUTE('Calculations'!HF106,"~","~~"),"*","~*"),"?","~?"),'Calculations'!$HN$13:$HN$512,"="&amp;SUBSTITUTE(SUBSTITUTE(SUBSTITUTE('Dashboard'!$B$7,"~","~~"),"*","~*"),"?","~?"))+COUNTIFS('Calculations'!$HP$13:$HP$512,"="&amp;SUBSTITUTE(SUBSTITUTE(SUBSTITUTE('Calculations'!HF106,"~","~~"),"*","~*"),"?","~?"),'Calculations'!$HN$13:$HN$512,"="&amp;SUBSTITUTE(SUBSTITUTE(SUBSTITUTE('Dashboard'!$B$7,"~","~~"),"*","~*"),"?","~?"))+COUNTIFS('Calculations'!$HQ$13:$HQ$512,"="&amp;SUBSTITUTE(SUBSTITUTE(SUBSTITUTE('Calculations'!HF106,"~","~~"),"*","~*"),"?","~?"),'Calculations'!$HN$13:$HN$512,"="&amp;SUBSTITUTE(SUBSTITUTE(SUBSTITUTE('Dashboard'!$B$7,"~","~~"),"*","~*"),"?","~?"))+COUNTIFS('Calculations'!$HR$13:$HR$512,"="&amp;SUBSTITUTE(SUBSTITUTE(SUBSTITUTE('Calculations'!HF106,"~","~~"),"*","~*"),"?","~?"),'Calculations'!$HN$13:$HN$512,"="&amp;SUBSTITUTE(SUBSTITUTE(SUBSTITUTE('Dashboard'!$B$7,"~","~~"),"*","~*"),"?","~?"))+COUNTIFS('Calculations'!$HS$13:$HS$512,"="&amp;SUBSTITUTE(SUBSTITUTE(SUBSTITUTE('Calculations'!HF106,"~","~~"),"*","~*"),"?","~?"),'Calculations'!$HN$13:$HN$512,"="&amp;SUBSTITUTE(SUBSTITUTE(SUBSTITUTE('Dashboard'!$B$7,"~","~~"),"*","~*"),"?","~?"))+COUNTIFS('Calculations'!$HT$13:$HT$512,"="&amp;SUBSTITUTE(SUBSTITUTE(SUBSTITUTE('Calculations'!HF106,"~","~~"),"*","~*"),"?","~?"),'Calculations'!$HN$13:$HN$512,"="&amp;SUBSTITUTE(SUBSTITUTE(SUBSTITUTE('Dashboard'!$B$7,"~","~~"),"*","~*"),"?","~?"))+COUNTIFS('Calculations'!$HU$13:$HU$512,"="&amp;SUBSTITUTE(SUBSTITUTE(SUBSTITUTE('Calculations'!HF106,"~","~~"),"*","~*"),"?","~?"),'Calculations'!$HN$13:$HN$512,"="&amp;SUBSTITUTE(SUBSTITUTE(SUBSTITUTE('Dashboard'!$B$7,"~","~~"),"*","~*"),"?","~?"))+COUNTIFS('Calculations'!$HV$13:$HV$512,"="&amp;SUBSTITUTE(SUBSTITUTE(SUBSTITUTE('Calculations'!HF106,"~","~~"),"*","~*"),"?","~?"),'Calculations'!$HN$13:$HN$512,"="&amp;SUBSTITUTE(SUBSTITUTE(SUBSTITUTE('Dashboard'!$B$7,"~","~~"),"*","~*"),"?","~?"))+COUNTIFS('Calculations'!$HW$13:$HW$512,"="&amp;SUBSTITUTE(SUBSTITUTE(SUBSTITUTE('Calculations'!HF106,"~","~~"),"*","~*"),"?","~?"),'Calculations'!$HN$13:$HN$512,"="&amp;SUBSTITUTE(SUBSTITUTE(SUBSTITUTE('Dashboard'!$B$7,"~","~~"),"*","~*"),"?","~?"))+COUNTIFS('Calculations'!$HX$13:$HX$512,"="&amp;SUBSTITUTE(SUBSTITUTE(SUBSTITUTE('Calculations'!HF106,"~","~~"),"*","~*"),"?","~?"),'Calculations'!$HN$13:$HN$512,"="&amp;SUBSTITUTE(SUBSTITUTE(SUBSTITUTE('Dashboard'!$B$7,"~","~~"),"*","~*"),"?","~?"))+COUNTIFS('Calculations'!$HY$13:$HY$512,"="&amp;SUBSTITUTE(SUBSTITUTE(SUBSTITUTE('Calculations'!HF106,"~","~~"),"*","~*"),"?","~?"),'Calculations'!$HN$13:$HN$512,"="&amp;SUBSTITUTE(SUBSTITUTE(SUBSTITUTE('Dashboard'!$B$7,"~","~~"),"*","~*"),"?","~?"))+COUNTIFS('Calculations'!$HZ$13:$HZ$512,"="&amp;SUBSTITUTE(SUBSTITUTE(SUBSTITUTE('Calculations'!HF106,"~","~~"),"*","~*"),"?","~?"),'Calculations'!$HN$13:$HN$512,"="&amp;SUBSTITUTE(SUBSTITUTE(SUBSTITUTE('Dashboard'!$B$7,"~","~~"),"*","~*"),"?","~?"))+COUNTIFS('Calculations'!$IA$13:$IA$512,"="&amp;SUBSTITUTE(SUBSTITUTE(SUBSTITUTE('Calculations'!HF106,"~","~~"),"*","~*"),"?","~?"),'Calculations'!$HN$13:$HN$512,"="&amp;SUBSTITUTE(SUBSTITUTE(SUBSTITUTE('Dashboard'!$B$7,"~","~~"),"*","~*"),"?","~?"))+COUNTIFS('Calculations'!$IB$13:$IB$512,"="&amp;SUBSTITUTE(SUBSTITUTE(SUBSTITUTE('Calculations'!HF106,"~","~~"),"*","~*"),"?","~?"),'Calculations'!$HN$13:$HN$512,"="&amp;SUBSTITUTE(SUBSTITUTE(SUBSTITUTE('Dashboard'!$B$7,"~","~~"),"*","~*"),"?","~?"))+COUNTIFS('Calculations'!$IC$13:$IC$512,"="&amp;SUBSTITUTE(SUBSTITUTE(SUBSTITUTE('Calculations'!HF106,"~","~~"),"*","~*"),"?","~?"),'Calculations'!$HN$13:$HN$512,"="&amp;SUBSTITUTE(SUBSTITUTE(SUBSTITUTE('Dashboard'!$B$7,"~","~~"),"*","~*"),"?","~?"))+COUNTIFS('Calculations'!$ID$13:$ID$512,"="&amp;SUBSTITUTE(SUBSTITUTE(SUBSTITUTE('Calculations'!HF106,"~","~~"),"*","~*"),"?","~?"),'Calculations'!$HN$13:$HN$512,"="&amp;SUBSTITUTE(SUBSTITUTE(SUBSTITUTE('Dashboard'!$B$7,"~","~~"),"*","~*"),"?","~?"))+COUNTIFS('Calculations'!$IE$13:$IE$512,"="&amp;SUBSTITUTE(SUBSTITUTE(SUBSTITUTE('Calculations'!HF106,"~","~~"),"*","~*"),"?","~?"),'Calculations'!$HN$13:$HN$512,"="&amp;SUBSTITUTE(SUBSTITUTE(SUBSTITUTE('Dashboard'!$B$7,"~","~~"),"*","~*"),"?","~?"))+COUNTIFS('Calculations'!$IF$13:$IF$512,"="&amp;SUBSTITUTE(SUBSTITUTE(SUBSTITUTE('Calculations'!HF106,"~","~~"),"*","~*"),"?","~?"),'Calculations'!$HN$13:$HN$512,"="&amp;SUBSTITUTE(SUBSTITUTE(SUBSTITUTE('Dashboard'!$B$7,"~","~~"),"*","~*"),"?","~?"))+COUNTIFS('Calculations'!$IG$13:$IG$512,"="&amp;SUBSTITUTE(SUBSTITUTE(SUBSTITUTE('Calculations'!HF106,"~","~~"),"*","~*"),"?","~?"),'Calculations'!$HN$13:$HN$512,"="&amp;SUBSTITUTE(SUBSTITUTE(SUBSTITUTE('Dashboard'!$B$7,"~","~~"),"*","~*"),"?","~?"))+COUNTIFS('Calculations'!$IH$13:$IH$512,"="&amp;SUBSTITUTE(SUBSTITUTE(SUBSTITUTE('Calculations'!HF106,"~","~~"),"*","~*"),"?","~?"),'Calculations'!$HN$13:$HN$512,"="&amp;SUBSTITUTE(SUBSTITUTE(SUBSTITUTE('Dashboard'!$B$7,"~","~~"),"*","~*"),"?","~?"))))</x:f>
        <x:v>0</x:v>
      </x:c>
      <x:c r="JD106" t="n">
        <x:f>IF('Calculations'!EM106="",0,IF('Dashboard'!$B$7="All",1,IF('Calculations'!HN106='Dashboard'!$B$7,1,0)+IFERROR(INDEX('Calculations'!$JC$13:$JC$512,MATCH('Calculations'!HE106,'Calculations'!$HF$13:$HF$512,0)),0)))</x:f>
        <x:v>0</x:v>
      </x:c>
      <x:c r="JE106" t="n">
        <x:f>IF(AND('Calculations'!EM106&lt;&gt;"",'Calculations'!$JJ$2&lt;&gt;"All",'Calculations'!$JJ$2&lt;&gt;"",'Calculations'!HF106='Calculations'!$JJ$2,'Calculations'!HL106=0,'Calculations'!JD106&gt;0),MAX('Calculations'!$JE$12:JE105)+1,0)</x:f>
        <x:v>0</x:v>
      </x:c>
      <x:c r="JF106" t="str">
        <x:f>IF('Calculations'!EM106="","",IFERROR(IF(INDEX(INDIRECT("'WCM Calibration Final'!$G$1:$G$2000"),'Calculations'!$EM106)="","",TRIM(INDEX(INDIRECT("'WCM Calibration Final'!$G$1:$G$2000"),'Calculations'!$EM106)&amp;"")),""))</x:f>
      </x:c>
      <x:c r="JQ106" t="n">
        <x:f>IF(OR('Calculations'!BM106=0,NOT('Calculations'!$AG$2),'Calculations'!$AG$8&gt;0),0,IF(OR('Dashboard'!$B$7="All",'Calculations'!HN106='Dashboard'!$B$7),IF('Calculations'!$JJ$2="All",1,IF(AND('Calculations'!HF106='Calculations'!$JJ$2,'Calculations'!HL106=0),1,0)),0))</x:f>
        <x:v>0</x:v>
      </x:c>
    </x:row>
    <x:row r="107">
      <x:c r="AF107" s="4"/>
      <x:c r="AG107" s="4"/>
      <x:c r="AH107" s="4"/>
      <x:c r="AI107" s="4"/>
      <x:c r="AJ107" s="4"/>
      <x:c r="AK107" s="4"/>
      <x:c r="AL107" s="4"/>
      <x:c r="AM107" s="4"/>
      <x:c r="AN107" s="4"/>
      <x:c r="AO107" s="4"/>
      <x:c r="AP107" s="4"/>
      <x:c r="AQ107" s="4"/>
      <x:c r="AR107" s="4" t="n">
        <x:f>IFERROR(MATCH((MIN('Dashboard'!$Z$93,MAX(1,ROUNDUP(MAX('Calculations'!$DP$12:$DP$1012)/20,0)))-1)*20+10,'Calculations'!$DP$12:$DP$1012,0),0)</x:f>
        <x:v>0</x:v>
      </x:c>
      <x:c r="AS107" s="4"/>
      <x:c r="AT107" s="4"/>
      <x:c r="AU107" s="4"/>
      <x:c r="AV107" s="4"/>
      <x:c r="AW107" s="4"/>
      <x:c r="AX107" s="4"/>
      <x:c r="AY107" s="4"/>
      <x:c r="AZ107" s="4"/>
      <x:c r="BA107" s="4"/>
      <x:c r="BB107" s="4"/>
      <x:c r="BC107" s="4"/>
      <x:c r="BD107" s="4"/>
      <x:c r="BE107" s="4"/>
      <x:c r="BF107" s="4"/>
      <x:c r="BG107" s="4"/>
      <x:c r="BH107" s="4"/>
      <x:c r="BI107" s="4"/>
      <x:c r="BJ107" s="4"/>
      <x:c r="BK107" s="4"/>
      <x:c r="BL107" s="4"/>
      <x:c r="BM107" s="4" t="n">
        <x:f>IF('Calculations'!$EM107="",0,IF(OR(IFERROR(INDEX(INDIRECT("'WCM Calibration Final'!$A$1:$A$2000"),'Calculations'!$EM107)&lt;&gt;"",FALSE),IFERROR(INDEX(INDIRECT("'WCM Calibration Final'!$B$1:$B$2000"),'Calculations'!$EM107)&lt;&gt;"",FALSE),IFERROR(INDEX(INDIRECT("'WCM Calibration Final'!$C$1:$C$2000"),'Calculations'!$EM107)&lt;&gt;"",FALSE)),1,0))</x:f>
        <x:v>0</x:v>
      </x:c>
      <x:c r="BN107" s="4" t="n">
        <x:f>IF(AND('Calculations'!BM107=1,'Calculations'!$AG$2,'Calculations'!$EN107=1),1,0)</x:f>
        <x:v>0</x:v>
      </x:c>
      <x:c r="BO107" s="4" t="str">
        <x:f>IF('Calculations'!BM107=0,"",IFERROR(IF(AND(VALUE(INDEX(INDIRECT("'WCM Calibration Final'!$K$1:$K$2000"),'Calculations'!$EM107))&gt;=1,VALUE(INDEX(INDIRECT("'WCM Calibration Final'!$K$1:$K$2000"),'Calculations'!$EM107))&lt;=4,MOD(VALUE(INDEX(INDIRECT("'WCM Calibration Final'!$K$1:$K$2000"),'Calculations'!$EM107)),1)=0),VALUE(INDEX(INDIRECT("'WCM Calibration Final'!$K$1:$K$2000"),'Calculations'!$EM107)),""),""))</x:f>
      </x:c>
      <x:c r="BP107" s="4" t="str">
        <x:f>IF('Calculations'!BM107=0,"",IFERROR(IF(AND(VALUE(INDEX(INDIRECT("'WCM Calibration Final'!$L$1:$L$2000"),'Calculations'!$EM107))&gt;=1,VALUE(INDEX(INDIRECT("'WCM Calibration Final'!$L$1:$L$2000"),'Calculations'!$EM107))&lt;=4,MOD(VALUE(INDEX(INDIRECT("'WCM Calibration Final'!$L$1:$L$2000"),'Calculations'!$EM107)),1)=0),VALUE(INDEX(INDIRECT("'WCM Calibration Final'!$L$1:$L$2000"),'Calculations'!$EM107)),""),""))</x:f>
      </x:c>
      <x:c r="BQ107" s="4"/>
      <x:c r="BR107" s="4"/>
      <x:c r="BS107" s="4"/>
      <x:c r="BT107" s="4" t="n">
        <x:f>IF(AND('Calculations'!BM107=1,ISNUMBER('Calculations'!BO107),ISNUMBER('Calculations'!BP107)),1,0)</x:f>
        <x:v>0</x:v>
      </x:c>
      <x:c r="BU107" s="4" t="str">
        <x:f>IF('Calculations'!BM107=0,"",'Calculations'!$EO107)</x:f>
      </x:c>
      <x:c r="BV107" s="4" t="str">
        <x:f>IF('Calculations'!BM107=0,"",IFERROR(IF(OR(INDEX(INDIRECT("'WCM Calibration Final'!$H$1:$H$2000"),'Calculations'!$EM107)="MANAGING DIRECTOR",INDEX(INDIRECT("'WCM Calibration Final'!$H$1:$H$2000"),'Calculations'!$EM107)="DIRECTOR",INDEX(INDIRECT("'WCM Calibration Final'!$H$1:$H$2000"),'Calculations'!$EM107)="SENIOR VICE PRESIDENT",INDEX(INDIRECT("'WCM Calibration Final'!$H$1:$H$2000"),'Calculations'!$EM107)="VICE PRESIDENT",INDEX(INDIRECT("'WCM Calibration Final'!$H$1:$H$2000"),'Calculations'!$EM107)="ASSISTANT VICE PRESIDENT",INDEX(INDIRECT("'WCM Calibration Final'!$H$1:$H$2000"),'Calculations'!$EM107)="OFFICER"),UPPER(INDEX(INDIRECT("'WCM Calibration Final'!$H$1:$H$2000"),'Calculations'!$EM107)),"Other"),"Other"))</x:f>
      </x:c>
      <x:c r="BW107" s="4"/>
      <x:c r="BX107" s="4"/>
      <x:c r="BY107" s="4" t="n">
        <x:f>IF(AND('Calculations'!BM107=1,'Calculations'!BU107&lt;&gt;"",COUNTIF('Calculations'!$BU$12:BU107,'Calculations'!BU107)=1),MAX('Calculations'!$BY$11:BY106)+1,0)</x:f>
        <x:v>0</x:v>
      </x:c>
      <x:c r="BZ107" s="4" t="str">
        <x:f>IF('Dashboard'!$E$67="What",'Calculations'!BO107,'Calculations'!BP107)</x:f>
      </x:c>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t="str">
        <x:f>IF(96&gt;MAX('Calculations'!$HI$13:$HI$512),"",INDEX('Calculations'!$HN$13:$HN$512,MATCH(96,'Calculations'!$HI$13:$HI$512,0)))</x:f>
      </x:c>
      <x:c r="DB107" s="4" t="str">
        <x:f>IF(96&gt;MAX('Calculations'!$HH$13:$HH$512),"",INDEX('Calculations'!$HJ$13:$HJ$512,MATCH(96,'Calculations'!$HH$13:$HH$512,0)))</x:f>
      </x:c>
      <x:c r="DC107" s="4" t="str">
        <x:f>IF(ROW()-11&gt;MAX('Calculations'!$BY$13:$BY$512),"",INDEX('Calculations'!$BU$13:$BU$512,MATCH(ROW()-11,'Calculations'!$BY$13:$BY$512,0)))</x:f>
      </x:c>
      <x:c r="DD107" s="4" t="str">
        <x:f>IF(96&gt;MAX('Calculations'!$IK$13:$IK$512),"",INDEX('Calculations'!$HK$13:$HK$512,MATCH(96,'Calculations'!$IK$13:$IK$512,0)))</x:f>
      </x:c>
      <x:c r="DE107" s="4" t="str">
        <x:f>'Calculations'!DC107</x:f>
      </x:c>
      <x:c r="DF107" s="4" t="str">
        <x:f>IF('Calculations'!DE107="","",COUNTIFS('Calculations'!$BN$13:$BN$512,1,'Calculations'!$BU$13:$BU$512,'Calculations'!DE107))</x:f>
      </x:c>
      <x:c r="DG107" s="4" t="str">
        <x:f>IF('Calculations'!DE107="","",COUNTIFS('Calculations'!$BN$13:$BN$512,1,'Calculations'!$BU$13:$BU$512,'Calculations'!DE107,'Calculations'!$BT$13:$BT$512,1))</x:f>
      </x:c>
      <x:c r="DH107" s="4" t="str">
        <x:f>IF('Calculations'!DE107="","",'Calculations'!DF107-'Calculations'!DG107)</x:f>
      </x:c>
      <x:c r="DI107" s="4" t="str">
        <x:f>IF(OR('Calculations'!DE107="",'Calculations'!DF107=0),"",'Calculations'!DG107/'Calculations'!DF107)</x:f>
      </x:c>
      <x:c r="DJ107" s="4" t="str">
        <x:f>IF('Calculations'!DE107="","",COUNTIFS('Calculations'!$BN$13:$BN$512,1,'Calculations'!$BU$13:$BU$512,'Calculations'!DE107,'Calculations'!$BT$13:$BT$512,1,'Calculations'!$EE$13:$EE$512,"High"))</x:f>
      </x:c>
      <x:c r="DK107" s="4" t="str">
        <x:f>IF('Calculations'!DE107="","",COUNTIFS('Calculations'!$BN$13:$BN$512,1,'Calculations'!$BU$13:$BU$512,'Calculations'!DE107,'Calculations'!$BT$13:$BT$512,1,'Calculations'!$EE$13:$EE$512,"Strong"))</x:f>
      </x:c>
      <x:c r="DL107" s="4" t="str">
        <x:f>IF('Calculations'!DE107="","",COUNTIFS('Calculations'!$BN$13:$BN$512,1,'Calculations'!$BU$13:$BU$512,'Calculations'!DE107,'Calculations'!$BT$13:$BT$512,1,'Calculations'!$EE$13:$EE$512,"Solid"))</x:f>
      </x:c>
      <x:c r="DM107" s="4" t="str">
        <x:f>IF('Calculations'!DE107="","",COUNTIFS('Calculations'!$BN$13:$BN$512,1,'Calculations'!$BU$13:$BU$512,'Calculations'!DE107,'Calculations'!$BT$13:$BT$512,1,'Calculations'!$EE$13:$EE$512,"Low"))</x:f>
      </x:c>
      <x:c r="DN107" s="4" t="str">
        <x:f>IF('Calculations'!DE107="","",COUNTIFS('Calculations'!$BN$13:$BN$512,1,'Calculations'!$BU$13:$BU$512,'Calculations'!DE107,'Calculations'!$EP$13:$EP$512,1))</x:f>
      </x:c>
      <x:c r="DO107" s="4" t="str">
        <x:f>IF(OR('Calculations'!DE107="",'Calculations'!DG107=0),"",('Calculations'!DJ107+'Calculations'!DK107)/'Calculations'!DG107)</x:f>
      </x:c>
      <x:c r="DP107" s="4" t="n">
        <x:f>IF(AND('Calculations'!DE107&lt;&gt;"",'Calculations'!DF107&gt;0),COUNTIF('Calculations'!$DF$12:DF107,"&gt;0"),0)</x:f>
        <x:v>0</x:v>
      </x:c>
      <x:c r="DQ107" s="4" t="str">
        <x:f>IF(96&gt;MAX('Calculations'!$HH$13:$HH$512),"",INDEX('Calculations'!$HF$13:$HF$512,MATCH(96,'Calculations'!$HH$13:$HH$512,0)))</x:f>
      </x:c>
      <x:c r="DR107" s="4" t="str">
        <x:f>IF(96&gt;MAX('Calculations'!$IK$13:$IK$512),"",INDEX('Calculations'!$HE$13:$HE$512,MATCH(96,'Calculations'!$IK$13:$IK$512,0)))</x:f>
      </x:c>
      <x:c r="DS107" s="4"/>
      <x:c r="DT107" s="4"/>
      <x:c r="DU107" s="4"/>
      <x:c r="DV107" s="4"/>
      <x:c r="DW107" s="4"/>
      <x:c r="DX107" s="4"/>
      <x:c r="DY107" s="4"/>
      <x:c r="DZ107" s="4"/>
      <x:c r="EA107" s="4"/>
      <x:c r="EB107" s="4"/>
      <x:c r="EC107" s="4"/>
      <x:c r="ED107" s="4"/>
      <x:c r="EE107" s="4" t="str">
        <x:f>IF('Calculations'!BT107=0,"Not Rated",IF(OR('Calculations'!BO107&gt;=4,'Calculations'!BP107&gt;=4),"Low",IF('Calculations'!BO107+'Calculations'!BP107&lt;=3,"High",IF('Calculations'!BO107+'Calculations'!BP107&lt;=4,"Strong","Solid"))))</x:f>
        <x:v>Not Rated</x:v>
      </x:c>
      <x:c r="EF107" s="4"/>
      <x:c r="EG107" s="4"/>
      <x:c r="EH107" s="4"/>
      <x:c r="EI107" s="4"/>
      <x:c r="EJ107" s="4"/>
      <x:c r="EK107" s="4"/>
      <x:c r="EL107" s="4"/>
      <x:c r="EM107" s="4" t="str">
        <x:f>IF(95&gt;'Calculations'!$JB$2000,"",INDEX('Calculations'!$JA$12:$JA$2000,MATCH(95,'Calculations'!$JB$12:$JB$2000,0)))</x:f>
      </x:c>
      <x:c r="EN107" s="4" t="n">
        <x:f>IF(OR('Calculations'!EM107="",'Calculations'!$AG$8&gt;0,AND('Calculations'!$EF$2&lt;&gt;"All",'Calculations'!HE107='Calculations'!$EF$2),AND('Calculations'!$EF$3&lt;&gt;"All",'Calculations'!HE107='Calculations'!$EF$3)),0,IF(OR('Dashboard'!$B$7="All",'Calculations'!HN107='Dashboard'!$B$7),IF('Calculations'!$EF$2="All",1,IF('Calculations'!HL107&gt;0,0,IF(COUNTIF('Calculations'!HO107:II107,"="&amp;SUBSTITUTE(SUBSTITUTE(SUBSTITUTE('Calculations'!$EF$2,"~","~~"),"*","~*"),"?","~?"))=0,0,IF('Calculations'!$EF$3="All",1,IF(COUNTIF('Calculations'!HO107:II107,"="&amp;SUBSTITUTE(SUBSTITUTE(SUBSTITUTE('Calculations'!$EF$3,"~","~~"),"*","~*"),"?","~?"))&gt;0,1,0))))),0))</x:f>
        <x:v>0</x:v>
      </x:c>
      <x:c r="EO107" s="4" t="str">
        <x:f>IF('Calculations'!IJ107="","",IF('Calculations'!IJ107="!UNRESOLVED","Unresolved hierarchy",IFERROR(INDEX('Calculations'!$HK$13:$HK$512,MATCH('Calculations'!IJ107,'Calculations'!$HE$13:$HE$512,0)),IFERROR(INDEX('Calculations'!$HJ$13:$HJ$512,MATCH('Calculations'!IJ107,'Calculations'!$HF$13:$HF$512,0)),'Calculations'!IJ107))))</x:f>
      </x:c>
      <x:c r="EP107" s="4" t="n">
        <x:f>IF(AND('Calculations'!EM107&lt;&gt;"",'Calculations'!HF107='Calculations'!IJ107),1,0)</x:f>
        <x:v>0</x:v>
      </x:c>
      <x:c r="EQ107" s="4"/>
      <x:c r="ER107" s="4"/>
      <x:c r="ES107" s="4"/>
      <x:c r="ET107" s="4"/>
      <x:c r="EU107" s="4"/>
      <x:c r="EV107" s="4"/>
      <x:c r="EW107" s="4"/>
      <x:c r="EX107" s="4"/>
      <x:c r="EY107" s="4"/>
      <x:c r="EZ107" s="4"/>
      <x:c r="FA107" s="4"/>
      <x:c r="FB107" s="4"/>
      <x:c r="FC107" s="4"/>
      <x:c r="FD107" s="4"/>
      <x:c r="FE107" s="4"/>
      <x:c r="FF107" s="4"/>
      <x:c r="FG107" s="4"/>
      <x:c r="FH107" s="4"/>
      <x:c r="FI107" s="4"/>
      <x:c r="FJ107" s="4"/>
      <x:c r="FK107" s="4"/>
      <x:c r="FL107" s="4"/>
      <x:c r="FM107" s="4"/>
      <x:c r="FN107" s="4"/>
      <x:c r="FO107" s="4"/>
      <x:c r="GA107" s="71"/>
      <x:c r="GB107" s="71" t="str">
        <x:f>IF('Calculations'!$AR107=0,"",INDEX('Calculations'!$DE$12:$DE$1012,'Calculations'!$AR107))</x:f>
      </x:c>
      <x:c r="GC107" s="71"/>
      <x:c r="GD107" s="71"/>
      <x:c r="GE107" s="71"/>
      <x:c r="GF107" s="71"/>
      <x:c r="GG107" s="71"/>
      <x:c r="GH107" s="71"/>
      <x:c r="GI107" s="71" t="str">
        <x:f>IF('Calculations'!$AR107=0,"",INDEX('Calculations'!$DF$12:$DF$1012,'Calculations'!$AR107))</x:f>
      </x:c>
      <x:c r="GJ107" s="71"/>
      <x:c r="GK107" s="71" t="str">
        <x:f>IF('Calculations'!$AR107=0,"",INDEX('Calculations'!$DG$12:$DG$1012,'Calculations'!$AR107))</x:f>
      </x:c>
      <x:c r="GL107" s="71"/>
      <x:c r="GM107" s="71" t="str">
        <x:f>IF('Calculations'!$AR107=0,"",INDEX('Calculations'!$DH$12:$DH$1012,'Calculations'!$AR107))</x:f>
      </x:c>
      <x:c r="GN107" s="71"/>
      <x:c r="GO107" s="71" t="str">
        <x:f>IF('Calculations'!$AR107=0,"",INDEX('Calculations'!$DI$12:$DI$1012,'Calculations'!$AR107))</x:f>
      </x:c>
      <x:c r="GP107" s="71"/>
      <x:c r="GQ107" s="71" t="str">
        <x:f>IF('Calculations'!$AR107=0,"",INDEX('Calculations'!$DJ$12:$DJ$1012,'Calculations'!$AR107)&amp;" · "&amp;IF(INDEX('Calculations'!$DG$12:$DG$1012,'Calculations'!$AR107)=0,"n.a.",TEXT(INDEX('Calculations'!$DJ$12:$DJ$1012,'Calculations'!$AR107)/INDEX('Calculations'!$DG$12:$DG$1012,'Calculations'!$AR107),"0.0%")))</x:f>
      </x:c>
      <x:c r="GR107" s="71"/>
      <x:c r="GS107" s="71" t="str">
        <x:f>IF('Calculations'!$AR107=0,"",INDEX('Calculations'!$DK$12:$DK$1012,'Calculations'!$AR107)&amp;" · "&amp;IF(INDEX('Calculations'!$DG$12:$DG$1012,'Calculations'!$AR107)=0,"n.a.",TEXT(INDEX('Calculations'!$DK$12:$DK$1012,'Calculations'!$AR107)/INDEX('Calculations'!$DG$12:$DG$1012,'Calculations'!$AR107),"0.0%")))</x:f>
      </x:c>
      <x:c r="GT107" s="71"/>
      <x:c r="GU107" s="71" t="str">
        <x:f>IF('Calculations'!$AR107=0,"",INDEX('Calculations'!$DL$12:$DL$1012,'Calculations'!$AR107)&amp;" · "&amp;IF(INDEX('Calculations'!$DG$12:$DG$1012,'Calculations'!$AR107)=0,"n.a.",TEXT(INDEX('Calculations'!$DL$12:$DL$1012,'Calculations'!$AR107)/INDEX('Calculations'!$DG$12:$DG$1012,'Calculations'!$AR107),"0.0%")))</x:f>
      </x:c>
      <x:c r="GV107" s="71"/>
      <x:c r="GW107" s="71" t="str">
        <x:f>IF('Calculations'!$AR107=0,"",INDEX('Calculations'!$DM$12:$DM$1012,'Calculations'!$AR107)&amp;" · "&amp;IF(INDEX('Calculations'!$DG$12:$DG$1012,'Calculations'!$AR107)=0,"n.a.",TEXT(INDEX('Calculations'!$DM$12:$DM$1012,'Calculations'!$AR107)/INDEX('Calculations'!$DG$12:$DG$1012,'Calculations'!$AR107),"0.0%")))</x:f>
      </x:c>
      <x:c r="GX107" s="71"/>
      <x:c r="GY107" s="71" t="str">
        <x:f>IF('Calculations'!$AR107=0,"",INDEX('Calculations'!$DN$12:$DN$1012,'Calculations'!$AR107))</x:f>
      </x:c>
      <x:c r="GZ107" s="71"/>
      <x:c r="HA107" s="71" t="str">
        <x:f>IF('Calculations'!$AR107=0,"",INDEX('Calculations'!$DO$12:$DO$1012,'Calculations'!$AR107))</x:f>
      </x:c>
      <x:c r="HB107" s="71"/>
      <x:c r="HC107" s="71"/>
      <x:c r="HD107" s="71"/>
      <x:c r="HE107" t="str">
        <x:f>IF('Calculations'!EM107="","",IF(IFERROR(IF(INDEX(INDIRECT("'WCM Calibration Final'!$A$1:$A$2000"),'Calculations'!$EM107)="","",TRIM(INDEX(INDIRECT("'WCM Calibration Final'!$A$1:$A$2000"),'Calculations'!$EM107)&amp;"")),"")&lt;&gt;"","G:"&amp;IFERROR(TEXT(1*INDEX(INDIRECT("'WCM Calibration Final'!$A$1:$A$2000"),'Calculations'!$EM107),"0"),UPPER(IFERROR(IF(INDEX(INDIRECT("'WCM Calibration Final'!$A$1:$A$2000"),'Calculations'!$EM107)="","",TRIM(INDEX(INDIRECT("'WCM Calibration Final'!$A$1:$A$2000"),'Calculations'!$EM107)&amp;"")),""))),IF(IFERROR(IF(INDEX(INDIRECT("'WCM Calibration Final'!$C$1:$C$2000"),'Calculations'!$EM107)="","",TRIM(INDEX(INDIRECT("'WCM Calibration Final'!$C$1:$C$2000"),'Calculations'!$EM107)&amp;"")),"")&lt;&gt;"","S:"&amp;UPPER(IFERROR(IF(INDEX(INDIRECT("'WCM Calibration Final'!$C$1:$C$2000"),'Calculations'!$EM107)="","",TRIM(INDEX(INDIRECT("'WCM Calibration Final'!$C$1:$C$2000"),'Calculations'!$EM107)&amp;"")),"")),"R:"&amp;'Calculations'!EM107)))</x:f>
      </x:c>
      <x:c r="HF107" t="str">
        <x:f>IF('Calculations'!EM107="","",IF(IFERROR(IF(INDEX(INDIRECT("'WCM Calibration Final'!$D$1:$D$2000"),'Calculations'!$EM107)="","",TRIM(INDEX(INDIRECT("'WCM Calibration Final'!$D$1:$D$2000"),'Calculations'!$EM107)&amp;"")),"")&lt;&gt;"","G:"&amp;IFERROR(TEXT(1*INDEX(INDIRECT("'WCM Calibration Final'!$D$1:$D$2000"),'Calculations'!$EM107),"0"),UPPER(IFERROR(IF(INDEX(INDIRECT("'WCM Calibration Final'!$D$1:$D$2000"),'Calculations'!$EM107)="","",TRIM(INDEX(INDIRECT("'WCM Calibration Final'!$D$1:$D$2000"),'Calculations'!$EM107)&amp;"")),""))),IF(IFERROR(IF(INDEX(INDIRECT("'WCM Calibration Final'!$E$1:$E$2000"),'Calculations'!$EM107)="","",TRIM(INDEX(INDIRECT("'WCM Calibration Final'!$E$1:$E$2000"),'Calculations'!$EM107)&amp;"")),"")="","",IF(COUNTIF('Calculations'!$HG$13:$HG$512,"="&amp;SUBSTITUTE(SUBSTITUTE(SUBSTITUTE(IFERROR(IF(INDEX(INDIRECT("'WCM Calibration Final'!$E$1:$E$2000"),'Calculations'!$EM107)="","",TRIM(INDEX(INDIRECT("'WCM Calibration Final'!$E$1:$E$2000"),'Calculations'!$EM107)&amp;"")),""),"~","~~"),"*","~*"),"?","~?"))=1,INDEX('Calculations'!$HE$13:$HE$512,MATCH(IFERROR(IF(INDEX(INDIRECT("'WCM Calibration Final'!$E$1:$E$2000"),'Calculations'!$EM107)="","",TRIM(INDEX(INDIRECT("'WCM Calibration Final'!$E$1:$E$2000"),'Calculations'!$EM107)&amp;"")),""),'Calculations'!$HG$13:$HG$512,0)),IF(COUNTIF('Calculations'!$HG$13:$HG$512,"="&amp;SUBSTITUTE(SUBSTITUTE(SUBSTITUTE(IFERROR(IF(INDEX(INDIRECT("'WCM Calibration Final'!$E$1:$E$2000"),'Calculations'!$EM107)="","",TRIM(INDEX(INDIRECT("'WCM Calibration Final'!$E$1:$E$2000"),'Calculations'!$EM107)&amp;"")),""),"~","~~"),"*","~*"),"?","~?"))&gt;1,"!AMBIG","X:"&amp;IFERROR(IF(INDEX(INDIRECT("'WCM Calibration Final'!$E$1:$E$2000"),'Calculations'!$EM107)="","",TRIM(INDEX(INDIRECT("'WCM Calibration Final'!$E$1:$E$2000"),'Calculations'!$EM107)&amp;"")),""))))))</x:f>
      </x:c>
      <x:c r="HG107" t="str">
        <x:f>IF('Calculations'!EM107="","",IFERROR(IF(INDEX(INDIRECT("'WCM Calibration Final'!$B$1:$B$2000"),'Calculations'!$EM107)="","",TRIM(INDEX(INDIRECT("'WCM Calibration Final'!$B$1:$B$2000"),'Calculations'!$EM107)&amp;"")),""))</x:f>
      </x:c>
      <x:c r="HH107" t="n">
        <x:f>IF(AND('Calculations'!JC107&gt;0,COUNTIF('Calculations'!$HF$12:HF107,"="&amp;SUBSTITUTE(SUBSTITUTE(SUBSTITUTE('Calculations'!HF107,"~","~~"),"*","~*"),"?","~?"))=1),MAX('Calculations'!$HH$12:HH106)+1,0)</x:f>
        <x:v>0</x:v>
      </x:c>
      <x:c r="HI107" t="n">
        <x:f>IF(AND('Calculations'!HN107&lt;&gt;"",COUNTIF('Calculations'!$HN$12:HN107,"="&amp;SUBSTITUTE(SUBSTITUTE(SUBSTITUTE('Calculations'!HN107,"~","~~"),"*","~*"),"?","~?"))=1),MAX('Calculations'!$HI$12:HI106)+1,0)</x:f>
        <x:v>0</x:v>
      </x:c>
      <x:c r="HJ107" t="str">
        <x:f>IF('Calculations'!HF107="","",IF(COUNTIF('Calculations'!$HE$13:$HE$512,"="&amp;SUBSTITUTE(SUBSTITUTE(SUBSTITUTE('Calculations'!HF107,"~","~~"),"*","~*"),"?","~?"))=1,INDEX('Calculations'!$HK$13:$HK$512,MATCH('Calculations'!HF107,'Calculations'!$HE$13:$HE$512,0)),IFERROR(IF(INDEX(INDIRECT("'WCM Calibration Final'!$E$1:$E$2000"),'Calculations'!$EM107)="","",TRIM(INDEX(INDIRECT("'WCM Calibration Final'!$E$1:$E$2000"),'Calculations'!$EM107)&amp;"")),"")&amp;" ["&amp;'Calculations'!HF107&amp;"]"))</x:f>
      </x:c>
      <x:c r="HK107" t="str">
        <x:f>IF('Calculations'!EM107="","",'Calculations'!HG107&amp;" ["&amp;'Calculations'!HE107&amp;"]")</x:f>
      </x:c>
      <x:c r="HL107" t="n">
        <x:f>IF('Calculations'!EM107="",0,IF(OR('Calculations'!II107&lt;&gt;"",COUNTIF('Calculations'!$HE$13:$HE$512,"="&amp;SUBSTITUTE(SUBSTITUTE(SUBSTITUTE('Calculations'!HE107,"~","~~"),"*","~*"),"?","~?"))&gt;1),1,0))</x:f>
        <x:v>0</x:v>
      </x:c>
      <x:c r="HM107" t="str">
        <x:f>IF('Calculations'!EM107="","",IF('Calculations'!HL107=1,"!UNRESOLVED",IF('Calculations'!IH107&lt;&gt;"",'Calculations'!IH107,IF('Calculations'!IG107&lt;&gt;"",'Calculations'!IG107,IF('Calculations'!IF107&lt;&gt;"",'Calculations'!IF107,IF('Calculations'!IE107&lt;&gt;"",'Calculations'!IE107,IF('Calculations'!ID107&lt;&gt;"",'Calculations'!ID107,IF('Calculations'!IC107&lt;&gt;"",'Calculations'!IC107,IF('Calculations'!IB107&lt;&gt;"",'Calculations'!IB107,IF('Calculations'!IA107&lt;&gt;"",'Calculations'!IA107,IF('Calculations'!HZ107&lt;&gt;"",'Calculations'!HZ107,IF('Calculations'!HY107&lt;&gt;"",'Calculations'!HY107,IF('Calculations'!HX107&lt;&gt;"",'Calculations'!HX107,IF('Calculations'!HW107&lt;&gt;"",'Calculations'!HW107,IF('Calculations'!HV107&lt;&gt;"",'Calculations'!HV107,IF('Calculations'!HU107&lt;&gt;"",'Calculations'!HU107,IF('Calculations'!HT107&lt;&gt;"",'Calculations'!HT107,IF('Calculations'!HS107&lt;&gt;"",'Calculations'!HS107,IF('Calculations'!HR107&lt;&gt;"",'Calculations'!HR107,IF('Calculations'!HQ107&lt;&gt;"",'Calculations'!HQ107,IF('Calculations'!HP107&lt;&gt;"",'Calculations'!HP107,IF('Calculations'!HO107&lt;&gt;"",'Calculations'!HO107,'Calculations'!HE107))))))))))))))))))))))</x:f>
      </x:c>
      <x:c r="HN107" t="str">
        <x:f>IF('Calculations'!EM107="","",IF(IFERROR(IF(INDEX(INDIRECT("'WCM Calibration Final'!$F$1:$F$2000"),'Calculations'!$EM107)="","",TRIM(INDEX(INDIRECT("'WCM Calibration Final'!$F$1:$F$2000"),'Calculations'!$EM107)&amp;"")),"")="","(Blank)",IFERROR(IF(INDEX(INDIRECT("'WCM Calibration Final'!$F$1:$F$2000"),'Calculations'!$EM107)="","",TRIM(INDEX(INDIRECT("'WCM Calibration Final'!$F$1:$F$2000"),'Calculations'!$EM107)&amp;"")),"")))</x:f>
      </x:c>
      <x:c r="HO107" t="str">
        <x:f>'Calculations'!HF107</x:f>
      </x:c>
      <x:c r="HP107" t="str">
        <x:f>IF('Calculations'!HO107="","",IF('Calculations'!HO107="!AMBIG","!AMBIG",IF(COUNTIF('Calculations'!$HE$13:$HE$512,"="&amp;SUBSTITUTE(SUBSTITUTE(SUBSTITUTE('Calculations'!HO107,"~","~~"),"*","~*"),"?","~?"))&gt;1,"!AMBIG",IFERROR(INDEX('Calculations'!$HF$13:$HF$512,MATCH('Calculations'!HO107,'Calculations'!$HE$13:$HE$512,0)),""))))</x:f>
      </x:c>
      <x:c r="HQ107" t="str">
        <x:f>IF('Calculations'!HP107="","",IF('Calculations'!HP107="!AMBIG","!AMBIG",IF(COUNTIF('Calculations'!$HE$13:$HE$512,"="&amp;SUBSTITUTE(SUBSTITUTE(SUBSTITUTE('Calculations'!HP107,"~","~~"),"*","~*"),"?","~?"))&gt;1,"!AMBIG",IFERROR(INDEX('Calculations'!$HF$13:$HF$512,MATCH('Calculations'!HP107,'Calculations'!$HE$13:$HE$512,0)),""))))</x:f>
      </x:c>
      <x:c r="HR107" t="str">
        <x:f>IF('Calculations'!HQ107="","",IF('Calculations'!HQ107="!AMBIG","!AMBIG",IF(COUNTIF('Calculations'!$HE$13:$HE$512,"="&amp;SUBSTITUTE(SUBSTITUTE(SUBSTITUTE('Calculations'!HQ107,"~","~~"),"*","~*"),"?","~?"))&gt;1,"!AMBIG",IFERROR(INDEX('Calculations'!$HF$13:$HF$512,MATCH('Calculations'!HQ107,'Calculations'!$HE$13:$HE$512,0)),""))))</x:f>
      </x:c>
      <x:c r="HS107" t="str">
        <x:f>IF('Calculations'!HR107="","",IF('Calculations'!HR107="!AMBIG","!AMBIG",IF(COUNTIF('Calculations'!$HE$13:$HE$512,"="&amp;SUBSTITUTE(SUBSTITUTE(SUBSTITUTE('Calculations'!HR107,"~","~~"),"*","~*"),"?","~?"))&gt;1,"!AMBIG",IFERROR(INDEX('Calculations'!$HF$13:$HF$512,MATCH('Calculations'!HR107,'Calculations'!$HE$13:$HE$512,0)),""))))</x:f>
      </x:c>
      <x:c r="HT107" t="str">
        <x:f>IF('Calculations'!HS107="","",IF('Calculations'!HS107="!AMBIG","!AMBIG",IF(COUNTIF('Calculations'!$HE$13:$HE$512,"="&amp;SUBSTITUTE(SUBSTITUTE(SUBSTITUTE('Calculations'!HS107,"~","~~"),"*","~*"),"?","~?"))&gt;1,"!AMBIG",IFERROR(INDEX('Calculations'!$HF$13:$HF$512,MATCH('Calculations'!HS107,'Calculations'!$HE$13:$HE$512,0)),""))))</x:f>
      </x:c>
      <x:c r="HU107" t="str">
        <x:f>IF('Calculations'!HT107="","",IF('Calculations'!HT107="!AMBIG","!AMBIG",IF(COUNTIF('Calculations'!$HE$13:$HE$512,"="&amp;SUBSTITUTE(SUBSTITUTE(SUBSTITUTE('Calculations'!HT107,"~","~~"),"*","~*"),"?","~?"))&gt;1,"!AMBIG",IFERROR(INDEX('Calculations'!$HF$13:$HF$512,MATCH('Calculations'!HT107,'Calculations'!$HE$13:$HE$512,0)),""))))</x:f>
      </x:c>
      <x:c r="HV107" t="str">
        <x:f>IF('Calculations'!HU107="","",IF('Calculations'!HU107="!AMBIG","!AMBIG",IF(COUNTIF('Calculations'!$HE$13:$HE$512,"="&amp;SUBSTITUTE(SUBSTITUTE(SUBSTITUTE('Calculations'!HU107,"~","~~"),"*","~*"),"?","~?"))&gt;1,"!AMBIG",IFERROR(INDEX('Calculations'!$HF$13:$HF$512,MATCH('Calculations'!HU107,'Calculations'!$HE$13:$HE$512,0)),""))))</x:f>
      </x:c>
      <x:c r="HW107" t="str">
        <x:f>IF('Calculations'!HV107="","",IF('Calculations'!HV107="!AMBIG","!AMBIG",IF(COUNTIF('Calculations'!$HE$13:$HE$512,"="&amp;SUBSTITUTE(SUBSTITUTE(SUBSTITUTE('Calculations'!HV107,"~","~~"),"*","~*"),"?","~?"))&gt;1,"!AMBIG",IFERROR(INDEX('Calculations'!$HF$13:$HF$512,MATCH('Calculations'!HV107,'Calculations'!$HE$13:$HE$512,0)),""))))</x:f>
      </x:c>
      <x:c r="HX107" t="str">
        <x:f>IF('Calculations'!HW107="","",IF('Calculations'!HW107="!AMBIG","!AMBIG",IF(COUNTIF('Calculations'!$HE$13:$HE$512,"="&amp;SUBSTITUTE(SUBSTITUTE(SUBSTITUTE('Calculations'!HW107,"~","~~"),"*","~*"),"?","~?"))&gt;1,"!AMBIG",IFERROR(INDEX('Calculations'!$HF$13:$HF$512,MATCH('Calculations'!HW107,'Calculations'!$HE$13:$HE$512,0)),""))))</x:f>
      </x:c>
      <x:c r="HY107" t="str">
        <x:f>IF('Calculations'!HX107="","",IF('Calculations'!HX107="!AMBIG","!AMBIG",IF(COUNTIF('Calculations'!$HE$13:$HE$512,"="&amp;SUBSTITUTE(SUBSTITUTE(SUBSTITUTE('Calculations'!HX107,"~","~~"),"*","~*"),"?","~?"))&gt;1,"!AMBIG",IFERROR(INDEX('Calculations'!$HF$13:$HF$512,MATCH('Calculations'!HX107,'Calculations'!$HE$13:$HE$512,0)),""))))</x:f>
      </x:c>
      <x:c r="HZ107" t="str">
        <x:f>IF('Calculations'!HY107="","",IF('Calculations'!HY107="!AMBIG","!AMBIG",IF(COUNTIF('Calculations'!$HE$13:$HE$512,"="&amp;SUBSTITUTE(SUBSTITUTE(SUBSTITUTE('Calculations'!HY107,"~","~~"),"*","~*"),"?","~?"))&gt;1,"!AMBIG",IFERROR(INDEX('Calculations'!$HF$13:$HF$512,MATCH('Calculations'!HY107,'Calculations'!$HE$13:$HE$512,0)),""))))</x:f>
      </x:c>
      <x:c r="IA107" t="str">
        <x:f>IF('Calculations'!HZ107="","",IF('Calculations'!HZ107="!AMBIG","!AMBIG",IF(COUNTIF('Calculations'!$HE$13:$HE$512,"="&amp;SUBSTITUTE(SUBSTITUTE(SUBSTITUTE('Calculations'!HZ107,"~","~~"),"*","~*"),"?","~?"))&gt;1,"!AMBIG",IFERROR(INDEX('Calculations'!$HF$13:$HF$512,MATCH('Calculations'!HZ107,'Calculations'!$HE$13:$HE$512,0)),""))))</x:f>
      </x:c>
      <x:c r="IB107" t="str">
        <x:f>IF('Calculations'!IA107="","",IF('Calculations'!IA107="!AMBIG","!AMBIG",IF(COUNTIF('Calculations'!$HE$13:$HE$512,"="&amp;SUBSTITUTE(SUBSTITUTE(SUBSTITUTE('Calculations'!IA107,"~","~~"),"*","~*"),"?","~?"))&gt;1,"!AMBIG",IFERROR(INDEX('Calculations'!$HF$13:$HF$512,MATCH('Calculations'!IA107,'Calculations'!$HE$13:$HE$512,0)),""))))</x:f>
      </x:c>
      <x:c r="IC107" t="str">
        <x:f>IF('Calculations'!IB107="","",IF('Calculations'!IB107="!AMBIG","!AMBIG",IF(COUNTIF('Calculations'!$HE$13:$HE$512,"="&amp;SUBSTITUTE(SUBSTITUTE(SUBSTITUTE('Calculations'!IB107,"~","~~"),"*","~*"),"?","~?"))&gt;1,"!AMBIG",IFERROR(INDEX('Calculations'!$HF$13:$HF$512,MATCH('Calculations'!IB107,'Calculations'!$HE$13:$HE$512,0)),""))))</x:f>
      </x:c>
      <x:c r="ID107" t="str">
        <x:f>IF('Calculations'!IC107="","",IF('Calculations'!IC107="!AMBIG","!AMBIG",IF(COUNTIF('Calculations'!$HE$13:$HE$512,"="&amp;SUBSTITUTE(SUBSTITUTE(SUBSTITUTE('Calculations'!IC107,"~","~~"),"*","~*"),"?","~?"))&gt;1,"!AMBIG",IFERROR(INDEX('Calculations'!$HF$13:$HF$512,MATCH('Calculations'!IC107,'Calculations'!$HE$13:$HE$512,0)),""))))</x:f>
      </x:c>
      <x:c r="IE107" t="str">
        <x:f>IF('Calculations'!ID107="","",IF('Calculations'!ID107="!AMBIG","!AMBIG",IF(COUNTIF('Calculations'!$HE$13:$HE$512,"="&amp;SUBSTITUTE(SUBSTITUTE(SUBSTITUTE('Calculations'!ID107,"~","~~"),"*","~*"),"?","~?"))&gt;1,"!AMBIG",IFERROR(INDEX('Calculations'!$HF$13:$HF$512,MATCH('Calculations'!ID107,'Calculations'!$HE$13:$HE$512,0)),""))))</x:f>
      </x:c>
      <x:c r="IF107" t="str">
        <x:f>IF('Calculations'!IE107="","",IF('Calculations'!IE107="!AMBIG","!AMBIG",IF(COUNTIF('Calculations'!$HE$13:$HE$512,"="&amp;SUBSTITUTE(SUBSTITUTE(SUBSTITUTE('Calculations'!IE107,"~","~~"),"*","~*"),"?","~?"))&gt;1,"!AMBIG",IFERROR(INDEX('Calculations'!$HF$13:$HF$512,MATCH('Calculations'!IE107,'Calculations'!$HE$13:$HE$512,0)),""))))</x:f>
      </x:c>
      <x:c r="IG107" t="str">
        <x:f>IF('Calculations'!IF107="","",IF('Calculations'!IF107="!AMBIG","!AMBIG",IF(COUNTIF('Calculations'!$HE$13:$HE$512,"="&amp;SUBSTITUTE(SUBSTITUTE(SUBSTITUTE('Calculations'!IF107,"~","~~"),"*","~*"),"?","~?"))&gt;1,"!AMBIG",IFERROR(INDEX('Calculations'!$HF$13:$HF$512,MATCH('Calculations'!IF107,'Calculations'!$HE$13:$HE$512,0)),""))))</x:f>
      </x:c>
      <x:c r="IH107" t="str">
        <x:f>IF('Calculations'!IG107="","",IF('Calculations'!IG107="!AMBIG","!AMBIG",IF(COUNTIF('Calculations'!$HE$13:$HE$512,"="&amp;SUBSTITUTE(SUBSTITUTE(SUBSTITUTE('Calculations'!IG107,"~","~~"),"*","~*"),"?","~?"))&gt;1,"!AMBIG",IFERROR(INDEX('Calculations'!$HF$13:$HF$512,MATCH('Calculations'!IG107,'Calculations'!$HE$13:$HE$512,0)),""))))</x:f>
      </x:c>
      <x:c r="II107" t="str">
        <x:f>IF('Calculations'!IH107="","",IF('Calculations'!IH107="!AMBIG","!AMBIG",IF(COUNTIF('Calculations'!$HE$13:$HE$512,"="&amp;SUBSTITUTE(SUBSTITUTE(SUBSTITUTE('Calculations'!IH107,"~","~~"),"*","~*"),"?","~?"))&gt;1,"!AMBIG",IFERROR(INDEX('Calculations'!$HF$13:$HF$512,MATCH('Calculations'!IH107,'Calculations'!$HE$13:$HE$512,0)),""))))</x:f>
      </x:c>
      <x:c r="IJ107" t="str">
        <x:f>IF('Calculations'!EM107="","",IF('Calculations'!$EF$2="All",'Calculations'!HM107,IF('Calculations'!HL107=1,"",IFERROR(IF(MATCH('Calculations'!$EF$2,'Calculations'!HO107:II107,0)=1,'Calculations'!HE107,INDEX('Calculations'!HO107:II107,1,MATCH('Calculations'!$EF$2,'Calculations'!HO107:II107,0)-1)),""))))</x:f>
      </x:c>
      <x:c r="IK107" t="n">
        <x:f>IF(AND('Calculations'!EM107&lt;&gt;"",'Calculations'!$EF$2&lt;&gt;"All",'Calculations'!HF107='Calculations'!$EF$2,'Calculations'!HL107=0,'Calculations'!JD107&gt;0),MAX('Calculations'!$IK$12:IK106)+1,0)</x:f>
        <x:v>0</x:v>
      </x:c>
      <x:c r="JA107" t="n">
        <x:f>IF(OR(IFERROR(INDIRECT("'WCM Calibration Final'!$A$107")&lt;&gt;"",FALSE),IFERROR(INDIRECT("'WCM Calibration Final'!$B$107")&lt;&gt;"",FALSE),IFERROR(INDIRECT("'WCM Calibration Final'!$C$107")&lt;&gt;"",FALSE)),107,0)</x:f>
        <x:v>0</x:v>
      </x:c>
      <x:c r="JB107" t="n">
        <x:f>'Calculations'!JB106+IF('Calculations'!JA107&gt;0,1,0)</x:f>
        <x:v>0</x:v>
      </x:c>
      <x:c r="JC107" t="n">
        <x:f>IF(OR('Calculations'!HF107="",'Calculations'!HF107="!AMBIG"),0,IF('Dashboard'!$B$7="All",1,COUNTIFS('Calculations'!$HO$13:$HO$512,"="&amp;SUBSTITUTE(SUBSTITUTE(SUBSTITUTE('Calculations'!HF107,"~","~~"),"*","~*"),"?","~?"),'Calculations'!$HN$13:$HN$512,"="&amp;SUBSTITUTE(SUBSTITUTE(SUBSTITUTE('Dashboard'!$B$7,"~","~~"),"*","~*"),"?","~?"))+COUNTIFS('Calculations'!$HP$13:$HP$512,"="&amp;SUBSTITUTE(SUBSTITUTE(SUBSTITUTE('Calculations'!HF107,"~","~~"),"*","~*"),"?","~?"),'Calculations'!$HN$13:$HN$512,"="&amp;SUBSTITUTE(SUBSTITUTE(SUBSTITUTE('Dashboard'!$B$7,"~","~~"),"*","~*"),"?","~?"))+COUNTIFS('Calculations'!$HQ$13:$HQ$512,"="&amp;SUBSTITUTE(SUBSTITUTE(SUBSTITUTE('Calculations'!HF107,"~","~~"),"*","~*"),"?","~?"),'Calculations'!$HN$13:$HN$512,"="&amp;SUBSTITUTE(SUBSTITUTE(SUBSTITUTE('Dashboard'!$B$7,"~","~~"),"*","~*"),"?","~?"))+COUNTIFS('Calculations'!$HR$13:$HR$512,"="&amp;SUBSTITUTE(SUBSTITUTE(SUBSTITUTE('Calculations'!HF107,"~","~~"),"*","~*"),"?","~?"),'Calculations'!$HN$13:$HN$512,"="&amp;SUBSTITUTE(SUBSTITUTE(SUBSTITUTE('Dashboard'!$B$7,"~","~~"),"*","~*"),"?","~?"))+COUNTIFS('Calculations'!$HS$13:$HS$512,"="&amp;SUBSTITUTE(SUBSTITUTE(SUBSTITUTE('Calculations'!HF107,"~","~~"),"*","~*"),"?","~?"),'Calculations'!$HN$13:$HN$512,"="&amp;SUBSTITUTE(SUBSTITUTE(SUBSTITUTE('Dashboard'!$B$7,"~","~~"),"*","~*"),"?","~?"))+COUNTIFS('Calculations'!$HT$13:$HT$512,"="&amp;SUBSTITUTE(SUBSTITUTE(SUBSTITUTE('Calculations'!HF107,"~","~~"),"*","~*"),"?","~?"),'Calculations'!$HN$13:$HN$512,"="&amp;SUBSTITUTE(SUBSTITUTE(SUBSTITUTE('Dashboard'!$B$7,"~","~~"),"*","~*"),"?","~?"))+COUNTIFS('Calculations'!$HU$13:$HU$512,"="&amp;SUBSTITUTE(SUBSTITUTE(SUBSTITUTE('Calculations'!HF107,"~","~~"),"*","~*"),"?","~?"),'Calculations'!$HN$13:$HN$512,"="&amp;SUBSTITUTE(SUBSTITUTE(SUBSTITUTE('Dashboard'!$B$7,"~","~~"),"*","~*"),"?","~?"))+COUNTIFS('Calculations'!$HV$13:$HV$512,"="&amp;SUBSTITUTE(SUBSTITUTE(SUBSTITUTE('Calculations'!HF107,"~","~~"),"*","~*"),"?","~?"),'Calculations'!$HN$13:$HN$512,"="&amp;SUBSTITUTE(SUBSTITUTE(SUBSTITUTE('Dashboard'!$B$7,"~","~~"),"*","~*"),"?","~?"))+COUNTIFS('Calculations'!$HW$13:$HW$512,"="&amp;SUBSTITUTE(SUBSTITUTE(SUBSTITUTE('Calculations'!HF107,"~","~~"),"*","~*"),"?","~?"),'Calculations'!$HN$13:$HN$512,"="&amp;SUBSTITUTE(SUBSTITUTE(SUBSTITUTE('Dashboard'!$B$7,"~","~~"),"*","~*"),"?","~?"))+COUNTIFS('Calculations'!$HX$13:$HX$512,"="&amp;SUBSTITUTE(SUBSTITUTE(SUBSTITUTE('Calculations'!HF107,"~","~~"),"*","~*"),"?","~?"),'Calculations'!$HN$13:$HN$512,"="&amp;SUBSTITUTE(SUBSTITUTE(SUBSTITUTE('Dashboard'!$B$7,"~","~~"),"*","~*"),"?","~?"))+COUNTIFS('Calculations'!$HY$13:$HY$512,"="&amp;SUBSTITUTE(SUBSTITUTE(SUBSTITUTE('Calculations'!HF107,"~","~~"),"*","~*"),"?","~?"),'Calculations'!$HN$13:$HN$512,"="&amp;SUBSTITUTE(SUBSTITUTE(SUBSTITUTE('Dashboard'!$B$7,"~","~~"),"*","~*"),"?","~?"))+COUNTIFS('Calculations'!$HZ$13:$HZ$512,"="&amp;SUBSTITUTE(SUBSTITUTE(SUBSTITUTE('Calculations'!HF107,"~","~~"),"*","~*"),"?","~?"),'Calculations'!$HN$13:$HN$512,"="&amp;SUBSTITUTE(SUBSTITUTE(SUBSTITUTE('Dashboard'!$B$7,"~","~~"),"*","~*"),"?","~?"))+COUNTIFS('Calculations'!$IA$13:$IA$512,"="&amp;SUBSTITUTE(SUBSTITUTE(SUBSTITUTE('Calculations'!HF107,"~","~~"),"*","~*"),"?","~?"),'Calculations'!$HN$13:$HN$512,"="&amp;SUBSTITUTE(SUBSTITUTE(SUBSTITUTE('Dashboard'!$B$7,"~","~~"),"*","~*"),"?","~?"))+COUNTIFS('Calculations'!$IB$13:$IB$512,"="&amp;SUBSTITUTE(SUBSTITUTE(SUBSTITUTE('Calculations'!HF107,"~","~~"),"*","~*"),"?","~?"),'Calculations'!$HN$13:$HN$512,"="&amp;SUBSTITUTE(SUBSTITUTE(SUBSTITUTE('Dashboard'!$B$7,"~","~~"),"*","~*"),"?","~?"))+COUNTIFS('Calculations'!$IC$13:$IC$512,"="&amp;SUBSTITUTE(SUBSTITUTE(SUBSTITUTE('Calculations'!HF107,"~","~~"),"*","~*"),"?","~?"),'Calculations'!$HN$13:$HN$512,"="&amp;SUBSTITUTE(SUBSTITUTE(SUBSTITUTE('Dashboard'!$B$7,"~","~~"),"*","~*"),"?","~?"))+COUNTIFS('Calculations'!$ID$13:$ID$512,"="&amp;SUBSTITUTE(SUBSTITUTE(SUBSTITUTE('Calculations'!HF107,"~","~~"),"*","~*"),"?","~?"),'Calculations'!$HN$13:$HN$512,"="&amp;SUBSTITUTE(SUBSTITUTE(SUBSTITUTE('Dashboard'!$B$7,"~","~~"),"*","~*"),"?","~?"))+COUNTIFS('Calculations'!$IE$13:$IE$512,"="&amp;SUBSTITUTE(SUBSTITUTE(SUBSTITUTE('Calculations'!HF107,"~","~~"),"*","~*"),"?","~?"),'Calculations'!$HN$13:$HN$512,"="&amp;SUBSTITUTE(SUBSTITUTE(SUBSTITUTE('Dashboard'!$B$7,"~","~~"),"*","~*"),"?","~?"))+COUNTIFS('Calculations'!$IF$13:$IF$512,"="&amp;SUBSTITUTE(SUBSTITUTE(SUBSTITUTE('Calculations'!HF107,"~","~~"),"*","~*"),"?","~?"),'Calculations'!$HN$13:$HN$512,"="&amp;SUBSTITUTE(SUBSTITUTE(SUBSTITUTE('Dashboard'!$B$7,"~","~~"),"*","~*"),"?","~?"))+COUNTIFS('Calculations'!$IG$13:$IG$512,"="&amp;SUBSTITUTE(SUBSTITUTE(SUBSTITUTE('Calculations'!HF107,"~","~~"),"*","~*"),"?","~?"),'Calculations'!$HN$13:$HN$512,"="&amp;SUBSTITUTE(SUBSTITUTE(SUBSTITUTE('Dashboard'!$B$7,"~","~~"),"*","~*"),"?","~?"))+COUNTIFS('Calculations'!$IH$13:$IH$512,"="&amp;SUBSTITUTE(SUBSTITUTE(SUBSTITUTE('Calculations'!HF107,"~","~~"),"*","~*"),"?","~?"),'Calculations'!$HN$13:$HN$512,"="&amp;SUBSTITUTE(SUBSTITUTE(SUBSTITUTE('Dashboard'!$B$7,"~","~~"),"*","~*"),"?","~?"))))</x:f>
        <x:v>0</x:v>
      </x:c>
      <x:c r="JD107" t="n">
        <x:f>IF('Calculations'!EM107="",0,IF('Dashboard'!$B$7="All",1,IF('Calculations'!HN107='Dashboard'!$B$7,1,0)+IFERROR(INDEX('Calculations'!$JC$13:$JC$512,MATCH('Calculations'!HE107,'Calculations'!$HF$13:$HF$512,0)),0)))</x:f>
        <x:v>0</x:v>
      </x:c>
      <x:c r="JE107" t="n">
        <x:f>IF(AND('Calculations'!EM107&lt;&gt;"",'Calculations'!$JJ$2&lt;&gt;"All",'Calculations'!$JJ$2&lt;&gt;"",'Calculations'!HF107='Calculations'!$JJ$2,'Calculations'!HL107=0,'Calculations'!JD107&gt;0),MAX('Calculations'!$JE$12:JE106)+1,0)</x:f>
        <x:v>0</x:v>
      </x:c>
      <x:c r="JF107" t="str">
        <x:f>IF('Calculations'!EM107="","",IFERROR(IF(INDEX(INDIRECT("'WCM Calibration Final'!$G$1:$G$2000"),'Calculations'!$EM107)="","",TRIM(INDEX(INDIRECT("'WCM Calibration Final'!$G$1:$G$2000"),'Calculations'!$EM107)&amp;"")),""))</x:f>
      </x:c>
      <x:c r="JQ107" t="n">
        <x:f>IF(OR('Calculations'!BM107=0,NOT('Calculations'!$AG$2),'Calculations'!$AG$8&gt;0),0,IF(OR('Dashboard'!$B$7="All",'Calculations'!HN107='Dashboard'!$B$7),IF('Calculations'!$JJ$2="All",1,IF(AND('Calculations'!HF107='Calculations'!$JJ$2,'Calculations'!HL107=0),1,0)),0))</x:f>
        <x:v>0</x:v>
      </x:c>
    </x:row>
    <x:row r="108">
      <x:c r="AF108" s="4"/>
      <x:c r="AG108" s="4"/>
      <x:c r="AH108" s="4"/>
      <x:c r="AI108" s="4"/>
      <x:c r="AJ108" s="4"/>
      <x:c r="AK108" s="4"/>
      <x:c r="AL108" s="4"/>
      <x:c r="AM108" s="4"/>
      <x:c r="AN108" s="4"/>
      <x:c r="AO108" s="4"/>
      <x:c r="AP108" s="4"/>
      <x:c r="AQ108" s="4"/>
      <x:c r="AR108" s="4" t="n">
        <x:f>IFERROR(MATCH((MIN('Dashboard'!$Z$93,MAX(1,ROUNDUP(MAX('Calculations'!$DP$12:$DP$1012)/20,0)))-1)*20+11,'Calculations'!$DP$12:$DP$1012,0),0)</x:f>
        <x:v>0</x:v>
      </x:c>
      <x:c r="AS108" s="4"/>
      <x:c r="AT108" s="4"/>
      <x:c r="AU108" s="4"/>
      <x:c r="AV108" s="4"/>
      <x:c r="AW108" s="4"/>
      <x:c r="AX108" s="4"/>
      <x:c r="AY108" s="4"/>
      <x:c r="AZ108" s="4"/>
      <x:c r="BA108" s="4"/>
      <x:c r="BB108" s="4"/>
      <x:c r="BC108" s="4"/>
      <x:c r="BD108" s="4"/>
      <x:c r="BE108" s="4"/>
      <x:c r="BF108" s="4"/>
      <x:c r="BG108" s="4"/>
      <x:c r="BH108" s="4"/>
      <x:c r="BI108" s="4"/>
      <x:c r="BJ108" s="4"/>
      <x:c r="BK108" s="4"/>
      <x:c r="BL108" s="4"/>
      <x:c r="BM108" s="4" t="n">
        <x:f>IF('Calculations'!$EM108="",0,IF(OR(IFERROR(INDEX(INDIRECT("'WCM Calibration Final'!$A$1:$A$2000"),'Calculations'!$EM108)&lt;&gt;"",FALSE),IFERROR(INDEX(INDIRECT("'WCM Calibration Final'!$B$1:$B$2000"),'Calculations'!$EM108)&lt;&gt;"",FALSE),IFERROR(INDEX(INDIRECT("'WCM Calibration Final'!$C$1:$C$2000"),'Calculations'!$EM108)&lt;&gt;"",FALSE)),1,0))</x:f>
        <x:v>0</x:v>
      </x:c>
      <x:c r="BN108" s="4" t="n">
        <x:f>IF(AND('Calculations'!BM108=1,'Calculations'!$AG$2,'Calculations'!$EN108=1),1,0)</x:f>
        <x:v>0</x:v>
      </x:c>
      <x:c r="BO108" s="4" t="str">
        <x:f>IF('Calculations'!BM108=0,"",IFERROR(IF(AND(VALUE(INDEX(INDIRECT("'WCM Calibration Final'!$K$1:$K$2000"),'Calculations'!$EM108))&gt;=1,VALUE(INDEX(INDIRECT("'WCM Calibration Final'!$K$1:$K$2000"),'Calculations'!$EM108))&lt;=4,MOD(VALUE(INDEX(INDIRECT("'WCM Calibration Final'!$K$1:$K$2000"),'Calculations'!$EM108)),1)=0),VALUE(INDEX(INDIRECT("'WCM Calibration Final'!$K$1:$K$2000"),'Calculations'!$EM108)),""),""))</x:f>
      </x:c>
      <x:c r="BP108" s="4" t="str">
        <x:f>IF('Calculations'!BM108=0,"",IFERROR(IF(AND(VALUE(INDEX(INDIRECT("'WCM Calibration Final'!$L$1:$L$2000"),'Calculations'!$EM108))&gt;=1,VALUE(INDEX(INDIRECT("'WCM Calibration Final'!$L$1:$L$2000"),'Calculations'!$EM108))&lt;=4,MOD(VALUE(INDEX(INDIRECT("'WCM Calibration Final'!$L$1:$L$2000"),'Calculations'!$EM108)),1)=0),VALUE(INDEX(INDIRECT("'WCM Calibration Final'!$L$1:$L$2000"),'Calculations'!$EM108)),""),""))</x:f>
      </x:c>
      <x:c r="BQ108" s="4"/>
      <x:c r="BR108" s="4"/>
      <x:c r="BS108" s="4"/>
      <x:c r="BT108" s="4" t="n">
        <x:f>IF(AND('Calculations'!BM108=1,ISNUMBER('Calculations'!BO108),ISNUMBER('Calculations'!BP108)),1,0)</x:f>
        <x:v>0</x:v>
      </x:c>
      <x:c r="BU108" s="4" t="str">
        <x:f>IF('Calculations'!BM108=0,"",'Calculations'!$EO108)</x:f>
      </x:c>
      <x:c r="BV108" s="4" t="str">
        <x:f>IF('Calculations'!BM108=0,"",IFERROR(IF(OR(INDEX(INDIRECT("'WCM Calibration Final'!$H$1:$H$2000"),'Calculations'!$EM108)="MANAGING DIRECTOR",INDEX(INDIRECT("'WCM Calibration Final'!$H$1:$H$2000"),'Calculations'!$EM108)="DIRECTOR",INDEX(INDIRECT("'WCM Calibration Final'!$H$1:$H$2000"),'Calculations'!$EM108)="SENIOR VICE PRESIDENT",INDEX(INDIRECT("'WCM Calibration Final'!$H$1:$H$2000"),'Calculations'!$EM108)="VICE PRESIDENT",INDEX(INDIRECT("'WCM Calibration Final'!$H$1:$H$2000"),'Calculations'!$EM108)="ASSISTANT VICE PRESIDENT",INDEX(INDIRECT("'WCM Calibration Final'!$H$1:$H$2000"),'Calculations'!$EM108)="OFFICER"),UPPER(INDEX(INDIRECT("'WCM Calibration Final'!$H$1:$H$2000"),'Calculations'!$EM108)),"Other"),"Other"))</x:f>
      </x:c>
      <x:c r="BW108" s="4"/>
      <x:c r="BX108" s="4"/>
      <x:c r="BY108" s="4" t="n">
        <x:f>IF(AND('Calculations'!BM108=1,'Calculations'!BU108&lt;&gt;"",COUNTIF('Calculations'!$BU$12:BU108,'Calculations'!BU108)=1),MAX('Calculations'!$BY$11:BY107)+1,0)</x:f>
        <x:v>0</x:v>
      </x:c>
      <x:c r="BZ108" s="4" t="str">
        <x:f>IF('Dashboard'!$E$67="What",'Calculations'!BO108,'Calculations'!BP108)</x:f>
      </x:c>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t="str">
        <x:f>IF(97&gt;MAX('Calculations'!$HI$13:$HI$512),"",INDEX('Calculations'!$HN$13:$HN$512,MATCH(97,'Calculations'!$HI$13:$HI$512,0)))</x:f>
      </x:c>
      <x:c r="DB108" s="4" t="str">
        <x:f>IF(97&gt;MAX('Calculations'!$HH$13:$HH$512),"",INDEX('Calculations'!$HJ$13:$HJ$512,MATCH(97,'Calculations'!$HH$13:$HH$512,0)))</x:f>
      </x:c>
      <x:c r="DC108" s="4" t="str">
        <x:f>IF(ROW()-11&gt;MAX('Calculations'!$BY$13:$BY$512),"",INDEX('Calculations'!$BU$13:$BU$512,MATCH(ROW()-11,'Calculations'!$BY$13:$BY$512,0)))</x:f>
      </x:c>
      <x:c r="DD108" s="4" t="str">
        <x:f>IF(97&gt;MAX('Calculations'!$IK$13:$IK$512),"",INDEX('Calculations'!$HK$13:$HK$512,MATCH(97,'Calculations'!$IK$13:$IK$512,0)))</x:f>
      </x:c>
      <x:c r="DE108" s="4" t="str">
        <x:f>'Calculations'!DC108</x:f>
      </x:c>
      <x:c r="DF108" s="4" t="str">
        <x:f>IF('Calculations'!DE108="","",COUNTIFS('Calculations'!$BN$13:$BN$512,1,'Calculations'!$BU$13:$BU$512,'Calculations'!DE108))</x:f>
      </x:c>
      <x:c r="DG108" s="4" t="str">
        <x:f>IF('Calculations'!DE108="","",COUNTIFS('Calculations'!$BN$13:$BN$512,1,'Calculations'!$BU$13:$BU$512,'Calculations'!DE108,'Calculations'!$BT$13:$BT$512,1))</x:f>
      </x:c>
      <x:c r="DH108" s="4" t="str">
        <x:f>IF('Calculations'!DE108="","",'Calculations'!DF108-'Calculations'!DG108)</x:f>
      </x:c>
      <x:c r="DI108" s="4" t="str">
        <x:f>IF(OR('Calculations'!DE108="",'Calculations'!DF108=0),"",'Calculations'!DG108/'Calculations'!DF108)</x:f>
      </x:c>
      <x:c r="DJ108" s="4" t="str">
        <x:f>IF('Calculations'!DE108="","",COUNTIFS('Calculations'!$BN$13:$BN$512,1,'Calculations'!$BU$13:$BU$512,'Calculations'!DE108,'Calculations'!$BT$13:$BT$512,1,'Calculations'!$EE$13:$EE$512,"High"))</x:f>
      </x:c>
      <x:c r="DK108" s="4" t="str">
        <x:f>IF('Calculations'!DE108="","",COUNTIFS('Calculations'!$BN$13:$BN$512,1,'Calculations'!$BU$13:$BU$512,'Calculations'!DE108,'Calculations'!$BT$13:$BT$512,1,'Calculations'!$EE$13:$EE$512,"Strong"))</x:f>
      </x:c>
      <x:c r="DL108" s="4" t="str">
        <x:f>IF('Calculations'!DE108="","",COUNTIFS('Calculations'!$BN$13:$BN$512,1,'Calculations'!$BU$13:$BU$512,'Calculations'!DE108,'Calculations'!$BT$13:$BT$512,1,'Calculations'!$EE$13:$EE$512,"Solid"))</x:f>
      </x:c>
      <x:c r="DM108" s="4" t="str">
        <x:f>IF('Calculations'!DE108="","",COUNTIFS('Calculations'!$BN$13:$BN$512,1,'Calculations'!$BU$13:$BU$512,'Calculations'!DE108,'Calculations'!$BT$13:$BT$512,1,'Calculations'!$EE$13:$EE$512,"Low"))</x:f>
      </x:c>
      <x:c r="DN108" s="4" t="str">
        <x:f>IF('Calculations'!DE108="","",COUNTIFS('Calculations'!$BN$13:$BN$512,1,'Calculations'!$BU$13:$BU$512,'Calculations'!DE108,'Calculations'!$EP$13:$EP$512,1))</x:f>
      </x:c>
      <x:c r="DO108" s="4" t="str">
        <x:f>IF(OR('Calculations'!DE108="",'Calculations'!DG108=0),"",('Calculations'!DJ108+'Calculations'!DK108)/'Calculations'!DG108)</x:f>
      </x:c>
      <x:c r="DP108" s="4" t="n">
        <x:f>IF(AND('Calculations'!DE108&lt;&gt;"",'Calculations'!DF108&gt;0),COUNTIF('Calculations'!$DF$12:DF108,"&gt;0"),0)</x:f>
        <x:v>0</x:v>
      </x:c>
      <x:c r="DQ108" s="4" t="str">
        <x:f>IF(97&gt;MAX('Calculations'!$HH$13:$HH$512),"",INDEX('Calculations'!$HF$13:$HF$512,MATCH(97,'Calculations'!$HH$13:$HH$512,0)))</x:f>
      </x:c>
      <x:c r="DR108" s="4" t="str">
        <x:f>IF(97&gt;MAX('Calculations'!$IK$13:$IK$512),"",INDEX('Calculations'!$HE$13:$HE$512,MATCH(97,'Calculations'!$IK$13:$IK$512,0)))</x:f>
      </x:c>
      <x:c r="DS108" s="4"/>
      <x:c r="DT108" s="4"/>
      <x:c r="DU108" s="4"/>
      <x:c r="DV108" s="4"/>
      <x:c r="DW108" s="4"/>
      <x:c r="DX108" s="4"/>
      <x:c r="DY108" s="4"/>
      <x:c r="DZ108" s="4"/>
      <x:c r="EA108" s="4"/>
      <x:c r="EB108" s="4"/>
      <x:c r="EC108" s="4"/>
      <x:c r="ED108" s="4"/>
      <x:c r="EE108" s="4" t="str">
        <x:f>IF('Calculations'!BT108=0,"Not Rated",IF(OR('Calculations'!BO108&gt;=4,'Calculations'!BP108&gt;=4),"Low",IF('Calculations'!BO108+'Calculations'!BP108&lt;=3,"High",IF('Calculations'!BO108+'Calculations'!BP108&lt;=4,"Strong","Solid"))))</x:f>
        <x:v>Not Rated</x:v>
      </x:c>
      <x:c r="EF108" s="4"/>
      <x:c r="EG108" s="4"/>
      <x:c r="EH108" s="4"/>
      <x:c r="EI108" s="4"/>
      <x:c r="EJ108" s="4"/>
      <x:c r="EK108" s="4"/>
      <x:c r="EL108" s="4"/>
      <x:c r="EM108" s="4" t="str">
        <x:f>IF(96&gt;'Calculations'!$JB$2000,"",INDEX('Calculations'!$JA$12:$JA$2000,MATCH(96,'Calculations'!$JB$12:$JB$2000,0)))</x:f>
      </x:c>
      <x:c r="EN108" s="4" t="n">
        <x:f>IF(OR('Calculations'!EM108="",'Calculations'!$AG$8&gt;0,AND('Calculations'!$EF$2&lt;&gt;"All",'Calculations'!HE108='Calculations'!$EF$2),AND('Calculations'!$EF$3&lt;&gt;"All",'Calculations'!HE108='Calculations'!$EF$3)),0,IF(OR('Dashboard'!$B$7="All",'Calculations'!HN108='Dashboard'!$B$7),IF('Calculations'!$EF$2="All",1,IF('Calculations'!HL108&gt;0,0,IF(COUNTIF('Calculations'!HO108:II108,"="&amp;SUBSTITUTE(SUBSTITUTE(SUBSTITUTE('Calculations'!$EF$2,"~","~~"),"*","~*"),"?","~?"))=0,0,IF('Calculations'!$EF$3="All",1,IF(COUNTIF('Calculations'!HO108:II108,"="&amp;SUBSTITUTE(SUBSTITUTE(SUBSTITUTE('Calculations'!$EF$3,"~","~~"),"*","~*"),"?","~?"))&gt;0,1,0))))),0))</x:f>
        <x:v>0</x:v>
      </x:c>
      <x:c r="EO108" s="4" t="str">
        <x:f>IF('Calculations'!IJ108="","",IF('Calculations'!IJ108="!UNRESOLVED","Unresolved hierarchy",IFERROR(INDEX('Calculations'!$HK$13:$HK$512,MATCH('Calculations'!IJ108,'Calculations'!$HE$13:$HE$512,0)),IFERROR(INDEX('Calculations'!$HJ$13:$HJ$512,MATCH('Calculations'!IJ108,'Calculations'!$HF$13:$HF$512,0)),'Calculations'!IJ108))))</x:f>
      </x:c>
      <x:c r="EP108" s="4" t="n">
        <x:f>IF(AND('Calculations'!EM108&lt;&gt;"",'Calculations'!HF108='Calculations'!IJ108),1,0)</x:f>
        <x:v>0</x:v>
      </x:c>
      <x:c r="EQ108" s="4"/>
      <x:c r="ER108" s="4"/>
      <x:c r="ES108" s="4"/>
      <x:c r="ET108" s="4"/>
      <x:c r="EU108" s="4"/>
      <x:c r="EV108" s="4"/>
      <x:c r="EW108" s="4"/>
      <x:c r="EX108" s="4"/>
      <x:c r="EY108" s="4"/>
      <x:c r="EZ108" s="4"/>
      <x:c r="FA108" s="4"/>
      <x:c r="FB108" s="4"/>
      <x:c r="FC108" s="4"/>
      <x:c r="FD108" s="4"/>
      <x:c r="FE108" s="4"/>
      <x:c r="FF108" s="4"/>
      <x:c r="FG108" s="4"/>
      <x:c r="FH108" s="4"/>
      <x:c r="FI108" s="4"/>
      <x:c r="FJ108" s="4"/>
      <x:c r="FK108" s="4"/>
      <x:c r="FL108" s="4"/>
      <x:c r="FM108" s="4"/>
      <x:c r="FN108" s="4"/>
      <x:c r="FO108" s="4"/>
      <x:c r="GA108" s="71"/>
      <x:c r="GB108" s="71" t="str">
        <x:f>IF('Calculations'!$AR108=0,"",INDEX('Calculations'!$DE$12:$DE$1012,'Calculations'!$AR108))</x:f>
      </x:c>
      <x:c r="GC108" s="71"/>
      <x:c r="GD108" s="71"/>
      <x:c r="GE108" s="71"/>
      <x:c r="GF108" s="71"/>
      <x:c r="GG108" s="71"/>
      <x:c r="GH108" s="71"/>
      <x:c r="GI108" s="71" t="str">
        <x:f>IF('Calculations'!$AR108=0,"",INDEX('Calculations'!$DF$12:$DF$1012,'Calculations'!$AR108))</x:f>
      </x:c>
      <x:c r="GJ108" s="71"/>
      <x:c r="GK108" s="71" t="str">
        <x:f>IF('Calculations'!$AR108=0,"",INDEX('Calculations'!$DG$12:$DG$1012,'Calculations'!$AR108))</x:f>
      </x:c>
      <x:c r="GL108" s="71"/>
      <x:c r="GM108" s="71" t="str">
        <x:f>IF('Calculations'!$AR108=0,"",INDEX('Calculations'!$DH$12:$DH$1012,'Calculations'!$AR108))</x:f>
      </x:c>
      <x:c r="GN108" s="71"/>
      <x:c r="GO108" s="71" t="str">
        <x:f>IF('Calculations'!$AR108=0,"",INDEX('Calculations'!$DI$12:$DI$1012,'Calculations'!$AR108))</x:f>
      </x:c>
      <x:c r="GP108" s="71"/>
      <x:c r="GQ108" s="71" t="str">
        <x:f>IF('Calculations'!$AR108=0,"",INDEX('Calculations'!$DJ$12:$DJ$1012,'Calculations'!$AR108)&amp;" · "&amp;IF(INDEX('Calculations'!$DG$12:$DG$1012,'Calculations'!$AR108)=0,"n.a.",TEXT(INDEX('Calculations'!$DJ$12:$DJ$1012,'Calculations'!$AR108)/INDEX('Calculations'!$DG$12:$DG$1012,'Calculations'!$AR108),"0.0%")))</x:f>
      </x:c>
      <x:c r="GR108" s="71"/>
      <x:c r="GS108" s="71" t="str">
        <x:f>IF('Calculations'!$AR108=0,"",INDEX('Calculations'!$DK$12:$DK$1012,'Calculations'!$AR108)&amp;" · "&amp;IF(INDEX('Calculations'!$DG$12:$DG$1012,'Calculations'!$AR108)=0,"n.a.",TEXT(INDEX('Calculations'!$DK$12:$DK$1012,'Calculations'!$AR108)/INDEX('Calculations'!$DG$12:$DG$1012,'Calculations'!$AR108),"0.0%")))</x:f>
      </x:c>
      <x:c r="GT108" s="71"/>
      <x:c r="GU108" s="71" t="str">
        <x:f>IF('Calculations'!$AR108=0,"",INDEX('Calculations'!$DL$12:$DL$1012,'Calculations'!$AR108)&amp;" · "&amp;IF(INDEX('Calculations'!$DG$12:$DG$1012,'Calculations'!$AR108)=0,"n.a.",TEXT(INDEX('Calculations'!$DL$12:$DL$1012,'Calculations'!$AR108)/INDEX('Calculations'!$DG$12:$DG$1012,'Calculations'!$AR108),"0.0%")))</x:f>
      </x:c>
      <x:c r="GV108" s="71"/>
      <x:c r="GW108" s="71" t="str">
        <x:f>IF('Calculations'!$AR108=0,"",INDEX('Calculations'!$DM$12:$DM$1012,'Calculations'!$AR108)&amp;" · "&amp;IF(INDEX('Calculations'!$DG$12:$DG$1012,'Calculations'!$AR108)=0,"n.a.",TEXT(INDEX('Calculations'!$DM$12:$DM$1012,'Calculations'!$AR108)/INDEX('Calculations'!$DG$12:$DG$1012,'Calculations'!$AR108),"0.0%")))</x:f>
      </x:c>
      <x:c r="GX108" s="71"/>
      <x:c r="GY108" s="71" t="str">
        <x:f>IF('Calculations'!$AR108=0,"",INDEX('Calculations'!$DN$12:$DN$1012,'Calculations'!$AR108))</x:f>
      </x:c>
      <x:c r="GZ108" s="71"/>
      <x:c r="HA108" s="71" t="str">
        <x:f>IF('Calculations'!$AR108=0,"",INDEX('Calculations'!$DO$12:$DO$1012,'Calculations'!$AR108))</x:f>
      </x:c>
      <x:c r="HB108" s="71"/>
      <x:c r="HC108" s="71"/>
      <x:c r="HD108" s="71"/>
      <x:c r="HE108" t="str">
        <x:f>IF('Calculations'!EM108="","",IF(IFERROR(IF(INDEX(INDIRECT("'WCM Calibration Final'!$A$1:$A$2000"),'Calculations'!$EM108)="","",TRIM(INDEX(INDIRECT("'WCM Calibration Final'!$A$1:$A$2000"),'Calculations'!$EM108)&amp;"")),"")&lt;&gt;"","G:"&amp;IFERROR(TEXT(1*INDEX(INDIRECT("'WCM Calibration Final'!$A$1:$A$2000"),'Calculations'!$EM108),"0"),UPPER(IFERROR(IF(INDEX(INDIRECT("'WCM Calibration Final'!$A$1:$A$2000"),'Calculations'!$EM108)="","",TRIM(INDEX(INDIRECT("'WCM Calibration Final'!$A$1:$A$2000"),'Calculations'!$EM108)&amp;"")),""))),IF(IFERROR(IF(INDEX(INDIRECT("'WCM Calibration Final'!$C$1:$C$2000"),'Calculations'!$EM108)="","",TRIM(INDEX(INDIRECT("'WCM Calibration Final'!$C$1:$C$2000"),'Calculations'!$EM108)&amp;"")),"")&lt;&gt;"","S:"&amp;UPPER(IFERROR(IF(INDEX(INDIRECT("'WCM Calibration Final'!$C$1:$C$2000"),'Calculations'!$EM108)="","",TRIM(INDEX(INDIRECT("'WCM Calibration Final'!$C$1:$C$2000"),'Calculations'!$EM108)&amp;"")),"")),"R:"&amp;'Calculations'!EM108)))</x:f>
      </x:c>
      <x:c r="HF108" t="str">
        <x:f>IF('Calculations'!EM108="","",IF(IFERROR(IF(INDEX(INDIRECT("'WCM Calibration Final'!$D$1:$D$2000"),'Calculations'!$EM108)="","",TRIM(INDEX(INDIRECT("'WCM Calibration Final'!$D$1:$D$2000"),'Calculations'!$EM108)&amp;"")),"")&lt;&gt;"","G:"&amp;IFERROR(TEXT(1*INDEX(INDIRECT("'WCM Calibration Final'!$D$1:$D$2000"),'Calculations'!$EM108),"0"),UPPER(IFERROR(IF(INDEX(INDIRECT("'WCM Calibration Final'!$D$1:$D$2000"),'Calculations'!$EM108)="","",TRIM(INDEX(INDIRECT("'WCM Calibration Final'!$D$1:$D$2000"),'Calculations'!$EM108)&amp;"")),""))),IF(IFERROR(IF(INDEX(INDIRECT("'WCM Calibration Final'!$E$1:$E$2000"),'Calculations'!$EM108)="","",TRIM(INDEX(INDIRECT("'WCM Calibration Final'!$E$1:$E$2000"),'Calculations'!$EM108)&amp;"")),"")="","",IF(COUNTIF('Calculations'!$HG$13:$HG$512,"="&amp;SUBSTITUTE(SUBSTITUTE(SUBSTITUTE(IFERROR(IF(INDEX(INDIRECT("'WCM Calibration Final'!$E$1:$E$2000"),'Calculations'!$EM108)="","",TRIM(INDEX(INDIRECT("'WCM Calibration Final'!$E$1:$E$2000"),'Calculations'!$EM108)&amp;"")),""),"~","~~"),"*","~*"),"?","~?"))=1,INDEX('Calculations'!$HE$13:$HE$512,MATCH(IFERROR(IF(INDEX(INDIRECT("'WCM Calibration Final'!$E$1:$E$2000"),'Calculations'!$EM108)="","",TRIM(INDEX(INDIRECT("'WCM Calibration Final'!$E$1:$E$2000"),'Calculations'!$EM108)&amp;"")),""),'Calculations'!$HG$13:$HG$512,0)),IF(COUNTIF('Calculations'!$HG$13:$HG$512,"="&amp;SUBSTITUTE(SUBSTITUTE(SUBSTITUTE(IFERROR(IF(INDEX(INDIRECT("'WCM Calibration Final'!$E$1:$E$2000"),'Calculations'!$EM108)="","",TRIM(INDEX(INDIRECT("'WCM Calibration Final'!$E$1:$E$2000"),'Calculations'!$EM108)&amp;"")),""),"~","~~"),"*","~*"),"?","~?"))&gt;1,"!AMBIG","X:"&amp;IFERROR(IF(INDEX(INDIRECT("'WCM Calibration Final'!$E$1:$E$2000"),'Calculations'!$EM108)="","",TRIM(INDEX(INDIRECT("'WCM Calibration Final'!$E$1:$E$2000"),'Calculations'!$EM108)&amp;"")),""))))))</x:f>
      </x:c>
      <x:c r="HG108" t="str">
        <x:f>IF('Calculations'!EM108="","",IFERROR(IF(INDEX(INDIRECT("'WCM Calibration Final'!$B$1:$B$2000"),'Calculations'!$EM108)="","",TRIM(INDEX(INDIRECT("'WCM Calibration Final'!$B$1:$B$2000"),'Calculations'!$EM108)&amp;"")),""))</x:f>
      </x:c>
      <x:c r="HH108" t="n">
        <x:f>IF(AND('Calculations'!JC108&gt;0,COUNTIF('Calculations'!$HF$12:HF108,"="&amp;SUBSTITUTE(SUBSTITUTE(SUBSTITUTE('Calculations'!HF108,"~","~~"),"*","~*"),"?","~?"))=1),MAX('Calculations'!$HH$12:HH107)+1,0)</x:f>
        <x:v>0</x:v>
      </x:c>
      <x:c r="HI108" t="n">
        <x:f>IF(AND('Calculations'!HN108&lt;&gt;"",COUNTIF('Calculations'!$HN$12:HN108,"="&amp;SUBSTITUTE(SUBSTITUTE(SUBSTITUTE('Calculations'!HN108,"~","~~"),"*","~*"),"?","~?"))=1),MAX('Calculations'!$HI$12:HI107)+1,0)</x:f>
        <x:v>0</x:v>
      </x:c>
      <x:c r="HJ108" t="str">
        <x:f>IF('Calculations'!HF108="","",IF(COUNTIF('Calculations'!$HE$13:$HE$512,"="&amp;SUBSTITUTE(SUBSTITUTE(SUBSTITUTE('Calculations'!HF108,"~","~~"),"*","~*"),"?","~?"))=1,INDEX('Calculations'!$HK$13:$HK$512,MATCH('Calculations'!HF108,'Calculations'!$HE$13:$HE$512,0)),IFERROR(IF(INDEX(INDIRECT("'WCM Calibration Final'!$E$1:$E$2000"),'Calculations'!$EM108)="","",TRIM(INDEX(INDIRECT("'WCM Calibration Final'!$E$1:$E$2000"),'Calculations'!$EM108)&amp;"")),"")&amp;" ["&amp;'Calculations'!HF108&amp;"]"))</x:f>
      </x:c>
      <x:c r="HK108" t="str">
        <x:f>IF('Calculations'!EM108="","",'Calculations'!HG108&amp;" ["&amp;'Calculations'!HE108&amp;"]")</x:f>
      </x:c>
      <x:c r="HL108" t="n">
        <x:f>IF('Calculations'!EM108="",0,IF(OR('Calculations'!II108&lt;&gt;"",COUNTIF('Calculations'!$HE$13:$HE$512,"="&amp;SUBSTITUTE(SUBSTITUTE(SUBSTITUTE('Calculations'!HE108,"~","~~"),"*","~*"),"?","~?"))&gt;1),1,0))</x:f>
        <x:v>0</x:v>
      </x:c>
      <x:c r="HM108" t="str">
        <x:f>IF('Calculations'!EM108="","",IF('Calculations'!HL108=1,"!UNRESOLVED",IF('Calculations'!IH108&lt;&gt;"",'Calculations'!IH108,IF('Calculations'!IG108&lt;&gt;"",'Calculations'!IG108,IF('Calculations'!IF108&lt;&gt;"",'Calculations'!IF108,IF('Calculations'!IE108&lt;&gt;"",'Calculations'!IE108,IF('Calculations'!ID108&lt;&gt;"",'Calculations'!ID108,IF('Calculations'!IC108&lt;&gt;"",'Calculations'!IC108,IF('Calculations'!IB108&lt;&gt;"",'Calculations'!IB108,IF('Calculations'!IA108&lt;&gt;"",'Calculations'!IA108,IF('Calculations'!HZ108&lt;&gt;"",'Calculations'!HZ108,IF('Calculations'!HY108&lt;&gt;"",'Calculations'!HY108,IF('Calculations'!HX108&lt;&gt;"",'Calculations'!HX108,IF('Calculations'!HW108&lt;&gt;"",'Calculations'!HW108,IF('Calculations'!HV108&lt;&gt;"",'Calculations'!HV108,IF('Calculations'!HU108&lt;&gt;"",'Calculations'!HU108,IF('Calculations'!HT108&lt;&gt;"",'Calculations'!HT108,IF('Calculations'!HS108&lt;&gt;"",'Calculations'!HS108,IF('Calculations'!HR108&lt;&gt;"",'Calculations'!HR108,IF('Calculations'!HQ108&lt;&gt;"",'Calculations'!HQ108,IF('Calculations'!HP108&lt;&gt;"",'Calculations'!HP108,IF('Calculations'!HO108&lt;&gt;"",'Calculations'!HO108,'Calculations'!HE108))))))))))))))))))))))</x:f>
      </x:c>
      <x:c r="HN108" t="str">
        <x:f>IF('Calculations'!EM108="","",IF(IFERROR(IF(INDEX(INDIRECT("'WCM Calibration Final'!$F$1:$F$2000"),'Calculations'!$EM108)="","",TRIM(INDEX(INDIRECT("'WCM Calibration Final'!$F$1:$F$2000"),'Calculations'!$EM108)&amp;"")),"")="","(Blank)",IFERROR(IF(INDEX(INDIRECT("'WCM Calibration Final'!$F$1:$F$2000"),'Calculations'!$EM108)="","",TRIM(INDEX(INDIRECT("'WCM Calibration Final'!$F$1:$F$2000"),'Calculations'!$EM108)&amp;"")),"")))</x:f>
      </x:c>
      <x:c r="HO108" t="str">
        <x:f>'Calculations'!HF108</x:f>
      </x:c>
      <x:c r="HP108" t="str">
        <x:f>IF('Calculations'!HO108="","",IF('Calculations'!HO108="!AMBIG","!AMBIG",IF(COUNTIF('Calculations'!$HE$13:$HE$512,"="&amp;SUBSTITUTE(SUBSTITUTE(SUBSTITUTE('Calculations'!HO108,"~","~~"),"*","~*"),"?","~?"))&gt;1,"!AMBIG",IFERROR(INDEX('Calculations'!$HF$13:$HF$512,MATCH('Calculations'!HO108,'Calculations'!$HE$13:$HE$512,0)),""))))</x:f>
      </x:c>
      <x:c r="HQ108" t="str">
        <x:f>IF('Calculations'!HP108="","",IF('Calculations'!HP108="!AMBIG","!AMBIG",IF(COUNTIF('Calculations'!$HE$13:$HE$512,"="&amp;SUBSTITUTE(SUBSTITUTE(SUBSTITUTE('Calculations'!HP108,"~","~~"),"*","~*"),"?","~?"))&gt;1,"!AMBIG",IFERROR(INDEX('Calculations'!$HF$13:$HF$512,MATCH('Calculations'!HP108,'Calculations'!$HE$13:$HE$512,0)),""))))</x:f>
      </x:c>
      <x:c r="HR108" t="str">
        <x:f>IF('Calculations'!HQ108="","",IF('Calculations'!HQ108="!AMBIG","!AMBIG",IF(COUNTIF('Calculations'!$HE$13:$HE$512,"="&amp;SUBSTITUTE(SUBSTITUTE(SUBSTITUTE('Calculations'!HQ108,"~","~~"),"*","~*"),"?","~?"))&gt;1,"!AMBIG",IFERROR(INDEX('Calculations'!$HF$13:$HF$512,MATCH('Calculations'!HQ108,'Calculations'!$HE$13:$HE$512,0)),""))))</x:f>
      </x:c>
      <x:c r="HS108" t="str">
        <x:f>IF('Calculations'!HR108="","",IF('Calculations'!HR108="!AMBIG","!AMBIG",IF(COUNTIF('Calculations'!$HE$13:$HE$512,"="&amp;SUBSTITUTE(SUBSTITUTE(SUBSTITUTE('Calculations'!HR108,"~","~~"),"*","~*"),"?","~?"))&gt;1,"!AMBIG",IFERROR(INDEX('Calculations'!$HF$13:$HF$512,MATCH('Calculations'!HR108,'Calculations'!$HE$13:$HE$512,0)),""))))</x:f>
      </x:c>
      <x:c r="HT108" t="str">
        <x:f>IF('Calculations'!HS108="","",IF('Calculations'!HS108="!AMBIG","!AMBIG",IF(COUNTIF('Calculations'!$HE$13:$HE$512,"="&amp;SUBSTITUTE(SUBSTITUTE(SUBSTITUTE('Calculations'!HS108,"~","~~"),"*","~*"),"?","~?"))&gt;1,"!AMBIG",IFERROR(INDEX('Calculations'!$HF$13:$HF$512,MATCH('Calculations'!HS108,'Calculations'!$HE$13:$HE$512,0)),""))))</x:f>
      </x:c>
      <x:c r="HU108" t="str">
        <x:f>IF('Calculations'!HT108="","",IF('Calculations'!HT108="!AMBIG","!AMBIG",IF(COUNTIF('Calculations'!$HE$13:$HE$512,"="&amp;SUBSTITUTE(SUBSTITUTE(SUBSTITUTE('Calculations'!HT108,"~","~~"),"*","~*"),"?","~?"))&gt;1,"!AMBIG",IFERROR(INDEX('Calculations'!$HF$13:$HF$512,MATCH('Calculations'!HT108,'Calculations'!$HE$13:$HE$512,0)),""))))</x:f>
      </x:c>
      <x:c r="HV108" t="str">
        <x:f>IF('Calculations'!HU108="","",IF('Calculations'!HU108="!AMBIG","!AMBIG",IF(COUNTIF('Calculations'!$HE$13:$HE$512,"="&amp;SUBSTITUTE(SUBSTITUTE(SUBSTITUTE('Calculations'!HU108,"~","~~"),"*","~*"),"?","~?"))&gt;1,"!AMBIG",IFERROR(INDEX('Calculations'!$HF$13:$HF$512,MATCH('Calculations'!HU108,'Calculations'!$HE$13:$HE$512,0)),""))))</x:f>
      </x:c>
      <x:c r="HW108" t="str">
        <x:f>IF('Calculations'!HV108="","",IF('Calculations'!HV108="!AMBIG","!AMBIG",IF(COUNTIF('Calculations'!$HE$13:$HE$512,"="&amp;SUBSTITUTE(SUBSTITUTE(SUBSTITUTE('Calculations'!HV108,"~","~~"),"*","~*"),"?","~?"))&gt;1,"!AMBIG",IFERROR(INDEX('Calculations'!$HF$13:$HF$512,MATCH('Calculations'!HV108,'Calculations'!$HE$13:$HE$512,0)),""))))</x:f>
      </x:c>
      <x:c r="HX108" t="str">
        <x:f>IF('Calculations'!HW108="","",IF('Calculations'!HW108="!AMBIG","!AMBIG",IF(COUNTIF('Calculations'!$HE$13:$HE$512,"="&amp;SUBSTITUTE(SUBSTITUTE(SUBSTITUTE('Calculations'!HW108,"~","~~"),"*","~*"),"?","~?"))&gt;1,"!AMBIG",IFERROR(INDEX('Calculations'!$HF$13:$HF$512,MATCH('Calculations'!HW108,'Calculations'!$HE$13:$HE$512,0)),""))))</x:f>
      </x:c>
      <x:c r="HY108" t="str">
        <x:f>IF('Calculations'!HX108="","",IF('Calculations'!HX108="!AMBIG","!AMBIG",IF(COUNTIF('Calculations'!$HE$13:$HE$512,"="&amp;SUBSTITUTE(SUBSTITUTE(SUBSTITUTE('Calculations'!HX108,"~","~~"),"*","~*"),"?","~?"))&gt;1,"!AMBIG",IFERROR(INDEX('Calculations'!$HF$13:$HF$512,MATCH('Calculations'!HX108,'Calculations'!$HE$13:$HE$512,0)),""))))</x:f>
      </x:c>
      <x:c r="HZ108" t="str">
        <x:f>IF('Calculations'!HY108="","",IF('Calculations'!HY108="!AMBIG","!AMBIG",IF(COUNTIF('Calculations'!$HE$13:$HE$512,"="&amp;SUBSTITUTE(SUBSTITUTE(SUBSTITUTE('Calculations'!HY108,"~","~~"),"*","~*"),"?","~?"))&gt;1,"!AMBIG",IFERROR(INDEX('Calculations'!$HF$13:$HF$512,MATCH('Calculations'!HY108,'Calculations'!$HE$13:$HE$512,0)),""))))</x:f>
      </x:c>
      <x:c r="IA108" t="str">
        <x:f>IF('Calculations'!HZ108="","",IF('Calculations'!HZ108="!AMBIG","!AMBIG",IF(COUNTIF('Calculations'!$HE$13:$HE$512,"="&amp;SUBSTITUTE(SUBSTITUTE(SUBSTITUTE('Calculations'!HZ108,"~","~~"),"*","~*"),"?","~?"))&gt;1,"!AMBIG",IFERROR(INDEX('Calculations'!$HF$13:$HF$512,MATCH('Calculations'!HZ108,'Calculations'!$HE$13:$HE$512,0)),""))))</x:f>
      </x:c>
      <x:c r="IB108" t="str">
        <x:f>IF('Calculations'!IA108="","",IF('Calculations'!IA108="!AMBIG","!AMBIG",IF(COUNTIF('Calculations'!$HE$13:$HE$512,"="&amp;SUBSTITUTE(SUBSTITUTE(SUBSTITUTE('Calculations'!IA108,"~","~~"),"*","~*"),"?","~?"))&gt;1,"!AMBIG",IFERROR(INDEX('Calculations'!$HF$13:$HF$512,MATCH('Calculations'!IA108,'Calculations'!$HE$13:$HE$512,0)),""))))</x:f>
      </x:c>
      <x:c r="IC108" t="str">
        <x:f>IF('Calculations'!IB108="","",IF('Calculations'!IB108="!AMBIG","!AMBIG",IF(COUNTIF('Calculations'!$HE$13:$HE$512,"="&amp;SUBSTITUTE(SUBSTITUTE(SUBSTITUTE('Calculations'!IB108,"~","~~"),"*","~*"),"?","~?"))&gt;1,"!AMBIG",IFERROR(INDEX('Calculations'!$HF$13:$HF$512,MATCH('Calculations'!IB108,'Calculations'!$HE$13:$HE$512,0)),""))))</x:f>
      </x:c>
      <x:c r="ID108" t="str">
        <x:f>IF('Calculations'!IC108="","",IF('Calculations'!IC108="!AMBIG","!AMBIG",IF(COUNTIF('Calculations'!$HE$13:$HE$512,"="&amp;SUBSTITUTE(SUBSTITUTE(SUBSTITUTE('Calculations'!IC108,"~","~~"),"*","~*"),"?","~?"))&gt;1,"!AMBIG",IFERROR(INDEX('Calculations'!$HF$13:$HF$512,MATCH('Calculations'!IC108,'Calculations'!$HE$13:$HE$512,0)),""))))</x:f>
      </x:c>
      <x:c r="IE108" t="str">
        <x:f>IF('Calculations'!ID108="","",IF('Calculations'!ID108="!AMBIG","!AMBIG",IF(COUNTIF('Calculations'!$HE$13:$HE$512,"="&amp;SUBSTITUTE(SUBSTITUTE(SUBSTITUTE('Calculations'!ID108,"~","~~"),"*","~*"),"?","~?"))&gt;1,"!AMBIG",IFERROR(INDEX('Calculations'!$HF$13:$HF$512,MATCH('Calculations'!ID108,'Calculations'!$HE$13:$HE$512,0)),""))))</x:f>
      </x:c>
      <x:c r="IF108" t="str">
        <x:f>IF('Calculations'!IE108="","",IF('Calculations'!IE108="!AMBIG","!AMBIG",IF(COUNTIF('Calculations'!$HE$13:$HE$512,"="&amp;SUBSTITUTE(SUBSTITUTE(SUBSTITUTE('Calculations'!IE108,"~","~~"),"*","~*"),"?","~?"))&gt;1,"!AMBIG",IFERROR(INDEX('Calculations'!$HF$13:$HF$512,MATCH('Calculations'!IE108,'Calculations'!$HE$13:$HE$512,0)),""))))</x:f>
      </x:c>
      <x:c r="IG108" t="str">
        <x:f>IF('Calculations'!IF108="","",IF('Calculations'!IF108="!AMBIG","!AMBIG",IF(COUNTIF('Calculations'!$HE$13:$HE$512,"="&amp;SUBSTITUTE(SUBSTITUTE(SUBSTITUTE('Calculations'!IF108,"~","~~"),"*","~*"),"?","~?"))&gt;1,"!AMBIG",IFERROR(INDEX('Calculations'!$HF$13:$HF$512,MATCH('Calculations'!IF108,'Calculations'!$HE$13:$HE$512,0)),""))))</x:f>
      </x:c>
      <x:c r="IH108" t="str">
        <x:f>IF('Calculations'!IG108="","",IF('Calculations'!IG108="!AMBIG","!AMBIG",IF(COUNTIF('Calculations'!$HE$13:$HE$512,"="&amp;SUBSTITUTE(SUBSTITUTE(SUBSTITUTE('Calculations'!IG108,"~","~~"),"*","~*"),"?","~?"))&gt;1,"!AMBIG",IFERROR(INDEX('Calculations'!$HF$13:$HF$512,MATCH('Calculations'!IG108,'Calculations'!$HE$13:$HE$512,0)),""))))</x:f>
      </x:c>
      <x:c r="II108" t="str">
        <x:f>IF('Calculations'!IH108="","",IF('Calculations'!IH108="!AMBIG","!AMBIG",IF(COUNTIF('Calculations'!$HE$13:$HE$512,"="&amp;SUBSTITUTE(SUBSTITUTE(SUBSTITUTE('Calculations'!IH108,"~","~~"),"*","~*"),"?","~?"))&gt;1,"!AMBIG",IFERROR(INDEX('Calculations'!$HF$13:$HF$512,MATCH('Calculations'!IH108,'Calculations'!$HE$13:$HE$512,0)),""))))</x:f>
      </x:c>
      <x:c r="IJ108" t="str">
        <x:f>IF('Calculations'!EM108="","",IF('Calculations'!$EF$2="All",'Calculations'!HM108,IF('Calculations'!HL108=1,"",IFERROR(IF(MATCH('Calculations'!$EF$2,'Calculations'!HO108:II108,0)=1,'Calculations'!HE108,INDEX('Calculations'!HO108:II108,1,MATCH('Calculations'!$EF$2,'Calculations'!HO108:II108,0)-1)),""))))</x:f>
      </x:c>
      <x:c r="IK108" t="n">
        <x:f>IF(AND('Calculations'!EM108&lt;&gt;"",'Calculations'!$EF$2&lt;&gt;"All",'Calculations'!HF108='Calculations'!$EF$2,'Calculations'!HL108=0,'Calculations'!JD108&gt;0),MAX('Calculations'!$IK$12:IK107)+1,0)</x:f>
        <x:v>0</x:v>
      </x:c>
      <x:c r="JA108" t="n">
        <x:f>IF(OR(IFERROR(INDIRECT("'WCM Calibration Final'!$A$108")&lt;&gt;"",FALSE),IFERROR(INDIRECT("'WCM Calibration Final'!$B$108")&lt;&gt;"",FALSE),IFERROR(INDIRECT("'WCM Calibration Final'!$C$108")&lt;&gt;"",FALSE)),108,0)</x:f>
        <x:v>0</x:v>
      </x:c>
      <x:c r="JB108" t="n">
        <x:f>'Calculations'!JB107+IF('Calculations'!JA108&gt;0,1,0)</x:f>
        <x:v>0</x:v>
      </x:c>
      <x:c r="JC108" t="n">
        <x:f>IF(OR('Calculations'!HF108="",'Calculations'!HF108="!AMBIG"),0,IF('Dashboard'!$B$7="All",1,COUNTIFS('Calculations'!$HO$13:$HO$512,"="&amp;SUBSTITUTE(SUBSTITUTE(SUBSTITUTE('Calculations'!HF108,"~","~~"),"*","~*"),"?","~?"),'Calculations'!$HN$13:$HN$512,"="&amp;SUBSTITUTE(SUBSTITUTE(SUBSTITUTE('Dashboard'!$B$7,"~","~~"),"*","~*"),"?","~?"))+COUNTIFS('Calculations'!$HP$13:$HP$512,"="&amp;SUBSTITUTE(SUBSTITUTE(SUBSTITUTE('Calculations'!HF108,"~","~~"),"*","~*"),"?","~?"),'Calculations'!$HN$13:$HN$512,"="&amp;SUBSTITUTE(SUBSTITUTE(SUBSTITUTE('Dashboard'!$B$7,"~","~~"),"*","~*"),"?","~?"))+COUNTIFS('Calculations'!$HQ$13:$HQ$512,"="&amp;SUBSTITUTE(SUBSTITUTE(SUBSTITUTE('Calculations'!HF108,"~","~~"),"*","~*"),"?","~?"),'Calculations'!$HN$13:$HN$512,"="&amp;SUBSTITUTE(SUBSTITUTE(SUBSTITUTE('Dashboard'!$B$7,"~","~~"),"*","~*"),"?","~?"))+COUNTIFS('Calculations'!$HR$13:$HR$512,"="&amp;SUBSTITUTE(SUBSTITUTE(SUBSTITUTE('Calculations'!HF108,"~","~~"),"*","~*"),"?","~?"),'Calculations'!$HN$13:$HN$512,"="&amp;SUBSTITUTE(SUBSTITUTE(SUBSTITUTE('Dashboard'!$B$7,"~","~~"),"*","~*"),"?","~?"))+COUNTIFS('Calculations'!$HS$13:$HS$512,"="&amp;SUBSTITUTE(SUBSTITUTE(SUBSTITUTE('Calculations'!HF108,"~","~~"),"*","~*"),"?","~?"),'Calculations'!$HN$13:$HN$512,"="&amp;SUBSTITUTE(SUBSTITUTE(SUBSTITUTE('Dashboard'!$B$7,"~","~~"),"*","~*"),"?","~?"))+COUNTIFS('Calculations'!$HT$13:$HT$512,"="&amp;SUBSTITUTE(SUBSTITUTE(SUBSTITUTE('Calculations'!HF108,"~","~~"),"*","~*"),"?","~?"),'Calculations'!$HN$13:$HN$512,"="&amp;SUBSTITUTE(SUBSTITUTE(SUBSTITUTE('Dashboard'!$B$7,"~","~~"),"*","~*"),"?","~?"))+COUNTIFS('Calculations'!$HU$13:$HU$512,"="&amp;SUBSTITUTE(SUBSTITUTE(SUBSTITUTE('Calculations'!HF108,"~","~~"),"*","~*"),"?","~?"),'Calculations'!$HN$13:$HN$512,"="&amp;SUBSTITUTE(SUBSTITUTE(SUBSTITUTE('Dashboard'!$B$7,"~","~~"),"*","~*"),"?","~?"))+COUNTIFS('Calculations'!$HV$13:$HV$512,"="&amp;SUBSTITUTE(SUBSTITUTE(SUBSTITUTE('Calculations'!HF108,"~","~~"),"*","~*"),"?","~?"),'Calculations'!$HN$13:$HN$512,"="&amp;SUBSTITUTE(SUBSTITUTE(SUBSTITUTE('Dashboard'!$B$7,"~","~~"),"*","~*"),"?","~?"))+COUNTIFS('Calculations'!$HW$13:$HW$512,"="&amp;SUBSTITUTE(SUBSTITUTE(SUBSTITUTE('Calculations'!HF108,"~","~~"),"*","~*"),"?","~?"),'Calculations'!$HN$13:$HN$512,"="&amp;SUBSTITUTE(SUBSTITUTE(SUBSTITUTE('Dashboard'!$B$7,"~","~~"),"*","~*"),"?","~?"))+COUNTIFS('Calculations'!$HX$13:$HX$512,"="&amp;SUBSTITUTE(SUBSTITUTE(SUBSTITUTE('Calculations'!HF108,"~","~~"),"*","~*"),"?","~?"),'Calculations'!$HN$13:$HN$512,"="&amp;SUBSTITUTE(SUBSTITUTE(SUBSTITUTE('Dashboard'!$B$7,"~","~~"),"*","~*"),"?","~?"))+COUNTIFS('Calculations'!$HY$13:$HY$512,"="&amp;SUBSTITUTE(SUBSTITUTE(SUBSTITUTE('Calculations'!HF108,"~","~~"),"*","~*"),"?","~?"),'Calculations'!$HN$13:$HN$512,"="&amp;SUBSTITUTE(SUBSTITUTE(SUBSTITUTE('Dashboard'!$B$7,"~","~~"),"*","~*"),"?","~?"))+COUNTIFS('Calculations'!$HZ$13:$HZ$512,"="&amp;SUBSTITUTE(SUBSTITUTE(SUBSTITUTE('Calculations'!HF108,"~","~~"),"*","~*"),"?","~?"),'Calculations'!$HN$13:$HN$512,"="&amp;SUBSTITUTE(SUBSTITUTE(SUBSTITUTE('Dashboard'!$B$7,"~","~~"),"*","~*"),"?","~?"))+COUNTIFS('Calculations'!$IA$13:$IA$512,"="&amp;SUBSTITUTE(SUBSTITUTE(SUBSTITUTE('Calculations'!HF108,"~","~~"),"*","~*"),"?","~?"),'Calculations'!$HN$13:$HN$512,"="&amp;SUBSTITUTE(SUBSTITUTE(SUBSTITUTE('Dashboard'!$B$7,"~","~~"),"*","~*"),"?","~?"))+COUNTIFS('Calculations'!$IB$13:$IB$512,"="&amp;SUBSTITUTE(SUBSTITUTE(SUBSTITUTE('Calculations'!HF108,"~","~~"),"*","~*"),"?","~?"),'Calculations'!$HN$13:$HN$512,"="&amp;SUBSTITUTE(SUBSTITUTE(SUBSTITUTE('Dashboard'!$B$7,"~","~~"),"*","~*"),"?","~?"))+COUNTIFS('Calculations'!$IC$13:$IC$512,"="&amp;SUBSTITUTE(SUBSTITUTE(SUBSTITUTE('Calculations'!HF108,"~","~~"),"*","~*"),"?","~?"),'Calculations'!$HN$13:$HN$512,"="&amp;SUBSTITUTE(SUBSTITUTE(SUBSTITUTE('Dashboard'!$B$7,"~","~~"),"*","~*"),"?","~?"))+COUNTIFS('Calculations'!$ID$13:$ID$512,"="&amp;SUBSTITUTE(SUBSTITUTE(SUBSTITUTE('Calculations'!HF108,"~","~~"),"*","~*"),"?","~?"),'Calculations'!$HN$13:$HN$512,"="&amp;SUBSTITUTE(SUBSTITUTE(SUBSTITUTE('Dashboard'!$B$7,"~","~~"),"*","~*"),"?","~?"))+COUNTIFS('Calculations'!$IE$13:$IE$512,"="&amp;SUBSTITUTE(SUBSTITUTE(SUBSTITUTE('Calculations'!HF108,"~","~~"),"*","~*"),"?","~?"),'Calculations'!$HN$13:$HN$512,"="&amp;SUBSTITUTE(SUBSTITUTE(SUBSTITUTE('Dashboard'!$B$7,"~","~~"),"*","~*"),"?","~?"))+COUNTIFS('Calculations'!$IF$13:$IF$512,"="&amp;SUBSTITUTE(SUBSTITUTE(SUBSTITUTE('Calculations'!HF108,"~","~~"),"*","~*"),"?","~?"),'Calculations'!$HN$13:$HN$512,"="&amp;SUBSTITUTE(SUBSTITUTE(SUBSTITUTE('Dashboard'!$B$7,"~","~~"),"*","~*"),"?","~?"))+COUNTIFS('Calculations'!$IG$13:$IG$512,"="&amp;SUBSTITUTE(SUBSTITUTE(SUBSTITUTE('Calculations'!HF108,"~","~~"),"*","~*"),"?","~?"),'Calculations'!$HN$13:$HN$512,"="&amp;SUBSTITUTE(SUBSTITUTE(SUBSTITUTE('Dashboard'!$B$7,"~","~~"),"*","~*"),"?","~?"))+COUNTIFS('Calculations'!$IH$13:$IH$512,"="&amp;SUBSTITUTE(SUBSTITUTE(SUBSTITUTE('Calculations'!HF108,"~","~~"),"*","~*"),"?","~?"),'Calculations'!$HN$13:$HN$512,"="&amp;SUBSTITUTE(SUBSTITUTE(SUBSTITUTE('Dashboard'!$B$7,"~","~~"),"*","~*"),"?","~?"))))</x:f>
        <x:v>0</x:v>
      </x:c>
      <x:c r="JD108" t="n">
        <x:f>IF('Calculations'!EM108="",0,IF('Dashboard'!$B$7="All",1,IF('Calculations'!HN108='Dashboard'!$B$7,1,0)+IFERROR(INDEX('Calculations'!$JC$13:$JC$512,MATCH('Calculations'!HE108,'Calculations'!$HF$13:$HF$512,0)),0)))</x:f>
        <x:v>0</x:v>
      </x:c>
      <x:c r="JE108" t="n">
        <x:f>IF(AND('Calculations'!EM108&lt;&gt;"",'Calculations'!$JJ$2&lt;&gt;"All",'Calculations'!$JJ$2&lt;&gt;"",'Calculations'!HF108='Calculations'!$JJ$2,'Calculations'!HL108=0,'Calculations'!JD108&gt;0),MAX('Calculations'!$JE$12:JE107)+1,0)</x:f>
        <x:v>0</x:v>
      </x:c>
      <x:c r="JF108" t="str">
        <x:f>IF('Calculations'!EM108="","",IFERROR(IF(INDEX(INDIRECT("'WCM Calibration Final'!$G$1:$G$2000"),'Calculations'!$EM108)="","",TRIM(INDEX(INDIRECT("'WCM Calibration Final'!$G$1:$G$2000"),'Calculations'!$EM108)&amp;"")),""))</x:f>
      </x:c>
      <x:c r="JQ108" t="n">
        <x:f>IF(OR('Calculations'!BM108=0,NOT('Calculations'!$AG$2),'Calculations'!$AG$8&gt;0),0,IF(OR('Dashboard'!$B$7="All",'Calculations'!HN108='Dashboard'!$B$7),IF('Calculations'!$JJ$2="All",1,IF(AND('Calculations'!HF108='Calculations'!$JJ$2,'Calculations'!HL108=0),1,0)),0))</x:f>
        <x:v>0</x:v>
      </x:c>
    </x:row>
    <x:row r="109">
      <x:c r="AF109" s="4"/>
      <x:c r="AG109" s="4"/>
      <x:c r="AH109" s="4"/>
      <x:c r="AI109" s="4"/>
      <x:c r="AJ109" s="4"/>
      <x:c r="AK109" s="4"/>
      <x:c r="AL109" s="4"/>
      <x:c r="AM109" s="4"/>
      <x:c r="AN109" s="4"/>
      <x:c r="AO109" s="4"/>
      <x:c r="AP109" s="4"/>
      <x:c r="AQ109" s="4"/>
      <x:c r="AR109" s="4" t="n">
        <x:f>IFERROR(MATCH((MIN('Dashboard'!$Z$93,MAX(1,ROUNDUP(MAX('Calculations'!$DP$12:$DP$1012)/20,0)))-1)*20+12,'Calculations'!$DP$12:$DP$1012,0),0)</x:f>
        <x:v>0</x:v>
      </x:c>
      <x:c r="AS109" s="4"/>
      <x:c r="AT109" s="4"/>
      <x:c r="AU109" s="4"/>
      <x:c r="AV109" s="4"/>
      <x:c r="AW109" s="4"/>
      <x:c r="AX109" s="4"/>
      <x:c r="AY109" s="4"/>
      <x:c r="AZ109" s="4"/>
      <x:c r="BA109" s="4"/>
      <x:c r="BB109" s="4"/>
      <x:c r="BC109" s="4"/>
      <x:c r="BD109" s="4"/>
      <x:c r="BE109" s="4"/>
      <x:c r="BF109" s="4"/>
      <x:c r="BG109" s="4"/>
      <x:c r="BH109" s="4"/>
      <x:c r="BI109" s="4"/>
      <x:c r="BJ109" s="4"/>
      <x:c r="BK109" s="4"/>
      <x:c r="BL109" s="4"/>
      <x:c r="BM109" s="4" t="n">
        <x:f>IF('Calculations'!$EM109="",0,IF(OR(IFERROR(INDEX(INDIRECT("'WCM Calibration Final'!$A$1:$A$2000"),'Calculations'!$EM109)&lt;&gt;"",FALSE),IFERROR(INDEX(INDIRECT("'WCM Calibration Final'!$B$1:$B$2000"),'Calculations'!$EM109)&lt;&gt;"",FALSE),IFERROR(INDEX(INDIRECT("'WCM Calibration Final'!$C$1:$C$2000"),'Calculations'!$EM109)&lt;&gt;"",FALSE)),1,0))</x:f>
        <x:v>0</x:v>
      </x:c>
      <x:c r="BN109" s="4" t="n">
        <x:f>IF(AND('Calculations'!BM109=1,'Calculations'!$AG$2,'Calculations'!$EN109=1),1,0)</x:f>
        <x:v>0</x:v>
      </x:c>
      <x:c r="BO109" s="4" t="str">
        <x:f>IF('Calculations'!BM109=0,"",IFERROR(IF(AND(VALUE(INDEX(INDIRECT("'WCM Calibration Final'!$K$1:$K$2000"),'Calculations'!$EM109))&gt;=1,VALUE(INDEX(INDIRECT("'WCM Calibration Final'!$K$1:$K$2000"),'Calculations'!$EM109))&lt;=4,MOD(VALUE(INDEX(INDIRECT("'WCM Calibration Final'!$K$1:$K$2000"),'Calculations'!$EM109)),1)=0),VALUE(INDEX(INDIRECT("'WCM Calibration Final'!$K$1:$K$2000"),'Calculations'!$EM109)),""),""))</x:f>
      </x:c>
      <x:c r="BP109" s="4" t="str">
        <x:f>IF('Calculations'!BM109=0,"",IFERROR(IF(AND(VALUE(INDEX(INDIRECT("'WCM Calibration Final'!$L$1:$L$2000"),'Calculations'!$EM109))&gt;=1,VALUE(INDEX(INDIRECT("'WCM Calibration Final'!$L$1:$L$2000"),'Calculations'!$EM109))&lt;=4,MOD(VALUE(INDEX(INDIRECT("'WCM Calibration Final'!$L$1:$L$2000"),'Calculations'!$EM109)),1)=0),VALUE(INDEX(INDIRECT("'WCM Calibration Final'!$L$1:$L$2000"),'Calculations'!$EM109)),""),""))</x:f>
      </x:c>
      <x:c r="BQ109" s="4"/>
      <x:c r="BR109" s="4"/>
      <x:c r="BS109" s="4"/>
      <x:c r="BT109" s="4" t="n">
        <x:f>IF(AND('Calculations'!BM109=1,ISNUMBER('Calculations'!BO109),ISNUMBER('Calculations'!BP109)),1,0)</x:f>
        <x:v>0</x:v>
      </x:c>
      <x:c r="BU109" s="4" t="str">
        <x:f>IF('Calculations'!BM109=0,"",'Calculations'!$EO109)</x:f>
      </x:c>
      <x:c r="BV109" s="4" t="str">
        <x:f>IF('Calculations'!BM109=0,"",IFERROR(IF(OR(INDEX(INDIRECT("'WCM Calibration Final'!$H$1:$H$2000"),'Calculations'!$EM109)="MANAGING DIRECTOR",INDEX(INDIRECT("'WCM Calibration Final'!$H$1:$H$2000"),'Calculations'!$EM109)="DIRECTOR",INDEX(INDIRECT("'WCM Calibration Final'!$H$1:$H$2000"),'Calculations'!$EM109)="SENIOR VICE PRESIDENT",INDEX(INDIRECT("'WCM Calibration Final'!$H$1:$H$2000"),'Calculations'!$EM109)="VICE PRESIDENT",INDEX(INDIRECT("'WCM Calibration Final'!$H$1:$H$2000"),'Calculations'!$EM109)="ASSISTANT VICE PRESIDENT",INDEX(INDIRECT("'WCM Calibration Final'!$H$1:$H$2000"),'Calculations'!$EM109)="OFFICER"),UPPER(INDEX(INDIRECT("'WCM Calibration Final'!$H$1:$H$2000"),'Calculations'!$EM109)),"Other"),"Other"))</x:f>
      </x:c>
      <x:c r="BW109" s="4"/>
      <x:c r="BX109" s="4"/>
      <x:c r="BY109" s="4" t="n">
        <x:f>IF(AND('Calculations'!BM109=1,'Calculations'!BU109&lt;&gt;"",COUNTIF('Calculations'!$BU$12:BU109,'Calculations'!BU109)=1),MAX('Calculations'!$BY$11:BY108)+1,0)</x:f>
        <x:v>0</x:v>
      </x:c>
      <x:c r="BZ109" s="4" t="str">
        <x:f>IF('Dashboard'!$E$67="What",'Calculations'!BO109,'Calculations'!BP109)</x:f>
      </x:c>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t="str">
        <x:f>IF(98&gt;MAX('Calculations'!$HI$13:$HI$512),"",INDEX('Calculations'!$HN$13:$HN$512,MATCH(98,'Calculations'!$HI$13:$HI$512,0)))</x:f>
      </x:c>
      <x:c r="DB109" s="4" t="str">
        <x:f>IF(98&gt;MAX('Calculations'!$HH$13:$HH$512),"",INDEX('Calculations'!$HJ$13:$HJ$512,MATCH(98,'Calculations'!$HH$13:$HH$512,0)))</x:f>
      </x:c>
      <x:c r="DC109" s="4" t="str">
        <x:f>IF(ROW()-11&gt;MAX('Calculations'!$BY$13:$BY$512),"",INDEX('Calculations'!$BU$13:$BU$512,MATCH(ROW()-11,'Calculations'!$BY$13:$BY$512,0)))</x:f>
      </x:c>
      <x:c r="DD109" s="4" t="str">
        <x:f>IF(98&gt;MAX('Calculations'!$IK$13:$IK$512),"",INDEX('Calculations'!$HK$13:$HK$512,MATCH(98,'Calculations'!$IK$13:$IK$512,0)))</x:f>
      </x:c>
      <x:c r="DE109" s="4" t="str">
        <x:f>'Calculations'!DC109</x:f>
      </x:c>
      <x:c r="DF109" s="4" t="str">
        <x:f>IF('Calculations'!DE109="","",COUNTIFS('Calculations'!$BN$13:$BN$512,1,'Calculations'!$BU$13:$BU$512,'Calculations'!DE109))</x:f>
      </x:c>
      <x:c r="DG109" s="4" t="str">
        <x:f>IF('Calculations'!DE109="","",COUNTIFS('Calculations'!$BN$13:$BN$512,1,'Calculations'!$BU$13:$BU$512,'Calculations'!DE109,'Calculations'!$BT$13:$BT$512,1))</x:f>
      </x:c>
      <x:c r="DH109" s="4" t="str">
        <x:f>IF('Calculations'!DE109="","",'Calculations'!DF109-'Calculations'!DG109)</x:f>
      </x:c>
      <x:c r="DI109" s="4" t="str">
        <x:f>IF(OR('Calculations'!DE109="",'Calculations'!DF109=0),"",'Calculations'!DG109/'Calculations'!DF109)</x:f>
      </x:c>
      <x:c r="DJ109" s="4" t="str">
        <x:f>IF('Calculations'!DE109="","",COUNTIFS('Calculations'!$BN$13:$BN$512,1,'Calculations'!$BU$13:$BU$512,'Calculations'!DE109,'Calculations'!$BT$13:$BT$512,1,'Calculations'!$EE$13:$EE$512,"High"))</x:f>
      </x:c>
      <x:c r="DK109" s="4" t="str">
        <x:f>IF('Calculations'!DE109="","",COUNTIFS('Calculations'!$BN$13:$BN$512,1,'Calculations'!$BU$13:$BU$512,'Calculations'!DE109,'Calculations'!$BT$13:$BT$512,1,'Calculations'!$EE$13:$EE$512,"Strong"))</x:f>
      </x:c>
      <x:c r="DL109" s="4" t="str">
        <x:f>IF('Calculations'!DE109="","",COUNTIFS('Calculations'!$BN$13:$BN$512,1,'Calculations'!$BU$13:$BU$512,'Calculations'!DE109,'Calculations'!$BT$13:$BT$512,1,'Calculations'!$EE$13:$EE$512,"Solid"))</x:f>
      </x:c>
      <x:c r="DM109" s="4" t="str">
        <x:f>IF('Calculations'!DE109="","",COUNTIFS('Calculations'!$BN$13:$BN$512,1,'Calculations'!$BU$13:$BU$512,'Calculations'!DE109,'Calculations'!$BT$13:$BT$512,1,'Calculations'!$EE$13:$EE$512,"Low"))</x:f>
      </x:c>
      <x:c r="DN109" s="4" t="str">
        <x:f>IF('Calculations'!DE109="","",COUNTIFS('Calculations'!$BN$13:$BN$512,1,'Calculations'!$BU$13:$BU$512,'Calculations'!DE109,'Calculations'!$EP$13:$EP$512,1))</x:f>
      </x:c>
      <x:c r="DO109" s="4" t="str">
        <x:f>IF(OR('Calculations'!DE109="",'Calculations'!DG109=0),"",('Calculations'!DJ109+'Calculations'!DK109)/'Calculations'!DG109)</x:f>
      </x:c>
      <x:c r="DP109" s="4" t="n">
        <x:f>IF(AND('Calculations'!DE109&lt;&gt;"",'Calculations'!DF109&gt;0),COUNTIF('Calculations'!$DF$12:DF109,"&gt;0"),0)</x:f>
        <x:v>0</x:v>
      </x:c>
      <x:c r="DQ109" s="4" t="str">
        <x:f>IF(98&gt;MAX('Calculations'!$HH$13:$HH$512),"",INDEX('Calculations'!$HF$13:$HF$512,MATCH(98,'Calculations'!$HH$13:$HH$512,0)))</x:f>
      </x:c>
      <x:c r="DR109" s="4" t="str">
        <x:f>IF(98&gt;MAX('Calculations'!$IK$13:$IK$512),"",INDEX('Calculations'!$HE$13:$HE$512,MATCH(98,'Calculations'!$IK$13:$IK$512,0)))</x:f>
      </x:c>
      <x:c r="DS109" s="4"/>
      <x:c r="DT109" s="4"/>
      <x:c r="DU109" s="4"/>
      <x:c r="DV109" s="4"/>
      <x:c r="DW109" s="4"/>
      <x:c r="DX109" s="4"/>
      <x:c r="DY109" s="4"/>
      <x:c r="DZ109" s="4"/>
      <x:c r="EA109" s="4"/>
      <x:c r="EB109" s="4"/>
      <x:c r="EC109" s="4"/>
      <x:c r="ED109" s="4"/>
      <x:c r="EE109" s="4" t="str">
        <x:f>IF('Calculations'!BT109=0,"Not Rated",IF(OR('Calculations'!BO109&gt;=4,'Calculations'!BP109&gt;=4),"Low",IF('Calculations'!BO109+'Calculations'!BP109&lt;=3,"High",IF('Calculations'!BO109+'Calculations'!BP109&lt;=4,"Strong","Solid"))))</x:f>
        <x:v>Not Rated</x:v>
      </x:c>
      <x:c r="EF109" s="4"/>
      <x:c r="EG109" s="4"/>
      <x:c r="EH109" s="4"/>
      <x:c r="EI109" s="4"/>
      <x:c r="EJ109" s="4"/>
      <x:c r="EK109" s="4"/>
      <x:c r="EL109" s="4"/>
      <x:c r="EM109" s="4" t="str">
        <x:f>IF(97&gt;'Calculations'!$JB$2000,"",INDEX('Calculations'!$JA$12:$JA$2000,MATCH(97,'Calculations'!$JB$12:$JB$2000,0)))</x:f>
      </x:c>
      <x:c r="EN109" s="4" t="n">
        <x:f>IF(OR('Calculations'!EM109="",'Calculations'!$AG$8&gt;0,AND('Calculations'!$EF$2&lt;&gt;"All",'Calculations'!HE109='Calculations'!$EF$2),AND('Calculations'!$EF$3&lt;&gt;"All",'Calculations'!HE109='Calculations'!$EF$3)),0,IF(OR('Dashboard'!$B$7="All",'Calculations'!HN109='Dashboard'!$B$7),IF('Calculations'!$EF$2="All",1,IF('Calculations'!HL109&gt;0,0,IF(COUNTIF('Calculations'!HO109:II109,"="&amp;SUBSTITUTE(SUBSTITUTE(SUBSTITUTE('Calculations'!$EF$2,"~","~~"),"*","~*"),"?","~?"))=0,0,IF('Calculations'!$EF$3="All",1,IF(COUNTIF('Calculations'!HO109:II109,"="&amp;SUBSTITUTE(SUBSTITUTE(SUBSTITUTE('Calculations'!$EF$3,"~","~~"),"*","~*"),"?","~?"))&gt;0,1,0))))),0))</x:f>
        <x:v>0</x:v>
      </x:c>
      <x:c r="EO109" s="4" t="str">
        <x:f>IF('Calculations'!IJ109="","",IF('Calculations'!IJ109="!UNRESOLVED","Unresolved hierarchy",IFERROR(INDEX('Calculations'!$HK$13:$HK$512,MATCH('Calculations'!IJ109,'Calculations'!$HE$13:$HE$512,0)),IFERROR(INDEX('Calculations'!$HJ$13:$HJ$512,MATCH('Calculations'!IJ109,'Calculations'!$HF$13:$HF$512,0)),'Calculations'!IJ109))))</x:f>
      </x:c>
      <x:c r="EP109" s="4" t="n">
        <x:f>IF(AND('Calculations'!EM109&lt;&gt;"",'Calculations'!HF109='Calculations'!IJ109),1,0)</x:f>
        <x:v>0</x:v>
      </x:c>
      <x:c r="EQ109" s="4"/>
      <x:c r="ER109" s="4"/>
      <x:c r="ES109" s="4"/>
      <x:c r="ET109" s="4"/>
      <x:c r="EU109" s="4"/>
      <x:c r="EV109" s="4"/>
      <x:c r="EW109" s="4"/>
      <x:c r="EX109" s="4"/>
      <x:c r="EY109" s="4"/>
      <x:c r="EZ109" s="4"/>
      <x:c r="FA109" s="4"/>
      <x:c r="FB109" s="4"/>
      <x:c r="FC109" s="4"/>
      <x:c r="FD109" s="4"/>
      <x:c r="FE109" s="4"/>
      <x:c r="FF109" s="4"/>
      <x:c r="FG109" s="4"/>
      <x:c r="FH109" s="4"/>
      <x:c r="FI109" s="4"/>
      <x:c r="FJ109" s="4"/>
      <x:c r="FK109" s="4"/>
      <x:c r="FL109" s="4"/>
      <x:c r="FM109" s="4"/>
      <x:c r="FN109" s="4"/>
      <x:c r="FO109" s="4"/>
      <x:c r="GA109" s="71"/>
      <x:c r="GB109" s="71" t="str">
        <x:f>IF('Calculations'!$AR109=0,"",INDEX('Calculations'!$DE$12:$DE$1012,'Calculations'!$AR109))</x:f>
      </x:c>
      <x:c r="GC109" s="71"/>
      <x:c r="GD109" s="71"/>
      <x:c r="GE109" s="71"/>
      <x:c r="GF109" s="71"/>
      <x:c r="GG109" s="71"/>
      <x:c r="GH109" s="71"/>
      <x:c r="GI109" s="71" t="str">
        <x:f>IF('Calculations'!$AR109=0,"",INDEX('Calculations'!$DF$12:$DF$1012,'Calculations'!$AR109))</x:f>
      </x:c>
      <x:c r="GJ109" s="71"/>
      <x:c r="GK109" s="71" t="str">
        <x:f>IF('Calculations'!$AR109=0,"",INDEX('Calculations'!$DG$12:$DG$1012,'Calculations'!$AR109))</x:f>
      </x:c>
      <x:c r="GL109" s="71"/>
      <x:c r="GM109" s="71" t="str">
        <x:f>IF('Calculations'!$AR109=0,"",INDEX('Calculations'!$DH$12:$DH$1012,'Calculations'!$AR109))</x:f>
      </x:c>
      <x:c r="GN109" s="71"/>
      <x:c r="GO109" s="71" t="str">
        <x:f>IF('Calculations'!$AR109=0,"",INDEX('Calculations'!$DI$12:$DI$1012,'Calculations'!$AR109))</x:f>
      </x:c>
      <x:c r="GP109" s="71"/>
      <x:c r="GQ109" s="71" t="str">
        <x:f>IF('Calculations'!$AR109=0,"",INDEX('Calculations'!$DJ$12:$DJ$1012,'Calculations'!$AR109)&amp;" · "&amp;IF(INDEX('Calculations'!$DG$12:$DG$1012,'Calculations'!$AR109)=0,"n.a.",TEXT(INDEX('Calculations'!$DJ$12:$DJ$1012,'Calculations'!$AR109)/INDEX('Calculations'!$DG$12:$DG$1012,'Calculations'!$AR109),"0.0%")))</x:f>
      </x:c>
      <x:c r="GR109" s="71"/>
      <x:c r="GS109" s="71" t="str">
        <x:f>IF('Calculations'!$AR109=0,"",INDEX('Calculations'!$DK$12:$DK$1012,'Calculations'!$AR109)&amp;" · "&amp;IF(INDEX('Calculations'!$DG$12:$DG$1012,'Calculations'!$AR109)=0,"n.a.",TEXT(INDEX('Calculations'!$DK$12:$DK$1012,'Calculations'!$AR109)/INDEX('Calculations'!$DG$12:$DG$1012,'Calculations'!$AR109),"0.0%")))</x:f>
      </x:c>
      <x:c r="GT109" s="71"/>
      <x:c r="GU109" s="71" t="str">
        <x:f>IF('Calculations'!$AR109=0,"",INDEX('Calculations'!$DL$12:$DL$1012,'Calculations'!$AR109)&amp;" · "&amp;IF(INDEX('Calculations'!$DG$12:$DG$1012,'Calculations'!$AR109)=0,"n.a.",TEXT(INDEX('Calculations'!$DL$12:$DL$1012,'Calculations'!$AR109)/INDEX('Calculations'!$DG$12:$DG$1012,'Calculations'!$AR109),"0.0%")))</x:f>
      </x:c>
      <x:c r="GV109" s="71"/>
      <x:c r="GW109" s="71" t="str">
        <x:f>IF('Calculations'!$AR109=0,"",INDEX('Calculations'!$DM$12:$DM$1012,'Calculations'!$AR109)&amp;" · "&amp;IF(INDEX('Calculations'!$DG$12:$DG$1012,'Calculations'!$AR109)=0,"n.a.",TEXT(INDEX('Calculations'!$DM$12:$DM$1012,'Calculations'!$AR109)/INDEX('Calculations'!$DG$12:$DG$1012,'Calculations'!$AR109),"0.0%")))</x:f>
      </x:c>
      <x:c r="GX109" s="71"/>
      <x:c r="GY109" s="71" t="str">
        <x:f>IF('Calculations'!$AR109=0,"",INDEX('Calculations'!$DN$12:$DN$1012,'Calculations'!$AR109))</x:f>
      </x:c>
      <x:c r="GZ109" s="71"/>
      <x:c r="HA109" s="71" t="str">
        <x:f>IF('Calculations'!$AR109=0,"",INDEX('Calculations'!$DO$12:$DO$1012,'Calculations'!$AR109))</x:f>
      </x:c>
      <x:c r="HB109" s="71"/>
      <x:c r="HC109" s="71"/>
      <x:c r="HD109" s="71"/>
      <x:c r="HE109" t="str">
        <x:f>IF('Calculations'!EM109="","",IF(IFERROR(IF(INDEX(INDIRECT("'WCM Calibration Final'!$A$1:$A$2000"),'Calculations'!$EM109)="","",TRIM(INDEX(INDIRECT("'WCM Calibration Final'!$A$1:$A$2000"),'Calculations'!$EM109)&amp;"")),"")&lt;&gt;"","G:"&amp;IFERROR(TEXT(1*INDEX(INDIRECT("'WCM Calibration Final'!$A$1:$A$2000"),'Calculations'!$EM109),"0"),UPPER(IFERROR(IF(INDEX(INDIRECT("'WCM Calibration Final'!$A$1:$A$2000"),'Calculations'!$EM109)="","",TRIM(INDEX(INDIRECT("'WCM Calibration Final'!$A$1:$A$2000"),'Calculations'!$EM109)&amp;"")),""))),IF(IFERROR(IF(INDEX(INDIRECT("'WCM Calibration Final'!$C$1:$C$2000"),'Calculations'!$EM109)="","",TRIM(INDEX(INDIRECT("'WCM Calibration Final'!$C$1:$C$2000"),'Calculations'!$EM109)&amp;"")),"")&lt;&gt;"","S:"&amp;UPPER(IFERROR(IF(INDEX(INDIRECT("'WCM Calibration Final'!$C$1:$C$2000"),'Calculations'!$EM109)="","",TRIM(INDEX(INDIRECT("'WCM Calibration Final'!$C$1:$C$2000"),'Calculations'!$EM109)&amp;"")),"")),"R:"&amp;'Calculations'!EM109)))</x:f>
      </x:c>
      <x:c r="HF109" t="str">
        <x:f>IF('Calculations'!EM109="","",IF(IFERROR(IF(INDEX(INDIRECT("'WCM Calibration Final'!$D$1:$D$2000"),'Calculations'!$EM109)="","",TRIM(INDEX(INDIRECT("'WCM Calibration Final'!$D$1:$D$2000"),'Calculations'!$EM109)&amp;"")),"")&lt;&gt;"","G:"&amp;IFERROR(TEXT(1*INDEX(INDIRECT("'WCM Calibration Final'!$D$1:$D$2000"),'Calculations'!$EM109),"0"),UPPER(IFERROR(IF(INDEX(INDIRECT("'WCM Calibration Final'!$D$1:$D$2000"),'Calculations'!$EM109)="","",TRIM(INDEX(INDIRECT("'WCM Calibration Final'!$D$1:$D$2000"),'Calculations'!$EM109)&amp;"")),""))),IF(IFERROR(IF(INDEX(INDIRECT("'WCM Calibration Final'!$E$1:$E$2000"),'Calculations'!$EM109)="","",TRIM(INDEX(INDIRECT("'WCM Calibration Final'!$E$1:$E$2000"),'Calculations'!$EM109)&amp;"")),"")="","",IF(COUNTIF('Calculations'!$HG$13:$HG$512,"="&amp;SUBSTITUTE(SUBSTITUTE(SUBSTITUTE(IFERROR(IF(INDEX(INDIRECT("'WCM Calibration Final'!$E$1:$E$2000"),'Calculations'!$EM109)="","",TRIM(INDEX(INDIRECT("'WCM Calibration Final'!$E$1:$E$2000"),'Calculations'!$EM109)&amp;"")),""),"~","~~"),"*","~*"),"?","~?"))=1,INDEX('Calculations'!$HE$13:$HE$512,MATCH(IFERROR(IF(INDEX(INDIRECT("'WCM Calibration Final'!$E$1:$E$2000"),'Calculations'!$EM109)="","",TRIM(INDEX(INDIRECT("'WCM Calibration Final'!$E$1:$E$2000"),'Calculations'!$EM109)&amp;"")),""),'Calculations'!$HG$13:$HG$512,0)),IF(COUNTIF('Calculations'!$HG$13:$HG$512,"="&amp;SUBSTITUTE(SUBSTITUTE(SUBSTITUTE(IFERROR(IF(INDEX(INDIRECT("'WCM Calibration Final'!$E$1:$E$2000"),'Calculations'!$EM109)="","",TRIM(INDEX(INDIRECT("'WCM Calibration Final'!$E$1:$E$2000"),'Calculations'!$EM109)&amp;"")),""),"~","~~"),"*","~*"),"?","~?"))&gt;1,"!AMBIG","X:"&amp;IFERROR(IF(INDEX(INDIRECT("'WCM Calibration Final'!$E$1:$E$2000"),'Calculations'!$EM109)="","",TRIM(INDEX(INDIRECT("'WCM Calibration Final'!$E$1:$E$2000"),'Calculations'!$EM109)&amp;"")),""))))))</x:f>
      </x:c>
      <x:c r="HG109" t="str">
        <x:f>IF('Calculations'!EM109="","",IFERROR(IF(INDEX(INDIRECT("'WCM Calibration Final'!$B$1:$B$2000"),'Calculations'!$EM109)="","",TRIM(INDEX(INDIRECT("'WCM Calibration Final'!$B$1:$B$2000"),'Calculations'!$EM109)&amp;"")),""))</x:f>
      </x:c>
      <x:c r="HH109" t="n">
        <x:f>IF(AND('Calculations'!JC109&gt;0,COUNTIF('Calculations'!$HF$12:HF109,"="&amp;SUBSTITUTE(SUBSTITUTE(SUBSTITUTE('Calculations'!HF109,"~","~~"),"*","~*"),"?","~?"))=1),MAX('Calculations'!$HH$12:HH108)+1,0)</x:f>
        <x:v>0</x:v>
      </x:c>
      <x:c r="HI109" t="n">
        <x:f>IF(AND('Calculations'!HN109&lt;&gt;"",COUNTIF('Calculations'!$HN$12:HN109,"="&amp;SUBSTITUTE(SUBSTITUTE(SUBSTITUTE('Calculations'!HN109,"~","~~"),"*","~*"),"?","~?"))=1),MAX('Calculations'!$HI$12:HI108)+1,0)</x:f>
        <x:v>0</x:v>
      </x:c>
      <x:c r="HJ109" t="str">
        <x:f>IF('Calculations'!HF109="","",IF(COUNTIF('Calculations'!$HE$13:$HE$512,"="&amp;SUBSTITUTE(SUBSTITUTE(SUBSTITUTE('Calculations'!HF109,"~","~~"),"*","~*"),"?","~?"))=1,INDEX('Calculations'!$HK$13:$HK$512,MATCH('Calculations'!HF109,'Calculations'!$HE$13:$HE$512,0)),IFERROR(IF(INDEX(INDIRECT("'WCM Calibration Final'!$E$1:$E$2000"),'Calculations'!$EM109)="","",TRIM(INDEX(INDIRECT("'WCM Calibration Final'!$E$1:$E$2000"),'Calculations'!$EM109)&amp;"")),"")&amp;" ["&amp;'Calculations'!HF109&amp;"]"))</x:f>
      </x:c>
      <x:c r="HK109" t="str">
        <x:f>IF('Calculations'!EM109="","",'Calculations'!HG109&amp;" ["&amp;'Calculations'!HE109&amp;"]")</x:f>
      </x:c>
      <x:c r="HL109" t="n">
        <x:f>IF('Calculations'!EM109="",0,IF(OR('Calculations'!II109&lt;&gt;"",COUNTIF('Calculations'!$HE$13:$HE$512,"="&amp;SUBSTITUTE(SUBSTITUTE(SUBSTITUTE('Calculations'!HE109,"~","~~"),"*","~*"),"?","~?"))&gt;1),1,0))</x:f>
        <x:v>0</x:v>
      </x:c>
      <x:c r="HM109" t="str">
        <x:f>IF('Calculations'!EM109="","",IF('Calculations'!HL109=1,"!UNRESOLVED",IF('Calculations'!IH109&lt;&gt;"",'Calculations'!IH109,IF('Calculations'!IG109&lt;&gt;"",'Calculations'!IG109,IF('Calculations'!IF109&lt;&gt;"",'Calculations'!IF109,IF('Calculations'!IE109&lt;&gt;"",'Calculations'!IE109,IF('Calculations'!ID109&lt;&gt;"",'Calculations'!ID109,IF('Calculations'!IC109&lt;&gt;"",'Calculations'!IC109,IF('Calculations'!IB109&lt;&gt;"",'Calculations'!IB109,IF('Calculations'!IA109&lt;&gt;"",'Calculations'!IA109,IF('Calculations'!HZ109&lt;&gt;"",'Calculations'!HZ109,IF('Calculations'!HY109&lt;&gt;"",'Calculations'!HY109,IF('Calculations'!HX109&lt;&gt;"",'Calculations'!HX109,IF('Calculations'!HW109&lt;&gt;"",'Calculations'!HW109,IF('Calculations'!HV109&lt;&gt;"",'Calculations'!HV109,IF('Calculations'!HU109&lt;&gt;"",'Calculations'!HU109,IF('Calculations'!HT109&lt;&gt;"",'Calculations'!HT109,IF('Calculations'!HS109&lt;&gt;"",'Calculations'!HS109,IF('Calculations'!HR109&lt;&gt;"",'Calculations'!HR109,IF('Calculations'!HQ109&lt;&gt;"",'Calculations'!HQ109,IF('Calculations'!HP109&lt;&gt;"",'Calculations'!HP109,IF('Calculations'!HO109&lt;&gt;"",'Calculations'!HO109,'Calculations'!HE109))))))))))))))))))))))</x:f>
      </x:c>
      <x:c r="HN109" t="str">
        <x:f>IF('Calculations'!EM109="","",IF(IFERROR(IF(INDEX(INDIRECT("'WCM Calibration Final'!$F$1:$F$2000"),'Calculations'!$EM109)="","",TRIM(INDEX(INDIRECT("'WCM Calibration Final'!$F$1:$F$2000"),'Calculations'!$EM109)&amp;"")),"")="","(Blank)",IFERROR(IF(INDEX(INDIRECT("'WCM Calibration Final'!$F$1:$F$2000"),'Calculations'!$EM109)="","",TRIM(INDEX(INDIRECT("'WCM Calibration Final'!$F$1:$F$2000"),'Calculations'!$EM109)&amp;"")),"")))</x:f>
      </x:c>
      <x:c r="HO109" t="str">
        <x:f>'Calculations'!HF109</x:f>
      </x:c>
      <x:c r="HP109" t="str">
        <x:f>IF('Calculations'!HO109="","",IF('Calculations'!HO109="!AMBIG","!AMBIG",IF(COUNTIF('Calculations'!$HE$13:$HE$512,"="&amp;SUBSTITUTE(SUBSTITUTE(SUBSTITUTE('Calculations'!HO109,"~","~~"),"*","~*"),"?","~?"))&gt;1,"!AMBIG",IFERROR(INDEX('Calculations'!$HF$13:$HF$512,MATCH('Calculations'!HO109,'Calculations'!$HE$13:$HE$512,0)),""))))</x:f>
      </x:c>
      <x:c r="HQ109" t="str">
        <x:f>IF('Calculations'!HP109="","",IF('Calculations'!HP109="!AMBIG","!AMBIG",IF(COUNTIF('Calculations'!$HE$13:$HE$512,"="&amp;SUBSTITUTE(SUBSTITUTE(SUBSTITUTE('Calculations'!HP109,"~","~~"),"*","~*"),"?","~?"))&gt;1,"!AMBIG",IFERROR(INDEX('Calculations'!$HF$13:$HF$512,MATCH('Calculations'!HP109,'Calculations'!$HE$13:$HE$512,0)),""))))</x:f>
      </x:c>
      <x:c r="HR109" t="str">
        <x:f>IF('Calculations'!HQ109="","",IF('Calculations'!HQ109="!AMBIG","!AMBIG",IF(COUNTIF('Calculations'!$HE$13:$HE$512,"="&amp;SUBSTITUTE(SUBSTITUTE(SUBSTITUTE('Calculations'!HQ109,"~","~~"),"*","~*"),"?","~?"))&gt;1,"!AMBIG",IFERROR(INDEX('Calculations'!$HF$13:$HF$512,MATCH('Calculations'!HQ109,'Calculations'!$HE$13:$HE$512,0)),""))))</x:f>
      </x:c>
      <x:c r="HS109" t="str">
        <x:f>IF('Calculations'!HR109="","",IF('Calculations'!HR109="!AMBIG","!AMBIG",IF(COUNTIF('Calculations'!$HE$13:$HE$512,"="&amp;SUBSTITUTE(SUBSTITUTE(SUBSTITUTE('Calculations'!HR109,"~","~~"),"*","~*"),"?","~?"))&gt;1,"!AMBIG",IFERROR(INDEX('Calculations'!$HF$13:$HF$512,MATCH('Calculations'!HR109,'Calculations'!$HE$13:$HE$512,0)),""))))</x:f>
      </x:c>
      <x:c r="HT109" t="str">
        <x:f>IF('Calculations'!HS109="","",IF('Calculations'!HS109="!AMBIG","!AMBIG",IF(COUNTIF('Calculations'!$HE$13:$HE$512,"="&amp;SUBSTITUTE(SUBSTITUTE(SUBSTITUTE('Calculations'!HS109,"~","~~"),"*","~*"),"?","~?"))&gt;1,"!AMBIG",IFERROR(INDEX('Calculations'!$HF$13:$HF$512,MATCH('Calculations'!HS109,'Calculations'!$HE$13:$HE$512,0)),""))))</x:f>
      </x:c>
      <x:c r="HU109" t="str">
        <x:f>IF('Calculations'!HT109="","",IF('Calculations'!HT109="!AMBIG","!AMBIG",IF(COUNTIF('Calculations'!$HE$13:$HE$512,"="&amp;SUBSTITUTE(SUBSTITUTE(SUBSTITUTE('Calculations'!HT109,"~","~~"),"*","~*"),"?","~?"))&gt;1,"!AMBIG",IFERROR(INDEX('Calculations'!$HF$13:$HF$512,MATCH('Calculations'!HT109,'Calculations'!$HE$13:$HE$512,0)),""))))</x:f>
      </x:c>
      <x:c r="HV109" t="str">
        <x:f>IF('Calculations'!HU109="","",IF('Calculations'!HU109="!AMBIG","!AMBIG",IF(COUNTIF('Calculations'!$HE$13:$HE$512,"="&amp;SUBSTITUTE(SUBSTITUTE(SUBSTITUTE('Calculations'!HU109,"~","~~"),"*","~*"),"?","~?"))&gt;1,"!AMBIG",IFERROR(INDEX('Calculations'!$HF$13:$HF$512,MATCH('Calculations'!HU109,'Calculations'!$HE$13:$HE$512,0)),""))))</x:f>
      </x:c>
      <x:c r="HW109" t="str">
        <x:f>IF('Calculations'!HV109="","",IF('Calculations'!HV109="!AMBIG","!AMBIG",IF(COUNTIF('Calculations'!$HE$13:$HE$512,"="&amp;SUBSTITUTE(SUBSTITUTE(SUBSTITUTE('Calculations'!HV109,"~","~~"),"*","~*"),"?","~?"))&gt;1,"!AMBIG",IFERROR(INDEX('Calculations'!$HF$13:$HF$512,MATCH('Calculations'!HV109,'Calculations'!$HE$13:$HE$512,0)),""))))</x:f>
      </x:c>
      <x:c r="HX109" t="str">
        <x:f>IF('Calculations'!HW109="","",IF('Calculations'!HW109="!AMBIG","!AMBIG",IF(COUNTIF('Calculations'!$HE$13:$HE$512,"="&amp;SUBSTITUTE(SUBSTITUTE(SUBSTITUTE('Calculations'!HW109,"~","~~"),"*","~*"),"?","~?"))&gt;1,"!AMBIG",IFERROR(INDEX('Calculations'!$HF$13:$HF$512,MATCH('Calculations'!HW109,'Calculations'!$HE$13:$HE$512,0)),""))))</x:f>
      </x:c>
      <x:c r="HY109" t="str">
        <x:f>IF('Calculations'!HX109="","",IF('Calculations'!HX109="!AMBIG","!AMBIG",IF(COUNTIF('Calculations'!$HE$13:$HE$512,"="&amp;SUBSTITUTE(SUBSTITUTE(SUBSTITUTE('Calculations'!HX109,"~","~~"),"*","~*"),"?","~?"))&gt;1,"!AMBIG",IFERROR(INDEX('Calculations'!$HF$13:$HF$512,MATCH('Calculations'!HX109,'Calculations'!$HE$13:$HE$512,0)),""))))</x:f>
      </x:c>
      <x:c r="HZ109" t="str">
        <x:f>IF('Calculations'!HY109="","",IF('Calculations'!HY109="!AMBIG","!AMBIG",IF(COUNTIF('Calculations'!$HE$13:$HE$512,"="&amp;SUBSTITUTE(SUBSTITUTE(SUBSTITUTE('Calculations'!HY109,"~","~~"),"*","~*"),"?","~?"))&gt;1,"!AMBIG",IFERROR(INDEX('Calculations'!$HF$13:$HF$512,MATCH('Calculations'!HY109,'Calculations'!$HE$13:$HE$512,0)),""))))</x:f>
      </x:c>
      <x:c r="IA109" t="str">
        <x:f>IF('Calculations'!HZ109="","",IF('Calculations'!HZ109="!AMBIG","!AMBIG",IF(COUNTIF('Calculations'!$HE$13:$HE$512,"="&amp;SUBSTITUTE(SUBSTITUTE(SUBSTITUTE('Calculations'!HZ109,"~","~~"),"*","~*"),"?","~?"))&gt;1,"!AMBIG",IFERROR(INDEX('Calculations'!$HF$13:$HF$512,MATCH('Calculations'!HZ109,'Calculations'!$HE$13:$HE$512,0)),""))))</x:f>
      </x:c>
      <x:c r="IB109" t="str">
        <x:f>IF('Calculations'!IA109="","",IF('Calculations'!IA109="!AMBIG","!AMBIG",IF(COUNTIF('Calculations'!$HE$13:$HE$512,"="&amp;SUBSTITUTE(SUBSTITUTE(SUBSTITUTE('Calculations'!IA109,"~","~~"),"*","~*"),"?","~?"))&gt;1,"!AMBIG",IFERROR(INDEX('Calculations'!$HF$13:$HF$512,MATCH('Calculations'!IA109,'Calculations'!$HE$13:$HE$512,0)),""))))</x:f>
      </x:c>
      <x:c r="IC109" t="str">
        <x:f>IF('Calculations'!IB109="","",IF('Calculations'!IB109="!AMBIG","!AMBIG",IF(COUNTIF('Calculations'!$HE$13:$HE$512,"="&amp;SUBSTITUTE(SUBSTITUTE(SUBSTITUTE('Calculations'!IB109,"~","~~"),"*","~*"),"?","~?"))&gt;1,"!AMBIG",IFERROR(INDEX('Calculations'!$HF$13:$HF$512,MATCH('Calculations'!IB109,'Calculations'!$HE$13:$HE$512,0)),""))))</x:f>
      </x:c>
      <x:c r="ID109" t="str">
        <x:f>IF('Calculations'!IC109="","",IF('Calculations'!IC109="!AMBIG","!AMBIG",IF(COUNTIF('Calculations'!$HE$13:$HE$512,"="&amp;SUBSTITUTE(SUBSTITUTE(SUBSTITUTE('Calculations'!IC109,"~","~~"),"*","~*"),"?","~?"))&gt;1,"!AMBIG",IFERROR(INDEX('Calculations'!$HF$13:$HF$512,MATCH('Calculations'!IC109,'Calculations'!$HE$13:$HE$512,0)),""))))</x:f>
      </x:c>
      <x:c r="IE109" t="str">
        <x:f>IF('Calculations'!ID109="","",IF('Calculations'!ID109="!AMBIG","!AMBIG",IF(COUNTIF('Calculations'!$HE$13:$HE$512,"="&amp;SUBSTITUTE(SUBSTITUTE(SUBSTITUTE('Calculations'!ID109,"~","~~"),"*","~*"),"?","~?"))&gt;1,"!AMBIG",IFERROR(INDEX('Calculations'!$HF$13:$HF$512,MATCH('Calculations'!ID109,'Calculations'!$HE$13:$HE$512,0)),""))))</x:f>
      </x:c>
      <x:c r="IF109" t="str">
        <x:f>IF('Calculations'!IE109="","",IF('Calculations'!IE109="!AMBIG","!AMBIG",IF(COUNTIF('Calculations'!$HE$13:$HE$512,"="&amp;SUBSTITUTE(SUBSTITUTE(SUBSTITUTE('Calculations'!IE109,"~","~~"),"*","~*"),"?","~?"))&gt;1,"!AMBIG",IFERROR(INDEX('Calculations'!$HF$13:$HF$512,MATCH('Calculations'!IE109,'Calculations'!$HE$13:$HE$512,0)),""))))</x:f>
      </x:c>
      <x:c r="IG109" t="str">
        <x:f>IF('Calculations'!IF109="","",IF('Calculations'!IF109="!AMBIG","!AMBIG",IF(COUNTIF('Calculations'!$HE$13:$HE$512,"="&amp;SUBSTITUTE(SUBSTITUTE(SUBSTITUTE('Calculations'!IF109,"~","~~"),"*","~*"),"?","~?"))&gt;1,"!AMBIG",IFERROR(INDEX('Calculations'!$HF$13:$HF$512,MATCH('Calculations'!IF109,'Calculations'!$HE$13:$HE$512,0)),""))))</x:f>
      </x:c>
      <x:c r="IH109" t="str">
        <x:f>IF('Calculations'!IG109="","",IF('Calculations'!IG109="!AMBIG","!AMBIG",IF(COUNTIF('Calculations'!$HE$13:$HE$512,"="&amp;SUBSTITUTE(SUBSTITUTE(SUBSTITUTE('Calculations'!IG109,"~","~~"),"*","~*"),"?","~?"))&gt;1,"!AMBIG",IFERROR(INDEX('Calculations'!$HF$13:$HF$512,MATCH('Calculations'!IG109,'Calculations'!$HE$13:$HE$512,0)),""))))</x:f>
      </x:c>
      <x:c r="II109" t="str">
        <x:f>IF('Calculations'!IH109="","",IF('Calculations'!IH109="!AMBIG","!AMBIG",IF(COUNTIF('Calculations'!$HE$13:$HE$512,"="&amp;SUBSTITUTE(SUBSTITUTE(SUBSTITUTE('Calculations'!IH109,"~","~~"),"*","~*"),"?","~?"))&gt;1,"!AMBIG",IFERROR(INDEX('Calculations'!$HF$13:$HF$512,MATCH('Calculations'!IH109,'Calculations'!$HE$13:$HE$512,0)),""))))</x:f>
      </x:c>
      <x:c r="IJ109" t="str">
        <x:f>IF('Calculations'!EM109="","",IF('Calculations'!$EF$2="All",'Calculations'!HM109,IF('Calculations'!HL109=1,"",IFERROR(IF(MATCH('Calculations'!$EF$2,'Calculations'!HO109:II109,0)=1,'Calculations'!HE109,INDEX('Calculations'!HO109:II109,1,MATCH('Calculations'!$EF$2,'Calculations'!HO109:II109,0)-1)),""))))</x:f>
      </x:c>
      <x:c r="IK109" t="n">
        <x:f>IF(AND('Calculations'!EM109&lt;&gt;"",'Calculations'!$EF$2&lt;&gt;"All",'Calculations'!HF109='Calculations'!$EF$2,'Calculations'!HL109=0,'Calculations'!JD109&gt;0),MAX('Calculations'!$IK$12:IK108)+1,0)</x:f>
        <x:v>0</x:v>
      </x:c>
      <x:c r="JA109" t="n">
        <x:f>IF(OR(IFERROR(INDIRECT("'WCM Calibration Final'!$A$109")&lt;&gt;"",FALSE),IFERROR(INDIRECT("'WCM Calibration Final'!$B$109")&lt;&gt;"",FALSE),IFERROR(INDIRECT("'WCM Calibration Final'!$C$109")&lt;&gt;"",FALSE)),109,0)</x:f>
        <x:v>0</x:v>
      </x:c>
      <x:c r="JB109" t="n">
        <x:f>'Calculations'!JB108+IF('Calculations'!JA109&gt;0,1,0)</x:f>
        <x:v>0</x:v>
      </x:c>
      <x:c r="JC109" t="n">
        <x:f>IF(OR('Calculations'!HF109="",'Calculations'!HF109="!AMBIG"),0,IF('Dashboard'!$B$7="All",1,COUNTIFS('Calculations'!$HO$13:$HO$512,"="&amp;SUBSTITUTE(SUBSTITUTE(SUBSTITUTE('Calculations'!HF109,"~","~~"),"*","~*"),"?","~?"),'Calculations'!$HN$13:$HN$512,"="&amp;SUBSTITUTE(SUBSTITUTE(SUBSTITUTE('Dashboard'!$B$7,"~","~~"),"*","~*"),"?","~?"))+COUNTIFS('Calculations'!$HP$13:$HP$512,"="&amp;SUBSTITUTE(SUBSTITUTE(SUBSTITUTE('Calculations'!HF109,"~","~~"),"*","~*"),"?","~?"),'Calculations'!$HN$13:$HN$512,"="&amp;SUBSTITUTE(SUBSTITUTE(SUBSTITUTE('Dashboard'!$B$7,"~","~~"),"*","~*"),"?","~?"))+COUNTIFS('Calculations'!$HQ$13:$HQ$512,"="&amp;SUBSTITUTE(SUBSTITUTE(SUBSTITUTE('Calculations'!HF109,"~","~~"),"*","~*"),"?","~?"),'Calculations'!$HN$13:$HN$512,"="&amp;SUBSTITUTE(SUBSTITUTE(SUBSTITUTE('Dashboard'!$B$7,"~","~~"),"*","~*"),"?","~?"))+COUNTIFS('Calculations'!$HR$13:$HR$512,"="&amp;SUBSTITUTE(SUBSTITUTE(SUBSTITUTE('Calculations'!HF109,"~","~~"),"*","~*"),"?","~?"),'Calculations'!$HN$13:$HN$512,"="&amp;SUBSTITUTE(SUBSTITUTE(SUBSTITUTE('Dashboard'!$B$7,"~","~~"),"*","~*"),"?","~?"))+COUNTIFS('Calculations'!$HS$13:$HS$512,"="&amp;SUBSTITUTE(SUBSTITUTE(SUBSTITUTE('Calculations'!HF109,"~","~~"),"*","~*"),"?","~?"),'Calculations'!$HN$13:$HN$512,"="&amp;SUBSTITUTE(SUBSTITUTE(SUBSTITUTE('Dashboard'!$B$7,"~","~~"),"*","~*"),"?","~?"))+COUNTIFS('Calculations'!$HT$13:$HT$512,"="&amp;SUBSTITUTE(SUBSTITUTE(SUBSTITUTE('Calculations'!HF109,"~","~~"),"*","~*"),"?","~?"),'Calculations'!$HN$13:$HN$512,"="&amp;SUBSTITUTE(SUBSTITUTE(SUBSTITUTE('Dashboard'!$B$7,"~","~~"),"*","~*"),"?","~?"))+COUNTIFS('Calculations'!$HU$13:$HU$512,"="&amp;SUBSTITUTE(SUBSTITUTE(SUBSTITUTE('Calculations'!HF109,"~","~~"),"*","~*"),"?","~?"),'Calculations'!$HN$13:$HN$512,"="&amp;SUBSTITUTE(SUBSTITUTE(SUBSTITUTE('Dashboard'!$B$7,"~","~~"),"*","~*"),"?","~?"))+COUNTIFS('Calculations'!$HV$13:$HV$512,"="&amp;SUBSTITUTE(SUBSTITUTE(SUBSTITUTE('Calculations'!HF109,"~","~~"),"*","~*"),"?","~?"),'Calculations'!$HN$13:$HN$512,"="&amp;SUBSTITUTE(SUBSTITUTE(SUBSTITUTE('Dashboard'!$B$7,"~","~~"),"*","~*"),"?","~?"))+COUNTIFS('Calculations'!$HW$13:$HW$512,"="&amp;SUBSTITUTE(SUBSTITUTE(SUBSTITUTE('Calculations'!HF109,"~","~~"),"*","~*"),"?","~?"),'Calculations'!$HN$13:$HN$512,"="&amp;SUBSTITUTE(SUBSTITUTE(SUBSTITUTE('Dashboard'!$B$7,"~","~~"),"*","~*"),"?","~?"))+COUNTIFS('Calculations'!$HX$13:$HX$512,"="&amp;SUBSTITUTE(SUBSTITUTE(SUBSTITUTE('Calculations'!HF109,"~","~~"),"*","~*"),"?","~?"),'Calculations'!$HN$13:$HN$512,"="&amp;SUBSTITUTE(SUBSTITUTE(SUBSTITUTE('Dashboard'!$B$7,"~","~~"),"*","~*"),"?","~?"))+COUNTIFS('Calculations'!$HY$13:$HY$512,"="&amp;SUBSTITUTE(SUBSTITUTE(SUBSTITUTE('Calculations'!HF109,"~","~~"),"*","~*"),"?","~?"),'Calculations'!$HN$13:$HN$512,"="&amp;SUBSTITUTE(SUBSTITUTE(SUBSTITUTE('Dashboard'!$B$7,"~","~~"),"*","~*"),"?","~?"))+COUNTIFS('Calculations'!$HZ$13:$HZ$512,"="&amp;SUBSTITUTE(SUBSTITUTE(SUBSTITUTE('Calculations'!HF109,"~","~~"),"*","~*"),"?","~?"),'Calculations'!$HN$13:$HN$512,"="&amp;SUBSTITUTE(SUBSTITUTE(SUBSTITUTE('Dashboard'!$B$7,"~","~~"),"*","~*"),"?","~?"))+COUNTIFS('Calculations'!$IA$13:$IA$512,"="&amp;SUBSTITUTE(SUBSTITUTE(SUBSTITUTE('Calculations'!HF109,"~","~~"),"*","~*"),"?","~?"),'Calculations'!$HN$13:$HN$512,"="&amp;SUBSTITUTE(SUBSTITUTE(SUBSTITUTE('Dashboard'!$B$7,"~","~~"),"*","~*"),"?","~?"))+COUNTIFS('Calculations'!$IB$13:$IB$512,"="&amp;SUBSTITUTE(SUBSTITUTE(SUBSTITUTE('Calculations'!HF109,"~","~~"),"*","~*"),"?","~?"),'Calculations'!$HN$13:$HN$512,"="&amp;SUBSTITUTE(SUBSTITUTE(SUBSTITUTE('Dashboard'!$B$7,"~","~~"),"*","~*"),"?","~?"))+COUNTIFS('Calculations'!$IC$13:$IC$512,"="&amp;SUBSTITUTE(SUBSTITUTE(SUBSTITUTE('Calculations'!HF109,"~","~~"),"*","~*"),"?","~?"),'Calculations'!$HN$13:$HN$512,"="&amp;SUBSTITUTE(SUBSTITUTE(SUBSTITUTE('Dashboard'!$B$7,"~","~~"),"*","~*"),"?","~?"))+COUNTIFS('Calculations'!$ID$13:$ID$512,"="&amp;SUBSTITUTE(SUBSTITUTE(SUBSTITUTE('Calculations'!HF109,"~","~~"),"*","~*"),"?","~?"),'Calculations'!$HN$13:$HN$512,"="&amp;SUBSTITUTE(SUBSTITUTE(SUBSTITUTE('Dashboard'!$B$7,"~","~~"),"*","~*"),"?","~?"))+COUNTIFS('Calculations'!$IE$13:$IE$512,"="&amp;SUBSTITUTE(SUBSTITUTE(SUBSTITUTE('Calculations'!HF109,"~","~~"),"*","~*"),"?","~?"),'Calculations'!$HN$13:$HN$512,"="&amp;SUBSTITUTE(SUBSTITUTE(SUBSTITUTE('Dashboard'!$B$7,"~","~~"),"*","~*"),"?","~?"))+COUNTIFS('Calculations'!$IF$13:$IF$512,"="&amp;SUBSTITUTE(SUBSTITUTE(SUBSTITUTE('Calculations'!HF109,"~","~~"),"*","~*"),"?","~?"),'Calculations'!$HN$13:$HN$512,"="&amp;SUBSTITUTE(SUBSTITUTE(SUBSTITUTE('Dashboard'!$B$7,"~","~~"),"*","~*"),"?","~?"))+COUNTIFS('Calculations'!$IG$13:$IG$512,"="&amp;SUBSTITUTE(SUBSTITUTE(SUBSTITUTE('Calculations'!HF109,"~","~~"),"*","~*"),"?","~?"),'Calculations'!$HN$13:$HN$512,"="&amp;SUBSTITUTE(SUBSTITUTE(SUBSTITUTE('Dashboard'!$B$7,"~","~~"),"*","~*"),"?","~?"))+COUNTIFS('Calculations'!$IH$13:$IH$512,"="&amp;SUBSTITUTE(SUBSTITUTE(SUBSTITUTE('Calculations'!HF109,"~","~~"),"*","~*"),"?","~?"),'Calculations'!$HN$13:$HN$512,"="&amp;SUBSTITUTE(SUBSTITUTE(SUBSTITUTE('Dashboard'!$B$7,"~","~~"),"*","~*"),"?","~?"))))</x:f>
        <x:v>0</x:v>
      </x:c>
      <x:c r="JD109" t="n">
        <x:f>IF('Calculations'!EM109="",0,IF('Dashboard'!$B$7="All",1,IF('Calculations'!HN109='Dashboard'!$B$7,1,0)+IFERROR(INDEX('Calculations'!$JC$13:$JC$512,MATCH('Calculations'!HE109,'Calculations'!$HF$13:$HF$512,0)),0)))</x:f>
        <x:v>0</x:v>
      </x:c>
      <x:c r="JE109" t="n">
        <x:f>IF(AND('Calculations'!EM109&lt;&gt;"",'Calculations'!$JJ$2&lt;&gt;"All",'Calculations'!$JJ$2&lt;&gt;"",'Calculations'!HF109='Calculations'!$JJ$2,'Calculations'!HL109=0,'Calculations'!JD109&gt;0),MAX('Calculations'!$JE$12:JE108)+1,0)</x:f>
        <x:v>0</x:v>
      </x:c>
      <x:c r="JF109" t="str">
        <x:f>IF('Calculations'!EM109="","",IFERROR(IF(INDEX(INDIRECT("'WCM Calibration Final'!$G$1:$G$2000"),'Calculations'!$EM109)="","",TRIM(INDEX(INDIRECT("'WCM Calibration Final'!$G$1:$G$2000"),'Calculations'!$EM109)&amp;"")),""))</x:f>
      </x:c>
      <x:c r="JQ109" t="n">
        <x:f>IF(OR('Calculations'!BM109=0,NOT('Calculations'!$AG$2),'Calculations'!$AG$8&gt;0),0,IF(OR('Dashboard'!$B$7="All",'Calculations'!HN109='Dashboard'!$B$7),IF('Calculations'!$JJ$2="All",1,IF(AND('Calculations'!HF109='Calculations'!$JJ$2,'Calculations'!HL109=0),1,0)),0))</x:f>
        <x:v>0</x:v>
      </x:c>
    </x:row>
    <x:row r="110">
      <x:c r="AF110" s="4"/>
      <x:c r="AG110" s="4"/>
      <x:c r="AH110" s="4"/>
      <x:c r="AI110" s="4"/>
      <x:c r="AJ110" s="4"/>
      <x:c r="AK110" s="4"/>
      <x:c r="AL110" s="4"/>
      <x:c r="AM110" s="4"/>
      <x:c r="AN110" s="4"/>
      <x:c r="AO110" s="4"/>
      <x:c r="AP110" s="4"/>
      <x:c r="AQ110" s="4"/>
      <x:c r="AR110" s="4" t="n">
        <x:f>IFERROR(MATCH((MIN('Dashboard'!$Z$93,MAX(1,ROUNDUP(MAX('Calculations'!$DP$12:$DP$1012)/20,0)))-1)*20+13,'Calculations'!$DP$12:$DP$1012,0),0)</x:f>
        <x:v>0</x:v>
      </x:c>
      <x:c r="AS110" s="4"/>
      <x:c r="AT110" s="4"/>
      <x:c r="AU110" s="4"/>
      <x:c r="AV110" s="4"/>
      <x:c r="AW110" s="4"/>
      <x:c r="AX110" s="4"/>
      <x:c r="AY110" s="4"/>
      <x:c r="AZ110" s="4"/>
      <x:c r="BA110" s="4"/>
      <x:c r="BB110" s="4"/>
      <x:c r="BC110" s="4"/>
      <x:c r="BD110" s="4"/>
      <x:c r="BE110" s="4"/>
      <x:c r="BF110" s="4"/>
      <x:c r="BG110" s="4"/>
      <x:c r="BH110" s="4"/>
      <x:c r="BI110" s="4"/>
      <x:c r="BJ110" s="4"/>
      <x:c r="BK110" s="4"/>
      <x:c r="BL110" s="4"/>
      <x:c r="BM110" s="4" t="n">
        <x:f>IF('Calculations'!$EM110="",0,IF(OR(IFERROR(INDEX(INDIRECT("'WCM Calibration Final'!$A$1:$A$2000"),'Calculations'!$EM110)&lt;&gt;"",FALSE),IFERROR(INDEX(INDIRECT("'WCM Calibration Final'!$B$1:$B$2000"),'Calculations'!$EM110)&lt;&gt;"",FALSE),IFERROR(INDEX(INDIRECT("'WCM Calibration Final'!$C$1:$C$2000"),'Calculations'!$EM110)&lt;&gt;"",FALSE)),1,0))</x:f>
        <x:v>0</x:v>
      </x:c>
      <x:c r="BN110" s="4" t="n">
        <x:f>IF(AND('Calculations'!BM110=1,'Calculations'!$AG$2,'Calculations'!$EN110=1),1,0)</x:f>
        <x:v>0</x:v>
      </x:c>
      <x:c r="BO110" s="4" t="str">
        <x:f>IF('Calculations'!BM110=0,"",IFERROR(IF(AND(VALUE(INDEX(INDIRECT("'WCM Calibration Final'!$K$1:$K$2000"),'Calculations'!$EM110))&gt;=1,VALUE(INDEX(INDIRECT("'WCM Calibration Final'!$K$1:$K$2000"),'Calculations'!$EM110))&lt;=4,MOD(VALUE(INDEX(INDIRECT("'WCM Calibration Final'!$K$1:$K$2000"),'Calculations'!$EM110)),1)=0),VALUE(INDEX(INDIRECT("'WCM Calibration Final'!$K$1:$K$2000"),'Calculations'!$EM110)),""),""))</x:f>
      </x:c>
      <x:c r="BP110" s="4" t="str">
        <x:f>IF('Calculations'!BM110=0,"",IFERROR(IF(AND(VALUE(INDEX(INDIRECT("'WCM Calibration Final'!$L$1:$L$2000"),'Calculations'!$EM110))&gt;=1,VALUE(INDEX(INDIRECT("'WCM Calibration Final'!$L$1:$L$2000"),'Calculations'!$EM110))&lt;=4,MOD(VALUE(INDEX(INDIRECT("'WCM Calibration Final'!$L$1:$L$2000"),'Calculations'!$EM110)),1)=0),VALUE(INDEX(INDIRECT("'WCM Calibration Final'!$L$1:$L$2000"),'Calculations'!$EM110)),""),""))</x:f>
      </x:c>
      <x:c r="BQ110" s="4"/>
      <x:c r="BR110" s="4"/>
      <x:c r="BS110" s="4"/>
      <x:c r="BT110" s="4" t="n">
        <x:f>IF(AND('Calculations'!BM110=1,ISNUMBER('Calculations'!BO110),ISNUMBER('Calculations'!BP110)),1,0)</x:f>
        <x:v>0</x:v>
      </x:c>
      <x:c r="BU110" s="4" t="str">
        <x:f>IF('Calculations'!BM110=0,"",'Calculations'!$EO110)</x:f>
      </x:c>
      <x:c r="BV110" s="4" t="str">
        <x:f>IF('Calculations'!BM110=0,"",IFERROR(IF(OR(INDEX(INDIRECT("'WCM Calibration Final'!$H$1:$H$2000"),'Calculations'!$EM110)="MANAGING DIRECTOR",INDEX(INDIRECT("'WCM Calibration Final'!$H$1:$H$2000"),'Calculations'!$EM110)="DIRECTOR",INDEX(INDIRECT("'WCM Calibration Final'!$H$1:$H$2000"),'Calculations'!$EM110)="SENIOR VICE PRESIDENT",INDEX(INDIRECT("'WCM Calibration Final'!$H$1:$H$2000"),'Calculations'!$EM110)="VICE PRESIDENT",INDEX(INDIRECT("'WCM Calibration Final'!$H$1:$H$2000"),'Calculations'!$EM110)="ASSISTANT VICE PRESIDENT",INDEX(INDIRECT("'WCM Calibration Final'!$H$1:$H$2000"),'Calculations'!$EM110)="OFFICER"),UPPER(INDEX(INDIRECT("'WCM Calibration Final'!$H$1:$H$2000"),'Calculations'!$EM110)),"Other"),"Other"))</x:f>
      </x:c>
      <x:c r="BW110" s="4"/>
      <x:c r="BX110" s="4"/>
      <x:c r="BY110" s="4" t="n">
        <x:f>IF(AND('Calculations'!BM110=1,'Calculations'!BU110&lt;&gt;"",COUNTIF('Calculations'!$BU$12:BU110,'Calculations'!BU110)=1),MAX('Calculations'!$BY$11:BY109)+1,0)</x:f>
        <x:v>0</x:v>
      </x:c>
      <x:c r="BZ110" s="4" t="str">
        <x:f>IF('Dashboard'!$E$67="What",'Calculations'!BO110,'Calculations'!BP110)</x:f>
      </x:c>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t="str">
        <x:f>IF(99&gt;MAX('Calculations'!$HI$13:$HI$512),"",INDEX('Calculations'!$HN$13:$HN$512,MATCH(99,'Calculations'!$HI$13:$HI$512,0)))</x:f>
      </x:c>
      <x:c r="DB110" s="4" t="str">
        <x:f>IF(99&gt;MAX('Calculations'!$HH$13:$HH$512),"",INDEX('Calculations'!$HJ$13:$HJ$512,MATCH(99,'Calculations'!$HH$13:$HH$512,0)))</x:f>
      </x:c>
      <x:c r="DC110" s="4" t="str">
        <x:f>IF(ROW()-11&gt;MAX('Calculations'!$BY$13:$BY$512),"",INDEX('Calculations'!$BU$13:$BU$512,MATCH(ROW()-11,'Calculations'!$BY$13:$BY$512,0)))</x:f>
      </x:c>
      <x:c r="DD110" s="4" t="str">
        <x:f>IF(99&gt;MAX('Calculations'!$IK$13:$IK$512),"",INDEX('Calculations'!$HK$13:$HK$512,MATCH(99,'Calculations'!$IK$13:$IK$512,0)))</x:f>
      </x:c>
      <x:c r="DE110" s="4" t="str">
        <x:f>'Calculations'!DC110</x:f>
      </x:c>
      <x:c r="DF110" s="4" t="str">
        <x:f>IF('Calculations'!DE110="","",COUNTIFS('Calculations'!$BN$13:$BN$512,1,'Calculations'!$BU$13:$BU$512,'Calculations'!DE110))</x:f>
      </x:c>
      <x:c r="DG110" s="4" t="str">
        <x:f>IF('Calculations'!DE110="","",COUNTIFS('Calculations'!$BN$13:$BN$512,1,'Calculations'!$BU$13:$BU$512,'Calculations'!DE110,'Calculations'!$BT$13:$BT$512,1))</x:f>
      </x:c>
      <x:c r="DH110" s="4" t="str">
        <x:f>IF('Calculations'!DE110="","",'Calculations'!DF110-'Calculations'!DG110)</x:f>
      </x:c>
      <x:c r="DI110" s="4" t="str">
        <x:f>IF(OR('Calculations'!DE110="",'Calculations'!DF110=0),"",'Calculations'!DG110/'Calculations'!DF110)</x:f>
      </x:c>
      <x:c r="DJ110" s="4" t="str">
        <x:f>IF('Calculations'!DE110="","",COUNTIFS('Calculations'!$BN$13:$BN$512,1,'Calculations'!$BU$13:$BU$512,'Calculations'!DE110,'Calculations'!$BT$13:$BT$512,1,'Calculations'!$EE$13:$EE$512,"High"))</x:f>
      </x:c>
      <x:c r="DK110" s="4" t="str">
        <x:f>IF('Calculations'!DE110="","",COUNTIFS('Calculations'!$BN$13:$BN$512,1,'Calculations'!$BU$13:$BU$512,'Calculations'!DE110,'Calculations'!$BT$13:$BT$512,1,'Calculations'!$EE$13:$EE$512,"Strong"))</x:f>
      </x:c>
      <x:c r="DL110" s="4" t="str">
        <x:f>IF('Calculations'!DE110="","",COUNTIFS('Calculations'!$BN$13:$BN$512,1,'Calculations'!$BU$13:$BU$512,'Calculations'!DE110,'Calculations'!$BT$13:$BT$512,1,'Calculations'!$EE$13:$EE$512,"Solid"))</x:f>
      </x:c>
      <x:c r="DM110" s="4" t="str">
        <x:f>IF('Calculations'!DE110="","",COUNTIFS('Calculations'!$BN$13:$BN$512,1,'Calculations'!$BU$13:$BU$512,'Calculations'!DE110,'Calculations'!$BT$13:$BT$512,1,'Calculations'!$EE$13:$EE$512,"Low"))</x:f>
      </x:c>
      <x:c r="DN110" s="4" t="str">
        <x:f>IF('Calculations'!DE110="","",COUNTIFS('Calculations'!$BN$13:$BN$512,1,'Calculations'!$BU$13:$BU$512,'Calculations'!DE110,'Calculations'!$EP$13:$EP$512,1))</x:f>
      </x:c>
      <x:c r="DO110" s="4" t="str">
        <x:f>IF(OR('Calculations'!DE110="",'Calculations'!DG110=0),"",('Calculations'!DJ110+'Calculations'!DK110)/'Calculations'!DG110)</x:f>
      </x:c>
      <x:c r="DP110" s="4" t="n">
        <x:f>IF(AND('Calculations'!DE110&lt;&gt;"",'Calculations'!DF110&gt;0),COUNTIF('Calculations'!$DF$12:DF110,"&gt;0"),0)</x:f>
        <x:v>0</x:v>
      </x:c>
      <x:c r="DQ110" s="4" t="str">
        <x:f>IF(99&gt;MAX('Calculations'!$HH$13:$HH$512),"",INDEX('Calculations'!$HF$13:$HF$512,MATCH(99,'Calculations'!$HH$13:$HH$512,0)))</x:f>
      </x:c>
      <x:c r="DR110" s="4" t="str">
        <x:f>IF(99&gt;MAX('Calculations'!$IK$13:$IK$512),"",INDEX('Calculations'!$HE$13:$HE$512,MATCH(99,'Calculations'!$IK$13:$IK$512,0)))</x:f>
      </x:c>
      <x:c r="DS110" s="4"/>
      <x:c r="DT110" s="4"/>
      <x:c r="DU110" s="4"/>
      <x:c r="DV110" s="4"/>
      <x:c r="DW110" s="4"/>
      <x:c r="DX110" s="4"/>
      <x:c r="DY110" s="4"/>
      <x:c r="DZ110" s="4"/>
      <x:c r="EA110" s="4"/>
      <x:c r="EB110" s="4"/>
      <x:c r="EC110" s="4"/>
      <x:c r="ED110" s="4"/>
      <x:c r="EE110" s="4" t="str">
        <x:f>IF('Calculations'!BT110=0,"Not Rated",IF(OR('Calculations'!BO110&gt;=4,'Calculations'!BP110&gt;=4),"Low",IF('Calculations'!BO110+'Calculations'!BP110&lt;=3,"High",IF('Calculations'!BO110+'Calculations'!BP110&lt;=4,"Strong","Solid"))))</x:f>
        <x:v>Not Rated</x:v>
      </x:c>
      <x:c r="EF110" s="4"/>
      <x:c r="EG110" s="4"/>
      <x:c r="EH110" s="4"/>
      <x:c r="EI110" s="4"/>
      <x:c r="EJ110" s="4"/>
      <x:c r="EK110" s="4"/>
      <x:c r="EL110" s="4"/>
      <x:c r="EM110" s="4" t="str">
        <x:f>IF(98&gt;'Calculations'!$JB$2000,"",INDEX('Calculations'!$JA$12:$JA$2000,MATCH(98,'Calculations'!$JB$12:$JB$2000,0)))</x:f>
      </x:c>
      <x:c r="EN110" s="4" t="n">
        <x:f>IF(OR('Calculations'!EM110="",'Calculations'!$AG$8&gt;0,AND('Calculations'!$EF$2&lt;&gt;"All",'Calculations'!HE110='Calculations'!$EF$2),AND('Calculations'!$EF$3&lt;&gt;"All",'Calculations'!HE110='Calculations'!$EF$3)),0,IF(OR('Dashboard'!$B$7="All",'Calculations'!HN110='Dashboard'!$B$7),IF('Calculations'!$EF$2="All",1,IF('Calculations'!HL110&gt;0,0,IF(COUNTIF('Calculations'!HO110:II110,"="&amp;SUBSTITUTE(SUBSTITUTE(SUBSTITUTE('Calculations'!$EF$2,"~","~~"),"*","~*"),"?","~?"))=0,0,IF('Calculations'!$EF$3="All",1,IF(COUNTIF('Calculations'!HO110:II110,"="&amp;SUBSTITUTE(SUBSTITUTE(SUBSTITUTE('Calculations'!$EF$3,"~","~~"),"*","~*"),"?","~?"))&gt;0,1,0))))),0))</x:f>
        <x:v>0</x:v>
      </x:c>
      <x:c r="EO110" s="4" t="str">
        <x:f>IF('Calculations'!IJ110="","",IF('Calculations'!IJ110="!UNRESOLVED","Unresolved hierarchy",IFERROR(INDEX('Calculations'!$HK$13:$HK$512,MATCH('Calculations'!IJ110,'Calculations'!$HE$13:$HE$512,0)),IFERROR(INDEX('Calculations'!$HJ$13:$HJ$512,MATCH('Calculations'!IJ110,'Calculations'!$HF$13:$HF$512,0)),'Calculations'!IJ110))))</x:f>
      </x:c>
      <x:c r="EP110" s="4" t="n">
        <x:f>IF(AND('Calculations'!EM110&lt;&gt;"",'Calculations'!HF110='Calculations'!IJ110),1,0)</x:f>
        <x:v>0</x:v>
      </x:c>
      <x:c r="EQ110" s="4"/>
      <x:c r="ER110" s="4"/>
      <x:c r="ES110" s="4"/>
      <x:c r="ET110" s="4"/>
      <x:c r="EU110" s="4"/>
      <x:c r="EV110" s="4"/>
      <x:c r="EW110" s="4"/>
      <x:c r="EX110" s="4"/>
      <x:c r="EY110" s="4"/>
      <x:c r="EZ110" s="4"/>
      <x:c r="FA110" s="4"/>
      <x:c r="FB110" s="4"/>
      <x:c r="FC110" s="4"/>
      <x:c r="FD110" s="4"/>
      <x:c r="FE110" s="4"/>
      <x:c r="FF110" s="4"/>
      <x:c r="FG110" s="4"/>
      <x:c r="FH110" s="4"/>
      <x:c r="FI110" s="4"/>
      <x:c r="FJ110" s="4"/>
      <x:c r="FK110" s="4"/>
      <x:c r="FL110" s="4"/>
      <x:c r="FM110" s="4"/>
      <x:c r="FN110" s="4"/>
      <x:c r="FO110" s="4"/>
      <x:c r="GA110" s="71"/>
      <x:c r="GB110" s="71" t="str">
        <x:f>IF('Calculations'!$AR110=0,"",INDEX('Calculations'!$DE$12:$DE$1012,'Calculations'!$AR110))</x:f>
      </x:c>
      <x:c r="GC110" s="71"/>
      <x:c r="GD110" s="71"/>
      <x:c r="GE110" s="71"/>
      <x:c r="GF110" s="71"/>
      <x:c r="GG110" s="71"/>
      <x:c r="GH110" s="71"/>
      <x:c r="GI110" s="71" t="str">
        <x:f>IF('Calculations'!$AR110=0,"",INDEX('Calculations'!$DF$12:$DF$1012,'Calculations'!$AR110))</x:f>
      </x:c>
      <x:c r="GJ110" s="71"/>
      <x:c r="GK110" s="71" t="str">
        <x:f>IF('Calculations'!$AR110=0,"",INDEX('Calculations'!$DG$12:$DG$1012,'Calculations'!$AR110))</x:f>
      </x:c>
      <x:c r="GL110" s="71"/>
      <x:c r="GM110" s="71" t="str">
        <x:f>IF('Calculations'!$AR110=0,"",INDEX('Calculations'!$DH$12:$DH$1012,'Calculations'!$AR110))</x:f>
      </x:c>
      <x:c r="GN110" s="71"/>
      <x:c r="GO110" s="71" t="str">
        <x:f>IF('Calculations'!$AR110=0,"",INDEX('Calculations'!$DI$12:$DI$1012,'Calculations'!$AR110))</x:f>
      </x:c>
      <x:c r="GP110" s="71"/>
      <x:c r="GQ110" s="71" t="str">
        <x:f>IF('Calculations'!$AR110=0,"",INDEX('Calculations'!$DJ$12:$DJ$1012,'Calculations'!$AR110)&amp;" · "&amp;IF(INDEX('Calculations'!$DG$12:$DG$1012,'Calculations'!$AR110)=0,"n.a.",TEXT(INDEX('Calculations'!$DJ$12:$DJ$1012,'Calculations'!$AR110)/INDEX('Calculations'!$DG$12:$DG$1012,'Calculations'!$AR110),"0.0%")))</x:f>
      </x:c>
      <x:c r="GR110" s="71"/>
      <x:c r="GS110" s="71" t="str">
        <x:f>IF('Calculations'!$AR110=0,"",INDEX('Calculations'!$DK$12:$DK$1012,'Calculations'!$AR110)&amp;" · "&amp;IF(INDEX('Calculations'!$DG$12:$DG$1012,'Calculations'!$AR110)=0,"n.a.",TEXT(INDEX('Calculations'!$DK$12:$DK$1012,'Calculations'!$AR110)/INDEX('Calculations'!$DG$12:$DG$1012,'Calculations'!$AR110),"0.0%")))</x:f>
      </x:c>
      <x:c r="GT110" s="71"/>
      <x:c r="GU110" s="71" t="str">
        <x:f>IF('Calculations'!$AR110=0,"",INDEX('Calculations'!$DL$12:$DL$1012,'Calculations'!$AR110)&amp;" · "&amp;IF(INDEX('Calculations'!$DG$12:$DG$1012,'Calculations'!$AR110)=0,"n.a.",TEXT(INDEX('Calculations'!$DL$12:$DL$1012,'Calculations'!$AR110)/INDEX('Calculations'!$DG$12:$DG$1012,'Calculations'!$AR110),"0.0%")))</x:f>
      </x:c>
      <x:c r="GV110" s="71"/>
      <x:c r="GW110" s="71" t="str">
        <x:f>IF('Calculations'!$AR110=0,"",INDEX('Calculations'!$DM$12:$DM$1012,'Calculations'!$AR110)&amp;" · "&amp;IF(INDEX('Calculations'!$DG$12:$DG$1012,'Calculations'!$AR110)=0,"n.a.",TEXT(INDEX('Calculations'!$DM$12:$DM$1012,'Calculations'!$AR110)/INDEX('Calculations'!$DG$12:$DG$1012,'Calculations'!$AR110),"0.0%")))</x:f>
      </x:c>
      <x:c r="GX110" s="71"/>
      <x:c r="GY110" s="71" t="str">
        <x:f>IF('Calculations'!$AR110=0,"",INDEX('Calculations'!$DN$12:$DN$1012,'Calculations'!$AR110))</x:f>
      </x:c>
      <x:c r="GZ110" s="71"/>
      <x:c r="HA110" s="71" t="str">
        <x:f>IF('Calculations'!$AR110=0,"",INDEX('Calculations'!$DO$12:$DO$1012,'Calculations'!$AR110))</x:f>
      </x:c>
      <x:c r="HB110" s="71"/>
      <x:c r="HC110" s="71"/>
      <x:c r="HD110" s="71"/>
      <x:c r="HE110" t="str">
        <x:f>IF('Calculations'!EM110="","",IF(IFERROR(IF(INDEX(INDIRECT("'WCM Calibration Final'!$A$1:$A$2000"),'Calculations'!$EM110)="","",TRIM(INDEX(INDIRECT("'WCM Calibration Final'!$A$1:$A$2000"),'Calculations'!$EM110)&amp;"")),"")&lt;&gt;"","G:"&amp;IFERROR(TEXT(1*INDEX(INDIRECT("'WCM Calibration Final'!$A$1:$A$2000"),'Calculations'!$EM110),"0"),UPPER(IFERROR(IF(INDEX(INDIRECT("'WCM Calibration Final'!$A$1:$A$2000"),'Calculations'!$EM110)="","",TRIM(INDEX(INDIRECT("'WCM Calibration Final'!$A$1:$A$2000"),'Calculations'!$EM110)&amp;"")),""))),IF(IFERROR(IF(INDEX(INDIRECT("'WCM Calibration Final'!$C$1:$C$2000"),'Calculations'!$EM110)="","",TRIM(INDEX(INDIRECT("'WCM Calibration Final'!$C$1:$C$2000"),'Calculations'!$EM110)&amp;"")),"")&lt;&gt;"","S:"&amp;UPPER(IFERROR(IF(INDEX(INDIRECT("'WCM Calibration Final'!$C$1:$C$2000"),'Calculations'!$EM110)="","",TRIM(INDEX(INDIRECT("'WCM Calibration Final'!$C$1:$C$2000"),'Calculations'!$EM110)&amp;"")),"")),"R:"&amp;'Calculations'!EM110)))</x:f>
      </x:c>
      <x:c r="HF110" t="str">
        <x:f>IF('Calculations'!EM110="","",IF(IFERROR(IF(INDEX(INDIRECT("'WCM Calibration Final'!$D$1:$D$2000"),'Calculations'!$EM110)="","",TRIM(INDEX(INDIRECT("'WCM Calibration Final'!$D$1:$D$2000"),'Calculations'!$EM110)&amp;"")),"")&lt;&gt;"","G:"&amp;IFERROR(TEXT(1*INDEX(INDIRECT("'WCM Calibration Final'!$D$1:$D$2000"),'Calculations'!$EM110),"0"),UPPER(IFERROR(IF(INDEX(INDIRECT("'WCM Calibration Final'!$D$1:$D$2000"),'Calculations'!$EM110)="","",TRIM(INDEX(INDIRECT("'WCM Calibration Final'!$D$1:$D$2000"),'Calculations'!$EM110)&amp;"")),""))),IF(IFERROR(IF(INDEX(INDIRECT("'WCM Calibration Final'!$E$1:$E$2000"),'Calculations'!$EM110)="","",TRIM(INDEX(INDIRECT("'WCM Calibration Final'!$E$1:$E$2000"),'Calculations'!$EM110)&amp;"")),"")="","",IF(COUNTIF('Calculations'!$HG$13:$HG$512,"="&amp;SUBSTITUTE(SUBSTITUTE(SUBSTITUTE(IFERROR(IF(INDEX(INDIRECT("'WCM Calibration Final'!$E$1:$E$2000"),'Calculations'!$EM110)="","",TRIM(INDEX(INDIRECT("'WCM Calibration Final'!$E$1:$E$2000"),'Calculations'!$EM110)&amp;"")),""),"~","~~"),"*","~*"),"?","~?"))=1,INDEX('Calculations'!$HE$13:$HE$512,MATCH(IFERROR(IF(INDEX(INDIRECT("'WCM Calibration Final'!$E$1:$E$2000"),'Calculations'!$EM110)="","",TRIM(INDEX(INDIRECT("'WCM Calibration Final'!$E$1:$E$2000"),'Calculations'!$EM110)&amp;"")),""),'Calculations'!$HG$13:$HG$512,0)),IF(COUNTIF('Calculations'!$HG$13:$HG$512,"="&amp;SUBSTITUTE(SUBSTITUTE(SUBSTITUTE(IFERROR(IF(INDEX(INDIRECT("'WCM Calibration Final'!$E$1:$E$2000"),'Calculations'!$EM110)="","",TRIM(INDEX(INDIRECT("'WCM Calibration Final'!$E$1:$E$2000"),'Calculations'!$EM110)&amp;"")),""),"~","~~"),"*","~*"),"?","~?"))&gt;1,"!AMBIG","X:"&amp;IFERROR(IF(INDEX(INDIRECT("'WCM Calibration Final'!$E$1:$E$2000"),'Calculations'!$EM110)="","",TRIM(INDEX(INDIRECT("'WCM Calibration Final'!$E$1:$E$2000"),'Calculations'!$EM110)&amp;"")),""))))))</x:f>
      </x:c>
      <x:c r="HG110" t="str">
        <x:f>IF('Calculations'!EM110="","",IFERROR(IF(INDEX(INDIRECT("'WCM Calibration Final'!$B$1:$B$2000"),'Calculations'!$EM110)="","",TRIM(INDEX(INDIRECT("'WCM Calibration Final'!$B$1:$B$2000"),'Calculations'!$EM110)&amp;"")),""))</x:f>
      </x:c>
      <x:c r="HH110" t="n">
        <x:f>IF(AND('Calculations'!JC110&gt;0,COUNTIF('Calculations'!$HF$12:HF110,"="&amp;SUBSTITUTE(SUBSTITUTE(SUBSTITUTE('Calculations'!HF110,"~","~~"),"*","~*"),"?","~?"))=1),MAX('Calculations'!$HH$12:HH109)+1,0)</x:f>
        <x:v>0</x:v>
      </x:c>
      <x:c r="HI110" t="n">
        <x:f>IF(AND('Calculations'!HN110&lt;&gt;"",COUNTIF('Calculations'!$HN$12:HN110,"="&amp;SUBSTITUTE(SUBSTITUTE(SUBSTITUTE('Calculations'!HN110,"~","~~"),"*","~*"),"?","~?"))=1),MAX('Calculations'!$HI$12:HI109)+1,0)</x:f>
        <x:v>0</x:v>
      </x:c>
      <x:c r="HJ110" t="str">
        <x:f>IF('Calculations'!HF110="","",IF(COUNTIF('Calculations'!$HE$13:$HE$512,"="&amp;SUBSTITUTE(SUBSTITUTE(SUBSTITUTE('Calculations'!HF110,"~","~~"),"*","~*"),"?","~?"))=1,INDEX('Calculations'!$HK$13:$HK$512,MATCH('Calculations'!HF110,'Calculations'!$HE$13:$HE$512,0)),IFERROR(IF(INDEX(INDIRECT("'WCM Calibration Final'!$E$1:$E$2000"),'Calculations'!$EM110)="","",TRIM(INDEX(INDIRECT("'WCM Calibration Final'!$E$1:$E$2000"),'Calculations'!$EM110)&amp;"")),"")&amp;" ["&amp;'Calculations'!HF110&amp;"]"))</x:f>
      </x:c>
      <x:c r="HK110" t="str">
        <x:f>IF('Calculations'!EM110="","",'Calculations'!HG110&amp;" ["&amp;'Calculations'!HE110&amp;"]")</x:f>
      </x:c>
      <x:c r="HL110" t="n">
        <x:f>IF('Calculations'!EM110="",0,IF(OR('Calculations'!II110&lt;&gt;"",COUNTIF('Calculations'!$HE$13:$HE$512,"="&amp;SUBSTITUTE(SUBSTITUTE(SUBSTITUTE('Calculations'!HE110,"~","~~"),"*","~*"),"?","~?"))&gt;1),1,0))</x:f>
        <x:v>0</x:v>
      </x:c>
      <x:c r="HM110" t="str">
        <x:f>IF('Calculations'!EM110="","",IF('Calculations'!HL110=1,"!UNRESOLVED",IF('Calculations'!IH110&lt;&gt;"",'Calculations'!IH110,IF('Calculations'!IG110&lt;&gt;"",'Calculations'!IG110,IF('Calculations'!IF110&lt;&gt;"",'Calculations'!IF110,IF('Calculations'!IE110&lt;&gt;"",'Calculations'!IE110,IF('Calculations'!ID110&lt;&gt;"",'Calculations'!ID110,IF('Calculations'!IC110&lt;&gt;"",'Calculations'!IC110,IF('Calculations'!IB110&lt;&gt;"",'Calculations'!IB110,IF('Calculations'!IA110&lt;&gt;"",'Calculations'!IA110,IF('Calculations'!HZ110&lt;&gt;"",'Calculations'!HZ110,IF('Calculations'!HY110&lt;&gt;"",'Calculations'!HY110,IF('Calculations'!HX110&lt;&gt;"",'Calculations'!HX110,IF('Calculations'!HW110&lt;&gt;"",'Calculations'!HW110,IF('Calculations'!HV110&lt;&gt;"",'Calculations'!HV110,IF('Calculations'!HU110&lt;&gt;"",'Calculations'!HU110,IF('Calculations'!HT110&lt;&gt;"",'Calculations'!HT110,IF('Calculations'!HS110&lt;&gt;"",'Calculations'!HS110,IF('Calculations'!HR110&lt;&gt;"",'Calculations'!HR110,IF('Calculations'!HQ110&lt;&gt;"",'Calculations'!HQ110,IF('Calculations'!HP110&lt;&gt;"",'Calculations'!HP110,IF('Calculations'!HO110&lt;&gt;"",'Calculations'!HO110,'Calculations'!HE110))))))))))))))))))))))</x:f>
      </x:c>
      <x:c r="HN110" t="str">
        <x:f>IF('Calculations'!EM110="","",IF(IFERROR(IF(INDEX(INDIRECT("'WCM Calibration Final'!$F$1:$F$2000"),'Calculations'!$EM110)="","",TRIM(INDEX(INDIRECT("'WCM Calibration Final'!$F$1:$F$2000"),'Calculations'!$EM110)&amp;"")),"")="","(Blank)",IFERROR(IF(INDEX(INDIRECT("'WCM Calibration Final'!$F$1:$F$2000"),'Calculations'!$EM110)="","",TRIM(INDEX(INDIRECT("'WCM Calibration Final'!$F$1:$F$2000"),'Calculations'!$EM110)&amp;"")),"")))</x:f>
      </x:c>
      <x:c r="HO110" t="str">
        <x:f>'Calculations'!HF110</x:f>
      </x:c>
      <x:c r="HP110" t="str">
        <x:f>IF('Calculations'!HO110="","",IF('Calculations'!HO110="!AMBIG","!AMBIG",IF(COUNTIF('Calculations'!$HE$13:$HE$512,"="&amp;SUBSTITUTE(SUBSTITUTE(SUBSTITUTE('Calculations'!HO110,"~","~~"),"*","~*"),"?","~?"))&gt;1,"!AMBIG",IFERROR(INDEX('Calculations'!$HF$13:$HF$512,MATCH('Calculations'!HO110,'Calculations'!$HE$13:$HE$512,0)),""))))</x:f>
      </x:c>
      <x:c r="HQ110" t="str">
        <x:f>IF('Calculations'!HP110="","",IF('Calculations'!HP110="!AMBIG","!AMBIG",IF(COUNTIF('Calculations'!$HE$13:$HE$512,"="&amp;SUBSTITUTE(SUBSTITUTE(SUBSTITUTE('Calculations'!HP110,"~","~~"),"*","~*"),"?","~?"))&gt;1,"!AMBIG",IFERROR(INDEX('Calculations'!$HF$13:$HF$512,MATCH('Calculations'!HP110,'Calculations'!$HE$13:$HE$512,0)),""))))</x:f>
      </x:c>
      <x:c r="HR110" t="str">
        <x:f>IF('Calculations'!HQ110="","",IF('Calculations'!HQ110="!AMBIG","!AMBIG",IF(COUNTIF('Calculations'!$HE$13:$HE$512,"="&amp;SUBSTITUTE(SUBSTITUTE(SUBSTITUTE('Calculations'!HQ110,"~","~~"),"*","~*"),"?","~?"))&gt;1,"!AMBIG",IFERROR(INDEX('Calculations'!$HF$13:$HF$512,MATCH('Calculations'!HQ110,'Calculations'!$HE$13:$HE$512,0)),""))))</x:f>
      </x:c>
      <x:c r="HS110" t="str">
        <x:f>IF('Calculations'!HR110="","",IF('Calculations'!HR110="!AMBIG","!AMBIG",IF(COUNTIF('Calculations'!$HE$13:$HE$512,"="&amp;SUBSTITUTE(SUBSTITUTE(SUBSTITUTE('Calculations'!HR110,"~","~~"),"*","~*"),"?","~?"))&gt;1,"!AMBIG",IFERROR(INDEX('Calculations'!$HF$13:$HF$512,MATCH('Calculations'!HR110,'Calculations'!$HE$13:$HE$512,0)),""))))</x:f>
      </x:c>
      <x:c r="HT110" t="str">
        <x:f>IF('Calculations'!HS110="","",IF('Calculations'!HS110="!AMBIG","!AMBIG",IF(COUNTIF('Calculations'!$HE$13:$HE$512,"="&amp;SUBSTITUTE(SUBSTITUTE(SUBSTITUTE('Calculations'!HS110,"~","~~"),"*","~*"),"?","~?"))&gt;1,"!AMBIG",IFERROR(INDEX('Calculations'!$HF$13:$HF$512,MATCH('Calculations'!HS110,'Calculations'!$HE$13:$HE$512,0)),""))))</x:f>
      </x:c>
      <x:c r="HU110" t="str">
        <x:f>IF('Calculations'!HT110="","",IF('Calculations'!HT110="!AMBIG","!AMBIG",IF(COUNTIF('Calculations'!$HE$13:$HE$512,"="&amp;SUBSTITUTE(SUBSTITUTE(SUBSTITUTE('Calculations'!HT110,"~","~~"),"*","~*"),"?","~?"))&gt;1,"!AMBIG",IFERROR(INDEX('Calculations'!$HF$13:$HF$512,MATCH('Calculations'!HT110,'Calculations'!$HE$13:$HE$512,0)),""))))</x:f>
      </x:c>
      <x:c r="HV110" t="str">
        <x:f>IF('Calculations'!HU110="","",IF('Calculations'!HU110="!AMBIG","!AMBIG",IF(COUNTIF('Calculations'!$HE$13:$HE$512,"="&amp;SUBSTITUTE(SUBSTITUTE(SUBSTITUTE('Calculations'!HU110,"~","~~"),"*","~*"),"?","~?"))&gt;1,"!AMBIG",IFERROR(INDEX('Calculations'!$HF$13:$HF$512,MATCH('Calculations'!HU110,'Calculations'!$HE$13:$HE$512,0)),""))))</x:f>
      </x:c>
      <x:c r="HW110" t="str">
        <x:f>IF('Calculations'!HV110="","",IF('Calculations'!HV110="!AMBIG","!AMBIG",IF(COUNTIF('Calculations'!$HE$13:$HE$512,"="&amp;SUBSTITUTE(SUBSTITUTE(SUBSTITUTE('Calculations'!HV110,"~","~~"),"*","~*"),"?","~?"))&gt;1,"!AMBIG",IFERROR(INDEX('Calculations'!$HF$13:$HF$512,MATCH('Calculations'!HV110,'Calculations'!$HE$13:$HE$512,0)),""))))</x:f>
      </x:c>
      <x:c r="HX110" t="str">
        <x:f>IF('Calculations'!HW110="","",IF('Calculations'!HW110="!AMBIG","!AMBIG",IF(COUNTIF('Calculations'!$HE$13:$HE$512,"="&amp;SUBSTITUTE(SUBSTITUTE(SUBSTITUTE('Calculations'!HW110,"~","~~"),"*","~*"),"?","~?"))&gt;1,"!AMBIG",IFERROR(INDEX('Calculations'!$HF$13:$HF$512,MATCH('Calculations'!HW110,'Calculations'!$HE$13:$HE$512,0)),""))))</x:f>
      </x:c>
      <x:c r="HY110" t="str">
        <x:f>IF('Calculations'!HX110="","",IF('Calculations'!HX110="!AMBIG","!AMBIG",IF(COUNTIF('Calculations'!$HE$13:$HE$512,"="&amp;SUBSTITUTE(SUBSTITUTE(SUBSTITUTE('Calculations'!HX110,"~","~~"),"*","~*"),"?","~?"))&gt;1,"!AMBIG",IFERROR(INDEX('Calculations'!$HF$13:$HF$512,MATCH('Calculations'!HX110,'Calculations'!$HE$13:$HE$512,0)),""))))</x:f>
      </x:c>
      <x:c r="HZ110" t="str">
        <x:f>IF('Calculations'!HY110="","",IF('Calculations'!HY110="!AMBIG","!AMBIG",IF(COUNTIF('Calculations'!$HE$13:$HE$512,"="&amp;SUBSTITUTE(SUBSTITUTE(SUBSTITUTE('Calculations'!HY110,"~","~~"),"*","~*"),"?","~?"))&gt;1,"!AMBIG",IFERROR(INDEX('Calculations'!$HF$13:$HF$512,MATCH('Calculations'!HY110,'Calculations'!$HE$13:$HE$512,0)),""))))</x:f>
      </x:c>
      <x:c r="IA110" t="str">
        <x:f>IF('Calculations'!HZ110="","",IF('Calculations'!HZ110="!AMBIG","!AMBIG",IF(COUNTIF('Calculations'!$HE$13:$HE$512,"="&amp;SUBSTITUTE(SUBSTITUTE(SUBSTITUTE('Calculations'!HZ110,"~","~~"),"*","~*"),"?","~?"))&gt;1,"!AMBIG",IFERROR(INDEX('Calculations'!$HF$13:$HF$512,MATCH('Calculations'!HZ110,'Calculations'!$HE$13:$HE$512,0)),""))))</x:f>
      </x:c>
      <x:c r="IB110" t="str">
        <x:f>IF('Calculations'!IA110="","",IF('Calculations'!IA110="!AMBIG","!AMBIG",IF(COUNTIF('Calculations'!$HE$13:$HE$512,"="&amp;SUBSTITUTE(SUBSTITUTE(SUBSTITUTE('Calculations'!IA110,"~","~~"),"*","~*"),"?","~?"))&gt;1,"!AMBIG",IFERROR(INDEX('Calculations'!$HF$13:$HF$512,MATCH('Calculations'!IA110,'Calculations'!$HE$13:$HE$512,0)),""))))</x:f>
      </x:c>
      <x:c r="IC110" t="str">
        <x:f>IF('Calculations'!IB110="","",IF('Calculations'!IB110="!AMBIG","!AMBIG",IF(COUNTIF('Calculations'!$HE$13:$HE$512,"="&amp;SUBSTITUTE(SUBSTITUTE(SUBSTITUTE('Calculations'!IB110,"~","~~"),"*","~*"),"?","~?"))&gt;1,"!AMBIG",IFERROR(INDEX('Calculations'!$HF$13:$HF$512,MATCH('Calculations'!IB110,'Calculations'!$HE$13:$HE$512,0)),""))))</x:f>
      </x:c>
      <x:c r="ID110" t="str">
        <x:f>IF('Calculations'!IC110="","",IF('Calculations'!IC110="!AMBIG","!AMBIG",IF(COUNTIF('Calculations'!$HE$13:$HE$512,"="&amp;SUBSTITUTE(SUBSTITUTE(SUBSTITUTE('Calculations'!IC110,"~","~~"),"*","~*"),"?","~?"))&gt;1,"!AMBIG",IFERROR(INDEX('Calculations'!$HF$13:$HF$512,MATCH('Calculations'!IC110,'Calculations'!$HE$13:$HE$512,0)),""))))</x:f>
      </x:c>
      <x:c r="IE110" t="str">
        <x:f>IF('Calculations'!ID110="","",IF('Calculations'!ID110="!AMBIG","!AMBIG",IF(COUNTIF('Calculations'!$HE$13:$HE$512,"="&amp;SUBSTITUTE(SUBSTITUTE(SUBSTITUTE('Calculations'!ID110,"~","~~"),"*","~*"),"?","~?"))&gt;1,"!AMBIG",IFERROR(INDEX('Calculations'!$HF$13:$HF$512,MATCH('Calculations'!ID110,'Calculations'!$HE$13:$HE$512,0)),""))))</x:f>
      </x:c>
      <x:c r="IF110" t="str">
        <x:f>IF('Calculations'!IE110="","",IF('Calculations'!IE110="!AMBIG","!AMBIG",IF(COUNTIF('Calculations'!$HE$13:$HE$512,"="&amp;SUBSTITUTE(SUBSTITUTE(SUBSTITUTE('Calculations'!IE110,"~","~~"),"*","~*"),"?","~?"))&gt;1,"!AMBIG",IFERROR(INDEX('Calculations'!$HF$13:$HF$512,MATCH('Calculations'!IE110,'Calculations'!$HE$13:$HE$512,0)),""))))</x:f>
      </x:c>
      <x:c r="IG110" t="str">
        <x:f>IF('Calculations'!IF110="","",IF('Calculations'!IF110="!AMBIG","!AMBIG",IF(COUNTIF('Calculations'!$HE$13:$HE$512,"="&amp;SUBSTITUTE(SUBSTITUTE(SUBSTITUTE('Calculations'!IF110,"~","~~"),"*","~*"),"?","~?"))&gt;1,"!AMBIG",IFERROR(INDEX('Calculations'!$HF$13:$HF$512,MATCH('Calculations'!IF110,'Calculations'!$HE$13:$HE$512,0)),""))))</x:f>
      </x:c>
      <x:c r="IH110" t="str">
        <x:f>IF('Calculations'!IG110="","",IF('Calculations'!IG110="!AMBIG","!AMBIG",IF(COUNTIF('Calculations'!$HE$13:$HE$512,"="&amp;SUBSTITUTE(SUBSTITUTE(SUBSTITUTE('Calculations'!IG110,"~","~~"),"*","~*"),"?","~?"))&gt;1,"!AMBIG",IFERROR(INDEX('Calculations'!$HF$13:$HF$512,MATCH('Calculations'!IG110,'Calculations'!$HE$13:$HE$512,0)),""))))</x:f>
      </x:c>
      <x:c r="II110" t="str">
        <x:f>IF('Calculations'!IH110="","",IF('Calculations'!IH110="!AMBIG","!AMBIG",IF(COUNTIF('Calculations'!$HE$13:$HE$512,"="&amp;SUBSTITUTE(SUBSTITUTE(SUBSTITUTE('Calculations'!IH110,"~","~~"),"*","~*"),"?","~?"))&gt;1,"!AMBIG",IFERROR(INDEX('Calculations'!$HF$13:$HF$512,MATCH('Calculations'!IH110,'Calculations'!$HE$13:$HE$512,0)),""))))</x:f>
      </x:c>
      <x:c r="IJ110" t="str">
        <x:f>IF('Calculations'!EM110="","",IF('Calculations'!$EF$2="All",'Calculations'!HM110,IF('Calculations'!HL110=1,"",IFERROR(IF(MATCH('Calculations'!$EF$2,'Calculations'!HO110:II110,0)=1,'Calculations'!HE110,INDEX('Calculations'!HO110:II110,1,MATCH('Calculations'!$EF$2,'Calculations'!HO110:II110,0)-1)),""))))</x:f>
      </x:c>
      <x:c r="IK110" t="n">
        <x:f>IF(AND('Calculations'!EM110&lt;&gt;"",'Calculations'!$EF$2&lt;&gt;"All",'Calculations'!HF110='Calculations'!$EF$2,'Calculations'!HL110=0,'Calculations'!JD110&gt;0),MAX('Calculations'!$IK$12:IK109)+1,0)</x:f>
        <x:v>0</x:v>
      </x:c>
      <x:c r="JA110" t="n">
        <x:f>IF(OR(IFERROR(INDIRECT("'WCM Calibration Final'!$A$110")&lt;&gt;"",FALSE),IFERROR(INDIRECT("'WCM Calibration Final'!$B$110")&lt;&gt;"",FALSE),IFERROR(INDIRECT("'WCM Calibration Final'!$C$110")&lt;&gt;"",FALSE)),110,0)</x:f>
        <x:v>0</x:v>
      </x:c>
      <x:c r="JB110" t="n">
        <x:f>'Calculations'!JB109+IF('Calculations'!JA110&gt;0,1,0)</x:f>
        <x:v>0</x:v>
      </x:c>
      <x:c r="JC110" t="n">
        <x:f>IF(OR('Calculations'!HF110="",'Calculations'!HF110="!AMBIG"),0,IF('Dashboard'!$B$7="All",1,COUNTIFS('Calculations'!$HO$13:$HO$512,"="&amp;SUBSTITUTE(SUBSTITUTE(SUBSTITUTE('Calculations'!HF110,"~","~~"),"*","~*"),"?","~?"),'Calculations'!$HN$13:$HN$512,"="&amp;SUBSTITUTE(SUBSTITUTE(SUBSTITUTE('Dashboard'!$B$7,"~","~~"),"*","~*"),"?","~?"))+COUNTIFS('Calculations'!$HP$13:$HP$512,"="&amp;SUBSTITUTE(SUBSTITUTE(SUBSTITUTE('Calculations'!HF110,"~","~~"),"*","~*"),"?","~?"),'Calculations'!$HN$13:$HN$512,"="&amp;SUBSTITUTE(SUBSTITUTE(SUBSTITUTE('Dashboard'!$B$7,"~","~~"),"*","~*"),"?","~?"))+COUNTIFS('Calculations'!$HQ$13:$HQ$512,"="&amp;SUBSTITUTE(SUBSTITUTE(SUBSTITUTE('Calculations'!HF110,"~","~~"),"*","~*"),"?","~?"),'Calculations'!$HN$13:$HN$512,"="&amp;SUBSTITUTE(SUBSTITUTE(SUBSTITUTE('Dashboard'!$B$7,"~","~~"),"*","~*"),"?","~?"))+COUNTIFS('Calculations'!$HR$13:$HR$512,"="&amp;SUBSTITUTE(SUBSTITUTE(SUBSTITUTE('Calculations'!HF110,"~","~~"),"*","~*"),"?","~?"),'Calculations'!$HN$13:$HN$512,"="&amp;SUBSTITUTE(SUBSTITUTE(SUBSTITUTE('Dashboard'!$B$7,"~","~~"),"*","~*"),"?","~?"))+COUNTIFS('Calculations'!$HS$13:$HS$512,"="&amp;SUBSTITUTE(SUBSTITUTE(SUBSTITUTE('Calculations'!HF110,"~","~~"),"*","~*"),"?","~?"),'Calculations'!$HN$13:$HN$512,"="&amp;SUBSTITUTE(SUBSTITUTE(SUBSTITUTE('Dashboard'!$B$7,"~","~~"),"*","~*"),"?","~?"))+COUNTIFS('Calculations'!$HT$13:$HT$512,"="&amp;SUBSTITUTE(SUBSTITUTE(SUBSTITUTE('Calculations'!HF110,"~","~~"),"*","~*"),"?","~?"),'Calculations'!$HN$13:$HN$512,"="&amp;SUBSTITUTE(SUBSTITUTE(SUBSTITUTE('Dashboard'!$B$7,"~","~~"),"*","~*"),"?","~?"))+COUNTIFS('Calculations'!$HU$13:$HU$512,"="&amp;SUBSTITUTE(SUBSTITUTE(SUBSTITUTE('Calculations'!HF110,"~","~~"),"*","~*"),"?","~?"),'Calculations'!$HN$13:$HN$512,"="&amp;SUBSTITUTE(SUBSTITUTE(SUBSTITUTE('Dashboard'!$B$7,"~","~~"),"*","~*"),"?","~?"))+COUNTIFS('Calculations'!$HV$13:$HV$512,"="&amp;SUBSTITUTE(SUBSTITUTE(SUBSTITUTE('Calculations'!HF110,"~","~~"),"*","~*"),"?","~?"),'Calculations'!$HN$13:$HN$512,"="&amp;SUBSTITUTE(SUBSTITUTE(SUBSTITUTE('Dashboard'!$B$7,"~","~~"),"*","~*"),"?","~?"))+COUNTIFS('Calculations'!$HW$13:$HW$512,"="&amp;SUBSTITUTE(SUBSTITUTE(SUBSTITUTE('Calculations'!HF110,"~","~~"),"*","~*"),"?","~?"),'Calculations'!$HN$13:$HN$512,"="&amp;SUBSTITUTE(SUBSTITUTE(SUBSTITUTE('Dashboard'!$B$7,"~","~~"),"*","~*"),"?","~?"))+COUNTIFS('Calculations'!$HX$13:$HX$512,"="&amp;SUBSTITUTE(SUBSTITUTE(SUBSTITUTE('Calculations'!HF110,"~","~~"),"*","~*"),"?","~?"),'Calculations'!$HN$13:$HN$512,"="&amp;SUBSTITUTE(SUBSTITUTE(SUBSTITUTE('Dashboard'!$B$7,"~","~~"),"*","~*"),"?","~?"))+COUNTIFS('Calculations'!$HY$13:$HY$512,"="&amp;SUBSTITUTE(SUBSTITUTE(SUBSTITUTE('Calculations'!HF110,"~","~~"),"*","~*"),"?","~?"),'Calculations'!$HN$13:$HN$512,"="&amp;SUBSTITUTE(SUBSTITUTE(SUBSTITUTE('Dashboard'!$B$7,"~","~~"),"*","~*"),"?","~?"))+COUNTIFS('Calculations'!$HZ$13:$HZ$512,"="&amp;SUBSTITUTE(SUBSTITUTE(SUBSTITUTE('Calculations'!HF110,"~","~~"),"*","~*"),"?","~?"),'Calculations'!$HN$13:$HN$512,"="&amp;SUBSTITUTE(SUBSTITUTE(SUBSTITUTE('Dashboard'!$B$7,"~","~~"),"*","~*"),"?","~?"))+COUNTIFS('Calculations'!$IA$13:$IA$512,"="&amp;SUBSTITUTE(SUBSTITUTE(SUBSTITUTE('Calculations'!HF110,"~","~~"),"*","~*"),"?","~?"),'Calculations'!$HN$13:$HN$512,"="&amp;SUBSTITUTE(SUBSTITUTE(SUBSTITUTE('Dashboard'!$B$7,"~","~~"),"*","~*"),"?","~?"))+COUNTIFS('Calculations'!$IB$13:$IB$512,"="&amp;SUBSTITUTE(SUBSTITUTE(SUBSTITUTE('Calculations'!HF110,"~","~~"),"*","~*"),"?","~?"),'Calculations'!$HN$13:$HN$512,"="&amp;SUBSTITUTE(SUBSTITUTE(SUBSTITUTE('Dashboard'!$B$7,"~","~~"),"*","~*"),"?","~?"))+COUNTIFS('Calculations'!$IC$13:$IC$512,"="&amp;SUBSTITUTE(SUBSTITUTE(SUBSTITUTE('Calculations'!HF110,"~","~~"),"*","~*"),"?","~?"),'Calculations'!$HN$13:$HN$512,"="&amp;SUBSTITUTE(SUBSTITUTE(SUBSTITUTE('Dashboard'!$B$7,"~","~~"),"*","~*"),"?","~?"))+COUNTIFS('Calculations'!$ID$13:$ID$512,"="&amp;SUBSTITUTE(SUBSTITUTE(SUBSTITUTE('Calculations'!HF110,"~","~~"),"*","~*"),"?","~?"),'Calculations'!$HN$13:$HN$512,"="&amp;SUBSTITUTE(SUBSTITUTE(SUBSTITUTE('Dashboard'!$B$7,"~","~~"),"*","~*"),"?","~?"))+COUNTIFS('Calculations'!$IE$13:$IE$512,"="&amp;SUBSTITUTE(SUBSTITUTE(SUBSTITUTE('Calculations'!HF110,"~","~~"),"*","~*"),"?","~?"),'Calculations'!$HN$13:$HN$512,"="&amp;SUBSTITUTE(SUBSTITUTE(SUBSTITUTE('Dashboard'!$B$7,"~","~~"),"*","~*"),"?","~?"))+COUNTIFS('Calculations'!$IF$13:$IF$512,"="&amp;SUBSTITUTE(SUBSTITUTE(SUBSTITUTE('Calculations'!HF110,"~","~~"),"*","~*"),"?","~?"),'Calculations'!$HN$13:$HN$512,"="&amp;SUBSTITUTE(SUBSTITUTE(SUBSTITUTE('Dashboard'!$B$7,"~","~~"),"*","~*"),"?","~?"))+COUNTIFS('Calculations'!$IG$13:$IG$512,"="&amp;SUBSTITUTE(SUBSTITUTE(SUBSTITUTE('Calculations'!HF110,"~","~~"),"*","~*"),"?","~?"),'Calculations'!$HN$13:$HN$512,"="&amp;SUBSTITUTE(SUBSTITUTE(SUBSTITUTE('Dashboard'!$B$7,"~","~~"),"*","~*"),"?","~?"))+COUNTIFS('Calculations'!$IH$13:$IH$512,"="&amp;SUBSTITUTE(SUBSTITUTE(SUBSTITUTE('Calculations'!HF110,"~","~~"),"*","~*"),"?","~?"),'Calculations'!$HN$13:$HN$512,"="&amp;SUBSTITUTE(SUBSTITUTE(SUBSTITUTE('Dashboard'!$B$7,"~","~~"),"*","~*"),"?","~?"))))</x:f>
        <x:v>0</x:v>
      </x:c>
      <x:c r="JD110" t="n">
        <x:f>IF('Calculations'!EM110="",0,IF('Dashboard'!$B$7="All",1,IF('Calculations'!HN110='Dashboard'!$B$7,1,0)+IFERROR(INDEX('Calculations'!$JC$13:$JC$512,MATCH('Calculations'!HE110,'Calculations'!$HF$13:$HF$512,0)),0)))</x:f>
        <x:v>0</x:v>
      </x:c>
      <x:c r="JE110" t="n">
        <x:f>IF(AND('Calculations'!EM110&lt;&gt;"",'Calculations'!$JJ$2&lt;&gt;"All",'Calculations'!$JJ$2&lt;&gt;"",'Calculations'!HF110='Calculations'!$JJ$2,'Calculations'!HL110=0,'Calculations'!JD110&gt;0),MAX('Calculations'!$JE$12:JE109)+1,0)</x:f>
        <x:v>0</x:v>
      </x:c>
      <x:c r="JF110" t="str">
        <x:f>IF('Calculations'!EM110="","",IFERROR(IF(INDEX(INDIRECT("'WCM Calibration Final'!$G$1:$G$2000"),'Calculations'!$EM110)="","",TRIM(INDEX(INDIRECT("'WCM Calibration Final'!$G$1:$G$2000"),'Calculations'!$EM110)&amp;"")),""))</x:f>
      </x:c>
      <x:c r="JQ110" t="n">
        <x:f>IF(OR('Calculations'!BM110=0,NOT('Calculations'!$AG$2),'Calculations'!$AG$8&gt;0),0,IF(OR('Dashboard'!$B$7="All",'Calculations'!HN110='Dashboard'!$B$7),IF('Calculations'!$JJ$2="All",1,IF(AND('Calculations'!HF110='Calculations'!$JJ$2,'Calculations'!HL110=0),1,0)),0))</x:f>
        <x:v>0</x:v>
      </x:c>
    </x:row>
    <x:row r="111">
      <x:c r="AF111" s="4"/>
      <x:c r="AG111" s="4"/>
      <x:c r="AH111" s="4"/>
      <x:c r="AI111" s="4"/>
      <x:c r="AJ111" s="4"/>
      <x:c r="AK111" s="4"/>
      <x:c r="AL111" s="4"/>
      <x:c r="AM111" s="4"/>
      <x:c r="AN111" s="4"/>
      <x:c r="AO111" s="4"/>
      <x:c r="AP111" s="4"/>
      <x:c r="AQ111" s="4"/>
      <x:c r="AR111" s="4" t="n">
        <x:f>IFERROR(MATCH((MIN('Dashboard'!$Z$93,MAX(1,ROUNDUP(MAX('Calculations'!$DP$12:$DP$1012)/20,0)))-1)*20+14,'Calculations'!$DP$12:$DP$1012,0),0)</x:f>
        <x:v>0</x:v>
      </x:c>
      <x:c r="AS111" s="4"/>
      <x:c r="AT111" s="4"/>
      <x:c r="AU111" s="4"/>
      <x:c r="AV111" s="4"/>
      <x:c r="AW111" s="4"/>
      <x:c r="AX111" s="4"/>
      <x:c r="AY111" s="4"/>
      <x:c r="AZ111" s="4"/>
      <x:c r="BA111" s="4"/>
      <x:c r="BB111" s="4"/>
      <x:c r="BC111" s="4"/>
      <x:c r="BD111" s="4"/>
      <x:c r="BE111" s="4"/>
      <x:c r="BF111" s="4"/>
      <x:c r="BG111" s="4"/>
      <x:c r="BH111" s="4"/>
      <x:c r="BI111" s="4"/>
      <x:c r="BJ111" s="4"/>
      <x:c r="BK111" s="4"/>
      <x:c r="BL111" s="4"/>
      <x:c r="BM111" s="4" t="n">
        <x:f>IF('Calculations'!$EM111="",0,IF(OR(IFERROR(INDEX(INDIRECT("'WCM Calibration Final'!$A$1:$A$2000"),'Calculations'!$EM111)&lt;&gt;"",FALSE),IFERROR(INDEX(INDIRECT("'WCM Calibration Final'!$B$1:$B$2000"),'Calculations'!$EM111)&lt;&gt;"",FALSE),IFERROR(INDEX(INDIRECT("'WCM Calibration Final'!$C$1:$C$2000"),'Calculations'!$EM111)&lt;&gt;"",FALSE)),1,0))</x:f>
        <x:v>0</x:v>
      </x:c>
      <x:c r="BN111" s="4" t="n">
        <x:f>IF(AND('Calculations'!BM111=1,'Calculations'!$AG$2,'Calculations'!$EN111=1),1,0)</x:f>
        <x:v>0</x:v>
      </x:c>
      <x:c r="BO111" s="4" t="str">
        <x:f>IF('Calculations'!BM111=0,"",IFERROR(IF(AND(VALUE(INDEX(INDIRECT("'WCM Calibration Final'!$K$1:$K$2000"),'Calculations'!$EM111))&gt;=1,VALUE(INDEX(INDIRECT("'WCM Calibration Final'!$K$1:$K$2000"),'Calculations'!$EM111))&lt;=4,MOD(VALUE(INDEX(INDIRECT("'WCM Calibration Final'!$K$1:$K$2000"),'Calculations'!$EM111)),1)=0),VALUE(INDEX(INDIRECT("'WCM Calibration Final'!$K$1:$K$2000"),'Calculations'!$EM111)),""),""))</x:f>
      </x:c>
      <x:c r="BP111" s="4" t="str">
        <x:f>IF('Calculations'!BM111=0,"",IFERROR(IF(AND(VALUE(INDEX(INDIRECT("'WCM Calibration Final'!$L$1:$L$2000"),'Calculations'!$EM111))&gt;=1,VALUE(INDEX(INDIRECT("'WCM Calibration Final'!$L$1:$L$2000"),'Calculations'!$EM111))&lt;=4,MOD(VALUE(INDEX(INDIRECT("'WCM Calibration Final'!$L$1:$L$2000"),'Calculations'!$EM111)),1)=0),VALUE(INDEX(INDIRECT("'WCM Calibration Final'!$L$1:$L$2000"),'Calculations'!$EM111)),""),""))</x:f>
      </x:c>
      <x:c r="BQ111" s="4"/>
      <x:c r="BR111" s="4"/>
      <x:c r="BS111" s="4"/>
      <x:c r="BT111" s="4" t="n">
        <x:f>IF(AND('Calculations'!BM111=1,ISNUMBER('Calculations'!BO111),ISNUMBER('Calculations'!BP111)),1,0)</x:f>
        <x:v>0</x:v>
      </x:c>
      <x:c r="BU111" s="4" t="str">
        <x:f>IF('Calculations'!BM111=0,"",'Calculations'!$EO111)</x:f>
      </x:c>
      <x:c r="BV111" s="4" t="str">
        <x:f>IF('Calculations'!BM111=0,"",IFERROR(IF(OR(INDEX(INDIRECT("'WCM Calibration Final'!$H$1:$H$2000"),'Calculations'!$EM111)="MANAGING DIRECTOR",INDEX(INDIRECT("'WCM Calibration Final'!$H$1:$H$2000"),'Calculations'!$EM111)="DIRECTOR",INDEX(INDIRECT("'WCM Calibration Final'!$H$1:$H$2000"),'Calculations'!$EM111)="SENIOR VICE PRESIDENT",INDEX(INDIRECT("'WCM Calibration Final'!$H$1:$H$2000"),'Calculations'!$EM111)="VICE PRESIDENT",INDEX(INDIRECT("'WCM Calibration Final'!$H$1:$H$2000"),'Calculations'!$EM111)="ASSISTANT VICE PRESIDENT",INDEX(INDIRECT("'WCM Calibration Final'!$H$1:$H$2000"),'Calculations'!$EM111)="OFFICER"),UPPER(INDEX(INDIRECT("'WCM Calibration Final'!$H$1:$H$2000"),'Calculations'!$EM111)),"Other"),"Other"))</x:f>
      </x:c>
      <x:c r="BW111" s="4"/>
      <x:c r="BX111" s="4"/>
      <x:c r="BY111" s="4" t="n">
        <x:f>IF(AND('Calculations'!BM111=1,'Calculations'!BU111&lt;&gt;"",COUNTIF('Calculations'!$BU$12:BU111,'Calculations'!BU111)=1),MAX('Calculations'!$BY$11:BY110)+1,0)</x:f>
        <x:v>0</x:v>
      </x:c>
      <x:c r="BZ111" s="4" t="str">
        <x:f>IF('Dashboard'!$E$67="What",'Calculations'!BO111,'Calculations'!BP111)</x:f>
      </x:c>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t="str">
        <x:f>IF(100&gt;MAX('Calculations'!$HI$13:$HI$512),"",INDEX('Calculations'!$HN$13:$HN$512,MATCH(100,'Calculations'!$HI$13:$HI$512,0)))</x:f>
      </x:c>
      <x:c r="DB111" s="4" t="str">
        <x:f>IF(100&gt;MAX('Calculations'!$HH$13:$HH$512),"",INDEX('Calculations'!$HJ$13:$HJ$512,MATCH(100,'Calculations'!$HH$13:$HH$512,0)))</x:f>
      </x:c>
      <x:c r="DC111" s="4" t="str">
        <x:f>IF(ROW()-11&gt;MAX('Calculations'!$BY$13:$BY$512),"",INDEX('Calculations'!$BU$13:$BU$512,MATCH(ROW()-11,'Calculations'!$BY$13:$BY$512,0)))</x:f>
      </x:c>
      <x:c r="DD111" s="4" t="str">
        <x:f>IF(100&gt;MAX('Calculations'!$IK$13:$IK$512),"",INDEX('Calculations'!$HK$13:$HK$512,MATCH(100,'Calculations'!$IK$13:$IK$512,0)))</x:f>
      </x:c>
      <x:c r="DE111" s="4" t="str">
        <x:f>'Calculations'!DC111</x:f>
      </x:c>
      <x:c r="DF111" s="4" t="str">
        <x:f>IF('Calculations'!DE111="","",COUNTIFS('Calculations'!$BN$13:$BN$512,1,'Calculations'!$BU$13:$BU$512,'Calculations'!DE111))</x:f>
      </x:c>
      <x:c r="DG111" s="4" t="str">
        <x:f>IF('Calculations'!DE111="","",COUNTIFS('Calculations'!$BN$13:$BN$512,1,'Calculations'!$BU$13:$BU$512,'Calculations'!DE111,'Calculations'!$BT$13:$BT$512,1))</x:f>
      </x:c>
      <x:c r="DH111" s="4" t="str">
        <x:f>IF('Calculations'!DE111="","",'Calculations'!DF111-'Calculations'!DG111)</x:f>
      </x:c>
      <x:c r="DI111" s="4" t="str">
        <x:f>IF(OR('Calculations'!DE111="",'Calculations'!DF111=0),"",'Calculations'!DG111/'Calculations'!DF111)</x:f>
      </x:c>
      <x:c r="DJ111" s="4" t="str">
        <x:f>IF('Calculations'!DE111="","",COUNTIFS('Calculations'!$BN$13:$BN$512,1,'Calculations'!$BU$13:$BU$512,'Calculations'!DE111,'Calculations'!$BT$13:$BT$512,1,'Calculations'!$EE$13:$EE$512,"High"))</x:f>
      </x:c>
      <x:c r="DK111" s="4" t="str">
        <x:f>IF('Calculations'!DE111="","",COUNTIFS('Calculations'!$BN$13:$BN$512,1,'Calculations'!$BU$13:$BU$512,'Calculations'!DE111,'Calculations'!$BT$13:$BT$512,1,'Calculations'!$EE$13:$EE$512,"Strong"))</x:f>
      </x:c>
      <x:c r="DL111" s="4" t="str">
        <x:f>IF('Calculations'!DE111="","",COUNTIFS('Calculations'!$BN$13:$BN$512,1,'Calculations'!$BU$13:$BU$512,'Calculations'!DE111,'Calculations'!$BT$13:$BT$512,1,'Calculations'!$EE$13:$EE$512,"Solid"))</x:f>
      </x:c>
      <x:c r="DM111" s="4" t="str">
        <x:f>IF('Calculations'!DE111="","",COUNTIFS('Calculations'!$BN$13:$BN$512,1,'Calculations'!$BU$13:$BU$512,'Calculations'!DE111,'Calculations'!$BT$13:$BT$512,1,'Calculations'!$EE$13:$EE$512,"Low"))</x:f>
      </x:c>
      <x:c r="DN111" s="4" t="str">
        <x:f>IF('Calculations'!DE111="","",COUNTIFS('Calculations'!$BN$13:$BN$512,1,'Calculations'!$BU$13:$BU$512,'Calculations'!DE111,'Calculations'!$EP$13:$EP$512,1))</x:f>
      </x:c>
      <x:c r="DO111" s="4" t="str">
        <x:f>IF(OR('Calculations'!DE111="",'Calculations'!DG111=0),"",('Calculations'!DJ111+'Calculations'!DK111)/'Calculations'!DG111)</x:f>
      </x:c>
      <x:c r="DP111" s="4" t="n">
        <x:f>IF(AND('Calculations'!DE111&lt;&gt;"",'Calculations'!DF111&gt;0),COUNTIF('Calculations'!$DF$12:DF111,"&gt;0"),0)</x:f>
        <x:v>0</x:v>
      </x:c>
      <x:c r="DQ111" s="4" t="str">
        <x:f>IF(100&gt;MAX('Calculations'!$HH$13:$HH$512),"",INDEX('Calculations'!$HF$13:$HF$512,MATCH(100,'Calculations'!$HH$13:$HH$512,0)))</x:f>
      </x:c>
      <x:c r="DR111" s="4" t="str">
        <x:f>IF(100&gt;MAX('Calculations'!$IK$13:$IK$512),"",INDEX('Calculations'!$HE$13:$HE$512,MATCH(100,'Calculations'!$IK$13:$IK$512,0)))</x:f>
      </x:c>
      <x:c r="DS111" s="4"/>
      <x:c r="DT111" s="4"/>
      <x:c r="DU111" s="4"/>
      <x:c r="DV111" s="4"/>
      <x:c r="DW111" s="4"/>
      <x:c r="DX111" s="4"/>
      <x:c r="DY111" s="4"/>
      <x:c r="DZ111" s="4"/>
      <x:c r="EA111" s="4"/>
      <x:c r="EB111" s="4"/>
      <x:c r="EC111" s="4"/>
      <x:c r="ED111" s="4"/>
      <x:c r="EE111" s="4" t="str">
        <x:f>IF('Calculations'!BT111=0,"Not Rated",IF(OR('Calculations'!BO111&gt;=4,'Calculations'!BP111&gt;=4),"Low",IF('Calculations'!BO111+'Calculations'!BP111&lt;=3,"High",IF('Calculations'!BO111+'Calculations'!BP111&lt;=4,"Strong","Solid"))))</x:f>
        <x:v>Not Rated</x:v>
      </x:c>
      <x:c r="EF111" s="4"/>
      <x:c r="EG111" s="4"/>
      <x:c r="EH111" s="4"/>
      <x:c r="EI111" s="4"/>
      <x:c r="EJ111" s="4"/>
      <x:c r="EK111" s="4"/>
      <x:c r="EL111" s="4"/>
      <x:c r="EM111" s="4" t="str">
        <x:f>IF(99&gt;'Calculations'!$JB$2000,"",INDEX('Calculations'!$JA$12:$JA$2000,MATCH(99,'Calculations'!$JB$12:$JB$2000,0)))</x:f>
      </x:c>
      <x:c r="EN111" s="4" t="n">
        <x:f>IF(OR('Calculations'!EM111="",'Calculations'!$AG$8&gt;0,AND('Calculations'!$EF$2&lt;&gt;"All",'Calculations'!HE111='Calculations'!$EF$2),AND('Calculations'!$EF$3&lt;&gt;"All",'Calculations'!HE111='Calculations'!$EF$3)),0,IF(OR('Dashboard'!$B$7="All",'Calculations'!HN111='Dashboard'!$B$7),IF('Calculations'!$EF$2="All",1,IF('Calculations'!HL111&gt;0,0,IF(COUNTIF('Calculations'!HO111:II111,"="&amp;SUBSTITUTE(SUBSTITUTE(SUBSTITUTE('Calculations'!$EF$2,"~","~~"),"*","~*"),"?","~?"))=0,0,IF('Calculations'!$EF$3="All",1,IF(COUNTIF('Calculations'!HO111:II111,"="&amp;SUBSTITUTE(SUBSTITUTE(SUBSTITUTE('Calculations'!$EF$3,"~","~~"),"*","~*"),"?","~?"))&gt;0,1,0))))),0))</x:f>
        <x:v>0</x:v>
      </x:c>
      <x:c r="EO111" s="4" t="str">
        <x:f>IF('Calculations'!IJ111="","",IF('Calculations'!IJ111="!UNRESOLVED","Unresolved hierarchy",IFERROR(INDEX('Calculations'!$HK$13:$HK$512,MATCH('Calculations'!IJ111,'Calculations'!$HE$13:$HE$512,0)),IFERROR(INDEX('Calculations'!$HJ$13:$HJ$512,MATCH('Calculations'!IJ111,'Calculations'!$HF$13:$HF$512,0)),'Calculations'!IJ111))))</x:f>
      </x:c>
      <x:c r="EP111" s="4" t="n">
        <x:f>IF(AND('Calculations'!EM111&lt;&gt;"",'Calculations'!HF111='Calculations'!IJ111),1,0)</x:f>
        <x:v>0</x:v>
      </x:c>
      <x:c r="EQ111" s="4"/>
      <x:c r="ER111" s="4"/>
      <x:c r="ES111" s="4"/>
      <x:c r="ET111" s="4"/>
      <x:c r="EU111" s="4"/>
      <x:c r="EV111" s="4"/>
      <x:c r="EW111" s="4"/>
      <x:c r="EX111" s="4"/>
      <x:c r="EY111" s="4"/>
      <x:c r="EZ111" s="4"/>
      <x:c r="FA111" s="4"/>
      <x:c r="FB111" s="4"/>
      <x:c r="FC111" s="4"/>
      <x:c r="FD111" s="4"/>
      <x:c r="FE111" s="4"/>
      <x:c r="FF111" s="4"/>
      <x:c r="FG111" s="4"/>
      <x:c r="FH111" s="4"/>
      <x:c r="FI111" s="4"/>
      <x:c r="FJ111" s="4"/>
      <x:c r="FK111" s="4"/>
      <x:c r="FL111" s="4"/>
      <x:c r="FM111" s="4"/>
      <x:c r="FN111" s="4"/>
      <x:c r="FO111" s="4"/>
      <x:c r="GA111" s="71"/>
      <x:c r="GB111" s="71" t="str">
        <x:f>IF('Calculations'!$AR111=0,"",INDEX('Calculations'!$DE$12:$DE$1012,'Calculations'!$AR111))</x:f>
      </x:c>
      <x:c r="GC111" s="71"/>
      <x:c r="GD111" s="71"/>
      <x:c r="GE111" s="71"/>
      <x:c r="GF111" s="71"/>
      <x:c r="GG111" s="71"/>
      <x:c r="GH111" s="71"/>
      <x:c r="GI111" s="71" t="str">
        <x:f>IF('Calculations'!$AR111=0,"",INDEX('Calculations'!$DF$12:$DF$1012,'Calculations'!$AR111))</x:f>
      </x:c>
      <x:c r="GJ111" s="71"/>
      <x:c r="GK111" s="71" t="str">
        <x:f>IF('Calculations'!$AR111=0,"",INDEX('Calculations'!$DG$12:$DG$1012,'Calculations'!$AR111))</x:f>
      </x:c>
      <x:c r="GL111" s="71"/>
      <x:c r="GM111" s="71" t="str">
        <x:f>IF('Calculations'!$AR111=0,"",INDEX('Calculations'!$DH$12:$DH$1012,'Calculations'!$AR111))</x:f>
      </x:c>
      <x:c r="GN111" s="71"/>
      <x:c r="GO111" s="71" t="str">
        <x:f>IF('Calculations'!$AR111=0,"",INDEX('Calculations'!$DI$12:$DI$1012,'Calculations'!$AR111))</x:f>
      </x:c>
      <x:c r="GP111" s="71"/>
      <x:c r="GQ111" s="71" t="str">
        <x:f>IF('Calculations'!$AR111=0,"",INDEX('Calculations'!$DJ$12:$DJ$1012,'Calculations'!$AR111)&amp;" · "&amp;IF(INDEX('Calculations'!$DG$12:$DG$1012,'Calculations'!$AR111)=0,"n.a.",TEXT(INDEX('Calculations'!$DJ$12:$DJ$1012,'Calculations'!$AR111)/INDEX('Calculations'!$DG$12:$DG$1012,'Calculations'!$AR111),"0.0%")))</x:f>
      </x:c>
      <x:c r="GR111" s="71"/>
      <x:c r="GS111" s="71" t="str">
        <x:f>IF('Calculations'!$AR111=0,"",INDEX('Calculations'!$DK$12:$DK$1012,'Calculations'!$AR111)&amp;" · "&amp;IF(INDEX('Calculations'!$DG$12:$DG$1012,'Calculations'!$AR111)=0,"n.a.",TEXT(INDEX('Calculations'!$DK$12:$DK$1012,'Calculations'!$AR111)/INDEX('Calculations'!$DG$12:$DG$1012,'Calculations'!$AR111),"0.0%")))</x:f>
      </x:c>
      <x:c r="GT111" s="71"/>
      <x:c r="GU111" s="71" t="str">
        <x:f>IF('Calculations'!$AR111=0,"",INDEX('Calculations'!$DL$12:$DL$1012,'Calculations'!$AR111)&amp;" · "&amp;IF(INDEX('Calculations'!$DG$12:$DG$1012,'Calculations'!$AR111)=0,"n.a.",TEXT(INDEX('Calculations'!$DL$12:$DL$1012,'Calculations'!$AR111)/INDEX('Calculations'!$DG$12:$DG$1012,'Calculations'!$AR111),"0.0%")))</x:f>
      </x:c>
      <x:c r="GV111" s="71"/>
      <x:c r="GW111" s="71" t="str">
        <x:f>IF('Calculations'!$AR111=0,"",INDEX('Calculations'!$DM$12:$DM$1012,'Calculations'!$AR111)&amp;" · "&amp;IF(INDEX('Calculations'!$DG$12:$DG$1012,'Calculations'!$AR111)=0,"n.a.",TEXT(INDEX('Calculations'!$DM$12:$DM$1012,'Calculations'!$AR111)/INDEX('Calculations'!$DG$12:$DG$1012,'Calculations'!$AR111),"0.0%")))</x:f>
      </x:c>
      <x:c r="GX111" s="71"/>
      <x:c r="GY111" s="71" t="str">
        <x:f>IF('Calculations'!$AR111=0,"",INDEX('Calculations'!$DN$12:$DN$1012,'Calculations'!$AR111))</x:f>
      </x:c>
      <x:c r="GZ111" s="71"/>
      <x:c r="HA111" s="71" t="str">
        <x:f>IF('Calculations'!$AR111=0,"",INDEX('Calculations'!$DO$12:$DO$1012,'Calculations'!$AR111))</x:f>
      </x:c>
      <x:c r="HB111" s="71"/>
      <x:c r="HC111" s="71"/>
      <x:c r="HD111" s="71"/>
      <x:c r="HE111" t="str">
        <x:f>IF('Calculations'!EM111="","",IF(IFERROR(IF(INDEX(INDIRECT("'WCM Calibration Final'!$A$1:$A$2000"),'Calculations'!$EM111)="","",TRIM(INDEX(INDIRECT("'WCM Calibration Final'!$A$1:$A$2000"),'Calculations'!$EM111)&amp;"")),"")&lt;&gt;"","G:"&amp;IFERROR(TEXT(1*INDEX(INDIRECT("'WCM Calibration Final'!$A$1:$A$2000"),'Calculations'!$EM111),"0"),UPPER(IFERROR(IF(INDEX(INDIRECT("'WCM Calibration Final'!$A$1:$A$2000"),'Calculations'!$EM111)="","",TRIM(INDEX(INDIRECT("'WCM Calibration Final'!$A$1:$A$2000"),'Calculations'!$EM111)&amp;"")),""))),IF(IFERROR(IF(INDEX(INDIRECT("'WCM Calibration Final'!$C$1:$C$2000"),'Calculations'!$EM111)="","",TRIM(INDEX(INDIRECT("'WCM Calibration Final'!$C$1:$C$2000"),'Calculations'!$EM111)&amp;"")),"")&lt;&gt;"","S:"&amp;UPPER(IFERROR(IF(INDEX(INDIRECT("'WCM Calibration Final'!$C$1:$C$2000"),'Calculations'!$EM111)="","",TRIM(INDEX(INDIRECT("'WCM Calibration Final'!$C$1:$C$2000"),'Calculations'!$EM111)&amp;"")),"")),"R:"&amp;'Calculations'!EM111)))</x:f>
      </x:c>
      <x:c r="HF111" t="str">
        <x:f>IF('Calculations'!EM111="","",IF(IFERROR(IF(INDEX(INDIRECT("'WCM Calibration Final'!$D$1:$D$2000"),'Calculations'!$EM111)="","",TRIM(INDEX(INDIRECT("'WCM Calibration Final'!$D$1:$D$2000"),'Calculations'!$EM111)&amp;"")),"")&lt;&gt;"","G:"&amp;IFERROR(TEXT(1*INDEX(INDIRECT("'WCM Calibration Final'!$D$1:$D$2000"),'Calculations'!$EM111),"0"),UPPER(IFERROR(IF(INDEX(INDIRECT("'WCM Calibration Final'!$D$1:$D$2000"),'Calculations'!$EM111)="","",TRIM(INDEX(INDIRECT("'WCM Calibration Final'!$D$1:$D$2000"),'Calculations'!$EM111)&amp;"")),""))),IF(IFERROR(IF(INDEX(INDIRECT("'WCM Calibration Final'!$E$1:$E$2000"),'Calculations'!$EM111)="","",TRIM(INDEX(INDIRECT("'WCM Calibration Final'!$E$1:$E$2000"),'Calculations'!$EM111)&amp;"")),"")="","",IF(COUNTIF('Calculations'!$HG$13:$HG$512,"="&amp;SUBSTITUTE(SUBSTITUTE(SUBSTITUTE(IFERROR(IF(INDEX(INDIRECT("'WCM Calibration Final'!$E$1:$E$2000"),'Calculations'!$EM111)="","",TRIM(INDEX(INDIRECT("'WCM Calibration Final'!$E$1:$E$2000"),'Calculations'!$EM111)&amp;"")),""),"~","~~"),"*","~*"),"?","~?"))=1,INDEX('Calculations'!$HE$13:$HE$512,MATCH(IFERROR(IF(INDEX(INDIRECT("'WCM Calibration Final'!$E$1:$E$2000"),'Calculations'!$EM111)="","",TRIM(INDEX(INDIRECT("'WCM Calibration Final'!$E$1:$E$2000"),'Calculations'!$EM111)&amp;"")),""),'Calculations'!$HG$13:$HG$512,0)),IF(COUNTIF('Calculations'!$HG$13:$HG$512,"="&amp;SUBSTITUTE(SUBSTITUTE(SUBSTITUTE(IFERROR(IF(INDEX(INDIRECT("'WCM Calibration Final'!$E$1:$E$2000"),'Calculations'!$EM111)="","",TRIM(INDEX(INDIRECT("'WCM Calibration Final'!$E$1:$E$2000"),'Calculations'!$EM111)&amp;"")),""),"~","~~"),"*","~*"),"?","~?"))&gt;1,"!AMBIG","X:"&amp;IFERROR(IF(INDEX(INDIRECT("'WCM Calibration Final'!$E$1:$E$2000"),'Calculations'!$EM111)="","",TRIM(INDEX(INDIRECT("'WCM Calibration Final'!$E$1:$E$2000"),'Calculations'!$EM111)&amp;"")),""))))))</x:f>
      </x:c>
      <x:c r="HG111" t="str">
        <x:f>IF('Calculations'!EM111="","",IFERROR(IF(INDEX(INDIRECT("'WCM Calibration Final'!$B$1:$B$2000"),'Calculations'!$EM111)="","",TRIM(INDEX(INDIRECT("'WCM Calibration Final'!$B$1:$B$2000"),'Calculations'!$EM111)&amp;"")),""))</x:f>
      </x:c>
      <x:c r="HH111" t="n">
        <x:f>IF(AND('Calculations'!JC111&gt;0,COUNTIF('Calculations'!$HF$12:HF111,"="&amp;SUBSTITUTE(SUBSTITUTE(SUBSTITUTE('Calculations'!HF111,"~","~~"),"*","~*"),"?","~?"))=1),MAX('Calculations'!$HH$12:HH110)+1,0)</x:f>
        <x:v>0</x:v>
      </x:c>
      <x:c r="HI111" t="n">
        <x:f>IF(AND('Calculations'!HN111&lt;&gt;"",COUNTIF('Calculations'!$HN$12:HN111,"="&amp;SUBSTITUTE(SUBSTITUTE(SUBSTITUTE('Calculations'!HN111,"~","~~"),"*","~*"),"?","~?"))=1),MAX('Calculations'!$HI$12:HI110)+1,0)</x:f>
        <x:v>0</x:v>
      </x:c>
      <x:c r="HJ111" t="str">
        <x:f>IF('Calculations'!HF111="","",IF(COUNTIF('Calculations'!$HE$13:$HE$512,"="&amp;SUBSTITUTE(SUBSTITUTE(SUBSTITUTE('Calculations'!HF111,"~","~~"),"*","~*"),"?","~?"))=1,INDEX('Calculations'!$HK$13:$HK$512,MATCH('Calculations'!HF111,'Calculations'!$HE$13:$HE$512,0)),IFERROR(IF(INDEX(INDIRECT("'WCM Calibration Final'!$E$1:$E$2000"),'Calculations'!$EM111)="","",TRIM(INDEX(INDIRECT("'WCM Calibration Final'!$E$1:$E$2000"),'Calculations'!$EM111)&amp;"")),"")&amp;" ["&amp;'Calculations'!HF111&amp;"]"))</x:f>
      </x:c>
      <x:c r="HK111" t="str">
        <x:f>IF('Calculations'!EM111="","",'Calculations'!HG111&amp;" ["&amp;'Calculations'!HE111&amp;"]")</x:f>
      </x:c>
      <x:c r="HL111" t="n">
        <x:f>IF('Calculations'!EM111="",0,IF(OR('Calculations'!II111&lt;&gt;"",COUNTIF('Calculations'!$HE$13:$HE$512,"="&amp;SUBSTITUTE(SUBSTITUTE(SUBSTITUTE('Calculations'!HE111,"~","~~"),"*","~*"),"?","~?"))&gt;1),1,0))</x:f>
        <x:v>0</x:v>
      </x:c>
      <x:c r="HM111" t="str">
        <x:f>IF('Calculations'!EM111="","",IF('Calculations'!HL111=1,"!UNRESOLVED",IF('Calculations'!IH111&lt;&gt;"",'Calculations'!IH111,IF('Calculations'!IG111&lt;&gt;"",'Calculations'!IG111,IF('Calculations'!IF111&lt;&gt;"",'Calculations'!IF111,IF('Calculations'!IE111&lt;&gt;"",'Calculations'!IE111,IF('Calculations'!ID111&lt;&gt;"",'Calculations'!ID111,IF('Calculations'!IC111&lt;&gt;"",'Calculations'!IC111,IF('Calculations'!IB111&lt;&gt;"",'Calculations'!IB111,IF('Calculations'!IA111&lt;&gt;"",'Calculations'!IA111,IF('Calculations'!HZ111&lt;&gt;"",'Calculations'!HZ111,IF('Calculations'!HY111&lt;&gt;"",'Calculations'!HY111,IF('Calculations'!HX111&lt;&gt;"",'Calculations'!HX111,IF('Calculations'!HW111&lt;&gt;"",'Calculations'!HW111,IF('Calculations'!HV111&lt;&gt;"",'Calculations'!HV111,IF('Calculations'!HU111&lt;&gt;"",'Calculations'!HU111,IF('Calculations'!HT111&lt;&gt;"",'Calculations'!HT111,IF('Calculations'!HS111&lt;&gt;"",'Calculations'!HS111,IF('Calculations'!HR111&lt;&gt;"",'Calculations'!HR111,IF('Calculations'!HQ111&lt;&gt;"",'Calculations'!HQ111,IF('Calculations'!HP111&lt;&gt;"",'Calculations'!HP111,IF('Calculations'!HO111&lt;&gt;"",'Calculations'!HO111,'Calculations'!HE111))))))))))))))))))))))</x:f>
      </x:c>
      <x:c r="HN111" t="str">
        <x:f>IF('Calculations'!EM111="","",IF(IFERROR(IF(INDEX(INDIRECT("'WCM Calibration Final'!$F$1:$F$2000"),'Calculations'!$EM111)="","",TRIM(INDEX(INDIRECT("'WCM Calibration Final'!$F$1:$F$2000"),'Calculations'!$EM111)&amp;"")),"")="","(Blank)",IFERROR(IF(INDEX(INDIRECT("'WCM Calibration Final'!$F$1:$F$2000"),'Calculations'!$EM111)="","",TRIM(INDEX(INDIRECT("'WCM Calibration Final'!$F$1:$F$2000"),'Calculations'!$EM111)&amp;"")),"")))</x:f>
      </x:c>
      <x:c r="HO111" t="str">
        <x:f>'Calculations'!HF111</x:f>
      </x:c>
      <x:c r="HP111" t="str">
        <x:f>IF('Calculations'!HO111="","",IF('Calculations'!HO111="!AMBIG","!AMBIG",IF(COUNTIF('Calculations'!$HE$13:$HE$512,"="&amp;SUBSTITUTE(SUBSTITUTE(SUBSTITUTE('Calculations'!HO111,"~","~~"),"*","~*"),"?","~?"))&gt;1,"!AMBIG",IFERROR(INDEX('Calculations'!$HF$13:$HF$512,MATCH('Calculations'!HO111,'Calculations'!$HE$13:$HE$512,0)),""))))</x:f>
      </x:c>
      <x:c r="HQ111" t="str">
        <x:f>IF('Calculations'!HP111="","",IF('Calculations'!HP111="!AMBIG","!AMBIG",IF(COUNTIF('Calculations'!$HE$13:$HE$512,"="&amp;SUBSTITUTE(SUBSTITUTE(SUBSTITUTE('Calculations'!HP111,"~","~~"),"*","~*"),"?","~?"))&gt;1,"!AMBIG",IFERROR(INDEX('Calculations'!$HF$13:$HF$512,MATCH('Calculations'!HP111,'Calculations'!$HE$13:$HE$512,0)),""))))</x:f>
      </x:c>
      <x:c r="HR111" t="str">
        <x:f>IF('Calculations'!HQ111="","",IF('Calculations'!HQ111="!AMBIG","!AMBIG",IF(COUNTIF('Calculations'!$HE$13:$HE$512,"="&amp;SUBSTITUTE(SUBSTITUTE(SUBSTITUTE('Calculations'!HQ111,"~","~~"),"*","~*"),"?","~?"))&gt;1,"!AMBIG",IFERROR(INDEX('Calculations'!$HF$13:$HF$512,MATCH('Calculations'!HQ111,'Calculations'!$HE$13:$HE$512,0)),""))))</x:f>
      </x:c>
      <x:c r="HS111" t="str">
        <x:f>IF('Calculations'!HR111="","",IF('Calculations'!HR111="!AMBIG","!AMBIG",IF(COUNTIF('Calculations'!$HE$13:$HE$512,"="&amp;SUBSTITUTE(SUBSTITUTE(SUBSTITUTE('Calculations'!HR111,"~","~~"),"*","~*"),"?","~?"))&gt;1,"!AMBIG",IFERROR(INDEX('Calculations'!$HF$13:$HF$512,MATCH('Calculations'!HR111,'Calculations'!$HE$13:$HE$512,0)),""))))</x:f>
      </x:c>
      <x:c r="HT111" t="str">
        <x:f>IF('Calculations'!HS111="","",IF('Calculations'!HS111="!AMBIG","!AMBIG",IF(COUNTIF('Calculations'!$HE$13:$HE$512,"="&amp;SUBSTITUTE(SUBSTITUTE(SUBSTITUTE('Calculations'!HS111,"~","~~"),"*","~*"),"?","~?"))&gt;1,"!AMBIG",IFERROR(INDEX('Calculations'!$HF$13:$HF$512,MATCH('Calculations'!HS111,'Calculations'!$HE$13:$HE$512,0)),""))))</x:f>
      </x:c>
      <x:c r="HU111" t="str">
        <x:f>IF('Calculations'!HT111="","",IF('Calculations'!HT111="!AMBIG","!AMBIG",IF(COUNTIF('Calculations'!$HE$13:$HE$512,"="&amp;SUBSTITUTE(SUBSTITUTE(SUBSTITUTE('Calculations'!HT111,"~","~~"),"*","~*"),"?","~?"))&gt;1,"!AMBIG",IFERROR(INDEX('Calculations'!$HF$13:$HF$512,MATCH('Calculations'!HT111,'Calculations'!$HE$13:$HE$512,0)),""))))</x:f>
      </x:c>
      <x:c r="HV111" t="str">
        <x:f>IF('Calculations'!HU111="","",IF('Calculations'!HU111="!AMBIG","!AMBIG",IF(COUNTIF('Calculations'!$HE$13:$HE$512,"="&amp;SUBSTITUTE(SUBSTITUTE(SUBSTITUTE('Calculations'!HU111,"~","~~"),"*","~*"),"?","~?"))&gt;1,"!AMBIG",IFERROR(INDEX('Calculations'!$HF$13:$HF$512,MATCH('Calculations'!HU111,'Calculations'!$HE$13:$HE$512,0)),""))))</x:f>
      </x:c>
      <x:c r="HW111" t="str">
        <x:f>IF('Calculations'!HV111="","",IF('Calculations'!HV111="!AMBIG","!AMBIG",IF(COUNTIF('Calculations'!$HE$13:$HE$512,"="&amp;SUBSTITUTE(SUBSTITUTE(SUBSTITUTE('Calculations'!HV111,"~","~~"),"*","~*"),"?","~?"))&gt;1,"!AMBIG",IFERROR(INDEX('Calculations'!$HF$13:$HF$512,MATCH('Calculations'!HV111,'Calculations'!$HE$13:$HE$512,0)),""))))</x:f>
      </x:c>
      <x:c r="HX111" t="str">
        <x:f>IF('Calculations'!HW111="","",IF('Calculations'!HW111="!AMBIG","!AMBIG",IF(COUNTIF('Calculations'!$HE$13:$HE$512,"="&amp;SUBSTITUTE(SUBSTITUTE(SUBSTITUTE('Calculations'!HW111,"~","~~"),"*","~*"),"?","~?"))&gt;1,"!AMBIG",IFERROR(INDEX('Calculations'!$HF$13:$HF$512,MATCH('Calculations'!HW111,'Calculations'!$HE$13:$HE$512,0)),""))))</x:f>
      </x:c>
      <x:c r="HY111" t="str">
        <x:f>IF('Calculations'!HX111="","",IF('Calculations'!HX111="!AMBIG","!AMBIG",IF(COUNTIF('Calculations'!$HE$13:$HE$512,"="&amp;SUBSTITUTE(SUBSTITUTE(SUBSTITUTE('Calculations'!HX111,"~","~~"),"*","~*"),"?","~?"))&gt;1,"!AMBIG",IFERROR(INDEX('Calculations'!$HF$13:$HF$512,MATCH('Calculations'!HX111,'Calculations'!$HE$13:$HE$512,0)),""))))</x:f>
      </x:c>
      <x:c r="HZ111" t="str">
        <x:f>IF('Calculations'!HY111="","",IF('Calculations'!HY111="!AMBIG","!AMBIG",IF(COUNTIF('Calculations'!$HE$13:$HE$512,"="&amp;SUBSTITUTE(SUBSTITUTE(SUBSTITUTE('Calculations'!HY111,"~","~~"),"*","~*"),"?","~?"))&gt;1,"!AMBIG",IFERROR(INDEX('Calculations'!$HF$13:$HF$512,MATCH('Calculations'!HY111,'Calculations'!$HE$13:$HE$512,0)),""))))</x:f>
      </x:c>
      <x:c r="IA111" t="str">
        <x:f>IF('Calculations'!HZ111="","",IF('Calculations'!HZ111="!AMBIG","!AMBIG",IF(COUNTIF('Calculations'!$HE$13:$HE$512,"="&amp;SUBSTITUTE(SUBSTITUTE(SUBSTITUTE('Calculations'!HZ111,"~","~~"),"*","~*"),"?","~?"))&gt;1,"!AMBIG",IFERROR(INDEX('Calculations'!$HF$13:$HF$512,MATCH('Calculations'!HZ111,'Calculations'!$HE$13:$HE$512,0)),""))))</x:f>
      </x:c>
      <x:c r="IB111" t="str">
        <x:f>IF('Calculations'!IA111="","",IF('Calculations'!IA111="!AMBIG","!AMBIG",IF(COUNTIF('Calculations'!$HE$13:$HE$512,"="&amp;SUBSTITUTE(SUBSTITUTE(SUBSTITUTE('Calculations'!IA111,"~","~~"),"*","~*"),"?","~?"))&gt;1,"!AMBIG",IFERROR(INDEX('Calculations'!$HF$13:$HF$512,MATCH('Calculations'!IA111,'Calculations'!$HE$13:$HE$512,0)),""))))</x:f>
      </x:c>
      <x:c r="IC111" t="str">
        <x:f>IF('Calculations'!IB111="","",IF('Calculations'!IB111="!AMBIG","!AMBIG",IF(COUNTIF('Calculations'!$HE$13:$HE$512,"="&amp;SUBSTITUTE(SUBSTITUTE(SUBSTITUTE('Calculations'!IB111,"~","~~"),"*","~*"),"?","~?"))&gt;1,"!AMBIG",IFERROR(INDEX('Calculations'!$HF$13:$HF$512,MATCH('Calculations'!IB111,'Calculations'!$HE$13:$HE$512,0)),""))))</x:f>
      </x:c>
      <x:c r="ID111" t="str">
        <x:f>IF('Calculations'!IC111="","",IF('Calculations'!IC111="!AMBIG","!AMBIG",IF(COUNTIF('Calculations'!$HE$13:$HE$512,"="&amp;SUBSTITUTE(SUBSTITUTE(SUBSTITUTE('Calculations'!IC111,"~","~~"),"*","~*"),"?","~?"))&gt;1,"!AMBIG",IFERROR(INDEX('Calculations'!$HF$13:$HF$512,MATCH('Calculations'!IC111,'Calculations'!$HE$13:$HE$512,0)),""))))</x:f>
      </x:c>
      <x:c r="IE111" t="str">
        <x:f>IF('Calculations'!ID111="","",IF('Calculations'!ID111="!AMBIG","!AMBIG",IF(COUNTIF('Calculations'!$HE$13:$HE$512,"="&amp;SUBSTITUTE(SUBSTITUTE(SUBSTITUTE('Calculations'!ID111,"~","~~"),"*","~*"),"?","~?"))&gt;1,"!AMBIG",IFERROR(INDEX('Calculations'!$HF$13:$HF$512,MATCH('Calculations'!ID111,'Calculations'!$HE$13:$HE$512,0)),""))))</x:f>
      </x:c>
      <x:c r="IF111" t="str">
        <x:f>IF('Calculations'!IE111="","",IF('Calculations'!IE111="!AMBIG","!AMBIG",IF(COUNTIF('Calculations'!$HE$13:$HE$512,"="&amp;SUBSTITUTE(SUBSTITUTE(SUBSTITUTE('Calculations'!IE111,"~","~~"),"*","~*"),"?","~?"))&gt;1,"!AMBIG",IFERROR(INDEX('Calculations'!$HF$13:$HF$512,MATCH('Calculations'!IE111,'Calculations'!$HE$13:$HE$512,0)),""))))</x:f>
      </x:c>
      <x:c r="IG111" t="str">
        <x:f>IF('Calculations'!IF111="","",IF('Calculations'!IF111="!AMBIG","!AMBIG",IF(COUNTIF('Calculations'!$HE$13:$HE$512,"="&amp;SUBSTITUTE(SUBSTITUTE(SUBSTITUTE('Calculations'!IF111,"~","~~"),"*","~*"),"?","~?"))&gt;1,"!AMBIG",IFERROR(INDEX('Calculations'!$HF$13:$HF$512,MATCH('Calculations'!IF111,'Calculations'!$HE$13:$HE$512,0)),""))))</x:f>
      </x:c>
      <x:c r="IH111" t="str">
        <x:f>IF('Calculations'!IG111="","",IF('Calculations'!IG111="!AMBIG","!AMBIG",IF(COUNTIF('Calculations'!$HE$13:$HE$512,"="&amp;SUBSTITUTE(SUBSTITUTE(SUBSTITUTE('Calculations'!IG111,"~","~~"),"*","~*"),"?","~?"))&gt;1,"!AMBIG",IFERROR(INDEX('Calculations'!$HF$13:$HF$512,MATCH('Calculations'!IG111,'Calculations'!$HE$13:$HE$512,0)),""))))</x:f>
      </x:c>
      <x:c r="II111" t="str">
        <x:f>IF('Calculations'!IH111="","",IF('Calculations'!IH111="!AMBIG","!AMBIG",IF(COUNTIF('Calculations'!$HE$13:$HE$512,"="&amp;SUBSTITUTE(SUBSTITUTE(SUBSTITUTE('Calculations'!IH111,"~","~~"),"*","~*"),"?","~?"))&gt;1,"!AMBIG",IFERROR(INDEX('Calculations'!$HF$13:$HF$512,MATCH('Calculations'!IH111,'Calculations'!$HE$13:$HE$512,0)),""))))</x:f>
      </x:c>
      <x:c r="IJ111" t="str">
        <x:f>IF('Calculations'!EM111="","",IF('Calculations'!$EF$2="All",'Calculations'!HM111,IF('Calculations'!HL111=1,"",IFERROR(IF(MATCH('Calculations'!$EF$2,'Calculations'!HO111:II111,0)=1,'Calculations'!HE111,INDEX('Calculations'!HO111:II111,1,MATCH('Calculations'!$EF$2,'Calculations'!HO111:II111,0)-1)),""))))</x:f>
      </x:c>
      <x:c r="IK111" t="n">
        <x:f>IF(AND('Calculations'!EM111&lt;&gt;"",'Calculations'!$EF$2&lt;&gt;"All",'Calculations'!HF111='Calculations'!$EF$2,'Calculations'!HL111=0,'Calculations'!JD111&gt;0),MAX('Calculations'!$IK$12:IK110)+1,0)</x:f>
        <x:v>0</x:v>
      </x:c>
      <x:c r="JA111" t="n">
        <x:f>IF(OR(IFERROR(INDIRECT("'WCM Calibration Final'!$A$111")&lt;&gt;"",FALSE),IFERROR(INDIRECT("'WCM Calibration Final'!$B$111")&lt;&gt;"",FALSE),IFERROR(INDIRECT("'WCM Calibration Final'!$C$111")&lt;&gt;"",FALSE)),111,0)</x:f>
        <x:v>0</x:v>
      </x:c>
      <x:c r="JB111" t="n">
        <x:f>'Calculations'!JB110+IF('Calculations'!JA111&gt;0,1,0)</x:f>
        <x:v>0</x:v>
      </x:c>
      <x:c r="JC111" t="n">
        <x:f>IF(OR('Calculations'!HF111="",'Calculations'!HF111="!AMBIG"),0,IF('Dashboard'!$B$7="All",1,COUNTIFS('Calculations'!$HO$13:$HO$512,"="&amp;SUBSTITUTE(SUBSTITUTE(SUBSTITUTE('Calculations'!HF111,"~","~~"),"*","~*"),"?","~?"),'Calculations'!$HN$13:$HN$512,"="&amp;SUBSTITUTE(SUBSTITUTE(SUBSTITUTE('Dashboard'!$B$7,"~","~~"),"*","~*"),"?","~?"))+COUNTIFS('Calculations'!$HP$13:$HP$512,"="&amp;SUBSTITUTE(SUBSTITUTE(SUBSTITUTE('Calculations'!HF111,"~","~~"),"*","~*"),"?","~?"),'Calculations'!$HN$13:$HN$512,"="&amp;SUBSTITUTE(SUBSTITUTE(SUBSTITUTE('Dashboard'!$B$7,"~","~~"),"*","~*"),"?","~?"))+COUNTIFS('Calculations'!$HQ$13:$HQ$512,"="&amp;SUBSTITUTE(SUBSTITUTE(SUBSTITUTE('Calculations'!HF111,"~","~~"),"*","~*"),"?","~?"),'Calculations'!$HN$13:$HN$512,"="&amp;SUBSTITUTE(SUBSTITUTE(SUBSTITUTE('Dashboard'!$B$7,"~","~~"),"*","~*"),"?","~?"))+COUNTIFS('Calculations'!$HR$13:$HR$512,"="&amp;SUBSTITUTE(SUBSTITUTE(SUBSTITUTE('Calculations'!HF111,"~","~~"),"*","~*"),"?","~?"),'Calculations'!$HN$13:$HN$512,"="&amp;SUBSTITUTE(SUBSTITUTE(SUBSTITUTE('Dashboard'!$B$7,"~","~~"),"*","~*"),"?","~?"))+COUNTIFS('Calculations'!$HS$13:$HS$512,"="&amp;SUBSTITUTE(SUBSTITUTE(SUBSTITUTE('Calculations'!HF111,"~","~~"),"*","~*"),"?","~?"),'Calculations'!$HN$13:$HN$512,"="&amp;SUBSTITUTE(SUBSTITUTE(SUBSTITUTE('Dashboard'!$B$7,"~","~~"),"*","~*"),"?","~?"))+COUNTIFS('Calculations'!$HT$13:$HT$512,"="&amp;SUBSTITUTE(SUBSTITUTE(SUBSTITUTE('Calculations'!HF111,"~","~~"),"*","~*"),"?","~?"),'Calculations'!$HN$13:$HN$512,"="&amp;SUBSTITUTE(SUBSTITUTE(SUBSTITUTE('Dashboard'!$B$7,"~","~~"),"*","~*"),"?","~?"))+COUNTIFS('Calculations'!$HU$13:$HU$512,"="&amp;SUBSTITUTE(SUBSTITUTE(SUBSTITUTE('Calculations'!HF111,"~","~~"),"*","~*"),"?","~?"),'Calculations'!$HN$13:$HN$512,"="&amp;SUBSTITUTE(SUBSTITUTE(SUBSTITUTE('Dashboard'!$B$7,"~","~~"),"*","~*"),"?","~?"))+COUNTIFS('Calculations'!$HV$13:$HV$512,"="&amp;SUBSTITUTE(SUBSTITUTE(SUBSTITUTE('Calculations'!HF111,"~","~~"),"*","~*"),"?","~?"),'Calculations'!$HN$13:$HN$512,"="&amp;SUBSTITUTE(SUBSTITUTE(SUBSTITUTE('Dashboard'!$B$7,"~","~~"),"*","~*"),"?","~?"))+COUNTIFS('Calculations'!$HW$13:$HW$512,"="&amp;SUBSTITUTE(SUBSTITUTE(SUBSTITUTE('Calculations'!HF111,"~","~~"),"*","~*"),"?","~?"),'Calculations'!$HN$13:$HN$512,"="&amp;SUBSTITUTE(SUBSTITUTE(SUBSTITUTE('Dashboard'!$B$7,"~","~~"),"*","~*"),"?","~?"))+COUNTIFS('Calculations'!$HX$13:$HX$512,"="&amp;SUBSTITUTE(SUBSTITUTE(SUBSTITUTE('Calculations'!HF111,"~","~~"),"*","~*"),"?","~?"),'Calculations'!$HN$13:$HN$512,"="&amp;SUBSTITUTE(SUBSTITUTE(SUBSTITUTE('Dashboard'!$B$7,"~","~~"),"*","~*"),"?","~?"))+COUNTIFS('Calculations'!$HY$13:$HY$512,"="&amp;SUBSTITUTE(SUBSTITUTE(SUBSTITUTE('Calculations'!HF111,"~","~~"),"*","~*"),"?","~?"),'Calculations'!$HN$13:$HN$512,"="&amp;SUBSTITUTE(SUBSTITUTE(SUBSTITUTE('Dashboard'!$B$7,"~","~~"),"*","~*"),"?","~?"))+COUNTIFS('Calculations'!$HZ$13:$HZ$512,"="&amp;SUBSTITUTE(SUBSTITUTE(SUBSTITUTE('Calculations'!HF111,"~","~~"),"*","~*"),"?","~?"),'Calculations'!$HN$13:$HN$512,"="&amp;SUBSTITUTE(SUBSTITUTE(SUBSTITUTE('Dashboard'!$B$7,"~","~~"),"*","~*"),"?","~?"))+COUNTIFS('Calculations'!$IA$13:$IA$512,"="&amp;SUBSTITUTE(SUBSTITUTE(SUBSTITUTE('Calculations'!HF111,"~","~~"),"*","~*"),"?","~?"),'Calculations'!$HN$13:$HN$512,"="&amp;SUBSTITUTE(SUBSTITUTE(SUBSTITUTE('Dashboard'!$B$7,"~","~~"),"*","~*"),"?","~?"))+COUNTIFS('Calculations'!$IB$13:$IB$512,"="&amp;SUBSTITUTE(SUBSTITUTE(SUBSTITUTE('Calculations'!HF111,"~","~~"),"*","~*"),"?","~?"),'Calculations'!$HN$13:$HN$512,"="&amp;SUBSTITUTE(SUBSTITUTE(SUBSTITUTE('Dashboard'!$B$7,"~","~~"),"*","~*"),"?","~?"))+COUNTIFS('Calculations'!$IC$13:$IC$512,"="&amp;SUBSTITUTE(SUBSTITUTE(SUBSTITUTE('Calculations'!HF111,"~","~~"),"*","~*"),"?","~?"),'Calculations'!$HN$13:$HN$512,"="&amp;SUBSTITUTE(SUBSTITUTE(SUBSTITUTE('Dashboard'!$B$7,"~","~~"),"*","~*"),"?","~?"))+COUNTIFS('Calculations'!$ID$13:$ID$512,"="&amp;SUBSTITUTE(SUBSTITUTE(SUBSTITUTE('Calculations'!HF111,"~","~~"),"*","~*"),"?","~?"),'Calculations'!$HN$13:$HN$512,"="&amp;SUBSTITUTE(SUBSTITUTE(SUBSTITUTE('Dashboard'!$B$7,"~","~~"),"*","~*"),"?","~?"))+COUNTIFS('Calculations'!$IE$13:$IE$512,"="&amp;SUBSTITUTE(SUBSTITUTE(SUBSTITUTE('Calculations'!HF111,"~","~~"),"*","~*"),"?","~?"),'Calculations'!$HN$13:$HN$512,"="&amp;SUBSTITUTE(SUBSTITUTE(SUBSTITUTE('Dashboard'!$B$7,"~","~~"),"*","~*"),"?","~?"))+COUNTIFS('Calculations'!$IF$13:$IF$512,"="&amp;SUBSTITUTE(SUBSTITUTE(SUBSTITUTE('Calculations'!HF111,"~","~~"),"*","~*"),"?","~?"),'Calculations'!$HN$13:$HN$512,"="&amp;SUBSTITUTE(SUBSTITUTE(SUBSTITUTE('Dashboard'!$B$7,"~","~~"),"*","~*"),"?","~?"))+COUNTIFS('Calculations'!$IG$13:$IG$512,"="&amp;SUBSTITUTE(SUBSTITUTE(SUBSTITUTE('Calculations'!HF111,"~","~~"),"*","~*"),"?","~?"),'Calculations'!$HN$13:$HN$512,"="&amp;SUBSTITUTE(SUBSTITUTE(SUBSTITUTE('Dashboard'!$B$7,"~","~~"),"*","~*"),"?","~?"))+COUNTIFS('Calculations'!$IH$13:$IH$512,"="&amp;SUBSTITUTE(SUBSTITUTE(SUBSTITUTE('Calculations'!HF111,"~","~~"),"*","~*"),"?","~?"),'Calculations'!$HN$13:$HN$512,"="&amp;SUBSTITUTE(SUBSTITUTE(SUBSTITUTE('Dashboard'!$B$7,"~","~~"),"*","~*"),"?","~?"))))</x:f>
        <x:v>0</x:v>
      </x:c>
      <x:c r="JD111" t="n">
        <x:f>IF('Calculations'!EM111="",0,IF('Dashboard'!$B$7="All",1,IF('Calculations'!HN111='Dashboard'!$B$7,1,0)+IFERROR(INDEX('Calculations'!$JC$13:$JC$512,MATCH('Calculations'!HE111,'Calculations'!$HF$13:$HF$512,0)),0)))</x:f>
        <x:v>0</x:v>
      </x:c>
      <x:c r="JE111" t="n">
        <x:f>IF(AND('Calculations'!EM111&lt;&gt;"",'Calculations'!$JJ$2&lt;&gt;"All",'Calculations'!$JJ$2&lt;&gt;"",'Calculations'!HF111='Calculations'!$JJ$2,'Calculations'!HL111=0,'Calculations'!JD111&gt;0),MAX('Calculations'!$JE$12:JE110)+1,0)</x:f>
        <x:v>0</x:v>
      </x:c>
      <x:c r="JF111" t="str">
        <x:f>IF('Calculations'!EM111="","",IFERROR(IF(INDEX(INDIRECT("'WCM Calibration Final'!$G$1:$G$2000"),'Calculations'!$EM111)="","",TRIM(INDEX(INDIRECT("'WCM Calibration Final'!$G$1:$G$2000"),'Calculations'!$EM111)&amp;"")),""))</x:f>
      </x:c>
      <x:c r="JQ111" t="n">
        <x:f>IF(OR('Calculations'!BM111=0,NOT('Calculations'!$AG$2),'Calculations'!$AG$8&gt;0),0,IF(OR('Dashboard'!$B$7="All",'Calculations'!HN111='Dashboard'!$B$7),IF('Calculations'!$JJ$2="All",1,IF(AND('Calculations'!HF111='Calculations'!$JJ$2,'Calculations'!HL111=0),1,0)),0))</x:f>
        <x:v>0</x:v>
      </x:c>
    </x:row>
    <x:row r="112">
      <x:c r="AF112" s="4"/>
      <x:c r="AG112" s="4"/>
      <x:c r="AH112" s="4"/>
      <x:c r="AI112" s="4"/>
      <x:c r="AJ112" s="4"/>
      <x:c r="AK112" s="4"/>
      <x:c r="AL112" s="4"/>
      <x:c r="AM112" s="4"/>
      <x:c r="AN112" s="4"/>
      <x:c r="AO112" s="4"/>
      <x:c r="AP112" s="4"/>
      <x:c r="AQ112" s="4"/>
      <x:c r="AR112" s="4" t="n">
        <x:f>IFERROR(MATCH((MIN('Dashboard'!$Z$93,MAX(1,ROUNDUP(MAX('Calculations'!$DP$12:$DP$1012)/20,0)))-1)*20+15,'Calculations'!$DP$12:$DP$1012,0),0)</x:f>
        <x:v>0</x:v>
      </x:c>
      <x:c r="AS112" s="4"/>
      <x:c r="AT112" s="4"/>
      <x:c r="AU112" s="4"/>
      <x:c r="AV112" s="4"/>
      <x:c r="AW112" s="4"/>
      <x:c r="AX112" s="4"/>
      <x:c r="AY112" s="4"/>
      <x:c r="AZ112" s="4"/>
      <x:c r="BA112" s="4"/>
      <x:c r="BB112" s="4"/>
      <x:c r="BC112" s="4"/>
      <x:c r="BD112" s="4"/>
      <x:c r="BE112" s="4"/>
      <x:c r="BF112" s="4"/>
      <x:c r="BG112" s="4"/>
      <x:c r="BH112" s="4"/>
      <x:c r="BI112" s="4"/>
      <x:c r="BJ112" s="4"/>
      <x:c r="BK112" s="4"/>
      <x:c r="BL112" s="4"/>
      <x:c r="BM112" s="4" t="n">
        <x:f>IF('Calculations'!$EM112="",0,IF(OR(IFERROR(INDEX(INDIRECT("'WCM Calibration Final'!$A$1:$A$2000"),'Calculations'!$EM112)&lt;&gt;"",FALSE),IFERROR(INDEX(INDIRECT("'WCM Calibration Final'!$B$1:$B$2000"),'Calculations'!$EM112)&lt;&gt;"",FALSE),IFERROR(INDEX(INDIRECT("'WCM Calibration Final'!$C$1:$C$2000"),'Calculations'!$EM112)&lt;&gt;"",FALSE)),1,0))</x:f>
        <x:v>0</x:v>
      </x:c>
      <x:c r="BN112" s="4" t="n">
        <x:f>IF(AND('Calculations'!BM112=1,'Calculations'!$AG$2,'Calculations'!$EN112=1),1,0)</x:f>
        <x:v>0</x:v>
      </x:c>
      <x:c r="BO112" s="4" t="str">
        <x:f>IF('Calculations'!BM112=0,"",IFERROR(IF(AND(VALUE(INDEX(INDIRECT("'WCM Calibration Final'!$K$1:$K$2000"),'Calculations'!$EM112))&gt;=1,VALUE(INDEX(INDIRECT("'WCM Calibration Final'!$K$1:$K$2000"),'Calculations'!$EM112))&lt;=4,MOD(VALUE(INDEX(INDIRECT("'WCM Calibration Final'!$K$1:$K$2000"),'Calculations'!$EM112)),1)=0),VALUE(INDEX(INDIRECT("'WCM Calibration Final'!$K$1:$K$2000"),'Calculations'!$EM112)),""),""))</x:f>
      </x:c>
      <x:c r="BP112" s="4" t="str">
        <x:f>IF('Calculations'!BM112=0,"",IFERROR(IF(AND(VALUE(INDEX(INDIRECT("'WCM Calibration Final'!$L$1:$L$2000"),'Calculations'!$EM112))&gt;=1,VALUE(INDEX(INDIRECT("'WCM Calibration Final'!$L$1:$L$2000"),'Calculations'!$EM112))&lt;=4,MOD(VALUE(INDEX(INDIRECT("'WCM Calibration Final'!$L$1:$L$2000"),'Calculations'!$EM112)),1)=0),VALUE(INDEX(INDIRECT("'WCM Calibration Final'!$L$1:$L$2000"),'Calculations'!$EM112)),""),""))</x:f>
      </x:c>
      <x:c r="BQ112" s="4"/>
      <x:c r="BR112" s="4"/>
      <x:c r="BS112" s="4"/>
      <x:c r="BT112" s="4" t="n">
        <x:f>IF(AND('Calculations'!BM112=1,ISNUMBER('Calculations'!BO112),ISNUMBER('Calculations'!BP112)),1,0)</x:f>
        <x:v>0</x:v>
      </x:c>
      <x:c r="BU112" s="4" t="str">
        <x:f>IF('Calculations'!BM112=0,"",'Calculations'!$EO112)</x:f>
      </x:c>
      <x:c r="BV112" s="4" t="str">
        <x:f>IF('Calculations'!BM112=0,"",IFERROR(IF(OR(INDEX(INDIRECT("'WCM Calibration Final'!$H$1:$H$2000"),'Calculations'!$EM112)="MANAGING DIRECTOR",INDEX(INDIRECT("'WCM Calibration Final'!$H$1:$H$2000"),'Calculations'!$EM112)="DIRECTOR",INDEX(INDIRECT("'WCM Calibration Final'!$H$1:$H$2000"),'Calculations'!$EM112)="SENIOR VICE PRESIDENT",INDEX(INDIRECT("'WCM Calibration Final'!$H$1:$H$2000"),'Calculations'!$EM112)="VICE PRESIDENT",INDEX(INDIRECT("'WCM Calibration Final'!$H$1:$H$2000"),'Calculations'!$EM112)="ASSISTANT VICE PRESIDENT",INDEX(INDIRECT("'WCM Calibration Final'!$H$1:$H$2000"),'Calculations'!$EM112)="OFFICER"),UPPER(INDEX(INDIRECT("'WCM Calibration Final'!$H$1:$H$2000"),'Calculations'!$EM112)),"Other"),"Other"))</x:f>
      </x:c>
      <x:c r="BW112" s="4"/>
      <x:c r="BX112" s="4"/>
      <x:c r="BY112" s="4" t="n">
        <x:f>IF(AND('Calculations'!BM112=1,'Calculations'!BU112&lt;&gt;"",COUNTIF('Calculations'!$BU$12:BU112,'Calculations'!BU112)=1),MAX('Calculations'!$BY$11:BY111)+1,0)</x:f>
        <x:v>0</x:v>
      </x:c>
      <x:c r="BZ112" s="4" t="str">
        <x:f>IF('Dashboard'!$E$67="What",'Calculations'!BO112,'Calculations'!BP112)</x:f>
      </x:c>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t="str">
        <x:f>IF(101&gt;MAX('Calculations'!$HI$13:$HI$512),"",INDEX('Calculations'!$HN$13:$HN$512,MATCH(101,'Calculations'!$HI$13:$HI$512,0)))</x:f>
      </x:c>
      <x:c r="DB112" s="4" t="str">
        <x:f>IF(101&gt;MAX('Calculations'!$HH$13:$HH$512),"",INDEX('Calculations'!$HJ$13:$HJ$512,MATCH(101,'Calculations'!$HH$13:$HH$512,0)))</x:f>
      </x:c>
      <x:c r="DC112" s="4" t="str">
        <x:f>IF(ROW()-11&gt;MAX('Calculations'!$BY$13:$BY$512),"",INDEX('Calculations'!$BU$13:$BU$512,MATCH(ROW()-11,'Calculations'!$BY$13:$BY$512,0)))</x:f>
      </x:c>
      <x:c r="DD112" s="4" t="str">
        <x:f>IF(101&gt;MAX('Calculations'!$IK$13:$IK$512),"",INDEX('Calculations'!$HK$13:$HK$512,MATCH(101,'Calculations'!$IK$13:$IK$512,0)))</x:f>
      </x:c>
      <x:c r="DE112" s="4" t="str">
        <x:f>'Calculations'!DC112</x:f>
      </x:c>
      <x:c r="DF112" s="4" t="str">
        <x:f>IF('Calculations'!DE112="","",COUNTIFS('Calculations'!$BN$13:$BN$512,1,'Calculations'!$BU$13:$BU$512,'Calculations'!DE112))</x:f>
      </x:c>
      <x:c r="DG112" s="4" t="str">
        <x:f>IF('Calculations'!DE112="","",COUNTIFS('Calculations'!$BN$13:$BN$512,1,'Calculations'!$BU$13:$BU$512,'Calculations'!DE112,'Calculations'!$BT$13:$BT$512,1))</x:f>
      </x:c>
      <x:c r="DH112" s="4" t="str">
        <x:f>IF('Calculations'!DE112="","",'Calculations'!DF112-'Calculations'!DG112)</x:f>
      </x:c>
      <x:c r="DI112" s="4" t="str">
        <x:f>IF(OR('Calculations'!DE112="",'Calculations'!DF112=0),"",'Calculations'!DG112/'Calculations'!DF112)</x:f>
      </x:c>
      <x:c r="DJ112" s="4" t="str">
        <x:f>IF('Calculations'!DE112="","",COUNTIFS('Calculations'!$BN$13:$BN$512,1,'Calculations'!$BU$13:$BU$512,'Calculations'!DE112,'Calculations'!$BT$13:$BT$512,1,'Calculations'!$EE$13:$EE$512,"High"))</x:f>
      </x:c>
      <x:c r="DK112" s="4" t="str">
        <x:f>IF('Calculations'!DE112="","",COUNTIFS('Calculations'!$BN$13:$BN$512,1,'Calculations'!$BU$13:$BU$512,'Calculations'!DE112,'Calculations'!$BT$13:$BT$512,1,'Calculations'!$EE$13:$EE$512,"Strong"))</x:f>
      </x:c>
      <x:c r="DL112" s="4" t="str">
        <x:f>IF('Calculations'!DE112="","",COUNTIFS('Calculations'!$BN$13:$BN$512,1,'Calculations'!$BU$13:$BU$512,'Calculations'!DE112,'Calculations'!$BT$13:$BT$512,1,'Calculations'!$EE$13:$EE$512,"Solid"))</x:f>
      </x:c>
      <x:c r="DM112" s="4" t="str">
        <x:f>IF('Calculations'!DE112="","",COUNTIFS('Calculations'!$BN$13:$BN$512,1,'Calculations'!$BU$13:$BU$512,'Calculations'!DE112,'Calculations'!$BT$13:$BT$512,1,'Calculations'!$EE$13:$EE$512,"Low"))</x:f>
      </x:c>
      <x:c r="DN112" s="4" t="str">
        <x:f>IF('Calculations'!DE112="","",COUNTIFS('Calculations'!$BN$13:$BN$512,1,'Calculations'!$BU$13:$BU$512,'Calculations'!DE112,'Calculations'!$EP$13:$EP$512,1))</x:f>
      </x:c>
      <x:c r="DO112" s="4" t="str">
        <x:f>IF(OR('Calculations'!DE112="",'Calculations'!DG112=0),"",('Calculations'!DJ112+'Calculations'!DK112)/'Calculations'!DG112)</x:f>
      </x:c>
      <x:c r="DP112" s="4" t="n">
        <x:f>IF(AND('Calculations'!DE112&lt;&gt;"",'Calculations'!DF112&gt;0),COUNTIF('Calculations'!$DF$12:DF112,"&gt;0"),0)</x:f>
        <x:v>0</x:v>
      </x:c>
      <x:c r="DQ112" s="4" t="str">
        <x:f>IF(101&gt;MAX('Calculations'!$HH$13:$HH$512),"",INDEX('Calculations'!$HF$13:$HF$512,MATCH(101,'Calculations'!$HH$13:$HH$512,0)))</x:f>
      </x:c>
      <x:c r="DR112" s="4" t="str">
        <x:f>IF(101&gt;MAX('Calculations'!$IK$13:$IK$512),"",INDEX('Calculations'!$HE$13:$HE$512,MATCH(101,'Calculations'!$IK$13:$IK$512,0)))</x:f>
      </x:c>
      <x:c r="DS112" s="4"/>
      <x:c r="DT112" s="4"/>
      <x:c r="DU112" s="4"/>
      <x:c r="DV112" s="4"/>
      <x:c r="DW112" s="4"/>
      <x:c r="DX112" s="4"/>
      <x:c r="DY112" s="4"/>
      <x:c r="DZ112" s="4"/>
      <x:c r="EA112" s="4"/>
      <x:c r="EB112" s="4"/>
      <x:c r="EC112" s="4"/>
      <x:c r="ED112" s="4"/>
      <x:c r="EE112" s="4" t="str">
        <x:f>IF('Calculations'!BT112=0,"Not Rated",IF(OR('Calculations'!BO112&gt;=4,'Calculations'!BP112&gt;=4),"Low",IF('Calculations'!BO112+'Calculations'!BP112&lt;=3,"High",IF('Calculations'!BO112+'Calculations'!BP112&lt;=4,"Strong","Solid"))))</x:f>
        <x:v>Not Rated</x:v>
      </x:c>
      <x:c r="EF112" s="4"/>
      <x:c r="EG112" s="4"/>
      <x:c r="EH112" s="4"/>
      <x:c r="EI112" s="4"/>
      <x:c r="EJ112" s="4"/>
      <x:c r="EK112" s="4"/>
      <x:c r="EL112" s="4"/>
      <x:c r="EM112" s="4" t="str">
        <x:f>IF(100&gt;'Calculations'!$JB$2000,"",INDEX('Calculations'!$JA$12:$JA$2000,MATCH(100,'Calculations'!$JB$12:$JB$2000,0)))</x:f>
      </x:c>
      <x:c r="EN112" s="4" t="n">
        <x:f>IF(OR('Calculations'!EM112="",'Calculations'!$AG$8&gt;0,AND('Calculations'!$EF$2&lt;&gt;"All",'Calculations'!HE112='Calculations'!$EF$2),AND('Calculations'!$EF$3&lt;&gt;"All",'Calculations'!HE112='Calculations'!$EF$3)),0,IF(OR('Dashboard'!$B$7="All",'Calculations'!HN112='Dashboard'!$B$7),IF('Calculations'!$EF$2="All",1,IF('Calculations'!HL112&gt;0,0,IF(COUNTIF('Calculations'!HO112:II112,"="&amp;SUBSTITUTE(SUBSTITUTE(SUBSTITUTE('Calculations'!$EF$2,"~","~~"),"*","~*"),"?","~?"))=0,0,IF('Calculations'!$EF$3="All",1,IF(COUNTIF('Calculations'!HO112:II112,"="&amp;SUBSTITUTE(SUBSTITUTE(SUBSTITUTE('Calculations'!$EF$3,"~","~~"),"*","~*"),"?","~?"))&gt;0,1,0))))),0))</x:f>
        <x:v>0</x:v>
      </x:c>
      <x:c r="EO112" s="4" t="str">
        <x:f>IF('Calculations'!IJ112="","",IF('Calculations'!IJ112="!UNRESOLVED","Unresolved hierarchy",IFERROR(INDEX('Calculations'!$HK$13:$HK$512,MATCH('Calculations'!IJ112,'Calculations'!$HE$13:$HE$512,0)),IFERROR(INDEX('Calculations'!$HJ$13:$HJ$512,MATCH('Calculations'!IJ112,'Calculations'!$HF$13:$HF$512,0)),'Calculations'!IJ112))))</x:f>
      </x:c>
      <x:c r="EP112" s="4" t="n">
        <x:f>IF(AND('Calculations'!EM112&lt;&gt;"",'Calculations'!HF112='Calculations'!IJ112),1,0)</x:f>
        <x:v>0</x:v>
      </x:c>
      <x:c r="EQ112" s="4"/>
      <x:c r="ER112" s="4"/>
      <x:c r="ES112" s="4"/>
      <x:c r="ET112" s="4"/>
      <x:c r="EU112" s="4"/>
      <x:c r="EV112" s="4"/>
      <x:c r="EW112" s="4"/>
      <x:c r="EX112" s="4"/>
      <x:c r="EY112" s="4"/>
      <x:c r="EZ112" s="4"/>
      <x:c r="FA112" s="4"/>
      <x:c r="FB112" s="4"/>
      <x:c r="FC112" s="4"/>
      <x:c r="FD112" s="4"/>
      <x:c r="FE112" s="4"/>
      <x:c r="FF112" s="4"/>
      <x:c r="FG112" s="4"/>
      <x:c r="FH112" s="4"/>
      <x:c r="FI112" s="4"/>
      <x:c r="FJ112" s="4"/>
      <x:c r="FK112" s="4"/>
      <x:c r="FL112" s="4"/>
      <x:c r="FM112" s="4"/>
      <x:c r="FN112" s="4"/>
      <x:c r="FO112" s="4"/>
      <x:c r="GA112" s="71"/>
      <x:c r="GB112" s="71" t="str">
        <x:f>IF('Calculations'!$AR112=0,"",INDEX('Calculations'!$DE$12:$DE$1012,'Calculations'!$AR112))</x:f>
      </x:c>
      <x:c r="GC112" s="71"/>
      <x:c r="GD112" s="71"/>
      <x:c r="GE112" s="71"/>
      <x:c r="GF112" s="71"/>
      <x:c r="GG112" s="71"/>
      <x:c r="GH112" s="71"/>
      <x:c r="GI112" s="71" t="str">
        <x:f>IF('Calculations'!$AR112=0,"",INDEX('Calculations'!$DF$12:$DF$1012,'Calculations'!$AR112))</x:f>
      </x:c>
      <x:c r="GJ112" s="71"/>
      <x:c r="GK112" s="71" t="str">
        <x:f>IF('Calculations'!$AR112=0,"",INDEX('Calculations'!$DG$12:$DG$1012,'Calculations'!$AR112))</x:f>
      </x:c>
      <x:c r="GL112" s="71"/>
      <x:c r="GM112" s="71" t="str">
        <x:f>IF('Calculations'!$AR112=0,"",INDEX('Calculations'!$DH$12:$DH$1012,'Calculations'!$AR112))</x:f>
      </x:c>
      <x:c r="GN112" s="71"/>
      <x:c r="GO112" s="71" t="str">
        <x:f>IF('Calculations'!$AR112=0,"",INDEX('Calculations'!$DI$12:$DI$1012,'Calculations'!$AR112))</x:f>
      </x:c>
      <x:c r="GP112" s="71"/>
      <x:c r="GQ112" s="71" t="str">
        <x:f>IF('Calculations'!$AR112=0,"",INDEX('Calculations'!$DJ$12:$DJ$1012,'Calculations'!$AR112)&amp;" · "&amp;IF(INDEX('Calculations'!$DG$12:$DG$1012,'Calculations'!$AR112)=0,"n.a.",TEXT(INDEX('Calculations'!$DJ$12:$DJ$1012,'Calculations'!$AR112)/INDEX('Calculations'!$DG$12:$DG$1012,'Calculations'!$AR112),"0.0%")))</x:f>
      </x:c>
      <x:c r="GR112" s="71"/>
      <x:c r="GS112" s="71" t="str">
        <x:f>IF('Calculations'!$AR112=0,"",INDEX('Calculations'!$DK$12:$DK$1012,'Calculations'!$AR112)&amp;" · "&amp;IF(INDEX('Calculations'!$DG$12:$DG$1012,'Calculations'!$AR112)=0,"n.a.",TEXT(INDEX('Calculations'!$DK$12:$DK$1012,'Calculations'!$AR112)/INDEX('Calculations'!$DG$12:$DG$1012,'Calculations'!$AR112),"0.0%")))</x:f>
      </x:c>
      <x:c r="GT112" s="71"/>
      <x:c r="GU112" s="71" t="str">
        <x:f>IF('Calculations'!$AR112=0,"",INDEX('Calculations'!$DL$12:$DL$1012,'Calculations'!$AR112)&amp;" · "&amp;IF(INDEX('Calculations'!$DG$12:$DG$1012,'Calculations'!$AR112)=0,"n.a.",TEXT(INDEX('Calculations'!$DL$12:$DL$1012,'Calculations'!$AR112)/INDEX('Calculations'!$DG$12:$DG$1012,'Calculations'!$AR112),"0.0%")))</x:f>
      </x:c>
      <x:c r="GV112" s="71"/>
      <x:c r="GW112" s="71" t="str">
        <x:f>IF('Calculations'!$AR112=0,"",INDEX('Calculations'!$DM$12:$DM$1012,'Calculations'!$AR112)&amp;" · "&amp;IF(INDEX('Calculations'!$DG$12:$DG$1012,'Calculations'!$AR112)=0,"n.a.",TEXT(INDEX('Calculations'!$DM$12:$DM$1012,'Calculations'!$AR112)/INDEX('Calculations'!$DG$12:$DG$1012,'Calculations'!$AR112),"0.0%")))</x:f>
      </x:c>
      <x:c r="GX112" s="71"/>
      <x:c r="GY112" s="71" t="str">
        <x:f>IF('Calculations'!$AR112=0,"",INDEX('Calculations'!$DN$12:$DN$1012,'Calculations'!$AR112))</x:f>
      </x:c>
      <x:c r="GZ112" s="71"/>
      <x:c r="HA112" s="71" t="str">
        <x:f>IF('Calculations'!$AR112=0,"",INDEX('Calculations'!$DO$12:$DO$1012,'Calculations'!$AR112))</x:f>
      </x:c>
      <x:c r="HB112" s="71"/>
      <x:c r="HC112" s="71"/>
      <x:c r="HD112" s="71"/>
      <x:c r="HE112" t="str">
        <x:f>IF('Calculations'!EM112="","",IF(IFERROR(IF(INDEX(INDIRECT("'WCM Calibration Final'!$A$1:$A$2000"),'Calculations'!$EM112)="","",TRIM(INDEX(INDIRECT("'WCM Calibration Final'!$A$1:$A$2000"),'Calculations'!$EM112)&amp;"")),"")&lt;&gt;"","G:"&amp;IFERROR(TEXT(1*INDEX(INDIRECT("'WCM Calibration Final'!$A$1:$A$2000"),'Calculations'!$EM112),"0"),UPPER(IFERROR(IF(INDEX(INDIRECT("'WCM Calibration Final'!$A$1:$A$2000"),'Calculations'!$EM112)="","",TRIM(INDEX(INDIRECT("'WCM Calibration Final'!$A$1:$A$2000"),'Calculations'!$EM112)&amp;"")),""))),IF(IFERROR(IF(INDEX(INDIRECT("'WCM Calibration Final'!$C$1:$C$2000"),'Calculations'!$EM112)="","",TRIM(INDEX(INDIRECT("'WCM Calibration Final'!$C$1:$C$2000"),'Calculations'!$EM112)&amp;"")),"")&lt;&gt;"","S:"&amp;UPPER(IFERROR(IF(INDEX(INDIRECT("'WCM Calibration Final'!$C$1:$C$2000"),'Calculations'!$EM112)="","",TRIM(INDEX(INDIRECT("'WCM Calibration Final'!$C$1:$C$2000"),'Calculations'!$EM112)&amp;"")),"")),"R:"&amp;'Calculations'!EM112)))</x:f>
      </x:c>
      <x:c r="HF112" t="str">
        <x:f>IF('Calculations'!EM112="","",IF(IFERROR(IF(INDEX(INDIRECT("'WCM Calibration Final'!$D$1:$D$2000"),'Calculations'!$EM112)="","",TRIM(INDEX(INDIRECT("'WCM Calibration Final'!$D$1:$D$2000"),'Calculations'!$EM112)&amp;"")),"")&lt;&gt;"","G:"&amp;IFERROR(TEXT(1*INDEX(INDIRECT("'WCM Calibration Final'!$D$1:$D$2000"),'Calculations'!$EM112),"0"),UPPER(IFERROR(IF(INDEX(INDIRECT("'WCM Calibration Final'!$D$1:$D$2000"),'Calculations'!$EM112)="","",TRIM(INDEX(INDIRECT("'WCM Calibration Final'!$D$1:$D$2000"),'Calculations'!$EM112)&amp;"")),""))),IF(IFERROR(IF(INDEX(INDIRECT("'WCM Calibration Final'!$E$1:$E$2000"),'Calculations'!$EM112)="","",TRIM(INDEX(INDIRECT("'WCM Calibration Final'!$E$1:$E$2000"),'Calculations'!$EM112)&amp;"")),"")="","",IF(COUNTIF('Calculations'!$HG$13:$HG$512,"="&amp;SUBSTITUTE(SUBSTITUTE(SUBSTITUTE(IFERROR(IF(INDEX(INDIRECT("'WCM Calibration Final'!$E$1:$E$2000"),'Calculations'!$EM112)="","",TRIM(INDEX(INDIRECT("'WCM Calibration Final'!$E$1:$E$2000"),'Calculations'!$EM112)&amp;"")),""),"~","~~"),"*","~*"),"?","~?"))=1,INDEX('Calculations'!$HE$13:$HE$512,MATCH(IFERROR(IF(INDEX(INDIRECT("'WCM Calibration Final'!$E$1:$E$2000"),'Calculations'!$EM112)="","",TRIM(INDEX(INDIRECT("'WCM Calibration Final'!$E$1:$E$2000"),'Calculations'!$EM112)&amp;"")),""),'Calculations'!$HG$13:$HG$512,0)),IF(COUNTIF('Calculations'!$HG$13:$HG$512,"="&amp;SUBSTITUTE(SUBSTITUTE(SUBSTITUTE(IFERROR(IF(INDEX(INDIRECT("'WCM Calibration Final'!$E$1:$E$2000"),'Calculations'!$EM112)="","",TRIM(INDEX(INDIRECT("'WCM Calibration Final'!$E$1:$E$2000"),'Calculations'!$EM112)&amp;"")),""),"~","~~"),"*","~*"),"?","~?"))&gt;1,"!AMBIG","X:"&amp;IFERROR(IF(INDEX(INDIRECT("'WCM Calibration Final'!$E$1:$E$2000"),'Calculations'!$EM112)="","",TRIM(INDEX(INDIRECT("'WCM Calibration Final'!$E$1:$E$2000"),'Calculations'!$EM112)&amp;"")),""))))))</x:f>
      </x:c>
      <x:c r="HG112" t="str">
        <x:f>IF('Calculations'!EM112="","",IFERROR(IF(INDEX(INDIRECT("'WCM Calibration Final'!$B$1:$B$2000"),'Calculations'!$EM112)="","",TRIM(INDEX(INDIRECT("'WCM Calibration Final'!$B$1:$B$2000"),'Calculations'!$EM112)&amp;"")),""))</x:f>
      </x:c>
      <x:c r="HH112" t="n">
        <x:f>IF(AND('Calculations'!JC112&gt;0,COUNTIF('Calculations'!$HF$12:HF112,"="&amp;SUBSTITUTE(SUBSTITUTE(SUBSTITUTE('Calculations'!HF112,"~","~~"),"*","~*"),"?","~?"))=1),MAX('Calculations'!$HH$12:HH111)+1,0)</x:f>
        <x:v>0</x:v>
      </x:c>
      <x:c r="HI112" t="n">
        <x:f>IF(AND('Calculations'!HN112&lt;&gt;"",COUNTIF('Calculations'!$HN$12:HN112,"="&amp;SUBSTITUTE(SUBSTITUTE(SUBSTITUTE('Calculations'!HN112,"~","~~"),"*","~*"),"?","~?"))=1),MAX('Calculations'!$HI$12:HI111)+1,0)</x:f>
        <x:v>0</x:v>
      </x:c>
      <x:c r="HJ112" t="str">
        <x:f>IF('Calculations'!HF112="","",IF(COUNTIF('Calculations'!$HE$13:$HE$512,"="&amp;SUBSTITUTE(SUBSTITUTE(SUBSTITUTE('Calculations'!HF112,"~","~~"),"*","~*"),"?","~?"))=1,INDEX('Calculations'!$HK$13:$HK$512,MATCH('Calculations'!HF112,'Calculations'!$HE$13:$HE$512,0)),IFERROR(IF(INDEX(INDIRECT("'WCM Calibration Final'!$E$1:$E$2000"),'Calculations'!$EM112)="","",TRIM(INDEX(INDIRECT("'WCM Calibration Final'!$E$1:$E$2000"),'Calculations'!$EM112)&amp;"")),"")&amp;" ["&amp;'Calculations'!HF112&amp;"]"))</x:f>
      </x:c>
      <x:c r="HK112" t="str">
        <x:f>IF('Calculations'!EM112="","",'Calculations'!HG112&amp;" ["&amp;'Calculations'!HE112&amp;"]")</x:f>
      </x:c>
      <x:c r="HL112" t="n">
        <x:f>IF('Calculations'!EM112="",0,IF(OR('Calculations'!II112&lt;&gt;"",COUNTIF('Calculations'!$HE$13:$HE$512,"="&amp;SUBSTITUTE(SUBSTITUTE(SUBSTITUTE('Calculations'!HE112,"~","~~"),"*","~*"),"?","~?"))&gt;1),1,0))</x:f>
        <x:v>0</x:v>
      </x:c>
      <x:c r="HM112" t="str">
        <x:f>IF('Calculations'!EM112="","",IF('Calculations'!HL112=1,"!UNRESOLVED",IF('Calculations'!IH112&lt;&gt;"",'Calculations'!IH112,IF('Calculations'!IG112&lt;&gt;"",'Calculations'!IG112,IF('Calculations'!IF112&lt;&gt;"",'Calculations'!IF112,IF('Calculations'!IE112&lt;&gt;"",'Calculations'!IE112,IF('Calculations'!ID112&lt;&gt;"",'Calculations'!ID112,IF('Calculations'!IC112&lt;&gt;"",'Calculations'!IC112,IF('Calculations'!IB112&lt;&gt;"",'Calculations'!IB112,IF('Calculations'!IA112&lt;&gt;"",'Calculations'!IA112,IF('Calculations'!HZ112&lt;&gt;"",'Calculations'!HZ112,IF('Calculations'!HY112&lt;&gt;"",'Calculations'!HY112,IF('Calculations'!HX112&lt;&gt;"",'Calculations'!HX112,IF('Calculations'!HW112&lt;&gt;"",'Calculations'!HW112,IF('Calculations'!HV112&lt;&gt;"",'Calculations'!HV112,IF('Calculations'!HU112&lt;&gt;"",'Calculations'!HU112,IF('Calculations'!HT112&lt;&gt;"",'Calculations'!HT112,IF('Calculations'!HS112&lt;&gt;"",'Calculations'!HS112,IF('Calculations'!HR112&lt;&gt;"",'Calculations'!HR112,IF('Calculations'!HQ112&lt;&gt;"",'Calculations'!HQ112,IF('Calculations'!HP112&lt;&gt;"",'Calculations'!HP112,IF('Calculations'!HO112&lt;&gt;"",'Calculations'!HO112,'Calculations'!HE112))))))))))))))))))))))</x:f>
      </x:c>
      <x:c r="HN112" t="str">
        <x:f>IF('Calculations'!EM112="","",IF(IFERROR(IF(INDEX(INDIRECT("'WCM Calibration Final'!$F$1:$F$2000"),'Calculations'!$EM112)="","",TRIM(INDEX(INDIRECT("'WCM Calibration Final'!$F$1:$F$2000"),'Calculations'!$EM112)&amp;"")),"")="","(Blank)",IFERROR(IF(INDEX(INDIRECT("'WCM Calibration Final'!$F$1:$F$2000"),'Calculations'!$EM112)="","",TRIM(INDEX(INDIRECT("'WCM Calibration Final'!$F$1:$F$2000"),'Calculations'!$EM112)&amp;"")),"")))</x:f>
      </x:c>
      <x:c r="HO112" t="str">
        <x:f>'Calculations'!HF112</x:f>
      </x:c>
      <x:c r="HP112" t="str">
        <x:f>IF('Calculations'!HO112="","",IF('Calculations'!HO112="!AMBIG","!AMBIG",IF(COUNTIF('Calculations'!$HE$13:$HE$512,"="&amp;SUBSTITUTE(SUBSTITUTE(SUBSTITUTE('Calculations'!HO112,"~","~~"),"*","~*"),"?","~?"))&gt;1,"!AMBIG",IFERROR(INDEX('Calculations'!$HF$13:$HF$512,MATCH('Calculations'!HO112,'Calculations'!$HE$13:$HE$512,0)),""))))</x:f>
      </x:c>
      <x:c r="HQ112" t="str">
        <x:f>IF('Calculations'!HP112="","",IF('Calculations'!HP112="!AMBIG","!AMBIG",IF(COUNTIF('Calculations'!$HE$13:$HE$512,"="&amp;SUBSTITUTE(SUBSTITUTE(SUBSTITUTE('Calculations'!HP112,"~","~~"),"*","~*"),"?","~?"))&gt;1,"!AMBIG",IFERROR(INDEX('Calculations'!$HF$13:$HF$512,MATCH('Calculations'!HP112,'Calculations'!$HE$13:$HE$512,0)),""))))</x:f>
      </x:c>
      <x:c r="HR112" t="str">
        <x:f>IF('Calculations'!HQ112="","",IF('Calculations'!HQ112="!AMBIG","!AMBIG",IF(COUNTIF('Calculations'!$HE$13:$HE$512,"="&amp;SUBSTITUTE(SUBSTITUTE(SUBSTITUTE('Calculations'!HQ112,"~","~~"),"*","~*"),"?","~?"))&gt;1,"!AMBIG",IFERROR(INDEX('Calculations'!$HF$13:$HF$512,MATCH('Calculations'!HQ112,'Calculations'!$HE$13:$HE$512,0)),""))))</x:f>
      </x:c>
      <x:c r="HS112" t="str">
        <x:f>IF('Calculations'!HR112="","",IF('Calculations'!HR112="!AMBIG","!AMBIG",IF(COUNTIF('Calculations'!$HE$13:$HE$512,"="&amp;SUBSTITUTE(SUBSTITUTE(SUBSTITUTE('Calculations'!HR112,"~","~~"),"*","~*"),"?","~?"))&gt;1,"!AMBIG",IFERROR(INDEX('Calculations'!$HF$13:$HF$512,MATCH('Calculations'!HR112,'Calculations'!$HE$13:$HE$512,0)),""))))</x:f>
      </x:c>
      <x:c r="HT112" t="str">
        <x:f>IF('Calculations'!HS112="","",IF('Calculations'!HS112="!AMBIG","!AMBIG",IF(COUNTIF('Calculations'!$HE$13:$HE$512,"="&amp;SUBSTITUTE(SUBSTITUTE(SUBSTITUTE('Calculations'!HS112,"~","~~"),"*","~*"),"?","~?"))&gt;1,"!AMBIG",IFERROR(INDEX('Calculations'!$HF$13:$HF$512,MATCH('Calculations'!HS112,'Calculations'!$HE$13:$HE$512,0)),""))))</x:f>
      </x:c>
      <x:c r="HU112" t="str">
        <x:f>IF('Calculations'!HT112="","",IF('Calculations'!HT112="!AMBIG","!AMBIG",IF(COUNTIF('Calculations'!$HE$13:$HE$512,"="&amp;SUBSTITUTE(SUBSTITUTE(SUBSTITUTE('Calculations'!HT112,"~","~~"),"*","~*"),"?","~?"))&gt;1,"!AMBIG",IFERROR(INDEX('Calculations'!$HF$13:$HF$512,MATCH('Calculations'!HT112,'Calculations'!$HE$13:$HE$512,0)),""))))</x:f>
      </x:c>
      <x:c r="HV112" t="str">
        <x:f>IF('Calculations'!HU112="","",IF('Calculations'!HU112="!AMBIG","!AMBIG",IF(COUNTIF('Calculations'!$HE$13:$HE$512,"="&amp;SUBSTITUTE(SUBSTITUTE(SUBSTITUTE('Calculations'!HU112,"~","~~"),"*","~*"),"?","~?"))&gt;1,"!AMBIG",IFERROR(INDEX('Calculations'!$HF$13:$HF$512,MATCH('Calculations'!HU112,'Calculations'!$HE$13:$HE$512,0)),""))))</x:f>
      </x:c>
      <x:c r="HW112" t="str">
        <x:f>IF('Calculations'!HV112="","",IF('Calculations'!HV112="!AMBIG","!AMBIG",IF(COUNTIF('Calculations'!$HE$13:$HE$512,"="&amp;SUBSTITUTE(SUBSTITUTE(SUBSTITUTE('Calculations'!HV112,"~","~~"),"*","~*"),"?","~?"))&gt;1,"!AMBIG",IFERROR(INDEX('Calculations'!$HF$13:$HF$512,MATCH('Calculations'!HV112,'Calculations'!$HE$13:$HE$512,0)),""))))</x:f>
      </x:c>
      <x:c r="HX112" t="str">
        <x:f>IF('Calculations'!HW112="","",IF('Calculations'!HW112="!AMBIG","!AMBIG",IF(COUNTIF('Calculations'!$HE$13:$HE$512,"="&amp;SUBSTITUTE(SUBSTITUTE(SUBSTITUTE('Calculations'!HW112,"~","~~"),"*","~*"),"?","~?"))&gt;1,"!AMBIG",IFERROR(INDEX('Calculations'!$HF$13:$HF$512,MATCH('Calculations'!HW112,'Calculations'!$HE$13:$HE$512,0)),""))))</x:f>
      </x:c>
      <x:c r="HY112" t="str">
        <x:f>IF('Calculations'!HX112="","",IF('Calculations'!HX112="!AMBIG","!AMBIG",IF(COUNTIF('Calculations'!$HE$13:$HE$512,"="&amp;SUBSTITUTE(SUBSTITUTE(SUBSTITUTE('Calculations'!HX112,"~","~~"),"*","~*"),"?","~?"))&gt;1,"!AMBIG",IFERROR(INDEX('Calculations'!$HF$13:$HF$512,MATCH('Calculations'!HX112,'Calculations'!$HE$13:$HE$512,0)),""))))</x:f>
      </x:c>
      <x:c r="HZ112" t="str">
        <x:f>IF('Calculations'!HY112="","",IF('Calculations'!HY112="!AMBIG","!AMBIG",IF(COUNTIF('Calculations'!$HE$13:$HE$512,"="&amp;SUBSTITUTE(SUBSTITUTE(SUBSTITUTE('Calculations'!HY112,"~","~~"),"*","~*"),"?","~?"))&gt;1,"!AMBIG",IFERROR(INDEX('Calculations'!$HF$13:$HF$512,MATCH('Calculations'!HY112,'Calculations'!$HE$13:$HE$512,0)),""))))</x:f>
      </x:c>
      <x:c r="IA112" t="str">
        <x:f>IF('Calculations'!HZ112="","",IF('Calculations'!HZ112="!AMBIG","!AMBIG",IF(COUNTIF('Calculations'!$HE$13:$HE$512,"="&amp;SUBSTITUTE(SUBSTITUTE(SUBSTITUTE('Calculations'!HZ112,"~","~~"),"*","~*"),"?","~?"))&gt;1,"!AMBIG",IFERROR(INDEX('Calculations'!$HF$13:$HF$512,MATCH('Calculations'!HZ112,'Calculations'!$HE$13:$HE$512,0)),""))))</x:f>
      </x:c>
      <x:c r="IB112" t="str">
        <x:f>IF('Calculations'!IA112="","",IF('Calculations'!IA112="!AMBIG","!AMBIG",IF(COUNTIF('Calculations'!$HE$13:$HE$512,"="&amp;SUBSTITUTE(SUBSTITUTE(SUBSTITUTE('Calculations'!IA112,"~","~~"),"*","~*"),"?","~?"))&gt;1,"!AMBIG",IFERROR(INDEX('Calculations'!$HF$13:$HF$512,MATCH('Calculations'!IA112,'Calculations'!$HE$13:$HE$512,0)),""))))</x:f>
      </x:c>
      <x:c r="IC112" t="str">
        <x:f>IF('Calculations'!IB112="","",IF('Calculations'!IB112="!AMBIG","!AMBIG",IF(COUNTIF('Calculations'!$HE$13:$HE$512,"="&amp;SUBSTITUTE(SUBSTITUTE(SUBSTITUTE('Calculations'!IB112,"~","~~"),"*","~*"),"?","~?"))&gt;1,"!AMBIG",IFERROR(INDEX('Calculations'!$HF$13:$HF$512,MATCH('Calculations'!IB112,'Calculations'!$HE$13:$HE$512,0)),""))))</x:f>
      </x:c>
      <x:c r="ID112" t="str">
        <x:f>IF('Calculations'!IC112="","",IF('Calculations'!IC112="!AMBIG","!AMBIG",IF(COUNTIF('Calculations'!$HE$13:$HE$512,"="&amp;SUBSTITUTE(SUBSTITUTE(SUBSTITUTE('Calculations'!IC112,"~","~~"),"*","~*"),"?","~?"))&gt;1,"!AMBIG",IFERROR(INDEX('Calculations'!$HF$13:$HF$512,MATCH('Calculations'!IC112,'Calculations'!$HE$13:$HE$512,0)),""))))</x:f>
      </x:c>
      <x:c r="IE112" t="str">
        <x:f>IF('Calculations'!ID112="","",IF('Calculations'!ID112="!AMBIG","!AMBIG",IF(COUNTIF('Calculations'!$HE$13:$HE$512,"="&amp;SUBSTITUTE(SUBSTITUTE(SUBSTITUTE('Calculations'!ID112,"~","~~"),"*","~*"),"?","~?"))&gt;1,"!AMBIG",IFERROR(INDEX('Calculations'!$HF$13:$HF$512,MATCH('Calculations'!ID112,'Calculations'!$HE$13:$HE$512,0)),""))))</x:f>
      </x:c>
      <x:c r="IF112" t="str">
        <x:f>IF('Calculations'!IE112="","",IF('Calculations'!IE112="!AMBIG","!AMBIG",IF(COUNTIF('Calculations'!$HE$13:$HE$512,"="&amp;SUBSTITUTE(SUBSTITUTE(SUBSTITUTE('Calculations'!IE112,"~","~~"),"*","~*"),"?","~?"))&gt;1,"!AMBIG",IFERROR(INDEX('Calculations'!$HF$13:$HF$512,MATCH('Calculations'!IE112,'Calculations'!$HE$13:$HE$512,0)),""))))</x:f>
      </x:c>
      <x:c r="IG112" t="str">
        <x:f>IF('Calculations'!IF112="","",IF('Calculations'!IF112="!AMBIG","!AMBIG",IF(COUNTIF('Calculations'!$HE$13:$HE$512,"="&amp;SUBSTITUTE(SUBSTITUTE(SUBSTITUTE('Calculations'!IF112,"~","~~"),"*","~*"),"?","~?"))&gt;1,"!AMBIG",IFERROR(INDEX('Calculations'!$HF$13:$HF$512,MATCH('Calculations'!IF112,'Calculations'!$HE$13:$HE$512,0)),""))))</x:f>
      </x:c>
      <x:c r="IH112" t="str">
        <x:f>IF('Calculations'!IG112="","",IF('Calculations'!IG112="!AMBIG","!AMBIG",IF(COUNTIF('Calculations'!$HE$13:$HE$512,"="&amp;SUBSTITUTE(SUBSTITUTE(SUBSTITUTE('Calculations'!IG112,"~","~~"),"*","~*"),"?","~?"))&gt;1,"!AMBIG",IFERROR(INDEX('Calculations'!$HF$13:$HF$512,MATCH('Calculations'!IG112,'Calculations'!$HE$13:$HE$512,0)),""))))</x:f>
      </x:c>
      <x:c r="II112" t="str">
        <x:f>IF('Calculations'!IH112="","",IF('Calculations'!IH112="!AMBIG","!AMBIG",IF(COUNTIF('Calculations'!$HE$13:$HE$512,"="&amp;SUBSTITUTE(SUBSTITUTE(SUBSTITUTE('Calculations'!IH112,"~","~~"),"*","~*"),"?","~?"))&gt;1,"!AMBIG",IFERROR(INDEX('Calculations'!$HF$13:$HF$512,MATCH('Calculations'!IH112,'Calculations'!$HE$13:$HE$512,0)),""))))</x:f>
      </x:c>
      <x:c r="IJ112" t="str">
        <x:f>IF('Calculations'!EM112="","",IF('Calculations'!$EF$2="All",'Calculations'!HM112,IF('Calculations'!HL112=1,"",IFERROR(IF(MATCH('Calculations'!$EF$2,'Calculations'!HO112:II112,0)=1,'Calculations'!HE112,INDEX('Calculations'!HO112:II112,1,MATCH('Calculations'!$EF$2,'Calculations'!HO112:II112,0)-1)),""))))</x:f>
      </x:c>
      <x:c r="IK112" t="n">
        <x:f>IF(AND('Calculations'!EM112&lt;&gt;"",'Calculations'!$EF$2&lt;&gt;"All",'Calculations'!HF112='Calculations'!$EF$2,'Calculations'!HL112=0,'Calculations'!JD112&gt;0),MAX('Calculations'!$IK$12:IK111)+1,0)</x:f>
        <x:v>0</x:v>
      </x:c>
      <x:c r="JA112" t="n">
        <x:f>IF(OR(IFERROR(INDIRECT("'WCM Calibration Final'!$A$112")&lt;&gt;"",FALSE),IFERROR(INDIRECT("'WCM Calibration Final'!$B$112")&lt;&gt;"",FALSE),IFERROR(INDIRECT("'WCM Calibration Final'!$C$112")&lt;&gt;"",FALSE)),112,0)</x:f>
        <x:v>0</x:v>
      </x:c>
      <x:c r="JB112" t="n">
        <x:f>'Calculations'!JB111+IF('Calculations'!JA112&gt;0,1,0)</x:f>
        <x:v>0</x:v>
      </x:c>
      <x:c r="JC112" t="n">
        <x:f>IF(OR('Calculations'!HF112="",'Calculations'!HF112="!AMBIG"),0,IF('Dashboard'!$B$7="All",1,COUNTIFS('Calculations'!$HO$13:$HO$512,"="&amp;SUBSTITUTE(SUBSTITUTE(SUBSTITUTE('Calculations'!HF112,"~","~~"),"*","~*"),"?","~?"),'Calculations'!$HN$13:$HN$512,"="&amp;SUBSTITUTE(SUBSTITUTE(SUBSTITUTE('Dashboard'!$B$7,"~","~~"),"*","~*"),"?","~?"))+COUNTIFS('Calculations'!$HP$13:$HP$512,"="&amp;SUBSTITUTE(SUBSTITUTE(SUBSTITUTE('Calculations'!HF112,"~","~~"),"*","~*"),"?","~?"),'Calculations'!$HN$13:$HN$512,"="&amp;SUBSTITUTE(SUBSTITUTE(SUBSTITUTE('Dashboard'!$B$7,"~","~~"),"*","~*"),"?","~?"))+COUNTIFS('Calculations'!$HQ$13:$HQ$512,"="&amp;SUBSTITUTE(SUBSTITUTE(SUBSTITUTE('Calculations'!HF112,"~","~~"),"*","~*"),"?","~?"),'Calculations'!$HN$13:$HN$512,"="&amp;SUBSTITUTE(SUBSTITUTE(SUBSTITUTE('Dashboard'!$B$7,"~","~~"),"*","~*"),"?","~?"))+COUNTIFS('Calculations'!$HR$13:$HR$512,"="&amp;SUBSTITUTE(SUBSTITUTE(SUBSTITUTE('Calculations'!HF112,"~","~~"),"*","~*"),"?","~?"),'Calculations'!$HN$13:$HN$512,"="&amp;SUBSTITUTE(SUBSTITUTE(SUBSTITUTE('Dashboard'!$B$7,"~","~~"),"*","~*"),"?","~?"))+COUNTIFS('Calculations'!$HS$13:$HS$512,"="&amp;SUBSTITUTE(SUBSTITUTE(SUBSTITUTE('Calculations'!HF112,"~","~~"),"*","~*"),"?","~?"),'Calculations'!$HN$13:$HN$512,"="&amp;SUBSTITUTE(SUBSTITUTE(SUBSTITUTE('Dashboard'!$B$7,"~","~~"),"*","~*"),"?","~?"))+COUNTIFS('Calculations'!$HT$13:$HT$512,"="&amp;SUBSTITUTE(SUBSTITUTE(SUBSTITUTE('Calculations'!HF112,"~","~~"),"*","~*"),"?","~?"),'Calculations'!$HN$13:$HN$512,"="&amp;SUBSTITUTE(SUBSTITUTE(SUBSTITUTE('Dashboard'!$B$7,"~","~~"),"*","~*"),"?","~?"))+COUNTIFS('Calculations'!$HU$13:$HU$512,"="&amp;SUBSTITUTE(SUBSTITUTE(SUBSTITUTE('Calculations'!HF112,"~","~~"),"*","~*"),"?","~?"),'Calculations'!$HN$13:$HN$512,"="&amp;SUBSTITUTE(SUBSTITUTE(SUBSTITUTE('Dashboard'!$B$7,"~","~~"),"*","~*"),"?","~?"))+COUNTIFS('Calculations'!$HV$13:$HV$512,"="&amp;SUBSTITUTE(SUBSTITUTE(SUBSTITUTE('Calculations'!HF112,"~","~~"),"*","~*"),"?","~?"),'Calculations'!$HN$13:$HN$512,"="&amp;SUBSTITUTE(SUBSTITUTE(SUBSTITUTE('Dashboard'!$B$7,"~","~~"),"*","~*"),"?","~?"))+COUNTIFS('Calculations'!$HW$13:$HW$512,"="&amp;SUBSTITUTE(SUBSTITUTE(SUBSTITUTE('Calculations'!HF112,"~","~~"),"*","~*"),"?","~?"),'Calculations'!$HN$13:$HN$512,"="&amp;SUBSTITUTE(SUBSTITUTE(SUBSTITUTE('Dashboard'!$B$7,"~","~~"),"*","~*"),"?","~?"))+COUNTIFS('Calculations'!$HX$13:$HX$512,"="&amp;SUBSTITUTE(SUBSTITUTE(SUBSTITUTE('Calculations'!HF112,"~","~~"),"*","~*"),"?","~?"),'Calculations'!$HN$13:$HN$512,"="&amp;SUBSTITUTE(SUBSTITUTE(SUBSTITUTE('Dashboard'!$B$7,"~","~~"),"*","~*"),"?","~?"))+COUNTIFS('Calculations'!$HY$13:$HY$512,"="&amp;SUBSTITUTE(SUBSTITUTE(SUBSTITUTE('Calculations'!HF112,"~","~~"),"*","~*"),"?","~?"),'Calculations'!$HN$13:$HN$512,"="&amp;SUBSTITUTE(SUBSTITUTE(SUBSTITUTE('Dashboard'!$B$7,"~","~~"),"*","~*"),"?","~?"))+COUNTIFS('Calculations'!$HZ$13:$HZ$512,"="&amp;SUBSTITUTE(SUBSTITUTE(SUBSTITUTE('Calculations'!HF112,"~","~~"),"*","~*"),"?","~?"),'Calculations'!$HN$13:$HN$512,"="&amp;SUBSTITUTE(SUBSTITUTE(SUBSTITUTE('Dashboard'!$B$7,"~","~~"),"*","~*"),"?","~?"))+COUNTIFS('Calculations'!$IA$13:$IA$512,"="&amp;SUBSTITUTE(SUBSTITUTE(SUBSTITUTE('Calculations'!HF112,"~","~~"),"*","~*"),"?","~?"),'Calculations'!$HN$13:$HN$512,"="&amp;SUBSTITUTE(SUBSTITUTE(SUBSTITUTE('Dashboard'!$B$7,"~","~~"),"*","~*"),"?","~?"))+COUNTIFS('Calculations'!$IB$13:$IB$512,"="&amp;SUBSTITUTE(SUBSTITUTE(SUBSTITUTE('Calculations'!HF112,"~","~~"),"*","~*"),"?","~?"),'Calculations'!$HN$13:$HN$512,"="&amp;SUBSTITUTE(SUBSTITUTE(SUBSTITUTE('Dashboard'!$B$7,"~","~~"),"*","~*"),"?","~?"))+COUNTIFS('Calculations'!$IC$13:$IC$512,"="&amp;SUBSTITUTE(SUBSTITUTE(SUBSTITUTE('Calculations'!HF112,"~","~~"),"*","~*"),"?","~?"),'Calculations'!$HN$13:$HN$512,"="&amp;SUBSTITUTE(SUBSTITUTE(SUBSTITUTE('Dashboard'!$B$7,"~","~~"),"*","~*"),"?","~?"))+COUNTIFS('Calculations'!$ID$13:$ID$512,"="&amp;SUBSTITUTE(SUBSTITUTE(SUBSTITUTE('Calculations'!HF112,"~","~~"),"*","~*"),"?","~?"),'Calculations'!$HN$13:$HN$512,"="&amp;SUBSTITUTE(SUBSTITUTE(SUBSTITUTE('Dashboard'!$B$7,"~","~~"),"*","~*"),"?","~?"))+COUNTIFS('Calculations'!$IE$13:$IE$512,"="&amp;SUBSTITUTE(SUBSTITUTE(SUBSTITUTE('Calculations'!HF112,"~","~~"),"*","~*"),"?","~?"),'Calculations'!$HN$13:$HN$512,"="&amp;SUBSTITUTE(SUBSTITUTE(SUBSTITUTE('Dashboard'!$B$7,"~","~~"),"*","~*"),"?","~?"))+COUNTIFS('Calculations'!$IF$13:$IF$512,"="&amp;SUBSTITUTE(SUBSTITUTE(SUBSTITUTE('Calculations'!HF112,"~","~~"),"*","~*"),"?","~?"),'Calculations'!$HN$13:$HN$512,"="&amp;SUBSTITUTE(SUBSTITUTE(SUBSTITUTE('Dashboard'!$B$7,"~","~~"),"*","~*"),"?","~?"))+COUNTIFS('Calculations'!$IG$13:$IG$512,"="&amp;SUBSTITUTE(SUBSTITUTE(SUBSTITUTE('Calculations'!HF112,"~","~~"),"*","~*"),"?","~?"),'Calculations'!$HN$13:$HN$512,"="&amp;SUBSTITUTE(SUBSTITUTE(SUBSTITUTE('Dashboard'!$B$7,"~","~~"),"*","~*"),"?","~?"))+COUNTIFS('Calculations'!$IH$13:$IH$512,"="&amp;SUBSTITUTE(SUBSTITUTE(SUBSTITUTE('Calculations'!HF112,"~","~~"),"*","~*"),"?","~?"),'Calculations'!$HN$13:$HN$512,"="&amp;SUBSTITUTE(SUBSTITUTE(SUBSTITUTE('Dashboard'!$B$7,"~","~~"),"*","~*"),"?","~?"))))</x:f>
        <x:v>0</x:v>
      </x:c>
      <x:c r="JD112" t="n">
        <x:f>IF('Calculations'!EM112="",0,IF('Dashboard'!$B$7="All",1,IF('Calculations'!HN112='Dashboard'!$B$7,1,0)+IFERROR(INDEX('Calculations'!$JC$13:$JC$512,MATCH('Calculations'!HE112,'Calculations'!$HF$13:$HF$512,0)),0)))</x:f>
        <x:v>0</x:v>
      </x:c>
      <x:c r="JE112" t="n">
        <x:f>IF(AND('Calculations'!EM112&lt;&gt;"",'Calculations'!$JJ$2&lt;&gt;"All",'Calculations'!$JJ$2&lt;&gt;"",'Calculations'!HF112='Calculations'!$JJ$2,'Calculations'!HL112=0,'Calculations'!JD112&gt;0),MAX('Calculations'!$JE$12:JE111)+1,0)</x:f>
        <x:v>0</x:v>
      </x:c>
      <x:c r="JF112" t="str">
        <x:f>IF('Calculations'!EM112="","",IFERROR(IF(INDEX(INDIRECT("'WCM Calibration Final'!$G$1:$G$2000"),'Calculations'!$EM112)="","",TRIM(INDEX(INDIRECT("'WCM Calibration Final'!$G$1:$G$2000"),'Calculations'!$EM112)&amp;"")),""))</x:f>
      </x:c>
      <x:c r="JQ112" t="n">
        <x:f>IF(OR('Calculations'!BM112=0,NOT('Calculations'!$AG$2),'Calculations'!$AG$8&gt;0),0,IF(OR('Dashboard'!$B$7="All",'Calculations'!HN112='Dashboard'!$B$7),IF('Calculations'!$JJ$2="All",1,IF(AND('Calculations'!HF112='Calculations'!$JJ$2,'Calculations'!HL112=0),1,0)),0))</x:f>
        <x:v>0</x:v>
      </x:c>
    </x:row>
    <x:row r="113">
      <x:c r="AF113" s="4"/>
      <x:c r="AG113" s="4"/>
      <x:c r="AH113" s="4"/>
      <x:c r="AI113" s="4"/>
      <x:c r="AJ113" s="4"/>
      <x:c r="AK113" s="4"/>
      <x:c r="AL113" s="4"/>
      <x:c r="AM113" s="4"/>
      <x:c r="AN113" s="4"/>
      <x:c r="AO113" s="4"/>
      <x:c r="AP113" s="4"/>
      <x:c r="AQ113" s="4"/>
      <x:c r="AR113" s="4" t="n">
        <x:f>IFERROR(MATCH((MIN('Dashboard'!$Z$93,MAX(1,ROUNDUP(MAX('Calculations'!$DP$12:$DP$1012)/20,0)))-1)*20+16,'Calculations'!$DP$12:$DP$1012,0),0)</x:f>
        <x:v>0</x:v>
      </x:c>
      <x:c r="AS113" s="4"/>
      <x:c r="AT113" s="4"/>
      <x:c r="AU113" s="4"/>
      <x:c r="AV113" s="4"/>
      <x:c r="AW113" s="4"/>
      <x:c r="AX113" s="4"/>
      <x:c r="AY113" s="4"/>
      <x:c r="AZ113" s="4"/>
      <x:c r="BA113" s="4"/>
      <x:c r="BB113" s="4"/>
      <x:c r="BC113" s="4"/>
      <x:c r="BD113" s="4"/>
      <x:c r="BE113" s="4"/>
      <x:c r="BF113" s="4"/>
      <x:c r="BG113" s="4"/>
      <x:c r="BH113" s="4"/>
      <x:c r="BI113" s="4"/>
      <x:c r="BJ113" s="4"/>
      <x:c r="BK113" s="4"/>
      <x:c r="BL113" s="4"/>
      <x:c r="BM113" s="4" t="n">
        <x:f>IF('Calculations'!$EM113="",0,IF(OR(IFERROR(INDEX(INDIRECT("'WCM Calibration Final'!$A$1:$A$2000"),'Calculations'!$EM113)&lt;&gt;"",FALSE),IFERROR(INDEX(INDIRECT("'WCM Calibration Final'!$B$1:$B$2000"),'Calculations'!$EM113)&lt;&gt;"",FALSE),IFERROR(INDEX(INDIRECT("'WCM Calibration Final'!$C$1:$C$2000"),'Calculations'!$EM113)&lt;&gt;"",FALSE)),1,0))</x:f>
        <x:v>0</x:v>
      </x:c>
      <x:c r="BN113" s="4" t="n">
        <x:f>IF(AND('Calculations'!BM113=1,'Calculations'!$AG$2,'Calculations'!$EN113=1),1,0)</x:f>
        <x:v>0</x:v>
      </x:c>
      <x:c r="BO113" s="4" t="str">
        <x:f>IF('Calculations'!BM113=0,"",IFERROR(IF(AND(VALUE(INDEX(INDIRECT("'WCM Calibration Final'!$K$1:$K$2000"),'Calculations'!$EM113))&gt;=1,VALUE(INDEX(INDIRECT("'WCM Calibration Final'!$K$1:$K$2000"),'Calculations'!$EM113))&lt;=4,MOD(VALUE(INDEX(INDIRECT("'WCM Calibration Final'!$K$1:$K$2000"),'Calculations'!$EM113)),1)=0),VALUE(INDEX(INDIRECT("'WCM Calibration Final'!$K$1:$K$2000"),'Calculations'!$EM113)),""),""))</x:f>
      </x:c>
      <x:c r="BP113" s="4" t="str">
        <x:f>IF('Calculations'!BM113=0,"",IFERROR(IF(AND(VALUE(INDEX(INDIRECT("'WCM Calibration Final'!$L$1:$L$2000"),'Calculations'!$EM113))&gt;=1,VALUE(INDEX(INDIRECT("'WCM Calibration Final'!$L$1:$L$2000"),'Calculations'!$EM113))&lt;=4,MOD(VALUE(INDEX(INDIRECT("'WCM Calibration Final'!$L$1:$L$2000"),'Calculations'!$EM113)),1)=0),VALUE(INDEX(INDIRECT("'WCM Calibration Final'!$L$1:$L$2000"),'Calculations'!$EM113)),""),""))</x:f>
      </x:c>
      <x:c r="BQ113" s="4"/>
      <x:c r="BR113" s="4"/>
      <x:c r="BS113" s="4"/>
      <x:c r="BT113" s="4" t="n">
        <x:f>IF(AND('Calculations'!BM113=1,ISNUMBER('Calculations'!BO113),ISNUMBER('Calculations'!BP113)),1,0)</x:f>
        <x:v>0</x:v>
      </x:c>
      <x:c r="BU113" s="4" t="str">
        <x:f>IF('Calculations'!BM113=0,"",'Calculations'!$EO113)</x:f>
      </x:c>
      <x:c r="BV113" s="4" t="str">
        <x:f>IF('Calculations'!BM113=0,"",IFERROR(IF(OR(INDEX(INDIRECT("'WCM Calibration Final'!$H$1:$H$2000"),'Calculations'!$EM113)="MANAGING DIRECTOR",INDEX(INDIRECT("'WCM Calibration Final'!$H$1:$H$2000"),'Calculations'!$EM113)="DIRECTOR",INDEX(INDIRECT("'WCM Calibration Final'!$H$1:$H$2000"),'Calculations'!$EM113)="SENIOR VICE PRESIDENT",INDEX(INDIRECT("'WCM Calibration Final'!$H$1:$H$2000"),'Calculations'!$EM113)="VICE PRESIDENT",INDEX(INDIRECT("'WCM Calibration Final'!$H$1:$H$2000"),'Calculations'!$EM113)="ASSISTANT VICE PRESIDENT",INDEX(INDIRECT("'WCM Calibration Final'!$H$1:$H$2000"),'Calculations'!$EM113)="OFFICER"),UPPER(INDEX(INDIRECT("'WCM Calibration Final'!$H$1:$H$2000"),'Calculations'!$EM113)),"Other"),"Other"))</x:f>
      </x:c>
      <x:c r="BW113" s="4"/>
      <x:c r="BX113" s="4"/>
      <x:c r="BY113" s="4" t="n">
        <x:f>IF(AND('Calculations'!BM113=1,'Calculations'!BU113&lt;&gt;"",COUNTIF('Calculations'!$BU$12:BU113,'Calculations'!BU113)=1),MAX('Calculations'!$BY$11:BY112)+1,0)</x:f>
        <x:v>0</x:v>
      </x:c>
      <x:c r="BZ113" s="4" t="str">
        <x:f>IF('Dashboard'!$E$67="What",'Calculations'!BO113,'Calculations'!BP113)</x:f>
      </x:c>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t="str">
        <x:f>IF(102&gt;MAX('Calculations'!$HI$13:$HI$512),"",INDEX('Calculations'!$HN$13:$HN$512,MATCH(102,'Calculations'!$HI$13:$HI$512,0)))</x:f>
      </x:c>
      <x:c r="DB113" s="4" t="str">
        <x:f>IF(102&gt;MAX('Calculations'!$HH$13:$HH$512),"",INDEX('Calculations'!$HJ$13:$HJ$512,MATCH(102,'Calculations'!$HH$13:$HH$512,0)))</x:f>
      </x:c>
      <x:c r="DC113" s="4" t="str">
        <x:f>IF(ROW()-11&gt;MAX('Calculations'!$BY$13:$BY$512),"",INDEX('Calculations'!$BU$13:$BU$512,MATCH(ROW()-11,'Calculations'!$BY$13:$BY$512,0)))</x:f>
      </x:c>
      <x:c r="DD113" s="4" t="str">
        <x:f>IF(102&gt;MAX('Calculations'!$IK$13:$IK$512),"",INDEX('Calculations'!$HK$13:$HK$512,MATCH(102,'Calculations'!$IK$13:$IK$512,0)))</x:f>
      </x:c>
      <x:c r="DE113" s="4" t="str">
        <x:f>'Calculations'!DC113</x:f>
      </x:c>
      <x:c r="DF113" s="4" t="str">
        <x:f>IF('Calculations'!DE113="","",COUNTIFS('Calculations'!$BN$13:$BN$512,1,'Calculations'!$BU$13:$BU$512,'Calculations'!DE113))</x:f>
      </x:c>
      <x:c r="DG113" s="4" t="str">
        <x:f>IF('Calculations'!DE113="","",COUNTIFS('Calculations'!$BN$13:$BN$512,1,'Calculations'!$BU$13:$BU$512,'Calculations'!DE113,'Calculations'!$BT$13:$BT$512,1))</x:f>
      </x:c>
      <x:c r="DH113" s="4" t="str">
        <x:f>IF('Calculations'!DE113="","",'Calculations'!DF113-'Calculations'!DG113)</x:f>
      </x:c>
      <x:c r="DI113" s="4" t="str">
        <x:f>IF(OR('Calculations'!DE113="",'Calculations'!DF113=0),"",'Calculations'!DG113/'Calculations'!DF113)</x:f>
      </x:c>
      <x:c r="DJ113" s="4" t="str">
        <x:f>IF('Calculations'!DE113="","",COUNTIFS('Calculations'!$BN$13:$BN$512,1,'Calculations'!$BU$13:$BU$512,'Calculations'!DE113,'Calculations'!$BT$13:$BT$512,1,'Calculations'!$EE$13:$EE$512,"High"))</x:f>
      </x:c>
      <x:c r="DK113" s="4" t="str">
        <x:f>IF('Calculations'!DE113="","",COUNTIFS('Calculations'!$BN$13:$BN$512,1,'Calculations'!$BU$13:$BU$512,'Calculations'!DE113,'Calculations'!$BT$13:$BT$512,1,'Calculations'!$EE$13:$EE$512,"Strong"))</x:f>
      </x:c>
      <x:c r="DL113" s="4" t="str">
        <x:f>IF('Calculations'!DE113="","",COUNTIFS('Calculations'!$BN$13:$BN$512,1,'Calculations'!$BU$13:$BU$512,'Calculations'!DE113,'Calculations'!$BT$13:$BT$512,1,'Calculations'!$EE$13:$EE$512,"Solid"))</x:f>
      </x:c>
      <x:c r="DM113" s="4" t="str">
        <x:f>IF('Calculations'!DE113="","",COUNTIFS('Calculations'!$BN$13:$BN$512,1,'Calculations'!$BU$13:$BU$512,'Calculations'!DE113,'Calculations'!$BT$13:$BT$512,1,'Calculations'!$EE$13:$EE$512,"Low"))</x:f>
      </x:c>
      <x:c r="DN113" s="4" t="str">
        <x:f>IF('Calculations'!DE113="","",COUNTIFS('Calculations'!$BN$13:$BN$512,1,'Calculations'!$BU$13:$BU$512,'Calculations'!DE113,'Calculations'!$EP$13:$EP$512,1))</x:f>
      </x:c>
      <x:c r="DO113" s="4" t="str">
        <x:f>IF(OR('Calculations'!DE113="",'Calculations'!DG113=0),"",('Calculations'!DJ113+'Calculations'!DK113)/'Calculations'!DG113)</x:f>
      </x:c>
      <x:c r="DP113" s="4" t="n">
        <x:f>IF(AND('Calculations'!DE113&lt;&gt;"",'Calculations'!DF113&gt;0),COUNTIF('Calculations'!$DF$12:DF113,"&gt;0"),0)</x:f>
        <x:v>0</x:v>
      </x:c>
      <x:c r="DQ113" s="4" t="str">
        <x:f>IF(102&gt;MAX('Calculations'!$HH$13:$HH$512),"",INDEX('Calculations'!$HF$13:$HF$512,MATCH(102,'Calculations'!$HH$13:$HH$512,0)))</x:f>
      </x:c>
      <x:c r="DR113" s="4" t="str">
        <x:f>IF(102&gt;MAX('Calculations'!$IK$13:$IK$512),"",INDEX('Calculations'!$HE$13:$HE$512,MATCH(102,'Calculations'!$IK$13:$IK$512,0)))</x:f>
      </x:c>
      <x:c r="DS113" s="4"/>
      <x:c r="DT113" s="4"/>
      <x:c r="DU113" s="4"/>
      <x:c r="DV113" s="4"/>
      <x:c r="DW113" s="4"/>
      <x:c r="DX113" s="4"/>
      <x:c r="DY113" s="4"/>
      <x:c r="DZ113" s="4"/>
      <x:c r="EA113" s="4"/>
      <x:c r="EB113" s="4"/>
      <x:c r="EC113" s="4"/>
      <x:c r="ED113" s="4"/>
      <x:c r="EE113" s="4" t="str">
        <x:f>IF('Calculations'!BT113=0,"Not Rated",IF(OR('Calculations'!BO113&gt;=4,'Calculations'!BP113&gt;=4),"Low",IF('Calculations'!BO113+'Calculations'!BP113&lt;=3,"High",IF('Calculations'!BO113+'Calculations'!BP113&lt;=4,"Strong","Solid"))))</x:f>
        <x:v>Not Rated</x:v>
      </x:c>
      <x:c r="EF113" s="4"/>
      <x:c r="EG113" s="4"/>
      <x:c r="EH113" s="4"/>
      <x:c r="EI113" s="4"/>
      <x:c r="EJ113" s="4"/>
      <x:c r="EK113" s="4"/>
      <x:c r="EL113" s="4"/>
      <x:c r="EM113" s="4" t="str">
        <x:f>IF(101&gt;'Calculations'!$JB$2000,"",INDEX('Calculations'!$JA$12:$JA$2000,MATCH(101,'Calculations'!$JB$12:$JB$2000,0)))</x:f>
      </x:c>
      <x:c r="EN113" s="4" t="n">
        <x:f>IF(OR('Calculations'!EM113="",'Calculations'!$AG$8&gt;0,AND('Calculations'!$EF$2&lt;&gt;"All",'Calculations'!HE113='Calculations'!$EF$2),AND('Calculations'!$EF$3&lt;&gt;"All",'Calculations'!HE113='Calculations'!$EF$3)),0,IF(OR('Dashboard'!$B$7="All",'Calculations'!HN113='Dashboard'!$B$7),IF('Calculations'!$EF$2="All",1,IF('Calculations'!HL113&gt;0,0,IF(COUNTIF('Calculations'!HO113:II113,"="&amp;SUBSTITUTE(SUBSTITUTE(SUBSTITUTE('Calculations'!$EF$2,"~","~~"),"*","~*"),"?","~?"))=0,0,IF('Calculations'!$EF$3="All",1,IF(COUNTIF('Calculations'!HO113:II113,"="&amp;SUBSTITUTE(SUBSTITUTE(SUBSTITUTE('Calculations'!$EF$3,"~","~~"),"*","~*"),"?","~?"))&gt;0,1,0))))),0))</x:f>
        <x:v>0</x:v>
      </x:c>
      <x:c r="EO113" s="4" t="str">
        <x:f>IF('Calculations'!IJ113="","",IF('Calculations'!IJ113="!UNRESOLVED","Unresolved hierarchy",IFERROR(INDEX('Calculations'!$HK$13:$HK$512,MATCH('Calculations'!IJ113,'Calculations'!$HE$13:$HE$512,0)),IFERROR(INDEX('Calculations'!$HJ$13:$HJ$512,MATCH('Calculations'!IJ113,'Calculations'!$HF$13:$HF$512,0)),'Calculations'!IJ113))))</x:f>
      </x:c>
      <x:c r="EP113" s="4" t="n">
        <x:f>IF(AND('Calculations'!EM113&lt;&gt;"",'Calculations'!HF113='Calculations'!IJ113),1,0)</x:f>
        <x:v>0</x:v>
      </x:c>
      <x:c r="EQ113" s="4"/>
      <x:c r="ER113" s="4"/>
      <x:c r="ES113" s="4"/>
      <x:c r="ET113" s="4"/>
      <x:c r="EU113" s="4"/>
      <x:c r="EV113" s="4"/>
      <x:c r="EW113" s="4"/>
      <x:c r="EX113" s="4"/>
      <x:c r="EY113" s="4"/>
      <x:c r="EZ113" s="4"/>
      <x:c r="FA113" s="4"/>
      <x:c r="FB113" s="4"/>
      <x:c r="FC113" s="4"/>
      <x:c r="FD113" s="4"/>
      <x:c r="FE113" s="4"/>
      <x:c r="FF113" s="4"/>
      <x:c r="FG113" s="4"/>
      <x:c r="FH113" s="4"/>
      <x:c r="FI113" s="4"/>
      <x:c r="FJ113" s="4"/>
      <x:c r="FK113" s="4"/>
      <x:c r="FL113" s="4"/>
      <x:c r="FM113" s="4"/>
      <x:c r="FN113" s="4"/>
      <x:c r="FO113" s="4"/>
      <x:c r="GA113" s="71"/>
      <x:c r="GB113" s="71" t="str">
        <x:f>IF('Calculations'!$AR113=0,"",INDEX('Calculations'!$DE$12:$DE$1012,'Calculations'!$AR113))</x:f>
      </x:c>
      <x:c r="GC113" s="71"/>
      <x:c r="GD113" s="71"/>
      <x:c r="GE113" s="71"/>
      <x:c r="GF113" s="71"/>
      <x:c r="GG113" s="71"/>
      <x:c r="GH113" s="71"/>
      <x:c r="GI113" s="71" t="str">
        <x:f>IF('Calculations'!$AR113=0,"",INDEX('Calculations'!$DF$12:$DF$1012,'Calculations'!$AR113))</x:f>
      </x:c>
      <x:c r="GJ113" s="71"/>
      <x:c r="GK113" s="71" t="str">
        <x:f>IF('Calculations'!$AR113=0,"",INDEX('Calculations'!$DG$12:$DG$1012,'Calculations'!$AR113))</x:f>
      </x:c>
      <x:c r="GL113" s="71"/>
      <x:c r="GM113" s="71" t="str">
        <x:f>IF('Calculations'!$AR113=0,"",INDEX('Calculations'!$DH$12:$DH$1012,'Calculations'!$AR113))</x:f>
      </x:c>
      <x:c r="GN113" s="71"/>
      <x:c r="GO113" s="71" t="str">
        <x:f>IF('Calculations'!$AR113=0,"",INDEX('Calculations'!$DI$12:$DI$1012,'Calculations'!$AR113))</x:f>
      </x:c>
      <x:c r="GP113" s="71"/>
      <x:c r="GQ113" s="71" t="str">
        <x:f>IF('Calculations'!$AR113=0,"",INDEX('Calculations'!$DJ$12:$DJ$1012,'Calculations'!$AR113)&amp;" · "&amp;IF(INDEX('Calculations'!$DG$12:$DG$1012,'Calculations'!$AR113)=0,"n.a.",TEXT(INDEX('Calculations'!$DJ$12:$DJ$1012,'Calculations'!$AR113)/INDEX('Calculations'!$DG$12:$DG$1012,'Calculations'!$AR113),"0.0%")))</x:f>
      </x:c>
      <x:c r="GR113" s="71"/>
      <x:c r="GS113" s="71" t="str">
        <x:f>IF('Calculations'!$AR113=0,"",INDEX('Calculations'!$DK$12:$DK$1012,'Calculations'!$AR113)&amp;" · "&amp;IF(INDEX('Calculations'!$DG$12:$DG$1012,'Calculations'!$AR113)=0,"n.a.",TEXT(INDEX('Calculations'!$DK$12:$DK$1012,'Calculations'!$AR113)/INDEX('Calculations'!$DG$12:$DG$1012,'Calculations'!$AR113),"0.0%")))</x:f>
      </x:c>
      <x:c r="GT113" s="71"/>
      <x:c r="GU113" s="71" t="str">
        <x:f>IF('Calculations'!$AR113=0,"",INDEX('Calculations'!$DL$12:$DL$1012,'Calculations'!$AR113)&amp;" · "&amp;IF(INDEX('Calculations'!$DG$12:$DG$1012,'Calculations'!$AR113)=0,"n.a.",TEXT(INDEX('Calculations'!$DL$12:$DL$1012,'Calculations'!$AR113)/INDEX('Calculations'!$DG$12:$DG$1012,'Calculations'!$AR113),"0.0%")))</x:f>
      </x:c>
      <x:c r="GV113" s="71"/>
      <x:c r="GW113" s="71" t="str">
        <x:f>IF('Calculations'!$AR113=0,"",INDEX('Calculations'!$DM$12:$DM$1012,'Calculations'!$AR113)&amp;" · "&amp;IF(INDEX('Calculations'!$DG$12:$DG$1012,'Calculations'!$AR113)=0,"n.a.",TEXT(INDEX('Calculations'!$DM$12:$DM$1012,'Calculations'!$AR113)/INDEX('Calculations'!$DG$12:$DG$1012,'Calculations'!$AR113),"0.0%")))</x:f>
      </x:c>
      <x:c r="GX113" s="71"/>
      <x:c r="GY113" s="71" t="str">
        <x:f>IF('Calculations'!$AR113=0,"",INDEX('Calculations'!$DN$12:$DN$1012,'Calculations'!$AR113))</x:f>
      </x:c>
      <x:c r="GZ113" s="71"/>
      <x:c r="HA113" s="71" t="str">
        <x:f>IF('Calculations'!$AR113=0,"",INDEX('Calculations'!$DO$12:$DO$1012,'Calculations'!$AR113))</x:f>
      </x:c>
      <x:c r="HB113" s="71"/>
      <x:c r="HC113" s="71"/>
      <x:c r="HD113" s="71"/>
      <x:c r="HE113" t="str">
        <x:f>IF('Calculations'!EM113="","",IF(IFERROR(IF(INDEX(INDIRECT("'WCM Calibration Final'!$A$1:$A$2000"),'Calculations'!$EM113)="","",TRIM(INDEX(INDIRECT("'WCM Calibration Final'!$A$1:$A$2000"),'Calculations'!$EM113)&amp;"")),"")&lt;&gt;"","G:"&amp;IFERROR(TEXT(1*INDEX(INDIRECT("'WCM Calibration Final'!$A$1:$A$2000"),'Calculations'!$EM113),"0"),UPPER(IFERROR(IF(INDEX(INDIRECT("'WCM Calibration Final'!$A$1:$A$2000"),'Calculations'!$EM113)="","",TRIM(INDEX(INDIRECT("'WCM Calibration Final'!$A$1:$A$2000"),'Calculations'!$EM113)&amp;"")),""))),IF(IFERROR(IF(INDEX(INDIRECT("'WCM Calibration Final'!$C$1:$C$2000"),'Calculations'!$EM113)="","",TRIM(INDEX(INDIRECT("'WCM Calibration Final'!$C$1:$C$2000"),'Calculations'!$EM113)&amp;"")),"")&lt;&gt;"","S:"&amp;UPPER(IFERROR(IF(INDEX(INDIRECT("'WCM Calibration Final'!$C$1:$C$2000"),'Calculations'!$EM113)="","",TRIM(INDEX(INDIRECT("'WCM Calibration Final'!$C$1:$C$2000"),'Calculations'!$EM113)&amp;"")),"")),"R:"&amp;'Calculations'!EM113)))</x:f>
      </x:c>
      <x:c r="HF113" t="str">
        <x:f>IF('Calculations'!EM113="","",IF(IFERROR(IF(INDEX(INDIRECT("'WCM Calibration Final'!$D$1:$D$2000"),'Calculations'!$EM113)="","",TRIM(INDEX(INDIRECT("'WCM Calibration Final'!$D$1:$D$2000"),'Calculations'!$EM113)&amp;"")),"")&lt;&gt;"","G:"&amp;IFERROR(TEXT(1*INDEX(INDIRECT("'WCM Calibration Final'!$D$1:$D$2000"),'Calculations'!$EM113),"0"),UPPER(IFERROR(IF(INDEX(INDIRECT("'WCM Calibration Final'!$D$1:$D$2000"),'Calculations'!$EM113)="","",TRIM(INDEX(INDIRECT("'WCM Calibration Final'!$D$1:$D$2000"),'Calculations'!$EM113)&amp;"")),""))),IF(IFERROR(IF(INDEX(INDIRECT("'WCM Calibration Final'!$E$1:$E$2000"),'Calculations'!$EM113)="","",TRIM(INDEX(INDIRECT("'WCM Calibration Final'!$E$1:$E$2000"),'Calculations'!$EM113)&amp;"")),"")="","",IF(COUNTIF('Calculations'!$HG$13:$HG$512,"="&amp;SUBSTITUTE(SUBSTITUTE(SUBSTITUTE(IFERROR(IF(INDEX(INDIRECT("'WCM Calibration Final'!$E$1:$E$2000"),'Calculations'!$EM113)="","",TRIM(INDEX(INDIRECT("'WCM Calibration Final'!$E$1:$E$2000"),'Calculations'!$EM113)&amp;"")),""),"~","~~"),"*","~*"),"?","~?"))=1,INDEX('Calculations'!$HE$13:$HE$512,MATCH(IFERROR(IF(INDEX(INDIRECT("'WCM Calibration Final'!$E$1:$E$2000"),'Calculations'!$EM113)="","",TRIM(INDEX(INDIRECT("'WCM Calibration Final'!$E$1:$E$2000"),'Calculations'!$EM113)&amp;"")),""),'Calculations'!$HG$13:$HG$512,0)),IF(COUNTIF('Calculations'!$HG$13:$HG$512,"="&amp;SUBSTITUTE(SUBSTITUTE(SUBSTITUTE(IFERROR(IF(INDEX(INDIRECT("'WCM Calibration Final'!$E$1:$E$2000"),'Calculations'!$EM113)="","",TRIM(INDEX(INDIRECT("'WCM Calibration Final'!$E$1:$E$2000"),'Calculations'!$EM113)&amp;"")),""),"~","~~"),"*","~*"),"?","~?"))&gt;1,"!AMBIG","X:"&amp;IFERROR(IF(INDEX(INDIRECT("'WCM Calibration Final'!$E$1:$E$2000"),'Calculations'!$EM113)="","",TRIM(INDEX(INDIRECT("'WCM Calibration Final'!$E$1:$E$2000"),'Calculations'!$EM113)&amp;"")),""))))))</x:f>
      </x:c>
      <x:c r="HG113" t="str">
        <x:f>IF('Calculations'!EM113="","",IFERROR(IF(INDEX(INDIRECT("'WCM Calibration Final'!$B$1:$B$2000"),'Calculations'!$EM113)="","",TRIM(INDEX(INDIRECT("'WCM Calibration Final'!$B$1:$B$2000"),'Calculations'!$EM113)&amp;"")),""))</x:f>
      </x:c>
      <x:c r="HH113" t="n">
        <x:f>IF(AND('Calculations'!JC113&gt;0,COUNTIF('Calculations'!$HF$12:HF113,"="&amp;SUBSTITUTE(SUBSTITUTE(SUBSTITUTE('Calculations'!HF113,"~","~~"),"*","~*"),"?","~?"))=1),MAX('Calculations'!$HH$12:HH112)+1,0)</x:f>
        <x:v>0</x:v>
      </x:c>
      <x:c r="HI113" t="n">
        <x:f>IF(AND('Calculations'!HN113&lt;&gt;"",COUNTIF('Calculations'!$HN$12:HN113,"="&amp;SUBSTITUTE(SUBSTITUTE(SUBSTITUTE('Calculations'!HN113,"~","~~"),"*","~*"),"?","~?"))=1),MAX('Calculations'!$HI$12:HI112)+1,0)</x:f>
        <x:v>0</x:v>
      </x:c>
      <x:c r="HJ113" t="str">
        <x:f>IF('Calculations'!HF113="","",IF(COUNTIF('Calculations'!$HE$13:$HE$512,"="&amp;SUBSTITUTE(SUBSTITUTE(SUBSTITUTE('Calculations'!HF113,"~","~~"),"*","~*"),"?","~?"))=1,INDEX('Calculations'!$HK$13:$HK$512,MATCH('Calculations'!HF113,'Calculations'!$HE$13:$HE$512,0)),IFERROR(IF(INDEX(INDIRECT("'WCM Calibration Final'!$E$1:$E$2000"),'Calculations'!$EM113)="","",TRIM(INDEX(INDIRECT("'WCM Calibration Final'!$E$1:$E$2000"),'Calculations'!$EM113)&amp;"")),"")&amp;" ["&amp;'Calculations'!HF113&amp;"]"))</x:f>
      </x:c>
      <x:c r="HK113" t="str">
        <x:f>IF('Calculations'!EM113="","",'Calculations'!HG113&amp;" ["&amp;'Calculations'!HE113&amp;"]")</x:f>
      </x:c>
      <x:c r="HL113" t="n">
        <x:f>IF('Calculations'!EM113="",0,IF(OR('Calculations'!II113&lt;&gt;"",COUNTIF('Calculations'!$HE$13:$HE$512,"="&amp;SUBSTITUTE(SUBSTITUTE(SUBSTITUTE('Calculations'!HE113,"~","~~"),"*","~*"),"?","~?"))&gt;1),1,0))</x:f>
        <x:v>0</x:v>
      </x:c>
      <x:c r="HM113" t="str">
        <x:f>IF('Calculations'!EM113="","",IF('Calculations'!HL113=1,"!UNRESOLVED",IF('Calculations'!IH113&lt;&gt;"",'Calculations'!IH113,IF('Calculations'!IG113&lt;&gt;"",'Calculations'!IG113,IF('Calculations'!IF113&lt;&gt;"",'Calculations'!IF113,IF('Calculations'!IE113&lt;&gt;"",'Calculations'!IE113,IF('Calculations'!ID113&lt;&gt;"",'Calculations'!ID113,IF('Calculations'!IC113&lt;&gt;"",'Calculations'!IC113,IF('Calculations'!IB113&lt;&gt;"",'Calculations'!IB113,IF('Calculations'!IA113&lt;&gt;"",'Calculations'!IA113,IF('Calculations'!HZ113&lt;&gt;"",'Calculations'!HZ113,IF('Calculations'!HY113&lt;&gt;"",'Calculations'!HY113,IF('Calculations'!HX113&lt;&gt;"",'Calculations'!HX113,IF('Calculations'!HW113&lt;&gt;"",'Calculations'!HW113,IF('Calculations'!HV113&lt;&gt;"",'Calculations'!HV113,IF('Calculations'!HU113&lt;&gt;"",'Calculations'!HU113,IF('Calculations'!HT113&lt;&gt;"",'Calculations'!HT113,IF('Calculations'!HS113&lt;&gt;"",'Calculations'!HS113,IF('Calculations'!HR113&lt;&gt;"",'Calculations'!HR113,IF('Calculations'!HQ113&lt;&gt;"",'Calculations'!HQ113,IF('Calculations'!HP113&lt;&gt;"",'Calculations'!HP113,IF('Calculations'!HO113&lt;&gt;"",'Calculations'!HO113,'Calculations'!HE113))))))))))))))))))))))</x:f>
      </x:c>
      <x:c r="HN113" t="str">
        <x:f>IF('Calculations'!EM113="","",IF(IFERROR(IF(INDEX(INDIRECT("'WCM Calibration Final'!$F$1:$F$2000"),'Calculations'!$EM113)="","",TRIM(INDEX(INDIRECT("'WCM Calibration Final'!$F$1:$F$2000"),'Calculations'!$EM113)&amp;"")),"")="","(Blank)",IFERROR(IF(INDEX(INDIRECT("'WCM Calibration Final'!$F$1:$F$2000"),'Calculations'!$EM113)="","",TRIM(INDEX(INDIRECT("'WCM Calibration Final'!$F$1:$F$2000"),'Calculations'!$EM113)&amp;"")),"")))</x:f>
      </x:c>
      <x:c r="HO113" t="str">
        <x:f>'Calculations'!HF113</x:f>
      </x:c>
      <x:c r="HP113" t="str">
        <x:f>IF('Calculations'!HO113="","",IF('Calculations'!HO113="!AMBIG","!AMBIG",IF(COUNTIF('Calculations'!$HE$13:$HE$512,"="&amp;SUBSTITUTE(SUBSTITUTE(SUBSTITUTE('Calculations'!HO113,"~","~~"),"*","~*"),"?","~?"))&gt;1,"!AMBIG",IFERROR(INDEX('Calculations'!$HF$13:$HF$512,MATCH('Calculations'!HO113,'Calculations'!$HE$13:$HE$512,0)),""))))</x:f>
      </x:c>
      <x:c r="HQ113" t="str">
        <x:f>IF('Calculations'!HP113="","",IF('Calculations'!HP113="!AMBIG","!AMBIG",IF(COUNTIF('Calculations'!$HE$13:$HE$512,"="&amp;SUBSTITUTE(SUBSTITUTE(SUBSTITUTE('Calculations'!HP113,"~","~~"),"*","~*"),"?","~?"))&gt;1,"!AMBIG",IFERROR(INDEX('Calculations'!$HF$13:$HF$512,MATCH('Calculations'!HP113,'Calculations'!$HE$13:$HE$512,0)),""))))</x:f>
      </x:c>
      <x:c r="HR113" t="str">
        <x:f>IF('Calculations'!HQ113="","",IF('Calculations'!HQ113="!AMBIG","!AMBIG",IF(COUNTIF('Calculations'!$HE$13:$HE$512,"="&amp;SUBSTITUTE(SUBSTITUTE(SUBSTITUTE('Calculations'!HQ113,"~","~~"),"*","~*"),"?","~?"))&gt;1,"!AMBIG",IFERROR(INDEX('Calculations'!$HF$13:$HF$512,MATCH('Calculations'!HQ113,'Calculations'!$HE$13:$HE$512,0)),""))))</x:f>
      </x:c>
      <x:c r="HS113" t="str">
        <x:f>IF('Calculations'!HR113="","",IF('Calculations'!HR113="!AMBIG","!AMBIG",IF(COUNTIF('Calculations'!$HE$13:$HE$512,"="&amp;SUBSTITUTE(SUBSTITUTE(SUBSTITUTE('Calculations'!HR113,"~","~~"),"*","~*"),"?","~?"))&gt;1,"!AMBIG",IFERROR(INDEX('Calculations'!$HF$13:$HF$512,MATCH('Calculations'!HR113,'Calculations'!$HE$13:$HE$512,0)),""))))</x:f>
      </x:c>
      <x:c r="HT113" t="str">
        <x:f>IF('Calculations'!HS113="","",IF('Calculations'!HS113="!AMBIG","!AMBIG",IF(COUNTIF('Calculations'!$HE$13:$HE$512,"="&amp;SUBSTITUTE(SUBSTITUTE(SUBSTITUTE('Calculations'!HS113,"~","~~"),"*","~*"),"?","~?"))&gt;1,"!AMBIG",IFERROR(INDEX('Calculations'!$HF$13:$HF$512,MATCH('Calculations'!HS113,'Calculations'!$HE$13:$HE$512,0)),""))))</x:f>
      </x:c>
      <x:c r="HU113" t="str">
        <x:f>IF('Calculations'!HT113="","",IF('Calculations'!HT113="!AMBIG","!AMBIG",IF(COUNTIF('Calculations'!$HE$13:$HE$512,"="&amp;SUBSTITUTE(SUBSTITUTE(SUBSTITUTE('Calculations'!HT113,"~","~~"),"*","~*"),"?","~?"))&gt;1,"!AMBIG",IFERROR(INDEX('Calculations'!$HF$13:$HF$512,MATCH('Calculations'!HT113,'Calculations'!$HE$13:$HE$512,0)),""))))</x:f>
      </x:c>
      <x:c r="HV113" t="str">
        <x:f>IF('Calculations'!HU113="","",IF('Calculations'!HU113="!AMBIG","!AMBIG",IF(COUNTIF('Calculations'!$HE$13:$HE$512,"="&amp;SUBSTITUTE(SUBSTITUTE(SUBSTITUTE('Calculations'!HU113,"~","~~"),"*","~*"),"?","~?"))&gt;1,"!AMBIG",IFERROR(INDEX('Calculations'!$HF$13:$HF$512,MATCH('Calculations'!HU113,'Calculations'!$HE$13:$HE$512,0)),""))))</x:f>
      </x:c>
      <x:c r="HW113" t="str">
        <x:f>IF('Calculations'!HV113="","",IF('Calculations'!HV113="!AMBIG","!AMBIG",IF(COUNTIF('Calculations'!$HE$13:$HE$512,"="&amp;SUBSTITUTE(SUBSTITUTE(SUBSTITUTE('Calculations'!HV113,"~","~~"),"*","~*"),"?","~?"))&gt;1,"!AMBIG",IFERROR(INDEX('Calculations'!$HF$13:$HF$512,MATCH('Calculations'!HV113,'Calculations'!$HE$13:$HE$512,0)),""))))</x:f>
      </x:c>
      <x:c r="HX113" t="str">
        <x:f>IF('Calculations'!HW113="","",IF('Calculations'!HW113="!AMBIG","!AMBIG",IF(COUNTIF('Calculations'!$HE$13:$HE$512,"="&amp;SUBSTITUTE(SUBSTITUTE(SUBSTITUTE('Calculations'!HW113,"~","~~"),"*","~*"),"?","~?"))&gt;1,"!AMBIG",IFERROR(INDEX('Calculations'!$HF$13:$HF$512,MATCH('Calculations'!HW113,'Calculations'!$HE$13:$HE$512,0)),""))))</x:f>
      </x:c>
      <x:c r="HY113" t="str">
        <x:f>IF('Calculations'!HX113="","",IF('Calculations'!HX113="!AMBIG","!AMBIG",IF(COUNTIF('Calculations'!$HE$13:$HE$512,"="&amp;SUBSTITUTE(SUBSTITUTE(SUBSTITUTE('Calculations'!HX113,"~","~~"),"*","~*"),"?","~?"))&gt;1,"!AMBIG",IFERROR(INDEX('Calculations'!$HF$13:$HF$512,MATCH('Calculations'!HX113,'Calculations'!$HE$13:$HE$512,0)),""))))</x:f>
      </x:c>
      <x:c r="HZ113" t="str">
        <x:f>IF('Calculations'!HY113="","",IF('Calculations'!HY113="!AMBIG","!AMBIG",IF(COUNTIF('Calculations'!$HE$13:$HE$512,"="&amp;SUBSTITUTE(SUBSTITUTE(SUBSTITUTE('Calculations'!HY113,"~","~~"),"*","~*"),"?","~?"))&gt;1,"!AMBIG",IFERROR(INDEX('Calculations'!$HF$13:$HF$512,MATCH('Calculations'!HY113,'Calculations'!$HE$13:$HE$512,0)),""))))</x:f>
      </x:c>
      <x:c r="IA113" t="str">
        <x:f>IF('Calculations'!HZ113="","",IF('Calculations'!HZ113="!AMBIG","!AMBIG",IF(COUNTIF('Calculations'!$HE$13:$HE$512,"="&amp;SUBSTITUTE(SUBSTITUTE(SUBSTITUTE('Calculations'!HZ113,"~","~~"),"*","~*"),"?","~?"))&gt;1,"!AMBIG",IFERROR(INDEX('Calculations'!$HF$13:$HF$512,MATCH('Calculations'!HZ113,'Calculations'!$HE$13:$HE$512,0)),""))))</x:f>
      </x:c>
      <x:c r="IB113" t="str">
        <x:f>IF('Calculations'!IA113="","",IF('Calculations'!IA113="!AMBIG","!AMBIG",IF(COUNTIF('Calculations'!$HE$13:$HE$512,"="&amp;SUBSTITUTE(SUBSTITUTE(SUBSTITUTE('Calculations'!IA113,"~","~~"),"*","~*"),"?","~?"))&gt;1,"!AMBIG",IFERROR(INDEX('Calculations'!$HF$13:$HF$512,MATCH('Calculations'!IA113,'Calculations'!$HE$13:$HE$512,0)),""))))</x:f>
      </x:c>
      <x:c r="IC113" t="str">
        <x:f>IF('Calculations'!IB113="","",IF('Calculations'!IB113="!AMBIG","!AMBIG",IF(COUNTIF('Calculations'!$HE$13:$HE$512,"="&amp;SUBSTITUTE(SUBSTITUTE(SUBSTITUTE('Calculations'!IB113,"~","~~"),"*","~*"),"?","~?"))&gt;1,"!AMBIG",IFERROR(INDEX('Calculations'!$HF$13:$HF$512,MATCH('Calculations'!IB113,'Calculations'!$HE$13:$HE$512,0)),""))))</x:f>
      </x:c>
      <x:c r="ID113" t="str">
        <x:f>IF('Calculations'!IC113="","",IF('Calculations'!IC113="!AMBIG","!AMBIG",IF(COUNTIF('Calculations'!$HE$13:$HE$512,"="&amp;SUBSTITUTE(SUBSTITUTE(SUBSTITUTE('Calculations'!IC113,"~","~~"),"*","~*"),"?","~?"))&gt;1,"!AMBIG",IFERROR(INDEX('Calculations'!$HF$13:$HF$512,MATCH('Calculations'!IC113,'Calculations'!$HE$13:$HE$512,0)),""))))</x:f>
      </x:c>
      <x:c r="IE113" t="str">
        <x:f>IF('Calculations'!ID113="","",IF('Calculations'!ID113="!AMBIG","!AMBIG",IF(COUNTIF('Calculations'!$HE$13:$HE$512,"="&amp;SUBSTITUTE(SUBSTITUTE(SUBSTITUTE('Calculations'!ID113,"~","~~"),"*","~*"),"?","~?"))&gt;1,"!AMBIG",IFERROR(INDEX('Calculations'!$HF$13:$HF$512,MATCH('Calculations'!ID113,'Calculations'!$HE$13:$HE$512,0)),""))))</x:f>
      </x:c>
      <x:c r="IF113" t="str">
        <x:f>IF('Calculations'!IE113="","",IF('Calculations'!IE113="!AMBIG","!AMBIG",IF(COUNTIF('Calculations'!$HE$13:$HE$512,"="&amp;SUBSTITUTE(SUBSTITUTE(SUBSTITUTE('Calculations'!IE113,"~","~~"),"*","~*"),"?","~?"))&gt;1,"!AMBIG",IFERROR(INDEX('Calculations'!$HF$13:$HF$512,MATCH('Calculations'!IE113,'Calculations'!$HE$13:$HE$512,0)),""))))</x:f>
      </x:c>
      <x:c r="IG113" t="str">
        <x:f>IF('Calculations'!IF113="","",IF('Calculations'!IF113="!AMBIG","!AMBIG",IF(COUNTIF('Calculations'!$HE$13:$HE$512,"="&amp;SUBSTITUTE(SUBSTITUTE(SUBSTITUTE('Calculations'!IF113,"~","~~"),"*","~*"),"?","~?"))&gt;1,"!AMBIG",IFERROR(INDEX('Calculations'!$HF$13:$HF$512,MATCH('Calculations'!IF113,'Calculations'!$HE$13:$HE$512,0)),""))))</x:f>
      </x:c>
      <x:c r="IH113" t="str">
        <x:f>IF('Calculations'!IG113="","",IF('Calculations'!IG113="!AMBIG","!AMBIG",IF(COUNTIF('Calculations'!$HE$13:$HE$512,"="&amp;SUBSTITUTE(SUBSTITUTE(SUBSTITUTE('Calculations'!IG113,"~","~~"),"*","~*"),"?","~?"))&gt;1,"!AMBIG",IFERROR(INDEX('Calculations'!$HF$13:$HF$512,MATCH('Calculations'!IG113,'Calculations'!$HE$13:$HE$512,0)),""))))</x:f>
      </x:c>
      <x:c r="II113" t="str">
        <x:f>IF('Calculations'!IH113="","",IF('Calculations'!IH113="!AMBIG","!AMBIG",IF(COUNTIF('Calculations'!$HE$13:$HE$512,"="&amp;SUBSTITUTE(SUBSTITUTE(SUBSTITUTE('Calculations'!IH113,"~","~~"),"*","~*"),"?","~?"))&gt;1,"!AMBIG",IFERROR(INDEX('Calculations'!$HF$13:$HF$512,MATCH('Calculations'!IH113,'Calculations'!$HE$13:$HE$512,0)),""))))</x:f>
      </x:c>
      <x:c r="IJ113" t="str">
        <x:f>IF('Calculations'!EM113="","",IF('Calculations'!$EF$2="All",'Calculations'!HM113,IF('Calculations'!HL113=1,"",IFERROR(IF(MATCH('Calculations'!$EF$2,'Calculations'!HO113:II113,0)=1,'Calculations'!HE113,INDEX('Calculations'!HO113:II113,1,MATCH('Calculations'!$EF$2,'Calculations'!HO113:II113,0)-1)),""))))</x:f>
      </x:c>
      <x:c r="IK113" t="n">
        <x:f>IF(AND('Calculations'!EM113&lt;&gt;"",'Calculations'!$EF$2&lt;&gt;"All",'Calculations'!HF113='Calculations'!$EF$2,'Calculations'!HL113=0,'Calculations'!JD113&gt;0),MAX('Calculations'!$IK$12:IK112)+1,0)</x:f>
        <x:v>0</x:v>
      </x:c>
      <x:c r="JA113" t="n">
        <x:f>IF(OR(IFERROR(INDIRECT("'WCM Calibration Final'!$A$113")&lt;&gt;"",FALSE),IFERROR(INDIRECT("'WCM Calibration Final'!$B$113")&lt;&gt;"",FALSE),IFERROR(INDIRECT("'WCM Calibration Final'!$C$113")&lt;&gt;"",FALSE)),113,0)</x:f>
        <x:v>0</x:v>
      </x:c>
      <x:c r="JB113" t="n">
        <x:f>'Calculations'!JB112+IF('Calculations'!JA113&gt;0,1,0)</x:f>
        <x:v>0</x:v>
      </x:c>
      <x:c r="JC113" t="n">
        <x:f>IF(OR('Calculations'!HF113="",'Calculations'!HF113="!AMBIG"),0,IF('Dashboard'!$B$7="All",1,COUNTIFS('Calculations'!$HO$13:$HO$512,"="&amp;SUBSTITUTE(SUBSTITUTE(SUBSTITUTE('Calculations'!HF113,"~","~~"),"*","~*"),"?","~?"),'Calculations'!$HN$13:$HN$512,"="&amp;SUBSTITUTE(SUBSTITUTE(SUBSTITUTE('Dashboard'!$B$7,"~","~~"),"*","~*"),"?","~?"))+COUNTIFS('Calculations'!$HP$13:$HP$512,"="&amp;SUBSTITUTE(SUBSTITUTE(SUBSTITUTE('Calculations'!HF113,"~","~~"),"*","~*"),"?","~?"),'Calculations'!$HN$13:$HN$512,"="&amp;SUBSTITUTE(SUBSTITUTE(SUBSTITUTE('Dashboard'!$B$7,"~","~~"),"*","~*"),"?","~?"))+COUNTIFS('Calculations'!$HQ$13:$HQ$512,"="&amp;SUBSTITUTE(SUBSTITUTE(SUBSTITUTE('Calculations'!HF113,"~","~~"),"*","~*"),"?","~?"),'Calculations'!$HN$13:$HN$512,"="&amp;SUBSTITUTE(SUBSTITUTE(SUBSTITUTE('Dashboard'!$B$7,"~","~~"),"*","~*"),"?","~?"))+COUNTIFS('Calculations'!$HR$13:$HR$512,"="&amp;SUBSTITUTE(SUBSTITUTE(SUBSTITUTE('Calculations'!HF113,"~","~~"),"*","~*"),"?","~?"),'Calculations'!$HN$13:$HN$512,"="&amp;SUBSTITUTE(SUBSTITUTE(SUBSTITUTE('Dashboard'!$B$7,"~","~~"),"*","~*"),"?","~?"))+COUNTIFS('Calculations'!$HS$13:$HS$512,"="&amp;SUBSTITUTE(SUBSTITUTE(SUBSTITUTE('Calculations'!HF113,"~","~~"),"*","~*"),"?","~?"),'Calculations'!$HN$13:$HN$512,"="&amp;SUBSTITUTE(SUBSTITUTE(SUBSTITUTE('Dashboard'!$B$7,"~","~~"),"*","~*"),"?","~?"))+COUNTIFS('Calculations'!$HT$13:$HT$512,"="&amp;SUBSTITUTE(SUBSTITUTE(SUBSTITUTE('Calculations'!HF113,"~","~~"),"*","~*"),"?","~?"),'Calculations'!$HN$13:$HN$512,"="&amp;SUBSTITUTE(SUBSTITUTE(SUBSTITUTE('Dashboard'!$B$7,"~","~~"),"*","~*"),"?","~?"))+COUNTIFS('Calculations'!$HU$13:$HU$512,"="&amp;SUBSTITUTE(SUBSTITUTE(SUBSTITUTE('Calculations'!HF113,"~","~~"),"*","~*"),"?","~?"),'Calculations'!$HN$13:$HN$512,"="&amp;SUBSTITUTE(SUBSTITUTE(SUBSTITUTE('Dashboard'!$B$7,"~","~~"),"*","~*"),"?","~?"))+COUNTIFS('Calculations'!$HV$13:$HV$512,"="&amp;SUBSTITUTE(SUBSTITUTE(SUBSTITUTE('Calculations'!HF113,"~","~~"),"*","~*"),"?","~?"),'Calculations'!$HN$13:$HN$512,"="&amp;SUBSTITUTE(SUBSTITUTE(SUBSTITUTE('Dashboard'!$B$7,"~","~~"),"*","~*"),"?","~?"))+COUNTIFS('Calculations'!$HW$13:$HW$512,"="&amp;SUBSTITUTE(SUBSTITUTE(SUBSTITUTE('Calculations'!HF113,"~","~~"),"*","~*"),"?","~?"),'Calculations'!$HN$13:$HN$512,"="&amp;SUBSTITUTE(SUBSTITUTE(SUBSTITUTE('Dashboard'!$B$7,"~","~~"),"*","~*"),"?","~?"))+COUNTIFS('Calculations'!$HX$13:$HX$512,"="&amp;SUBSTITUTE(SUBSTITUTE(SUBSTITUTE('Calculations'!HF113,"~","~~"),"*","~*"),"?","~?"),'Calculations'!$HN$13:$HN$512,"="&amp;SUBSTITUTE(SUBSTITUTE(SUBSTITUTE('Dashboard'!$B$7,"~","~~"),"*","~*"),"?","~?"))+COUNTIFS('Calculations'!$HY$13:$HY$512,"="&amp;SUBSTITUTE(SUBSTITUTE(SUBSTITUTE('Calculations'!HF113,"~","~~"),"*","~*"),"?","~?"),'Calculations'!$HN$13:$HN$512,"="&amp;SUBSTITUTE(SUBSTITUTE(SUBSTITUTE('Dashboard'!$B$7,"~","~~"),"*","~*"),"?","~?"))+COUNTIFS('Calculations'!$HZ$13:$HZ$512,"="&amp;SUBSTITUTE(SUBSTITUTE(SUBSTITUTE('Calculations'!HF113,"~","~~"),"*","~*"),"?","~?"),'Calculations'!$HN$13:$HN$512,"="&amp;SUBSTITUTE(SUBSTITUTE(SUBSTITUTE('Dashboard'!$B$7,"~","~~"),"*","~*"),"?","~?"))+COUNTIFS('Calculations'!$IA$13:$IA$512,"="&amp;SUBSTITUTE(SUBSTITUTE(SUBSTITUTE('Calculations'!HF113,"~","~~"),"*","~*"),"?","~?"),'Calculations'!$HN$13:$HN$512,"="&amp;SUBSTITUTE(SUBSTITUTE(SUBSTITUTE('Dashboard'!$B$7,"~","~~"),"*","~*"),"?","~?"))+COUNTIFS('Calculations'!$IB$13:$IB$512,"="&amp;SUBSTITUTE(SUBSTITUTE(SUBSTITUTE('Calculations'!HF113,"~","~~"),"*","~*"),"?","~?"),'Calculations'!$HN$13:$HN$512,"="&amp;SUBSTITUTE(SUBSTITUTE(SUBSTITUTE('Dashboard'!$B$7,"~","~~"),"*","~*"),"?","~?"))+COUNTIFS('Calculations'!$IC$13:$IC$512,"="&amp;SUBSTITUTE(SUBSTITUTE(SUBSTITUTE('Calculations'!HF113,"~","~~"),"*","~*"),"?","~?"),'Calculations'!$HN$13:$HN$512,"="&amp;SUBSTITUTE(SUBSTITUTE(SUBSTITUTE('Dashboard'!$B$7,"~","~~"),"*","~*"),"?","~?"))+COUNTIFS('Calculations'!$ID$13:$ID$512,"="&amp;SUBSTITUTE(SUBSTITUTE(SUBSTITUTE('Calculations'!HF113,"~","~~"),"*","~*"),"?","~?"),'Calculations'!$HN$13:$HN$512,"="&amp;SUBSTITUTE(SUBSTITUTE(SUBSTITUTE('Dashboard'!$B$7,"~","~~"),"*","~*"),"?","~?"))+COUNTIFS('Calculations'!$IE$13:$IE$512,"="&amp;SUBSTITUTE(SUBSTITUTE(SUBSTITUTE('Calculations'!HF113,"~","~~"),"*","~*"),"?","~?"),'Calculations'!$HN$13:$HN$512,"="&amp;SUBSTITUTE(SUBSTITUTE(SUBSTITUTE('Dashboard'!$B$7,"~","~~"),"*","~*"),"?","~?"))+COUNTIFS('Calculations'!$IF$13:$IF$512,"="&amp;SUBSTITUTE(SUBSTITUTE(SUBSTITUTE('Calculations'!HF113,"~","~~"),"*","~*"),"?","~?"),'Calculations'!$HN$13:$HN$512,"="&amp;SUBSTITUTE(SUBSTITUTE(SUBSTITUTE('Dashboard'!$B$7,"~","~~"),"*","~*"),"?","~?"))+COUNTIFS('Calculations'!$IG$13:$IG$512,"="&amp;SUBSTITUTE(SUBSTITUTE(SUBSTITUTE('Calculations'!HF113,"~","~~"),"*","~*"),"?","~?"),'Calculations'!$HN$13:$HN$512,"="&amp;SUBSTITUTE(SUBSTITUTE(SUBSTITUTE('Dashboard'!$B$7,"~","~~"),"*","~*"),"?","~?"))+COUNTIFS('Calculations'!$IH$13:$IH$512,"="&amp;SUBSTITUTE(SUBSTITUTE(SUBSTITUTE('Calculations'!HF113,"~","~~"),"*","~*"),"?","~?"),'Calculations'!$HN$13:$HN$512,"="&amp;SUBSTITUTE(SUBSTITUTE(SUBSTITUTE('Dashboard'!$B$7,"~","~~"),"*","~*"),"?","~?"))))</x:f>
        <x:v>0</x:v>
      </x:c>
      <x:c r="JD113" t="n">
        <x:f>IF('Calculations'!EM113="",0,IF('Dashboard'!$B$7="All",1,IF('Calculations'!HN113='Dashboard'!$B$7,1,0)+IFERROR(INDEX('Calculations'!$JC$13:$JC$512,MATCH('Calculations'!HE113,'Calculations'!$HF$13:$HF$512,0)),0)))</x:f>
        <x:v>0</x:v>
      </x:c>
      <x:c r="JE113" t="n">
        <x:f>IF(AND('Calculations'!EM113&lt;&gt;"",'Calculations'!$JJ$2&lt;&gt;"All",'Calculations'!$JJ$2&lt;&gt;"",'Calculations'!HF113='Calculations'!$JJ$2,'Calculations'!HL113=0,'Calculations'!JD113&gt;0),MAX('Calculations'!$JE$12:JE112)+1,0)</x:f>
        <x:v>0</x:v>
      </x:c>
      <x:c r="JF113" t="str">
        <x:f>IF('Calculations'!EM113="","",IFERROR(IF(INDEX(INDIRECT("'WCM Calibration Final'!$G$1:$G$2000"),'Calculations'!$EM113)="","",TRIM(INDEX(INDIRECT("'WCM Calibration Final'!$G$1:$G$2000"),'Calculations'!$EM113)&amp;"")),""))</x:f>
      </x:c>
      <x:c r="JQ113" t="n">
        <x:f>IF(OR('Calculations'!BM113=0,NOT('Calculations'!$AG$2),'Calculations'!$AG$8&gt;0),0,IF(OR('Dashboard'!$B$7="All",'Calculations'!HN113='Dashboard'!$B$7),IF('Calculations'!$JJ$2="All",1,IF(AND('Calculations'!HF113='Calculations'!$JJ$2,'Calculations'!HL113=0),1,0)),0))</x:f>
        <x:v>0</x:v>
      </x:c>
    </x:row>
    <x:row r="114">
      <x:c r="AF114" s="4"/>
      <x:c r="AG114" s="4"/>
      <x:c r="AH114" s="4"/>
      <x:c r="AI114" s="4"/>
      <x:c r="AJ114" s="4"/>
      <x:c r="AK114" s="4"/>
      <x:c r="AL114" s="4"/>
      <x:c r="AM114" s="4"/>
      <x:c r="AN114" s="4"/>
      <x:c r="AO114" s="4"/>
      <x:c r="AP114" s="4"/>
      <x:c r="AQ114" s="4"/>
      <x:c r="AR114" s="4" t="n">
        <x:f>IFERROR(MATCH((MIN('Dashboard'!$Z$93,MAX(1,ROUNDUP(MAX('Calculations'!$DP$12:$DP$1012)/20,0)))-1)*20+17,'Calculations'!$DP$12:$DP$1012,0),0)</x:f>
        <x:v>0</x:v>
      </x:c>
      <x:c r="AS114" s="4"/>
      <x:c r="AT114" s="4"/>
      <x:c r="AU114" s="4"/>
      <x:c r="AV114" s="4"/>
      <x:c r="AW114" s="4"/>
      <x:c r="AX114" s="4"/>
      <x:c r="AY114" s="4"/>
      <x:c r="AZ114" s="4"/>
      <x:c r="BA114" s="4"/>
      <x:c r="BB114" s="4"/>
      <x:c r="BC114" s="4"/>
      <x:c r="BD114" s="4"/>
      <x:c r="BE114" s="4"/>
      <x:c r="BF114" s="4"/>
      <x:c r="BG114" s="4"/>
      <x:c r="BH114" s="4"/>
      <x:c r="BI114" s="4"/>
      <x:c r="BJ114" s="4"/>
      <x:c r="BK114" s="4"/>
      <x:c r="BL114" s="4"/>
      <x:c r="BM114" s="4" t="n">
        <x:f>IF('Calculations'!$EM114="",0,IF(OR(IFERROR(INDEX(INDIRECT("'WCM Calibration Final'!$A$1:$A$2000"),'Calculations'!$EM114)&lt;&gt;"",FALSE),IFERROR(INDEX(INDIRECT("'WCM Calibration Final'!$B$1:$B$2000"),'Calculations'!$EM114)&lt;&gt;"",FALSE),IFERROR(INDEX(INDIRECT("'WCM Calibration Final'!$C$1:$C$2000"),'Calculations'!$EM114)&lt;&gt;"",FALSE)),1,0))</x:f>
        <x:v>0</x:v>
      </x:c>
      <x:c r="BN114" s="4" t="n">
        <x:f>IF(AND('Calculations'!BM114=1,'Calculations'!$AG$2,'Calculations'!$EN114=1),1,0)</x:f>
        <x:v>0</x:v>
      </x:c>
      <x:c r="BO114" s="4" t="str">
        <x:f>IF('Calculations'!BM114=0,"",IFERROR(IF(AND(VALUE(INDEX(INDIRECT("'WCM Calibration Final'!$K$1:$K$2000"),'Calculations'!$EM114))&gt;=1,VALUE(INDEX(INDIRECT("'WCM Calibration Final'!$K$1:$K$2000"),'Calculations'!$EM114))&lt;=4,MOD(VALUE(INDEX(INDIRECT("'WCM Calibration Final'!$K$1:$K$2000"),'Calculations'!$EM114)),1)=0),VALUE(INDEX(INDIRECT("'WCM Calibration Final'!$K$1:$K$2000"),'Calculations'!$EM114)),""),""))</x:f>
      </x:c>
      <x:c r="BP114" s="4" t="str">
        <x:f>IF('Calculations'!BM114=0,"",IFERROR(IF(AND(VALUE(INDEX(INDIRECT("'WCM Calibration Final'!$L$1:$L$2000"),'Calculations'!$EM114))&gt;=1,VALUE(INDEX(INDIRECT("'WCM Calibration Final'!$L$1:$L$2000"),'Calculations'!$EM114))&lt;=4,MOD(VALUE(INDEX(INDIRECT("'WCM Calibration Final'!$L$1:$L$2000"),'Calculations'!$EM114)),1)=0),VALUE(INDEX(INDIRECT("'WCM Calibration Final'!$L$1:$L$2000"),'Calculations'!$EM114)),""),""))</x:f>
      </x:c>
      <x:c r="BQ114" s="4"/>
      <x:c r="BR114" s="4"/>
      <x:c r="BS114" s="4"/>
      <x:c r="BT114" s="4" t="n">
        <x:f>IF(AND('Calculations'!BM114=1,ISNUMBER('Calculations'!BO114),ISNUMBER('Calculations'!BP114)),1,0)</x:f>
        <x:v>0</x:v>
      </x:c>
      <x:c r="BU114" s="4" t="str">
        <x:f>IF('Calculations'!BM114=0,"",'Calculations'!$EO114)</x:f>
      </x:c>
      <x:c r="BV114" s="4" t="str">
        <x:f>IF('Calculations'!BM114=0,"",IFERROR(IF(OR(INDEX(INDIRECT("'WCM Calibration Final'!$H$1:$H$2000"),'Calculations'!$EM114)="MANAGING DIRECTOR",INDEX(INDIRECT("'WCM Calibration Final'!$H$1:$H$2000"),'Calculations'!$EM114)="DIRECTOR",INDEX(INDIRECT("'WCM Calibration Final'!$H$1:$H$2000"),'Calculations'!$EM114)="SENIOR VICE PRESIDENT",INDEX(INDIRECT("'WCM Calibration Final'!$H$1:$H$2000"),'Calculations'!$EM114)="VICE PRESIDENT",INDEX(INDIRECT("'WCM Calibration Final'!$H$1:$H$2000"),'Calculations'!$EM114)="ASSISTANT VICE PRESIDENT",INDEX(INDIRECT("'WCM Calibration Final'!$H$1:$H$2000"),'Calculations'!$EM114)="OFFICER"),UPPER(INDEX(INDIRECT("'WCM Calibration Final'!$H$1:$H$2000"),'Calculations'!$EM114)),"Other"),"Other"))</x:f>
      </x:c>
      <x:c r="BW114" s="4"/>
      <x:c r="BX114" s="4"/>
      <x:c r="BY114" s="4" t="n">
        <x:f>IF(AND('Calculations'!BM114=1,'Calculations'!BU114&lt;&gt;"",COUNTIF('Calculations'!$BU$12:BU114,'Calculations'!BU114)=1),MAX('Calculations'!$BY$11:BY113)+1,0)</x:f>
        <x:v>0</x:v>
      </x:c>
      <x:c r="BZ114" s="4" t="str">
        <x:f>IF('Dashboard'!$E$67="What",'Calculations'!BO114,'Calculations'!BP114)</x:f>
      </x:c>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t="str">
        <x:f>IF(103&gt;MAX('Calculations'!$HI$13:$HI$512),"",INDEX('Calculations'!$HN$13:$HN$512,MATCH(103,'Calculations'!$HI$13:$HI$512,0)))</x:f>
      </x:c>
      <x:c r="DB114" s="4" t="str">
        <x:f>IF(103&gt;MAX('Calculations'!$HH$13:$HH$512),"",INDEX('Calculations'!$HJ$13:$HJ$512,MATCH(103,'Calculations'!$HH$13:$HH$512,0)))</x:f>
      </x:c>
      <x:c r="DC114" s="4" t="str">
        <x:f>IF(ROW()-11&gt;MAX('Calculations'!$BY$13:$BY$512),"",INDEX('Calculations'!$BU$13:$BU$512,MATCH(ROW()-11,'Calculations'!$BY$13:$BY$512,0)))</x:f>
      </x:c>
      <x:c r="DD114" s="4" t="str">
        <x:f>IF(103&gt;MAX('Calculations'!$IK$13:$IK$512),"",INDEX('Calculations'!$HK$13:$HK$512,MATCH(103,'Calculations'!$IK$13:$IK$512,0)))</x:f>
      </x:c>
      <x:c r="DE114" s="4" t="str">
        <x:f>'Calculations'!DC114</x:f>
      </x:c>
      <x:c r="DF114" s="4" t="str">
        <x:f>IF('Calculations'!DE114="","",COUNTIFS('Calculations'!$BN$13:$BN$512,1,'Calculations'!$BU$13:$BU$512,'Calculations'!DE114))</x:f>
      </x:c>
      <x:c r="DG114" s="4" t="str">
        <x:f>IF('Calculations'!DE114="","",COUNTIFS('Calculations'!$BN$13:$BN$512,1,'Calculations'!$BU$13:$BU$512,'Calculations'!DE114,'Calculations'!$BT$13:$BT$512,1))</x:f>
      </x:c>
      <x:c r="DH114" s="4" t="str">
        <x:f>IF('Calculations'!DE114="","",'Calculations'!DF114-'Calculations'!DG114)</x:f>
      </x:c>
      <x:c r="DI114" s="4" t="str">
        <x:f>IF(OR('Calculations'!DE114="",'Calculations'!DF114=0),"",'Calculations'!DG114/'Calculations'!DF114)</x:f>
      </x:c>
      <x:c r="DJ114" s="4" t="str">
        <x:f>IF('Calculations'!DE114="","",COUNTIFS('Calculations'!$BN$13:$BN$512,1,'Calculations'!$BU$13:$BU$512,'Calculations'!DE114,'Calculations'!$BT$13:$BT$512,1,'Calculations'!$EE$13:$EE$512,"High"))</x:f>
      </x:c>
      <x:c r="DK114" s="4" t="str">
        <x:f>IF('Calculations'!DE114="","",COUNTIFS('Calculations'!$BN$13:$BN$512,1,'Calculations'!$BU$13:$BU$512,'Calculations'!DE114,'Calculations'!$BT$13:$BT$512,1,'Calculations'!$EE$13:$EE$512,"Strong"))</x:f>
      </x:c>
      <x:c r="DL114" s="4" t="str">
        <x:f>IF('Calculations'!DE114="","",COUNTIFS('Calculations'!$BN$13:$BN$512,1,'Calculations'!$BU$13:$BU$512,'Calculations'!DE114,'Calculations'!$BT$13:$BT$512,1,'Calculations'!$EE$13:$EE$512,"Solid"))</x:f>
      </x:c>
      <x:c r="DM114" s="4" t="str">
        <x:f>IF('Calculations'!DE114="","",COUNTIFS('Calculations'!$BN$13:$BN$512,1,'Calculations'!$BU$13:$BU$512,'Calculations'!DE114,'Calculations'!$BT$13:$BT$512,1,'Calculations'!$EE$13:$EE$512,"Low"))</x:f>
      </x:c>
      <x:c r="DN114" s="4" t="str">
        <x:f>IF('Calculations'!DE114="","",COUNTIFS('Calculations'!$BN$13:$BN$512,1,'Calculations'!$BU$13:$BU$512,'Calculations'!DE114,'Calculations'!$EP$13:$EP$512,1))</x:f>
      </x:c>
      <x:c r="DO114" s="4" t="str">
        <x:f>IF(OR('Calculations'!DE114="",'Calculations'!DG114=0),"",('Calculations'!DJ114+'Calculations'!DK114)/'Calculations'!DG114)</x:f>
      </x:c>
      <x:c r="DP114" s="4" t="n">
        <x:f>IF(AND('Calculations'!DE114&lt;&gt;"",'Calculations'!DF114&gt;0),COUNTIF('Calculations'!$DF$12:DF114,"&gt;0"),0)</x:f>
        <x:v>0</x:v>
      </x:c>
      <x:c r="DQ114" s="4" t="str">
        <x:f>IF(103&gt;MAX('Calculations'!$HH$13:$HH$512),"",INDEX('Calculations'!$HF$13:$HF$512,MATCH(103,'Calculations'!$HH$13:$HH$512,0)))</x:f>
      </x:c>
      <x:c r="DR114" s="4" t="str">
        <x:f>IF(103&gt;MAX('Calculations'!$IK$13:$IK$512),"",INDEX('Calculations'!$HE$13:$HE$512,MATCH(103,'Calculations'!$IK$13:$IK$512,0)))</x:f>
      </x:c>
      <x:c r="DS114" s="4"/>
      <x:c r="DT114" s="4"/>
      <x:c r="DU114" s="4"/>
      <x:c r="DV114" s="4"/>
      <x:c r="DW114" s="4"/>
      <x:c r="DX114" s="4"/>
      <x:c r="DY114" s="4"/>
      <x:c r="DZ114" s="4"/>
      <x:c r="EA114" s="4"/>
      <x:c r="EB114" s="4"/>
      <x:c r="EC114" s="4"/>
      <x:c r="ED114" s="4"/>
      <x:c r="EE114" s="4" t="str">
        <x:f>IF('Calculations'!BT114=0,"Not Rated",IF(OR('Calculations'!BO114&gt;=4,'Calculations'!BP114&gt;=4),"Low",IF('Calculations'!BO114+'Calculations'!BP114&lt;=3,"High",IF('Calculations'!BO114+'Calculations'!BP114&lt;=4,"Strong","Solid"))))</x:f>
        <x:v>Not Rated</x:v>
      </x:c>
      <x:c r="EF114" s="4"/>
      <x:c r="EG114" s="4"/>
      <x:c r="EH114" s="4"/>
      <x:c r="EI114" s="4"/>
      <x:c r="EJ114" s="4"/>
      <x:c r="EK114" s="4"/>
      <x:c r="EL114" s="4"/>
      <x:c r="EM114" s="4" t="str">
        <x:f>IF(102&gt;'Calculations'!$JB$2000,"",INDEX('Calculations'!$JA$12:$JA$2000,MATCH(102,'Calculations'!$JB$12:$JB$2000,0)))</x:f>
      </x:c>
      <x:c r="EN114" s="4" t="n">
        <x:f>IF(OR('Calculations'!EM114="",'Calculations'!$AG$8&gt;0,AND('Calculations'!$EF$2&lt;&gt;"All",'Calculations'!HE114='Calculations'!$EF$2),AND('Calculations'!$EF$3&lt;&gt;"All",'Calculations'!HE114='Calculations'!$EF$3)),0,IF(OR('Dashboard'!$B$7="All",'Calculations'!HN114='Dashboard'!$B$7),IF('Calculations'!$EF$2="All",1,IF('Calculations'!HL114&gt;0,0,IF(COUNTIF('Calculations'!HO114:II114,"="&amp;SUBSTITUTE(SUBSTITUTE(SUBSTITUTE('Calculations'!$EF$2,"~","~~"),"*","~*"),"?","~?"))=0,0,IF('Calculations'!$EF$3="All",1,IF(COUNTIF('Calculations'!HO114:II114,"="&amp;SUBSTITUTE(SUBSTITUTE(SUBSTITUTE('Calculations'!$EF$3,"~","~~"),"*","~*"),"?","~?"))&gt;0,1,0))))),0))</x:f>
        <x:v>0</x:v>
      </x:c>
      <x:c r="EO114" s="4" t="str">
        <x:f>IF('Calculations'!IJ114="","",IF('Calculations'!IJ114="!UNRESOLVED","Unresolved hierarchy",IFERROR(INDEX('Calculations'!$HK$13:$HK$512,MATCH('Calculations'!IJ114,'Calculations'!$HE$13:$HE$512,0)),IFERROR(INDEX('Calculations'!$HJ$13:$HJ$512,MATCH('Calculations'!IJ114,'Calculations'!$HF$13:$HF$512,0)),'Calculations'!IJ114))))</x:f>
      </x:c>
      <x:c r="EP114" s="4" t="n">
        <x:f>IF(AND('Calculations'!EM114&lt;&gt;"",'Calculations'!HF114='Calculations'!IJ114),1,0)</x:f>
        <x:v>0</x:v>
      </x:c>
      <x:c r="EQ114" s="4"/>
      <x:c r="ER114" s="4"/>
      <x:c r="ES114" s="4"/>
      <x:c r="ET114" s="4"/>
      <x:c r="EU114" s="4"/>
      <x:c r="EV114" s="4"/>
      <x:c r="EW114" s="4"/>
      <x:c r="EX114" s="4"/>
      <x:c r="EY114" s="4"/>
      <x:c r="EZ114" s="4"/>
      <x:c r="FA114" s="4"/>
      <x:c r="FB114" s="4"/>
      <x:c r="FC114" s="4"/>
      <x:c r="FD114" s="4"/>
      <x:c r="FE114" s="4"/>
      <x:c r="FF114" s="4"/>
      <x:c r="FG114" s="4"/>
      <x:c r="FH114" s="4"/>
      <x:c r="FI114" s="4"/>
      <x:c r="FJ114" s="4"/>
      <x:c r="FK114" s="4"/>
      <x:c r="FL114" s="4"/>
      <x:c r="FM114" s="4"/>
      <x:c r="FN114" s="4"/>
      <x:c r="FO114" s="4"/>
      <x:c r="GA114" s="71"/>
      <x:c r="GB114" s="71" t="str">
        <x:f>IF('Calculations'!$AR114=0,"",INDEX('Calculations'!$DE$12:$DE$1012,'Calculations'!$AR114))</x:f>
      </x:c>
      <x:c r="GC114" s="71"/>
      <x:c r="GD114" s="71"/>
      <x:c r="GE114" s="71"/>
      <x:c r="GF114" s="71"/>
      <x:c r="GG114" s="71"/>
      <x:c r="GH114" s="71"/>
      <x:c r="GI114" s="71" t="str">
        <x:f>IF('Calculations'!$AR114=0,"",INDEX('Calculations'!$DF$12:$DF$1012,'Calculations'!$AR114))</x:f>
      </x:c>
      <x:c r="GJ114" s="71"/>
      <x:c r="GK114" s="71" t="str">
        <x:f>IF('Calculations'!$AR114=0,"",INDEX('Calculations'!$DG$12:$DG$1012,'Calculations'!$AR114))</x:f>
      </x:c>
      <x:c r="GL114" s="71"/>
      <x:c r="GM114" s="71" t="str">
        <x:f>IF('Calculations'!$AR114=0,"",INDEX('Calculations'!$DH$12:$DH$1012,'Calculations'!$AR114))</x:f>
      </x:c>
      <x:c r="GN114" s="71"/>
      <x:c r="GO114" s="71" t="str">
        <x:f>IF('Calculations'!$AR114=0,"",INDEX('Calculations'!$DI$12:$DI$1012,'Calculations'!$AR114))</x:f>
      </x:c>
      <x:c r="GP114" s="71"/>
      <x:c r="GQ114" s="71" t="str">
        <x:f>IF('Calculations'!$AR114=0,"",INDEX('Calculations'!$DJ$12:$DJ$1012,'Calculations'!$AR114)&amp;" · "&amp;IF(INDEX('Calculations'!$DG$12:$DG$1012,'Calculations'!$AR114)=0,"n.a.",TEXT(INDEX('Calculations'!$DJ$12:$DJ$1012,'Calculations'!$AR114)/INDEX('Calculations'!$DG$12:$DG$1012,'Calculations'!$AR114),"0.0%")))</x:f>
      </x:c>
      <x:c r="GR114" s="71"/>
      <x:c r="GS114" s="71" t="str">
        <x:f>IF('Calculations'!$AR114=0,"",INDEX('Calculations'!$DK$12:$DK$1012,'Calculations'!$AR114)&amp;" · "&amp;IF(INDEX('Calculations'!$DG$12:$DG$1012,'Calculations'!$AR114)=0,"n.a.",TEXT(INDEX('Calculations'!$DK$12:$DK$1012,'Calculations'!$AR114)/INDEX('Calculations'!$DG$12:$DG$1012,'Calculations'!$AR114),"0.0%")))</x:f>
      </x:c>
      <x:c r="GT114" s="71"/>
      <x:c r="GU114" s="71" t="str">
        <x:f>IF('Calculations'!$AR114=0,"",INDEX('Calculations'!$DL$12:$DL$1012,'Calculations'!$AR114)&amp;" · "&amp;IF(INDEX('Calculations'!$DG$12:$DG$1012,'Calculations'!$AR114)=0,"n.a.",TEXT(INDEX('Calculations'!$DL$12:$DL$1012,'Calculations'!$AR114)/INDEX('Calculations'!$DG$12:$DG$1012,'Calculations'!$AR114),"0.0%")))</x:f>
      </x:c>
      <x:c r="GV114" s="71"/>
      <x:c r="GW114" s="71" t="str">
        <x:f>IF('Calculations'!$AR114=0,"",INDEX('Calculations'!$DM$12:$DM$1012,'Calculations'!$AR114)&amp;" · "&amp;IF(INDEX('Calculations'!$DG$12:$DG$1012,'Calculations'!$AR114)=0,"n.a.",TEXT(INDEX('Calculations'!$DM$12:$DM$1012,'Calculations'!$AR114)/INDEX('Calculations'!$DG$12:$DG$1012,'Calculations'!$AR114),"0.0%")))</x:f>
      </x:c>
      <x:c r="GX114" s="71"/>
      <x:c r="GY114" s="71" t="str">
        <x:f>IF('Calculations'!$AR114=0,"",INDEX('Calculations'!$DN$12:$DN$1012,'Calculations'!$AR114))</x:f>
      </x:c>
      <x:c r="GZ114" s="71"/>
      <x:c r="HA114" s="71" t="str">
        <x:f>IF('Calculations'!$AR114=0,"",INDEX('Calculations'!$DO$12:$DO$1012,'Calculations'!$AR114))</x:f>
      </x:c>
      <x:c r="HB114" s="71"/>
      <x:c r="HC114" s="71"/>
      <x:c r="HD114" s="71"/>
      <x:c r="HE114" t="str">
        <x:f>IF('Calculations'!EM114="","",IF(IFERROR(IF(INDEX(INDIRECT("'WCM Calibration Final'!$A$1:$A$2000"),'Calculations'!$EM114)="","",TRIM(INDEX(INDIRECT("'WCM Calibration Final'!$A$1:$A$2000"),'Calculations'!$EM114)&amp;"")),"")&lt;&gt;"","G:"&amp;IFERROR(TEXT(1*INDEX(INDIRECT("'WCM Calibration Final'!$A$1:$A$2000"),'Calculations'!$EM114),"0"),UPPER(IFERROR(IF(INDEX(INDIRECT("'WCM Calibration Final'!$A$1:$A$2000"),'Calculations'!$EM114)="","",TRIM(INDEX(INDIRECT("'WCM Calibration Final'!$A$1:$A$2000"),'Calculations'!$EM114)&amp;"")),""))),IF(IFERROR(IF(INDEX(INDIRECT("'WCM Calibration Final'!$C$1:$C$2000"),'Calculations'!$EM114)="","",TRIM(INDEX(INDIRECT("'WCM Calibration Final'!$C$1:$C$2000"),'Calculations'!$EM114)&amp;"")),"")&lt;&gt;"","S:"&amp;UPPER(IFERROR(IF(INDEX(INDIRECT("'WCM Calibration Final'!$C$1:$C$2000"),'Calculations'!$EM114)="","",TRIM(INDEX(INDIRECT("'WCM Calibration Final'!$C$1:$C$2000"),'Calculations'!$EM114)&amp;"")),"")),"R:"&amp;'Calculations'!EM114)))</x:f>
      </x:c>
      <x:c r="HF114" t="str">
        <x:f>IF('Calculations'!EM114="","",IF(IFERROR(IF(INDEX(INDIRECT("'WCM Calibration Final'!$D$1:$D$2000"),'Calculations'!$EM114)="","",TRIM(INDEX(INDIRECT("'WCM Calibration Final'!$D$1:$D$2000"),'Calculations'!$EM114)&amp;"")),"")&lt;&gt;"","G:"&amp;IFERROR(TEXT(1*INDEX(INDIRECT("'WCM Calibration Final'!$D$1:$D$2000"),'Calculations'!$EM114),"0"),UPPER(IFERROR(IF(INDEX(INDIRECT("'WCM Calibration Final'!$D$1:$D$2000"),'Calculations'!$EM114)="","",TRIM(INDEX(INDIRECT("'WCM Calibration Final'!$D$1:$D$2000"),'Calculations'!$EM114)&amp;"")),""))),IF(IFERROR(IF(INDEX(INDIRECT("'WCM Calibration Final'!$E$1:$E$2000"),'Calculations'!$EM114)="","",TRIM(INDEX(INDIRECT("'WCM Calibration Final'!$E$1:$E$2000"),'Calculations'!$EM114)&amp;"")),"")="","",IF(COUNTIF('Calculations'!$HG$13:$HG$512,"="&amp;SUBSTITUTE(SUBSTITUTE(SUBSTITUTE(IFERROR(IF(INDEX(INDIRECT("'WCM Calibration Final'!$E$1:$E$2000"),'Calculations'!$EM114)="","",TRIM(INDEX(INDIRECT("'WCM Calibration Final'!$E$1:$E$2000"),'Calculations'!$EM114)&amp;"")),""),"~","~~"),"*","~*"),"?","~?"))=1,INDEX('Calculations'!$HE$13:$HE$512,MATCH(IFERROR(IF(INDEX(INDIRECT("'WCM Calibration Final'!$E$1:$E$2000"),'Calculations'!$EM114)="","",TRIM(INDEX(INDIRECT("'WCM Calibration Final'!$E$1:$E$2000"),'Calculations'!$EM114)&amp;"")),""),'Calculations'!$HG$13:$HG$512,0)),IF(COUNTIF('Calculations'!$HG$13:$HG$512,"="&amp;SUBSTITUTE(SUBSTITUTE(SUBSTITUTE(IFERROR(IF(INDEX(INDIRECT("'WCM Calibration Final'!$E$1:$E$2000"),'Calculations'!$EM114)="","",TRIM(INDEX(INDIRECT("'WCM Calibration Final'!$E$1:$E$2000"),'Calculations'!$EM114)&amp;"")),""),"~","~~"),"*","~*"),"?","~?"))&gt;1,"!AMBIG","X:"&amp;IFERROR(IF(INDEX(INDIRECT("'WCM Calibration Final'!$E$1:$E$2000"),'Calculations'!$EM114)="","",TRIM(INDEX(INDIRECT("'WCM Calibration Final'!$E$1:$E$2000"),'Calculations'!$EM114)&amp;"")),""))))))</x:f>
      </x:c>
      <x:c r="HG114" t="str">
        <x:f>IF('Calculations'!EM114="","",IFERROR(IF(INDEX(INDIRECT("'WCM Calibration Final'!$B$1:$B$2000"),'Calculations'!$EM114)="","",TRIM(INDEX(INDIRECT("'WCM Calibration Final'!$B$1:$B$2000"),'Calculations'!$EM114)&amp;"")),""))</x:f>
      </x:c>
      <x:c r="HH114" t="n">
        <x:f>IF(AND('Calculations'!JC114&gt;0,COUNTIF('Calculations'!$HF$12:HF114,"="&amp;SUBSTITUTE(SUBSTITUTE(SUBSTITUTE('Calculations'!HF114,"~","~~"),"*","~*"),"?","~?"))=1),MAX('Calculations'!$HH$12:HH113)+1,0)</x:f>
        <x:v>0</x:v>
      </x:c>
      <x:c r="HI114" t="n">
        <x:f>IF(AND('Calculations'!HN114&lt;&gt;"",COUNTIF('Calculations'!$HN$12:HN114,"="&amp;SUBSTITUTE(SUBSTITUTE(SUBSTITUTE('Calculations'!HN114,"~","~~"),"*","~*"),"?","~?"))=1),MAX('Calculations'!$HI$12:HI113)+1,0)</x:f>
        <x:v>0</x:v>
      </x:c>
      <x:c r="HJ114" t="str">
        <x:f>IF('Calculations'!HF114="","",IF(COUNTIF('Calculations'!$HE$13:$HE$512,"="&amp;SUBSTITUTE(SUBSTITUTE(SUBSTITUTE('Calculations'!HF114,"~","~~"),"*","~*"),"?","~?"))=1,INDEX('Calculations'!$HK$13:$HK$512,MATCH('Calculations'!HF114,'Calculations'!$HE$13:$HE$512,0)),IFERROR(IF(INDEX(INDIRECT("'WCM Calibration Final'!$E$1:$E$2000"),'Calculations'!$EM114)="","",TRIM(INDEX(INDIRECT("'WCM Calibration Final'!$E$1:$E$2000"),'Calculations'!$EM114)&amp;"")),"")&amp;" ["&amp;'Calculations'!HF114&amp;"]"))</x:f>
      </x:c>
      <x:c r="HK114" t="str">
        <x:f>IF('Calculations'!EM114="","",'Calculations'!HG114&amp;" ["&amp;'Calculations'!HE114&amp;"]")</x:f>
      </x:c>
      <x:c r="HL114" t="n">
        <x:f>IF('Calculations'!EM114="",0,IF(OR('Calculations'!II114&lt;&gt;"",COUNTIF('Calculations'!$HE$13:$HE$512,"="&amp;SUBSTITUTE(SUBSTITUTE(SUBSTITUTE('Calculations'!HE114,"~","~~"),"*","~*"),"?","~?"))&gt;1),1,0))</x:f>
        <x:v>0</x:v>
      </x:c>
      <x:c r="HM114" t="str">
        <x:f>IF('Calculations'!EM114="","",IF('Calculations'!HL114=1,"!UNRESOLVED",IF('Calculations'!IH114&lt;&gt;"",'Calculations'!IH114,IF('Calculations'!IG114&lt;&gt;"",'Calculations'!IG114,IF('Calculations'!IF114&lt;&gt;"",'Calculations'!IF114,IF('Calculations'!IE114&lt;&gt;"",'Calculations'!IE114,IF('Calculations'!ID114&lt;&gt;"",'Calculations'!ID114,IF('Calculations'!IC114&lt;&gt;"",'Calculations'!IC114,IF('Calculations'!IB114&lt;&gt;"",'Calculations'!IB114,IF('Calculations'!IA114&lt;&gt;"",'Calculations'!IA114,IF('Calculations'!HZ114&lt;&gt;"",'Calculations'!HZ114,IF('Calculations'!HY114&lt;&gt;"",'Calculations'!HY114,IF('Calculations'!HX114&lt;&gt;"",'Calculations'!HX114,IF('Calculations'!HW114&lt;&gt;"",'Calculations'!HW114,IF('Calculations'!HV114&lt;&gt;"",'Calculations'!HV114,IF('Calculations'!HU114&lt;&gt;"",'Calculations'!HU114,IF('Calculations'!HT114&lt;&gt;"",'Calculations'!HT114,IF('Calculations'!HS114&lt;&gt;"",'Calculations'!HS114,IF('Calculations'!HR114&lt;&gt;"",'Calculations'!HR114,IF('Calculations'!HQ114&lt;&gt;"",'Calculations'!HQ114,IF('Calculations'!HP114&lt;&gt;"",'Calculations'!HP114,IF('Calculations'!HO114&lt;&gt;"",'Calculations'!HO114,'Calculations'!HE114))))))))))))))))))))))</x:f>
      </x:c>
      <x:c r="HN114" t="str">
        <x:f>IF('Calculations'!EM114="","",IF(IFERROR(IF(INDEX(INDIRECT("'WCM Calibration Final'!$F$1:$F$2000"),'Calculations'!$EM114)="","",TRIM(INDEX(INDIRECT("'WCM Calibration Final'!$F$1:$F$2000"),'Calculations'!$EM114)&amp;"")),"")="","(Blank)",IFERROR(IF(INDEX(INDIRECT("'WCM Calibration Final'!$F$1:$F$2000"),'Calculations'!$EM114)="","",TRIM(INDEX(INDIRECT("'WCM Calibration Final'!$F$1:$F$2000"),'Calculations'!$EM114)&amp;"")),"")))</x:f>
      </x:c>
      <x:c r="HO114" t="str">
        <x:f>'Calculations'!HF114</x:f>
      </x:c>
      <x:c r="HP114" t="str">
        <x:f>IF('Calculations'!HO114="","",IF('Calculations'!HO114="!AMBIG","!AMBIG",IF(COUNTIF('Calculations'!$HE$13:$HE$512,"="&amp;SUBSTITUTE(SUBSTITUTE(SUBSTITUTE('Calculations'!HO114,"~","~~"),"*","~*"),"?","~?"))&gt;1,"!AMBIG",IFERROR(INDEX('Calculations'!$HF$13:$HF$512,MATCH('Calculations'!HO114,'Calculations'!$HE$13:$HE$512,0)),""))))</x:f>
      </x:c>
      <x:c r="HQ114" t="str">
        <x:f>IF('Calculations'!HP114="","",IF('Calculations'!HP114="!AMBIG","!AMBIG",IF(COUNTIF('Calculations'!$HE$13:$HE$512,"="&amp;SUBSTITUTE(SUBSTITUTE(SUBSTITUTE('Calculations'!HP114,"~","~~"),"*","~*"),"?","~?"))&gt;1,"!AMBIG",IFERROR(INDEX('Calculations'!$HF$13:$HF$512,MATCH('Calculations'!HP114,'Calculations'!$HE$13:$HE$512,0)),""))))</x:f>
      </x:c>
      <x:c r="HR114" t="str">
        <x:f>IF('Calculations'!HQ114="","",IF('Calculations'!HQ114="!AMBIG","!AMBIG",IF(COUNTIF('Calculations'!$HE$13:$HE$512,"="&amp;SUBSTITUTE(SUBSTITUTE(SUBSTITUTE('Calculations'!HQ114,"~","~~"),"*","~*"),"?","~?"))&gt;1,"!AMBIG",IFERROR(INDEX('Calculations'!$HF$13:$HF$512,MATCH('Calculations'!HQ114,'Calculations'!$HE$13:$HE$512,0)),""))))</x:f>
      </x:c>
      <x:c r="HS114" t="str">
        <x:f>IF('Calculations'!HR114="","",IF('Calculations'!HR114="!AMBIG","!AMBIG",IF(COUNTIF('Calculations'!$HE$13:$HE$512,"="&amp;SUBSTITUTE(SUBSTITUTE(SUBSTITUTE('Calculations'!HR114,"~","~~"),"*","~*"),"?","~?"))&gt;1,"!AMBIG",IFERROR(INDEX('Calculations'!$HF$13:$HF$512,MATCH('Calculations'!HR114,'Calculations'!$HE$13:$HE$512,0)),""))))</x:f>
      </x:c>
      <x:c r="HT114" t="str">
        <x:f>IF('Calculations'!HS114="","",IF('Calculations'!HS114="!AMBIG","!AMBIG",IF(COUNTIF('Calculations'!$HE$13:$HE$512,"="&amp;SUBSTITUTE(SUBSTITUTE(SUBSTITUTE('Calculations'!HS114,"~","~~"),"*","~*"),"?","~?"))&gt;1,"!AMBIG",IFERROR(INDEX('Calculations'!$HF$13:$HF$512,MATCH('Calculations'!HS114,'Calculations'!$HE$13:$HE$512,0)),""))))</x:f>
      </x:c>
      <x:c r="HU114" t="str">
        <x:f>IF('Calculations'!HT114="","",IF('Calculations'!HT114="!AMBIG","!AMBIG",IF(COUNTIF('Calculations'!$HE$13:$HE$512,"="&amp;SUBSTITUTE(SUBSTITUTE(SUBSTITUTE('Calculations'!HT114,"~","~~"),"*","~*"),"?","~?"))&gt;1,"!AMBIG",IFERROR(INDEX('Calculations'!$HF$13:$HF$512,MATCH('Calculations'!HT114,'Calculations'!$HE$13:$HE$512,0)),""))))</x:f>
      </x:c>
      <x:c r="HV114" t="str">
        <x:f>IF('Calculations'!HU114="","",IF('Calculations'!HU114="!AMBIG","!AMBIG",IF(COUNTIF('Calculations'!$HE$13:$HE$512,"="&amp;SUBSTITUTE(SUBSTITUTE(SUBSTITUTE('Calculations'!HU114,"~","~~"),"*","~*"),"?","~?"))&gt;1,"!AMBIG",IFERROR(INDEX('Calculations'!$HF$13:$HF$512,MATCH('Calculations'!HU114,'Calculations'!$HE$13:$HE$512,0)),""))))</x:f>
      </x:c>
      <x:c r="HW114" t="str">
        <x:f>IF('Calculations'!HV114="","",IF('Calculations'!HV114="!AMBIG","!AMBIG",IF(COUNTIF('Calculations'!$HE$13:$HE$512,"="&amp;SUBSTITUTE(SUBSTITUTE(SUBSTITUTE('Calculations'!HV114,"~","~~"),"*","~*"),"?","~?"))&gt;1,"!AMBIG",IFERROR(INDEX('Calculations'!$HF$13:$HF$512,MATCH('Calculations'!HV114,'Calculations'!$HE$13:$HE$512,0)),""))))</x:f>
      </x:c>
      <x:c r="HX114" t="str">
        <x:f>IF('Calculations'!HW114="","",IF('Calculations'!HW114="!AMBIG","!AMBIG",IF(COUNTIF('Calculations'!$HE$13:$HE$512,"="&amp;SUBSTITUTE(SUBSTITUTE(SUBSTITUTE('Calculations'!HW114,"~","~~"),"*","~*"),"?","~?"))&gt;1,"!AMBIG",IFERROR(INDEX('Calculations'!$HF$13:$HF$512,MATCH('Calculations'!HW114,'Calculations'!$HE$13:$HE$512,0)),""))))</x:f>
      </x:c>
      <x:c r="HY114" t="str">
        <x:f>IF('Calculations'!HX114="","",IF('Calculations'!HX114="!AMBIG","!AMBIG",IF(COUNTIF('Calculations'!$HE$13:$HE$512,"="&amp;SUBSTITUTE(SUBSTITUTE(SUBSTITUTE('Calculations'!HX114,"~","~~"),"*","~*"),"?","~?"))&gt;1,"!AMBIG",IFERROR(INDEX('Calculations'!$HF$13:$HF$512,MATCH('Calculations'!HX114,'Calculations'!$HE$13:$HE$512,0)),""))))</x:f>
      </x:c>
      <x:c r="HZ114" t="str">
        <x:f>IF('Calculations'!HY114="","",IF('Calculations'!HY114="!AMBIG","!AMBIG",IF(COUNTIF('Calculations'!$HE$13:$HE$512,"="&amp;SUBSTITUTE(SUBSTITUTE(SUBSTITUTE('Calculations'!HY114,"~","~~"),"*","~*"),"?","~?"))&gt;1,"!AMBIG",IFERROR(INDEX('Calculations'!$HF$13:$HF$512,MATCH('Calculations'!HY114,'Calculations'!$HE$13:$HE$512,0)),""))))</x:f>
      </x:c>
      <x:c r="IA114" t="str">
        <x:f>IF('Calculations'!HZ114="","",IF('Calculations'!HZ114="!AMBIG","!AMBIG",IF(COUNTIF('Calculations'!$HE$13:$HE$512,"="&amp;SUBSTITUTE(SUBSTITUTE(SUBSTITUTE('Calculations'!HZ114,"~","~~"),"*","~*"),"?","~?"))&gt;1,"!AMBIG",IFERROR(INDEX('Calculations'!$HF$13:$HF$512,MATCH('Calculations'!HZ114,'Calculations'!$HE$13:$HE$512,0)),""))))</x:f>
      </x:c>
      <x:c r="IB114" t="str">
        <x:f>IF('Calculations'!IA114="","",IF('Calculations'!IA114="!AMBIG","!AMBIG",IF(COUNTIF('Calculations'!$HE$13:$HE$512,"="&amp;SUBSTITUTE(SUBSTITUTE(SUBSTITUTE('Calculations'!IA114,"~","~~"),"*","~*"),"?","~?"))&gt;1,"!AMBIG",IFERROR(INDEX('Calculations'!$HF$13:$HF$512,MATCH('Calculations'!IA114,'Calculations'!$HE$13:$HE$512,0)),""))))</x:f>
      </x:c>
      <x:c r="IC114" t="str">
        <x:f>IF('Calculations'!IB114="","",IF('Calculations'!IB114="!AMBIG","!AMBIG",IF(COUNTIF('Calculations'!$HE$13:$HE$512,"="&amp;SUBSTITUTE(SUBSTITUTE(SUBSTITUTE('Calculations'!IB114,"~","~~"),"*","~*"),"?","~?"))&gt;1,"!AMBIG",IFERROR(INDEX('Calculations'!$HF$13:$HF$512,MATCH('Calculations'!IB114,'Calculations'!$HE$13:$HE$512,0)),""))))</x:f>
      </x:c>
      <x:c r="ID114" t="str">
        <x:f>IF('Calculations'!IC114="","",IF('Calculations'!IC114="!AMBIG","!AMBIG",IF(COUNTIF('Calculations'!$HE$13:$HE$512,"="&amp;SUBSTITUTE(SUBSTITUTE(SUBSTITUTE('Calculations'!IC114,"~","~~"),"*","~*"),"?","~?"))&gt;1,"!AMBIG",IFERROR(INDEX('Calculations'!$HF$13:$HF$512,MATCH('Calculations'!IC114,'Calculations'!$HE$13:$HE$512,0)),""))))</x:f>
      </x:c>
      <x:c r="IE114" t="str">
        <x:f>IF('Calculations'!ID114="","",IF('Calculations'!ID114="!AMBIG","!AMBIG",IF(COUNTIF('Calculations'!$HE$13:$HE$512,"="&amp;SUBSTITUTE(SUBSTITUTE(SUBSTITUTE('Calculations'!ID114,"~","~~"),"*","~*"),"?","~?"))&gt;1,"!AMBIG",IFERROR(INDEX('Calculations'!$HF$13:$HF$512,MATCH('Calculations'!ID114,'Calculations'!$HE$13:$HE$512,0)),""))))</x:f>
      </x:c>
      <x:c r="IF114" t="str">
        <x:f>IF('Calculations'!IE114="","",IF('Calculations'!IE114="!AMBIG","!AMBIG",IF(COUNTIF('Calculations'!$HE$13:$HE$512,"="&amp;SUBSTITUTE(SUBSTITUTE(SUBSTITUTE('Calculations'!IE114,"~","~~"),"*","~*"),"?","~?"))&gt;1,"!AMBIG",IFERROR(INDEX('Calculations'!$HF$13:$HF$512,MATCH('Calculations'!IE114,'Calculations'!$HE$13:$HE$512,0)),""))))</x:f>
      </x:c>
      <x:c r="IG114" t="str">
        <x:f>IF('Calculations'!IF114="","",IF('Calculations'!IF114="!AMBIG","!AMBIG",IF(COUNTIF('Calculations'!$HE$13:$HE$512,"="&amp;SUBSTITUTE(SUBSTITUTE(SUBSTITUTE('Calculations'!IF114,"~","~~"),"*","~*"),"?","~?"))&gt;1,"!AMBIG",IFERROR(INDEX('Calculations'!$HF$13:$HF$512,MATCH('Calculations'!IF114,'Calculations'!$HE$13:$HE$512,0)),""))))</x:f>
      </x:c>
      <x:c r="IH114" t="str">
        <x:f>IF('Calculations'!IG114="","",IF('Calculations'!IG114="!AMBIG","!AMBIG",IF(COUNTIF('Calculations'!$HE$13:$HE$512,"="&amp;SUBSTITUTE(SUBSTITUTE(SUBSTITUTE('Calculations'!IG114,"~","~~"),"*","~*"),"?","~?"))&gt;1,"!AMBIG",IFERROR(INDEX('Calculations'!$HF$13:$HF$512,MATCH('Calculations'!IG114,'Calculations'!$HE$13:$HE$512,0)),""))))</x:f>
      </x:c>
      <x:c r="II114" t="str">
        <x:f>IF('Calculations'!IH114="","",IF('Calculations'!IH114="!AMBIG","!AMBIG",IF(COUNTIF('Calculations'!$HE$13:$HE$512,"="&amp;SUBSTITUTE(SUBSTITUTE(SUBSTITUTE('Calculations'!IH114,"~","~~"),"*","~*"),"?","~?"))&gt;1,"!AMBIG",IFERROR(INDEX('Calculations'!$HF$13:$HF$512,MATCH('Calculations'!IH114,'Calculations'!$HE$13:$HE$512,0)),""))))</x:f>
      </x:c>
      <x:c r="IJ114" t="str">
        <x:f>IF('Calculations'!EM114="","",IF('Calculations'!$EF$2="All",'Calculations'!HM114,IF('Calculations'!HL114=1,"",IFERROR(IF(MATCH('Calculations'!$EF$2,'Calculations'!HO114:II114,0)=1,'Calculations'!HE114,INDEX('Calculations'!HO114:II114,1,MATCH('Calculations'!$EF$2,'Calculations'!HO114:II114,0)-1)),""))))</x:f>
      </x:c>
      <x:c r="IK114" t="n">
        <x:f>IF(AND('Calculations'!EM114&lt;&gt;"",'Calculations'!$EF$2&lt;&gt;"All",'Calculations'!HF114='Calculations'!$EF$2,'Calculations'!HL114=0,'Calculations'!JD114&gt;0),MAX('Calculations'!$IK$12:IK113)+1,0)</x:f>
        <x:v>0</x:v>
      </x:c>
      <x:c r="JA114" t="n">
        <x:f>IF(OR(IFERROR(INDIRECT("'WCM Calibration Final'!$A$114")&lt;&gt;"",FALSE),IFERROR(INDIRECT("'WCM Calibration Final'!$B$114")&lt;&gt;"",FALSE),IFERROR(INDIRECT("'WCM Calibration Final'!$C$114")&lt;&gt;"",FALSE)),114,0)</x:f>
        <x:v>0</x:v>
      </x:c>
      <x:c r="JB114" t="n">
        <x:f>'Calculations'!JB113+IF('Calculations'!JA114&gt;0,1,0)</x:f>
        <x:v>0</x:v>
      </x:c>
      <x:c r="JC114" t="n">
        <x:f>IF(OR('Calculations'!HF114="",'Calculations'!HF114="!AMBIG"),0,IF('Dashboard'!$B$7="All",1,COUNTIFS('Calculations'!$HO$13:$HO$512,"="&amp;SUBSTITUTE(SUBSTITUTE(SUBSTITUTE('Calculations'!HF114,"~","~~"),"*","~*"),"?","~?"),'Calculations'!$HN$13:$HN$512,"="&amp;SUBSTITUTE(SUBSTITUTE(SUBSTITUTE('Dashboard'!$B$7,"~","~~"),"*","~*"),"?","~?"))+COUNTIFS('Calculations'!$HP$13:$HP$512,"="&amp;SUBSTITUTE(SUBSTITUTE(SUBSTITUTE('Calculations'!HF114,"~","~~"),"*","~*"),"?","~?"),'Calculations'!$HN$13:$HN$512,"="&amp;SUBSTITUTE(SUBSTITUTE(SUBSTITUTE('Dashboard'!$B$7,"~","~~"),"*","~*"),"?","~?"))+COUNTIFS('Calculations'!$HQ$13:$HQ$512,"="&amp;SUBSTITUTE(SUBSTITUTE(SUBSTITUTE('Calculations'!HF114,"~","~~"),"*","~*"),"?","~?"),'Calculations'!$HN$13:$HN$512,"="&amp;SUBSTITUTE(SUBSTITUTE(SUBSTITUTE('Dashboard'!$B$7,"~","~~"),"*","~*"),"?","~?"))+COUNTIFS('Calculations'!$HR$13:$HR$512,"="&amp;SUBSTITUTE(SUBSTITUTE(SUBSTITUTE('Calculations'!HF114,"~","~~"),"*","~*"),"?","~?"),'Calculations'!$HN$13:$HN$512,"="&amp;SUBSTITUTE(SUBSTITUTE(SUBSTITUTE('Dashboard'!$B$7,"~","~~"),"*","~*"),"?","~?"))+COUNTIFS('Calculations'!$HS$13:$HS$512,"="&amp;SUBSTITUTE(SUBSTITUTE(SUBSTITUTE('Calculations'!HF114,"~","~~"),"*","~*"),"?","~?"),'Calculations'!$HN$13:$HN$512,"="&amp;SUBSTITUTE(SUBSTITUTE(SUBSTITUTE('Dashboard'!$B$7,"~","~~"),"*","~*"),"?","~?"))+COUNTIFS('Calculations'!$HT$13:$HT$512,"="&amp;SUBSTITUTE(SUBSTITUTE(SUBSTITUTE('Calculations'!HF114,"~","~~"),"*","~*"),"?","~?"),'Calculations'!$HN$13:$HN$512,"="&amp;SUBSTITUTE(SUBSTITUTE(SUBSTITUTE('Dashboard'!$B$7,"~","~~"),"*","~*"),"?","~?"))+COUNTIFS('Calculations'!$HU$13:$HU$512,"="&amp;SUBSTITUTE(SUBSTITUTE(SUBSTITUTE('Calculations'!HF114,"~","~~"),"*","~*"),"?","~?"),'Calculations'!$HN$13:$HN$512,"="&amp;SUBSTITUTE(SUBSTITUTE(SUBSTITUTE('Dashboard'!$B$7,"~","~~"),"*","~*"),"?","~?"))+COUNTIFS('Calculations'!$HV$13:$HV$512,"="&amp;SUBSTITUTE(SUBSTITUTE(SUBSTITUTE('Calculations'!HF114,"~","~~"),"*","~*"),"?","~?"),'Calculations'!$HN$13:$HN$512,"="&amp;SUBSTITUTE(SUBSTITUTE(SUBSTITUTE('Dashboard'!$B$7,"~","~~"),"*","~*"),"?","~?"))+COUNTIFS('Calculations'!$HW$13:$HW$512,"="&amp;SUBSTITUTE(SUBSTITUTE(SUBSTITUTE('Calculations'!HF114,"~","~~"),"*","~*"),"?","~?"),'Calculations'!$HN$13:$HN$512,"="&amp;SUBSTITUTE(SUBSTITUTE(SUBSTITUTE('Dashboard'!$B$7,"~","~~"),"*","~*"),"?","~?"))+COUNTIFS('Calculations'!$HX$13:$HX$512,"="&amp;SUBSTITUTE(SUBSTITUTE(SUBSTITUTE('Calculations'!HF114,"~","~~"),"*","~*"),"?","~?"),'Calculations'!$HN$13:$HN$512,"="&amp;SUBSTITUTE(SUBSTITUTE(SUBSTITUTE('Dashboard'!$B$7,"~","~~"),"*","~*"),"?","~?"))+COUNTIFS('Calculations'!$HY$13:$HY$512,"="&amp;SUBSTITUTE(SUBSTITUTE(SUBSTITUTE('Calculations'!HF114,"~","~~"),"*","~*"),"?","~?"),'Calculations'!$HN$13:$HN$512,"="&amp;SUBSTITUTE(SUBSTITUTE(SUBSTITUTE('Dashboard'!$B$7,"~","~~"),"*","~*"),"?","~?"))+COUNTIFS('Calculations'!$HZ$13:$HZ$512,"="&amp;SUBSTITUTE(SUBSTITUTE(SUBSTITUTE('Calculations'!HF114,"~","~~"),"*","~*"),"?","~?"),'Calculations'!$HN$13:$HN$512,"="&amp;SUBSTITUTE(SUBSTITUTE(SUBSTITUTE('Dashboard'!$B$7,"~","~~"),"*","~*"),"?","~?"))+COUNTIFS('Calculations'!$IA$13:$IA$512,"="&amp;SUBSTITUTE(SUBSTITUTE(SUBSTITUTE('Calculations'!HF114,"~","~~"),"*","~*"),"?","~?"),'Calculations'!$HN$13:$HN$512,"="&amp;SUBSTITUTE(SUBSTITUTE(SUBSTITUTE('Dashboard'!$B$7,"~","~~"),"*","~*"),"?","~?"))+COUNTIFS('Calculations'!$IB$13:$IB$512,"="&amp;SUBSTITUTE(SUBSTITUTE(SUBSTITUTE('Calculations'!HF114,"~","~~"),"*","~*"),"?","~?"),'Calculations'!$HN$13:$HN$512,"="&amp;SUBSTITUTE(SUBSTITUTE(SUBSTITUTE('Dashboard'!$B$7,"~","~~"),"*","~*"),"?","~?"))+COUNTIFS('Calculations'!$IC$13:$IC$512,"="&amp;SUBSTITUTE(SUBSTITUTE(SUBSTITUTE('Calculations'!HF114,"~","~~"),"*","~*"),"?","~?"),'Calculations'!$HN$13:$HN$512,"="&amp;SUBSTITUTE(SUBSTITUTE(SUBSTITUTE('Dashboard'!$B$7,"~","~~"),"*","~*"),"?","~?"))+COUNTIFS('Calculations'!$ID$13:$ID$512,"="&amp;SUBSTITUTE(SUBSTITUTE(SUBSTITUTE('Calculations'!HF114,"~","~~"),"*","~*"),"?","~?"),'Calculations'!$HN$13:$HN$512,"="&amp;SUBSTITUTE(SUBSTITUTE(SUBSTITUTE('Dashboard'!$B$7,"~","~~"),"*","~*"),"?","~?"))+COUNTIFS('Calculations'!$IE$13:$IE$512,"="&amp;SUBSTITUTE(SUBSTITUTE(SUBSTITUTE('Calculations'!HF114,"~","~~"),"*","~*"),"?","~?"),'Calculations'!$HN$13:$HN$512,"="&amp;SUBSTITUTE(SUBSTITUTE(SUBSTITUTE('Dashboard'!$B$7,"~","~~"),"*","~*"),"?","~?"))+COUNTIFS('Calculations'!$IF$13:$IF$512,"="&amp;SUBSTITUTE(SUBSTITUTE(SUBSTITUTE('Calculations'!HF114,"~","~~"),"*","~*"),"?","~?"),'Calculations'!$HN$13:$HN$512,"="&amp;SUBSTITUTE(SUBSTITUTE(SUBSTITUTE('Dashboard'!$B$7,"~","~~"),"*","~*"),"?","~?"))+COUNTIFS('Calculations'!$IG$13:$IG$512,"="&amp;SUBSTITUTE(SUBSTITUTE(SUBSTITUTE('Calculations'!HF114,"~","~~"),"*","~*"),"?","~?"),'Calculations'!$HN$13:$HN$512,"="&amp;SUBSTITUTE(SUBSTITUTE(SUBSTITUTE('Dashboard'!$B$7,"~","~~"),"*","~*"),"?","~?"))+COUNTIFS('Calculations'!$IH$13:$IH$512,"="&amp;SUBSTITUTE(SUBSTITUTE(SUBSTITUTE('Calculations'!HF114,"~","~~"),"*","~*"),"?","~?"),'Calculations'!$HN$13:$HN$512,"="&amp;SUBSTITUTE(SUBSTITUTE(SUBSTITUTE('Dashboard'!$B$7,"~","~~"),"*","~*"),"?","~?"))))</x:f>
        <x:v>0</x:v>
      </x:c>
      <x:c r="JD114" t="n">
        <x:f>IF('Calculations'!EM114="",0,IF('Dashboard'!$B$7="All",1,IF('Calculations'!HN114='Dashboard'!$B$7,1,0)+IFERROR(INDEX('Calculations'!$JC$13:$JC$512,MATCH('Calculations'!HE114,'Calculations'!$HF$13:$HF$512,0)),0)))</x:f>
        <x:v>0</x:v>
      </x:c>
      <x:c r="JE114" t="n">
        <x:f>IF(AND('Calculations'!EM114&lt;&gt;"",'Calculations'!$JJ$2&lt;&gt;"All",'Calculations'!$JJ$2&lt;&gt;"",'Calculations'!HF114='Calculations'!$JJ$2,'Calculations'!HL114=0,'Calculations'!JD114&gt;0),MAX('Calculations'!$JE$12:JE113)+1,0)</x:f>
        <x:v>0</x:v>
      </x:c>
      <x:c r="JF114" t="str">
        <x:f>IF('Calculations'!EM114="","",IFERROR(IF(INDEX(INDIRECT("'WCM Calibration Final'!$G$1:$G$2000"),'Calculations'!$EM114)="","",TRIM(INDEX(INDIRECT("'WCM Calibration Final'!$G$1:$G$2000"),'Calculations'!$EM114)&amp;"")),""))</x:f>
      </x:c>
      <x:c r="JQ114" t="n">
        <x:f>IF(OR('Calculations'!BM114=0,NOT('Calculations'!$AG$2),'Calculations'!$AG$8&gt;0),0,IF(OR('Dashboard'!$B$7="All",'Calculations'!HN114='Dashboard'!$B$7),IF('Calculations'!$JJ$2="All",1,IF(AND('Calculations'!HF114='Calculations'!$JJ$2,'Calculations'!HL114=0),1,0)),0))</x:f>
        <x:v>0</x:v>
      </x:c>
    </x:row>
    <x:row r="115">
      <x:c r="AF115" s="4"/>
      <x:c r="AG115" s="4"/>
      <x:c r="AH115" s="4"/>
      <x:c r="AI115" s="4"/>
      <x:c r="AJ115" s="4"/>
      <x:c r="AK115" s="4"/>
      <x:c r="AL115" s="4"/>
      <x:c r="AM115" s="4"/>
      <x:c r="AN115" s="4"/>
      <x:c r="AO115" s="4"/>
      <x:c r="AP115" s="4"/>
      <x:c r="AQ115" s="4"/>
      <x:c r="AR115" s="4" t="n">
        <x:f>IFERROR(MATCH((MIN('Dashboard'!$Z$93,MAX(1,ROUNDUP(MAX('Calculations'!$DP$12:$DP$1012)/20,0)))-1)*20+18,'Calculations'!$DP$12:$DP$1012,0),0)</x:f>
        <x:v>0</x:v>
      </x:c>
      <x:c r="AS115" s="4"/>
      <x:c r="AT115" s="4"/>
      <x:c r="AU115" s="4"/>
      <x:c r="AV115" s="4"/>
      <x:c r="AW115" s="4"/>
      <x:c r="AX115" s="4"/>
      <x:c r="AY115" s="4"/>
      <x:c r="AZ115" s="4"/>
      <x:c r="BA115" s="4"/>
      <x:c r="BB115" s="4"/>
      <x:c r="BC115" s="4"/>
      <x:c r="BD115" s="4"/>
      <x:c r="BE115" s="4"/>
      <x:c r="BF115" s="4"/>
      <x:c r="BG115" s="4"/>
      <x:c r="BH115" s="4"/>
      <x:c r="BI115" s="4"/>
      <x:c r="BJ115" s="4"/>
      <x:c r="BK115" s="4"/>
      <x:c r="BL115" s="4"/>
      <x:c r="BM115" s="4" t="n">
        <x:f>IF('Calculations'!$EM115="",0,IF(OR(IFERROR(INDEX(INDIRECT("'WCM Calibration Final'!$A$1:$A$2000"),'Calculations'!$EM115)&lt;&gt;"",FALSE),IFERROR(INDEX(INDIRECT("'WCM Calibration Final'!$B$1:$B$2000"),'Calculations'!$EM115)&lt;&gt;"",FALSE),IFERROR(INDEX(INDIRECT("'WCM Calibration Final'!$C$1:$C$2000"),'Calculations'!$EM115)&lt;&gt;"",FALSE)),1,0))</x:f>
        <x:v>0</x:v>
      </x:c>
      <x:c r="BN115" s="4" t="n">
        <x:f>IF(AND('Calculations'!BM115=1,'Calculations'!$AG$2,'Calculations'!$EN115=1),1,0)</x:f>
        <x:v>0</x:v>
      </x:c>
      <x:c r="BO115" s="4" t="str">
        <x:f>IF('Calculations'!BM115=0,"",IFERROR(IF(AND(VALUE(INDEX(INDIRECT("'WCM Calibration Final'!$K$1:$K$2000"),'Calculations'!$EM115))&gt;=1,VALUE(INDEX(INDIRECT("'WCM Calibration Final'!$K$1:$K$2000"),'Calculations'!$EM115))&lt;=4,MOD(VALUE(INDEX(INDIRECT("'WCM Calibration Final'!$K$1:$K$2000"),'Calculations'!$EM115)),1)=0),VALUE(INDEX(INDIRECT("'WCM Calibration Final'!$K$1:$K$2000"),'Calculations'!$EM115)),""),""))</x:f>
      </x:c>
      <x:c r="BP115" s="4" t="str">
        <x:f>IF('Calculations'!BM115=0,"",IFERROR(IF(AND(VALUE(INDEX(INDIRECT("'WCM Calibration Final'!$L$1:$L$2000"),'Calculations'!$EM115))&gt;=1,VALUE(INDEX(INDIRECT("'WCM Calibration Final'!$L$1:$L$2000"),'Calculations'!$EM115))&lt;=4,MOD(VALUE(INDEX(INDIRECT("'WCM Calibration Final'!$L$1:$L$2000"),'Calculations'!$EM115)),1)=0),VALUE(INDEX(INDIRECT("'WCM Calibration Final'!$L$1:$L$2000"),'Calculations'!$EM115)),""),""))</x:f>
      </x:c>
      <x:c r="BQ115" s="4"/>
      <x:c r="BR115" s="4"/>
      <x:c r="BS115" s="4"/>
      <x:c r="BT115" s="4" t="n">
        <x:f>IF(AND('Calculations'!BM115=1,ISNUMBER('Calculations'!BO115),ISNUMBER('Calculations'!BP115)),1,0)</x:f>
        <x:v>0</x:v>
      </x:c>
      <x:c r="BU115" s="4" t="str">
        <x:f>IF('Calculations'!BM115=0,"",'Calculations'!$EO115)</x:f>
      </x:c>
      <x:c r="BV115" s="4" t="str">
        <x:f>IF('Calculations'!BM115=0,"",IFERROR(IF(OR(INDEX(INDIRECT("'WCM Calibration Final'!$H$1:$H$2000"),'Calculations'!$EM115)="MANAGING DIRECTOR",INDEX(INDIRECT("'WCM Calibration Final'!$H$1:$H$2000"),'Calculations'!$EM115)="DIRECTOR",INDEX(INDIRECT("'WCM Calibration Final'!$H$1:$H$2000"),'Calculations'!$EM115)="SENIOR VICE PRESIDENT",INDEX(INDIRECT("'WCM Calibration Final'!$H$1:$H$2000"),'Calculations'!$EM115)="VICE PRESIDENT",INDEX(INDIRECT("'WCM Calibration Final'!$H$1:$H$2000"),'Calculations'!$EM115)="ASSISTANT VICE PRESIDENT",INDEX(INDIRECT("'WCM Calibration Final'!$H$1:$H$2000"),'Calculations'!$EM115)="OFFICER"),UPPER(INDEX(INDIRECT("'WCM Calibration Final'!$H$1:$H$2000"),'Calculations'!$EM115)),"Other"),"Other"))</x:f>
      </x:c>
      <x:c r="BW115" s="4"/>
      <x:c r="BX115" s="4"/>
      <x:c r="BY115" s="4" t="n">
        <x:f>IF(AND('Calculations'!BM115=1,'Calculations'!BU115&lt;&gt;"",COUNTIF('Calculations'!$BU$12:BU115,'Calculations'!BU115)=1),MAX('Calculations'!$BY$11:BY114)+1,0)</x:f>
        <x:v>0</x:v>
      </x:c>
      <x:c r="BZ115" s="4" t="str">
        <x:f>IF('Dashboard'!$E$67="What",'Calculations'!BO115,'Calculations'!BP115)</x:f>
      </x:c>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t="str">
        <x:f>IF(104&gt;MAX('Calculations'!$HI$13:$HI$512),"",INDEX('Calculations'!$HN$13:$HN$512,MATCH(104,'Calculations'!$HI$13:$HI$512,0)))</x:f>
      </x:c>
      <x:c r="DB115" s="4" t="str">
        <x:f>IF(104&gt;MAX('Calculations'!$HH$13:$HH$512),"",INDEX('Calculations'!$HJ$13:$HJ$512,MATCH(104,'Calculations'!$HH$13:$HH$512,0)))</x:f>
      </x:c>
      <x:c r="DC115" s="4" t="str">
        <x:f>IF(ROW()-11&gt;MAX('Calculations'!$BY$13:$BY$512),"",INDEX('Calculations'!$BU$13:$BU$512,MATCH(ROW()-11,'Calculations'!$BY$13:$BY$512,0)))</x:f>
      </x:c>
      <x:c r="DD115" s="4" t="str">
        <x:f>IF(104&gt;MAX('Calculations'!$IK$13:$IK$512),"",INDEX('Calculations'!$HK$13:$HK$512,MATCH(104,'Calculations'!$IK$13:$IK$512,0)))</x:f>
      </x:c>
      <x:c r="DE115" s="4" t="str">
        <x:f>'Calculations'!DC115</x:f>
      </x:c>
      <x:c r="DF115" s="4" t="str">
        <x:f>IF('Calculations'!DE115="","",COUNTIFS('Calculations'!$BN$13:$BN$512,1,'Calculations'!$BU$13:$BU$512,'Calculations'!DE115))</x:f>
      </x:c>
      <x:c r="DG115" s="4" t="str">
        <x:f>IF('Calculations'!DE115="","",COUNTIFS('Calculations'!$BN$13:$BN$512,1,'Calculations'!$BU$13:$BU$512,'Calculations'!DE115,'Calculations'!$BT$13:$BT$512,1))</x:f>
      </x:c>
      <x:c r="DH115" s="4" t="str">
        <x:f>IF('Calculations'!DE115="","",'Calculations'!DF115-'Calculations'!DG115)</x:f>
      </x:c>
      <x:c r="DI115" s="4" t="str">
        <x:f>IF(OR('Calculations'!DE115="",'Calculations'!DF115=0),"",'Calculations'!DG115/'Calculations'!DF115)</x:f>
      </x:c>
      <x:c r="DJ115" s="4" t="str">
        <x:f>IF('Calculations'!DE115="","",COUNTIFS('Calculations'!$BN$13:$BN$512,1,'Calculations'!$BU$13:$BU$512,'Calculations'!DE115,'Calculations'!$BT$13:$BT$512,1,'Calculations'!$EE$13:$EE$512,"High"))</x:f>
      </x:c>
      <x:c r="DK115" s="4" t="str">
        <x:f>IF('Calculations'!DE115="","",COUNTIFS('Calculations'!$BN$13:$BN$512,1,'Calculations'!$BU$13:$BU$512,'Calculations'!DE115,'Calculations'!$BT$13:$BT$512,1,'Calculations'!$EE$13:$EE$512,"Strong"))</x:f>
      </x:c>
      <x:c r="DL115" s="4" t="str">
        <x:f>IF('Calculations'!DE115="","",COUNTIFS('Calculations'!$BN$13:$BN$512,1,'Calculations'!$BU$13:$BU$512,'Calculations'!DE115,'Calculations'!$BT$13:$BT$512,1,'Calculations'!$EE$13:$EE$512,"Solid"))</x:f>
      </x:c>
      <x:c r="DM115" s="4" t="str">
        <x:f>IF('Calculations'!DE115="","",COUNTIFS('Calculations'!$BN$13:$BN$512,1,'Calculations'!$BU$13:$BU$512,'Calculations'!DE115,'Calculations'!$BT$13:$BT$512,1,'Calculations'!$EE$13:$EE$512,"Low"))</x:f>
      </x:c>
      <x:c r="DN115" s="4" t="str">
        <x:f>IF('Calculations'!DE115="","",COUNTIFS('Calculations'!$BN$13:$BN$512,1,'Calculations'!$BU$13:$BU$512,'Calculations'!DE115,'Calculations'!$EP$13:$EP$512,1))</x:f>
      </x:c>
      <x:c r="DO115" s="4" t="str">
        <x:f>IF(OR('Calculations'!DE115="",'Calculations'!DG115=0),"",('Calculations'!DJ115+'Calculations'!DK115)/'Calculations'!DG115)</x:f>
      </x:c>
      <x:c r="DP115" s="4" t="n">
        <x:f>IF(AND('Calculations'!DE115&lt;&gt;"",'Calculations'!DF115&gt;0),COUNTIF('Calculations'!$DF$12:DF115,"&gt;0"),0)</x:f>
        <x:v>0</x:v>
      </x:c>
      <x:c r="DQ115" s="4" t="str">
        <x:f>IF(104&gt;MAX('Calculations'!$HH$13:$HH$512),"",INDEX('Calculations'!$HF$13:$HF$512,MATCH(104,'Calculations'!$HH$13:$HH$512,0)))</x:f>
      </x:c>
      <x:c r="DR115" s="4" t="str">
        <x:f>IF(104&gt;MAX('Calculations'!$IK$13:$IK$512),"",INDEX('Calculations'!$HE$13:$HE$512,MATCH(104,'Calculations'!$IK$13:$IK$512,0)))</x:f>
      </x:c>
      <x:c r="DS115" s="4"/>
      <x:c r="DT115" s="4"/>
      <x:c r="DU115" s="4"/>
      <x:c r="DV115" s="4"/>
      <x:c r="DW115" s="4"/>
      <x:c r="DX115" s="4"/>
      <x:c r="DY115" s="4"/>
      <x:c r="DZ115" s="4"/>
      <x:c r="EA115" s="4"/>
      <x:c r="EB115" s="4"/>
      <x:c r="EC115" s="4"/>
      <x:c r="ED115" s="4"/>
      <x:c r="EE115" s="4" t="str">
        <x:f>IF('Calculations'!BT115=0,"Not Rated",IF(OR('Calculations'!BO115&gt;=4,'Calculations'!BP115&gt;=4),"Low",IF('Calculations'!BO115+'Calculations'!BP115&lt;=3,"High",IF('Calculations'!BO115+'Calculations'!BP115&lt;=4,"Strong","Solid"))))</x:f>
        <x:v>Not Rated</x:v>
      </x:c>
      <x:c r="EF115" s="4"/>
      <x:c r="EG115" s="4"/>
      <x:c r="EH115" s="4"/>
      <x:c r="EI115" s="4"/>
      <x:c r="EJ115" s="4"/>
      <x:c r="EK115" s="4"/>
      <x:c r="EL115" s="4"/>
      <x:c r="EM115" s="4" t="str">
        <x:f>IF(103&gt;'Calculations'!$JB$2000,"",INDEX('Calculations'!$JA$12:$JA$2000,MATCH(103,'Calculations'!$JB$12:$JB$2000,0)))</x:f>
      </x:c>
      <x:c r="EN115" s="4" t="n">
        <x:f>IF(OR('Calculations'!EM115="",'Calculations'!$AG$8&gt;0,AND('Calculations'!$EF$2&lt;&gt;"All",'Calculations'!HE115='Calculations'!$EF$2),AND('Calculations'!$EF$3&lt;&gt;"All",'Calculations'!HE115='Calculations'!$EF$3)),0,IF(OR('Dashboard'!$B$7="All",'Calculations'!HN115='Dashboard'!$B$7),IF('Calculations'!$EF$2="All",1,IF('Calculations'!HL115&gt;0,0,IF(COUNTIF('Calculations'!HO115:II115,"="&amp;SUBSTITUTE(SUBSTITUTE(SUBSTITUTE('Calculations'!$EF$2,"~","~~"),"*","~*"),"?","~?"))=0,0,IF('Calculations'!$EF$3="All",1,IF(COUNTIF('Calculations'!HO115:II115,"="&amp;SUBSTITUTE(SUBSTITUTE(SUBSTITUTE('Calculations'!$EF$3,"~","~~"),"*","~*"),"?","~?"))&gt;0,1,0))))),0))</x:f>
        <x:v>0</x:v>
      </x:c>
      <x:c r="EO115" s="4" t="str">
        <x:f>IF('Calculations'!IJ115="","",IF('Calculations'!IJ115="!UNRESOLVED","Unresolved hierarchy",IFERROR(INDEX('Calculations'!$HK$13:$HK$512,MATCH('Calculations'!IJ115,'Calculations'!$HE$13:$HE$512,0)),IFERROR(INDEX('Calculations'!$HJ$13:$HJ$512,MATCH('Calculations'!IJ115,'Calculations'!$HF$13:$HF$512,0)),'Calculations'!IJ115))))</x:f>
      </x:c>
      <x:c r="EP115" s="4" t="n">
        <x:f>IF(AND('Calculations'!EM115&lt;&gt;"",'Calculations'!HF115='Calculations'!IJ115),1,0)</x:f>
        <x:v>0</x:v>
      </x:c>
      <x:c r="EQ115" s="4"/>
      <x:c r="ER115" s="4"/>
      <x:c r="ES115" s="4"/>
      <x:c r="ET115" s="4"/>
      <x:c r="EU115" s="4"/>
      <x:c r="EV115" s="4"/>
      <x:c r="EW115" s="4"/>
      <x:c r="EX115" s="4"/>
      <x:c r="EY115" s="4"/>
      <x:c r="EZ115" s="4"/>
      <x:c r="FA115" s="4"/>
      <x:c r="FB115" s="4"/>
      <x:c r="FC115" s="4"/>
      <x:c r="FD115" s="4"/>
      <x:c r="FE115" s="4"/>
      <x:c r="FF115" s="4"/>
      <x:c r="FG115" s="4"/>
      <x:c r="FH115" s="4"/>
      <x:c r="FI115" s="4"/>
      <x:c r="FJ115" s="4"/>
      <x:c r="FK115" s="4"/>
      <x:c r="FL115" s="4"/>
      <x:c r="FM115" s="4"/>
      <x:c r="FN115" s="4"/>
      <x:c r="FO115" s="4"/>
      <x:c r="GA115" s="71"/>
      <x:c r="GB115" s="71" t="str">
        <x:f>IF('Calculations'!$AR115=0,"",INDEX('Calculations'!$DE$12:$DE$1012,'Calculations'!$AR115))</x:f>
      </x:c>
      <x:c r="GC115" s="71"/>
      <x:c r="GD115" s="71"/>
      <x:c r="GE115" s="71"/>
      <x:c r="GF115" s="71"/>
      <x:c r="GG115" s="71"/>
      <x:c r="GH115" s="71"/>
      <x:c r="GI115" s="71" t="str">
        <x:f>IF('Calculations'!$AR115=0,"",INDEX('Calculations'!$DF$12:$DF$1012,'Calculations'!$AR115))</x:f>
      </x:c>
      <x:c r="GJ115" s="71"/>
      <x:c r="GK115" s="71" t="str">
        <x:f>IF('Calculations'!$AR115=0,"",INDEX('Calculations'!$DG$12:$DG$1012,'Calculations'!$AR115))</x:f>
      </x:c>
      <x:c r="GL115" s="71"/>
      <x:c r="GM115" s="71" t="str">
        <x:f>IF('Calculations'!$AR115=0,"",INDEX('Calculations'!$DH$12:$DH$1012,'Calculations'!$AR115))</x:f>
      </x:c>
      <x:c r="GN115" s="71"/>
      <x:c r="GO115" s="71" t="str">
        <x:f>IF('Calculations'!$AR115=0,"",INDEX('Calculations'!$DI$12:$DI$1012,'Calculations'!$AR115))</x:f>
      </x:c>
      <x:c r="GP115" s="71"/>
      <x:c r="GQ115" s="71" t="str">
        <x:f>IF('Calculations'!$AR115=0,"",INDEX('Calculations'!$DJ$12:$DJ$1012,'Calculations'!$AR115)&amp;" · "&amp;IF(INDEX('Calculations'!$DG$12:$DG$1012,'Calculations'!$AR115)=0,"n.a.",TEXT(INDEX('Calculations'!$DJ$12:$DJ$1012,'Calculations'!$AR115)/INDEX('Calculations'!$DG$12:$DG$1012,'Calculations'!$AR115),"0.0%")))</x:f>
      </x:c>
      <x:c r="GR115" s="71"/>
      <x:c r="GS115" s="71" t="str">
        <x:f>IF('Calculations'!$AR115=0,"",INDEX('Calculations'!$DK$12:$DK$1012,'Calculations'!$AR115)&amp;" · "&amp;IF(INDEX('Calculations'!$DG$12:$DG$1012,'Calculations'!$AR115)=0,"n.a.",TEXT(INDEX('Calculations'!$DK$12:$DK$1012,'Calculations'!$AR115)/INDEX('Calculations'!$DG$12:$DG$1012,'Calculations'!$AR115),"0.0%")))</x:f>
      </x:c>
      <x:c r="GT115" s="71"/>
      <x:c r="GU115" s="71" t="str">
        <x:f>IF('Calculations'!$AR115=0,"",INDEX('Calculations'!$DL$12:$DL$1012,'Calculations'!$AR115)&amp;" · "&amp;IF(INDEX('Calculations'!$DG$12:$DG$1012,'Calculations'!$AR115)=0,"n.a.",TEXT(INDEX('Calculations'!$DL$12:$DL$1012,'Calculations'!$AR115)/INDEX('Calculations'!$DG$12:$DG$1012,'Calculations'!$AR115),"0.0%")))</x:f>
      </x:c>
      <x:c r="GV115" s="71"/>
      <x:c r="GW115" s="71" t="str">
        <x:f>IF('Calculations'!$AR115=0,"",INDEX('Calculations'!$DM$12:$DM$1012,'Calculations'!$AR115)&amp;" · "&amp;IF(INDEX('Calculations'!$DG$12:$DG$1012,'Calculations'!$AR115)=0,"n.a.",TEXT(INDEX('Calculations'!$DM$12:$DM$1012,'Calculations'!$AR115)/INDEX('Calculations'!$DG$12:$DG$1012,'Calculations'!$AR115),"0.0%")))</x:f>
      </x:c>
      <x:c r="GX115" s="71"/>
      <x:c r="GY115" s="71" t="str">
        <x:f>IF('Calculations'!$AR115=0,"",INDEX('Calculations'!$DN$12:$DN$1012,'Calculations'!$AR115))</x:f>
      </x:c>
      <x:c r="GZ115" s="71"/>
      <x:c r="HA115" s="71" t="str">
        <x:f>IF('Calculations'!$AR115=0,"",INDEX('Calculations'!$DO$12:$DO$1012,'Calculations'!$AR115))</x:f>
      </x:c>
      <x:c r="HB115" s="71"/>
      <x:c r="HC115" s="71"/>
      <x:c r="HD115" s="71"/>
      <x:c r="HE115" t="str">
        <x:f>IF('Calculations'!EM115="","",IF(IFERROR(IF(INDEX(INDIRECT("'WCM Calibration Final'!$A$1:$A$2000"),'Calculations'!$EM115)="","",TRIM(INDEX(INDIRECT("'WCM Calibration Final'!$A$1:$A$2000"),'Calculations'!$EM115)&amp;"")),"")&lt;&gt;"","G:"&amp;IFERROR(TEXT(1*INDEX(INDIRECT("'WCM Calibration Final'!$A$1:$A$2000"),'Calculations'!$EM115),"0"),UPPER(IFERROR(IF(INDEX(INDIRECT("'WCM Calibration Final'!$A$1:$A$2000"),'Calculations'!$EM115)="","",TRIM(INDEX(INDIRECT("'WCM Calibration Final'!$A$1:$A$2000"),'Calculations'!$EM115)&amp;"")),""))),IF(IFERROR(IF(INDEX(INDIRECT("'WCM Calibration Final'!$C$1:$C$2000"),'Calculations'!$EM115)="","",TRIM(INDEX(INDIRECT("'WCM Calibration Final'!$C$1:$C$2000"),'Calculations'!$EM115)&amp;"")),"")&lt;&gt;"","S:"&amp;UPPER(IFERROR(IF(INDEX(INDIRECT("'WCM Calibration Final'!$C$1:$C$2000"),'Calculations'!$EM115)="","",TRIM(INDEX(INDIRECT("'WCM Calibration Final'!$C$1:$C$2000"),'Calculations'!$EM115)&amp;"")),"")),"R:"&amp;'Calculations'!EM115)))</x:f>
      </x:c>
      <x:c r="HF115" t="str">
        <x:f>IF('Calculations'!EM115="","",IF(IFERROR(IF(INDEX(INDIRECT("'WCM Calibration Final'!$D$1:$D$2000"),'Calculations'!$EM115)="","",TRIM(INDEX(INDIRECT("'WCM Calibration Final'!$D$1:$D$2000"),'Calculations'!$EM115)&amp;"")),"")&lt;&gt;"","G:"&amp;IFERROR(TEXT(1*INDEX(INDIRECT("'WCM Calibration Final'!$D$1:$D$2000"),'Calculations'!$EM115),"0"),UPPER(IFERROR(IF(INDEX(INDIRECT("'WCM Calibration Final'!$D$1:$D$2000"),'Calculations'!$EM115)="","",TRIM(INDEX(INDIRECT("'WCM Calibration Final'!$D$1:$D$2000"),'Calculations'!$EM115)&amp;"")),""))),IF(IFERROR(IF(INDEX(INDIRECT("'WCM Calibration Final'!$E$1:$E$2000"),'Calculations'!$EM115)="","",TRIM(INDEX(INDIRECT("'WCM Calibration Final'!$E$1:$E$2000"),'Calculations'!$EM115)&amp;"")),"")="","",IF(COUNTIF('Calculations'!$HG$13:$HG$512,"="&amp;SUBSTITUTE(SUBSTITUTE(SUBSTITUTE(IFERROR(IF(INDEX(INDIRECT("'WCM Calibration Final'!$E$1:$E$2000"),'Calculations'!$EM115)="","",TRIM(INDEX(INDIRECT("'WCM Calibration Final'!$E$1:$E$2000"),'Calculations'!$EM115)&amp;"")),""),"~","~~"),"*","~*"),"?","~?"))=1,INDEX('Calculations'!$HE$13:$HE$512,MATCH(IFERROR(IF(INDEX(INDIRECT("'WCM Calibration Final'!$E$1:$E$2000"),'Calculations'!$EM115)="","",TRIM(INDEX(INDIRECT("'WCM Calibration Final'!$E$1:$E$2000"),'Calculations'!$EM115)&amp;"")),""),'Calculations'!$HG$13:$HG$512,0)),IF(COUNTIF('Calculations'!$HG$13:$HG$512,"="&amp;SUBSTITUTE(SUBSTITUTE(SUBSTITUTE(IFERROR(IF(INDEX(INDIRECT("'WCM Calibration Final'!$E$1:$E$2000"),'Calculations'!$EM115)="","",TRIM(INDEX(INDIRECT("'WCM Calibration Final'!$E$1:$E$2000"),'Calculations'!$EM115)&amp;"")),""),"~","~~"),"*","~*"),"?","~?"))&gt;1,"!AMBIG","X:"&amp;IFERROR(IF(INDEX(INDIRECT("'WCM Calibration Final'!$E$1:$E$2000"),'Calculations'!$EM115)="","",TRIM(INDEX(INDIRECT("'WCM Calibration Final'!$E$1:$E$2000"),'Calculations'!$EM115)&amp;"")),""))))))</x:f>
      </x:c>
      <x:c r="HG115" t="str">
        <x:f>IF('Calculations'!EM115="","",IFERROR(IF(INDEX(INDIRECT("'WCM Calibration Final'!$B$1:$B$2000"),'Calculations'!$EM115)="","",TRIM(INDEX(INDIRECT("'WCM Calibration Final'!$B$1:$B$2000"),'Calculations'!$EM115)&amp;"")),""))</x:f>
      </x:c>
      <x:c r="HH115" t="n">
        <x:f>IF(AND('Calculations'!JC115&gt;0,COUNTIF('Calculations'!$HF$12:HF115,"="&amp;SUBSTITUTE(SUBSTITUTE(SUBSTITUTE('Calculations'!HF115,"~","~~"),"*","~*"),"?","~?"))=1),MAX('Calculations'!$HH$12:HH114)+1,0)</x:f>
        <x:v>0</x:v>
      </x:c>
      <x:c r="HI115" t="n">
        <x:f>IF(AND('Calculations'!HN115&lt;&gt;"",COUNTIF('Calculations'!$HN$12:HN115,"="&amp;SUBSTITUTE(SUBSTITUTE(SUBSTITUTE('Calculations'!HN115,"~","~~"),"*","~*"),"?","~?"))=1),MAX('Calculations'!$HI$12:HI114)+1,0)</x:f>
        <x:v>0</x:v>
      </x:c>
      <x:c r="HJ115" t="str">
        <x:f>IF('Calculations'!HF115="","",IF(COUNTIF('Calculations'!$HE$13:$HE$512,"="&amp;SUBSTITUTE(SUBSTITUTE(SUBSTITUTE('Calculations'!HF115,"~","~~"),"*","~*"),"?","~?"))=1,INDEX('Calculations'!$HK$13:$HK$512,MATCH('Calculations'!HF115,'Calculations'!$HE$13:$HE$512,0)),IFERROR(IF(INDEX(INDIRECT("'WCM Calibration Final'!$E$1:$E$2000"),'Calculations'!$EM115)="","",TRIM(INDEX(INDIRECT("'WCM Calibration Final'!$E$1:$E$2000"),'Calculations'!$EM115)&amp;"")),"")&amp;" ["&amp;'Calculations'!HF115&amp;"]"))</x:f>
      </x:c>
      <x:c r="HK115" t="str">
        <x:f>IF('Calculations'!EM115="","",'Calculations'!HG115&amp;" ["&amp;'Calculations'!HE115&amp;"]")</x:f>
      </x:c>
      <x:c r="HL115" t="n">
        <x:f>IF('Calculations'!EM115="",0,IF(OR('Calculations'!II115&lt;&gt;"",COUNTIF('Calculations'!$HE$13:$HE$512,"="&amp;SUBSTITUTE(SUBSTITUTE(SUBSTITUTE('Calculations'!HE115,"~","~~"),"*","~*"),"?","~?"))&gt;1),1,0))</x:f>
        <x:v>0</x:v>
      </x:c>
      <x:c r="HM115" t="str">
        <x:f>IF('Calculations'!EM115="","",IF('Calculations'!HL115=1,"!UNRESOLVED",IF('Calculations'!IH115&lt;&gt;"",'Calculations'!IH115,IF('Calculations'!IG115&lt;&gt;"",'Calculations'!IG115,IF('Calculations'!IF115&lt;&gt;"",'Calculations'!IF115,IF('Calculations'!IE115&lt;&gt;"",'Calculations'!IE115,IF('Calculations'!ID115&lt;&gt;"",'Calculations'!ID115,IF('Calculations'!IC115&lt;&gt;"",'Calculations'!IC115,IF('Calculations'!IB115&lt;&gt;"",'Calculations'!IB115,IF('Calculations'!IA115&lt;&gt;"",'Calculations'!IA115,IF('Calculations'!HZ115&lt;&gt;"",'Calculations'!HZ115,IF('Calculations'!HY115&lt;&gt;"",'Calculations'!HY115,IF('Calculations'!HX115&lt;&gt;"",'Calculations'!HX115,IF('Calculations'!HW115&lt;&gt;"",'Calculations'!HW115,IF('Calculations'!HV115&lt;&gt;"",'Calculations'!HV115,IF('Calculations'!HU115&lt;&gt;"",'Calculations'!HU115,IF('Calculations'!HT115&lt;&gt;"",'Calculations'!HT115,IF('Calculations'!HS115&lt;&gt;"",'Calculations'!HS115,IF('Calculations'!HR115&lt;&gt;"",'Calculations'!HR115,IF('Calculations'!HQ115&lt;&gt;"",'Calculations'!HQ115,IF('Calculations'!HP115&lt;&gt;"",'Calculations'!HP115,IF('Calculations'!HO115&lt;&gt;"",'Calculations'!HO115,'Calculations'!HE115))))))))))))))))))))))</x:f>
      </x:c>
      <x:c r="HN115" t="str">
        <x:f>IF('Calculations'!EM115="","",IF(IFERROR(IF(INDEX(INDIRECT("'WCM Calibration Final'!$F$1:$F$2000"),'Calculations'!$EM115)="","",TRIM(INDEX(INDIRECT("'WCM Calibration Final'!$F$1:$F$2000"),'Calculations'!$EM115)&amp;"")),"")="","(Blank)",IFERROR(IF(INDEX(INDIRECT("'WCM Calibration Final'!$F$1:$F$2000"),'Calculations'!$EM115)="","",TRIM(INDEX(INDIRECT("'WCM Calibration Final'!$F$1:$F$2000"),'Calculations'!$EM115)&amp;"")),"")))</x:f>
      </x:c>
      <x:c r="HO115" t="str">
        <x:f>'Calculations'!HF115</x:f>
      </x:c>
      <x:c r="HP115" t="str">
        <x:f>IF('Calculations'!HO115="","",IF('Calculations'!HO115="!AMBIG","!AMBIG",IF(COUNTIF('Calculations'!$HE$13:$HE$512,"="&amp;SUBSTITUTE(SUBSTITUTE(SUBSTITUTE('Calculations'!HO115,"~","~~"),"*","~*"),"?","~?"))&gt;1,"!AMBIG",IFERROR(INDEX('Calculations'!$HF$13:$HF$512,MATCH('Calculations'!HO115,'Calculations'!$HE$13:$HE$512,0)),""))))</x:f>
      </x:c>
      <x:c r="HQ115" t="str">
        <x:f>IF('Calculations'!HP115="","",IF('Calculations'!HP115="!AMBIG","!AMBIG",IF(COUNTIF('Calculations'!$HE$13:$HE$512,"="&amp;SUBSTITUTE(SUBSTITUTE(SUBSTITUTE('Calculations'!HP115,"~","~~"),"*","~*"),"?","~?"))&gt;1,"!AMBIG",IFERROR(INDEX('Calculations'!$HF$13:$HF$512,MATCH('Calculations'!HP115,'Calculations'!$HE$13:$HE$512,0)),""))))</x:f>
      </x:c>
      <x:c r="HR115" t="str">
        <x:f>IF('Calculations'!HQ115="","",IF('Calculations'!HQ115="!AMBIG","!AMBIG",IF(COUNTIF('Calculations'!$HE$13:$HE$512,"="&amp;SUBSTITUTE(SUBSTITUTE(SUBSTITUTE('Calculations'!HQ115,"~","~~"),"*","~*"),"?","~?"))&gt;1,"!AMBIG",IFERROR(INDEX('Calculations'!$HF$13:$HF$512,MATCH('Calculations'!HQ115,'Calculations'!$HE$13:$HE$512,0)),""))))</x:f>
      </x:c>
      <x:c r="HS115" t="str">
        <x:f>IF('Calculations'!HR115="","",IF('Calculations'!HR115="!AMBIG","!AMBIG",IF(COUNTIF('Calculations'!$HE$13:$HE$512,"="&amp;SUBSTITUTE(SUBSTITUTE(SUBSTITUTE('Calculations'!HR115,"~","~~"),"*","~*"),"?","~?"))&gt;1,"!AMBIG",IFERROR(INDEX('Calculations'!$HF$13:$HF$512,MATCH('Calculations'!HR115,'Calculations'!$HE$13:$HE$512,0)),""))))</x:f>
      </x:c>
      <x:c r="HT115" t="str">
        <x:f>IF('Calculations'!HS115="","",IF('Calculations'!HS115="!AMBIG","!AMBIG",IF(COUNTIF('Calculations'!$HE$13:$HE$512,"="&amp;SUBSTITUTE(SUBSTITUTE(SUBSTITUTE('Calculations'!HS115,"~","~~"),"*","~*"),"?","~?"))&gt;1,"!AMBIG",IFERROR(INDEX('Calculations'!$HF$13:$HF$512,MATCH('Calculations'!HS115,'Calculations'!$HE$13:$HE$512,0)),""))))</x:f>
      </x:c>
      <x:c r="HU115" t="str">
        <x:f>IF('Calculations'!HT115="","",IF('Calculations'!HT115="!AMBIG","!AMBIG",IF(COUNTIF('Calculations'!$HE$13:$HE$512,"="&amp;SUBSTITUTE(SUBSTITUTE(SUBSTITUTE('Calculations'!HT115,"~","~~"),"*","~*"),"?","~?"))&gt;1,"!AMBIG",IFERROR(INDEX('Calculations'!$HF$13:$HF$512,MATCH('Calculations'!HT115,'Calculations'!$HE$13:$HE$512,0)),""))))</x:f>
      </x:c>
      <x:c r="HV115" t="str">
        <x:f>IF('Calculations'!HU115="","",IF('Calculations'!HU115="!AMBIG","!AMBIG",IF(COUNTIF('Calculations'!$HE$13:$HE$512,"="&amp;SUBSTITUTE(SUBSTITUTE(SUBSTITUTE('Calculations'!HU115,"~","~~"),"*","~*"),"?","~?"))&gt;1,"!AMBIG",IFERROR(INDEX('Calculations'!$HF$13:$HF$512,MATCH('Calculations'!HU115,'Calculations'!$HE$13:$HE$512,0)),""))))</x:f>
      </x:c>
      <x:c r="HW115" t="str">
        <x:f>IF('Calculations'!HV115="","",IF('Calculations'!HV115="!AMBIG","!AMBIG",IF(COUNTIF('Calculations'!$HE$13:$HE$512,"="&amp;SUBSTITUTE(SUBSTITUTE(SUBSTITUTE('Calculations'!HV115,"~","~~"),"*","~*"),"?","~?"))&gt;1,"!AMBIG",IFERROR(INDEX('Calculations'!$HF$13:$HF$512,MATCH('Calculations'!HV115,'Calculations'!$HE$13:$HE$512,0)),""))))</x:f>
      </x:c>
      <x:c r="HX115" t="str">
        <x:f>IF('Calculations'!HW115="","",IF('Calculations'!HW115="!AMBIG","!AMBIG",IF(COUNTIF('Calculations'!$HE$13:$HE$512,"="&amp;SUBSTITUTE(SUBSTITUTE(SUBSTITUTE('Calculations'!HW115,"~","~~"),"*","~*"),"?","~?"))&gt;1,"!AMBIG",IFERROR(INDEX('Calculations'!$HF$13:$HF$512,MATCH('Calculations'!HW115,'Calculations'!$HE$13:$HE$512,0)),""))))</x:f>
      </x:c>
      <x:c r="HY115" t="str">
        <x:f>IF('Calculations'!HX115="","",IF('Calculations'!HX115="!AMBIG","!AMBIG",IF(COUNTIF('Calculations'!$HE$13:$HE$512,"="&amp;SUBSTITUTE(SUBSTITUTE(SUBSTITUTE('Calculations'!HX115,"~","~~"),"*","~*"),"?","~?"))&gt;1,"!AMBIG",IFERROR(INDEX('Calculations'!$HF$13:$HF$512,MATCH('Calculations'!HX115,'Calculations'!$HE$13:$HE$512,0)),""))))</x:f>
      </x:c>
      <x:c r="HZ115" t="str">
        <x:f>IF('Calculations'!HY115="","",IF('Calculations'!HY115="!AMBIG","!AMBIG",IF(COUNTIF('Calculations'!$HE$13:$HE$512,"="&amp;SUBSTITUTE(SUBSTITUTE(SUBSTITUTE('Calculations'!HY115,"~","~~"),"*","~*"),"?","~?"))&gt;1,"!AMBIG",IFERROR(INDEX('Calculations'!$HF$13:$HF$512,MATCH('Calculations'!HY115,'Calculations'!$HE$13:$HE$512,0)),""))))</x:f>
      </x:c>
      <x:c r="IA115" t="str">
        <x:f>IF('Calculations'!HZ115="","",IF('Calculations'!HZ115="!AMBIG","!AMBIG",IF(COUNTIF('Calculations'!$HE$13:$HE$512,"="&amp;SUBSTITUTE(SUBSTITUTE(SUBSTITUTE('Calculations'!HZ115,"~","~~"),"*","~*"),"?","~?"))&gt;1,"!AMBIG",IFERROR(INDEX('Calculations'!$HF$13:$HF$512,MATCH('Calculations'!HZ115,'Calculations'!$HE$13:$HE$512,0)),""))))</x:f>
      </x:c>
      <x:c r="IB115" t="str">
        <x:f>IF('Calculations'!IA115="","",IF('Calculations'!IA115="!AMBIG","!AMBIG",IF(COUNTIF('Calculations'!$HE$13:$HE$512,"="&amp;SUBSTITUTE(SUBSTITUTE(SUBSTITUTE('Calculations'!IA115,"~","~~"),"*","~*"),"?","~?"))&gt;1,"!AMBIG",IFERROR(INDEX('Calculations'!$HF$13:$HF$512,MATCH('Calculations'!IA115,'Calculations'!$HE$13:$HE$512,0)),""))))</x:f>
      </x:c>
      <x:c r="IC115" t="str">
        <x:f>IF('Calculations'!IB115="","",IF('Calculations'!IB115="!AMBIG","!AMBIG",IF(COUNTIF('Calculations'!$HE$13:$HE$512,"="&amp;SUBSTITUTE(SUBSTITUTE(SUBSTITUTE('Calculations'!IB115,"~","~~"),"*","~*"),"?","~?"))&gt;1,"!AMBIG",IFERROR(INDEX('Calculations'!$HF$13:$HF$512,MATCH('Calculations'!IB115,'Calculations'!$HE$13:$HE$512,0)),""))))</x:f>
      </x:c>
      <x:c r="ID115" t="str">
        <x:f>IF('Calculations'!IC115="","",IF('Calculations'!IC115="!AMBIG","!AMBIG",IF(COUNTIF('Calculations'!$HE$13:$HE$512,"="&amp;SUBSTITUTE(SUBSTITUTE(SUBSTITUTE('Calculations'!IC115,"~","~~"),"*","~*"),"?","~?"))&gt;1,"!AMBIG",IFERROR(INDEX('Calculations'!$HF$13:$HF$512,MATCH('Calculations'!IC115,'Calculations'!$HE$13:$HE$512,0)),""))))</x:f>
      </x:c>
      <x:c r="IE115" t="str">
        <x:f>IF('Calculations'!ID115="","",IF('Calculations'!ID115="!AMBIG","!AMBIG",IF(COUNTIF('Calculations'!$HE$13:$HE$512,"="&amp;SUBSTITUTE(SUBSTITUTE(SUBSTITUTE('Calculations'!ID115,"~","~~"),"*","~*"),"?","~?"))&gt;1,"!AMBIG",IFERROR(INDEX('Calculations'!$HF$13:$HF$512,MATCH('Calculations'!ID115,'Calculations'!$HE$13:$HE$512,0)),""))))</x:f>
      </x:c>
      <x:c r="IF115" t="str">
        <x:f>IF('Calculations'!IE115="","",IF('Calculations'!IE115="!AMBIG","!AMBIG",IF(COUNTIF('Calculations'!$HE$13:$HE$512,"="&amp;SUBSTITUTE(SUBSTITUTE(SUBSTITUTE('Calculations'!IE115,"~","~~"),"*","~*"),"?","~?"))&gt;1,"!AMBIG",IFERROR(INDEX('Calculations'!$HF$13:$HF$512,MATCH('Calculations'!IE115,'Calculations'!$HE$13:$HE$512,0)),""))))</x:f>
      </x:c>
      <x:c r="IG115" t="str">
        <x:f>IF('Calculations'!IF115="","",IF('Calculations'!IF115="!AMBIG","!AMBIG",IF(COUNTIF('Calculations'!$HE$13:$HE$512,"="&amp;SUBSTITUTE(SUBSTITUTE(SUBSTITUTE('Calculations'!IF115,"~","~~"),"*","~*"),"?","~?"))&gt;1,"!AMBIG",IFERROR(INDEX('Calculations'!$HF$13:$HF$512,MATCH('Calculations'!IF115,'Calculations'!$HE$13:$HE$512,0)),""))))</x:f>
      </x:c>
      <x:c r="IH115" t="str">
        <x:f>IF('Calculations'!IG115="","",IF('Calculations'!IG115="!AMBIG","!AMBIG",IF(COUNTIF('Calculations'!$HE$13:$HE$512,"="&amp;SUBSTITUTE(SUBSTITUTE(SUBSTITUTE('Calculations'!IG115,"~","~~"),"*","~*"),"?","~?"))&gt;1,"!AMBIG",IFERROR(INDEX('Calculations'!$HF$13:$HF$512,MATCH('Calculations'!IG115,'Calculations'!$HE$13:$HE$512,0)),""))))</x:f>
      </x:c>
      <x:c r="II115" t="str">
        <x:f>IF('Calculations'!IH115="","",IF('Calculations'!IH115="!AMBIG","!AMBIG",IF(COUNTIF('Calculations'!$HE$13:$HE$512,"="&amp;SUBSTITUTE(SUBSTITUTE(SUBSTITUTE('Calculations'!IH115,"~","~~"),"*","~*"),"?","~?"))&gt;1,"!AMBIG",IFERROR(INDEX('Calculations'!$HF$13:$HF$512,MATCH('Calculations'!IH115,'Calculations'!$HE$13:$HE$512,0)),""))))</x:f>
      </x:c>
      <x:c r="IJ115" t="str">
        <x:f>IF('Calculations'!EM115="","",IF('Calculations'!$EF$2="All",'Calculations'!HM115,IF('Calculations'!HL115=1,"",IFERROR(IF(MATCH('Calculations'!$EF$2,'Calculations'!HO115:II115,0)=1,'Calculations'!HE115,INDEX('Calculations'!HO115:II115,1,MATCH('Calculations'!$EF$2,'Calculations'!HO115:II115,0)-1)),""))))</x:f>
      </x:c>
      <x:c r="IK115" t="n">
        <x:f>IF(AND('Calculations'!EM115&lt;&gt;"",'Calculations'!$EF$2&lt;&gt;"All",'Calculations'!HF115='Calculations'!$EF$2,'Calculations'!HL115=0,'Calculations'!JD115&gt;0),MAX('Calculations'!$IK$12:IK114)+1,0)</x:f>
        <x:v>0</x:v>
      </x:c>
      <x:c r="JA115" t="n">
        <x:f>IF(OR(IFERROR(INDIRECT("'WCM Calibration Final'!$A$115")&lt;&gt;"",FALSE),IFERROR(INDIRECT("'WCM Calibration Final'!$B$115")&lt;&gt;"",FALSE),IFERROR(INDIRECT("'WCM Calibration Final'!$C$115")&lt;&gt;"",FALSE)),115,0)</x:f>
        <x:v>0</x:v>
      </x:c>
      <x:c r="JB115" t="n">
        <x:f>'Calculations'!JB114+IF('Calculations'!JA115&gt;0,1,0)</x:f>
        <x:v>0</x:v>
      </x:c>
      <x:c r="JC115" t="n">
        <x:f>IF(OR('Calculations'!HF115="",'Calculations'!HF115="!AMBIG"),0,IF('Dashboard'!$B$7="All",1,COUNTIFS('Calculations'!$HO$13:$HO$512,"="&amp;SUBSTITUTE(SUBSTITUTE(SUBSTITUTE('Calculations'!HF115,"~","~~"),"*","~*"),"?","~?"),'Calculations'!$HN$13:$HN$512,"="&amp;SUBSTITUTE(SUBSTITUTE(SUBSTITUTE('Dashboard'!$B$7,"~","~~"),"*","~*"),"?","~?"))+COUNTIFS('Calculations'!$HP$13:$HP$512,"="&amp;SUBSTITUTE(SUBSTITUTE(SUBSTITUTE('Calculations'!HF115,"~","~~"),"*","~*"),"?","~?"),'Calculations'!$HN$13:$HN$512,"="&amp;SUBSTITUTE(SUBSTITUTE(SUBSTITUTE('Dashboard'!$B$7,"~","~~"),"*","~*"),"?","~?"))+COUNTIFS('Calculations'!$HQ$13:$HQ$512,"="&amp;SUBSTITUTE(SUBSTITUTE(SUBSTITUTE('Calculations'!HF115,"~","~~"),"*","~*"),"?","~?"),'Calculations'!$HN$13:$HN$512,"="&amp;SUBSTITUTE(SUBSTITUTE(SUBSTITUTE('Dashboard'!$B$7,"~","~~"),"*","~*"),"?","~?"))+COUNTIFS('Calculations'!$HR$13:$HR$512,"="&amp;SUBSTITUTE(SUBSTITUTE(SUBSTITUTE('Calculations'!HF115,"~","~~"),"*","~*"),"?","~?"),'Calculations'!$HN$13:$HN$512,"="&amp;SUBSTITUTE(SUBSTITUTE(SUBSTITUTE('Dashboard'!$B$7,"~","~~"),"*","~*"),"?","~?"))+COUNTIFS('Calculations'!$HS$13:$HS$512,"="&amp;SUBSTITUTE(SUBSTITUTE(SUBSTITUTE('Calculations'!HF115,"~","~~"),"*","~*"),"?","~?"),'Calculations'!$HN$13:$HN$512,"="&amp;SUBSTITUTE(SUBSTITUTE(SUBSTITUTE('Dashboard'!$B$7,"~","~~"),"*","~*"),"?","~?"))+COUNTIFS('Calculations'!$HT$13:$HT$512,"="&amp;SUBSTITUTE(SUBSTITUTE(SUBSTITUTE('Calculations'!HF115,"~","~~"),"*","~*"),"?","~?"),'Calculations'!$HN$13:$HN$512,"="&amp;SUBSTITUTE(SUBSTITUTE(SUBSTITUTE('Dashboard'!$B$7,"~","~~"),"*","~*"),"?","~?"))+COUNTIFS('Calculations'!$HU$13:$HU$512,"="&amp;SUBSTITUTE(SUBSTITUTE(SUBSTITUTE('Calculations'!HF115,"~","~~"),"*","~*"),"?","~?"),'Calculations'!$HN$13:$HN$512,"="&amp;SUBSTITUTE(SUBSTITUTE(SUBSTITUTE('Dashboard'!$B$7,"~","~~"),"*","~*"),"?","~?"))+COUNTIFS('Calculations'!$HV$13:$HV$512,"="&amp;SUBSTITUTE(SUBSTITUTE(SUBSTITUTE('Calculations'!HF115,"~","~~"),"*","~*"),"?","~?"),'Calculations'!$HN$13:$HN$512,"="&amp;SUBSTITUTE(SUBSTITUTE(SUBSTITUTE('Dashboard'!$B$7,"~","~~"),"*","~*"),"?","~?"))+COUNTIFS('Calculations'!$HW$13:$HW$512,"="&amp;SUBSTITUTE(SUBSTITUTE(SUBSTITUTE('Calculations'!HF115,"~","~~"),"*","~*"),"?","~?"),'Calculations'!$HN$13:$HN$512,"="&amp;SUBSTITUTE(SUBSTITUTE(SUBSTITUTE('Dashboard'!$B$7,"~","~~"),"*","~*"),"?","~?"))+COUNTIFS('Calculations'!$HX$13:$HX$512,"="&amp;SUBSTITUTE(SUBSTITUTE(SUBSTITUTE('Calculations'!HF115,"~","~~"),"*","~*"),"?","~?"),'Calculations'!$HN$13:$HN$512,"="&amp;SUBSTITUTE(SUBSTITUTE(SUBSTITUTE('Dashboard'!$B$7,"~","~~"),"*","~*"),"?","~?"))+COUNTIFS('Calculations'!$HY$13:$HY$512,"="&amp;SUBSTITUTE(SUBSTITUTE(SUBSTITUTE('Calculations'!HF115,"~","~~"),"*","~*"),"?","~?"),'Calculations'!$HN$13:$HN$512,"="&amp;SUBSTITUTE(SUBSTITUTE(SUBSTITUTE('Dashboard'!$B$7,"~","~~"),"*","~*"),"?","~?"))+COUNTIFS('Calculations'!$HZ$13:$HZ$512,"="&amp;SUBSTITUTE(SUBSTITUTE(SUBSTITUTE('Calculations'!HF115,"~","~~"),"*","~*"),"?","~?"),'Calculations'!$HN$13:$HN$512,"="&amp;SUBSTITUTE(SUBSTITUTE(SUBSTITUTE('Dashboard'!$B$7,"~","~~"),"*","~*"),"?","~?"))+COUNTIFS('Calculations'!$IA$13:$IA$512,"="&amp;SUBSTITUTE(SUBSTITUTE(SUBSTITUTE('Calculations'!HF115,"~","~~"),"*","~*"),"?","~?"),'Calculations'!$HN$13:$HN$512,"="&amp;SUBSTITUTE(SUBSTITUTE(SUBSTITUTE('Dashboard'!$B$7,"~","~~"),"*","~*"),"?","~?"))+COUNTIFS('Calculations'!$IB$13:$IB$512,"="&amp;SUBSTITUTE(SUBSTITUTE(SUBSTITUTE('Calculations'!HF115,"~","~~"),"*","~*"),"?","~?"),'Calculations'!$HN$13:$HN$512,"="&amp;SUBSTITUTE(SUBSTITUTE(SUBSTITUTE('Dashboard'!$B$7,"~","~~"),"*","~*"),"?","~?"))+COUNTIFS('Calculations'!$IC$13:$IC$512,"="&amp;SUBSTITUTE(SUBSTITUTE(SUBSTITUTE('Calculations'!HF115,"~","~~"),"*","~*"),"?","~?"),'Calculations'!$HN$13:$HN$512,"="&amp;SUBSTITUTE(SUBSTITUTE(SUBSTITUTE('Dashboard'!$B$7,"~","~~"),"*","~*"),"?","~?"))+COUNTIFS('Calculations'!$ID$13:$ID$512,"="&amp;SUBSTITUTE(SUBSTITUTE(SUBSTITUTE('Calculations'!HF115,"~","~~"),"*","~*"),"?","~?"),'Calculations'!$HN$13:$HN$512,"="&amp;SUBSTITUTE(SUBSTITUTE(SUBSTITUTE('Dashboard'!$B$7,"~","~~"),"*","~*"),"?","~?"))+COUNTIFS('Calculations'!$IE$13:$IE$512,"="&amp;SUBSTITUTE(SUBSTITUTE(SUBSTITUTE('Calculations'!HF115,"~","~~"),"*","~*"),"?","~?"),'Calculations'!$HN$13:$HN$512,"="&amp;SUBSTITUTE(SUBSTITUTE(SUBSTITUTE('Dashboard'!$B$7,"~","~~"),"*","~*"),"?","~?"))+COUNTIFS('Calculations'!$IF$13:$IF$512,"="&amp;SUBSTITUTE(SUBSTITUTE(SUBSTITUTE('Calculations'!HF115,"~","~~"),"*","~*"),"?","~?"),'Calculations'!$HN$13:$HN$512,"="&amp;SUBSTITUTE(SUBSTITUTE(SUBSTITUTE('Dashboard'!$B$7,"~","~~"),"*","~*"),"?","~?"))+COUNTIFS('Calculations'!$IG$13:$IG$512,"="&amp;SUBSTITUTE(SUBSTITUTE(SUBSTITUTE('Calculations'!HF115,"~","~~"),"*","~*"),"?","~?"),'Calculations'!$HN$13:$HN$512,"="&amp;SUBSTITUTE(SUBSTITUTE(SUBSTITUTE('Dashboard'!$B$7,"~","~~"),"*","~*"),"?","~?"))+COUNTIFS('Calculations'!$IH$13:$IH$512,"="&amp;SUBSTITUTE(SUBSTITUTE(SUBSTITUTE('Calculations'!HF115,"~","~~"),"*","~*"),"?","~?"),'Calculations'!$HN$13:$HN$512,"="&amp;SUBSTITUTE(SUBSTITUTE(SUBSTITUTE('Dashboard'!$B$7,"~","~~"),"*","~*"),"?","~?"))))</x:f>
        <x:v>0</x:v>
      </x:c>
      <x:c r="JD115" t="n">
        <x:f>IF('Calculations'!EM115="",0,IF('Dashboard'!$B$7="All",1,IF('Calculations'!HN115='Dashboard'!$B$7,1,0)+IFERROR(INDEX('Calculations'!$JC$13:$JC$512,MATCH('Calculations'!HE115,'Calculations'!$HF$13:$HF$512,0)),0)))</x:f>
        <x:v>0</x:v>
      </x:c>
      <x:c r="JE115" t="n">
        <x:f>IF(AND('Calculations'!EM115&lt;&gt;"",'Calculations'!$JJ$2&lt;&gt;"All",'Calculations'!$JJ$2&lt;&gt;"",'Calculations'!HF115='Calculations'!$JJ$2,'Calculations'!HL115=0,'Calculations'!JD115&gt;0),MAX('Calculations'!$JE$12:JE114)+1,0)</x:f>
        <x:v>0</x:v>
      </x:c>
      <x:c r="JF115" t="str">
        <x:f>IF('Calculations'!EM115="","",IFERROR(IF(INDEX(INDIRECT("'WCM Calibration Final'!$G$1:$G$2000"),'Calculations'!$EM115)="","",TRIM(INDEX(INDIRECT("'WCM Calibration Final'!$G$1:$G$2000"),'Calculations'!$EM115)&amp;"")),""))</x:f>
      </x:c>
      <x:c r="JQ115" t="n">
        <x:f>IF(OR('Calculations'!BM115=0,NOT('Calculations'!$AG$2),'Calculations'!$AG$8&gt;0),0,IF(OR('Dashboard'!$B$7="All",'Calculations'!HN115='Dashboard'!$B$7),IF('Calculations'!$JJ$2="All",1,IF(AND('Calculations'!HF115='Calculations'!$JJ$2,'Calculations'!HL115=0),1,0)),0))</x:f>
        <x:v>0</x:v>
      </x:c>
    </x:row>
    <x:row r="116">
      <x:c r="AF116" s="4"/>
      <x:c r="AG116" s="4"/>
      <x:c r="AH116" s="4"/>
      <x:c r="AI116" s="4"/>
      <x:c r="AJ116" s="4"/>
      <x:c r="AK116" s="4"/>
      <x:c r="AL116" s="4"/>
      <x:c r="AM116" s="4"/>
      <x:c r="AN116" s="4"/>
      <x:c r="AO116" s="4"/>
      <x:c r="AP116" s="4"/>
      <x:c r="AQ116" s="4"/>
      <x:c r="AR116" s="4" t="n">
        <x:f>IFERROR(MATCH((MIN('Dashboard'!$Z$93,MAX(1,ROUNDUP(MAX('Calculations'!$DP$12:$DP$1012)/20,0)))-1)*20+19,'Calculations'!$DP$12:$DP$1012,0),0)</x:f>
        <x:v>0</x:v>
      </x:c>
      <x:c r="AS116" s="4"/>
      <x:c r="AT116" s="4"/>
      <x:c r="AU116" s="4"/>
      <x:c r="AV116" s="4"/>
      <x:c r="AW116" s="4"/>
      <x:c r="AX116" s="4"/>
      <x:c r="AY116" s="4"/>
      <x:c r="AZ116" s="4"/>
      <x:c r="BA116" s="4"/>
      <x:c r="BB116" s="4"/>
      <x:c r="BC116" s="4"/>
      <x:c r="BD116" s="4"/>
      <x:c r="BE116" s="4"/>
      <x:c r="BF116" s="4"/>
      <x:c r="BG116" s="4"/>
      <x:c r="BH116" s="4"/>
      <x:c r="BI116" s="4"/>
      <x:c r="BJ116" s="4"/>
      <x:c r="BK116" s="4"/>
      <x:c r="BL116" s="4"/>
      <x:c r="BM116" s="4" t="n">
        <x:f>IF('Calculations'!$EM116="",0,IF(OR(IFERROR(INDEX(INDIRECT("'WCM Calibration Final'!$A$1:$A$2000"),'Calculations'!$EM116)&lt;&gt;"",FALSE),IFERROR(INDEX(INDIRECT("'WCM Calibration Final'!$B$1:$B$2000"),'Calculations'!$EM116)&lt;&gt;"",FALSE),IFERROR(INDEX(INDIRECT("'WCM Calibration Final'!$C$1:$C$2000"),'Calculations'!$EM116)&lt;&gt;"",FALSE)),1,0))</x:f>
        <x:v>0</x:v>
      </x:c>
      <x:c r="BN116" s="4" t="n">
        <x:f>IF(AND('Calculations'!BM116=1,'Calculations'!$AG$2,'Calculations'!$EN116=1),1,0)</x:f>
        <x:v>0</x:v>
      </x:c>
      <x:c r="BO116" s="4" t="str">
        <x:f>IF('Calculations'!BM116=0,"",IFERROR(IF(AND(VALUE(INDEX(INDIRECT("'WCM Calibration Final'!$K$1:$K$2000"),'Calculations'!$EM116))&gt;=1,VALUE(INDEX(INDIRECT("'WCM Calibration Final'!$K$1:$K$2000"),'Calculations'!$EM116))&lt;=4,MOD(VALUE(INDEX(INDIRECT("'WCM Calibration Final'!$K$1:$K$2000"),'Calculations'!$EM116)),1)=0),VALUE(INDEX(INDIRECT("'WCM Calibration Final'!$K$1:$K$2000"),'Calculations'!$EM116)),""),""))</x:f>
      </x:c>
      <x:c r="BP116" s="4" t="str">
        <x:f>IF('Calculations'!BM116=0,"",IFERROR(IF(AND(VALUE(INDEX(INDIRECT("'WCM Calibration Final'!$L$1:$L$2000"),'Calculations'!$EM116))&gt;=1,VALUE(INDEX(INDIRECT("'WCM Calibration Final'!$L$1:$L$2000"),'Calculations'!$EM116))&lt;=4,MOD(VALUE(INDEX(INDIRECT("'WCM Calibration Final'!$L$1:$L$2000"),'Calculations'!$EM116)),1)=0),VALUE(INDEX(INDIRECT("'WCM Calibration Final'!$L$1:$L$2000"),'Calculations'!$EM116)),""),""))</x:f>
      </x:c>
      <x:c r="BQ116" s="4"/>
      <x:c r="BR116" s="4"/>
      <x:c r="BS116" s="4"/>
      <x:c r="BT116" s="4" t="n">
        <x:f>IF(AND('Calculations'!BM116=1,ISNUMBER('Calculations'!BO116),ISNUMBER('Calculations'!BP116)),1,0)</x:f>
        <x:v>0</x:v>
      </x:c>
      <x:c r="BU116" s="4" t="str">
        <x:f>IF('Calculations'!BM116=0,"",'Calculations'!$EO116)</x:f>
      </x:c>
      <x:c r="BV116" s="4" t="str">
        <x:f>IF('Calculations'!BM116=0,"",IFERROR(IF(OR(INDEX(INDIRECT("'WCM Calibration Final'!$H$1:$H$2000"),'Calculations'!$EM116)="MANAGING DIRECTOR",INDEX(INDIRECT("'WCM Calibration Final'!$H$1:$H$2000"),'Calculations'!$EM116)="DIRECTOR",INDEX(INDIRECT("'WCM Calibration Final'!$H$1:$H$2000"),'Calculations'!$EM116)="SENIOR VICE PRESIDENT",INDEX(INDIRECT("'WCM Calibration Final'!$H$1:$H$2000"),'Calculations'!$EM116)="VICE PRESIDENT",INDEX(INDIRECT("'WCM Calibration Final'!$H$1:$H$2000"),'Calculations'!$EM116)="ASSISTANT VICE PRESIDENT",INDEX(INDIRECT("'WCM Calibration Final'!$H$1:$H$2000"),'Calculations'!$EM116)="OFFICER"),UPPER(INDEX(INDIRECT("'WCM Calibration Final'!$H$1:$H$2000"),'Calculations'!$EM116)),"Other"),"Other"))</x:f>
      </x:c>
      <x:c r="BW116" s="4"/>
      <x:c r="BX116" s="4"/>
      <x:c r="BY116" s="4" t="n">
        <x:f>IF(AND('Calculations'!BM116=1,'Calculations'!BU116&lt;&gt;"",COUNTIF('Calculations'!$BU$12:BU116,'Calculations'!BU116)=1),MAX('Calculations'!$BY$11:BY115)+1,0)</x:f>
        <x:v>0</x:v>
      </x:c>
      <x:c r="BZ116" s="4" t="str">
        <x:f>IF('Dashboard'!$E$67="What",'Calculations'!BO116,'Calculations'!BP116)</x:f>
      </x:c>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t="str">
        <x:f>IF(105&gt;MAX('Calculations'!$HI$13:$HI$512),"",INDEX('Calculations'!$HN$13:$HN$512,MATCH(105,'Calculations'!$HI$13:$HI$512,0)))</x:f>
      </x:c>
      <x:c r="DB116" s="4" t="str">
        <x:f>IF(105&gt;MAX('Calculations'!$HH$13:$HH$512),"",INDEX('Calculations'!$HJ$13:$HJ$512,MATCH(105,'Calculations'!$HH$13:$HH$512,0)))</x:f>
      </x:c>
      <x:c r="DC116" s="4" t="str">
        <x:f>IF(ROW()-11&gt;MAX('Calculations'!$BY$13:$BY$512),"",INDEX('Calculations'!$BU$13:$BU$512,MATCH(ROW()-11,'Calculations'!$BY$13:$BY$512,0)))</x:f>
      </x:c>
      <x:c r="DD116" s="4" t="str">
        <x:f>IF(105&gt;MAX('Calculations'!$IK$13:$IK$512),"",INDEX('Calculations'!$HK$13:$HK$512,MATCH(105,'Calculations'!$IK$13:$IK$512,0)))</x:f>
      </x:c>
      <x:c r="DE116" s="4" t="str">
        <x:f>'Calculations'!DC116</x:f>
      </x:c>
      <x:c r="DF116" s="4" t="str">
        <x:f>IF('Calculations'!DE116="","",COUNTIFS('Calculations'!$BN$13:$BN$512,1,'Calculations'!$BU$13:$BU$512,'Calculations'!DE116))</x:f>
      </x:c>
      <x:c r="DG116" s="4" t="str">
        <x:f>IF('Calculations'!DE116="","",COUNTIFS('Calculations'!$BN$13:$BN$512,1,'Calculations'!$BU$13:$BU$512,'Calculations'!DE116,'Calculations'!$BT$13:$BT$512,1))</x:f>
      </x:c>
      <x:c r="DH116" s="4" t="str">
        <x:f>IF('Calculations'!DE116="","",'Calculations'!DF116-'Calculations'!DG116)</x:f>
      </x:c>
      <x:c r="DI116" s="4" t="str">
        <x:f>IF(OR('Calculations'!DE116="",'Calculations'!DF116=0),"",'Calculations'!DG116/'Calculations'!DF116)</x:f>
      </x:c>
      <x:c r="DJ116" s="4" t="str">
        <x:f>IF('Calculations'!DE116="","",COUNTIFS('Calculations'!$BN$13:$BN$512,1,'Calculations'!$BU$13:$BU$512,'Calculations'!DE116,'Calculations'!$BT$13:$BT$512,1,'Calculations'!$EE$13:$EE$512,"High"))</x:f>
      </x:c>
      <x:c r="DK116" s="4" t="str">
        <x:f>IF('Calculations'!DE116="","",COUNTIFS('Calculations'!$BN$13:$BN$512,1,'Calculations'!$BU$13:$BU$512,'Calculations'!DE116,'Calculations'!$BT$13:$BT$512,1,'Calculations'!$EE$13:$EE$512,"Strong"))</x:f>
      </x:c>
      <x:c r="DL116" s="4" t="str">
        <x:f>IF('Calculations'!DE116="","",COUNTIFS('Calculations'!$BN$13:$BN$512,1,'Calculations'!$BU$13:$BU$512,'Calculations'!DE116,'Calculations'!$BT$13:$BT$512,1,'Calculations'!$EE$13:$EE$512,"Solid"))</x:f>
      </x:c>
      <x:c r="DM116" s="4" t="str">
        <x:f>IF('Calculations'!DE116="","",COUNTIFS('Calculations'!$BN$13:$BN$512,1,'Calculations'!$BU$13:$BU$512,'Calculations'!DE116,'Calculations'!$BT$13:$BT$512,1,'Calculations'!$EE$13:$EE$512,"Low"))</x:f>
      </x:c>
      <x:c r="DN116" s="4" t="str">
        <x:f>IF('Calculations'!DE116="","",COUNTIFS('Calculations'!$BN$13:$BN$512,1,'Calculations'!$BU$13:$BU$512,'Calculations'!DE116,'Calculations'!$EP$13:$EP$512,1))</x:f>
      </x:c>
      <x:c r="DO116" s="4" t="str">
        <x:f>IF(OR('Calculations'!DE116="",'Calculations'!DG116=0),"",('Calculations'!DJ116+'Calculations'!DK116)/'Calculations'!DG116)</x:f>
      </x:c>
      <x:c r="DP116" s="4" t="n">
        <x:f>IF(AND('Calculations'!DE116&lt;&gt;"",'Calculations'!DF116&gt;0),COUNTIF('Calculations'!$DF$12:DF116,"&gt;0"),0)</x:f>
        <x:v>0</x:v>
      </x:c>
      <x:c r="DQ116" s="4" t="str">
        <x:f>IF(105&gt;MAX('Calculations'!$HH$13:$HH$512),"",INDEX('Calculations'!$HF$13:$HF$512,MATCH(105,'Calculations'!$HH$13:$HH$512,0)))</x:f>
      </x:c>
      <x:c r="DR116" s="4" t="str">
        <x:f>IF(105&gt;MAX('Calculations'!$IK$13:$IK$512),"",INDEX('Calculations'!$HE$13:$HE$512,MATCH(105,'Calculations'!$IK$13:$IK$512,0)))</x:f>
      </x:c>
      <x:c r="DS116" s="4"/>
      <x:c r="DT116" s="4"/>
      <x:c r="DU116" s="4"/>
      <x:c r="DV116" s="4"/>
      <x:c r="DW116" s="4"/>
      <x:c r="DX116" s="4"/>
      <x:c r="DY116" s="4"/>
      <x:c r="DZ116" s="4"/>
      <x:c r="EA116" s="4"/>
      <x:c r="EB116" s="4"/>
      <x:c r="EC116" s="4"/>
      <x:c r="ED116" s="4"/>
      <x:c r="EE116" s="4" t="str">
        <x:f>IF('Calculations'!BT116=0,"Not Rated",IF(OR('Calculations'!BO116&gt;=4,'Calculations'!BP116&gt;=4),"Low",IF('Calculations'!BO116+'Calculations'!BP116&lt;=3,"High",IF('Calculations'!BO116+'Calculations'!BP116&lt;=4,"Strong","Solid"))))</x:f>
        <x:v>Not Rated</x:v>
      </x:c>
      <x:c r="EF116" s="4"/>
      <x:c r="EG116" s="4"/>
      <x:c r="EH116" s="4"/>
      <x:c r="EI116" s="4"/>
      <x:c r="EJ116" s="4"/>
      <x:c r="EK116" s="4"/>
      <x:c r="EL116" s="4"/>
      <x:c r="EM116" s="4" t="str">
        <x:f>IF(104&gt;'Calculations'!$JB$2000,"",INDEX('Calculations'!$JA$12:$JA$2000,MATCH(104,'Calculations'!$JB$12:$JB$2000,0)))</x:f>
      </x:c>
      <x:c r="EN116" s="4" t="n">
        <x:f>IF(OR('Calculations'!EM116="",'Calculations'!$AG$8&gt;0,AND('Calculations'!$EF$2&lt;&gt;"All",'Calculations'!HE116='Calculations'!$EF$2),AND('Calculations'!$EF$3&lt;&gt;"All",'Calculations'!HE116='Calculations'!$EF$3)),0,IF(OR('Dashboard'!$B$7="All",'Calculations'!HN116='Dashboard'!$B$7),IF('Calculations'!$EF$2="All",1,IF('Calculations'!HL116&gt;0,0,IF(COUNTIF('Calculations'!HO116:II116,"="&amp;SUBSTITUTE(SUBSTITUTE(SUBSTITUTE('Calculations'!$EF$2,"~","~~"),"*","~*"),"?","~?"))=0,0,IF('Calculations'!$EF$3="All",1,IF(COUNTIF('Calculations'!HO116:II116,"="&amp;SUBSTITUTE(SUBSTITUTE(SUBSTITUTE('Calculations'!$EF$3,"~","~~"),"*","~*"),"?","~?"))&gt;0,1,0))))),0))</x:f>
        <x:v>0</x:v>
      </x:c>
      <x:c r="EO116" s="4" t="str">
        <x:f>IF('Calculations'!IJ116="","",IF('Calculations'!IJ116="!UNRESOLVED","Unresolved hierarchy",IFERROR(INDEX('Calculations'!$HK$13:$HK$512,MATCH('Calculations'!IJ116,'Calculations'!$HE$13:$HE$512,0)),IFERROR(INDEX('Calculations'!$HJ$13:$HJ$512,MATCH('Calculations'!IJ116,'Calculations'!$HF$13:$HF$512,0)),'Calculations'!IJ116))))</x:f>
      </x:c>
      <x:c r="EP116" s="4" t="n">
        <x:f>IF(AND('Calculations'!EM116&lt;&gt;"",'Calculations'!HF116='Calculations'!IJ116),1,0)</x:f>
        <x:v>0</x:v>
      </x:c>
      <x:c r="EQ116" s="4"/>
      <x:c r="ER116" s="4"/>
      <x:c r="ES116" s="4"/>
      <x:c r="ET116" s="4"/>
      <x:c r="EU116" s="4"/>
      <x:c r="EV116" s="4"/>
      <x:c r="EW116" s="4"/>
      <x:c r="EX116" s="4"/>
      <x:c r="EY116" s="4"/>
      <x:c r="EZ116" s="4"/>
      <x:c r="FA116" s="4"/>
      <x:c r="FB116" s="4"/>
      <x:c r="FC116" s="4"/>
      <x:c r="FD116" s="4"/>
      <x:c r="FE116" s="4"/>
      <x:c r="FF116" s="4"/>
      <x:c r="FG116" s="4"/>
      <x:c r="FH116" s="4"/>
      <x:c r="FI116" s="4"/>
      <x:c r="FJ116" s="4"/>
      <x:c r="FK116" s="4"/>
      <x:c r="FL116" s="4"/>
      <x:c r="FM116" s="4"/>
      <x:c r="FN116" s="4"/>
      <x:c r="FO116" s="4"/>
      <x:c r="GA116" s="71"/>
      <x:c r="GB116" s="71" t="str">
        <x:f>IF('Calculations'!$AR116=0,"",INDEX('Calculations'!$DE$12:$DE$1012,'Calculations'!$AR116))</x:f>
      </x:c>
      <x:c r="GC116" s="71"/>
      <x:c r="GD116" s="71"/>
      <x:c r="GE116" s="71"/>
      <x:c r="GF116" s="71"/>
      <x:c r="GG116" s="71"/>
      <x:c r="GH116" s="71"/>
      <x:c r="GI116" s="71" t="str">
        <x:f>IF('Calculations'!$AR116=0,"",INDEX('Calculations'!$DF$12:$DF$1012,'Calculations'!$AR116))</x:f>
      </x:c>
      <x:c r="GJ116" s="71"/>
      <x:c r="GK116" s="71" t="str">
        <x:f>IF('Calculations'!$AR116=0,"",INDEX('Calculations'!$DG$12:$DG$1012,'Calculations'!$AR116))</x:f>
      </x:c>
      <x:c r="GL116" s="71"/>
      <x:c r="GM116" s="71" t="str">
        <x:f>IF('Calculations'!$AR116=0,"",INDEX('Calculations'!$DH$12:$DH$1012,'Calculations'!$AR116))</x:f>
      </x:c>
      <x:c r="GN116" s="71"/>
      <x:c r="GO116" s="71" t="str">
        <x:f>IF('Calculations'!$AR116=0,"",INDEX('Calculations'!$DI$12:$DI$1012,'Calculations'!$AR116))</x:f>
      </x:c>
      <x:c r="GP116" s="71"/>
      <x:c r="GQ116" s="71" t="str">
        <x:f>IF('Calculations'!$AR116=0,"",INDEX('Calculations'!$DJ$12:$DJ$1012,'Calculations'!$AR116)&amp;" · "&amp;IF(INDEX('Calculations'!$DG$12:$DG$1012,'Calculations'!$AR116)=0,"n.a.",TEXT(INDEX('Calculations'!$DJ$12:$DJ$1012,'Calculations'!$AR116)/INDEX('Calculations'!$DG$12:$DG$1012,'Calculations'!$AR116),"0.0%")))</x:f>
      </x:c>
      <x:c r="GR116" s="71"/>
      <x:c r="GS116" s="71" t="str">
        <x:f>IF('Calculations'!$AR116=0,"",INDEX('Calculations'!$DK$12:$DK$1012,'Calculations'!$AR116)&amp;" · "&amp;IF(INDEX('Calculations'!$DG$12:$DG$1012,'Calculations'!$AR116)=0,"n.a.",TEXT(INDEX('Calculations'!$DK$12:$DK$1012,'Calculations'!$AR116)/INDEX('Calculations'!$DG$12:$DG$1012,'Calculations'!$AR116),"0.0%")))</x:f>
      </x:c>
      <x:c r="GT116" s="71"/>
      <x:c r="GU116" s="71" t="str">
        <x:f>IF('Calculations'!$AR116=0,"",INDEX('Calculations'!$DL$12:$DL$1012,'Calculations'!$AR116)&amp;" · "&amp;IF(INDEX('Calculations'!$DG$12:$DG$1012,'Calculations'!$AR116)=0,"n.a.",TEXT(INDEX('Calculations'!$DL$12:$DL$1012,'Calculations'!$AR116)/INDEX('Calculations'!$DG$12:$DG$1012,'Calculations'!$AR116),"0.0%")))</x:f>
      </x:c>
      <x:c r="GV116" s="71"/>
      <x:c r="GW116" s="71" t="str">
        <x:f>IF('Calculations'!$AR116=0,"",INDEX('Calculations'!$DM$12:$DM$1012,'Calculations'!$AR116)&amp;" · "&amp;IF(INDEX('Calculations'!$DG$12:$DG$1012,'Calculations'!$AR116)=0,"n.a.",TEXT(INDEX('Calculations'!$DM$12:$DM$1012,'Calculations'!$AR116)/INDEX('Calculations'!$DG$12:$DG$1012,'Calculations'!$AR116),"0.0%")))</x:f>
      </x:c>
      <x:c r="GX116" s="71"/>
      <x:c r="GY116" s="71" t="str">
        <x:f>IF('Calculations'!$AR116=0,"",INDEX('Calculations'!$DN$12:$DN$1012,'Calculations'!$AR116))</x:f>
      </x:c>
      <x:c r="GZ116" s="71"/>
      <x:c r="HA116" s="71" t="str">
        <x:f>IF('Calculations'!$AR116=0,"",INDEX('Calculations'!$DO$12:$DO$1012,'Calculations'!$AR116))</x:f>
      </x:c>
      <x:c r="HB116" s="71"/>
      <x:c r="HC116" s="71"/>
      <x:c r="HD116" s="71"/>
      <x:c r="HE116" t="str">
        <x:f>IF('Calculations'!EM116="","",IF(IFERROR(IF(INDEX(INDIRECT("'WCM Calibration Final'!$A$1:$A$2000"),'Calculations'!$EM116)="","",TRIM(INDEX(INDIRECT("'WCM Calibration Final'!$A$1:$A$2000"),'Calculations'!$EM116)&amp;"")),"")&lt;&gt;"","G:"&amp;IFERROR(TEXT(1*INDEX(INDIRECT("'WCM Calibration Final'!$A$1:$A$2000"),'Calculations'!$EM116),"0"),UPPER(IFERROR(IF(INDEX(INDIRECT("'WCM Calibration Final'!$A$1:$A$2000"),'Calculations'!$EM116)="","",TRIM(INDEX(INDIRECT("'WCM Calibration Final'!$A$1:$A$2000"),'Calculations'!$EM116)&amp;"")),""))),IF(IFERROR(IF(INDEX(INDIRECT("'WCM Calibration Final'!$C$1:$C$2000"),'Calculations'!$EM116)="","",TRIM(INDEX(INDIRECT("'WCM Calibration Final'!$C$1:$C$2000"),'Calculations'!$EM116)&amp;"")),"")&lt;&gt;"","S:"&amp;UPPER(IFERROR(IF(INDEX(INDIRECT("'WCM Calibration Final'!$C$1:$C$2000"),'Calculations'!$EM116)="","",TRIM(INDEX(INDIRECT("'WCM Calibration Final'!$C$1:$C$2000"),'Calculations'!$EM116)&amp;"")),"")),"R:"&amp;'Calculations'!EM116)))</x:f>
      </x:c>
      <x:c r="HF116" t="str">
        <x:f>IF('Calculations'!EM116="","",IF(IFERROR(IF(INDEX(INDIRECT("'WCM Calibration Final'!$D$1:$D$2000"),'Calculations'!$EM116)="","",TRIM(INDEX(INDIRECT("'WCM Calibration Final'!$D$1:$D$2000"),'Calculations'!$EM116)&amp;"")),"")&lt;&gt;"","G:"&amp;IFERROR(TEXT(1*INDEX(INDIRECT("'WCM Calibration Final'!$D$1:$D$2000"),'Calculations'!$EM116),"0"),UPPER(IFERROR(IF(INDEX(INDIRECT("'WCM Calibration Final'!$D$1:$D$2000"),'Calculations'!$EM116)="","",TRIM(INDEX(INDIRECT("'WCM Calibration Final'!$D$1:$D$2000"),'Calculations'!$EM116)&amp;"")),""))),IF(IFERROR(IF(INDEX(INDIRECT("'WCM Calibration Final'!$E$1:$E$2000"),'Calculations'!$EM116)="","",TRIM(INDEX(INDIRECT("'WCM Calibration Final'!$E$1:$E$2000"),'Calculations'!$EM116)&amp;"")),"")="","",IF(COUNTIF('Calculations'!$HG$13:$HG$512,"="&amp;SUBSTITUTE(SUBSTITUTE(SUBSTITUTE(IFERROR(IF(INDEX(INDIRECT("'WCM Calibration Final'!$E$1:$E$2000"),'Calculations'!$EM116)="","",TRIM(INDEX(INDIRECT("'WCM Calibration Final'!$E$1:$E$2000"),'Calculations'!$EM116)&amp;"")),""),"~","~~"),"*","~*"),"?","~?"))=1,INDEX('Calculations'!$HE$13:$HE$512,MATCH(IFERROR(IF(INDEX(INDIRECT("'WCM Calibration Final'!$E$1:$E$2000"),'Calculations'!$EM116)="","",TRIM(INDEX(INDIRECT("'WCM Calibration Final'!$E$1:$E$2000"),'Calculations'!$EM116)&amp;"")),""),'Calculations'!$HG$13:$HG$512,0)),IF(COUNTIF('Calculations'!$HG$13:$HG$512,"="&amp;SUBSTITUTE(SUBSTITUTE(SUBSTITUTE(IFERROR(IF(INDEX(INDIRECT("'WCM Calibration Final'!$E$1:$E$2000"),'Calculations'!$EM116)="","",TRIM(INDEX(INDIRECT("'WCM Calibration Final'!$E$1:$E$2000"),'Calculations'!$EM116)&amp;"")),""),"~","~~"),"*","~*"),"?","~?"))&gt;1,"!AMBIG","X:"&amp;IFERROR(IF(INDEX(INDIRECT("'WCM Calibration Final'!$E$1:$E$2000"),'Calculations'!$EM116)="","",TRIM(INDEX(INDIRECT("'WCM Calibration Final'!$E$1:$E$2000"),'Calculations'!$EM116)&amp;"")),""))))))</x:f>
      </x:c>
      <x:c r="HG116" t="str">
        <x:f>IF('Calculations'!EM116="","",IFERROR(IF(INDEX(INDIRECT("'WCM Calibration Final'!$B$1:$B$2000"),'Calculations'!$EM116)="","",TRIM(INDEX(INDIRECT("'WCM Calibration Final'!$B$1:$B$2000"),'Calculations'!$EM116)&amp;"")),""))</x:f>
      </x:c>
      <x:c r="HH116" t="n">
        <x:f>IF(AND('Calculations'!JC116&gt;0,COUNTIF('Calculations'!$HF$12:HF116,"="&amp;SUBSTITUTE(SUBSTITUTE(SUBSTITUTE('Calculations'!HF116,"~","~~"),"*","~*"),"?","~?"))=1),MAX('Calculations'!$HH$12:HH115)+1,0)</x:f>
        <x:v>0</x:v>
      </x:c>
      <x:c r="HI116" t="n">
        <x:f>IF(AND('Calculations'!HN116&lt;&gt;"",COUNTIF('Calculations'!$HN$12:HN116,"="&amp;SUBSTITUTE(SUBSTITUTE(SUBSTITUTE('Calculations'!HN116,"~","~~"),"*","~*"),"?","~?"))=1),MAX('Calculations'!$HI$12:HI115)+1,0)</x:f>
        <x:v>0</x:v>
      </x:c>
      <x:c r="HJ116" t="str">
        <x:f>IF('Calculations'!HF116="","",IF(COUNTIF('Calculations'!$HE$13:$HE$512,"="&amp;SUBSTITUTE(SUBSTITUTE(SUBSTITUTE('Calculations'!HF116,"~","~~"),"*","~*"),"?","~?"))=1,INDEX('Calculations'!$HK$13:$HK$512,MATCH('Calculations'!HF116,'Calculations'!$HE$13:$HE$512,0)),IFERROR(IF(INDEX(INDIRECT("'WCM Calibration Final'!$E$1:$E$2000"),'Calculations'!$EM116)="","",TRIM(INDEX(INDIRECT("'WCM Calibration Final'!$E$1:$E$2000"),'Calculations'!$EM116)&amp;"")),"")&amp;" ["&amp;'Calculations'!HF116&amp;"]"))</x:f>
      </x:c>
      <x:c r="HK116" t="str">
        <x:f>IF('Calculations'!EM116="","",'Calculations'!HG116&amp;" ["&amp;'Calculations'!HE116&amp;"]")</x:f>
      </x:c>
      <x:c r="HL116" t="n">
        <x:f>IF('Calculations'!EM116="",0,IF(OR('Calculations'!II116&lt;&gt;"",COUNTIF('Calculations'!$HE$13:$HE$512,"="&amp;SUBSTITUTE(SUBSTITUTE(SUBSTITUTE('Calculations'!HE116,"~","~~"),"*","~*"),"?","~?"))&gt;1),1,0))</x:f>
        <x:v>0</x:v>
      </x:c>
      <x:c r="HM116" t="str">
        <x:f>IF('Calculations'!EM116="","",IF('Calculations'!HL116=1,"!UNRESOLVED",IF('Calculations'!IH116&lt;&gt;"",'Calculations'!IH116,IF('Calculations'!IG116&lt;&gt;"",'Calculations'!IG116,IF('Calculations'!IF116&lt;&gt;"",'Calculations'!IF116,IF('Calculations'!IE116&lt;&gt;"",'Calculations'!IE116,IF('Calculations'!ID116&lt;&gt;"",'Calculations'!ID116,IF('Calculations'!IC116&lt;&gt;"",'Calculations'!IC116,IF('Calculations'!IB116&lt;&gt;"",'Calculations'!IB116,IF('Calculations'!IA116&lt;&gt;"",'Calculations'!IA116,IF('Calculations'!HZ116&lt;&gt;"",'Calculations'!HZ116,IF('Calculations'!HY116&lt;&gt;"",'Calculations'!HY116,IF('Calculations'!HX116&lt;&gt;"",'Calculations'!HX116,IF('Calculations'!HW116&lt;&gt;"",'Calculations'!HW116,IF('Calculations'!HV116&lt;&gt;"",'Calculations'!HV116,IF('Calculations'!HU116&lt;&gt;"",'Calculations'!HU116,IF('Calculations'!HT116&lt;&gt;"",'Calculations'!HT116,IF('Calculations'!HS116&lt;&gt;"",'Calculations'!HS116,IF('Calculations'!HR116&lt;&gt;"",'Calculations'!HR116,IF('Calculations'!HQ116&lt;&gt;"",'Calculations'!HQ116,IF('Calculations'!HP116&lt;&gt;"",'Calculations'!HP116,IF('Calculations'!HO116&lt;&gt;"",'Calculations'!HO116,'Calculations'!HE116))))))))))))))))))))))</x:f>
      </x:c>
      <x:c r="HN116" t="str">
        <x:f>IF('Calculations'!EM116="","",IF(IFERROR(IF(INDEX(INDIRECT("'WCM Calibration Final'!$F$1:$F$2000"),'Calculations'!$EM116)="","",TRIM(INDEX(INDIRECT("'WCM Calibration Final'!$F$1:$F$2000"),'Calculations'!$EM116)&amp;"")),"")="","(Blank)",IFERROR(IF(INDEX(INDIRECT("'WCM Calibration Final'!$F$1:$F$2000"),'Calculations'!$EM116)="","",TRIM(INDEX(INDIRECT("'WCM Calibration Final'!$F$1:$F$2000"),'Calculations'!$EM116)&amp;"")),"")))</x:f>
      </x:c>
      <x:c r="HO116" t="str">
        <x:f>'Calculations'!HF116</x:f>
      </x:c>
      <x:c r="HP116" t="str">
        <x:f>IF('Calculations'!HO116="","",IF('Calculations'!HO116="!AMBIG","!AMBIG",IF(COUNTIF('Calculations'!$HE$13:$HE$512,"="&amp;SUBSTITUTE(SUBSTITUTE(SUBSTITUTE('Calculations'!HO116,"~","~~"),"*","~*"),"?","~?"))&gt;1,"!AMBIG",IFERROR(INDEX('Calculations'!$HF$13:$HF$512,MATCH('Calculations'!HO116,'Calculations'!$HE$13:$HE$512,0)),""))))</x:f>
      </x:c>
      <x:c r="HQ116" t="str">
        <x:f>IF('Calculations'!HP116="","",IF('Calculations'!HP116="!AMBIG","!AMBIG",IF(COUNTIF('Calculations'!$HE$13:$HE$512,"="&amp;SUBSTITUTE(SUBSTITUTE(SUBSTITUTE('Calculations'!HP116,"~","~~"),"*","~*"),"?","~?"))&gt;1,"!AMBIG",IFERROR(INDEX('Calculations'!$HF$13:$HF$512,MATCH('Calculations'!HP116,'Calculations'!$HE$13:$HE$512,0)),""))))</x:f>
      </x:c>
      <x:c r="HR116" t="str">
        <x:f>IF('Calculations'!HQ116="","",IF('Calculations'!HQ116="!AMBIG","!AMBIG",IF(COUNTIF('Calculations'!$HE$13:$HE$512,"="&amp;SUBSTITUTE(SUBSTITUTE(SUBSTITUTE('Calculations'!HQ116,"~","~~"),"*","~*"),"?","~?"))&gt;1,"!AMBIG",IFERROR(INDEX('Calculations'!$HF$13:$HF$512,MATCH('Calculations'!HQ116,'Calculations'!$HE$13:$HE$512,0)),""))))</x:f>
      </x:c>
      <x:c r="HS116" t="str">
        <x:f>IF('Calculations'!HR116="","",IF('Calculations'!HR116="!AMBIG","!AMBIG",IF(COUNTIF('Calculations'!$HE$13:$HE$512,"="&amp;SUBSTITUTE(SUBSTITUTE(SUBSTITUTE('Calculations'!HR116,"~","~~"),"*","~*"),"?","~?"))&gt;1,"!AMBIG",IFERROR(INDEX('Calculations'!$HF$13:$HF$512,MATCH('Calculations'!HR116,'Calculations'!$HE$13:$HE$512,0)),""))))</x:f>
      </x:c>
      <x:c r="HT116" t="str">
        <x:f>IF('Calculations'!HS116="","",IF('Calculations'!HS116="!AMBIG","!AMBIG",IF(COUNTIF('Calculations'!$HE$13:$HE$512,"="&amp;SUBSTITUTE(SUBSTITUTE(SUBSTITUTE('Calculations'!HS116,"~","~~"),"*","~*"),"?","~?"))&gt;1,"!AMBIG",IFERROR(INDEX('Calculations'!$HF$13:$HF$512,MATCH('Calculations'!HS116,'Calculations'!$HE$13:$HE$512,0)),""))))</x:f>
      </x:c>
      <x:c r="HU116" t="str">
        <x:f>IF('Calculations'!HT116="","",IF('Calculations'!HT116="!AMBIG","!AMBIG",IF(COUNTIF('Calculations'!$HE$13:$HE$512,"="&amp;SUBSTITUTE(SUBSTITUTE(SUBSTITUTE('Calculations'!HT116,"~","~~"),"*","~*"),"?","~?"))&gt;1,"!AMBIG",IFERROR(INDEX('Calculations'!$HF$13:$HF$512,MATCH('Calculations'!HT116,'Calculations'!$HE$13:$HE$512,0)),""))))</x:f>
      </x:c>
      <x:c r="HV116" t="str">
        <x:f>IF('Calculations'!HU116="","",IF('Calculations'!HU116="!AMBIG","!AMBIG",IF(COUNTIF('Calculations'!$HE$13:$HE$512,"="&amp;SUBSTITUTE(SUBSTITUTE(SUBSTITUTE('Calculations'!HU116,"~","~~"),"*","~*"),"?","~?"))&gt;1,"!AMBIG",IFERROR(INDEX('Calculations'!$HF$13:$HF$512,MATCH('Calculations'!HU116,'Calculations'!$HE$13:$HE$512,0)),""))))</x:f>
      </x:c>
      <x:c r="HW116" t="str">
        <x:f>IF('Calculations'!HV116="","",IF('Calculations'!HV116="!AMBIG","!AMBIG",IF(COUNTIF('Calculations'!$HE$13:$HE$512,"="&amp;SUBSTITUTE(SUBSTITUTE(SUBSTITUTE('Calculations'!HV116,"~","~~"),"*","~*"),"?","~?"))&gt;1,"!AMBIG",IFERROR(INDEX('Calculations'!$HF$13:$HF$512,MATCH('Calculations'!HV116,'Calculations'!$HE$13:$HE$512,0)),""))))</x:f>
      </x:c>
      <x:c r="HX116" t="str">
        <x:f>IF('Calculations'!HW116="","",IF('Calculations'!HW116="!AMBIG","!AMBIG",IF(COUNTIF('Calculations'!$HE$13:$HE$512,"="&amp;SUBSTITUTE(SUBSTITUTE(SUBSTITUTE('Calculations'!HW116,"~","~~"),"*","~*"),"?","~?"))&gt;1,"!AMBIG",IFERROR(INDEX('Calculations'!$HF$13:$HF$512,MATCH('Calculations'!HW116,'Calculations'!$HE$13:$HE$512,0)),""))))</x:f>
      </x:c>
      <x:c r="HY116" t="str">
        <x:f>IF('Calculations'!HX116="","",IF('Calculations'!HX116="!AMBIG","!AMBIG",IF(COUNTIF('Calculations'!$HE$13:$HE$512,"="&amp;SUBSTITUTE(SUBSTITUTE(SUBSTITUTE('Calculations'!HX116,"~","~~"),"*","~*"),"?","~?"))&gt;1,"!AMBIG",IFERROR(INDEX('Calculations'!$HF$13:$HF$512,MATCH('Calculations'!HX116,'Calculations'!$HE$13:$HE$512,0)),""))))</x:f>
      </x:c>
      <x:c r="HZ116" t="str">
        <x:f>IF('Calculations'!HY116="","",IF('Calculations'!HY116="!AMBIG","!AMBIG",IF(COUNTIF('Calculations'!$HE$13:$HE$512,"="&amp;SUBSTITUTE(SUBSTITUTE(SUBSTITUTE('Calculations'!HY116,"~","~~"),"*","~*"),"?","~?"))&gt;1,"!AMBIG",IFERROR(INDEX('Calculations'!$HF$13:$HF$512,MATCH('Calculations'!HY116,'Calculations'!$HE$13:$HE$512,0)),""))))</x:f>
      </x:c>
      <x:c r="IA116" t="str">
        <x:f>IF('Calculations'!HZ116="","",IF('Calculations'!HZ116="!AMBIG","!AMBIG",IF(COUNTIF('Calculations'!$HE$13:$HE$512,"="&amp;SUBSTITUTE(SUBSTITUTE(SUBSTITUTE('Calculations'!HZ116,"~","~~"),"*","~*"),"?","~?"))&gt;1,"!AMBIG",IFERROR(INDEX('Calculations'!$HF$13:$HF$512,MATCH('Calculations'!HZ116,'Calculations'!$HE$13:$HE$512,0)),""))))</x:f>
      </x:c>
      <x:c r="IB116" t="str">
        <x:f>IF('Calculations'!IA116="","",IF('Calculations'!IA116="!AMBIG","!AMBIG",IF(COUNTIF('Calculations'!$HE$13:$HE$512,"="&amp;SUBSTITUTE(SUBSTITUTE(SUBSTITUTE('Calculations'!IA116,"~","~~"),"*","~*"),"?","~?"))&gt;1,"!AMBIG",IFERROR(INDEX('Calculations'!$HF$13:$HF$512,MATCH('Calculations'!IA116,'Calculations'!$HE$13:$HE$512,0)),""))))</x:f>
      </x:c>
      <x:c r="IC116" t="str">
        <x:f>IF('Calculations'!IB116="","",IF('Calculations'!IB116="!AMBIG","!AMBIG",IF(COUNTIF('Calculations'!$HE$13:$HE$512,"="&amp;SUBSTITUTE(SUBSTITUTE(SUBSTITUTE('Calculations'!IB116,"~","~~"),"*","~*"),"?","~?"))&gt;1,"!AMBIG",IFERROR(INDEX('Calculations'!$HF$13:$HF$512,MATCH('Calculations'!IB116,'Calculations'!$HE$13:$HE$512,0)),""))))</x:f>
      </x:c>
      <x:c r="ID116" t="str">
        <x:f>IF('Calculations'!IC116="","",IF('Calculations'!IC116="!AMBIG","!AMBIG",IF(COUNTIF('Calculations'!$HE$13:$HE$512,"="&amp;SUBSTITUTE(SUBSTITUTE(SUBSTITUTE('Calculations'!IC116,"~","~~"),"*","~*"),"?","~?"))&gt;1,"!AMBIG",IFERROR(INDEX('Calculations'!$HF$13:$HF$512,MATCH('Calculations'!IC116,'Calculations'!$HE$13:$HE$512,0)),""))))</x:f>
      </x:c>
      <x:c r="IE116" t="str">
        <x:f>IF('Calculations'!ID116="","",IF('Calculations'!ID116="!AMBIG","!AMBIG",IF(COUNTIF('Calculations'!$HE$13:$HE$512,"="&amp;SUBSTITUTE(SUBSTITUTE(SUBSTITUTE('Calculations'!ID116,"~","~~"),"*","~*"),"?","~?"))&gt;1,"!AMBIG",IFERROR(INDEX('Calculations'!$HF$13:$HF$512,MATCH('Calculations'!ID116,'Calculations'!$HE$13:$HE$512,0)),""))))</x:f>
      </x:c>
      <x:c r="IF116" t="str">
        <x:f>IF('Calculations'!IE116="","",IF('Calculations'!IE116="!AMBIG","!AMBIG",IF(COUNTIF('Calculations'!$HE$13:$HE$512,"="&amp;SUBSTITUTE(SUBSTITUTE(SUBSTITUTE('Calculations'!IE116,"~","~~"),"*","~*"),"?","~?"))&gt;1,"!AMBIG",IFERROR(INDEX('Calculations'!$HF$13:$HF$512,MATCH('Calculations'!IE116,'Calculations'!$HE$13:$HE$512,0)),""))))</x:f>
      </x:c>
      <x:c r="IG116" t="str">
        <x:f>IF('Calculations'!IF116="","",IF('Calculations'!IF116="!AMBIG","!AMBIG",IF(COUNTIF('Calculations'!$HE$13:$HE$512,"="&amp;SUBSTITUTE(SUBSTITUTE(SUBSTITUTE('Calculations'!IF116,"~","~~"),"*","~*"),"?","~?"))&gt;1,"!AMBIG",IFERROR(INDEX('Calculations'!$HF$13:$HF$512,MATCH('Calculations'!IF116,'Calculations'!$HE$13:$HE$512,0)),""))))</x:f>
      </x:c>
      <x:c r="IH116" t="str">
        <x:f>IF('Calculations'!IG116="","",IF('Calculations'!IG116="!AMBIG","!AMBIG",IF(COUNTIF('Calculations'!$HE$13:$HE$512,"="&amp;SUBSTITUTE(SUBSTITUTE(SUBSTITUTE('Calculations'!IG116,"~","~~"),"*","~*"),"?","~?"))&gt;1,"!AMBIG",IFERROR(INDEX('Calculations'!$HF$13:$HF$512,MATCH('Calculations'!IG116,'Calculations'!$HE$13:$HE$512,0)),""))))</x:f>
      </x:c>
      <x:c r="II116" t="str">
        <x:f>IF('Calculations'!IH116="","",IF('Calculations'!IH116="!AMBIG","!AMBIG",IF(COUNTIF('Calculations'!$HE$13:$HE$512,"="&amp;SUBSTITUTE(SUBSTITUTE(SUBSTITUTE('Calculations'!IH116,"~","~~"),"*","~*"),"?","~?"))&gt;1,"!AMBIG",IFERROR(INDEX('Calculations'!$HF$13:$HF$512,MATCH('Calculations'!IH116,'Calculations'!$HE$13:$HE$512,0)),""))))</x:f>
      </x:c>
      <x:c r="IJ116" t="str">
        <x:f>IF('Calculations'!EM116="","",IF('Calculations'!$EF$2="All",'Calculations'!HM116,IF('Calculations'!HL116=1,"",IFERROR(IF(MATCH('Calculations'!$EF$2,'Calculations'!HO116:II116,0)=1,'Calculations'!HE116,INDEX('Calculations'!HO116:II116,1,MATCH('Calculations'!$EF$2,'Calculations'!HO116:II116,0)-1)),""))))</x:f>
      </x:c>
      <x:c r="IK116" t="n">
        <x:f>IF(AND('Calculations'!EM116&lt;&gt;"",'Calculations'!$EF$2&lt;&gt;"All",'Calculations'!HF116='Calculations'!$EF$2,'Calculations'!HL116=0,'Calculations'!JD116&gt;0),MAX('Calculations'!$IK$12:IK115)+1,0)</x:f>
        <x:v>0</x:v>
      </x:c>
      <x:c r="JA116" t="n">
        <x:f>IF(OR(IFERROR(INDIRECT("'WCM Calibration Final'!$A$116")&lt;&gt;"",FALSE),IFERROR(INDIRECT("'WCM Calibration Final'!$B$116")&lt;&gt;"",FALSE),IFERROR(INDIRECT("'WCM Calibration Final'!$C$116")&lt;&gt;"",FALSE)),116,0)</x:f>
        <x:v>0</x:v>
      </x:c>
      <x:c r="JB116" t="n">
        <x:f>'Calculations'!JB115+IF('Calculations'!JA116&gt;0,1,0)</x:f>
        <x:v>0</x:v>
      </x:c>
      <x:c r="JC116" t="n">
        <x:f>IF(OR('Calculations'!HF116="",'Calculations'!HF116="!AMBIG"),0,IF('Dashboard'!$B$7="All",1,COUNTIFS('Calculations'!$HO$13:$HO$512,"="&amp;SUBSTITUTE(SUBSTITUTE(SUBSTITUTE('Calculations'!HF116,"~","~~"),"*","~*"),"?","~?"),'Calculations'!$HN$13:$HN$512,"="&amp;SUBSTITUTE(SUBSTITUTE(SUBSTITUTE('Dashboard'!$B$7,"~","~~"),"*","~*"),"?","~?"))+COUNTIFS('Calculations'!$HP$13:$HP$512,"="&amp;SUBSTITUTE(SUBSTITUTE(SUBSTITUTE('Calculations'!HF116,"~","~~"),"*","~*"),"?","~?"),'Calculations'!$HN$13:$HN$512,"="&amp;SUBSTITUTE(SUBSTITUTE(SUBSTITUTE('Dashboard'!$B$7,"~","~~"),"*","~*"),"?","~?"))+COUNTIFS('Calculations'!$HQ$13:$HQ$512,"="&amp;SUBSTITUTE(SUBSTITUTE(SUBSTITUTE('Calculations'!HF116,"~","~~"),"*","~*"),"?","~?"),'Calculations'!$HN$13:$HN$512,"="&amp;SUBSTITUTE(SUBSTITUTE(SUBSTITUTE('Dashboard'!$B$7,"~","~~"),"*","~*"),"?","~?"))+COUNTIFS('Calculations'!$HR$13:$HR$512,"="&amp;SUBSTITUTE(SUBSTITUTE(SUBSTITUTE('Calculations'!HF116,"~","~~"),"*","~*"),"?","~?"),'Calculations'!$HN$13:$HN$512,"="&amp;SUBSTITUTE(SUBSTITUTE(SUBSTITUTE('Dashboard'!$B$7,"~","~~"),"*","~*"),"?","~?"))+COUNTIFS('Calculations'!$HS$13:$HS$512,"="&amp;SUBSTITUTE(SUBSTITUTE(SUBSTITUTE('Calculations'!HF116,"~","~~"),"*","~*"),"?","~?"),'Calculations'!$HN$13:$HN$512,"="&amp;SUBSTITUTE(SUBSTITUTE(SUBSTITUTE('Dashboard'!$B$7,"~","~~"),"*","~*"),"?","~?"))+COUNTIFS('Calculations'!$HT$13:$HT$512,"="&amp;SUBSTITUTE(SUBSTITUTE(SUBSTITUTE('Calculations'!HF116,"~","~~"),"*","~*"),"?","~?"),'Calculations'!$HN$13:$HN$512,"="&amp;SUBSTITUTE(SUBSTITUTE(SUBSTITUTE('Dashboard'!$B$7,"~","~~"),"*","~*"),"?","~?"))+COUNTIFS('Calculations'!$HU$13:$HU$512,"="&amp;SUBSTITUTE(SUBSTITUTE(SUBSTITUTE('Calculations'!HF116,"~","~~"),"*","~*"),"?","~?"),'Calculations'!$HN$13:$HN$512,"="&amp;SUBSTITUTE(SUBSTITUTE(SUBSTITUTE('Dashboard'!$B$7,"~","~~"),"*","~*"),"?","~?"))+COUNTIFS('Calculations'!$HV$13:$HV$512,"="&amp;SUBSTITUTE(SUBSTITUTE(SUBSTITUTE('Calculations'!HF116,"~","~~"),"*","~*"),"?","~?"),'Calculations'!$HN$13:$HN$512,"="&amp;SUBSTITUTE(SUBSTITUTE(SUBSTITUTE('Dashboard'!$B$7,"~","~~"),"*","~*"),"?","~?"))+COUNTIFS('Calculations'!$HW$13:$HW$512,"="&amp;SUBSTITUTE(SUBSTITUTE(SUBSTITUTE('Calculations'!HF116,"~","~~"),"*","~*"),"?","~?"),'Calculations'!$HN$13:$HN$512,"="&amp;SUBSTITUTE(SUBSTITUTE(SUBSTITUTE('Dashboard'!$B$7,"~","~~"),"*","~*"),"?","~?"))+COUNTIFS('Calculations'!$HX$13:$HX$512,"="&amp;SUBSTITUTE(SUBSTITUTE(SUBSTITUTE('Calculations'!HF116,"~","~~"),"*","~*"),"?","~?"),'Calculations'!$HN$13:$HN$512,"="&amp;SUBSTITUTE(SUBSTITUTE(SUBSTITUTE('Dashboard'!$B$7,"~","~~"),"*","~*"),"?","~?"))+COUNTIFS('Calculations'!$HY$13:$HY$512,"="&amp;SUBSTITUTE(SUBSTITUTE(SUBSTITUTE('Calculations'!HF116,"~","~~"),"*","~*"),"?","~?"),'Calculations'!$HN$13:$HN$512,"="&amp;SUBSTITUTE(SUBSTITUTE(SUBSTITUTE('Dashboard'!$B$7,"~","~~"),"*","~*"),"?","~?"))+COUNTIFS('Calculations'!$HZ$13:$HZ$512,"="&amp;SUBSTITUTE(SUBSTITUTE(SUBSTITUTE('Calculations'!HF116,"~","~~"),"*","~*"),"?","~?"),'Calculations'!$HN$13:$HN$512,"="&amp;SUBSTITUTE(SUBSTITUTE(SUBSTITUTE('Dashboard'!$B$7,"~","~~"),"*","~*"),"?","~?"))+COUNTIFS('Calculations'!$IA$13:$IA$512,"="&amp;SUBSTITUTE(SUBSTITUTE(SUBSTITUTE('Calculations'!HF116,"~","~~"),"*","~*"),"?","~?"),'Calculations'!$HN$13:$HN$512,"="&amp;SUBSTITUTE(SUBSTITUTE(SUBSTITUTE('Dashboard'!$B$7,"~","~~"),"*","~*"),"?","~?"))+COUNTIFS('Calculations'!$IB$13:$IB$512,"="&amp;SUBSTITUTE(SUBSTITUTE(SUBSTITUTE('Calculations'!HF116,"~","~~"),"*","~*"),"?","~?"),'Calculations'!$HN$13:$HN$512,"="&amp;SUBSTITUTE(SUBSTITUTE(SUBSTITUTE('Dashboard'!$B$7,"~","~~"),"*","~*"),"?","~?"))+COUNTIFS('Calculations'!$IC$13:$IC$512,"="&amp;SUBSTITUTE(SUBSTITUTE(SUBSTITUTE('Calculations'!HF116,"~","~~"),"*","~*"),"?","~?"),'Calculations'!$HN$13:$HN$512,"="&amp;SUBSTITUTE(SUBSTITUTE(SUBSTITUTE('Dashboard'!$B$7,"~","~~"),"*","~*"),"?","~?"))+COUNTIFS('Calculations'!$ID$13:$ID$512,"="&amp;SUBSTITUTE(SUBSTITUTE(SUBSTITUTE('Calculations'!HF116,"~","~~"),"*","~*"),"?","~?"),'Calculations'!$HN$13:$HN$512,"="&amp;SUBSTITUTE(SUBSTITUTE(SUBSTITUTE('Dashboard'!$B$7,"~","~~"),"*","~*"),"?","~?"))+COUNTIFS('Calculations'!$IE$13:$IE$512,"="&amp;SUBSTITUTE(SUBSTITUTE(SUBSTITUTE('Calculations'!HF116,"~","~~"),"*","~*"),"?","~?"),'Calculations'!$HN$13:$HN$512,"="&amp;SUBSTITUTE(SUBSTITUTE(SUBSTITUTE('Dashboard'!$B$7,"~","~~"),"*","~*"),"?","~?"))+COUNTIFS('Calculations'!$IF$13:$IF$512,"="&amp;SUBSTITUTE(SUBSTITUTE(SUBSTITUTE('Calculations'!HF116,"~","~~"),"*","~*"),"?","~?"),'Calculations'!$HN$13:$HN$512,"="&amp;SUBSTITUTE(SUBSTITUTE(SUBSTITUTE('Dashboard'!$B$7,"~","~~"),"*","~*"),"?","~?"))+COUNTIFS('Calculations'!$IG$13:$IG$512,"="&amp;SUBSTITUTE(SUBSTITUTE(SUBSTITUTE('Calculations'!HF116,"~","~~"),"*","~*"),"?","~?"),'Calculations'!$HN$13:$HN$512,"="&amp;SUBSTITUTE(SUBSTITUTE(SUBSTITUTE('Dashboard'!$B$7,"~","~~"),"*","~*"),"?","~?"))+COUNTIFS('Calculations'!$IH$13:$IH$512,"="&amp;SUBSTITUTE(SUBSTITUTE(SUBSTITUTE('Calculations'!HF116,"~","~~"),"*","~*"),"?","~?"),'Calculations'!$HN$13:$HN$512,"="&amp;SUBSTITUTE(SUBSTITUTE(SUBSTITUTE('Dashboard'!$B$7,"~","~~"),"*","~*"),"?","~?"))))</x:f>
        <x:v>0</x:v>
      </x:c>
      <x:c r="JD116" t="n">
        <x:f>IF('Calculations'!EM116="",0,IF('Dashboard'!$B$7="All",1,IF('Calculations'!HN116='Dashboard'!$B$7,1,0)+IFERROR(INDEX('Calculations'!$JC$13:$JC$512,MATCH('Calculations'!HE116,'Calculations'!$HF$13:$HF$512,0)),0)))</x:f>
        <x:v>0</x:v>
      </x:c>
      <x:c r="JE116" t="n">
        <x:f>IF(AND('Calculations'!EM116&lt;&gt;"",'Calculations'!$JJ$2&lt;&gt;"All",'Calculations'!$JJ$2&lt;&gt;"",'Calculations'!HF116='Calculations'!$JJ$2,'Calculations'!HL116=0,'Calculations'!JD116&gt;0),MAX('Calculations'!$JE$12:JE115)+1,0)</x:f>
        <x:v>0</x:v>
      </x:c>
      <x:c r="JF116" t="str">
        <x:f>IF('Calculations'!EM116="","",IFERROR(IF(INDEX(INDIRECT("'WCM Calibration Final'!$G$1:$G$2000"),'Calculations'!$EM116)="","",TRIM(INDEX(INDIRECT("'WCM Calibration Final'!$G$1:$G$2000"),'Calculations'!$EM116)&amp;"")),""))</x:f>
      </x:c>
      <x:c r="JQ116" t="n">
        <x:f>IF(OR('Calculations'!BM116=0,NOT('Calculations'!$AG$2),'Calculations'!$AG$8&gt;0),0,IF(OR('Dashboard'!$B$7="All",'Calculations'!HN116='Dashboard'!$B$7),IF('Calculations'!$JJ$2="All",1,IF(AND('Calculations'!HF116='Calculations'!$JJ$2,'Calculations'!HL116=0),1,0)),0))</x:f>
        <x:v>0</x:v>
      </x:c>
    </x:row>
    <x:row r="117">
      <x:c r="AF117" s="4"/>
      <x:c r="AG117" s="4"/>
      <x:c r="AH117" s="4"/>
      <x:c r="AI117" s="4"/>
      <x:c r="AJ117" s="4"/>
      <x:c r="AK117" s="4"/>
      <x:c r="AL117" s="4"/>
      <x:c r="AM117" s="4"/>
      <x:c r="AN117" s="4"/>
      <x:c r="AO117" s="4"/>
      <x:c r="AP117" s="4"/>
      <x:c r="AQ117" s="4"/>
      <x:c r="AR117" s="4" t="n">
        <x:f>IFERROR(MATCH((MIN('Dashboard'!$Z$93,MAX(1,ROUNDUP(MAX('Calculations'!$DP$12:$DP$1012)/20,0)))-1)*20+20,'Calculations'!$DP$12:$DP$1012,0),0)</x:f>
        <x:v>0</x:v>
      </x:c>
      <x:c r="AS117" s="4"/>
      <x:c r="AT117" s="4"/>
      <x:c r="AU117" s="4"/>
      <x:c r="AV117" s="4"/>
      <x:c r="AW117" s="4"/>
      <x:c r="AX117" s="4"/>
      <x:c r="AY117" s="4"/>
      <x:c r="AZ117" s="4"/>
      <x:c r="BA117" s="4"/>
      <x:c r="BB117" s="4"/>
      <x:c r="BC117" s="4"/>
      <x:c r="BD117" s="4"/>
      <x:c r="BE117" s="4"/>
      <x:c r="BF117" s="4"/>
      <x:c r="BG117" s="4"/>
      <x:c r="BH117" s="4"/>
      <x:c r="BI117" s="4"/>
      <x:c r="BJ117" s="4"/>
      <x:c r="BK117" s="4"/>
      <x:c r="BL117" s="4"/>
      <x:c r="BM117" s="4" t="n">
        <x:f>IF('Calculations'!$EM117="",0,IF(OR(IFERROR(INDEX(INDIRECT("'WCM Calibration Final'!$A$1:$A$2000"),'Calculations'!$EM117)&lt;&gt;"",FALSE),IFERROR(INDEX(INDIRECT("'WCM Calibration Final'!$B$1:$B$2000"),'Calculations'!$EM117)&lt;&gt;"",FALSE),IFERROR(INDEX(INDIRECT("'WCM Calibration Final'!$C$1:$C$2000"),'Calculations'!$EM117)&lt;&gt;"",FALSE)),1,0))</x:f>
        <x:v>0</x:v>
      </x:c>
      <x:c r="BN117" s="4" t="n">
        <x:f>IF(AND('Calculations'!BM117=1,'Calculations'!$AG$2,'Calculations'!$EN117=1),1,0)</x:f>
        <x:v>0</x:v>
      </x:c>
      <x:c r="BO117" s="4" t="str">
        <x:f>IF('Calculations'!BM117=0,"",IFERROR(IF(AND(VALUE(INDEX(INDIRECT("'WCM Calibration Final'!$K$1:$K$2000"),'Calculations'!$EM117))&gt;=1,VALUE(INDEX(INDIRECT("'WCM Calibration Final'!$K$1:$K$2000"),'Calculations'!$EM117))&lt;=4,MOD(VALUE(INDEX(INDIRECT("'WCM Calibration Final'!$K$1:$K$2000"),'Calculations'!$EM117)),1)=0),VALUE(INDEX(INDIRECT("'WCM Calibration Final'!$K$1:$K$2000"),'Calculations'!$EM117)),""),""))</x:f>
      </x:c>
      <x:c r="BP117" s="4" t="str">
        <x:f>IF('Calculations'!BM117=0,"",IFERROR(IF(AND(VALUE(INDEX(INDIRECT("'WCM Calibration Final'!$L$1:$L$2000"),'Calculations'!$EM117))&gt;=1,VALUE(INDEX(INDIRECT("'WCM Calibration Final'!$L$1:$L$2000"),'Calculations'!$EM117))&lt;=4,MOD(VALUE(INDEX(INDIRECT("'WCM Calibration Final'!$L$1:$L$2000"),'Calculations'!$EM117)),1)=0),VALUE(INDEX(INDIRECT("'WCM Calibration Final'!$L$1:$L$2000"),'Calculations'!$EM117)),""),""))</x:f>
      </x:c>
      <x:c r="BQ117" s="4"/>
      <x:c r="BR117" s="4"/>
      <x:c r="BS117" s="4"/>
      <x:c r="BT117" s="4" t="n">
        <x:f>IF(AND('Calculations'!BM117=1,ISNUMBER('Calculations'!BO117),ISNUMBER('Calculations'!BP117)),1,0)</x:f>
        <x:v>0</x:v>
      </x:c>
      <x:c r="BU117" s="4" t="str">
        <x:f>IF('Calculations'!BM117=0,"",'Calculations'!$EO117)</x:f>
      </x:c>
      <x:c r="BV117" s="4" t="str">
        <x:f>IF('Calculations'!BM117=0,"",IFERROR(IF(OR(INDEX(INDIRECT("'WCM Calibration Final'!$H$1:$H$2000"),'Calculations'!$EM117)="MANAGING DIRECTOR",INDEX(INDIRECT("'WCM Calibration Final'!$H$1:$H$2000"),'Calculations'!$EM117)="DIRECTOR",INDEX(INDIRECT("'WCM Calibration Final'!$H$1:$H$2000"),'Calculations'!$EM117)="SENIOR VICE PRESIDENT",INDEX(INDIRECT("'WCM Calibration Final'!$H$1:$H$2000"),'Calculations'!$EM117)="VICE PRESIDENT",INDEX(INDIRECT("'WCM Calibration Final'!$H$1:$H$2000"),'Calculations'!$EM117)="ASSISTANT VICE PRESIDENT",INDEX(INDIRECT("'WCM Calibration Final'!$H$1:$H$2000"),'Calculations'!$EM117)="OFFICER"),UPPER(INDEX(INDIRECT("'WCM Calibration Final'!$H$1:$H$2000"),'Calculations'!$EM117)),"Other"),"Other"))</x:f>
      </x:c>
      <x:c r="BW117" s="4"/>
      <x:c r="BX117" s="4"/>
      <x:c r="BY117" s="4" t="n">
        <x:f>IF(AND('Calculations'!BM117=1,'Calculations'!BU117&lt;&gt;"",COUNTIF('Calculations'!$BU$12:BU117,'Calculations'!BU117)=1),MAX('Calculations'!$BY$11:BY116)+1,0)</x:f>
        <x:v>0</x:v>
      </x:c>
      <x:c r="BZ117" s="4" t="str">
        <x:f>IF('Dashboard'!$E$67="What",'Calculations'!BO117,'Calculations'!BP117)</x:f>
      </x:c>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t="str">
        <x:f>IF(106&gt;MAX('Calculations'!$HI$13:$HI$512),"",INDEX('Calculations'!$HN$13:$HN$512,MATCH(106,'Calculations'!$HI$13:$HI$512,0)))</x:f>
      </x:c>
      <x:c r="DB117" s="4" t="str">
        <x:f>IF(106&gt;MAX('Calculations'!$HH$13:$HH$512),"",INDEX('Calculations'!$HJ$13:$HJ$512,MATCH(106,'Calculations'!$HH$13:$HH$512,0)))</x:f>
      </x:c>
      <x:c r="DC117" s="4" t="str">
        <x:f>IF(ROW()-11&gt;MAX('Calculations'!$BY$13:$BY$512),"",INDEX('Calculations'!$BU$13:$BU$512,MATCH(ROW()-11,'Calculations'!$BY$13:$BY$512,0)))</x:f>
      </x:c>
      <x:c r="DD117" s="4" t="str">
        <x:f>IF(106&gt;MAX('Calculations'!$IK$13:$IK$512),"",INDEX('Calculations'!$HK$13:$HK$512,MATCH(106,'Calculations'!$IK$13:$IK$512,0)))</x:f>
      </x:c>
      <x:c r="DE117" s="4" t="str">
        <x:f>'Calculations'!DC117</x:f>
      </x:c>
      <x:c r="DF117" s="4" t="str">
        <x:f>IF('Calculations'!DE117="","",COUNTIFS('Calculations'!$BN$13:$BN$512,1,'Calculations'!$BU$13:$BU$512,'Calculations'!DE117))</x:f>
      </x:c>
      <x:c r="DG117" s="4" t="str">
        <x:f>IF('Calculations'!DE117="","",COUNTIFS('Calculations'!$BN$13:$BN$512,1,'Calculations'!$BU$13:$BU$512,'Calculations'!DE117,'Calculations'!$BT$13:$BT$512,1))</x:f>
      </x:c>
      <x:c r="DH117" s="4" t="str">
        <x:f>IF('Calculations'!DE117="","",'Calculations'!DF117-'Calculations'!DG117)</x:f>
      </x:c>
      <x:c r="DI117" s="4" t="str">
        <x:f>IF(OR('Calculations'!DE117="",'Calculations'!DF117=0),"",'Calculations'!DG117/'Calculations'!DF117)</x:f>
      </x:c>
      <x:c r="DJ117" s="4" t="str">
        <x:f>IF('Calculations'!DE117="","",COUNTIFS('Calculations'!$BN$13:$BN$512,1,'Calculations'!$BU$13:$BU$512,'Calculations'!DE117,'Calculations'!$BT$13:$BT$512,1,'Calculations'!$EE$13:$EE$512,"High"))</x:f>
      </x:c>
      <x:c r="DK117" s="4" t="str">
        <x:f>IF('Calculations'!DE117="","",COUNTIFS('Calculations'!$BN$13:$BN$512,1,'Calculations'!$BU$13:$BU$512,'Calculations'!DE117,'Calculations'!$BT$13:$BT$512,1,'Calculations'!$EE$13:$EE$512,"Strong"))</x:f>
      </x:c>
      <x:c r="DL117" s="4" t="str">
        <x:f>IF('Calculations'!DE117="","",COUNTIFS('Calculations'!$BN$13:$BN$512,1,'Calculations'!$BU$13:$BU$512,'Calculations'!DE117,'Calculations'!$BT$13:$BT$512,1,'Calculations'!$EE$13:$EE$512,"Solid"))</x:f>
      </x:c>
      <x:c r="DM117" s="4" t="str">
        <x:f>IF('Calculations'!DE117="","",COUNTIFS('Calculations'!$BN$13:$BN$512,1,'Calculations'!$BU$13:$BU$512,'Calculations'!DE117,'Calculations'!$BT$13:$BT$512,1,'Calculations'!$EE$13:$EE$512,"Low"))</x:f>
      </x:c>
      <x:c r="DN117" s="4" t="str">
        <x:f>IF('Calculations'!DE117="","",COUNTIFS('Calculations'!$BN$13:$BN$512,1,'Calculations'!$BU$13:$BU$512,'Calculations'!DE117,'Calculations'!$EP$13:$EP$512,1))</x:f>
      </x:c>
      <x:c r="DO117" s="4" t="str">
        <x:f>IF(OR('Calculations'!DE117="",'Calculations'!DG117=0),"",('Calculations'!DJ117+'Calculations'!DK117)/'Calculations'!DG117)</x:f>
      </x:c>
      <x:c r="DP117" s="4" t="n">
        <x:f>IF(AND('Calculations'!DE117&lt;&gt;"",'Calculations'!DF117&gt;0),COUNTIF('Calculations'!$DF$12:DF117,"&gt;0"),0)</x:f>
        <x:v>0</x:v>
      </x:c>
      <x:c r="DQ117" s="4" t="str">
        <x:f>IF(106&gt;MAX('Calculations'!$HH$13:$HH$512),"",INDEX('Calculations'!$HF$13:$HF$512,MATCH(106,'Calculations'!$HH$13:$HH$512,0)))</x:f>
      </x:c>
      <x:c r="DR117" s="4" t="str">
        <x:f>IF(106&gt;MAX('Calculations'!$IK$13:$IK$512),"",INDEX('Calculations'!$HE$13:$HE$512,MATCH(106,'Calculations'!$IK$13:$IK$512,0)))</x:f>
      </x:c>
      <x:c r="DS117" s="4"/>
      <x:c r="DT117" s="4"/>
      <x:c r="DU117" s="4"/>
      <x:c r="DV117" s="4"/>
      <x:c r="DW117" s="4"/>
      <x:c r="DX117" s="4"/>
      <x:c r="DY117" s="4"/>
      <x:c r="DZ117" s="4"/>
      <x:c r="EA117" s="4"/>
      <x:c r="EB117" s="4"/>
      <x:c r="EC117" s="4"/>
      <x:c r="ED117" s="4"/>
      <x:c r="EE117" s="4" t="str">
        <x:f>IF('Calculations'!BT117=0,"Not Rated",IF(OR('Calculations'!BO117&gt;=4,'Calculations'!BP117&gt;=4),"Low",IF('Calculations'!BO117+'Calculations'!BP117&lt;=3,"High",IF('Calculations'!BO117+'Calculations'!BP117&lt;=4,"Strong","Solid"))))</x:f>
        <x:v>Not Rated</x:v>
      </x:c>
      <x:c r="EF117" s="4"/>
      <x:c r="EG117" s="4"/>
      <x:c r="EH117" s="4"/>
      <x:c r="EI117" s="4"/>
      <x:c r="EJ117" s="4"/>
      <x:c r="EK117" s="4"/>
      <x:c r="EL117" s="4"/>
      <x:c r="EM117" s="4" t="str">
        <x:f>IF(105&gt;'Calculations'!$JB$2000,"",INDEX('Calculations'!$JA$12:$JA$2000,MATCH(105,'Calculations'!$JB$12:$JB$2000,0)))</x:f>
      </x:c>
      <x:c r="EN117" s="4" t="n">
        <x:f>IF(OR('Calculations'!EM117="",'Calculations'!$AG$8&gt;0,AND('Calculations'!$EF$2&lt;&gt;"All",'Calculations'!HE117='Calculations'!$EF$2),AND('Calculations'!$EF$3&lt;&gt;"All",'Calculations'!HE117='Calculations'!$EF$3)),0,IF(OR('Dashboard'!$B$7="All",'Calculations'!HN117='Dashboard'!$B$7),IF('Calculations'!$EF$2="All",1,IF('Calculations'!HL117&gt;0,0,IF(COUNTIF('Calculations'!HO117:II117,"="&amp;SUBSTITUTE(SUBSTITUTE(SUBSTITUTE('Calculations'!$EF$2,"~","~~"),"*","~*"),"?","~?"))=0,0,IF('Calculations'!$EF$3="All",1,IF(COUNTIF('Calculations'!HO117:II117,"="&amp;SUBSTITUTE(SUBSTITUTE(SUBSTITUTE('Calculations'!$EF$3,"~","~~"),"*","~*"),"?","~?"))&gt;0,1,0))))),0))</x:f>
        <x:v>0</x:v>
      </x:c>
      <x:c r="EO117" s="4" t="str">
        <x:f>IF('Calculations'!IJ117="","",IF('Calculations'!IJ117="!UNRESOLVED","Unresolved hierarchy",IFERROR(INDEX('Calculations'!$HK$13:$HK$512,MATCH('Calculations'!IJ117,'Calculations'!$HE$13:$HE$512,0)),IFERROR(INDEX('Calculations'!$HJ$13:$HJ$512,MATCH('Calculations'!IJ117,'Calculations'!$HF$13:$HF$512,0)),'Calculations'!IJ117))))</x:f>
      </x:c>
      <x:c r="EP117" s="4" t="n">
        <x:f>IF(AND('Calculations'!EM117&lt;&gt;"",'Calculations'!HF117='Calculations'!IJ117),1,0)</x:f>
        <x:v>0</x:v>
      </x:c>
      <x:c r="EQ117" s="4"/>
      <x:c r="ER117" s="4"/>
      <x:c r="ES117" s="4"/>
      <x:c r="ET117" s="4"/>
      <x:c r="EU117" s="4"/>
      <x:c r="EV117" s="4"/>
      <x:c r="EW117" s="4"/>
      <x:c r="EX117" s="4"/>
      <x:c r="EY117" s="4"/>
      <x:c r="EZ117" s="4"/>
      <x:c r="FA117" s="4"/>
      <x:c r="FB117" s="4"/>
      <x:c r="FC117" s="4"/>
      <x:c r="FD117" s="4"/>
      <x:c r="FE117" s="4"/>
      <x:c r="FF117" s="4"/>
      <x:c r="FG117" s="4"/>
      <x:c r="FH117" s="4"/>
      <x:c r="FI117" s="4"/>
      <x:c r="FJ117" s="4"/>
      <x:c r="FK117" s="4"/>
      <x:c r="FL117" s="4"/>
      <x:c r="FM117" s="4"/>
      <x:c r="FN117" s="4"/>
      <x:c r="FO117" s="4"/>
      <x:c r="GA117" s="71"/>
      <x:c r="GB117" s="71" t="str">
        <x:f>IF('Calculations'!$AR117=0,"",INDEX('Calculations'!$DE$12:$DE$1012,'Calculations'!$AR117))</x:f>
      </x:c>
      <x:c r="GC117" s="71"/>
      <x:c r="GD117" s="71"/>
      <x:c r="GE117" s="71"/>
      <x:c r="GF117" s="71"/>
      <x:c r="GG117" s="71"/>
      <x:c r="GH117" s="71"/>
      <x:c r="GI117" s="71" t="str">
        <x:f>IF('Calculations'!$AR117=0,"",INDEX('Calculations'!$DF$12:$DF$1012,'Calculations'!$AR117))</x:f>
      </x:c>
      <x:c r="GJ117" s="71"/>
      <x:c r="GK117" s="71" t="str">
        <x:f>IF('Calculations'!$AR117=0,"",INDEX('Calculations'!$DG$12:$DG$1012,'Calculations'!$AR117))</x:f>
      </x:c>
      <x:c r="GL117" s="71"/>
      <x:c r="GM117" s="71" t="str">
        <x:f>IF('Calculations'!$AR117=0,"",INDEX('Calculations'!$DH$12:$DH$1012,'Calculations'!$AR117))</x:f>
      </x:c>
      <x:c r="GN117" s="71"/>
      <x:c r="GO117" s="71" t="str">
        <x:f>IF('Calculations'!$AR117=0,"",INDEX('Calculations'!$DI$12:$DI$1012,'Calculations'!$AR117))</x:f>
      </x:c>
      <x:c r="GP117" s="71"/>
      <x:c r="GQ117" s="71" t="str">
        <x:f>IF('Calculations'!$AR117=0,"",INDEX('Calculations'!$DJ$12:$DJ$1012,'Calculations'!$AR117)&amp;" · "&amp;IF(INDEX('Calculations'!$DG$12:$DG$1012,'Calculations'!$AR117)=0,"n.a.",TEXT(INDEX('Calculations'!$DJ$12:$DJ$1012,'Calculations'!$AR117)/INDEX('Calculations'!$DG$12:$DG$1012,'Calculations'!$AR117),"0.0%")))</x:f>
      </x:c>
      <x:c r="GR117" s="71"/>
      <x:c r="GS117" s="71" t="str">
        <x:f>IF('Calculations'!$AR117=0,"",INDEX('Calculations'!$DK$12:$DK$1012,'Calculations'!$AR117)&amp;" · "&amp;IF(INDEX('Calculations'!$DG$12:$DG$1012,'Calculations'!$AR117)=0,"n.a.",TEXT(INDEX('Calculations'!$DK$12:$DK$1012,'Calculations'!$AR117)/INDEX('Calculations'!$DG$12:$DG$1012,'Calculations'!$AR117),"0.0%")))</x:f>
      </x:c>
      <x:c r="GT117" s="71"/>
      <x:c r="GU117" s="71" t="str">
        <x:f>IF('Calculations'!$AR117=0,"",INDEX('Calculations'!$DL$12:$DL$1012,'Calculations'!$AR117)&amp;" · "&amp;IF(INDEX('Calculations'!$DG$12:$DG$1012,'Calculations'!$AR117)=0,"n.a.",TEXT(INDEX('Calculations'!$DL$12:$DL$1012,'Calculations'!$AR117)/INDEX('Calculations'!$DG$12:$DG$1012,'Calculations'!$AR117),"0.0%")))</x:f>
      </x:c>
      <x:c r="GV117" s="71"/>
      <x:c r="GW117" s="71" t="str">
        <x:f>IF('Calculations'!$AR117=0,"",INDEX('Calculations'!$DM$12:$DM$1012,'Calculations'!$AR117)&amp;" · "&amp;IF(INDEX('Calculations'!$DG$12:$DG$1012,'Calculations'!$AR117)=0,"n.a.",TEXT(INDEX('Calculations'!$DM$12:$DM$1012,'Calculations'!$AR117)/INDEX('Calculations'!$DG$12:$DG$1012,'Calculations'!$AR117),"0.0%")))</x:f>
      </x:c>
      <x:c r="GX117" s="71"/>
      <x:c r="GY117" s="71" t="str">
        <x:f>IF('Calculations'!$AR117=0,"",INDEX('Calculations'!$DN$12:$DN$1012,'Calculations'!$AR117))</x:f>
      </x:c>
      <x:c r="GZ117" s="71"/>
      <x:c r="HA117" s="71" t="str">
        <x:f>IF('Calculations'!$AR117=0,"",INDEX('Calculations'!$DO$12:$DO$1012,'Calculations'!$AR117))</x:f>
      </x:c>
      <x:c r="HB117" s="71"/>
      <x:c r="HC117" s="71"/>
      <x:c r="HD117" s="71"/>
      <x:c r="HE117" t="str">
        <x:f>IF('Calculations'!EM117="","",IF(IFERROR(IF(INDEX(INDIRECT("'WCM Calibration Final'!$A$1:$A$2000"),'Calculations'!$EM117)="","",TRIM(INDEX(INDIRECT("'WCM Calibration Final'!$A$1:$A$2000"),'Calculations'!$EM117)&amp;"")),"")&lt;&gt;"","G:"&amp;IFERROR(TEXT(1*INDEX(INDIRECT("'WCM Calibration Final'!$A$1:$A$2000"),'Calculations'!$EM117),"0"),UPPER(IFERROR(IF(INDEX(INDIRECT("'WCM Calibration Final'!$A$1:$A$2000"),'Calculations'!$EM117)="","",TRIM(INDEX(INDIRECT("'WCM Calibration Final'!$A$1:$A$2000"),'Calculations'!$EM117)&amp;"")),""))),IF(IFERROR(IF(INDEX(INDIRECT("'WCM Calibration Final'!$C$1:$C$2000"),'Calculations'!$EM117)="","",TRIM(INDEX(INDIRECT("'WCM Calibration Final'!$C$1:$C$2000"),'Calculations'!$EM117)&amp;"")),"")&lt;&gt;"","S:"&amp;UPPER(IFERROR(IF(INDEX(INDIRECT("'WCM Calibration Final'!$C$1:$C$2000"),'Calculations'!$EM117)="","",TRIM(INDEX(INDIRECT("'WCM Calibration Final'!$C$1:$C$2000"),'Calculations'!$EM117)&amp;"")),"")),"R:"&amp;'Calculations'!EM117)))</x:f>
      </x:c>
      <x:c r="HF117" t="str">
        <x:f>IF('Calculations'!EM117="","",IF(IFERROR(IF(INDEX(INDIRECT("'WCM Calibration Final'!$D$1:$D$2000"),'Calculations'!$EM117)="","",TRIM(INDEX(INDIRECT("'WCM Calibration Final'!$D$1:$D$2000"),'Calculations'!$EM117)&amp;"")),"")&lt;&gt;"","G:"&amp;IFERROR(TEXT(1*INDEX(INDIRECT("'WCM Calibration Final'!$D$1:$D$2000"),'Calculations'!$EM117),"0"),UPPER(IFERROR(IF(INDEX(INDIRECT("'WCM Calibration Final'!$D$1:$D$2000"),'Calculations'!$EM117)="","",TRIM(INDEX(INDIRECT("'WCM Calibration Final'!$D$1:$D$2000"),'Calculations'!$EM117)&amp;"")),""))),IF(IFERROR(IF(INDEX(INDIRECT("'WCM Calibration Final'!$E$1:$E$2000"),'Calculations'!$EM117)="","",TRIM(INDEX(INDIRECT("'WCM Calibration Final'!$E$1:$E$2000"),'Calculations'!$EM117)&amp;"")),"")="","",IF(COUNTIF('Calculations'!$HG$13:$HG$512,"="&amp;SUBSTITUTE(SUBSTITUTE(SUBSTITUTE(IFERROR(IF(INDEX(INDIRECT("'WCM Calibration Final'!$E$1:$E$2000"),'Calculations'!$EM117)="","",TRIM(INDEX(INDIRECT("'WCM Calibration Final'!$E$1:$E$2000"),'Calculations'!$EM117)&amp;"")),""),"~","~~"),"*","~*"),"?","~?"))=1,INDEX('Calculations'!$HE$13:$HE$512,MATCH(IFERROR(IF(INDEX(INDIRECT("'WCM Calibration Final'!$E$1:$E$2000"),'Calculations'!$EM117)="","",TRIM(INDEX(INDIRECT("'WCM Calibration Final'!$E$1:$E$2000"),'Calculations'!$EM117)&amp;"")),""),'Calculations'!$HG$13:$HG$512,0)),IF(COUNTIF('Calculations'!$HG$13:$HG$512,"="&amp;SUBSTITUTE(SUBSTITUTE(SUBSTITUTE(IFERROR(IF(INDEX(INDIRECT("'WCM Calibration Final'!$E$1:$E$2000"),'Calculations'!$EM117)="","",TRIM(INDEX(INDIRECT("'WCM Calibration Final'!$E$1:$E$2000"),'Calculations'!$EM117)&amp;"")),""),"~","~~"),"*","~*"),"?","~?"))&gt;1,"!AMBIG","X:"&amp;IFERROR(IF(INDEX(INDIRECT("'WCM Calibration Final'!$E$1:$E$2000"),'Calculations'!$EM117)="","",TRIM(INDEX(INDIRECT("'WCM Calibration Final'!$E$1:$E$2000"),'Calculations'!$EM117)&amp;"")),""))))))</x:f>
      </x:c>
      <x:c r="HG117" t="str">
        <x:f>IF('Calculations'!EM117="","",IFERROR(IF(INDEX(INDIRECT("'WCM Calibration Final'!$B$1:$B$2000"),'Calculations'!$EM117)="","",TRIM(INDEX(INDIRECT("'WCM Calibration Final'!$B$1:$B$2000"),'Calculations'!$EM117)&amp;"")),""))</x:f>
      </x:c>
      <x:c r="HH117" t="n">
        <x:f>IF(AND('Calculations'!JC117&gt;0,COUNTIF('Calculations'!$HF$12:HF117,"="&amp;SUBSTITUTE(SUBSTITUTE(SUBSTITUTE('Calculations'!HF117,"~","~~"),"*","~*"),"?","~?"))=1),MAX('Calculations'!$HH$12:HH116)+1,0)</x:f>
        <x:v>0</x:v>
      </x:c>
      <x:c r="HI117" t="n">
        <x:f>IF(AND('Calculations'!HN117&lt;&gt;"",COUNTIF('Calculations'!$HN$12:HN117,"="&amp;SUBSTITUTE(SUBSTITUTE(SUBSTITUTE('Calculations'!HN117,"~","~~"),"*","~*"),"?","~?"))=1),MAX('Calculations'!$HI$12:HI116)+1,0)</x:f>
        <x:v>0</x:v>
      </x:c>
      <x:c r="HJ117" t="str">
        <x:f>IF('Calculations'!HF117="","",IF(COUNTIF('Calculations'!$HE$13:$HE$512,"="&amp;SUBSTITUTE(SUBSTITUTE(SUBSTITUTE('Calculations'!HF117,"~","~~"),"*","~*"),"?","~?"))=1,INDEX('Calculations'!$HK$13:$HK$512,MATCH('Calculations'!HF117,'Calculations'!$HE$13:$HE$512,0)),IFERROR(IF(INDEX(INDIRECT("'WCM Calibration Final'!$E$1:$E$2000"),'Calculations'!$EM117)="","",TRIM(INDEX(INDIRECT("'WCM Calibration Final'!$E$1:$E$2000"),'Calculations'!$EM117)&amp;"")),"")&amp;" ["&amp;'Calculations'!HF117&amp;"]"))</x:f>
      </x:c>
      <x:c r="HK117" t="str">
        <x:f>IF('Calculations'!EM117="","",'Calculations'!HG117&amp;" ["&amp;'Calculations'!HE117&amp;"]")</x:f>
      </x:c>
      <x:c r="HL117" t="n">
        <x:f>IF('Calculations'!EM117="",0,IF(OR('Calculations'!II117&lt;&gt;"",COUNTIF('Calculations'!$HE$13:$HE$512,"="&amp;SUBSTITUTE(SUBSTITUTE(SUBSTITUTE('Calculations'!HE117,"~","~~"),"*","~*"),"?","~?"))&gt;1),1,0))</x:f>
        <x:v>0</x:v>
      </x:c>
      <x:c r="HM117" t="str">
        <x:f>IF('Calculations'!EM117="","",IF('Calculations'!HL117=1,"!UNRESOLVED",IF('Calculations'!IH117&lt;&gt;"",'Calculations'!IH117,IF('Calculations'!IG117&lt;&gt;"",'Calculations'!IG117,IF('Calculations'!IF117&lt;&gt;"",'Calculations'!IF117,IF('Calculations'!IE117&lt;&gt;"",'Calculations'!IE117,IF('Calculations'!ID117&lt;&gt;"",'Calculations'!ID117,IF('Calculations'!IC117&lt;&gt;"",'Calculations'!IC117,IF('Calculations'!IB117&lt;&gt;"",'Calculations'!IB117,IF('Calculations'!IA117&lt;&gt;"",'Calculations'!IA117,IF('Calculations'!HZ117&lt;&gt;"",'Calculations'!HZ117,IF('Calculations'!HY117&lt;&gt;"",'Calculations'!HY117,IF('Calculations'!HX117&lt;&gt;"",'Calculations'!HX117,IF('Calculations'!HW117&lt;&gt;"",'Calculations'!HW117,IF('Calculations'!HV117&lt;&gt;"",'Calculations'!HV117,IF('Calculations'!HU117&lt;&gt;"",'Calculations'!HU117,IF('Calculations'!HT117&lt;&gt;"",'Calculations'!HT117,IF('Calculations'!HS117&lt;&gt;"",'Calculations'!HS117,IF('Calculations'!HR117&lt;&gt;"",'Calculations'!HR117,IF('Calculations'!HQ117&lt;&gt;"",'Calculations'!HQ117,IF('Calculations'!HP117&lt;&gt;"",'Calculations'!HP117,IF('Calculations'!HO117&lt;&gt;"",'Calculations'!HO117,'Calculations'!HE117))))))))))))))))))))))</x:f>
      </x:c>
      <x:c r="HN117" t="str">
        <x:f>IF('Calculations'!EM117="","",IF(IFERROR(IF(INDEX(INDIRECT("'WCM Calibration Final'!$F$1:$F$2000"),'Calculations'!$EM117)="","",TRIM(INDEX(INDIRECT("'WCM Calibration Final'!$F$1:$F$2000"),'Calculations'!$EM117)&amp;"")),"")="","(Blank)",IFERROR(IF(INDEX(INDIRECT("'WCM Calibration Final'!$F$1:$F$2000"),'Calculations'!$EM117)="","",TRIM(INDEX(INDIRECT("'WCM Calibration Final'!$F$1:$F$2000"),'Calculations'!$EM117)&amp;"")),"")))</x:f>
      </x:c>
      <x:c r="HO117" t="str">
        <x:f>'Calculations'!HF117</x:f>
      </x:c>
      <x:c r="HP117" t="str">
        <x:f>IF('Calculations'!HO117="","",IF('Calculations'!HO117="!AMBIG","!AMBIG",IF(COUNTIF('Calculations'!$HE$13:$HE$512,"="&amp;SUBSTITUTE(SUBSTITUTE(SUBSTITUTE('Calculations'!HO117,"~","~~"),"*","~*"),"?","~?"))&gt;1,"!AMBIG",IFERROR(INDEX('Calculations'!$HF$13:$HF$512,MATCH('Calculations'!HO117,'Calculations'!$HE$13:$HE$512,0)),""))))</x:f>
      </x:c>
      <x:c r="HQ117" t="str">
        <x:f>IF('Calculations'!HP117="","",IF('Calculations'!HP117="!AMBIG","!AMBIG",IF(COUNTIF('Calculations'!$HE$13:$HE$512,"="&amp;SUBSTITUTE(SUBSTITUTE(SUBSTITUTE('Calculations'!HP117,"~","~~"),"*","~*"),"?","~?"))&gt;1,"!AMBIG",IFERROR(INDEX('Calculations'!$HF$13:$HF$512,MATCH('Calculations'!HP117,'Calculations'!$HE$13:$HE$512,0)),""))))</x:f>
      </x:c>
      <x:c r="HR117" t="str">
        <x:f>IF('Calculations'!HQ117="","",IF('Calculations'!HQ117="!AMBIG","!AMBIG",IF(COUNTIF('Calculations'!$HE$13:$HE$512,"="&amp;SUBSTITUTE(SUBSTITUTE(SUBSTITUTE('Calculations'!HQ117,"~","~~"),"*","~*"),"?","~?"))&gt;1,"!AMBIG",IFERROR(INDEX('Calculations'!$HF$13:$HF$512,MATCH('Calculations'!HQ117,'Calculations'!$HE$13:$HE$512,0)),""))))</x:f>
      </x:c>
      <x:c r="HS117" t="str">
        <x:f>IF('Calculations'!HR117="","",IF('Calculations'!HR117="!AMBIG","!AMBIG",IF(COUNTIF('Calculations'!$HE$13:$HE$512,"="&amp;SUBSTITUTE(SUBSTITUTE(SUBSTITUTE('Calculations'!HR117,"~","~~"),"*","~*"),"?","~?"))&gt;1,"!AMBIG",IFERROR(INDEX('Calculations'!$HF$13:$HF$512,MATCH('Calculations'!HR117,'Calculations'!$HE$13:$HE$512,0)),""))))</x:f>
      </x:c>
      <x:c r="HT117" t="str">
        <x:f>IF('Calculations'!HS117="","",IF('Calculations'!HS117="!AMBIG","!AMBIG",IF(COUNTIF('Calculations'!$HE$13:$HE$512,"="&amp;SUBSTITUTE(SUBSTITUTE(SUBSTITUTE('Calculations'!HS117,"~","~~"),"*","~*"),"?","~?"))&gt;1,"!AMBIG",IFERROR(INDEX('Calculations'!$HF$13:$HF$512,MATCH('Calculations'!HS117,'Calculations'!$HE$13:$HE$512,0)),""))))</x:f>
      </x:c>
      <x:c r="HU117" t="str">
        <x:f>IF('Calculations'!HT117="","",IF('Calculations'!HT117="!AMBIG","!AMBIG",IF(COUNTIF('Calculations'!$HE$13:$HE$512,"="&amp;SUBSTITUTE(SUBSTITUTE(SUBSTITUTE('Calculations'!HT117,"~","~~"),"*","~*"),"?","~?"))&gt;1,"!AMBIG",IFERROR(INDEX('Calculations'!$HF$13:$HF$512,MATCH('Calculations'!HT117,'Calculations'!$HE$13:$HE$512,0)),""))))</x:f>
      </x:c>
      <x:c r="HV117" t="str">
        <x:f>IF('Calculations'!HU117="","",IF('Calculations'!HU117="!AMBIG","!AMBIG",IF(COUNTIF('Calculations'!$HE$13:$HE$512,"="&amp;SUBSTITUTE(SUBSTITUTE(SUBSTITUTE('Calculations'!HU117,"~","~~"),"*","~*"),"?","~?"))&gt;1,"!AMBIG",IFERROR(INDEX('Calculations'!$HF$13:$HF$512,MATCH('Calculations'!HU117,'Calculations'!$HE$13:$HE$512,0)),""))))</x:f>
      </x:c>
      <x:c r="HW117" t="str">
        <x:f>IF('Calculations'!HV117="","",IF('Calculations'!HV117="!AMBIG","!AMBIG",IF(COUNTIF('Calculations'!$HE$13:$HE$512,"="&amp;SUBSTITUTE(SUBSTITUTE(SUBSTITUTE('Calculations'!HV117,"~","~~"),"*","~*"),"?","~?"))&gt;1,"!AMBIG",IFERROR(INDEX('Calculations'!$HF$13:$HF$512,MATCH('Calculations'!HV117,'Calculations'!$HE$13:$HE$512,0)),""))))</x:f>
      </x:c>
      <x:c r="HX117" t="str">
        <x:f>IF('Calculations'!HW117="","",IF('Calculations'!HW117="!AMBIG","!AMBIG",IF(COUNTIF('Calculations'!$HE$13:$HE$512,"="&amp;SUBSTITUTE(SUBSTITUTE(SUBSTITUTE('Calculations'!HW117,"~","~~"),"*","~*"),"?","~?"))&gt;1,"!AMBIG",IFERROR(INDEX('Calculations'!$HF$13:$HF$512,MATCH('Calculations'!HW117,'Calculations'!$HE$13:$HE$512,0)),""))))</x:f>
      </x:c>
      <x:c r="HY117" t="str">
        <x:f>IF('Calculations'!HX117="","",IF('Calculations'!HX117="!AMBIG","!AMBIG",IF(COUNTIF('Calculations'!$HE$13:$HE$512,"="&amp;SUBSTITUTE(SUBSTITUTE(SUBSTITUTE('Calculations'!HX117,"~","~~"),"*","~*"),"?","~?"))&gt;1,"!AMBIG",IFERROR(INDEX('Calculations'!$HF$13:$HF$512,MATCH('Calculations'!HX117,'Calculations'!$HE$13:$HE$512,0)),""))))</x:f>
      </x:c>
      <x:c r="HZ117" t="str">
        <x:f>IF('Calculations'!HY117="","",IF('Calculations'!HY117="!AMBIG","!AMBIG",IF(COUNTIF('Calculations'!$HE$13:$HE$512,"="&amp;SUBSTITUTE(SUBSTITUTE(SUBSTITUTE('Calculations'!HY117,"~","~~"),"*","~*"),"?","~?"))&gt;1,"!AMBIG",IFERROR(INDEX('Calculations'!$HF$13:$HF$512,MATCH('Calculations'!HY117,'Calculations'!$HE$13:$HE$512,0)),""))))</x:f>
      </x:c>
      <x:c r="IA117" t="str">
        <x:f>IF('Calculations'!HZ117="","",IF('Calculations'!HZ117="!AMBIG","!AMBIG",IF(COUNTIF('Calculations'!$HE$13:$HE$512,"="&amp;SUBSTITUTE(SUBSTITUTE(SUBSTITUTE('Calculations'!HZ117,"~","~~"),"*","~*"),"?","~?"))&gt;1,"!AMBIG",IFERROR(INDEX('Calculations'!$HF$13:$HF$512,MATCH('Calculations'!HZ117,'Calculations'!$HE$13:$HE$512,0)),""))))</x:f>
      </x:c>
      <x:c r="IB117" t="str">
        <x:f>IF('Calculations'!IA117="","",IF('Calculations'!IA117="!AMBIG","!AMBIG",IF(COUNTIF('Calculations'!$HE$13:$HE$512,"="&amp;SUBSTITUTE(SUBSTITUTE(SUBSTITUTE('Calculations'!IA117,"~","~~"),"*","~*"),"?","~?"))&gt;1,"!AMBIG",IFERROR(INDEX('Calculations'!$HF$13:$HF$512,MATCH('Calculations'!IA117,'Calculations'!$HE$13:$HE$512,0)),""))))</x:f>
      </x:c>
      <x:c r="IC117" t="str">
        <x:f>IF('Calculations'!IB117="","",IF('Calculations'!IB117="!AMBIG","!AMBIG",IF(COUNTIF('Calculations'!$HE$13:$HE$512,"="&amp;SUBSTITUTE(SUBSTITUTE(SUBSTITUTE('Calculations'!IB117,"~","~~"),"*","~*"),"?","~?"))&gt;1,"!AMBIG",IFERROR(INDEX('Calculations'!$HF$13:$HF$512,MATCH('Calculations'!IB117,'Calculations'!$HE$13:$HE$512,0)),""))))</x:f>
      </x:c>
      <x:c r="ID117" t="str">
        <x:f>IF('Calculations'!IC117="","",IF('Calculations'!IC117="!AMBIG","!AMBIG",IF(COUNTIF('Calculations'!$HE$13:$HE$512,"="&amp;SUBSTITUTE(SUBSTITUTE(SUBSTITUTE('Calculations'!IC117,"~","~~"),"*","~*"),"?","~?"))&gt;1,"!AMBIG",IFERROR(INDEX('Calculations'!$HF$13:$HF$512,MATCH('Calculations'!IC117,'Calculations'!$HE$13:$HE$512,0)),""))))</x:f>
      </x:c>
      <x:c r="IE117" t="str">
        <x:f>IF('Calculations'!ID117="","",IF('Calculations'!ID117="!AMBIG","!AMBIG",IF(COUNTIF('Calculations'!$HE$13:$HE$512,"="&amp;SUBSTITUTE(SUBSTITUTE(SUBSTITUTE('Calculations'!ID117,"~","~~"),"*","~*"),"?","~?"))&gt;1,"!AMBIG",IFERROR(INDEX('Calculations'!$HF$13:$HF$512,MATCH('Calculations'!ID117,'Calculations'!$HE$13:$HE$512,0)),""))))</x:f>
      </x:c>
      <x:c r="IF117" t="str">
        <x:f>IF('Calculations'!IE117="","",IF('Calculations'!IE117="!AMBIG","!AMBIG",IF(COUNTIF('Calculations'!$HE$13:$HE$512,"="&amp;SUBSTITUTE(SUBSTITUTE(SUBSTITUTE('Calculations'!IE117,"~","~~"),"*","~*"),"?","~?"))&gt;1,"!AMBIG",IFERROR(INDEX('Calculations'!$HF$13:$HF$512,MATCH('Calculations'!IE117,'Calculations'!$HE$13:$HE$512,0)),""))))</x:f>
      </x:c>
      <x:c r="IG117" t="str">
        <x:f>IF('Calculations'!IF117="","",IF('Calculations'!IF117="!AMBIG","!AMBIG",IF(COUNTIF('Calculations'!$HE$13:$HE$512,"="&amp;SUBSTITUTE(SUBSTITUTE(SUBSTITUTE('Calculations'!IF117,"~","~~"),"*","~*"),"?","~?"))&gt;1,"!AMBIG",IFERROR(INDEX('Calculations'!$HF$13:$HF$512,MATCH('Calculations'!IF117,'Calculations'!$HE$13:$HE$512,0)),""))))</x:f>
      </x:c>
      <x:c r="IH117" t="str">
        <x:f>IF('Calculations'!IG117="","",IF('Calculations'!IG117="!AMBIG","!AMBIG",IF(COUNTIF('Calculations'!$HE$13:$HE$512,"="&amp;SUBSTITUTE(SUBSTITUTE(SUBSTITUTE('Calculations'!IG117,"~","~~"),"*","~*"),"?","~?"))&gt;1,"!AMBIG",IFERROR(INDEX('Calculations'!$HF$13:$HF$512,MATCH('Calculations'!IG117,'Calculations'!$HE$13:$HE$512,0)),""))))</x:f>
      </x:c>
      <x:c r="II117" t="str">
        <x:f>IF('Calculations'!IH117="","",IF('Calculations'!IH117="!AMBIG","!AMBIG",IF(COUNTIF('Calculations'!$HE$13:$HE$512,"="&amp;SUBSTITUTE(SUBSTITUTE(SUBSTITUTE('Calculations'!IH117,"~","~~"),"*","~*"),"?","~?"))&gt;1,"!AMBIG",IFERROR(INDEX('Calculations'!$HF$13:$HF$512,MATCH('Calculations'!IH117,'Calculations'!$HE$13:$HE$512,0)),""))))</x:f>
      </x:c>
      <x:c r="IJ117" t="str">
        <x:f>IF('Calculations'!EM117="","",IF('Calculations'!$EF$2="All",'Calculations'!HM117,IF('Calculations'!HL117=1,"",IFERROR(IF(MATCH('Calculations'!$EF$2,'Calculations'!HO117:II117,0)=1,'Calculations'!HE117,INDEX('Calculations'!HO117:II117,1,MATCH('Calculations'!$EF$2,'Calculations'!HO117:II117,0)-1)),""))))</x:f>
      </x:c>
      <x:c r="IK117" t="n">
        <x:f>IF(AND('Calculations'!EM117&lt;&gt;"",'Calculations'!$EF$2&lt;&gt;"All",'Calculations'!HF117='Calculations'!$EF$2,'Calculations'!HL117=0,'Calculations'!JD117&gt;0),MAX('Calculations'!$IK$12:IK116)+1,0)</x:f>
        <x:v>0</x:v>
      </x:c>
      <x:c r="JA117" t="n">
        <x:f>IF(OR(IFERROR(INDIRECT("'WCM Calibration Final'!$A$117")&lt;&gt;"",FALSE),IFERROR(INDIRECT("'WCM Calibration Final'!$B$117")&lt;&gt;"",FALSE),IFERROR(INDIRECT("'WCM Calibration Final'!$C$117")&lt;&gt;"",FALSE)),117,0)</x:f>
        <x:v>0</x:v>
      </x:c>
      <x:c r="JB117" t="n">
        <x:f>'Calculations'!JB116+IF('Calculations'!JA117&gt;0,1,0)</x:f>
        <x:v>0</x:v>
      </x:c>
      <x:c r="JC117" t="n">
        <x:f>IF(OR('Calculations'!HF117="",'Calculations'!HF117="!AMBIG"),0,IF('Dashboard'!$B$7="All",1,COUNTIFS('Calculations'!$HO$13:$HO$512,"="&amp;SUBSTITUTE(SUBSTITUTE(SUBSTITUTE('Calculations'!HF117,"~","~~"),"*","~*"),"?","~?"),'Calculations'!$HN$13:$HN$512,"="&amp;SUBSTITUTE(SUBSTITUTE(SUBSTITUTE('Dashboard'!$B$7,"~","~~"),"*","~*"),"?","~?"))+COUNTIFS('Calculations'!$HP$13:$HP$512,"="&amp;SUBSTITUTE(SUBSTITUTE(SUBSTITUTE('Calculations'!HF117,"~","~~"),"*","~*"),"?","~?"),'Calculations'!$HN$13:$HN$512,"="&amp;SUBSTITUTE(SUBSTITUTE(SUBSTITUTE('Dashboard'!$B$7,"~","~~"),"*","~*"),"?","~?"))+COUNTIFS('Calculations'!$HQ$13:$HQ$512,"="&amp;SUBSTITUTE(SUBSTITUTE(SUBSTITUTE('Calculations'!HF117,"~","~~"),"*","~*"),"?","~?"),'Calculations'!$HN$13:$HN$512,"="&amp;SUBSTITUTE(SUBSTITUTE(SUBSTITUTE('Dashboard'!$B$7,"~","~~"),"*","~*"),"?","~?"))+COUNTIFS('Calculations'!$HR$13:$HR$512,"="&amp;SUBSTITUTE(SUBSTITUTE(SUBSTITUTE('Calculations'!HF117,"~","~~"),"*","~*"),"?","~?"),'Calculations'!$HN$13:$HN$512,"="&amp;SUBSTITUTE(SUBSTITUTE(SUBSTITUTE('Dashboard'!$B$7,"~","~~"),"*","~*"),"?","~?"))+COUNTIFS('Calculations'!$HS$13:$HS$512,"="&amp;SUBSTITUTE(SUBSTITUTE(SUBSTITUTE('Calculations'!HF117,"~","~~"),"*","~*"),"?","~?"),'Calculations'!$HN$13:$HN$512,"="&amp;SUBSTITUTE(SUBSTITUTE(SUBSTITUTE('Dashboard'!$B$7,"~","~~"),"*","~*"),"?","~?"))+COUNTIFS('Calculations'!$HT$13:$HT$512,"="&amp;SUBSTITUTE(SUBSTITUTE(SUBSTITUTE('Calculations'!HF117,"~","~~"),"*","~*"),"?","~?"),'Calculations'!$HN$13:$HN$512,"="&amp;SUBSTITUTE(SUBSTITUTE(SUBSTITUTE('Dashboard'!$B$7,"~","~~"),"*","~*"),"?","~?"))+COUNTIFS('Calculations'!$HU$13:$HU$512,"="&amp;SUBSTITUTE(SUBSTITUTE(SUBSTITUTE('Calculations'!HF117,"~","~~"),"*","~*"),"?","~?"),'Calculations'!$HN$13:$HN$512,"="&amp;SUBSTITUTE(SUBSTITUTE(SUBSTITUTE('Dashboard'!$B$7,"~","~~"),"*","~*"),"?","~?"))+COUNTIFS('Calculations'!$HV$13:$HV$512,"="&amp;SUBSTITUTE(SUBSTITUTE(SUBSTITUTE('Calculations'!HF117,"~","~~"),"*","~*"),"?","~?"),'Calculations'!$HN$13:$HN$512,"="&amp;SUBSTITUTE(SUBSTITUTE(SUBSTITUTE('Dashboard'!$B$7,"~","~~"),"*","~*"),"?","~?"))+COUNTIFS('Calculations'!$HW$13:$HW$512,"="&amp;SUBSTITUTE(SUBSTITUTE(SUBSTITUTE('Calculations'!HF117,"~","~~"),"*","~*"),"?","~?"),'Calculations'!$HN$13:$HN$512,"="&amp;SUBSTITUTE(SUBSTITUTE(SUBSTITUTE('Dashboard'!$B$7,"~","~~"),"*","~*"),"?","~?"))+COUNTIFS('Calculations'!$HX$13:$HX$512,"="&amp;SUBSTITUTE(SUBSTITUTE(SUBSTITUTE('Calculations'!HF117,"~","~~"),"*","~*"),"?","~?"),'Calculations'!$HN$13:$HN$512,"="&amp;SUBSTITUTE(SUBSTITUTE(SUBSTITUTE('Dashboard'!$B$7,"~","~~"),"*","~*"),"?","~?"))+COUNTIFS('Calculations'!$HY$13:$HY$512,"="&amp;SUBSTITUTE(SUBSTITUTE(SUBSTITUTE('Calculations'!HF117,"~","~~"),"*","~*"),"?","~?"),'Calculations'!$HN$13:$HN$512,"="&amp;SUBSTITUTE(SUBSTITUTE(SUBSTITUTE('Dashboard'!$B$7,"~","~~"),"*","~*"),"?","~?"))+COUNTIFS('Calculations'!$HZ$13:$HZ$512,"="&amp;SUBSTITUTE(SUBSTITUTE(SUBSTITUTE('Calculations'!HF117,"~","~~"),"*","~*"),"?","~?"),'Calculations'!$HN$13:$HN$512,"="&amp;SUBSTITUTE(SUBSTITUTE(SUBSTITUTE('Dashboard'!$B$7,"~","~~"),"*","~*"),"?","~?"))+COUNTIFS('Calculations'!$IA$13:$IA$512,"="&amp;SUBSTITUTE(SUBSTITUTE(SUBSTITUTE('Calculations'!HF117,"~","~~"),"*","~*"),"?","~?"),'Calculations'!$HN$13:$HN$512,"="&amp;SUBSTITUTE(SUBSTITUTE(SUBSTITUTE('Dashboard'!$B$7,"~","~~"),"*","~*"),"?","~?"))+COUNTIFS('Calculations'!$IB$13:$IB$512,"="&amp;SUBSTITUTE(SUBSTITUTE(SUBSTITUTE('Calculations'!HF117,"~","~~"),"*","~*"),"?","~?"),'Calculations'!$HN$13:$HN$512,"="&amp;SUBSTITUTE(SUBSTITUTE(SUBSTITUTE('Dashboard'!$B$7,"~","~~"),"*","~*"),"?","~?"))+COUNTIFS('Calculations'!$IC$13:$IC$512,"="&amp;SUBSTITUTE(SUBSTITUTE(SUBSTITUTE('Calculations'!HF117,"~","~~"),"*","~*"),"?","~?"),'Calculations'!$HN$13:$HN$512,"="&amp;SUBSTITUTE(SUBSTITUTE(SUBSTITUTE('Dashboard'!$B$7,"~","~~"),"*","~*"),"?","~?"))+COUNTIFS('Calculations'!$ID$13:$ID$512,"="&amp;SUBSTITUTE(SUBSTITUTE(SUBSTITUTE('Calculations'!HF117,"~","~~"),"*","~*"),"?","~?"),'Calculations'!$HN$13:$HN$512,"="&amp;SUBSTITUTE(SUBSTITUTE(SUBSTITUTE('Dashboard'!$B$7,"~","~~"),"*","~*"),"?","~?"))+COUNTIFS('Calculations'!$IE$13:$IE$512,"="&amp;SUBSTITUTE(SUBSTITUTE(SUBSTITUTE('Calculations'!HF117,"~","~~"),"*","~*"),"?","~?"),'Calculations'!$HN$13:$HN$512,"="&amp;SUBSTITUTE(SUBSTITUTE(SUBSTITUTE('Dashboard'!$B$7,"~","~~"),"*","~*"),"?","~?"))+COUNTIFS('Calculations'!$IF$13:$IF$512,"="&amp;SUBSTITUTE(SUBSTITUTE(SUBSTITUTE('Calculations'!HF117,"~","~~"),"*","~*"),"?","~?"),'Calculations'!$HN$13:$HN$512,"="&amp;SUBSTITUTE(SUBSTITUTE(SUBSTITUTE('Dashboard'!$B$7,"~","~~"),"*","~*"),"?","~?"))+COUNTIFS('Calculations'!$IG$13:$IG$512,"="&amp;SUBSTITUTE(SUBSTITUTE(SUBSTITUTE('Calculations'!HF117,"~","~~"),"*","~*"),"?","~?"),'Calculations'!$HN$13:$HN$512,"="&amp;SUBSTITUTE(SUBSTITUTE(SUBSTITUTE('Dashboard'!$B$7,"~","~~"),"*","~*"),"?","~?"))+COUNTIFS('Calculations'!$IH$13:$IH$512,"="&amp;SUBSTITUTE(SUBSTITUTE(SUBSTITUTE('Calculations'!HF117,"~","~~"),"*","~*"),"?","~?"),'Calculations'!$HN$13:$HN$512,"="&amp;SUBSTITUTE(SUBSTITUTE(SUBSTITUTE('Dashboard'!$B$7,"~","~~"),"*","~*"),"?","~?"))))</x:f>
        <x:v>0</x:v>
      </x:c>
      <x:c r="JD117" t="n">
        <x:f>IF('Calculations'!EM117="",0,IF('Dashboard'!$B$7="All",1,IF('Calculations'!HN117='Dashboard'!$B$7,1,0)+IFERROR(INDEX('Calculations'!$JC$13:$JC$512,MATCH('Calculations'!HE117,'Calculations'!$HF$13:$HF$512,0)),0)))</x:f>
        <x:v>0</x:v>
      </x:c>
      <x:c r="JE117" t="n">
        <x:f>IF(AND('Calculations'!EM117&lt;&gt;"",'Calculations'!$JJ$2&lt;&gt;"All",'Calculations'!$JJ$2&lt;&gt;"",'Calculations'!HF117='Calculations'!$JJ$2,'Calculations'!HL117=0,'Calculations'!JD117&gt;0),MAX('Calculations'!$JE$12:JE116)+1,0)</x:f>
        <x:v>0</x:v>
      </x:c>
      <x:c r="JF117" t="str">
        <x:f>IF('Calculations'!EM117="","",IFERROR(IF(INDEX(INDIRECT("'WCM Calibration Final'!$G$1:$G$2000"),'Calculations'!$EM117)="","",TRIM(INDEX(INDIRECT("'WCM Calibration Final'!$G$1:$G$2000"),'Calculations'!$EM117)&amp;"")),""))</x:f>
      </x:c>
      <x:c r="JQ117" t="n">
        <x:f>IF(OR('Calculations'!BM117=0,NOT('Calculations'!$AG$2),'Calculations'!$AG$8&gt;0),0,IF(OR('Dashboard'!$B$7="All",'Calculations'!HN117='Dashboard'!$B$7),IF('Calculations'!$JJ$2="All",1,IF(AND('Calculations'!HF117='Calculations'!$JJ$2,'Calculations'!HL117=0),1,0)),0))</x:f>
        <x:v>0</x:v>
      </x:c>
    </x:row>
    <x:row r="118">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t="n">
        <x:f>IF('Calculations'!$EM118="",0,IF(OR(IFERROR(INDEX(INDIRECT("'WCM Calibration Final'!$A$1:$A$2000"),'Calculations'!$EM118)&lt;&gt;"",FALSE),IFERROR(INDEX(INDIRECT("'WCM Calibration Final'!$B$1:$B$2000"),'Calculations'!$EM118)&lt;&gt;"",FALSE),IFERROR(INDEX(INDIRECT("'WCM Calibration Final'!$C$1:$C$2000"),'Calculations'!$EM118)&lt;&gt;"",FALSE)),1,0))</x:f>
        <x:v>0</x:v>
      </x:c>
      <x:c r="BN118" s="4" t="n">
        <x:f>IF(AND('Calculations'!BM118=1,'Calculations'!$AG$2,'Calculations'!$EN118=1),1,0)</x:f>
        <x:v>0</x:v>
      </x:c>
      <x:c r="BO118" s="4" t="str">
        <x:f>IF('Calculations'!BM118=0,"",IFERROR(IF(AND(VALUE(INDEX(INDIRECT("'WCM Calibration Final'!$K$1:$K$2000"),'Calculations'!$EM118))&gt;=1,VALUE(INDEX(INDIRECT("'WCM Calibration Final'!$K$1:$K$2000"),'Calculations'!$EM118))&lt;=4,MOD(VALUE(INDEX(INDIRECT("'WCM Calibration Final'!$K$1:$K$2000"),'Calculations'!$EM118)),1)=0),VALUE(INDEX(INDIRECT("'WCM Calibration Final'!$K$1:$K$2000"),'Calculations'!$EM118)),""),""))</x:f>
      </x:c>
      <x:c r="BP118" s="4" t="str">
        <x:f>IF('Calculations'!BM118=0,"",IFERROR(IF(AND(VALUE(INDEX(INDIRECT("'WCM Calibration Final'!$L$1:$L$2000"),'Calculations'!$EM118))&gt;=1,VALUE(INDEX(INDIRECT("'WCM Calibration Final'!$L$1:$L$2000"),'Calculations'!$EM118))&lt;=4,MOD(VALUE(INDEX(INDIRECT("'WCM Calibration Final'!$L$1:$L$2000"),'Calculations'!$EM118)),1)=0),VALUE(INDEX(INDIRECT("'WCM Calibration Final'!$L$1:$L$2000"),'Calculations'!$EM118)),""),""))</x:f>
      </x:c>
      <x:c r="BQ118" s="4"/>
      <x:c r="BR118" s="4"/>
      <x:c r="BS118" s="4"/>
      <x:c r="BT118" s="4" t="n">
        <x:f>IF(AND('Calculations'!BM118=1,ISNUMBER('Calculations'!BO118),ISNUMBER('Calculations'!BP118)),1,0)</x:f>
        <x:v>0</x:v>
      </x:c>
      <x:c r="BU118" s="4" t="str">
        <x:f>IF('Calculations'!BM118=0,"",'Calculations'!$EO118)</x:f>
      </x:c>
      <x:c r="BV118" s="4" t="str">
        <x:f>IF('Calculations'!BM118=0,"",IFERROR(IF(OR(INDEX(INDIRECT("'WCM Calibration Final'!$H$1:$H$2000"),'Calculations'!$EM118)="MANAGING DIRECTOR",INDEX(INDIRECT("'WCM Calibration Final'!$H$1:$H$2000"),'Calculations'!$EM118)="DIRECTOR",INDEX(INDIRECT("'WCM Calibration Final'!$H$1:$H$2000"),'Calculations'!$EM118)="SENIOR VICE PRESIDENT",INDEX(INDIRECT("'WCM Calibration Final'!$H$1:$H$2000"),'Calculations'!$EM118)="VICE PRESIDENT",INDEX(INDIRECT("'WCM Calibration Final'!$H$1:$H$2000"),'Calculations'!$EM118)="ASSISTANT VICE PRESIDENT",INDEX(INDIRECT("'WCM Calibration Final'!$H$1:$H$2000"),'Calculations'!$EM118)="OFFICER"),UPPER(INDEX(INDIRECT("'WCM Calibration Final'!$H$1:$H$2000"),'Calculations'!$EM118)),"Other"),"Other"))</x:f>
      </x:c>
      <x:c r="BW118" s="4"/>
      <x:c r="BX118" s="4"/>
      <x:c r="BY118" s="4" t="n">
        <x:f>IF(AND('Calculations'!BM118=1,'Calculations'!BU118&lt;&gt;"",COUNTIF('Calculations'!$BU$12:BU118,'Calculations'!BU118)=1),MAX('Calculations'!$BY$11:BY117)+1,0)</x:f>
        <x:v>0</x:v>
      </x:c>
      <x:c r="BZ118" s="4" t="str">
        <x:f>IF('Dashboard'!$E$67="What",'Calculations'!BO118,'Calculations'!BP118)</x:f>
      </x:c>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t="str">
        <x:f>IF(107&gt;MAX('Calculations'!$HI$13:$HI$512),"",INDEX('Calculations'!$HN$13:$HN$512,MATCH(107,'Calculations'!$HI$13:$HI$512,0)))</x:f>
      </x:c>
      <x:c r="DB118" s="4" t="str">
        <x:f>IF(107&gt;MAX('Calculations'!$HH$13:$HH$512),"",INDEX('Calculations'!$HJ$13:$HJ$512,MATCH(107,'Calculations'!$HH$13:$HH$512,0)))</x:f>
      </x:c>
      <x:c r="DC118" s="4" t="str">
        <x:f>IF(ROW()-11&gt;MAX('Calculations'!$BY$13:$BY$512),"",INDEX('Calculations'!$BU$13:$BU$512,MATCH(ROW()-11,'Calculations'!$BY$13:$BY$512,0)))</x:f>
      </x:c>
      <x:c r="DD118" s="4" t="str">
        <x:f>IF(107&gt;MAX('Calculations'!$IK$13:$IK$512),"",INDEX('Calculations'!$HK$13:$HK$512,MATCH(107,'Calculations'!$IK$13:$IK$512,0)))</x:f>
      </x:c>
      <x:c r="DE118" s="4" t="str">
        <x:f>'Calculations'!DC118</x:f>
      </x:c>
      <x:c r="DF118" s="4" t="str">
        <x:f>IF('Calculations'!DE118="","",COUNTIFS('Calculations'!$BN$13:$BN$512,1,'Calculations'!$BU$13:$BU$512,'Calculations'!DE118))</x:f>
      </x:c>
      <x:c r="DG118" s="4" t="str">
        <x:f>IF('Calculations'!DE118="","",COUNTIFS('Calculations'!$BN$13:$BN$512,1,'Calculations'!$BU$13:$BU$512,'Calculations'!DE118,'Calculations'!$BT$13:$BT$512,1))</x:f>
      </x:c>
      <x:c r="DH118" s="4" t="str">
        <x:f>IF('Calculations'!DE118="","",'Calculations'!DF118-'Calculations'!DG118)</x:f>
      </x:c>
      <x:c r="DI118" s="4" t="str">
        <x:f>IF(OR('Calculations'!DE118="",'Calculations'!DF118=0),"",'Calculations'!DG118/'Calculations'!DF118)</x:f>
      </x:c>
      <x:c r="DJ118" s="4" t="str">
        <x:f>IF('Calculations'!DE118="","",COUNTIFS('Calculations'!$BN$13:$BN$512,1,'Calculations'!$BU$13:$BU$512,'Calculations'!DE118,'Calculations'!$BT$13:$BT$512,1,'Calculations'!$EE$13:$EE$512,"High"))</x:f>
      </x:c>
      <x:c r="DK118" s="4" t="str">
        <x:f>IF('Calculations'!DE118="","",COUNTIFS('Calculations'!$BN$13:$BN$512,1,'Calculations'!$BU$13:$BU$512,'Calculations'!DE118,'Calculations'!$BT$13:$BT$512,1,'Calculations'!$EE$13:$EE$512,"Strong"))</x:f>
      </x:c>
      <x:c r="DL118" s="4" t="str">
        <x:f>IF('Calculations'!DE118="","",COUNTIFS('Calculations'!$BN$13:$BN$512,1,'Calculations'!$BU$13:$BU$512,'Calculations'!DE118,'Calculations'!$BT$13:$BT$512,1,'Calculations'!$EE$13:$EE$512,"Solid"))</x:f>
      </x:c>
      <x:c r="DM118" s="4" t="str">
        <x:f>IF('Calculations'!DE118="","",COUNTIFS('Calculations'!$BN$13:$BN$512,1,'Calculations'!$BU$13:$BU$512,'Calculations'!DE118,'Calculations'!$BT$13:$BT$512,1,'Calculations'!$EE$13:$EE$512,"Low"))</x:f>
      </x:c>
      <x:c r="DN118" s="4" t="str">
        <x:f>IF('Calculations'!DE118="","",COUNTIFS('Calculations'!$BN$13:$BN$512,1,'Calculations'!$BU$13:$BU$512,'Calculations'!DE118,'Calculations'!$EP$13:$EP$512,1))</x:f>
      </x:c>
      <x:c r="DO118" s="4" t="str">
        <x:f>IF(OR('Calculations'!DE118="",'Calculations'!DG118=0),"",('Calculations'!DJ118+'Calculations'!DK118)/'Calculations'!DG118)</x:f>
      </x:c>
      <x:c r="DP118" s="4" t="n">
        <x:f>IF(AND('Calculations'!DE118&lt;&gt;"",'Calculations'!DF118&gt;0),COUNTIF('Calculations'!$DF$12:DF118,"&gt;0"),0)</x:f>
        <x:v>0</x:v>
      </x:c>
      <x:c r="DQ118" s="4" t="str">
        <x:f>IF(107&gt;MAX('Calculations'!$HH$13:$HH$512),"",INDEX('Calculations'!$HF$13:$HF$512,MATCH(107,'Calculations'!$HH$13:$HH$512,0)))</x:f>
      </x:c>
      <x:c r="DR118" s="4" t="str">
        <x:f>IF(107&gt;MAX('Calculations'!$IK$13:$IK$512),"",INDEX('Calculations'!$HE$13:$HE$512,MATCH(107,'Calculations'!$IK$13:$IK$512,0)))</x:f>
      </x:c>
      <x:c r="DS118" s="4"/>
      <x:c r="DT118" s="4"/>
      <x:c r="DU118" s="4"/>
      <x:c r="DV118" s="4"/>
      <x:c r="DW118" s="4"/>
      <x:c r="DX118" s="4"/>
      <x:c r="DY118" s="4"/>
      <x:c r="DZ118" s="4"/>
      <x:c r="EA118" s="4"/>
      <x:c r="EB118" s="4"/>
      <x:c r="EC118" s="4"/>
      <x:c r="ED118" s="4"/>
      <x:c r="EE118" s="4" t="str">
        <x:f>IF('Calculations'!BT118=0,"Not Rated",IF(OR('Calculations'!BO118&gt;=4,'Calculations'!BP118&gt;=4),"Low",IF('Calculations'!BO118+'Calculations'!BP118&lt;=3,"High",IF('Calculations'!BO118+'Calculations'!BP118&lt;=4,"Strong","Solid"))))</x:f>
        <x:v>Not Rated</x:v>
      </x:c>
      <x:c r="EF118" s="4"/>
      <x:c r="EG118" s="4"/>
      <x:c r="EH118" s="4"/>
      <x:c r="EI118" s="4"/>
      <x:c r="EJ118" s="4"/>
      <x:c r="EK118" s="4"/>
      <x:c r="EL118" s="4"/>
      <x:c r="EM118" s="4" t="str">
        <x:f>IF(106&gt;'Calculations'!$JB$2000,"",INDEX('Calculations'!$JA$12:$JA$2000,MATCH(106,'Calculations'!$JB$12:$JB$2000,0)))</x:f>
      </x:c>
      <x:c r="EN118" s="4" t="n">
        <x:f>IF(OR('Calculations'!EM118="",'Calculations'!$AG$8&gt;0,AND('Calculations'!$EF$2&lt;&gt;"All",'Calculations'!HE118='Calculations'!$EF$2),AND('Calculations'!$EF$3&lt;&gt;"All",'Calculations'!HE118='Calculations'!$EF$3)),0,IF(OR('Dashboard'!$B$7="All",'Calculations'!HN118='Dashboard'!$B$7),IF('Calculations'!$EF$2="All",1,IF('Calculations'!HL118&gt;0,0,IF(COUNTIF('Calculations'!HO118:II118,"="&amp;SUBSTITUTE(SUBSTITUTE(SUBSTITUTE('Calculations'!$EF$2,"~","~~"),"*","~*"),"?","~?"))=0,0,IF('Calculations'!$EF$3="All",1,IF(COUNTIF('Calculations'!HO118:II118,"="&amp;SUBSTITUTE(SUBSTITUTE(SUBSTITUTE('Calculations'!$EF$3,"~","~~"),"*","~*"),"?","~?"))&gt;0,1,0))))),0))</x:f>
        <x:v>0</x:v>
      </x:c>
      <x:c r="EO118" s="4" t="str">
        <x:f>IF('Calculations'!IJ118="","",IF('Calculations'!IJ118="!UNRESOLVED","Unresolved hierarchy",IFERROR(INDEX('Calculations'!$HK$13:$HK$512,MATCH('Calculations'!IJ118,'Calculations'!$HE$13:$HE$512,0)),IFERROR(INDEX('Calculations'!$HJ$13:$HJ$512,MATCH('Calculations'!IJ118,'Calculations'!$HF$13:$HF$512,0)),'Calculations'!IJ118))))</x:f>
      </x:c>
      <x:c r="EP118" s="4" t="n">
        <x:f>IF(AND('Calculations'!EM118&lt;&gt;"",'Calculations'!HF118='Calculations'!IJ118),1,0)</x:f>
        <x:v>0</x:v>
      </x:c>
      <x:c r="EQ118" s="4"/>
      <x:c r="ER118" s="4"/>
      <x:c r="ES118" s="4"/>
      <x:c r="ET118" s="4"/>
      <x:c r="EU118" s="4"/>
      <x:c r="EV118" s="4"/>
      <x:c r="EW118" s="4"/>
      <x:c r="EX118" s="4"/>
      <x:c r="EY118" s="4"/>
      <x:c r="EZ118" s="4"/>
      <x:c r="FA118" s="4"/>
      <x:c r="FB118" s="4"/>
      <x:c r="FC118" s="4"/>
      <x:c r="FD118" s="4"/>
      <x:c r="FE118" s="4"/>
      <x:c r="FF118" s="4"/>
      <x:c r="FG118" s="4"/>
      <x:c r="FH118" s="4"/>
      <x:c r="FI118" s="4"/>
      <x:c r="FJ118" s="4"/>
      <x:c r="FK118" s="4"/>
      <x:c r="FL118" s="4"/>
      <x:c r="FM118" s="4"/>
      <x:c r="FN118" s="4"/>
      <x:c r="FO118" s="4"/>
      <x:c r="GA118" s="71"/>
      <x:c r="GB118" s="71" t="str">
        <x:f>"Total · all branches"</x:f>
        <x:v>Total · all branches</x:v>
      </x:c>
      <x:c r="GC118" s="71"/>
      <x:c r="GD118" s="71"/>
      <x:c r="GE118" s="71"/>
      <x:c r="GF118" s="71"/>
      <x:c r="GG118" s="71"/>
      <x:c r="GH118" s="71"/>
      <x:c r="GI118" s="71" t="n">
        <x:f>'Calculations'!$AG$4</x:f>
        <x:v>0</x:v>
      </x:c>
      <x:c r="GJ118" s="71"/>
      <x:c r="GK118" s="71" t="n">
        <x:f>'Calculations'!$AG$5</x:f>
        <x:v>0</x:v>
      </x:c>
      <x:c r="GL118" s="71"/>
      <x:c r="GM118" s="71" t="n">
        <x:f>'Calculations'!$AG$7</x:f>
        <x:v>0</x:v>
      </x:c>
      <x:c r="GN118" s="71"/>
      <x:c r="GO118" s="71" t="str">
        <x:f>'Calculations'!$AG$6</x:f>
        <x:v>n.a.</x:v>
      </x:c>
      <x:c r="GP118" s="71"/>
      <x:c r="GQ118" s="71" t="str">
        <x:f>'Calculations'!$AG$21&amp;" · "&amp;IF('Calculations'!$AG$5=0,"n.a.",TEXT('Calculations'!$AG$21/'Calculations'!$AG$5,"0.0%"))</x:f>
        <x:v>0 · n.a.</x:v>
      </x:c>
      <x:c r="GR118" s="71"/>
      <x:c r="GS118" s="71" t="str">
        <x:f>'Calculations'!$AG$22&amp;" · "&amp;IF('Calculations'!$AG$5=0,"n.a.",TEXT('Calculations'!$AG$22/'Calculations'!$AG$5,"0.0%"))</x:f>
        <x:v>0 · n.a.</x:v>
      </x:c>
      <x:c r="GT118" s="71"/>
      <x:c r="GU118" s="71" t="str">
        <x:f>'Calculations'!$AG$23&amp;" · "&amp;IF('Calculations'!$AG$5=0,"n.a.",TEXT('Calculations'!$AG$23/'Calculations'!$AG$5,"0.0%"))</x:f>
        <x:v>0 · n.a.</x:v>
      </x:c>
      <x:c r="GV118" s="71"/>
      <x:c r="GW118" s="71" t="str">
        <x:f>'Calculations'!$AG$24&amp;" · "&amp;IF('Calculations'!$AG$5=0,"n.a.",TEXT('Calculations'!$AG$24/'Calculations'!$AG$5,"0.0%"))</x:f>
        <x:v>0 · n.a.</x:v>
      </x:c>
      <x:c r="GX118" s="71"/>
      <x:c r="GY118" s="71" t="n">
        <x:f>COUNTIFS('Calculations'!$BN$13:$BN$512,1,'Calculations'!$EP$13:$EP$512,1)</x:f>
        <x:v>0</x:v>
      </x:c>
      <x:c r="GZ118" s="71"/>
      <x:c r="HA118" s="71" t="str">
        <x:f>IF('Calculations'!$AG$5=0,"n.a.",SUM('Calculations'!$AG$21:$AG$22)/'Calculations'!$AG$5)</x:f>
        <x:v>n.a.</x:v>
      </x:c>
      <x:c r="HB118" s="71"/>
      <x:c r="HC118" s="71"/>
      <x:c r="HD118" s="71"/>
      <x:c r="HE118" t="str">
        <x:f>IF('Calculations'!EM118="","",IF(IFERROR(IF(INDEX(INDIRECT("'WCM Calibration Final'!$A$1:$A$2000"),'Calculations'!$EM118)="","",TRIM(INDEX(INDIRECT("'WCM Calibration Final'!$A$1:$A$2000"),'Calculations'!$EM118)&amp;"")),"")&lt;&gt;"","G:"&amp;IFERROR(TEXT(1*INDEX(INDIRECT("'WCM Calibration Final'!$A$1:$A$2000"),'Calculations'!$EM118),"0"),UPPER(IFERROR(IF(INDEX(INDIRECT("'WCM Calibration Final'!$A$1:$A$2000"),'Calculations'!$EM118)="","",TRIM(INDEX(INDIRECT("'WCM Calibration Final'!$A$1:$A$2000"),'Calculations'!$EM118)&amp;"")),""))),IF(IFERROR(IF(INDEX(INDIRECT("'WCM Calibration Final'!$C$1:$C$2000"),'Calculations'!$EM118)="","",TRIM(INDEX(INDIRECT("'WCM Calibration Final'!$C$1:$C$2000"),'Calculations'!$EM118)&amp;"")),"")&lt;&gt;"","S:"&amp;UPPER(IFERROR(IF(INDEX(INDIRECT("'WCM Calibration Final'!$C$1:$C$2000"),'Calculations'!$EM118)="","",TRIM(INDEX(INDIRECT("'WCM Calibration Final'!$C$1:$C$2000"),'Calculations'!$EM118)&amp;"")),"")),"R:"&amp;'Calculations'!EM118)))</x:f>
      </x:c>
      <x:c r="HF118" t="str">
        <x:f>IF('Calculations'!EM118="","",IF(IFERROR(IF(INDEX(INDIRECT("'WCM Calibration Final'!$D$1:$D$2000"),'Calculations'!$EM118)="","",TRIM(INDEX(INDIRECT("'WCM Calibration Final'!$D$1:$D$2000"),'Calculations'!$EM118)&amp;"")),"")&lt;&gt;"","G:"&amp;IFERROR(TEXT(1*INDEX(INDIRECT("'WCM Calibration Final'!$D$1:$D$2000"),'Calculations'!$EM118),"0"),UPPER(IFERROR(IF(INDEX(INDIRECT("'WCM Calibration Final'!$D$1:$D$2000"),'Calculations'!$EM118)="","",TRIM(INDEX(INDIRECT("'WCM Calibration Final'!$D$1:$D$2000"),'Calculations'!$EM118)&amp;"")),""))),IF(IFERROR(IF(INDEX(INDIRECT("'WCM Calibration Final'!$E$1:$E$2000"),'Calculations'!$EM118)="","",TRIM(INDEX(INDIRECT("'WCM Calibration Final'!$E$1:$E$2000"),'Calculations'!$EM118)&amp;"")),"")="","",IF(COUNTIF('Calculations'!$HG$13:$HG$512,"="&amp;SUBSTITUTE(SUBSTITUTE(SUBSTITUTE(IFERROR(IF(INDEX(INDIRECT("'WCM Calibration Final'!$E$1:$E$2000"),'Calculations'!$EM118)="","",TRIM(INDEX(INDIRECT("'WCM Calibration Final'!$E$1:$E$2000"),'Calculations'!$EM118)&amp;"")),""),"~","~~"),"*","~*"),"?","~?"))=1,INDEX('Calculations'!$HE$13:$HE$512,MATCH(IFERROR(IF(INDEX(INDIRECT("'WCM Calibration Final'!$E$1:$E$2000"),'Calculations'!$EM118)="","",TRIM(INDEX(INDIRECT("'WCM Calibration Final'!$E$1:$E$2000"),'Calculations'!$EM118)&amp;"")),""),'Calculations'!$HG$13:$HG$512,0)),IF(COUNTIF('Calculations'!$HG$13:$HG$512,"="&amp;SUBSTITUTE(SUBSTITUTE(SUBSTITUTE(IFERROR(IF(INDEX(INDIRECT("'WCM Calibration Final'!$E$1:$E$2000"),'Calculations'!$EM118)="","",TRIM(INDEX(INDIRECT("'WCM Calibration Final'!$E$1:$E$2000"),'Calculations'!$EM118)&amp;"")),""),"~","~~"),"*","~*"),"?","~?"))&gt;1,"!AMBIG","X:"&amp;IFERROR(IF(INDEX(INDIRECT("'WCM Calibration Final'!$E$1:$E$2000"),'Calculations'!$EM118)="","",TRIM(INDEX(INDIRECT("'WCM Calibration Final'!$E$1:$E$2000"),'Calculations'!$EM118)&amp;"")),""))))))</x:f>
      </x:c>
      <x:c r="HG118" t="str">
        <x:f>IF('Calculations'!EM118="","",IFERROR(IF(INDEX(INDIRECT("'WCM Calibration Final'!$B$1:$B$2000"),'Calculations'!$EM118)="","",TRIM(INDEX(INDIRECT("'WCM Calibration Final'!$B$1:$B$2000"),'Calculations'!$EM118)&amp;"")),""))</x:f>
      </x:c>
      <x:c r="HH118" t="n">
        <x:f>IF(AND('Calculations'!JC118&gt;0,COUNTIF('Calculations'!$HF$12:HF118,"="&amp;SUBSTITUTE(SUBSTITUTE(SUBSTITUTE('Calculations'!HF118,"~","~~"),"*","~*"),"?","~?"))=1),MAX('Calculations'!$HH$12:HH117)+1,0)</x:f>
        <x:v>0</x:v>
      </x:c>
      <x:c r="HI118" t="n">
        <x:f>IF(AND('Calculations'!HN118&lt;&gt;"",COUNTIF('Calculations'!$HN$12:HN118,"="&amp;SUBSTITUTE(SUBSTITUTE(SUBSTITUTE('Calculations'!HN118,"~","~~"),"*","~*"),"?","~?"))=1),MAX('Calculations'!$HI$12:HI117)+1,0)</x:f>
        <x:v>0</x:v>
      </x:c>
      <x:c r="HJ118" t="str">
        <x:f>IF('Calculations'!HF118="","",IF(COUNTIF('Calculations'!$HE$13:$HE$512,"="&amp;SUBSTITUTE(SUBSTITUTE(SUBSTITUTE('Calculations'!HF118,"~","~~"),"*","~*"),"?","~?"))=1,INDEX('Calculations'!$HK$13:$HK$512,MATCH('Calculations'!HF118,'Calculations'!$HE$13:$HE$512,0)),IFERROR(IF(INDEX(INDIRECT("'WCM Calibration Final'!$E$1:$E$2000"),'Calculations'!$EM118)="","",TRIM(INDEX(INDIRECT("'WCM Calibration Final'!$E$1:$E$2000"),'Calculations'!$EM118)&amp;"")),"")&amp;" ["&amp;'Calculations'!HF118&amp;"]"))</x:f>
      </x:c>
      <x:c r="HK118" t="str">
        <x:f>IF('Calculations'!EM118="","",'Calculations'!HG118&amp;" ["&amp;'Calculations'!HE118&amp;"]")</x:f>
      </x:c>
      <x:c r="HL118" t="n">
        <x:f>IF('Calculations'!EM118="",0,IF(OR('Calculations'!II118&lt;&gt;"",COUNTIF('Calculations'!$HE$13:$HE$512,"="&amp;SUBSTITUTE(SUBSTITUTE(SUBSTITUTE('Calculations'!HE118,"~","~~"),"*","~*"),"?","~?"))&gt;1),1,0))</x:f>
        <x:v>0</x:v>
      </x:c>
      <x:c r="HM118" t="str">
        <x:f>IF('Calculations'!EM118="","",IF('Calculations'!HL118=1,"!UNRESOLVED",IF('Calculations'!IH118&lt;&gt;"",'Calculations'!IH118,IF('Calculations'!IG118&lt;&gt;"",'Calculations'!IG118,IF('Calculations'!IF118&lt;&gt;"",'Calculations'!IF118,IF('Calculations'!IE118&lt;&gt;"",'Calculations'!IE118,IF('Calculations'!ID118&lt;&gt;"",'Calculations'!ID118,IF('Calculations'!IC118&lt;&gt;"",'Calculations'!IC118,IF('Calculations'!IB118&lt;&gt;"",'Calculations'!IB118,IF('Calculations'!IA118&lt;&gt;"",'Calculations'!IA118,IF('Calculations'!HZ118&lt;&gt;"",'Calculations'!HZ118,IF('Calculations'!HY118&lt;&gt;"",'Calculations'!HY118,IF('Calculations'!HX118&lt;&gt;"",'Calculations'!HX118,IF('Calculations'!HW118&lt;&gt;"",'Calculations'!HW118,IF('Calculations'!HV118&lt;&gt;"",'Calculations'!HV118,IF('Calculations'!HU118&lt;&gt;"",'Calculations'!HU118,IF('Calculations'!HT118&lt;&gt;"",'Calculations'!HT118,IF('Calculations'!HS118&lt;&gt;"",'Calculations'!HS118,IF('Calculations'!HR118&lt;&gt;"",'Calculations'!HR118,IF('Calculations'!HQ118&lt;&gt;"",'Calculations'!HQ118,IF('Calculations'!HP118&lt;&gt;"",'Calculations'!HP118,IF('Calculations'!HO118&lt;&gt;"",'Calculations'!HO118,'Calculations'!HE118))))))))))))))))))))))</x:f>
      </x:c>
      <x:c r="HN118" t="str">
        <x:f>IF('Calculations'!EM118="","",IF(IFERROR(IF(INDEX(INDIRECT("'WCM Calibration Final'!$F$1:$F$2000"),'Calculations'!$EM118)="","",TRIM(INDEX(INDIRECT("'WCM Calibration Final'!$F$1:$F$2000"),'Calculations'!$EM118)&amp;"")),"")="","(Blank)",IFERROR(IF(INDEX(INDIRECT("'WCM Calibration Final'!$F$1:$F$2000"),'Calculations'!$EM118)="","",TRIM(INDEX(INDIRECT("'WCM Calibration Final'!$F$1:$F$2000"),'Calculations'!$EM118)&amp;"")),"")))</x:f>
      </x:c>
      <x:c r="HO118" t="str">
        <x:f>'Calculations'!HF118</x:f>
      </x:c>
      <x:c r="HP118" t="str">
        <x:f>IF('Calculations'!HO118="","",IF('Calculations'!HO118="!AMBIG","!AMBIG",IF(COUNTIF('Calculations'!$HE$13:$HE$512,"="&amp;SUBSTITUTE(SUBSTITUTE(SUBSTITUTE('Calculations'!HO118,"~","~~"),"*","~*"),"?","~?"))&gt;1,"!AMBIG",IFERROR(INDEX('Calculations'!$HF$13:$HF$512,MATCH('Calculations'!HO118,'Calculations'!$HE$13:$HE$512,0)),""))))</x:f>
      </x:c>
      <x:c r="HQ118" t="str">
        <x:f>IF('Calculations'!HP118="","",IF('Calculations'!HP118="!AMBIG","!AMBIG",IF(COUNTIF('Calculations'!$HE$13:$HE$512,"="&amp;SUBSTITUTE(SUBSTITUTE(SUBSTITUTE('Calculations'!HP118,"~","~~"),"*","~*"),"?","~?"))&gt;1,"!AMBIG",IFERROR(INDEX('Calculations'!$HF$13:$HF$512,MATCH('Calculations'!HP118,'Calculations'!$HE$13:$HE$512,0)),""))))</x:f>
      </x:c>
      <x:c r="HR118" t="str">
        <x:f>IF('Calculations'!HQ118="","",IF('Calculations'!HQ118="!AMBIG","!AMBIG",IF(COUNTIF('Calculations'!$HE$13:$HE$512,"="&amp;SUBSTITUTE(SUBSTITUTE(SUBSTITUTE('Calculations'!HQ118,"~","~~"),"*","~*"),"?","~?"))&gt;1,"!AMBIG",IFERROR(INDEX('Calculations'!$HF$13:$HF$512,MATCH('Calculations'!HQ118,'Calculations'!$HE$13:$HE$512,0)),""))))</x:f>
      </x:c>
      <x:c r="HS118" t="str">
        <x:f>IF('Calculations'!HR118="","",IF('Calculations'!HR118="!AMBIG","!AMBIG",IF(COUNTIF('Calculations'!$HE$13:$HE$512,"="&amp;SUBSTITUTE(SUBSTITUTE(SUBSTITUTE('Calculations'!HR118,"~","~~"),"*","~*"),"?","~?"))&gt;1,"!AMBIG",IFERROR(INDEX('Calculations'!$HF$13:$HF$512,MATCH('Calculations'!HR118,'Calculations'!$HE$13:$HE$512,0)),""))))</x:f>
      </x:c>
      <x:c r="HT118" t="str">
        <x:f>IF('Calculations'!HS118="","",IF('Calculations'!HS118="!AMBIG","!AMBIG",IF(COUNTIF('Calculations'!$HE$13:$HE$512,"="&amp;SUBSTITUTE(SUBSTITUTE(SUBSTITUTE('Calculations'!HS118,"~","~~"),"*","~*"),"?","~?"))&gt;1,"!AMBIG",IFERROR(INDEX('Calculations'!$HF$13:$HF$512,MATCH('Calculations'!HS118,'Calculations'!$HE$13:$HE$512,0)),""))))</x:f>
      </x:c>
      <x:c r="HU118" t="str">
        <x:f>IF('Calculations'!HT118="","",IF('Calculations'!HT118="!AMBIG","!AMBIG",IF(COUNTIF('Calculations'!$HE$13:$HE$512,"="&amp;SUBSTITUTE(SUBSTITUTE(SUBSTITUTE('Calculations'!HT118,"~","~~"),"*","~*"),"?","~?"))&gt;1,"!AMBIG",IFERROR(INDEX('Calculations'!$HF$13:$HF$512,MATCH('Calculations'!HT118,'Calculations'!$HE$13:$HE$512,0)),""))))</x:f>
      </x:c>
      <x:c r="HV118" t="str">
        <x:f>IF('Calculations'!HU118="","",IF('Calculations'!HU118="!AMBIG","!AMBIG",IF(COUNTIF('Calculations'!$HE$13:$HE$512,"="&amp;SUBSTITUTE(SUBSTITUTE(SUBSTITUTE('Calculations'!HU118,"~","~~"),"*","~*"),"?","~?"))&gt;1,"!AMBIG",IFERROR(INDEX('Calculations'!$HF$13:$HF$512,MATCH('Calculations'!HU118,'Calculations'!$HE$13:$HE$512,0)),""))))</x:f>
      </x:c>
      <x:c r="HW118" t="str">
        <x:f>IF('Calculations'!HV118="","",IF('Calculations'!HV118="!AMBIG","!AMBIG",IF(COUNTIF('Calculations'!$HE$13:$HE$512,"="&amp;SUBSTITUTE(SUBSTITUTE(SUBSTITUTE('Calculations'!HV118,"~","~~"),"*","~*"),"?","~?"))&gt;1,"!AMBIG",IFERROR(INDEX('Calculations'!$HF$13:$HF$512,MATCH('Calculations'!HV118,'Calculations'!$HE$13:$HE$512,0)),""))))</x:f>
      </x:c>
      <x:c r="HX118" t="str">
        <x:f>IF('Calculations'!HW118="","",IF('Calculations'!HW118="!AMBIG","!AMBIG",IF(COUNTIF('Calculations'!$HE$13:$HE$512,"="&amp;SUBSTITUTE(SUBSTITUTE(SUBSTITUTE('Calculations'!HW118,"~","~~"),"*","~*"),"?","~?"))&gt;1,"!AMBIG",IFERROR(INDEX('Calculations'!$HF$13:$HF$512,MATCH('Calculations'!HW118,'Calculations'!$HE$13:$HE$512,0)),""))))</x:f>
      </x:c>
      <x:c r="HY118" t="str">
        <x:f>IF('Calculations'!HX118="","",IF('Calculations'!HX118="!AMBIG","!AMBIG",IF(COUNTIF('Calculations'!$HE$13:$HE$512,"="&amp;SUBSTITUTE(SUBSTITUTE(SUBSTITUTE('Calculations'!HX118,"~","~~"),"*","~*"),"?","~?"))&gt;1,"!AMBIG",IFERROR(INDEX('Calculations'!$HF$13:$HF$512,MATCH('Calculations'!HX118,'Calculations'!$HE$13:$HE$512,0)),""))))</x:f>
      </x:c>
      <x:c r="HZ118" t="str">
        <x:f>IF('Calculations'!HY118="","",IF('Calculations'!HY118="!AMBIG","!AMBIG",IF(COUNTIF('Calculations'!$HE$13:$HE$512,"="&amp;SUBSTITUTE(SUBSTITUTE(SUBSTITUTE('Calculations'!HY118,"~","~~"),"*","~*"),"?","~?"))&gt;1,"!AMBIG",IFERROR(INDEX('Calculations'!$HF$13:$HF$512,MATCH('Calculations'!HY118,'Calculations'!$HE$13:$HE$512,0)),""))))</x:f>
      </x:c>
      <x:c r="IA118" t="str">
        <x:f>IF('Calculations'!HZ118="","",IF('Calculations'!HZ118="!AMBIG","!AMBIG",IF(COUNTIF('Calculations'!$HE$13:$HE$512,"="&amp;SUBSTITUTE(SUBSTITUTE(SUBSTITUTE('Calculations'!HZ118,"~","~~"),"*","~*"),"?","~?"))&gt;1,"!AMBIG",IFERROR(INDEX('Calculations'!$HF$13:$HF$512,MATCH('Calculations'!HZ118,'Calculations'!$HE$13:$HE$512,0)),""))))</x:f>
      </x:c>
      <x:c r="IB118" t="str">
        <x:f>IF('Calculations'!IA118="","",IF('Calculations'!IA118="!AMBIG","!AMBIG",IF(COUNTIF('Calculations'!$HE$13:$HE$512,"="&amp;SUBSTITUTE(SUBSTITUTE(SUBSTITUTE('Calculations'!IA118,"~","~~"),"*","~*"),"?","~?"))&gt;1,"!AMBIG",IFERROR(INDEX('Calculations'!$HF$13:$HF$512,MATCH('Calculations'!IA118,'Calculations'!$HE$13:$HE$512,0)),""))))</x:f>
      </x:c>
      <x:c r="IC118" t="str">
        <x:f>IF('Calculations'!IB118="","",IF('Calculations'!IB118="!AMBIG","!AMBIG",IF(COUNTIF('Calculations'!$HE$13:$HE$512,"="&amp;SUBSTITUTE(SUBSTITUTE(SUBSTITUTE('Calculations'!IB118,"~","~~"),"*","~*"),"?","~?"))&gt;1,"!AMBIG",IFERROR(INDEX('Calculations'!$HF$13:$HF$512,MATCH('Calculations'!IB118,'Calculations'!$HE$13:$HE$512,0)),""))))</x:f>
      </x:c>
      <x:c r="ID118" t="str">
        <x:f>IF('Calculations'!IC118="","",IF('Calculations'!IC118="!AMBIG","!AMBIG",IF(COUNTIF('Calculations'!$HE$13:$HE$512,"="&amp;SUBSTITUTE(SUBSTITUTE(SUBSTITUTE('Calculations'!IC118,"~","~~"),"*","~*"),"?","~?"))&gt;1,"!AMBIG",IFERROR(INDEX('Calculations'!$HF$13:$HF$512,MATCH('Calculations'!IC118,'Calculations'!$HE$13:$HE$512,0)),""))))</x:f>
      </x:c>
      <x:c r="IE118" t="str">
        <x:f>IF('Calculations'!ID118="","",IF('Calculations'!ID118="!AMBIG","!AMBIG",IF(COUNTIF('Calculations'!$HE$13:$HE$512,"="&amp;SUBSTITUTE(SUBSTITUTE(SUBSTITUTE('Calculations'!ID118,"~","~~"),"*","~*"),"?","~?"))&gt;1,"!AMBIG",IFERROR(INDEX('Calculations'!$HF$13:$HF$512,MATCH('Calculations'!ID118,'Calculations'!$HE$13:$HE$512,0)),""))))</x:f>
      </x:c>
      <x:c r="IF118" t="str">
        <x:f>IF('Calculations'!IE118="","",IF('Calculations'!IE118="!AMBIG","!AMBIG",IF(COUNTIF('Calculations'!$HE$13:$HE$512,"="&amp;SUBSTITUTE(SUBSTITUTE(SUBSTITUTE('Calculations'!IE118,"~","~~"),"*","~*"),"?","~?"))&gt;1,"!AMBIG",IFERROR(INDEX('Calculations'!$HF$13:$HF$512,MATCH('Calculations'!IE118,'Calculations'!$HE$13:$HE$512,0)),""))))</x:f>
      </x:c>
      <x:c r="IG118" t="str">
        <x:f>IF('Calculations'!IF118="","",IF('Calculations'!IF118="!AMBIG","!AMBIG",IF(COUNTIF('Calculations'!$HE$13:$HE$512,"="&amp;SUBSTITUTE(SUBSTITUTE(SUBSTITUTE('Calculations'!IF118,"~","~~"),"*","~*"),"?","~?"))&gt;1,"!AMBIG",IFERROR(INDEX('Calculations'!$HF$13:$HF$512,MATCH('Calculations'!IF118,'Calculations'!$HE$13:$HE$512,0)),""))))</x:f>
      </x:c>
      <x:c r="IH118" t="str">
        <x:f>IF('Calculations'!IG118="","",IF('Calculations'!IG118="!AMBIG","!AMBIG",IF(COUNTIF('Calculations'!$HE$13:$HE$512,"="&amp;SUBSTITUTE(SUBSTITUTE(SUBSTITUTE('Calculations'!IG118,"~","~~"),"*","~*"),"?","~?"))&gt;1,"!AMBIG",IFERROR(INDEX('Calculations'!$HF$13:$HF$512,MATCH('Calculations'!IG118,'Calculations'!$HE$13:$HE$512,0)),""))))</x:f>
      </x:c>
      <x:c r="II118" t="str">
        <x:f>IF('Calculations'!IH118="","",IF('Calculations'!IH118="!AMBIG","!AMBIG",IF(COUNTIF('Calculations'!$HE$13:$HE$512,"="&amp;SUBSTITUTE(SUBSTITUTE(SUBSTITUTE('Calculations'!IH118,"~","~~"),"*","~*"),"?","~?"))&gt;1,"!AMBIG",IFERROR(INDEX('Calculations'!$HF$13:$HF$512,MATCH('Calculations'!IH118,'Calculations'!$HE$13:$HE$512,0)),""))))</x:f>
      </x:c>
      <x:c r="IJ118" t="str">
        <x:f>IF('Calculations'!EM118="","",IF('Calculations'!$EF$2="All",'Calculations'!HM118,IF('Calculations'!HL118=1,"",IFERROR(IF(MATCH('Calculations'!$EF$2,'Calculations'!HO118:II118,0)=1,'Calculations'!HE118,INDEX('Calculations'!HO118:II118,1,MATCH('Calculations'!$EF$2,'Calculations'!HO118:II118,0)-1)),""))))</x:f>
      </x:c>
      <x:c r="IK118" t="n">
        <x:f>IF(AND('Calculations'!EM118&lt;&gt;"",'Calculations'!$EF$2&lt;&gt;"All",'Calculations'!HF118='Calculations'!$EF$2,'Calculations'!HL118=0,'Calculations'!JD118&gt;0),MAX('Calculations'!$IK$12:IK117)+1,0)</x:f>
        <x:v>0</x:v>
      </x:c>
      <x:c r="JA118" t="n">
        <x:f>IF(OR(IFERROR(INDIRECT("'WCM Calibration Final'!$A$118")&lt;&gt;"",FALSE),IFERROR(INDIRECT("'WCM Calibration Final'!$B$118")&lt;&gt;"",FALSE),IFERROR(INDIRECT("'WCM Calibration Final'!$C$118")&lt;&gt;"",FALSE)),118,0)</x:f>
        <x:v>0</x:v>
      </x:c>
      <x:c r="JB118" t="n">
        <x:f>'Calculations'!JB117+IF('Calculations'!JA118&gt;0,1,0)</x:f>
        <x:v>0</x:v>
      </x:c>
      <x:c r="JC118" t="n">
        <x:f>IF(OR('Calculations'!HF118="",'Calculations'!HF118="!AMBIG"),0,IF('Dashboard'!$B$7="All",1,COUNTIFS('Calculations'!$HO$13:$HO$512,"="&amp;SUBSTITUTE(SUBSTITUTE(SUBSTITUTE('Calculations'!HF118,"~","~~"),"*","~*"),"?","~?"),'Calculations'!$HN$13:$HN$512,"="&amp;SUBSTITUTE(SUBSTITUTE(SUBSTITUTE('Dashboard'!$B$7,"~","~~"),"*","~*"),"?","~?"))+COUNTIFS('Calculations'!$HP$13:$HP$512,"="&amp;SUBSTITUTE(SUBSTITUTE(SUBSTITUTE('Calculations'!HF118,"~","~~"),"*","~*"),"?","~?"),'Calculations'!$HN$13:$HN$512,"="&amp;SUBSTITUTE(SUBSTITUTE(SUBSTITUTE('Dashboard'!$B$7,"~","~~"),"*","~*"),"?","~?"))+COUNTIFS('Calculations'!$HQ$13:$HQ$512,"="&amp;SUBSTITUTE(SUBSTITUTE(SUBSTITUTE('Calculations'!HF118,"~","~~"),"*","~*"),"?","~?"),'Calculations'!$HN$13:$HN$512,"="&amp;SUBSTITUTE(SUBSTITUTE(SUBSTITUTE('Dashboard'!$B$7,"~","~~"),"*","~*"),"?","~?"))+COUNTIFS('Calculations'!$HR$13:$HR$512,"="&amp;SUBSTITUTE(SUBSTITUTE(SUBSTITUTE('Calculations'!HF118,"~","~~"),"*","~*"),"?","~?"),'Calculations'!$HN$13:$HN$512,"="&amp;SUBSTITUTE(SUBSTITUTE(SUBSTITUTE('Dashboard'!$B$7,"~","~~"),"*","~*"),"?","~?"))+COUNTIFS('Calculations'!$HS$13:$HS$512,"="&amp;SUBSTITUTE(SUBSTITUTE(SUBSTITUTE('Calculations'!HF118,"~","~~"),"*","~*"),"?","~?"),'Calculations'!$HN$13:$HN$512,"="&amp;SUBSTITUTE(SUBSTITUTE(SUBSTITUTE('Dashboard'!$B$7,"~","~~"),"*","~*"),"?","~?"))+COUNTIFS('Calculations'!$HT$13:$HT$512,"="&amp;SUBSTITUTE(SUBSTITUTE(SUBSTITUTE('Calculations'!HF118,"~","~~"),"*","~*"),"?","~?"),'Calculations'!$HN$13:$HN$512,"="&amp;SUBSTITUTE(SUBSTITUTE(SUBSTITUTE('Dashboard'!$B$7,"~","~~"),"*","~*"),"?","~?"))+COUNTIFS('Calculations'!$HU$13:$HU$512,"="&amp;SUBSTITUTE(SUBSTITUTE(SUBSTITUTE('Calculations'!HF118,"~","~~"),"*","~*"),"?","~?"),'Calculations'!$HN$13:$HN$512,"="&amp;SUBSTITUTE(SUBSTITUTE(SUBSTITUTE('Dashboard'!$B$7,"~","~~"),"*","~*"),"?","~?"))+COUNTIFS('Calculations'!$HV$13:$HV$512,"="&amp;SUBSTITUTE(SUBSTITUTE(SUBSTITUTE('Calculations'!HF118,"~","~~"),"*","~*"),"?","~?"),'Calculations'!$HN$13:$HN$512,"="&amp;SUBSTITUTE(SUBSTITUTE(SUBSTITUTE('Dashboard'!$B$7,"~","~~"),"*","~*"),"?","~?"))+COUNTIFS('Calculations'!$HW$13:$HW$512,"="&amp;SUBSTITUTE(SUBSTITUTE(SUBSTITUTE('Calculations'!HF118,"~","~~"),"*","~*"),"?","~?"),'Calculations'!$HN$13:$HN$512,"="&amp;SUBSTITUTE(SUBSTITUTE(SUBSTITUTE('Dashboard'!$B$7,"~","~~"),"*","~*"),"?","~?"))+COUNTIFS('Calculations'!$HX$13:$HX$512,"="&amp;SUBSTITUTE(SUBSTITUTE(SUBSTITUTE('Calculations'!HF118,"~","~~"),"*","~*"),"?","~?"),'Calculations'!$HN$13:$HN$512,"="&amp;SUBSTITUTE(SUBSTITUTE(SUBSTITUTE('Dashboard'!$B$7,"~","~~"),"*","~*"),"?","~?"))+COUNTIFS('Calculations'!$HY$13:$HY$512,"="&amp;SUBSTITUTE(SUBSTITUTE(SUBSTITUTE('Calculations'!HF118,"~","~~"),"*","~*"),"?","~?"),'Calculations'!$HN$13:$HN$512,"="&amp;SUBSTITUTE(SUBSTITUTE(SUBSTITUTE('Dashboard'!$B$7,"~","~~"),"*","~*"),"?","~?"))+COUNTIFS('Calculations'!$HZ$13:$HZ$512,"="&amp;SUBSTITUTE(SUBSTITUTE(SUBSTITUTE('Calculations'!HF118,"~","~~"),"*","~*"),"?","~?"),'Calculations'!$HN$13:$HN$512,"="&amp;SUBSTITUTE(SUBSTITUTE(SUBSTITUTE('Dashboard'!$B$7,"~","~~"),"*","~*"),"?","~?"))+COUNTIFS('Calculations'!$IA$13:$IA$512,"="&amp;SUBSTITUTE(SUBSTITUTE(SUBSTITUTE('Calculations'!HF118,"~","~~"),"*","~*"),"?","~?"),'Calculations'!$HN$13:$HN$512,"="&amp;SUBSTITUTE(SUBSTITUTE(SUBSTITUTE('Dashboard'!$B$7,"~","~~"),"*","~*"),"?","~?"))+COUNTIFS('Calculations'!$IB$13:$IB$512,"="&amp;SUBSTITUTE(SUBSTITUTE(SUBSTITUTE('Calculations'!HF118,"~","~~"),"*","~*"),"?","~?"),'Calculations'!$HN$13:$HN$512,"="&amp;SUBSTITUTE(SUBSTITUTE(SUBSTITUTE('Dashboard'!$B$7,"~","~~"),"*","~*"),"?","~?"))+COUNTIFS('Calculations'!$IC$13:$IC$512,"="&amp;SUBSTITUTE(SUBSTITUTE(SUBSTITUTE('Calculations'!HF118,"~","~~"),"*","~*"),"?","~?"),'Calculations'!$HN$13:$HN$512,"="&amp;SUBSTITUTE(SUBSTITUTE(SUBSTITUTE('Dashboard'!$B$7,"~","~~"),"*","~*"),"?","~?"))+COUNTIFS('Calculations'!$ID$13:$ID$512,"="&amp;SUBSTITUTE(SUBSTITUTE(SUBSTITUTE('Calculations'!HF118,"~","~~"),"*","~*"),"?","~?"),'Calculations'!$HN$13:$HN$512,"="&amp;SUBSTITUTE(SUBSTITUTE(SUBSTITUTE('Dashboard'!$B$7,"~","~~"),"*","~*"),"?","~?"))+COUNTIFS('Calculations'!$IE$13:$IE$512,"="&amp;SUBSTITUTE(SUBSTITUTE(SUBSTITUTE('Calculations'!HF118,"~","~~"),"*","~*"),"?","~?"),'Calculations'!$HN$13:$HN$512,"="&amp;SUBSTITUTE(SUBSTITUTE(SUBSTITUTE('Dashboard'!$B$7,"~","~~"),"*","~*"),"?","~?"))+COUNTIFS('Calculations'!$IF$13:$IF$512,"="&amp;SUBSTITUTE(SUBSTITUTE(SUBSTITUTE('Calculations'!HF118,"~","~~"),"*","~*"),"?","~?"),'Calculations'!$HN$13:$HN$512,"="&amp;SUBSTITUTE(SUBSTITUTE(SUBSTITUTE('Dashboard'!$B$7,"~","~~"),"*","~*"),"?","~?"))+COUNTIFS('Calculations'!$IG$13:$IG$512,"="&amp;SUBSTITUTE(SUBSTITUTE(SUBSTITUTE('Calculations'!HF118,"~","~~"),"*","~*"),"?","~?"),'Calculations'!$HN$13:$HN$512,"="&amp;SUBSTITUTE(SUBSTITUTE(SUBSTITUTE('Dashboard'!$B$7,"~","~~"),"*","~*"),"?","~?"))+COUNTIFS('Calculations'!$IH$13:$IH$512,"="&amp;SUBSTITUTE(SUBSTITUTE(SUBSTITUTE('Calculations'!HF118,"~","~~"),"*","~*"),"?","~?"),'Calculations'!$HN$13:$HN$512,"="&amp;SUBSTITUTE(SUBSTITUTE(SUBSTITUTE('Dashboard'!$B$7,"~","~~"),"*","~*"),"?","~?"))))</x:f>
        <x:v>0</x:v>
      </x:c>
      <x:c r="JD118" t="n">
        <x:f>IF('Calculations'!EM118="",0,IF('Dashboard'!$B$7="All",1,IF('Calculations'!HN118='Dashboard'!$B$7,1,0)+IFERROR(INDEX('Calculations'!$JC$13:$JC$512,MATCH('Calculations'!HE118,'Calculations'!$HF$13:$HF$512,0)),0)))</x:f>
        <x:v>0</x:v>
      </x:c>
      <x:c r="JE118" t="n">
        <x:f>IF(AND('Calculations'!EM118&lt;&gt;"",'Calculations'!$JJ$2&lt;&gt;"All",'Calculations'!$JJ$2&lt;&gt;"",'Calculations'!HF118='Calculations'!$JJ$2,'Calculations'!HL118=0,'Calculations'!JD118&gt;0),MAX('Calculations'!$JE$12:JE117)+1,0)</x:f>
        <x:v>0</x:v>
      </x:c>
      <x:c r="JF118" t="str">
        <x:f>IF('Calculations'!EM118="","",IFERROR(IF(INDEX(INDIRECT("'WCM Calibration Final'!$G$1:$G$2000"),'Calculations'!$EM118)="","",TRIM(INDEX(INDIRECT("'WCM Calibration Final'!$G$1:$G$2000"),'Calculations'!$EM118)&amp;"")),""))</x:f>
      </x:c>
      <x:c r="JQ118" t="n">
        <x:f>IF(OR('Calculations'!BM118=0,NOT('Calculations'!$AG$2),'Calculations'!$AG$8&gt;0),0,IF(OR('Dashboard'!$B$7="All",'Calculations'!HN118='Dashboard'!$B$7),IF('Calculations'!$JJ$2="All",1,IF(AND('Calculations'!HF118='Calculations'!$JJ$2,'Calculations'!HL118=0),1,0)),0))</x:f>
        <x:v>0</x:v>
      </x:c>
    </x:row>
    <x:row r="119">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t="n">
        <x:f>IF('Calculations'!$EM119="",0,IF(OR(IFERROR(INDEX(INDIRECT("'WCM Calibration Final'!$A$1:$A$2000"),'Calculations'!$EM119)&lt;&gt;"",FALSE),IFERROR(INDEX(INDIRECT("'WCM Calibration Final'!$B$1:$B$2000"),'Calculations'!$EM119)&lt;&gt;"",FALSE),IFERROR(INDEX(INDIRECT("'WCM Calibration Final'!$C$1:$C$2000"),'Calculations'!$EM119)&lt;&gt;"",FALSE)),1,0))</x:f>
        <x:v>0</x:v>
      </x:c>
      <x:c r="BN119" s="4" t="n">
        <x:f>IF(AND('Calculations'!BM119=1,'Calculations'!$AG$2,'Calculations'!$EN119=1),1,0)</x:f>
        <x:v>0</x:v>
      </x:c>
      <x:c r="BO119" s="4" t="str">
        <x:f>IF('Calculations'!BM119=0,"",IFERROR(IF(AND(VALUE(INDEX(INDIRECT("'WCM Calibration Final'!$K$1:$K$2000"),'Calculations'!$EM119))&gt;=1,VALUE(INDEX(INDIRECT("'WCM Calibration Final'!$K$1:$K$2000"),'Calculations'!$EM119))&lt;=4,MOD(VALUE(INDEX(INDIRECT("'WCM Calibration Final'!$K$1:$K$2000"),'Calculations'!$EM119)),1)=0),VALUE(INDEX(INDIRECT("'WCM Calibration Final'!$K$1:$K$2000"),'Calculations'!$EM119)),""),""))</x:f>
      </x:c>
      <x:c r="BP119" s="4" t="str">
        <x:f>IF('Calculations'!BM119=0,"",IFERROR(IF(AND(VALUE(INDEX(INDIRECT("'WCM Calibration Final'!$L$1:$L$2000"),'Calculations'!$EM119))&gt;=1,VALUE(INDEX(INDIRECT("'WCM Calibration Final'!$L$1:$L$2000"),'Calculations'!$EM119))&lt;=4,MOD(VALUE(INDEX(INDIRECT("'WCM Calibration Final'!$L$1:$L$2000"),'Calculations'!$EM119)),1)=0),VALUE(INDEX(INDIRECT("'WCM Calibration Final'!$L$1:$L$2000"),'Calculations'!$EM119)),""),""))</x:f>
      </x:c>
      <x:c r="BQ119" s="4"/>
      <x:c r="BR119" s="4"/>
      <x:c r="BS119" s="4"/>
      <x:c r="BT119" s="4" t="n">
        <x:f>IF(AND('Calculations'!BM119=1,ISNUMBER('Calculations'!BO119),ISNUMBER('Calculations'!BP119)),1,0)</x:f>
        <x:v>0</x:v>
      </x:c>
      <x:c r="BU119" s="4" t="str">
        <x:f>IF('Calculations'!BM119=0,"",'Calculations'!$EO119)</x:f>
      </x:c>
      <x:c r="BV119" s="4" t="str">
        <x:f>IF('Calculations'!BM119=0,"",IFERROR(IF(OR(INDEX(INDIRECT("'WCM Calibration Final'!$H$1:$H$2000"),'Calculations'!$EM119)="MANAGING DIRECTOR",INDEX(INDIRECT("'WCM Calibration Final'!$H$1:$H$2000"),'Calculations'!$EM119)="DIRECTOR",INDEX(INDIRECT("'WCM Calibration Final'!$H$1:$H$2000"),'Calculations'!$EM119)="SENIOR VICE PRESIDENT",INDEX(INDIRECT("'WCM Calibration Final'!$H$1:$H$2000"),'Calculations'!$EM119)="VICE PRESIDENT",INDEX(INDIRECT("'WCM Calibration Final'!$H$1:$H$2000"),'Calculations'!$EM119)="ASSISTANT VICE PRESIDENT",INDEX(INDIRECT("'WCM Calibration Final'!$H$1:$H$2000"),'Calculations'!$EM119)="OFFICER"),UPPER(INDEX(INDIRECT("'WCM Calibration Final'!$H$1:$H$2000"),'Calculations'!$EM119)),"Other"),"Other"))</x:f>
      </x:c>
      <x:c r="BW119" s="4"/>
      <x:c r="BX119" s="4"/>
      <x:c r="BY119" s="4" t="n">
        <x:f>IF(AND('Calculations'!BM119=1,'Calculations'!BU119&lt;&gt;"",COUNTIF('Calculations'!$BU$12:BU119,'Calculations'!BU119)=1),MAX('Calculations'!$BY$11:BY118)+1,0)</x:f>
        <x:v>0</x:v>
      </x:c>
      <x:c r="BZ119" s="4" t="str">
        <x:f>IF('Dashboard'!$E$67="What",'Calculations'!BO119,'Calculations'!BP119)</x:f>
      </x:c>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t="str">
        <x:f>IF(108&gt;MAX('Calculations'!$HI$13:$HI$512),"",INDEX('Calculations'!$HN$13:$HN$512,MATCH(108,'Calculations'!$HI$13:$HI$512,0)))</x:f>
      </x:c>
      <x:c r="DB119" s="4" t="str">
        <x:f>IF(108&gt;MAX('Calculations'!$HH$13:$HH$512),"",INDEX('Calculations'!$HJ$13:$HJ$512,MATCH(108,'Calculations'!$HH$13:$HH$512,0)))</x:f>
      </x:c>
      <x:c r="DC119" s="4" t="str">
        <x:f>IF(ROW()-11&gt;MAX('Calculations'!$BY$13:$BY$512),"",INDEX('Calculations'!$BU$13:$BU$512,MATCH(ROW()-11,'Calculations'!$BY$13:$BY$512,0)))</x:f>
      </x:c>
      <x:c r="DD119" s="4" t="str">
        <x:f>IF(108&gt;MAX('Calculations'!$IK$13:$IK$512),"",INDEX('Calculations'!$HK$13:$HK$512,MATCH(108,'Calculations'!$IK$13:$IK$512,0)))</x:f>
      </x:c>
      <x:c r="DE119" s="4" t="str">
        <x:f>'Calculations'!DC119</x:f>
      </x:c>
      <x:c r="DF119" s="4" t="str">
        <x:f>IF('Calculations'!DE119="","",COUNTIFS('Calculations'!$BN$13:$BN$512,1,'Calculations'!$BU$13:$BU$512,'Calculations'!DE119))</x:f>
      </x:c>
      <x:c r="DG119" s="4" t="str">
        <x:f>IF('Calculations'!DE119="","",COUNTIFS('Calculations'!$BN$13:$BN$512,1,'Calculations'!$BU$13:$BU$512,'Calculations'!DE119,'Calculations'!$BT$13:$BT$512,1))</x:f>
      </x:c>
      <x:c r="DH119" s="4" t="str">
        <x:f>IF('Calculations'!DE119="","",'Calculations'!DF119-'Calculations'!DG119)</x:f>
      </x:c>
      <x:c r="DI119" s="4" t="str">
        <x:f>IF(OR('Calculations'!DE119="",'Calculations'!DF119=0),"",'Calculations'!DG119/'Calculations'!DF119)</x:f>
      </x:c>
      <x:c r="DJ119" s="4" t="str">
        <x:f>IF('Calculations'!DE119="","",COUNTIFS('Calculations'!$BN$13:$BN$512,1,'Calculations'!$BU$13:$BU$512,'Calculations'!DE119,'Calculations'!$BT$13:$BT$512,1,'Calculations'!$EE$13:$EE$512,"High"))</x:f>
      </x:c>
      <x:c r="DK119" s="4" t="str">
        <x:f>IF('Calculations'!DE119="","",COUNTIFS('Calculations'!$BN$13:$BN$512,1,'Calculations'!$BU$13:$BU$512,'Calculations'!DE119,'Calculations'!$BT$13:$BT$512,1,'Calculations'!$EE$13:$EE$512,"Strong"))</x:f>
      </x:c>
      <x:c r="DL119" s="4" t="str">
        <x:f>IF('Calculations'!DE119="","",COUNTIFS('Calculations'!$BN$13:$BN$512,1,'Calculations'!$BU$13:$BU$512,'Calculations'!DE119,'Calculations'!$BT$13:$BT$512,1,'Calculations'!$EE$13:$EE$512,"Solid"))</x:f>
      </x:c>
      <x:c r="DM119" s="4" t="str">
        <x:f>IF('Calculations'!DE119="","",COUNTIFS('Calculations'!$BN$13:$BN$512,1,'Calculations'!$BU$13:$BU$512,'Calculations'!DE119,'Calculations'!$BT$13:$BT$512,1,'Calculations'!$EE$13:$EE$512,"Low"))</x:f>
      </x:c>
      <x:c r="DN119" s="4" t="str">
        <x:f>IF('Calculations'!DE119="","",COUNTIFS('Calculations'!$BN$13:$BN$512,1,'Calculations'!$BU$13:$BU$512,'Calculations'!DE119,'Calculations'!$EP$13:$EP$512,1))</x:f>
      </x:c>
      <x:c r="DO119" s="4" t="str">
        <x:f>IF(OR('Calculations'!DE119="",'Calculations'!DG119=0),"",('Calculations'!DJ119+'Calculations'!DK119)/'Calculations'!DG119)</x:f>
      </x:c>
      <x:c r="DP119" s="4" t="n">
        <x:f>IF(AND('Calculations'!DE119&lt;&gt;"",'Calculations'!DF119&gt;0),COUNTIF('Calculations'!$DF$12:DF119,"&gt;0"),0)</x:f>
        <x:v>0</x:v>
      </x:c>
      <x:c r="DQ119" s="4" t="str">
        <x:f>IF(108&gt;MAX('Calculations'!$HH$13:$HH$512),"",INDEX('Calculations'!$HF$13:$HF$512,MATCH(108,'Calculations'!$HH$13:$HH$512,0)))</x:f>
      </x:c>
      <x:c r="DR119" s="4" t="str">
        <x:f>IF(108&gt;MAX('Calculations'!$IK$13:$IK$512),"",INDEX('Calculations'!$HE$13:$HE$512,MATCH(108,'Calculations'!$IK$13:$IK$512,0)))</x:f>
      </x:c>
      <x:c r="DS119" s="4"/>
      <x:c r="DT119" s="4"/>
      <x:c r="DU119" s="4"/>
      <x:c r="DV119" s="4"/>
      <x:c r="DW119" s="4"/>
      <x:c r="DX119" s="4"/>
      <x:c r="DY119" s="4"/>
      <x:c r="DZ119" s="4"/>
      <x:c r="EA119" s="4"/>
      <x:c r="EB119" s="4"/>
      <x:c r="EC119" s="4"/>
      <x:c r="ED119" s="4"/>
      <x:c r="EE119" s="4" t="str">
        <x:f>IF('Calculations'!BT119=0,"Not Rated",IF(OR('Calculations'!BO119&gt;=4,'Calculations'!BP119&gt;=4),"Low",IF('Calculations'!BO119+'Calculations'!BP119&lt;=3,"High",IF('Calculations'!BO119+'Calculations'!BP119&lt;=4,"Strong","Solid"))))</x:f>
        <x:v>Not Rated</x:v>
      </x:c>
      <x:c r="EF119" s="4"/>
      <x:c r="EG119" s="4"/>
      <x:c r="EH119" s="4"/>
      <x:c r="EI119" s="4"/>
      <x:c r="EJ119" s="4"/>
      <x:c r="EK119" s="4"/>
      <x:c r="EL119" s="4"/>
      <x:c r="EM119" s="4" t="str">
        <x:f>IF(107&gt;'Calculations'!$JB$2000,"",INDEX('Calculations'!$JA$12:$JA$2000,MATCH(107,'Calculations'!$JB$12:$JB$2000,0)))</x:f>
      </x:c>
      <x:c r="EN119" s="4" t="n">
        <x:f>IF(OR('Calculations'!EM119="",'Calculations'!$AG$8&gt;0,AND('Calculations'!$EF$2&lt;&gt;"All",'Calculations'!HE119='Calculations'!$EF$2),AND('Calculations'!$EF$3&lt;&gt;"All",'Calculations'!HE119='Calculations'!$EF$3)),0,IF(OR('Dashboard'!$B$7="All",'Calculations'!HN119='Dashboard'!$B$7),IF('Calculations'!$EF$2="All",1,IF('Calculations'!HL119&gt;0,0,IF(COUNTIF('Calculations'!HO119:II119,"="&amp;SUBSTITUTE(SUBSTITUTE(SUBSTITUTE('Calculations'!$EF$2,"~","~~"),"*","~*"),"?","~?"))=0,0,IF('Calculations'!$EF$3="All",1,IF(COUNTIF('Calculations'!HO119:II119,"="&amp;SUBSTITUTE(SUBSTITUTE(SUBSTITUTE('Calculations'!$EF$3,"~","~~"),"*","~*"),"?","~?"))&gt;0,1,0))))),0))</x:f>
        <x:v>0</x:v>
      </x:c>
      <x:c r="EO119" s="4" t="str">
        <x:f>IF('Calculations'!IJ119="","",IF('Calculations'!IJ119="!UNRESOLVED","Unresolved hierarchy",IFERROR(INDEX('Calculations'!$HK$13:$HK$512,MATCH('Calculations'!IJ119,'Calculations'!$HE$13:$HE$512,0)),IFERROR(INDEX('Calculations'!$HJ$13:$HJ$512,MATCH('Calculations'!IJ119,'Calculations'!$HF$13:$HF$512,0)),'Calculations'!IJ119))))</x:f>
      </x:c>
      <x:c r="EP119" s="4" t="n">
        <x:f>IF(AND('Calculations'!EM119&lt;&gt;"",'Calculations'!HF119='Calculations'!IJ119),1,0)</x:f>
        <x:v>0</x:v>
      </x:c>
      <x:c r="EQ119" s="4"/>
      <x:c r="ER119" s="4"/>
      <x:c r="ES119" s="4"/>
      <x:c r="ET119" s="4"/>
      <x:c r="EU119" s="4"/>
      <x:c r="EV119" s="4"/>
      <x:c r="EW119" s="4"/>
      <x:c r="EX119" s="4"/>
      <x:c r="EY119" s="4"/>
      <x:c r="EZ119" s="4"/>
      <x:c r="FA119" s="4"/>
      <x:c r="FB119" s="4"/>
      <x:c r="FC119" s="4"/>
      <x:c r="FD119" s="4"/>
      <x:c r="FE119" s="4"/>
      <x:c r="FF119" s="4"/>
      <x:c r="FG119" s="4"/>
      <x:c r="FH119" s="4"/>
      <x:c r="FI119" s="4"/>
      <x:c r="FJ119" s="4"/>
      <x:c r="FK119" s="4"/>
      <x:c r="FL119" s="4"/>
      <x:c r="FM119" s="4"/>
      <x:c r="FN119" s="4"/>
      <x:c r="FO119" s="4"/>
      <x:c r="GA119" s="71"/>
      <x:c r="GB119" s="71"/>
      <x:c r="GC119" s="71"/>
      <x:c r="GD119" s="71"/>
      <x:c r="GE119" s="71"/>
      <x:c r="GF119" s="71"/>
      <x:c r="GG119" s="71"/>
      <x:c r="GH119" s="71"/>
      <x:c r="GI119" s="71"/>
      <x:c r="GJ119" s="71"/>
      <x:c r="GK119" s="71"/>
      <x:c r="GL119" s="71"/>
      <x:c r="GM119" s="71"/>
      <x:c r="GN119" s="71"/>
      <x:c r="GO119" s="71"/>
      <x:c r="GP119" s="71"/>
      <x:c r="GQ119" s="71"/>
      <x:c r="GR119" s="71"/>
      <x:c r="GS119" s="71"/>
      <x:c r="GT119" s="71"/>
      <x:c r="GU119" s="71"/>
      <x:c r="GV119" s="71"/>
      <x:c r="GW119" s="71"/>
      <x:c r="GX119" s="71"/>
      <x:c r="GY119" s="71"/>
      <x:c r="GZ119" s="71"/>
      <x:c r="HA119" s="71"/>
      <x:c r="HB119" s="71"/>
      <x:c r="HC119" s="71"/>
      <x:c r="HD119" s="71"/>
      <x:c r="HE119" t="str">
        <x:f>IF('Calculations'!EM119="","",IF(IFERROR(IF(INDEX(INDIRECT("'WCM Calibration Final'!$A$1:$A$2000"),'Calculations'!$EM119)="","",TRIM(INDEX(INDIRECT("'WCM Calibration Final'!$A$1:$A$2000"),'Calculations'!$EM119)&amp;"")),"")&lt;&gt;"","G:"&amp;IFERROR(TEXT(1*INDEX(INDIRECT("'WCM Calibration Final'!$A$1:$A$2000"),'Calculations'!$EM119),"0"),UPPER(IFERROR(IF(INDEX(INDIRECT("'WCM Calibration Final'!$A$1:$A$2000"),'Calculations'!$EM119)="","",TRIM(INDEX(INDIRECT("'WCM Calibration Final'!$A$1:$A$2000"),'Calculations'!$EM119)&amp;"")),""))),IF(IFERROR(IF(INDEX(INDIRECT("'WCM Calibration Final'!$C$1:$C$2000"),'Calculations'!$EM119)="","",TRIM(INDEX(INDIRECT("'WCM Calibration Final'!$C$1:$C$2000"),'Calculations'!$EM119)&amp;"")),"")&lt;&gt;"","S:"&amp;UPPER(IFERROR(IF(INDEX(INDIRECT("'WCM Calibration Final'!$C$1:$C$2000"),'Calculations'!$EM119)="","",TRIM(INDEX(INDIRECT("'WCM Calibration Final'!$C$1:$C$2000"),'Calculations'!$EM119)&amp;"")),"")),"R:"&amp;'Calculations'!EM119)))</x:f>
      </x:c>
      <x:c r="HF119" t="str">
        <x:f>IF('Calculations'!EM119="","",IF(IFERROR(IF(INDEX(INDIRECT("'WCM Calibration Final'!$D$1:$D$2000"),'Calculations'!$EM119)="","",TRIM(INDEX(INDIRECT("'WCM Calibration Final'!$D$1:$D$2000"),'Calculations'!$EM119)&amp;"")),"")&lt;&gt;"","G:"&amp;IFERROR(TEXT(1*INDEX(INDIRECT("'WCM Calibration Final'!$D$1:$D$2000"),'Calculations'!$EM119),"0"),UPPER(IFERROR(IF(INDEX(INDIRECT("'WCM Calibration Final'!$D$1:$D$2000"),'Calculations'!$EM119)="","",TRIM(INDEX(INDIRECT("'WCM Calibration Final'!$D$1:$D$2000"),'Calculations'!$EM119)&amp;"")),""))),IF(IFERROR(IF(INDEX(INDIRECT("'WCM Calibration Final'!$E$1:$E$2000"),'Calculations'!$EM119)="","",TRIM(INDEX(INDIRECT("'WCM Calibration Final'!$E$1:$E$2000"),'Calculations'!$EM119)&amp;"")),"")="","",IF(COUNTIF('Calculations'!$HG$13:$HG$512,"="&amp;SUBSTITUTE(SUBSTITUTE(SUBSTITUTE(IFERROR(IF(INDEX(INDIRECT("'WCM Calibration Final'!$E$1:$E$2000"),'Calculations'!$EM119)="","",TRIM(INDEX(INDIRECT("'WCM Calibration Final'!$E$1:$E$2000"),'Calculations'!$EM119)&amp;"")),""),"~","~~"),"*","~*"),"?","~?"))=1,INDEX('Calculations'!$HE$13:$HE$512,MATCH(IFERROR(IF(INDEX(INDIRECT("'WCM Calibration Final'!$E$1:$E$2000"),'Calculations'!$EM119)="","",TRIM(INDEX(INDIRECT("'WCM Calibration Final'!$E$1:$E$2000"),'Calculations'!$EM119)&amp;"")),""),'Calculations'!$HG$13:$HG$512,0)),IF(COUNTIF('Calculations'!$HG$13:$HG$512,"="&amp;SUBSTITUTE(SUBSTITUTE(SUBSTITUTE(IFERROR(IF(INDEX(INDIRECT("'WCM Calibration Final'!$E$1:$E$2000"),'Calculations'!$EM119)="","",TRIM(INDEX(INDIRECT("'WCM Calibration Final'!$E$1:$E$2000"),'Calculations'!$EM119)&amp;"")),""),"~","~~"),"*","~*"),"?","~?"))&gt;1,"!AMBIG","X:"&amp;IFERROR(IF(INDEX(INDIRECT("'WCM Calibration Final'!$E$1:$E$2000"),'Calculations'!$EM119)="","",TRIM(INDEX(INDIRECT("'WCM Calibration Final'!$E$1:$E$2000"),'Calculations'!$EM119)&amp;"")),""))))))</x:f>
      </x:c>
      <x:c r="HG119" t="str">
        <x:f>IF('Calculations'!EM119="","",IFERROR(IF(INDEX(INDIRECT("'WCM Calibration Final'!$B$1:$B$2000"),'Calculations'!$EM119)="","",TRIM(INDEX(INDIRECT("'WCM Calibration Final'!$B$1:$B$2000"),'Calculations'!$EM119)&amp;"")),""))</x:f>
      </x:c>
      <x:c r="HH119" t="n">
        <x:f>IF(AND('Calculations'!JC119&gt;0,COUNTIF('Calculations'!$HF$12:HF119,"="&amp;SUBSTITUTE(SUBSTITUTE(SUBSTITUTE('Calculations'!HF119,"~","~~"),"*","~*"),"?","~?"))=1),MAX('Calculations'!$HH$12:HH118)+1,0)</x:f>
        <x:v>0</x:v>
      </x:c>
      <x:c r="HI119" t="n">
        <x:f>IF(AND('Calculations'!HN119&lt;&gt;"",COUNTIF('Calculations'!$HN$12:HN119,"="&amp;SUBSTITUTE(SUBSTITUTE(SUBSTITUTE('Calculations'!HN119,"~","~~"),"*","~*"),"?","~?"))=1),MAX('Calculations'!$HI$12:HI118)+1,0)</x:f>
        <x:v>0</x:v>
      </x:c>
      <x:c r="HJ119" t="str">
        <x:f>IF('Calculations'!HF119="","",IF(COUNTIF('Calculations'!$HE$13:$HE$512,"="&amp;SUBSTITUTE(SUBSTITUTE(SUBSTITUTE('Calculations'!HF119,"~","~~"),"*","~*"),"?","~?"))=1,INDEX('Calculations'!$HK$13:$HK$512,MATCH('Calculations'!HF119,'Calculations'!$HE$13:$HE$512,0)),IFERROR(IF(INDEX(INDIRECT("'WCM Calibration Final'!$E$1:$E$2000"),'Calculations'!$EM119)="","",TRIM(INDEX(INDIRECT("'WCM Calibration Final'!$E$1:$E$2000"),'Calculations'!$EM119)&amp;"")),"")&amp;" ["&amp;'Calculations'!HF119&amp;"]"))</x:f>
      </x:c>
      <x:c r="HK119" t="str">
        <x:f>IF('Calculations'!EM119="","",'Calculations'!HG119&amp;" ["&amp;'Calculations'!HE119&amp;"]")</x:f>
      </x:c>
      <x:c r="HL119" t="n">
        <x:f>IF('Calculations'!EM119="",0,IF(OR('Calculations'!II119&lt;&gt;"",COUNTIF('Calculations'!$HE$13:$HE$512,"="&amp;SUBSTITUTE(SUBSTITUTE(SUBSTITUTE('Calculations'!HE119,"~","~~"),"*","~*"),"?","~?"))&gt;1),1,0))</x:f>
        <x:v>0</x:v>
      </x:c>
      <x:c r="HM119" t="str">
        <x:f>IF('Calculations'!EM119="","",IF('Calculations'!HL119=1,"!UNRESOLVED",IF('Calculations'!IH119&lt;&gt;"",'Calculations'!IH119,IF('Calculations'!IG119&lt;&gt;"",'Calculations'!IG119,IF('Calculations'!IF119&lt;&gt;"",'Calculations'!IF119,IF('Calculations'!IE119&lt;&gt;"",'Calculations'!IE119,IF('Calculations'!ID119&lt;&gt;"",'Calculations'!ID119,IF('Calculations'!IC119&lt;&gt;"",'Calculations'!IC119,IF('Calculations'!IB119&lt;&gt;"",'Calculations'!IB119,IF('Calculations'!IA119&lt;&gt;"",'Calculations'!IA119,IF('Calculations'!HZ119&lt;&gt;"",'Calculations'!HZ119,IF('Calculations'!HY119&lt;&gt;"",'Calculations'!HY119,IF('Calculations'!HX119&lt;&gt;"",'Calculations'!HX119,IF('Calculations'!HW119&lt;&gt;"",'Calculations'!HW119,IF('Calculations'!HV119&lt;&gt;"",'Calculations'!HV119,IF('Calculations'!HU119&lt;&gt;"",'Calculations'!HU119,IF('Calculations'!HT119&lt;&gt;"",'Calculations'!HT119,IF('Calculations'!HS119&lt;&gt;"",'Calculations'!HS119,IF('Calculations'!HR119&lt;&gt;"",'Calculations'!HR119,IF('Calculations'!HQ119&lt;&gt;"",'Calculations'!HQ119,IF('Calculations'!HP119&lt;&gt;"",'Calculations'!HP119,IF('Calculations'!HO119&lt;&gt;"",'Calculations'!HO119,'Calculations'!HE119))))))))))))))))))))))</x:f>
      </x:c>
      <x:c r="HN119" t="str">
        <x:f>IF('Calculations'!EM119="","",IF(IFERROR(IF(INDEX(INDIRECT("'WCM Calibration Final'!$F$1:$F$2000"),'Calculations'!$EM119)="","",TRIM(INDEX(INDIRECT("'WCM Calibration Final'!$F$1:$F$2000"),'Calculations'!$EM119)&amp;"")),"")="","(Blank)",IFERROR(IF(INDEX(INDIRECT("'WCM Calibration Final'!$F$1:$F$2000"),'Calculations'!$EM119)="","",TRIM(INDEX(INDIRECT("'WCM Calibration Final'!$F$1:$F$2000"),'Calculations'!$EM119)&amp;"")),"")))</x:f>
      </x:c>
      <x:c r="HO119" t="str">
        <x:f>'Calculations'!HF119</x:f>
      </x:c>
      <x:c r="HP119" t="str">
        <x:f>IF('Calculations'!HO119="","",IF('Calculations'!HO119="!AMBIG","!AMBIG",IF(COUNTIF('Calculations'!$HE$13:$HE$512,"="&amp;SUBSTITUTE(SUBSTITUTE(SUBSTITUTE('Calculations'!HO119,"~","~~"),"*","~*"),"?","~?"))&gt;1,"!AMBIG",IFERROR(INDEX('Calculations'!$HF$13:$HF$512,MATCH('Calculations'!HO119,'Calculations'!$HE$13:$HE$512,0)),""))))</x:f>
      </x:c>
      <x:c r="HQ119" t="str">
        <x:f>IF('Calculations'!HP119="","",IF('Calculations'!HP119="!AMBIG","!AMBIG",IF(COUNTIF('Calculations'!$HE$13:$HE$512,"="&amp;SUBSTITUTE(SUBSTITUTE(SUBSTITUTE('Calculations'!HP119,"~","~~"),"*","~*"),"?","~?"))&gt;1,"!AMBIG",IFERROR(INDEX('Calculations'!$HF$13:$HF$512,MATCH('Calculations'!HP119,'Calculations'!$HE$13:$HE$512,0)),""))))</x:f>
      </x:c>
      <x:c r="HR119" t="str">
        <x:f>IF('Calculations'!HQ119="","",IF('Calculations'!HQ119="!AMBIG","!AMBIG",IF(COUNTIF('Calculations'!$HE$13:$HE$512,"="&amp;SUBSTITUTE(SUBSTITUTE(SUBSTITUTE('Calculations'!HQ119,"~","~~"),"*","~*"),"?","~?"))&gt;1,"!AMBIG",IFERROR(INDEX('Calculations'!$HF$13:$HF$512,MATCH('Calculations'!HQ119,'Calculations'!$HE$13:$HE$512,0)),""))))</x:f>
      </x:c>
      <x:c r="HS119" t="str">
        <x:f>IF('Calculations'!HR119="","",IF('Calculations'!HR119="!AMBIG","!AMBIG",IF(COUNTIF('Calculations'!$HE$13:$HE$512,"="&amp;SUBSTITUTE(SUBSTITUTE(SUBSTITUTE('Calculations'!HR119,"~","~~"),"*","~*"),"?","~?"))&gt;1,"!AMBIG",IFERROR(INDEX('Calculations'!$HF$13:$HF$512,MATCH('Calculations'!HR119,'Calculations'!$HE$13:$HE$512,0)),""))))</x:f>
      </x:c>
      <x:c r="HT119" t="str">
        <x:f>IF('Calculations'!HS119="","",IF('Calculations'!HS119="!AMBIG","!AMBIG",IF(COUNTIF('Calculations'!$HE$13:$HE$512,"="&amp;SUBSTITUTE(SUBSTITUTE(SUBSTITUTE('Calculations'!HS119,"~","~~"),"*","~*"),"?","~?"))&gt;1,"!AMBIG",IFERROR(INDEX('Calculations'!$HF$13:$HF$512,MATCH('Calculations'!HS119,'Calculations'!$HE$13:$HE$512,0)),""))))</x:f>
      </x:c>
      <x:c r="HU119" t="str">
        <x:f>IF('Calculations'!HT119="","",IF('Calculations'!HT119="!AMBIG","!AMBIG",IF(COUNTIF('Calculations'!$HE$13:$HE$512,"="&amp;SUBSTITUTE(SUBSTITUTE(SUBSTITUTE('Calculations'!HT119,"~","~~"),"*","~*"),"?","~?"))&gt;1,"!AMBIG",IFERROR(INDEX('Calculations'!$HF$13:$HF$512,MATCH('Calculations'!HT119,'Calculations'!$HE$13:$HE$512,0)),""))))</x:f>
      </x:c>
      <x:c r="HV119" t="str">
        <x:f>IF('Calculations'!HU119="","",IF('Calculations'!HU119="!AMBIG","!AMBIG",IF(COUNTIF('Calculations'!$HE$13:$HE$512,"="&amp;SUBSTITUTE(SUBSTITUTE(SUBSTITUTE('Calculations'!HU119,"~","~~"),"*","~*"),"?","~?"))&gt;1,"!AMBIG",IFERROR(INDEX('Calculations'!$HF$13:$HF$512,MATCH('Calculations'!HU119,'Calculations'!$HE$13:$HE$512,0)),""))))</x:f>
      </x:c>
      <x:c r="HW119" t="str">
        <x:f>IF('Calculations'!HV119="","",IF('Calculations'!HV119="!AMBIG","!AMBIG",IF(COUNTIF('Calculations'!$HE$13:$HE$512,"="&amp;SUBSTITUTE(SUBSTITUTE(SUBSTITUTE('Calculations'!HV119,"~","~~"),"*","~*"),"?","~?"))&gt;1,"!AMBIG",IFERROR(INDEX('Calculations'!$HF$13:$HF$512,MATCH('Calculations'!HV119,'Calculations'!$HE$13:$HE$512,0)),""))))</x:f>
      </x:c>
      <x:c r="HX119" t="str">
        <x:f>IF('Calculations'!HW119="","",IF('Calculations'!HW119="!AMBIG","!AMBIG",IF(COUNTIF('Calculations'!$HE$13:$HE$512,"="&amp;SUBSTITUTE(SUBSTITUTE(SUBSTITUTE('Calculations'!HW119,"~","~~"),"*","~*"),"?","~?"))&gt;1,"!AMBIG",IFERROR(INDEX('Calculations'!$HF$13:$HF$512,MATCH('Calculations'!HW119,'Calculations'!$HE$13:$HE$512,0)),""))))</x:f>
      </x:c>
      <x:c r="HY119" t="str">
        <x:f>IF('Calculations'!HX119="","",IF('Calculations'!HX119="!AMBIG","!AMBIG",IF(COUNTIF('Calculations'!$HE$13:$HE$512,"="&amp;SUBSTITUTE(SUBSTITUTE(SUBSTITUTE('Calculations'!HX119,"~","~~"),"*","~*"),"?","~?"))&gt;1,"!AMBIG",IFERROR(INDEX('Calculations'!$HF$13:$HF$512,MATCH('Calculations'!HX119,'Calculations'!$HE$13:$HE$512,0)),""))))</x:f>
      </x:c>
      <x:c r="HZ119" t="str">
        <x:f>IF('Calculations'!HY119="","",IF('Calculations'!HY119="!AMBIG","!AMBIG",IF(COUNTIF('Calculations'!$HE$13:$HE$512,"="&amp;SUBSTITUTE(SUBSTITUTE(SUBSTITUTE('Calculations'!HY119,"~","~~"),"*","~*"),"?","~?"))&gt;1,"!AMBIG",IFERROR(INDEX('Calculations'!$HF$13:$HF$512,MATCH('Calculations'!HY119,'Calculations'!$HE$13:$HE$512,0)),""))))</x:f>
      </x:c>
      <x:c r="IA119" t="str">
        <x:f>IF('Calculations'!HZ119="","",IF('Calculations'!HZ119="!AMBIG","!AMBIG",IF(COUNTIF('Calculations'!$HE$13:$HE$512,"="&amp;SUBSTITUTE(SUBSTITUTE(SUBSTITUTE('Calculations'!HZ119,"~","~~"),"*","~*"),"?","~?"))&gt;1,"!AMBIG",IFERROR(INDEX('Calculations'!$HF$13:$HF$512,MATCH('Calculations'!HZ119,'Calculations'!$HE$13:$HE$512,0)),""))))</x:f>
      </x:c>
      <x:c r="IB119" t="str">
        <x:f>IF('Calculations'!IA119="","",IF('Calculations'!IA119="!AMBIG","!AMBIG",IF(COUNTIF('Calculations'!$HE$13:$HE$512,"="&amp;SUBSTITUTE(SUBSTITUTE(SUBSTITUTE('Calculations'!IA119,"~","~~"),"*","~*"),"?","~?"))&gt;1,"!AMBIG",IFERROR(INDEX('Calculations'!$HF$13:$HF$512,MATCH('Calculations'!IA119,'Calculations'!$HE$13:$HE$512,0)),""))))</x:f>
      </x:c>
      <x:c r="IC119" t="str">
        <x:f>IF('Calculations'!IB119="","",IF('Calculations'!IB119="!AMBIG","!AMBIG",IF(COUNTIF('Calculations'!$HE$13:$HE$512,"="&amp;SUBSTITUTE(SUBSTITUTE(SUBSTITUTE('Calculations'!IB119,"~","~~"),"*","~*"),"?","~?"))&gt;1,"!AMBIG",IFERROR(INDEX('Calculations'!$HF$13:$HF$512,MATCH('Calculations'!IB119,'Calculations'!$HE$13:$HE$512,0)),""))))</x:f>
      </x:c>
      <x:c r="ID119" t="str">
        <x:f>IF('Calculations'!IC119="","",IF('Calculations'!IC119="!AMBIG","!AMBIG",IF(COUNTIF('Calculations'!$HE$13:$HE$512,"="&amp;SUBSTITUTE(SUBSTITUTE(SUBSTITUTE('Calculations'!IC119,"~","~~"),"*","~*"),"?","~?"))&gt;1,"!AMBIG",IFERROR(INDEX('Calculations'!$HF$13:$HF$512,MATCH('Calculations'!IC119,'Calculations'!$HE$13:$HE$512,0)),""))))</x:f>
      </x:c>
      <x:c r="IE119" t="str">
        <x:f>IF('Calculations'!ID119="","",IF('Calculations'!ID119="!AMBIG","!AMBIG",IF(COUNTIF('Calculations'!$HE$13:$HE$512,"="&amp;SUBSTITUTE(SUBSTITUTE(SUBSTITUTE('Calculations'!ID119,"~","~~"),"*","~*"),"?","~?"))&gt;1,"!AMBIG",IFERROR(INDEX('Calculations'!$HF$13:$HF$512,MATCH('Calculations'!ID119,'Calculations'!$HE$13:$HE$512,0)),""))))</x:f>
      </x:c>
      <x:c r="IF119" t="str">
        <x:f>IF('Calculations'!IE119="","",IF('Calculations'!IE119="!AMBIG","!AMBIG",IF(COUNTIF('Calculations'!$HE$13:$HE$512,"="&amp;SUBSTITUTE(SUBSTITUTE(SUBSTITUTE('Calculations'!IE119,"~","~~"),"*","~*"),"?","~?"))&gt;1,"!AMBIG",IFERROR(INDEX('Calculations'!$HF$13:$HF$512,MATCH('Calculations'!IE119,'Calculations'!$HE$13:$HE$512,0)),""))))</x:f>
      </x:c>
      <x:c r="IG119" t="str">
        <x:f>IF('Calculations'!IF119="","",IF('Calculations'!IF119="!AMBIG","!AMBIG",IF(COUNTIF('Calculations'!$HE$13:$HE$512,"="&amp;SUBSTITUTE(SUBSTITUTE(SUBSTITUTE('Calculations'!IF119,"~","~~"),"*","~*"),"?","~?"))&gt;1,"!AMBIG",IFERROR(INDEX('Calculations'!$HF$13:$HF$512,MATCH('Calculations'!IF119,'Calculations'!$HE$13:$HE$512,0)),""))))</x:f>
      </x:c>
      <x:c r="IH119" t="str">
        <x:f>IF('Calculations'!IG119="","",IF('Calculations'!IG119="!AMBIG","!AMBIG",IF(COUNTIF('Calculations'!$HE$13:$HE$512,"="&amp;SUBSTITUTE(SUBSTITUTE(SUBSTITUTE('Calculations'!IG119,"~","~~"),"*","~*"),"?","~?"))&gt;1,"!AMBIG",IFERROR(INDEX('Calculations'!$HF$13:$HF$512,MATCH('Calculations'!IG119,'Calculations'!$HE$13:$HE$512,0)),""))))</x:f>
      </x:c>
      <x:c r="II119" t="str">
        <x:f>IF('Calculations'!IH119="","",IF('Calculations'!IH119="!AMBIG","!AMBIG",IF(COUNTIF('Calculations'!$HE$13:$HE$512,"="&amp;SUBSTITUTE(SUBSTITUTE(SUBSTITUTE('Calculations'!IH119,"~","~~"),"*","~*"),"?","~?"))&gt;1,"!AMBIG",IFERROR(INDEX('Calculations'!$HF$13:$HF$512,MATCH('Calculations'!IH119,'Calculations'!$HE$13:$HE$512,0)),""))))</x:f>
      </x:c>
      <x:c r="IJ119" t="str">
        <x:f>IF('Calculations'!EM119="","",IF('Calculations'!$EF$2="All",'Calculations'!HM119,IF('Calculations'!HL119=1,"",IFERROR(IF(MATCH('Calculations'!$EF$2,'Calculations'!HO119:II119,0)=1,'Calculations'!HE119,INDEX('Calculations'!HO119:II119,1,MATCH('Calculations'!$EF$2,'Calculations'!HO119:II119,0)-1)),""))))</x:f>
      </x:c>
      <x:c r="IK119" t="n">
        <x:f>IF(AND('Calculations'!EM119&lt;&gt;"",'Calculations'!$EF$2&lt;&gt;"All",'Calculations'!HF119='Calculations'!$EF$2,'Calculations'!HL119=0,'Calculations'!JD119&gt;0),MAX('Calculations'!$IK$12:IK118)+1,0)</x:f>
        <x:v>0</x:v>
      </x:c>
      <x:c r="JA119" t="n">
        <x:f>IF(OR(IFERROR(INDIRECT("'WCM Calibration Final'!$A$119")&lt;&gt;"",FALSE),IFERROR(INDIRECT("'WCM Calibration Final'!$B$119")&lt;&gt;"",FALSE),IFERROR(INDIRECT("'WCM Calibration Final'!$C$119")&lt;&gt;"",FALSE)),119,0)</x:f>
        <x:v>0</x:v>
      </x:c>
      <x:c r="JB119" t="n">
        <x:f>'Calculations'!JB118+IF('Calculations'!JA119&gt;0,1,0)</x:f>
        <x:v>0</x:v>
      </x:c>
      <x:c r="JC119" t="n">
        <x:f>IF(OR('Calculations'!HF119="",'Calculations'!HF119="!AMBIG"),0,IF('Dashboard'!$B$7="All",1,COUNTIFS('Calculations'!$HO$13:$HO$512,"="&amp;SUBSTITUTE(SUBSTITUTE(SUBSTITUTE('Calculations'!HF119,"~","~~"),"*","~*"),"?","~?"),'Calculations'!$HN$13:$HN$512,"="&amp;SUBSTITUTE(SUBSTITUTE(SUBSTITUTE('Dashboard'!$B$7,"~","~~"),"*","~*"),"?","~?"))+COUNTIFS('Calculations'!$HP$13:$HP$512,"="&amp;SUBSTITUTE(SUBSTITUTE(SUBSTITUTE('Calculations'!HF119,"~","~~"),"*","~*"),"?","~?"),'Calculations'!$HN$13:$HN$512,"="&amp;SUBSTITUTE(SUBSTITUTE(SUBSTITUTE('Dashboard'!$B$7,"~","~~"),"*","~*"),"?","~?"))+COUNTIFS('Calculations'!$HQ$13:$HQ$512,"="&amp;SUBSTITUTE(SUBSTITUTE(SUBSTITUTE('Calculations'!HF119,"~","~~"),"*","~*"),"?","~?"),'Calculations'!$HN$13:$HN$512,"="&amp;SUBSTITUTE(SUBSTITUTE(SUBSTITUTE('Dashboard'!$B$7,"~","~~"),"*","~*"),"?","~?"))+COUNTIFS('Calculations'!$HR$13:$HR$512,"="&amp;SUBSTITUTE(SUBSTITUTE(SUBSTITUTE('Calculations'!HF119,"~","~~"),"*","~*"),"?","~?"),'Calculations'!$HN$13:$HN$512,"="&amp;SUBSTITUTE(SUBSTITUTE(SUBSTITUTE('Dashboard'!$B$7,"~","~~"),"*","~*"),"?","~?"))+COUNTIFS('Calculations'!$HS$13:$HS$512,"="&amp;SUBSTITUTE(SUBSTITUTE(SUBSTITUTE('Calculations'!HF119,"~","~~"),"*","~*"),"?","~?"),'Calculations'!$HN$13:$HN$512,"="&amp;SUBSTITUTE(SUBSTITUTE(SUBSTITUTE('Dashboard'!$B$7,"~","~~"),"*","~*"),"?","~?"))+COUNTIFS('Calculations'!$HT$13:$HT$512,"="&amp;SUBSTITUTE(SUBSTITUTE(SUBSTITUTE('Calculations'!HF119,"~","~~"),"*","~*"),"?","~?"),'Calculations'!$HN$13:$HN$512,"="&amp;SUBSTITUTE(SUBSTITUTE(SUBSTITUTE('Dashboard'!$B$7,"~","~~"),"*","~*"),"?","~?"))+COUNTIFS('Calculations'!$HU$13:$HU$512,"="&amp;SUBSTITUTE(SUBSTITUTE(SUBSTITUTE('Calculations'!HF119,"~","~~"),"*","~*"),"?","~?"),'Calculations'!$HN$13:$HN$512,"="&amp;SUBSTITUTE(SUBSTITUTE(SUBSTITUTE('Dashboard'!$B$7,"~","~~"),"*","~*"),"?","~?"))+COUNTIFS('Calculations'!$HV$13:$HV$512,"="&amp;SUBSTITUTE(SUBSTITUTE(SUBSTITUTE('Calculations'!HF119,"~","~~"),"*","~*"),"?","~?"),'Calculations'!$HN$13:$HN$512,"="&amp;SUBSTITUTE(SUBSTITUTE(SUBSTITUTE('Dashboard'!$B$7,"~","~~"),"*","~*"),"?","~?"))+COUNTIFS('Calculations'!$HW$13:$HW$512,"="&amp;SUBSTITUTE(SUBSTITUTE(SUBSTITUTE('Calculations'!HF119,"~","~~"),"*","~*"),"?","~?"),'Calculations'!$HN$13:$HN$512,"="&amp;SUBSTITUTE(SUBSTITUTE(SUBSTITUTE('Dashboard'!$B$7,"~","~~"),"*","~*"),"?","~?"))+COUNTIFS('Calculations'!$HX$13:$HX$512,"="&amp;SUBSTITUTE(SUBSTITUTE(SUBSTITUTE('Calculations'!HF119,"~","~~"),"*","~*"),"?","~?"),'Calculations'!$HN$13:$HN$512,"="&amp;SUBSTITUTE(SUBSTITUTE(SUBSTITUTE('Dashboard'!$B$7,"~","~~"),"*","~*"),"?","~?"))+COUNTIFS('Calculations'!$HY$13:$HY$512,"="&amp;SUBSTITUTE(SUBSTITUTE(SUBSTITUTE('Calculations'!HF119,"~","~~"),"*","~*"),"?","~?"),'Calculations'!$HN$13:$HN$512,"="&amp;SUBSTITUTE(SUBSTITUTE(SUBSTITUTE('Dashboard'!$B$7,"~","~~"),"*","~*"),"?","~?"))+COUNTIFS('Calculations'!$HZ$13:$HZ$512,"="&amp;SUBSTITUTE(SUBSTITUTE(SUBSTITUTE('Calculations'!HF119,"~","~~"),"*","~*"),"?","~?"),'Calculations'!$HN$13:$HN$512,"="&amp;SUBSTITUTE(SUBSTITUTE(SUBSTITUTE('Dashboard'!$B$7,"~","~~"),"*","~*"),"?","~?"))+COUNTIFS('Calculations'!$IA$13:$IA$512,"="&amp;SUBSTITUTE(SUBSTITUTE(SUBSTITUTE('Calculations'!HF119,"~","~~"),"*","~*"),"?","~?"),'Calculations'!$HN$13:$HN$512,"="&amp;SUBSTITUTE(SUBSTITUTE(SUBSTITUTE('Dashboard'!$B$7,"~","~~"),"*","~*"),"?","~?"))+COUNTIFS('Calculations'!$IB$13:$IB$512,"="&amp;SUBSTITUTE(SUBSTITUTE(SUBSTITUTE('Calculations'!HF119,"~","~~"),"*","~*"),"?","~?"),'Calculations'!$HN$13:$HN$512,"="&amp;SUBSTITUTE(SUBSTITUTE(SUBSTITUTE('Dashboard'!$B$7,"~","~~"),"*","~*"),"?","~?"))+COUNTIFS('Calculations'!$IC$13:$IC$512,"="&amp;SUBSTITUTE(SUBSTITUTE(SUBSTITUTE('Calculations'!HF119,"~","~~"),"*","~*"),"?","~?"),'Calculations'!$HN$13:$HN$512,"="&amp;SUBSTITUTE(SUBSTITUTE(SUBSTITUTE('Dashboard'!$B$7,"~","~~"),"*","~*"),"?","~?"))+COUNTIFS('Calculations'!$ID$13:$ID$512,"="&amp;SUBSTITUTE(SUBSTITUTE(SUBSTITUTE('Calculations'!HF119,"~","~~"),"*","~*"),"?","~?"),'Calculations'!$HN$13:$HN$512,"="&amp;SUBSTITUTE(SUBSTITUTE(SUBSTITUTE('Dashboard'!$B$7,"~","~~"),"*","~*"),"?","~?"))+COUNTIFS('Calculations'!$IE$13:$IE$512,"="&amp;SUBSTITUTE(SUBSTITUTE(SUBSTITUTE('Calculations'!HF119,"~","~~"),"*","~*"),"?","~?"),'Calculations'!$HN$13:$HN$512,"="&amp;SUBSTITUTE(SUBSTITUTE(SUBSTITUTE('Dashboard'!$B$7,"~","~~"),"*","~*"),"?","~?"))+COUNTIFS('Calculations'!$IF$13:$IF$512,"="&amp;SUBSTITUTE(SUBSTITUTE(SUBSTITUTE('Calculations'!HF119,"~","~~"),"*","~*"),"?","~?"),'Calculations'!$HN$13:$HN$512,"="&amp;SUBSTITUTE(SUBSTITUTE(SUBSTITUTE('Dashboard'!$B$7,"~","~~"),"*","~*"),"?","~?"))+COUNTIFS('Calculations'!$IG$13:$IG$512,"="&amp;SUBSTITUTE(SUBSTITUTE(SUBSTITUTE('Calculations'!HF119,"~","~~"),"*","~*"),"?","~?"),'Calculations'!$HN$13:$HN$512,"="&amp;SUBSTITUTE(SUBSTITUTE(SUBSTITUTE('Dashboard'!$B$7,"~","~~"),"*","~*"),"?","~?"))+COUNTIFS('Calculations'!$IH$13:$IH$512,"="&amp;SUBSTITUTE(SUBSTITUTE(SUBSTITUTE('Calculations'!HF119,"~","~~"),"*","~*"),"?","~?"),'Calculations'!$HN$13:$HN$512,"="&amp;SUBSTITUTE(SUBSTITUTE(SUBSTITUTE('Dashboard'!$B$7,"~","~~"),"*","~*"),"?","~?"))))</x:f>
        <x:v>0</x:v>
      </x:c>
      <x:c r="JD119" t="n">
        <x:f>IF('Calculations'!EM119="",0,IF('Dashboard'!$B$7="All",1,IF('Calculations'!HN119='Dashboard'!$B$7,1,0)+IFERROR(INDEX('Calculations'!$JC$13:$JC$512,MATCH('Calculations'!HE119,'Calculations'!$HF$13:$HF$512,0)),0)))</x:f>
        <x:v>0</x:v>
      </x:c>
      <x:c r="JE119" t="n">
        <x:f>IF(AND('Calculations'!EM119&lt;&gt;"",'Calculations'!$JJ$2&lt;&gt;"All",'Calculations'!$JJ$2&lt;&gt;"",'Calculations'!HF119='Calculations'!$JJ$2,'Calculations'!HL119=0,'Calculations'!JD119&gt;0),MAX('Calculations'!$JE$12:JE118)+1,0)</x:f>
        <x:v>0</x:v>
      </x:c>
      <x:c r="JF119" t="str">
        <x:f>IF('Calculations'!EM119="","",IFERROR(IF(INDEX(INDIRECT("'WCM Calibration Final'!$G$1:$G$2000"),'Calculations'!$EM119)="","",TRIM(INDEX(INDIRECT("'WCM Calibration Final'!$G$1:$G$2000"),'Calculations'!$EM119)&amp;"")),""))</x:f>
      </x:c>
      <x:c r="JQ119" t="n">
        <x:f>IF(OR('Calculations'!BM119=0,NOT('Calculations'!$AG$2),'Calculations'!$AG$8&gt;0),0,IF(OR('Dashboard'!$B$7="All",'Calculations'!HN119='Dashboard'!$B$7),IF('Calculations'!$JJ$2="All",1,IF(AND('Calculations'!HF119='Calculations'!$JJ$2,'Calculations'!HL119=0),1,0)),0))</x:f>
        <x:v>0</x:v>
      </x:c>
    </x:row>
    <x:row r="120">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t="n">
        <x:f>IF('Calculations'!$EM120="",0,IF(OR(IFERROR(INDEX(INDIRECT("'WCM Calibration Final'!$A$1:$A$2000"),'Calculations'!$EM120)&lt;&gt;"",FALSE),IFERROR(INDEX(INDIRECT("'WCM Calibration Final'!$B$1:$B$2000"),'Calculations'!$EM120)&lt;&gt;"",FALSE),IFERROR(INDEX(INDIRECT("'WCM Calibration Final'!$C$1:$C$2000"),'Calculations'!$EM120)&lt;&gt;"",FALSE)),1,0))</x:f>
        <x:v>0</x:v>
      </x:c>
      <x:c r="BN120" s="4" t="n">
        <x:f>IF(AND('Calculations'!BM120=1,'Calculations'!$AG$2,'Calculations'!$EN120=1),1,0)</x:f>
        <x:v>0</x:v>
      </x:c>
      <x:c r="BO120" s="4" t="str">
        <x:f>IF('Calculations'!BM120=0,"",IFERROR(IF(AND(VALUE(INDEX(INDIRECT("'WCM Calibration Final'!$K$1:$K$2000"),'Calculations'!$EM120))&gt;=1,VALUE(INDEX(INDIRECT("'WCM Calibration Final'!$K$1:$K$2000"),'Calculations'!$EM120))&lt;=4,MOD(VALUE(INDEX(INDIRECT("'WCM Calibration Final'!$K$1:$K$2000"),'Calculations'!$EM120)),1)=0),VALUE(INDEX(INDIRECT("'WCM Calibration Final'!$K$1:$K$2000"),'Calculations'!$EM120)),""),""))</x:f>
      </x:c>
      <x:c r="BP120" s="4" t="str">
        <x:f>IF('Calculations'!BM120=0,"",IFERROR(IF(AND(VALUE(INDEX(INDIRECT("'WCM Calibration Final'!$L$1:$L$2000"),'Calculations'!$EM120))&gt;=1,VALUE(INDEX(INDIRECT("'WCM Calibration Final'!$L$1:$L$2000"),'Calculations'!$EM120))&lt;=4,MOD(VALUE(INDEX(INDIRECT("'WCM Calibration Final'!$L$1:$L$2000"),'Calculations'!$EM120)),1)=0),VALUE(INDEX(INDIRECT("'WCM Calibration Final'!$L$1:$L$2000"),'Calculations'!$EM120)),""),""))</x:f>
      </x:c>
      <x:c r="BQ120" s="4"/>
      <x:c r="BR120" s="4"/>
      <x:c r="BS120" s="4"/>
      <x:c r="BT120" s="4" t="n">
        <x:f>IF(AND('Calculations'!BM120=1,ISNUMBER('Calculations'!BO120),ISNUMBER('Calculations'!BP120)),1,0)</x:f>
        <x:v>0</x:v>
      </x:c>
      <x:c r="BU120" s="4" t="str">
        <x:f>IF('Calculations'!BM120=0,"",'Calculations'!$EO120)</x:f>
      </x:c>
      <x:c r="BV120" s="4" t="str">
        <x:f>IF('Calculations'!BM120=0,"",IFERROR(IF(OR(INDEX(INDIRECT("'WCM Calibration Final'!$H$1:$H$2000"),'Calculations'!$EM120)="MANAGING DIRECTOR",INDEX(INDIRECT("'WCM Calibration Final'!$H$1:$H$2000"),'Calculations'!$EM120)="DIRECTOR",INDEX(INDIRECT("'WCM Calibration Final'!$H$1:$H$2000"),'Calculations'!$EM120)="SENIOR VICE PRESIDENT",INDEX(INDIRECT("'WCM Calibration Final'!$H$1:$H$2000"),'Calculations'!$EM120)="VICE PRESIDENT",INDEX(INDIRECT("'WCM Calibration Final'!$H$1:$H$2000"),'Calculations'!$EM120)="ASSISTANT VICE PRESIDENT",INDEX(INDIRECT("'WCM Calibration Final'!$H$1:$H$2000"),'Calculations'!$EM120)="OFFICER"),UPPER(INDEX(INDIRECT("'WCM Calibration Final'!$H$1:$H$2000"),'Calculations'!$EM120)),"Other"),"Other"))</x:f>
      </x:c>
      <x:c r="BW120" s="4"/>
      <x:c r="BX120" s="4"/>
      <x:c r="BY120" s="4" t="n">
        <x:f>IF(AND('Calculations'!BM120=1,'Calculations'!BU120&lt;&gt;"",COUNTIF('Calculations'!$BU$12:BU120,'Calculations'!BU120)=1),MAX('Calculations'!$BY$11:BY119)+1,0)</x:f>
        <x:v>0</x:v>
      </x:c>
      <x:c r="BZ120" s="4" t="str">
        <x:f>IF('Dashboard'!$E$67="What",'Calculations'!BO120,'Calculations'!BP120)</x:f>
      </x:c>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t="str">
        <x:f>IF(109&gt;MAX('Calculations'!$HI$13:$HI$512),"",INDEX('Calculations'!$HN$13:$HN$512,MATCH(109,'Calculations'!$HI$13:$HI$512,0)))</x:f>
      </x:c>
      <x:c r="DB120" s="4" t="str">
        <x:f>IF(109&gt;MAX('Calculations'!$HH$13:$HH$512),"",INDEX('Calculations'!$HJ$13:$HJ$512,MATCH(109,'Calculations'!$HH$13:$HH$512,0)))</x:f>
      </x:c>
      <x:c r="DC120" s="4" t="str">
        <x:f>IF(ROW()-11&gt;MAX('Calculations'!$BY$13:$BY$512),"",INDEX('Calculations'!$BU$13:$BU$512,MATCH(ROW()-11,'Calculations'!$BY$13:$BY$512,0)))</x:f>
      </x:c>
      <x:c r="DD120" s="4" t="str">
        <x:f>IF(109&gt;MAX('Calculations'!$IK$13:$IK$512),"",INDEX('Calculations'!$HK$13:$HK$512,MATCH(109,'Calculations'!$IK$13:$IK$512,0)))</x:f>
      </x:c>
      <x:c r="DE120" s="4" t="str">
        <x:f>'Calculations'!DC120</x:f>
      </x:c>
      <x:c r="DF120" s="4" t="str">
        <x:f>IF('Calculations'!DE120="","",COUNTIFS('Calculations'!$BN$13:$BN$512,1,'Calculations'!$BU$13:$BU$512,'Calculations'!DE120))</x:f>
      </x:c>
      <x:c r="DG120" s="4" t="str">
        <x:f>IF('Calculations'!DE120="","",COUNTIFS('Calculations'!$BN$13:$BN$512,1,'Calculations'!$BU$13:$BU$512,'Calculations'!DE120,'Calculations'!$BT$13:$BT$512,1))</x:f>
      </x:c>
      <x:c r="DH120" s="4" t="str">
        <x:f>IF('Calculations'!DE120="","",'Calculations'!DF120-'Calculations'!DG120)</x:f>
      </x:c>
      <x:c r="DI120" s="4" t="str">
        <x:f>IF(OR('Calculations'!DE120="",'Calculations'!DF120=0),"",'Calculations'!DG120/'Calculations'!DF120)</x:f>
      </x:c>
      <x:c r="DJ120" s="4" t="str">
        <x:f>IF('Calculations'!DE120="","",COUNTIFS('Calculations'!$BN$13:$BN$512,1,'Calculations'!$BU$13:$BU$512,'Calculations'!DE120,'Calculations'!$BT$13:$BT$512,1,'Calculations'!$EE$13:$EE$512,"High"))</x:f>
      </x:c>
      <x:c r="DK120" s="4" t="str">
        <x:f>IF('Calculations'!DE120="","",COUNTIFS('Calculations'!$BN$13:$BN$512,1,'Calculations'!$BU$13:$BU$512,'Calculations'!DE120,'Calculations'!$BT$13:$BT$512,1,'Calculations'!$EE$13:$EE$512,"Strong"))</x:f>
      </x:c>
      <x:c r="DL120" s="4" t="str">
        <x:f>IF('Calculations'!DE120="","",COUNTIFS('Calculations'!$BN$13:$BN$512,1,'Calculations'!$BU$13:$BU$512,'Calculations'!DE120,'Calculations'!$BT$13:$BT$512,1,'Calculations'!$EE$13:$EE$512,"Solid"))</x:f>
      </x:c>
      <x:c r="DM120" s="4" t="str">
        <x:f>IF('Calculations'!DE120="","",COUNTIFS('Calculations'!$BN$13:$BN$512,1,'Calculations'!$BU$13:$BU$512,'Calculations'!DE120,'Calculations'!$BT$13:$BT$512,1,'Calculations'!$EE$13:$EE$512,"Low"))</x:f>
      </x:c>
      <x:c r="DN120" s="4" t="str">
        <x:f>IF('Calculations'!DE120="","",COUNTIFS('Calculations'!$BN$13:$BN$512,1,'Calculations'!$BU$13:$BU$512,'Calculations'!DE120,'Calculations'!$EP$13:$EP$512,1))</x:f>
      </x:c>
      <x:c r="DO120" s="4" t="str">
        <x:f>IF(OR('Calculations'!DE120="",'Calculations'!DG120=0),"",('Calculations'!DJ120+'Calculations'!DK120)/'Calculations'!DG120)</x:f>
      </x:c>
      <x:c r="DP120" s="4" t="n">
        <x:f>IF(AND('Calculations'!DE120&lt;&gt;"",'Calculations'!DF120&gt;0),COUNTIF('Calculations'!$DF$12:DF120,"&gt;0"),0)</x:f>
        <x:v>0</x:v>
      </x:c>
      <x:c r="DQ120" s="4" t="str">
        <x:f>IF(109&gt;MAX('Calculations'!$HH$13:$HH$512),"",INDEX('Calculations'!$HF$13:$HF$512,MATCH(109,'Calculations'!$HH$13:$HH$512,0)))</x:f>
      </x:c>
      <x:c r="DR120" s="4" t="str">
        <x:f>IF(109&gt;MAX('Calculations'!$IK$13:$IK$512),"",INDEX('Calculations'!$HE$13:$HE$512,MATCH(109,'Calculations'!$IK$13:$IK$512,0)))</x:f>
      </x:c>
      <x:c r="DS120" s="4"/>
      <x:c r="DT120" s="4"/>
      <x:c r="DU120" s="4"/>
      <x:c r="DV120" s="4"/>
      <x:c r="DW120" s="4"/>
      <x:c r="DX120" s="4"/>
      <x:c r="DY120" s="4"/>
      <x:c r="DZ120" s="4"/>
      <x:c r="EA120" s="4"/>
      <x:c r="EB120" s="4"/>
      <x:c r="EC120" s="4"/>
      <x:c r="ED120" s="4"/>
      <x:c r="EE120" s="4" t="str">
        <x:f>IF('Calculations'!BT120=0,"Not Rated",IF(OR('Calculations'!BO120&gt;=4,'Calculations'!BP120&gt;=4),"Low",IF('Calculations'!BO120+'Calculations'!BP120&lt;=3,"High",IF('Calculations'!BO120+'Calculations'!BP120&lt;=4,"Strong","Solid"))))</x:f>
        <x:v>Not Rated</x:v>
      </x:c>
      <x:c r="EF120" s="4"/>
      <x:c r="EG120" s="4"/>
      <x:c r="EH120" s="4"/>
      <x:c r="EI120" s="4"/>
      <x:c r="EJ120" s="4"/>
      <x:c r="EK120" s="4"/>
      <x:c r="EL120" s="4"/>
      <x:c r="EM120" s="4" t="str">
        <x:f>IF(108&gt;'Calculations'!$JB$2000,"",INDEX('Calculations'!$JA$12:$JA$2000,MATCH(108,'Calculations'!$JB$12:$JB$2000,0)))</x:f>
      </x:c>
      <x:c r="EN120" s="4" t="n">
        <x:f>IF(OR('Calculations'!EM120="",'Calculations'!$AG$8&gt;0,AND('Calculations'!$EF$2&lt;&gt;"All",'Calculations'!HE120='Calculations'!$EF$2),AND('Calculations'!$EF$3&lt;&gt;"All",'Calculations'!HE120='Calculations'!$EF$3)),0,IF(OR('Dashboard'!$B$7="All",'Calculations'!HN120='Dashboard'!$B$7),IF('Calculations'!$EF$2="All",1,IF('Calculations'!HL120&gt;0,0,IF(COUNTIF('Calculations'!HO120:II120,"="&amp;SUBSTITUTE(SUBSTITUTE(SUBSTITUTE('Calculations'!$EF$2,"~","~~"),"*","~*"),"?","~?"))=0,0,IF('Calculations'!$EF$3="All",1,IF(COUNTIF('Calculations'!HO120:II120,"="&amp;SUBSTITUTE(SUBSTITUTE(SUBSTITUTE('Calculations'!$EF$3,"~","~~"),"*","~*"),"?","~?"))&gt;0,1,0))))),0))</x:f>
        <x:v>0</x:v>
      </x:c>
      <x:c r="EO120" s="4" t="str">
        <x:f>IF('Calculations'!IJ120="","",IF('Calculations'!IJ120="!UNRESOLVED","Unresolved hierarchy",IFERROR(INDEX('Calculations'!$HK$13:$HK$512,MATCH('Calculations'!IJ120,'Calculations'!$HE$13:$HE$512,0)),IFERROR(INDEX('Calculations'!$HJ$13:$HJ$512,MATCH('Calculations'!IJ120,'Calculations'!$HF$13:$HF$512,0)),'Calculations'!IJ120))))</x:f>
      </x:c>
      <x:c r="EP120" s="4" t="n">
        <x:f>IF(AND('Calculations'!EM120&lt;&gt;"",'Calculations'!HF120='Calculations'!IJ120),1,0)</x:f>
        <x:v>0</x:v>
      </x:c>
      <x:c r="EQ120" s="4"/>
      <x:c r="ER120" s="4"/>
      <x:c r="ES120" s="4"/>
      <x:c r="ET120" s="4"/>
      <x:c r="EU120" s="4"/>
      <x:c r="EV120" s="4"/>
      <x:c r="EW120" s="4"/>
      <x:c r="EX120" s="4"/>
      <x:c r="EY120" s="4"/>
      <x:c r="EZ120" s="4"/>
      <x:c r="FA120" s="4"/>
      <x:c r="FB120" s="4"/>
      <x:c r="FC120" s="4"/>
      <x:c r="FD120" s="4"/>
      <x:c r="FE120" s="4"/>
      <x:c r="FF120" s="4"/>
      <x:c r="FG120" s="4"/>
      <x:c r="FH120" s="4"/>
      <x:c r="FI120" s="4"/>
      <x:c r="FJ120" s="4"/>
      <x:c r="FK120" s="4"/>
      <x:c r="FL120" s="4"/>
      <x:c r="FM120" s="4"/>
      <x:c r="FN120" s="4"/>
      <x:c r="FO120" s="4"/>
      <x:c r="GA120" s="71"/>
      <x:c r="GB120" s="71"/>
      <x:c r="GC120" s="71"/>
      <x:c r="GD120" s="71"/>
      <x:c r="GE120" s="71"/>
      <x:c r="GF120" s="71"/>
      <x:c r="GG120" s="71"/>
      <x:c r="GH120" s="71"/>
      <x:c r="GI120" s="71"/>
      <x:c r="GJ120" s="71"/>
      <x:c r="GK120" s="71"/>
      <x:c r="GL120" s="71"/>
      <x:c r="GM120" s="71"/>
      <x:c r="GN120" s="71"/>
      <x:c r="GO120" s="71"/>
      <x:c r="GP120" s="71"/>
      <x:c r="GQ120" s="71"/>
      <x:c r="GR120" s="71"/>
      <x:c r="GS120" s="71"/>
      <x:c r="GT120" s="71"/>
      <x:c r="GU120" s="71"/>
      <x:c r="GV120" s="71"/>
      <x:c r="GW120" s="71"/>
      <x:c r="GX120" s="71"/>
      <x:c r="GY120" s="71"/>
      <x:c r="GZ120" s="71"/>
      <x:c r="HA120" s="71"/>
      <x:c r="HB120" s="71"/>
      <x:c r="HC120" s="71"/>
      <x:c r="HD120" s="71"/>
      <x:c r="HE120" t="str">
        <x:f>IF('Calculations'!EM120="","",IF(IFERROR(IF(INDEX(INDIRECT("'WCM Calibration Final'!$A$1:$A$2000"),'Calculations'!$EM120)="","",TRIM(INDEX(INDIRECT("'WCM Calibration Final'!$A$1:$A$2000"),'Calculations'!$EM120)&amp;"")),"")&lt;&gt;"","G:"&amp;IFERROR(TEXT(1*INDEX(INDIRECT("'WCM Calibration Final'!$A$1:$A$2000"),'Calculations'!$EM120),"0"),UPPER(IFERROR(IF(INDEX(INDIRECT("'WCM Calibration Final'!$A$1:$A$2000"),'Calculations'!$EM120)="","",TRIM(INDEX(INDIRECT("'WCM Calibration Final'!$A$1:$A$2000"),'Calculations'!$EM120)&amp;"")),""))),IF(IFERROR(IF(INDEX(INDIRECT("'WCM Calibration Final'!$C$1:$C$2000"),'Calculations'!$EM120)="","",TRIM(INDEX(INDIRECT("'WCM Calibration Final'!$C$1:$C$2000"),'Calculations'!$EM120)&amp;"")),"")&lt;&gt;"","S:"&amp;UPPER(IFERROR(IF(INDEX(INDIRECT("'WCM Calibration Final'!$C$1:$C$2000"),'Calculations'!$EM120)="","",TRIM(INDEX(INDIRECT("'WCM Calibration Final'!$C$1:$C$2000"),'Calculations'!$EM120)&amp;"")),"")),"R:"&amp;'Calculations'!EM120)))</x:f>
      </x:c>
      <x:c r="HF120" t="str">
        <x:f>IF('Calculations'!EM120="","",IF(IFERROR(IF(INDEX(INDIRECT("'WCM Calibration Final'!$D$1:$D$2000"),'Calculations'!$EM120)="","",TRIM(INDEX(INDIRECT("'WCM Calibration Final'!$D$1:$D$2000"),'Calculations'!$EM120)&amp;"")),"")&lt;&gt;"","G:"&amp;IFERROR(TEXT(1*INDEX(INDIRECT("'WCM Calibration Final'!$D$1:$D$2000"),'Calculations'!$EM120),"0"),UPPER(IFERROR(IF(INDEX(INDIRECT("'WCM Calibration Final'!$D$1:$D$2000"),'Calculations'!$EM120)="","",TRIM(INDEX(INDIRECT("'WCM Calibration Final'!$D$1:$D$2000"),'Calculations'!$EM120)&amp;"")),""))),IF(IFERROR(IF(INDEX(INDIRECT("'WCM Calibration Final'!$E$1:$E$2000"),'Calculations'!$EM120)="","",TRIM(INDEX(INDIRECT("'WCM Calibration Final'!$E$1:$E$2000"),'Calculations'!$EM120)&amp;"")),"")="","",IF(COUNTIF('Calculations'!$HG$13:$HG$512,"="&amp;SUBSTITUTE(SUBSTITUTE(SUBSTITUTE(IFERROR(IF(INDEX(INDIRECT("'WCM Calibration Final'!$E$1:$E$2000"),'Calculations'!$EM120)="","",TRIM(INDEX(INDIRECT("'WCM Calibration Final'!$E$1:$E$2000"),'Calculations'!$EM120)&amp;"")),""),"~","~~"),"*","~*"),"?","~?"))=1,INDEX('Calculations'!$HE$13:$HE$512,MATCH(IFERROR(IF(INDEX(INDIRECT("'WCM Calibration Final'!$E$1:$E$2000"),'Calculations'!$EM120)="","",TRIM(INDEX(INDIRECT("'WCM Calibration Final'!$E$1:$E$2000"),'Calculations'!$EM120)&amp;"")),""),'Calculations'!$HG$13:$HG$512,0)),IF(COUNTIF('Calculations'!$HG$13:$HG$512,"="&amp;SUBSTITUTE(SUBSTITUTE(SUBSTITUTE(IFERROR(IF(INDEX(INDIRECT("'WCM Calibration Final'!$E$1:$E$2000"),'Calculations'!$EM120)="","",TRIM(INDEX(INDIRECT("'WCM Calibration Final'!$E$1:$E$2000"),'Calculations'!$EM120)&amp;"")),""),"~","~~"),"*","~*"),"?","~?"))&gt;1,"!AMBIG","X:"&amp;IFERROR(IF(INDEX(INDIRECT("'WCM Calibration Final'!$E$1:$E$2000"),'Calculations'!$EM120)="","",TRIM(INDEX(INDIRECT("'WCM Calibration Final'!$E$1:$E$2000"),'Calculations'!$EM120)&amp;"")),""))))))</x:f>
      </x:c>
      <x:c r="HG120" t="str">
        <x:f>IF('Calculations'!EM120="","",IFERROR(IF(INDEX(INDIRECT("'WCM Calibration Final'!$B$1:$B$2000"),'Calculations'!$EM120)="","",TRIM(INDEX(INDIRECT("'WCM Calibration Final'!$B$1:$B$2000"),'Calculations'!$EM120)&amp;"")),""))</x:f>
      </x:c>
      <x:c r="HH120" t="n">
        <x:f>IF(AND('Calculations'!JC120&gt;0,COUNTIF('Calculations'!$HF$12:HF120,"="&amp;SUBSTITUTE(SUBSTITUTE(SUBSTITUTE('Calculations'!HF120,"~","~~"),"*","~*"),"?","~?"))=1),MAX('Calculations'!$HH$12:HH119)+1,0)</x:f>
        <x:v>0</x:v>
      </x:c>
      <x:c r="HI120" t="n">
        <x:f>IF(AND('Calculations'!HN120&lt;&gt;"",COUNTIF('Calculations'!$HN$12:HN120,"="&amp;SUBSTITUTE(SUBSTITUTE(SUBSTITUTE('Calculations'!HN120,"~","~~"),"*","~*"),"?","~?"))=1),MAX('Calculations'!$HI$12:HI119)+1,0)</x:f>
        <x:v>0</x:v>
      </x:c>
      <x:c r="HJ120" t="str">
        <x:f>IF('Calculations'!HF120="","",IF(COUNTIF('Calculations'!$HE$13:$HE$512,"="&amp;SUBSTITUTE(SUBSTITUTE(SUBSTITUTE('Calculations'!HF120,"~","~~"),"*","~*"),"?","~?"))=1,INDEX('Calculations'!$HK$13:$HK$512,MATCH('Calculations'!HF120,'Calculations'!$HE$13:$HE$512,0)),IFERROR(IF(INDEX(INDIRECT("'WCM Calibration Final'!$E$1:$E$2000"),'Calculations'!$EM120)="","",TRIM(INDEX(INDIRECT("'WCM Calibration Final'!$E$1:$E$2000"),'Calculations'!$EM120)&amp;"")),"")&amp;" ["&amp;'Calculations'!HF120&amp;"]"))</x:f>
      </x:c>
      <x:c r="HK120" t="str">
        <x:f>IF('Calculations'!EM120="","",'Calculations'!HG120&amp;" ["&amp;'Calculations'!HE120&amp;"]")</x:f>
      </x:c>
      <x:c r="HL120" t="n">
        <x:f>IF('Calculations'!EM120="",0,IF(OR('Calculations'!II120&lt;&gt;"",COUNTIF('Calculations'!$HE$13:$HE$512,"="&amp;SUBSTITUTE(SUBSTITUTE(SUBSTITUTE('Calculations'!HE120,"~","~~"),"*","~*"),"?","~?"))&gt;1),1,0))</x:f>
        <x:v>0</x:v>
      </x:c>
      <x:c r="HM120" t="str">
        <x:f>IF('Calculations'!EM120="","",IF('Calculations'!HL120=1,"!UNRESOLVED",IF('Calculations'!IH120&lt;&gt;"",'Calculations'!IH120,IF('Calculations'!IG120&lt;&gt;"",'Calculations'!IG120,IF('Calculations'!IF120&lt;&gt;"",'Calculations'!IF120,IF('Calculations'!IE120&lt;&gt;"",'Calculations'!IE120,IF('Calculations'!ID120&lt;&gt;"",'Calculations'!ID120,IF('Calculations'!IC120&lt;&gt;"",'Calculations'!IC120,IF('Calculations'!IB120&lt;&gt;"",'Calculations'!IB120,IF('Calculations'!IA120&lt;&gt;"",'Calculations'!IA120,IF('Calculations'!HZ120&lt;&gt;"",'Calculations'!HZ120,IF('Calculations'!HY120&lt;&gt;"",'Calculations'!HY120,IF('Calculations'!HX120&lt;&gt;"",'Calculations'!HX120,IF('Calculations'!HW120&lt;&gt;"",'Calculations'!HW120,IF('Calculations'!HV120&lt;&gt;"",'Calculations'!HV120,IF('Calculations'!HU120&lt;&gt;"",'Calculations'!HU120,IF('Calculations'!HT120&lt;&gt;"",'Calculations'!HT120,IF('Calculations'!HS120&lt;&gt;"",'Calculations'!HS120,IF('Calculations'!HR120&lt;&gt;"",'Calculations'!HR120,IF('Calculations'!HQ120&lt;&gt;"",'Calculations'!HQ120,IF('Calculations'!HP120&lt;&gt;"",'Calculations'!HP120,IF('Calculations'!HO120&lt;&gt;"",'Calculations'!HO120,'Calculations'!HE120))))))))))))))))))))))</x:f>
      </x:c>
      <x:c r="HN120" t="str">
        <x:f>IF('Calculations'!EM120="","",IF(IFERROR(IF(INDEX(INDIRECT("'WCM Calibration Final'!$F$1:$F$2000"),'Calculations'!$EM120)="","",TRIM(INDEX(INDIRECT("'WCM Calibration Final'!$F$1:$F$2000"),'Calculations'!$EM120)&amp;"")),"")="","(Blank)",IFERROR(IF(INDEX(INDIRECT("'WCM Calibration Final'!$F$1:$F$2000"),'Calculations'!$EM120)="","",TRIM(INDEX(INDIRECT("'WCM Calibration Final'!$F$1:$F$2000"),'Calculations'!$EM120)&amp;"")),"")))</x:f>
      </x:c>
      <x:c r="HO120" t="str">
        <x:f>'Calculations'!HF120</x:f>
      </x:c>
      <x:c r="HP120" t="str">
        <x:f>IF('Calculations'!HO120="","",IF('Calculations'!HO120="!AMBIG","!AMBIG",IF(COUNTIF('Calculations'!$HE$13:$HE$512,"="&amp;SUBSTITUTE(SUBSTITUTE(SUBSTITUTE('Calculations'!HO120,"~","~~"),"*","~*"),"?","~?"))&gt;1,"!AMBIG",IFERROR(INDEX('Calculations'!$HF$13:$HF$512,MATCH('Calculations'!HO120,'Calculations'!$HE$13:$HE$512,0)),""))))</x:f>
      </x:c>
      <x:c r="HQ120" t="str">
        <x:f>IF('Calculations'!HP120="","",IF('Calculations'!HP120="!AMBIG","!AMBIG",IF(COUNTIF('Calculations'!$HE$13:$HE$512,"="&amp;SUBSTITUTE(SUBSTITUTE(SUBSTITUTE('Calculations'!HP120,"~","~~"),"*","~*"),"?","~?"))&gt;1,"!AMBIG",IFERROR(INDEX('Calculations'!$HF$13:$HF$512,MATCH('Calculations'!HP120,'Calculations'!$HE$13:$HE$512,0)),""))))</x:f>
      </x:c>
      <x:c r="HR120" t="str">
        <x:f>IF('Calculations'!HQ120="","",IF('Calculations'!HQ120="!AMBIG","!AMBIG",IF(COUNTIF('Calculations'!$HE$13:$HE$512,"="&amp;SUBSTITUTE(SUBSTITUTE(SUBSTITUTE('Calculations'!HQ120,"~","~~"),"*","~*"),"?","~?"))&gt;1,"!AMBIG",IFERROR(INDEX('Calculations'!$HF$13:$HF$512,MATCH('Calculations'!HQ120,'Calculations'!$HE$13:$HE$512,0)),""))))</x:f>
      </x:c>
      <x:c r="HS120" t="str">
        <x:f>IF('Calculations'!HR120="","",IF('Calculations'!HR120="!AMBIG","!AMBIG",IF(COUNTIF('Calculations'!$HE$13:$HE$512,"="&amp;SUBSTITUTE(SUBSTITUTE(SUBSTITUTE('Calculations'!HR120,"~","~~"),"*","~*"),"?","~?"))&gt;1,"!AMBIG",IFERROR(INDEX('Calculations'!$HF$13:$HF$512,MATCH('Calculations'!HR120,'Calculations'!$HE$13:$HE$512,0)),""))))</x:f>
      </x:c>
      <x:c r="HT120" t="str">
        <x:f>IF('Calculations'!HS120="","",IF('Calculations'!HS120="!AMBIG","!AMBIG",IF(COUNTIF('Calculations'!$HE$13:$HE$512,"="&amp;SUBSTITUTE(SUBSTITUTE(SUBSTITUTE('Calculations'!HS120,"~","~~"),"*","~*"),"?","~?"))&gt;1,"!AMBIG",IFERROR(INDEX('Calculations'!$HF$13:$HF$512,MATCH('Calculations'!HS120,'Calculations'!$HE$13:$HE$512,0)),""))))</x:f>
      </x:c>
      <x:c r="HU120" t="str">
        <x:f>IF('Calculations'!HT120="","",IF('Calculations'!HT120="!AMBIG","!AMBIG",IF(COUNTIF('Calculations'!$HE$13:$HE$512,"="&amp;SUBSTITUTE(SUBSTITUTE(SUBSTITUTE('Calculations'!HT120,"~","~~"),"*","~*"),"?","~?"))&gt;1,"!AMBIG",IFERROR(INDEX('Calculations'!$HF$13:$HF$512,MATCH('Calculations'!HT120,'Calculations'!$HE$13:$HE$512,0)),""))))</x:f>
      </x:c>
      <x:c r="HV120" t="str">
        <x:f>IF('Calculations'!HU120="","",IF('Calculations'!HU120="!AMBIG","!AMBIG",IF(COUNTIF('Calculations'!$HE$13:$HE$512,"="&amp;SUBSTITUTE(SUBSTITUTE(SUBSTITUTE('Calculations'!HU120,"~","~~"),"*","~*"),"?","~?"))&gt;1,"!AMBIG",IFERROR(INDEX('Calculations'!$HF$13:$HF$512,MATCH('Calculations'!HU120,'Calculations'!$HE$13:$HE$512,0)),""))))</x:f>
      </x:c>
      <x:c r="HW120" t="str">
        <x:f>IF('Calculations'!HV120="","",IF('Calculations'!HV120="!AMBIG","!AMBIG",IF(COUNTIF('Calculations'!$HE$13:$HE$512,"="&amp;SUBSTITUTE(SUBSTITUTE(SUBSTITUTE('Calculations'!HV120,"~","~~"),"*","~*"),"?","~?"))&gt;1,"!AMBIG",IFERROR(INDEX('Calculations'!$HF$13:$HF$512,MATCH('Calculations'!HV120,'Calculations'!$HE$13:$HE$512,0)),""))))</x:f>
      </x:c>
      <x:c r="HX120" t="str">
        <x:f>IF('Calculations'!HW120="","",IF('Calculations'!HW120="!AMBIG","!AMBIG",IF(COUNTIF('Calculations'!$HE$13:$HE$512,"="&amp;SUBSTITUTE(SUBSTITUTE(SUBSTITUTE('Calculations'!HW120,"~","~~"),"*","~*"),"?","~?"))&gt;1,"!AMBIG",IFERROR(INDEX('Calculations'!$HF$13:$HF$512,MATCH('Calculations'!HW120,'Calculations'!$HE$13:$HE$512,0)),""))))</x:f>
      </x:c>
      <x:c r="HY120" t="str">
        <x:f>IF('Calculations'!HX120="","",IF('Calculations'!HX120="!AMBIG","!AMBIG",IF(COUNTIF('Calculations'!$HE$13:$HE$512,"="&amp;SUBSTITUTE(SUBSTITUTE(SUBSTITUTE('Calculations'!HX120,"~","~~"),"*","~*"),"?","~?"))&gt;1,"!AMBIG",IFERROR(INDEX('Calculations'!$HF$13:$HF$512,MATCH('Calculations'!HX120,'Calculations'!$HE$13:$HE$512,0)),""))))</x:f>
      </x:c>
      <x:c r="HZ120" t="str">
        <x:f>IF('Calculations'!HY120="","",IF('Calculations'!HY120="!AMBIG","!AMBIG",IF(COUNTIF('Calculations'!$HE$13:$HE$512,"="&amp;SUBSTITUTE(SUBSTITUTE(SUBSTITUTE('Calculations'!HY120,"~","~~"),"*","~*"),"?","~?"))&gt;1,"!AMBIG",IFERROR(INDEX('Calculations'!$HF$13:$HF$512,MATCH('Calculations'!HY120,'Calculations'!$HE$13:$HE$512,0)),""))))</x:f>
      </x:c>
      <x:c r="IA120" t="str">
        <x:f>IF('Calculations'!HZ120="","",IF('Calculations'!HZ120="!AMBIG","!AMBIG",IF(COUNTIF('Calculations'!$HE$13:$HE$512,"="&amp;SUBSTITUTE(SUBSTITUTE(SUBSTITUTE('Calculations'!HZ120,"~","~~"),"*","~*"),"?","~?"))&gt;1,"!AMBIG",IFERROR(INDEX('Calculations'!$HF$13:$HF$512,MATCH('Calculations'!HZ120,'Calculations'!$HE$13:$HE$512,0)),""))))</x:f>
      </x:c>
      <x:c r="IB120" t="str">
        <x:f>IF('Calculations'!IA120="","",IF('Calculations'!IA120="!AMBIG","!AMBIG",IF(COUNTIF('Calculations'!$HE$13:$HE$512,"="&amp;SUBSTITUTE(SUBSTITUTE(SUBSTITUTE('Calculations'!IA120,"~","~~"),"*","~*"),"?","~?"))&gt;1,"!AMBIG",IFERROR(INDEX('Calculations'!$HF$13:$HF$512,MATCH('Calculations'!IA120,'Calculations'!$HE$13:$HE$512,0)),""))))</x:f>
      </x:c>
      <x:c r="IC120" t="str">
        <x:f>IF('Calculations'!IB120="","",IF('Calculations'!IB120="!AMBIG","!AMBIG",IF(COUNTIF('Calculations'!$HE$13:$HE$512,"="&amp;SUBSTITUTE(SUBSTITUTE(SUBSTITUTE('Calculations'!IB120,"~","~~"),"*","~*"),"?","~?"))&gt;1,"!AMBIG",IFERROR(INDEX('Calculations'!$HF$13:$HF$512,MATCH('Calculations'!IB120,'Calculations'!$HE$13:$HE$512,0)),""))))</x:f>
      </x:c>
      <x:c r="ID120" t="str">
        <x:f>IF('Calculations'!IC120="","",IF('Calculations'!IC120="!AMBIG","!AMBIG",IF(COUNTIF('Calculations'!$HE$13:$HE$512,"="&amp;SUBSTITUTE(SUBSTITUTE(SUBSTITUTE('Calculations'!IC120,"~","~~"),"*","~*"),"?","~?"))&gt;1,"!AMBIG",IFERROR(INDEX('Calculations'!$HF$13:$HF$512,MATCH('Calculations'!IC120,'Calculations'!$HE$13:$HE$512,0)),""))))</x:f>
      </x:c>
      <x:c r="IE120" t="str">
        <x:f>IF('Calculations'!ID120="","",IF('Calculations'!ID120="!AMBIG","!AMBIG",IF(COUNTIF('Calculations'!$HE$13:$HE$512,"="&amp;SUBSTITUTE(SUBSTITUTE(SUBSTITUTE('Calculations'!ID120,"~","~~"),"*","~*"),"?","~?"))&gt;1,"!AMBIG",IFERROR(INDEX('Calculations'!$HF$13:$HF$512,MATCH('Calculations'!ID120,'Calculations'!$HE$13:$HE$512,0)),""))))</x:f>
      </x:c>
      <x:c r="IF120" t="str">
        <x:f>IF('Calculations'!IE120="","",IF('Calculations'!IE120="!AMBIG","!AMBIG",IF(COUNTIF('Calculations'!$HE$13:$HE$512,"="&amp;SUBSTITUTE(SUBSTITUTE(SUBSTITUTE('Calculations'!IE120,"~","~~"),"*","~*"),"?","~?"))&gt;1,"!AMBIG",IFERROR(INDEX('Calculations'!$HF$13:$HF$512,MATCH('Calculations'!IE120,'Calculations'!$HE$13:$HE$512,0)),""))))</x:f>
      </x:c>
      <x:c r="IG120" t="str">
        <x:f>IF('Calculations'!IF120="","",IF('Calculations'!IF120="!AMBIG","!AMBIG",IF(COUNTIF('Calculations'!$HE$13:$HE$512,"="&amp;SUBSTITUTE(SUBSTITUTE(SUBSTITUTE('Calculations'!IF120,"~","~~"),"*","~*"),"?","~?"))&gt;1,"!AMBIG",IFERROR(INDEX('Calculations'!$HF$13:$HF$512,MATCH('Calculations'!IF120,'Calculations'!$HE$13:$HE$512,0)),""))))</x:f>
      </x:c>
      <x:c r="IH120" t="str">
        <x:f>IF('Calculations'!IG120="","",IF('Calculations'!IG120="!AMBIG","!AMBIG",IF(COUNTIF('Calculations'!$HE$13:$HE$512,"="&amp;SUBSTITUTE(SUBSTITUTE(SUBSTITUTE('Calculations'!IG120,"~","~~"),"*","~*"),"?","~?"))&gt;1,"!AMBIG",IFERROR(INDEX('Calculations'!$HF$13:$HF$512,MATCH('Calculations'!IG120,'Calculations'!$HE$13:$HE$512,0)),""))))</x:f>
      </x:c>
      <x:c r="II120" t="str">
        <x:f>IF('Calculations'!IH120="","",IF('Calculations'!IH120="!AMBIG","!AMBIG",IF(COUNTIF('Calculations'!$HE$13:$HE$512,"="&amp;SUBSTITUTE(SUBSTITUTE(SUBSTITUTE('Calculations'!IH120,"~","~~"),"*","~*"),"?","~?"))&gt;1,"!AMBIG",IFERROR(INDEX('Calculations'!$HF$13:$HF$512,MATCH('Calculations'!IH120,'Calculations'!$HE$13:$HE$512,0)),""))))</x:f>
      </x:c>
      <x:c r="IJ120" t="str">
        <x:f>IF('Calculations'!EM120="","",IF('Calculations'!$EF$2="All",'Calculations'!HM120,IF('Calculations'!HL120=1,"",IFERROR(IF(MATCH('Calculations'!$EF$2,'Calculations'!HO120:II120,0)=1,'Calculations'!HE120,INDEX('Calculations'!HO120:II120,1,MATCH('Calculations'!$EF$2,'Calculations'!HO120:II120,0)-1)),""))))</x:f>
      </x:c>
      <x:c r="IK120" t="n">
        <x:f>IF(AND('Calculations'!EM120&lt;&gt;"",'Calculations'!$EF$2&lt;&gt;"All",'Calculations'!HF120='Calculations'!$EF$2,'Calculations'!HL120=0,'Calculations'!JD120&gt;0),MAX('Calculations'!$IK$12:IK119)+1,0)</x:f>
        <x:v>0</x:v>
      </x:c>
      <x:c r="JA120" t="n">
        <x:f>IF(OR(IFERROR(INDIRECT("'WCM Calibration Final'!$A$120")&lt;&gt;"",FALSE),IFERROR(INDIRECT("'WCM Calibration Final'!$B$120")&lt;&gt;"",FALSE),IFERROR(INDIRECT("'WCM Calibration Final'!$C$120")&lt;&gt;"",FALSE)),120,0)</x:f>
        <x:v>0</x:v>
      </x:c>
      <x:c r="JB120" t="n">
        <x:f>'Calculations'!JB119+IF('Calculations'!JA120&gt;0,1,0)</x:f>
        <x:v>0</x:v>
      </x:c>
      <x:c r="JC120" t="n">
        <x:f>IF(OR('Calculations'!HF120="",'Calculations'!HF120="!AMBIG"),0,IF('Dashboard'!$B$7="All",1,COUNTIFS('Calculations'!$HO$13:$HO$512,"="&amp;SUBSTITUTE(SUBSTITUTE(SUBSTITUTE('Calculations'!HF120,"~","~~"),"*","~*"),"?","~?"),'Calculations'!$HN$13:$HN$512,"="&amp;SUBSTITUTE(SUBSTITUTE(SUBSTITUTE('Dashboard'!$B$7,"~","~~"),"*","~*"),"?","~?"))+COUNTIFS('Calculations'!$HP$13:$HP$512,"="&amp;SUBSTITUTE(SUBSTITUTE(SUBSTITUTE('Calculations'!HF120,"~","~~"),"*","~*"),"?","~?"),'Calculations'!$HN$13:$HN$512,"="&amp;SUBSTITUTE(SUBSTITUTE(SUBSTITUTE('Dashboard'!$B$7,"~","~~"),"*","~*"),"?","~?"))+COUNTIFS('Calculations'!$HQ$13:$HQ$512,"="&amp;SUBSTITUTE(SUBSTITUTE(SUBSTITUTE('Calculations'!HF120,"~","~~"),"*","~*"),"?","~?"),'Calculations'!$HN$13:$HN$512,"="&amp;SUBSTITUTE(SUBSTITUTE(SUBSTITUTE('Dashboard'!$B$7,"~","~~"),"*","~*"),"?","~?"))+COUNTIFS('Calculations'!$HR$13:$HR$512,"="&amp;SUBSTITUTE(SUBSTITUTE(SUBSTITUTE('Calculations'!HF120,"~","~~"),"*","~*"),"?","~?"),'Calculations'!$HN$13:$HN$512,"="&amp;SUBSTITUTE(SUBSTITUTE(SUBSTITUTE('Dashboard'!$B$7,"~","~~"),"*","~*"),"?","~?"))+COUNTIFS('Calculations'!$HS$13:$HS$512,"="&amp;SUBSTITUTE(SUBSTITUTE(SUBSTITUTE('Calculations'!HF120,"~","~~"),"*","~*"),"?","~?"),'Calculations'!$HN$13:$HN$512,"="&amp;SUBSTITUTE(SUBSTITUTE(SUBSTITUTE('Dashboard'!$B$7,"~","~~"),"*","~*"),"?","~?"))+COUNTIFS('Calculations'!$HT$13:$HT$512,"="&amp;SUBSTITUTE(SUBSTITUTE(SUBSTITUTE('Calculations'!HF120,"~","~~"),"*","~*"),"?","~?"),'Calculations'!$HN$13:$HN$512,"="&amp;SUBSTITUTE(SUBSTITUTE(SUBSTITUTE('Dashboard'!$B$7,"~","~~"),"*","~*"),"?","~?"))+COUNTIFS('Calculations'!$HU$13:$HU$512,"="&amp;SUBSTITUTE(SUBSTITUTE(SUBSTITUTE('Calculations'!HF120,"~","~~"),"*","~*"),"?","~?"),'Calculations'!$HN$13:$HN$512,"="&amp;SUBSTITUTE(SUBSTITUTE(SUBSTITUTE('Dashboard'!$B$7,"~","~~"),"*","~*"),"?","~?"))+COUNTIFS('Calculations'!$HV$13:$HV$512,"="&amp;SUBSTITUTE(SUBSTITUTE(SUBSTITUTE('Calculations'!HF120,"~","~~"),"*","~*"),"?","~?"),'Calculations'!$HN$13:$HN$512,"="&amp;SUBSTITUTE(SUBSTITUTE(SUBSTITUTE('Dashboard'!$B$7,"~","~~"),"*","~*"),"?","~?"))+COUNTIFS('Calculations'!$HW$13:$HW$512,"="&amp;SUBSTITUTE(SUBSTITUTE(SUBSTITUTE('Calculations'!HF120,"~","~~"),"*","~*"),"?","~?"),'Calculations'!$HN$13:$HN$512,"="&amp;SUBSTITUTE(SUBSTITUTE(SUBSTITUTE('Dashboard'!$B$7,"~","~~"),"*","~*"),"?","~?"))+COUNTIFS('Calculations'!$HX$13:$HX$512,"="&amp;SUBSTITUTE(SUBSTITUTE(SUBSTITUTE('Calculations'!HF120,"~","~~"),"*","~*"),"?","~?"),'Calculations'!$HN$13:$HN$512,"="&amp;SUBSTITUTE(SUBSTITUTE(SUBSTITUTE('Dashboard'!$B$7,"~","~~"),"*","~*"),"?","~?"))+COUNTIFS('Calculations'!$HY$13:$HY$512,"="&amp;SUBSTITUTE(SUBSTITUTE(SUBSTITUTE('Calculations'!HF120,"~","~~"),"*","~*"),"?","~?"),'Calculations'!$HN$13:$HN$512,"="&amp;SUBSTITUTE(SUBSTITUTE(SUBSTITUTE('Dashboard'!$B$7,"~","~~"),"*","~*"),"?","~?"))+COUNTIFS('Calculations'!$HZ$13:$HZ$512,"="&amp;SUBSTITUTE(SUBSTITUTE(SUBSTITUTE('Calculations'!HF120,"~","~~"),"*","~*"),"?","~?"),'Calculations'!$HN$13:$HN$512,"="&amp;SUBSTITUTE(SUBSTITUTE(SUBSTITUTE('Dashboard'!$B$7,"~","~~"),"*","~*"),"?","~?"))+COUNTIFS('Calculations'!$IA$13:$IA$512,"="&amp;SUBSTITUTE(SUBSTITUTE(SUBSTITUTE('Calculations'!HF120,"~","~~"),"*","~*"),"?","~?"),'Calculations'!$HN$13:$HN$512,"="&amp;SUBSTITUTE(SUBSTITUTE(SUBSTITUTE('Dashboard'!$B$7,"~","~~"),"*","~*"),"?","~?"))+COUNTIFS('Calculations'!$IB$13:$IB$512,"="&amp;SUBSTITUTE(SUBSTITUTE(SUBSTITUTE('Calculations'!HF120,"~","~~"),"*","~*"),"?","~?"),'Calculations'!$HN$13:$HN$512,"="&amp;SUBSTITUTE(SUBSTITUTE(SUBSTITUTE('Dashboard'!$B$7,"~","~~"),"*","~*"),"?","~?"))+COUNTIFS('Calculations'!$IC$13:$IC$512,"="&amp;SUBSTITUTE(SUBSTITUTE(SUBSTITUTE('Calculations'!HF120,"~","~~"),"*","~*"),"?","~?"),'Calculations'!$HN$13:$HN$512,"="&amp;SUBSTITUTE(SUBSTITUTE(SUBSTITUTE('Dashboard'!$B$7,"~","~~"),"*","~*"),"?","~?"))+COUNTIFS('Calculations'!$ID$13:$ID$512,"="&amp;SUBSTITUTE(SUBSTITUTE(SUBSTITUTE('Calculations'!HF120,"~","~~"),"*","~*"),"?","~?"),'Calculations'!$HN$13:$HN$512,"="&amp;SUBSTITUTE(SUBSTITUTE(SUBSTITUTE('Dashboard'!$B$7,"~","~~"),"*","~*"),"?","~?"))+COUNTIFS('Calculations'!$IE$13:$IE$512,"="&amp;SUBSTITUTE(SUBSTITUTE(SUBSTITUTE('Calculations'!HF120,"~","~~"),"*","~*"),"?","~?"),'Calculations'!$HN$13:$HN$512,"="&amp;SUBSTITUTE(SUBSTITUTE(SUBSTITUTE('Dashboard'!$B$7,"~","~~"),"*","~*"),"?","~?"))+COUNTIFS('Calculations'!$IF$13:$IF$512,"="&amp;SUBSTITUTE(SUBSTITUTE(SUBSTITUTE('Calculations'!HF120,"~","~~"),"*","~*"),"?","~?"),'Calculations'!$HN$13:$HN$512,"="&amp;SUBSTITUTE(SUBSTITUTE(SUBSTITUTE('Dashboard'!$B$7,"~","~~"),"*","~*"),"?","~?"))+COUNTIFS('Calculations'!$IG$13:$IG$512,"="&amp;SUBSTITUTE(SUBSTITUTE(SUBSTITUTE('Calculations'!HF120,"~","~~"),"*","~*"),"?","~?"),'Calculations'!$HN$13:$HN$512,"="&amp;SUBSTITUTE(SUBSTITUTE(SUBSTITUTE('Dashboard'!$B$7,"~","~~"),"*","~*"),"?","~?"))+COUNTIFS('Calculations'!$IH$13:$IH$512,"="&amp;SUBSTITUTE(SUBSTITUTE(SUBSTITUTE('Calculations'!HF120,"~","~~"),"*","~*"),"?","~?"),'Calculations'!$HN$13:$HN$512,"="&amp;SUBSTITUTE(SUBSTITUTE(SUBSTITUTE('Dashboard'!$B$7,"~","~~"),"*","~*"),"?","~?"))))</x:f>
        <x:v>0</x:v>
      </x:c>
      <x:c r="JD120" t="n">
        <x:f>IF('Calculations'!EM120="",0,IF('Dashboard'!$B$7="All",1,IF('Calculations'!HN120='Dashboard'!$B$7,1,0)+IFERROR(INDEX('Calculations'!$JC$13:$JC$512,MATCH('Calculations'!HE120,'Calculations'!$HF$13:$HF$512,0)),0)))</x:f>
        <x:v>0</x:v>
      </x:c>
      <x:c r="JE120" t="n">
        <x:f>IF(AND('Calculations'!EM120&lt;&gt;"",'Calculations'!$JJ$2&lt;&gt;"All",'Calculations'!$JJ$2&lt;&gt;"",'Calculations'!HF120='Calculations'!$JJ$2,'Calculations'!HL120=0,'Calculations'!JD120&gt;0),MAX('Calculations'!$JE$12:JE119)+1,0)</x:f>
        <x:v>0</x:v>
      </x:c>
      <x:c r="JF120" t="str">
        <x:f>IF('Calculations'!EM120="","",IFERROR(IF(INDEX(INDIRECT("'WCM Calibration Final'!$G$1:$G$2000"),'Calculations'!$EM120)="","",TRIM(INDEX(INDIRECT("'WCM Calibration Final'!$G$1:$G$2000"),'Calculations'!$EM120)&amp;"")),""))</x:f>
      </x:c>
      <x:c r="JQ120" t="n">
        <x:f>IF(OR('Calculations'!BM120=0,NOT('Calculations'!$AG$2),'Calculations'!$AG$8&gt;0),0,IF(OR('Dashboard'!$B$7="All",'Calculations'!HN120='Dashboard'!$B$7),IF('Calculations'!$JJ$2="All",1,IF(AND('Calculations'!HF120='Calculations'!$JJ$2,'Calculations'!HL120=0),1,0)),0))</x:f>
        <x:v>0</x:v>
      </x:c>
    </x:row>
    <x:row r="121">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t="n">
        <x:f>IF('Calculations'!$EM121="",0,IF(OR(IFERROR(INDEX(INDIRECT("'WCM Calibration Final'!$A$1:$A$2000"),'Calculations'!$EM121)&lt;&gt;"",FALSE),IFERROR(INDEX(INDIRECT("'WCM Calibration Final'!$B$1:$B$2000"),'Calculations'!$EM121)&lt;&gt;"",FALSE),IFERROR(INDEX(INDIRECT("'WCM Calibration Final'!$C$1:$C$2000"),'Calculations'!$EM121)&lt;&gt;"",FALSE)),1,0))</x:f>
        <x:v>0</x:v>
      </x:c>
      <x:c r="BN121" s="4" t="n">
        <x:f>IF(AND('Calculations'!BM121=1,'Calculations'!$AG$2,'Calculations'!$EN121=1),1,0)</x:f>
        <x:v>0</x:v>
      </x:c>
      <x:c r="BO121" s="4" t="str">
        <x:f>IF('Calculations'!BM121=0,"",IFERROR(IF(AND(VALUE(INDEX(INDIRECT("'WCM Calibration Final'!$K$1:$K$2000"),'Calculations'!$EM121))&gt;=1,VALUE(INDEX(INDIRECT("'WCM Calibration Final'!$K$1:$K$2000"),'Calculations'!$EM121))&lt;=4,MOD(VALUE(INDEX(INDIRECT("'WCM Calibration Final'!$K$1:$K$2000"),'Calculations'!$EM121)),1)=0),VALUE(INDEX(INDIRECT("'WCM Calibration Final'!$K$1:$K$2000"),'Calculations'!$EM121)),""),""))</x:f>
      </x:c>
      <x:c r="BP121" s="4" t="str">
        <x:f>IF('Calculations'!BM121=0,"",IFERROR(IF(AND(VALUE(INDEX(INDIRECT("'WCM Calibration Final'!$L$1:$L$2000"),'Calculations'!$EM121))&gt;=1,VALUE(INDEX(INDIRECT("'WCM Calibration Final'!$L$1:$L$2000"),'Calculations'!$EM121))&lt;=4,MOD(VALUE(INDEX(INDIRECT("'WCM Calibration Final'!$L$1:$L$2000"),'Calculations'!$EM121)),1)=0),VALUE(INDEX(INDIRECT("'WCM Calibration Final'!$L$1:$L$2000"),'Calculations'!$EM121)),""),""))</x:f>
      </x:c>
      <x:c r="BQ121" s="4"/>
      <x:c r="BR121" s="4"/>
      <x:c r="BS121" s="4"/>
      <x:c r="BT121" s="4" t="n">
        <x:f>IF(AND('Calculations'!BM121=1,ISNUMBER('Calculations'!BO121),ISNUMBER('Calculations'!BP121)),1,0)</x:f>
        <x:v>0</x:v>
      </x:c>
      <x:c r="BU121" s="4" t="str">
        <x:f>IF('Calculations'!BM121=0,"",'Calculations'!$EO121)</x:f>
      </x:c>
      <x:c r="BV121" s="4" t="str">
        <x:f>IF('Calculations'!BM121=0,"",IFERROR(IF(OR(INDEX(INDIRECT("'WCM Calibration Final'!$H$1:$H$2000"),'Calculations'!$EM121)="MANAGING DIRECTOR",INDEX(INDIRECT("'WCM Calibration Final'!$H$1:$H$2000"),'Calculations'!$EM121)="DIRECTOR",INDEX(INDIRECT("'WCM Calibration Final'!$H$1:$H$2000"),'Calculations'!$EM121)="SENIOR VICE PRESIDENT",INDEX(INDIRECT("'WCM Calibration Final'!$H$1:$H$2000"),'Calculations'!$EM121)="VICE PRESIDENT",INDEX(INDIRECT("'WCM Calibration Final'!$H$1:$H$2000"),'Calculations'!$EM121)="ASSISTANT VICE PRESIDENT",INDEX(INDIRECT("'WCM Calibration Final'!$H$1:$H$2000"),'Calculations'!$EM121)="OFFICER"),UPPER(INDEX(INDIRECT("'WCM Calibration Final'!$H$1:$H$2000"),'Calculations'!$EM121)),"Other"),"Other"))</x:f>
      </x:c>
      <x:c r="BW121" s="4"/>
      <x:c r="BX121" s="4"/>
      <x:c r="BY121" s="4" t="n">
        <x:f>IF(AND('Calculations'!BM121=1,'Calculations'!BU121&lt;&gt;"",COUNTIF('Calculations'!$BU$12:BU121,'Calculations'!BU121)=1),MAX('Calculations'!$BY$11:BY120)+1,0)</x:f>
        <x:v>0</x:v>
      </x:c>
      <x:c r="BZ121" s="4" t="str">
        <x:f>IF('Dashboard'!$E$67="What",'Calculations'!BO121,'Calculations'!BP121)</x:f>
      </x:c>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t="str">
        <x:f>IF(110&gt;MAX('Calculations'!$HI$13:$HI$512),"",INDEX('Calculations'!$HN$13:$HN$512,MATCH(110,'Calculations'!$HI$13:$HI$512,0)))</x:f>
      </x:c>
      <x:c r="DB121" s="4" t="str">
        <x:f>IF(110&gt;MAX('Calculations'!$HH$13:$HH$512),"",INDEX('Calculations'!$HJ$13:$HJ$512,MATCH(110,'Calculations'!$HH$13:$HH$512,0)))</x:f>
      </x:c>
      <x:c r="DC121" s="4" t="str">
        <x:f>IF(ROW()-11&gt;MAX('Calculations'!$BY$13:$BY$512),"",INDEX('Calculations'!$BU$13:$BU$512,MATCH(ROW()-11,'Calculations'!$BY$13:$BY$512,0)))</x:f>
      </x:c>
      <x:c r="DD121" s="4" t="str">
        <x:f>IF(110&gt;MAX('Calculations'!$IK$13:$IK$512),"",INDEX('Calculations'!$HK$13:$HK$512,MATCH(110,'Calculations'!$IK$13:$IK$512,0)))</x:f>
      </x:c>
      <x:c r="DE121" s="4" t="str">
        <x:f>'Calculations'!DC121</x:f>
      </x:c>
      <x:c r="DF121" s="4" t="str">
        <x:f>IF('Calculations'!DE121="","",COUNTIFS('Calculations'!$BN$13:$BN$512,1,'Calculations'!$BU$13:$BU$512,'Calculations'!DE121))</x:f>
      </x:c>
      <x:c r="DG121" s="4" t="str">
        <x:f>IF('Calculations'!DE121="","",COUNTIFS('Calculations'!$BN$13:$BN$512,1,'Calculations'!$BU$13:$BU$512,'Calculations'!DE121,'Calculations'!$BT$13:$BT$512,1))</x:f>
      </x:c>
      <x:c r="DH121" s="4" t="str">
        <x:f>IF('Calculations'!DE121="","",'Calculations'!DF121-'Calculations'!DG121)</x:f>
      </x:c>
      <x:c r="DI121" s="4" t="str">
        <x:f>IF(OR('Calculations'!DE121="",'Calculations'!DF121=0),"",'Calculations'!DG121/'Calculations'!DF121)</x:f>
      </x:c>
      <x:c r="DJ121" s="4" t="str">
        <x:f>IF('Calculations'!DE121="","",COUNTIFS('Calculations'!$BN$13:$BN$512,1,'Calculations'!$BU$13:$BU$512,'Calculations'!DE121,'Calculations'!$BT$13:$BT$512,1,'Calculations'!$EE$13:$EE$512,"High"))</x:f>
      </x:c>
      <x:c r="DK121" s="4" t="str">
        <x:f>IF('Calculations'!DE121="","",COUNTIFS('Calculations'!$BN$13:$BN$512,1,'Calculations'!$BU$13:$BU$512,'Calculations'!DE121,'Calculations'!$BT$13:$BT$512,1,'Calculations'!$EE$13:$EE$512,"Strong"))</x:f>
      </x:c>
      <x:c r="DL121" s="4" t="str">
        <x:f>IF('Calculations'!DE121="","",COUNTIFS('Calculations'!$BN$13:$BN$512,1,'Calculations'!$BU$13:$BU$512,'Calculations'!DE121,'Calculations'!$BT$13:$BT$512,1,'Calculations'!$EE$13:$EE$512,"Solid"))</x:f>
      </x:c>
      <x:c r="DM121" s="4" t="str">
        <x:f>IF('Calculations'!DE121="","",COUNTIFS('Calculations'!$BN$13:$BN$512,1,'Calculations'!$BU$13:$BU$512,'Calculations'!DE121,'Calculations'!$BT$13:$BT$512,1,'Calculations'!$EE$13:$EE$512,"Low"))</x:f>
      </x:c>
      <x:c r="DN121" s="4" t="str">
        <x:f>IF('Calculations'!DE121="","",COUNTIFS('Calculations'!$BN$13:$BN$512,1,'Calculations'!$BU$13:$BU$512,'Calculations'!DE121,'Calculations'!$EP$13:$EP$512,1))</x:f>
      </x:c>
      <x:c r="DO121" s="4" t="str">
        <x:f>IF(OR('Calculations'!DE121="",'Calculations'!DG121=0),"",('Calculations'!DJ121+'Calculations'!DK121)/'Calculations'!DG121)</x:f>
      </x:c>
      <x:c r="DP121" s="4" t="n">
        <x:f>IF(AND('Calculations'!DE121&lt;&gt;"",'Calculations'!DF121&gt;0),COUNTIF('Calculations'!$DF$12:DF121,"&gt;0"),0)</x:f>
        <x:v>0</x:v>
      </x:c>
      <x:c r="DQ121" s="4" t="str">
        <x:f>IF(110&gt;MAX('Calculations'!$HH$13:$HH$512),"",INDEX('Calculations'!$HF$13:$HF$512,MATCH(110,'Calculations'!$HH$13:$HH$512,0)))</x:f>
      </x:c>
      <x:c r="DR121" s="4" t="str">
        <x:f>IF(110&gt;MAX('Calculations'!$IK$13:$IK$512),"",INDEX('Calculations'!$HE$13:$HE$512,MATCH(110,'Calculations'!$IK$13:$IK$512,0)))</x:f>
      </x:c>
      <x:c r="DS121" s="4"/>
      <x:c r="DT121" s="4"/>
      <x:c r="DU121" s="4"/>
      <x:c r="DV121" s="4"/>
      <x:c r="DW121" s="4"/>
      <x:c r="DX121" s="4"/>
      <x:c r="DY121" s="4"/>
      <x:c r="DZ121" s="4"/>
      <x:c r="EA121" s="4"/>
      <x:c r="EB121" s="4"/>
      <x:c r="EC121" s="4"/>
      <x:c r="ED121" s="4"/>
      <x:c r="EE121" s="4" t="str">
        <x:f>IF('Calculations'!BT121=0,"Not Rated",IF(OR('Calculations'!BO121&gt;=4,'Calculations'!BP121&gt;=4),"Low",IF('Calculations'!BO121+'Calculations'!BP121&lt;=3,"High",IF('Calculations'!BO121+'Calculations'!BP121&lt;=4,"Strong","Solid"))))</x:f>
        <x:v>Not Rated</x:v>
      </x:c>
      <x:c r="EF121" s="4"/>
      <x:c r="EG121" s="4"/>
      <x:c r="EH121" s="4"/>
      <x:c r="EI121" s="4"/>
      <x:c r="EJ121" s="4"/>
      <x:c r="EK121" s="4"/>
      <x:c r="EL121" s="4"/>
      <x:c r="EM121" s="4" t="str">
        <x:f>IF(109&gt;'Calculations'!$JB$2000,"",INDEX('Calculations'!$JA$12:$JA$2000,MATCH(109,'Calculations'!$JB$12:$JB$2000,0)))</x:f>
      </x:c>
      <x:c r="EN121" s="4" t="n">
        <x:f>IF(OR('Calculations'!EM121="",'Calculations'!$AG$8&gt;0,AND('Calculations'!$EF$2&lt;&gt;"All",'Calculations'!HE121='Calculations'!$EF$2),AND('Calculations'!$EF$3&lt;&gt;"All",'Calculations'!HE121='Calculations'!$EF$3)),0,IF(OR('Dashboard'!$B$7="All",'Calculations'!HN121='Dashboard'!$B$7),IF('Calculations'!$EF$2="All",1,IF('Calculations'!HL121&gt;0,0,IF(COUNTIF('Calculations'!HO121:II121,"="&amp;SUBSTITUTE(SUBSTITUTE(SUBSTITUTE('Calculations'!$EF$2,"~","~~"),"*","~*"),"?","~?"))=0,0,IF('Calculations'!$EF$3="All",1,IF(COUNTIF('Calculations'!HO121:II121,"="&amp;SUBSTITUTE(SUBSTITUTE(SUBSTITUTE('Calculations'!$EF$3,"~","~~"),"*","~*"),"?","~?"))&gt;0,1,0))))),0))</x:f>
        <x:v>0</x:v>
      </x:c>
      <x:c r="EO121" s="4" t="str">
        <x:f>IF('Calculations'!IJ121="","",IF('Calculations'!IJ121="!UNRESOLVED","Unresolved hierarchy",IFERROR(INDEX('Calculations'!$HK$13:$HK$512,MATCH('Calculations'!IJ121,'Calculations'!$HE$13:$HE$512,0)),IFERROR(INDEX('Calculations'!$HJ$13:$HJ$512,MATCH('Calculations'!IJ121,'Calculations'!$HF$13:$HF$512,0)),'Calculations'!IJ121))))</x:f>
      </x:c>
      <x:c r="EP121" s="4" t="n">
        <x:f>IF(AND('Calculations'!EM121&lt;&gt;"",'Calculations'!HF121='Calculations'!IJ121),1,0)</x:f>
        <x:v>0</x:v>
      </x:c>
      <x:c r="EQ121" s="4"/>
      <x:c r="ER121" s="4"/>
      <x:c r="ES121" s="4"/>
      <x:c r="ET121" s="4"/>
      <x:c r="EU121" s="4"/>
      <x:c r="EV121" s="4"/>
      <x:c r="EW121" s="4"/>
      <x:c r="EX121" s="4"/>
      <x:c r="EY121" s="4"/>
      <x:c r="EZ121" s="4"/>
      <x:c r="FA121" s="4"/>
      <x:c r="FB121" s="4"/>
      <x:c r="FC121" s="4"/>
      <x:c r="FD121" s="4"/>
      <x:c r="FE121" s="4"/>
      <x:c r="FF121" s="4"/>
      <x:c r="FG121" s="4"/>
      <x:c r="FH121" s="4"/>
      <x:c r="FI121" s="4"/>
      <x:c r="FJ121" s="4"/>
      <x:c r="FK121" s="4"/>
      <x:c r="FL121" s="4"/>
      <x:c r="FM121" s="4"/>
      <x:c r="FN121" s="4"/>
      <x:c r="FO121" s="4"/>
      <x:c r="GA121" s="71"/>
      <x:c r="GB121" s="71"/>
      <x:c r="GC121" s="71"/>
      <x:c r="GD121" s="71"/>
      <x:c r="GE121" s="71"/>
      <x:c r="GF121" s="71"/>
      <x:c r="GG121" s="71"/>
      <x:c r="GH121" s="71"/>
      <x:c r="GI121" s="71"/>
      <x:c r="GJ121" s="71"/>
      <x:c r="GK121" s="71"/>
      <x:c r="GL121" s="71"/>
      <x:c r="GM121" s="71"/>
      <x:c r="GN121" s="71"/>
      <x:c r="GO121" s="71"/>
      <x:c r="GP121" s="71"/>
      <x:c r="GQ121" s="71"/>
      <x:c r="GR121" s="71"/>
      <x:c r="GS121" s="71"/>
      <x:c r="GT121" s="71"/>
      <x:c r="GU121" s="71"/>
      <x:c r="GV121" s="71"/>
      <x:c r="GW121" s="71"/>
      <x:c r="GX121" s="71"/>
      <x:c r="GY121" s="71"/>
      <x:c r="GZ121" s="71"/>
      <x:c r="HA121" s="71"/>
      <x:c r="HB121" s="71"/>
      <x:c r="HC121" s="71"/>
      <x:c r="HD121" s="71"/>
      <x:c r="HE121" t="str">
        <x:f>IF('Calculations'!EM121="","",IF(IFERROR(IF(INDEX(INDIRECT("'WCM Calibration Final'!$A$1:$A$2000"),'Calculations'!$EM121)="","",TRIM(INDEX(INDIRECT("'WCM Calibration Final'!$A$1:$A$2000"),'Calculations'!$EM121)&amp;"")),"")&lt;&gt;"","G:"&amp;IFERROR(TEXT(1*INDEX(INDIRECT("'WCM Calibration Final'!$A$1:$A$2000"),'Calculations'!$EM121),"0"),UPPER(IFERROR(IF(INDEX(INDIRECT("'WCM Calibration Final'!$A$1:$A$2000"),'Calculations'!$EM121)="","",TRIM(INDEX(INDIRECT("'WCM Calibration Final'!$A$1:$A$2000"),'Calculations'!$EM121)&amp;"")),""))),IF(IFERROR(IF(INDEX(INDIRECT("'WCM Calibration Final'!$C$1:$C$2000"),'Calculations'!$EM121)="","",TRIM(INDEX(INDIRECT("'WCM Calibration Final'!$C$1:$C$2000"),'Calculations'!$EM121)&amp;"")),"")&lt;&gt;"","S:"&amp;UPPER(IFERROR(IF(INDEX(INDIRECT("'WCM Calibration Final'!$C$1:$C$2000"),'Calculations'!$EM121)="","",TRIM(INDEX(INDIRECT("'WCM Calibration Final'!$C$1:$C$2000"),'Calculations'!$EM121)&amp;"")),"")),"R:"&amp;'Calculations'!EM121)))</x:f>
      </x:c>
      <x:c r="HF121" t="str">
        <x:f>IF('Calculations'!EM121="","",IF(IFERROR(IF(INDEX(INDIRECT("'WCM Calibration Final'!$D$1:$D$2000"),'Calculations'!$EM121)="","",TRIM(INDEX(INDIRECT("'WCM Calibration Final'!$D$1:$D$2000"),'Calculations'!$EM121)&amp;"")),"")&lt;&gt;"","G:"&amp;IFERROR(TEXT(1*INDEX(INDIRECT("'WCM Calibration Final'!$D$1:$D$2000"),'Calculations'!$EM121),"0"),UPPER(IFERROR(IF(INDEX(INDIRECT("'WCM Calibration Final'!$D$1:$D$2000"),'Calculations'!$EM121)="","",TRIM(INDEX(INDIRECT("'WCM Calibration Final'!$D$1:$D$2000"),'Calculations'!$EM121)&amp;"")),""))),IF(IFERROR(IF(INDEX(INDIRECT("'WCM Calibration Final'!$E$1:$E$2000"),'Calculations'!$EM121)="","",TRIM(INDEX(INDIRECT("'WCM Calibration Final'!$E$1:$E$2000"),'Calculations'!$EM121)&amp;"")),"")="","",IF(COUNTIF('Calculations'!$HG$13:$HG$512,"="&amp;SUBSTITUTE(SUBSTITUTE(SUBSTITUTE(IFERROR(IF(INDEX(INDIRECT("'WCM Calibration Final'!$E$1:$E$2000"),'Calculations'!$EM121)="","",TRIM(INDEX(INDIRECT("'WCM Calibration Final'!$E$1:$E$2000"),'Calculations'!$EM121)&amp;"")),""),"~","~~"),"*","~*"),"?","~?"))=1,INDEX('Calculations'!$HE$13:$HE$512,MATCH(IFERROR(IF(INDEX(INDIRECT("'WCM Calibration Final'!$E$1:$E$2000"),'Calculations'!$EM121)="","",TRIM(INDEX(INDIRECT("'WCM Calibration Final'!$E$1:$E$2000"),'Calculations'!$EM121)&amp;"")),""),'Calculations'!$HG$13:$HG$512,0)),IF(COUNTIF('Calculations'!$HG$13:$HG$512,"="&amp;SUBSTITUTE(SUBSTITUTE(SUBSTITUTE(IFERROR(IF(INDEX(INDIRECT("'WCM Calibration Final'!$E$1:$E$2000"),'Calculations'!$EM121)="","",TRIM(INDEX(INDIRECT("'WCM Calibration Final'!$E$1:$E$2000"),'Calculations'!$EM121)&amp;"")),""),"~","~~"),"*","~*"),"?","~?"))&gt;1,"!AMBIG","X:"&amp;IFERROR(IF(INDEX(INDIRECT("'WCM Calibration Final'!$E$1:$E$2000"),'Calculations'!$EM121)="","",TRIM(INDEX(INDIRECT("'WCM Calibration Final'!$E$1:$E$2000"),'Calculations'!$EM121)&amp;"")),""))))))</x:f>
      </x:c>
      <x:c r="HG121" t="str">
        <x:f>IF('Calculations'!EM121="","",IFERROR(IF(INDEX(INDIRECT("'WCM Calibration Final'!$B$1:$B$2000"),'Calculations'!$EM121)="","",TRIM(INDEX(INDIRECT("'WCM Calibration Final'!$B$1:$B$2000"),'Calculations'!$EM121)&amp;"")),""))</x:f>
      </x:c>
      <x:c r="HH121" t="n">
        <x:f>IF(AND('Calculations'!JC121&gt;0,COUNTIF('Calculations'!$HF$12:HF121,"="&amp;SUBSTITUTE(SUBSTITUTE(SUBSTITUTE('Calculations'!HF121,"~","~~"),"*","~*"),"?","~?"))=1),MAX('Calculations'!$HH$12:HH120)+1,0)</x:f>
        <x:v>0</x:v>
      </x:c>
      <x:c r="HI121" t="n">
        <x:f>IF(AND('Calculations'!HN121&lt;&gt;"",COUNTIF('Calculations'!$HN$12:HN121,"="&amp;SUBSTITUTE(SUBSTITUTE(SUBSTITUTE('Calculations'!HN121,"~","~~"),"*","~*"),"?","~?"))=1),MAX('Calculations'!$HI$12:HI120)+1,0)</x:f>
        <x:v>0</x:v>
      </x:c>
      <x:c r="HJ121" t="str">
        <x:f>IF('Calculations'!HF121="","",IF(COUNTIF('Calculations'!$HE$13:$HE$512,"="&amp;SUBSTITUTE(SUBSTITUTE(SUBSTITUTE('Calculations'!HF121,"~","~~"),"*","~*"),"?","~?"))=1,INDEX('Calculations'!$HK$13:$HK$512,MATCH('Calculations'!HF121,'Calculations'!$HE$13:$HE$512,0)),IFERROR(IF(INDEX(INDIRECT("'WCM Calibration Final'!$E$1:$E$2000"),'Calculations'!$EM121)="","",TRIM(INDEX(INDIRECT("'WCM Calibration Final'!$E$1:$E$2000"),'Calculations'!$EM121)&amp;"")),"")&amp;" ["&amp;'Calculations'!HF121&amp;"]"))</x:f>
      </x:c>
      <x:c r="HK121" t="str">
        <x:f>IF('Calculations'!EM121="","",'Calculations'!HG121&amp;" ["&amp;'Calculations'!HE121&amp;"]")</x:f>
      </x:c>
      <x:c r="HL121" t="n">
        <x:f>IF('Calculations'!EM121="",0,IF(OR('Calculations'!II121&lt;&gt;"",COUNTIF('Calculations'!$HE$13:$HE$512,"="&amp;SUBSTITUTE(SUBSTITUTE(SUBSTITUTE('Calculations'!HE121,"~","~~"),"*","~*"),"?","~?"))&gt;1),1,0))</x:f>
        <x:v>0</x:v>
      </x:c>
      <x:c r="HM121" t="str">
        <x:f>IF('Calculations'!EM121="","",IF('Calculations'!HL121=1,"!UNRESOLVED",IF('Calculations'!IH121&lt;&gt;"",'Calculations'!IH121,IF('Calculations'!IG121&lt;&gt;"",'Calculations'!IG121,IF('Calculations'!IF121&lt;&gt;"",'Calculations'!IF121,IF('Calculations'!IE121&lt;&gt;"",'Calculations'!IE121,IF('Calculations'!ID121&lt;&gt;"",'Calculations'!ID121,IF('Calculations'!IC121&lt;&gt;"",'Calculations'!IC121,IF('Calculations'!IB121&lt;&gt;"",'Calculations'!IB121,IF('Calculations'!IA121&lt;&gt;"",'Calculations'!IA121,IF('Calculations'!HZ121&lt;&gt;"",'Calculations'!HZ121,IF('Calculations'!HY121&lt;&gt;"",'Calculations'!HY121,IF('Calculations'!HX121&lt;&gt;"",'Calculations'!HX121,IF('Calculations'!HW121&lt;&gt;"",'Calculations'!HW121,IF('Calculations'!HV121&lt;&gt;"",'Calculations'!HV121,IF('Calculations'!HU121&lt;&gt;"",'Calculations'!HU121,IF('Calculations'!HT121&lt;&gt;"",'Calculations'!HT121,IF('Calculations'!HS121&lt;&gt;"",'Calculations'!HS121,IF('Calculations'!HR121&lt;&gt;"",'Calculations'!HR121,IF('Calculations'!HQ121&lt;&gt;"",'Calculations'!HQ121,IF('Calculations'!HP121&lt;&gt;"",'Calculations'!HP121,IF('Calculations'!HO121&lt;&gt;"",'Calculations'!HO121,'Calculations'!HE121))))))))))))))))))))))</x:f>
      </x:c>
      <x:c r="HN121" t="str">
        <x:f>IF('Calculations'!EM121="","",IF(IFERROR(IF(INDEX(INDIRECT("'WCM Calibration Final'!$F$1:$F$2000"),'Calculations'!$EM121)="","",TRIM(INDEX(INDIRECT("'WCM Calibration Final'!$F$1:$F$2000"),'Calculations'!$EM121)&amp;"")),"")="","(Blank)",IFERROR(IF(INDEX(INDIRECT("'WCM Calibration Final'!$F$1:$F$2000"),'Calculations'!$EM121)="","",TRIM(INDEX(INDIRECT("'WCM Calibration Final'!$F$1:$F$2000"),'Calculations'!$EM121)&amp;"")),"")))</x:f>
      </x:c>
      <x:c r="HO121" t="str">
        <x:f>'Calculations'!HF121</x:f>
      </x:c>
      <x:c r="HP121" t="str">
        <x:f>IF('Calculations'!HO121="","",IF('Calculations'!HO121="!AMBIG","!AMBIG",IF(COUNTIF('Calculations'!$HE$13:$HE$512,"="&amp;SUBSTITUTE(SUBSTITUTE(SUBSTITUTE('Calculations'!HO121,"~","~~"),"*","~*"),"?","~?"))&gt;1,"!AMBIG",IFERROR(INDEX('Calculations'!$HF$13:$HF$512,MATCH('Calculations'!HO121,'Calculations'!$HE$13:$HE$512,0)),""))))</x:f>
      </x:c>
      <x:c r="HQ121" t="str">
        <x:f>IF('Calculations'!HP121="","",IF('Calculations'!HP121="!AMBIG","!AMBIG",IF(COUNTIF('Calculations'!$HE$13:$HE$512,"="&amp;SUBSTITUTE(SUBSTITUTE(SUBSTITUTE('Calculations'!HP121,"~","~~"),"*","~*"),"?","~?"))&gt;1,"!AMBIG",IFERROR(INDEX('Calculations'!$HF$13:$HF$512,MATCH('Calculations'!HP121,'Calculations'!$HE$13:$HE$512,0)),""))))</x:f>
      </x:c>
      <x:c r="HR121" t="str">
        <x:f>IF('Calculations'!HQ121="","",IF('Calculations'!HQ121="!AMBIG","!AMBIG",IF(COUNTIF('Calculations'!$HE$13:$HE$512,"="&amp;SUBSTITUTE(SUBSTITUTE(SUBSTITUTE('Calculations'!HQ121,"~","~~"),"*","~*"),"?","~?"))&gt;1,"!AMBIG",IFERROR(INDEX('Calculations'!$HF$13:$HF$512,MATCH('Calculations'!HQ121,'Calculations'!$HE$13:$HE$512,0)),""))))</x:f>
      </x:c>
      <x:c r="HS121" t="str">
        <x:f>IF('Calculations'!HR121="","",IF('Calculations'!HR121="!AMBIG","!AMBIG",IF(COUNTIF('Calculations'!$HE$13:$HE$512,"="&amp;SUBSTITUTE(SUBSTITUTE(SUBSTITUTE('Calculations'!HR121,"~","~~"),"*","~*"),"?","~?"))&gt;1,"!AMBIG",IFERROR(INDEX('Calculations'!$HF$13:$HF$512,MATCH('Calculations'!HR121,'Calculations'!$HE$13:$HE$512,0)),""))))</x:f>
      </x:c>
      <x:c r="HT121" t="str">
        <x:f>IF('Calculations'!HS121="","",IF('Calculations'!HS121="!AMBIG","!AMBIG",IF(COUNTIF('Calculations'!$HE$13:$HE$512,"="&amp;SUBSTITUTE(SUBSTITUTE(SUBSTITUTE('Calculations'!HS121,"~","~~"),"*","~*"),"?","~?"))&gt;1,"!AMBIG",IFERROR(INDEX('Calculations'!$HF$13:$HF$512,MATCH('Calculations'!HS121,'Calculations'!$HE$13:$HE$512,0)),""))))</x:f>
      </x:c>
      <x:c r="HU121" t="str">
        <x:f>IF('Calculations'!HT121="","",IF('Calculations'!HT121="!AMBIG","!AMBIG",IF(COUNTIF('Calculations'!$HE$13:$HE$512,"="&amp;SUBSTITUTE(SUBSTITUTE(SUBSTITUTE('Calculations'!HT121,"~","~~"),"*","~*"),"?","~?"))&gt;1,"!AMBIG",IFERROR(INDEX('Calculations'!$HF$13:$HF$512,MATCH('Calculations'!HT121,'Calculations'!$HE$13:$HE$512,0)),""))))</x:f>
      </x:c>
      <x:c r="HV121" t="str">
        <x:f>IF('Calculations'!HU121="","",IF('Calculations'!HU121="!AMBIG","!AMBIG",IF(COUNTIF('Calculations'!$HE$13:$HE$512,"="&amp;SUBSTITUTE(SUBSTITUTE(SUBSTITUTE('Calculations'!HU121,"~","~~"),"*","~*"),"?","~?"))&gt;1,"!AMBIG",IFERROR(INDEX('Calculations'!$HF$13:$HF$512,MATCH('Calculations'!HU121,'Calculations'!$HE$13:$HE$512,0)),""))))</x:f>
      </x:c>
      <x:c r="HW121" t="str">
        <x:f>IF('Calculations'!HV121="","",IF('Calculations'!HV121="!AMBIG","!AMBIG",IF(COUNTIF('Calculations'!$HE$13:$HE$512,"="&amp;SUBSTITUTE(SUBSTITUTE(SUBSTITUTE('Calculations'!HV121,"~","~~"),"*","~*"),"?","~?"))&gt;1,"!AMBIG",IFERROR(INDEX('Calculations'!$HF$13:$HF$512,MATCH('Calculations'!HV121,'Calculations'!$HE$13:$HE$512,0)),""))))</x:f>
      </x:c>
      <x:c r="HX121" t="str">
        <x:f>IF('Calculations'!HW121="","",IF('Calculations'!HW121="!AMBIG","!AMBIG",IF(COUNTIF('Calculations'!$HE$13:$HE$512,"="&amp;SUBSTITUTE(SUBSTITUTE(SUBSTITUTE('Calculations'!HW121,"~","~~"),"*","~*"),"?","~?"))&gt;1,"!AMBIG",IFERROR(INDEX('Calculations'!$HF$13:$HF$512,MATCH('Calculations'!HW121,'Calculations'!$HE$13:$HE$512,0)),""))))</x:f>
      </x:c>
      <x:c r="HY121" t="str">
        <x:f>IF('Calculations'!HX121="","",IF('Calculations'!HX121="!AMBIG","!AMBIG",IF(COUNTIF('Calculations'!$HE$13:$HE$512,"="&amp;SUBSTITUTE(SUBSTITUTE(SUBSTITUTE('Calculations'!HX121,"~","~~"),"*","~*"),"?","~?"))&gt;1,"!AMBIG",IFERROR(INDEX('Calculations'!$HF$13:$HF$512,MATCH('Calculations'!HX121,'Calculations'!$HE$13:$HE$512,0)),""))))</x:f>
      </x:c>
      <x:c r="HZ121" t="str">
        <x:f>IF('Calculations'!HY121="","",IF('Calculations'!HY121="!AMBIG","!AMBIG",IF(COUNTIF('Calculations'!$HE$13:$HE$512,"="&amp;SUBSTITUTE(SUBSTITUTE(SUBSTITUTE('Calculations'!HY121,"~","~~"),"*","~*"),"?","~?"))&gt;1,"!AMBIG",IFERROR(INDEX('Calculations'!$HF$13:$HF$512,MATCH('Calculations'!HY121,'Calculations'!$HE$13:$HE$512,0)),""))))</x:f>
      </x:c>
      <x:c r="IA121" t="str">
        <x:f>IF('Calculations'!HZ121="","",IF('Calculations'!HZ121="!AMBIG","!AMBIG",IF(COUNTIF('Calculations'!$HE$13:$HE$512,"="&amp;SUBSTITUTE(SUBSTITUTE(SUBSTITUTE('Calculations'!HZ121,"~","~~"),"*","~*"),"?","~?"))&gt;1,"!AMBIG",IFERROR(INDEX('Calculations'!$HF$13:$HF$512,MATCH('Calculations'!HZ121,'Calculations'!$HE$13:$HE$512,0)),""))))</x:f>
      </x:c>
      <x:c r="IB121" t="str">
        <x:f>IF('Calculations'!IA121="","",IF('Calculations'!IA121="!AMBIG","!AMBIG",IF(COUNTIF('Calculations'!$HE$13:$HE$512,"="&amp;SUBSTITUTE(SUBSTITUTE(SUBSTITUTE('Calculations'!IA121,"~","~~"),"*","~*"),"?","~?"))&gt;1,"!AMBIG",IFERROR(INDEX('Calculations'!$HF$13:$HF$512,MATCH('Calculations'!IA121,'Calculations'!$HE$13:$HE$512,0)),""))))</x:f>
      </x:c>
      <x:c r="IC121" t="str">
        <x:f>IF('Calculations'!IB121="","",IF('Calculations'!IB121="!AMBIG","!AMBIG",IF(COUNTIF('Calculations'!$HE$13:$HE$512,"="&amp;SUBSTITUTE(SUBSTITUTE(SUBSTITUTE('Calculations'!IB121,"~","~~"),"*","~*"),"?","~?"))&gt;1,"!AMBIG",IFERROR(INDEX('Calculations'!$HF$13:$HF$512,MATCH('Calculations'!IB121,'Calculations'!$HE$13:$HE$512,0)),""))))</x:f>
      </x:c>
      <x:c r="ID121" t="str">
        <x:f>IF('Calculations'!IC121="","",IF('Calculations'!IC121="!AMBIG","!AMBIG",IF(COUNTIF('Calculations'!$HE$13:$HE$512,"="&amp;SUBSTITUTE(SUBSTITUTE(SUBSTITUTE('Calculations'!IC121,"~","~~"),"*","~*"),"?","~?"))&gt;1,"!AMBIG",IFERROR(INDEX('Calculations'!$HF$13:$HF$512,MATCH('Calculations'!IC121,'Calculations'!$HE$13:$HE$512,0)),""))))</x:f>
      </x:c>
      <x:c r="IE121" t="str">
        <x:f>IF('Calculations'!ID121="","",IF('Calculations'!ID121="!AMBIG","!AMBIG",IF(COUNTIF('Calculations'!$HE$13:$HE$512,"="&amp;SUBSTITUTE(SUBSTITUTE(SUBSTITUTE('Calculations'!ID121,"~","~~"),"*","~*"),"?","~?"))&gt;1,"!AMBIG",IFERROR(INDEX('Calculations'!$HF$13:$HF$512,MATCH('Calculations'!ID121,'Calculations'!$HE$13:$HE$512,0)),""))))</x:f>
      </x:c>
      <x:c r="IF121" t="str">
        <x:f>IF('Calculations'!IE121="","",IF('Calculations'!IE121="!AMBIG","!AMBIG",IF(COUNTIF('Calculations'!$HE$13:$HE$512,"="&amp;SUBSTITUTE(SUBSTITUTE(SUBSTITUTE('Calculations'!IE121,"~","~~"),"*","~*"),"?","~?"))&gt;1,"!AMBIG",IFERROR(INDEX('Calculations'!$HF$13:$HF$512,MATCH('Calculations'!IE121,'Calculations'!$HE$13:$HE$512,0)),""))))</x:f>
      </x:c>
      <x:c r="IG121" t="str">
        <x:f>IF('Calculations'!IF121="","",IF('Calculations'!IF121="!AMBIG","!AMBIG",IF(COUNTIF('Calculations'!$HE$13:$HE$512,"="&amp;SUBSTITUTE(SUBSTITUTE(SUBSTITUTE('Calculations'!IF121,"~","~~"),"*","~*"),"?","~?"))&gt;1,"!AMBIG",IFERROR(INDEX('Calculations'!$HF$13:$HF$512,MATCH('Calculations'!IF121,'Calculations'!$HE$13:$HE$512,0)),""))))</x:f>
      </x:c>
      <x:c r="IH121" t="str">
        <x:f>IF('Calculations'!IG121="","",IF('Calculations'!IG121="!AMBIG","!AMBIG",IF(COUNTIF('Calculations'!$HE$13:$HE$512,"="&amp;SUBSTITUTE(SUBSTITUTE(SUBSTITUTE('Calculations'!IG121,"~","~~"),"*","~*"),"?","~?"))&gt;1,"!AMBIG",IFERROR(INDEX('Calculations'!$HF$13:$HF$512,MATCH('Calculations'!IG121,'Calculations'!$HE$13:$HE$512,0)),""))))</x:f>
      </x:c>
      <x:c r="II121" t="str">
        <x:f>IF('Calculations'!IH121="","",IF('Calculations'!IH121="!AMBIG","!AMBIG",IF(COUNTIF('Calculations'!$HE$13:$HE$512,"="&amp;SUBSTITUTE(SUBSTITUTE(SUBSTITUTE('Calculations'!IH121,"~","~~"),"*","~*"),"?","~?"))&gt;1,"!AMBIG",IFERROR(INDEX('Calculations'!$HF$13:$HF$512,MATCH('Calculations'!IH121,'Calculations'!$HE$13:$HE$512,0)),""))))</x:f>
      </x:c>
      <x:c r="IJ121" t="str">
        <x:f>IF('Calculations'!EM121="","",IF('Calculations'!$EF$2="All",'Calculations'!HM121,IF('Calculations'!HL121=1,"",IFERROR(IF(MATCH('Calculations'!$EF$2,'Calculations'!HO121:II121,0)=1,'Calculations'!HE121,INDEX('Calculations'!HO121:II121,1,MATCH('Calculations'!$EF$2,'Calculations'!HO121:II121,0)-1)),""))))</x:f>
      </x:c>
      <x:c r="IK121" t="n">
        <x:f>IF(AND('Calculations'!EM121&lt;&gt;"",'Calculations'!$EF$2&lt;&gt;"All",'Calculations'!HF121='Calculations'!$EF$2,'Calculations'!HL121=0,'Calculations'!JD121&gt;0),MAX('Calculations'!$IK$12:IK120)+1,0)</x:f>
        <x:v>0</x:v>
      </x:c>
      <x:c r="JA121" t="n">
        <x:f>IF(OR(IFERROR(INDIRECT("'WCM Calibration Final'!$A$121")&lt;&gt;"",FALSE),IFERROR(INDIRECT("'WCM Calibration Final'!$B$121")&lt;&gt;"",FALSE),IFERROR(INDIRECT("'WCM Calibration Final'!$C$121")&lt;&gt;"",FALSE)),121,0)</x:f>
        <x:v>0</x:v>
      </x:c>
      <x:c r="JB121" t="n">
        <x:f>'Calculations'!JB120+IF('Calculations'!JA121&gt;0,1,0)</x:f>
        <x:v>0</x:v>
      </x:c>
      <x:c r="JC121" t="n">
        <x:f>IF(OR('Calculations'!HF121="",'Calculations'!HF121="!AMBIG"),0,IF('Dashboard'!$B$7="All",1,COUNTIFS('Calculations'!$HO$13:$HO$512,"="&amp;SUBSTITUTE(SUBSTITUTE(SUBSTITUTE('Calculations'!HF121,"~","~~"),"*","~*"),"?","~?"),'Calculations'!$HN$13:$HN$512,"="&amp;SUBSTITUTE(SUBSTITUTE(SUBSTITUTE('Dashboard'!$B$7,"~","~~"),"*","~*"),"?","~?"))+COUNTIFS('Calculations'!$HP$13:$HP$512,"="&amp;SUBSTITUTE(SUBSTITUTE(SUBSTITUTE('Calculations'!HF121,"~","~~"),"*","~*"),"?","~?"),'Calculations'!$HN$13:$HN$512,"="&amp;SUBSTITUTE(SUBSTITUTE(SUBSTITUTE('Dashboard'!$B$7,"~","~~"),"*","~*"),"?","~?"))+COUNTIFS('Calculations'!$HQ$13:$HQ$512,"="&amp;SUBSTITUTE(SUBSTITUTE(SUBSTITUTE('Calculations'!HF121,"~","~~"),"*","~*"),"?","~?"),'Calculations'!$HN$13:$HN$512,"="&amp;SUBSTITUTE(SUBSTITUTE(SUBSTITUTE('Dashboard'!$B$7,"~","~~"),"*","~*"),"?","~?"))+COUNTIFS('Calculations'!$HR$13:$HR$512,"="&amp;SUBSTITUTE(SUBSTITUTE(SUBSTITUTE('Calculations'!HF121,"~","~~"),"*","~*"),"?","~?"),'Calculations'!$HN$13:$HN$512,"="&amp;SUBSTITUTE(SUBSTITUTE(SUBSTITUTE('Dashboard'!$B$7,"~","~~"),"*","~*"),"?","~?"))+COUNTIFS('Calculations'!$HS$13:$HS$512,"="&amp;SUBSTITUTE(SUBSTITUTE(SUBSTITUTE('Calculations'!HF121,"~","~~"),"*","~*"),"?","~?"),'Calculations'!$HN$13:$HN$512,"="&amp;SUBSTITUTE(SUBSTITUTE(SUBSTITUTE('Dashboard'!$B$7,"~","~~"),"*","~*"),"?","~?"))+COUNTIFS('Calculations'!$HT$13:$HT$512,"="&amp;SUBSTITUTE(SUBSTITUTE(SUBSTITUTE('Calculations'!HF121,"~","~~"),"*","~*"),"?","~?"),'Calculations'!$HN$13:$HN$512,"="&amp;SUBSTITUTE(SUBSTITUTE(SUBSTITUTE('Dashboard'!$B$7,"~","~~"),"*","~*"),"?","~?"))+COUNTIFS('Calculations'!$HU$13:$HU$512,"="&amp;SUBSTITUTE(SUBSTITUTE(SUBSTITUTE('Calculations'!HF121,"~","~~"),"*","~*"),"?","~?"),'Calculations'!$HN$13:$HN$512,"="&amp;SUBSTITUTE(SUBSTITUTE(SUBSTITUTE('Dashboard'!$B$7,"~","~~"),"*","~*"),"?","~?"))+COUNTIFS('Calculations'!$HV$13:$HV$512,"="&amp;SUBSTITUTE(SUBSTITUTE(SUBSTITUTE('Calculations'!HF121,"~","~~"),"*","~*"),"?","~?"),'Calculations'!$HN$13:$HN$512,"="&amp;SUBSTITUTE(SUBSTITUTE(SUBSTITUTE('Dashboard'!$B$7,"~","~~"),"*","~*"),"?","~?"))+COUNTIFS('Calculations'!$HW$13:$HW$512,"="&amp;SUBSTITUTE(SUBSTITUTE(SUBSTITUTE('Calculations'!HF121,"~","~~"),"*","~*"),"?","~?"),'Calculations'!$HN$13:$HN$512,"="&amp;SUBSTITUTE(SUBSTITUTE(SUBSTITUTE('Dashboard'!$B$7,"~","~~"),"*","~*"),"?","~?"))+COUNTIFS('Calculations'!$HX$13:$HX$512,"="&amp;SUBSTITUTE(SUBSTITUTE(SUBSTITUTE('Calculations'!HF121,"~","~~"),"*","~*"),"?","~?"),'Calculations'!$HN$13:$HN$512,"="&amp;SUBSTITUTE(SUBSTITUTE(SUBSTITUTE('Dashboard'!$B$7,"~","~~"),"*","~*"),"?","~?"))+COUNTIFS('Calculations'!$HY$13:$HY$512,"="&amp;SUBSTITUTE(SUBSTITUTE(SUBSTITUTE('Calculations'!HF121,"~","~~"),"*","~*"),"?","~?"),'Calculations'!$HN$13:$HN$512,"="&amp;SUBSTITUTE(SUBSTITUTE(SUBSTITUTE('Dashboard'!$B$7,"~","~~"),"*","~*"),"?","~?"))+COUNTIFS('Calculations'!$HZ$13:$HZ$512,"="&amp;SUBSTITUTE(SUBSTITUTE(SUBSTITUTE('Calculations'!HF121,"~","~~"),"*","~*"),"?","~?"),'Calculations'!$HN$13:$HN$512,"="&amp;SUBSTITUTE(SUBSTITUTE(SUBSTITUTE('Dashboard'!$B$7,"~","~~"),"*","~*"),"?","~?"))+COUNTIFS('Calculations'!$IA$13:$IA$512,"="&amp;SUBSTITUTE(SUBSTITUTE(SUBSTITUTE('Calculations'!HF121,"~","~~"),"*","~*"),"?","~?"),'Calculations'!$HN$13:$HN$512,"="&amp;SUBSTITUTE(SUBSTITUTE(SUBSTITUTE('Dashboard'!$B$7,"~","~~"),"*","~*"),"?","~?"))+COUNTIFS('Calculations'!$IB$13:$IB$512,"="&amp;SUBSTITUTE(SUBSTITUTE(SUBSTITUTE('Calculations'!HF121,"~","~~"),"*","~*"),"?","~?"),'Calculations'!$HN$13:$HN$512,"="&amp;SUBSTITUTE(SUBSTITUTE(SUBSTITUTE('Dashboard'!$B$7,"~","~~"),"*","~*"),"?","~?"))+COUNTIFS('Calculations'!$IC$13:$IC$512,"="&amp;SUBSTITUTE(SUBSTITUTE(SUBSTITUTE('Calculations'!HF121,"~","~~"),"*","~*"),"?","~?"),'Calculations'!$HN$13:$HN$512,"="&amp;SUBSTITUTE(SUBSTITUTE(SUBSTITUTE('Dashboard'!$B$7,"~","~~"),"*","~*"),"?","~?"))+COUNTIFS('Calculations'!$ID$13:$ID$512,"="&amp;SUBSTITUTE(SUBSTITUTE(SUBSTITUTE('Calculations'!HF121,"~","~~"),"*","~*"),"?","~?"),'Calculations'!$HN$13:$HN$512,"="&amp;SUBSTITUTE(SUBSTITUTE(SUBSTITUTE('Dashboard'!$B$7,"~","~~"),"*","~*"),"?","~?"))+COUNTIFS('Calculations'!$IE$13:$IE$512,"="&amp;SUBSTITUTE(SUBSTITUTE(SUBSTITUTE('Calculations'!HF121,"~","~~"),"*","~*"),"?","~?"),'Calculations'!$HN$13:$HN$512,"="&amp;SUBSTITUTE(SUBSTITUTE(SUBSTITUTE('Dashboard'!$B$7,"~","~~"),"*","~*"),"?","~?"))+COUNTIFS('Calculations'!$IF$13:$IF$512,"="&amp;SUBSTITUTE(SUBSTITUTE(SUBSTITUTE('Calculations'!HF121,"~","~~"),"*","~*"),"?","~?"),'Calculations'!$HN$13:$HN$512,"="&amp;SUBSTITUTE(SUBSTITUTE(SUBSTITUTE('Dashboard'!$B$7,"~","~~"),"*","~*"),"?","~?"))+COUNTIFS('Calculations'!$IG$13:$IG$512,"="&amp;SUBSTITUTE(SUBSTITUTE(SUBSTITUTE('Calculations'!HF121,"~","~~"),"*","~*"),"?","~?"),'Calculations'!$HN$13:$HN$512,"="&amp;SUBSTITUTE(SUBSTITUTE(SUBSTITUTE('Dashboard'!$B$7,"~","~~"),"*","~*"),"?","~?"))+COUNTIFS('Calculations'!$IH$13:$IH$512,"="&amp;SUBSTITUTE(SUBSTITUTE(SUBSTITUTE('Calculations'!HF121,"~","~~"),"*","~*"),"?","~?"),'Calculations'!$HN$13:$HN$512,"="&amp;SUBSTITUTE(SUBSTITUTE(SUBSTITUTE('Dashboard'!$B$7,"~","~~"),"*","~*"),"?","~?"))))</x:f>
        <x:v>0</x:v>
      </x:c>
      <x:c r="JD121" t="n">
        <x:f>IF('Calculations'!EM121="",0,IF('Dashboard'!$B$7="All",1,IF('Calculations'!HN121='Dashboard'!$B$7,1,0)+IFERROR(INDEX('Calculations'!$JC$13:$JC$512,MATCH('Calculations'!HE121,'Calculations'!$HF$13:$HF$512,0)),0)))</x:f>
        <x:v>0</x:v>
      </x:c>
      <x:c r="JE121" t="n">
        <x:f>IF(AND('Calculations'!EM121&lt;&gt;"",'Calculations'!$JJ$2&lt;&gt;"All",'Calculations'!$JJ$2&lt;&gt;"",'Calculations'!HF121='Calculations'!$JJ$2,'Calculations'!HL121=0,'Calculations'!JD121&gt;0),MAX('Calculations'!$JE$12:JE120)+1,0)</x:f>
        <x:v>0</x:v>
      </x:c>
      <x:c r="JF121" t="str">
        <x:f>IF('Calculations'!EM121="","",IFERROR(IF(INDEX(INDIRECT("'WCM Calibration Final'!$G$1:$G$2000"),'Calculations'!$EM121)="","",TRIM(INDEX(INDIRECT("'WCM Calibration Final'!$G$1:$G$2000"),'Calculations'!$EM121)&amp;"")),""))</x:f>
      </x:c>
      <x:c r="JQ121" t="n">
        <x:f>IF(OR('Calculations'!BM121=0,NOT('Calculations'!$AG$2),'Calculations'!$AG$8&gt;0),0,IF(OR('Dashboard'!$B$7="All",'Calculations'!HN121='Dashboard'!$B$7),IF('Calculations'!$JJ$2="All",1,IF(AND('Calculations'!HF121='Calculations'!$JJ$2,'Calculations'!HL121=0),1,0)),0))</x:f>
        <x:v>0</x:v>
      </x:c>
    </x:row>
    <x:row r="122">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t="n">
        <x:f>IF('Calculations'!$EM122="",0,IF(OR(IFERROR(INDEX(INDIRECT("'WCM Calibration Final'!$A$1:$A$2000"),'Calculations'!$EM122)&lt;&gt;"",FALSE),IFERROR(INDEX(INDIRECT("'WCM Calibration Final'!$B$1:$B$2000"),'Calculations'!$EM122)&lt;&gt;"",FALSE),IFERROR(INDEX(INDIRECT("'WCM Calibration Final'!$C$1:$C$2000"),'Calculations'!$EM122)&lt;&gt;"",FALSE)),1,0))</x:f>
        <x:v>0</x:v>
      </x:c>
      <x:c r="BN122" s="4" t="n">
        <x:f>IF(AND('Calculations'!BM122=1,'Calculations'!$AG$2,'Calculations'!$EN122=1),1,0)</x:f>
        <x:v>0</x:v>
      </x:c>
      <x:c r="BO122" s="4" t="str">
        <x:f>IF('Calculations'!BM122=0,"",IFERROR(IF(AND(VALUE(INDEX(INDIRECT("'WCM Calibration Final'!$K$1:$K$2000"),'Calculations'!$EM122))&gt;=1,VALUE(INDEX(INDIRECT("'WCM Calibration Final'!$K$1:$K$2000"),'Calculations'!$EM122))&lt;=4,MOD(VALUE(INDEX(INDIRECT("'WCM Calibration Final'!$K$1:$K$2000"),'Calculations'!$EM122)),1)=0),VALUE(INDEX(INDIRECT("'WCM Calibration Final'!$K$1:$K$2000"),'Calculations'!$EM122)),""),""))</x:f>
      </x:c>
      <x:c r="BP122" s="4" t="str">
        <x:f>IF('Calculations'!BM122=0,"",IFERROR(IF(AND(VALUE(INDEX(INDIRECT("'WCM Calibration Final'!$L$1:$L$2000"),'Calculations'!$EM122))&gt;=1,VALUE(INDEX(INDIRECT("'WCM Calibration Final'!$L$1:$L$2000"),'Calculations'!$EM122))&lt;=4,MOD(VALUE(INDEX(INDIRECT("'WCM Calibration Final'!$L$1:$L$2000"),'Calculations'!$EM122)),1)=0),VALUE(INDEX(INDIRECT("'WCM Calibration Final'!$L$1:$L$2000"),'Calculations'!$EM122)),""),""))</x:f>
      </x:c>
      <x:c r="BQ122" s="4"/>
      <x:c r="BR122" s="4"/>
      <x:c r="BS122" s="4"/>
      <x:c r="BT122" s="4" t="n">
        <x:f>IF(AND('Calculations'!BM122=1,ISNUMBER('Calculations'!BO122),ISNUMBER('Calculations'!BP122)),1,0)</x:f>
        <x:v>0</x:v>
      </x:c>
      <x:c r="BU122" s="4" t="str">
        <x:f>IF('Calculations'!BM122=0,"",'Calculations'!$EO122)</x:f>
      </x:c>
      <x:c r="BV122" s="4" t="str">
        <x:f>IF('Calculations'!BM122=0,"",IFERROR(IF(OR(INDEX(INDIRECT("'WCM Calibration Final'!$H$1:$H$2000"),'Calculations'!$EM122)="MANAGING DIRECTOR",INDEX(INDIRECT("'WCM Calibration Final'!$H$1:$H$2000"),'Calculations'!$EM122)="DIRECTOR",INDEX(INDIRECT("'WCM Calibration Final'!$H$1:$H$2000"),'Calculations'!$EM122)="SENIOR VICE PRESIDENT",INDEX(INDIRECT("'WCM Calibration Final'!$H$1:$H$2000"),'Calculations'!$EM122)="VICE PRESIDENT",INDEX(INDIRECT("'WCM Calibration Final'!$H$1:$H$2000"),'Calculations'!$EM122)="ASSISTANT VICE PRESIDENT",INDEX(INDIRECT("'WCM Calibration Final'!$H$1:$H$2000"),'Calculations'!$EM122)="OFFICER"),UPPER(INDEX(INDIRECT("'WCM Calibration Final'!$H$1:$H$2000"),'Calculations'!$EM122)),"Other"),"Other"))</x:f>
      </x:c>
      <x:c r="BW122" s="4"/>
      <x:c r="BX122" s="4"/>
      <x:c r="BY122" s="4" t="n">
        <x:f>IF(AND('Calculations'!BM122=1,'Calculations'!BU122&lt;&gt;"",COUNTIF('Calculations'!$BU$12:BU122,'Calculations'!BU122)=1),MAX('Calculations'!$BY$11:BY121)+1,0)</x:f>
        <x:v>0</x:v>
      </x:c>
      <x:c r="BZ122" s="4" t="str">
        <x:f>IF('Dashboard'!$E$67="What",'Calculations'!BO122,'Calculations'!BP122)</x:f>
      </x:c>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t="str">
        <x:f>IF(111&gt;MAX('Calculations'!$HI$13:$HI$512),"",INDEX('Calculations'!$HN$13:$HN$512,MATCH(111,'Calculations'!$HI$13:$HI$512,0)))</x:f>
      </x:c>
      <x:c r="DB122" s="4" t="str">
        <x:f>IF(111&gt;MAX('Calculations'!$HH$13:$HH$512),"",INDEX('Calculations'!$HJ$13:$HJ$512,MATCH(111,'Calculations'!$HH$13:$HH$512,0)))</x:f>
      </x:c>
      <x:c r="DC122" s="4" t="str">
        <x:f>IF(ROW()-11&gt;MAX('Calculations'!$BY$13:$BY$512),"",INDEX('Calculations'!$BU$13:$BU$512,MATCH(ROW()-11,'Calculations'!$BY$13:$BY$512,0)))</x:f>
      </x:c>
      <x:c r="DD122" s="4" t="str">
        <x:f>IF(111&gt;MAX('Calculations'!$IK$13:$IK$512),"",INDEX('Calculations'!$HK$13:$HK$512,MATCH(111,'Calculations'!$IK$13:$IK$512,0)))</x:f>
      </x:c>
      <x:c r="DE122" s="4" t="str">
        <x:f>'Calculations'!DC122</x:f>
      </x:c>
      <x:c r="DF122" s="4" t="str">
        <x:f>IF('Calculations'!DE122="","",COUNTIFS('Calculations'!$BN$13:$BN$512,1,'Calculations'!$BU$13:$BU$512,'Calculations'!DE122))</x:f>
      </x:c>
      <x:c r="DG122" s="4" t="str">
        <x:f>IF('Calculations'!DE122="","",COUNTIFS('Calculations'!$BN$13:$BN$512,1,'Calculations'!$BU$13:$BU$512,'Calculations'!DE122,'Calculations'!$BT$13:$BT$512,1))</x:f>
      </x:c>
      <x:c r="DH122" s="4" t="str">
        <x:f>IF('Calculations'!DE122="","",'Calculations'!DF122-'Calculations'!DG122)</x:f>
      </x:c>
      <x:c r="DI122" s="4" t="str">
        <x:f>IF(OR('Calculations'!DE122="",'Calculations'!DF122=0),"",'Calculations'!DG122/'Calculations'!DF122)</x:f>
      </x:c>
      <x:c r="DJ122" s="4" t="str">
        <x:f>IF('Calculations'!DE122="","",COUNTIFS('Calculations'!$BN$13:$BN$512,1,'Calculations'!$BU$13:$BU$512,'Calculations'!DE122,'Calculations'!$BT$13:$BT$512,1,'Calculations'!$EE$13:$EE$512,"High"))</x:f>
      </x:c>
      <x:c r="DK122" s="4" t="str">
        <x:f>IF('Calculations'!DE122="","",COUNTIFS('Calculations'!$BN$13:$BN$512,1,'Calculations'!$BU$13:$BU$512,'Calculations'!DE122,'Calculations'!$BT$13:$BT$512,1,'Calculations'!$EE$13:$EE$512,"Strong"))</x:f>
      </x:c>
      <x:c r="DL122" s="4" t="str">
        <x:f>IF('Calculations'!DE122="","",COUNTIFS('Calculations'!$BN$13:$BN$512,1,'Calculations'!$BU$13:$BU$512,'Calculations'!DE122,'Calculations'!$BT$13:$BT$512,1,'Calculations'!$EE$13:$EE$512,"Solid"))</x:f>
      </x:c>
      <x:c r="DM122" s="4" t="str">
        <x:f>IF('Calculations'!DE122="","",COUNTIFS('Calculations'!$BN$13:$BN$512,1,'Calculations'!$BU$13:$BU$512,'Calculations'!DE122,'Calculations'!$BT$13:$BT$512,1,'Calculations'!$EE$13:$EE$512,"Low"))</x:f>
      </x:c>
      <x:c r="DN122" s="4" t="str">
        <x:f>IF('Calculations'!DE122="","",COUNTIFS('Calculations'!$BN$13:$BN$512,1,'Calculations'!$BU$13:$BU$512,'Calculations'!DE122,'Calculations'!$EP$13:$EP$512,1))</x:f>
      </x:c>
      <x:c r="DO122" s="4" t="str">
        <x:f>IF(OR('Calculations'!DE122="",'Calculations'!DG122=0),"",('Calculations'!DJ122+'Calculations'!DK122)/'Calculations'!DG122)</x:f>
      </x:c>
      <x:c r="DP122" s="4" t="n">
        <x:f>IF(AND('Calculations'!DE122&lt;&gt;"",'Calculations'!DF122&gt;0),COUNTIF('Calculations'!$DF$12:DF122,"&gt;0"),0)</x:f>
        <x:v>0</x:v>
      </x:c>
      <x:c r="DQ122" s="4" t="str">
        <x:f>IF(111&gt;MAX('Calculations'!$HH$13:$HH$512),"",INDEX('Calculations'!$HF$13:$HF$512,MATCH(111,'Calculations'!$HH$13:$HH$512,0)))</x:f>
      </x:c>
      <x:c r="DR122" s="4" t="str">
        <x:f>IF(111&gt;MAX('Calculations'!$IK$13:$IK$512),"",INDEX('Calculations'!$HE$13:$HE$512,MATCH(111,'Calculations'!$IK$13:$IK$512,0)))</x:f>
      </x:c>
      <x:c r="DS122" s="4"/>
      <x:c r="DT122" s="4"/>
      <x:c r="DU122" s="4"/>
      <x:c r="DV122" s="4"/>
      <x:c r="DW122" s="4"/>
      <x:c r="DX122" s="4"/>
      <x:c r="DY122" s="4"/>
      <x:c r="DZ122" s="4"/>
      <x:c r="EA122" s="4"/>
      <x:c r="EB122" s="4"/>
      <x:c r="EC122" s="4"/>
      <x:c r="ED122" s="4"/>
      <x:c r="EE122" s="4" t="str">
        <x:f>IF('Calculations'!BT122=0,"Not Rated",IF(OR('Calculations'!BO122&gt;=4,'Calculations'!BP122&gt;=4),"Low",IF('Calculations'!BO122+'Calculations'!BP122&lt;=3,"High",IF('Calculations'!BO122+'Calculations'!BP122&lt;=4,"Strong","Solid"))))</x:f>
        <x:v>Not Rated</x:v>
      </x:c>
      <x:c r="EF122" s="4"/>
      <x:c r="EG122" s="4"/>
      <x:c r="EH122" s="4"/>
      <x:c r="EI122" s="4"/>
      <x:c r="EJ122" s="4"/>
      <x:c r="EK122" s="4"/>
      <x:c r="EL122" s="4"/>
      <x:c r="EM122" s="4" t="str">
        <x:f>IF(110&gt;'Calculations'!$JB$2000,"",INDEX('Calculations'!$JA$12:$JA$2000,MATCH(110,'Calculations'!$JB$12:$JB$2000,0)))</x:f>
      </x:c>
      <x:c r="EN122" s="4" t="n">
        <x:f>IF(OR('Calculations'!EM122="",'Calculations'!$AG$8&gt;0,AND('Calculations'!$EF$2&lt;&gt;"All",'Calculations'!HE122='Calculations'!$EF$2),AND('Calculations'!$EF$3&lt;&gt;"All",'Calculations'!HE122='Calculations'!$EF$3)),0,IF(OR('Dashboard'!$B$7="All",'Calculations'!HN122='Dashboard'!$B$7),IF('Calculations'!$EF$2="All",1,IF('Calculations'!HL122&gt;0,0,IF(COUNTIF('Calculations'!HO122:II122,"="&amp;SUBSTITUTE(SUBSTITUTE(SUBSTITUTE('Calculations'!$EF$2,"~","~~"),"*","~*"),"?","~?"))=0,0,IF('Calculations'!$EF$3="All",1,IF(COUNTIF('Calculations'!HO122:II122,"="&amp;SUBSTITUTE(SUBSTITUTE(SUBSTITUTE('Calculations'!$EF$3,"~","~~"),"*","~*"),"?","~?"))&gt;0,1,0))))),0))</x:f>
        <x:v>0</x:v>
      </x:c>
      <x:c r="EO122" s="4" t="str">
        <x:f>IF('Calculations'!IJ122="","",IF('Calculations'!IJ122="!UNRESOLVED","Unresolved hierarchy",IFERROR(INDEX('Calculations'!$HK$13:$HK$512,MATCH('Calculations'!IJ122,'Calculations'!$HE$13:$HE$512,0)),IFERROR(INDEX('Calculations'!$HJ$13:$HJ$512,MATCH('Calculations'!IJ122,'Calculations'!$HF$13:$HF$512,0)),'Calculations'!IJ122))))</x:f>
      </x:c>
      <x:c r="EP122" s="4" t="n">
        <x:f>IF(AND('Calculations'!EM122&lt;&gt;"",'Calculations'!HF122='Calculations'!IJ122),1,0)</x:f>
        <x:v>0</x:v>
      </x:c>
      <x:c r="EQ122" s="4"/>
      <x:c r="ER122" s="4"/>
      <x:c r="ES122" s="4"/>
      <x:c r="ET122" s="4"/>
      <x:c r="EU122" s="4"/>
      <x:c r="EV122" s="4"/>
      <x:c r="EW122" s="4"/>
      <x:c r="EX122" s="4"/>
      <x:c r="EY122" s="4"/>
      <x:c r="EZ122" s="4"/>
      <x:c r="FA122" s="4"/>
      <x:c r="FB122" s="4"/>
      <x:c r="FC122" s="4"/>
      <x:c r="FD122" s="4"/>
      <x:c r="FE122" s="4"/>
      <x:c r="FF122" s="4"/>
      <x:c r="FG122" s="4"/>
      <x:c r="FH122" s="4"/>
      <x:c r="FI122" s="4"/>
      <x:c r="FJ122" s="4"/>
      <x:c r="FK122" s="4"/>
      <x:c r="FL122" s="4"/>
      <x:c r="FM122" s="4"/>
      <x:c r="FN122" s="4"/>
      <x:c r="FO122" s="4"/>
      <x:c r="GA122" s="71"/>
      <x:c r="GB122" s="71"/>
      <x:c r="GC122" s="71"/>
      <x:c r="GD122" s="71"/>
      <x:c r="GE122" s="71"/>
      <x:c r="GF122" s="71"/>
      <x:c r="GG122" s="71"/>
      <x:c r="GH122" s="71"/>
      <x:c r="GI122" s="71"/>
      <x:c r="GJ122" s="71"/>
      <x:c r="GK122" s="71"/>
      <x:c r="GL122" s="71"/>
      <x:c r="GM122" s="71"/>
      <x:c r="GN122" s="71"/>
      <x:c r="GO122" s="71"/>
      <x:c r="GP122" s="71"/>
      <x:c r="GQ122" s="71"/>
      <x:c r="GR122" s="71"/>
      <x:c r="GS122" s="71"/>
      <x:c r="GT122" s="71"/>
      <x:c r="GU122" s="71"/>
      <x:c r="GV122" s="71"/>
      <x:c r="GW122" s="71"/>
      <x:c r="GX122" s="71"/>
      <x:c r="GY122" s="71"/>
      <x:c r="GZ122" s="71"/>
      <x:c r="HA122" s="71"/>
      <x:c r="HB122" s="71"/>
      <x:c r="HC122" s="71"/>
      <x:c r="HD122" s="71"/>
      <x:c r="HE122" t="str">
        <x:f>IF('Calculations'!EM122="","",IF(IFERROR(IF(INDEX(INDIRECT("'WCM Calibration Final'!$A$1:$A$2000"),'Calculations'!$EM122)="","",TRIM(INDEX(INDIRECT("'WCM Calibration Final'!$A$1:$A$2000"),'Calculations'!$EM122)&amp;"")),"")&lt;&gt;"","G:"&amp;IFERROR(TEXT(1*INDEX(INDIRECT("'WCM Calibration Final'!$A$1:$A$2000"),'Calculations'!$EM122),"0"),UPPER(IFERROR(IF(INDEX(INDIRECT("'WCM Calibration Final'!$A$1:$A$2000"),'Calculations'!$EM122)="","",TRIM(INDEX(INDIRECT("'WCM Calibration Final'!$A$1:$A$2000"),'Calculations'!$EM122)&amp;"")),""))),IF(IFERROR(IF(INDEX(INDIRECT("'WCM Calibration Final'!$C$1:$C$2000"),'Calculations'!$EM122)="","",TRIM(INDEX(INDIRECT("'WCM Calibration Final'!$C$1:$C$2000"),'Calculations'!$EM122)&amp;"")),"")&lt;&gt;"","S:"&amp;UPPER(IFERROR(IF(INDEX(INDIRECT("'WCM Calibration Final'!$C$1:$C$2000"),'Calculations'!$EM122)="","",TRIM(INDEX(INDIRECT("'WCM Calibration Final'!$C$1:$C$2000"),'Calculations'!$EM122)&amp;"")),"")),"R:"&amp;'Calculations'!EM122)))</x:f>
      </x:c>
      <x:c r="HF122" t="str">
        <x:f>IF('Calculations'!EM122="","",IF(IFERROR(IF(INDEX(INDIRECT("'WCM Calibration Final'!$D$1:$D$2000"),'Calculations'!$EM122)="","",TRIM(INDEX(INDIRECT("'WCM Calibration Final'!$D$1:$D$2000"),'Calculations'!$EM122)&amp;"")),"")&lt;&gt;"","G:"&amp;IFERROR(TEXT(1*INDEX(INDIRECT("'WCM Calibration Final'!$D$1:$D$2000"),'Calculations'!$EM122),"0"),UPPER(IFERROR(IF(INDEX(INDIRECT("'WCM Calibration Final'!$D$1:$D$2000"),'Calculations'!$EM122)="","",TRIM(INDEX(INDIRECT("'WCM Calibration Final'!$D$1:$D$2000"),'Calculations'!$EM122)&amp;"")),""))),IF(IFERROR(IF(INDEX(INDIRECT("'WCM Calibration Final'!$E$1:$E$2000"),'Calculations'!$EM122)="","",TRIM(INDEX(INDIRECT("'WCM Calibration Final'!$E$1:$E$2000"),'Calculations'!$EM122)&amp;"")),"")="","",IF(COUNTIF('Calculations'!$HG$13:$HG$512,"="&amp;SUBSTITUTE(SUBSTITUTE(SUBSTITUTE(IFERROR(IF(INDEX(INDIRECT("'WCM Calibration Final'!$E$1:$E$2000"),'Calculations'!$EM122)="","",TRIM(INDEX(INDIRECT("'WCM Calibration Final'!$E$1:$E$2000"),'Calculations'!$EM122)&amp;"")),""),"~","~~"),"*","~*"),"?","~?"))=1,INDEX('Calculations'!$HE$13:$HE$512,MATCH(IFERROR(IF(INDEX(INDIRECT("'WCM Calibration Final'!$E$1:$E$2000"),'Calculations'!$EM122)="","",TRIM(INDEX(INDIRECT("'WCM Calibration Final'!$E$1:$E$2000"),'Calculations'!$EM122)&amp;"")),""),'Calculations'!$HG$13:$HG$512,0)),IF(COUNTIF('Calculations'!$HG$13:$HG$512,"="&amp;SUBSTITUTE(SUBSTITUTE(SUBSTITUTE(IFERROR(IF(INDEX(INDIRECT("'WCM Calibration Final'!$E$1:$E$2000"),'Calculations'!$EM122)="","",TRIM(INDEX(INDIRECT("'WCM Calibration Final'!$E$1:$E$2000"),'Calculations'!$EM122)&amp;"")),""),"~","~~"),"*","~*"),"?","~?"))&gt;1,"!AMBIG","X:"&amp;IFERROR(IF(INDEX(INDIRECT("'WCM Calibration Final'!$E$1:$E$2000"),'Calculations'!$EM122)="","",TRIM(INDEX(INDIRECT("'WCM Calibration Final'!$E$1:$E$2000"),'Calculations'!$EM122)&amp;"")),""))))))</x:f>
      </x:c>
      <x:c r="HG122" t="str">
        <x:f>IF('Calculations'!EM122="","",IFERROR(IF(INDEX(INDIRECT("'WCM Calibration Final'!$B$1:$B$2000"),'Calculations'!$EM122)="","",TRIM(INDEX(INDIRECT("'WCM Calibration Final'!$B$1:$B$2000"),'Calculations'!$EM122)&amp;"")),""))</x:f>
      </x:c>
      <x:c r="HH122" t="n">
        <x:f>IF(AND('Calculations'!JC122&gt;0,COUNTIF('Calculations'!$HF$12:HF122,"="&amp;SUBSTITUTE(SUBSTITUTE(SUBSTITUTE('Calculations'!HF122,"~","~~"),"*","~*"),"?","~?"))=1),MAX('Calculations'!$HH$12:HH121)+1,0)</x:f>
        <x:v>0</x:v>
      </x:c>
      <x:c r="HI122" t="n">
        <x:f>IF(AND('Calculations'!HN122&lt;&gt;"",COUNTIF('Calculations'!$HN$12:HN122,"="&amp;SUBSTITUTE(SUBSTITUTE(SUBSTITUTE('Calculations'!HN122,"~","~~"),"*","~*"),"?","~?"))=1),MAX('Calculations'!$HI$12:HI121)+1,0)</x:f>
        <x:v>0</x:v>
      </x:c>
      <x:c r="HJ122" t="str">
        <x:f>IF('Calculations'!HF122="","",IF(COUNTIF('Calculations'!$HE$13:$HE$512,"="&amp;SUBSTITUTE(SUBSTITUTE(SUBSTITUTE('Calculations'!HF122,"~","~~"),"*","~*"),"?","~?"))=1,INDEX('Calculations'!$HK$13:$HK$512,MATCH('Calculations'!HF122,'Calculations'!$HE$13:$HE$512,0)),IFERROR(IF(INDEX(INDIRECT("'WCM Calibration Final'!$E$1:$E$2000"),'Calculations'!$EM122)="","",TRIM(INDEX(INDIRECT("'WCM Calibration Final'!$E$1:$E$2000"),'Calculations'!$EM122)&amp;"")),"")&amp;" ["&amp;'Calculations'!HF122&amp;"]"))</x:f>
      </x:c>
      <x:c r="HK122" t="str">
        <x:f>IF('Calculations'!EM122="","",'Calculations'!HG122&amp;" ["&amp;'Calculations'!HE122&amp;"]")</x:f>
      </x:c>
      <x:c r="HL122" t="n">
        <x:f>IF('Calculations'!EM122="",0,IF(OR('Calculations'!II122&lt;&gt;"",COUNTIF('Calculations'!$HE$13:$HE$512,"="&amp;SUBSTITUTE(SUBSTITUTE(SUBSTITUTE('Calculations'!HE122,"~","~~"),"*","~*"),"?","~?"))&gt;1),1,0))</x:f>
        <x:v>0</x:v>
      </x:c>
      <x:c r="HM122" t="str">
        <x:f>IF('Calculations'!EM122="","",IF('Calculations'!HL122=1,"!UNRESOLVED",IF('Calculations'!IH122&lt;&gt;"",'Calculations'!IH122,IF('Calculations'!IG122&lt;&gt;"",'Calculations'!IG122,IF('Calculations'!IF122&lt;&gt;"",'Calculations'!IF122,IF('Calculations'!IE122&lt;&gt;"",'Calculations'!IE122,IF('Calculations'!ID122&lt;&gt;"",'Calculations'!ID122,IF('Calculations'!IC122&lt;&gt;"",'Calculations'!IC122,IF('Calculations'!IB122&lt;&gt;"",'Calculations'!IB122,IF('Calculations'!IA122&lt;&gt;"",'Calculations'!IA122,IF('Calculations'!HZ122&lt;&gt;"",'Calculations'!HZ122,IF('Calculations'!HY122&lt;&gt;"",'Calculations'!HY122,IF('Calculations'!HX122&lt;&gt;"",'Calculations'!HX122,IF('Calculations'!HW122&lt;&gt;"",'Calculations'!HW122,IF('Calculations'!HV122&lt;&gt;"",'Calculations'!HV122,IF('Calculations'!HU122&lt;&gt;"",'Calculations'!HU122,IF('Calculations'!HT122&lt;&gt;"",'Calculations'!HT122,IF('Calculations'!HS122&lt;&gt;"",'Calculations'!HS122,IF('Calculations'!HR122&lt;&gt;"",'Calculations'!HR122,IF('Calculations'!HQ122&lt;&gt;"",'Calculations'!HQ122,IF('Calculations'!HP122&lt;&gt;"",'Calculations'!HP122,IF('Calculations'!HO122&lt;&gt;"",'Calculations'!HO122,'Calculations'!HE122))))))))))))))))))))))</x:f>
      </x:c>
      <x:c r="HN122" t="str">
        <x:f>IF('Calculations'!EM122="","",IF(IFERROR(IF(INDEX(INDIRECT("'WCM Calibration Final'!$F$1:$F$2000"),'Calculations'!$EM122)="","",TRIM(INDEX(INDIRECT("'WCM Calibration Final'!$F$1:$F$2000"),'Calculations'!$EM122)&amp;"")),"")="","(Blank)",IFERROR(IF(INDEX(INDIRECT("'WCM Calibration Final'!$F$1:$F$2000"),'Calculations'!$EM122)="","",TRIM(INDEX(INDIRECT("'WCM Calibration Final'!$F$1:$F$2000"),'Calculations'!$EM122)&amp;"")),"")))</x:f>
      </x:c>
      <x:c r="HO122" t="str">
        <x:f>'Calculations'!HF122</x:f>
      </x:c>
      <x:c r="HP122" t="str">
        <x:f>IF('Calculations'!HO122="","",IF('Calculations'!HO122="!AMBIG","!AMBIG",IF(COUNTIF('Calculations'!$HE$13:$HE$512,"="&amp;SUBSTITUTE(SUBSTITUTE(SUBSTITUTE('Calculations'!HO122,"~","~~"),"*","~*"),"?","~?"))&gt;1,"!AMBIG",IFERROR(INDEX('Calculations'!$HF$13:$HF$512,MATCH('Calculations'!HO122,'Calculations'!$HE$13:$HE$512,0)),""))))</x:f>
      </x:c>
      <x:c r="HQ122" t="str">
        <x:f>IF('Calculations'!HP122="","",IF('Calculations'!HP122="!AMBIG","!AMBIG",IF(COUNTIF('Calculations'!$HE$13:$HE$512,"="&amp;SUBSTITUTE(SUBSTITUTE(SUBSTITUTE('Calculations'!HP122,"~","~~"),"*","~*"),"?","~?"))&gt;1,"!AMBIG",IFERROR(INDEX('Calculations'!$HF$13:$HF$512,MATCH('Calculations'!HP122,'Calculations'!$HE$13:$HE$512,0)),""))))</x:f>
      </x:c>
      <x:c r="HR122" t="str">
        <x:f>IF('Calculations'!HQ122="","",IF('Calculations'!HQ122="!AMBIG","!AMBIG",IF(COUNTIF('Calculations'!$HE$13:$HE$512,"="&amp;SUBSTITUTE(SUBSTITUTE(SUBSTITUTE('Calculations'!HQ122,"~","~~"),"*","~*"),"?","~?"))&gt;1,"!AMBIG",IFERROR(INDEX('Calculations'!$HF$13:$HF$512,MATCH('Calculations'!HQ122,'Calculations'!$HE$13:$HE$512,0)),""))))</x:f>
      </x:c>
      <x:c r="HS122" t="str">
        <x:f>IF('Calculations'!HR122="","",IF('Calculations'!HR122="!AMBIG","!AMBIG",IF(COUNTIF('Calculations'!$HE$13:$HE$512,"="&amp;SUBSTITUTE(SUBSTITUTE(SUBSTITUTE('Calculations'!HR122,"~","~~"),"*","~*"),"?","~?"))&gt;1,"!AMBIG",IFERROR(INDEX('Calculations'!$HF$13:$HF$512,MATCH('Calculations'!HR122,'Calculations'!$HE$13:$HE$512,0)),""))))</x:f>
      </x:c>
      <x:c r="HT122" t="str">
        <x:f>IF('Calculations'!HS122="","",IF('Calculations'!HS122="!AMBIG","!AMBIG",IF(COUNTIF('Calculations'!$HE$13:$HE$512,"="&amp;SUBSTITUTE(SUBSTITUTE(SUBSTITUTE('Calculations'!HS122,"~","~~"),"*","~*"),"?","~?"))&gt;1,"!AMBIG",IFERROR(INDEX('Calculations'!$HF$13:$HF$512,MATCH('Calculations'!HS122,'Calculations'!$HE$13:$HE$512,0)),""))))</x:f>
      </x:c>
      <x:c r="HU122" t="str">
        <x:f>IF('Calculations'!HT122="","",IF('Calculations'!HT122="!AMBIG","!AMBIG",IF(COUNTIF('Calculations'!$HE$13:$HE$512,"="&amp;SUBSTITUTE(SUBSTITUTE(SUBSTITUTE('Calculations'!HT122,"~","~~"),"*","~*"),"?","~?"))&gt;1,"!AMBIG",IFERROR(INDEX('Calculations'!$HF$13:$HF$512,MATCH('Calculations'!HT122,'Calculations'!$HE$13:$HE$512,0)),""))))</x:f>
      </x:c>
      <x:c r="HV122" t="str">
        <x:f>IF('Calculations'!HU122="","",IF('Calculations'!HU122="!AMBIG","!AMBIG",IF(COUNTIF('Calculations'!$HE$13:$HE$512,"="&amp;SUBSTITUTE(SUBSTITUTE(SUBSTITUTE('Calculations'!HU122,"~","~~"),"*","~*"),"?","~?"))&gt;1,"!AMBIG",IFERROR(INDEX('Calculations'!$HF$13:$HF$512,MATCH('Calculations'!HU122,'Calculations'!$HE$13:$HE$512,0)),""))))</x:f>
      </x:c>
      <x:c r="HW122" t="str">
        <x:f>IF('Calculations'!HV122="","",IF('Calculations'!HV122="!AMBIG","!AMBIG",IF(COUNTIF('Calculations'!$HE$13:$HE$512,"="&amp;SUBSTITUTE(SUBSTITUTE(SUBSTITUTE('Calculations'!HV122,"~","~~"),"*","~*"),"?","~?"))&gt;1,"!AMBIG",IFERROR(INDEX('Calculations'!$HF$13:$HF$512,MATCH('Calculations'!HV122,'Calculations'!$HE$13:$HE$512,0)),""))))</x:f>
      </x:c>
      <x:c r="HX122" t="str">
        <x:f>IF('Calculations'!HW122="","",IF('Calculations'!HW122="!AMBIG","!AMBIG",IF(COUNTIF('Calculations'!$HE$13:$HE$512,"="&amp;SUBSTITUTE(SUBSTITUTE(SUBSTITUTE('Calculations'!HW122,"~","~~"),"*","~*"),"?","~?"))&gt;1,"!AMBIG",IFERROR(INDEX('Calculations'!$HF$13:$HF$512,MATCH('Calculations'!HW122,'Calculations'!$HE$13:$HE$512,0)),""))))</x:f>
      </x:c>
      <x:c r="HY122" t="str">
        <x:f>IF('Calculations'!HX122="","",IF('Calculations'!HX122="!AMBIG","!AMBIG",IF(COUNTIF('Calculations'!$HE$13:$HE$512,"="&amp;SUBSTITUTE(SUBSTITUTE(SUBSTITUTE('Calculations'!HX122,"~","~~"),"*","~*"),"?","~?"))&gt;1,"!AMBIG",IFERROR(INDEX('Calculations'!$HF$13:$HF$512,MATCH('Calculations'!HX122,'Calculations'!$HE$13:$HE$512,0)),""))))</x:f>
      </x:c>
      <x:c r="HZ122" t="str">
        <x:f>IF('Calculations'!HY122="","",IF('Calculations'!HY122="!AMBIG","!AMBIG",IF(COUNTIF('Calculations'!$HE$13:$HE$512,"="&amp;SUBSTITUTE(SUBSTITUTE(SUBSTITUTE('Calculations'!HY122,"~","~~"),"*","~*"),"?","~?"))&gt;1,"!AMBIG",IFERROR(INDEX('Calculations'!$HF$13:$HF$512,MATCH('Calculations'!HY122,'Calculations'!$HE$13:$HE$512,0)),""))))</x:f>
      </x:c>
      <x:c r="IA122" t="str">
        <x:f>IF('Calculations'!HZ122="","",IF('Calculations'!HZ122="!AMBIG","!AMBIG",IF(COUNTIF('Calculations'!$HE$13:$HE$512,"="&amp;SUBSTITUTE(SUBSTITUTE(SUBSTITUTE('Calculations'!HZ122,"~","~~"),"*","~*"),"?","~?"))&gt;1,"!AMBIG",IFERROR(INDEX('Calculations'!$HF$13:$HF$512,MATCH('Calculations'!HZ122,'Calculations'!$HE$13:$HE$512,0)),""))))</x:f>
      </x:c>
      <x:c r="IB122" t="str">
        <x:f>IF('Calculations'!IA122="","",IF('Calculations'!IA122="!AMBIG","!AMBIG",IF(COUNTIF('Calculations'!$HE$13:$HE$512,"="&amp;SUBSTITUTE(SUBSTITUTE(SUBSTITUTE('Calculations'!IA122,"~","~~"),"*","~*"),"?","~?"))&gt;1,"!AMBIG",IFERROR(INDEX('Calculations'!$HF$13:$HF$512,MATCH('Calculations'!IA122,'Calculations'!$HE$13:$HE$512,0)),""))))</x:f>
      </x:c>
      <x:c r="IC122" t="str">
        <x:f>IF('Calculations'!IB122="","",IF('Calculations'!IB122="!AMBIG","!AMBIG",IF(COUNTIF('Calculations'!$HE$13:$HE$512,"="&amp;SUBSTITUTE(SUBSTITUTE(SUBSTITUTE('Calculations'!IB122,"~","~~"),"*","~*"),"?","~?"))&gt;1,"!AMBIG",IFERROR(INDEX('Calculations'!$HF$13:$HF$512,MATCH('Calculations'!IB122,'Calculations'!$HE$13:$HE$512,0)),""))))</x:f>
      </x:c>
      <x:c r="ID122" t="str">
        <x:f>IF('Calculations'!IC122="","",IF('Calculations'!IC122="!AMBIG","!AMBIG",IF(COUNTIF('Calculations'!$HE$13:$HE$512,"="&amp;SUBSTITUTE(SUBSTITUTE(SUBSTITUTE('Calculations'!IC122,"~","~~"),"*","~*"),"?","~?"))&gt;1,"!AMBIG",IFERROR(INDEX('Calculations'!$HF$13:$HF$512,MATCH('Calculations'!IC122,'Calculations'!$HE$13:$HE$512,0)),""))))</x:f>
      </x:c>
      <x:c r="IE122" t="str">
        <x:f>IF('Calculations'!ID122="","",IF('Calculations'!ID122="!AMBIG","!AMBIG",IF(COUNTIF('Calculations'!$HE$13:$HE$512,"="&amp;SUBSTITUTE(SUBSTITUTE(SUBSTITUTE('Calculations'!ID122,"~","~~"),"*","~*"),"?","~?"))&gt;1,"!AMBIG",IFERROR(INDEX('Calculations'!$HF$13:$HF$512,MATCH('Calculations'!ID122,'Calculations'!$HE$13:$HE$512,0)),""))))</x:f>
      </x:c>
      <x:c r="IF122" t="str">
        <x:f>IF('Calculations'!IE122="","",IF('Calculations'!IE122="!AMBIG","!AMBIG",IF(COUNTIF('Calculations'!$HE$13:$HE$512,"="&amp;SUBSTITUTE(SUBSTITUTE(SUBSTITUTE('Calculations'!IE122,"~","~~"),"*","~*"),"?","~?"))&gt;1,"!AMBIG",IFERROR(INDEX('Calculations'!$HF$13:$HF$512,MATCH('Calculations'!IE122,'Calculations'!$HE$13:$HE$512,0)),""))))</x:f>
      </x:c>
      <x:c r="IG122" t="str">
        <x:f>IF('Calculations'!IF122="","",IF('Calculations'!IF122="!AMBIG","!AMBIG",IF(COUNTIF('Calculations'!$HE$13:$HE$512,"="&amp;SUBSTITUTE(SUBSTITUTE(SUBSTITUTE('Calculations'!IF122,"~","~~"),"*","~*"),"?","~?"))&gt;1,"!AMBIG",IFERROR(INDEX('Calculations'!$HF$13:$HF$512,MATCH('Calculations'!IF122,'Calculations'!$HE$13:$HE$512,0)),""))))</x:f>
      </x:c>
      <x:c r="IH122" t="str">
        <x:f>IF('Calculations'!IG122="","",IF('Calculations'!IG122="!AMBIG","!AMBIG",IF(COUNTIF('Calculations'!$HE$13:$HE$512,"="&amp;SUBSTITUTE(SUBSTITUTE(SUBSTITUTE('Calculations'!IG122,"~","~~"),"*","~*"),"?","~?"))&gt;1,"!AMBIG",IFERROR(INDEX('Calculations'!$HF$13:$HF$512,MATCH('Calculations'!IG122,'Calculations'!$HE$13:$HE$512,0)),""))))</x:f>
      </x:c>
      <x:c r="II122" t="str">
        <x:f>IF('Calculations'!IH122="","",IF('Calculations'!IH122="!AMBIG","!AMBIG",IF(COUNTIF('Calculations'!$HE$13:$HE$512,"="&amp;SUBSTITUTE(SUBSTITUTE(SUBSTITUTE('Calculations'!IH122,"~","~~"),"*","~*"),"?","~?"))&gt;1,"!AMBIG",IFERROR(INDEX('Calculations'!$HF$13:$HF$512,MATCH('Calculations'!IH122,'Calculations'!$HE$13:$HE$512,0)),""))))</x:f>
      </x:c>
      <x:c r="IJ122" t="str">
        <x:f>IF('Calculations'!EM122="","",IF('Calculations'!$EF$2="All",'Calculations'!HM122,IF('Calculations'!HL122=1,"",IFERROR(IF(MATCH('Calculations'!$EF$2,'Calculations'!HO122:II122,0)=1,'Calculations'!HE122,INDEX('Calculations'!HO122:II122,1,MATCH('Calculations'!$EF$2,'Calculations'!HO122:II122,0)-1)),""))))</x:f>
      </x:c>
      <x:c r="IK122" t="n">
        <x:f>IF(AND('Calculations'!EM122&lt;&gt;"",'Calculations'!$EF$2&lt;&gt;"All",'Calculations'!HF122='Calculations'!$EF$2,'Calculations'!HL122=0,'Calculations'!JD122&gt;0),MAX('Calculations'!$IK$12:IK121)+1,0)</x:f>
        <x:v>0</x:v>
      </x:c>
      <x:c r="JA122" t="n">
        <x:f>IF(OR(IFERROR(INDIRECT("'WCM Calibration Final'!$A$122")&lt;&gt;"",FALSE),IFERROR(INDIRECT("'WCM Calibration Final'!$B$122")&lt;&gt;"",FALSE),IFERROR(INDIRECT("'WCM Calibration Final'!$C$122")&lt;&gt;"",FALSE)),122,0)</x:f>
        <x:v>0</x:v>
      </x:c>
      <x:c r="JB122" t="n">
        <x:f>'Calculations'!JB121+IF('Calculations'!JA122&gt;0,1,0)</x:f>
        <x:v>0</x:v>
      </x:c>
      <x:c r="JC122" t="n">
        <x:f>IF(OR('Calculations'!HF122="",'Calculations'!HF122="!AMBIG"),0,IF('Dashboard'!$B$7="All",1,COUNTIFS('Calculations'!$HO$13:$HO$512,"="&amp;SUBSTITUTE(SUBSTITUTE(SUBSTITUTE('Calculations'!HF122,"~","~~"),"*","~*"),"?","~?"),'Calculations'!$HN$13:$HN$512,"="&amp;SUBSTITUTE(SUBSTITUTE(SUBSTITUTE('Dashboard'!$B$7,"~","~~"),"*","~*"),"?","~?"))+COUNTIFS('Calculations'!$HP$13:$HP$512,"="&amp;SUBSTITUTE(SUBSTITUTE(SUBSTITUTE('Calculations'!HF122,"~","~~"),"*","~*"),"?","~?"),'Calculations'!$HN$13:$HN$512,"="&amp;SUBSTITUTE(SUBSTITUTE(SUBSTITUTE('Dashboard'!$B$7,"~","~~"),"*","~*"),"?","~?"))+COUNTIFS('Calculations'!$HQ$13:$HQ$512,"="&amp;SUBSTITUTE(SUBSTITUTE(SUBSTITUTE('Calculations'!HF122,"~","~~"),"*","~*"),"?","~?"),'Calculations'!$HN$13:$HN$512,"="&amp;SUBSTITUTE(SUBSTITUTE(SUBSTITUTE('Dashboard'!$B$7,"~","~~"),"*","~*"),"?","~?"))+COUNTIFS('Calculations'!$HR$13:$HR$512,"="&amp;SUBSTITUTE(SUBSTITUTE(SUBSTITUTE('Calculations'!HF122,"~","~~"),"*","~*"),"?","~?"),'Calculations'!$HN$13:$HN$512,"="&amp;SUBSTITUTE(SUBSTITUTE(SUBSTITUTE('Dashboard'!$B$7,"~","~~"),"*","~*"),"?","~?"))+COUNTIFS('Calculations'!$HS$13:$HS$512,"="&amp;SUBSTITUTE(SUBSTITUTE(SUBSTITUTE('Calculations'!HF122,"~","~~"),"*","~*"),"?","~?"),'Calculations'!$HN$13:$HN$512,"="&amp;SUBSTITUTE(SUBSTITUTE(SUBSTITUTE('Dashboard'!$B$7,"~","~~"),"*","~*"),"?","~?"))+COUNTIFS('Calculations'!$HT$13:$HT$512,"="&amp;SUBSTITUTE(SUBSTITUTE(SUBSTITUTE('Calculations'!HF122,"~","~~"),"*","~*"),"?","~?"),'Calculations'!$HN$13:$HN$512,"="&amp;SUBSTITUTE(SUBSTITUTE(SUBSTITUTE('Dashboard'!$B$7,"~","~~"),"*","~*"),"?","~?"))+COUNTIFS('Calculations'!$HU$13:$HU$512,"="&amp;SUBSTITUTE(SUBSTITUTE(SUBSTITUTE('Calculations'!HF122,"~","~~"),"*","~*"),"?","~?"),'Calculations'!$HN$13:$HN$512,"="&amp;SUBSTITUTE(SUBSTITUTE(SUBSTITUTE('Dashboard'!$B$7,"~","~~"),"*","~*"),"?","~?"))+COUNTIFS('Calculations'!$HV$13:$HV$512,"="&amp;SUBSTITUTE(SUBSTITUTE(SUBSTITUTE('Calculations'!HF122,"~","~~"),"*","~*"),"?","~?"),'Calculations'!$HN$13:$HN$512,"="&amp;SUBSTITUTE(SUBSTITUTE(SUBSTITUTE('Dashboard'!$B$7,"~","~~"),"*","~*"),"?","~?"))+COUNTIFS('Calculations'!$HW$13:$HW$512,"="&amp;SUBSTITUTE(SUBSTITUTE(SUBSTITUTE('Calculations'!HF122,"~","~~"),"*","~*"),"?","~?"),'Calculations'!$HN$13:$HN$512,"="&amp;SUBSTITUTE(SUBSTITUTE(SUBSTITUTE('Dashboard'!$B$7,"~","~~"),"*","~*"),"?","~?"))+COUNTIFS('Calculations'!$HX$13:$HX$512,"="&amp;SUBSTITUTE(SUBSTITUTE(SUBSTITUTE('Calculations'!HF122,"~","~~"),"*","~*"),"?","~?"),'Calculations'!$HN$13:$HN$512,"="&amp;SUBSTITUTE(SUBSTITUTE(SUBSTITUTE('Dashboard'!$B$7,"~","~~"),"*","~*"),"?","~?"))+COUNTIFS('Calculations'!$HY$13:$HY$512,"="&amp;SUBSTITUTE(SUBSTITUTE(SUBSTITUTE('Calculations'!HF122,"~","~~"),"*","~*"),"?","~?"),'Calculations'!$HN$13:$HN$512,"="&amp;SUBSTITUTE(SUBSTITUTE(SUBSTITUTE('Dashboard'!$B$7,"~","~~"),"*","~*"),"?","~?"))+COUNTIFS('Calculations'!$HZ$13:$HZ$512,"="&amp;SUBSTITUTE(SUBSTITUTE(SUBSTITUTE('Calculations'!HF122,"~","~~"),"*","~*"),"?","~?"),'Calculations'!$HN$13:$HN$512,"="&amp;SUBSTITUTE(SUBSTITUTE(SUBSTITUTE('Dashboard'!$B$7,"~","~~"),"*","~*"),"?","~?"))+COUNTIFS('Calculations'!$IA$13:$IA$512,"="&amp;SUBSTITUTE(SUBSTITUTE(SUBSTITUTE('Calculations'!HF122,"~","~~"),"*","~*"),"?","~?"),'Calculations'!$HN$13:$HN$512,"="&amp;SUBSTITUTE(SUBSTITUTE(SUBSTITUTE('Dashboard'!$B$7,"~","~~"),"*","~*"),"?","~?"))+COUNTIFS('Calculations'!$IB$13:$IB$512,"="&amp;SUBSTITUTE(SUBSTITUTE(SUBSTITUTE('Calculations'!HF122,"~","~~"),"*","~*"),"?","~?"),'Calculations'!$HN$13:$HN$512,"="&amp;SUBSTITUTE(SUBSTITUTE(SUBSTITUTE('Dashboard'!$B$7,"~","~~"),"*","~*"),"?","~?"))+COUNTIFS('Calculations'!$IC$13:$IC$512,"="&amp;SUBSTITUTE(SUBSTITUTE(SUBSTITUTE('Calculations'!HF122,"~","~~"),"*","~*"),"?","~?"),'Calculations'!$HN$13:$HN$512,"="&amp;SUBSTITUTE(SUBSTITUTE(SUBSTITUTE('Dashboard'!$B$7,"~","~~"),"*","~*"),"?","~?"))+COUNTIFS('Calculations'!$ID$13:$ID$512,"="&amp;SUBSTITUTE(SUBSTITUTE(SUBSTITUTE('Calculations'!HF122,"~","~~"),"*","~*"),"?","~?"),'Calculations'!$HN$13:$HN$512,"="&amp;SUBSTITUTE(SUBSTITUTE(SUBSTITUTE('Dashboard'!$B$7,"~","~~"),"*","~*"),"?","~?"))+COUNTIFS('Calculations'!$IE$13:$IE$512,"="&amp;SUBSTITUTE(SUBSTITUTE(SUBSTITUTE('Calculations'!HF122,"~","~~"),"*","~*"),"?","~?"),'Calculations'!$HN$13:$HN$512,"="&amp;SUBSTITUTE(SUBSTITUTE(SUBSTITUTE('Dashboard'!$B$7,"~","~~"),"*","~*"),"?","~?"))+COUNTIFS('Calculations'!$IF$13:$IF$512,"="&amp;SUBSTITUTE(SUBSTITUTE(SUBSTITUTE('Calculations'!HF122,"~","~~"),"*","~*"),"?","~?"),'Calculations'!$HN$13:$HN$512,"="&amp;SUBSTITUTE(SUBSTITUTE(SUBSTITUTE('Dashboard'!$B$7,"~","~~"),"*","~*"),"?","~?"))+COUNTIFS('Calculations'!$IG$13:$IG$512,"="&amp;SUBSTITUTE(SUBSTITUTE(SUBSTITUTE('Calculations'!HF122,"~","~~"),"*","~*"),"?","~?"),'Calculations'!$HN$13:$HN$512,"="&amp;SUBSTITUTE(SUBSTITUTE(SUBSTITUTE('Dashboard'!$B$7,"~","~~"),"*","~*"),"?","~?"))+COUNTIFS('Calculations'!$IH$13:$IH$512,"="&amp;SUBSTITUTE(SUBSTITUTE(SUBSTITUTE('Calculations'!HF122,"~","~~"),"*","~*"),"?","~?"),'Calculations'!$HN$13:$HN$512,"="&amp;SUBSTITUTE(SUBSTITUTE(SUBSTITUTE('Dashboard'!$B$7,"~","~~"),"*","~*"),"?","~?"))))</x:f>
        <x:v>0</x:v>
      </x:c>
      <x:c r="JD122" t="n">
        <x:f>IF('Calculations'!EM122="",0,IF('Dashboard'!$B$7="All",1,IF('Calculations'!HN122='Dashboard'!$B$7,1,0)+IFERROR(INDEX('Calculations'!$JC$13:$JC$512,MATCH('Calculations'!HE122,'Calculations'!$HF$13:$HF$512,0)),0)))</x:f>
        <x:v>0</x:v>
      </x:c>
      <x:c r="JE122" t="n">
        <x:f>IF(AND('Calculations'!EM122&lt;&gt;"",'Calculations'!$JJ$2&lt;&gt;"All",'Calculations'!$JJ$2&lt;&gt;"",'Calculations'!HF122='Calculations'!$JJ$2,'Calculations'!HL122=0,'Calculations'!JD122&gt;0),MAX('Calculations'!$JE$12:JE121)+1,0)</x:f>
        <x:v>0</x:v>
      </x:c>
      <x:c r="JF122" t="str">
        <x:f>IF('Calculations'!EM122="","",IFERROR(IF(INDEX(INDIRECT("'WCM Calibration Final'!$G$1:$G$2000"),'Calculations'!$EM122)="","",TRIM(INDEX(INDIRECT("'WCM Calibration Final'!$G$1:$G$2000"),'Calculations'!$EM122)&amp;"")),""))</x:f>
      </x:c>
      <x:c r="JQ122" t="n">
        <x:f>IF(OR('Calculations'!BM122=0,NOT('Calculations'!$AG$2),'Calculations'!$AG$8&gt;0),0,IF(OR('Dashboard'!$B$7="All",'Calculations'!HN122='Dashboard'!$B$7),IF('Calculations'!$JJ$2="All",1,IF(AND('Calculations'!HF122='Calculations'!$JJ$2,'Calculations'!HL122=0),1,0)),0))</x:f>
        <x:v>0</x:v>
      </x:c>
    </x:row>
    <x:row r="123">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t="n">
        <x:f>IF('Calculations'!$EM123="",0,IF(OR(IFERROR(INDEX(INDIRECT("'WCM Calibration Final'!$A$1:$A$2000"),'Calculations'!$EM123)&lt;&gt;"",FALSE),IFERROR(INDEX(INDIRECT("'WCM Calibration Final'!$B$1:$B$2000"),'Calculations'!$EM123)&lt;&gt;"",FALSE),IFERROR(INDEX(INDIRECT("'WCM Calibration Final'!$C$1:$C$2000"),'Calculations'!$EM123)&lt;&gt;"",FALSE)),1,0))</x:f>
        <x:v>0</x:v>
      </x:c>
      <x:c r="BN123" s="4" t="n">
        <x:f>IF(AND('Calculations'!BM123=1,'Calculations'!$AG$2,'Calculations'!$EN123=1),1,0)</x:f>
        <x:v>0</x:v>
      </x:c>
      <x:c r="BO123" s="4" t="str">
        <x:f>IF('Calculations'!BM123=0,"",IFERROR(IF(AND(VALUE(INDEX(INDIRECT("'WCM Calibration Final'!$K$1:$K$2000"),'Calculations'!$EM123))&gt;=1,VALUE(INDEX(INDIRECT("'WCM Calibration Final'!$K$1:$K$2000"),'Calculations'!$EM123))&lt;=4,MOD(VALUE(INDEX(INDIRECT("'WCM Calibration Final'!$K$1:$K$2000"),'Calculations'!$EM123)),1)=0),VALUE(INDEX(INDIRECT("'WCM Calibration Final'!$K$1:$K$2000"),'Calculations'!$EM123)),""),""))</x:f>
      </x:c>
      <x:c r="BP123" s="4" t="str">
        <x:f>IF('Calculations'!BM123=0,"",IFERROR(IF(AND(VALUE(INDEX(INDIRECT("'WCM Calibration Final'!$L$1:$L$2000"),'Calculations'!$EM123))&gt;=1,VALUE(INDEX(INDIRECT("'WCM Calibration Final'!$L$1:$L$2000"),'Calculations'!$EM123))&lt;=4,MOD(VALUE(INDEX(INDIRECT("'WCM Calibration Final'!$L$1:$L$2000"),'Calculations'!$EM123)),1)=0),VALUE(INDEX(INDIRECT("'WCM Calibration Final'!$L$1:$L$2000"),'Calculations'!$EM123)),""),""))</x:f>
      </x:c>
      <x:c r="BQ123" s="4"/>
      <x:c r="BR123" s="4"/>
      <x:c r="BS123" s="4"/>
      <x:c r="BT123" s="4" t="n">
        <x:f>IF(AND('Calculations'!BM123=1,ISNUMBER('Calculations'!BO123),ISNUMBER('Calculations'!BP123)),1,0)</x:f>
        <x:v>0</x:v>
      </x:c>
      <x:c r="BU123" s="4" t="str">
        <x:f>IF('Calculations'!BM123=0,"",'Calculations'!$EO123)</x:f>
      </x:c>
      <x:c r="BV123" s="4" t="str">
        <x:f>IF('Calculations'!BM123=0,"",IFERROR(IF(OR(INDEX(INDIRECT("'WCM Calibration Final'!$H$1:$H$2000"),'Calculations'!$EM123)="MANAGING DIRECTOR",INDEX(INDIRECT("'WCM Calibration Final'!$H$1:$H$2000"),'Calculations'!$EM123)="DIRECTOR",INDEX(INDIRECT("'WCM Calibration Final'!$H$1:$H$2000"),'Calculations'!$EM123)="SENIOR VICE PRESIDENT",INDEX(INDIRECT("'WCM Calibration Final'!$H$1:$H$2000"),'Calculations'!$EM123)="VICE PRESIDENT",INDEX(INDIRECT("'WCM Calibration Final'!$H$1:$H$2000"),'Calculations'!$EM123)="ASSISTANT VICE PRESIDENT",INDEX(INDIRECT("'WCM Calibration Final'!$H$1:$H$2000"),'Calculations'!$EM123)="OFFICER"),UPPER(INDEX(INDIRECT("'WCM Calibration Final'!$H$1:$H$2000"),'Calculations'!$EM123)),"Other"),"Other"))</x:f>
      </x:c>
      <x:c r="BW123" s="4"/>
      <x:c r="BX123" s="4"/>
      <x:c r="BY123" s="4" t="n">
        <x:f>IF(AND('Calculations'!BM123=1,'Calculations'!BU123&lt;&gt;"",COUNTIF('Calculations'!$BU$12:BU123,'Calculations'!BU123)=1),MAX('Calculations'!$BY$11:BY122)+1,0)</x:f>
        <x:v>0</x:v>
      </x:c>
      <x:c r="BZ123" s="4" t="str">
        <x:f>IF('Dashboard'!$E$67="What",'Calculations'!BO123,'Calculations'!BP123)</x:f>
      </x:c>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t="str">
        <x:f>IF(112&gt;MAX('Calculations'!$HI$13:$HI$512),"",INDEX('Calculations'!$HN$13:$HN$512,MATCH(112,'Calculations'!$HI$13:$HI$512,0)))</x:f>
      </x:c>
      <x:c r="DB123" s="4" t="str">
        <x:f>IF(112&gt;MAX('Calculations'!$HH$13:$HH$512),"",INDEX('Calculations'!$HJ$13:$HJ$512,MATCH(112,'Calculations'!$HH$13:$HH$512,0)))</x:f>
      </x:c>
      <x:c r="DC123" s="4" t="str">
        <x:f>IF(ROW()-11&gt;MAX('Calculations'!$BY$13:$BY$512),"",INDEX('Calculations'!$BU$13:$BU$512,MATCH(ROW()-11,'Calculations'!$BY$13:$BY$512,0)))</x:f>
      </x:c>
      <x:c r="DD123" s="4" t="str">
        <x:f>IF(112&gt;MAX('Calculations'!$IK$13:$IK$512),"",INDEX('Calculations'!$HK$13:$HK$512,MATCH(112,'Calculations'!$IK$13:$IK$512,0)))</x:f>
      </x:c>
      <x:c r="DE123" s="4" t="str">
        <x:f>'Calculations'!DC123</x:f>
      </x:c>
      <x:c r="DF123" s="4" t="str">
        <x:f>IF('Calculations'!DE123="","",COUNTIFS('Calculations'!$BN$13:$BN$512,1,'Calculations'!$BU$13:$BU$512,'Calculations'!DE123))</x:f>
      </x:c>
      <x:c r="DG123" s="4" t="str">
        <x:f>IF('Calculations'!DE123="","",COUNTIFS('Calculations'!$BN$13:$BN$512,1,'Calculations'!$BU$13:$BU$512,'Calculations'!DE123,'Calculations'!$BT$13:$BT$512,1))</x:f>
      </x:c>
      <x:c r="DH123" s="4" t="str">
        <x:f>IF('Calculations'!DE123="","",'Calculations'!DF123-'Calculations'!DG123)</x:f>
      </x:c>
      <x:c r="DI123" s="4" t="str">
        <x:f>IF(OR('Calculations'!DE123="",'Calculations'!DF123=0),"",'Calculations'!DG123/'Calculations'!DF123)</x:f>
      </x:c>
      <x:c r="DJ123" s="4" t="str">
        <x:f>IF('Calculations'!DE123="","",COUNTIFS('Calculations'!$BN$13:$BN$512,1,'Calculations'!$BU$13:$BU$512,'Calculations'!DE123,'Calculations'!$BT$13:$BT$512,1,'Calculations'!$EE$13:$EE$512,"High"))</x:f>
      </x:c>
      <x:c r="DK123" s="4" t="str">
        <x:f>IF('Calculations'!DE123="","",COUNTIFS('Calculations'!$BN$13:$BN$512,1,'Calculations'!$BU$13:$BU$512,'Calculations'!DE123,'Calculations'!$BT$13:$BT$512,1,'Calculations'!$EE$13:$EE$512,"Strong"))</x:f>
      </x:c>
      <x:c r="DL123" s="4" t="str">
        <x:f>IF('Calculations'!DE123="","",COUNTIFS('Calculations'!$BN$13:$BN$512,1,'Calculations'!$BU$13:$BU$512,'Calculations'!DE123,'Calculations'!$BT$13:$BT$512,1,'Calculations'!$EE$13:$EE$512,"Solid"))</x:f>
      </x:c>
      <x:c r="DM123" s="4" t="str">
        <x:f>IF('Calculations'!DE123="","",COUNTIFS('Calculations'!$BN$13:$BN$512,1,'Calculations'!$BU$13:$BU$512,'Calculations'!DE123,'Calculations'!$BT$13:$BT$512,1,'Calculations'!$EE$13:$EE$512,"Low"))</x:f>
      </x:c>
      <x:c r="DN123" s="4" t="str">
        <x:f>IF('Calculations'!DE123="","",COUNTIFS('Calculations'!$BN$13:$BN$512,1,'Calculations'!$BU$13:$BU$512,'Calculations'!DE123,'Calculations'!$EP$13:$EP$512,1))</x:f>
      </x:c>
      <x:c r="DO123" s="4" t="str">
        <x:f>IF(OR('Calculations'!DE123="",'Calculations'!DG123=0),"",('Calculations'!DJ123+'Calculations'!DK123)/'Calculations'!DG123)</x:f>
      </x:c>
      <x:c r="DP123" s="4" t="n">
        <x:f>IF(AND('Calculations'!DE123&lt;&gt;"",'Calculations'!DF123&gt;0),COUNTIF('Calculations'!$DF$12:DF123,"&gt;0"),0)</x:f>
        <x:v>0</x:v>
      </x:c>
      <x:c r="DQ123" s="4" t="str">
        <x:f>IF(112&gt;MAX('Calculations'!$HH$13:$HH$512),"",INDEX('Calculations'!$HF$13:$HF$512,MATCH(112,'Calculations'!$HH$13:$HH$512,0)))</x:f>
      </x:c>
      <x:c r="DR123" s="4" t="str">
        <x:f>IF(112&gt;MAX('Calculations'!$IK$13:$IK$512),"",INDEX('Calculations'!$HE$13:$HE$512,MATCH(112,'Calculations'!$IK$13:$IK$512,0)))</x:f>
      </x:c>
      <x:c r="DS123" s="4"/>
      <x:c r="DT123" s="4"/>
      <x:c r="DU123" s="4"/>
      <x:c r="DV123" s="4"/>
      <x:c r="DW123" s="4"/>
      <x:c r="DX123" s="4"/>
      <x:c r="DY123" s="4"/>
      <x:c r="DZ123" s="4"/>
      <x:c r="EA123" s="4"/>
      <x:c r="EB123" s="4"/>
      <x:c r="EC123" s="4"/>
      <x:c r="ED123" s="4"/>
      <x:c r="EE123" s="4" t="str">
        <x:f>IF('Calculations'!BT123=0,"Not Rated",IF(OR('Calculations'!BO123&gt;=4,'Calculations'!BP123&gt;=4),"Low",IF('Calculations'!BO123+'Calculations'!BP123&lt;=3,"High",IF('Calculations'!BO123+'Calculations'!BP123&lt;=4,"Strong","Solid"))))</x:f>
        <x:v>Not Rated</x:v>
      </x:c>
      <x:c r="EF123" s="4"/>
      <x:c r="EG123" s="4"/>
      <x:c r="EH123" s="4"/>
      <x:c r="EI123" s="4"/>
      <x:c r="EJ123" s="4"/>
      <x:c r="EK123" s="4"/>
      <x:c r="EL123" s="4"/>
      <x:c r="EM123" s="4" t="str">
        <x:f>IF(111&gt;'Calculations'!$JB$2000,"",INDEX('Calculations'!$JA$12:$JA$2000,MATCH(111,'Calculations'!$JB$12:$JB$2000,0)))</x:f>
      </x:c>
      <x:c r="EN123" s="4" t="n">
        <x:f>IF(OR('Calculations'!EM123="",'Calculations'!$AG$8&gt;0,AND('Calculations'!$EF$2&lt;&gt;"All",'Calculations'!HE123='Calculations'!$EF$2),AND('Calculations'!$EF$3&lt;&gt;"All",'Calculations'!HE123='Calculations'!$EF$3)),0,IF(OR('Dashboard'!$B$7="All",'Calculations'!HN123='Dashboard'!$B$7),IF('Calculations'!$EF$2="All",1,IF('Calculations'!HL123&gt;0,0,IF(COUNTIF('Calculations'!HO123:II123,"="&amp;SUBSTITUTE(SUBSTITUTE(SUBSTITUTE('Calculations'!$EF$2,"~","~~"),"*","~*"),"?","~?"))=0,0,IF('Calculations'!$EF$3="All",1,IF(COUNTIF('Calculations'!HO123:II123,"="&amp;SUBSTITUTE(SUBSTITUTE(SUBSTITUTE('Calculations'!$EF$3,"~","~~"),"*","~*"),"?","~?"))&gt;0,1,0))))),0))</x:f>
        <x:v>0</x:v>
      </x:c>
      <x:c r="EO123" s="4" t="str">
        <x:f>IF('Calculations'!IJ123="","",IF('Calculations'!IJ123="!UNRESOLVED","Unresolved hierarchy",IFERROR(INDEX('Calculations'!$HK$13:$HK$512,MATCH('Calculations'!IJ123,'Calculations'!$HE$13:$HE$512,0)),IFERROR(INDEX('Calculations'!$HJ$13:$HJ$512,MATCH('Calculations'!IJ123,'Calculations'!$HF$13:$HF$512,0)),'Calculations'!IJ123))))</x:f>
      </x:c>
      <x:c r="EP123" s="4" t="n">
        <x:f>IF(AND('Calculations'!EM123&lt;&gt;"",'Calculations'!HF123='Calculations'!IJ123),1,0)</x:f>
        <x:v>0</x:v>
      </x:c>
      <x:c r="EQ123" s="4"/>
      <x:c r="ER123" s="4"/>
      <x:c r="ES123" s="4"/>
      <x:c r="ET123" s="4"/>
      <x:c r="EU123" s="4"/>
      <x:c r="EV123" s="4"/>
      <x:c r="EW123" s="4"/>
      <x:c r="EX123" s="4"/>
      <x:c r="EY123" s="4"/>
      <x:c r="EZ123" s="4"/>
      <x:c r="FA123" s="4"/>
      <x:c r="FB123" s="4"/>
      <x:c r="FC123" s="4"/>
      <x:c r="FD123" s="4"/>
      <x:c r="FE123" s="4"/>
      <x:c r="FF123" s="4"/>
      <x:c r="FG123" s="4"/>
      <x:c r="FH123" s="4"/>
      <x:c r="FI123" s="4"/>
      <x:c r="FJ123" s="4"/>
      <x:c r="FK123" s="4"/>
      <x:c r="FL123" s="4"/>
      <x:c r="FM123" s="4"/>
      <x:c r="FN123" s="4"/>
      <x:c r="FO123" s="4"/>
      <x:c r="GA123" s="71"/>
      <x:c r="GB123" s="71"/>
      <x:c r="GC123" s="71"/>
      <x:c r="GD123" s="71"/>
      <x:c r="GE123" s="71"/>
      <x:c r="GF123" s="71"/>
      <x:c r="GG123" s="71"/>
      <x:c r="GH123" s="71"/>
      <x:c r="GI123" s="71"/>
      <x:c r="GJ123" s="71"/>
      <x:c r="GK123" s="71"/>
      <x:c r="GL123" s="71"/>
      <x:c r="GM123" s="71"/>
      <x:c r="GN123" s="71"/>
      <x:c r="GO123" s="71"/>
      <x:c r="GP123" s="71"/>
      <x:c r="GQ123" s="71"/>
      <x:c r="GR123" s="71"/>
      <x:c r="GS123" s="71"/>
      <x:c r="GT123" s="71"/>
      <x:c r="GU123" s="71"/>
      <x:c r="GV123" s="71"/>
      <x:c r="GW123" s="71"/>
      <x:c r="GX123" s="71"/>
      <x:c r="GY123" s="71"/>
      <x:c r="GZ123" s="71"/>
      <x:c r="HA123" s="71"/>
      <x:c r="HB123" s="71"/>
      <x:c r="HC123" s="71"/>
      <x:c r="HD123" s="71"/>
      <x:c r="HE123" t="str">
        <x:f>IF('Calculations'!EM123="","",IF(IFERROR(IF(INDEX(INDIRECT("'WCM Calibration Final'!$A$1:$A$2000"),'Calculations'!$EM123)="","",TRIM(INDEX(INDIRECT("'WCM Calibration Final'!$A$1:$A$2000"),'Calculations'!$EM123)&amp;"")),"")&lt;&gt;"","G:"&amp;IFERROR(TEXT(1*INDEX(INDIRECT("'WCM Calibration Final'!$A$1:$A$2000"),'Calculations'!$EM123),"0"),UPPER(IFERROR(IF(INDEX(INDIRECT("'WCM Calibration Final'!$A$1:$A$2000"),'Calculations'!$EM123)="","",TRIM(INDEX(INDIRECT("'WCM Calibration Final'!$A$1:$A$2000"),'Calculations'!$EM123)&amp;"")),""))),IF(IFERROR(IF(INDEX(INDIRECT("'WCM Calibration Final'!$C$1:$C$2000"),'Calculations'!$EM123)="","",TRIM(INDEX(INDIRECT("'WCM Calibration Final'!$C$1:$C$2000"),'Calculations'!$EM123)&amp;"")),"")&lt;&gt;"","S:"&amp;UPPER(IFERROR(IF(INDEX(INDIRECT("'WCM Calibration Final'!$C$1:$C$2000"),'Calculations'!$EM123)="","",TRIM(INDEX(INDIRECT("'WCM Calibration Final'!$C$1:$C$2000"),'Calculations'!$EM123)&amp;"")),"")),"R:"&amp;'Calculations'!EM123)))</x:f>
      </x:c>
      <x:c r="HF123" t="str">
        <x:f>IF('Calculations'!EM123="","",IF(IFERROR(IF(INDEX(INDIRECT("'WCM Calibration Final'!$D$1:$D$2000"),'Calculations'!$EM123)="","",TRIM(INDEX(INDIRECT("'WCM Calibration Final'!$D$1:$D$2000"),'Calculations'!$EM123)&amp;"")),"")&lt;&gt;"","G:"&amp;IFERROR(TEXT(1*INDEX(INDIRECT("'WCM Calibration Final'!$D$1:$D$2000"),'Calculations'!$EM123),"0"),UPPER(IFERROR(IF(INDEX(INDIRECT("'WCM Calibration Final'!$D$1:$D$2000"),'Calculations'!$EM123)="","",TRIM(INDEX(INDIRECT("'WCM Calibration Final'!$D$1:$D$2000"),'Calculations'!$EM123)&amp;"")),""))),IF(IFERROR(IF(INDEX(INDIRECT("'WCM Calibration Final'!$E$1:$E$2000"),'Calculations'!$EM123)="","",TRIM(INDEX(INDIRECT("'WCM Calibration Final'!$E$1:$E$2000"),'Calculations'!$EM123)&amp;"")),"")="","",IF(COUNTIF('Calculations'!$HG$13:$HG$512,"="&amp;SUBSTITUTE(SUBSTITUTE(SUBSTITUTE(IFERROR(IF(INDEX(INDIRECT("'WCM Calibration Final'!$E$1:$E$2000"),'Calculations'!$EM123)="","",TRIM(INDEX(INDIRECT("'WCM Calibration Final'!$E$1:$E$2000"),'Calculations'!$EM123)&amp;"")),""),"~","~~"),"*","~*"),"?","~?"))=1,INDEX('Calculations'!$HE$13:$HE$512,MATCH(IFERROR(IF(INDEX(INDIRECT("'WCM Calibration Final'!$E$1:$E$2000"),'Calculations'!$EM123)="","",TRIM(INDEX(INDIRECT("'WCM Calibration Final'!$E$1:$E$2000"),'Calculations'!$EM123)&amp;"")),""),'Calculations'!$HG$13:$HG$512,0)),IF(COUNTIF('Calculations'!$HG$13:$HG$512,"="&amp;SUBSTITUTE(SUBSTITUTE(SUBSTITUTE(IFERROR(IF(INDEX(INDIRECT("'WCM Calibration Final'!$E$1:$E$2000"),'Calculations'!$EM123)="","",TRIM(INDEX(INDIRECT("'WCM Calibration Final'!$E$1:$E$2000"),'Calculations'!$EM123)&amp;"")),""),"~","~~"),"*","~*"),"?","~?"))&gt;1,"!AMBIG","X:"&amp;IFERROR(IF(INDEX(INDIRECT("'WCM Calibration Final'!$E$1:$E$2000"),'Calculations'!$EM123)="","",TRIM(INDEX(INDIRECT("'WCM Calibration Final'!$E$1:$E$2000"),'Calculations'!$EM123)&amp;"")),""))))))</x:f>
      </x:c>
      <x:c r="HG123" t="str">
        <x:f>IF('Calculations'!EM123="","",IFERROR(IF(INDEX(INDIRECT("'WCM Calibration Final'!$B$1:$B$2000"),'Calculations'!$EM123)="","",TRIM(INDEX(INDIRECT("'WCM Calibration Final'!$B$1:$B$2000"),'Calculations'!$EM123)&amp;"")),""))</x:f>
      </x:c>
      <x:c r="HH123" t="n">
        <x:f>IF(AND('Calculations'!JC123&gt;0,COUNTIF('Calculations'!$HF$12:HF123,"="&amp;SUBSTITUTE(SUBSTITUTE(SUBSTITUTE('Calculations'!HF123,"~","~~"),"*","~*"),"?","~?"))=1),MAX('Calculations'!$HH$12:HH122)+1,0)</x:f>
        <x:v>0</x:v>
      </x:c>
      <x:c r="HI123" t="n">
        <x:f>IF(AND('Calculations'!HN123&lt;&gt;"",COUNTIF('Calculations'!$HN$12:HN123,"="&amp;SUBSTITUTE(SUBSTITUTE(SUBSTITUTE('Calculations'!HN123,"~","~~"),"*","~*"),"?","~?"))=1),MAX('Calculations'!$HI$12:HI122)+1,0)</x:f>
        <x:v>0</x:v>
      </x:c>
      <x:c r="HJ123" t="str">
        <x:f>IF('Calculations'!HF123="","",IF(COUNTIF('Calculations'!$HE$13:$HE$512,"="&amp;SUBSTITUTE(SUBSTITUTE(SUBSTITUTE('Calculations'!HF123,"~","~~"),"*","~*"),"?","~?"))=1,INDEX('Calculations'!$HK$13:$HK$512,MATCH('Calculations'!HF123,'Calculations'!$HE$13:$HE$512,0)),IFERROR(IF(INDEX(INDIRECT("'WCM Calibration Final'!$E$1:$E$2000"),'Calculations'!$EM123)="","",TRIM(INDEX(INDIRECT("'WCM Calibration Final'!$E$1:$E$2000"),'Calculations'!$EM123)&amp;"")),"")&amp;" ["&amp;'Calculations'!HF123&amp;"]"))</x:f>
      </x:c>
      <x:c r="HK123" t="str">
        <x:f>IF('Calculations'!EM123="","",'Calculations'!HG123&amp;" ["&amp;'Calculations'!HE123&amp;"]")</x:f>
      </x:c>
      <x:c r="HL123" t="n">
        <x:f>IF('Calculations'!EM123="",0,IF(OR('Calculations'!II123&lt;&gt;"",COUNTIF('Calculations'!$HE$13:$HE$512,"="&amp;SUBSTITUTE(SUBSTITUTE(SUBSTITUTE('Calculations'!HE123,"~","~~"),"*","~*"),"?","~?"))&gt;1),1,0))</x:f>
        <x:v>0</x:v>
      </x:c>
      <x:c r="HM123" t="str">
        <x:f>IF('Calculations'!EM123="","",IF('Calculations'!HL123=1,"!UNRESOLVED",IF('Calculations'!IH123&lt;&gt;"",'Calculations'!IH123,IF('Calculations'!IG123&lt;&gt;"",'Calculations'!IG123,IF('Calculations'!IF123&lt;&gt;"",'Calculations'!IF123,IF('Calculations'!IE123&lt;&gt;"",'Calculations'!IE123,IF('Calculations'!ID123&lt;&gt;"",'Calculations'!ID123,IF('Calculations'!IC123&lt;&gt;"",'Calculations'!IC123,IF('Calculations'!IB123&lt;&gt;"",'Calculations'!IB123,IF('Calculations'!IA123&lt;&gt;"",'Calculations'!IA123,IF('Calculations'!HZ123&lt;&gt;"",'Calculations'!HZ123,IF('Calculations'!HY123&lt;&gt;"",'Calculations'!HY123,IF('Calculations'!HX123&lt;&gt;"",'Calculations'!HX123,IF('Calculations'!HW123&lt;&gt;"",'Calculations'!HW123,IF('Calculations'!HV123&lt;&gt;"",'Calculations'!HV123,IF('Calculations'!HU123&lt;&gt;"",'Calculations'!HU123,IF('Calculations'!HT123&lt;&gt;"",'Calculations'!HT123,IF('Calculations'!HS123&lt;&gt;"",'Calculations'!HS123,IF('Calculations'!HR123&lt;&gt;"",'Calculations'!HR123,IF('Calculations'!HQ123&lt;&gt;"",'Calculations'!HQ123,IF('Calculations'!HP123&lt;&gt;"",'Calculations'!HP123,IF('Calculations'!HO123&lt;&gt;"",'Calculations'!HO123,'Calculations'!HE123))))))))))))))))))))))</x:f>
      </x:c>
      <x:c r="HN123" t="str">
        <x:f>IF('Calculations'!EM123="","",IF(IFERROR(IF(INDEX(INDIRECT("'WCM Calibration Final'!$F$1:$F$2000"),'Calculations'!$EM123)="","",TRIM(INDEX(INDIRECT("'WCM Calibration Final'!$F$1:$F$2000"),'Calculations'!$EM123)&amp;"")),"")="","(Blank)",IFERROR(IF(INDEX(INDIRECT("'WCM Calibration Final'!$F$1:$F$2000"),'Calculations'!$EM123)="","",TRIM(INDEX(INDIRECT("'WCM Calibration Final'!$F$1:$F$2000"),'Calculations'!$EM123)&amp;"")),"")))</x:f>
      </x:c>
      <x:c r="HO123" t="str">
        <x:f>'Calculations'!HF123</x:f>
      </x:c>
      <x:c r="HP123" t="str">
        <x:f>IF('Calculations'!HO123="","",IF('Calculations'!HO123="!AMBIG","!AMBIG",IF(COUNTIF('Calculations'!$HE$13:$HE$512,"="&amp;SUBSTITUTE(SUBSTITUTE(SUBSTITUTE('Calculations'!HO123,"~","~~"),"*","~*"),"?","~?"))&gt;1,"!AMBIG",IFERROR(INDEX('Calculations'!$HF$13:$HF$512,MATCH('Calculations'!HO123,'Calculations'!$HE$13:$HE$512,0)),""))))</x:f>
      </x:c>
      <x:c r="HQ123" t="str">
        <x:f>IF('Calculations'!HP123="","",IF('Calculations'!HP123="!AMBIG","!AMBIG",IF(COUNTIF('Calculations'!$HE$13:$HE$512,"="&amp;SUBSTITUTE(SUBSTITUTE(SUBSTITUTE('Calculations'!HP123,"~","~~"),"*","~*"),"?","~?"))&gt;1,"!AMBIG",IFERROR(INDEX('Calculations'!$HF$13:$HF$512,MATCH('Calculations'!HP123,'Calculations'!$HE$13:$HE$512,0)),""))))</x:f>
      </x:c>
      <x:c r="HR123" t="str">
        <x:f>IF('Calculations'!HQ123="","",IF('Calculations'!HQ123="!AMBIG","!AMBIG",IF(COUNTIF('Calculations'!$HE$13:$HE$512,"="&amp;SUBSTITUTE(SUBSTITUTE(SUBSTITUTE('Calculations'!HQ123,"~","~~"),"*","~*"),"?","~?"))&gt;1,"!AMBIG",IFERROR(INDEX('Calculations'!$HF$13:$HF$512,MATCH('Calculations'!HQ123,'Calculations'!$HE$13:$HE$512,0)),""))))</x:f>
      </x:c>
      <x:c r="HS123" t="str">
        <x:f>IF('Calculations'!HR123="","",IF('Calculations'!HR123="!AMBIG","!AMBIG",IF(COUNTIF('Calculations'!$HE$13:$HE$512,"="&amp;SUBSTITUTE(SUBSTITUTE(SUBSTITUTE('Calculations'!HR123,"~","~~"),"*","~*"),"?","~?"))&gt;1,"!AMBIG",IFERROR(INDEX('Calculations'!$HF$13:$HF$512,MATCH('Calculations'!HR123,'Calculations'!$HE$13:$HE$512,0)),""))))</x:f>
      </x:c>
      <x:c r="HT123" t="str">
        <x:f>IF('Calculations'!HS123="","",IF('Calculations'!HS123="!AMBIG","!AMBIG",IF(COUNTIF('Calculations'!$HE$13:$HE$512,"="&amp;SUBSTITUTE(SUBSTITUTE(SUBSTITUTE('Calculations'!HS123,"~","~~"),"*","~*"),"?","~?"))&gt;1,"!AMBIG",IFERROR(INDEX('Calculations'!$HF$13:$HF$512,MATCH('Calculations'!HS123,'Calculations'!$HE$13:$HE$512,0)),""))))</x:f>
      </x:c>
      <x:c r="HU123" t="str">
        <x:f>IF('Calculations'!HT123="","",IF('Calculations'!HT123="!AMBIG","!AMBIG",IF(COUNTIF('Calculations'!$HE$13:$HE$512,"="&amp;SUBSTITUTE(SUBSTITUTE(SUBSTITUTE('Calculations'!HT123,"~","~~"),"*","~*"),"?","~?"))&gt;1,"!AMBIG",IFERROR(INDEX('Calculations'!$HF$13:$HF$512,MATCH('Calculations'!HT123,'Calculations'!$HE$13:$HE$512,0)),""))))</x:f>
      </x:c>
      <x:c r="HV123" t="str">
        <x:f>IF('Calculations'!HU123="","",IF('Calculations'!HU123="!AMBIG","!AMBIG",IF(COUNTIF('Calculations'!$HE$13:$HE$512,"="&amp;SUBSTITUTE(SUBSTITUTE(SUBSTITUTE('Calculations'!HU123,"~","~~"),"*","~*"),"?","~?"))&gt;1,"!AMBIG",IFERROR(INDEX('Calculations'!$HF$13:$HF$512,MATCH('Calculations'!HU123,'Calculations'!$HE$13:$HE$512,0)),""))))</x:f>
      </x:c>
      <x:c r="HW123" t="str">
        <x:f>IF('Calculations'!HV123="","",IF('Calculations'!HV123="!AMBIG","!AMBIG",IF(COUNTIF('Calculations'!$HE$13:$HE$512,"="&amp;SUBSTITUTE(SUBSTITUTE(SUBSTITUTE('Calculations'!HV123,"~","~~"),"*","~*"),"?","~?"))&gt;1,"!AMBIG",IFERROR(INDEX('Calculations'!$HF$13:$HF$512,MATCH('Calculations'!HV123,'Calculations'!$HE$13:$HE$512,0)),""))))</x:f>
      </x:c>
      <x:c r="HX123" t="str">
        <x:f>IF('Calculations'!HW123="","",IF('Calculations'!HW123="!AMBIG","!AMBIG",IF(COUNTIF('Calculations'!$HE$13:$HE$512,"="&amp;SUBSTITUTE(SUBSTITUTE(SUBSTITUTE('Calculations'!HW123,"~","~~"),"*","~*"),"?","~?"))&gt;1,"!AMBIG",IFERROR(INDEX('Calculations'!$HF$13:$HF$512,MATCH('Calculations'!HW123,'Calculations'!$HE$13:$HE$512,0)),""))))</x:f>
      </x:c>
      <x:c r="HY123" t="str">
        <x:f>IF('Calculations'!HX123="","",IF('Calculations'!HX123="!AMBIG","!AMBIG",IF(COUNTIF('Calculations'!$HE$13:$HE$512,"="&amp;SUBSTITUTE(SUBSTITUTE(SUBSTITUTE('Calculations'!HX123,"~","~~"),"*","~*"),"?","~?"))&gt;1,"!AMBIG",IFERROR(INDEX('Calculations'!$HF$13:$HF$512,MATCH('Calculations'!HX123,'Calculations'!$HE$13:$HE$512,0)),""))))</x:f>
      </x:c>
      <x:c r="HZ123" t="str">
        <x:f>IF('Calculations'!HY123="","",IF('Calculations'!HY123="!AMBIG","!AMBIG",IF(COUNTIF('Calculations'!$HE$13:$HE$512,"="&amp;SUBSTITUTE(SUBSTITUTE(SUBSTITUTE('Calculations'!HY123,"~","~~"),"*","~*"),"?","~?"))&gt;1,"!AMBIG",IFERROR(INDEX('Calculations'!$HF$13:$HF$512,MATCH('Calculations'!HY123,'Calculations'!$HE$13:$HE$512,0)),""))))</x:f>
      </x:c>
      <x:c r="IA123" t="str">
        <x:f>IF('Calculations'!HZ123="","",IF('Calculations'!HZ123="!AMBIG","!AMBIG",IF(COUNTIF('Calculations'!$HE$13:$HE$512,"="&amp;SUBSTITUTE(SUBSTITUTE(SUBSTITUTE('Calculations'!HZ123,"~","~~"),"*","~*"),"?","~?"))&gt;1,"!AMBIG",IFERROR(INDEX('Calculations'!$HF$13:$HF$512,MATCH('Calculations'!HZ123,'Calculations'!$HE$13:$HE$512,0)),""))))</x:f>
      </x:c>
      <x:c r="IB123" t="str">
        <x:f>IF('Calculations'!IA123="","",IF('Calculations'!IA123="!AMBIG","!AMBIG",IF(COUNTIF('Calculations'!$HE$13:$HE$512,"="&amp;SUBSTITUTE(SUBSTITUTE(SUBSTITUTE('Calculations'!IA123,"~","~~"),"*","~*"),"?","~?"))&gt;1,"!AMBIG",IFERROR(INDEX('Calculations'!$HF$13:$HF$512,MATCH('Calculations'!IA123,'Calculations'!$HE$13:$HE$512,0)),""))))</x:f>
      </x:c>
      <x:c r="IC123" t="str">
        <x:f>IF('Calculations'!IB123="","",IF('Calculations'!IB123="!AMBIG","!AMBIG",IF(COUNTIF('Calculations'!$HE$13:$HE$512,"="&amp;SUBSTITUTE(SUBSTITUTE(SUBSTITUTE('Calculations'!IB123,"~","~~"),"*","~*"),"?","~?"))&gt;1,"!AMBIG",IFERROR(INDEX('Calculations'!$HF$13:$HF$512,MATCH('Calculations'!IB123,'Calculations'!$HE$13:$HE$512,0)),""))))</x:f>
      </x:c>
      <x:c r="ID123" t="str">
        <x:f>IF('Calculations'!IC123="","",IF('Calculations'!IC123="!AMBIG","!AMBIG",IF(COUNTIF('Calculations'!$HE$13:$HE$512,"="&amp;SUBSTITUTE(SUBSTITUTE(SUBSTITUTE('Calculations'!IC123,"~","~~"),"*","~*"),"?","~?"))&gt;1,"!AMBIG",IFERROR(INDEX('Calculations'!$HF$13:$HF$512,MATCH('Calculations'!IC123,'Calculations'!$HE$13:$HE$512,0)),""))))</x:f>
      </x:c>
      <x:c r="IE123" t="str">
        <x:f>IF('Calculations'!ID123="","",IF('Calculations'!ID123="!AMBIG","!AMBIG",IF(COUNTIF('Calculations'!$HE$13:$HE$512,"="&amp;SUBSTITUTE(SUBSTITUTE(SUBSTITUTE('Calculations'!ID123,"~","~~"),"*","~*"),"?","~?"))&gt;1,"!AMBIG",IFERROR(INDEX('Calculations'!$HF$13:$HF$512,MATCH('Calculations'!ID123,'Calculations'!$HE$13:$HE$512,0)),""))))</x:f>
      </x:c>
      <x:c r="IF123" t="str">
        <x:f>IF('Calculations'!IE123="","",IF('Calculations'!IE123="!AMBIG","!AMBIG",IF(COUNTIF('Calculations'!$HE$13:$HE$512,"="&amp;SUBSTITUTE(SUBSTITUTE(SUBSTITUTE('Calculations'!IE123,"~","~~"),"*","~*"),"?","~?"))&gt;1,"!AMBIG",IFERROR(INDEX('Calculations'!$HF$13:$HF$512,MATCH('Calculations'!IE123,'Calculations'!$HE$13:$HE$512,0)),""))))</x:f>
      </x:c>
      <x:c r="IG123" t="str">
        <x:f>IF('Calculations'!IF123="","",IF('Calculations'!IF123="!AMBIG","!AMBIG",IF(COUNTIF('Calculations'!$HE$13:$HE$512,"="&amp;SUBSTITUTE(SUBSTITUTE(SUBSTITUTE('Calculations'!IF123,"~","~~"),"*","~*"),"?","~?"))&gt;1,"!AMBIG",IFERROR(INDEX('Calculations'!$HF$13:$HF$512,MATCH('Calculations'!IF123,'Calculations'!$HE$13:$HE$512,0)),""))))</x:f>
      </x:c>
      <x:c r="IH123" t="str">
        <x:f>IF('Calculations'!IG123="","",IF('Calculations'!IG123="!AMBIG","!AMBIG",IF(COUNTIF('Calculations'!$HE$13:$HE$512,"="&amp;SUBSTITUTE(SUBSTITUTE(SUBSTITUTE('Calculations'!IG123,"~","~~"),"*","~*"),"?","~?"))&gt;1,"!AMBIG",IFERROR(INDEX('Calculations'!$HF$13:$HF$512,MATCH('Calculations'!IG123,'Calculations'!$HE$13:$HE$512,0)),""))))</x:f>
      </x:c>
      <x:c r="II123" t="str">
        <x:f>IF('Calculations'!IH123="","",IF('Calculations'!IH123="!AMBIG","!AMBIG",IF(COUNTIF('Calculations'!$HE$13:$HE$512,"="&amp;SUBSTITUTE(SUBSTITUTE(SUBSTITUTE('Calculations'!IH123,"~","~~"),"*","~*"),"?","~?"))&gt;1,"!AMBIG",IFERROR(INDEX('Calculations'!$HF$13:$HF$512,MATCH('Calculations'!IH123,'Calculations'!$HE$13:$HE$512,0)),""))))</x:f>
      </x:c>
      <x:c r="IJ123" t="str">
        <x:f>IF('Calculations'!EM123="","",IF('Calculations'!$EF$2="All",'Calculations'!HM123,IF('Calculations'!HL123=1,"",IFERROR(IF(MATCH('Calculations'!$EF$2,'Calculations'!HO123:II123,0)=1,'Calculations'!HE123,INDEX('Calculations'!HO123:II123,1,MATCH('Calculations'!$EF$2,'Calculations'!HO123:II123,0)-1)),""))))</x:f>
      </x:c>
      <x:c r="IK123" t="n">
        <x:f>IF(AND('Calculations'!EM123&lt;&gt;"",'Calculations'!$EF$2&lt;&gt;"All",'Calculations'!HF123='Calculations'!$EF$2,'Calculations'!HL123=0,'Calculations'!JD123&gt;0),MAX('Calculations'!$IK$12:IK122)+1,0)</x:f>
        <x:v>0</x:v>
      </x:c>
      <x:c r="JA123" t="n">
        <x:f>IF(OR(IFERROR(INDIRECT("'WCM Calibration Final'!$A$123")&lt;&gt;"",FALSE),IFERROR(INDIRECT("'WCM Calibration Final'!$B$123")&lt;&gt;"",FALSE),IFERROR(INDIRECT("'WCM Calibration Final'!$C$123")&lt;&gt;"",FALSE)),123,0)</x:f>
        <x:v>0</x:v>
      </x:c>
      <x:c r="JB123" t="n">
        <x:f>'Calculations'!JB122+IF('Calculations'!JA123&gt;0,1,0)</x:f>
        <x:v>0</x:v>
      </x:c>
      <x:c r="JC123" t="n">
        <x:f>IF(OR('Calculations'!HF123="",'Calculations'!HF123="!AMBIG"),0,IF('Dashboard'!$B$7="All",1,COUNTIFS('Calculations'!$HO$13:$HO$512,"="&amp;SUBSTITUTE(SUBSTITUTE(SUBSTITUTE('Calculations'!HF123,"~","~~"),"*","~*"),"?","~?"),'Calculations'!$HN$13:$HN$512,"="&amp;SUBSTITUTE(SUBSTITUTE(SUBSTITUTE('Dashboard'!$B$7,"~","~~"),"*","~*"),"?","~?"))+COUNTIFS('Calculations'!$HP$13:$HP$512,"="&amp;SUBSTITUTE(SUBSTITUTE(SUBSTITUTE('Calculations'!HF123,"~","~~"),"*","~*"),"?","~?"),'Calculations'!$HN$13:$HN$512,"="&amp;SUBSTITUTE(SUBSTITUTE(SUBSTITUTE('Dashboard'!$B$7,"~","~~"),"*","~*"),"?","~?"))+COUNTIFS('Calculations'!$HQ$13:$HQ$512,"="&amp;SUBSTITUTE(SUBSTITUTE(SUBSTITUTE('Calculations'!HF123,"~","~~"),"*","~*"),"?","~?"),'Calculations'!$HN$13:$HN$512,"="&amp;SUBSTITUTE(SUBSTITUTE(SUBSTITUTE('Dashboard'!$B$7,"~","~~"),"*","~*"),"?","~?"))+COUNTIFS('Calculations'!$HR$13:$HR$512,"="&amp;SUBSTITUTE(SUBSTITUTE(SUBSTITUTE('Calculations'!HF123,"~","~~"),"*","~*"),"?","~?"),'Calculations'!$HN$13:$HN$512,"="&amp;SUBSTITUTE(SUBSTITUTE(SUBSTITUTE('Dashboard'!$B$7,"~","~~"),"*","~*"),"?","~?"))+COUNTIFS('Calculations'!$HS$13:$HS$512,"="&amp;SUBSTITUTE(SUBSTITUTE(SUBSTITUTE('Calculations'!HF123,"~","~~"),"*","~*"),"?","~?"),'Calculations'!$HN$13:$HN$512,"="&amp;SUBSTITUTE(SUBSTITUTE(SUBSTITUTE('Dashboard'!$B$7,"~","~~"),"*","~*"),"?","~?"))+COUNTIFS('Calculations'!$HT$13:$HT$512,"="&amp;SUBSTITUTE(SUBSTITUTE(SUBSTITUTE('Calculations'!HF123,"~","~~"),"*","~*"),"?","~?"),'Calculations'!$HN$13:$HN$512,"="&amp;SUBSTITUTE(SUBSTITUTE(SUBSTITUTE('Dashboard'!$B$7,"~","~~"),"*","~*"),"?","~?"))+COUNTIFS('Calculations'!$HU$13:$HU$512,"="&amp;SUBSTITUTE(SUBSTITUTE(SUBSTITUTE('Calculations'!HF123,"~","~~"),"*","~*"),"?","~?"),'Calculations'!$HN$13:$HN$512,"="&amp;SUBSTITUTE(SUBSTITUTE(SUBSTITUTE('Dashboard'!$B$7,"~","~~"),"*","~*"),"?","~?"))+COUNTIFS('Calculations'!$HV$13:$HV$512,"="&amp;SUBSTITUTE(SUBSTITUTE(SUBSTITUTE('Calculations'!HF123,"~","~~"),"*","~*"),"?","~?"),'Calculations'!$HN$13:$HN$512,"="&amp;SUBSTITUTE(SUBSTITUTE(SUBSTITUTE('Dashboard'!$B$7,"~","~~"),"*","~*"),"?","~?"))+COUNTIFS('Calculations'!$HW$13:$HW$512,"="&amp;SUBSTITUTE(SUBSTITUTE(SUBSTITUTE('Calculations'!HF123,"~","~~"),"*","~*"),"?","~?"),'Calculations'!$HN$13:$HN$512,"="&amp;SUBSTITUTE(SUBSTITUTE(SUBSTITUTE('Dashboard'!$B$7,"~","~~"),"*","~*"),"?","~?"))+COUNTIFS('Calculations'!$HX$13:$HX$512,"="&amp;SUBSTITUTE(SUBSTITUTE(SUBSTITUTE('Calculations'!HF123,"~","~~"),"*","~*"),"?","~?"),'Calculations'!$HN$13:$HN$512,"="&amp;SUBSTITUTE(SUBSTITUTE(SUBSTITUTE('Dashboard'!$B$7,"~","~~"),"*","~*"),"?","~?"))+COUNTIFS('Calculations'!$HY$13:$HY$512,"="&amp;SUBSTITUTE(SUBSTITUTE(SUBSTITUTE('Calculations'!HF123,"~","~~"),"*","~*"),"?","~?"),'Calculations'!$HN$13:$HN$512,"="&amp;SUBSTITUTE(SUBSTITUTE(SUBSTITUTE('Dashboard'!$B$7,"~","~~"),"*","~*"),"?","~?"))+COUNTIFS('Calculations'!$HZ$13:$HZ$512,"="&amp;SUBSTITUTE(SUBSTITUTE(SUBSTITUTE('Calculations'!HF123,"~","~~"),"*","~*"),"?","~?"),'Calculations'!$HN$13:$HN$512,"="&amp;SUBSTITUTE(SUBSTITUTE(SUBSTITUTE('Dashboard'!$B$7,"~","~~"),"*","~*"),"?","~?"))+COUNTIFS('Calculations'!$IA$13:$IA$512,"="&amp;SUBSTITUTE(SUBSTITUTE(SUBSTITUTE('Calculations'!HF123,"~","~~"),"*","~*"),"?","~?"),'Calculations'!$HN$13:$HN$512,"="&amp;SUBSTITUTE(SUBSTITUTE(SUBSTITUTE('Dashboard'!$B$7,"~","~~"),"*","~*"),"?","~?"))+COUNTIFS('Calculations'!$IB$13:$IB$512,"="&amp;SUBSTITUTE(SUBSTITUTE(SUBSTITUTE('Calculations'!HF123,"~","~~"),"*","~*"),"?","~?"),'Calculations'!$HN$13:$HN$512,"="&amp;SUBSTITUTE(SUBSTITUTE(SUBSTITUTE('Dashboard'!$B$7,"~","~~"),"*","~*"),"?","~?"))+COUNTIFS('Calculations'!$IC$13:$IC$512,"="&amp;SUBSTITUTE(SUBSTITUTE(SUBSTITUTE('Calculations'!HF123,"~","~~"),"*","~*"),"?","~?"),'Calculations'!$HN$13:$HN$512,"="&amp;SUBSTITUTE(SUBSTITUTE(SUBSTITUTE('Dashboard'!$B$7,"~","~~"),"*","~*"),"?","~?"))+COUNTIFS('Calculations'!$ID$13:$ID$512,"="&amp;SUBSTITUTE(SUBSTITUTE(SUBSTITUTE('Calculations'!HF123,"~","~~"),"*","~*"),"?","~?"),'Calculations'!$HN$13:$HN$512,"="&amp;SUBSTITUTE(SUBSTITUTE(SUBSTITUTE('Dashboard'!$B$7,"~","~~"),"*","~*"),"?","~?"))+COUNTIFS('Calculations'!$IE$13:$IE$512,"="&amp;SUBSTITUTE(SUBSTITUTE(SUBSTITUTE('Calculations'!HF123,"~","~~"),"*","~*"),"?","~?"),'Calculations'!$HN$13:$HN$512,"="&amp;SUBSTITUTE(SUBSTITUTE(SUBSTITUTE('Dashboard'!$B$7,"~","~~"),"*","~*"),"?","~?"))+COUNTIFS('Calculations'!$IF$13:$IF$512,"="&amp;SUBSTITUTE(SUBSTITUTE(SUBSTITUTE('Calculations'!HF123,"~","~~"),"*","~*"),"?","~?"),'Calculations'!$HN$13:$HN$512,"="&amp;SUBSTITUTE(SUBSTITUTE(SUBSTITUTE('Dashboard'!$B$7,"~","~~"),"*","~*"),"?","~?"))+COUNTIFS('Calculations'!$IG$13:$IG$512,"="&amp;SUBSTITUTE(SUBSTITUTE(SUBSTITUTE('Calculations'!HF123,"~","~~"),"*","~*"),"?","~?"),'Calculations'!$HN$13:$HN$512,"="&amp;SUBSTITUTE(SUBSTITUTE(SUBSTITUTE('Dashboard'!$B$7,"~","~~"),"*","~*"),"?","~?"))+COUNTIFS('Calculations'!$IH$13:$IH$512,"="&amp;SUBSTITUTE(SUBSTITUTE(SUBSTITUTE('Calculations'!HF123,"~","~~"),"*","~*"),"?","~?"),'Calculations'!$HN$13:$HN$512,"="&amp;SUBSTITUTE(SUBSTITUTE(SUBSTITUTE('Dashboard'!$B$7,"~","~~"),"*","~*"),"?","~?"))))</x:f>
        <x:v>0</x:v>
      </x:c>
      <x:c r="JD123" t="n">
        <x:f>IF('Calculations'!EM123="",0,IF('Dashboard'!$B$7="All",1,IF('Calculations'!HN123='Dashboard'!$B$7,1,0)+IFERROR(INDEX('Calculations'!$JC$13:$JC$512,MATCH('Calculations'!HE123,'Calculations'!$HF$13:$HF$512,0)),0)))</x:f>
        <x:v>0</x:v>
      </x:c>
      <x:c r="JE123" t="n">
        <x:f>IF(AND('Calculations'!EM123&lt;&gt;"",'Calculations'!$JJ$2&lt;&gt;"All",'Calculations'!$JJ$2&lt;&gt;"",'Calculations'!HF123='Calculations'!$JJ$2,'Calculations'!HL123=0,'Calculations'!JD123&gt;0),MAX('Calculations'!$JE$12:JE122)+1,0)</x:f>
        <x:v>0</x:v>
      </x:c>
      <x:c r="JF123" t="str">
        <x:f>IF('Calculations'!EM123="","",IFERROR(IF(INDEX(INDIRECT("'WCM Calibration Final'!$G$1:$G$2000"),'Calculations'!$EM123)="","",TRIM(INDEX(INDIRECT("'WCM Calibration Final'!$G$1:$G$2000"),'Calculations'!$EM123)&amp;"")),""))</x:f>
      </x:c>
      <x:c r="JQ123" t="n">
        <x:f>IF(OR('Calculations'!BM123=0,NOT('Calculations'!$AG$2),'Calculations'!$AG$8&gt;0),0,IF(OR('Dashboard'!$B$7="All",'Calculations'!HN123='Dashboard'!$B$7),IF('Calculations'!$JJ$2="All",1,IF(AND('Calculations'!HF123='Calculations'!$JJ$2,'Calculations'!HL123=0),1,0)),0))</x:f>
        <x:v>0</x:v>
      </x:c>
    </x:row>
    <x:row r="12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t="n">
        <x:f>IF('Calculations'!$EM124="",0,IF(OR(IFERROR(INDEX(INDIRECT("'WCM Calibration Final'!$A$1:$A$2000"),'Calculations'!$EM124)&lt;&gt;"",FALSE),IFERROR(INDEX(INDIRECT("'WCM Calibration Final'!$B$1:$B$2000"),'Calculations'!$EM124)&lt;&gt;"",FALSE),IFERROR(INDEX(INDIRECT("'WCM Calibration Final'!$C$1:$C$2000"),'Calculations'!$EM124)&lt;&gt;"",FALSE)),1,0))</x:f>
        <x:v>0</x:v>
      </x:c>
      <x:c r="BN124" s="4" t="n">
        <x:f>IF(AND('Calculations'!BM124=1,'Calculations'!$AG$2,'Calculations'!$EN124=1),1,0)</x:f>
        <x:v>0</x:v>
      </x:c>
      <x:c r="BO124" s="4" t="str">
        <x:f>IF('Calculations'!BM124=0,"",IFERROR(IF(AND(VALUE(INDEX(INDIRECT("'WCM Calibration Final'!$K$1:$K$2000"),'Calculations'!$EM124))&gt;=1,VALUE(INDEX(INDIRECT("'WCM Calibration Final'!$K$1:$K$2000"),'Calculations'!$EM124))&lt;=4,MOD(VALUE(INDEX(INDIRECT("'WCM Calibration Final'!$K$1:$K$2000"),'Calculations'!$EM124)),1)=0),VALUE(INDEX(INDIRECT("'WCM Calibration Final'!$K$1:$K$2000"),'Calculations'!$EM124)),""),""))</x:f>
      </x:c>
      <x:c r="BP124" s="4" t="str">
        <x:f>IF('Calculations'!BM124=0,"",IFERROR(IF(AND(VALUE(INDEX(INDIRECT("'WCM Calibration Final'!$L$1:$L$2000"),'Calculations'!$EM124))&gt;=1,VALUE(INDEX(INDIRECT("'WCM Calibration Final'!$L$1:$L$2000"),'Calculations'!$EM124))&lt;=4,MOD(VALUE(INDEX(INDIRECT("'WCM Calibration Final'!$L$1:$L$2000"),'Calculations'!$EM124)),1)=0),VALUE(INDEX(INDIRECT("'WCM Calibration Final'!$L$1:$L$2000"),'Calculations'!$EM124)),""),""))</x:f>
      </x:c>
      <x:c r="BQ124" s="4"/>
      <x:c r="BR124" s="4"/>
      <x:c r="BS124" s="4"/>
      <x:c r="BT124" s="4" t="n">
        <x:f>IF(AND('Calculations'!BM124=1,ISNUMBER('Calculations'!BO124),ISNUMBER('Calculations'!BP124)),1,0)</x:f>
        <x:v>0</x:v>
      </x:c>
      <x:c r="BU124" s="4" t="str">
        <x:f>IF('Calculations'!BM124=0,"",'Calculations'!$EO124)</x:f>
      </x:c>
      <x:c r="BV124" s="4" t="str">
        <x:f>IF('Calculations'!BM124=0,"",IFERROR(IF(OR(INDEX(INDIRECT("'WCM Calibration Final'!$H$1:$H$2000"),'Calculations'!$EM124)="MANAGING DIRECTOR",INDEX(INDIRECT("'WCM Calibration Final'!$H$1:$H$2000"),'Calculations'!$EM124)="DIRECTOR",INDEX(INDIRECT("'WCM Calibration Final'!$H$1:$H$2000"),'Calculations'!$EM124)="SENIOR VICE PRESIDENT",INDEX(INDIRECT("'WCM Calibration Final'!$H$1:$H$2000"),'Calculations'!$EM124)="VICE PRESIDENT",INDEX(INDIRECT("'WCM Calibration Final'!$H$1:$H$2000"),'Calculations'!$EM124)="ASSISTANT VICE PRESIDENT",INDEX(INDIRECT("'WCM Calibration Final'!$H$1:$H$2000"),'Calculations'!$EM124)="OFFICER"),UPPER(INDEX(INDIRECT("'WCM Calibration Final'!$H$1:$H$2000"),'Calculations'!$EM124)),"Other"),"Other"))</x:f>
      </x:c>
      <x:c r="BW124" s="4"/>
      <x:c r="BX124" s="4"/>
      <x:c r="BY124" s="4" t="n">
        <x:f>IF(AND('Calculations'!BM124=1,'Calculations'!BU124&lt;&gt;"",COUNTIF('Calculations'!$BU$12:BU124,'Calculations'!BU124)=1),MAX('Calculations'!$BY$11:BY123)+1,0)</x:f>
        <x:v>0</x:v>
      </x:c>
      <x:c r="BZ124" s="4" t="str">
        <x:f>IF('Dashboard'!$E$67="What",'Calculations'!BO124,'Calculations'!BP124)</x:f>
      </x:c>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t="str">
        <x:f>IF(113&gt;MAX('Calculations'!$HI$13:$HI$512),"",INDEX('Calculations'!$HN$13:$HN$512,MATCH(113,'Calculations'!$HI$13:$HI$512,0)))</x:f>
      </x:c>
      <x:c r="DB124" s="4" t="str">
        <x:f>IF(113&gt;MAX('Calculations'!$HH$13:$HH$512),"",INDEX('Calculations'!$HJ$13:$HJ$512,MATCH(113,'Calculations'!$HH$13:$HH$512,0)))</x:f>
      </x:c>
      <x:c r="DC124" s="4" t="str">
        <x:f>IF(ROW()-11&gt;MAX('Calculations'!$BY$13:$BY$512),"",INDEX('Calculations'!$BU$13:$BU$512,MATCH(ROW()-11,'Calculations'!$BY$13:$BY$512,0)))</x:f>
      </x:c>
      <x:c r="DD124" s="4" t="str">
        <x:f>IF(113&gt;MAX('Calculations'!$IK$13:$IK$512),"",INDEX('Calculations'!$HK$13:$HK$512,MATCH(113,'Calculations'!$IK$13:$IK$512,0)))</x:f>
      </x:c>
      <x:c r="DE124" s="4" t="str">
        <x:f>'Calculations'!DC124</x:f>
      </x:c>
      <x:c r="DF124" s="4" t="str">
        <x:f>IF('Calculations'!DE124="","",COUNTIFS('Calculations'!$BN$13:$BN$512,1,'Calculations'!$BU$13:$BU$512,'Calculations'!DE124))</x:f>
      </x:c>
      <x:c r="DG124" s="4" t="str">
        <x:f>IF('Calculations'!DE124="","",COUNTIFS('Calculations'!$BN$13:$BN$512,1,'Calculations'!$BU$13:$BU$512,'Calculations'!DE124,'Calculations'!$BT$13:$BT$512,1))</x:f>
      </x:c>
      <x:c r="DH124" s="4" t="str">
        <x:f>IF('Calculations'!DE124="","",'Calculations'!DF124-'Calculations'!DG124)</x:f>
      </x:c>
      <x:c r="DI124" s="4" t="str">
        <x:f>IF(OR('Calculations'!DE124="",'Calculations'!DF124=0),"",'Calculations'!DG124/'Calculations'!DF124)</x:f>
      </x:c>
      <x:c r="DJ124" s="4" t="str">
        <x:f>IF('Calculations'!DE124="","",COUNTIFS('Calculations'!$BN$13:$BN$512,1,'Calculations'!$BU$13:$BU$512,'Calculations'!DE124,'Calculations'!$BT$13:$BT$512,1,'Calculations'!$EE$13:$EE$512,"High"))</x:f>
      </x:c>
      <x:c r="DK124" s="4" t="str">
        <x:f>IF('Calculations'!DE124="","",COUNTIFS('Calculations'!$BN$13:$BN$512,1,'Calculations'!$BU$13:$BU$512,'Calculations'!DE124,'Calculations'!$BT$13:$BT$512,1,'Calculations'!$EE$13:$EE$512,"Strong"))</x:f>
      </x:c>
      <x:c r="DL124" s="4" t="str">
        <x:f>IF('Calculations'!DE124="","",COUNTIFS('Calculations'!$BN$13:$BN$512,1,'Calculations'!$BU$13:$BU$512,'Calculations'!DE124,'Calculations'!$BT$13:$BT$512,1,'Calculations'!$EE$13:$EE$512,"Solid"))</x:f>
      </x:c>
      <x:c r="DM124" s="4" t="str">
        <x:f>IF('Calculations'!DE124="","",COUNTIFS('Calculations'!$BN$13:$BN$512,1,'Calculations'!$BU$13:$BU$512,'Calculations'!DE124,'Calculations'!$BT$13:$BT$512,1,'Calculations'!$EE$13:$EE$512,"Low"))</x:f>
      </x:c>
      <x:c r="DN124" s="4" t="str">
        <x:f>IF('Calculations'!DE124="","",COUNTIFS('Calculations'!$BN$13:$BN$512,1,'Calculations'!$BU$13:$BU$512,'Calculations'!DE124,'Calculations'!$EP$13:$EP$512,1))</x:f>
      </x:c>
      <x:c r="DO124" s="4" t="str">
        <x:f>IF(OR('Calculations'!DE124="",'Calculations'!DG124=0),"",('Calculations'!DJ124+'Calculations'!DK124)/'Calculations'!DG124)</x:f>
      </x:c>
      <x:c r="DP124" s="4" t="n">
        <x:f>IF(AND('Calculations'!DE124&lt;&gt;"",'Calculations'!DF124&gt;0),COUNTIF('Calculations'!$DF$12:DF124,"&gt;0"),0)</x:f>
        <x:v>0</x:v>
      </x:c>
      <x:c r="DQ124" s="4" t="str">
        <x:f>IF(113&gt;MAX('Calculations'!$HH$13:$HH$512),"",INDEX('Calculations'!$HF$13:$HF$512,MATCH(113,'Calculations'!$HH$13:$HH$512,0)))</x:f>
      </x:c>
      <x:c r="DR124" s="4" t="str">
        <x:f>IF(113&gt;MAX('Calculations'!$IK$13:$IK$512),"",INDEX('Calculations'!$HE$13:$HE$512,MATCH(113,'Calculations'!$IK$13:$IK$512,0)))</x:f>
      </x:c>
      <x:c r="DS124" s="4"/>
      <x:c r="DT124" s="4"/>
      <x:c r="DU124" s="4"/>
      <x:c r="DV124" s="4"/>
      <x:c r="DW124" s="4"/>
      <x:c r="DX124" s="4"/>
      <x:c r="DY124" s="4"/>
      <x:c r="DZ124" s="4"/>
      <x:c r="EA124" s="4"/>
      <x:c r="EB124" s="4"/>
      <x:c r="EC124" s="4"/>
      <x:c r="ED124" s="4"/>
      <x:c r="EE124" s="4" t="str">
        <x:f>IF('Calculations'!BT124=0,"Not Rated",IF(OR('Calculations'!BO124&gt;=4,'Calculations'!BP124&gt;=4),"Low",IF('Calculations'!BO124+'Calculations'!BP124&lt;=3,"High",IF('Calculations'!BO124+'Calculations'!BP124&lt;=4,"Strong","Solid"))))</x:f>
        <x:v>Not Rated</x:v>
      </x:c>
      <x:c r="EF124" s="4"/>
      <x:c r="EG124" s="4"/>
      <x:c r="EH124" s="4"/>
      <x:c r="EI124" s="4"/>
      <x:c r="EJ124" s="4"/>
      <x:c r="EK124" s="4"/>
      <x:c r="EL124" s="4"/>
      <x:c r="EM124" s="4" t="str">
        <x:f>IF(112&gt;'Calculations'!$JB$2000,"",INDEX('Calculations'!$JA$12:$JA$2000,MATCH(112,'Calculations'!$JB$12:$JB$2000,0)))</x:f>
      </x:c>
      <x:c r="EN124" s="4" t="n">
        <x:f>IF(OR('Calculations'!EM124="",'Calculations'!$AG$8&gt;0,AND('Calculations'!$EF$2&lt;&gt;"All",'Calculations'!HE124='Calculations'!$EF$2),AND('Calculations'!$EF$3&lt;&gt;"All",'Calculations'!HE124='Calculations'!$EF$3)),0,IF(OR('Dashboard'!$B$7="All",'Calculations'!HN124='Dashboard'!$B$7),IF('Calculations'!$EF$2="All",1,IF('Calculations'!HL124&gt;0,0,IF(COUNTIF('Calculations'!HO124:II124,"="&amp;SUBSTITUTE(SUBSTITUTE(SUBSTITUTE('Calculations'!$EF$2,"~","~~"),"*","~*"),"?","~?"))=0,0,IF('Calculations'!$EF$3="All",1,IF(COUNTIF('Calculations'!HO124:II124,"="&amp;SUBSTITUTE(SUBSTITUTE(SUBSTITUTE('Calculations'!$EF$3,"~","~~"),"*","~*"),"?","~?"))&gt;0,1,0))))),0))</x:f>
        <x:v>0</x:v>
      </x:c>
      <x:c r="EO124" s="4" t="str">
        <x:f>IF('Calculations'!IJ124="","",IF('Calculations'!IJ124="!UNRESOLVED","Unresolved hierarchy",IFERROR(INDEX('Calculations'!$HK$13:$HK$512,MATCH('Calculations'!IJ124,'Calculations'!$HE$13:$HE$512,0)),IFERROR(INDEX('Calculations'!$HJ$13:$HJ$512,MATCH('Calculations'!IJ124,'Calculations'!$HF$13:$HF$512,0)),'Calculations'!IJ124))))</x:f>
      </x:c>
      <x:c r="EP124" s="4" t="n">
        <x:f>IF(AND('Calculations'!EM124&lt;&gt;"",'Calculations'!HF124='Calculations'!IJ124),1,0)</x:f>
        <x:v>0</x:v>
      </x:c>
      <x:c r="EQ124" s="4"/>
      <x:c r="ER124" s="4"/>
      <x:c r="ES124" s="4"/>
      <x:c r="ET124" s="4"/>
      <x:c r="EU124" s="4"/>
      <x:c r="EV124" s="4"/>
      <x:c r="EW124" s="4"/>
      <x:c r="EX124" s="4"/>
      <x:c r="EY124" s="4"/>
      <x:c r="EZ124" s="4"/>
      <x:c r="FA124" s="4"/>
      <x:c r="FB124" s="4"/>
      <x:c r="FC124" s="4"/>
      <x:c r="FD124" s="4"/>
      <x:c r="FE124" s="4"/>
      <x:c r="FF124" s="4"/>
      <x:c r="FG124" s="4"/>
      <x:c r="FH124" s="4"/>
      <x:c r="FI124" s="4"/>
      <x:c r="FJ124" s="4"/>
      <x:c r="FK124" s="4"/>
      <x:c r="FL124" s="4"/>
      <x:c r="FM124" s="4"/>
      <x:c r="FN124" s="4"/>
      <x:c r="FO124" s="4"/>
      <x:c r="GA124" s="71"/>
      <x:c r="GB124" s="71"/>
      <x:c r="GC124" s="71"/>
      <x:c r="GD124" s="71"/>
      <x:c r="GE124" s="71"/>
      <x:c r="GF124" s="71"/>
      <x:c r="GG124" s="71"/>
      <x:c r="GH124" s="71"/>
      <x:c r="GI124" s="71"/>
      <x:c r="GJ124" s="71"/>
      <x:c r="GK124" s="71"/>
      <x:c r="GL124" s="71"/>
      <x:c r="GM124" s="71"/>
      <x:c r="GN124" s="71"/>
      <x:c r="GO124" s="71"/>
      <x:c r="GP124" s="71"/>
      <x:c r="GQ124" s="71"/>
      <x:c r="GR124" s="71"/>
      <x:c r="GS124" s="71"/>
      <x:c r="GT124" s="71"/>
      <x:c r="GU124" s="71"/>
      <x:c r="GV124" s="71"/>
      <x:c r="GW124" s="71"/>
      <x:c r="GX124" s="71"/>
      <x:c r="GY124" s="71"/>
      <x:c r="GZ124" s="71"/>
      <x:c r="HA124" s="71"/>
      <x:c r="HB124" s="71"/>
      <x:c r="HC124" s="71"/>
      <x:c r="HD124" s="71"/>
      <x:c r="HE124" t="str">
        <x:f>IF('Calculations'!EM124="","",IF(IFERROR(IF(INDEX(INDIRECT("'WCM Calibration Final'!$A$1:$A$2000"),'Calculations'!$EM124)="","",TRIM(INDEX(INDIRECT("'WCM Calibration Final'!$A$1:$A$2000"),'Calculations'!$EM124)&amp;"")),"")&lt;&gt;"","G:"&amp;IFERROR(TEXT(1*INDEX(INDIRECT("'WCM Calibration Final'!$A$1:$A$2000"),'Calculations'!$EM124),"0"),UPPER(IFERROR(IF(INDEX(INDIRECT("'WCM Calibration Final'!$A$1:$A$2000"),'Calculations'!$EM124)="","",TRIM(INDEX(INDIRECT("'WCM Calibration Final'!$A$1:$A$2000"),'Calculations'!$EM124)&amp;"")),""))),IF(IFERROR(IF(INDEX(INDIRECT("'WCM Calibration Final'!$C$1:$C$2000"),'Calculations'!$EM124)="","",TRIM(INDEX(INDIRECT("'WCM Calibration Final'!$C$1:$C$2000"),'Calculations'!$EM124)&amp;"")),"")&lt;&gt;"","S:"&amp;UPPER(IFERROR(IF(INDEX(INDIRECT("'WCM Calibration Final'!$C$1:$C$2000"),'Calculations'!$EM124)="","",TRIM(INDEX(INDIRECT("'WCM Calibration Final'!$C$1:$C$2000"),'Calculations'!$EM124)&amp;"")),"")),"R:"&amp;'Calculations'!EM124)))</x:f>
      </x:c>
      <x:c r="HF124" t="str">
        <x:f>IF('Calculations'!EM124="","",IF(IFERROR(IF(INDEX(INDIRECT("'WCM Calibration Final'!$D$1:$D$2000"),'Calculations'!$EM124)="","",TRIM(INDEX(INDIRECT("'WCM Calibration Final'!$D$1:$D$2000"),'Calculations'!$EM124)&amp;"")),"")&lt;&gt;"","G:"&amp;IFERROR(TEXT(1*INDEX(INDIRECT("'WCM Calibration Final'!$D$1:$D$2000"),'Calculations'!$EM124),"0"),UPPER(IFERROR(IF(INDEX(INDIRECT("'WCM Calibration Final'!$D$1:$D$2000"),'Calculations'!$EM124)="","",TRIM(INDEX(INDIRECT("'WCM Calibration Final'!$D$1:$D$2000"),'Calculations'!$EM124)&amp;"")),""))),IF(IFERROR(IF(INDEX(INDIRECT("'WCM Calibration Final'!$E$1:$E$2000"),'Calculations'!$EM124)="","",TRIM(INDEX(INDIRECT("'WCM Calibration Final'!$E$1:$E$2000"),'Calculations'!$EM124)&amp;"")),"")="","",IF(COUNTIF('Calculations'!$HG$13:$HG$512,"="&amp;SUBSTITUTE(SUBSTITUTE(SUBSTITUTE(IFERROR(IF(INDEX(INDIRECT("'WCM Calibration Final'!$E$1:$E$2000"),'Calculations'!$EM124)="","",TRIM(INDEX(INDIRECT("'WCM Calibration Final'!$E$1:$E$2000"),'Calculations'!$EM124)&amp;"")),""),"~","~~"),"*","~*"),"?","~?"))=1,INDEX('Calculations'!$HE$13:$HE$512,MATCH(IFERROR(IF(INDEX(INDIRECT("'WCM Calibration Final'!$E$1:$E$2000"),'Calculations'!$EM124)="","",TRIM(INDEX(INDIRECT("'WCM Calibration Final'!$E$1:$E$2000"),'Calculations'!$EM124)&amp;"")),""),'Calculations'!$HG$13:$HG$512,0)),IF(COUNTIF('Calculations'!$HG$13:$HG$512,"="&amp;SUBSTITUTE(SUBSTITUTE(SUBSTITUTE(IFERROR(IF(INDEX(INDIRECT("'WCM Calibration Final'!$E$1:$E$2000"),'Calculations'!$EM124)="","",TRIM(INDEX(INDIRECT("'WCM Calibration Final'!$E$1:$E$2000"),'Calculations'!$EM124)&amp;"")),""),"~","~~"),"*","~*"),"?","~?"))&gt;1,"!AMBIG","X:"&amp;IFERROR(IF(INDEX(INDIRECT("'WCM Calibration Final'!$E$1:$E$2000"),'Calculations'!$EM124)="","",TRIM(INDEX(INDIRECT("'WCM Calibration Final'!$E$1:$E$2000"),'Calculations'!$EM124)&amp;"")),""))))))</x:f>
      </x:c>
      <x:c r="HG124" t="str">
        <x:f>IF('Calculations'!EM124="","",IFERROR(IF(INDEX(INDIRECT("'WCM Calibration Final'!$B$1:$B$2000"),'Calculations'!$EM124)="","",TRIM(INDEX(INDIRECT("'WCM Calibration Final'!$B$1:$B$2000"),'Calculations'!$EM124)&amp;"")),""))</x:f>
      </x:c>
      <x:c r="HH124" t="n">
        <x:f>IF(AND('Calculations'!JC124&gt;0,COUNTIF('Calculations'!$HF$12:HF124,"="&amp;SUBSTITUTE(SUBSTITUTE(SUBSTITUTE('Calculations'!HF124,"~","~~"),"*","~*"),"?","~?"))=1),MAX('Calculations'!$HH$12:HH123)+1,0)</x:f>
        <x:v>0</x:v>
      </x:c>
      <x:c r="HI124" t="n">
        <x:f>IF(AND('Calculations'!HN124&lt;&gt;"",COUNTIF('Calculations'!$HN$12:HN124,"="&amp;SUBSTITUTE(SUBSTITUTE(SUBSTITUTE('Calculations'!HN124,"~","~~"),"*","~*"),"?","~?"))=1),MAX('Calculations'!$HI$12:HI123)+1,0)</x:f>
        <x:v>0</x:v>
      </x:c>
      <x:c r="HJ124" t="str">
        <x:f>IF('Calculations'!HF124="","",IF(COUNTIF('Calculations'!$HE$13:$HE$512,"="&amp;SUBSTITUTE(SUBSTITUTE(SUBSTITUTE('Calculations'!HF124,"~","~~"),"*","~*"),"?","~?"))=1,INDEX('Calculations'!$HK$13:$HK$512,MATCH('Calculations'!HF124,'Calculations'!$HE$13:$HE$512,0)),IFERROR(IF(INDEX(INDIRECT("'WCM Calibration Final'!$E$1:$E$2000"),'Calculations'!$EM124)="","",TRIM(INDEX(INDIRECT("'WCM Calibration Final'!$E$1:$E$2000"),'Calculations'!$EM124)&amp;"")),"")&amp;" ["&amp;'Calculations'!HF124&amp;"]"))</x:f>
      </x:c>
      <x:c r="HK124" t="str">
        <x:f>IF('Calculations'!EM124="","",'Calculations'!HG124&amp;" ["&amp;'Calculations'!HE124&amp;"]")</x:f>
      </x:c>
      <x:c r="HL124" t="n">
        <x:f>IF('Calculations'!EM124="",0,IF(OR('Calculations'!II124&lt;&gt;"",COUNTIF('Calculations'!$HE$13:$HE$512,"="&amp;SUBSTITUTE(SUBSTITUTE(SUBSTITUTE('Calculations'!HE124,"~","~~"),"*","~*"),"?","~?"))&gt;1),1,0))</x:f>
        <x:v>0</x:v>
      </x:c>
      <x:c r="HM124" t="str">
        <x:f>IF('Calculations'!EM124="","",IF('Calculations'!HL124=1,"!UNRESOLVED",IF('Calculations'!IH124&lt;&gt;"",'Calculations'!IH124,IF('Calculations'!IG124&lt;&gt;"",'Calculations'!IG124,IF('Calculations'!IF124&lt;&gt;"",'Calculations'!IF124,IF('Calculations'!IE124&lt;&gt;"",'Calculations'!IE124,IF('Calculations'!ID124&lt;&gt;"",'Calculations'!ID124,IF('Calculations'!IC124&lt;&gt;"",'Calculations'!IC124,IF('Calculations'!IB124&lt;&gt;"",'Calculations'!IB124,IF('Calculations'!IA124&lt;&gt;"",'Calculations'!IA124,IF('Calculations'!HZ124&lt;&gt;"",'Calculations'!HZ124,IF('Calculations'!HY124&lt;&gt;"",'Calculations'!HY124,IF('Calculations'!HX124&lt;&gt;"",'Calculations'!HX124,IF('Calculations'!HW124&lt;&gt;"",'Calculations'!HW124,IF('Calculations'!HV124&lt;&gt;"",'Calculations'!HV124,IF('Calculations'!HU124&lt;&gt;"",'Calculations'!HU124,IF('Calculations'!HT124&lt;&gt;"",'Calculations'!HT124,IF('Calculations'!HS124&lt;&gt;"",'Calculations'!HS124,IF('Calculations'!HR124&lt;&gt;"",'Calculations'!HR124,IF('Calculations'!HQ124&lt;&gt;"",'Calculations'!HQ124,IF('Calculations'!HP124&lt;&gt;"",'Calculations'!HP124,IF('Calculations'!HO124&lt;&gt;"",'Calculations'!HO124,'Calculations'!HE124))))))))))))))))))))))</x:f>
      </x:c>
      <x:c r="HN124" t="str">
        <x:f>IF('Calculations'!EM124="","",IF(IFERROR(IF(INDEX(INDIRECT("'WCM Calibration Final'!$F$1:$F$2000"),'Calculations'!$EM124)="","",TRIM(INDEX(INDIRECT("'WCM Calibration Final'!$F$1:$F$2000"),'Calculations'!$EM124)&amp;"")),"")="","(Blank)",IFERROR(IF(INDEX(INDIRECT("'WCM Calibration Final'!$F$1:$F$2000"),'Calculations'!$EM124)="","",TRIM(INDEX(INDIRECT("'WCM Calibration Final'!$F$1:$F$2000"),'Calculations'!$EM124)&amp;"")),"")))</x:f>
      </x:c>
      <x:c r="HO124" t="str">
        <x:f>'Calculations'!HF124</x:f>
      </x:c>
      <x:c r="HP124" t="str">
        <x:f>IF('Calculations'!HO124="","",IF('Calculations'!HO124="!AMBIG","!AMBIG",IF(COUNTIF('Calculations'!$HE$13:$HE$512,"="&amp;SUBSTITUTE(SUBSTITUTE(SUBSTITUTE('Calculations'!HO124,"~","~~"),"*","~*"),"?","~?"))&gt;1,"!AMBIG",IFERROR(INDEX('Calculations'!$HF$13:$HF$512,MATCH('Calculations'!HO124,'Calculations'!$HE$13:$HE$512,0)),""))))</x:f>
      </x:c>
      <x:c r="HQ124" t="str">
        <x:f>IF('Calculations'!HP124="","",IF('Calculations'!HP124="!AMBIG","!AMBIG",IF(COUNTIF('Calculations'!$HE$13:$HE$512,"="&amp;SUBSTITUTE(SUBSTITUTE(SUBSTITUTE('Calculations'!HP124,"~","~~"),"*","~*"),"?","~?"))&gt;1,"!AMBIG",IFERROR(INDEX('Calculations'!$HF$13:$HF$512,MATCH('Calculations'!HP124,'Calculations'!$HE$13:$HE$512,0)),""))))</x:f>
      </x:c>
      <x:c r="HR124" t="str">
        <x:f>IF('Calculations'!HQ124="","",IF('Calculations'!HQ124="!AMBIG","!AMBIG",IF(COUNTIF('Calculations'!$HE$13:$HE$512,"="&amp;SUBSTITUTE(SUBSTITUTE(SUBSTITUTE('Calculations'!HQ124,"~","~~"),"*","~*"),"?","~?"))&gt;1,"!AMBIG",IFERROR(INDEX('Calculations'!$HF$13:$HF$512,MATCH('Calculations'!HQ124,'Calculations'!$HE$13:$HE$512,0)),""))))</x:f>
      </x:c>
      <x:c r="HS124" t="str">
        <x:f>IF('Calculations'!HR124="","",IF('Calculations'!HR124="!AMBIG","!AMBIG",IF(COUNTIF('Calculations'!$HE$13:$HE$512,"="&amp;SUBSTITUTE(SUBSTITUTE(SUBSTITUTE('Calculations'!HR124,"~","~~"),"*","~*"),"?","~?"))&gt;1,"!AMBIG",IFERROR(INDEX('Calculations'!$HF$13:$HF$512,MATCH('Calculations'!HR124,'Calculations'!$HE$13:$HE$512,0)),""))))</x:f>
      </x:c>
      <x:c r="HT124" t="str">
        <x:f>IF('Calculations'!HS124="","",IF('Calculations'!HS124="!AMBIG","!AMBIG",IF(COUNTIF('Calculations'!$HE$13:$HE$512,"="&amp;SUBSTITUTE(SUBSTITUTE(SUBSTITUTE('Calculations'!HS124,"~","~~"),"*","~*"),"?","~?"))&gt;1,"!AMBIG",IFERROR(INDEX('Calculations'!$HF$13:$HF$512,MATCH('Calculations'!HS124,'Calculations'!$HE$13:$HE$512,0)),""))))</x:f>
      </x:c>
      <x:c r="HU124" t="str">
        <x:f>IF('Calculations'!HT124="","",IF('Calculations'!HT124="!AMBIG","!AMBIG",IF(COUNTIF('Calculations'!$HE$13:$HE$512,"="&amp;SUBSTITUTE(SUBSTITUTE(SUBSTITUTE('Calculations'!HT124,"~","~~"),"*","~*"),"?","~?"))&gt;1,"!AMBIG",IFERROR(INDEX('Calculations'!$HF$13:$HF$512,MATCH('Calculations'!HT124,'Calculations'!$HE$13:$HE$512,0)),""))))</x:f>
      </x:c>
      <x:c r="HV124" t="str">
        <x:f>IF('Calculations'!HU124="","",IF('Calculations'!HU124="!AMBIG","!AMBIG",IF(COUNTIF('Calculations'!$HE$13:$HE$512,"="&amp;SUBSTITUTE(SUBSTITUTE(SUBSTITUTE('Calculations'!HU124,"~","~~"),"*","~*"),"?","~?"))&gt;1,"!AMBIG",IFERROR(INDEX('Calculations'!$HF$13:$HF$512,MATCH('Calculations'!HU124,'Calculations'!$HE$13:$HE$512,0)),""))))</x:f>
      </x:c>
      <x:c r="HW124" t="str">
        <x:f>IF('Calculations'!HV124="","",IF('Calculations'!HV124="!AMBIG","!AMBIG",IF(COUNTIF('Calculations'!$HE$13:$HE$512,"="&amp;SUBSTITUTE(SUBSTITUTE(SUBSTITUTE('Calculations'!HV124,"~","~~"),"*","~*"),"?","~?"))&gt;1,"!AMBIG",IFERROR(INDEX('Calculations'!$HF$13:$HF$512,MATCH('Calculations'!HV124,'Calculations'!$HE$13:$HE$512,0)),""))))</x:f>
      </x:c>
      <x:c r="HX124" t="str">
        <x:f>IF('Calculations'!HW124="","",IF('Calculations'!HW124="!AMBIG","!AMBIG",IF(COUNTIF('Calculations'!$HE$13:$HE$512,"="&amp;SUBSTITUTE(SUBSTITUTE(SUBSTITUTE('Calculations'!HW124,"~","~~"),"*","~*"),"?","~?"))&gt;1,"!AMBIG",IFERROR(INDEX('Calculations'!$HF$13:$HF$512,MATCH('Calculations'!HW124,'Calculations'!$HE$13:$HE$512,0)),""))))</x:f>
      </x:c>
      <x:c r="HY124" t="str">
        <x:f>IF('Calculations'!HX124="","",IF('Calculations'!HX124="!AMBIG","!AMBIG",IF(COUNTIF('Calculations'!$HE$13:$HE$512,"="&amp;SUBSTITUTE(SUBSTITUTE(SUBSTITUTE('Calculations'!HX124,"~","~~"),"*","~*"),"?","~?"))&gt;1,"!AMBIG",IFERROR(INDEX('Calculations'!$HF$13:$HF$512,MATCH('Calculations'!HX124,'Calculations'!$HE$13:$HE$512,0)),""))))</x:f>
      </x:c>
      <x:c r="HZ124" t="str">
        <x:f>IF('Calculations'!HY124="","",IF('Calculations'!HY124="!AMBIG","!AMBIG",IF(COUNTIF('Calculations'!$HE$13:$HE$512,"="&amp;SUBSTITUTE(SUBSTITUTE(SUBSTITUTE('Calculations'!HY124,"~","~~"),"*","~*"),"?","~?"))&gt;1,"!AMBIG",IFERROR(INDEX('Calculations'!$HF$13:$HF$512,MATCH('Calculations'!HY124,'Calculations'!$HE$13:$HE$512,0)),""))))</x:f>
      </x:c>
      <x:c r="IA124" t="str">
        <x:f>IF('Calculations'!HZ124="","",IF('Calculations'!HZ124="!AMBIG","!AMBIG",IF(COUNTIF('Calculations'!$HE$13:$HE$512,"="&amp;SUBSTITUTE(SUBSTITUTE(SUBSTITUTE('Calculations'!HZ124,"~","~~"),"*","~*"),"?","~?"))&gt;1,"!AMBIG",IFERROR(INDEX('Calculations'!$HF$13:$HF$512,MATCH('Calculations'!HZ124,'Calculations'!$HE$13:$HE$512,0)),""))))</x:f>
      </x:c>
      <x:c r="IB124" t="str">
        <x:f>IF('Calculations'!IA124="","",IF('Calculations'!IA124="!AMBIG","!AMBIG",IF(COUNTIF('Calculations'!$HE$13:$HE$512,"="&amp;SUBSTITUTE(SUBSTITUTE(SUBSTITUTE('Calculations'!IA124,"~","~~"),"*","~*"),"?","~?"))&gt;1,"!AMBIG",IFERROR(INDEX('Calculations'!$HF$13:$HF$512,MATCH('Calculations'!IA124,'Calculations'!$HE$13:$HE$512,0)),""))))</x:f>
      </x:c>
      <x:c r="IC124" t="str">
        <x:f>IF('Calculations'!IB124="","",IF('Calculations'!IB124="!AMBIG","!AMBIG",IF(COUNTIF('Calculations'!$HE$13:$HE$512,"="&amp;SUBSTITUTE(SUBSTITUTE(SUBSTITUTE('Calculations'!IB124,"~","~~"),"*","~*"),"?","~?"))&gt;1,"!AMBIG",IFERROR(INDEX('Calculations'!$HF$13:$HF$512,MATCH('Calculations'!IB124,'Calculations'!$HE$13:$HE$512,0)),""))))</x:f>
      </x:c>
      <x:c r="ID124" t="str">
        <x:f>IF('Calculations'!IC124="","",IF('Calculations'!IC124="!AMBIG","!AMBIG",IF(COUNTIF('Calculations'!$HE$13:$HE$512,"="&amp;SUBSTITUTE(SUBSTITUTE(SUBSTITUTE('Calculations'!IC124,"~","~~"),"*","~*"),"?","~?"))&gt;1,"!AMBIG",IFERROR(INDEX('Calculations'!$HF$13:$HF$512,MATCH('Calculations'!IC124,'Calculations'!$HE$13:$HE$512,0)),""))))</x:f>
      </x:c>
      <x:c r="IE124" t="str">
        <x:f>IF('Calculations'!ID124="","",IF('Calculations'!ID124="!AMBIG","!AMBIG",IF(COUNTIF('Calculations'!$HE$13:$HE$512,"="&amp;SUBSTITUTE(SUBSTITUTE(SUBSTITUTE('Calculations'!ID124,"~","~~"),"*","~*"),"?","~?"))&gt;1,"!AMBIG",IFERROR(INDEX('Calculations'!$HF$13:$HF$512,MATCH('Calculations'!ID124,'Calculations'!$HE$13:$HE$512,0)),""))))</x:f>
      </x:c>
      <x:c r="IF124" t="str">
        <x:f>IF('Calculations'!IE124="","",IF('Calculations'!IE124="!AMBIG","!AMBIG",IF(COUNTIF('Calculations'!$HE$13:$HE$512,"="&amp;SUBSTITUTE(SUBSTITUTE(SUBSTITUTE('Calculations'!IE124,"~","~~"),"*","~*"),"?","~?"))&gt;1,"!AMBIG",IFERROR(INDEX('Calculations'!$HF$13:$HF$512,MATCH('Calculations'!IE124,'Calculations'!$HE$13:$HE$512,0)),""))))</x:f>
      </x:c>
      <x:c r="IG124" t="str">
        <x:f>IF('Calculations'!IF124="","",IF('Calculations'!IF124="!AMBIG","!AMBIG",IF(COUNTIF('Calculations'!$HE$13:$HE$512,"="&amp;SUBSTITUTE(SUBSTITUTE(SUBSTITUTE('Calculations'!IF124,"~","~~"),"*","~*"),"?","~?"))&gt;1,"!AMBIG",IFERROR(INDEX('Calculations'!$HF$13:$HF$512,MATCH('Calculations'!IF124,'Calculations'!$HE$13:$HE$512,0)),""))))</x:f>
      </x:c>
      <x:c r="IH124" t="str">
        <x:f>IF('Calculations'!IG124="","",IF('Calculations'!IG124="!AMBIG","!AMBIG",IF(COUNTIF('Calculations'!$HE$13:$HE$512,"="&amp;SUBSTITUTE(SUBSTITUTE(SUBSTITUTE('Calculations'!IG124,"~","~~"),"*","~*"),"?","~?"))&gt;1,"!AMBIG",IFERROR(INDEX('Calculations'!$HF$13:$HF$512,MATCH('Calculations'!IG124,'Calculations'!$HE$13:$HE$512,0)),""))))</x:f>
      </x:c>
      <x:c r="II124" t="str">
        <x:f>IF('Calculations'!IH124="","",IF('Calculations'!IH124="!AMBIG","!AMBIG",IF(COUNTIF('Calculations'!$HE$13:$HE$512,"="&amp;SUBSTITUTE(SUBSTITUTE(SUBSTITUTE('Calculations'!IH124,"~","~~"),"*","~*"),"?","~?"))&gt;1,"!AMBIG",IFERROR(INDEX('Calculations'!$HF$13:$HF$512,MATCH('Calculations'!IH124,'Calculations'!$HE$13:$HE$512,0)),""))))</x:f>
      </x:c>
      <x:c r="IJ124" t="str">
        <x:f>IF('Calculations'!EM124="","",IF('Calculations'!$EF$2="All",'Calculations'!HM124,IF('Calculations'!HL124=1,"",IFERROR(IF(MATCH('Calculations'!$EF$2,'Calculations'!HO124:II124,0)=1,'Calculations'!HE124,INDEX('Calculations'!HO124:II124,1,MATCH('Calculations'!$EF$2,'Calculations'!HO124:II124,0)-1)),""))))</x:f>
      </x:c>
      <x:c r="IK124" t="n">
        <x:f>IF(AND('Calculations'!EM124&lt;&gt;"",'Calculations'!$EF$2&lt;&gt;"All",'Calculations'!HF124='Calculations'!$EF$2,'Calculations'!HL124=0,'Calculations'!JD124&gt;0),MAX('Calculations'!$IK$12:IK123)+1,0)</x:f>
        <x:v>0</x:v>
      </x:c>
      <x:c r="JA124" t="n">
        <x:f>IF(OR(IFERROR(INDIRECT("'WCM Calibration Final'!$A$124")&lt;&gt;"",FALSE),IFERROR(INDIRECT("'WCM Calibration Final'!$B$124")&lt;&gt;"",FALSE),IFERROR(INDIRECT("'WCM Calibration Final'!$C$124")&lt;&gt;"",FALSE)),124,0)</x:f>
        <x:v>0</x:v>
      </x:c>
      <x:c r="JB124" t="n">
        <x:f>'Calculations'!JB123+IF('Calculations'!JA124&gt;0,1,0)</x:f>
        <x:v>0</x:v>
      </x:c>
      <x:c r="JC124" t="n">
        <x:f>IF(OR('Calculations'!HF124="",'Calculations'!HF124="!AMBIG"),0,IF('Dashboard'!$B$7="All",1,COUNTIFS('Calculations'!$HO$13:$HO$512,"="&amp;SUBSTITUTE(SUBSTITUTE(SUBSTITUTE('Calculations'!HF124,"~","~~"),"*","~*"),"?","~?"),'Calculations'!$HN$13:$HN$512,"="&amp;SUBSTITUTE(SUBSTITUTE(SUBSTITUTE('Dashboard'!$B$7,"~","~~"),"*","~*"),"?","~?"))+COUNTIFS('Calculations'!$HP$13:$HP$512,"="&amp;SUBSTITUTE(SUBSTITUTE(SUBSTITUTE('Calculations'!HF124,"~","~~"),"*","~*"),"?","~?"),'Calculations'!$HN$13:$HN$512,"="&amp;SUBSTITUTE(SUBSTITUTE(SUBSTITUTE('Dashboard'!$B$7,"~","~~"),"*","~*"),"?","~?"))+COUNTIFS('Calculations'!$HQ$13:$HQ$512,"="&amp;SUBSTITUTE(SUBSTITUTE(SUBSTITUTE('Calculations'!HF124,"~","~~"),"*","~*"),"?","~?"),'Calculations'!$HN$13:$HN$512,"="&amp;SUBSTITUTE(SUBSTITUTE(SUBSTITUTE('Dashboard'!$B$7,"~","~~"),"*","~*"),"?","~?"))+COUNTIFS('Calculations'!$HR$13:$HR$512,"="&amp;SUBSTITUTE(SUBSTITUTE(SUBSTITUTE('Calculations'!HF124,"~","~~"),"*","~*"),"?","~?"),'Calculations'!$HN$13:$HN$512,"="&amp;SUBSTITUTE(SUBSTITUTE(SUBSTITUTE('Dashboard'!$B$7,"~","~~"),"*","~*"),"?","~?"))+COUNTIFS('Calculations'!$HS$13:$HS$512,"="&amp;SUBSTITUTE(SUBSTITUTE(SUBSTITUTE('Calculations'!HF124,"~","~~"),"*","~*"),"?","~?"),'Calculations'!$HN$13:$HN$512,"="&amp;SUBSTITUTE(SUBSTITUTE(SUBSTITUTE('Dashboard'!$B$7,"~","~~"),"*","~*"),"?","~?"))+COUNTIFS('Calculations'!$HT$13:$HT$512,"="&amp;SUBSTITUTE(SUBSTITUTE(SUBSTITUTE('Calculations'!HF124,"~","~~"),"*","~*"),"?","~?"),'Calculations'!$HN$13:$HN$512,"="&amp;SUBSTITUTE(SUBSTITUTE(SUBSTITUTE('Dashboard'!$B$7,"~","~~"),"*","~*"),"?","~?"))+COUNTIFS('Calculations'!$HU$13:$HU$512,"="&amp;SUBSTITUTE(SUBSTITUTE(SUBSTITUTE('Calculations'!HF124,"~","~~"),"*","~*"),"?","~?"),'Calculations'!$HN$13:$HN$512,"="&amp;SUBSTITUTE(SUBSTITUTE(SUBSTITUTE('Dashboard'!$B$7,"~","~~"),"*","~*"),"?","~?"))+COUNTIFS('Calculations'!$HV$13:$HV$512,"="&amp;SUBSTITUTE(SUBSTITUTE(SUBSTITUTE('Calculations'!HF124,"~","~~"),"*","~*"),"?","~?"),'Calculations'!$HN$13:$HN$512,"="&amp;SUBSTITUTE(SUBSTITUTE(SUBSTITUTE('Dashboard'!$B$7,"~","~~"),"*","~*"),"?","~?"))+COUNTIFS('Calculations'!$HW$13:$HW$512,"="&amp;SUBSTITUTE(SUBSTITUTE(SUBSTITUTE('Calculations'!HF124,"~","~~"),"*","~*"),"?","~?"),'Calculations'!$HN$13:$HN$512,"="&amp;SUBSTITUTE(SUBSTITUTE(SUBSTITUTE('Dashboard'!$B$7,"~","~~"),"*","~*"),"?","~?"))+COUNTIFS('Calculations'!$HX$13:$HX$512,"="&amp;SUBSTITUTE(SUBSTITUTE(SUBSTITUTE('Calculations'!HF124,"~","~~"),"*","~*"),"?","~?"),'Calculations'!$HN$13:$HN$512,"="&amp;SUBSTITUTE(SUBSTITUTE(SUBSTITUTE('Dashboard'!$B$7,"~","~~"),"*","~*"),"?","~?"))+COUNTIFS('Calculations'!$HY$13:$HY$512,"="&amp;SUBSTITUTE(SUBSTITUTE(SUBSTITUTE('Calculations'!HF124,"~","~~"),"*","~*"),"?","~?"),'Calculations'!$HN$13:$HN$512,"="&amp;SUBSTITUTE(SUBSTITUTE(SUBSTITUTE('Dashboard'!$B$7,"~","~~"),"*","~*"),"?","~?"))+COUNTIFS('Calculations'!$HZ$13:$HZ$512,"="&amp;SUBSTITUTE(SUBSTITUTE(SUBSTITUTE('Calculations'!HF124,"~","~~"),"*","~*"),"?","~?"),'Calculations'!$HN$13:$HN$512,"="&amp;SUBSTITUTE(SUBSTITUTE(SUBSTITUTE('Dashboard'!$B$7,"~","~~"),"*","~*"),"?","~?"))+COUNTIFS('Calculations'!$IA$13:$IA$512,"="&amp;SUBSTITUTE(SUBSTITUTE(SUBSTITUTE('Calculations'!HF124,"~","~~"),"*","~*"),"?","~?"),'Calculations'!$HN$13:$HN$512,"="&amp;SUBSTITUTE(SUBSTITUTE(SUBSTITUTE('Dashboard'!$B$7,"~","~~"),"*","~*"),"?","~?"))+COUNTIFS('Calculations'!$IB$13:$IB$512,"="&amp;SUBSTITUTE(SUBSTITUTE(SUBSTITUTE('Calculations'!HF124,"~","~~"),"*","~*"),"?","~?"),'Calculations'!$HN$13:$HN$512,"="&amp;SUBSTITUTE(SUBSTITUTE(SUBSTITUTE('Dashboard'!$B$7,"~","~~"),"*","~*"),"?","~?"))+COUNTIFS('Calculations'!$IC$13:$IC$512,"="&amp;SUBSTITUTE(SUBSTITUTE(SUBSTITUTE('Calculations'!HF124,"~","~~"),"*","~*"),"?","~?"),'Calculations'!$HN$13:$HN$512,"="&amp;SUBSTITUTE(SUBSTITUTE(SUBSTITUTE('Dashboard'!$B$7,"~","~~"),"*","~*"),"?","~?"))+COUNTIFS('Calculations'!$ID$13:$ID$512,"="&amp;SUBSTITUTE(SUBSTITUTE(SUBSTITUTE('Calculations'!HF124,"~","~~"),"*","~*"),"?","~?"),'Calculations'!$HN$13:$HN$512,"="&amp;SUBSTITUTE(SUBSTITUTE(SUBSTITUTE('Dashboard'!$B$7,"~","~~"),"*","~*"),"?","~?"))+COUNTIFS('Calculations'!$IE$13:$IE$512,"="&amp;SUBSTITUTE(SUBSTITUTE(SUBSTITUTE('Calculations'!HF124,"~","~~"),"*","~*"),"?","~?"),'Calculations'!$HN$13:$HN$512,"="&amp;SUBSTITUTE(SUBSTITUTE(SUBSTITUTE('Dashboard'!$B$7,"~","~~"),"*","~*"),"?","~?"))+COUNTIFS('Calculations'!$IF$13:$IF$512,"="&amp;SUBSTITUTE(SUBSTITUTE(SUBSTITUTE('Calculations'!HF124,"~","~~"),"*","~*"),"?","~?"),'Calculations'!$HN$13:$HN$512,"="&amp;SUBSTITUTE(SUBSTITUTE(SUBSTITUTE('Dashboard'!$B$7,"~","~~"),"*","~*"),"?","~?"))+COUNTIFS('Calculations'!$IG$13:$IG$512,"="&amp;SUBSTITUTE(SUBSTITUTE(SUBSTITUTE('Calculations'!HF124,"~","~~"),"*","~*"),"?","~?"),'Calculations'!$HN$13:$HN$512,"="&amp;SUBSTITUTE(SUBSTITUTE(SUBSTITUTE('Dashboard'!$B$7,"~","~~"),"*","~*"),"?","~?"))+COUNTIFS('Calculations'!$IH$13:$IH$512,"="&amp;SUBSTITUTE(SUBSTITUTE(SUBSTITUTE('Calculations'!HF124,"~","~~"),"*","~*"),"?","~?"),'Calculations'!$HN$13:$HN$512,"="&amp;SUBSTITUTE(SUBSTITUTE(SUBSTITUTE('Dashboard'!$B$7,"~","~~"),"*","~*"),"?","~?"))))</x:f>
        <x:v>0</x:v>
      </x:c>
      <x:c r="JD124" t="n">
        <x:f>IF('Calculations'!EM124="",0,IF('Dashboard'!$B$7="All",1,IF('Calculations'!HN124='Dashboard'!$B$7,1,0)+IFERROR(INDEX('Calculations'!$JC$13:$JC$512,MATCH('Calculations'!HE124,'Calculations'!$HF$13:$HF$512,0)),0)))</x:f>
        <x:v>0</x:v>
      </x:c>
      <x:c r="JE124" t="n">
        <x:f>IF(AND('Calculations'!EM124&lt;&gt;"",'Calculations'!$JJ$2&lt;&gt;"All",'Calculations'!$JJ$2&lt;&gt;"",'Calculations'!HF124='Calculations'!$JJ$2,'Calculations'!HL124=0,'Calculations'!JD124&gt;0),MAX('Calculations'!$JE$12:JE123)+1,0)</x:f>
        <x:v>0</x:v>
      </x:c>
      <x:c r="JF124" t="str">
        <x:f>IF('Calculations'!EM124="","",IFERROR(IF(INDEX(INDIRECT("'WCM Calibration Final'!$G$1:$G$2000"),'Calculations'!$EM124)="","",TRIM(INDEX(INDIRECT("'WCM Calibration Final'!$G$1:$G$2000"),'Calculations'!$EM124)&amp;"")),""))</x:f>
      </x:c>
      <x:c r="JQ124" t="n">
        <x:f>IF(OR('Calculations'!BM124=0,NOT('Calculations'!$AG$2),'Calculations'!$AG$8&gt;0),0,IF(OR('Dashboard'!$B$7="All",'Calculations'!HN124='Dashboard'!$B$7),IF('Calculations'!$JJ$2="All",1,IF(AND('Calculations'!HF124='Calculations'!$JJ$2,'Calculations'!HL124=0),1,0)),0))</x:f>
        <x:v>0</x:v>
      </x:c>
    </x:row>
    <x:row r="125">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t="n">
        <x:f>IF('Calculations'!$EM125="",0,IF(OR(IFERROR(INDEX(INDIRECT("'WCM Calibration Final'!$A$1:$A$2000"),'Calculations'!$EM125)&lt;&gt;"",FALSE),IFERROR(INDEX(INDIRECT("'WCM Calibration Final'!$B$1:$B$2000"),'Calculations'!$EM125)&lt;&gt;"",FALSE),IFERROR(INDEX(INDIRECT("'WCM Calibration Final'!$C$1:$C$2000"),'Calculations'!$EM125)&lt;&gt;"",FALSE)),1,0))</x:f>
        <x:v>0</x:v>
      </x:c>
      <x:c r="BN125" s="4" t="n">
        <x:f>IF(AND('Calculations'!BM125=1,'Calculations'!$AG$2,'Calculations'!$EN125=1),1,0)</x:f>
        <x:v>0</x:v>
      </x:c>
      <x:c r="BO125" s="4" t="str">
        <x:f>IF('Calculations'!BM125=0,"",IFERROR(IF(AND(VALUE(INDEX(INDIRECT("'WCM Calibration Final'!$K$1:$K$2000"),'Calculations'!$EM125))&gt;=1,VALUE(INDEX(INDIRECT("'WCM Calibration Final'!$K$1:$K$2000"),'Calculations'!$EM125))&lt;=4,MOD(VALUE(INDEX(INDIRECT("'WCM Calibration Final'!$K$1:$K$2000"),'Calculations'!$EM125)),1)=0),VALUE(INDEX(INDIRECT("'WCM Calibration Final'!$K$1:$K$2000"),'Calculations'!$EM125)),""),""))</x:f>
      </x:c>
      <x:c r="BP125" s="4" t="str">
        <x:f>IF('Calculations'!BM125=0,"",IFERROR(IF(AND(VALUE(INDEX(INDIRECT("'WCM Calibration Final'!$L$1:$L$2000"),'Calculations'!$EM125))&gt;=1,VALUE(INDEX(INDIRECT("'WCM Calibration Final'!$L$1:$L$2000"),'Calculations'!$EM125))&lt;=4,MOD(VALUE(INDEX(INDIRECT("'WCM Calibration Final'!$L$1:$L$2000"),'Calculations'!$EM125)),1)=0),VALUE(INDEX(INDIRECT("'WCM Calibration Final'!$L$1:$L$2000"),'Calculations'!$EM125)),""),""))</x:f>
      </x:c>
      <x:c r="BQ125" s="4"/>
      <x:c r="BR125" s="4"/>
      <x:c r="BS125" s="4"/>
      <x:c r="BT125" s="4" t="n">
        <x:f>IF(AND('Calculations'!BM125=1,ISNUMBER('Calculations'!BO125),ISNUMBER('Calculations'!BP125)),1,0)</x:f>
        <x:v>0</x:v>
      </x:c>
      <x:c r="BU125" s="4" t="str">
        <x:f>IF('Calculations'!BM125=0,"",'Calculations'!$EO125)</x:f>
      </x:c>
      <x:c r="BV125" s="4" t="str">
        <x:f>IF('Calculations'!BM125=0,"",IFERROR(IF(OR(INDEX(INDIRECT("'WCM Calibration Final'!$H$1:$H$2000"),'Calculations'!$EM125)="MANAGING DIRECTOR",INDEX(INDIRECT("'WCM Calibration Final'!$H$1:$H$2000"),'Calculations'!$EM125)="DIRECTOR",INDEX(INDIRECT("'WCM Calibration Final'!$H$1:$H$2000"),'Calculations'!$EM125)="SENIOR VICE PRESIDENT",INDEX(INDIRECT("'WCM Calibration Final'!$H$1:$H$2000"),'Calculations'!$EM125)="VICE PRESIDENT",INDEX(INDIRECT("'WCM Calibration Final'!$H$1:$H$2000"),'Calculations'!$EM125)="ASSISTANT VICE PRESIDENT",INDEX(INDIRECT("'WCM Calibration Final'!$H$1:$H$2000"),'Calculations'!$EM125)="OFFICER"),UPPER(INDEX(INDIRECT("'WCM Calibration Final'!$H$1:$H$2000"),'Calculations'!$EM125)),"Other"),"Other"))</x:f>
      </x:c>
      <x:c r="BW125" s="4"/>
      <x:c r="BX125" s="4"/>
      <x:c r="BY125" s="4" t="n">
        <x:f>IF(AND('Calculations'!BM125=1,'Calculations'!BU125&lt;&gt;"",COUNTIF('Calculations'!$BU$12:BU125,'Calculations'!BU125)=1),MAX('Calculations'!$BY$11:BY124)+1,0)</x:f>
        <x:v>0</x:v>
      </x:c>
      <x:c r="BZ125" s="4" t="str">
        <x:f>IF('Dashboard'!$E$67="What",'Calculations'!BO125,'Calculations'!BP125)</x:f>
      </x:c>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t="str">
        <x:f>IF(114&gt;MAX('Calculations'!$HI$13:$HI$512),"",INDEX('Calculations'!$HN$13:$HN$512,MATCH(114,'Calculations'!$HI$13:$HI$512,0)))</x:f>
      </x:c>
      <x:c r="DB125" s="4" t="str">
        <x:f>IF(114&gt;MAX('Calculations'!$HH$13:$HH$512),"",INDEX('Calculations'!$HJ$13:$HJ$512,MATCH(114,'Calculations'!$HH$13:$HH$512,0)))</x:f>
      </x:c>
      <x:c r="DC125" s="4" t="str">
        <x:f>IF(ROW()-11&gt;MAX('Calculations'!$BY$13:$BY$512),"",INDEX('Calculations'!$BU$13:$BU$512,MATCH(ROW()-11,'Calculations'!$BY$13:$BY$512,0)))</x:f>
      </x:c>
      <x:c r="DD125" s="4" t="str">
        <x:f>IF(114&gt;MAX('Calculations'!$IK$13:$IK$512),"",INDEX('Calculations'!$HK$13:$HK$512,MATCH(114,'Calculations'!$IK$13:$IK$512,0)))</x:f>
      </x:c>
      <x:c r="DE125" s="4" t="str">
        <x:f>'Calculations'!DC125</x:f>
      </x:c>
      <x:c r="DF125" s="4" t="str">
        <x:f>IF('Calculations'!DE125="","",COUNTIFS('Calculations'!$BN$13:$BN$512,1,'Calculations'!$BU$13:$BU$512,'Calculations'!DE125))</x:f>
      </x:c>
      <x:c r="DG125" s="4" t="str">
        <x:f>IF('Calculations'!DE125="","",COUNTIFS('Calculations'!$BN$13:$BN$512,1,'Calculations'!$BU$13:$BU$512,'Calculations'!DE125,'Calculations'!$BT$13:$BT$512,1))</x:f>
      </x:c>
      <x:c r="DH125" s="4" t="str">
        <x:f>IF('Calculations'!DE125="","",'Calculations'!DF125-'Calculations'!DG125)</x:f>
      </x:c>
      <x:c r="DI125" s="4" t="str">
        <x:f>IF(OR('Calculations'!DE125="",'Calculations'!DF125=0),"",'Calculations'!DG125/'Calculations'!DF125)</x:f>
      </x:c>
      <x:c r="DJ125" s="4" t="str">
        <x:f>IF('Calculations'!DE125="","",COUNTIFS('Calculations'!$BN$13:$BN$512,1,'Calculations'!$BU$13:$BU$512,'Calculations'!DE125,'Calculations'!$BT$13:$BT$512,1,'Calculations'!$EE$13:$EE$512,"High"))</x:f>
      </x:c>
      <x:c r="DK125" s="4" t="str">
        <x:f>IF('Calculations'!DE125="","",COUNTIFS('Calculations'!$BN$13:$BN$512,1,'Calculations'!$BU$13:$BU$512,'Calculations'!DE125,'Calculations'!$BT$13:$BT$512,1,'Calculations'!$EE$13:$EE$512,"Strong"))</x:f>
      </x:c>
      <x:c r="DL125" s="4" t="str">
        <x:f>IF('Calculations'!DE125="","",COUNTIFS('Calculations'!$BN$13:$BN$512,1,'Calculations'!$BU$13:$BU$512,'Calculations'!DE125,'Calculations'!$BT$13:$BT$512,1,'Calculations'!$EE$13:$EE$512,"Solid"))</x:f>
      </x:c>
      <x:c r="DM125" s="4" t="str">
        <x:f>IF('Calculations'!DE125="","",COUNTIFS('Calculations'!$BN$13:$BN$512,1,'Calculations'!$BU$13:$BU$512,'Calculations'!DE125,'Calculations'!$BT$13:$BT$512,1,'Calculations'!$EE$13:$EE$512,"Low"))</x:f>
      </x:c>
      <x:c r="DN125" s="4" t="str">
        <x:f>IF('Calculations'!DE125="","",COUNTIFS('Calculations'!$BN$13:$BN$512,1,'Calculations'!$BU$13:$BU$512,'Calculations'!DE125,'Calculations'!$EP$13:$EP$512,1))</x:f>
      </x:c>
      <x:c r="DO125" s="4" t="str">
        <x:f>IF(OR('Calculations'!DE125="",'Calculations'!DG125=0),"",('Calculations'!DJ125+'Calculations'!DK125)/'Calculations'!DG125)</x:f>
      </x:c>
      <x:c r="DP125" s="4" t="n">
        <x:f>IF(AND('Calculations'!DE125&lt;&gt;"",'Calculations'!DF125&gt;0),COUNTIF('Calculations'!$DF$12:DF125,"&gt;0"),0)</x:f>
        <x:v>0</x:v>
      </x:c>
      <x:c r="DQ125" s="4" t="str">
        <x:f>IF(114&gt;MAX('Calculations'!$HH$13:$HH$512),"",INDEX('Calculations'!$HF$13:$HF$512,MATCH(114,'Calculations'!$HH$13:$HH$512,0)))</x:f>
      </x:c>
      <x:c r="DR125" s="4" t="str">
        <x:f>IF(114&gt;MAX('Calculations'!$IK$13:$IK$512),"",INDEX('Calculations'!$HE$13:$HE$512,MATCH(114,'Calculations'!$IK$13:$IK$512,0)))</x:f>
      </x:c>
      <x:c r="DS125" s="4"/>
      <x:c r="DT125" s="4"/>
      <x:c r="DU125" s="4"/>
      <x:c r="DV125" s="4"/>
      <x:c r="DW125" s="4"/>
      <x:c r="DX125" s="4"/>
      <x:c r="DY125" s="4"/>
      <x:c r="DZ125" s="4"/>
      <x:c r="EA125" s="4"/>
      <x:c r="EB125" s="4"/>
      <x:c r="EC125" s="4"/>
      <x:c r="ED125" s="4"/>
      <x:c r="EE125" s="4" t="str">
        <x:f>IF('Calculations'!BT125=0,"Not Rated",IF(OR('Calculations'!BO125&gt;=4,'Calculations'!BP125&gt;=4),"Low",IF('Calculations'!BO125+'Calculations'!BP125&lt;=3,"High",IF('Calculations'!BO125+'Calculations'!BP125&lt;=4,"Strong","Solid"))))</x:f>
        <x:v>Not Rated</x:v>
      </x:c>
      <x:c r="EF125" s="4"/>
      <x:c r="EG125" s="4"/>
      <x:c r="EH125" s="4"/>
      <x:c r="EI125" s="4"/>
      <x:c r="EJ125" s="4"/>
      <x:c r="EK125" s="4"/>
      <x:c r="EL125" s="4"/>
      <x:c r="EM125" s="4" t="str">
        <x:f>IF(113&gt;'Calculations'!$JB$2000,"",INDEX('Calculations'!$JA$12:$JA$2000,MATCH(113,'Calculations'!$JB$12:$JB$2000,0)))</x:f>
      </x:c>
      <x:c r="EN125" s="4" t="n">
        <x:f>IF(OR('Calculations'!EM125="",'Calculations'!$AG$8&gt;0,AND('Calculations'!$EF$2&lt;&gt;"All",'Calculations'!HE125='Calculations'!$EF$2),AND('Calculations'!$EF$3&lt;&gt;"All",'Calculations'!HE125='Calculations'!$EF$3)),0,IF(OR('Dashboard'!$B$7="All",'Calculations'!HN125='Dashboard'!$B$7),IF('Calculations'!$EF$2="All",1,IF('Calculations'!HL125&gt;0,0,IF(COUNTIF('Calculations'!HO125:II125,"="&amp;SUBSTITUTE(SUBSTITUTE(SUBSTITUTE('Calculations'!$EF$2,"~","~~"),"*","~*"),"?","~?"))=0,0,IF('Calculations'!$EF$3="All",1,IF(COUNTIF('Calculations'!HO125:II125,"="&amp;SUBSTITUTE(SUBSTITUTE(SUBSTITUTE('Calculations'!$EF$3,"~","~~"),"*","~*"),"?","~?"))&gt;0,1,0))))),0))</x:f>
        <x:v>0</x:v>
      </x:c>
      <x:c r="EO125" s="4" t="str">
        <x:f>IF('Calculations'!IJ125="","",IF('Calculations'!IJ125="!UNRESOLVED","Unresolved hierarchy",IFERROR(INDEX('Calculations'!$HK$13:$HK$512,MATCH('Calculations'!IJ125,'Calculations'!$HE$13:$HE$512,0)),IFERROR(INDEX('Calculations'!$HJ$13:$HJ$512,MATCH('Calculations'!IJ125,'Calculations'!$HF$13:$HF$512,0)),'Calculations'!IJ125))))</x:f>
      </x:c>
      <x:c r="EP125" s="4" t="n">
        <x:f>IF(AND('Calculations'!EM125&lt;&gt;"",'Calculations'!HF125='Calculations'!IJ125),1,0)</x:f>
        <x:v>0</x:v>
      </x:c>
      <x:c r="EQ125" s="4"/>
      <x:c r="ER125" s="4"/>
      <x:c r="ES125" s="4"/>
      <x:c r="ET125" s="4"/>
      <x:c r="EU125" s="4"/>
      <x:c r="EV125" s="4"/>
      <x:c r="EW125" s="4"/>
      <x:c r="EX125" s="4"/>
      <x:c r="EY125" s="4"/>
      <x:c r="EZ125" s="4"/>
      <x:c r="FA125" s="4"/>
      <x:c r="FB125" s="4"/>
      <x:c r="FC125" s="4"/>
      <x:c r="FD125" s="4"/>
      <x:c r="FE125" s="4"/>
      <x:c r="FF125" s="4"/>
      <x:c r="FG125" s="4"/>
      <x:c r="FH125" s="4"/>
      <x:c r="FI125" s="4"/>
      <x:c r="FJ125" s="4"/>
      <x:c r="FK125" s="4"/>
      <x:c r="FL125" s="4"/>
      <x:c r="FM125" s="4"/>
      <x:c r="FN125" s="4"/>
      <x:c r="FO125" s="4"/>
      <x:c r="GA125" s="71"/>
      <x:c r="GB125" s="71"/>
      <x:c r="GC125" s="71"/>
      <x:c r="GD125" s="71"/>
      <x:c r="GE125" s="71"/>
      <x:c r="GF125" s="71"/>
      <x:c r="GG125" s="71"/>
      <x:c r="GH125" s="71"/>
      <x:c r="GI125" s="71"/>
      <x:c r="GJ125" s="71"/>
      <x:c r="GK125" s="71"/>
      <x:c r="GL125" s="71"/>
      <x:c r="GM125" s="71"/>
      <x:c r="GN125" s="71"/>
      <x:c r="GO125" s="71"/>
      <x:c r="GP125" s="71"/>
      <x:c r="GQ125" s="71"/>
      <x:c r="GR125" s="71"/>
      <x:c r="GS125" s="71"/>
      <x:c r="GT125" s="71"/>
      <x:c r="GU125" s="71"/>
      <x:c r="GV125" s="71"/>
      <x:c r="GW125" s="71"/>
      <x:c r="GX125" s="71"/>
      <x:c r="GY125" s="71"/>
      <x:c r="GZ125" s="71"/>
      <x:c r="HA125" s="71"/>
      <x:c r="HB125" s="71"/>
      <x:c r="HC125" s="71"/>
      <x:c r="HD125" s="71"/>
      <x:c r="HE125" t="str">
        <x:f>IF('Calculations'!EM125="","",IF(IFERROR(IF(INDEX(INDIRECT("'WCM Calibration Final'!$A$1:$A$2000"),'Calculations'!$EM125)="","",TRIM(INDEX(INDIRECT("'WCM Calibration Final'!$A$1:$A$2000"),'Calculations'!$EM125)&amp;"")),"")&lt;&gt;"","G:"&amp;IFERROR(TEXT(1*INDEX(INDIRECT("'WCM Calibration Final'!$A$1:$A$2000"),'Calculations'!$EM125),"0"),UPPER(IFERROR(IF(INDEX(INDIRECT("'WCM Calibration Final'!$A$1:$A$2000"),'Calculations'!$EM125)="","",TRIM(INDEX(INDIRECT("'WCM Calibration Final'!$A$1:$A$2000"),'Calculations'!$EM125)&amp;"")),""))),IF(IFERROR(IF(INDEX(INDIRECT("'WCM Calibration Final'!$C$1:$C$2000"),'Calculations'!$EM125)="","",TRIM(INDEX(INDIRECT("'WCM Calibration Final'!$C$1:$C$2000"),'Calculations'!$EM125)&amp;"")),"")&lt;&gt;"","S:"&amp;UPPER(IFERROR(IF(INDEX(INDIRECT("'WCM Calibration Final'!$C$1:$C$2000"),'Calculations'!$EM125)="","",TRIM(INDEX(INDIRECT("'WCM Calibration Final'!$C$1:$C$2000"),'Calculations'!$EM125)&amp;"")),"")),"R:"&amp;'Calculations'!EM125)))</x:f>
      </x:c>
      <x:c r="HF125" t="str">
        <x:f>IF('Calculations'!EM125="","",IF(IFERROR(IF(INDEX(INDIRECT("'WCM Calibration Final'!$D$1:$D$2000"),'Calculations'!$EM125)="","",TRIM(INDEX(INDIRECT("'WCM Calibration Final'!$D$1:$D$2000"),'Calculations'!$EM125)&amp;"")),"")&lt;&gt;"","G:"&amp;IFERROR(TEXT(1*INDEX(INDIRECT("'WCM Calibration Final'!$D$1:$D$2000"),'Calculations'!$EM125),"0"),UPPER(IFERROR(IF(INDEX(INDIRECT("'WCM Calibration Final'!$D$1:$D$2000"),'Calculations'!$EM125)="","",TRIM(INDEX(INDIRECT("'WCM Calibration Final'!$D$1:$D$2000"),'Calculations'!$EM125)&amp;"")),""))),IF(IFERROR(IF(INDEX(INDIRECT("'WCM Calibration Final'!$E$1:$E$2000"),'Calculations'!$EM125)="","",TRIM(INDEX(INDIRECT("'WCM Calibration Final'!$E$1:$E$2000"),'Calculations'!$EM125)&amp;"")),"")="","",IF(COUNTIF('Calculations'!$HG$13:$HG$512,"="&amp;SUBSTITUTE(SUBSTITUTE(SUBSTITUTE(IFERROR(IF(INDEX(INDIRECT("'WCM Calibration Final'!$E$1:$E$2000"),'Calculations'!$EM125)="","",TRIM(INDEX(INDIRECT("'WCM Calibration Final'!$E$1:$E$2000"),'Calculations'!$EM125)&amp;"")),""),"~","~~"),"*","~*"),"?","~?"))=1,INDEX('Calculations'!$HE$13:$HE$512,MATCH(IFERROR(IF(INDEX(INDIRECT("'WCM Calibration Final'!$E$1:$E$2000"),'Calculations'!$EM125)="","",TRIM(INDEX(INDIRECT("'WCM Calibration Final'!$E$1:$E$2000"),'Calculations'!$EM125)&amp;"")),""),'Calculations'!$HG$13:$HG$512,0)),IF(COUNTIF('Calculations'!$HG$13:$HG$512,"="&amp;SUBSTITUTE(SUBSTITUTE(SUBSTITUTE(IFERROR(IF(INDEX(INDIRECT("'WCM Calibration Final'!$E$1:$E$2000"),'Calculations'!$EM125)="","",TRIM(INDEX(INDIRECT("'WCM Calibration Final'!$E$1:$E$2000"),'Calculations'!$EM125)&amp;"")),""),"~","~~"),"*","~*"),"?","~?"))&gt;1,"!AMBIG","X:"&amp;IFERROR(IF(INDEX(INDIRECT("'WCM Calibration Final'!$E$1:$E$2000"),'Calculations'!$EM125)="","",TRIM(INDEX(INDIRECT("'WCM Calibration Final'!$E$1:$E$2000"),'Calculations'!$EM125)&amp;"")),""))))))</x:f>
      </x:c>
      <x:c r="HG125" t="str">
        <x:f>IF('Calculations'!EM125="","",IFERROR(IF(INDEX(INDIRECT("'WCM Calibration Final'!$B$1:$B$2000"),'Calculations'!$EM125)="","",TRIM(INDEX(INDIRECT("'WCM Calibration Final'!$B$1:$B$2000"),'Calculations'!$EM125)&amp;"")),""))</x:f>
      </x:c>
      <x:c r="HH125" t="n">
        <x:f>IF(AND('Calculations'!JC125&gt;0,COUNTIF('Calculations'!$HF$12:HF125,"="&amp;SUBSTITUTE(SUBSTITUTE(SUBSTITUTE('Calculations'!HF125,"~","~~"),"*","~*"),"?","~?"))=1),MAX('Calculations'!$HH$12:HH124)+1,0)</x:f>
        <x:v>0</x:v>
      </x:c>
      <x:c r="HI125" t="n">
        <x:f>IF(AND('Calculations'!HN125&lt;&gt;"",COUNTIF('Calculations'!$HN$12:HN125,"="&amp;SUBSTITUTE(SUBSTITUTE(SUBSTITUTE('Calculations'!HN125,"~","~~"),"*","~*"),"?","~?"))=1),MAX('Calculations'!$HI$12:HI124)+1,0)</x:f>
        <x:v>0</x:v>
      </x:c>
      <x:c r="HJ125" t="str">
        <x:f>IF('Calculations'!HF125="","",IF(COUNTIF('Calculations'!$HE$13:$HE$512,"="&amp;SUBSTITUTE(SUBSTITUTE(SUBSTITUTE('Calculations'!HF125,"~","~~"),"*","~*"),"?","~?"))=1,INDEX('Calculations'!$HK$13:$HK$512,MATCH('Calculations'!HF125,'Calculations'!$HE$13:$HE$512,0)),IFERROR(IF(INDEX(INDIRECT("'WCM Calibration Final'!$E$1:$E$2000"),'Calculations'!$EM125)="","",TRIM(INDEX(INDIRECT("'WCM Calibration Final'!$E$1:$E$2000"),'Calculations'!$EM125)&amp;"")),"")&amp;" ["&amp;'Calculations'!HF125&amp;"]"))</x:f>
      </x:c>
      <x:c r="HK125" t="str">
        <x:f>IF('Calculations'!EM125="","",'Calculations'!HG125&amp;" ["&amp;'Calculations'!HE125&amp;"]")</x:f>
      </x:c>
      <x:c r="HL125" t="n">
        <x:f>IF('Calculations'!EM125="",0,IF(OR('Calculations'!II125&lt;&gt;"",COUNTIF('Calculations'!$HE$13:$HE$512,"="&amp;SUBSTITUTE(SUBSTITUTE(SUBSTITUTE('Calculations'!HE125,"~","~~"),"*","~*"),"?","~?"))&gt;1),1,0))</x:f>
        <x:v>0</x:v>
      </x:c>
      <x:c r="HM125" t="str">
        <x:f>IF('Calculations'!EM125="","",IF('Calculations'!HL125=1,"!UNRESOLVED",IF('Calculations'!IH125&lt;&gt;"",'Calculations'!IH125,IF('Calculations'!IG125&lt;&gt;"",'Calculations'!IG125,IF('Calculations'!IF125&lt;&gt;"",'Calculations'!IF125,IF('Calculations'!IE125&lt;&gt;"",'Calculations'!IE125,IF('Calculations'!ID125&lt;&gt;"",'Calculations'!ID125,IF('Calculations'!IC125&lt;&gt;"",'Calculations'!IC125,IF('Calculations'!IB125&lt;&gt;"",'Calculations'!IB125,IF('Calculations'!IA125&lt;&gt;"",'Calculations'!IA125,IF('Calculations'!HZ125&lt;&gt;"",'Calculations'!HZ125,IF('Calculations'!HY125&lt;&gt;"",'Calculations'!HY125,IF('Calculations'!HX125&lt;&gt;"",'Calculations'!HX125,IF('Calculations'!HW125&lt;&gt;"",'Calculations'!HW125,IF('Calculations'!HV125&lt;&gt;"",'Calculations'!HV125,IF('Calculations'!HU125&lt;&gt;"",'Calculations'!HU125,IF('Calculations'!HT125&lt;&gt;"",'Calculations'!HT125,IF('Calculations'!HS125&lt;&gt;"",'Calculations'!HS125,IF('Calculations'!HR125&lt;&gt;"",'Calculations'!HR125,IF('Calculations'!HQ125&lt;&gt;"",'Calculations'!HQ125,IF('Calculations'!HP125&lt;&gt;"",'Calculations'!HP125,IF('Calculations'!HO125&lt;&gt;"",'Calculations'!HO125,'Calculations'!HE125))))))))))))))))))))))</x:f>
      </x:c>
      <x:c r="HN125" t="str">
        <x:f>IF('Calculations'!EM125="","",IF(IFERROR(IF(INDEX(INDIRECT("'WCM Calibration Final'!$F$1:$F$2000"),'Calculations'!$EM125)="","",TRIM(INDEX(INDIRECT("'WCM Calibration Final'!$F$1:$F$2000"),'Calculations'!$EM125)&amp;"")),"")="","(Blank)",IFERROR(IF(INDEX(INDIRECT("'WCM Calibration Final'!$F$1:$F$2000"),'Calculations'!$EM125)="","",TRIM(INDEX(INDIRECT("'WCM Calibration Final'!$F$1:$F$2000"),'Calculations'!$EM125)&amp;"")),"")))</x:f>
      </x:c>
      <x:c r="HO125" t="str">
        <x:f>'Calculations'!HF125</x:f>
      </x:c>
      <x:c r="HP125" t="str">
        <x:f>IF('Calculations'!HO125="","",IF('Calculations'!HO125="!AMBIG","!AMBIG",IF(COUNTIF('Calculations'!$HE$13:$HE$512,"="&amp;SUBSTITUTE(SUBSTITUTE(SUBSTITUTE('Calculations'!HO125,"~","~~"),"*","~*"),"?","~?"))&gt;1,"!AMBIG",IFERROR(INDEX('Calculations'!$HF$13:$HF$512,MATCH('Calculations'!HO125,'Calculations'!$HE$13:$HE$512,0)),""))))</x:f>
      </x:c>
      <x:c r="HQ125" t="str">
        <x:f>IF('Calculations'!HP125="","",IF('Calculations'!HP125="!AMBIG","!AMBIG",IF(COUNTIF('Calculations'!$HE$13:$HE$512,"="&amp;SUBSTITUTE(SUBSTITUTE(SUBSTITUTE('Calculations'!HP125,"~","~~"),"*","~*"),"?","~?"))&gt;1,"!AMBIG",IFERROR(INDEX('Calculations'!$HF$13:$HF$512,MATCH('Calculations'!HP125,'Calculations'!$HE$13:$HE$512,0)),""))))</x:f>
      </x:c>
      <x:c r="HR125" t="str">
        <x:f>IF('Calculations'!HQ125="","",IF('Calculations'!HQ125="!AMBIG","!AMBIG",IF(COUNTIF('Calculations'!$HE$13:$HE$512,"="&amp;SUBSTITUTE(SUBSTITUTE(SUBSTITUTE('Calculations'!HQ125,"~","~~"),"*","~*"),"?","~?"))&gt;1,"!AMBIG",IFERROR(INDEX('Calculations'!$HF$13:$HF$512,MATCH('Calculations'!HQ125,'Calculations'!$HE$13:$HE$512,0)),""))))</x:f>
      </x:c>
      <x:c r="HS125" t="str">
        <x:f>IF('Calculations'!HR125="","",IF('Calculations'!HR125="!AMBIG","!AMBIG",IF(COUNTIF('Calculations'!$HE$13:$HE$512,"="&amp;SUBSTITUTE(SUBSTITUTE(SUBSTITUTE('Calculations'!HR125,"~","~~"),"*","~*"),"?","~?"))&gt;1,"!AMBIG",IFERROR(INDEX('Calculations'!$HF$13:$HF$512,MATCH('Calculations'!HR125,'Calculations'!$HE$13:$HE$512,0)),""))))</x:f>
      </x:c>
      <x:c r="HT125" t="str">
        <x:f>IF('Calculations'!HS125="","",IF('Calculations'!HS125="!AMBIG","!AMBIG",IF(COUNTIF('Calculations'!$HE$13:$HE$512,"="&amp;SUBSTITUTE(SUBSTITUTE(SUBSTITUTE('Calculations'!HS125,"~","~~"),"*","~*"),"?","~?"))&gt;1,"!AMBIG",IFERROR(INDEX('Calculations'!$HF$13:$HF$512,MATCH('Calculations'!HS125,'Calculations'!$HE$13:$HE$512,0)),""))))</x:f>
      </x:c>
      <x:c r="HU125" t="str">
        <x:f>IF('Calculations'!HT125="","",IF('Calculations'!HT125="!AMBIG","!AMBIG",IF(COUNTIF('Calculations'!$HE$13:$HE$512,"="&amp;SUBSTITUTE(SUBSTITUTE(SUBSTITUTE('Calculations'!HT125,"~","~~"),"*","~*"),"?","~?"))&gt;1,"!AMBIG",IFERROR(INDEX('Calculations'!$HF$13:$HF$512,MATCH('Calculations'!HT125,'Calculations'!$HE$13:$HE$512,0)),""))))</x:f>
      </x:c>
      <x:c r="HV125" t="str">
        <x:f>IF('Calculations'!HU125="","",IF('Calculations'!HU125="!AMBIG","!AMBIG",IF(COUNTIF('Calculations'!$HE$13:$HE$512,"="&amp;SUBSTITUTE(SUBSTITUTE(SUBSTITUTE('Calculations'!HU125,"~","~~"),"*","~*"),"?","~?"))&gt;1,"!AMBIG",IFERROR(INDEX('Calculations'!$HF$13:$HF$512,MATCH('Calculations'!HU125,'Calculations'!$HE$13:$HE$512,0)),""))))</x:f>
      </x:c>
      <x:c r="HW125" t="str">
        <x:f>IF('Calculations'!HV125="","",IF('Calculations'!HV125="!AMBIG","!AMBIG",IF(COUNTIF('Calculations'!$HE$13:$HE$512,"="&amp;SUBSTITUTE(SUBSTITUTE(SUBSTITUTE('Calculations'!HV125,"~","~~"),"*","~*"),"?","~?"))&gt;1,"!AMBIG",IFERROR(INDEX('Calculations'!$HF$13:$HF$512,MATCH('Calculations'!HV125,'Calculations'!$HE$13:$HE$512,0)),""))))</x:f>
      </x:c>
      <x:c r="HX125" t="str">
        <x:f>IF('Calculations'!HW125="","",IF('Calculations'!HW125="!AMBIG","!AMBIG",IF(COUNTIF('Calculations'!$HE$13:$HE$512,"="&amp;SUBSTITUTE(SUBSTITUTE(SUBSTITUTE('Calculations'!HW125,"~","~~"),"*","~*"),"?","~?"))&gt;1,"!AMBIG",IFERROR(INDEX('Calculations'!$HF$13:$HF$512,MATCH('Calculations'!HW125,'Calculations'!$HE$13:$HE$512,0)),""))))</x:f>
      </x:c>
      <x:c r="HY125" t="str">
        <x:f>IF('Calculations'!HX125="","",IF('Calculations'!HX125="!AMBIG","!AMBIG",IF(COUNTIF('Calculations'!$HE$13:$HE$512,"="&amp;SUBSTITUTE(SUBSTITUTE(SUBSTITUTE('Calculations'!HX125,"~","~~"),"*","~*"),"?","~?"))&gt;1,"!AMBIG",IFERROR(INDEX('Calculations'!$HF$13:$HF$512,MATCH('Calculations'!HX125,'Calculations'!$HE$13:$HE$512,0)),""))))</x:f>
      </x:c>
      <x:c r="HZ125" t="str">
        <x:f>IF('Calculations'!HY125="","",IF('Calculations'!HY125="!AMBIG","!AMBIG",IF(COUNTIF('Calculations'!$HE$13:$HE$512,"="&amp;SUBSTITUTE(SUBSTITUTE(SUBSTITUTE('Calculations'!HY125,"~","~~"),"*","~*"),"?","~?"))&gt;1,"!AMBIG",IFERROR(INDEX('Calculations'!$HF$13:$HF$512,MATCH('Calculations'!HY125,'Calculations'!$HE$13:$HE$512,0)),""))))</x:f>
      </x:c>
      <x:c r="IA125" t="str">
        <x:f>IF('Calculations'!HZ125="","",IF('Calculations'!HZ125="!AMBIG","!AMBIG",IF(COUNTIF('Calculations'!$HE$13:$HE$512,"="&amp;SUBSTITUTE(SUBSTITUTE(SUBSTITUTE('Calculations'!HZ125,"~","~~"),"*","~*"),"?","~?"))&gt;1,"!AMBIG",IFERROR(INDEX('Calculations'!$HF$13:$HF$512,MATCH('Calculations'!HZ125,'Calculations'!$HE$13:$HE$512,0)),""))))</x:f>
      </x:c>
      <x:c r="IB125" t="str">
        <x:f>IF('Calculations'!IA125="","",IF('Calculations'!IA125="!AMBIG","!AMBIG",IF(COUNTIF('Calculations'!$HE$13:$HE$512,"="&amp;SUBSTITUTE(SUBSTITUTE(SUBSTITUTE('Calculations'!IA125,"~","~~"),"*","~*"),"?","~?"))&gt;1,"!AMBIG",IFERROR(INDEX('Calculations'!$HF$13:$HF$512,MATCH('Calculations'!IA125,'Calculations'!$HE$13:$HE$512,0)),""))))</x:f>
      </x:c>
      <x:c r="IC125" t="str">
        <x:f>IF('Calculations'!IB125="","",IF('Calculations'!IB125="!AMBIG","!AMBIG",IF(COUNTIF('Calculations'!$HE$13:$HE$512,"="&amp;SUBSTITUTE(SUBSTITUTE(SUBSTITUTE('Calculations'!IB125,"~","~~"),"*","~*"),"?","~?"))&gt;1,"!AMBIG",IFERROR(INDEX('Calculations'!$HF$13:$HF$512,MATCH('Calculations'!IB125,'Calculations'!$HE$13:$HE$512,0)),""))))</x:f>
      </x:c>
      <x:c r="ID125" t="str">
        <x:f>IF('Calculations'!IC125="","",IF('Calculations'!IC125="!AMBIG","!AMBIG",IF(COUNTIF('Calculations'!$HE$13:$HE$512,"="&amp;SUBSTITUTE(SUBSTITUTE(SUBSTITUTE('Calculations'!IC125,"~","~~"),"*","~*"),"?","~?"))&gt;1,"!AMBIG",IFERROR(INDEX('Calculations'!$HF$13:$HF$512,MATCH('Calculations'!IC125,'Calculations'!$HE$13:$HE$512,0)),""))))</x:f>
      </x:c>
      <x:c r="IE125" t="str">
        <x:f>IF('Calculations'!ID125="","",IF('Calculations'!ID125="!AMBIG","!AMBIG",IF(COUNTIF('Calculations'!$HE$13:$HE$512,"="&amp;SUBSTITUTE(SUBSTITUTE(SUBSTITUTE('Calculations'!ID125,"~","~~"),"*","~*"),"?","~?"))&gt;1,"!AMBIG",IFERROR(INDEX('Calculations'!$HF$13:$HF$512,MATCH('Calculations'!ID125,'Calculations'!$HE$13:$HE$512,0)),""))))</x:f>
      </x:c>
      <x:c r="IF125" t="str">
        <x:f>IF('Calculations'!IE125="","",IF('Calculations'!IE125="!AMBIG","!AMBIG",IF(COUNTIF('Calculations'!$HE$13:$HE$512,"="&amp;SUBSTITUTE(SUBSTITUTE(SUBSTITUTE('Calculations'!IE125,"~","~~"),"*","~*"),"?","~?"))&gt;1,"!AMBIG",IFERROR(INDEX('Calculations'!$HF$13:$HF$512,MATCH('Calculations'!IE125,'Calculations'!$HE$13:$HE$512,0)),""))))</x:f>
      </x:c>
      <x:c r="IG125" t="str">
        <x:f>IF('Calculations'!IF125="","",IF('Calculations'!IF125="!AMBIG","!AMBIG",IF(COUNTIF('Calculations'!$HE$13:$HE$512,"="&amp;SUBSTITUTE(SUBSTITUTE(SUBSTITUTE('Calculations'!IF125,"~","~~"),"*","~*"),"?","~?"))&gt;1,"!AMBIG",IFERROR(INDEX('Calculations'!$HF$13:$HF$512,MATCH('Calculations'!IF125,'Calculations'!$HE$13:$HE$512,0)),""))))</x:f>
      </x:c>
      <x:c r="IH125" t="str">
        <x:f>IF('Calculations'!IG125="","",IF('Calculations'!IG125="!AMBIG","!AMBIG",IF(COUNTIF('Calculations'!$HE$13:$HE$512,"="&amp;SUBSTITUTE(SUBSTITUTE(SUBSTITUTE('Calculations'!IG125,"~","~~"),"*","~*"),"?","~?"))&gt;1,"!AMBIG",IFERROR(INDEX('Calculations'!$HF$13:$HF$512,MATCH('Calculations'!IG125,'Calculations'!$HE$13:$HE$512,0)),""))))</x:f>
      </x:c>
      <x:c r="II125" t="str">
        <x:f>IF('Calculations'!IH125="","",IF('Calculations'!IH125="!AMBIG","!AMBIG",IF(COUNTIF('Calculations'!$HE$13:$HE$512,"="&amp;SUBSTITUTE(SUBSTITUTE(SUBSTITUTE('Calculations'!IH125,"~","~~"),"*","~*"),"?","~?"))&gt;1,"!AMBIG",IFERROR(INDEX('Calculations'!$HF$13:$HF$512,MATCH('Calculations'!IH125,'Calculations'!$HE$13:$HE$512,0)),""))))</x:f>
      </x:c>
      <x:c r="IJ125" t="str">
        <x:f>IF('Calculations'!EM125="","",IF('Calculations'!$EF$2="All",'Calculations'!HM125,IF('Calculations'!HL125=1,"",IFERROR(IF(MATCH('Calculations'!$EF$2,'Calculations'!HO125:II125,0)=1,'Calculations'!HE125,INDEX('Calculations'!HO125:II125,1,MATCH('Calculations'!$EF$2,'Calculations'!HO125:II125,0)-1)),""))))</x:f>
      </x:c>
      <x:c r="IK125" t="n">
        <x:f>IF(AND('Calculations'!EM125&lt;&gt;"",'Calculations'!$EF$2&lt;&gt;"All",'Calculations'!HF125='Calculations'!$EF$2,'Calculations'!HL125=0,'Calculations'!JD125&gt;0),MAX('Calculations'!$IK$12:IK124)+1,0)</x:f>
        <x:v>0</x:v>
      </x:c>
      <x:c r="JA125" t="n">
        <x:f>IF(OR(IFERROR(INDIRECT("'WCM Calibration Final'!$A$125")&lt;&gt;"",FALSE),IFERROR(INDIRECT("'WCM Calibration Final'!$B$125")&lt;&gt;"",FALSE),IFERROR(INDIRECT("'WCM Calibration Final'!$C$125")&lt;&gt;"",FALSE)),125,0)</x:f>
        <x:v>0</x:v>
      </x:c>
      <x:c r="JB125" t="n">
        <x:f>'Calculations'!JB124+IF('Calculations'!JA125&gt;0,1,0)</x:f>
        <x:v>0</x:v>
      </x:c>
      <x:c r="JC125" t="n">
        <x:f>IF(OR('Calculations'!HF125="",'Calculations'!HF125="!AMBIG"),0,IF('Dashboard'!$B$7="All",1,COUNTIFS('Calculations'!$HO$13:$HO$512,"="&amp;SUBSTITUTE(SUBSTITUTE(SUBSTITUTE('Calculations'!HF125,"~","~~"),"*","~*"),"?","~?"),'Calculations'!$HN$13:$HN$512,"="&amp;SUBSTITUTE(SUBSTITUTE(SUBSTITUTE('Dashboard'!$B$7,"~","~~"),"*","~*"),"?","~?"))+COUNTIFS('Calculations'!$HP$13:$HP$512,"="&amp;SUBSTITUTE(SUBSTITUTE(SUBSTITUTE('Calculations'!HF125,"~","~~"),"*","~*"),"?","~?"),'Calculations'!$HN$13:$HN$512,"="&amp;SUBSTITUTE(SUBSTITUTE(SUBSTITUTE('Dashboard'!$B$7,"~","~~"),"*","~*"),"?","~?"))+COUNTIFS('Calculations'!$HQ$13:$HQ$512,"="&amp;SUBSTITUTE(SUBSTITUTE(SUBSTITUTE('Calculations'!HF125,"~","~~"),"*","~*"),"?","~?"),'Calculations'!$HN$13:$HN$512,"="&amp;SUBSTITUTE(SUBSTITUTE(SUBSTITUTE('Dashboard'!$B$7,"~","~~"),"*","~*"),"?","~?"))+COUNTIFS('Calculations'!$HR$13:$HR$512,"="&amp;SUBSTITUTE(SUBSTITUTE(SUBSTITUTE('Calculations'!HF125,"~","~~"),"*","~*"),"?","~?"),'Calculations'!$HN$13:$HN$512,"="&amp;SUBSTITUTE(SUBSTITUTE(SUBSTITUTE('Dashboard'!$B$7,"~","~~"),"*","~*"),"?","~?"))+COUNTIFS('Calculations'!$HS$13:$HS$512,"="&amp;SUBSTITUTE(SUBSTITUTE(SUBSTITUTE('Calculations'!HF125,"~","~~"),"*","~*"),"?","~?"),'Calculations'!$HN$13:$HN$512,"="&amp;SUBSTITUTE(SUBSTITUTE(SUBSTITUTE('Dashboard'!$B$7,"~","~~"),"*","~*"),"?","~?"))+COUNTIFS('Calculations'!$HT$13:$HT$512,"="&amp;SUBSTITUTE(SUBSTITUTE(SUBSTITUTE('Calculations'!HF125,"~","~~"),"*","~*"),"?","~?"),'Calculations'!$HN$13:$HN$512,"="&amp;SUBSTITUTE(SUBSTITUTE(SUBSTITUTE('Dashboard'!$B$7,"~","~~"),"*","~*"),"?","~?"))+COUNTIFS('Calculations'!$HU$13:$HU$512,"="&amp;SUBSTITUTE(SUBSTITUTE(SUBSTITUTE('Calculations'!HF125,"~","~~"),"*","~*"),"?","~?"),'Calculations'!$HN$13:$HN$512,"="&amp;SUBSTITUTE(SUBSTITUTE(SUBSTITUTE('Dashboard'!$B$7,"~","~~"),"*","~*"),"?","~?"))+COUNTIFS('Calculations'!$HV$13:$HV$512,"="&amp;SUBSTITUTE(SUBSTITUTE(SUBSTITUTE('Calculations'!HF125,"~","~~"),"*","~*"),"?","~?"),'Calculations'!$HN$13:$HN$512,"="&amp;SUBSTITUTE(SUBSTITUTE(SUBSTITUTE('Dashboard'!$B$7,"~","~~"),"*","~*"),"?","~?"))+COUNTIFS('Calculations'!$HW$13:$HW$512,"="&amp;SUBSTITUTE(SUBSTITUTE(SUBSTITUTE('Calculations'!HF125,"~","~~"),"*","~*"),"?","~?"),'Calculations'!$HN$13:$HN$512,"="&amp;SUBSTITUTE(SUBSTITUTE(SUBSTITUTE('Dashboard'!$B$7,"~","~~"),"*","~*"),"?","~?"))+COUNTIFS('Calculations'!$HX$13:$HX$512,"="&amp;SUBSTITUTE(SUBSTITUTE(SUBSTITUTE('Calculations'!HF125,"~","~~"),"*","~*"),"?","~?"),'Calculations'!$HN$13:$HN$512,"="&amp;SUBSTITUTE(SUBSTITUTE(SUBSTITUTE('Dashboard'!$B$7,"~","~~"),"*","~*"),"?","~?"))+COUNTIFS('Calculations'!$HY$13:$HY$512,"="&amp;SUBSTITUTE(SUBSTITUTE(SUBSTITUTE('Calculations'!HF125,"~","~~"),"*","~*"),"?","~?"),'Calculations'!$HN$13:$HN$512,"="&amp;SUBSTITUTE(SUBSTITUTE(SUBSTITUTE('Dashboard'!$B$7,"~","~~"),"*","~*"),"?","~?"))+COUNTIFS('Calculations'!$HZ$13:$HZ$512,"="&amp;SUBSTITUTE(SUBSTITUTE(SUBSTITUTE('Calculations'!HF125,"~","~~"),"*","~*"),"?","~?"),'Calculations'!$HN$13:$HN$512,"="&amp;SUBSTITUTE(SUBSTITUTE(SUBSTITUTE('Dashboard'!$B$7,"~","~~"),"*","~*"),"?","~?"))+COUNTIFS('Calculations'!$IA$13:$IA$512,"="&amp;SUBSTITUTE(SUBSTITUTE(SUBSTITUTE('Calculations'!HF125,"~","~~"),"*","~*"),"?","~?"),'Calculations'!$HN$13:$HN$512,"="&amp;SUBSTITUTE(SUBSTITUTE(SUBSTITUTE('Dashboard'!$B$7,"~","~~"),"*","~*"),"?","~?"))+COUNTIFS('Calculations'!$IB$13:$IB$512,"="&amp;SUBSTITUTE(SUBSTITUTE(SUBSTITUTE('Calculations'!HF125,"~","~~"),"*","~*"),"?","~?"),'Calculations'!$HN$13:$HN$512,"="&amp;SUBSTITUTE(SUBSTITUTE(SUBSTITUTE('Dashboard'!$B$7,"~","~~"),"*","~*"),"?","~?"))+COUNTIFS('Calculations'!$IC$13:$IC$512,"="&amp;SUBSTITUTE(SUBSTITUTE(SUBSTITUTE('Calculations'!HF125,"~","~~"),"*","~*"),"?","~?"),'Calculations'!$HN$13:$HN$512,"="&amp;SUBSTITUTE(SUBSTITUTE(SUBSTITUTE('Dashboard'!$B$7,"~","~~"),"*","~*"),"?","~?"))+COUNTIFS('Calculations'!$ID$13:$ID$512,"="&amp;SUBSTITUTE(SUBSTITUTE(SUBSTITUTE('Calculations'!HF125,"~","~~"),"*","~*"),"?","~?"),'Calculations'!$HN$13:$HN$512,"="&amp;SUBSTITUTE(SUBSTITUTE(SUBSTITUTE('Dashboard'!$B$7,"~","~~"),"*","~*"),"?","~?"))+COUNTIFS('Calculations'!$IE$13:$IE$512,"="&amp;SUBSTITUTE(SUBSTITUTE(SUBSTITUTE('Calculations'!HF125,"~","~~"),"*","~*"),"?","~?"),'Calculations'!$HN$13:$HN$512,"="&amp;SUBSTITUTE(SUBSTITUTE(SUBSTITUTE('Dashboard'!$B$7,"~","~~"),"*","~*"),"?","~?"))+COUNTIFS('Calculations'!$IF$13:$IF$512,"="&amp;SUBSTITUTE(SUBSTITUTE(SUBSTITUTE('Calculations'!HF125,"~","~~"),"*","~*"),"?","~?"),'Calculations'!$HN$13:$HN$512,"="&amp;SUBSTITUTE(SUBSTITUTE(SUBSTITUTE('Dashboard'!$B$7,"~","~~"),"*","~*"),"?","~?"))+COUNTIFS('Calculations'!$IG$13:$IG$512,"="&amp;SUBSTITUTE(SUBSTITUTE(SUBSTITUTE('Calculations'!HF125,"~","~~"),"*","~*"),"?","~?"),'Calculations'!$HN$13:$HN$512,"="&amp;SUBSTITUTE(SUBSTITUTE(SUBSTITUTE('Dashboard'!$B$7,"~","~~"),"*","~*"),"?","~?"))+COUNTIFS('Calculations'!$IH$13:$IH$512,"="&amp;SUBSTITUTE(SUBSTITUTE(SUBSTITUTE('Calculations'!HF125,"~","~~"),"*","~*"),"?","~?"),'Calculations'!$HN$13:$HN$512,"="&amp;SUBSTITUTE(SUBSTITUTE(SUBSTITUTE('Dashboard'!$B$7,"~","~~"),"*","~*"),"?","~?"))))</x:f>
        <x:v>0</x:v>
      </x:c>
      <x:c r="JD125" t="n">
        <x:f>IF('Calculations'!EM125="",0,IF('Dashboard'!$B$7="All",1,IF('Calculations'!HN125='Dashboard'!$B$7,1,0)+IFERROR(INDEX('Calculations'!$JC$13:$JC$512,MATCH('Calculations'!HE125,'Calculations'!$HF$13:$HF$512,0)),0)))</x:f>
        <x:v>0</x:v>
      </x:c>
      <x:c r="JE125" t="n">
        <x:f>IF(AND('Calculations'!EM125&lt;&gt;"",'Calculations'!$JJ$2&lt;&gt;"All",'Calculations'!$JJ$2&lt;&gt;"",'Calculations'!HF125='Calculations'!$JJ$2,'Calculations'!HL125=0,'Calculations'!JD125&gt;0),MAX('Calculations'!$JE$12:JE124)+1,0)</x:f>
        <x:v>0</x:v>
      </x:c>
      <x:c r="JF125" t="str">
        <x:f>IF('Calculations'!EM125="","",IFERROR(IF(INDEX(INDIRECT("'WCM Calibration Final'!$G$1:$G$2000"),'Calculations'!$EM125)="","",TRIM(INDEX(INDIRECT("'WCM Calibration Final'!$G$1:$G$2000"),'Calculations'!$EM125)&amp;"")),""))</x:f>
      </x:c>
      <x:c r="JQ125" t="n">
        <x:f>IF(OR('Calculations'!BM125=0,NOT('Calculations'!$AG$2),'Calculations'!$AG$8&gt;0),0,IF(OR('Dashboard'!$B$7="All",'Calculations'!HN125='Dashboard'!$B$7),IF('Calculations'!$JJ$2="All",1,IF(AND('Calculations'!HF125='Calculations'!$JJ$2,'Calculations'!HL125=0),1,0)),0))</x:f>
        <x:v>0</x:v>
      </x:c>
    </x:row>
    <x:row r="126">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t="n">
        <x:f>IF('Calculations'!$EM126="",0,IF(OR(IFERROR(INDEX(INDIRECT("'WCM Calibration Final'!$A$1:$A$2000"),'Calculations'!$EM126)&lt;&gt;"",FALSE),IFERROR(INDEX(INDIRECT("'WCM Calibration Final'!$B$1:$B$2000"),'Calculations'!$EM126)&lt;&gt;"",FALSE),IFERROR(INDEX(INDIRECT("'WCM Calibration Final'!$C$1:$C$2000"),'Calculations'!$EM126)&lt;&gt;"",FALSE)),1,0))</x:f>
        <x:v>0</x:v>
      </x:c>
      <x:c r="BN126" s="4" t="n">
        <x:f>IF(AND('Calculations'!BM126=1,'Calculations'!$AG$2,'Calculations'!$EN126=1),1,0)</x:f>
        <x:v>0</x:v>
      </x:c>
      <x:c r="BO126" s="4" t="str">
        <x:f>IF('Calculations'!BM126=0,"",IFERROR(IF(AND(VALUE(INDEX(INDIRECT("'WCM Calibration Final'!$K$1:$K$2000"),'Calculations'!$EM126))&gt;=1,VALUE(INDEX(INDIRECT("'WCM Calibration Final'!$K$1:$K$2000"),'Calculations'!$EM126))&lt;=4,MOD(VALUE(INDEX(INDIRECT("'WCM Calibration Final'!$K$1:$K$2000"),'Calculations'!$EM126)),1)=0),VALUE(INDEX(INDIRECT("'WCM Calibration Final'!$K$1:$K$2000"),'Calculations'!$EM126)),""),""))</x:f>
      </x:c>
      <x:c r="BP126" s="4" t="str">
        <x:f>IF('Calculations'!BM126=0,"",IFERROR(IF(AND(VALUE(INDEX(INDIRECT("'WCM Calibration Final'!$L$1:$L$2000"),'Calculations'!$EM126))&gt;=1,VALUE(INDEX(INDIRECT("'WCM Calibration Final'!$L$1:$L$2000"),'Calculations'!$EM126))&lt;=4,MOD(VALUE(INDEX(INDIRECT("'WCM Calibration Final'!$L$1:$L$2000"),'Calculations'!$EM126)),1)=0),VALUE(INDEX(INDIRECT("'WCM Calibration Final'!$L$1:$L$2000"),'Calculations'!$EM126)),""),""))</x:f>
      </x:c>
      <x:c r="BQ126" s="4"/>
      <x:c r="BR126" s="4"/>
      <x:c r="BS126" s="4"/>
      <x:c r="BT126" s="4" t="n">
        <x:f>IF(AND('Calculations'!BM126=1,ISNUMBER('Calculations'!BO126),ISNUMBER('Calculations'!BP126)),1,0)</x:f>
        <x:v>0</x:v>
      </x:c>
      <x:c r="BU126" s="4" t="str">
        <x:f>IF('Calculations'!BM126=0,"",'Calculations'!$EO126)</x:f>
      </x:c>
      <x:c r="BV126" s="4" t="str">
        <x:f>IF('Calculations'!BM126=0,"",IFERROR(IF(OR(INDEX(INDIRECT("'WCM Calibration Final'!$H$1:$H$2000"),'Calculations'!$EM126)="MANAGING DIRECTOR",INDEX(INDIRECT("'WCM Calibration Final'!$H$1:$H$2000"),'Calculations'!$EM126)="DIRECTOR",INDEX(INDIRECT("'WCM Calibration Final'!$H$1:$H$2000"),'Calculations'!$EM126)="SENIOR VICE PRESIDENT",INDEX(INDIRECT("'WCM Calibration Final'!$H$1:$H$2000"),'Calculations'!$EM126)="VICE PRESIDENT",INDEX(INDIRECT("'WCM Calibration Final'!$H$1:$H$2000"),'Calculations'!$EM126)="ASSISTANT VICE PRESIDENT",INDEX(INDIRECT("'WCM Calibration Final'!$H$1:$H$2000"),'Calculations'!$EM126)="OFFICER"),UPPER(INDEX(INDIRECT("'WCM Calibration Final'!$H$1:$H$2000"),'Calculations'!$EM126)),"Other"),"Other"))</x:f>
      </x:c>
      <x:c r="BW126" s="4"/>
      <x:c r="BX126" s="4"/>
      <x:c r="BY126" s="4" t="n">
        <x:f>IF(AND('Calculations'!BM126=1,'Calculations'!BU126&lt;&gt;"",COUNTIF('Calculations'!$BU$12:BU126,'Calculations'!BU126)=1),MAX('Calculations'!$BY$11:BY125)+1,0)</x:f>
        <x:v>0</x:v>
      </x:c>
      <x:c r="BZ126" s="4" t="str">
        <x:f>IF('Dashboard'!$E$67="What",'Calculations'!BO126,'Calculations'!BP126)</x:f>
      </x:c>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t="str">
        <x:f>IF(115&gt;MAX('Calculations'!$HI$13:$HI$512),"",INDEX('Calculations'!$HN$13:$HN$512,MATCH(115,'Calculations'!$HI$13:$HI$512,0)))</x:f>
      </x:c>
      <x:c r="DB126" s="4" t="str">
        <x:f>IF(115&gt;MAX('Calculations'!$HH$13:$HH$512),"",INDEX('Calculations'!$HJ$13:$HJ$512,MATCH(115,'Calculations'!$HH$13:$HH$512,0)))</x:f>
      </x:c>
      <x:c r="DC126" s="4" t="str">
        <x:f>IF(ROW()-11&gt;MAX('Calculations'!$BY$13:$BY$512),"",INDEX('Calculations'!$BU$13:$BU$512,MATCH(ROW()-11,'Calculations'!$BY$13:$BY$512,0)))</x:f>
      </x:c>
      <x:c r="DD126" s="4" t="str">
        <x:f>IF(115&gt;MAX('Calculations'!$IK$13:$IK$512),"",INDEX('Calculations'!$HK$13:$HK$512,MATCH(115,'Calculations'!$IK$13:$IK$512,0)))</x:f>
      </x:c>
      <x:c r="DE126" s="4" t="str">
        <x:f>'Calculations'!DC126</x:f>
      </x:c>
      <x:c r="DF126" s="4" t="str">
        <x:f>IF('Calculations'!DE126="","",COUNTIFS('Calculations'!$BN$13:$BN$512,1,'Calculations'!$BU$13:$BU$512,'Calculations'!DE126))</x:f>
      </x:c>
      <x:c r="DG126" s="4" t="str">
        <x:f>IF('Calculations'!DE126="","",COUNTIFS('Calculations'!$BN$13:$BN$512,1,'Calculations'!$BU$13:$BU$512,'Calculations'!DE126,'Calculations'!$BT$13:$BT$512,1))</x:f>
      </x:c>
      <x:c r="DH126" s="4" t="str">
        <x:f>IF('Calculations'!DE126="","",'Calculations'!DF126-'Calculations'!DG126)</x:f>
      </x:c>
      <x:c r="DI126" s="4" t="str">
        <x:f>IF(OR('Calculations'!DE126="",'Calculations'!DF126=0),"",'Calculations'!DG126/'Calculations'!DF126)</x:f>
      </x:c>
      <x:c r="DJ126" s="4" t="str">
        <x:f>IF('Calculations'!DE126="","",COUNTIFS('Calculations'!$BN$13:$BN$512,1,'Calculations'!$BU$13:$BU$512,'Calculations'!DE126,'Calculations'!$BT$13:$BT$512,1,'Calculations'!$EE$13:$EE$512,"High"))</x:f>
      </x:c>
      <x:c r="DK126" s="4" t="str">
        <x:f>IF('Calculations'!DE126="","",COUNTIFS('Calculations'!$BN$13:$BN$512,1,'Calculations'!$BU$13:$BU$512,'Calculations'!DE126,'Calculations'!$BT$13:$BT$512,1,'Calculations'!$EE$13:$EE$512,"Strong"))</x:f>
      </x:c>
      <x:c r="DL126" s="4" t="str">
        <x:f>IF('Calculations'!DE126="","",COUNTIFS('Calculations'!$BN$13:$BN$512,1,'Calculations'!$BU$13:$BU$512,'Calculations'!DE126,'Calculations'!$BT$13:$BT$512,1,'Calculations'!$EE$13:$EE$512,"Solid"))</x:f>
      </x:c>
      <x:c r="DM126" s="4" t="str">
        <x:f>IF('Calculations'!DE126="","",COUNTIFS('Calculations'!$BN$13:$BN$512,1,'Calculations'!$BU$13:$BU$512,'Calculations'!DE126,'Calculations'!$BT$13:$BT$512,1,'Calculations'!$EE$13:$EE$512,"Low"))</x:f>
      </x:c>
      <x:c r="DN126" s="4" t="str">
        <x:f>IF('Calculations'!DE126="","",COUNTIFS('Calculations'!$BN$13:$BN$512,1,'Calculations'!$BU$13:$BU$512,'Calculations'!DE126,'Calculations'!$EP$13:$EP$512,1))</x:f>
      </x:c>
      <x:c r="DO126" s="4" t="str">
        <x:f>IF(OR('Calculations'!DE126="",'Calculations'!DG126=0),"",('Calculations'!DJ126+'Calculations'!DK126)/'Calculations'!DG126)</x:f>
      </x:c>
      <x:c r="DP126" s="4" t="n">
        <x:f>IF(AND('Calculations'!DE126&lt;&gt;"",'Calculations'!DF126&gt;0),COUNTIF('Calculations'!$DF$12:DF126,"&gt;0"),0)</x:f>
        <x:v>0</x:v>
      </x:c>
      <x:c r="DQ126" s="4" t="str">
        <x:f>IF(115&gt;MAX('Calculations'!$HH$13:$HH$512),"",INDEX('Calculations'!$HF$13:$HF$512,MATCH(115,'Calculations'!$HH$13:$HH$512,0)))</x:f>
      </x:c>
      <x:c r="DR126" s="4" t="str">
        <x:f>IF(115&gt;MAX('Calculations'!$IK$13:$IK$512),"",INDEX('Calculations'!$HE$13:$HE$512,MATCH(115,'Calculations'!$IK$13:$IK$512,0)))</x:f>
      </x:c>
      <x:c r="DS126" s="4"/>
      <x:c r="DT126" s="4"/>
      <x:c r="DU126" s="4"/>
      <x:c r="DV126" s="4"/>
      <x:c r="DW126" s="4"/>
      <x:c r="DX126" s="4"/>
      <x:c r="DY126" s="4"/>
      <x:c r="DZ126" s="4"/>
      <x:c r="EA126" s="4"/>
      <x:c r="EB126" s="4"/>
      <x:c r="EC126" s="4"/>
      <x:c r="ED126" s="4"/>
      <x:c r="EE126" s="4" t="str">
        <x:f>IF('Calculations'!BT126=0,"Not Rated",IF(OR('Calculations'!BO126&gt;=4,'Calculations'!BP126&gt;=4),"Low",IF('Calculations'!BO126+'Calculations'!BP126&lt;=3,"High",IF('Calculations'!BO126+'Calculations'!BP126&lt;=4,"Strong","Solid"))))</x:f>
        <x:v>Not Rated</x:v>
      </x:c>
      <x:c r="EF126" s="4"/>
      <x:c r="EG126" s="4"/>
      <x:c r="EH126" s="4"/>
      <x:c r="EI126" s="4"/>
      <x:c r="EJ126" s="4"/>
      <x:c r="EK126" s="4"/>
      <x:c r="EL126" s="4"/>
      <x:c r="EM126" s="4" t="str">
        <x:f>IF(114&gt;'Calculations'!$JB$2000,"",INDEX('Calculations'!$JA$12:$JA$2000,MATCH(114,'Calculations'!$JB$12:$JB$2000,0)))</x:f>
      </x:c>
      <x:c r="EN126" s="4" t="n">
        <x:f>IF(OR('Calculations'!EM126="",'Calculations'!$AG$8&gt;0,AND('Calculations'!$EF$2&lt;&gt;"All",'Calculations'!HE126='Calculations'!$EF$2),AND('Calculations'!$EF$3&lt;&gt;"All",'Calculations'!HE126='Calculations'!$EF$3)),0,IF(OR('Dashboard'!$B$7="All",'Calculations'!HN126='Dashboard'!$B$7),IF('Calculations'!$EF$2="All",1,IF('Calculations'!HL126&gt;0,0,IF(COUNTIF('Calculations'!HO126:II126,"="&amp;SUBSTITUTE(SUBSTITUTE(SUBSTITUTE('Calculations'!$EF$2,"~","~~"),"*","~*"),"?","~?"))=0,0,IF('Calculations'!$EF$3="All",1,IF(COUNTIF('Calculations'!HO126:II126,"="&amp;SUBSTITUTE(SUBSTITUTE(SUBSTITUTE('Calculations'!$EF$3,"~","~~"),"*","~*"),"?","~?"))&gt;0,1,0))))),0))</x:f>
        <x:v>0</x:v>
      </x:c>
      <x:c r="EO126" s="4" t="str">
        <x:f>IF('Calculations'!IJ126="","",IF('Calculations'!IJ126="!UNRESOLVED","Unresolved hierarchy",IFERROR(INDEX('Calculations'!$HK$13:$HK$512,MATCH('Calculations'!IJ126,'Calculations'!$HE$13:$HE$512,0)),IFERROR(INDEX('Calculations'!$HJ$13:$HJ$512,MATCH('Calculations'!IJ126,'Calculations'!$HF$13:$HF$512,0)),'Calculations'!IJ126))))</x:f>
      </x:c>
      <x:c r="EP126" s="4" t="n">
        <x:f>IF(AND('Calculations'!EM126&lt;&gt;"",'Calculations'!HF126='Calculations'!IJ126),1,0)</x:f>
        <x:v>0</x:v>
      </x:c>
      <x:c r="EQ126" s="4"/>
      <x:c r="ER126" s="4"/>
      <x:c r="ES126" s="4"/>
      <x:c r="ET126" s="4"/>
      <x:c r="EU126" s="4"/>
      <x:c r="EV126" s="4"/>
      <x:c r="EW126" s="4"/>
      <x:c r="EX126" s="4"/>
      <x:c r="EY126" s="4"/>
      <x:c r="EZ126" s="4"/>
      <x:c r="FA126" s="4"/>
      <x:c r="FB126" s="4"/>
      <x:c r="FC126" s="4"/>
      <x:c r="FD126" s="4"/>
      <x:c r="FE126" s="4"/>
      <x:c r="FF126" s="4"/>
      <x:c r="FG126" s="4"/>
      <x:c r="FH126" s="4"/>
      <x:c r="FI126" s="4"/>
      <x:c r="FJ126" s="4"/>
      <x:c r="FK126" s="4"/>
      <x:c r="FL126" s="4"/>
      <x:c r="FM126" s="4"/>
      <x:c r="FN126" s="4"/>
      <x:c r="FO126" s="4"/>
      <x:c r="GA126" s="71"/>
      <x:c r="GB126" s="71"/>
      <x:c r="GC126" s="71"/>
      <x:c r="GD126" s="71"/>
      <x:c r="GE126" s="71"/>
      <x:c r="GF126" s="71"/>
      <x:c r="GG126" s="71"/>
      <x:c r="GH126" s="71"/>
      <x:c r="GI126" s="71"/>
      <x:c r="GJ126" s="71"/>
      <x:c r="GK126" s="71"/>
      <x:c r="GL126" s="71"/>
      <x:c r="GM126" s="71"/>
      <x:c r="GN126" s="71"/>
      <x:c r="GO126" s="71"/>
      <x:c r="GP126" s="71"/>
      <x:c r="GQ126" s="71"/>
      <x:c r="GR126" s="71"/>
      <x:c r="GS126" s="71"/>
      <x:c r="GT126" s="71"/>
      <x:c r="GU126" s="71"/>
      <x:c r="GV126" s="71"/>
      <x:c r="GW126" s="71"/>
      <x:c r="GX126" s="71"/>
      <x:c r="GY126" s="71"/>
      <x:c r="GZ126" s="71"/>
      <x:c r="HA126" s="71"/>
      <x:c r="HB126" s="71"/>
      <x:c r="HC126" s="71"/>
      <x:c r="HD126" s="71"/>
      <x:c r="HE126" t="str">
        <x:f>IF('Calculations'!EM126="","",IF(IFERROR(IF(INDEX(INDIRECT("'WCM Calibration Final'!$A$1:$A$2000"),'Calculations'!$EM126)="","",TRIM(INDEX(INDIRECT("'WCM Calibration Final'!$A$1:$A$2000"),'Calculations'!$EM126)&amp;"")),"")&lt;&gt;"","G:"&amp;IFERROR(TEXT(1*INDEX(INDIRECT("'WCM Calibration Final'!$A$1:$A$2000"),'Calculations'!$EM126),"0"),UPPER(IFERROR(IF(INDEX(INDIRECT("'WCM Calibration Final'!$A$1:$A$2000"),'Calculations'!$EM126)="","",TRIM(INDEX(INDIRECT("'WCM Calibration Final'!$A$1:$A$2000"),'Calculations'!$EM126)&amp;"")),""))),IF(IFERROR(IF(INDEX(INDIRECT("'WCM Calibration Final'!$C$1:$C$2000"),'Calculations'!$EM126)="","",TRIM(INDEX(INDIRECT("'WCM Calibration Final'!$C$1:$C$2000"),'Calculations'!$EM126)&amp;"")),"")&lt;&gt;"","S:"&amp;UPPER(IFERROR(IF(INDEX(INDIRECT("'WCM Calibration Final'!$C$1:$C$2000"),'Calculations'!$EM126)="","",TRIM(INDEX(INDIRECT("'WCM Calibration Final'!$C$1:$C$2000"),'Calculations'!$EM126)&amp;"")),"")),"R:"&amp;'Calculations'!EM126)))</x:f>
      </x:c>
      <x:c r="HF126" t="str">
        <x:f>IF('Calculations'!EM126="","",IF(IFERROR(IF(INDEX(INDIRECT("'WCM Calibration Final'!$D$1:$D$2000"),'Calculations'!$EM126)="","",TRIM(INDEX(INDIRECT("'WCM Calibration Final'!$D$1:$D$2000"),'Calculations'!$EM126)&amp;"")),"")&lt;&gt;"","G:"&amp;IFERROR(TEXT(1*INDEX(INDIRECT("'WCM Calibration Final'!$D$1:$D$2000"),'Calculations'!$EM126),"0"),UPPER(IFERROR(IF(INDEX(INDIRECT("'WCM Calibration Final'!$D$1:$D$2000"),'Calculations'!$EM126)="","",TRIM(INDEX(INDIRECT("'WCM Calibration Final'!$D$1:$D$2000"),'Calculations'!$EM126)&amp;"")),""))),IF(IFERROR(IF(INDEX(INDIRECT("'WCM Calibration Final'!$E$1:$E$2000"),'Calculations'!$EM126)="","",TRIM(INDEX(INDIRECT("'WCM Calibration Final'!$E$1:$E$2000"),'Calculations'!$EM126)&amp;"")),"")="","",IF(COUNTIF('Calculations'!$HG$13:$HG$512,"="&amp;SUBSTITUTE(SUBSTITUTE(SUBSTITUTE(IFERROR(IF(INDEX(INDIRECT("'WCM Calibration Final'!$E$1:$E$2000"),'Calculations'!$EM126)="","",TRIM(INDEX(INDIRECT("'WCM Calibration Final'!$E$1:$E$2000"),'Calculations'!$EM126)&amp;"")),""),"~","~~"),"*","~*"),"?","~?"))=1,INDEX('Calculations'!$HE$13:$HE$512,MATCH(IFERROR(IF(INDEX(INDIRECT("'WCM Calibration Final'!$E$1:$E$2000"),'Calculations'!$EM126)="","",TRIM(INDEX(INDIRECT("'WCM Calibration Final'!$E$1:$E$2000"),'Calculations'!$EM126)&amp;"")),""),'Calculations'!$HG$13:$HG$512,0)),IF(COUNTIF('Calculations'!$HG$13:$HG$512,"="&amp;SUBSTITUTE(SUBSTITUTE(SUBSTITUTE(IFERROR(IF(INDEX(INDIRECT("'WCM Calibration Final'!$E$1:$E$2000"),'Calculations'!$EM126)="","",TRIM(INDEX(INDIRECT("'WCM Calibration Final'!$E$1:$E$2000"),'Calculations'!$EM126)&amp;"")),""),"~","~~"),"*","~*"),"?","~?"))&gt;1,"!AMBIG","X:"&amp;IFERROR(IF(INDEX(INDIRECT("'WCM Calibration Final'!$E$1:$E$2000"),'Calculations'!$EM126)="","",TRIM(INDEX(INDIRECT("'WCM Calibration Final'!$E$1:$E$2000"),'Calculations'!$EM126)&amp;"")),""))))))</x:f>
      </x:c>
      <x:c r="HG126" t="str">
        <x:f>IF('Calculations'!EM126="","",IFERROR(IF(INDEX(INDIRECT("'WCM Calibration Final'!$B$1:$B$2000"),'Calculations'!$EM126)="","",TRIM(INDEX(INDIRECT("'WCM Calibration Final'!$B$1:$B$2000"),'Calculations'!$EM126)&amp;"")),""))</x:f>
      </x:c>
      <x:c r="HH126" t="n">
        <x:f>IF(AND('Calculations'!JC126&gt;0,COUNTIF('Calculations'!$HF$12:HF126,"="&amp;SUBSTITUTE(SUBSTITUTE(SUBSTITUTE('Calculations'!HF126,"~","~~"),"*","~*"),"?","~?"))=1),MAX('Calculations'!$HH$12:HH125)+1,0)</x:f>
        <x:v>0</x:v>
      </x:c>
      <x:c r="HI126" t="n">
        <x:f>IF(AND('Calculations'!HN126&lt;&gt;"",COUNTIF('Calculations'!$HN$12:HN126,"="&amp;SUBSTITUTE(SUBSTITUTE(SUBSTITUTE('Calculations'!HN126,"~","~~"),"*","~*"),"?","~?"))=1),MAX('Calculations'!$HI$12:HI125)+1,0)</x:f>
        <x:v>0</x:v>
      </x:c>
      <x:c r="HJ126" t="str">
        <x:f>IF('Calculations'!HF126="","",IF(COUNTIF('Calculations'!$HE$13:$HE$512,"="&amp;SUBSTITUTE(SUBSTITUTE(SUBSTITUTE('Calculations'!HF126,"~","~~"),"*","~*"),"?","~?"))=1,INDEX('Calculations'!$HK$13:$HK$512,MATCH('Calculations'!HF126,'Calculations'!$HE$13:$HE$512,0)),IFERROR(IF(INDEX(INDIRECT("'WCM Calibration Final'!$E$1:$E$2000"),'Calculations'!$EM126)="","",TRIM(INDEX(INDIRECT("'WCM Calibration Final'!$E$1:$E$2000"),'Calculations'!$EM126)&amp;"")),"")&amp;" ["&amp;'Calculations'!HF126&amp;"]"))</x:f>
      </x:c>
      <x:c r="HK126" t="str">
        <x:f>IF('Calculations'!EM126="","",'Calculations'!HG126&amp;" ["&amp;'Calculations'!HE126&amp;"]")</x:f>
      </x:c>
      <x:c r="HL126" t="n">
        <x:f>IF('Calculations'!EM126="",0,IF(OR('Calculations'!II126&lt;&gt;"",COUNTIF('Calculations'!$HE$13:$HE$512,"="&amp;SUBSTITUTE(SUBSTITUTE(SUBSTITUTE('Calculations'!HE126,"~","~~"),"*","~*"),"?","~?"))&gt;1),1,0))</x:f>
        <x:v>0</x:v>
      </x:c>
      <x:c r="HM126" t="str">
        <x:f>IF('Calculations'!EM126="","",IF('Calculations'!HL126=1,"!UNRESOLVED",IF('Calculations'!IH126&lt;&gt;"",'Calculations'!IH126,IF('Calculations'!IG126&lt;&gt;"",'Calculations'!IG126,IF('Calculations'!IF126&lt;&gt;"",'Calculations'!IF126,IF('Calculations'!IE126&lt;&gt;"",'Calculations'!IE126,IF('Calculations'!ID126&lt;&gt;"",'Calculations'!ID126,IF('Calculations'!IC126&lt;&gt;"",'Calculations'!IC126,IF('Calculations'!IB126&lt;&gt;"",'Calculations'!IB126,IF('Calculations'!IA126&lt;&gt;"",'Calculations'!IA126,IF('Calculations'!HZ126&lt;&gt;"",'Calculations'!HZ126,IF('Calculations'!HY126&lt;&gt;"",'Calculations'!HY126,IF('Calculations'!HX126&lt;&gt;"",'Calculations'!HX126,IF('Calculations'!HW126&lt;&gt;"",'Calculations'!HW126,IF('Calculations'!HV126&lt;&gt;"",'Calculations'!HV126,IF('Calculations'!HU126&lt;&gt;"",'Calculations'!HU126,IF('Calculations'!HT126&lt;&gt;"",'Calculations'!HT126,IF('Calculations'!HS126&lt;&gt;"",'Calculations'!HS126,IF('Calculations'!HR126&lt;&gt;"",'Calculations'!HR126,IF('Calculations'!HQ126&lt;&gt;"",'Calculations'!HQ126,IF('Calculations'!HP126&lt;&gt;"",'Calculations'!HP126,IF('Calculations'!HO126&lt;&gt;"",'Calculations'!HO126,'Calculations'!HE126))))))))))))))))))))))</x:f>
      </x:c>
      <x:c r="HN126" t="str">
        <x:f>IF('Calculations'!EM126="","",IF(IFERROR(IF(INDEX(INDIRECT("'WCM Calibration Final'!$F$1:$F$2000"),'Calculations'!$EM126)="","",TRIM(INDEX(INDIRECT("'WCM Calibration Final'!$F$1:$F$2000"),'Calculations'!$EM126)&amp;"")),"")="","(Blank)",IFERROR(IF(INDEX(INDIRECT("'WCM Calibration Final'!$F$1:$F$2000"),'Calculations'!$EM126)="","",TRIM(INDEX(INDIRECT("'WCM Calibration Final'!$F$1:$F$2000"),'Calculations'!$EM126)&amp;"")),"")))</x:f>
      </x:c>
      <x:c r="HO126" t="str">
        <x:f>'Calculations'!HF126</x:f>
      </x:c>
      <x:c r="HP126" t="str">
        <x:f>IF('Calculations'!HO126="","",IF('Calculations'!HO126="!AMBIG","!AMBIG",IF(COUNTIF('Calculations'!$HE$13:$HE$512,"="&amp;SUBSTITUTE(SUBSTITUTE(SUBSTITUTE('Calculations'!HO126,"~","~~"),"*","~*"),"?","~?"))&gt;1,"!AMBIG",IFERROR(INDEX('Calculations'!$HF$13:$HF$512,MATCH('Calculations'!HO126,'Calculations'!$HE$13:$HE$512,0)),""))))</x:f>
      </x:c>
      <x:c r="HQ126" t="str">
        <x:f>IF('Calculations'!HP126="","",IF('Calculations'!HP126="!AMBIG","!AMBIG",IF(COUNTIF('Calculations'!$HE$13:$HE$512,"="&amp;SUBSTITUTE(SUBSTITUTE(SUBSTITUTE('Calculations'!HP126,"~","~~"),"*","~*"),"?","~?"))&gt;1,"!AMBIG",IFERROR(INDEX('Calculations'!$HF$13:$HF$512,MATCH('Calculations'!HP126,'Calculations'!$HE$13:$HE$512,0)),""))))</x:f>
      </x:c>
      <x:c r="HR126" t="str">
        <x:f>IF('Calculations'!HQ126="","",IF('Calculations'!HQ126="!AMBIG","!AMBIG",IF(COUNTIF('Calculations'!$HE$13:$HE$512,"="&amp;SUBSTITUTE(SUBSTITUTE(SUBSTITUTE('Calculations'!HQ126,"~","~~"),"*","~*"),"?","~?"))&gt;1,"!AMBIG",IFERROR(INDEX('Calculations'!$HF$13:$HF$512,MATCH('Calculations'!HQ126,'Calculations'!$HE$13:$HE$512,0)),""))))</x:f>
      </x:c>
      <x:c r="HS126" t="str">
        <x:f>IF('Calculations'!HR126="","",IF('Calculations'!HR126="!AMBIG","!AMBIG",IF(COUNTIF('Calculations'!$HE$13:$HE$512,"="&amp;SUBSTITUTE(SUBSTITUTE(SUBSTITUTE('Calculations'!HR126,"~","~~"),"*","~*"),"?","~?"))&gt;1,"!AMBIG",IFERROR(INDEX('Calculations'!$HF$13:$HF$512,MATCH('Calculations'!HR126,'Calculations'!$HE$13:$HE$512,0)),""))))</x:f>
      </x:c>
      <x:c r="HT126" t="str">
        <x:f>IF('Calculations'!HS126="","",IF('Calculations'!HS126="!AMBIG","!AMBIG",IF(COUNTIF('Calculations'!$HE$13:$HE$512,"="&amp;SUBSTITUTE(SUBSTITUTE(SUBSTITUTE('Calculations'!HS126,"~","~~"),"*","~*"),"?","~?"))&gt;1,"!AMBIG",IFERROR(INDEX('Calculations'!$HF$13:$HF$512,MATCH('Calculations'!HS126,'Calculations'!$HE$13:$HE$512,0)),""))))</x:f>
      </x:c>
      <x:c r="HU126" t="str">
        <x:f>IF('Calculations'!HT126="","",IF('Calculations'!HT126="!AMBIG","!AMBIG",IF(COUNTIF('Calculations'!$HE$13:$HE$512,"="&amp;SUBSTITUTE(SUBSTITUTE(SUBSTITUTE('Calculations'!HT126,"~","~~"),"*","~*"),"?","~?"))&gt;1,"!AMBIG",IFERROR(INDEX('Calculations'!$HF$13:$HF$512,MATCH('Calculations'!HT126,'Calculations'!$HE$13:$HE$512,0)),""))))</x:f>
      </x:c>
      <x:c r="HV126" t="str">
        <x:f>IF('Calculations'!HU126="","",IF('Calculations'!HU126="!AMBIG","!AMBIG",IF(COUNTIF('Calculations'!$HE$13:$HE$512,"="&amp;SUBSTITUTE(SUBSTITUTE(SUBSTITUTE('Calculations'!HU126,"~","~~"),"*","~*"),"?","~?"))&gt;1,"!AMBIG",IFERROR(INDEX('Calculations'!$HF$13:$HF$512,MATCH('Calculations'!HU126,'Calculations'!$HE$13:$HE$512,0)),""))))</x:f>
      </x:c>
      <x:c r="HW126" t="str">
        <x:f>IF('Calculations'!HV126="","",IF('Calculations'!HV126="!AMBIG","!AMBIG",IF(COUNTIF('Calculations'!$HE$13:$HE$512,"="&amp;SUBSTITUTE(SUBSTITUTE(SUBSTITUTE('Calculations'!HV126,"~","~~"),"*","~*"),"?","~?"))&gt;1,"!AMBIG",IFERROR(INDEX('Calculations'!$HF$13:$HF$512,MATCH('Calculations'!HV126,'Calculations'!$HE$13:$HE$512,0)),""))))</x:f>
      </x:c>
      <x:c r="HX126" t="str">
        <x:f>IF('Calculations'!HW126="","",IF('Calculations'!HW126="!AMBIG","!AMBIG",IF(COUNTIF('Calculations'!$HE$13:$HE$512,"="&amp;SUBSTITUTE(SUBSTITUTE(SUBSTITUTE('Calculations'!HW126,"~","~~"),"*","~*"),"?","~?"))&gt;1,"!AMBIG",IFERROR(INDEX('Calculations'!$HF$13:$HF$512,MATCH('Calculations'!HW126,'Calculations'!$HE$13:$HE$512,0)),""))))</x:f>
      </x:c>
      <x:c r="HY126" t="str">
        <x:f>IF('Calculations'!HX126="","",IF('Calculations'!HX126="!AMBIG","!AMBIG",IF(COUNTIF('Calculations'!$HE$13:$HE$512,"="&amp;SUBSTITUTE(SUBSTITUTE(SUBSTITUTE('Calculations'!HX126,"~","~~"),"*","~*"),"?","~?"))&gt;1,"!AMBIG",IFERROR(INDEX('Calculations'!$HF$13:$HF$512,MATCH('Calculations'!HX126,'Calculations'!$HE$13:$HE$512,0)),""))))</x:f>
      </x:c>
      <x:c r="HZ126" t="str">
        <x:f>IF('Calculations'!HY126="","",IF('Calculations'!HY126="!AMBIG","!AMBIG",IF(COUNTIF('Calculations'!$HE$13:$HE$512,"="&amp;SUBSTITUTE(SUBSTITUTE(SUBSTITUTE('Calculations'!HY126,"~","~~"),"*","~*"),"?","~?"))&gt;1,"!AMBIG",IFERROR(INDEX('Calculations'!$HF$13:$HF$512,MATCH('Calculations'!HY126,'Calculations'!$HE$13:$HE$512,0)),""))))</x:f>
      </x:c>
      <x:c r="IA126" t="str">
        <x:f>IF('Calculations'!HZ126="","",IF('Calculations'!HZ126="!AMBIG","!AMBIG",IF(COUNTIF('Calculations'!$HE$13:$HE$512,"="&amp;SUBSTITUTE(SUBSTITUTE(SUBSTITUTE('Calculations'!HZ126,"~","~~"),"*","~*"),"?","~?"))&gt;1,"!AMBIG",IFERROR(INDEX('Calculations'!$HF$13:$HF$512,MATCH('Calculations'!HZ126,'Calculations'!$HE$13:$HE$512,0)),""))))</x:f>
      </x:c>
      <x:c r="IB126" t="str">
        <x:f>IF('Calculations'!IA126="","",IF('Calculations'!IA126="!AMBIG","!AMBIG",IF(COUNTIF('Calculations'!$HE$13:$HE$512,"="&amp;SUBSTITUTE(SUBSTITUTE(SUBSTITUTE('Calculations'!IA126,"~","~~"),"*","~*"),"?","~?"))&gt;1,"!AMBIG",IFERROR(INDEX('Calculations'!$HF$13:$HF$512,MATCH('Calculations'!IA126,'Calculations'!$HE$13:$HE$512,0)),""))))</x:f>
      </x:c>
      <x:c r="IC126" t="str">
        <x:f>IF('Calculations'!IB126="","",IF('Calculations'!IB126="!AMBIG","!AMBIG",IF(COUNTIF('Calculations'!$HE$13:$HE$512,"="&amp;SUBSTITUTE(SUBSTITUTE(SUBSTITUTE('Calculations'!IB126,"~","~~"),"*","~*"),"?","~?"))&gt;1,"!AMBIG",IFERROR(INDEX('Calculations'!$HF$13:$HF$512,MATCH('Calculations'!IB126,'Calculations'!$HE$13:$HE$512,0)),""))))</x:f>
      </x:c>
      <x:c r="ID126" t="str">
        <x:f>IF('Calculations'!IC126="","",IF('Calculations'!IC126="!AMBIG","!AMBIG",IF(COUNTIF('Calculations'!$HE$13:$HE$512,"="&amp;SUBSTITUTE(SUBSTITUTE(SUBSTITUTE('Calculations'!IC126,"~","~~"),"*","~*"),"?","~?"))&gt;1,"!AMBIG",IFERROR(INDEX('Calculations'!$HF$13:$HF$512,MATCH('Calculations'!IC126,'Calculations'!$HE$13:$HE$512,0)),""))))</x:f>
      </x:c>
      <x:c r="IE126" t="str">
        <x:f>IF('Calculations'!ID126="","",IF('Calculations'!ID126="!AMBIG","!AMBIG",IF(COUNTIF('Calculations'!$HE$13:$HE$512,"="&amp;SUBSTITUTE(SUBSTITUTE(SUBSTITUTE('Calculations'!ID126,"~","~~"),"*","~*"),"?","~?"))&gt;1,"!AMBIG",IFERROR(INDEX('Calculations'!$HF$13:$HF$512,MATCH('Calculations'!ID126,'Calculations'!$HE$13:$HE$512,0)),""))))</x:f>
      </x:c>
      <x:c r="IF126" t="str">
        <x:f>IF('Calculations'!IE126="","",IF('Calculations'!IE126="!AMBIG","!AMBIG",IF(COUNTIF('Calculations'!$HE$13:$HE$512,"="&amp;SUBSTITUTE(SUBSTITUTE(SUBSTITUTE('Calculations'!IE126,"~","~~"),"*","~*"),"?","~?"))&gt;1,"!AMBIG",IFERROR(INDEX('Calculations'!$HF$13:$HF$512,MATCH('Calculations'!IE126,'Calculations'!$HE$13:$HE$512,0)),""))))</x:f>
      </x:c>
      <x:c r="IG126" t="str">
        <x:f>IF('Calculations'!IF126="","",IF('Calculations'!IF126="!AMBIG","!AMBIG",IF(COUNTIF('Calculations'!$HE$13:$HE$512,"="&amp;SUBSTITUTE(SUBSTITUTE(SUBSTITUTE('Calculations'!IF126,"~","~~"),"*","~*"),"?","~?"))&gt;1,"!AMBIG",IFERROR(INDEX('Calculations'!$HF$13:$HF$512,MATCH('Calculations'!IF126,'Calculations'!$HE$13:$HE$512,0)),""))))</x:f>
      </x:c>
      <x:c r="IH126" t="str">
        <x:f>IF('Calculations'!IG126="","",IF('Calculations'!IG126="!AMBIG","!AMBIG",IF(COUNTIF('Calculations'!$HE$13:$HE$512,"="&amp;SUBSTITUTE(SUBSTITUTE(SUBSTITUTE('Calculations'!IG126,"~","~~"),"*","~*"),"?","~?"))&gt;1,"!AMBIG",IFERROR(INDEX('Calculations'!$HF$13:$HF$512,MATCH('Calculations'!IG126,'Calculations'!$HE$13:$HE$512,0)),""))))</x:f>
      </x:c>
      <x:c r="II126" t="str">
        <x:f>IF('Calculations'!IH126="","",IF('Calculations'!IH126="!AMBIG","!AMBIG",IF(COUNTIF('Calculations'!$HE$13:$HE$512,"="&amp;SUBSTITUTE(SUBSTITUTE(SUBSTITUTE('Calculations'!IH126,"~","~~"),"*","~*"),"?","~?"))&gt;1,"!AMBIG",IFERROR(INDEX('Calculations'!$HF$13:$HF$512,MATCH('Calculations'!IH126,'Calculations'!$HE$13:$HE$512,0)),""))))</x:f>
      </x:c>
      <x:c r="IJ126" t="str">
        <x:f>IF('Calculations'!EM126="","",IF('Calculations'!$EF$2="All",'Calculations'!HM126,IF('Calculations'!HL126=1,"",IFERROR(IF(MATCH('Calculations'!$EF$2,'Calculations'!HO126:II126,0)=1,'Calculations'!HE126,INDEX('Calculations'!HO126:II126,1,MATCH('Calculations'!$EF$2,'Calculations'!HO126:II126,0)-1)),""))))</x:f>
      </x:c>
      <x:c r="IK126" t="n">
        <x:f>IF(AND('Calculations'!EM126&lt;&gt;"",'Calculations'!$EF$2&lt;&gt;"All",'Calculations'!HF126='Calculations'!$EF$2,'Calculations'!HL126=0,'Calculations'!JD126&gt;0),MAX('Calculations'!$IK$12:IK125)+1,0)</x:f>
        <x:v>0</x:v>
      </x:c>
      <x:c r="JA126" t="n">
        <x:f>IF(OR(IFERROR(INDIRECT("'WCM Calibration Final'!$A$126")&lt;&gt;"",FALSE),IFERROR(INDIRECT("'WCM Calibration Final'!$B$126")&lt;&gt;"",FALSE),IFERROR(INDIRECT("'WCM Calibration Final'!$C$126")&lt;&gt;"",FALSE)),126,0)</x:f>
        <x:v>0</x:v>
      </x:c>
      <x:c r="JB126" t="n">
        <x:f>'Calculations'!JB125+IF('Calculations'!JA126&gt;0,1,0)</x:f>
        <x:v>0</x:v>
      </x:c>
      <x:c r="JC126" t="n">
        <x:f>IF(OR('Calculations'!HF126="",'Calculations'!HF126="!AMBIG"),0,IF('Dashboard'!$B$7="All",1,COUNTIFS('Calculations'!$HO$13:$HO$512,"="&amp;SUBSTITUTE(SUBSTITUTE(SUBSTITUTE('Calculations'!HF126,"~","~~"),"*","~*"),"?","~?"),'Calculations'!$HN$13:$HN$512,"="&amp;SUBSTITUTE(SUBSTITUTE(SUBSTITUTE('Dashboard'!$B$7,"~","~~"),"*","~*"),"?","~?"))+COUNTIFS('Calculations'!$HP$13:$HP$512,"="&amp;SUBSTITUTE(SUBSTITUTE(SUBSTITUTE('Calculations'!HF126,"~","~~"),"*","~*"),"?","~?"),'Calculations'!$HN$13:$HN$512,"="&amp;SUBSTITUTE(SUBSTITUTE(SUBSTITUTE('Dashboard'!$B$7,"~","~~"),"*","~*"),"?","~?"))+COUNTIFS('Calculations'!$HQ$13:$HQ$512,"="&amp;SUBSTITUTE(SUBSTITUTE(SUBSTITUTE('Calculations'!HF126,"~","~~"),"*","~*"),"?","~?"),'Calculations'!$HN$13:$HN$512,"="&amp;SUBSTITUTE(SUBSTITUTE(SUBSTITUTE('Dashboard'!$B$7,"~","~~"),"*","~*"),"?","~?"))+COUNTIFS('Calculations'!$HR$13:$HR$512,"="&amp;SUBSTITUTE(SUBSTITUTE(SUBSTITUTE('Calculations'!HF126,"~","~~"),"*","~*"),"?","~?"),'Calculations'!$HN$13:$HN$512,"="&amp;SUBSTITUTE(SUBSTITUTE(SUBSTITUTE('Dashboard'!$B$7,"~","~~"),"*","~*"),"?","~?"))+COUNTIFS('Calculations'!$HS$13:$HS$512,"="&amp;SUBSTITUTE(SUBSTITUTE(SUBSTITUTE('Calculations'!HF126,"~","~~"),"*","~*"),"?","~?"),'Calculations'!$HN$13:$HN$512,"="&amp;SUBSTITUTE(SUBSTITUTE(SUBSTITUTE('Dashboard'!$B$7,"~","~~"),"*","~*"),"?","~?"))+COUNTIFS('Calculations'!$HT$13:$HT$512,"="&amp;SUBSTITUTE(SUBSTITUTE(SUBSTITUTE('Calculations'!HF126,"~","~~"),"*","~*"),"?","~?"),'Calculations'!$HN$13:$HN$512,"="&amp;SUBSTITUTE(SUBSTITUTE(SUBSTITUTE('Dashboard'!$B$7,"~","~~"),"*","~*"),"?","~?"))+COUNTIFS('Calculations'!$HU$13:$HU$512,"="&amp;SUBSTITUTE(SUBSTITUTE(SUBSTITUTE('Calculations'!HF126,"~","~~"),"*","~*"),"?","~?"),'Calculations'!$HN$13:$HN$512,"="&amp;SUBSTITUTE(SUBSTITUTE(SUBSTITUTE('Dashboard'!$B$7,"~","~~"),"*","~*"),"?","~?"))+COUNTIFS('Calculations'!$HV$13:$HV$512,"="&amp;SUBSTITUTE(SUBSTITUTE(SUBSTITUTE('Calculations'!HF126,"~","~~"),"*","~*"),"?","~?"),'Calculations'!$HN$13:$HN$512,"="&amp;SUBSTITUTE(SUBSTITUTE(SUBSTITUTE('Dashboard'!$B$7,"~","~~"),"*","~*"),"?","~?"))+COUNTIFS('Calculations'!$HW$13:$HW$512,"="&amp;SUBSTITUTE(SUBSTITUTE(SUBSTITUTE('Calculations'!HF126,"~","~~"),"*","~*"),"?","~?"),'Calculations'!$HN$13:$HN$512,"="&amp;SUBSTITUTE(SUBSTITUTE(SUBSTITUTE('Dashboard'!$B$7,"~","~~"),"*","~*"),"?","~?"))+COUNTIFS('Calculations'!$HX$13:$HX$512,"="&amp;SUBSTITUTE(SUBSTITUTE(SUBSTITUTE('Calculations'!HF126,"~","~~"),"*","~*"),"?","~?"),'Calculations'!$HN$13:$HN$512,"="&amp;SUBSTITUTE(SUBSTITUTE(SUBSTITUTE('Dashboard'!$B$7,"~","~~"),"*","~*"),"?","~?"))+COUNTIFS('Calculations'!$HY$13:$HY$512,"="&amp;SUBSTITUTE(SUBSTITUTE(SUBSTITUTE('Calculations'!HF126,"~","~~"),"*","~*"),"?","~?"),'Calculations'!$HN$13:$HN$512,"="&amp;SUBSTITUTE(SUBSTITUTE(SUBSTITUTE('Dashboard'!$B$7,"~","~~"),"*","~*"),"?","~?"))+COUNTIFS('Calculations'!$HZ$13:$HZ$512,"="&amp;SUBSTITUTE(SUBSTITUTE(SUBSTITUTE('Calculations'!HF126,"~","~~"),"*","~*"),"?","~?"),'Calculations'!$HN$13:$HN$512,"="&amp;SUBSTITUTE(SUBSTITUTE(SUBSTITUTE('Dashboard'!$B$7,"~","~~"),"*","~*"),"?","~?"))+COUNTIFS('Calculations'!$IA$13:$IA$512,"="&amp;SUBSTITUTE(SUBSTITUTE(SUBSTITUTE('Calculations'!HF126,"~","~~"),"*","~*"),"?","~?"),'Calculations'!$HN$13:$HN$512,"="&amp;SUBSTITUTE(SUBSTITUTE(SUBSTITUTE('Dashboard'!$B$7,"~","~~"),"*","~*"),"?","~?"))+COUNTIFS('Calculations'!$IB$13:$IB$512,"="&amp;SUBSTITUTE(SUBSTITUTE(SUBSTITUTE('Calculations'!HF126,"~","~~"),"*","~*"),"?","~?"),'Calculations'!$HN$13:$HN$512,"="&amp;SUBSTITUTE(SUBSTITUTE(SUBSTITUTE('Dashboard'!$B$7,"~","~~"),"*","~*"),"?","~?"))+COUNTIFS('Calculations'!$IC$13:$IC$512,"="&amp;SUBSTITUTE(SUBSTITUTE(SUBSTITUTE('Calculations'!HF126,"~","~~"),"*","~*"),"?","~?"),'Calculations'!$HN$13:$HN$512,"="&amp;SUBSTITUTE(SUBSTITUTE(SUBSTITUTE('Dashboard'!$B$7,"~","~~"),"*","~*"),"?","~?"))+COUNTIFS('Calculations'!$ID$13:$ID$512,"="&amp;SUBSTITUTE(SUBSTITUTE(SUBSTITUTE('Calculations'!HF126,"~","~~"),"*","~*"),"?","~?"),'Calculations'!$HN$13:$HN$512,"="&amp;SUBSTITUTE(SUBSTITUTE(SUBSTITUTE('Dashboard'!$B$7,"~","~~"),"*","~*"),"?","~?"))+COUNTIFS('Calculations'!$IE$13:$IE$512,"="&amp;SUBSTITUTE(SUBSTITUTE(SUBSTITUTE('Calculations'!HF126,"~","~~"),"*","~*"),"?","~?"),'Calculations'!$HN$13:$HN$512,"="&amp;SUBSTITUTE(SUBSTITUTE(SUBSTITUTE('Dashboard'!$B$7,"~","~~"),"*","~*"),"?","~?"))+COUNTIFS('Calculations'!$IF$13:$IF$512,"="&amp;SUBSTITUTE(SUBSTITUTE(SUBSTITUTE('Calculations'!HF126,"~","~~"),"*","~*"),"?","~?"),'Calculations'!$HN$13:$HN$512,"="&amp;SUBSTITUTE(SUBSTITUTE(SUBSTITUTE('Dashboard'!$B$7,"~","~~"),"*","~*"),"?","~?"))+COUNTIFS('Calculations'!$IG$13:$IG$512,"="&amp;SUBSTITUTE(SUBSTITUTE(SUBSTITUTE('Calculations'!HF126,"~","~~"),"*","~*"),"?","~?"),'Calculations'!$HN$13:$HN$512,"="&amp;SUBSTITUTE(SUBSTITUTE(SUBSTITUTE('Dashboard'!$B$7,"~","~~"),"*","~*"),"?","~?"))+COUNTIFS('Calculations'!$IH$13:$IH$512,"="&amp;SUBSTITUTE(SUBSTITUTE(SUBSTITUTE('Calculations'!HF126,"~","~~"),"*","~*"),"?","~?"),'Calculations'!$HN$13:$HN$512,"="&amp;SUBSTITUTE(SUBSTITUTE(SUBSTITUTE('Dashboard'!$B$7,"~","~~"),"*","~*"),"?","~?"))))</x:f>
        <x:v>0</x:v>
      </x:c>
      <x:c r="JD126" t="n">
        <x:f>IF('Calculations'!EM126="",0,IF('Dashboard'!$B$7="All",1,IF('Calculations'!HN126='Dashboard'!$B$7,1,0)+IFERROR(INDEX('Calculations'!$JC$13:$JC$512,MATCH('Calculations'!HE126,'Calculations'!$HF$13:$HF$512,0)),0)))</x:f>
        <x:v>0</x:v>
      </x:c>
      <x:c r="JE126" t="n">
        <x:f>IF(AND('Calculations'!EM126&lt;&gt;"",'Calculations'!$JJ$2&lt;&gt;"All",'Calculations'!$JJ$2&lt;&gt;"",'Calculations'!HF126='Calculations'!$JJ$2,'Calculations'!HL126=0,'Calculations'!JD126&gt;0),MAX('Calculations'!$JE$12:JE125)+1,0)</x:f>
        <x:v>0</x:v>
      </x:c>
      <x:c r="JF126" t="str">
        <x:f>IF('Calculations'!EM126="","",IFERROR(IF(INDEX(INDIRECT("'WCM Calibration Final'!$G$1:$G$2000"),'Calculations'!$EM126)="","",TRIM(INDEX(INDIRECT("'WCM Calibration Final'!$G$1:$G$2000"),'Calculations'!$EM126)&amp;"")),""))</x:f>
      </x:c>
      <x:c r="JQ126" t="n">
        <x:f>IF(OR('Calculations'!BM126=0,NOT('Calculations'!$AG$2),'Calculations'!$AG$8&gt;0),0,IF(OR('Dashboard'!$B$7="All",'Calculations'!HN126='Dashboard'!$B$7),IF('Calculations'!$JJ$2="All",1,IF(AND('Calculations'!HF126='Calculations'!$JJ$2,'Calculations'!HL126=0),1,0)),0))</x:f>
        <x:v>0</x:v>
      </x:c>
    </x:row>
    <x:row r="127">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t="n">
        <x:f>IF('Calculations'!$EM127="",0,IF(OR(IFERROR(INDEX(INDIRECT("'WCM Calibration Final'!$A$1:$A$2000"),'Calculations'!$EM127)&lt;&gt;"",FALSE),IFERROR(INDEX(INDIRECT("'WCM Calibration Final'!$B$1:$B$2000"),'Calculations'!$EM127)&lt;&gt;"",FALSE),IFERROR(INDEX(INDIRECT("'WCM Calibration Final'!$C$1:$C$2000"),'Calculations'!$EM127)&lt;&gt;"",FALSE)),1,0))</x:f>
        <x:v>0</x:v>
      </x:c>
      <x:c r="BN127" s="4" t="n">
        <x:f>IF(AND('Calculations'!BM127=1,'Calculations'!$AG$2,'Calculations'!$EN127=1),1,0)</x:f>
        <x:v>0</x:v>
      </x:c>
      <x:c r="BO127" s="4" t="str">
        <x:f>IF('Calculations'!BM127=0,"",IFERROR(IF(AND(VALUE(INDEX(INDIRECT("'WCM Calibration Final'!$K$1:$K$2000"),'Calculations'!$EM127))&gt;=1,VALUE(INDEX(INDIRECT("'WCM Calibration Final'!$K$1:$K$2000"),'Calculations'!$EM127))&lt;=4,MOD(VALUE(INDEX(INDIRECT("'WCM Calibration Final'!$K$1:$K$2000"),'Calculations'!$EM127)),1)=0),VALUE(INDEX(INDIRECT("'WCM Calibration Final'!$K$1:$K$2000"),'Calculations'!$EM127)),""),""))</x:f>
      </x:c>
      <x:c r="BP127" s="4" t="str">
        <x:f>IF('Calculations'!BM127=0,"",IFERROR(IF(AND(VALUE(INDEX(INDIRECT("'WCM Calibration Final'!$L$1:$L$2000"),'Calculations'!$EM127))&gt;=1,VALUE(INDEX(INDIRECT("'WCM Calibration Final'!$L$1:$L$2000"),'Calculations'!$EM127))&lt;=4,MOD(VALUE(INDEX(INDIRECT("'WCM Calibration Final'!$L$1:$L$2000"),'Calculations'!$EM127)),1)=0),VALUE(INDEX(INDIRECT("'WCM Calibration Final'!$L$1:$L$2000"),'Calculations'!$EM127)),""),""))</x:f>
      </x:c>
      <x:c r="BQ127" s="4"/>
      <x:c r="BR127" s="4"/>
      <x:c r="BS127" s="4"/>
      <x:c r="BT127" s="4" t="n">
        <x:f>IF(AND('Calculations'!BM127=1,ISNUMBER('Calculations'!BO127),ISNUMBER('Calculations'!BP127)),1,0)</x:f>
        <x:v>0</x:v>
      </x:c>
      <x:c r="BU127" s="4" t="str">
        <x:f>IF('Calculations'!BM127=0,"",'Calculations'!$EO127)</x:f>
      </x:c>
      <x:c r="BV127" s="4" t="str">
        <x:f>IF('Calculations'!BM127=0,"",IFERROR(IF(OR(INDEX(INDIRECT("'WCM Calibration Final'!$H$1:$H$2000"),'Calculations'!$EM127)="MANAGING DIRECTOR",INDEX(INDIRECT("'WCM Calibration Final'!$H$1:$H$2000"),'Calculations'!$EM127)="DIRECTOR",INDEX(INDIRECT("'WCM Calibration Final'!$H$1:$H$2000"),'Calculations'!$EM127)="SENIOR VICE PRESIDENT",INDEX(INDIRECT("'WCM Calibration Final'!$H$1:$H$2000"),'Calculations'!$EM127)="VICE PRESIDENT",INDEX(INDIRECT("'WCM Calibration Final'!$H$1:$H$2000"),'Calculations'!$EM127)="ASSISTANT VICE PRESIDENT",INDEX(INDIRECT("'WCM Calibration Final'!$H$1:$H$2000"),'Calculations'!$EM127)="OFFICER"),UPPER(INDEX(INDIRECT("'WCM Calibration Final'!$H$1:$H$2000"),'Calculations'!$EM127)),"Other"),"Other"))</x:f>
      </x:c>
      <x:c r="BW127" s="4"/>
      <x:c r="BX127" s="4"/>
      <x:c r="BY127" s="4" t="n">
        <x:f>IF(AND('Calculations'!BM127=1,'Calculations'!BU127&lt;&gt;"",COUNTIF('Calculations'!$BU$12:BU127,'Calculations'!BU127)=1),MAX('Calculations'!$BY$11:BY126)+1,0)</x:f>
        <x:v>0</x:v>
      </x:c>
      <x:c r="BZ127" s="4" t="str">
        <x:f>IF('Dashboard'!$E$67="What",'Calculations'!BO127,'Calculations'!BP127)</x:f>
      </x:c>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t="str">
        <x:f>IF(116&gt;MAX('Calculations'!$HI$13:$HI$512),"",INDEX('Calculations'!$HN$13:$HN$512,MATCH(116,'Calculations'!$HI$13:$HI$512,0)))</x:f>
      </x:c>
      <x:c r="DB127" s="4" t="str">
        <x:f>IF(116&gt;MAX('Calculations'!$HH$13:$HH$512),"",INDEX('Calculations'!$HJ$13:$HJ$512,MATCH(116,'Calculations'!$HH$13:$HH$512,0)))</x:f>
      </x:c>
      <x:c r="DC127" s="4" t="str">
        <x:f>IF(ROW()-11&gt;MAX('Calculations'!$BY$13:$BY$512),"",INDEX('Calculations'!$BU$13:$BU$512,MATCH(ROW()-11,'Calculations'!$BY$13:$BY$512,0)))</x:f>
      </x:c>
      <x:c r="DD127" s="4" t="str">
        <x:f>IF(116&gt;MAX('Calculations'!$IK$13:$IK$512),"",INDEX('Calculations'!$HK$13:$HK$512,MATCH(116,'Calculations'!$IK$13:$IK$512,0)))</x:f>
      </x:c>
      <x:c r="DE127" s="4" t="str">
        <x:f>'Calculations'!DC127</x:f>
      </x:c>
      <x:c r="DF127" s="4" t="str">
        <x:f>IF('Calculations'!DE127="","",COUNTIFS('Calculations'!$BN$13:$BN$512,1,'Calculations'!$BU$13:$BU$512,'Calculations'!DE127))</x:f>
      </x:c>
      <x:c r="DG127" s="4" t="str">
        <x:f>IF('Calculations'!DE127="","",COUNTIFS('Calculations'!$BN$13:$BN$512,1,'Calculations'!$BU$13:$BU$512,'Calculations'!DE127,'Calculations'!$BT$13:$BT$512,1))</x:f>
      </x:c>
      <x:c r="DH127" s="4" t="str">
        <x:f>IF('Calculations'!DE127="","",'Calculations'!DF127-'Calculations'!DG127)</x:f>
      </x:c>
      <x:c r="DI127" s="4" t="str">
        <x:f>IF(OR('Calculations'!DE127="",'Calculations'!DF127=0),"",'Calculations'!DG127/'Calculations'!DF127)</x:f>
      </x:c>
      <x:c r="DJ127" s="4" t="str">
        <x:f>IF('Calculations'!DE127="","",COUNTIFS('Calculations'!$BN$13:$BN$512,1,'Calculations'!$BU$13:$BU$512,'Calculations'!DE127,'Calculations'!$BT$13:$BT$512,1,'Calculations'!$EE$13:$EE$512,"High"))</x:f>
      </x:c>
      <x:c r="DK127" s="4" t="str">
        <x:f>IF('Calculations'!DE127="","",COUNTIFS('Calculations'!$BN$13:$BN$512,1,'Calculations'!$BU$13:$BU$512,'Calculations'!DE127,'Calculations'!$BT$13:$BT$512,1,'Calculations'!$EE$13:$EE$512,"Strong"))</x:f>
      </x:c>
      <x:c r="DL127" s="4" t="str">
        <x:f>IF('Calculations'!DE127="","",COUNTIFS('Calculations'!$BN$13:$BN$512,1,'Calculations'!$BU$13:$BU$512,'Calculations'!DE127,'Calculations'!$BT$13:$BT$512,1,'Calculations'!$EE$13:$EE$512,"Solid"))</x:f>
      </x:c>
      <x:c r="DM127" s="4" t="str">
        <x:f>IF('Calculations'!DE127="","",COUNTIFS('Calculations'!$BN$13:$BN$512,1,'Calculations'!$BU$13:$BU$512,'Calculations'!DE127,'Calculations'!$BT$13:$BT$512,1,'Calculations'!$EE$13:$EE$512,"Low"))</x:f>
      </x:c>
      <x:c r="DN127" s="4" t="str">
        <x:f>IF('Calculations'!DE127="","",COUNTIFS('Calculations'!$BN$13:$BN$512,1,'Calculations'!$BU$13:$BU$512,'Calculations'!DE127,'Calculations'!$EP$13:$EP$512,1))</x:f>
      </x:c>
      <x:c r="DO127" s="4" t="str">
        <x:f>IF(OR('Calculations'!DE127="",'Calculations'!DG127=0),"",('Calculations'!DJ127+'Calculations'!DK127)/'Calculations'!DG127)</x:f>
      </x:c>
      <x:c r="DP127" s="4" t="n">
        <x:f>IF(AND('Calculations'!DE127&lt;&gt;"",'Calculations'!DF127&gt;0),COUNTIF('Calculations'!$DF$12:DF127,"&gt;0"),0)</x:f>
        <x:v>0</x:v>
      </x:c>
      <x:c r="DQ127" s="4" t="str">
        <x:f>IF(116&gt;MAX('Calculations'!$HH$13:$HH$512),"",INDEX('Calculations'!$HF$13:$HF$512,MATCH(116,'Calculations'!$HH$13:$HH$512,0)))</x:f>
      </x:c>
      <x:c r="DR127" s="4" t="str">
        <x:f>IF(116&gt;MAX('Calculations'!$IK$13:$IK$512),"",INDEX('Calculations'!$HE$13:$HE$512,MATCH(116,'Calculations'!$IK$13:$IK$512,0)))</x:f>
      </x:c>
      <x:c r="DS127" s="4"/>
      <x:c r="DT127" s="4"/>
      <x:c r="DU127" s="4"/>
      <x:c r="DV127" s="4"/>
      <x:c r="DW127" s="4"/>
      <x:c r="DX127" s="4"/>
      <x:c r="DY127" s="4"/>
      <x:c r="DZ127" s="4"/>
      <x:c r="EA127" s="4"/>
      <x:c r="EB127" s="4"/>
      <x:c r="EC127" s="4"/>
      <x:c r="ED127" s="4"/>
      <x:c r="EE127" s="4" t="str">
        <x:f>IF('Calculations'!BT127=0,"Not Rated",IF(OR('Calculations'!BO127&gt;=4,'Calculations'!BP127&gt;=4),"Low",IF('Calculations'!BO127+'Calculations'!BP127&lt;=3,"High",IF('Calculations'!BO127+'Calculations'!BP127&lt;=4,"Strong","Solid"))))</x:f>
        <x:v>Not Rated</x:v>
      </x:c>
      <x:c r="EF127" s="4"/>
      <x:c r="EG127" s="4"/>
      <x:c r="EH127" s="4"/>
      <x:c r="EI127" s="4"/>
      <x:c r="EJ127" s="4"/>
      <x:c r="EK127" s="4"/>
      <x:c r="EL127" s="4"/>
      <x:c r="EM127" s="4" t="str">
        <x:f>IF(115&gt;'Calculations'!$JB$2000,"",INDEX('Calculations'!$JA$12:$JA$2000,MATCH(115,'Calculations'!$JB$12:$JB$2000,0)))</x:f>
      </x:c>
      <x:c r="EN127" s="4" t="n">
        <x:f>IF(OR('Calculations'!EM127="",'Calculations'!$AG$8&gt;0,AND('Calculations'!$EF$2&lt;&gt;"All",'Calculations'!HE127='Calculations'!$EF$2),AND('Calculations'!$EF$3&lt;&gt;"All",'Calculations'!HE127='Calculations'!$EF$3)),0,IF(OR('Dashboard'!$B$7="All",'Calculations'!HN127='Dashboard'!$B$7),IF('Calculations'!$EF$2="All",1,IF('Calculations'!HL127&gt;0,0,IF(COUNTIF('Calculations'!HO127:II127,"="&amp;SUBSTITUTE(SUBSTITUTE(SUBSTITUTE('Calculations'!$EF$2,"~","~~"),"*","~*"),"?","~?"))=0,0,IF('Calculations'!$EF$3="All",1,IF(COUNTIF('Calculations'!HO127:II127,"="&amp;SUBSTITUTE(SUBSTITUTE(SUBSTITUTE('Calculations'!$EF$3,"~","~~"),"*","~*"),"?","~?"))&gt;0,1,0))))),0))</x:f>
        <x:v>0</x:v>
      </x:c>
      <x:c r="EO127" s="4" t="str">
        <x:f>IF('Calculations'!IJ127="","",IF('Calculations'!IJ127="!UNRESOLVED","Unresolved hierarchy",IFERROR(INDEX('Calculations'!$HK$13:$HK$512,MATCH('Calculations'!IJ127,'Calculations'!$HE$13:$HE$512,0)),IFERROR(INDEX('Calculations'!$HJ$13:$HJ$512,MATCH('Calculations'!IJ127,'Calculations'!$HF$13:$HF$512,0)),'Calculations'!IJ127))))</x:f>
      </x:c>
      <x:c r="EP127" s="4" t="n">
        <x:f>IF(AND('Calculations'!EM127&lt;&gt;"",'Calculations'!HF127='Calculations'!IJ127),1,0)</x:f>
        <x:v>0</x:v>
      </x:c>
      <x:c r="EQ127" s="4"/>
      <x:c r="ER127" s="4"/>
      <x:c r="ES127" s="4"/>
      <x:c r="ET127" s="4"/>
      <x:c r="EU127" s="4"/>
      <x:c r="EV127" s="4"/>
      <x:c r="EW127" s="4"/>
      <x:c r="EX127" s="4"/>
      <x:c r="EY127" s="4"/>
      <x:c r="EZ127" s="4"/>
      <x:c r="FA127" s="4"/>
      <x:c r="FB127" s="4"/>
      <x:c r="FC127" s="4"/>
      <x:c r="FD127" s="4"/>
      <x:c r="FE127" s="4"/>
      <x:c r="FF127" s="4"/>
      <x:c r="FG127" s="4"/>
      <x:c r="FH127" s="4"/>
      <x:c r="FI127" s="4"/>
      <x:c r="FJ127" s="4"/>
      <x:c r="FK127" s="4"/>
      <x:c r="FL127" s="4"/>
      <x:c r="FM127" s="4"/>
      <x:c r="FN127" s="4"/>
      <x:c r="FO127" s="4"/>
      <x:c r="GA127" s="71"/>
      <x:c r="GB127" s="71"/>
      <x:c r="GC127" s="71"/>
      <x:c r="GD127" s="71"/>
      <x:c r="GE127" s="71"/>
      <x:c r="GF127" s="71"/>
      <x:c r="GG127" s="71"/>
      <x:c r="GH127" s="71"/>
      <x:c r="GI127" s="71"/>
      <x:c r="GJ127" s="71"/>
      <x:c r="GK127" s="71"/>
      <x:c r="GL127" s="71"/>
      <x:c r="GM127" s="71"/>
      <x:c r="GN127" s="71"/>
      <x:c r="GO127" s="71"/>
      <x:c r="GP127" s="71"/>
      <x:c r="GQ127" s="71"/>
      <x:c r="GR127" s="71"/>
      <x:c r="GS127" s="71"/>
      <x:c r="GT127" s="71"/>
      <x:c r="GU127" s="71"/>
      <x:c r="GV127" s="71"/>
      <x:c r="GW127" s="71"/>
      <x:c r="GX127" s="71"/>
      <x:c r="GY127" s="71"/>
      <x:c r="GZ127" s="71"/>
      <x:c r="HA127" s="71"/>
      <x:c r="HB127" s="71"/>
      <x:c r="HC127" s="71"/>
      <x:c r="HD127" s="71"/>
      <x:c r="HE127" t="str">
        <x:f>IF('Calculations'!EM127="","",IF(IFERROR(IF(INDEX(INDIRECT("'WCM Calibration Final'!$A$1:$A$2000"),'Calculations'!$EM127)="","",TRIM(INDEX(INDIRECT("'WCM Calibration Final'!$A$1:$A$2000"),'Calculations'!$EM127)&amp;"")),"")&lt;&gt;"","G:"&amp;IFERROR(TEXT(1*INDEX(INDIRECT("'WCM Calibration Final'!$A$1:$A$2000"),'Calculations'!$EM127),"0"),UPPER(IFERROR(IF(INDEX(INDIRECT("'WCM Calibration Final'!$A$1:$A$2000"),'Calculations'!$EM127)="","",TRIM(INDEX(INDIRECT("'WCM Calibration Final'!$A$1:$A$2000"),'Calculations'!$EM127)&amp;"")),""))),IF(IFERROR(IF(INDEX(INDIRECT("'WCM Calibration Final'!$C$1:$C$2000"),'Calculations'!$EM127)="","",TRIM(INDEX(INDIRECT("'WCM Calibration Final'!$C$1:$C$2000"),'Calculations'!$EM127)&amp;"")),"")&lt;&gt;"","S:"&amp;UPPER(IFERROR(IF(INDEX(INDIRECT("'WCM Calibration Final'!$C$1:$C$2000"),'Calculations'!$EM127)="","",TRIM(INDEX(INDIRECT("'WCM Calibration Final'!$C$1:$C$2000"),'Calculations'!$EM127)&amp;"")),"")),"R:"&amp;'Calculations'!EM127)))</x:f>
      </x:c>
      <x:c r="HF127" t="str">
        <x:f>IF('Calculations'!EM127="","",IF(IFERROR(IF(INDEX(INDIRECT("'WCM Calibration Final'!$D$1:$D$2000"),'Calculations'!$EM127)="","",TRIM(INDEX(INDIRECT("'WCM Calibration Final'!$D$1:$D$2000"),'Calculations'!$EM127)&amp;"")),"")&lt;&gt;"","G:"&amp;IFERROR(TEXT(1*INDEX(INDIRECT("'WCM Calibration Final'!$D$1:$D$2000"),'Calculations'!$EM127),"0"),UPPER(IFERROR(IF(INDEX(INDIRECT("'WCM Calibration Final'!$D$1:$D$2000"),'Calculations'!$EM127)="","",TRIM(INDEX(INDIRECT("'WCM Calibration Final'!$D$1:$D$2000"),'Calculations'!$EM127)&amp;"")),""))),IF(IFERROR(IF(INDEX(INDIRECT("'WCM Calibration Final'!$E$1:$E$2000"),'Calculations'!$EM127)="","",TRIM(INDEX(INDIRECT("'WCM Calibration Final'!$E$1:$E$2000"),'Calculations'!$EM127)&amp;"")),"")="","",IF(COUNTIF('Calculations'!$HG$13:$HG$512,"="&amp;SUBSTITUTE(SUBSTITUTE(SUBSTITUTE(IFERROR(IF(INDEX(INDIRECT("'WCM Calibration Final'!$E$1:$E$2000"),'Calculations'!$EM127)="","",TRIM(INDEX(INDIRECT("'WCM Calibration Final'!$E$1:$E$2000"),'Calculations'!$EM127)&amp;"")),""),"~","~~"),"*","~*"),"?","~?"))=1,INDEX('Calculations'!$HE$13:$HE$512,MATCH(IFERROR(IF(INDEX(INDIRECT("'WCM Calibration Final'!$E$1:$E$2000"),'Calculations'!$EM127)="","",TRIM(INDEX(INDIRECT("'WCM Calibration Final'!$E$1:$E$2000"),'Calculations'!$EM127)&amp;"")),""),'Calculations'!$HG$13:$HG$512,0)),IF(COUNTIF('Calculations'!$HG$13:$HG$512,"="&amp;SUBSTITUTE(SUBSTITUTE(SUBSTITUTE(IFERROR(IF(INDEX(INDIRECT("'WCM Calibration Final'!$E$1:$E$2000"),'Calculations'!$EM127)="","",TRIM(INDEX(INDIRECT("'WCM Calibration Final'!$E$1:$E$2000"),'Calculations'!$EM127)&amp;"")),""),"~","~~"),"*","~*"),"?","~?"))&gt;1,"!AMBIG","X:"&amp;IFERROR(IF(INDEX(INDIRECT("'WCM Calibration Final'!$E$1:$E$2000"),'Calculations'!$EM127)="","",TRIM(INDEX(INDIRECT("'WCM Calibration Final'!$E$1:$E$2000"),'Calculations'!$EM127)&amp;"")),""))))))</x:f>
      </x:c>
      <x:c r="HG127" t="str">
        <x:f>IF('Calculations'!EM127="","",IFERROR(IF(INDEX(INDIRECT("'WCM Calibration Final'!$B$1:$B$2000"),'Calculations'!$EM127)="","",TRIM(INDEX(INDIRECT("'WCM Calibration Final'!$B$1:$B$2000"),'Calculations'!$EM127)&amp;"")),""))</x:f>
      </x:c>
      <x:c r="HH127" t="n">
        <x:f>IF(AND('Calculations'!JC127&gt;0,COUNTIF('Calculations'!$HF$12:HF127,"="&amp;SUBSTITUTE(SUBSTITUTE(SUBSTITUTE('Calculations'!HF127,"~","~~"),"*","~*"),"?","~?"))=1),MAX('Calculations'!$HH$12:HH126)+1,0)</x:f>
        <x:v>0</x:v>
      </x:c>
      <x:c r="HI127" t="n">
        <x:f>IF(AND('Calculations'!HN127&lt;&gt;"",COUNTIF('Calculations'!$HN$12:HN127,"="&amp;SUBSTITUTE(SUBSTITUTE(SUBSTITUTE('Calculations'!HN127,"~","~~"),"*","~*"),"?","~?"))=1),MAX('Calculations'!$HI$12:HI126)+1,0)</x:f>
        <x:v>0</x:v>
      </x:c>
      <x:c r="HJ127" t="str">
        <x:f>IF('Calculations'!HF127="","",IF(COUNTIF('Calculations'!$HE$13:$HE$512,"="&amp;SUBSTITUTE(SUBSTITUTE(SUBSTITUTE('Calculations'!HF127,"~","~~"),"*","~*"),"?","~?"))=1,INDEX('Calculations'!$HK$13:$HK$512,MATCH('Calculations'!HF127,'Calculations'!$HE$13:$HE$512,0)),IFERROR(IF(INDEX(INDIRECT("'WCM Calibration Final'!$E$1:$E$2000"),'Calculations'!$EM127)="","",TRIM(INDEX(INDIRECT("'WCM Calibration Final'!$E$1:$E$2000"),'Calculations'!$EM127)&amp;"")),"")&amp;" ["&amp;'Calculations'!HF127&amp;"]"))</x:f>
      </x:c>
      <x:c r="HK127" t="str">
        <x:f>IF('Calculations'!EM127="","",'Calculations'!HG127&amp;" ["&amp;'Calculations'!HE127&amp;"]")</x:f>
      </x:c>
      <x:c r="HL127" t="n">
        <x:f>IF('Calculations'!EM127="",0,IF(OR('Calculations'!II127&lt;&gt;"",COUNTIF('Calculations'!$HE$13:$HE$512,"="&amp;SUBSTITUTE(SUBSTITUTE(SUBSTITUTE('Calculations'!HE127,"~","~~"),"*","~*"),"?","~?"))&gt;1),1,0))</x:f>
        <x:v>0</x:v>
      </x:c>
      <x:c r="HM127" t="str">
        <x:f>IF('Calculations'!EM127="","",IF('Calculations'!HL127=1,"!UNRESOLVED",IF('Calculations'!IH127&lt;&gt;"",'Calculations'!IH127,IF('Calculations'!IG127&lt;&gt;"",'Calculations'!IG127,IF('Calculations'!IF127&lt;&gt;"",'Calculations'!IF127,IF('Calculations'!IE127&lt;&gt;"",'Calculations'!IE127,IF('Calculations'!ID127&lt;&gt;"",'Calculations'!ID127,IF('Calculations'!IC127&lt;&gt;"",'Calculations'!IC127,IF('Calculations'!IB127&lt;&gt;"",'Calculations'!IB127,IF('Calculations'!IA127&lt;&gt;"",'Calculations'!IA127,IF('Calculations'!HZ127&lt;&gt;"",'Calculations'!HZ127,IF('Calculations'!HY127&lt;&gt;"",'Calculations'!HY127,IF('Calculations'!HX127&lt;&gt;"",'Calculations'!HX127,IF('Calculations'!HW127&lt;&gt;"",'Calculations'!HW127,IF('Calculations'!HV127&lt;&gt;"",'Calculations'!HV127,IF('Calculations'!HU127&lt;&gt;"",'Calculations'!HU127,IF('Calculations'!HT127&lt;&gt;"",'Calculations'!HT127,IF('Calculations'!HS127&lt;&gt;"",'Calculations'!HS127,IF('Calculations'!HR127&lt;&gt;"",'Calculations'!HR127,IF('Calculations'!HQ127&lt;&gt;"",'Calculations'!HQ127,IF('Calculations'!HP127&lt;&gt;"",'Calculations'!HP127,IF('Calculations'!HO127&lt;&gt;"",'Calculations'!HO127,'Calculations'!HE127))))))))))))))))))))))</x:f>
      </x:c>
      <x:c r="HN127" t="str">
        <x:f>IF('Calculations'!EM127="","",IF(IFERROR(IF(INDEX(INDIRECT("'WCM Calibration Final'!$F$1:$F$2000"),'Calculations'!$EM127)="","",TRIM(INDEX(INDIRECT("'WCM Calibration Final'!$F$1:$F$2000"),'Calculations'!$EM127)&amp;"")),"")="","(Blank)",IFERROR(IF(INDEX(INDIRECT("'WCM Calibration Final'!$F$1:$F$2000"),'Calculations'!$EM127)="","",TRIM(INDEX(INDIRECT("'WCM Calibration Final'!$F$1:$F$2000"),'Calculations'!$EM127)&amp;"")),"")))</x:f>
      </x:c>
      <x:c r="HO127" t="str">
        <x:f>'Calculations'!HF127</x:f>
      </x:c>
      <x:c r="HP127" t="str">
        <x:f>IF('Calculations'!HO127="","",IF('Calculations'!HO127="!AMBIG","!AMBIG",IF(COUNTIF('Calculations'!$HE$13:$HE$512,"="&amp;SUBSTITUTE(SUBSTITUTE(SUBSTITUTE('Calculations'!HO127,"~","~~"),"*","~*"),"?","~?"))&gt;1,"!AMBIG",IFERROR(INDEX('Calculations'!$HF$13:$HF$512,MATCH('Calculations'!HO127,'Calculations'!$HE$13:$HE$512,0)),""))))</x:f>
      </x:c>
      <x:c r="HQ127" t="str">
        <x:f>IF('Calculations'!HP127="","",IF('Calculations'!HP127="!AMBIG","!AMBIG",IF(COUNTIF('Calculations'!$HE$13:$HE$512,"="&amp;SUBSTITUTE(SUBSTITUTE(SUBSTITUTE('Calculations'!HP127,"~","~~"),"*","~*"),"?","~?"))&gt;1,"!AMBIG",IFERROR(INDEX('Calculations'!$HF$13:$HF$512,MATCH('Calculations'!HP127,'Calculations'!$HE$13:$HE$512,0)),""))))</x:f>
      </x:c>
      <x:c r="HR127" t="str">
        <x:f>IF('Calculations'!HQ127="","",IF('Calculations'!HQ127="!AMBIG","!AMBIG",IF(COUNTIF('Calculations'!$HE$13:$HE$512,"="&amp;SUBSTITUTE(SUBSTITUTE(SUBSTITUTE('Calculations'!HQ127,"~","~~"),"*","~*"),"?","~?"))&gt;1,"!AMBIG",IFERROR(INDEX('Calculations'!$HF$13:$HF$512,MATCH('Calculations'!HQ127,'Calculations'!$HE$13:$HE$512,0)),""))))</x:f>
      </x:c>
      <x:c r="HS127" t="str">
        <x:f>IF('Calculations'!HR127="","",IF('Calculations'!HR127="!AMBIG","!AMBIG",IF(COUNTIF('Calculations'!$HE$13:$HE$512,"="&amp;SUBSTITUTE(SUBSTITUTE(SUBSTITUTE('Calculations'!HR127,"~","~~"),"*","~*"),"?","~?"))&gt;1,"!AMBIG",IFERROR(INDEX('Calculations'!$HF$13:$HF$512,MATCH('Calculations'!HR127,'Calculations'!$HE$13:$HE$512,0)),""))))</x:f>
      </x:c>
      <x:c r="HT127" t="str">
        <x:f>IF('Calculations'!HS127="","",IF('Calculations'!HS127="!AMBIG","!AMBIG",IF(COUNTIF('Calculations'!$HE$13:$HE$512,"="&amp;SUBSTITUTE(SUBSTITUTE(SUBSTITUTE('Calculations'!HS127,"~","~~"),"*","~*"),"?","~?"))&gt;1,"!AMBIG",IFERROR(INDEX('Calculations'!$HF$13:$HF$512,MATCH('Calculations'!HS127,'Calculations'!$HE$13:$HE$512,0)),""))))</x:f>
      </x:c>
      <x:c r="HU127" t="str">
        <x:f>IF('Calculations'!HT127="","",IF('Calculations'!HT127="!AMBIG","!AMBIG",IF(COUNTIF('Calculations'!$HE$13:$HE$512,"="&amp;SUBSTITUTE(SUBSTITUTE(SUBSTITUTE('Calculations'!HT127,"~","~~"),"*","~*"),"?","~?"))&gt;1,"!AMBIG",IFERROR(INDEX('Calculations'!$HF$13:$HF$512,MATCH('Calculations'!HT127,'Calculations'!$HE$13:$HE$512,0)),""))))</x:f>
      </x:c>
      <x:c r="HV127" t="str">
        <x:f>IF('Calculations'!HU127="","",IF('Calculations'!HU127="!AMBIG","!AMBIG",IF(COUNTIF('Calculations'!$HE$13:$HE$512,"="&amp;SUBSTITUTE(SUBSTITUTE(SUBSTITUTE('Calculations'!HU127,"~","~~"),"*","~*"),"?","~?"))&gt;1,"!AMBIG",IFERROR(INDEX('Calculations'!$HF$13:$HF$512,MATCH('Calculations'!HU127,'Calculations'!$HE$13:$HE$512,0)),""))))</x:f>
      </x:c>
      <x:c r="HW127" t="str">
        <x:f>IF('Calculations'!HV127="","",IF('Calculations'!HV127="!AMBIG","!AMBIG",IF(COUNTIF('Calculations'!$HE$13:$HE$512,"="&amp;SUBSTITUTE(SUBSTITUTE(SUBSTITUTE('Calculations'!HV127,"~","~~"),"*","~*"),"?","~?"))&gt;1,"!AMBIG",IFERROR(INDEX('Calculations'!$HF$13:$HF$512,MATCH('Calculations'!HV127,'Calculations'!$HE$13:$HE$512,0)),""))))</x:f>
      </x:c>
      <x:c r="HX127" t="str">
        <x:f>IF('Calculations'!HW127="","",IF('Calculations'!HW127="!AMBIG","!AMBIG",IF(COUNTIF('Calculations'!$HE$13:$HE$512,"="&amp;SUBSTITUTE(SUBSTITUTE(SUBSTITUTE('Calculations'!HW127,"~","~~"),"*","~*"),"?","~?"))&gt;1,"!AMBIG",IFERROR(INDEX('Calculations'!$HF$13:$HF$512,MATCH('Calculations'!HW127,'Calculations'!$HE$13:$HE$512,0)),""))))</x:f>
      </x:c>
      <x:c r="HY127" t="str">
        <x:f>IF('Calculations'!HX127="","",IF('Calculations'!HX127="!AMBIG","!AMBIG",IF(COUNTIF('Calculations'!$HE$13:$HE$512,"="&amp;SUBSTITUTE(SUBSTITUTE(SUBSTITUTE('Calculations'!HX127,"~","~~"),"*","~*"),"?","~?"))&gt;1,"!AMBIG",IFERROR(INDEX('Calculations'!$HF$13:$HF$512,MATCH('Calculations'!HX127,'Calculations'!$HE$13:$HE$512,0)),""))))</x:f>
      </x:c>
      <x:c r="HZ127" t="str">
        <x:f>IF('Calculations'!HY127="","",IF('Calculations'!HY127="!AMBIG","!AMBIG",IF(COUNTIF('Calculations'!$HE$13:$HE$512,"="&amp;SUBSTITUTE(SUBSTITUTE(SUBSTITUTE('Calculations'!HY127,"~","~~"),"*","~*"),"?","~?"))&gt;1,"!AMBIG",IFERROR(INDEX('Calculations'!$HF$13:$HF$512,MATCH('Calculations'!HY127,'Calculations'!$HE$13:$HE$512,0)),""))))</x:f>
      </x:c>
      <x:c r="IA127" t="str">
        <x:f>IF('Calculations'!HZ127="","",IF('Calculations'!HZ127="!AMBIG","!AMBIG",IF(COUNTIF('Calculations'!$HE$13:$HE$512,"="&amp;SUBSTITUTE(SUBSTITUTE(SUBSTITUTE('Calculations'!HZ127,"~","~~"),"*","~*"),"?","~?"))&gt;1,"!AMBIG",IFERROR(INDEX('Calculations'!$HF$13:$HF$512,MATCH('Calculations'!HZ127,'Calculations'!$HE$13:$HE$512,0)),""))))</x:f>
      </x:c>
      <x:c r="IB127" t="str">
        <x:f>IF('Calculations'!IA127="","",IF('Calculations'!IA127="!AMBIG","!AMBIG",IF(COUNTIF('Calculations'!$HE$13:$HE$512,"="&amp;SUBSTITUTE(SUBSTITUTE(SUBSTITUTE('Calculations'!IA127,"~","~~"),"*","~*"),"?","~?"))&gt;1,"!AMBIG",IFERROR(INDEX('Calculations'!$HF$13:$HF$512,MATCH('Calculations'!IA127,'Calculations'!$HE$13:$HE$512,0)),""))))</x:f>
      </x:c>
      <x:c r="IC127" t="str">
        <x:f>IF('Calculations'!IB127="","",IF('Calculations'!IB127="!AMBIG","!AMBIG",IF(COUNTIF('Calculations'!$HE$13:$HE$512,"="&amp;SUBSTITUTE(SUBSTITUTE(SUBSTITUTE('Calculations'!IB127,"~","~~"),"*","~*"),"?","~?"))&gt;1,"!AMBIG",IFERROR(INDEX('Calculations'!$HF$13:$HF$512,MATCH('Calculations'!IB127,'Calculations'!$HE$13:$HE$512,0)),""))))</x:f>
      </x:c>
      <x:c r="ID127" t="str">
        <x:f>IF('Calculations'!IC127="","",IF('Calculations'!IC127="!AMBIG","!AMBIG",IF(COUNTIF('Calculations'!$HE$13:$HE$512,"="&amp;SUBSTITUTE(SUBSTITUTE(SUBSTITUTE('Calculations'!IC127,"~","~~"),"*","~*"),"?","~?"))&gt;1,"!AMBIG",IFERROR(INDEX('Calculations'!$HF$13:$HF$512,MATCH('Calculations'!IC127,'Calculations'!$HE$13:$HE$512,0)),""))))</x:f>
      </x:c>
      <x:c r="IE127" t="str">
        <x:f>IF('Calculations'!ID127="","",IF('Calculations'!ID127="!AMBIG","!AMBIG",IF(COUNTIF('Calculations'!$HE$13:$HE$512,"="&amp;SUBSTITUTE(SUBSTITUTE(SUBSTITUTE('Calculations'!ID127,"~","~~"),"*","~*"),"?","~?"))&gt;1,"!AMBIG",IFERROR(INDEX('Calculations'!$HF$13:$HF$512,MATCH('Calculations'!ID127,'Calculations'!$HE$13:$HE$512,0)),""))))</x:f>
      </x:c>
      <x:c r="IF127" t="str">
        <x:f>IF('Calculations'!IE127="","",IF('Calculations'!IE127="!AMBIG","!AMBIG",IF(COUNTIF('Calculations'!$HE$13:$HE$512,"="&amp;SUBSTITUTE(SUBSTITUTE(SUBSTITUTE('Calculations'!IE127,"~","~~"),"*","~*"),"?","~?"))&gt;1,"!AMBIG",IFERROR(INDEX('Calculations'!$HF$13:$HF$512,MATCH('Calculations'!IE127,'Calculations'!$HE$13:$HE$512,0)),""))))</x:f>
      </x:c>
      <x:c r="IG127" t="str">
        <x:f>IF('Calculations'!IF127="","",IF('Calculations'!IF127="!AMBIG","!AMBIG",IF(COUNTIF('Calculations'!$HE$13:$HE$512,"="&amp;SUBSTITUTE(SUBSTITUTE(SUBSTITUTE('Calculations'!IF127,"~","~~"),"*","~*"),"?","~?"))&gt;1,"!AMBIG",IFERROR(INDEX('Calculations'!$HF$13:$HF$512,MATCH('Calculations'!IF127,'Calculations'!$HE$13:$HE$512,0)),""))))</x:f>
      </x:c>
      <x:c r="IH127" t="str">
        <x:f>IF('Calculations'!IG127="","",IF('Calculations'!IG127="!AMBIG","!AMBIG",IF(COUNTIF('Calculations'!$HE$13:$HE$512,"="&amp;SUBSTITUTE(SUBSTITUTE(SUBSTITUTE('Calculations'!IG127,"~","~~"),"*","~*"),"?","~?"))&gt;1,"!AMBIG",IFERROR(INDEX('Calculations'!$HF$13:$HF$512,MATCH('Calculations'!IG127,'Calculations'!$HE$13:$HE$512,0)),""))))</x:f>
      </x:c>
      <x:c r="II127" t="str">
        <x:f>IF('Calculations'!IH127="","",IF('Calculations'!IH127="!AMBIG","!AMBIG",IF(COUNTIF('Calculations'!$HE$13:$HE$512,"="&amp;SUBSTITUTE(SUBSTITUTE(SUBSTITUTE('Calculations'!IH127,"~","~~"),"*","~*"),"?","~?"))&gt;1,"!AMBIG",IFERROR(INDEX('Calculations'!$HF$13:$HF$512,MATCH('Calculations'!IH127,'Calculations'!$HE$13:$HE$512,0)),""))))</x:f>
      </x:c>
      <x:c r="IJ127" t="str">
        <x:f>IF('Calculations'!EM127="","",IF('Calculations'!$EF$2="All",'Calculations'!HM127,IF('Calculations'!HL127=1,"",IFERROR(IF(MATCH('Calculations'!$EF$2,'Calculations'!HO127:II127,0)=1,'Calculations'!HE127,INDEX('Calculations'!HO127:II127,1,MATCH('Calculations'!$EF$2,'Calculations'!HO127:II127,0)-1)),""))))</x:f>
      </x:c>
      <x:c r="IK127" t="n">
        <x:f>IF(AND('Calculations'!EM127&lt;&gt;"",'Calculations'!$EF$2&lt;&gt;"All",'Calculations'!HF127='Calculations'!$EF$2,'Calculations'!HL127=0,'Calculations'!JD127&gt;0),MAX('Calculations'!$IK$12:IK126)+1,0)</x:f>
        <x:v>0</x:v>
      </x:c>
      <x:c r="JA127" t="n">
        <x:f>IF(OR(IFERROR(INDIRECT("'WCM Calibration Final'!$A$127")&lt;&gt;"",FALSE),IFERROR(INDIRECT("'WCM Calibration Final'!$B$127")&lt;&gt;"",FALSE),IFERROR(INDIRECT("'WCM Calibration Final'!$C$127")&lt;&gt;"",FALSE)),127,0)</x:f>
        <x:v>0</x:v>
      </x:c>
      <x:c r="JB127" t="n">
        <x:f>'Calculations'!JB126+IF('Calculations'!JA127&gt;0,1,0)</x:f>
        <x:v>0</x:v>
      </x:c>
      <x:c r="JC127" t="n">
        <x:f>IF(OR('Calculations'!HF127="",'Calculations'!HF127="!AMBIG"),0,IF('Dashboard'!$B$7="All",1,COUNTIFS('Calculations'!$HO$13:$HO$512,"="&amp;SUBSTITUTE(SUBSTITUTE(SUBSTITUTE('Calculations'!HF127,"~","~~"),"*","~*"),"?","~?"),'Calculations'!$HN$13:$HN$512,"="&amp;SUBSTITUTE(SUBSTITUTE(SUBSTITUTE('Dashboard'!$B$7,"~","~~"),"*","~*"),"?","~?"))+COUNTIFS('Calculations'!$HP$13:$HP$512,"="&amp;SUBSTITUTE(SUBSTITUTE(SUBSTITUTE('Calculations'!HF127,"~","~~"),"*","~*"),"?","~?"),'Calculations'!$HN$13:$HN$512,"="&amp;SUBSTITUTE(SUBSTITUTE(SUBSTITUTE('Dashboard'!$B$7,"~","~~"),"*","~*"),"?","~?"))+COUNTIFS('Calculations'!$HQ$13:$HQ$512,"="&amp;SUBSTITUTE(SUBSTITUTE(SUBSTITUTE('Calculations'!HF127,"~","~~"),"*","~*"),"?","~?"),'Calculations'!$HN$13:$HN$512,"="&amp;SUBSTITUTE(SUBSTITUTE(SUBSTITUTE('Dashboard'!$B$7,"~","~~"),"*","~*"),"?","~?"))+COUNTIFS('Calculations'!$HR$13:$HR$512,"="&amp;SUBSTITUTE(SUBSTITUTE(SUBSTITUTE('Calculations'!HF127,"~","~~"),"*","~*"),"?","~?"),'Calculations'!$HN$13:$HN$512,"="&amp;SUBSTITUTE(SUBSTITUTE(SUBSTITUTE('Dashboard'!$B$7,"~","~~"),"*","~*"),"?","~?"))+COUNTIFS('Calculations'!$HS$13:$HS$512,"="&amp;SUBSTITUTE(SUBSTITUTE(SUBSTITUTE('Calculations'!HF127,"~","~~"),"*","~*"),"?","~?"),'Calculations'!$HN$13:$HN$512,"="&amp;SUBSTITUTE(SUBSTITUTE(SUBSTITUTE('Dashboard'!$B$7,"~","~~"),"*","~*"),"?","~?"))+COUNTIFS('Calculations'!$HT$13:$HT$512,"="&amp;SUBSTITUTE(SUBSTITUTE(SUBSTITUTE('Calculations'!HF127,"~","~~"),"*","~*"),"?","~?"),'Calculations'!$HN$13:$HN$512,"="&amp;SUBSTITUTE(SUBSTITUTE(SUBSTITUTE('Dashboard'!$B$7,"~","~~"),"*","~*"),"?","~?"))+COUNTIFS('Calculations'!$HU$13:$HU$512,"="&amp;SUBSTITUTE(SUBSTITUTE(SUBSTITUTE('Calculations'!HF127,"~","~~"),"*","~*"),"?","~?"),'Calculations'!$HN$13:$HN$512,"="&amp;SUBSTITUTE(SUBSTITUTE(SUBSTITUTE('Dashboard'!$B$7,"~","~~"),"*","~*"),"?","~?"))+COUNTIFS('Calculations'!$HV$13:$HV$512,"="&amp;SUBSTITUTE(SUBSTITUTE(SUBSTITUTE('Calculations'!HF127,"~","~~"),"*","~*"),"?","~?"),'Calculations'!$HN$13:$HN$512,"="&amp;SUBSTITUTE(SUBSTITUTE(SUBSTITUTE('Dashboard'!$B$7,"~","~~"),"*","~*"),"?","~?"))+COUNTIFS('Calculations'!$HW$13:$HW$512,"="&amp;SUBSTITUTE(SUBSTITUTE(SUBSTITUTE('Calculations'!HF127,"~","~~"),"*","~*"),"?","~?"),'Calculations'!$HN$13:$HN$512,"="&amp;SUBSTITUTE(SUBSTITUTE(SUBSTITUTE('Dashboard'!$B$7,"~","~~"),"*","~*"),"?","~?"))+COUNTIFS('Calculations'!$HX$13:$HX$512,"="&amp;SUBSTITUTE(SUBSTITUTE(SUBSTITUTE('Calculations'!HF127,"~","~~"),"*","~*"),"?","~?"),'Calculations'!$HN$13:$HN$512,"="&amp;SUBSTITUTE(SUBSTITUTE(SUBSTITUTE('Dashboard'!$B$7,"~","~~"),"*","~*"),"?","~?"))+COUNTIFS('Calculations'!$HY$13:$HY$512,"="&amp;SUBSTITUTE(SUBSTITUTE(SUBSTITUTE('Calculations'!HF127,"~","~~"),"*","~*"),"?","~?"),'Calculations'!$HN$13:$HN$512,"="&amp;SUBSTITUTE(SUBSTITUTE(SUBSTITUTE('Dashboard'!$B$7,"~","~~"),"*","~*"),"?","~?"))+COUNTIFS('Calculations'!$HZ$13:$HZ$512,"="&amp;SUBSTITUTE(SUBSTITUTE(SUBSTITUTE('Calculations'!HF127,"~","~~"),"*","~*"),"?","~?"),'Calculations'!$HN$13:$HN$512,"="&amp;SUBSTITUTE(SUBSTITUTE(SUBSTITUTE('Dashboard'!$B$7,"~","~~"),"*","~*"),"?","~?"))+COUNTIFS('Calculations'!$IA$13:$IA$512,"="&amp;SUBSTITUTE(SUBSTITUTE(SUBSTITUTE('Calculations'!HF127,"~","~~"),"*","~*"),"?","~?"),'Calculations'!$HN$13:$HN$512,"="&amp;SUBSTITUTE(SUBSTITUTE(SUBSTITUTE('Dashboard'!$B$7,"~","~~"),"*","~*"),"?","~?"))+COUNTIFS('Calculations'!$IB$13:$IB$512,"="&amp;SUBSTITUTE(SUBSTITUTE(SUBSTITUTE('Calculations'!HF127,"~","~~"),"*","~*"),"?","~?"),'Calculations'!$HN$13:$HN$512,"="&amp;SUBSTITUTE(SUBSTITUTE(SUBSTITUTE('Dashboard'!$B$7,"~","~~"),"*","~*"),"?","~?"))+COUNTIFS('Calculations'!$IC$13:$IC$512,"="&amp;SUBSTITUTE(SUBSTITUTE(SUBSTITUTE('Calculations'!HF127,"~","~~"),"*","~*"),"?","~?"),'Calculations'!$HN$13:$HN$512,"="&amp;SUBSTITUTE(SUBSTITUTE(SUBSTITUTE('Dashboard'!$B$7,"~","~~"),"*","~*"),"?","~?"))+COUNTIFS('Calculations'!$ID$13:$ID$512,"="&amp;SUBSTITUTE(SUBSTITUTE(SUBSTITUTE('Calculations'!HF127,"~","~~"),"*","~*"),"?","~?"),'Calculations'!$HN$13:$HN$512,"="&amp;SUBSTITUTE(SUBSTITUTE(SUBSTITUTE('Dashboard'!$B$7,"~","~~"),"*","~*"),"?","~?"))+COUNTIFS('Calculations'!$IE$13:$IE$512,"="&amp;SUBSTITUTE(SUBSTITUTE(SUBSTITUTE('Calculations'!HF127,"~","~~"),"*","~*"),"?","~?"),'Calculations'!$HN$13:$HN$512,"="&amp;SUBSTITUTE(SUBSTITUTE(SUBSTITUTE('Dashboard'!$B$7,"~","~~"),"*","~*"),"?","~?"))+COUNTIFS('Calculations'!$IF$13:$IF$512,"="&amp;SUBSTITUTE(SUBSTITUTE(SUBSTITUTE('Calculations'!HF127,"~","~~"),"*","~*"),"?","~?"),'Calculations'!$HN$13:$HN$512,"="&amp;SUBSTITUTE(SUBSTITUTE(SUBSTITUTE('Dashboard'!$B$7,"~","~~"),"*","~*"),"?","~?"))+COUNTIFS('Calculations'!$IG$13:$IG$512,"="&amp;SUBSTITUTE(SUBSTITUTE(SUBSTITUTE('Calculations'!HF127,"~","~~"),"*","~*"),"?","~?"),'Calculations'!$HN$13:$HN$512,"="&amp;SUBSTITUTE(SUBSTITUTE(SUBSTITUTE('Dashboard'!$B$7,"~","~~"),"*","~*"),"?","~?"))+COUNTIFS('Calculations'!$IH$13:$IH$512,"="&amp;SUBSTITUTE(SUBSTITUTE(SUBSTITUTE('Calculations'!HF127,"~","~~"),"*","~*"),"?","~?"),'Calculations'!$HN$13:$HN$512,"="&amp;SUBSTITUTE(SUBSTITUTE(SUBSTITUTE('Dashboard'!$B$7,"~","~~"),"*","~*"),"?","~?"))))</x:f>
        <x:v>0</x:v>
      </x:c>
      <x:c r="JD127" t="n">
        <x:f>IF('Calculations'!EM127="",0,IF('Dashboard'!$B$7="All",1,IF('Calculations'!HN127='Dashboard'!$B$7,1,0)+IFERROR(INDEX('Calculations'!$JC$13:$JC$512,MATCH('Calculations'!HE127,'Calculations'!$HF$13:$HF$512,0)),0)))</x:f>
        <x:v>0</x:v>
      </x:c>
      <x:c r="JE127" t="n">
        <x:f>IF(AND('Calculations'!EM127&lt;&gt;"",'Calculations'!$JJ$2&lt;&gt;"All",'Calculations'!$JJ$2&lt;&gt;"",'Calculations'!HF127='Calculations'!$JJ$2,'Calculations'!HL127=0,'Calculations'!JD127&gt;0),MAX('Calculations'!$JE$12:JE126)+1,0)</x:f>
        <x:v>0</x:v>
      </x:c>
      <x:c r="JF127" t="str">
        <x:f>IF('Calculations'!EM127="","",IFERROR(IF(INDEX(INDIRECT("'WCM Calibration Final'!$G$1:$G$2000"),'Calculations'!$EM127)="","",TRIM(INDEX(INDIRECT("'WCM Calibration Final'!$G$1:$G$2000"),'Calculations'!$EM127)&amp;"")),""))</x:f>
      </x:c>
      <x:c r="JQ127" t="n">
        <x:f>IF(OR('Calculations'!BM127=0,NOT('Calculations'!$AG$2),'Calculations'!$AG$8&gt;0),0,IF(OR('Dashboard'!$B$7="All",'Calculations'!HN127='Dashboard'!$B$7),IF('Calculations'!$JJ$2="All",1,IF(AND('Calculations'!HF127='Calculations'!$JJ$2,'Calculations'!HL127=0),1,0)),0))</x:f>
        <x:v>0</x:v>
      </x:c>
    </x:row>
    <x:row r="128">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t="n">
        <x:f>IF('Calculations'!$EM128="",0,IF(OR(IFERROR(INDEX(INDIRECT("'WCM Calibration Final'!$A$1:$A$2000"),'Calculations'!$EM128)&lt;&gt;"",FALSE),IFERROR(INDEX(INDIRECT("'WCM Calibration Final'!$B$1:$B$2000"),'Calculations'!$EM128)&lt;&gt;"",FALSE),IFERROR(INDEX(INDIRECT("'WCM Calibration Final'!$C$1:$C$2000"),'Calculations'!$EM128)&lt;&gt;"",FALSE)),1,0))</x:f>
        <x:v>0</x:v>
      </x:c>
      <x:c r="BN128" s="4" t="n">
        <x:f>IF(AND('Calculations'!BM128=1,'Calculations'!$AG$2,'Calculations'!$EN128=1),1,0)</x:f>
        <x:v>0</x:v>
      </x:c>
      <x:c r="BO128" s="4" t="str">
        <x:f>IF('Calculations'!BM128=0,"",IFERROR(IF(AND(VALUE(INDEX(INDIRECT("'WCM Calibration Final'!$K$1:$K$2000"),'Calculations'!$EM128))&gt;=1,VALUE(INDEX(INDIRECT("'WCM Calibration Final'!$K$1:$K$2000"),'Calculations'!$EM128))&lt;=4,MOD(VALUE(INDEX(INDIRECT("'WCM Calibration Final'!$K$1:$K$2000"),'Calculations'!$EM128)),1)=0),VALUE(INDEX(INDIRECT("'WCM Calibration Final'!$K$1:$K$2000"),'Calculations'!$EM128)),""),""))</x:f>
      </x:c>
      <x:c r="BP128" s="4" t="str">
        <x:f>IF('Calculations'!BM128=0,"",IFERROR(IF(AND(VALUE(INDEX(INDIRECT("'WCM Calibration Final'!$L$1:$L$2000"),'Calculations'!$EM128))&gt;=1,VALUE(INDEX(INDIRECT("'WCM Calibration Final'!$L$1:$L$2000"),'Calculations'!$EM128))&lt;=4,MOD(VALUE(INDEX(INDIRECT("'WCM Calibration Final'!$L$1:$L$2000"),'Calculations'!$EM128)),1)=0),VALUE(INDEX(INDIRECT("'WCM Calibration Final'!$L$1:$L$2000"),'Calculations'!$EM128)),""),""))</x:f>
      </x:c>
      <x:c r="BQ128" s="4"/>
      <x:c r="BR128" s="4"/>
      <x:c r="BS128" s="4"/>
      <x:c r="BT128" s="4" t="n">
        <x:f>IF(AND('Calculations'!BM128=1,ISNUMBER('Calculations'!BO128),ISNUMBER('Calculations'!BP128)),1,0)</x:f>
        <x:v>0</x:v>
      </x:c>
      <x:c r="BU128" s="4" t="str">
        <x:f>IF('Calculations'!BM128=0,"",'Calculations'!$EO128)</x:f>
      </x:c>
      <x:c r="BV128" s="4" t="str">
        <x:f>IF('Calculations'!BM128=0,"",IFERROR(IF(OR(INDEX(INDIRECT("'WCM Calibration Final'!$H$1:$H$2000"),'Calculations'!$EM128)="MANAGING DIRECTOR",INDEX(INDIRECT("'WCM Calibration Final'!$H$1:$H$2000"),'Calculations'!$EM128)="DIRECTOR",INDEX(INDIRECT("'WCM Calibration Final'!$H$1:$H$2000"),'Calculations'!$EM128)="SENIOR VICE PRESIDENT",INDEX(INDIRECT("'WCM Calibration Final'!$H$1:$H$2000"),'Calculations'!$EM128)="VICE PRESIDENT",INDEX(INDIRECT("'WCM Calibration Final'!$H$1:$H$2000"),'Calculations'!$EM128)="ASSISTANT VICE PRESIDENT",INDEX(INDIRECT("'WCM Calibration Final'!$H$1:$H$2000"),'Calculations'!$EM128)="OFFICER"),UPPER(INDEX(INDIRECT("'WCM Calibration Final'!$H$1:$H$2000"),'Calculations'!$EM128)),"Other"),"Other"))</x:f>
      </x:c>
      <x:c r="BW128" s="4"/>
      <x:c r="BX128" s="4"/>
      <x:c r="BY128" s="4" t="n">
        <x:f>IF(AND('Calculations'!BM128=1,'Calculations'!BU128&lt;&gt;"",COUNTIF('Calculations'!$BU$12:BU128,'Calculations'!BU128)=1),MAX('Calculations'!$BY$11:BY127)+1,0)</x:f>
        <x:v>0</x:v>
      </x:c>
      <x:c r="BZ128" s="4" t="str">
        <x:f>IF('Dashboard'!$E$67="What",'Calculations'!BO128,'Calculations'!BP128)</x:f>
      </x:c>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t="str">
        <x:f>IF(117&gt;MAX('Calculations'!$HI$13:$HI$512),"",INDEX('Calculations'!$HN$13:$HN$512,MATCH(117,'Calculations'!$HI$13:$HI$512,0)))</x:f>
      </x:c>
      <x:c r="DB128" s="4" t="str">
        <x:f>IF(117&gt;MAX('Calculations'!$HH$13:$HH$512),"",INDEX('Calculations'!$HJ$13:$HJ$512,MATCH(117,'Calculations'!$HH$13:$HH$512,0)))</x:f>
      </x:c>
      <x:c r="DC128" s="4" t="str">
        <x:f>IF(ROW()-11&gt;MAX('Calculations'!$BY$13:$BY$512),"",INDEX('Calculations'!$BU$13:$BU$512,MATCH(ROW()-11,'Calculations'!$BY$13:$BY$512,0)))</x:f>
      </x:c>
      <x:c r="DD128" s="4" t="str">
        <x:f>IF(117&gt;MAX('Calculations'!$IK$13:$IK$512),"",INDEX('Calculations'!$HK$13:$HK$512,MATCH(117,'Calculations'!$IK$13:$IK$512,0)))</x:f>
      </x:c>
      <x:c r="DE128" s="4" t="str">
        <x:f>'Calculations'!DC128</x:f>
      </x:c>
      <x:c r="DF128" s="4" t="str">
        <x:f>IF('Calculations'!DE128="","",COUNTIFS('Calculations'!$BN$13:$BN$512,1,'Calculations'!$BU$13:$BU$512,'Calculations'!DE128))</x:f>
      </x:c>
      <x:c r="DG128" s="4" t="str">
        <x:f>IF('Calculations'!DE128="","",COUNTIFS('Calculations'!$BN$13:$BN$512,1,'Calculations'!$BU$13:$BU$512,'Calculations'!DE128,'Calculations'!$BT$13:$BT$512,1))</x:f>
      </x:c>
      <x:c r="DH128" s="4" t="str">
        <x:f>IF('Calculations'!DE128="","",'Calculations'!DF128-'Calculations'!DG128)</x:f>
      </x:c>
      <x:c r="DI128" s="4" t="str">
        <x:f>IF(OR('Calculations'!DE128="",'Calculations'!DF128=0),"",'Calculations'!DG128/'Calculations'!DF128)</x:f>
      </x:c>
      <x:c r="DJ128" s="4" t="str">
        <x:f>IF('Calculations'!DE128="","",COUNTIFS('Calculations'!$BN$13:$BN$512,1,'Calculations'!$BU$13:$BU$512,'Calculations'!DE128,'Calculations'!$BT$13:$BT$512,1,'Calculations'!$EE$13:$EE$512,"High"))</x:f>
      </x:c>
      <x:c r="DK128" s="4" t="str">
        <x:f>IF('Calculations'!DE128="","",COUNTIFS('Calculations'!$BN$13:$BN$512,1,'Calculations'!$BU$13:$BU$512,'Calculations'!DE128,'Calculations'!$BT$13:$BT$512,1,'Calculations'!$EE$13:$EE$512,"Strong"))</x:f>
      </x:c>
      <x:c r="DL128" s="4" t="str">
        <x:f>IF('Calculations'!DE128="","",COUNTIFS('Calculations'!$BN$13:$BN$512,1,'Calculations'!$BU$13:$BU$512,'Calculations'!DE128,'Calculations'!$BT$13:$BT$512,1,'Calculations'!$EE$13:$EE$512,"Solid"))</x:f>
      </x:c>
      <x:c r="DM128" s="4" t="str">
        <x:f>IF('Calculations'!DE128="","",COUNTIFS('Calculations'!$BN$13:$BN$512,1,'Calculations'!$BU$13:$BU$512,'Calculations'!DE128,'Calculations'!$BT$13:$BT$512,1,'Calculations'!$EE$13:$EE$512,"Low"))</x:f>
      </x:c>
      <x:c r="DN128" s="4" t="str">
        <x:f>IF('Calculations'!DE128="","",COUNTIFS('Calculations'!$BN$13:$BN$512,1,'Calculations'!$BU$13:$BU$512,'Calculations'!DE128,'Calculations'!$EP$13:$EP$512,1))</x:f>
      </x:c>
      <x:c r="DO128" s="4" t="str">
        <x:f>IF(OR('Calculations'!DE128="",'Calculations'!DG128=0),"",('Calculations'!DJ128+'Calculations'!DK128)/'Calculations'!DG128)</x:f>
      </x:c>
      <x:c r="DP128" s="4" t="n">
        <x:f>IF(AND('Calculations'!DE128&lt;&gt;"",'Calculations'!DF128&gt;0),COUNTIF('Calculations'!$DF$12:DF128,"&gt;0"),0)</x:f>
        <x:v>0</x:v>
      </x:c>
      <x:c r="DQ128" s="4" t="str">
        <x:f>IF(117&gt;MAX('Calculations'!$HH$13:$HH$512),"",INDEX('Calculations'!$HF$13:$HF$512,MATCH(117,'Calculations'!$HH$13:$HH$512,0)))</x:f>
      </x:c>
      <x:c r="DR128" s="4" t="str">
        <x:f>IF(117&gt;MAX('Calculations'!$IK$13:$IK$512),"",INDEX('Calculations'!$HE$13:$HE$512,MATCH(117,'Calculations'!$IK$13:$IK$512,0)))</x:f>
      </x:c>
      <x:c r="DS128" s="4"/>
      <x:c r="DT128" s="4"/>
      <x:c r="DU128" s="4"/>
      <x:c r="DV128" s="4"/>
      <x:c r="DW128" s="4"/>
      <x:c r="DX128" s="4"/>
      <x:c r="DY128" s="4"/>
      <x:c r="DZ128" s="4"/>
      <x:c r="EA128" s="4"/>
      <x:c r="EB128" s="4"/>
      <x:c r="EC128" s="4"/>
      <x:c r="ED128" s="4"/>
      <x:c r="EE128" s="4" t="str">
        <x:f>IF('Calculations'!BT128=0,"Not Rated",IF(OR('Calculations'!BO128&gt;=4,'Calculations'!BP128&gt;=4),"Low",IF('Calculations'!BO128+'Calculations'!BP128&lt;=3,"High",IF('Calculations'!BO128+'Calculations'!BP128&lt;=4,"Strong","Solid"))))</x:f>
        <x:v>Not Rated</x:v>
      </x:c>
      <x:c r="EF128" s="4"/>
      <x:c r="EG128" s="4"/>
      <x:c r="EH128" s="4"/>
      <x:c r="EI128" s="4"/>
      <x:c r="EJ128" s="4"/>
      <x:c r="EK128" s="4"/>
      <x:c r="EL128" s="4"/>
      <x:c r="EM128" s="4" t="str">
        <x:f>IF(116&gt;'Calculations'!$JB$2000,"",INDEX('Calculations'!$JA$12:$JA$2000,MATCH(116,'Calculations'!$JB$12:$JB$2000,0)))</x:f>
      </x:c>
      <x:c r="EN128" s="4" t="n">
        <x:f>IF(OR('Calculations'!EM128="",'Calculations'!$AG$8&gt;0,AND('Calculations'!$EF$2&lt;&gt;"All",'Calculations'!HE128='Calculations'!$EF$2),AND('Calculations'!$EF$3&lt;&gt;"All",'Calculations'!HE128='Calculations'!$EF$3)),0,IF(OR('Dashboard'!$B$7="All",'Calculations'!HN128='Dashboard'!$B$7),IF('Calculations'!$EF$2="All",1,IF('Calculations'!HL128&gt;0,0,IF(COUNTIF('Calculations'!HO128:II128,"="&amp;SUBSTITUTE(SUBSTITUTE(SUBSTITUTE('Calculations'!$EF$2,"~","~~"),"*","~*"),"?","~?"))=0,0,IF('Calculations'!$EF$3="All",1,IF(COUNTIF('Calculations'!HO128:II128,"="&amp;SUBSTITUTE(SUBSTITUTE(SUBSTITUTE('Calculations'!$EF$3,"~","~~"),"*","~*"),"?","~?"))&gt;0,1,0))))),0))</x:f>
        <x:v>0</x:v>
      </x:c>
      <x:c r="EO128" s="4" t="str">
        <x:f>IF('Calculations'!IJ128="","",IF('Calculations'!IJ128="!UNRESOLVED","Unresolved hierarchy",IFERROR(INDEX('Calculations'!$HK$13:$HK$512,MATCH('Calculations'!IJ128,'Calculations'!$HE$13:$HE$512,0)),IFERROR(INDEX('Calculations'!$HJ$13:$HJ$512,MATCH('Calculations'!IJ128,'Calculations'!$HF$13:$HF$512,0)),'Calculations'!IJ128))))</x:f>
      </x:c>
      <x:c r="EP128" s="4" t="n">
        <x:f>IF(AND('Calculations'!EM128&lt;&gt;"",'Calculations'!HF128='Calculations'!IJ128),1,0)</x:f>
        <x:v>0</x:v>
      </x:c>
      <x:c r="EQ128" s="4"/>
      <x:c r="ER128" s="4"/>
      <x:c r="ES128" s="4"/>
      <x:c r="ET128" s="4"/>
      <x:c r="EU128" s="4"/>
      <x:c r="EV128" s="4"/>
      <x:c r="EW128" s="4"/>
      <x:c r="EX128" s="4"/>
      <x:c r="EY128" s="4"/>
      <x:c r="EZ128" s="4"/>
      <x:c r="FA128" s="4"/>
      <x:c r="FB128" s="4"/>
      <x:c r="FC128" s="4"/>
      <x:c r="FD128" s="4"/>
      <x:c r="FE128" s="4"/>
      <x:c r="FF128" s="4"/>
      <x:c r="FG128" s="4"/>
      <x:c r="FH128" s="4"/>
      <x:c r="FI128" s="4"/>
      <x:c r="FJ128" s="4"/>
      <x:c r="FK128" s="4"/>
      <x:c r="FL128" s="4"/>
      <x:c r="FM128" s="4"/>
      <x:c r="FN128" s="4"/>
      <x:c r="FO128" s="4"/>
      <x:c r="GA128" s="71"/>
      <x:c r="GB128" s="71"/>
      <x:c r="GC128" s="71"/>
      <x:c r="GD128" s="71"/>
      <x:c r="GE128" s="71"/>
      <x:c r="GF128" s="71"/>
      <x:c r="GG128" s="71"/>
      <x:c r="GH128" s="71"/>
      <x:c r="GI128" s="71"/>
      <x:c r="GJ128" s="71"/>
      <x:c r="GK128" s="71"/>
      <x:c r="GL128" s="71"/>
      <x:c r="GM128" s="71"/>
      <x:c r="GN128" s="71"/>
      <x:c r="GO128" s="71"/>
      <x:c r="GP128" s="71"/>
      <x:c r="GQ128" s="71"/>
      <x:c r="GR128" s="71"/>
      <x:c r="GS128" s="71"/>
      <x:c r="GT128" s="71"/>
      <x:c r="GU128" s="71"/>
      <x:c r="GV128" s="71"/>
      <x:c r="GW128" s="71"/>
      <x:c r="GX128" s="71"/>
      <x:c r="GY128" s="71"/>
      <x:c r="GZ128" s="71"/>
      <x:c r="HA128" s="71"/>
      <x:c r="HB128" s="71"/>
      <x:c r="HC128" s="71"/>
      <x:c r="HD128" s="71"/>
      <x:c r="HE128" t="str">
        <x:f>IF('Calculations'!EM128="","",IF(IFERROR(IF(INDEX(INDIRECT("'WCM Calibration Final'!$A$1:$A$2000"),'Calculations'!$EM128)="","",TRIM(INDEX(INDIRECT("'WCM Calibration Final'!$A$1:$A$2000"),'Calculations'!$EM128)&amp;"")),"")&lt;&gt;"","G:"&amp;IFERROR(TEXT(1*INDEX(INDIRECT("'WCM Calibration Final'!$A$1:$A$2000"),'Calculations'!$EM128),"0"),UPPER(IFERROR(IF(INDEX(INDIRECT("'WCM Calibration Final'!$A$1:$A$2000"),'Calculations'!$EM128)="","",TRIM(INDEX(INDIRECT("'WCM Calibration Final'!$A$1:$A$2000"),'Calculations'!$EM128)&amp;"")),""))),IF(IFERROR(IF(INDEX(INDIRECT("'WCM Calibration Final'!$C$1:$C$2000"),'Calculations'!$EM128)="","",TRIM(INDEX(INDIRECT("'WCM Calibration Final'!$C$1:$C$2000"),'Calculations'!$EM128)&amp;"")),"")&lt;&gt;"","S:"&amp;UPPER(IFERROR(IF(INDEX(INDIRECT("'WCM Calibration Final'!$C$1:$C$2000"),'Calculations'!$EM128)="","",TRIM(INDEX(INDIRECT("'WCM Calibration Final'!$C$1:$C$2000"),'Calculations'!$EM128)&amp;"")),"")),"R:"&amp;'Calculations'!EM128)))</x:f>
      </x:c>
      <x:c r="HF128" t="str">
        <x:f>IF('Calculations'!EM128="","",IF(IFERROR(IF(INDEX(INDIRECT("'WCM Calibration Final'!$D$1:$D$2000"),'Calculations'!$EM128)="","",TRIM(INDEX(INDIRECT("'WCM Calibration Final'!$D$1:$D$2000"),'Calculations'!$EM128)&amp;"")),"")&lt;&gt;"","G:"&amp;IFERROR(TEXT(1*INDEX(INDIRECT("'WCM Calibration Final'!$D$1:$D$2000"),'Calculations'!$EM128),"0"),UPPER(IFERROR(IF(INDEX(INDIRECT("'WCM Calibration Final'!$D$1:$D$2000"),'Calculations'!$EM128)="","",TRIM(INDEX(INDIRECT("'WCM Calibration Final'!$D$1:$D$2000"),'Calculations'!$EM128)&amp;"")),""))),IF(IFERROR(IF(INDEX(INDIRECT("'WCM Calibration Final'!$E$1:$E$2000"),'Calculations'!$EM128)="","",TRIM(INDEX(INDIRECT("'WCM Calibration Final'!$E$1:$E$2000"),'Calculations'!$EM128)&amp;"")),"")="","",IF(COUNTIF('Calculations'!$HG$13:$HG$512,"="&amp;SUBSTITUTE(SUBSTITUTE(SUBSTITUTE(IFERROR(IF(INDEX(INDIRECT("'WCM Calibration Final'!$E$1:$E$2000"),'Calculations'!$EM128)="","",TRIM(INDEX(INDIRECT("'WCM Calibration Final'!$E$1:$E$2000"),'Calculations'!$EM128)&amp;"")),""),"~","~~"),"*","~*"),"?","~?"))=1,INDEX('Calculations'!$HE$13:$HE$512,MATCH(IFERROR(IF(INDEX(INDIRECT("'WCM Calibration Final'!$E$1:$E$2000"),'Calculations'!$EM128)="","",TRIM(INDEX(INDIRECT("'WCM Calibration Final'!$E$1:$E$2000"),'Calculations'!$EM128)&amp;"")),""),'Calculations'!$HG$13:$HG$512,0)),IF(COUNTIF('Calculations'!$HG$13:$HG$512,"="&amp;SUBSTITUTE(SUBSTITUTE(SUBSTITUTE(IFERROR(IF(INDEX(INDIRECT("'WCM Calibration Final'!$E$1:$E$2000"),'Calculations'!$EM128)="","",TRIM(INDEX(INDIRECT("'WCM Calibration Final'!$E$1:$E$2000"),'Calculations'!$EM128)&amp;"")),""),"~","~~"),"*","~*"),"?","~?"))&gt;1,"!AMBIG","X:"&amp;IFERROR(IF(INDEX(INDIRECT("'WCM Calibration Final'!$E$1:$E$2000"),'Calculations'!$EM128)="","",TRIM(INDEX(INDIRECT("'WCM Calibration Final'!$E$1:$E$2000"),'Calculations'!$EM128)&amp;"")),""))))))</x:f>
      </x:c>
      <x:c r="HG128" t="str">
        <x:f>IF('Calculations'!EM128="","",IFERROR(IF(INDEX(INDIRECT("'WCM Calibration Final'!$B$1:$B$2000"),'Calculations'!$EM128)="","",TRIM(INDEX(INDIRECT("'WCM Calibration Final'!$B$1:$B$2000"),'Calculations'!$EM128)&amp;"")),""))</x:f>
      </x:c>
      <x:c r="HH128" t="n">
        <x:f>IF(AND('Calculations'!JC128&gt;0,COUNTIF('Calculations'!$HF$12:HF128,"="&amp;SUBSTITUTE(SUBSTITUTE(SUBSTITUTE('Calculations'!HF128,"~","~~"),"*","~*"),"?","~?"))=1),MAX('Calculations'!$HH$12:HH127)+1,0)</x:f>
        <x:v>0</x:v>
      </x:c>
      <x:c r="HI128" t="n">
        <x:f>IF(AND('Calculations'!HN128&lt;&gt;"",COUNTIF('Calculations'!$HN$12:HN128,"="&amp;SUBSTITUTE(SUBSTITUTE(SUBSTITUTE('Calculations'!HN128,"~","~~"),"*","~*"),"?","~?"))=1),MAX('Calculations'!$HI$12:HI127)+1,0)</x:f>
        <x:v>0</x:v>
      </x:c>
      <x:c r="HJ128" t="str">
        <x:f>IF('Calculations'!HF128="","",IF(COUNTIF('Calculations'!$HE$13:$HE$512,"="&amp;SUBSTITUTE(SUBSTITUTE(SUBSTITUTE('Calculations'!HF128,"~","~~"),"*","~*"),"?","~?"))=1,INDEX('Calculations'!$HK$13:$HK$512,MATCH('Calculations'!HF128,'Calculations'!$HE$13:$HE$512,0)),IFERROR(IF(INDEX(INDIRECT("'WCM Calibration Final'!$E$1:$E$2000"),'Calculations'!$EM128)="","",TRIM(INDEX(INDIRECT("'WCM Calibration Final'!$E$1:$E$2000"),'Calculations'!$EM128)&amp;"")),"")&amp;" ["&amp;'Calculations'!HF128&amp;"]"))</x:f>
      </x:c>
      <x:c r="HK128" t="str">
        <x:f>IF('Calculations'!EM128="","",'Calculations'!HG128&amp;" ["&amp;'Calculations'!HE128&amp;"]")</x:f>
      </x:c>
      <x:c r="HL128" t="n">
        <x:f>IF('Calculations'!EM128="",0,IF(OR('Calculations'!II128&lt;&gt;"",COUNTIF('Calculations'!$HE$13:$HE$512,"="&amp;SUBSTITUTE(SUBSTITUTE(SUBSTITUTE('Calculations'!HE128,"~","~~"),"*","~*"),"?","~?"))&gt;1),1,0))</x:f>
        <x:v>0</x:v>
      </x:c>
      <x:c r="HM128" t="str">
        <x:f>IF('Calculations'!EM128="","",IF('Calculations'!HL128=1,"!UNRESOLVED",IF('Calculations'!IH128&lt;&gt;"",'Calculations'!IH128,IF('Calculations'!IG128&lt;&gt;"",'Calculations'!IG128,IF('Calculations'!IF128&lt;&gt;"",'Calculations'!IF128,IF('Calculations'!IE128&lt;&gt;"",'Calculations'!IE128,IF('Calculations'!ID128&lt;&gt;"",'Calculations'!ID128,IF('Calculations'!IC128&lt;&gt;"",'Calculations'!IC128,IF('Calculations'!IB128&lt;&gt;"",'Calculations'!IB128,IF('Calculations'!IA128&lt;&gt;"",'Calculations'!IA128,IF('Calculations'!HZ128&lt;&gt;"",'Calculations'!HZ128,IF('Calculations'!HY128&lt;&gt;"",'Calculations'!HY128,IF('Calculations'!HX128&lt;&gt;"",'Calculations'!HX128,IF('Calculations'!HW128&lt;&gt;"",'Calculations'!HW128,IF('Calculations'!HV128&lt;&gt;"",'Calculations'!HV128,IF('Calculations'!HU128&lt;&gt;"",'Calculations'!HU128,IF('Calculations'!HT128&lt;&gt;"",'Calculations'!HT128,IF('Calculations'!HS128&lt;&gt;"",'Calculations'!HS128,IF('Calculations'!HR128&lt;&gt;"",'Calculations'!HR128,IF('Calculations'!HQ128&lt;&gt;"",'Calculations'!HQ128,IF('Calculations'!HP128&lt;&gt;"",'Calculations'!HP128,IF('Calculations'!HO128&lt;&gt;"",'Calculations'!HO128,'Calculations'!HE128))))))))))))))))))))))</x:f>
      </x:c>
      <x:c r="HN128" t="str">
        <x:f>IF('Calculations'!EM128="","",IF(IFERROR(IF(INDEX(INDIRECT("'WCM Calibration Final'!$F$1:$F$2000"),'Calculations'!$EM128)="","",TRIM(INDEX(INDIRECT("'WCM Calibration Final'!$F$1:$F$2000"),'Calculations'!$EM128)&amp;"")),"")="","(Blank)",IFERROR(IF(INDEX(INDIRECT("'WCM Calibration Final'!$F$1:$F$2000"),'Calculations'!$EM128)="","",TRIM(INDEX(INDIRECT("'WCM Calibration Final'!$F$1:$F$2000"),'Calculations'!$EM128)&amp;"")),"")))</x:f>
      </x:c>
      <x:c r="HO128" t="str">
        <x:f>'Calculations'!HF128</x:f>
      </x:c>
      <x:c r="HP128" t="str">
        <x:f>IF('Calculations'!HO128="","",IF('Calculations'!HO128="!AMBIG","!AMBIG",IF(COUNTIF('Calculations'!$HE$13:$HE$512,"="&amp;SUBSTITUTE(SUBSTITUTE(SUBSTITUTE('Calculations'!HO128,"~","~~"),"*","~*"),"?","~?"))&gt;1,"!AMBIG",IFERROR(INDEX('Calculations'!$HF$13:$HF$512,MATCH('Calculations'!HO128,'Calculations'!$HE$13:$HE$512,0)),""))))</x:f>
      </x:c>
      <x:c r="HQ128" t="str">
        <x:f>IF('Calculations'!HP128="","",IF('Calculations'!HP128="!AMBIG","!AMBIG",IF(COUNTIF('Calculations'!$HE$13:$HE$512,"="&amp;SUBSTITUTE(SUBSTITUTE(SUBSTITUTE('Calculations'!HP128,"~","~~"),"*","~*"),"?","~?"))&gt;1,"!AMBIG",IFERROR(INDEX('Calculations'!$HF$13:$HF$512,MATCH('Calculations'!HP128,'Calculations'!$HE$13:$HE$512,0)),""))))</x:f>
      </x:c>
      <x:c r="HR128" t="str">
        <x:f>IF('Calculations'!HQ128="","",IF('Calculations'!HQ128="!AMBIG","!AMBIG",IF(COUNTIF('Calculations'!$HE$13:$HE$512,"="&amp;SUBSTITUTE(SUBSTITUTE(SUBSTITUTE('Calculations'!HQ128,"~","~~"),"*","~*"),"?","~?"))&gt;1,"!AMBIG",IFERROR(INDEX('Calculations'!$HF$13:$HF$512,MATCH('Calculations'!HQ128,'Calculations'!$HE$13:$HE$512,0)),""))))</x:f>
      </x:c>
      <x:c r="HS128" t="str">
        <x:f>IF('Calculations'!HR128="","",IF('Calculations'!HR128="!AMBIG","!AMBIG",IF(COUNTIF('Calculations'!$HE$13:$HE$512,"="&amp;SUBSTITUTE(SUBSTITUTE(SUBSTITUTE('Calculations'!HR128,"~","~~"),"*","~*"),"?","~?"))&gt;1,"!AMBIG",IFERROR(INDEX('Calculations'!$HF$13:$HF$512,MATCH('Calculations'!HR128,'Calculations'!$HE$13:$HE$512,0)),""))))</x:f>
      </x:c>
      <x:c r="HT128" t="str">
        <x:f>IF('Calculations'!HS128="","",IF('Calculations'!HS128="!AMBIG","!AMBIG",IF(COUNTIF('Calculations'!$HE$13:$HE$512,"="&amp;SUBSTITUTE(SUBSTITUTE(SUBSTITUTE('Calculations'!HS128,"~","~~"),"*","~*"),"?","~?"))&gt;1,"!AMBIG",IFERROR(INDEX('Calculations'!$HF$13:$HF$512,MATCH('Calculations'!HS128,'Calculations'!$HE$13:$HE$512,0)),""))))</x:f>
      </x:c>
      <x:c r="HU128" t="str">
        <x:f>IF('Calculations'!HT128="","",IF('Calculations'!HT128="!AMBIG","!AMBIG",IF(COUNTIF('Calculations'!$HE$13:$HE$512,"="&amp;SUBSTITUTE(SUBSTITUTE(SUBSTITUTE('Calculations'!HT128,"~","~~"),"*","~*"),"?","~?"))&gt;1,"!AMBIG",IFERROR(INDEX('Calculations'!$HF$13:$HF$512,MATCH('Calculations'!HT128,'Calculations'!$HE$13:$HE$512,0)),""))))</x:f>
      </x:c>
      <x:c r="HV128" t="str">
        <x:f>IF('Calculations'!HU128="","",IF('Calculations'!HU128="!AMBIG","!AMBIG",IF(COUNTIF('Calculations'!$HE$13:$HE$512,"="&amp;SUBSTITUTE(SUBSTITUTE(SUBSTITUTE('Calculations'!HU128,"~","~~"),"*","~*"),"?","~?"))&gt;1,"!AMBIG",IFERROR(INDEX('Calculations'!$HF$13:$HF$512,MATCH('Calculations'!HU128,'Calculations'!$HE$13:$HE$512,0)),""))))</x:f>
      </x:c>
      <x:c r="HW128" t="str">
        <x:f>IF('Calculations'!HV128="","",IF('Calculations'!HV128="!AMBIG","!AMBIG",IF(COUNTIF('Calculations'!$HE$13:$HE$512,"="&amp;SUBSTITUTE(SUBSTITUTE(SUBSTITUTE('Calculations'!HV128,"~","~~"),"*","~*"),"?","~?"))&gt;1,"!AMBIG",IFERROR(INDEX('Calculations'!$HF$13:$HF$512,MATCH('Calculations'!HV128,'Calculations'!$HE$13:$HE$512,0)),""))))</x:f>
      </x:c>
      <x:c r="HX128" t="str">
        <x:f>IF('Calculations'!HW128="","",IF('Calculations'!HW128="!AMBIG","!AMBIG",IF(COUNTIF('Calculations'!$HE$13:$HE$512,"="&amp;SUBSTITUTE(SUBSTITUTE(SUBSTITUTE('Calculations'!HW128,"~","~~"),"*","~*"),"?","~?"))&gt;1,"!AMBIG",IFERROR(INDEX('Calculations'!$HF$13:$HF$512,MATCH('Calculations'!HW128,'Calculations'!$HE$13:$HE$512,0)),""))))</x:f>
      </x:c>
      <x:c r="HY128" t="str">
        <x:f>IF('Calculations'!HX128="","",IF('Calculations'!HX128="!AMBIG","!AMBIG",IF(COUNTIF('Calculations'!$HE$13:$HE$512,"="&amp;SUBSTITUTE(SUBSTITUTE(SUBSTITUTE('Calculations'!HX128,"~","~~"),"*","~*"),"?","~?"))&gt;1,"!AMBIG",IFERROR(INDEX('Calculations'!$HF$13:$HF$512,MATCH('Calculations'!HX128,'Calculations'!$HE$13:$HE$512,0)),""))))</x:f>
      </x:c>
      <x:c r="HZ128" t="str">
        <x:f>IF('Calculations'!HY128="","",IF('Calculations'!HY128="!AMBIG","!AMBIG",IF(COUNTIF('Calculations'!$HE$13:$HE$512,"="&amp;SUBSTITUTE(SUBSTITUTE(SUBSTITUTE('Calculations'!HY128,"~","~~"),"*","~*"),"?","~?"))&gt;1,"!AMBIG",IFERROR(INDEX('Calculations'!$HF$13:$HF$512,MATCH('Calculations'!HY128,'Calculations'!$HE$13:$HE$512,0)),""))))</x:f>
      </x:c>
      <x:c r="IA128" t="str">
        <x:f>IF('Calculations'!HZ128="","",IF('Calculations'!HZ128="!AMBIG","!AMBIG",IF(COUNTIF('Calculations'!$HE$13:$HE$512,"="&amp;SUBSTITUTE(SUBSTITUTE(SUBSTITUTE('Calculations'!HZ128,"~","~~"),"*","~*"),"?","~?"))&gt;1,"!AMBIG",IFERROR(INDEX('Calculations'!$HF$13:$HF$512,MATCH('Calculations'!HZ128,'Calculations'!$HE$13:$HE$512,0)),""))))</x:f>
      </x:c>
      <x:c r="IB128" t="str">
        <x:f>IF('Calculations'!IA128="","",IF('Calculations'!IA128="!AMBIG","!AMBIG",IF(COUNTIF('Calculations'!$HE$13:$HE$512,"="&amp;SUBSTITUTE(SUBSTITUTE(SUBSTITUTE('Calculations'!IA128,"~","~~"),"*","~*"),"?","~?"))&gt;1,"!AMBIG",IFERROR(INDEX('Calculations'!$HF$13:$HF$512,MATCH('Calculations'!IA128,'Calculations'!$HE$13:$HE$512,0)),""))))</x:f>
      </x:c>
      <x:c r="IC128" t="str">
        <x:f>IF('Calculations'!IB128="","",IF('Calculations'!IB128="!AMBIG","!AMBIG",IF(COUNTIF('Calculations'!$HE$13:$HE$512,"="&amp;SUBSTITUTE(SUBSTITUTE(SUBSTITUTE('Calculations'!IB128,"~","~~"),"*","~*"),"?","~?"))&gt;1,"!AMBIG",IFERROR(INDEX('Calculations'!$HF$13:$HF$512,MATCH('Calculations'!IB128,'Calculations'!$HE$13:$HE$512,0)),""))))</x:f>
      </x:c>
      <x:c r="ID128" t="str">
        <x:f>IF('Calculations'!IC128="","",IF('Calculations'!IC128="!AMBIG","!AMBIG",IF(COUNTIF('Calculations'!$HE$13:$HE$512,"="&amp;SUBSTITUTE(SUBSTITUTE(SUBSTITUTE('Calculations'!IC128,"~","~~"),"*","~*"),"?","~?"))&gt;1,"!AMBIG",IFERROR(INDEX('Calculations'!$HF$13:$HF$512,MATCH('Calculations'!IC128,'Calculations'!$HE$13:$HE$512,0)),""))))</x:f>
      </x:c>
      <x:c r="IE128" t="str">
        <x:f>IF('Calculations'!ID128="","",IF('Calculations'!ID128="!AMBIG","!AMBIG",IF(COUNTIF('Calculations'!$HE$13:$HE$512,"="&amp;SUBSTITUTE(SUBSTITUTE(SUBSTITUTE('Calculations'!ID128,"~","~~"),"*","~*"),"?","~?"))&gt;1,"!AMBIG",IFERROR(INDEX('Calculations'!$HF$13:$HF$512,MATCH('Calculations'!ID128,'Calculations'!$HE$13:$HE$512,0)),""))))</x:f>
      </x:c>
      <x:c r="IF128" t="str">
        <x:f>IF('Calculations'!IE128="","",IF('Calculations'!IE128="!AMBIG","!AMBIG",IF(COUNTIF('Calculations'!$HE$13:$HE$512,"="&amp;SUBSTITUTE(SUBSTITUTE(SUBSTITUTE('Calculations'!IE128,"~","~~"),"*","~*"),"?","~?"))&gt;1,"!AMBIG",IFERROR(INDEX('Calculations'!$HF$13:$HF$512,MATCH('Calculations'!IE128,'Calculations'!$HE$13:$HE$512,0)),""))))</x:f>
      </x:c>
      <x:c r="IG128" t="str">
        <x:f>IF('Calculations'!IF128="","",IF('Calculations'!IF128="!AMBIG","!AMBIG",IF(COUNTIF('Calculations'!$HE$13:$HE$512,"="&amp;SUBSTITUTE(SUBSTITUTE(SUBSTITUTE('Calculations'!IF128,"~","~~"),"*","~*"),"?","~?"))&gt;1,"!AMBIG",IFERROR(INDEX('Calculations'!$HF$13:$HF$512,MATCH('Calculations'!IF128,'Calculations'!$HE$13:$HE$512,0)),""))))</x:f>
      </x:c>
      <x:c r="IH128" t="str">
        <x:f>IF('Calculations'!IG128="","",IF('Calculations'!IG128="!AMBIG","!AMBIG",IF(COUNTIF('Calculations'!$HE$13:$HE$512,"="&amp;SUBSTITUTE(SUBSTITUTE(SUBSTITUTE('Calculations'!IG128,"~","~~"),"*","~*"),"?","~?"))&gt;1,"!AMBIG",IFERROR(INDEX('Calculations'!$HF$13:$HF$512,MATCH('Calculations'!IG128,'Calculations'!$HE$13:$HE$512,0)),""))))</x:f>
      </x:c>
      <x:c r="II128" t="str">
        <x:f>IF('Calculations'!IH128="","",IF('Calculations'!IH128="!AMBIG","!AMBIG",IF(COUNTIF('Calculations'!$HE$13:$HE$512,"="&amp;SUBSTITUTE(SUBSTITUTE(SUBSTITUTE('Calculations'!IH128,"~","~~"),"*","~*"),"?","~?"))&gt;1,"!AMBIG",IFERROR(INDEX('Calculations'!$HF$13:$HF$512,MATCH('Calculations'!IH128,'Calculations'!$HE$13:$HE$512,0)),""))))</x:f>
      </x:c>
      <x:c r="IJ128" t="str">
        <x:f>IF('Calculations'!EM128="","",IF('Calculations'!$EF$2="All",'Calculations'!HM128,IF('Calculations'!HL128=1,"",IFERROR(IF(MATCH('Calculations'!$EF$2,'Calculations'!HO128:II128,0)=1,'Calculations'!HE128,INDEX('Calculations'!HO128:II128,1,MATCH('Calculations'!$EF$2,'Calculations'!HO128:II128,0)-1)),""))))</x:f>
      </x:c>
      <x:c r="IK128" t="n">
        <x:f>IF(AND('Calculations'!EM128&lt;&gt;"",'Calculations'!$EF$2&lt;&gt;"All",'Calculations'!HF128='Calculations'!$EF$2,'Calculations'!HL128=0,'Calculations'!JD128&gt;0),MAX('Calculations'!$IK$12:IK127)+1,0)</x:f>
        <x:v>0</x:v>
      </x:c>
      <x:c r="JA128" t="n">
        <x:f>IF(OR(IFERROR(INDIRECT("'WCM Calibration Final'!$A$128")&lt;&gt;"",FALSE),IFERROR(INDIRECT("'WCM Calibration Final'!$B$128")&lt;&gt;"",FALSE),IFERROR(INDIRECT("'WCM Calibration Final'!$C$128")&lt;&gt;"",FALSE)),128,0)</x:f>
        <x:v>0</x:v>
      </x:c>
      <x:c r="JB128" t="n">
        <x:f>'Calculations'!JB127+IF('Calculations'!JA128&gt;0,1,0)</x:f>
        <x:v>0</x:v>
      </x:c>
      <x:c r="JC128" t="n">
        <x:f>IF(OR('Calculations'!HF128="",'Calculations'!HF128="!AMBIG"),0,IF('Dashboard'!$B$7="All",1,COUNTIFS('Calculations'!$HO$13:$HO$512,"="&amp;SUBSTITUTE(SUBSTITUTE(SUBSTITUTE('Calculations'!HF128,"~","~~"),"*","~*"),"?","~?"),'Calculations'!$HN$13:$HN$512,"="&amp;SUBSTITUTE(SUBSTITUTE(SUBSTITUTE('Dashboard'!$B$7,"~","~~"),"*","~*"),"?","~?"))+COUNTIFS('Calculations'!$HP$13:$HP$512,"="&amp;SUBSTITUTE(SUBSTITUTE(SUBSTITUTE('Calculations'!HF128,"~","~~"),"*","~*"),"?","~?"),'Calculations'!$HN$13:$HN$512,"="&amp;SUBSTITUTE(SUBSTITUTE(SUBSTITUTE('Dashboard'!$B$7,"~","~~"),"*","~*"),"?","~?"))+COUNTIFS('Calculations'!$HQ$13:$HQ$512,"="&amp;SUBSTITUTE(SUBSTITUTE(SUBSTITUTE('Calculations'!HF128,"~","~~"),"*","~*"),"?","~?"),'Calculations'!$HN$13:$HN$512,"="&amp;SUBSTITUTE(SUBSTITUTE(SUBSTITUTE('Dashboard'!$B$7,"~","~~"),"*","~*"),"?","~?"))+COUNTIFS('Calculations'!$HR$13:$HR$512,"="&amp;SUBSTITUTE(SUBSTITUTE(SUBSTITUTE('Calculations'!HF128,"~","~~"),"*","~*"),"?","~?"),'Calculations'!$HN$13:$HN$512,"="&amp;SUBSTITUTE(SUBSTITUTE(SUBSTITUTE('Dashboard'!$B$7,"~","~~"),"*","~*"),"?","~?"))+COUNTIFS('Calculations'!$HS$13:$HS$512,"="&amp;SUBSTITUTE(SUBSTITUTE(SUBSTITUTE('Calculations'!HF128,"~","~~"),"*","~*"),"?","~?"),'Calculations'!$HN$13:$HN$512,"="&amp;SUBSTITUTE(SUBSTITUTE(SUBSTITUTE('Dashboard'!$B$7,"~","~~"),"*","~*"),"?","~?"))+COUNTIFS('Calculations'!$HT$13:$HT$512,"="&amp;SUBSTITUTE(SUBSTITUTE(SUBSTITUTE('Calculations'!HF128,"~","~~"),"*","~*"),"?","~?"),'Calculations'!$HN$13:$HN$512,"="&amp;SUBSTITUTE(SUBSTITUTE(SUBSTITUTE('Dashboard'!$B$7,"~","~~"),"*","~*"),"?","~?"))+COUNTIFS('Calculations'!$HU$13:$HU$512,"="&amp;SUBSTITUTE(SUBSTITUTE(SUBSTITUTE('Calculations'!HF128,"~","~~"),"*","~*"),"?","~?"),'Calculations'!$HN$13:$HN$512,"="&amp;SUBSTITUTE(SUBSTITUTE(SUBSTITUTE('Dashboard'!$B$7,"~","~~"),"*","~*"),"?","~?"))+COUNTIFS('Calculations'!$HV$13:$HV$512,"="&amp;SUBSTITUTE(SUBSTITUTE(SUBSTITUTE('Calculations'!HF128,"~","~~"),"*","~*"),"?","~?"),'Calculations'!$HN$13:$HN$512,"="&amp;SUBSTITUTE(SUBSTITUTE(SUBSTITUTE('Dashboard'!$B$7,"~","~~"),"*","~*"),"?","~?"))+COUNTIFS('Calculations'!$HW$13:$HW$512,"="&amp;SUBSTITUTE(SUBSTITUTE(SUBSTITUTE('Calculations'!HF128,"~","~~"),"*","~*"),"?","~?"),'Calculations'!$HN$13:$HN$512,"="&amp;SUBSTITUTE(SUBSTITUTE(SUBSTITUTE('Dashboard'!$B$7,"~","~~"),"*","~*"),"?","~?"))+COUNTIFS('Calculations'!$HX$13:$HX$512,"="&amp;SUBSTITUTE(SUBSTITUTE(SUBSTITUTE('Calculations'!HF128,"~","~~"),"*","~*"),"?","~?"),'Calculations'!$HN$13:$HN$512,"="&amp;SUBSTITUTE(SUBSTITUTE(SUBSTITUTE('Dashboard'!$B$7,"~","~~"),"*","~*"),"?","~?"))+COUNTIFS('Calculations'!$HY$13:$HY$512,"="&amp;SUBSTITUTE(SUBSTITUTE(SUBSTITUTE('Calculations'!HF128,"~","~~"),"*","~*"),"?","~?"),'Calculations'!$HN$13:$HN$512,"="&amp;SUBSTITUTE(SUBSTITUTE(SUBSTITUTE('Dashboard'!$B$7,"~","~~"),"*","~*"),"?","~?"))+COUNTIFS('Calculations'!$HZ$13:$HZ$512,"="&amp;SUBSTITUTE(SUBSTITUTE(SUBSTITUTE('Calculations'!HF128,"~","~~"),"*","~*"),"?","~?"),'Calculations'!$HN$13:$HN$512,"="&amp;SUBSTITUTE(SUBSTITUTE(SUBSTITUTE('Dashboard'!$B$7,"~","~~"),"*","~*"),"?","~?"))+COUNTIFS('Calculations'!$IA$13:$IA$512,"="&amp;SUBSTITUTE(SUBSTITUTE(SUBSTITUTE('Calculations'!HF128,"~","~~"),"*","~*"),"?","~?"),'Calculations'!$HN$13:$HN$512,"="&amp;SUBSTITUTE(SUBSTITUTE(SUBSTITUTE('Dashboard'!$B$7,"~","~~"),"*","~*"),"?","~?"))+COUNTIFS('Calculations'!$IB$13:$IB$512,"="&amp;SUBSTITUTE(SUBSTITUTE(SUBSTITUTE('Calculations'!HF128,"~","~~"),"*","~*"),"?","~?"),'Calculations'!$HN$13:$HN$512,"="&amp;SUBSTITUTE(SUBSTITUTE(SUBSTITUTE('Dashboard'!$B$7,"~","~~"),"*","~*"),"?","~?"))+COUNTIFS('Calculations'!$IC$13:$IC$512,"="&amp;SUBSTITUTE(SUBSTITUTE(SUBSTITUTE('Calculations'!HF128,"~","~~"),"*","~*"),"?","~?"),'Calculations'!$HN$13:$HN$512,"="&amp;SUBSTITUTE(SUBSTITUTE(SUBSTITUTE('Dashboard'!$B$7,"~","~~"),"*","~*"),"?","~?"))+COUNTIFS('Calculations'!$ID$13:$ID$512,"="&amp;SUBSTITUTE(SUBSTITUTE(SUBSTITUTE('Calculations'!HF128,"~","~~"),"*","~*"),"?","~?"),'Calculations'!$HN$13:$HN$512,"="&amp;SUBSTITUTE(SUBSTITUTE(SUBSTITUTE('Dashboard'!$B$7,"~","~~"),"*","~*"),"?","~?"))+COUNTIFS('Calculations'!$IE$13:$IE$512,"="&amp;SUBSTITUTE(SUBSTITUTE(SUBSTITUTE('Calculations'!HF128,"~","~~"),"*","~*"),"?","~?"),'Calculations'!$HN$13:$HN$512,"="&amp;SUBSTITUTE(SUBSTITUTE(SUBSTITUTE('Dashboard'!$B$7,"~","~~"),"*","~*"),"?","~?"))+COUNTIFS('Calculations'!$IF$13:$IF$512,"="&amp;SUBSTITUTE(SUBSTITUTE(SUBSTITUTE('Calculations'!HF128,"~","~~"),"*","~*"),"?","~?"),'Calculations'!$HN$13:$HN$512,"="&amp;SUBSTITUTE(SUBSTITUTE(SUBSTITUTE('Dashboard'!$B$7,"~","~~"),"*","~*"),"?","~?"))+COUNTIFS('Calculations'!$IG$13:$IG$512,"="&amp;SUBSTITUTE(SUBSTITUTE(SUBSTITUTE('Calculations'!HF128,"~","~~"),"*","~*"),"?","~?"),'Calculations'!$HN$13:$HN$512,"="&amp;SUBSTITUTE(SUBSTITUTE(SUBSTITUTE('Dashboard'!$B$7,"~","~~"),"*","~*"),"?","~?"))+COUNTIFS('Calculations'!$IH$13:$IH$512,"="&amp;SUBSTITUTE(SUBSTITUTE(SUBSTITUTE('Calculations'!HF128,"~","~~"),"*","~*"),"?","~?"),'Calculations'!$HN$13:$HN$512,"="&amp;SUBSTITUTE(SUBSTITUTE(SUBSTITUTE('Dashboard'!$B$7,"~","~~"),"*","~*"),"?","~?"))))</x:f>
        <x:v>0</x:v>
      </x:c>
      <x:c r="JD128" t="n">
        <x:f>IF('Calculations'!EM128="",0,IF('Dashboard'!$B$7="All",1,IF('Calculations'!HN128='Dashboard'!$B$7,1,0)+IFERROR(INDEX('Calculations'!$JC$13:$JC$512,MATCH('Calculations'!HE128,'Calculations'!$HF$13:$HF$512,0)),0)))</x:f>
        <x:v>0</x:v>
      </x:c>
      <x:c r="JE128" t="n">
        <x:f>IF(AND('Calculations'!EM128&lt;&gt;"",'Calculations'!$JJ$2&lt;&gt;"All",'Calculations'!$JJ$2&lt;&gt;"",'Calculations'!HF128='Calculations'!$JJ$2,'Calculations'!HL128=0,'Calculations'!JD128&gt;0),MAX('Calculations'!$JE$12:JE127)+1,0)</x:f>
        <x:v>0</x:v>
      </x:c>
      <x:c r="JF128" t="str">
        <x:f>IF('Calculations'!EM128="","",IFERROR(IF(INDEX(INDIRECT("'WCM Calibration Final'!$G$1:$G$2000"),'Calculations'!$EM128)="","",TRIM(INDEX(INDIRECT("'WCM Calibration Final'!$G$1:$G$2000"),'Calculations'!$EM128)&amp;"")),""))</x:f>
      </x:c>
      <x:c r="JQ128" t="n">
        <x:f>IF(OR('Calculations'!BM128=0,NOT('Calculations'!$AG$2),'Calculations'!$AG$8&gt;0),0,IF(OR('Dashboard'!$B$7="All",'Calculations'!HN128='Dashboard'!$B$7),IF('Calculations'!$JJ$2="All",1,IF(AND('Calculations'!HF128='Calculations'!$JJ$2,'Calculations'!HL128=0),1,0)),0))</x:f>
        <x:v>0</x:v>
      </x:c>
    </x:row>
    <x:row r="129">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t="n">
        <x:f>IF('Calculations'!$EM129="",0,IF(OR(IFERROR(INDEX(INDIRECT("'WCM Calibration Final'!$A$1:$A$2000"),'Calculations'!$EM129)&lt;&gt;"",FALSE),IFERROR(INDEX(INDIRECT("'WCM Calibration Final'!$B$1:$B$2000"),'Calculations'!$EM129)&lt;&gt;"",FALSE),IFERROR(INDEX(INDIRECT("'WCM Calibration Final'!$C$1:$C$2000"),'Calculations'!$EM129)&lt;&gt;"",FALSE)),1,0))</x:f>
        <x:v>0</x:v>
      </x:c>
      <x:c r="BN129" s="4" t="n">
        <x:f>IF(AND('Calculations'!BM129=1,'Calculations'!$AG$2,'Calculations'!$EN129=1),1,0)</x:f>
        <x:v>0</x:v>
      </x:c>
      <x:c r="BO129" s="4" t="str">
        <x:f>IF('Calculations'!BM129=0,"",IFERROR(IF(AND(VALUE(INDEX(INDIRECT("'WCM Calibration Final'!$K$1:$K$2000"),'Calculations'!$EM129))&gt;=1,VALUE(INDEX(INDIRECT("'WCM Calibration Final'!$K$1:$K$2000"),'Calculations'!$EM129))&lt;=4,MOD(VALUE(INDEX(INDIRECT("'WCM Calibration Final'!$K$1:$K$2000"),'Calculations'!$EM129)),1)=0),VALUE(INDEX(INDIRECT("'WCM Calibration Final'!$K$1:$K$2000"),'Calculations'!$EM129)),""),""))</x:f>
      </x:c>
      <x:c r="BP129" s="4" t="str">
        <x:f>IF('Calculations'!BM129=0,"",IFERROR(IF(AND(VALUE(INDEX(INDIRECT("'WCM Calibration Final'!$L$1:$L$2000"),'Calculations'!$EM129))&gt;=1,VALUE(INDEX(INDIRECT("'WCM Calibration Final'!$L$1:$L$2000"),'Calculations'!$EM129))&lt;=4,MOD(VALUE(INDEX(INDIRECT("'WCM Calibration Final'!$L$1:$L$2000"),'Calculations'!$EM129)),1)=0),VALUE(INDEX(INDIRECT("'WCM Calibration Final'!$L$1:$L$2000"),'Calculations'!$EM129)),""),""))</x:f>
      </x:c>
      <x:c r="BQ129" s="4"/>
      <x:c r="BR129" s="4"/>
      <x:c r="BS129" s="4"/>
      <x:c r="BT129" s="4" t="n">
        <x:f>IF(AND('Calculations'!BM129=1,ISNUMBER('Calculations'!BO129),ISNUMBER('Calculations'!BP129)),1,0)</x:f>
        <x:v>0</x:v>
      </x:c>
      <x:c r="BU129" s="4" t="str">
        <x:f>IF('Calculations'!BM129=0,"",'Calculations'!$EO129)</x:f>
      </x:c>
      <x:c r="BV129" s="4" t="str">
        <x:f>IF('Calculations'!BM129=0,"",IFERROR(IF(OR(INDEX(INDIRECT("'WCM Calibration Final'!$H$1:$H$2000"),'Calculations'!$EM129)="MANAGING DIRECTOR",INDEX(INDIRECT("'WCM Calibration Final'!$H$1:$H$2000"),'Calculations'!$EM129)="DIRECTOR",INDEX(INDIRECT("'WCM Calibration Final'!$H$1:$H$2000"),'Calculations'!$EM129)="SENIOR VICE PRESIDENT",INDEX(INDIRECT("'WCM Calibration Final'!$H$1:$H$2000"),'Calculations'!$EM129)="VICE PRESIDENT",INDEX(INDIRECT("'WCM Calibration Final'!$H$1:$H$2000"),'Calculations'!$EM129)="ASSISTANT VICE PRESIDENT",INDEX(INDIRECT("'WCM Calibration Final'!$H$1:$H$2000"),'Calculations'!$EM129)="OFFICER"),UPPER(INDEX(INDIRECT("'WCM Calibration Final'!$H$1:$H$2000"),'Calculations'!$EM129)),"Other"),"Other"))</x:f>
      </x:c>
      <x:c r="BW129" s="4"/>
      <x:c r="BX129" s="4"/>
      <x:c r="BY129" s="4" t="n">
        <x:f>IF(AND('Calculations'!BM129=1,'Calculations'!BU129&lt;&gt;"",COUNTIF('Calculations'!$BU$12:BU129,'Calculations'!BU129)=1),MAX('Calculations'!$BY$11:BY128)+1,0)</x:f>
        <x:v>0</x:v>
      </x:c>
      <x:c r="BZ129" s="4" t="str">
        <x:f>IF('Dashboard'!$E$67="What",'Calculations'!BO129,'Calculations'!BP129)</x:f>
      </x:c>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t="str">
        <x:f>IF(118&gt;MAX('Calculations'!$HI$13:$HI$512),"",INDEX('Calculations'!$HN$13:$HN$512,MATCH(118,'Calculations'!$HI$13:$HI$512,0)))</x:f>
      </x:c>
      <x:c r="DB129" s="4" t="str">
        <x:f>IF(118&gt;MAX('Calculations'!$HH$13:$HH$512),"",INDEX('Calculations'!$HJ$13:$HJ$512,MATCH(118,'Calculations'!$HH$13:$HH$512,0)))</x:f>
      </x:c>
      <x:c r="DC129" s="4" t="str">
        <x:f>IF(ROW()-11&gt;MAX('Calculations'!$BY$13:$BY$512),"",INDEX('Calculations'!$BU$13:$BU$512,MATCH(ROW()-11,'Calculations'!$BY$13:$BY$512,0)))</x:f>
      </x:c>
      <x:c r="DD129" s="4" t="str">
        <x:f>IF(118&gt;MAX('Calculations'!$IK$13:$IK$512),"",INDEX('Calculations'!$HK$13:$HK$512,MATCH(118,'Calculations'!$IK$13:$IK$512,0)))</x:f>
      </x:c>
      <x:c r="DE129" s="4" t="str">
        <x:f>'Calculations'!DC129</x:f>
      </x:c>
      <x:c r="DF129" s="4" t="str">
        <x:f>IF('Calculations'!DE129="","",COUNTIFS('Calculations'!$BN$13:$BN$512,1,'Calculations'!$BU$13:$BU$512,'Calculations'!DE129))</x:f>
      </x:c>
      <x:c r="DG129" s="4" t="str">
        <x:f>IF('Calculations'!DE129="","",COUNTIFS('Calculations'!$BN$13:$BN$512,1,'Calculations'!$BU$13:$BU$512,'Calculations'!DE129,'Calculations'!$BT$13:$BT$512,1))</x:f>
      </x:c>
      <x:c r="DH129" s="4" t="str">
        <x:f>IF('Calculations'!DE129="","",'Calculations'!DF129-'Calculations'!DG129)</x:f>
      </x:c>
      <x:c r="DI129" s="4" t="str">
        <x:f>IF(OR('Calculations'!DE129="",'Calculations'!DF129=0),"",'Calculations'!DG129/'Calculations'!DF129)</x:f>
      </x:c>
      <x:c r="DJ129" s="4" t="str">
        <x:f>IF('Calculations'!DE129="","",COUNTIFS('Calculations'!$BN$13:$BN$512,1,'Calculations'!$BU$13:$BU$512,'Calculations'!DE129,'Calculations'!$BT$13:$BT$512,1,'Calculations'!$EE$13:$EE$512,"High"))</x:f>
      </x:c>
      <x:c r="DK129" s="4" t="str">
        <x:f>IF('Calculations'!DE129="","",COUNTIFS('Calculations'!$BN$13:$BN$512,1,'Calculations'!$BU$13:$BU$512,'Calculations'!DE129,'Calculations'!$BT$13:$BT$512,1,'Calculations'!$EE$13:$EE$512,"Strong"))</x:f>
      </x:c>
      <x:c r="DL129" s="4" t="str">
        <x:f>IF('Calculations'!DE129="","",COUNTIFS('Calculations'!$BN$13:$BN$512,1,'Calculations'!$BU$13:$BU$512,'Calculations'!DE129,'Calculations'!$BT$13:$BT$512,1,'Calculations'!$EE$13:$EE$512,"Solid"))</x:f>
      </x:c>
      <x:c r="DM129" s="4" t="str">
        <x:f>IF('Calculations'!DE129="","",COUNTIFS('Calculations'!$BN$13:$BN$512,1,'Calculations'!$BU$13:$BU$512,'Calculations'!DE129,'Calculations'!$BT$13:$BT$512,1,'Calculations'!$EE$13:$EE$512,"Low"))</x:f>
      </x:c>
      <x:c r="DN129" s="4" t="str">
        <x:f>IF('Calculations'!DE129="","",COUNTIFS('Calculations'!$BN$13:$BN$512,1,'Calculations'!$BU$13:$BU$512,'Calculations'!DE129,'Calculations'!$EP$13:$EP$512,1))</x:f>
      </x:c>
      <x:c r="DO129" s="4" t="str">
        <x:f>IF(OR('Calculations'!DE129="",'Calculations'!DG129=0),"",('Calculations'!DJ129+'Calculations'!DK129)/'Calculations'!DG129)</x:f>
      </x:c>
      <x:c r="DP129" s="4" t="n">
        <x:f>IF(AND('Calculations'!DE129&lt;&gt;"",'Calculations'!DF129&gt;0),COUNTIF('Calculations'!$DF$12:DF129,"&gt;0"),0)</x:f>
        <x:v>0</x:v>
      </x:c>
      <x:c r="DQ129" s="4" t="str">
        <x:f>IF(118&gt;MAX('Calculations'!$HH$13:$HH$512),"",INDEX('Calculations'!$HF$13:$HF$512,MATCH(118,'Calculations'!$HH$13:$HH$512,0)))</x:f>
      </x:c>
      <x:c r="DR129" s="4" t="str">
        <x:f>IF(118&gt;MAX('Calculations'!$IK$13:$IK$512),"",INDEX('Calculations'!$HE$13:$HE$512,MATCH(118,'Calculations'!$IK$13:$IK$512,0)))</x:f>
      </x:c>
      <x:c r="DS129" s="4"/>
      <x:c r="DT129" s="4"/>
      <x:c r="DU129" s="4"/>
      <x:c r="DV129" s="4"/>
      <x:c r="DW129" s="4"/>
      <x:c r="DX129" s="4"/>
      <x:c r="DY129" s="4"/>
      <x:c r="DZ129" s="4"/>
      <x:c r="EA129" s="4"/>
      <x:c r="EB129" s="4"/>
      <x:c r="EC129" s="4"/>
      <x:c r="ED129" s="4"/>
      <x:c r="EE129" s="4" t="str">
        <x:f>IF('Calculations'!BT129=0,"Not Rated",IF(OR('Calculations'!BO129&gt;=4,'Calculations'!BP129&gt;=4),"Low",IF('Calculations'!BO129+'Calculations'!BP129&lt;=3,"High",IF('Calculations'!BO129+'Calculations'!BP129&lt;=4,"Strong","Solid"))))</x:f>
        <x:v>Not Rated</x:v>
      </x:c>
      <x:c r="EF129" s="4"/>
      <x:c r="EG129" s="4"/>
      <x:c r="EH129" s="4"/>
      <x:c r="EI129" s="4"/>
      <x:c r="EJ129" s="4"/>
      <x:c r="EK129" s="4"/>
      <x:c r="EL129" s="4"/>
      <x:c r="EM129" s="4" t="str">
        <x:f>IF(117&gt;'Calculations'!$JB$2000,"",INDEX('Calculations'!$JA$12:$JA$2000,MATCH(117,'Calculations'!$JB$12:$JB$2000,0)))</x:f>
      </x:c>
      <x:c r="EN129" s="4" t="n">
        <x:f>IF(OR('Calculations'!EM129="",'Calculations'!$AG$8&gt;0,AND('Calculations'!$EF$2&lt;&gt;"All",'Calculations'!HE129='Calculations'!$EF$2),AND('Calculations'!$EF$3&lt;&gt;"All",'Calculations'!HE129='Calculations'!$EF$3)),0,IF(OR('Dashboard'!$B$7="All",'Calculations'!HN129='Dashboard'!$B$7),IF('Calculations'!$EF$2="All",1,IF('Calculations'!HL129&gt;0,0,IF(COUNTIF('Calculations'!HO129:II129,"="&amp;SUBSTITUTE(SUBSTITUTE(SUBSTITUTE('Calculations'!$EF$2,"~","~~"),"*","~*"),"?","~?"))=0,0,IF('Calculations'!$EF$3="All",1,IF(COUNTIF('Calculations'!HO129:II129,"="&amp;SUBSTITUTE(SUBSTITUTE(SUBSTITUTE('Calculations'!$EF$3,"~","~~"),"*","~*"),"?","~?"))&gt;0,1,0))))),0))</x:f>
        <x:v>0</x:v>
      </x:c>
      <x:c r="EO129" s="4" t="str">
        <x:f>IF('Calculations'!IJ129="","",IF('Calculations'!IJ129="!UNRESOLVED","Unresolved hierarchy",IFERROR(INDEX('Calculations'!$HK$13:$HK$512,MATCH('Calculations'!IJ129,'Calculations'!$HE$13:$HE$512,0)),IFERROR(INDEX('Calculations'!$HJ$13:$HJ$512,MATCH('Calculations'!IJ129,'Calculations'!$HF$13:$HF$512,0)),'Calculations'!IJ129))))</x:f>
      </x:c>
      <x:c r="EP129" s="4" t="n">
        <x:f>IF(AND('Calculations'!EM129&lt;&gt;"",'Calculations'!HF129='Calculations'!IJ129),1,0)</x:f>
        <x:v>0</x:v>
      </x:c>
      <x:c r="EQ129" s="4"/>
      <x:c r="ER129" s="4"/>
      <x:c r="ES129" s="4"/>
      <x:c r="ET129" s="4"/>
      <x:c r="EU129" s="4"/>
      <x:c r="EV129" s="4"/>
      <x:c r="EW129" s="4"/>
      <x:c r="EX129" s="4"/>
      <x:c r="EY129" s="4"/>
      <x:c r="EZ129" s="4"/>
      <x:c r="FA129" s="4"/>
      <x:c r="FB129" s="4"/>
      <x:c r="FC129" s="4"/>
      <x:c r="FD129" s="4"/>
      <x:c r="FE129" s="4"/>
      <x:c r="FF129" s="4"/>
      <x:c r="FG129" s="4"/>
      <x:c r="FH129" s="4"/>
      <x:c r="FI129" s="4"/>
      <x:c r="FJ129" s="4"/>
      <x:c r="FK129" s="4"/>
      <x:c r="FL129" s="4"/>
      <x:c r="FM129" s="4"/>
      <x:c r="FN129" s="4"/>
      <x:c r="FO129" s="4"/>
      <x:c r="GA129" s="71"/>
      <x:c r="GB129" s="71"/>
      <x:c r="GC129" s="71"/>
      <x:c r="GD129" s="71"/>
      <x:c r="GE129" s="71"/>
      <x:c r="GF129" s="71"/>
      <x:c r="GG129" s="71"/>
      <x:c r="GH129" s="71"/>
      <x:c r="GI129" s="71"/>
      <x:c r="GJ129" s="71"/>
      <x:c r="GK129" s="71"/>
      <x:c r="GL129" s="71"/>
      <x:c r="GM129" s="71"/>
      <x:c r="GN129" s="71"/>
      <x:c r="GO129" s="71"/>
      <x:c r="GP129" s="71"/>
      <x:c r="GQ129" s="71"/>
      <x:c r="GR129" s="71"/>
      <x:c r="GS129" s="71"/>
      <x:c r="GT129" s="71"/>
      <x:c r="GU129" s="71"/>
      <x:c r="GV129" s="71"/>
      <x:c r="GW129" s="71"/>
      <x:c r="GX129" s="71" t="str">
        <x:f>IF(COUNTA('Dashboard'!N129,'Dashboard'!P129,'Dashboard'!R129,'Dashboard'!T129)=0,"No thresholds",IF(OR(COUNT('Dashboard'!N129,'Dashboard'!P129,'Dashboard'!R129,'Dashboard'!T129)&lt;&gt;COUNTA('Dashboard'!N129,'Dashboard'!P129,'Dashboard'!R129,'Dashboard'!T129),MIN('Dashboard'!N129,'Dashboard'!P129,'Dashboard'!R129,'Dashboard'!T129)&lt;0,MAX('Dashboard'!N129,'Dashboard'!P129,'Dashboard'!R129,'Dashboard'!T129)&gt;1),"Check thresholds",TEXT(SUM('Dashboard'!N129,'Dashboard'!P129,'Dashboard'!R129,'Dashboard'!T129),"0%")&amp;" - separate caps"))</x:f>
        <x:v>112% - separate caps</x:v>
      </x:c>
      <x:c r="GY129" s="71"/>
      <x:c r="GZ129" s="71"/>
      <x:c r="HA129" s="71"/>
      <x:c r="HB129" s="71"/>
      <x:c r="HC129" s="71"/>
      <x:c r="HD129" s="71"/>
      <x:c r="HE129" t="str">
        <x:f>IF('Calculations'!EM129="","",IF(IFERROR(IF(INDEX(INDIRECT("'WCM Calibration Final'!$A$1:$A$2000"),'Calculations'!$EM129)="","",TRIM(INDEX(INDIRECT("'WCM Calibration Final'!$A$1:$A$2000"),'Calculations'!$EM129)&amp;"")),"")&lt;&gt;"","G:"&amp;IFERROR(TEXT(1*INDEX(INDIRECT("'WCM Calibration Final'!$A$1:$A$2000"),'Calculations'!$EM129),"0"),UPPER(IFERROR(IF(INDEX(INDIRECT("'WCM Calibration Final'!$A$1:$A$2000"),'Calculations'!$EM129)="","",TRIM(INDEX(INDIRECT("'WCM Calibration Final'!$A$1:$A$2000"),'Calculations'!$EM129)&amp;"")),""))),IF(IFERROR(IF(INDEX(INDIRECT("'WCM Calibration Final'!$C$1:$C$2000"),'Calculations'!$EM129)="","",TRIM(INDEX(INDIRECT("'WCM Calibration Final'!$C$1:$C$2000"),'Calculations'!$EM129)&amp;"")),"")&lt;&gt;"","S:"&amp;UPPER(IFERROR(IF(INDEX(INDIRECT("'WCM Calibration Final'!$C$1:$C$2000"),'Calculations'!$EM129)="","",TRIM(INDEX(INDIRECT("'WCM Calibration Final'!$C$1:$C$2000"),'Calculations'!$EM129)&amp;"")),"")),"R:"&amp;'Calculations'!EM129)))</x:f>
      </x:c>
      <x:c r="HF129" t="str">
        <x:f>IF('Calculations'!EM129="","",IF(IFERROR(IF(INDEX(INDIRECT("'WCM Calibration Final'!$D$1:$D$2000"),'Calculations'!$EM129)="","",TRIM(INDEX(INDIRECT("'WCM Calibration Final'!$D$1:$D$2000"),'Calculations'!$EM129)&amp;"")),"")&lt;&gt;"","G:"&amp;IFERROR(TEXT(1*INDEX(INDIRECT("'WCM Calibration Final'!$D$1:$D$2000"),'Calculations'!$EM129),"0"),UPPER(IFERROR(IF(INDEX(INDIRECT("'WCM Calibration Final'!$D$1:$D$2000"),'Calculations'!$EM129)="","",TRIM(INDEX(INDIRECT("'WCM Calibration Final'!$D$1:$D$2000"),'Calculations'!$EM129)&amp;"")),""))),IF(IFERROR(IF(INDEX(INDIRECT("'WCM Calibration Final'!$E$1:$E$2000"),'Calculations'!$EM129)="","",TRIM(INDEX(INDIRECT("'WCM Calibration Final'!$E$1:$E$2000"),'Calculations'!$EM129)&amp;"")),"")="","",IF(COUNTIF('Calculations'!$HG$13:$HG$512,"="&amp;SUBSTITUTE(SUBSTITUTE(SUBSTITUTE(IFERROR(IF(INDEX(INDIRECT("'WCM Calibration Final'!$E$1:$E$2000"),'Calculations'!$EM129)="","",TRIM(INDEX(INDIRECT("'WCM Calibration Final'!$E$1:$E$2000"),'Calculations'!$EM129)&amp;"")),""),"~","~~"),"*","~*"),"?","~?"))=1,INDEX('Calculations'!$HE$13:$HE$512,MATCH(IFERROR(IF(INDEX(INDIRECT("'WCM Calibration Final'!$E$1:$E$2000"),'Calculations'!$EM129)="","",TRIM(INDEX(INDIRECT("'WCM Calibration Final'!$E$1:$E$2000"),'Calculations'!$EM129)&amp;"")),""),'Calculations'!$HG$13:$HG$512,0)),IF(COUNTIF('Calculations'!$HG$13:$HG$512,"="&amp;SUBSTITUTE(SUBSTITUTE(SUBSTITUTE(IFERROR(IF(INDEX(INDIRECT("'WCM Calibration Final'!$E$1:$E$2000"),'Calculations'!$EM129)="","",TRIM(INDEX(INDIRECT("'WCM Calibration Final'!$E$1:$E$2000"),'Calculations'!$EM129)&amp;"")),""),"~","~~"),"*","~*"),"?","~?"))&gt;1,"!AMBIG","X:"&amp;IFERROR(IF(INDEX(INDIRECT("'WCM Calibration Final'!$E$1:$E$2000"),'Calculations'!$EM129)="","",TRIM(INDEX(INDIRECT("'WCM Calibration Final'!$E$1:$E$2000"),'Calculations'!$EM129)&amp;"")),""))))))</x:f>
      </x:c>
      <x:c r="HG129" t="str">
        <x:f>IF('Calculations'!EM129="","",IFERROR(IF(INDEX(INDIRECT("'WCM Calibration Final'!$B$1:$B$2000"),'Calculations'!$EM129)="","",TRIM(INDEX(INDIRECT("'WCM Calibration Final'!$B$1:$B$2000"),'Calculations'!$EM129)&amp;"")),""))</x:f>
      </x:c>
      <x:c r="HH129" t="n">
        <x:f>IF(AND('Calculations'!JC129&gt;0,COUNTIF('Calculations'!$HF$12:HF129,"="&amp;SUBSTITUTE(SUBSTITUTE(SUBSTITUTE('Calculations'!HF129,"~","~~"),"*","~*"),"?","~?"))=1),MAX('Calculations'!$HH$12:HH128)+1,0)</x:f>
        <x:v>0</x:v>
      </x:c>
      <x:c r="HI129" t="n">
        <x:f>IF(AND('Calculations'!HN129&lt;&gt;"",COUNTIF('Calculations'!$HN$12:HN129,"="&amp;SUBSTITUTE(SUBSTITUTE(SUBSTITUTE('Calculations'!HN129,"~","~~"),"*","~*"),"?","~?"))=1),MAX('Calculations'!$HI$12:HI128)+1,0)</x:f>
        <x:v>0</x:v>
      </x:c>
      <x:c r="HJ129" t="str">
        <x:f>IF('Calculations'!HF129="","",IF(COUNTIF('Calculations'!$HE$13:$HE$512,"="&amp;SUBSTITUTE(SUBSTITUTE(SUBSTITUTE('Calculations'!HF129,"~","~~"),"*","~*"),"?","~?"))=1,INDEX('Calculations'!$HK$13:$HK$512,MATCH('Calculations'!HF129,'Calculations'!$HE$13:$HE$512,0)),IFERROR(IF(INDEX(INDIRECT("'WCM Calibration Final'!$E$1:$E$2000"),'Calculations'!$EM129)="","",TRIM(INDEX(INDIRECT("'WCM Calibration Final'!$E$1:$E$2000"),'Calculations'!$EM129)&amp;"")),"")&amp;" ["&amp;'Calculations'!HF129&amp;"]"))</x:f>
      </x:c>
      <x:c r="HK129" t="str">
        <x:f>IF('Calculations'!EM129="","",'Calculations'!HG129&amp;" ["&amp;'Calculations'!HE129&amp;"]")</x:f>
      </x:c>
      <x:c r="HL129" t="n">
        <x:f>IF('Calculations'!EM129="",0,IF(OR('Calculations'!II129&lt;&gt;"",COUNTIF('Calculations'!$HE$13:$HE$512,"="&amp;SUBSTITUTE(SUBSTITUTE(SUBSTITUTE('Calculations'!HE129,"~","~~"),"*","~*"),"?","~?"))&gt;1),1,0))</x:f>
        <x:v>0</x:v>
      </x:c>
      <x:c r="HM129" t="str">
        <x:f>IF('Calculations'!EM129="","",IF('Calculations'!HL129=1,"!UNRESOLVED",IF('Calculations'!IH129&lt;&gt;"",'Calculations'!IH129,IF('Calculations'!IG129&lt;&gt;"",'Calculations'!IG129,IF('Calculations'!IF129&lt;&gt;"",'Calculations'!IF129,IF('Calculations'!IE129&lt;&gt;"",'Calculations'!IE129,IF('Calculations'!ID129&lt;&gt;"",'Calculations'!ID129,IF('Calculations'!IC129&lt;&gt;"",'Calculations'!IC129,IF('Calculations'!IB129&lt;&gt;"",'Calculations'!IB129,IF('Calculations'!IA129&lt;&gt;"",'Calculations'!IA129,IF('Calculations'!HZ129&lt;&gt;"",'Calculations'!HZ129,IF('Calculations'!HY129&lt;&gt;"",'Calculations'!HY129,IF('Calculations'!HX129&lt;&gt;"",'Calculations'!HX129,IF('Calculations'!HW129&lt;&gt;"",'Calculations'!HW129,IF('Calculations'!HV129&lt;&gt;"",'Calculations'!HV129,IF('Calculations'!HU129&lt;&gt;"",'Calculations'!HU129,IF('Calculations'!HT129&lt;&gt;"",'Calculations'!HT129,IF('Calculations'!HS129&lt;&gt;"",'Calculations'!HS129,IF('Calculations'!HR129&lt;&gt;"",'Calculations'!HR129,IF('Calculations'!HQ129&lt;&gt;"",'Calculations'!HQ129,IF('Calculations'!HP129&lt;&gt;"",'Calculations'!HP129,IF('Calculations'!HO129&lt;&gt;"",'Calculations'!HO129,'Calculations'!HE129))))))))))))))))))))))</x:f>
      </x:c>
      <x:c r="HN129" t="str">
        <x:f>IF('Calculations'!EM129="","",IF(IFERROR(IF(INDEX(INDIRECT("'WCM Calibration Final'!$F$1:$F$2000"),'Calculations'!$EM129)="","",TRIM(INDEX(INDIRECT("'WCM Calibration Final'!$F$1:$F$2000"),'Calculations'!$EM129)&amp;"")),"")="","(Blank)",IFERROR(IF(INDEX(INDIRECT("'WCM Calibration Final'!$F$1:$F$2000"),'Calculations'!$EM129)="","",TRIM(INDEX(INDIRECT("'WCM Calibration Final'!$F$1:$F$2000"),'Calculations'!$EM129)&amp;"")),"")))</x:f>
      </x:c>
      <x:c r="HO129" t="str">
        <x:f>'Calculations'!HF129</x:f>
      </x:c>
      <x:c r="HP129" t="str">
        <x:f>IF('Calculations'!HO129="","",IF('Calculations'!HO129="!AMBIG","!AMBIG",IF(COUNTIF('Calculations'!$HE$13:$HE$512,"="&amp;SUBSTITUTE(SUBSTITUTE(SUBSTITUTE('Calculations'!HO129,"~","~~"),"*","~*"),"?","~?"))&gt;1,"!AMBIG",IFERROR(INDEX('Calculations'!$HF$13:$HF$512,MATCH('Calculations'!HO129,'Calculations'!$HE$13:$HE$512,0)),""))))</x:f>
      </x:c>
      <x:c r="HQ129" t="str">
        <x:f>IF('Calculations'!HP129="","",IF('Calculations'!HP129="!AMBIG","!AMBIG",IF(COUNTIF('Calculations'!$HE$13:$HE$512,"="&amp;SUBSTITUTE(SUBSTITUTE(SUBSTITUTE('Calculations'!HP129,"~","~~"),"*","~*"),"?","~?"))&gt;1,"!AMBIG",IFERROR(INDEX('Calculations'!$HF$13:$HF$512,MATCH('Calculations'!HP129,'Calculations'!$HE$13:$HE$512,0)),""))))</x:f>
      </x:c>
      <x:c r="HR129" t="str">
        <x:f>IF('Calculations'!HQ129="","",IF('Calculations'!HQ129="!AMBIG","!AMBIG",IF(COUNTIF('Calculations'!$HE$13:$HE$512,"="&amp;SUBSTITUTE(SUBSTITUTE(SUBSTITUTE('Calculations'!HQ129,"~","~~"),"*","~*"),"?","~?"))&gt;1,"!AMBIG",IFERROR(INDEX('Calculations'!$HF$13:$HF$512,MATCH('Calculations'!HQ129,'Calculations'!$HE$13:$HE$512,0)),""))))</x:f>
      </x:c>
      <x:c r="HS129" t="str">
        <x:f>IF('Calculations'!HR129="","",IF('Calculations'!HR129="!AMBIG","!AMBIG",IF(COUNTIF('Calculations'!$HE$13:$HE$512,"="&amp;SUBSTITUTE(SUBSTITUTE(SUBSTITUTE('Calculations'!HR129,"~","~~"),"*","~*"),"?","~?"))&gt;1,"!AMBIG",IFERROR(INDEX('Calculations'!$HF$13:$HF$512,MATCH('Calculations'!HR129,'Calculations'!$HE$13:$HE$512,0)),""))))</x:f>
      </x:c>
      <x:c r="HT129" t="str">
        <x:f>IF('Calculations'!HS129="","",IF('Calculations'!HS129="!AMBIG","!AMBIG",IF(COUNTIF('Calculations'!$HE$13:$HE$512,"="&amp;SUBSTITUTE(SUBSTITUTE(SUBSTITUTE('Calculations'!HS129,"~","~~"),"*","~*"),"?","~?"))&gt;1,"!AMBIG",IFERROR(INDEX('Calculations'!$HF$13:$HF$512,MATCH('Calculations'!HS129,'Calculations'!$HE$13:$HE$512,0)),""))))</x:f>
      </x:c>
      <x:c r="HU129" t="str">
        <x:f>IF('Calculations'!HT129="","",IF('Calculations'!HT129="!AMBIG","!AMBIG",IF(COUNTIF('Calculations'!$HE$13:$HE$512,"="&amp;SUBSTITUTE(SUBSTITUTE(SUBSTITUTE('Calculations'!HT129,"~","~~"),"*","~*"),"?","~?"))&gt;1,"!AMBIG",IFERROR(INDEX('Calculations'!$HF$13:$HF$512,MATCH('Calculations'!HT129,'Calculations'!$HE$13:$HE$512,0)),""))))</x:f>
      </x:c>
      <x:c r="HV129" t="str">
        <x:f>IF('Calculations'!HU129="","",IF('Calculations'!HU129="!AMBIG","!AMBIG",IF(COUNTIF('Calculations'!$HE$13:$HE$512,"="&amp;SUBSTITUTE(SUBSTITUTE(SUBSTITUTE('Calculations'!HU129,"~","~~"),"*","~*"),"?","~?"))&gt;1,"!AMBIG",IFERROR(INDEX('Calculations'!$HF$13:$HF$512,MATCH('Calculations'!HU129,'Calculations'!$HE$13:$HE$512,0)),""))))</x:f>
      </x:c>
      <x:c r="HW129" t="str">
        <x:f>IF('Calculations'!HV129="","",IF('Calculations'!HV129="!AMBIG","!AMBIG",IF(COUNTIF('Calculations'!$HE$13:$HE$512,"="&amp;SUBSTITUTE(SUBSTITUTE(SUBSTITUTE('Calculations'!HV129,"~","~~"),"*","~*"),"?","~?"))&gt;1,"!AMBIG",IFERROR(INDEX('Calculations'!$HF$13:$HF$512,MATCH('Calculations'!HV129,'Calculations'!$HE$13:$HE$512,0)),""))))</x:f>
      </x:c>
      <x:c r="HX129" t="str">
        <x:f>IF('Calculations'!HW129="","",IF('Calculations'!HW129="!AMBIG","!AMBIG",IF(COUNTIF('Calculations'!$HE$13:$HE$512,"="&amp;SUBSTITUTE(SUBSTITUTE(SUBSTITUTE('Calculations'!HW129,"~","~~"),"*","~*"),"?","~?"))&gt;1,"!AMBIG",IFERROR(INDEX('Calculations'!$HF$13:$HF$512,MATCH('Calculations'!HW129,'Calculations'!$HE$13:$HE$512,0)),""))))</x:f>
      </x:c>
      <x:c r="HY129" t="str">
        <x:f>IF('Calculations'!HX129="","",IF('Calculations'!HX129="!AMBIG","!AMBIG",IF(COUNTIF('Calculations'!$HE$13:$HE$512,"="&amp;SUBSTITUTE(SUBSTITUTE(SUBSTITUTE('Calculations'!HX129,"~","~~"),"*","~*"),"?","~?"))&gt;1,"!AMBIG",IFERROR(INDEX('Calculations'!$HF$13:$HF$512,MATCH('Calculations'!HX129,'Calculations'!$HE$13:$HE$512,0)),""))))</x:f>
      </x:c>
      <x:c r="HZ129" t="str">
        <x:f>IF('Calculations'!HY129="","",IF('Calculations'!HY129="!AMBIG","!AMBIG",IF(COUNTIF('Calculations'!$HE$13:$HE$512,"="&amp;SUBSTITUTE(SUBSTITUTE(SUBSTITUTE('Calculations'!HY129,"~","~~"),"*","~*"),"?","~?"))&gt;1,"!AMBIG",IFERROR(INDEX('Calculations'!$HF$13:$HF$512,MATCH('Calculations'!HY129,'Calculations'!$HE$13:$HE$512,0)),""))))</x:f>
      </x:c>
      <x:c r="IA129" t="str">
        <x:f>IF('Calculations'!HZ129="","",IF('Calculations'!HZ129="!AMBIG","!AMBIG",IF(COUNTIF('Calculations'!$HE$13:$HE$512,"="&amp;SUBSTITUTE(SUBSTITUTE(SUBSTITUTE('Calculations'!HZ129,"~","~~"),"*","~*"),"?","~?"))&gt;1,"!AMBIG",IFERROR(INDEX('Calculations'!$HF$13:$HF$512,MATCH('Calculations'!HZ129,'Calculations'!$HE$13:$HE$512,0)),""))))</x:f>
      </x:c>
      <x:c r="IB129" t="str">
        <x:f>IF('Calculations'!IA129="","",IF('Calculations'!IA129="!AMBIG","!AMBIG",IF(COUNTIF('Calculations'!$HE$13:$HE$512,"="&amp;SUBSTITUTE(SUBSTITUTE(SUBSTITUTE('Calculations'!IA129,"~","~~"),"*","~*"),"?","~?"))&gt;1,"!AMBIG",IFERROR(INDEX('Calculations'!$HF$13:$HF$512,MATCH('Calculations'!IA129,'Calculations'!$HE$13:$HE$512,0)),""))))</x:f>
      </x:c>
      <x:c r="IC129" t="str">
        <x:f>IF('Calculations'!IB129="","",IF('Calculations'!IB129="!AMBIG","!AMBIG",IF(COUNTIF('Calculations'!$HE$13:$HE$512,"="&amp;SUBSTITUTE(SUBSTITUTE(SUBSTITUTE('Calculations'!IB129,"~","~~"),"*","~*"),"?","~?"))&gt;1,"!AMBIG",IFERROR(INDEX('Calculations'!$HF$13:$HF$512,MATCH('Calculations'!IB129,'Calculations'!$HE$13:$HE$512,0)),""))))</x:f>
      </x:c>
      <x:c r="ID129" t="str">
        <x:f>IF('Calculations'!IC129="","",IF('Calculations'!IC129="!AMBIG","!AMBIG",IF(COUNTIF('Calculations'!$HE$13:$HE$512,"="&amp;SUBSTITUTE(SUBSTITUTE(SUBSTITUTE('Calculations'!IC129,"~","~~"),"*","~*"),"?","~?"))&gt;1,"!AMBIG",IFERROR(INDEX('Calculations'!$HF$13:$HF$512,MATCH('Calculations'!IC129,'Calculations'!$HE$13:$HE$512,0)),""))))</x:f>
      </x:c>
      <x:c r="IE129" t="str">
        <x:f>IF('Calculations'!ID129="","",IF('Calculations'!ID129="!AMBIG","!AMBIG",IF(COUNTIF('Calculations'!$HE$13:$HE$512,"="&amp;SUBSTITUTE(SUBSTITUTE(SUBSTITUTE('Calculations'!ID129,"~","~~"),"*","~*"),"?","~?"))&gt;1,"!AMBIG",IFERROR(INDEX('Calculations'!$HF$13:$HF$512,MATCH('Calculations'!ID129,'Calculations'!$HE$13:$HE$512,0)),""))))</x:f>
      </x:c>
      <x:c r="IF129" t="str">
        <x:f>IF('Calculations'!IE129="","",IF('Calculations'!IE129="!AMBIG","!AMBIG",IF(COUNTIF('Calculations'!$HE$13:$HE$512,"="&amp;SUBSTITUTE(SUBSTITUTE(SUBSTITUTE('Calculations'!IE129,"~","~~"),"*","~*"),"?","~?"))&gt;1,"!AMBIG",IFERROR(INDEX('Calculations'!$HF$13:$HF$512,MATCH('Calculations'!IE129,'Calculations'!$HE$13:$HE$512,0)),""))))</x:f>
      </x:c>
      <x:c r="IG129" t="str">
        <x:f>IF('Calculations'!IF129="","",IF('Calculations'!IF129="!AMBIG","!AMBIG",IF(COUNTIF('Calculations'!$HE$13:$HE$512,"="&amp;SUBSTITUTE(SUBSTITUTE(SUBSTITUTE('Calculations'!IF129,"~","~~"),"*","~*"),"?","~?"))&gt;1,"!AMBIG",IFERROR(INDEX('Calculations'!$HF$13:$HF$512,MATCH('Calculations'!IF129,'Calculations'!$HE$13:$HE$512,0)),""))))</x:f>
      </x:c>
      <x:c r="IH129" t="str">
        <x:f>IF('Calculations'!IG129="","",IF('Calculations'!IG129="!AMBIG","!AMBIG",IF(COUNTIF('Calculations'!$HE$13:$HE$512,"="&amp;SUBSTITUTE(SUBSTITUTE(SUBSTITUTE('Calculations'!IG129,"~","~~"),"*","~*"),"?","~?"))&gt;1,"!AMBIG",IFERROR(INDEX('Calculations'!$HF$13:$HF$512,MATCH('Calculations'!IG129,'Calculations'!$HE$13:$HE$512,0)),""))))</x:f>
      </x:c>
      <x:c r="II129" t="str">
        <x:f>IF('Calculations'!IH129="","",IF('Calculations'!IH129="!AMBIG","!AMBIG",IF(COUNTIF('Calculations'!$HE$13:$HE$512,"="&amp;SUBSTITUTE(SUBSTITUTE(SUBSTITUTE('Calculations'!IH129,"~","~~"),"*","~*"),"?","~?"))&gt;1,"!AMBIG",IFERROR(INDEX('Calculations'!$HF$13:$HF$512,MATCH('Calculations'!IH129,'Calculations'!$HE$13:$HE$512,0)),""))))</x:f>
      </x:c>
      <x:c r="IJ129" t="str">
        <x:f>IF('Calculations'!EM129="","",IF('Calculations'!$EF$2="All",'Calculations'!HM129,IF('Calculations'!HL129=1,"",IFERROR(IF(MATCH('Calculations'!$EF$2,'Calculations'!HO129:II129,0)=1,'Calculations'!HE129,INDEX('Calculations'!HO129:II129,1,MATCH('Calculations'!$EF$2,'Calculations'!HO129:II129,0)-1)),""))))</x:f>
      </x:c>
      <x:c r="IK129" t="n">
        <x:f>IF(AND('Calculations'!EM129&lt;&gt;"",'Calculations'!$EF$2&lt;&gt;"All",'Calculations'!HF129='Calculations'!$EF$2,'Calculations'!HL129=0,'Calculations'!JD129&gt;0),MAX('Calculations'!$IK$12:IK128)+1,0)</x:f>
        <x:v>0</x:v>
      </x:c>
      <x:c r="JA129" t="n">
        <x:f>IF(OR(IFERROR(INDIRECT("'WCM Calibration Final'!$A$129")&lt;&gt;"",FALSE),IFERROR(INDIRECT("'WCM Calibration Final'!$B$129")&lt;&gt;"",FALSE),IFERROR(INDIRECT("'WCM Calibration Final'!$C$129")&lt;&gt;"",FALSE)),129,0)</x:f>
        <x:v>0</x:v>
      </x:c>
      <x:c r="JB129" t="n">
        <x:f>'Calculations'!JB128+IF('Calculations'!JA129&gt;0,1,0)</x:f>
        <x:v>0</x:v>
      </x:c>
      <x:c r="JC129" t="n">
        <x:f>IF(OR('Calculations'!HF129="",'Calculations'!HF129="!AMBIG"),0,IF('Dashboard'!$B$7="All",1,COUNTIFS('Calculations'!$HO$13:$HO$512,"="&amp;SUBSTITUTE(SUBSTITUTE(SUBSTITUTE('Calculations'!HF129,"~","~~"),"*","~*"),"?","~?"),'Calculations'!$HN$13:$HN$512,"="&amp;SUBSTITUTE(SUBSTITUTE(SUBSTITUTE('Dashboard'!$B$7,"~","~~"),"*","~*"),"?","~?"))+COUNTIFS('Calculations'!$HP$13:$HP$512,"="&amp;SUBSTITUTE(SUBSTITUTE(SUBSTITUTE('Calculations'!HF129,"~","~~"),"*","~*"),"?","~?"),'Calculations'!$HN$13:$HN$512,"="&amp;SUBSTITUTE(SUBSTITUTE(SUBSTITUTE('Dashboard'!$B$7,"~","~~"),"*","~*"),"?","~?"))+COUNTIFS('Calculations'!$HQ$13:$HQ$512,"="&amp;SUBSTITUTE(SUBSTITUTE(SUBSTITUTE('Calculations'!HF129,"~","~~"),"*","~*"),"?","~?"),'Calculations'!$HN$13:$HN$512,"="&amp;SUBSTITUTE(SUBSTITUTE(SUBSTITUTE('Dashboard'!$B$7,"~","~~"),"*","~*"),"?","~?"))+COUNTIFS('Calculations'!$HR$13:$HR$512,"="&amp;SUBSTITUTE(SUBSTITUTE(SUBSTITUTE('Calculations'!HF129,"~","~~"),"*","~*"),"?","~?"),'Calculations'!$HN$13:$HN$512,"="&amp;SUBSTITUTE(SUBSTITUTE(SUBSTITUTE('Dashboard'!$B$7,"~","~~"),"*","~*"),"?","~?"))+COUNTIFS('Calculations'!$HS$13:$HS$512,"="&amp;SUBSTITUTE(SUBSTITUTE(SUBSTITUTE('Calculations'!HF129,"~","~~"),"*","~*"),"?","~?"),'Calculations'!$HN$13:$HN$512,"="&amp;SUBSTITUTE(SUBSTITUTE(SUBSTITUTE('Dashboard'!$B$7,"~","~~"),"*","~*"),"?","~?"))+COUNTIFS('Calculations'!$HT$13:$HT$512,"="&amp;SUBSTITUTE(SUBSTITUTE(SUBSTITUTE('Calculations'!HF129,"~","~~"),"*","~*"),"?","~?"),'Calculations'!$HN$13:$HN$512,"="&amp;SUBSTITUTE(SUBSTITUTE(SUBSTITUTE('Dashboard'!$B$7,"~","~~"),"*","~*"),"?","~?"))+COUNTIFS('Calculations'!$HU$13:$HU$512,"="&amp;SUBSTITUTE(SUBSTITUTE(SUBSTITUTE('Calculations'!HF129,"~","~~"),"*","~*"),"?","~?"),'Calculations'!$HN$13:$HN$512,"="&amp;SUBSTITUTE(SUBSTITUTE(SUBSTITUTE('Dashboard'!$B$7,"~","~~"),"*","~*"),"?","~?"))+COUNTIFS('Calculations'!$HV$13:$HV$512,"="&amp;SUBSTITUTE(SUBSTITUTE(SUBSTITUTE('Calculations'!HF129,"~","~~"),"*","~*"),"?","~?"),'Calculations'!$HN$13:$HN$512,"="&amp;SUBSTITUTE(SUBSTITUTE(SUBSTITUTE('Dashboard'!$B$7,"~","~~"),"*","~*"),"?","~?"))+COUNTIFS('Calculations'!$HW$13:$HW$512,"="&amp;SUBSTITUTE(SUBSTITUTE(SUBSTITUTE('Calculations'!HF129,"~","~~"),"*","~*"),"?","~?"),'Calculations'!$HN$13:$HN$512,"="&amp;SUBSTITUTE(SUBSTITUTE(SUBSTITUTE('Dashboard'!$B$7,"~","~~"),"*","~*"),"?","~?"))+COUNTIFS('Calculations'!$HX$13:$HX$512,"="&amp;SUBSTITUTE(SUBSTITUTE(SUBSTITUTE('Calculations'!HF129,"~","~~"),"*","~*"),"?","~?"),'Calculations'!$HN$13:$HN$512,"="&amp;SUBSTITUTE(SUBSTITUTE(SUBSTITUTE('Dashboard'!$B$7,"~","~~"),"*","~*"),"?","~?"))+COUNTIFS('Calculations'!$HY$13:$HY$512,"="&amp;SUBSTITUTE(SUBSTITUTE(SUBSTITUTE('Calculations'!HF129,"~","~~"),"*","~*"),"?","~?"),'Calculations'!$HN$13:$HN$512,"="&amp;SUBSTITUTE(SUBSTITUTE(SUBSTITUTE('Dashboard'!$B$7,"~","~~"),"*","~*"),"?","~?"))+COUNTIFS('Calculations'!$HZ$13:$HZ$512,"="&amp;SUBSTITUTE(SUBSTITUTE(SUBSTITUTE('Calculations'!HF129,"~","~~"),"*","~*"),"?","~?"),'Calculations'!$HN$13:$HN$512,"="&amp;SUBSTITUTE(SUBSTITUTE(SUBSTITUTE('Dashboard'!$B$7,"~","~~"),"*","~*"),"?","~?"))+COUNTIFS('Calculations'!$IA$13:$IA$512,"="&amp;SUBSTITUTE(SUBSTITUTE(SUBSTITUTE('Calculations'!HF129,"~","~~"),"*","~*"),"?","~?"),'Calculations'!$HN$13:$HN$512,"="&amp;SUBSTITUTE(SUBSTITUTE(SUBSTITUTE('Dashboard'!$B$7,"~","~~"),"*","~*"),"?","~?"))+COUNTIFS('Calculations'!$IB$13:$IB$512,"="&amp;SUBSTITUTE(SUBSTITUTE(SUBSTITUTE('Calculations'!HF129,"~","~~"),"*","~*"),"?","~?"),'Calculations'!$HN$13:$HN$512,"="&amp;SUBSTITUTE(SUBSTITUTE(SUBSTITUTE('Dashboard'!$B$7,"~","~~"),"*","~*"),"?","~?"))+COUNTIFS('Calculations'!$IC$13:$IC$512,"="&amp;SUBSTITUTE(SUBSTITUTE(SUBSTITUTE('Calculations'!HF129,"~","~~"),"*","~*"),"?","~?"),'Calculations'!$HN$13:$HN$512,"="&amp;SUBSTITUTE(SUBSTITUTE(SUBSTITUTE('Dashboard'!$B$7,"~","~~"),"*","~*"),"?","~?"))+COUNTIFS('Calculations'!$ID$13:$ID$512,"="&amp;SUBSTITUTE(SUBSTITUTE(SUBSTITUTE('Calculations'!HF129,"~","~~"),"*","~*"),"?","~?"),'Calculations'!$HN$13:$HN$512,"="&amp;SUBSTITUTE(SUBSTITUTE(SUBSTITUTE('Dashboard'!$B$7,"~","~~"),"*","~*"),"?","~?"))+COUNTIFS('Calculations'!$IE$13:$IE$512,"="&amp;SUBSTITUTE(SUBSTITUTE(SUBSTITUTE('Calculations'!HF129,"~","~~"),"*","~*"),"?","~?"),'Calculations'!$HN$13:$HN$512,"="&amp;SUBSTITUTE(SUBSTITUTE(SUBSTITUTE('Dashboard'!$B$7,"~","~~"),"*","~*"),"?","~?"))+COUNTIFS('Calculations'!$IF$13:$IF$512,"="&amp;SUBSTITUTE(SUBSTITUTE(SUBSTITUTE('Calculations'!HF129,"~","~~"),"*","~*"),"?","~?"),'Calculations'!$HN$13:$HN$512,"="&amp;SUBSTITUTE(SUBSTITUTE(SUBSTITUTE('Dashboard'!$B$7,"~","~~"),"*","~*"),"?","~?"))+COUNTIFS('Calculations'!$IG$13:$IG$512,"="&amp;SUBSTITUTE(SUBSTITUTE(SUBSTITUTE('Calculations'!HF129,"~","~~"),"*","~*"),"?","~?"),'Calculations'!$HN$13:$HN$512,"="&amp;SUBSTITUTE(SUBSTITUTE(SUBSTITUTE('Dashboard'!$B$7,"~","~~"),"*","~*"),"?","~?"))+COUNTIFS('Calculations'!$IH$13:$IH$512,"="&amp;SUBSTITUTE(SUBSTITUTE(SUBSTITUTE('Calculations'!HF129,"~","~~"),"*","~*"),"?","~?"),'Calculations'!$HN$13:$HN$512,"="&amp;SUBSTITUTE(SUBSTITUTE(SUBSTITUTE('Dashboard'!$B$7,"~","~~"),"*","~*"),"?","~?"))))</x:f>
        <x:v>0</x:v>
      </x:c>
      <x:c r="JD129" t="n">
        <x:f>IF('Calculations'!EM129="",0,IF('Dashboard'!$B$7="All",1,IF('Calculations'!HN129='Dashboard'!$B$7,1,0)+IFERROR(INDEX('Calculations'!$JC$13:$JC$512,MATCH('Calculations'!HE129,'Calculations'!$HF$13:$HF$512,0)),0)))</x:f>
        <x:v>0</x:v>
      </x:c>
      <x:c r="JE129" t="n">
        <x:f>IF(AND('Calculations'!EM129&lt;&gt;"",'Calculations'!$JJ$2&lt;&gt;"All",'Calculations'!$JJ$2&lt;&gt;"",'Calculations'!HF129='Calculations'!$JJ$2,'Calculations'!HL129=0,'Calculations'!JD129&gt;0),MAX('Calculations'!$JE$12:JE128)+1,0)</x:f>
        <x:v>0</x:v>
      </x:c>
      <x:c r="JF129" t="str">
        <x:f>IF('Calculations'!EM129="","",IFERROR(IF(INDEX(INDIRECT("'WCM Calibration Final'!$G$1:$G$2000"),'Calculations'!$EM129)="","",TRIM(INDEX(INDIRECT("'WCM Calibration Final'!$G$1:$G$2000"),'Calculations'!$EM129)&amp;"")),""))</x:f>
      </x:c>
      <x:c r="JQ129" t="n">
        <x:f>IF(OR('Calculations'!BM129=0,NOT('Calculations'!$AG$2),'Calculations'!$AG$8&gt;0),0,IF(OR('Dashboard'!$B$7="All",'Calculations'!HN129='Dashboard'!$B$7),IF('Calculations'!$JJ$2="All",1,IF(AND('Calculations'!HF129='Calculations'!$JJ$2,'Calculations'!HL129=0),1,0)),0))</x:f>
        <x:v>0</x:v>
      </x:c>
    </x:row>
    <x:row r="130">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t="n">
        <x:f>IF('Calculations'!$EM130="",0,IF(OR(IFERROR(INDEX(INDIRECT("'WCM Calibration Final'!$A$1:$A$2000"),'Calculations'!$EM130)&lt;&gt;"",FALSE),IFERROR(INDEX(INDIRECT("'WCM Calibration Final'!$B$1:$B$2000"),'Calculations'!$EM130)&lt;&gt;"",FALSE),IFERROR(INDEX(INDIRECT("'WCM Calibration Final'!$C$1:$C$2000"),'Calculations'!$EM130)&lt;&gt;"",FALSE)),1,0))</x:f>
        <x:v>0</x:v>
      </x:c>
      <x:c r="BN130" s="4" t="n">
        <x:f>IF(AND('Calculations'!BM130=1,'Calculations'!$AG$2,'Calculations'!$EN130=1),1,0)</x:f>
        <x:v>0</x:v>
      </x:c>
      <x:c r="BO130" s="4" t="str">
        <x:f>IF('Calculations'!BM130=0,"",IFERROR(IF(AND(VALUE(INDEX(INDIRECT("'WCM Calibration Final'!$K$1:$K$2000"),'Calculations'!$EM130))&gt;=1,VALUE(INDEX(INDIRECT("'WCM Calibration Final'!$K$1:$K$2000"),'Calculations'!$EM130))&lt;=4,MOD(VALUE(INDEX(INDIRECT("'WCM Calibration Final'!$K$1:$K$2000"),'Calculations'!$EM130)),1)=0),VALUE(INDEX(INDIRECT("'WCM Calibration Final'!$K$1:$K$2000"),'Calculations'!$EM130)),""),""))</x:f>
      </x:c>
      <x:c r="BP130" s="4" t="str">
        <x:f>IF('Calculations'!BM130=0,"",IFERROR(IF(AND(VALUE(INDEX(INDIRECT("'WCM Calibration Final'!$L$1:$L$2000"),'Calculations'!$EM130))&gt;=1,VALUE(INDEX(INDIRECT("'WCM Calibration Final'!$L$1:$L$2000"),'Calculations'!$EM130))&lt;=4,MOD(VALUE(INDEX(INDIRECT("'WCM Calibration Final'!$L$1:$L$2000"),'Calculations'!$EM130)),1)=0),VALUE(INDEX(INDIRECT("'WCM Calibration Final'!$L$1:$L$2000"),'Calculations'!$EM130)),""),""))</x:f>
      </x:c>
      <x:c r="BQ130" s="4"/>
      <x:c r="BR130" s="4"/>
      <x:c r="BS130" s="4"/>
      <x:c r="BT130" s="4" t="n">
        <x:f>IF(AND('Calculations'!BM130=1,ISNUMBER('Calculations'!BO130),ISNUMBER('Calculations'!BP130)),1,0)</x:f>
        <x:v>0</x:v>
      </x:c>
      <x:c r="BU130" s="4" t="str">
        <x:f>IF('Calculations'!BM130=0,"",'Calculations'!$EO130)</x:f>
      </x:c>
      <x:c r="BV130" s="4" t="str">
        <x:f>IF('Calculations'!BM130=0,"",IFERROR(IF(OR(INDEX(INDIRECT("'WCM Calibration Final'!$H$1:$H$2000"),'Calculations'!$EM130)="MANAGING DIRECTOR",INDEX(INDIRECT("'WCM Calibration Final'!$H$1:$H$2000"),'Calculations'!$EM130)="DIRECTOR",INDEX(INDIRECT("'WCM Calibration Final'!$H$1:$H$2000"),'Calculations'!$EM130)="SENIOR VICE PRESIDENT",INDEX(INDIRECT("'WCM Calibration Final'!$H$1:$H$2000"),'Calculations'!$EM130)="VICE PRESIDENT",INDEX(INDIRECT("'WCM Calibration Final'!$H$1:$H$2000"),'Calculations'!$EM130)="ASSISTANT VICE PRESIDENT",INDEX(INDIRECT("'WCM Calibration Final'!$H$1:$H$2000"),'Calculations'!$EM130)="OFFICER"),UPPER(INDEX(INDIRECT("'WCM Calibration Final'!$H$1:$H$2000"),'Calculations'!$EM130)),"Other"),"Other"))</x:f>
      </x:c>
      <x:c r="BW130" s="4"/>
      <x:c r="BX130" s="4"/>
      <x:c r="BY130" s="4" t="n">
        <x:f>IF(AND('Calculations'!BM130=1,'Calculations'!BU130&lt;&gt;"",COUNTIF('Calculations'!$BU$12:BU130,'Calculations'!BU130)=1),MAX('Calculations'!$BY$11:BY129)+1,0)</x:f>
        <x:v>0</x:v>
      </x:c>
      <x:c r="BZ130" s="4" t="str">
        <x:f>IF('Dashboard'!$E$67="What",'Calculations'!BO130,'Calculations'!BP130)</x:f>
      </x:c>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t="str">
        <x:f>IF(119&gt;MAX('Calculations'!$HI$13:$HI$512),"",INDEX('Calculations'!$HN$13:$HN$512,MATCH(119,'Calculations'!$HI$13:$HI$512,0)))</x:f>
      </x:c>
      <x:c r="DB130" s="4" t="str">
        <x:f>IF(119&gt;MAX('Calculations'!$HH$13:$HH$512),"",INDEX('Calculations'!$HJ$13:$HJ$512,MATCH(119,'Calculations'!$HH$13:$HH$512,0)))</x:f>
      </x:c>
      <x:c r="DC130" s="4" t="str">
        <x:f>IF(ROW()-11&gt;MAX('Calculations'!$BY$13:$BY$512),"",INDEX('Calculations'!$BU$13:$BU$512,MATCH(ROW()-11,'Calculations'!$BY$13:$BY$512,0)))</x:f>
      </x:c>
      <x:c r="DD130" s="4" t="str">
        <x:f>IF(119&gt;MAX('Calculations'!$IK$13:$IK$512),"",INDEX('Calculations'!$HK$13:$HK$512,MATCH(119,'Calculations'!$IK$13:$IK$512,0)))</x:f>
      </x:c>
      <x:c r="DE130" s="4" t="str">
        <x:f>'Calculations'!DC130</x:f>
      </x:c>
      <x:c r="DF130" s="4" t="str">
        <x:f>IF('Calculations'!DE130="","",COUNTIFS('Calculations'!$BN$13:$BN$512,1,'Calculations'!$BU$13:$BU$512,'Calculations'!DE130))</x:f>
      </x:c>
      <x:c r="DG130" s="4" t="str">
        <x:f>IF('Calculations'!DE130="","",COUNTIFS('Calculations'!$BN$13:$BN$512,1,'Calculations'!$BU$13:$BU$512,'Calculations'!DE130,'Calculations'!$BT$13:$BT$512,1))</x:f>
      </x:c>
      <x:c r="DH130" s="4" t="str">
        <x:f>IF('Calculations'!DE130="","",'Calculations'!DF130-'Calculations'!DG130)</x:f>
      </x:c>
      <x:c r="DI130" s="4" t="str">
        <x:f>IF(OR('Calculations'!DE130="",'Calculations'!DF130=0),"",'Calculations'!DG130/'Calculations'!DF130)</x:f>
      </x:c>
      <x:c r="DJ130" s="4" t="str">
        <x:f>IF('Calculations'!DE130="","",COUNTIFS('Calculations'!$BN$13:$BN$512,1,'Calculations'!$BU$13:$BU$512,'Calculations'!DE130,'Calculations'!$BT$13:$BT$512,1,'Calculations'!$EE$13:$EE$512,"High"))</x:f>
      </x:c>
      <x:c r="DK130" s="4" t="str">
        <x:f>IF('Calculations'!DE130="","",COUNTIFS('Calculations'!$BN$13:$BN$512,1,'Calculations'!$BU$13:$BU$512,'Calculations'!DE130,'Calculations'!$BT$13:$BT$512,1,'Calculations'!$EE$13:$EE$512,"Strong"))</x:f>
      </x:c>
      <x:c r="DL130" s="4" t="str">
        <x:f>IF('Calculations'!DE130="","",COUNTIFS('Calculations'!$BN$13:$BN$512,1,'Calculations'!$BU$13:$BU$512,'Calculations'!DE130,'Calculations'!$BT$13:$BT$512,1,'Calculations'!$EE$13:$EE$512,"Solid"))</x:f>
      </x:c>
      <x:c r="DM130" s="4" t="str">
        <x:f>IF('Calculations'!DE130="","",COUNTIFS('Calculations'!$BN$13:$BN$512,1,'Calculations'!$BU$13:$BU$512,'Calculations'!DE130,'Calculations'!$BT$13:$BT$512,1,'Calculations'!$EE$13:$EE$512,"Low"))</x:f>
      </x:c>
      <x:c r="DN130" s="4" t="str">
        <x:f>IF('Calculations'!DE130="","",COUNTIFS('Calculations'!$BN$13:$BN$512,1,'Calculations'!$BU$13:$BU$512,'Calculations'!DE130,'Calculations'!$EP$13:$EP$512,1))</x:f>
      </x:c>
      <x:c r="DO130" s="4" t="str">
        <x:f>IF(OR('Calculations'!DE130="",'Calculations'!DG130=0),"",('Calculations'!DJ130+'Calculations'!DK130)/'Calculations'!DG130)</x:f>
      </x:c>
      <x:c r="DP130" s="4" t="n">
        <x:f>IF(AND('Calculations'!DE130&lt;&gt;"",'Calculations'!DF130&gt;0),COUNTIF('Calculations'!$DF$12:DF130,"&gt;0"),0)</x:f>
        <x:v>0</x:v>
      </x:c>
      <x:c r="DQ130" s="4" t="str">
        <x:f>IF(119&gt;MAX('Calculations'!$HH$13:$HH$512),"",INDEX('Calculations'!$HF$13:$HF$512,MATCH(119,'Calculations'!$HH$13:$HH$512,0)))</x:f>
      </x:c>
      <x:c r="DR130" s="4" t="str">
        <x:f>IF(119&gt;MAX('Calculations'!$IK$13:$IK$512),"",INDEX('Calculations'!$HE$13:$HE$512,MATCH(119,'Calculations'!$IK$13:$IK$512,0)))</x:f>
      </x:c>
      <x:c r="DS130" s="4"/>
      <x:c r="DT130" s="4"/>
      <x:c r="DU130" s="4"/>
      <x:c r="DV130" s="4"/>
      <x:c r="DW130" s="4"/>
      <x:c r="DX130" s="4"/>
      <x:c r="DY130" s="4"/>
      <x:c r="DZ130" s="4"/>
      <x:c r="EA130" s="4"/>
      <x:c r="EB130" s="4"/>
      <x:c r="EC130" s="4"/>
      <x:c r="ED130" s="4"/>
      <x:c r="EE130" s="4" t="str">
        <x:f>IF('Calculations'!BT130=0,"Not Rated",IF(OR('Calculations'!BO130&gt;=4,'Calculations'!BP130&gt;=4),"Low",IF('Calculations'!BO130+'Calculations'!BP130&lt;=3,"High",IF('Calculations'!BO130+'Calculations'!BP130&lt;=4,"Strong","Solid"))))</x:f>
        <x:v>Not Rated</x:v>
      </x:c>
      <x:c r="EF130" s="4"/>
      <x:c r="EG130" s="4"/>
      <x:c r="EH130" s="4"/>
      <x:c r="EI130" s="4"/>
      <x:c r="EJ130" s="4"/>
      <x:c r="EK130" s="4"/>
      <x:c r="EL130" s="4"/>
      <x:c r="EM130" s="4" t="str">
        <x:f>IF(118&gt;'Calculations'!$JB$2000,"",INDEX('Calculations'!$JA$12:$JA$2000,MATCH(118,'Calculations'!$JB$12:$JB$2000,0)))</x:f>
      </x:c>
      <x:c r="EN130" s="4" t="n">
        <x:f>IF(OR('Calculations'!EM130="",'Calculations'!$AG$8&gt;0,AND('Calculations'!$EF$2&lt;&gt;"All",'Calculations'!HE130='Calculations'!$EF$2),AND('Calculations'!$EF$3&lt;&gt;"All",'Calculations'!HE130='Calculations'!$EF$3)),0,IF(OR('Dashboard'!$B$7="All",'Calculations'!HN130='Dashboard'!$B$7),IF('Calculations'!$EF$2="All",1,IF('Calculations'!HL130&gt;0,0,IF(COUNTIF('Calculations'!HO130:II130,"="&amp;SUBSTITUTE(SUBSTITUTE(SUBSTITUTE('Calculations'!$EF$2,"~","~~"),"*","~*"),"?","~?"))=0,0,IF('Calculations'!$EF$3="All",1,IF(COUNTIF('Calculations'!HO130:II130,"="&amp;SUBSTITUTE(SUBSTITUTE(SUBSTITUTE('Calculations'!$EF$3,"~","~~"),"*","~*"),"?","~?"))&gt;0,1,0))))),0))</x:f>
        <x:v>0</x:v>
      </x:c>
      <x:c r="EO130" s="4" t="str">
        <x:f>IF('Calculations'!IJ130="","",IF('Calculations'!IJ130="!UNRESOLVED","Unresolved hierarchy",IFERROR(INDEX('Calculations'!$HK$13:$HK$512,MATCH('Calculations'!IJ130,'Calculations'!$HE$13:$HE$512,0)),IFERROR(INDEX('Calculations'!$HJ$13:$HJ$512,MATCH('Calculations'!IJ130,'Calculations'!$HF$13:$HF$512,0)),'Calculations'!IJ130))))</x:f>
      </x:c>
      <x:c r="EP130" s="4" t="n">
        <x:f>IF(AND('Calculations'!EM130&lt;&gt;"",'Calculations'!HF130='Calculations'!IJ130),1,0)</x:f>
        <x:v>0</x:v>
      </x:c>
      <x:c r="EQ130" s="4"/>
      <x:c r="ER130" s="4"/>
      <x:c r="ES130" s="4"/>
      <x:c r="ET130" s="4"/>
      <x:c r="EU130" s="4"/>
      <x:c r="EV130" s="4"/>
      <x:c r="EW130" s="4"/>
      <x:c r="EX130" s="4"/>
      <x:c r="EY130" s="4"/>
      <x:c r="EZ130" s="4"/>
      <x:c r="FA130" s="4"/>
      <x:c r="FB130" s="4"/>
      <x:c r="FC130" s="4"/>
      <x:c r="FD130" s="4"/>
      <x:c r="FE130" s="4"/>
      <x:c r="FF130" s="4"/>
      <x:c r="FG130" s="4"/>
      <x:c r="FH130" s="4"/>
      <x:c r="FI130" s="4"/>
      <x:c r="FJ130" s="4"/>
      <x:c r="FK130" s="4"/>
      <x:c r="FL130" s="4"/>
      <x:c r="FM130" s="4"/>
      <x:c r="FN130" s="4"/>
      <x:c r="FO130" s="4"/>
      <x:c r="GA130" s="71"/>
      <x:c r="GB130" s="71"/>
      <x:c r="GC130" s="71"/>
      <x:c r="GD130" s="71"/>
      <x:c r="GE130" s="71"/>
      <x:c r="GF130" s="71"/>
      <x:c r="GG130" s="71"/>
      <x:c r="GH130" s="71"/>
      <x:c r="GI130" s="71"/>
      <x:c r="GJ130" s="71"/>
      <x:c r="GK130" s="71"/>
      <x:c r="GL130" s="71"/>
      <x:c r="GM130" s="71"/>
      <x:c r="GN130" s="71"/>
      <x:c r="GO130" s="71"/>
      <x:c r="GP130" s="71"/>
      <x:c r="GQ130" s="71"/>
      <x:c r="GR130" s="71"/>
      <x:c r="GS130" s="71"/>
      <x:c r="GT130" s="71"/>
      <x:c r="GU130" s="71"/>
      <x:c r="GV130" s="71"/>
      <x:c r="GW130" s="71"/>
      <x:c r="GX130" s="71" t="str">
        <x:f>IF(COUNTA('Dashboard'!N130,'Dashboard'!P130,'Dashboard'!R130,'Dashboard'!T130)=0,"No thresholds",IF(OR(COUNT('Dashboard'!N130,'Dashboard'!P130,'Dashboard'!R130,'Dashboard'!T130)&lt;&gt;COUNTA('Dashboard'!N130,'Dashboard'!P130,'Dashboard'!R130,'Dashboard'!T130),MIN('Dashboard'!N130,'Dashboard'!P130,'Dashboard'!R130,'Dashboard'!T130)&lt;0,MAX('Dashboard'!N130,'Dashboard'!P130,'Dashboard'!R130,'Dashboard'!T130)&gt;1),"Check thresholds",TEXT(SUM('Dashboard'!N130,'Dashboard'!P130,'Dashboard'!R130,'Dashboard'!T130),"0%")&amp;" - separate caps"))</x:f>
        <x:v>112% - separate caps</x:v>
      </x:c>
      <x:c r="GY130" s="71"/>
      <x:c r="GZ130" s="71"/>
      <x:c r="HA130" s="71"/>
      <x:c r="HB130" s="71"/>
      <x:c r="HC130" s="71"/>
      <x:c r="HD130" s="71"/>
      <x:c r="HE130" t="str">
        <x:f>IF('Calculations'!EM130="","",IF(IFERROR(IF(INDEX(INDIRECT("'WCM Calibration Final'!$A$1:$A$2000"),'Calculations'!$EM130)="","",TRIM(INDEX(INDIRECT("'WCM Calibration Final'!$A$1:$A$2000"),'Calculations'!$EM130)&amp;"")),"")&lt;&gt;"","G:"&amp;IFERROR(TEXT(1*INDEX(INDIRECT("'WCM Calibration Final'!$A$1:$A$2000"),'Calculations'!$EM130),"0"),UPPER(IFERROR(IF(INDEX(INDIRECT("'WCM Calibration Final'!$A$1:$A$2000"),'Calculations'!$EM130)="","",TRIM(INDEX(INDIRECT("'WCM Calibration Final'!$A$1:$A$2000"),'Calculations'!$EM130)&amp;"")),""))),IF(IFERROR(IF(INDEX(INDIRECT("'WCM Calibration Final'!$C$1:$C$2000"),'Calculations'!$EM130)="","",TRIM(INDEX(INDIRECT("'WCM Calibration Final'!$C$1:$C$2000"),'Calculations'!$EM130)&amp;"")),"")&lt;&gt;"","S:"&amp;UPPER(IFERROR(IF(INDEX(INDIRECT("'WCM Calibration Final'!$C$1:$C$2000"),'Calculations'!$EM130)="","",TRIM(INDEX(INDIRECT("'WCM Calibration Final'!$C$1:$C$2000"),'Calculations'!$EM130)&amp;"")),"")),"R:"&amp;'Calculations'!EM130)))</x:f>
      </x:c>
      <x:c r="HF130" t="str">
        <x:f>IF('Calculations'!EM130="","",IF(IFERROR(IF(INDEX(INDIRECT("'WCM Calibration Final'!$D$1:$D$2000"),'Calculations'!$EM130)="","",TRIM(INDEX(INDIRECT("'WCM Calibration Final'!$D$1:$D$2000"),'Calculations'!$EM130)&amp;"")),"")&lt;&gt;"","G:"&amp;IFERROR(TEXT(1*INDEX(INDIRECT("'WCM Calibration Final'!$D$1:$D$2000"),'Calculations'!$EM130),"0"),UPPER(IFERROR(IF(INDEX(INDIRECT("'WCM Calibration Final'!$D$1:$D$2000"),'Calculations'!$EM130)="","",TRIM(INDEX(INDIRECT("'WCM Calibration Final'!$D$1:$D$2000"),'Calculations'!$EM130)&amp;"")),""))),IF(IFERROR(IF(INDEX(INDIRECT("'WCM Calibration Final'!$E$1:$E$2000"),'Calculations'!$EM130)="","",TRIM(INDEX(INDIRECT("'WCM Calibration Final'!$E$1:$E$2000"),'Calculations'!$EM130)&amp;"")),"")="","",IF(COUNTIF('Calculations'!$HG$13:$HG$512,"="&amp;SUBSTITUTE(SUBSTITUTE(SUBSTITUTE(IFERROR(IF(INDEX(INDIRECT("'WCM Calibration Final'!$E$1:$E$2000"),'Calculations'!$EM130)="","",TRIM(INDEX(INDIRECT("'WCM Calibration Final'!$E$1:$E$2000"),'Calculations'!$EM130)&amp;"")),""),"~","~~"),"*","~*"),"?","~?"))=1,INDEX('Calculations'!$HE$13:$HE$512,MATCH(IFERROR(IF(INDEX(INDIRECT("'WCM Calibration Final'!$E$1:$E$2000"),'Calculations'!$EM130)="","",TRIM(INDEX(INDIRECT("'WCM Calibration Final'!$E$1:$E$2000"),'Calculations'!$EM130)&amp;"")),""),'Calculations'!$HG$13:$HG$512,0)),IF(COUNTIF('Calculations'!$HG$13:$HG$512,"="&amp;SUBSTITUTE(SUBSTITUTE(SUBSTITUTE(IFERROR(IF(INDEX(INDIRECT("'WCM Calibration Final'!$E$1:$E$2000"),'Calculations'!$EM130)="","",TRIM(INDEX(INDIRECT("'WCM Calibration Final'!$E$1:$E$2000"),'Calculations'!$EM130)&amp;"")),""),"~","~~"),"*","~*"),"?","~?"))&gt;1,"!AMBIG","X:"&amp;IFERROR(IF(INDEX(INDIRECT("'WCM Calibration Final'!$E$1:$E$2000"),'Calculations'!$EM130)="","",TRIM(INDEX(INDIRECT("'WCM Calibration Final'!$E$1:$E$2000"),'Calculations'!$EM130)&amp;"")),""))))))</x:f>
      </x:c>
      <x:c r="HG130" t="str">
        <x:f>IF('Calculations'!EM130="","",IFERROR(IF(INDEX(INDIRECT("'WCM Calibration Final'!$B$1:$B$2000"),'Calculations'!$EM130)="","",TRIM(INDEX(INDIRECT("'WCM Calibration Final'!$B$1:$B$2000"),'Calculations'!$EM130)&amp;"")),""))</x:f>
      </x:c>
      <x:c r="HH130" t="n">
        <x:f>IF(AND('Calculations'!JC130&gt;0,COUNTIF('Calculations'!$HF$12:HF130,"="&amp;SUBSTITUTE(SUBSTITUTE(SUBSTITUTE('Calculations'!HF130,"~","~~"),"*","~*"),"?","~?"))=1),MAX('Calculations'!$HH$12:HH129)+1,0)</x:f>
        <x:v>0</x:v>
      </x:c>
      <x:c r="HI130" t="n">
        <x:f>IF(AND('Calculations'!HN130&lt;&gt;"",COUNTIF('Calculations'!$HN$12:HN130,"="&amp;SUBSTITUTE(SUBSTITUTE(SUBSTITUTE('Calculations'!HN130,"~","~~"),"*","~*"),"?","~?"))=1),MAX('Calculations'!$HI$12:HI129)+1,0)</x:f>
        <x:v>0</x:v>
      </x:c>
      <x:c r="HJ130" t="str">
        <x:f>IF('Calculations'!HF130="","",IF(COUNTIF('Calculations'!$HE$13:$HE$512,"="&amp;SUBSTITUTE(SUBSTITUTE(SUBSTITUTE('Calculations'!HF130,"~","~~"),"*","~*"),"?","~?"))=1,INDEX('Calculations'!$HK$13:$HK$512,MATCH('Calculations'!HF130,'Calculations'!$HE$13:$HE$512,0)),IFERROR(IF(INDEX(INDIRECT("'WCM Calibration Final'!$E$1:$E$2000"),'Calculations'!$EM130)="","",TRIM(INDEX(INDIRECT("'WCM Calibration Final'!$E$1:$E$2000"),'Calculations'!$EM130)&amp;"")),"")&amp;" ["&amp;'Calculations'!HF130&amp;"]"))</x:f>
      </x:c>
      <x:c r="HK130" t="str">
        <x:f>IF('Calculations'!EM130="","",'Calculations'!HG130&amp;" ["&amp;'Calculations'!HE130&amp;"]")</x:f>
      </x:c>
      <x:c r="HL130" t="n">
        <x:f>IF('Calculations'!EM130="",0,IF(OR('Calculations'!II130&lt;&gt;"",COUNTIF('Calculations'!$HE$13:$HE$512,"="&amp;SUBSTITUTE(SUBSTITUTE(SUBSTITUTE('Calculations'!HE130,"~","~~"),"*","~*"),"?","~?"))&gt;1),1,0))</x:f>
        <x:v>0</x:v>
      </x:c>
      <x:c r="HM130" t="str">
        <x:f>IF('Calculations'!EM130="","",IF('Calculations'!HL130=1,"!UNRESOLVED",IF('Calculations'!IH130&lt;&gt;"",'Calculations'!IH130,IF('Calculations'!IG130&lt;&gt;"",'Calculations'!IG130,IF('Calculations'!IF130&lt;&gt;"",'Calculations'!IF130,IF('Calculations'!IE130&lt;&gt;"",'Calculations'!IE130,IF('Calculations'!ID130&lt;&gt;"",'Calculations'!ID130,IF('Calculations'!IC130&lt;&gt;"",'Calculations'!IC130,IF('Calculations'!IB130&lt;&gt;"",'Calculations'!IB130,IF('Calculations'!IA130&lt;&gt;"",'Calculations'!IA130,IF('Calculations'!HZ130&lt;&gt;"",'Calculations'!HZ130,IF('Calculations'!HY130&lt;&gt;"",'Calculations'!HY130,IF('Calculations'!HX130&lt;&gt;"",'Calculations'!HX130,IF('Calculations'!HW130&lt;&gt;"",'Calculations'!HW130,IF('Calculations'!HV130&lt;&gt;"",'Calculations'!HV130,IF('Calculations'!HU130&lt;&gt;"",'Calculations'!HU130,IF('Calculations'!HT130&lt;&gt;"",'Calculations'!HT130,IF('Calculations'!HS130&lt;&gt;"",'Calculations'!HS130,IF('Calculations'!HR130&lt;&gt;"",'Calculations'!HR130,IF('Calculations'!HQ130&lt;&gt;"",'Calculations'!HQ130,IF('Calculations'!HP130&lt;&gt;"",'Calculations'!HP130,IF('Calculations'!HO130&lt;&gt;"",'Calculations'!HO130,'Calculations'!HE130))))))))))))))))))))))</x:f>
      </x:c>
      <x:c r="HN130" t="str">
        <x:f>IF('Calculations'!EM130="","",IF(IFERROR(IF(INDEX(INDIRECT("'WCM Calibration Final'!$F$1:$F$2000"),'Calculations'!$EM130)="","",TRIM(INDEX(INDIRECT("'WCM Calibration Final'!$F$1:$F$2000"),'Calculations'!$EM130)&amp;"")),"")="","(Blank)",IFERROR(IF(INDEX(INDIRECT("'WCM Calibration Final'!$F$1:$F$2000"),'Calculations'!$EM130)="","",TRIM(INDEX(INDIRECT("'WCM Calibration Final'!$F$1:$F$2000"),'Calculations'!$EM130)&amp;"")),"")))</x:f>
      </x:c>
      <x:c r="HO130" t="str">
        <x:f>'Calculations'!HF130</x:f>
      </x:c>
      <x:c r="HP130" t="str">
        <x:f>IF('Calculations'!HO130="","",IF('Calculations'!HO130="!AMBIG","!AMBIG",IF(COUNTIF('Calculations'!$HE$13:$HE$512,"="&amp;SUBSTITUTE(SUBSTITUTE(SUBSTITUTE('Calculations'!HO130,"~","~~"),"*","~*"),"?","~?"))&gt;1,"!AMBIG",IFERROR(INDEX('Calculations'!$HF$13:$HF$512,MATCH('Calculations'!HO130,'Calculations'!$HE$13:$HE$512,0)),""))))</x:f>
      </x:c>
      <x:c r="HQ130" t="str">
        <x:f>IF('Calculations'!HP130="","",IF('Calculations'!HP130="!AMBIG","!AMBIG",IF(COUNTIF('Calculations'!$HE$13:$HE$512,"="&amp;SUBSTITUTE(SUBSTITUTE(SUBSTITUTE('Calculations'!HP130,"~","~~"),"*","~*"),"?","~?"))&gt;1,"!AMBIG",IFERROR(INDEX('Calculations'!$HF$13:$HF$512,MATCH('Calculations'!HP130,'Calculations'!$HE$13:$HE$512,0)),""))))</x:f>
      </x:c>
      <x:c r="HR130" t="str">
        <x:f>IF('Calculations'!HQ130="","",IF('Calculations'!HQ130="!AMBIG","!AMBIG",IF(COUNTIF('Calculations'!$HE$13:$HE$512,"="&amp;SUBSTITUTE(SUBSTITUTE(SUBSTITUTE('Calculations'!HQ130,"~","~~"),"*","~*"),"?","~?"))&gt;1,"!AMBIG",IFERROR(INDEX('Calculations'!$HF$13:$HF$512,MATCH('Calculations'!HQ130,'Calculations'!$HE$13:$HE$512,0)),""))))</x:f>
      </x:c>
      <x:c r="HS130" t="str">
        <x:f>IF('Calculations'!HR130="","",IF('Calculations'!HR130="!AMBIG","!AMBIG",IF(COUNTIF('Calculations'!$HE$13:$HE$512,"="&amp;SUBSTITUTE(SUBSTITUTE(SUBSTITUTE('Calculations'!HR130,"~","~~"),"*","~*"),"?","~?"))&gt;1,"!AMBIG",IFERROR(INDEX('Calculations'!$HF$13:$HF$512,MATCH('Calculations'!HR130,'Calculations'!$HE$13:$HE$512,0)),""))))</x:f>
      </x:c>
      <x:c r="HT130" t="str">
        <x:f>IF('Calculations'!HS130="","",IF('Calculations'!HS130="!AMBIG","!AMBIG",IF(COUNTIF('Calculations'!$HE$13:$HE$512,"="&amp;SUBSTITUTE(SUBSTITUTE(SUBSTITUTE('Calculations'!HS130,"~","~~"),"*","~*"),"?","~?"))&gt;1,"!AMBIG",IFERROR(INDEX('Calculations'!$HF$13:$HF$512,MATCH('Calculations'!HS130,'Calculations'!$HE$13:$HE$512,0)),""))))</x:f>
      </x:c>
      <x:c r="HU130" t="str">
        <x:f>IF('Calculations'!HT130="","",IF('Calculations'!HT130="!AMBIG","!AMBIG",IF(COUNTIF('Calculations'!$HE$13:$HE$512,"="&amp;SUBSTITUTE(SUBSTITUTE(SUBSTITUTE('Calculations'!HT130,"~","~~"),"*","~*"),"?","~?"))&gt;1,"!AMBIG",IFERROR(INDEX('Calculations'!$HF$13:$HF$512,MATCH('Calculations'!HT130,'Calculations'!$HE$13:$HE$512,0)),""))))</x:f>
      </x:c>
      <x:c r="HV130" t="str">
        <x:f>IF('Calculations'!HU130="","",IF('Calculations'!HU130="!AMBIG","!AMBIG",IF(COUNTIF('Calculations'!$HE$13:$HE$512,"="&amp;SUBSTITUTE(SUBSTITUTE(SUBSTITUTE('Calculations'!HU130,"~","~~"),"*","~*"),"?","~?"))&gt;1,"!AMBIG",IFERROR(INDEX('Calculations'!$HF$13:$HF$512,MATCH('Calculations'!HU130,'Calculations'!$HE$13:$HE$512,0)),""))))</x:f>
      </x:c>
      <x:c r="HW130" t="str">
        <x:f>IF('Calculations'!HV130="","",IF('Calculations'!HV130="!AMBIG","!AMBIG",IF(COUNTIF('Calculations'!$HE$13:$HE$512,"="&amp;SUBSTITUTE(SUBSTITUTE(SUBSTITUTE('Calculations'!HV130,"~","~~"),"*","~*"),"?","~?"))&gt;1,"!AMBIG",IFERROR(INDEX('Calculations'!$HF$13:$HF$512,MATCH('Calculations'!HV130,'Calculations'!$HE$13:$HE$512,0)),""))))</x:f>
      </x:c>
      <x:c r="HX130" t="str">
        <x:f>IF('Calculations'!HW130="","",IF('Calculations'!HW130="!AMBIG","!AMBIG",IF(COUNTIF('Calculations'!$HE$13:$HE$512,"="&amp;SUBSTITUTE(SUBSTITUTE(SUBSTITUTE('Calculations'!HW130,"~","~~"),"*","~*"),"?","~?"))&gt;1,"!AMBIG",IFERROR(INDEX('Calculations'!$HF$13:$HF$512,MATCH('Calculations'!HW130,'Calculations'!$HE$13:$HE$512,0)),""))))</x:f>
      </x:c>
      <x:c r="HY130" t="str">
        <x:f>IF('Calculations'!HX130="","",IF('Calculations'!HX130="!AMBIG","!AMBIG",IF(COUNTIF('Calculations'!$HE$13:$HE$512,"="&amp;SUBSTITUTE(SUBSTITUTE(SUBSTITUTE('Calculations'!HX130,"~","~~"),"*","~*"),"?","~?"))&gt;1,"!AMBIG",IFERROR(INDEX('Calculations'!$HF$13:$HF$512,MATCH('Calculations'!HX130,'Calculations'!$HE$13:$HE$512,0)),""))))</x:f>
      </x:c>
      <x:c r="HZ130" t="str">
        <x:f>IF('Calculations'!HY130="","",IF('Calculations'!HY130="!AMBIG","!AMBIG",IF(COUNTIF('Calculations'!$HE$13:$HE$512,"="&amp;SUBSTITUTE(SUBSTITUTE(SUBSTITUTE('Calculations'!HY130,"~","~~"),"*","~*"),"?","~?"))&gt;1,"!AMBIG",IFERROR(INDEX('Calculations'!$HF$13:$HF$512,MATCH('Calculations'!HY130,'Calculations'!$HE$13:$HE$512,0)),""))))</x:f>
      </x:c>
      <x:c r="IA130" t="str">
        <x:f>IF('Calculations'!HZ130="","",IF('Calculations'!HZ130="!AMBIG","!AMBIG",IF(COUNTIF('Calculations'!$HE$13:$HE$512,"="&amp;SUBSTITUTE(SUBSTITUTE(SUBSTITUTE('Calculations'!HZ130,"~","~~"),"*","~*"),"?","~?"))&gt;1,"!AMBIG",IFERROR(INDEX('Calculations'!$HF$13:$HF$512,MATCH('Calculations'!HZ130,'Calculations'!$HE$13:$HE$512,0)),""))))</x:f>
      </x:c>
      <x:c r="IB130" t="str">
        <x:f>IF('Calculations'!IA130="","",IF('Calculations'!IA130="!AMBIG","!AMBIG",IF(COUNTIF('Calculations'!$HE$13:$HE$512,"="&amp;SUBSTITUTE(SUBSTITUTE(SUBSTITUTE('Calculations'!IA130,"~","~~"),"*","~*"),"?","~?"))&gt;1,"!AMBIG",IFERROR(INDEX('Calculations'!$HF$13:$HF$512,MATCH('Calculations'!IA130,'Calculations'!$HE$13:$HE$512,0)),""))))</x:f>
      </x:c>
      <x:c r="IC130" t="str">
        <x:f>IF('Calculations'!IB130="","",IF('Calculations'!IB130="!AMBIG","!AMBIG",IF(COUNTIF('Calculations'!$HE$13:$HE$512,"="&amp;SUBSTITUTE(SUBSTITUTE(SUBSTITUTE('Calculations'!IB130,"~","~~"),"*","~*"),"?","~?"))&gt;1,"!AMBIG",IFERROR(INDEX('Calculations'!$HF$13:$HF$512,MATCH('Calculations'!IB130,'Calculations'!$HE$13:$HE$512,0)),""))))</x:f>
      </x:c>
      <x:c r="ID130" t="str">
        <x:f>IF('Calculations'!IC130="","",IF('Calculations'!IC130="!AMBIG","!AMBIG",IF(COUNTIF('Calculations'!$HE$13:$HE$512,"="&amp;SUBSTITUTE(SUBSTITUTE(SUBSTITUTE('Calculations'!IC130,"~","~~"),"*","~*"),"?","~?"))&gt;1,"!AMBIG",IFERROR(INDEX('Calculations'!$HF$13:$HF$512,MATCH('Calculations'!IC130,'Calculations'!$HE$13:$HE$512,0)),""))))</x:f>
      </x:c>
      <x:c r="IE130" t="str">
        <x:f>IF('Calculations'!ID130="","",IF('Calculations'!ID130="!AMBIG","!AMBIG",IF(COUNTIF('Calculations'!$HE$13:$HE$512,"="&amp;SUBSTITUTE(SUBSTITUTE(SUBSTITUTE('Calculations'!ID130,"~","~~"),"*","~*"),"?","~?"))&gt;1,"!AMBIG",IFERROR(INDEX('Calculations'!$HF$13:$HF$512,MATCH('Calculations'!ID130,'Calculations'!$HE$13:$HE$512,0)),""))))</x:f>
      </x:c>
      <x:c r="IF130" t="str">
        <x:f>IF('Calculations'!IE130="","",IF('Calculations'!IE130="!AMBIG","!AMBIG",IF(COUNTIF('Calculations'!$HE$13:$HE$512,"="&amp;SUBSTITUTE(SUBSTITUTE(SUBSTITUTE('Calculations'!IE130,"~","~~"),"*","~*"),"?","~?"))&gt;1,"!AMBIG",IFERROR(INDEX('Calculations'!$HF$13:$HF$512,MATCH('Calculations'!IE130,'Calculations'!$HE$13:$HE$512,0)),""))))</x:f>
      </x:c>
      <x:c r="IG130" t="str">
        <x:f>IF('Calculations'!IF130="","",IF('Calculations'!IF130="!AMBIG","!AMBIG",IF(COUNTIF('Calculations'!$HE$13:$HE$512,"="&amp;SUBSTITUTE(SUBSTITUTE(SUBSTITUTE('Calculations'!IF130,"~","~~"),"*","~*"),"?","~?"))&gt;1,"!AMBIG",IFERROR(INDEX('Calculations'!$HF$13:$HF$512,MATCH('Calculations'!IF130,'Calculations'!$HE$13:$HE$512,0)),""))))</x:f>
      </x:c>
      <x:c r="IH130" t="str">
        <x:f>IF('Calculations'!IG130="","",IF('Calculations'!IG130="!AMBIG","!AMBIG",IF(COUNTIF('Calculations'!$HE$13:$HE$512,"="&amp;SUBSTITUTE(SUBSTITUTE(SUBSTITUTE('Calculations'!IG130,"~","~~"),"*","~*"),"?","~?"))&gt;1,"!AMBIG",IFERROR(INDEX('Calculations'!$HF$13:$HF$512,MATCH('Calculations'!IG130,'Calculations'!$HE$13:$HE$512,0)),""))))</x:f>
      </x:c>
      <x:c r="II130" t="str">
        <x:f>IF('Calculations'!IH130="","",IF('Calculations'!IH130="!AMBIG","!AMBIG",IF(COUNTIF('Calculations'!$HE$13:$HE$512,"="&amp;SUBSTITUTE(SUBSTITUTE(SUBSTITUTE('Calculations'!IH130,"~","~~"),"*","~*"),"?","~?"))&gt;1,"!AMBIG",IFERROR(INDEX('Calculations'!$HF$13:$HF$512,MATCH('Calculations'!IH130,'Calculations'!$HE$13:$HE$512,0)),""))))</x:f>
      </x:c>
      <x:c r="IJ130" t="str">
        <x:f>IF('Calculations'!EM130="","",IF('Calculations'!$EF$2="All",'Calculations'!HM130,IF('Calculations'!HL130=1,"",IFERROR(IF(MATCH('Calculations'!$EF$2,'Calculations'!HO130:II130,0)=1,'Calculations'!HE130,INDEX('Calculations'!HO130:II130,1,MATCH('Calculations'!$EF$2,'Calculations'!HO130:II130,0)-1)),""))))</x:f>
      </x:c>
      <x:c r="IK130" t="n">
        <x:f>IF(AND('Calculations'!EM130&lt;&gt;"",'Calculations'!$EF$2&lt;&gt;"All",'Calculations'!HF130='Calculations'!$EF$2,'Calculations'!HL130=0,'Calculations'!JD130&gt;0),MAX('Calculations'!$IK$12:IK129)+1,0)</x:f>
        <x:v>0</x:v>
      </x:c>
      <x:c r="JA130" t="n">
        <x:f>IF(OR(IFERROR(INDIRECT("'WCM Calibration Final'!$A$130")&lt;&gt;"",FALSE),IFERROR(INDIRECT("'WCM Calibration Final'!$B$130")&lt;&gt;"",FALSE),IFERROR(INDIRECT("'WCM Calibration Final'!$C$130")&lt;&gt;"",FALSE)),130,0)</x:f>
        <x:v>0</x:v>
      </x:c>
      <x:c r="JB130" t="n">
        <x:f>'Calculations'!JB129+IF('Calculations'!JA130&gt;0,1,0)</x:f>
        <x:v>0</x:v>
      </x:c>
      <x:c r="JC130" t="n">
        <x:f>IF(OR('Calculations'!HF130="",'Calculations'!HF130="!AMBIG"),0,IF('Dashboard'!$B$7="All",1,COUNTIFS('Calculations'!$HO$13:$HO$512,"="&amp;SUBSTITUTE(SUBSTITUTE(SUBSTITUTE('Calculations'!HF130,"~","~~"),"*","~*"),"?","~?"),'Calculations'!$HN$13:$HN$512,"="&amp;SUBSTITUTE(SUBSTITUTE(SUBSTITUTE('Dashboard'!$B$7,"~","~~"),"*","~*"),"?","~?"))+COUNTIFS('Calculations'!$HP$13:$HP$512,"="&amp;SUBSTITUTE(SUBSTITUTE(SUBSTITUTE('Calculations'!HF130,"~","~~"),"*","~*"),"?","~?"),'Calculations'!$HN$13:$HN$512,"="&amp;SUBSTITUTE(SUBSTITUTE(SUBSTITUTE('Dashboard'!$B$7,"~","~~"),"*","~*"),"?","~?"))+COUNTIFS('Calculations'!$HQ$13:$HQ$512,"="&amp;SUBSTITUTE(SUBSTITUTE(SUBSTITUTE('Calculations'!HF130,"~","~~"),"*","~*"),"?","~?"),'Calculations'!$HN$13:$HN$512,"="&amp;SUBSTITUTE(SUBSTITUTE(SUBSTITUTE('Dashboard'!$B$7,"~","~~"),"*","~*"),"?","~?"))+COUNTIFS('Calculations'!$HR$13:$HR$512,"="&amp;SUBSTITUTE(SUBSTITUTE(SUBSTITUTE('Calculations'!HF130,"~","~~"),"*","~*"),"?","~?"),'Calculations'!$HN$13:$HN$512,"="&amp;SUBSTITUTE(SUBSTITUTE(SUBSTITUTE('Dashboard'!$B$7,"~","~~"),"*","~*"),"?","~?"))+COUNTIFS('Calculations'!$HS$13:$HS$512,"="&amp;SUBSTITUTE(SUBSTITUTE(SUBSTITUTE('Calculations'!HF130,"~","~~"),"*","~*"),"?","~?"),'Calculations'!$HN$13:$HN$512,"="&amp;SUBSTITUTE(SUBSTITUTE(SUBSTITUTE('Dashboard'!$B$7,"~","~~"),"*","~*"),"?","~?"))+COUNTIFS('Calculations'!$HT$13:$HT$512,"="&amp;SUBSTITUTE(SUBSTITUTE(SUBSTITUTE('Calculations'!HF130,"~","~~"),"*","~*"),"?","~?"),'Calculations'!$HN$13:$HN$512,"="&amp;SUBSTITUTE(SUBSTITUTE(SUBSTITUTE('Dashboard'!$B$7,"~","~~"),"*","~*"),"?","~?"))+COUNTIFS('Calculations'!$HU$13:$HU$512,"="&amp;SUBSTITUTE(SUBSTITUTE(SUBSTITUTE('Calculations'!HF130,"~","~~"),"*","~*"),"?","~?"),'Calculations'!$HN$13:$HN$512,"="&amp;SUBSTITUTE(SUBSTITUTE(SUBSTITUTE('Dashboard'!$B$7,"~","~~"),"*","~*"),"?","~?"))+COUNTIFS('Calculations'!$HV$13:$HV$512,"="&amp;SUBSTITUTE(SUBSTITUTE(SUBSTITUTE('Calculations'!HF130,"~","~~"),"*","~*"),"?","~?"),'Calculations'!$HN$13:$HN$512,"="&amp;SUBSTITUTE(SUBSTITUTE(SUBSTITUTE('Dashboard'!$B$7,"~","~~"),"*","~*"),"?","~?"))+COUNTIFS('Calculations'!$HW$13:$HW$512,"="&amp;SUBSTITUTE(SUBSTITUTE(SUBSTITUTE('Calculations'!HF130,"~","~~"),"*","~*"),"?","~?"),'Calculations'!$HN$13:$HN$512,"="&amp;SUBSTITUTE(SUBSTITUTE(SUBSTITUTE('Dashboard'!$B$7,"~","~~"),"*","~*"),"?","~?"))+COUNTIFS('Calculations'!$HX$13:$HX$512,"="&amp;SUBSTITUTE(SUBSTITUTE(SUBSTITUTE('Calculations'!HF130,"~","~~"),"*","~*"),"?","~?"),'Calculations'!$HN$13:$HN$512,"="&amp;SUBSTITUTE(SUBSTITUTE(SUBSTITUTE('Dashboard'!$B$7,"~","~~"),"*","~*"),"?","~?"))+COUNTIFS('Calculations'!$HY$13:$HY$512,"="&amp;SUBSTITUTE(SUBSTITUTE(SUBSTITUTE('Calculations'!HF130,"~","~~"),"*","~*"),"?","~?"),'Calculations'!$HN$13:$HN$512,"="&amp;SUBSTITUTE(SUBSTITUTE(SUBSTITUTE('Dashboard'!$B$7,"~","~~"),"*","~*"),"?","~?"))+COUNTIFS('Calculations'!$HZ$13:$HZ$512,"="&amp;SUBSTITUTE(SUBSTITUTE(SUBSTITUTE('Calculations'!HF130,"~","~~"),"*","~*"),"?","~?"),'Calculations'!$HN$13:$HN$512,"="&amp;SUBSTITUTE(SUBSTITUTE(SUBSTITUTE('Dashboard'!$B$7,"~","~~"),"*","~*"),"?","~?"))+COUNTIFS('Calculations'!$IA$13:$IA$512,"="&amp;SUBSTITUTE(SUBSTITUTE(SUBSTITUTE('Calculations'!HF130,"~","~~"),"*","~*"),"?","~?"),'Calculations'!$HN$13:$HN$512,"="&amp;SUBSTITUTE(SUBSTITUTE(SUBSTITUTE('Dashboard'!$B$7,"~","~~"),"*","~*"),"?","~?"))+COUNTIFS('Calculations'!$IB$13:$IB$512,"="&amp;SUBSTITUTE(SUBSTITUTE(SUBSTITUTE('Calculations'!HF130,"~","~~"),"*","~*"),"?","~?"),'Calculations'!$HN$13:$HN$512,"="&amp;SUBSTITUTE(SUBSTITUTE(SUBSTITUTE('Dashboard'!$B$7,"~","~~"),"*","~*"),"?","~?"))+COUNTIFS('Calculations'!$IC$13:$IC$512,"="&amp;SUBSTITUTE(SUBSTITUTE(SUBSTITUTE('Calculations'!HF130,"~","~~"),"*","~*"),"?","~?"),'Calculations'!$HN$13:$HN$512,"="&amp;SUBSTITUTE(SUBSTITUTE(SUBSTITUTE('Dashboard'!$B$7,"~","~~"),"*","~*"),"?","~?"))+COUNTIFS('Calculations'!$ID$13:$ID$512,"="&amp;SUBSTITUTE(SUBSTITUTE(SUBSTITUTE('Calculations'!HF130,"~","~~"),"*","~*"),"?","~?"),'Calculations'!$HN$13:$HN$512,"="&amp;SUBSTITUTE(SUBSTITUTE(SUBSTITUTE('Dashboard'!$B$7,"~","~~"),"*","~*"),"?","~?"))+COUNTIFS('Calculations'!$IE$13:$IE$512,"="&amp;SUBSTITUTE(SUBSTITUTE(SUBSTITUTE('Calculations'!HF130,"~","~~"),"*","~*"),"?","~?"),'Calculations'!$HN$13:$HN$512,"="&amp;SUBSTITUTE(SUBSTITUTE(SUBSTITUTE('Dashboard'!$B$7,"~","~~"),"*","~*"),"?","~?"))+COUNTIFS('Calculations'!$IF$13:$IF$512,"="&amp;SUBSTITUTE(SUBSTITUTE(SUBSTITUTE('Calculations'!HF130,"~","~~"),"*","~*"),"?","~?"),'Calculations'!$HN$13:$HN$512,"="&amp;SUBSTITUTE(SUBSTITUTE(SUBSTITUTE('Dashboard'!$B$7,"~","~~"),"*","~*"),"?","~?"))+COUNTIFS('Calculations'!$IG$13:$IG$512,"="&amp;SUBSTITUTE(SUBSTITUTE(SUBSTITUTE('Calculations'!HF130,"~","~~"),"*","~*"),"?","~?"),'Calculations'!$HN$13:$HN$512,"="&amp;SUBSTITUTE(SUBSTITUTE(SUBSTITUTE('Dashboard'!$B$7,"~","~~"),"*","~*"),"?","~?"))+COUNTIFS('Calculations'!$IH$13:$IH$512,"="&amp;SUBSTITUTE(SUBSTITUTE(SUBSTITUTE('Calculations'!HF130,"~","~~"),"*","~*"),"?","~?"),'Calculations'!$HN$13:$HN$512,"="&amp;SUBSTITUTE(SUBSTITUTE(SUBSTITUTE('Dashboard'!$B$7,"~","~~"),"*","~*"),"?","~?"))))</x:f>
        <x:v>0</x:v>
      </x:c>
      <x:c r="JD130" t="n">
        <x:f>IF('Calculations'!EM130="",0,IF('Dashboard'!$B$7="All",1,IF('Calculations'!HN130='Dashboard'!$B$7,1,0)+IFERROR(INDEX('Calculations'!$JC$13:$JC$512,MATCH('Calculations'!HE130,'Calculations'!$HF$13:$HF$512,0)),0)))</x:f>
        <x:v>0</x:v>
      </x:c>
      <x:c r="JE130" t="n">
        <x:f>IF(AND('Calculations'!EM130&lt;&gt;"",'Calculations'!$JJ$2&lt;&gt;"All",'Calculations'!$JJ$2&lt;&gt;"",'Calculations'!HF130='Calculations'!$JJ$2,'Calculations'!HL130=0,'Calculations'!JD130&gt;0),MAX('Calculations'!$JE$12:JE129)+1,0)</x:f>
        <x:v>0</x:v>
      </x:c>
      <x:c r="JF130" t="str">
        <x:f>IF('Calculations'!EM130="","",IFERROR(IF(INDEX(INDIRECT("'WCM Calibration Final'!$G$1:$G$2000"),'Calculations'!$EM130)="","",TRIM(INDEX(INDIRECT("'WCM Calibration Final'!$G$1:$G$2000"),'Calculations'!$EM130)&amp;"")),""))</x:f>
      </x:c>
      <x:c r="JQ130" t="n">
        <x:f>IF(OR('Calculations'!BM130=0,NOT('Calculations'!$AG$2),'Calculations'!$AG$8&gt;0),0,IF(OR('Dashboard'!$B$7="All",'Calculations'!HN130='Dashboard'!$B$7),IF('Calculations'!$JJ$2="All",1,IF(AND('Calculations'!HF130='Calculations'!$JJ$2,'Calculations'!HL130=0),1,0)),0))</x:f>
        <x:v>0</x:v>
      </x:c>
    </x:row>
    <x:row r="131">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t="n">
        <x:f>IF('Calculations'!$EM131="",0,IF(OR(IFERROR(INDEX(INDIRECT("'WCM Calibration Final'!$A$1:$A$2000"),'Calculations'!$EM131)&lt;&gt;"",FALSE),IFERROR(INDEX(INDIRECT("'WCM Calibration Final'!$B$1:$B$2000"),'Calculations'!$EM131)&lt;&gt;"",FALSE),IFERROR(INDEX(INDIRECT("'WCM Calibration Final'!$C$1:$C$2000"),'Calculations'!$EM131)&lt;&gt;"",FALSE)),1,0))</x:f>
        <x:v>0</x:v>
      </x:c>
      <x:c r="BN131" s="4" t="n">
        <x:f>IF(AND('Calculations'!BM131=1,'Calculations'!$AG$2,'Calculations'!$EN131=1),1,0)</x:f>
        <x:v>0</x:v>
      </x:c>
      <x:c r="BO131" s="4" t="str">
        <x:f>IF('Calculations'!BM131=0,"",IFERROR(IF(AND(VALUE(INDEX(INDIRECT("'WCM Calibration Final'!$K$1:$K$2000"),'Calculations'!$EM131))&gt;=1,VALUE(INDEX(INDIRECT("'WCM Calibration Final'!$K$1:$K$2000"),'Calculations'!$EM131))&lt;=4,MOD(VALUE(INDEX(INDIRECT("'WCM Calibration Final'!$K$1:$K$2000"),'Calculations'!$EM131)),1)=0),VALUE(INDEX(INDIRECT("'WCM Calibration Final'!$K$1:$K$2000"),'Calculations'!$EM131)),""),""))</x:f>
      </x:c>
      <x:c r="BP131" s="4" t="str">
        <x:f>IF('Calculations'!BM131=0,"",IFERROR(IF(AND(VALUE(INDEX(INDIRECT("'WCM Calibration Final'!$L$1:$L$2000"),'Calculations'!$EM131))&gt;=1,VALUE(INDEX(INDIRECT("'WCM Calibration Final'!$L$1:$L$2000"),'Calculations'!$EM131))&lt;=4,MOD(VALUE(INDEX(INDIRECT("'WCM Calibration Final'!$L$1:$L$2000"),'Calculations'!$EM131)),1)=0),VALUE(INDEX(INDIRECT("'WCM Calibration Final'!$L$1:$L$2000"),'Calculations'!$EM131)),""),""))</x:f>
      </x:c>
      <x:c r="BQ131" s="4"/>
      <x:c r="BR131" s="4"/>
      <x:c r="BS131" s="4"/>
      <x:c r="BT131" s="4" t="n">
        <x:f>IF(AND('Calculations'!BM131=1,ISNUMBER('Calculations'!BO131),ISNUMBER('Calculations'!BP131)),1,0)</x:f>
        <x:v>0</x:v>
      </x:c>
      <x:c r="BU131" s="4" t="str">
        <x:f>IF('Calculations'!BM131=0,"",'Calculations'!$EO131)</x:f>
      </x:c>
      <x:c r="BV131" s="4" t="str">
        <x:f>IF('Calculations'!BM131=0,"",IFERROR(IF(OR(INDEX(INDIRECT("'WCM Calibration Final'!$H$1:$H$2000"),'Calculations'!$EM131)="MANAGING DIRECTOR",INDEX(INDIRECT("'WCM Calibration Final'!$H$1:$H$2000"),'Calculations'!$EM131)="DIRECTOR",INDEX(INDIRECT("'WCM Calibration Final'!$H$1:$H$2000"),'Calculations'!$EM131)="SENIOR VICE PRESIDENT",INDEX(INDIRECT("'WCM Calibration Final'!$H$1:$H$2000"),'Calculations'!$EM131)="VICE PRESIDENT",INDEX(INDIRECT("'WCM Calibration Final'!$H$1:$H$2000"),'Calculations'!$EM131)="ASSISTANT VICE PRESIDENT",INDEX(INDIRECT("'WCM Calibration Final'!$H$1:$H$2000"),'Calculations'!$EM131)="OFFICER"),UPPER(INDEX(INDIRECT("'WCM Calibration Final'!$H$1:$H$2000"),'Calculations'!$EM131)),"Other"),"Other"))</x:f>
      </x:c>
      <x:c r="BW131" s="4"/>
      <x:c r="BX131" s="4"/>
      <x:c r="BY131" s="4" t="n">
        <x:f>IF(AND('Calculations'!BM131=1,'Calculations'!BU131&lt;&gt;"",COUNTIF('Calculations'!$BU$12:BU131,'Calculations'!BU131)=1),MAX('Calculations'!$BY$11:BY130)+1,0)</x:f>
        <x:v>0</x:v>
      </x:c>
      <x:c r="BZ131" s="4" t="str">
        <x:f>IF('Dashboard'!$E$67="What",'Calculations'!BO131,'Calculations'!BP131)</x:f>
      </x:c>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t="str">
        <x:f>IF(120&gt;MAX('Calculations'!$HI$13:$HI$512),"",INDEX('Calculations'!$HN$13:$HN$512,MATCH(120,'Calculations'!$HI$13:$HI$512,0)))</x:f>
      </x:c>
      <x:c r="DB131" s="4" t="str">
        <x:f>IF(120&gt;MAX('Calculations'!$HH$13:$HH$512),"",INDEX('Calculations'!$HJ$13:$HJ$512,MATCH(120,'Calculations'!$HH$13:$HH$512,0)))</x:f>
      </x:c>
      <x:c r="DC131" s="4" t="str">
        <x:f>IF(ROW()-11&gt;MAX('Calculations'!$BY$13:$BY$512),"",INDEX('Calculations'!$BU$13:$BU$512,MATCH(ROW()-11,'Calculations'!$BY$13:$BY$512,0)))</x:f>
      </x:c>
      <x:c r="DD131" s="4" t="str">
        <x:f>IF(120&gt;MAX('Calculations'!$IK$13:$IK$512),"",INDEX('Calculations'!$HK$13:$HK$512,MATCH(120,'Calculations'!$IK$13:$IK$512,0)))</x:f>
      </x:c>
      <x:c r="DE131" s="4" t="str">
        <x:f>'Calculations'!DC131</x:f>
      </x:c>
      <x:c r="DF131" s="4" t="str">
        <x:f>IF('Calculations'!DE131="","",COUNTIFS('Calculations'!$BN$13:$BN$512,1,'Calculations'!$BU$13:$BU$512,'Calculations'!DE131))</x:f>
      </x:c>
      <x:c r="DG131" s="4" t="str">
        <x:f>IF('Calculations'!DE131="","",COUNTIFS('Calculations'!$BN$13:$BN$512,1,'Calculations'!$BU$13:$BU$512,'Calculations'!DE131,'Calculations'!$BT$13:$BT$512,1))</x:f>
      </x:c>
      <x:c r="DH131" s="4" t="str">
        <x:f>IF('Calculations'!DE131="","",'Calculations'!DF131-'Calculations'!DG131)</x:f>
      </x:c>
      <x:c r="DI131" s="4" t="str">
        <x:f>IF(OR('Calculations'!DE131="",'Calculations'!DF131=0),"",'Calculations'!DG131/'Calculations'!DF131)</x:f>
      </x:c>
      <x:c r="DJ131" s="4" t="str">
        <x:f>IF('Calculations'!DE131="","",COUNTIFS('Calculations'!$BN$13:$BN$512,1,'Calculations'!$BU$13:$BU$512,'Calculations'!DE131,'Calculations'!$BT$13:$BT$512,1,'Calculations'!$EE$13:$EE$512,"High"))</x:f>
      </x:c>
      <x:c r="DK131" s="4" t="str">
        <x:f>IF('Calculations'!DE131="","",COUNTIFS('Calculations'!$BN$13:$BN$512,1,'Calculations'!$BU$13:$BU$512,'Calculations'!DE131,'Calculations'!$BT$13:$BT$512,1,'Calculations'!$EE$13:$EE$512,"Strong"))</x:f>
      </x:c>
      <x:c r="DL131" s="4" t="str">
        <x:f>IF('Calculations'!DE131="","",COUNTIFS('Calculations'!$BN$13:$BN$512,1,'Calculations'!$BU$13:$BU$512,'Calculations'!DE131,'Calculations'!$BT$13:$BT$512,1,'Calculations'!$EE$13:$EE$512,"Solid"))</x:f>
      </x:c>
      <x:c r="DM131" s="4" t="str">
        <x:f>IF('Calculations'!DE131="","",COUNTIFS('Calculations'!$BN$13:$BN$512,1,'Calculations'!$BU$13:$BU$512,'Calculations'!DE131,'Calculations'!$BT$13:$BT$512,1,'Calculations'!$EE$13:$EE$512,"Low"))</x:f>
      </x:c>
      <x:c r="DN131" s="4" t="str">
        <x:f>IF('Calculations'!DE131="","",COUNTIFS('Calculations'!$BN$13:$BN$512,1,'Calculations'!$BU$13:$BU$512,'Calculations'!DE131,'Calculations'!$EP$13:$EP$512,1))</x:f>
      </x:c>
      <x:c r="DO131" s="4" t="str">
        <x:f>IF(OR('Calculations'!DE131="",'Calculations'!DG131=0),"",('Calculations'!DJ131+'Calculations'!DK131)/'Calculations'!DG131)</x:f>
      </x:c>
      <x:c r="DP131" s="4" t="n">
        <x:f>IF(AND('Calculations'!DE131&lt;&gt;"",'Calculations'!DF131&gt;0),COUNTIF('Calculations'!$DF$12:DF131,"&gt;0"),0)</x:f>
        <x:v>0</x:v>
      </x:c>
      <x:c r="DQ131" s="4" t="str">
        <x:f>IF(120&gt;MAX('Calculations'!$HH$13:$HH$512),"",INDEX('Calculations'!$HF$13:$HF$512,MATCH(120,'Calculations'!$HH$13:$HH$512,0)))</x:f>
      </x:c>
      <x:c r="DR131" s="4" t="str">
        <x:f>IF(120&gt;MAX('Calculations'!$IK$13:$IK$512),"",INDEX('Calculations'!$HE$13:$HE$512,MATCH(120,'Calculations'!$IK$13:$IK$512,0)))</x:f>
      </x:c>
      <x:c r="DS131" s="4"/>
      <x:c r="DT131" s="4"/>
      <x:c r="DU131" s="4"/>
      <x:c r="DV131" s="4"/>
      <x:c r="DW131" s="4"/>
      <x:c r="DX131" s="4"/>
      <x:c r="DY131" s="4"/>
      <x:c r="DZ131" s="4"/>
      <x:c r="EA131" s="4"/>
      <x:c r="EB131" s="4"/>
      <x:c r="EC131" s="4"/>
      <x:c r="ED131" s="4"/>
      <x:c r="EE131" s="4" t="str">
        <x:f>IF('Calculations'!BT131=0,"Not Rated",IF(OR('Calculations'!BO131&gt;=4,'Calculations'!BP131&gt;=4),"Low",IF('Calculations'!BO131+'Calculations'!BP131&lt;=3,"High",IF('Calculations'!BO131+'Calculations'!BP131&lt;=4,"Strong","Solid"))))</x:f>
        <x:v>Not Rated</x:v>
      </x:c>
      <x:c r="EF131" s="4"/>
      <x:c r="EG131" s="4"/>
      <x:c r="EH131" s="4"/>
      <x:c r="EI131" s="4"/>
      <x:c r="EJ131" s="4"/>
      <x:c r="EK131" s="4"/>
      <x:c r="EL131" s="4"/>
      <x:c r="EM131" s="4" t="str">
        <x:f>IF(119&gt;'Calculations'!$JB$2000,"",INDEX('Calculations'!$JA$12:$JA$2000,MATCH(119,'Calculations'!$JB$12:$JB$2000,0)))</x:f>
      </x:c>
      <x:c r="EN131" s="4" t="n">
        <x:f>IF(OR('Calculations'!EM131="",'Calculations'!$AG$8&gt;0,AND('Calculations'!$EF$2&lt;&gt;"All",'Calculations'!HE131='Calculations'!$EF$2),AND('Calculations'!$EF$3&lt;&gt;"All",'Calculations'!HE131='Calculations'!$EF$3)),0,IF(OR('Dashboard'!$B$7="All",'Calculations'!HN131='Dashboard'!$B$7),IF('Calculations'!$EF$2="All",1,IF('Calculations'!HL131&gt;0,0,IF(COUNTIF('Calculations'!HO131:II131,"="&amp;SUBSTITUTE(SUBSTITUTE(SUBSTITUTE('Calculations'!$EF$2,"~","~~"),"*","~*"),"?","~?"))=0,0,IF('Calculations'!$EF$3="All",1,IF(COUNTIF('Calculations'!HO131:II131,"="&amp;SUBSTITUTE(SUBSTITUTE(SUBSTITUTE('Calculations'!$EF$3,"~","~~"),"*","~*"),"?","~?"))&gt;0,1,0))))),0))</x:f>
        <x:v>0</x:v>
      </x:c>
      <x:c r="EO131" s="4" t="str">
        <x:f>IF('Calculations'!IJ131="","",IF('Calculations'!IJ131="!UNRESOLVED","Unresolved hierarchy",IFERROR(INDEX('Calculations'!$HK$13:$HK$512,MATCH('Calculations'!IJ131,'Calculations'!$HE$13:$HE$512,0)),IFERROR(INDEX('Calculations'!$HJ$13:$HJ$512,MATCH('Calculations'!IJ131,'Calculations'!$HF$13:$HF$512,0)),'Calculations'!IJ131))))</x:f>
      </x:c>
      <x:c r="EP131" s="4" t="n">
        <x:f>IF(AND('Calculations'!EM131&lt;&gt;"",'Calculations'!HF131='Calculations'!IJ131),1,0)</x:f>
        <x:v>0</x:v>
      </x:c>
      <x:c r="EQ131" s="4"/>
      <x:c r="ER131" s="4"/>
      <x:c r="ES131" s="4"/>
      <x:c r="ET131" s="4"/>
      <x:c r="EU131" s="4"/>
      <x:c r="EV131" s="4"/>
      <x:c r="EW131" s="4"/>
      <x:c r="EX131" s="4"/>
      <x:c r="EY131" s="4"/>
      <x:c r="EZ131" s="4"/>
      <x:c r="FA131" s="4"/>
      <x:c r="FB131" s="4"/>
      <x:c r="FC131" s="4"/>
      <x:c r="FD131" s="4"/>
      <x:c r="FE131" s="4"/>
      <x:c r="FF131" s="4"/>
      <x:c r="FG131" s="4"/>
      <x:c r="FH131" s="4"/>
      <x:c r="FI131" s="4"/>
      <x:c r="FJ131" s="4"/>
      <x:c r="FK131" s="4"/>
      <x:c r="FL131" s="4"/>
      <x:c r="FM131" s="4"/>
      <x:c r="FN131" s="4"/>
      <x:c r="FO131" s="4"/>
      <x:c r="GA131" s="71"/>
      <x:c r="GB131" s="71"/>
      <x:c r="GC131" s="71"/>
      <x:c r="GD131" s="71"/>
      <x:c r="GE131" s="71"/>
      <x:c r="GF131" s="71"/>
      <x:c r="GG131" s="71"/>
      <x:c r="GH131" s="71"/>
      <x:c r="GI131" s="71"/>
      <x:c r="GJ131" s="71"/>
      <x:c r="GK131" s="71"/>
      <x:c r="GL131" s="71"/>
      <x:c r="GM131" s="71"/>
      <x:c r="GN131" s="71"/>
      <x:c r="GO131" s="71"/>
      <x:c r="GP131" s="71"/>
      <x:c r="GQ131" s="71"/>
      <x:c r="GR131" s="71"/>
      <x:c r="GS131" s="71"/>
      <x:c r="GT131" s="71"/>
      <x:c r="GU131" s="71"/>
      <x:c r="GV131" s="71"/>
      <x:c r="GW131" s="71"/>
      <x:c r="GX131" s="71" t="str">
        <x:f>IF(COUNTA('Dashboard'!N131,'Dashboard'!P131,'Dashboard'!R131,'Dashboard'!T131)=0,"No thresholds",IF(OR(COUNT('Dashboard'!N131,'Dashboard'!P131,'Dashboard'!R131,'Dashboard'!T131)&lt;&gt;COUNTA('Dashboard'!N131,'Dashboard'!P131,'Dashboard'!R131,'Dashboard'!T131),MIN('Dashboard'!N131,'Dashboard'!P131,'Dashboard'!R131,'Dashboard'!T131)&lt;0,MAX('Dashboard'!N131,'Dashboard'!P131,'Dashboard'!R131,'Dashboard'!T131)&gt;1),"Check thresholds",TEXT(SUM('Dashboard'!N131,'Dashboard'!P131,'Dashboard'!R131,'Dashboard'!T131),"0%")&amp;" - separate caps"))</x:f>
        <x:v>112% - separate caps</x:v>
      </x:c>
      <x:c r="GY131" s="71"/>
      <x:c r="GZ131" s="71"/>
      <x:c r="HA131" s="71"/>
      <x:c r="HB131" s="71"/>
      <x:c r="HC131" s="71"/>
      <x:c r="HD131" s="71"/>
      <x:c r="HE131" t="str">
        <x:f>IF('Calculations'!EM131="","",IF(IFERROR(IF(INDEX(INDIRECT("'WCM Calibration Final'!$A$1:$A$2000"),'Calculations'!$EM131)="","",TRIM(INDEX(INDIRECT("'WCM Calibration Final'!$A$1:$A$2000"),'Calculations'!$EM131)&amp;"")),"")&lt;&gt;"","G:"&amp;IFERROR(TEXT(1*INDEX(INDIRECT("'WCM Calibration Final'!$A$1:$A$2000"),'Calculations'!$EM131),"0"),UPPER(IFERROR(IF(INDEX(INDIRECT("'WCM Calibration Final'!$A$1:$A$2000"),'Calculations'!$EM131)="","",TRIM(INDEX(INDIRECT("'WCM Calibration Final'!$A$1:$A$2000"),'Calculations'!$EM131)&amp;"")),""))),IF(IFERROR(IF(INDEX(INDIRECT("'WCM Calibration Final'!$C$1:$C$2000"),'Calculations'!$EM131)="","",TRIM(INDEX(INDIRECT("'WCM Calibration Final'!$C$1:$C$2000"),'Calculations'!$EM131)&amp;"")),"")&lt;&gt;"","S:"&amp;UPPER(IFERROR(IF(INDEX(INDIRECT("'WCM Calibration Final'!$C$1:$C$2000"),'Calculations'!$EM131)="","",TRIM(INDEX(INDIRECT("'WCM Calibration Final'!$C$1:$C$2000"),'Calculations'!$EM131)&amp;"")),"")),"R:"&amp;'Calculations'!EM131)))</x:f>
      </x:c>
      <x:c r="HF131" t="str">
        <x:f>IF('Calculations'!EM131="","",IF(IFERROR(IF(INDEX(INDIRECT("'WCM Calibration Final'!$D$1:$D$2000"),'Calculations'!$EM131)="","",TRIM(INDEX(INDIRECT("'WCM Calibration Final'!$D$1:$D$2000"),'Calculations'!$EM131)&amp;"")),"")&lt;&gt;"","G:"&amp;IFERROR(TEXT(1*INDEX(INDIRECT("'WCM Calibration Final'!$D$1:$D$2000"),'Calculations'!$EM131),"0"),UPPER(IFERROR(IF(INDEX(INDIRECT("'WCM Calibration Final'!$D$1:$D$2000"),'Calculations'!$EM131)="","",TRIM(INDEX(INDIRECT("'WCM Calibration Final'!$D$1:$D$2000"),'Calculations'!$EM131)&amp;"")),""))),IF(IFERROR(IF(INDEX(INDIRECT("'WCM Calibration Final'!$E$1:$E$2000"),'Calculations'!$EM131)="","",TRIM(INDEX(INDIRECT("'WCM Calibration Final'!$E$1:$E$2000"),'Calculations'!$EM131)&amp;"")),"")="","",IF(COUNTIF('Calculations'!$HG$13:$HG$512,"="&amp;SUBSTITUTE(SUBSTITUTE(SUBSTITUTE(IFERROR(IF(INDEX(INDIRECT("'WCM Calibration Final'!$E$1:$E$2000"),'Calculations'!$EM131)="","",TRIM(INDEX(INDIRECT("'WCM Calibration Final'!$E$1:$E$2000"),'Calculations'!$EM131)&amp;"")),""),"~","~~"),"*","~*"),"?","~?"))=1,INDEX('Calculations'!$HE$13:$HE$512,MATCH(IFERROR(IF(INDEX(INDIRECT("'WCM Calibration Final'!$E$1:$E$2000"),'Calculations'!$EM131)="","",TRIM(INDEX(INDIRECT("'WCM Calibration Final'!$E$1:$E$2000"),'Calculations'!$EM131)&amp;"")),""),'Calculations'!$HG$13:$HG$512,0)),IF(COUNTIF('Calculations'!$HG$13:$HG$512,"="&amp;SUBSTITUTE(SUBSTITUTE(SUBSTITUTE(IFERROR(IF(INDEX(INDIRECT("'WCM Calibration Final'!$E$1:$E$2000"),'Calculations'!$EM131)="","",TRIM(INDEX(INDIRECT("'WCM Calibration Final'!$E$1:$E$2000"),'Calculations'!$EM131)&amp;"")),""),"~","~~"),"*","~*"),"?","~?"))&gt;1,"!AMBIG","X:"&amp;IFERROR(IF(INDEX(INDIRECT("'WCM Calibration Final'!$E$1:$E$2000"),'Calculations'!$EM131)="","",TRIM(INDEX(INDIRECT("'WCM Calibration Final'!$E$1:$E$2000"),'Calculations'!$EM131)&amp;"")),""))))))</x:f>
      </x:c>
      <x:c r="HG131" t="str">
        <x:f>IF('Calculations'!EM131="","",IFERROR(IF(INDEX(INDIRECT("'WCM Calibration Final'!$B$1:$B$2000"),'Calculations'!$EM131)="","",TRIM(INDEX(INDIRECT("'WCM Calibration Final'!$B$1:$B$2000"),'Calculations'!$EM131)&amp;"")),""))</x:f>
      </x:c>
      <x:c r="HH131" t="n">
        <x:f>IF(AND('Calculations'!JC131&gt;0,COUNTIF('Calculations'!$HF$12:HF131,"="&amp;SUBSTITUTE(SUBSTITUTE(SUBSTITUTE('Calculations'!HF131,"~","~~"),"*","~*"),"?","~?"))=1),MAX('Calculations'!$HH$12:HH130)+1,0)</x:f>
        <x:v>0</x:v>
      </x:c>
      <x:c r="HI131" t="n">
        <x:f>IF(AND('Calculations'!HN131&lt;&gt;"",COUNTIF('Calculations'!$HN$12:HN131,"="&amp;SUBSTITUTE(SUBSTITUTE(SUBSTITUTE('Calculations'!HN131,"~","~~"),"*","~*"),"?","~?"))=1),MAX('Calculations'!$HI$12:HI130)+1,0)</x:f>
        <x:v>0</x:v>
      </x:c>
      <x:c r="HJ131" t="str">
        <x:f>IF('Calculations'!HF131="","",IF(COUNTIF('Calculations'!$HE$13:$HE$512,"="&amp;SUBSTITUTE(SUBSTITUTE(SUBSTITUTE('Calculations'!HF131,"~","~~"),"*","~*"),"?","~?"))=1,INDEX('Calculations'!$HK$13:$HK$512,MATCH('Calculations'!HF131,'Calculations'!$HE$13:$HE$512,0)),IFERROR(IF(INDEX(INDIRECT("'WCM Calibration Final'!$E$1:$E$2000"),'Calculations'!$EM131)="","",TRIM(INDEX(INDIRECT("'WCM Calibration Final'!$E$1:$E$2000"),'Calculations'!$EM131)&amp;"")),"")&amp;" ["&amp;'Calculations'!HF131&amp;"]"))</x:f>
      </x:c>
      <x:c r="HK131" t="str">
        <x:f>IF('Calculations'!EM131="","",'Calculations'!HG131&amp;" ["&amp;'Calculations'!HE131&amp;"]")</x:f>
      </x:c>
      <x:c r="HL131" t="n">
        <x:f>IF('Calculations'!EM131="",0,IF(OR('Calculations'!II131&lt;&gt;"",COUNTIF('Calculations'!$HE$13:$HE$512,"="&amp;SUBSTITUTE(SUBSTITUTE(SUBSTITUTE('Calculations'!HE131,"~","~~"),"*","~*"),"?","~?"))&gt;1),1,0))</x:f>
        <x:v>0</x:v>
      </x:c>
      <x:c r="HM131" t="str">
        <x:f>IF('Calculations'!EM131="","",IF('Calculations'!HL131=1,"!UNRESOLVED",IF('Calculations'!IH131&lt;&gt;"",'Calculations'!IH131,IF('Calculations'!IG131&lt;&gt;"",'Calculations'!IG131,IF('Calculations'!IF131&lt;&gt;"",'Calculations'!IF131,IF('Calculations'!IE131&lt;&gt;"",'Calculations'!IE131,IF('Calculations'!ID131&lt;&gt;"",'Calculations'!ID131,IF('Calculations'!IC131&lt;&gt;"",'Calculations'!IC131,IF('Calculations'!IB131&lt;&gt;"",'Calculations'!IB131,IF('Calculations'!IA131&lt;&gt;"",'Calculations'!IA131,IF('Calculations'!HZ131&lt;&gt;"",'Calculations'!HZ131,IF('Calculations'!HY131&lt;&gt;"",'Calculations'!HY131,IF('Calculations'!HX131&lt;&gt;"",'Calculations'!HX131,IF('Calculations'!HW131&lt;&gt;"",'Calculations'!HW131,IF('Calculations'!HV131&lt;&gt;"",'Calculations'!HV131,IF('Calculations'!HU131&lt;&gt;"",'Calculations'!HU131,IF('Calculations'!HT131&lt;&gt;"",'Calculations'!HT131,IF('Calculations'!HS131&lt;&gt;"",'Calculations'!HS131,IF('Calculations'!HR131&lt;&gt;"",'Calculations'!HR131,IF('Calculations'!HQ131&lt;&gt;"",'Calculations'!HQ131,IF('Calculations'!HP131&lt;&gt;"",'Calculations'!HP131,IF('Calculations'!HO131&lt;&gt;"",'Calculations'!HO131,'Calculations'!HE131))))))))))))))))))))))</x:f>
      </x:c>
      <x:c r="HN131" t="str">
        <x:f>IF('Calculations'!EM131="","",IF(IFERROR(IF(INDEX(INDIRECT("'WCM Calibration Final'!$F$1:$F$2000"),'Calculations'!$EM131)="","",TRIM(INDEX(INDIRECT("'WCM Calibration Final'!$F$1:$F$2000"),'Calculations'!$EM131)&amp;"")),"")="","(Blank)",IFERROR(IF(INDEX(INDIRECT("'WCM Calibration Final'!$F$1:$F$2000"),'Calculations'!$EM131)="","",TRIM(INDEX(INDIRECT("'WCM Calibration Final'!$F$1:$F$2000"),'Calculations'!$EM131)&amp;"")),"")))</x:f>
      </x:c>
      <x:c r="HO131" t="str">
        <x:f>'Calculations'!HF131</x:f>
      </x:c>
      <x:c r="HP131" t="str">
        <x:f>IF('Calculations'!HO131="","",IF('Calculations'!HO131="!AMBIG","!AMBIG",IF(COUNTIF('Calculations'!$HE$13:$HE$512,"="&amp;SUBSTITUTE(SUBSTITUTE(SUBSTITUTE('Calculations'!HO131,"~","~~"),"*","~*"),"?","~?"))&gt;1,"!AMBIG",IFERROR(INDEX('Calculations'!$HF$13:$HF$512,MATCH('Calculations'!HO131,'Calculations'!$HE$13:$HE$512,0)),""))))</x:f>
      </x:c>
      <x:c r="HQ131" t="str">
        <x:f>IF('Calculations'!HP131="","",IF('Calculations'!HP131="!AMBIG","!AMBIG",IF(COUNTIF('Calculations'!$HE$13:$HE$512,"="&amp;SUBSTITUTE(SUBSTITUTE(SUBSTITUTE('Calculations'!HP131,"~","~~"),"*","~*"),"?","~?"))&gt;1,"!AMBIG",IFERROR(INDEX('Calculations'!$HF$13:$HF$512,MATCH('Calculations'!HP131,'Calculations'!$HE$13:$HE$512,0)),""))))</x:f>
      </x:c>
      <x:c r="HR131" t="str">
        <x:f>IF('Calculations'!HQ131="","",IF('Calculations'!HQ131="!AMBIG","!AMBIG",IF(COUNTIF('Calculations'!$HE$13:$HE$512,"="&amp;SUBSTITUTE(SUBSTITUTE(SUBSTITUTE('Calculations'!HQ131,"~","~~"),"*","~*"),"?","~?"))&gt;1,"!AMBIG",IFERROR(INDEX('Calculations'!$HF$13:$HF$512,MATCH('Calculations'!HQ131,'Calculations'!$HE$13:$HE$512,0)),""))))</x:f>
      </x:c>
      <x:c r="HS131" t="str">
        <x:f>IF('Calculations'!HR131="","",IF('Calculations'!HR131="!AMBIG","!AMBIG",IF(COUNTIF('Calculations'!$HE$13:$HE$512,"="&amp;SUBSTITUTE(SUBSTITUTE(SUBSTITUTE('Calculations'!HR131,"~","~~"),"*","~*"),"?","~?"))&gt;1,"!AMBIG",IFERROR(INDEX('Calculations'!$HF$13:$HF$512,MATCH('Calculations'!HR131,'Calculations'!$HE$13:$HE$512,0)),""))))</x:f>
      </x:c>
      <x:c r="HT131" t="str">
        <x:f>IF('Calculations'!HS131="","",IF('Calculations'!HS131="!AMBIG","!AMBIG",IF(COUNTIF('Calculations'!$HE$13:$HE$512,"="&amp;SUBSTITUTE(SUBSTITUTE(SUBSTITUTE('Calculations'!HS131,"~","~~"),"*","~*"),"?","~?"))&gt;1,"!AMBIG",IFERROR(INDEX('Calculations'!$HF$13:$HF$512,MATCH('Calculations'!HS131,'Calculations'!$HE$13:$HE$512,0)),""))))</x:f>
      </x:c>
      <x:c r="HU131" t="str">
        <x:f>IF('Calculations'!HT131="","",IF('Calculations'!HT131="!AMBIG","!AMBIG",IF(COUNTIF('Calculations'!$HE$13:$HE$512,"="&amp;SUBSTITUTE(SUBSTITUTE(SUBSTITUTE('Calculations'!HT131,"~","~~"),"*","~*"),"?","~?"))&gt;1,"!AMBIG",IFERROR(INDEX('Calculations'!$HF$13:$HF$512,MATCH('Calculations'!HT131,'Calculations'!$HE$13:$HE$512,0)),""))))</x:f>
      </x:c>
      <x:c r="HV131" t="str">
        <x:f>IF('Calculations'!HU131="","",IF('Calculations'!HU131="!AMBIG","!AMBIG",IF(COUNTIF('Calculations'!$HE$13:$HE$512,"="&amp;SUBSTITUTE(SUBSTITUTE(SUBSTITUTE('Calculations'!HU131,"~","~~"),"*","~*"),"?","~?"))&gt;1,"!AMBIG",IFERROR(INDEX('Calculations'!$HF$13:$HF$512,MATCH('Calculations'!HU131,'Calculations'!$HE$13:$HE$512,0)),""))))</x:f>
      </x:c>
      <x:c r="HW131" t="str">
        <x:f>IF('Calculations'!HV131="","",IF('Calculations'!HV131="!AMBIG","!AMBIG",IF(COUNTIF('Calculations'!$HE$13:$HE$512,"="&amp;SUBSTITUTE(SUBSTITUTE(SUBSTITUTE('Calculations'!HV131,"~","~~"),"*","~*"),"?","~?"))&gt;1,"!AMBIG",IFERROR(INDEX('Calculations'!$HF$13:$HF$512,MATCH('Calculations'!HV131,'Calculations'!$HE$13:$HE$512,0)),""))))</x:f>
      </x:c>
      <x:c r="HX131" t="str">
        <x:f>IF('Calculations'!HW131="","",IF('Calculations'!HW131="!AMBIG","!AMBIG",IF(COUNTIF('Calculations'!$HE$13:$HE$512,"="&amp;SUBSTITUTE(SUBSTITUTE(SUBSTITUTE('Calculations'!HW131,"~","~~"),"*","~*"),"?","~?"))&gt;1,"!AMBIG",IFERROR(INDEX('Calculations'!$HF$13:$HF$512,MATCH('Calculations'!HW131,'Calculations'!$HE$13:$HE$512,0)),""))))</x:f>
      </x:c>
      <x:c r="HY131" t="str">
        <x:f>IF('Calculations'!HX131="","",IF('Calculations'!HX131="!AMBIG","!AMBIG",IF(COUNTIF('Calculations'!$HE$13:$HE$512,"="&amp;SUBSTITUTE(SUBSTITUTE(SUBSTITUTE('Calculations'!HX131,"~","~~"),"*","~*"),"?","~?"))&gt;1,"!AMBIG",IFERROR(INDEX('Calculations'!$HF$13:$HF$512,MATCH('Calculations'!HX131,'Calculations'!$HE$13:$HE$512,0)),""))))</x:f>
      </x:c>
      <x:c r="HZ131" t="str">
        <x:f>IF('Calculations'!HY131="","",IF('Calculations'!HY131="!AMBIG","!AMBIG",IF(COUNTIF('Calculations'!$HE$13:$HE$512,"="&amp;SUBSTITUTE(SUBSTITUTE(SUBSTITUTE('Calculations'!HY131,"~","~~"),"*","~*"),"?","~?"))&gt;1,"!AMBIG",IFERROR(INDEX('Calculations'!$HF$13:$HF$512,MATCH('Calculations'!HY131,'Calculations'!$HE$13:$HE$512,0)),""))))</x:f>
      </x:c>
      <x:c r="IA131" t="str">
        <x:f>IF('Calculations'!HZ131="","",IF('Calculations'!HZ131="!AMBIG","!AMBIG",IF(COUNTIF('Calculations'!$HE$13:$HE$512,"="&amp;SUBSTITUTE(SUBSTITUTE(SUBSTITUTE('Calculations'!HZ131,"~","~~"),"*","~*"),"?","~?"))&gt;1,"!AMBIG",IFERROR(INDEX('Calculations'!$HF$13:$HF$512,MATCH('Calculations'!HZ131,'Calculations'!$HE$13:$HE$512,0)),""))))</x:f>
      </x:c>
      <x:c r="IB131" t="str">
        <x:f>IF('Calculations'!IA131="","",IF('Calculations'!IA131="!AMBIG","!AMBIG",IF(COUNTIF('Calculations'!$HE$13:$HE$512,"="&amp;SUBSTITUTE(SUBSTITUTE(SUBSTITUTE('Calculations'!IA131,"~","~~"),"*","~*"),"?","~?"))&gt;1,"!AMBIG",IFERROR(INDEX('Calculations'!$HF$13:$HF$512,MATCH('Calculations'!IA131,'Calculations'!$HE$13:$HE$512,0)),""))))</x:f>
      </x:c>
      <x:c r="IC131" t="str">
        <x:f>IF('Calculations'!IB131="","",IF('Calculations'!IB131="!AMBIG","!AMBIG",IF(COUNTIF('Calculations'!$HE$13:$HE$512,"="&amp;SUBSTITUTE(SUBSTITUTE(SUBSTITUTE('Calculations'!IB131,"~","~~"),"*","~*"),"?","~?"))&gt;1,"!AMBIG",IFERROR(INDEX('Calculations'!$HF$13:$HF$512,MATCH('Calculations'!IB131,'Calculations'!$HE$13:$HE$512,0)),""))))</x:f>
      </x:c>
      <x:c r="ID131" t="str">
        <x:f>IF('Calculations'!IC131="","",IF('Calculations'!IC131="!AMBIG","!AMBIG",IF(COUNTIF('Calculations'!$HE$13:$HE$512,"="&amp;SUBSTITUTE(SUBSTITUTE(SUBSTITUTE('Calculations'!IC131,"~","~~"),"*","~*"),"?","~?"))&gt;1,"!AMBIG",IFERROR(INDEX('Calculations'!$HF$13:$HF$512,MATCH('Calculations'!IC131,'Calculations'!$HE$13:$HE$512,0)),""))))</x:f>
      </x:c>
      <x:c r="IE131" t="str">
        <x:f>IF('Calculations'!ID131="","",IF('Calculations'!ID131="!AMBIG","!AMBIG",IF(COUNTIF('Calculations'!$HE$13:$HE$512,"="&amp;SUBSTITUTE(SUBSTITUTE(SUBSTITUTE('Calculations'!ID131,"~","~~"),"*","~*"),"?","~?"))&gt;1,"!AMBIG",IFERROR(INDEX('Calculations'!$HF$13:$HF$512,MATCH('Calculations'!ID131,'Calculations'!$HE$13:$HE$512,0)),""))))</x:f>
      </x:c>
      <x:c r="IF131" t="str">
        <x:f>IF('Calculations'!IE131="","",IF('Calculations'!IE131="!AMBIG","!AMBIG",IF(COUNTIF('Calculations'!$HE$13:$HE$512,"="&amp;SUBSTITUTE(SUBSTITUTE(SUBSTITUTE('Calculations'!IE131,"~","~~"),"*","~*"),"?","~?"))&gt;1,"!AMBIG",IFERROR(INDEX('Calculations'!$HF$13:$HF$512,MATCH('Calculations'!IE131,'Calculations'!$HE$13:$HE$512,0)),""))))</x:f>
      </x:c>
      <x:c r="IG131" t="str">
        <x:f>IF('Calculations'!IF131="","",IF('Calculations'!IF131="!AMBIG","!AMBIG",IF(COUNTIF('Calculations'!$HE$13:$HE$512,"="&amp;SUBSTITUTE(SUBSTITUTE(SUBSTITUTE('Calculations'!IF131,"~","~~"),"*","~*"),"?","~?"))&gt;1,"!AMBIG",IFERROR(INDEX('Calculations'!$HF$13:$HF$512,MATCH('Calculations'!IF131,'Calculations'!$HE$13:$HE$512,0)),""))))</x:f>
      </x:c>
      <x:c r="IH131" t="str">
        <x:f>IF('Calculations'!IG131="","",IF('Calculations'!IG131="!AMBIG","!AMBIG",IF(COUNTIF('Calculations'!$HE$13:$HE$512,"="&amp;SUBSTITUTE(SUBSTITUTE(SUBSTITUTE('Calculations'!IG131,"~","~~"),"*","~*"),"?","~?"))&gt;1,"!AMBIG",IFERROR(INDEX('Calculations'!$HF$13:$HF$512,MATCH('Calculations'!IG131,'Calculations'!$HE$13:$HE$512,0)),""))))</x:f>
      </x:c>
      <x:c r="II131" t="str">
        <x:f>IF('Calculations'!IH131="","",IF('Calculations'!IH131="!AMBIG","!AMBIG",IF(COUNTIF('Calculations'!$HE$13:$HE$512,"="&amp;SUBSTITUTE(SUBSTITUTE(SUBSTITUTE('Calculations'!IH131,"~","~~"),"*","~*"),"?","~?"))&gt;1,"!AMBIG",IFERROR(INDEX('Calculations'!$HF$13:$HF$512,MATCH('Calculations'!IH131,'Calculations'!$HE$13:$HE$512,0)),""))))</x:f>
      </x:c>
      <x:c r="IJ131" t="str">
        <x:f>IF('Calculations'!EM131="","",IF('Calculations'!$EF$2="All",'Calculations'!HM131,IF('Calculations'!HL131=1,"",IFERROR(IF(MATCH('Calculations'!$EF$2,'Calculations'!HO131:II131,0)=1,'Calculations'!HE131,INDEX('Calculations'!HO131:II131,1,MATCH('Calculations'!$EF$2,'Calculations'!HO131:II131,0)-1)),""))))</x:f>
      </x:c>
      <x:c r="IK131" t="n">
        <x:f>IF(AND('Calculations'!EM131&lt;&gt;"",'Calculations'!$EF$2&lt;&gt;"All",'Calculations'!HF131='Calculations'!$EF$2,'Calculations'!HL131=0,'Calculations'!JD131&gt;0),MAX('Calculations'!$IK$12:IK130)+1,0)</x:f>
        <x:v>0</x:v>
      </x:c>
      <x:c r="JA131" t="n">
        <x:f>IF(OR(IFERROR(INDIRECT("'WCM Calibration Final'!$A$131")&lt;&gt;"",FALSE),IFERROR(INDIRECT("'WCM Calibration Final'!$B$131")&lt;&gt;"",FALSE),IFERROR(INDIRECT("'WCM Calibration Final'!$C$131")&lt;&gt;"",FALSE)),131,0)</x:f>
        <x:v>0</x:v>
      </x:c>
      <x:c r="JB131" t="n">
        <x:f>'Calculations'!JB130+IF('Calculations'!JA131&gt;0,1,0)</x:f>
        <x:v>0</x:v>
      </x:c>
      <x:c r="JC131" t="n">
        <x:f>IF(OR('Calculations'!HF131="",'Calculations'!HF131="!AMBIG"),0,IF('Dashboard'!$B$7="All",1,COUNTIFS('Calculations'!$HO$13:$HO$512,"="&amp;SUBSTITUTE(SUBSTITUTE(SUBSTITUTE('Calculations'!HF131,"~","~~"),"*","~*"),"?","~?"),'Calculations'!$HN$13:$HN$512,"="&amp;SUBSTITUTE(SUBSTITUTE(SUBSTITUTE('Dashboard'!$B$7,"~","~~"),"*","~*"),"?","~?"))+COUNTIFS('Calculations'!$HP$13:$HP$512,"="&amp;SUBSTITUTE(SUBSTITUTE(SUBSTITUTE('Calculations'!HF131,"~","~~"),"*","~*"),"?","~?"),'Calculations'!$HN$13:$HN$512,"="&amp;SUBSTITUTE(SUBSTITUTE(SUBSTITUTE('Dashboard'!$B$7,"~","~~"),"*","~*"),"?","~?"))+COUNTIFS('Calculations'!$HQ$13:$HQ$512,"="&amp;SUBSTITUTE(SUBSTITUTE(SUBSTITUTE('Calculations'!HF131,"~","~~"),"*","~*"),"?","~?"),'Calculations'!$HN$13:$HN$512,"="&amp;SUBSTITUTE(SUBSTITUTE(SUBSTITUTE('Dashboard'!$B$7,"~","~~"),"*","~*"),"?","~?"))+COUNTIFS('Calculations'!$HR$13:$HR$512,"="&amp;SUBSTITUTE(SUBSTITUTE(SUBSTITUTE('Calculations'!HF131,"~","~~"),"*","~*"),"?","~?"),'Calculations'!$HN$13:$HN$512,"="&amp;SUBSTITUTE(SUBSTITUTE(SUBSTITUTE('Dashboard'!$B$7,"~","~~"),"*","~*"),"?","~?"))+COUNTIFS('Calculations'!$HS$13:$HS$512,"="&amp;SUBSTITUTE(SUBSTITUTE(SUBSTITUTE('Calculations'!HF131,"~","~~"),"*","~*"),"?","~?"),'Calculations'!$HN$13:$HN$512,"="&amp;SUBSTITUTE(SUBSTITUTE(SUBSTITUTE('Dashboard'!$B$7,"~","~~"),"*","~*"),"?","~?"))+COUNTIFS('Calculations'!$HT$13:$HT$512,"="&amp;SUBSTITUTE(SUBSTITUTE(SUBSTITUTE('Calculations'!HF131,"~","~~"),"*","~*"),"?","~?"),'Calculations'!$HN$13:$HN$512,"="&amp;SUBSTITUTE(SUBSTITUTE(SUBSTITUTE('Dashboard'!$B$7,"~","~~"),"*","~*"),"?","~?"))+COUNTIFS('Calculations'!$HU$13:$HU$512,"="&amp;SUBSTITUTE(SUBSTITUTE(SUBSTITUTE('Calculations'!HF131,"~","~~"),"*","~*"),"?","~?"),'Calculations'!$HN$13:$HN$512,"="&amp;SUBSTITUTE(SUBSTITUTE(SUBSTITUTE('Dashboard'!$B$7,"~","~~"),"*","~*"),"?","~?"))+COUNTIFS('Calculations'!$HV$13:$HV$512,"="&amp;SUBSTITUTE(SUBSTITUTE(SUBSTITUTE('Calculations'!HF131,"~","~~"),"*","~*"),"?","~?"),'Calculations'!$HN$13:$HN$512,"="&amp;SUBSTITUTE(SUBSTITUTE(SUBSTITUTE('Dashboard'!$B$7,"~","~~"),"*","~*"),"?","~?"))+COUNTIFS('Calculations'!$HW$13:$HW$512,"="&amp;SUBSTITUTE(SUBSTITUTE(SUBSTITUTE('Calculations'!HF131,"~","~~"),"*","~*"),"?","~?"),'Calculations'!$HN$13:$HN$512,"="&amp;SUBSTITUTE(SUBSTITUTE(SUBSTITUTE('Dashboard'!$B$7,"~","~~"),"*","~*"),"?","~?"))+COUNTIFS('Calculations'!$HX$13:$HX$512,"="&amp;SUBSTITUTE(SUBSTITUTE(SUBSTITUTE('Calculations'!HF131,"~","~~"),"*","~*"),"?","~?"),'Calculations'!$HN$13:$HN$512,"="&amp;SUBSTITUTE(SUBSTITUTE(SUBSTITUTE('Dashboard'!$B$7,"~","~~"),"*","~*"),"?","~?"))+COUNTIFS('Calculations'!$HY$13:$HY$512,"="&amp;SUBSTITUTE(SUBSTITUTE(SUBSTITUTE('Calculations'!HF131,"~","~~"),"*","~*"),"?","~?"),'Calculations'!$HN$13:$HN$512,"="&amp;SUBSTITUTE(SUBSTITUTE(SUBSTITUTE('Dashboard'!$B$7,"~","~~"),"*","~*"),"?","~?"))+COUNTIFS('Calculations'!$HZ$13:$HZ$512,"="&amp;SUBSTITUTE(SUBSTITUTE(SUBSTITUTE('Calculations'!HF131,"~","~~"),"*","~*"),"?","~?"),'Calculations'!$HN$13:$HN$512,"="&amp;SUBSTITUTE(SUBSTITUTE(SUBSTITUTE('Dashboard'!$B$7,"~","~~"),"*","~*"),"?","~?"))+COUNTIFS('Calculations'!$IA$13:$IA$512,"="&amp;SUBSTITUTE(SUBSTITUTE(SUBSTITUTE('Calculations'!HF131,"~","~~"),"*","~*"),"?","~?"),'Calculations'!$HN$13:$HN$512,"="&amp;SUBSTITUTE(SUBSTITUTE(SUBSTITUTE('Dashboard'!$B$7,"~","~~"),"*","~*"),"?","~?"))+COUNTIFS('Calculations'!$IB$13:$IB$512,"="&amp;SUBSTITUTE(SUBSTITUTE(SUBSTITUTE('Calculations'!HF131,"~","~~"),"*","~*"),"?","~?"),'Calculations'!$HN$13:$HN$512,"="&amp;SUBSTITUTE(SUBSTITUTE(SUBSTITUTE('Dashboard'!$B$7,"~","~~"),"*","~*"),"?","~?"))+COUNTIFS('Calculations'!$IC$13:$IC$512,"="&amp;SUBSTITUTE(SUBSTITUTE(SUBSTITUTE('Calculations'!HF131,"~","~~"),"*","~*"),"?","~?"),'Calculations'!$HN$13:$HN$512,"="&amp;SUBSTITUTE(SUBSTITUTE(SUBSTITUTE('Dashboard'!$B$7,"~","~~"),"*","~*"),"?","~?"))+COUNTIFS('Calculations'!$ID$13:$ID$512,"="&amp;SUBSTITUTE(SUBSTITUTE(SUBSTITUTE('Calculations'!HF131,"~","~~"),"*","~*"),"?","~?"),'Calculations'!$HN$13:$HN$512,"="&amp;SUBSTITUTE(SUBSTITUTE(SUBSTITUTE('Dashboard'!$B$7,"~","~~"),"*","~*"),"?","~?"))+COUNTIFS('Calculations'!$IE$13:$IE$512,"="&amp;SUBSTITUTE(SUBSTITUTE(SUBSTITUTE('Calculations'!HF131,"~","~~"),"*","~*"),"?","~?"),'Calculations'!$HN$13:$HN$512,"="&amp;SUBSTITUTE(SUBSTITUTE(SUBSTITUTE('Dashboard'!$B$7,"~","~~"),"*","~*"),"?","~?"))+COUNTIFS('Calculations'!$IF$13:$IF$512,"="&amp;SUBSTITUTE(SUBSTITUTE(SUBSTITUTE('Calculations'!HF131,"~","~~"),"*","~*"),"?","~?"),'Calculations'!$HN$13:$HN$512,"="&amp;SUBSTITUTE(SUBSTITUTE(SUBSTITUTE('Dashboard'!$B$7,"~","~~"),"*","~*"),"?","~?"))+COUNTIFS('Calculations'!$IG$13:$IG$512,"="&amp;SUBSTITUTE(SUBSTITUTE(SUBSTITUTE('Calculations'!HF131,"~","~~"),"*","~*"),"?","~?"),'Calculations'!$HN$13:$HN$512,"="&amp;SUBSTITUTE(SUBSTITUTE(SUBSTITUTE('Dashboard'!$B$7,"~","~~"),"*","~*"),"?","~?"))+COUNTIFS('Calculations'!$IH$13:$IH$512,"="&amp;SUBSTITUTE(SUBSTITUTE(SUBSTITUTE('Calculations'!HF131,"~","~~"),"*","~*"),"?","~?"),'Calculations'!$HN$13:$HN$512,"="&amp;SUBSTITUTE(SUBSTITUTE(SUBSTITUTE('Dashboard'!$B$7,"~","~~"),"*","~*"),"?","~?"))))</x:f>
        <x:v>0</x:v>
      </x:c>
      <x:c r="JD131" t="n">
        <x:f>IF('Calculations'!EM131="",0,IF('Dashboard'!$B$7="All",1,IF('Calculations'!HN131='Dashboard'!$B$7,1,0)+IFERROR(INDEX('Calculations'!$JC$13:$JC$512,MATCH('Calculations'!HE131,'Calculations'!$HF$13:$HF$512,0)),0)))</x:f>
        <x:v>0</x:v>
      </x:c>
      <x:c r="JE131" t="n">
        <x:f>IF(AND('Calculations'!EM131&lt;&gt;"",'Calculations'!$JJ$2&lt;&gt;"All",'Calculations'!$JJ$2&lt;&gt;"",'Calculations'!HF131='Calculations'!$JJ$2,'Calculations'!HL131=0,'Calculations'!JD131&gt;0),MAX('Calculations'!$JE$12:JE130)+1,0)</x:f>
        <x:v>0</x:v>
      </x:c>
      <x:c r="JF131" t="str">
        <x:f>IF('Calculations'!EM131="","",IFERROR(IF(INDEX(INDIRECT("'WCM Calibration Final'!$G$1:$G$2000"),'Calculations'!$EM131)="","",TRIM(INDEX(INDIRECT("'WCM Calibration Final'!$G$1:$G$2000"),'Calculations'!$EM131)&amp;"")),""))</x:f>
      </x:c>
      <x:c r="JQ131" t="n">
        <x:f>IF(OR('Calculations'!BM131=0,NOT('Calculations'!$AG$2),'Calculations'!$AG$8&gt;0),0,IF(OR('Dashboard'!$B$7="All",'Calculations'!HN131='Dashboard'!$B$7),IF('Calculations'!$JJ$2="All",1,IF(AND('Calculations'!HF131='Calculations'!$JJ$2,'Calculations'!HL131=0),1,0)),0))</x:f>
        <x:v>0</x:v>
      </x:c>
    </x:row>
    <x:row r="132">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t="n">
        <x:f>IF('Calculations'!$EM132="",0,IF(OR(IFERROR(INDEX(INDIRECT("'WCM Calibration Final'!$A$1:$A$2000"),'Calculations'!$EM132)&lt;&gt;"",FALSE),IFERROR(INDEX(INDIRECT("'WCM Calibration Final'!$B$1:$B$2000"),'Calculations'!$EM132)&lt;&gt;"",FALSE),IFERROR(INDEX(INDIRECT("'WCM Calibration Final'!$C$1:$C$2000"),'Calculations'!$EM132)&lt;&gt;"",FALSE)),1,0))</x:f>
        <x:v>0</x:v>
      </x:c>
      <x:c r="BN132" s="4" t="n">
        <x:f>IF(AND('Calculations'!BM132=1,'Calculations'!$AG$2,'Calculations'!$EN132=1),1,0)</x:f>
        <x:v>0</x:v>
      </x:c>
      <x:c r="BO132" s="4" t="str">
        <x:f>IF('Calculations'!BM132=0,"",IFERROR(IF(AND(VALUE(INDEX(INDIRECT("'WCM Calibration Final'!$K$1:$K$2000"),'Calculations'!$EM132))&gt;=1,VALUE(INDEX(INDIRECT("'WCM Calibration Final'!$K$1:$K$2000"),'Calculations'!$EM132))&lt;=4,MOD(VALUE(INDEX(INDIRECT("'WCM Calibration Final'!$K$1:$K$2000"),'Calculations'!$EM132)),1)=0),VALUE(INDEX(INDIRECT("'WCM Calibration Final'!$K$1:$K$2000"),'Calculations'!$EM132)),""),""))</x:f>
      </x:c>
      <x:c r="BP132" s="4" t="str">
        <x:f>IF('Calculations'!BM132=0,"",IFERROR(IF(AND(VALUE(INDEX(INDIRECT("'WCM Calibration Final'!$L$1:$L$2000"),'Calculations'!$EM132))&gt;=1,VALUE(INDEX(INDIRECT("'WCM Calibration Final'!$L$1:$L$2000"),'Calculations'!$EM132))&lt;=4,MOD(VALUE(INDEX(INDIRECT("'WCM Calibration Final'!$L$1:$L$2000"),'Calculations'!$EM132)),1)=0),VALUE(INDEX(INDIRECT("'WCM Calibration Final'!$L$1:$L$2000"),'Calculations'!$EM132)),""),""))</x:f>
      </x:c>
      <x:c r="BQ132" s="4"/>
      <x:c r="BR132" s="4"/>
      <x:c r="BS132" s="4"/>
      <x:c r="BT132" s="4" t="n">
        <x:f>IF(AND('Calculations'!BM132=1,ISNUMBER('Calculations'!BO132),ISNUMBER('Calculations'!BP132)),1,0)</x:f>
        <x:v>0</x:v>
      </x:c>
      <x:c r="BU132" s="4" t="str">
        <x:f>IF('Calculations'!BM132=0,"",'Calculations'!$EO132)</x:f>
      </x:c>
      <x:c r="BV132" s="4" t="str">
        <x:f>IF('Calculations'!BM132=0,"",IFERROR(IF(OR(INDEX(INDIRECT("'WCM Calibration Final'!$H$1:$H$2000"),'Calculations'!$EM132)="MANAGING DIRECTOR",INDEX(INDIRECT("'WCM Calibration Final'!$H$1:$H$2000"),'Calculations'!$EM132)="DIRECTOR",INDEX(INDIRECT("'WCM Calibration Final'!$H$1:$H$2000"),'Calculations'!$EM132)="SENIOR VICE PRESIDENT",INDEX(INDIRECT("'WCM Calibration Final'!$H$1:$H$2000"),'Calculations'!$EM132)="VICE PRESIDENT",INDEX(INDIRECT("'WCM Calibration Final'!$H$1:$H$2000"),'Calculations'!$EM132)="ASSISTANT VICE PRESIDENT",INDEX(INDIRECT("'WCM Calibration Final'!$H$1:$H$2000"),'Calculations'!$EM132)="OFFICER"),UPPER(INDEX(INDIRECT("'WCM Calibration Final'!$H$1:$H$2000"),'Calculations'!$EM132)),"Other"),"Other"))</x:f>
      </x:c>
      <x:c r="BW132" s="4"/>
      <x:c r="BX132" s="4"/>
      <x:c r="BY132" s="4" t="n">
        <x:f>IF(AND('Calculations'!BM132=1,'Calculations'!BU132&lt;&gt;"",COUNTIF('Calculations'!$BU$12:BU132,'Calculations'!BU132)=1),MAX('Calculations'!$BY$11:BY131)+1,0)</x:f>
        <x:v>0</x:v>
      </x:c>
      <x:c r="BZ132" s="4" t="str">
        <x:f>IF('Dashboard'!$E$67="What",'Calculations'!BO132,'Calculations'!BP132)</x:f>
      </x:c>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t="str">
        <x:f>IF(121&gt;MAX('Calculations'!$HI$13:$HI$512),"",INDEX('Calculations'!$HN$13:$HN$512,MATCH(121,'Calculations'!$HI$13:$HI$512,0)))</x:f>
      </x:c>
      <x:c r="DB132" s="4" t="str">
        <x:f>IF(121&gt;MAX('Calculations'!$HH$13:$HH$512),"",INDEX('Calculations'!$HJ$13:$HJ$512,MATCH(121,'Calculations'!$HH$13:$HH$512,0)))</x:f>
      </x:c>
      <x:c r="DC132" s="4" t="str">
        <x:f>IF(ROW()-11&gt;MAX('Calculations'!$BY$13:$BY$512),"",INDEX('Calculations'!$BU$13:$BU$512,MATCH(ROW()-11,'Calculations'!$BY$13:$BY$512,0)))</x:f>
      </x:c>
      <x:c r="DD132" s="4" t="str">
        <x:f>IF(121&gt;MAX('Calculations'!$IK$13:$IK$512),"",INDEX('Calculations'!$HK$13:$HK$512,MATCH(121,'Calculations'!$IK$13:$IK$512,0)))</x:f>
      </x:c>
      <x:c r="DE132" s="4" t="str">
        <x:f>'Calculations'!DC132</x:f>
      </x:c>
      <x:c r="DF132" s="4" t="str">
        <x:f>IF('Calculations'!DE132="","",COUNTIFS('Calculations'!$BN$13:$BN$512,1,'Calculations'!$BU$13:$BU$512,'Calculations'!DE132))</x:f>
      </x:c>
      <x:c r="DG132" s="4" t="str">
        <x:f>IF('Calculations'!DE132="","",COUNTIFS('Calculations'!$BN$13:$BN$512,1,'Calculations'!$BU$13:$BU$512,'Calculations'!DE132,'Calculations'!$BT$13:$BT$512,1))</x:f>
      </x:c>
      <x:c r="DH132" s="4" t="str">
        <x:f>IF('Calculations'!DE132="","",'Calculations'!DF132-'Calculations'!DG132)</x:f>
      </x:c>
      <x:c r="DI132" s="4" t="str">
        <x:f>IF(OR('Calculations'!DE132="",'Calculations'!DF132=0),"",'Calculations'!DG132/'Calculations'!DF132)</x:f>
      </x:c>
      <x:c r="DJ132" s="4" t="str">
        <x:f>IF('Calculations'!DE132="","",COUNTIFS('Calculations'!$BN$13:$BN$512,1,'Calculations'!$BU$13:$BU$512,'Calculations'!DE132,'Calculations'!$BT$13:$BT$512,1,'Calculations'!$EE$13:$EE$512,"High"))</x:f>
      </x:c>
      <x:c r="DK132" s="4" t="str">
        <x:f>IF('Calculations'!DE132="","",COUNTIFS('Calculations'!$BN$13:$BN$512,1,'Calculations'!$BU$13:$BU$512,'Calculations'!DE132,'Calculations'!$BT$13:$BT$512,1,'Calculations'!$EE$13:$EE$512,"Strong"))</x:f>
      </x:c>
      <x:c r="DL132" s="4" t="str">
        <x:f>IF('Calculations'!DE132="","",COUNTIFS('Calculations'!$BN$13:$BN$512,1,'Calculations'!$BU$13:$BU$512,'Calculations'!DE132,'Calculations'!$BT$13:$BT$512,1,'Calculations'!$EE$13:$EE$512,"Solid"))</x:f>
      </x:c>
      <x:c r="DM132" s="4" t="str">
        <x:f>IF('Calculations'!DE132="","",COUNTIFS('Calculations'!$BN$13:$BN$512,1,'Calculations'!$BU$13:$BU$512,'Calculations'!DE132,'Calculations'!$BT$13:$BT$512,1,'Calculations'!$EE$13:$EE$512,"Low"))</x:f>
      </x:c>
      <x:c r="DN132" s="4" t="str">
        <x:f>IF('Calculations'!DE132="","",COUNTIFS('Calculations'!$BN$13:$BN$512,1,'Calculations'!$BU$13:$BU$512,'Calculations'!DE132,'Calculations'!$EP$13:$EP$512,1))</x:f>
      </x:c>
      <x:c r="DO132" s="4" t="str">
        <x:f>IF(OR('Calculations'!DE132="",'Calculations'!DG132=0),"",('Calculations'!DJ132+'Calculations'!DK132)/'Calculations'!DG132)</x:f>
      </x:c>
      <x:c r="DP132" s="4" t="n">
        <x:f>IF(AND('Calculations'!DE132&lt;&gt;"",'Calculations'!DF132&gt;0),COUNTIF('Calculations'!$DF$12:DF132,"&gt;0"),0)</x:f>
        <x:v>0</x:v>
      </x:c>
      <x:c r="DQ132" s="4" t="str">
        <x:f>IF(121&gt;MAX('Calculations'!$HH$13:$HH$512),"",INDEX('Calculations'!$HF$13:$HF$512,MATCH(121,'Calculations'!$HH$13:$HH$512,0)))</x:f>
      </x:c>
      <x:c r="DR132" s="4" t="str">
        <x:f>IF(121&gt;MAX('Calculations'!$IK$13:$IK$512),"",INDEX('Calculations'!$HE$13:$HE$512,MATCH(121,'Calculations'!$IK$13:$IK$512,0)))</x:f>
      </x:c>
      <x:c r="DS132" s="4"/>
      <x:c r="DT132" s="4"/>
      <x:c r="DU132" s="4"/>
      <x:c r="DV132" s="4"/>
      <x:c r="DW132" s="4"/>
      <x:c r="DX132" s="4"/>
      <x:c r="DY132" s="4"/>
      <x:c r="DZ132" s="4"/>
      <x:c r="EA132" s="4"/>
      <x:c r="EB132" s="4"/>
      <x:c r="EC132" s="4"/>
      <x:c r="ED132" s="4"/>
      <x:c r="EE132" s="4" t="str">
        <x:f>IF('Calculations'!BT132=0,"Not Rated",IF(OR('Calculations'!BO132&gt;=4,'Calculations'!BP132&gt;=4),"Low",IF('Calculations'!BO132+'Calculations'!BP132&lt;=3,"High",IF('Calculations'!BO132+'Calculations'!BP132&lt;=4,"Strong","Solid"))))</x:f>
        <x:v>Not Rated</x:v>
      </x:c>
      <x:c r="EF132" s="4"/>
      <x:c r="EG132" s="4"/>
      <x:c r="EH132" s="4"/>
      <x:c r="EI132" s="4"/>
      <x:c r="EJ132" s="4"/>
      <x:c r="EK132" s="4"/>
      <x:c r="EL132" s="4"/>
      <x:c r="EM132" s="4" t="str">
        <x:f>IF(120&gt;'Calculations'!$JB$2000,"",INDEX('Calculations'!$JA$12:$JA$2000,MATCH(120,'Calculations'!$JB$12:$JB$2000,0)))</x:f>
      </x:c>
      <x:c r="EN132" s="4" t="n">
        <x:f>IF(OR('Calculations'!EM132="",'Calculations'!$AG$8&gt;0,AND('Calculations'!$EF$2&lt;&gt;"All",'Calculations'!HE132='Calculations'!$EF$2),AND('Calculations'!$EF$3&lt;&gt;"All",'Calculations'!HE132='Calculations'!$EF$3)),0,IF(OR('Dashboard'!$B$7="All",'Calculations'!HN132='Dashboard'!$B$7),IF('Calculations'!$EF$2="All",1,IF('Calculations'!HL132&gt;0,0,IF(COUNTIF('Calculations'!HO132:II132,"="&amp;SUBSTITUTE(SUBSTITUTE(SUBSTITUTE('Calculations'!$EF$2,"~","~~"),"*","~*"),"?","~?"))=0,0,IF('Calculations'!$EF$3="All",1,IF(COUNTIF('Calculations'!HO132:II132,"="&amp;SUBSTITUTE(SUBSTITUTE(SUBSTITUTE('Calculations'!$EF$3,"~","~~"),"*","~*"),"?","~?"))&gt;0,1,0))))),0))</x:f>
        <x:v>0</x:v>
      </x:c>
      <x:c r="EO132" s="4" t="str">
        <x:f>IF('Calculations'!IJ132="","",IF('Calculations'!IJ132="!UNRESOLVED","Unresolved hierarchy",IFERROR(INDEX('Calculations'!$HK$13:$HK$512,MATCH('Calculations'!IJ132,'Calculations'!$HE$13:$HE$512,0)),IFERROR(INDEX('Calculations'!$HJ$13:$HJ$512,MATCH('Calculations'!IJ132,'Calculations'!$HF$13:$HF$512,0)),'Calculations'!IJ132))))</x:f>
      </x:c>
      <x:c r="EP132" s="4" t="n">
        <x:f>IF(AND('Calculations'!EM132&lt;&gt;"",'Calculations'!HF132='Calculations'!IJ132),1,0)</x:f>
        <x:v>0</x:v>
      </x:c>
      <x:c r="EQ132" s="4"/>
      <x:c r="ER132" s="4"/>
      <x:c r="ES132" s="4"/>
      <x:c r="ET132" s="4"/>
      <x:c r="EU132" s="4"/>
      <x:c r="EV132" s="4"/>
      <x:c r="EW132" s="4"/>
      <x:c r="EX132" s="4"/>
      <x:c r="EY132" s="4"/>
      <x:c r="EZ132" s="4"/>
      <x:c r="FA132" s="4"/>
      <x:c r="FB132" s="4"/>
      <x:c r="FC132" s="4"/>
      <x:c r="FD132" s="4"/>
      <x:c r="FE132" s="4"/>
      <x:c r="FF132" s="4"/>
      <x:c r="FG132" s="4"/>
      <x:c r="FH132" s="4"/>
      <x:c r="FI132" s="4"/>
      <x:c r="FJ132" s="4"/>
      <x:c r="FK132" s="4"/>
      <x:c r="FL132" s="4"/>
      <x:c r="FM132" s="4"/>
      <x:c r="FN132" s="4"/>
      <x:c r="FO132" s="4"/>
      <x:c r="GA132" s="71"/>
      <x:c r="GB132" s="71"/>
      <x:c r="GC132" s="71"/>
      <x:c r="GD132" s="71"/>
      <x:c r="GE132" s="71"/>
      <x:c r="GF132" s="71"/>
      <x:c r="GG132" s="71"/>
      <x:c r="GH132" s="71"/>
      <x:c r="GI132" s="71"/>
      <x:c r="GJ132" s="71"/>
      <x:c r="GK132" s="71"/>
      <x:c r="GL132" s="71"/>
      <x:c r="GM132" s="71"/>
      <x:c r="GN132" s="71"/>
      <x:c r="GO132" s="71"/>
      <x:c r="GP132" s="71"/>
      <x:c r="GQ132" s="71"/>
      <x:c r="GR132" s="71"/>
      <x:c r="GS132" s="71"/>
      <x:c r="GT132" s="71"/>
      <x:c r="GU132" s="71"/>
      <x:c r="GV132" s="71"/>
      <x:c r="GW132" s="71"/>
      <x:c r="GX132" s="71" t="str">
        <x:f>IF(COUNTA('Dashboard'!N132,'Dashboard'!P132,'Dashboard'!R132,'Dashboard'!T132)=0,"No thresholds",IF(OR(COUNT('Dashboard'!N132,'Dashboard'!P132,'Dashboard'!R132,'Dashboard'!T132)&lt;&gt;COUNTA('Dashboard'!N132,'Dashboard'!P132,'Dashboard'!R132,'Dashboard'!T132),MIN('Dashboard'!N132,'Dashboard'!P132,'Dashboard'!R132,'Dashboard'!T132)&lt;0,MAX('Dashboard'!N132,'Dashboard'!P132,'Dashboard'!R132,'Dashboard'!T132)&gt;1),"Check thresholds",TEXT(SUM('Dashboard'!N132,'Dashboard'!P132,'Dashboard'!R132,'Dashboard'!T132),"0%")&amp;" - separate caps"))</x:f>
        <x:v>112% - separate caps</x:v>
      </x:c>
      <x:c r="GY132" s="71"/>
      <x:c r="GZ132" s="71"/>
      <x:c r="HA132" s="71"/>
      <x:c r="HB132" s="71"/>
      <x:c r="HC132" s="71"/>
      <x:c r="HD132" s="71"/>
      <x:c r="HE132" t="str">
        <x:f>IF('Calculations'!EM132="","",IF(IFERROR(IF(INDEX(INDIRECT("'WCM Calibration Final'!$A$1:$A$2000"),'Calculations'!$EM132)="","",TRIM(INDEX(INDIRECT("'WCM Calibration Final'!$A$1:$A$2000"),'Calculations'!$EM132)&amp;"")),"")&lt;&gt;"","G:"&amp;IFERROR(TEXT(1*INDEX(INDIRECT("'WCM Calibration Final'!$A$1:$A$2000"),'Calculations'!$EM132),"0"),UPPER(IFERROR(IF(INDEX(INDIRECT("'WCM Calibration Final'!$A$1:$A$2000"),'Calculations'!$EM132)="","",TRIM(INDEX(INDIRECT("'WCM Calibration Final'!$A$1:$A$2000"),'Calculations'!$EM132)&amp;"")),""))),IF(IFERROR(IF(INDEX(INDIRECT("'WCM Calibration Final'!$C$1:$C$2000"),'Calculations'!$EM132)="","",TRIM(INDEX(INDIRECT("'WCM Calibration Final'!$C$1:$C$2000"),'Calculations'!$EM132)&amp;"")),"")&lt;&gt;"","S:"&amp;UPPER(IFERROR(IF(INDEX(INDIRECT("'WCM Calibration Final'!$C$1:$C$2000"),'Calculations'!$EM132)="","",TRIM(INDEX(INDIRECT("'WCM Calibration Final'!$C$1:$C$2000"),'Calculations'!$EM132)&amp;"")),"")),"R:"&amp;'Calculations'!EM132)))</x:f>
      </x:c>
      <x:c r="HF132" t="str">
        <x:f>IF('Calculations'!EM132="","",IF(IFERROR(IF(INDEX(INDIRECT("'WCM Calibration Final'!$D$1:$D$2000"),'Calculations'!$EM132)="","",TRIM(INDEX(INDIRECT("'WCM Calibration Final'!$D$1:$D$2000"),'Calculations'!$EM132)&amp;"")),"")&lt;&gt;"","G:"&amp;IFERROR(TEXT(1*INDEX(INDIRECT("'WCM Calibration Final'!$D$1:$D$2000"),'Calculations'!$EM132),"0"),UPPER(IFERROR(IF(INDEX(INDIRECT("'WCM Calibration Final'!$D$1:$D$2000"),'Calculations'!$EM132)="","",TRIM(INDEX(INDIRECT("'WCM Calibration Final'!$D$1:$D$2000"),'Calculations'!$EM132)&amp;"")),""))),IF(IFERROR(IF(INDEX(INDIRECT("'WCM Calibration Final'!$E$1:$E$2000"),'Calculations'!$EM132)="","",TRIM(INDEX(INDIRECT("'WCM Calibration Final'!$E$1:$E$2000"),'Calculations'!$EM132)&amp;"")),"")="","",IF(COUNTIF('Calculations'!$HG$13:$HG$512,"="&amp;SUBSTITUTE(SUBSTITUTE(SUBSTITUTE(IFERROR(IF(INDEX(INDIRECT("'WCM Calibration Final'!$E$1:$E$2000"),'Calculations'!$EM132)="","",TRIM(INDEX(INDIRECT("'WCM Calibration Final'!$E$1:$E$2000"),'Calculations'!$EM132)&amp;"")),""),"~","~~"),"*","~*"),"?","~?"))=1,INDEX('Calculations'!$HE$13:$HE$512,MATCH(IFERROR(IF(INDEX(INDIRECT("'WCM Calibration Final'!$E$1:$E$2000"),'Calculations'!$EM132)="","",TRIM(INDEX(INDIRECT("'WCM Calibration Final'!$E$1:$E$2000"),'Calculations'!$EM132)&amp;"")),""),'Calculations'!$HG$13:$HG$512,0)),IF(COUNTIF('Calculations'!$HG$13:$HG$512,"="&amp;SUBSTITUTE(SUBSTITUTE(SUBSTITUTE(IFERROR(IF(INDEX(INDIRECT("'WCM Calibration Final'!$E$1:$E$2000"),'Calculations'!$EM132)="","",TRIM(INDEX(INDIRECT("'WCM Calibration Final'!$E$1:$E$2000"),'Calculations'!$EM132)&amp;"")),""),"~","~~"),"*","~*"),"?","~?"))&gt;1,"!AMBIG","X:"&amp;IFERROR(IF(INDEX(INDIRECT("'WCM Calibration Final'!$E$1:$E$2000"),'Calculations'!$EM132)="","",TRIM(INDEX(INDIRECT("'WCM Calibration Final'!$E$1:$E$2000"),'Calculations'!$EM132)&amp;"")),""))))))</x:f>
      </x:c>
      <x:c r="HG132" t="str">
        <x:f>IF('Calculations'!EM132="","",IFERROR(IF(INDEX(INDIRECT("'WCM Calibration Final'!$B$1:$B$2000"),'Calculations'!$EM132)="","",TRIM(INDEX(INDIRECT("'WCM Calibration Final'!$B$1:$B$2000"),'Calculations'!$EM132)&amp;"")),""))</x:f>
      </x:c>
      <x:c r="HH132" t="n">
        <x:f>IF(AND('Calculations'!JC132&gt;0,COUNTIF('Calculations'!$HF$12:HF132,"="&amp;SUBSTITUTE(SUBSTITUTE(SUBSTITUTE('Calculations'!HF132,"~","~~"),"*","~*"),"?","~?"))=1),MAX('Calculations'!$HH$12:HH131)+1,0)</x:f>
        <x:v>0</x:v>
      </x:c>
      <x:c r="HI132" t="n">
        <x:f>IF(AND('Calculations'!HN132&lt;&gt;"",COUNTIF('Calculations'!$HN$12:HN132,"="&amp;SUBSTITUTE(SUBSTITUTE(SUBSTITUTE('Calculations'!HN132,"~","~~"),"*","~*"),"?","~?"))=1),MAX('Calculations'!$HI$12:HI131)+1,0)</x:f>
        <x:v>0</x:v>
      </x:c>
      <x:c r="HJ132" t="str">
        <x:f>IF('Calculations'!HF132="","",IF(COUNTIF('Calculations'!$HE$13:$HE$512,"="&amp;SUBSTITUTE(SUBSTITUTE(SUBSTITUTE('Calculations'!HF132,"~","~~"),"*","~*"),"?","~?"))=1,INDEX('Calculations'!$HK$13:$HK$512,MATCH('Calculations'!HF132,'Calculations'!$HE$13:$HE$512,0)),IFERROR(IF(INDEX(INDIRECT("'WCM Calibration Final'!$E$1:$E$2000"),'Calculations'!$EM132)="","",TRIM(INDEX(INDIRECT("'WCM Calibration Final'!$E$1:$E$2000"),'Calculations'!$EM132)&amp;"")),"")&amp;" ["&amp;'Calculations'!HF132&amp;"]"))</x:f>
      </x:c>
      <x:c r="HK132" t="str">
        <x:f>IF('Calculations'!EM132="","",'Calculations'!HG132&amp;" ["&amp;'Calculations'!HE132&amp;"]")</x:f>
      </x:c>
      <x:c r="HL132" t="n">
        <x:f>IF('Calculations'!EM132="",0,IF(OR('Calculations'!II132&lt;&gt;"",COUNTIF('Calculations'!$HE$13:$HE$512,"="&amp;SUBSTITUTE(SUBSTITUTE(SUBSTITUTE('Calculations'!HE132,"~","~~"),"*","~*"),"?","~?"))&gt;1),1,0))</x:f>
        <x:v>0</x:v>
      </x:c>
      <x:c r="HM132" t="str">
        <x:f>IF('Calculations'!EM132="","",IF('Calculations'!HL132=1,"!UNRESOLVED",IF('Calculations'!IH132&lt;&gt;"",'Calculations'!IH132,IF('Calculations'!IG132&lt;&gt;"",'Calculations'!IG132,IF('Calculations'!IF132&lt;&gt;"",'Calculations'!IF132,IF('Calculations'!IE132&lt;&gt;"",'Calculations'!IE132,IF('Calculations'!ID132&lt;&gt;"",'Calculations'!ID132,IF('Calculations'!IC132&lt;&gt;"",'Calculations'!IC132,IF('Calculations'!IB132&lt;&gt;"",'Calculations'!IB132,IF('Calculations'!IA132&lt;&gt;"",'Calculations'!IA132,IF('Calculations'!HZ132&lt;&gt;"",'Calculations'!HZ132,IF('Calculations'!HY132&lt;&gt;"",'Calculations'!HY132,IF('Calculations'!HX132&lt;&gt;"",'Calculations'!HX132,IF('Calculations'!HW132&lt;&gt;"",'Calculations'!HW132,IF('Calculations'!HV132&lt;&gt;"",'Calculations'!HV132,IF('Calculations'!HU132&lt;&gt;"",'Calculations'!HU132,IF('Calculations'!HT132&lt;&gt;"",'Calculations'!HT132,IF('Calculations'!HS132&lt;&gt;"",'Calculations'!HS132,IF('Calculations'!HR132&lt;&gt;"",'Calculations'!HR132,IF('Calculations'!HQ132&lt;&gt;"",'Calculations'!HQ132,IF('Calculations'!HP132&lt;&gt;"",'Calculations'!HP132,IF('Calculations'!HO132&lt;&gt;"",'Calculations'!HO132,'Calculations'!HE132))))))))))))))))))))))</x:f>
      </x:c>
      <x:c r="HN132" t="str">
        <x:f>IF('Calculations'!EM132="","",IF(IFERROR(IF(INDEX(INDIRECT("'WCM Calibration Final'!$F$1:$F$2000"),'Calculations'!$EM132)="","",TRIM(INDEX(INDIRECT("'WCM Calibration Final'!$F$1:$F$2000"),'Calculations'!$EM132)&amp;"")),"")="","(Blank)",IFERROR(IF(INDEX(INDIRECT("'WCM Calibration Final'!$F$1:$F$2000"),'Calculations'!$EM132)="","",TRIM(INDEX(INDIRECT("'WCM Calibration Final'!$F$1:$F$2000"),'Calculations'!$EM132)&amp;"")),"")))</x:f>
      </x:c>
      <x:c r="HO132" t="str">
        <x:f>'Calculations'!HF132</x:f>
      </x:c>
      <x:c r="HP132" t="str">
        <x:f>IF('Calculations'!HO132="","",IF('Calculations'!HO132="!AMBIG","!AMBIG",IF(COUNTIF('Calculations'!$HE$13:$HE$512,"="&amp;SUBSTITUTE(SUBSTITUTE(SUBSTITUTE('Calculations'!HO132,"~","~~"),"*","~*"),"?","~?"))&gt;1,"!AMBIG",IFERROR(INDEX('Calculations'!$HF$13:$HF$512,MATCH('Calculations'!HO132,'Calculations'!$HE$13:$HE$512,0)),""))))</x:f>
      </x:c>
      <x:c r="HQ132" t="str">
        <x:f>IF('Calculations'!HP132="","",IF('Calculations'!HP132="!AMBIG","!AMBIG",IF(COUNTIF('Calculations'!$HE$13:$HE$512,"="&amp;SUBSTITUTE(SUBSTITUTE(SUBSTITUTE('Calculations'!HP132,"~","~~"),"*","~*"),"?","~?"))&gt;1,"!AMBIG",IFERROR(INDEX('Calculations'!$HF$13:$HF$512,MATCH('Calculations'!HP132,'Calculations'!$HE$13:$HE$512,0)),""))))</x:f>
      </x:c>
      <x:c r="HR132" t="str">
        <x:f>IF('Calculations'!HQ132="","",IF('Calculations'!HQ132="!AMBIG","!AMBIG",IF(COUNTIF('Calculations'!$HE$13:$HE$512,"="&amp;SUBSTITUTE(SUBSTITUTE(SUBSTITUTE('Calculations'!HQ132,"~","~~"),"*","~*"),"?","~?"))&gt;1,"!AMBIG",IFERROR(INDEX('Calculations'!$HF$13:$HF$512,MATCH('Calculations'!HQ132,'Calculations'!$HE$13:$HE$512,0)),""))))</x:f>
      </x:c>
      <x:c r="HS132" t="str">
        <x:f>IF('Calculations'!HR132="","",IF('Calculations'!HR132="!AMBIG","!AMBIG",IF(COUNTIF('Calculations'!$HE$13:$HE$512,"="&amp;SUBSTITUTE(SUBSTITUTE(SUBSTITUTE('Calculations'!HR132,"~","~~"),"*","~*"),"?","~?"))&gt;1,"!AMBIG",IFERROR(INDEX('Calculations'!$HF$13:$HF$512,MATCH('Calculations'!HR132,'Calculations'!$HE$13:$HE$512,0)),""))))</x:f>
      </x:c>
      <x:c r="HT132" t="str">
        <x:f>IF('Calculations'!HS132="","",IF('Calculations'!HS132="!AMBIG","!AMBIG",IF(COUNTIF('Calculations'!$HE$13:$HE$512,"="&amp;SUBSTITUTE(SUBSTITUTE(SUBSTITUTE('Calculations'!HS132,"~","~~"),"*","~*"),"?","~?"))&gt;1,"!AMBIG",IFERROR(INDEX('Calculations'!$HF$13:$HF$512,MATCH('Calculations'!HS132,'Calculations'!$HE$13:$HE$512,0)),""))))</x:f>
      </x:c>
      <x:c r="HU132" t="str">
        <x:f>IF('Calculations'!HT132="","",IF('Calculations'!HT132="!AMBIG","!AMBIG",IF(COUNTIF('Calculations'!$HE$13:$HE$512,"="&amp;SUBSTITUTE(SUBSTITUTE(SUBSTITUTE('Calculations'!HT132,"~","~~"),"*","~*"),"?","~?"))&gt;1,"!AMBIG",IFERROR(INDEX('Calculations'!$HF$13:$HF$512,MATCH('Calculations'!HT132,'Calculations'!$HE$13:$HE$512,0)),""))))</x:f>
      </x:c>
      <x:c r="HV132" t="str">
        <x:f>IF('Calculations'!HU132="","",IF('Calculations'!HU132="!AMBIG","!AMBIG",IF(COUNTIF('Calculations'!$HE$13:$HE$512,"="&amp;SUBSTITUTE(SUBSTITUTE(SUBSTITUTE('Calculations'!HU132,"~","~~"),"*","~*"),"?","~?"))&gt;1,"!AMBIG",IFERROR(INDEX('Calculations'!$HF$13:$HF$512,MATCH('Calculations'!HU132,'Calculations'!$HE$13:$HE$512,0)),""))))</x:f>
      </x:c>
      <x:c r="HW132" t="str">
        <x:f>IF('Calculations'!HV132="","",IF('Calculations'!HV132="!AMBIG","!AMBIG",IF(COUNTIF('Calculations'!$HE$13:$HE$512,"="&amp;SUBSTITUTE(SUBSTITUTE(SUBSTITUTE('Calculations'!HV132,"~","~~"),"*","~*"),"?","~?"))&gt;1,"!AMBIG",IFERROR(INDEX('Calculations'!$HF$13:$HF$512,MATCH('Calculations'!HV132,'Calculations'!$HE$13:$HE$512,0)),""))))</x:f>
      </x:c>
      <x:c r="HX132" t="str">
        <x:f>IF('Calculations'!HW132="","",IF('Calculations'!HW132="!AMBIG","!AMBIG",IF(COUNTIF('Calculations'!$HE$13:$HE$512,"="&amp;SUBSTITUTE(SUBSTITUTE(SUBSTITUTE('Calculations'!HW132,"~","~~"),"*","~*"),"?","~?"))&gt;1,"!AMBIG",IFERROR(INDEX('Calculations'!$HF$13:$HF$512,MATCH('Calculations'!HW132,'Calculations'!$HE$13:$HE$512,0)),""))))</x:f>
      </x:c>
      <x:c r="HY132" t="str">
        <x:f>IF('Calculations'!HX132="","",IF('Calculations'!HX132="!AMBIG","!AMBIG",IF(COUNTIF('Calculations'!$HE$13:$HE$512,"="&amp;SUBSTITUTE(SUBSTITUTE(SUBSTITUTE('Calculations'!HX132,"~","~~"),"*","~*"),"?","~?"))&gt;1,"!AMBIG",IFERROR(INDEX('Calculations'!$HF$13:$HF$512,MATCH('Calculations'!HX132,'Calculations'!$HE$13:$HE$512,0)),""))))</x:f>
      </x:c>
      <x:c r="HZ132" t="str">
        <x:f>IF('Calculations'!HY132="","",IF('Calculations'!HY132="!AMBIG","!AMBIG",IF(COUNTIF('Calculations'!$HE$13:$HE$512,"="&amp;SUBSTITUTE(SUBSTITUTE(SUBSTITUTE('Calculations'!HY132,"~","~~"),"*","~*"),"?","~?"))&gt;1,"!AMBIG",IFERROR(INDEX('Calculations'!$HF$13:$HF$512,MATCH('Calculations'!HY132,'Calculations'!$HE$13:$HE$512,0)),""))))</x:f>
      </x:c>
      <x:c r="IA132" t="str">
        <x:f>IF('Calculations'!HZ132="","",IF('Calculations'!HZ132="!AMBIG","!AMBIG",IF(COUNTIF('Calculations'!$HE$13:$HE$512,"="&amp;SUBSTITUTE(SUBSTITUTE(SUBSTITUTE('Calculations'!HZ132,"~","~~"),"*","~*"),"?","~?"))&gt;1,"!AMBIG",IFERROR(INDEX('Calculations'!$HF$13:$HF$512,MATCH('Calculations'!HZ132,'Calculations'!$HE$13:$HE$512,0)),""))))</x:f>
      </x:c>
      <x:c r="IB132" t="str">
        <x:f>IF('Calculations'!IA132="","",IF('Calculations'!IA132="!AMBIG","!AMBIG",IF(COUNTIF('Calculations'!$HE$13:$HE$512,"="&amp;SUBSTITUTE(SUBSTITUTE(SUBSTITUTE('Calculations'!IA132,"~","~~"),"*","~*"),"?","~?"))&gt;1,"!AMBIG",IFERROR(INDEX('Calculations'!$HF$13:$HF$512,MATCH('Calculations'!IA132,'Calculations'!$HE$13:$HE$512,0)),""))))</x:f>
      </x:c>
      <x:c r="IC132" t="str">
        <x:f>IF('Calculations'!IB132="","",IF('Calculations'!IB132="!AMBIG","!AMBIG",IF(COUNTIF('Calculations'!$HE$13:$HE$512,"="&amp;SUBSTITUTE(SUBSTITUTE(SUBSTITUTE('Calculations'!IB132,"~","~~"),"*","~*"),"?","~?"))&gt;1,"!AMBIG",IFERROR(INDEX('Calculations'!$HF$13:$HF$512,MATCH('Calculations'!IB132,'Calculations'!$HE$13:$HE$512,0)),""))))</x:f>
      </x:c>
      <x:c r="ID132" t="str">
        <x:f>IF('Calculations'!IC132="","",IF('Calculations'!IC132="!AMBIG","!AMBIG",IF(COUNTIF('Calculations'!$HE$13:$HE$512,"="&amp;SUBSTITUTE(SUBSTITUTE(SUBSTITUTE('Calculations'!IC132,"~","~~"),"*","~*"),"?","~?"))&gt;1,"!AMBIG",IFERROR(INDEX('Calculations'!$HF$13:$HF$512,MATCH('Calculations'!IC132,'Calculations'!$HE$13:$HE$512,0)),""))))</x:f>
      </x:c>
      <x:c r="IE132" t="str">
        <x:f>IF('Calculations'!ID132="","",IF('Calculations'!ID132="!AMBIG","!AMBIG",IF(COUNTIF('Calculations'!$HE$13:$HE$512,"="&amp;SUBSTITUTE(SUBSTITUTE(SUBSTITUTE('Calculations'!ID132,"~","~~"),"*","~*"),"?","~?"))&gt;1,"!AMBIG",IFERROR(INDEX('Calculations'!$HF$13:$HF$512,MATCH('Calculations'!ID132,'Calculations'!$HE$13:$HE$512,0)),""))))</x:f>
      </x:c>
      <x:c r="IF132" t="str">
        <x:f>IF('Calculations'!IE132="","",IF('Calculations'!IE132="!AMBIG","!AMBIG",IF(COUNTIF('Calculations'!$HE$13:$HE$512,"="&amp;SUBSTITUTE(SUBSTITUTE(SUBSTITUTE('Calculations'!IE132,"~","~~"),"*","~*"),"?","~?"))&gt;1,"!AMBIG",IFERROR(INDEX('Calculations'!$HF$13:$HF$512,MATCH('Calculations'!IE132,'Calculations'!$HE$13:$HE$512,0)),""))))</x:f>
      </x:c>
      <x:c r="IG132" t="str">
        <x:f>IF('Calculations'!IF132="","",IF('Calculations'!IF132="!AMBIG","!AMBIG",IF(COUNTIF('Calculations'!$HE$13:$HE$512,"="&amp;SUBSTITUTE(SUBSTITUTE(SUBSTITUTE('Calculations'!IF132,"~","~~"),"*","~*"),"?","~?"))&gt;1,"!AMBIG",IFERROR(INDEX('Calculations'!$HF$13:$HF$512,MATCH('Calculations'!IF132,'Calculations'!$HE$13:$HE$512,0)),""))))</x:f>
      </x:c>
      <x:c r="IH132" t="str">
        <x:f>IF('Calculations'!IG132="","",IF('Calculations'!IG132="!AMBIG","!AMBIG",IF(COUNTIF('Calculations'!$HE$13:$HE$512,"="&amp;SUBSTITUTE(SUBSTITUTE(SUBSTITUTE('Calculations'!IG132,"~","~~"),"*","~*"),"?","~?"))&gt;1,"!AMBIG",IFERROR(INDEX('Calculations'!$HF$13:$HF$512,MATCH('Calculations'!IG132,'Calculations'!$HE$13:$HE$512,0)),""))))</x:f>
      </x:c>
      <x:c r="II132" t="str">
        <x:f>IF('Calculations'!IH132="","",IF('Calculations'!IH132="!AMBIG","!AMBIG",IF(COUNTIF('Calculations'!$HE$13:$HE$512,"="&amp;SUBSTITUTE(SUBSTITUTE(SUBSTITUTE('Calculations'!IH132,"~","~~"),"*","~*"),"?","~?"))&gt;1,"!AMBIG",IFERROR(INDEX('Calculations'!$HF$13:$HF$512,MATCH('Calculations'!IH132,'Calculations'!$HE$13:$HE$512,0)),""))))</x:f>
      </x:c>
      <x:c r="IJ132" t="str">
        <x:f>IF('Calculations'!EM132="","",IF('Calculations'!$EF$2="All",'Calculations'!HM132,IF('Calculations'!HL132=1,"",IFERROR(IF(MATCH('Calculations'!$EF$2,'Calculations'!HO132:II132,0)=1,'Calculations'!HE132,INDEX('Calculations'!HO132:II132,1,MATCH('Calculations'!$EF$2,'Calculations'!HO132:II132,0)-1)),""))))</x:f>
      </x:c>
      <x:c r="IK132" t="n">
        <x:f>IF(AND('Calculations'!EM132&lt;&gt;"",'Calculations'!$EF$2&lt;&gt;"All",'Calculations'!HF132='Calculations'!$EF$2,'Calculations'!HL132=0,'Calculations'!JD132&gt;0),MAX('Calculations'!$IK$12:IK131)+1,0)</x:f>
        <x:v>0</x:v>
      </x:c>
      <x:c r="JA132" t="n">
        <x:f>IF(OR(IFERROR(INDIRECT("'WCM Calibration Final'!$A$132")&lt;&gt;"",FALSE),IFERROR(INDIRECT("'WCM Calibration Final'!$B$132")&lt;&gt;"",FALSE),IFERROR(INDIRECT("'WCM Calibration Final'!$C$132")&lt;&gt;"",FALSE)),132,0)</x:f>
        <x:v>0</x:v>
      </x:c>
      <x:c r="JB132" t="n">
        <x:f>'Calculations'!JB131+IF('Calculations'!JA132&gt;0,1,0)</x:f>
        <x:v>0</x:v>
      </x:c>
      <x:c r="JC132" t="n">
        <x:f>IF(OR('Calculations'!HF132="",'Calculations'!HF132="!AMBIG"),0,IF('Dashboard'!$B$7="All",1,COUNTIFS('Calculations'!$HO$13:$HO$512,"="&amp;SUBSTITUTE(SUBSTITUTE(SUBSTITUTE('Calculations'!HF132,"~","~~"),"*","~*"),"?","~?"),'Calculations'!$HN$13:$HN$512,"="&amp;SUBSTITUTE(SUBSTITUTE(SUBSTITUTE('Dashboard'!$B$7,"~","~~"),"*","~*"),"?","~?"))+COUNTIFS('Calculations'!$HP$13:$HP$512,"="&amp;SUBSTITUTE(SUBSTITUTE(SUBSTITUTE('Calculations'!HF132,"~","~~"),"*","~*"),"?","~?"),'Calculations'!$HN$13:$HN$512,"="&amp;SUBSTITUTE(SUBSTITUTE(SUBSTITUTE('Dashboard'!$B$7,"~","~~"),"*","~*"),"?","~?"))+COUNTIFS('Calculations'!$HQ$13:$HQ$512,"="&amp;SUBSTITUTE(SUBSTITUTE(SUBSTITUTE('Calculations'!HF132,"~","~~"),"*","~*"),"?","~?"),'Calculations'!$HN$13:$HN$512,"="&amp;SUBSTITUTE(SUBSTITUTE(SUBSTITUTE('Dashboard'!$B$7,"~","~~"),"*","~*"),"?","~?"))+COUNTIFS('Calculations'!$HR$13:$HR$512,"="&amp;SUBSTITUTE(SUBSTITUTE(SUBSTITUTE('Calculations'!HF132,"~","~~"),"*","~*"),"?","~?"),'Calculations'!$HN$13:$HN$512,"="&amp;SUBSTITUTE(SUBSTITUTE(SUBSTITUTE('Dashboard'!$B$7,"~","~~"),"*","~*"),"?","~?"))+COUNTIFS('Calculations'!$HS$13:$HS$512,"="&amp;SUBSTITUTE(SUBSTITUTE(SUBSTITUTE('Calculations'!HF132,"~","~~"),"*","~*"),"?","~?"),'Calculations'!$HN$13:$HN$512,"="&amp;SUBSTITUTE(SUBSTITUTE(SUBSTITUTE('Dashboard'!$B$7,"~","~~"),"*","~*"),"?","~?"))+COUNTIFS('Calculations'!$HT$13:$HT$512,"="&amp;SUBSTITUTE(SUBSTITUTE(SUBSTITUTE('Calculations'!HF132,"~","~~"),"*","~*"),"?","~?"),'Calculations'!$HN$13:$HN$512,"="&amp;SUBSTITUTE(SUBSTITUTE(SUBSTITUTE('Dashboard'!$B$7,"~","~~"),"*","~*"),"?","~?"))+COUNTIFS('Calculations'!$HU$13:$HU$512,"="&amp;SUBSTITUTE(SUBSTITUTE(SUBSTITUTE('Calculations'!HF132,"~","~~"),"*","~*"),"?","~?"),'Calculations'!$HN$13:$HN$512,"="&amp;SUBSTITUTE(SUBSTITUTE(SUBSTITUTE('Dashboard'!$B$7,"~","~~"),"*","~*"),"?","~?"))+COUNTIFS('Calculations'!$HV$13:$HV$512,"="&amp;SUBSTITUTE(SUBSTITUTE(SUBSTITUTE('Calculations'!HF132,"~","~~"),"*","~*"),"?","~?"),'Calculations'!$HN$13:$HN$512,"="&amp;SUBSTITUTE(SUBSTITUTE(SUBSTITUTE('Dashboard'!$B$7,"~","~~"),"*","~*"),"?","~?"))+COUNTIFS('Calculations'!$HW$13:$HW$512,"="&amp;SUBSTITUTE(SUBSTITUTE(SUBSTITUTE('Calculations'!HF132,"~","~~"),"*","~*"),"?","~?"),'Calculations'!$HN$13:$HN$512,"="&amp;SUBSTITUTE(SUBSTITUTE(SUBSTITUTE('Dashboard'!$B$7,"~","~~"),"*","~*"),"?","~?"))+COUNTIFS('Calculations'!$HX$13:$HX$512,"="&amp;SUBSTITUTE(SUBSTITUTE(SUBSTITUTE('Calculations'!HF132,"~","~~"),"*","~*"),"?","~?"),'Calculations'!$HN$13:$HN$512,"="&amp;SUBSTITUTE(SUBSTITUTE(SUBSTITUTE('Dashboard'!$B$7,"~","~~"),"*","~*"),"?","~?"))+COUNTIFS('Calculations'!$HY$13:$HY$512,"="&amp;SUBSTITUTE(SUBSTITUTE(SUBSTITUTE('Calculations'!HF132,"~","~~"),"*","~*"),"?","~?"),'Calculations'!$HN$13:$HN$512,"="&amp;SUBSTITUTE(SUBSTITUTE(SUBSTITUTE('Dashboard'!$B$7,"~","~~"),"*","~*"),"?","~?"))+COUNTIFS('Calculations'!$HZ$13:$HZ$512,"="&amp;SUBSTITUTE(SUBSTITUTE(SUBSTITUTE('Calculations'!HF132,"~","~~"),"*","~*"),"?","~?"),'Calculations'!$HN$13:$HN$512,"="&amp;SUBSTITUTE(SUBSTITUTE(SUBSTITUTE('Dashboard'!$B$7,"~","~~"),"*","~*"),"?","~?"))+COUNTIFS('Calculations'!$IA$13:$IA$512,"="&amp;SUBSTITUTE(SUBSTITUTE(SUBSTITUTE('Calculations'!HF132,"~","~~"),"*","~*"),"?","~?"),'Calculations'!$HN$13:$HN$512,"="&amp;SUBSTITUTE(SUBSTITUTE(SUBSTITUTE('Dashboard'!$B$7,"~","~~"),"*","~*"),"?","~?"))+COUNTIFS('Calculations'!$IB$13:$IB$512,"="&amp;SUBSTITUTE(SUBSTITUTE(SUBSTITUTE('Calculations'!HF132,"~","~~"),"*","~*"),"?","~?"),'Calculations'!$HN$13:$HN$512,"="&amp;SUBSTITUTE(SUBSTITUTE(SUBSTITUTE('Dashboard'!$B$7,"~","~~"),"*","~*"),"?","~?"))+COUNTIFS('Calculations'!$IC$13:$IC$512,"="&amp;SUBSTITUTE(SUBSTITUTE(SUBSTITUTE('Calculations'!HF132,"~","~~"),"*","~*"),"?","~?"),'Calculations'!$HN$13:$HN$512,"="&amp;SUBSTITUTE(SUBSTITUTE(SUBSTITUTE('Dashboard'!$B$7,"~","~~"),"*","~*"),"?","~?"))+COUNTIFS('Calculations'!$ID$13:$ID$512,"="&amp;SUBSTITUTE(SUBSTITUTE(SUBSTITUTE('Calculations'!HF132,"~","~~"),"*","~*"),"?","~?"),'Calculations'!$HN$13:$HN$512,"="&amp;SUBSTITUTE(SUBSTITUTE(SUBSTITUTE('Dashboard'!$B$7,"~","~~"),"*","~*"),"?","~?"))+COUNTIFS('Calculations'!$IE$13:$IE$512,"="&amp;SUBSTITUTE(SUBSTITUTE(SUBSTITUTE('Calculations'!HF132,"~","~~"),"*","~*"),"?","~?"),'Calculations'!$HN$13:$HN$512,"="&amp;SUBSTITUTE(SUBSTITUTE(SUBSTITUTE('Dashboard'!$B$7,"~","~~"),"*","~*"),"?","~?"))+COUNTIFS('Calculations'!$IF$13:$IF$512,"="&amp;SUBSTITUTE(SUBSTITUTE(SUBSTITUTE('Calculations'!HF132,"~","~~"),"*","~*"),"?","~?"),'Calculations'!$HN$13:$HN$512,"="&amp;SUBSTITUTE(SUBSTITUTE(SUBSTITUTE('Dashboard'!$B$7,"~","~~"),"*","~*"),"?","~?"))+COUNTIFS('Calculations'!$IG$13:$IG$512,"="&amp;SUBSTITUTE(SUBSTITUTE(SUBSTITUTE('Calculations'!HF132,"~","~~"),"*","~*"),"?","~?"),'Calculations'!$HN$13:$HN$512,"="&amp;SUBSTITUTE(SUBSTITUTE(SUBSTITUTE('Dashboard'!$B$7,"~","~~"),"*","~*"),"?","~?"))+COUNTIFS('Calculations'!$IH$13:$IH$512,"="&amp;SUBSTITUTE(SUBSTITUTE(SUBSTITUTE('Calculations'!HF132,"~","~~"),"*","~*"),"?","~?"),'Calculations'!$HN$13:$HN$512,"="&amp;SUBSTITUTE(SUBSTITUTE(SUBSTITUTE('Dashboard'!$B$7,"~","~~"),"*","~*"),"?","~?"))))</x:f>
        <x:v>0</x:v>
      </x:c>
      <x:c r="JD132" t="n">
        <x:f>IF('Calculations'!EM132="",0,IF('Dashboard'!$B$7="All",1,IF('Calculations'!HN132='Dashboard'!$B$7,1,0)+IFERROR(INDEX('Calculations'!$JC$13:$JC$512,MATCH('Calculations'!HE132,'Calculations'!$HF$13:$HF$512,0)),0)))</x:f>
        <x:v>0</x:v>
      </x:c>
      <x:c r="JE132" t="n">
        <x:f>IF(AND('Calculations'!EM132&lt;&gt;"",'Calculations'!$JJ$2&lt;&gt;"All",'Calculations'!$JJ$2&lt;&gt;"",'Calculations'!HF132='Calculations'!$JJ$2,'Calculations'!HL132=0,'Calculations'!JD132&gt;0),MAX('Calculations'!$JE$12:JE131)+1,0)</x:f>
        <x:v>0</x:v>
      </x:c>
      <x:c r="JF132" t="str">
        <x:f>IF('Calculations'!EM132="","",IFERROR(IF(INDEX(INDIRECT("'WCM Calibration Final'!$G$1:$G$2000"),'Calculations'!$EM132)="","",TRIM(INDEX(INDIRECT("'WCM Calibration Final'!$G$1:$G$2000"),'Calculations'!$EM132)&amp;"")),""))</x:f>
      </x:c>
      <x:c r="JQ132" t="n">
        <x:f>IF(OR('Calculations'!BM132=0,NOT('Calculations'!$AG$2),'Calculations'!$AG$8&gt;0),0,IF(OR('Dashboard'!$B$7="All",'Calculations'!HN132='Dashboard'!$B$7),IF('Calculations'!$JJ$2="All",1,IF(AND('Calculations'!HF132='Calculations'!$JJ$2,'Calculations'!HL132=0),1,0)),0))</x:f>
        <x:v>0</x:v>
      </x:c>
    </x:row>
    <x:row r="133">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t="n">
        <x:f>IF('Calculations'!$EM133="",0,IF(OR(IFERROR(INDEX(INDIRECT("'WCM Calibration Final'!$A$1:$A$2000"),'Calculations'!$EM133)&lt;&gt;"",FALSE),IFERROR(INDEX(INDIRECT("'WCM Calibration Final'!$B$1:$B$2000"),'Calculations'!$EM133)&lt;&gt;"",FALSE),IFERROR(INDEX(INDIRECT("'WCM Calibration Final'!$C$1:$C$2000"),'Calculations'!$EM133)&lt;&gt;"",FALSE)),1,0))</x:f>
        <x:v>0</x:v>
      </x:c>
      <x:c r="BN133" s="4" t="n">
        <x:f>IF(AND('Calculations'!BM133=1,'Calculations'!$AG$2,'Calculations'!$EN133=1),1,0)</x:f>
        <x:v>0</x:v>
      </x:c>
      <x:c r="BO133" s="4" t="str">
        <x:f>IF('Calculations'!BM133=0,"",IFERROR(IF(AND(VALUE(INDEX(INDIRECT("'WCM Calibration Final'!$K$1:$K$2000"),'Calculations'!$EM133))&gt;=1,VALUE(INDEX(INDIRECT("'WCM Calibration Final'!$K$1:$K$2000"),'Calculations'!$EM133))&lt;=4,MOD(VALUE(INDEX(INDIRECT("'WCM Calibration Final'!$K$1:$K$2000"),'Calculations'!$EM133)),1)=0),VALUE(INDEX(INDIRECT("'WCM Calibration Final'!$K$1:$K$2000"),'Calculations'!$EM133)),""),""))</x:f>
      </x:c>
      <x:c r="BP133" s="4" t="str">
        <x:f>IF('Calculations'!BM133=0,"",IFERROR(IF(AND(VALUE(INDEX(INDIRECT("'WCM Calibration Final'!$L$1:$L$2000"),'Calculations'!$EM133))&gt;=1,VALUE(INDEX(INDIRECT("'WCM Calibration Final'!$L$1:$L$2000"),'Calculations'!$EM133))&lt;=4,MOD(VALUE(INDEX(INDIRECT("'WCM Calibration Final'!$L$1:$L$2000"),'Calculations'!$EM133)),1)=0),VALUE(INDEX(INDIRECT("'WCM Calibration Final'!$L$1:$L$2000"),'Calculations'!$EM133)),""),""))</x:f>
      </x:c>
      <x:c r="BQ133" s="4"/>
      <x:c r="BR133" s="4"/>
      <x:c r="BS133" s="4"/>
      <x:c r="BT133" s="4" t="n">
        <x:f>IF(AND('Calculations'!BM133=1,ISNUMBER('Calculations'!BO133),ISNUMBER('Calculations'!BP133)),1,0)</x:f>
        <x:v>0</x:v>
      </x:c>
      <x:c r="BU133" s="4" t="str">
        <x:f>IF('Calculations'!BM133=0,"",'Calculations'!$EO133)</x:f>
      </x:c>
      <x:c r="BV133" s="4" t="str">
        <x:f>IF('Calculations'!BM133=0,"",IFERROR(IF(OR(INDEX(INDIRECT("'WCM Calibration Final'!$H$1:$H$2000"),'Calculations'!$EM133)="MANAGING DIRECTOR",INDEX(INDIRECT("'WCM Calibration Final'!$H$1:$H$2000"),'Calculations'!$EM133)="DIRECTOR",INDEX(INDIRECT("'WCM Calibration Final'!$H$1:$H$2000"),'Calculations'!$EM133)="SENIOR VICE PRESIDENT",INDEX(INDIRECT("'WCM Calibration Final'!$H$1:$H$2000"),'Calculations'!$EM133)="VICE PRESIDENT",INDEX(INDIRECT("'WCM Calibration Final'!$H$1:$H$2000"),'Calculations'!$EM133)="ASSISTANT VICE PRESIDENT",INDEX(INDIRECT("'WCM Calibration Final'!$H$1:$H$2000"),'Calculations'!$EM133)="OFFICER"),UPPER(INDEX(INDIRECT("'WCM Calibration Final'!$H$1:$H$2000"),'Calculations'!$EM133)),"Other"),"Other"))</x:f>
      </x:c>
      <x:c r="BW133" s="4"/>
      <x:c r="BX133" s="4"/>
      <x:c r="BY133" s="4" t="n">
        <x:f>IF(AND('Calculations'!BM133=1,'Calculations'!BU133&lt;&gt;"",COUNTIF('Calculations'!$BU$12:BU133,'Calculations'!BU133)=1),MAX('Calculations'!$BY$11:BY132)+1,0)</x:f>
        <x:v>0</x:v>
      </x:c>
      <x:c r="BZ133" s="4" t="str">
        <x:f>IF('Dashboard'!$E$67="What",'Calculations'!BO133,'Calculations'!BP133)</x:f>
      </x:c>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t="str">
        <x:f>IF(122&gt;MAX('Calculations'!$HI$13:$HI$512),"",INDEX('Calculations'!$HN$13:$HN$512,MATCH(122,'Calculations'!$HI$13:$HI$512,0)))</x:f>
      </x:c>
      <x:c r="DB133" s="4" t="str">
        <x:f>IF(122&gt;MAX('Calculations'!$HH$13:$HH$512),"",INDEX('Calculations'!$HJ$13:$HJ$512,MATCH(122,'Calculations'!$HH$13:$HH$512,0)))</x:f>
      </x:c>
      <x:c r="DC133" s="4" t="str">
        <x:f>IF(ROW()-11&gt;MAX('Calculations'!$BY$13:$BY$512),"",INDEX('Calculations'!$BU$13:$BU$512,MATCH(ROW()-11,'Calculations'!$BY$13:$BY$512,0)))</x:f>
      </x:c>
      <x:c r="DD133" s="4" t="str">
        <x:f>IF(122&gt;MAX('Calculations'!$IK$13:$IK$512),"",INDEX('Calculations'!$HK$13:$HK$512,MATCH(122,'Calculations'!$IK$13:$IK$512,0)))</x:f>
      </x:c>
      <x:c r="DE133" s="4" t="str">
        <x:f>'Calculations'!DC133</x:f>
      </x:c>
      <x:c r="DF133" s="4" t="str">
        <x:f>IF('Calculations'!DE133="","",COUNTIFS('Calculations'!$BN$13:$BN$512,1,'Calculations'!$BU$13:$BU$512,'Calculations'!DE133))</x:f>
      </x:c>
      <x:c r="DG133" s="4" t="str">
        <x:f>IF('Calculations'!DE133="","",COUNTIFS('Calculations'!$BN$13:$BN$512,1,'Calculations'!$BU$13:$BU$512,'Calculations'!DE133,'Calculations'!$BT$13:$BT$512,1))</x:f>
      </x:c>
      <x:c r="DH133" s="4" t="str">
        <x:f>IF('Calculations'!DE133="","",'Calculations'!DF133-'Calculations'!DG133)</x:f>
      </x:c>
      <x:c r="DI133" s="4" t="str">
        <x:f>IF(OR('Calculations'!DE133="",'Calculations'!DF133=0),"",'Calculations'!DG133/'Calculations'!DF133)</x:f>
      </x:c>
      <x:c r="DJ133" s="4" t="str">
        <x:f>IF('Calculations'!DE133="","",COUNTIFS('Calculations'!$BN$13:$BN$512,1,'Calculations'!$BU$13:$BU$512,'Calculations'!DE133,'Calculations'!$BT$13:$BT$512,1,'Calculations'!$EE$13:$EE$512,"High"))</x:f>
      </x:c>
      <x:c r="DK133" s="4" t="str">
        <x:f>IF('Calculations'!DE133="","",COUNTIFS('Calculations'!$BN$13:$BN$512,1,'Calculations'!$BU$13:$BU$512,'Calculations'!DE133,'Calculations'!$BT$13:$BT$512,1,'Calculations'!$EE$13:$EE$512,"Strong"))</x:f>
      </x:c>
      <x:c r="DL133" s="4" t="str">
        <x:f>IF('Calculations'!DE133="","",COUNTIFS('Calculations'!$BN$13:$BN$512,1,'Calculations'!$BU$13:$BU$512,'Calculations'!DE133,'Calculations'!$BT$13:$BT$512,1,'Calculations'!$EE$13:$EE$512,"Solid"))</x:f>
      </x:c>
      <x:c r="DM133" s="4" t="str">
        <x:f>IF('Calculations'!DE133="","",COUNTIFS('Calculations'!$BN$13:$BN$512,1,'Calculations'!$BU$13:$BU$512,'Calculations'!DE133,'Calculations'!$BT$13:$BT$512,1,'Calculations'!$EE$13:$EE$512,"Low"))</x:f>
      </x:c>
      <x:c r="DN133" s="4" t="str">
        <x:f>IF('Calculations'!DE133="","",COUNTIFS('Calculations'!$BN$13:$BN$512,1,'Calculations'!$BU$13:$BU$512,'Calculations'!DE133,'Calculations'!$EP$13:$EP$512,1))</x:f>
      </x:c>
      <x:c r="DO133" s="4" t="str">
        <x:f>IF(OR('Calculations'!DE133="",'Calculations'!DG133=0),"",('Calculations'!DJ133+'Calculations'!DK133)/'Calculations'!DG133)</x:f>
      </x:c>
      <x:c r="DP133" s="4" t="n">
        <x:f>IF(AND('Calculations'!DE133&lt;&gt;"",'Calculations'!DF133&gt;0),COUNTIF('Calculations'!$DF$12:DF133,"&gt;0"),0)</x:f>
        <x:v>0</x:v>
      </x:c>
      <x:c r="DQ133" s="4" t="str">
        <x:f>IF(122&gt;MAX('Calculations'!$HH$13:$HH$512),"",INDEX('Calculations'!$HF$13:$HF$512,MATCH(122,'Calculations'!$HH$13:$HH$512,0)))</x:f>
      </x:c>
      <x:c r="DR133" s="4" t="str">
        <x:f>IF(122&gt;MAX('Calculations'!$IK$13:$IK$512),"",INDEX('Calculations'!$HE$13:$HE$512,MATCH(122,'Calculations'!$IK$13:$IK$512,0)))</x:f>
      </x:c>
      <x:c r="DS133" s="4"/>
      <x:c r="DT133" s="4"/>
      <x:c r="DU133" s="4"/>
      <x:c r="DV133" s="4"/>
      <x:c r="DW133" s="4"/>
      <x:c r="DX133" s="4"/>
      <x:c r="DY133" s="4"/>
      <x:c r="DZ133" s="4"/>
      <x:c r="EA133" s="4"/>
      <x:c r="EB133" s="4"/>
      <x:c r="EC133" s="4"/>
      <x:c r="ED133" s="4"/>
      <x:c r="EE133" s="4" t="str">
        <x:f>IF('Calculations'!BT133=0,"Not Rated",IF(OR('Calculations'!BO133&gt;=4,'Calculations'!BP133&gt;=4),"Low",IF('Calculations'!BO133+'Calculations'!BP133&lt;=3,"High",IF('Calculations'!BO133+'Calculations'!BP133&lt;=4,"Strong","Solid"))))</x:f>
        <x:v>Not Rated</x:v>
      </x:c>
      <x:c r="EF133" s="4"/>
      <x:c r="EG133" s="4"/>
      <x:c r="EH133" s="4"/>
      <x:c r="EI133" s="4"/>
      <x:c r="EJ133" s="4"/>
      <x:c r="EK133" s="4"/>
      <x:c r="EL133" s="4"/>
      <x:c r="EM133" s="4" t="str">
        <x:f>IF(121&gt;'Calculations'!$JB$2000,"",INDEX('Calculations'!$JA$12:$JA$2000,MATCH(121,'Calculations'!$JB$12:$JB$2000,0)))</x:f>
      </x:c>
      <x:c r="EN133" s="4" t="n">
        <x:f>IF(OR('Calculations'!EM133="",'Calculations'!$AG$8&gt;0,AND('Calculations'!$EF$2&lt;&gt;"All",'Calculations'!HE133='Calculations'!$EF$2),AND('Calculations'!$EF$3&lt;&gt;"All",'Calculations'!HE133='Calculations'!$EF$3)),0,IF(OR('Dashboard'!$B$7="All",'Calculations'!HN133='Dashboard'!$B$7),IF('Calculations'!$EF$2="All",1,IF('Calculations'!HL133&gt;0,0,IF(COUNTIF('Calculations'!HO133:II133,"="&amp;SUBSTITUTE(SUBSTITUTE(SUBSTITUTE('Calculations'!$EF$2,"~","~~"),"*","~*"),"?","~?"))=0,0,IF('Calculations'!$EF$3="All",1,IF(COUNTIF('Calculations'!HO133:II133,"="&amp;SUBSTITUTE(SUBSTITUTE(SUBSTITUTE('Calculations'!$EF$3,"~","~~"),"*","~*"),"?","~?"))&gt;0,1,0))))),0))</x:f>
        <x:v>0</x:v>
      </x:c>
      <x:c r="EO133" s="4" t="str">
        <x:f>IF('Calculations'!IJ133="","",IF('Calculations'!IJ133="!UNRESOLVED","Unresolved hierarchy",IFERROR(INDEX('Calculations'!$HK$13:$HK$512,MATCH('Calculations'!IJ133,'Calculations'!$HE$13:$HE$512,0)),IFERROR(INDEX('Calculations'!$HJ$13:$HJ$512,MATCH('Calculations'!IJ133,'Calculations'!$HF$13:$HF$512,0)),'Calculations'!IJ133))))</x:f>
      </x:c>
      <x:c r="EP133" s="4" t="n">
        <x:f>IF(AND('Calculations'!EM133&lt;&gt;"",'Calculations'!HF133='Calculations'!IJ133),1,0)</x:f>
        <x:v>0</x:v>
      </x:c>
      <x:c r="EQ133" s="4"/>
      <x:c r="ER133" s="4"/>
      <x:c r="ES133" s="4"/>
      <x:c r="ET133" s="4"/>
      <x:c r="EU133" s="4"/>
      <x:c r="EV133" s="4"/>
      <x:c r="EW133" s="4"/>
      <x:c r="EX133" s="4"/>
      <x:c r="EY133" s="4"/>
      <x:c r="EZ133" s="4"/>
      <x:c r="FA133" s="4"/>
      <x:c r="FB133" s="4"/>
      <x:c r="FC133" s="4"/>
      <x:c r="FD133" s="4"/>
      <x:c r="FE133" s="4"/>
      <x:c r="FF133" s="4"/>
      <x:c r="FG133" s="4"/>
      <x:c r="FH133" s="4"/>
      <x:c r="FI133" s="4"/>
      <x:c r="FJ133" s="4"/>
      <x:c r="FK133" s="4"/>
      <x:c r="FL133" s="4"/>
      <x:c r="FM133" s="4"/>
      <x:c r="FN133" s="4"/>
      <x:c r="FO133" s="4"/>
      <x:c r="GA133" s="71"/>
      <x:c r="GB133" s="71"/>
      <x:c r="GC133" s="71"/>
      <x:c r="GD133" s="71"/>
      <x:c r="GE133" s="71"/>
      <x:c r="GF133" s="71"/>
      <x:c r="GG133" s="71"/>
      <x:c r="GH133" s="71"/>
      <x:c r="GI133" s="71"/>
      <x:c r="GJ133" s="71"/>
      <x:c r="GK133" s="71"/>
      <x:c r="GL133" s="71"/>
      <x:c r="GM133" s="71"/>
      <x:c r="GN133" s="71"/>
      <x:c r="GO133" s="71"/>
      <x:c r="GP133" s="71"/>
      <x:c r="GQ133" s="71"/>
      <x:c r="GR133" s="71"/>
      <x:c r="GS133" s="71"/>
      <x:c r="GT133" s="71"/>
      <x:c r="GU133" s="71"/>
      <x:c r="GV133" s="71"/>
      <x:c r="GW133" s="71"/>
      <x:c r="GX133" s="71" t="str">
        <x:f>IF(COUNTA('Dashboard'!N133,'Dashboard'!P133,'Dashboard'!R133,'Dashboard'!T133)=0,"No thresholds",IF(OR(COUNT('Dashboard'!N133,'Dashboard'!P133,'Dashboard'!R133,'Dashboard'!T133)&lt;&gt;COUNTA('Dashboard'!N133,'Dashboard'!P133,'Dashboard'!R133,'Dashboard'!T133),MIN('Dashboard'!N133,'Dashboard'!P133,'Dashboard'!R133,'Dashboard'!T133)&lt;0,MAX('Dashboard'!N133,'Dashboard'!P133,'Dashboard'!R133,'Dashboard'!T133)&gt;1),"Check thresholds",TEXT(SUM('Dashboard'!N133,'Dashboard'!P133,'Dashboard'!R133,'Dashboard'!T133),"0%")&amp;" - separate caps"))</x:f>
        <x:v>112% - separate caps</x:v>
      </x:c>
      <x:c r="GY133" s="71"/>
      <x:c r="GZ133" s="71"/>
      <x:c r="HA133" s="71"/>
      <x:c r="HB133" s="71"/>
      <x:c r="HC133" s="71"/>
      <x:c r="HD133" s="71"/>
      <x:c r="HE133" t="str">
        <x:f>IF('Calculations'!EM133="","",IF(IFERROR(IF(INDEX(INDIRECT("'WCM Calibration Final'!$A$1:$A$2000"),'Calculations'!$EM133)="","",TRIM(INDEX(INDIRECT("'WCM Calibration Final'!$A$1:$A$2000"),'Calculations'!$EM133)&amp;"")),"")&lt;&gt;"","G:"&amp;IFERROR(TEXT(1*INDEX(INDIRECT("'WCM Calibration Final'!$A$1:$A$2000"),'Calculations'!$EM133),"0"),UPPER(IFERROR(IF(INDEX(INDIRECT("'WCM Calibration Final'!$A$1:$A$2000"),'Calculations'!$EM133)="","",TRIM(INDEX(INDIRECT("'WCM Calibration Final'!$A$1:$A$2000"),'Calculations'!$EM133)&amp;"")),""))),IF(IFERROR(IF(INDEX(INDIRECT("'WCM Calibration Final'!$C$1:$C$2000"),'Calculations'!$EM133)="","",TRIM(INDEX(INDIRECT("'WCM Calibration Final'!$C$1:$C$2000"),'Calculations'!$EM133)&amp;"")),"")&lt;&gt;"","S:"&amp;UPPER(IFERROR(IF(INDEX(INDIRECT("'WCM Calibration Final'!$C$1:$C$2000"),'Calculations'!$EM133)="","",TRIM(INDEX(INDIRECT("'WCM Calibration Final'!$C$1:$C$2000"),'Calculations'!$EM133)&amp;"")),"")),"R:"&amp;'Calculations'!EM133)))</x:f>
      </x:c>
      <x:c r="HF133" t="str">
        <x:f>IF('Calculations'!EM133="","",IF(IFERROR(IF(INDEX(INDIRECT("'WCM Calibration Final'!$D$1:$D$2000"),'Calculations'!$EM133)="","",TRIM(INDEX(INDIRECT("'WCM Calibration Final'!$D$1:$D$2000"),'Calculations'!$EM133)&amp;"")),"")&lt;&gt;"","G:"&amp;IFERROR(TEXT(1*INDEX(INDIRECT("'WCM Calibration Final'!$D$1:$D$2000"),'Calculations'!$EM133),"0"),UPPER(IFERROR(IF(INDEX(INDIRECT("'WCM Calibration Final'!$D$1:$D$2000"),'Calculations'!$EM133)="","",TRIM(INDEX(INDIRECT("'WCM Calibration Final'!$D$1:$D$2000"),'Calculations'!$EM133)&amp;"")),""))),IF(IFERROR(IF(INDEX(INDIRECT("'WCM Calibration Final'!$E$1:$E$2000"),'Calculations'!$EM133)="","",TRIM(INDEX(INDIRECT("'WCM Calibration Final'!$E$1:$E$2000"),'Calculations'!$EM133)&amp;"")),"")="","",IF(COUNTIF('Calculations'!$HG$13:$HG$512,"="&amp;SUBSTITUTE(SUBSTITUTE(SUBSTITUTE(IFERROR(IF(INDEX(INDIRECT("'WCM Calibration Final'!$E$1:$E$2000"),'Calculations'!$EM133)="","",TRIM(INDEX(INDIRECT("'WCM Calibration Final'!$E$1:$E$2000"),'Calculations'!$EM133)&amp;"")),""),"~","~~"),"*","~*"),"?","~?"))=1,INDEX('Calculations'!$HE$13:$HE$512,MATCH(IFERROR(IF(INDEX(INDIRECT("'WCM Calibration Final'!$E$1:$E$2000"),'Calculations'!$EM133)="","",TRIM(INDEX(INDIRECT("'WCM Calibration Final'!$E$1:$E$2000"),'Calculations'!$EM133)&amp;"")),""),'Calculations'!$HG$13:$HG$512,0)),IF(COUNTIF('Calculations'!$HG$13:$HG$512,"="&amp;SUBSTITUTE(SUBSTITUTE(SUBSTITUTE(IFERROR(IF(INDEX(INDIRECT("'WCM Calibration Final'!$E$1:$E$2000"),'Calculations'!$EM133)="","",TRIM(INDEX(INDIRECT("'WCM Calibration Final'!$E$1:$E$2000"),'Calculations'!$EM133)&amp;"")),""),"~","~~"),"*","~*"),"?","~?"))&gt;1,"!AMBIG","X:"&amp;IFERROR(IF(INDEX(INDIRECT("'WCM Calibration Final'!$E$1:$E$2000"),'Calculations'!$EM133)="","",TRIM(INDEX(INDIRECT("'WCM Calibration Final'!$E$1:$E$2000"),'Calculations'!$EM133)&amp;"")),""))))))</x:f>
      </x:c>
      <x:c r="HG133" t="str">
        <x:f>IF('Calculations'!EM133="","",IFERROR(IF(INDEX(INDIRECT("'WCM Calibration Final'!$B$1:$B$2000"),'Calculations'!$EM133)="","",TRIM(INDEX(INDIRECT("'WCM Calibration Final'!$B$1:$B$2000"),'Calculations'!$EM133)&amp;"")),""))</x:f>
      </x:c>
      <x:c r="HH133" t="n">
        <x:f>IF(AND('Calculations'!JC133&gt;0,COUNTIF('Calculations'!$HF$12:HF133,"="&amp;SUBSTITUTE(SUBSTITUTE(SUBSTITUTE('Calculations'!HF133,"~","~~"),"*","~*"),"?","~?"))=1),MAX('Calculations'!$HH$12:HH132)+1,0)</x:f>
        <x:v>0</x:v>
      </x:c>
      <x:c r="HI133" t="n">
        <x:f>IF(AND('Calculations'!HN133&lt;&gt;"",COUNTIF('Calculations'!$HN$12:HN133,"="&amp;SUBSTITUTE(SUBSTITUTE(SUBSTITUTE('Calculations'!HN133,"~","~~"),"*","~*"),"?","~?"))=1),MAX('Calculations'!$HI$12:HI132)+1,0)</x:f>
        <x:v>0</x:v>
      </x:c>
      <x:c r="HJ133" t="str">
        <x:f>IF('Calculations'!HF133="","",IF(COUNTIF('Calculations'!$HE$13:$HE$512,"="&amp;SUBSTITUTE(SUBSTITUTE(SUBSTITUTE('Calculations'!HF133,"~","~~"),"*","~*"),"?","~?"))=1,INDEX('Calculations'!$HK$13:$HK$512,MATCH('Calculations'!HF133,'Calculations'!$HE$13:$HE$512,0)),IFERROR(IF(INDEX(INDIRECT("'WCM Calibration Final'!$E$1:$E$2000"),'Calculations'!$EM133)="","",TRIM(INDEX(INDIRECT("'WCM Calibration Final'!$E$1:$E$2000"),'Calculations'!$EM133)&amp;"")),"")&amp;" ["&amp;'Calculations'!HF133&amp;"]"))</x:f>
      </x:c>
      <x:c r="HK133" t="str">
        <x:f>IF('Calculations'!EM133="","",'Calculations'!HG133&amp;" ["&amp;'Calculations'!HE133&amp;"]")</x:f>
      </x:c>
      <x:c r="HL133" t="n">
        <x:f>IF('Calculations'!EM133="",0,IF(OR('Calculations'!II133&lt;&gt;"",COUNTIF('Calculations'!$HE$13:$HE$512,"="&amp;SUBSTITUTE(SUBSTITUTE(SUBSTITUTE('Calculations'!HE133,"~","~~"),"*","~*"),"?","~?"))&gt;1),1,0))</x:f>
        <x:v>0</x:v>
      </x:c>
      <x:c r="HM133" t="str">
        <x:f>IF('Calculations'!EM133="","",IF('Calculations'!HL133=1,"!UNRESOLVED",IF('Calculations'!IH133&lt;&gt;"",'Calculations'!IH133,IF('Calculations'!IG133&lt;&gt;"",'Calculations'!IG133,IF('Calculations'!IF133&lt;&gt;"",'Calculations'!IF133,IF('Calculations'!IE133&lt;&gt;"",'Calculations'!IE133,IF('Calculations'!ID133&lt;&gt;"",'Calculations'!ID133,IF('Calculations'!IC133&lt;&gt;"",'Calculations'!IC133,IF('Calculations'!IB133&lt;&gt;"",'Calculations'!IB133,IF('Calculations'!IA133&lt;&gt;"",'Calculations'!IA133,IF('Calculations'!HZ133&lt;&gt;"",'Calculations'!HZ133,IF('Calculations'!HY133&lt;&gt;"",'Calculations'!HY133,IF('Calculations'!HX133&lt;&gt;"",'Calculations'!HX133,IF('Calculations'!HW133&lt;&gt;"",'Calculations'!HW133,IF('Calculations'!HV133&lt;&gt;"",'Calculations'!HV133,IF('Calculations'!HU133&lt;&gt;"",'Calculations'!HU133,IF('Calculations'!HT133&lt;&gt;"",'Calculations'!HT133,IF('Calculations'!HS133&lt;&gt;"",'Calculations'!HS133,IF('Calculations'!HR133&lt;&gt;"",'Calculations'!HR133,IF('Calculations'!HQ133&lt;&gt;"",'Calculations'!HQ133,IF('Calculations'!HP133&lt;&gt;"",'Calculations'!HP133,IF('Calculations'!HO133&lt;&gt;"",'Calculations'!HO133,'Calculations'!HE133))))))))))))))))))))))</x:f>
      </x:c>
      <x:c r="HN133" t="str">
        <x:f>IF('Calculations'!EM133="","",IF(IFERROR(IF(INDEX(INDIRECT("'WCM Calibration Final'!$F$1:$F$2000"),'Calculations'!$EM133)="","",TRIM(INDEX(INDIRECT("'WCM Calibration Final'!$F$1:$F$2000"),'Calculations'!$EM133)&amp;"")),"")="","(Blank)",IFERROR(IF(INDEX(INDIRECT("'WCM Calibration Final'!$F$1:$F$2000"),'Calculations'!$EM133)="","",TRIM(INDEX(INDIRECT("'WCM Calibration Final'!$F$1:$F$2000"),'Calculations'!$EM133)&amp;"")),"")))</x:f>
      </x:c>
      <x:c r="HO133" t="str">
        <x:f>'Calculations'!HF133</x:f>
      </x:c>
      <x:c r="HP133" t="str">
        <x:f>IF('Calculations'!HO133="","",IF('Calculations'!HO133="!AMBIG","!AMBIG",IF(COUNTIF('Calculations'!$HE$13:$HE$512,"="&amp;SUBSTITUTE(SUBSTITUTE(SUBSTITUTE('Calculations'!HO133,"~","~~"),"*","~*"),"?","~?"))&gt;1,"!AMBIG",IFERROR(INDEX('Calculations'!$HF$13:$HF$512,MATCH('Calculations'!HO133,'Calculations'!$HE$13:$HE$512,0)),""))))</x:f>
      </x:c>
      <x:c r="HQ133" t="str">
        <x:f>IF('Calculations'!HP133="","",IF('Calculations'!HP133="!AMBIG","!AMBIG",IF(COUNTIF('Calculations'!$HE$13:$HE$512,"="&amp;SUBSTITUTE(SUBSTITUTE(SUBSTITUTE('Calculations'!HP133,"~","~~"),"*","~*"),"?","~?"))&gt;1,"!AMBIG",IFERROR(INDEX('Calculations'!$HF$13:$HF$512,MATCH('Calculations'!HP133,'Calculations'!$HE$13:$HE$512,0)),""))))</x:f>
      </x:c>
      <x:c r="HR133" t="str">
        <x:f>IF('Calculations'!HQ133="","",IF('Calculations'!HQ133="!AMBIG","!AMBIG",IF(COUNTIF('Calculations'!$HE$13:$HE$512,"="&amp;SUBSTITUTE(SUBSTITUTE(SUBSTITUTE('Calculations'!HQ133,"~","~~"),"*","~*"),"?","~?"))&gt;1,"!AMBIG",IFERROR(INDEX('Calculations'!$HF$13:$HF$512,MATCH('Calculations'!HQ133,'Calculations'!$HE$13:$HE$512,0)),""))))</x:f>
      </x:c>
      <x:c r="HS133" t="str">
        <x:f>IF('Calculations'!HR133="","",IF('Calculations'!HR133="!AMBIG","!AMBIG",IF(COUNTIF('Calculations'!$HE$13:$HE$512,"="&amp;SUBSTITUTE(SUBSTITUTE(SUBSTITUTE('Calculations'!HR133,"~","~~"),"*","~*"),"?","~?"))&gt;1,"!AMBIG",IFERROR(INDEX('Calculations'!$HF$13:$HF$512,MATCH('Calculations'!HR133,'Calculations'!$HE$13:$HE$512,0)),""))))</x:f>
      </x:c>
      <x:c r="HT133" t="str">
        <x:f>IF('Calculations'!HS133="","",IF('Calculations'!HS133="!AMBIG","!AMBIG",IF(COUNTIF('Calculations'!$HE$13:$HE$512,"="&amp;SUBSTITUTE(SUBSTITUTE(SUBSTITUTE('Calculations'!HS133,"~","~~"),"*","~*"),"?","~?"))&gt;1,"!AMBIG",IFERROR(INDEX('Calculations'!$HF$13:$HF$512,MATCH('Calculations'!HS133,'Calculations'!$HE$13:$HE$512,0)),""))))</x:f>
      </x:c>
      <x:c r="HU133" t="str">
        <x:f>IF('Calculations'!HT133="","",IF('Calculations'!HT133="!AMBIG","!AMBIG",IF(COUNTIF('Calculations'!$HE$13:$HE$512,"="&amp;SUBSTITUTE(SUBSTITUTE(SUBSTITUTE('Calculations'!HT133,"~","~~"),"*","~*"),"?","~?"))&gt;1,"!AMBIG",IFERROR(INDEX('Calculations'!$HF$13:$HF$512,MATCH('Calculations'!HT133,'Calculations'!$HE$13:$HE$512,0)),""))))</x:f>
      </x:c>
      <x:c r="HV133" t="str">
        <x:f>IF('Calculations'!HU133="","",IF('Calculations'!HU133="!AMBIG","!AMBIG",IF(COUNTIF('Calculations'!$HE$13:$HE$512,"="&amp;SUBSTITUTE(SUBSTITUTE(SUBSTITUTE('Calculations'!HU133,"~","~~"),"*","~*"),"?","~?"))&gt;1,"!AMBIG",IFERROR(INDEX('Calculations'!$HF$13:$HF$512,MATCH('Calculations'!HU133,'Calculations'!$HE$13:$HE$512,0)),""))))</x:f>
      </x:c>
      <x:c r="HW133" t="str">
        <x:f>IF('Calculations'!HV133="","",IF('Calculations'!HV133="!AMBIG","!AMBIG",IF(COUNTIF('Calculations'!$HE$13:$HE$512,"="&amp;SUBSTITUTE(SUBSTITUTE(SUBSTITUTE('Calculations'!HV133,"~","~~"),"*","~*"),"?","~?"))&gt;1,"!AMBIG",IFERROR(INDEX('Calculations'!$HF$13:$HF$512,MATCH('Calculations'!HV133,'Calculations'!$HE$13:$HE$512,0)),""))))</x:f>
      </x:c>
      <x:c r="HX133" t="str">
        <x:f>IF('Calculations'!HW133="","",IF('Calculations'!HW133="!AMBIG","!AMBIG",IF(COUNTIF('Calculations'!$HE$13:$HE$512,"="&amp;SUBSTITUTE(SUBSTITUTE(SUBSTITUTE('Calculations'!HW133,"~","~~"),"*","~*"),"?","~?"))&gt;1,"!AMBIG",IFERROR(INDEX('Calculations'!$HF$13:$HF$512,MATCH('Calculations'!HW133,'Calculations'!$HE$13:$HE$512,0)),""))))</x:f>
      </x:c>
      <x:c r="HY133" t="str">
        <x:f>IF('Calculations'!HX133="","",IF('Calculations'!HX133="!AMBIG","!AMBIG",IF(COUNTIF('Calculations'!$HE$13:$HE$512,"="&amp;SUBSTITUTE(SUBSTITUTE(SUBSTITUTE('Calculations'!HX133,"~","~~"),"*","~*"),"?","~?"))&gt;1,"!AMBIG",IFERROR(INDEX('Calculations'!$HF$13:$HF$512,MATCH('Calculations'!HX133,'Calculations'!$HE$13:$HE$512,0)),""))))</x:f>
      </x:c>
      <x:c r="HZ133" t="str">
        <x:f>IF('Calculations'!HY133="","",IF('Calculations'!HY133="!AMBIG","!AMBIG",IF(COUNTIF('Calculations'!$HE$13:$HE$512,"="&amp;SUBSTITUTE(SUBSTITUTE(SUBSTITUTE('Calculations'!HY133,"~","~~"),"*","~*"),"?","~?"))&gt;1,"!AMBIG",IFERROR(INDEX('Calculations'!$HF$13:$HF$512,MATCH('Calculations'!HY133,'Calculations'!$HE$13:$HE$512,0)),""))))</x:f>
      </x:c>
      <x:c r="IA133" t="str">
        <x:f>IF('Calculations'!HZ133="","",IF('Calculations'!HZ133="!AMBIG","!AMBIG",IF(COUNTIF('Calculations'!$HE$13:$HE$512,"="&amp;SUBSTITUTE(SUBSTITUTE(SUBSTITUTE('Calculations'!HZ133,"~","~~"),"*","~*"),"?","~?"))&gt;1,"!AMBIG",IFERROR(INDEX('Calculations'!$HF$13:$HF$512,MATCH('Calculations'!HZ133,'Calculations'!$HE$13:$HE$512,0)),""))))</x:f>
      </x:c>
      <x:c r="IB133" t="str">
        <x:f>IF('Calculations'!IA133="","",IF('Calculations'!IA133="!AMBIG","!AMBIG",IF(COUNTIF('Calculations'!$HE$13:$HE$512,"="&amp;SUBSTITUTE(SUBSTITUTE(SUBSTITUTE('Calculations'!IA133,"~","~~"),"*","~*"),"?","~?"))&gt;1,"!AMBIG",IFERROR(INDEX('Calculations'!$HF$13:$HF$512,MATCH('Calculations'!IA133,'Calculations'!$HE$13:$HE$512,0)),""))))</x:f>
      </x:c>
      <x:c r="IC133" t="str">
        <x:f>IF('Calculations'!IB133="","",IF('Calculations'!IB133="!AMBIG","!AMBIG",IF(COUNTIF('Calculations'!$HE$13:$HE$512,"="&amp;SUBSTITUTE(SUBSTITUTE(SUBSTITUTE('Calculations'!IB133,"~","~~"),"*","~*"),"?","~?"))&gt;1,"!AMBIG",IFERROR(INDEX('Calculations'!$HF$13:$HF$512,MATCH('Calculations'!IB133,'Calculations'!$HE$13:$HE$512,0)),""))))</x:f>
      </x:c>
      <x:c r="ID133" t="str">
        <x:f>IF('Calculations'!IC133="","",IF('Calculations'!IC133="!AMBIG","!AMBIG",IF(COUNTIF('Calculations'!$HE$13:$HE$512,"="&amp;SUBSTITUTE(SUBSTITUTE(SUBSTITUTE('Calculations'!IC133,"~","~~"),"*","~*"),"?","~?"))&gt;1,"!AMBIG",IFERROR(INDEX('Calculations'!$HF$13:$HF$512,MATCH('Calculations'!IC133,'Calculations'!$HE$13:$HE$512,0)),""))))</x:f>
      </x:c>
      <x:c r="IE133" t="str">
        <x:f>IF('Calculations'!ID133="","",IF('Calculations'!ID133="!AMBIG","!AMBIG",IF(COUNTIF('Calculations'!$HE$13:$HE$512,"="&amp;SUBSTITUTE(SUBSTITUTE(SUBSTITUTE('Calculations'!ID133,"~","~~"),"*","~*"),"?","~?"))&gt;1,"!AMBIG",IFERROR(INDEX('Calculations'!$HF$13:$HF$512,MATCH('Calculations'!ID133,'Calculations'!$HE$13:$HE$512,0)),""))))</x:f>
      </x:c>
      <x:c r="IF133" t="str">
        <x:f>IF('Calculations'!IE133="","",IF('Calculations'!IE133="!AMBIG","!AMBIG",IF(COUNTIF('Calculations'!$HE$13:$HE$512,"="&amp;SUBSTITUTE(SUBSTITUTE(SUBSTITUTE('Calculations'!IE133,"~","~~"),"*","~*"),"?","~?"))&gt;1,"!AMBIG",IFERROR(INDEX('Calculations'!$HF$13:$HF$512,MATCH('Calculations'!IE133,'Calculations'!$HE$13:$HE$512,0)),""))))</x:f>
      </x:c>
      <x:c r="IG133" t="str">
        <x:f>IF('Calculations'!IF133="","",IF('Calculations'!IF133="!AMBIG","!AMBIG",IF(COUNTIF('Calculations'!$HE$13:$HE$512,"="&amp;SUBSTITUTE(SUBSTITUTE(SUBSTITUTE('Calculations'!IF133,"~","~~"),"*","~*"),"?","~?"))&gt;1,"!AMBIG",IFERROR(INDEX('Calculations'!$HF$13:$HF$512,MATCH('Calculations'!IF133,'Calculations'!$HE$13:$HE$512,0)),""))))</x:f>
      </x:c>
      <x:c r="IH133" t="str">
        <x:f>IF('Calculations'!IG133="","",IF('Calculations'!IG133="!AMBIG","!AMBIG",IF(COUNTIF('Calculations'!$HE$13:$HE$512,"="&amp;SUBSTITUTE(SUBSTITUTE(SUBSTITUTE('Calculations'!IG133,"~","~~"),"*","~*"),"?","~?"))&gt;1,"!AMBIG",IFERROR(INDEX('Calculations'!$HF$13:$HF$512,MATCH('Calculations'!IG133,'Calculations'!$HE$13:$HE$512,0)),""))))</x:f>
      </x:c>
      <x:c r="II133" t="str">
        <x:f>IF('Calculations'!IH133="","",IF('Calculations'!IH133="!AMBIG","!AMBIG",IF(COUNTIF('Calculations'!$HE$13:$HE$512,"="&amp;SUBSTITUTE(SUBSTITUTE(SUBSTITUTE('Calculations'!IH133,"~","~~"),"*","~*"),"?","~?"))&gt;1,"!AMBIG",IFERROR(INDEX('Calculations'!$HF$13:$HF$512,MATCH('Calculations'!IH133,'Calculations'!$HE$13:$HE$512,0)),""))))</x:f>
      </x:c>
      <x:c r="IJ133" t="str">
        <x:f>IF('Calculations'!EM133="","",IF('Calculations'!$EF$2="All",'Calculations'!HM133,IF('Calculations'!HL133=1,"",IFERROR(IF(MATCH('Calculations'!$EF$2,'Calculations'!HO133:II133,0)=1,'Calculations'!HE133,INDEX('Calculations'!HO133:II133,1,MATCH('Calculations'!$EF$2,'Calculations'!HO133:II133,0)-1)),""))))</x:f>
      </x:c>
      <x:c r="IK133" t="n">
        <x:f>IF(AND('Calculations'!EM133&lt;&gt;"",'Calculations'!$EF$2&lt;&gt;"All",'Calculations'!HF133='Calculations'!$EF$2,'Calculations'!HL133=0,'Calculations'!JD133&gt;0),MAX('Calculations'!$IK$12:IK132)+1,0)</x:f>
        <x:v>0</x:v>
      </x:c>
      <x:c r="JA133" t="n">
        <x:f>IF(OR(IFERROR(INDIRECT("'WCM Calibration Final'!$A$133")&lt;&gt;"",FALSE),IFERROR(INDIRECT("'WCM Calibration Final'!$B$133")&lt;&gt;"",FALSE),IFERROR(INDIRECT("'WCM Calibration Final'!$C$133")&lt;&gt;"",FALSE)),133,0)</x:f>
        <x:v>0</x:v>
      </x:c>
      <x:c r="JB133" t="n">
        <x:f>'Calculations'!JB132+IF('Calculations'!JA133&gt;0,1,0)</x:f>
        <x:v>0</x:v>
      </x:c>
      <x:c r="JC133" t="n">
        <x:f>IF(OR('Calculations'!HF133="",'Calculations'!HF133="!AMBIG"),0,IF('Dashboard'!$B$7="All",1,COUNTIFS('Calculations'!$HO$13:$HO$512,"="&amp;SUBSTITUTE(SUBSTITUTE(SUBSTITUTE('Calculations'!HF133,"~","~~"),"*","~*"),"?","~?"),'Calculations'!$HN$13:$HN$512,"="&amp;SUBSTITUTE(SUBSTITUTE(SUBSTITUTE('Dashboard'!$B$7,"~","~~"),"*","~*"),"?","~?"))+COUNTIFS('Calculations'!$HP$13:$HP$512,"="&amp;SUBSTITUTE(SUBSTITUTE(SUBSTITUTE('Calculations'!HF133,"~","~~"),"*","~*"),"?","~?"),'Calculations'!$HN$13:$HN$512,"="&amp;SUBSTITUTE(SUBSTITUTE(SUBSTITUTE('Dashboard'!$B$7,"~","~~"),"*","~*"),"?","~?"))+COUNTIFS('Calculations'!$HQ$13:$HQ$512,"="&amp;SUBSTITUTE(SUBSTITUTE(SUBSTITUTE('Calculations'!HF133,"~","~~"),"*","~*"),"?","~?"),'Calculations'!$HN$13:$HN$512,"="&amp;SUBSTITUTE(SUBSTITUTE(SUBSTITUTE('Dashboard'!$B$7,"~","~~"),"*","~*"),"?","~?"))+COUNTIFS('Calculations'!$HR$13:$HR$512,"="&amp;SUBSTITUTE(SUBSTITUTE(SUBSTITUTE('Calculations'!HF133,"~","~~"),"*","~*"),"?","~?"),'Calculations'!$HN$13:$HN$512,"="&amp;SUBSTITUTE(SUBSTITUTE(SUBSTITUTE('Dashboard'!$B$7,"~","~~"),"*","~*"),"?","~?"))+COUNTIFS('Calculations'!$HS$13:$HS$512,"="&amp;SUBSTITUTE(SUBSTITUTE(SUBSTITUTE('Calculations'!HF133,"~","~~"),"*","~*"),"?","~?"),'Calculations'!$HN$13:$HN$512,"="&amp;SUBSTITUTE(SUBSTITUTE(SUBSTITUTE('Dashboard'!$B$7,"~","~~"),"*","~*"),"?","~?"))+COUNTIFS('Calculations'!$HT$13:$HT$512,"="&amp;SUBSTITUTE(SUBSTITUTE(SUBSTITUTE('Calculations'!HF133,"~","~~"),"*","~*"),"?","~?"),'Calculations'!$HN$13:$HN$512,"="&amp;SUBSTITUTE(SUBSTITUTE(SUBSTITUTE('Dashboard'!$B$7,"~","~~"),"*","~*"),"?","~?"))+COUNTIFS('Calculations'!$HU$13:$HU$512,"="&amp;SUBSTITUTE(SUBSTITUTE(SUBSTITUTE('Calculations'!HF133,"~","~~"),"*","~*"),"?","~?"),'Calculations'!$HN$13:$HN$512,"="&amp;SUBSTITUTE(SUBSTITUTE(SUBSTITUTE('Dashboard'!$B$7,"~","~~"),"*","~*"),"?","~?"))+COUNTIFS('Calculations'!$HV$13:$HV$512,"="&amp;SUBSTITUTE(SUBSTITUTE(SUBSTITUTE('Calculations'!HF133,"~","~~"),"*","~*"),"?","~?"),'Calculations'!$HN$13:$HN$512,"="&amp;SUBSTITUTE(SUBSTITUTE(SUBSTITUTE('Dashboard'!$B$7,"~","~~"),"*","~*"),"?","~?"))+COUNTIFS('Calculations'!$HW$13:$HW$512,"="&amp;SUBSTITUTE(SUBSTITUTE(SUBSTITUTE('Calculations'!HF133,"~","~~"),"*","~*"),"?","~?"),'Calculations'!$HN$13:$HN$512,"="&amp;SUBSTITUTE(SUBSTITUTE(SUBSTITUTE('Dashboard'!$B$7,"~","~~"),"*","~*"),"?","~?"))+COUNTIFS('Calculations'!$HX$13:$HX$512,"="&amp;SUBSTITUTE(SUBSTITUTE(SUBSTITUTE('Calculations'!HF133,"~","~~"),"*","~*"),"?","~?"),'Calculations'!$HN$13:$HN$512,"="&amp;SUBSTITUTE(SUBSTITUTE(SUBSTITUTE('Dashboard'!$B$7,"~","~~"),"*","~*"),"?","~?"))+COUNTIFS('Calculations'!$HY$13:$HY$512,"="&amp;SUBSTITUTE(SUBSTITUTE(SUBSTITUTE('Calculations'!HF133,"~","~~"),"*","~*"),"?","~?"),'Calculations'!$HN$13:$HN$512,"="&amp;SUBSTITUTE(SUBSTITUTE(SUBSTITUTE('Dashboard'!$B$7,"~","~~"),"*","~*"),"?","~?"))+COUNTIFS('Calculations'!$HZ$13:$HZ$512,"="&amp;SUBSTITUTE(SUBSTITUTE(SUBSTITUTE('Calculations'!HF133,"~","~~"),"*","~*"),"?","~?"),'Calculations'!$HN$13:$HN$512,"="&amp;SUBSTITUTE(SUBSTITUTE(SUBSTITUTE('Dashboard'!$B$7,"~","~~"),"*","~*"),"?","~?"))+COUNTIFS('Calculations'!$IA$13:$IA$512,"="&amp;SUBSTITUTE(SUBSTITUTE(SUBSTITUTE('Calculations'!HF133,"~","~~"),"*","~*"),"?","~?"),'Calculations'!$HN$13:$HN$512,"="&amp;SUBSTITUTE(SUBSTITUTE(SUBSTITUTE('Dashboard'!$B$7,"~","~~"),"*","~*"),"?","~?"))+COUNTIFS('Calculations'!$IB$13:$IB$512,"="&amp;SUBSTITUTE(SUBSTITUTE(SUBSTITUTE('Calculations'!HF133,"~","~~"),"*","~*"),"?","~?"),'Calculations'!$HN$13:$HN$512,"="&amp;SUBSTITUTE(SUBSTITUTE(SUBSTITUTE('Dashboard'!$B$7,"~","~~"),"*","~*"),"?","~?"))+COUNTIFS('Calculations'!$IC$13:$IC$512,"="&amp;SUBSTITUTE(SUBSTITUTE(SUBSTITUTE('Calculations'!HF133,"~","~~"),"*","~*"),"?","~?"),'Calculations'!$HN$13:$HN$512,"="&amp;SUBSTITUTE(SUBSTITUTE(SUBSTITUTE('Dashboard'!$B$7,"~","~~"),"*","~*"),"?","~?"))+COUNTIFS('Calculations'!$ID$13:$ID$512,"="&amp;SUBSTITUTE(SUBSTITUTE(SUBSTITUTE('Calculations'!HF133,"~","~~"),"*","~*"),"?","~?"),'Calculations'!$HN$13:$HN$512,"="&amp;SUBSTITUTE(SUBSTITUTE(SUBSTITUTE('Dashboard'!$B$7,"~","~~"),"*","~*"),"?","~?"))+COUNTIFS('Calculations'!$IE$13:$IE$512,"="&amp;SUBSTITUTE(SUBSTITUTE(SUBSTITUTE('Calculations'!HF133,"~","~~"),"*","~*"),"?","~?"),'Calculations'!$HN$13:$HN$512,"="&amp;SUBSTITUTE(SUBSTITUTE(SUBSTITUTE('Dashboard'!$B$7,"~","~~"),"*","~*"),"?","~?"))+COUNTIFS('Calculations'!$IF$13:$IF$512,"="&amp;SUBSTITUTE(SUBSTITUTE(SUBSTITUTE('Calculations'!HF133,"~","~~"),"*","~*"),"?","~?"),'Calculations'!$HN$13:$HN$512,"="&amp;SUBSTITUTE(SUBSTITUTE(SUBSTITUTE('Dashboard'!$B$7,"~","~~"),"*","~*"),"?","~?"))+COUNTIFS('Calculations'!$IG$13:$IG$512,"="&amp;SUBSTITUTE(SUBSTITUTE(SUBSTITUTE('Calculations'!HF133,"~","~~"),"*","~*"),"?","~?"),'Calculations'!$HN$13:$HN$512,"="&amp;SUBSTITUTE(SUBSTITUTE(SUBSTITUTE('Dashboard'!$B$7,"~","~~"),"*","~*"),"?","~?"))+COUNTIFS('Calculations'!$IH$13:$IH$512,"="&amp;SUBSTITUTE(SUBSTITUTE(SUBSTITUTE('Calculations'!HF133,"~","~~"),"*","~*"),"?","~?"),'Calculations'!$HN$13:$HN$512,"="&amp;SUBSTITUTE(SUBSTITUTE(SUBSTITUTE('Dashboard'!$B$7,"~","~~"),"*","~*"),"?","~?"))))</x:f>
        <x:v>0</x:v>
      </x:c>
      <x:c r="JD133" t="n">
        <x:f>IF('Calculations'!EM133="",0,IF('Dashboard'!$B$7="All",1,IF('Calculations'!HN133='Dashboard'!$B$7,1,0)+IFERROR(INDEX('Calculations'!$JC$13:$JC$512,MATCH('Calculations'!HE133,'Calculations'!$HF$13:$HF$512,0)),0)))</x:f>
        <x:v>0</x:v>
      </x:c>
      <x:c r="JE133" t="n">
        <x:f>IF(AND('Calculations'!EM133&lt;&gt;"",'Calculations'!$JJ$2&lt;&gt;"All",'Calculations'!$JJ$2&lt;&gt;"",'Calculations'!HF133='Calculations'!$JJ$2,'Calculations'!HL133=0,'Calculations'!JD133&gt;0),MAX('Calculations'!$JE$12:JE132)+1,0)</x:f>
        <x:v>0</x:v>
      </x:c>
      <x:c r="JF133" t="str">
        <x:f>IF('Calculations'!EM133="","",IFERROR(IF(INDEX(INDIRECT("'WCM Calibration Final'!$G$1:$G$2000"),'Calculations'!$EM133)="","",TRIM(INDEX(INDIRECT("'WCM Calibration Final'!$G$1:$G$2000"),'Calculations'!$EM133)&amp;"")),""))</x:f>
      </x:c>
      <x:c r="JQ133" t="n">
        <x:f>IF(OR('Calculations'!BM133=0,NOT('Calculations'!$AG$2),'Calculations'!$AG$8&gt;0),0,IF(OR('Dashboard'!$B$7="All",'Calculations'!HN133='Dashboard'!$B$7),IF('Calculations'!$JJ$2="All",1,IF(AND('Calculations'!HF133='Calculations'!$JJ$2,'Calculations'!HL133=0),1,0)),0))</x:f>
        <x:v>0</x:v>
      </x:c>
    </x:row>
    <x:row r="13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t="n">
        <x:f>IF('Calculations'!$EM134="",0,IF(OR(IFERROR(INDEX(INDIRECT("'WCM Calibration Final'!$A$1:$A$2000"),'Calculations'!$EM134)&lt;&gt;"",FALSE),IFERROR(INDEX(INDIRECT("'WCM Calibration Final'!$B$1:$B$2000"),'Calculations'!$EM134)&lt;&gt;"",FALSE),IFERROR(INDEX(INDIRECT("'WCM Calibration Final'!$C$1:$C$2000"),'Calculations'!$EM134)&lt;&gt;"",FALSE)),1,0))</x:f>
        <x:v>0</x:v>
      </x:c>
      <x:c r="BN134" s="4" t="n">
        <x:f>IF(AND('Calculations'!BM134=1,'Calculations'!$AG$2,'Calculations'!$EN134=1),1,0)</x:f>
        <x:v>0</x:v>
      </x:c>
      <x:c r="BO134" s="4" t="str">
        <x:f>IF('Calculations'!BM134=0,"",IFERROR(IF(AND(VALUE(INDEX(INDIRECT("'WCM Calibration Final'!$K$1:$K$2000"),'Calculations'!$EM134))&gt;=1,VALUE(INDEX(INDIRECT("'WCM Calibration Final'!$K$1:$K$2000"),'Calculations'!$EM134))&lt;=4,MOD(VALUE(INDEX(INDIRECT("'WCM Calibration Final'!$K$1:$K$2000"),'Calculations'!$EM134)),1)=0),VALUE(INDEX(INDIRECT("'WCM Calibration Final'!$K$1:$K$2000"),'Calculations'!$EM134)),""),""))</x:f>
      </x:c>
      <x:c r="BP134" s="4" t="str">
        <x:f>IF('Calculations'!BM134=0,"",IFERROR(IF(AND(VALUE(INDEX(INDIRECT("'WCM Calibration Final'!$L$1:$L$2000"),'Calculations'!$EM134))&gt;=1,VALUE(INDEX(INDIRECT("'WCM Calibration Final'!$L$1:$L$2000"),'Calculations'!$EM134))&lt;=4,MOD(VALUE(INDEX(INDIRECT("'WCM Calibration Final'!$L$1:$L$2000"),'Calculations'!$EM134)),1)=0),VALUE(INDEX(INDIRECT("'WCM Calibration Final'!$L$1:$L$2000"),'Calculations'!$EM134)),""),""))</x:f>
      </x:c>
      <x:c r="BQ134" s="4"/>
      <x:c r="BR134" s="4"/>
      <x:c r="BS134" s="4"/>
      <x:c r="BT134" s="4" t="n">
        <x:f>IF(AND('Calculations'!BM134=1,ISNUMBER('Calculations'!BO134),ISNUMBER('Calculations'!BP134)),1,0)</x:f>
        <x:v>0</x:v>
      </x:c>
      <x:c r="BU134" s="4" t="str">
        <x:f>IF('Calculations'!BM134=0,"",'Calculations'!$EO134)</x:f>
      </x:c>
      <x:c r="BV134" s="4" t="str">
        <x:f>IF('Calculations'!BM134=0,"",IFERROR(IF(OR(INDEX(INDIRECT("'WCM Calibration Final'!$H$1:$H$2000"),'Calculations'!$EM134)="MANAGING DIRECTOR",INDEX(INDIRECT("'WCM Calibration Final'!$H$1:$H$2000"),'Calculations'!$EM134)="DIRECTOR",INDEX(INDIRECT("'WCM Calibration Final'!$H$1:$H$2000"),'Calculations'!$EM134)="SENIOR VICE PRESIDENT",INDEX(INDIRECT("'WCM Calibration Final'!$H$1:$H$2000"),'Calculations'!$EM134)="VICE PRESIDENT",INDEX(INDIRECT("'WCM Calibration Final'!$H$1:$H$2000"),'Calculations'!$EM134)="ASSISTANT VICE PRESIDENT",INDEX(INDIRECT("'WCM Calibration Final'!$H$1:$H$2000"),'Calculations'!$EM134)="OFFICER"),UPPER(INDEX(INDIRECT("'WCM Calibration Final'!$H$1:$H$2000"),'Calculations'!$EM134)),"Other"),"Other"))</x:f>
      </x:c>
      <x:c r="BW134" s="4"/>
      <x:c r="BX134" s="4"/>
      <x:c r="BY134" s="4" t="n">
        <x:f>IF(AND('Calculations'!BM134=1,'Calculations'!BU134&lt;&gt;"",COUNTIF('Calculations'!$BU$12:BU134,'Calculations'!BU134)=1),MAX('Calculations'!$BY$11:BY133)+1,0)</x:f>
        <x:v>0</x:v>
      </x:c>
      <x:c r="BZ134" s="4" t="str">
        <x:f>IF('Dashboard'!$E$67="What",'Calculations'!BO134,'Calculations'!BP134)</x:f>
      </x:c>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t="str">
        <x:f>IF(123&gt;MAX('Calculations'!$HI$13:$HI$512),"",INDEX('Calculations'!$HN$13:$HN$512,MATCH(123,'Calculations'!$HI$13:$HI$512,0)))</x:f>
      </x:c>
      <x:c r="DB134" s="4" t="str">
        <x:f>IF(123&gt;MAX('Calculations'!$HH$13:$HH$512),"",INDEX('Calculations'!$HJ$13:$HJ$512,MATCH(123,'Calculations'!$HH$13:$HH$512,0)))</x:f>
      </x:c>
      <x:c r="DC134" s="4" t="str">
        <x:f>IF(ROW()-11&gt;MAX('Calculations'!$BY$13:$BY$512),"",INDEX('Calculations'!$BU$13:$BU$512,MATCH(ROW()-11,'Calculations'!$BY$13:$BY$512,0)))</x:f>
      </x:c>
      <x:c r="DD134" s="4" t="str">
        <x:f>IF(123&gt;MAX('Calculations'!$IK$13:$IK$512),"",INDEX('Calculations'!$HK$13:$HK$512,MATCH(123,'Calculations'!$IK$13:$IK$512,0)))</x:f>
      </x:c>
      <x:c r="DE134" s="4" t="str">
        <x:f>'Calculations'!DC134</x:f>
      </x:c>
      <x:c r="DF134" s="4" t="str">
        <x:f>IF('Calculations'!DE134="","",COUNTIFS('Calculations'!$BN$13:$BN$512,1,'Calculations'!$BU$13:$BU$512,'Calculations'!DE134))</x:f>
      </x:c>
      <x:c r="DG134" s="4" t="str">
        <x:f>IF('Calculations'!DE134="","",COUNTIFS('Calculations'!$BN$13:$BN$512,1,'Calculations'!$BU$13:$BU$512,'Calculations'!DE134,'Calculations'!$BT$13:$BT$512,1))</x:f>
      </x:c>
      <x:c r="DH134" s="4" t="str">
        <x:f>IF('Calculations'!DE134="","",'Calculations'!DF134-'Calculations'!DG134)</x:f>
      </x:c>
      <x:c r="DI134" s="4" t="str">
        <x:f>IF(OR('Calculations'!DE134="",'Calculations'!DF134=0),"",'Calculations'!DG134/'Calculations'!DF134)</x:f>
      </x:c>
      <x:c r="DJ134" s="4" t="str">
        <x:f>IF('Calculations'!DE134="","",COUNTIFS('Calculations'!$BN$13:$BN$512,1,'Calculations'!$BU$13:$BU$512,'Calculations'!DE134,'Calculations'!$BT$13:$BT$512,1,'Calculations'!$EE$13:$EE$512,"High"))</x:f>
      </x:c>
      <x:c r="DK134" s="4" t="str">
        <x:f>IF('Calculations'!DE134="","",COUNTIFS('Calculations'!$BN$13:$BN$512,1,'Calculations'!$BU$13:$BU$512,'Calculations'!DE134,'Calculations'!$BT$13:$BT$512,1,'Calculations'!$EE$13:$EE$512,"Strong"))</x:f>
      </x:c>
      <x:c r="DL134" s="4" t="str">
        <x:f>IF('Calculations'!DE134="","",COUNTIFS('Calculations'!$BN$13:$BN$512,1,'Calculations'!$BU$13:$BU$512,'Calculations'!DE134,'Calculations'!$BT$13:$BT$512,1,'Calculations'!$EE$13:$EE$512,"Solid"))</x:f>
      </x:c>
      <x:c r="DM134" s="4" t="str">
        <x:f>IF('Calculations'!DE134="","",COUNTIFS('Calculations'!$BN$13:$BN$512,1,'Calculations'!$BU$13:$BU$512,'Calculations'!DE134,'Calculations'!$BT$13:$BT$512,1,'Calculations'!$EE$13:$EE$512,"Low"))</x:f>
      </x:c>
      <x:c r="DN134" s="4" t="str">
        <x:f>IF('Calculations'!DE134="","",COUNTIFS('Calculations'!$BN$13:$BN$512,1,'Calculations'!$BU$13:$BU$512,'Calculations'!DE134,'Calculations'!$EP$13:$EP$512,1))</x:f>
      </x:c>
      <x:c r="DO134" s="4" t="str">
        <x:f>IF(OR('Calculations'!DE134="",'Calculations'!DG134=0),"",('Calculations'!DJ134+'Calculations'!DK134)/'Calculations'!DG134)</x:f>
      </x:c>
      <x:c r="DP134" s="4" t="n">
        <x:f>IF(AND('Calculations'!DE134&lt;&gt;"",'Calculations'!DF134&gt;0),COUNTIF('Calculations'!$DF$12:DF134,"&gt;0"),0)</x:f>
        <x:v>0</x:v>
      </x:c>
      <x:c r="DQ134" s="4" t="str">
        <x:f>IF(123&gt;MAX('Calculations'!$HH$13:$HH$512),"",INDEX('Calculations'!$HF$13:$HF$512,MATCH(123,'Calculations'!$HH$13:$HH$512,0)))</x:f>
      </x:c>
      <x:c r="DR134" s="4" t="str">
        <x:f>IF(123&gt;MAX('Calculations'!$IK$13:$IK$512),"",INDEX('Calculations'!$HE$13:$HE$512,MATCH(123,'Calculations'!$IK$13:$IK$512,0)))</x:f>
      </x:c>
      <x:c r="DS134" s="4"/>
      <x:c r="DT134" s="4"/>
      <x:c r="DU134" s="4"/>
      <x:c r="DV134" s="4"/>
      <x:c r="DW134" s="4"/>
      <x:c r="DX134" s="4"/>
      <x:c r="DY134" s="4"/>
      <x:c r="DZ134" s="4"/>
      <x:c r="EA134" s="4"/>
      <x:c r="EB134" s="4"/>
      <x:c r="EC134" s="4"/>
      <x:c r="ED134" s="4"/>
      <x:c r="EE134" s="4" t="str">
        <x:f>IF('Calculations'!BT134=0,"Not Rated",IF(OR('Calculations'!BO134&gt;=4,'Calculations'!BP134&gt;=4),"Low",IF('Calculations'!BO134+'Calculations'!BP134&lt;=3,"High",IF('Calculations'!BO134+'Calculations'!BP134&lt;=4,"Strong","Solid"))))</x:f>
        <x:v>Not Rated</x:v>
      </x:c>
      <x:c r="EF134" s="4"/>
      <x:c r="EG134" s="4"/>
      <x:c r="EH134" s="4"/>
      <x:c r="EI134" s="4"/>
      <x:c r="EJ134" s="4"/>
      <x:c r="EK134" s="4"/>
      <x:c r="EL134" s="4"/>
      <x:c r="EM134" s="4" t="str">
        <x:f>IF(122&gt;'Calculations'!$JB$2000,"",INDEX('Calculations'!$JA$12:$JA$2000,MATCH(122,'Calculations'!$JB$12:$JB$2000,0)))</x:f>
      </x:c>
      <x:c r="EN134" s="4" t="n">
        <x:f>IF(OR('Calculations'!EM134="",'Calculations'!$AG$8&gt;0,AND('Calculations'!$EF$2&lt;&gt;"All",'Calculations'!HE134='Calculations'!$EF$2),AND('Calculations'!$EF$3&lt;&gt;"All",'Calculations'!HE134='Calculations'!$EF$3)),0,IF(OR('Dashboard'!$B$7="All",'Calculations'!HN134='Dashboard'!$B$7),IF('Calculations'!$EF$2="All",1,IF('Calculations'!HL134&gt;0,0,IF(COUNTIF('Calculations'!HO134:II134,"="&amp;SUBSTITUTE(SUBSTITUTE(SUBSTITUTE('Calculations'!$EF$2,"~","~~"),"*","~*"),"?","~?"))=0,0,IF('Calculations'!$EF$3="All",1,IF(COUNTIF('Calculations'!HO134:II134,"="&amp;SUBSTITUTE(SUBSTITUTE(SUBSTITUTE('Calculations'!$EF$3,"~","~~"),"*","~*"),"?","~?"))&gt;0,1,0))))),0))</x:f>
        <x:v>0</x:v>
      </x:c>
      <x:c r="EO134" s="4" t="str">
        <x:f>IF('Calculations'!IJ134="","",IF('Calculations'!IJ134="!UNRESOLVED","Unresolved hierarchy",IFERROR(INDEX('Calculations'!$HK$13:$HK$512,MATCH('Calculations'!IJ134,'Calculations'!$HE$13:$HE$512,0)),IFERROR(INDEX('Calculations'!$HJ$13:$HJ$512,MATCH('Calculations'!IJ134,'Calculations'!$HF$13:$HF$512,0)),'Calculations'!IJ134))))</x:f>
      </x:c>
      <x:c r="EP134" s="4" t="n">
        <x:f>IF(AND('Calculations'!EM134&lt;&gt;"",'Calculations'!HF134='Calculations'!IJ134),1,0)</x:f>
        <x:v>0</x:v>
      </x:c>
      <x:c r="EQ134" s="4"/>
      <x:c r="ER134" s="4"/>
      <x:c r="ES134" s="4"/>
      <x:c r="ET134" s="4"/>
      <x:c r="EU134" s="4"/>
      <x:c r="EV134" s="4"/>
      <x:c r="EW134" s="4"/>
      <x:c r="EX134" s="4"/>
      <x:c r="EY134" s="4"/>
      <x:c r="EZ134" s="4"/>
      <x:c r="FA134" s="4"/>
      <x:c r="FB134" s="4"/>
      <x:c r="FC134" s="4"/>
      <x:c r="FD134" s="4"/>
      <x:c r="FE134" s="4"/>
      <x:c r="FF134" s="4"/>
      <x:c r="FG134" s="4"/>
      <x:c r="FH134" s="4"/>
      <x:c r="FI134" s="4"/>
      <x:c r="FJ134" s="4"/>
      <x:c r="FK134" s="4"/>
      <x:c r="FL134" s="4"/>
      <x:c r="FM134" s="4"/>
      <x:c r="FN134" s="4"/>
      <x:c r="FO134" s="4"/>
      <x:c r="GA134" s="71"/>
      <x:c r="GB134" s="71"/>
      <x:c r="GC134" s="71"/>
      <x:c r="GD134" s="71"/>
      <x:c r="GE134" s="71"/>
      <x:c r="GF134" s="71"/>
      <x:c r="GG134" s="71"/>
      <x:c r="GH134" s="71"/>
      <x:c r="GI134" s="71"/>
      <x:c r="GJ134" s="71"/>
      <x:c r="GK134" s="71"/>
      <x:c r="GL134" s="71"/>
      <x:c r="GM134" s="71"/>
      <x:c r="GN134" s="71"/>
      <x:c r="GO134" s="71"/>
      <x:c r="GP134" s="71"/>
      <x:c r="GQ134" s="71"/>
      <x:c r="GR134" s="71"/>
      <x:c r="GS134" s="71"/>
      <x:c r="GT134" s="71"/>
      <x:c r="GU134" s="71"/>
      <x:c r="GV134" s="71"/>
      <x:c r="GW134" s="71"/>
      <x:c r="GX134" s="71" t="str">
        <x:f>IF(COUNTA('Dashboard'!N134,'Dashboard'!P134,'Dashboard'!R134,'Dashboard'!T134)=0,"No thresholds",IF(OR(COUNT('Dashboard'!N134,'Dashboard'!P134,'Dashboard'!R134,'Dashboard'!T134)&lt;&gt;COUNTA('Dashboard'!N134,'Dashboard'!P134,'Dashboard'!R134,'Dashboard'!T134),MIN('Dashboard'!N134,'Dashboard'!P134,'Dashboard'!R134,'Dashboard'!T134)&lt;0,MAX('Dashboard'!N134,'Dashboard'!P134,'Dashboard'!R134,'Dashboard'!T134)&gt;1),"Check thresholds",TEXT(SUM('Dashboard'!N134,'Dashboard'!P134,'Dashboard'!R134,'Dashboard'!T134),"0%")&amp;" - separate caps"))</x:f>
        <x:v>112% - separate caps</x:v>
      </x:c>
      <x:c r="GY134" s="71"/>
      <x:c r="GZ134" s="71"/>
      <x:c r="HA134" s="71"/>
      <x:c r="HB134" s="71"/>
      <x:c r="HC134" s="71"/>
      <x:c r="HD134" s="71"/>
      <x:c r="HE134" t="str">
        <x:f>IF('Calculations'!EM134="","",IF(IFERROR(IF(INDEX(INDIRECT("'WCM Calibration Final'!$A$1:$A$2000"),'Calculations'!$EM134)="","",TRIM(INDEX(INDIRECT("'WCM Calibration Final'!$A$1:$A$2000"),'Calculations'!$EM134)&amp;"")),"")&lt;&gt;"","G:"&amp;IFERROR(TEXT(1*INDEX(INDIRECT("'WCM Calibration Final'!$A$1:$A$2000"),'Calculations'!$EM134),"0"),UPPER(IFERROR(IF(INDEX(INDIRECT("'WCM Calibration Final'!$A$1:$A$2000"),'Calculations'!$EM134)="","",TRIM(INDEX(INDIRECT("'WCM Calibration Final'!$A$1:$A$2000"),'Calculations'!$EM134)&amp;"")),""))),IF(IFERROR(IF(INDEX(INDIRECT("'WCM Calibration Final'!$C$1:$C$2000"),'Calculations'!$EM134)="","",TRIM(INDEX(INDIRECT("'WCM Calibration Final'!$C$1:$C$2000"),'Calculations'!$EM134)&amp;"")),"")&lt;&gt;"","S:"&amp;UPPER(IFERROR(IF(INDEX(INDIRECT("'WCM Calibration Final'!$C$1:$C$2000"),'Calculations'!$EM134)="","",TRIM(INDEX(INDIRECT("'WCM Calibration Final'!$C$1:$C$2000"),'Calculations'!$EM134)&amp;"")),"")),"R:"&amp;'Calculations'!EM134)))</x:f>
      </x:c>
      <x:c r="HF134" t="str">
        <x:f>IF('Calculations'!EM134="","",IF(IFERROR(IF(INDEX(INDIRECT("'WCM Calibration Final'!$D$1:$D$2000"),'Calculations'!$EM134)="","",TRIM(INDEX(INDIRECT("'WCM Calibration Final'!$D$1:$D$2000"),'Calculations'!$EM134)&amp;"")),"")&lt;&gt;"","G:"&amp;IFERROR(TEXT(1*INDEX(INDIRECT("'WCM Calibration Final'!$D$1:$D$2000"),'Calculations'!$EM134),"0"),UPPER(IFERROR(IF(INDEX(INDIRECT("'WCM Calibration Final'!$D$1:$D$2000"),'Calculations'!$EM134)="","",TRIM(INDEX(INDIRECT("'WCM Calibration Final'!$D$1:$D$2000"),'Calculations'!$EM134)&amp;"")),""))),IF(IFERROR(IF(INDEX(INDIRECT("'WCM Calibration Final'!$E$1:$E$2000"),'Calculations'!$EM134)="","",TRIM(INDEX(INDIRECT("'WCM Calibration Final'!$E$1:$E$2000"),'Calculations'!$EM134)&amp;"")),"")="","",IF(COUNTIF('Calculations'!$HG$13:$HG$512,"="&amp;SUBSTITUTE(SUBSTITUTE(SUBSTITUTE(IFERROR(IF(INDEX(INDIRECT("'WCM Calibration Final'!$E$1:$E$2000"),'Calculations'!$EM134)="","",TRIM(INDEX(INDIRECT("'WCM Calibration Final'!$E$1:$E$2000"),'Calculations'!$EM134)&amp;"")),""),"~","~~"),"*","~*"),"?","~?"))=1,INDEX('Calculations'!$HE$13:$HE$512,MATCH(IFERROR(IF(INDEX(INDIRECT("'WCM Calibration Final'!$E$1:$E$2000"),'Calculations'!$EM134)="","",TRIM(INDEX(INDIRECT("'WCM Calibration Final'!$E$1:$E$2000"),'Calculations'!$EM134)&amp;"")),""),'Calculations'!$HG$13:$HG$512,0)),IF(COUNTIF('Calculations'!$HG$13:$HG$512,"="&amp;SUBSTITUTE(SUBSTITUTE(SUBSTITUTE(IFERROR(IF(INDEX(INDIRECT("'WCM Calibration Final'!$E$1:$E$2000"),'Calculations'!$EM134)="","",TRIM(INDEX(INDIRECT("'WCM Calibration Final'!$E$1:$E$2000"),'Calculations'!$EM134)&amp;"")),""),"~","~~"),"*","~*"),"?","~?"))&gt;1,"!AMBIG","X:"&amp;IFERROR(IF(INDEX(INDIRECT("'WCM Calibration Final'!$E$1:$E$2000"),'Calculations'!$EM134)="","",TRIM(INDEX(INDIRECT("'WCM Calibration Final'!$E$1:$E$2000"),'Calculations'!$EM134)&amp;"")),""))))))</x:f>
      </x:c>
      <x:c r="HG134" t="str">
        <x:f>IF('Calculations'!EM134="","",IFERROR(IF(INDEX(INDIRECT("'WCM Calibration Final'!$B$1:$B$2000"),'Calculations'!$EM134)="","",TRIM(INDEX(INDIRECT("'WCM Calibration Final'!$B$1:$B$2000"),'Calculations'!$EM134)&amp;"")),""))</x:f>
      </x:c>
      <x:c r="HH134" t="n">
        <x:f>IF(AND('Calculations'!JC134&gt;0,COUNTIF('Calculations'!$HF$12:HF134,"="&amp;SUBSTITUTE(SUBSTITUTE(SUBSTITUTE('Calculations'!HF134,"~","~~"),"*","~*"),"?","~?"))=1),MAX('Calculations'!$HH$12:HH133)+1,0)</x:f>
        <x:v>0</x:v>
      </x:c>
      <x:c r="HI134" t="n">
        <x:f>IF(AND('Calculations'!HN134&lt;&gt;"",COUNTIF('Calculations'!$HN$12:HN134,"="&amp;SUBSTITUTE(SUBSTITUTE(SUBSTITUTE('Calculations'!HN134,"~","~~"),"*","~*"),"?","~?"))=1),MAX('Calculations'!$HI$12:HI133)+1,0)</x:f>
        <x:v>0</x:v>
      </x:c>
      <x:c r="HJ134" t="str">
        <x:f>IF('Calculations'!HF134="","",IF(COUNTIF('Calculations'!$HE$13:$HE$512,"="&amp;SUBSTITUTE(SUBSTITUTE(SUBSTITUTE('Calculations'!HF134,"~","~~"),"*","~*"),"?","~?"))=1,INDEX('Calculations'!$HK$13:$HK$512,MATCH('Calculations'!HF134,'Calculations'!$HE$13:$HE$512,0)),IFERROR(IF(INDEX(INDIRECT("'WCM Calibration Final'!$E$1:$E$2000"),'Calculations'!$EM134)="","",TRIM(INDEX(INDIRECT("'WCM Calibration Final'!$E$1:$E$2000"),'Calculations'!$EM134)&amp;"")),"")&amp;" ["&amp;'Calculations'!HF134&amp;"]"))</x:f>
      </x:c>
      <x:c r="HK134" t="str">
        <x:f>IF('Calculations'!EM134="","",'Calculations'!HG134&amp;" ["&amp;'Calculations'!HE134&amp;"]")</x:f>
      </x:c>
      <x:c r="HL134" t="n">
        <x:f>IF('Calculations'!EM134="",0,IF(OR('Calculations'!II134&lt;&gt;"",COUNTIF('Calculations'!$HE$13:$HE$512,"="&amp;SUBSTITUTE(SUBSTITUTE(SUBSTITUTE('Calculations'!HE134,"~","~~"),"*","~*"),"?","~?"))&gt;1),1,0))</x:f>
        <x:v>0</x:v>
      </x:c>
      <x:c r="HM134" t="str">
        <x:f>IF('Calculations'!EM134="","",IF('Calculations'!HL134=1,"!UNRESOLVED",IF('Calculations'!IH134&lt;&gt;"",'Calculations'!IH134,IF('Calculations'!IG134&lt;&gt;"",'Calculations'!IG134,IF('Calculations'!IF134&lt;&gt;"",'Calculations'!IF134,IF('Calculations'!IE134&lt;&gt;"",'Calculations'!IE134,IF('Calculations'!ID134&lt;&gt;"",'Calculations'!ID134,IF('Calculations'!IC134&lt;&gt;"",'Calculations'!IC134,IF('Calculations'!IB134&lt;&gt;"",'Calculations'!IB134,IF('Calculations'!IA134&lt;&gt;"",'Calculations'!IA134,IF('Calculations'!HZ134&lt;&gt;"",'Calculations'!HZ134,IF('Calculations'!HY134&lt;&gt;"",'Calculations'!HY134,IF('Calculations'!HX134&lt;&gt;"",'Calculations'!HX134,IF('Calculations'!HW134&lt;&gt;"",'Calculations'!HW134,IF('Calculations'!HV134&lt;&gt;"",'Calculations'!HV134,IF('Calculations'!HU134&lt;&gt;"",'Calculations'!HU134,IF('Calculations'!HT134&lt;&gt;"",'Calculations'!HT134,IF('Calculations'!HS134&lt;&gt;"",'Calculations'!HS134,IF('Calculations'!HR134&lt;&gt;"",'Calculations'!HR134,IF('Calculations'!HQ134&lt;&gt;"",'Calculations'!HQ134,IF('Calculations'!HP134&lt;&gt;"",'Calculations'!HP134,IF('Calculations'!HO134&lt;&gt;"",'Calculations'!HO134,'Calculations'!HE134))))))))))))))))))))))</x:f>
      </x:c>
      <x:c r="HN134" t="str">
        <x:f>IF('Calculations'!EM134="","",IF(IFERROR(IF(INDEX(INDIRECT("'WCM Calibration Final'!$F$1:$F$2000"),'Calculations'!$EM134)="","",TRIM(INDEX(INDIRECT("'WCM Calibration Final'!$F$1:$F$2000"),'Calculations'!$EM134)&amp;"")),"")="","(Blank)",IFERROR(IF(INDEX(INDIRECT("'WCM Calibration Final'!$F$1:$F$2000"),'Calculations'!$EM134)="","",TRIM(INDEX(INDIRECT("'WCM Calibration Final'!$F$1:$F$2000"),'Calculations'!$EM134)&amp;"")),"")))</x:f>
      </x:c>
      <x:c r="HO134" t="str">
        <x:f>'Calculations'!HF134</x:f>
      </x:c>
      <x:c r="HP134" t="str">
        <x:f>IF('Calculations'!HO134="","",IF('Calculations'!HO134="!AMBIG","!AMBIG",IF(COUNTIF('Calculations'!$HE$13:$HE$512,"="&amp;SUBSTITUTE(SUBSTITUTE(SUBSTITUTE('Calculations'!HO134,"~","~~"),"*","~*"),"?","~?"))&gt;1,"!AMBIG",IFERROR(INDEX('Calculations'!$HF$13:$HF$512,MATCH('Calculations'!HO134,'Calculations'!$HE$13:$HE$512,0)),""))))</x:f>
      </x:c>
      <x:c r="HQ134" t="str">
        <x:f>IF('Calculations'!HP134="","",IF('Calculations'!HP134="!AMBIG","!AMBIG",IF(COUNTIF('Calculations'!$HE$13:$HE$512,"="&amp;SUBSTITUTE(SUBSTITUTE(SUBSTITUTE('Calculations'!HP134,"~","~~"),"*","~*"),"?","~?"))&gt;1,"!AMBIG",IFERROR(INDEX('Calculations'!$HF$13:$HF$512,MATCH('Calculations'!HP134,'Calculations'!$HE$13:$HE$512,0)),""))))</x:f>
      </x:c>
      <x:c r="HR134" t="str">
        <x:f>IF('Calculations'!HQ134="","",IF('Calculations'!HQ134="!AMBIG","!AMBIG",IF(COUNTIF('Calculations'!$HE$13:$HE$512,"="&amp;SUBSTITUTE(SUBSTITUTE(SUBSTITUTE('Calculations'!HQ134,"~","~~"),"*","~*"),"?","~?"))&gt;1,"!AMBIG",IFERROR(INDEX('Calculations'!$HF$13:$HF$512,MATCH('Calculations'!HQ134,'Calculations'!$HE$13:$HE$512,0)),""))))</x:f>
      </x:c>
      <x:c r="HS134" t="str">
        <x:f>IF('Calculations'!HR134="","",IF('Calculations'!HR134="!AMBIG","!AMBIG",IF(COUNTIF('Calculations'!$HE$13:$HE$512,"="&amp;SUBSTITUTE(SUBSTITUTE(SUBSTITUTE('Calculations'!HR134,"~","~~"),"*","~*"),"?","~?"))&gt;1,"!AMBIG",IFERROR(INDEX('Calculations'!$HF$13:$HF$512,MATCH('Calculations'!HR134,'Calculations'!$HE$13:$HE$512,0)),""))))</x:f>
      </x:c>
      <x:c r="HT134" t="str">
        <x:f>IF('Calculations'!HS134="","",IF('Calculations'!HS134="!AMBIG","!AMBIG",IF(COUNTIF('Calculations'!$HE$13:$HE$512,"="&amp;SUBSTITUTE(SUBSTITUTE(SUBSTITUTE('Calculations'!HS134,"~","~~"),"*","~*"),"?","~?"))&gt;1,"!AMBIG",IFERROR(INDEX('Calculations'!$HF$13:$HF$512,MATCH('Calculations'!HS134,'Calculations'!$HE$13:$HE$512,0)),""))))</x:f>
      </x:c>
      <x:c r="HU134" t="str">
        <x:f>IF('Calculations'!HT134="","",IF('Calculations'!HT134="!AMBIG","!AMBIG",IF(COUNTIF('Calculations'!$HE$13:$HE$512,"="&amp;SUBSTITUTE(SUBSTITUTE(SUBSTITUTE('Calculations'!HT134,"~","~~"),"*","~*"),"?","~?"))&gt;1,"!AMBIG",IFERROR(INDEX('Calculations'!$HF$13:$HF$512,MATCH('Calculations'!HT134,'Calculations'!$HE$13:$HE$512,0)),""))))</x:f>
      </x:c>
      <x:c r="HV134" t="str">
        <x:f>IF('Calculations'!HU134="","",IF('Calculations'!HU134="!AMBIG","!AMBIG",IF(COUNTIF('Calculations'!$HE$13:$HE$512,"="&amp;SUBSTITUTE(SUBSTITUTE(SUBSTITUTE('Calculations'!HU134,"~","~~"),"*","~*"),"?","~?"))&gt;1,"!AMBIG",IFERROR(INDEX('Calculations'!$HF$13:$HF$512,MATCH('Calculations'!HU134,'Calculations'!$HE$13:$HE$512,0)),""))))</x:f>
      </x:c>
      <x:c r="HW134" t="str">
        <x:f>IF('Calculations'!HV134="","",IF('Calculations'!HV134="!AMBIG","!AMBIG",IF(COUNTIF('Calculations'!$HE$13:$HE$512,"="&amp;SUBSTITUTE(SUBSTITUTE(SUBSTITUTE('Calculations'!HV134,"~","~~"),"*","~*"),"?","~?"))&gt;1,"!AMBIG",IFERROR(INDEX('Calculations'!$HF$13:$HF$512,MATCH('Calculations'!HV134,'Calculations'!$HE$13:$HE$512,0)),""))))</x:f>
      </x:c>
      <x:c r="HX134" t="str">
        <x:f>IF('Calculations'!HW134="","",IF('Calculations'!HW134="!AMBIG","!AMBIG",IF(COUNTIF('Calculations'!$HE$13:$HE$512,"="&amp;SUBSTITUTE(SUBSTITUTE(SUBSTITUTE('Calculations'!HW134,"~","~~"),"*","~*"),"?","~?"))&gt;1,"!AMBIG",IFERROR(INDEX('Calculations'!$HF$13:$HF$512,MATCH('Calculations'!HW134,'Calculations'!$HE$13:$HE$512,0)),""))))</x:f>
      </x:c>
      <x:c r="HY134" t="str">
        <x:f>IF('Calculations'!HX134="","",IF('Calculations'!HX134="!AMBIG","!AMBIG",IF(COUNTIF('Calculations'!$HE$13:$HE$512,"="&amp;SUBSTITUTE(SUBSTITUTE(SUBSTITUTE('Calculations'!HX134,"~","~~"),"*","~*"),"?","~?"))&gt;1,"!AMBIG",IFERROR(INDEX('Calculations'!$HF$13:$HF$512,MATCH('Calculations'!HX134,'Calculations'!$HE$13:$HE$512,0)),""))))</x:f>
      </x:c>
      <x:c r="HZ134" t="str">
        <x:f>IF('Calculations'!HY134="","",IF('Calculations'!HY134="!AMBIG","!AMBIG",IF(COUNTIF('Calculations'!$HE$13:$HE$512,"="&amp;SUBSTITUTE(SUBSTITUTE(SUBSTITUTE('Calculations'!HY134,"~","~~"),"*","~*"),"?","~?"))&gt;1,"!AMBIG",IFERROR(INDEX('Calculations'!$HF$13:$HF$512,MATCH('Calculations'!HY134,'Calculations'!$HE$13:$HE$512,0)),""))))</x:f>
      </x:c>
      <x:c r="IA134" t="str">
        <x:f>IF('Calculations'!HZ134="","",IF('Calculations'!HZ134="!AMBIG","!AMBIG",IF(COUNTIF('Calculations'!$HE$13:$HE$512,"="&amp;SUBSTITUTE(SUBSTITUTE(SUBSTITUTE('Calculations'!HZ134,"~","~~"),"*","~*"),"?","~?"))&gt;1,"!AMBIG",IFERROR(INDEX('Calculations'!$HF$13:$HF$512,MATCH('Calculations'!HZ134,'Calculations'!$HE$13:$HE$512,0)),""))))</x:f>
      </x:c>
      <x:c r="IB134" t="str">
        <x:f>IF('Calculations'!IA134="","",IF('Calculations'!IA134="!AMBIG","!AMBIG",IF(COUNTIF('Calculations'!$HE$13:$HE$512,"="&amp;SUBSTITUTE(SUBSTITUTE(SUBSTITUTE('Calculations'!IA134,"~","~~"),"*","~*"),"?","~?"))&gt;1,"!AMBIG",IFERROR(INDEX('Calculations'!$HF$13:$HF$512,MATCH('Calculations'!IA134,'Calculations'!$HE$13:$HE$512,0)),""))))</x:f>
      </x:c>
      <x:c r="IC134" t="str">
        <x:f>IF('Calculations'!IB134="","",IF('Calculations'!IB134="!AMBIG","!AMBIG",IF(COUNTIF('Calculations'!$HE$13:$HE$512,"="&amp;SUBSTITUTE(SUBSTITUTE(SUBSTITUTE('Calculations'!IB134,"~","~~"),"*","~*"),"?","~?"))&gt;1,"!AMBIG",IFERROR(INDEX('Calculations'!$HF$13:$HF$512,MATCH('Calculations'!IB134,'Calculations'!$HE$13:$HE$512,0)),""))))</x:f>
      </x:c>
      <x:c r="ID134" t="str">
        <x:f>IF('Calculations'!IC134="","",IF('Calculations'!IC134="!AMBIG","!AMBIG",IF(COUNTIF('Calculations'!$HE$13:$HE$512,"="&amp;SUBSTITUTE(SUBSTITUTE(SUBSTITUTE('Calculations'!IC134,"~","~~"),"*","~*"),"?","~?"))&gt;1,"!AMBIG",IFERROR(INDEX('Calculations'!$HF$13:$HF$512,MATCH('Calculations'!IC134,'Calculations'!$HE$13:$HE$512,0)),""))))</x:f>
      </x:c>
      <x:c r="IE134" t="str">
        <x:f>IF('Calculations'!ID134="","",IF('Calculations'!ID134="!AMBIG","!AMBIG",IF(COUNTIF('Calculations'!$HE$13:$HE$512,"="&amp;SUBSTITUTE(SUBSTITUTE(SUBSTITUTE('Calculations'!ID134,"~","~~"),"*","~*"),"?","~?"))&gt;1,"!AMBIG",IFERROR(INDEX('Calculations'!$HF$13:$HF$512,MATCH('Calculations'!ID134,'Calculations'!$HE$13:$HE$512,0)),""))))</x:f>
      </x:c>
      <x:c r="IF134" t="str">
        <x:f>IF('Calculations'!IE134="","",IF('Calculations'!IE134="!AMBIG","!AMBIG",IF(COUNTIF('Calculations'!$HE$13:$HE$512,"="&amp;SUBSTITUTE(SUBSTITUTE(SUBSTITUTE('Calculations'!IE134,"~","~~"),"*","~*"),"?","~?"))&gt;1,"!AMBIG",IFERROR(INDEX('Calculations'!$HF$13:$HF$512,MATCH('Calculations'!IE134,'Calculations'!$HE$13:$HE$512,0)),""))))</x:f>
      </x:c>
      <x:c r="IG134" t="str">
        <x:f>IF('Calculations'!IF134="","",IF('Calculations'!IF134="!AMBIG","!AMBIG",IF(COUNTIF('Calculations'!$HE$13:$HE$512,"="&amp;SUBSTITUTE(SUBSTITUTE(SUBSTITUTE('Calculations'!IF134,"~","~~"),"*","~*"),"?","~?"))&gt;1,"!AMBIG",IFERROR(INDEX('Calculations'!$HF$13:$HF$512,MATCH('Calculations'!IF134,'Calculations'!$HE$13:$HE$512,0)),""))))</x:f>
      </x:c>
      <x:c r="IH134" t="str">
        <x:f>IF('Calculations'!IG134="","",IF('Calculations'!IG134="!AMBIG","!AMBIG",IF(COUNTIF('Calculations'!$HE$13:$HE$512,"="&amp;SUBSTITUTE(SUBSTITUTE(SUBSTITUTE('Calculations'!IG134,"~","~~"),"*","~*"),"?","~?"))&gt;1,"!AMBIG",IFERROR(INDEX('Calculations'!$HF$13:$HF$512,MATCH('Calculations'!IG134,'Calculations'!$HE$13:$HE$512,0)),""))))</x:f>
      </x:c>
      <x:c r="II134" t="str">
        <x:f>IF('Calculations'!IH134="","",IF('Calculations'!IH134="!AMBIG","!AMBIG",IF(COUNTIF('Calculations'!$HE$13:$HE$512,"="&amp;SUBSTITUTE(SUBSTITUTE(SUBSTITUTE('Calculations'!IH134,"~","~~"),"*","~*"),"?","~?"))&gt;1,"!AMBIG",IFERROR(INDEX('Calculations'!$HF$13:$HF$512,MATCH('Calculations'!IH134,'Calculations'!$HE$13:$HE$512,0)),""))))</x:f>
      </x:c>
      <x:c r="IJ134" t="str">
        <x:f>IF('Calculations'!EM134="","",IF('Calculations'!$EF$2="All",'Calculations'!HM134,IF('Calculations'!HL134=1,"",IFERROR(IF(MATCH('Calculations'!$EF$2,'Calculations'!HO134:II134,0)=1,'Calculations'!HE134,INDEX('Calculations'!HO134:II134,1,MATCH('Calculations'!$EF$2,'Calculations'!HO134:II134,0)-1)),""))))</x:f>
      </x:c>
      <x:c r="IK134" t="n">
        <x:f>IF(AND('Calculations'!EM134&lt;&gt;"",'Calculations'!$EF$2&lt;&gt;"All",'Calculations'!HF134='Calculations'!$EF$2,'Calculations'!HL134=0,'Calculations'!JD134&gt;0),MAX('Calculations'!$IK$12:IK133)+1,0)</x:f>
        <x:v>0</x:v>
      </x:c>
      <x:c r="JA134" t="n">
        <x:f>IF(OR(IFERROR(INDIRECT("'WCM Calibration Final'!$A$134")&lt;&gt;"",FALSE),IFERROR(INDIRECT("'WCM Calibration Final'!$B$134")&lt;&gt;"",FALSE),IFERROR(INDIRECT("'WCM Calibration Final'!$C$134")&lt;&gt;"",FALSE)),134,0)</x:f>
        <x:v>0</x:v>
      </x:c>
      <x:c r="JB134" t="n">
        <x:f>'Calculations'!JB133+IF('Calculations'!JA134&gt;0,1,0)</x:f>
        <x:v>0</x:v>
      </x:c>
      <x:c r="JC134" t="n">
        <x:f>IF(OR('Calculations'!HF134="",'Calculations'!HF134="!AMBIG"),0,IF('Dashboard'!$B$7="All",1,COUNTIFS('Calculations'!$HO$13:$HO$512,"="&amp;SUBSTITUTE(SUBSTITUTE(SUBSTITUTE('Calculations'!HF134,"~","~~"),"*","~*"),"?","~?"),'Calculations'!$HN$13:$HN$512,"="&amp;SUBSTITUTE(SUBSTITUTE(SUBSTITUTE('Dashboard'!$B$7,"~","~~"),"*","~*"),"?","~?"))+COUNTIFS('Calculations'!$HP$13:$HP$512,"="&amp;SUBSTITUTE(SUBSTITUTE(SUBSTITUTE('Calculations'!HF134,"~","~~"),"*","~*"),"?","~?"),'Calculations'!$HN$13:$HN$512,"="&amp;SUBSTITUTE(SUBSTITUTE(SUBSTITUTE('Dashboard'!$B$7,"~","~~"),"*","~*"),"?","~?"))+COUNTIFS('Calculations'!$HQ$13:$HQ$512,"="&amp;SUBSTITUTE(SUBSTITUTE(SUBSTITUTE('Calculations'!HF134,"~","~~"),"*","~*"),"?","~?"),'Calculations'!$HN$13:$HN$512,"="&amp;SUBSTITUTE(SUBSTITUTE(SUBSTITUTE('Dashboard'!$B$7,"~","~~"),"*","~*"),"?","~?"))+COUNTIFS('Calculations'!$HR$13:$HR$512,"="&amp;SUBSTITUTE(SUBSTITUTE(SUBSTITUTE('Calculations'!HF134,"~","~~"),"*","~*"),"?","~?"),'Calculations'!$HN$13:$HN$512,"="&amp;SUBSTITUTE(SUBSTITUTE(SUBSTITUTE('Dashboard'!$B$7,"~","~~"),"*","~*"),"?","~?"))+COUNTIFS('Calculations'!$HS$13:$HS$512,"="&amp;SUBSTITUTE(SUBSTITUTE(SUBSTITUTE('Calculations'!HF134,"~","~~"),"*","~*"),"?","~?"),'Calculations'!$HN$13:$HN$512,"="&amp;SUBSTITUTE(SUBSTITUTE(SUBSTITUTE('Dashboard'!$B$7,"~","~~"),"*","~*"),"?","~?"))+COUNTIFS('Calculations'!$HT$13:$HT$512,"="&amp;SUBSTITUTE(SUBSTITUTE(SUBSTITUTE('Calculations'!HF134,"~","~~"),"*","~*"),"?","~?"),'Calculations'!$HN$13:$HN$512,"="&amp;SUBSTITUTE(SUBSTITUTE(SUBSTITUTE('Dashboard'!$B$7,"~","~~"),"*","~*"),"?","~?"))+COUNTIFS('Calculations'!$HU$13:$HU$512,"="&amp;SUBSTITUTE(SUBSTITUTE(SUBSTITUTE('Calculations'!HF134,"~","~~"),"*","~*"),"?","~?"),'Calculations'!$HN$13:$HN$512,"="&amp;SUBSTITUTE(SUBSTITUTE(SUBSTITUTE('Dashboard'!$B$7,"~","~~"),"*","~*"),"?","~?"))+COUNTIFS('Calculations'!$HV$13:$HV$512,"="&amp;SUBSTITUTE(SUBSTITUTE(SUBSTITUTE('Calculations'!HF134,"~","~~"),"*","~*"),"?","~?"),'Calculations'!$HN$13:$HN$512,"="&amp;SUBSTITUTE(SUBSTITUTE(SUBSTITUTE('Dashboard'!$B$7,"~","~~"),"*","~*"),"?","~?"))+COUNTIFS('Calculations'!$HW$13:$HW$512,"="&amp;SUBSTITUTE(SUBSTITUTE(SUBSTITUTE('Calculations'!HF134,"~","~~"),"*","~*"),"?","~?"),'Calculations'!$HN$13:$HN$512,"="&amp;SUBSTITUTE(SUBSTITUTE(SUBSTITUTE('Dashboard'!$B$7,"~","~~"),"*","~*"),"?","~?"))+COUNTIFS('Calculations'!$HX$13:$HX$512,"="&amp;SUBSTITUTE(SUBSTITUTE(SUBSTITUTE('Calculations'!HF134,"~","~~"),"*","~*"),"?","~?"),'Calculations'!$HN$13:$HN$512,"="&amp;SUBSTITUTE(SUBSTITUTE(SUBSTITUTE('Dashboard'!$B$7,"~","~~"),"*","~*"),"?","~?"))+COUNTIFS('Calculations'!$HY$13:$HY$512,"="&amp;SUBSTITUTE(SUBSTITUTE(SUBSTITUTE('Calculations'!HF134,"~","~~"),"*","~*"),"?","~?"),'Calculations'!$HN$13:$HN$512,"="&amp;SUBSTITUTE(SUBSTITUTE(SUBSTITUTE('Dashboard'!$B$7,"~","~~"),"*","~*"),"?","~?"))+COUNTIFS('Calculations'!$HZ$13:$HZ$512,"="&amp;SUBSTITUTE(SUBSTITUTE(SUBSTITUTE('Calculations'!HF134,"~","~~"),"*","~*"),"?","~?"),'Calculations'!$HN$13:$HN$512,"="&amp;SUBSTITUTE(SUBSTITUTE(SUBSTITUTE('Dashboard'!$B$7,"~","~~"),"*","~*"),"?","~?"))+COUNTIFS('Calculations'!$IA$13:$IA$512,"="&amp;SUBSTITUTE(SUBSTITUTE(SUBSTITUTE('Calculations'!HF134,"~","~~"),"*","~*"),"?","~?"),'Calculations'!$HN$13:$HN$512,"="&amp;SUBSTITUTE(SUBSTITUTE(SUBSTITUTE('Dashboard'!$B$7,"~","~~"),"*","~*"),"?","~?"))+COUNTIFS('Calculations'!$IB$13:$IB$512,"="&amp;SUBSTITUTE(SUBSTITUTE(SUBSTITUTE('Calculations'!HF134,"~","~~"),"*","~*"),"?","~?"),'Calculations'!$HN$13:$HN$512,"="&amp;SUBSTITUTE(SUBSTITUTE(SUBSTITUTE('Dashboard'!$B$7,"~","~~"),"*","~*"),"?","~?"))+COUNTIFS('Calculations'!$IC$13:$IC$512,"="&amp;SUBSTITUTE(SUBSTITUTE(SUBSTITUTE('Calculations'!HF134,"~","~~"),"*","~*"),"?","~?"),'Calculations'!$HN$13:$HN$512,"="&amp;SUBSTITUTE(SUBSTITUTE(SUBSTITUTE('Dashboard'!$B$7,"~","~~"),"*","~*"),"?","~?"))+COUNTIFS('Calculations'!$ID$13:$ID$512,"="&amp;SUBSTITUTE(SUBSTITUTE(SUBSTITUTE('Calculations'!HF134,"~","~~"),"*","~*"),"?","~?"),'Calculations'!$HN$13:$HN$512,"="&amp;SUBSTITUTE(SUBSTITUTE(SUBSTITUTE('Dashboard'!$B$7,"~","~~"),"*","~*"),"?","~?"))+COUNTIFS('Calculations'!$IE$13:$IE$512,"="&amp;SUBSTITUTE(SUBSTITUTE(SUBSTITUTE('Calculations'!HF134,"~","~~"),"*","~*"),"?","~?"),'Calculations'!$HN$13:$HN$512,"="&amp;SUBSTITUTE(SUBSTITUTE(SUBSTITUTE('Dashboard'!$B$7,"~","~~"),"*","~*"),"?","~?"))+COUNTIFS('Calculations'!$IF$13:$IF$512,"="&amp;SUBSTITUTE(SUBSTITUTE(SUBSTITUTE('Calculations'!HF134,"~","~~"),"*","~*"),"?","~?"),'Calculations'!$HN$13:$HN$512,"="&amp;SUBSTITUTE(SUBSTITUTE(SUBSTITUTE('Dashboard'!$B$7,"~","~~"),"*","~*"),"?","~?"))+COUNTIFS('Calculations'!$IG$13:$IG$512,"="&amp;SUBSTITUTE(SUBSTITUTE(SUBSTITUTE('Calculations'!HF134,"~","~~"),"*","~*"),"?","~?"),'Calculations'!$HN$13:$HN$512,"="&amp;SUBSTITUTE(SUBSTITUTE(SUBSTITUTE('Dashboard'!$B$7,"~","~~"),"*","~*"),"?","~?"))+COUNTIFS('Calculations'!$IH$13:$IH$512,"="&amp;SUBSTITUTE(SUBSTITUTE(SUBSTITUTE('Calculations'!HF134,"~","~~"),"*","~*"),"?","~?"),'Calculations'!$HN$13:$HN$512,"="&amp;SUBSTITUTE(SUBSTITUTE(SUBSTITUTE('Dashboard'!$B$7,"~","~~"),"*","~*"),"?","~?"))))</x:f>
        <x:v>0</x:v>
      </x:c>
      <x:c r="JD134" t="n">
        <x:f>IF('Calculations'!EM134="",0,IF('Dashboard'!$B$7="All",1,IF('Calculations'!HN134='Dashboard'!$B$7,1,0)+IFERROR(INDEX('Calculations'!$JC$13:$JC$512,MATCH('Calculations'!HE134,'Calculations'!$HF$13:$HF$512,0)),0)))</x:f>
        <x:v>0</x:v>
      </x:c>
      <x:c r="JE134" t="n">
        <x:f>IF(AND('Calculations'!EM134&lt;&gt;"",'Calculations'!$JJ$2&lt;&gt;"All",'Calculations'!$JJ$2&lt;&gt;"",'Calculations'!HF134='Calculations'!$JJ$2,'Calculations'!HL134=0,'Calculations'!JD134&gt;0),MAX('Calculations'!$JE$12:JE133)+1,0)</x:f>
        <x:v>0</x:v>
      </x:c>
      <x:c r="JF134" t="str">
        <x:f>IF('Calculations'!EM134="","",IFERROR(IF(INDEX(INDIRECT("'WCM Calibration Final'!$G$1:$G$2000"),'Calculations'!$EM134)="","",TRIM(INDEX(INDIRECT("'WCM Calibration Final'!$G$1:$G$2000"),'Calculations'!$EM134)&amp;"")),""))</x:f>
      </x:c>
      <x:c r="JQ134" t="n">
        <x:f>IF(OR('Calculations'!BM134=0,NOT('Calculations'!$AG$2),'Calculations'!$AG$8&gt;0),0,IF(OR('Dashboard'!$B$7="All",'Calculations'!HN134='Dashboard'!$B$7),IF('Calculations'!$JJ$2="All",1,IF(AND('Calculations'!HF134='Calculations'!$JJ$2,'Calculations'!HL134=0),1,0)),0))</x:f>
        <x:v>0</x:v>
      </x:c>
    </x:row>
    <x:row r="135">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t="n">
        <x:f>IF('Calculations'!$EM135="",0,IF(OR(IFERROR(INDEX(INDIRECT("'WCM Calibration Final'!$A$1:$A$2000"),'Calculations'!$EM135)&lt;&gt;"",FALSE),IFERROR(INDEX(INDIRECT("'WCM Calibration Final'!$B$1:$B$2000"),'Calculations'!$EM135)&lt;&gt;"",FALSE),IFERROR(INDEX(INDIRECT("'WCM Calibration Final'!$C$1:$C$2000"),'Calculations'!$EM135)&lt;&gt;"",FALSE)),1,0))</x:f>
        <x:v>0</x:v>
      </x:c>
      <x:c r="BN135" s="4" t="n">
        <x:f>IF(AND('Calculations'!BM135=1,'Calculations'!$AG$2,'Calculations'!$EN135=1),1,0)</x:f>
        <x:v>0</x:v>
      </x:c>
      <x:c r="BO135" s="4" t="str">
        <x:f>IF('Calculations'!BM135=0,"",IFERROR(IF(AND(VALUE(INDEX(INDIRECT("'WCM Calibration Final'!$K$1:$K$2000"),'Calculations'!$EM135))&gt;=1,VALUE(INDEX(INDIRECT("'WCM Calibration Final'!$K$1:$K$2000"),'Calculations'!$EM135))&lt;=4,MOD(VALUE(INDEX(INDIRECT("'WCM Calibration Final'!$K$1:$K$2000"),'Calculations'!$EM135)),1)=0),VALUE(INDEX(INDIRECT("'WCM Calibration Final'!$K$1:$K$2000"),'Calculations'!$EM135)),""),""))</x:f>
      </x:c>
      <x:c r="BP135" s="4" t="str">
        <x:f>IF('Calculations'!BM135=0,"",IFERROR(IF(AND(VALUE(INDEX(INDIRECT("'WCM Calibration Final'!$L$1:$L$2000"),'Calculations'!$EM135))&gt;=1,VALUE(INDEX(INDIRECT("'WCM Calibration Final'!$L$1:$L$2000"),'Calculations'!$EM135))&lt;=4,MOD(VALUE(INDEX(INDIRECT("'WCM Calibration Final'!$L$1:$L$2000"),'Calculations'!$EM135)),1)=0),VALUE(INDEX(INDIRECT("'WCM Calibration Final'!$L$1:$L$2000"),'Calculations'!$EM135)),""),""))</x:f>
      </x:c>
      <x:c r="BQ135" s="4"/>
      <x:c r="BR135" s="4"/>
      <x:c r="BS135" s="4"/>
      <x:c r="BT135" s="4" t="n">
        <x:f>IF(AND('Calculations'!BM135=1,ISNUMBER('Calculations'!BO135),ISNUMBER('Calculations'!BP135)),1,0)</x:f>
        <x:v>0</x:v>
      </x:c>
      <x:c r="BU135" s="4" t="str">
        <x:f>IF('Calculations'!BM135=0,"",'Calculations'!$EO135)</x:f>
      </x:c>
      <x:c r="BV135" s="4" t="str">
        <x:f>IF('Calculations'!BM135=0,"",IFERROR(IF(OR(INDEX(INDIRECT("'WCM Calibration Final'!$H$1:$H$2000"),'Calculations'!$EM135)="MANAGING DIRECTOR",INDEX(INDIRECT("'WCM Calibration Final'!$H$1:$H$2000"),'Calculations'!$EM135)="DIRECTOR",INDEX(INDIRECT("'WCM Calibration Final'!$H$1:$H$2000"),'Calculations'!$EM135)="SENIOR VICE PRESIDENT",INDEX(INDIRECT("'WCM Calibration Final'!$H$1:$H$2000"),'Calculations'!$EM135)="VICE PRESIDENT",INDEX(INDIRECT("'WCM Calibration Final'!$H$1:$H$2000"),'Calculations'!$EM135)="ASSISTANT VICE PRESIDENT",INDEX(INDIRECT("'WCM Calibration Final'!$H$1:$H$2000"),'Calculations'!$EM135)="OFFICER"),UPPER(INDEX(INDIRECT("'WCM Calibration Final'!$H$1:$H$2000"),'Calculations'!$EM135)),"Other"),"Other"))</x:f>
      </x:c>
      <x:c r="BW135" s="4"/>
      <x:c r="BX135" s="4"/>
      <x:c r="BY135" s="4" t="n">
        <x:f>IF(AND('Calculations'!BM135=1,'Calculations'!BU135&lt;&gt;"",COUNTIF('Calculations'!$BU$12:BU135,'Calculations'!BU135)=1),MAX('Calculations'!$BY$11:BY134)+1,0)</x:f>
        <x:v>0</x:v>
      </x:c>
      <x:c r="BZ135" s="4" t="str">
        <x:f>IF('Dashboard'!$E$67="What",'Calculations'!BO135,'Calculations'!BP135)</x:f>
      </x:c>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t="str">
        <x:f>IF(124&gt;MAX('Calculations'!$HI$13:$HI$512),"",INDEX('Calculations'!$HN$13:$HN$512,MATCH(124,'Calculations'!$HI$13:$HI$512,0)))</x:f>
      </x:c>
      <x:c r="DB135" s="4" t="str">
        <x:f>IF(124&gt;MAX('Calculations'!$HH$13:$HH$512),"",INDEX('Calculations'!$HJ$13:$HJ$512,MATCH(124,'Calculations'!$HH$13:$HH$512,0)))</x:f>
      </x:c>
      <x:c r="DC135" s="4" t="str">
        <x:f>IF(ROW()-11&gt;MAX('Calculations'!$BY$13:$BY$512),"",INDEX('Calculations'!$BU$13:$BU$512,MATCH(ROW()-11,'Calculations'!$BY$13:$BY$512,0)))</x:f>
      </x:c>
      <x:c r="DD135" s="4" t="str">
        <x:f>IF(124&gt;MAX('Calculations'!$IK$13:$IK$512),"",INDEX('Calculations'!$HK$13:$HK$512,MATCH(124,'Calculations'!$IK$13:$IK$512,0)))</x:f>
      </x:c>
      <x:c r="DE135" s="4" t="str">
        <x:f>'Calculations'!DC135</x:f>
      </x:c>
      <x:c r="DF135" s="4" t="str">
        <x:f>IF('Calculations'!DE135="","",COUNTIFS('Calculations'!$BN$13:$BN$512,1,'Calculations'!$BU$13:$BU$512,'Calculations'!DE135))</x:f>
      </x:c>
      <x:c r="DG135" s="4" t="str">
        <x:f>IF('Calculations'!DE135="","",COUNTIFS('Calculations'!$BN$13:$BN$512,1,'Calculations'!$BU$13:$BU$512,'Calculations'!DE135,'Calculations'!$BT$13:$BT$512,1))</x:f>
      </x:c>
      <x:c r="DH135" s="4" t="str">
        <x:f>IF('Calculations'!DE135="","",'Calculations'!DF135-'Calculations'!DG135)</x:f>
      </x:c>
      <x:c r="DI135" s="4" t="str">
        <x:f>IF(OR('Calculations'!DE135="",'Calculations'!DF135=0),"",'Calculations'!DG135/'Calculations'!DF135)</x:f>
      </x:c>
      <x:c r="DJ135" s="4" t="str">
        <x:f>IF('Calculations'!DE135="","",COUNTIFS('Calculations'!$BN$13:$BN$512,1,'Calculations'!$BU$13:$BU$512,'Calculations'!DE135,'Calculations'!$BT$13:$BT$512,1,'Calculations'!$EE$13:$EE$512,"High"))</x:f>
      </x:c>
      <x:c r="DK135" s="4" t="str">
        <x:f>IF('Calculations'!DE135="","",COUNTIFS('Calculations'!$BN$13:$BN$512,1,'Calculations'!$BU$13:$BU$512,'Calculations'!DE135,'Calculations'!$BT$13:$BT$512,1,'Calculations'!$EE$13:$EE$512,"Strong"))</x:f>
      </x:c>
      <x:c r="DL135" s="4" t="str">
        <x:f>IF('Calculations'!DE135="","",COUNTIFS('Calculations'!$BN$13:$BN$512,1,'Calculations'!$BU$13:$BU$512,'Calculations'!DE135,'Calculations'!$BT$13:$BT$512,1,'Calculations'!$EE$13:$EE$512,"Solid"))</x:f>
      </x:c>
      <x:c r="DM135" s="4" t="str">
        <x:f>IF('Calculations'!DE135="","",COUNTIFS('Calculations'!$BN$13:$BN$512,1,'Calculations'!$BU$13:$BU$512,'Calculations'!DE135,'Calculations'!$BT$13:$BT$512,1,'Calculations'!$EE$13:$EE$512,"Low"))</x:f>
      </x:c>
      <x:c r="DN135" s="4" t="str">
        <x:f>IF('Calculations'!DE135="","",COUNTIFS('Calculations'!$BN$13:$BN$512,1,'Calculations'!$BU$13:$BU$512,'Calculations'!DE135,'Calculations'!$EP$13:$EP$512,1))</x:f>
      </x:c>
      <x:c r="DO135" s="4" t="str">
        <x:f>IF(OR('Calculations'!DE135="",'Calculations'!DG135=0),"",('Calculations'!DJ135+'Calculations'!DK135)/'Calculations'!DG135)</x:f>
      </x:c>
      <x:c r="DP135" s="4" t="n">
        <x:f>IF(AND('Calculations'!DE135&lt;&gt;"",'Calculations'!DF135&gt;0),COUNTIF('Calculations'!$DF$12:DF135,"&gt;0"),0)</x:f>
        <x:v>0</x:v>
      </x:c>
      <x:c r="DQ135" s="4" t="str">
        <x:f>IF(124&gt;MAX('Calculations'!$HH$13:$HH$512),"",INDEX('Calculations'!$HF$13:$HF$512,MATCH(124,'Calculations'!$HH$13:$HH$512,0)))</x:f>
      </x:c>
      <x:c r="DR135" s="4" t="str">
        <x:f>IF(124&gt;MAX('Calculations'!$IK$13:$IK$512),"",INDEX('Calculations'!$HE$13:$HE$512,MATCH(124,'Calculations'!$IK$13:$IK$512,0)))</x:f>
      </x:c>
      <x:c r="DS135" s="4"/>
      <x:c r="DT135" s="4"/>
      <x:c r="DU135" s="4"/>
      <x:c r="DV135" s="4"/>
      <x:c r="DW135" s="4"/>
      <x:c r="DX135" s="4"/>
      <x:c r="DY135" s="4"/>
      <x:c r="DZ135" s="4"/>
      <x:c r="EA135" s="4"/>
      <x:c r="EB135" s="4"/>
      <x:c r="EC135" s="4"/>
      <x:c r="ED135" s="4"/>
      <x:c r="EE135" s="4" t="str">
        <x:f>IF('Calculations'!BT135=0,"Not Rated",IF(OR('Calculations'!BO135&gt;=4,'Calculations'!BP135&gt;=4),"Low",IF('Calculations'!BO135+'Calculations'!BP135&lt;=3,"High",IF('Calculations'!BO135+'Calculations'!BP135&lt;=4,"Strong","Solid"))))</x:f>
        <x:v>Not Rated</x:v>
      </x:c>
      <x:c r="EF135" s="4"/>
      <x:c r="EG135" s="4"/>
      <x:c r="EH135" s="4"/>
      <x:c r="EI135" s="4"/>
      <x:c r="EJ135" s="4"/>
      <x:c r="EK135" s="4"/>
      <x:c r="EL135" s="4"/>
      <x:c r="EM135" s="4" t="str">
        <x:f>IF(123&gt;'Calculations'!$JB$2000,"",INDEX('Calculations'!$JA$12:$JA$2000,MATCH(123,'Calculations'!$JB$12:$JB$2000,0)))</x:f>
      </x:c>
      <x:c r="EN135" s="4" t="n">
        <x:f>IF(OR('Calculations'!EM135="",'Calculations'!$AG$8&gt;0,AND('Calculations'!$EF$2&lt;&gt;"All",'Calculations'!HE135='Calculations'!$EF$2),AND('Calculations'!$EF$3&lt;&gt;"All",'Calculations'!HE135='Calculations'!$EF$3)),0,IF(OR('Dashboard'!$B$7="All",'Calculations'!HN135='Dashboard'!$B$7),IF('Calculations'!$EF$2="All",1,IF('Calculations'!HL135&gt;0,0,IF(COUNTIF('Calculations'!HO135:II135,"="&amp;SUBSTITUTE(SUBSTITUTE(SUBSTITUTE('Calculations'!$EF$2,"~","~~"),"*","~*"),"?","~?"))=0,0,IF('Calculations'!$EF$3="All",1,IF(COUNTIF('Calculations'!HO135:II135,"="&amp;SUBSTITUTE(SUBSTITUTE(SUBSTITUTE('Calculations'!$EF$3,"~","~~"),"*","~*"),"?","~?"))&gt;0,1,0))))),0))</x:f>
        <x:v>0</x:v>
      </x:c>
      <x:c r="EO135" s="4" t="str">
        <x:f>IF('Calculations'!IJ135="","",IF('Calculations'!IJ135="!UNRESOLVED","Unresolved hierarchy",IFERROR(INDEX('Calculations'!$HK$13:$HK$512,MATCH('Calculations'!IJ135,'Calculations'!$HE$13:$HE$512,0)),IFERROR(INDEX('Calculations'!$HJ$13:$HJ$512,MATCH('Calculations'!IJ135,'Calculations'!$HF$13:$HF$512,0)),'Calculations'!IJ135))))</x:f>
      </x:c>
      <x:c r="EP135" s="4" t="n">
        <x:f>IF(AND('Calculations'!EM135&lt;&gt;"",'Calculations'!HF135='Calculations'!IJ135),1,0)</x:f>
        <x:v>0</x:v>
      </x:c>
      <x:c r="EQ135" s="4"/>
      <x:c r="ER135" s="4"/>
      <x:c r="ES135" s="4"/>
      <x:c r="ET135" s="4"/>
      <x:c r="EU135" s="4"/>
      <x:c r="EV135" s="4"/>
      <x:c r="EW135" s="4"/>
      <x:c r="EX135" s="4"/>
      <x:c r="EY135" s="4"/>
      <x:c r="EZ135" s="4"/>
      <x:c r="FA135" s="4"/>
      <x:c r="FB135" s="4"/>
      <x:c r="FC135" s="4"/>
      <x:c r="FD135" s="4"/>
      <x:c r="FE135" s="4"/>
      <x:c r="FF135" s="4"/>
      <x:c r="FG135" s="4"/>
      <x:c r="FH135" s="4"/>
      <x:c r="FI135" s="4"/>
      <x:c r="FJ135" s="4"/>
      <x:c r="FK135" s="4"/>
      <x:c r="FL135" s="4"/>
      <x:c r="FM135" s="4"/>
      <x:c r="FN135" s="4"/>
      <x:c r="FO135" s="4"/>
      <x:c r="GA135" s="71"/>
      <x:c r="GB135" s="71"/>
      <x:c r="GC135" s="71"/>
      <x:c r="GD135" s="71"/>
      <x:c r="GE135" s="71"/>
      <x:c r="GF135" s="71"/>
      <x:c r="GG135" s="71"/>
      <x:c r="GH135" s="71"/>
      <x:c r="GI135" s="71"/>
      <x:c r="GJ135" s="71"/>
      <x:c r="GK135" s="71"/>
      <x:c r="GL135" s="71"/>
      <x:c r="GM135" s="71"/>
      <x:c r="GN135" s="71"/>
      <x:c r="GO135" s="71"/>
      <x:c r="GP135" s="71"/>
      <x:c r="GQ135" s="71"/>
      <x:c r="GR135" s="71"/>
      <x:c r="GS135" s="71"/>
      <x:c r="GT135" s="71"/>
      <x:c r="GU135" s="71"/>
      <x:c r="GV135" s="71"/>
      <x:c r="GW135" s="71"/>
      <x:c r="GX135" s="71" t="str">
        <x:f>IF(COUNTA('Dashboard'!N135,'Dashboard'!P135,'Dashboard'!R135,'Dashboard'!T135)=0,"No thresholds",IF(OR(COUNT('Dashboard'!N135,'Dashboard'!P135,'Dashboard'!R135,'Dashboard'!T135)&lt;&gt;COUNTA('Dashboard'!N135,'Dashboard'!P135,'Dashboard'!R135,'Dashboard'!T135),MIN('Dashboard'!N135,'Dashboard'!P135,'Dashboard'!R135,'Dashboard'!T135)&lt;0,MAX('Dashboard'!N135,'Dashboard'!P135,'Dashboard'!R135,'Dashboard'!T135)&gt;1),"Check thresholds",TEXT(SUM('Dashboard'!N135,'Dashboard'!P135,'Dashboard'!R135,'Dashboard'!T135),"0%")&amp;" - separate caps"))</x:f>
        <x:v>112% - separate caps</x:v>
      </x:c>
      <x:c r="GY135" s="71"/>
      <x:c r="GZ135" s="71"/>
      <x:c r="HA135" s="71"/>
      <x:c r="HB135" s="71"/>
      <x:c r="HC135" s="71"/>
      <x:c r="HD135" s="71"/>
      <x:c r="HE135" t="str">
        <x:f>IF('Calculations'!EM135="","",IF(IFERROR(IF(INDEX(INDIRECT("'WCM Calibration Final'!$A$1:$A$2000"),'Calculations'!$EM135)="","",TRIM(INDEX(INDIRECT("'WCM Calibration Final'!$A$1:$A$2000"),'Calculations'!$EM135)&amp;"")),"")&lt;&gt;"","G:"&amp;IFERROR(TEXT(1*INDEX(INDIRECT("'WCM Calibration Final'!$A$1:$A$2000"),'Calculations'!$EM135),"0"),UPPER(IFERROR(IF(INDEX(INDIRECT("'WCM Calibration Final'!$A$1:$A$2000"),'Calculations'!$EM135)="","",TRIM(INDEX(INDIRECT("'WCM Calibration Final'!$A$1:$A$2000"),'Calculations'!$EM135)&amp;"")),""))),IF(IFERROR(IF(INDEX(INDIRECT("'WCM Calibration Final'!$C$1:$C$2000"),'Calculations'!$EM135)="","",TRIM(INDEX(INDIRECT("'WCM Calibration Final'!$C$1:$C$2000"),'Calculations'!$EM135)&amp;"")),"")&lt;&gt;"","S:"&amp;UPPER(IFERROR(IF(INDEX(INDIRECT("'WCM Calibration Final'!$C$1:$C$2000"),'Calculations'!$EM135)="","",TRIM(INDEX(INDIRECT("'WCM Calibration Final'!$C$1:$C$2000"),'Calculations'!$EM135)&amp;"")),"")),"R:"&amp;'Calculations'!EM135)))</x:f>
      </x:c>
      <x:c r="HF135" t="str">
        <x:f>IF('Calculations'!EM135="","",IF(IFERROR(IF(INDEX(INDIRECT("'WCM Calibration Final'!$D$1:$D$2000"),'Calculations'!$EM135)="","",TRIM(INDEX(INDIRECT("'WCM Calibration Final'!$D$1:$D$2000"),'Calculations'!$EM135)&amp;"")),"")&lt;&gt;"","G:"&amp;IFERROR(TEXT(1*INDEX(INDIRECT("'WCM Calibration Final'!$D$1:$D$2000"),'Calculations'!$EM135),"0"),UPPER(IFERROR(IF(INDEX(INDIRECT("'WCM Calibration Final'!$D$1:$D$2000"),'Calculations'!$EM135)="","",TRIM(INDEX(INDIRECT("'WCM Calibration Final'!$D$1:$D$2000"),'Calculations'!$EM135)&amp;"")),""))),IF(IFERROR(IF(INDEX(INDIRECT("'WCM Calibration Final'!$E$1:$E$2000"),'Calculations'!$EM135)="","",TRIM(INDEX(INDIRECT("'WCM Calibration Final'!$E$1:$E$2000"),'Calculations'!$EM135)&amp;"")),"")="","",IF(COUNTIF('Calculations'!$HG$13:$HG$512,"="&amp;SUBSTITUTE(SUBSTITUTE(SUBSTITUTE(IFERROR(IF(INDEX(INDIRECT("'WCM Calibration Final'!$E$1:$E$2000"),'Calculations'!$EM135)="","",TRIM(INDEX(INDIRECT("'WCM Calibration Final'!$E$1:$E$2000"),'Calculations'!$EM135)&amp;"")),""),"~","~~"),"*","~*"),"?","~?"))=1,INDEX('Calculations'!$HE$13:$HE$512,MATCH(IFERROR(IF(INDEX(INDIRECT("'WCM Calibration Final'!$E$1:$E$2000"),'Calculations'!$EM135)="","",TRIM(INDEX(INDIRECT("'WCM Calibration Final'!$E$1:$E$2000"),'Calculations'!$EM135)&amp;"")),""),'Calculations'!$HG$13:$HG$512,0)),IF(COUNTIF('Calculations'!$HG$13:$HG$512,"="&amp;SUBSTITUTE(SUBSTITUTE(SUBSTITUTE(IFERROR(IF(INDEX(INDIRECT("'WCM Calibration Final'!$E$1:$E$2000"),'Calculations'!$EM135)="","",TRIM(INDEX(INDIRECT("'WCM Calibration Final'!$E$1:$E$2000"),'Calculations'!$EM135)&amp;"")),""),"~","~~"),"*","~*"),"?","~?"))&gt;1,"!AMBIG","X:"&amp;IFERROR(IF(INDEX(INDIRECT("'WCM Calibration Final'!$E$1:$E$2000"),'Calculations'!$EM135)="","",TRIM(INDEX(INDIRECT("'WCM Calibration Final'!$E$1:$E$2000"),'Calculations'!$EM135)&amp;"")),""))))))</x:f>
      </x:c>
      <x:c r="HG135" t="str">
        <x:f>IF('Calculations'!EM135="","",IFERROR(IF(INDEX(INDIRECT("'WCM Calibration Final'!$B$1:$B$2000"),'Calculations'!$EM135)="","",TRIM(INDEX(INDIRECT("'WCM Calibration Final'!$B$1:$B$2000"),'Calculations'!$EM135)&amp;"")),""))</x:f>
      </x:c>
      <x:c r="HH135" t="n">
        <x:f>IF(AND('Calculations'!JC135&gt;0,COUNTIF('Calculations'!$HF$12:HF135,"="&amp;SUBSTITUTE(SUBSTITUTE(SUBSTITUTE('Calculations'!HF135,"~","~~"),"*","~*"),"?","~?"))=1),MAX('Calculations'!$HH$12:HH134)+1,0)</x:f>
        <x:v>0</x:v>
      </x:c>
      <x:c r="HI135" t="n">
        <x:f>IF(AND('Calculations'!HN135&lt;&gt;"",COUNTIF('Calculations'!$HN$12:HN135,"="&amp;SUBSTITUTE(SUBSTITUTE(SUBSTITUTE('Calculations'!HN135,"~","~~"),"*","~*"),"?","~?"))=1),MAX('Calculations'!$HI$12:HI134)+1,0)</x:f>
        <x:v>0</x:v>
      </x:c>
      <x:c r="HJ135" t="str">
        <x:f>IF('Calculations'!HF135="","",IF(COUNTIF('Calculations'!$HE$13:$HE$512,"="&amp;SUBSTITUTE(SUBSTITUTE(SUBSTITUTE('Calculations'!HF135,"~","~~"),"*","~*"),"?","~?"))=1,INDEX('Calculations'!$HK$13:$HK$512,MATCH('Calculations'!HF135,'Calculations'!$HE$13:$HE$512,0)),IFERROR(IF(INDEX(INDIRECT("'WCM Calibration Final'!$E$1:$E$2000"),'Calculations'!$EM135)="","",TRIM(INDEX(INDIRECT("'WCM Calibration Final'!$E$1:$E$2000"),'Calculations'!$EM135)&amp;"")),"")&amp;" ["&amp;'Calculations'!HF135&amp;"]"))</x:f>
      </x:c>
      <x:c r="HK135" t="str">
        <x:f>IF('Calculations'!EM135="","",'Calculations'!HG135&amp;" ["&amp;'Calculations'!HE135&amp;"]")</x:f>
      </x:c>
      <x:c r="HL135" t="n">
        <x:f>IF('Calculations'!EM135="",0,IF(OR('Calculations'!II135&lt;&gt;"",COUNTIF('Calculations'!$HE$13:$HE$512,"="&amp;SUBSTITUTE(SUBSTITUTE(SUBSTITUTE('Calculations'!HE135,"~","~~"),"*","~*"),"?","~?"))&gt;1),1,0))</x:f>
        <x:v>0</x:v>
      </x:c>
      <x:c r="HM135" t="str">
        <x:f>IF('Calculations'!EM135="","",IF('Calculations'!HL135=1,"!UNRESOLVED",IF('Calculations'!IH135&lt;&gt;"",'Calculations'!IH135,IF('Calculations'!IG135&lt;&gt;"",'Calculations'!IG135,IF('Calculations'!IF135&lt;&gt;"",'Calculations'!IF135,IF('Calculations'!IE135&lt;&gt;"",'Calculations'!IE135,IF('Calculations'!ID135&lt;&gt;"",'Calculations'!ID135,IF('Calculations'!IC135&lt;&gt;"",'Calculations'!IC135,IF('Calculations'!IB135&lt;&gt;"",'Calculations'!IB135,IF('Calculations'!IA135&lt;&gt;"",'Calculations'!IA135,IF('Calculations'!HZ135&lt;&gt;"",'Calculations'!HZ135,IF('Calculations'!HY135&lt;&gt;"",'Calculations'!HY135,IF('Calculations'!HX135&lt;&gt;"",'Calculations'!HX135,IF('Calculations'!HW135&lt;&gt;"",'Calculations'!HW135,IF('Calculations'!HV135&lt;&gt;"",'Calculations'!HV135,IF('Calculations'!HU135&lt;&gt;"",'Calculations'!HU135,IF('Calculations'!HT135&lt;&gt;"",'Calculations'!HT135,IF('Calculations'!HS135&lt;&gt;"",'Calculations'!HS135,IF('Calculations'!HR135&lt;&gt;"",'Calculations'!HR135,IF('Calculations'!HQ135&lt;&gt;"",'Calculations'!HQ135,IF('Calculations'!HP135&lt;&gt;"",'Calculations'!HP135,IF('Calculations'!HO135&lt;&gt;"",'Calculations'!HO135,'Calculations'!HE135))))))))))))))))))))))</x:f>
      </x:c>
      <x:c r="HN135" t="str">
        <x:f>IF('Calculations'!EM135="","",IF(IFERROR(IF(INDEX(INDIRECT("'WCM Calibration Final'!$F$1:$F$2000"),'Calculations'!$EM135)="","",TRIM(INDEX(INDIRECT("'WCM Calibration Final'!$F$1:$F$2000"),'Calculations'!$EM135)&amp;"")),"")="","(Blank)",IFERROR(IF(INDEX(INDIRECT("'WCM Calibration Final'!$F$1:$F$2000"),'Calculations'!$EM135)="","",TRIM(INDEX(INDIRECT("'WCM Calibration Final'!$F$1:$F$2000"),'Calculations'!$EM135)&amp;"")),"")))</x:f>
      </x:c>
      <x:c r="HO135" t="str">
        <x:f>'Calculations'!HF135</x:f>
      </x:c>
      <x:c r="HP135" t="str">
        <x:f>IF('Calculations'!HO135="","",IF('Calculations'!HO135="!AMBIG","!AMBIG",IF(COUNTIF('Calculations'!$HE$13:$HE$512,"="&amp;SUBSTITUTE(SUBSTITUTE(SUBSTITUTE('Calculations'!HO135,"~","~~"),"*","~*"),"?","~?"))&gt;1,"!AMBIG",IFERROR(INDEX('Calculations'!$HF$13:$HF$512,MATCH('Calculations'!HO135,'Calculations'!$HE$13:$HE$512,0)),""))))</x:f>
      </x:c>
      <x:c r="HQ135" t="str">
        <x:f>IF('Calculations'!HP135="","",IF('Calculations'!HP135="!AMBIG","!AMBIG",IF(COUNTIF('Calculations'!$HE$13:$HE$512,"="&amp;SUBSTITUTE(SUBSTITUTE(SUBSTITUTE('Calculations'!HP135,"~","~~"),"*","~*"),"?","~?"))&gt;1,"!AMBIG",IFERROR(INDEX('Calculations'!$HF$13:$HF$512,MATCH('Calculations'!HP135,'Calculations'!$HE$13:$HE$512,0)),""))))</x:f>
      </x:c>
      <x:c r="HR135" t="str">
        <x:f>IF('Calculations'!HQ135="","",IF('Calculations'!HQ135="!AMBIG","!AMBIG",IF(COUNTIF('Calculations'!$HE$13:$HE$512,"="&amp;SUBSTITUTE(SUBSTITUTE(SUBSTITUTE('Calculations'!HQ135,"~","~~"),"*","~*"),"?","~?"))&gt;1,"!AMBIG",IFERROR(INDEX('Calculations'!$HF$13:$HF$512,MATCH('Calculations'!HQ135,'Calculations'!$HE$13:$HE$512,0)),""))))</x:f>
      </x:c>
      <x:c r="HS135" t="str">
        <x:f>IF('Calculations'!HR135="","",IF('Calculations'!HR135="!AMBIG","!AMBIG",IF(COUNTIF('Calculations'!$HE$13:$HE$512,"="&amp;SUBSTITUTE(SUBSTITUTE(SUBSTITUTE('Calculations'!HR135,"~","~~"),"*","~*"),"?","~?"))&gt;1,"!AMBIG",IFERROR(INDEX('Calculations'!$HF$13:$HF$512,MATCH('Calculations'!HR135,'Calculations'!$HE$13:$HE$512,0)),""))))</x:f>
      </x:c>
      <x:c r="HT135" t="str">
        <x:f>IF('Calculations'!HS135="","",IF('Calculations'!HS135="!AMBIG","!AMBIG",IF(COUNTIF('Calculations'!$HE$13:$HE$512,"="&amp;SUBSTITUTE(SUBSTITUTE(SUBSTITUTE('Calculations'!HS135,"~","~~"),"*","~*"),"?","~?"))&gt;1,"!AMBIG",IFERROR(INDEX('Calculations'!$HF$13:$HF$512,MATCH('Calculations'!HS135,'Calculations'!$HE$13:$HE$512,0)),""))))</x:f>
      </x:c>
      <x:c r="HU135" t="str">
        <x:f>IF('Calculations'!HT135="","",IF('Calculations'!HT135="!AMBIG","!AMBIG",IF(COUNTIF('Calculations'!$HE$13:$HE$512,"="&amp;SUBSTITUTE(SUBSTITUTE(SUBSTITUTE('Calculations'!HT135,"~","~~"),"*","~*"),"?","~?"))&gt;1,"!AMBIG",IFERROR(INDEX('Calculations'!$HF$13:$HF$512,MATCH('Calculations'!HT135,'Calculations'!$HE$13:$HE$512,0)),""))))</x:f>
      </x:c>
      <x:c r="HV135" t="str">
        <x:f>IF('Calculations'!HU135="","",IF('Calculations'!HU135="!AMBIG","!AMBIG",IF(COUNTIF('Calculations'!$HE$13:$HE$512,"="&amp;SUBSTITUTE(SUBSTITUTE(SUBSTITUTE('Calculations'!HU135,"~","~~"),"*","~*"),"?","~?"))&gt;1,"!AMBIG",IFERROR(INDEX('Calculations'!$HF$13:$HF$512,MATCH('Calculations'!HU135,'Calculations'!$HE$13:$HE$512,0)),""))))</x:f>
      </x:c>
      <x:c r="HW135" t="str">
        <x:f>IF('Calculations'!HV135="","",IF('Calculations'!HV135="!AMBIG","!AMBIG",IF(COUNTIF('Calculations'!$HE$13:$HE$512,"="&amp;SUBSTITUTE(SUBSTITUTE(SUBSTITUTE('Calculations'!HV135,"~","~~"),"*","~*"),"?","~?"))&gt;1,"!AMBIG",IFERROR(INDEX('Calculations'!$HF$13:$HF$512,MATCH('Calculations'!HV135,'Calculations'!$HE$13:$HE$512,0)),""))))</x:f>
      </x:c>
      <x:c r="HX135" t="str">
        <x:f>IF('Calculations'!HW135="","",IF('Calculations'!HW135="!AMBIG","!AMBIG",IF(COUNTIF('Calculations'!$HE$13:$HE$512,"="&amp;SUBSTITUTE(SUBSTITUTE(SUBSTITUTE('Calculations'!HW135,"~","~~"),"*","~*"),"?","~?"))&gt;1,"!AMBIG",IFERROR(INDEX('Calculations'!$HF$13:$HF$512,MATCH('Calculations'!HW135,'Calculations'!$HE$13:$HE$512,0)),""))))</x:f>
      </x:c>
      <x:c r="HY135" t="str">
        <x:f>IF('Calculations'!HX135="","",IF('Calculations'!HX135="!AMBIG","!AMBIG",IF(COUNTIF('Calculations'!$HE$13:$HE$512,"="&amp;SUBSTITUTE(SUBSTITUTE(SUBSTITUTE('Calculations'!HX135,"~","~~"),"*","~*"),"?","~?"))&gt;1,"!AMBIG",IFERROR(INDEX('Calculations'!$HF$13:$HF$512,MATCH('Calculations'!HX135,'Calculations'!$HE$13:$HE$512,0)),""))))</x:f>
      </x:c>
      <x:c r="HZ135" t="str">
        <x:f>IF('Calculations'!HY135="","",IF('Calculations'!HY135="!AMBIG","!AMBIG",IF(COUNTIF('Calculations'!$HE$13:$HE$512,"="&amp;SUBSTITUTE(SUBSTITUTE(SUBSTITUTE('Calculations'!HY135,"~","~~"),"*","~*"),"?","~?"))&gt;1,"!AMBIG",IFERROR(INDEX('Calculations'!$HF$13:$HF$512,MATCH('Calculations'!HY135,'Calculations'!$HE$13:$HE$512,0)),""))))</x:f>
      </x:c>
      <x:c r="IA135" t="str">
        <x:f>IF('Calculations'!HZ135="","",IF('Calculations'!HZ135="!AMBIG","!AMBIG",IF(COUNTIF('Calculations'!$HE$13:$HE$512,"="&amp;SUBSTITUTE(SUBSTITUTE(SUBSTITUTE('Calculations'!HZ135,"~","~~"),"*","~*"),"?","~?"))&gt;1,"!AMBIG",IFERROR(INDEX('Calculations'!$HF$13:$HF$512,MATCH('Calculations'!HZ135,'Calculations'!$HE$13:$HE$512,0)),""))))</x:f>
      </x:c>
      <x:c r="IB135" t="str">
        <x:f>IF('Calculations'!IA135="","",IF('Calculations'!IA135="!AMBIG","!AMBIG",IF(COUNTIF('Calculations'!$HE$13:$HE$512,"="&amp;SUBSTITUTE(SUBSTITUTE(SUBSTITUTE('Calculations'!IA135,"~","~~"),"*","~*"),"?","~?"))&gt;1,"!AMBIG",IFERROR(INDEX('Calculations'!$HF$13:$HF$512,MATCH('Calculations'!IA135,'Calculations'!$HE$13:$HE$512,0)),""))))</x:f>
      </x:c>
      <x:c r="IC135" t="str">
        <x:f>IF('Calculations'!IB135="","",IF('Calculations'!IB135="!AMBIG","!AMBIG",IF(COUNTIF('Calculations'!$HE$13:$HE$512,"="&amp;SUBSTITUTE(SUBSTITUTE(SUBSTITUTE('Calculations'!IB135,"~","~~"),"*","~*"),"?","~?"))&gt;1,"!AMBIG",IFERROR(INDEX('Calculations'!$HF$13:$HF$512,MATCH('Calculations'!IB135,'Calculations'!$HE$13:$HE$512,0)),""))))</x:f>
      </x:c>
      <x:c r="ID135" t="str">
        <x:f>IF('Calculations'!IC135="","",IF('Calculations'!IC135="!AMBIG","!AMBIG",IF(COUNTIF('Calculations'!$HE$13:$HE$512,"="&amp;SUBSTITUTE(SUBSTITUTE(SUBSTITUTE('Calculations'!IC135,"~","~~"),"*","~*"),"?","~?"))&gt;1,"!AMBIG",IFERROR(INDEX('Calculations'!$HF$13:$HF$512,MATCH('Calculations'!IC135,'Calculations'!$HE$13:$HE$512,0)),""))))</x:f>
      </x:c>
      <x:c r="IE135" t="str">
        <x:f>IF('Calculations'!ID135="","",IF('Calculations'!ID135="!AMBIG","!AMBIG",IF(COUNTIF('Calculations'!$HE$13:$HE$512,"="&amp;SUBSTITUTE(SUBSTITUTE(SUBSTITUTE('Calculations'!ID135,"~","~~"),"*","~*"),"?","~?"))&gt;1,"!AMBIG",IFERROR(INDEX('Calculations'!$HF$13:$HF$512,MATCH('Calculations'!ID135,'Calculations'!$HE$13:$HE$512,0)),""))))</x:f>
      </x:c>
      <x:c r="IF135" t="str">
        <x:f>IF('Calculations'!IE135="","",IF('Calculations'!IE135="!AMBIG","!AMBIG",IF(COUNTIF('Calculations'!$HE$13:$HE$512,"="&amp;SUBSTITUTE(SUBSTITUTE(SUBSTITUTE('Calculations'!IE135,"~","~~"),"*","~*"),"?","~?"))&gt;1,"!AMBIG",IFERROR(INDEX('Calculations'!$HF$13:$HF$512,MATCH('Calculations'!IE135,'Calculations'!$HE$13:$HE$512,0)),""))))</x:f>
      </x:c>
      <x:c r="IG135" t="str">
        <x:f>IF('Calculations'!IF135="","",IF('Calculations'!IF135="!AMBIG","!AMBIG",IF(COUNTIF('Calculations'!$HE$13:$HE$512,"="&amp;SUBSTITUTE(SUBSTITUTE(SUBSTITUTE('Calculations'!IF135,"~","~~"),"*","~*"),"?","~?"))&gt;1,"!AMBIG",IFERROR(INDEX('Calculations'!$HF$13:$HF$512,MATCH('Calculations'!IF135,'Calculations'!$HE$13:$HE$512,0)),""))))</x:f>
      </x:c>
      <x:c r="IH135" t="str">
        <x:f>IF('Calculations'!IG135="","",IF('Calculations'!IG135="!AMBIG","!AMBIG",IF(COUNTIF('Calculations'!$HE$13:$HE$512,"="&amp;SUBSTITUTE(SUBSTITUTE(SUBSTITUTE('Calculations'!IG135,"~","~~"),"*","~*"),"?","~?"))&gt;1,"!AMBIG",IFERROR(INDEX('Calculations'!$HF$13:$HF$512,MATCH('Calculations'!IG135,'Calculations'!$HE$13:$HE$512,0)),""))))</x:f>
      </x:c>
      <x:c r="II135" t="str">
        <x:f>IF('Calculations'!IH135="","",IF('Calculations'!IH135="!AMBIG","!AMBIG",IF(COUNTIF('Calculations'!$HE$13:$HE$512,"="&amp;SUBSTITUTE(SUBSTITUTE(SUBSTITUTE('Calculations'!IH135,"~","~~"),"*","~*"),"?","~?"))&gt;1,"!AMBIG",IFERROR(INDEX('Calculations'!$HF$13:$HF$512,MATCH('Calculations'!IH135,'Calculations'!$HE$13:$HE$512,0)),""))))</x:f>
      </x:c>
      <x:c r="IJ135" t="str">
        <x:f>IF('Calculations'!EM135="","",IF('Calculations'!$EF$2="All",'Calculations'!HM135,IF('Calculations'!HL135=1,"",IFERROR(IF(MATCH('Calculations'!$EF$2,'Calculations'!HO135:II135,0)=1,'Calculations'!HE135,INDEX('Calculations'!HO135:II135,1,MATCH('Calculations'!$EF$2,'Calculations'!HO135:II135,0)-1)),""))))</x:f>
      </x:c>
      <x:c r="IK135" t="n">
        <x:f>IF(AND('Calculations'!EM135&lt;&gt;"",'Calculations'!$EF$2&lt;&gt;"All",'Calculations'!HF135='Calculations'!$EF$2,'Calculations'!HL135=0,'Calculations'!JD135&gt;0),MAX('Calculations'!$IK$12:IK134)+1,0)</x:f>
        <x:v>0</x:v>
      </x:c>
      <x:c r="JA135" t="n">
        <x:f>IF(OR(IFERROR(INDIRECT("'WCM Calibration Final'!$A$135")&lt;&gt;"",FALSE),IFERROR(INDIRECT("'WCM Calibration Final'!$B$135")&lt;&gt;"",FALSE),IFERROR(INDIRECT("'WCM Calibration Final'!$C$135")&lt;&gt;"",FALSE)),135,0)</x:f>
        <x:v>0</x:v>
      </x:c>
      <x:c r="JB135" t="n">
        <x:f>'Calculations'!JB134+IF('Calculations'!JA135&gt;0,1,0)</x:f>
        <x:v>0</x:v>
      </x:c>
      <x:c r="JC135" t="n">
        <x:f>IF(OR('Calculations'!HF135="",'Calculations'!HF135="!AMBIG"),0,IF('Dashboard'!$B$7="All",1,COUNTIFS('Calculations'!$HO$13:$HO$512,"="&amp;SUBSTITUTE(SUBSTITUTE(SUBSTITUTE('Calculations'!HF135,"~","~~"),"*","~*"),"?","~?"),'Calculations'!$HN$13:$HN$512,"="&amp;SUBSTITUTE(SUBSTITUTE(SUBSTITUTE('Dashboard'!$B$7,"~","~~"),"*","~*"),"?","~?"))+COUNTIFS('Calculations'!$HP$13:$HP$512,"="&amp;SUBSTITUTE(SUBSTITUTE(SUBSTITUTE('Calculations'!HF135,"~","~~"),"*","~*"),"?","~?"),'Calculations'!$HN$13:$HN$512,"="&amp;SUBSTITUTE(SUBSTITUTE(SUBSTITUTE('Dashboard'!$B$7,"~","~~"),"*","~*"),"?","~?"))+COUNTIFS('Calculations'!$HQ$13:$HQ$512,"="&amp;SUBSTITUTE(SUBSTITUTE(SUBSTITUTE('Calculations'!HF135,"~","~~"),"*","~*"),"?","~?"),'Calculations'!$HN$13:$HN$512,"="&amp;SUBSTITUTE(SUBSTITUTE(SUBSTITUTE('Dashboard'!$B$7,"~","~~"),"*","~*"),"?","~?"))+COUNTIFS('Calculations'!$HR$13:$HR$512,"="&amp;SUBSTITUTE(SUBSTITUTE(SUBSTITUTE('Calculations'!HF135,"~","~~"),"*","~*"),"?","~?"),'Calculations'!$HN$13:$HN$512,"="&amp;SUBSTITUTE(SUBSTITUTE(SUBSTITUTE('Dashboard'!$B$7,"~","~~"),"*","~*"),"?","~?"))+COUNTIFS('Calculations'!$HS$13:$HS$512,"="&amp;SUBSTITUTE(SUBSTITUTE(SUBSTITUTE('Calculations'!HF135,"~","~~"),"*","~*"),"?","~?"),'Calculations'!$HN$13:$HN$512,"="&amp;SUBSTITUTE(SUBSTITUTE(SUBSTITUTE('Dashboard'!$B$7,"~","~~"),"*","~*"),"?","~?"))+COUNTIFS('Calculations'!$HT$13:$HT$512,"="&amp;SUBSTITUTE(SUBSTITUTE(SUBSTITUTE('Calculations'!HF135,"~","~~"),"*","~*"),"?","~?"),'Calculations'!$HN$13:$HN$512,"="&amp;SUBSTITUTE(SUBSTITUTE(SUBSTITUTE('Dashboard'!$B$7,"~","~~"),"*","~*"),"?","~?"))+COUNTIFS('Calculations'!$HU$13:$HU$512,"="&amp;SUBSTITUTE(SUBSTITUTE(SUBSTITUTE('Calculations'!HF135,"~","~~"),"*","~*"),"?","~?"),'Calculations'!$HN$13:$HN$512,"="&amp;SUBSTITUTE(SUBSTITUTE(SUBSTITUTE('Dashboard'!$B$7,"~","~~"),"*","~*"),"?","~?"))+COUNTIFS('Calculations'!$HV$13:$HV$512,"="&amp;SUBSTITUTE(SUBSTITUTE(SUBSTITUTE('Calculations'!HF135,"~","~~"),"*","~*"),"?","~?"),'Calculations'!$HN$13:$HN$512,"="&amp;SUBSTITUTE(SUBSTITUTE(SUBSTITUTE('Dashboard'!$B$7,"~","~~"),"*","~*"),"?","~?"))+COUNTIFS('Calculations'!$HW$13:$HW$512,"="&amp;SUBSTITUTE(SUBSTITUTE(SUBSTITUTE('Calculations'!HF135,"~","~~"),"*","~*"),"?","~?"),'Calculations'!$HN$13:$HN$512,"="&amp;SUBSTITUTE(SUBSTITUTE(SUBSTITUTE('Dashboard'!$B$7,"~","~~"),"*","~*"),"?","~?"))+COUNTIFS('Calculations'!$HX$13:$HX$512,"="&amp;SUBSTITUTE(SUBSTITUTE(SUBSTITUTE('Calculations'!HF135,"~","~~"),"*","~*"),"?","~?"),'Calculations'!$HN$13:$HN$512,"="&amp;SUBSTITUTE(SUBSTITUTE(SUBSTITUTE('Dashboard'!$B$7,"~","~~"),"*","~*"),"?","~?"))+COUNTIFS('Calculations'!$HY$13:$HY$512,"="&amp;SUBSTITUTE(SUBSTITUTE(SUBSTITUTE('Calculations'!HF135,"~","~~"),"*","~*"),"?","~?"),'Calculations'!$HN$13:$HN$512,"="&amp;SUBSTITUTE(SUBSTITUTE(SUBSTITUTE('Dashboard'!$B$7,"~","~~"),"*","~*"),"?","~?"))+COUNTIFS('Calculations'!$HZ$13:$HZ$512,"="&amp;SUBSTITUTE(SUBSTITUTE(SUBSTITUTE('Calculations'!HF135,"~","~~"),"*","~*"),"?","~?"),'Calculations'!$HN$13:$HN$512,"="&amp;SUBSTITUTE(SUBSTITUTE(SUBSTITUTE('Dashboard'!$B$7,"~","~~"),"*","~*"),"?","~?"))+COUNTIFS('Calculations'!$IA$13:$IA$512,"="&amp;SUBSTITUTE(SUBSTITUTE(SUBSTITUTE('Calculations'!HF135,"~","~~"),"*","~*"),"?","~?"),'Calculations'!$HN$13:$HN$512,"="&amp;SUBSTITUTE(SUBSTITUTE(SUBSTITUTE('Dashboard'!$B$7,"~","~~"),"*","~*"),"?","~?"))+COUNTIFS('Calculations'!$IB$13:$IB$512,"="&amp;SUBSTITUTE(SUBSTITUTE(SUBSTITUTE('Calculations'!HF135,"~","~~"),"*","~*"),"?","~?"),'Calculations'!$HN$13:$HN$512,"="&amp;SUBSTITUTE(SUBSTITUTE(SUBSTITUTE('Dashboard'!$B$7,"~","~~"),"*","~*"),"?","~?"))+COUNTIFS('Calculations'!$IC$13:$IC$512,"="&amp;SUBSTITUTE(SUBSTITUTE(SUBSTITUTE('Calculations'!HF135,"~","~~"),"*","~*"),"?","~?"),'Calculations'!$HN$13:$HN$512,"="&amp;SUBSTITUTE(SUBSTITUTE(SUBSTITUTE('Dashboard'!$B$7,"~","~~"),"*","~*"),"?","~?"))+COUNTIFS('Calculations'!$ID$13:$ID$512,"="&amp;SUBSTITUTE(SUBSTITUTE(SUBSTITUTE('Calculations'!HF135,"~","~~"),"*","~*"),"?","~?"),'Calculations'!$HN$13:$HN$512,"="&amp;SUBSTITUTE(SUBSTITUTE(SUBSTITUTE('Dashboard'!$B$7,"~","~~"),"*","~*"),"?","~?"))+COUNTIFS('Calculations'!$IE$13:$IE$512,"="&amp;SUBSTITUTE(SUBSTITUTE(SUBSTITUTE('Calculations'!HF135,"~","~~"),"*","~*"),"?","~?"),'Calculations'!$HN$13:$HN$512,"="&amp;SUBSTITUTE(SUBSTITUTE(SUBSTITUTE('Dashboard'!$B$7,"~","~~"),"*","~*"),"?","~?"))+COUNTIFS('Calculations'!$IF$13:$IF$512,"="&amp;SUBSTITUTE(SUBSTITUTE(SUBSTITUTE('Calculations'!HF135,"~","~~"),"*","~*"),"?","~?"),'Calculations'!$HN$13:$HN$512,"="&amp;SUBSTITUTE(SUBSTITUTE(SUBSTITUTE('Dashboard'!$B$7,"~","~~"),"*","~*"),"?","~?"))+COUNTIFS('Calculations'!$IG$13:$IG$512,"="&amp;SUBSTITUTE(SUBSTITUTE(SUBSTITUTE('Calculations'!HF135,"~","~~"),"*","~*"),"?","~?"),'Calculations'!$HN$13:$HN$512,"="&amp;SUBSTITUTE(SUBSTITUTE(SUBSTITUTE('Dashboard'!$B$7,"~","~~"),"*","~*"),"?","~?"))+COUNTIFS('Calculations'!$IH$13:$IH$512,"="&amp;SUBSTITUTE(SUBSTITUTE(SUBSTITUTE('Calculations'!HF135,"~","~~"),"*","~*"),"?","~?"),'Calculations'!$HN$13:$HN$512,"="&amp;SUBSTITUTE(SUBSTITUTE(SUBSTITUTE('Dashboard'!$B$7,"~","~~"),"*","~*"),"?","~?"))))</x:f>
        <x:v>0</x:v>
      </x:c>
      <x:c r="JD135" t="n">
        <x:f>IF('Calculations'!EM135="",0,IF('Dashboard'!$B$7="All",1,IF('Calculations'!HN135='Dashboard'!$B$7,1,0)+IFERROR(INDEX('Calculations'!$JC$13:$JC$512,MATCH('Calculations'!HE135,'Calculations'!$HF$13:$HF$512,0)),0)))</x:f>
        <x:v>0</x:v>
      </x:c>
      <x:c r="JE135" t="n">
        <x:f>IF(AND('Calculations'!EM135&lt;&gt;"",'Calculations'!$JJ$2&lt;&gt;"All",'Calculations'!$JJ$2&lt;&gt;"",'Calculations'!HF135='Calculations'!$JJ$2,'Calculations'!HL135=0,'Calculations'!JD135&gt;0),MAX('Calculations'!$JE$12:JE134)+1,0)</x:f>
        <x:v>0</x:v>
      </x:c>
      <x:c r="JF135" t="str">
        <x:f>IF('Calculations'!EM135="","",IFERROR(IF(INDEX(INDIRECT("'WCM Calibration Final'!$G$1:$G$2000"),'Calculations'!$EM135)="","",TRIM(INDEX(INDIRECT("'WCM Calibration Final'!$G$1:$G$2000"),'Calculations'!$EM135)&amp;"")),""))</x:f>
      </x:c>
      <x:c r="JQ135" t="n">
        <x:f>IF(OR('Calculations'!BM135=0,NOT('Calculations'!$AG$2),'Calculations'!$AG$8&gt;0),0,IF(OR('Dashboard'!$B$7="All",'Calculations'!HN135='Dashboard'!$B$7),IF('Calculations'!$JJ$2="All",1,IF(AND('Calculations'!HF135='Calculations'!$JJ$2,'Calculations'!HL135=0),1,0)),0))</x:f>
        <x:v>0</x:v>
      </x:c>
    </x:row>
    <x:row r="136">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t="n">
        <x:f>IF('Calculations'!$EM136="",0,IF(OR(IFERROR(INDEX(INDIRECT("'WCM Calibration Final'!$A$1:$A$2000"),'Calculations'!$EM136)&lt;&gt;"",FALSE),IFERROR(INDEX(INDIRECT("'WCM Calibration Final'!$B$1:$B$2000"),'Calculations'!$EM136)&lt;&gt;"",FALSE),IFERROR(INDEX(INDIRECT("'WCM Calibration Final'!$C$1:$C$2000"),'Calculations'!$EM136)&lt;&gt;"",FALSE)),1,0))</x:f>
        <x:v>0</x:v>
      </x:c>
      <x:c r="BN136" s="4" t="n">
        <x:f>IF(AND('Calculations'!BM136=1,'Calculations'!$AG$2,'Calculations'!$EN136=1),1,0)</x:f>
        <x:v>0</x:v>
      </x:c>
      <x:c r="BO136" s="4" t="str">
        <x:f>IF('Calculations'!BM136=0,"",IFERROR(IF(AND(VALUE(INDEX(INDIRECT("'WCM Calibration Final'!$K$1:$K$2000"),'Calculations'!$EM136))&gt;=1,VALUE(INDEX(INDIRECT("'WCM Calibration Final'!$K$1:$K$2000"),'Calculations'!$EM136))&lt;=4,MOD(VALUE(INDEX(INDIRECT("'WCM Calibration Final'!$K$1:$K$2000"),'Calculations'!$EM136)),1)=0),VALUE(INDEX(INDIRECT("'WCM Calibration Final'!$K$1:$K$2000"),'Calculations'!$EM136)),""),""))</x:f>
      </x:c>
      <x:c r="BP136" s="4" t="str">
        <x:f>IF('Calculations'!BM136=0,"",IFERROR(IF(AND(VALUE(INDEX(INDIRECT("'WCM Calibration Final'!$L$1:$L$2000"),'Calculations'!$EM136))&gt;=1,VALUE(INDEX(INDIRECT("'WCM Calibration Final'!$L$1:$L$2000"),'Calculations'!$EM136))&lt;=4,MOD(VALUE(INDEX(INDIRECT("'WCM Calibration Final'!$L$1:$L$2000"),'Calculations'!$EM136)),1)=0),VALUE(INDEX(INDIRECT("'WCM Calibration Final'!$L$1:$L$2000"),'Calculations'!$EM136)),""),""))</x:f>
      </x:c>
      <x:c r="BQ136" s="4"/>
      <x:c r="BR136" s="4"/>
      <x:c r="BS136" s="4"/>
      <x:c r="BT136" s="4" t="n">
        <x:f>IF(AND('Calculations'!BM136=1,ISNUMBER('Calculations'!BO136),ISNUMBER('Calculations'!BP136)),1,0)</x:f>
        <x:v>0</x:v>
      </x:c>
      <x:c r="BU136" s="4" t="str">
        <x:f>IF('Calculations'!BM136=0,"",'Calculations'!$EO136)</x:f>
      </x:c>
      <x:c r="BV136" s="4" t="str">
        <x:f>IF('Calculations'!BM136=0,"",IFERROR(IF(OR(INDEX(INDIRECT("'WCM Calibration Final'!$H$1:$H$2000"),'Calculations'!$EM136)="MANAGING DIRECTOR",INDEX(INDIRECT("'WCM Calibration Final'!$H$1:$H$2000"),'Calculations'!$EM136)="DIRECTOR",INDEX(INDIRECT("'WCM Calibration Final'!$H$1:$H$2000"),'Calculations'!$EM136)="SENIOR VICE PRESIDENT",INDEX(INDIRECT("'WCM Calibration Final'!$H$1:$H$2000"),'Calculations'!$EM136)="VICE PRESIDENT",INDEX(INDIRECT("'WCM Calibration Final'!$H$1:$H$2000"),'Calculations'!$EM136)="ASSISTANT VICE PRESIDENT",INDEX(INDIRECT("'WCM Calibration Final'!$H$1:$H$2000"),'Calculations'!$EM136)="OFFICER"),UPPER(INDEX(INDIRECT("'WCM Calibration Final'!$H$1:$H$2000"),'Calculations'!$EM136)),"Other"),"Other"))</x:f>
      </x:c>
      <x:c r="BW136" s="4"/>
      <x:c r="BX136" s="4"/>
      <x:c r="BY136" s="4" t="n">
        <x:f>IF(AND('Calculations'!BM136=1,'Calculations'!BU136&lt;&gt;"",COUNTIF('Calculations'!$BU$12:BU136,'Calculations'!BU136)=1),MAX('Calculations'!$BY$11:BY135)+1,0)</x:f>
        <x:v>0</x:v>
      </x:c>
      <x:c r="BZ136" s="4" t="str">
        <x:f>IF('Dashboard'!$E$67="What",'Calculations'!BO136,'Calculations'!BP136)</x:f>
      </x:c>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t="str">
        <x:f>IF(125&gt;MAX('Calculations'!$HI$13:$HI$512),"",INDEX('Calculations'!$HN$13:$HN$512,MATCH(125,'Calculations'!$HI$13:$HI$512,0)))</x:f>
      </x:c>
      <x:c r="DB136" s="4" t="str">
        <x:f>IF(125&gt;MAX('Calculations'!$HH$13:$HH$512),"",INDEX('Calculations'!$HJ$13:$HJ$512,MATCH(125,'Calculations'!$HH$13:$HH$512,0)))</x:f>
      </x:c>
      <x:c r="DC136" s="4" t="str">
        <x:f>IF(ROW()-11&gt;MAX('Calculations'!$BY$13:$BY$512),"",INDEX('Calculations'!$BU$13:$BU$512,MATCH(ROW()-11,'Calculations'!$BY$13:$BY$512,0)))</x:f>
      </x:c>
      <x:c r="DD136" s="4" t="str">
        <x:f>IF(125&gt;MAX('Calculations'!$IK$13:$IK$512),"",INDEX('Calculations'!$HK$13:$HK$512,MATCH(125,'Calculations'!$IK$13:$IK$512,0)))</x:f>
      </x:c>
      <x:c r="DE136" s="4" t="str">
        <x:f>'Calculations'!DC136</x:f>
      </x:c>
      <x:c r="DF136" s="4" t="str">
        <x:f>IF('Calculations'!DE136="","",COUNTIFS('Calculations'!$BN$13:$BN$512,1,'Calculations'!$BU$13:$BU$512,'Calculations'!DE136))</x:f>
      </x:c>
      <x:c r="DG136" s="4" t="str">
        <x:f>IF('Calculations'!DE136="","",COUNTIFS('Calculations'!$BN$13:$BN$512,1,'Calculations'!$BU$13:$BU$512,'Calculations'!DE136,'Calculations'!$BT$13:$BT$512,1))</x:f>
      </x:c>
      <x:c r="DH136" s="4" t="str">
        <x:f>IF('Calculations'!DE136="","",'Calculations'!DF136-'Calculations'!DG136)</x:f>
      </x:c>
      <x:c r="DI136" s="4" t="str">
        <x:f>IF(OR('Calculations'!DE136="",'Calculations'!DF136=0),"",'Calculations'!DG136/'Calculations'!DF136)</x:f>
      </x:c>
      <x:c r="DJ136" s="4" t="str">
        <x:f>IF('Calculations'!DE136="","",COUNTIFS('Calculations'!$BN$13:$BN$512,1,'Calculations'!$BU$13:$BU$512,'Calculations'!DE136,'Calculations'!$BT$13:$BT$512,1,'Calculations'!$EE$13:$EE$512,"High"))</x:f>
      </x:c>
      <x:c r="DK136" s="4" t="str">
        <x:f>IF('Calculations'!DE136="","",COUNTIFS('Calculations'!$BN$13:$BN$512,1,'Calculations'!$BU$13:$BU$512,'Calculations'!DE136,'Calculations'!$BT$13:$BT$512,1,'Calculations'!$EE$13:$EE$512,"Strong"))</x:f>
      </x:c>
      <x:c r="DL136" s="4" t="str">
        <x:f>IF('Calculations'!DE136="","",COUNTIFS('Calculations'!$BN$13:$BN$512,1,'Calculations'!$BU$13:$BU$512,'Calculations'!DE136,'Calculations'!$BT$13:$BT$512,1,'Calculations'!$EE$13:$EE$512,"Solid"))</x:f>
      </x:c>
      <x:c r="DM136" s="4" t="str">
        <x:f>IF('Calculations'!DE136="","",COUNTIFS('Calculations'!$BN$13:$BN$512,1,'Calculations'!$BU$13:$BU$512,'Calculations'!DE136,'Calculations'!$BT$13:$BT$512,1,'Calculations'!$EE$13:$EE$512,"Low"))</x:f>
      </x:c>
      <x:c r="DN136" s="4" t="str">
        <x:f>IF('Calculations'!DE136="","",COUNTIFS('Calculations'!$BN$13:$BN$512,1,'Calculations'!$BU$13:$BU$512,'Calculations'!DE136,'Calculations'!$EP$13:$EP$512,1))</x:f>
      </x:c>
      <x:c r="DO136" s="4" t="str">
        <x:f>IF(OR('Calculations'!DE136="",'Calculations'!DG136=0),"",('Calculations'!DJ136+'Calculations'!DK136)/'Calculations'!DG136)</x:f>
      </x:c>
      <x:c r="DP136" s="4" t="n">
        <x:f>IF(AND('Calculations'!DE136&lt;&gt;"",'Calculations'!DF136&gt;0),COUNTIF('Calculations'!$DF$12:DF136,"&gt;0"),0)</x:f>
        <x:v>0</x:v>
      </x:c>
      <x:c r="DQ136" s="4" t="str">
        <x:f>IF(125&gt;MAX('Calculations'!$HH$13:$HH$512),"",INDEX('Calculations'!$HF$13:$HF$512,MATCH(125,'Calculations'!$HH$13:$HH$512,0)))</x:f>
      </x:c>
      <x:c r="DR136" s="4" t="str">
        <x:f>IF(125&gt;MAX('Calculations'!$IK$13:$IK$512),"",INDEX('Calculations'!$HE$13:$HE$512,MATCH(125,'Calculations'!$IK$13:$IK$512,0)))</x:f>
      </x:c>
      <x:c r="DS136" s="4"/>
      <x:c r="DT136" s="4"/>
      <x:c r="DU136" s="4"/>
      <x:c r="DV136" s="4"/>
      <x:c r="DW136" s="4"/>
      <x:c r="DX136" s="4"/>
      <x:c r="DY136" s="4"/>
      <x:c r="DZ136" s="4"/>
      <x:c r="EA136" s="4"/>
      <x:c r="EB136" s="4"/>
      <x:c r="EC136" s="4"/>
      <x:c r="ED136" s="4"/>
      <x:c r="EE136" s="4" t="str">
        <x:f>IF('Calculations'!BT136=0,"Not Rated",IF(OR('Calculations'!BO136&gt;=4,'Calculations'!BP136&gt;=4),"Low",IF('Calculations'!BO136+'Calculations'!BP136&lt;=3,"High",IF('Calculations'!BO136+'Calculations'!BP136&lt;=4,"Strong","Solid"))))</x:f>
        <x:v>Not Rated</x:v>
      </x:c>
      <x:c r="EF136" s="4"/>
      <x:c r="EG136" s="4"/>
      <x:c r="EH136" s="4"/>
      <x:c r="EI136" s="4"/>
      <x:c r="EJ136" s="4"/>
      <x:c r="EK136" s="4"/>
      <x:c r="EL136" s="4"/>
      <x:c r="EM136" s="4" t="str">
        <x:f>IF(124&gt;'Calculations'!$JB$2000,"",INDEX('Calculations'!$JA$12:$JA$2000,MATCH(124,'Calculations'!$JB$12:$JB$2000,0)))</x:f>
      </x:c>
      <x:c r="EN136" s="4" t="n">
        <x:f>IF(OR('Calculations'!EM136="",'Calculations'!$AG$8&gt;0,AND('Calculations'!$EF$2&lt;&gt;"All",'Calculations'!HE136='Calculations'!$EF$2),AND('Calculations'!$EF$3&lt;&gt;"All",'Calculations'!HE136='Calculations'!$EF$3)),0,IF(OR('Dashboard'!$B$7="All",'Calculations'!HN136='Dashboard'!$B$7),IF('Calculations'!$EF$2="All",1,IF('Calculations'!HL136&gt;0,0,IF(COUNTIF('Calculations'!HO136:II136,"="&amp;SUBSTITUTE(SUBSTITUTE(SUBSTITUTE('Calculations'!$EF$2,"~","~~"),"*","~*"),"?","~?"))=0,0,IF('Calculations'!$EF$3="All",1,IF(COUNTIF('Calculations'!HO136:II136,"="&amp;SUBSTITUTE(SUBSTITUTE(SUBSTITUTE('Calculations'!$EF$3,"~","~~"),"*","~*"),"?","~?"))&gt;0,1,0))))),0))</x:f>
        <x:v>0</x:v>
      </x:c>
      <x:c r="EO136" s="4" t="str">
        <x:f>IF('Calculations'!IJ136="","",IF('Calculations'!IJ136="!UNRESOLVED","Unresolved hierarchy",IFERROR(INDEX('Calculations'!$HK$13:$HK$512,MATCH('Calculations'!IJ136,'Calculations'!$HE$13:$HE$512,0)),IFERROR(INDEX('Calculations'!$HJ$13:$HJ$512,MATCH('Calculations'!IJ136,'Calculations'!$HF$13:$HF$512,0)),'Calculations'!IJ136))))</x:f>
      </x:c>
      <x:c r="EP136" s="4" t="n">
        <x:f>IF(AND('Calculations'!EM136&lt;&gt;"",'Calculations'!HF136='Calculations'!IJ136),1,0)</x:f>
        <x:v>0</x:v>
      </x:c>
      <x:c r="EQ136" s="4"/>
      <x:c r="ER136" s="4"/>
      <x:c r="ES136" s="4"/>
      <x:c r="ET136" s="4"/>
      <x:c r="EU136" s="4"/>
      <x:c r="EV136" s="4"/>
      <x:c r="EW136" s="4"/>
      <x:c r="EX136" s="4"/>
      <x:c r="EY136" s="4"/>
      <x:c r="EZ136" s="4"/>
      <x:c r="FA136" s="4"/>
      <x:c r="FB136" s="4"/>
      <x:c r="FC136" s="4"/>
      <x:c r="FD136" s="4"/>
      <x:c r="FE136" s="4"/>
      <x:c r="FF136" s="4"/>
      <x:c r="FG136" s="4"/>
      <x:c r="FH136" s="4"/>
      <x:c r="FI136" s="4"/>
      <x:c r="FJ136" s="4"/>
      <x:c r="FK136" s="4"/>
      <x:c r="FL136" s="4"/>
      <x:c r="FM136" s="4"/>
      <x:c r="FN136" s="4"/>
      <x:c r="FO136" s="4"/>
      <x:c r="GA136" s="71"/>
      <x:c r="GB136" s="71"/>
      <x:c r="GC136" s="71"/>
      <x:c r="GD136" s="71"/>
      <x:c r="GE136" s="71"/>
      <x:c r="GF136" s="71"/>
      <x:c r="GG136" s="71"/>
      <x:c r="GH136" s="71"/>
      <x:c r="GI136" s="71"/>
      <x:c r="GJ136" s="71"/>
      <x:c r="GK136" s="71"/>
      <x:c r="GL136" s="71"/>
      <x:c r="GM136" s="71"/>
      <x:c r="GN136" s="71"/>
      <x:c r="GO136" s="71"/>
      <x:c r="GP136" s="71"/>
      <x:c r="GQ136" s="71"/>
      <x:c r="GR136" s="71"/>
      <x:c r="GS136" s="71"/>
      <x:c r="GT136" s="71"/>
      <x:c r="GU136" s="71"/>
      <x:c r="GV136" s="71"/>
      <x:c r="GW136" s="71"/>
      <x:c r="GX136" s="71" t="str">
        <x:f>IF(COUNTA('Dashboard'!N136,'Dashboard'!P136,'Dashboard'!R136,'Dashboard'!T136)=0,"No thresholds",IF(OR(COUNT('Dashboard'!N136,'Dashboard'!P136,'Dashboard'!R136,'Dashboard'!T136)&lt;&gt;COUNTA('Dashboard'!N136,'Dashboard'!P136,'Dashboard'!R136,'Dashboard'!T136),MIN('Dashboard'!N136,'Dashboard'!P136,'Dashboard'!R136,'Dashboard'!T136)&lt;0,MAX('Dashboard'!N136,'Dashboard'!P136,'Dashboard'!R136,'Dashboard'!T136)&gt;1),"Check thresholds",TEXT(SUM('Dashboard'!N136,'Dashboard'!P136,'Dashboard'!R136,'Dashboard'!T136),"0%")&amp;" - separate caps"))</x:f>
        <x:v>112% - separate caps</x:v>
      </x:c>
      <x:c r="GY136" s="71"/>
      <x:c r="GZ136" s="71"/>
      <x:c r="HA136" s="71"/>
      <x:c r="HB136" s="71"/>
      <x:c r="HC136" s="71"/>
      <x:c r="HD136" s="71"/>
      <x:c r="HE136" t="str">
        <x:f>IF('Calculations'!EM136="","",IF(IFERROR(IF(INDEX(INDIRECT("'WCM Calibration Final'!$A$1:$A$2000"),'Calculations'!$EM136)="","",TRIM(INDEX(INDIRECT("'WCM Calibration Final'!$A$1:$A$2000"),'Calculations'!$EM136)&amp;"")),"")&lt;&gt;"","G:"&amp;IFERROR(TEXT(1*INDEX(INDIRECT("'WCM Calibration Final'!$A$1:$A$2000"),'Calculations'!$EM136),"0"),UPPER(IFERROR(IF(INDEX(INDIRECT("'WCM Calibration Final'!$A$1:$A$2000"),'Calculations'!$EM136)="","",TRIM(INDEX(INDIRECT("'WCM Calibration Final'!$A$1:$A$2000"),'Calculations'!$EM136)&amp;"")),""))),IF(IFERROR(IF(INDEX(INDIRECT("'WCM Calibration Final'!$C$1:$C$2000"),'Calculations'!$EM136)="","",TRIM(INDEX(INDIRECT("'WCM Calibration Final'!$C$1:$C$2000"),'Calculations'!$EM136)&amp;"")),"")&lt;&gt;"","S:"&amp;UPPER(IFERROR(IF(INDEX(INDIRECT("'WCM Calibration Final'!$C$1:$C$2000"),'Calculations'!$EM136)="","",TRIM(INDEX(INDIRECT("'WCM Calibration Final'!$C$1:$C$2000"),'Calculations'!$EM136)&amp;"")),"")),"R:"&amp;'Calculations'!EM136)))</x:f>
      </x:c>
      <x:c r="HF136" t="str">
        <x:f>IF('Calculations'!EM136="","",IF(IFERROR(IF(INDEX(INDIRECT("'WCM Calibration Final'!$D$1:$D$2000"),'Calculations'!$EM136)="","",TRIM(INDEX(INDIRECT("'WCM Calibration Final'!$D$1:$D$2000"),'Calculations'!$EM136)&amp;"")),"")&lt;&gt;"","G:"&amp;IFERROR(TEXT(1*INDEX(INDIRECT("'WCM Calibration Final'!$D$1:$D$2000"),'Calculations'!$EM136),"0"),UPPER(IFERROR(IF(INDEX(INDIRECT("'WCM Calibration Final'!$D$1:$D$2000"),'Calculations'!$EM136)="","",TRIM(INDEX(INDIRECT("'WCM Calibration Final'!$D$1:$D$2000"),'Calculations'!$EM136)&amp;"")),""))),IF(IFERROR(IF(INDEX(INDIRECT("'WCM Calibration Final'!$E$1:$E$2000"),'Calculations'!$EM136)="","",TRIM(INDEX(INDIRECT("'WCM Calibration Final'!$E$1:$E$2000"),'Calculations'!$EM136)&amp;"")),"")="","",IF(COUNTIF('Calculations'!$HG$13:$HG$512,"="&amp;SUBSTITUTE(SUBSTITUTE(SUBSTITUTE(IFERROR(IF(INDEX(INDIRECT("'WCM Calibration Final'!$E$1:$E$2000"),'Calculations'!$EM136)="","",TRIM(INDEX(INDIRECT("'WCM Calibration Final'!$E$1:$E$2000"),'Calculations'!$EM136)&amp;"")),""),"~","~~"),"*","~*"),"?","~?"))=1,INDEX('Calculations'!$HE$13:$HE$512,MATCH(IFERROR(IF(INDEX(INDIRECT("'WCM Calibration Final'!$E$1:$E$2000"),'Calculations'!$EM136)="","",TRIM(INDEX(INDIRECT("'WCM Calibration Final'!$E$1:$E$2000"),'Calculations'!$EM136)&amp;"")),""),'Calculations'!$HG$13:$HG$512,0)),IF(COUNTIF('Calculations'!$HG$13:$HG$512,"="&amp;SUBSTITUTE(SUBSTITUTE(SUBSTITUTE(IFERROR(IF(INDEX(INDIRECT("'WCM Calibration Final'!$E$1:$E$2000"),'Calculations'!$EM136)="","",TRIM(INDEX(INDIRECT("'WCM Calibration Final'!$E$1:$E$2000"),'Calculations'!$EM136)&amp;"")),""),"~","~~"),"*","~*"),"?","~?"))&gt;1,"!AMBIG","X:"&amp;IFERROR(IF(INDEX(INDIRECT("'WCM Calibration Final'!$E$1:$E$2000"),'Calculations'!$EM136)="","",TRIM(INDEX(INDIRECT("'WCM Calibration Final'!$E$1:$E$2000"),'Calculations'!$EM136)&amp;"")),""))))))</x:f>
      </x:c>
      <x:c r="HG136" t="str">
        <x:f>IF('Calculations'!EM136="","",IFERROR(IF(INDEX(INDIRECT("'WCM Calibration Final'!$B$1:$B$2000"),'Calculations'!$EM136)="","",TRIM(INDEX(INDIRECT("'WCM Calibration Final'!$B$1:$B$2000"),'Calculations'!$EM136)&amp;"")),""))</x:f>
      </x:c>
      <x:c r="HH136" t="n">
        <x:f>IF(AND('Calculations'!JC136&gt;0,COUNTIF('Calculations'!$HF$12:HF136,"="&amp;SUBSTITUTE(SUBSTITUTE(SUBSTITUTE('Calculations'!HF136,"~","~~"),"*","~*"),"?","~?"))=1),MAX('Calculations'!$HH$12:HH135)+1,0)</x:f>
        <x:v>0</x:v>
      </x:c>
      <x:c r="HI136" t="n">
        <x:f>IF(AND('Calculations'!HN136&lt;&gt;"",COUNTIF('Calculations'!$HN$12:HN136,"="&amp;SUBSTITUTE(SUBSTITUTE(SUBSTITUTE('Calculations'!HN136,"~","~~"),"*","~*"),"?","~?"))=1),MAX('Calculations'!$HI$12:HI135)+1,0)</x:f>
        <x:v>0</x:v>
      </x:c>
      <x:c r="HJ136" t="str">
        <x:f>IF('Calculations'!HF136="","",IF(COUNTIF('Calculations'!$HE$13:$HE$512,"="&amp;SUBSTITUTE(SUBSTITUTE(SUBSTITUTE('Calculations'!HF136,"~","~~"),"*","~*"),"?","~?"))=1,INDEX('Calculations'!$HK$13:$HK$512,MATCH('Calculations'!HF136,'Calculations'!$HE$13:$HE$512,0)),IFERROR(IF(INDEX(INDIRECT("'WCM Calibration Final'!$E$1:$E$2000"),'Calculations'!$EM136)="","",TRIM(INDEX(INDIRECT("'WCM Calibration Final'!$E$1:$E$2000"),'Calculations'!$EM136)&amp;"")),"")&amp;" ["&amp;'Calculations'!HF136&amp;"]"))</x:f>
      </x:c>
      <x:c r="HK136" t="str">
        <x:f>IF('Calculations'!EM136="","",'Calculations'!HG136&amp;" ["&amp;'Calculations'!HE136&amp;"]")</x:f>
      </x:c>
      <x:c r="HL136" t="n">
        <x:f>IF('Calculations'!EM136="",0,IF(OR('Calculations'!II136&lt;&gt;"",COUNTIF('Calculations'!$HE$13:$HE$512,"="&amp;SUBSTITUTE(SUBSTITUTE(SUBSTITUTE('Calculations'!HE136,"~","~~"),"*","~*"),"?","~?"))&gt;1),1,0))</x:f>
        <x:v>0</x:v>
      </x:c>
      <x:c r="HM136" t="str">
        <x:f>IF('Calculations'!EM136="","",IF('Calculations'!HL136=1,"!UNRESOLVED",IF('Calculations'!IH136&lt;&gt;"",'Calculations'!IH136,IF('Calculations'!IG136&lt;&gt;"",'Calculations'!IG136,IF('Calculations'!IF136&lt;&gt;"",'Calculations'!IF136,IF('Calculations'!IE136&lt;&gt;"",'Calculations'!IE136,IF('Calculations'!ID136&lt;&gt;"",'Calculations'!ID136,IF('Calculations'!IC136&lt;&gt;"",'Calculations'!IC136,IF('Calculations'!IB136&lt;&gt;"",'Calculations'!IB136,IF('Calculations'!IA136&lt;&gt;"",'Calculations'!IA136,IF('Calculations'!HZ136&lt;&gt;"",'Calculations'!HZ136,IF('Calculations'!HY136&lt;&gt;"",'Calculations'!HY136,IF('Calculations'!HX136&lt;&gt;"",'Calculations'!HX136,IF('Calculations'!HW136&lt;&gt;"",'Calculations'!HW136,IF('Calculations'!HV136&lt;&gt;"",'Calculations'!HV136,IF('Calculations'!HU136&lt;&gt;"",'Calculations'!HU136,IF('Calculations'!HT136&lt;&gt;"",'Calculations'!HT136,IF('Calculations'!HS136&lt;&gt;"",'Calculations'!HS136,IF('Calculations'!HR136&lt;&gt;"",'Calculations'!HR136,IF('Calculations'!HQ136&lt;&gt;"",'Calculations'!HQ136,IF('Calculations'!HP136&lt;&gt;"",'Calculations'!HP136,IF('Calculations'!HO136&lt;&gt;"",'Calculations'!HO136,'Calculations'!HE136))))))))))))))))))))))</x:f>
      </x:c>
      <x:c r="HN136" t="str">
        <x:f>IF('Calculations'!EM136="","",IF(IFERROR(IF(INDEX(INDIRECT("'WCM Calibration Final'!$F$1:$F$2000"),'Calculations'!$EM136)="","",TRIM(INDEX(INDIRECT("'WCM Calibration Final'!$F$1:$F$2000"),'Calculations'!$EM136)&amp;"")),"")="","(Blank)",IFERROR(IF(INDEX(INDIRECT("'WCM Calibration Final'!$F$1:$F$2000"),'Calculations'!$EM136)="","",TRIM(INDEX(INDIRECT("'WCM Calibration Final'!$F$1:$F$2000"),'Calculations'!$EM136)&amp;"")),"")))</x:f>
      </x:c>
      <x:c r="HO136" t="str">
        <x:f>'Calculations'!HF136</x:f>
      </x:c>
      <x:c r="HP136" t="str">
        <x:f>IF('Calculations'!HO136="","",IF('Calculations'!HO136="!AMBIG","!AMBIG",IF(COUNTIF('Calculations'!$HE$13:$HE$512,"="&amp;SUBSTITUTE(SUBSTITUTE(SUBSTITUTE('Calculations'!HO136,"~","~~"),"*","~*"),"?","~?"))&gt;1,"!AMBIG",IFERROR(INDEX('Calculations'!$HF$13:$HF$512,MATCH('Calculations'!HO136,'Calculations'!$HE$13:$HE$512,0)),""))))</x:f>
      </x:c>
      <x:c r="HQ136" t="str">
        <x:f>IF('Calculations'!HP136="","",IF('Calculations'!HP136="!AMBIG","!AMBIG",IF(COUNTIF('Calculations'!$HE$13:$HE$512,"="&amp;SUBSTITUTE(SUBSTITUTE(SUBSTITUTE('Calculations'!HP136,"~","~~"),"*","~*"),"?","~?"))&gt;1,"!AMBIG",IFERROR(INDEX('Calculations'!$HF$13:$HF$512,MATCH('Calculations'!HP136,'Calculations'!$HE$13:$HE$512,0)),""))))</x:f>
      </x:c>
      <x:c r="HR136" t="str">
        <x:f>IF('Calculations'!HQ136="","",IF('Calculations'!HQ136="!AMBIG","!AMBIG",IF(COUNTIF('Calculations'!$HE$13:$HE$512,"="&amp;SUBSTITUTE(SUBSTITUTE(SUBSTITUTE('Calculations'!HQ136,"~","~~"),"*","~*"),"?","~?"))&gt;1,"!AMBIG",IFERROR(INDEX('Calculations'!$HF$13:$HF$512,MATCH('Calculations'!HQ136,'Calculations'!$HE$13:$HE$512,0)),""))))</x:f>
      </x:c>
      <x:c r="HS136" t="str">
        <x:f>IF('Calculations'!HR136="","",IF('Calculations'!HR136="!AMBIG","!AMBIG",IF(COUNTIF('Calculations'!$HE$13:$HE$512,"="&amp;SUBSTITUTE(SUBSTITUTE(SUBSTITUTE('Calculations'!HR136,"~","~~"),"*","~*"),"?","~?"))&gt;1,"!AMBIG",IFERROR(INDEX('Calculations'!$HF$13:$HF$512,MATCH('Calculations'!HR136,'Calculations'!$HE$13:$HE$512,0)),""))))</x:f>
      </x:c>
      <x:c r="HT136" t="str">
        <x:f>IF('Calculations'!HS136="","",IF('Calculations'!HS136="!AMBIG","!AMBIG",IF(COUNTIF('Calculations'!$HE$13:$HE$512,"="&amp;SUBSTITUTE(SUBSTITUTE(SUBSTITUTE('Calculations'!HS136,"~","~~"),"*","~*"),"?","~?"))&gt;1,"!AMBIG",IFERROR(INDEX('Calculations'!$HF$13:$HF$512,MATCH('Calculations'!HS136,'Calculations'!$HE$13:$HE$512,0)),""))))</x:f>
      </x:c>
      <x:c r="HU136" t="str">
        <x:f>IF('Calculations'!HT136="","",IF('Calculations'!HT136="!AMBIG","!AMBIG",IF(COUNTIF('Calculations'!$HE$13:$HE$512,"="&amp;SUBSTITUTE(SUBSTITUTE(SUBSTITUTE('Calculations'!HT136,"~","~~"),"*","~*"),"?","~?"))&gt;1,"!AMBIG",IFERROR(INDEX('Calculations'!$HF$13:$HF$512,MATCH('Calculations'!HT136,'Calculations'!$HE$13:$HE$512,0)),""))))</x:f>
      </x:c>
      <x:c r="HV136" t="str">
        <x:f>IF('Calculations'!HU136="","",IF('Calculations'!HU136="!AMBIG","!AMBIG",IF(COUNTIF('Calculations'!$HE$13:$HE$512,"="&amp;SUBSTITUTE(SUBSTITUTE(SUBSTITUTE('Calculations'!HU136,"~","~~"),"*","~*"),"?","~?"))&gt;1,"!AMBIG",IFERROR(INDEX('Calculations'!$HF$13:$HF$512,MATCH('Calculations'!HU136,'Calculations'!$HE$13:$HE$512,0)),""))))</x:f>
      </x:c>
      <x:c r="HW136" t="str">
        <x:f>IF('Calculations'!HV136="","",IF('Calculations'!HV136="!AMBIG","!AMBIG",IF(COUNTIF('Calculations'!$HE$13:$HE$512,"="&amp;SUBSTITUTE(SUBSTITUTE(SUBSTITUTE('Calculations'!HV136,"~","~~"),"*","~*"),"?","~?"))&gt;1,"!AMBIG",IFERROR(INDEX('Calculations'!$HF$13:$HF$512,MATCH('Calculations'!HV136,'Calculations'!$HE$13:$HE$512,0)),""))))</x:f>
      </x:c>
      <x:c r="HX136" t="str">
        <x:f>IF('Calculations'!HW136="","",IF('Calculations'!HW136="!AMBIG","!AMBIG",IF(COUNTIF('Calculations'!$HE$13:$HE$512,"="&amp;SUBSTITUTE(SUBSTITUTE(SUBSTITUTE('Calculations'!HW136,"~","~~"),"*","~*"),"?","~?"))&gt;1,"!AMBIG",IFERROR(INDEX('Calculations'!$HF$13:$HF$512,MATCH('Calculations'!HW136,'Calculations'!$HE$13:$HE$512,0)),""))))</x:f>
      </x:c>
      <x:c r="HY136" t="str">
        <x:f>IF('Calculations'!HX136="","",IF('Calculations'!HX136="!AMBIG","!AMBIG",IF(COUNTIF('Calculations'!$HE$13:$HE$512,"="&amp;SUBSTITUTE(SUBSTITUTE(SUBSTITUTE('Calculations'!HX136,"~","~~"),"*","~*"),"?","~?"))&gt;1,"!AMBIG",IFERROR(INDEX('Calculations'!$HF$13:$HF$512,MATCH('Calculations'!HX136,'Calculations'!$HE$13:$HE$512,0)),""))))</x:f>
      </x:c>
      <x:c r="HZ136" t="str">
        <x:f>IF('Calculations'!HY136="","",IF('Calculations'!HY136="!AMBIG","!AMBIG",IF(COUNTIF('Calculations'!$HE$13:$HE$512,"="&amp;SUBSTITUTE(SUBSTITUTE(SUBSTITUTE('Calculations'!HY136,"~","~~"),"*","~*"),"?","~?"))&gt;1,"!AMBIG",IFERROR(INDEX('Calculations'!$HF$13:$HF$512,MATCH('Calculations'!HY136,'Calculations'!$HE$13:$HE$512,0)),""))))</x:f>
      </x:c>
      <x:c r="IA136" t="str">
        <x:f>IF('Calculations'!HZ136="","",IF('Calculations'!HZ136="!AMBIG","!AMBIG",IF(COUNTIF('Calculations'!$HE$13:$HE$512,"="&amp;SUBSTITUTE(SUBSTITUTE(SUBSTITUTE('Calculations'!HZ136,"~","~~"),"*","~*"),"?","~?"))&gt;1,"!AMBIG",IFERROR(INDEX('Calculations'!$HF$13:$HF$512,MATCH('Calculations'!HZ136,'Calculations'!$HE$13:$HE$512,0)),""))))</x:f>
      </x:c>
      <x:c r="IB136" t="str">
        <x:f>IF('Calculations'!IA136="","",IF('Calculations'!IA136="!AMBIG","!AMBIG",IF(COUNTIF('Calculations'!$HE$13:$HE$512,"="&amp;SUBSTITUTE(SUBSTITUTE(SUBSTITUTE('Calculations'!IA136,"~","~~"),"*","~*"),"?","~?"))&gt;1,"!AMBIG",IFERROR(INDEX('Calculations'!$HF$13:$HF$512,MATCH('Calculations'!IA136,'Calculations'!$HE$13:$HE$512,0)),""))))</x:f>
      </x:c>
      <x:c r="IC136" t="str">
        <x:f>IF('Calculations'!IB136="","",IF('Calculations'!IB136="!AMBIG","!AMBIG",IF(COUNTIF('Calculations'!$HE$13:$HE$512,"="&amp;SUBSTITUTE(SUBSTITUTE(SUBSTITUTE('Calculations'!IB136,"~","~~"),"*","~*"),"?","~?"))&gt;1,"!AMBIG",IFERROR(INDEX('Calculations'!$HF$13:$HF$512,MATCH('Calculations'!IB136,'Calculations'!$HE$13:$HE$512,0)),""))))</x:f>
      </x:c>
      <x:c r="ID136" t="str">
        <x:f>IF('Calculations'!IC136="","",IF('Calculations'!IC136="!AMBIG","!AMBIG",IF(COUNTIF('Calculations'!$HE$13:$HE$512,"="&amp;SUBSTITUTE(SUBSTITUTE(SUBSTITUTE('Calculations'!IC136,"~","~~"),"*","~*"),"?","~?"))&gt;1,"!AMBIG",IFERROR(INDEX('Calculations'!$HF$13:$HF$512,MATCH('Calculations'!IC136,'Calculations'!$HE$13:$HE$512,0)),""))))</x:f>
      </x:c>
      <x:c r="IE136" t="str">
        <x:f>IF('Calculations'!ID136="","",IF('Calculations'!ID136="!AMBIG","!AMBIG",IF(COUNTIF('Calculations'!$HE$13:$HE$512,"="&amp;SUBSTITUTE(SUBSTITUTE(SUBSTITUTE('Calculations'!ID136,"~","~~"),"*","~*"),"?","~?"))&gt;1,"!AMBIG",IFERROR(INDEX('Calculations'!$HF$13:$HF$512,MATCH('Calculations'!ID136,'Calculations'!$HE$13:$HE$512,0)),""))))</x:f>
      </x:c>
      <x:c r="IF136" t="str">
        <x:f>IF('Calculations'!IE136="","",IF('Calculations'!IE136="!AMBIG","!AMBIG",IF(COUNTIF('Calculations'!$HE$13:$HE$512,"="&amp;SUBSTITUTE(SUBSTITUTE(SUBSTITUTE('Calculations'!IE136,"~","~~"),"*","~*"),"?","~?"))&gt;1,"!AMBIG",IFERROR(INDEX('Calculations'!$HF$13:$HF$512,MATCH('Calculations'!IE136,'Calculations'!$HE$13:$HE$512,0)),""))))</x:f>
      </x:c>
      <x:c r="IG136" t="str">
        <x:f>IF('Calculations'!IF136="","",IF('Calculations'!IF136="!AMBIG","!AMBIG",IF(COUNTIF('Calculations'!$HE$13:$HE$512,"="&amp;SUBSTITUTE(SUBSTITUTE(SUBSTITUTE('Calculations'!IF136,"~","~~"),"*","~*"),"?","~?"))&gt;1,"!AMBIG",IFERROR(INDEX('Calculations'!$HF$13:$HF$512,MATCH('Calculations'!IF136,'Calculations'!$HE$13:$HE$512,0)),""))))</x:f>
      </x:c>
      <x:c r="IH136" t="str">
        <x:f>IF('Calculations'!IG136="","",IF('Calculations'!IG136="!AMBIG","!AMBIG",IF(COUNTIF('Calculations'!$HE$13:$HE$512,"="&amp;SUBSTITUTE(SUBSTITUTE(SUBSTITUTE('Calculations'!IG136,"~","~~"),"*","~*"),"?","~?"))&gt;1,"!AMBIG",IFERROR(INDEX('Calculations'!$HF$13:$HF$512,MATCH('Calculations'!IG136,'Calculations'!$HE$13:$HE$512,0)),""))))</x:f>
      </x:c>
      <x:c r="II136" t="str">
        <x:f>IF('Calculations'!IH136="","",IF('Calculations'!IH136="!AMBIG","!AMBIG",IF(COUNTIF('Calculations'!$HE$13:$HE$512,"="&amp;SUBSTITUTE(SUBSTITUTE(SUBSTITUTE('Calculations'!IH136,"~","~~"),"*","~*"),"?","~?"))&gt;1,"!AMBIG",IFERROR(INDEX('Calculations'!$HF$13:$HF$512,MATCH('Calculations'!IH136,'Calculations'!$HE$13:$HE$512,0)),""))))</x:f>
      </x:c>
      <x:c r="IJ136" t="str">
        <x:f>IF('Calculations'!EM136="","",IF('Calculations'!$EF$2="All",'Calculations'!HM136,IF('Calculations'!HL136=1,"",IFERROR(IF(MATCH('Calculations'!$EF$2,'Calculations'!HO136:II136,0)=1,'Calculations'!HE136,INDEX('Calculations'!HO136:II136,1,MATCH('Calculations'!$EF$2,'Calculations'!HO136:II136,0)-1)),""))))</x:f>
      </x:c>
      <x:c r="IK136" t="n">
        <x:f>IF(AND('Calculations'!EM136&lt;&gt;"",'Calculations'!$EF$2&lt;&gt;"All",'Calculations'!HF136='Calculations'!$EF$2,'Calculations'!HL136=0,'Calculations'!JD136&gt;0),MAX('Calculations'!$IK$12:IK135)+1,0)</x:f>
        <x:v>0</x:v>
      </x:c>
      <x:c r="JA136" t="n">
        <x:f>IF(OR(IFERROR(INDIRECT("'WCM Calibration Final'!$A$136")&lt;&gt;"",FALSE),IFERROR(INDIRECT("'WCM Calibration Final'!$B$136")&lt;&gt;"",FALSE),IFERROR(INDIRECT("'WCM Calibration Final'!$C$136")&lt;&gt;"",FALSE)),136,0)</x:f>
        <x:v>0</x:v>
      </x:c>
      <x:c r="JB136" t="n">
        <x:f>'Calculations'!JB135+IF('Calculations'!JA136&gt;0,1,0)</x:f>
        <x:v>0</x:v>
      </x:c>
      <x:c r="JC136" t="n">
        <x:f>IF(OR('Calculations'!HF136="",'Calculations'!HF136="!AMBIG"),0,IF('Dashboard'!$B$7="All",1,COUNTIFS('Calculations'!$HO$13:$HO$512,"="&amp;SUBSTITUTE(SUBSTITUTE(SUBSTITUTE('Calculations'!HF136,"~","~~"),"*","~*"),"?","~?"),'Calculations'!$HN$13:$HN$512,"="&amp;SUBSTITUTE(SUBSTITUTE(SUBSTITUTE('Dashboard'!$B$7,"~","~~"),"*","~*"),"?","~?"))+COUNTIFS('Calculations'!$HP$13:$HP$512,"="&amp;SUBSTITUTE(SUBSTITUTE(SUBSTITUTE('Calculations'!HF136,"~","~~"),"*","~*"),"?","~?"),'Calculations'!$HN$13:$HN$512,"="&amp;SUBSTITUTE(SUBSTITUTE(SUBSTITUTE('Dashboard'!$B$7,"~","~~"),"*","~*"),"?","~?"))+COUNTIFS('Calculations'!$HQ$13:$HQ$512,"="&amp;SUBSTITUTE(SUBSTITUTE(SUBSTITUTE('Calculations'!HF136,"~","~~"),"*","~*"),"?","~?"),'Calculations'!$HN$13:$HN$512,"="&amp;SUBSTITUTE(SUBSTITUTE(SUBSTITUTE('Dashboard'!$B$7,"~","~~"),"*","~*"),"?","~?"))+COUNTIFS('Calculations'!$HR$13:$HR$512,"="&amp;SUBSTITUTE(SUBSTITUTE(SUBSTITUTE('Calculations'!HF136,"~","~~"),"*","~*"),"?","~?"),'Calculations'!$HN$13:$HN$512,"="&amp;SUBSTITUTE(SUBSTITUTE(SUBSTITUTE('Dashboard'!$B$7,"~","~~"),"*","~*"),"?","~?"))+COUNTIFS('Calculations'!$HS$13:$HS$512,"="&amp;SUBSTITUTE(SUBSTITUTE(SUBSTITUTE('Calculations'!HF136,"~","~~"),"*","~*"),"?","~?"),'Calculations'!$HN$13:$HN$512,"="&amp;SUBSTITUTE(SUBSTITUTE(SUBSTITUTE('Dashboard'!$B$7,"~","~~"),"*","~*"),"?","~?"))+COUNTIFS('Calculations'!$HT$13:$HT$512,"="&amp;SUBSTITUTE(SUBSTITUTE(SUBSTITUTE('Calculations'!HF136,"~","~~"),"*","~*"),"?","~?"),'Calculations'!$HN$13:$HN$512,"="&amp;SUBSTITUTE(SUBSTITUTE(SUBSTITUTE('Dashboard'!$B$7,"~","~~"),"*","~*"),"?","~?"))+COUNTIFS('Calculations'!$HU$13:$HU$512,"="&amp;SUBSTITUTE(SUBSTITUTE(SUBSTITUTE('Calculations'!HF136,"~","~~"),"*","~*"),"?","~?"),'Calculations'!$HN$13:$HN$512,"="&amp;SUBSTITUTE(SUBSTITUTE(SUBSTITUTE('Dashboard'!$B$7,"~","~~"),"*","~*"),"?","~?"))+COUNTIFS('Calculations'!$HV$13:$HV$512,"="&amp;SUBSTITUTE(SUBSTITUTE(SUBSTITUTE('Calculations'!HF136,"~","~~"),"*","~*"),"?","~?"),'Calculations'!$HN$13:$HN$512,"="&amp;SUBSTITUTE(SUBSTITUTE(SUBSTITUTE('Dashboard'!$B$7,"~","~~"),"*","~*"),"?","~?"))+COUNTIFS('Calculations'!$HW$13:$HW$512,"="&amp;SUBSTITUTE(SUBSTITUTE(SUBSTITUTE('Calculations'!HF136,"~","~~"),"*","~*"),"?","~?"),'Calculations'!$HN$13:$HN$512,"="&amp;SUBSTITUTE(SUBSTITUTE(SUBSTITUTE('Dashboard'!$B$7,"~","~~"),"*","~*"),"?","~?"))+COUNTIFS('Calculations'!$HX$13:$HX$512,"="&amp;SUBSTITUTE(SUBSTITUTE(SUBSTITUTE('Calculations'!HF136,"~","~~"),"*","~*"),"?","~?"),'Calculations'!$HN$13:$HN$512,"="&amp;SUBSTITUTE(SUBSTITUTE(SUBSTITUTE('Dashboard'!$B$7,"~","~~"),"*","~*"),"?","~?"))+COUNTIFS('Calculations'!$HY$13:$HY$512,"="&amp;SUBSTITUTE(SUBSTITUTE(SUBSTITUTE('Calculations'!HF136,"~","~~"),"*","~*"),"?","~?"),'Calculations'!$HN$13:$HN$512,"="&amp;SUBSTITUTE(SUBSTITUTE(SUBSTITUTE('Dashboard'!$B$7,"~","~~"),"*","~*"),"?","~?"))+COUNTIFS('Calculations'!$HZ$13:$HZ$512,"="&amp;SUBSTITUTE(SUBSTITUTE(SUBSTITUTE('Calculations'!HF136,"~","~~"),"*","~*"),"?","~?"),'Calculations'!$HN$13:$HN$512,"="&amp;SUBSTITUTE(SUBSTITUTE(SUBSTITUTE('Dashboard'!$B$7,"~","~~"),"*","~*"),"?","~?"))+COUNTIFS('Calculations'!$IA$13:$IA$512,"="&amp;SUBSTITUTE(SUBSTITUTE(SUBSTITUTE('Calculations'!HF136,"~","~~"),"*","~*"),"?","~?"),'Calculations'!$HN$13:$HN$512,"="&amp;SUBSTITUTE(SUBSTITUTE(SUBSTITUTE('Dashboard'!$B$7,"~","~~"),"*","~*"),"?","~?"))+COUNTIFS('Calculations'!$IB$13:$IB$512,"="&amp;SUBSTITUTE(SUBSTITUTE(SUBSTITUTE('Calculations'!HF136,"~","~~"),"*","~*"),"?","~?"),'Calculations'!$HN$13:$HN$512,"="&amp;SUBSTITUTE(SUBSTITUTE(SUBSTITUTE('Dashboard'!$B$7,"~","~~"),"*","~*"),"?","~?"))+COUNTIFS('Calculations'!$IC$13:$IC$512,"="&amp;SUBSTITUTE(SUBSTITUTE(SUBSTITUTE('Calculations'!HF136,"~","~~"),"*","~*"),"?","~?"),'Calculations'!$HN$13:$HN$512,"="&amp;SUBSTITUTE(SUBSTITUTE(SUBSTITUTE('Dashboard'!$B$7,"~","~~"),"*","~*"),"?","~?"))+COUNTIFS('Calculations'!$ID$13:$ID$512,"="&amp;SUBSTITUTE(SUBSTITUTE(SUBSTITUTE('Calculations'!HF136,"~","~~"),"*","~*"),"?","~?"),'Calculations'!$HN$13:$HN$512,"="&amp;SUBSTITUTE(SUBSTITUTE(SUBSTITUTE('Dashboard'!$B$7,"~","~~"),"*","~*"),"?","~?"))+COUNTIFS('Calculations'!$IE$13:$IE$512,"="&amp;SUBSTITUTE(SUBSTITUTE(SUBSTITUTE('Calculations'!HF136,"~","~~"),"*","~*"),"?","~?"),'Calculations'!$HN$13:$HN$512,"="&amp;SUBSTITUTE(SUBSTITUTE(SUBSTITUTE('Dashboard'!$B$7,"~","~~"),"*","~*"),"?","~?"))+COUNTIFS('Calculations'!$IF$13:$IF$512,"="&amp;SUBSTITUTE(SUBSTITUTE(SUBSTITUTE('Calculations'!HF136,"~","~~"),"*","~*"),"?","~?"),'Calculations'!$HN$13:$HN$512,"="&amp;SUBSTITUTE(SUBSTITUTE(SUBSTITUTE('Dashboard'!$B$7,"~","~~"),"*","~*"),"?","~?"))+COUNTIFS('Calculations'!$IG$13:$IG$512,"="&amp;SUBSTITUTE(SUBSTITUTE(SUBSTITUTE('Calculations'!HF136,"~","~~"),"*","~*"),"?","~?"),'Calculations'!$HN$13:$HN$512,"="&amp;SUBSTITUTE(SUBSTITUTE(SUBSTITUTE('Dashboard'!$B$7,"~","~~"),"*","~*"),"?","~?"))+COUNTIFS('Calculations'!$IH$13:$IH$512,"="&amp;SUBSTITUTE(SUBSTITUTE(SUBSTITUTE('Calculations'!HF136,"~","~~"),"*","~*"),"?","~?"),'Calculations'!$HN$13:$HN$512,"="&amp;SUBSTITUTE(SUBSTITUTE(SUBSTITUTE('Dashboard'!$B$7,"~","~~"),"*","~*"),"?","~?"))))</x:f>
        <x:v>0</x:v>
      </x:c>
      <x:c r="JD136" t="n">
        <x:f>IF('Calculations'!EM136="",0,IF('Dashboard'!$B$7="All",1,IF('Calculations'!HN136='Dashboard'!$B$7,1,0)+IFERROR(INDEX('Calculations'!$JC$13:$JC$512,MATCH('Calculations'!HE136,'Calculations'!$HF$13:$HF$512,0)),0)))</x:f>
        <x:v>0</x:v>
      </x:c>
      <x:c r="JE136" t="n">
        <x:f>IF(AND('Calculations'!EM136&lt;&gt;"",'Calculations'!$JJ$2&lt;&gt;"All",'Calculations'!$JJ$2&lt;&gt;"",'Calculations'!HF136='Calculations'!$JJ$2,'Calculations'!HL136=0,'Calculations'!JD136&gt;0),MAX('Calculations'!$JE$12:JE135)+1,0)</x:f>
        <x:v>0</x:v>
      </x:c>
      <x:c r="JF136" t="str">
        <x:f>IF('Calculations'!EM136="","",IFERROR(IF(INDEX(INDIRECT("'WCM Calibration Final'!$G$1:$G$2000"),'Calculations'!$EM136)="","",TRIM(INDEX(INDIRECT("'WCM Calibration Final'!$G$1:$G$2000"),'Calculations'!$EM136)&amp;"")),""))</x:f>
      </x:c>
      <x:c r="JQ136" t="n">
        <x:f>IF(OR('Calculations'!BM136=0,NOT('Calculations'!$AG$2),'Calculations'!$AG$8&gt;0),0,IF(OR('Dashboard'!$B$7="All",'Calculations'!HN136='Dashboard'!$B$7),IF('Calculations'!$JJ$2="All",1,IF(AND('Calculations'!HF136='Calculations'!$JJ$2,'Calculations'!HL136=0),1,0)),0))</x:f>
        <x:v>0</x:v>
      </x:c>
    </x:row>
    <x:row r="137">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t="n">
        <x:f>IF('Calculations'!$EM137="",0,IF(OR(IFERROR(INDEX(INDIRECT("'WCM Calibration Final'!$A$1:$A$2000"),'Calculations'!$EM137)&lt;&gt;"",FALSE),IFERROR(INDEX(INDIRECT("'WCM Calibration Final'!$B$1:$B$2000"),'Calculations'!$EM137)&lt;&gt;"",FALSE),IFERROR(INDEX(INDIRECT("'WCM Calibration Final'!$C$1:$C$2000"),'Calculations'!$EM137)&lt;&gt;"",FALSE)),1,0))</x:f>
        <x:v>0</x:v>
      </x:c>
      <x:c r="BN137" s="4" t="n">
        <x:f>IF(AND('Calculations'!BM137=1,'Calculations'!$AG$2,'Calculations'!$EN137=1),1,0)</x:f>
        <x:v>0</x:v>
      </x:c>
      <x:c r="BO137" s="4" t="str">
        <x:f>IF('Calculations'!BM137=0,"",IFERROR(IF(AND(VALUE(INDEX(INDIRECT("'WCM Calibration Final'!$K$1:$K$2000"),'Calculations'!$EM137))&gt;=1,VALUE(INDEX(INDIRECT("'WCM Calibration Final'!$K$1:$K$2000"),'Calculations'!$EM137))&lt;=4,MOD(VALUE(INDEX(INDIRECT("'WCM Calibration Final'!$K$1:$K$2000"),'Calculations'!$EM137)),1)=0),VALUE(INDEX(INDIRECT("'WCM Calibration Final'!$K$1:$K$2000"),'Calculations'!$EM137)),""),""))</x:f>
      </x:c>
      <x:c r="BP137" s="4" t="str">
        <x:f>IF('Calculations'!BM137=0,"",IFERROR(IF(AND(VALUE(INDEX(INDIRECT("'WCM Calibration Final'!$L$1:$L$2000"),'Calculations'!$EM137))&gt;=1,VALUE(INDEX(INDIRECT("'WCM Calibration Final'!$L$1:$L$2000"),'Calculations'!$EM137))&lt;=4,MOD(VALUE(INDEX(INDIRECT("'WCM Calibration Final'!$L$1:$L$2000"),'Calculations'!$EM137)),1)=0),VALUE(INDEX(INDIRECT("'WCM Calibration Final'!$L$1:$L$2000"),'Calculations'!$EM137)),""),""))</x:f>
      </x:c>
      <x:c r="BQ137" s="4"/>
      <x:c r="BR137" s="4"/>
      <x:c r="BS137" s="4"/>
      <x:c r="BT137" s="4" t="n">
        <x:f>IF(AND('Calculations'!BM137=1,ISNUMBER('Calculations'!BO137),ISNUMBER('Calculations'!BP137)),1,0)</x:f>
        <x:v>0</x:v>
      </x:c>
      <x:c r="BU137" s="4" t="str">
        <x:f>IF('Calculations'!BM137=0,"",'Calculations'!$EO137)</x:f>
      </x:c>
      <x:c r="BV137" s="4" t="str">
        <x:f>IF('Calculations'!BM137=0,"",IFERROR(IF(OR(INDEX(INDIRECT("'WCM Calibration Final'!$H$1:$H$2000"),'Calculations'!$EM137)="MANAGING DIRECTOR",INDEX(INDIRECT("'WCM Calibration Final'!$H$1:$H$2000"),'Calculations'!$EM137)="DIRECTOR",INDEX(INDIRECT("'WCM Calibration Final'!$H$1:$H$2000"),'Calculations'!$EM137)="SENIOR VICE PRESIDENT",INDEX(INDIRECT("'WCM Calibration Final'!$H$1:$H$2000"),'Calculations'!$EM137)="VICE PRESIDENT",INDEX(INDIRECT("'WCM Calibration Final'!$H$1:$H$2000"),'Calculations'!$EM137)="ASSISTANT VICE PRESIDENT",INDEX(INDIRECT("'WCM Calibration Final'!$H$1:$H$2000"),'Calculations'!$EM137)="OFFICER"),UPPER(INDEX(INDIRECT("'WCM Calibration Final'!$H$1:$H$2000"),'Calculations'!$EM137)),"Other"),"Other"))</x:f>
      </x:c>
      <x:c r="BW137" s="4"/>
      <x:c r="BX137" s="4"/>
      <x:c r="BY137" s="4" t="n">
        <x:f>IF(AND('Calculations'!BM137=1,'Calculations'!BU137&lt;&gt;"",COUNTIF('Calculations'!$BU$12:BU137,'Calculations'!BU137)=1),MAX('Calculations'!$BY$11:BY136)+1,0)</x:f>
        <x:v>0</x:v>
      </x:c>
      <x:c r="BZ137" s="4" t="str">
        <x:f>IF('Dashboard'!$E$67="What",'Calculations'!BO137,'Calculations'!BP137)</x:f>
      </x:c>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t="str">
        <x:f>IF(126&gt;MAX('Calculations'!$HI$13:$HI$512),"",INDEX('Calculations'!$HN$13:$HN$512,MATCH(126,'Calculations'!$HI$13:$HI$512,0)))</x:f>
      </x:c>
      <x:c r="DB137" s="4" t="str">
        <x:f>IF(126&gt;MAX('Calculations'!$HH$13:$HH$512),"",INDEX('Calculations'!$HJ$13:$HJ$512,MATCH(126,'Calculations'!$HH$13:$HH$512,0)))</x:f>
      </x:c>
      <x:c r="DC137" s="4" t="str">
        <x:f>IF(ROW()-11&gt;MAX('Calculations'!$BY$13:$BY$512),"",INDEX('Calculations'!$BU$13:$BU$512,MATCH(ROW()-11,'Calculations'!$BY$13:$BY$512,0)))</x:f>
      </x:c>
      <x:c r="DD137" s="4" t="str">
        <x:f>IF(126&gt;MAX('Calculations'!$IK$13:$IK$512),"",INDEX('Calculations'!$HK$13:$HK$512,MATCH(126,'Calculations'!$IK$13:$IK$512,0)))</x:f>
      </x:c>
      <x:c r="DE137" s="4" t="str">
        <x:f>'Calculations'!DC137</x:f>
      </x:c>
      <x:c r="DF137" s="4" t="str">
        <x:f>IF('Calculations'!DE137="","",COUNTIFS('Calculations'!$BN$13:$BN$512,1,'Calculations'!$BU$13:$BU$512,'Calculations'!DE137))</x:f>
      </x:c>
      <x:c r="DG137" s="4" t="str">
        <x:f>IF('Calculations'!DE137="","",COUNTIFS('Calculations'!$BN$13:$BN$512,1,'Calculations'!$BU$13:$BU$512,'Calculations'!DE137,'Calculations'!$BT$13:$BT$512,1))</x:f>
      </x:c>
      <x:c r="DH137" s="4" t="str">
        <x:f>IF('Calculations'!DE137="","",'Calculations'!DF137-'Calculations'!DG137)</x:f>
      </x:c>
      <x:c r="DI137" s="4" t="str">
        <x:f>IF(OR('Calculations'!DE137="",'Calculations'!DF137=0),"",'Calculations'!DG137/'Calculations'!DF137)</x:f>
      </x:c>
      <x:c r="DJ137" s="4" t="str">
        <x:f>IF('Calculations'!DE137="","",COUNTIFS('Calculations'!$BN$13:$BN$512,1,'Calculations'!$BU$13:$BU$512,'Calculations'!DE137,'Calculations'!$BT$13:$BT$512,1,'Calculations'!$EE$13:$EE$512,"High"))</x:f>
      </x:c>
      <x:c r="DK137" s="4" t="str">
        <x:f>IF('Calculations'!DE137="","",COUNTIFS('Calculations'!$BN$13:$BN$512,1,'Calculations'!$BU$13:$BU$512,'Calculations'!DE137,'Calculations'!$BT$13:$BT$512,1,'Calculations'!$EE$13:$EE$512,"Strong"))</x:f>
      </x:c>
      <x:c r="DL137" s="4" t="str">
        <x:f>IF('Calculations'!DE137="","",COUNTIFS('Calculations'!$BN$13:$BN$512,1,'Calculations'!$BU$13:$BU$512,'Calculations'!DE137,'Calculations'!$BT$13:$BT$512,1,'Calculations'!$EE$13:$EE$512,"Solid"))</x:f>
      </x:c>
      <x:c r="DM137" s="4" t="str">
        <x:f>IF('Calculations'!DE137="","",COUNTIFS('Calculations'!$BN$13:$BN$512,1,'Calculations'!$BU$13:$BU$512,'Calculations'!DE137,'Calculations'!$BT$13:$BT$512,1,'Calculations'!$EE$13:$EE$512,"Low"))</x:f>
      </x:c>
      <x:c r="DN137" s="4" t="str">
        <x:f>IF('Calculations'!DE137="","",COUNTIFS('Calculations'!$BN$13:$BN$512,1,'Calculations'!$BU$13:$BU$512,'Calculations'!DE137,'Calculations'!$EP$13:$EP$512,1))</x:f>
      </x:c>
      <x:c r="DO137" s="4" t="str">
        <x:f>IF(OR('Calculations'!DE137="",'Calculations'!DG137=0),"",('Calculations'!DJ137+'Calculations'!DK137)/'Calculations'!DG137)</x:f>
      </x:c>
      <x:c r="DP137" s="4" t="n">
        <x:f>IF(AND('Calculations'!DE137&lt;&gt;"",'Calculations'!DF137&gt;0),COUNTIF('Calculations'!$DF$12:DF137,"&gt;0"),0)</x:f>
        <x:v>0</x:v>
      </x:c>
      <x:c r="DQ137" s="4" t="str">
        <x:f>IF(126&gt;MAX('Calculations'!$HH$13:$HH$512),"",INDEX('Calculations'!$HF$13:$HF$512,MATCH(126,'Calculations'!$HH$13:$HH$512,0)))</x:f>
      </x:c>
      <x:c r="DR137" s="4" t="str">
        <x:f>IF(126&gt;MAX('Calculations'!$IK$13:$IK$512),"",INDEX('Calculations'!$HE$13:$HE$512,MATCH(126,'Calculations'!$IK$13:$IK$512,0)))</x:f>
      </x:c>
      <x:c r="DS137" s="4"/>
      <x:c r="DT137" s="4"/>
      <x:c r="DU137" s="4"/>
      <x:c r="DV137" s="4"/>
      <x:c r="DW137" s="4"/>
      <x:c r="DX137" s="4"/>
      <x:c r="DY137" s="4"/>
      <x:c r="DZ137" s="4"/>
      <x:c r="EA137" s="4"/>
      <x:c r="EB137" s="4"/>
      <x:c r="EC137" s="4"/>
      <x:c r="ED137" s="4"/>
      <x:c r="EE137" s="4" t="str">
        <x:f>IF('Calculations'!BT137=0,"Not Rated",IF(OR('Calculations'!BO137&gt;=4,'Calculations'!BP137&gt;=4),"Low",IF('Calculations'!BO137+'Calculations'!BP137&lt;=3,"High",IF('Calculations'!BO137+'Calculations'!BP137&lt;=4,"Strong","Solid"))))</x:f>
        <x:v>Not Rated</x:v>
      </x:c>
      <x:c r="EF137" s="4"/>
      <x:c r="EG137" s="4"/>
      <x:c r="EH137" s="4"/>
      <x:c r="EI137" s="4"/>
      <x:c r="EJ137" s="4"/>
      <x:c r="EK137" s="4"/>
      <x:c r="EL137" s="4"/>
      <x:c r="EM137" s="4" t="str">
        <x:f>IF(125&gt;'Calculations'!$JB$2000,"",INDEX('Calculations'!$JA$12:$JA$2000,MATCH(125,'Calculations'!$JB$12:$JB$2000,0)))</x:f>
      </x:c>
      <x:c r="EN137" s="4" t="n">
        <x:f>IF(OR('Calculations'!EM137="",'Calculations'!$AG$8&gt;0,AND('Calculations'!$EF$2&lt;&gt;"All",'Calculations'!HE137='Calculations'!$EF$2),AND('Calculations'!$EF$3&lt;&gt;"All",'Calculations'!HE137='Calculations'!$EF$3)),0,IF(OR('Dashboard'!$B$7="All",'Calculations'!HN137='Dashboard'!$B$7),IF('Calculations'!$EF$2="All",1,IF('Calculations'!HL137&gt;0,0,IF(COUNTIF('Calculations'!HO137:II137,"="&amp;SUBSTITUTE(SUBSTITUTE(SUBSTITUTE('Calculations'!$EF$2,"~","~~"),"*","~*"),"?","~?"))=0,0,IF('Calculations'!$EF$3="All",1,IF(COUNTIF('Calculations'!HO137:II137,"="&amp;SUBSTITUTE(SUBSTITUTE(SUBSTITUTE('Calculations'!$EF$3,"~","~~"),"*","~*"),"?","~?"))&gt;0,1,0))))),0))</x:f>
        <x:v>0</x:v>
      </x:c>
      <x:c r="EO137" s="4" t="str">
        <x:f>IF('Calculations'!IJ137="","",IF('Calculations'!IJ137="!UNRESOLVED","Unresolved hierarchy",IFERROR(INDEX('Calculations'!$HK$13:$HK$512,MATCH('Calculations'!IJ137,'Calculations'!$HE$13:$HE$512,0)),IFERROR(INDEX('Calculations'!$HJ$13:$HJ$512,MATCH('Calculations'!IJ137,'Calculations'!$HF$13:$HF$512,0)),'Calculations'!IJ137))))</x:f>
      </x:c>
      <x:c r="EP137" s="4" t="n">
        <x:f>IF(AND('Calculations'!EM137&lt;&gt;"",'Calculations'!HF137='Calculations'!IJ137),1,0)</x:f>
        <x:v>0</x:v>
      </x:c>
      <x:c r="EQ137" s="4"/>
      <x:c r="ER137" s="4"/>
      <x:c r="ES137" s="4"/>
      <x:c r="ET137" s="4"/>
      <x:c r="EU137" s="4"/>
      <x:c r="EV137" s="4"/>
      <x:c r="EW137" s="4"/>
      <x:c r="EX137" s="4"/>
      <x:c r="EY137" s="4"/>
      <x:c r="EZ137" s="4"/>
      <x:c r="FA137" s="4"/>
      <x:c r="FB137" s="4"/>
      <x:c r="FC137" s="4"/>
      <x:c r="FD137" s="4"/>
      <x:c r="FE137" s="4"/>
      <x:c r="FF137" s="4"/>
      <x:c r="FG137" s="4"/>
      <x:c r="FH137" s="4"/>
      <x:c r="FI137" s="4"/>
      <x:c r="FJ137" s="4"/>
      <x:c r="FK137" s="4"/>
      <x:c r="FL137" s="4"/>
      <x:c r="FM137" s="4"/>
      <x:c r="FN137" s="4"/>
      <x:c r="FO137" s="4"/>
      <x:c r="GA137" s="71"/>
      <x:c r="GB137" s="71"/>
      <x:c r="GC137" s="71"/>
      <x:c r="GD137" s="71"/>
      <x:c r="GE137" s="71"/>
      <x:c r="GF137" s="71"/>
      <x:c r="GG137" s="71"/>
      <x:c r="GH137" s="71"/>
      <x:c r="GI137" s="71"/>
      <x:c r="GJ137" s="71"/>
      <x:c r="GK137" s="71"/>
      <x:c r="GL137" s="71"/>
      <x:c r="GM137" s="71"/>
      <x:c r="GN137" s="71"/>
      <x:c r="GO137" s="71"/>
      <x:c r="GP137" s="71"/>
      <x:c r="GQ137" s="71"/>
      <x:c r="GR137" s="71"/>
      <x:c r="GS137" s="71"/>
      <x:c r="GT137" s="71"/>
      <x:c r="GU137" s="71"/>
      <x:c r="GV137" s="71"/>
      <x:c r="GW137" s="71"/>
      <x:c r="GX137" s="71" t="str">
        <x:f>IF(COUNTA('Dashboard'!N137,'Dashboard'!P137,'Dashboard'!R137,'Dashboard'!T137)=0,"No thresholds",IF(OR(COUNT('Dashboard'!N137,'Dashboard'!P137,'Dashboard'!R137,'Dashboard'!T137)&lt;&gt;COUNTA('Dashboard'!N137,'Dashboard'!P137,'Dashboard'!R137,'Dashboard'!T137),MIN('Dashboard'!N137,'Dashboard'!P137,'Dashboard'!R137,'Dashboard'!T137)&lt;0,MAX('Dashboard'!N137,'Dashboard'!P137,'Dashboard'!R137,'Dashboard'!T137)&gt;1),"Check thresholds",TEXT(SUM('Dashboard'!N137,'Dashboard'!P137,'Dashboard'!R137,'Dashboard'!T137),"0%")&amp;" - separate caps"))</x:f>
        <x:v>112% - separate caps</x:v>
      </x:c>
      <x:c r="GY137" s="71"/>
      <x:c r="GZ137" s="71"/>
      <x:c r="HA137" s="71"/>
      <x:c r="HB137" s="71"/>
      <x:c r="HC137" s="71"/>
      <x:c r="HD137" s="71"/>
      <x:c r="HE137" t="str">
        <x:f>IF('Calculations'!EM137="","",IF(IFERROR(IF(INDEX(INDIRECT("'WCM Calibration Final'!$A$1:$A$2000"),'Calculations'!$EM137)="","",TRIM(INDEX(INDIRECT("'WCM Calibration Final'!$A$1:$A$2000"),'Calculations'!$EM137)&amp;"")),"")&lt;&gt;"","G:"&amp;IFERROR(TEXT(1*INDEX(INDIRECT("'WCM Calibration Final'!$A$1:$A$2000"),'Calculations'!$EM137),"0"),UPPER(IFERROR(IF(INDEX(INDIRECT("'WCM Calibration Final'!$A$1:$A$2000"),'Calculations'!$EM137)="","",TRIM(INDEX(INDIRECT("'WCM Calibration Final'!$A$1:$A$2000"),'Calculations'!$EM137)&amp;"")),""))),IF(IFERROR(IF(INDEX(INDIRECT("'WCM Calibration Final'!$C$1:$C$2000"),'Calculations'!$EM137)="","",TRIM(INDEX(INDIRECT("'WCM Calibration Final'!$C$1:$C$2000"),'Calculations'!$EM137)&amp;"")),"")&lt;&gt;"","S:"&amp;UPPER(IFERROR(IF(INDEX(INDIRECT("'WCM Calibration Final'!$C$1:$C$2000"),'Calculations'!$EM137)="","",TRIM(INDEX(INDIRECT("'WCM Calibration Final'!$C$1:$C$2000"),'Calculations'!$EM137)&amp;"")),"")),"R:"&amp;'Calculations'!EM137)))</x:f>
      </x:c>
      <x:c r="HF137" t="str">
        <x:f>IF('Calculations'!EM137="","",IF(IFERROR(IF(INDEX(INDIRECT("'WCM Calibration Final'!$D$1:$D$2000"),'Calculations'!$EM137)="","",TRIM(INDEX(INDIRECT("'WCM Calibration Final'!$D$1:$D$2000"),'Calculations'!$EM137)&amp;"")),"")&lt;&gt;"","G:"&amp;IFERROR(TEXT(1*INDEX(INDIRECT("'WCM Calibration Final'!$D$1:$D$2000"),'Calculations'!$EM137),"0"),UPPER(IFERROR(IF(INDEX(INDIRECT("'WCM Calibration Final'!$D$1:$D$2000"),'Calculations'!$EM137)="","",TRIM(INDEX(INDIRECT("'WCM Calibration Final'!$D$1:$D$2000"),'Calculations'!$EM137)&amp;"")),""))),IF(IFERROR(IF(INDEX(INDIRECT("'WCM Calibration Final'!$E$1:$E$2000"),'Calculations'!$EM137)="","",TRIM(INDEX(INDIRECT("'WCM Calibration Final'!$E$1:$E$2000"),'Calculations'!$EM137)&amp;"")),"")="","",IF(COUNTIF('Calculations'!$HG$13:$HG$512,"="&amp;SUBSTITUTE(SUBSTITUTE(SUBSTITUTE(IFERROR(IF(INDEX(INDIRECT("'WCM Calibration Final'!$E$1:$E$2000"),'Calculations'!$EM137)="","",TRIM(INDEX(INDIRECT("'WCM Calibration Final'!$E$1:$E$2000"),'Calculations'!$EM137)&amp;"")),""),"~","~~"),"*","~*"),"?","~?"))=1,INDEX('Calculations'!$HE$13:$HE$512,MATCH(IFERROR(IF(INDEX(INDIRECT("'WCM Calibration Final'!$E$1:$E$2000"),'Calculations'!$EM137)="","",TRIM(INDEX(INDIRECT("'WCM Calibration Final'!$E$1:$E$2000"),'Calculations'!$EM137)&amp;"")),""),'Calculations'!$HG$13:$HG$512,0)),IF(COUNTIF('Calculations'!$HG$13:$HG$512,"="&amp;SUBSTITUTE(SUBSTITUTE(SUBSTITUTE(IFERROR(IF(INDEX(INDIRECT("'WCM Calibration Final'!$E$1:$E$2000"),'Calculations'!$EM137)="","",TRIM(INDEX(INDIRECT("'WCM Calibration Final'!$E$1:$E$2000"),'Calculations'!$EM137)&amp;"")),""),"~","~~"),"*","~*"),"?","~?"))&gt;1,"!AMBIG","X:"&amp;IFERROR(IF(INDEX(INDIRECT("'WCM Calibration Final'!$E$1:$E$2000"),'Calculations'!$EM137)="","",TRIM(INDEX(INDIRECT("'WCM Calibration Final'!$E$1:$E$2000"),'Calculations'!$EM137)&amp;"")),""))))))</x:f>
      </x:c>
      <x:c r="HG137" t="str">
        <x:f>IF('Calculations'!EM137="","",IFERROR(IF(INDEX(INDIRECT("'WCM Calibration Final'!$B$1:$B$2000"),'Calculations'!$EM137)="","",TRIM(INDEX(INDIRECT("'WCM Calibration Final'!$B$1:$B$2000"),'Calculations'!$EM137)&amp;"")),""))</x:f>
      </x:c>
      <x:c r="HH137" t="n">
        <x:f>IF(AND('Calculations'!JC137&gt;0,COUNTIF('Calculations'!$HF$12:HF137,"="&amp;SUBSTITUTE(SUBSTITUTE(SUBSTITUTE('Calculations'!HF137,"~","~~"),"*","~*"),"?","~?"))=1),MAX('Calculations'!$HH$12:HH136)+1,0)</x:f>
        <x:v>0</x:v>
      </x:c>
      <x:c r="HI137" t="n">
        <x:f>IF(AND('Calculations'!HN137&lt;&gt;"",COUNTIF('Calculations'!$HN$12:HN137,"="&amp;SUBSTITUTE(SUBSTITUTE(SUBSTITUTE('Calculations'!HN137,"~","~~"),"*","~*"),"?","~?"))=1),MAX('Calculations'!$HI$12:HI136)+1,0)</x:f>
        <x:v>0</x:v>
      </x:c>
      <x:c r="HJ137" t="str">
        <x:f>IF('Calculations'!HF137="","",IF(COUNTIF('Calculations'!$HE$13:$HE$512,"="&amp;SUBSTITUTE(SUBSTITUTE(SUBSTITUTE('Calculations'!HF137,"~","~~"),"*","~*"),"?","~?"))=1,INDEX('Calculations'!$HK$13:$HK$512,MATCH('Calculations'!HF137,'Calculations'!$HE$13:$HE$512,0)),IFERROR(IF(INDEX(INDIRECT("'WCM Calibration Final'!$E$1:$E$2000"),'Calculations'!$EM137)="","",TRIM(INDEX(INDIRECT("'WCM Calibration Final'!$E$1:$E$2000"),'Calculations'!$EM137)&amp;"")),"")&amp;" ["&amp;'Calculations'!HF137&amp;"]"))</x:f>
      </x:c>
      <x:c r="HK137" t="str">
        <x:f>IF('Calculations'!EM137="","",'Calculations'!HG137&amp;" ["&amp;'Calculations'!HE137&amp;"]")</x:f>
      </x:c>
      <x:c r="HL137" t="n">
        <x:f>IF('Calculations'!EM137="",0,IF(OR('Calculations'!II137&lt;&gt;"",COUNTIF('Calculations'!$HE$13:$HE$512,"="&amp;SUBSTITUTE(SUBSTITUTE(SUBSTITUTE('Calculations'!HE137,"~","~~"),"*","~*"),"?","~?"))&gt;1),1,0))</x:f>
        <x:v>0</x:v>
      </x:c>
      <x:c r="HM137" t="str">
        <x:f>IF('Calculations'!EM137="","",IF('Calculations'!HL137=1,"!UNRESOLVED",IF('Calculations'!IH137&lt;&gt;"",'Calculations'!IH137,IF('Calculations'!IG137&lt;&gt;"",'Calculations'!IG137,IF('Calculations'!IF137&lt;&gt;"",'Calculations'!IF137,IF('Calculations'!IE137&lt;&gt;"",'Calculations'!IE137,IF('Calculations'!ID137&lt;&gt;"",'Calculations'!ID137,IF('Calculations'!IC137&lt;&gt;"",'Calculations'!IC137,IF('Calculations'!IB137&lt;&gt;"",'Calculations'!IB137,IF('Calculations'!IA137&lt;&gt;"",'Calculations'!IA137,IF('Calculations'!HZ137&lt;&gt;"",'Calculations'!HZ137,IF('Calculations'!HY137&lt;&gt;"",'Calculations'!HY137,IF('Calculations'!HX137&lt;&gt;"",'Calculations'!HX137,IF('Calculations'!HW137&lt;&gt;"",'Calculations'!HW137,IF('Calculations'!HV137&lt;&gt;"",'Calculations'!HV137,IF('Calculations'!HU137&lt;&gt;"",'Calculations'!HU137,IF('Calculations'!HT137&lt;&gt;"",'Calculations'!HT137,IF('Calculations'!HS137&lt;&gt;"",'Calculations'!HS137,IF('Calculations'!HR137&lt;&gt;"",'Calculations'!HR137,IF('Calculations'!HQ137&lt;&gt;"",'Calculations'!HQ137,IF('Calculations'!HP137&lt;&gt;"",'Calculations'!HP137,IF('Calculations'!HO137&lt;&gt;"",'Calculations'!HO137,'Calculations'!HE137))))))))))))))))))))))</x:f>
      </x:c>
      <x:c r="HN137" t="str">
        <x:f>IF('Calculations'!EM137="","",IF(IFERROR(IF(INDEX(INDIRECT("'WCM Calibration Final'!$F$1:$F$2000"),'Calculations'!$EM137)="","",TRIM(INDEX(INDIRECT("'WCM Calibration Final'!$F$1:$F$2000"),'Calculations'!$EM137)&amp;"")),"")="","(Blank)",IFERROR(IF(INDEX(INDIRECT("'WCM Calibration Final'!$F$1:$F$2000"),'Calculations'!$EM137)="","",TRIM(INDEX(INDIRECT("'WCM Calibration Final'!$F$1:$F$2000"),'Calculations'!$EM137)&amp;"")),"")))</x:f>
      </x:c>
      <x:c r="HO137" t="str">
        <x:f>'Calculations'!HF137</x:f>
      </x:c>
      <x:c r="HP137" t="str">
        <x:f>IF('Calculations'!HO137="","",IF('Calculations'!HO137="!AMBIG","!AMBIG",IF(COUNTIF('Calculations'!$HE$13:$HE$512,"="&amp;SUBSTITUTE(SUBSTITUTE(SUBSTITUTE('Calculations'!HO137,"~","~~"),"*","~*"),"?","~?"))&gt;1,"!AMBIG",IFERROR(INDEX('Calculations'!$HF$13:$HF$512,MATCH('Calculations'!HO137,'Calculations'!$HE$13:$HE$512,0)),""))))</x:f>
      </x:c>
      <x:c r="HQ137" t="str">
        <x:f>IF('Calculations'!HP137="","",IF('Calculations'!HP137="!AMBIG","!AMBIG",IF(COUNTIF('Calculations'!$HE$13:$HE$512,"="&amp;SUBSTITUTE(SUBSTITUTE(SUBSTITUTE('Calculations'!HP137,"~","~~"),"*","~*"),"?","~?"))&gt;1,"!AMBIG",IFERROR(INDEX('Calculations'!$HF$13:$HF$512,MATCH('Calculations'!HP137,'Calculations'!$HE$13:$HE$512,0)),""))))</x:f>
      </x:c>
      <x:c r="HR137" t="str">
        <x:f>IF('Calculations'!HQ137="","",IF('Calculations'!HQ137="!AMBIG","!AMBIG",IF(COUNTIF('Calculations'!$HE$13:$HE$512,"="&amp;SUBSTITUTE(SUBSTITUTE(SUBSTITUTE('Calculations'!HQ137,"~","~~"),"*","~*"),"?","~?"))&gt;1,"!AMBIG",IFERROR(INDEX('Calculations'!$HF$13:$HF$512,MATCH('Calculations'!HQ137,'Calculations'!$HE$13:$HE$512,0)),""))))</x:f>
      </x:c>
      <x:c r="HS137" t="str">
        <x:f>IF('Calculations'!HR137="","",IF('Calculations'!HR137="!AMBIG","!AMBIG",IF(COUNTIF('Calculations'!$HE$13:$HE$512,"="&amp;SUBSTITUTE(SUBSTITUTE(SUBSTITUTE('Calculations'!HR137,"~","~~"),"*","~*"),"?","~?"))&gt;1,"!AMBIG",IFERROR(INDEX('Calculations'!$HF$13:$HF$512,MATCH('Calculations'!HR137,'Calculations'!$HE$13:$HE$512,0)),""))))</x:f>
      </x:c>
      <x:c r="HT137" t="str">
        <x:f>IF('Calculations'!HS137="","",IF('Calculations'!HS137="!AMBIG","!AMBIG",IF(COUNTIF('Calculations'!$HE$13:$HE$512,"="&amp;SUBSTITUTE(SUBSTITUTE(SUBSTITUTE('Calculations'!HS137,"~","~~"),"*","~*"),"?","~?"))&gt;1,"!AMBIG",IFERROR(INDEX('Calculations'!$HF$13:$HF$512,MATCH('Calculations'!HS137,'Calculations'!$HE$13:$HE$512,0)),""))))</x:f>
      </x:c>
      <x:c r="HU137" t="str">
        <x:f>IF('Calculations'!HT137="","",IF('Calculations'!HT137="!AMBIG","!AMBIG",IF(COUNTIF('Calculations'!$HE$13:$HE$512,"="&amp;SUBSTITUTE(SUBSTITUTE(SUBSTITUTE('Calculations'!HT137,"~","~~"),"*","~*"),"?","~?"))&gt;1,"!AMBIG",IFERROR(INDEX('Calculations'!$HF$13:$HF$512,MATCH('Calculations'!HT137,'Calculations'!$HE$13:$HE$512,0)),""))))</x:f>
      </x:c>
      <x:c r="HV137" t="str">
        <x:f>IF('Calculations'!HU137="","",IF('Calculations'!HU137="!AMBIG","!AMBIG",IF(COUNTIF('Calculations'!$HE$13:$HE$512,"="&amp;SUBSTITUTE(SUBSTITUTE(SUBSTITUTE('Calculations'!HU137,"~","~~"),"*","~*"),"?","~?"))&gt;1,"!AMBIG",IFERROR(INDEX('Calculations'!$HF$13:$HF$512,MATCH('Calculations'!HU137,'Calculations'!$HE$13:$HE$512,0)),""))))</x:f>
      </x:c>
      <x:c r="HW137" t="str">
        <x:f>IF('Calculations'!HV137="","",IF('Calculations'!HV137="!AMBIG","!AMBIG",IF(COUNTIF('Calculations'!$HE$13:$HE$512,"="&amp;SUBSTITUTE(SUBSTITUTE(SUBSTITUTE('Calculations'!HV137,"~","~~"),"*","~*"),"?","~?"))&gt;1,"!AMBIG",IFERROR(INDEX('Calculations'!$HF$13:$HF$512,MATCH('Calculations'!HV137,'Calculations'!$HE$13:$HE$512,0)),""))))</x:f>
      </x:c>
      <x:c r="HX137" t="str">
        <x:f>IF('Calculations'!HW137="","",IF('Calculations'!HW137="!AMBIG","!AMBIG",IF(COUNTIF('Calculations'!$HE$13:$HE$512,"="&amp;SUBSTITUTE(SUBSTITUTE(SUBSTITUTE('Calculations'!HW137,"~","~~"),"*","~*"),"?","~?"))&gt;1,"!AMBIG",IFERROR(INDEX('Calculations'!$HF$13:$HF$512,MATCH('Calculations'!HW137,'Calculations'!$HE$13:$HE$512,0)),""))))</x:f>
      </x:c>
      <x:c r="HY137" t="str">
        <x:f>IF('Calculations'!HX137="","",IF('Calculations'!HX137="!AMBIG","!AMBIG",IF(COUNTIF('Calculations'!$HE$13:$HE$512,"="&amp;SUBSTITUTE(SUBSTITUTE(SUBSTITUTE('Calculations'!HX137,"~","~~"),"*","~*"),"?","~?"))&gt;1,"!AMBIG",IFERROR(INDEX('Calculations'!$HF$13:$HF$512,MATCH('Calculations'!HX137,'Calculations'!$HE$13:$HE$512,0)),""))))</x:f>
      </x:c>
      <x:c r="HZ137" t="str">
        <x:f>IF('Calculations'!HY137="","",IF('Calculations'!HY137="!AMBIG","!AMBIG",IF(COUNTIF('Calculations'!$HE$13:$HE$512,"="&amp;SUBSTITUTE(SUBSTITUTE(SUBSTITUTE('Calculations'!HY137,"~","~~"),"*","~*"),"?","~?"))&gt;1,"!AMBIG",IFERROR(INDEX('Calculations'!$HF$13:$HF$512,MATCH('Calculations'!HY137,'Calculations'!$HE$13:$HE$512,0)),""))))</x:f>
      </x:c>
      <x:c r="IA137" t="str">
        <x:f>IF('Calculations'!HZ137="","",IF('Calculations'!HZ137="!AMBIG","!AMBIG",IF(COUNTIF('Calculations'!$HE$13:$HE$512,"="&amp;SUBSTITUTE(SUBSTITUTE(SUBSTITUTE('Calculations'!HZ137,"~","~~"),"*","~*"),"?","~?"))&gt;1,"!AMBIG",IFERROR(INDEX('Calculations'!$HF$13:$HF$512,MATCH('Calculations'!HZ137,'Calculations'!$HE$13:$HE$512,0)),""))))</x:f>
      </x:c>
      <x:c r="IB137" t="str">
        <x:f>IF('Calculations'!IA137="","",IF('Calculations'!IA137="!AMBIG","!AMBIG",IF(COUNTIF('Calculations'!$HE$13:$HE$512,"="&amp;SUBSTITUTE(SUBSTITUTE(SUBSTITUTE('Calculations'!IA137,"~","~~"),"*","~*"),"?","~?"))&gt;1,"!AMBIG",IFERROR(INDEX('Calculations'!$HF$13:$HF$512,MATCH('Calculations'!IA137,'Calculations'!$HE$13:$HE$512,0)),""))))</x:f>
      </x:c>
      <x:c r="IC137" t="str">
        <x:f>IF('Calculations'!IB137="","",IF('Calculations'!IB137="!AMBIG","!AMBIG",IF(COUNTIF('Calculations'!$HE$13:$HE$512,"="&amp;SUBSTITUTE(SUBSTITUTE(SUBSTITUTE('Calculations'!IB137,"~","~~"),"*","~*"),"?","~?"))&gt;1,"!AMBIG",IFERROR(INDEX('Calculations'!$HF$13:$HF$512,MATCH('Calculations'!IB137,'Calculations'!$HE$13:$HE$512,0)),""))))</x:f>
      </x:c>
      <x:c r="ID137" t="str">
        <x:f>IF('Calculations'!IC137="","",IF('Calculations'!IC137="!AMBIG","!AMBIG",IF(COUNTIF('Calculations'!$HE$13:$HE$512,"="&amp;SUBSTITUTE(SUBSTITUTE(SUBSTITUTE('Calculations'!IC137,"~","~~"),"*","~*"),"?","~?"))&gt;1,"!AMBIG",IFERROR(INDEX('Calculations'!$HF$13:$HF$512,MATCH('Calculations'!IC137,'Calculations'!$HE$13:$HE$512,0)),""))))</x:f>
      </x:c>
      <x:c r="IE137" t="str">
        <x:f>IF('Calculations'!ID137="","",IF('Calculations'!ID137="!AMBIG","!AMBIG",IF(COUNTIF('Calculations'!$HE$13:$HE$512,"="&amp;SUBSTITUTE(SUBSTITUTE(SUBSTITUTE('Calculations'!ID137,"~","~~"),"*","~*"),"?","~?"))&gt;1,"!AMBIG",IFERROR(INDEX('Calculations'!$HF$13:$HF$512,MATCH('Calculations'!ID137,'Calculations'!$HE$13:$HE$512,0)),""))))</x:f>
      </x:c>
      <x:c r="IF137" t="str">
        <x:f>IF('Calculations'!IE137="","",IF('Calculations'!IE137="!AMBIG","!AMBIG",IF(COUNTIF('Calculations'!$HE$13:$HE$512,"="&amp;SUBSTITUTE(SUBSTITUTE(SUBSTITUTE('Calculations'!IE137,"~","~~"),"*","~*"),"?","~?"))&gt;1,"!AMBIG",IFERROR(INDEX('Calculations'!$HF$13:$HF$512,MATCH('Calculations'!IE137,'Calculations'!$HE$13:$HE$512,0)),""))))</x:f>
      </x:c>
      <x:c r="IG137" t="str">
        <x:f>IF('Calculations'!IF137="","",IF('Calculations'!IF137="!AMBIG","!AMBIG",IF(COUNTIF('Calculations'!$HE$13:$HE$512,"="&amp;SUBSTITUTE(SUBSTITUTE(SUBSTITUTE('Calculations'!IF137,"~","~~"),"*","~*"),"?","~?"))&gt;1,"!AMBIG",IFERROR(INDEX('Calculations'!$HF$13:$HF$512,MATCH('Calculations'!IF137,'Calculations'!$HE$13:$HE$512,0)),""))))</x:f>
      </x:c>
      <x:c r="IH137" t="str">
        <x:f>IF('Calculations'!IG137="","",IF('Calculations'!IG137="!AMBIG","!AMBIG",IF(COUNTIF('Calculations'!$HE$13:$HE$512,"="&amp;SUBSTITUTE(SUBSTITUTE(SUBSTITUTE('Calculations'!IG137,"~","~~"),"*","~*"),"?","~?"))&gt;1,"!AMBIG",IFERROR(INDEX('Calculations'!$HF$13:$HF$512,MATCH('Calculations'!IG137,'Calculations'!$HE$13:$HE$512,0)),""))))</x:f>
      </x:c>
      <x:c r="II137" t="str">
        <x:f>IF('Calculations'!IH137="","",IF('Calculations'!IH137="!AMBIG","!AMBIG",IF(COUNTIF('Calculations'!$HE$13:$HE$512,"="&amp;SUBSTITUTE(SUBSTITUTE(SUBSTITUTE('Calculations'!IH137,"~","~~"),"*","~*"),"?","~?"))&gt;1,"!AMBIG",IFERROR(INDEX('Calculations'!$HF$13:$HF$512,MATCH('Calculations'!IH137,'Calculations'!$HE$13:$HE$512,0)),""))))</x:f>
      </x:c>
      <x:c r="IJ137" t="str">
        <x:f>IF('Calculations'!EM137="","",IF('Calculations'!$EF$2="All",'Calculations'!HM137,IF('Calculations'!HL137=1,"",IFERROR(IF(MATCH('Calculations'!$EF$2,'Calculations'!HO137:II137,0)=1,'Calculations'!HE137,INDEX('Calculations'!HO137:II137,1,MATCH('Calculations'!$EF$2,'Calculations'!HO137:II137,0)-1)),""))))</x:f>
      </x:c>
      <x:c r="IK137" t="n">
        <x:f>IF(AND('Calculations'!EM137&lt;&gt;"",'Calculations'!$EF$2&lt;&gt;"All",'Calculations'!HF137='Calculations'!$EF$2,'Calculations'!HL137=0,'Calculations'!JD137&gt;0),MAX('Calculations'!$IK$12:IK136)+1,0)</x:f>
        <x:v>0</x:v>
      </x:c>
      <x:c r="JA137" t="n">
        <x:f>IF(OR(IFERROR(INDIRECT("'WCM Calibration Final'!$A$137")&lt;&gt;"",FALSE),IFERROR(INDIRECT("'WCM Calibration Final'!$B$137")&lt;&gt;"",FALSE),IFERROR(INDIRECT("'WCM Calibration Final'!$C$137")&lt;&gt;"",FALSE)),137,0)</x:f>
        <x:v>0</x:v>
      </x:c>
      <x:c r="JB137" t="n">
        <x:f>'Calculations'!JB136+IF('Calculations'!JA137&gt;0,1,0)</x:f>
        <x:v>0</x:v>
      </x:c>
      <x:c r="JC137" t="n">
        <x:f>IF(OR('Calculations'!HF137="",'Calculations'!HF137="!AMBIG"),0,IF('Dashboard'!$B$7="All",1,COUNTIFS('Calculations'!$HO$13:$HO$512,"="&amp;SUBSTITUTE(SUBSTITUTE(SUBSTITUTE('Calculations'!HF137,"~","~~"),"*","~*"),"?","~?"),'Calculations'!$HN$13:$HN$512,"="&amp;SUBSTITUTE(SUBSTITUTE(SUBSTITUTE('Dashboard'!$B$7,"~","~~"),"*","~*"),"?","~?"))+COUNTIFS('Calculations'!$HP$13:$HP$512,"="&amp;SUBSTITUTE(SUBSTITUTE(SUBSTITUTE('Calculations'!HF137,"~","~~"),"*","~*"),"?","~?"),'Calculations'!$HN$13:$HN$512,"="&amp;SUBSTITUTE(SUBSTITUTE(SUBSTITUTE('Dashboard'!$B$7,"~","~~"),"*","~*"),"?","~?"))+COUNTIFS('Calculations'!$HQ$13:$HQ$512,"="&amp;SUBSTITUTE(SUBSTITUTE(SUBSTITUTE('Calculations'!HF137,"~","~~"),"*","~*"),"?","~?"),'Calculations'!$HN$13:$HN$512,"="&amp;SUBSTITUTE(SUBSTITUTE(SUBSTITUTE('Dashboard'!$B$7,"~","~~"),"*","~*"),"?","~?"))+COUNTIFS('Calculations'!$HR$13:$HR$512,"="&amp;SUBSTITUTE(SUBSTITUTE(SUBSTITUTE('Calculations'!HF137,"~","~~"),"*","~*"),"?","~?"),'Calculations'!$HN$13:$HN$512,"="&amp;SUBSTITUTE(SUBSTITUTE(SUBSTITUTE('Dashboard'!$B$7,"~","~~"),"*","~*"),"?","~?"))+COUNTIFS('Calculations'!$HS$13:$HS$512,"="&amp;SUBSTITUTE(SUBSTITUTE(SUBSTITUTE('Calculations'!HF137,"~","~~"),"*","~*"),"?","~?"),'Calculations'!$HN$13:$HN$512,"="&amp;SUBSTITUTE(SUBSTITUTE(SUBSTITUTE('Dashboard'!$B$7,"~","~~"),"*","~*"),"?","~?"))+COUNTIFS('Calculations'!$HT$13:$HT$512,"="&amp;SUBSTITUTE(SUBSTITUTE(SUBSTITUTE('Calculations'!HF137,"~","~~"),"*","~*"),"?","~?"),'Calculations'!$HN$13:$HN$512,"="&amp;SUBSTITUTE(SUBSTITUTE(SUBSTITUTE('Dashboard'!$B$7,"~","~~"),"*","~*"),"?","~?"))+COUNTIFS('Calculations'!$HU$13:$HU$512,"="&amp;SUBSTITUTE(SUBSTITUTE(SUBSTITUTE('Calculations'!HF137,"~","~~"),"*","~*"),"?","~?"),'Calculations'!$HN$13:$HN$512,"="&amp;SUBSTITUTE(SUBSTITUTE(SUBSTITUTE('Dashboard'!$B$7,"~","~~"),"*","~*"),"?","~?"))+COUNTIFS('Calculations'!$HV$13:$HV$512,"="&amp;SUBSTITUTE(SUBSTITUTE(SUBSTITUTE('Calculations'!HF137,"~","~~"),"*","~*"),"?","~?"),'Calculations'!$HN$13:$HN$512,"="&amp;SUBSTITUTE(SUBSTITUTE(SUBSTITUTE('Dashboard'!$B$7,"~","~~"),"*","~*"),"?","~?"))+COUNTIFS('Calculations'!$HW$13:$HW$512,"="&amp;SUBSTITUTE(SUBSTITUTE(SUBSTITUTE('Calculations'!HF137,"~","~~"),"*","~*"),"?","~?"),'Calculations'!$HN$13:$HN$512,"="&amp;SUBSTITUTE(SUBSTITUTE(SUBSTITUTE('Dashboard'!$B$7,"~","~~"),"*","~*"),"?","~?"))+COUNTIFS('Calculations'!$HX$13:$HX$512,"="&amp;SUBSTITUTE(SUBSTITUTE(SUBSTITUTE('Calculations'!HF137,"~","~~"),"*","~*"),"?","~?"),'Calculations'!$HN$13:$HN$512,"="&amp;SUBSTITUTE(SUBSTITUTE(SUBSTITUTE('Dashboard'!$B$7,"~","~~"),"*","~*"),"?","~?"))+COUNTIFS('Calculations'!$HY$13:$HY$512,"="&amp;SUBSTITUTE(SUBSTITUTE(SUBSTITUTE('Calculations'!HF137,"~","~~"),"*","~*"),"?","~?"),'Calculations'!$HN$13:$HN$512,"="&amp;SUBSTITUTE(SUBSTITUTE(SUBSTITUTE('Dashboard'!$B$7,"~","~~"),"*","~*"),"?","~?"))+COUNTIFS('Calculations'!$HZ$13:$HZ$512,"="&amp;SUBSTITUTE(SUBSTITUTE(SUBSTITUTE('Calculations'!HF137,"~","~~"),"*","~*"),"?","~?"),'Calculations'!$HN$13:$HN$512,"="&amp;SUBSTITUTE(SUBSTITUTE(SUBSTITUTE('Dashboard'!$B$7,"~","~~"),"*","~*"),"?","~?"))+COUNTIFS('Calculations'!$IA$13:$IA$512,"="&amp;SUBSTITUTE(SUBSTITUTE(SUBSTITUTE('Calculations'!HF137,"~","~~"),"*","~*"),"?","~?"),'Calculations'!$HN$13:$HN$512,"="&amp;SUBSTITUTE(SUBSTITUTE(SUBSTITUTE('Dashboard'!$B$7,"~","~~"),"*","~*"),"?","~?"))+COUNTIFS('Calculations'!$IB$13:$IB$512,"="&amp;SUBSTITUTE(SUBSTITUTE(SUBSTITUTE('Calculations'!HF137,"~","~~"),"*","~*"),"?","~?"),'Calculations'!$HN$13:$HN$512,"="&amp;SUBSTITUTE(SUBSTITUTE(SUBSTITUTE('Dashboard'!$B$7,"~","~~"),"*","~*"),"?","~?"))+COUNTIFS('Calculations'!$IC$13:$IC$512,"="&amp;SUBSTITUTE(SUBSTITUTE(SUBSTITUTE('Calculations'!HF137,"~","~~"),"*","~*"),"?","~?"),'Calculations'!$HN$13:$HN$512,"="&amp;SUBSTITUTE(SUBSTITUTE(SUBSTITUTE('Dashboard'!$B$7,"~","~~"),"*","~*"),"?","~?"))+COUNTIFS('Calculations'!$ID$13:$ID$512,"="&amp;SUBSTITUTE(SUBSTITUTE(SUBSTITUTE('Calculations'!HF137,"~","~~"),"*","~*"),"?","~?"),'Calculations'!$HN$13:$HN$512,"="&amp;SUBSTITUTE(SUBSTITUTE(SUBSTITUTE('Dashboard'!$B$7,"~","~~"),"*","~*"),"?","~?"))+COUNTIFS('Calculations'!$IE$13:$IE$512,"="&amp;SUBSTITUTE(SUBSTITUTE(SUBSTITUTE('Calculations'!HF137,"~","~~"),"*","~*"),"?","~?"),'Calculations'!$HN$13:$HN$512,"="&amp;SUBSTITUTE(SUBSTITUTE(SUBSTITUTE('Dashboard'!$B$7,"~","~~"),"*","~*"),"?","~?"))+COUNTIFS('Calculations'!$IF$13:$IF$512,"="&amp;SUBSTITUTE(SUBSTITUTE(SUBSTITUTE('Calculations'!HF137,"~","~~"),"*","~*"),"?","~?"),'Calculations'!$HN$13:$HN$512,"="&amp;SUBSTITUTE(SUBSTITUTE(SUBSTITUTE('Dashboard'!$B$7,"~","~~"),"*","~*"),"?","~?"))+COUNTIFS('Calculations'!$IG$13:$IG$512,"="&amp;SUBSTITUTE(SUBSTITUTE(SUBSTITUTE('Calculations'!HF137,"~","~~"),"*","~*"),"?","~?"),'Calculations'!$HN$13:$HN$512,"="&amp;SUBSTITUTE(SUBSTITUTE(SUBSTITUTE('Dashboard'!$B$7,"~","~~"),"*","~*"),"?","~?"))+COUNTIFS('Calculations'!$IH$13:$IH$512,"="&amp;SUBSTITUTE(SUBSTITUTE(SUBSTITUTE('Calculations'!HF137,"~","~~"),"*","~*"),"?","~?"),'Calculations'!$HN$13:$HN$512,"="&amp;SUBSTITUTE(SUBSTITUTE(SUBSTITUTE('Dashboard'!$B$7,"~","~~"),"*","~*"),"?","~?"))))</x:f>
        <x:v>0</x:v>
      </x:c>
      <x:c r="JD137" t="n">
        <x:f>IF('Calculations'!EM137="",0,IF('Dashboard'!$B$7="All",1,IF('Calculations'!HN137='Dashboard'!$B$7,1,0)+IFERROR(INDEX('Calculations'!$JC$13:$JC$512,MATCH('Calculations'!HE137,'Calculations'!$HF$13:$HF$512,0)),0)))</x:f>
        <x:v>0</x:v>
      </x:c>
      <x:c r="JE137" t="n">
        <x:f>IF(AND('Calculations'!EM137&lt;&gt;"",'Calculations'!$JJ$2&lt;&gt;"All",'Calculations'!$JJ$2&lt;&gt;"",'Calculations'!HF137='Calculations'!$JJ$2,'Calculations'!HL137=0,'Calculations'!JD137&gt;0),MAX('Calculations'!$JE$12:JE136)+1,0)</x:f>
        <x:v>0</x:v>
      </x:c>
      <x:c r="JF137" t="str">
        <x:f>IF('Calculations'!EM137="","",IFERROR(IF(INDEX(INDIRECT("'WCM Calibration Final'!$G$1:$G$2000"),'Calculations'!$EM137)="","",TRIM(INDEX(INDIRECT("'WCM Calibration Final'!$G$1:$G$2000"),'Calculations'!$EM137)&amp;"")),""))</x:f>
      </x:c>
      <x:c r="JQ137" t="n">
        <x:f>IF(OR('Calculations'!BM137=0,NOT('Calculations'!$AG$2),'Calculations'!$AG$8&gt;0),0,IF(OR('Dashboard'!$B$7="All",'Calculations'!HN137='Dashboard'!$B$7),IF('Calculations'!$JJ$2="All",1,IF(AND('Calculations'!HF137='Calculations'!$JJ$2,'Calculations'!HL137=0),1,0)),0))</x:f>
        <x:v>0</x:v>
      </x:c>
    </x:row>
    <x:row r="138">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t="n">
        <x:f>IF('Calculations'!$EM138="",0,IF(OR(IFERROR(INDEX(INDIRECT("'WCM Calibration Final'!$A$1:$A$2000"),'Calculations'!$EM138)&lt;&gt;"",FALSE),IFERROR(INDEX(INDIRECT("'WCM Calibration Final'!$B$1:$B$2000"),'Calculations'!$EM138)&lt;&gt;"",FALSE),IFERROR(INDEX(INDIRECT("'WCM Calibration Final'!$C$1:$C$2000"),'Calculations'!$EM138)&lt;&gt;"",FALSE)),1,0))</x:f>
        <x:v>0</x:v>
      </x:c>
      <x:c r="BN138" s="4" t="n">
        <x:f>IF(AND('Calculations'!BM138=1,'Calculations'!$AG$2,'Calculations'!$EN138=1),1,0)</x:f>
        <x:v>0</x:v>
      </x:c>
      <x:c r="BO138" s="4" t="str">
        <x:f>IF('Calculations'!BM138=0,"",IFERROR(IF(AND(VALUE(INDEX(INDIRECT("'WCM Calibration Final'!$K$1:$K$2000"),'Calculations'!$EM138))&gt;=1,VALUE(INDEX(INDIRECT("'WCM Calibration Final'!$K$1:$K$2000"),'Calculations'!$EM138))&lt;=4,MOD(VALUE(INDEX(INDIRECT("'WCM Calibration Final'!$K$1:$K$2000"),'Calculations'!$EM138)),1)=0),VALUE(INDEX(INDIRECT("'WCM Calibration Final'!$K$1:$K$2000"),'Calculations'!$EM138)),""),""))</x:f>
      </x:c>
      <x:c r="BP138" s="4" t="str">
        <x:f>IF('Calculations'!BM138=0,"",IFERROR(IF(AND(VALUE(INDEX(INDIRECT("'WCM Calibration Final'!$L$1:$L$2000"),'Calculations'!$EM138))&gt;=1,VALUE(INDEX(INDIRECT("'WCM Calibration Final'!$L$1:$L$2000"),'Calculations'!$EM138))&lt;=4,MOD(VALUE(INDEX(INDIRECT("'WCM Calibration Final'!$L$1:$L$2000"),'Calculations'!$EM138)),1)=0),VALUE(INDEX(INDIRECT("'WCM Calibration Final'!$L$1:$L$2000"),'Calculations'!$EM138)),""),""))</x:f>
      </x:c>
      <x:c r="BQ138" s="4"/>
      <x:c r="BR138" s="4"/>
      <x:c r="BS138" s="4"/>
      <x:c r="BT138" s="4" t="n">
        <x:f>IF(AND('Calculations'!BM138=1,ISNUMBER('Calculations'!BO138),ISNUMBER('Calculations'!BP138)),1,0)</x:f>
        <x:v>0</x:v>
      </x:c>
      <x:c r="BU138" s="4" t="str">
        <x:f>IF('Calculations'!BM138=0,"",'Calculations'!$EO138)</x:f>
      </x:c>
      <x:c r="BV138" s="4" t="str">
        <x:f>IF('Calculations'!BM138=0,"",IFERROR(IF(OR(INDEX(INDIRECT("'WCM Calibration Final'!$H$1:$H$2000"),'Calculations'!$EM138)="MANAGING DIRECTOR",INDEX(INDIRECT("'WCM Calibration Final'!$H$1:$H$2000"),'Calculations'!$EM138)="DIRECTOR",INDEX(INDIRECT("'WCM Calibration Final'!$H$1:$H$2000"),'Calculations'!$EM138)="SENIOR VICE PRESIDENT",INDEX(INDIRECT("'WCM Calibration Final'!$H$1:$H$2000"),'Calculations'!$EM138)="VICE PRESIDENT",INDEX(INDIRECT("'WCM Calibration Final'!$H$1:$H$2000"),'Calculations'!$EM138)="ASSISTANT VICE PRESIDENT",INDEX(INDIRECT("'WCM Calibration Final'!$H$1:$H$2000"),'Calculations'!$EM138)="OFFICER"),UPPER(INDEX(INDIRECT("'WCM Calibration Final'!$H$1:$H$2000"),'Calculations'!$EM138)),"Other"),"Other"))</x:f>
      </x:c>
      <x:c r="BW138" s="4"/>
      <x:c r="BX138" s="4"/>
      <x:c r="BY138" s="4" t="n">
        <x:f>IF(AND('Calculations'!BM138=1,'Calculations'!BU138&lt;&gt;"",COUNTIF('Calculations'!$BU$12:BU138,'Calculations'!BU138)=1),MAX('Calculations'!$BY$11:BY137)+1,0)</x:f>
        <x:v>0</x:v>
      </x:c>
      <x:c r="BZ138" s="4" t="str">
        <x:f>IF('Dashboard'!$E$67="What",'Calculations'!BO138,'Calculations'!BP138)</x:f>
      </x:c>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t="str">
        <x:f>IF(127&gt;MAX('Calculations'!$HI$13:$HI$512),"",INDEX('Calculations'!$HN$13:$HN$512,MATCH(127,'Calculations'!$HI$13:$HI$512,0)))</x:f>
      </x:c>
      <x:c r="DB138" s="4" t="str">
        <x:f>IF(127&gt;MAX('Calculations'!$HH$13:$HH$512),"",INDEX('Calculations'!$HJ$13:$HJ$512,MATCH(127,'Calculations'!$HH$13:$HH$512,0)))</x:f>
      </x:c>
      <x:c r="DC138" s="4" t="str">
        <x:f>IF(ROW()-11&gt;MAX('Calculations'!$BY$13:$BY$512),"",INDEX('Calculations'!$BU$13:$BU$512,MATCH(ROW()-11,'Calculations'!$BY$13:$BY$512,0)))</x:f>
      </x:c>
      <x:c r="DD138" s="4" t="str">
        <x:f>IF(127&gt;MAX('Calculations'!$IK$13:$IK$512),"",INDEX('Calculations'!$HK$13:$HK$512,MATCH(127,'Calculations'!$IK$13:$IK$512,0)))</x:f>
      </x:c>
      <x:c r="DE138" s="4" t="str">
        <x:f>'Calculations'!DC138</x:f>
      </x:c>
      <x:c r="DF138" s="4" t="str">
        <x:f>IF('Calculations'!DE138="","",COUNTIFS('Calculations'!$BN$13:$BN$512,1,'Calculations'!$BU$13:$BU$512,'Calculations'!DE138))</x:f>
      </x:c>
      <x:c r="DG138" s="4" t="str">
        <x:f>IF('Calculations'!DE138="","",COUNTIFS('Calculations'!$BN$13:$BN$512,1,'Calculations'!$BU$13:$BU$512,'Calculations'!DE138,'Calculations'!$BT$13:$BT$512,1))</x:f>
      </x:c>
      <x:c r="DH138" s="4" t="str">
        <x:f>IF('Calculations'!DE138="","",'Calculations'!DF138-'Calculations'!DG138)</x:f>
      </x:c>
      <x:c r="DI138" s="4" t="str">
        <x:f>IF(OR('Calculations'!DE138="",'Calculations'!DF138=0),"",'Calculations'!DG138/'Calculations'!DF138)</x:f>
      </x:c>
      <x:c r="DJ138" s="4" t="str">
        <x:f>IF('Calculations'!DE138="","",COUNTIFS('Calculations'!$BN$13:$BN$512,1,'Calculations'!$BU$13:$BU$512,'Calculations'!DE138,'Calculations'!$BT$13:$BT$512,1,'Calculations'!$EE$13:$EE$512,"High"))</x:f>
      </x:c>
      <x:c r="DK138" s="4" t="str">
        <x:f>IF('Calculations'!DE138="","",COUNTIFS('Calculations'!$BN$13:$BN$512,1,'Calculations'!$BU$13:$BU$512,'Calculations'!DE138,'Calculations'!$BT$13:$BT$512,1,'Calculations'!$EE$13:$EE$512,"Strong"))</x:f>
      </x:c>
      <x:c r="DL138" s="4" t="str">
        <x:f>IF('Calculations'!DE138="","",COUNTIFS('Calculations'!$BN$13:$BN$512,1,'Calculations'!$BU$13:$BU$512,'Calculations'!DE138,'Calculations'!$BT$13:$BT$512,1,'Calculations'!$EE$13:$EE$512,"Solid"))</x:f>
      </x:c>
      <x:c r="DM138" s="4" t="str">
        <x:f>IF('Calculations'!DE138="","",COUNTIFS('Calculations'!$BN$13:$BN$512,1,'Calculations'!$BU$13:$BU$512,'Calculations'!DE138,'Calculations'!$BT$13:$BT$512,1,'Calculations'!$EE$13:$EE$512,"Low"))</x:f>
      </x:c>
      <x:c r="DN138" s="4" t="str">
        <x:f>IF('Calculations'!DE138="","",COUNTIFS('Calculations'!$BN$13:$BN$512,1,'Calculations'!$BU$13:$BU$512,'Calculations'!DE138,'Calculations'!$EP$13:$EP$512,1))</x:f>
      </x:c>
      <x:c r="DO138" s="4" t="str">
        <x:f>IF(OR('Calculations'!DE138="",'Calculations'!DG138=0),"",('Calculations'!DJ138+'Calculations'!DK138)/'Calculations'!DG138)</x:f>
      </x:c>
      <x:c r="DP138" s="4" t="n">
        <x:f>IF(AND('Calculations'!DE138&lt;&gt;"",'Calculations'!DF138&gt;0),COUNTIF('Calculations'!$DF$12:DF138,"&gt;0"),0)</x:f>
        <x:v>0</x:v>
      </x:c>
      <x:c r="DQ138" s="4" t="str">
        <x:f>IF(127&gt;MAX('Calculations'!$HH$13:$HH$512),"",INDEX('Calculations'!$HF$13:$HF$512,MATCH(127,'Calculations'!$HH$13:$HH$512,0)))</x:f>
      </x:c>
      <x:c r="DR138" s="4" t="str">
        <x:f>IF(127&gt;MAX('Calculations'!$IK$13:$IK$512),"",INDEX('Calculations'!$HE$13:$HE$512,MATCH(127,'Calculations'!$IK$13:$IK$512,0)))</x:f>
      </x:c>
      <x:c r="DS138" s="4"/>
      <x:c r="DT138" s="4"/>
      <x:c r="DU138" s="4"/>
      <x:c r="DV138" s="4"/>
      <x:c r="DW138" s="4"/>
      <x:c r="DX138" s="4"/>
      <x:c r="DY138" s="4"/>
      <x:c r="DZ138" s="4"/>
      <x:c r="EA138" s="4"/>
      <x:c r="EB138" s="4"/>
      <x:c r="EC138" s="4"/>
      <x:c r="ED138" s="4"/>
      <x:c r="EE138" s="4" t="str">
        <x:f>IF('Calculations'!BT138=0,"Not Rated",IF(OR('Calculations'!BO138&gt;=4,'Calculations'!BP138&gt;=4),"Low",IF('Calculations'!BO138+'Calculations'!BP138&lt;=3,"High",IF('Calculations'!BO138+'Calculations'!BP138&lt;=4,"Strong","Solid"))))</x:f>
        <x:v>Not Rated</x:v>
      </x:c>
      <x:c r="EF138" s="4"/>
      <x:c r="EG138" s="4"/>
      <x:c r="EH138" s="4"/>
      <x:c r="EI138" s="4"/>
      <x:c r="EJ138" s="4"/>
      <x:c r="EK138" s="4"/>
      <x:c r="EL138" s="4"/>
      <x:c r="EM138" s="4" t="str">
        <x:f>IF(126&gt;'Calculations'!$JB$2000,"",INDEX('Calculations'!$JA$12:$JA$2000,MATCH(126,'Calculations'!$JB$12:$JB$2000,0)))</x:f>
      </x:c>
      <x:c r="EN138" s="4" t="n">
        <x:f>IF(OR('Calculations'!EM138="",'Calculations'!$AG$8&gt;0,AND('Calculations'!$EF$2&lt;&gt;"All",'Calculations'!HE138='Calculations'!$EF$2),AND('Calculations'!$EF$3&lt;&gt;"All",'Calculations'!HE138='Calculations'!$EF$3)),0,IF(OR('Dashboard'!$B$7="All",'Calculations'!HN138='Dashboard'!$B$7),IF('Calculations'!$EF$2="All",1,IF('Calculations'!HL138&gt;0,0,IF(COUNTIF('Calculations'!HO138:II138,"="&amp;SUBSTITUTE(SUBSTITUTE(SUBSTITUTE('Calculations'!$EF$2,"~","~~"),"*","~*"),"?","~?"))=0,0,IF('Calculations'!$EF$3="All",1,IF(COUNTIF('Calculations'!HO138:II138,"="&amp;SUBSTITUTE(SUBSTITUTE(SUBSTITUTE('Calculations'!$EF$3,"~","~~"),"*","~*"),"?","~?"))&gt;0,1,0))))),0))</x:f>
        <x:v>0</x:v>
      </x:c>
      <x:c r="EO138" s="4" t="str">
        <x:f>IF('Calculations'!IJ138="","",IF('Calculations'!IJ138="!UNRESOLVED","Unresolved hierarchy",IFERROR(INDEX('Calculations'!$HK$13:$HK$512,MATCH('Calculations'!IJ138,'Calculations'!$HE$13:$HE$512,0)),IFERROR(INDEX('Calculations'!$HJ$13:$HJ$512,MATCH('Calculations'!IJ138,'Calculations'!$HF$13:$HF$512,0)),'Calculations'!IJ138))))</x:f>
      </x:c>
      <x:c r="EP138" s="4" t="n">
        <x:f>IF(AND('Calculations'!EM138&lt;&gt;"",'Calculations'!HF138='Calculations'!IJ138),1,0)</x:f>
        <x:v>0</x:v>
      </x:c>
      <x:c r="EQ138" s="4"/>
      <x:c r="ER138" s="4"/>
      <x:c r="ES138" s="4"/>
      <x:c r="ET138" s="4"/>
      <x:c r="EU138" s="4"/>
      <x:c r="EV138" s="4"/>
      <x:c r="EW138" s="4"/>
      <x:c r="EX138" s="4"/>
      <x:c r="EY138" s="4"/>
      <x:c r="EZ138" s="4"/>
      <x:c r="FA138" s="4"/>
      <x:c r="FB138" s="4"/>
      <x:c r="FC138" s="4"/>
      <x:c r="FD138" s="4"/>
      <x:c r="FE138" s="4"/>
      <x:c r="FF138" s="4"/>
      <x:c r="FG138" s="4"/>
      <x:c r="FH138" s="4"/>
      <x:c r="FI138" s="4"/>
      <x:c r="FJ138" s="4"/>
      <x:c r="FK138" s="4"/>
      <x:c r="FL138" s="4"/>
      <x:c r="FM138" s="4"/>
      <x:c r="FN138" s="4"/>
      <x:c r="FO138" s="4"/>
      <x:c r="GA138" s="71"/>
      <x:c r="GB138" s="71"/>
      <x:c r="GC138" s="71"/>
      <x:c r="GD138" s="71"/>
      <x:c r="GE138" s="71"/>
      <x:c r="GF138" s="71"/>
      <x:c r="GG138" s="71"/>
      <x:c r="GH138" s="71"/>
      <x:c r="GI138" s="71"/>
      <x:c r="GJ138" s="71"/>
      <x:c r="GK138" s="71"/>
      <x:c r="GL138" s="71"/>
      <x:c r="GM138" s="71"/>
      <x:c r="GN138" s="71"/>
      <x:c r="GO138" s="71"/>
      <x:c r="GP138" s="71"/>
      <x:c r="GQ138" s="71"/>
      <x:c r="GR138" s="71"/>
      <x:c r="GS138" s="71"/>
      <x:c r="GT138" s="71"/>
      <x:c r="GU138" s="71"/>
      <x:c r="GV138" s="71"/>
      <x:c r="GW138" s="71"/>
      <x:c r="GX138" s="71" t="str">
        <x:f>IF(COUNTA('Dashboard'!N138,'Dashboard'!P138,'Dashboard'!R138,'Dashboard'!T138)=0,"No thresholds",IF(OR(COUNT('Dashboard'!N138,'Dashboard'!P138,'Dashboard'!R138,'Dashboard'!T138)&lt;&gt;COUNTA('Dashboard'!N138,'Dashboard'!P138,'Dashboard'!R138,'Dashboard'!T138),MIN('Dashboard'!N138,'Dashboard'!P138,'Dashboard'!R138,'Dashboard'!T138)&lt;0,MAX('Dashboard'!N138,'Dashboard'!P138,'Dashboard'!R138,'Dashboard'!T138)&gt;1),"Check thresholds",TEXT(SUM('Dashboard'!N138,'Dashboard'!P138,'Dashboard'!R138,'Dashboard'!T138),"0%")&amp;" - separate caps"))</x:f>
        <x:v>112% - separate caps</x:v>
      </x:c>
      <x:c r="GY138" s="71"/>
      <x:c r="GZ138" s="71"/>
      <x:c r="HA138" s="71"/>
      <x:c r="HB138" s="71"/>
      <x:c r="HC138" s="71"/>
      <x:c r="HD138" s="71"/>
      <x:c r="HE138" t="str">
        <x:f>IF('Calculations'!EM138="","",IF(IFERROR(IF(INDEX(INDIRECT("'WCM Calibration Final'!$A$1:$A$2000"),'Calculations'!$EM138)="","",TRIM(INDEX(INDIRECT("'WCM Calibration Final'!$A$1:$A$2000"),'Calculations'!$EM138)&amp;"")),"")&lt;&gt;"","G:"&amp;IFERROR(TEXT(1*INDEX(INDIRECT("'WCM Calibration Final'!$A$1:$A$2000"),'Calculations'!$EM138),"0"),UPPER(IFERROR(IF(INDEX(INDIRECT("'WCM Calibration Final'!$A$1:$A$2000"),'Calculations'!$EM138)="","",TRIM(INDEX(INDIRECT("'WCM Calibration Final'!$A$1:$A$2000"),'Calculations'!$EM138)&amp;"")),""))),IF(IFERROR(IF(INDEX(INDIRECT("'WCM Calibration Final'!$C$1:$C$2000"),'Calculations'!$EM138)="","",TRIM(INDEX(INDIRECT("'WCM Calibration Final'!$C$1:$C$2000"),'Calculations'!$EM138)&amp;"")),"")&lt;&gt;"","S:"&amp;UPPER(IFERROR(IF(INDEX(INDIRECT("'WCM Calibration Final'!$C$1:$C$2000"),'Calculations'!$EM138)="","",TRIM(INDEX(INDIRECT("'WCM Calibration Final'!$C$1:$C$2000"),'Calculations'!$EM138)&amp;"")),"")),"R:"&amp;'Calculations'!EM138)))</x:f>
      </x:c>
      <x:c r="HF138" t="str">
        <x:f>IF('Calculations'!EM138="","",IF(IFERROR(IF(INDEX(INDIRECT("'WCM Calibration Final'!$D$1:$D$2000"),'Calculations'!$EM138)="","",TRIM(INDEX(INDIRECT("'WCM Calibration Final'!$D$1:$D$2000"),'Calculations'!$EM138)&amp;"")),"")&lt;&gt;"","G:"&amp;IFERROR(TEXT(1*INDEX(INDIRECT("'WCM Calibration Final'!$D$1:$D$2000"),'Calculations'!$EM138),"0"),UPPER(IFERROR(IF(INDEX(INDIRECT("'WCM Calibration Final'!$D$1:$D$2000"),'Calculations'!$EM138)="","",TRIM(INDEX(INDIRECT("'WCM Calibration Final'!$D$1:$D$2000"),'Calculations'!$EM138)&amp;"")),""))),IF(IFERROR(IF(INDEX(INDIRECT("'WCM Calibration Final'!$E$1:$E$2000"),'Calculations'!$EM138)="","",TRIM(INDEX(INDIRECT("'WCM Calibration Final'!$E$1:$E$2000"),'Calculations'!$EM138)&amp;"")),"")="","",IF(COUNTIF('Calculations'!$HG$13:$HG$512,"="&amp;SUBSTITUTE(SUBSTITUTE(SUBSTITUTE(IFERROR(IF(INDEX(INDIRECT("'WCM Calibration Final'!$E$1:$E$2000"),'Calculations'!$EM138)="","",TRIM(INDEX(INDIRECT("'WCM Calibration Final'!$E$1:$E$2000"),'Calculations'!$EM138)&amp;"")),""),"~","~~"),"*","~*"),"?","~?"))=1,INDEX('Calculations'!$HE$13:$HE$512,MATCH(IFERROR(IF(INDEX(INDIRECT("'WCM Calibration Final'!$E$1:$E$2000"),'Calculations'!$EM138)="","",TRIM(INDEX(INDIRECT("'WCM Calibration Final'!$E$1:$E$2000"),'Calculations'!$EM138)&amp;"")),""),'Calculations'!$HG$13:$HG$512,0)),IF(COUNTIF('Calculations'!$HG$13:$HG$512,"="&amp;SUBSTITUTE(SUBSTITUTE(SUBSTITUTE(IFERROR(IF(INDEX(INDIRECT("'WCM Calibration Final'!$E$1:$E$2000"),'Calculations'!$EM138)="","",TRIM(INDEX(INDIRECT("'WCM Calibration Final'!$E$1:$E$2000"),'Calculations'!$EM138)&amp;"")),""),"~","~~"),"*","~*"),"?","~?"))&gt;1,"!AMBIG","X:"&amp;IFERROR(IF(INDEX(INDIRECT("'WCM Calibration Final'!$E$1:$E$2000"),'Calculations'!$EM138)="","",TRIM(INDEX(INDIRECT("'WCM Calibration Final'!$E$1:$E$2000"),'Calculations'!$EM138)&amp;"")),""))))))</x:f>
      </x:c>
      <x:c r="HG138" t="str">
        <x:f>IF('Calculations'!EM138="","",IFERROR(IF(INDEX(INDIRECT("'WCM Calibration Final'!$B$1:$B$2000"),'Calculations'!$EM138)="","",TRIM(INDEX(INDIRECT("'WCM Calibration Final'!$B$1:$B$2000"),'Calculations'!$EM138)&amp;"")),""))</x:f>
      </x:c>
      <x:c r="HH138" t="n">
        <x:f>IF(AND('Calculations'!JC138&gt;0,COUNTIF('Calculations'!$HF$12:HF138,"="&amp;SUBSTITUTE(SUBSTITUTE(SUBSTITUTE('Calculations'!HF138,"~","~~"),"*","~*"),"?","~?"))=1),MAX('Calculations'!$HH$12:HH137)+1,0)</x:f>
        <x:v>0</x:v>
      </x:c>
      <x:c r="HI138" t="n">
        <x:f>IF(AND('Calculations'!HN138&lt;&gt;"",COUNTIF('Calculations'!$HN$12:HN138,"="&amp;SUBSTITUTE(SUBSTITUTE(SUBSTITUTE('Calculations'!HN138,"~","~~"),"*","~*"),"?","~?"))=1),MAX('Calculations'!$HI$12:HI137)+1,0)</x:f>
        <x:v>0</x:v>
      </x:c>
      <x:c r="HJ138" t="str">
        <x:f>IF('Calculations'!HF138="","",IF(COUNTIF('Calculations'!$HE$13:$HE$512,"="&amp;SUBSTITUTE(SUBSTITUTE(SUBSTITUTE('Calculations'!HF138,"~","~~"),"*","~*"),"?","~?"))=1,INDEX('Calculations'!$HK$13:$HK$512,MATCH('Calculations'!HF138,'Calculations'!$HE$13:$HE$512,0)),IFERROR(IF(INDEX(INDIRECT("'WCM Calibration Final'!$E$1:$E$2000"),'Calculations'!$EM138)="","",TRIM(INDEX(INDIRECT("'WCM Calibration Final'!$E$1:$E$2000"),'Calculations'!$EM138)&amp;"")),"")&amp;" ["&amp;'Calculations'!HF138&amp;"]"))</x:f>
      </x:c>
      <x:c r="HK138" t="str">
        <x:f>IF('Calculations'!EM138="","",'Calculations'!HG138&amp;" ["&amp;'Calculations'!HE138&amp;"]")</x:f>
      </x:c>
      <x:c r="HL138" t="n">
        <x:f>IF('Calculations'!EM138="",0,IF(OR('Calculations'!II138&lt;&gt;"",COUNTIF('Calculations'!$HE$13:$HE$512,"="&amp;SUBSTITUTE(SUBSTITUTE(SUBSTITUTE('Calculations'!HE138,"~","~~"),"*","~*"),"?","~?"))&gt;1),1,0))</x:f>
        <x:v>0</x:v>
      </x:c>
      <x:c r="HM138" t="str">
        <x:f>IF('Calculations'!EM138="","",IF('Calculations'!HL138=1,"!UNRESOLVED",IF('Calculations'!IH138&lt;&gt;"",'Calculations'!IH138,IF('Calculations'!IG138&lt;&gt;"",'Calculations'!IG138,IF('Calculations'!IF138&lt;&gt;"",'Calculations'!IF138,IF('Calculations'!IE138&lt;&gt;"",'Calculations'!IE138,IF('Calculations'!ID138&lt;&gt;"",'Calculations'!ID138,IF('Calculations'!IC138&lt;&gt;"",'Calculations'!IC138,IF('Calculations'!IB138&lt;&gt;"",'Calculations'!IB138,IF('Calculations'!IA138&lt;&gt;"",'Calculations'!IA138,IF('Calculations'!HZ138&lt;&gt;"",'Calculations'!HZ138,IF('Calculations'!HY138&lt;&gt;"",'Calculations'!HY138,IF('Calculations'!HX138&lt;&gt;"",'Calculations'!HX138,IF('Calculations'!HW138&lt;&gt;"",'Calculations'!HW138,IF('Calculations'!HV138&lt;&gt;"",'Calculations'!HV138,IF('Calculations'!HU138&lt;&gt;"",'Calculations'!HU138,IF('Calculations'!HT138&lt;&gt;"",'Calculations'!HT138,IF('Calculations'!HS138&lt;&gt;"",'Calculations'!HS138,IF('Calculations'!HR138&lt;&gt;"",'Calculations'!HR138,IF('Calculations'!HQ138&lt;&gt;"",'Calculations'!HQ138,IF('Calculations'!HP138&lt;&gt;"",'Calculations'!HP138,IF('Calculations'!HO138&lt;&gt;"",'Calculations'!HO138,'Calculations'!HE138))))))))))))))))))))))</x:f>
      </x:c>
      <x:c r="HN138" t="str">
        <x:f>IF('Calculations'!EM138="","",IF(IFERROR(IF(INDEX(INDIRECT("'WCM Calibration Final'!$F$1:$F$2000"),'Calculations'!$EM138)="","",TRIM(INDEX(INDIRECT("'WCM Calibration Final'!$F$1:$F$2000"),'Calculations'!$EM138)&amp;"")),"")="","(Blank)",IFERROR(IF(INDEX(INDIRECT("'WCM Calibration Final'!$F$1:$F$2000"),'Calculations'!$EM138)="","",TRIM(INDEX(INDIRECT("'WCM Calibration Final'!$F$1:$F$2000"),'Calculations'!$EM138)&amp;"")),"")))</x:f>
      </x:c>
      <x:c r="HO138" t="str">
        <x:f>'Calculations'!HF138</x:f>
      </x:c>
      <x:c r="HP138" t="str">
        <x:f>IF('Calculations'!HO138="","",IF('Calculations'!HO138="!AMBIG","!AMBIG",IF(COUNTIF('Calculations'!$HE$13:$HE$512,"="&amp;SUBSTITUTE(SUBSTITUTE(SUBSTITUTE('Calculations'!HO138,"~","~~"),"*","~*"),"?","~?"))&gt;1,"!AMBIG",IFERROR(INDEX('Calculations'!$HF$13:$HF$512,MATCH('Calculations'!HO138,'Calculations'!$HE$13:$HE$512,0)),""))))</x:f>
      </x:c>
      <x:c r="HQ138" t="str">
        <x:f>IF('Calculations'!HP138="","",IF('Calculations'!HP138="!AMBIG","!AMBIG",IF(COUNTIF('Calculations'!$HE$13:$HE$512,"="&amp;SUBSTITUTE(SUBSTITUTE(SUBSTITUTE('Calculations'!HP138,"~","~~"),"*","~*"),"?","~?"))&gt;1,"!AMBIG",IFERROR(INDEX('Calculations'!$HF$13:$HF$512,MATCH('Calculations'!HP138,'Calculations'!$HE$13:$HE$512,0)),""))))</x:f>
      </x:c>
      <x:c r="HR138" t="str">
        <x:f>IF('Calculations'!HQ138="","",IF('Calculations'!HQ138="!AMBIG","!AMBIG",IF(COUNTIF('Calculations'!$HE$13:$HE$512,"="&amp;SUBSTITUTE(SUBSTITUTE(SUBSTITUTE('Calculations'!HQ138,"~","~~"),"*","~*"),"?","~?"))&gt;1,"!AMBIG",IFERROR(INDEX('Calculations'!$HF$13:$HF$512,MATCH('Calculations'!HQ138,'Calculations'!$HE$13:$HE$512,0)),""))))</x:f>
      </x:c>
      <x:c r="HS138" t="str">
        <x:f>IF('Calculations'!HR138="","",IF('Calculations'!HR138="!AMBIG","!AMBIG",IF(COUNTIF('Calculations'!$HE$13:$HE$512,"="&amp;SUBSTITUTE(SUBSTITUTE(SUBSTITUTE('Calculations'!HR138,"~","~~"),"*","~*"),"?","~?"))&gt;1,"!AMBIG",IFERROR(INDEX('Calculations'!$HF$13:$HF$512,MATCH('Calculations'!HR138,'Calculations'!$HE$13:$HE$512,0)),""))))</x:f>
      </x:c>
      <x:c r="HT138" t="str">
        <x:f>IF('Calculations'!HS138="","",IF('Calculations'!HS138="!AMBIG","!AMBIG",IF(COUNTIF('Calculations'!$HE$13:$HE$512,"="&amp;SUBSTITUTE(SUBSTITUTE(SUBSTITUTE('Calculations'!HS138,"~","~~"),"*","~*"),"?","~?"))&gt;1,"!AMBIG",IFERROR(INDEX('Calculations'!$HF$13:$HF$512,MATCH('Calculations'!HS138,'Calculations'!$HE$13:$HE$512,0)),""))))</x:f>
      </x:c>
      <x:c r="HU138" t="str">
        <x:f>IF('Calculations'!HT138="","",IF('Calculations'!HT138="!AMBIG","!AMBIG",IF(COUNTIF('Calculations'!$HE$13:$HE$512,"="&amp;SUBSTITUTE(SUBSTITUTE(SUBSTITUTE('Calculations'!HT138,"~","~~"),"*","~*"),"?","~?"))&gt;1,"!AMBIG",IFERROR(INDEX('Calculations'!$HF$13:$HF$512,MATCH('Calculations'!HT138,'Calculations'!$HE$13:$HE$512,0)),""))))</x:f>
      </x:c>
      <x:c r="HV138" t="str">
        <x:f>IF('Calculations'!HU138="","",IF('Calculations'!HU138="!AMBIG","!AMBIG",IF(COUNTIF('Calculations'!$HE$13:$HE$512,"="&amp;SUBSTITUTE(SUBSTITUTE(SUBSTITUTE('Calculations'!HU138,"~","~~"),"*","~*"),"?","~?"))&gt;1,"!AMBIG",IFERROR(INDEX('Calculations'!$HF$13:$HF$512,MATCH('Calculations'!HU138,'Calculations'!$HE$13:$HE$512,0)),""))))</x:f>
      </x:c>
      <x:c r="HW138" t="str">
        <x:f>IF('Calculations'!HV138="","",IF('Calculations'!HV138="!AMBIG","!AMBIG",IF(COUNTIF('Calculations'!$HE$13:$HE$512,"="&amp;SUBSTITUTE(SUBSTITUTE(SUBSTITUTE('Calculations'!HV138,"~","~~"),"*","~*"),"?","~?"))&gt;1,"!AMBIG",IFERROR(INDEX('Calculations'!$HF$13:$HF$512,MATCH('Calculations'!HV138,'Calculations'!$HE$13:$HE$512,0)),""))))</x:f>
      </x:c>
      <x:c r="HX138" t="str">
        <x:f>IF('Calculations'!HW138="","",IF('Calculations'!HW138="!AMBIG","!AMBIG",IF(COUNTIF('Calculations'!$HE$13:$HE$512,"="&amp;SUBSTITUTE(SUBSTITUTE(SUBSTITUTE('Calculations'!HW138,"~","~~"),"*","~*"),"?","~?"))&gt;1,"!AMBIG",IFERROR(INDEX('Calculations'!$HF$13:$HF$512,MATCH('Calculations'!HW138,'Calculations'!$HE$13:$HE$512,0)),""))))</x:f>
      </x:c>
      <x:c r="HY138" t="str">
        <x:f>IF('Calculations'!HX138="","",IF('Calculations'!HX138="!AMBIG","!AMBIG",IF(COUNTIF('Calculations'!$HE$13:$HE$512,"="&amp;SUBSTITUTE(SUBSTITUTE(SUBSTITUTE('Calculations'!HX138,"~","~~"),"*","~*"),"?","~?"))&gt;1,"!AMBIG",IFERROR(INDEX('Calculations'!$HF$13:$HF$512,MATCH('Calculations'!HX138,'Calculations'!$HE$13:$HE$512,0)),""))))</x:f>
      </x:c>
      <x:c r="HZ138" t="str">
        <x:f>IF('Calculations'!HY138="","",IF('Calculations'!HY138="!AMBIG","!AMBIG",IF(COUNTIF('Calculations'!$HE$13:$HE$512,"="&amp;SUBSTITUTE(SUBSTITUTE(SUBSTITUTE('Calculations'!HY138,"~","~~"),"*","~*"),"?","~?"))&gt;1,"!AMBIG",IFERROR(INDEX('Calculations'!$HF$13:$HF$512,MATCH('Calculations'!HY138,'Calculations'!$HE$13:$HE$512,0)),""))))</x:f>
      </x:c>
      <x:c r="IA138" t="str">
        <x:f>IF('Calculations'!HZ138="","",IF('Calculations'!HZ138="!AMBIG","!AMBIG",IF(COUNTIF('Calculations'!$HE$13:$HE$512,"="&amp;SUBSTITUTE(SUBSTITUTE(SUBSTITUTE('Calculations'!HZ138,"~","~~"),"*","~*"),"?","~?"))&gt;1,"!AMBIG",IFERROR(INDEX('Calculations'!$HF$13:$HF$512,MATCH('Calculations'!HZ138,'Calculations'!$HE$13:$HE$512,0)),""))))</x:f>
      </x:c>
      <x:c r="IB138" t="str">
        <x:f>IF('Calculations'!IA138="","",IF('Calculations'!IA138="!AMBIG","!AMBIG",IF(COUNTIF('Calculations'!$HE$13:$HE$512,"="&amp;SUBSTITUTE(SUBSTITUTE(SUBSTITUTE('Calculations'!IA138,"~","~~"),"*","~*"),"?","~?"))&gt;1,"!AMBIG",IFERROR(INDEX('Calculations'!$HF$13:$HF$512,MATCH('Calculations'!IA138,'Calculations'!$HE$13:$HE$512,0)),""))))</x:f>
      </x:c>
      <x:c r="IC138" t="str">
        <x:f>IF('Calculations'!IB138="","",IF('Calculations'!IB138="!AMBIG","!AMBIG",IF(COUNTIF('Calculations'!$HE$13:$HE$512,"="&amp;SUBSTITUTE(SUBSTITUTE(SUBSTITUTE('Calculations'!IB138,"~","~~"),"*","~*"),"?","~?"))&gt;1,"!AMBIG",IFERROR(INDEX('Calculations'!$HF$13:$HF$512,MATCH('Calculations'!IB138,'Calculations'!$HE$13:$HE$512,0)),""))))</x:f>
      </x:c>
      <x:c r="ID138" t="str">
        <x:f>IF('Calculations'!IC138="","",IF('Calculations'!IC138="!AMBIG","!AMBIG",IF(COUNTIF('Calculations'!$HE$13:$HE$512,"="&amp;SUBSTITUTE(SUBSTITUTE(SUBSTITUTE('Calculations'!IC138,"~","~~"),"*","~*"),"?","~?"))&gt;1,"!AMBIG",IFERROR(INDEX('Calculations'!$HF$13:$HF$512,MATCH('Calculations'!IC138,'Calculations'!$HE$13:$HE$512,0)),""))))</x:f>
      </x:c>
      <x:c r="IE138" t="str">
        <x:f>IF('Calculations'!ID138="","",IF('Calculations'!ID138="!AMBIG","!AMBIG",IF(COUNTIF('Calculations'!$HE$13:$HE$512,"="&amp;SUBSTITUTE(SUBSTITUTE(SUBSTITUTE('Calculations'!ID138,"~","~~"),"*","~*"),"?","~?"))&gt;1,"!AMBIG",IFERROR(INDEX('Calculations'!$HF$13:$HF$512,MATCH('Calculations'!ID138,'Calculations'!$HE$13:$HE$512,0)),""))))</x:f>
      </x:c>
      <x:c r="IF138" t="str">
        <x:f>IF('Calculations'!IE138="","",IF('Calculations'!IE138="!AMBIG","!AMBIG",IF(COUNTIF('Calculations'!$HE$13:$HE$512,"="&amp;SUBSTITUTE(SUBSTITUTE(SUBSTITUTE('Calculations'!IE138,"~","~~"),"*","~*"),"?","~?"))&gt;1,"!AMBIG",IFERROR(INDEX('Calculations'!$HF$13:$HF$512,MATCH('Calculations'!IE138,'Calculations'!$HE$13:$HE$512,0)),""))))</x:f>
      </x:c>
      <x:c r="IG138" t="str">
        <x:f>IF('Calculations'!IF138="","",IF('Calculations'!IF138="!AMBIG","!AMBIG",IF(COUNTIF('Calculations'!$HE$13:$HE$512,"="&amp;SUBSTITUTE(SUBSTITUTE(SUBSTITUTE('Calculations'!IF138,"~","~~"),"*","~*"),"?","~?"))&gt;1,"!AMBIG",IFERROR(INDEX('Calculations'!$HF$13:$HF$512,MATCH('Calculations'!IF138,'Calculations'!$HE$13:$HE$512,0)),""))))</x:f>
      </x:c>
      <x:c r="IH138" t="str">
        <x:f>IF('Calculations'!IG138="","",IF('Calculations'!IG138="!AMBIG","!AMBIG",IF(COUNTIF('Calculations'!$HE$13:$HE$512,"="&amp;SUBSTITUTE(SUBSTITUTE(SUBSTITUTE('Calculations'!IG138,"~","~~"),"*","~*"),"?","~?"))&gt;1,"!AMBIG",IFERROR(INDEX('Calculations'!$HF$13:$HF$512,MATCH('Calculations'!IG138,'Calculations'!$HE$13:$HE$512,0)),""))))</x:f>
      </x:c>
      <x:c r="II138" t="str">
        <x:f>IF('Calculations'!IH138="","",IF('Calculations'!IH138="!AMBIG","!AMBIG",IF(COUNTIF('Calculations'!$HE$13:$HE$512,"="&amp;SUBSTITUTE(SUBSTITUTE(SUBSTITUTE('Calculations'!IH138,"~","~~"),"*","~*"),"?","~?"))&gt;1,"!AMBIG",IFERROR(INDEX('Calculations'!$HF$13:$HF$512,MATCH('Calculations'!IH138,'Calculations'!$HE$13:$HE$512,0)),""))))</x:f>
      </x:c>
      <x:c r="IJ138" t="str">
        <x:f>IF('Calculations'!EM138="","",IF('Calculations'!$EF$2="All",'Calculations'!HM138,IF('Calculations'!HL138=1,"",IFERROR(IF(MATCH('Calculations'!$EF$2,'Calculations'!HO138:II138,0)=1,'Calculations'!HE138,INDEX('Calculations'!HO138:II138,1,MATCH('Calculations'!$EF$2,'Calculations'!HO138:II138,0)-1)),""))))</x:f>
      </x:c>
      <x:c r="IK138" t="n">
        <x:f>IF(AND('Calculations'!EM138&lt;&gt;"",'Calculations'!$EF$2&lt;&gt;"All",'Calculations'!HF138='Calculations'!$EF$2,'Calculations'!HL138=0,'Calculations'!JD138&gt;0),MAX('Calculations'!$IK$12:IK137)+1,0)</x:f>
        <x:v>0</x:v>
      </x:c>
      <x:c r="JA138" t="n">
        <x:f>IF(OR(IFERROR(INDIRECT("'WCM Calibration Final'!$A$138")&lt;&gt;"",FALSE),IFERROR(INDIRECT("'WCM Calibration Final'!$B$138")&lt;&gt;"",FALSE),IFERROR(INDIRECT("'WCM Calibration Final'!$C$138")&lt;&gt;"",FALSE)),138,0)</x:f>
        <x:v>0</x:v>
      </x:c>
      <x:c r="JB138" t="n">
        <x:f>'Calculations'!JB137+IF('Calculations'!JA138&gt;0,1,0)</x:f>
        <x:v>0</x:v>
      </x:c>
      <x:c r="JC138" t="n">
        <x:f>IF(OR('Calculations'!HF138="",'Calculations'!HF138="!AMBIG"),0,IF('Dashboard'!$B$7="All",1,COUNTIFS('Calculations'!$HO$13:$HO$512,"="&amp;SUBSTITUTE(SUBSTITUTE(SUBSTITUTE('Calculations'!HF138,"~","~~"),"*","~*"),"?","~?"),'Calculations'!$HN$13:$HN$512,"="&amp;SUBSTITUTE(SUBSTITUTE(SUBSTITUTE('Dashboard'!$B$7,"~","~~"),"*","~*"),"?","~?"))+COUNTIFS('Calculations'!$HP$13:$HP$512,"="&amp;SUBSTITUTE(SUBSTITUTE(SUBSTITUTE('Calculations'!HF138,"~","~~"),"*","~*"),"?","~?"),'Calculations'!$HN$13:$HN$512,"="&amp;SUBSTITUTE(SUBSTITUTE(SUBSTITUTE('Dashboard'!$B$7,"~","~~"),"*","~*"),"?","~?"))+COUNTIFS('Calculations'!$HQ$13:$HQ$512,"="&amp;SUBSTITUTE(SUBSTITUTE(SUBSTITUTE('Calculations'!HF138,"~","~~"),"*","~*"),"?","~?"),'Calculations'!$HN$13:$HN$512,"="&amp;SUBSTITUTE(SUBSTITUTE(SUBSTITUTE('Dashboard'!$B$7,"~","~~"),"*","~*"),"?","~?"))+COUNTIFS('Calculations'!$HR$13:$HR$512,"="&amp;SUBSTITUTE(SUBSTITUTE(SUBSTITUTE('Calculations'!HF138,"~","~~"),"*","~*"),"?","~?"),'Calculations'!$HN$13:$HN$512,"="&amp;SUBSTITUTE(SUBSTITUTE(SUBSTITUTE('Dashboard'!$B$7,"~","~~"),"*","~*"),"?","~?"))+COUNTIFS('Calculations'!$HS$13:$HS$512,"="&amp;SUBSTITUTE(SUBSTITUTE(SUBSTITUTE('Calculations'!HF138,"~","~~"),"*","~*"),"?","~?"),'Calculations'!$HN$13:$HN$512,"="&amp;SUBSTITUTE(SUBSTITUTE(SUBSTITUTE('Dashboard'!$B$7,"~","~~"),"*","~*"),"?","~?"))+COUNTIFS('Calculations'!$HT$13:$HT$512,"="&amp;SUBSTITUTE(SUBSTITUTE(SUBSTITUTE('Calculations'!HF138,"~","~~"),"*","~*"),"?","~?"),'Calculations'!$HN$13:$HN$512,"="&amp;SUBSTITUTE(SUBSTITUTE(SUBSTITUTE('Dashboard'!$B$7,"~","~~"),"*","~*"),"?","~?"))+COUNTIFS('Calculations'!$HU$13:$HU$512,"="&amp;SUBSTITUTE(SUBSTITUTE(SUBSTITUTE('Calculations'!HF138,"~","~~"),"*","~*"),"?","~?"),'Calculations'!$HN$13:$HN$512,"="&amp;SUBSTITUTE(SUBSTITUTE(SUBSTITUTE('Dashboard'!$B$7,"~","~~"),"*","~*"),"?","~?"))+COUNTIFS('Calculations'!$HV$13:$HV$512,"="&amp;SUBSTITUTE(SUBSTITUTE(SUBSTITUTE('Calculations'!HF138,"~","~~"),"*","~*"),"?","~?"),'Calculations'!$HN$13:$HN$512,"="&amp;SUBSTITUTE(SUBSTITUTE(SUBSTITUTE('Dashboard'!$B$7,"~","~~"),"*","~*"),"?","~?"))+COUNTIFS('Calculations'!$HW$13:$HW$512,"="&amp;SUBSTITUTE(SUBSTITUTE(SUBSTITUTE('Calculations'!HF138,"~","~~"),"*","~*"),"?","~?"),'Calculations'!$HN$13:$HN$512,"="&amp;SUBSTITUTE(SUBSTITUTE(SUBSTITUTE('Dashboard'!$B$7,"~","~~"),"*","~*"),"?","~?"))+COUNTIFS('Calculations'!$HX$13:$HX$512,"="&amp;SUBSTITUTE(SUBSTITUTE(SUBSTITUTE('Calculations'!HF138,"~","~~"),"*","~*"),"?","~?"),'Calculations'!$HN$13:$HN$512,"="&amp;SUBSTITUTE(SUBSTITUTE(SUBSTITUTE('Dashboard'!$B$7,"~","~~"),"*","~*"),"?","~?"))+COUNTIFS('Calculations'!$HY$13:$HY$512,"="&amp;SUBSTITUTE(SUBSTITUTE(SUBSTITUTE('Calculations'!HF138,"~","~~"),"*","~*"),"?","~?"),'Calculations'!$HN$13:$HN$512,"="&amp;SUBSTITUTE(SUBSTITUTE(SUBSTITUTE('Dashboard'!$B$7,"~","~~"),"*","~*"),"?","~?"))+COUNTIFS('Calculations'!$HZ$13:$HZ$512,"="&amp;SUBSTITUTE(SUBSTITUTE(SUBSTITUTE('Calculations'!HF138,"~","~~"),"*","~*"),"?","~?"),'Calculations'!$HN$13:$HN$512,"="&amp;SUBSTITUTE(SUBSTITUTE(SUBSTITUTE('Dashboard'!$B$7,"~","~~"),"*","~*"),"?","~?"))+COUNTIFS('Calculations'!$IA$13:$IA$512,"="&amp;SUBSTITUTE(SUBSTITUTE(SUBSTITUTE('Calculations'!HF138,"~","~~"),"*","~*"),"?","~?"),'Calculations'!$HN$13:$HN$512,"="&amp;SUBSTITUTE(SUBSTITUTE(SUBSTITUTE('Dashboard'!$B$7,"~","~~"),"*","~*"),"?","~?"))+COUNTIFS('Calculations'!$IB$13:$IB$512,"="&amp;SUBSTITUTE(SUBSTITUTE(SUBSTITUTE('Calculations'!HF138,"~","~~"),"*","~*"),"?","~?"),'Calculations'!$HN$13:$HN$512,"="&amp;SUBSTITUTE(SUBSTITUTE(SUBSTITUTE('Dashboard'!$B$7,"~","~~"),"*","~*"),"?","~?"))+COUNTIFS('Calculations'!$IC$13:$IC$512,"="&amp;SUBSTITUTE(SUBSTITUTE(SUBSTITUTE('Calculations'!HF138,"~","~~"),"*","~*"),"?","~?"),'Calculations'!$HN$13:$HN$512,"="&amp;SUBSTITUTE(SUBSTITUTE(SUBSTITUTE('Dashboard'!$B$7,"~","~~"),"*","~*"),"?","~?"))+COUNTIFS('Calculations'!$ID$13:$ID$512,"="&amp;SUBSTITUTE(SUBSTITUTE(SUBSTITUTE('Calculations'!HF138,"~","~~"),"*","~*"),"?","~?"),'Calculations'!$HN$13:$HN$512,"="&amp;SUBSTITUTE(SUBSTITUTE(SUBSTITUTE('Dashboard'!$B$7,"~","~~"),"*","~*"),"?","~?"))+COUNTIFS('Calculations'!$IE$13:$IE$512,"="&amp;SUBSTITUTE(SUBSTITUTE(SUBSTITUTE('Calculations'!HF138,"~","~~"),"*","~*"),"?","~?"),'Calculations'!$HN$13:$HN$512,"="&amp;SUBSTITUTE(SUBSTITUTE(SUBSTITUTE('Dashboard'!$B$7,"~","~~"),"*","~*"),"?","~?"))+COUNTIFS('Calculations'!$IF$13:$IF$512,"="&amp;SUBSTITUTE(SUBSTITUTE(SUBSTITUTE('Calculations'!HF138,"~","~~"),"*","~*"),"?","~?"),'Calculations'!$HN$13:$HN$512,"="&amp;SUBSTITUTE(SUBSTITUTE(SUBSTITUTE('Dashboard'!$B$7,"~","~~"),"*","~*"),"?","~?"))+COUNTIFS('Calculations'!$IG$13:$IG$512,"="&amp;SUBSTITUTE(SUBSTITUTE(SUBSTITUTE('Calculations'!HF138,"~","~~"),"*","~*"),"?","~?"),'Calculations'!$HN$13:$HN$512,"="&amp;SUBSTITUTE(SUBSTITUTE(SUBSTITUTE('Dashboard'!$B$7,"~","~~"),"*","~*"),"?","~?"))+COUNTIFS('Calculations'!$IH$13:$IH$512,"="&amp;SUBSTITUTE(SUBSTITUTE(SUBSTITUTE('Calculations'!HF138,"~","~~"),"*","~*"),"?","~?"),'Calculations'!$HN$13:$HN$512,"="&amp;SUBSTITUTE(SUBSTITUTE(SUBSTITUTE('Dashboard'!$B$7,"~","~~"),"*","~*"),"?","~?"))))</x:f>
        <x:v>0</x:v>
      </x:c>
      <x:c r="JD138" t="n">
        <x:f>IF('Calculations'!EM138="",0,IF('Dashboard'!$B$7="All",1,IF('Calculations'!HN138='Dashboard'!$B$7,1,0)+IFERROR(INDEX('Calculations'!$JC$13:$JC$512,MATCH('Calculations'!HE138,'Calculations'!$HF$13:$HF$512,0)),0)))</x:f>
        <x:v>0</x:v>
      </x:c>
      <x:c r="JE138" t="n">
        <x:f>IF(AND('Calculations'!EM138&lt;&gt;"",'Calculations'!$JJ$2&lt;&gt;"All",'Calculations'!$JJ$2&lt;&gt;"",'Calculations'!HF138='Calculations'!$JJ$2,'Calculations'!HL138=0,'Calculations'!JD138&gt;0),MAX('Calculations'!$JE$12:JE137)+1,0)</x:f>
        <x:v>0</x:v>
      </x:c>
      <x:c r="JF138" t="str">
        <x:f>IF('Calculations'!EM138="","",IFERROR(IF(INDEX(INDIRECT("'WCM Calibration Final'!$G$1:$G$2000"),'Calculations'!$EM138)="","",TRIM(INDEX(INDIRECT("'WCM Calibration Final'!$G$1:$G$2000"),'Calculations'!$EM138)&amp;"")),""))</x:f>
      </x:c>
      <x:c r="JQ138" t="n">
        <x:f>IF(OR('Calculations'!BM138=0,NOT('Calculations'!$AG$2),'Calculations'!$AG$8&gt;0),0,IF(OR('Dashboard'!$B$7="All",'Calculations'!HN138='Dashboard'!$B$7),IF('Calculations'!$JJ$2="All",1,IF(AND('Calculations'!HF138='Calculations'!$JJ$2,'Calculations'!HL138=0),1,0)),0))</x:f>
        <x:v>0</x:v>
      </x:c>
    </x:row>
    <x:row r="139">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t="n">
        <x:f>IF('Calculations'!$EM139="",0,IF(OR(IFERROR(INDEX(INDIRECT("'WCM Calibration Final'!$A$1:$A$2000"),'Calculations'!$EM139)&lt;&gt;"",FALSE),IFERROR(INDEX(INDIRECT("'WCM Calibration Final'!$B$1:$B$2000"),'Calculations'!$EM139)&lt;&gt;"",FALSE),IFERROR(INDEX(INDIRECT("'WCM Calibration Final'!$C$1:$C$2000"),'Calculations'!$EM139)&lt;&gt;"",FALSE)),1,0))</x:f>
        <x:v>0</x:v>
      </x:c>
      <x:c r="BN139" s="4" t="n">
        <x:f>IF(AND('Calculations'!BM139=1,'Calculations'!$AG$2,'Calculations'!$EN139=1),1,0)</x:f>
        <x:v>0</x:v>
      </x:c>
      <x:c r="BO139" s="4" t="str">
        <x:f>IF('Calculations'!BM139=0,"",IFERROR(IF(AND(VALUE(INDEX(INDIRECT("'WCM Calibration Final'!$K$1:$K$2000"),'Calculations'!$EM139))&gt;=1,VALUE(INDEX(INDIRECT("'WCM Calibration Final'!$K$1:$K$2000"),'Calculations'!$EM139))&lt;=4,MOD(VALUE(INDEX(INDIRECT("'WCM Calibration Final'!$K$1:$K$2000"),'Calculations'!$EM139)),1)=0),VALUE(INDEX(INDIRECT("'WCM Calibration Final'!$K$1:$K$2000"),'Calculations'!$EM139)),""),""))</x:f>
      </x:c>
      <x:c r="BP139" s="4" t="str">
        <x:f>IF('Calculations'!BM139=0,"",IFERROR(IF(AND(VALUE(INDEX(INDIRECT("'WCM Calibration Final'!$L$1:$L$2000"),'Calculations'!$EM139))&gt;=1,VALUE(INDEX(INDIRECT("'WCM Calibration Final'!$L$1:$L$2000"),'Calculations'!$EM139))&lt;=4,MOD(VALUE(INDEX(INDIRECT("'WCM Calibration Final'!$L$1:$L$2000"),'Calculations'!$EM139)),1)=0),VALUE(INDEX(INDIRECT("'WCM Calibration Final'!$L$1:$L$2000"),'Calculations'!$EM139)),""),""))</x:f>
      </x:c>
      <x:c r="BQ139" s="4"/>
      <x:c r="BR139" s="4"/>
      <x:c r="BS139" s="4"/>
      <x:c r="BT139" s="4" t="n">
        <x:f>IF(AND('Calculations'!BM139=1,ISNUMBER('Calculations'!BO139),ISNUMBER('Calculations'!BP139)),1,0)</x:f>
        <x:v>0</x:v>
      </x:c>
      <x:c r="BU139" s="4" t="str">
        <x:f>IF('Calculations'!BM139=0,"",'Calculations'!$EO139)</x:f>
      </x:c>
      <x:c r="BV139" s="4" t="str">
        <x:f>IF('Calculations'!BM139=0,"",IFERROR(IF(OR(INDEX(INDIRECT("'WCM Calibration Final'!$H$1:$H$2000"),'Calculations'!$EM139)="MANAGING DIRECTOR",INDEX(INDIRECT("'WCM Calibration Final'!$H$1:$H$2000"),'Calculations'!$EM139)="DIRECTOR",INDEX(INDIRECT("'WCM Calibration Final'!$H$1:$H$2000"),'Calculations'!$EM139)="SENIOR VICE PRESIDENT",INDEX(INDIRECT("'WCM Calibration Final'!$H$1:$H$2000"),'Calculations'!$EM139)="VICE PRESIDENT",INDEX(INDIRECT("'WCM Calibration Final'!$H$1:$H$2000"),'Calculations'!$EM139)="ASSISTANT VICE PRESIDENT",INDEX(INDIRECT("'WCM Calibration Final'!$H$1:$H$2000"),'Calculations'!$EM139)="OFFICER"),UPPER(INDEX(INDIRECT("'WCM Calibration Final'!$H$1:$H$2000"),'Calculations'!$EM139)),"Other"),"Other"))</x:f>
      </x:c>
      <x:c r="BW139" s="4"/>
      <x:c r="BX139" s="4"/>
      <x:c r="BY139" s="4" t="n">
        <x:f>IF(AND('Calculations'!BM139=1,'Calculations'!BU139&lt;&gt;"",COUNTIF('Calculations'!$BU$12:BU139,'Calculations'!BU139)=1),MAX('Calculations'!$BY$11:BY138)+1,0)</x:f>
        <x:v>0</x:v>
      </x:c>
      <x:c r="BZ139" s="4" t="str">
        <x:f>IF('Dashboard'!$E$67="What",'Calculations'!BO139,'Calculations'!BP139)</x:f>
      </x:c>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t="str">
        <x:f>IF(128&gt;MAX('Calculations'!$HI$13:$HI$512),"",INDEX('Calculations'!$HN$13:$HN$512,MATCH(128,'Calculations'!$HI$13:$HI$512,0)))</x:f>
      </x:c>
      <x:c r="DB139" s="4" t="str">
        <x:f>IF(128&gt;MAX('Calculations'!$HH$13:$HH$512),"",INDEX('Calculations'!$HJ$13:$HJ$512,MATCH(128,'Calculations'!$HH$13:$HH$512,0)))</x:f>
      </x:c>
      <x:c r="DC139" s="4" t="str">
        <x:f>IF(ROW()-11&gt;MAX('Calculations'!$BY$13:$BY$512),"",INDEX('Calculations'!$BU$13:$BU$512,MATCH(ROW()-11,'Calculations'!$BY$13:$BY$512,0)))</x:f>
      </x:c>
      <x:c r="DD139" s="4" t="str">
        <x:f>IF(128&gt;MAX('Calculations'!$IK$13:$IK$512),"",INDEX('Calculations'!$HK$13:$HK$512,MATCH(128,'Calculations'!$IK$13:$IK$512,0)))</x:f>
      </x:c>
      <x:c r="DE139" s="4" t="str">
        <x:f>'Calculations'!DC139</x:f>
      </x:c>
      <x:c r="DF139" s="4" t="str">
        <x:f>IF('Calculations'!DE139="","",COUNTIFS('Calculations'!$BN$13:$BN$512,1,'Calculations'!$BU$13:$BU$512,'Calculations'!DE139))</x:f>
      </x:c>
      <x:c r="DG139" s="4" t="str">
        <x:f>IF('Calculations'!DE139="","",COUNTIFS('Calculations'!$BN$13:$BN$512,1,'Calculations'!$BU$13:$BU$512,'Calculations'!DE139,'Calculations'!$BT$13:$BT$512,1))</x:f>
      </x:c>
      <x:c r="DH139" s="4" t="str">
        <x:f>IF('Calculations'!DE139="","",'Calculations'!DF139-'Calculations'!DG139)</x:f>
      </x:c>
      <x:c r="DI139" s="4" t="str">
        <x:f>IF(OR('Calculations'!DE139="",'Calculations'!DF139=0),"",'Calculations'!DG139/'Calculations'!DF139)</x:f>
      </x:c>
      <x:c r="DJ139" s="4" t="str">
        <x:f>IF('Calculations'!DE139="","",COUNTIFS('Calculations'!$BN$13:$BN$512,1,'Calculations'!$BU$13:$BU$512,'Calculations'!DE139,'Calculations'!$BT$13:$BT$512,1,'Calculations'!$EE$13:$EE$512,"High"))</x:f>
      </x:c>
      <x:c r="DK139" s="4" t="str">
        <x:f>IF('Calculations'!DE139="","",COUNTIFS('Calculations'!$BN$13:$BN$512,1,'Calculations'!$BU$13:$BU$512,'Calculations'!DE139,'Calculations'!$BT$13:$BT$512,1,'Calculations'!$EE$13:$EE$512,"Strong"))</x:f>
      </x:c>
      <x:c r="DL139" s="4" t="str">
        <x:f>IF('Calculations'!DE139="","",COUNTIFS('Calculations'!$BN$13:$BN$512,1,'Calculations'!$BU$13:$BU$512,'Calculations'!DE139,'Calculations'!$BT$13:$BT$512,1,'Calculations'!$EE$13:$EE$512,"Solid"))</x:f>
      </x:c>
      <x:c r="DM139" s="4" t="str">
        <x:f>IF('Calculations'!DE139="","",COUNTIFS('Calculations'!$BN$13:$BN$512,1,'Calculations'!$BU$13:$BU$512,'Calculations'!DE139,'Calculations'!$BT$13:$BT$512,1,'Calculations'!$EE$13:$EE$512,"Low"))</x:f>
      </x:c>
      <x:c r="DN139" s="4" t="str">
        <x:f>IF('Calculations'!DE139="","",COUNTIFS('Calculations'!$BN$13:$BN$512,1,'Calculations'!$BU$13:$BU$512,'Calculations'!DE139,'Calculations'!$EP$13:$EP$512,1))</x:f>
      </x:c>
      <x:c r="DO139" s="4" t="str">
        <x:f>IF(OR('Calculations'!DE139="",'Calculations'!DG139=0),"",('Calculations'!DJ139+'Calculations'!DK139)/'Calculations'!DG139)</x:f>
      </x:c>
      <x:c r="DP139" s="4" t="n">
        <x:f>IF(AND('Calculations'!DE139&lt;&gt;"",'Calculations'!DF139&gt;0),COUNTIF('Calculations'!$DF$12:DF139,"&gt;0"),0)</x:f>
        <x:v>0</x:v>
      </x:c>
      <x:c r="DQ139" s="4" t="str">
        <x:f>IF(128&gt;MAX('Calculations'!$HH$13:$HH$512),"",INDEX('Calculations'!$HF$13:$HF$512,MATCH(128,'Calculations'!$HH$13:$HH$512,0)))</x:f>
      </x:c>
      <x:c r="DR139" s="4" t="str">
        <x:f>IF(128&gt;MAX('Calculations'!$IK$13:$IK$512),"",INDEX('Calculations'!$HE$13:$HE$512,MATCH(128,'Calculations'!$IK$13:$IK$512,0)))</x:f>
      </x:c>
      <x:c r="DS139" s="4"/>
      <x:c r="DT139" s="4"/>
      <x:c r="DU139" s="4"/>
      <x:c r="DV139" s="4"/>
      <x:c r="DW139" s="4"/>
      <x:c r="DX139" s="4"/>
      <x:c r="DY139" s="4"/>
      <x:c r="DZ139" s="4"/>
      <x:c r="EA139" s="4"/>
      <x:c r="EB139" s="4"/>
      <x:c r="EC139" s="4"/>
      <x:c r="ED139" s="4"/>
      <x:c r="EE139" s="4" t="str">
        <x:f>IF('Calculations'!BT139=0,"Not Rated",IF(OR('Calculations'!BO139&gt;=4,'Calculations'!BP139&gt;=4),"Low",IF('Calculations'!BO139+'Calculations'!BP139&lt;=3,"High",IF('Calculations'!BO139+'Calculations'!BP139&lt;=4,"Strong","Solid"))))</x:f>
        <x:v>Not Rated</x:v>
      </x:c>
      <x:c r="EF139" s="4"/>
      <x:c r="EG139" s="4"/>
      <x:c r="EH139" s="4"/>
      <x:c r="EI139" s="4"/>
      <x:c r="EJ139" s="4"/>
      <x:c r="EK139" s="4"/>
      <x:c r="EL139" s="4"/>
      <x:c r="EM139" s="4" t="str">
        <x:f>IF(127&gt;'Calculations'!$JB$2000,"",INDEX('Calculations'!$JA$12:$JA$2000,MATCH(127,'Calculations'!$JB$12:$JB$2000,0)))</x:f>
      </x:c>
      <x:c r="EN139" s="4" t="n">
        <x:f>IF(OR('Calculations'!EM139="",'Calculations'!$AG$8&gt;0,AND('Calculations'!$EF$2&lt;&gt;"All",'Calculations'!HE139='Calculations'!$EF$2),AND('Calculations'!$EF$3&lt;&gt;"All",'Calculations'!HE139='Calculations'!$EF$3)),0,IF(OR('Dashboard'!$B$7="All",'Calculations'!HN139='Dashboard'!$B$7),IF('Calculations'!$EF$2="All",1,IF('Calculations'!HL139&gt;0,0,IF(COUNTIF('Calculations'!HO139:II139,"="&amp;SUBSTITUTE(SUBSTITUTE(SUBSTITUTE('Calculations'!$EF$2,"~","~~"),"*","~*"),"?","~?"))=0,0,IF('Calculations'!$EF$3="All",1,IF(COUNTIF('Calculations'!HO139:II139,"="&amp;SUBSTITUTE(SUBSTITUTE(SUBSTITUTE('Calculations'!$EF$3,"~","~~"),"*","~*"),"?","~?"))&gt;0,1,0))))),0))</x:f>
        <x:v>0</x:v>
      </x:c>
      <x:c r="EO139" s="4" t="str">
        <x:f>IF('Calculations'!IJ139="","",IF('Calculations'!IJ139="!UNRESOLVED","Unresolved hierarchy",IFERROR(INDEX('Calculations'!$HK$13:$HK$512,MATCH('Calculations'!IJ139,'Calculations'!$HE$13:$HE$512,0)),IFERROR(INDEX('Calculations'!$HJ$13:$HJ$512,MATCH('Calculations'!IJ139,'Calculations'!$HF$13:$HF$512,0)),'Calculations'!IJ139))))</x:f>
      </x:c>
      <x:c r="EP139" s="4" t="n">
        <x:f>IF(AND('Calculations'!EM139&lt;&gt;"",'Calculations'!HF139='Calculations'!IJ139),1,0)</x:f>
        <x:v>0</x:v>
      </x:c>
      <x:c r="EQ139" s="4"/>
      <x:c r="ER139" s="4"/>
      <x:c r="ES139" s="4"/>
      <x:c r="ET139" s="4"/>
      <x:c r="EU139" s="4"/>
      <x:c r="EV139" s="4"/>
      <x:c r="EW139" s="4"/>
      <x:c r="EX139" s="4"/>
      <x:c r="EY139" s="4"/>
      <x:c r="EZ139" s="4"/>
      <x:c r="FA139" s="4"/>
      <x:c r="FB139" s="4"/>
      <x:c r="FC139" s="4"/>
      <x:c r="FD139" s="4"/>
      <x:c r="FE139" s="4"/>
      <x:c r="FF139" s="4"/>
      <x:c r="FG139" s="4"/>
      <x:c r="FH139" s="4"/>
      <x:c r="FI139" s="4"/>
      <x:c r="FJ139" s="4"/>
      <x:c r="FK139" s="4"/>
      <x:c r="FL139" s="4"/>
      <x:c r="FM139" s="4"/>
      <x:c r="FN139" s="4"/>
      <x:c r="FO139" s="4"/>
      <x:c r="GA139" s="71"/>
      <x:c r="GB139" s="71"/>
      <x:c r="GC139" s="71"/>
      <x:c r="GD139" s="71"/>
      <x:c r="GE139" s="71"/>
      <x:c r="GF139" s="71"/>
      <x:c r="GG139" s="71"/>
      <x:c r="GH139" s="71"/>
      <x:c r="GI139" s="71"/>
      <x:c r="GJ139" s="71"/>
      <x:c r="GK139" s="71"/>
      <x:c r="GL139" s="71"/>
      <x:c r="GM139" s="71"/>
      <x:c r="GN139" s="71"/>
      <x:c r="GO139" s="71"/>
      <x:c r="GP139" s="71"/>
      <x:c r="GQ139" s="71"/>
      <x:c r="GR139" s="71"/>
      <x:c r="GS139" s="71"/>
      <x:c r="GT139" s="71"/>
      <x:c r="GU139" s="71"/>
      <x:c r="GV139" s="71"/>
      <x:c r="GW139" s="71"/>
      <x:c r="GX139" s="71" t="str">
        <x:f>IF(COUNTA('Dashboard'!N139,'Dashboard'!P139,'Dashboard'!R139,'Dashboard'!T139)=0,"No thresholds",IF(OR(COUNT('Dashboard'!N139,'Dashboard'!P139,'Dashboard'!R139,'Dashboard'!T139)&lt;&gt;COUNTA('Dashboard'!N139,'Dashboard'!P139,'Dashboard'!R139,'Dashboard'!T139),MIN('Dashboard'!N139,'Dashboard'!P139,'Dashboard'!R139,'Dashboard'!T139)&lt;0,MAX('Dashboard'!N139,'Dashboard'!P139,'Dashboard'!R139,'Dashboard'!T139)&gt;1),"Check thresholds",TEXT(SUM('Dashboard'!N139,'Dashboard'!P139,'Dashboard'!R139,'Dashboard'!T139),"0%")&amp;" - separate caps"))</x:f>
        <x:v>112% - separate caps</x:v>
      </x:c>
      <x:c r="GY139" s="71"/>
      <x:c r="GZ139" s="71"/>
      <x:c r="HA139" s="71"/>
      <x:c r="HB139" s="71"/>
      <x:c r="HC139" s="71"/>
      <x:c r="HD139" s="71"/>
      <x:c r="HE139" t="str">
        <x:f>IF('Calculations'!EM139="","",IF(IFERROR(IF(INDEX(INDIRECT("'WCM Calibration Final'!$A$1:$A$2000"),'Calculations'!$EM139)="","",TRIM(INDEX(INDIRECT("'WCM Calibration Final'!$A$1:$A$2000"),'Calculations'!$EM139)&amp;"")),"")&lt;&gt;"","G:"&amp;IFERROR(TEXT(1*INDEX(INDIRECT("'WCM Calibration Final'!$A$1:$A$2000"),'Calculations'!$EM139),"0"),UPPER(IFERROR(IF(INDEX(INDIRECT("'WCM Calibration Final'!$A$1:$A$2000"),'Calculations'!$EM139)="","",TRIM(INDEX(INDIRECT("'WCM Calibration Final'!$A$1:$A$2000"),'Calculations'!$EM139)&amp;"")),""))),IF(IFERROR(IF(INDEX(INDIRECT("'WCM Calibration Final'!$C$1:$C$2000"),'Calculations'!$EM139)="","",TRIM(INDEX(INDIRECT("'WCM Calibration Final'!$C$1:$C$2000"),'Calculations'!$EM139)&amp;"")),"")&lt;&gt;"","S:"&amp;UPPER(IFERROR(IF(INDEX(INDIRECT("'WCM Calibration Final'!$C$1:$C$2000"),'Calculations'!$EM139)="","",TRIM(INDEX(INDIRECT("'WCM Calibration Final'!$C$1:$C$2000"),'Calculations'!$EM139)&amp;"")),"")),"R:"&amp;'Calculations'!EM139)))</x:f>
      </x:c>
      <x:c r="HF139" t="str">
        <x:f>IF('Calculations'!EM139="","",IF(IFERROR(IF(INDEX(INDIRECT("'WCM Calibration Final'!$D$1:$D$2000"),'Calculations'!$EM139)="","",TRIM(INDEX(INDIRECT("'WCM Calibration Final'!$D$1:$D$2000"),'Calculations'!$EM139)&amp;"")),"")&lt;&gt;"","G:"&amp;IFERROR(TEXT(1*INDEX(INDIRECT("'WCM Calibration Final'!$D$1:$D$2000"),'Calculations'!$EM139),"0"),UPPER(IFERROR(IF(INDEX(INDIRECT("'WCM Calibration Final'!$D$1:$D$2000"),'Calculations'!$EM139)="","",TRIM(INDEX(INDIRECT("'WCM Calibration Final'!$D$1:$D$2000"),'Calculations'!$EM139)&amp;"")),""))),IF(IFERROR(IF(INDEX(INDIRECT("'WCM Calibration Final'!$E$1:$E$2000"),'Calculations'!$EM139)="","",TRIM(INDEX(INDIRECT("'WCM Calibration Final'!$E$1:$E$2000"),'Calculations'!$EM139)&amp;"")),"")="","",IF(COUNTIF('Calculations'!$HG$13:$HG$512,"="&amp;SUBSTITUTE(SUBSTITUTE(SUBSTITUTE(IFERROR(IF(INDEX(INDIRECT("'WCM Calibration Final'!$E$1:$E$2000"),'Calculations'!$EM139)="","",TRIM(INDEX(INDIRECT("'WCM Calibration Final'!$E$1:$E$2000"),'Calculations'!$EM139)&amp;"")),""),"~","~~"),"*","~*"),"?","~?"))=1,INDEX('Calculations'!$HE$13:$HE$512,MATCH(IFERROR(IF(INDEX(INDIRECT("'WCM Calibration Final'!$E$1:$E$2000"),'Calculations'!$EM139)="","",TRIM(INDEX(INDIRECT("'WCM Calibration Final'!$E$1:$E$2000"),'Calculations'!$EM139)&amp;"")),""),'Calculations'!$HG$13:$HG$512,0)),IF(COUNTIF('Calculations'!$HG$13:$HG$512,"="&amp;SUBSTITUTE(SUBSTITUTE(SUBSTITUTE(IFERROR(IF(INDEX(INDIRECT("'WCM Calibration Final'!$E$1:$E$2000"),'Calculations'!$EM139)="","",TRIM(INDEX(INDIRECT("'WCM Calibration Final'!$E$1:$E$2000"),'Calculations'!$EM139)&amp;"")),""),"~","~~"),"*","~*"),"?","~?"))&gt;1,"!AMBIG","X:"&amp;IFERROR(IF(INDEX(INDIRECT("'WCM Calibration Final'!$E$1:$E$2000"),'Calculations'!$EM139)="","",TRIM(INDEX(INDIRECT("'WCM Calibration Final'!$E$1:$E$2000"),'Calculations'!$EM139)&amp;"")),""))))))</x:f>
      </x:c>
      <x:c r="HG139" t="str">
        <x:f>IF('Calculations'!EM139="","",IFERROR(IF(INDEX(INDIRECT("'WCM Calibration Final'!$B$1:$B$2000"),'Calculations'!$EM139)="","",TRIM(INDEX(INDIRECT("'WCM Calibration Final'!$B$1:$B$2000"),'Calculations'!$EM139)&amp;"")),""))</x:f>
      </x:c>
      <x:c r="HH139" t="n">
        <x:f>IF(AND('Calculations'!JC139&gt;0,COUNTIF('Calculations'!$HF$12:HF139,"="&amp;SUBSTITUTE(SUBSTITUTE(SUBSTITUTE('Calculations'!HF139,"~","~~"),"*","~*"),"?","~?"))=1),MAX('Calculations'!$HH$12:HH138)+1,0)</x:f>
        <x:v>0</x:v>
      </x:c>
      <x:c r="HI139" t="n">
        <x:f>IF(AND('Calculations'!HN139&lt;&gt;"",COUNTIF('Calculations'!$HN$12:HN139,"="&amp;SUBSTITUTE(SUBSTITUTE(SUBSTITUTE('Calculations'!HN139,"~","~~"),"*","~*"),"?","~?"))=1),MAX('Calculations'!$HI$12:HI138)+1,0)</x:f>
        <x:v>0</x:v>
      </x:c>
      <x:c r="HJ139" t="str">
        <x:f>IF('Calculations'!HF139="","",IF(COUNTIF('Calculations'!$HE$13:$HE$512,"="&amp;SUBSTITUTE(SUBSTITUTE(SUBSTITUTE('Calculations'!HF139,"~","~~"),"*","~*"),"?","~?"))=1,INDEX('Calculations'!$HK$13:$HK$512,MATCH('Calculations'!HF139,'Calculations'!$HE$13:$HE$512,0)),IFERROR(IF(INDEX(INDIRECT("'WCM Calibration Final'!$E$1:$E$2000"),'Calculations'!$EM139)="","",TRIM(INDEX(INDIRECT("'WCM Calibration Final'!$E$1:$E$2000"),'Calculations'!$EM139)&amp;"")),"")&amp;" ["&amp;'Calculations'!HF139&amp;"]"))</x:f>
      </x:c>
      <x:c r="HK139" t="str">
        <x:f>IF('Calculations'!EM139="","",'Calculations'!HG139&amp;" ["&amp;'Calculations'!HE139&amp;"]")</x:f>
      </x:c>
      <x:c r="HL139" t="n">
        <x:f>IF('Calculations'!EM139="",0,IF(OR('Calculations'!II139&lt;&gt;"",COUNTIF('Calculations'!$HE$13:$HE$512,"="&amp;SUBSTITUTE(SUBSTITUTE(SUBSTITUTE('Calculations'!HE139,"~","~~"),"*","~*"),"?","~?"))&gt;1),1,0))</x:f>
        <x:v>0</x:v>
      </x:c>
      <x:c r="HM139" t="str">
        <x:f>IF('Calculations'!EM139="","",IF('Calculations'!HL139=1,"!UNRESOLVED",IF('Calculations'!IH139&lt;&gt;"",'Calculations'!IH139,IF('Calculations'!IG139&lt;&gt;"",'Calculations'!IG139,IF('Calculations'!IF139&lt;&gt;"",'Calculations'!IF139,IF('Calculations'!IE139&lt;&gt;"",'Calculations'!IE139,IF('Calculations'!ID139&lt;&gt;"",'Calculations'!ID139,IF('Calculations'!IC139&lt;&gt;"",'Calculations'!IC139,IF('Calculations'!IB139&lt;&gt;"",'Calculations'!IB139,IF('Calculations'!IA139&lt;&gt;"",'Calculations'!IA139,IF('Calculations'!HZ139&lt;&gt;"",'Calculations'!HZ139,IF('Calculations'!HY139&lt;&gt;"",'Calculations'!HY139,IF('Calculations'!HX139&lt;&gt;"",'Calculations'!HX139,IF('Calculations'!HW139&lt;&gt;"",'Calculations'!HW139,IF('Calculations'!HV139&lt;&gt;"",'Calculations'!HV139,IF('Calculations'!HU139&lt;&gt;"",'Calculations'!HU139,IF('Calculations'!HT139&lt;&gt;"",'Calculations'!HT139,IF('Calculations'!HS139&lt;&gt;"",'Calculations'!HS139,IF('Calculations'!HR139&lt;&gt;"",'Calculations'!HR139,IF('Calculations'!HQ139&lt;&gt;"",'Calculations'!HQ139,IF('Calculations'!HP139&lt;&gt;"",'Calculations'!HP139,IF('Calculations'!HO139&lt;&gt;"",'Calculations'!HO139,'Calculations'!HE139))))))))))))))))))))))</x:f>
      </x:c>
      <x:c r="HN139" t="str">
        <x:f>IF('Calculations'!EM139="","",IF(IFERROR(IF(INDEX(INDIRECT("'WCM Calibration Final'!$F$1:$F$2000"),'Calculations'!$EM139)="","",TRIM(INDEX(INDIRECT("'WCM Calibration Final'!$F$1:$F$2000"),'Calculations'!$EM139)&amp;"")),"")="","(Blank)",IFERROR(IF(INDEX(INDIRECT("'WCM Calibration Final'!$F$1:$F$2000"),'Calculations'!$EM139)="","",TRIM(INDEX(INDIRECT("'WCM Calibration Final'!$F$1:$F$2000"),'Calculations'!$EM139)&amp;"")),"")))</x:f>
      </x:c>
      <x:c r="HO139" t="str">
        <x:f>'Calculations'!HF139</x:f>
      </x:c>
      <x:c r="HP139" t="str">
        <x:f>IF('Calculations'!HO139="","",IF('Calculations'!HO139="!AMBIG","!AMBIG",IF(COUNTIF('Calculations'!$HE$13:$HE$512,"="&amp;SUBSTITUTE(SUBSTITUTE(SUBSTITUTE('Calculations'!HO139,"~","~~"),"*","~*"),"?","~?"))&gt;1,"!AMBIG",IFERROR(INDEX('Calculations'!$HF$13:$HF$512,MATCH('Calculations'!HO139,'Calculations'!$HE$13:$HE$512,0)),""))))</x:f>
      </x:c>
      <x:c r="HQ139" t="str">
        <x:f>IF('Calculations'!HP139="","",IF('Calculations'!HP139="!AMBIG","!AMBIG",IF(COUNTIF('Calculations'!$HE$13:$HE$512,"="&amp;SUBSTITUTE(SUBSTITUTE(SUBSTITUTE('Calculations'!HP139,"~","~~"),"*","~*"),"?","~?"))&gt;1,"!AMBIG",IFERROR(INDEX('Calculations'!$HF$13:$HF$512,MATCH('Calculations'!HP139,'Calculations'!$HE$13:$HE$512,0)),""))))</x:f>
      </x:c>
      <x:c r="HR139" t="str">
        <x:f>IF('Calculations'!HQ139="","",IF('Calculations'!HQ139="!AMBIG","!AMBIG",IF(COUNTIF('Calculations'!$HE$13:$HE$512,"="&amp;SUBSTITUTE(SUBSTITUTE(SUBSTITUTE('Calculations'!HQ139,"~","~~"),"*","~*"),"?","~?"))&gt;1,"!AMBIG",IFERROR(INDEX('Calculations'!$HF$13:$HF$512,MATCH('Calculations'!HQ139,'Calculations'!$HE$13:$HE$512,0)),""))))</x:f>
      </x:c>
      <x:c r="HS139" t="str">
        <x:f>IF('Calculations'!HR139="","",IF('Calculations'!HR139="!AMBIG","!AMBIG",IF(COUNTIF('Calculations'!$HE$13:$HE$512,"="&amp;SUBSTITUTE(SUBSTITUTE(SUBSTITUTE('Calculations'!HR139,"~","~~"),"*","~*"),"?","~?"))&gt;1,"!AMBIG",IFERROR(INDEX('Calculations'!$HF$13:$HF$512,MATCH('Calculations'!HR139,'Calculations'!$HE$13:$HE$512,0)),""))))</x:f>
      </x:c>
      <x:c r="HT139" t="str">
        <x:f>IF('Calculations'!HS139="","",IF('Calculations'!HS139="!AMBIG","!AMBIG",IF(COUNTIF('Calculations'!$HE$13:$HE$512,"="&amp;SUBSTITUTE(SUBSTITUTE(SUBSTITUTE('Calculations'!HS139,"~","~~"),"*","~*"),"?","~?"))&gt;1,"!AMBIG",IFERROR(INDEX('Calculations'!$HF$13:$HF$512,MATCH('Calculations'!HS139,'Calculations'!$HE$13:$HE$512,0)),""))))</x:f>
      </x:c>
      <x:c r="HU139" t="str">
        <x:f>IF('Calculations'!HT139="","",IF('Calculations'!HT139="!AMBIG","!AMBIG",IF(COUNTIF('Calculations'!$HE$13:$HE$512,"="&amp;SUBSTITUTE(SUBSTITUTE(SUBSTITUTE('Calculations'!HT139,"~","~~"),"*","~*"),"?","~?"))&gt;1,"!AMBIG",IFERROR(INDEX('Calculations'!$HF$13:$HF$512,MATCH('Calculations'!HT139,'Calculations'!$HE$13:$HE$512,0)),""))))</x:f>
      </x:c>
      <x:c r="HV139" t="str">
        <x:f>IF('Calculations'!HU139="","",IF('Calculations'!HU139="!AMBIG","!AMBIG",IF(COUNTIF('Calculations'!$HE$13:$HE$512,"="&amp;SUBSTITUTE(SUBSTITUTE(SUBSTITUTE('Calculations'!HU139,"~","~~"),"*","~*"),"?","~?"))&gt;1,"!AMBIG",IFERROR(INDEX('Calculations'!$HF$13:$HF$512,MATCH('Calculations'!HU139,'Calculations'!$HE$13:$HE$512,0)),""))))</x:f>
      </x:c>
      <x:c r="HW139" t="str">
        <x:f>IF('Calculations'!HV139="","",IF('Calculations'!HV139="!AMBIG","!AMBIG",IF(COUNTIF('Calculations'!$HE$13:$HE$512,"="&amp;SUBSTITUTE(SUBSTITUTE(SUBSTITUTE('Calculations'!HV139,"~","~~"),"*","~*"),"?","~?"))&gt;1,"!AMBIG",IFERROR(INDEX('Calculations'!$HF$13:$HF$512,MATCH('Calculations'!HV139,'Calculations'!$HE$13:$HE$512,0)),""))))</x:f>
      </x:c>
      <x:c r="HX139" t="str">
        <x:f>IF('Calculations'!HW139="","",IF('Calculations'!HW139="!AMBIG","!AMBIG",IF(COUNTIF('Calculations'!$HE$13:$HE$512,"="&amp;SUBSTITUTE(SUBSTITUTE(SUBSTITUTE('Calculations'!HW139,"~","~~"),"*","~*"),"?","~?"))&gt;1,"!AMBIG",IFERROR(INDEX('Calculations'!$HF$13:$HF$512,MATCH('Calculations'!HW139,'Calculations'!$HE$13:$HE$512,0)),""))))</x:f>
      </x:c>
      <x:c r="HY139" t="str">
        <x:f>IF('Calculations'!HX139="","",IF('Calculations'!HX139="!AMBIG","!AMBIG",IF(COUNTIF('Calculations'!$HE$13:$HE$512,"="&amp;SUBSTITUTE(SUBSTITUTE(SUBSTITUTE('Calculations'!HX139,"~","~~"),"*","~*"),"?","~?"))&gt;1,"!AMBIG",IFERROR(INDEX('Calculations'!$HF$13:$HF$512,MATCH('Calculations'!HX139,'Calculations'!$HE$13:$HE$512,0)),""))))</x:f>
      </x:c>
      <x:c r="HZ139" t="str">
        <x:f>IF('Calculations'!HY139="","",IF('Calculations'!HY139="!AMBIG","!AMBIG",IF(COUNTIF('Calculations'!$HE$13:$HE$512,"="&amp;SUBSTITUTE(SUBSTITUTE(SUBSTITUTE('Calculations'!HY139,"~","~~"),"*","~*"),"?","~?"))&gt;1,"!AMBIG",IFERROR(INDEX('Calculations'!$HF$13:$HF$512,MATCH('Calculations'!HY139,'Calculations'!$HE$13:$HE$512,0)),""))))</x:f>
      </x:c>
      <x:c r="IA139" t="str">
        <x:f>IF('Calculations'!HZ139="","",IF('Calculations'!HZ139="!AMBIG","!AMBIG",IF(COUNTIF('Calculations'!$HE$13:$HE$512,"="&amp;SUBSTITUTE(SUBSTITUTE(SUBSTITUTE('Calculations'!HZ139,"~","~~"),"*","~*"),"?","~?"))&gt;1,"!AMBIG",IFERROR(INDEX('Calculations'!$HF$13:$HF$512,MATCH('Calculations'!HZ139,'Calculations'!$HE$13:$HE$512,0)),""))))</x:f>
      </x:c>
      <x:c r="IB139" t="str">
        <x:f>IF('Calculations'!IA139="","",IF('Calculations'!IA139="!AMBIG","!AMBIG",IF(COUNTIF('Calculations'!$HE$13:$HE$512,"="&amp;SUBSTITUTE(SUBSTITUTE(SUBSTITUTE('Calculations'!IA139,"~","~~"),"*","~*"),"?","~?"))&gt;1,"!AMBIG",IFERROR(INDEX('Calculations'!$HF$13:$HF$512,MATCH('Calculations'!IA139,'Calculations'!$HE$13:$HE$512,0)),""))))</x:f>
      </x:c>
      <x:c r="IC139" t="str">
        <x:f>IF('Calculations'!IB139="","",IF('Calculations'!IB139="!AMBIG","!AMBIG",IF(COUNTIF('Calculations'!$HE$13:$HE$512,"="&amp;SUBSTITUTE(SUBSTITUTE(SUBSTITUTE('Calculations'!IB139,"~","~~"),"*","~*"),"?","~?"))&gt;1,"!AMBIG",IFERROR(INDEX('Calculations'!$HF$13:$HF$512,MATCH('Calculations'!IB139,'Calculations'!$HE$13:$HE$512,0)),""))))</x:f>
      </x:c>
      <x:c r="ID139" t="str">
        <x:f>IF('Calculations'!IC139="","",IF('Calculations'!IC139="!AMBIG","!AMBIG",IF(COUNTIF('Calculations'!$HE$13:$HE$512,"="&amp;SUBSTITUTE(SUBSTITUTE(SUBSTITUTE('Calculations'!IC139,"~","~~"),"*","~*"),"?","~?"))&gt;1,"!AMBIG",IFERROR(INDEX('Calculations'!$HF$13:$HF$512,MATCH('Calculations'!IC139,'Calculations'!$HE$13:$HE$512,0)),""))))</x:f>
      </x:c>
      <x:c r="IE139" t="str">
        <x:f>IF('Calculations'!ID139="","",IF('Calculations'!ID139="!AMBIG","!AMBIG",IF(COUNTIF('Calculations'!$HE$13:$HE$512,"="&amp;SUBSTITUTE(SUBSTITUTE(SUBSTITUTE('Calculations'!ID139,"~","~~"),"*","~*"),"?","~?"))&gt;1,"!AMBIG",IFERROR(INDEX('Calculations'!$HF$13:$HF$512,MATCH('Calculations'!ID139,'Calculations'!$HE$13:$HE$512,0)),""))))</x:f>
      </x:c>
      <x:c r="IF139" t="str">
        <x:f>IF('Calculations'!IE139="","",IF('Calculations'!IE139="!AMBIG","!AMBIG",IF(COUNTIF('Calculations'!$HE$13:$HE$512,"="&amp;SUBSTITUTE(SUBSTITUTE(SUBSTITUTE('Calculations'!IE139,"~","~~"),"*","~*"),"?","~?"))&gt;1,"!AMBIG",IFERROR(INDEX('Calculations'!$HF$13:$HF$512,MATCH('Calculations'!IE139,'Calculations'!$HE$13:$HE$512,0)),""))))</x:f>
      </x:c>
      <x:c r="IG139" t="str">
        <x:f>IF('Calculations'!IF139="","",IF('Calculations'!IF139="!AMBIG","!AMBIG",IF(COUNTIF('Calculations'!$HE$13:$HE$512,"="&amp;SUBSTITUTE(SUBSTITUTE(SUBSTITUTE('Calculations'!IF139,"~","~~"),"*","~*"),"?","~?"))&gt;1,"!AMBIG",IFERROR(INDEX('Calculations'!$HF$13:$HF$512,MATCH('Calculations'!IF139,'Calculations'!$HE$13:$HE$512,0)),""))))</x:f>
      </x:c>
      <x:c r="IH139" t="str">
        <x:f>IF('Calculations'!IG139="","",IF('Calculations'!IG139="!AMBIG","!AMBIG",IF(COUNTIF('Calculations'!$HE$13:$HE$512,"="&amp;SUBSTITUTE(SUBSTITUTE(SUBSTITUTE('Calculations'!IG139,"~","~~"),"*","~*"),"?","~?"))&gt;1,"!AMBIG",IFERROR(INDEX('Calculations'!$HF$13:$HF$512,MATCH('Calculations'!IG139,'Calculations'!$HE$13:$HE$512,0)),""))))</x:f>
      </x:c>
      <x:c r="II139" t="str">
        <x:f>IF('Calculations'!IH139="","",IF('Calculations'!IH139="!AMBIG","!AMBIG",IF(COUNTIF('Calculations'!$HE$13:$HE$512,"="&amp;SUBSTITUTE(SUBSTITUTE(SUBSTITUTE('Calculations'!IH139,"~","~~"),"*","~*"),"?","~?"))&gt;1,"!AMBIG",IFERROR(INDEX('Calculations'!$HF$13:$HF$512,MATCH('Calculations'!IH139,'Calculations'!$HE$13:$HE$512,0)),""))))</x:f>
      </x:c>
      <x:c r="IJ139" t="str">
        <x:f>IF('Calculations'!EM139="","",IF('Calculations'!$EF$2="All",'Calculations'!HM139,IF('Calculations'!HL139=1,"",IFERROR(IF(MATCH('Calculations'!$EF$2,'Calculations'!HO139:II139,0)=1,'Calculations'!HE139,INDEX('Calculations'!HO139:II139,1,MATCH('Calculations'!$EF$2,'Calculations'!HO139:II139,0)-1)),""))))</x:f>
      </x:c>
      <x:c r="IK139" t="n">
        <x:f>IF(AND('Calculations'!EM139&lt;&gt;"",'Calculations'!$EF$2&lt;&gt;"All",'Calculations'!HF139='Calculations'!$EF$2,'Calculations'!HL139=0,'Calculations'!JD139&gt;0),MAX('Calculations'!$IK$12:IK138)+1,0)</x:f>
        <x:v>0</x:v>
      </x:c>
      <x:c r="JA139" t="n">
        <x:f>IF(OR(IFERROR(INDIRECT("'WCM Calibration Final'!$A$139")&lt;&gt;"",FALSE),IFERROR(INDIRECT("'WCM Calibration Final'!$B$139")&lt;&gt;"",FALSE),IFERROR(INDIRECT("'WCM Calibration Final'!$C$139")&lt;&gt;"",FALSE)),139,0)</x:f>
        <x:v>0</x:v>
      </x:c>
      <x:c r="JB139" t="n">
        <x:f>'Calculations'!JB138+IF('Calculations'!JA139&gt;0,1,0)</x:f>
        <x:v>0</x:v>
      </x:c>
      <x:c r="JC139" t="n">
        <x:f>IF(OR('Calculations'!HF139="",'Calculations'!HF139="!AMBIG"),0,IF('Dashboard'!$B$7="All",1,COUNTIFS('Calculations'!$HO$13:$HO$512,"="&amp;SUBSTITUTE(SUBSTITUTE(SUBSTITUTE('Calculations'!HF139,"~","~~"),"*","~*"),"?","~?"),'Calculations'!$HN$13:$HN$512,"="&amp;SUBSTITUTE(SUBSTITUTE(SUBSTITUTE('Dashboard'!$B$7,"~","~~"),"*","~*"),"?","~?"))+COUNTIFS('Calculations'!$HP$13:$HP$512,"="&amp;SUBSTITUTE(SUBSTITUTE(SUBSTITUTE('Calculations'!HF139,"~","~~"),"*","~*"),"?","~?"),'Calculations'!$HN$13:$HN$512,"="&amp;SUBSTITUTE(SUBSTITUTE(SUBSTITUTE('Dashboard'!$B$7,"~","~~"),"*","~*"),"?","~?"))+COUNTIFS('Calculations'!$HQ$13:$HQ$512,"="&amp;SUBSTITUTE(SUBSTITUTE(SUBSTITUTE('Calculations'!HF139,"~","~~"),"*","~*"),"?","~?"),'Calculations'!$HN$13:$HN$512,"="&amp;SUBSTITUTE(SUBSTITUTE(SUBSTITUTE('Dashboard'!$B$7,"~","~~"),"*","~*"),"?","~?"))+COUNTIFS('Calculations'!$HR$13:$HR$512,"="&amp;SUBSTITUTE(SUBSTITUTE(SUBSTITUTE('Calculations'!HF139,"~","~~"),"*","~*"),"?","~?"),'Calculations'!$HN$13:$HN$512,"="&amp;SUBSTITUTE(SUBSTITUTE(SUBSTITUTE('Dashboard'!$B$7,"~","~~"),"*","~*"),"?","~?"))+COUNTIFS('Calculations'!$HS$13:$HS$512,"="&amp;SUBSTITUTE(SUBSTITUTE(SUBSTITUTE('Calculations'!HF139,"~","~~"),"*","~*"),"?","~?"),'Calculations'!$HN$13:$HN$512,"="&amp;SUBSTITUTE(SUBSTITUTE(SUBSTITUTE('Dashboard'!$B$7,"~","~~"),"*","~*"),"?","~?"))+COUNTIFS('Calculations'!$HT$13:$HT$512,"="&amp;SUBSTITUTE(SUBSTITUTE(SUBSTITUTE('Calculations'!HF139,"~","~~"),"*","~*"),"?","~?"),'Calculations'!$HN$13:$HN$512,"="&amp;SUBSTITUTE(SUBSTITUTE(SUBSTITUTE('Dashboard'!$B$7,"~","~~"),"*","~*"),"?","~?"))+COUNTIFS('Calculations'!$HU$13:$HU$512,"="&amp;SUBSTITUTE(SUBSTITUTE(SUBSTITUTE('Calculations'!HF139,"~","~~"),"*","~*"),"?","~?"),'Calculations'!$HN$13:$HN$512,"="&amp;SUBSTITUTE(SUBSTITUTE(SUBSTITUTE('Dashboard'!$B$7,"~","~~"),"*","~*"),"?","~?"))+COUNTIFS('Calculations'!$HV$13:$HV$512,"="&amp;SUBSTITUTE(SUBSTITUTE(SUBSTITUTE('Calculations'!HF139,"~","~~"),"*","~*"),"?","~?"),'Calculations'!$HN$13:$HN$512,"="&amp;SUBSTITUTE(SUBSTITUTE(SUBSTITUTE('Dashboard'!$B$7,"~","~~"),"*","~*"),"?","~?"))+COUNTIFS('Calculations'!$HW$13:$HW$512,"="&amp;SUBSTITUTE(SUBSTITUTE(SUBSTITUTE('Calculations'!HF139,"~","~~"),"*","~*"),"?","~?"),'Calculations'!$HN$13:$HN$512,"="&amp;SUBSTITUTE(SUBSTITUTE(SUBSTITUTE('Dashboard'!$B$7,"~","~~"),"*","~*"),"?","~?"))+COUNTIFS('Calculations'!$HX$13:$HX$512,"="&amp;SUBSTITUTE(SUBSTITUTE(SUBSTITUTE('Calculations'!HF139,"~","~~"),"*","~*"),"?","~?"),'Calculations'!$HN$13:$HN$512,"="&amp;SUBSTITUTE(SUBSTITUTE(SUBSTITUTE('Dashboard'!$B$7,"~","~~"),"*","~*"),"?","~?"))+COUNTIFS('Calculations'!$HY$13:$HY$512,"="&amp;SUBSTITUTE(SUBSTITUTE(SUBSTITUTE('Calculations'!HF139,"~","~~"),"*","~*"),"?","~?"),'Calculations'!$HN$13:$HN$512,"="&amp;SUBSTITUTE(SUBSTITUTE(SUBSTITUTE('Dashboard'!$B$7,"~","~~"),"*","~*"),"?","~?"))+COUNTIFS('Calculations'!$HZ$13:$HZ$512,"="&amp;SUBSTITUTE(SUBSTITUTE(SUBSTITUTE('Calculations'!HF139,"~","~~"),"*","~*"),"?","~?"),'Calculations'!$HN$13:$HN$512,"="&amp;SUBSTITUTE(SUBSTITUTE(SUBSTITUTE('Dashboard'!$B$7,"~","~~"),"*","~*"),"?","~?"))+COUNTIFS('Calculations'!$IA$13:$IA$512,"="&amp;SUBSTITUTE(SUBSTITUTE(SUBSTITUTE('Calculations'!HF139,"~","~~"),"*","~*"),"?","~?"),'Calculations'!$HN$13:$HN$512,"="&amp;SUBSTITUTE(SUBSTITUTE(SUBSTITUTE('Dashboard'!$B$7,"~","~~"),"*","~*"),"?","~?"))+COUNTIFS('Calculations'!$IB$13:$IB$512,"="&amp;SUBSTITUTE(SUBSTITUTE(SUBSTITUTE('Calculations'!HF139,"~","~~"),"*","~*"),"?","~?"),'Calculations'!$HN$13:$HN$512,"="&amp;SUBSTITUTE(SUBSTITUTE(SUBSTITUTE('Dashboard'!$B$7,"~","~~"),"*","~*"),"?","~?"))+COUNTIFS('Calculations'!$IC$13:$IC$512,"="&amp;SUBSTITUTE(SUBSTITUTE(SUBSTITUTE('Calculations'!HF139,"~","~~"),"*","~*"),"?","~?"),'Calculations'!$HN$13:$HN$512,"="&amp;SUBSTITUTE(SUBSTITUTE(SUBSTITUTE('Dashboard'!$B$7,"~","~~"),"*","~*"),"?","~?"))+COUNTIFS('Calculations'!$ID$13:$ID$512,"="&amp;SUBSTITUTE(SUBSTITUTE(SUBSTITUTE('Calculations'!HF139,"~","~~"),"*","~*"),"?","~?"),'Calculations'!$HN$13:$HN$512,"="&amp;SUBSTITUTE(SUBSTITUTE(SUBSTITUTE('Dashboard'!$B$7,"~","~~"),"*","~*"),"?","~?"))+COUNTIFS('Calculations'!$IE$13:$IE$512,"="&amp;SUBSTITUTE(SUBSTITUTE(SUBSTITUTE('Calculations'!HF139,"~","~~"),"*","~*"),"?","~?"),'Calculations'!$HN$13:$HN$512,"="&amp;SUBSTITUTE(SUBSTITUTE(SUBSTITUTE('Dashboard'!$B$7,"~","~~"),"*","~*"),"?","~?"))+COUNTIFS('Calculations'!$IF$13:$IF$512,"="&amp;SUBSTITUTE(SUBSTITUTE(SUBSTITUTE('Calculations'!HF139,"~","~~"),"*","~*"),"?","~?"),'Calculations'!$HN$13:$HN$512,"="&amp;SUBSTITUTE(SUBSTITUTE(SUBSTITUTE('Dashboard'!$B$7,"~","~~"),"*","~*"),"?","~?"))+COUNTIFS('Calculations'!$IG$13:$IG$512,"="&amp;SUBSTITUTE(SUBSTITUTE(SUBSTITUTE('Calculations'!HF139,"~","~~"),"*","~*"),"?","~?"),'Calculations'!$HN$13:$HN$512,"="&amp;SUBSTITUTE(SUBSTITUTE(SUBSTITUTE('Dashboard'!$B$7,"~","~~"),"*","~*"),"?","~?"))+COUNTIFS('Calculations'!$IH$13:$IH$512,"="&amp;SUBSTITUTE(SUBSTITUTE(SUBSTITUTE('Calculations'!HF139,"~","~~"),"*","~*"),"?","~?"),'Calculations'!$HN$13:$HN$512,"="&amp;SUBSTITUTE(SUBSTITUTE(SUBSTITUTE('Dashboard'!$B$7,"~","~~"),"*","~*"),"?","~?"))))</x:f>
        <x:v>0</x:v>
      </x:c>
      <x:c r="JD139" t="n">
        <x:f>IF('Calculations'!EM139="",0,IF('Dashboard'!$B$7="All",1,IF('Calculations'!HN139='Dashboard'!$B$7,1,0)+IFERROR(INDEX('Calculations'!$JC$13:$JC$512,MATCH('Calculations'!HE139,'Calculations'!$HF$13:$HF$512,0)),0)))</x:f>
        <x:v>0</x:v>
      </x:c>
      <x:c r="JE139" t="n">
        <x:f>IF(AND('Calculations'!EM139&lt;&gt;"",'Calculations'!$JJ$2&lt;&gt;"All",'Calculations'!$JJ$2&lt;&gt;"",'Calculations'!HF139='Calculations'!$JJ$2,'Calculations'!HL139=0,'Calculations'!JD139&gt;0),MAX('Calculations'!$JE$12:JE138)+1,0)</x:f>
        <x:v>0</x:v>
      </x:c>
      <x:c r="JF139" t="str">
        <x:f>IF('Calculations'!EM139="","",IFERROR(IF(INDEX(INDIRECT("'WCM Calibration Final'!$G$1:$G$2000"),'Calculations'!$EM139)="","",TRIM(INDEX(INDIRECT("'WCM Calibration Final'!$G$1:$G$2000"),'Calculations'!$EM139)&amp;"")),""))</x:f>
      </x:c>
      <x:c r="JQ139" t="n">
        <x:f>IF(OR('Calculations'!BM139=0,NOT('Calculations'!$AG$2),'Calculations'!$AG$8&gt;0),0,IF(OR('Dashboard'!$B$7="All",'Calculations'!HN139='Dashboard'!$B$7),IF('Calculations'!$JJ$2="All",1,IF(AND('Calculations'!HF139='Calculations'!$JJ$2,'Calculations'!HL139=0),1,0)),0))</x:f>
        <x:v>0</x:v>
      </x:c>
    </x:row>
    <x:row r="140">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t="n">
        <x:f>IF('Calculations'!$EM140="",0,IF(OR(IFERROR(INDEX(INDIRECT("'WCM Calibration Final'!$A$1:$A$2000"),'Calculations'!$EM140)&lt;&gt;"",FALSE),IFERROR(INDEX(INDIRECT("'WCM Calibration Final'!$B$1:$B$2000"),'Calculations'!$EM140)&lt;&gt;"",FALSE),IFERROR(INDEX(INDIRECT("'WCM Calibration Final'!$C$1:$C$2000"),'Calculations'!$EM140)&lt;&gt;"",FALSE)),1,0))</x:f>
        <x:v>0</x:v>
      </x:c>
      <x:c r="BN140" s="4" t="n">
        <x:f>IF(AND('Calculations'!BM140=1,'Calculations'!$AG$2,'Calculations'!$EN140=1),1,0)</x:f>
        <x:v>0</x:v>
      </x:c>
      <x:c r="BO140" s="4" t="str">
        <x:f>IF('Calculations'!BM140=0,"",IFERROR(IF(AND(VALUE(INDEX(INDIRECT("'WCM Calibration Final'!$K$1:$K$2000"),'Calculations'!$EM140))&gt;=1,VALUE(INDEX(INDIRECT("'WCM Calibration Final'!$K$1:$K$2000"),'Calculations'!$EM140))&lt;=4,MOD(VALUE(INDEX(INDIRECT("'WCM Calibration Final'!$K$1:$K$2000"),'Calculations'!$EM140)),1)=0),VALUE(INDEX(INDIRECT("'WCM Calibration Final'!$K$1:$K$2000"),'Calculations'!$EM140)),""),""))</x:f>
      </x:c>
      <x:c r="BP140" s="4" t="str">
        <x:f>IF('Calculations'!BM140=0,"",IFERROR(IF(AND(VALUE(INDEX(INDIRECT("'WCM Calibration Final'!$L$1:$L$2000"),'Calculations'!$EM140))&gt;=1,VALUE(INDEX(INDIRECT("'WCM Calibration Final'!$L$1:$L$2000"),'Calculations'!$EM140))&lt;=4,MOD(VALUE(INDEX(INDIRECT("'WCM Calibration Final'!$L$1:$L$2000"),'Calculations'!$EM140)),1)=0),VALUE(INDEX(INDIRECT("'WCM Calibration Final'!$L$1:$L$2000"),'Calculations'!$EM140)),""),""))</x:f>
      </x:c>
      <x:c r="BQ140" s="4"/>
      <x:c r="BR140" s="4"/>
      <x:c r="BS140" s="4"/>
      <x:c r="BT140" s="4" t="n">
        <x:f>IF(AND('Calculations'!BM140=1,ISNUMBER('Calculations'!BO140),ISNUMBER('Calculations'!BP140)),1,0)</x:f>
        <x:v>0</x:v>
      </x:c>
      <x:c r="BU140" s="4" t="str">
        <x:f>IF('Calculations'!BM140=0,"",'Calculations'!$EO140)</x:f>
      </x:c>
      <x:c r="BV140" s="4" t="str">
        <x:f>IF('Calculations'!BM140=0,"",IFERROR(IF(OR(INDEX(INDIRECT("'WCM Calibration Final'!$H$1:$H$2000"),'Calculations'!$EM140)="MANAGING DIRECTOR",INDEX(INDIRECT("'WCM Calibration Final'!$H$1:$H$2000"),'Calculations'!$EM140)="DIRECTOR",INDEX(INDIRECT("'WCM Calibration Final'!$H$1:$H$2000"),'Calculations'!$EM140)="SENIOR VICE PRESIDENT",INDEX(INDIRECT("'WCM Calibration Final'!$H$1:$H$2000"),'Calculations'!$EM140)="VICE PRESIDENT",INDEX(INDIRECT("'WCM Calibration Final'!$H$1:$H$2000"),'Calculations'!$EM140)="ASSISTANT VICE PRESIDENT",INDEX(INDIRECT("'WCM Calibration Final'!$H$1:$H$2000"),'Calculations'!$EM140)="OFFICER"),UPPER(INDEX(INDIRECT("'WCM Calibration Final'!$H$1:$H$2000"),'Calculations'!$EM140)),"Other"),"Other"))</x:f>
      </x:c>
      <x:c r="BW140" s="4"/>
      <x:c r="BX140" s="4"/>
      <x:c r="BY140" s="4" t="n">
        <x:f>IF(AND('Calculations'!BM140=1,'Calculations'!BU140&lt;&gt;"",COUNTIF('Calculations'!$BU$12:BU140,'Calculations'!BU140)=1),MAX('Calculations'!$BY$11:BY139)+1,0)</x:f>
        <x:v>0</x:v>
      </x:c>
      <x:c r="BZ140" s="4" t="str">
        <x:f>IF('Dashboard'!$E$67="What",'Calculations'!BO140,'Calculations'!BP140)</x:f>
      </x:c>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t="str">
        <x:f>IF(129&gt;MAX('Calculations'!$HI$13:$HI$512),"",INDEX('Calculations'!$HN$13:$HN$512,MATCH(129,'Calculations'!$HI$13:$HI$512,0)))</x:f>
      </x:c>
      <x:c r="DB140" s="4" t="str">
        <x:f>IF(129&gt;MAX('Calculations'!$HH$13:$HH$512),"",INDEX('Calculations'!$HJ$13:$HJ$512,MATCH(129,'Calculations'!$HH$13:$HH$512,0)))</x:f>
      </x:c>
      <x:c r="DC140" s="4" t="str">
        <x:f>IF(ROW()-11&gt;MAX('Calculations'!$BY$13:$BY$512),"",INDEX('Calculations'!$BU$13:$BU$512,MATCH(ROW()-11,'Calculations'!$BY$13:$BY$512,0)))</x:f>
      </x:c>
      <x:c r="DD140" s="4" t="str">
        <x:f>IF(129&gt;MAX('Calculations'!$IK$13:$IK$512),"",INDEX('Calculations'!$HK$13:$HK$512,MATCH(129,'Calculations'!$IK$13:$IK$512,0)))</x:f>
      </x:c>
      <x:c r="DE140" s="4" t="str">
        <x:f>'Calculations'!DC140</x:f>
      </x:c>
      <x:c r="DF140" s="4" t="str">
        <x:f>IF('Calculations'!DE140="","",COUNTIFS('Calculations'!$BN$13:$BN$512,1,'Calculations'!$BU$13:$BU$512,'Calculations'!DE140))</x:f>
      </x:c>
      <x:c r="DG140" s="4" t="str">
        <x:f>IF('Calculations'!DE140="","",COUNTIFS('Calculations'!$BN$13:$BN$512,1,'Calculations'!$BU$13:$BU$512,'Calculations'!DE140,'Calculations'!$BT$13:$BT$512,1))</x:f>
      </x:c>
      <x:c r="DH140" s="4" t="str">
        <x:f>IF('Calculations'!DE140="","",'Calculations'!DF140-'Calculations'!DG140)</x:f>
      </x:c>
      <x:c r="DI140" s="4" t="str">
        <x:f>IF(OR('Calculations'!DE140="",'Calculations'!DF140=0),"",'Calculations'!DG140/'Calculations'!DF140)</x:f>
      </x:c>
      <x:c r="DJ140" s="4" t="str">
        <x:f>IF('Calculations'!DE140="","",COUNTIFS('Calculations'!$BN$13:$BN$512,1,'Calculations'!$BU$13:$BU$512,'Calculations'!DE140,'Calculations'!$BT$13:$BT$512,1,'Calculations'!$EE$13:$EE$512,"High"))</x:f>
      </x:c>
      <x:c r="DK140" s="4" t="str">
        <x:f>IF('Calculations'!DE140="","",COUNTIFS('Calculations'!$BN$13:$BN$512,1,'Calculations'!$BU$13:$BU$512,'Calculations'!DE140,'Calculations'!$BT$13:$BT$512,1,'Calculations'!$EE$13:$EE$512,"Strong"))</x:f>
      </x:c>
      <x:c r="DL140" s="4" t="str">
        <x:f>IF('Calculations'!DE140="","",COUNTIFS('Calculations'!$BN$13:$BN$512,1,'Calculations'!$BU$13:$BU$512,'Calculations'!DE140,'Calculations'!$BT$13:$BT$512,1,'Calculations'!$EE$13:$EE$512,"Solid"))</x:f>
      </x:c>
      <x:c r="DM140" s="4" t="str">
        <x:f>IF('Calculations'!DE140="","",COUNTIFS('Calculations'!$BN$13:$BN$512,1,'Calculations'!$BU$13:$BU$512,'Calculations'!DE140,'Calculations'!$BT$13:$BT$512,1,'Calculations'!$EE$13:$EE$512,"Low"))</x:f>
      </x:c>
      <x:c r="DN140" s="4" t="str">
        <x:f>IF('Calculations'!DE140="","",COUNTIFS('Calculations'!$BN$13:$BN$512,1,'Calculations'!$BU$13:$BU$512,'Calculations'!DE140,'Calculations'!$EP$13:$EP$512,1))</x:f>
      </x:c>
      <x:c r="DO140" s="4" t="str">
        <x:f>IF(OR('Calculations'!DE140="",'Calculations'!DG140=0),"",('Calculations'!DJ140+'Calculations'!DK140)/'Calculations'!DG140)</x:f>
      </x:c>
      <x:c r="DP140" s="4" t="n">
        <x:f>IF(AND('Calculations'!DE140&lt;&gt;"",'Calculations'!DF140&gt;0),COUNTIF('Calculations'!$DF$12:DF140,"&gt;0"),0)</x:f>
        <x:v>0</x:v>
      </x:c>
      <x:c r="DQ140" s="4" t="str">
        <x:f>IF(129&gt;MAX('Calculations'!$HH$13:$HH$512),"",INDEX('Calculations'!$HF$13:$HF$512,MATCH(129,'Calculations'!$HH$13:$HH$512,0)))</x:f>
      </x:c>
      <x:c r="DR140" s="4" t="str">
        <x:f>IF(129&gt;MAX('Calculations'!$IK$13:$IK$512),"",INDEX('Calculations'!$HE$13:$HE$512,MATCH(129,'Calculations'!$IK$13:$IK$512,0)))</x:f>
      </x:c>
      <x:c r="DS140" s="4"/>
      <x:c r="DT140" s="4"/>
      <x:c r="DU140" s="4"/>
      <x:c r="DV140" s="4"/>
      <x:c r="DW140" s="4"/>
      <x:c r="DX140" s="4"/>
      <x:c r="DY140" s="4"/>
      <x:c r="DZ140" s="4"/>
      <x:c r="EA140" s="4"/>
      <x:c r="EB140" s="4"/>
      <x:c r="EC140" s="4"/>
      <x:c r="ED140" s="4"/>
      <x:c r="EE140" s="4" t="str">
        <x:f>IF('Calculations'!BT140=0,"Not Rated",IF(OR('Calculations'!BO140&gt;=4,'Calculations'!BP140&gt;=4),"Low",IF('Calculations'!BO140+'Calculations'!BP140&lt;=3,"High",IF('Calculations'!BO140+'Calculations'!BP140&lt;=4,"Strong","Solid"))))</x:f>
        <x:v>Not Rated</x:v>
      </x:c>
      <x:c r="EF140" s="4"/>
      <x:c r="EG140" s="4"/>
      <x:c r="EH140" s="4"/>
      <x:c r="EI140" s="4"/>
      <x:c r="EJ140" s="4"/>
      <x:c r="EK140" s="4"/>
      <x:c r="EL140" s="4"/>
      <x:c r="EM140" s="4" t="str">
        <x:f>IF(128&gt;'Calculations'!$JB$2000,"",INDEX('Calculations'!$JA$12:$JA$2000,MATCH(128,'Calculations'!$JB$12:$JB$2000,0)))</x:f>
      </x:c>
      <x:c r="EN140" s="4" t="n">
        <x:f>IF(OR('Calculations'!EM140="",'Calculations'!$AG$8&gt;0,AND('Calculations'!$EF$2&lt;&gt;"All",'Calculations'!HE140='Calculations'!$EF$2),AND('Calculations'!$EF$3&lt;&gt;"All",'Calculations'!HE140='Calculations'!$EF$3)),0,IF(OR('Dashboard'!$B$7="All",'Calculations'!HN140='Dashboard'!$B$7),IF('Calculations'!$EF$2="All",1,IF('Calculations'!HL140&gt;0,0,IF(COUNTIF('Calculations'!HO140:II140,"="&amp;SUBSTITUTE(SUBSTITUTE(SUBSTITUTE('Calculations'!$EF$2,"~","~~"),"*","~*"),"?","~?"))=0,0,IF('Calculations'!$EF$3="All",1,IF(COUNTIF('Calculations'!HO140:II140,"="&amp;SUBSTITUTE(SUBSTITUTE(SUBSTITUTE('Calculations'!$EF$3,"~","~~"),"*","~*"),"?","~?"))&gt;0,1,0))))),0))</x:f>
        <x:v>0</x:v>
      </x:c>
      <x:c r="EO140" s="4" t="str">
        <x:f>IF('Calculations'!IJ140="","",IF('Calculations'!IJ140="!UNRESOLVED","Unresolved hierarchy",IFERROR(INDEX('Calculations'!$HK$13:$HK$512,MATCH('Calculations'!IJ140,'Calculations'!$HE$13:$HE$512,0)),IFERROR(INDEX('Calculations'!$HJ$13:$HJ$512,MATCH('Calculations'!IJ140,'Calculations'!$HF$13:$HF$512,0)),'Calculations'!IJ140))))</x:f>
      </x:c>
      <x:c r="EP140" s="4" t="n">
        <x:f>IF(AND('Calculations'!EM140&lt;&gt;"",'Calculations'!HF140='Calculations'!IJ140),1,0)</x:f>
        <x:v>0</x:v>
      </x:c>
      <x:c r="EQ140" s="4"/>
      <x:c r="ER140" s="4"/>
      <x:c r="ES140" s="4"/>
      <x:c r="ET140" s="4"/>
      <x:c r="EU140" s="4"/>
      <x:c r="EV140" s="4"/>
      <x:c r="EW140" s="4"/>
      <x:c r="EX140" s="4"/>
      <x:c r="EY140" s="4"/>
      <x:c r="EZ140" s="4"/>
      <x:c r="FA140" s="4"/>
      <x:c r="FB140" s="4"/>
      <x:c r="FC140" s="4"/>
      <x:c r="FD140" s="4"/>
      <x:c r="FE140" s="4"/>
      <x:c r="FF140" s="4"/>
      <x:c r="FG140" s="4"/>
      <x:c r="FH140" s="4"/>
      <x:c r="FI140" s="4"/>
      <x:c r="FJ140" s="4"/>
      <x:c r="FK140" s="4"/>
      <x:c r="FL140" s="4"/>
      <x:c r="FM140" s="4"/>
      <x:c r="FN140" s="4"/>
      <x:c r="FO140" s="4"/>
      <x:c r="GA140" s="71"/>
      <x:c r="GB140" s="71"/>
      <x:c r="GC140" s="71"/>
      <x:c r="GD140" s="71"/>
      <x:c r="GE140" s="71"/>
      <x:c r="GF140" s="71"/>
      <x:c r="GG140" s="71"/>
      <x:c r="GH140" s="71"/>
      <x:c r="GI140" s="71"/>
      <x:c r="GJ140" s="71"/>
      <x:c r="GK140" s="71"/>
      <x:c r="GL140" s="71"/>
      <x:c r="GM140" s="71"/>
      <x:c r="GN140" s="71"/>
      <x:c r="GO140" s="71"/>
      <x:c r="GP140" s="71"/>
      <x:c r="GQ140" s="71"/>
      <x:c r="GR140" s="71"/>
      <x:c r="GS140" s="71"/>
      <x:c r="GT140" s="71"/>
      <x:c r="GU140" s="71"/>
      <x:c r="GV140" s="71"/>
      <x:c r="GW140" s="71"/>
      <x:c r="GX140" s="71" t="str">
        <x:f>IF(COUNTA('Dashboard'!N140,'Dashboard'!P140,'Dashboard'!R140,'Dashboard'!T140)=0,"No thresholds",IF(OR(COUNT('Dashboard'!N140,'Dashboard'!P140,'Dashboard'!R140,'Dashboard'!T140)&lt;&gt;COUNTA('Dashboard'!N140,'Dashboard'!P140,'Dashboard'!R140,'Dashboard'!T140),MIN('Dashboard'!N140,'Dashboard'!P140,'Dashboard'!R140,'Dashboard'!T140)&lt;0,MAX('Dashboard'!N140,'Dashboard'!P140,'Dashboard'!R140,'Dashboard'!T140)&gt;1),"Check thresholds",TEXT(SUM('Dashboard'!N140,'Dashboard'!P140,'Dashboard'!R140,'Dashboard'!T140),"0%")&amp;" - separate caps"))</x:f>
        <x:v>112% - separate caps</x:v>
      </x:c>
      <x:c r="GY140" s="71"/>
      <x:c r="GZ140" s="71"/>
      <x:c r="HA140" s="71"/>
      <x:c r="HB140" s="71"/>
      <x:c r="HC140" s="71"/>
      <x:c r="HD140" s="71"/>
      <x:c r="HE140" t="str">
        <x:f>IF('Calculations'!EM140="","",IF(IFERROR(IF(INDEX(INDIRECT("'WCM Calibration Final'!$A$1:$A$2000"),'Calculations'!$EM140)="","",TRIM(INDEX(INDIRECT("'WCM Calibration Final'!$A$1:$A$2000"),'Calculations'!$EM140)&amp;"")),"")&lt;&gt;"","G:"&amp;IFERROR(TEXT(1*INDEX(INDIRECT("'WCM Calibration Final'!$A$1:$A$2000"),'Calculations'!$EM140),"0"),UPPER(IFERROR(IF(INDEX(INDIRECT("'WCM Calibration Final'!$A$1:$A$2000"),'Calculations'!$EM140)="","",TRIM(INDEX(INDIRECT("'WCM Calibration Final'!$A$1:$A$2000"),'Calculations'!$EM140)&amp;"")),""))),IF(IFERROR(IF(INDEX(INDIRECT("'WCM Calibration Final'!$C$1:$C$2000"),'Calculations'!$EM140)="","",TRIM(INDEX(INDIRECT("'WCM Calibration Final'!$C$1:$C$2000"),'Calculations'!$EM140)&amp;"")),"")&lt;&gt;"","S:"&amp;UPPER(IFERROR(IF(INDEX(INDIRECT("'WCM Calibration Final'!$C$1:$C$2000"),'Calculations'!$EM140)="","",TRIM(INDEX(INDIRECT("'WCM Calibration Final'!$C$1:$C$2000"),'Calculations'!$EM140)&amp;"")),"")),"R:"&amp;'Calculations'!EM140)))</x:f>
      </x:c>
      <x:c r="HF140" t="str">
        <x:f>IF('Calculations'!EM140="","",IF(IFERROR(IF(INDEX(INDIRECT("'WCM Calibration Final'!$D$1:$D$2000"),'Calculations'!$EM140)="","",TRIM(INDEX(INDIRECT("'WCM Calibration Final'!$D$1:$D$2000"),'Calculations'!$EM140)&amp;"")),"")&lt;&gt;"","G:"&amp;IFERROR(TEXT(1*INDEX(INDIRECT("'WCM Calibration Final'!$D$1:$D$2000"),'Calculations'!$EM140),"0"),UPPER(IFERROR(IF(INDEX(INDIRECT("'WCM Calibration Final'!$D$1:$D$2000"),'Calculations'!$EM140)="","",TRIM(INDEX(INDIRECT("'WCM Calibration Final'!$D$1:$D$2000"),'Calculations'!$EM140)&amp;"")),""))),IF(IFERROR(IF(INDEX(INDIRECT("'WCM Calibration Final'!$E$1:$E$2000"),'Calculations'!$EM140)="","",TRIM(INDEX(INDIRECT("'WCM Calibration Final'!$E$1:$E$2000"),'Calculations'!$EM140)&amp;"")),"")="","",IF(COUNTIF('Calculations'!$HG$13:$HG$512,"="&amp;SUBSTITUTE(SUBSTITUTE(SUBSTITUTE(IFERROR(IF(INDEX(INDIRECT("'WCM Calibration Final'!$E$1:$E$2000"),'Calculations'!$EM140)="","",TRIM(INDEX(INDIRECT("'WCM Calibration Final'!$E$1:$E$2000"),'Calculations'!$EM140)&amp;"")),""),"~","~~"),"*","~*"),"?","~?"))=1,INDEX('Calculations'!$HE$13:$HE$512,MATCH(IFERROR(IF(INDEX(INDIRECT("'WCM Calibration Final'!$E$1:$E$2000"),'Calculations'!$EM140)="","",TRIM(INDEX(INDIRECT("'WCM Calibration Final'!$E$1:$E$2000"),'Calculations'!$EM140)&amp;"")),""),'Calculations'!$HG$13:$HG$512,0)),IF(COUNTIF('Calculations'!$HG$13:$HG$512,"="&amp;SUBSTITUTE(SUBSTITUTE(SUBSTITUTE(IFERROR(IF(INDEX(INDIRECT("'WCM Calibration Final'!$E$1:$E$2000"),'Calculations'!$EM140)="","",TRIM(INDEX(INDIRECT("'WCM Calibration Final'!$E$1:$E$2000"),'Calculations'!$EM140)&amp;"")),""),"~","~~"),"*","~*"),"?","~?"))&gt;1,"!AMBIG","X:"&amp;IFERROR(IF(INDEX(INDIRECT("'WCM Calibration Final'!$E$1:$E$2000"),'Calculations'!$EM140)="","",TRIM(INDEX(INDIRECT("'WCM Calibration Final'!$E$1:$E$2000"),'Calculations'!$EM140)&amp;"")),""))))))</x:f>
      </x:c>
      <x:c r="HG140" t="str">
        <x:f>IF('Calculations'!EM140="","",IFERROR(IF(INDEX(INDIRECT("'WCM Calibration Final'!$B$1:$B$2000"),'Calculations'!$EM140)="","",TRIM(INDEX(INDIRECT("'WCM Calibration Final'!$B$1:$B$2000"),'Calculations'!$EM140)&amp;"")),""))</x:f>
      </x:c>
      <x:c r="HH140" t="n">
        <x:f>IF(AND('Calculations'!JC140&gt;0,COUNTIF('Calculations'!$HF$12:HF140,"="&amp;SUBSTITUTE(SUBSTITUTE(SUBSTITUTE('Calculations'!HF140,"~","~~"),"*","~*"),"?","~?"))=1),MAX('Calculations'!$HH$12:HH139)+1,0)</x:f>
        <x:v>0</x:v>
      </x:c>
      <x:c r="HI140" t="n">
        <x:f>IF(AND('Calculations'!HN140&lt;&gt;"",COUNTIF('Calculations'!$HN$12:HN140,"="&amp;SUBSTITUTE(SUBSTITUTE(SUBSTITUTE('Calculations'!HN140,"~","~~"),"*","~*"),"?","~?"))=1),MAX('Calculations'!$HI$12:HI139)+1,0)</x:f>
        <x:v>0</x:v>
      </x:c>
      <x:c r="HJ140" t="str">
        <x:f>IF('Calculations'!HF140="","",IF(COUNTIF('Calculations'!$HE$13:$HE$512,"="&amp;SUBSTITUTE(SUBSTITUTE(SUBSTITUTE('Calculations'!HF140,"~","~~"),"*","~*"),"?","~?"))=1,INDEX('Calculations'!$HK$13:$HK$512,MATCH('Calculations'!HF140,'Calculations'!$HE$13:$HE$512,0)),IFERROR(IF(INDEX(INDIRECT("'WCM Calibration Final'!$E$1:$E$2000"),'Calculations'!$EM140)="","",TRIM(INDEX(INDIRECT("'WCM Calibration Final'!$E$1:$E$2000"),'Calculations'!$EM140)&amp;"")),"")&amp;" ["&amp;'Calculations'!HF140&amp;"]"))</x:f>
      </x:c>
      <x:c r="HK140" t="str">
        <x:f>IF('Calculations'!EM140="","",'Calculations'!HG140&amp;" ["&amp;'Calculations'!HE140&amp;"]")</x:f>
      </x:c>
      <x:c r="HL140" t="n">
        <x:f>IF('Calculations'!EM140="",0,IF(OR('Calculations'!II140&lt;&gt;"",COUNTIF('Calculations'!$HE$13:$HE$512,"="&amp;SUBSTITUTE(SUBSTITUTE(SUBSTITUTE('Calculations'!HE140,"~","~~"),"*","~*"),"?","~?"))&gt;1),1,0))</x:f>
        <x:v>0</x:v>
      </x:c>
      <x:c r="HM140" t="str">
        <x:f>IF('Calculations'!EM140="","",IF('Calculations'!HL140=1,"!UNRESOLVED",IF('Calculations'!IH140&lt;&gt;"",'Calculations'!IH140,IF('Calculations'!IG140&lt;&gt;"",'Calculations'!IG140,IF('Calculations'!IF140&lt;&gt;"",'Calculations'!IF140,IF('Calculations'!IE140&lt;&gt;"",'Calculations'!IE140,IF('Calculations'!ID140&lt;&gt;"",'Calculations'!ID140,IF('Calculations'!IC140&lt;&gt;"",'Calculations'!IC140,IF('Calculations'!IB140&lt;&gt;"",'Calculations'!IB140,IF('Calculations'!IA140&lt;&gt;"",'Calculations'!IA140,IF('Calculations'!HZ140&lt;&gt;"",'Calculations'!HZ140,IF('Calculations'!HY140&lt;&gt;"",'Calculations'!HY140,IF('Calculations'!HX140&lt;&gt;"",'Calculations'!HX140,IF('Calculations'!HW140&lt;&gt;"",'Calculations'!HW140,IF('Calculations'!HV140&lt;&gt;"",'Calculations'!HV140,IF('Calculations'!HU140&lt;&gt;"",'Calculations'!HU140,IF('Calculations'!HT140&lt;&gt;"",'Calculations'!HT140,IF('Calculations'!HS140&lt;&gt;"",'Calculations'!HS140,IF('Calculations'!HR140&lt;&gt;"",'Calculations'!HR140,IF('Calculations'!HQ140&lt;&gt;"",'Calculations'!HQ140,IF('Calculations'!HP140&lt;&gt;"",'Calculations'!HP140,IF('Calculations'!HO140&lt;&gt;"",'Calculations'!HO140,'Calculations'!HE140))))))))))))))))))))))</x:f>
      </x:c>
      <x:c r="HN140" t="str">
        <x:f>IF('Calculations'!EM140="","",IF(IFERROR(IF(INDEX(INDIRECT("'WCM Calibration Final'!$F$1:$F$2000"),'Calculations'!$EM140)="","",TRIM(INDEX(INDIRECT("'WCM Calibration Final'!$F$1:$F$2000"),'Calculations'!$EM140)&amp;"")),"")="","(Blank)",IFERROR(IF(INDEX(INDIRECT("'WCM Calibration Final'!$F$1:$F$2000"),'Calculations'!$EM140)="","",TRIM(INDEX(INDIRECT("'WCM Calibration Final'!$F$1:$F$2000"),'Calculations'!$EM140)&amp;"")),"")))</x:f>
      </x:c>
      <x:c r="HO140" t="str">
        <x:f>'Calculations'!HF140</x:f>
      </x:c>
      <x:c r="HP140" t="str">
        <x:f>IF('Calculations'!HO140="","",IF('Calculations'!HO140="!AMBIG","!AMBIG",IF(COUNTIF('Calculations'!$HE$13:$HE$512,"="&amp;SUBSTITUTE(SUBSTITUTE(SUBSTITUTE('Calculations'!HO140,"~","~~"),"*","~*"),"?","~?"))&gt;1,"!AMBIG",IFERROR(INDEX('Calculations'!$HF$13:$HF$512,MATCH('Calculations'!HO140,'Calculations'!$HE$13:$HE$512,0)),""))))</x:f>
      </x:c>
      <x:c r="HQ140" t="str">
        <x:f>IF('Calculations'!HP140="","",IF('Calculations'!HP140="!AMBIG","!AMBIG",IF(COUNTIF('Calculations'!$HE$13:$HE$512,"="&amp;SUBSTITUTE(SUBSTITUTE(SUBSTITUTE('Calculations'!HP140,"~","~~"),"*","~*"),"?","~?"))&gt;1,"!AMBIG",IFERROR(INDEX('Calculations'!$HF$13:$HF$512,MATCH('Calculations'!HP140,'Calculations'!$HE$13:$HE$512,0)),""))))</x:f>
      </x:c>
      <x:c r="HR140" t="str">
        <x:f>IF('Calculations'!HQ140="","",IF('Calculations'!HQ140="!AMBIG","!AMBIG",IF(COUNTIF('Calculations'!$HE$13:$HE$512,"="&amp;SUBSTITUTE(SUBSTITUTE(SUBSTITUTE('Calculations'!HQ140,"~","~~"),"*","~*"),"?","~?"))&gt;1,"!AMBIG",IFERROR(INDEX('Calculations'!$HF$13:$HF$512,MATCH('Calculations'!HQ140,'Calculations'!$HE$13:$HE$512,0)),""))))</x:f>
      </x:c>
      <x:c r="HS140" t="str">
        <x:f>IF('Calculations'!HR140="","",IF('Calculations'!HR140="!AMBIG","!AMBIG",IF(COUNTIF('Calculations'!$HE$13:$HE$512,"="&amp;SUBSTITUTE(SUBSTITUTE(SUBSTITUTE('Calculations'!HR140,"~","~~"),"*","~*"),"?","~?"))&gt;1,"!AMBIG",IFERROR(INDEX('Calculations'!$HF$13:$HF$512,MATCH('Calculations'!HR140,'Calculations'!$HE$13:$HE$512,0)),""))))</x:f>
      </x:c>
      <x:c r="HT140" t="str">
        <x:f>IF('Calculations'!HS140="","",IF('Calculations'!HS140="!AMBIG","!AMBIG",IF(COUNTIF('Calculations'!$HE$13:$HE$512,"="&amp;SUBSTITUTE(SUBSTITUTE(SUBSTITUTE('Calculations'!HS140,"~","~~"),"*","~*"),"?","~?"))&gt;1,"!AMBIG",IFERROR(INDEX('Calculations'!$HF$13:$HF$512,MATCH('Calculations'!HS140,'Calculations'!$HE$13:$HE$512,0)),""))))</x:f>
      </x:c>
      <x:c r="HU140" t="str">
        <x:f>IF('Calculations'!HT140="","",IF('Calculations'!HT140="!AMBIG","!AMBIG",IF(COUNTIF('Calculations'!$HE$13:$HE$512,"="&amp;SUBSTITUTE(SUBSTITUTE(SUBSTITUTE('Calculations'!HT140,"~","~~"),"*","~*"),"?","~?"))&gt;1,"!AMBIG",IFERROR(INDEX('Calculations'!$HF$13:$HF$512,MATCH('Calculations'!HT140,'Calculations'!$HE$13:$HE$512,0)),""))))</x:f>
      </x:c>
      <x:c r="HV140" t="str">
        <x:f>IF('Calculations'!HU140="","",IF('Calculations'!HU140="!AMBIG","!AMBIG",IF(COUNTIF('Calculations'!$HE$13:$HE$512,"="&amp;SUBSTITUTE(SUBSTITUTE(SUBSTITUTE('Calculations'!HU140,"~","~~"),"*","~*"),"?","~?"))&gt;1,"!AMBIG",IFERROR(INDEX('Calculations'!$HF$13:$HF$512,MATCH('Calculations'!HU140,'Calculations'!$HE$13:$HE$512,0)),""))))</x:f>
      </x:c>
      <x:c r="HW140" t="str">
        <x:f>IF('Calculations'!HV140="","",IF('Calculations'!HV140="!AMBIG","!AMBIG",IF(COUNTIF('Calculations'!$HE$13:$HE$512,"="&amp;SUBSTITUTE(SUBSTITUTE(SUBSTITUTE('Calculations'!HV140,"~","~~"),"*","~*"),"?","~?"))&gt;1,"!AMBIG",IFERROR(INDEX('Calculations'!$HF$13:$HF$512,MATCH('Calculations'!HV140,'Calculations'!$HE$13:$HE$512,0)),""))))</x:f>
      </x:c>
      <x:c r="HX140" t="str">
        <x:f>IF('Calculations'!HW140="","",IF('Calculations'!HW140="!AMBIG","!AMBIG",IF(COUNTIF('Calculations'!$HE$13:$HE$512,"="&amp;SUBSTITUTE(SUBSTITUTE(SUBSTITUTE('Calculations'!HW140,"~","~~"),"*","~*"),"?","~?"))&gt;1,"!AMBIG",IFERROR(INDEX('Calculations'!$HF$13:$HF$512,MATCH('Calculations'!HW140,'Calculations'!$HE$13:$HE$512,0)),""))))</x:f>
      </x:c>
      <x:c r="HY140" t="str">
        <x:f>IF('Calculations'!HX140="","",IF('Calculations'!HX140="!AMBIG","!AMBIG",IF(COUNTIF('Calculations'!$HE$13:$HE$512,"="&amp;SUBSTITUTE(SUBSTITUTE(SUBSTITUTE('Calculations'!HX140,"~","~~"),"*","~*"),"?","~?"))&gt;1,"!AMBIG",IFERROR(INDEX('Calculations'!$HF$13:$HF$512,MATCH('Calculations'!HX140,'Calculations'!$HE$13:$HE$512,0)),""))))</x:f>
      </x:c>
      <x:c r="HZ140" t="str">
        <x:f>IF('Calculations'!HY140="","",IF('Calculations'!HY140="!AMBIG","!AMBIG",IF(COUNTIF('Calculations'!$HE$13:$HE$512,"="&amp;SUBSTITUTE(SUBSTITUTE(SUBSTITUTE('Calculations'!HY140,"~","~~"),"*","~*"),"?","~?"))&gt;1,"!AMBIG",IFERROR(INDEX('Calculations'!$HF$13:$HF$512,MATCH('Calculations'!HY140,'Calculations'!$HE$13:$HE$512,0)),""))))</x:f>
      </x:c>
      <x:c r="IA140" t="str">
        <x:f>IF('Calculations'!HZ140="","",IF('Calculations'!HZ140="!AMBIG","!AMBIG",IF(COUNTIF('Calculations'!$HE$13:$HE$512,"="&amp;SUBSTITUTE(SUBSTITUTE(SUBSTITUTE('Calculations'!HZ140,"~","~~"),"*","~*"),"?","~?"))&gt;1,"!AMBIG",IFERROR(INDEX('Calculations'!$HF$13:$HF$512,MATCH('Calculations'!HZ140,'Calculations'!$HE$13:$HE$512,0)),""))))</x:f>
      </x:c>
      <x:c r="IB140" t="str">
        <x:f>IF('Calculations'!IA140="","",IF('Calculations'!IA140="!AMBIG","!AMBIG",IF(COUNTIF('Calculations'!$HE$13:$HE$512,"="&amp;SUBSTITUTE(SUBSTITUTE(SUBSTITUTE('Calculations'!IA140,"~","~~"),"*","~*"),"?","~?"))&gt;1,"!AMBIG",IFERROR(INDEX('Calculations'!$HF$13:$HF$512,MATCH('Calculations'!IA140,'Calculations'!$HE$13:$HE$512,0)),""))))</x:f>
      </x:c>
      <x:c r="IC140" t="str">
        <x:f>IF('Calculations'!IB140="","",IF('Calculations'!IB140="!AMBIG","!AMBIG",IF(COUNTIF('Calculations'!$HE$13:$HE$512,"="&amp;SUBSTITUTE(SUBSTITUTE(SUBSTITUTE('Calculations'!IB140,"~","~~"),"*","~*"),"?","~?"))&gt;1,"!AMBIG",IFERROR(INDEX('Calculations'!$HF$13:$HF$512,MATCH('Calculations'!IB140,'Calculations'!$HE$13:$HE$512,0)),""))))</x:f>
      </x:c>
      <x:c r="ID140" t="str">
        <x:f>IF('Calculations'!IC140="","",IF('Calculations'!IC140="!AMBIG","!AMBIG",IF(COUNTIF('Calculations'!$HE$13:$HE$512,"="&amp;SUBSTITUTE(SUBSTITUTE(SUBSTITUTE('Calculations'!IC140,"~","~~"),"*","~*"),"?","~?"))&gt;1,"!AMBIG",IFERROR(INDEX('Calculations'!$HF$13:$HF$512,MATCH('Calculations'!IC140,'Calculations'!$HE$13:$HE$512,0)),""))))</x:f>
      </x:c>
      <x:c r="IE140" t="str">
        <x:f>IF('Calculations'!ID140="","",IF('Calculations'!ID140="!AMBIG","!AMBIG",IF(COUNTIF('Calculations'!$HE$13:$HE$512,"="&amp;SUBSTITUTE(SUBSTITUTE(SUBSTITUTE('Calculations'!ID140,"~","~~"),"*","~*"),"?","~?"))&gt;1,"!AMBIG",IFERROR(INDEX('Calculations'!$HF$13:$HF$512,MATCH('Calculations'!ID140,'Calculations'!$HE$13:$HE$512,0)),""))))</x:f>
      </x:c>
      <x:c r="IF140" t="str">
        <x:f>IF('Calculations'!IE140="","",IF('Calculations'!IE140="!AMBIG","!AMBIG",IF(COUNTIF('Calculations'!$HE$13:$HE$512,"="&amp;SUBSTITUTE(SUBSTITUTE(SUBSTITUTE('Calculations'!IE140,"~","~~"),"*","~*"),"?","~?"))&gt;1,"!AMBIG",IFERROR(INDEX('Calculations'!$HF$13:$HF$512,MATCH('Calculations'!IE140,'Calculations'!$HE$13:$HE$512,0)),""))))</x:f>
      </x:c>
      <x:c r="IG140" t="str">
        <x:f>IF('Calculations'!IF140="","",IF('Calculations'!IF140="!AMBIG","!AMBIG",IF(COUNTIF('Calculations'!$HE$13:$HE$512,"="&amp;SUBSTITUTE(SUBSTITUTE(SUBSTITUTE('Calculations'!IF140,"~","~~"),"*","~*"),"?","~?"))&gt;1,"!AMBIG",IFERROR(INDEX('Calculations'!$HF$13:$HF$512,MATCH('Calculations'!IF140,'Calculations'!$HE$13:$HE$512,0)),""))))</x:f>
      </x:c>
      <x:c r="IH140" t="str">
        <x:f>IF('Calculations'!IG140="","",IF('Calculations'!IG140="!AMBIG","!AMBIG",IF(COUNTIF('Calculations'!$HE$13:$HE$512,"="&amp;SUBSTITUTE(SUBSTITUTE(SUBSTITUTE('Calculations'!IG140,"~","~~"),"*","~*"),"?","~?"))&gt;1,"!AMBIG",IFERROR(INDEX('Calculations'!$HF$13:$HF$512,MATCH('Calculations'!IG140,'Calculations'!$HE$13:$HE$512,0)),""))))</x:f>
      </x:c>
      <x:c r="II140" t="str">
        <x:f>IF('Calculations'!IH140="","",IF('Calculations'!IH140="!AMBIG","!AMBIG",IF(COUNTIF('Calculations'!$HE$13:$HE$512,"="&amp;SUBSTITUTE(SUBSTITUTE(SUBSTITUTE('Calculations'!IH140,"~","~~"),"*","~*"),"?","~?"))&gt;1,"!AMBIG",IFERROR(INDEX('Calculations'!$HF$13:$HF$512,MATCH('Calculations'!IH140,'Calculations'!$HE$13:$HE$512,0)),""))))</x:f>
      </x:c>
      <x:c r="IJ140" t="str">
        <x:f>IF('Calculations'!EM140="","",IF('Calculations'!$EF$2="All",'Calculations'!HM140,IF('Calculations'!HL140=1,"",IFERROR(IF(MATCH('Calculations'!$EF$2,'Calculations'!HO140:II140,0)=1,'Calculations'!HE140,INDEX('Calculations'!HO140:II140,1,MATCH('Calculations'!$EF$2,'Calculations'!HO140:II140,0)-1)),""))))</x:f>
      </x:c>
      <x:c r="IK140" t="n">
        <x:f>IF(AND('Calculations'!EM140&lt;&gt;"",'Calculations'!$EF$2&lt;&gt;"All",'Calculations'!HF140='Calculations'!$EF$2,'Calculations'!HL140=0,'Calculations'!JD140&gt;0),MAX('Calculations'!$IK$12:IK139)+1,0)</x:f>
        <x:v>0</x:v>
      </x:c>
      <x:c r="JA140" t="n">
        <x:f>IF(OR(IFERROR(INDIRECT("'WCM Calibration Final'!$A$140")&lt;&gt;"",FALSE),IFERROR(INDIRECT("'WCM Calibration Final'!$B$140")&lt;&gt;"",FALSE),IFERROR(INDIRECT("'WCM Calibration Final'!$C$140")&lt;&gt;"",FALSE)),140,0)</x:f>
        <x:v>0</x:v>
      </x:c>
      <x:c r="JB140" t="n">
        <x:f>'Calculations'!JB139+IF('Calculations'!JA140&gt;0,1,0)</x:f>
        <x:v>0</x:v>
      </x:c>
      <x:c r="JC140" t="n">
        <x:f>IF(OR('Calculations'!HF140="",'Calculations'!HF140="!AMBIG"),0,IF('Dashboard'!$B$7="All",1,COUNTIFS('Calculations'!$HO$13:$HO$512,"="&amp;SUBSTITUTE(SUBSTITUTE(SUBSTITUTE('Calculations'!HF140,"~","~~"),"*","~*"),"?","~?"),'Calculations'!$HN$13:$HN$512,"="&amp;SUBSTITUTE(SUBSTITUTE(SUBSTITUTE('Dashboard'!$B$7,"~","~~"),"*","~*"),"?","~?"))+COUNTIFS('Calculations'!$HP$13:$HP$512,"="&amp;SUBSTITUTE(SUBSTITUTE(SUBSTITUTE('Calculations'!HF140,"~","~~"),"*","~*"),"?","~?"),'Calculations'!$HN$13:$HN$512,"="&amp;SUBSTITUTE(SUBSTITUTE(SUBSTITUTE('Dashboard'!$B$7,"~","~~"),"*","~*"),"?","~?"))+COUNTIFS('Calculations'!$HQ$13:$HQ$512,"="&amp;SUBSTITUTE(SUBSTITUTE(SUBSTITUTE('Calculations'!HF140,"~","~~"),"*","~*"),"?","~?"),'Calculations'!$HN$13:$HN$512,"="&amp;SUBSTITUTE(SUBSTITUTE(SUBSTITUTE('Dashboard'!$B$7,"~","~~"),"*","~*"),"?","~?"))+COUNTIFS('Calculations'!$HR$13:$HR$512,"="&amp;SUBSTITUTE(SUBSTITUTE(SUBSTITUTE('Calculations'!HF140,"~","~~"),"*","~*"),"?","~?"),'Calculations'!$HN$13:$HN$512,"="&amp;SUBSTITUTE(SUBSTITUTE(SUBSTITUTE('Dashboard'!$B$7,"~","~~"),"*","~*"),"?","~?"))+COUNTIFS('Calculations'!$HS$13:$HS$512,"="&amp;SUBSTITUTE(SUBSTITUTE(SUBSTITUTE('Calculations'!HF140,"~","~~"),"*","~*"),"?","~?"),'Calculations'!$HN$13:$HN$512,"="&amp;SUBSTITUTE(SUBSTITUTE(SUBSTITUTE('Dashboard'!$B$7,"~","~~"),"*","~*"),"?","~?"))+COUNTIFS('Calculations'!$HT$13:$HT$512,"="&amp;SUBSTITUTE(SUBSTITUTE(SUBSTITUTE('Calculations'!HF140,"~","~~"),"*","~*"),"?","~?"),'Calculations'!$HN$13:$HN$512,"="&amp;SUBSTITUTE(SUBSTITUTE(SUBSTITUTE('Dashboard'!$B$7,"~","~~"),"*","~*"),"?","~?"))+COUNTIFS('Calculations'!$HU$13:$HU$512,"="&amp;SUBSTITUTE(SUBSTITUTE(SUBSTITUTE('Calculations'!HF140,"~","~~"),"*","~*"),"?","~?"),'Calculations'!$HN$13:$HN$512,"="&amp;SUBSTITUTE(SUBSTITUTE(SUBSTITUTE('Dashboard'!$B$7,"~","~~"),"*","~*"),"?","~?"))+COUNTIFS('Calculations'!$HV$13:$HV$512,"="&amp;SUBSTITUTE(SUBSTITUTE(SUBSTITUTE('Calculations'!HF140,"~","~~"),"*","~*"),"?","~?"),'Calculations'!$HN$13:$HN$512,"="&amp;SUBSTITUTE(SUBSTITUTE(SUBSTITUTE('Dashboard'!$B$7,"~","~~"),"*","~*"),"?","~?"))+COUNTIFS('Calculations'!$HW$13:$HW$512,"="&amp;SUBSTITUTE(SUBSTITUTE(SUBSTITUTE('Calculations'!HF140,"~","~~"),"*","~*"),"?","~?"),'Calculations'!$HN$13:$HN$512,"="&amp;SUBSTITUTE(SUBSTITUTE(SUBSTITUTE('Dashboard'!$B$7,"~","~~"),"*","~*"),"?","~?"))+COUNTIFS('Calculations'!$HX$13:$HX$512,"="&amp;SUBSTITUTE(SUBSTITUTE(SUBSTITUTE('Calculations'!HF140,"~","~~"),"*","~*"),"?","~?"),'Calculations'!$HN$13:$HN$512,"="&amp;SUBSTITUTE(SUBSTITUTE(SUBSTITUTE('Dashboard'!$B$7,"~","~~"),"*","~*"),"?","~?"))+COUNTIFS('Calculations'!$HY$13:$HY$512,"="&amp;SUBSTITUTE(SUBSTITUTE(SUBSTITUTE('Calculations'!HF140,"~","~~"),"*","~*"),"?","~?"),'Calculations'!$HN$13:$HN$512,"="&amp;SUBSTITUTE(SUBSTITUTE(SUBSTITUTE('Dashboard'!$B$7,"~","~~"),"*","~*"),"?","~?"))+COUNTIFS('Calculations'!$HZ$13:$HZ$512,"="&amp;SUBSTITUTE(SUBSTITUTE(SUBSTITUTE('Calculations'!HF140,"~","~~"),"*","~*"),"?","~?"),'Calculations'!$HN$13:$HN$512,"="&amp;SUBSTITUTE(SUBSTITUTE(SUBSTITUTE('Dashboard'!$B$7,"~","~~"),"*","~*"),"?","~?"))+COUNTIFS('Calculations'!$IA$13:$IA$512,"="&amp;SUBSTITUTE(SUBSTITUTE(SUBSTITUTE('Calculations'!HF140,"~","~~"),"*","~*"),"?","~?"),'Calculations'!$HN$13:$HN$512,"="&amp;SUBSTITUTE(SUBSTITUTE(SUBSTITUTE('Dashboard'!$B$7,"~","~~"),"*","~*"),"?","~?"))+COUNTIFS('Calculations'!$IB$13:$IB$512,"="&amp;SUBSTITUTE(SUBSTITUTE(SUBSTITUTE('Calculations'!HF140,"~","~~"),"*","~*"),"?","~?"),'Calculations'!$HN$13:$HN$512,"="&amp;SUBSTITUTE(SUBSTITUTE(SUBSTITUTE('Dashboard'!$B$7,"~","~~"),"*","~*"),"?","~?"))+COUNTIFS('Calculations'!$IC$13:$IC$512,"="&amp;SUBSTITUTE(SUBSTITUTE(SUBSTITUTE('Calculations'!HF140,"~","~~"),"*","~*"),"?","~?"),'Calculations'!$HN$13:$HN$512,"="&amp;SUBSTITUTE(SUBSTITUTE(SUBSTITUTE('Dashboard'!$B$7,"~","~~"),"*","~*"),"?","~?"))+COUNTIFS('Calculations'!$ID$13:$ID$512,"="&amp;SUBSTITUTE(SUBSTITUTE(SUBSTITUTE('Calculations'!HF140,"~","~~"),"*","~*"),"?","~?"),'Calculations'!$HN$13:$HN$512,"="&amp;SUBSTITUTE(SUBSTITUTE(SUBSTITUTE('Dashboard'!$B$7,"~","~~"),"*","~*"),"?","~?"))+COUNTIFS('Calculations'!$IE$13:$IE$512,"="&amp;SUBSTITUTE(SUBSTITUTE(SUBSTITUTE('Calculations'!HF140,"~","~~"),"*","~*"),"?","~?"),'Calculations'!$HN$13:$HN$512,"="&amp;SUBSTITUTE(SUBSTITUTE(SUBSTITUTE('Dashboard'!$B$7,"~","~~"),"*","~*"),"?","~?"))+COUNTIFS('Calculations'!$IF$13:$IF$512,"="&amp;SUBSTITUTE(SUBSTITUTE(SUBSTITUTE('Calculations'!HF140,"~","~~"),"*","~*"),"?","~?"),'Calculations'!$HN$13:$HN$512,"="&amp;SUBSTITUTE(SUBSTITUTE(SUBSTITUTE('Dashboard'!$B$7,"~","~~"),"*","~*"),"?","~?"))+COUNTIFS('Calculations'!$IG$13:$IG$512,"="&amp;SUBSTITUTE(SUBSTITUTE(SUBSTITUTE('Calculations'!HF140,"~","~~"),"*","~*"),"?","~?"),'Calculations'!$HN$13:$HN$512,"="&amp;SUBSTITUTE(SUBSTITUTE(SUBSTITUTE('Dashboard'!$B$7,"~","~~"),"*","~*"),"?","~?"))+COUNTIFS('Calculations'!$IH$13:$IH$512,"="&amp;SUBSTITUTE(SUBSTITUTE(SUBSTITUTE('Calculations'!HF140,"~","~~"),"*","~*"),"?","~?"),'Calculations'!$HN$13:$HN$512,"="&amp;SUBSTITUTE(SUBSTITUTE(SUBSTITUTE('Dashboard'!$B$7,"~","~~"),"*","~*"),"?","~?"))))</x:f>
        <x:v>0</x:v>
      </x:c>
      <x:c r="JD140" t="n">
        <x:f>IF('Calculations'!EM140="",0,IF('Dashboard'!$B$7="All",1,IF('Calculations'!HN140='Dashboard'!$B$7,1,0)+IFERROR(INDEX('Calculations'!$JC$13:$JC$512,MATCH('Calculations'!HE140,'Calculations'!$HF$13:$HF$512,0)),0)))</x:f>
        <x:v>0</x:v>
      </x:c>
      <x:c r="JE140" t="n">
        <x:f>IF(AND('Calculations'!EM140&lt;&gt;"",'Calculations'!$JJ$2&lt;&gt;"All",'Calculations'!$JJ$2&lt;&gt;"",'Calculations'!HF140='Calculations'!$JJ$2,'Calculations'!HL140=0,'Calculations'!JD140&gt;0),MAX('Calculations'!$JE$12:JE139)+1,0)</x:f>
        <x:v>0</x:v>
      </x:c>
      <x:c r="JF140" t="str">
        <x:f>IF('Calculations'!EM140="","",IFERROR(IF(INDEX(INDIRECT("'WCM Calibration Final'!$G$1:$G$2000"),'Calculations'!$EM140)="","",TRIM(INDEX(INDIRECT("'WCM Calibration Final'!$G$1:$G$2000"),'Calculations'!$EM140)&amp;"")),""))</x:f>
      </x:c>
      <x:c r="JQ140" t="n">
        <x:f>IF(OR('Calculations'!BM140=0,NOT('Calculations'!$AG$2),'Calculations'!$AG$8&gt;0),0,IF(OR('Dashboard'!$B$7="All",'Calculations'!HN140='Dashboard'!$B$7),IF('Calculations'!$JJ$2="All",1,IF(AND('Calculations'!HF140='Calculations'!$JJ$2,'Calculations'!HL140=0),1,0)),0))</x:f>
        <x:v>0</x:v>
      </x:c>
    </x:row>
    <x:row r="141">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t="n">
        <x:f>IF('Calculations'!$EM141="",0,IF(OR(IFERROR(INDEX(INDIRECT("'WCM Calibration Final'!$A$1:$A$2000"),'Calculations'!$EM141)&lt;&gt;"",FALSE),IFERROR(INDEX(INDIRECT("'WCM Calibration Final'!$B$1:$B$2000"),'Calculations'!$EM141)&lt;&gt;"",FALSE),IFERROR(INDEX(INDIRECT("'WCM Calibration Final'!$C$1:$C$2000"),'Calculations'!$EM141)&lt;&gt;"",FALSE)),1,0))</x:f>
        <x:v>0</x:v>
      </x:c>
      <x:c r="BN141" s="4" t="n">
        <x:f>IF(AND('Calculations'!BM141=1,'Calculations'!$AG$2,'Calculations'!$EN141=1),1,0)</x:f>
        <x:v>0</x:v>
      </x:c>
      <x:c r="BO141" s="4" t="str">
        <x:f>IF('Calculations'!BM141=0,"",IFERROR(IF(AND(VALUE(INDEX(INDIRECT("'WCM Calibration Final'!$K$1:$K$2000"),'Calculations'!$EM141))&gt;=1,VALUE(INDEX(INDIRECT("'WCM Calibration Final'!$K$1:$K$2000"),'Calculations'!$EM141))&lt;=4,MOD(VALUE(INDEX(INDIRECT("'WCM Calibration Final'!$K$1:$K$2000"),'Calculations'!$EM141)),1)=0),VALUE(INDEX(INDIRECT("'WCM Calibration Final'!$K$1:$K$2000"),'Calculations'!$EM141)),""),""))</x:f>
      </x:c>
      <x:c r="BP141" s="4" t="str">
        <x:f>IF('Calculations'!BM141=0,"",IFERROR(IF(AND(VALUE(INDEX(INDIRECT("'WCM Calibration Final'!$L$1:$L$2000"),'Calculations'!$EM141))&gt;=1,VALUE(INDEX(INDIRECT("'WCM Calibration Final'!$L$1:$L$2000"),'Calculations'!$EM141))&lt;=4,MOD(VALUE(INDEX(INDIRECT("'WCM Calibration Final'!$L$1:$L$2000"),'Calculations'!$EM141)),1)=0),VALUE(INDEX(INDIRECT("'WCM Calibration Final'!$L$1:$L$2000"),'Calculations'!$EM141)),""),""))</x:f>
      </x:c>
      <x:c r="BQ141" s="4"/>
      <x:c r="BR141" s="4"/>
      <x:c r="BS141" s="4"/>
      <x:c r="BT141" s="4" t="n">
        <x:f>IF(AND('Calculations'!BM141=1,ISNUMBER('Calculations'!BO141),ISNUMBER('Calculations'!BP141)),1,0)</x:f>
        <x:v>0</x:v>
      </x:c>
      <x:c r="BU141" s="4" t="str">
        <x:f>IF('Calculations'!BM141=0,"",'Calculations'!$EO141)</x:f>
      </x:c>
      <x:c r="BV141" s="4" t="str">
        <x:f>IF('Calculations'!BM141=0,"",IFERROR(IF(OR(INDEX(INDIRECT("'WCM Calibration Final'!$H$1:$H$2000"),'Calculations'!$EM141)="MANAGING DIRECTOR",INDEX(INDIRECT("'WCM Calibration Final'!$H$1:$H$2000"),'Calculations'!$EM141)="DIRECTOR",INDEX(INDIRECT("'WCM Calibration Final'!$H$1:$H$2000"),'Calculations'!$EM141)="SENIOR VICE PRESIDENT",INDEX(INDIRECT("'WCM Calibration Final'!$H$1:$H$2000"),'Calculations'!$EM141)="VICE PRESIDENT",INDEX(INDIRECT("'WCM Calibration Final'!$H$1:$H$2000"),'Calculations'!$EM141)="ASSISTANT VICE PRESIDENT",INDEX(INDIRECT("'WCM Calibration Final'!$H$1:$H$2000"),'Calculations'!$EM141)="OFFICER"),UPPER(INDEX(INDIRECT("'WCM Calibration Final'!$H$1:$H$2000"),'Calculations'!$EM141)),"Other"),"Other"))</x:f>
      </x:c>
      <x:c r="BW141" s="4"/>
      <x:c r="BX141" s="4"/>
      <x:c r="BY141" s="4" t="n">
        <x:f>IF(AND('Calculations'!BM141=1,'Calculations'!BU141&lt;&gt;"",COUNTIF('Calculations'!$BU$12:BU141,'Calculations'!BU141)=1),MAX('Calculations'!$BY$11:BY140)+1,0)</x:f>
        <x:v>0</x:v>
      </x:c>
      <x:c r="BZ141" s="4" t="str">
        <x:f>IF('Dashboard'!$E$67="What",'Calculations'!BO141,'Calculations'!BP141)</x:f>
      </x:c>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t="str">
        <x:f>IF(130&gt;MAX('Calculations'!$HI$13:$HI$512),"",INDEX('Calculations'!$HN$13:$HN$512,MATCH(130,'Calculations'!$HI$13:$HI$512,0)))</x:f>
      </x:c>
      <x:c r="DB141" s="4" t="str">
        <x:f>IF(130&gt;MAX('Calculations'!$HH$13:$HH$512),"",INDEX('Calculations'!$HJ$13:$HJ$512,MATCH(130,'Calculations'!$HH$13:$HH$512,0)))</x:f>
      </x:c>
      <x:c r="DC141" s="4" t="str">
        <x:f>IF(ROW()-11&gt;MAX('Calculations'!$BY$13:$BY$512),"",INDEX('Calculations'!$BU$13:$BU$512,MATCH(ROW()-11,'Calculations'!$BY$13:$BY$512,0)))</x:f>
      </x:c>
      <x:c r="DD141" s="4" t="str">
        <x:f>IF(130&gt;MAX('Calculations'!$IK$13:$IK$512),"",INDEX('Calculations'!$HK$13:$HK$512,MATCH(130,'Calculations'!$IK$13:$IK$512,0)))</x:f>
      </x:c>
      <x:c r="DE141" s="4" t="str">
        <x:f>'Calculations'!DC141</x:f>
      </x:c>
      <x:c r="DF141" s="4" t="str">
        <x:f>IF('Calculations'!DE141="","",COUNTIFS('Calculations'!$BN$13:$BN$512,1,'Calculations'!$BU$13:$BU$512,'Calculations'!DE141))</x:f>
      </x:c>
      <x:c r="DG141" s="4" t="str">
        <x:f>IF('Calculations'!DE141="","",COUNTIFS('Calculations'!$BN$13:$BN$512,1,'Calculations'!$BU$13:$BU$512,'Calculations'!DE141,'Calculations'!$BT$13:$BT$512,1))</x:f>
      </x:c>
      <x:c r="DH141" s="4" t="str">
        <x:f>IF('Calculations'!DE141="","",'Calculations'!DF141-'Calculations'!DG141)</x:f>
      </x:c>
      <x:c r="DI141" s="4" t="str">
        <x:f>IF(OR('Calculations'!DE141="",'Calculations'!DF141=0),"",'Calculations'!DG141/'Calculations'!DF141)</x:f>
      </x:c>
      <x:c r="DJ141" s="4" t="str">
        <x:f>IF('Calculations'!DE141="","",COUNTIFS('Calculations'!$BN$13:$BN$512,1,'Calculations'!$BU$13:$BU$512,'Calculations'!DE141,'Calculations'!$BT$13:$BT$512,1,'Calculations'!$EE$13:$EE$512,"High"))</x:f>
      </x:c>
      <x:c r="DK141" s="4" t="str">
        <x:f>IF('Calculations'!DE141="","",COUNTIFS('Calculations'!$BN$13:$BN$512,1,'Calculations'!$BU$13:$BU$512,'Calculations'!DE141,'Calculations'!$BT$13:$BT$512,1,'Calculations'!$EE$13:$EE$512,"Strong"))</x:f>
      </x:c>
      <x:c r="DL141" s="4" t="str">
        <x:f>IF('Calculations'!DE141="","",COUNTIFS('Calculations'!$BN$13:$BN$512,1,'Calculations'!$BU$13:$BU$512,'Calculations'!DE141,'Calculations'!$BT$13:$BT$512,1,'Calculations'!$EE$13:$EE$512,"Solid"))</x:f>
      </x:c>
      <x:c r="DM141" s="4" t="str">
        <x:f>IF('Calculations'!DE141="","",COUNTIFS('Calculations'!$BN$13:$BN$512,1,'Calculations'!$BU$13:$BU$512,'Calculations'!DE141,'Calculations'!$BT$13:$BT$512,1,'Calculations'!$EE$13:$EE$512,"Low"))</x:f>
      </x:c>
      <x:c r="DN141" s="4" t="str">
        <x:f>IF('Calculations'!DE141="","",COUNTIFS('Calculations'!$BN$13:$BN$512,1,'Calculations'!$BU$13:$BU$512,'Calculations'!DE141,'Calculations'!$EP$13:$EP$512,1))</x:f>
      </x:c>
      <x:c r="DO141" s="4" t="str">
        <x:f>IF(OR('Calculations'!DE141="",'Calculations'!DG141=0),"",('Calculations'!DJ141+'Calculations'!DK141)/'Calculations'!DG141)</x:f>
      </x:c>
      <x:c r="DP141" s="4" t="n">
        <x:f>IF(AND('Calculations'!DE141&lt;&gt;"",'Calculations'!DF141&gt;0),COUNTIF('Calculations'!$DF$12:DF141,"&gt;0"),0)</x:f>
        <x:v>0</x:v>
      </x:c>
      <x:c r="DQ141" s="4" t="str">
        <x:f>IF(130&gt;MAX('Calculations'!$HH$13:$HH$512),"",INDEX('Calculations'!$HF$13:$HF$512,MATCH(130,'Calculations'!$HH$13:$HH$512,0)))</x:f>
      </x:c>
      <x:c r="DR141" s="4" t="str">
        <x:f>IF(130&gt;MAX('Calculations'!$IK$13:$IK$512),"",INDEX('Calculations'!$HE$13:$HE$512,MATCH(130,'Calculations'!$IK$13:$IK$512,0)))</x:f>
      </x:c>
      <x:c r="DS141" s="4"/>
      <x:c r="DT141" s="4"/>
      <x:c r="DU141" s="4"/>
      <x:c r="DV141" s="4"/>
      <x:c r="DW141" s="4"/>
      <x:c r="DX141" s="4"/>
      <x:c r="DY141" s="4"/>
      <x:c r="DZ141" s="4"/>
      <x:c r="EA141" s="4"/>
      <x:c r="EB141" s="4"/>
      <x:c r="EC141" s="4"/>
      <x:c r="ED141" s="4"/>
      <x:c r="EE141" s="4" t="str">
        <x:f>IF('Calculations'!BT141=0,"Not Rated",IF(OR('Calculations'!BO141&gt;=4,'Calculations'!BP141&gt;=4),"Low",IF('Calculations'!BO141+'Calculations'!BP141&lt;=3,"High",IF('Calculations'!BO141+'Calculations'!BP141&lt;=4,"Strong","Solid"))))</x:f>
        <x:v>Not Rated</x:v>
      </x:c>
      <x:c r="EF141" s="4"/>
      <x:c r="EG141" s="4"/>
      <x:c r="EH141" s="4"/>
      <x:c r="EI141" s="4"/>
      <x:c r="EJ141" s="4"/>
      <x:c r="EK141" s="4"/>
      <x:c r="EL141" s="4"/>
      <x:c r="EM141" s="4" t="str">
        <x:f>IF(129&gt;'Calculations'!$JB$2000,"",INDEX('Calculations'!$JA$12:$JA$2000,MATCH(129,'Calculations'!$JB$12:$JB$2000,0)))</x:f>
      </x:c>
      <x:c r="EN141" s="4" t="n">
        <x:f>IF(OR('Calculations'!EM141="",'Calculations'!$AG$8&gt;0,AND('Calculations'!$EF$2&lt;&gt;"All",'Calculations'!HE141='Calculations'!$EF$2),AND('Calculations'!$EF$3&lt;&gt;"All",'Calculations'!HE141='Calculations'!$EF$3)),0,IF(OR('Dashboard'!$B$7="All",'Calculations'!HN141='Dashboard'!$B$7),IF('Calculations'!$EF$2="All",1,IF('Calculations'!HL141&gt;0,0,IF(COUNTIF('Calculations'!HO141:II141,"="&amp;SUBSTITUTE(SUBSTITUTE(SUBSTITUTE('Calculations'!$EF$2,"~","~~"),"*","~*"),"?","~?"))=0,0,IF('Calculations'!$EF$3="All",1,IF(COUNTIF('Calculations'!HO141:II141,"="&amp;SUBSTITUTE(SUBSTITUTE(SUBSTITUTE('Calculations'!$EF$3,"~","~~"),"*","~*"),"?","~?"))&gt;0,1,0))))),0))</x:f>
        <x:v>0</x:v>
      </x:c>
      <x:c r="EO141" s="4" t="str">
        <x:f>IF('Calculations'!IJ141="","",IF('Calculations'!IJ141="!UNRESOLVED","Unresolved hierarchy",IFERROR(INDEX('Calculations'!$HK$13:$HK$512,MATCH('Calculations'!IJ141,'Calculations'!$HE$13:$HE$512,0)),IFERROR(INDEX('Calculations'!$HJ$13:$HJ$512,MATCH('Calculations'!IJ141,'Calculations'!$HF$13:$HF$512,0)),'Calculations'!IJ141))))</x:f>
      </x:c>
      <x:c r="EP141" s="4" t="n">
        <x:f>IF(AND('Calculations'!EM141&lt;&gt;"",'Calculations'!HF141='Calculations'!IJ141),1,0)</x:f>
        <x:v>0</x:v>
      </x:c>
      <x:c r="EQ141" s="4"/>
      <x:c r="ER141" s="4"/>
      <x:c r="ES141" s="4"/>
      <x:c r="ET141" s="4"/>
      <x:c r="EU141" s="4"/>
      <x:c r="EV141" s="4"/>
      <x:c r="EW141" s="4"/>
      <x:c r="EX141" s="4"/>
      <x:c r="EY141" s="4"/>
      <x:c r="EZ141" s="4"/>
      <x:c r="FA141" s="4"/>
      <x:c r="FB141" s="4"/>
      <x:c r="FC141" s="4"/>
      <x:c r="FD141" s="4"/>
      <x:c r="FE141" s="4"/>
      <x:c r="FF141" s="4"/>
      <x:c r="FG141" s="4"/>
      <x:c r="FH141" s="4"/>
      <x:c r="FI141" s="4"/>
      <x:c r="FJ141" s="4"/>
      <x:c r="FK141" s="4"/>
      <x:c r="FL141" s="4"/>
      <x:c r="FM141" s="4"/>
      <x:c r="FN141" s="4"/>
      <x:c r="FO141" s="4"/>
      <x:c r="GA141" s="71"/>
      <x:c r="GB141" s="71"/>
      <x:c r="GC141" s="71"/>
      <x:c r="GD141" s="71"/>
      <x:c r="GE141" s="71"/>
      <x:c r="GF141" s="71"/>
      <x:c r="GG141" s="71"/>
      <x:c r="GH141" s="71"/>
      <x:c r="GI141" s="71"/>
      <x:c r="GJ141" s="71"/>
      <x:c r="GK141" s="71"/>
      <x:c r="GL141" s="71"/>
      <x:c r="GM141" s="71"/>
      <x:c r="GN141" s="71"/>
      <x:c r="GO141" s="71"/>
      <x:c r="GP141" s="71"/>
      <x:c r="GQ141" s="71"/>
      <x:c r="GR141" s="71"/>
      <x:c r="GS141" s="71"/>
      <x:c r="GT141" s="71"/>
      <x:c r="GU141" s="71"/>
      <x:c r="GV141" s="71"/>
      <x:c r="GW141" s="71"/>
      <x:c r="GX141" s="71" t="str">
        <x:f>IF(COUNTA('Dashboard'!N141,'Dashboard'!P141,'Dashboard'!R141,'Dashboard'!T141)=0,"No thresholds",IF(OR(COUNT('Dashboard'!N141,'Dashboard'!P141,'Dashboard'!R141,'Dashboard'!T141)&lt;&gt;COUNTA('Dashboard'!N141,'Dashboard'!P141,'Dashboard'!R141,'Dashboard'!T141),MIN('Dashboard'!N141,'Dashboard'!P141,'Dashboard'!R141,'Dashboard'!T141)&lt;0,MAX('Dashboard'!N141,'Dashboard'!P141,'Dashboard'!R141,'Dashboard'!T141)&gt;1),"Check thresholds",TEXT(SUM('Dashboard'!N141,'Dashboard'!P141,'Dashboard'!R141,'Dashboard'!T141),"0%")&amp;" - separate caps"))</x:f>
        <x:v>112% - separate caps</x:v>
      </x:c>
      <x:c r="GY141" s="71"/>
      <x:c r="GZ141" s="71"/>
      <x:c r="HA141" s="71"/>
      <x:c r="HB141" s="71"/>
      <x:c r="HC141" s="71"/>
      <x:c r="HD141" s="71"/>
      <x:c r="HE141" t="str">
        <x:f>IF('Calculations'!EM141="","",IF(IFERROR(IF(INDEX(INDIRECT("'WCM Calibration Final'!$A$1:$A$2000"),'Calculations'!$EM141)="","",TRIM(INDEX(INDIRECT("'WCM Calibration Final'!$A$1:$A$2000"),'Calculations'!$EM141)&amp;"")),"")&lt;&gt;"","G:"&amp;IFERROR(TEXT(1*INDEX(INDIRECT("'WCM Calibration Final'!$A$1:$A$2000"),'Calculations'!$EM141),"0"),UPPER(IFERROR(IF(INDEX(INDIRECT("'WCM Calibration Final'!$A$1:$A$2000"),'Calculations'!$EM141)="","",TRIM(INDEX(INDIRECT("'WCM Calibration Final'!$A$1:$A$2000"),'Calculations'!$EM141)&amp;"")),""))),IF(IFERROR(IF(INDEX(INDIRECT("'WCM Calibration Final'!$C$1:$C$2000"),'Calculations'!$EM141)="","",TRIM(INDEX(INDIRECT("'WCM Calibration Final'!$C$1:$C$2000"),'Calculations'!$EM141)&amp;"")),"")&lt;&gt;"","S:"&amp;UPPER(IFERROR(IF(INDEX(INDIRECT("'WCM Calibration Final'!$C$1:$C$2000"),'Calculations'!$EM141)="","",TRIM(INDEX(INDIRECT("'WCM Calibration Final'!$C$1:$C$2000"),'Calculations'!$EM141)&amp;"")),"")),"R:"&amp;'Calculations'!EM141)))</x:f>
      </x:c>
      <x:c r="HF141" t="str">
        <x:f>IF('Calculations'!EM141="","",IF(IFERROR(IF(INDEX(INDIRECT("'WCM Calibration Final'!$D$1:$D$2000"),'Calculations'!$EM141)="","",TRIM(INDEX(INDIRECT("'WCM Calibration Final'!$D$1:$D$2000"),'Calculations'!$EM141)&amp;"")),"")&lt;&gt;"","G:"&amp;IFERROR(TEXT(1*INDEX(INDIRECT("'WCM Calibration Final'!$D$1:$D$2000"),'Calculations'!$EM141),"0"),UPPER(IFERROR(IF(INDEX(INDIRECT("'WCM Calibration Final'!$D$1:$D$2000"),'Calculations'!$EM141)="","",TRIM(INDEX(INDIRECT("'WCM Calibration Final'!$D$1:$D$2000"),'Calculations'!$EM141)&amp;"")),""))),IF(IFERROR(IF(INDEX(INDIRECT("'WCM Calibration Final'!$E$1:$E$2000"),'Calculations'!$EM141)="","",TRIM(INDEX(INDIRECT("'WCM Calibration Final'!$E$1:$E$2000"),'Calculations'!$EM141)&amp;"")),"")="","",IF(COUNTIF('Calculations'!$HG$13:$HG$512,"="&amp;SUBSTITUTE(SUBSTITUTE(SUBSTITUTE(IFERROR(IF(INDEX(INDIRECT("'WCM Calibration Final'!$E$1:$E$2000"),'Calculations'!$EM141)="","",TRIM(INDEX(INDIRECT("'WCM Calibration Final'!$E$1:$E$2000"),'Calculations'!$EM141)&amp;"")),""),"~","~~"),"*","~*"),"?","~?"))=1,INDEX('Calculations'!$HE$13:$HE$512,MATCH(IFERROR(IF(INDEX(INDIRECT("'WCM Calibration Final'!$E$1:$E$2000"),'Calculations'!$EM141)="","",TRIM(INDEX(INDIRECT("'WCM Calibration Final'!$E$1:$E$2000"),'Calculations'!$EM141)&amp;"")),""),'Calculations'!$HG$13:$HG$512,0)),IF(COUNTIF('Calculations'!$HG$13:$HG$512,"="&amp;SUBSTITUTE(SUBSTITUTE(SUBSTITUTE(IFERROR(IF(INDEX(INDIRECT("'WCM Calibration Final'!$E$1:$E$2000"),'Calculations'!$EM141)="","",TRIM(INDEX(INDIRECT("'WCM Calibration Final'!$E$1:$E$2000"),'Calculations'!$EM141)&amp;"")),""),"~","~~"),"*","~*"),"?","~?"))&gt;1,"!AMBIG","X:"&amp;IFERROR(IF(INDEX(INDIRECT("'WCM Calibration Final'!$E$1:$E$2000"),'Calculations'!$EM141)="","",TRIM(INDEX(INDIRECT("'WCM Calibration Final'!$E$1:$E$2000"),'Calculations'!$EM141)&amp;"")),""))))))</x:f>
      </x:c>
      <x:c r="HG141" t="str">
        <x:f>IF('Calculations'!EM141="","",IFERROR(IF(INDEX(INDIRECT("'WCM Calibration Final'!$B$1:$B$2000"),'Calculations'!$EM141)="","",TRIM(INDEX(INDIRECT("'WCM Calibration Final'!$B$1:$B$2000"),'Calculations'!$EM141)&amp;"")),""))</x:f>
      </x:c>
      <x:c r="HH141" t="n">
        <x:f>IF(AND('Calculations'!JC141&gt;0,COUNTIF('Calculations'!$HF$12:HF141,"="&amp;SUBSTITUTE(SUBSTITUTE(SUBSTITUTE('Calculations'!HF141,"~","~~"),"*","~*"),"?","~?"))=1),MAX('Calculations'!$HH$12:HH140)+1,0)</x:f>
        <x:v>0</x:v>
      </x:c>
      <x:c r="HI141" t="n">
        <x:f>IF(AND('Calculations'!HN141&lt;&gt;"",COUNTIF('Calculations'!$HN$12:HN141,"="&amp;SUBSTITUTE(SUBSTITUTE(SUBSTITUTE('Calculations'!HN141,"~","~~"),"*","~*"),"?","~?"))=1),MAX('Calculations'!$HI$12:HI140)+1,0)</x:f>
        <x:v>0</x:v>
      </x:c>
      <x:c r="HJ141" t="str">
        <x:f>IF('Calculations'!HF141="","",IF(COUNTIF('Calculations'!$HE$13:$HE$512,"="&amp;SUBSTITUTE(SUBSTITUTE(SUBSTITUTE('Calculations'!HF141,"~","~~"),"*","~*"),"?","~?"))=1,INDEX('Calculations'!$HK$13:$HK$512,MATCH('Calculations'!HF141,'Calculations'!$HE$13:$HE$512,0)),IFERROR(IF(INDEX(INDIRECT("'WCM Calibration Final'!$E$1:$E$2000"),'Calculations'!$EM141)="","",TRIM(INDEX(INDIRECT("'WCM Calibration Final'!$E$1:$E$2000"),'Calculations'!$EM141)&amp;"")),"")&amp;" ["&amp;'Calculations'!HF141&amp;"]"))</x:f>
      </x:c>
      <x:c r="HK141" t="str">
        <x:f>IF('Calculations'!EM141="","",'Calculations'!HG141&amp;" ["&amp;'Calculations'!HE141&amp;"]")</x:f>
      </x:c>
      <x:c r="HL141" t="n">
        <x:f>IF('Calculations'!EM141="",0,IF(OR('Calculations'!II141&lt;&gt;"",COUNTIF('Calculations'!$HE$13:$HE$512,"="&amp;SUBSTITUTE(SUBSTITUTE(SUBSTITUTE('Calculations'!HE141,"~","~~"),"*","~*"),"?","~?"))&gt;1),1,0))</x:f>
        <x:v>0</x:v>
      </x:c>
      <x:c r="HM141" t="str">
        <x:f>IF('Calculations'!EM141="","",IF('Calculations'!HL141=1,"!UNRESOLVED",IF('Calculations'!IH141&lt;&gt;"",'Calculations'!IH141,IF('Calculations'!IG141&lt;&gt;"",'Calculations'!IG141,IF('Calculations'!IF141&lt;&gt;"",'Calculations'!IF141,IF('Calculations'!IE141&lt;&gt;"",'Calculations'!IE141,IF('Calculations'!ID141&lt;&gt;"",'Calculations'!ID141,IF('Calculations'!IC141&lt;&gt;"",'Calculations'!IC141,IF('Calculations'!IB141&lt;&gt;"",'Calculations'!IB141,IF('Calculations'!IA141&lt;&gt;"",'Calculations'!IA141,IF('Calculations'!HZ141&lt;&gt;"",'Calculations'!HZ141,IF('Calculations'!HY141&lt;&gt;"",'Calculations'!HY141,IF('Calculations'!HX141&lt;&gt;"",'Calculations'!HX141,IF('Calculations'!HW141&lt;&gt;"",'Calculations'!HW141,IF('Calculations'!HV141&lt;&gt;"",'Calculations'!HV141,IF('Calculations'!HU141&lt;&gt;"",'Calculations'!HU141,IF('Calculations'!HT141&lt;&gt;"",'Calculations'!HT141,IF('Calculations'!HS141&lt;&gt;"",'Calculations'!HS141,IF('Calculations'!HR141&lt;&gt;"",'Calculations'!HR141,IF('Calculations'!HQ141&lt;&gt;"",'Calculations'!HQ141,IF('Calculations'!HP141&lt;&gt;"",'Calculations'!HP141,IF('Calculations'!HO141&lt;&gt;"",'Calculations'!HO141,'Calculations'!HE141))))))))))))))))))))))</x:f>
      </x:c>
      <x:c r="HN141" t="str">
        <x:f>IF('Calculations'!EM141="","",IF(IFERROR(IF(INDEX(INDIRECT("'WCM Calibration Final'!$F$1:$F$2000"),'Calculations'!$EM141)="","",TRIM(INDEX(INDIRECT("'WCM Calibration Final'!$F$1:$F$2000"),'Calculations'!$EM141)&amp;"")),"")="","(Blank)",IFERROR(IF(INDEX(INDIRECT("'WCM Calibration Final'!$F$1:$F$2000"),'Calculations'!$EM141)="","",TRIM(INDEX(INDIRECT("'WCM Calibration Final'!$F$1:$F$2000"),'Calculations'!$EM141)&amp;"")),"")))</x:f>
      </x:c>
      <x:c r="HO141" t="str">
        <x:f>'Calculations'!HF141</x:f>
      </x:c>
      <x:c r="HP141" t="str">
        <x:f>IF('Calculations'!HO141="","",IF('Calculations'!HO141="!AMBIG","!AMBIG",IF(COUNTIF('Calculations'!$HE$13:$HE$512,"="&amp;SUBSTITUTE(SUBSTITUTE(SUBSTITUTE('Calculations'!HO141,"~","~~"),"*","~*"),"?","~?"))&gt;1,"!AMBIG",IFERROR(INDEX('Calculations'!$HF$13:$HF$512,MATCH('Calculations'!HO141,'Calculations'!$HE$13:$HE$512,0)),""))))</x:f>
      </x:c>
      <x:c r="HQ141" t="str">
        <x:f>IF('Calculations'!HP141="","",IF('Calculations'!HP141="!AMBIG","!AMBIG",IF(COUNTIF('Calculations'!$HE$13:$HE$512,"="&amp;SUBSTITUTE(SUBSTITUTE(SUBSTITUTE('Calculations'!HP141,"~","~~"),"*","~*"),"?","~?"))&gt;1,"!AMBIG",IFERROR(INDEX('Calculations'!$HF$13:$HF$512,MATCH('Calculations'!HP141,'Calculations'!$HE$13:$HE$512,0)),""))))</x:f>
      </x:c>
      <x:c r="HR141" t="str">
        <x:f>IF('Calculations'!HQ141="","",IF('Calculations'!HQ141="!AMBIG","!AMBIG",IF(COUNTIF('Calculations'!$HE$13:$HE$512,"="&amp;SUBSTITUTE(SUBSTITUTE(SUBSTITUTE('Calculations'!HQ141,"~","~~"),"*","~*"),"?","~?"))&gt;1,"!AMBIG",IFERROR(INDEX('Calculations'!$HF$13:$HF$512,MATCH('Calculations'!HQ141,'Calculations'!$HE$13:$HE$512,0)),""))))</x:f>
      </x:c>
      <x:c r="HS141" t="str">
        <x:f>IF('Calculations'!HR141="","",IF('Calculations'!HR141="!AMBIG","!AMBIG",IF(COUNTIF('Calculations'!$HE$13:$HE$512,"="&amp;SUBSTITUTE(SUBSTITUTE(SUBSTITUTE('Calculations'!HR141,"~","~~"),"*","~*"),"?","~?"))&gt;1,"!AMBIG",IFERROR(INDEX('Calculations'!$HF$13:$HF$512,MATCH('Calculations'!HR141,'Calculations'!$HE$13:$HE$512,0)),""))))</x:f>
      </x:c>
      <x:c r="HT141" t="str">
        <x:f>IF('Calculations'!HS141="","",IF('Calculations'!HS141="!AMBIG","!AMBIG",IF(COUNTIF('Calculations'!$HE$13:$HE$512,"="&amp;SUBSTITUTE(SUBSTITUTE(SUBSTITUTE('Calculations'!HS141,"~","~~"),"*","~*"),"?","~?"))&gt;1,"!AMBIG",IFERROR(INDEX('Calculations'!$HF$13:$HF$512,MATCH('Calculations'!HS141,'Calculations'!$HE$13:$HE$512,0)),""))))</x:f>
      </x:c>
      <x:c r="HU141" t="str">
        <x:f>IF('Calculations'!HT141="","",IF('Calculations'!HT141="!AMBIG","!AMBIG",IF(COUNTIF('Calculations'!$HE$13:$HE$512,"="&amp;SUBSTITUTE(SUBSTITUTE(SUBSTITUTE('Calculations'!HT141,"~","~~"),"*","~*"),"?","~?"))&gt;1,"!AMBIG",IFERROR(INDEX('Calculations'!$HF$13:$HF$512,MATCH('Calculations'!HT141,'Calculations'!$HE$13:$HE$512,0)),""))))</x:f>
      </x:c>
      <x:c r="HV141" t="str">
        <x:f>IF('Calculations'!HU141="","",IF('Calculations'!HU141="!AMBIG","!AMBIG",IF(COUNTIF('Calculations'!$HE$13:$HE$512,"="&amp;SUBSTITUTE(SUBSTITUTE(SUBSTITUTE('Calculations'!HU141,"~","~~"),"*","~*"),"?","~?"))&gt;1,"!AMBIG",IFERROR(INDEX('Calculations'!$HF$13:$HF$512,MATCH('Calculations'!HU141,'Calculations'!$HE$13:$HE$512,0)),""))))</x:f>
      </x:c>
      <x:c r="HW141" t="str">
        <x:f>IF('Calculations'!HV141="","",IF('Calculations'!HV141="!AMBIG","!AMBIG",IF(COUNTIF('Calculations'!$HE$13:$HE$512,"="&amp;SUBSTITUTE(SUBSTITUTE(SUBSTITUTE('Calculations'!HV141,"~","~~"),"*","~*"),"?","~?"))&gt;1,"!AMBIG",IFERROR(INDEX('Calculations'!$HF$13:$HF$512,MATCH('Calculations'!HV141,'Calculations'!$HE$13:$HE$512,0)),""))))</x:f>
      </x:c>
      <x:c r="HX141" t="str">
        <x:f>IF('Calculations'!HW141="","",IF('Calculations'!HW141="!AMBIG","!AMBIG",IF(COUNTIF('Calculations'!$HE$13:$HE$512,"="&amp;SUBSTITUTE(SUBSTITUTE(SUBSTITUTE('Calculations'!HW141,"~","~~"),"*","~*"),"?","~?"))&gt;1,"!AMBIG",IFERROR(INDEX('Calculations'!$HF$13:$HF$512,MATCH('Calculations'!HW141,'Calculations'!$HE$13:$HE$512,0)),""))))</x:f>
      </x:c>
      <x:c r="HY141" t="str">
        <x:f>IF('Calculations'!HX141="","",IF('Calculations'!HX141="!AMBIG","!AMBIG",IF(COUNTIF('Calculations'!$HE$13:$HE$512,"="&amp;SUBSTITUTE(SUBSTITUTE(SUBSTITUTE('Calculations'!HX141,"~","~~"),"*","~*"),"?","~?"))&gt;1,"!AMBIG",IFERROR(INDEX('Calculations'!$HF$13:$HF$512,MATCH('Calculations'!HX141,'Calculations'!$HE$13:$HE$512,0)),""))))</x:f>
      </x:c>
      <x:c r="HZ141" t="str">
        <x:f>IF('Calculations'!HY141="","",IF('Calculations'!HY141="!AMBIG","!AMBIG",IF(COUNTIF('Calculations'!$HE$13:$HE$512,"="&amp;SUBSTITUTE(SUBSTITUTE(SUBSTITUTE('Calculations'!HY141,"~","~~"),"*","~*"),"?","~?"))&gt;1,"!AMBIG",IFERROR(INDEX('Calculations'!$HF$13:$HF$512,MATCH('Calculations'!HY141,'Calculations'!$HE$13:$HE$512,0)),""))))</x:f>
      </x:c>
      <x:c r="IA141" t="str">
        <x:f>IF('Calculations'!HZ141="","",IF('Calculations'!HZ141="!AMBIG","!AMBIG",IF(COUNTIF('Calculations'!$HE$13:$HE$512,"="&amp;SUBSTITUTE(SUBSTITUTE(SUBSTITUTE('Calculations'!HZ141,"~","~~"),"*","~*"),"?","~?"))&gt;1,"!AMBIG",IFERROR(INDEX('Calculations'!$HF$13:$HF$512,MATCH('Calculations'!HZ141,'Calculations'!$HE$13:$HE$512,0)),""))))</x:f>
      </x:c>
      <x:c r="IB141" t="str">
        <x:f>IF('Calculations'!IA141="","",IF('Calculations'!IA141="!AMBIG","!AMBIG",IF(COUNTIF('Calculations'!$HE$13:$HE$512,"="&amp;SUBSTITUTE(SUBSTITUTE(SUBSTITUTE('Calculations'!IA141,"~","~~"),"*","~*"),"?","~?"))&gt;1,"!AMBIG",IFERROR(INDEX('Calculations'!$HF$13:$HF$512,MATCH('Calculations'!IA141,'Calculations'!$HE$13:$HE$512,0)),""))))</x:f>
      </x:c>
      <x:c r="IC141" t="str">
        <x:f>IF('Calculations'!IB141="","",IF('Calculations'!IB141="!AMBIG","!AMBIG",IF(COUNTIF('Calculations'!$HE$13:$HE$512,"="&amp;SUBSTITUTE(SUBSTITUTE(SUBSTITUTE('Calculations'!IB141,"~","~~"),"*","~*"),"?","~?"))&gt;1,"!AMBIG",IFERROR(INDEX('Calculations'!$HF$13:$HF$512,MATCH('Calculations'!IB141,'Calculations'!$HE$13:$HE$512,0)),""))))</x:f>
      </x:c>
      <x:c r="ID141" t="str">
        <x:f>IF('Calculations'!IC141="","",IF('Calculations'!IC141="!AMBIG","!AMBIG",IF(COUNTIF('Calculations'!$HE$13:$HE$512,"="&amp;SUBSTITUTE(SUBSTITUTE(SUBSTITUTE('Calculations'!IC141,"~","~~"),"*","~*"),"?","~?"))&gt;1,"!AMBIG",IFERROR(INDEX('Calculations'!$HF$13:$HF$512,MATCH('Calculations'!IC141,'Calculations'!$HE$13:$HE$512,0)),""))))</x:f>
      </x:c>
      <x:c r="IE141" t="str">
        <x:f>IF('Calculations'!ID141="","",IF('Calculations'!ID141="!AMBIG","!AMBIG",IF(COUNTIF('Calculations'!$HE$13:$HE$512,"="&amp;SUBSTITUTE(SUBSTITUTE(SUBSTITUTE('Calculations'!ID141,"~","~~"),"*","~*"),"?","~?"))&gt;1,"!AMBIG",IFERROR(INDEX('Calculations'!$HF$13:$HF$512,MATCH('Calculations'!ID141,'Calculations'!$HE$13:$HE$512,0)),""))))</x:f>
      </x:c>
      <x:c r="IF141" t="str">
        <x:f>IF('Calculations'!IE141="","",IF('Calculations'!IE141="!AMBIG","!AMBIG",IF(COUNTIF('Calculations'!$HE$13:$HE$512,"="&amp;SUBSTITUTE(SUBSTITUTE(SUBSTITUTE('Calculations'!IE141,"~","~~"),"*","~*"),"?","~?"))&gt;1,"!AMBIG",IFERROR(INDEX('Calculations'!$HF$13:$HF$512,MATCH('Calculations'!IE141,'Calculations'!$HE$13:$HE$512,0)),""))))</x:f>
      </x:c>
      <x:c r="IG141" t="str">
        <x:f>IF('Calculations'!IF141="","",IF('Calculations'!IF141="!AMBIG","!AMBIG",IF(COUNTIF('Calculations'!$HE$13:$HE$512,"="&amp;SUBSTITUTE(SUBSTITUTE(SUBSTITUTE('Calculations'!IF141,"~","~~"),"*","~*"),"?","~?"))&gt;1,"!AMBIG",IFERROR(INDEX('Calculations'!$HF$13:$HF$512,MATCH('Calculations'!IF141,'Calculations'!$HE$13:$HE$512,0)),""))))</x:f>
      </x:c>
      <x:c r="IH141" t="str">
        <x:f>IF('Calculations'!IG141="","",IF('Calculations'!IG141="!AMBIG","!AMBIG",IF(COUNTIF('Calculations'!$HE$13:$HE$512,"="&amp;SUBSTITUTE(SUBSTITUTE(SUBSTITUTE('Calculations'!IG141,"~","~~"),"*","~*"),"?","~?"))&gt;1,"!AMBIG",IFERROR(INDEX('Calculations'!$HF$13:$HF$512,MATCH('Calculations'!IG141,'Calculations'!$HE$13:$HE$512,0)),""))))</x:f>
      </x:c>
      <x:c r="II141" t="str">
        <x:f>IF('Calculations'!IH141="","",IF('Calculations'!IH141="!AMBIG","!AMBIG",IF(COUNTIF('Calculations'!$HE$13:$HE$512,"="&amp;SUBSTITUTE(SUBSTITUTE(SUBSTITUTE('Calculations'!IH141,"~","~~"),"*","~*"),"?","~?"))&gt;1,"!AMBIG",IFERROR(INDEX('Calculations'!$HF$13:$HF$512,MATCH('Calculations'!IH141,'Calculations'!$HE$13:$HE$512,0)),""))))</x:f>
      </x:c>
      <x:c r="IJ141" t="str">
        <x:f>IF('Calculations'!EM141="","",IF('Calculations'!$EF$2="All",'Calculations'!HM141,IF('Calculations'!HL141=1,"",IFERROR(IF(MATCH('Calculations'!$EF$2,'Calculations'!HO141:II141,0)=1,'Calculations'!HE141,INDEX('Calculations'!HO141:II141,1,MATCH('Calculations'!$EF$2,'Calculations'!HO141:II141,0)-1)),""))))</x:f>
      </x:c>
      <x:c r="IK141" t="n">
        <x:f>IF(AND('Calculations'!EM141&lt;&gt;"",'Calculations'!$EF$2&lt;&gt;"All",'Calculations'!HF141='Calculations'!$EF$2,'Calculations'!HL141=0,'Calculations'!JD141&gt;0),MAX('Calculations'!$IK$12:IK140)+1,0)</x:f>
        <x:v>0</x:v>
      </x:c>
      <x:c r="JA141" t="n">
        <x:f>IF(OR(IFERROR(INDIRECT("'WCM Calibration Final'!$A$141")&lt;&gt;"",FALSE),IFERROR(INDIRECT("'WCM Calibration Final'!$B$141")&lt;&gt;"",FALSE),IFERROR(INDIRECT("'WCM Calibration Final'!$C$141")&lt;&gt;"",FALSE)),141,0)</x:f>
        <x:v>0</x:v>
      </x:c>
      <x:c r="JB141" t="n">
        <x:f>'Calculations'!JB140+IF('Calculations'!JA141&gt;0,1,0)</x:f>
        <x:v>0</x:v>
      </x:c>
      <x:c r="JC141" t="n">
        <x:f>IF(OR('Calculations'!HF141="",'Calculations'!HF141="!AMBIG"),0,IF('Dashboard'!$B$7="All",1,COUNTIFS('Calculations'!$HO$13:$HO$512,"="&amp;SUBSTITUTE(SUBSTITUTE(SUBSTITUTE('Calculations'!HF141,"~","~~"),"*","~*"),"?","~?"),'Calculations'!$HN$13:$HN$512,"="&amp;SUBSTITUTE(SUBSTITUTE(SUBSTITUTE('Dashboard'!$B$7,"~","~~"),"*","~*"),"?","~?"))+COUNTIFS('Calculations'!$HP$13:$HP$512,"="&amp;SUBSTITUTE(SUBSTITUTE(SUBSTITUTE('Calculations'!HF141,"~","~~"),"*","~*"),"?","~?"),'Calculations'!$HN$13:$HN$512,"="&amp;SUBSTITUTE(SUBSTITUTE(SUBSTITUTE('Dashboard'!$B$7,"~","~~"),"*","~*"),"?","~?"))+COUNTIFS('Calculations'!$HQ$13:$HQ$512,"="&amp;SUBSTITUTE(SUBSTITUTE(SUBSTITUTE('Calculations'!HF141,"~","~~"),"*","~*"),"?","~?"),'Calculations'!$HN$13:$HN$512,"="&amp;SUBSTITUTE(SUBSTITUTE(SUBSTITUTE('Dashboard'!$B$7,"~","~~"),"*","~*"),"?","~?"))+COUNTIFS('Calculations'!$HR$13:$HR$512,"="&amp;SUBSTITUTE(SUBSTITUTE(SUBSTITUTE('Calculations'!HF141,"~","~~"),"*","~*"),"?","~?"),'Calculations'!$HN$13:$HN$512,"="&amp;SUBSTITUTE(SUBSTITUTE(SUBSTITUTE('Dashboard'!$B$7,"~","~~"),"*","~*"),"?","~?"))+COUNTIFS('Calculations'!$HS$13:$HS$512,"="&amp;SUBSTITUTE(SUBSTITUTE(SUBSTITUTE('Calculations'!HF141,"~","~~"),"*","~*"),"?","~?"),'Calculations'!$HN$13:$HN$512,"="&amp;SUBSTITUTE(SUBSTITUTE(SUBSTITUTE('Dashboard'!$B$7,"~","~~"),"*","~*"),"?","~?"))+COUNTIFS('Calculations'!$HT$13:$HT$512,"="&amp;SUBSTITUTE(SUBSTITUTE(SUBSTITUTE('Calculations'!HF141,"~","~~"),"*","~*"),"?","~?"),'Calculations'!$HN$13:$HN$512,"="&amp;SUBSTITUTE(SUBSTITUTE(SUBSTITUTE('Dashboard'!$B$7,"~","~~"),"*","~*"),"?","~?"))+COUNTIFS('Calculations'!$HU$13:$HU$512,"="&amp;SUBSTITUTE(SUBSTITUTE(SUBSTITUTE('Calculations'!HF141,"~","~~"),"*","~*"),"?","~?"),'Calculations'!$HN$13:$HN$512,"="&amp;SUBSTITUTE(SUBSTITUTE(SUBSTITUTE('Dashboard'!$B$7,"~","~~"),"*","~*"),"?","~?"))+COUNTIFS('Calculations'!$HV$13:$HV$512,"="&amp;SUBSTITUTE(SUBSTITUTE(SUBSTITUTE('Calculations'!HF141,"~","~~"),"*","~*"),"?","~?"),'Calculations'!$HN$13:$HN$512,"="&amp;SUBSTITUTE(SUBSTITUTE(SUBSTITUTE('Dashboard'!$B$7,"~","~~"),"*","~*"),"?","~?"))+COUNTIFS('Calculations'!$HW$13:$HW$512,"="&amp;SUBSTITUTE(SUBSTITUTE(SUBSTITUTE('Calculations'!HF141,"~","~~"),"*","~*"),"?","~?"),'Calculations'!$HN$13:$HN$512,"="&amp;SUBSTITUTE(SUBSTITUTE(SUBSTITUTE('Dashboard'!$B$7,"~","~~"),"*","~*"),"?","~?"))+COUNTIFS('Calculations'!$HX$13:$HX$512,"="&amp;SUBSTITUTE(SUBSTITUTE(SUBSTITUTE('Calculations'!HF141,"~","~~"),"*","~*"),"?","~?"),'Calculations'!$HN$13:$HN$512,"="&amp;SUBSTITUTE(SUBSTITUTE(SUBSTITUTE('Dashboard'!$B$7,"~","~~"),"*","~*"),"?","~?"))+COUNTIFS('Calculations'!$HY$13:$HY$512,"="&amp;SUBSTITUTE(SUBSTITUTE(SUBSTITUTE('Calculations'!HF141,"~","~~"),"*","~*"),"?","~?"),'Calculations'!$HN$13:$HN$512,"="&amp;SUBSTITUTE(SUBSTITUTE(SUBSTITUTE('Dashboard'!$B$7,"~","~~"),"*","~*"),"?","~?"))+COUNTIFS('Calculations'!$HZ$13:$HZ$512,"="&amp;SUBSTITUTE(SUBSTITUTE(SUBSTITUTE('Calculations'!HF141,"~","~~"),"*","~*"),"?","~?"),'Calculations'!$HN$13:$HN$512,"="&amp;SUBSTITUTE(SUBSTITUTE(SUBSTITUTE('Dashboard'!$B$7,"~","~~"),"*","~*"),"?","~?"))+COUNTIFS('Calculations'!$IA$13:$IA$512,"="&amp;SUBSTITUTE(SUBSTITUTE(SUBSTITUTE('Calculations'!HF141,"~","~~"),"*","~*"),"?","~?"),'Calculations'!$HN$13:$HN$512,"="&amp;SUBSTITUTE(SUBSTITUTE(SUBSTITUTE('Dashboard'!$B$7,"~","~~"),"*","~*"),"?","~?"))+COUNTIFS('Calculations'!$IB$13:$IB$512,"="&amp;SUBSTITUTE(SUBSTITUTE(SUBSTITUTE('Calculations'!HF141,"~","~~"),"*","~*"),"?","~?"),'Calculations'!$HN$13:$HN$512,"="&amp;SUBSTITUTE(SUBSTITUTE(SUBSTITUTE('Dashboard'!$B$7,"~","~~"),"*","~*"),"?","~?"))+COUNTIFS('Calculations'!$IC$13:$IC$512,"="&amp;SUBSTITUTE(SUBSTITUTE(SUBSTITUTE('Calculations'!HF141,"~","~~"),"*","~*"),"?","~?"),'Calculations'!$HN$13:$HN$512,"="&amp;SUBSTITUTE(SUBSTITUTE(SUBSTITUTE('Dashboard'!$B$7,"~","~~"),"*","~*"),"?","~?"))+COUNTIFS('Calculations'!$ID$13:$ID$512,"="&amp;SUBSTITUTE(SUBSTITUTE(SUBSTITUTE('Calculations'!HF141,"~","~~"),"*","~*"),"?","~?"),'Calculations'!$HN$13:$HN$512,"="&amp;SUBSTITUTE(SUBSTITUTE(SUBSTITUTE('Dashboard'!$B$7,"~","~~"),"*","~*"),"?","~?"))+COUNTIFS('Calculations'!$IE$13:$IE$512,"="&amp;SUBSTITUTE(SUBSTITUTE(SUBSTITUTE('Calculations'!HF141,"~","~~"),"*","~*"),"?","~?"),'Calculations'!$HN$13:$HN$512,"="&amp;SUBSTITUTE(SUBSTITUTE(SUBSTITUTE('Dashboard'!$B$7,"~","~~"),"*","~*"),"?","~?"))+COUNTIFS('Calculations'!$IF$13:$IF$512,"="&amp;SUBSTITUTE(SUBSTITUTE(SUBSTITUTE('Calculations'!HF141,"~","~~"),"*","~*"),"?","~?"),'Calculations'!$HN$13:$HN$512,"="&amp;SUBSTITUTE(SUBSTITUTE(SUBSTITUTE('Dashboard'!$B$7,"~","~~"),"*","~*"),"?","~?"))+COUNTIFS('Calculations'!$IG$13:$IG$512,"="&amp;SUBSTITUTE(SUBSTITUTE(SUBSTITUTE('Calculations'!HF141,"~","~~"),"*","~*"),"?","~?"),'Calculations'!$HN$13:$HN$512,"="&amp;SUBSTITUTE(SUBSTITUTE(SUBSTITUTE('Dashboard'!$B$7,"~","~~"),"*","~*"),"?","~?"))+COUNTIFS('Calculations'!$IH$13:$IH$512,"="&amp;SUBSTITUTE(SUBSTITUTE(SUBSTITUTE('Calculations'!HF141,"~","~~"),"*","~*"),"?","~?"),'Calculations'!$HN$13:$HN$512,"="&amp;SUBSTITUTE(SUBSTITUTE(SUBSTITUTE('Dashboard'!$B$7,"~","~~"),"*","~*"),"?","~?"))))</x:f>
        <x:v>0</x:v>
      </x:c>
      <x:c r="JD141" t="n">
        <x:f>IF('Calculations'!EM141="",0,IF('Dashboard'!$B$7="All",1,IF('Calculations'!HN141='Dashboard'!$B$7,1,0)+IFERROR(INDEX('Calculations'!$JC$13:$JC$512,MATCH('Calculations'!HE141,'Calculations'!$HF$13:$HF$512,0)),0)))</x:f>
        <x:v>0</x:v>
      </x:c>
      <x:c r="JE141" t="n">
        <x:f>IF(AND('Calculations'!EM141&lt;&gt;"",'Calculations'!$JJ$2&lt;&gt;"All",'Calculations'!$JJ$2&lt;&gt;"",'Calculations'!HF141='Calculations'!$JJ$2,'Calculations'!HL141=0,'Calculations'!JD141&gt;0),MAX('Calculations'!$JE$12:JE140)+1,0)</x:f>
        <x:v>0</x:v>
      </x:c>
      <x:c r="JF141" t="str">
        <x:f>IF('Calculations'!EM141="","",IFERROR(IF(INDEX(INDIRECT("'WCM Calibration Final'!$G$1:$G$2000"),'Calculations'!$EM141)="","",TRIM(INDEX(INDIRECT("'WCM Calibration Final'!$G$1:$G$2000"),'Calculations'!$EM141)&amp;"")),""))</x:f>
      </x:c>
      <x:c r="JQ141" t="n">
        <x:f>IF(OR('Calculations'!BM141=0,NOT('Calculations'!$AG$2),'Calculations'!$AG$8&gt;0),0,IF(OR('Dashboard'!$B$7="All",'Calculations'!HN141='Dashboard'!$B$7),IF('Calculations'!$JJ$2="All",1,IF(AND('Calculations'!HF141='Calculations'!$JJ$2,'Calculations'!HL141=0),1,0)),0))</x:f>
        <x:v>0</x:v>
      </x:c>
    </x:row>
    <x:row r="142">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t="n">
        <x:f>IF('Calculations'!$EM142="",0,IF(OR(IFERROR(INDEX(INDIRECT("'WCM Calibration Final'!$A$1:$A$2000"),'Calculations'!$EM142)&lt;&gt;"",FALSE),IFERROR(INDEX(INDIRECT("'WCM Calibration Final'!$B$1:$B$2000"),'Calculations'!$EM142)&lt;&gt;"",FALSE),IFERROR(INDEX(INDIRECT("'WCM Calibration Final'!$C$1:$C$2000"),'Calculations'!$EM142)&lt;&gt;"",FALSE)),1,0))</x:f>
        <x:v>0</x:v>
      </x:c>
      <x:c r="BN142" s="4" t="n">
        <x:f>IF(AND('Calculations'!BM142=1,'Calculations'!$AG$2,'Calculations'!$EN142=1),1,0)</x:f>
        <x:v>0</x:v>
      </x:c>
      <x:c r="BO142" s="4" t="str">
        <x:f>IF('Calculations'!BM142=0,"",IFERROR(IF(AND(VALUE(INDEX(INDIRECT("'WCM Calibration Final'!$K$1:$K$2000"),'Calculations'!$EM142))&gt;=1,VALUE(INDEX(INDIRECT("'WCM Calibration Final'!$K$1:$K$2000"),'Calculations'!$EM142))&lt;=4,MOD(VALUE(INDEX(INDIRECT("'WCM Calibration Final'!$K$1:$K$2000"),'Calculations'!$EM142)),1)=0),VALUE(INDEX(INDIRECT("'WCM Calibration Final'!$K$1:$K$2000"),'Calculations'!$EM142)),""),""))</x:f>
      </x:c>
      <x:c r="BP142" s="4" t="str">
        <x:f>IF('Calculations'!BM142=0,"",IFERROR(IF(AND(VALUE(INDEX(INDIRECT("'WCM Calibration Final'!$L$1:$L$2000"),'Calculations'!$EM142))&gt;=1,VALUE(INDEX(INDIRECT("'WCM Calibration Final'!$L$1:$L$2000"),'Calculations'!$EM142))&lt;=4,MOD(VALUE(INDEX(INDIRECT("'WCM Calibration Final'!$L$1:$L$2000"),'Calculations'!$EM142)),1)=0),VALUE(INDEX(INDIRECT("'WCM Calibration Final'!$L$1:$L$2000"),'Calculations'!$EM142)),""),""))</x:f>
      </x:c>
      <x:c r="BQ142" s="4"/>
      <x:c r="BR142" s="4"/>
      <x:c r="BS142" s="4"/>
      <x:c r="BT142" s="4" t="n">
        <x:f>IF(AND('Calculations'!BM142=1,ISNUMBER('Calculations'!BO142),ISNUMBER('Calculations'!BP142)),1,0)</x:f>
        <x:v>0</x:v>
      </x:c>
      <x:c r="BU142" s="4" t="str">
        <x:f>IF('Calculations'!BM142=0,"",'Calculations'!$EO142)</x:f>
      </x:c>
      <x:c r="BV142" s="4" t="str">
        <x:f>IF('Calculations'!BM142=0,"",IFERROR(IF(OR(INDEX(INDIRECT("'WCM Calibration Final'!$H$1:$H$2000"),'Calculations'!$EM142)="MANAGING DIRECTOR",INDEX(INDIRECT("'WCM Calibration Final'!$H$1:$H$2000"),'Calculations'!$EM142)="DIRECTOR",INDEX(INDIRECT("'WCM Calibration Final'!$H$1:$H$2000"),'Calculations'!$EM142)="SENIOR VICE PRESIDENT",INDEX(INDIRECT("'WCM Calibration Final'!$H$1:$H$2000"),'Calculations'!$EM142)="VICE PRESIDENT",INDEX(INDIRECT("'WCM Calibration Final'!$H$1:$H$2000"),'Calculations'!$EM142)="ASSISTANT VICE PRESIDENT",INDEX(INDIRECT("'WCM Calibration Final'!$H$1:$H$2000"),'Calculations'!$EM142)="OFFICER"),UPPER(INDEX(INDIRECT("'WCM Calibration Final'!$H$1:$H$2000"),'Calculations'!$EM142)),"Other"),"Other"))</x:f>
      </x:c>
      <x:c r="BW142" s="4"/>
      <x:c r="BX142" s="4"/>
      <x:c r="BY142" s="4" t="n">
        <x:f>IF(AND('Calculations'!BM142=1,'Calculations'!BU142&lt;&gt;"",COUNTIF('Calculations'!$BU$12:BU142,'Calculations'!BU142)=1),MAX('Calculations'!$BY$11:BY141)+1,0)</x:f>
        <x:v>0</x:v>
      </x:c>
      <x:c r="BZ142" s="4" t="str">
        <x:f>IF('Dashboard'!$E$67="What",'Calculations'!BO142,'Calculations'!BP142)</x:f>
      </x:c>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t="str">
        <x:f>IF(131&gt;MAX('Calculations'!$HI$13:$HI$512),"",INDEX('Calculations'!$HN$13:$HN$512,MATCH(131,'Calculations'!$HI$13:$HI$512,0)))</x:f>
      </x:c>
      <x:c r="DB142" s="4" t="str">
        <x:f>IF(131&gt;MAX('Calculations'!$HH$13:$HH$512),"",INDEX('Calculations'!$HJ$13:$HJ$512,MATCH(131,'Calculations'!$HH$13:$HH$512,0)))</x:f>
      </x:c>
      <x:c r="DC142" s="4" t="str">
        <x:f>IF(ROW()-11&gt;MAX('Calculations'!$BY$13:$BY$512),"",INDEX('Calculations'!$BU$13:$BU$512,MATCH(ROW()-11,'Calculations'!$BY$13:$BY$512,0)))</x:f>
      </x:c>
      <x:c r="DD142" s="4" t="str">
        <x:f>IF(131&gt;MAX('Calculations'!$IK$13:$IK$512),"",INDEX('Calculations'!$HK$13:$HK$512,MATCH(131,'Calculations'!$IK$13:$IK$512,0)))</x:f>
      </x:c>
      <x:c r="DE142" s="4" t="str">
        <x:f>'Calculations'!DC142</x:f>
      </x:c>
      <x:c r="DF142" s="4" t="str">
        <x:f>IF('Calculations'!DE142="","",COUNTIFS('Calculations'!$BN$13:$BN$512,1,'Calculations'!$BU$13:$BU$512,'Calculations'!DE142))</x:f>
      </x:c>
      <x:c r="DG142" s="4" t="str">
        <x:f>IF('Calculations'!DE142="","",COUNTIFS('Calculations'!$BN$13:$BN$512,1,'Calculations'!$BU$13:$BU$512,'Calculations'!DE142,'Calculations'!$BT$13:$BT$512,1))</x:f>
      </x:c>
      <x:c r="DH142" s="4" t="str">
        <x:f>IF('Calculations'!DE142="","",'Calculations'!DF142-'Calculations'!DG142)</x:f>
      </x:c>
      <x:c r="DI142" s="4" t="str">
        <x:f>IF(OR('Calculations'!DE142="",'Calculations'!DF142=0),"",'Calculations'!DG142/'Calculations'!DF142)</x:f>
      </x:c>
      <x:c r="DJ142" s="4" t="str">
        <x:f>IF('Calculations'!DE142="","",COUNTIFS('Calculations'!$BN$13:$BN$512,1,'Calculations'!$BU$13:$BU$512,'Calculations'!DE142,'Calculations'!$BT$13:$BT$512,1,'Calculations'!$EE$13:$EE$512,"High"))</x:f>
      </x:c>
      <x:c r="DK142" s="4" t="str">
        <x:f>IF('Calculations'!DE142="","",COUNTIFS('Calculations'!$BN$13:$BN$512,1,'Calculations'!$BU$13:$BU$512,'Calculations'!DE142,'Calculations'!$BT$13:$BT$512,1,'Calculations'!$EE$13:$EE$512,"Strong"))</x:f>
      </x:c>
      <x:c r="DL142" s="4" t="str">
        <x:f>IF('Calculations'!DE142="","",COUNTIFS('Calculations'!$BN$13:$BN$512,1,'Calculations'!$BU$13:$BU$512,'Calculations'!DE142,'Calculations'!$BT$13:$BT$512,1,'Calculations'!$EE$13:$EE$512,"Solid"))</x:f>
      </x:c>
      <x:c r="DM142" s="4" t="str">
        <x:f>IF('Calculations'!DE142="","",COUNTIFS('Calculations'!$BN$13:$BN$512,1,'Calculations'!$BU$13:$BU$512,'Calculations'!DE142,'Calculations'!$BT$13:$BT$512,1,'Calculations'!$EE$13:$EE$512,"Low"))</x:f>
      </x:c>
      <x:c r="DN142" s="4" t="str">
        <x:f>IF('Calculations'!DE142="","",COUNTIFS('Calculations'!$BN$13:$BN$512,1,'Calculations'!$BU$13:$BU$512,'Calculations'!DE142,'Calculations'!$EP$13:$EP$512,1))</x:f>
      </x:c>
      <x:c r="DO142" s="4" t="str">
        <x:f>IF(OR('Calculations'!DE142="",'Calculations'!DG142=0),"",('Calculations'!DJ142+'Calculations'!DK142)/'Calculations'!DG142)</x:f>
      </x:c>
      <x:c r="DP142" s="4" t="n">
        <x:f>IF(AND('Calculations'!DE142&lt;&gt;"",'Calculations'!DF142&gt;0),COUNTIF('Calculations'!$DF$12:DF142,"&gt;0"),0)</x:f>
        <x:v>0</x:v>
      </x:c>
      <x:c r="DQ142" s="4" t="str">
        <x:f>IF(131&gt;MAX('Calculations'!$HH$13:$HH$512),"",INDEX('Calculations'!$HF$13:$HF$512,MATCH(131,'Calculations'!$HH$13:$HH$512,0)))</x:f>
      </x:c>
      <x:c r="DR142" s="4" t="str">
        <x:f>IF(131&gt;MAX('Calculations'!$IK$13:$IK$512),"",INDEX('Calculations'!$HE$13:$HE$512,MATCH(131,'Calculations'!$IK$13:$IK$512,0)))</x:f>
      </x:c>
      <x:c r="DS142" s="4"/>
      <x:c r="DT142" s="4"/>
      <x:c r="DU142" s="4"/>
      <x:c r="DV142" s="4"/>
      <x:c r="DW142" s="4"/>
      <x:c r="DX142" s="4"/>
      <x:c r="DY142" s="4"/>
      <x:c r="DZ142" s="4"/>
      <x:c r="EA142" s="4"/>
      <x:c r="EB142" s="4"/>
      <x:c r="EC142" s="4"/>
      <x:c r="ED142" s="4"/>
      <x:c r="EE142" s="4" t="str">
        <x:f>IF('Calculations'!BT142=0,"Not Rated",IF(OR('Calculations'!BO142&gt;=4,'Calculations'!BP142&gt;=4),"Low",IF('Calculations'!BO142+'Calculations'!BP142&lt;=3,"High",IF('Calculations'!BO142+'Calculations'!BP142&lt;=4,"Strong","Solid"))))</x:f>
        <x:v>Not Rated</x:v>
      </x:c>
      <x:c r="EF142" s="4"/>
      <x:c r="EG142" s="4"/>
      <x:c r="EH142" s="4"/>
      <x:c r="EI142" s="4"/>
      <x:c r="EJ142" s="4"/>
      <x:c r="EK142" s="4"/>
      <x:c r="EL142" s="4"/>
      <x:c r="EM142" s="4" t="str">
        <x:f>IF(130&gt;'Calculations'!$JB$2000,"",INDEX('Calculations'!$JA$12:$JA$2000,MATCH(130,'Calculations'!$JB$12:$JB$2000,0)))</x:f>
      </x:c>
      <x:c r="EN142" s="4" t="n">
        <x:f>IF(OR('Calculations'!EM142="",'Calculations'!$AG$8&gt;0,AND('Calculations'!$EF$2&lt;&gt;"All",'Calculations'!HE142='Calculations'!$EF$2),AND('Calculations'!$EF$3&lt;&gt;"All",'Calculations'!HE142='Calculations'!$EF$3)),0,IF(OR('Dashboard'!$B$7="All",'Calculations'!HN142='Dashboard'!$B$7),IF('Calculations'!$EF$2="All",1,IF('Calculations'!HL142&gt;0,0,IF(COUNTIF('Calculations'!HO142:II142,"="&amp;SUBSTITUTE(SUBSTITUTE(SUBSTITUTE('Calculations'!$EF$2,"~","~~"),"*","~*"),"?","~?"))=0,0,IF('Calculations'!$EF$3="All",1,IF(COUNTIF('Calculations'!HO142:II142,"="&amp;SUBSTITUTE(SUBSTITUTE(SUBSTITUTE('Calculations'!$EF$3,"~","~~"),"*","~*"),"?","~?"))&gt;0,1,0))))),0))</x:f>
        <x:v>0</x:v>
      </x:c>
      <x:c r="EO142" s="4" t="str">
        <x:f>IF('Calculations'!IJ142="","",IF('Calculations'!IJ142="!UNRESOLVED","Unresolved hierarchy",IFERROR(INDEX('Calculations'!$HK$13:$HK$512,MATCH('Calculations'!IJ142,'Calculations'!$HE$13:$HE$512,0)),IFERROR(INDEX('Calculations'!$HJ$13:$HJ$512,MATCH('Calculations'!IJ142,'Calculations'!$HF$13:$HF$512,0)),'Calculations'!IJ142))))</x:f>
      </x:c>
      <x:c r="EP142" s="4" t="n">
        <x:f>IF(AND('Calculations'!EM142&lt;&gt;"",'Calculations'!HF142='Calculations'!IJ142),1,0)</x:f>
        <x:v>0</x:v>
      </x:c>
      <x:c r="EQ142" s="4"/>
      <x:c r="ER142" s="4"/>
      <x:c r="ES142" s="4"/>
      <x:c r="ET142" s="4"/>
      <x:c r="EU142" s="4"/>
      <x:c r="EV142" s="4"/>
      <x:c r="EW142" s="4"/>
      <x:c r="EX142" s="4"/>
      <x:c r="EY142" s="4"/>
      <x:c r="EZ142" s="4"/>
      <x:c r="FA142" s="4"/>
      <x:c r="FB142" s="4"/>
      <x:c r="FC142" s="4"/>
      <x:c r="FD142" s="4"/>
      <x:c r="FE142" s="4"/>
      <x:c r="FF142" s="4"/>
      <x:c r="FG142" s="4"/>
      <x:c r="FH142" s="4"/>
      <x:c r="FI142" s="4"/>
      <x:c r="FJ142" s="4"/>
      <x:c r="FK142" s="4"/>
      <x:c r="FL142" s="4"/>
      <x:c r="FM142" s="4"/>
      <x:c r="FN142" s="4"/>
      <x:c r="FO142" s="4"/>
      <x:c r="GA142" s="71"/>
      <x:c r="GB142" s="71"/>
      <x:c r="GC142" s="71"/>
      <x:c r="GD142" s="71"/>
      <x:c r="GE142" s="71"/>
      <x:c r="GF142" s="71"/>
      <x:c r="GG142" s="71"/>
      <x:c r="GH142" s="71"/>
      <x:c r="GI142" s="71"/>
      <x:c r="GJ142" s="71"/>
      <x:c r="GK142" s="71"/>
      <x:c r="GL142" s="71"/>
      <x:c r="GM142" s="71"/>
      <x:c r="GN142" s="71"/>
      <x:c r="GO142" s="71"/>
      <x:c r="GP142" s="71"/>
      <x:c r="GQ142" s="71"/>
      <x:c r="GR142" s="71"/>
      <x:c r="GS142" s="71"/>
      <x:c r="GT142" s="71"/>
      <x:c r="GU142" s="71"/>
      <x:c r="GV142" s="71"/>
      <x:c r="GW142" s="71"/>
      <x:c r="GX142" s="71" t="str">
        <x:f>IF(COUNTA('Dashboard'!N142,'Dashboard'!P142,'Dashboard'!R142,'Dashboard'!T142)=0,"No thresholds",IF(OR(COUNT('Dashboard'!N142,'Dashboard'!P142,'Dashboard'!R142,'Dashboard'!T142)&lt;&gt;COUNTA('Dashboard'!N142,'Dashboard'!P142,'Dashboard'!R142,'Dashboard'!T142),MIN('Dashboard'!N142,'Dashboard'!P142,'Dashboard'!R142,'Dashboard'!T142)&lt;0,MAX('Dashboard'!N142,'Dashboard'!P142,'Dashboard'!R142,'Dashboard'!T142)&gt;1),"Check thresholds",TEXT(SUM('Dashboard'!N142,'Dashboard'!P142,'Dashboard'!R142,'Dashboard'!T142),"0%")&amp;" - separate caps"))</x:f>
        <x:v>112% - separate caps</x:v>
      </x:c>
      <x:c r="GY142" s="71"/>
      <x:c r="GZ142" s="71"/>
      <x:c r="HA142" s="71"/>
      <x:c r="HB142" s="71"/>
      <x:c r="HC142" s="71"/>
      <x:c r="HD142" s="71"/>
      <x:c r="HE142" t="str">
        <x:f>IF('Calculations'!EM142="","",IF(IFERROR(IF(INDEX(INDIRECT("'WCM Calibration Final'!$A$1:$A$2000"),'Calculations'!$EM142)="","",TRIM(INDEX(INDIRECT("'WCM Calibration Final'!$A$1:$A$2000"),'Calculations'!$EM142)&amp;"")),"")&lt;&gt;"","G:"&amp;IFERROR(TEXT(1*INDEX(INDIRECT("'WCM Calibration Final'!$A$1:$A$2000"),'Calculations'!$EM142),"0"),UPPER(IFERROR(IF(INDEX(INDIRECT("'WCM Calibration Final'!$A$1:$A$2000"),'Calculations'!$EM142)="","",TRIM(INDEX(INDIRECT("'WCM Calibration Final'!$A$1:$A$2000"),'Calculations'!$EM142)&amp;"")),""))),IF(IFERROR(IF(INDEX(INDIRECT("'WCM Calibration Final'!$C$1:$C$2000"),'Calculations'!$EM142)="","",TRIM(INDEX(INDIRECT("'WCM Calibration Final'!$C$1:$C$2000"),'Calculations'!$EM142)&amp;"")),"")&lt;&gt;"","S:"&amp;UPPER(IFERROR(IF(INDEX(INDIRECT("'WCM Calibration Final'!$C$1:$C$2000"),'Calculations'!$EM142)="","",TRIM(INDEX(INDIRECT("'WCM Calibration Final'!$C$1:$C$2000"),'Calculations'!$EM142)&amp;"")),"")),"R:"&amp;'Calculations'!EM142)))</x:f>
      </x:c>
      <x:c r="HF142" t="str">
        <x:f>IF('Calculations'!EM142="","",IF(IFERROR(IF(INDEX(INDIRECT("'WCM Calibration Final'!$D$1:$D$2000"),'Calculations'!$EM142)="","",TRIM(INDEX(INDIRECT("'WCM Calibration Final'!$D$1:$D$2000"),'Calculations'!$EM142)&amp;"")),"")&lt;&gt;"","G:"&amp;IFERROR(TEXT(1*INDEX(INDIRECT("'WCM Calibration Final'!$D$1:$D$2000"),'Calculations'!$EM142),"0"),UPPER(IFERROR(IF(INDEX(INDIRECT("'WCM Calibration Final'!$D$1:$D$2000"),'Calculations'!$EM142)="","",TRIM(INDEX(INDIRECT("'WCM Calibration Final'!$D$1:$D$2000"),'Calculations'!$EM142)&amp;"")),""))),IF(IFERROR(IF(INDEX(INDIRECT("'WCM Calibration Final'!$E$1:$E$2000"),'Calculations'!$EM142)="","",TRIM(INDEX(INDIRECT("'WCM Calibration Final'!$E$1:$E$2000"),'Calculations'!$EM142)&amp;"")),"")="","",IF(COUNTIF('Calculations'!$HG$13:$HG$512,"="&amp;SUBSTITUTE(SUBSTITUTE(SUBSTITUTE(IFERROR(IF(INDEX(INDIRECT("'WCM Calibration Final'!$E$1:$E$2000"),'Calculations'!$EM142)="","",TRIM(INDEX(INDIRECT("'WCM Calibration Final'!$E$1:$E$2000"),'Calculations'!$EM142)&amp;"")),""),"~","~~"),"*","~*"),"?","~?"))=1,INDEX('Calculations'!$HE$13:$HE$512,MATCH(IFERROR(IF(INDEX(INDIRECT("'WCM Calibration Final'!$E$1:$E$2000"),'Calculations'!$EM142)="","",TRIM(INDEX(INDIRECT("'WCM Calibration Final'!$E$1:$E$2000"),'Calculations'!$EM142)&amp;"")),""),'Calculations'!$HG$13:$HG$512,0)),IF(COUNTIF('Calculations'!$HG$13:$HG$512,"="&amp;SUBSTITUTE(SUBSTITUTE(SUBSTITUTE(IFERROR(IF(INDEX(INDIRECT("'WCM Calibration Final'!$E$1:$E$2000"),'Calculations'!$EM142)="","",TRIM(INDEX(INDIRECT("'WCM Calibration Final'!$E$1:$E$2000"),'Calculations'!$EM142)&amp;"")),""),"~","~~"),"*","~*"),"?","~?"))&gt;1,"!AMBIG","X:"&amp;IFERROR(IF(INDEX(INDIRECT("'WCM Calibration Final'!$E$1:$E$2000"),'Calculations'!$EM142)="","",TRIM(INDEX(INDIRECT("'WCM Calibration Final'!$E$1:$E$2000"),'Calculations'!$EM142)&amp;"")),""))))))</x:f>
      </x:c>
      <x:c r="HG142" t="str">
        <x:f>IF('Calculations'!EM142="","",IFERROR(IF(INDEX(INDIRECT("'WCM Calibration Final'!$B$1:$B$2000"),'Calculations'!$EM142)="","",TRIM(INDEX(INDIRECT("'WCM Calibration Final'!$B$1:$B$2000"),'Calculations'!$EM142)&amp;"")),""))</x:f>
      </x:c>
      <x:c r="HH142" t="n">
        <x:f>IF(AND('Calculations'!JC142&gt;0,COUNTIF('Calculations'!$HF$12:HF142,"="&amp;SUBSTITUTE(SUBSTITUTE(SUBSTITUTE('Calculations'!HF142,"~","~~"),"*","~*"),"?","~?"))=1),MAX('Calculations'!$HH$12:HH141)+1,0)</x:f>
        <x:v>0</x:v>
      </x:c>
      <x:c r="HI142" t="n">
        <x:f>IF(AND('Calculations'!HN142&lt;&gt;"",COUNTIF('Calculations'!$HN$12:HN142,"="&amp;SUBSTITUTE(SUBSTITUTE(SUBSTITUTE('Calculations'!HN142,"~","~~"),"*","~*"),"?","~?"))=1),MAX('Calculations'!$HI$12:HI141)+1,0)</x:f>
        <x:v>0</x:v>
      </x:c>
      <x:c r="HJ142" t="str">
        <x:f>IF('Calculations'!HF142="","",IF(COUNTIF('Calculations'!$HE$13:$HE$512,"="&amp;SUBSTITUTE(SUBSTITUTE(SUBSTITUTE('Calculations'!HF142,"~","~~"),"*","~*"),"?","~?"))=1,INDEX('Calculations'!$HK$13:$HK$512,MATCH('Calculations'!HF142,'Calculations'!$HE$13:$HE$512,0)),IFERROR(IF(INDEX(INDIRECT("'WCM Calibration Final'!$E$1:$E$2000"),'Calculations'!$EM142)="","",TRIM(INDEX(INDIRECT("'WCM Calibration Final'!$E$1:$E$2000"),'Calculations'!$EM142)&amp;"")),"")&amp;" ["&amp;'Calculations'!HF142&amp;"]"))</x:f>
      </x:c>
      <x:c r="HK142" t="str">
        <x:f>IF('Calculations'!EM142="","",'Calculations'!HG142&amp;" ["&amp;'Calculations'!HE142&amp;"]")</x:f>
      </x:c>
      <x:c r="HL142" t="n">
        <x:f>IF('Calculations'!EM142="",0,IF(OR('Calculations'!II142&lt;&gt;"",COUNTIF('Calculations'!$HE$13:$HE$512,"="&amp;SUBSTITUTE(SUBSTITUTE(SUBSTITUTE('Calculations'!HE142,"~","~~"),"*","~*"),"?","~?"))&gt;1),1,0))</x:f>
        <x:v>0</x:v>
      </x:c>
      <x:c r="HM142" t="str">
        <x:f>IF('Calculations'!EM142="","",IF('Calculations'!HL142=1,"!UNRESOLVED",IF('Calculations'!IH142&lt;&gt;"",'Calculations'!IH142,IF('Calculations'!IG142&lt;&gt;"",'Calculations'!IG142,IF('Calculations'!IF142&lt;&gt;"",'Calculations'!IF142,IF('Calculations'!IE142&lt;&gt;"",'Calculations'!IE142,IF('Calculations'!ID142&lt;&gt;"",'Calculations'!ID142,IF('Calculations'!IC142&lt;&gt;"",'Calculations'!IC142,IF('Calculations'!IB142&lt;&gt;"",'Calculations'!IB142,IF('Calculations'!IA142&lt;&gt;"",'Calculations'!IA142,IF('Calculations'!HZ142&lt;&gt;"",'Calculations'!HZ142,IF('Calculations'!HY142&lt;&gt;"",'Calculations'!HY142,IF('Calculations'!HX142&lt;&gt;"",'Calculations'!HX142,IF('Calculations'!HW142&lt;&gt;"",'Calculations'!HW142,IF('Calculations'!HV142&lt;&gt;"",'Calculations'!HV142,IF('Calculations'!HU142&lt;&gt;"",'Calculations'!HU142,IF('Calculations'!HT142&lt;&gt;"",'Calculations'!HT142,IF('Calculations'!HS142&lt;&gt;"",'Calculations'!HS142,IF('Calculations'!HR142&lt;&gt;"",'Calculations'!HR142,IF('Calculations'!HQ142&lt;&gt;"",'Calculations'!HQ142,IF('Calculations'!HP142&lt;&gt;"",'Calculations'!HP142,IF('Calculations'!HO142&lt;&gt;"",'Calculations'!HO142,'Calculations'!HE142))))))))))))))))))))))</x:f>
      </x:c>
      <x:c r="HN142" t="str">
        <x:f>IF('Calculations'!EM142="","",IF(IFERROR(IF(INDEX(INDIRECT("'WCM Calibration Final'!$F$1:$F$2000"),'Calculations'!$EM142)="","",TRIM(INDEX(INDIRECT("'WCM Calibration Final'!$F$1:$F$2000"),'Calculations'!$EM142)&amp;"")),"")="","(Blank)",IFERROR(IF(INDEX(INDIRECT("'WCM Calibration Final'!$F$1:$F$2000"),'Calculations'!$EM142)="","",TRIM(INDEX(INDIRECT("'WCM Calibration Final'!$F$1:$F$2000"),'Calculations'!$EM142)&amp;"")),"")))</x:f>
      </x:c>
      <x:c r="HO142" t="str">
        <x:f>'Calculations'!HF142</x:f>
      </x:c>
      <x:c r="HP142" t="str">
        <x:f>IF('Calculations'!HO142="","",IF('Calculations'!HO142="!AMBIG","!AMBIG",IF(COUNTIF('Calculations'!$HE$13:$HE$512,"="&amp;SUBSTITUTE(SUBSTITUTE(SUBSTITUTE('Calculations'!HO142,"~","~~"),"*","~*"),"?","~?"))&gt;1,"!AMBIG",IFERROR(INDEX('Calculations'!$HF$13:$HF$512,MATCH('Calculations'!HO142,'Calculations'!$HE$13:$HE$512,0)),""))))</x:f>
      </x:c>
      <x:c r="HQ142" t="str">
        <x:f>IF('Calculations'!HP142="","",IF('Calculations'!HP142="!AMBIG","!AMBIG",IF(COUNTIF('Calculations'!$HE$13:$HE$512,"="&amp;SUBSTITUTE(SUBSTITUTE(SUBSTITUTE('Calculations'!HP142,"~","~~"),"*","~*"),"?","~?"))&gt;1,"!AMBIG",IFERROR(INDEX('Calculations'!$HF$13:$HF$512,MATCH('Calculations'!HP142,'Calculations'!$HE$13:$HE$512,0)),""))))</x:f>
      </x:c>
      <x:c r="HR142" t="str">
        <x:f>IF('Calculations'!HQ142="","",IF('Calculations'!HQ142="!AMBIG","!AMBIG",IF(COUNTIF('Calculations'!$HE$13:$HE$512,"="&amp;SUBSTITUTE(SUBSTITUTE(SUBSTITUTE('Calculations'!HQ142,"~","~~"),"*","~*"),"?","~?"))&gt;1,"!AMBIG",IFERROR(INDEX('Calculations'!$HF$13:$HF$512,MATCH('Calculations'!HQ142,'Calculations'!$HE$13:$HE$512,0)),""))))</x:f>
      </x:c>
      <x:c r="HS142" t="str">
        <x:f>IF('Calculations'!HR142="","",IF('Calculations'!HR142="!AMBIG","!AMBIG",IF(COUNTIF('Calculations'!$HE$13:$HE$512,"="&amp;SUBSTITUTE(SUBSTITUTE(SUBSTITUTE('Calculations'!HR142,"~","~~"),"*","~*"),"?","~?"))&gt;1,"!AMBIG",IFERROR(INDEX('Calculations'!$HF$13:$HF$512,MATCH('Calculations'!HR142,'Calculations'!$HE$13:$HE$512,0)),""))))</x:f>
      </x:c>
      <x:c r="HT142" t="str">
        <x:f>IF('Calculations'!HS142="","",IF('Calculations'!HS142="!AMBIG","!AMBIG",IF(COUNTIF('Calculations'!$HE$13:$HE$512,"="&amp;SUBSTITUTE(SUBSTITUTE(SUBSTITUTE('Calculations'!HS142,"~","~~"),"*","~*"),"?","~?"))&gt;1,"!AMBIG",IFERROR(INDEX('Calculations'!$HF$13:$HF$512,MATCH('Calculations'!HS142,'Calculations'!$HE$13:$HE$512,0)),""))))</x:f>
      </x:c>
      <x:c r="HU142" t="str">
        <x:f>IF('Calculations'!HT142="","",IF('Calculations'!HT142="!AMBIG","!AMBIG",IF(COUNTIF('Calculations'!$HE$13:$HE$512,"="&amp;SUBSTITUTE(SUBSTITUTE(SUBSTITUTE('Calculations'!HT142,"~","~~"),"*","~*"),"?","~?"))&gt;1,"!AMBIG",IFERROR(INDEX('Calculations'!$HF$13:$HF$512,MATCH('Calculations'!HT142,'Calculations'!$HE$13:$HE$512,0)),""))))</x:f>
      </x:c>
      <x:c r="HV142" t="str">
        <x:f>IF('Calculations'!HU142="","",IF('Calculations'!HU142="!AMBIG","!AMBIG",IF(COUNTIF('Calculations'!$HE$13:$HE$512,"="&amp;SUBSTITUTE(SUBSTITUTE(SUBSTITUTE('Calculations'!HU142,"~","~~"),"*","~*"),"?","~?"))&gt;1,"!AMBIG",IFERROR(INDEX('Calculations'!$HF$13:$HF$512,MATCH('Calculations'!HU142,'Calculations'!$HE$13:$HE$512,0)),""))))</x:f>
      </x:c>
      <x:c r="HW142" t="str">
        <x:f>IF('Calculations'!HV142="","",IF('Calculations'!HV142="!AMBIG","!AMBIG",IF(COUNTIF('Calculations'!$HE$13:$HE$512,"="&amp;SUBSTITUTE(SUBSTITUTE(SUBSTITUTE('Calculations'!HV142,"~","~~"),"*","~*"),"?","~?"))&gt;1,"!AMBIG",IFERROR(INDEX('Calculations'!$HF$13:$HF$512,MATCH('Calculations'!HV142,'Calculations'!$HE$13:$HE$512,0)),""))))</x:f>
      </x:c>
      <x:c r="HX142" t="str">
        <x:f>IF('Calculations'!HW142="","",IF('Calculations'!HW142="!AMBIG","!AMBIG",IF(COUNTIF('Calculations'!$HE$13:$HE$512,"="&amp;SUBSTITUTE(SUBSTITUTE(SUBSTITUTE('Calculations'!HW142,"~","~~"),"*","~*"),"?","~?"))&gt;1,"!AMBIG",IFERROR(INDEX('Calculations'!$HF$13:$HF$512,MATCH('Calculations'!HW142,'Calculations'!$HE$13:$HE$512,0)),""))))</x:f>
      </x:c>
      <x:c r="HY142" t="str">
        <x:f>IF('Calculations'!HX142="","",IF('Calculations'!HX142="!AMBIG","!AMBIG",IF(COUNTIF('Calculations'!$HE$13:$HE$512,"="&amp;SUBSTITUTE(SUBSTITUTE(SUBSTITUTE('Calculations'!HX142,"~","~~"),"*","~*"),"?","~?"))&gt;1,"!AMBIG",IFERROR(INDEX('Calculations'!$HF$13:$HF$512,MATCH('Calculations'!HX142,'Calculations'!$HE$13:$HE$512,0)),""))))</x:f>
      </x:c>
      <x:c r="HZ142" t="str">
        <x:f>IF('Calculations'!HY142="","",IF('Calculations'!HY142="!AMBIG","!AMBIG",IF(COUNTIF('Calculations'!$HE$13:$HE$512,"="&amp;SUBSTITUTE(SUBSTITUTE(SUBSTITUTE('Calculations'!HY142,"~","~~"),"*","~*"),"?","~?"))&gt;1,"!AMBIG",IFERROR(INDEX('Calculations'!$HF$13:$HF$512,MATCH('Calculations'!HY142,'Calculations'!$HE$13:$HE$512,0)),""))))</x:f>
      </x:c>
      <x:c r="IA142" t="str">
        <x:f>IF('Calculations'!HZ142="","",IF('Calculations'!HZ142="!AMBIG","!AMBIG",IF(COUNTIF('Calculations'!$HE$13:$HE$512,"="&amp;SUBSTITUTE(SUBSTITUTE(SUBSTITUTE('Calculations'!HZ142,"~","~~"),"*","~*"),"?","~?"))&gt;1,"!AMBIG",IFERROR(INDEX('Calculations'!$HF$13:$HF$512,MATCH('Calculations'!HZ142,'Calculations'!$HE$13:$HE$512,0)),""))))</x:f>
      </x:c>
      <x:c r="IB142" t="str">
        <x:f>IF('Calculations'!IA142="","",IF('Calculations'!IA142="!AMBIG","!AMBIG",IF(COUNTIF('Calculations'!$HE$13:$HE$512,"="&amp;SUBSTITUTE(SUBSTITUTE(SUBSTITUTE('Calculations'!IA142,"~","~~"),"*","~*"),"?","~?"))&gt;1,"!AMBIG",IFERROR(INDEX('Calculations'!$HF$13:$HF$512,MATCH('Calculations'!IA142,'Calculations'!$HE$13:$HE$512,0)),""))))</x:f>
      </x:c>
      <x:c r="IC142" t="str">
        <x:f>IF('Calculations'!IB142="","",IF('Calculations'!IB142="!AMBIG","!AMBIG",IF(COUNTIF('Calculations'!$HE$13:$HE$512,"="&amp;SUBSTITUTE(SUBSTITUTE(SUBSTITUTE('Calculations'!IB142,"~","~~"),"*","~*"),"?","~?"))&gt;1,"!AMBIG",IFERROR(INDEX('Calculations'!$HF$13:$HF$512,MATCH('Calculations'!IB142,'Calculations'!$HE$13:$HE$512,0)),""))))</x:f>
      </x:c>
      <x:c r="ID142" t="str">
        <x:f>IF('Calculations'!IC142="","",IF('Calculations'!IC142="!AMBIG","!AMBIG",IF(COUNTIF('Calculations'!$HE$13:$HE$512,"="&amp;SUBSTITUTE(SUBSTITUTE(SUBSTITUTE('Calculations'!IC142,"~","~~"),"*","~*"),"?","~?"))&gt;1,"!AMBIG",IFERROR(INDEX('Calculations'!$HF$13:$HF$512,MATCH('Calculations'!IC142,'Calculations'!$HE$13:$HE$512,0)),""))))</x:f>
      </x:c>
      <x:c r="IE142" t="str">
        <x:f>IF('Calculations'!ID142="","",IF('Calculations'!ID142="!AMBIG","!AMBIG",IF(COUNTIF('Calculations'!$HE$13:$HE$512,"="&amp;SUBSTITUTE(SUBSTITUTE(SUBSTITUTE('Calculations'!ID142,"~","~~"),"*","~*"),"?","~?"))&gt;1,"!AMBIG",IFERROR(INDEX('Calculations'!$HF$13:$HF$512,MATCH('Calculations'!ID142,'Calculations'!$HE$13:$HE$512,0)),""))))</x:f>
      </x:c>
      <x:c r="IF142" t="str">
        <x:f>IF('Calculations'!IE142="","",IF('Calculations'!IE142="!AMBIG","!AMBIG",IF(COUNTIF('Calculations'!$HE$13:$HE$512,"="&amp;SUBSTITUTE(SUBSTITUTE(SUBSTITUTE('Calculations'!IE142,"~","~~"),"*","~*"),"?","~?"))&gt;1,"!AMBIG",IFERROR(INDEX('Calculations'!$HF$13:$HF$512,MATCH('Calculations'!IE142,'Calculations'!$HE$13:$HE$512,0)),""))))</x:f>
      </x:c>
      <x:c r="IG142" t="str">
        <x:f>IF('Calculations'!IF142="","",IF('Calculations'!IF142="!AMBIG","!AMBIG",IF(COUNTIF('Calculations'!$HE$13:$HE$512,"="&amp;SUBSTITUTE(SUBSTITUTE(SUBSTITUTE('Calculations'!IF142,"~","~~"),"*","~*"),"?","~?"))&gt;1,"!AMBIG",IFERROR(INDEX('Calculations'!$HF$13:$HF$512,MATCH('Calculations'!IF142,'Calculations'!$HE$13:$HE$512,0)),""))))</x:f>
      </x:c>
      <x:c r="IH142" t="str">
        <x:f>IF('Calculations'!IG142="","",IF('Calculations'!IG142="!AMBIG","!AMBIG",IF(COUNTIF('Calculations'!$HE$13:$HE$512,"="&amp;SUBSTITUTE(SUBSTITUTE(SUBSTITUTE('Calculations'!IG142,"~","~~"),"*","~*"),"?","~?"))&gt;1,"!AMBIG",IFERROR(INDEX('Calculations'!$HF$13:$HF$512,MATCH('Calculations'!IG142,'Calculations'!$HE$13:$HE$512,0)),""))))</x:f>
      </x:c>
      <x:c r="II142" t="str">
        <x:f>IF('Calculations'!IH142="","",IF('Calculations'!IH142="!AMBIG","!AMBIG",IF(COUNTIF('Calculations'!$HE$13:$HE$512,"="&amp;SUBSTITUTE(SUBSTITUTE(SUBSTITUTE('Calculations'!IH142,"~","~~"),"*","~*"),"?","~?"))&gt;1,"!AMBIG",IFERROR(INDEX('Calculations'!$HF$13:$HF$512,MATCH('Calculations'!IH142,'Calculations'!$HE$13:$HE$512,0)),""))))</x:f>
      </x:c>
      <x:c r="IJ142" t="str">
        <x:f>IF('Calculations'!EM142="","",IF('Calculations'!$EF$2="All",'Calculations'!HM142,IF('Calculations'!HL142=1,"",IFERROR(IF(MATCH('Calculations'!$EF$2,'Calculations'!HO142:II142,0)=1,'Calculations'!HE142,INDEX('Calculations'!HO142:II142,1,MATCH('Calculations'!$EF$2,'Calculations'!HO142:II142,0)-1)),""))))</x:f>
      </x:c>
      <x:c r="IK142" t="n">
        <x:f>IF(AND('Calculations'!EM142&lt;&gt;"",'Calculations'!$EF$2&lt;&gt;"All",'Calculations'!HF142='Calculations'!$EF$2,'Calculations'!HL142=0,'Calculations'!JD142&gt;0),MAX('Calculations'!$IK$12:IK141)+1,0)</x:f>
        <x:v>0</x:v>
      </x:c>
      <x:c r="JA142" t="n">
        <x:f>IF(OR(IFERROR(INDIRECT("'WCM Calibration Final'!$A$142")&lt;&gt;"",FALSE),IFERROR(INDIRECT("'WCM Calibration Final'!$B$142")&lt;&gt;"",FALSE),IFERROR(INDIRECT("'WCM Calibration Final'!$C$142")&lt;&gt;"",FALSE)),142,0)</x:f>
        <x:v>0</x:v>
      </x:c>
      <x:c r="JB142" t="n">
        <x:f>'Calculations'!JB141+IF('Calculations'!JA142&gt;0,1,0)</x:f>
        <x:v>0</x:v>
      </x:c>
      <x:c r="JC142" t="n">
        <x:f>IF(OR('Calculations'!HF142="",'Calculations'!HF142="!AMBIG"),0,IF('Dashboard'!$B$7="All",1,COUNTIFS('Calculations'!$HO$13:$HO$512,"="&amp;SUBSTITUTE(SUBSTITUTE(SUBSTITUTE('Calculations'!HF142,"~","~~"),"*","~*"),"?","~?"),'Calculations'!$HN$13:$HN$512,"="&amp;SUBSTITUTE(SUBSTITUTE(SUBSTITUTE('Dashboard'!$B$7,"~","~~"),"*","~*"),"?","~?"))+COUNTIFS('Calculations'!$HP$13:$HP$512,"="&amp;SUBSTITUTE(SUBSTITUTE(SUBSTITUTE('Calculations'!HF142,"~","~~"),"*","~*"),"?","~?"),'Calculations'!$HN$13:$HN$512,"="&amp;SUBSTITUTE(SUBSTITUTE(SUBSTITUTE('Dashboard'!$B$7,"~","~~"),"*","~*"),"?","~?"))+COUNTIFS('Calculations'!$HQ$13:$HQ$512,"="&amp;SUBSTITUTE(SUBSTITUTE(SUBSTITUTE('Calculations'!HF142,"~","~~"),"*","~*"),"?","~?"),'Calculations'!$HN$13:$HN$512,"="&amp;SUBSTITUTE(SUBSTITUTE(SUBSTITUTE('Dashboard'!$B$7,"~","~~"),"*","~*"),"?","~?"))+COUNTIFS('Calculations'!$HR$13:$HR$512,"="&amp;SUBSTITUTE(SUBSTITUTE(SUBSTITUTE('Calculations'!HF142,"~","~~"),"*","~*"),"?","~?"),'Calculations'!$HN$13:$HN$512,"="&amp;SUBSTITUTE(SUBSTITUTE(SUBSTITUTE('Dashboard'!$B$7,"~","~~"),"*","~*"),"?","~?"))+COUNTIFS('Calculations'!$HS$13:$HS$512,"="&amp;SUBSTITUTE(SUBSTITUTE(SUBSTITUTE('Calculations'!HF142,"~","~~"),"*","~*"),"?","~?"),'Calculations'!$HN$13:$HN$512,"="&amp;SUBSTITUTE(SUBSTITUTE(SUBSTITUTE('Dashboard'!$B$7,"~","~~"),"*","~*"),"?","~?"))+COUNTIFS('Calculations'!$HT$13:$HT$512,"="&amp;SUBSTITUTE(SUBSTITUTE(SUBSTITUTE('Calculations'!HF142,"~","~~"),"*","~*"),"?","~?"),'Calculations'!$HN$13:$HN$512,"="&amp;SUBSTITUTE(SUBSTITUTE(SUBSTITUTE('Dashboard'!$B$7,"~","~~"),"*","~*"),"?","~?"))+COUNTIFS('Calculations'!$HU$13:$HU$512,"="&amp;SUBSTITUTE(SUBSTITUTE(SUBSTITUTE('Calculations'!HF142,"~","~~"),"*","~*"),"?","~?"),'Calculations'!$HN$13:$HN$512,"="&amp;SUBSTITUTE(SUBSTITUTE(SUBSTITUTE('Dashboard'!$B$7,"~","~~"),"*","~*"),"?","~?"))+COUNTIFS('Calculations'!$HV$13:$HV$512,"="&amp;SUBSTITUTE(SUBSTITUTE(SUBSTITUTE('Calculations'!HF142,"~","~~"),"*","~*"),"?","~?"),'Calculations'!$HN$13:$HN$512,"="&amp;SUBSTITUTE(SUBSTITUTE(SUBSTITUTE('Dashboard'!$B$7,"~","~~"),"*","~*"),"?","~?"))+COUNTIFS('Calculations'!$HW$13:$HW$512,"="&amp;SUBSTITUTE(SUBSTITUTE(SUBSTITUTE('Calculations'!HF142,"~","~~"),"*","~*"),"?","~?"),'Calculations'!$HN$13:$HN$512,"="&amp;SUBSTITUTE(SUBSTITUTE(SUBSTITUTE('Dashboard'!$B$7,"~","~~"),"*","~*"),"?","~?"))+COUNTIFS('Calculations'!$HX$13:$HX$512,"="&amp;SUBSTITUTE(SUBSTITUTE(SUBSTITUTE('Calculations'!HF142,"~","~~"),"*","~*"),"?","~?"),'Calculations'!$HN$13:$HN$512,"="&amp;SUBSTITUTE(SUBSTITUTE(SUBSTITUTE('Dashboard'!$B$7,"~","~~"),"*","~*"),"?","~?"))+COUNTIFS('Calculations'!$HY$13:$HY$512,"="&amp;SUBSTITUTE(SUBSTITUTE(SUBSTITUTE('Calculations'!HF142,"~","~~"),"*","~*"),"?","~?"),'Calculations'!$HN$13:$HN$512,"="&amp;SUBSTITUTE(SUBSTITUTE(SUBSTITUTE('Dashboard'!$B$7,"~","~~"),"*","~*"),"?","~?"))+COUNTIFS('Calculations'!$HZ$13:$HZ$512,"="&amp;SUBSTITUTE(SUBSTITUTE(SUBSTITUTE('Calculations'!HF142,"~","~~"),"*","~*"),"?","~?"),'Calculations'!$HN$13:$HN$512,"="&amp;SUBSTITUTE(SUBSTITUTE(SUBSTITUTE('Dashboard'!$B$7,"~","~~"),"*","~*"),"?","~?"))+COUNTIFS('Calculations'!$IA$13:$IA$512,"="&amp;SUBSTITUTE(SUBSTITUTE(SUBSTITUTE('Calculations'!HF142,"~","~~"),"*","~*"),"?","~?"),'Calculations'!$HN$13:$HN$512,"="&amp;SUBSTITUTE(SUBSTITUTE(SUBSTITUTE('Dashboard'!$B$7,"~","~~"),"*","~*"),"?","~?"))+COUNTIFS('Calculations'!$IB$13:$IB$512,"="&amp;SUBSTITUTE(SUBSTITUTE(SUBSTITUTE('Calculations'!HF142,"~","~~"),"*","~*"),"?","~?"),'Calculations'!$HN$13:$HN$512,"="&amp;SUBSTITUTE(SUBSTITUTE(SUBSTITUTE('Dashboard'!$B$7,"~","~~"),"*","~*"),"?","~?"))+COUNTIFS('Calculations'!$IC$13:$IC$512,"="&amp;SUBSTITUTE(SUBSTITUTE(SUBSTITUTE('Calculations'!HF142,"~","~~"),"*","~*"),"?","~?"),'Calculations'!$HN$13:$HN$512,"="&amp;SUBSTITUTE(SUBSTITUTE(SUBSTITUTE('Dashboard'!$B$7,"~","~~"),"*","~*"),"?","~?"))+COUNTIFS('Calculations'!$ID$13:$ID$512,"="&amp;SUBSTITUTE(SUBSTITUTE(SUBSTITUTE('Calculations'!HF142,"~","~~"),"*","~*"),"?","~?"),'Calculations'!$HN$13:$HN$512,"="&amp;SUBSTITUTE(SUBSTITUTE(SUBSTITUTE('Dashboard'!$B$7,"~","~~"),"*","~*"),"?","~?"))+COUNTIFS('Calculations'!$IE$13:$IE$512,"="&amp;SUBSTITUTE(SUBSTITUTE(SUBSTITUTE('Calculations'!HF142,"~","~~"),"*","~*"),"?","~?"),'Calculations'!$HN$13:$HN$512,"="&amp;SUBSTITUTE(SUBSTITUTE(SUBSTITUTE('Dashboard'!$B$7,"~","~~"),"*","~*"),"?","~?"))+COUNTIFS('Calculations'!$IF$13:$IF$512,"="&amp;SUBSTITUTE(SUBSTITUTE(SUBSTITUTE('Calculations'!HF142,"~","~~"),"*","~*"),"?","~?"),'Calculations'!$HN$13:$HN$512,"="&amp;SUBSTITUTE(SUBSTITUTE(SUBSTITUTE('Dashboard'!$B$7,"~","~~"),"*","~*"),"?","~?"))+COUNTIFS('Calculations'!$IG$13:$IG$512,"="&amp;SUBSTITUTE(SUBSTITUTE(SUBSTITUTE('Calculations'!HF142,"~","~~"),"*","~*"),"?","~?"),'Calculations'!$HN$13:$HN$512,"="&amp;SUBSTITUTE(SUBSTITUTE(SUBSTITUTE('Dashboard'!$B$7,"~","~~"),"*","~*"),"?","~?"))+COUNTIFS('Calculations'!$IH$13:$IH$512,"="&amp;SUBSTITUTE(SUBSTITUTE(SUBSTITUTE('Calculations'!HF142,"~","~~"),"*","~*"),"?","~?"),'Calculations'!$HN$13:$HN$512,"="&amp;SUBSTITUTE(SUBSTITUTE(SUBSTITUTE('Dashboard'!$B$7,"~","~~"),"*","~*"),"?","~?"))))</x:f>
        <x:v>0</x:v>
      </x:c>
      <x:c r="JD142" t="n">
        <x:f>IF('Calculations'!EM142="",0,IF('Dashboard'!$B$7="All",1,IF('Calculations'!HN142='Dashboard'!$B$7,1,0)+IFERROR(INDEX('Calculations'!$JC$13:$JC$512,MATCH('Calculations'!HE142,'Calculations'!$HF$13:$HF$512,0)),0)))</x:f>
        <x:v>0</x:v>
      </x:c>
      <x:c r="JE142" t="n">
        <x:f>IF(AND('Calculations'!EM142&lt;&gt;"",'Calculations'!$JJ$2&lt;&gt;"All",'Calculations'!$JJ$2&lt;&gt;"",'Calculations'!HF142='Calculations'!$JJ$2,'Calculations'!HL142=0,'Calculations'!JD142&gt;0),MAX('Calculations'!$JE$12:JE141)+1,0)</x:f>
        <x:v>0</x:v>
      </x:c>
      <x:c r="JF142" t="str">
        <x:f>IF('Calculations'!EM142="","",IFERROR(IF(INDEX(INDIRECT("'WCM Calibration Final'!$G$1:$G$2000"),'Calculations'!$EM142)="","",TRIM(INDEX(INDIRECT("'WCM Calibration Final'!$G$1:$G$2000"),'Calculations'!$EM142)&amp;"")),""))</x:f>
      </x:c>
      <x:c r="JQ142" t="n">
        <x:f>IF(OR('Calculations'!BM142=0,NOT('Calculations'!$AG$2),'Calculations'!$AG$8&gt;0),0,IF(OR('Dashboard'!$B$7="All",'Calculations'!HN142='Dashboard'!$B$7),IF('Calculations'!$JJ$2="All",1,IF(AND('Calculations'!HF142='Calculations'!$JJ$2,'Calculations'!HL142=0),1,0)),0))</x:f>
        <x:v>0</x:v>
      </x:c>
    </x:row>
    <x:row r="143">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t="n">
        <x:f>IF('Calculations'!$EM143="",0,IF(OR(IFERROR(INDEX(INDIRECT("'WCM Calibration Final'!$A$1:$A$2000"),'Calculations'!$EM143)&lt;&gt;"",FALSE),IFERROR(INDEX(INDIRECT("'WCM Calibration Final'!$B$1:$B$2000"),'Calculations'!$EM143)&lt;&gt;"",FALSE),IFERROR(INDEX(INDIRECT("'WCM Calibration Final'!$C$1:$C$2000"),'Calculations'!$EM143)&lt;&gt;"",FALSE)),1,0))</x:f>
        <x:v>0</x:v>
      </x:c>
      <x:c r="BN143" s="4" t="n">
        <x:f>IF(AND('Calculations'!BM143=1,'Calculations'!$AG$2,'Calculations'!$EN143=1),1,0)</x:f>
        <x:v>0</x:v>
      </x:c>
      <x:c r="BO143" s="4" t="str">
        <x:f>IF('Calculations'!BM143=0,"",IFERROR(IF(AND(VALUE(INDEX(INDIRECT("'WCM Calibration Final'!$K$1:$K$2000"),'Calculations'!$EM143))&gt;=1,VALUE(INDEX(INDIRECT("'WCM Calibration Final'!$K$1:$K$2000"),'Calculations'!$EM143))&lt;=4,MOD(VALUE(INDEX(INDIRECT("'WCM Calibration Final'!$K$1:$K$2000"),'Calculations'!$EM143)),1)=0),VALUE(INDEX(INDIRECT("'WCM Calibration Final'!$K$1:$K$2000"),'Calculations'!$EM143)),""),""))</x:f>
      </x:c>
      <x:c r="BP143" s="4" t="str">
        <x:f>IF('Calculations'!BM143=0,"",IFERROR(IF(AND(VALUE(INDEX(INDIRECT("'WCM Calibration Final'!$L$1:$L$2000"),'Calculations'!$EM143))&gt;=1,VALUE(INDEX(INDIRECT("'WCM Calibration Final'!$L$1:$L$2000"),'Calculations'!$EM143))&lt;=4,MOD(VALUE(INDEX(INDIRECT("'WCM Calibration Final'!$L$1:$L$2000"),'Calculations'!$EM143)),1)=0),VALUE(INDEX(INDIRECT("'WCM Calibration Final'!$L$1:$L$2000"),'Calculations'!$EM143)),""),""))</x:f>
      </x:c>
      <x:c r="BQ143" s="4"/>
      <x:c r="BR143" s="4"/>
      <x:c r="BS143" s="4"/>
      <x:c r="BT143" s="4" t="n">
        <x:f>IF(AND('Calculations'!BM143=1,ISNUMBER('Calculations'!BO143),ISNUMBER('Calculations'!BP143)),1,0)</x:f>
        <x:v>0</x:v>
      </x:c>
      <x:c r="BU143" s="4" t="str">
        <x:f>IF('Calculations'!BM143=0,"",'Calculations'!$EO143)</x:f>
      </x:c>
      <x:c r="BV143" s="4" t="str">
        <x:f>IF('Calculations'!BM143=0,"",IFERROR(IF(OR(INDEX(INDIRECT("'WCM Calibration Final'!$H$1:$H$2000"),'Calculations'!$EM143)="MANAGING DIRECTOR",INDEX(INDIRECT("'WCM Calibration Final'!$H$1:$H$2000"),'Calculations'!$EM143)="DIRECTOR",INDEX(INDIRECT("'WCM Calibration Final'!$H$1:$H$2000"),'Calculations'!$EM143)="SENIOR VICE PRESIDENT",INDEX(INDIRECT("'WCM Calibration Final'!$H$1:$H$2000"),'Calculations'!$EM143)="VICE PRESIDENT",INDEX(INDIRECT("'WCM Calibration Final'!$H$1:$H$2000"),'Calculations'!$EM143)="ASSISTANT VICE PRESIDENT",INDEX(INDIRECT("'WCM Calibration Final'!$H$1:$H$2000"),'Calculations'!$EM143)="OFFICER"),UPPER(INDEX(INDIRECT("'WCM Calibration Final'!$H$1:$H$2000"),'Calculations'!$EM143)),"Other"),"Other"))</x:f>
      </x:c>
      <x:c r="BW143" s="4"/>
      <x:c r="BX143" s="4"/>
      <x:c r="BY143" s="4" t="n">
        <x:f>IF(AND('Calculations'!BM143=1,'Calculations'!BU143&lt;&gt;"",COUNTIF('Calculations'!$BU$12:BU143,'Calculations'!BU143)=1),MAX('Calculations'!$BY$11:BY142)+1,0)</x:f>
        <x:v>0</x:v>
      </x:c>
      <x:c r="BZ143" s="4" t="str">
        <x:f>IF('Dashboard'!$E$67="What",'Calculations'!BO143,'Calculations'!BP143)</x:f>
      </x:c>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t="str">
        <x:f>IF(132&gt;MAX('Calculations'!$HI$13:$HI$512),"",INDEX('Calculations'!$HN$13:$HN$512,MATCH(132,'Calculations'!$HI$13:$HI$512,0)))</x:f>
      </x:c>
      <x:c r="DB143" s="4" t="str">
        <x:f>IF(132&gt;MAX('Calculations'!$HH$13:$HH$512),"",INDEX('Calculations'!$HJ$13:$HJ$512,MATCH(132,'Calculations'!$HH$13:$HH$512,0)))</x:f>
      </x:c>
      <x:c r="DC143" s="4" t="str">
        <x:f>IF(ROW()-11&gt;MAX('Calculations'!$BY$13:$BY$512),"",INDEX('Calculations'!$BU$13:$BU$512,MATCH(ROW()-11,'Calculations'!$BY$13:$BY$512,0)))</x:f>
      </x:c>
      <x:c r="DD143" s="4" t="str">
        <x:f>IF(132&gt;MAX('Calculations'!$IK$13:$IK$512),"",INDEX('Calculations'!$HK$13:$HK$512,MATCH(132,'Calculations'!$IK$13:$IK$512,0)))</x:f>
      </x:c>
      <x:c r="DE143" s="4" t="str">
        <x:f>'Calculations'!DC143</x:f>
      </x:c>
      <x:c r="DF143" s="4" t="str">
        <x:f>IF('Calculations'!DE143="","",COUNTIFS('Calculations'!$BN$13:$BN$512,1,'Calculations'!$BU$13:$BU$512,'Calculations'!DE143))</x:f>
      </x:c>
      <x:c r="DG143" s="4" t="str">
        <x:f>IF('Calculations'!DE143="","",COUNTIFS('Calculations'!$BN$13:$BN$512,1,'Calculations'!$BU$13:$BU$512,'Calculations'!DE143,'Calculations'!$BT$13:$BT$512,1))</x:f>
      </x:c>
      <x:c r="DH143" s="4" t="str">
        <x:f>IF('Calculations'!DE143="","",'Calculations'!DF143-'Calculations'!DG143)</x:f>
      </x:c>
      <x:c r="DI143" s="4" t="str">
        <x:f>IF(OR('Calculations'!DE143="",'Calculations'!DF143=0),"",'Calculations'!DG143/'Calculations'!DF143)</x:f>
      </x:c>
      <x:c r="DJ143" s="4" t="str">
        <x:f>IF('Calculations'!DE143="","",COUNTIFS('Calculations'!$BN$13:$BN$512,1,'Calculations'!$BU$13:$BU$512,'Calculations'!DE143,'Calculations'!$BT$13:$BT$512,1,'Calculations'!$EE$13:$EE$512,"High"))</x:f>
      </x:c>
      <x:c r="DK143" s="4" t="str">
        <x:f>IF('Calculations'!DE143="","",COUNTIFS('Calculations'!$BN$13:$BN$512,1,'Calculations'!$BU$13:$BU$512,'Calculations'!DE143,'Calculations'!$BT$13:$BT$512,1,'Calculations'!$EE$13:$EE$512,"Strong"))</x:f>
      </x:c>
      <x:c r="DL143" s="4" t="str">
        <x:f>IF('Calculations'!DE143="","",COUNTIFS('Calculations'!$BN$13:$BN$512,1,'Calculations'!$BU$13:$BU$512,'Calculations'!DE143,'Calculations'!$BT$13:$BT$512,1,'Calculations'!$EE$13:$EE$512,"Solid"))</x:f>
      </x:c>
      <x:c r="DM143" s="4" t="str">
        <x:f>IF('Calculations'!DE143="","",COUNTIFS('Calculations'!$BN$13:$BN$512,1,'Calculations'!$BU$13:$BU$512,'Calculations'!DE143,'Calculations'!$BT$13:$BT$512,1,'Calculations'!$EE$13:$EE$512,"Low"))</x:f>
      </x:c>
      <x:c r="DN143" s="4" t="str">
        <x:f>IF('Calculations'!DE143="","",COUNTIFS('Calculations'!$BN$13:$BN$512,1,'Calculations'!$BU$13:$BU$512,'Calculations'!DE143,'Calculations'!$EP$13:$EP$512,1))</x:f>
      </x:c>
      <x:c r="DO143" s="4" t="str">
        <x:f>IF(OR('Calculations'!DE143="",'Calculations'!DG143=0),"",('Calculations'!DJ143+'Calculations'!DK143)/'Calculations'!DG143)</x:f>
      </x:c>
      <x:c r="DP143" s="4" t="n">
        <x:f>IF(AND('Calculations'!DE143&lt;&gt;"",'Calculations'!DF143&gt;0),COUNTIF('Calculations'!$DF$12:DF143,"&gt;0"),0)</x:f>
        <x:v>0</x:v>
      </x:c>
      <x:c r="DQ143" s="4" t="str">
        <x:f>IF(132&gt;MAX('Calculations'!$HH$13:$HH$512),"",INDEX('Calculations'!$HF$13:$HF$512,MATCH(132,'Calculations'!$HH$13:$HH$512,0)))</x:f>
      </x:c>
      <x:c r="DR143" s="4" t="str">
        <x:f>IF(132&gt;MAX('Calculations'!$IK$13:$IK$512),"",INDEX('Calculations'!$HE$13:$HE$512,MATCH(132,'Calculations'!$IK$13:$IK$512,0)))</x:f>
      </x:c>
      <x:c r="DS143" s="4"/>
      <x:c r="DT143" s="4"/>
      <x:c r="DU143" s="4"/>
      <x:c r="DV143" s="4"/>
      <x:c r="DW143" s="4"/>
      <x:c r="DX143" s="4"/>
      <x:c r="DY143" s="4"/>
      <x:c r="DZ143" s="4"/>
      <x:c r="EA143" s="4"/>
      <x:c r="EB143" s="4"/>
      <x:c r="EC143" s="4"/>
      <x:c r="ED143" s="4"/>
      <x:c r="EE143" s="4" t="str">
        <x:f>IF('Calculations'!BT143=0,"Not Rated",IF(OR('Calculations'!BO143&gt;=4,'Calculations'!BP143&gt;=4),"Low",IF('Calculations'!BO143+'Calculations'!BP143&lt;=3,"High",IF('Calculations'!BO143+'Calculations'!BP143&lt;=4,"Strong","Solid"))))</x:f>
        <x:v>Not Rated</x:v>
      </x:c>
      <x:c r="EF143" s="4"/>
      <x:c r="EG143" s="4"/>
      <x:c r="EH143" s="4"/>
      <x:c r="EI143" s="4"/>
      <x:c r="EJ143" s="4"/>
      <x:c r="EK143" s="4"/>
      <x:c r="EL143" s="4"/>
      <x:c r="EM143" s="4" t="str">
        <x:f>IF(131&gt;'Calculations'!$JB$2000,"",INDEX('Calculations'!$JA$12:$JA$2000,MATCH(131,'Calculations'!$JB$12:$JB$2000,0)))</x:f>
      </x:c>
      <x:c r="EN143" s="4" t="n">
        <x:f>IF(OR('Calculations'!EM143="",'Calculations'!$AG$8&gt;0,AND('Calculations'!$EF$2&lt;&gt;"All",'Calculations'!HE143='Calculations'!$EF$2),AND('Calculations'!$EF$3&lt;&gt;"All",'Calculations'!HE143='Calculations'!$EF$3)),0,IF(OR('Dashboard'!$B$7="All",'Calculations'!HN143='Dashboard'!$B$7),IF('Calculations'!$EF$2="All",1,IF('Calculations'!HL143&gt;0,0,IF(COUNTIF('Calculations'!HO143:II143,"="&amp;SUBSTITUTE(SUBSTITUTE(SUBSTITUTE('Calculations'!$EF$2,"~","~~"),"*","~*"),"?","~?"))=0,0,IF('Calculations'!$EF$3="All",1,IF(COUNTIF('Calculations'!HO143:II143,"="&amp;SUBSTITUTE(SUBSTITUTE(SUBSTITUTE('Calculations'!$EF$3,"~","~~"),"*","~*"),"?","~?"))&gt;0,1,0))))),0))</x:f>
        <x:v>0</x:v>
      </x:c>
      <x:c r="EO143" s="4" t="str">
        <x:f>IF('Calculations'!IJ143="","",IF('Calculations'!IJ143="!UNRESOLVED","Unresolved hierarchy",IFERROR(INDEX('Calculations'!$HK$13:$HK$512,MATCH('Calculations'!IJ143,'Calculations'!$HE$13:$HE$512,0)),IFERROR(INDEX('Calculations'!$HJ$13:$HJ$512,MATCH('Calculations'!IJ143,'Calculations'!$HF$13:$HF$512,0)),'Calculations'!IJ143))))</x:f>
      </x:c>
      <x:c r="EP143" s="4" t="n">
        <x:f>IF(AND('Calculations'!EM143&lt;&gt;"",'Calculations'!HF143='Calculations'!IJ143),1,0)</x:f>
        <x:v>0</x:v>
      </x:c>
      <x:c r="EQ143" s="4"/>
      <x:c r="ER143" s="4"/>
      <x:c r="ES143" s="4"/>
      <x:c r="ET143" s="4"/>
      <x:c r="EU143" s="4"/>
      <x:c r="EV143" s="4"/>
      <x:c r="EW143" s="4"/>
      <x:c r="EX143" s="4"/>
      <x:c r="EY143" s="4"/>
      <x:c r="EZ143" s="4"/>
      <x:c r="FA143" s="4"/>
      <x:c r="FB143" s="4"/>
      <x:c r="FC143" s="4"/>
      <x:c r="FD143" s="4"/>
      <x:c r="FE143" s="4"/>
      <x:c r="FF143" s="4"/>
      <x:c r="FG143" s="4"/>
      <x:c r="FH143" s="4"/>
      <x:c r="FI143" s="4"/>
      <x:c r="FJ143" s="4"/>
      <x:c r="FK143" s="4"/>
      <x:c r="FL143" s="4"/>
      <x:c r="FM143" s="4"/>
      <x:c r="FN143" s="4"/>
      <x:c r="FO143" s="4"/>
      <x:c r="GA143" s="71"/>
      <x:c r="GB143" s="71"/>
      <x:c r="GC143" s="71"/>
      <x:c r="GD143" s="71"/>
      <x:c r="GE143" s="71"/>
      <x:c r="GF143" s="71"/>
      <x:c r="GG143" s="71"/>
      <x:c r="GH143" s="71"/>
      <x:c r="GI143" s="71"/>
      <x:c r="GJ143" s="71"/>
      <x:c r="GK143" s="71"/>
      <x:c r="GL143" s="71"/>
      <x:c r="GM143" s="71"/>
      <x:c r="GN143" s="71"/>
      <x:c r="GO143" s="71"/>
      <x:c r="GP143" s="71"/>
      <x:c r="GQ143" s="71"/>
      <x:c r="GR143" s="71"/>
      <x:c r="GS143" s="71"/>
      <x:c r="GT143" s="71"/>
      <x:c r="GU143" s="71"/>
      <x:c r="GV143" s="71"/>
      <x:c r="GW143" s="71"/>
      <x:c r="GX143" s="71" t="str">
        <x:f>IF(COUNTA('Dashboard'!N143,'Dashboard'!P143,'Dashboard'!R143,'Dashboard'!T143)=0,"No thresholds",IF(OR(COUNT('Dashboard'!N143,'Dashboard'!P143,'Dashboard'!R143,'Dashboard'!T143)&lt;&gt;COUNTA('Dashboard'!N143,'Dashboard'!P143,'Dashboard'!R143,'Dashboard'!T143),MIN('Dashboard'!N143,'Dashboard'!P143,'Dashboard'!R143,'Dashboard'!T143)&lt;0,MAX('Dashboard'!N143,'Dashboard'!P143,'Dashboard'!R143,'Dashboard'!T143)&gt;1),"Check thresholds",TEXT(SUM('Dashboard'!N143,'Dashboard'!P143,'Dashboard'!R143,'Dashboard'!T143),"0%")&amp;" - separate caps"))</x:f>
        <x:v>112% - separate caps</x:v>
      </x:c>
      <x:c r="GY143" s="71"/>
      <x:c r="GZ143" s="71"/>
      <x:c r="HA143" s="71"/>
      <x:c r="HB143" s="71"/>
      <x:c r="HC143" s="71"/>
      <x:c r="HD143" s="71"/>
      <x:c r="HE143" t="str">
        <x:f>IF('Calculations'!EM143="","",IF(IFERROR(IF(INDEX(INDIRECT("'WCM Calibration Final'!$A$1:$A$2000"),'Calculations'!$EM143)="","",TRIM(INDEX(INDIRECT("'WCM Calibration Final'!$A$1:$A$2000"),'Calculations'!$EM143)&amp;"")),"")&lt;&gt;"","G:"&amp;IFERROR(TEXT(1*INDEX(INDIRECT("'WCM Calibration Final'!$A$1:$A$2000"),'Calculations'!$EM143),"0"),UPPER(IFERROR(IF(INDEX(INDIRECT("'WCM Calibration Final'!$A$1:$A$2000"),'Calculations'!$EM143)="","",TRIM(INDEX(INDIRECT("'WCM Calibration Final'!$A$1:$A$2000"),'Calculations'!$EM143)&amp;"")),""))),IF(IFERROR(IF(INDEX(INDIRECT("'WCM Calibration Final'!$C$1:$C$2000"),'Calculations'!$EM143)="","",TRIM(INDEX(INDIRECT("'WCM Calibration Final'!$C$1:$C$2000"),'Calculations'!$EM143)&amp;"")),"")&lt;&gt;"","S:"&amp;UPPER(IFERROR(IF(INDEX(INDIRECT("'WCM Calibration Final'!$C$1:$C$2000"),'Calculations'!$EM143)="","",TRIM(INDEX(INDIRECT("'WCM Calibration Final'!$C$1:$C$2000"),'Calculations'!$EM143)&amp;"")),"")),"R:"&amp;'Calculations'!EM143)))</x:f>
      </x:c>
      <x:c r="HF143" t="str">
        <x:f>IF('Calculations'!EM143="","",IF(IFERROR(IF(INDEX(INDIRECT("'WCM Calibration Final'!$D$1:$D$2000"),'Calculations'!$EM143)="","",TRIM(INDEX(INDIRECT("'WCM Calibration Final'!$D$1:$D$2000"),'Calculations'!$EM143)&amp;"")),"")&lt;&gt;"","G:"&amp;IFERROR(TEXT(1*INDEX(INDIRECT("'WCM Calibration Final'!$D$1:$D$2000"),'Calculations'!$EM143),"0"),UPPER(IFERROR(IF(INDEX(INDIRECT("'WCM Calibration Final'!$D$1:$D$2000"),'Calculations'!$EM143)="","",TRIM(INDEX(INDIRECT("'WCM Calibration Final'!$D$1:$D$2000"),'Calculations'!$EM143)&amp;"")),""))),IF(IFERROR(IF(INDEX(INDIRECT("'WCM Calibration Final'!$E$1:$E$2000"),'Calculations'!$EM143)="","",TRIM(INDEX(INDIRECT("'WCM Calibration Final'!$E$1:$E$2000"),'Calculations'!$EM143)&amp;"")),"")="","",IF(COUNTIF('Calculations'!$HG$13:$HG$512,"="&amp;SUBSTITUTE(SUBSTITUTE(SUBSTITUTE(IFERROR(IF(INDEX(INDIRECT("'WCM Calibration Final'!$E$1:$E$2000"),'Calculations'!$EM143)="","",TRIM(INDEX(INDIRECT("'WCM Calibration Final'!$E$1:$E$2000"),'Calculations'!$EM143)&amp;"")),""),"~","~~"),"*","~*"),"?","~?"))=1,INDEX('Calculations'!$HE$13:$HE$512,MATCH(IFERROR(IF(INDEX(INDIRECT("'WCM Calibration Final'!$E$1:$E$2000"),'Calculations'!$EM143)="","",TRIM(INDEX(INDIRECT("'WCM Calibration Final'!$E$1:$E$2000"),'Calculations'!$EM143)&amp;"")),""),'Calculations'!$HG$13:$HG$512,0)),IF(COUNTIF('Calculations'!$HG$13:$HG$512,"="&amp;SUBSTITUTE(SUBSTITUTE(SUBSTITUTE(IFERROR(IF(INDEX(INDIRECT("'WCM Calibration Final'!$E$1:$E$2000"),'Calculations'!$EM143)="","",TRIM(INDEX(INDIRECT("'WCM Calibration Final'!$E$1:$E$2000"),'Calculations'!$EM143)&amp;"")),""),"~","~~"),"*","~*"),"?","~?"))&gt;1,"!AMBIG","X:"&amp;IFERROR(IF(INDEX(INDIRECT("'WCM Calibration Final'!$E$1:$E$2000"),'Calculations'!$EM143)="","",TRIM(INDEX(INDIRECT("'WCM Calibration Final'!$E$1:$E$2000"),'Calculations'!$EM143)&amp;"")),""))))))</x:f>
      </x:c>
      <x:c r="HG143" t="str">
        <x:f>IF('Calculations'!EM143="","",IFERROR(IF(INDEX(INDIRECT("'WCM Calibration Final'!$B$1:$B$2000"),'Calculations'!$EM143)="","",TRIM(INDEX(INDIRECT("'WCM Calibration Final'!$B$1:$B$2000"),'Calculations'!$EM143)&amp;"")),""))</x:f>
      </x:c>
      <x:c r="HH143" t="n">
        <x:f>IF(AND('Calculations'!JC143&gt;0,COUNTIF('Calculations'!$HF$12:HF143,"="&amp;SUBSTITUTE(SUBSTITUTE(SUBSTITUTE('Calculations'!HF143,"~","~~"),"*","~*"),"?","~?"))=1),MAX('Calculations'!$HH$12:HH142)+1,0)</x:f>
        <x:v>0</x:v>
      </x:c>
      <x:c r="HI143" t="n">
        <x:f>IF(AND('Calculations'!HN143&lt;&gt;"",COUNTIF('Calculations'!$HN$12:HN143,"="&amp;SUBSTITUTE(SUBSTITUTE(SUBSTITUTE('Calculations'!HN143,"~","~~"),"*","~*"),"?","~?"))=1),MAX('Calculations'!$HI$12:HI142)+1,0)</x:f>
        <x:v>0</x:v>
      </x:c>
      <x:c r="HJ143" t="str">
        <x:f>IF('Calculations'!HF143="","",IF(COUNTIF('Calculations'!$HE$13:$HE$512,"="&amp;SUBSTITUTE(SUBSTITUTE(SUBSTITUTE('Calculations'!HF143,"~","~~"),"*","~*"),"?","~?"))=1,INDEX('Calculations'!$HK$13:$HK$512,MATCH('Calculations'!HF143,'Calculations'!$HE$13:$HE$512,0)),IFERROR(IF(INDEX(INDIRECT("'WCM Calibration Final'!$E$1:$E$2000"),'Calculations'!$EM143)="","",TRIM(INDEX(INDIRECT("'WCM Calibration Final'!$E$1:$E$2000"),'Calculations'!$EM143)&amp;"")),"")&amp;" ["&amp;'Calculations'!HF143&amp;"]"))</x:f>
      </x:c>
      <x:c r="HK143" t="str">
        <x:f>IF('Calculations'!EM143="","",'Calculations'!HG143&amp;" ["&amp;'Calculations'!HE143&amp;"]")</x:f>
      </x:c>
      <x:c r="HL143" t="n">
        <x:f>IF('Calculations'!EM143="",0,IF(OR('Calculations'!II143&lt;&gt;"",COUNTIF('Calculations'!$HE$13:$HE$512,"="&amp;SUBSTITUTE(SUBSTITUTE(SUBSTITUTE('Calculations'!HE143,"~","~~"),"*","~*"),"?","~?"))&gt;1),1,0))</x:f>
        <x:v>0</x:v>
      </x:c>
      <x:c r="HM143" t="str">
        <x:f>IF('Calculations'!EM143="","",IF('Calculations'!HL143=1,"!UNRESOLVED",IF('Calculations'!IH143&lt;&gt;"",'Calculations'!IH143,IF('Calculations'!IG143&lt;&gt;"",'Calculations'!IG143,IF('Calculations'!IF143&lt;&gt;"",'Calculations'!IF143,IF('Calculations'!IE143&lt;&gt;"",'Calculations'!IE143,IF('Calculations'!ID143&lt;&gt;"",'Calculations'!ID143,IF('Calculations'!IC143&lt;&gt;"",'Calculations'!IC143,IF('Calculations'!IB143&lt;&gt;"",'Calculations'!IB143,IF('Calculations'!IA143&lt;&gt;"",'Calculations'!IA143,IF('Calculations'!HZ143&lt;&gt;"",'Calculations'!HZ143,IF('Calculations'!HY143&lt;&gt;"",'Calculations'!HY143,IF('Calculations'!HX143&lt;&gt;"",'Calculations'!HX143,IF('Calculations'!HW143&lt;&gt;"",'Calculations'!HW143,IF('Calculations'!HV143&lt;&gt;"",'Calculations'!HV143,IF('Calculations'!HU143&lt;&gt;"",'Calculations'!HU143,IF('Calculations'!HT143&lt;&gt;"",'Calculations'!HT143,IF('Calculations'!HS143&lt;&gt;"",'Calculations'!HS143,IF('Calculations'!HR143&lt;&gt;"",'Calculations'!HR143,IF('Calculations'!HQ143&lt;&gt;"",'Calculations'!HQ143,IF('Calculations'!HP143&lt;&gt;"",'Calculations'!HP143,IF('Calculations'!HO143&lt;&gt;"",'Calculations'!HO143,'Calculations'!HE143))))))))))))))))))))))</x:f>
      </x:c>
      <x:c r="HN143" t="str">
        <x:f>IF('Calculations'!EM143="","",IF(IFERROR(IF(INDEX(INDIRECT("'WCM Calibration Final'!$F$1:$F$2000"),'Calculations'!$EM143)="","",TRIM(INDEX(INDIRECT("'WCM Calibration Final'!$F$1:$F$2000"),'Calculations'!$EM143)&amp;"")),"")="","(Blank)",IFERROR(IF(INDEX(INDIRECT("'WCM Calibration Final'!$F$1:$F$2000"),'Calculations'!$EM143)="","",TRIM(INDEX(INDIRECT("'WCM Calibration Final'!$F$1:$F$2000"),'Calculations'!$EM143)&amp;"")),"")))</x:f>
      </x:c>
      <x:c r="HO143" t="str">
        <x:f>'Calculations'!HF143</x:f>
      </x:c>
      <x:c r="HP143" t="str">
        <x:f>IF('Calculations'!HO143="","",IF('Calculations'!HO143="!AMBIG","!AMBIG",IF(COUNTIF('Calculations'!$HE$13:$HE$512,"="&amp;SUBSTITUTE(SUBSTITUTE(SUBSTITUTE('Calculations'!HO143,"~","~~"),"*","~*"),"?","~?"))&gt;1,"!AMBIG",IFERROR(INDEX('Calculations'!$HF$13:$HF$512,MATCH('Calculations'!HO143,'Calculations'!$HE$13:$HE$512,0)),""))))</x:f>
      </x:c>
      <x:c r="HQ143" t="str">
        <x:f>IF('Calculations'!HP143="","",IF('Calculations'!HP143="!AMBIG","!AMBIG",IF(COUNTIF('Calculations'!$HE$13:$HE$512,"="&amp;SUBSTITUTE(SUBSTITUTE(SUBSTITUTE('Calculations'!HP143,"~","~~"),"*","~*"),"?","~?"))&gt;1,"!AMBIG",IFERROR(INDEX('Calculations'!$HF$13:$HF$512,MATCH('Calculations'!HP143,'Calculations'!$HE$13:$HE$512,0)),""))))</x:f>
      </x:c>
      <x:c r="HR143" t="str">
        <x:f>IF('Calculations'!HQ143="","",IF('Calculations'!HQ143="!AMBIG","!AMBIG",IF(COUNTIF('Calculations'!$HE$13:$HE$512,"="&amp;SUBSTITUTE(SUBSTITUTE(SUBSTITUTE('Calculations'!HQ143,"~","~~"),"*","~*"),"?","~?"))&gt;1,"!AMBIG",IFERROR(INDEX('Calculations'!$HF$13:$HF$512,MATCH('Calculations'!HQ143,'Calculations'!$HE$13:$HE$512,0)),""))))</x:f>
      </x:c>
      <x:c r="HS143" t="str">
        <x:f>IF('Calculations'!HR143="","",IF('Calculations'!HR143="!AMBIG","!AMBIG",IF(COUNTIF('Calculations'!$HE$13:$HE$512,"="&amp;SUBSTITUTE(SUBSTITUTE(SUBSTITUTE('Calculations'!HR143,"~","~~"),"*","~*"),"?","~?"))&gt;1,"!AMBIG",IFERROR(INDEX('Calculations'!$HF$13:$HF$512,MATCH('Calculations'!HR143,'Calculations'!$HE$13:$HE$512,0)),""))))</x:f>
      </x:c>
      <x:c r="HT143" t="str">
        <x:f>IF('Calculations'!HS143="","",IF('Calculations'!HS143="!AMBIG","!AMBIG",IF(COUNTIF('Calculations'!$HE$13:$HE$512,"="&amp;SUBSTITUTE(SUBSTITUTE(SUBSTITUTE('Calculations'!HS143,"~","~~"),"*","~*"),"?","~?"))&gt;1,"!AMBIG",IFERROR(INDEX('Calculations'!$HF$13:$HF$512,MATCH('Calculations'!HS143,'Calculations'!$HE$13:$HE$512,0)),""))))</x:f>
      </x:c>
      <x:c r="HU143" t="str">
        <x:f>IF('Calculations'!HT143="","",IF('Calculations'!HT143="!AMBIG","!AMBIG",IF(COUNTIF('Calculations'!$HE$13:$HE$512,"="&amp;SUBSTITUTE(SUBSTITUTE(SUBSTITUTE('Calculations'!HT143,"~","~~"),"*","~*"),"?","~?"))&gt;1,"!AMBIG",IFERROR(INDEX('Calculations'!$HF$13:$HF$512,MATCH('Calculations'!HT143,'Calculations'!$HE$13:$HE$512,0)),""))))</x:f>
      </x:c>
      <x:c r="HV143" t="str">
        <x:f>IF('Calculations'!HU143="","",IF('Calculations'!HU143="!AMBIG","!AMBIG",IF(COUNTIF('Calculations'!$HE$13:$HE$512,"="&amp;SUBSTITUTE(SUBSTITUTE(SUBSTITUTE('Calculations'!HU143,"~","~~"),"*","~*"),"?","~?"))&gt;1,"!AMBIG",IFERROR(INDEX('Calculations'!$HF$13:$HF$512,MATCH('Calculations'!HU143,'Calculations'!$HE$13:$HE$512,0)),""))))</x:f>
      </x:c>
      <x:c r="HW143" t="str">
        <x:f>IF('Calculations'!HV143="","",IF('Calculations'!HV143="!AMBIG","!AMBIG",IF(COUNTIF('Calculations'!$HE$13:$HE$512,"="&amp;SUBSTITUTE(SUBSTITUTE(SUBSTITUTE('Calculations'!HV143,"~","~~"),"*","~*"),"?","~?"))&gt;1,"!AMBIG",IFERROR(INDEX('Calculations'!$HF$13:$HF$512,MATCH('Calculations'!HV143,'Calculations'!$HE$13:$HE$512,0)),""))))</x:f>
      </x:c>
      <x:c r="HX143" t="str">
        <x:f>IF('Calculations'!HW143="","",IF('Calculations'!HW143="!AMBIG","!AMBIG",IF(COUNTIF('Calculations'!$HE$13:$HE$512,"="&amp;SUBSTITUTE(SUBSTITUTE(SUBSTITUTE('Calculations'!HW143,"~","~~"),"*","~*"),"?","~?"))&gt;1,"!AMBIG",IFERROR(INDEX('Calculations'!$HF$13:$HF$512,MATCH('Calculations'!HW143,'Calculations'!$HE$13:$HE$512,0)),""))))</x:f>
      </x:c>
      <x:c r="HY143" t="str">
        <x:f>IF('Calculations'!HX143="","",IF('Calculations'!HX143="!AMBIG","!AMBIG",IF(COUNTIF('Calculations'!$HE$13:$HE$512,"="&amp;SUBSTITUTE(SUBSTITUTE(SUBSTITUTE('Calculations'!HX143,"~","~~"),"*","~*"),"?","~?"))&gt;1,"!AMBIG",IFERROR(INDEX('Calculations'!$HF$13:$HF$512,MATCH('Calculations'!HX143,'Calculations'!$HE$13:$HE$512,0)),""))))</x:f>
      </x:c>
      <x:c r="HZ143" t="str">
        <x:f>IF('Calculations'!HY143="","",IF('Calculations'!HY143="!AMBIG","!AMBIG",IF(COUNTIF('Calculations'!$HE$13:$HE$512,"="&amp;SUBSTITUTE(SUBSTITUTE(SUBSTITUTE('Calculations'!HY143,"~","~~"),"*","~*"),"?","~?"))&gt;1,"!AMBIG",IFERROR(INDEX('Calculations'!$HF$13:$HF$512,MATCH('Calculations'!HY143,'Calculations'!$HE$13:$HE$512,0)),""))))</x:f>
      </x:c>
      <x:c r="IA143" t="str">
        <x:f>IF('Calculations'!HZ143="","",IF('Calculations'!HZ143="!AMBIG","!AMBIG",IF(COUNTIF('Calculations'!$HE$13:$HE$512,"="&amp;SUBSTITUTE(SUBSTITUTE(SUBSTITUTE('Calculations'!HZ143,"~","~~"),"*","~*"),"?","~?"))&gt;1,"!AMBIG",IFERROR(INDEX('Calculations'!$HF$13:$HF$512,MATCH('Calculations'!HZ143,'Calculations'!$HE$13:$HE$512,0)),""))))</x:f>
      </x:c>
      <x:c r="IB143" t="str">
        <x:f>IF('Calculations'!IA143="","",IF('Calculations'!IA143="!AMBIG","!AMBIG",IF(COUNTIF('Calculations'!$HE$13:$HE$512,"="&amp;SUBSTITUTE(SUBSTITUTE(SUBSTITUTE('Calculations'!IA143,"~","~~"),"*","~*"),"?","~?"))&gt;1,"!AMBIG",IFERROR(INDEX('Calculations'!$HF$13:$HF$512,MATCH('Calculations'!IA143,'Calculations'!$HE$13:$HE$512,0)),""))))</x:f>
      </x:c>
      <x:c r="IC143" t="str">
        <x:f>IF('Calculations'!IB143="","",IF('Calculations'!IB143="!AMBIG","!AMBIG",IF(COUNTIF('Calculations'!$HE$13:$HE$512,"="&amp;SUBSTITUTE(SUBSTITUTE(SUBSTITUTE('Calculations'!IB143,"~","~~"),"*","~*"),"?","~?"))&gt;1,"!AMBIG",IFERROR(INDEX('Calculations'!$HF$13:$HF$512,MATCH('Calculations'!IB143,'Calculations'!$HE$13:$HE$512,0)),""))))</x:f>
      </x:c>
      <x:c r="ID143" t="str">
        <x:f>IF('Calculations'!IC143="","",IF('Calculations'!IC143="!AMBIG","!AMBIG",IF(COUNTIF('Calculations'!$HE$13:$HE$512,"="&amp;SUBSTITUTE(SUBSTITUTE(SUBSTITUTE('Calculations'!IC143,"~","~~"),"*","~*"),"?","~?"))&gt;1,"!AMBIG",IFERROR(INDEX('Calculations'!$HF$13:$HF$512,MATCH('Calculations'!IC143,'Calculations'!$HE$13:$HE$512,0)),""))))</x:f>
      </x:c>
      <x:c r="IE143" t="str">
        <x:f>IF('Calculations'!ID143="","",IF('Calculations'!ID143="!AMBIG","!AMBIG",IF(COUNTIF('Calculations'!$HE$13:$HE$512,"="&amp;SUBSTITUTE(SUBSTITUTE(SUBSTITUTE('Calculations'!ID143,"~","~~"),"*","~*"),"?","~?"))&gt;1,"!AMBIG",IFERROR(INDEX('Calculations'!$HF$13:$HF$512,MATCH('Calculations'!ID143,'Calculations'!$HE$13:$HE$512,0)),""))))</x:f>
      </x:c>
      <x:c r="IF143" t="str">
        <x:f>IF('Calculations'!IE143="","",IF('Calculations'!IE143="!AMBIG","!AMBIG",IF(COUNTIF('Calculations'!$HE$13:$HE$512,"="&amp;SUBSTITUTE(SUBSTITUTE(SUBSTITUTE('Calculations'!IE143,"~","~~"),"*","~*"),"?","~?"))&gt;1,"!AMBIG",IFERROR(INDEX('Calculations'!$HF$13:$HF$512,MATCH('Calculations'!IE143,'Calculations'!$HE$13:$HE$512,0)),""))))</x:f>
      </x:c>
      <x:c r="IG143" t="str">
        <x:f>IF('Calculations'!IF143="","",IF('Calculations'!IF143="!AMBIG","!AMBIG",IF(COUNTIF('Calculations'!$HE$13:$HE$512,"="&amp;SUBSTITUTE(SUBSTITUTE(SUBSTITUTE('Calculations'!IF143,"~","~~"),"*","~*"),"?","~?"))&gt;1,"!AMBIG",IFERROR(INDEX('Calculations'!$HF$13:$HF$512,MATCH('Calculations'!IF143,'Calculations'!$HE$13:$HE$512,0)),""))))</x:f>
      </x:c>
      <x:c r="IH143" t="str">
        <x:f>IF('Calculations'!IG143="","",IF('Calculations'!IG143="!AMBIG","!AMBIG",IF(COUNTIF('Calculations'!$HE$13:$HE$512,"="&amp;SUBSTITUTE(SUBSTITUTE(SUBSTITUTE('Calculations'!IG143,"~","~~"),"*","~*"),"?","~?"))&gt;1,"!AMBIG",IFERROR(INDEX('Calculations'!$HF$13:$HF$512,MATCH('Calculations'!IG143,'Calculations'!$HE$13:$HE$512,0)),""))))</x:f>
      </x:c>
      <x:c r="II143" t="str">
        <x:f>IF('Calculations'!IH143="","",IF('Calculations'!IH143="!AMBIG","!AMBIG",IF(COUNTIF('Calculations'!$HE$13:$HE$512,"="&amp;SUBSTITUTE(SUBSTITUTE(SUBSTITUTE('Calculations'!IH143,"~","~~"),"*","~*"),"?","~?"))&gt;1,"!AMBIG",IFERROR(INDEX('Calculations'!$HF$13:$HF$512,MATCH('Calculations'!IH143,'Calculations'!$HE$13:$HE$512,0)),""))))</x:f>
      </x:c>
      <x:c r="IJ143" t="str">
        <x:f>IF('Calculations'!EM143="","",IF('Calculations'!$EF$2="All",'Calculations'!HM143,IF('Calculations'!HL143=1,"",IFERROR(IF(MATCH('Calculations'!$EF$2,'Calculations'!HO143:II143,0)=1,'Calculations'!HE143,INDEX('Calculations'!HO143:II143,1,MATCH('Calculations'!$EF$2,'Calculations'!HO143:II143,0)-1)),""))))</x:f>
      </x:c>
      <x:c r="IK143" t="n">
        <x:f>IF(AND('Calculations'!EM143&lt;&gt;"",'Calculations'!$EF$2&lt;&gt;"All",'Calculations'!HF143='Calculations'!$EF$2,'Calculations'!HL143=0,'Calculations'!JD143&gt;0),MAX('Calculations'!$IK$12:IK142)+1,0)</x:f>
        <x:v>0</x:v>
      </x:c>
      <x:c r="JA143" t="n">
        <x:f>IF(OR(IFERROR(INDIRECT("'WCM Calibration Final'!$A$143")&lt;&gt;"",FALSE),IFERROR(INDIRECT("'WCM Calibration Final'!$B$143")&lt;&gt;"",FALSE),IFERROR(INDIRECT("'WCM Calibration Final'!$C$143")&lt;&gt;"",FALSE)),143,0)</x:f>
        <x:v>0</x:v>
      </x:c>
      <x:c r="JB143" t="n">
        <x:f>'Calculations'!JB142+IF('Calculations'!JA143&gt;0,1,0)</x:f>
        <x:v>0</x:v>
      </x:c>
      <x:c r="JC143" t="n">
        <x:f>IF(OR('Calculations'!HF143="",'Calculations'!HF143="!AMBIG"),0,IF('Dashboard'!$B$7="All",1,COUNTIFS('Calculations'!$HO$13:$HO$512,"="&amp;SUBSTITUTE(SUBSTITUTE(SUBSTITUTE('Calculations'!HF143,"~","~~"),"*","~*"),"?","~?"),'Calculations'!$HN$13:$HN$512,"="&amp;SUBSTITUTE(SUBSTITUTE(SUBSTITUTE('Dashboard'!$B$7,"~","~~"),"*","~*"),"?","~?"))+COUNTIFS('Calculations'!$HP$13:$HP$512,"="&amp;SUBSTITUTE(SUBSTITUTE(SUBSTITUTE('Calculations'!HF143,"~","~~"),"*","~*"),"?","~?"),'Calculations'!$HN$13:$HN$512,"="&amp;SUBSTITUTE(SUBSTITUTE(SUBSTITUTE('Dashboard'!$B$7,"~","~~"),"*","~*"),"?","~?"))+COUNTIFS('Calculations'!$HQ$13:$HQ$512,"="&amp;SUBSTITUTE(SUBSTITUTE(SUBSTITUTE('Calculations'!HF143,"~","~~"),"*","~*"),"?","~?"),'Calculations'!$HN$13:$HN$512,"="&amp;SUBSTITUTE(SUBSTITUTE(SUBSTITUTE('Dashboard'!$B$7,"~","~~"),"*","~*"),"?","~?"))+COUNTIFS('Calculations'!$HR$13:$HR$512,"="&amp;SUBSTITUTE(SUBSTITUTE(SUBSTITUTE('Calculations'!HF143,"~","~~"),"*","~*"),"?","~?"),'Calculations'!$HN$13:$HN$512,"="&amp;SUBSTITUTE(SUBSTITUTE(SUBSTITUTE('Dashboard'!$B$7,"~","~~"),"*","~*"),"?","~?"))+COUNTIFS('Calculations'!$HS$13:$HS$512,"="&amp;SUBSTITUTE(SUBSTITUTE(SUBSTITUTE('Calculations'!HF143,"~","~~"),"*","~*"),"?","~?"),'Calculations'!$HN$13:$HN$512,"="&amp;SUBSTITUTE(SUBSTITUTE(SUBSTITUTE('Dashboard'!$B$7,"~","~~"),"*","~*"),"?","~?"))+COUNTIFS('Calculations'!$HT$13:$HT$512,"="&amp;SUBSTITUTE(SUBSTITUTE(SUBSTITUTE('Calculations'!HF143,"~","~~"),"*","~*"),"?","~?"),'Calculations'!$HN$13:$HN$512,"="&amp;SUBSTITUTE(SUBSTITUTE(SUBSTITUTE('Dashboard'!$B$7,"~","~~"),"*","~*"),"?","~?"))+COUNTIFS('Calculations'!$HU$13:$HU$512,"="&amp;SUBSTITUTE(SUBSTITUTE(SUBSTITUTE('Calculations'!HF143,"~","~~"),"*","~*"),"?","~?"),'Calculations'!$HN$13:$HN$512,"="&amp;SUBSTITUTE(SUBSTITUTE(SUBSTITUTE('Dashboard'!$B$7,"~","~~"),"*","~*"),"?","~?"))+COUNTIFS('Calculations'!$HV$13:$HV$512,"="&amp;SUBSTITUTE(SUBSTITUTE(SUBSTITUTE('Calculations'!HF143,"~","~~"),"*","~*"),"?","~?"),'Calculations'!$HN$13:$HN$512,"="&amp;SUBSTITUTE(SUBSTITUTE(SUBSTITUTE('Dashboard'!$B$7,"~","~~"),"*","~*"),"?","~?"))+COUNTIFS('Calculations'!$HW$13:$HW$512,"="&amp;SUBSTITUTE(SUBSTITUTE(SUBSTITUTE('Calculations'!HF143,"~","~~"),"*","~*"),"?","~?"),'Calculations'!$HN$13:$HN$512,"="&amp;SUBSTITUTE(SUBSTITUTE(SUBSTITUTE('Dashboard'!$B$7,"~","~~"),"*","~*"),"?","~?"))+COUNTIFS('Calculations'!$HX$13:$HX$512,"="&amp;SUBSTITUTE(SUBSTITUTE(SUBSTITUTE('Calculations'!HF143,"~","~~"),"*","~*"),"?","~?"),'Calculations'!$HN$13:$HN$512,"="&amp;SUBSTITUTE(SUBSTITUTE(SUBSTITUTE('Dashboard'!$B$7,"~","~~"),"*","~*"),"?","~?"))+COUNTIFS('Calculations'!$HY$13:$HY$512,"="&amp;SUBSTITUTE(SUBSTITUTE(SUBSTITUTE('Calculations'!HF143,"~","~~"),"*","~*"),"?","~?"),'Calculations'!$HN$13:$HN$512,"="&amp;SUBSTITUTE(SUBSTITUTE(SUBSTITUTE('Dashboard'!$B$7,"~","~~"),"*","~*"),"?","~?"))+COUNTIFS('Calculations'!$HZ$13:$HZ$512,"="&amp;SUBSTITUTE(SUBSTITUTE(SUBSTITUTE('Calculations'!HF143,"~","~~"),"*","~*"),"?","~?"),'Calculations'!$HN$13:$HN$512,"="&amp;SUBSTITUTE(SUBSTITUTE(SUBSTITUTE('Dashboard'!$B$7,"~","~~"),"*","~*"),"?","~?"))+COUNTIFS('Calculations'!$IA$13:$IA$512,"="&amp;SUBSTITUTE(SUBSTITUTE(SUBSTITUTE('Calculations'!HF143,"~","~~"),"*","~*"),"?","~?"),'Calculations'!$HN$13:$HN$512,"="&amp;SUBSTITUTE(SUBSTITUTE(SUBSTITUTE('Dashboard'!$B$7,"~","~~"),"*","~*"),"?","~?"))+COUNTIFS('Calculations'!$IB$13:$IB$512,"="&amp;SUBSTITUTE(SUBSTITUTE(SUBSTITUTE('Calculations'!HF143,"~","~~"),"*","~*"),"?","~?"),'Calculations'!$HN$13:$HN$512,"="&amp;SUBSTITUTE(SUBSTITUTE(SUBSTITUTE('Dashboard'!$B$7,"~","~~"),"*","~*"),"?","~?"))+COUNTIFS('Calculations'!$IC$13:$IC$512,"="&amp;SUBSTITUTE(SUBSTITUTE(SUBSTITUTE('Calculations'!HF143,"~","~~"),"*","~*"),"?","~?"),'Calculations'!$HN$13:$HN$512,"="&amp;SUBSTITUTE(SUBSTITUTE(SUBSTITUTE('Dashboard'!$B$7,"~","~~"),"*","~*"),"?","~?"))+COUNTIFS('Calculations'!$ID$13:$ID$512,"="&amp;SUBSTITUTE(SUBSTITUTE(SUBSTITUTE('Calculations'!HF143,"~","~~"),"*","~*"),"?","~?"),'Calculations'!$HN$13:$HN$512,"="&amp;SUBSTITUTE(SUBSTITUTE(SUBSTITUTE('Dashboard'!$B$7,"~","~~"),"*","~*"),"?","~?"))+COUNTIFS('Calculations'!$IE$13:$IE$512,"="&amp;SUBSTITUTE(SUBSTITUTE(SUBSTITUTE('Calculations'!HF143,"~","~~"),"*","~*"),"?","~?"),'Calculations'!$HN$13:$HN$512,"="&amp;SUBSTITUTE(SUBSTITUTE(SUBSTITUTE('Dashboard'!$B$7,"~","~~"),"*","~*"),"?","~?"))+COUNTIFS('Calculations'!$IF$13:$IF$512,"="&amp;SUBSTITUTE(SUBSTITUTE(SUBSTITUTE('Calculations'!HF143,"~","~~"),"*","~*"),"?","~?"),'Calculations'!$HN$13:$HN$512,"="&amp;SUBSTITUTE(SUBSTITUTE(SUBSTITUTE('Dashboard'!$B$7,"~","~~"),"*","~*"),"?","~?"))+COUNTIFS('Calculations'!$IG$13:$IG$512,"="&amp;SUBSTITUTE(SUBSTITUTE(SUBSTITUTE('Calculations'!HF143,"~","~~"),"*","~*"),"?","~?"),'Calculations'!$HN$13:$HN$512,"="&amp;SUBSTITUTE(SUBSTITUTE(SUBSTITUTE('Dashboard'!$B$7,"~","~~"),"*","~*"),"?","~?"))+COUNTIFS('Calculations'!$IH$13:$IH$512,"="&amp;SUBSTITUTE(SUBSTITUTE(SUBSTITUTE('Calculations'!HF143,"~","~~"),"*","~*"),"?","~?"),'Calculations'!$HN$13:$HN$512,"="&amp;SUBSTITUTE(SUBSTITUTE(SUBSTITUTE('Dashboard'!$B$7,"~","~~"),"*","~*"),"?","~?"))))</x:f>
        <x:v>0</x:v>
      </x:c>
      <x:c r="JD143" t="n">
        <x:f>IF('Calculations'!EM143="",0,IF('Dashboard'!$B$7="All",1,IF('Calculations'!HN143='Dashboard'!$B$7,1,0)+IFERROR(INDEX('Calculations'!$JC$13:$JC$512,MATCH('Calculations'!HE143,'Calculations'!$HF$13:$HF$512,0)),0)))</x:f>
        <x:v>0</x:v>
      </x:c>
      <x:c r="JE143" t="n">
        <x:f>IF(AND('Calculations'!EM143&lt;&gt;"",'Calculations'!$JJ$2&lt;&gt;"All",'Calculations'!$JJ$2&lt;&gt;"",'Calculations'!HF143='Calculations'!$JJ$2,'Calculations'!HL143=0,'Calculations'!JD143&gt;0),MAX('Calculations'!$JE$12:JE142)+1,0)</x:f>
        <x:v>0</x:v>
      </x:c>
      <x:c r="JF143" t="str">
        <x:f>IF('Calculations'!EM143="","",IFERROR(IF(INDEX(INDIRECT("'WCM Calibration Final'!$G$1:$G$2000"),'Calculations'!$EM143)="","",TRIM(INDEX(INDIRECT("'WCM Calibration Final'!$G$1:$G$2000"),'Calculations'!$EM143)&amp;"")),""))</x:f>
      </x:c>
      <x:c r="JQ143" t="n">
        <x:f>IF(OR('Calculations'!BM143=0,NOT('Calculations'!$AG$2),'Calculations'!$AG$8&gt;0),0,IF(OR('Dashboard'!$B$7="All",'Calculations'!HN143='Dashboard'!$B$7),IF('Calculations'!$JJ$2="All",1,IF(AND('Calculations'!HF143='Calculations'!$JJ$2,'Calculations'!HL143=0),1,0)),0))</x:f>
        <x:v>0</x:v>
      </x:c>
    </x:row>
    <x:row r="14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t="n">
        <x:f>IF('Calculations'!$EM144="",0,IF(OR(IFERROR(INDEX(INDIRECT("'WCM Calibration Final'!$A$1:$A$2000"),'Calculations'!$EM144)&lt;&gt;"",FALSE),IFERROR(INDEX(INDIRECT("'WCM Calibration Final'!$B$1:$B$2000"),'Calculations'!$EM144)&lt;&gt;"",FALSE),IFERROR(INDEX(INDIRECT("'WCM Calibration Final'!$C$1:$C$2000"),'Calculations'!$EM144)&lt;&gt;"",FALSE)),1,0))</x:f>
        <x:v>0</x:v>
      </x:c>
      <x:c r="BN144" s="4" t="n">
        <x:f>IF(AND('Calculations'!BM144=1,'Calculations'!$AG$2,'Calculations'!$EN144=1),1,0)</x:f>
        <x:v>0</x:v>
      </x:c>
      <x:c r="BO144" s="4" t="str">
        <x:f>IF('Calculations'!BM144=0,"",IFERROR(IF(AND(VALUE(INDEX(INDIRECT("'WCM Calibration Final'!$K$1:$K$2000"),'Calculations'!$EM144))&gt;=1,VALUE(INDEX(INDIRECT("'WCM Calibration Final'!$K$1:$K$2000"),'Calculations'!$EM144))&lt;=4,MOD(VALUE(INDEX(INDIRECT("'WCM Calibration Final'!$K$1:$K$2000"),'Calculations'!$EM144)),1)=0),VALUE(INDEX(INDIRECT("'WCM Calibration Final'!$K$1:$K$2000"),'Calculations'!$EM144)),""),""))</x:f>
      </x:c>
      <x:c r="BP144" s="4" t="str">
        <x:f>IF('Calculations'!BM144=0,"",IFERROR(IF(AND(VALUE(INDEX(INDIRECT("'WCM Calibration Final'!$L$1:$L$2000"),'Calculations'!$EM144))&gt;=1,VALUE(INDEX(INDIRECT("'WCM Calibration Final'!$L$1:$L$2000"),'Calculations'!$EM144))&lt;=4,MOD(VALUE(INDEX(INDIRECT("'WCM Calibration Final'!$L$1:$L$2000"),'Calculations'!$EM144)),1)=0),VALUE(INDEX(INDIRECT("'WCM Calibration Final'!$L$1:$L$2000"),'Calculations'!$EM144)),""),""))</x:f>
      </x:c>
      <x:c r="BQ144" s="4"/>
      <x:c r="BR144" s="4"/>
      <x:c r="BS144" s="4"/>
      <x:c r="BT144" s="4" t="n">
        <x:f>IF(AND('Calculations'!BM144=1,ISNUMBER('Calculations'!BO144),ISNUMBER('Calculations'!BP144)),1,0)</x:f>
        <x:v>0</x:v>
      </x:c>
      <x:c r="BU144" s="4" t="str">
        <x:f>IF('Calculations'!BM144=0,"",'Calculations'!$EO144)</x:f>
      </x:c>
      <x:c r="BV144" s="4" t="str">
        <x:f>IF('Calculations'!BM144=0,"",IFERROR(IF(OR(INDEX(INDIRECT("'WCM Calibration Final'!$H$1:$H$2000"),'Calculations'!$EM144)="MANAGING DIRECTOR",INDEX(INDIRECT("'WCM Calibration Final'!$H$1:$H$2000"),'Calculations'!$EM144)="DIRECTOR",INDEX(INDIRECT("'WCM Calibration Final'!$H$1:$H$2000"),'Calculations'!$EM144)="SENIOR VICE PRESIDENT",INDEX(INDIRECT("'WCM Calibration Final'!$H$1:$H$2000"),'Calculations'!$EM144)="VICE PRESIDENT",INDEX(INDIRECT("'WCM Calibration Final'!$H$1:$H$2000"),'Calculations'!$EM144)="ASSISTANT VICE PRESIDENT",INDEX(INDIRECT("'WCM Calibration Final'!$H$1:$H$2000"),'Calculations'!$EM144)="OFFICER"),UPPER(INDEX(INDIRECT("'WCM Calibration Final'!$H$1:$H$2000"),'Calculations'!$EM144)),"Other"),"Other"))</x:f>
      </x:c>
      <x:c r="BW144" s="4"/>
      <x:c r="BX144" s="4"/>
      <x:c r="BY144" s="4" t="n">
        <x:f>IF(AND('Calculations'!BM144=1,'Calculations'!BU144&lt;&gt;"",COUNTIF('Calculations'!$BU$12:BU144,'Calculations'!BU144)=1),MAX('Calculations'!$BY$11:BY143)+1,0)</x:f>
        <x:v>0</x:v>
      </x:c>
      <x:c r="BZ144" s="4" t="str">
        <x:f>IF('Dashboard'!$E$67="What",'Calculations'!BO144,'Calculations'!BP144)</x:f>
      </x:c>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t="str">
        <x:f>IF(133&gt;MAX('Calculations'!$HI$13:$HI$512),"",INDEX('Calculations'!$HN$13:$HN$512,MATCH(133,'Calculations'!$HI$13:$HI$512,0)))</x:f>
      </x:c>
      <x:c r="DB144" s="4" t="str">
        <x:f>IF(133&gt;MAX('Calculations'!$HH$13:$HH$512),"",INDEX('Calculations'!$HJ$13:$HJ$512,MATCH(133,'Calculations'!$HH$13:$HH$512,0)))</x:f>
      </x:c>
      <x:c r="DC144" s="4" t="str">
        <x:f>IF(ROW()-11&gt;MAX('Calculations'!$BY$13:$BY$512),"",INDEX('Calculations'!$BU$13:$BU$512,MATCH(ROW()-11,'Calculations'!$BY$13:$BY$512,0)))</x:f>
      </x:c>
      <x:c r="DD144" s="4" t="str">
        <x:f>IF(133&gt;MAX('Calculations'!$IK$13:$IK$512),"",INDEX('Calculations'!$HK$13:$HK$512,MATCH(133,'Calculations'!$IK$13:$IK$512,0)))</x:f>
      </x:c>
      <x:c r="DE144" s="4" t="str">
        <x:f>'Calculations'!DC144</x:f>
      </x:c>
      <x:c r="DF144" s="4" t="str">
        <x:f>IF('Calculations'!DE144="","",COUNTIFS('Calculations'!$BN$13:$BN$512,1,'Calculations'!$BU$13:$BU$512,'Calculations'!DE144))</x:f>
      </x:c>
      <x:c r="DG144" s="4" t="str">
        <x:f>IF('Calculations'!DE144="","",COUNTIFS('Calculations'!$BN$13:$BN$512,1,'Calculations'!$BU$13:$BU$512,'Calculations'!DE144,'Calculations'!$BT$13:$BT$512,1))</x:f>
      </x:c>
      <x:c r="DH144" s="4" t="str">
        <x:f>IF('Calculations'!DE144="","",'Calculations'!DF144-'Calculations'!DG144)</x:f>
      </x:c>
      <x:c r="DI144" s="4" t="str">
        <x:f>IF(OR('Calculations'!DE144="",'Calculations'!DF144=0),"",'Calculations'!DG144/'Calculations'!DF144)</x:f>
      </x:c>
      <x:c r="DJ144" s="4" t="str">
        <x:f>IF('Calculations'!DE144="","",COUNTIFS('Calculations'!$BN$13:$BN$512,1,'Calculations'!$BU$13:$BU$512,'Calculations'!DE144,'Calculations'!$BT$13:$BT$512,1,'Calculations'!$EE$13:$EE$512,"High"))</x:f>
      </x:c>
      <x:c r="DK144" s="4" t="str">
        <x:f>IF('Calculations'!DE144="","",COUNTIFS('Calculations'!$BN$13:$BN$512,1,'Calculations'!$BU$13:$BU$512,'Calculations'!DE144,'Calculations'!$BT$13:$BT$512,1,'Calculations'!$EE$13:$EE$512,"Strong"))</x:f>
      </x:c>
      <x:c r="DL144" s="4" t="str">
        <x:f>IF('Calculations'!DE144="","",COUNTIFS('Calculations'!$BN$13:$BN$512,1,'Calculations'!$BU$13:$BU$512,'Calculations'!DE144,'Calculations'!$BT$13:$BT$512,1,'Calculations'!$EE$13:$EE$512,"Solid"))</x:f>
      </x:c>
      <x:c r="DM144" s="4" t="str">
        <x:f>IF('Calculations'!DE144="","",COUNTIFS('Calculations'!$BN$13:$BN$512,1,'Calculations'!$BU$13:$BU$512,'Calculations'!DE144,'Calculations'!$BT$13:$BT$512,1,'Calculations'!$EE$13:$EE$512,"Low"))</x:f>
      </x:c>
      <x:c r="DN144" s="4" t="str">
        <x:f>IF('Calculations'!DE144="","",COUNTIFS('Calculations'!$BN$13:$BN$512,1,'Calculations'!$BU$13:$BU$512,'Calculations'!DE144,'Calculations'!$EP$13:$EP$512,1))</x:f>
      </x:c>
      <x:c r="DO144" s="4" t="str">
        <x:f>IF(OR('Calculations'!DE144="",'Calculations'!DG144=0),"",('Calculations'!DJ144+'Calculations'!DK144)/'Calculations'!DG144)</x:f>
      </x:c>
      <x:c r="DP144" s="4" t="n">
        <x:f>IF(AND('Calculations'!DE144&lt;&gt;"",'Calculations'!DF144&gt;0),COUNTIF('Calculations'!$DF$12:DF144,"&gt;0"),0)</x:f>
        <x:v>0</x:v>
      </x:c>
      <x:c r="DQ144" s="4" t="str">
        <x:f>IF(133&gt;MAX('Calculations'!$HH$13:$HH$512),"",INDEX('Calculations'!$HF$13:$HF$512,MATCH(133,'Calculations'!$HH$13:$HH$512,0)))</x:f>
      </x:c>
      <x:c r="DR144" s="4" t="str">
        <x:f>IF(133&gt;MAX('Calculations'!$IK$13:$IK$512),"",INDEX('Calculations'!$HE$13:$HE$512,MATCH(133,'Calculations'!$IK$13:$IK$512,0)))</x:f>
      </x:c>
      <x:c r="DS144" s="4"/>
      <x:c r="DT144" s="4"/>
      <x:c r="DU144" s="4"/>
      <x:c r="DV144" s="4"/>
      <x:c r="DW144" s="4"/>
      <x:c r="DX144" s="4"/>
      <x:c r="DY144" s="4"/>
      <x:c r="DZ144" s="4"/>
      <x:c r="EA144" s="4"/>
      <x:c r="EB144" s="4"/>
      <x:c r="EC144" s="4"/>
      <x:c r="ED144" s="4"/>
      <x:c r="EE144" s="4" t="str">
        <x:f>IF('Calculations'!BT144=0,"Not Rated",IF(OR('Calculations'!BO144&gt;=4,'Calculations'!BP144&gt;=4),"Low",IF('Calculations'!BO144+'Calculations'!BP144&lt;=3,"High",IF('Calculations'!BO144+'Calculations'!BP144&lt;=4,"Strong","Solid"))))</x:f>
        <x:v>Not Rated</x:v>
      </x:c>
      <x:c r="EF144" s="4"/>
      <x:c r="EG144" s="4"/>
      <x:c r="EH144" s="4"/>
      <x:c r="EI144" s="4"/>
      <x:c r="EJ144" s="4"/>
      <x:c r="EK144" s="4"/>
      <x:c r="EL144" s="4"/>
      <x:c r="EM144" s="4" t="str">
        <x:f>IF(132&gt;'Calculations'!$JB$2000,"",INDEX('Calculations'!$JA$12:$JA$2000,MATCH(132,'Calculations'!$JB$12:$JB$2000,0)))</x:f>
      </x:c>
      <x:c r="EN144" s="4" t="n">
        <x:f>IF(OR('Calculations'!EM144="",'Calculations'!$AG$8&gt;0,AND('Calculations'!$EF$2&lt;&gt;"All",'Calculations'!HE144='Calculations'!$EF$2),AND('Calculations'!$EF$3&lt;&gt;"All",'Calculations'!HE144='Calculations'!$EF$3)),0,IF(OR('Dashboard'!$B$7="All",'Calculations'!HN144='Dashboard'!$B$7),IF('Calculations'!$EF$2="All",1,IF('Calculations'!HL144&gt;0,0,IF(COUNTIF('Calculations'!HO144:II144,"="&amp;SUBSTITUTE(SUBSTITUTE(SUBSTITUTE('Calculations'!$EF$2,"~","~~"),"*","~*"),"?","~?"))=0,0,IF('Calculations'!$EF$3="All",1,IF(COUNTIF('Calculations'!HO144:II144,"="&amp;SUBSTITUTE(SUBSTITUTE(SUBSTITUTE('Calculations'!$EF$3,"~","~~"),"*","~*"),"?","~?"))&gt;0,1,0))))),0))</x:f>
        <x:v>0</x:v>
      </x:c>
      <x:c r="EO144" s="4" t="str">
        <x:f>IF('Calculations'!IJ144="","",IF('Calculations'!IJ144="!UNRESOLVED","Unresolved hierarchy",IFERROR(INDEX('Calculations'!$HK$13:$HK$512,MATCH('Calculations'!IJ144,'Calculations'!$HE$13:$HE$512,0)),IFERROR(INDEX('Calculations'!$HJ$13:$HJ$512,MATCH('Calculations'!IJ144,'Calculations'!$HF$13:$HF$512,0)),'Calculations'!IJ144))))</x:f>
      </x:c>
      <x:c r="EP144" s="4" t="n">
        <x:f>IF(AND('Calculations'!EM144&lt;&gt;"",'Calculations'!HF144='Calculations'!IJ144),1,0)</x:f>
        <x:v>0</x:v>
      </x:c>
      <x:c r="EQ144" s="4"/>
      <x:c r="ER144" s="4"/>
      <x:c r="ES144" s="4"/>
      <x:c r="ET144" s="4"/>
      <x:c r="EU144" s="4"/>
      <x:c r="EV144" s="4"/>
      <x:c r="EW144" s="4"/>
      <x:c r="EX144" s="4"/>
      <x:c r="EY144" s="4"/>
      <x:c r="EZ144" s="4"/>
      <x:c r="FA144" s="4"/>
      <x:c r="FB144" s="4"/>
      <x:c r="FC144" s="4"/>
      <x:c r="FD144" s="4"/>
      <x:c r="FE144" s="4"/>
      <x:c r="FF144" s="4"/>
      <x:c r="FG144" s="4"/>
      <x:c r="FH144" s="4"/>
      <x:c r="FI144" s="4"/>
      <x:c r="FJ144" s="4"/>
      <x:c r="FK144" s="4"/>
      <x:c r="FL144" s="4"/>
      <x:c r="FM144" s="4"/>
      <x:c r="FN144" s="4"/>
      <x:c r="FO144" s="4"/>
      <x:c r="GA144" s="71"/>
      <x:c r="GB144" s="71"/>
      <x:c r="GC144" s="71"/>
      <x:c r="GD144" s="71"/>
      <x:c r="GE144" s="71"/>
      <x:c r="GF144" s="71"/>
      <x:c r="GG144" s="71"/>
      <x:c r="GH144" s="71"/>
      <x:c r="GI144" s="71"/>
      <x:c r="GJ144" s="71"/>
      <x:c r="GK144" s="71"/>
      <x:c r="GL144" s="71"/>
      <x:c r="GM144" s="71"/>
      <x:c r="GN144" s="71"/>
      <x:c r="GO144" s="71"/>
      <x:c r="GP144" s="71"/>
      <x:c r="GQ144" s="71"/>
      <x:c r="GR144" s="71"/>
      <x:c r="GS144" s="71"/>
      <x:c r="GT144" s="71"/>
      <x:c r="GU144" s="71"/>
      <x:c r="GV144" s="71"/>
      <x:c r="GW144" s="71"/>
      <x:c r="GX144" s="71" t="str">
        <x:f>IF(COUNTA('Dashboard'!N144,'Dashboard'!P144,'Dashboard'!R144,'Dashboard'!T144)=0,"No thresholds",IF(OR(COUNT('Dashboard'!N144,'Dashboard'!P144,'Dashboard'!R144,'Dashboard'!T144)&lt;&gt;COUNTA('Dashboard'!N144,'Dashboard'!P144,'Dashboard'!R144,'Dashboard'!T144),MIN('Dashboard'!N144,'Dashboard'!P144,'Dashboard'!R144,'Dashboard'!T144)&lt;0,MAX('Dashboard'!N144,'Dashboard'!P144,'Dashboard'!R144,'Dashboard'!T144)&gt;1),"Check thresholds",TEXT(SUM('Dashboard'!N144,'Dashboard'!P144,'Dashboard'!R144,'Dashboard'!T144),"0%")&amp;" - separate caps"))</x:f>
        <x:v>112% - separate caps</x:v>
      </x:c>
      <x:c r="GY144" s="71"/>
      <x:c r="GZ144" s="71"/>
      <x:c r="HA144" s="71"/>
      <x:c r="HB144" s="71"/>
      <x:c r="HC144" s="71"/>
      <x:c r="HD144" s="71"/>
      <x:c r="HE144" t="str">
        <x:f>IF('Calculations'!EM144="","",IF(IFERROR(IF(INDEX(INDIRECT("'WCM Calibration Final'!$A$1:$A$2000"),'Calculations'!$EM144)="","",TRIM(INDEX(INDIRECT("'WCM Calibration Final'!$A$1:$A$2000"),'Calculations'!$EM144)&amp;"")),"")&lt;&gt;"","G:"&amp;IFERROR(TEXT(1*INDEX(INDIRECT("'WCM Calibration Final'!$A$1:$A$2000"),'Calculations'!$EM144),"0"),UPPER(IFERROR(IF(INDEX(INDIRECT("'WCM Calibration Final'!$A$1:$A$2000"),'Calculations'!$EM144)="","",TRIM(INDEX(INDIRECT("'WCM Calibration Final'!$A$1:$A$2000"),'Calculations'!$EM144)&amp;"")),""))),IF(IFERROR(IF(INDEX(INDIRECT("'WCM Calibration Final'!$C$1:$C$2000"),'Calculations'!$EM144)="","",TRIM(INDEX(INDIRECT("'WCM Calibration Final'!$C$1:$C$2000"),'Calculations'!$EM144)&amp;"")),"")&lt;&gt;"","S:"&amp;UPPER(IFERROR(IF(INDEX(INDIRECT("'WCM Calibration Final'!$C$1:$C$2000"),'Calculations'!$EM144)="","",TRIM(INDEX(INDIRECT("'WCM Calibration Final'!$C$1:$C$2000"),'Calculations'!$EM144)&amp;"")),"")),"R:"&amp;'Calculations'!EM144)))</x:f>
      </x:c>
      <x:c r="HF144" t="str">
        <x:f>IF('Calculations'!EM144="","",IF(IFERROR(IF(INDEX(INDIRECT("'WCM Calibration Final'!$D$1:$D$2000"),'Calculations'!$EM144)="","",TRIM(INDEX(INDIRECT("'WCM Calibration Final'!$D$1:$D$2000"),'Calculations'!$EM144)&amp;"")),"")&lt;&gt;"","G:"&amp;IFERROR(TEXT(1*INDEX(INDIRECT("'WCM Calibration Final'!$D$1:$D$2000"),'Calculations'!$EM144),"0"),UPPER(IFERROR(IF(INDEX(INDIRECT("'WCM Calibration Final'!$D$1:$D$2000"),'Calculations'!$EM144)="","",TRIM(INDEX(INDIRECT("'WCM Calibration Final'!$D$1:$D$2000"),'Calculations'!$EM144)&amp;"")),""))),IF(IFERROR(IF(INDEX(INDIRECT("'WCM Calibration Final'!$E$1:$E$2000"),'Calculations'!$EM144)="","",TRIM(INDEX(INDIRECT("'WCM Calibration Final'!$E$1:$E$2000"),'Calculations'!$EM144)&amp;"")),"")="","",IF(COUNTIF('Calculations'!$HG$13:$HG$512,"="&amp;SUBSTITUTE(SUBSTITUTE(SUBSTITUTE(IFERROR(IF(INDEX(INDIRECT("'WCM Calibration Final'!$E$1:$E$2000"),'Calculations'!$EM144)="","",TRIM(INDEX(INDIRECT("'WCM Calibration Final'!$E$1:$E$2000"),'Calculations'!$EM144)&amp;"")),""),"~","~~"),"*","~*"),"?","~?"))=1,INDEX('Calculations'!$HE$13:$HE$512,MATCH(IFERROR(IF(INDEX(INDIRECT("'WCM Calibration Final'!$E$1:$E$2000"),'Calculations'!$EM144)="","",TRIM(INDEX(INDIRECT("'WCM Calibration Final'!$E$1:$E$2000"),'Calculations'!$EM144)&amp;"")),""),'Calculations'!$HG$13:$HG$512,0)),IF(COUNTIF('Calculations'!$HG$13:$HG$512,"="&amp;SUBSTITUTE(SUBSTITUTE(SUBSTITUTE(IFERROR(IF(INDEX(INDIRECT("'WCM Calibration Final'!$E$1:$E$2000"),'Calculations'!$EM144)="","",TRIM(INDEX(INDIRECT("'WCM Calibration Final'!$E$1:$E$2000"),'Calculations'!$EM144)&amp;"")),""),"~","~~"),"*","~*"),"?","~?"))&gt;1,"!AMBIG","X:"&amp;IFERROR(IF(INDEX(INDIRECT("'WCM Calibration Final'!$E$1:$E$2000"),'Calculations'!$EM144)="","",TRIM(INDEX(INDIRECT("'WCM Calibration Final'!$E$1:$E$2000"),'Calculations'!$EM144)&amp;"")),""))))))</x:f>
      </x:c>
      <x:c r="HG144" t="str">
        <x:f>IF('Calculations'!EM144="","",IFERROR(IF(INDEX(INDIRECT("'WCM Calibration Final'!$B$1:$B$2000"),'Calculations'!$EM144)="","",TRIM(INDEX(INDIRECT("'WCM Calibration Final'!$B$1:$B$2000"),'Calculations'!$EM144)&amp;"")),""))</x:f>
      </x:c>
      <x:c r="HH144" t="n">
        <x:f>IF(AND('Calculations'!JC144&gt;0,COUNTIF('Calculations'!$HF$12:HF144,"="&amp;SUBSTITUTE(SUBSTITUTE(SUBSTITUTE('Calculations'!HF144,"~","~~"),"*","~*"),"?","~?"))=1),MAX('Calculations'!$HH$12:HH143)+1,0)</x:f>
        <x:v>0</x:v>
      </x:c>
      <x:c r="HI144" t="n">
        <x:f>IF(AND('Calculations'!HN144&lt;&gt;"",COUNTIF('Calculations'!$HN$12:HN144,"="&amp;SUBSTITUTE(SUBSTITUTE(SUBSTITUTE('Calculations'!HN144,"~","~~"),"*","~*"),"?","~?"))=1),MAX('Calculations'!$HI$12:HI143)+1,0)</x:f>
        <x:v>0</x:v>
      </x:c>
      <x:c r="HJ144" t="str">
        <x:f>IF('Calculations'!HF144="","",IF(COUNTIF('Calculations'!$HE$13:$HE$512,"="&amp;SUBSTITUTE(SUBSTITUTE(SUBSTITUTE('Calculations'!HF144,"~","~~"),"*","~*"),"?","~?"))=1,INDEX('Calculations'!$HK$13:$HK$512,MATCH('Calculations'!HF144,'Calculations'!$HE$13:$HE$512,0)),IFERROR(IF(INDEX(INDIRECT("'WCM Calibration Final'!$E$1:$E$2000"),'Calculations'!$EM144)="","",TRIM(INDEX(INDIRECT("'WCM Calibration Final'!$E$1:$E$2000"),'Calculations'!$EM144)&amp;"")),"")&amp;" ["&amp;'Calculations'!HF144&amp;"]"))</x:f>
      </x:c>
      <x:c r="HK144" t="str">
        <x:f>IF('Calculations'!EM144="","",'Calculations'!HG144&amp;" ["&amp;'Calculations'!HE144&amp;"]")</x:f>
      </x:c>
      <x:c r="HL144" t="n">
        <x:f>IF('Calculations'!EM144="",0,IF(OR('Calculations'!II144&lt;&gt;"",COUNTIF('Calculations'!$HE$13:$HE$512,"="&amp;SUBSTITUTE(SUBSTITUTE(SUBSTITUTE('Calculations'!HE144,"~","~~"),"*","~*"),"?","~?"))&gt;1),1,0))</x:f>
        <x:v>0</x:v>
      </x:c>
      <x:c r="HM144" t="str">
        <x:f>IF('Calculations'!EM144="","",IF('Calculations'!HL144=1,"!UNRESOLVED",IF('Calculations'!IH144&lt;&gt;"",'Calculations'!IH144,IF('Calculations'!IG144&lt;&gt;"",'Calculations'!IG144,IF('Calculations'!IF144&lt;&gt;"",'Calculations'!IF144,IF('Calculations'!IE144&lt;&gt;"",'Calculations'!IE144,IF('Calculations'!ID144&lt;&gt;"",'Calculations'!ID144,IF('Calculations'!IC144&lt;&gt;"",'Calculations'!IC144,IF('Calculations'!IB144&lt;&gt;"",'Calculations'!IB144,IF('Calculations'!IA144&lt;&gt;"",'Calculations'!IA144,IF('Calculations'!HZ144&lt;&gt;"",'Calculations'!HZ144,IF('Calculations'!HY144&lt;&gt;"",'Calculations'!HY144,IF('Calculations'!HX144&lt;&gt;"",'Calculations'!HX144,IF('Calculations'!HW144&lt;&gt;"",'Calculations'!HW144,IF('Calculations'!HV144&lt;&gt;"",'Calculations'!HV144,IF('Calculations'!HU144&lt;&gt;"",'Calculations'!HU144,IF('Calculations'!HT144&lt;&gt;"",'Calculations'!HT144,IF('Calculations'!HS144&lt;&gt;"",'Calculations'!HS144,IF('Calculations'!HR144&lt;&gt;"",'Calculations'!HR144,IF('Calculations'!HQ144&lt;&gt;"",'Calculations'!HQ144,IF('Calculations'!HP144&lt;&gt;"",'Calculations'!HP144,IF('Calculations'!HO144&lt;&gt;"",'Calculations'!HO144,'Calculations'!HE144))))))))))))))))))))))</x:f>
      </x:c>
      <x:c r="HN144" t="str">
        <x:f>IF('Calculations'!EM144="","",IF(IFERROR(IF(INDEX(INDIRECT("'WCM Calibration Final'!$F$1:$F$2000"),'Calculations'!$EM144)="","",TRIM(INDEX(INDIRECT("'WCM Calibration Final'!$F$1:$F$2000"),'Calculations'!$EM144)&amp;"")),"")="","(Blank)",IFERROR(IF(INDEX(INDIRECT("'WCM Calibration Final'!$F$1:$F$2000"),'Calculations'!$EM144)="","",TRIM(INDEX(INDIRECT("'WCM Calibration Final'!$F$1:$F$2000"),'Calculations'!$EM144)&amp;"")),"")))</x:f>
      </x:c>
      <x:c r="HO144" t="str">
        <x:f>'Calculations'!HF144</x:f>
      </x:c>
      <x:c r="HP144" t="str">
        <x:f>IF('Calculations'!HO144="","",IF('Calculations'!HO144="!AMBIG","!AMBIG",IF(COUNTIF('Calculations'!$HE$13:$HE$512,"="&amp;SUBSTITUTE(SUBSTITUTE(SUBSTITUTE('Calculations'!HO144,"~","~~"),"*","~*"),"?","~?"))&gt;1,"!AMBIG",IFERROR(INDEX('Calculations'!$HF$13:$HF$512,MATCH('Calculations'!HO144,'Calculations'!$HE$13:$HE$512,0)),""))))</x:f>
      </x:c>
      <x:c r="HQ144" t="str">
        <x:f>IF('Calculations'!HP144="","",IF('Calculations'!HP144="!AMBIG","!AMBIG",IF(COUNTIF('Calculations'!$HE$13:$HE$512,"="&amp;SUBSTITUTE(SUBSTITUTE(SUBSTITUTE('Calculations'!HP144,"~","~~"),"*","~*"),"?","~?"))&gt;1,"!AMBIG",IFERROR(INDEX('Calculations'!$HF$13:$HF$512,MATCH('Calculations'!HP144,'Calculations'!$HE$13:$HE$512,0)),""))))</x:f>
      </x:c>
      <x:c r="HR144" t="str">
        <x:f>IF('Calculations'!HQ144="","",IF('Calculations'!HQ144="!AMBIG","!AMBIG",IF(COUNTIF('Calculations'!$HE$13:$HE$512,"="&amp;SUBSTITUTE(SUBSTITUTE(SUBSTITUTE('Calculations'!HQ144,"~","~~"),"*","~*"),"?","~?"))&gt;1,"!AMBIG",IFERROR(INDEX('Calculations'!$HF$13:$HF$512,MATCH('Calculations'!HQ144,'Calculations'!$HE$13:$HE$512,0)),""))))</x:f>
      </x:c>
      <x:c r="HS144" t="str">
        <x:f>IF('Calculations'!HR144="","",IF('Calculations'!HR144="!AMBIG","!AMBIG",IF(COUNTIF('Calculations'!$HE$13:$HE$512,"="&amp;SUBSTITUTE(SUBSTITUTE(SUBSTITUTE('Calculations'!HR144,"~","~~"),"*","~*"),"?","~?"))&gt;1,"!AMBIG",IFERROR(INDEX('Calculations'!$HF$13:$HF$512,MATCH('Calculations'!HR144,'Calculations'!$HE$13:$HE$512,0)),""))))</x:f>
      </x:c>
      <x:c r="HT144" t="str">
        <x:f>IF('Calculations'!HS144="","",IF('Calculations'!HS144="!AMBIG","!AMBIG",IF(COUNTIF('Calculations'!$HE$13:$HE$512,"="&amp;SUBSTITUTE(SUBSTITUTE(SUBSTITUTE('Calculations'!HS144,"~","~~"),"*","~*"),"?","~?"))&gt;1,"!AMBIG",IFERROR(INDEX('Calculations'!$HF$13:$HF$512,MATCH('Calculations'!HS144,'Calculations'!$HE$13:$HE$512,0)),""))))</x:f>
      </x:c>
      <x:c r="HU144" t="str">
        <x:f>IF('Calculations'!HT144="","",IF('Calculations'!HT144="!AMBIG","!AMBIG",IF(COUNTIF('Calculations'!$HE$13:$HE$512,"="&amp;SUBSTITUTE(SUBSTITUTE(SUBSTITUTE('Calculations'!HT144,"~","~~"),"*","~*"),"?","~?"))&gt;1,"!AMBIG",IFERROR(INDEX('Calculations'!$HF$13:$HF$512,MATCH('Calculations'!HT144,'Calculations'!$HE$13:$HE$512,0)),""))))</x:f>
      </x:c>
      <x:c r="HV144" t="str">
        <x:f>IF('Calculations'!HU144="","",IF('Calculations'!HU144="!AMBIG","!AMBIG",IF(COUNTIF('Calculations'!$HE$13:$HE$512,"="&amp;SUBSTITUTE(SUBSTITUTE(SUBSTITUTE('Calculations'!HU144,"~","~~"),"*","~*"),"?","~?"))&gt;1,"!AMBIG",IFERROR(INDEX('Calculations'!$HF$13:$HF$512,MATCH('Calculations'!HU144,'Calculations'!$HE$13:$HE$512,0)),""))))</x:f>
      </x:c>
      <x:c r="HW144" t="str">
        <x:f>IF('Calculations'!HV144="","",IF('Calculations'!HV144="!AMBIG","!AMBIG",IF(COUNTIF('Calculations'!$HE$13:$HE$512,"="&amp;SUBSTITUTE(SUBSTITUTE(SUBSTITUTE('Calculations'!HV144,"~","~~"),"*","~*"),"?","~?"))&gt;1,"!AMBIG",IFERROR(INDEX('Calculations'!$HF$13:$HF$512,MATCH('Calculations'!HV144,'Calculations'!$HE$13:$HE$512,0)),""))))</x:f>
      </x:c>
      <x:c r="HX144" t="str">
        <x:f>IF('Calculations'!HW144="","",IF('Calculations'!HW144="!AMBIG","!AMBIG",IF(COUNTIF('Calculations'!$HE$13:$HE$512,"="&amp;SUBSTITUTE(SUBSTITUTE(SUBSTITUTE('Calculations'!HW144,"~","~~"),"*","~*"),"?","~?"))&gt;1,"!AMBIG",IFERROR(INDEX('Calculations'!$HF$13:$HF$512,MATCH('Calculations'!HW144,'Calculations'!$HE$13:$HE$512,0)),""))))</x:f>
      </x:c>
      <x:c r="HY144" t="str">
        <x:f>IF('Calculations'!HX144="","",IF('Calculations'!HX144="!AMBIG","!AMBIG",IF(COUNTIF('Calculations'!$HE$13:$HE$512,"="&amp;SUBSTITUTE(SUBSTITUTE(SUBSTITUTE('Calculations'!HX144,"~","~~"),"*","~*"),"?","~?"))&gt;1,"!AMBIG",IFERROR(INDEX('Calculations'!$HF$13:$HF$512,MATCH('Calculations'!HX144,'Calculations'!$HE$13:$HE$512,0)),""))))</x:f>
      </x:c>
      <x:c r="HZ144" t="str">
        <x:f>IF('Calculations'!HY144="","",IF('Calculations'!HY144="!AMBIG","!AMBIG",IF(COUNTIF('Calculations'!$HE$13:$HE$512,"="&amp;SUBSTITUTE(SUBSTITUTE(SUBSTITUTE('Calculations'!HY144,"~","~~"),"*","~*"),"?","~?"))&gt;1,"!AMBIG",IFERROR(INDEX('Calculations'!$HF$13:$HF$512,MATCH('Calculations'!HY144,'Calculations'!$HE$13:$HE$512,0)),""))))</x:f>
      </x:c>
      <x:c r="IA144" t="str">
        <x:f>IF('Calculations'!HZ144="","",IF('Calculations'!HZ144="!AMBIG","!AMBIG",IF(COUNTIF('Calculations'!$HE$13:$HE$512,"="&amp;SUBSTITUTE(SUBSTITUTE(SUBSTITUTE('Calculations'!HZ144,"~","~~"),"*","~*"),"?","~?"))&gt;1,"!AMBIG",IFERROR(INDEX('Calculations'!$HF$13:$HF$512,MATCH('Calculations'!HZ144,'Calculations'!$HE$13:$HE$512,0)),""))))</x:f>
      </x:c>
      <x:c r="IB144" t="str">
        <x:f>IF('Calculations'!IA144="","",IF('Calculations'!IA144="!AMBIG","!AMBIG",IF(COUNTIF('Calculations'!$HE$13:$HE$512,"="&amp;SUBSTITUTE(SUBSTITUTE(SUBSTITUTE('Calculations'!IA144,"~","~~"),"*","~*"),"?","~?"))&gt;1,"!AMBIG",IFERROR(INDEX('Calculations'!$HF$13:$HF$512,MATCH('Calculations'!IA144,'Calculations'!$HE$13:$HE$512,0)),""))))</x:f>
      </x:c>
      <x:c r="IC144" t="str">
        <x:f>IF('Calculations'!IB144="","",IF('Calculations'!IB144="!AMBIG","!AMBIG",IF(COUNTIF('Calculations'!$HE$13:$HE$512,"="&amp;SUBSTITUTE(SUBSTITUTE(SUBSTITUTE('Calculations'!IB144,"~","~~"),"*","~*"),"?","~?"))&gt;1,"!AMBIG",IFERROR(INDEX('Calculations'!$HF$13:$HF$512,MATCH('Calculations'!IB144,'Calculations'!$HE$13:$HE$512,0)),""))))</x:f>
      </x:c>
      <x:c r="ID144" t="str">
        <x:f>IF('Calculations'!IC144="","",IF('Calculations'!IC144="!AMBIG","!AMBIG",IF(COUNTIF('Calculations'!$HE$13:$HE$512,"="&amp;SUBSTITUTE(SUBSTITUTE(SUBSTITUTE('Calculations'!IC144,"~","~~"),"*","~*"),"?","~?"))&gt;1,"!AMBIG",IFERROR(INDEX('Calculations'!$HF$13:$HF$512,MATCH('Calculations'!IC144,'Calculations'!$HE$13:$HE$512,0)),""))))</x:f>
      </x:c>
      <x:c r="IE144" t="str">
        <x:f>IF('Calculations'!ID144="","",IF('Calculations'!ID144="!AMBIG","!AMBIG",IF(COUNTIF('Calculations'!$HE$13:$HE$512,"="&amp;SUBSTITUTE(SUBSTITUTE(SUBSTITUTE('Calculations'!ID144,"~","~~"),"*","~*"),"?","~?"))&gt;1,"!AMBIG",IFERROR(INDEX('Calculations'!$HF$13:$HF$512,MATCH('Calculations'!ID144,'Calculations'!$HE$13:$HE$512,0)),""))))</x:f>
      </x:c>
      <x:c r="IF144" t="str">
        <x:f>IF('Calculations'!IE144="","",IF('Calculations'!IE144="!AMBIG","!AMBIG",IF(COUNTIF('Calculations'!$HE$13:$HE$512,"="&amp;SUBSTITUTE(SUBSTITUTE(SUBSTITUTE('Calculations'!IE144,"~","~~"),"*","~*"),"?","~?"))&gt;1,"!AMBIG",IFERROR(INDEX('Calculations'!$HF$13:$HF$512,MATCH('Calculations'!IE144,'Calculations'!$HE$13:$HE$512,0)),""))))</x:f>
      </x:c>
      <x:c r="IG144" t="str">
        <x:f>IF('Calculations'!IF144="","",IF('Calculations'!IF144="!AMBIG","!AMBIG",IF(COUNTIF('Calculations'!$HE$13:$HE$512,"="&amp;SUBSTITUTE(SUBSTITUTE(SUBSTITUTE('Calculations'!IF144,"~","~~"),"*","~*"),"?","~?"))&gt;1,"!AMBIG",IFERROR(INDEX('Calculations'!$HF$13:$HF$512,MATCH('Calculations'!IF144,'Calculations'!$HE$13:$HE$512,0)),""))))</x:f>
      </x:c>
      <x:c r="IH144" t="str">
        <x:f>IF('Calculations'!IG144="","",IF('Calculations'!IG144="!AMBIG","!AMBIG",IF(COUNTIF('Calculations'!$HE$13:$HE$512,"="&amp;SUBSTITUTE(SUBSTITUTE(SUBSTITUTE('Calculations'!IG144,"~","~~"),"*","~*"),"?","~?"))&gt;1,"!AMBIG",IFERROR(INDEX('Calculations'!$HF$13:$HF$512,MATCH('Calculations'!IG144,'Calculations'!$HE$13:$HE$512,0)),""))))</x:f>
      </x:c>
      <x:c r="II144" t="str">
        <x:f>IF('Calculations'!IH144="","",IF('Calculations'!IH144="!AMBIG","!AMBIG",IF(COUNTIF('Calculations'!$HE$13:$HE$512,"="&amp;SUBSTITUTE(SUBSTITUTE(SUBSTITUTE('Calculations'!IH144,"~","~~"),"*","~*"),"?","~?"))&gt;1,"!AMBIG",IFERROR(INDEX('Calculations'!$HF$13:$HF$512,MATCH('Calculations'!IH144,'Calculations'!$HE$13:$HE$512,0)),""))))</x:f>
      </x:c>
      <x:c r="IJ144" t="str">
        <x:f>IF('Calculations'!EM144="","",IF('Calculations'!$EF$2="All",'Calculations'!HM144,IF('Calculations'!HL144=1,"",IFERROR(IF(MATCH('Calculations'!$EF$2,'Calculations'!HO144:II144,0)=1,'Calculations'!HE144,INDEX('Calculations'!HO144:II144,1,MATCH('Calculations'!$EF$2,'Calculations'!HO144:II144,0)-1)),""))))</x:f>
      </x:c>
      <x:c r="IK144" t="n">
        <x:f>IF(AND('Calculations'!EM144&lt;&gt;"",'Calculations'!$EF$2&lt;&gt;"All",'Calculations'!HF144='Calculations'!$EF$2,'Calculations'!HL144=0,'Calculations'!JD144&gt;0),MAX('Calculations'!$IK$12:IK143)+1,0)</x:f>
        <x:v>0</x:v>
      </x:c>
      <x:c r="JA144" t="n">
        <x:f>IF(OR(IFERROR(INDIRECT("'WCM Calibration Final'!$A$144")&lt;&gt;"",FALSE),IFERROR(INDIRECT("'WCM Calibration Final'!$B$144")&lt;&gt;"",FALSE),IFERROR(INDIRECT("'WCM Calibration Final'!$C$144")&lt;&gt;"",FALSE)),144,0)</x:f>
        <x:v>0</x:v>
      </x:c>
      <x:c r="JB144" t="n">
        <x:f>'Calculations'!JB143+IF('Calculations'!JA144&gt;0,1,0)</x:f>
        <x:v>0</x:v>
      </x:c>
      <x:c r="JC144" t="n">
        <x:f>IF(OR('Calculations'!HF144="",'Calculations'!HF144="!AMBIG"),0,IF('Dashboard'!$B$7="All",1,COUNTIFS('Calculations'!$HO$13:$HO$512,"="&amp;SUBSTITUTE(SUBSTITUTE(SUBSTITUTE('Calculations'!HF144,"~","~~"),"*","~*"),"?","~?"),'Calculations'!$HN$13:$HN$512,"="&amp;SUBSTITUTE(SUBSTITUTE(SUBSTITUTE('Dashboard'!$B$7,"~","~~"),"*","~*"),"?","~?"))+COUNTIFS('Calculations'!$HP$13:$HP$512,"="&amp;SUBSTITUTE(SUBSTITUTE(SUBSTITUTE('Calculations'!HF144,"~","~~"),"*","~*"),"?","~?"),'Calculations'!$HN$13:$HN$512,"="&amp;SUBSTITUTE(SUBSTITUTE(SUBSTITUTE('Dashboard'!$B$7,"~","~~"),"*","~*"),"?","~?"))+COUNTIFS('Calculations'!$HQ$13:$HQ$512,"="&amp;SUBSTITUTE(SUBSTITUTE(SUBSTITUTE('Calculations'!HF144,"~","~~"),"*","~*"),"?","~?"),'Calculations'!$HN$13:$HN$512,"="&amp;SUBSTITUTE(SUBSTITUTE(SUBSTITUTE('Dashboard'!$B$7,"~","~~"),"*","~*"),"?","~?"))+COUNTIFS('Calculations'!$HR$13:$HR$512,"="&amp;SUBSTITUTE(SUBSTITUTE(SUBSTITUTE('Calculations'!HF144,"~","~~"),"*","~*"),"?","~?"),'Calculations'!$HN$13:$HN$512,"="&amp;SUBSTITUTE(SUBSTITUTE(SUBSTITUTE('Dashboard'!$B$7,"~","~~"),"*","~*"),"?","~?"))+COUNTIFS('Calculations'!$HS$13:$HS$512,"="&amp;SUBSTITUTE(SUBSTITUTE(SUBSTITUTE('Calculations'!HF144,"~","~~"),"*","~*"),"?","~?"),'Calculations'!$HN$13:$HN$512,"="&amp;SUBSTITUTE(SUBSTITUTE(SUBSTITUTE('Dashboard'!$B$7,"~","~~"),"*","~*"),"?","~?"))+COUNTIFS('Calculations'!$HT$13:$HT$512,"="&amp;SUBSTITUTE(SUBSTITUTE(SUBSTITUTE('Calculations'!HF144,"~","~~"),"*","~*"),"?","~?"),'Calculations'!$HN$13:$HN$512,"="&amp;SUBSTITUTE(SUBSTITUTE(SUBSTITUTE('Dashboard'!$B$7,"~","~~"),"*","~*"),"?","~?"))+COUNTIFS('Calculations'!$HU$13:$HU$512,"="&amp;SUBSTITUTE(SUBSTITUTE(SUBSTITUTE('Calculations'!HF144,"~","~~"),"*","~*"),"?","~?"),'Calculations'!$HN$13:$HN$512,"="&amp;SUBSTITUTE(SUBSTITUTE(SUBSTITUTE('Dashboard'!$B$7,"~","~~"),"*","~*"),"?","~?"))+COUNTIFS('Calculations'!$HV$13:$HV$512,"="&amp;SUBSTITUTE(SUBSTITUTE(SUBSTITUTE('Calculations'!HF144,"~","~~"),"*","~*"),"?","~?"),'Calculations'!$HN$13:$HN$512,"="&amp;SUBSTITUTE(SUBSTITUTE(SUBSTITUTE('Dashboard'!$B$7,"~","~~"),"*","~*"),"?","~?"))+COUNTIFS('Calculations'!$HW$13:$HW$512,"="&amp;SUBSTITUTE(SUBSTITUTE(SUBSTITUTE('Calculations'!HF144,"~","~~"),"*","~*"),"?","~?"),'Calculations'!$HN$13:$HN$512,"="&amp;SUBSTITUTE(SUBSTITUTE(SUBSTITUTE('Dashboard'!$B$7,"~","~~"),"*","~*"),"?","~?"))+COUNTIFS('Calculations'!$HX$13:$HX$512,"="&amp;SUBSTITUTE(SUBSTITUTE(SUBSTITUTE('Calculations'!HF144,"~","~~"),"*","~*"),"?","~?"),'Calculations'!$HN$13:$HN$512,"="&amp;SUBSTITUTE(SUBSTITUTE(SUBSTITUTE('Dashboard'!$B$7,"~","~~"),"*","~*"),"?","~?"))+COUNTIFS('Calculations'!$HY$13:$HY$512,"="&amp;SUBSTITUTE(SUBSTITUTE(SUBSTITUTE('Calculations'!HF144,"~","~~"),"*","~*"),"?","~?"),'Calculations'!$HN$13:$HN$512,"="&amp;SUBSTITUTE(SUBSTITUTE(SUBSTITUTE('Dashboard'!$B$7,"~","~~"),"*","~*"),"?","~?"))+COUNTIFS('Calculations'!$HZ$13:$HZ$512,"="&amp;SUBSTITUTE(SUBSTITUTE(SUBSTITUTE('Calculations'!HF144,"~","~~"),"*","~*"),"?","~?"),'Calculations'!$HN$13:$HN$512,"="&amp;SUBSTITUTE(SUBSTITUTE(SUBSTITUTE('Dashboard'!$B$7,"~","~~"),"*","~*"),"?","~?"))+COUNTIFS('Calculations'!$IA$13:$IA$512,"="&amp;SUBSTITUTE(SUBSTITUTE(SUBSTITUTE('Calculations'!HF144,"~","~~"),"*","~*"),"?","~?"),'Calculations'!$HN$13:$HN$512,"="&amp;SUBSTITUTE(SUBSTITUTE(SUBSTITUTE('Dashboard'!$B$7,"~","~~"),"*","~*"),"?","~?"))+COUNTIFS('Calculations'!$IB$13:$IB$512,"="&amp;SUBSTITUTE(SUBSTITUTE(SUBSTITUTE('Calculations'!HF144,"~","~~"),"*","~*"),"?","~?"),'Calculations'!$HN$13:$HN$512,"="&amp;SUBSTITUTE(SUBSTITUTE(SUBSTITUTE('Dashboard'!$B$7,"~","~~"),"*","~*"),"?","~?"))+COUNTIFS('Calculations'!$IC$13:$IC$512,"="&amp;SUBSTITUTE(SUBSTITUTE(SUBSTITUTE('Calculations'!HF144,"~","~~"),"*","~*"),"?","~?"),'Calculations'!$HN$13:$HN$512,"="&amp;SUBSTITUTE(SUBSTITUTE(SUBSTITUTE('Dashboard'!$B$7,"~","~~"),"*","~*"),"?","~?"))+COUNTIFS('Calculations'!$ID$13:$ID$512,"="&amp;SUBSTITUTE(SUBSTITUTE(SUBSTITUTE('Calculations'!HF144,"~","~~"),"*","~*"),"?","~?"),'Calculations'!$HN$13:$HN$512,"="&amp;SUBSTITUTE(SUBSTITUTE(SUBSTITUTE('Dashboard'!$B$7,"~","~~"),"*","~*"),"?","~?"))+COUNTIFS('Calculations'!$IE$13:$IE$512,"="&amp;SUBSTITUTE(SUBSTITUTE(SUBSTITUTE('Calculations'!HF144,"~","~~"),"*","~*"),"?","~?"),'Calculations'!$HN$13:$HN$512,"="&amp;SUBSTITUTE(SUBSTITUTE(SUBSTITUTE('Dashboard'!$B$7,"~","~~"),"*","~*"),"?","~?"))+COUNTIFS('Calculations'!$IF$13:$IF$512,"="&amp;SUBSTITUTE(SUBSTITUTE(SUBSTITUTE('Calculations'!HF144,"~","~~"),"*","~*"),"?","~?"),'Calculations'!$HN$13:$HN$512,"="&amp;SUBSTITUTE(SUBSTITUTE(SUBSTITUTE('Dashboard'!$B$7,"~","~~"),"*","~*"),"?","~?"))+COUNTIFS('Calculations'!$IG$13:$IG$512,"="&amp;SUBSTITUTE(SUBSTITUTE(SUBSTITUTE('Calculations'!HF144,"~","~~"),"*","~*"),"?","~?"),'Calculations'!$HN$13:$HN$512,"="&amp;SUBSTITUTE(SUBSTITUTE(SUBSTITUTE('Dashboard'!$B$7,"~","~~"),"*","~*"),"?","~?"))+COUNTIFS('Calculations'!$IH$13:$IH$512,"="&amp;SUBSTITUTE(SUBSTITUTE(SUBSTITUTE('Calculations'!HF144,"~","~~"),"*","~*"),"?","~?"),'Calculations'!$HN$13:$HN$512,"="&amp;SUBSTITUTE(SUBSTITUTE(SUBSTITUTE('Dashboard'!$B$7,"~","~~"),"*","~*"),"?","~?"))))</x:f>
        <x:v>0</x:v>
      </x:c>
      <x:c r="JD144" t="n">
        <x:f>IF('Calculations'!EM144="",0,IF('Dashboard'!$B$7="All",1,IF('Calculations'!HN144='Dashboard'!$B$7,1,0)+IFERROR(INDEX('Calculations'!$JC$13:$JC$512,MATCH('Calculations'!HE144,'Calculations'!$HF$13:$HF$512,0)),0)))</x:f>
        <x:v>0</x:v>
      </x:c>
      <x:c r="JE144" t="n">
        <x:f>IF(AND('Calculations'!EM144&lt;&gt;"",'Calculations'!$JJ$2&lt;&gt;"All",'Calculations'!$JJ$2&lt;&gt;"",'Calculations'!HF144='Calculations'!$JJ$2,'Calculations'!HL144=0,'Calculations'!JD144&gt;0),MAX('Calculations'!$JE$12:JE143)+1,0)</x:f>
        <x:v>0</x:v>
      </x:c>
      <x:c r="JF144" t="str">
        <x:f>IF('Calculations'!EM144="","",IFERROR(IF(INDEX(INDIRECT("'WCM Calibration Final'!$G$1:$G$2000"),'Calculations'!$EM144)="","",TRIM(INDEX(INDIRECT("'WCM Calibration Final'!$G$1:$G$2000"),'Calculations'!$EM144)&amp;"")),""))</x:f>
      </x:c>
      <x:c r="JQ144" t="n">
        <x:f>IF(OR('Calculations'!BM144=0,NOT('Calculations'!$AG$2),'Calculations'!$AG$8&gt;0),0,IF(OR('Dashboard'!$B$7="All",'Calculations'!HN144='Dashboard'!$B$7),IF('Calculations'!$JJ$2="All",1,IF(AND('Calculations'!HF144='Calculations'!$JJ$2,'Calculations'!HL144=0),1,0)),0))</x:f>
        <x:v>0</x:v>
      </x:c>
    </x:row>
    <x:row r="145">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t="n">
        <x:f>IF('Calculations'!$EM145="",0,IF(OR(IFERROR(INDEX(INDIRECT("'WCM Calibration Final'!$A$1:$A$2000"),'Calculations'!$EM145)&lt;&gt;"",FALSE),IFERROR(INDEX(INDIRECT("'WCM Calibration Final'!$B$1:$B$2000"),'Calculations'!$EM145)&lt;&gt;"",FALSE),IFERROR(INDEX(INDIRECT("'WCM Calibration Final'!$C$1:$C$2000"),'Calculations'!$EM145)&lt;&gt;"",FALSE)),1,0))</x:f>
        <x:v>0</x:v>
      </x:c>
      <x:c r="BN145" s="4" t="n">
        <x:f>IF(AND('Calculations'!BM145=1,'Calculations'!$AG$2,'Calculations'!$EN145=1),1,0)</x:f>
        <x:v>0</x:v>
      </x:c>
      <x:c r="BO145" s="4" t="str">
        <x:f>IF('Calculations'!BM145=0,"",IFERROR(IF(AND(VALUE(INDEX(INDIRECT("'WCM Calibration Final'!$K$1:$K$2000"),'Calculations'!$EM145))&gt;=1,VALUE(INDEX(INDIRECT("'WCM Calibration Final'!$K$1:$K$2000"),'Calculations'!$EM145))&lt;=4,MOD(VALUE(INDEX(INDIRECT("'WCM Calibration Final'!$K$1:$K$2000"),'Calculations'!$EM145)),1)=0),VALUE(INDEX(INDIRECT("'WCM Calibration Final'!$K$1:$K$2000"),'Calculations'!$EM145)),""),""))</x:f>
      </x:c>
      <x:c r="BP145" s="4" t="str">
        <x:f>IF('Calculations'!BM145=0,"",IFERROR(IF(AND(VALUE(INDEX(INDIRECT("'WCM Calibration Final'!$L$1:$L$2000"),'Calculations'!$EM145))&gt;=1,VALUE(INDEX(INDIRECT("'WCM Calibration Final'!$L$1:$L$2000"),'Calculations'!$EM145))&lt;=4,MOD(VALUE(INDEX(INDIRECT("'WCM Calibration Final'!$L$1:$L$2000"),'Calculations'!$EM145)),1)=0),VALUE(INDEX(INDIRECT("'WCM Calibration Final'!$L$1:$L$2000"),'Calculations'!$EM145)),""),""))</x:f>
      </x:c>
      <x:c r="BQ145" s="4"/>
      <x:c r="BR145" s="4"/>
      <x:c r="BS145" s="4"/>
      <x:c r="BT145" s="4" t="n">
        <x:f>IF(AND('Calculations'!BM145=1,ISNUMBER('Calculations'!BO145),ISNUMBER('Calculations'!BP145)),1,0)</x:f>
        <x:v>0</x:v>
      </x:c>
      <x:c r="BU145" s="4" t="str">
        <x:f>IF('Calculations'!BM145=0,"",'Calculations'!$EO145)</x:f>
      </x:c>
      <x:c r="BV145" s="4" t="str">
        <x:f>IF('Calculations'!BM145=0,"",IFERROR(IF(OR(INDEX(INDIRECT("'WCM Calibration Final'!$H$1:$H$2000"),'Calculations'!$EM145)="MANAGING DIRECTOR",INDEX(INDIRECT("'WCM Calibration Final'!$H$1:$H$2000"),'Calculations'!$EM145)="DIRECTOR",INDEX(INDIRECT("'WCM Calibration Final'!$H$1:$H$2000"),'Calculations'!$EM145)="SENIOR VICE PRESIDENT",INDEX(INDIRECT("'WCM Calibration Final'!$H$1:$H$2000"),'Calculations'!$EM145)="VICE PRESIDENT",INDEX(INDIRECT("'WCM Calibration Final'!$H$1:$H$2000"),'Calculations'!$EM145)="ASSISTANT VICE PRESIDENT",INDEX(INDIRECT("'WCM Calibration Final'!$H$1:$H$2000"),'Calculations'!$EM145)="OFFICER"),UPPER(INDEX(INDIRECT("'WCM Calibration Final'!$H$1:$H$2000"),'Calculations'!$EM145)),"Other"),"Other"))</x:f>
      </x:c>
      <x:c r="BW145" s="4"/>
      <x:c r="BX145" s="4"/>
      <x:c r="BY145" s="4" t="n">
        <x:f>IF(AND('Calculations'!BM145=1,'Calculations'!BU145&lt;&gt;"",COUNTIF('Calculations'!$BU$12:BU145,'Calculations'!BU145)=1),MAX('Calculations'!$BY$11:BY144)+1,0)</x:f>
        <x:v>0</x:v>
      </x:c>
      <x:c r="BZ145" s="4" t="str">
        <x:f>IF('Dashboard'!$E$67="What",'Calculations'!BO145,'Calculations'!BP145)</x:f>
      </x:c>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t="str">
        <x:f>IF(134&gt;MAX('Calculations'!$HI$13:$HI$512),"",INDEX('Calculations'!$HN$13:$HN$512,MATCH(134,'Calculations'!$HI$13:$HI$512,0)))</x:f>
      </x:c>
      <x:c r="DB145" s="4" t="str">
        <x:f>IF(134&gt;MAX('Calculations'!$HH$13:$HH$512),"",INDEX('Calculations'!$HJ$13:$HJ$512,MATCH(134,'Calculations'!$HH$13:$HH$512,0)))</x:f>
      </x:c>
      <x:c r="DC145" s="4" t="str">
        <x:f>IF(ROW()-11&gt;MAX('Calculations'!$BY$13:$BY$512),"",INDEX('Calculations'!$BU$13:$BU$512,MATCH(ROW()-11,'Calculations'!$BY$13:$BY$512,0)))</x:f>
      </x:c>
      <x:c r="DD145" s="4" t="str">
        <x:f>IF(134&gt;MAX('Calculations'!$IK$13:$IK$512),"",INDEX('Calculations'!$HK$13:$HK$512,MATCH(134,'Calculations'!$IK$13:$IK$512,0)))</x:f>
      </x:c>
      <x:c r="DE145" s="4" t="str">
        <x:f>'Calculations'!DC145</x:f>
      </x:c>
      <x:c r="DF145" s="4" t="str">
        <x:f>IF('Calculations'!DE145="","",COUNTIFS('Calculations'!$BN$13:$BN$512,1,'Calculations'!$BU$13:$BU$512,'Calculations'!DE145))</x:f>
      </x:c>
      <x:c r="DG145" s="4" t="str">
        <x:f>IF('Calculations'!DE145="","",COUNTIFS('Calculations'!$BN$13:$BN$512,1,'Calculations'!$BU$13:$BU$512,'Calculations'!DE145,'Calculations'!$BT$13:$BT$512,1))</x:f>
      </x:c>
      <x:c r="DH145" s="4" t="str">
        <x:f>IF('Calculations'!DE145="","",'Calculations'!DF145-'Calculations'!DG145)</x:f>
      </x:c>
      <x:c r="DI145" s="4" t="str">
        <x:f>IF(OR('Calculations'!DE145="",'Calculations'!DF145=0),"",'Calculations'!DG145/'Calculations'!DF145)</x:f>
      </x:c>
      <x:c r="DJ145" s="4" t="str">
        <x:f>IF('Calculations'!DE145="","",COUNTIFS('Calculations'!$BN$13:$BN$512,1,'Calculations'!$BU$13:$BU$512,'Calculations'!DE145,'Calculations'!$BT$13:$BT$512,1,'Calculations'!$EE$13:$EE$512,"High"))</x:f>
      </x:c>
      <x:c r="DK145" s="4" t="str">
        <x:f>IF('Calculations'!DE145="","",COUNTIFS('Calculations'!$BN$13:$BN$512,1,'Calculations'!$BU$13:$BU$512,'Calculations'!DE145,'Calculations'!$BT$13:$BT$512,1,'Calculations'!$EE$13:$EE$512,"Strong"))</x:f>
      </x:c>
      <x:c r="DL145" s="4" t="str">
        <x:f>IF('Calculations'!DE145="","",COUNTIFS('Calculations'!$BN$13:$BN$512,1,'Calculations'!$BU$13:$BU$512,'Calculations'!DE145,'Calculations'!$BT$13:$BT$512,1,'Calculations'!$EE$13:$EE$512,"Solid"))</x:f>
      </x:c>
      <x:c r="DM145" s="4" t="str">
        <x:f>IF('Calculations'!DE145="","",COUNTIFS('Calculations'!$BN$13:$BN$512,1,'Calculations'!$BU$13:$BU$512,'Calculations'!DE145,'Calculations'!$BT$13:$BT$512,1,'Calculations'!$EE$13:$EE$512,"Low"))</x:f>
      </x:c>
      <x:c r="DN145" s="4" t="str">
        <x:f>IF('Calculations'!DE145="","",COUNTIFS('Calculations'!$BN$13:$BN$512,1,'Calculations'!$BU$13:$BU$512,'Calculations'!DE145,'Calculations'!$EP$13:$EP$512,1))</x:f>
      </x:c>
      <x:c r="DO145" s="4" t="str">
        <x:f>IF(OR('Calculations'!DE145="",'Calculations'!DG145=0),"",('Calculations'!DJ145+'Calculations'!DK145)/'Calculations'!DG145)</x:f>
      </x:c>
      <x:c r="DP145" s="4" t="n">
        <x:f>IF(AND('Calculations'!DE145&lt;&gt;"",'Calculations'!DF145&gt;0),COUNTIF('Calculations'!$DF$12:DF145,"&gt;0"),0)</x:f>
        <x:v>0</x:v>
      </x:c>
      <x:c r="DQ145" s="4" t="str">
        <x:f>IF(134&gt;MAX('Calculations'!$HH$13:$HH$512),"",INDEX('Calculations'!$HF$13:$HF$512,MATCH(134,'Calculations'!$HH$13:$HH$512,0)))</x:f>
      </x:c>
      <x:c r="DR145" s="4" t="str">
        <x:f>IF(134&gt;MAX('Calculations'!$IK$13:$IK$512),"",INDEX('Calculations'!$HE$13:$HE$512,MATCH(134,'Calculations'!$IK$13:$IK$512,0)))</x:f>
      </x:c>
      <x:c r="DS145" s="4"/>
      <x:c r="DT145" s="4"/>
      <x:c r="DU145" s="4"/>
      <x:c r="DV145" s="4"/>
      <x:c r="DW145" s="4"/>
      <x:c r="DX145" s="4"/>
      <x:c r="DY145" s="4"/>
      <x:c r="DZ145" s="4"/>
      <x:c r="EA145" s="4"/>
      <x:c r="EB145" s="4"/>
      <x:c r="EC145" s="4"/>
      <x:c r="ED145" s="4"/>
      <x:c r="EE145" s="4" t="str">
        <x:f>IF('Calculations'!BT145=0,"Not Rated",IF(OR('Calculations'!BO145&gt;=4,'Calculations'!BP145&gt;=4),"Low",IF('Calculations'!BO145+'Calculations'!BP145&lt;=3,"High",IF('Calculations'!BO145+'Calculations'!BP145&lt;=4,"Strong","Solid"))))</x:f>
        <x:v>Not Rated</x:v>
      </x:c>
      <x:c r="EF145" s="4"/>
      <x:c r="EG145" s="4"/>
      <x:c r="EH145" s="4"/>
      <x:c r="EI145" s="4"/>
      <x:c r="EJ145" s="4"/>
      <x:c r="EK145" s="4"/>
      <x:c r="EL145" s="4"/>
      <x:c r="EM145" s="4" t="str">
        <x:f>IF(133&gt;'Calculations'!$JB$2000,"",INDEX('Calculations'!$JA$12:$JA$2000,MATCH(133,'Calculations'!$JB$12:$JB$2000,0)))</x:f>
      </x:c>
      <x:c r="EN145" s="4" t="n">
        <x:f>IF(OR('Calculations'!EM145="",'Calculations'!$AG$8&gt;0,AND('Calculations'!$EF$2&lt;&gt;"All",'Calculations'!HE145='Calculations'!$EF$2),AND('Calculations'!$EF$3&lt;&gt;"All",'Calculations'!HE145='Calculations'!$EF$3)),0,IF(OR('Dashboard'!$B$7="All",'Calculations'!HN145='Dashboard'!$B$7),IF('Calculations'!$EF$2="All",1,IF('Calculations'!HL145&gt;0,0,IF(COUNTIF('Calculations'!HO145:II145,"="&amp;SUBSTITUTE(SUBSTITUTE(SUBSTITUTE('Calculations'!$EF$2,"~","~~"),"*","~*"),"?","~?"))=0,0,IF('Calculations'!$EF$3="All",1,IF(COUNTIF('Calculations'!HO145:II145,"="&amp;SUBSTITUTE(SUBSTITUTE(SUBSTITUTE('Calculations'!$EF$3,"~","~~"),"*","~*"),"?","~?"))&gt;0,1,0))))),0))</x:f>
        <x:v>0</x:v>
      </x:c>
      <x:c r="EO145" s="4" t="str">
        <x:f>IF('Calculations'!IJ145="","",IF('Calculations'!IJ145="!UNRESOLVED","Unresolved hierarchy",IFERROR(INDEX('Calculations'!$HK$13:$HK$512,MATCH('Calculations'!IJ145,'Calculations'!$HE$13:$HE$512,0)),IFERROR(INDEX('Calculations'!$HJ$13:$HJ$512,MATCH('Calculations'!IJ145,'Calculations'!$HF$13:$HF$512,0)),'Calculations'!IJ145))))</x:f>
      </x:c>
      <x:c r="EP145" s="4" t="n">
        <x:f>IF(AND('Calculations'!EM145&lt;&gt;"",'Calculations'!HF145='Calculations'!IJ145),1,0)</x:f>
        <x:v>0</x:v>
      </x:c>
      <x:c r="EQ145" s="4"/>
      <x:c r="ER145" s="4"/>
      <x:c r="ES145" s="4"/>
      <x:c r="ET145" s="4"/>
      <x:c r="EU145" s="4"/>
      <x:c r="EV145" s="4"/>
      <x:c r="EW145" s="4"/>
      <x:c r="EX145" s="4"/>
      <x:c r="EY145" s="4"/>
      <x:c r="EZ145" s="4"/>
      <x:c r="FA145" s="4"/>
      <x:c r="FB145" s="4"/>
      <x:c r="FC145" s="4"/>
      <x:c r="FD145" s="4"/>
      <x:c r="FE145" s="4"/>
      <x:c r="FF145" s="4"/>
      <x:c r="FG145" s="4"/>
      <x:c r="FH145" s="4"/>
      <x:c r="FI145" s="4"/>
      <x:c r="FJ145" s="4"/>
      <x:c r="FK145" s="4"/>
      <x:c r="FL145" s="4"/>
      <x:c r="FM145" s="4"/>
      <x:c r="FN145" s="4"/>
      <x:c r="FO145" s="4"/>
      <x:c r="GA145" s="71"/>
      <x:c r="GB145" s="71"/>
      <x:c r="GC145" s="71"/>
      <x:c r="GD145" s="71"/>
      <x:c r="GE145" s="71"/>
      <x:c r="GF145" s="71"/>
      <x:c r="GG145" s="71"/>
      <x:c r="GH145" s="71"/>
      <x:c r="GI145" s="71"/>
      <x:c r="GJ145" s="71"/>
      <x:c r="GK145" s="71"/>
      <x:c r="GL145" s="71"/>
      <x:c r="GM145" s="71"/>
      <x:c r="GN145" s="71"/>
      <x:c r="GO145" s="71"/>
      <x:c r="GP145" s="71"/>
      <x:c r="GQ145" s="71"/>
      <x:c r="GR145" s="71"/>
      <x:c r="GS145" s="71"/>
      <x:c r="GT145" s="71"/>
      <x:c r="GU145" s="71"/>
      <x:c r="GV145" s="71"/>
      <x:c r="GW145" s="71"/>
      <x:c r="GX145" s="71"/>
      <x:c r="GY145" s="71"/>
      <x:c r="GZ145" s="71"/>
      <x:c r="HA145" s="71"/>
      <x:c r="HB145" s="71"/>
      <x:c r="HC145" s="71"/>
      <x:c r="HD145" s="71"/>
      <x:c r="HE145" t="str">
        <x:f>IF('Calculations'!EM145="","",IF(IFERROR(IF(INDEX(INDIRECT("'WCM Calibration Final'!$A$1:$A$2000"),'Calculations'!$EM145)="","",TRIM(INDEX(INDIRECT("'WCM Calibration Final'!$A$1:$A$2000"),'Calculations'!$EM145)&amp;"")),"")&lt;&gt;"","G:"&amp;IFERROR(TEXT(1*INDEX(INDIRECT("'WCM Calibration Final'!$A$1:$A$2000"),'Calculations'!$EM145),"0"),UPPER(IFERROR(IF(INDEX(INDIRECT("'WCM Calibration Final'!$A$1:$A$2000"),'Calculations'!$EM145)="","",TRIM(INDEX(INDIRECT("'WCM Calibration Final'!$A$1:$A$2000"),'Calculations'!$EM145)&amp;"")),""))),IF(IFERROR(IF(INDEX(INDIRECT("'WCM Calibration Final'!$C$1:$C$2000"),'Calculations'!$EM145)="","",TRIM(INDEX(INDIRECT("'WCM Calibration Final'!$C$1:$C$2000"),'Calculations'!$EM145)&amp;"")),"")&lt;&gt;"","S:"&amp;UPPER(IFERROR(IF(INDEX(INDIRECT("'WCM Calibration Final'!$C$1:$C$2000"),'Calculations'!$EM145)="","",TRIM(INDEX(INDIRECT("'WCM Calibration Final'!$C$1:$C$2000"),'Calculations'!$EM145)&amp;"")),"")),"R:"&amp;'Calculations'!EM145)))</x:f>
      </x:c>
      <x:c r="HF145" t="str">
        <x:f>IF('Calculations'!EM145="","",IF(IFERROR(IF(INDEX(INDIRECT("'WCM Calibration Final'!$D$1:$D$2000"),'Calculations'!$EM145)="","",TRIM(INDEX(INDIRECT("'WCM Calibration Final'!$D$1:$D$2000"),'Calculations'!$EM145)&amp;"")),"")&lt;&gt;"","G:"&amp;IFERROR(TEXT(1*INDEX(INDIRECT("'WCM Calibration Final'!$D$1:$D$2000"),'Calculations'!$EM145),"0"),UPPER(IFERROR(IF(INDEX(INDIRECT("'WCM Calibration Final'!$D$1:$D$2000"),'Calculations'!$EM145)="","",TRIM(INDEX(INDIRECT("'WCM Calibration Final'!$D$1:$D$2000"),'Calculations'!$EM145)&amp;"")),""))),IF(IFERROR(IF(INDEX(INDIRECT("'WCM Calibration Final'!$E$1:$E$2000"),'Calculations'!$EM145)="","",TRIM(INDEX(INDIRECT("'WCM Calibration Final'!$E$1:$E$2000"),'Calculations'!$EM145)&amp;"")),"")="","",IF(COUNTIF('Calculations'!$HG$13:$HG$512,"="&amp;SUBSTITUTE(SUBSTITUTE(SUBSTITUTE(IFERROR(IF(INDEX(INDIRECT("'WCM Calibration Final'!$E$1:$E$2000"),'Calculations'!$EM145)="","",TRIM(INDEX(INDIRECT("'WCM Calibration Final'!$E$1:$E$2000"),'Calculations'!$EM145)&amp;"")),""),"~","~~"),"*","~*"),"?","~?"))=1,INDEX('Calculations'!$HE$13:$HE$512,MATCH(IFERROR(IF(INDEX(INDIRECT("'WCM Calibration Final'!$E$1:$E$2000"),'Calculations'!$EM145)="","",TRIM(INDEX(INDIRECT("'WCM Calibration Final'!$E$1:$E$2000"),'Calculations'!$EM145)&amp;"")),""),'Calculations'!$HG$13:$HG$512,0)),IF(COUNTIF('Calculations'!$HG$13:$HG$512,"="&amp;SUBSTITUTE(SUBSTITUTE(SUBSTITUTE(IFERROR(IF(INDEX(INDIRECT("'WCM Calibration Final'!$E$1:$E$2000"),'Calculations'!$EM145)="","",TRIM(INDEX(INDIRECT("'WCM Calibration Final'!$E$1:$E$2000"),'Calculations'!$EM145)&amp;"")),""),"~","~~"),"*","~*"),"?","~?"))&gt;1,"!AMBIG","X:"&amp;IFERROR(IF(INDEX(INDIRECT("'WCM Calibration Final'!$E$1:$E$2000"),'Calculations'!$EM145)="","",TRIM(INDEX(INDIRECT("'WCM Calibration Final'!$E$1:$E$2000"),'Calculations'!$EM145)&amp;"")),""))))))</x:f>
      </x:c>
      <x:c r="HG145" t="str">
        <x:f>IF('Calculations'!EM145="","",IFERROR(IF(INDEX(INDIRECT("'WCM Calibration Final'!$B$1:$B$2000"),'Calculations'!$EM145)="","",TRIM(INDEX(INDIRECT("'WCM Calibration Final'!$B$1:$B$2000"),'Calculations'!$EM145)&amp;"")),""))</x:f>
      </x:c>
      <x:c r="HH145" t="n">
        <x:f>IF(AND('Calculations'!JC145&gt;0,COUNTIF('Calculations'!$HF$12:HF145,"="&amp;SUBSTITUTE(SUBSTITUTE(SUBSTITUTE('Calculations'!HF145,"~","~~"),"*","~*"),"?","~?"))=1),MAX('Calculations'!$HH$12:HH144)+1,0)</x:f>
        <x:v>0</x:v>
      </x:c>
      <x:c r="HI145" t="n">
        <x:f>IF(AND('Calculations'!HN145&lt;&gt;"",COUNTIF('Calculations'!$HN$12:HN145,"="&amp;SUBSTITUTE(SUBSTITUTE(SUBSTITUTE('Calculations'!HN145,"~","~~"),"*","~*"),"?","~?"))=1),MAX('Calculations'!$HI$12:HI144)+1,0)</x:f>
        <x:v>0</x:v>
      </x:c>
      <x:c r="HJ145" t="str">
        <x:f>IF('Calculations'!HF145="","",IF(COUNTIF('Calculations'!$HE$13:$HE$512,"="&amp;SUBSTITUTE(SUBSTITUTE(SUBSTITUTE('Calculations'!HF145,"~","~~"),"*","~*"),"?","~?"))=1,INDEX('Calculations'!$HK$13:$HK$512,MATCH('Calculations'!HF145,'Calculations'!$HE$13:$HE$512,0)),IFERROR(IF(INDEX(INDIRECT("'WCM Calibration Final'!$E$1:$E$2000"),'Calculations'!$EM145)="","",TRIM(INDEX(INDIRECT("'WCM Calibration Final'!$E$1:$E$2000"),'Calculations'!$EM145)&amp;"")),"")&amp;" ["&amp;'Calculations'!HF145&amp;"]"))</x:f>
      </x:c>
      <x:c r="HK145" t="str">
        <x:f>IF('Calculations'!EM145="","",'Calculations'!HG145&amp;" ["&amp;'Calculations'!HE145&amp;"]")</x:f>
      </x:c>
      <x:c r="HL145" t="n">
        <x:f>IF('Calculations'!EM145="",0,IF(OR('Calculations'!II145&lt;&gt;"",COUNTIF('Calculations'!$HE$13:$HE$512,"="&amp;SUBSTITUTE(SUBSTITUTE(SUBSTITUTE('Calculations'!HE145,"~","~~"),"*","~*"),"?","~?"))&gt;1),1,0))</x:f>
        <x:v>0</x:v>
      </x:c>
      <x:c r="HM145" t="str">
        <x:f>IF('Calculations'!EM145="","",IF('Calculations'!HL145=1,"!UNRESOLVED",IF('Calculations'!IH145&lt;&gt;"",'Calculations'!IH145,IF('Calculations'!IG145&lt;&gt;"",'Calculations'!IG145,IF('Calculations'!IF145&lt;&gt;"",'Calculations'!IF145,IF('Calculations'!IE145&lt;&gt;"",'Calculations'!IE145,IF('Calculations'!ID145&lt;&gt;"",'Calculations'!ID145,IF('Calculations'!IC145&lt;&gt;"",'Calculations'!IC145,IF('Calculations'!IB145&lt;&gt;"",'Calculations'!IB145,IF('Calculations'!IA145&lt;&gt;"",'Calculations'!IA145,IF('Calculations'!HZ145&lt;&gt;"",'Calculations'!HZ145,IF('Calculations'!HY145&lt;&gt;"",'Calculations'!HY145,IF('Calculations'!HX145&lt;&gt;"",'Calculations'!HX145,IF('Calculations'!HW145&lt;&gt;"",'Calculations'!HW145,IF('Calculations'!HV145&lt;&gt;"",'Calculations'!HV145,IF('Calculations'!HU145&lt;&gt;"",'Calculations'!HU145,IF('Calculations'!HT145&lt;&gt;"",'Calculations'!HT145,IF('Calculations'!HS145&lt;&gt;"",'Calculations'!HS145,IF('Calculations'!HR145&lt;&gt;"",'Calculations'!HR145,IF('Calculations'!HQ145&lt;&gt;"",'Calculations'!HQ145,IF('Calculations'!HP145&lt;&gt;"",'Calculations'!HP145,IF('Calculations'!HO145&lt;&gt;"",'Calculations'!HO145,'Calculations'!HE145))))))))))))))))))))))</x:f>
      </x:c>
      <x:c r="HN145" t="str">
        <x:f>IF('Calculations'!EM145="","",IF(IFERROR(IF(INDEX(INDIRECT("'WCM Calibration Final'!$F$1:$F$2000"),'Calculations'!$EM145)="","",TRIM(INDEX(INDIRECT("'WCM Calibration Final'!$F$1:$F$2000"),'Calculations'!$EM145)&amp;"")),"")="","(Blank)",IFERROR(IF(INDEX(INDIRECT("'WCM Calibration Final'!$F$1:$F$2000"),'Calculations'!$EM145)="","",TRIM(INDEX(INDIRECT("'WCM Calibration Final'!$F$1:$F$2000"),'Calculations'!$EM145)&amp;"")),"")))</x:f>
      </x:c>
      <x:c r="HO145" t="str">
        <x:f>'Calculations'!HF145</x:f>
      </x:c>
      <x:c r="HP145" t="str">
        <x:f>IF('Calculations'!HO145="","",IF('Calculations'!HO145="!AMBIG","!AMBIG",IF(COUNTIF('Calculations'!$HE$13:$HE$512,"="&amp;SUBSTITUTE(SUBSTITUTE(SUBSTITUTE('Calculations'!HO145,"~","~~"),"*","~*"),"?","~?"))&gt;1,"!AMBIG",IFERROR(INDEX('Calculations'!$HF$13:$HF$512,MATCH('Calculations'!HO145,'Calculations'!$HE$13:$HE$512,0)),""))))</x:f>
      </x:c>
      <x:c r="HQ145" t="str">
        <x:f>IF('Calculations'!HP145="","",IF('Calculations'!HP145="!AMBIG","!AMBIG",IF(COUNTIF('Calculations'!$HE$13:$HE$512,"="&amp;SUBSTITUTE(SUBSTITUTE(SUBSTITUTE('Calculations'!HP145,"~","~~"),"*","~*"),"?","~?"))&gt;1,"!AMBIG",IFERROR(INDEX('Calculations'!$HF$13:$HF$512,MATCH('Calculations'!HP145,'Calculations'!$HE$13:$HE$512,0)),""))))</x:f>
      </x:c>
      <x:c r="HR145" t="str">
        <x:f>IF('Calculations'!HQ145="","",IF('Calculations'!HQ145="!AMBIG","!AMBIG",IF(COUNTIF('Calculations'!$HE$13:$HE$512,"="&amp;SUBSTITUTE(SUBSTITUTE(SUBSTITUTE('Calculations'!HQ145,"~","~~"),"*","~*"),"?","~?"))&gt;1,"!AMBIG",IFERROR(INDEX('Calculations'!$HF$13:$HF$512,MATCH('Calculations'!HQ145,'Calculations'!$HE$13:$HE$512,0)),""))))</x:f>
      </x:c>
      <x:c r="HS145" t="str">
        <x:f>IF('Calculations'!HR145="","",IF('Calculations'!HR145="!AMBIG","!AMBIG",IF(COUNTIF('Calculations'!$HE$13:$HE$512,"="&amp;SUBSTITUTE(SUBSTITUTE(SUBSTITUTE('Calculations'!HR145,"~","~~"),"*","~*"),"?","~?"))&gt;1,"!AMBIG",IFERROR(INDEX('Calculations'!$HF$13:$HF$512,MATCH('Calculations'!HR145,'Calculations'!$HE$13:$HE$512,0)),""))))</x:f>
      </x:c>
      <x:c r="HT145" t="str">
        <x:f>IF('Calculations'!HS145="","",IF('Calculations'!HS145="!AMBIG","!AMBIG",IF(COUNTIF('Calculations'!$HE$13:$HE$512,"="&amp;SUBSTITUTE(SUBSTITUTE(SUBSTITUTE('Calculations'!HS145,"~","~~"),"*","~*"),"?","~?"))&gt;1,"!AMBIG",IFERROR(INDEX('Calculations'!$HF$13:$HF$512,MATCH('Calculations'!HS145,'Calculations'!$HE$13:$HE$512,0)),""))))</x:f>
      </x:c>
      <x:c r="HU145" t="str">
        <x:f>IF('Calculations'!HT145="","",IF('Calculations'!HT145="!AMBIG","!AMBIG",IF(COUNTIF('Calculations'!$HE$13:$HE$512,"="&amp;SUBSTITUTE(SUBSTITUTE(SUBSTITUTE('Calculations'!HT145,"~","~~"),"*","~*"),"?","~?"))&gt;1,"!AMBIG",IFERROR(INDEX('Calculations'!$HF$13:$HF$512,MATCH('Calculations'!HT145,'Calculations'!$HE$13:$HE$512,0)),""))))</x:f>
      </x:c>
      <x:c r="HV145" t="str">
        <x:f>IF('Calculations'!HU145="","",IF('Calculations'!HU145="!AMBIG","!AMBIG",IF(COUNTIF('Calculations'!$HE$13:$HE$512,"="&amp;SUBSTITUTE(SUBSTITUTE(SUBSTITUTE('Calculations'!HU145,"~","~~"),"*","~*"),"?","~?"))&gt;1,"!AMBIG",IFERROR(INDEX('Calculations'!$HF$13:$HF$512,MATCH('Calculations'!HU145,'Calculations'!$HE$13:$HE$512,0)),""))))</x:f>
      </x:c>
      <x:c r="HW145" t="str">
        <x:f>IF('Calculations'!HV145="","",IF('Calculations'!HV145="!AMBIG","!AMBIG",IF(COUNTIF('Calculations'!$HE$13:$HE$512,"="&amp;SUBSTITUTE(SUBSTITUTE(SUBSTITUTE('Calculations'!HV145,"~","~~"),"*","~*"),"?","~?"))&gt;1,"!AMBIG",IFERROR(INDEX('Calculations'!$HF$13:$HF$512,MATCH('Calculations'!HV145,'Calculations'!$HE$13:$HE$512,0)),""))))</x:f>
      </x:c>
      <x:c r="HX145" t="str">
        <x:f>IF('Calculations'!HW145="","",IF('Calculations'!HW145="!AMBIG","!AMBIG",IF(COUNTIF('Calculations'!$HE$13:$HE$512,"="&amp;SUBSTITUTE(SUBSTITUTE(SUBSTITUTE('Calculations'!HW145,"~","~~"),"*","~*"),"?","~?"))&gt;1,"!AMBIG",IFERROR(INDEX('Calculations'!$HF$13:$HF$512,MATCH('Calculations'!HW145,'Calculations'!$HE$13:$HE$512,0)),""))))</x:f>
      </x:c>
      <x:c r="HY145" t="str">
        <x:f>IF('Calculations'!HX145="","",IF('Calculations'!HX145="!AMBIG","!AMBIG",IF(COUNTIF('Calculations'!$HE$13:$HE$512,"="&amp;SUBSTITUTE(SUBSTITUTE(SUBSTITUTE('Calculations'!HX145,"~","~~"),"*","~*"),"?","~?"))&gt;1,"!AMBIG",IFERROR(INDEX('Calculations'!$HF$13:$HF$512,MATCH('Calculations'!HX145,'Calculations'!$HE$13:$HE$512,0)),""))))</x:f>
      </x:c>
      <x:c r="HZ145" t="str">
        <x:f>IF('Calculations'!HY145="","",IF('Calculations'!HY145="!AMBIG","!AMBIG",IF(COUNTIF('Calculations'!$HE$13:$HE$512,"="&amp;SUBSTITUTE(SUBSTITUTE(SUBSTITUTE('Calculations'!HY145,"~","~~"),"*","~*"),"?","~?"))&gt;1,"!AMBIG",IFERROR(INDEX('Calculations'!$HF$13:$HF$512,MATCH('Calculations'!HY145,'Calculations'!$HE$13:$HE$512,0)),""))))</x:f>
      </x:c>
      <x:c r="IA145" t="str">
        <x:f>IF('Calculations'!HZ145="","",IF('Calculations'!HZ145="!AMBIG","!AMBIG",IF(COUNTIF('Calculations'!$HE$13:$HE$512,"="&amp;SUBSTITUTE(SUBSTITUTE(SUBSTITUTE('Calculations'!HZ145,"~","~~"),"*","~*"),"?","~?"))&gt;1,"!AMBIG",IFERROR(INDEX('Calculations'!$HF$13:$HF$512,MATCH('Calculations'!HZ145,'Calculations'!$HE$13:$HE$512,0)),""))))</x:f>
      </x:c>
      <x:c r="IB145" t="str">
        <x:f>IF('Calculations'!IA145="","",IF('Calculations'!IA145="!AMBIG","!AMBIG",IF(COUNTIF('Calculations'!$HE$13:$HE$512,"="&amp;SUBSTITUTE(SUBSTITUTE(SUBSTITUTE('Calculations'!IA145,"~","~~"),"*","~*"),"?","~?"))&gt;1,"!AMBIG",IFERROR(INDEX('Calculations'!$HF$13:$HF$512,MATCH('Calculations'!IA145,'Calculations'!$HE$13:$HE$512,0)),""))))</x:f>
      </x:c>
      <x:c r="IC145" t="str">
        <x:f>IF('Calculations'!IB145="","",IF('Calculations'!IB145="!AMBIG","!AMBIG",IF(COUNTIF('Calculations'!$HE$13:$HE$512,"="&amp;SUBSTITUTE(SUBSTITUTE(SUBSTITUTE('Calculations'!IB145,"~","~~"),"*","~*"),"?","~?"))&gt;1,"!AMBIG",IFERROR(INDEX('Calculations'!$HF$13:$HF$512,MATCH('Calculations'!IB145,'Calculations'!$HE$13:$HE$512,0)),""))))</x:f>
      </x:c>
      <x:c r="ID145" t="str">
        <x:f>IF('Calculations'!IC145="","",IF('Calculations'!IC145="!AMBIG","!AMBIG",IF(COUNTIF('Calculations'!$HE$13:$HE$512,"="&amp;SUBSTITUTE(SUBSTITUTE(SUBSTITUTE('Calculations'!IC145,"~","~~"),"*","~*"),"?","~?"))&gt;1,"!AMBIG",IFERROR(INDEX('Calculations'!$HF$13:$HF$512,MATCH('Calculations'!IC145,'Calculations'!$HE$13:$HE$512,0)),""))))</x:f>
      </x:c>
      <x:c r="IE145" t="str">
        <x:f>IF('Calculations'!ID145="","",IF('Calculations'!ID145="!AMBIG","!AMBIG",IF(COUNTIF('Calculations'!$HE$13:$HE$512,"="&amp;SUBSTITUTE(SUBSTITUTE(SUBSTITUTE('Calculations'!ID145,"~","~~"),"*","~*"),"?","~?"))&gt;1,"!AMBIG",IFERROR(INDEX('Calculations'!$HF$13:$HF$512,MATCH('Calculations'!ID145,'Calculations'!$HE$13:$HE$512,0)),""))))</x:f>
      </x:c>
      <x:c r="IF145" t="str">
        <x:f>IF('Calculations'!IE145="","",IF('Calculations'!IE145="!AMBIG","!AMBIG",IF(COUNTIF('Calculations'!$HE$13:$HE$512,"="&amp;SUBSTITUTE(SUBSTITUTE(SUBSTITUTE('Calculations'!IE145,"~","~~"),"*","~*"),"?","~?"))&gt;1,"!AMBIG",IFERROR(INDEX('Calculations'!$HF$13:$HF$512,MATCH('Calculations'!IE145,'Calculations'!$HE$13:$HE$512,0)),""))))</x:f>
      </x:c>
      <x:c r="IG145" t="str">
        <x:f>IF('Calculations'!IF145="","",IF('Calculations'!IF145="!AMBIG","!AMBIG",IF(COUNTIF('Calculations'!$HE$13:$HE$512,"="&amp;SUBSTITUTE(SUBSTITUTE(SUBSTITUTE('Calculations'!IF145,"~","~~"),"*","~*"),"?","~?"))&gt;1,"!AMBIG",IFERROR(INDEX('Calculations'!$HF$13:$HF$512,MATCH('Calculations'!IF145,'Calculations'!$HE$13:$HE$512,0)),""))))</x:f>
      </x:c>
      <x:c r="IH145" t="str">
        <x:f>IF('Calculations'!IG145="","",IF('Calculations'!IG145="!AMBIG","!AMBIG",IF(COUNTIF('Calculations'!$HE$13:$HE$512,"="&amp;SUBSTITUTE(SUBSTITUTE(SUBSTITUTE('Calculations'!IG145,"~","~~"),"*","~*"),"?","~?"))&gt;1,"!AMBIG",IFERROR(INDEX('Calculations'!$HF$13:$HF$512,MATCH('Calculations'!IG145,'Calculations'!$HE$13:$HE$512,0)),""))))</x:f>
      </x:c>
      <x:c r="II145" t="str">
        <x:f>IF('Calculations'!IH145="","",IF('Calculations'!IH145="!AMBIG","!AMBIG",IF(COUNTIF('Calculations'!$HE$13:$HE$512,"="&amp;SUBSTITUTE(SUBSTITUTE(SUBSTITUTE('Calculations'!IH145,"~","~~"),"*","~*"),"?","~?"))&gt;1,"!AMBIG",IFERROR(INDEX('Calculations'!$HF$13:$HF$512,MATCH('Calculations'!IH145,'Calculations'!$HE$13:$HE$512,0)),""))))</x:f>
      </x:c>
      <x:c r="IJ145" t="str">
        <x:f>IF('Calculations'!EM145="","",IF('Calculations'!$EF$2="All",'Calculations'!HM145,IF('Calculations'!HL145=1,"",IFERROR(IF(MATCH('Calculations'!$EF$2,'Calculations'!HO145:II145,0)=1,'Calculations'!HE145,INDEX('Calculations'!HO145:II145,1,MATCH('Calculations'!$EF$2,'Calculations'!HO145:II145,0)-1)),""))))</x:f>
      </x:c>
      <x:c r="IK145" t="n">
        <x:f>IF(AND('Calculations'!EM145&lt;&gt;"",'Calculations'!$EF$2&lt;&gt;"All",'Calculations'!HF145='Calculations'!$EF$2,'Calculations'!HL145=0,'Calculations'!JD145&gt;0),MAX('Calculations'!$IK$12:IK144)+1,0)</x:f>
        <x:v>0</x:v>
      </x:c>
      <x:c r="JA145" t="n">
        <x:f>IF(OR(IFERROR(INDIRECT("'WCM Calibration Final'!$A$145")&lt;&gt;"",FALSE),IFERROR(INDIRECT("'WCM Calibration Final'!$B$145")&lt;&gt;"",FALSE),IFERROR(INDIRECT("'WCM Calibration Final'!$C$145")&lt;&gt;"",FALSE)),145,0)</x:f>
        <x:v>0</x:v>
      </x:c>
      <x:c r="JB145" t="n">
        <x:f>'Calculations'!JB144+IF('Calculations'!JA145&gt;0,1,0)</x:f>
        <x:v>0</x:v>
      </x:c>
      <x:c r="JC145" t="n">
        <x:f>IF(OR('Calculations'!HF145="",'Calculations'!HF145="!AMBIG"),0,IF('Dashboard'!$B$7="All",1,COUNTIFS('Calculations'!$HO$13:$HO$512,"="&amp;SUBSTITUTE(SUBSTITUTE(SUBSTITUTE('Calculations'!HF145,"~","~~"),"*","~*"),"?","~?"),'Calculations'!$HN$13:$HN$512,"="&amp;SUBSTITUTE(SUBSTITUTE(SUBSTITUTE('Dashboard'!$B$7,"~","~~"),"*","~*"),"?","~?"))+COUNTIFS('Calculations'!$HP$13:$HP$512,"="&amp;SUBSTITUTE(SUBSTITUTE(SUBSTITUTE('Calculations'!HF145,"~","~~"),"*","~*"),"?","~?"),'Calculations'!$HN$13:$HN$512,"="&amp;SUBSTITUTE(SUBSTITUTE(SUBSTITUTE('Dashboard'!$B$7,"~","~~"),"*","~*"),"?","~?"))+COUNTIFS('Calculations'!$HQ$13:$HQ$512,"="&amp;SUBSTITUTE(SUBSTITUTE(SUBSTITUTE('Calculations'!HF145,"~","~~"),"*","~*"),"?","~?"),'Calculations'!$HN$13:$HN$512,"="&amp;SUBSTITUTE(SUBSTITUTE(SUBSTITUTE('Dashboard'!$B$7,"~","~~"),"*","~*"),"?","~?"))+COUNTIFS('Calculations'!$HR$13:$HR$512,"="&amp;SUBSTITUTE(SUBSTITUTE(SUBSTITUTE('Calculations'!HF145,"~","~~"),"*","~*"),"?","~?"),'Calculations'!$HN$13:$HN$512,"="&amp;SUBSTITUTE(SUBSTITUTE(SUBSTITUTE('Dashboard'!$B$7,"~","~~"),"*","~*"),"?","~?"))+COUNTIFS('Calculations'!$HS$13:$HS$512,"="&amp;SUBSTITUTE(SUBSTITUTE(SUBSTITUTE('Calculations'!HF145,"~","~~"),"*","~*"),"?","~?"),'Calculations'!$HN$13:$HN$512,"="&amp;SUBSTITUTE(SUBSTITUTE(SUBSTITUTE('Dashboard'!$B$7,"~","~~"),"*","~*"),"?","~?"))+COUNTIFS('Calculations'!$HT$13:$HT$512,"="&amp;SUBSTITUTE(SUBSTITUTE(SUBSTITUTE('Calculations'!HF145,"~","~~"),"*","~*"),"?","~?"),'Calculations'!$HN$13:$HN$512,"="&amp;SUBSTITUTE(SUBSTITUTE(SUBSTITUTE('Dashboard'!$B$7,"~","~~"),"*","~*"),"?","~?"))+COUNTIFS('Calculations'!$HU$13:$HU$512,"="&amp;SUBSTITUTE(SUBSTITUTE(SUBSTITUTE('Calculations'!HF145,"~","~~"),"*","~*"),"?","~?"),'Calculations'!$HN$13:$HN$512,"="&amp;SUBSTITUTE(SUBSTITUTE(SUBSTITUTE('Dashboard'!$B$7,"~","~~"),"*","~*"),"?","~?"))+COUNTIFS('Calculations'!$HV$13:$HV$512,"="&amp;SUBSTITUTE(SUBSTITUTE(SUBSTITUTE('Calculations'!HF145,"~","~~"),"*","~*"),"?","~?"),'Calculations'!$HN$13:$HN$512,"="&amp;SUBSTITUTE(SUBSTITUTE(SUBSTITUTE('Dashboard'!$B$7,"~","~~"),"*","~*"),"?","~?"))+COUNTIFS('Calculations'!$HW$13:$HW$512,"="&amp;SUBSTITUTE(SUBSTITUTE(SUBSTITUTE('Calculations'!HF145,"~","~~"),"*","~*"),"?","~?"),'Calculations'!$HN$13:$HN$512,"="&amp;SUBSTITUTE(SUBSTITUTE(SUBSTITUTE('Dashboard'!$B$7,"~","~~"),"*","~*"),"?","~?"))+COUNTIFS('Calculations'!$HX$13:$HX$512,"="&amp;SUBSTITUTE(SUBSTITUTE(SUBSTITUTE('Calculations'!HF145,"~","~~"),"*","~*"),"?","~?"),'Calculations'!$HN$13:$HN$512,"="&amp;SUBSTITUTE(SUBSTITUTE(SUBSTITUTE('Dashboard'!$B$7,"~","~~"),"*","~*"),"?","~?"))+COUNTIFS('Calculations'!$HY$13:$HY$512,"="&amp;SUBSTITUTE(SUBSTITUTE(SUBSTITUTE('Calculations'!HF145,"~","~~"),"*","~*"),"?","~?"),'Calculations'!$HN$13:$HN$512,"="&amp;SUBSTITUTE(SUBSTITUTE(SUBSTITUTE('Dashboard'!$B$7,"~","~~"),"*","~*"),"?","~?"))+COUNTIFS('Calculations'!$HZ$13:$HZ$512,"="&amp;SUBSTITUTE(SUBSTITUTE(SUBSTITUTE('Calculations'!HF145,"~","~~"),"*","~*"),"?","~?"),'Calculations'!$HN$13:$HN$512,"="&amp;SUBSTITUTE(SUBSTITUTE(SUBSTITUTE('Dashboard'!$B$7,"~","~~"),"*","~*"),"?","~?"))+COUNTIFS('Calculations'!$IA$13:$IA$512,"="&amp;SUBSTITUTE(SUBSTITUTE(SUBSTITUTE('Calculations'!HF145,"~","~~"),"*","~*"),"?","~?"),'Calculations'!$HN$13:$HN$512,"="&amp;SUBSTITUTE(SUBSTITUTE(SUBSTITUTE('Dashboard'!$B$7,"~","~~"),"*","~*"),"?","~?"))+COUNTIFS('Calculations'!$IB$13:$IB$512,"="&amp;SUBSTITUTE(SUBSTITUTE(SUBSTITUTE('Calculations'!HF145,"~","~~"),"*","~*"),"?","~?"),'Calculations'!$HN$13:$HN$512,"="&amp;SUBSTITUTE(SUBSTITUTE(SUBSTITUTE('Dashboard'!$B$7,"~","~~"),"*","~*"),"?","~?"))+COUNTIFS('Calculations'!$IC$13:$IC$512,"="&amp;SUBSTITUTE(SUBSTITUTE(SUBSTITUTE('Calculations'!HF145,"~","~~"),"*","~*"),"?","~?"),'Calculations'!$HN$13:$HN$512,"="&amp;SUBSTITUTE(SUBSTITUTE(SUBSTITUTE('Dashboard'!$B$7,"~","~~"),"*","~*"),"?","~?"))+COUNTIFS('Calculations'!$ID$13:$ID$512,"="&amp;SUBSTITUTE(SUBSTITUTE(SUBSTITUTE('Calculations'!HF145,"~","~~"),"*","~*"),"?","~?"),'Calculations'!$HN$13:$HN$512,"="&amp;SUBSTITUTE(SUBSTITUTE(SUBSTITUTE('Dashboard'!$B$7,"~","~~"),"*","~*"),"?","~?"))+COUNTIFS('Calculations'!$IE$13:$IE$512,"="&amp;SUBSTITUTE(SUBSTITUTE(SUBSTITUTE('Calculations'!HF145,"~","~~"),"*","~*"),"?","~?"),'Calculations'!$HN$13:$HN$512,"="&amp;SUBSTITUTE(SUBSTITUTE(SUBSTITUTE('Dashboard'!$B$7,"~","~~"),"*","~*"),"?","~?"))+COUNTIFS('Calculations'!$IF$13:$IF$512,"="&amp;SUBSTITUTE(SUBSTITUTE(SUBSTITUTE('Calculations'!HF145,"~","~~"),"*","~*"),"?","~?"),'Calculations'!$HN$13:$HN$512,"="&amp;SUBSTITUTE(SUBSTITUTE(SUBSTITUTE('Dashboard'!$B$7,"~","~~"),"*","~*"),"?","~?"))+COUNTIFS('Calculations'!$IG$13:$IG$512,"="&amp;SUBSTITUTE(SUBSTITUTE(SUBSTITUTE('Calculations'!HF145,"~","~~"),"*","~*"),"?","~?"),'Calculations'!$HN$13:$HN$512,"="&amp;SUBSTITUTE(SUBSTITUTE(SUBSTITUTE('Dashboard'!$B$7,"~","~~"),"*","~*"),"?","~?"))+COUNTIFS('Calculations'!$IH$13:$IH$512,"="&amp;SUBSTITUTE(SUBSTITUTE(SUBSTITUTE('Calculations'!HF145,"~","~~"),"*","~*"),"?","~?"),'Calculations'!$HN$13:$HN$512,"="&amp;SUBSTITUTE(SUBSTITUTE(SUBSTITUTE('Dashboard'!$B$7,"~","~~"),"*","~*"),"?","~?"))))</x:f>
        <x:v>0</x:v>
      </x:c>
      <x:c r="JD145" t="n">
        <x:f>IF('Calculations'!EM145="",0,IF('Dashboard'!$B$7="All",1,IF('Calculations'!HN145='Dashboard'!$B$7,1,0)+IFERROR(INDEX('Calculations'!$JC$13:$JC$512,MATCH('Calculations'!HE145,'Calculations'!$HF$13:$HF$512,0)),0)))</x:f>
        <x:v>0</x:v>
      </x:c>
      <x:c r="JE145" t="n">
        <x:f>IF(AND('Calculations'!EM145&lt;&gt;"",'Calculations'!$JJ$2&lt;&gt;"All",'Calculations'!$JJ$2&lt;&gt;"",'Calculations'!HF145='Calculations'!$JJ$2,'Calculations'!HL145=0,'Calculations'!JD145&gt;0),MAX('Calculations'!$JE$12:JE144)+1,0)</x:f>
        <x:v>0</x:v>
      </x:c>
      <x:c r="JF145" t="str">
        <x:f>IF('Calculations'!EM145="","",IFERROR(IF(INDEX(INDIRECT("'WCM Calibration Final'!$G$1:$G$2000"),'Calculations'!$EM145)="","",TRIM(INDEX(INDIRECT("'WCM Calibration Final'!$G$1:$G$2000"),'Calculations'!$EM145)&amp;"")),""))</x:f>
      </x:c>
      <x:c r="JQ145" t="n">
        <x:f>IF(OR('Calculations'!BM145=0,NOT('Calculations'!$AG$2),'Calculations'!$AG$8&gt;0),0,IF(OR('Dashboard'!$B$7="All",'Calculations'!HN145='Dashboard'!$B$7),IF('Calculations'!$JJ$2="All",1,IF(AND('Calculations'!HF145='Calculations'!$JJ$2,'Calculations'!HL145=0),1,0)),0))</x:f>
        <x:v>0</x:v>
      </x:c>
    </x:row>
    <x:row r="146">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t="n">
        <x:f>IF('Calculations'!$EM146="",0,IF(OR(IFERROR(INDEX(INDIRECT("'WCM Calibration Final'!$A$1:$A$2000"),'Calculations'!$EM146)&lt;&gt;"",FALSE),IFERROR(INDEX(INDIRECT("'WCM Calibration Final'!$B$1:$B$2000"),'Calculations'!$EM146)&lt;&gt;"",FALSE),IFERROR(INDEX(INDIRECT("'WCM Calibration Final'!$C$1:$C$2000"),'Calculations'!$EM146)&lt;&gt;"",FALSE)),1,0))</x:f>
        <x:v>0</x:v>
      </x:c>
      <x:c r="BN146" s="4" t="n">
        <x:f>IF(AND('Calculations'!BM146=1,'Calculations'!$AG$2,'Calculations'!$EN146=1),1,0)</x:f>
        <x:v>0</x:v>
      </x:c>
      <x:c r="BO146" s="4" t="str">
        <x:f>IF('Calculations'!BM146=0,"",IFERROR(IF(AND(VALUE(INDEX(INDIRECT("'WCM Calibration Final'!$K$1:$K$2000"),'Calculations'!$EM146))&gt;=1,VALUE(INDEX(INDIRECT("'WCM Calibration Final'!$K$1:$K$2000"),'Calculations'!$EM146))&lt;=4,MOD(VALUE(INDEX(INDIRECT("'WCM Calibration Final'!$K$1:$K$2000"),'Calculations'!$EM146)),1)=0),VALUE(INDEX(INDIRECT("'WCM Calibration Final'!$K$1:$K$2000"),'Calculations'!$EM146)),""),""))</x:f>
      </x:c>
      <x:c r="BP146" s="4" t="str">
        <x:f>IF('Calculations'!BM146=0,"",IFERROR(IF(AND(VALUE(INDEX(INDIRECT("'WCM Calibration Final'!$L$1:$L$2000"),'Calculations'!$EM146))&gt;=1,VALUE(INDEX(INDIRECT("'WCM Calibration Final'!$L$1:$L$2000"),'Calculations'!$EM146))&lt;=4,MOD(VALUE(INDEX(INDIRECT("'WCM Calibration Final'!$L$1:$L$2000"),'Calculations'!$EM146)),1)=0),VALUE(INDEX(INDIRECT("'WCM Calibration Final'!$L$1:$L$2000"),'Calculations'!$EM146)),""),""))</x:f>
      </x:c>
      <x:c r="BQ146" s="4"/>
      <x:c r="BR146" s="4"/>
      <x:c r="BS146" s="4"/>
      <x:c r="BT146" s="4" t="n">
        <x:f>IF(AND('Calculations'!BM146=1,ISNUMBER('Calculations'!BO146),ISNUMBER('Calculations'!BP146)),1,0)</x:f>
        <x:v>0</x:v>
      </x:c>
      <x:c r="BU146" s="4" t="str">
        <x:f>IF('Calculations'!BM146=0,"",'Calculations'!$EO146)</x:f>
      </x:c>
      <x:c r="BV146" s="4" t="str">
        <x:f>IF('Calculations'!BM146=0,"",IFERROR(IF(OR(INDEX(INDIRECT("'WCM Calibration Final'!$H$1:$H$2000"),'Calculations'!$EM146)="MANAGING DIRECTOR",INDEX(INDIRECT("'WCM Calibration Final'!$H$1:$H$2000"),'Calculations'!$EM146)="DIRECTOR",INDEX(INDIRECT("'WCM Calibration Final'!$H$1:$H$2000"),'Calculations'!$EM146)="SENIOR VICE PRESIDENT",INDEX(INDIRECT("'WCM Calibration Final'!$H$1:$H$2000"),'Calculations'!$EM146)="VICE PRESIDENT",INDEX(INDIRECT("'WCM Calibration Final'!$H$1:$H$2000"),'Calculations'!$EM146)="ASSISTANT VICE PRESIDENT",INDEX(INDIRECT("'WCM Calibration Final'!$H$1:$H$2000"),'Calculations'!$EM146)="OFFICER"),UPPER(INDEX(INDIRECT("'WCM Calibration Final'!$H$1:$H$2000"),'Calculations'!$EM146)),"Other"),"Other"))</x:f>
      </x:c>
      <x:c r="BW146" s="4"/>
      <x:c r="BX146" s="4"/>
      <x:c r="BY146" s="4" t="n">
        <x:f>IF(AND('Calculations'!BM146=1,'Calculations'!BU146&lt;&gt;"",COUNTIF('Calculations'!$BU$12:BU146,'Calculations'!BU146)=1),MAX('Calculations'!$BY$11:BY145)+1,0)</x:f>
        <x:v>0</x:v>
      </x:c>
      <x:c r="BZ146" s="4" t="str">
        <x:f>IF('Dashboard'!$E$67="What",'Calculations'!BO146,'Calculations'!BP146)</x:f>
      </x:c>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t="str">
        <x:f>IF(135&gt;MAX('Calculations'!$HI$13:$HI$512),"",INDEX('Calculations'!$HN$13:$HN$512,MATCH(135,'Calculations'!$HI$13:$HI$512,0)))</x:f>
      </x:c>
      <x:c r="DB146" s="4" t="str">
        <x:f>IF(135&gt;MAX('Calculations'!$HH$13:$HH$512),"",INDEX('Calculations'!$HJ$13:$HJ$512,MATCH(135,'Calculations'!$HH$13:$HH$512,0)))</x:f>
      </x:c>
      <x:c r="DC146" s="4" t="str">
        <x:f>IF(ROW()-11&gt;MAX('Calculations'!$BY$13:$BY$512),"",INDEX('Calculations'!$BU$13:$BU$512,MATCH(ROW()-11,'Calculations'!$BY$13:$BY$512,0)))</x:f>
      </x:c>
      <x:c r="DD146" s="4" t="str">
        <x:f>IF(135&gt;MAX('Calculations'!$IK$13:$IK$512),"",INDEX('Calculations'!$HK$13:$HK$512,MATCH(135,'Calculations'!$IK$13:$IK$512,0)))</x:f>
      </x:c>
      <x:c r="DE146" s="4" t="str">
        <x:f>'Calculations'!DC146</x:f>
      </x:c>
      <x:c r="DF146" s="4" t="str">
        <x:f>IF('Calculations'!DE146="","",COUNTIFS('Calculations'!$BN$13:$BN$512,1,'Calculations'!$BU$13:$BU$512,'Calculations'!DE146))</x:f>
      </x:c>
      <x:c r="DG146" s="4" t="str">
        <x:f>IF('Calculations'!DE146="","",COUNTIFS('Calculations'!$BN$13:$BN$512,1,'Calculations'!$BU$13:$BU$512,'Calculations'!DE146,'Calculations'!$BT$13:$BT$512,1))</x:f>
      </x:c>
      <x:c r="DH146" s="4" t="str">
        <x:f>IF('Calculations'!DE146="","",'Calculations'!DF146-'Calculations'!DG146)</x:f>
      </x:c>
      <x:c r="DI146" s="4" t="str">
        <x:f>IF(OR('Calculations'!DE146="",'Calculations'!DF146=0),"",'Calculations'!DG146/'Calculations'!DF146)</x:f>
      </x:c>
      <x:c r="DJ146" s="4" t="str">
        <x:f>IF('Calculations'!DE146="","",COUNTIFS('Calculations'!$BN$13:$BN$512,1,'Calculations'!$BU$13:$BU$512,'Calculations'!DE146,'Calculations'!$BT$13:$BT$512,1,'Calculations'!$EE$13:$EE$512,"High"))</x:f>
      </x:c>
      <x:c r="DK146" s="4" t="str">
        <x:f>IF('Calculations'!DE146="","",COUNTIFS('Calculations'!$BN$13:$BN$512,1,'Calculations'!$BU$13:$BU$512,'Calculations'!DE146,'Calculations'!$BT$13:$BT$512,1,'Calculations'!$EE$13:$EE$512,"Strong"))</x:f>
      </x:c>
      <x:c r="DL146" s="4" t="str">
        <x:f>IF('Calculations'!DE146="","",COUNTIFS('Calculations'!$BN$13:$BN$512,1,'Calculations'!$BU$13:$BU$512,'Calculations'!DE146,'Calculations'!$BT$13:$BT$512,1,'Calculations'!$EE$13:$EE$512,"Solid"))</x:f>
      </x:c>
      <x:c r="DM146" s="4" t="str">
        <x:f>IF('Calculations'!DE146="","",COUNTIFS('Calculations'!$BN$13:$BN$512,1,'Calculations'!$BU$13:$BU$512,'Calculations'!DE146,'Calculations'!$BT$13:$BT$512,1,'Calculations'!$EE$13:$EE$512,"Low"))</x:f>
      </x:c>
      <x:c r="DN146" s="4" t="str">
        <x:f>IF('Calculations'!DE146="","",COUNTIFS('Calculations'!$BN$13:$BN$512,1,'Calculations'!$BU$13:$BU$512,'Calculations'!DE146,'Calculations'!$EP$13:$EP$512,1))</x:f>
      </x:c>
      <x:c r="DO146" s="4" t="str">
        <x:f>IF(OR('Calculations'!DE146="",'Calculations'!DG146=0),"",('Calculations'!DJ146+'Calculations'!DK146)/'Calculations'!DG146)</x:f>
      </x:c>
      <x:c r="DP146" s="4" t="n">
        <x:f>IF(AND('Calculations'!DE146&lt;&gt;"",'Calculations'!DF146&gt;0),COUNTIF('Calculations'!$DF$12:DF146,"&gt;0"),0)</x:f>
        <x:v>0</x:v>
      </x:c>
      <x:c r="DQ146" s="4" t="str">
        <x:f>IF(135&gt;MAX('Calculations'!$HH$13:$HH$512),"",INDEX('Calculations'!$HF$13:$HF$512,MATCH(135,'Calculations'!$HH$13:$HH$512,0)))</x:f>
      </x:c>
      <x:c r="DR146" s="4" t="str">
        <x:f>IF(135&gt;MAX('Calculations'!$IK$13:$IK$512),"",INDEX('Calculations'!$HE$13:$HE$512,MATCH(135,'Calculations'!$IK$13:$IK$512,0)))</x:f>
      </x:c>
      <x:c r="DS146" s="4"/>
      <x:c r="DT146" s="4"/>
      <x:c r="DU146" s="4"/>
      <x:c r="DV146" s="4"/>
      <x:c r="DW146" s="4"/>
      <x:c r="DX146" s="4"/>
      <x:c r="DY146" s="4"/>
      <x:c r="DZ146" s="4"/>
      <x:c r="EA146" s="4"/>
      <x:c r="EB146" s="4"/>
      <x:c r="EC146" s="4"/>
      <x:c r="ED146" s="4"/>
      <x:c r="EE146" s="4" t="str">
        <x:f>IF('Calculations'!BT146=0,"Not Rated",IF(OR('Calculations'!BO146&gt;=4,'Calculations'!BP146&gt;=4),"Low",IF('Calculations'!BO146+'Calculations'!BP146&lt;=3,"High",IF('Calculations'!BO146+'Calculations'!BP146&lt;=4,"Strong","Solid"))))</x:f>
        <x:v>Not Rated</x:v>
      </x:c>
      <x:c r="EF146" s="4"/>
      <x:c r="EG146" s="4"/>
      <x:c r="EH146" s="4"/>
      <x:c r="EI146" s="4"/>
      <x:c r="EJ146" s="4"/>
      <x:c r="EK146" s="4"/>
      <x:c r="EL146" s="4"/>
      <x:c r="EM146" s="4" t="str">
        <x:f>IF(134&gt;'Calculations'!$JB$2000,"",INDEX('Calculations'!$JA$12:$JA$2000,MATCH(134,'Calculations'!$JB$12:$JB$2000,0)))</x:f>
      </x:c>
      <x:c r="EN146" s="4" t="n">
        <x:f>IF(OR('Calculations'!EM146="",'Calculations'!$AG$8&gt;0,AND('Calculations'!$EF$2&lt;&gt;"All",'Calculations'!HE146='Calculations'!$EF$2),AND('Calculations'!$EF$3&lt;&gt;"All",'Calculations'!HE146='Calculations'!$EF$3)),0,IF(OR('Dashboard'!$B$7="All",'Calculations'!HN146='Dashboard'!$B$7),IF('Calculations'!$EF$2="All",1,IF('Calculations'!HL146&gt;0,0,IF(COUNTIF('Calculations'!HO146:II146,"="&amp;SUBSTITUTE(SUBSTITUTE(SUBSTITUTE('Calculations'!$EF$2,"~","~~"),"*","~*"),"?","~?"))=0,0,IF('Calculations'!$EF$3="All",1,IF(COUNTIF('Calculations'!HO146:II146,"="&amp;SUBSTITUTE(SUBSTITUTE(SUBSTITUTE('Calculations'!$EF$3,"~","~~"),"*","~*"),"?","~?"))&gt;0,1,0))))),0))</x:f>
        <x:v>0</x:v>
      </x:c>
      <x:c r="EO146" s="4" t="str">
        <x:f>IF('Calculations'!IJ146="","",IF('Calculations'!IJ146="!UNRESOLVED","Unresolved hierarchy",IFERROR(INDEX('Calculations'!$HK$13:$HK$512,MATCH('Calculations'!IJ146,'Calculations'!$HE$13:$HE$512,0)),IFERROR(INDEX('Calculations'!$HJ$13:$HJ$512,MATCH('Calculations'!IJ146,'Calculations'!$HF$13:$HF$512,0)),'Calculations'!IJ146))))</x:f>
      </x:c>
      <x:c r="EP146" s="4" t="n">
        <x:f>IF(AND('Calculations'!EM146&lt;&gt;"",'Calculations'!HF146='Calculations'!IJ146),1,0)</x:f>
        <x:v>0</x:v>
      </x:c>
      <x:c r="EQ146" s="4"/>
      <x:c r="ER146" s="4"/>
      <x:c r="ES146" s="4"/>
      <x:c r="ET146" s="4"/>
      <x:c r="EU146" s="4"/>
      <x:c r="EV146" s="4"/>
      <x:c r="EW146" s="4"/>
      <x:c r="EX146" s="4"/>
      <x:c r="EY146" s="4"/>
      <x:c r="EZ146" s="4"/>
      <x:c r="FA146" s="4"/>
      <x:c r="FB146" s="4"/>
      <x:c r="FC146" s="4"/>
      <x:c r="FD146" s="4"/>
      <x:c r="FE146" s="4"/>
      <x:c r="FF146" s="4"/>
      <x:c r="FG146" s="4"/>
      <x:c r="FH146" s="4"/>
      <x:c r="FI146" s="4"/>
      <x:c r="FJ146" s="4"/>
      <x:c r="FK146" s="4"/>
      <x:c r="FL146" s="4"/>
      <x:c r="FM146" s="4"/>
      <x:c r="FN146" s="4"/>
      <x:c r="FO146" s="4"/>
      <x:c r="GA146" s="71"/>
      <x:c r="GB146" s="71"/>
      <x:c r="GC146" s="71"/>
      <x:c r="GD146" s="71"/>
      <x:c r="GE146" s="71"/>
      <x:c r="GF146" s="71"/>
      <x:c r="GG146" s="71"/>
      <x:c r="GH146" s="71"/>
      <x:c r="GI146" s="71"/>
      <x:c r="GJ146" s="71"/>
      <x:c r="GK146" s="71"/>
      <x:c r="GL146" s="71"/>
      <x:c r="GM146" s="71"/>
      <x:c r="GN146" s="71"/>
      <x:c r="GO146" s="71"/>
      <x:c r="GP146" s="71"/>
      <x:c r="GQ146" s="71"/>
      <x:c r="GR146" s="71"/>
      <x:c r="GS146" s="71"/>
      <x:c r="GT146" s="71"/>
      <x:c r="GU146" s="71"/>
      <x:c r="GV146" s="71"/>
      <x:c r="GW146" s="71"/>
      <x:c r="GX146" s="71"/>
      <x:c r="GY146" s="71"/>
      <x:c r="GZ146" s="71"/>
      <x:c r="HA146" s="71"/>
      <x:c r="HB146" s="71"/>
      <x:c r="HC146" s="71"/>
      <x:c r="HD146" s="71"/>
      <x:c r="HE146" t="str">
        <x:f>IF('Calculations'!EM146="","",IF(IFERROR(IF(INDEX(INDIRECT("'WCM Calibration Final'!$A$1:$A$2000"),'Calculations'!$EM146)="","",TRIM(INDEX(INDIRECT("'WCM Calibration Final'!$A$1:$A$2000"),'Calculations'!$EM146)&amp;"")),"")&lt;&gt;"","G:"&amp;IFERROR(TEXT(1*INDEX(INDIRECT("'WCM Calibration Final'!$A$1:$A$2000"),'Calculations'!$EM146),"0"),UPPER(IFERROR(IF(INDEX(INDIRECT("'WCM Calibration Final'!$A$1:$A$2000"),'Calculations'!$EM146)="","",TRIM(INDEX(INDIRECT("'WCM Calibration Final'!$A$1:$A$2000"),'Calculations'!$EM146)&amp;"")),""))),IF(IFERROR(IF(INDEX(INDIRECT("'WCM Calibration Final'!$C$1:$C$2000"),'Calculations'!$EM146)="","",TRIM(INDEX(INDIRECT("'WCM Calibration Final'!$C$1:$C$2000"),'Calculations'!$EM146)&amp;"")),"")&lt;&gt;"","S:"&amp;UPPER(IFERROR(IF(INDEX(INDIRECT("'WCM Calibration Final'!$C$1:$C$2000"),'Calculations'!$EM146)="","",TRIM(INDEX(INDIRECT("'WCM Calibration Final'!$C$1:$C$2000"),'Calculations'!$EM146)&amp;"")),"")),"R:"&amp;'Calculations'!EM146)))</x:f>
      </x:c>
      <x:c r="HF146" t="str">
        <x:f>IF('Calculations'!EM146="","",IF(IFERROR(IF(INDEX(INDIRECT("'WCM Calibration Final'!$D$1:$D$2000"),'Calculations'!$EM146)="","",TRIM(INDEX(INDIRECT("'WCM Calibration Final'!$D$1:$D$2000"),'Calculations'!$EM146)&amp;"")),"")&lt;&gt;"","G:"&amp;IFERROR(TEXT(1*INDEX(INDIRECT("'WCM Calibration Final'!$D$1:$D$2000"),'Calculations'!$EM146),"0"),UPPER(IFERROR(IF(INDEX(INDIRECT("'WCM Calibration Final'!$D$1:$D$2000"),'Calculations'!$EM146)="","",TRIM(INDEX(INDIRECT("'WCM Calibration Final'!$D$1:$D$2000"),'Calculations'!$EM146)&amp;"")),""))),IF(IFERROR(IF(INDEX(INDIRECT("'WCM Calibration Final'!$E$1:$E$2000"),'Calculations'!$EM146)="","",TRIM(INDEX(INDIRECT("'WCM Calibration Final'!$E$1:$E$2000"),'Calculations'!$EM146)&amp;"")),"")="","",IF(COUNTIF('Calculations'!$HG$13:$HG$512,"="&amp;SUBSTITUTE(SUBSTITUTE(SUBSTITUTE(IFERROR(IF(INDEX(INDIRECT("'WCM Calibration Final'!$E$1:$E$2000"),'Calculations'!$EM146)="","",TRIM(INDEX(INDIRECT("'WCM Calibration Final'!$E$1:$E$2000"),'Calculations'!$EM146)&amp;"")),""),"~","~~"),"*","~*"),"?","~?"))=1,INDEX('Calculations'!$HE$13:$HE$512,MATCH(IFERROR(IF(INDEX(INDIRECT("'WCM Calibration Final'!$E$1:$E$2000"),'Calculations'!$EM146)="","",TRIM(INDEX(INDIRECT("'WCM Calibration Final'!$E$1:$E$2000"),'Calculations'!$EM146)&amp;"")),""),'Calculations'!$HG$13:$HG$512,0)),IF(COUNTIF('Calculations'!$HG$13:$HG$512,"="&amp;SUBSTITUTE(SUBSTITUTE(SUBSTITUTE(IFERROR(IF(INDEX(INDIRECT("'WCM Calibration Final'!$E$1:$E$2000"),'Calculations'!$EM146)="","",TRIM(INDEX(INDIRECT("'WCM Calibration Final'!$E$1:$E$2000"),'Calculations'!$EM146)&amp;"")),""),"~","~~"),"*","~*"),"?","~?"))&gt;1,"!AMBIG","X:"&amp;IFERROR(IF(INDEX(INDIRECT("'WCM Calibration Final'!$E$1:$E$2000"),'Calculations'!$EM146)="","",TRIM(INDEX(INDIRECT("'WCM Calibration Final'!$E$1:$E$2000"),'Calculations'!$EM146)&amp;"")),""))))))</x:f>
      </x:c>
      <x:c r="HG146" t="str">
        <x:f>IF('Calculations'!EM146="","",IFERROR(IF(INDEX(INDIRECT("'WCM Calibration Final'!$B$1:$B$2000"),'Calculations'!$EM146)="","",TRIM(INDEX(INDIRECT("'WCM Calibration Final'!$B$1:$B$2000"),'Calculations'!$EM146)&amp;"")),""))</x:f>
      </x:c>
      <x:c r="HH146" t="n">
        <x:f>IF(AND('Calculations'!JC146&gt;0,COUNTIF('Calculations'!$HF$12:HF146,"="&amp;SUBSTITUTE(SUBSTITUTE(SUBSTITUTE('Calculations'!HF146,"~","~~"),"*","~*"),"?","~?"))=1),MAX('Calculations'!$HH$12:HH145)+1,0)</x:f>
        <x:v>0</x:v>
      </x:c>
      <x:c r="HI146" t="n">
        <x:f>IF(AND('Calculations'!HN146&lt;&gt;"",COUNTIF('Calculations'!$HN$12:HN146,"="&amp;SUBSTITUTE(SUBSTITUTE(SUBSTITUTE('Calculations'!HN146,"~","~~"),"*","~*"),"?","~?"))=1),MAX('Calculations'!$HI$12:HI145)+1,0)</x:f>
        <x:v>0</x:v>
      </x:c>
      <x:c r="HJ146" t="str">
        <x:f>IF('Calculations'!HF146="","",IF(COUNTIF('Calculations'!$HE$13:$HE$512,"="&amp;SUBSTITUTE(SUBSTITUTE(SUBSTITUTE('Calculations'!HF146,"~","~~"),"*","~*"),"?","~?"))=1,INDEX('Calculations'!$HK$13:$HK$512,MATCH('Calculations'!HF146,'Calculations'!$HE$13:$HE$512,0)),IFERROR(IF(INDEX(INDIRECT("'WCM Calibration Final'!$E$1:$E$2000"),'Calculations'!$EM146)="","",TRIM(INDEX(INDIRECT("'WCM Calibration Final'!$E$1:$E$2000"),'Calculations'!$EM146)&amp;"")),"")&amp;" ["&amp;'Calculations'!HF146&amp;"]"))</x:f>
      </x:c>
      <x:c r="HK146" t="str">
        <x:f>IF('Calculations'!EM146="","",'Calculations'!HG146&amp;" ["&amp;'Calculations'!HE146&amp;"]")</x:f>
      </x:c>
      <x:c r="HL146" t="n">
        <x:f>IF('Calculations'!EM146="",0,IF(OR('Calculations'!II146&lt;&gt;"",COUNTIF('Calculations'!$HE$13:$HE$512,"="&amp;SUBSTITUTE(SUBSTITUTE(SUBSTITUTE('Calculations'!HE146,"~","~~"),"*","~*"),"?","~?"))&gt;1),1,0))</x:f>
        <x:v>0</x:v>
      </x:c>
      <x:c r="HM146" t="str">
        <x:f>IF('Calculations'!EM146="","",IF('Calculations'!HL146=1,"!UNRESOLVED",IF('Calculations'!IH146&lt;&gt;"",'Calculations'!IH146,IF('Calculations'!IG146&lt;&gt;"",'Calculations'!IG146,IF('Calculations'!IF146&lt;&gt;"",'Calculations'!IF146,IF('Calculations'!IE146&lt;&gt;"",'Calculations'!IE146,IF('Calculations'!ID146&lt;&gt;"",'Calculations'!ID146,IF('Calculations'!IC146&lt;&gt;"",'Calculations'!IC146,IF('Calculations'!IB146&lt;&gt;"",'Calculations'!IB146,IF('Calculations'!IA146&lt;&gt;"",'Calculations'!IA146,IF('Calculations'!HZ146&lt;&gt;"",'Calculations'!HZ146,IF('Calculations'!HY146&lt;&gt;"",'Calculations'!HY146,IF('Calculations'!HX146&lt;&gt;"",'Calculations'!HX146,IF('Calculations'!HW146&lt;&gt;"",'Calculations'!HW146,IF('Calculations'!HV146&lt;&gt;"",'Calculations'!HV146,IF('Calculations'!HU146&lt;&gt;"",'Calculations'!HU146,IF('Calculations'!HT146&lt;&gt;"",'Calculations'!HT146,IF('Calculations'!HS146&lt;&gt;"",'Calculations'!HS146,IF('Calculations'!HR146&lt;&gt;"",'Calculations'!HR146,IF('Calculations'!HQ146&lt;&gt;"",'Calculations'!HQ146,IF('Calculations'!HP146&lt;&gt;"",'Calculations'!HP146,IF('Calculations'!HO146&lt;&gt;"",'Calculations'!HO146,'Calculations'!HE146))))))))))))))))))))))</x:f>
      </x:c>
      <x:c r="HN146" t="str">
        <x:f>IF('Calculations'!EM146="","",IF(IFERROR(IF(INDEX(INDIRECT("'WCM Calibration Final'!$F$1:$F$2000"),'Calculations'!$EM146)="","",TRIM(INDEX(INDIRECT("'WCM Calibration Final'!$F$1:$F$2000"),'Calculations'!$EM146)&amp;"")),"")="","(Blank)",IFERROR(IF(INDEX(INDIRECT("'WCM Calibration Final'!$F$1:$F$2000"),'Calculations'!$EM146)="","",TRIM(INDEX(INDIRECT("'WCM Calibration Final'!$F$1:$F$2000"),'Calculations'!$EM146)&amp;"")),"")))</x:f>
      </x:c>
      <x:c r="HO146" t="str">
        <x:f>'Calculations'!HF146</x:f>
      </x:c>
      <x:c r="HP146" t="str">
        <x:f>IF('Calculations'!HO146="","",IF('Calculations'!HO146="!AMBIG","!AMBIG",IF(COUNTIF('Calculations'!$HE$13:$HE$512,"="&amp;SUBSTITUTE(SUBSTITUTE(SUBSTITUTE('Calculations'!HO146,"~","~~"),"*","~*"),"?","~?"))&gt;1,"!AMBIG",IFERROR(INDEX('Calculations'!$HF$13:$HF$512,MATCH('Calculations'!HO146,'Calculations'!$HE$13:$HE$512,0)),""))))</x:f>
      </x:c>
      <x:c r="HQ146" t="str">
        <x:f>IF('Calculations'!HP146="","",IF('Calculations'!HP146="!AMBIG","!AMBIG",IF(COUNTIF('Calculations'!$HE$13:$HE$512,"="&amp;SUBSTITUTE(SUBSTITUTE(SUBSTITUTE('Calculations'!HP146,"~","~~"),"*","~*"),"?","~?"))&gt;1,"!AMBIG",IFERROR(INDEX('Calculations'!$HF$13:$HF$512,MATCH('Calculations'!HP146,'Calculations'!$HE$13:$HE$512,0)),""))))</x:f>
      </x:c>
      <x:c r="HR146" t="str">
        <x:f>IF('Calculations'!HQ146="","",IF('Calculations'!HQ146="!AMBIG","!AMBIG",IF(COUNTIF('Calculations'!$HE$13:$HE$512,"="&amp;SUBSTITUTE(SUBSTITUTE(SUBSTITUTE('Calculations'!HQ146,"~","~~"),"*","~*"),"?","~?"))&gt;1,"!AMBIG",IFERROR(INDEX('Calculations'!$HF$13:$HF$512,MATCH('Calculations'!HQ146,'Calculations'!$HE$13:$HE$512,0)),""))))</x:f>
      </x:c>
      <x:c r="HS146" t="str">
        <x:f>IF('Calculations'!HR146="","",IF('Calculations'!HR146="!AMBIG","!AMBIG",IF(COUNTIF('Calculations'!$HE$13:$HE$512,"="&amp;SUBSTITUTE(SUBSTITUTE(SUBSTITUTE('Calculations'!HR146,"~","~~"),"*","~*"),"?","~?"))&gt;1,"!AMBIG",IFERROR(INDEX('Calculations'!$HF$13:$HF$512,MATCH('Calculations'!HR146,'Calculations'!$HE$13:$HE$512,0)),""))))</x:f>
      </x:c>
      <x:c r="HT146" t="str">
        <x:f>IF('Calculations'!HS146="","",IF('Calculations'!HS146="!AMBIG","!AMBIG",IF(COUNTIF('Calculations'!$HE$13:$HE$512,"="&amp;SUBSTITUTE(SUBSTITUTE(SUBSTITUTE('Calculations'!HS146,"~","~~"),"*","~*"),"?","~?"))&gt;1,"!AMBIG",IFERROR(INDEX('Calculations'!$HF$13:$HF$512,MATCH('Calculations'!HS146,'Calculations'!$HE$13:$HE$512,0)),""))))</x:f>
      </x:c>
      <x:c r="HU146" t="str">
        <x:f>IF('Calculations'!HT146="","",IF('Calculations'!HT146="!AMBIG","!AMBIG",IF(COUNTIF('Calculations'!$HE$13:$HE$512,"="&amp;SUBSTITUTE(SUBSTITUTE(SUBSTITUTE('Calculations'!HT146,"~","~~"),"*","~*"),"?","~?"))&gt;1,"!AMBIG",IFERROR(INDEX('Calculations'!$HF$13:$HF$512,MATCH('Calculations'!HT146,'Calculations'!$HE$13:$HE$512,0)),""))))</x:f>
      </x:c>
      <x:c r="HV146" t="str">
        <x:f>IF('Calculations'!HU146="","",IF('Calculations'!HU146="!AMBIG","!AMBIG",IF(COUNTIF('Calculations'!$HE$13:$HE$512,"="&amp;SUBSTITUTE(SUBSTITUTE(SUBSTITUTE('Calculations'!HU146,"~","~~"),"*","~*"),"?","~?"))&gt;1,"!AMBIG",IFERROR(INDEX('Calculations'!$HF$13:$HF$512,MATCH('Calculations'!HU146,'Calculations'!$HE$13:$HE$512,0)),""))))</x:f>
      </x:c>
      <x:c r="HW146" t="str">
        <x:f>IF('Calculations'!HV146="","",IF('Calculations'!HV146="!AMBIG","!AMBIG",IF(COUNTIF('Calculations'!$HE$13:$HE$512,"="&amp;SUBSTITUTE(SUBSTITUTE(SUBSTITUTE('Calculations'!HV146,"~","~~"),"*","~*"),"?","~?"))&gt;1,"!AMBIG",IFERROR(INDEX('Calculations'!$HF$13:$HF$512,MATCH('Calculations'!HV146,'Calculations'!$HE$13:$HE$512,0)),""))))</x:f>
      </x:c>
      <x:c r="HX146" t="str">
        <x:f>IF('Calculations'!HW146="","",IF('Calculations'!HW146="!AMBIG","!AMBIG",IF(COUNTIF('Calculations'!$HE$13:$HE$512,"="&amp;SUBSTITUTE(SUBSTITUTE(SUBSTITUTE('Calculations'!HW146,"~","~~"),"*","~*"),"?","~?"))&gt;1,"!AMBIG",IFERROR(INDEX('Calculations'!$HF$13:$HF$512,MATCH('Calculations'!HW146,'Calculations'!$HE$13:$HE$512,0)),""))))</x:f>
      </x:c>
      <x:c r="HY146" t="str">
        <x:f>IF('Calculations'!HX146="","",IF('Calculations'!HX146="!AMBIG","!AMBIG",IF(COUNTIF('Calculations'!$HE$13:$HE$512,"="&amp;SUBSTITUTE(SUBSTITUTE(SUBSTITUTE('Calculations'!HX146,"~","~~"),"*","~*"),"?","~?"))&gt;1,"!AMBIG",IFERROR(INDEX('Calculations'!$HF$13:$HF$512,MATCH('Calculations'!HX146,'Calculations'!$HE$13:$HE$512,0)),""))))</x:f>
      </x:c>
      <x:c r="HZ146" t="str">
        <x:f>IF('Calculations'!HY146="","",IF('Calculations'!HY146="!AMBIG","!AMBIG",IF(COUNTIF('Calculations'!$HE$13:$HE$512,"="&amp;SUBSTITUTE(SUBSTITUTE(SUBSTITUTE('Calculations'!HY146,"~","~~"),"*","~*"),"?","~?"))&gt;1,"!AMBIG",IFERROR(INDEX('Calculations'!$HF$13:$HF$512,MATCH('Calculations'!HY146,'Calculations'!$HE$13:$HE$512,0)),""))))</x:f>
      </x:c>
      <x:c r="IA146" t="str">
        <x:f>IF('Calculations'!HZ146="","",IF('Calculations'!HZ146="!AMBIG","!AMBIG",IF(COUNTIF('Calculations'!$HE$13:$HE$512,"="&amp;SUBSTITUTE(SUBSTITUTE(SUBSTITUTE('Calculations'!HZ146,"~","~~"),"*","~*"),"?","~?"))&gt;1,"!AMBIG",IFERROR(INDEX('Calculations'!$HF$13:$HF$512,MATCH('Calculations'!HZ146,'Calculations'!$HE$13:$HE$512,0)),""))))</x:f>
      </x:c>
      <x:c r="IB146" t="str">
        <x:f>IF('Calculations'!IA146="","",IF('Calculations'!IA146="!AMBIG","!AMBIG",IF(COUNTIF('Calculations'!$HE$13:$HE$512,"="&amp;SUBSTITUTE(SUBSTITUTE(SUBSTITUTE('Calculations'!IA146,"~","~~"),"*","~*"),"?","~?"))&gt;1,"!AMBIG",IFERROR(INDEX('Calculations'!$HF$13:$HF$512,MATCH('Calculations'!IA146,'Calculations'!$HE$13:$HE$512,0)),""))))</x:f>
      </x:c>
      <x:c r="IC146" t="str">
        <x:f>IF('Calculations'!IB146="","",IF('Calculations'!IB146="!AMBIG","!AMBIG",IF(COUNTIF('Calculations'!$HE$13:$HE$512,"="&amp;SUBSTITUTE(SUBSTITUTE(SUBSTITUTE('Calculations'!IB146,"~","~~"),"*","~*"),"?","~?"))&gt;1,"!AMBIG",IFERROR(INDEX('Calculations'!$HF$13:$HF$512,MATCH('Calculations'!IB146,'Calculations'!$HE$13:$HE$512,0)),""))))</x:f>
      </x:c>
      <x:c r="ID146" t="str">
        <x:f>IF('Calculations'!IC146="","",IF('Calculations'!IC146="!AMBIG","!AMBIG",IF(COUNTIF('Calculations'!$HE$13:$HE$512,"="&amp;SUBSTITUTE(SUBSTITUTE(SUBSTITUTE('Calculations'!IC146,"~","~~"),"*","~*"),"?","~?"))&gt;1,"!AMBIG",IFERROR(INDEX('Calculations'!$HF$13:$HF$512,MATCH('Calculations'!IC146,'Calculations'!$HE$13:$HE$512,0)),""))))</x:f>
      </x:c>
      <x:c r="IE146" t="str">
        <x:f>IF('Calculations'!ID146="","",IF('Calculations'!ID146="!AMBIG","!AMBIG",IF(COUNTIF('Calculations'!$HE$13:$HE$512,"="&amp;SUBSTITUTE(SUBSTITUTE(SUBSTITUTE('Calculations'!ID146,"~","~~"),"*","~*"),"?","~?"))&gt;1,"!AMBIG",IFERROR(INDEX('Calculations'!$HF$13:$HF$512,MATCH('Calculations'!ID146,'Calculations'!$HE$13:$HE$512,0)),""))))</x:f>
      </x:c>
      <x:c r="IF146" t="str">
        <x:f>IF('Calculations'!IE146="","",IF('Calculations'!IE146="!AMBIG","!AMBIG",IF(COUNTIF('Calculations'!$HE$13:$HE$512,"="&amp;SUBSTITUTE(SUBSTITUTE(SUBSTITUTE('Calculations'!IE146,"~","~~"),"*","~*"),"?","~?"))&gt;1,"!AMBIG",IFERROR(INDEX('Calculations'!$HF$13:$HF$512,MATCH('Calculations'!IE146,'Calculations'!$HE$13:$HE$512,0)),""))))</x:f>
      </x:c>
      <x:c r="IG146" t="str">
        <x:f>IF('Calculations'!IF146="","",IF('Calculations'!IF146="!AMBIG","!AMBIG",IF(COUNTIF('Calculations'!$HE$13:$HE$512,"="&amp;SUBSTITUTE(SUBSTITUTE(SUBSTITUTE('Calculations'!IF146,"~","~~"),"*","~*"),"?","~?"))&gt;1,"!AMBIG",IFERROR(INDEX('Calculations'!$HF$13:$HF$512,MATCH('Calculations'!IF146,'Calculations'!$HE$13:$HE$512,0)),""))))</x:f>
      </x:c>
      <x:c r="IH146" t="str">
        <x:f>IF('Calculations'!IG146="","",IF('Calculations'!IG146="!AMBIG","!AMBIG",IF(COUNTIF('Calculations'!$HE$13:$HE$512,"="&amp;SUBSTITUTE(SUBSTITUTE(SUBSTITUTE('Calculations'!IG146,"~","~~"),"*","~*"),"?","~?"))&gt;1,"!AMBIG",IFERROR(INDEX('Calculations'!$HF$13:$HF$512,MATCH('Calculations'!IG146,'Calculations'!$HE$13:$HE$512,0)),""))))</x:f>
      </x:c>
      <x:c r="II146" t="str">
        <x:f>IF('Calculations'!IH146="","",IF('Calculations'!IH146="!AMBIG","!AMBIG",IF(COUNTIF('Calculations'!$HE$13:$HE$512,"="&amp;SUBSTITUTE(SUBSTITUTE(SUBSTITUTE('Calculations'!IH146,"~","~~"),"*","~*"),"?","~?"))&gt;1,"!AMBIG",IFERROR(INDEX('Calculations'!$HF$13:$HF$512,MATCH('Calculations'!IH146,'Calculations'!$HE$13:$HE$512,0)),""))))</x:f>
      </x:c>
      <x:c r="IJ146" t="str">
        <x:f>IF('Calculations'!EM146="","",IF('Calculations'!$EF$2="All",'Calculations'!HM146,IF('Calculations'!HL146=1,"",IFERROR(IF(MATCH('Calculations'!$EF$2,'Calculations'!HO146:II146,0)=1,'Calculations'!HE146,INDEX('Calculations'!HO146:II146,1,MATCH('Calculations'!$EF$2,'Calculations'!HO146:II146,0)-1)),""))))</x:f>
      </x:c>
      <x:c r="IK146" t="n">
        <x:f>IF(AND('Calculations'!EM146&lt;&gt;"",'Calculations'!$EF$2&lt;&gt;"All",'Calculations'!HF146='Calculations'!$EF$2,'Calculations'!HL146=0,'Calculations'!JD146&gt;0),MAX('Calculations'!$IK$12:IK145)+1,0)</x:f>
        <x:v>0</x:v>
      </x:c>
      <x:c r="JA146" t="n">
        <x:f>IF(OR(IFERROR(INDIRECT("'WCM Calibration Final'!$A$146")&lt;&gt;"",FALSE),IFERROR(INDIRECT("'WCM Calibration Final'!$B$146")&lt;&gt;"",FALSE),IFERROR(INDIRECT("'WCM Calibration Final'!$C$146")&lt;&gt;"",FALSE)),146,0)</x:f>
        <x:v>0</x:v>
      </x:c>
      <x:c r="JB146" t="n">
        <x:f>'Calculations'!JB145+IF('Calculations'!JA146&gt;0,1,0)</x:f>
        <x:v>0</x:v>
      </x:c>
      <x:c r="JC146" t="n">
        <x:f>IF(OR('Calculations'!HF146="",'Calculations'!HF146="!AMBIG"),0,IF('Dashboard'!$B$7="All",1,COUNTIFS('Calculations'!$HO$13:$HO$512,"="&amp;SUBSTITUTE(SUBSTITUTE(SUBSTITUTE('Calculations'!HF146,"~","~~"),"*","~*"),"?","~?"),'Calculations'!$HN$13:$HN$512,"="&amp;SUBSTITUTE(SUBSTITUTE(SUBSTITUTE('Dashboard'!$B$7,"~","~~"),"*","~*"),"?","~?"))+COUNTIFS('Calculations'!$HP$13:$HP$512,"="&amp;SUBSTITUTE(SUBSTITUTE(SUBSTITUTE('Calculations'!HF146,"~","~~"),"*","~*"),"?","~?"),'Calculations'!$HN$13:$HN$512,"="&amp;SUBSTITUTE(SUBSTITUTE(SUBSTITUTE('Dashboard'!$B$7,"~","~~"),"*","~*"),"?","~?"))+COUNTIFS('Calculations'!$HQ$13:$HQ$512,"="&amp;SUBSTITUTE(SUBSTITUTE(SUBSTITUTE('Calculations'!HF146,"~","~~"),"*","~*"),"?","~?"),'Calculations'!$HN$13:$HN$512,"="&amp;SUBSTITUTE(SUBSTITUTE(SUBSTITUTE('Dashboard'!$B$7,"~","~~"),"*","~*"),"?","~?"))+COUNTIFS('Calculations'!$HR$13:$HR$512,"="&amp;SUBSTITUTE(SUBSTITUTE(SUBSTITUTE('Calculations'!HF146,"~","~~"),"*","~*"),"?","~?"),'Calculations'!$HN$13:$HN$512,"="&amp;SUBSTITUTE(SUBSTITUTE(SUBSTITUTE('Dashboard'!$B$7,"~","~~"),"*","~*"),"?","~?"))+COUNTIFS('Calculations'!$HS$13:$HS$512,"="&amp;SUBSTITUTE(SUBSTITUTE(SUBSTITUTE('Calculations'!HF146,"~","~~"),"*","~*"),"?","~?"),'Calculations'!$HN$13:$HN$512,"="&amp;SUBSTITUTE(SUBSTITUTE(SUBSTITUTE('Dashboard'!$B$7,"~","~~"),"*","~*"),"?","~?"))+COUNTIFS('Calculations'!$HT$13:$HT$512,"="&amp;SUBSTITUTE(SUBSTITUTE(SUBSTITUTE('Calculations'!HF146,"~","~~"),"*","~*"),"?","~?"),'Calculations'!$HN$13:$HN$512,"="&amp;SUBSTITUTE(SUBSTITUTE(SUBSTITUTE('Dashboard'!$B$7,"~","~~"),"*","~*"),"?","~?"))+COUNTIFS('Calculations'!$HU$13:$HU$512,"="&amp;SUBSTITUTE(SUBSTITUTE(SUBSTITUTE('Calculations'!HF146,"~","~~"),"*","~*"),"?","~?"),'Calculations'!$HN$13:$HN$512,"="&amp;SUBSTITUTE(SUBSTITUTE(SUBSTITUTE('Dashboard'!$B$7,"~","~~"),"*","~*"),"?","~?"))+COUNTIFS('Calculations'!$HV$13:$HV$512,"="&amp;SUBSTITUTE(SUBSTITUTE(SUBSTITUTE('Calculations'!HF146,"~","~~"),"*","~*"),"?","~?"),'Calculations'!$HN$13:$HN$512,"="&amp;SUBSTITUTE(SUBSTITUTE(SUBSTITUTE('Dashboard'!$B$7,"~","~~"),"*","~*"),"?","~?"))+COUNTIFS('Calculations'!$HW$13:$HW$512,"="&amp;SUBSTITUTE(SUBSTITUTE(SUBSTITUTE('Calculations'!HF146,"~","~~"),"*","~*"),"?","~?"),'Calculations'!$HN$13:$HN$512,"="&amp;SUBSTITUTE(SUBSTITUTE(SUBSTITUTE('Dashboard'!$B$7,"~","~~"),"*","~*"),"?","~?"))+COUNTIFS('Calculations'!$HX$13:$HX$512,"="&amp;SUBSTITUTE(SUBSTITUTE(SUBSTITUTE('Calculations'!HF146,"~","~~"),"*","~*"),"?","~?"),'Calculations'!$HN$13:$HN$512,"="&amp;SUBSTITUTE(SUBSTITUTE(SUBSTITUTE('Dashboard'!$B$7,"~","~~"),"*","~*"),"?","~?"))+COUNTIFS('Calculations'!$HY$13:$HY$512,"="&amp;SUBSTITUTE(SUBSTITUTE(SUBSTITUTE('Calculations'!HF146,"~","~~"),"*","~*"),"?","~?"),'Calculations'!$HN$13:$HN$512,"="&amp;SUBSTITUTE(SUBSTITUTE(SUBSTITUTE('Dashboard'!$B$7,"~","~~"),"*","~*"),"?","~?"))+COUNTIFS('Calculations'!$HZ$13:$HZ$512,"="&amp;SUBSTITUTE(SUBSTITUTE(SUBSTITUTE('Calculations'!HF146,"~","~~"),"*","~*"),"?","~?"),'Calculations'!$HN$13:$HN$512,"="&amp;SUBSTITUTE(SUBSTITUTE(SUBSTITUTE('Dashboard'!$B$7,"~","~~"),"*","~*"),"?","~?"))+COUNTIFS('Calculations'!$IA$13:$IA$512,"="&amp;SUBSTITUTE(SUBSTITUTE(SUBSTITUTE('Calculations'!HF146,"~","~~"),"*","~*"),"?","~?"),'Calculations'!$HN$13:$HN$512,"="&amp;SUBSTITUTE(SUBSTITUTE(SUBSTITUTE('Dashboard'!$B$7,"~","~~"),"*","~*"),"?","~?"))+COUNTIFS('Calculations'!$IB$13:$IB$512,"="&amp;SUBSTITUTE(SUBSTITUTE(SUBSTITUTE('Calculations'!HF146,"~","~~"),"*","~*"),"?","~?"),'Calculations'!$HN$13:$HN$512,"="&amp;SUBSTITUTE(SUBSTITUTE(SUBSTITUTE('Dashboard'!$B$7,"~","~~"),"*","~*"),"?","~?"))+COUNTIFS('Calculations'!$IC$13:$IC$512,"="&amp;SUBSTITUTE(SUBSTITUTE(SUBSTITUTE('Calculations'!HF146,"~","~~"),"*","~*"),"?","~?"),'Calculations'!$HN$13:$HN$512,"="&amp;SUBSTITUTE(SUBSTITUTE(SUBSTITUTE('Dashboard'!$B$7,"~","~~"),"*","~*"),"?","~?"))+COUNTIFS('Calculations'!$ID$13:$ID$512,"="&amp;SUBSTITUTE(SUBSTITUTE(SUBSTITUTE('Calculations'!HF146,"~","~~"),"*","~*"),"?","~?"),'Calculations'!$HN$13:$HN$512,"="&amp;SUBSTITUTE(SUBSTITUTE(SUBSTITUTE('Dashboard'!$B$7,"~","~~"),"*","~*"),"?","~?"))+COUNTIFS('Calculations'!$IE$13:$IE$512,"="&amp;SUBSTITUTE(SUBSTITUTE(SUBSTITUTE('Calculations'!HF146,"~","~~"),"*","~*"),"?","~?"),'Calculations'!$HN$13:$HN$512,"="&amp;SUBSTITUTE(SUBSTITUTE(SUBSTITUTE('Dashboard'!$B$7,"~","~~"),"*","~*"),"?","~?"))+COUNTIFS('Calculations'!$IF$13:$IF$512,"="&amp;SUBSTITUTE(SUBSTITUTE(SUBSTITUTE('Calculations'!HF146,"~","~~"),"*","~*"),"?","~?"),'Calculations'!$HN$13:$HN$512,"="&amp;SUBSTITUTE(SUBSTITUTE(SUBSTITUTE('Dashboard'!$B$7,"~","~~"),"*","~*"),"?","~?"))+COUNTIFS('Calculations'!$IG$13:$IG$512,"="&amp;SUBSTITUTE(SUBSTITUTE(SUBSTITUTE('Calculations'!HF146,"~","~~"),"*","~*"),"?","~?"),'Calculations'!$HN$13:$HN$512,"="&amp;SUBSTITUTE(SUBSTITUTE(SUBSTITUTE('Dashboard'!$B$7,"~","~~"),"*","~*"),"?","~?"))+COUNTIFS('Calculations'!$IH$13:$IH$512,"="&amp;SUBSTITUTE(SUBSTITUTE(SUBSTITUTE('Calculations'!HF146,"~","~~"),"*","~*"),"?","~?"),'Calculations'!$HN$13:$HN$512,"="&amp;SUBSTITUTE(SUBSTITUTE(SUBSTITUTE('Dashboard'!$B$7,"~","~~"),"*","~*"),"?","~?"))))</x:f>
        <x:v>0</x:v>
      </x:c>
      <x:c r="JD146" t="n">
        <x:f>IF('Calculations'!EM146="",0,IF('Dashboard'!$B$7="All",1,IF('Calculations'!HN146='Dashboard'!$B$7,1,0)+IFERROR(INDEX('Calculations'!$JC$13:$JC$512,MATCH('Calculations'!HE146,'Calculations'!$HF$13:$HF$512,0)),0)))</x:f>
        <x:v>0</x:v>
      </x:c>
      <x:c r="JE146" t="n">
        <x:f>IF(AND('Calculations'!EM146&lt;&gt;"",'Calculations'!$JJ$2&lt;&gt;"All",'Calculations'!$JJ$2&lt;&gt;"",'Calculations'!HF146='Calculations'!$JJ$2,'Calculations'!HL146=0,'Calculations'!JD146&gt;0),MAX('Calculations'!$JE$12:JE145)+1,0)</x:f>
        <x:v>0</x:v>
      </x:c>
      <x:c r="JF146" t="str">
        <x:f>IF('Calculations'!EM146="","",IFERROR(IF(INDEX(INDIRECT("'WCM Calibration Final'!$G$1:$G$2000"),'Calculations'!$EM146)="","",TRIM(INDEX(INDIRECT("'WCM Calibration Final'!$G$1:$G$2000"),'Calculations'!$EM146)&amp;"")),""))</x:f>
      </x:c>
      <x:c r="JQ146" t="n">
        <x:f>IF(OR('Calculations'!BM146=0,NOT('Calculations'!$AG$2),'Calculations'!$AG$8&gt;0),0,IF(OR('Dashboard'!$B$7="All",'Calculations'!HN146='Dashboard'!$B$7),IF('Calculations'!$JJ$2="All",1,IF(AND('Calculations'!HF146='Calculations'!$JJ$2,'Calculations'!HL146=0),1,0)),0))</x:f>
        <x:v>0</x:v>
      </x:c>
    </x:row>
    <x:row r="147">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t="n">
        <x:f>IF('Calculations'!$EM147="",0,IF(OR(IFERROR(INDEX(INDIRECT("'WCM Calibration Final'!$A$1:$A$2000"),'Calculations'!$EM147)&lt;&gt;"",FALSE),IFERROR(INDEX(INDIRECT("'WCM Calibration Final'!$B$1:$B$2000"),'Calculations'!$EM147)&lt;&gt;"",FALSE),IFERROR(INDEX(INDIRECT("'WCM Calibration Final'!$C$1:$C$2000"),'Calculations'!$EM147)&lt;&gt;"",FALSE)),1,0))</x:f>
        <x:v>0</x:v>
      </x:c>
      <x:c r="BN147" s="4" t="n">
        <x:f>IF(AND('Calculations'!BM147=1,'Calculations'!$AG$2,'Calculations'!$EN147=1),1,0)</x:f>
        <x:v>0</x:v>
      </x:c>
      <x:c r="BO147" s="4" t="str">
        <x:f>IF('Calculations'!BM147=0,"",IFERROR(IF(AND(VALUE(INDEX(INDIRECT("'WCM Calibration Final'!$K$1:$K$2000"),'Calculations'!$EM147))&gt;=1,VALUE(INDEX(INDIRECT("'WCM Calibration Final'!$K$1:$K$2000"),'Calculations'!$EM147))&lt;=4,MOD(VALUE(INDEX(INDIRECT("'WCM Calibration Final'!$K$1:$K$2000"),'Calculations'!$EM147)),1)=0),VALUE(INDEX(INDIRECT("'WCM Calibration Final'!$K$1:$K$2000"),'Calculations'!$EM147)),""),""))</x:f>
      </x:c>
      <x:c r="BP147" s="4" t="str">
        <x:f>IF('Calculations'!BM147=0,"",IFERROR(IF(AND(VALUE(INDEX(INDIRECT("'WCM Calibration Final'!$L$1:$L$2000"),'Calculations'!$EM147))&gt;=1,VALUE(INDEX(INDIRECT("'WCM Calibration Final'!$L$1:$L$2000"),'Calculations'!$EM147))&lt;=4,MOD(VALUE(INDEX(INDIRECT("'WCM Calibration Final'!$L$1:$L$2000"),'Calculations'!$EM147)),1)=0),VALUE(INDEX(INDIRECT("'WCM Calibration Final'!$L$1:$L$2000"),'Calculations'!$EM147)),""),""))</x:f>
      </x:c>
      <x:c r="BQ147" s="4"/>
      <x:c r="BR147" s="4"/>
      <x:c r="BS147" s="4"/>
      <x:c r="BT147" s="4" t="n">
        <x:f>IF(AND('Calculations'!BM147=1,ISNUMBER('Calculations'!BO147),ISNUMBER('Calculations'!BP147)),1,0)</x:f>
        <x:v>0</x:v>
      </x:c>
      <x:c r="BU147" s="4" t="str">
        <x:f>IF('Calculations'!BM147=0,"",'Calculations'!$EO147)</x:f>
      </x:c>
      <x:c r="BV147" s="4" t="str">
        <x:f>IF('Calculations'!BM147=0,"",IFERROR(IF(OR(INDEX(INDIRECT("'WCM Calibration Final'!$H$1:$H$2000"),'Calculations'!$EM147)="MANAGING DIRECTOR",INDEX(INDIRECT("'WCM Calibration Final'!$H$1:$H$2000"),'Calculations'!$EM147)="DIRECTOR",INDEX(INDIRECT("'WCM Calibration Final'!$H$1:$H$2000"),'Calculations'!$EM147)="SENIOR VICE PRESIDENT",INDEX(INDIRECT("'WCM Calibration Final'!$H$1:$H$2000"),'Calculations'!$EM147)="VICE PRESIDENT",INDEX(INDIRECT("'WCM Calibration Final'!$H$1:$H$2000"),'Calculations'!$EM147)="ASSISTANT VICE PRESIDENT",INDEX(INDIRECT("'WCM Calibration Final'!$H$1:$H$2000"),'Calculations'!$EM147)="OFFICER"),UPPER(INDEX(INDIRECT("'WCM Calibration Final'!$H$1:$H$2000"),'Calculations'!$EM147)),"Other"),"Other"))</x:f>
      </x:c>
      <x:c r="BW147" s="4"/>
      <x:c r="BX147" s="4"/>
      <x:c r="BY147" s="4" t="n">
        <x:f>IF(AND('Calculations'!BM147=1,'Calculations'!BU147&lt;&gt;"",COUNTIF('Calculations'!$BU$12:BU147,'Calculations'!BU147)=1),MAX('Calculations'!$BY$11:BY146)+1,0)</x:f>
        <x:v>0</x:v>
      </x:c>
      <x:c r="BZ147" s="4" t="str">
        <x:f>IF('Dashboard'!$E$67="What",'Calculations'!BO147,'Calculations'!BP147)</x:f>
      </x:c>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t="str">
        <x:f>IF(136&gt;MAX('Calculations'!$HI$13:$HI$512),"",INDEX('Calculations'!$HN$13:$HN$512,MATCH(136,'Calculations'!$HI$13:$HI$512,0)))</x:f>
      </x:c>
      <x:c r="DB147" s="4" t="str">
        <x:f>IF(136&gt;MAX('Calculations'!$HH$13:$HH$512),"",INDEX('Calculations'!$HJ$13:$HJ$512,MATCH(136,'Calculations'!$HH$13:$HH$512,0)))</x:f>
      </x:c>
      <x:c r="DC147" s="4" t="str">
        <x:f>IF(ROW()-11&gt;MAX('Calculations'!$BY$13:$BY$512),"",INDEX('Calculations'!$BU$13:$BU$512,MATCH(ROW()-11,'Calculations'!$BY$13:$BY$512,0)))</x:f>
      </x:c>
      <x:c r="DD147" s="4" t="str">
        <x:f>IF(136&gt;MAX('Calculations'!$IK$13:$IK$512),"",INDEX('Calculations'!$HK$13:$HK$512,MATCH(136,'Calculations'!$IK$13:$IK$512,0)))</x:f>
      </x:c>
      <x:c r="DE147" s="4" t="str">
        <x:f>'Calculations'!DC147</x:f>
      </x:c>
      <x:c r="DF147" s="4" t="str">
        <x:f>IF('Calculations'!DE147="","",COUNTIFS('Calculations'!$BN$13:$BN$512,1,'Calculations'!$BU$13:$BU$512,'Calculations'!DE147))</x:f>
      </x:c>
      <x:c r="DG147" s="4" t="str">
        <x:f>IF('Calculations'!DE147="","",COUNTIFS('Calculations'!$BN$13:$BN$512,1,'Calculations'!$BU$13:$BU$512,'Calculations'!DE147,'Calculations'!$BT$13:$BT$512,1))</x:f>
      </x:c>
      <x:c r="DH147" s="4" t="str">
        <x:f>IF('Calculations'!DE147="","",'Calculations'!DF147-'Calculations'!DG147)</x:f>
      </x:c>
      <x:c r="DI147" s="4" t="str">
        <x:f>IF(OR('Calculations'!DE147="",'Calculations'!DF147=0),"",'Calculations'!DG147/'Calculations'!DF147)</x:f>
      </x:c>
      <x:c r="DJ147" s="4" t="str">
        <x:f>IF('Calculations'!DE147="","",COUNTIFS('Calculations'!$BN$13:$BN$512,1,'Calculations'!$BU$13:$BU$512,'Calculations'!DE147,'Calculations'!$BT$13:$BT$512,1,'Calculations'!$EE$13:$EE$512,"High"))</x:f>
      </x:c>
      <x:c r="DK147" s="4" t="str">
        <x:f>IF('Calculations'!DE147="","",COUNTIFS('Calculations'!$BN$13:$BN$512,1,'Calculations'!$BU$13:$BU$512,'Calculations'!DE147,'Calculations'!$BT$13:$BT$512,1,'Calculations'!$EE$13:$EE$512,"Strong"))</x:f>
      </x:c>
      <x:c r="DL147" s="4" t="str">
        <x:f>IF('Calculations'!DE147="","",COUNTIFS('Calculations'!$BN$13:$BN$512,1,'Calculations'!$BU$13:$BU$512,'Calculations'!DE147,'Calculations'!$BT$13:$BT$512,1,'Calculations'!$EE$13:$EE$512,"Solid"))</x:f>
      </x:c>
      <x:c r="DM147" s="4" t="str">
        <x:f>IF('Calculations'!DE147="","",COUNTIFS('Calculations'!$BN$13:$BN$512,1,'Calculations'!$BU$13:$BU$512,'Calculations'!DE147,'Calculations'!$BT$13:$BT$512,1,'Calculations'!$EE$13:$EE$512,"Low"))</x:f>
      </x:c>
      <x:c r="DN147" s="4" t="str">
        <x:f>IF('Calculations'!DE147="","",COUNTIFS('Calculations'!$BN$13:$BN$512,1,'Calculations'!$BU$13:$BU$512,'Calculations'!DE147,'Calculations'!$EP$13:$EP$512,1))</x:f>
      </x:c>
      <x:c r="DO147" s="4" t="str">
        <x:f>IF(OR('Calculations'!DE147="",'Calculations'!DG147=0),"",('Calculations'!DJ147+'Calculations'!DK147)/'Calculations'!DG147)</x:f>
      </x:c>
      <x:c r="DP147" s="4" t="n">
        <x:f>IF(AND('Calculations'!DE147&lt;&gt;"",'Calculations'!DF147&gt;0),COUNTIF('Calculations'!$DF$12:DF147,"&gt;0"),0)</x:f>
        <x:v>0</x:v>
      </x:c>
      <x:c r="DQ147" s="4" t="str">
        <x:f>IF(136&gt;MAX('Calculations'!$HH$13:$HH$512),"",INDEX('Calculations'!$HF$13:$HF$512,MATCH(136,'Calculations'!$HH$13:$HH$512,0)))</x:f>
      </x:c>
      <x:c r="DR147" s="4" t="str">
        <x:f>IF(136&gt;MAX('Calculations'!$IK$13:$IK$512),"",INDEX('Calculations'!$HE$13:$HE$512,MATCH(136,'Calculations'!$IK$13:$IK$512,0)))</x:f>
      </x:c>
      <x:c r="DS147" s="4"/>
      <x:c r="DT147" s="4"/>
      <x:c r="DU147" s="4"/>
      <x:c r="DV147" s="4"/>
      <x:c r="DW147" s="4"/>
      <x:c r="DX147" s="4"/>
      <x:c r="DY147" s="4"/>
      <x:c r="DZ147" s="4"/>
      <x:c r="EA147" s="4"/>
      <x:c r="EB147" s="4"/>
      <x:c r="EC147" s="4"/>
      <x:c r="ED147" s="4"/>
      <x:c r="EE147" s="4" t="str">
        <x:f>IF('Calculations'!BT147=0,"Not Rated",IF(OR('Calculations'!BO147&gt;=4,'Calculations'!BP147&gt;=4),"Low",IF('Calculations'!BO147+'Calculations'!BP147&lt;=3,"High",IF('Calculations'!BO147+'Calculations'!BP147&lt;=4,"Strong","Solid"))))</x:f>
        <x:v>Not Rated</x:v>
      </x:c>
      <x:c r="EF147" s="4"/>
      <x:c r="EG147" s="4"/>
      <x:c r="EH147" s="4"/>
      <x:c r="EI147" s="4"/>
      <x:c r="EJ147" s="4"/>
      <x:c r="EK147" s="4"/>
      <x:c r="EL147" s="4"/>
      <x:c r="EM147" s="4" t="str">
        <x:f>IF(135&gt;'Calculations'!$JB$2000,"",INDEX('Calculations'!$JA$12:$JA$2000,MATCH(135,'Calculations'!$JB$12:$JB$2000,0)))</x:f>
      </x:c>
      <x:c r="EN147" s="4" t="n">
        <x:f>IF(OR('Calculations'!EM147="",'Calculations'!$AG$8&gt;0,AND('Calculations'!$EF$2&lt;&gt;"All",'Calculations'!HE147='Calculations'!$EF$2),AND('Calculations'!$EF$3&lt;&gt;"All",'Calculations'!HE147='Calculations'!$EF$3)),0,IF(OR('Dashboard'!$B$7="All",'Calculations'!HN147='Dashboard'!$B$7),IF('Calculations'!$EF$2="All",1,IF('Calculations'!HL147&gt;0,0,IF(COUNTIF('Calculations'!HO147:II147,"="&amp;SUBSTITUTE(SUBSTITUTE(SUBSTITUTE('Calculations'!$EF$2,"~","~~"),"*","~*"),"?","~?"))=0,0,IF('Calculations'!$EF$3="All",1,IF(COUNTIF('Calculations'!HO147:II147,"="&amp;SUBSTITUTE(SUBSTITUTE(SUBSTITUTE('Calculations'!$EF$3,"~","~~"),"*","~*"),"?","~?"))&gt;0,1,0))))),0))</x:f>
        <x:v>0</x:v>
      </x:c>
      <x:c r="EO147" s="4" t="str">
        <x:f>IF('Calculations'!IJ147="","",IF('Calculations'!IJ147="!UNRESOLVED","Unresolved hierarchy",IFERROR(INDEX('Calculations'!$HK$13:$HK$512,MATCH('Calculations'!IJ147,'Calculations'!$HE$13:$HE$512,0)),IFERROR(INDEX('Calculations'!$HJ$13:$HJ$512,MATCH('Calculations'!IJ147,'Calculations'!$HF$13:$HF$512,0)),'Calculations'!IJ147))))</x:f>
      </x:c>
      <x:c r="EP147" s="4" t="n">
        <x:f>IF(AND('Calculations'!EM147&lt;&gt;"",'Calculations'!HF147='Calculations'!IJ147),1,0)</x:f>
        <x:v>0</x:v>
      </x:c>
      <x:c r="EQ147" s="4"/>
      <x:c r="ER147" s="4"/>
      <x:c r="ES147" s="4"/>
      <x:c r="ET147" s="4"/>
      <x:c r="EU147" s="4"/>
      <x:c r="EV147" s="4"/>
      <x:c r="EW147" s="4"/>
      <x:c r="EX147" s="4"/>
      <x:c r="EY147" s="4"/>
      <x:c r="EZ147" s="4"/>
      <x:c r="FA147" s="4"/>
      <x:c r="FB147" s="4"/>
      <x:c r="FC147" s="4"/>
      <x:c r="FD147" s="4"/>
      <x:c r="FE147" s="4"/>
      <x:c r="FF147" s="4"/>
      <x:c r="FG147" s="4"/>
      <x:c r="FH147" s="4"/>
      <x:c r="FI147" s="4"/>
      <x:c r="FJ147" s="4"/>
      <x:c r="FK147" s="4"/>
      <x:c r="FL147" s="4"/>
      <x:c r="FM147" s="4"/>
      <x:c r="FN147" s="4"/>
      <x:c r="FO147" s="4"/>
      <x:c r="GA147" s="71"/>
      <x:c r="GB147" s="71"/>
      <x:c r="GC147" s="71"/>
      <x:c r="GD147" s="71"/>
      <x:c r="GE147" s="71"/>
      <x:c r="GF147" s="71"/>
      <x:c r="GG147" s="71"/>
      <x:c r="GH147" s="71"/>
      <x:c r="GI147" s="71"/>
      <x:c r="GJ147" s="71"/>
      <x:c r="GK147" s="71"/>
      <x:c r="GL147" s="71"/>
      <x:c r="GM147" s="71"/>
      <x:c r="GN147" s="71"/>
      <x:c r="GO147" s="71"/>
      <x:c r="GP147" s="71"/>
      <x:c r="GQ147" s="71"/>
      <x:c r="GR147" s="71"/>
      <x:c r="GS147" s="71"/>
      <x:c r="GT147" s="71"/>
      <x:c r="GU147" s="71"/>
      <x:c r="GV147" s="71"/>
      <x:c r="GW147" s="71"/>
      <x:c r="GX147" s="71" t="str">
        <x:f>TEXT(SUM('Dashboard'!N147,'Dashboard'!P147,'Dashboard'!R147,'Dashboard'!T147),"0%")&amp;" - separate caps"</x:f>
        <x:v>112% - separate caps</x:v>
      </x:c>
      <x:c r="GY147" s="71"/>
      <x:c r="GZ147" s="71"/>
      <x:c r="HA147" s="71"/>
      <x:c r="HB147" s="71"/>
      <x:c r="HC147" s="71"/>
      <x:c r="HD147" s="71"/>
      <x:c r="HE147" t="str">
        <x:f>IF('Calculations'!EM147="","",IF(IFERROR(IF(INDEX(INDIRECT("'WCM Calibration Final'!$A$1:$A$2000"),'Calculations'!$EM147)="","",TRIM(INDEX(INDIRECT("'WCM Calibration Final'!$A$1:$A$2000"),'Calculations'!$EM147)&amp;"")),"")&lt;&gt;"","G:"&amp;IFERROR(TEXT(1*INDEX(INDIRECT("'WCM Calibration Final'!$A$1:$A$2000"),'Calculations'!$EM147),"0"),UPPER(IFERROR(IF(INDEX(INDIRECT("'WCM Calibration Final'!$A$1:$A$2000"),'Calculations'!$EM147)="","",TRIM(INDEX(INDIRECT("'WCM Calibration Final'!$A$1:$A$2000"),'Calculations'!$EM147)&amp;"")),""))),IF(IFERROR(IF(INDEX(INDIRECT("'WCM Calibration Final'!$C$1:$C$2000"),'Calculations'!$EM147)="","",TRIM(INDEX(INDIRECT("'WCM Calibration Final'!$C$1:$C$2000"),'Calculations'!$EM147)&amp;"")),"")&lt;&gt;"","S:"&amp;UPPER(IFERROR(IF(INDEX(INDIRECT("'WCM Calibration Final'!$C$1:$C$2000"),'Calculations'!$EM147)="","",TRIM(INDEX(INDIRECT("'WCM Calibration Final'!$C$1:$C$2000"),'Calculations'!$EM147)&amp;"")),"")),"R:"&amp;'Calculations'!EM147)))</x:f>
      </x:c>
      <x:c r="HF147" t="str">
        <x:f>IF('Calculations'!EM147="","",IF(IFERROR(IF(INDEX(INDIRECT("'WCM Calibration Final'!$D$1:$D$2000"),'Calculations'!$EM147)="","",TRIM(INDEX(INDIRECT("'WCM Calibration Final'!$D$1:$D$2000"),'Calculations'!$EM147)&amp;"")),"")&lt;&gt;"","G:"&amp;IFERROR(TEXT(1*INDEX(INDIRECT("'WCM Calibration Final'!$D$1:$D$2000"),'Calculations'!$EM147),"0"),UPPER(IFERROR(IF(INDEX(INDIRECT("'WCM Calibration Final'!$D$1:$D$2000"),'Calculations'!$EM147)="","",TRIM(INDEX(INDIRECT("'WCM Calibration Final'!$D$1:$D$2000"),'Calculations'!$EM147)&amp;"")),""))),IF(IFERROR(IF(INDEX(INDIRECT("'WCM Calibration Final'!$E$1:$E$2000"),'Calculations'!$EM147)="","",TRIM(INDEX(INDIRECT("'WCM Calibration Final'!$E$1:$E$2000"),'Calculations'!$EM147)&amp;"")),"")="","",IF(COUNTIF('Calculations'!$HG$13:$HG$512,"="&amp;SUBSTITUTE(SUBSTITUTE(SUBSTITUTE(IFERROR(IF(INDEX(INDIRECT("'WCM Calibration Final'!$E$1:$E$2000"),'Calculations'!$EM147)="","",TRIM(INDEX(INDIRECT("'WCM Calibration Final'!$E$1:$E$2000"),'Calculations'!$EM147)&amp;"")),""),"~","~~"),"*","~*"),"?","~?"))=1,INDEX('Calculations'!$HE$13:$HE$512,MATCH(IFERROR(IF(INDEX(INDIRECT("'WCM Calibration Final'!$E$1:$E$2000"),'Calculations'!$EM147)="","",TRIM(INDEX(INDIRECT("'WCM Calibration Final'!$E$1:$E$2000"),'Calculations'!$EM147)&amp;"")),""),'Calculations'!$HG$13:$HG$512,0)),IF(COUNTIF('Calculations'!$HG$13:$HG$512,"="&amp;SUBSTITUTE(SUBSTITUTE(SUBSTITUTE(IFERROR(IF(INDEX(INDIRECT("'WCM Calibration Final'!$E$1:$E$2000"),'Calculations'!$EM147)="","",TRIM(INDEX(INDIRECT("'WCM Calibration Final'!$E$1:$E$2000"),'Calculations'!$EM147)&amp;"")),""),"~","~~"),"*","~*"),"?","~?"))&gt;1,"!AMBIG","X:"&amp;IFERROR(IF(INDEX(INDIRECT("'WCM Calibration Final'!$E$1:$E$2000"),'Calculations'!$EM147)="","",TRIM(INDEX(INDIRECT("'WCM Calibration Final'!$E$1:$E$2000"),'Calculations'!$EM147)&amp;"")),""))))))</x:f>
      </x:c>
      <x:c r="HG147" t="str">
        <x:f>IF('Calculations'!EM147="","",IFERROR(IF(INDEX(INDIRECT("'WCM Calibration Final'!$B$1:$B$2000"),'Calculations'!$EM147)="","",TRIM(INDEX(INDIRECT("'WCM Calibration Final'!$B$1:$B$2000"),'Calculations'!$EM147)&amp;"")),""))</x:f>
      </x:c>
      <x:c r="HH147" t="n">
        <x:f>IF(AND('Calculations'!JC147&gt;0,COUNTIF('Calculations'!$HF$12:HF147,"="&amp;SUBSTITUTE(SUBSTITUTE(SUBSTITUTE('Calculations'!HF147,"~","~~"),"*","~*"),"?","~?"))=1),MAX('Calculations'!$HH$12:HH146)+1,0)</x:f>
        <x:v>0</x:v>
      </x:c>
      <x:c r="HI147" t="n">
        <x:f>IF(AND('Calculations'!HN147&lt;&gt;"",COUNTIF('Calculations'!$HN$12:HN147,"="&amp;SUBSTITUTE(SUBSTITUTE(SUBSTITUTE('Calculations'!HN147,"~","~~"),"*","~*"),"?","~?"))=1),MAX('Calculations'!$HI$12:HI146)+1,0)</x:f>
        <x:v>0</x:v>
      </x:c>
      <x:c r="HJ147" t="str">
        <x:f>IF('Calculations'!HF147="","",IF(COUNTIF('Calculations'!$HE$13:$HE$512,"="&amp;SUBSTITUTE(SUBSTITUTE(SUBSTITUTE('Calculations'!HF147,"~","~~"),"*","~*"),"?","~?"))=1,INDEX('Calculations'!$HK$13:$HK$512,MATCH('Calculations'!HF147,'Calculations'!$HE$13:$HE$512,0)),IFERROR(IF(INDEX(INDIRECT("'WCM Calibration Final'!$E$1:$E$2000"),'Calculations'!$EM147)="","",TRIM(INDEX(INDIRECT("'WCM Calibration Final'!$E$1:$E$2000"),'Calculations'!$EM147)&amp;"")),"")&amp;" ["&amp;'Calculations'!HF147&amp;"]"))</x:f>
      </x:c>
      <x:c r="HK147" t="str">
        <x:f>IF('Calculations'!EM147="","",'Calculations'!HG147&amp;" ["&amp;'Calculations'!HE147&amp;"]")</x:f>
      </x:c>
      <x:c r="HL147" t="n">
        <x:f>IF('Calculations'!EM147="",0,IF(OR('Calculations'!II147&lt;&gt;"",COUNTIF('Calculations'!$HE$13:$HE$512,"="&amp;SUBSTITUTE(SUBSTITUTE(SUBSTITUTE('Calculations'!HE147,"~","~~"),"*","~*"),"?","~?"))&gt;1),1,0))</x:f>
        <x:v>0</x:v>
      </x:c>
      <x:c r="HM147" t="str">
        <x:f>IF('Calculations'!EM147="","",IF('Calculations'!HL147=1,"!UNRESOLVED",IF('Calculations'!IH147&lt;&gt;"",'Calculations'!IH147,IF('Calculations'!IG147&lt;&gt;"",'Calculations'!IG147,IF('Calculations'!IF147&lt;&gt;"",'Calculations'!IF147,IF('Calculations'!IE147&lt;&gt;"",'Calculations'!IE147,IF('Calculations'!ID147&lt;&gt;"",'Calculations'!ID147,IF('Calculations'!IC147&lt;&gt;"",'Calculations'!IC147,IF('Calculations'!IB147&lt;&gt;"",'Calculations'!IB147,IF('Calculations'!IA147&lt;&gt;"",'Calculations'!IA147,IF('Calculations'!HZ147&lt;&gt;"",'Calculations'!HZ147,IF('Calculations'!HY147&lt;&gt;"",'Calculations'!HY147,IF('Calculations'!HX147&lt;&gt;"",'Calculations'!HX147,IF('Calculations'!HW147&lt;&gt;"",'Calculations'!HW147,IF('Calculations'!HV147&lt;&gt;"",'Calculations'!HV147,IF('Calculations'!HU147&lt;&gt;"",'Calculations'!HU147,IF('Calculations'!HT147&lt;&gt;"",'Calculations'!HT147,IF('Calculations'!HS147&lt;&gt;"",'Calculations'!HS147,IF('Calculations'!HR147&lt;&gt;"",'Calculations'!HR147,IF('Calculations'!HQ147&lt;&gt;"",'Calculations'!HQ147,IF('Calculations'!HP147&lt;&gt;"",'Calculations'!HP147,IF('Calculations'!HO147&lt;&gt;"",'Calculations'!HO147,'Calculations'!HE147))))))))))))))))))))))</x:f>
      </x:c>
      <x:c r="HN147" t="str">
        <x:f>IF('Calculations'!EM147="","",IF(IFERROR(IF(INDEX(INDIRECT("'WCM Calibration Final'!$F$1:$F$2000"),'Calculations'!$EM147)="","",TRIM(INDEX(INDIRECT("'WCM Calibration Final'!$F$1:$F$2000"),'Calculations'!$EM147)&amp;"")),"")="","(Blank)",IFERROR(IF(INDEX(INDIRECT("'WCM Calibration Final'!$F$1:$F$2000"),'Calculations'!$EM147)="","",TRIM(INDEX(INDIRECT("'WCM Calibration Final'!$F$1:$F$2000"),'Calculations'!$EM147)&amp;"")),"")))</x:f>
      </x:c>
      <x:c r="HO147" t="str">
        <x:f>'Calculations'!HF147</x:f>
      </x:c>
      <x:c r="HP147" t="str">
        <x:f>IF('Calculations'!HO147="","",IF('Calculations'!HO147="!AMBIG","!AMBIG",IF(COUNTIF('Calculations'!$HE$13:$HE$512,"="&amp;SUBSTITUTE(SUBSTITUTE(SUBSTITUTE('Calculations'!HO147,"~","~~"),"*","~*"),"?","~?"))&gt;1,"!AMBIG",IFERROR(INDEX('Calculations'!$HF$13:$HF$512,MATCH('Calculations'!HO147,'Calculations'!$HE$13:$HE$512,0)),""))))</x:f>
      </x:c>
      <x:c r="HQ147" t="str">
        <x:f>IF('Calculations'!HP147="","",IF('Calculations'!HP147="!AMBIG","!AMBIG",IF(COUNTIF('Calculations'!$HE$13:$HE$512,"="&amp;SUBSTITUTE(SUBSTITUTE(SUBSTITUTE('Calculations'!HP147,"~","~~"),"*","~*"),"?","~?"))&gt;1,"!AMBIG",IFERROR(INDEX('Calculations'!$HF$13:$HF$512,MATCH('Calculations'!HP147,'Calculations'!$HE$13:$HE$512,0)),""))))</x:f>
      </x:c>
      <x:c r="HR147" t="str">
        <x:f>IF('Calculations'!HQ147="","",IF('Calculations'!HQ147="!AMBIG","!AMBIG",IF(COUNTIF('Calculations'!$HE$13:$HE$512,"="&amp;SUBSTITUTE(SUBSTITUTE(SUBSTITUTE('Calculations'!HQ147,"~","~~"),"*","~*"),"?","~?"))&gt;1,"!AMBIG",IFERROR(INDEX('Calculations'!$HF$13:$HF$512,MATCH('Calculations'!HQ147,'Calculations'!$HE$13:$HE$512,0)),""))))</x:f>
      </x:c>
      <x:c r="HS147" t="str">
        <x:f>IF('Calculations'!HR147="","",IF('Calculations'!HR147="!AMBIG","!AMBIG",IF(COUNTIF('Calculations'!$HE$13:$HE$512,"="&amp;SUBSTITUTE(SUBSTITUTE(SUBSTITUTE('Calculations'!HR147,"~","~~"),"*","~*"),"?","~?"))&gt;1,"!AMBIG",IFERROR(INDEX('Calculations'!$HF$13:$HF$512,MATCH('Calculations'!HR147,'Calculations'!$HE$13:$HE$512,0)),""))))</x:f>
      </x:c>
      <x:c r="HT147" t="str">
        <x:f>IF('Calculations'!HS147="","",IF('Calculations'!HS147="!AMBIG","!AMBIG",IF(COUNTIF('Calculations'!$HE$13:$HE$512,"="&amp;SUBSTITUTE(SUBSTITUTE(SUBSTITUTE('Calculations'!HS147,"~","~~"),"*","~*"),"?","~?"))&gt;1,"!AMBIG",IFERROR(INDEX('Calculations'!$HF$13:$HF$512,MATCH('Calculations'!HS147,'Calculations'!$HE$13:$HE$512,0)),""))))</x:f>
      </x:c>
      <x:c r="HU147" t="str">
        <x:f>IF('Calculations'!HT147="","",IF('Calculations'!HT147="!AMBIG","!AMBIG",IF(COUNTIF('Calculations'!$HE$13:$HE$512,"="&amp;SUBSTITUTE(SUBSTITUTE(SUBSTITUTE('Calculations'!HT147,"~","~~"),"*","~*"),"?","~?"))&gt;1,"!AMBIG",IFERROR(INDEX('Calculations'!$HF$13:$HF$512,MATCH('Calculations'!HT147,'Calculations'!$HE$13:$HE$512,0)),""))))</x:f>
      </x:c>
      <x:c r="HV147" t="str">
        <x:f>IF('Calculations'!HU147="","",IF('Calculations'!HU147="!AMBIG","!AMBIG",IF(COUNTIF('Calculations'!$HE$13:$HE$512,"="&amp;SUBSTITUTE(SUBSTITUTE(SUBSTITUTE('Calculations'!HU147,"~","~~"),"*","~*"),"?","~?"))&gt;1,"!AMBIG",IFERROR(INDEX('Calculations'!$HF$13:$HF$512,MATCH('Calculations'!HU147,'Calculations'!$HE$13:$HE$512,0)),""))))</x:f>
      </x:c>
      <x:c r="HW147" t="str">
        <x:f>IF('Calculations'!HV147="","",IF('Calculations'!HV147="!AMBIG","!AMBIG",IF(COUNTIF('Calculations'!$HE$13:$HE$512,"="&amp;SUBSTITUTE(SUBSTITUTE(SUBSTITUTE('Calculations'!HV147,"~","~~"),"*","~*"),"?","~?"))&gt;1,"!AMBIG",IFERROR(INDEX('Calculations'!$HF$13:$HF$512,MATCH('Calculations'!HV147,'Calculations'!$HE$13:$HE$512,0)),""))))</x:f>
      </x:c>
      <x:c r="HX147" t="str">
        <x:f>IF('Calculations'!HW147="","",IF('Calculations'!HW147="!AMBIG","!AMBIG",IF(COUNTIF('Calculations'!$HE$13:$HE$512,"="&amp;SUBSTITUTE(SUBSTITUTE(SUBSTITUTE('Calculations'!HW147,"~","~~"),"*","~*"),"?","~?"))&gt;1,"!AMBIG",IFERROR(INDEX('Calculations'!$HF$13:$HF$512,MATCH('Calculations'!HW147,'Calculations'!$HE$13:$HE$512,0)),""))))</x:f>
      </x:c>
      <x:c r="HY147" t="str">
        <x:f>IF('Calculations'!HX147="","",IF('Calculations'!HX147="!AMBIG","!AMBIG",IF(COUNTIF('Calculations'!$HE$13:$HE$512,"="&amp;SUBSTITUTE(SUBSTITUTE(SUBSTITUTE('Calculations'!HX147,"~","~~"),"*","~*"),"?","~?"))&gt;1,"!AMBIG",IFERROR(INDEX('Calculations'!$HF$13:$HF$512,MATCH('Calculations'!HX147,'Calculations'!$HE$13:$HE$512,0)),""))))</x:f>
      </x:c>
      <x:c r="HZ147" t="str">
        <x:f>IF('Calculations'!HY147="","",IF('Calculations'!HY147="!AMBIG","!AMBIG",IF(COUNTIF('Calculations'!$HE$13:$HE$512,"="&amp;SUBSTITUTE(SUBSTITUTE(SUBSTITUTE('Calculations'!HY147,"~","~~"),"*","~*"),"?","~?"))&gt;1,"!AMBIG",IFERROR(INDEX('Calculations'!$HF$13:$HF$512,MATCH('Calculations'!HY147,'Calculations'!$HE$13:$HE$512,0)),""))))</x:f>
      </x:c>
      <x:c r="IA147" t="str">
        <x:f>IF('Calculations'!HZ147="","",IF('Calculations'!HZ147="!AMBIG","!AMBIG",IF(COUNTIF('Calculations'!$HE$13:$HE$512,"="&amp;SUBSTITUTE(SUBSTITUTE(SUBSTITUTE('Calculations'!HZ147,"~","~~"),"*","~*"),"?","~?"))&gt;1,"!AMBIG",IFERROR(INDEX('Calculations'!$HF$13:$HF$512,MATCH('Calculations'!HZ147,'Calculations'!$HE$13:$HE$512,0)),""))))</x:f>
      </x:c>
      <x:c r="IB147" t="str">
        <x:f>IF('Calculations'!IA147="","",IF('Calculations'!IA147="!AMBIG","!AMBIG",IF(COUNTIF('Calculations'!$HE$13:$HE$512,"="&amp;SUBSTITUTE(SUBSTITUTE(SUBSTITUTE('Calculations'!IA147,"~","~~"),"*","~*"),"?","~?"))&gt;1,"!AMBIG",IFERROR(INDEX('Calculations'!$HF$13:$HF$512,MATCH('Calculations'!IA147,'Calculations'!$HE$13:$HE$512,0)),""))))</x:f>
      </x:c>
      <x:c r="IC147" t="str">
        <x:f>IF('Calculations'!IB147="","",IF('Calculations'!IB147="!AMBIG","!AMBIG",IF(COUNTIF('Calculations'!$HE$13:$HE$512,"="&amp;SUBSTITUTE(SUBSTITUTE(SUBSTITUTE('Calculations'!IB147,"~","~~"),"*","~*"),"?","~?"))&gt;1,"!AMBIG",IFERROR(INDEX('Calculations'!$HF$13:$HF$512,MATCH('Calculations'!IB147,'Calculations'!$HE$13:$HE$512,0)),""))))</x:f>
      </x:c>
      <x:c r="ID147" t="str">
        <x:f>IF('Calculations'!IC147="","",IF('Calculations'!IC147="!AMBIG","!AMBIG",IF(COUNTIF('Calculations'!$HE$13:$HE$512,"="&amp;SUBSTITUTE(SUBSTITUTE(SUBSTITUTE('Calculations'!IC147,"~","~~"),"*","~*"),"?","~?"))&gt;1,"!AMBIG",IFERROR(INDEX('Calculations'!$HF$13:$HF$512,MATCH('Calculations'!IC147,'Calculations'!$HE$13:$HE$512,0)),""))))</x:f>
      </x:c>
      <x:c r="IE147" t="str">
        <x:f>IF('Calculations'!ID147="","",IF('Calculations'!ID147="!AMBIG","!AMBIG",IF(COUNTIF('Calculations'!$HE$13:$HE$512,"="&amp;SUBSTITUTE(SUBSTITUTE(SUBSTITUTE('Calculations'!ID147,"~","~~"),"*","~*"),"?","~?"))&gt;1,"!AMBIG",IFERROR(INDEX('Calculations'!$HF$13:$HF$512,MATCH('Calculations'!ID147,'Calculations'!$HE$13:$HE$512,0)),""))))</x:f>
      </x:c>
      <x:c r="IF147" t="str">
        <x:f>IF('Calculations'!IE147="","",IF('Calculations'!IE147="!AMBIG","!AMBIG",IF(COUNTIF('Calculations'!$HE$13:$HE$512,"="&amp;SUBSTITUTE(SUBSTITUTE(SUBSTITUTE('Calculations'!IE147,"~","~~"),"*","~*"),"?","~?"))&gt;1,"!AMBIG",IFERROR(INDEX('Calculations'!$HF$13:$HF$512,MATCH('Calculations'!IE147,'Calculations'!$HE$13:$HE$512,0)),""))))</x:f>
      </x:c>
      <x:c r="IG147" t="str">
        <x:f>IF('Calculations'!IF147="","",IF('Calculations'!IF147="!AMBIG","!AMBIG",IF(COUNTIF('Calculations'!$HE$13:$HE$512,"="&amp;SUBSTITUTE(SUBSTITUTE(SUBSTITUTE('Calculations'!IF147,"~","~~"),"*","~*"),"?","~?"))&gt;1,"!AMBIG",IFERROR(INDEX('Calculations'!$HF$13:$HF$512,MATCH('Calculations'!IF147,'Calculations'!$HE$13:$HE$512,0)),""))))</x:f>
      </x:c>
      <x:c r="IH147" t="str">
        <x:f>IF('Calculations'!IG147="","",IF('Calculations'!IG147="!AMBIG","!AMBIG",IF(COUNTIF('Calculations'!$HE$13:$HE$512,"="&amp;SUBSTITUTE(SUBSTITUTE(SUBSTITUTE('Calculations'!IG147,"~","~~"),"*","~*"),"?","~?"))&gt;1,"!AMBIG",IFERROR(INDEX('Calculations'!$HF$13:$HF$512,MATCH('Calculations'!IG147,'Calculations'!$HE$13:$HE$512,0)),""))))</x:f>
      </x:c>
      <x:c r="II147" t="str">
        <x:f>IF('Calculations'!IH147="","",IF('Calculations'!IH147="!AMBIG","!AMBIG",IF(COUNTIF('Calculations'!$HE$13:$HE$512,"="&amp;SUBSTITUTE(SUBSTITUTE(SUBSTITUTE('Calculations'!IH147,"~","~~"),"*","~*"),"?","~?"))&gt;1,"!AMBIG",IFERROR(INDEX('Calculations'!$HF$13:$HF$512,MATCH('Calculations'!IH147,'Calculations'!$HE$13:$HE$512,0)),""))))</x:f>
      </x:c>
      <x:c r="IJ147" t="str">
        <x:f>IF('Calculations'!EM147="","",IF('Calculations'!$EF$2="All",'Calculations'!HM147,IF('Calculations'!HL147=1,"",IFERROR(IF(MATCH('Calculations'!$EF$2,'Calculations'!HO147:II147,0)=1,'Calculations'!HE147,INDEX('Calculations'!HO147:II147,1,MATCH('Calculations'!$EF$2,'Calculations'!HO147:II147,0)-1)),""))))</x:f>
      </x:c>
      <x:c r="IK147" t="n">
        <x:f>IF(AND('Calculations'!EM147&lt;&gt;"",'Calculations'!$EF$2&lt;&gt;"All",'Calculations'!HF147='Calculations'!$EF$2,'Calculations'!HL147=0,'Calculations'!JD147&gt;0),MAX('Calculations'!$IK$12:IK146)+1,0)</x:f>
        <x:v>0</x:v>
      </x:c>
      <x:c r="JA147" t="n">
        <x:f>IF(OR(IFERROR(INDIRECT("'WCM Calibration Final'!$A$147")&lt;&gt;"",FALSE),IFERROR(INDIRECT("'WCM Calibration Final'!$B$147")&lt;&gt;"",FALSE),IFERROR(INDIRECT("'WCM Calibration Final'!$C$147")&lt;&gt;"",FALSE)),147,0)</x:f>
        <x:v>0</x:v>
      </x:c>
      <x:c r="JB147" t="n">
        <x:f>'Calculations'!JB146+IF('Calculations'!JA147&gt;0,1,0)</x:f>
        <x:v>0</x:v>
      </x:c>
      <x:c r="JC147" t="n">
        <x:f>IF(OR('Calculations'!HF147="",'Calculations'!HF147="!AMBIG"),0,IF('Dashboard'!$B$7="All",1,COUNTIFS('Calculations'!$HO$13:$HO$512,"="&amp;SUBSTITUTE(SUBSTITUTE(SUBSTITUTE('Calculations'!HF147,"~","~~"),"*","~*"),"?","~?"),'Calculations'!$HN$13:$HN$512,"="&amp;SUBSTITUTE(SUBSTITUTE(SUBSTITUTE('Dashboard'!$B$7,"~","~~"),"*","~*"),"?","~?"))+COUNTIFS('Calculations'!$HP$13:$HP$512,"="&amp;SUBSTITUTE(SUBSTITUTE(SUBSTITUTE('Calculations'!HF147,"~","~~"),"*","~*"),"?","~?"),'Calculations'!$HN$13:$HN$512,"="&amp;SUBSTITUTE(SUBSTITUTE(SUBSTITUTE('Dashboard'!$B$7,"~","~~"),"*","~*"),"?","~?"))+COUNTIFS('Calculations'!$HQ$13:$HQ$512,"="&amp;SUBSTITUTE(SUBSTITUTE(SUBSTITUTE('Calculations'!HF147,"~","~~"),"*","~*"),"?","~?"),'Calculations'!$HN$13:$HN$512,"="&amp;SUBSTITUTE(SUBSTITUTE(SUBSTITUTE('Dashboard'!$B$7,"~","~~"),"*","~*"),"?","~?"))+COUNTIFS('Calculations'!$HR$13:$HR$512,"="&amp;SUBSTITUTE(SUBSTITUTE(SUBSTITUTE('Calculations'!HF147,"~","~~"),"*","~*"),"?","~?"),'Calculations'!$HN$13:$HN$512,"="&amp;SUBSTITUTE(SUBSTITUTE(SUBSTITUTE('Dashboard'!$B$7,"~","~~"),"*","~*"),"?","~?"))+COUNTIFS('Calculations'!$HS$13:$HS$512,"="&amp;SUBSTITUTE(SUBSTITUTE(SUBSTITUTE('Calculations'!HF147,"~","~~"),"*","~*"),"?","~?"),'Calculations'!$HN$13:$HN$512,"="&amp;SUBSTITUTE(SUBSTITUTE(SUBSTITUTE('Dashboard'!$B$7,"~","~~"),"*","~*"),"?","~?"))+COUNTIFS('Calculations'!$HT$13:$HT$512,"="&amp;SUBSTITUTE(SUBSTITUTE(SUBSTITUTE('Calculations'!HF147,"~","~~"),"*","~*"),"?","~?"),'Calculations'!$HN$13:$HN$512,"="&amp;SUBSTITUTE(SUBSTITUTE(SUBSTITUTE('Dashboard'!$B$7,"~","~~"),"*","~*"),"?","~?"))+COUNTIFS('Calculations'!$HU$13:$HU$512,"="&amp;SUBSTITUTE(SUBSTITUTE(SUBSTITUTE('Calculations'!HF147,"~","~~"),"*","~*"),"?","~?"),'Calculations'!$HN$13:$HN$512,"="&amp;SUBSTITUTE(SUBSTITUTE(SUBSTITUTE('Dashboard'!$B$7,"~","~~"),"*","~*"),"?","~?"))+COUNTIFS('Calculations'!$HV$13:$HV$512,"="&amp;SUBSTITUTE(SUBSTITUTE(SUBSTITUTE('Calculations'!HF147,"~","~~"),"*","~*"),"?","~?"),'Calculations'!$HN$13:$HN$512,"="&amp;SUBSTITUTE(SUBSTITUTE(SUBSTITUTE('Dashboard'!$B$7,"~","~~"),"*","~*"),"?","~?"))+COUNTIFS('Calculations'!$HW$13:$HW$512,"="&amp;SUBSTITUTE(SUBSTITUTE(SUBSTITUTE('Calculations'!HF147,"~","~~"),"*","~*"),"?","~?"),'Calculations'!$HN$13:$HN$512,"="&amp;SUBSTITUTE(SUBSTITUTE(SUBSTITUTE('Dashboard'!$B$7,"~","~~"),"*","~*"),"?","~?"))+COUNTIFS('Calculations'!$HX$13:$HX$512,"="&amp;SUBSTITUTE(SUBSTITUTE(SUBSTITUTE('Calculations'!HF147,"~","~~"),"*","~*"),"?","~?"),'Calculations'!$HN$13:$HN$512,"="&amp;SUBSTITUTE(SUBSTITUTE(SUBSTITUTE('Dashboard'!$B$7,"~","~~"),"*","~*"),"?","~?"))+COUNTIFS('Calculations'!$HY$13:$HY$512,"="&amp;SUBSTITUTE(SUBSTITUTE(SUBSTITUTE('Calculations'!HF147,"~","~~"),"*","~*"),"?","~?"),'Calculations'!$HN$13:$HN$512,"="&amp;SUBSTITUTE(SUBSTITUTE(SUBSTITUTE('Dashboard'!$B$7,"~","~~"),"*","~*"),"?","~?"))+COUNTIFS('Calculations'!$HZ$13:$HZ$512,"="&amp;SUBSTITUTE(SUBSTITUTE(SUBSTITUTE('Calculations'!HF147,"~","~~"),"*","~*"),"?","~?"),'Calculations'!$HN$13:$HN$512,"="&amp;SUBSTITUTE(SUBSTITUTE(SUBSTITUTE('Dashboard'!$B$7,"~","~~"),"*","~*"),"?","~?"))+COUNTIFS('Calculations'!$IA$13:$IA$512,"="&amp;SUBSTITUTE(SUBSTITUTE(SUBSTITUTE('Calculations'!HF147,"~","~~"),"*","~*"),"?","~?"),'Calculations'!$HN$13:$HN$512,"="&amp;SUBSTITUTE(SUBSTITUTE(SUBSTITUTE('Dashboard'!$B$7,"~","~~"),"*","~*"),"?","~?"))+COUNTIFS('Calculations'!$IB$13:$IB$512,"="&amp;SUBSTITUTE(SUBSTITUTE(SUBSTITUTE('Calculations'!HF147,"~","~~"),"*","~*"),"?","~?"),'Calculations'!$HN$13:$HN$512,"="&amp;SUBSTITUTE(SUBSTITUTE(SUBSTITUTE('Dashboard'!$B$7,"~","~~"),"*","~*"),"?","~?"))+COUNTIFS('Calculations'!$IC$13:$IC$512,"="&amp;SUBSTITUTE(SUBSTITUTE(SUBSTITUTE('Calculations'!HF147,"~","~~"),"*","~*"),"?","~?"),'Calculations'!$HN$13:$HN$512,"="&amp;SUBSTITUTE(SUBSTITUTE(SUBSTITUTE('Dashboard'!$B$7,"~","~~"),"*","~*"),"?","~?"))+COUNTIFS('Calculations'!$ID$13:$ID$512,"="&amp;SUBSTITUTE(SUBSTITUTE(SUBSTITUTE('Calculations'!HF147,"~","~~"),"*","~*"),"?","~?"),'Calculations'!$HN$13:$HN$512,"="&amp;SUBSTITUTE(SUBSTITUTE(SUBSTITUTE('Dashboard'!$B$7,"~","~~"),"*","~*"),"?","~?"))+COUNTIFS('Calculations'!$IE$13:$IE$512,"="&amp;SUBSTITUTE(SUBSTITUTE(SUBSTITUTE('Calculations'!HF147,"~","~~"),"*","~*"),"?","~?"),'Calculations'!$HN$13:$HN$512,"="&amp;SUBSTITUTE(SUBSTITUTE(SUBSTITUTE('Dashboard'!$B$7,"~","~~"),"*","~*"),"?","~?"))+COUNTIFS('Calculations'!$IF$13:$IF$512,"="&amp;SUBSTITUTE(SUBSTITUTE(SUBSTITUTE('Calculations'!HF147,"~","~~"),"*","~*"),"?","~?"),'Calculations'!$HN$13:$HN$512,"="&amp;SUBSTITUTE(SUBSTITUTE(SUBSTITUTE('Dashboard'!$B$7,"~","~~"),"*","~*"),"?","~?"))+COUNTIFS('Calculations'!$IG$13:$IG$512,"="&amp;SUBSTITUTE(SUBSTITUTE(SUBSTITUTE('Calculations'!HF147,"~","~~"),"*","~*"),"?","~?"),'Calculations'!$HN$13:$HN$512,"="&amp;SUBSTITUTE(SUBSTITUTE(SUBSTITUTE('Dashboard'!$B$7,"~","~~"),"*","~*"),"?","~?"))+COUNTIFS('Calculations'!$IH$13:$IH$512,"="&amp;SUBSTITUTE(SUBSTITUTE(SUBSTITUTE('Calculations'!HF147,"~","~~"),"*","~*"),"?","~?"),'Calculations'!$HN$13:$HN$512,"="&amp;SUBSTITUTE(SUBSTITUTE(SUBSTITUTE('Dashboard'!$B$7,"~","~~"),"*","~*"),"?","~?"))))</x:f>
        <x:v>0</x:v>
      </x:c>
      <x:c r="JD147" t="n">
        <x:f>IF('Calculations'!EM147="",0,IF('Dashboard'!$B$7="All",1,IF('Calculations'!HN147='Dashboard'!$B$7,1,0)+IFERROR(INDEX('Calculations'!$JC$13:$JC$512,MATCH('Calculations'!HE147,'Calculations'!$HF$13:$HF$512,0)),0)))</x:f>
        <x:v>0</x:v>
      </x:c>
      <x:c r="JE147" t="n">
        <x:f>IF(AND('Calculations'!EM147&lt;&gt;"",'Calculations'!$JJ$2&lt;&gt;"All",'Calculations'!$JJ$2&lt;&gt;"",'Calculations'!HF147='Calculations'!$JJ$2,'Calculations'!HL147=0,'Calculations'!JD147&gt;0),MAX('Calculations'!$JE$12:JE146)+1,0)</x:f>
        <x:v>0</x:v>
      </x:c>
      <x:c r="JF147" t="str">
        <x:f>IF('Calculations'!EM147="","",IFERROR(IF(INDEX(INDIRECT("'WCM Calibration Final'!$G$1:$G$2000"),'Calculations'!$EM147)="","",TRIM(INDEX(INDIRECT("'WCM Calibration Final'!$G$1:$G$2000"),'Calculations'!$EM147)&amp;"")),""))</x:f>
      </x:c>
      <x:c r="JQ147" t="n">
        <x:f>IF(OR('Calculations'!BM147=0,NOT('Calculations'!$AG$2),'Calculations'!$AG$8&gt;0),0,IF(OR('Dashboard'!$B$7="All",'Calculations'!HN147='Dashboard'!$B$7),IF('Calculations'!$JJ$2="All",1,IF(AND('Calculations'!HF147='Calculations'!$JJ$2,'Calculations'!HL147=0),1,0)),0))</x:f>
        <x:v>0</x:v>
      </x:c>
    </x:row>
    <x:row r="148">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t="n">
        <x:f>IF('Calculations'!$EM148="",0,IF(OR(IFERROR(INDEX(INDIRECT("'WCM Calibration Final'!$A$1:$A$2000"),'Calculations'!$EM148)&lt;&gt;"",FALSE),IFERROR(INDEX(INDIRECT("'WCM Calibration Final'!$B$1:$B$2000"),'Calculations'!$EM148)&lt;&gt;"",FALSE),IFERROR(INDEX(INDIRECT("'WCM Calibration Final'!$C$1:$C$2000"),'Calculations'!$EM148)&lt;&gt;"",FALSE)),1,0))</x:f>
        <x:v>0</x:v>
      </x:c>
      <x:c r="BN148" s="4" t="n">
        <x:f>IF(AND('Calculations'!BM148=1,'Calculations'!$AG$2,'Calculations'!$EN148=1),1,0)</x:f>
        <x:v>0</x:v>
      </x:c>
      <x:c r="BO148" s="4" t="str">
        <x:f>IF('Calculations'!BM148=0,"",IFERROR(IF(AND(VALUE(INDEX(INDIRECT("'WCM Calibration Final'!$K$1:$K$2000"),'Calculations'!$EM148))&gt;=1,VALUE(INDEX(INDIRECT("'WCM Calibration Final'!$K$1:$K$2000"),'Calculations'!$EM148))&lt;=4,MOD(VALUE(INDEX(INDIRECT("'WCM Calibration Final'!$K$1:$K$2000"),'Calculations'!$EM148)),1)=0),VALUE(INDEX(INDIRECT("'WCM Calibration Final'!$K$1:$K$2000"),'Calculations'!$EM148)),""),""))</x:f>
      </x:c>
      <x:c r="BP148" s="4" t="str">
        <x:f>IF('Calculations'!BM148=0,"",IFERROR(IF(AND(VALUE(INDEX(INDIRECT("'WCM Calibration Final'!$L$1:$L$2000"),'Calculations'!$EM148))&gt;=1,VALUE(INDEX(INDIRECT("'WCM Calibration Final'!$L$1:$L$2000"),'Calculations'!$EM148))&lt;=4,MOD(VALUE(INDEX(INDIRECT("'WCM Calibration Final'!$L$1:$L$2000"),'Calculations'!$EM148)),1)=0),VALUE(INDEX(INDIRECT("'WCM Calibration Final'!$L$1:$L$2000"),'Calculations'!$EM148)),""),""))</x:f>
      </x:c>
      <x:c r="BQ148" s="4"/>
      <x:c r="BR148" s="4"/>
      <x:c r="BS148" s="4"/>
      <x:c r="BT148" s="4" t="n">
        <x:f>IF(AND('Calculations'!BM148=1,ISNUMBER('Calculations'!BO148),ISNUMBER('Calculations'!BP148)),1,0)</x:f>
        <x:v>0</x:v>
      </x:c>
      <x:c r="BU148" s="4" t="str">
        <x:f>IF('Calculations'!BM148=0,"",'Calculations'!$EO148)</x:f>
      </x:c>
      <x:c r="BV148" s="4" t="str">
        <x:f>IF('Calculations'!BM148=0,"",IFERROR(IF(OR(INDEX(INDIRECT("'WCM Calibration Final'!$H$1:$H$2000"),'Calculations'!$EM148)="MANAGING DIRECTOR",INDEX(INDIRECT("'WCM Calibration Final'!$H$1:$H$2000"),'Calculations'!$EM148)="DIRECTOR",INDEX(INDIRECT("'WCM Calibration Final'!$H$1:$H$2000"),'Calculations'!$EM148)="SENIOR VICE PRESIDENT",INDEX(INDIRECT("'WCM Calibration Final'!$H$1:$H$2000"),'Calculations'!$EM148)="VICE PRESIDENT",INDEX(INDIRECT("'WCM Calibration Final'!$H$1:$H$2000"),'Calculations'!$EM148)="ASSISTANT VICE PRESIDENT",INDEX(INDIRECT("'WCM Calibration Final'!$H$1:$H$2000"),'Calculations'!$EM148)="OFFICER"),UPPER(INDEX(INDIRECT("'WCM Calibration Final'!$H$1:$H$2000"),'Calculations'!$EM148)),"Other"),"Other"))</x:f>
      </x:c>
      <x:c r="BW148" s="4"/>
      <x:c r="BX148" s="4"/>
      <x:c r="BY148" s="4" t="n">
        <x:f>IF(AND('Calculations'!BM148=1,'Calculations'!BU148&lt;&gt;"",COUNTIF('Calculations'!$BU$12:BU148,'Calculations'!BU148)=1),MAX('Calculations'!$BY$11:BY147)+1,0)</x:f>
        <x:v>0</x:v>
      </x:c>
      <x:c r="BZ148" s="4" t="str">
        <x:f>IF('Dashboard'!$E$67="What",'Calculations'!BO148,'Calculations'!BP148)</x:f>
      </x:c>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t="str">
        <x:f>IF(137&gt;MAX('Calculations'!$HI$13:$HI$512),"",INDEX('Calculations'!$HN$13:$HN$512,MATCH(137,'Calculations'!$HI$13:$HI$512,0)))</x:f>
      </x:c>
      <x:c r="DB148" s="4" t="str">
        <x:f>IF(137&gt;MAX('Calculations'!$HH$13:$HH$512),"",INDEX('Calculations'!$HJ$13:$HJ$512,MATCH(137,'Calculations'!$HH$13:$HH$512,0)))</x:f>
      </x:c>
      <x:c r="DC148" s="4" t="str">
        <x:f>IF(ROW()-11&gt;MAX('Calculations'!$BY$13:$BY$512),"",INDEX('Calculations'!$BU$13:$BU$512,MATCH(ROW()-11,'Calculations'!$BY$13:$BY$512,0)))</x:f>
      </x:c>
      <x:c r="DD148" s="4" t="str">
        <x:f>IF(137&gt;MAX('Calculations'!$IK$13:$IK$512),"",INDEX('Calculations'!$HK$13:$HK$512,MATCH(137,'Calculations'!$IK$13:$IK$512,0)))</x:f>
      </x:c>
      <x:c r="DE148" s="4" t="str">
        <x:f>'Calculations'!DC148</x:f>
      </x:c>
      <x:c r="DF148" s="4" t="str">
        <x:f>IF('Calculations'!DE148="","",COUNTIFS('Calculations'!$BN$13:$BN$512,1,'Calculations'!$BU$13:$BU$512,'Calculations'!DE148))</x:f>
      </x:c>
      <x:c r="DG148" s="4" t="str">
        <x:f>IF('Calculations'!DE148="","",COUNTIFS('Calculations'!$BN$13:$BN$512,1,'Calculations'!$BU$13:$BU$512,'Calculations'!DE148,'Calculations'!$BT$13:$BT$512,1))</x:f>
      </x:c>
      <x:c r="DH148" s="4" t="str">
        <x:f>IF('Calculations'!DE148="","",'Calculations'!DF148-'Calculations'!DG148)</x:f>
      </x:c>
      <x:c r="DI148" s="4" t="str">
        <x:f>IF(OR('Calculations'!DE148="",'Calculations'!DF148=0),"",'Calculations'!DG148/'Calculations'!DF148)</x:f>
      </x:c>
      <x:c r="DJ148" s="4" t="str">
        <x:f>IF('Calculations'!DE148="","",COUNTIFS('Calculations'!$BN$13:$BN$512,1,'Calculations'!$BU$13:$BU$512,'Calculations'!DE148,'Calculations'!$BT$13:$BT$512,1,'Calculations'!$EE$13:$EE$512,"High"))</x:f>
      </x:c>
      <x:c r="DK148" s="4" t="str">
        <x:f>IF('Calculations'!DE148="","",COUNTIFS('Calculations'!$BN$13:$BN$512,1,'Calculations'!$BU$13:$BU$512,'Calculations'!DE148,'Calculations'!$BT$13:$BT$512,1,'Calculations'!$EE$13:$EE$512,"Strong"))</x:f>
      </x:c>
      <x:c r="DL148" s="4" t="str">
        <x:f>IF('Calculations'!DE148="","",COUNTIFS('Calculations'!$BN$13:$BN$512,1,'Calculations'!$BU$13:$BU$512,'Calculations'!DE148,'Calculations'!$BT$13:$BT$512,1,'Calculations'!$EE$13:$EE$512,"Solid"))</x:f>
      </x:c>
      <x:c r="DM148" s="4" t="str">
        <x:f>IF('Calculations'!DE148="","",COUNTIFS('Calculations'!$BN$13:$BN$512,1,'Calculations'!$BU$13:$BU$512,'Calculations'!DE148,'Calculations'!$BT$13:$BT$512,1,'Calculations'!$EE$13:$EE$512,"Low"))</x:f>
      </x:c>
      <x:c r="DN148" s="4" t="str">
        <x:f>IF('Calculations'!DE148="","",COUNTIFS('Calculations'!$BN$13:$BN$512,1,'Calculations'!$BU$13:$BU$512,'Calculations'!DE148,'Calculations'!$EP$13:$EP$512,1))</x:f>
      </x:c>
      <x:c r="DO148" s="4" t="str">
        <x:f>IF(OR('Calculations'!DE148="",'Calculations'!DG148=0),"",('Calculations'!DJ148+'Calculations'!DK148)/'Calculations'!DG148)</x:f>
      </x:c>
      <x:c r="DP148" s="4" t="n">
        <x:f>IF(AND('Calculations'!DE148&lt;&gt;"",'Calculations'!DF148&gt;0),COUNTIF('Calculations'!$DF$12:DF148,"&gt;0"),0)</x:f>
        <x:v>0</x:v>
      </x:c>
      <x:c r="DQ148" s="4" t="str">
        <x:f>IF(137&gt;MAX('Calculations'!$HH$13:$HH$512),"",INDEX('Calculations'!$HF$13:$HF$512,MATCH(137,'Calculations'!$HH$13:$HH$512,0)))</x:f>
      </x:c>
      <x:c r="DR148" s="4" t="str">
        <x:f>IF(137&gt;MAX('Calculations'!$IK$13:$IK$512),"",INDEX('Calculations'!$HE$13:$HE$512,MATCH(137,'Calculations'!$IK$13:$IK$512,0)))</x:f>
      </x:c>
      <x:c r="DS148" s="4"/>
      <x:c r="DT148" s="4"/>
      <x:c r="DU148" s="4"/>
      <x:c r="DV148" s="4"/>
      <x:c r="DW148" s="4"/>
      <x:c r="DX148" s="4"/>
      <x:c r="DY148" s="4"/>
      <x:c r="DZ148" s="4"/>
      <x:c r="EA148" s="4"/>
      <x:c r="EB148" s="4"/>
      <x:c r="EC148" s="4"/>
      <x:c r="ED148" s="4"/>
      <x:c r="EE148" s="4" t="str">
        <x:f>IF('Calculations'!BT148=0,"Not Rated",IF(OR('Calculations'!BO148&gt;=4,'Calculations'!BP148&gt;=4),"Low",IF('Calculations'!BO148+'Calculations'!BP148&lt;=3,"High",IF('Calculations'!BO148+'Calculations'!BP148&lt;=4,"Strong","Solid"))))</x:f>
        <x:v>Not Rated</x:v>
      </x:c>
      <x:c r="EF148" s="4"/>
      <x:c r="EG148" s="4"/>
      <x:c r="EH148" s="4"/>
      <x:c r="EI148" s="4"/>
      <x:c r="EJ148" s="4"/>
      <x:c r="EK148" s="4"/>
      <x:c r="EL148" s="4"/>
      <x:c r="EM148" s="4" t="str">
        <x:f>IF(136&gt;'Calculations'!$JB$2000,"",INDEX('Calculations'!$JA$12:$JA$2000,MATCH(136,'Calculations'!$JB$12:$JB$2000,0)))</x:f>
      </x:c>
      <x:c r="EN148" s="4" t="n">
        <x:f>IF(OR('Calculations'!EM148="",'Calculations'!$AG$8&gt;0,AND('Calculations'!$EF$2&lt;&gt;"All",'Calculations'!HE148='Calculations'!$EF$2),AND('Calculations'!$EF$3&lt;&gt;"All",'Calculations'!HE148='Calculations'!$EF$3)),0,IF(OR('Dashboard'!$B$7="All",'Calculations'!HN148='Dashboard'!$B$7),IF('Calculations'!$EF$2="All",1,IF('Calculations'!HL148&gt;0,0,IF(COUNTIF('Calculations'!HO148:II148,"="&amp;SUBSTITUTE(SUBSTITUTE(SUBSTITUTE('Calculations'!$EF$2,"~","~~"),"*","~*"),"?","~?"))=0,0,IF('Calculations'!$EF$3="All",1,IF(COUNTIF('Calculations'!HO148:II148,"="&amp;SUBSTITUTE(SUBSTITUTE(SUBSTITUTE('Calculations'!$EF$3,"~","~~"),"*","~*"),"?","~?"))&gt;0,1,0))))),0))</x:f>
        <x:v>0</x:v>
      </x:c>
      <x:c r="EO148" s="4" t="str">
        <x:f>IF('Calculations'!IJ148="","",IF('Calculations'!IJ148="!UNRESOLVED","Unresolved hierarchy",IFERROR(INDEX('Calculations'!$HK$13:$HK$512,MATCH('Calculations'!IJ148,'Calculations'!$HE$13:$HE$512,0)),IFERROR(INDEX('Calculations'!$HJ$13:$HJ$512,MATCH('Calculations'!IJ148,'Calculations'!$HF$13:$HF$512,0)),'Calculations'!IJ148))))</x:f>
      </x:c>
      <x:c r="EP148" s="4" t="n">
        <x:f>IF(AND('Calculations'!EM148&lt;&gt;"",'Calculations'!HF148='Calculations'!IJ148),1,0)</x:f>
        <x:v>0</x:v>
      </x:c>
      <x:c r="EQ148" s="4"/>
      <x:c r="ER148" s="4"/>
      <x:c r="ES148" s="4"/>
      <x:c r="ET148" s="4"/>
      <x:c r="EU148" s="4"/>
      <x:c r="EV148" s="4"/>
      <x:c r="EW148" s="4"/>
      <x:c r="EX148" s="4"/>
      <x:c r="EY148" s="4"/>
      <x:c r="EZ148" s="4"/>
      <x:c r="FA148" s="4"/>
      <x:c r="FB148" s="4"/>
      <x:c r="FC148" s="4"/>
      <x:c r="FD148" s="4"/>
      <x:c r="FE148" s="4"/>
      <x:c r="FF148" s="4"/>
      <x:c r="FG148" s="4"/>
      <x:c r="FH148" s="4"/>
      <x:c r="FI148" s="4"/>
      <x:c r="FJ148" s="4"/>
      <x:c r="FK148" s="4"/>
      <x:c r="FL148" s="4"/>
      <x:c r="FM148" s="4"/>
      <x:c r="FN148" s="4"/>
      <x:c r="FO148" s="4"/>
      <x:c r="GA148" s="71"/>
      <x:c r="GB148" s="71"/>
      <x:c r="GC148" s="71"/>
      <x:c r="GD148" s="71"/>
      <x:c r="GE148" s="71"/>
      <x:c r="GF148" s="71"/>
      <x:c r="GG148" s="71"/>
      <x:c r="GH148" s="71"/>
      <x:c r="GI148" s="71"/>
      <x:c r="GJ148" s="71"/>
      <x:c r="GK148" s="71"/>
      <x:c r="GL148" s="71"/>
      <x:c r="GM148" s="71"/>
      <x:c r="GN148" s="71"/>
      <x:c r="GO148" s="71"/>
      <x:c r="GP148" s="71"/>
      <x:c r="GQ148" s="71"/>
      <x:c r="GR148" s="71"/>
      <x:c r="GS148" s="71"/>
      <x:c r="GT148" s="71"/>
      <x:c r="GU148" s="71"/>
      <x:c r="GV148" s="71"/>
      <x:c r="GW148" s="71"/>
      <x:c r="GX148" s="71"/>
      <x:c r="GY148" s="71"/>
      <x:c r="GZ148" s="71"/>
      <x:c r="HA148" s="71"/>
      <x:c r="HB148" s="71"/>
      <x:c r="HC148" s="71"/>
      <x:c r="HD148" s="71"/>
      <x:c r="HE148" t="str">
        <x:f>IF('Calculations'!EM148="","",IF(IFERROR(IF(INDEX(INDIRECT("'WCM Calibration Final'!$A$1:$A$2000"),'Calculations'!$EM148)="","",TRIM(INDEX(INDIRECT("'WCM Calibration Final'!$A$1:$A$2000"),'Calculations'!$EM148)&amp;"")),"")&lt;&gt;"","G:"&amp;IFERROR(TEXT(1*INDEX(INDIRECT("'WCM Calibration Final'!$A$1:$A$2000"),'Calculations'!$EM148),"0"),UPPER(IFERROR(IF(INDEX(INDIRECT("'WCM Calibration Final'!$A$1:$A$2000"),'Calculations'!$EM148)="","",TRIM(INDEX(INDIRECT("'WCM Calibration Final'!$A$1:$A$2000"),'Calculations'!$EM148)&amp;"")),""))),IF(IFERROR(IF(INDEX(INDIRECT("'WCM Calibration Final'!$C$1:$C$2000"),'Calculations'!$EM148)="","",TRIM(INDEX(INDIRECT("'WCM Calibration Final'!$C$1:$C$2000"),'Calculations'!$EM148)&amp;"")),"")&lt;&gt;"","S:"&amp;UPPER(IFERROR(IF(INDEX(INDIRECT("'WCM Calibration Final'!$C$1:$C$2000"),'Calculations'!$EM148)="","",TRIM(INDEX(INDIRECT("'WCM Calibration Final'!$C$1:$C$2000"),'Calculations'!$EM148)&amp;"")),"")),"R:"&amp;'Calculations'!EM148)))</x:f>
      </x:c>
      <x:c r="HF148" t="str">
        <x:f>IF('Calculations'!EM148="","",IF(IFERROR(IF(INDEX(INDIRECT("'WCM Calibration Final'!$D$1:$D$2000"),'Calculations'!$EM148)="","",TRIM(INDEX(INDIRECT("'WCM Calibration Final'!$D$1:$D$2000"),'Calculations'!$EM148)&amp;"")),"")&lt;&gt;"","G:"&amp;IFERROR(TEXT(1*INDEX(INDIRECT("'WCM Calibration Final'!$D$1:$D$2000"),'Calculations'!$EM148),"0"),UPPER(IFERROR(IF(INDEX(INDIRECT("'WCM Calibration Final'!$D$1:$D$2000"),'Calculations'!$EM148)="","",TRIM(INDEX(INDIRECT("'WCM Calibration Final'!$D$1:$D$2000"),'Calculations'!$EM148)&amp;"")),""))),IF(IFERROR(IF(INDEX(INDIRECT("'WCM Calibration Final'!$E$1:$E$2000"),'Calculations'!$EM148)="","",TRIM(INDEX(INDIRECT("'WCM Calibration Final'!$E$1:$E$2000"),'Calculations'!$EM148)&amp;"")),"")="","",IF(COUNTIF('Calculations'!$HG$13:$HG$512,"="&amp;SUBSTITUTE(SUBSTITUTE(SUBSTITUTE(IFERROR(IF(INDEX(INDIRECT("'WCM Calibration Final'!$E$1:$E$2000"),'Calculations'!$EM148)="","",TRIM(INDEX(INDIRECT("'WCM Calibration Final'!$E$1:$E$2000"),'Calculations'!$EM148)&amp;"")),""),"~","~~"),"*","~*"),"?","~?"))=1,INDEX('Calculations'!$HE$13:$HE$512,MATCH(IFERROR(IF(INDEX(INDIRECT("'WCM Calibration Final'!$E$1:$E$2000"),'Calculations'!$EM148)="","",TRIM(INDEX(INDIRECT("'WCM Calibration Final'!$E$1:$E$2000"),'Calculations'!$EM148)&amp;"")),""),'Calculations'!$HG$13:$HG$512,0)),IF(COUNTIF('Calculations'!$HG$13:$HG$512,"="&amp;SUBSTITUTE(SUBSTITUTE(SUBSTITUTE(IFERROR(IF(INDEX(INDIRECT("'WCM Calibration Final'!$E$1:$E$2000"),'Calculations'!$EM148)="","",TRIM(INDEX(INDIRECT("'WCM Calibration Final'!$E$1:$E$2000"),'Calculations'!$EM148)&amp;"")),""),"~","~~"),"*","~*"),"?","~?"))&gt;1,"!AMBIG","X:"&amp;IFERROR(IF(INDEX(INDIRECT("'WCM Calibration Final'!$E$1:$E$2000"),'Calculations'!$EM148)="","",TRIM(INDEX(INDIRECT("'WCM Calibration Final'!$E$1:$E$2000"),'Calculations'!$EM148)&amp;"")),""))))))</x:f>
      </x:c>
      <x:c r="HG148" t="str">
        <x:f>IF('Calculations'!EM148="","",IFERROR(IF(INDEX(INDIRECT("'WCM Calibration Final'!$B$1:$B$2000"),'Calculations'!$EM148)="","",TRIM(INDEX(INDIRECT("'WCM Calibration Final'!$B$1:$B$2000"),'Calculations'!$EM148)&amp;"")),""))</x:f>
      </x:c>
      <x:c r="HH148" t="n">
        <x:f>IF(AND('Calculations'!JC148&gt;0,COUNTIF('Calculations'!$HF$12:HF148,"="&amp;SUBSTITUTE(SUBSTITUTE(SUBSTITUTE('Calculations'!HF148,"~","~~"),"*","~*"),"?","~?"))=1),MAX('Calculations'!$HH$12:HH147)+1,0)</x:f>
        <x:v>0</x:v>
      </x:c>
      <x:c r="HI148" t="n">
        <x:f>IF(AND('Calculations'!HN148&lt;&gt;"",COUNTIF('Calculations'!$HN$12:HN148,"="&amp;SUBSTITUTE(SUBSTITUTE(SUBSTITUTE('Calculations'!HN148,"~","~~"),"*","~*"),"?","~?"))=1),MAX('Calculations'!$HI$12:HI147)+1,0)</x:f>
        <x:v>0</x:v>
      </x:c>
      <x:c r="HJ148" t="str">
        <x:f>IF('Calculations'!HF148="","",IF(COUNTIF('Calculations'!$HE$13:$HE$512,"="&amp;SUBSTITUTE(SUBSTITUTE(SUBSTITUTE('Calculations'!HF148,"~","~~"),"*","~*"),"?","~?"))=1,INDEX('Calculations'!$HK$13:$HK$512,MATCH('Calculations'!HF148,'Calculations'!$HE$13:$HE$512,0)),IFERROR(IF(INDEX(INDIRECT("'WCM Calibration Final'!$E$1:$E$2000"),'Calculations'!$EM148)="","",TRIM(INDEX(INDIRECT("'WCM Calibration Final'!$E$1:$E$2000"),'Calculations'!$EM148)&amp;"")),"")&amp;" ["&amp;'Calculations'!HF148&amp;"]"))</x:f>
      </x:c>
      <x:c r="HK148" t="str">
        <x:f>IF('Calculations'!EM148="","",'Calculations'!HG148&amp;" ["&amp;'Calculations'!HE148&amp;"]")</x:f>
      </x:c>
      <x:c r="HL148" t="n">
        <x:f>IF('Calculations'!EM148="",0,IF(OR('Calculations'!II148&lt;&gt;"",COUNTIF('Calculations'!$HE$13:$HE$512,"="&amp;SUBSTITUTE(SUBSTITUTE(SUBSTITUTE('Calculations'!HE148,"~","~~"),"*","~*"),"?","~?"))&gt;1),1,0))</x:f>
        <x:v>0</x:v>
      </x:c>
      <x:c r="HM148" t="str">
        <x:f>IF('Calculations'!EM148="","",IF('Calculations'!HL148=1,"!UNRESOLVED",IF('Calculations'!IH148&lt;&gt;"",'Calculations'!IH148,IF('Calculations'!IG148&lt;&gt;"",'Calculations'!IG148,IF('Calculations'!IF148&lt;&gt;"",'Calculations'!IF148,IF('Calculations'!IE148&lt;&gt;"",'Calculations'!IE148,IF('Calculations'!ID148&lt;&gt;"",'Calculations'!ID148,IF('Calculations'!IC148&lt;&gt;"",'Calculations'!IC148,IF('Calculations'!IB148&lt;&gt;"",'Calculations'!IB148,IF('Calculations'!IA148&lt;&gt;"",'Calculations'!IA148,IF('Calculations'!HZ148&lt;&gt;"",'Calculations'!HZ148,IF('Calculations'!HY148&lt;&gt;"",'Calculations'!HY148,IF('Calculations'!HX148&lt;&gt;"",'Calculations'!HX148,IF('Calculations'!HW148&lt;&gt;"",'Calculations'!HW148,IF('Calculations'!HV148&lt;&gt;"",'Calculations'!HV148,IF('Calculations'!HU148&lt;&gt;"",'Calculations'!HU148,IF('Calculations'!HT148&lt;&gt;"",'Calculations'!HT148,IF('Calculations'!HS148&lt;&gt;"",'Calculations'!HS148,IF('Calculations'!HR148&lt;&gt;"",'Calculations'!HR148,IF('Calculations'!HQ148&lt;&gt;"",'Calculations'!HQ148,IF('Calculations'!HP148&lt;&gt;"",'Calculations'!HP148,IF('Calculations'!HO148&lt;&gt;"",'Calculations'!HO148,'Calculations'!HE148))))))))))))))))))))))</x:f>
      </x:c>
      <x:c r="HN148" t="str">
        <x:f>IF('Calculations'!EM148="","",IF(IFERROR(IF(INDEX(INDIRECT("'WCM Calibration Final'!$F$1:$F$2000"),'Calculations'!$EM148)="","",TRIM(INDEX(INDIRECT("'WCM Calibration Final'!$F$1:$F$2000"),'Calculations'!$EM148)&amp;"")),"")="","(Blank)",IFERROR(IF(INDEX(INDIRECT("'WCM Calibration Final'!$F$1:$F$2000"),'Calculations'!$EM148)="","",TRIM(INDEX(INDIRECT("'WCM Calibration Final'!$F$1:$F$2000"),'Calculations'!$EM148)&amp;"")),"")))</x:f>
      </x:c>
      <x:c r="HO148" t="str">
        <x:f>'Calculations'!HF148</x:f>
      </x:c>
      <x:c r="HP148" t="str">
        <x:f>IF('Calculations'!HO148="","",IF('Calculations'!HO148="!AMBIG","!AMBIG",IF(COUNTIF('Calculations'!$HE$13:$HE$512,"="&amp;SUBSTITUTE(SUBSTITUTE(SUBSTITUTE('Calculations'!HO148,"~","~~"),"*","~*"),"?","~?"))&gt;1,"!AMBIG",IFERROR(INDEX('Calculations'!$HF$13:$HF$512,MATCH('Calculations'!HO148,'Calculations'!$HE$13:$HE$512,0)),""))))</x:f>
      </x:c>
      <x:c r="HQ148" t="str">
        <x:f>IF('Calculations'!HP148="","",IF('Calculations'!HP148="!AMBIG","!AMBIG",IF(COUNTIF('Calculations'!$HE$13:$HE$512,"="&amp;SUBSTITUTE(SUBSTITUTE(SUBSTITUTE('Calculations'!HP148,"~","~~"),"*","~*"),"?","~?"))&gt;1,"!AMBIG",IFERROR(INDEX('Calculations'!$HF$13:$HF$512,MATCH('Calculations'!HP148,'Calculations'!$HE$13:$HE$512,0)),""))))</x:f>
      </x:c>
      <x:c r="HR148" t="str">
        <x:f>IF('Calculations'!HQ148="","",IF('Calculations'!HQ148="!AMBIG","!AMBIG",IF(COUNTIF('Calculations'!$HE$13:$HE$512,"="&amp;SUBSTITUTE(SUBSTITUTE(SUBSTITUTE('Calculations'!HQ148,"~","~~"),"*","~*"),"?","~?"))&gt;1,"!AMBIG",IFERROR(INDEX('Calculations'!$HF$13:$HF$512,MATCH('Calculations'!HQ148,'Calculations'!$HE$13:$HE$512,0)),""))))</x:f>
      </x:c>
      <x:c r="HS148" t="str">
        <x:f>IF('Calculations'!HR148="","",IF('Calculations'!HR148="!AMBIG","!AMBIG",IF(COUNTIF('Calculations'!$HE$13:$HE$512,"="&amp;SUBSTITUTE(SUBSTITUTE(SUBSTITUTE('Calculations'!HR148,"~","~~"),"*","~*"),"?","~?"))&gt;1,"!AMBIG",IFERROR(INDEX('Calculations'!$HF$13:$HF$512,MATCH('Calculations'!HR148,'Calculations'!$HE$13:$HE$512,0)),""))))</x:f>
      </x:c>
      <x:c r="HT148" t="str">
        <x:f>IF('Calculations'!HS148="","",IF('Calculations'!HS148="!AMBIG","!AMBIG",IF(COUNTIF('Calculations'!$HE$13:$HE$512,"="&amp;SUBSTITUTE(SUBSTITUTE(SUBSTITUTE('Calculations'!HS148,"~","~~"),"*","~*"),"?","~?"))&gt;1,"!AMBIG",IFERROR(INDEX('Calculations'!$HF$13:$HF$512,MATCH('Calculations'!HS148,'Calculations'!$HE$13:$HE$512,0)),""))))</x:f>
      </x:c>
      <x:c r="HU148" t="str">
        <x:f>IF('Calculations'!HT148="","",IF('Calculations'!HT148="!AMBIG","!AMBIG",IF(COUNTIF('Calculations'!$HE$13:$HE$512,"="&amp;SUBSTITUTE(SUBSTITUTE(SUBSTITUTE('Calculations'!HT148,"~","~~"),"*","~*"),"?","~?"))&gt;1,"!AMBIG",IFERROR(INDEX('Calculations'!$HF$13:$HF$512,MATCH('Calculations'!HT148,'Calculations'!$HE$13:$HE$512,0)),""))))</x:f>
      </x:c>
      <x:c r="HV148" t="str">
        <x:f>IF('Calculations'!HU148="","",IF('Calculations'!HU148="!AMBIG","!AMBIG",IF(COUNTIF('Calculations'!$HE$13:$HE$512,"="&amp;SUBSTITUTE(SUBSTITUTE(SUBSTITUTE('Calculations'!HU148,"~","~~"),"*","~*"),"?","~?"))&gt;1,"!AMBIG",IFERROR(INDEX('Calculations'!$HF$13:$HF$512,MATCH('Calculations'!HU148,'Calculations'!$HE$13:$HE$512,0)),""))))</x:f>
      </x:c>
      <x:c r="HW148" t="str">
        <x:f>IF('Calculations'!HV148="","",IF('Calculations'!HV148="!AMBIG","!AMBIG",IF(COUNTIF('Calculations'!$HE$13:$HE$512,"="&amp;SUBSTITUTE(SUBSTITUTE(SUBSTITUTE('Calculations'!HV148,"~","~~"),"*","~*"),"?","~?"))&gt;1,"!AMBIG",IFERROR(INDEX('Calculations'!$HF$13:$HF$512,MATCH('Calculations'!HV148,'Calculations'!$HE$13:$HE$512,0)),""))))</x:f>
      </x:c>
      <x:c r="HX148" t="str">
        <x:f>IF('Calculations'!HW148="","",IF('Calculations'!HW148="!AMBIG","!AMBIG",IF(COUNTIF('Calculations'!$HE$13:$HE$512,"="&amp;SUBSTITUTE(SUBSTITUTE(SUBSTITUTE('Calculations'!HW148,"~","~~"),"*","~*"),"?","~?"))&gt;1,"!AMBIG",IFERROR(INDEX('Calculations'!$HF$13:$HF$512,MATCH('Calculations'!HW148,'Calculations'!$HE$13:$HE$512,0)),""))))</x:f>
      </x:c>
      <x:c r="HY148" t="str">
        <x:f>IF('Calculations'!HX148="","",IF('Calculations'!HX148="!AMBIG","!AMBIG",IF(COUNTIF('Calculations'!$HE$13:$HE$512,"="&amp;SUBSTITUTE(SUBSTITUTE(SUBSTITUTE('Calculations'!HX148,"~","~~"),"*","~*"),"?","~?"))&gt;1,"!AMBIG",IFERROR(INDEX('Calculations'!$HF$13:$HF$512,MATCH('Calculations'!HX148,'Calculations'!$HE$13:$HE$512,0)),""))))</x:f>
      </x:c>
      <x:c r="HZ148" t="str">
        <x:f>IF('Calculations'!HY148="","",IF('Calculations'!HY148="!AMBIG","!AMBIG",IF(COUNTIF('Calculations'!$HE$13:$HE$512,"="&amp;SUBSTITUTE(SUBSTITUTE(SUBSTITUTE('Calculations'!HY148,"~","~~"),"*","~*"),"?","~?"))&gt;1,"!AMBIG",IFERROR(INDEX('Calculations'!$HF$13:$HF$512,MATCH('Calculations'!HY148,'Calculations'!$HE$13:$HE$512,0)),""))))</x:f>
      </x:c>
      <x:c r="IA148" t="str">
        <x:f>IF('Calculations'!HZ148="","",IF('Calculations'!HZ148="!AMBIG","!AMBIG",IF(COUNTIF('Calculations'!$HE$13:$HE$512,"="&amp;SUBSTITUTE(SUBSTITUTE(SUBSTITUTE('Calculations'!HZ148,"~","~~"),"*","~*"),"?","~?"))&gt;1,"!AMBIG",IFERROR(INDEX('Calculations'!$HF$13:$HF$512,MATCH('Calculations'!HZ148,'Calculations'!$HE$13:$HE$512,0)),""))))</x:f>
      </x:c>
      <x:c r="IB148" t="str">
        <x:f>IF('Calculations'!IA148="","",IF('Calculations'!IA148="!AMBIG","!AMBIG",IF(COUNTIF('Calculations'!$HE$13:$HE$512,"="&amp;SUBSTITUTE(SUBSTITUTE(SUBSTITUTE('Calculations'!IA148,"~","~~"),"*","~*"),"?","~?"))&gt;1,"!AMBIG",IFERROR(INDEX('Calculations'!$HF$13:$HF$512,MATCH('Calculations'!IA148,'Calculations'!$HE$13:$HE$512,0)),""))))</x:f>
      </x:c>
      <x:c r="IC148" t="str">
        <x:f>IF('Calculations'!IB148="","",IF('Calculations'!IB148="!AMBIG","!AMBIG",IF(COUNTIF('Calculations'!$HE$13:$HE$512,"="&amp;SUBSTITUTE(SUBSTITUTE(SUBSTITUTE('Calculations'!IB148,"~","~~"),"*","~*"),"?","~?"))&gt;1,"!AMBIG",IFERROR(INDEX('Calculations'!$HF$13:$HF$512,MATCH('Calculations'!IB148,'Calculations'!$HE$13:$HE$512,0)),""))))</x:f>
      </x:c>
      <x:c r="ID148" t="str">
        <x:f>IF('Calculations'!IC148="","",IF('Calculations'!IC148="!AMBIG","!AMBIG",IF(COUNTIF('Calculations'!$HE$13:$HE$512,"="&amp;SUBSTITUTE(SUBSTITUTE(SUBSTITUTE('Calculations'!IC148,"~","~~"),"*","~*"),"?","~?"))&gt;1,"!AMBIG",IFERROR(INDEX('Calculations'!$HF$13:$HF$512,MATCH('Calculations'!IC148,'Calculations'!$HE$13:$HE$512,0)),""))))</x:f>
      </x:c>
      <x:c r="IE148" t="str">
        <x:f>IF('Calculations'!ID148="","",IF('Calculations'!ID148="!AMBIG","!AMBIG",IF(COUNTIF('Calculations'!$HE$13:$HE$512,"="&amp;SUBSTITUTE(SUBSTITUTE(SUBSTITUTE('Calculations'!ID148,"~","~~"),"*","~*"),"?","~?"))&gt;1,"!AMBIG",IFERROR(INDEX('Calculations'!$HF$13:$HF$512,MATCH('Calculations'!ID148,'Calculations'!$HE$13:$HE$512,0)),""))))</x:f>
      </x:c>
      <x:c r="IF148" t="str">
        <x:f>IF('Calculations'!IE148="","",IF('Calculations'!IE148="!AMBIG","!AMBIG",IF(COUNTIF('Calculations'!$HE$13:$HE$512,"="&amp;SUBSTITUTE(SUBSTITUTE(SUBSTITUTE('Calculations'!IE148,"~","~~"),"*","~*"),"?","~?"))&gt;1,"!AMBIG",IFERROR(INDEX('Calculations'!$HF$13:$HF$512,MATCH('Calculations'!IE148,'Calculations'!$HE$13:$HE$512,0)),""))))</x:f>
      </x:c>
      <x:c r="IG148" t="str">
        <x:f>IF('Calculations'!IF148="","",IF('Calculations'!IF148="!AMBIG","!AMBIG",IF(COUNTIF('Calculations'!$HE$13:$HE$512,"="&amp;SUBSTITUTE(SUBSTITUTE(SUBSTITUTE('Calculations'!IF148,"~","~~"),"*","~*"),"?","~?"))&gt;1,"!AMBIG",IFERROR(INDEX('Calculations'!$HF$13:$HF$512,MATCH('Calculations'!IF148,'Calculations'!$HE$13:$HE$512,0)),""))))</x:f>
      </x:c>
      <x:c r="IH148" t="str">
        <x:f>IF('Calculations'!IG148="","",IF('Calculations'!IG148="!AMBIG","!AMBIG",IF(COUNTIF('Calculations'!$HE$13:$HE$512,"="&amp;SUBSTITUTE(SUBSTITUTE(SUBSTITUTE('Calculations'!IG148,"~","~~"),"*","~*"),"?","~?"))&gt;1,"!AMBIG",IFERROR(INDEX('Calculations'!$HF$13:$HF$512,MATCH('Calculations'!IG148,'Calculations'!$HE$13:$HE$512,0)),""))))</x:f>
      </x:c>
      <x:c r="II148" t="str">
        <x:f>IF('Calculations'!IH148="","",IF('Calculations'!IH148="!AMBIG","!AMBIG",IF(COUNTIF('Calculations'!$HE$13:$HE$512,"="&amp;SUBSTITUTE(SUBSTITUTE(SUBSTITUTE('Calculations'!IH148,"~","~~"),"*","~*"),"?","~?"))&gt;1,"!AMBIG",IFERROR(INDEX('Calculations'!$HF$13:$HF$512,MATCH('Calculations'!IH148,'Calculations'!$HE$13:$HE$512,0)),""))))</x:f>
      </x:c>
      <x:c r="IJ148" t="str">
        <x:f>IF('Calculations'!EM148="","",IF('Calculations'!$EF$2="All",'Calculations'!HM148,IF('Calculations'!HL148=1,"",IFERROR(IF(MATCH('Calculations'!$EF$2,'Calculations'!HO148:II148,0)=1,'Calculations'!HE148,INDEX('Calculations'!HO148:II148,1,MATCH('Calculations'!$EF$2,'Calculations'!HO148:II148,0)-1)),""))))</x:f>
      </x:c>
      <x:c r="IK148" t="n">
        <x:f>IF(AND('Calculations'!EM148&lt;&gt;"",'Calculations'!$EF$2&lt;&gt;"All",'Calculations'!HF148='Calculations'!$EF$2,'Calculations'!HL148=0,'Calculations'!JD148&gt;0),MAX('Calculations'!$IK$12:IK147)+1,0)</x:f>
        <x:v>0</x:v>
      </x:c>
      <x:c r="JA148" t="n">
        <x:f>IF(OR(IFERROR(INDIRECT("'WCM Calibration Final'!$A$148")&lt;&gt;"",FALSE),IFERROR(INDIRECT("'WCM Calibration Final'!$B$148")&lt;&gt;"",FALSE),IFERROR(INDIRECT("'WCM Calibration Final'!$C$148")&lt;&gt;"",FALSE)),148,0)</x:f>
        <x:v>0</x:v>
      </x:c>
      <x:c r="JB148" t="n">
        <x:f>'Calculations'!JB147+IF('Calculations'!JA148&gt;0,1,0)</x:f>
        <x:v>0</x:v>
      </x:c>
      <x:c r="JC148" t="n">
        <x:f>IF(OR('Calculations'!HF148="",'Calculations'!HF148="!AMBIG"),0,IF('Dashboard'!$B$7="All",1,COUNTIFS('Calculations'!$HO$13:$HO$512,"="&amp;SUBSTITUTE(SUBSTITUTE(SUBSTITUTE('Calculations'!HF148,"~","~~"),"*","~*"),"?","~?"),'Calculations'!$HN$13:$HN$512,"="&amp;SUBSTITUTE(SUBSTITUTE(SUBSTITUTE('Dashboard'!$B$7,"~","~~"),"*","~*"),"?","~?"))+COUNTIFS('Calculations'!$HP$13:$HP$512,"="&amp;SUBSTITUTE(SUBSTITUTE(SUBSTITUTE('Calculations'!HF148,"~","~~"),"*","~*"),"?","~?"),'Calculations'!$HN$13:$HN$512,"="&amp;SUBSTITUTE(SUBSTITUTE(SUBSTITUTE('Dashboard'!$B$7,"~","~~"),"*","~*"),"?","~?"))+COUNTIFS('Calculations'!$HQ$13:$HQ$512,"="&amp;SUBSTITUTE(SUBSTITUTE(SUBSTITUTE('Calculations'!HF148,"~","~~"),"*","~*"),"?","~?"),'Calculations'!$HN$13:$HN$512,"="&amp;SUBSTITUTE(SUBSTITUTE(SUBSTITUTE('Dashboard'!$B$7,"~","~~"),"*","~*"),"?","~?"))+COUNTIFS('Calculations'!$HR$13:$HR$512,"="&amp;SUBSTITUTE(SUBSTITUTE(SUBSTITUTE('Calculations'!HF148,"~","~~"),"*","~*"),"?","~?"),'Calculations'!$HN$13:$HN$512,"="&amp;SUBSTITUTE(SUBSTITUTE(SUBSTITUTE('Dashboard'!$B$7,"~","~~"),"*","~*"),"?","~?"))+COUNTIFS('Calculations'!$HS$13:$HS$512,"="&amp;SUBSTITUTE(SUBSTITUTE(SUBSTITUTE('Calculations'!HF148,"~","~~"),"*","~*"),"?","~?"),'Calculations'!$HN$13:$HN$512,"="&amp;SUBSTITUTE(SUBSTITUTE(SUBSTITUTE('Dashboard'!$B$7,"~","~~"),"*","~*"),"?","~?"))+COUNTIFS('Calculations'!$HT$13:$HT$512,"="&amp;SUBSTITUTE(SUBSTITUTE(SUBSTITUTE('Calculations'!HF148,"~","~~"),"*","~*"),"?","~?"),'Calculations'!$HN$13:$HN$512,"="&amp;SUBSTITUTE(SUBSTITUTE(SUBSTITUTE('Dashboard'!$B$7,"~","~~"),"*","~*"),"?","~?"))+COUNTIFS('Calculations'!$HU$13:$HU$512,"="&amp;SUBSTITUTE(SUBSTITUTE(SUBSTITUTE('Calculations'!HF148,"~","~~"),"*","~*"),"?","~?"),'Calculations'!$HN$13:$HN$512,"="&amp;SUBSTITUTE(SUBSTITUTE(SUBSTITUTE('Dashboard'!$B$7,"~","~~"),"*","~*"),"?","~?"))+COUNTIFS('Calculations'!$HV$13:$HV$512,"="&amp;SUBSTITUTE(SUBSTITUTE(SUBSTITUTE('Calculations'!HF148,"~","~~"),"*","~*"),"?","~?"),'Calculations'!$HN$13:$HN$512,"="&amp;SUBSTITUTE(SUBSTITUTE(SUBSTITUTE('Dashboard'!$B$7,"~","~~"),"*","~*"),"?","~?"))+COUNTIFS('Calculations'!$HW$13:$HW$512,"="&amp;SUBSTITUTE(SUBSTITUTE(SUBSTITUTE('Calculations'!HF148,"~","~~"),"*","~*"),"?","~?"),'Calculations'!$HN$13:$HN$512,"="&amp;SUBSTITUTE(SUBSTITUTE(SUBSTITUTE('Dashboard'!$B$7,"~","~~"),"*","~*"),"?","~?"))+COUNTIFS('Calculations'!$HX$13:$HX$512,"="&amp;SUBSTITUTE(SUBSTITUTE(SUBSTITUTE('Calculations'!HF148,"~","~~"),"*","~*"),"?","~?"),'Calculations'!$HN$13:$HN$512,"="&amp;SUBSTITUTE(SUBSTITUTE(SUBSTITUTE('Dashboard'!$B$7,"~","~~"),"*","~*"),"?","~?"))+COUNTIFS('Calculations'!$HY$13:$HY$512,"="&amp;SUBSTITUTE(SUBSTITUTE(SUBSTITUTE('Calculations'!HF148,"~","~~"),"*","~*"),"?","~?"),'Calculations'!$HN$13:$HN$512,"="&amp;SUBSTITUTE(SUBSTITUTE(SUBSTITUTE('Dashboard'!$B$7,"~","~~"),"*","~*"),"?","~?"))+COUNTIFS('Calculations'!$HZ$13:$HZ$512,"="&amp;SUBSTITUTE(SUBSTITUTE(SUBSTITUTE('Calculations'!HF148,"~","~~"),"*","~*"),"?","~?"),'Calculations'!$HN$13:$HN$512,"="&amp;SUBSTITUTE(SUBSTITUTE(SUBSTITUTE('Dashboard'!$B$7,"~","~~"),"*","~*"),"?","~?"))+COUNTIFS('Calculations'!$IA$13:$IA$512,"="&amp;SUBSTITUTE(SUBSTITUTE(SUBSTITUTE('Calculations'!HF148,"~","~~"),"*","~*"),"?","~?"),'Calculations'!$HN$13:$HN$512,"="&amp;SUBSTITUTE(SUBSTITUTE(SUBSTITUTE('Dashboard'!$B$7,"~","~~"),"*","~*"),"?","~?"))+COUNTIFS('Calculations'!$IB$13:$IB$512,"="&amp;SUBSTITUTE(SUBSTITUTE(SUBSTITUTE('Calculations'!HF148,"~","~~"),"*","~*"),"?","~?"),'Calculations'!$HN$13:$HN$512,"="&amp;SUBSTITUTE(SUBSTITUTE(SUBSTITUTE('Dashboard'!$B$7,"~","~~"),"*","~*"),"?","~?"))+COUNTIFS('Calculations'!$IC$13:$IC$512,"="&amp;SUBSTITUTE(SUBSTITUTE(SUBSTITUTE('Calculations'!HF148,"~","~~"),"*","~*"),"?","~?"),'Calculations'!$HN$13:$HN$512,"="&amp;SUBSTITUTE(SUBSTITUTE(SUBSTITUTE('Dashboard'!$B$7,"~","~~"),"*","~*"),"?","~?"))+COUNTIFS('Calculations'!$ID$13:$ID$512,"="&amp;SUBSTITUTE(SUBSTITUTE(SUBSTITUTE('Calculations'!HF148,"~","~~"),"*","~*"),"?","~?"),'Calculations'!$HN$13:$HN$512,"="&amp;SUBSTITUTE(SUBSTITUTE(SUBSTITUTE('Dashboard'!$B$7,"~","~~"),"*","~*"),"?","~?"))+COUNTIFS('Calculations'!$IE$13:$IE$512,"="&amp;SUBSTITUTE(SUBSTITUTE(SUBSTITUTE('Calculations'!HF148,"~","~~"),"*","~*"),"?","~?"),'Calculations'!$HN$13:$HN$512,"="&amp;SUBSTITUTE(SUBSTITUTE(SUBSTITUTE('Dashboard'!$B$7,"~","~~"),"*","~*"),"?","~?"))+COUNTIFS('Calculations'!$IF$13:$IF$512,"="&amp;SUBSTITUTE(SUBSTITUTE(SUBSTITUTE('Calculations'!HF148,"~","~~"),"*","~*"),"?","~?"),'Calculations'!$HN$13:$HN$512,"="&amp;SUBSTITUTE(SUBSTITUTE(SUBSTITUTE('Dashboard'!$B$7,"~","~~"),"*","~*"),"?","~?"))+COUNTIFS('Calculations'!$IG$13:$IG$512,"="&amp;SUBSTITUTE(SUBSTITUTE(SUBSTITUTE('Calculations'!HF148,"~","~~"),"*","~*"),"?","~?"),'Calculations'!$HN$13:$HN$512,"="&amp;SUBSTITUTE(SUBSTITUTE(SUBSTITUTE('Dashboard'!$B$7,"~","~~"),"*","~*"),"?","~?"))+COUNTIFS('Calculations'!$IH$13:$IH$512,"="&amp;SUBSTITUTE(SUBSTITUTE(SUBSTITUTE('Calculations'!HF148,"~","~~"),"*","~*"),"?","~?"),'Calculations'!$HN$13:$HN$512,"="&amp;SUBSTITUTE(SUBSTITUTE(SUBSTITUTE('Dashboard'!$B$7,"~","~~"),"*","~*"),"?","~?"))))</x:f>
        <x:v>0</x:v>
      </x:c>
      <x:c r="JD148" t="n">
        <x:f>IF('Calculations'!EM148="",0,IF('Dashboard'!$B$7="All",1,IF('Calculations'!HN148='Dashboard'!$B$7,1,0)+IFERROR(INDEX('Calculations'!$JC$13:$JC$512,MATCH('Calculations'!HE148,'Calculations'!$HF$13:$HF$512,0)),0)))</x:f>
        <x:v>0</x:v>
      </x:c>
      <x:c r="JE148" t="n">
        <x:f>IF(AND('Calculations'!EM148&lt;&gt;"",'Calculations'!$JJ$2&lt;&gt;"All",'Calculations'!$JJ$2&lt;&gt;"",'Calculations'!HF148='Calculations'!$JJ$2,'Calculations'!HL148=0,'Calculations'!JD148&gt;0),MAX('Calculations'!$JE$12:JE147)+1,0)</x:f>
        <x:v>0</x:v>
      </x:c>
      <x:c r="JF148" t="str">
        <x:f>IF('Calculations'!EM148="","",IFERROR(IF(INDEX(INDIRECT("'WCM Calibration Final'!$G$1:$G$2000"),'Calculations'!$EM148)="","",TRIM(INDEX(INDIRECT("'WCM Calibration Final'!$G$1:$G$2000"),'Calculations'!$EM148)&amp;"")),""))</x:f>
      </x:c>
      <x:c r="JQ148" t="n">
        <x:f>IF(OR('Calculations'!BM148=0,NOT('Calculations'!$AG$2),'Calculations'!$AG$8&gt;0),0,IF(OR('Dashboard'!$B$7="All",'Calculations'!HN148='Dashboard'!$B$7),IF('Calculations'!$JJ$2="All",1,IF(AND('Calculations'!HF148='Calculations'!$JJ$2,'Calculations'!HL148=0),1,0)),0))</x:f>
        <x:v>0</x:v>
      </x:c>
    </x:row>
    <x:row r="149">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t="n">
        <x:f>IF('Calculations'!$EM149="",0,IF(OR(IFERROR(INDEX(INDIRECT("'WCM Calibration Final'!$A$1:$A$2000"),'Calculations'!$EM149)&lt;&gt;"",FALSE),IFERROR(INDEX(INDIRECT("'WCM Calibration Final'!$B$1:$B$2000"),'Calculations'!$EM149)&lt;&gt;"",FALSE),IFERROR(INDEX(INDIRECT("'WCM Calibration Final'!$C$1:$C$2000"),'Calculations'!$EM149)&lt;&gt;"",FALSE)),1,0))</x:f>
        <x:v>0</x:v>
      </x:c>
      <x:c r="BN149" s="4" t="n">
        <x:f>IF(AND('Calculations'!BM149=1,'Calculations'!$AG$2,'Calculations'!$EN149=1),1,0)</x:f>
        <x:v>0</x:v>
      </x:c>
      <x:c r="BO149" s="4" t="str">
        <x:f>IF('Calculations'!BM149=0,"",IFERROR(IF(AND(VALUE(INDEX(INDIRECT("'WCM Calibration Final'!$K$1:$K$2000"),'Calculations'!$EM149))&gt;=1,VALUE(INDEX(INDIRECT("'WCM Calibration Final'!$K$1:$K$2000"),'Calculations'!$EM149))&lt;=4,MOD(VALUE(INDEX(INDIRECT("'WCM Calibration Final'!$K$1:$K$2000"),'Calculations'!$EM149)),1)=0),VALUE(INDEX(INDIRECT("'WCM Calibration Final'!$K$1:$K$2000"),'Calculations'!$EM149)),""),""))</x:f>
      </x:c>
      <x:c r="BP149" s="4" t="str">
        <x:f>IF('Calculations'!BM149=0,"",IFERROR(IF(AND(VALUE(INDEX(INDIRECT("'WCM Calibration Final'!$L$1:$L$2000"),'Calculations'!$EM149))&gt;=1,VALUE(INDEX(INDIRECT("'WCM Calibration Final'!$L$1:$L$2000"),'Calculations'!$EM149))&lt;=4,MOD(VALUE(INDEX(INDIRECT("'WCM Calibration Final'!$L$1:$L$2000"),'Calculations'!$EM149)),1)=0),VALUE(INDEX(INDIRECT("'WCM Calibration Final'!$L$1:$L$2000"),'Calculations'!$EM149)),""),""))</x:f>
      </x:c>
      <x:c r="BQ149" s="4"/>
      <x:c r="BR149" s="4"/>
      <x:c r="BS149" s="4"/>
      <x:c r="BT149" s="4" t="n">
        <x:f>IF(AND('Calculations'!BM149=1,ISNUMBER('Calculations'!BO149),ISNUMBER('Calculations'!BP149)),1,0)</x:f>
        <x:v>0</x:v>
      </x:c>
      <x:c r="BU149" s="4" t="str">
        <x:f>IF('Calculations'!BM149=0,"",'Calculations'!$EO149)</x:f>
      </x:c>
      <x:c r="BV149" s="4" t="str">
        <x:f>IF('Calculations'!BM149=0,"",IFERROR(IF(OR(INDEX(INDIRECT("'WCM Calibration Final'!$H$1:$H$2000"),'Calculations'!$EM149)="MANAGING DIRECTOR",INDEX(INDIRECT("'WCM Calibration Final'!$H$1:$H$2000"),'Calculations'!$EM149)="DIRECTOR",INDEX(INDIRECT("'WCM Calibration Final'!$H$1:$H$2000"),'Calculations'!$EM149)="SENIOR VICE PRESIDENT",INDEX(INDIRECT("'WCM Calibration Final'!$H$1:$H$2000"),'Calculations'!$EM149)="VICE PRESIDENT",INDEX(INDIRECT("'WCM Calibration Final'!$H$1:$H$2000"),'Calculations'!$EM149)="ASSISTANT VICE PRESIDENT",INDEX(INDIRECT("'WCM Calibration Final'!$H$1:$H$2000"),'Calculations'!$EM149)="OFFICER"),UPPER(INDEX(INDIRECT("'WCM Calibration Final'!$H$1:$H$2000"),'Calculations'!$EM149)),"Other"),"Other"))</x:f>
      </x:c>
      <x:c r="BW149" s="4"/>
      <x:c r="BX149" s="4"/>
      <x:c r="BY149" s="4" t="n">
        <x:f>IF(AND('Calculations'!BM149=1,'Calculations'!BU149&lt;&gt;"",COUNTIF('Calculations'!$BU$12:BU149,'Calculations'!BU149)=1),MAX('Calculations'!$BY$11:BY148)+1,0)</x:f>
        <x:v>0</x:v>
      </x:c>
      <x:c r="BZ149" s="4" t="str">
        <x:f>IF('Dashboard'!$E$67="What",'Calculations'!BO149,'Calculations'!BP149)</x:f>
      </x:c>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t="str">
        <x:f>IF(138&gt;MAX('Calculations'!$HI$13:$HI$512),"",INDEX('Calculations'!$HN$13:$HN$512,MATCH(138,'Calculations'!$HI$13:$HI$512,0)))</x:f>
      </x:c>
      <x:c r="DB149" s="4" t="str">
        <x:f>IF(138&gt;MAX('Calculations'!$HH$13:$HH$512),"",INDEX('Calculations'!$HJ$13:$HJ$512,MATCH(138,'Calculations'!$HH$13:$HH$512,0)))</x:f>
      </x:c>
      <x:c r="DC149" s="4" t="str">
        <x:f>IF(ROW()-11&gt;MAX('Calculations'!$BY$13:$BY$512),"",INDEX('Calculations'!$BU$13:$BU$512,MATCH(ROW()-11,'Calculations'!$BY$13:$BY$512,0)))</x:f>
      </x:c>
      <x:c r="DD149" s="4" t="str">
        <x:f>IF(138&gt;MAX('Calculations'!$IK$13:$IK$512),"",INDEX('Calculations'!$HK$13:$HK$512,MATCH(138,'Calculations'!$IK$13:$IK$512,0)))</x:f>
      </x:c>
      <x:c r="DE149" s="4" t="str">
        <x:f>'Calculations'!DC149</x:f>
      </x:c>
      <x:c r="DF149" s="4" t="str">
        <x:f>IF('Calculations'!DE149="","",COUNTIFS('Calculations'!$BN$13:$BN$512,1,'Calculations'!$BU$13:$BU$512,'Calculations'!DE149))</x:f>
      </x:c>
      <x:c r="DG149" s="4" t="str">
        <x:f>IF('Calculations'!DE149="","",COUNTIFS('Calculations'!$BN$13:$BN$512,1,'Calculations'!$BU$13:$BU$512,'Calculations'!DE149,'Calculations'!$BT$13:$BT$512,1))</x:f>
      </x:c>
      <x:c r="DH149" s="4" t="str">
        <x:f>IF('Calculations'!DE149="","",'Calculations'!DF149-'Calculations'!DG149)</x:f>
      </x:c>
      <x:c r="DI149" s="4" t="str">
        <x:f>IF(OR('Calculations'!DE149="",'Calculations'!DF149=0),"",'Calculations'!DG149/'Calculations'!DF149)</x:f>
      </x:c>
      <x:c r="DJ149" s="4" t="str">
        <x:f>IF('Calculations'!DE149="","",COUNTIFS('Calculations'!$BN$13:$BN$512,1,'Calculations'!$BU$13:$BU$512,'Calculations'!DE149,'Calculations'!$BT$13:$BT$512,1,'Calculations'!$EE$13:$EE$512,"High"))</x:f>
      </x:c>
      <x:c r="DK149" s="4" t="str">
        <x:f>IF('Calculations'!DE149="","",COUNTIFS('Calculations'!$BN$13:$BN$512,1,'Calculations'!$BU$13:$BU$512,'Calculations'!DE149,'Calculations'!$BT$13:$BT$512,1,'Calculations'!$EE$13:$EE$512,"Strong"))</x:f>
      </x:c>
      <x:c r="DL149" s="4" t="str">
        <x:f>IF('Calculations'!DE149="","",COUNTIFS('Calculations'!$BN$13:$BN$512,1,'Calculations'!$BU$13:$BU$512,'Calculations'!DE149,'Calculations'!$BT$13:$BT$512,1,'Calculations'!$EE$13:$EE$512,"Solid"))</x:f>
      </x:c>
      <x:c r="DM149" s="4" t="str">
        <x:f>IF('Calculations'!DE149="","",COUNTIFS('Calculations'!$BN$13:$BN$512,1,'Calculations'!$BU$13:$BU$512,'Calculations'!DE149,'Calculations'!$BT$13:$BT$512,1,'Calculations'!$EE$13:$EE$512,"Low"))</x:f>
      </x:c>
      <x:c r="DN149" s="4" t="str">
        <x:f>IF('Calculations'!DE149="","",COUNTIFS('Calculations'!$BN$13:$BN$512,1,'Calculations'!$BU$13:$BU$512,'Calculations'!DE149,'Calculations'!$EP$13:$EP$512,1))</x:f>
      </x:c>
      <x:c r="DO149" s="4" t="str">
        <x:f>IF(OR('Calculations'!DE149="",'Calculations'!DG149=0),"",('Calculations'!DJ149+'Calculations'!DK149)/'Calculations'!DG149)</x:f>
      </x:c>
      <x:c r="DP149" s="4" t="n">
        <x:f>IF(AND('Calculations'!DE149&lt;&gt;"",'Calculations'!DF149&gt;0),COUNTIF('Calculations'!$DF$12:DF149,"&gt;0"),0)</x:f>
        <x:v>0</x:v>
      </x:c>
      <x:c r="DQ149" s="4" t="str">
        <x:f>IF(138&gt;MAX('Calculations'!$HH$13:$HH$512),"",INDEX('Calculations'!$HF$13:$HF$512,MATCH(138,'Calculations'!$HH$13:$HH$512,0)))</x:f>
      </x:c>
      <x:c r="DR149" s="4" t="str">
        <x:f>IF(138&gt;MAX('Calculations'!$IK$13:$IK$512),"",INDEX('Calculations'!$HE$13:$HE$512,MATCH(138,'Calculations'!$IK$13:$IK$512,0)))</x:f>
      </x:c>
      <x:c r="DS149" s="4"/>
      <x:c r="DT149" s="4"/>
      <x:c r="DU149" s="4"/>
      <x:c r="DV149" s="4"/>
      <x:c r="DW149" s="4"/>
      <x:c r="DX149" s="4"/>
      <x:c r="DY149" s="4"/>
      <x:c r="DZ149" s="4"/>
      <x:c r="EA149" s="4"/>
      <x:c r="EB149" s="4"/>
      <x:c r="EC149" s="4"/>
      <x:c r="ED149" s="4"/>
      <x:c r="EE149" s="4" t="str">
        <x:f>IF('Calculations'!BT149=0,"Not Rated",IF(OR('Calculations'!BO149&gt;=4,'Calculations'!BP149&gt;=4),"Low",IF('Calculations'!BO149+'Calculations'!BP149&lt;=3,"High",IF('Calculations'!BO149+'Calculations'!BP149&lt;=4,"Strong","Solid"))))</x:f>
        <x:v>Not Rated</x:v>
      </x:c>
      <x:c r="EF149" s="4"/>
      <x:c r="EG149" s="4"/>
      <x:c r="EH149" s="4"/>
      <x:c r="EI149" s="4"/>
      <x:c r="EJ149" s="4"/>
      <x:c r="EK149" s="4"/>
      <x:c r="EL149" s="4"/>
      <x:c r="EM149" s="4" t="str">
        <x:f>IF(137&gt;'Calculations'!$JB$2000,"",INDEX('Calculations'!$JA$12:$JA$2000,MATCH(137,'Calculations'!$JB$12:$JB$2000,0)))</x:f>
      </x:c>
      <x:c r="EN149" s="4" t="n">
        <x:f>IF(OR('Calculations'!EM149="",'Calculations'!$AG$8&gt;0,AND('Calculations'!$EF$2&lt;&gt;"All",'Calculations'!HE149='Calculations'!$EF$2),AND('Calculations'!$EF$3&lt;&gt;"All",'Calculations'!HE149='Calculations'!$EF$3)),0,IF(OR('Dashboard'!$B$7="All",'Calculations'!HN149='Dashboard'!$B$7),IF('Calculations'!$EF$2="All",1,IF('Calculations'!HL149&gt;0,0,IF(COUNTIF('Calculations'!HO149:II149,"="&amp;SUBSTITUTE(SUBSTITUTE(SUBSTITUTE('Calculations'!$EF$2,"~","~~"),"*","~*"),"?","~?"))=0,0,IF('Calculations'!$EF$3="All",1,IF(COUNTIF('Calculations'!HO149:II149,"="&amp;SUBSTITUTE(SUBSTITUTE(SUBSTITUTE('Calculations'!$EF$3,"~","~~"),"*","~*"),"?","~?"))&gt;0,1,0))))),0))</x:f>
        <x:v>0</x:v>
      </x:c>
      <x:c r="EO149" s="4" t="str">
        <x:f>IF('Calculations'!IJ149="","",IF('Calculations'!IJ149="!UNRESOLVED","Unresolved hierarchy",IFERROR(INDEX('Calculations'!$HK$13:$HK$512,MATCH('Calculations'!IJ149,'Calculations'!$HE$13:$HE$512,0)),IFERROR(INDEX('Calculations'!$HJ$13:$HJ$512,MATCH('Calculations'!IJ149,'Calculations'!$HF$13:$HF$512,0)),'Calculations'!IJ149))))</x:f>
      </x:c>
      <x:c r="EP149" s="4" t="n">
        <x:f>IF(AND('Calculations'!EM149&lt;&gt;"",'Calculations'!HF149='Calculations'!IJ149),1,0)</x:f>
        <x:v>0</x:v>
      </x:c>
      <x:c r="EQ149" s="4"/>
      <x:c r="ER149" s="4"/>
      <x:c r="ES149" s="4"/>
      <x:c r="ET149" s="4"/>
      <x:c r="EU149" s="4"/>
      <x:c r="EV149" s="4"/>
      <x:c r="EW149" s="4"/>
      <x:c r="EX149" s="4"/>
      <x:c r="EY149" s="4"/>
      <x:c r="EZ149" s="4"/>
      <x:c r="FA149" s="4"/>
      <x:c r="FB149" s="4"/>
      <x:c r="FC149" s="4"/>
      <x:c r="FD149" s="4"/>
      <x:c r="FE149" s="4"/>
      <x:c r="FF149" s="4"/>
      <x:c r="FG149" s="4"/>
      <x:c r="FH149" s="4"/>
      <x:c r="FI149" s="4"/>
      <x:c r="FJ149" s="4"/>
      <x:c r="FK149" s="4"/>
      <x:c r="FL149" s="4"/>
      <x:c r="FM149" s="4"/>
      <x:c r="FN149" s="4"/>
      <x:c r="FO149" s="4"/>
      <x:c r="GA149" s="71"/>
      <x:c r="GB149" s="71"/>
      <x:c r="GC149" s="71"/>
      <x:c r="GD149" s="71"/>
      <x:c r="GE149" s="71"/>
      <x:c r="GF149" s="71"/>
      <x:c r="GG149" s="71"/>
      <x:c r="GH149" s="71"/>
      <x:c r="GI149" s="71"/>
      <x:c r="GJ149" s="71"/>
      <x:c r="GK149" s="71"/>
      <x:c r="GL149" s="71"/>
      <x:c r="GM149" s="71"/>
      <x:c r="GN149" s="71"/>
      <x:c r="GO149" s="71"/>
      <x:c r="GP149" s="71"/>
      <x:c r="GQ149" s="71"/>
      <x:c r="GR149" s="71"/>
      <x:c r="GS149" s="71"/>
      <x:c r="GT149" s="71"/>
      <x:c r="GU149" s="71"/>
      <x:c r="GV149" s="71"/>
      <x:c r="GW149" s="71"/>
      <x:c r="GX149" s="71"/>
      <x:c r="GY149" s="71"/>
      <x:c r="GZ149" s="71"/>
      <x:c r="HA149" s="71"/>
      <x:c r="HB149" s="71"/>
      <x:c r="HC149" s="71"/>
      <x:c r="HD149" s="71"/>
      <x:c r="HE149" t="str">
        <x:f>IF('Calculations'!EM149="","",IF(IFERROR(IF(INDEX(INDIRECT("'WCM Calibration Final'!$A$1:$A$2000"),'Calculations'!$EM149)="","",TRIM(INDEX(INDIRECT("'WCM Calibration Final'!$A$1:$A$2000"),'Calculations'!$EM149)&amp;"")),"")&lt;&gt;"","G:"&amp;IFERROR(TEXT(1*INDEX(INDIRECT("'WCM Calibration Final'!$A$1:$A$2000"),'Calculations'!$EM149),"0"),UPPER(IFERROR(IF(INDEX(INDIRECT("'WCM Calibration Final'!$A$1:$A$2000"),'Calculations'!$EM149)="","",TRIM(INDEX(INDIRECT("'WCM Calibration Final'!$A$1:$A$2000"),'Calculations'!$EM149)&amp;"")),""))),IF(IFERROR(IF(INDEX(INDIRECT("'WCM Calibration Final'!$C$1:$C$2000"),'Calculations'!$EM149)="","",TRIM(INDEX(INDIRECT("'WCM Calibration Final'!$C$1:$C$2000"),'Calculations'!$EM149)&amp;"")),"")&lt;&gt;"","S:"&amp;UPPER(IFERROR(IF(INDEX(INDIRECT("'WCM Calibration Final'!$C$1:$C$2000"),'Calculations'!$EM149)="","",TRIM(INDEX(INDIRECT("'WCM Calibration Final'!$C$1:$C$2000"),'Calculations'!$EM149)&amp;"")),"")),"R:"&amp;'Calculations'!EM149)))</x:f>
      </x:c>
      <x:c r="HF149" t="str">
        <x:f>IF('Calculations'!EM149="","",IF(IFERROR(IF(INDEX(INDIRECT("'WCM Calibration Final'!$D$1:$D$2000"),'Calculations'!$EM149)="","",TRIM(INDEX(INDIRECT("'WCM Calibration Final'!$D$1:$D$2000"),'Calculations'!$EM149)&amp;"")),"")&lt;&gt;"","G:"&amp;IFERROR(TEXT(1*INDEX(INDIRECT("'WCM Calibration Final'!$D$1:$D$2000"),'Calculations'!$EM149),"0"),UPPER(IFERROR(IF(INDEX(INDIRECT("'WCM Calibration Final'!$D$1:$D$2000"),'Calculations'!$EM149)="","",TRIM(INDEX(INDIRECT("'WCM Calibration Final'!$D$1:$D$2000"),'Calculations'!$EM149)&amp;"")),""))),IF(IFERROR(IF(INDEX(INDIRECT("'WCM Calibration Final'!$E$1:$E$2000"),'Calculations'!$EM149)="","",TRIM(INDEX(INDIRECT("'WCM Calibration Final'!$E$1:$E$2000"),'Calculations'!$EM149)&amp;"")),"")="","",IF(COUNTIF('Calculations'!$HG$13:$HG$512,"="&amp;SUBSTITUTE(SUBSTITUTE(SUBSTITUTE(IFERROR(IF(INDEX(INDIRECT("'WCM Calibration Final'!$E$1:$E$2000"),'Calculations'!$EM149)="","",TRIM(INDEX(INDIRECT("'WCM Calibration Final'!$E$1:$E$2000"),'Calculations'!$EM149)&amp;"")),""),"~","~~"),"*","~*"),"?","~?"))=1,INDEX('Calculations'!$HE$13:$HE$512,MATCH(IFERROR(IF(INDEX(INDIRECT("'WCM Calibration Final'!$E$1:$E$2000"),'Calculations'!$EM149)="","",TRIM(INDEX(INDIRECT("'WCM Calibration Final'!$E$1:$E$2000"),'Calculations'!$EM149)&amp;"")),""),'Calculations'!$HG$13:$HG$512,0)),IF(COUNTIF('Calculations'!$HG$13:$HG$512,"="&amp;SUBSTITUTE(SUBSTITUTE(SUBSTITUTE(IFERROR(IF(INDEX(INDIRECT("'WCM Calibration Final'!$E$1:$E$2000"),'Calculations'!$EM149)="","",TRIM(INDEX(INDIRECT("'WCM Calibration Final'!$E$1:$E$2000"),'Calculations'!$EM149)&amp;"")),""),"~","~~"),"*","~*"),"?","~?"))&gt;1,"!AMBIG","X:"&amp;IFERROR(IF(INDEX(INDIRECT("'WCM Calibration Final'!$E$1:$E$2000"),'Calculations'!$EM149)="","",TRIM(INDEX(INDIRECT("'WCM Calibration Final'!$E$1:$E$2000"),'Calculations'!$EM149)&amp;"")),""))))))</x:f>
      </x:c>
      <x:c r="HG149" t="str">
        <x:f>IF('Calculations'!EM149="","",IFERROR(IF(INDEX(INDIRECT("'WCM Calibration Final'!$B$1:$B$2000"),'Calculations'!$EM149)="","",TRIM(INDEX(INDIRECT("'WCM Calibration Final'!$B$1:$B$2000"),'Calculations'!$EM149)&amp;"")),""))</x:f>
      </x:c>
      <x:c r="HH149" t="n">
        <x:f>IF(AND('Calculations'!JC149&gt;0,COUNTIF('Calculations'!$HF$12:HF149,"="&amp;SUBSTITUTE(SUBSTITUTE(SUBSTITUTE('Calculations'!HF149,"~","~~"),"*","~*"),"?","~?"))=1),MAX('Calculations'!$HH$12:HH148)+1,0)</x:f>
        <x:v>0</x:v>
      </x:c>
      <x:c r="HI149" t="n">
        <x:f>IF(AND('Calculations'!HN149&lt;&gt;"",COUNTIF('Calculations'!$HN$12:HN149,"="&amp;SUBSTITUTE(SUBSTITUTE(SUBSTITUTE('Calculations'!HN149,"~","~~"),"*","~*"),"?","~?"))=1),MAX('Calculations'!$HI$12:HI148)+1,0)</x:f>
        <x:v>0</x:v>
      </x:c>
      <x:c r="HJ149" t="str">
        <x:f>IF('Calculations'!HF149="","",IF(COUNTIF('Calculations'!$HE$13:$HE$512,"="&amp;SUBSTITUTE(SUBSTITUTE(SUBSTITUTE('Calculations'!HF149,"~","~~"),"*","~*"),"?","~?"))=1,INDEX('Calculations'!$HK$13:$HK$512,MATCH('Calculations'!HF149,'Calculations'!$HE$13:$HE$512,0)),IFERROR(IF(INDEX(INDIRECT("'WCM Calibration Final'!$E$1:$E$2000"),'Calculations'!$EM149)="","",TRIM(INDEX(INDIRECT("'WCM Calibration Final'!$E$1:$E$2000"),'Calculations'!$EM149)&amp;"")),"")&amp;" ["&amp;'Calculations'!HF149&amp;"]"))</x:f>
      </x:c>
      <x:c r="HK149" t="str">
        <x:f>IF('Calculations'!EM149="","",'Calculations'!HG149&amp;" ["&amp;'Calculations'!HE149&amp;"]")</x:f>
      </x:c>
      <x:c r="HL149" t="n">
        <x:f>IF('Calculations'!EM149="",0,IF(OR('Calculations'!II149&lt;&gt;"",COUNTIF('Calculations'!$HE$13:$HE$512,"="&amp;SUBSTITUTE(SUBSTITUTE(SUBSTITUTE('Calculations'!HE149,"~","~~"),"*","~*"),"?","~?"))&gt;1),1,0))</x:f>
        <x:v>0</x:v>
      </x:c>
      <x:c r="HM149" t="str">
        <x:f>IF('Calculations'!EM149="","",IF('Calculations'!HL149=1,"!UNRESOLVED",IF('Calculations'!IH149&lt;&gt;"",'Calculations'!IH149,IF('Calculations'!IG149&lt;&gt;"",'Calculations'!IG149,IF('Calculations'!IF149&lt;&gt;"",'Calculations'!IF149,IF('Calculations'!IE149&lt;&gt;"",'Calculations'!IE149,IF('Calculations'!ID149&lt;&gt;"",'Calculations'!ID149,IF('Calculations'!IC149&lt;&gt;"",'Calculations'!IC149,IF('Calculations'!IB149&lt;&gt;"",'Calculations'!IB149,IF('Calculations'!IA149&lt;&gt;"",'Calculations'!IA149,IF('Calculations'!HZ149&lt;&gt;"",'Calculations'!HZ149,IF('Calculations'!HY149&lt;&gt;"",'Calculations'!HY149,IF('Calculations'!HX149&lt;&gt;"",'Calculations'!HX149,IF('Calculations'!HW149&lt;&gt;"",'Calculations'!HW149,IF('Calculations'!HV149&lt;&gt;"",'Calculations'!HV149,IF('Calculations'!HU149&lt;&gt;"",'Calculations'!HU149,IF('Calculations'!HT149&lt;&gt;"",'Calculations'!HT149,IF('Calculations'!HS149&lt;&gt;"",'Calculations'!HS149,IF('Calculations'!HR149&lt;&gt;"",'Calculations'!HR149,IF('Calculations'!HQ149&lt;&gt;"",'Calculations'!HQ149,IF('Calculations'!HP149&lt;&gt;"",'Calculations'!HP149,IF('Calculations'!HO149&lt;&gt;"",'Calculations'!HO149,'Calculations'!HE149))))))))))))))))))))))</x:f>
      </x:c>
      <x:c r="HN149" t="str">
        <x:f>IF('Calculations'!EM149="","",IF(IFERROR(IF(INDEX(INDIRECT("'WCM Calibration Final'!$F$1:$F$2000"),'Calculations'!$EM149)="","",TRIM(INDEX(INDIRECT("'WCM Calibration Final'!$F$1:$F$2000"),'Calculations'!$EM149)&amp;"")),"")="","(Blank)",IFERROR(IF(INDEX(INDIRECT("'WCM Calibration Final'!$F$1:$F$2000"),'Calculations'!$EM149)="","",TRIM(INDEX(INDIRECT("'WCM Calibration Final'!$F$1:$F$2000"),'Calculations'!$EM149)&amp;"")),"")))</x:f>
      </x:c>
      <x:c r="HO149" t="str">
        <x:f>'Calculations'!HF149</x:f>
      </x:c>
      <x:c r="HP149" t="str">
        <x:f>IF('Calculations'!HO149="","",IF('Calculations'!HO149="!AMBIG","!AMBIG",IF(COUNTIF('Calculations'!$HE$13:$HE$512,"="&amp;SUBSTITUTE(SUBSTITUTE(SUBSTITUTE('Calculations'!HO149,"~","~~"),"*","~*"),"?","~?"))&gt;1,"!AMBIG",IFERROR(INDEX('Calculations'!$HF$13:$HF$512,MATCH('Calculations'!HO149,'Calculations'!$HE$13:$HE$512,0)),""))))</x:f>
      </x:c>
      <x:c r="HQ149" t="str">
        <x:f>IF('Calculations'!HP149="","",IF('Calculations'!HP149="!AMBIG","!AMBIG",IF(COUNTIF('Calculations'!$HE$13:$HE$512,"="&amp;SUBSTITUTE(SUBSTITUTE(SUBSTITUTE('Calculations'!HP149,"~","~~"),"*","~*"),"?","~?"))&gt;1,"!AMBIG",IFERROR(INDEX('Calculations'!$HF$13:$HF$512,MATCH('Calculations'!HP149,'Calculations'!$HE$13:$HE$512,0)),""))))</x:f>
      </x:c>
      <x:c r="HR149" t="str">
        <x:f>IF('Calculations'!HQ149="","",IF('Calculations'!HQ149="!AMBIG","!AMBIG",IF(COUNTIF('Calculations'!$HE$13:$HE$512,"="&amp;SUBSTITUTE(SUBSTITUTE(SUBSTITUTE('Calculations'!HQ149,"~","~~"),"*","~*"),"?","~?"))&gt;1,"!AMBIG",IFERROR(INDEX('Calculations'!$HF$13:$HF$512,MATCH('Calculations'!HQ149,'Calculations'!$HE$13:$HE$512,0)),""))))</x:f>
      </x:c>
      <x:c r="HS149" t="str">
        <x:f>IF('Calculations'!HR149="","",IF('Calculations'!HR149="!AMBIG","!AMBIG",IF(COUNTIF('Calculations'!$HE$13:$HE$512,"="&amp;SUBSTITUTE(SUBSTITUTE(SUBSTITUTE('Calculations'!HR149,"~","~~"),"*","~*"),"?","~?"))&gt;1,"!AMBIG",IFERROR(INDEX('Calculations'!$HF$13:$HF$512,MATCH('Calculations'!HR149,'Calculations'!$HE$13:$HE$512,0)),""))))</x:f>
      </x:c>
      <x:c r="HT149" t="str">
        <x:f>IF('Calculations'!HS149="","",IF('Calculations'!HS149="!AMBIG","!AMBIG",IF(COUNTIF('Calculations'!$HE$13:$HE$512,"="&amp;SUBSTITUTE(SUBSTITUTE(SUBSTITUTE('Calculations'!HS149,"~","~~"),"*","~*"),"?","~?"))&gt;1,"!AMBIG",IFERROR(INDEX('Calculations'!$HF$13:$HF$512,MATCH('Calculations'!HS149,'Calculations'!$HE$13:$HE$512,0)),""))))</x:f>
      </x:c>
      <x:c r="HU149" t="str">
        <x:f>IF('Calculations'!HT149="","",IF('Calculations'!HT149="!AMBIG","!AMBIG",IF(COUNTIF('Calculations'!$HE$13:$HE$512,"="&amp;SUBSTITUTE(SUBSTITUTE(SUBSTITUTE('Calculations'!HT149,"~","~~"),"*","~*"),"?","~?"))&gt;1,"!AMBIG",IFERROR(INDEX('Calculations'!$HF$13:$HF$512,MATCH('Calculations'!HT149,'Calculations'!$HE$13:$HE$512,0)),""))))</x:f>
      </x:c>
      <x:c r="HV149" t="str">
        <x:f>IF('Calculations'!HU149="","",IF('Calculations'!HU149="!AMBIG","!AMBIG",IF(COUNTIF('Calculations'!$HE$13:$HE$512,"="&amp;SUBSTITUTE(SUBSTITUTE(SUBSTITUTE('Calculations'!HU149,"~","~~"),"*","~*"),"?","~?"))&gt;1,"!AMBIG",IFERROR(INDEX('Calculations'!$HF$13:$HF$512,MATCH('Calculations'!HU149,'Calculations'!$HE$13:$HE$512,0)),""))))</x:f>
      </x:c>
      <x:c r="HW149" t="str">
        <x:f>IF('Calculations'!HV149="","",IF('Calculations'!HV149="!AMBIG","!AMBIG",IF(COUNTIF('Calculations'!$HE$13:$HE$512,"="&amp;SUBSTITUTE(SUBSTITUTE(SUBSTITUTE('Calculations'!HV149,"~","~~"),"*","~*"),"?","~?"))&gt;1,"!AMBIG",IFERROR(INDEX('Calculations'!$HF$13:$HF$512,MATCH('Calculations'!HV149,'Calculations'!$HE$13:$HE$512,0)),""))))</x:f>
      </x:c>
      <x:c r="HX149" t="str">
        <x:f>IF('Calculations'!HW149="","",IF('Calculations'!HW149="!AMBIG","!AMBIG",IF(COUNTIF('Calculations'!$HE$13:$HE$512,"="&amp;SUBSTITUTE(SUBSTITUTE(SUBSTITUTE('Calculations'!HW149,"~","~~"),"*","~*"),"?","~?"))&gt;1,"!AMBIG",IFERROR(INDEX('Calculations'!$HF$13:$HF$512,MATCH('Calculations'!HW149,'Calculations'!$HE$13:$HE$512,0)),""))))</x:f>
      </x:c>
      <x:c r="HY149" t="str">
        <x:f>IF('Calculations'!HX149="","",IF('Calculations'!HX149="!AMBIG","!AMBIG",IF(COUNTIF('Calculations'!$HE$13:$HE$512,"="&amp;SUBSTITUTE(SUBSTITUTE(SUBSTITUTE('Calculations'!HX149,"~","~~"),"*","~*"),"?","~?"))&gt;1,"!AMBIG",IFERROR(INDEX('Calculations'!$HF$13:$HF$512,MATCH('Calculations'!HX149,'Calculations'!$HE$13:$HE$512,0)),""))))</x:f>
      </x:c>
      <x:c r="HZ149" t="str">
        <x:f>IF('Calculations'!HY149="","",IF('Calculations'!HY149="!AMBIG","!AMBIG",IF(COUNTIF('Calculations'!$HE$13:$HE$512,"="&amp;SUBSTITUTE(SUBSTITUTE(SUBSTITUTE('Calculations'!HY149,"~","~~"),"*","~*"),"?","~?"))&gt;1,"!AMBIG",IFERROR(INDEX('Calculations'!$HF$13:$HF$512,MATCH('Calculations'!HY149,'Calculations'!$HE$13:$HE$512,0)),""))))</x:f>
      </x:c>
      <x:c r="IA149" t="str">
        <x:f>IF('Calculations'!HZ149="","",IF('Calculations'!HZ149="!AMBIG","!AMBIG",IF(COUNTIF('Calculations'!$HE$13:$HE$512,"="&amp;SUBSTITUTE(SUBSTITUTE(SUBSTITUTE('Calculations'!HZ149,"~","~~"),"*","~*"),"?","~?"))&gt;1,"!AMBIG",IFERROR(INDEX('Calculations'!$HF$13:$HF$512,MATCH('Calculations'!HZ149,'Calculations'!$HE$13:$HE$512,0)),""))))</x:f>
      </x:c>
      <x:c r="IB149" t="str">
        <x:f>IF('Calculations'!IA149="","",IF('Calculations'!IA149="!AMBIG","!AMBIG",IF(COUNTIF('Calculations'!$HE$13:$HE$512,"="&amp;SUBSTITUTE(SUBSTITUTE(SUBSTITUTE('Calculations'!IA149,"~","~~"),"*","~*"),"?","~?"))&gt;1,"!AMBIG",IFERROR(INDEX('Calculations'!$HF$13:$HF$512,MATCH('Calculations'!IA149,'Calculations'!$HE$13:$HE$512,0)),""))))</x:f>
      </x:c>
      <x:c r="IC149" t="str">
        <x:f>IF('Calculations'!IB149="","",IF('Calculations'!IB149="!AMBIG","!AMBIG",IF(COUNTIF('Calculations'!$HE$13:$HE$512,"="&amp;SUBSTITUTE(SUBSTITUTE(SUBSTITUTE('Calculations'!IB149,"~","~~"),"*","~*"),"?","~?"))&gt;1,"!AMBIG",IFERROR(INDEX('Calculations'!$HF$13:$HF$512,MATCH('Calculations'!IB149,'Calculations'!$HE$13:$HE$512,0)),""))))</x:f>
      </x:c>
      <x:c r="ID149" t="str">
        <x:f>IF('Calculations'!IC149="","",IF('Calculations'!IC149="!AMBIG","!AMBIG",IF(COUNTIF('Calculations'!$HE$13:$HE$512,"="&amp;SUBSTITUTE(SUBSTITUTE(SUBSTITUTE('Calculations'!IC149,"~","~~"),"*","~*"),"?","~?"))&gt;1,"!AMBIG",IFERROR(INDEX('Calculations'!$HF$13:$HF$512,MATCH('Calculations'!IC149,'Calculations'!$HE$13:$HE$512,0)),""))))</x:f>
      </x:c>
      <x:c r="IE149" t="str">
        <x:f>IF('Calculations'!ID149="","",IF('Calculations'!ID149="!AMBIG","!AMBIG",IF(COUNTIF('Calculations'!$HE$13:$HE$512,"="&amp;SUBSTITUTE(SUBSTITUTE(SUBSTITUTE('Calculations'!ID149,"~","~~"),"*","~*"),"?","~?"))&gt;1,"!AMBIG",IFERROR(INDEX('Calculations'!$HF$13:$HF$512,MATCH('Calculations'!ID149,'Calculations'!$HE$13:$HE$512,0)),""))))</x:f>
      </x:c>
      <x:c r="IF149" t="str">
        <x:f>IF('Calculations'!IE149="","",IF('Calculations'!IE149="!AMBIG","!AMBIG",IF(COUNTIF('Calculations'!$HE$13:$HE$512,"="&amp;SUBSTITUTE(SUBSTITUTE(SUBSTITUTE('Calculations'!IE149,"~","~~"),"*","~*"),"?","~?"))&gt;1,"!AMBIG",IFERROR(INDEX('Calculations'!$HF$13:$HF$512,MATCH('Calculations'!IE149,'Calculations'!$HE$13:$HE$512,0)),""))))</x:f>
      </x:c>
      <x:c r="IG149" t="str">
        <x:f>IF('Calculations'!IF149="","",IF('Calculations'!IF149="!AMBIG","!AMBIG",IF(COUNTIF('Calculations'!$HE$13:$HE$512,"="&amp;SUBSTITUTE(SUBSTITUTE(SUBSTITUTE('Calculations'!IF149,"~","~~"),"*","~*"),"?","~?"))&gt;1,"!AMBIG",IFERROR(INDEX('Calculations'!$HF$13:$HF$512,MATCH('Calculations'!IF149,'Calculations'!$HE$13:$HE$512,0)),""))))</x:f>
      </x:c>
      <x:c r="IH149" t="str">
        <x:f>IF('Calculations'!IG149="","",IF('Calculations'!IG149="!AMBIG","!AMBIG",IF(COUNTIF('Calculations'!$HE$13:$HE$512,"="&amp;SUBSTITUTE(SUBSTITUTE(SUBSTITUTE('Calculations'!IG149,"~","~~"),"*","~*"),"?","~?"))&gt;1,"!AMBIG",IFERROR(INDEX('Calculations'!$HF$13:$HF$512,MATCH('Calculations'!IG149,'Calculations'!$HE$13:$HE$512,0)),""))))</x:f>
      </x:c>
      <x:c r="II149" t="str">
        <x:f>IF('Calculations'!IH149="","",IF('Calculations'!IH149="!AMBIG","!AMBIG",IF(COUNTIF('Calculations'!$HE$13:$HE$512,"="&amp;SUBSTITUTE(SUBSTITUTE(SUBSTITUTE('Calculations'!IH149,"~","~~"),"*","~*"),"?","~?"))&gt;1,"!AMBIG",IFERROR(INDEX('Calculations'!$HF$13:$HF$512,MATCH('Calculations'!IH149,'Calculations'!$HE$13:$HE$512,0)),""))))</x:f>
      </x:c>
      <x:c r="IJ149" t="str">
        <x:f>IF('Calculations'!EM149="","",IF('Calculations'!$EF$2="All",'Calculations'!HM149,IF('Calculations'!HL149=1,"",IFERROR(IF(MATCH('Calculations'!$EF$2,'Calculations'!HO149:II149,0)=1,'Calculations'!HE149,INDEX('Calculations'!HO149:II149,1,MATCH('Calculations'!$EF$2,'Calculations'!HO149:II149,0)-1)),""))))</x:f>
      </x:c>
      <x:c r="IK149" t="n">
        <x:f>IF(AND('Calculations'!EM149&lt;&gt;"",'Calculations'!$EF$2&lt;&gt;"All",'Calculations'!HF149='Calculations'!$EF$2,'Calculations'!HL149=0,'Calculations'!JD149&gt;0),MAX('Calculations'!$IK$12:IK148)+1,0)</x:f>
        <x:v>0</x:v>
      </x:c>
      <x:c r="JA149" t="n">
        <x:f>IF(OR(IFERROR(INDIRECT("'WCM Calibration Final'!$A$149")&lt;&gt;"",FALSE),IFERROR(INDIRECT("'WCM Calibration Final'!$B$149")&lt;&gt;"",FALSE),IFERROR(INDIRECT("'WCM Calibration Final'!$C$149")&lt;&gt;"",FALSE)),149,0)</x:f>
        <x:v>0</x:v>
      </x:c>
      <x:c r="JB149" t="n">
        <x:f>'Calculations'!JB148+IF('Calculations'!JA149&gt;0,1,0)</x:f>
        <x:v>0</x:v>
      </x:c>
      <x:c r="JC149" t="n">
        <x:f>IF(OR('Calculations'!HF149="",'Calculations'!HF149="!AMBIG"),0,IF('Dashboard'!$B$7="All",1,COUNTIFS('Calculations'!$HO$13:$HO$512,"="&amp;SUBSTITUTE(SUBSTITUTE(SUBSTITUTE('Calculations'!HF149,"~","~~"),"*","~*"),"?","~?"),'Calculations'!$HN$13:$HN$512,"="&amp;SUBSTITUTE(SUBSTITUTE(SUBSTITUTE('Dashboard'!$B$7,"~","~~"),"*","~*"),"?","~?"))+COUNTIFS('Calculations'!$HP$13:$HP$512,"="&amp;SUBSTITUTE(SUBSTITUTE(SUBSTITUTE('Calculations'!HF149,"~","~~"),"*","~*"),"?","~?"),'Calculations'!$HN$13:$HN$512,"="&amp;SUBSTITUTE(SUBSTITUTE(SUBSTITUTE('Dashboard'!$B$7,"~","~~"),"*","~*"),"?","~?"))+COUNTIFS('Calculations'!$HQ$13:$HQ$512,"="&amp;SUBSTITUTE(SUBSTITUTE(SUBSTITUTE('Calculations'!HF149,"~","~~"),"*","~*"),"?","~?"),'Calculations'!$HN$13:$HN$512,"="&amp;SUBSTITUTE(SUBSTITUTE(SUBSTITUTE('Dashboard'!$B$7,"~","~~"),"*","~*"),"?","~?"))+COUNTIFS('Calculations'!$HR$13:$HR$512,"="&amp;SUBSTITUTE(SUBSTITUTE(SUBSTITUTE('Calculations'!HF149,"~","~~"),"*","~*"),"?","~?"),'Calculations'!$HN$13:$HN$512,"="&amp;SUBSTITUTE(SUBSTITUTE(SUBSTITUTE('Dashboard'!$B$7,"~","~~"),"*","~*"),"?","~?"))+COUNTIFS('Calculations'!$HS$13:$HS$512,"="&amp;SUBSTITUTE(SUBSTITUTE(SUBSTITUTE('Calculations'!HF149,"~","~~"),"*","~*"),"?","~?"),'Calculations'!$HN$13:$HN$512,"="&amp;SUBSTITUTE(SUBSTITUTE(SUBSTITUTE('Dashboard'!$B$7,"~","~~"),"*","~*"),"?","~?"))+COUNTIFS('Calculations'!$HT$13:$HT$512,"="&amp;SUBSTITUTE(SUBSTITUTE(SUBSTITUTE('Calculations'!HF149,"~","~~"),"*","~*"),"?","~?"),'Calculations'!$HN$13:$HN$512,"="&amp;SUBSTITUTE(SUBSTITUTE(SUBSTITUTE('Dashboard'!$B$7,"~","~~"),"*","~*"),"?","~?"))+COUNTIFS('Calculations'!$HU$13:$HU$512,"="&amp;SUBSTITUTE(SUBSTITUTE(SUBSTITUTE('Calculations'!HF149,"~","~~"),"*","~*"),"?","~?"),'Calculations'!$HN$13:$HN$512,"="&amp;SUBSTITUTE(SUBSTITUTE(SUBSTITUTE('Dashboard'!$B$7,"~","~~"),"*","~*"),"?","~?"))+COUNTIFS('Calculations'!$HV$13:$HV$512,"="&amp;SUBSTITUTE(SUBSTITUTE(SUBSTITUTE('Calculations'!HF149,"~","~~"),"*","~*"),"?","~?"),'Calculations'!$HN$13:$HN$512,"="&amp;SUBSTITUTE(SUBSTITUTE(SUBSTITUTE('Dashboard'!$B$7,"~","~~"),"*","~*"),"?","~?"))+COUNTIFS('Calculations'!$HW$13:$HW$512,"="&amp;SUBSTITUTE(SUBSTITUTE(SUBSTITUTE('Calculations'!HF149,"~","~~"),"*","~*"),"?","~?"),'Calculations'!$HN$13:$HN$512,"="&amp;SUBSTITUTE(SUBSTITUTE(SUBSTITUTE('Dashboard'!$B$7,"~","~~"),"*","~*"),"?","~?"))+COUNTIFS('Calculations'!$HX$13:$HX$512,"="&amp;SUBSTITUTE(SUBSTITUTE(SUBSTITUTE('Calculations'!HF149,"~","~~"),"*","~*"),"?","~?"),'Calculations'!$HN$13:$HN$512,"="&amp;SUBSTITUTE(SUBSTITUTE(SUBSTITUTE('Dashboard'!$B$7,"~","~~"),"*","~*"),"?","~?"))+COUNTIFS('Calculations'!$HY$13:$HY$512,"="&amp;SUBSTITUTE(SUBSTITUTE(SUBSTITUTE('Calculations'!HF149,"~","~~"),"*","~*"),"?","~?"),'Calculations'!$HN$13:$HN$512,"="&amp;SUBSTITUTE(SUBSTITUTE(SUBSTITUTE('Dashboard'!$B$7,"~","~~"),"*","~*"),"?","~?"))+COUNTIFS('Calculations'!$HZ$13:$HZ$512,"="&amp;SUBSTITUTE(SUBSTITUTE(SUBSTITUTE('Calculations'!HF149,"~","~~"),"*","~*"),"?","~?"),'Calculations'!$HN$13:$HN$512,"="&amp;SUBSTITUTE(SUBSTITUTE(SUBSTITUTE('Dashboard'!$B$7,"~","~~"),"*","~*"),"?","~?"))+COUNTIFS('Calculations'!$IA$13:$IA$512,"="&amp;SUBSTITUTE(SUBSTITUTE(SUBSTITUTE('Calculations'!HF149,"~","~~"),"*","~*"),"?","~?"),'Calculations'!$HN$13:$HN$512,"="&amp;SUBSTITUTE(SUBSTITUTE(SUBSTITUTE('Dashboard'!$B$7,"~","~~"),"*","~*"),"?","~?"))+COUNTIFS('Calculations'!$IB$13:$IB$512,"="&amp;SUBSTITUTE(SUBSTITUTE(SUBSTITUTE('Calculations'!HF149,"~","~~"),"*","~*"),"?","~?"),'Calculations'!$HN$13:$HN$512,"="&amp;SUBSTITUTE(SUBSTITUTE(SUBSTITUTE('Dashboard'!$B$7,"~","~~"),"*","~*"),"?","~?"))+COUNTIFS('Calculations'!$IC$13:$IC$512,"="&amp;SUBSTITUTE(SUBSTITUTE(SUBSTITUTE('Calculations'!HF149,"~","~~"),"*","~*"),"?","~?"),'Calculations'!$HN$13:$HN$512,"="&amp;SUBSTITUTE(SUBSTITUTE(SUBSTITUTE('Dashboard'!$B$7,"~","~~"),"*","~*"),"?","~?"))+COUNTIFS('Calculations'!$ID$13:$ID$512,"="&amp;SUBSTITUTE(SUBSTITUTE(SUBSTITUTE('Calculations'!HF149,"~","~~"),"*","~*"),"?","~?"),'Calculations'!$HN$13:$HN$512,"="&amp;SUBSTITUTE(SUBSTITUTE(SUBSTITUTE('Dashboard'!$B$7,"~","~~"),"*","~*"),"?","~?"))+COUNTIFS('Calculations'!$IE$13:$IE$512,"="&amp;SUBSTITUTE(SUBSTITUTE(SUBSTITUTE('Calculations'!HF149,"~","~~"),"*","~*"),"?","~?"),'Calculations'!$HN$13:$HN$512,"="&amp;SUBSTITUTE(SUBSTITUTE(SUBSTITUTE('Dashboard'!$B$7,"~","~~"),"*","~*"),"?","~?"))+COUNTIFS('Calculations'!$IF$13:$IF$512,"="&amp;SUBSTITUTE(SUBSTITUTE(SUBSTITUTE('Calculations'!HF149,"~","~~"),"*","~*"),"?","~?"),'Calculations'!$HN$13:$HN$512,"="&amp;SUBSTITUTE(SUBSTITUTE(SUBSTITUTE('Dashboard'!$B$7,"~","~~"),"*","~*"),"?","~?"))+COUNTIFS('Calculations'!$IG$13:$IG$512,"="&amp;SUBSTITUTE(SUBSTITUTE(SUBSTITUTE('Calculations'!HF149,"~","~~"),"*","~*"),"?","~?"),'Calculations'!$HN$13:$HN$512,"="&amp;SUBSTITUTE(SUBSTITUTE(SUBSTITUTE('Dashboard'!$B$7,"~","~~"),"*","~*"),"?","~?"))+COUNTIFS('Calculations'!$IH$13:$IH$512,"="&amp;SUBSTITUTE(SUBSTITUTE(SUBSTITUTE('Calculations'!HF149,"~","~~"),"*","~*"),"?","~?"),'Calculations'!$HN$13:$HN$512,"="&amp;SUBSTITUTE(SUBSTITUTE(SUBSTITUTE('Dashboard'!$B$7,"~","~~"),"*","~*"),"?","~?"))))</x:f>
        <x:v>0</x:v>
      </x:c>
      <x:c r="JD149" t="n">
        <x:f>IF('Calculations'!EM149="",0,IF('Dashboard'!$B$7="All",1,IF('Calculations'!HN149='Dashboard'!$B$7,1,0)+IFERROR(INDEX('Calculations'!$JC$13:$JC$512,MATCH('Calculations'!HE149,'Calculations'!$HF$13:$HF$512,0)),0)))</x:f>
        <x:v>0</x:v>
      </x:c>
      <x:c r="JE149" t="n">
        <x:f>IF(AND('Calculations'!EM149&lt;&gt;"",'Calculations'!$JJ$2&lt;&gt;"All",'Calculations'!$JJ$2&lt;&gt;"",'Calculations'!HF149='Calculations'!$JJ$2,'Calculations'!HL149=0,'Calculations'!JD149&gt;0),MAX('Calculations'!$JE$12:JE148)+1,0)</x:f>
        <x:v>0</x:v>
      </x:c>
      <x:c r="JF149" t="str">
        <x:f>IF('Calculations'!EM149="","",IFERROR(IF(INDEX(INDIRECT("'WCM Calibration Final'!$G$1:$G$2000"),'Calculations'!$EM149)="","",TRIM(INDEX(INDIRECT("'WCM Calibration Final'!$G$1:$G$2000"),'Calculations'!$EM149)&amp;"")),""))</x:f>
      </x:c>
      <x:c r="JQ149" t="n">
        <x:f>IF(OR('Calculations'!BM149=0,NOT('Calculations'!$AG$2),'Calculations'!$AG$8&gt;0),0,IF(OR('Dashboard'!$B$7="All",'Calculations'!HN149='Dashboard'!$B$7),IF('Calculations'!$JJ$2="All",1,IF(AND('Calculations'!HF149='Calculations'!$JJ$2,'Calculations'!HL149=0),1,0)),0))</x:f>
        <x:v>0</x:v>
      </x:c>
    </x:row>
    <x:row r="150">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t="n">
        <x:f>IF('Calculations'!$EM150="",0,IF(OR(IFERROR(INDEX(INDIRECT("'WCM Calibration Final'!$A$1:$A$2000"),'Calculations'!$EM150)&lt;&gt;"",FALSE),IFERROR(INDEX(INDIRECT("'WCM Calibration Final'!$B$1:$B$2000"),'Calculations'!$EM150)&lt;&gt;"",FALSE),IFERROR(INDEX(INDIRECT("'WCM Calibration Final'!$C$1:$C$2000"),'Calculations'!$EM150)&lt;&gt;"",FALSE)),1,0))</x:f>
        <x:v>0</x:v>
      </x:c>
      <x:c r="BN150" s="4" t="n">
        <x:f>IF(AND('Calculations'!BM150=1,'Calculations'!$AG$2,'Calculations'!$EN150=1),1,0)</x:f>
        <x:v>0</x:v>
      </x:c>
      <x:c r="BO150" s="4" t="str">
        <x:f>IF('Calculations'!BM150=0,"",IFERROR(IF(AND(VALUE(INDEX(INDIRECT("'WCM Calibration Final'!$K$1:$K$2000"),'Calculations'!$EM150))&gt;=1,VALUE(INDEX(INDIRECT("'WCM Calibration Final'!$K$1:$K$2000"),'Calculations'!$EM150))&lt;=4,MOD(VALUE(INDEX(INDIRECT("'WCM Calibration Final'!$K$1:$K$2000"),'Calculations'!$EM150)),1)=0),VALUE(INDEX(INDIRECT("'WCM Calibration Final'!$K$1:$K$2000"),'Calculations'!$EM150)),""),""))</x:f>
      </x:c>
      <x:c r="BP150" s="4" t="str">
        <x:f>IF('Calculations'!BM150=0,"",IFERROR(IF(AND(VALUE(INDEX(INDIRECT("'WCM Calibration Final'!$L$1:$L$2000"),'Calculations'!$EM150))&gt;=1,VALUE(INDEX(INDIRECT("'WCM Calibration Final'!$L$1:$L$2000"),'Calculations'!$EM150))&lt;=4,MOD(VALUE(INDEX(INDIRECT("'WCM Calibration Final'!$L$1:$L$2000"),'Calculations'!$EM150)),1)=0),VALUE(INDEX(INDIRECT("'WCM Calibration Final'!$L$1:$L$2000"),'Calculations'!$EM150)),""),""))</x:f>
      </x:c>
      <x:c r="BQ150" s="4"/>
      <x:c r="BR150" s="4"/>
      <x:c r="BS150" s="4"/>
      <x:c r="BT150" s="4" t="n">
        <x:f>IF(AND('Calculations'!BM150=1,ISNUMBER('Calculations'!BO150),ISNUMBER('Calculations'!BP150)),1,0)</x:f>
        <x:v>0</x:v>
      </x:c>
      <x:c r="BU150" s="4" t="str">
        <x:f>IF('Calculations'!BM150=0,"",'Calculations'!$EO150)</x:f>
      </x:c>
      <x:c r="BV150" s="4" t="str">
        <x:f>IF('Calculations'!BM150=0,"",IFERROR(IF(OR(INDEX(INDIRECT("'WCM Calibration Final'!$H$1:$H$2000"),'Calculations'!$EM150)="MANAGING DIRECTOR",INDEX(INDIRECT("'WCM Calibration Final'!$H$1:$H$2000"),'Calculations'!$EM150)="DIRECTOR",INDEX(INDIRECT("'WCM Calibration Final'!$H$1:$H$2000"),'Calculations'!$EM150)="SENIOR VICE PRESIDENT",INDEX(INDIRECT("'WCM Calibration Final'!$H$1:$H$2000"),'Calculations'!$EM150)="VICE PRESIDENT",INDEX(INDIRECT("'WCM Calibration Final'!$H$1:$H$2000"),'Calculations'!$EM150)="ASSISTANT VICE PRESIDENT",INDEX(INDIRECT("'WCM Calibration Final'!$H$1:$H$2000"),'Calculations'!$EM150)="OFFICER"),UPPER(INDEX(INDIRECT("'WCM Calibration Final'!$H$1:$H$2000"),'Calculations'!$EM150)),"Other"),"Other"))</x:f>
      </x:c>
      <x:c r="BW150" s="4"/>
      <x:c r="BX150" s="4"/>
      <x:c r="BY150" s="4" t="n">
        <x:f>IF(AND('Calculations'!BM150=1,'Calculations'!BU150&lt;&gt;"",COUNTIF('Calculations'!$BU$12:BU150,'Calculations'!BU150)=1),MAX('Calculations'!$BY$11:BY149)+1,0)</x:f>
        <x:v>0</x:v>
      </x:c>
      <x:c r="BZ150" s="4" t="str">
        <x:f>IF('Dashboard'!$E$67="What",'Calculations'!BO150,'Calculations'!BP150)</x:f>
      </x:c>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t="str">
        <x:f>IF(139&gt;MAX('Calculations'!$HI$13:$HI$512),"",INDEX('Calculations'!$HN$13:$HN$512,MATCH(139,'Calculations'!$HI$13:$HI$512,0)))</x:f>
      </x:c>
      <x:c r="DB150" s="4" t="str">
        <x:f>IF(139&gt;MAX('Calculations'!$HH$13:$HH$512),"",INDEX('Calculations'!$HJ$13:$HJ$512,MATCH(139,'Calculations'!$HH$13:$HH$512,0)))</x:f>
      </x:c>
      <x:c r="DC150" s="4" t="str">
        <x:f>IF(ROW()-11&gt;MAX('Calculations'!$BY$13:$BY$512),"",INDEX('Calculations'!$BU$13:$BU$512,MATCH(ROW()-11,'Calculations'!$BY$13:$BY$512,0)))</x:f>
      </x:c>
      <x:c r="DD150" s="4" t="str">
        <x:f>IF(139&gt;MAX('Calculations'!$IK$13:$IK$512),"",INDEX('Calculations'!$HK$13:$HK$512,MATCH(139,'Calculations'!$IK$13:$IK$512,0)))</x:f>
      </x:c>
      <x:c r="DE150" s="4" t="str">
        <x:f>'Calculations'!DC150</x:f>
      </x:c>
      <x:c r="DF150" s="4" t="str">
        <x:f>IF('Calculations'!DE150="","",COUNTIFS('Calculations'!$BN$13:$BN$512,1,'Calculations'!$BU$13:$BU$512,'Calculations'!DE150))</x:f>
      </x:c>
      <x:c r="DG150" s="4" t="str">
        <x:f>IF('Calculations'!DE150="","",COUNTIFS('Calculations'!$BN$13:$BN$512,1,'Calculations'!$BU$13:$BU$512,'Calculations'!DE150,'Calculations'!$BT$13:$BT$512,1))</x:f>
      </x:c>
      <x:c r="DH150" s="4" t="str">
        <x:f>IF('Calculations'!DE150="","",'Calculations'!DF150-'Calculations'!DG150)</x:f>
      </x:c>
      <x:c r="DI150" s="4" t="str">
        <x:f>IF(OR('Calculations'!DE150="",'Calculations'!DF150=0),"",'Calculations'!DG150/'Calculations'!DF150)</x:f>
      </x:c>
      <x:c r="DJ150" s="4" t="str">
        <x:f>IF('Calculations'!DE150="","",COUNTIFS('Calculations'!$BN$13:$BN$512,1,'Calculations'!$BU$13:$BU$512,'Calculations'!DE150,'Calculations'!$BT$13:$BT$512,1,'Calculations'!$EE$13:$EE$512,"High"))</x:f>
      </x:c>
      <x:c r="DK150" s="4" t="str">
        <x:f>IF('Calculations'!DE150="","",COUNTIFS('Calculations'!$BN$13:$BN$512,1,'Calculations'!$BU$13:$BU$512,'Calculations'!DE150,'Calculations'!$BT$13:$BT$512,1,'Calculations'!$EE$13:$EE$512,"Strong"))</x:f>
      </x:c>
      <x:c r="DL150" s="4" t="str">
        <x:f>IF('Calculations'!DE150="","",COUNTIFS('Calculations'!$BN$13:$BN$512,1,'Calculations'!$BU$13:$BU$512,'Calculations'!DE150,'Calculations'!$BT$13:$BT$512,1,'Calculations'!$EE$13:$EE$512,"Solid"))</x:f>
      </x:c>
      <x:c r="DM150" s="4" t="str">
        <x:f>IF('Calculations'!DE150="","",COUNTIFS('Calculations'!$BN$13:$BN$512,1,'Calculations'!$BU$13:$BU$512,'Calculations'!DE150,'Calculations'!$BT$13:$BT$512,1,'Calculations'!$EE$13:$EE$512,"Low"))</x:f>
      </x:c>
      <x:c r="DN150" s="4" t="str">
        <x:f>IF('Calculations'!DE150="","",COUNTIFS('Calculations'!$BN$13:$BN$512,1,'Calculations'!$BU$13:$BU$512,'Calculations'!DE150,'Calculations'!$EP$13:$EP$512,1))</x:f>
      </x:c>
      <x:c r="DO150" s="4" t="str">
        <x:f>IF(OR('Calculations'!DE150="",'Calculations'!DG150=0),"",('Calculations'!DJ150+'Calculations'!DK150)/'Calculations'!DG150)</x:f>
      </x:c>
      <x:c r="DP150" s="4" t="n">
        <x:f>IF(AND('Calculations'!DE150&lt;&gt;"",'Calculations'!DF150&gt;0),COUNTIF('Calculations'!$DF$12:DF150,"&gt;0"),0)</x:f>
        <x:v>0</x:v>
      </x:c>
      <x:c r="DQ150" s="4" t="str">
        <x:f>IF(139&gt;MAX('Calculations'!$HH$13:$HH$512),"",INDEX('Calculations'!$HF$13:$HF$512,MATCH(139,'Calculations'!$HH$13:$HH$512,0)))</x:f>
      </x:c>
      <x:c r="DR150" s="4" t="str">
        <x:f>IF(139&gt;MAX('Calculations'!$IK$13:$IK$512),"",INDEX('Calculations'!$HE$13:$HE$512,MATCH(139,'Calculations'!$IK$13:$IK$512,0)))</x:f>
      </x:c>
      <x:c r="DS150" s="4"/>
      <x:c r="DT150" s="4"/>
      <x:c r="DU150" s="4"/>
      <x:c r="DV150" s="4"/>
      <x:c r="DW150" s="4"/>
      <x:c r="DX150" s="4"/>
      <x:c r="DY150" s="4"/>
      <x:c r="DZ150" s="4"/>
      <x:c r="EA150" s="4"/>
      <x:c r="EB150" s="4"/>
      <x:c r="EC150" s="4"/>
      <x:c r="ED150" s="4"/>
      <x:c r="EE150" s="4" t="str">
        <x:f>IF('Calculations'!BT150=0,"Not Rated",IF(OR('Calculations'!BO150&gt;=4,'Calculations'!BP150&gt;=4),"Low",IF('Calculations'!BO150+'Calculations'!BP150&lt;=3,"High",IF('Calculations'!BO150+'Calculations'!BP150&lt;=4,"Strong","Solid"))))</x:f>
        <x:v>Not Rated</x:v>
      </x:c>
      <x:c r="EF150" s="4"/>
      <x:c r="EG150" s="4"/>
      <x:c r="EH150" s="4"/>
      <x:c r="EI150" s="4"/>
      <x:c r="EJ150" s="4"/>
      <x:c r="EK150" s="4"/>
      <x:c r="EL150" s="4"/>
      <x:c r="EM150" s="4" t="str">
        <x:f>IF(138&gt;'Calculations'!$JB$2000,"",INDEX('Calculations'!$JA$12:$JA$2000,MATCH(138,'Calculations'!$JB$12:$JB$2000,0)))</x:f>
      </x:c>
      <x:c r="EN150" s="4" t="n">
        <x:f>IF(OR('Calculations'!EM150="",'Calculations'!$AG$8&gt;0,AND('Calculations'!$EF$2&lt;&gt;"All",'Calculations'!HE150='Calculations'!$EF$2),AND('Calculations'!$EF$3&lt;&gt;"All",'Calculations'!HE150='Calculations'!$EF$3)),0,IF(OR('Dashboard'!$B$7="All",'Calculations'!HN150='Dashboard'!$B$7),IF('Calculations'!$EF$2="All",1,IF('Calculations'!HL150&gt;0,0,IF(COUNTIF('Calculations'!HO150:II150,"="&amp;SUBSTITUTE(SUBSTITUTE(SUBSTITUTE('Calculations'!$EF$2,"~","~~"),"*","~*"),"?","~?"))=0,0,IF('Calculations'!$EF$3="All",1,IF(COUNTIF('Calculations'!HO150:II150,"="&amp;SUBSTITUTE(SUBSTITUTE(SUBSTITUTE('Calculations'!$EF$3,"~","~~"),"*","~*"),"?","~?"))&gt;0,1,0))))),0))</x:f>
        <x:v>0</x:v>
      </x:c>
      <x:c r="EO150" s="4" t="str">
        <x:f>IF('Calculations'!IJ150="","",IF('Calculations'!IJ150="!UNRESOLVED","Unresolved hierarchy",IFERROR(INDEX('Calculations'!$HK$13:$HK$512,MATCH('Calculations'!IJ150,'Calculations'!$HE$13:$HE$512,0)),IFERROR(INDEX('Calculations'!$HJ$13:$HJ$512,MATCH('Calculations'!IJ150,'Calculations'!$HF$13:$HF$512,0)),'Calculations'!IJ150))))</x:f>
      </x:c>
      <x:c r="EP150" s="4" t="n">
        <x:f>IF(AND('Calculations'!EM150&lt;&gt;"",'Calculations'!HF150='Calculations'!IJ150),1,0)</x:f>
        <x:v>0</x:v>
      </x:c>
      <x:c r="EQ150" s="4"/>
      <x:c r="ER150" s="4"/>
      <x:c r="ES150" s="4"/>
      <x:c r="ET150" s="4"/>
      <x:c r="EU150" s="4"/>
      <x:c r="EV150" s="4"/>
      <x:c r="EW150" s="4"/>
      <x:c r="EX150" s="4"/>
      <x:c r="EY150" s="4"/>
      <x:c r="EZ150" s="4"/>
      <x:c r="FA150" s="4"/>
      <x:c r="FB150" s="4"/>
      <x:c r="FC150" s="4"/>
      <x:c r="FD150" s="4"/>
      <x:c r="FE150" s="4"/>
      <x:c r="FF150" s="4"/>
      <x:c r="FG150" s="4"/>
      <x:c r="FH150" s="4"/>
      <x:c r="FI150" s="4"/>
      <x:c r="FJ150" s="4"/>
      <x:c r="FK150" s="4"/>
      <x:c r="FL150" s="4"/>
      <x:c r="FM150" s="4"/>
      <x:c r="FN150" s="4"/>
      <x:c r="FO150" s="4"/>
      <x:c r="GA150" s="71"/>
      <x:c r="GB150" s="71"/>
      <x:c r="GC150" s="71"/>
      <x:c r="GD150" s="71"/>
      <x:c r="GE150" s="71"/>
      <x:c r="GF150" s="71"/>
      <x:c r="GG150" s="71"/>
      <x:c r="GH150" s="71"/>
      <x:c r="GI150" s="71"/>
      <x:c r="GJ150" s="71"/>
      <x:c r="GK150" s="71"/>
      <x:c r="GL150" s="71"/>
      <x:c r="GM150" s="71"/>
      <x:c r="GN150" s="71"/>
      <x:c r="GO150" s="71"/>
      <x:c r="GP150" s="71"/>
      <x:c r="GQ150" s="71"/>
      <x:c r="GR150" s="71"/>
      <x:c r="GS150" s="71"/>
      <x:c r="GT150" s="71"/>
      <x:c r="GU150" s="71"/>
      <x:c r="GV150" s="71"/>
      <x:c r="GW150" s="71"/>
      <x:c r="GX150" s="71"/>
      <x:c r="GY150" s="71"/>
      <x:c r="GZ150" s="71"/>
      <x:c r="HA150" s="71"/>
      <x:c r="HB150" s="71"/>
      <x:c r="HC150" s="71"/>
      <x:c r="HD150" s="71"/>
      <x:c r="HE150" t="str">
        <x:f>IF('Calculations'!EM150="","",IF(IFERROR(IF(INDEX(INDIRECT("'WCM Calibration Final'!$A$1:$A$2000"),'Calculations'!$EM150)="","",TRIM(INDEX(INDIRECT("'WCM Calibration Final'!$A$1:$A$2000"),'Calculations'!$EM150)&amp;"")),"")&lt;&gt;"","G:"&amp;IFERROR(TEXT(1*INDEX(INDIRECT("'WCM Calibration Final'!$A$1:$A$2000"),'Calculations'!$EM150),"0"),UPPER(IFERROR(IF(INDEX(INDIRECT("'WCM Calibration Final'!$A$1:$A$2000"),'Calculations'!$EM150)="","",TRIM(INDEX(INDIRECT("'WCM Calibration Final'!$A$1:$A$2000"),'Calculations'!$EM150)&amp;"")),""))),IF(IFERROR(IF(INDEX(INDIRECT("'WCM Calibration Final'!$C$1:$C$2000"),'Calculations'!$EM150)="","",TRIM(INDEX(INDIRECT("'WCM Calibration Final'!$C$1:$C$2000"),'Calculations'!$EM150)&amp;"")),"")&lt;&gt;"","S:"&amp;UPPER(IFERROR(IF(INDEX(INDIRECT("'WCM Calibration Final'!$C$1:$C$2000"),'Calculations'!$EM150)="","",TRIM(INDEX(INDIRECT("'WCM Calibration Final'!$C$1:$C$2000"),'Calculations'!$EM150)&amp;"")),"")),"R:"&amp;'Calculations'!EM150)))</x:f>
      </x:c>
      <x:c r="HF150" t="str">
        <x:f>IF('Calculations'!EM150="","",IF(IFERROR(IF(INDEX(INDIRECT("'WCM Calibration Final'!$D$1:$D$2000"),'Calculations'!$EM150)="","",TRIM(INDEX(INDIRECT("'WCM Calibration Final'!$D$1:$D$2000"),'Calculations'!$EM150)&amp;"")),"")&lt;&gt;"","G:"&amp;IFERROR(TEXT(1*INDEX(INDIRECT("'WCM Calibration Final'!$D$1:$D$2000"),'Calculations'!$EM150),"0"),UPPER(IFERROR(IF(INDEX(INDIRECT("'WCM Calibration Final'!$D$1:$D$2000"),'Calculations'!$EM150)="","",TRIM(INDEX(INDIRECT("'WCM Calibration Final'!$D$1:$D$2000"),'Calculations'!$EM150)&amp;"")),""))),IF(IFERROR(IF(INDEX(INDIRECT("'WCM Calibration Final'!$E$1:$E$2000"),'Calculations'!$EM150)="","",TRIM(INDEX(INDIRECT("'WCM Calibration Final'!$E$1:$E$2000"),'Calculations'!$EM150)&amp;"")),"")="","",IF(COUNTIF('Calculations'!$HG$13:$HG$512,"="&amp;SUBSTITUTE(SUBSTITUTE(SUBSTITUTE(IFERROR(IF(INDEX(INDIRECT("'WCM Calibration Final'!$E$1:$E$2000"),'Calculations'!$EM150)="","",TRIM(INDEX(INDIRECT("'WCM Calibration Final'!$E$1:$E$2000"),'Calculations'!$EM150)&amp;"")),""),"~","~~"),"*","~*"),"?","~?"))=1,INDEX('Calculations'!$HE$13:$HE$512,MATCH(IFERROR(IF(INDEX(INDIRECT("'WCM Calibration Final'!$E$1:$E$2000"),'Calculations'!$EM150)="","",TRIM(INDEX(INDIRECT("'WCM Calibration Final'!$E$1:$E$2000"),'Calculations'!$EM150)&amp;"")),""),'Calculations'!$HG$13:$HG$512,0)),IF(COUNTIF('Calculations'!$HG$13:$HG$512,"="&amp;SUBSTITUTE(SUBSTITUTE(SUBSTITUTE(IFERROR(IF(INDEX(INDIRECT("'WCM Calibration Final'!$E$1:$E$2000"),'Calculations'!$EM150)="","",TRIM(INDEX(INDIRECT("'WCM Calibration Final'!$E$1:$E$2000"),'Calculations'!$EM150)&amp;"")),""),"~","~~"),"*","~*"),"?","~?"))&gt;1,"!AMBIG","X:"&amp;IFERROR(IF(INDEX(INDIRECT("'WCM Calibration Final'!$E$1:$E$2000"),'Calculations'!$EM150)="","",TRIM(INDEX(INDIRECT("'WCM Calibration Final'!$E$1:$E$2000"),'Calculations'!$EM150)&amp;"")),""))))))</x:f>
      </x:c>
      <x:c r="HG150" t="str">
        <x:f>IF('Calculations'!EM150="","",IFERROR(IF(INDEX(INDIRECT("'WCM Calibration Final'!$B$1:$B$2000"),'Calculations'!$EM150)="","",TRIM(INDEX(INDIRECT("'WCM Calibration Final'!$B$1:$B$2000"),'Calculations'!$EM150)&amp;"")),""))</x:f>
      </x:c>
      <x:c r="HH150" t="n">
        <x:f>IF(AND('Calculations'!JC150&gt;0,COUNTIF('Calculations'!$HF$12:HF150,"="&amp;SUBSTITUTE(SUBSTITUTE(SUBSTITUTE('Calculations'!HF150,"~","~~"),"*","~*"),"?","~?"))=1),MAX('Calculations'!$HH$12:HH149)+1,0)</x:f>
        <x:v>0</x:v>
      </x:c>
      <x:c r="HI150" t="n">
        <x:f>IF(AND('Calculations'!HN150&lt;&gt;"",COUNTIF('Calculations'!$HN$12:HN150,"="&amp;SUBSTITUTE(SUBSTITUTE(SUBSTITUTE('Calculations'!HN150,"~","~~"),"*","~*"),"?","~?"))=1),MAX('Calculations'!$HI$12:HI149)+1,0)</x:f>
        <x:v>0</x:v>
      </x:c>
      <x:c r="HJ150" t="str">
        <x:f>IF('Calculations'!HF150="","",IF(COUNTIF('Calculations'!$HE$13:$HE$512,"="&amp;SUBSTITUTE(SUBSTITUTE(SUBSTITUTE('Calculations'!HF150,"~","~~"),"*","~*"),"?","~?"))=1,INDEX('Calculations'!$HK$13:$HK$512,MATCH('Calculations'!HF150,'Calculations'!$HE$13:$HE$512,0)),IFERROR(IF(INDEX(INDIRECT("'WCM Calibration Final'!$E$1:$E$2000"),'Calculations'!$EM150)="","",TRIM(INDEX(INDIRECT("'WCM Calibration Final'!$E$1:$E$2000"),'Calculations'!$EM150)&amp;"")),"")&amp;" ["&amp;'Calculations'!HF150&amp;"]"))</x:f>
      </x:c>
      <x:c r="HK150" t="str">
        <x:f>IF('Calculations'!EM150="","",'Calculations'!HG150&amp;" ["&amp;'Calculations'!HE150&amp;"]")</x:f>
      </x:c>
      <x:c r="HL150" t="n">
        <x:f>IF('Calculations'!EM150="",0,IF(OR('Calculations'!II150&lt;&gt;"",COUNTIF('Calculations'!$HE$13:$HE$512,"="&amp;SUBSTITUTE(SUBSTITUTE(SUBSTITUTE('Calculations'!HE150,"~","~~"),"*","~*"),"?","~?"))&gt;1),1,0))</x:f>
        <x:v>0</x:v>
      </x:c>
      <x:c r="HM150" t="str">
        <x:f>IF('Calculations'!EM150="","",IF('Calculations'!HL150=1,"!UNRESOLVED",IF('Calculations'!IH150&lt;&gt;"",'Calculations'!IH150,IF('Calculations'!IG150&lt;&gt;"",'Calculations'!IG150,IF('Calculations'!IF150&lt;&gt;"",'Calculations'!IF150,IF('Calculations'!IE150&lt;&gt;"",'Calculations'!IE150,IF('Calculations'!ID150&lt;&gt;"",'Calculations'!ID150,IF('Calculations'!IC150&lt;&gt;"",'Calculations'!IC150,IF('Calculations'!IB150&lt;&gt;"",'Calculations'!IB150,IF('Calculations'!IA150&lt;&gt;"",'Calculations'!IA150,IF('Calculations'!HZ150&lt;&gt;"",'Calculations'!HZ150,IF('Calculations'!HY150&lt;&gt;"",'Calculations'!HY150,IF('Calculations'!HX150&lt;&gt;"",'Calculations'!HX150,IF('Calculations'!HW150&lt;&gt;"",'Calculations'!HW150,IF('Calculations'!HV150&lt;&gt;"",'Calculations'!HV150,IF('Calculations'!HU150&lt;&gt;"",'Calculations'!HU150,IF('Calculations'!HT150&lt;&gt;"",'Calculations'!HT150,IF('Calculations'!HS150&lt;&gt;"",'Calculations'!HS150,IF('Calculations'!HR150&lt;&gt;"",'Calculations'!HR150,IF('Calculations'!HQ150&lt;&gt;"",'Calculations'!HQ150,IF('Calculations'!HP150&lt;&gt;"",'Calculations'!HP150,IF('Calculations'!HO150&lt;&gt;"",'Calculations'!HO150,'Calculations'!HE150))))))))))))))))))))))</x:f>
      </x:c>
      <x:c r="HN150" t="str">
        <x:f>IF('Calculations'!EM150="","",IF(IFERROR(IF(INDEX(INDIRECT("'WCM Calibration Final'!$F$1:$F$2000"),'Calculations'!$EM150)="","",TRIM(INDEX(INDIRECT("'WCM Calibration Final'!$F$1:$F$2000"),'Calculations'!$EM150)&amp;"")),"")="","(Blank)",IFERROR(IF(INDEX(INDIRECT("'WCM Calibration Final'!$F$1:$F$2000"),'Calculations'!$EM150)="","",TRIM(INDEX(INDIRECT("'WCM Calibration Final'!$F$1:$F$2000"),'Calculations'!$EM150)&amp;"")),"")))</x:f>
      </x:c>
      <x:c r="HO150" t="str">
        <x:f>'Calculations'!HF150</x:f>
      </x:c>
      <x:c r="HP150" t="str">
        <x:f>IF('Calculations'!HO150="","",IF('Calculations'!HO150="!AMBIG","!AMBIG",IF(COUNTIF('Calculations'!$HE$13:$HE$512,"="&amp;SUBSTITUTE(SUBSTITUTE(SUBSTITUTE('Calculations'!HO150,"~","~~"),"*","~*"),"?","~?"))&gt;1,"!AMBIG",IFERROR(INDEX('Calculations'!$HF$13:$HF$512,MATCH('Calculations'!HO150,'Calculations'!$HE$13:$HE$512,0)),""))))</x:f>
      </x:c>
      <x:c r="HQ150" t="str">
        <x:f>IF('Calculations'!HP150="","",IF('Calculations'!HP150="!AMBIG","!AMBIG",IF(COUNTIF('Calculations'!$HE$13:$HE$512,"="&amp;SUBSTITUTE(SUBSTITUTE(SUBSTITUTE('Calculations'!HP150,"~","~~"),"*","~*"),"?","~?"))&gt;1,"!AMBIG",IFERROR(INDEX('Calculations'!$HF$13:$HF$512,MATCH('Calculations'!HP150,'Calculations'!$HE$13:$HE$512,0)),""))))</x:f>
      </x:c>
      <x:c r="HR150" t="str">
        <x:f>IF('Calculations'!HQ150="","",IF('Calculations'!HQ150="!AMBIG","!AMBIG",IF(COUNTIF('Calculations'!$HE$13:$HE$512,"="&amp;SUBSTITUTE(SUBSTITUTE(SUBSTITUTE('Calculations'!HQ150,"~","~~"),"*","~*"),"?","~?"))&gt;1,"!AMBIG",IFERROR(INDEX('Calculations'!$HF$13:$HF$512,MATCH('Calculations'!HQ150,'Calculations'!$HE$13:$HE$512,0)),""))))</x:f>
      </x:c>
      <x:c r="HS150" t="str">
        <x:f>IF('Calculations'!HR150="","",IF('Calculations'!HR150="!AMBIG","!AMBIG",IF(COUNTIF('Calculations'!$HE$13:$HE$512,"="&amp;SUBSTITUTE(SUBSTITUTE(SUBSTITUTE('Calculations'!HR150,"~","~~"),"*","~*"),"?","~?"))&gt;1,"!AMBIG",IFERROR(INDEX('Calculations'!$HF$13:$HF$512,MATCH('Calculations'!HR150,'Calculations'!$HE$13:$HE$512,0)),""))))</x:f>
      </x:c>
      <x:c r="HT150" t="str">
        <x:f>IF('Calculations'!HS150="","",IF('Calculations'!HS150="!AMBIG","!AMBIG",IF(COUNTIF('Calculations'!$HE$13:$HE$512,"="&amp;SUBSTITUTE(SUBSTITUTE(SUBSTITUTE('Calculations'!HS150,"~","~~"),"*","~*"),"?","~?"))&gt;1,"!AMBIG",IFERROR(INDEX('Calculations'!$HF$13:$HF$512,MATCH('Calculations'!HS150,'Calculations'!$HE$13:$HE$512,0)),""))))</x:f>
      </x:c>
      <x:c r="HU150" t="str">
        <x:f>IF('Calculations'!HT150="","",IF('Calculations'!HT150="!AMBIG","!AMBIG",IF(COUNTIF('Calculations'!$HE$13:$HE$512,"="&amp;SUBSTITUTE(SUBSTITUTE(SUBSTITUTE('Calculations'!HT150,"~","~~"),"*","~*"),"?","~?"))&gt;1,"!AMBIG",IFERROR(INDEX('Calculations'!$HF$13:$HF$512,MATCH('Calculations'!HT150,'Calculations'!$HE$13:$HE$512,0)),""))))</x:f>
      </x:c>
      <x:c r="HV150" t="str">
        <x:f>IF('Calculations'!HU150="","",IF('Calculations'!HU150="!AMBIG","!AMBIG",IF(COUNTIF('Calculations'!$HE$13:$HE$512,"="&amp;SUBSTITUTE(SUBSTITUTE(SUBSTITUTE('Calculations'!HU150,"~","~~"),"*","~*"),"?","~?"))&gt;1,"!AMBIG",IFERROR(INDEX('Calculations'!$HF$13:$HF$512,MATCH('Calculations'!HU150,'Calculations'!$HE$13:$HE$512,0)),""))))</x:f>
      </x:c>
      <x:c r="HW150" t="str">
        <x:f>IF('Calculations'!HV150="","",IF('Calculations'!HV150="!AMBIG","!AMBIG",IF(COUNTIF('Calculations'!$HE$13:$HE$512,"="&amp;SUBSTITUTE(SUBSTITUTE(SUBSTITUTE('Calculations'!HV150,"~","~~"),"*","~*"),"?","~?"))&gt;1,"!AMBIG",IFERROR(INDEX('Calculations'!$HF$13:$HF$512,MATCH('Calculations'!HV150,'Calculations'!$HE$13:$HE$512,0)),""))))</x:f>
      </x:c>
      <x:c r="HX150" t="str">
        <x:f>IF('Calculations'!HW150="","",IF('Calculations'!HW150="!AMBIG","!AMBIG",IF(COUNTIF('Calculations'!$HE$13:$HE$512,"="&amp;SUBSTITUTE(SUBSTITUTE(SUBSTITUTE('Calculations'!HW150,"~","~~"),"*","~*"),"?","~?"))&gt;1,"!AMBIG",IFERROR(INDEX('Calculations'!$HF$13:$HF$512,MATCH('Calculations'!HW150,'Calculations'!$HE$13:$HE$512,0)),""))))</x:f>
      </x:c>
      <x:c r="HY150" t="str">
        <x:f>IF('Calculations'!HX150="","",IF('Calculations'!HX150="!AMBIG","!AMBIG",IF(COUNTIF('Calculations'!$HE$13:$HE$512,"="&amp;SUBSTITUTE(SUBSTITUTE(SUBSTITUTE('Calculations'!HX150,"~","~~"),"*","~*"),"?","~?"))&gt;1,"!AMBIG",IFERROR(INDEX('Calculations'!$HF$13:$HF$512,MATCH('Calculations'!HX150,'Calculations'!$HE$13:$HE$512,0)),""))))</x:f>
      </x:c>
      <x:c r="HZ150" t="str">
        <x:f>IF('Calculations'!HY150="","",IF('Calculations'!HY150="!AMBIG","!AMBIG",IF(COUNTIF('Calculations'!$HE$13:$HE$512,"="&amp;SUBSTITUTE(SUBSTITUTE(SUBSTITUTE('Calculations'!HY150,"~","~~"),"*","~*"),"?","~?"))&gt;1,"!AMBIG",IFERROR(INDEX('Calculations'!$HF$13:$HF$512,MATCH('Calculations'!HY150,'Calculations'!$HE$13:$HE$512,0)),""))))</x:f>
      </x:c>
      <x:c r="IA150" t="str">
        <x:f>IF('Calculations'!HZ150="","",IF('Calculations'!HZ150="!AMBIG","!AMBIG",IF(COUNTIF('Calculations'!$HE$13:$HE$512,"="&amp;SUBSTITUTE(SUBSTITUTE(SUBSTITUTE('Calculations'!HZ150,"~","~~"),"*","~*"),"?","~?"))&gt;1,"!AMBIG",IFERROR(INDEX('Calculations'!$HF$13:$HF$512,MATCH('Calculations'!HZ150,'Calculations'!$HE$13:$HE$512,0)),""))))</x:f>
      </x:c>
      <x:c r="IB150" t="str">
        <x:f>IF('Calculations'!IA150="","",IF('Calculations'!IA150="!AMBIG","!AMBIG",IF(COUNTIF('Calculations'!$HE$13:$HE$512,"="&amp;SUBSTITUTE(SUBSTITUTE(SUBSTITUTE('Calculations'!IA150,"~","~~"),"*","~*"),"?","~?"))&gt;1,"!AMBIG",IFERROR(INDEX('Calculations'!$HF$13:$HF$512,MATCH('Calculations'!IA150,'Calculations'!$HE$13:$HE$512,0)),""))))</x:f>
      </x:c>
      <x:c r="IC150" t="str">
        <x:f>IF('Calculations'!IB150="","",IF('Calculations'!IB150="!AMBIG","!AMBIG",IF(COUNTIF('Calculations'!$HE$13:$HE$512,"="&amp;SUBSTITUTE(SUBSTITUTE(SUBSTITUTE('Calculations'!IB150,"~","~~"),"*","~*"),"?","~?"))&gt;1,"!AMBIG",IFERROR(INDEX('Calculations'!$HF$13:$HF$512,MATCH('Calculations'!IB150,'Calculations'!$HE$13:$HE$512,0)),""))))</x:f>
      </x:c>
      <x:c r="ID150" t="str">
        <x:f>IF('Calculations'!IC150="","",IF('Calculations'!IC150="!AMBIG","!AMBIG",IF(COUNTIF('Calculations'!$HE$13:$HE$512,"="&amp;SUBSTITUTE(SUBSTITUTE(SUBSTITUTE('Calculations'!IC150,"~","~~"),"*","~*"),"?","~?"))&gt;1,"!AMBIG",IFERROR(INDEX('Calculations'!$HF$13:$HF$512,MATCH('Calculations'!IC150,'Calculations'!$HE$13:$HE$512,0)),""))))</x:f>
      </x:c>
      <x:c r="IE150" t="str">
        <x:f>IF('Calculations'!ID150="","",IF('Calculations'!ID150="!AMBIG","!AMBIG",IF(COUNTIF('Calculations'!$HE$13:$HE$512,"="&amp;SUBSTITUTE(SUBSTITUTE(SUBSTITUTE('Calculations'!ID150,"~","~~"),"*","~*"),"?","~?"))&gt;1,"!AMBIG",IFERROR(INDEX('Calculations'!$HF$13:$HF$512,MATCH('Calculations'!ID150,'Calculations'!$HE$13:$HE$512,0)),""))))</x:f>
      </x:c>
      <x:c r="IF150" t="str">
        <x:f>IF('Calculations'!IE150="","",IF('Calculations'!IE150="!AMBIG","!AMBIG",IF(COUNTIF('Calculations'!$HE$13:$HE$512,"="&amp;SUBSTITUTE(SUBSTITUTE(SUBSTITUTE('Calculations'!IE150,"~","~~"),"*","~*"),"?","~?"))&gt;1,"!AMBIG",IFERROR(INDEX('Calculations'!$HF$13:$HF$512,MATCH('Calculations'!IE150,'Calculations'!$HE$13:$HE$512,0)),""))))</x:f>
      </x:c>
      <x:c r="IG150" t="str">
        <x:f>IF('Calculations'!IF150="","",IF('Calculations'!IF150="!AMBIG","!AMBIG",IF(COUNTIF('Calculations'!$HE$13:$HE$512,"="&amp;SUBSTITUTE(SUBSTITUTE(SUBSTITUTE('Calculations'!IF150,"~","~~"),"*","~*"),"?","~?"))&gt;1,"!AMBIG",IFERROR(INDEX('Calculations'!$HF$13:$HF$512,MATCH('Calculations'!IF150,'Calculations'!$HE$13:$HE$512,0)),""))))</x:f>
      </x:c>
      <x:c r="IH150" t="str">
        <x:f>IF('Calculations'!IG150="","",IF('Calculations'!IG150="!AMBIG","!AMBIG",IF(COUNTIF('Calculations'!$HE$13:$HE$512,"="&amp;SUBSTITUTE(SUBSTITUTE(SUBSTITUTE('Calculations'!IG150,"~","~~"),"*","~*"),"?","~?"))&gt;1,"!AMBIG",IFERROR(INDEX('Calculations'!$HF$13:$HF$512,MATCH('Calculations'!IG150,'Calculations'!$HE$13:$HE$512,0)),""))))</x:f>
      </x:c>
      <x:c r="II150" t="str">
        <x:f>IF('Calculations'!IH150="","",IF('Calculations'!IH150="!AMBIG","!AMBIG",IF(COUNTIF('Calculations'!$HE$13:$HE$512,"="&amp;SUBSTITUTE(SUBSTITUTE(SUBSTITUTE('Calculations'!IH150,"~","~~"),"*","~*"),"?","~?"))&gt;1,"!AMBIG",IFERROR(INDEX('Calculations'!$HF$13:$HF$512,MATCH('Calculations'!IH150,'Calculations'!$HE$13:$HE$512,0)),""))))</x:f>
      </x:c>
      <x:c r="IJ150" t="str">
        <x:f>IF('Calculations'!EM150="","",IF('Calculations'!$EF$2="All",'Calculations'!HM150,IF('Calculations'!HL150=1,"",IFERROR(IF(MATCH('Calculations'!$EF$2,'Calculations'!HO150:II150,0)=1,'Calculations'!HE150,INDEX('Calculations'!HO150:II150,1,MATCH('Calculations'!$EF$2,'Calculations'!HO150:II150,0)-1)),""))))</x:f>
      </x:c>
      <x:c r="IK150" t="n">
        <x:f>IF(AND('Calculations'!EM150&lt;&gt;"",'Calculations'!$EF$2&lt;&gt;"All",'Calculations'!HF150='Calculations'!$EF$2,'Calculations'!HL150=0,'Calculations'!JD150&gt;0),MAX('Calculations'!$IK$12:IK149)+1,0)</x:f>
        <x:v>0</x:v>
      </x:c>
      <x:c r="JA150" t="n">
        <x:f>IF(OR(IFERROR(INDIRECT("'WCM Calibration Final'!$A$150")&lt;&gt;"",FALSE),IFERROR(INDIRECT("'WCM Calibration Final'!$B$150")&lt;&gt;"",FALSE),IFERROR(INDIRECT("'WCM Calibration Final'!$C$150")&lt;&gt;"",FALSE)),150,0)</x:f>
        <x:v>0</x:v>
      </x:c>
      <x:c r="JB150" t="n">
        <x:f>'Calculations'!JB149+IF('Calculations'!JA150&gt;0,1,0)</x:f>
        <x:v>0</x:v>
      </x:c>
      <x:c r="JC150" t="n">
        <x:f>IF(OR('Calculations'!HF150="",'Calculations'!HF150="!AMBIG"),0,IF('Dashboard'!$B$7="All",1,COUNTIFS('Calculations'!$HO$13:$HO$512,"="&amp;SUBSTITUTE(SUBSTITUTE(SUBSTITUTE('Calculations'!HF150,"~","~~"),"*","~*"),"?","~?"),'Calculations'!$HN$13:$HN$512,"="&amp;SUBSTITUTE(SUBSTITUTE(SUBSTITUTE('Dashboard'!$B$7,"~","~~"),"*","~*"),"?","~?"))+COUNTIFS('Calculations'!$HP$13:$HP$512,"="&amp;SUBSTITUTE(SUBSTITUTE(SUBSTITUTE('Calculations'!HF150,"~","~~"),"*","~*"),"?","~?"),'Calculations'!$HN$13:$HN$512,"="&amp;SUBSTITUTE(SUBSTITUTE(SUBSTITUTE('Dashboard'!$B$7,"~","~~"),"*","~*"),"?","~?"))+COUNTIFS('Calculations'!$HQ$13:$HQ$512,"="&amp;SUBSTITUTE(SUBSTITUTE(SUBSTITUTE('Calculations'!HF150,"~","~~"),"*","~*"),"?","~?"),'Calculations'!$HN$13:$HN$512,"="&amp;SUBSTITUTE(SUBSTITUTE(SUBSTITUTE('Dashboard'!$B$7,"~","~~"),"*","~*"),"?","~?"))+COUNTIFS('Calculations'!$HR$13:$HR$512,"="&amp;SUBSTITUTE(SUBSTITUTE(SUBSTITUTE('Calculations'!HF150,"~","~~"),"*","~*"),"?","~?"),'Calculations'!$HN$13:$HN$512,"="&amp;SUBSTITUTE(SUBSTITUTE(SUBSTITUTE('Dashboard'!$B$7,"~","~~"),"*","~*"),"?","~?"))+COUNTIFS('Calculations'!$HS$13:$HS$512,"="&amp;SUBSTITUTE(SUBSTITUTE(SUBSTITUTE('Calculations'!HF150,"~","~~"),"*","~*"),"?","~?"),'Calculations'!$HN$13:$HN$512,"="&amp;SUBSTITUTE(SUBSTITUTE(SUBSTITUTE('Dashboard'!$B$7,"~","~~"),"*","~*"),"?","~?"))+COUNTIFS('Calculations'!$HT$13:$HT$512,"="&amp;SUBSTITUTE(SUBSTITUTE(SUBSTITUTE('Calculations'!HF150,"~","~~"),"*","~*"),"?","~?"),'Calculations'!$HN$13:$HN$512,"="&amp;SUBSTITUTE(SUBSTITUTE(SUBSTITUTE('Dashboard'!$B$7,"~","~~"),"*","~*"),"?","~?"))+COUNTIFS('Calculations'!$HU$13:$HU$512,"="&amp;SUBSTITUTE(SUBSTITUTE(SUBSTITUTE('Calculations'!HF150,"~","~~"),"*","~*"),"?","~?"),'Calculations'!$HN$13:$HN$512,"="&amp;SUBSTITUTE(SUBSTITUTE(SUBSTITUTE('Dashboard'!$B$7,"~","~~"),"*","~*"),"?","~?"))+COUNTIFS('Calculations'!$HV$13:$HV$512,"="&amp;SUBSTITUTE(SUBSTITUTE(SUBSTITUTE('Calculations'!HF150,"~","~~"),"*","~*"),"?","~?"),'Calculations'!$HN$13:$HN$512,"="&amp;SUBSTITUTE(SUBSTITUTE(SUBSTITUTE('Dashboard'!$B$7,"~","~~"),"*","~*"),"?","~?"))+COUNTIFS('Calculations'!$HW$13:$HW$512,"="&amp;SUBSTITUTE(SUBSTITUTE(SUBSTITUTE('Calculations'!HF150,"~","~~"),"*","~*"),"?","~?"),'Calculations'!$HN$13:$HN$512,"="&amp;SUBSTITUTE(SUBSTITUTE(SUBSTITUTE('Dashboard'!$B$7,"~","~~"),"*","~*"),"?","~?"))+COUNTIFS('Calculations'!$HX$13:$HX$512,"="&amp;SUBSTITUTE(SUBSTITUTE(SUBSTITUTE('Calculations'!HF150,"~","~~"),"*","~*"),"?","~?"),'Calculations'!$HN$13:$HN$512,"="&amp;SUBSTITUTE(SUBSTITUTE(SUBSTITUTE('Dashboard'!$B$7,"~","~~"),"*","~*"),"?","~?"))+COUNTIFS('Calculations'!$HY$13:$HY$512,"="&amp;SUBSTITUTE(SUBSTITUTE(SUBSTITUTE('Calculations'!HF150,"~","~~"),"*","~*"),"?","~?"),'Calculations'!$HN$13:$HN$512,"="&amp;SUBSTITUTE(SUBSTITUTE(SUBSTITUTE('Dashboard'!$B$7,"~","~~"),"*","~*"),"?","~?"))+COUNTIFS('Calculations'!$HZ$13:$HZ$512,"="&amp;SUBSTITUTE(SUBSTITUTE(SUBSTITUTE('Calculations'!HF150,"~","~~"),"*","~*"),"?","~?"),'Calculations'!$HN$13:$HN$512,"="&amp;SUBSTITUTE(SUBSTITUTE(SUBSTITUTE('Dashboard'!$B$7,"~","~~"),"*","~*"),"?","~?"))+COUNTIFS('Calculations'!$IA$13:$IA$512,"="&amp;SUBSTITUTE(SUBSTITUTE(SUBSTITUTE('Calculations'!HF150,"~","~~"),"*","~*"),"?","~?"),'Calculations'!$HN$13:$HN$512,"="&amp;SUBSTITUTE(SUBSTITUTE(SUBSTITUTE('Dashboard'!$B$7,"~","~~"),"*","~*"),"?","~?"))+COUNTIFS('Calculations'!$IB$13:$IB$512,"="&amp;SUBSTITUTE(SUBSTITUTE(SUBSTITUTE('Calculations'!HF150,"~","~~"),"*","~*"),"?","~?"),'Calculations'!$HN$13:$HN$512,"="&amp;SUBSTITUTE(SUBSTITUTE(SUBSTITUTE('Dashboard'!$B$7,"~","~~"),"*","~*"),"?","~?"))+COUNTIFS('Calculations'!$IC$13:$IC$512,"="&amp;SUBSTITUTE(SUBSTITUTE(SUBSTITUTE('Calculations'!HF150,"~","~~"),"*","~*"),"?","~?"),'Calculations'!$HN$13:$HN$512,"="&amp;SUBSTITUTE(SUBSTITUTE(SUBSTITUTE('Dashboard'!$B$7,"~","~~"),"*","~*"),"?","~?"))+COUNTIFS('Calculations'!$ID$13:$ID$512,"="&amp;SUBSTITUTE(SUBSTITUTE(SUBSTITUTE('Calculations'!HF150,"~","~~"),"*","~*"),"?","~?"),'Calculations'!$HN$13:$HN$512,"="&amp;SUBSTITUTE(SUBSTITUTE(SUBSTITUTE('Dashboard'!$B$7,"~","~~"),"*","~*"),"?","~?"))+COUNTIFS('Calculations'!$IE$13:$IE$512,"="&amp;SUBSTITUTE(SUBSTITUTE(SUBSTITUTE('Calculations'!HF150,"~","~~"),"*","~*"),"?","~?"),'Calculations'!$HN$13:$HN$512,"="&amp;SUBSTITUTE(SUBSTITUTE(SUBSTITUTE('Dashboard'!$B$7,"~","~~"),"*","~*"),"?","~?"))+COUNTIFS('Calculations'!$IF$13:$IF$512,"="&amp;SUBSTITUTE(SUBSTITUTE(SUBSTITUTE('Calculations'!HF150,"~","~~"),"*","~*"),"?","~?"),'Calculations'!$HN$13:$HN$512,"="&amp;SUBSTITUTE(SUBSTITUTE(SUBSTITUTE('Dashboard'!$B$7,"~","~~"),"*","~*"),"?","~?"))+COUNTIFS('Calculations'!$IG$13:$IG$512,"="&amp;SUBSTITUTE(SUBSTITUTE(SUBSTITUTE('Calculations'!HF150,"~","~~"),"*","~*"),"?","~?"),'Calculations'!$HN$13:$HN$512,"="&amp;SUBSTITUTE(SUBSTITUTE(SUBSTITUTE('Dashboard'!$B$7,"~","~~"),"*","~*"),"?","~?"))+COUNTIFS('Calculations'!$IH$13:$IH$512,"="&amp;SUBSTITUTE(SUBSTITUTE(SUBSTITUTE('Calculations'!HF150,"~","~~"),"*","~*"),"?","~?"),'Calculations'!$HN$13:$HN$512,"="&amp;SUBSTITUTE(SUBSTITUTE(SUBSTITUTE('Dashboard'!$B$7,"~","~~"),"*","~*"),"?","~?"))))</x:f>
        <x:v>0</x:v>
      </x:c>
      <x:c r="JD150" t="n">
        <x:f>IF('Calculations'!EM150="",0,IF('Dashboard'!$B$7="All",1,IF('Calculations'!HN150='Dashboard'!$B$7,1,0)+IFERROR(INDEX('Calculations'!$JC$13:$JC$512,MATCH('Calculations'!HE150,'Calculations'!$HF$13:$HF$512,0)),0)))</x:f>
        <x:v>0</x:v>
      </x:c>
      <x:c r="JE150" t="n">
        <x:f>IF(AND('Calculations'!EM150&lt;&gt;"",'Calculations'!$JJ$2&lt;&gt;"All",'Calculations'!$JJ$2&lt;&gt;"",'Calculations'!HF150='Calculations'!$JJ$2,'Calculations'!HL150=0,'Calculations'!JD150&gt;0),MAX('Calculations'!$JE$12:JE149)+1,0)</x:f>
        <x:v>0</x:v>
      </x:c>
      <x:c r="JF150" t="str">
        <x:f>IF('Calculations'!EM150="","",IFERROR(IF(INDEX(INDIRECT("'WCM Calibration Final'!$G$1:$G$2000"),'Calculations'!$EM150)="","",TRIM(INDEX(INDIRECT("'WCM Calibration Final'!$G$1:$G$2000"),'Calculations'!$EM150)&amp;"")),""))</x:f>
      </x:c>
      <x:c r="JQ150" t="n">
        <x:f>IF(OR('Calculations'!BM150=0,NOT('Calculations'!$AG$2),'Calculations'!$AG$8&gt;0),0,IF(OR('Dashboard'!$B$7="All",'Calculations'!HN150='Dashboard'!$B$7),IF('Calculations'!$JJ$2="All",1,IF(AND('Calculations'!HF150='Calculations'!$JJ$2,'Calculations'!HL150=0),1,0)),0))</x:f>
        <x:v>0</x:v>
      </x:c>
    </x:row>
    <x:row r="151">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t="n">
        <x:f>IF('Calculations'!$EM151="",0,IF(OR(IFERROR(INDEX(INDIRECT("'WCM Calibration Final'!$A$1:$A$2000"),'Calculations'!$EM151)&lt;&gt;"",FALSE),IFERROR(INDEX(INDIRECT("'WCM Calibration Final'!$B$1:$B$2000"),'Calculations'!$EM151)&lt;&gt;"",FALSE),IFERROR(INDEX(INDIRECT("'WCM Calibration Final'!$C$1:$C$2000"),'Calculations'!$EM151)&lt;&gt;"",FALSE)),1,0))</x:f>
        <x:v>0</x:v>
      </x:c>
      <x:c r="BN151" s="4" t="n">
        <x:f>IF(AND('Calculations'!BM151=1,'Calculations'!$AG$2,'Calculations'!$EN151=1),1,0)</x:f>
        <x:v>0</x:v>
      </x:c>
      <x:c r="BO151" s="4" t="str">
        <x:f>IF('Calculations'!BM151=0,"",IFERROR(IF(AND(VALUE(INDEX(INDIRECT("'WCM Calibration Final'!$K$1:$K$2000"),'Calculations'!$EM151))&gt;=1,VALUE(INDEX(INDIRECT("'WCM Calibration Final'!$K$1:$K$2000"),'Calculations'!$EM151))&lt;=4,MOD(VALUE(INDEX(INDIRECT("'WCM Calibration Final'!$K$1:$K$2000"),'Calculations'!$EM151)),1)=0),VALUE(INDEX(INDIRECT("'WCM Calibration Final'!$K$1:$K$2000"),'Calculations'!$EM151)),""),""))</x:f>
      </x:c>
      <x:c r="BP151" s="4" t="str">
        <x:f>IF('Calculations'!BM151=0,"",IFERROR(IF(AND(VALUE(INDEX(INDIRECT("'WCM Calibration Final'!$L$1:$L$2000"),'Calculations'!$EM151))&gt;=1,VALUE(INDEX(INDIRECT("'WCM Calibration Final'!$L$1:$L$2000"),'Calculations'!$EM151))&lt;=4,MOD(VALUE(INDEX(INDIRECT("'WCM Calibration Final'!$L$1:$L$2000"),'Calculations'!$EM151)),1)=0),VALUE(INDEX(INDIRECT("'WCM Calibration Final'!$L$1:$L$2000"),'Calculations'!$EM151)),""),""))</x:f>
      </x:c>
      <x:c r="BQ151" s="4"/>
      <x:c r="BR151" s="4"/>
      <x:c r="BS151" s="4"/>
      <x:c r="BT151" s="4" t="n">
        <x:f>IF(AND('Calculations'!BM151=1,ISNUMBER('Calculations'!BO151),ISNUMBER('Calculations'!BP151)),1,0)</x:f>
        <x:v>0</x:v>
      </x:c>
      <x:c r="BU151" s="4" t="str">
        <x:f>IF('Calculations'!BM151=0,"",'Calculations'!$EO151)</x:f>
      </x:c>
      <x:c r="BV151" s="4" t="str">
        <x:f>IF('Calculations'!BM151=0,"",IFERROR(IF(OR(INDEX(INDIRECT("'WCM Calibration Final'!$H$1:$H$2000"),'Calculations'!$EM151)="MANAGING DIRECTOR",INDEX(INDIRECT("'WCM Calibration Final'!$H$1:$H$2000"),'Calculations'!$EM151)="DIRECTOR",INDEX(INDIRECT("'WCM Calibration Final'!$H$1:$H$2000"),'Calculations'!$EM151)="SENIOR VICE PRESIDENT",INDEX(INDIRECT("'WCM Calibration Final'!$H$1:$H$2000"),'Calculations'!$EM151)="VICE PRESIDENT",INDEX(INDIRECT("'WCM Calibration Final'!$H$1:$H$2000"),'Calculations'!$EM151)="ASSISTANT VICE PRESIDENT",INDEX(INDIRECT("'WCM Calibration Final'!$H$1:$H$2000"),'Calculations'!$EM151)="OFFICER"),UPPER(INDEX(INDIRECT("'WCM Calibration Final'!$H$1:$H$2000"),'Calculations'!$EM151)),"Other"),"Other"))</x:f>
      </x:c>
      <x:c r="BW151" s="4"/>
      <x:c r="BX151" s="4"/>
      <x:c r="BY151" s="4" t="n">
        <x:f>IF(AND('Calculations'!BM151=1,'Calculations'!BU151&lt;&gt;"",COUNTIF('Calculations'!$BU$12:BU151,'Calculations'!BU151)=1),MAX('Calculations'!$BY$11:BY150)+1,0)</x:f>
        <x:v>0</x:v>
      </x:c>
      <x:c r="BZ151" s="4" t="str">
        <x:f>IF('Dashboard'!$E$67="What",'Calculations'!BO151,'Calculations'!BP151)</x:f>
      </x:c>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t="str">
        <x:f>IF(140&gt;MAX('Calculations'!$HI$13:$HI$512),"",INDEX('Calculations'!$HN$13:$HN$512,MATCH(140,'Calculations'!$HI$13:$HI$512,0)))</x:f>
      </x:c>
      <x:c r="DB151" s="4" t="str">
        <x:f>IF(140&gt;MAX('Calculations'!$HH$13:$HH$512),"",INDEX('Calculations'!$HJ$13:$HJ$512,MATCH(140,'Calculations'!$HH$13:$HH$512,0)))</x:f>
      </x:c>
      <x:c r="DC151" s="4" t="str">
        <x:f>IF(ROW()-11&gt;MAX('Calculations'!$BY$13:$BY$512),"",INDEX('Calculations'!$BU$13:$BU$512,MATCH(ROW()-11,'Calculations'!$BY$13:$BY$512,0)))</x:f>
      </x:c>
      <x:c r="DD151" s="4" t="str">
        <x:f>IF(140&gt;MAX('Calculations'!$IK$13:$IK$512),"",INDEX('Calculations'!$HK$13:$HK$512,MATCH(140,'Calculations'!$IK$13:$IK$512,0)))</x:f>
      </x:c>
      <x:c r="DE151" s="4" t="str">
        <x:f>'Calculations'!DC151</x:f>
      </x:c>
      <x:c r="DF151" s="4" t="str">
        <x:f>IF('Calculations'!DE151="","",COUNTIFS('Calculations'!$BN$13:$BN$512,1,'Calculations'!$BU$13:$BU$512,'Calculations'!DE151))</x:f>
      </x:c>
      <x:c r="DG151" s="4" t="str">
        <x:f>IF('Calculations'!DE151="","",COUNTIFS('Calculations'!$BN$13:$BN$512,1,'Calculations'!$BU$13:$BU$512,'Calculations'!DE151,'Calculations'!$BT$13:$BT$512,1))</x:f>
      </x:c>
      <x:c r="DH151" s="4" t="str">
        <x:f>IF('Calculations'!DE151="","",'Calculations'!DF151-'Calculations'!DG151)</x:f>
      </x:c>
      <x:c r="DI151" s="4" t="str">
        <x:f>IF(OR('Calculations'!DE151="",'Calculations'!DF151=0),"",'Calculations'!DG151/'Calculations'!DF151)</x:f>
      </x:c>
      <x:c r="DJ151" s="4" t="str">
        <x:f>IF('Calculations'!DE151="","",COUNTIFS('Calculations'!$BN$13:$BN$512,1,'Calculations'!$BU$13:$BU$512,'Calculations'!DE151,'Calculations'!$BT$13:$BT$512,1,'Calculations'!$EE$13:$EE$512,"High"))</x:f>
      </x:c>
      <x:c r="DK151" s="4" t="str">
        <x:f>IF('Calculations'!DE151="","",COUNTIFS('Calculations'!$BN$13:$BN$512,1,'Calculations'!$BU$13:$BU$512,'Calculations'!DE151,'Calculations'!$BT$13:$BT$512,1,'Calculations'!$EE$13:$EE$512,"Strong"))</x:f>
      </x:c>
      <x:c r="DL151" s="4" t="str">
        <x:f>IF('Calculations'!DE151="","",COUNTIFS('Calculations'!$BN$13:$BN$512,1,'Calculations'!$BU$13:$BU$512,'Calculations'!DE151,'Calculations'!$BT$13:$BT$512,1,'Calculations'!$EE$13:$EE$512,"Solid"))</x:f>
      </x:c>
      <x:c r="DM151" s="4" t="str">
        <x:f>IF('Calculations'!DE151="","",COUNTIFS('Calculations'!$BN$13:$BN$512,1,'Calculations'!$BU$13:$BU$512,'Calculations'!DE151,'Calculations'!$BT$13:$BT$512,1,'Calculations'!$EE$13:$EE$512,"Low"))</x:f>
      </x:c>
      <x:c r="DN151" s="4" t="str">
        <x:f>IF('Calculations'!DE151="","",COUNTIFS('Calculations'!$BN$13:$BN$512,1,'Calculations'!$BU$13:$BU$512,'Calculations'!DE151,'Calculations'!$EP$13:$EP$512,1))</x:f>
      </x:c>
      <x:c r="DO151" s="4" t="str">
        <x:f>IF(OR('Calculations'!DE151="",'Calculations'!DG151=0),"",('Calculations'!DJ151+'Calculations'!DK151)/'Calculations'!DG151)</x:f>
      </x:c>
      <x:c r="DP151" s="4" t="n">
        <x:f>IF(AND('Calculations'!DE151&lt;&gt;"",'Calculations'!DF151&gt;0),COUNTIF('Calculations'!$DF$12:DF151,"&gt;0"),0)</x:f>
        <x:v>0</x:v>
      </x:c>
      <x:c r="DQ151" s="4" t="str">
        <x:f>IF(140&gt;MAX('Calculations'!$HH$13:$HH$512),"",INDEX('Calculations'!$HF$13:$HF$512,MATCH(140,'Calculations'!$HH$13:$HH$512,0)))</x:f>
      </x:c>
      <x:c r="DR151" s="4" t="str">
        <x:f>IF(140&gt;MAX('Calculations'!$IK$13:$IK$512),"",INDEX('Calculations'!$HE$13:$HE$512,MATCH(140,'Calculations'!$IK$13:$IK$512,0)))</x:f>
      </x:c>
      <x:c r="DS151" s="4"/>
      <x:c r="DT151" s="4"/>
      <x:c r="DU151" s="4"/>
      <x:c r="DV151" s="4"/>
      <x:c r="DW151" s="4"/>
      <x:c r="DX151" s="4"/>
      <x:c r="DY151" s="4"/>
      <x:c r="DZ151" s="4"/>
      <x:c r="EA151" s="4"/>
      <x:c r="EB151" s="4"/>
      <x:c r="EC151" s="4"/>
      <x:c r="ED151" s="4"/>
      <x:c r="EE151" s="4" t="str">
        <x:f>IF('Calculations'!BT151=0,"Not Rated",IF(OR('Calculations'!BO151&gt;=4,'Calculations'!BP151&gt;=4),"Low",IF('Calculations'!BO151+'Calculations'!BP151&lt;=3,"High",IF('Calculations'!BO151+'Calculations'!BP151&lt;=4,"Strong","Solid"))))</x:f>
        <x:v>Not Rated</x:v>
      </x:c>
      <x:c r="EF151" s="4"/>
      <x:c r="EG151" s="4"/>
      <x:c r="EH151" s="4"/>
      <x:c r="EI151" s="4"/>
      <x:c r="EJ151" s="4"/>
      <x:c r="EK151" s="4"/>
      <x:c r="EL151" s="4"/>
      <x:c r="EM151" s="4" t="str">
        <x:f>IF(139&gt;'Calculations'!$JB$2000,"",INDEX('Calculations'!$JA$12:$JA$2000,MATCH(139,'Calculations'!$JB$12:$JB$2000,0)))</x:f>
      </x:c>
      <x:c r="EN151" s="4" t="n">
        <x:f>IF(OR('Calculations'!EM151="",'Calculations'!$AG$8&gt;0,AND('Calculations'!$EF$2&lt;&gt;"All",'Calculations'!HE151='Calculations'!$EF$2),AND('Calculations'!$EF$3&lt;&gt;"All",'Calculations'!HE151='Calculations'!$EF$3)),0,IF(OR('Dashboard'!$B$7="All",'Calculations'!HN151='Dashboard'!$B$7),IF('Calculations'!$EF$2="All",1,IF('Calculations'!HL151&gt;0,0,IF(COUNTIF('Calculations'!HO151:II151,"="&amp;SUBSTITUTE(SUBSTITUTE(SUBSTITUTE('Calculations'!$EF$2,"~","~~"),"*","~*"),"?","~?"))=0,0,IF('Calculations'!$EF$3="All",1,IF(COUNTIF('Calculations'!HO151:II151,"="&amp;SUBSTITUTE(SUBSTITUTE(SUBSTITUTE('Calculations'!$EF$3,"~","~~"),"*","~*"),"?","~?"))&gt;0,1,0))))),0))</x:f>
        <x:v>0</x:v>
      </x:c>
      <x:c r="EO151" s="4" t="str">
        <x:f>IF('Calculations'!IJ151="","",IF('Calculations'!IJ151="!UNRESOLVED","Unresolved hierarchy",IFERROR(INDEX('Calculations'!$HK$13:$HK$512,MATCH('Calculations'!IJ151,'Calculations'!$HE$13:$HE$512,0)),IFERROR(INDEX('Calculations'!$HJ$13:$HJ$512,MATCH('Calculations'!IJ151,'Calculations'!$HF$13:$HF$512,0)),'Calculations'!IJ151))))</x:f>
      </x:c>
      <x:c r="EP151" s="4" t="n">
        <x:f>IF(AND('Calculations'!EM151&lt;&gt;"",'Calculations'!HF151='Calculations'!IJ151),1,0)</x:f>
        <x:v>0</x:v>
      </x:c>
      <x:c r="EQ151" s="4"/>
      <x:c r="ER151" s="4"/>
      <x:c r="ES151" s="4"/>
      <x:c r="ET151" s="4"/>
      <x:c r="EU151" s="4"/>
      <x:c r="EV151" s="4"/>
      <x:c r="EW151" s="4"/>
      <x:c r="EX151" s="4"/>
      <x:c r="EY151" s="4"/>
      <x:c r="EZ151" s="4"/>
      <x:c r="FA151" s="4"/>
      <x:c r="FB151" s="4"/>
      <x:c r="FC151" s="4"/>
      <x:c r="FD151" s="4"/>
      <x:c r="FE151" s="4"/>
      <x:c r="FF151" s="4"/>
      <x:c r="FG151" s="4"/>
      <x:c r="FH151" s="4"/>
      <x:c r="FI151" s="4"/>
      <x:c r="FJ151" s="4"/>
      <x:c r="FK151" s="4"/>
      <x:c r="FL151" s="4"/>
      <x:c r="FM151" s="4"/>
      <x:c r="FN151" s="4"/>
      <x:c r="FO151" s="4"/>
      <x:c r="GA151" s="71"/>
      <x:c r="GB151" s="71"/>
      <x:c r="GC151" s="71"/>
      <x:c r="GD151" s="71"/>
      <x:c r="GE151" s="71"/>
      <x:c r="GF151" s="71"/>
      <x:c r="GG151" s="71"/>
      <x:c r="GH151" s="71"/>
      <x:c r="GI151" s="71"/>
      <x:c r="GJ151" s="71"/>
      <x:c r="GK151" s="71"/>
      <x:c r="GL151" s="71"/>
      <x:c r="GM151" s="71"/>
      <x:c r="GN151" s="71"/>
      <x:c r="GO151" s="71"/>
      <x:c r="GP151" s="71"/>
      <x:c r="GQ151" s="71"/>
      <x:c r="GR151" s="71"/>
      <x:c r="GS151" s="71"/>
      <x:c r="GT151" s="71"/>
      <x:c r="GU151" s="71"/>
      <x:c r="GV151" s="71"/>
      <x:c r="GW151" s="71"/>
      <x:c r="GX151" s="71"/>
      <x:c r="GY151" s="71"/>
      <x:c r="GZ151" s="71"/>
      <x:c r="HA151" s="71"/>
      <x:c r="HB151" s="71"/>
      <x:c r="HC151" s="71"/>
      <x:c r="HD151" s="71"/>
      <x:c r="HE151" t="str">
        <x:f>IF('Calculations'!EM151="","",IF(IFERROR(IF(INDEX(INDIRECT("'WCM Calibration Final'!$A$1:$A$2000"),'Calculations'!$EM151)="","",TRIM(INDEX(INDIRECT("'WCM Calibration Final'!$A$1:$A$2000"),'Calculations'!$EM151)&amp;"")),"")&lt;&gt;"","G:"&amp;IFERROR(TEXT(1*INDEX(INDIRECT("'WCM Calibration Final'!$A$1:$A$2000"),'Calculations'!$EM151),"0"),UPPER(IFERROR(IF(INDEX(INDIRECT("'WCM Calibration Final'!$A$1:$A$2000"),'Calculations'!$EM151)="","",TRIM(INDEX(INDIRECT("'WCM Calibration Final'!$A$1:$A$2000"),'Calculations'!$EM151)&amp;"")),""))),IF(IFERROR(IF(INDEX(INDIRECT("'WCM Calibration Final'!$C$1:$C$2000"),'Calculations'!$EM151)="","",TRIM(INDEX(INDIRECT("'WCM Calibration Final'!$C$1:$C$2000"),'Calculations'!$EM151)&amp;"")),"")&lt;&gt;"","S:"&amp;UPPER(IFERROR(IF(INDEX(INDIRECT("'WCM Calibration Final'!$C$1:$C$2000"),'Calculations'!$EM151)="","",TRIM(INDEX(INDIRECT("'WCM Calibration Final'!$C$1:$C$2000"),'Calculations'!$EM151)&amp;"")),"")),"R:"&amp;'Calculations'!EM151)))</x:f>
      </x:c>
      <x:c r="HF151" t="str">
        <x:f>IF('Calculations'!EM151="","",IF(IFERROR(IF(INDEX(INDIRECT("'WCM Calibration Final'!$D$1:$D$2000"),'Calculations'!$EM151)="","",TRIM(INDEX(INDIRECT("'WCM Calibration Final'!$D$1:$D$2000"),'Calculations'!$EM151)&amp;"")),"")&lt;&gt;"","G:"&amp;IFERROR(TEXT(1*INDEX(INDIRECT("'WCM Calibration Final'!$D$1:$D$2000"),'Calculations'!$EM151),"0"),UPPER(IFERROR(IF(INDEX(INDIRECT("'WCM Calibration Final'!$D$1:$D$2000"),'Calculations'!$EM151)="","",TRIM(INDEX(INDIRECT("'WCM Calibration Final'!$D$1:$D$2000"),'Calculations'!$EM151)&amp;"")),""))),IF(IFERROR(IF(INDEX(INDIRECT("'WCM Calibration Final'!$E$1:$E$2000"),'Calculations'!$EM151)="","",TRIM(INDEX(INDIRECT("'WCM Calibration Final'!$E$1:$E$2000"),'Calculations'!$EM151)&amp;"")),"")="","",IF(COUNTIF('Calculations'!$HG$13:$HG$512,"="&amp;SUBSTITUTE(SUBSTITUTE(SUBSTITUTE(IFERROR(IF(INDEX(INDIRECT("'WCM Calibration Final'!$E$1:$E$2000"),'Calculations'!$EM151)="","",TRIM(INDEX(INDIRECT("'WCM Calibration Final'!$E$1:$E$2000"),'Calculations'!$EM151)&amp;"")),""),"~","~~"),"*","~*"),"?","~?"))=1,INDEX('Calculations'!$HE$13:$HE$512,MATCH(IFERROR(IF(INDEX(INDIRECT("'WCM Calibration Final'!$E$1:$E$2000"),'Calculations'!$EM151)="","",TRIM(INDEX(INDIRECT("'WCM Calibration Final'!$E$1:$E$2000"),'Calculations'!$EM151)&amp;"")),""),'Calculations'!$HG$13:$HG$512,0)),IF(COUNTIF('Calculations'!$HG$13:$HG$512,"="&amp;SUBSTITUTE(SUBSTITUTE(SUBSTITUTE(IFERROR(IF(INDEX(INDIRECT("'WCM Calibration Final'!$E$1:$E$2000"),'Calculations'!$EM151)="","",TRIM(INDEX(INDIRECT("'WCM Calibration Final'!$E$1:$E$2000"),'Calculations'!$EM151)&amp;"")),""),"~","~~"),"*","~*"),"?","~?"))&gt;1,"!AMBIG","X:"&amp;IFERROR(IF(INDEX(INDIRECT("'WCM Calibration Final'!$E$1:$E$2000"),'Calculations'!$EM151)="","",TRIM(INDEX(INDIRECT("'WCM Calibration Final'!$E$1:$E$2000"),'Calculations'!$EM151)&amp;"")),""))))))</x:f>
      </x:c>
      <x:c r="HG151" t="str">
        <x:f>IF('Calculations'!EM151="","",IFERROR(IF(INDEX(INDIRECT("'WCM Calibration Final'!$B$1:$B$2000"),'Calculations'!$EM151)="","",TRIM(INDEX(INDIRECT("'WCM Calibration Final'!$B$1:$B$2000"),'Calculations'!$EM151)&amp;"")),""))</x:f>
      </x:c>
      <x:c r="HH151" t="n">
        <x:f>IF(AND('Calculations'!JC151&gt;0,COUNTIF('Calculations'!$HF$12:HF151,"="&amp;SUBSTITUTE(SUBSTITUTE(SUBSTITUTE('Calculations'!HF151,"~","~~"),"*","~*"),"?","~?"))=1),MAX('Calculations'!$HH$12:HH150)+1,0)</x:f>
        <x:v>0</x:v>
      </x:c>
      <x:c r="HI151" t="n">
        <x:f>IF(AND('Calculations'!HN151&lt;&gt;"",COUNTIF('Calculations'!$HN$12:HN151,"="&amp;SUBSTITUTE(SUBSTITUTE(SUBSTITUTE('Calculations'!HN151,"~","~~"),"*","~*"),"?","~?"))=1),MAX('Calculations'!$HI$12:HI150)+1,0)</x:f>
        <x:v>0</x:v>
      </x:c>
      <x:c r="HJ151" t="str">
        <x:f>IF('Calculations'!HF151="","",IF(COUNTIF('Calculations'!$HE$13:$HE$512,"="&amp;SUBSTITUTE(SUBSTITUTE(SUBSTITUTE('Calculations'!HF151,"~","~~"),"*","~*"),"?","~?"))=1,INDEX('Calculations'!$HK$13:$HK$512,MATCH('Calculations'!HF151,'Calculations'!$HE$13:$HE$512,0)),IFERROR(IF(INDEX(INDIRECT("'WCM Calibration Final'!$E$1:$E$2000"),'Calculations'!$EM151)="","",TRIM(INDEX(INDIRECT("'WCM Calibration Final'!$E$1:$E$2000"),'Calculations'!$EM151)&amp;"")),"")&amp;" ["&amp;'Calculations'!HF151&amp;"]"))</x:f>
      </x:c>
      <x:c r="HK151" t="str">
        <x:f>IF('Calculations'!EM151="","",'Calculations'!HG151&amp;" ["&amp;'Calculations'!HE151&amp;"]")</x:f>
      </x:c>
      <x:c r="HL151" t="n">
        <x:f>IF('Calculations'!EM151="",0,IF(OR('Calculations'!II151&lt;&gt;"",COUNTIF('Calculations'!$HE$13:$HE$512,"="&amp;SUBSTITUTE(SUBSTITUTE(SUBSTITUTE('Calculations'!HE151,"~","~~"),"*","~*"),"?","~?"))&gt;1),1,0))</x:f>
        <x:v>0</x:v>
      </x:c>
      <x:c r="HM151" t="str">
        <x:f>IF('Calculations'!EM151="","",IF('Calculations'!HL151=1,"!UNRESOLVED",IF('Calculations'!IH151&lt;&gt;"",'Calculations'!IH151,IF('Calculations'!IG151&lt;&gt;"",'Calculations'!IG151,IF('Calculations'!IF151&lt;&gt;"",'Calculations'!IF151,IF('Calculations'!IE151&lt;&gt;"",'Calculations'!IE151,IF('Calculations'!ID151&lt;&gt;"",'Calculations'!ID151,IF('Calculations'!IC151&lt;&gt;"",'Calculations'!IC151,IF('Calculations'!IB151&lt;&gt;"",'Calculations'!IB151,IF('Calculations'!IA151&lt;&gt;"",'Calculations'!IA151,IF('Calculations'!HZ151&lt;&gt;"",'Calculations'!HZ151,IF('Calculations'!HY151&lt;&gt;"",'Calculations'!HY151,IF('Calculations'!HX151&lt;&gt;"",'Calculations'!HX151,IF('Calculations'!HW151&lt;&gt;"",'Calculations'!HW151,IF('Calculations'!HV151&lt;&gt;"",'Calculations'!HV151,IF('Calculations'!HU151&lt;&gt;"",'Calculations'!HU151,IF('Calculations'!HT151&lt;&gt;"",'Calculations'!HT151,IF('Calculations'!HS151&lt;&gt;"",'Calculations'!HS151,IF('Calculations'!HR151&lt;&gt;"",'Calculations'!HR151,IF('Calculations'!HQ151&lt;&gt;"",'Calculations'!HQ151,IF('Calculations'!HP151&lt;&gt;"",'Calculations'!HP151,IF('Calculations'!HO151&lt;&gt;"",'Calculations'!HO151,'Calculations'!HE151))))))))))))))))))))))</x:f>
      </x:c>
      <x:c r="HN151" t="str">
        <x:f>IF('Calculations'!EM151="","",IF(IFERROR(IF(INDEX(INDIRECT("'WCM Calibration Final'!$F$1:$F$2000"),'Calculations'!$EM151)="","",TRIM(INDEX(INDIRECT("'WCM Calibration Final'!$F$1:$F$2000"),'Calculations'!$EM151)&amp;"")),"")="","(Blank)",IFERROR(IF(INDEX(INDIRECT("'WCM Calibration Final'!$F$1:$F$2000"),'Calculations'!$EM151)="","",TRIM(INDEX(INDIRECT("'WCM Calibration Final'!$F$1:$F$2000"),'Calculations'!$EM151)&amp;"")),"")))</x:f>
      </x:c>
      <x:c r="HO151" t="str">
        <x:f>'Calculations'!HF151</x:f>
      </x:c>
      <x:c r="HP151" t="str">
        <x:f>IF('Calculations'!HO151="","",IF('Calculations'!HO151="!AMBIG","!AMBIG",IF(COUNTIF('Calculations'!$HE$13:$HE$512,"="&amp;SUBSTITUTE(SUBSTITUTE(SUBSTITUTE('Calculations'!HO151,"~","~~"),"*","~*"),"?","~?"))&gt;1,"!AMBIG",IFERROR(INDEX('Calculations'!$HF$13:$HF$512,MATCH('Calculations'!HO151,'Calculations'!$HE$13:$HE$512,0)),""))))</x:f>
      </x:c>
      <x:c r="HQ151" t="str">
        <x:f>IF('Calculations'!HP151="","",IF('Calculations'!HP151="!AMBIG","!AMBIG",IF(COUNTIF('Calculations'!$HE$13:$HE$512,"="&amp;SUBSTITUTE(SUBSTITUTE(SUBSTITUTE('Calculations'!HP151,"~","~~"),"*","~*"),"?","~?"))&gt;1,"!AMBIG",IFERROR(INDEX('Calculations'!$HF$13:$HF$512,MATCH('Calculations'!HP151,'Calculations'!$HE$13:$HE$512,0)),""))))</x:f>
      </x:c>
      <x:c r="HR151" t="str">
        <x:f>IF('Calculations'!HQ151="","",IF('Calculations'!HQ151="!AMBIG","!AMBIG",IF(COUNTIF('Calculations'!$HE$13:$HE$512,"="&amp;SUBSTITUTE(SUBSTITUTE(SUBSTITUTE('Calculations'!HQ151,"~","~~"),"*","~*"),"?","~?"))&gt;1,"!AMBIG",IFERROR(INDEX('Calculations'!$HF$13:$HF$512,MATCH('Calculations'!HQ151,'Calculations'!$HE$13:$HE$512,0)),""))))</x:f>
      </x:c>
      <x:c r="HS151" t="str">
        <x:f>IF('Calculations'!HR151="","",IF('Calculations'!HR151="!AMBIG","!AMBIG",IF(COUNTIF('Calculations'!$HE$13:$HE$512,"="&amp;SUBSTITUTE(SUBSTITUTE(SUBSTITUTE('Calculations'!HR151,"~","~~"),"*","~*"),"?","~?"))&gt;1,"!AMBIG",IFERROR(INDEX('Calculations'!$HF$13:$HF$512,MATCH('Calculations'!HR151,'Calculations'!$HE$13:$HE$512,0)),""))))</x:f>
      </x:c>
      <x:c r="HT151" t="str">
        <x:f>IF('Calculations'!HS151="","",IF('Calculations'!HS151="!AMBIG","!AMBIG",IF(COUNTIF('Calculations'!$HE$13:$HE$512,"="&amp;SUBSTITUTE(SUBSTITUTE(SUBSTITUTE('Calculations'!HS151,"~","~~"),"*","~*"),"?","~?"))&gt;1,"!AMBIG",IFERROR(INDEX('Calculations'!$HF$13:$HF$512,MATCH('Calculations'!HS151,'Calculations'!$HE$13:$HE$512,0)),""))))</x:f>
      </x:c>
      <x:c r="HU151" t="str">
        <x:f>IF('Calculations'!HT151="","",IF('Calculations'!HT151="!AMBIG","!AMBIG",IF(COUNTIF('Calculations'!$HE$13:$HE$512,"="&amp;SUBSTITUTE(SUBSTITUTE(SUBSTITUTE('Calculations'!HT151,"~","~~"),"*","~*"),"?","~?"))&gt;1,"!AMBIG",IFERROR(INDEX('Calculations'!$HF$13:$HF$512,MATCH('Calculations'!HT151,'Calculations'!$HE$13:$HE$512,0)),""))))</x:f>
      </x:c>
      <x:c r="HV151" t="str">
        <x:f>IF('Calculations'!HU151="","",IF('Calculations'!HU151="!AMBIG","!AMBIG",IF(COUNTIF('Calculations'!$HE$13:$HE$512,"="&amp;SUBSTITUTE(SUBSTITUTE(SUBSTITUTE('Calculations'!HU151,"~","~~"),"*","~*"),"?","~?"))&gt;1,"!AMBIG",IFERROR(INDEX('Calculations'!$HF$13:$HF$512,MATCH('Calculations'!HU151,'Calculations'!$HE$13:$HE$512,0)),""))))</x:f>
      </x:c>
      <x:c r="HW151" t="str">
        <x:f>IF('Calculations'!HV151="","",IF('Calculations'!HV151="!AMBIG","!AMBIG",IF(COUNTIF('Calculations'!$HE$13:$HE$512,"="&amp;SUBSTITUTE(SUBSTITUTE(SUBSTITUTE('Calculations'!HV151,"~","~~"),"*","~*"),"?","~?"))&gt;1,"!AMBIG",IFERROR(INDEX('Calculations'!$HF$13:$HF$512,MATCH('Calculations'!HV151,'Calculations'!$HE$13:$HE$512,0)),""))))</x:f>
      </x:c>
      <x:c r="HX151" t="str">
        <x:f>IF('Calculations'!HW151="","",IF('Calculations'!HW151="!AMBIG","!AMBIG",IF(COUNTIF('Calculations'!$HE$13:$HE$512,"="&amp;SUBSTITUTE(SUBSTITUTE(SUBSTITUTE('Calculations'!HW151,"~","~~"),"*","~*"),"?","~?"))&gt;1,"!AMBIG",IFERROR(INDEX('Calculations'!$HF$13:$HF$512,MATCH('Calculations'!HW151,'Calculations'!$HE$13:$HE$512,0)),""))))</x:f>
      </x:c>
      <x:c r="HY151" t="str">
        <x:f>IF('Calculations'!HX151="","",IF('Calculations'!HX151="!AMBIG","!AMBIG",IF(COUNTIF('Calculations'!$HE$13:$HE$512,"="&amp;SUBSTITUTE(SUBSTITUTE(SUBSTITUTE('Calculations'!HX151,"~","~~"),"*","~*"),"?","~?"))&gt;1,"!AMBIG",IFERROR(INDEX('Calculations'!$HF$13:$HF$512,MATCH('Calculations'!HX151,'Calculations'!$HE$13:$HE$512,0)),""))))</x:f>
      </x:c>
      <x:c r="HZ151" t="str">
        <x:f>IF('Calculations'!HY151="","",IF('Calculations'!HY151="!AMBIG","!AMBIG",IF(COUNTIF('Calculations'!$HE$13:$HE$512,"="&amp;SUBSTITUTE(SUBSTITUTE(SUBSTITUTE('Calculations'!HY151,"~","~~"),"*","~*"),"?","~?"))&gt;1,"!AMBIG",IFERROR(INDEX('Calculations'!$HF$13:$HF$512,MATCH('Calculations'!HY151,'Calculations'!$HE$13:$HE$512,0)),""))))</x:f>
      </x:c>
      <x:c r="IA151" t="str">
        <x:f>IF('Calculations'!HZ151="","",IF('Calculations'!HZ151="!AMBIG","!AMBIG",IF(COUNTIF('Calculations'!$HE$13:$HE$512,"="&amp;SUBSTITUTE(SUBSTITUTE(SUBSTITUTE('Calculations'!HZ151,"~","~~"),"*","~*"),"?","~?"))&gt;1,"!AMBIG",IFERROR(INDEX('Calculations'!$HF$13:$HF$512,MATCH('Calculations'!HZ151,'Calculations'!$HE$13:$HE$512,0)),""))))</x:f>
      </x:c>
      <x:c r="IB151" t="str">
        <x:f>IF('Calculations'!IA151="","",IF('Calculations'!IA151="!AMBIG","!AMBIG",IF(COUNTIF('Calculations'!$HE$13:$HE$512,"="&amp;SUBSTITUTE(SUBSTITUTE(SUBSTITUTE('Calculations'!IA151,"~","~~"),"*","~*"),"?","~?"))&gt;1,"!AMBIG",IFERROR(INDEX('Calculations'!$HF$13:$HF$512,MATCH('Calculations'!IA151,'Calculations'!$HE$13:$HE$512,0)),""))))</x:f>
      </x:c>
      <x:c r="IC151" t="str">
        <x:f>IF('Calculations'!IB151="","",IF('Calculations'!IB151="!AMBIG","!AMBIG",IF(COUNTIF('Calculations'!$HE$13:$HE$512,"="&amp;SUBSTITUTE(SUBSTITUTE(SUBSTITUTE('Calculations'!IB151,"~","~~"),"*","~*"),"?","~?"))&gt;1,"!AMBIG",IFERROR(INDEX('Calculations'!$HF$13:$HF$512,MATCH('Calculations'!IB151,'Calculations'!$HE$13:$HE$512,0)),""))))</x:f>
      </x:c>
      <x:c r="ID151" t="str">
        <x:f>IF('Calculations'!IC151="","",IF('Calculations'!IC151="!AMBIG","!AMBIG",IF(COUNTIF('Calculations'!$HE$13:$HE$512,"="&amp;SUBSTITUTE(SUBSTITUTE(SUBSTITUTE('Calculations'!IC151,"~","~~"),"*","~*"),"?","~?"))&gt;1,"!AMBIG",IFERROR(INDEX('Calculations'!$HF$13:$HF$512,MATCH('Calculations'!IC151,'Calculations'!$HE$13:$HE$512,0)),""))))</x:f>
      </x:c>
      <x:c r="IE151" t="str">
        <x:f>IF('Calculations'!ID151="","",IF('Calculations'!ID151="!AMBIG","!AMBIG",IF(COUNTIF('Calculations'!$HE$13:$HE$512,"="&amp;SUBSTITUTE(SUBSTITUTE(SUBSTITUTE('Calculations'!ID151,"~","~~"),"*","~*"),"?","~?"))&gt;1,"!AMBIG",IFERROR(INDEX('Calculations'!$HF$13:$HF$512,MATCH('Calculations'!ID151,'Calculations'!$HE$13:$HE$512,0)),""))))</x:f>
      </x:c>
      <x:c r="IF151" t="str">
        <x:f>IF('Calculations'!IE151="","",IF('Calculations'!IE151="!AMBIG","!AMBIG",IF(COUNTIF('Calculations'!$HE$13:$HE$512,"="&amp;SUBSTITUTE(SUBSTITUTE(SUBSTITUTE('Calculations'!IE151,"~","~~"),"*","~*"),"?","~?"))&gt;1,"!AMBIG",IFERROR(INDEX('Calculations'!$HF$13:$HF$512,MATCH('Calculations'!IE151,'Calculations'!$HE$13:$HE$512,0)),""))))</x:f>
      </x:c>
      <x:c r="IG151" t="str">
        <x:f>IF('Calculations'!IF151="","",IF('Calculations'!IF151="!AMBIG","!AMBIG",IF(COUNTIF('Calculations'!$HE$13:$HE$512,"="&amp;SUBSTITUTE(SUBSTITUTE(SUBSTITUTE('Calculations'!IF151,"~","~~"),"*","~*"),"?","~?"))&gt;1,"!AMBIG",IFERROR(INDEX('Calculations'!$HF$13:$HF$512,MATCH('Calculations'!IF151,'Calculations'!$HE$13:$HE$512,0)),""))))</x:f>
      </x:c>
      <x:c r="IH151" t="str">
        <x:f>IF('Calculations'!IG151="","",IF('Calculations'!IG151="!AMBIG","!AMBIG",IF(COUNTIF('Calculations'!$HE$13:$HE$512,"="&amp;SUBSTITUTE(SUBSTITUTE(SUBSTITUTE('Calculations'!IG151,"~","~~"),"*","~*"),"?","~?"))&gt;1,"!AMBIG",IFERROR(INDEX('Calculations'!$HF$13:$HF$512,MATCH('Calculations'!IG151,'Calculations'!$HE$13:$HE$512,0)),""))))</x:f>
      </x:c>
      <x:c r="II151" t="str">
        <x:f>IF('Calculations'!IH151="","",IF('Calculations'!IH151="!AMBIG","!AMBIG",IF(COUNTIF('Calculations'!$HE$13:$HE$512,"="&amp;SUBSTITUTE(SUBSTITUTE(SUBSTITUTE('Calculations'!IH151,"~","~~"),"*","~*"),"?","~?"))&gt;1,"!AMBIG",IFERROR(INDEX('Calculations'!$HF$13:$HF$512,MATCH('Calculations'!IH151,'Calculations'!$HE$13:$HE$512,0)),""))))</x:f>
      </x:c>
      <x:c r="IJ151" t="str">
        <x:f>IF('Calculations'!EM151="","",IF('Calculations'!$EF$2="All",'Calculations'!HM151,IF('Calculations'!HL151=1,"",IFERROR(IF(MATCH('Calculations'!$EF$2,'Calculations'!HO151:II151,0)=1,'Calculations'!HE151,INDEX('Calculations'!HO151:II151,1,MATCH('Calculations'!$EF$2,'Calculations'!HO151:II151,0)-1)),""))))</x:f>
      </x:c>
      <x:c r="IK151" t="n">
        <x:f>IF(AND('Calculations'!EM151&lt;&gt;"",'Calculations'!$EF$2&lt;&gt;"All",'Calculations'!HF151='Calculations'!$EF$2,'Calculations'!HL151=0,'Calculations'!JD151&gt;0),MAX('Calculations'!$IK$12:IK150)+1,0)</x:f>
        <x:v>0</x:v>
      </x:c>
      <x:c r="JA151" t="n">
        <x:f>IF(OR(IFERROR(INDIRECT("'WCM Calibration Final'!$A$151")&lt;&gt;"",FALSE),IFERROR(INDIRECT("'WCM Calibration Final'!$B$151")&lt;&gt;"",FALSE),IFERROR(INDIRECT("'WCM Calibration Final'!$C$151")&lt;&gt;"",FALSE)),151,0)</x:f>
        <x:v>0</x:v>
      </x:c>
      <x:c r="JB151" t="n">
        <x:f>'Calculations'!JB150+IF('Calculations'!JA151&gt;0,1,0)</x:f>
        <x:v>0</x:v>
      </x:c>
      <x:c r="JC151" t="n">
        <x:f>IF(OR('Calculations'!HF151="",'Calculations'!HF151="!AMBIG"),0,IF('Dashboard'!$B$7="All",1,COUNTIFS('Calculations'!$HO$13:$HO$512,"="&amp;SUBSTITUTE(SUBSTITUTE(SUBSTITUTE('Calculations'!HF151,"~","~~"),"*","~*"),"?","~?"),'Calculations'!$HN$13:$HN$512,"="&amp;SUBSTITUTE(SUBSTITUTE(SUBSTITUTE('Dashboard'!$B$7,"~","~~"),"*","~*"),"?","~?"))+COUNTIFS('Calculations'!$HP$13:$HP$512,"="&amp;SUBSTITUTE(SUBSTITUTE(SUBSTITUTE('Calculations'!HF151,"~","~~"),"*","~*"),"?","~?"),'Calculations'!$HN$13:$HN$512,"="&amp;SUBSTITUTE(SUBSTITUTE(SUBSTITUTE('Dashboard'!$B$7,"~","~~"),"*","~*"),"?","~?"))+COUNTIFS('Calculations'!$HQ$13:$HQ$512,"="&amp;SUBSTITUTE(SUBSTITUTE(SUBSTITUTE('Calculations'!HF151,"~","~~"),"*","~*"),"?","~?"),'Calculations'!$HN$13:$HN$512,"="&amp;SUBSTITUTE(SUBSTITUTE(SUBSTITUTE('Dashboard'!$B$7,"~","~~"),"*","~*"),"?","~?"))+COUNTIFS('Calculations'!$HR$13:$HR$512,"="&amp;SUBSTITUTE(SUBSTITUTE(SUBSTITUTE('Calculations'!HF151,"~","~~"),"*","~*"),"?","~?"),'Calculations'!$HN$13:$HN$512,"="&amp;SUBSTITUTE(SUBSTITUTE(SUBSTITUTE('Dashboard'!$B$7,"~","~~"),"*","~*"),"?","~?"))+COUNTIFS('Calculations'!$HS$13:$HS$512,"="&amp;SUBSTITUTE(SUBSTITUTE(SUBSTITUTE('Calculations'!HF151,"~","~~"),"*","~*"),"?","~?"),'Calculations'!$HN$13:$HN$512,"="&amp;SUBSTITUTE(SUBSTITUTE(SUBSTITUTE('Dashboard'!$B$7,"~","~~"),"*","~*"),"?","~?"))+COUNTIFS('Calculations'!$HT$13:$HT$512,"="&amp;SUBSTITUTE(SUBSTITUTE(SUBSTITUTE('Calculations'!HF151,"~","~~"),"*","~*"),"?","~?"),'Calculations'!$HN$13:$HN$512,"="&amp;SUBSTITUTE(SUBSTITUTE(SUBSTITUTE('Dashboard'!$B$7,"~","~~"),"*","~*"),"?","~?"))+COUNTIFS('Calculations'!$HU$13:$HU$512,"="&amp;SUBSTITUTE(SUBSTITUTE(SUBSTITUTE('Calculations'!HF151,"~","~~"),"*","~*"),"?","~?"),'Calculations'!$HN$13:$HN$512,"="&amp;SUBSTITUTE(SUBSTITUTE(SUBSTITUTE('Dashboard'!$B$7,"~","~~"),"*","~*"),"?","~?"))+COUNTIFS('Calculations'!$HV$13:$HV$512,"="&amp;SUBSTITUTE(SUBSTITUTE(SUBSTITUTE('Calculations'!HF151,"~","~~"),"*","~*"),"?","~?"),'Calculations'!$HN$13:$HN$512,"="&amp;SUBSTITUTE(SUBSTITUTE(SUBSTITUTE('Dashboard'!$B$7,"~","~~"),"*","~*"),"?","~?"))+COUNTIFS('Calculations'!$HW$13:$HW$512,"="&amp;SUBSTITUTE(SUBSTITUTE(SUBSTITUTE('Calculations'!HF151,"~","~~"),"*","~*"),"?","~?"),'Calculations'!$HN$13:$HN$512,"="&amp;SUBSTITUTE(SUBSTITUTE(SUBSTITUTE('Dashboard'!$B$7,"~","~~"),"*","~*"),"?","~?"))+COUNTIFS('Calculations'!$HX$13:$HX$512,"="&amp;SUBSTITUTE(SUBSTITUTE(SUBSTITUTE('Calculations'!HF151,"~","~~"),"*","~*"),"?","~?"),'Calculations'!$HN$13:$HN$512,"="&amp;SUBSTITUTE(SUBSTITUTE(SUBSTITUTE('Dashboard'!$B$7,"~","~~"),"*","~*"),"?","~?"))+COUNTIFS('Calculations'!$HY$13:$HY$512,"="&amp;SUBSTITUTE(SUBSTITUTE(SUBSTITUTE('Calculations'!HF151,"~","~~"),"*","~*"),"?","~?"),'Calculations'!$HN$13:$HN$512,"="&amp;SUBSTITUTE(SUBSTITUTE(SUBSTITUTE('Dashboard'!$B$7,"~","~~"),"*","~*"),"?","~?"))+COUNTIFS('Calculations'!$HZ$13:$HZ$512,"="&amp;SUBSTITUTE(SUBSTITUTE(SUBSTITUTE('Calculations'!HF151,"~","~~"),"*","~*"),"?","~?"),'Calculations'!$HN$13:$HN$512,"="&amp;SUBSTITUTE(SUBSTITUTE(SUBSTITUTE('Dashboard'!$B$7,"~","~~"),"*","~*"),"?","~?"))+COUNTIFS('Calculations'!$IA$13:$IA$512,"="&amp;SUBSTITUTE(SUBSTITUTE(SUBSTITUTE('Calculations'!HF151,"~","~~"),"*","~*"),"?","~?"),'Calculations'!$HN$13:$HN$512,"="&amp;SUBSTITUTE(SUBSTITUTE(SUBSTITUTE('Dashboard'!$B$7,"~","~~"),"*","~*"),"?","~?"))+COUNTIFS('Calculations'!$IB$13:$IB$512,"="&amp;SUBSTITUTE(SUBSTITUTE(SUBSTITUTE('Calculations'!HF151,"~","~~"),"*","~*"),"?","~?"),'Calculations'!$HN$13:$HN$512,"="&amp;SUBSTITUTE(SUBSTITUTE(SUBSTITUTE('Dashboard'!$B$7,"~","~~"),"*","~*"),"?","~?"))+COUNTIFS('Calculations'!$IC$13:$IC$512,"="&amp;SUBSTITUTE(SUBSTITUTE(SUBSTITUTE('Calculations'!HF151,"~","~~"),"*","~*"),"?","~?"),'Calculations'!$HN$13:$HN$512,"="&amp;SUBSTITUTE(SUBSTITUTE(SUBSTITUTE('Dashboard'!$B$7,"~","~~"),"*","~*"),"?","~?"))+COUNTIFS('Calculations'!$ID$13:$ID$512,"="&amp;SUBSTITUTE(SUBSTITUTE(SUBSTITUTE('Calculations'!HF151,"~","~~"),"*","~*"),"?","~?"),'Calculations'!$HN$13:$HN$512,"="&amp;SUBSTITUTE(SUBSTITUTE(SUBSTITUTE('Dashboard'!$B$7,"~","~~"),"*","~*"),"?","~?"))+COUNTIFS('Calculations'!$IE$13:$IE$512,"="&amp;SUBSTITUTE(SUBSTITUTE(SUBSTITUTE('Calculations'!HF151,"~","~~"),"*","~*"),"?","~?"),'Calculations'!$HN$13:$HN$512,"="&amp;SUBSTITUTE(SUBSTITUTE(SUBSTITUTE('Dashboard'!$B$7,"~","~~"),"*","~*"),"?","~?"))+COUNTIFS('Calculations'!$IF$13:$IF$512,"="&amp;SUBSTITUTE(SUBSTITUTE(SUBSTITUTE('Calculations'!HF151,"~","~~"),"*","~*"),"?","~?"),'Calculations'!$HN$13:$HN$512,"="&amp;SUBSTITUTE(SUBSTITUTE(SUBSTITUTE('Dashboard'!$B$7,"~","~~"),"*","~*"),"?","~?"))+COUNTIFS('Calculations'!$IG$13:$IG$512,"="&amp;SUBSTITUTE(SUBSTITUTE(SUBSTITUTE('Calculations'!HF151,"~","~~"),"*","~*"),"?","~?"),'Calculations'!$HN$13:$HN$512,"="&amp;SUBSTITUTE(SUBSTITUTE(SUBSTITUTE('Dashboard'!$B$7,"~","~~"),"*","~*"),"?","~?"))+COUNTIFS('Calculations'!$IH$13:$IH$512,"="&amp;SUBSTITUTE(SUBSTITUTE(SUBSTITUTE('Calculations'!HF151,"~","~~"),"*","~*"),"?","~?"),'Calculations'!$HN$13:$HN$512,"="&amp;SUBSTITUTE(SUBSTITUTE(SUBSTITUTE('Dashboard'!$B$7,"~","~~"),"*","~*"),"?","~?"))))</x:f>
        <x:v>0</x:v>
      </x:c>
      <x:c r="JD151" t="n">
        <x:f>IF('Calculations'!EM151="",0,IF('Dashboard'!$B$7="All",1,IF('Calculations'!HN151='Dashboard'!$B$7,1,0)+IFERROR(INDEX('Calculations'!$JC$13:$JC$512,MATCH('Calculations'!HE151,'Calculations'!$HF$13:$HF$512,0)),0)))</x:f>
        <x:v>0</x:v>
      </x:c>
      <x:c r="JE151" t="n">
        <x:f>IF(AND('Calculations'!EM151&lt;&gt;"",'Calculations'!$JJ$2&lt;&gt;"All",'Calculations'!$JJ$2&lt;&gt;"",'Calculations'!HF151='Calculations'!$JJ$2,'Calculations'!HL151=0,'Calculations'!JD151&gt;0),MAX('Calculations'!$JE$12:JE150)+1,0)</x:f>
        <x:v>0</x:v>
      </x:c>
      <x:c r="JF151" t="str">
        <x:f>IF('Calculations'!EM151="","",IFERROR(IF(INDEX(INDIRECT("'WCM Calibration Final'!$G$1:$G$2000"),'Calculations'!$EM151)="","",TRIM(INDEX(INDIRECT("'WCM Calibration Final'!$G$1:$G$2000"),'Calculations'!$EM151)&amp;"")),""))</x:f>
      </x:c>
      <x:c r="JQ151" t="n">
        <x:f>IF(OR('Calculations'!BM151=0,NOT('Calculations'!$AG$2),'Calculations'!$AG$8&gt;0),0,IF(OR('Dashboard'!$B$7="All",'Calculations'!HN151='Dashboard'!$B$7),IF('Calculations'!$JJ$2="All",1,IF(AND('Calculations'!HF151='Calculations'!$JJ$2,'Calculations'!HL151=0),1,0)),0))</x:f>
        <x:v>0</x:v>
      </x:c>
    </x:row>
    <x:row r="152">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t="n">
        <x:f>IF('Calculations'!$EM152="",0,IF(OR(IFERROR(INDEX(INDIRECT("'WCM Calibration Final'!$A$1:$A$2000"),'Calculations'!$EM152)&lt;&gt;"",FALSE),IFERROR(INDEX(INDIRECT("'WCM Calibration Final'!$B$1:$B$2000"),'Calculations'!$EM152)&lt;&gt;"",FALSE),IFERROR(INDEX(INDIRECT("'WCM Calibration Final'!$C$1:$C$2000"),'Calculations'!$EM152)&lt;&gt;"",FALSE)),1,0))</x:f>
        <x:v>0</x:v>
      </x:c>
      <x:c r="BN152" s="4" t="n">
        <x:f>IF(AND('Calculations'!BM152=1,'Calculations'!$AG$2,'Calculations'!$EN152=1),1,0)</x:f>
        <x:v>0</x:v>
      </x:c>
      <x:c r="BO152" s="4" t="str">
        <x:f>IF('Calculations'!BM152=0,"",IFERROR(IF(AND(VALUE(INDEX(INDIRECT("'WCM Calibration Final'!$K$1:$K$2000"),'Calculations'!$EM152))&gt;=1,VALUE(INDEX(INDIRECT("'WCM Calibration Final'!$K$1:$K$2000"),'Calculations'!$EM152))&lt;=4,MOD(VALUE(INDEX(INDIRECT("'WCM Calibration Final'!$K$1:$K$2000"),'Calculations'!$EM152)),1)=0),VALUE(INDEX(INDIRECT("'WCM Calibration Final'!$K$1:$K$2000"),'Calculations'!$EM152)),""),""))</x:f>
      </x:c>
      <x:c r="BP152" s="4" t="str">
        <x:f>IF('Calculations'!BM152=0,"",IFERROR(IF(AND(VALUE(INDEX(INDIRECT("'WCM Calibration Final'!$L$1:$L$2000"),'Calculations'!$EM152))&gt;=1,VALUE(INDEX(INDIRECT("'WCM Calibration Final'!$L$1:$L$2000"),'Calculations'!$EM152))&lt;=4,MOD(VALUE(INDEX(INDIRECT("'WCM Calibration Final'!$L$1:$L$2000"),'Calculations'!$EM152)),1)=0),VALUE(INDEX(INDIRECT("'WCM Calibration Final'!$L$1:$L$2000"),'Calculations'!$EM152)),""),""))</x:f>
      </x:c>
      <x:c r="BQ152" s="4"/>
      <x:c r="BR152" s="4"/>
      <x:c r="BS152" s="4"/>
      <x:c r="BT152" s="4" t="n">
        <x:f>IF(AND('Calculations'!BM152=1,ISNUMBER('Calculations'!BO152),ISNUMBER('Calculations'!BP152)),1,0)</x:f>
        <x:v>0</x:v>
      </x:c>
      <x:c r="BU152" s="4" t="str">
        <x:f>IF('Calculations'!BM152=0,"",'Calculations'!$EO152)</x:f>
      </x:c>
      <x:c r="BV152" s="4" t="str">
        <x:f>IF('Calculations'!BM152=0,"",IFERROR(IF(OR(INDEX(INDIRECT("'WCM Calibration Final'!$H$1:$H$2000"),'Calculations'!$EM152)="MANAGING DIRECTOR",INDEX(INDIRECT("'WCM Calibration Final'!$H$1:$H$2000"),'Calculations'!$EM152)="DIRECTOR",INDEX(INDIRECT("'WCM Calibration Final'!$H$1:$H$2000"),'Calculations'!$EM152)="SENIOR VICE PRESIDENT",INDEX(INDIRECT("'WCM Calibration Final'!$H$1:$H$2000"),'Calculations'!$EM152)="VICE PRESIDENT",INDEX(INDIRECT("'WCM Calibration Final'!$H$1:$H$2000"),'Calculations'!$EM152)="ASSISTANT VICE PRESIDENT",INDEX(INDIRECT("'WCM Calibration Final'!$H$1:$H$2000"),'Calculations'!$EM152)="OFFICER"),UPPER(INDEX(INDIRECT("'WCM Calibration Final'!$H$1:$H$2000"),'Calculations'!$EM152)),"Other"),"Other"))</x:f>
      </x:c>
      <x:c r="BW152" s="4"/>
      <x:c r="BX152" s="4"/>
      <x:c r="BY152" s="4" t="n">
        <x:f>IF(AND('Calculations'!BM152=1,'Calculations'!BU152&lt;&gt;"",COUNTIF('Calculations'!$BU$12:BU152,'Calculations'!BU152)=1),MAX('Calculations'!$BY$11:BY151)+1,0)</x:f>
        <x:v>0</x:v>
      </x:c>
      <x:c r="BZ152" s="4" t="str">
        <x:f>IF('Dashboard'!$E$67="What",'Calculations'!BO152,'Calculations'!BP152)</x:f>
      </x:c>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t="str">
        <x:f>IF(141&gt;MAX('Calculations'!$HI$13:$HI$512),"",INDEX('Calculations'!$HN$13:$HN$512,MATCH(141,'Calculations'!$HI$13:$HI$512,0)))</x:f>
      </x:c>
      <x:c r="DB152" s="4" t="str">
        <x:f>IF(141&gt;MAX('Calculations'!$HH$13:$HH$512),"",INDEX('Calculations'!$HJ$13:$HJ$512,MATCH(141,'Calculations'!$HH$13:$HH$512,0)))</x:f>
      </x:c>
      <x:c r="DC152" s="4" t="str">
        <x:f>IF(ROW()-11&gt;MAX('Calculations'!$BY$13:$BY$512),"",INDEX('Calculations'!$BU$13:$BU$512,MATCH(ROW()-11,'Calculations'!$BY$13:$BY$512,0)))</x:f>
      </x:c>
      <x:c r="DD152" s="4" t="str">
        <x:f>IF(141&gt;MAX('Calculations'!$IK$13:$IK$512),"",INDEX('Calculations'!$HK$13:$HK$512,MATCH(141,'Calculations'!$IK$13:$IK$512,0)))</x:f>
      </x:c>
      <x:c r="DE152" s="4" t="str">
        <x:f>'Calculations'!DC152</x:f>
      </x:c>
      <x:c r="DF152" s="4" t="str">
        <x:f>IF('Calculations'!DE152="","",COUNTIFS('Calculations'!$BN$13:$BN$512,1,'Calculations'!$BU$13:$BU$512,'Calculations'!DE152))</x:f>
      </x:c>
      <x:c r="DG152" s="4" t="str">
        <x:f>IF('Calculations'!DE152="","",COUNTIFS('Calculations'!$BN$13:$BN$512,1,'Calculations'!$BU$13:$BU$512,'Calculations'!DE152,'Calculations'!$BT$13:$BT$512,1))</x:f>
      </x:c>
      <x:c r="DH152" s="4" t="str">
        <x:f>IF('Calculations'!DE152="","",'Calculations'!DF152-'Calculations'!DG152)</x:f>
      </x:c>
      <x:c r="DI152" s="4" t="str">
        <x:f>IF(OR('Calculations'!DE152="",'Calculations'!DF152=0),"",'Calculations'!DG152/'Calculations'!DF152)</x:f>
      </x:c>
      <x:c r="DJ152" s="4" t="str">
        <x:f>IF('Calculations'!DE152="","",COUNTIFS('Calculations'!$BN$13:$BN$512,1,'Calculations'!$BU$13:$BU$512,'Calculations'!DE152,'Calculations'!$BT$13:$BT$512,1,'Calculations'!$EE$13:$EE$512,"High"))</x:f>
      </x:c>
      <x:c r="DK152" s="4" t="str">
        <x:f>IF('Calculations'!DE152="","",COUNTIFS('Calculations'!$BN$13:$BN$512,1,'Calculations'!$BU$13:$BU$512,'Calculations'!DE152,'Calculations'!$BT$13:$BT$512,1,'Calculations'!$EE$13:$EE$512,"Strong"))</x:f>
      </x:c>
      <x:c r="DL152" s="4" t="str">
        <x:f>IF('Calculations'!DE152="","",COUNTIFS('Calculations'!$BN$13:$BN$512,1,'Calculations'!$BU$13:$BU$512,'Calculations'!DE152,'Calculations'!$BT$13:$BT$512,1,'Calculations'!$EE$13:$EE$512,"Solid"))</x:f>
      </x:c>
      <x:c r="DM152" s="4" t="str">
        <x:f>IF('Calculations'!DE152="","",COUNTIFS('Calculations'!$BN$13:$BN$512,1,'Calculations'!$BU$13:$BU$512,'Calculations'!DE152,'Calculations'!$BT$13:$BT$512,1,'Calculations'!$EE$13:$EE$512,"Low"))</x:f>
      </x:c>
      <x:c r="DN152" s="4" t="str">
        <x:f>IF('Calculations'!DE152="","",COUNTIFS('Calculations'!$BN$13:$BN$512,1,'Calculations'!$BU$13:$BU$512,'Calculations'!DE152,'Calculations'!$EP$13:$EP$512,1))</x:f>
      </x:c>
      <x:c r="DO152" s="4" t="str">
        <x:f>IF(OR('Calculations'!DE152="",'Calculations'!DG152=0),"",('Calculations'!DJ152+'Calculations'!DK152)/'Calculations'!DG152)</x:f>
      </x:c>
      <x:c r="DP152" s="4" t="n">
        <x:f>IF(AND('Calculations'!DE152&lt;&gt;"",'Calculations'!DF152&gt;0),COUNTIF('Calculations'!$DF$12:DF152,"&gt;0"),0)</x:f>
        <x:v>0</x:v>
      </x:c>
      <x:c r="DQ152" s="4" t="str">
        <x:f>IF(141&gt;MAX('Calculations'!$HH$13:$HH$512),"",INDEX('Calculations'!$HF$13:$HF$512,MATCH(141,'Calculations'!$HH$13:$HH$512,0)))</x:f>
      </x:c>
      <x:c r="DR152" s="4" t="str">
        <x:f>IF(141&gt;MAX('Calculations'!$IK$13:$IK$512),"",INDEX('Calculations'!$HE$13:$HE$512,MATCH(141,'Calculations'!$IK$13:$IK$512,0)))</x:f>
      </x:c>
      <x:c r="DS152" s="4"/>
      <x:c r="DT152" s="4"/>
      <x:c r="DU152" s="4"/>
      <x:c r="DV152" s="4"/>
      <x:c r="DW152" s="4"/>
      <x:c r="DX152" s="4"/>
      <x:c r="DY152" s="4"/>
      <x:c r="DZ152" s="4"/>
      <x:c r="EA152" s="4"/>
      <x:c r="EB152" s="4"/>
      <x:c r="EC152" s="4"/>
      <x:c r="ED152" s="4"/>
      <x:c r="EE152" s="4" t="str">
        <x:f>IF('Calculations'!BT152=0,"Not Rated",IF(OR('Calculations'!BO152&gt;=4,'Calculations'!BP152&gt;=4),"Low",IF('Calculations'!BO152+'Calculations'!BP152&lt;=3,"High",IF('Calculations'!BO152+'Calculations'!BP152&lt;=4,"Strong","Solid"))))</x:f>
        <x:v>Not Rated</x:v>
      </x:c>
      <x:c r="EF152" s="4"/>
      <x:c r="EG152" s="4"/>
      <x:c r="EH152" s="4"/>
      <x:c r="EI152" s="4"/>
      <x:c r="EJ152" s="4"/>
      <x:c r="EK152" s="4"/>
      <x:c r="EL152" s="4"/>
      <x:c r="EM152" s="4" t="str">
        <x:f>IF(140&gt;'Calculations'!$JB$2000,"",INDEX('Calculations'!$JA$12:$JA$2000,MATCH(140,'Calculations'!$JB$12:$JB$2000,0)))</x:f>
      </x:c>
      <x:c r="EN152" s="4" t="n">
        <x:f>IF(OR('Calculations'!EM152="",'Calculations'!$AG$8&gt;0,AND('Calculations'!$EF$2&lt;&gt;"All",'Calculations'!HE152='Calculations'!$EF$2),AND('Calculations'!$EF$3&lt;&gt;"All",'Calculations'!HE152='Calculations'!$EF$3)),0,IF(OR('Dashboard'!$B$7="All",'Calculations'!HN152='Dashboard'!$B$7),IF('Calculations'!$EF$2="All",1,IF('Calculations'!HL152&gt;0,0,IF(COUNTIF('Calculations'!HO152:II152,"="&amp;SUBSTITUTE(SUBSTITUTE(SUBSTITUTE('Calculations'!$EF$2,"~","~~"),"*","~*"),"?","~?"))=0,0,IF('Calculations'!$EF$3="All",1,IF(COUNTIF('Calculations'!HO152:II152,"="&amp;SUBSTITUTE(SUBSTITUTE(SUBSTITUTE('Calculations'!$EF$3,"~","~~"),"*","~*"),"?","~?"))&gt;0,1,0))))),0))</x:f>
        <x:v>0</x:v>
      </x:c>
      <x:c r="EO152" s="4" t="str">
        <x:f>IF('Calculations'!IJ152="","",IF('Calculations'!IJ152="!UNRESOLVED","Unresolved hierarchy",IFERROR(INDEX('Calculations'!$HK$13:$HK$512,MATCH('Calculations'!IJ152,'Calculations'!$HE$13:$HE$512,0)),IFERROR(INDEX('Calculations'!$HJ$13:$HJ$512,MATCH('Calculations'!IJ152,'Calculations'!$HF$13:$HF$512,0)),'Calculations'!IJ152))))</x:f>
      </x:c>
      <x:c r="EP152" s="4" t="n">
        <x:f>IF(AND('Calculations'!EM152&lt;&gt;"",'Calculations'!HF152='Calculations'!IJ152),1,0)</x:f>
        <x:v>0</x:v>
      </x:c>
      <x:c r="EQ152" s="4"/>
      <x:c r="ER152" s="4"/>
      <x:c r="ES152" s="4"/>
      <x:c r="ET152" s="4"/>
      <x:c r="EU152" s="4"/>
      <x:c r="EV152" s="4"/>
      <x:c r="EW152" s="4"/>
      <x:c r="EX152" s="4"/>
      <x:c r="EY152" s="4"/>
      <x:c r="EZ152" s="4"/>
      <x:c r="FA152" s="4"/>
      <x:c r="FB152" s="4"/>
      <x:c r="FC152" s="4"/>
      <x:c r="FD152" s="4"/>
      <x:c r="FE152" s="4"/>
      <x:c r="FF152" s="4"/>
      <x:c r="FG152" s="4"/>
      <x:c r="FH152" s="4"/>
      <x:c r="FI152" s="4"/>
      <x:c r="FJ152" s="4"/>
      <x:c r="FK152" s="4"/>
      <x:c r="FL152" s="4"/>
      <x:c r="FM152" s="4"/>
      <x:c r="FN152" s="4"/>
      <x:c r="FO152" s="4"/>
      <x:c r="GA152" s="71"/>
      <x:c r="GB152" s="71"/>
      <x:c r="GC152" s="71"/>
      <x:c r="GD152" s="71"/>
      <x:c r="GE152" s="71"/>
      <x:c r="GF152" s="71"/>
      <x:c r="GG152" s="71"/>
      <x:c r="GH152" s="71"/>
      <x:c r="GI152" s="71"/>
      <x:c r="GJ152" s="71"/>
      <x:c r="GK152" s="71"/>
      <x:c r="GL152" s="71"/>
      <x:c r="GM152" s="71"/>
      <x:c r="GN152" s="71"/>
      <x:c r="GO152" s="71"/>
      <x:c r="GP152" s="71"/>
      <x:c r="GQ152" s="71"/>
      <x:c r="GR152" s="71"/>
      <x:c r="GS152" s="71"/>
      <x:c r="GT152" s="71"/>
      <x:c r="GU152" s="71"/>
      <x:c r="GV152" s="71"/>
      <x:c r="GW152" s="71"/>
      <x:c r="GX152" s="71"/>
      <x:c r="GY152" s="71"/>
      <x:c r="GZ152" s="71"/>
      <x:c r="HA152" s="71"/>
      <x:c r="HB152" s="71"/>
      <x:c r="HC152" s="71"/>
      <x:c r="HD152" s="71"/>
      <x:c r="HE152" t="str">
        <x:f>IF('Calculations'!EM152="","",IF(IFERROR(IF(INDEX(INDIRECT("'WCM Calibration Final'!$A$1:$A$2000"),'Calculations'!$EM152)="","",TRIM(INDEX(INDIRECT("'WCM Calibration Final'!$A$1:$A$2000"),'Calculations'!$EM152)&amp;"")),"")&lt;&gt;"","G:"&amp;IFERROR(TEXT(1*INDEX(INDIRECT("'WCM Calibration Final'!$A$1:$A$2000"),'Calculations'!$EM152),"0"),UPPER(IFERROR(IF(INDEX(INDIRECT("'WCM Calibration Final'!$A$1:$A$2000"),'Calculations'!$EM152)="","",TRIM(INDEX(INDIRECT("'WCM Calibration Final'!$A$1:$A$2000"),'Calculations'!$EM152)&amp;"")),""))),IF(IFERROR(IF(INDEX(INDIRECT("'WCM Calibration Final'!$C$1:$C$2000"),'Calculations'!$EM152)="","",TRIM(INDEX(INDIRECT("'WCM Calibration Final'!$C$1:$C$2000"),'Calculations'!$EM152)&amp;"")),"")&lt;&gt;"","S:"&amp;UPPER(IFERROR(IF(INDEX(INDIRECT("'WCM Calibration Final'!$C$1:$C$2000"),'Calculations'!$EM152)="","",TRIM(INDEX(INDIRECT("'WCM Calibration Final'!$C$1:$C$2000"),'Calculations'!$EM152)&amp;"")),"")),"R:"&amp;'Calculations'!EM152)))</x:f>
      </x:c>
      <x:c r="HF152" t="str">
        <x:f>IF('Calculations'!EM152="","",IF(IFERROR(IF(INDEX(INDIRECT("'WCM Calibration Final'!$D$1:$D$2000"),'Calculations'!$EM152)="","",TRIM(INDEX(INDIRECT("'WCM Calibration Final'!$D$1:$D$2000"),'Calculations'!$EM152)&amp;"")),"")&lt;&gt;"","G:"&amp;IFERROR(TEXT(1*INDEX(INDIRECT("'WCM Calibration Final'!$D$1:$D$2000"),'Calculations'!$EM152),"0"),UPPER(IFERROR(IF(INDEX(INDIRECT("'WCM Calibration Final'!$D$1:$D$2000"),'Calculations'!$EM152)="","",TRIM(INDEX(INDIRECT("'WCM Calibration Final'!$D$1:$D$2000"),'Calculations'!$EM152)&amp;"")),""))),IF(IFERROR(IF(INDEX(INDIRECT("'WCM Calibration Final'!$E$1:$E$2000"),'Calculations'!$EM152)="","",TRIM(INDEX(INDIRECT("'WCM Calibration Final'!$E$1:$E$2000"),'Calculations'!$EM152)&amp;"")),"")="","",IF(COUNTIF('Calculations'!$HG$13:$HG$512,"="&amp;SUBSTITUTE(SUBSTITUTE(SUBSTITUTE(IFERROR(IF(INDEX(INDIRECT("'WCM Calibration Final'!$E$1:$E$2000"),'Calculations'!$EM152)="","",TRIM(INDEX(INDIRECT("'WCM Calibration Final'!$E$1:$E$2000"),'Calculations'!$EM152)&amp;"")),""),"~","~~"),"*","~*"),"?","~?"))=1,INDEX('Calculations'!$HE$13:$HE$512,MATCH(IFERROR(IF(INDEX(INDIRECT("'WCM Calibration Final'!$E$1:$E$2000"),'Calculations'!$EM152)="","",TRIM(INDEX(INDIRECT("'WCM Calibration Final'!$E$1:$E$2000"),'Calculations'!$EM152)&amp;"")),""),'Calculations'!$HG$13:$HG$512,0)),IF(COUNTIF('Calculations'!$HG$13:$HG$512,"="&amp;SUBSTITUTE(SUBSTITUTE(SUBSTITUTE(IFERROR(IF(INDEX(INDIRECT("'WCM Calibration Final'!$E$1:$E$2000"),'Calculations'!$EM152)="","",TRIM(INDEX(INDIRECT("'WCM Calibration Final'!$E$1:$E$2000"),'Calculations'!$EM152)&amp;"")),""),"~","~~"),"*","~*"),"?","~?"))&gt;1,"!AMBIG","X:"&amp;IFERROR(IF(INDEX(INDIRECT("'WCM Calibration Final'!$E$1:$E$2000"),'Calculations'!$EM152)="","",TRIM(INDEX(INDIRECT("'WCM Calibration Final'!$E$1:$E$2000"),'Calculations'!$EM152)&amp;"")),""))))))</x:f>
      </x:c>
      <x:c r="HG152" t="str">
        <x:f>IF('Calculations'!EM152="","",IFERROR(IF(INDEX(INDIRECT("'WCM Calibration Final'!$B$1:$B$2000"),'Calculations'!$EM152)="","",TRIM(INDEX(INDIRECT("'WCM Calibration Final'!$B$1:$B$2000"),'Calculations'!$EM152)&amp;"")),""))</x:f>
      </x:c>
      <x:c r="HH152" t="n">
        <x:f>IF(AND('Calculations'!JC152&gt;0,COUNTIF('Calculations'!$HF$12:HF152,"="&amp;SUBSTITUTE(SUBSTITUTE(SUBSTITUTE('Calculations'!HF152,"~","~~"),"*","~*"),"?","~?"))=1),MAX('Calculations'!$HH$12:HH151)+1,0)</x:f>
        <x:v>0</x:v>
      </x:c>
      <x:c r="HI152" t="n">
        <x:f>IF(AND('Calculations'!HN152&lt;&gt;"",COUNTIF('Calculations'!$HN$12:HN152,"="&amp;SUBSTITUTE(SUBSTITUTE(SUBSTITUTE('Calculations'!HN152,"~","~~"),"*","~*"),"?","~?"))=1),MAX('Calculations'!$HI$12:HI151)+1,0)</x:f>
        <x:v>0</x:v>
      </x:c>
      <x:c r="HJ152" t="str">
        <x:f>IF('Calculations'!HF152="","",IF(COUNTIF('Calculations'!$HE$13:$HE$512,"="&amp;SUBSTITUTE(SUBSTITUTE(SUBSTITUTE('Calculations'!HF152,"~","~~"),"*","~*"),"?","~?"))=1,INDEX('Calculations'!$HK$13:$HK$512,MATCH('Calculations'!HF152,'Calculations'!$HE$13:$HE$512,0)),IFERROR(IF(INDEX(INDIRECT("'WCM Calibration Final'!$E$1:$E$2000"),'Calculations'!$EM152)="","",TRIM(INDEX(INDIRECT("'WCM Calibration Final'!$E$1:$E$2000"),'Calculations'!$EM152)&amp;"")),"")&amp;" ["&amp;'Calculations'!HF152&amp;"]"))</x:f>
      </x:c>
      <x:c r="HK152" t="str">
        <x:f>IF('Calculations'!EM152="","",'Calculations'!HG152&amp;" ["&amp;'Calculations'!HE152&amp;"]")</x:f>
      </x:c>
      <x:c r="HL152" t="n">
        <x:f>IF('Calculations'!EM152="",0,IF(OR('Calculations'!II152&lt;&gt;"",COUNTIF('Calculations'!$HE$13:$HE$512,"="&amp;SUBSTITUTE(SUBSTITUTE(SUBSTITUTE('Calculations'!HE152,"~","~~"),"*","~*"),"?","~?"))&gt;1),1,0))</x:f>
        <x:v>0</x:v>
      </x:c>
      <x:c r="HM152" t="str">
        <x:f>IF('Calculations'!EM152="","",IF('Calculations'!HL152=1,"!UNRESOLVED",IF('Calculations'!IH152&lt;&gt;"",'Calculations'!IH152,IF('Calculations'!IG152&lt;&gt;"",'Calculations'!IG152,IF('Calculations'!IF152&lt;&gt;"",'Calculations'!IF152,IF('Calculations'!IE152&lt;&gt;"",'Calculations'!IE152,IF('Calculations'!ID152&lt;&gt;"",'Calculations'!ID152,IF('Calculations'!IC152&lt;&gt;"",'Calculations'!IC152,IF('Calculations'!IB152&lt;&gt;"",'Calculations'!IB152,IF('Calculations'!IA152&lt;&gt;"",'Calculations'!IA152,IF('Calculations'!HZ152&lt;&gt;"",'Calculations'!HZ152,IF('Calculations'!HY152&lt;&gt;"",'Calculations'!HY152,IF('Calculations'!HX152&lt;&gt;"",'Calculations'!HX152,IF('Calculations'!HW152&lt;&gt;"",'Calculations'!HW152,IF('Calculations'!HV152&lt;&gt;"",'Calculations'!HV152,IF('Calculations'!HU152&lt;&gt;"",'Calculations'!HU152,IF('Calculations'!HT152&lt;&gt;"",'Calculations'!HT152,IF('Calculations'!HS152&lt;&gt;"",'Calculations'!HS152,IF('Calculations'!HR152&lt;&gt;"",'Calculations'!HR152,IF('Calculations'!HQ152&lt;&gt;"",'Calculations'!HQ152,IF('Calculations'!HP152&lt;&gt;"",'Calculations'!HP152,IF('Calculations'!HO152&lt;&gt;"",'Calculations'!HO152,'Calculations'!HE152))))))))))))))))))))))</x:f>
      </x:c>
      <x:c r="HN152" t="str">
        <x:f>IF('Calculations'!EM152="","",IF(IFERROR(IF(INDEX(INDIRECT("'WCM Calibration Final'!$F$1:$F$2000"),'Calculations'!$EM152)="","",TRIM(INDEX(INDIRECT("'WCM Calibration Final'!$F$1:$F$2000"),'Calculations'!$EM152)&amp;"")),"")="","(Blank)",IFERROR(IF(INDEX(INDIRECT("'WCM Calibration Final'!$F$1:$F$2000"),'Calculations'!$EM152)="","",TRIM(INDEX(INDIRECT("'WCM Calibration Final'!$F$1:$F$2000"),'Calculations'!$EM152)&amp;"")),"")))</x:f>
      </x:c>
      <x:c r="HO152" t="str">
        <x:f>'Calculations'!HF152</x:f>
      </x:c>
      <x:c r="HP152" t="str">
        <x:f>IF('Calculations'!HO152="","",IF('Calculations'!HO152="!AMBIG","!AMBIG",IF(COUNTIF('Calculations'!$HE$13:$HE$512,"="&amp;SUBSTITUTE(SUBSTITUTE(SUBSTITUTE('Calculations'!HO152,"~","~~"),"*","~*"),"?","~?"))&gt;1,"!AMBIG",IFERROR(INDEX('Calculations'!$HF$13:$HF$512,MATCH('Calculations'!HO152,'Calculations'!$HE$13:$HE$512,0)),""))))</x:f>
      </x:c>
      <x:c r="HQ152" t="str">
        <x:f>IF('Calculations'!HP152="","",IF('Calculations'!HP152="!AMBIG","!AMBIG",IF(COUNTIF('Calculations'!$HE$13:$HE$512,"="&amp;SUBSTITUTE(SUBSTITUTE(SUBSTITUTE('Calculations'!HP152,"~","~~"),"*","~*"),"?","~?"))&gt;1,"!AMBIG",IFERROR(INDEX('Calculations'!$HF$13:$HF$512,MATCH('Calculations'!HP152,'Calculations'!$HE$13:$HE$512,0)),""))))</x:f>
      </x:c>
      <x:c r="HR152" t="str">
        <x:f>IF('Calculations'!HQ152="","",IF('Calculations'!HQ152="!AMBIG","!AMBIG",IF(COUNTIF('Calculations'!$HE$13:$HE$512,"="&amp;SUBSTITUTE(SUBSTITUTE(SUBSTITUTE('Calculations'!HQ152,"~","~~"),"*","~*"),"?","~?"))&gt;1,"!AMBIG",IFERROR(INDEX('Calculations'!$HF$13:$HF$512,MATCH('Calculations'!HQ152,'Calculations'!$HE$13:$HE$512,0)),""))))</x:f>
      </x:c>
      <x:c r="HS152" t="str">
        <x:f>IF('Calculations'!HR152="","",IF('Calculations'!HR152="!AMBIG","!AMBIG",IF(COUNTIF('Calculations'!$HE$13:$HE$512,"="&amp;SUBSTITUTE(SUBSTITUTE(SUBSTITUTE('Calculations'!HR152,"~","~~"),"*","~*"),"?","~?"))&gt;1,"!AMBIG",IFERROR(INDEX('Calculations'!$HF$13:$HF$512,MATCH('Calculations'!HR152,'Calculations'!$HE$13:$HE$512,0)),""))))</x:f>
      </x:c>
      <x:c r="HT152" t="str">
        <x:f>IF('Calculations'!HS152="","",IF('Calculations'!HS152="!AMBIG","!AMBIG",IF(COUNTIF('Calculations'!$HE$13:$HE$512,"="&amp;SUBSTITUTE(SUBSTITUTE(SUBSTITUTE('Calculations'!HS152,"~","~~"),"*","~*"),"?","~?"))&gt;1,"!AMBIG",IFERROR(INDEX('Calculations'!$HF$13:$HF$512,MATCH('Calculations'!HS152,'Calculations'!$HE$13:$HE$512,0)),""))))</x:f>
      </x:c>
      <x:c r="HU152" t="str">
        <x:f>IF('Calculations'!HT152="","",IF('Calculations'!HT152="!AMBIG","!AMBIG",IF(COUNTIF('Calculations'!$HE$13:$HE$512,"="&amp;SUBSTITUTE(SUBSTITUTE(SUBSTITUTE('Calculations'!HT152,"~","~~"),"*","~*"),"?","~?"))&gt;1,"!AMBIG",IFERROR(INDEX('Calculations'!$HF$13:$HF$512,MATCH('Calculations'!HT152,'Calculations'!$HE$13:$HE$512,0)),""))))</x:f>
      </x:c>
      <x:c r="HV152" t="str">
        <x:f>IF('Calculations'!HU152="","",IF('Calculations'!HU152="!AMBIG","!AMBIG",IF(COUNTIF('Calculations'!$HE$13:$HE$512,"="&amp;SUBSTITUTE(SUBSTITUTE(SUBSTITUTE('Calculations'!HU152,"~","~~"),"*","~*"),"?","~?"))&gt;1,"!AMBIG",IFERROR(INDEX('Calculations'!$HF$13:$HF$512,MATCH('Calculations'!HU152,'Calculations'!$HE$13:$HE$512,0)),""))))</x:f>
      </x:c>
      <x:c r="HW152" t="str">
        <x:f>IF('Calculations'!HV152="","",IF('Calculations'!HV152="!AMBIG","!AMBIG",IF(COUNTIF('Calculations'!$HE$13:$HE$512,"="&amp;SUBSTITUTE(SUBSTITUTE(SUBSTITUTE('Calculations'!HV152,"~","~~"),"*","~*"),"?","~?"))&gt;1,"!AMBIG",IFERROR(INDEX('Calculations'!$HF$13:$HF$512,MATCH('Calculations'!HV152,'Calculations'!$HE$13:$HE$512,0)),""))))</x:f>
      </x:c>
      <x:c r="HX152" t="str">
        <x:f>IF('Calculations'!HW152="","",IF('Calculations'!HW152="!AMBIG","!AMBIG",IF(COUNTIF('Calculations'!$HE$13:$HE$512,"="&amp;SUBSTITUTE(SUBSTITUTE(SUBSTITUTE('Calculations'!HW152,"~","~~"),"*","~*"),"?","~?"))&gt;1,"!AMBIG",IFERROR(INDEX('Calculations'!$HF$13:$HF$512,MATCH('Calculations'!HW152,'Calculations'!$HE$13:$HE$512,0)),""))))</x:f>
      </x:c>
      <x:c r="HY152" t="str">
        <x:f>IF('Calculations'!HX152="","",IF('Calculations'!HX152="!AMBIG","!AMBIG",IF(COUNTIF('Calculations'!$HE$13:$HE$512,"="&amp;SUBSTITUTE(SUBSTITUTE(SUBSTITUTE('Calculations'!HX152,"~","~~"),"*","~*"),"?","~?"))&gt;1,"!AMBIG",IFERROR(INDEX('Calculations'!$HF$13:$HF$512,MATCH('Calculations'!HX152,'Calculations'!$HE$13:$HE$512,0)),""))))</x:f>
      </x:c>
      <x:c r="HZ152" t="str">
        <x:f>IF('Calculations'!HY152="","",IF('Calculations'!HY152="!AMBIG","!AMBIG",IF(COUNTIF('Calculations'!$HE$13:$HE$512,"="&amp;SUBSTITUTE(SUBSTITUTE(SUBSTITUTE('Calculations'!HY152,"~","~~"),"*","~*"),"?","~?"))&gt;1,"!AMBIG",IFERROR(INDEX('Calculations'!$HF$13:$HF$512,MATCH('Calculations'!HY152,'Calculations'!$HE$13:$HE$512,0)),""))))</x:f>
      </x:c>
      <x:c r="IA152" t="str">
        <x:f>IF('Calculations'!HZ152="","",IF('Calculations'!HZ152="!AMBIG","!AMBIG",IF(COUNTIF('Calculations'!$HE$13:$HE$512,"="&amp;SUBSTITUTE(SUBSTITUTE(SUBSTITUTE('Calculations'!HZ152,"~","~~"),"*","~*"),"?","~?"))&gt;1,"!AMBIG",IFERROR(INDEX('Calculations'!$HF$13:$HF$512,MATCH('Calculations'!HZ152,'Calculations'!$HE$13:$HE$512,0)),""))))</x:f>
      </x:c>
      <x:c r="IB152" t="str">
        <x:f>IF('Calculations'!IA152="","",IF('Calculations'!IA152="!AMBIG","!AMBIG",IF(COUNTIF('Calculations'!$HE$13:$HE$512,"="&amp;SUBSTITUTE(SUBSTITUTE(SUBSTITUTE('Calculations'!IA152,"~","~~"),"*","~*"),"?","~?"))&gt;1,"!AMBIG",IFERROR(INDEX('Calculations'!$HF$13:$HF$512,MATCH('Calculations'!IA152,'Calculations'!$HE$13:$HE$512,0)),""))))</x:f>
      </x:c>
      <x:c r="IC152" t="str">
        <x:f>IF('Calculations'!IB152="","",IF('Calculations'!IB152="!AMBIG","!AMBIG",IF(COUNTIF('Calculations'!$HE$13:$HE$512,"="&amp;SUBSTITUTE(SUBSTITUTE(SUBSTITUTE('Calculations'!IB152,"~","~~"),"*","~*"),"?","~?"))&gt;1,"!AMBIG",IFERROR(INDEX('Calculations'!$HF$13:$HF$512,MATCH('Calculations'!IB152,'Calculations'!$HE$13:$HE$512,0)),""))))</x:f>
      </x:c>
      <x:c r="ID152" t="str">
        <x:f>IF('Calculations'!IC152="","",IF('Calculations'!IC152="!AMBIG","!AMBIG",IF(COUNTIF('Calculations'!$HE$13:$HE$512,"="&amp;SUBSTITUTE(SUBSTITUTE(SUBSTITUTE('Calculations'!IC152,"~","~~"),"*","~*"),"?","~?"))&gt;1,"!AMBIG",IFERROR(INDEX('Calculations'!$HF$13:$HF$512,MATCH('Calculations'!IC152,'Calculations'!$HE$13:$HE$512,0)),""))))</x:f>
      </x:c>
      <x:c r="IE152" t="str">
        <x:f>IF('Calculations'!ID152="","",IF('Calculations'!ID152="!AMBIG","!AMBIG",IF(COUNTIF('Calculations'!$HE$13:$HE$512,"="&amp;SUBSTITUTE(SUBSTITUTE(SUBSTITUTE('Calculations'!ID152,"~","~~"),"*","~*"),"?","~?"))&gt;1,"!AMBIG",IFERROR(INDEX('Calculations'!$HF$13:$HF$512,MATCH('Calculations'!ID152,'Calculations'!$HE$13:$HE$512,0)),""))))</x:f>
      </x:c>
      <x:c r="IF152" t="str">
        <x:f>IF('Calculations'!IE152="","",IF('Calculations'!IE152="!AMBIG","!AMBIG",IF(COUNTIF('Calculations'!$HE$13:$HE$512,"="&amp;SUBSTITUTE(SUBSTITUTE(SUBSTITUTE('Calculations'!IE152,"~","~~"),"*","~*"),"?","~?"))&gt;1,"!AMBIG",IFERROR(INDEX('Calculations'!$HF$13:$HF$512,MATCH('Calculations'!IE152,'Calculations'!$HE$13:$HE$512,0)),""))))</x:f>
      </x:c>
      <x:c r="IG152" t="str">
        <x:f>IF('Calculations'!IF152="","",IF('Calculations'!IF152="!AMBIG","!AMBIG",IF(COUNTIF('Calculations'!$HE$13:$HE$512,"="&amp;SUBSTITUTE(SUBSTITUTE(SUBSTITUTE('Calculations'!IF152,"~","~~"),"*","~*"),"?","~?"))&gt;1,"!AMBIG",IFERROR(INDEX('Calculations'!$HF$13:$HF$512,MATCH('Calculations'!IF152,'Calculations'!$HE$13:$HE$512,0)),""))))</x:f>
      </x:c>
      <x:c r="IH152" t="str">
        <x:f>IF('Calculations'!IG152="","",IF('Calculations'!IG152="!AMBIG","!AMBIG",IF(COUNTIF('Calculations'!$HE$13:$HE$512,"="&amp;SUBSTITUTE(SUBSTITUTE(SUBSTITUTE('Calculations'!IG152,"~","~~"),"*","~*"),"?","~?"))&gt;1,"!AMBIG",IFERROR(INDEX('Calculations'!$HF$13:$HF$512,MATCH('Calculations'!IG152,'Calculations'!$HE$13:$HE$512,0)),""))))</x:f>
      </x:c>
      <x:c r="II152" t="str">
        <x:f>IF('Calculations'!IH152="","",IF('Calculations'!IH152="!AMBIG","!AMBIG",IF(COUNTIF('Calculations'!$HE$13:$HE$512,"="&amp;SUBSTITUTE(SUBSTITUTE(SUBSTITUTE('Calculations'!IH152,"~","~~"),"*","~*"),"?","~?"))&gt;1,"!AMBIG",IFERROR(INDEX('Calculations'!$HF$13:$HF$512,MATCH('Calculations'!IH152,'Calculations'!$HE$13:$HE$512,0)),""))))</x:f>
      </x:c>
      <x:c r="IJ152" t="str">
        <x:f>IF('Calculations'!EM152="","",IF('Calculations'!$EF$2="All",'Calculations'!HM152,IF('Calculations'!HL152=1,"",IFERROR(IF(MATCH('Calculations'!$EF$2,'Calculations'!HO152:II152,0)=1,'Calculations'!HE152,INDEX('Calculations'!HO152:II152,1,MATCH('Calculations'!$EF$2,'Calculations'!HO152:II152,0)-1)),""))))</x:f>
      </x:c>
      <x:c r="IK152" t="n">
        <x:f>IF(AND('Calculations'!EM152&lt;&gt;"",'Calculations'!$EF$2&lt;&gt;"All",'Calculations'!HF152='Calculations'!$EF$2,'Calculations'!HL152=0,'Calculations'!JD152&gt;0),MAX('Calculations'!$IK$12:IK151)+1,0)</x:f>
        <x:v>0</x:v>
      </x:c>
      <x:c r="JA152" t="n">
        <x:f>IF(OR(IFERROR(INDIRECT("'WCM Calibration Final'!$A$152")&lt;&gt;"",FALSE),IFERROR(INDIRECT("'WCM Calibration Final'!$B$152")&lt;&gt;"",FALSE),IFERROR(INDIRECT("'WCM Calibration Final'!$C$152")&lt;&gt;"",FALSE)),152,0)</x:f>
        <x:v>0</x:v>
      </x:c>
      <x:c r="JB152" t="n">
        <x:f>'Calculations'!JB151+IF('Calculations'!JA152&gt;0,1,0)</x:f>
        <x:v>0</x:v>
      </x:c>
      <x:c r="JC152" t="n">
        <x:f>IF(OR('Calculations'!HF152="",'Calculations'!HF152="!AMBIG"),0,IF('Dashboard'!$B$7="All",1,COUNTIFS('Calculations'!$HO$13:$HO$512,"="&amp;SUBSTITUTE(SUBSTITUTE(SUBSTITUTE('Calculations'!HF152,"~","~~"),"*","~*"),"?","~?"),'Calculations'!$HN$13:$HN$512,"="&amp;SUBSTITUTE(SUBSTITUTE(SUBSTITUTE('Dashboard'!$B$7,"~","~~"),"*","~*"),"?","~?"))+COUNTIFS('Calculations'!$HP$13:$HP$512,"="&amp;SUBSTITUTE(SUBSTITUTE(SUBSTITUTE('Calculations'!HF152,"~","~~"),"*","~*"),"?","~?"),'Calculations'!$HN$13:$HN$512,"="&amp;SUBSTITUTE(SUBSTITUTE(SUBSTITUTE('Dashboard'!$B$7,"~","~~"),"*","~*"),"?","~?"))+COUNTIFS('Calculations'!$HQ$13:$HQ$512,"="&amp;SUBSTITUTE(SUBSTITUTE(SUBSTITUTE('Calculations'!HF152,"~","~~"),"*","~*"),"?","~?"),'Calculations'!$HN$13:$HN$512,"="&amp;SUBSTITUTE(SUBSTITUTE(SUBSTITUTE('Dashboard'!$B$7,"~","~~"),"*","~*"),"?","~?"))+COUNTIFS('Calculations'!$HR$13:$HR$512,"="&amp;SUBSTITUTE(SUBSTITUTE(SUBSTITUTE('Calculations'!HF152,"~","~~"),"*","~*"),"?","~?"),'Calculations'!$HN$13:$HN$512,"="&amp;SUBSTITUTE(SUBSTITUTE(SUBSTITUTE('Dashboard'!$B$7,"~","~~"),"*","~*"),"?","~?"))+COUNTIFS('Calculations'!$HS$13:$HS$512,"="&amp;SUBSTITUTE(SUBSTITUTE(SUBSTITUTE('Calculations'!HF152,"~","~~"),"*","~*"),"?","~?"),'Calculations'!$HN$13:$HN$512,"="&amp;SUBSTITUTE(SUBSTITUTE(SUBSTITUTE('Dashboard'!$B$7,"~","~~"),"*","~*"),"?","~?"))+COUNTIFS('Calculations'!$HT$13:$HT$512,"="&amp;SUBSTITUTE(SUBSTITUTE(SUBSTITUTE('Calculations'!HF152,"~","~~"),"*","~*"),"?","~?"),'Calculations'!$HN$13:$HN$512,"="&amp;SUBSTITUTE(SUBSTITUTE(SUBSTITUTE('Dashboard'!$B$7,"~","~~"),"*","~*"),"?","~?"))+COUNTIFS('Calculations'!$HU$13:$HU$512,"="&amp;SUBSTITUTE(SUBSTITUTE(SUBSTITUTE('Calculations'!HF152,"~","~~"),"*","~*"),"?","~?"),'Calculations'!$HN$13:$HN$512,"="&amp;SUBSTITUTE(SUBSTITUTE(SUBSTITUTE('Dashboard'!$B$7,"~","~~"),"*","~*"),"?","~?"))+COUNTIFS('Calculations'!$HV$13:$HV$512,"="&amp;SUBSTITUTE(SUBSTITUTE(SUBSTITUTE('Calculations'!HF152,"~","~~"),"*","~*"),"?","~?"),'Calculations'!$HN$13:$HN$512,"="&amp;SUBSTITUTE(SUBSTITUTE(SUBSTITUTE('Dashboard'!$B$7,"~","~~"),"*","~*"),"?","~?"))+COUNTIFS('Calculations'!$HW$13:$HW$512,"="&amp;SUBSTITUTE(SUBSTITUTE(SUBSTITUTE('Calculations'!HF152,"~","~~"),"*","~*"),"?","~?"),'Calculations'!$HN$13:$HN$512,"="&amp;SUBSTITUTE(SUBSTITUTE(SUBSTITUTE('Dashboard'!$B$7,"~","~~"),"*","~*"),"?","~?"))+COUNTIFS('Calculations'!$HX$13:$HX$512,"="&amp;SUBSTITUTE(SUBSTITUTE(SUBSTITUTE('Calculations'!HF152,"~","~~"),"*","~*"),"?","~?"),'Calculations'!$HN$13:$HN$512,"="&amp;SUBSTITUTE(SUBSTITUTE(SUBSTITUTE('Dashboard'!$B$7,"~","~~"),"*","~*"),"?","~?"))+COUNTIFS('Calculations'!$HY$13:$HY$512,"="&amp;SUBSTITUTE(SUBSTITUTE(SUBSTITUTE('Calculations'!HF152,"~","~~"),"*","~*"),"?","~?"),'Calculations'!$HN$13:$HN$512,"="&amp;SUBSTITUTE(SUBSTITUTE(SUBSTITUTE('Dashboard'!$B$7,"~","~~"),"*","~*"),"?","~?"))+COUNTIFS('Calculations'!$HZ$13:$HZ$512,"="&amp;SUBSTITUTE(SUBSTITUTE(SUBSTITUTE('Calculations'!HF152,"~","~~"),"*","~*"),"?","~?"),'Calculations'!$HN$13:$HN$512,"="&amp;SUBSTITUTE(SUBSTITUTE(SUBSTITUTE('Dashboard'!$B$7,"~","~~"),"*","~*"),"?","~?"))+COUNTIFS('Calculations'!$IA$13:$IA$512,"="&amp;SUBSTITUTE(SUBSTITUTE(SUBSTITUTE('Calculations'!HF152,"~","~~"),"*","~*"),"?","~?"),'Calculations'!$HN$13:$HN$512,"="&amp;SUBSTITUTE(SUBSTITUTE(SUBSTITUTE('Dashboard'!$B$7,"~","~~"),"*","~*"),"?","~?"))+COUNTIFS('Calculations'!$IB$13:$IB$512,"="&amp;SUBSTITUTE(SUBSTITUTE(SUBSTITUTE('Calculations'!HF152,"~","~~"),"*","~*"),"?","~?"),'Calculations'!$HN$13:$HN$512,"="&amp;SUBSTITUTE(SUBSTITUTE(SUBSTITUTE('Dashboard'!$B$7,"~","~~"),"*","~*"),"?","~?"))+COUNTIFS('Calculations'!$IC$13:$IC$512,"="&amp;SUBSTITUTE(SUBSTITUTE(SUBSTITUTE('Calculations'!HF152,"~","~~"),"*","~*"),"?","~?"),'Calculations'!$HN$13:$HN$512,"="&amp;SUBSTITUTE(SUBSTITUTE(SUBSTITUTE('Dashboard'!$B$7,"~","~~"),"*","~*"),"?","~?"))+COUNTIFS('Calculations'!$ID$13:$ID$512,"="&amp;SUBSTITUTE(SUBSTITUTE(SUBSTITUTE('Calculations'!HF152,"~","~~"),"*","~*"),"?","~?"),'Calculations'!$HN$13:$HN$512,"="&amp;SUBSTITUTE(SUBSTITUTE(SUBSTITUTE('Dashboard'!$B$7,"~","~~"),"*","~*"),"?","~?"))+COUNTIFS('Calculations'!$IE$13:$IE$512,"="&amp;SUBSTITUTE(SUBSTITUTE(SUBSTITUTE('Calculations'!HF152,"~","~~"),"*","~*"),"?","~?"),'Calculations'!$HN$13:$HN$512,"="&amp;SUBSTITUTE(SUBSTITUTE(SUBSTITUTE('Dashboard'!$B$7,"~","~~"),"*","~*"),"?","~?"))+COUNTIFS('Calculations'!$IF$13:$IF$512,"="&amp;SUBSTITUTE(SUBSTITUTE(SUBSTITUTE('Calculations'!HF152,"~","~~"),"*","~*"),"?","~?"),'Calculations'!$HN$13:$HN$512,"="&amp;SUBSTITUTE(SUBSTITUTE(SUBSTITUTE('Dashboard'!$B$7,"~","~~"),"*","~*"),"?","~?"))+COUNTIFS('Calculations'!$IG$13:$IG$512,"="&amp;SUBSTITUTE(SUBSTITUTE(SUBSTITUTE('Calculations'!HF152,"~","~~"),"*","~*"),"?","~?"),'Calculations'!$HN$13:$HN$512,"="&amp;SUBSTITUTE(SUBSTITUTE(SUBSTITUTE('Dashboard'!$B$7,"~","~~"),"*","~*"),"?","~?"))+COUNTIFS('Calculations'!$IH$13:$IH$512,"="&amp;SUBSTITUTE(SUBSTITUTE(SUBSTITUTE('Calculations'!HF152,"~","~~"),"*","~*"),"?","~?"),'Calculations'!$HN$13:$HN$512,"="&amp;SUBSTITUTE(SUBSTITUTE(SUBSTITUTE('Dashboard'!$B$7,"~","~~"),"*","~*"),"?","~?"))))</x:f>
        <x:v>0</x:v>
      </x:c>
      <x:c r="JD152" t="n">
        <x:f>IF('Calculations'!EM152="",0,IF('Dashboard'!$B$7="All",1,IF('Calculations'!HN152='Dashboard'!$B$7,1,0)+IFERROR(INDEX('Calculations'!$JC$13:$JC$512,MATCH('Calculations'!HE152,'Calculations'!$HF$13:$HF$512,0)),0)))</x:f>
        <x:v>0</x:v>
      </x:c>
      <x:c r="JE152" t="n">
        <x:f>IF(AND('Calculations'!EM152&lt;&gt;"",'Calculations'!$JJ$2&lt;&gt;"All",'Calculations'!$JJ$2&lt;&gt;"",'Calculations'!HF152='Calculations'!$JJ$2,'Calculations'!HL152=0,'Calculations'!JD152&gt;0),MAX('Calculations'!$JE$12:JE151)+1,0)</x:f>
        <x:v>0</x:v>
      </x:c>
      <x:c r="JF152" t="str">
        <x:f>IF('Calculations'!EM152="","",IFERROR(IF(INDEX(INDIRECT("'WCM Calibration Final'!$G$1:$G$2000"),'Calculations'!$EM152)="","",TRIM(INDEX(INDIRECT("'WCM Calibration Final'!$G$1:$G$2000"),'Calculations'!$EM152)&amp;"")),""))</x:f>
      </x:c>
      <x:c r="JQ152" t="n">
        <x:f>IF(OR('Calculations'!BM152=0,NOT('Calculations'!$AG$2),'Calculations'!$AG$8&gt;0),0,IF(OR('Dashboard'!$B$7="All",'Calculations'!HN152='Dashboard'!$B$7),IF('Calculations'!$JJ$2="All",1,IF(AND('Calculations'!HF152='Calculations'!$JJ$2,'Calculations'!HL152=0),1,0)),0))</x:f>
        <x:v>0</x:v>
      </x:c>
    </x:row>
    <x:row r="153">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t="n">
        <x:f>IF('Calculations'!$EM153="",0,IF(OR(IFERROR(INDEX(INDIRECT("'WCM Calibration Final'!$A$1:$A$2000"),'Calculations'!$EM153)&lt;&gt;"",FALSE),IFERROR(INDEX(INDIRECT("'WCM Calibration Final'!$B$1:$B$2000"),'Calculations'!$EM153)&lt;&gt;"",FALSE),IFERROR(INDEX(INDIRECT("'WCM Calibration Final'!$C$1:$C$2000"),'Calculations'!$EM153)&lt;&gt;"",FALSE)),1,0))</x:f>
        <x:v>0</x:v>
      </x:c>
      <x:c r="BN153" s="4" t="n">
        <x:f>IF(AND('Calculations'!BM153=1,'Calculations'!$AG$2,'Calculations'!$EN153=1),1,0)</x:f>
        <x:v>0</x:v>
      </x:c>
      <x:c r="BO153" s="4" t="str">
        <x:f>IF('Calculations'!BM153=0,"",IFERROR(IF(AND(VALUE(INDEX(INDIRECT("'WCM Calibration Final'!$K$1:$K$2000"),'Calculations'!$EM153))&gt;=1,VALUE(INDEX(INDIRECT("'WCM Calibration Final'!$K$1:$K$2000"),'Calculations'!$EM153))&lt;=4,MOD(VALUE(INDEX(INDIRECT("'WCM Calibration Final'!$K$1:$K$2000"),'Calculations'!$EM153)),1)=0),VALUE(INDEX(INDIRECT("'WCM Calibration Final'!$K$1:$K$2000"),'Calculations'!$EM153)),""),""))</x:f>
      </x:c>
      <x:c r="BP153" s="4" t="str">
        <x:f>IF('Calculations'!BM153=0,"",IFERROR(IF(AND(VALUE(INDEX(INDIRECT("'WCM Calibration Final'!$L$1:$L$2000"),'Calculations'!$EM153))&gt;=1,VALUE(INDEX(INDIRECT("'WCM Calibration Final'!$L$1:$L$2000"),'Calculations'!$EM153))&lt;=4,MOD(VALUE(INDEX(INDIRECT("'WCM Calibration Final'!$L$1:$L$2000"),'Calculations'!$EM153)),1)=0),VALUE(INDEX(INDIRECT("'WCM Calibration Final'!$L$1:$L$2000"),'Calculations'!$EM153)),""),""))</x:f>
      </x:c>
      <x:c r="BQ153" s="4"/>
      <x:c r="BR153" s="4"/>
      <x:c r="BS153" s="4"/>
      <x:c r="BT153" s="4" t="n">
        <x:f>IF(AND('Calculations'!BM153=1,ISNUMBER('Calculations'!BO153),ISNUMBER('Calculations'!BP153)),1,0)</x:f>
        <x:v>0</x:v>
      </x:c>
      <x:c r="BU153" s="4" t="str">
        <x:f>IF('Calculations'!BM153=0,"",'Calculations'!$EO153)</x:f>
      </x:c>
      <x:c r="BV153" s="4" t="str">
        <x:f>IF('Calculations'!BM153=0,"",IFERROR(IF(OR(INDEX(INDIRECT("'WCM Calibration Final'!$H$1:$H$2000"),'Calculations'!$EM153)="MANAGING DIRECTOR",INDEX(INDIRECT("'WCM Calibration Final'!$H$1:$H$2000"),'Calculations'!$EM153)="DIRECTOR",INDEX(INDIRECT("'WCM Calibration Final'!$H$1:$H$2000"),'Calculations'!$EM153)="SENIOR VICE PRESIDENT",INDEX(INDIRECT("'WCM Calibration Final'!$H$1:$H$2000"),'Calculations'!$EM153)="VICE PRESIDENT",INDEX(INDIRECT("'WCM Calibration Final'!$H$1:$H$2000"),'Calculations'!$EM153)="ASSISTANT VICE PRESIDENT",INDEX(INDIRECT("'WCM Calibration Final'!$H$1:$H$2000"),'Calculations'!$EM153)="OFFICER"),UPPER(INDEX(INDIRECT("'WCM Calibration Final'!$H$1:$H$2000"),'Calculations'!$EM153)),"Other"),"Other"))</x:f>
      </x:c>
      <x:c r="BW153" s="4"/>
      <x:c r="BX153" s="4"/>
      <x:c r="BY153" s="4" t="n">
        <x:f>IF(AND('Calculations'!BM153=1,'Calculations'!BU153&lt;&gt;"",COUNTIF('Calculations'!$BU$12:BU153,'Calculations'!BU153)=1),MAX('Calculations'!$BY$11:BY152)+1,0)</x:f>
        <x:v>0</x:v>
      </x:c>
      <x:c r="BZ153" s="4" t="str">
        <x:f>IF('Dashboard'!$E$67="What",'Calculations'!BO153,'Calculations'!BP153)</x:f>
      </x:c>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t="str">
        <x:f>IF(142&gt;MAX('Calculations'!$HI$13:$HI$512),"",INDEX('Calculations'!$HN$13:$HN$512,MATCH(142,'Calculations'!$HI$13:$HI$512,0)))</x:f>
      </x:c>
      <x:c r="DB153" s="4" t="str">
        <x:f>IF(142&gt;MAX('Calculations'!$HH$13:$HH$512),"",INDEX('Calculations'!$HJ$13:$HJ$512,MATCH(142,'Calculations'!$HH$13:$HH$512,0)))</x:f>
      </x:c>
      <x:c r="DC153" s="4" t="str">
        <x:f>IF(ROW()-11&gt;MAX('Calculations'!$BY$13:$BY$512),"",INDEX('Calculations'!$BU$13:$BU$512,MATCH(ROW()-11,'Calculations'!$BY$13:$BY$512,0)))</x:f>
      </x:c>
      <x:c r="DD153" s="4" t="str">
        <x:f>IF(142&gt;MAX('Calculations'!$IK$13:$IK$512),"",INDEX('Calculations'!$HK$13:$HK$512,MATCH(142,'Calculations'!$IK$13:$IK$512,0)))</x:f>
      </x:c>
      <x:c r="DE153" s="4" t="str">
        <x:f>'Calculations'!DC153</x:f>
      </x:c>
      <x:c r="DF153" s="4" t="str">
        <x:f>IF('Calculations'!DE153="","",COUNTIFS('Calculations'!$BN$13:$BN$512,1,'Calculations'!$BU$13:$BU$512,'Calculations'!DE153))</x:f>
      </x:c>
      <x:c r="DG153" s="4" t="str">
        <x:f>IF('Calculations'!DE153="","",COUNTIFS('Calculations'!$BN$13:$BN$512,1,'Calculations'!$BU$13:$BU$512,'Calculations'!DE153,'Calculations'!$BT$13:$BT$512,1))</x:f>
      </x:c>
      <x:c r="DH153" s="4" t="str">
        <x:f>IF('Calculations'!DE153="","",'Calculations'!DF153-'Calculations'!DG153)</x:f>
      </x:c>
      <x:c r="DI153" s="4" t="str">
        <x:f>IF(OR('Calculations'!DE153="",'Calculations'!DF153=0),"",'Calculations'!DG153/'Calculations'!DF153)</x:f>
      </x:c>
      <x:c r="DJ153" s="4" t="str">
        <x:f>IF('Calculations'!DE153="","",COUNTIFS('Calculations'!$BN$13:$BN$512,1,'Calculations'!$BU$13:$BU$512,'Calculations'!DE153,'Calculations'!$BT$13:$BT$512,1,'Calculations'!$EE$13:$EE$512,"High"))</x:f>
      </x:c>
      <x:c r="DK153" s="4" t="str">
        <x:f>IF('Calculations'!DE153="","",COUNTIFS('Calculations'!$BN$13:$BN$512,1,'Calculations'!$BU$13:$BU$512,'Calculations'!DE153,'Calculations'!$BT$13:$BT$512,1,'Calculations'!$EE$13:$EE$512,"Strong"))</x:f>
      </x:c>
      <x:c r="DL153" s="4" t="str">
        <x:f>IF('Calculations'!DE153="","",COUNTIFS('Calculations'!$BN$13:$BN$512,1,'Calculations'!$BU$13:$BU$512,'Calculations'!DE153,'Calculations'!$BT$13:$BT$512,1,'Calculations'!$EE$13:$EE$512,"Solid"))</x:f>
      </x:c>
      <x:c r="DM153" s="4" t="str">
        <x:f>IF('Calculations'!DE153="","",COUNTIFS('Calculations'!$BN$13:$BN$512,1,'Calculations'!$BU$13:$BU$512,'Calculations'!DE153,'Calculations'!$BT$13:$BT$512,1,'Calculations'!$EE$13:$EE$512,"Low"))</x:f>
      </x:c>
      <x:c r="DN153" s="4" t="str">
        <x:f>IF('Calculations'!DE153="","",COUNTIFS('Calculations'!$BN$13:$BN$512,1,'Calculations'!$BU$13:$BU$512,'Calculations'!DE153,'Calculations'!$EP$13:$EP$512,1))</x:f>
      </x:c>
      <x:c r="DO153" s="4" t="str">
        <x:f>IF(OR('Calculations'!DE153="",'Calculations'!DG153=0),"",('Calculations'!DJ153+'Calculations'!DK153)/'Calculations'!DG153)</x:f>
      </x:c>
      <x:c r="DP153" s="4" t="n">
        <x:f>IF(AND('Calculations'!DE153&lt;&gt;"",'Calculations'!DF153&gt;0),COUNTIF('Calculations'!$DF$12:DF153,"&gt;0"),0)</x:f>
        <x:v>0</x:v>
      </x:c>
      <x:c r="DQ153" s="4" t="str">
        <x:f>IF(142&gt;MAX('Calculations'!$HH$13:$HH$512),"",INDEX('Calculations'!$HF$13:$HF$512,MATCH(142,'Calculations'!$HH$13:$HH$512,0)))</x:f>
      </x:c>
      <x:c r="DR153" s="4" t="str">
        <x:f>IF(142&gt;MAX('Calculations'!$IK$13:$IK$512),"",INDEX('Calculations'!$HE$13:$HE$512,MATCH(142,'Calculations'!$IK$13:$IK$512,0)))</x:f>
      </x:c>
      <x:c r="DS153" s="4"/>
      <x:c r="DT153" s="4"/>
      <x:c r="DU153" s="4"/>
      <x:c r="DV153" s="4"/>
      <x:c r="DW153" s="4"/>
      <x:c r="DX153" s="4"/>
      <x:c r="DY153" s="4"/>
      <x:c r="DZ153" s="4"/>
      <x:c r="EA153" s="4"/>
      <x:c r="EB153" s="4"/>
      <x:c r="EC153" s="4"/>
      <x:c r="ED153" s="4"/>
      <x:c r="EE153" s="4" t="str">
        <x:f>IF('Calculations'!BT153=0,"Not Rated",IF(OR('Calculations'!BO153&gt;=4,'Calculations'!BP153&gt;=4),"Low",IF('Calculations'!BO153+'Calculations'!BP153&lt;=3,"High",IF('Calculations'!BO153+'Calculations'!BP153&lt;=4,"Strong","Solid"))))</x:f>
        <x:v>Not Rated</x:v>
      </x:c>
      <x:c r="EF153" s="4"/>
      <x:c r="EG153" s="4"/>
      <x:c r="EH153" s="4"/>
      <x:c r="EI153" s="4"/>
      <x:c r="EJ153" s="4"/>
      <x:c r="EK153" s="4"/>
      <x:c r="EL153" s="4"/>
      <x:c r="EM153" s="4" t="str">
        <x:f>IF(141&gt;'Calculations'!$JB$2000,"",INDEX('Calculations'!$JA$12:$JA$2000,MATCH(141,'Calculations'!$JB$12:$JB$2000,0)))</x:f>
      </x:c>
      <x:c r="EN153" s="4" t="n">
        <x:f>IF(OR('Calculations'!EM153="",'Calculations'!$AG$8&gt;0,AND('Calculations'!$EF$2&lt;&gt;"All",'Calculations'!HE153='Calculations'!$EF$2),AND('Calculations'!$EF$3&lt;&gt;"All",'Calculations'!HE153='Calculations'!$EF$3)),0,IF(OR('Dashboard'!$B$7="All",'Calculations'!HN153='Dashboard'!$B$7),IF('Calculations'!$EF$2="All",1,IF('Calculations'!HL153&gt;0,0,IF(COUNTIF('Calculations'!HO153:II153,"="&amp;SUBSTITUTE(SUBSTITUTE(SUBSTITUTE('Calculations'!$EF$2,"~","~~"),"*","~*"),"?","~?"))=0,0,IF('Calculations'!$EF$3="All",1,IF(COUNTIF('Calculations'!HO153:II153,"="&amp;SUBSTITUTE(SUBSTITUTE(SUBSTITUTE('Calculations'!$EF$3,"~","~~"),"*","~*"),"?","~?"))&gt;0,1,0))))),0))</x:f>
        <x:v>0</x:v>
      </x:c>
      <x:c r="EO153" s="4" t="str">
        <x:f>IF('Calculations'!IJ153="","",IF('Calculations'!IJ153="!UNRESOLVED","Unresolved hierarchy",IFERROR(INDEX('Calculations'!$HK$13:$HK$512,MATCH('Calculations'!IJ153,'Calculations'!$HE$13:$HE$512,0)),IFERROR(INDEX('Calculations'!$HJ$13:$HJ$512,MATCH('Calculations'!IJ153,'Calculations'!$HF$13:$HF$512,0)),'Calculations'!IJ153))))</x:f>
      </x:c>
      <x:c r="EP153" s="4" t="n">
        <x:f>IF(AND('Calculations'!EM153&lt;&gt;"",'Calculations'!HF153='Calculations'!IJ153),1,0)</x:f>
        <x:v>0</x:v>
      </x:c>
      <x:c r="EQ153" s="4"/>
      <x:c r="ER153" s="4"/>
      <x:c r="ES153" s="4"/>
      <x:c r="ET153" s="4"/>
      <x:c r="EU153" s="4"/>
      <x:c r="EV153" s="4"/>
      <x:c r="EW153" s="4"/>
      <x:c r="EX153" s="4"/>
      <x:c r="EY153" s="4"/>
      <x:c r="EZ153" s="4"/>
      <x:c r="FA153" s="4"/>
      <x:c r="FB153" s="4"/>
      <x:c r="FC153" s="4"/>
      <x:c r="FD153" s="4"/>
      <x:c r="FE153" s="4"/>
      <x:c r="FF153" s="4"/>
      <x:c r="FG153" s="4"/>
      <x:c r="FH153" s="4"/>
      <x:c r="FI153" s="4"/>
      <x:c r="FJ153" s="4"/>
      <x:c r="FK153" s="4"/>
      <x:c r="FL153" s="4"/>
      <x:c r="FM153" s="4"/>
      <x:c r="FN153" s="4"/>
      <x:c r="FO153" s="4"/>
      <x:c r="GA153" s="71"/>
      <x:c r="GB153" s="71" t="str">
        <x:f>IF('Calculations'!$JJ$2="All","All managers: aggregate overview only. Select a Manager to assess their immediate direct reports.","Rated immediate direct reports of "&amp;IF('Calculations'!$EF$3&lt;&gt;"All",'Calculations'!$JM$21,'Calculations'!$JM$20)&amp;" · Product filter applies · all officer categories")</x:f>
        <x:v>All managers: aggregate overview only. Select a Manager to assess their immediate direct reports.</x:v>
      </x:c>
      <x:c r="GC153" s="71"/>
      <x:c r="GD153" s="71"/>
      <x:c r="GE153" s="71"/>
      <x:c r="GF153" s="71"/>
      <x:c r="GG153" s="71"/>
      <x:c r="GH153" s="71"/>
      <x:c r="GI153" s="71"/>
      <x:c r="GJ153" s="71"/>
      <x:c r="GK153" s="71"/>
      <x:c r="GL153" s="71"/>
      <x:c r="GM153" s="71"/>
      <x:c r="GN153" s="71"/>
      <x:c r="GO153" s="71"/>
      <x:c r="GP153" s="71"/>
      <x:c r="GQ153" s="71"/>
      <x:c r="GR153" s="71"/>
      <x:c r="GS153" s="71"/>
      <x:c r="GT153" s="71"/>
      <x:c r="GU153" s="71"/>
      <x:c r="GV153" s="71"/>
      <x:c r="GW153" s="71"/>
      <x:c r="GX153" s="71"/>
      <x:c r="GY153" s="71"/>
      <x:c r="GZ153" s="71"/>
      <x:c r="HA153" s="71"/>
      <x:c r="HB153" s="71"/>
      <x:c r="HC153" s="71"/>
      <x:c r="HD153" s="71"/>
      <x:c r="HE153" t="str">
        <x:f>IF('Calculations'!EM153="","",IF(IFERROR(IF(INDEX(INDIRECT("'WCM Calibration Final'!$A$1:$A$2000"),'Calculations'!$EM153)="","",TRIM(INDEX(INDIRECT("'WCM Calibration Final'!$A$1:$A$2000"),'Calculations'!$EM153)&amp;"")),"")&lt;&gt;"","G:"&amp;IFERROR(TEXT(1*INDEX(INDIRECT("'WCM Calibration Final'!$A$1:$A$2000"),'Calculations'!$EM153),"0"),UPPER(IFERROR(IF(INDEX(INDIRECT("'WCM Calibration Final'!$A$1:$A$2000"),'Calculations'!$EM153)="","",TRIM(INDEX(INDIRECT("'WCM Calibration Final'!$A$1:$A$2000"),'Calculations'!$EM153)&amp;"")),""))),IF(IFERROR(IF(INDEX(INDIRECT("'WCM Calibration Final'!$C$1:$C$2000"),'Calculations'!$EM153)="","",TRIM(INDEX(INDIRECT("'WCM Calibration Final'!$C$1:$C$2000"),'Calculations'!$EM153)&amp;"")),"")&lt;&gt;"","S:"&amp;UPPER(IFERROR(IF(INDEX(INDIRECT("'WCM Calibration Final'!$C$1:$C$2000"),'Calculations'!$EM153)="","",TRIM(INDEX(INDIRECT("'WCM Calibration Final'!$C$1:$C$2000"),'Calculations'!$EM153)&amp;"")),"")),"R:"&amp;'Calculations'!EM153)))</x:f>
      </x:c>
      <x:c r="HF153" t="str">
        <x:f>IF('Calculations'!EM153="","",IF(IFERROR(IF(INDEX(INDIRECT("'WCM Calibration Final'!$D$1:$D$2000"),'Calculations'!$EM153)="","",TRIM(INDEX(INDIRECT("'WCM Calibration Final'!$D$1:$D$2000"),'Calculations'!$EM153)&amp;"")),"")&lt;&gt;"","G:"&amp;IFERROR(TEXT(1*INDEX(INDIRECT("'WCM Calibration Final'!$D$1:$D$2000"),'Calculations'!$EM153),"0"),UPPER(IFERROR(IF(INDEX(INDIRECT("'WCM Calibration Final'!$D$1:$D$2000"),'Calculations'!$EM153)="","",TRIM(INDEX(INDIRECT("'WCM Calibration Final'!$D$1:$D$2000"),'Calculations'!$EM153)&amp;"")),""))),IF(IFERROR(IF(INDEX(INDIRECT("'WCM Calibration Final'!$E$1:$E$2000"),'Calculations'!$EM153)="","",TRIM(INDEX(INDIRECT("'WCM Calibration Final'!$E$1:$E$2000"),'Calculations'!$EM153)&amp;"")),"")="","",IF(COUNTIF('Calculations'!$HG$13:$HG$512,"="&amp;SUBSTITUTE(SUBSTITUTE(SUBSTITUTE(IFERROR(IF(INDEX(INDIRECT("'WCM Calibration Final'!$E$1:$E$2000"),'Calculations'!$EM153)="","",TRIM(INDEX(INDIRECT("'WCM Calibration Final'!$E$1:$E$2000"),'Calculations'!$EM153)&amp;"")),""),"~","~~"),"*","~*"),"?","~?"))=1,INDEX('Calculations'!$HE$13:$HE$512,MATCH(IFERROR(IF(INDEX(INDIRECT("'WCM Calibration Final'!$E$1:$E$2000"),'Calculations'!$EM153)="","",TRIM(INDEX(INDIRECT("'WCM Calibration Final'!$E$1:$E$2000"),'Calculations'!$EM153)&amp;"")),""),'Calculations'!$HG$13:$HG$512,0)),IF(COUNTIF('Calculations'!$HG$13:$HG$512,"="&amp;SUBSTITUTE(SUBSTITUTE(SUBSTITUTE(IFERROR(IF(INDEX(INDIRECT("'WCM Calibration Final'!$E$1:$E$2000"),'Calculations'!$EM153)="","",TRIM(INDEX(INDIRECT("'WCM Calibration Final'!$E$1:$E$2000"),'Calculations'!$EM153)&amp;"")),""),"~","~~"),"*","~*"),"?","~?"))&gt;1,"!AMBIG","X:"&amp;IFERROR(IF(INDEX(INDIRECT("'WCM Calibration Final'!$E$1:$E$2000"),'Calculations'!$EM153)="","",TRIM(INDEX(INDIRECT("'WCM Calibration Final'!$E$1:$E$2000"),'Calculations'!$EM153)&amp;"")),""))))))</x:f>
      </x:c>
      <x:c r="HG153" t="str">
        <x:f>IF('Calculations'!EM153="","",IFERROR(IF(INDEX(INDIRECT("'WCM Calibration Final'!$B$1:$B$2000"),'Calculations'!$EM153)="","",TRIM(INDEX(INDIRECT("'WCM Calibration Final'!$B$1:$B$2000"),'Calculations'!$EM153)&amp;"")),""))</x:f>
      </x:c>
      <x:c r="HH153" t="n">
        <x:f>IF(AND('Calculations'!JC153&gt;0,COUNTIF('Calculations'!$HF$12:HF153,"="&amp;SUBSTITUTE(SUBSTITUTE(SUBSTITUTE('Calculations'!HF153,"~","~~"),"*","~*"),"?","~?"))=1),MAX('Calculations'!$HH$12:HH152)+1,0)</x:f>
        <x:v>0</x:v>
      </x:c>
      <x:c r="HI153" t="n">
        <x:f>IF(AND('Calculations'!HN153&lt;&gt;"",COUNTIF('Calculations'!$HN$12:HN153,"="&amp;SUBSTITUTE(SUBSTITUTE(SUBSTITUTE('Calculations'!HN153,"~","~~"),"*","~*"),"?","~?"))=1),MAX('Calculations'!$HI$12:HI152)+1,0)</x:f>
        <x:v>0</x:v>
      </x:c>
      <x:c r="HJ153" t="str">
        <x:f>IF('Calculations'!HF153="","",IF(COUNTIF('Calculations'!$HE$13:$HE$512,"="&amp;SUBSTITUTE(SUBSTITUTE(SUBSTITUTE('Calculations'!HF153,"~","~~"),"*","~*"),"?","~?"))=1,INDEX('Calculations'!$HK$13:$HK$512,MATCH('Calculations'!HF153,'Calculations'!$HE$13:$HE$512,0)),IFERROR(IF(INDEX(INDIRECT("'WCM Calibration Final'!$E$1:$E$2000"),'Calculations'!$EM153)="","",TRIM(INDEX(INDIRECT("'WCM Calibration Final'!$E$1:$E$2000"),'Calculations'!$EM153)&amp;"")),"")&amp;" ["&amp;'Calculations'!HF153&amp;"]"))</x:f>
      </x:c>
      <x:c r="HK153" t="str">
        <x:f>IF('Calculations'!EM153="","",'Calculations'!HG153&amp;" ["&amp;'Calculations'!HE153&amp;"]")</x:f>
      </x:c>
      <x:c r="HL153" t="n">
        <x:f>IF('Calculations'!EM153="",0,IF(OR('Calculations'!II153&lt;&gt;"",COUNTIF('Calculations'!$HE$13:$HE$512,"="&amp;SUBSTITUTE(SUBSTITUTE(SUBSTITUTE('Calculations'!HE153,"~","~~"),"*","~*"),"?","~?"))&gt;1),1,0))</x:f>
        <x:v>0</x:v>
      </x:c>
      <x:c r="HM153" t="str">
        <x:f>IF('Calculations'!EM153="","",IF('Calculations'!HL153=1,"!UNRESOLVED",IF('Calculations'!IH153&lt;&gt;"",'Calculations'!IH153,IF('Calculations'!IG153&lt;&gt;"",'Calculations'!IG153,IF('Calculations'!IF153&lt;&gt;"",'Calculations'!IF153,IF('Calculations'!IE153&lt;&gt;"",'Calculations'!IE153,IF('Calculations'!ID153&lt;&gt;"",'Calculations'!ID153,IF('Calculations'!IC153&lt;&gt;"",'Calculations'!IC153,IF('Calculations'!IB153&lt;&gt;"",'Calculations'!IB153,IF('Calculations'!IA153&lt;&gt;"",'Calculations'!IA153,IF('Calculations'!HZ153&lt;&gt;"",'Calculations'!HZ153,IF('Calculations'!HY153&lt;&gt;"",'Calculations'!HY153,IF('Calculations'!HX153&lt;&gt;"",'Calculations'!HX153,IF('Calculations'!HW153&lt;&gt;"",'Calculations'!HW153,IF('Calculations'!HV153&lt;&gt;"",'Calculations'!HV153,IF('Calculations'!HU153&lt;&gt;"",'Calculations'!HU153,IF('Calculations'!HT153&lt;&gt;"",'Calculations'!HT153,IF('Calculations'!HS153&lt;&gt;"",'Calculations'!HS153,IF('Calculations'!HR153&lt;&gt;"",'Calculations'!HR153,IF('Calculations'!HQ153&lt;&gt;"",'Calculations'!HQ153,IF('Calculations'!HP153&lt;&gt;"",'Calculations'!HP153,IF('Calculations'!HO153&lt;&gt;"",'Calculations'!HO153,'Calculations'!HE153))))))))))))))))))))))</x:f>
      </x:c>
      <x:c r="HN153" t="str">
        <x:f>IF('Calculations'!EM153="","",IF(IFERROR(IF(INDEX(INDIRECT("'WCM Calibration Final'!$F$1:$F$2000"),'Calculations'!$EM153)="","",TRIM(INDEX(INDIRECT("'WCM Calibration Final'!$F$1:$F$2000"),'Calculations'!$EM153)&amp;"")),"")="","(Blank)",IFERROR(IF(INDEX(INDIRECT("'WCM Calibration Final'!$F$1:$F$2000"),'Calculations'!$EM153)="","",TRIM(INDEX(INDIRECT("'WCM Calibration Final'!$F$1:$F$2000"),'Calculations'!$EM153)&amp;"")),"")))</x:f>
      </x:c>
      <x:c r="HO153" t="str">
        <x:f>'Calculations'!HF153</x:f>
      </x:c>
      <x:c r="HP153" t="str">
        <x:f>IF('Calculations'!HO153="","",IF('Calculations'!HO153="!AMBIG","!AMBIG",IF(COUNTIF('Calculations'!$HE$13:$HE$512,"="&amp;SUBSTITUTE(SUBSTITUTE(SUBSTITUTE('Calculations'!HO153,"~","~~"),"*","~*"),"?","~?"))&gt;1,"!AMBIG",IFERROR(INDEX('Calculations'!$HF$13:$HF$512,MATCH('Calculations'!HO153,'Calculations'!$HE$13:$HE$512,0)),""))))</x:f>
      </x:c>
      <x:c r="HQ153" t="str">
        <x:f>IF('Calculations'!HP153="","",IF('Calculations'!HP153="!AMBIG","!AMBIG",IF(COUNTIF('Calculations'!$HE$13:$HE$512,"="&amp;SUBSTITUTE(SUBSTITUTE(SUBSTITUTE('Calculations'!HP153,"~","~~"),"*","~*"),"?","~?"))&gt;1,"!AMBIG",IFERROR(INDEX('Calculations'!$HF$13:$HF$512,MATCH('Calculations'!HP153,'Calculations'!$HE$13:$HE$512,0)),""))))</x:f>
      </x:c>
      <x:c r="HR153" t="str">
        <x:f>IF('Calculations'!HQ153="","",IF('Calculations'!HQ153="!AMBIG","!AMBIG",IF(COUNTIF('Calculations'!$HE$13:$HE$512,"="&amp;SUBSTITUTE(SUBSTITUTE(SUBSTITUTE('Calculations'!HQ153,"~","~~"),"*","~*"),"?","~?"))&gt;1,"!AMBIG",IFERROR(INDEX('Calculations'!$HF$13:$HF$512,MATCH('Calculations'!HQ153,'Calculations'!$HE$13:$HE$512,0)),""))))</x:f>
      </x:c>
      <x:c r="HS153" t="str">
        <x:f>IF('Calculations'!HR153="","",IF('Calculations'!HR153="!AMBIG","!AMBIG",IF(COUNTIF('Calculations'!$HE$13:$HE$512,"="&amp;SUBSTITUTE(SUBSTITUTE(SUBSTITUTE('Calculations'!HR153,"~","~~"),"*","~*"),"?","~?"))&gt;1,"!AMBIG",IFERROR(INDEX('Calculations'!$HF$13:$HF$512,MATCH('Calculations'!HR153,'Calculations'!$HE$13:$HE$512,0)),""))))</x:f>
      </x:c>
      <x:c r="HT153" t="str">
        <x:f>IF('Calculations'!HS153="","",IF('Calculations'!HS153="!AMBIG","!AMBIG",IF(COUNTIF('Calculations'!$HE$13:$HE$512,"="&amp;SUBSTITUTE(SUBSTITUTE(SUBSTITUTE('Calculations'!HS153,"~","~~"),"*","~*"),"?","~?"))&gt;1,"!AMBIG",IFERROR(INDEX('Calculations'!$HF$13:$HF$512,MATCH('Calculations'!HS153,'Calculations'!$HE$13:$HE$512,0)),""))))</x:f>
      </x:c>
      <x:c r="HU153" t="str">
        <x:f>IF('Calculations'!HT153="","",IF('Calculations'!HT153="!AMBIG","!AMBIG",IF(COUNTIF('Calculations'!$HE$13:$HE$512,"="&amp;SUBSTITUTE(SUBSTITUTE(SUBSTITUTE('Calculations'!HT153,"~","~~"),"*","~*"),"?","~?"))&gt;1,"!AMBIG",IFERROR(INDEX('Calculations'!$HF$13:$HF$512,MATCH('Calculations'!HT153,'Calculations'!$HE$13:$HE$512,0)),""))))</x:f>
      </x:c>
      <x:c r="HV153" t="str">
        <x:f>IF('Calculations'!HU153="","",IF('Calculations'!HU153="!AMBIG","!AMBIG",IF(COUNTIF('Calculations'!$HE$13:$HE$512,"="&amp;SUBSTITUTE(SUBSTITUTE(SUBSTITUTE('Calculations'!HU153,"~","~~"),"*","~*"),"?","~?"))&gt;1,"!AMBIG",IFERROR(INDEX('Calculations'!$HF$13:$HF$512,MATCH('Calculations'!HU153,'Calculations'!$HE$13:$HE$512,0)),""))))</x:f>
      </x:c>
      <x:c r="HW153" t="str">
        <x:f>IF('Calculations'!HV153="","",IF('Calculations'!HV153="!AMBIG","!AMBIG",IF(COUNTIF('Calculations'!$HE$13:$HE$512,"="&amp;SUBSTITUTE(SUBSTITUTE(SUBSTITUTE('Calculations'!HV153,"~","~~"),"*","~*"),"?","~?"))&gt;1,"!AMBIG",IFERROR(INDEX('Calculations'!$HF$13:$HF$512,MATCH('Calculations'!HV153,'Calculations'!$HE$13:$HE$512,0)),""))))</x:f>
      </x:c>
      <x:c r="HX153" t="str">
        <x:f>IF('Calculations'!HW153="","",IF('Calculations'!HW153="!AMBIG","!AMBIG",IF(COUNTIF('Calculations'!$HE$13:$HE$512,"="&amp;SUBSTITUTE(SUBSTITUTE(SUBSTITUTE('Calculations'!HW153,"~","~~"),"*","~*"),"?","~?"))&gt;1,"!AMBIG",IFERROR(INDEX('Calculations'!$HF$13:$HF$512,MATCH('Calculations'!HW153,'Calculations'!$HE$13:$HE$512,0)),""))))</x:f>
      </x:c>
      <x:c r="HY153" t="str">
        <x:f>IF('Calculations'!HX153="","",IF('Calculations'!HX153="!AMBIG","!AMBIG",IF(COUNTIF('Calculations'!$HE$13:$HE$512,"="&amp;SUBSTITUTE(SUBSTITUTE(SUBSTITUTE('Calculations'!HX153,"~","~~"),"*","~*"),"?","~?"))&gt;1,"!AMBIG",IFERROR(INDEX('Calculations'!$HF$13:$HF$512,MATCH('Calculations'!HX153,'Calculations'!$HE$13:$HE$512,0)),""))))</x:f>
      </x:c>
      <x:c r="HZ153" t="str">
        <x:f>IF('Calculations'!HY153="","",IF('Calculations'!HY153="!AMBIG","!AMBIG",IF(COUNTIF('Calculations'!$HE$13:$HE$512,"="&amp;SUBSTITUTE(SUBSTITUTE(SUBSTITUTE('Calculations'!HY153,"~","~~"),"*","~*"),"?","~?"))&gt;1,"!AMBIG",IFERROR(INDEX('Calculations'!$HF$13:$HF$512,MATCH('Calculations'!HY153,'Calculations'!$HE$13:$HE$512,0)),""))))</x:f>
      </x:c>
      <x:c r="IA153" t="str">
        <x:f>IF('Calculations'!HZ153="","",IF('Calculations'!HZ153="!AMBIG","!AMBIG",IF(COUNTIF('Calculations'!$HE$13:$HE$512,"="&amp;SUBSTITUTE(SUBSTITUTE(SUBSTITUTE('Calculations'!HZ153,"~","~~"),"*","~*"),"?","~?"))&gt;1,"!AMBIG",IFERROR(INDEX('Calculations'!$HF$13:$HF$512,MATCH('Calculations'!HZ153,'Calculations'!$HE$13:$HE$512,0)),""))))</x:f>
      </x:c>
      <x:c r="IB153" t="str">
        <x:f>IF('Calculations'!IA153="","",IF('Calculations'!IA153="!AMBIG","!AMBIG",IF(COUNTIF('Calculations'!$HE$13:$HE$512,"="&amp;SUBSTITUTE(SUBSTITUTE(SUBSTITUTE('Calculations'!IA153,"~","~~"),"*","~*"),"?","~?"))&gt;1,"!AMBIG",IFERROR(INDEX('Calculations'!$HF$13:$HF$512,MATCH('Calculations'!IA153,'Calculations'!$HE$13:$HE$512,0)),""))))</x:f>
      </x:c>
      <x:c r="IC153" t="str">
        <x:f>IF('Calculations'!IB153="","",IF('Calculations'!IB153="!AMBIG","!AMBIG",IF(COUNTIF('Calculations'!$HE$13:$HE$512,"="&amp;SUBSTITUTE(SUBSTITUTE(SUBSTITUTE('Calculations'!IB153,"~","~~"),"*","~*"),"?","~?"))&gt;1,"!AMBIG",IFERROR(INDEX('Calculations'!$HF$13:$HF$512,MATCH('Calculations'!IB153,'Calculations'!$HE$13:$HE$512,0)),""))))</x:f>
      </x:c>
      <x:c r="ID153" t="str">
        <x:f>IF('Calculations'!IC153="","",IF('Calculations'!IC153="!AMBIG","!AMBIG",IF(COUNTIF('Calculations'!$HE$13:$HE$512,"="&amp;SUBSTITUTE(SUBSTITUTE(SUBSTITUTE('Calculations'!IC153,"~","~~"),"*","~*"),"?","~?"))&gt;1,"!AMBIG",IFERROR(INDEX('Calculations'!$HF$13:$HF$512,MATCH('Calculations'!IC153,'Calculations'!$HE$13:$HE$512,0)),""))))</x:f>
      </x:c>
      <x:c r="IE153" t="str">
        <x:f>IF('Calculations'!ID153="","",IF('Calculations'!ID153="!AMBIG","!AMBIG",IF(COUNTIF('Calculations'!$HE$13:$HE$512,"="&amp;SUBSTITUTE(SUBSTITUTE(SUBSTITUTE('Calculations'!ID153,"~","~~"),"*","~*"),"?","~?"))&gt;1,"!AMBIG",IFERROR(INDEX('Calculations'!$HF$13:$HF$512,MATCH('Calculations'!ID153,'Calculations'!$HE$13:$HE$512,0)),""))))</x:f>
      </x:c>
      <x:c r="IF153" t="str">
        <x:f>IF('Calculations'!IE153="","",IF('Calculations'!IE153="!AMBIG","!AMBIG",IF(COUNTIF('Calculations'!$HE$13:$HE$512,"="&amp;SUBSTITUTE(SUBSTITUTE(SUBSTITUTE('Calculations'!IE153,"~","~~"),"*","~*"),"?","~?"))&gt;1,"!AMBIG",IFERROR(INDEX('Calculations'!$HF$13:$HF$512,MATCH('Calculations'!IE153,'Calculations'!$HE$13:$HE$512,0)),""))))</x:f>
      </x:c>
      <x:c r="IG153" t="str">
        <x:f>IF('Calculations'!IF153="","",IF('Calculations'!IF153="!AMBIG","!AMBIG",IF(COUNTIF('Calculations'!$HE$13:$HE$512,"="&amp;SUBSTITUTE(SUBSTITUTE(SUBSTITUTE('Calculations'!IF153,"~","~~"),"*","~*"),"?","~?"))&gt;1,"!AMBIG",IFERROR(INDEX('Calculations'!$HF$13:$HF$512,MATCH('Calculations'!IF153,'Calculations'!$HE$13:$HE$512,0)),""))))</x:f>
      </x:c>
      <x:c r="IH153" t="str">
        <x:f>IF('Calculations'!IG153="","",IF('Calculations'!IG153="!AMBIG","!AMBIG",IF(COUNTIF('Calculations'!$HE$13:$HE$512,"="&amp;SUBSTITUTE(SUBSTITUTE(SUBSTITUTE('Calculations'!IG153,"~","~~"),"*","~*"),"?","~?"))&gt;1,"!AMBIG",IFERROR(INDEX('Calculations'!$HF$13:$HF$512,MATCH('Calculations'!IG153,'Calculations'!$HE$13:$HE$512,0)),""))))</x:f>
      </x:c>
      <x:c r="II153" t="str">
        <x:f>IF('Calculations'!IH153="","",IF('Calculations'!IH153="!AMBIG","!AMBIG",IF(COUNTIF('Calculations'!$HE$13:$HE$512,"="&amp;SUBSTITUTE(SUBSTITUTE(SUBSTITUTE('Calculations'!IH153,"~","~~"),"*","~*"),"?","~?"))&gt;1,"!AMBIG",IFERROR(INDEX('Calculations'!$HF$13:$HF$512,MATCH('Calculations'!IH153,'Calculations'!$HE$13:$HE$512,0)),""))))</x:f>
      </x:c>
      <x:c r="IJ153" t="str">
        <x:f>IF('Calculations'!EM153="","",IF('Calculations'!$EF$2="All",'Calculations'!HM153,IF('Calculations'!HL153=1,"",IFERROR(IF(MATCH('Calculations'!$EF$2,'Calculations'!HO153:II153,0)=1,'Calculations'!HE153,INDEX('Calculations'!HO153:II153,1,MATCH('Calculations'!$EF$2,'Calculations'!HO153:II153,0)-1)),""))))</x:f>
      </x:c>
      <x:c r="IK153" t="n">
        <x:f>IF(AND('Calculations'!EM153&lt;&gt;"",'Calculations'!$EF$2&lt;&gt;"All",'Calculations'!HF153='Calculations'!$EF$2,'Calculations'!HL153=0,'Calculations'!JD153&gt;0),MAX('Calculations'!$IK$12:IK152)+1,0)</x:f>
        <x:v>0</x:v>
      </x:c>
      <x:c r="JA153" t="n">
        <x:f>IF(OR(IFERROR(INDIRECT("'WCM Calibration Final'!$A$153")&lt;&gt;"",FALSE),IFERROR(INDIRECT("'WCM Calibration Final'!$B$153")&lt;&gt;"",FALSE),IFERROR(INDIRECT("'WCM Calibration Final'!$C$153")&lt;&gt;"",FALSE)),153,0)</x:f>
        <x:v>0</x:v>
      </x:c>
      <x:c r="JB153" t="n">
        <x:f>'Calculations'!JB152+IF('Calculations'!JA153&gt;0,1,0)</x:f>
        <x:v>0</x:v>
      </x:c>
      <x:c r="JC153" t="n">
        <x:f>IF(OR('Calculations'!HF153="",'Calculations'!HF153="!AMBIG"),0,IF('Dashboard'!$B$7="All",1,COUNTIFS('Calculations'!$HO$13:$HO$512,"="&amp;SUBSTITUTE(SUBSTITUTE(SUBSTITUTE('Calculations'!HF153,"~","~~"),"*","~*"),"?","~?"),'Calculations'!$HN$13:$HN$512,"="&amp;SUBSTITUTE(SUBSTITUTE(SUBSTITUTE('Dashboard'!$B$7,"~","~~"),"*","~*"),"?","~?"))+COUNTIFS('Calculations'!$HP$13:$HP$512,"="&amp;SUBSTITUTE(SUBSTITUTE(SUBSTITUTE('Calculations'!HF153,"~","~~"),"*","~*"),"?","~?"),'Calculations'!$HN$13:$HN$512,"="&amp;SUBSTITUTE(SUBSTITUTE(SUBSTITUTE('Dashboard'!$B$7,"~","~~"),"*","~*"),"?","~?"))+COUNTIFS('Calculations'!$HQ$13:$HQ$512,"="&amp;SUBSTITUTE(SUBSTITUTE(SUBSTITUTE('Calculations'!HF153,"~","~~"),"*","~*"),"?","~?"),'Calculations'!$HN$13:$HN$512,"="&amp;SUBSTITUTE(SUBSTITUTE(SUBSTITUTE('Dashboard'!$B$7,"~","~~"),"*","~*"),"?","~?"))+COUNTIFS('Calculations'!$HR$13:$HR$512,"="&amp;SUBSTITUTE(SUBSTITUTE(SUBSTITUTE('Calculations'!HF153,"~","~~"),"*","~*"),"?","~?"),'Calculations'!$HN$13:$HN$512,"="&amp;SUBSTITUTE(SUBSTITUTE(SUBSTITUTE('Dashboard'!$B$7,"~","~~"),"*","~*"),"?","~?"))+COUNTIFS('Calculations'!$HS$13:$HS$512,"="&amp;SUBSTITUTE(SUBSTITUTE(SUBSTITUTE('Calculations'!HF153,"~","~~"),"*","~*"),"?","~?"),'Calculations'!$HN$13:$HN$512,"="&amp;SUBSTITUTE(SUBSTITUTE(SUBSTITUTE('Dashboard'!$B$7,"~","~~"),"*","~*"),"?","~?"))+COUNTIFS('Calculations'!$HT$13:$HT$512,"="&amp;SUBSTITUTE(SUBSTITUTE(SUBSTITUTE('Calculations'!HF153,"~","~~"),"*","~*"),"?","~?"),'Calculations'!$HN$13:$HN$512,"="&amp;SUBSTITUTE(SUBSTITUTE(SUBSTITUTE('Dashboard'!$B$7,"~","~~"),"*","~*"),"?","~?"))+COUNTIFS('Calculations'!$HU$13:$HU$512,"="&amp;SUBSTITUTE(SUBSTITUTE(SUBSTITUTE('Calculations'!HF153,"~","~~"),"*","~*"),"?","~?"),'Calculations'!$HN$13:$HN$512,"="&amp;SUBSTITUTE(SUBSTITUTE(SUBSTITUTE('Dashboard'!$B$7,"~","~~"),"*","~*"),"?","~?"))+COUNTIFS('Calculations'!$HV$13:$HV$512,"="&amp;SUBSTITUTE(SUBSTITUTE(SUBSTITUTE('Calculations'!HF153,"~","~~"),"*","~*"),"?","~?"),'Calculations'!$HN$13:$HN$512,"="&amp;SUBSTITUTE(SUBSTITUTE(SUBSTITUTE('Dashboard'!$B$7,"~","~~"),"*","~*"),"?","~?"))+COUNTIFS('Calculations'!$HW$13:$HW$512,"="&amp;SUBSTITUTE(SUBSTITUTE(SUBSTITUTE('Calculations'!HF153,"~","~~"),"*","~*"),"?","~?"),'Calculations'!$HN$13:$HN$512,"="&amp;SUBSTITUTE(SUBSTITUTE(SUBSTITUTE('Dashboard'!$B$7,"~","~~"),"*","~*"),"?","~?"))+COUNTIFS('Calculations'!$HX$13:$HX$512,"="&amp;SUBSTITUTE(SUBSTITUTE(SUBSTITUTE('Calculations'!HF153,"~","~~"),"*","~*"),"?","~?"),'Calculations'!$HN$13:$HN$512,"="&amp;SUBSTITUTE(SUBSTITUTE(SUBSTITUTE('Dashboard'!$B$7,"~","~~"),"*","~*"),"?","~?"))+COUNTIFS('Calculations'!$HY$13:$HY$512,"="&amp;SUBSTITUTE(SUBSTITUTE(SUBSTITUTE('Calculations'!HF153,"~","~~"),"*","~*"),"?","~?"),'Calculations'!$HN$13:$HN$512,"="&amp;SUBSTITUTE(SUBSTITUTE(SUBSTITUTE('Dashboard'!$B$7,"~","~~"),"*","~*"),"?","~?"))+COUNTIFS('Calculations'!$HZ$13:$HZ$512,"="&amp;SUBSTITUTE(SUBSTITUTE(SUBSTITUTE('Calculations'!HF153,"~","~~"),"*","~*"),"?","~?"),'Calculations'!$HN$13:$HN$512,"="&amp;SUBSTITUTE(SUBSTITUTE(SUBSTITUTE('Dashboard'!$B$7,"~","~~"),"*","~*"),"?","~?"))+COUNTIFS('Calculations'!$IA$13:$IA$512,"="&amp;SUBSTITUTE(SUBSTITUTE(SUBSTITUTE('Calculations'!HF153,"~","~~"),"*","~*"),"?","~?"),'Calculations'!$HN$13:$HN$512,"="&amp;SUBSTITUTE(SUBSTITUTE(SUBSTITUTE('Dashboard'!$B$7,"~","~~"),"*","~*"),"?","~?"))+COUNTIFS('Calculations'!$IB$13:$IB$512,"="&amp;SUBSTITUTE(SUBSTITUTE(SUBSTITUTE('Calculations'!HF153,"~","~~"),"*","~*"),"?","~?"),'Calculations'!$HN$13:$HN$512,"="&amp;SUBSTITUTE(SUBSTITUTE(SUBSTITUTE('Dashboard'!$B$7,"~","~~"),"*","~*"),"?","~?"))+COUNTIFS('Calculations'!$IC$13:$IC$512,"="&amp;SUBSTITUTE(SUBSTITUTE(SUBSTITUTE('Calculations'!HF153,"~","~~"),"*","~*"),"?","~?"),'Calculations'!$HN$13:$HN$512,"="&amp;SUBSTITUTE(SUBSTITUTE(SUBSTITUTE('Dashboard'!$B$7,"~","~~"),"*","~*"),"?","~?"))+COUNTIFS('Calculations'!$ID$13:$ID$512,"="&amp;SUBSTITUTE(SUBSTITUTE(SUBSTITUTE('Calculations'!HF153,"~","~~"),"*","~*"),"?","~?"),'Calculations'!$HN$13:$HN$512,"="&amp;SUBSTITUTE(SUBSTITUTE(SUBSTITUTE('Dashboard'!$B$7,"~","~~"),"*","~*"),"?","~?"))+COUNTIFS('Calculations'!$IE$13:$IE$512,"="&amp;SUBSTITUTE(SUBSTITUTE(SUBSTITUTE('Calculations'!HF153,"~","~~"),"*","~*"),"?","~?"),'Calculations'!$HN$13:$HN$512,"="&amp;SUBSTITUTE(SUBSTITUTE(SUBSTITUTE('Dashboard'!$B$7,"~","~~"),"*","~*"),"?","~?"))+COUNTIFS('Calculations'!$IF$13:$IF$512,"="&amp;SUBSTITUTE(SUBSTITUTE(SUBSTITUTE('Calculations'!HF153,"~","~~"),"*","~*"),"?","~?"),'Calculations'!$HN$13:$HN$512,"="&amp;SUBSTITUTE(SUBSTITUTE(SUBSTITUTE('Dashboard'!$B$7,"~","~~"),"*","~*"),"?","~?"))+COUNTIFS('Calculations'!$IG$13:$IG$512,"="&amp;SUBSTITUTE(SUBSTITUTE(SUBSTITUTE('Calculations'!HF153,"~","~~"),"*","~*"),"?","~?"),'Calculations'!$HN$13:$HN$512,"="&amp;SUBSTITUTE(SUBSTITUTE(SUBSTITUTE('Dashboard'!$B$7,"~","~~"),"*","~*"),"?","~?"))+COUNTIFS('Calculations'!$IH$13:$IH$512,"="&amp;SUBSTITUTE(SUBSTITUTE(SUBSTITUTE('Calculations'!HF153,"~","~~"),"*","~*"),"?","~?"),'Calculations'!$HN$13:$HN$512,"="&amp;SUBSTITUTE(SUBSTITUTE(SUBSTITUTE('Dashboard'!$B$7,"~","~~"),"*","~*"),"?","~?"))))</x:f>
        <x:v>0</x:v>
      </x:c>
      <x:c r="JD153" t="n">
        <x:f>IF('Calculations'!EM153="",0,IF('Dashboard'!$B$7="All",1,IF('Calculations'!HN153='Dashboard'!$B$7,1,0)+IFERROR(INDEX('Calculations'!$JC$13:$JC$512,MATCH('Calculations'!HE153,'Calculations'!$HF$13:$HF$512,0)),0)))</x:f>
        <x:v>0</x:v>
      </x:c>
      <x:c r="JE153" t="n">
        <x:f>IF(AND('Calculations'!EM153&lt;&gt;"",'Calculations'!$JJ$2&lt;&gt;"All",'Calculations'!$JJ$2&lt;&gt;"",'Calculations'!HF153='Calculations'!$JJ$2,'Calculations'!HL153=0,'Calculations'!JD153&gt;0),MAX('Calculations'!$JE$12:JE152)+1,0)</x:f>
        <x:v>0</x:v>
      </x:c>
      <x:c r="JF153" t="str">
        <x:f>IF('Calculations'!EM153="","",IFERROR(IF(INDEX(INDIRECT("'WCM Calibration Final'!$G$1:$G$2000"),'Calculations'!$EM153)="","",TRIM(INDEX(INDIRECT("'WCM Calibration Final'!$G$1:$G$2000"),'Calculations'!$EM153)&amp;"")),""))</x:f>
      </x:c>
      <x:c r="JQ153" t="n">
        <x:f>IF(OR('Calculations'!BM153=0,NOT('Calculations'!$AG$2),'Calculations'!$AG$8&gt;0),0,IF(OR('Dashboard'!$B$7="All",'Calculations'!HN153='Dashboard'!$B$7),IF('Calculations'!$JJ$2="All",1,IF(AND('Calculations'!HF153='Calculations'!$JJ$2,'Calculations'!HL153=0),1,0)),0))</x:f>
        <x:v>0</x:v>
      </x:c>
    </x:row>
    <x:row r="15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t="n">
        <x:f>IF('Calculations'!$EM154="",0,IF(OR(IFERROR(INDEX(INDIRECT("'WCM Calibration Final'!$A$1:$A$2000"),'Calculations'!$EM154)&lt;&gt;"",FALSE),IFERROR(INDEX(INDIRECT("'WCM Calibration Final'!$B$1:$B$2000"),'Calculations'!$EM154)&lt;&gt;"",FALSE),IFERROR(INDEX(INDIRECT("'WCM Calibration Final'!$C$1:$C$2000"),'Calculations'!$EM154)&lt;&gt;"",FALSE)),1,0))</x:f>
        <x:v>0</x:v>
      </x:c>
      <x:c r="BN154" s="4" t="n">
        <x:f>IF(AND('Calculations'!BM154=1,'Calculations'!$AG$2,'Calculations'!$EN154=1),1,0)</x:f>
        <x:v>0</x:v>
      </x:c>
      <x:c r="BO154" s="4" t="str">
        <x:f>IF('Calculations'!BM154=0,"",IFERROR(IF(AND(VALUE(INDEX(INDIRECT("'WCM Calibration Final'!$K$1:$K$2000"),'Calculations'!$EM154))&gt;=1,VALUE(INDEX(INDIRECT("'WCM Calibration Final'!$K$1:$K$2000"),'Calculations'!$EM154))&lt;=4,MOD(VALUE(INDEX(INDIRECT("'WCM Calibration Final'!$K$1:$K$2000"),'Calculations'!$EM154)),1)=0),VALUE(INDEX(INDIRECT("'WCM Calibration Final'!$K$1:$K$2000"),'Calculations'!$EM154)),""),""))</x:f>
      </x:c>
      <x:c r="BP154" s="4" t="str">
        <x:f>IF('Calculations'!BM154=0,"",IFERROR(IF(AND(VALUE(INDEX(INDIRECT("'WCM Calibration Final'!$L$1:$L$2000"),'Calculations'!$EM154))&gt;=1,VALUE(INDEX(INDIRECT("'WCM Calibration Final'!$L$1:$L$2000"),'Calculations'!$EM154))&lt;=4,MOD(VALUE(INDEX(INDIRECT("'WCM Calibration Final'!$L$1:$L$2000"),'Calculations'!$EM154)),1)=0),VALUE(INDEX(INDIRECT("'WCM Calibration Final'!$L$1:$L$2000"),'Calculations'!$EM154)),""),""))</x:f>
      </x:c>
      <x:c r="BQ154" s="4"/>
      <x:c r="BR154" s="4"/>
      <x:c r="BS154" s="4"/>
      <x:c r="BT154" s="4" t="n">
        <x:f>IF(AND('Calculations'!BM154=1,ISNUMBER('Calculations'!BO154),ISNUMBER('Calculations'!BP154)),1,0)</x:f>
        <x:v>0</x:v>
      </x:c>
      <x:c r="BU154" s="4" t="str">
        <x:f>IF('Calculations'!BM154=0,"",'Calculations'!$EO154)</x:f>
      </x:c>
      <x:c r="BV154" s="4" t="str">
        <x:f>IF('Calculations'!BM154=0,"",IFERROR(IF(OR(INDEX(INDIRECT("'WCM Calibration Final'!$H$1:$H$2000"),'Calculations'!$EM154)="MANAGING DIRECTOR",INDEX(INDIRECT("'WCM Calibration Final'!$H$1:$H$2000"),'Calculations'!$EM154)="DIRECTOR",INDEX(INDIRECT("'WCM Calibration Final'!$H$1:$H$2000"),'Calculations'!$EM154)="SENIOR VICE PRESIDENT",INDEX(INDIRECT("'WCM Calibration Final'!$H$1:$H$2000"),'Calculations'!$EM154)="VICE PRESIDENT",INDEX(INDIRECT("'WCM Calibration Final'!$H$1:$H$2000"),'Calculations'!$EM154)="ASSISTANT VICE PRESIDENT",INDEX(INDIRECT("'WCM Calibration Final'!$H$1:$H$2000"),'Calculations'!$EM154)="OFFICER"),UPPER(INDEX(INDIRECT("'WCM Calibration Final'!$H$1:$H$2000"),'Calculations'!$EM154)),"Other"),"Other"))</x:f>
      </x:c>
      <x:c r="BW154" s="4"/>
      <x:c r="BX154" s="4"/>
      <x:c r="BY154" s="4" t="n">
        <x:f>IF(AND('Calculations'!BM154=1,'Calculations'!BU154&lt;&gt;"",COUNTIF('Calculations'!$BU$12:BU154,'Calculations'!BU154)=1),MAX('Calculations'!$BY$11:BY153)+1,0)</x:f>
        <x:v>0</x:v>
      </x:c>
      <x:c r="BZ154" s="4" t="str">
        <x:f>IF('Dashboard'!$E$67="What",'Calculations'!BO154,'Calculations'!BP154)</x:f>
      </x:c>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t="str">
        <x:f>IF(143&gt;MAX('Calculations'!$HI$13:$HI$512),"",INDEX('Calculations'!$HN$13:$HN$512,MATCH(143,'Calculations'!$HI$13:$HI$512,0)))</x:f>
      </x:c>
      <x:c r="DB154" s="4" t="str">
        <x:f>IF(143&gt;MAX('Calculations'!$HH$13:$HH$512),"",INDEX('Calculations'!$HJ$13:$HJ$512,MATCH(143,'Calculations'!$HH$13:$HH$512,0)))</x:f>
      </x:c>
      <x:c r="DC154" s="4" t="str">
        <x:f>IF(ROW()-11&gt;MAX('Calculations'!$BY$13:$BY$512),"",INDEX('Calculations'!$BU$13:$BU$512,MATCH(ROW()-11,'Calculations'!$BY$13:$BY$512,0)))</x:f>
      </x:c>
      <x:c r="DD154" s="4" t="str">
        <x:f>IF(143&gt;MAX('Calculations'!$IK$13:$IK$512),"",INDEX('Calculations'!$HK$13:$HK$512,MATCH(143,'Calculations'!$IK$13:$IK$512,0)))</x:f>
      </x:c>
      <x:c r="DE154" s="4" t="str">
        <x:f>'Calculations'!DC154</x:f>
      </x:c>
      <x:c r="DF154" s="4" t="str">
        <x:f>IF('Calculations'!DE154="","",COUNTIFS('Calculations'!$BN$13:$BN$512,1,'Calculations'!$BU$13:$BU$512,'Calculations'!DE154))</x:f>
      </x:c>
      <x:c r="DG154" s="4" t="str">
        <x:f>IF('Calculations'!DE154="","",COUNTIFS('Calculations'!$BN$13:$BN$512,1,'Calculations'!$BU$13:$BU$512,'Calculations'!DE154,'Calculations'!$BT$13:$BT$512,1))</x:f>
      </x:c>
      <x:c r="DH154" s="4" t="str">
        <x:f>IF('Calculations'!DE154="","",'Calculations'!DF154-'Calculations'!DG154)</x:f>
      </x:c>
      <x:c r="DI154" s="4" t="str">
        <x:f>IF(OR('Calculations'!DE154="",'Calculations'!DF154=0),"",'Calculations'!DG154/'Calculations'!DF154)</x:f>
      </x:c>
      <x:c r="DJ154" s="4" t="str">
        <x:f>IF('Calculations'!DE154="","",COUNTIFS('Calculations'!$BN$13:$BN$512,1,'Calculations'!$BU$13:$BU$512,'Calculations'!DE154,'Calculations'!$BT$13:$BT$512,1,'Calculations'!$EE$13:$EE$512,"High"))</x:f>
      </x:c>
      <x:c r="DK154" s="4" t="str">
        <x:f>IF('Calculations'!DE154="","",COUNTIFS('Calculations'!$BN$13:$BN$512,1,'Calculations'!$BU$13:$BU$512,'Calculations'!DE154,'Calculations'!$BT$13:$BT$512,1,'Calculations'!$EE$13:$EE$512,"Strong"))</x:f>
      </x:c>
      <x:c r="DL154" s="4" t="str">
        <x:f>IF('Calculations'!DE154="","",COUNTIFS('Calculations'!$BN$13:$BN$512,1,'Calculations'!$BU$13:$BU$512,'Calculations'!DE154,'Calculations'!$BT$13:$BT$512,1,'Calculations'!$EE$13:$EE$512,"Solid"))</x:f>
      </x:c>
      <x:c r="DM154" s="4" t="str">
        <x:f>IF('Calculations'!DE154="","",COUNTIFS('Calculations'!$BN$13:$BN$512,1,'Calculations'!$BU$13:$BU$512,'Calculations'!DE154,'Calculations'!$BT$13:$BT$512,1,'Calculations'!$EE$13:$EE$512,"Low"))</x:f>
      </x:c>
      <x:c r="DN154" s="4" t="str">
        <x:f>IF('Calculations'!DE154="","",COUNTIFS('Calculations'!$BN$13:$BN$512,1,'Calculations'!$BU$13:$BU$512,'Calculations'!DE154,'Calculations'!$EP$13:$EP$512,1))</x:f>
      </x:c>
      <x:c r="DO154" s="4" t="str">
        <x:f>IF(OR('Calculations'!DE154="",'Calculations'!DG154=0),"",('Calculations'!DJ154+'Calculations'!DK154)/'Calculations'!DG154)</x:f>
      </x:c>
      <x:c r="DP154" s="4" t="n">
        <x:f>IF(AND('Calculations'!DE154&lt;&gt;"",'Calculations'!DF154&gt;0),COUNTIF('Calculations'!$DF$12:DF154,"&gt;0"),0)</x:f>
        <x:v>0</x:v>
      </x:c>
      <x:c r="DQ154" s="4" t="str">
        <x:f>IF(143&gt;MAX('Calculations'!$HH$13:$HH$512),"",INDEX('Calculations'!$HF$13:$HF$512,MATCH(143,'Calculations'!$HH$13:$HH$512,0)))</x:f>
      </x:c>
      <x:c r="DR154" s="4" t="str">
        <x:f>IF(143&gt;MAX('Calculations'!$IK$13:$IK$512),"",INDEX('Calculations'!$HE$13:$HE$512,MATCH(143,'Calculations'!$IK$13:$IK$512,0)))</x:f>
      </x:c>
      <x:c r="DS154" s="4"/>
      <x:c r="DT154" s="4"/>
      <x:c r="DU154" s="4"/>
      <x:c r="DV154" s="4"/>
      <x:c r="DW154" s="4"/>
      <x:c r="DX154" s="4"/>
      <x:c r="DY154" s="4"/>
      <x:c r="DZ154" s="4"/>
      <x:c r="EA154" s="4"/>
      <x:c r="EB154" s="4"/>
      <x:c r="EC154" s="4"/>
      <x:c r="ED154" s="4"/>
      <x:c r="EE154" s="4" t="str">
        <x:f>IF('Calculations'!BT154=0,"Not Rated",IF(OR('Calculations'!BO154&gt;=4,'Calculations'!BP154&gt;=4),"Low",IF('Calculations'!BO154+'Calculations'!BP154&lt;=3,"High",IF('Calculations'!BO154+'Calculations'!BP154&lt;=4,"Strong","Solid"))))</x:f>
        <x:v>Not Rated</x:v>
      </x:c>
      <x:c r="EF154" s="4"/>
      <x:c r="EG154" s="4"/>
      <x:c r="EH154" s="4"/>
      <x:c r="EI154" s="4"/>
      <x:c r="EJ154" s="4"/>
      <x:c r="EK154" s="4"/>
      <x:c r="EL154" s="4"/>
      <x:c r="EM154" s="4" t="str">
        <x:f>IF(142&gt;'Calculations'!$JB$2000,"",INDEX('Calculations'!$JA$12:$JA$2000,MATCH(142,'Calculations'!$JB$12:$JB$2000,0)))</x:f>
      </x:c>
      <x:c r="EN154" s="4" t="n">
        <x:f>IF(OR('Calculations'!EM154="",'Calculations'!$AG$8&gt;0,AND('Calculations'!$EF$2&lt;&gt;"All",'Calculations'!HE154='Calculations'!$EF$2),AND('Calculations'!$EF$3&lt;&gt;"All",'Calculations'!HE154='Calculations'!$EF$3)),0,IF(OR('Dashboard'!$B$7="All",'Calculations'!HN154='Dashboard'!$B$7),IF('Calculations'!$EF$2="All",1,IF('Calculations'!HL154&gt;0,0,IF(COUNTIF('Calculations'!HO154:II154,"="&amp;SUBSTITUTE(SUBSTITUTE(SUBSTITUTE('Calculations'!$EF$2,"~","~~"),"*","~*"),"?","~?"))=0,0,IF('Calculations'!$EF$3="All",1,IF(COUNTIF('Calculations'!HO154:II154,"="&amp;SUBSTITUTE(SUBSTITUTE(SUBSTITUTE('Calculations'!$EF$3,"~","~~"),"*","~*"),"?","~?"))&gt;0,1,0))))),0))</x:f>
        <x:v>0</x:v>
      </x:c>
      <x:c r="EO154" s="4" t="str">
        <x:f>IF('Calculations'!IJ154="","",IF('Calculations'!IJ154="!UNRESOLVED","Unresolved hierarchy",IFERROR(INDEX('Calculations'!$HK$13:$HK$512,MATCH('Calculations'!IJ154,'Calculations'!$HE$13:$HE$512,0)),IFERROR(INDEX('Calculations'!$HJ$13:$HJ$512,MATCH('Calculations'!IJ154,'Calculations'!$HF$13:$HF$512,0)),'Calculations'!IJ154))))</x:f>
      </x:c>
      <x:c r="EP154" s="4" t="n">
        <x:f>IF(AND('Calculations'!EM154&lt;&gt;"",'Calculations'!HF154='Calculations'!IJ154),1,0)</x:f>
        <x:v>0</x:v>
      </x:c>
      <x:c r="EQ154" s="4"/>
      <x:c r="ER154" s="4"/>
      <x:c r="ES154" s="4"/>
      <x:c r="ET154" s="4"/>
      <x:c r="EU154" s="4"/>
      <x:c r="EV154" s="4"/>
      <x:c r="EW154" s="4"/>
      <x:c r="EX154" s="4"/>
      <x:c r="EY154" s="4"/>
      <x:c r="EZ154" s="4"/>
      <x:c r="FA154" s="4"/>
      <x:c r="FB154" s="4"/>
      <x:c r="FC154" s="4"/>
      <x:c r="FD154" s="4"/>
      <x:c r="FE154" s="4"/>
      <x:c r="FF154" s="4"/>
      <x:c r="FG154" s="4"/>
      <x:c r="FH154" s="4"/>
      <x:c r="FI154" s="4"/>
      <x:c r="FJ154" s="4"/>
      <x:c r="FK154" s="4"/>
      <x:c r="FL154" s="4"/>
      <x:c r="FM154" s="4"/>
      <x:c r="FN154" s="4"/>
      <x:c r="FO154" s="4"/>
      <x:c r="GA154" s="71"/>
      <x:c r="GB154" s="71"/>
      <x:c r="GC154" s="71"/>
      <x:c r="GD154" s="71"/>
      <x:c r="GE154" s="71"/>
      <x:c r="GF154" s="71"/>
      <x:c r="GG154" s="71"/>
      <x:c r="GH154" s="71"/>
      <x:c r="GI154" s="71"/>
      <x:c r="GJ154" s="71"/>
      <x:c r="GK154" s="71"/>
      <x:c r="GL154" s="71"/>
      <x:c r="GM154" s="71"/>
      <x:c r="GN154" s="71"/>
      <x:c r="GO154" s="71"/>
      <x:c r="GP154" s="71"/>
      <x:c r="GQ154" s="71"/>
      <x:c r="GR154" s="71"/>
      <x:c r="GS154" s="71"/>
      <x:c r="GT154" s="71"/>
      <x:c r="GU154" s="71"/>
      <x:c r="GV154" s="71"/>
      <x:c r="GW154" s="71"/>
      <x:c r="GX154" s="71"/>
      <x:c r="GY154" s="71"/>
      <x:c r="GZ154" s="71"/>
      <x:c r="HA154" s="71"/>
      <x:c r="HB154" s="71"/>
      <x:c r="HC154" s="71"/>
      <x:c r="HD154" s="71"/>
      <x:c r="HE154" t="str">
        <x:f>IF('Calculations'!EM154="","",IF(IFERROR(IF(INDEX(INDIRECT("'WCM Calibration Final'!$A$1:$A$2000"),'Calculations'!$EM154)="","",TRIM(INDEX(INDIRECT("'WCM Calibration Final'!$A$1:$A$2000"),'Calculations'!$EM154)&amp;"")),"")&lt;&gt;"","G:"&amp;IFERROR(TEXT(1*INDEX(INDIRECT("'WCM Calibration Final'!$A$1:$A$2000"),'Calculations'!$EM154),"0"),UPPER(IFERROR(IF(INDEX(INDIRECT("'WCM Calibration Final'!$A$1:$A$2000"),'Calculations'!$EM154)="","",TRIM(INDEX(INDIRECT("'WCM Calibration Final'!$A$1:$A$2000"),'Calculations'!$EM154)&amp;"")),""))),IF(IFERROR(IF(INDEX(INDIRECT("'WCM Calibration Final'!$C$1:$C$2000"),'Calculations'!$EM154)="","",TRIM(INDEX(INDIRECT("'WCM Calibration Final'!$C$1:$C$2000"),'Calculations'!$EM154)&amp;"")),"")&lt;&gt;"","S:"&amp;UPPER(IFERROR(IF(INDEX(INDIRECT("'WCM Calibration Final'!$C$1:$C$2000"),'Calculations'!$EM154)="","",TRIM(INDEX(INDIRECT("'WCM Calibration Final'!$C$1:$C$2000"),'Calculations'!$EM154)&amp;"")),"")),"R:"&amp;'Calculations'!EM154)))</x:f>
      </x:c>
      <x:c r="HF154" t="str">
        <x:f>IF('Calculations'!EM154="","",IF(IFERROR(IF(INDEX(INDIRECT("'WCM Calibration Final'!$D$1:$D$2000"),'Calculations'!$EM154)="","",TRIM(INDEX(INDIRECT("'WCM Calibration Final'!$D$1:$D$2000"),'Calculations'!$EM154)&amp;"")),"")&lt;&gt;"","G:"&amp;IFERROR(TEXT(1*INDEX(INDIRECT("'WCM Calibration Final'!$D$1:$D$2000"),'Calculations'!$EM154),"0"),UPPER(IFERROR(IF(INDEX(INDIRECT("'WCM Calibration Final'!$D$1:$D$2000"),'Calculations'!$EM154)="","",TRIM(INDEX(INDIRECT("'WCM Calibration Final'!$D$1:$D$2000"),'Calculations'!$EM154)&amp;"")),""))),IF(IFERROR(IF(INDEX(INDIRECT("'WCM Calibration Final'!$E$1:$E$2000"),'Calculations'!$EM154)="","",TRIM(INDEX(INDIRECT("'WCM Calibration Final'!$E$1:$E$2000"),'Calculations'!$EM154)&amp;"")),"")="","",IF(COUNTIF('Calculations'!$HG$13:$HG$512,"="&amp;SUBSTITUTE(SUBSTITUTE(SUBSTITUTE(IFERROR(IF(INDEX(INDIRECT("'WCM Calibration Final'!$E$1:$E$2000"),'Calculations'!$EM154)="","",TRIM(INDEX(INDIRECT("'WCM Calibration Final'!$E$1:$E$2000"),'Calculations'!$EM154)&amp;"")),""),"~","~~"),"*","~*"),"?","~?"))=1,INDEX('Calculations'!$HE$13:$HE$512,MATCH(IFERROR(IF(INDEX(INDIRECT("'WCM Calibration Final'!$E$1:$E$2000"),'Calculations'!$EM154)="","",TRIM(INDEX(INDIRECT("'WCM Calibration Final'!$E$1:$E$2000"),'Calculations'!$EM154)&amp;"")),""),'Calculations'!$HG$13:$HG$512,0)),IF(COUNTIF('Calculations'!$HG$13:$HG$512,"="&amp;SUBSTITUTE(SUBSTITUTE(SUBSTITUTE(IFERROR(IF(INDEX(INDIRECT("'WCM Calibration Final'!$E$1:$E$2000"),'Calculations'!$EM154)="","",TRIM(INDEX(INDIRECT("'WCM Calibration Final'!$E$1:$E$2000"),'Calculations'!$EM154)&amp;"")),""),"~","~~"),"*","~*"),"?","~?"))&gt;1,"!AMBIG","X:"&amp;IFERROR(IF(INDEX(INDIRECT("'WCM Calibration Final'!$E$1:$E$2000"),'Calculations'!$EM154)="","",TRIM(INDEX(INDIRECT("'WCM Calibration Final'!$E$1:$E$2000"),'Calculations'!$EM154)&amp;"")),""))))))</x:f>
      </x:c>
      <x:c r="HG154" t="str">
        <x:f>IF('Calculations'!EM154="","",IFERROR(IF(INDEX(INDIRECT("'WCM Calibration Final'!$B$1:$B$2000"),'Calculations'!$EM154)="","",TRIM(INDEX(INDIRECT("'WCM Calibration Final'!$B$1:$B$2000"),'Calculations'!$EM154)&amp;"")),""))</x:f>
      </x:c>
      <x:c r="HH154" t="n">
        <x:f>IF(AND('Calculations'!JC154&gt;0,COUNTIF('Calculations'!$HF$12:HF154,"="&amp;SUBSTITUTE(SUBSTITUTE(SUBSTITUTE('Calculations'!HF154,"~","~~"),"*","~*"),"?","~?"))=1),MAX('Calculations'!$HH$12:HH153)+1,0)</x:f>
        <x:v>0</x:v>
      </x:c>
      <x:c r="HI154" t="n">
        <x:f>IF(AND('Calculations'!HN154&lt;&gt;"",COUNTIF('Calculations'!$HN$12:HN154,"="&amp;SUBSTITUTE(SUBSTITUTE(SUBSTITUTE('Calculations'!HN154,"~","~~"),"*","~*"),"?","~?"))=1),MAX('Calculations'!$HI$12:HI153)+1,0)</x:f>
        <x:v>0</x:v>
      </x:c>
      <x:c r="HJ154" t="str">
        <x:f>IF('Calculations'!HF154="","",IF(COUNTIF('Calculations'!$HE$13:$HE$512,"="&amp;SUBSTITUTE(SUBSTITUTE(SUBSTITUTE('Calculations'!HF154,"~","~~"),"*","~*"),"?","~?"))=1,INDEX('Calculations'!$HK$13:$HK$512,MATCH('Calculations'!HF154,'Calculations'!$HE$13:$HE$512,0)),IFERROR(IF(INDEX(INDIRECT("'WCM Calibration Final'!$E$1:$E$2000"),'Calculations'!$EM154)="","",TRIM(INDEX(INDIRECT("'WCM Calibration Final'!$E$1:$E$2000"),'Calculations'!$EM154)&amp;"")),"")&amp;" ["&amp;'Calculations'!HF154&amp;"]"))</x:f>
      </x:c>
      <x:c r="HK154" t="str">
        <x:f>IF('Calculations'!EM154="","",'Calculations'!HG154&amp;" ["&amp;'Calculations'!HE154&amp;"]")</x:f>
      </x:c>
      <x:c r="HL154" t="n">
        <x:f>IF('Calculations'!EM154="",0,IF(OR('Calculations'!II154&lt;&gt;"",COUNTIF('Calculations'!$HE$13:$HE$512,"="&amp;SUBSTITUTE(SUBSTITUTE(SUBSTITUTE('Calculations'!HE154,"~","~~"),"*","~*"),"?","~?"))&gt;1),1,0))</x:f>
        <x:v>0</x:v>
      </x:c>
      <x:c r="HM154" t="str">
        <x:f>IF('Calculations'!EM154="","",IF('Calculations'!HL154=1,"!UNRESOLVED",IF('Calculations'!IH154&lt;&gt;"",'Calculations'!IH154,IF('Calculations'!IG154&lt;&gt;"",'Calculations'!IG154,IF('Calculations'!IF154&lt;&gt;"",'Calculations'!IF154,IF('Calculations'!IE154&lt;&gt;"",'Calculations'!IE154,IF('Calculations'!ID154&lt;&gt;"",'Calculations'!ID154,IF('Calculations'!IC154&lt;&gt;"",'Calculations'!IC154,IF('Calculations'!IB154&lt;&gt;"",'Calculations'!IB154,IF('Calculations'!IA154&lt;&gt;"",'Calculations'!IA154,IF('Calculations'!HZ154&lt;&gt;"",'Calculations'!HZ154,IF('Calculations'!HY154&lt;&gt;"",'Calculations'!HY154,IF('Calculations'!HX154&lt;&gt;"",'Calculations'!HX154,IF('Calculations'!HW154&lt;&gt;"",'Calculations'!HW154,IF('Calculations'!HV154&lt;&gt;"",'Calculations'!HV154,IF('Calculations'!HU154&lt;&gt;"",'Calculations'!HU154,IF('Calculations'!HT154&lt;&gt;"",'Calculations'!HT154,IF('Calculations'!HS154&lt;&gt;"",'Calculations'!HS154,IF('Calculations'!HR154&lt;&gt;"",'Calculations'!HR154,IF('Calculations'!HQ154&lt;&gt;"",'Calculations'!HQ154,IF('Calculations'!HP154&lt;&gt;"",'Calculations'!HP154,IF('Calculations'!HO154&lt;&gt;"",'Calculations'!HO154,'Calculations'!HE154))))))))))))))))))))))</x:f>
      </x:c>
      <x:c r="HN154" t="str">
        <x:f>IF('Calculations'!EM154="","",IF(IFERROR(IF(INDEX(INDIRECT("'WCM Calibration Final'!$F$1:$F$2000"),'Calculations'!$EM154)="","",TRIM(INDEX(INDIRECT("'WCM Calibration Final'!$F$1:$F$2000"),'Calculations'!$EM154)&amp;"")),"")="","(Blank)",IFERROR(IF(INDEX(INDIRECT("'WCM Calibration Final'!$F$1:$F$2000"),'Calculations'!$EM154)="","",TRIM(INDEX(INDIRECT("'WCM Calibration Final'!$F$1:$F$2000"),'Calculations'!$EM154)&amp;"")),"")))</x:f>
      </x:c>
      <x:c r="HO154" t="str">
        <x:f>'Calculations'!HF154</x:f>
      </x:c>
      <x:c r="HP154" t="str">
        <x:f>IF('Calculations'!HO154="","",IF('Calculations'!HO154="!AMBIG","!AMBIG",IF(COUNTIF('Calculations'!$HE$13:$HE$512,"="&amp;SUBSTITUTE(SUBSTITUTE(SUBSTITUTE('Calculations'!HO154,"~","~~"),"*","~*"),"?","~?"))&gt;1,"!AMBIG",IFERROR(INDEX('Calculations'!$HF$13:$HF$512,MATCH('Calculations'!HO154,'Calculations'!$HE$13:$HE$512,0)),""))))</x:f>
      </x:c>
      <x:c r="HQ154" t="str">
        <x:f>IF('Calculations'!HP154="","",IF('Calculations'!HP154="!AMBIG","!AMBIG",IF(COUNTIF('Calculations'!$HE$13:$HE$512,"="&amp;SUBSTITUTE(SUBSTITUTE(SUBSTITUTE('Calculations'!HP154,"~","~~"),"*","~*"),"?","~?"))&gt;1,"!AMBIG",IFERROR(INDEX('Calculations'!$HF$13:$HF$512,MATCH('Calculations'!HP154,'Calculations'!$HE$13:$HE$512,0)),""))))</x:f>
      </x:c>
      <x:c r="HR154" t="str">
        <x:f>IF('Calculations'!HQ154="","",IF('Calculations'!HQ154="!AMBIG","!AMBIG",IF(COUNTIF('Calculations'!$HE$13:$HE$512,"="&amp;SUBSTITUTE(SUBSTITUTE(SUBSTITUTE('Calculations'!HQ154,"~","~~"),"*","~*"),"?","~?"))&gt;1,"!AMBIG",IFERROR(INDEX('Calculations'!$HF$13:$HF$512,MATCH('Calculations'!HQ154,'Calculations'!$HE$13:$HE$512,0)),""))))</x:f>
      </x:c>
      <x:c r="HS154" t="str">
        <x:f>IF('Calculations'!HR154="","",IF('Calculations'!HR154="!AMBIG","!AMBIG",IF(COUNTIF('Calculations'!$HE$13:$HE$512,"="&amp;SUBSTITUTE(SUBSTITUTE(SUBSTITUTE('Calculations'!HR154,"~","~~"),"*","~*"),"?","~?"))&gt;1,"!AMBIG",IFERROR(INDEX('Calculations'!$HF$13:$HF$512,MATCH('Calculations'!HR154,'Calculations'!$HE$13:$HE$512,0)),""))))</x:f>
      </x:c>
      <x:c r="HT154" t="str">
        <x:f>IF('Calculations'!HS154="","",IF('Calculations'!HS154="!AMBIG","!AMBIG",IF(COUNTIF('Calculations'!$HE$13:$HE$512,"="&amp;SUBSTITUTE(SUBSTITUTE(SUBSTITUTE('Calculations'!HS154,"~","~~"),"*","~*"),"?","~?"))&gt;1,"!AMBIG",IFERROR(INDEX('Calculations'!$HF$13:$HF$512,MATCH('Calculations'!HS154,'Calculations'!$HE$13:$HE$512,0)),""))))</x:f>
      </x:c>
      <x:c r="HU154" t="str">
        <x:f>IF('Calculations'!HT154="","",IF('Calculations'!HT154="!AMBIG","!AMBIG",IF(COUNTIF('Calculations'!$HE$13:$HE$512,"="&amp;SUBSTITUTE(SUBSTITUTE(SUBSTITUTE('Calculations'!HT154,"~","~~"),"*","~*"),"?","~?"))&gt;1,"!AMBIG",IFERROR(INDEX('Calculations'!$HF$13:$HF$512,MATCH('Calculations'!HT154,'Calculations'!$HE$13:$HE$512,0)),""))))</x:f>
      </x:c>
      <x:c r="HV154" t="str">
        <x:f>IF('Calculations'!HU154="","",IF('Calculations'!HU154="!AMBIG","!AMBIG",IF(COUNTIF('Calculations'!$HE$13:$HE$512,"="&amp;SUBSTITUTE(SUBSTITUTE(SUBSTITUTE('Calculations'!HU154,"~","~~"),"*","~*"),"?","~?"))&gt;1,"!AMBIG",IFERROR(INDEX('Calculations'!$HF$13:$HF$512,MATCH('Calculations'!HU154,'Calculations'!$HE$13:$HE$512,0)),""))))</x:f>
      </x:c>
      <x:c r="HW154" t="str">
        <x:f>IF('Calculations'!HV154="","",IF('Calculations'!HV154="!AMBIG","!AMBIG",IF(COUNTIF('Calculations'!$HE$13:$HE$512,"="&amp;SUBSTITUTE(SUBSTITUTE(SUBSTITUTE('Calculations'!HV154,"~","~~"),"*","~*"),"?","~?"))&gt;1,"!AMBIG",IFERROR(INDEX('Calculations'!$HF$13:$HF$512,MATCH('Calculations'!HV154,'Calculations'!$HE$13:$HE$512,0)),""))))</x:f>
      </x:c>
      <x:c r="HX154" t="str">
        <x:f>IF('Calculations'!HW154="","",IF('Calculations'!HW154="!AMBIG","!AMBIG",IF(COUNTIF('Calculations'!$HE$13:$HE$512,"="&amp;SUBSTITUTE(SUBSTITUTE(SUBSTITUTE('Calculations'!HW154,"~","~~"),"*","~*"),"?","~?"))&gt;1,"!AMBIG",IFERROR(INDEX('Calculations'!$HF$13:$HF$512,MATCH('Calculations'!HW154,'Calculations'!$HE$13:$HE$512,0)),""))))</x:f>
      </x:c>
      <x:c r="HY154" t="str">
        <x:f>IF('Calculations'!HX154="","",IF('Calculations'!HX154="!AMBIG","!AMBIG",IF(COUNTIF('Calculations'!$HE$13:$HE$512,"="&amp;SUBSTITUTE(SUBSTITUTE(SUBSTITUTE('Calculations'!HX154,"~","~~"),"*","~*"),"?","~?"))&gt;1,"!AMBIG",IFERROR(INDEX('Calculations'!$HF$13:$HF$512,MATCH('Calculations'!HX154,'Calculations'!$HE$13:$HE$512,0)),""))))</x:f>
      </x:c>
      <x:c r="HZ154" t="str">
        <x:f>IF('Calculations'!HY154="","",IF('Calculations'!HY154="!AMBIG","!AMBIG",IF(COUNTIF('Calculations'!$HE$13:$HE$512,"="&amp;SUBSTITUTE(SUBSTITUTE(SUBSTITUTE('Calculations'!HY154,"~","~~"),"*","~*"),"?","~?"))&gt;1,"!AMBIG",IFERROR(INDEX('Calculations'!$HF$13:$HF$512,MATCH('Calculations'!HY154,'Calculations'!$HE$13:$HE$512,0)),""))))</x:f>
      </x:c>
      <x:c r="IA154" t="str">
        <x:f>IF('Calculations'!HZ154="","",IF('Calculations'!HZ154="!AMBIG","!AMBIG",IF(COUNTIF('Calculations'!$HE$13:$HE$512,"="&amp;SUBSTITUTE(SUBSTITUTE(SUBSTITUTE('Calculations'!HZ154,"~","~~"),"*","~*"),"?","~?"))&gt;1,"!AMBIG",IFERROR(INDEX('Calculations'!$HF$13:$HF$512,MATCH('Calculations'!HZ154,'Calculations'!$HE$13:$HE$512,0)),""))))</x:f>
      </x:c>
      <x:c r="IB154" t="str">
        <x:f>IF('Calculations'!IA154="","",IF('Calculations'!IA154="!AMBIG","!AMBIG",IF(COUNTIF('Calculations'!$HE$13:$HE$512,"="&amp;SUBSTITUTE(SUBSTITUTE(SUBSTITUTE('Calculations'!IA154,"~","~~"),"*","~*"),"?","~?"))&gt;1,"!AMBIG",IFERROR(INDEX('Calculations'!$HF$13:$HF$512,MATCH('Calculations'!IA154,'Calculations'!$HE$13:$HE$512,0)),""))))</x:f>
      </x:c>
      <x:c r="IC154" t="str">
        <x:f>IF('Calculations'!IB154="","",IF('Calculations'!IB154="!AMBIG","!AMBIG",IF(COUNTIF('Calculations'!$HE$13:$HE$512,"="&amp;SUBSTITUTE(SUBSTITUTE(SUBSTITUTE('Calculations'!IB154,"~","~~"),"*","~*"),"?","~?"))&gt;1,"!AMBIG",IFERROR(INDEX('Calculations'!$HF$13:$HF$512,MATCH('Calculations'!IB154,'Calculations'!$HE$13:$HE$512,0)),""))))</x:f>
      </x:c>
      <x:c r="ID154" t="str">
        <x:f>IF('Calculations'!IC154="","",IF('Calculations'!IC154="!AMBIG","!AMBIG",IF(COUNTIF('Calculations'!$HE$13:$HE$512,"="&amp;SUBSTITUTE(SUBSTITUTE(SUBSTITUTE('Calculations'!IC154,"~","~~"),"*","~*"),"?","~?"))&gt;1,"!AMBIG",IFERROR(INDEX('Calculations'!$HF$13:$HF$512,MATCH('Calculations'!IC154,'Calculations'!$HE$13:$HE$512,0)),""))))</x:f>
      </x:c>
      <x:c r="IE154" t="str">
        <x:f>IF('Calculations'!ID154="","",IF('Calculations'!ID154="!AMBIG","!AMBIG",IF(COUNTIF('Calculations'!$HE$13:$HE$512,"="&amp;SUBSTITUTE(SUBSTITUTE(SUBSTITUTE('Calculations'!ID154,"~","~~"),"*","~*"),"?","~?"))&gt;1,"!AMBIG",IFERROR(INDEX('Calculations'!$HF$13:$HF$512,MATCH('Calculations'!ID154,'Calculations'!$HE$13:$HE$512,0)),""))))</x:f>
      </x:c>
      <x:c r="IF154" t="str">
        <x:f>IF('Calculations'!IE154="","",IF('Calculations'!IE154="!AMBIG","!AMBIG",IF(COUNTIF('Calculations'!$HE$13:$HE$512,"="&amp;SUBSTITUTE(SUBSTITUTE(SUBSTITUTE('Calculations'!IE154,"~","~~"),"*","~*"),"?","~?"))&gt;1,"!AMBIG",IFERROR(INDEX('Calculations'!$HF$13:$HF$512,MATCH('Calculations'!IE154,'Calculations'!$HE$13:$HE$512,0)),""))))</x:f>
      </x:c>
      <x:c r="IG154" t="str">
        <x:f>IF('Calculations'!IF154="","",IF('Calculations'!IF154="!AMBIG","!AMBIG",IF(COUNTIF('Calculations'!$HE$13:$HE$512,"="&amp;SUBSTITUTE(SUBSTITUTE(SUBSTITUTE('Calculations'!IF154,"~","~~"),"*","~*"),"?","~?"))&gt;1,"!AMBIG",IFERROR(INDEX('Calculations'!$HF$13:$HF$512,MATCH('Calculations'!IF154,'Calculations'!$HE$13:$HE$512,0)),""))))</x:f>
      </x:c>
      <x:c r="IH154" t="str">
        <x:f>IF('Calculations'!IG154="","",IF('Calculations'!IG154="!AMBIG","!AMBIG",IF(COUNTIF('Calculations'!$HE$13:$HE$512,"="&amp;SUBSTITUTE(SUBSTITUTE(SUBSTITUTE('Calculations'!IG154,"~","~~"),"*","~*"),"?","~?"))&gt;1,"!AMBIG",IFERROR(INDEX('Calculations'!$HF$13:$HF$512,MATCH('Calculations'!IG154,'Calculations'!$HE$13:$HE$512,0)),""))))</x:f>
      </x:c>
      <x:c r="II154" t="str">
        <x:f>IF('Calculations'!IH154="","",IF('Calculations'!IH154="!AMBIG","!AMBIG",IF(COUNTIF('Calculations'!$HE$13:$HE$512,"="&amp;SUBSTITUTE(SUBSTITUTE(SUBSTITUTE('Calculations'!IH154,"~","~~"),"*","~*"),"?","~?"))&gt;1,"!AMBIG",IFERROR(INDEX('Calculations'!$HF$13:$HF$512,MATCH('Calculations'!IH154,'Calculations'!$HE$13:$HE$512,0)),""))))</x:f>
      </x:c>
      <x:c r="IJ154" t="str">
        <x:f>IF('Calculations'!EM154="","",IF('Calculations'!$EF$2="All",'Calculations'!HM154,IF('Calculations'!HL154=1,"",IFERROR(IF(MATCH('Calculations'!$EF$2,'Calculations'!HO154:II154,0)=1,'Calculations'!HE154,INDEX('Calculations'!HO154:II154,1,MATCH('Calculations'!$EF$2,'Calculations'!HO154:II154,0)-1)),""))))</x:f>
      </x:c>
      <x:c r="IK154" t="n">
        <x:f>IF(AND('Calculations'!EM154&lt;&gt;"",'Calculations'!$EF$2&lt;&gt;"All",'Calculations'!HF154='Calculations'!$EF$2,'Calculations'!HL154=0,'Calculations'!JD154&gt;0),MAX('Calculations'!$IK$12:IK153)+1,0)</x:f>
        <x:v>0</x:v>
      </x:c>
      <x:c r="JA154" t="n">
        <x:f>IF(OR(IFERROR(INDIRECT("'WCM Calibration Final'!$A$154")&lt;&gt;"",FALSE),IFERROR(INDIRECT("'WCM Calibration Final'!$B$154")&lt;&gt;"",FALSE),IFERROR(INDIRECT("'WCM Calibration Final'!$C$154")&lt;&gt;"",FALSE)),154,0)</x:f>
        <x:v>0</x:v>
      </x:c>
      <x:c r="JB154" t="n">
        <x:f>'Calculations'!JB153+IF('Calculations'!JA154&gt;0,1,0)</x:f>
        <x:v>0</x:v>
      </x:c>
      <x:c r="JC154" t="n">
        <x:f>IF(OR('Calculations'!HF154="",'Calculations'!HF154="!AMBIG"),0,IF('Dashboard'!$B$7="All",1,COUNTIFS('Calculations'!$HO$13:$HO$512,"="&amp;SUBSTITUTE(SUBSTITUTE(SUBSTITUTE('Calculations'!HF154,"~","~~"),"*","~*"),"?","~?"),'Calculations'!$HN$13:$HN$512,"="&amp;SUBSTITUTE(SUBSTITUTE(SUBSTITUTE('Dashboard'!$B$7,"~","~~"),"*","~*"),"?","~?"))+COUNTIFS('Calculations'!$HP$13:$HP$512,"="&amp;SUBSTITUTE(SUBSTITUTE(SUBSTITUTE('Calculations'!HF154,"~","~~"),"*","~*"),"?","~?"),'Calculations'!$HN$13:$HN$512,"="&amp;SUBSTITUTE(SUBSTITUTE(SUBSTITUTE('Dashboard'!$B$7,"~","~~"),"*","~*"),"?","~?"))+COUNTIFS('Calculations'!$HQ$13:$HQ$512,"="&amp;SUBSTITUTE(SUBSTITUTE(SUBSTITUTE('Calculations'!HF154,"~","~~"),"*","~*"),"?","~?"),'Calculations'!$HN$13:$HN$512,"="&amp;SUBSTITUTE(SUBSTITUTE(SUBSTITUTE('Dashboard'!$B$7,"~","~~"),"*","~*"),"?","~?"))+COUNTIFS('Calculations'!$HR$13:$HR$512,"="&amp;SUBSTITUTE(SUBSTITUTE(SUBSTITUTE('Calculations'!HF154,"~","~~"),"*","~*"),"?","~?"),'Calculations'!$HN$13:$HN$512,"="&amp;SUBSTITUTE(SUBSTITUTE(SUBSTITUTE('Dashboard'!$B$7,"~","~~"),"*","~*"),"?","~?"))+COUNTIFS('Calculations'!$HS$13:$HS$512,"="&amp;SUBSTITUTE(SUBSTITUTE(SUBSTITUTE('Calculations'!HF154,"~","~~"),"*","~*"),"?","~?"),'Calculations'!$HN$13:$HN$512,"="&amp;SUBSTITUTE(SUBSTITUTE(SUBSTITUTE('Dashboard'!$B$7,"~","~~"),"*","~*"),"?","~?"))+COUNTIFS('Calculations'!$HT$13:$HT$512,"="&amp;SUBSTITUTE(SUBSTITUTE(SUBSTITUTE('Calculations'!HF154,"~","~~"),"*","~*"),"?","~?"),'Calculations'!$HN$13:$HN$512,"="&amp;SUBSTITUTE(SUBSTITUTE(SUBSTITUTE('Dashboard'!$B$7,"~","~~"),"*","~*"),"?","~?"))+COUNTIFS('Calculations'!$HU$13:$HU$512,"="&amp;SUBSTITUTE(SUBSTITUTE(SUBSTITUTE('Calculations'!HF154,"~","~~"),"*","~*"),"?","~?"),'Calculations'!$HN$13:$HN$512,"="&amp;SUBSTITUTE(SUBSTITUTE(SUBSTITUTE('Dashboard'!$B$7,"~","~~"),"*","~*"),"?","~?"))+COUNTIFS('Calculations'!$HV$13:$HV$512,"="&amp;SUBSTITUTE(SUBSTITUTE(SUBSTITUTE('Calculations'!HF154,"~","~~"),"*","~*"),"?","~?"),'Calculations'!$HN$13:$HN$512,"="&amp;SUBSTITUTE(SUBSTITUTE(SUBSTITUTE('Dashboard'!$B$7,"~","~~"),"*","~*"),"?","~?"))+COUNTIFS('Calculations'!$HW$13:$HW$512,"="&amp;SUBSTITUTE(SUBSTITUTE(SUBSTITUTE('Calculations'!HF154,"~","~~"),"*","~*"),"?","~?"),'Calculations'!$HN$13:$HN$512,"="&amp;SUBSTITUTE(SUBSTITUTE(SUBSTITUTE('Dashboard'!$B$7,"~","~~"),"*","~*"),"?","~?"))+COUNTIFS('Calculations'!$HX$13:$HX$512,"="&amp;SUBSTITUTE(SUBSTITUTE(SUBSTITUTE('Calculations'!HF154,"~","~~"),"*","~*"),"?","~?"),'Calculations'!$HN$13:$HN$512,"="&amp;SUBSTITUTE(SUBSTITUTE(SUBSTITUTE('Dashboard'!$B$7,"~","~~"),"*","~*"),"?","~?"))+COUNTIFS('Calculations'!$HY$13:$HY$512,"="&amp;SUBSTITUTE(SUBSTITUTE(SUBSTITUTE('Calculations'!HF154,"~","~~"),"*","~*"),"?","~?"),'Calculations'!$HN$13:$HN$512,"="&amp;SUBSTITUTE(SUBSTITUTE(SUBSTITUTE('Dashboard'!$B$7,"~","~~"),"*","~*"),"?","~?"))+COUNTIFS('Calculations'!$HZ$13:$HZ$512,"="&amp;SUBSTITUTE(SUBSTITUTE(SUBSTITUTE('Calculations'!HF154,"~","~~"),"*","~*"),"?","~?"),'Calculations'!$HN$13:$HN$512,"="&amp;SUBSTITUTE(SUBSTITUTE(SUBSTITUTE('Dashboard'!$B$7,"~","~~"),"*","~*"),"?","~?"))+COUNTIFS('Calculations'!$IA$13:$IA$512,"="&amp;SUBSTITUTE(SUBSTITUTE(SUBSTITUTE('Calculations'!HF154,"~","~~"),"*","~*"),"?","~?"),'Calculations'!$HN$13:$HN$512,"="&amp;SUBSTITUTE(SUBSTITUTE(SUBSTITUTE('Dashboard'!$B$7,"~","~~"),"*","~*"),"?","~?"))+COUNTIFS('Calculations'!$IB$13:$IB$512,"="&amp;SUBSTITUTE(SUBSTITUTE(SUBSTITUTE('Calculations'!HF154,"~","~~"),"*","~*"),"?","~?"),'Calculations'!$HN$13:$HN$512,"="&amp;SUBSTITUTE(SUBSTITUTE(SUBSTITUTE('Dashboard'!$B$7,"~","~~"),"*","~*"),"?","~?"))+COUNTIFS('Calculations'!$IC$13:$IC$512,"="&amp;SUBSTITUTE(SUBSTITUTE(SUBSTITUTE('Calculations'!HF154,"~","~~"),"*","~*"),"?","~?"),'Calculations'!$HN$13:$HN$512,"="&amp;SUBSTITUTE(SUBSTITUTE(SUBSTITUTE('Dashboard'!$B$7,"~","~~"),"*","~*"),"?","~?"))+COUNTIFS('Calculations'!$ID$13:$ID$512,"="&amp;SUBSTITUTE(SUBSTITUTE(SUBSTITUTE('Calculations'!HF154,"~","~~"),"*","~*"),"?","~?"),'Calculations'!$HN$13:$HN$512,"="&amp;SUBSTITUTE(SUBSTITUTE(SUBSTITUTE('Dashboard'!$B$7,"~","~~"),"*","~*"),"?","~?"))+COUNTIFS('Calculations'!$IE$13:$IE$512,"="&amp;SUBSTITUTE(SUBSTITUTE(SUBSTITUTE('Calculations'!HF154,"~","~~"),"*","~*"),"?","~?"),'Calculations'!$HN$13:$HN$512,"="&amp;SUBSTITUTE(SUBSTITUTE(SUBSTITUTE('Dashboard'!$B$7,"~","~~"),"*","~*"),"?","~?"))+COUNTIFS('Calculations'!$IF$13:$IF$512,"="&amp;SUBSTITUTE(SUBSTITUTE(SUBSTITUTE('Calculations'!HF154,"~","~~"),"*","~*"),"?","~?"),'Calculations'!$HN$13:$HN$512,"="&amp;SUBSTITUTE(SUBSTITUTE(SUBSTITUTE('Dashboard'!$B$7,"~","~~"),"*","~*"),"?","~?"))+COUNTIFS('Calculations'!$IG$13:$IG$512,"="&amp;SUBSTITUTE(SUBSTITUTE(SUBSTITUTE('Calculations'!HF154,"~","~~"),"*","~*"),"?","~?"),'Calculations'!$HN$13:$HN$512,"="&amp;SUBSTITUTE(SUBSTITUTE(SUBSTITUTE('Dashboard'!$B$7,"~","~~"),"*","~*"),"?","~?"))+COUNTIFS('Calculations'!$IH$13:$IH$512,"="&amp;SUBSTITUTE(SUBSTITUTE(SUBSTITUTE('Calculations'!HF154,"~","~~"),"*","~*"),"?","~?"),'Calculations'!$HN$13:$HN$512,"="&amp;SUBSTITUTE(SUBSTITUTE(SUBSTITUTE('Dashboard'!$B$7,"~","~~"),"*","~*"),"?","~?"))))</x:f>
        <x:v>0</x:v>
      </x:c>
      <x:c r="JD154" t="n">
        <x:f>IF('Calculations'!EM154="",0,IF('Dashboard'!$B$7="All",1,IF('Calculations'!HN154='Dashboard'!$B$7,1,0)+IFERROR(INDEX('Calculations'!$JC$13:$JC$512,MATCH('Calculations'!HE154,'Calculations'!$HF$13:$HF$512,0)),0)))</x:f>
        <x:v>0</x:v>
      </x:c>
      <x:c r="JE154" t="n">
        <x:f>IF(AND('Calculations'!EM154&lt;&gt;"",'Calculations'!$JJ$2&lt;&gt;"All",'Calculations'!$JJ$2&lt;&gt;"",'Calculations'!HF154='Calculations'!$JJ$2,'Calculations'!HL154=0,'Calculations'!JD154&gt;0),MAX('Calculations'!$JE$12:JE153)+1,0)</x:f>
        <x:v>0</x:v>
      </x:c>
      <x:c r="JF154" t="str">
        <x:f>IF('Calculations'!EM154="","",IFERROR(IF(INDEX(INDIRECT("'WCM Calibration Final'!$G$1:$G$2000"),'Calculations'!$EM154)="","",TRIM(INDEX(INDIRECT("'WCM Calibration Final'!$G$1:$G$2000"),'Calculations'!$EM154)&amp;"")),""))</x:f>
      </x:c>
      <x:c r="JQ154" t="n">
        <x:f>IF(OR('Calculations'!BM154=0,NOT('Calculations'!$AG$2),'Calculations'!$AG$8&gt;0),0,IF(OR('Dashboard'!$B$7="All",'Calculations'!HN154='Dashboard'!$B$7),IF('Calculations'!$JJ$2="All",1,IF(AND('Calculations'!HF154='Calculations'!$JJ$2,'Calculations'!HL154=0),1,0)),0))</x:f>
        <x:v>0</x:v>
      </x:c>
    </x:row>
    <x:row r="155">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t="n">
        <x:f>IF('Calculations'!$EM155="",0,IF(OR(IFERROR(INDEX(INDIRECT("'WCM Calibration Final'!$A$1:$A$2000"),'Calculations'!$EM155)&lt;&gt;"",FALSE),IFERROR(INDEX(INDIRECT("'WCM Calibration Final'!$B$1:$B$2000"),'Calculations'!$EM155)&lt;&gt;"",FALSE),IFERROR(INDEX(INDIRECT("'WCM Calibration Final'!$C$1:$C$2000"),'Calculations'!$EM155)&lt;&gt;"",FALSE)),1,0))</x:f>
        <x:v>0</x:v>
      </x:c>
      <x:c r="BN155" s="4" t="n">
        <x:f>IF(AND('Calculations'!BM155=1,'Calculations'!$AG$2,'Calculations'!$EN155=1),1,0)</x:f>
        <x:v>0</x:v>
      </x:c>
      <x:c r="BO155" s="4" t="str">
        <x:f>IF('Calculations'!BM155=0,"",IFERROR(IF(AND(VALUE(INDEX(INDIRECT("'WCM Calibration Final'!$K$1:$K$2000"),'Calculations'!$EM155))&gt;=1,VALUE(INDEX(INDIRECT("'WCM Calibration Final'!$K$1:$K$2000"),'Calculations'!$EM155))&lt;=4,MOD(VALUE(INDEX(INDIRECT("'WCM Calibration Final'!$K$1:$K$2000"),'Calculations'!$EM155)),1)=0),VALUE(INDEX(INDIRECT("'WCM Calibration Final'!$K$1:$K$2000"),'Calculations'!$EM155)),""),""))</x:f>
      </x:c>
      <x:c r="BP155" s="4" t="str">
        <x:f>IF('Calculations'!BM155=0,"",IFERROR(IF(AND(VALUE(INDEX(INDIRECT("'WCM Calibration Final'!$L$1:$L$2000"),'Calculations'!$EM155))&gt;=1,VALUE(INDEX(INDIRECT("'WCM Calibration Final'!$L$1:$L$2000"),'Calculations'!$EM155))&lt;=4,MOD(VALUE(INDEX(INDIRECT("'WCM Calibration Final'!$L$1:$L$2000"),'Calculations'!$EM155)),1)=0),VALUE(INDEX(INDIRECT("'WCM Calibration Final'!$L$1:$L$2000"),'Calculations'!$EM155)),""),""))</x:f>
      </x:c>
      <x:c r="BQ155" s="4"/>
      <x:c r="BR155" s="4"/>
      <x:c r="BS155" s="4"/>
      <x:c r="BT155" s="4" t="n">
        <x:f>IF(AND('Calculations'!BM155=1,ISNUMBER('Calculations'!BO155),ISNUMBER('Calculations'!BP155)),1,0)</x:f>
        <x:v>0</x:v>
      </x:c>
      <x:c r="BU155" s="4" t="str">
        <x:f>IF('Calculations'!BM155=0,"",'Calculations'!$EO155)</x:f>
      </x:c>
      <x:c r="BV155" s="4" t="str">
        <x:f>IF('Calculations'!BM155=0,"",IFERROR(IF(OR(INDEX(INDIRECT("'WCM Calibration Final'!$H$1:$H$2000"),'Calculations'!$EM155)="MANAGING DIRECTOR",INDEX(INDIRECT("'WCM Calibration Final'!$H$1:$H$2000"),'Calculations'!$EM155)="DIRECTOR",INDEX(INDIRECT("'WCM Calibration Final'!$H$1:$H$2000"),'Calculations'!$EM155)="SENIOR VICE PRESIDENT",INDEX(INDIRECT("'WCM Calibration Final'!$H$1:$H$2000"),'Calculations'!$EM155)="VICE PRESIDENT",INDEX(INDIRECT("'WCM Calibration Final'!$H$1:$H$2000"),'Calculations'!$EM155)="ASSISTANT VICE PRESIDENT",INDEX(INDIRECT("'WCM Calibration Final'!$H$1:$H$2000"),'Calculations'!$EM155)="OFFICER"),UPPER(INDEX(INDIRECT("'WCM Calibration Final'!$H$1:$H$2000"),'Calculations'!$EM155)),"Other"),"Other"))</x:f>
      </x:c>
      <x:c r="BW155" s="4"/>
      <x:c r="BX155" s="4"/>
      <x:c r="BY155" s="4" t="n">
        <x:f>IF(AND('Calculations'!BM155=1,'Calculations'!BU155&lt;&gt;"",COUNTIF('Calculations'!$BU$12:BU155,'Calculations'!BU155)=1),MAX('Calculations'!$BY$11:BY154)+1,0)</x:f>
        <x:v>0</x:v>
      </x:c>
      <x:c r="BZ155" s="4" t="str">
        <x:f>IF('Dashboard'!$E$67="What",'Calculations'!BO155,'Calculations'!BP155)</x:f>
      </x:c>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t="str">
        <x:f>IF(144&gt;MAX('Calculations'!$HI$13:$HI$512),"",INDEX('Calculations'!$HN$13:$HN$512,MATCH(144,'Calculations'!$HI$13:$HI$512,0)))</x:f>
      </x:c>
      <x:c r="DB155" s="4" t="str">
        <x:f>IF(144&gt;MAX('Calculations'!$HH$13:$HH$512),"",INDEX('Calculations'!$HJ$13:$HJ$512,MATCH(144,'Calculations'!$HH$13:$HH$512,0)))</x:f>
      </x:c>
      <x:c r="DC155" s="4" t="str">
        <x:f>IF(ROW()-11&gt;MAX('Calculations'!$BY$13:$BY$512),"",INDEX('Calculations'!$BU$13:$BU$512,MATCH(ROW()-11,'Calculations'!$BY$13:$BY$512,0)))</x:f>
      </x:c>
      <x:c r="DD155" s="4" t="str">
        <x:f>IF(144&gt;MAX('Calculations'!$IK$13:$IK$512),"",INDEX('Calculations'!$HK$13:$HK$512,MATCH(144,'Calculations'!$IK$13:$IK$512,0)))</x:f>
      </x:c>
      <x:c r="DE155" s="4" t="str">
        <x:f>'Calculations'!DC155</x:f>
      </x:c>
      <x:c r="DF155" s="4" t="str">
        <x:f>IF('Calculations'!DE155="","",COUNTIFS('Calculations'!$BN$13:$BN$512,1,'Calculations'!$BU$13:$BU$512,'Calculations'!DE155))</x:f>
      </x:c>
      <x:c r="DG155" s="4" t="str">
        <x:f>IF('Calculations'!DE155="","",COUNTIFS('Calculations'!$BN$13:$BN$512,1,'Calculations'!$BU$13:$BU$512,'Calculations'!DE155,'Calculations'!$BT$13:$BT$512,1))</x:f>
      </x:c>
      <x:c r="DH155" s="4" t="str">
        <x:f>IF('Calculations'!DE155="","",'Calculations'!DF155-'Calculations'!DG155)</x:f>
      </x:c>
      <x:c r="DI155" s="4" t="str">
        <x:f>IF(OR('Calculations'!DE155="",'Calculations'!DF155=0),"",'Calculations'!DG155/'Calculations'!DF155)</x:f>
      </x:c>
      <x:c r="DJ155" s="4" t="str">
        <x:f>IF('Calculations'!DE155="","",COUNTIFS('Calculations'!$BN$13:$BN$512,1,'Calculations'!$BU$13:$BU$512,'Calculations'!DE155,'Calculations'!$BT$13:$BT$512,1,'Calculations'!$EE$13:$EE$512,"High"))</x:f>
      </x:c>
      <x:c r="DK155" s="4" t="str">
        <x:f>IF('Calculations'!DE155="","",COUNTIFS('Calculations'!$BN$13:$BN$512,1,'Calculations'!$BU$13:$BU$512,'Calculations'!DE155,'Calculations'!$BT$13:$BT$512,1,'Calculations'!$EE$13:$EE$512,"Strong"))</x:f>
      </x:c>
      <x:c r="DL155" s="4" t="str">
        <x:f>IF('Calculations'!DE155="","",COUNTIFS('Calculations'!$BN$13:$BN$512,1,'Calculations'!$BU$13:$BU$512,'Calculations'!DE155,'Calculations'!$BT$13:$BT$512,1,'Calculations'!$EE$13:$EE$512,"Solid"))</x:f>
      </x:c>
      <x:c r="DM155" s="4" t="str">
        <x:f>IF('Calculations'!DE155="","",COUNTIFS('Calculations'!$BN$13:$BN$512,1,'Calculations'!$BU$13:$BU$512,'Calculations'!DE155,'Calculations'!$BT$13:$BT$512,1,'Calculations'!$EE$13:$EE$512,"Low"))</x:f>
      </x:c>
      <x:c r="DN155" s="4" t="str">
        <x:f>IF('Calculations'!DE155="","",COUNTIFS('Calculations'!$BN$13:$BN$512,1,'Calculations'!$BU$13:$BU$512,'Calculations'!DE155,'Calculations'!$EP$13:$EP$512,1))</x:f>
      </x:c>
      <x:c r="DO155" s="4" t="str">
        <x:f>IF(OR('Calculations'!DE155="",'Calculations'!DG155=0),"",('Calculations'!DJ155+'Calculations'!DK155)/'Calculations'!DG155)</x:f>
      </x:c>
      <x:c r="DP155" s="4" t="n">
        <x:f>IF(AND('Calculations'!DE155&lt;&gt;"",'Calculations'!DF155&gt;0),COUNTIF('Calculations'!$DF$12:DF155,"&gt;0"),0)</x:f>
        <x:v>0</x:v>
      </x:c>
      <x:c r="DQ155" s="4" t="str">
        <x:f>IF(144&gt;MAX('Calculations'!$HH$13:$HH$512),"",INDEX('Calculations'!$HF$13:$HF$512,MATCH(144,'Calculations'!$HH$13:$HH$512,0)))</x:f>
      </x:c>
      <x:c r="DR155" s="4" t="str">
        <x:f>IF(144&gt;MAX('Calculations'!$IK$13:$IK$512),"",INDEX('Calculations'!$HE$13:$HE$512,MATCH(144,'Calculations'!$IK$13:$IK$512,0)))</x:f>
      </x:c>
      <x:c r="DS155" s="4"/>
      <x:c r="DT155" s="4"/>
      <x:c r="DU155" s="4"/>
      <x:c r="DV155" s="4"/>
      <x:c r="DW155" s="4"/>
      <x:c r="DX155" s="4"/>
      <x:c r="DY155" s="4"/>
      <x:c r="DZ155" s="4"/>
      <x:c r="EA155" s="4"/>
      <x:c r="EB155" s="4"/>
      <x:c r="EC155" s="4"/>
      <x:c r="ED155" s="4"/>
      <x:c r="EE155" s="4" t="str">
        <x:f>IF('Calculations'!BT155=0,"Not Rated",IF(OR('Calculations'!BO155&gt;=4,'Calculations'!BP155&gt;=4),"Low",IF('Calculations'!BO155+'Calculations'!BP155&lt;=3,"High",IF('Calculations'!BO155+'Calculations'!BP155&lt;=4,"Strong","Solid"))))</x:f>
        <x:v>Not Rated</x:v>
      </x:c>
      <x:c r="EF155" s="4"/>
      <x:c r="EG155" s="4"/>
      <x:c r="EH155" s="4"/>
      <x:c r="EI155" s="4"/>
      <x:c r="EJ155" s="4"/>
      <x:c r="EK155" s="4"/>
      <x:c r="EL155" s="4"/>
      <x:c r="EM155" s="4" t="str">
        <x:f>IF(143&gt;'Calculations'!$JB$2000,"",INDEX('Calculations'!$JA$12:$JA$2000,MATCH(143,'Calculations'!$JB$12:$JB$2000,0)))</x:f>
      </x:c>
      <x:c r="EN155" s="4" t="n">
        <x:f>IF(OR('Calculations'!EM155="",'Calculations'!$AG$8&gt;0,AND('Calculations'!$EF$2&lt;&gt;"All",'Calculations'!HE155='Calculations'!$EF$2),AND('Calculations'!$EF$3&lt;&gt;"All",'Calculations'!HE155='Calculations'!$EF$3)),0,IF(OR('Dashboard'!$B$7="All",'Calculations'!HN155='Dashboard'!$B$7),IF('Calculations'!$EF$2="All",1,IF('Calculations'!HL155&gt;0,0,IF(COUNTIF('Calculations'!HO155:II155,"="&amp;SUBSTITUTE(SUBSTITUTE(SUBSTITUTE('Calculations'!$EF$2,"~","~~"),"*","~*"),"?","~?"))=0,0,IF('Calculations'!$EF$3="All",1,IF(COUNTIF('Calculations'!HO155:II155,"="&amp;SUBSTITUTE(SUBSTITUTE(SUBSTITUTE('Calculations'!$EF$3,"~","~~"),"*","~*"),"?","~?"))&gt;0,1,0))))),0))</x:f>
        <x:v>0</x:v>
      </x:c>
      <x:c r="EO155" s="4" t="str">
        <x:f>IF('Calculations'!IJ155="","",IF('Calculations'!IJ155="!UNRESOLVED","Unresolved hierarchy",IFERROR(INDEX('Calculations'!$HK$13:$HK$512,MATCH('Calculations'!IJ155,'Calculations'!$HE$13:$HE$512,0)),IFERROR(INDEX('Calculations'!$HJ$13:$HJ$512,MATCH('Calculations'!IJ155,'Calculations'!$HF$13:$HF$512,0)),'Calculations'!IJ155))))</x:f>
      </x:c>
      <x:c r="EP155" s="4" t="n">
        <x:f>IF(AND('Calculations'!EM155&lt;&gt;"",'Calculations'!HF155='Calculations'!IJ155),1,0)</x:f>
        <x:v>0</x:v>
      </x:c>
      <x:c r="EQ155" s="4"/>
      <x:c r="ER155" s="4"/>
      <x:c r="ES155" s="4"/>
      <x:c r="ET155" s="4"/>
      <x:c r="EU155" s="4"/>
      <x:c r="EV155" s="4"/>
      <x:c r="EW155" s="4"/>
      <x:c r="EX155" s="4"/>
      <x:c r="EY155" s="4"/>
      <x:c r="EZ155" s="4"/>
      <x:c r="FA155" s="4"/>
      <x:c r="FB155" s="4"/>
      <x:c r="FC155" s="4"/>
      <x:c r="FD155" s="4"/>
      <x:c r="FE155" s="4"/>
      <x:c r="FF155" s="4"/>
      <x:c r="FG155" s="4"/>
      <x:c r="FH155" s="4"/>
      <x:c r="FI155" s="4"/>
      <x:c r="FJ155" s="4"/>
      <x:c r="FK155" s="4"/>
      <x:c r="FL155" s="4"/>
      <x:c r="FM155" s="4"/>
      <x:c r="FN155" s="4"/>
      <x:c r="FO155" s="4"/>
      <x:c r="GA155" s="71"/>
      <x:c r="GB155" s="71"/>
      <x:c r="GC155" s="71"/>
      <x:c r="GD155" s="71"/>
      <x:c r="GE155" s="71"/>
      <x:c r="GF155" s="71"/>
      <x:c r="GG155" s="71"/>
      <x:c r="GH155" s="71"/>
      <x:c r="GI155" s="71"/>
      <x:c r="GJ155" s="71"/>
      <x:c r="GK155" s="71"/>
      <x:c r="GL155" s="71" t="n">
        <x:f>COUNTIFS('Calculations'!$JQ$13:$JQ$512,1,'Calculations'!$EE$13:$EE$512,"High")</x:f>
        <x:v>0</x:v>
      </x:c>
      <x:c r="GM155" s="71"/>
      <x:c r="GN155" s="71"/>
      <x:c r="GO155" s="71" t="str">
        <x:f>IF(SUM('Calculations'!$GL$155:$GL$158)=0,"",'Calculations'!GL155/SUM('Calculations'!$GL$155:$GL$158))</x:f>
      </x:c>
      <x:c r="GP155" s="71"/>
      <x:c r="GQ155" s="71"/>
      <x:c r="GR155" s="71" t="n">
        <x:f>IF(COUNT('Dashboard'!N147)=0,"",IF(AND('Dashboard'!N147&gt;=0,'Dashboard'!N147&lt;=1),'Dashboard'!N147,""))</x:f>
        <x:v>0.1</x:v>
      </x:c>
      <x:c r="GS155" s="71"/>
      <x:c r="GT155" s="71"/>
      <x:c r="GU155" s="71" t="str">
        <x:f>IF(COUNT('Calculations'!GO155,'Calculations'!GR155)&lt;2,"",100*('Calculations'!GO155-'Calculations'!GR155))</x:f>
      </x:c>
      <x:c r="GV155" s="71"/>
      <x:c r="GW155" s="71"/>
      <x:c r="GX155" s="71" t="str">
        <x:f>IF(NOT('Calculations'!$AG$2),"Source unavailable",IF('Calculations'!$AG$8&gt;0,"Check filters",IF(COUNT('Calculations'!GO155)=0,"No ratings",IF(COUNT('Calculations'!GR155)=0,"No threshold",IF('Calculations'!GO155&gt;'Calculations'!GR155,"Above threshold","Within threshold")))))</x:f>
        <x:v>Source unavailable</x:v>
      </x:c>
      <x:c r="GY155" s="71"/>
      <x:c r="GZ155" s="71"/>
      <x:c r="HA155" s="71"/>
      <x:c r="HB155" s="71"/>
      <x:c r="HC155" s="71"/>
      <x:c r="HD155" s="71"/>
      <x:c r="HE155" t="str">
        <x:f>IF('Calculations'!EM155="","",IF(IFERROR(IF(INDEX(INDIRECT("'WCM Calibration Final'!$A$1:$A$2000"),'Calculations'!$EM155)="","",TRIM(INDEX(INDIRECT("'WCM Calibration Final'!$A$1:$A$2000"),'Calculations'!$EM155)&amp;"")),"")&lt;&gt;"","G:"&amp;IFERROR(TEXT(1*INDEX(INDIRECT("'WCM Calibration Final'!$A$1:$A$2000"),'Calculations'!$EM155),"0"),UPPER(IFERROR(IF(INDEX(INDIRECT("'WCM Calibration Final'!$A$1:$A$2000"),'Calculations'!$EM155)="","",TRIM(INDEX(INDIRECT("'WCM Calibration Final'!$A$1:$A$2000"),'Calculations'!$EM155)&amp;"")),""))),IF(IFERROR(IF(INDEX(INDIRECT("'WCM Calibration Final'!$C$1:$C$2000"),'Calculations'!$EM155)="","",TRIM(INDEX(INDIRECT("'WCM Calibration Final'!$C$1:$C$2000"),'Calculations'!$EM155)&amp;"")),"")&lt;&gt;"","S:"&amp;UPPER(IFERROR(IF(INDEX(INDIRECT("'WCM Calibration Final'!$C$1:$C$2000"),'Calculations'!$EM155)="","",TRIM(INDEX(INDIRECT("'WCM Calibration Final'!$C$1:$C$2000"),'Calculations'!$EM155)&amp;"")),"")),"R:"&amp;'Calculations'!EM155)))</x:f>
      </x:c>
      <x:c r="HF155" t="str">
        <x:f>IF('Calculations'!EM155="","",IF(IFERROR(IF(INDEX(INDIRECT("'WCM Calibration Final'!$D$1:$D$2000"),'Calculations'!$EM155)="","",TRIM(INDEX(INDIRECT("'WCM Calibration Final'!$D$1:$D$2000"),'Calculations'!$EM155)&amp;"")),"")&lt;&gt;"","G:"&amp;IFERROR(TEXT(1*INDEX(INDIRECT("'WCM Calibration Final'!$D$1:$D$2000"),'Calculations'!$EM155),"0"),UPPER(IFERROR(IF(INDEX(INDIRECT("'WCM Calibration Final'!$D$1:$D$2000"),'Calculations'!$EM155)="","",TRIM(INDEX(INDIRECT("'WCM Calibration Final'!$D$1:$D$2000"),'Calculations'!$EM155)&amp;"")),""))),IF(IFERROR(IF(INDEX(INDIRECT("'WCM Calibration Final'!$E$1:$E$2000"),'Calculations'!$EM155)="","",TRIM(INDEX(INDIRECT("'WCM Calibration Final'!$E$1:$E$2000"),'Calculations'!$EM155)&amp;"")),"")="","",IF(COUNTIF('Calculations'!$HG$13:$HG$512,"="&amp;SUBSTITUTE(SUBSTITUTE(SUBSTITUTE(IFERROR(IF(INDEX(INDIRECT("'WCM Calibration Final'!$E$1:$E$2000"),'Calculations'!$EM155)="","",TRIM(INDEX(INDIRECT("'WCM Calibration Final'!$E$1:$E$2000"),'Calculations'!$EM155)&amp;"")),""),"~","~~"),"*","~*"),"?","~?"))=1,INDEX('Calculations'!$HE$13:$HE$512,MATCH(IFERROR(IF(INDEX(INDIRECT("'WCM Calibration Final'!$E$1:$E$2000"),'Calculations'!$EM155)="","",TRIM(INDEX(INDIRECT("'WCM Calibration Final'!$E$1:$E$2000"),'Calculations'!$EM155)&amp;"")),""),'Calculations'!$HG$13:$HG$512,0)),IF(COUNTIF('Calculations'!$HG$13:$HG$512,"="&amp;SUBSTITUTE(SUBSTITUTE(SUBSTITUTE(IFERROR(IF(INDEX(INDIRECT("'WCM Calibration Final'!$E$1:$E$2000"),'Calculations'!$EM155)="","",TRIM(INDEX(INDIRECT("'WCM Calibration Final'!$E$1:$E$2000"),'Calculations'!$EM155)&amp;"")),""),"~","~~"),"*","~*"),"?","~?"))&gt;1,"!AMBIG","X:"&amp;IFERROR(IF(INDEX(INDIRECT("'WCM Calibration Final'!$E$1:$E$2000"),'Calculations'!$EM155)="","",TRIM(INDEX(INDIRECT("'WCM Calibration Final'!$E$1:$E$2000"),'Calculations'!$EM155)&amp;"")),""))))))</x:f>
      </x:c>
      <x:c r="HG155" t="str">
        <x:f>IF('Calculations'!EM155="","",IFERROR(IF(INDEX(INDIRECT("'WCM Calibration Final'!$B$1:$B$2000"),'Calculations'!$EM155)="","",TRIM(INDEX(INDIRECT("'WCM Calibration Final'!$B$1:$B$2000"),'Calculations'!$EM155)&amp;"")),""))</x:f>
      </x:c>
      <x:c r="HH155" t="n">
        <x:f>IF(AND('Calculations'!JC155&gt;0,COUNTIF('Calculations'!$HF$12:HF155,"="&amp;SUBSTITUTE(SUBSTITUTE(SUBSTITUTE('Calculations'!HF155,"~","~~"),"*","~*"),"?","~?"))=1),MAX('Calculations'!$HH$12:HH154)+1,0)</x:f>
        <x:v>0</x:v>
      </x:c>
      <x:c r="HI155" t="n">
        <x:f>IF(AND('Calculations'!HN155&lt;&gt;"",COUNTIF('Calculations'!$HN$12:HN155,"="&amp;SUBSTITUTE(SUBSTITUTE(SUBSTITUTE('Calculations'!HN155,"~","~~"),"*","~*"),"?","~?"))=1),MAX('Calculations'!$HI$12:HI154)+1,0)</x:f>
        <x:v>0</x:v>
      </x:c>
      <x:c r="HJ155" t="str">
        <x:f>IF('Calculations'!HF155="","",IF(COUNTIF('Calculations'!$HE$13:$HE$512,"="&amp;SUBSTITUTE(SUBSTITUTE(SUBSTITUTE('Calculations'!HF155,"~","~~"),"*","~*"),"?","~?"))=1,INDEX('Calculations'!$HK$13:$HK$512,MATCH('Calculations'!HF155,'Calculations'!$HE$13:$HE$512,0)),IFERROR(IF(INDEX(INDIRECT("'WCM Calibration Final'!$E$1:$E$2000"),'Calculations'!$EM155)="","",TRIM(INDEX(INDIRECT("'WCM Calibration Final'!$E$1:$E$2000"),'Calculations'!$EM155)&amp;"")),"")&amp;" ["&amp;'Calculations'!HF155&amp;"]"))</x:f>
      </x:c>
      <x:c r="HK155" t="str">
        <x:f>IF('Calculations'!EM155="","",'Calculations'!HG155&amp;" ["&amp;'Calculations'!HE155&amp;"]")</x:f>
      </x:c>
      <x:c r="HL155" t="n">
        <x:f>IF('Calculations'!EM155="",0,IF(OR('Calculations'!II155&lt;&gt;"",COUNTIF('Calculations'!$HE$13:$HE$512,"="&amp;SUBSTITUTE(SUBSTITUTE(SUBSTITUTE('Calculations'!HE155,"~","~~"),"*","~*"),"?","~?"))&gt;1),1,0))</x:f>
        <x:v>0</x:v>
      </x:c>
      <x:c r="HM155" t="str">
        <x:f>IF('Calculations'!EM155="","",IF('Calculations'!HL155=1,"!UNRESOLVED",IF('Calculations'!IH155&lt;&gt;"",'Calculations'!IH155,IF('Calculations'!IG155&lt;&gt;"",'Calculations'!IG155,IF('Calculations'!IF155&lt;&gt;"",'Calculations'!IF155,IF('Calculations'!IE155&lt;&gt;"",'Calculations'!IE155,IF('Calculations'!ID155&lt;&gt;"",'Calculations'!ID155,IF('Calculations'!IC155&lt;&gt;"",'Calculations'!IC155,IF('Calculations'!IB155&lt;&gt;"",'Calculations'!IB155,IF('Calculations'!IA155&lt;&gt;"",'Calculations'!IA155,IF('Calculations'!HZ155&lt;&gt;"",'Calculations'!HZ155,IF('Calculations'!HY155&lt;&gt;"",'Calculations'!HY155,IF('Calculations'!HX155&lt;&gt;"",'Calculations'!HX155,IF('Calculations'!HW155&lt;&gt;"",'Calculations'!HW155,IF('Calculations'!HV155&lt;&gt;"",'Calculations'!HV155,IF('Calculations'!HU155&lt;&gt;"",'Calculations'!HU155,IF('Calculations'!HT155&lt;&gt;"",'Calculations'!HT155,IF('Calculations'!HS155&lt;&gt;"",'Calculations'!HS155,IF('Calculations'!HR155&lt;&gt;"",'Calculations'!HR155,IF('Calculations'!HQ155&lt;&gt;"",'Calculations'!HQ155,IF('Calculations'!HP155&lt;&gt;"",'Calculations'!HP155,IF('Calculations'!HO155&lt;&gt;"",'Calculations'!HO155,'Calculations'!HE155))))))))))))))))))))))</x:f>
      </x:c>
      <x:c r="HN155" t="str">
        <x:f>IF('Calculations'!EM155="","",IF(IFERROR(IF(INDEX(INDIRECT("'WCM Calibration Final'!$F$1:$F$2000"),'Calculations'!$EM155)="","",TRIM(INDEX(INDIRECT("'WCM Calibration Final'!$F$1:$F$2000"),'Calculations'!$EM155)&amp;"")),"")="","(Blank)",IFERROR(IF(INDEX(INDIRECT("'WCM Calibration Final'!$F$1:$F$2000"),'Calculations'!$EM155)="","",TRIM(INDEX(INDIRECT("'WCM Calibration Final'!$F$1:$F$2000"),'Calculations'!$EM155)&amp;"")),"")))</x:f>
      </x:c>
      <x:c r="HO155" t="str">
        <x:f>'Calculations'!HF155</x:f>
      </x:c>
      <x:c r="HP155" t="str">
        <x:f>IF('Calculations'!HO155="","",IF('Calculations'!HO155="!AMBIG","!AMBIG",IF(COUNTIF('Calculations'!$HE$13:$HE$512,"="&amp;SUBSTITUTE(SUBSTITUTE(SUBSTITUTE('Calculations'!HO155,"~","~~"),"*","~*"),"?","~?"))&gt;1,"!AMBIG",IFERROR(INDEX('Calculations'!$HF$13:$HF$512,MATCH('Calculations'!HO155,'Calculations'!$HE$13:$HE$512,0)),""))))</x:f>
      </x:c>
      <x:c r="HQ155" t="str">
        <x:f>IF('Calculations'!HP155="","",IF('Calculations'!HP155="!AMBIG","!AMBIG",IF(COUNTIF('Calculations'!$HE$13:$HE$512,"="&amp;SUBSTITUTE(SUBSTITUTE(SUBSTITUTE('Calculations'!HP155,"~","~~"),"*","~*"),"?","~?"))&gt;1,"!AMBIG",IFERROR(INDEX('Calculations'!$HF$13:$HF$512,MATCH('Calculations'!HP155,'Calculations'!$HE$13:$HE$512,0)),""))))</x:f>
      </x:c>
      <x:c r="HR155" t="str">
        <x:f>IF('Calculations'!HQ155="","",IF('Calculations'!HQ155="!AMBIG","!AMBIG",IF(COUNTIF('Calculations'!$HE$13:$HE$512,"="&amp;SUBSTITUTE(SUBSTITUTE(SUBSTITUTE('Calculations'!HQ155,"~","~~"),"*","~*"),"?","~?"))&gt;1,"!AMBIG",IFERROR(INDEX('Calculations'!$HF$13:$HF$512,MATCH('Calculations'!HQ155,'Calculations'!$HE$13:$HE$512,0)),""))))</x:f>
      </x:c>
      <x:c r="HS155" t="str">
        <x:f>IF('Calculations'!HR155="","",IF('Calculations'!HR155="!AMBIG","!AMBIG",IF(COUNTIF('Calculations'!$HE$13:$HE$512,"="&amp;SUBSTITUTE(SUBSTITUTE(SUBSTITUTE('Calculations'!HR155,"~","~~"),"*","~*"),"?","~?"))&gt;1,"!AMBIG",IFERROR(INDEX('Calculations'!$HF$13:$HF$512,MATCH('Calculations'!HR155,'Calculations'!$HE$13:$HE$512,0)),""))))</x:f>
      </x:c>
      <x:c r="HT155" t="str">
        <x:f>IF('Calculations'!HS155="","",IF('Calculations'!HS155="!AMBIG","!AMBIG",IF(COUNTIF('Calculations'!$HE$13:$HE$512,"="&amp;SUBSTITUTE(SUBSTITUTE(SUBSTITUTE('Calculations'!HS155,"~","~~"),"*","~*"),"?","~?"))&gt;1,"!AMBIG",IFERROR(INDEX('Calculations'!$HF$13:$HF$512,MATCH('Calculations'!HS155,'Calculations'!$HE$13:$HE$512,0)),""))))</x:f>
      </x:c>
      <x:c r="HU155" t="str">
        <x:f>IF('Calculations'!HT155="","",IF('Calculations'!HT155="!AMBIG","!AMBIG",IF(COUNTIF('Calculations'!$HE$13:$HE$512,"="&amp;SUBSTITUTE(SUBSTITUTE(SUBSTITUTE('Calculations'!HT155,"~","~~"),"*","~*"),"?","~?"))&gt;1,"!AMBIG",IFERROR(INDEX('Calculations'!$HF$13:$HF$512,MATCH('Calculations'!HT155,'Calculations'!$HE$13:$HE$512,0)),""))))</x:f>
      </x:c>
      <x:c r="HV155" t="str">
        <x:f>IF('Calculations'!HU155="","",IF('Calculations'!HU155="!AMBIG","!AMBIG",IF(COUNTIF('Calculations'!$HE$13:$HE$512,"="&amp;SUBSTITUTE(SUBSTITUTE(SUBSTITUTE('Calculations'!HU155,"~","~~"),"*","~*"),"?","~?"))&gt;1,"!AMBIG",IFERROR(INDEX('Calculations'!$HF$13:$HF$512,MATCH('Calculations'!HU155,'Calculations'!$HE$13:$HE$512,0)),""))))</x:f>
      </x:c>
      <x:c r="HW155" t="str">
        <x:f>IF('Calculations'!HV155="","",IF('Calculations'!HV155="!AMBIG","!AMBIG",IF(COUNTIF('Calculations'!$HE$13:$HE$512,"="&amp;SUBSTITUTE(SUBSTITUTE(SUBSTITUTE('Calculations'!HV155,"~","~~"),"*","~*"),"?","~?"))&gt;1,"!AMBIG",IFERROR(INDEX('Calculations'!$HF$13:$HF$512,MATCH('Calculations'!HV155,'Calculations'!$HE$13:$HE$512,0)),""))))</x:f>
      </x:c>
      <x:c r="HX155" t="str">
        <x:f>IF('Calculations'!HW155="","",IF('Calculations'!HW155="!AMBIG","!AMBIG",IF(COUNTIF('Calculations'!$HE$13:$HE$512,"="&amp;SUBSTITUTE(SUBSTITUTE(SUBSTITUTE('Calculations'!HW155,"~","~~"),"*","~*"),"?","~?"))&gt;1,"!AMBIG",IFERROR(INDEX('Calculations'!$HF$13:$HF$512,MATCH('Calculations'!HW155,'Calculations'!$HE$13:$HE$512,0)),""))))</x:f>
      </x:c>
      <x:c r="HY155" t="str">
        <x:f>IF('Calculations'!HX155="","",IF('Calculations'!HX155="!AMBIG","!AMBIG",IF(COUNTIF('Calculations'!$HE$13:$HE$512,"="&amp;SUBSTITUTE(SUBSTITUTE(SUBSTITUTE('Calculations'!HX155,"~","~~"),"*","~*"),"?","~?"))&gt;1,"!AMBIG",IFERROR(INDEX('Calculations'!$HF$13:$HF$512,MATCH('Calculations'!HX155,'Calculations'!$HE$13:$HE$512,0)),""))))</x:f>
      </x:c>
      <x:c r="HZ155" t="str">
        <x:f>IF('Calculations'!HY155="","",IF('Calculations'!HY155="!AMBIG","!AMBIG",IF(COUNTIF('Calculations'!$HE$13:$HE$512,"="&amp;SUBSTITUTE(SUBSTITUTE(SUBSTITUTE('Calculations'!HY155,"~","~~"),"*","~*"),"?","~?"))&gt;1,"!AMBIG",IFERROR(INDEX('Calculations'!$HF$13:$HF$512,MATCH('Calculations'!HY155,'Calculations'!$HE$13:$HE$512,0)),""))))</x:f>
      </x:c>
      <x:c r="IA155" t="str">
        <x:f>IF('Calculations'!HZ155="","",IF('Calculations'!HZ155="!AMBIG","!AMBIG",IF(COUNTIF('Calculations'!$HE$13:$HE$512,"="&amp;SUBSTITUTE(SUBSTITUTE(SUBSTITUTE('Calculations'!HZ155,"~","~~"),"*","~*"),"?","~?"))&gt;1,"!AMBIG",IFERROR(INDEX('Calculations'!$HF$13:$HF$512,MATCH('Calculations'!HZ155,'Calculations'!$HE$13:$HE$512,0)),""))))</x:f>
      </x:c>
      <x:c r="IB155" t="str">
        <x:f>IF('Calculations'!IA155="","",IF('Calculations'!IA155="!AMBIG","!AMBIG",IF(COUNTIF('Calculations'!$HE$13:$HE$512,"="&amp;SUBSTITUTE(SUBSTITUTE(SUBSTITUTE('Calculations'!IA155,"~","~~"),"*","~*"),"?","~?"))&gt;1,"!AMBIG",IFERROR(INDEX('Calculations'!$HF$13:$HF$512,MATCH('Calculations'!IA155,'Calculations'!$HE$13:$HE$512,0)),""))))</x:f>
      </x:c>
      <x:c r="IC155" t="str">
        <x:f>IF('Calculations'!IB155="","",IF('Calculations'!IB155="!AMBIG","!AMBIG",IF(COUNTIF('Calculations'!$HE$13:$HE$512,"="&amp;SUBSTITUTE(SUBSTITUTE(SUBSTITUTE('Calculations'!IB155,"~","~~"),"*","~*"),"?","~?"))&gt;1,"!AMBIG",IFERROR(INDEX('Calculations'!$HF$13:$HF$512,MATCH('Calculations'!IB155,'Calculations'!$HE$13:$HE$512,0)),""))))</x:f>
      </x:c>
      <x:c r="ID155" t="str">
        <x:f>IF('Calculations'!IC155="","",IF('Calculations'!IC155="!AMBIG","!AMBIG",IF(COUNTIF('Calculations'!$HE$13:$HE$512,"="&amp;SUBSTITUTE(SUBSTITUTE(SUBSTITUTE('Calculations'!IC155,"~","~~"),"*","~*"),"?","~?"))&gt;1,"!AMBIG",IFERROR(INDEX('Calculations'!$HF$13:$HF$512,MATCH('Calculations'!IC155,'Calculations'!$HE$13:$HE$512,0)),""))))</x:f>
      </x:c>
      <x:c r="IE155" t="str">
        <x:f>IF('Calculations'!ID155="","",IF('Calculations'!ID155="!AMBIG","!AMBIG",IF(COUNTIF('Calculations'!$HE$13:$HE$512,"="&amp;SUBSTITUTE(SUBSTITUTE(SUBSTITUTE('Calculations'!ID155,"~","~~"),"*","~*"),"?","~?"))&gt;1,"!AMBIG",IFERROR(INDEX('Calculations'!$HF$13:$HF$512,MATCH('Calculations'!ID155,'Calculations'!$HE$13:$HE$512,0)),""))))</x:f>
      </x:c>
      <x:c r="IF155" t="str">
        <x:f>IF('Calculations'!IE155="","",IF('Calculations'!IE155="!AMBIG","!AMBIG",IF(COUNTIF('Calculations'!$HE$13:$HE$512,"="&amp;SUBSTITUTE(SUBSTITUTE(SUBSTITUTE('Calculations'!IE155,"~","~~"),"*","~*"),"?","~?"))&gt;1,"!AMBIG",IFERROR(INDEX('Calculations'!$HF$13:$HF$512,MATCH('Calculations'!IE155,'Calculations'!$HE$13:$HE$512,0)),""))))</x:f>
      </x:c>
      <x:c r="IG155" t="str">
        <x:f>IF('Calculations'!IF155="","",IF('Calculations'!IF155="!AMBIG","!AMBIG",IF(COUNTIF('Calculations'!$HE$13:$HE$512,"="&amp;SUBSTITUTE(SUBSTITUTE(SUBSTITUTE('Calculations'!IF155,"~","~~"),"*","~*"),"?","~?"))&gt;1,"!AMBIG",IFERROR(INDEX('Calculations'!$HF$13:$HF$512,MATCH('Calculations'!IF155,'Calculations'!$HE$13:$HE$512,0)),""))))</x:f>
      </x:c>
      <x:c r="IH155" t="str">
        <x:f>IF('Calculations'!IG155="","",IF('Calculations'!IG155="!AMBIG","!AMBIG",IF(COUNTIF('Calculations'!$HE$13:$HE$512,"="&amp;SUBSTITUTE(SUBSTITUTE(SUBSTITUTE('Calculations'!IG155,"~","~~"),"*","~*"),"?","~?"))&gt;1,"!AMBIG",IFERROR(INDEX('Calculations'!$HF$13:$HF$512,MATCH('Calculations'!IG155,'Calculations'!$HE$13:$HE$512,0)),""))))</x:f>
      </x:c>
      <x:c r="II155" t="str">
        <x:f>IF('Calculations'!IH155="","",IF('Calculations'!IH155="!AMBIG","!AMBIG",IF(COUNTIF('Calculations'!$HE$13:$HE$512,"="&amp;SUBSTITUTE(SUBSTITUTE(SUBSTITUTE('Calculations'!IH155,"~","~~"),"*","~*"),"?","~?"))&gt;1,"!AMBIG",IFERROR(INDEX('Calculations'!$HF$13:$HF$512,MATCH('Calculations'!IH155,'Calculations'!$HE$13:$HE$512,0)),""))))</x:f>
      </x:c>
      <x:c r="IJ155" t="str">
        <x:f>IF('Calculations'!EM155="","",IF('Calculations'!$EF$2="All",'Calculations'!HM155,IF('Calculations'!HL155=1,"",IFERROR(IF(MATCH('Calculations'!$EF$2,'Calculations'!HO155:II155,0)=1,'Calculations'!HE155,INDEX('Calculations'!HO155:II155,1,MATCH('Calculations'!$EF$2,'Calculations'!HO155:II155,0)-1)),""))))</x:f>
      </x:c>
      <x:c r="IK155" t="n">
        <x:f>IF(AND('Calculations'!EM155&lt;&gt;"",'Calculations'!$EF$2&lt;&gt;"All",'Calculations'!HF155='Calculations'!$EF$2,'Calculations'!HL155=0,'Calculations'!JD155&gt;0),MAX('Calculations'!$IK$12:IK154)+1,0)</x:f>
        <x:v>0</x:v>
      </x:c>
      <x:c r="JA155" t="n">
        <x:f>IF(OR(IFERROR(INDIRECT("'WCM Calibration Final'!$A$155")&lt;&gt;"",FALSE),IFERROR(INDIRECT("'WCM Calibration Final'!$B$155")&lt;&gt;"",FALSE),IFERROR(INDIRECT("'WCM Calibration Final'!$C$155")&lt;&gt;"",FALSE)),155,0)</x:f>
        <x:v>0</x:v>
      </x:c>
      <x:c r="JB155" t="n">
        <x:f>'Calculations'!JB154+IF('Calculations'!JA155&gt;0,1,0)</x:f>
        <x:v>0</x:v>
      </x:c>
      <x:c r="JC155" t="n">
        <x:f>IF(OR('Calculations'!HF155="",'Calculations'!HF155="!AMBIG"),0,IF('Dashboard'!$B$7="All",1,COUNTIFS('Calculations'!$HO$13:$HO$512,"="&amp;SUBSTITUTE(SUBSTITUTE(SUBSTITUTE('Calculations'!HF155,"~","~~"),"*","~*"),"?","~?"),'Calculations'!$HN$13:$HN$512,"="&amp;SUBSTITUTE(SUBSTITUTE(SUBSTITUTE('Dashboard'!$B$7,"~","~~"),"*","~*"),"?","~?"))+COUNTIFS('Calculations'!$HP$13:$HP$512,"="&amp;SUBSTITUTE(SUBSTITUTE(SUBSTITUTE('Calculations'!HF155,"~","~~"),"*","~*"),"?","~?"),'Calculations'!$HN$13:$HN$512,"="&amp;SUBSTITUTE(SUBSTITUTE(SUBSTITUTE('Dashboard'!$B$7,"~","~~"),"*","~*"),"?","~?"))+COUNTIFS('Calculations'!$HQ$13:$HQ$512,"="&amp;SUBSTITUTE(SUBSTITUTE(SUBSTITUTE('Calculations'!HF155,"~","~~"),"*","~*"),"?","~?"),'Calculations'!$HN$13:$HN$512,"="&amp;SUBSTITUTE(SUBSTITUTE(SUBSTITUTE('Dashboard'!$B$7,"~","~~"),"*","~*"),"?","~?"))+COUNTIFS('Calculations'!$HR$13:$HR$512,"="&amp;SUBSTITUTE(SUBSTITUTE(SUBSTITUTE('Calculations'!HF155,"~","~~"),"*","~*"),"?","~?"),'Calculations'!$HN$13:$HN$512,"="&amp;SUBSTITUTE(SUBSTITUTE(SUBSTITUTE('Dashboard'!$B$7,"~","~~"),"*","~*"),"?","~?"))+COUNTIFS('Calculations'!$HS$13:$HS$512,"="&amp;SUBSTITUTE(SUBSTITUTE(SUBSTITUTE('Calculations'!HF155,"~","~~"),"*","~*"),"?","~?"),'Calculations'!$HN$13:$HN$512,"="&amp;SUBSTITUTE(SUBSTITUTE(SUBSTITUTE('Dashboard'!$B$7,"~","~~"),"*","~*"),"?","~?"))+COUNTIFS('Calculations'!$HT$13:$HT$512,"="&amp;SUBSTITUTE(SUBSTITUTE(SUBSTITUTE('Calculations'!HF155,"~","~~"),"*","~*"),"?","~?"),'Calculations'!$HN$13:$HN$512,"="&amp;SUBSTITUTE(SUBSTITUTE(SUBSTITUTE('Dashboard'!$B$7,"~","~~"),"*","~*"),"?","~?"))+COUNTIFS('Calculations'!$HU$13:$HU$512,"="&amp;SUBSTITUTE(SUBSTITUTE(SUBSTITUTE('Calculations'!HF155,"~","~~"),"*","~*"),"?","~?"),'Calculations'!$HN$13:$HN$512,"="&amp;SUBSTITUTE(SUBSTITUTE(SUBSTITUTE('Dashboard'!$B$7,"~","~~"),"*","~*"),"?","~?"))+COUNTIFS('Calculations'!$HV$13:$HV$512,"="&amp;SUBSTITUTE(SUBSTITUTE(SUBSTITUTE('Calculations'!HF155,"~","~~"),"*","~*"),"?","~?"),'Calculations'!$HN$13:$HN$512,"="&amp;SUBSTITUTE(SUBSTITUTE(SUBSTITUTE('Dashboard'!$B$7,"~","~~"),"*","~*"),"?","~?"))+COUNTIFS('Calculations'!$HW$13:$HW$512,"="&amp;SUBSTITUTE(SUBSTITUTE(SUBSTITUTE('Calculations'!HF155,"~","~~"),"*","~*"),"?","~?"),'Calculations'!$HN$13:$HN$512,"="&amp;SUBSTITUTE(SUBSTITUTE(SUBSTITUTE('Dashboard'!$B$7,"~","~~"),"*","~*"),"?","~?"))+COUNTIFS('Calculations'!$HX$13:$HX$512,"="&amp;SUBSTITUTE(SUBSTITUTE(SUBSTITUTE('Calculations'!HF155,"~","~~"),"*","~*"),"?","~?"),'Calculations'!$HN$13:$HN$512,"="&amp;SUBSTITUTE(SUBSTITUTE(SUBSTITUTE('Dashboard'!$B$7,"~","~~"),"*","~*"),"?","~?"))+COUNTIFS('Calculations'!$HY$13:$HY$512,"="&amp;SUBSTITUTE(SUBSTITUTE(SUBSTITUTE('Calculations'!HF155,"~","~~"),"*","~*"),"?","~?"),'Calculations'!$HN$13:$HN$512,"="&amp;SUBSTITUTE(SUBSTITUTE(SUBSTITUTE('Dashboard'!$B$7,"~","~~"),"*","~*"),"?","~?"))+COUNTIFS('Calculations'!$HZ$13:$HZ$512,"="&amp;SUBSTITUTE(SUBSTITUTE(SUBSTITUTE('Calculations'!HF155,"~","~~"),"*","~*"),"?","~?"),'Calculations'!$HN$13:$HN$512,"="&amp;SUBSTITUTE(SUBSTITUTE(SUBSTITUTE('Dashboard'!$B$7,"~","~~"),"*","~*"),"?","~?"))+COUNTIFS('Calculations'!$IA$13:$IA$512,"="&amp;SUBSTITUTE(SUBSTITUTE(SUBSTITUTE('Calculations'!HF155,"~","~~"),"*","~*"),"?","~?"),'Calculations'!$HN$13:$HN$512,"="&amp;SUBSTITUTE(SUBSTITUTE(SUBSTITUTE('Dashboard'!$B$7,"~","~~"),"*","~*"),"?","~?"))+COUNTIFS('Calculations'!$IB$13:$IB$512,"="&amp;SUBSTITUTE(SUBSTITUTE(SUBSTITUTE('Calculations'!HF155,"~","~~"),"*","~*"),"?","~?"),'Calculations'!$HN$13:$HN$512,"="&amp;SUBSTITUTE(SUBSTITUTE(SUBSTITUTE('Dashboard'!$B$7,"~","~~"),"*","~*"),"?","~?"))+COUNTIFS('Calculations'!$IC$13:$IC$512,"="&amp;SUBSTITUTE(SUBSTITUTE(SUBSTITUTE('Calculations'!HF155,"~","~~"),"*","~*"),"?","~?"),'Calculations'!$HN$13:$HN$512,"="&amp;SUBSTITUTE(SUBSTITUTE(SUBSTITUTE('Dashboard'!$B$7,"~","~~"),"*","~*"),"?","~?"))+COUNTIFS('Calculations'!$ID$13:$ID$512,"="&amp;SUBSTITUTE(SUBSTITUTE(SUBSTITUTE('Calculations'!HF155,"~","~~"),"*","~*"),"?","~?"),'Calculations'!$HN$13:$HN$512,"="&amp;SUBSTITUTE(SUBSTITUTE(SUBSTITUTE('Dashboard'!$B$7,"~","~~"),"*","~*"),"?","~?"))+COUNTIFS('Calculations'!$IE$13:$IE$512,"="&amp;SUBSTITUTE(SUBSTITUTE(SUBSTITUTE('Calculations'!HF155,"~","~~"),"*","~*"),"?","~?"),'Calculations'!$HN$13:$HN$512,"="&amp;SUBSTITUTE(SUBSTITUTE(SUBSTITUTE('Dashboard'!$B$7,"~","~~"),"*","~*"),"?","~?"))+COUNTIFS('Calculations'!$IF$13:$IF$512,"="&amp;SUBSTITUTE(SUBSTITUTE(SUBSTITUTE('Calculations'!HF155,"~","~~"),"*","~*"),"?","~?"),'Calculations'!$HN$13:$HN$512,"="&amp;SUBSTITUTE(SUBSTITUTE(SUBSTITUTE('Dashboard'!$B$7,"~","~~"),"*","~*"),"?","~?"))+COUNTIFS('Calculations'!$IG$13:$IG$512,"="&amp;SUBSTITUTE(SUBSTITUTE(SUBSTITUTE('Calculations'!HF155,"~","~~"),"*","~*"),"?","~?"),'Calculations'!$HN$13:$HN$512,"="&amp;SUBSTITUTE(SUBSTITUTE(SUBSTITUTE('Dashboard'!$B$7,"~","~~"),"*","~*"),"?","~?"))+COUNTIFS('Calculations'!$IH$13:$IH$512,"="&amp;SUBSTITUTE(SUBSTITUTE(SUBSTITUTE('Calculations'!HF155,"~","~~"),"*","~*"),"?","~?"),'Calculations'!$HN$13:$HN$512,"="&amp;SUBSTITUTE(SUBSTITUTE(SUBSTITUTE('Dashboard'!$B$7,"~","~~"),"*","~*"),"?","~?"))))</x:f>
        <x:v>0</x:v>
      </x:c>
      <x:c r="JD155" t="n">
        <x:f>IF('Calculations'!EM155="",0,IF('Dashboard'!$B$7="All",1,IF('Calculations'!HN155='Dashboard'!$B$7,1,0)+IFERROR(INDEX('Calculations'!$JC$13:$JC$512,MATCH('Calculations'!HE155,'Calculations'!$HF$13:$HF$512,0)),0)))</x:f>
        <x:v>0</x:v>
      </x:c>
      <x:c r="JE155" t="n">
        <x:f>IF(AND('Calculations'!EM155&lt;&gt;"",'Calculations'!$JJ$2&lt;&gt;"All",'Calculations'!$JJ$2&lt;&gt;"",'Calculations'!HF155='Calculations'!$JJ$2,'Calculations'!HL155=0,'Calculations'!JD155&gt;0),MAX('Calculations'!$JE$12:JE154)+1,0)</x:f>
        <x:v>0</x:v>
      </x:c>
      <x:c r="JF155" t="str">
        <x:f>IF('Calculations'!EM155="","",IFERROR(IF(INDEX(INDIRECT("'WCM Calibration Final'!$G$1:$G$2000"),'Calculations'!$EM155)="","",TRIM(INDEX(INDIRECT("'WCM Calibration Final'!$G$1:$G$2000"),'Calculations'!$EM155)&amp;"")),""))</x:f>
      </x:c>
      <x:c r="JQ155" t="n">
        <x:f>IF(OR('Calculations'!BM155=0,NOT('Calculations'!$AG$2),'Calculations'!$AG$8&gt;0),0,IF(OR('Dashboard'!$B$7="All",'Calculations'!HN155='Dashboard'!$B$7),IF('Calculations'!$JJ$2="All",1,IF(AND('Calculations'!HF155='Calculations'!$JJ$2,'Calculations'!HL155=0),1,0)),0))</x:f>
        <x:v>0</x:v>
      </x:c>
    </x:row>
    <x:row r="156">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t="n">
        <x:f>IF('Calculations'!$EM156="",0,IF(OR(IFERROR(INDEX(INDIRECT("'WCM Calibration Final'!$A$1:$A$2000"),'Calculations'!$EM156)&lt;&gt;"",FALSE),IFERROR(INDEX(INDIRECT("'WCM Calibration Final'!$B$1:$B$2000"),'Calculations'!$EM156)&lt;&gt;"",FALSE),IFERROR(INDEX(INDIRECT("'WCM Calibration Final'!$C$1:$C$2000"),'Calculations'!$EM156)&lt;&gt;"",FALSE)),1,0))</x:f>
        <x:v>0</x:v>
      </x:c>
      <x:c r="BN156" s="4" t="n">
        <x:f>IF(AND('Calculations'!BM156=1,'Calculations'!$AG$2,'Calculations'!$EN156=1),1,0)</x:f>
        <x:v>0</x:v>
      </x:c>
      <x:c r="BO156" s="4" t="str">
        <x:f>IF('Calculations'!BM156=0,"",IFERROR(IF(AND(VALUE(INDEX(INDIRECT("'WCM Calibration Final'!$K$1:$K$2000"),'Calculations'!$EM156))&gt;=1,VALUE(INDEX(INDIRECT("'WCM Calibration Final'!$K$1:$K$2000"),'Calculations'!$EM156))&lt;=4,MOD(VALUE(INDEX(INDIRECT("'WCM Calibration Final'!$K$1:$K$2000"),'Calculations'!$EM156)),1)=0),VALUE(INDEX(INDIRECT("'WCM Calibration Final'!$K$1:$K$2000"),'Calculations'!$EM156)),""),""))</x:f>
      </x:c>
      <x:c r="BP156" s="4" t="str">
        <x:f>IF('Calculations'!BM156=0,"",IFERROR(IF(AND(VALUE(INDEX(INDIRECT("'WCM Calibration Final'!$L$1:$L$2000"),'Calculations'!$EM156))&gt;=1,VALUE(INDEX(INDIRECT("'WCM Calibration Final'!$L$1:$L$2000"),'Calculations'!$EM156))&lt;=4,MOD(VALUE(INDEX(INDIRECT("'WCM Calibration Final'!$L$1:$L$2000"),'Calculations'!$EM156)),1)=0),VALUE(INDEX(INDIRECT("'WCM Calibration Final'!$L$1:$L$2000"),'Calculations'!$EM156)),""),""))</x:f>
      </x:c>
      <x:c r="BQ156" s="4"/>
      <x:c r="BR156" s="4"/>
      <x:c r="BS156" s="4"/>
      <x:c r="BT156" s="4" t="n">
        <x:f>IF(AND('Calculations'!BM156=1,ISNUMBER('Calculations'!BO156),ISNUMBER('Calculations'!BP156)),1,0)</x:f>
        <x:v>0</x:v>
      </x:c>
      <x:c r="BU156" s="4" t="str">
        <x:f>IF('Calculations'!BM156=0,"",'Calculations'!$EO156)</x:f>
      </x:c>
      <x:c r="BV156" s="4" t="str">
        <x:f>IF('Calculations'!BM156=0,"",IFERROR(IF(OR(INDEX(INDIRECT("'WCM Calibration Final'!$H$1:$H$2000"),'Calculations'!$EM156)="MANAGING DIRECTOR",INDEX(INDIRECT("'WCM Calibration Final'!$H$1:$H$2000"),'Calculations'!$EM156)="DIRECTOR",INDEX(INDIRECT("'WCM Calibration Final'!$H$1:$H$2000"),'Calculations'!$EM156)="SENIOR VICE PRESIDENT",INDEX(INDIRECT("'WCM Calibration Final'!$H$1:$H$2000"),'Calculations'!$EM156)="VICE PRESIDENT",INDEX(INDIRECT("'WCM Calibration Final'!$H$1:$H$2000"),'Calculations'!$EM156)="ASSISTANT VICE PRESIDENT",INDEX(INDIRECT("'WCM Calibration Final'!$H$1:$H$2000"),'Calculations'!$EM156)="OFFICER"),UPPER(INDEX(INDIRECT("'WCM Calibration Final'!$H$1:$H$2000"),'Calculations'!$EM156)),"Other"),"Other"))</x:f>
      </x:c>
      <x:c r="BW156" s="4"/>
      <x:c r="BX156" s="4"/>
      <x:c r="BY156" s="4" t="n">
        <x:f>IF(AND('Calculations'!BM156=1,'Calculations'!BU156&lt;&gt;"",COUNTIF('Calculations'!$BU$12:BU156,'Calculations'!BU156)=1),MAX('Calculations'!$BY$11:BY155)+1,0)</x:f>
        <x:v>0</x:v>
      </x:c>
      <x:c r="BZ156" s="4" t="str">
        <x:f>IF('Dashboard'!$E$67="What",'Calculations'!BO156,'Calculations'!BP156)</x:f>
      </x:c>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t="str">
        <x:f>IF(145&gt;MAX('Calculations'!$HI$13:$HI$512),"",INDEX('Calculations'!$HN$13:$HN$512,MATCH(145,'Calculations'!$HI$13:$HI$512,0)))</x:f>
      </x:c>
      <x:c r="DB156" s="4" t="str">
        <x:f>IF(145&gt;MAX('Calculations'!$HH$13:$HH$512),"",INDEX('Calculations'!$HJ$13:$HJ$512,MATCH(145,'Calculations'!$HH$13:$HH$512,0)))</x:f>
      </x:c>
      <x:c r="DC156" s="4" t="str">
        <x:f>IF(ROW()-11&gt;MAX('Calculations'!$BY$13:$BY$512),"",INDEX('Calculations'!$BU$13:$BU$512,MATCH(ROW()-11,'Calculations'!$BY$13:$BY$512,0)))</x:f>
      </x:c>
      <x:c r="DD156" s="4" t="str">
        <x:f>IF(145&gt;MAX('Calculations'!$IK$13:$IK$512),"",INDEX('Calculations'!$HK$13:$HK$512,MATCH(145,'Calculations'!$IK$13:$IK$512,0)))</x:f>
      </x:c>
      <x:c r="DE156" s="4" t="str">
        <x:f>'Calculations'!DC156</x:f>
      </x:c>
      <x:c r="DF156" s="4" t="str">
        <x:f>IF('Calculations'!DE156="","",COUNTIFS('Calculations'!$BN$13:$BN$512,1,'Calculations'!$BU$13:$BU$512,'Calculations'!DE156))</x:f>
      </x:c>
      <x:c r="DG156" s="4" t="str">
        <x:f>IF('Calculations'!DE156="","",COUNTIFS('Calculations'!$BN$13:$BN$512,1,'Calculations'!$BU$13:$BU$512,'Calculations'!DE156,'Calculations'!$BT$13:$BT$512,1))</x:f>
      </x:c>
      <x:c r="DH156" s="4" t="str">
        <x:f>IF('Calculations'!DE156="","",'Calculations'!DF156-'Calculations'!DG156)</x:f>
      </x:c>
      <x:c r="DI156" s="4" t="str">
        <x:f>IF(OR('Calculations'!DE156="",'Calculations'!DF156=0),"",'Calculations'!DG156/'Calculations'!DF156)</x:f>
      </x:c>
      <x:c r="DJ156" s="4" t="str">
        <x:f>IF('Calculations'!DE156="","",COUNTIFS('Calculations'!$BN$13:$BN$512,1,'Calculations'!$BU$13:$BU$512,'Calculations'!DE156,'Calculations'!$BT$13:$BT$512,1,'Calculations'!$EE$13:$EE$512,"High"))</x:f>
      </x:c>
      <x:c r="DK156" s="4" t="str">
        <x:f>IF('Calculations'!DE156="","",COUNTIFS('Calculations'!$BN$13:$BN$512,1,'Calculations'!$BU$13:$BU$512,'Calculations'!DE156,'Calculations'!$BT$13:$BT$512,1,'Calculations'!$EE$13:$EE$512,"Strong"))</x:f>
      </x:c>
      <x:c r="DL156" s="4" t="str">
        <x:f>IF('Calculations'!DE156="","",COUNTIFS('Calculations'!$BN$13:$BN$512,1,'Calculations'!$BU$13:$BU$512,'Calculations'!DE156,'Calculations'!$BT$13:$BT$512,1,'Calculations'!$EE$13:$EE$512,"Solid"))</x:f>
      </x:c>
      <x:c r="DM156" s="4" t="str">
        <x:f>IF('Calculations'!DE156="","",COUNTIFS('Calculations'!$BN$13:$BN$512,1,'Calculations'!$BU$13:$BU$512,'Calculations'!DE156,'Calculations'!$BT$13:$BT$512,1,'Calculations'!$EE$13:$EE$512,"Low"))</x:f>
      </x:c>
      <x:c r="DN156" s="4" t="str">
        <x:f>IF('Calculations'!DE156="","",COUNTIFS('Calculations'!$BN$13:$BN$512,1,'Calculations'!$BU$13:$BU$512,'Calculations'!DE156,'Calculations'!$EP$13:$EP$512,1))</x:f>
      </x:c>
      <x:c r="DO156" s="4" t="str">
        <x:f>IF(OR('Calculations'!DE156="",'Calculations'!DG156=0),"",('Calculations'!DJ156+'Calculations'!DK156)/'Calculations'!DG156)</x:f>
      </x:c>
      <x:c r="DP156" s="4" t="n">
        <x:f>IF(AND('Calculations'!DE156&lt;&gt;"",'Calculations'!DF156&gt;0),COUNTIF('Calculations'!$DF$12:DF156,"&gt;0"),0)</x:f>
        <x:v>0</x:v>
      </x:c>
      <x:c r="DQ156" s="4" t="str">
        <x:f>IF(145&gt;MAX('Calculations'!$HH$13:$HH$512),"",INDEX('Calculations'!$HF$13:$HF$512,MATCH(145,'Calculations'!$HH$13:$HH$512,0)))</x:f>
      </x:c>
      <x:c r="DR156" s="4" t="str">
        <x:f>IF(145&gt;MAX('Calculations'!$IK$13:$IK$512),"",INDEX('Calculations'!$HE$13:$HE$512,MATCH(145,'Calculations'!$IK$13:$IK$512,0)))</x:f>
      </x:c>
      <x:c r="DS156" s="4"/>
      <x:c r="DT156" s="4"/>
      <x:c r="DU156" s="4"/>
      <x:c r="DV156" s="4"/>
      <x:c r="DW156" s="4"/>
      <x:c r="DX156" s="4"/>
      <x:c r="DY156" s="4"/>
      <x:c r="DZ156" s="4"/>
      <x:c r="EA156" s="4"/>
      <x:c r="EB156" s="4"/>
      <x:c r="EC156" s="4"/>
      <x:c r="ED156" s="4"/>
      <x:c r="EE156" s="4" t="str">
        <x:f>IF('Calculations'!BT156=0,"Not Rated",IF(OR('Calculations'!BO156&gt;=4,'Calculations'!BP156&gt;=4),"Low",IF('Calculations'!BO156+'Calculations'!BP156&lt;=3,"High",IF('Calculations'!BO156+'Calculations'!BP156&lt;=4,"Strong","Solid"))))</x:f>
        <x:v>Not Rated</x:v>
      </x:c>
      <x:c r="EF156" s="4"/>
      <x:c r="EG156" s="4"/>
      <x:c r="EH156" s="4"/>
      <x:c r="EI156" s="4"/>
      <x:c r="EJ156" s="4"/>
      <x:c r="EK156" s="4"/>
      <x:c r="EL156" s="4"/>
      <x:c r="EM156" s="4" t="str">
        <x:f>IF(144&gt;'Calculations'!$JB$2000,"",INDEX('Calculations'!$JA$12:$JA$2000,MATCH(144,'Calculations'!$JB$12:$JB$2000,0)))</x:f>
      </x:c>
      <x:c r="EN156" s="4" t="n">
        <x:f>IF(OR('Calculations'!EM156="",'Calculations'!$AG$8&gt;0,AND('Calculations'!$EF$2&lt;&gt;"All",'Calculations'!HE156='Calculations'!$EF$2),AND('Calculations'!$EF$3&lt;&gt;"All",'Calculations'!HE156='Calculations'!$EF$3)),0,IF(OR('Dashboard'!$B$7="All",'Calculations'!HN156='Dashboard'!$B$7),IF('Calculations'!$EF$2="All",1,IF('Calculations'!HL156&gt;0,0,IF(COUNTIF('Calculations'!HO156:II156,"="&amp;SUBSTITUTE(SUBSTITUTE(SUBSTITUTE('Calculations'!$EF$2,"~","~~"),"*","~*"),"?","~?"))=0,0,IF('Calculations'!$EF$3="All",1,IF(COUNTIF('Calculations'!HO156:II156,"="&amp;SUBSTITUTE(SUBSTITUTE(SUBSTITUTE('Calculations'!$EF$3,"~","~~"),"*","~*"),"?","~?"))&gt;0,1,0))))),0))</x:f>
        <x:v>0</x:v>
      </x:c>
      <x:c r="EO156" s="4" t="str">
        <x:f>IF('Calculations'!IJ156="","",IF('Calculations'!IJ156="!UNRESOLVED","Unresolved hierarchy",IFERROR(INDEX('Calculations'!$HK$13:$HK$512,MATCH('Calculations'!IJ156,'Calculations'!$HE$13:$HE$512,0)),IFERROR(INDEX('Calculations'!$HJ$13:$HJ$512,MATCH('Calculations'!IJ156,'Calculations'!$HF$13:$HF$512,0)),'Calculations'!IJ156))))</x:f>
      </x:c>
      <x:c r="EP156" s="4" t="n">
        <x:f>IF(AND('Calculations'!EM156&lt;&gt;"",'Calculations'!HF156='Calculations'!IJ156),1,0)</x:f>
        <x:v>0</x:v>
      </x:c>
      <x:c r="EQ156" s="4"/>
      <x:c r="ER156" s="4"/>
      <x:c r="ES156" s="4"/>
      <x:c r="ET156" s="4"/>
      <x:c r="EU156" s="4"/>
      <x:c r="EV156" s="4"/>
      <x:c r="EW156" s="4"/>
      <x:c r="EX156" s="4"/>
      <x:c r="EY156" s="4"/>
      <x:c r="EZ156" s="4"/>
      <x:c r="FA156" s="4"/>
      <x:c r="FB156" s="4"/>
      <x:c r="FC156" s="4"/>
      <x:c r="FD156" s="4"/>
      <x:c r="FE156" s="4"/>
      <x:c r="FF156" s="4"/>
      <x:c r="FG156" s="4"/>
      <x:c r="FH156" s="4"/>
      <x:c r="FI156" s="4"/>
      <x:c r="FJ156" s="4"/>
      <x:c r="FK156" s="4"/>
      <x:c r="FL156" s="4"/>
      <x:c r="FM156" s="4"/>
      <x:c r="FN156" s="4"/>
      <x:c r="FO156" s="4"/>
      <x:c r="GA156" s="71"/>
      <x:c r="GB156" s="71"/>
      <x:c r="GC156" s="71"/>
      <x:c r="GD156" s="71"/>
      <x:c r="GE156" s="71"/>
      <x:c r="GF156" s="71"/>
      <x:c r="GG156" s="71"/>
      <x:c r="GH156" s="71"/>
      <x:c r="GI156" s="71"/>
      <x:c r="GJ156" s="71"/>
      <x:c r="GK156" s="71"/>
      <x:c r="GL156" s="71" t="n">
        <x:f>COUNTIFS('Calculations'!$JQ$13:$JQ$512,1,'Calculations'!$EE$13:$EE$512,"Strong")</x:f>
        <x:v>0</x:v>
      </x:c>
      <x:c r="GM156" s="71"/>
      <x:c r="GN156" s="71"/>
      <x:c r="GO156" s="71" t="str">
        <x:f>IF(SUM('Calculations'!$GL$155:$GL$158)=0,"",'Calculations'!GL156/SUM('Calculations'!$GL$155:$GL$158))</x:f>
      </x:c>
      <x:c r="GP156" s="71"/>
      <x:c r="GQ156" s="71"/>
      <x:c r="GR156" s="71" t="n">
        <x:f>IF(COUNT('Dashboard'!P147)=0,"",IF(AND('Dashboard'!P147&gt;=0,'Dashboard'!P147&lt;=1),'Dashboard'!P147,""))</x:f>
        <x:v>0.3</x:v>
      </x:c>
      <x:c r="GS156" s="71"/>
      <x:c r="GT156" s="71"/>
      <x:c r="GU156" s="71" t="str">
        <x:f>IF(COUNT('Calculations'!GO156,'Calculations'!GR156)&lt;2,"",100*('Calculations'!GO156-'Calculations'!GR156))</x:f>
      </x:c>
      <x:c r="GV156" s="71"/>
      <x:c r="GW156" s="71"/>
      <x:c r="GX156" s="71" t="str">
        <x:f>IF(NOT('Calculations'!$AG$2),"Source unavailable",IF('Calculations'!$AG$8&gt;0,"Check filters",IF(COUNT('Calculations'!GO156)=0,"No ratings",IF(COUNT('Calculations'!GR156)=0,"No threshold",IF('Calculations'!GO156&gt;'Calculations'!GR156,"Above threshold","Within threshold")))))</x:f>
        <x:v>Source unavailable</x:v>
      </x:c>
      <x:c r="GY156" s="71"/>
      <x:c r="GZ156" s="71"/>
      <x:c r="HA156" s="71"/>
      <x:c r="HB156" s="71"/>
      <x:c r="HC156" s="71"/>
      <x:c r="HD156" s="71"/>
      <x:c r="HE156" t="str">
        <x:f>IF('Calculations'!EM156="","",IF(IFERROR(IF(INDEX(INDIRECT("'WCM Calibration Final'!$A$1:$A$2000"),'Calculations'!$EM156)="","",TRIM(INDEX(INDIRECT("'WCM Calibration Final'!$A$1:$A$2000"),'Calculations'!$EM156)&amp;"")),"")&lt;&gt;"","G:"&amp;IFERROR(TEXT(1*INDEX(INDIRECT("'WCM Calibration Final'!$A$1:$A$2000"),'Calculations'!$EM156),"0"),UPPER(IFERROR(IF(INDEX(INDIRECT("'WCM Calibration Final'!$A$1:$A$2000"),'Calculations'!$EM156)="","",TRIM(INDEX(INDIRECT("'WCM Calibration Final'!$A$1:$A$2000"),'Calculations'!$EM156)&amp;"")),""))),IF(IFERROR(IF(INDEX(INDIRECT("'WCM Calibration Final'!$C$1:$C$2000"),'Calculations'!$EM156)="","",TRIM(INDEX(INDIRECT("'WCM Calibration Final'!$C$1:$C$2000"),'Calculations'!$EM156)&amp;"")),"")&lt;&gt;"","S:"&amp;UPPER(IFERROR(IF(INDEX(INDIRECT("'WCM Calibration Final'!$C$1:$C$2000"),'Calculations'!$EM156)="","",TRIM(INDEX(INDIRECT("'WCM Calibration Final'!$C$1:$C$2000"),'Calculations'!$EM156)&amp;"")),"")),"R:"&amp;'Calculations'!EM156)))</x:f>
      </x:c>
      <x:c r="HF156" t="str">
        <x:f>IF('Calculations'!EM156="","",IF(IFERROR(IF(INDEX(INDIRECT("'WCM Calibration Final'!$D$1:$D$2000"),'Calculations'!$EM156)="","",TRIM(INDEX(INDIRECT("'WCM Calibration Final'!$D$1:$D$2000"),'Calculations'!$EM156)&amp;"")),"")&lt;&gt;"","G:"&amp;IFERROR(TEXT(1*INDEX(INDIRECT("'WCM Calibration Final'!$D$1:$D$2000"),'Calculations'!$EM156),"0"),UPPER(IFERROR(IF(INDEX(INDIRECT("'WCM Calibration Final'!$D$1:$D$2000"),'Calculations'!$EM156)="","",TRIM(INDEX(INDIRECT("'WCM Calibration Final'!$D$1:$D$2000"),'Calculations'!$EM156)&amp;"")),""))),IF(IFERROR(IF(INDEX(INDIRECT("'WCM Calibration Final'!$E$1:$E$2000"),'Calculations'!$EM156)="","",TRIM(INDEX(INDIRECT("'WCM Calibration Final'!$E$1:$E$2000"),'Calculations'!$EM156)&amp;"")),"")="","",IF(COUNTIF('Calculations'!$HG$13:$HG$512,"="&amp;SUBSTITUTE(SUBSTITUTE(SUBSTITUTE(IFERROR(IF(INDEX(INDIRECT("'WCM Calibration Final'!$E$1:$E$2000"),'Calculations'!$EM156)="","",TRIM(INDEX(INDIRECT("'WCM Calibration Final'!$E$1:$E$2000"),'Calculations'!$EM156)&amp;"")),""),"~","~~"),"*","~*"),"?","~?"))=1,INDEX('Calculations'!$HE$13:$HE$512,MATCH(IFERROR(IF(INDEX(INDIRECT("'WCM Calibration Final'!$E$1:$E$2000"),'Calculations'!$EM156)="","",TRIM(INDEX(INDIRECT("'WCM Calibration Final'!$E$1:$E$2000"),'Calculations'!$EM156)&amp;"")),""),'Calculations'!$HG$13:$HG$512,0)),IF(COUNTIF('Calculations'!$HG$13:$HG$512,"="&amp;SUBSTITUTE(SUBSTITUTE(SUBSTITUTE(IFERROR(IF(INDEX(INDIRECT("'WCM Calibration Final'!$E$1:$E$2000"),'Calculations'!$EM156)="","",TRIM(INDEX(INDIRECT("'WCM Calibration Final'!$E$1:$E$2000"),'Calculations'!$EM156)&amp;"")),""),"~","~~"),"*","~*"),"?","~?"))&gt;1,"!AMBIG","X:"&amp;IFERROR(IF(INDEX(INDIRECT("'WCM Calibration Final'!$E$1:$E$2000"),'Calculations'!$EM156)="","",TRIM(INDEX(INDIRECT("'WCM Calibration Final'!$E$1:$E$2000"),'Calculations'!$EM156)&amp;"")),""))))))</x:f>
      </x:c>
      <x:c r="HG156" t="str">
        <x:f>IF('Calculations'!EM156="","",IFERROR(IF(INDEX(INDIRECT("'WCM Calibration Final'!$B$1:$B$2000"),'Calculations'!$EM156)="","",TRIM(INDEX(INDIRECT("'WCM Calibration Final'!$B$1:$B$2000"),'Calculations'!$EM156)&amp;"")),""))</x:f>
      </x:c>
      <x:c r="HH156" t="n">
        <x:f>IF(AND('Calculations'!JC156&gt;0,COUNTIF('Calculations'!$HF$12:HF156,"="&amp;SUBSTITUTE(SUBSTITUTE(SUBSTITUTE('Calculations'!HF156,"~","~~"),"*","~*"),"?","~?"))=1),MAX('Calculations'!$HH$12:HH155)+1,0)</x:f>
        <x:v>0</x:v>
      </x:c>
      <x:c r="HI156" t="n">
        <x:f>IF(AND('Calculations'!HN156&lt;&gt;"",COUNTIF('Calculations'!$HN$12:HN156,"="&amp;SUBSTITUTE(SUBSTITUTE(SUBSTITUTE('Calculations'!HN156,"~","~~"),"*","~*"),"?","~?"))=1),MAX('Calculations'!$HI$12:HI155)+1,0)</x:f>
        <x:v>0</x:v>
      </x:c>
      <x:c r="HJ156" t="str">
        <x:f>IF('Calculations'!HF156="","",IF(COUNTIF('Calculations'!$HE$13:$HE$512,"="&amp;SUBSTITUTE(SUBSTITUTE(SUBSTITUTE('Calculations'!HF156,"~","~~"),"*","~*"),"?","~?"))=1,INDEX('Calculations'!$HK$13:$HK$512,MATCH('Calculations'!HF156,'Calculations'!$HE$13:$HE$512,0)),IFERROR(IF(INDEX(INDIRECT("'WCM Calibration Final'!$E$1:$E$2000"),'Calculations'!$EM156)="","",TRIM(INDEX(INDIRECT("'WCM Calibration Final'!$E$1:$E$2000"),'Calculations'!$EM156)&amp;"")),"")&amp;" ["&amp;'Calculations'!HF156&amp;"]"))</x:f>
      </x:c>
      <x:c r="HK156" t="str">
        <x:f>IF('Calculations'!EM156="","",'Calculations'!HG156&amp;" ["&amp;'Calculations'!HE156&amp;"]")</x:f>
      </x:c>
      <x:c r="HL156" t="n">
        <x:f>IF('Calculations'!EM156="",0,IF(OR('Calculations'!II156&lt;&gt;"",COUNTIF('Calculations'!$HE$13:$HE$512,"="&amp;SUBSTITUTE(SUBSTITUTE(SUBSTITUTE('Calculations'!HE156,"~","~~"),"*","~*"),"?","~?"))&gt;1),1,0))</x:f>
        <x:v>0</x:v>
      </x:c>
      <x:c r="HM156" t="str">
        <x:f>IF('Calculations'!EM156="","",IF('Calculations'!HL156=1,"!UNRESOLVED",IF('Calculations'!IH156&lt;&gt;"",'Calculations'!IH156,IF('Calculations'!IG156&lt;&gt;"",'Calculations'!IG156,IF('Calculations'!IF156&lt;&gt;"",'Calculations'!IF156,IF('Calculations'!IE156&lt;&gt;"",'Calculations'!IE156,IF('Calculations'!ID156&lt;&gt;"",'Calculations'!ID156,IF('Calculations'!IC156&lt;&gt;"",'Calculations'!IC156,IF('Calculations'!IB156&lt;&gt;"",'Calculations'!IB156,IF('Calculations'!IA156&lt;&gt;"",'Calculations'!IA156,IF('Calculations'!HZ156&lt;&gt;"",'Calculations'!HZ156,IF('Calculations'!HY156&lt;&gt;"",'Calculations'!HY156,IF('Calculations'!HX156&lt;&gt;"",'Calculations'!HX156,IF('Calculations'!HW156&lt;&gt;"",'Calculations'!HW156,IF('Calculations'!HV156&lt;&gt;"",'Calculations'!HV156,IF('Calculations'!HU156&lt;&gt;"",'Calculations'!HU156,IF('Calculations'!HT156&lt;&gt;"",'Calculations'!HT156,IF('Calculations'!HS156&lt;&gt;"",'Calculations'!HS156,IF('Calculations'!HR156&lt;&gt;"",'Calculations'!HR156,IF('Calculations'!HQ156&lt;&gt;"",'Calculations'!HQ156,IF('Calculations'!HP156&lt;&gt;"",'Calculations'!HP156,IF('Calculations'!HO156&lt;&gt;"",'Calculations'!HO156,'Calculations'!HE156))))))))))))))))))))))</x:f>
      </x:c>
      <x:c r="HN156" t="str">
        <x:f>IF('Calculations'!EM156="","",IF(IFERROR(IF(INDEX(INDIRECT("'WCM Calibration Final'!$F$1:$F$2000"),'Calculations'!$EM156)="","",TRIM(INDEX(INDIRECT("'WCM Calibration Final'!$F$1:$F$2000"),'Calculations'!$EM156)&amp;"")),"")="","(Blank)",IFERROR(IF(INDEX(INDIRECT("'WCM Calibration Final'!$F$1:$F$2000"),'Calculations'!$EM156)="","",TRIM(INDEX(INDIRECT("'WCM Calibration Final'!$F$1:$F$2000"),'Calculations'!$EM156)&amp;"")),"")))</x:f>
      </x:c>
      <x:c r="HO156" t="str">
        <x:f>'Calculations'!HF156</x:f>
      </x:c>
      <x:c r="HP156" t="str">
        <x:f>IF('Calculations'!HO156="","",IF('Calculations'!HO156="!AMBIG","!AMBIG",IF(COUNTIF('Calculations'!$HE$13:$HE$512,"="&amp;SUBSTITUTE(SUBSTITUTE(SUBSTITUTE('Calculations'!HO156,"~","~~"),"*","~*"),"?","~?"))&gt;1,"!AMBIG",IFERROR(INDEX('Calculations'!$HF$13:$HF$512,MATCH('Calculations'!HO156,'Calculations'!$HE$13:$HE$512,0)),""))))</x:f>
      </x:c>
      <x:c r="HQ156" t="str">
        <x:f>IF('Calculations'!HP156="","",IF('Calculations'!HP156="!AMBIG","!AMBIG",IF(COUNTIF('Calculations'!$HE$13:$HE$512,"="&amp;SUBSTITUTE(SUBSTITUTE(SUBSTITUTE('Calculations'!HP156,"~","~~"),"*","~*"),"?","~?"))&gt;1,"!AMBIG",IFERROR(INDEX('Calculations'!$HF$13:$HF$512,MATCH('Calculations'!HP156,'Calculations'!$HE$13:$HE$512,0)),""))))</x:f>
      </x:c>
      <x:c r="HR156" t="str">
        <x:f>IF('Calculations'!HQ156="","",IF('Calculations'!HQ156="!AMBIG","!AMBIG",IF(COUNTIF('Calculations'!$HE$13:$HE$512,"="&amp;SUBSTITUTE(SUBSTITUTE(SUBSTITUTE('Calculations'!HQ156,"~","~~"),"*","~*"),"?","~?"))&gt;1,"!AMBIG",IFERROR(INDEX('Calculations'!$HF$13:$HF$512,MATCH('Calculations'!HQ156,'Calculations'!$HE$13:$HE$512,0)),""))))</x:f>
      </x:c>
      <x:c r="HS156" t="str">
        <x:f>IF('Calculations'!HR156="","",IF('Calculations'!HR156="!AMBIG","!AMBIG",IF(COUNTIF('Calculations'!$HE$13:$HE$512,"="&amp;SUBSTITUTE(SUBSTITUTE(SUBSTITUTE('Calculations'!HR156,"~","~~"),"*","~*"),"?","~?"))&gt;1,"!AMBIG",IFERROR(INDEX('Calculations'!$HF$13:$HF$512,MATCH('Calculations'!HR156,'Calculations'!$HE$13:$HE$512,0)),""))))</x:f>
      </x:c>
      <x:c r="HT156" t="str">
        <x:f>IF('Calculations'!HS156="","",IF('Calculations'!HS156="!AMBIG","!AMBIG",IF(COUNTIF('Calculations'!$HE$13:$HE$512,"="&amp;SUBSTITUTE(SUBSTITUTE(SUBSTITUTE('Calculations'!HS156,"~","~~"),"*","~*"),"?","~?"))&gt;1,"!AMBIG",IFERROR(INDEX('Calculations'!$HF$13:$HF$512,MATCH('Calculations'!HS156,'Calculations'!$HE$13:$HE$512,0)),""))))</x:f>
      </x:c>
      <x:c r="HU156" t="str">
        <x:f>IF('Calculations'!HT156="","",IF('Calculations'!HT156="!AMBIG","!AMBIG",IF(COUNTIF('Calculations'!$HE$13:$HE$512,"="&amp;SUBSTITUTE(SUBSTITUTE(SUBSTITUTE('Calculations'!HT156,"~","~~"),"*","~*"),"?","~?"))&gt;1,"!AMBIG",IFERROR(INDEX('Calculations'!$HF$13:$HF$512,MATCH('Calculations'!HT156,'Calculations'!$HE$13:$HE$512,0)),""))))</x:f>
      </x:c>
      <x:c r="HV156" t="str">
        <x:f>IF('Calculations'!HU156="","",IF('Calculations'!HU156="!AMBIG","!AMBIG",IF(COUNTIF('Calculations'!$HE$13:$HE$512,"="&amp;SUBSTITUTE(SUBSTITUTE(SUBSTITUTE('Calculations'!HU156,"~","~~"),"*","~*"),"?","~?"))&gt;1,"!AMBIG",IFERROR(INDEX('Calculations'!$HF$13:$HF$512,MATCH('Calculations'!HU156,'Calculations'!$HE$13:$HE$512,0)),""))))</x:f>
      </x:c>
      <x:c r="HW156" t="str">
        <x:f>IF('Calculations'!HV156="","",IF('Calculations'!HV156="!AMBIG","!AMBIG",IF(COUNTIF('Calculations'!$HE$13:$HE$512,"="&amp;SUBSTITUTE(SUBSTITUTE(SUBSTITUTE('Calculations'!HV156,"~","~~"),"*","~*"),"?","~?"))&gt;1,"!AMBIG",IFERROR(INDEX('Calculations'!$HF$13:$HF$512,MATCH('Calculations'!HV156,'Calculations'!$HE$13:$HE$512,0)),""))))</x:f>
      </x:c>
      <x:c r="HX156" t="str">
        <x:f>IF('Calculations'!HW156="","",IF('Calculations'!HW156="!AMBIG","!AMBIG",IF(COUNTIF('Calculations'!$HE$13:$HE$512,"="&amp;SUBSTITUTE(SUBSTITUTE(SUBSTITUTE('Calculations'!HW156,"~","~~"),"*","~*"),"?","~?"))&gt;1,"!AMBIG",IFERROR(INDEX('Calculations'!$HF$13:$HF$512,MATCH('Calculations'!HW156,'Calculations'!$HE$13:$HE$512,0)),""))))</x:f>
      </x:c>
      <x:c r="HY156" t="str">
        <x:f>IF('Calculations'!HX156="","",IF('Calculations'!HX156="!AMBIG","!AMBIG",IF(COUNTIF('Calculations'!$HE$13:$HE$512,"="&amp;SUBSTITUTE(SUBSTITUTE(SUBSTITUTE('Calculations'!HX156,"~","~~"),"*","~*"),"?","~?"))&gt;1,"!AMBIG",IFERROR(INDEX('Calculations'!$HF$13:$HF$512,MATCH('Calculations'!HX156,'Calculations'!$HE$13:$HE$512,0)),""))))</x:f>
      </x:c>
      <x:c r="HZ156" t="str">
        <x:f>IF('Calculations'!HY156="","",IF('Calculations'!HY156="!AMBIG","!AMBIG",IF(COUNTIF('Calculations'!$HE$13:$HE$512,"="&amp;SUBSTITUTE(SUBSTITUTE(SUBSTITUTE('Calculations'!HY156,"~","~~"),"*","~*"),"?","~?"))&gt;1,"!AMBIG",IFERROR(INDEX('Calculations'!$HF$13:$HF$512,MATCH('Calculations'!HY156,'Calculations'!$HE$13:$HE$512,0)),""))))</x:f>
      </x:c>
      <x:c r="IA156" t="str">
        <x:f>IF('Calculations'!HZ156="","",IF('Calculations'!HZ156="!AMBIG","!AMBIG",IF(COUNTIF('Calculations'!$HE$13:$HE$512,"="&amp;SUBSTITUTE(SUBSTITUTE(SUBSTITUTE('Calculations'!HZ156,"~","~~"),"*","~*"),"?","~?"))&gt;1,"!AMBIG",IFERROR(INDEX('Calculations'!$HF$13:$HF$512,MATCH('Calculations'!HZ156,'Calculations'!$HE$13:$HE$512,0)),""))))</x:f>
      </x:c>
      <x:c r="IB156" t="str">
        <x:f>IF('Calculations'!IA156="","",IF('Calculations'!IA156="!AMBIG","!AMBIG",IF(COUNTIF('Calculations'!$HE$13:$HE$512,"="&amp;SUBSTITUTE(SUBSTITUTE(SUBSTITUTE('Calculations'!IA156,"~","~~"),"*","~*"),"?","~?"))&gt;1,"!AMBIG",IFERROR(INDEX('Calculations'!$HF$13:$HF$512,MATCH('Calculations'!IA156,'Calculations'!$HE$13:$HE$512,0)),""))))</x:f>
      </x:c>
      <x:c r="IC156" t="str">
        <x:f>IF('Calculations'!IB156="","",IF('Calculations'!IB156="!AMBIG","!AMBIG",IF(COUNTIF('Calculations'!$HE$13:$HE$512,"="&amp;SUBSTITUTE(SUBSTITUTE(SUBSTITUTE('Calculations'!IB156,"~","~~"),"*","~*"),"?","~?"))&gt;1,"!AMBIG",IFERROR(INDEX('Calculations'!$HF$13:$HF$512,MATCH('Calculations'!IB156,'Calculations'!$HE$13:$HE$512,0)),""))))</x:f>
      </x:c>
      <x:c r="ID156" t="str">
        <x:f>IF('Calculations'!IC156="","",IF('Calculations'!IC156="!AMBIG","!AMBIG",IF(COUNTIF('Calculations'!$HE$13:$HE$512,"="&amp;SUBSTITUTE(SUBSTITUTE(SUBSTITUTE('Calculations'!IC156,"~","~~"),"*","~*"),"?","~?"))&gt;1,"!AMBIG",IFERROR(INDEX('Calculations'!$HF$13:$HF$512,MATCH('Calculations'!IC156,'Calculations'!$HE$13:$HE$512,0)),""))))</x:f>
      </x:c>
      <x:c r="IE156" t="str">
        <x:f>IF('Calculations'!ID156="","",IF('Calculations'!ID156="!AMBIG","!AMBIG",IF(COUNTIF('Calculations'!$HE$13:$HE$512,"="&amp;SUBSTITUTE(SUBSTITUTE(SUBSTITUTE('Calculations'!ID156,"~","~~"),"*","~*"),"?","~?"))&gt;1,"!AMBIG",IFERROR(INDEX('Calculations'!$HF$13:$HF$512,MATCH('Calculations'!ID156,'Calculations'!$HE$13:$HE$512,0)),""))))</x:f>
      </x:c>
      <x:c r="IF156" t="str">
        <x:f>IF('Calculations'!IE156="","",IF('Calculations'!IE156="!AMBIG","!AMBIG",IF(COUNTIF('Calculations'!$HE$13:$HE$512,"="&amp;SUBSTITUTE(SUBSTITUTE(SUBSTITUTE('Calculations'!IE156,"~","~~"),"*","~*"),"?","~?"))&gt;1,"!AMBIG",IFERROR(INDEX('Calculations'!$HF$13:$HF$512,MATCH('Calculations'!IE156,'Calculations'!$HE$13:$HE$512,0)),""))))</x:f>
      </x:c>
      <x:c r="IG156" t="str">
        <x:f>IF('Calculations'!IF156="","",IF('Calculations'!IF156="!AMBIG","!AMBIG",IF(COUNTIF('Calculations'!$HE$13:$HE$512,"="&amp;SUBSTITUTE(SUBSTITUTE(SUBSTITUTE('Calculations'!IF156,"~","~~"),"*","~*"),"?","~?"))&gt;1,"!AMBIG",IFERROR(INDEX('Calculations'!$HF$13:$HF$512,MATCH('Calculations'!IF156,'Calculations'!$HE$13:$HE$512,0)),""))))</x:f>
      </x:c>
      <x:c r="IH156" t="str">
        <x:f>IF('Calculations'!IG156="","",IF('Calculations'!IG156="!AMBIG","!AMBIG",IF(COUNTIF('Calculations'!$HE$13:$HE$512,"="&amp;SUBSTITUTE(SUBSTITUTE(SUBSTITUTE('Calculations'!IG156,"~","~~"),"*","~*"),"?","~?"))&gt;1,"!AMBIG",IFERROR(INDEX('Calculations'!$HF$13:$HF$512,MATCH('Calculations'!IG156,'Calculations'!$HE$13:$HE$512,0)),""))))</x:f>
      </x:c>
      <x:c r="II156" t="str">
        <x:f>IF('Calculations'!IH156="","",IF('Calculations'!IH156="!AMBIG","!AMBIG",IF(COUNTIF('Calculations'!$HE$13:$HE$512,"="&amp;SUBSTITUTE(SUBSTITUTE(SUBSTITUTE('Calculations'!IH156,"~","~~"),"*","~*"),"?","~?"))&gt;1,"!AMBIG",IFERROR(INDEX('Calculations'!$HF$13:$HF$512,MATCH('Calculations'!IH156,'Calculations'!$HE$13:$HE$512,0)),""))))</x:f>
      </x:c>
      <x:c r="IJ156" t="str">
        <x:f>IF('Calculations'!EM156="","",IF('Calculations'!$EF$2="All",'Calculations'!HM156,IF('Calculations'!HL156=1,"",IFERROR(IF(MATCH('Calculations'!$EF$2,'Calculations'!HO156:II156,0)=1,'Calculations'!HE156,INDEX('Calculations'!HO156:II156,1,MATCH('Calculations'!$EF$2,'Calculations'!HO156:II156,0)-1)),""))))</x:f>
      </x:c>
      <x:c r="IK156" t="n">
        <x:f>IF(AND('Calculations'!EM156&lt;&gt;"",'Calculations'!$EF$2&lt;&gt;"All",'Calculations'!HF156='Calculations'!$EF$2,'Calculations'!HL156=0,'Calculations'!JD156&gt;0),MAX('Calculations'!$IK$12:IK155)+1,0)</x:f>
        <x:v>0</x:v>
      </x:c>
      <x:c r="JA156" t="n">
        <x:f>IF(OR(IFERROR(INDIRECT("'WCM Calibration Final'!$A$156")&lt;&gt;"",FALSE),IFERROR(INDIRECT("'WCM Calibration Final'!$B$156")&lt;&gt;"",FALSE),IFERROR(INDIRECT("'WCM Calibration Final'!$C$156")&lt;&gt;"",FALSE)),156,0)</x:f>
        <x:v>0</x:v>
      </x:c>
      <x:c r="JB156" t="n">
        <x:f>'Calculations'!JB155+IF('Calculations'!JA156&gt;0,1,0)</x:f>
        <x:v>0</x:v>
      </x:c>
      <x:c r="JC156" t="n">
        <x:f>IF(OR('Calculations'!HF156="",'Calculations'!HF156="!AMBIG"),0,IF('Dashboard'!$B$7="All",1,COUNTIFS('Calculations'!$HO$13:$HO$512,"="&amp;SUBSTITUTE(SUBSTITUTE(SUBSTITUTE('Calculations'!HF156,"~","~~"),"*","~*"),"?","~?"),'Calculations'!$HN$13:$HN$512,"="&amp;SUBSTITUTE(SUBSTITUTE(SUBSTITUTE('Dashboard'!$B$7,"~","~~"),"*","~*"),"?","~?"))+COUNTIFS('Calculations'!$HP$13:$HP$512,"="&amp;SUBSTITUTE(SUBSTITUTE(SUBSTITUTE('Calculations'!HF156,"~","~~"),"*","~*"),"?","~?"),'Calculations'!$HN$13:$HN$512,"="&amp;SUBSTITUTE(SUBSTITUTE(SUBSTITUTE('Dashboard'!$B$7,"~","~~"),"*","~*"),"?","~?"))+COUNTIFS('Calculations'!$HQ$13:$HQ$512,"="&amp;SUBSTITUTE(SUBSTITUTE(SUBSTITUTE('Calculations'!HF156,"~","~~"),"*","~*"),"?","~?"),'Calculations'!$HN$13:$HN$512,"="&amp;SUBSTITUTE(SUBSTITUTE(SUBSTITUTE('Dashboard'!$B$7,"~","~~"),"*","~*"),"?","~?"))+COUNTIFS('Calculations'!$HR$13:$HR$512,"="&amp;SUBSTITUTE(SUBSTITUTE(SUBSTITUTE('Calculations'!HF156,"~","~~"),"*","~*"),"?","~?"),'Calculations'!$HN$13:$HN$512,"="&amp;SUBSTITUTE(SUBSTITUTE(SUBSTITUTE('Dashboard'!$B$7,"~","~~"),"*","~*"),"?","~?"))+COUNTIFS('Calculations'!$HS$13:$HS$512,"="&amp;SUBSTITUTE(SUBSTITUTE(SUBSTITUTE('Calculations'!HF156,"~","~~"),"*","~*"),"?","~?"),'Calculations'!$HN$13:$HN$512,"="&amp;SUBSTITUTE(SUBSTITUTE(SUBSTITUTE('Dashboard'!$B$7,"~","~~"),"*","~*"),"?","~?"))+COUNTIFS('Calculations'!$HT$13:$HT$512,"="&amp;SUBSTITUTE(SUBSTITUTE(SUBSTITUTE('Calculations'!HF156,"~","~~"),"*","~*"),"?","~?"),'Calculations'!$HN$13:$HN$512,"="&amp;SUBSTITUTE(SUBSTITUTE(SUBSTITUTE('Dashboard'!$B$7,"~","~~"),"*","~*"),"?","~?"))+COUNTIFS('Calculations'!$HU$13:$HU$512,"="&amp;SUBSTITUTE(SUBSTITUTE(SUBSTITUTE('Calculations'!HF156,"~","~~"),"*","~*"),"?","~?"),'Calculations'!$HN$13:$HN$512,"="&amp;SUBSTITUTE(SUBSTITUTE(SUBSTITUTE('Dashboard'!$B$7,"~","~~"),"*","~*"),"?","~?"))+COUNTIFS('Calculations'!$HV$13:$HV$512,"="&amp;SUBSTITUTE(SUBSTITUTE(SUBSTITUTE('Calculations'!HF156,"~","~~"),"*","~*"),"?","~?"),'Calculations'!$HN$13:$HN$512,"="&amp;SUBSTITUTE(SUBSTITUTE(SUBSTITUTE('Dashboard'!$B$7,"~","~~"),"*","~*"),"?","~?"))+COUNTIFS('Calculations'!$HW$13:$HW$512,"="&amp;SUBSTITUTE(SUBSTITUTE(SUBSTITUTE('Calculations'!HF156,"~","~~"),"*","~*"),"?","~?"),'Calculations'!$HN$13:$HN$512,"="&amp;SUBSTITUTE(SUBSTITUTE(SUBSTITUTE('Dashboard'!$B$7,"~","~~"),"*","~*"),"?","~?"))+COUNTIFS('Calculations'!$HX$13:$HX$512,"="&amp;SUBSTITUTE(SUBSTITUTE(SUBSTITUTE('Calculations'!HF156,"~","~~"),"*","~*"),"?","~?"),'Calculations'!$HN$13:$HN$512,"="&amp;SUBSTITUTE(SUBSTITUTE(SUBSTITUTE('Dashboard'!$B$7,"~","~~"),"*","~*"),"?","~?"))+COUNTIFS('Calculations'!$HY$13:$HY$512,"="&amp;SUBSTITUTE(SUBSTITUTE(SUBSTITUTE('Calculations'!HF156,"~","~~"),"*","~*"),"?","~?"),'Calculations'!$HN$13:$HN$512,"="&amp;SUBSTITUTE(SUBSTITUTE(SUBSTITUTE('Dashboard'!$B$7,"~","~~"),"*","~*"),"?","~?"))+COUNTIFS('Calculations'!$HZ$13:$HZ$512,"="&amp;SUBSTITUTE(SUBSTITUTE(SUBSTITUTE('Calculations'!HF156,"~","~~"),"*","~*"),"?","~?"),'Calculations'!$HN$13:$HN$512,"="&amp;SUBSTITUTE(SUBSTITUTE(SUBSTITUTE('Dashboard'!$B$7,"~","~~"),"*","~*"),"?","~?"))+COUNTIFS('Calculations'!$IA$13:$IA$512,"="&amp;SUBSTITUTE(SUBSTITUTE(SUBSTITUTE('Calculations'!HF156,"~","~~"),"*","~*"),"?","~?"),'Calculations'!$HN$13:$HN$512,"="&amp;SUBSTITUTE(SUBSTITUTE(SUBSTITUTE('Dashboard'!$B$7,"~","~~"),"*","~*"),"?","~?"))+COUNTIFS('Calculations'!$IB$13:$IB$512,"="&amp;SUBSTITUTE(SUBSTITUTE(SUBSTITUTE('Calculations'!HF156,"~","~~"),"*","~*"),"?","~?"),'Calculations'!$HN$13:$HN$512,"="&amp;SUBSTITUTE(SUBSTITUTE(SUBSTITUTE('Dashboard'!$B$7,"~","~~"),"*","~*"),"?","~?"))+COUNTIFS('Calculations'!$IC$13:$IC$512,"="&amp;SUBSTITUTE(SUBSTITUTE(SUBSTITUTE('Calculations'!HF156,"~","~~"),"*","~*"),"?","~?"),'Calculations'!$HN$13:$HN$512,"="&amp;SUBSTITUTE(SUBSTITUTE(SUBSTITUTE('Dashboard'!$B$7,"~","~~"),"*","~*"),"?","~?"))+COUNTIFS('Calculations'!$ID$13:$ID$512,"="&amp;SUBSTITUTE(SUBSTITUTE(SUBSTITUTE('Calculations'!HF156,"~","~~"),"*","~*"),"?","~?"),'Calculations'!$HN$13:$HN$512,"="&amp;SUBSTITUTE(SUBSTITUTE(SUBSTITUTE('Dashboard'!$B$7,"~","~~"),"*","~*"),"?","~?"))+COUNTIFS('Calculations'!$IE$13:$IE$512,"="&amp;SUBSTITUTE(SUBSTITUTE(SUBSTITUTE('Calculations'!HF156,"~","~~"),"*","~*"),"?","~?"),'Calculations'!$HN$13:$HN$512,"="&amp;SUBSTITUTE(SUBSTITUTE(SUBSTITUTE('Dashboard'!$B$7,"~","~~"),"*","~*"),"?","~?"))+COUNTIFS('Calculations'!$IF$13:$IF$512,"="&amp;SUBSTITUTE(SUBSTITUTE(SUBSTITUTE('Calculations'!HF156,"~","~~"),"*","~*"),"?","~?"),'Calculations'!$HN$13:$HN$512,"="&amp;SUBSTITUTE(SUBSTITUTE(SUBSTITUTE('Dashboard'!$B$7,"~","~~"),"*","~*"),"?","~?"))+COUNTIFS('Calculations'!$IG$13:$IG$512,"="&amp;SUBSTITUTE(SUBSTITUTE(SUBSTITUTE('Calculations'!HF156,"~","~~"),"*","~*"),"?","~?"),'Calculations'!$HN$13:$HN$512,"="&amp;SUBSTITUTE(SUBSTITUTE(SUBSTITUTE('Dashboard'!$B$7,"~","~~"),"*","~*"),"?","~?"))+COUNTIFS('Calculations'!$IH$13:$IH$512,"="&amp;SUBSTITUTE(SUBSTITUTE(SUBSTITUTE('Calculations'!HF156,"~","~~"),"*","~*"),"?","~?"),'Calculations'!$HN$13:$HN$512,"="&amp;SUBSTITUTE(SUBSTITUTE(SUBSTITUTE('Dashboard'!$B$7,"~","~~"),"*","~*"),"?","~?"))))</x:f>
        <x:v>0</x:v>
      </x:c>
      <x:c r="JD156" t="n">
        <x:f>IF('Calculations'!EM156="",0,IF('Dashboard'!$B$7="All",1,IF('Calculations'!HN156='Dashboard'!$B$7,1,0)+IFERROR(INDEX('Calculations'!$JC$13:$JC$512,MATCH('Calculations'!HE156,'Calculations'!$HF$13:$HF$512,0)),0)))</x:f>
        <x:v>0</x:v>
      </x:c>
      <x:c r="JE156" t="n">
        <x:f>IF(AND('Calculations'!EM156&lt;&gt;"",'Calculations'!$JJ$2&lt;&gt;"All",'Calculations'!$JJ$2&lt;&gt;"",'Calculations'!HF156='Calculations'!$JJ$2,'Calculations'!HL156=0,'Calculations'!JD156&gt;0),MAX('Calculations'!$JE$12:JE155)+1,0)</x:f>
        <x:v>0</x:v>
      </x:c>
      <x:c r="JF156" t="str">
        <x:f>IF('Calculations'!EM156="","",IFERROR(IF(INDEX(INDIRECT("'WCM Calibration Final'!$G$1:$G$2000"),'Calculations'!$EM156)="","",TRIM(INDEX(INDIRECT("'WCM Calibration Final'!$G$1:$G$2000"),'Calculations'!$EM156)&amp;"")),""))</x:f>
      </x:c>
      <x:c r="JQ156" t="n">
        <x:f>IF(OR('Calculations'!BM156=0,NOT('Calculations'!$AG$2),'Calculations'!$AG$8&gt;0),0,IF(OR('Dashboard'!$B$7="All",'Calculations'!HN156='Dashboard'!$B$7),IF('Calculations'!$JJ$2="All",1,IF(AND('Calculations'!HF156='Calculations'!$JJ$2,'Calculations'!HL156=0),1,0)),0))</x:f>
        <x:v>0</x:v>
      </x:c>
    </x:row>
    <x:row r="157">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t="n">
        <x:f>IF('Calculations'!$EM157="",0,IF(OR(IFERROR(INDEX(INDIRECT("'WCM Calibration Final'!$A$1:$A$2000"),'Calculations'!$EM157)&lt;&gt;"",FALSE),IFERROR(INDEX(INDIRECT("'WCM Calibration Final'!$B$1:$B$2000"),'Calculations'!$EM157)&lt;&gt;"",FALSE),IFERROR(INDEX(INDIRECT("'WCM Calibration Final'!$C$1:$C$2000"),'Calculations'!$EM157)&lt;&gt;"",FALSE)),1,0))</x:f>
        <x:v>0</x:v>
      </x:c>
      <x:c r="BN157" s="4" t="n">
        <x:f>IF(AND('Calculations'!BM157=1,'Calculations'!$AG$2,'Calculations'!$EN157=1),1,0)</x:f>
        <x:v>0</x:v>
      </x:c>
      <x:c r="BO157" s="4" t="str">
        <x:f>IF('Calculations'!BM157=0,"",IFERROR(IF(AND(VALUE(INDEX(INDIRECT("'WCM Calibration Final'!$K$1:$K$2000"),'Calculations'!$EM157))&gt;=1,VALUE(INDEX(INDIRECT("'WCM Calibration Final'!$K$1:$K$2000"),'Calculations'!$EM157))&lt;=4,MOD(VALUE(INDEX(INDIRECT("'WCM Calibration Final'!$K$1:$K$2000"),'Calculations'!$EM157)),1)=0),VALUE(INDEX(INDIRECT("'WCM Calibration Final'!$K$1:$K$2000"),'Calculations'!$EM157)),""),""))</x:f>
      </x:c>
      <x:c r="BP157" s="4" t="str">
        <x:f>IF('Calculations'!BM157=0,"",IFERROR(IF(AND(VALUE(INDEX(INDIRECT("'WCM Calibration Final'!$L$1:$L$2000"),'Calculations'!$EM157))&gt;=1,VALUE(INDEX(INDIRECT("'WCM Calibration Final'!$L$1:$L$2000"),'Calculations'!$EM157))&lt;=4,MOD(VALUE(INDEX(INDIRECT("'WCM Calibration Final'!$L$1:$L$2000"),'Calculations'!$EM157)),1)=0),VALUE(INDEX(INDIRECT("'WCM Calibration Final'!$L$1:$L$2000"),'Calculations'!$EM157)),""),""))</x:f>
      </x:c>
      <x:c r="BQ157" s="4"/>
      <x:c r="BR157" s="4"/>
      <x:c r="BS157" s="4"/>
      <x:c r="BT157" s="4" t="n">
        <x:f>IF(AND('Calculations'!BM157=1,ISNUMBER('Calculations'!BO157),ISNUMBER('Calculations'!BP157)),1,0)</x:f>
        <x:v>0</x:v>
      </x:c>
      <x:c r="BU157" s="4" t="str">
        <x:f>IF('Calculations'!BM157=0,"",'Calculations'!$EO157)</x:f>
      </x:c>
      <x:c r="BV157" s="4" t="str">
        <x:f>IF('Calculations'!BM157=0,"",IFERROR(IF(OR(INDEX(INDIRECT("'WCM Calibration Final'!$H$1:$H$2000"),'Calculations'!$EM157)="MANAGING DIRECTOR",INDEX(INDIRECT("'WCM Calibration Final'!$H$1:$H$2000"),'Calculations'!$EM157)="DIRECTOR",INDEX(INDIRECT("'WCM Calibration Final'!$H$1:$H$2000"),'Calculations'!$EM157)="SENIOR VICE PRESIDENT",INDEX(INDIRECT("'WCM Calibration Final'!$H$1:$H$2000"),'Calculations'!$EM157)="VICE PRESIDENT",INDEX(INDIRECT("'WCM Calibration Final'!$H$1:$H$2000"),'Calculations'!$EM157)="ASSISTANT VICE PRESIDENT",INDEX(INDIRECT("'WCM Calibration Final'!$H$1:$H$2000"),'Calculations'!$EM157)="OFFICER"),UPPER(INDEX(INDIRECT("'WCM Calibration Final'!$H$1:$H$2000"),'Calculations'!$EM157)),"Other"),"Other"))</x:f>
      </x:c>
      <x:c r="BW157" s="4"/>
      <x:c r="BX157" s="4"/>
      <x:c r="BY157" s="4" t="n">
        <x:f>IF(AND('Calculations'!BM157=1,'Calculations'!BU157&lt;&gt;"",COUNTIF('Calculations'!$BU$12:BU157,'Calculations'!BU157)=1),MAX('Calculations'!$BY$11:BY156)+1,0)</x:f>
        <x:v>0</x:v>
      </x:c>
      <x:c r="BZ157" s="4" t="str">
        <x:f>IF('Dashboard'!$E$67="What",'Calculations'!BO157,'Calculations'!BP157)</x:f>
      </x:c>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t="str">
        <x:f>IF(146&gt;MAX('Calculations'!$HI$13:$HI$512),"",INDEX('Calculations'!$HN$13:$HN$512,MATCH(146,'Calculations'!$HI$13:$HI$512,0)))</x:f>
      </x:c>
      <x:c r="DB157" s="4" t="str">
        <x:f>IF(146&gt;MAX('Calculations'!$HH$13:$HH$512),"",INDEX('Calculations'!$HJ$13:$HJ$512,MATCH(146,'Calculations'!$HH$13:$HH$512,0)))</x:f>
      </x:c>
      <x:c r="DC157" s="4" t="str">
        <x:f>IF(ROW()-11&gt;MAX('Calculations'!$BY$13:$BY$512),"",INDEX('Calculations'!$BU$13:$BU$512,MATCH(ROW()-11,'Calculations'!$BY$13:$BY$512,0)))</x:f>
      </x:c>
      <x:c r="DD157" s="4" t="str">
        <x:f>IF(146&gt;MAX('Calculations'!$IK$13:$IK$512),"",INDEX('Calculations'!$HK$13:$HK$512,MATCH(146,'Calculations'!$IK$13:$IK$512,0)))</x:f>
      </x:c>
      <x:c r="DE157" s="4" t="str">
        <x:f>'Calculations'!DC157</x:f>
      </x:c>
      <x:c r="DF157" s="4" t="str">
        <x:f>IF('Calculations'!DE157="","",COUNTIFS('Calculations'!$BN$13:$BN$512,1,'Calculations'!$BU$13:$BU$512,'Calculations'!DE157))</x:f>
      </x:c>
      <x:c r="DG157" s="4" t="str">
        <x:f>IF('Calculations'!DE157="","",COUNTIFS('Calculations'!$BN$13:$BN$512,1,'Calculations'!$BU$13:$BU$512,'Calculations'!DE157,'Calculations'!$BT$13:$BT$512,1))</x:f>
      </x:c>
      <x:c r="DH157" s="4" t="str">
        <x:f>IF('Calculations'!DE157="","",'Calculations'!DF157-'Calculations'!DG157)</x:f>
      </x:c>
      <x:c r="DI157" s="4" t="str">
        <x:f>IF(OR('Calculations'!DE157="",'Calculations'!DF157=0),"",'Calculations'!DG157/'Calculations'!DF157)</x:f>
      </x:c>
      <x:c r="DJ157" s="4" t="str">
        <x:f>IF('Calculations'!DE157="","",COUNTIFS('Calculations'!$BN$13:$BN$512,1,'Calculations'!$BU$13:$BU$512,'Calculations'!DE157,'Calculations'!$BT$13:$BT$512,1,'Calculations'!$EE$13:$EE$512,"High"))</x:f>
      </x:c>
      <x:c r="DK157" s="4" t="str">
        <x:f>IF('Calculations'!DE157="","",COUNTIFS('Calculations'!$BN$13:$BN$512,1,'Calculations'!$BU$13:$BU$512,'Calculations'!DE157,'Calculations'!$BT$13:$BT$512,1,'Calculations'!$EE$13:$EE$512,"Strong"))</x:f>
      </x:c>
      <x:c r="DL157" s="4" t="str">
        <x:f>IF('Calculations'!DE157="","",COUNTIFS('Calculations'!$BN$13:$BN$512,1,'Calculations'!$BU$13:$BU$512,'Calculations'!DE157,'Calculations'!$BT$13:$BT$512,1,'Calculations'!$EE$13:$EE$512,"Solid"))</x:f>
      </x:c>
      <x:c r="DM157" s="4" t="str">
        <x:f>IF('Calculations'!DE157="","",COUNTIFS('Calculations'!$BN$13:$BN$512,1,'Calculations'!$BU$13:$BU$512,'Calculations'!DE157,'Calculations'!$BT$13:$BT$512,1,'Calculations'!$EE$13:$EE$512,"Low"))</x:f>
      </x:c>
      <x:c r="DN157" s="4" t="str">
        <x:f>IF('Calculations'!DE157="","",COUNTIFS('Calculations'!$BN$13:$BN$512,1,'Calculations'!$BU$13:$BU$512,'Calculations'!DE157,'Calculations'!$EP$13:$EP$512,1))</x:f>
      </x:c>
      <x:c r="DO157" s="4" t="str">
        <x:f>IF(OR('Calculations'!DE157="",'Calculations'!DG157=0),"",('Calculations'!DJ157+'Calculations'!DK157)/'Calculations'!DG157)</x:f>
      </x:c>
      <x:c r="DP157" s="4" t="n">
        <x:f>IF(AND('Calculations'!DE157&lt;&gt;"",'Calculations'!DF157&gt;0),COUNTIF('Calculations'!$DF$12:DF157,"&gt;0"),0)</x:f>
        <x:v>0</x:v>
      </x:c>
      <x:c r="DQ157" s="4" t="str">
        <x:f>IF(146&gt;MAX('Calculations'!$HH$13:$HH$512),"",INDEX('Calculations'!$HF$13:$HF$512,MATCH(146,'Calculations'!$HH$13:$HH$512,0)))</x:f>
      </x:c>
      <x:c r="DR157" s="4" t="str">
        <x:f>IF(146&gt;MAX('Calculations'!$IK$13:$IK$512),"",INDEX('Calculations'!$HE$13:$HE$512,MATCH(146,'Calculations'!$IK$13:$IK$512,0)))</x:f>
      </x:c>
      <x:c r="DS157" s="4"/>
      <x:c r="DT157" s="4"/>
      <x:c r="DU157" s="4"/>
      <x:c r="DV157" s="4"/>
      <x:c r="DW157" s="4"/>
      <x:c r="DX157" s="4"/>
      <x:c r="DY157" s="4"/>
      <x:c r="DZ157" s="4"/>
      <x:c r="EA157" s="4"/>
      <x:c r="EB157" s="4"/>
      <x:c r="EC157" s="4"/>
      <x:c r="ED157" s="4"/>
      <x:c r="EE157" s="4" t="str">
        <x:f>IF('Calculations'!BT157=0,"Not Rated",IF(OR('Calculations'!BO157&gt;=4,'Calculations'!BP157&gt;=4),"Low",IF('Calculations'!BO157+'Calculations'!BP157&lt;=3,"High",IF('Calculations'!BO157+'Calculations'!BP157&lt;=4,"Strong","Solid"))))</x:f>
        <x:v>Not Rated</x:v>
      </x:c>
      <x:c r="EF157" s="4"/>
      <x:c r="EG157" s="4"/>
      <x:c r="EH157" s="4"/>
      <x:c r="EI157" s="4"/>
      <x:c r="EJ157" s="4"/>
      <x:c r="EK157" s="4"/>
      <x:c r="EL157" s="4"/>
      <x:c r="EM157" s="4" t="str">
        <x:f>IF(145&gt;'Calculations'!$JB$2000,"",INDEX('Calculations'!$JA$12:$JA$2000,MATCH(145,'Calculations'!$JB$12:$JB$2000,0)))</x:f>
      </x:c>
      <x:c r="EN157" s="4" t="n">
        <x:f>IF(OR('Calculations'!EM157="",'Calculations'!$AG$8&gt;0,AND('Calculations'!$EF$2&lt;&gt;"All",'Calculations'!HE157='Calculations'!$EF$2),AND('Calculations'!$EF$3&lt;&gt;"All",'Calculations'!HE157='Calculations'!$EF$3)),0,IF(OR('Dashboard'!$B$7="All",'Calculations'!HN157='Dashboard'!$B$7),IF('Calculations'!$EF$2="All",1,IF('Calculations'!HL157&gt;0,0,IF(COUNTIF('Calculations'!HO157:II157,"="&amp;SUBSTITUTE(SUBSTITUTE(SUBSTITUTE('Calculations'!$EF$2,"~","~~"),"*","~*"),"?","~?"))=0,0,IF('Calculations'!$EF$3="All",1,IF(COUNTIF('Calculations'!HO157:II157,"="&amp;SUBSTITUTE(SUBSTITUTE(SUBSTITUTE('Calculations'!$EF$3,"~","~~"),"*","~*"),"?","~?"))&gt;0,1,0))))),0))</x:f>
        <x:v>0</x:v>
      </x:c>
      <x:c r="EO157" s="4" t="str">
        <x:f>IF('Calculations'!IJ157="","",IF('Calculations'!IJ157="!UNRESOLVED","Unresolved hierarchy",IFERROR(INDEX('Calculations'!$HK$13:$HK$512,MATCH('Calculations'!IJ157,'Calculations'!$HE$13:$HE$512,0)),IFERROR(INDEX('Calculations'!$HJ$13:$HJ$512,MATCH('Calculations'!IJ157,'Calculations'!$HF$13:$HF$512,0)),'Calculations'!IJ157))))</x:f>
      </x:c>
      <x:c r="EP157" s="4" t="n">
        <x:f>IF(AND('Calculations'!EM157&lt;&gt;"",'Calculations'!HF157='Calculations'!IJ157),1,0)</x:f>
        <x:v>0</x:v>
      </x:c>
      <x:c r="EQ157" s="4"/>
      <x:c r="ER157" s="4"/>
      <x:c r="ES157" s="4"/>
      <x:c r="ET157" s="4"/>
      <x:c r="EU157" s="4"/>
      <x:c r="EV157" s="4"/>
      <x:c r="EW157" s="4"/>
      <x:c r="EX157" s="4"/>
      <x:c r="EY157" s="4"/>
      <x:c r="EZ157" s="4"/>
      <x:c r="FA157" s="4"/>
      <x:c r="FB157" s="4"/>
      <x:c r="FC157" s="4"/>
      <x:c r="FD157" s="4"/>
      <x:c r="FE157" s="4"/>
      <x:c r="FF157" s="4"/>
      <x:c r="FG157" s="4"/>
      <x:c r="FH157" s="4"/>
      <x:c r="FI157" s="4"/>
      <x:c r="FJ157" s="4"/>
      <x:c r="FK157" s="4"/>
      <x:c r="FL157" s="4"/>
      <x:c r="FM157" s="4"/>
      <x:c r="FN157" s="4"/>
      <x:c r="FO157" s="4"/>
      <x:c r="GA157" s="71"/>
      <x:c r="GB157" s="71"/>
      <x:c r="GC157" s="71"/>
      <x:c r="GD157" s="71"/>
      <x:c r="GE157" s="71"/>
      <x:c r="GF157" s="71"/>
      <x:c r="GG157" s="71"/>
      <x:c r="GH157" s="71"/>
      <x:c r="GI157" s="71"/>
      <x:c r="GJ157" s="71"/>
      <x:c r="GK157" s="71"/>
      <x:c r="GL157" s="71" t="n">
        <x:f>COUNTIFS('Calculations'!$JQ$13:$JQ$512,1,'Calculations'!$EE$13:$EE$512,"Solid")</x:f>
        <x:v>0</x:v>
      </x:c>
      <x:c r="GM157" s="71"/>
      <x:c r="GN157" s="71"/>
      <x:c r="GO157" s="71" t="str">
        <x:f>IF(SUM('Calculations'!$GL$155:$GL$158)=0,"",'Calculations'!GL157/SUM('Calculations'!$GL$155:$GL$158))</x:f>
      </x:c>
      <x:c r="GP157" s="71"/>
      <x:c r="GQ157" s="71"/>
      <x:c r="GR157" s="71" t="n">
        <x:f>IF(COUNT('Dashboard'!R147)=0,"",IF(AND('Dashboard'!R147&gt;=0,'Dashboard'!R147&lt;=1),'Dashboard'!R147,""))</x:f>
        <x:v>0.65</x:v>
      </x:c>
      <x:c r="GS157" s="71"/>
      <x:c r="GT157" s="71"/>
      <x:c r="GU157" s="71" t="str">
        <x:f>IF(COUNT('Calculations'!GO157,'Calculations'!GR157)&lt;2,"",100*('Calculations'!GO157-'Calculations'!GR157))</x:f>
      </x:c>
      <x:c r="GV157" s="71"/>
      <x:c r="GW157" s="71"/>
      <x:c r="GX157" s="71" t="str">
        <x:f>IF(NOT('Calculations'!$AG$2),"Source unavailable",IF('Calculations'!$AG$8&gt;0,"Check filters",IF(COUNT('Calculations'!GO157)=0,"No ratings",IF(COUNT('Calculations'!GR157)=0,"No threshold",IF('Calculations'!GO157&gt;'Calculations'!GR157,"Above threshold","Within threshold")))))</x:f>
        <x:v>Source unavailable</x:v>
      </x:c>
      <x:c r="GY157" s="71"/>
      <x:c r="GZ157" s="71"/>
      <x:c r="HA157" s="71"/>
      <x:c r="HB157" s="71"/>
      <x:c r="HC157" s="71"/>
      <x:c r="HD157" s="71"/>
      <x:c r="HE157" t="str">
        <x:f>IF('Calculations'!EM157="","",IF(IFERROR(IF(INDEX(INDIRECT("'WCM Calibration Final'!$A$1:$A$2000"),'Calculations'!$EM157)="","",TRIM(INDEX(INDIRECT("'WCM Calibration Final'!$A$1:$A$2000"),'Calculations'!$EM157)&amp;"")),"")&lt;&gt;"","G:"&amp;IFERROR(TEXT(1*INDEX(INDIRECT("'WCM Calibration Final'!$A$1:$A$2000"),'Calculations'!$EM157),"0"),UPPER(IFERROR(IF(INDEX(INDIRECT("'WCM Calibration Final'!$A$1:$A$2000"),'Calculations'!$EM157)="","",TRIM(INDEX(INDIRECT("'WCM Calibration Final'!$A$1:$A$2000"),'Calculations'!$EM157)&amp;"")),""))),IF(IFERROR(IF(INDEX(INDIRECT("'WCM Calibration Final'!$C$1:$C$2000"),'Calculations'!$EM157)="","",TRIM(INDEX(INDIRECT("'WCM Calibration Final'!$C$1:$C$2000"),'Calculations'!$EM157)&amp;"")),"")&lt;&gt;"","S:"&amp;UPPER(IFERROR(IF(INDEX(INDIRECT("'WCM Calibration Final'!$C$1:$C$2000"),'Calculations'!$EM157)="","",TRIM(INDEX(INDIRECT("'WCM Calibration Final'!$C$1:$C$2000"),'Calculations'!$EM157)&amp;"")),"")),"R:"&amp;'Calculations'!EM157)))</x:f>
      </x:c>
      <x:c r="HF157" t="str">
        <x:f>IF('Calculations'!EM157="","",IF(IFERROR(IF(INDEX(INDIRECT("'WCM Calibration Final'!$D$1:$D$2000"),'Calculations'!$EM157)="","",TRIM(INDEX(INDIRECT("'WCM Calibration Final'!$D$1:$D$2000"),'Calculations'!$EM157)&amp;"")),"")&lt;&gt;"","G:"&amp;IFERROR(TEXT(1*INDEX(INDIRECT("'WCM Calibration Final'!$D$1:$D$2000"),'Calculations'!$EM157),"0"),UPPER(IFERROR(IF(INDEX(INDIRECT("'WCM Calibration Final'!$D$1:$D$2000"),'Calculations'!$EM157)="","",TRIM(INDEX(INDIRECT("'WCM Calibration Final'!$D$1:$D$2000"),'Calculations'!$EM157)&amp;"")),""))),IF(IFERROR(IF(INDEX(INDIRECT("'WCM Calibration Final'!$E$1:$E$2000"),'Calculations'!$EM157)="","",TRIM(INDEX(INDIRECT("'WCM Calibration Final'!$E$1:$E$2000"),'Calculations'!$EM157)&amp;"")),"")="","",IF(COUNTIF('Calculations'!$HG$13:$HG$512,"="&amp;SUBSTITUTE(SUBSTITUTE(SUBSTITUTE(IFERROR(IF(INDEX(INDIRECT("'WCM Calibration Final'!$E$1:$E$2000"),'Calculations'!$EM157)="","",TRIM(INDEX(INDIRECT("'WCM Calibration Final'!$E$1:$E$2000"),'Calculations'!$EM157)&amp;"")),""),"~","~~"),"*","~*"),"?","~?"))=1,INDEX('Calculations'!$HE$13:$HE$512,MATCH(IFERROR(IF(INDEX(INDIRECT("'WCM Calibration Final'!$E$1:$E$2000"),'Calculations'!$EM157)="","",TRIM(INDEX(INDIRECT("'WCM Calibration Final'!$E$1:$E$2000"),'Calculations'!$EM157)&amp;"")),""),'Calculations'!$HG$13:$HG$512,0)),IF(COUNTIF('Calculations'!$HG$13:$HG$512,"="&amp;SUBSTITUTE(SUBSTITUTE(SUBSTITUTE(IFERROR(IF(INDEX(INDIRECT("'WCM Calibration Final'!$E$1:$E$2000"),'Calculations'!$EM157)="","",TRIM(INDEX(INDIRECT("'WCM Calibration Final'!$E$1:$E$2000"),'Calculations'!$EM157)&amp;"")),""),"~","~~"),"*","~*"),"?","~?"))&gt;1,"!AMBIG","X:"&amp;IFERROR(IF(INDEX(INDIRECT("'WCM Calibration Final'!$E$1:$E$2000"),'Calculations'!$EM157)="","",TRIM(INDEX(INDIRECT("'WCM Calibration Final'!$E$1:$E$2000"),'Calculations'!$EM157)&amp;"")),""))))))</x:f>
      </x:c>
      <x:c r="HG157" t="str">
        <x:f>IF('Calculations'!EM157="","",IFERROR(IF(INDEX(INDIRECT("'WCM Calibration Final'!$B$1:$B$2000"),'Calculations'!$EM157)="","",TRIM(INDEX(INDIRECT("'WCM Calibration Final'!$B$1:$B$2000"),'Calculations'!$EM157)&amp;"")),""))</x:f>
      </x:c>
      <x:c r="HH157" t="n">
        <x:f>IF(AND('Calculations'!JC157&gt;0,COUNTIF('Calculations'!$HF$12:HF157,"="&amp;SUBSTITUTE(SUBSTITUTE(SUBSTITUTE('Calculations'!HF157,"~","~~"),"*","~*"),"?","~?"))=1),MAX('Calculations'!$HH$12:HH156)+1,0)</x:f>
        <x:v>0</x:v>
      </x:c>
      <x:c r="HI157" t="n">
        <x:f>IF(AND('Calculations'!HN157&lt;&gt;"",COUNTIF('Calculations'!$HN$12:HN157,"="&amp;SUBSTITUTE(SUBSTITUTE(SUBSTITUTE('Calculations'!HN157,"~","~~"),"*","~*"),"?","~?"))=1),MAX('Calculations'!$HI$12:HI156)+1,0)</x:f>
        <x:v>0</x:v>
      </x:c>
      <x:c r="HJ157" t="str">
        <x:f>IF('Calculations'!HF157="","",IF(COUNTIF('Calculations'!$HE$13:$HE$512,"="&amp;SUBSTITUTE(SUBSTITUTE(SUBSTITUTE('Calculations'!HF157,"~","~~"),"*","~*"),"?","~?"))=1,INDEX('Calculations'!$HK$13:$HK$512,MATCH('Calculations'!HF157,'Calculations'!$HE$13:$HE$512,0)),IFERROR(IF(INDEX(INDIRECT("'WCM Calibration Final'!$E$1:$E$2000"),'Calculations'!$EM157)="","",TRIM(INDEX(INDIRECT("'WCM Calibration Final'!$E$1:$E$2000"),'Calculations'!$EM157)&amp;"")),"")&amp;" ["&amp;'Calculations'!HF157&amp;"]"))</x:f>
      </x:c>
      <x:c r="HK157" t="str">
        <x:f>IF('Calculations'!EM157="","",'Calculations'!HG157&amp;" ["&amp;'Calculations'!HE157&amp;"]")</x:f>
      </x:c>
      <x:c r="HL157" t="n">
        <x:f>IF('Calculations'!EM157="",0,IF(OR('Calculations'!II157&lt;&gt;"",COUNTIF('Calculations'!$HE$13:$HE$512,"="&amp;SUBSTITUTE(SUBSTITUTE(SUBSTITUTE('Calculations'!HE157,"~","~~"),"*","~*"),"?","~?"))&gt;1),1,0))</x:f>
        <x:v>0</x:v>
      </x:c>
      <x:c r="HM157" t="str">
        <x:f>IF('Calculations'!EM157="","",IF('Calculations'!HL157=1,"!UNRESOLVED",IF('Calculations'!IH157&lt;&gt;"",'Calculations'!IH157,IF('Calculations'!IG157&lt;&gt;"",'Calculations'!IG157,IF('Calculations'!IF157&lt;&gt;"",'Calculations'!IF157,IF('Calculations'!IE157&lt;&gt;"",'Calculations'!IE157,IF('Calculations'!ID157&lt;&gt;"",'Calculations'!ID157,IF('Calculations'!IC157&lt;&gt;"",'Calculations'!IC157,IF('Calculations'!IB157&lt;&gt;"",'Calculations'!IB157,IF('Calculations'!IA157&lt;&gt;"",'Calculations'!IA157,IF('Calculations'!HZ157&lt;&gt;"",'Calculations'!HZ157,IF('Calculations'!HY157&lt;&gt;"",'Calculations'!HY157,IF('Calculations'!HX157&lt;&gt;"",'Calculations'!HX157,IF('Calculations'!HW157&lt;&gt;"",'Calculations'!HW157,IF('Calculations'!HV157&lt;&gt;"",'Calculations'!HV157,IF('Calculations'!HU157&lt;&gt;"",'Calculations'!HU157,IF('Calculations'!HT157&lt;&gt;"",'Calculations'!HT157,IF('Calculations'!HS157&lt;&gt;"",'Calculations'!HS157,IF('Calculations'!HR157&lt;&gt;"",'Calculations'!HR157,IF('Calculations'!HQ157&lt;&gt;"",'Calculations'!HQ157,IF('Calculations'!HP157&lt;&gt;"",'Calculations'!HP157,IF('Calculations'!HO157&lt;&gt;"",'Calculations'!HO157,'Calculations'!HE157))))))))))))))))))))))</x:f>
      </x:c>
      <x:c r="HN157" t="str">
        <x:f>IF('Calculations'!EM157="","",IF(IFERROR(IF(INDEX(INDIRECT("'WCM Calibration Final'!$F$1:$F$2000"),'Calculations'!$EM157)="","",TRIM(INDEX(INDIRECT("'WCM Calibration Final'!$F$1:$F$2000"),'Calculations'!$EM157)&amp;"")),"")="","(Blank)",IFERROR(IF(INDEX(INDIRECT("'WCM Calibration Final'!$F$1:$F$2000"),'Calculations'!$EM157)="","",TRIM(INDEX(INDIRECT("'WCM Calibration Final'!$F$1:$F$2000"),'Calculations'!$EM157)&amp;"")),"")))</x:f>
      </x:c>
      <x:c r="HO157" t="str">
        <x:f>'Calculations'!HF157</x:f>
      </x:c>
      <x:c r="HP157" t="str">
        <x:f>IF('Calculations'!HO157="","",IF('Calculations'!HO157="!AMBIG","!AMBIG",IF(COUNTIF('Calculations'!$HE$13:$HE$512,"="&amp;SUBSTITUTE(SUBSTITUTE(SUBSTITUTE('Calculations'!HO157,"~","~~"),"*","~*"),"?","~?"))&gt;1,"!AMBIG",IFERROR(INDEX('Calculations'!$HF$13:$HF$512,MATCH('Calculations'!HO157,'Calculations'!$HE$13:$HE$512,0)),""))))</x:f>
      </x:c>
      <x:c r="HQ157" t="str">
        <x:f>IF('Calculations'!HP157="","",IF('Calculations'!HP157="!AMBIG","!AMBIG",IF(COUNTIF('Calculations'!$HE$13:$HE$512,"="&amp;SUBSTITUTE(SUBSTITUTE(SUBSTITUTE('Calculations'!HP157,"~","~~"),"*","~*"),"?","~?"))&gt;1,"!AMBIG",IFERROR(INDEX('Calculations'!$HF$13:$HF$512,MATCH('Calculations'!HP157,'Calculations'!$HE$13:$HE$512,0)),""))))</x:f>
      </x:c>
      <x:c r="HR157" t="str">
        <x:f>IF('Calculations'!HQ157="","",IF('Calculations'!HQ157="!AMBIG","!AMBIG",IF(COUNTIF('Calculations'!$HE$13:$HE$512,"="&amp;SUBSTITUTE(SUBSTITUTE(SUBSTITUTE('Calculations'!HQ157,"~","~~"),"*","~*"),"?","~?"))&gt;1,"!AMBIG",IFERROR(INDEX('Calculations'!$HF$13:$HF$512,MATCH('Calculations'!HQ157,'Calculations'!$HE$13:$HE$512,0)),""))))</x:f>
      </x:c>
      <x:c r="HS157" t="str">
        <x:f>IF('Calculations'!HR157="","",IF('Calculations'!HR157="!AMBIG","!AMBIG",IF(COUNTIF('Calculations'!$HE$13:$HE$512,"="&amp;SUBSTITUTE(SUBSTITUTE(SUBSTITUTE('Calculations'!HR157,"~","~~"),"*","~*"),"?","~?"))&gt;1,"!AMBIG",IFERROR(INDEX('Calculations'!$HF$13:$HF$512,MATCH('Calculations'!HR157,'Calculations'!$HE$13:$HE$512,0)),""))))</x:f>
      </x:c>
      <x:c r="HT157" t="str">
        <x:f>IF('Calculations'!HS157="","",IF('Calculations'!HS157="!AMBIG","!AMBIG",IF(COUNTIF('Calculations'!$HE$13:$HE$512,"="&amp;SUBSTITUTE(SUBSTITUTE(SUBSTITUTE('Calculations'!HS157,"~","~~"),"*","~*"),"?","~?"))&gt;1,"!AMBIG",IFERROR(INDEX('Calculations'!$HF$13:$HF$512,MATCH('Calculations'!HS157,'Calculations'!$HE$13:$HE$512,0)),""))))</x:f>
      </x:c>
      <x:c r="HU157" t="str">
        <x:f>IF('Calculations'!HT157="","",IF('Calculations'!HT157="!AMBIG","!AMBIG",IF(COUNTIF('Calculations'!$HE$13:$HE$512,"="&amp;SUBSTITUTE(SUBSTITUTE(SUBSTITUTE('Calculations'!HT157,"~","~~"),"*","~*"),"?","~?"))&gt;1,"!AMBIG",IFERROR(INDEX('Calculations'!$HF$13:$HF$512,MATCH('Calculations'!HT157,'Calculations'!$HE$13:$HE$512,0)),""))))</x:f>
      </x:c>
      <x:c r="HV157" t="str">
        <x:f>IF('Calculations'!HU157="","",IF('Calculations'!HU157="!AMBIG","!AMBIG",IF(COUNTIF('Calculations'!$HE$13:$HE$512,"="&amp;SUBSTITUTE(SUBSTITUTE(SUBSTITUTE('Calculations'!HU157,"~","~~"),"*","~*"),"?","~?"))&gt;1,"!AMBIG",IFERROR(INDEX('Calculations'!$HF$13:$HF$512,MATCH('Calculations'!HU157,'Calculations'!$HE$13:$HE$512,0)),""))))</x:f>
      </x:c>
      <x:c r="HW157" t="str">
        <x:f>IF('Calculations'!HV157="","",IF('Calculations'!HV157="!AMBIG","!AMBIG",IF(COUNTIF('Calculations'!$HE$13:$HE$512,"="&amp;SUBSTITUTE(SUBSTITUTE(SUBSTITUTE('Calculations'!HV157,"~","~~"),"*","~*"),"?","~?"))&gt;1,"!AMBIG",IFERROR(INDEX('Calculations'!$HF$13:$HF$512,MATCH('Calculations'!HV157,'Calculations'!$HE$13:$HE$512,0)),""))))</x:f>
      </x:c>
      <x:c r="HX157" t="str">
        <x:f>IF('Calculations'!HW157="","",IF('Calculations'!HW157="!AMBIG","!AMBIG",IF(COUNTIF('Calculations'!$HE$13:$HE$512,"="&amp;SUBSTITUTE(SUBSTITUTE(SUBSTITUTE('Calculations'!HW157,"~","~~"),"*","~*"),"?","~?"))&gt;1,"!AMBIG",IFERROR(INDEX('Calculations'!$HF$13:$HF$512,MATCH('Calculations'!HW157,'Calculations'!$HE$13:$HE$512,0)),""))))</x:f>
      </x:c>
      <x:c r="HY157" t="str">
        <x:f>IF('Calculations'!HX157="","",IF('Calculations'!HX157="!AMBIG","!AMBIG",IF(COUNTIF('Calculations'!$HE$13:$HE$512,"="&amp;SUBSTITUTE(SUBSTITUTE(SUBSTITUTE('Calculations'!HX157,"~","~~"),"*","~*"),"?","~?"))&gt;1,"!AMBIG",IFERROR(INDEX('Calculations'!$HF$13:$HF$512,MATCH('Calculations'!HX157,'Calculations'!$HE$13:$HE$512,0)),""))))</x:f>
      </x:c>
      <x:c r="HZ157" t="str">
        <x:f>IF('Calculations'!HY157="","",IF('Calculations'!HY157="!AMBIG","!AMBIG",IF(COUNTIF('Calculations'!$HE$13:$HE$512,"="&amp;SUBSTITUTE(SUBSTITUTE(SUBSTITUTE('Calculations'!HY157,"~","~~"),"*","~*"),"?","~?"))&gt;1,"!AMBIG",IFERROR(INDEX('Calculations'!$HF$13:$HF$512,MATCH('Calculations'!HY157,'Calculations'!$HE$13:$HE$512,0)),""))))</x:f>
      </x:c>
      <x:c r="IA157" t="str">
        <x:f>IF('Calculations'!HZ157="","",IF('Calculations'!HZ157="!AMBIG","!AMBIG",IF(COUNTIF('Calculations'!$HE$13:$HE$512,"="&amp;SUBSTITUTE(SUBSTITUTE(SUBSTITUTE('Calculations'!HZ157,"~","~~"),"*","~*"),"?","~?"))&gt;1,"!AMBIG",IFERROR(INDEX('Calculations'!$HF$13:$HF$512,MATCH('Calculations'!HZ157,'Calculations'!$HE$13:$HE$512,0)),""))))</x:f>
      </x:c>
      <x:c r="IB157" t="str">
        <x:f>IF('Calculations'!IA157="","",IF('Calculations'!IA157="!AMBIG","!AMBIG",IF(COUNTIF('Calculations'!$HE$13:$HE$512,"="&amp;SUBSTITUTE(SUBSTITUTE(SUBSTITUTE('Calculations'!IA157,"~","~~"),"*","~*"),"?","~?"))&gt;1,"!AMBIG",IFERROR(INDEX('Calculations'!$HF$13:$HF$512,MATCH('Calculations'!IA157,'Calculations'!$HE$13:$HE$512,0)),""))))</x:f>
      </x:c>
      <x:c r="IC157" t="str">
        <x:f>IF('Calculations'!IB157="","",IF('Calculations'!IB157="!AMBIG","!AMBIG",IF(COUNTIF('Calculations'!$HE$13:$HE$512,"="&amp;SUBSTITUTE(SUBSTITUTE(SUBSTITUTE('Calculations'!IB157,"~","~~"),"*","~*"),"?","~?"))&gt;1,"!AMBIG",IFERROR(INDEX('Calculations'!$HF$13:$HF$512,MATCH('Calculations'!IB157,'Calculations'!$HE$13:$HE$512,0)),""))))</x:f>
      </x:c>
      <x:c r="ID157" t="str">
        <x:f>IF('Calculations'!IC157="","",IF('Calculations'!IC157="!AMBIG","!AMBIG",IF(COUNTIF('Calculations'!$HE$13:$HE$512,"="&amp;SUBSTITUTE(SUBSTITUTE(SUBSTITUTE('Calculations'!IC157,"~","~~"),"*","~*"),"?","~?"))&gt;1,"!AMBIG",IFERROR(INDEX('Calculations'!$HF$13:$HF$512,MATCH('Calculations'!IC157,'Calculations'!$HE$13:$HE$512,0)),""))))</x:f>
      </x:c>
      <x:c r="IE157" t="str">
        <x:f>IF('Calculations'!ID157="","",IF('Calculations'!ID157="!AMBIG","!AMBIG",IF(COUNTIF('Calculations'!$HE$13:$HE$512,"="&amp;SUBSTITUTE(SUBSTITUTE(SUBSTITUTE('Calculations'!ID157,"~","~~"),"*","~*"),"?","~?"))&gt;1,"!AMBIG",IFERROR(INDEX('Calculations'!$HF$13:$HF$512,MATCH('Calculations'!ID157,'Calculations'!$HE$13:$HE$512,0)),""))))</x:f>
      </x:c>
      <x:c r="IF157" t="str">
        <x:f>IF('Calculations'!IE157="","",IF('Calculations'!IE157="!AMBIG","!AMBIG",IF(COUNTIF('Calculations'!$HE$13:$HE$512,"="&amp;SUBSTITUTE(SUBSTITUTE(SUBSTITUTE('Calculations'!IE157,"~","~~"),"*","~*"),"?","~?"))&gt;1,"!AMBIG",IFERROR(INDEX('Calculations'!$HF$13:$HF$512,MATCH('Calculations'!IE157,'Calculations'!$HE$13:$HE$512,0)),""))))</x:f>
      </x:c>
      <x:c r="IG157" t="str">
        <x:f>IF('Calculations'!IF157="","",IF('Calculations'!IF157="!AMBIG","!AMBIG",IF(COUNTIF('Calculations'!$HE$13:$HE$512,"="&amp;SUBSTITUTE(SUBSTITUTE(SUBSTITUTE('Calculations'!IF157,"~","~~"),"*","~*"),"?","~?"))&gt;1,"!AMBIG",IFERROR(INDEX('Calculations'!$HF$13:$HF$512,MATCH('Calculations'!IF157,'Calculations'!$HE$13:$HE$512,0)),""))))</x:f>
      </x:c>
      <x:c r="IH157" t="str">
        <x:f>IF('Calculations'!IG157="","",IF('Calculations'!IG157="!AMBIG","!AMBIG",IF(COUNTIF('Calculations'!$HE$13:$HE$512,"="&amp;SUBSTITUTE(SUBSTITUTE(SUBSTITUTE('Calculations'!IG157,"~","~~"),"*","~*"),"?","~?"))&gt;1,"!AMBIG",IFERROR(INDEX('Calculations'!$HF$13:$HF$512,MATCH('Calculations'!IG157,'Calculations'!$HE$13:$HE$512,0)),""))))</x:f>
      </x:c>
      <x:c r="II157" t="str">
        <x:f>IF('Calculations'!IH157="","",IF('Calculations'!IH157="!AMBIG","!AMBIG",IF(COUNTIF('Calculations'!$HE$13:$HE$512,"="&amp;SUBSTITUTE(SUBSTITUTE(SUBSTITUTE('Calculations'!IH157,"~","~~"),"*","~*"),"?","~?"))&gt;1,"!AMBIG",IFERROR(INDEX('Calculations'!$HF$13:$HF$512,MATCH('Calculations'!IH157,'Calculations'!$HE$13:$HE$512,0)),""))))</x:f>
      </x:c>
      <x:c r="IJ157" t="str">
        <x:f>IF('Calculations'!EM157="","",IF('Calculations'!$EF$2="All",'Calculations'!HM157,IF('Calculations'!HL157=1,"",IFERROR(IF(MATCH('Calculations'!$EF$2,'Calculations'!HO157:II157,0)=1,'Calculations'!HE157,INDEX('Calculations'!HO157:II157,1,MATCH('Calculations'!$EF$2,'Calculations'!HO157:II157,0)-1)),""))))</x:f>
      </x:c>
      <x:c r="IK157" t="n">
        <x:f>IF(AND('Calculations'!EM157&lt;&gt;"",'Calculations'!$EF$2&lt;&gt;"All",'Calculations'!HF157='Calculations'!$EF$2,'Calculations'!HL157=0,'Calculations'!JD157&gt;0),MAX('Calculations'!$IK$12:IK156)+1,0)</x:f>
        <x:v>0</x:v>
      </x:c>
      <x:c r="JA157" t="n">
        <x:f>IF(OR(IFERROR(INDIRECT("'WCM Calibration Final'!$A$157")&lt;&gt;"",FALSE),IFERROR(INDIRECT("'WCM Calibration Final'!$B$157")&lt;&gt;"",FALSE),IFERROR(INDIRECT("'WCM Calibration Final'!$C$157")&lt;&gt;"",FALSE)),157,0)</x:f>
        <x:v>0</x:v>
      </x:c>
      <x:c r="JB157" t="n">
        <x:f>'Calculations'!JB156+IF('Calculations'!JA157&gt;0,1,0)</x:f>
        <x:v>0</x:v>
      </x:c>
      <x:c r="JC157" t="n">
        <x:f>IF(OR('Calculations'!HF157="",'Calculations'!HF157="!AMBIG"),0,IF('Dashboard'!$B$7="All",1,COUNTIFS('Calculations'!$HO$13:$HO$512,"="&amp;SUBSTITUTE(SUBSTITUTE(SUBSTITUTE('Calculations'!HF157,"~","~~"),"*","~*"),"?","~?"),'Calculations'!$HN$13:$HN$512,"="&amp;SUBSTITUTE(SUBSTITUTE(SUBSTITUTE('Dashboard'!$B$7,"~","~~"),"*","~*"),"?","~?"))+COUNTIFS('Calculations'!$HP$13:$HP$512,"="&amp;SUBSTITUTE(SUBSTITUTE(SUBSTITUTE('Calculations'!HF157,"~","~~"),"*","~*"),"?","~?"),'Calculations'!$HN$13:$HN$512,"="&amp;SUBSTITUTE(SUBSTITUTE(SUBSTITUTE('Dashboard'!$B$7,"~","~~"),"*","~*"),"?","~?"))+COUNTIFS('Calculations'!$HQ$13:$HQ$512,"="&amp;SUBSTITUTE(SUBSTITUTE(SUBSTITUTE('Calculations'!HF157,"~","~~"),"*","~*"),"?","~?"),'Calculations'!$HN$13:$HN$512,"="&amp;SUBSTITUTE(SUBSTITUTE(SUBSTITUTE('Dashboard'!$B$7,"~","~~"),"*","~*"),"?","~?"))+COUNTIFS('Calculations'!$HR$13:$HR$512,"="&amp;SUBSTITUTE(SUBSTITUTE(SUBSTITUTE('Calculations'!HF157,"~","~~"),"*","~*"),"?","~?"),'Calculations'!$HN$13:$HN$512,"="&amp;SUBSTITUTE(SUBSTITUTE(SUBSTITUTE('Dashboard'!$B$7,"~","~~"),"*","~*"),"?","~?"))+COUNTIFS('Calculations'!$HS$13:$HS$512,"="&amp;SUBSTITUTE(SUBSTITUTE(SUBSTITUTE('Calculations'!HF157,"~","~~"),"*","~*"),"?","~?"),'Calculations'!$HN$13:$HN$512,"="&amp;SUBSTITUTE(SUBSTITUTE(SUBSTITUTE('Dashboard'!$B$7,"~","~~"),"*","~*"),"?","~?"))+COUNTIFS('Calculations'!$HT$13:$HT$512,"="&amp;SUBSTITUTE(SUBSTITUTE(SUBSTITUTE('Calculations'!HF157,"~","~~"),"*","~*"),"?","~?"),'Calculations'!$HN$13:$HN$512,"="&amp;SUBSTITUTE(SUBSTITUTE(SUBSTITUTE('Dashboard'!$B$7,"~","~~"),"*","~*"),"?","~?"))+COUNTIFS('Calculations'!$HU$13:$HU$512,"="&amp;SUBSTITUTE(SUBSTITUTE(SUBSTITUTE('Calculations'!HF157,"~","~~"),"*","~*"),"?","~?"),'Calculations'!$HN$13:$HN$512,"="&amp;SUBSTITUTE(SUBSTITUTE(SUBSTITUTE('Dashboard'!$B$7,"~","~~"),"*","~*"),"?","~?"))+COUNTIFS('Calculations'!$HV$13:$HV$512,"="&amp;SUBSTITUTE(SUBSTITUTE(SUBSTITUTE('Calculations'!HF157,"~","~~"),"*","~*"),"?","~?"),'Calculations'!$HN$13:$HN$512,"="&amp;SUBSTITUTE(SUBSTITUTE(SUBSTITUTE('Dashboard'!$B$7,"~","~~"),"*","~*"),"?","~?"))+COUNTIFS('Calculations'!$HW$13:$HW$512,"="&amp;SUBSTITUTE(SUBSTITUTE(SUBSTITUTE('Calculations'!HF157,"~","~~"),"*","~*"),"?","~?"),'Calculations'!$HN$13:$HN$512,"="&amp;SUBSTITUTE(SUBSTITUTE(SUBSTITUTE('Dashboard'!$B$7,"~","~~"),"*","~*"),"?","~?"))+COUNTIFS('Calculations'!$HX$13:$HX$512,"="&amp;SUBSTITUTE(SUBSTITUTE(SUBSTITUTE('Calculations'!HF157,"~","~~"),"*","~*"),"?","~?"),'Calculations'!$HN$13:$HN$512,"="&amp;SUBSTITUTE(SUBSTITUTE(SUBSTITUTE('Dashboard'!$B$7,"~","~~"),"*","~*"),"?","~?"))+COUNTIFS('Calculations'!$HY$13:$HY$512,"="&amp;SUBSTITUTE(SUBSTITUTE(SUBSTITUTE('Calculations'!HF157,"~","~~"),"*","~*"),"?","~?"),'Calculations'!$HN$13:$HN$512,"="&amp;SUBSTITUTE(SUBSTITUTE(SUBSTITUTE('Dashboard'!$B$7,"~","~~"),"*","~*"),"?","~?"))+COUNTIFS('Calculations'!$HZ$13:$HZ$512,"="&amp;SUBSTITUTE(SUBSTITUTE(SUBSTITUTE('Calculations'!HF157,"~","~~"),"*","~*"),"?","~?"),'Calculations'!$HN$13:$HN$512,"="&amp;SUBSTITUTE(SUBSTITUTE(SUBSTITUTE('Dashboard'!$B$7,"~","~~"),"*","~*"),"?","~?"))+COUNTIFS('Calculations'!$IA$13:$IA$512,"="&amp;SUBSTITUTE(SUBSTITUTE(SUBSTITUTE('Calculations'!HF157,"~","~~"),"*","~*"),"?","~?"),'Calculations'!$HN$13:$HN$512,"="&amp;SUBSTITUTE(SUBSTITUTE(SUBSTITUTE('Dashboard'!$B$7,"~","~~"),"*","~*"),"?","~?"))+COUNTIFS('Calculations'!$IB$13:$IB$512,"="&amp;SUBSTITUTE(SUBSTITUTE(SUBSTITUTE('Calculations'!HF157,"~","~~"),"*","~*"),"?","~?"),'Calculations'!$HN$13:$HN$512,"="&amp;SUBSTITUTE(SUBSTITUTE(SUBSTITUTE('Dashboard'!$B$7,"~","~~"),"*","~*"),"?","~?"))+COUNTIFS('Calculations'!$IC$13:$IC$512,"="&amp;SUBSTITUTE(SUBSTITUTE(SUBSTITUTE('Calculations'!HF157,"~","~~"),"*","~*"),"?","~?"),'Calculations'!$HN$13:$HN$512,"="&amp;SUBSTITUTE(SUBSTITUTE(SUBSTITUTE('Dashboard'!$B$7,"~","~~"),"*","~*"),"?","~?"))+COUNTIFS('Calculations'!$ID$13:$ID$512,"="&amp;SUBSTITUTE(SUBSTITUTE(SUBSTITUTE('Calculations'!HF157,"~","~~"),"*","~*"),"?","~?"),'Calculations'!$HN$13:$HN$512,"="&amp;SUBSTITUTE(SUBSTITUTE(SUBSTITUTE('Dashboard'!$B$7,"~","~~"),"*","~*"),"?","~?"))+COUNTIFS('Calculations'!$IE$13:$IE$512,"="&amp;SUBSTITUTE(SUBSTITUTE(SUBSTITUTE('Calculations'!HF157,"~","~~"),"*","~*"),"?","~?"),'Calculations'!$HN$13:$HN$512,"="&amp;SUBSTITUTE(SUBSTITUTE(SUBSTITUTE('Dashboard'!$B$7,"~","~~"),"*","~*"),"?","~?"))+COUNTIFS('Calculations'!$IF$13:$IF$512,"="&amp;SUBSTITUTE(SUBSTITUTE(SUBSTITUTE('Calculations'!HF157,"~","~~"),"*","~*"),"?","~?"),'Calculations'!$HN$13:$HN$512,"="&amp;SUBSTITUTE(SUBSTITUTE(SUBSTITUTE('Dashboard'!$B$7,"~","~~"),"*","~*"),"?","~?"))+COUNTIFS('Calculations'!$IG$13:$IG$512,"="&amp;SUBSTITUTE(SUBSTITUTE(SUBSTITUTE('Calculations'!HF157,"~","~~"),"*","~*"),"?","~?"),'Calculations'!$HN$13:$HN$512,"="&amp;SUBSTITUTE(SUBSTITUTE(SUBSTITUTE('Dashboard'!$B$7,"~","~~"),"*","~*"),"?","~?"))+COUNTIFS('Calculations'!$IH$13:$IH$512,"="&amp;SUBSTITUTE(SUBSTITUTE(SUBSTITUTE('Calculations'!HF157,"~","~~"),"*","~*"),"?","~?"),'Calculations'!$HN$13:$HN$512,"="&amp;SUBSTITUTE(SUBSTITUTE(SUBSTITUTE('Dashboard'!$B$7,"~","~~"),"*","~*"),"?","~?"))))</x:f>
        <x:v>0</x:v>
      </x:c>
      <x:c r="JD157" t="n">
        <x:f>IF('Calculations'!EM157="",0,IF('Dashboard'!$B$7="All",1,IF('Calculations'!HN157='Dashboard'!$B$7,1,0)+IFERROR(INDEX('Calculations'!$JC$13:$JC$512,MATCH('Calculations'!HE157,'Calculations'!$HF$13:$HF$512,0)),0)))</x:f>
        <x:v>0</x:v>
      </x:c>
      <x:c r="JE157" t="n">
        <x:f>IF(AND('Calculations'!EM157&lt;&gt;"",'Calculations'!$JJ$2&lt;&gt;"All",'Calculations'!$JJ$2&lt;&gt;"",'Calculations'!HF157='Calculations'!$JJ$2,'Calculations'!HL157=0,'Calculations'!JD157&gt;0),MAX('Calculations'!$JE$12:JE156)+1,0)</x:f>
        <x:v>0</x:v>
      </x:c>
      <x:c r="JF157" t="str">
        <x:f>IF('Calculations'!EM157="","",IFERROR(IF(INDEX(INDIRECT("'WCM Calibration Final'!$G$1:$G$2000"),'Calculations'!$EM157)="","",TRIM(INDEX(INDIRECT("'WCM Calibration Final'!$G$1:$G$2000"),'Calculations'!$EM157)&amp;"")),""))</x:f>
      </x:c>
      <x:c r="JQ157" t="n">
        <x:f>IF(OR('Calculations'!BM157=0,NOT('Calculations'!$AG$2),'Calculations'!$AG$8&gt;0),0,IF(OR('Dashboard'!$B$7="All",'Calculations'!HN157='Dashboard'!$B$7),IF('Calculations'!$JJ$2="All",1,IF(AND('Calculations'!HF157='Calculations'!$JJ$2,'Calculations'!HL157=0),1,0)),0))</x:f>
        <x:v>0</x:v>
      </x:c>
    </x:row>
    <x:row r="158">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t="n">
        <x:f>IF('Calculations'!$EM158="",0,IF(OR(IFERROR(INDEX(INDIRECT("'WCM Calibration Final'!$A$1:$A$2000"),'Calculations'!$EM158)&lt;&gt;"",FALSE),IFERROR(INDEX(INDIRECT("'WCM Calibration Final'!$B$1:$B$2000"),'Calculations'!$EM158)&lt;&gt;"",FALSE),IFERROR(INDEX(INDIRECT("'WCM Calibration Final'!$C$1:$C$2000"),'Calculations'!$EM158)&lt;&gt;"",FALSE)),1,0))</x:f>
        <x:v>0</x:v>
      </x:c>
      <x:c r="BN158" s="4" t="n">
        <x:f>IF(AND('Calculations'!BM158=1,'Calculations'!$AG$2,'Calculations'!$EN158=1),1,0)</x:f>
        <x:v>0</x:v>
      </x:c>
      <x:c r="BO158" s="4" t="str">
        <x:f>IF('Calculations'!BM158=0,"",IFERROR(IF(AND(VALUE(INDEX(INDIRECT("'WCM Calibration Final'!$K$1:$K$2000"),'Calculations'!$EM158))&gt;=1,VALUE(INDEX(INDIRECT("'WCM Calibration Final'!$K$1:$K$2000"),'Calculations'!$EM158))&lt;=4,MOD(VALUE(INDEX(INDIRECT("'WCM Calibration Final'!$K$1:$K$2000"),'Calculations'!$EM158)),1)=0),VALUE(INDEX(INDIRECT("'WCM Calibration Final'!$K$1:$K$2000"),'Calculations'!$EM158)),""),""))</x:f>
      </x:c>
      <x:c r="BP158" s="4" t="str">
        <x:f>IF('Calculations'!BM158=0,"",IFERROR(IF(AND(VALUE(INDEX(INDIRECT("'WCM Calibration Final'!$L$1:$L$2000"),'Calculations'!$EM158))&gt;=1,VALUE(INDEX(INDIRECT("'WCM Calibration Final'!$L$1:$L$2000"),'Calculations'!$EM158))&lt;=4,MOD(VALUE(INDEX(INDIRECT("'WCM Calibration Final'!$L$1:$L$2000"),'Calculations'!$EM158)),1)=0),VALUE(INDEX(INDIRECT("'WCM Calibration Final'!$L$1:$L$2000"),'Calculations'!$EM158)),""),""))</x:f>
      </x:c>
      <x:c r="BQ158" s="4"/>
      <x:c r="BR158" s="4"/>
      <x:c r="BS158" s="4"/>
      <x:c r="BT158" s="4" t="n">
        <x:f>IF(AND('Calculations'!BM158=1,ISNUMBER('Calculations'!BO158),ISNUMBER('Calculations'!BP158)),1,0)</x:f>
        <x:v>0</x:v>
      </x:c>
      <x:c r="BU158" s="4" t="str">
        <x:f>IF('Calculations'!BM158=0,"",'Calculations'!$EO158)</x:f>
      </x:c>
      <x:c r="BV158" s="4" t="str">
        <x:f>IF('Calculations'!BM158=0,"",IFERROR(IF(OR(INDEX(INDIRECT("'WCM Calibration Final'!$H$1:$H$2000"),'Calculations'!$EM158)="MANAGING DIRECTOR",INDEX(INDIRECT("'WCM Calibration Final'!$H$1:$H$2000"),'Calculations'!$EM158)="DIRECTOR",INDEX(INDIRECT("'WCM Calibration Final'!$H$1:$H$2000"),'Calculations'!$EM158)="SENIOR VICE PRESIDENT",INDEX(INDIRECT("'WCM Calibration Final'!$H$1:$H$2000"),'Calculations'!$EM158)="VICE PRESIDENT",INDEX(INDIRECT("'WCM Calibration Final'!$H$1:$H$2000"),'Calculations'!$EM158)="ASSISTANT VICE PRESIDENT",INDEX(INDIRECT("'WCM Calibration Final'!$H$1:$H$2000"),'Calculations'!$EM158)="OFFICER"),UPPER(INDEX(INDIRECT("'WCM Calibration Final'!$H$1:$H$2000"),'Calculations'!$EM158)),"Other"),"Other"))</x:f>
      </x:c>
      <x:c r="BW158" s="4"/>
      <x:c r="BX158" s="4"/>
      <x:c r="BY158" s="4" t="n">
        <x:f>IF(AND('Calculations'!BM158=1,'Calculations'!BU158&lt;&gt;"",COUNTIF('Calculations'!$BU$12:BU158,'Calculations'!BU158)=1),MAX('Calculations'!$BY$11:BY157)+1,0)</x:f>
        <x:v>0</x:v>
      </x:c>
      <x:c r="BZ158" s="4" t="str">
        <x:f>IF('Dashboard'!$E$67="What",'Calculations'!BO158,'Calculations'!BP158)</x:f>
      </x:c>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t="str">
        <x:f>IF(147&gt;MAX('Calculations'!$HI$13:$HI$512),"",INDEX('Calculations'!$HN$13:$HN$512,MATCH(147,'Calculations'!$HI$13:$HI$512,0)))</x:f>
      </x:c>
      <x:c r="DB158" s="4" t="str">
        <x:f>IF(147&gt;MAX('Calculations'!$HH$13:$HH$512),"",INDEX('Calculations'!$HJ$13:$HJ$512,MATCH(147,'Calculations'!$HH$13:$HH$512,0)))</x:f>
      </x:c>
      <x:c r="DC158" s="4" t="str">
        <x:f>IF(ROW()-11&gt;MAX('Calculations'!$BY$13:$BY$512),"",INDEX('Calculations'!$BU$13:$BU$512,MATCH(ROW()-11,'Calculations'!$BY$13:$BY$512,0)))</x:f>
      </x:c>
      <x:c r="DD158" s="4" t="str">
        <x:f>IF(147&gt;MAX('Calculations'!$IK$13:$IK$512),"",INDEX('Calculations'!$HK$13:$HK$512,MATCH(147,'Calculations'!$IK$13:$IK$512,0)))</x:f>
      </x:c>
      <x:c r="DE158" s="4" t="str">
        <x:f>'Calculations'!DC158</x:f>
      </x:c>
      <x:c r="DF158" s="4" t="str">
        <x:f>IF('Calculations'!DE158="","",COUNTIFS('Calculations'!$BN$13:$BN$512,1,'Calculations'!$BU$13:$BU$512,'Calculations'!DE158))</x:f>
      </x:c>
      <x:c r="DG158" s="4" t="str">
        <x:f>IF('Calculations'!DE158="","",COUNTIFS('Calculations'!$BN$13:$BN$512,1,'Calculations'!$BU$13:$BU$512,'Calculations'!DE158,'Calculations'!$BT$13:$BT$512,1))</x:f>
      </x:c>
      <x:c r="DH158" s="4" t="str">
        <x:f>IF('Calculations'!DE158="","",'Calculations'!DF158-'Calculations'!DG158)</x:f>
      </x:c>
      <x:c r="DI158" s="4" t="str">
        <x:f>IF(OR('Calculations'!DE158="",'Calculations'!DF158=0),"",'Calculations'!DG158/'Calculations'!DF158)</x:f>
      </x:c>
      <x:c r="DJ158" s="4" t="str">
        <x:f>IF('Calculations'!DE158="","",COUNTIFS('Calculations'!$BN$13:$BN$512,1,'Calculations'!$BU$13:$BU$512,'Calculations'!DE158,'Calculations'!$BT$13:$BT$512,1,'Calculations'!$EE$13:$EE$512,"High"))</x:f>
      </x:c>
      <x:c r="DK158" s="4" t="str">
        <x:f>IF('Calculations'!DE158="","",COUNTIFS('Calculations'!$BN$13:$BN$512,1,'Calculations'!$BU$13:$BU$512,'Calculations'!DE158,'Calculations'!$BT$13:$BT$512,1,'Calculations'!$EE$13:$EE$512,"Strong"))</x:f>
      </x:c>
      <x:c r="DL158" s="4" t="str">
        <x:f>IF('Calculations'!DE158="","",COUNTIFS('Calculations'!$BN$13:$BN$512,1,'Calculations'!$BU$13:$BU$512,'Calculations'!DE158,'Calculations'!$BT$13:$BT$512,1,'Calculations'!$EE$13:$EE$512,"Solid"))</x:f>
      </x:c>
      <x:c r="DM158" s="4" t="str">
        <x:f>IF('Calculations'!DE158="","",COUNTIFS('Calculations'!$BN$13:$BN$512,1,'Calculations'!$BU$13:$BU$512,'Calculations'!DE158,'Calculations'!$BT$13:$BT$512,1,'Calculations'!$EE$13:$EE$512,"Low"))</x:f>
      </x:c>
      <x:c r="DN158" s="4" t="str">
        <x:f>IF('Calculations'!DE158="","",COUNTIFS('Calculations'!$BN$13:$BN$512,1,'Calculations'!$BU$13:$BU$512,'Calculations'!DE158,'Calculations'!$EP$13:$EP$512,1))</x:f>
      </x:c>
      <x:c r="DO158" s="4" t="str">
        <x:f>IF(OR('Calculations'!DE158="",'Calculations'!DG158=0),"",('Calculations'!DJ158+'Calculations'!DK158)/'Calculations'!DG158)</x:f>
      </x:c>
      <x:c r="DP158" s="4" t="n">
        <x:f>IF(AND('Calculations'!DE158&lt;&gt;"",'Calculations'!DF158&gt;0),COUNTIF('Calculations'!$DF$12:DF158,"&gt;0"),0)</x:f>
        <x:v>0</x:v>
      </x:c>
      <x:c r="DQ158" s="4" t="str">
        <x:f>IF(147&gt;MAX('Calculations'!$HH$13:$HH$512),"",INDEX('Calculations'!$HF$13:$HF$512,MATCH(147,'Calculations'!$HH$13:$HH$512,0)))</x:f>
      </x:c>
      <x:c r="DR158" s="4" t="str">
        <x:f>IF(147&gt;MAX('Calculations'!$IK$13:$IK$512),"",INDEX('Calculations'!$HE$13:$HE$512,MATCH(147,'Calculations'!$IK$13:$IK$512,0)))</x:f>
      </x:c>
      <x:c r="DS158" s="4"/>
      <x:c r="DT158" s="4"/>
      <x:c r="DU158" s="4"/>
      <x:c r="DV158" s="4"/>
      <x:c r="DW158" s="4"/>
      <x:c r="DX158" s="4"/>
      <x:c r="DY158" s="4"/>
      <x:c r="DZ158" s="4"/>
      <x:c r="EA158" s="4"/>
      <x:c r="EB158" s="4"/>
      <x:c r="EC158" s="4"/>
      <x:c r="ED158" s="4"/>
      <x:c r="EE158" s="4" t="str">
        <x:f>IF('Calculations'!BT158=0,"Not Rated",IF(OR('Calculations'!BO158&gt;=4,'Calculations'!BP158&gt;=4),"Low",IF('Calculations'!BO158+'Calculations'!BP158&lt;=3,"High",IF('Calculations'!BO158+'Calculations'!BP158&lt;=4,"Strong","Solid"))))</x:f>
        <x:v>Not Rated</x:v>
      </x:c>
      <x:c r="EF158" s="4"/>
      <x:c r="EG158" s="4"/>
      <x:c r="EH158" s="4"/>
      <x:c r="EI158" s="4"/>
      <x:c r="EJ158" s="4"/>
      <x:c r="EK158" s="4"/>
      <x:c r="EL158" s="4"/>
      <x:c r="EM158" s="4" t="str">
        <x:f>IF(146&gt;'Calculations'!$JB$2000,"",INDEX('Calculations'!$JA$12:$JA$2000,MATCH(146,'Calculations'!$JB$12:$JB$2000,0)))</x:f>
      </x:c>
      <x:c r="EN158" s="4" t="n">
        <x:f>IF(OR('Calculations'!EM158="",'Calculations'!$AG$8&gt;0,AND('Calculations'!$EF$2&lt;&gt;"All",'Calculations'!HE158='Calculations'!$EF$2),AND('Calculations'!$EF$3&lt;&gt;"All",'Calculations'!HE158='Calculations'!$EF$3)),0,IF(OR('Dashboard'!$B$7="All",'Calculations'!HN158='Dashboard'!$B$7),IF('Calculations'!$EF$2="All",1,IF('Calculations'!HL158&gt;0,0,IF(COUNTIF('Calculations'!HO158:II158,"="&amp;SUBSTITUTE(SUBSTITUTE(SUBSTITUTE('Calculations'!$EF$2,"~","~~"),"*","~*"),"?","~?"))=0,0,IF('Calculations'!$EF$3="All",1,IF(COUNTIF('Calculations'!HO158:II158,"="&amp;SUBSTITUTE(SUBSTITUTE(SUBSTITUTE('Calculations'!$EF$3,"~","~~"),"*","~*"),"?","~?"))&gt;0,1,0))))),0))</x:f>
        <x:v>0</x:v>
      </x:c>
      <x:c r="EO158" s="4" t="str">
        <x:f>IF('Calculations'!IJ158="","",IF('Calculations'!IJ158="!UNRESOLVED","Unresolved hierarchy",IFERROR(INDEX('Calculations'!$HK$13:$HK$512,MATCH('Calculations'!IJ158,'Calculations'!$HE$13:$HE$512,0)),IFERROR(INDEX('Calculations'!$HJ$13:$HJ$512,MATCH('Calculations'!IJ158,'Calculations'!$HF$13:$HF$512,0)),'Calculations'!IJ158))))</x:f>
      </x:c>
      <x:c r="EP158" s="4" t="n">
        <x:f>IF(AND('Calculations'!EM158&lt;&gt;"",'Calculations'!HF158='Calculations'!IJ158),1,0)</x:f>
        <x:v>0</x:v>
      </x:c>
      <x:c r="EQ158" s="4"/>
      <x:c r="ER158" s="4"/>
      <x:c r="ES158" s="4"/>
      <x:c r="ET158" s="4"/>
      <x:c r="EU158" s="4"/>
      <x:c r="EV158" s="4"/>
      <x:c r="EW158" s="4"/>
      <x:c r="EX158" s="4"/>
      <x:c r="EY158" s="4"/>
      <x:c r="EZ158" s="4"/>
      <x:c r="FA158" s="4"/>
      <x:c r="FB158" s="4"/>
      <x:c r="FC158" s="4"/>
      <x:c r="FD158" s="4"/>
      <x:c r="FE158" s="4"/>
      <x:c r="FF158" s="4"/>
      <x:c r="FG158" s="4"/>
      <x:c r="FH158" s="4"/>
      <x:c r="FI158" s="4"/>
      <x:c r="FJ158" s="4"/>
      <x:c r="FK158" s="4"/>
      <x:c r="FL158" s="4"/>
      <x:c r="FM158" s="4"/>
      <x:c r="FN158" s="4"/>
      <x:c r="FO158" s="4"/>
      <x:c r="GA158" s="71"/>
      <x:c r="GB158" s="71"/>
      <x:c r="GC158" s="71"/>
      <x:c r="GD158" s="71"/>
      <x:c r="GE158" s="71"/>
      <x:c r="GF158" s="71"/>
      <x:c r="GG158" s="71"/>
      <x:c r="GH158" s="71"/>
      <x:c r="GI158" s="71"/>
      <x:c r="GJ158" s="71"/>
      <x:c r="GK158" s="71"/>
      <x:c r="GL158" s="71" t="n">
        <x:f>COUNTIFS('Calculations'!$JQ$13:$JQ$512,1,'Calculations'!$EE$13:$EE$512,"Low")</x:f>
        <x:v>0</x:v>
      </x:c>
      <x:c r="GM158" s="71"/>
      <x:c r="GN158" s="71"/>
      <x:c r="GO158" s="71" t="str">
        <x:f>IF(SUM('Calculations'!$GL$155:$GL$158)=0,"",'Calculations'!GL158/SUM('Calculations'!$GL$155:$GL$158))</x:f>
      </x:c>
      <x:c r="GP158" s="71"/>
      <x:c r="GQ158" s="71"/>
      <x:c r="GR158" s="71" t="n">
        <x:f>IF(COUNT('Dashboard'!T147)=0,"",IF(AND('Dashboard'!T147&gt;=0,'Dashboard'!T147&lt;=1),'Dashboard'!T147,""))</x:f>
        <x:v>0.07</x:v>
      </x:c>
      <x:c r="GS158" s="71"/>
      <x:c r="GT158" s="71"/>
      <x:c r="GU158" s="71" t="str">
        <x:f>IF(COUNT('Calculations'!GO158,'Calculations'!GR158)&lt;2,"",100*('Calculations'!GO158-'Calculations'!GR158))</x:f>
      </x:c>
      <x:c r="GV158" s="71"/>
      <x:c r="GW158" s="71"/>
      <x:c r="GX158" s="71" t="str">
        <x:f>IF(NOT('Calculations'!$AG$2),"Source unavailable",IF('Calculations'!$AG$8&gt;0,"Check filters",IF(COUNT('Calculations'!GO158)=0,"No ratings",IF(COUNT('Calculations'!GR158)=0,"No threshold",IF('Calculations'!GO158&gt;'Calculations'!GR158,"Above threshold","Within threshold")))))</x:f>
        <x:v>Source unavailable</x:v>
      </x:c>
      <x:c r="GY158" s="71"/>
      <x:c r="GZ158" s="71"/>
      <x:c r="HA158" s="71"/>
      <x:c r="HB158" s="71"/>
      <x:c r="HC158" s="71"/>
      <x:c r="HD158" s="71"/>
      <x:c r="HE158" t="str">
        <x:f>IF('Calculations'!EM158="","",IF(IFERROR(IF(INDEX(INDIRECT("'WCM Calibration Final'!$A$1:$A$2000"),'Calculations'!$EM158)="","",TRIM(INDEX(INDIRECT("'WCM Calibration Final'!$A$1:$A$2000"),'Calculations'!$EM158)&amp;"")),"")&lt;&gt;"","G:"&amp;IFERROR(TEXT(1*INDEX(INDIRECT("'WCM Calibration Final'!$A$1:$A$2000"),'Calculations'!$EM158),"0"),UPPER(IFERROR(IF(INDEX(INDIRECT("'WCM Calibration Final'!$A$1:$A$2000"),'Calculations'!$EM158)="","",TRIM(INDEX(INDIRECT("'WCM Calibration Final'!$A$1:$A$2000"),'Calculations'!$EM158)&amp;"")),""))),IF(IFERROR(IF(INDEX(INDIRECT("'WCM Calibration Final'!$C$1:$C$2000"),'Calculations'!$EM158)="","",TRIM(INDEX(INDIRECT("'WCM Calibration Final'!$C$1:$C$2000"),'Calculations'!$EM158)&amp;"")),"")&lt;&gt;"","S:"&amp;UPPER(IFERROR(IF(INDEX(INDIRECT("'WCM Calibration Final'!$C$1:$C$2000"),'Calculations'!$EM158)="","",TRIM(INDEX(INDIRECT("'WCM Calibration Final'!$C$1:$C$2000"),'Calculations'!$EM158)&amp;"")),"")),"R:"&amp;'Calculations'!EM158)))</x:f>
      </x:c>
      <x:c r="HF158" t="str">
        <x:f>IF('Calculations'!EM158="","",IF(IFERROR(IF(INDEX(INDIRECT("'WCM Calibration Final'!$D$1:$D$2000"),'Calculations'!$EM158)="","",TRIM(INDEX(INDIRECT("'WCM Calibration Final'!$D$1:$D$2000"),'Calculations'!$EM158)&amp;"")),"")&lt;&gt;"","G:"&amp;IFERROR(TEXT(1*INDEX(INDIRECT("'WCM Calibration Final'!$D$1:$D$2000"),'Calculations'!$EM158),"0"),UPPER(IFERROR(IF(INDEX(INDIRECT("'WCM Calibration Final'!$D$1:$D$2000"),'Calculations'!$EM158)="","",TRIM(INDEX(INDIRECT("'WCM Calibration Final'!$D$1:$D$2000"),'Calculations'!$EM158)&amp;"")),""))),IF(IFERROR(IF(INDEX(INDIRECT("'WCM Calibration Final'!$E$1:$E$2000"),'Calculations'!$EM158)="","",TRIM(INDEX(INDIRECT("'WCM Calibration Final'!$E$1:$E$2000"),'Calculations'!$EM158)&amp;"")),"")="","",IF(COUNTIF('Calculations'!$HG$13:$HG$512,"="&amp;SUBSTITUTE(SUBSTITUTE(SUBSTITUTE(IFERROR(IF(INDEX(INDIRECT("'WCM Calibration Final'!$E$1:$E$2000"),'Calculations'!$EM158)="","",TRIM(INDEX(INDIRECT("'WCM Calibration Final'!$E$1:$E$2000"),'Calculations'!$EM158)&amp;"")),""),"~","~~"),"*","~*"),"?","~?"))=1,INDEX('Calculations'!$HE$13:$HE$512,MATCH(IFERROR(IF(INDEX(INDIRECT("'WCM Calibration Final'!$E$1:$E$2000"),'Calculations'!$EM158)="","",TRIM(INDEX(INDIRECT("'WCM Calibration Final'!$E$1:$E$2000"),'Calculations'!$EM158)&amp;"")),""),'Calculations'!$HG$13:$HG$512,0)),IF(COUNTIF('Calculations'!$HG$13:$HG$512,"="&amp;SUBSTITUTE(SUBSTITUTE(SUBSTITUTE(IFERROR(IF(INDEX(INDIRECT("'WCM Calibration Final'!$E$1:$E$2000"),'Calculations'!$EM158)="","",TRIM(INDEX(INDIRECT("'WCM Calibration Final'!$E$1:$E$2000"),'Calculations'!$EM158)&amp;"")),""),"~","~~"),"*","~*"),"?","~?"))&gt;1,"!AMBIG","X:"&amp;IFERROR(IF(INDEX(INDIRECT("'WCM Calibration Final'!$E$1:$E$2000"),'Calculations'!$EM158)="","",TRIM(INDEX(INDIRECT("'WCM Calibration Final'!$E$1:$E$2000"),'Calculations'!$EM158)&amp;"")),""))))))</x:f>
      </x:c>
      <x:c r="HG158" t="str">
        <x:f>IF('Calculations'!EM158="","",IFERROR(IF(INDEX(INDIRECT("'WCM Calibration Final'!$B$1:$B$2000"),'Calculations'!$EM158)="","",TRIM(INDEX(INDIRECT("'WCM Calibration Final'!$B$1:$B$2000"),'Calculations'!$EM158)&amp;"")),""))</x:f>
      </x:c>
      <x:c r="HH158" t="n">
        <x:f>IF(AND('Calculations'!JC158&gt;0,COUNTIF('Calculations'!$HF$12:HF158,"="&amp;SUBSTITUTE(SUBSTITUTE(SUBSTITUTE('Calculations'!HF158,"~","~~"),"*","~*"),"?","~?"))=1),MAX('Calculations'!$HH$12:HH157)+1,0)</x:f>
        <x:v>0</x:v>
      </x:c>
      <x:c r="HI158" t="n">
        <x:f>IF(AND('Calculations'!HN158&lt;&gt;"",COUNTIF('Calculations'!$HN$12:HN158,"="&amp;SUBSTITUTE(SUBSTITUTE(SUBSTITUTE('Calculations'!HN158,"~","~~"),"*","~*"),"?","~?"))=1),MAX('Calculations'!$HI$12:HI157)+1,0)</x:f>
        <x:v>0</x:v>
      </x:c>
      <x:c r="HJ158" t="str">
        <x:f>IF('Calculations'!HF158="","",IF(COUNTIF('Calculations'!$HE$13:$HE$512,"="&amp;SUBSTITUTE(SUBSTITUTE(SUBSTITUTE('Calculations'!HF158,"~","~~"),"*","~*"),"?","~?"))=1,INDEX('Calculations'!$HK$13:$HK$512,MATCH('Calculations'!HF158,'Calculations'!$HE$13:$HE$512,0)),IFERROR(IF(INDEX(INDIRECT("'WCM Calibration Final'!$E$1:$E$2000"),'Calculations'!$EM158)="","",TRIM(INDEX(INDIRECT("'WCM Calibration Final'!$E$1:$E$2000"),'Calculations'!$EM158)&amp;"")),"")&amp;" ["&amp;'Calculations'!HF158&amp;"]"))</x:f>
      </x:c>
      <x:c r="HK158" t="str">
        <x:f>IF('Calculations'!EM158="","",'Calculations'!HG158&amp;" ["&amp;'Calculations'!HE158&amp;"]")</x:f>
      </x:c>
      <x:c r="HL158" t="n">
        <x:f>IF('Calculations'!EM158="",0,IF(OR('Calculations'!II158&lt;&gt;"",COUNTIF('Calculations'!$HE$13:$HE$512,"="&amp;SUBSTITUTE(SUBSTITUTE(SUBSTITUTE('Calculations'!HE158,"~","~~"),"*","~*"),"?","~?"))&gt;1),1,0))</x:f>
        <x:v>0</x:v>
      </x:c>
      <x:c r="HM158" t="str">
        <x:f>IF('Calculations'!EM158="","",IF('Calculations'!HL158=1,"!UNRESOLVED",IF('Calculations'!IH158&lt;&gt;"",'Calculations'!IH158,IF('Calculations'!IG158&lt;&gt;"",'Calculations'!IG158,IF('Calculations'!IF158&lt;&gt;"",'Calculations'!IF158,IF('Calculations'!IE158&lt;&gt;"",'Calculations'!IE158,IF('Calculations'!ID158&lt;&gt;"",'Calculations'!ID158,IF('Calculations'!IC158&lt;&gt;"",'Calculations'!IC158,IF('Calculations'!IB158&lt;&gt;"",'Calculations'!IB158,IF('Calculations'!IA158&lt;&gt;"",'Calculations'!IA158,IF('Calculations'!HZ158&lt;&gt;"",'Calculations'!HZ158,IF('Calculations'!HY158&lt;&gt;"",'Calculations'!HY158,IF('Calculations'!HX158&lt;&gt;"",'Calculations'!HX158,IF('Calculations'!HW158&lt;&gt;"",'Calculations'!HW158,IF('Calculations'!HV158&lt;&gt;"",'Calculations'!HV158,IF('Calculations'!HU158&lt;&gt;"",'Calculations'!HU158,IF('Calculations'!HT158&lt;&gt;"",'Calculations'!HT158,IF('Calculations'!HS158&lt;&gt;"",'Calculations'!HS158,IF('Calculations'!HR158&lt;&gt;"",'Calculations'!HR158,IF('Calculations'!HQ158&lt;&gt;"",'Calculations'!HQ158,IF('Calculations'!HP158&lt;&gt;"",'Calculations'!HP158,IF('Calculations'!HO158&lt;&gt;"",'Calculations'!HO158,'Calculations'!HE158))))))))))))))))))))))</x:f>
      </x:c>
      <x:c r="HN158" t="str">
        <x:f>IF('Calculations'!EM158="","",IF(IFERROR(IF(INDEX(INDIRECT("'WCM Calibration Final'!$F$1:$F$2000"),'Calculations'!$EM158)="","",TRIM(INDEX(INDIRECT("'WCM Calibration Final'!$F$1:$F$2000"),'Calculations'!$EM158)&amp;"")),"")="","(Blank)",IFERROR(IF(INDEX(INDIRECT("'WCM Calibration Final'!$F$1:$F$2000"),'Calculations'!$EM158)="","",TRIM(INDEX(INDIRECT("'WCM Calibration Final'!$F$1:$F$2000"),'Calculations'!$EM158)&amp;"")),"")))</x:f>
      </x:c>
      <x:c r="HO158" t="str">
        <x:f>'Calculations'!HF158</x:f>
      </x:c>
      <x:c r="HP158" t="str">
        <x:f>IF('Calculations'!HO158="","",IF('Calculations'!HO158="!AMBIG","!AMBIG",IF(COUNTIF('Calculations'!$HE$13:$HE$512,"="&amp;SUBSTITUTE(SUBSTITUTE(SUBSTITUTE('Calculations'!HO158,"~","~~"),"*","~*"),"?","~?"))&gt;1,"!AMBIG",IFERROR(INDEX('Calculations'!$HF$13:$HF$512,MATCH('Calculations'!HO158,'Calculations'!$HE$13:$HE$512,0)),""))))</x:f>
      </x:c>
      <x:c r="HQ158" t="str">
        <x:f>IF('Calculations'!HP158="","",IF('Calculations'!HP158="!AMBIG","!AMBIG",IF(COUNTIF('Calculations'!$HE$13:$HE$512,"="&amp;SUBSTITUTE(SUBSTITUTE(SUBSTITUTE('Calculations'!HP158,"~","~~"),"*","~*"),"?","~?"))&gt;1,"!AMBIG",IFERROR(INDEX('Calculations'!$HF$13:$HF$512,MATCH('Calculations'!HP158,'Calculations'!$HE$13:$HE$512,0)),""))))</x:f>
      </x:c>
      <x:c r="HR158" t="str">
        <x:f>IF('Calculations'!HQ158="","",IF('Calculations'!HQ158="!AMBIG","!AMBIG",IF(COUNTIF('Calculations'!$HE$13:$HE$512,"="&amp;SUBSTITUTE(SUBSTITUTE(SUBSTITUTE('Calculations'!HQ158,"~","~~"),"*","~*"),"?","~?"))&gt;1,"!AMBIG",IFERROR(INDEX('Calculations'!$HF$13:$HF$512,MATCH('Calculations'!HQ158,'Calculations'!$HE$13:$HE$512,0)),""))))</x:f>
      </x:c>
      <x:c r="HS158" t="str">
        <x:f>IF('Calculations'!HR158="","",IF('Calculations'!HR158="!AMBIG","!AMBIG",IF(COUNTIF('Calculations'!$HE$13:$HE$512,"="&amp;SUBSTITUTE(SUBSTITUTE(SUBSTITUTE('Calculations'!HR158,"~","~~"),"*","~*"),"?","~?"))&gt;1,"!AMBIG",IFERROR(INDEX('Calculations'!$HF$13:$HF$512,MATCH('Calculations'!HR158,'Calculations'!$HE$13:$HE$512,0)),""))))</x:f>
      </x:c>
      <x:c r="HT158" t="str">
        <x:f>IF('Calculations'!HS158="","",IF('Calculations'!HS158="!AMBIG","!AMBIG",IF(COUNTIF('Calculations'!$HE$13:$HE$512,"="&amp;SUBSTITUTE(SUBSTITUTE(SUBSTITUTE('Calculations'!HS158,"~","~~"),"*","~*"),"?","~?"))&gt;1,"!AMBIG",IFERROR(INDEX('Calculations'!$HF$13:$HF$512,MATCH('Calculations'!HS158,'Calculations'!$HE$13:$HE$512,0)),""))))</x:f>
      </x:c>
      <x:c r="HU158" t="str">
        <x:f>IF('Calculations'!HT158="","",IF('Calculations'!HT158="!AMBIG","!AMBIG",IF(COUNTIF('Calculations'!$HE$13:$HE$512,"="&amp;SUBSTITUTE(SUBSTITUTE(SUBSTITUTE('Calculations'!HT158,"~","~~"),"*","~*"),"?","~?"))&gt;1,"!AMBIG",IFERROR(INDEX('Calculations'!$HF$13:$HF$512,MATCH('Calculations'!HT158,'Calculations'!$HE$13:$HE$512,0)),""))))</x:f>
      </x:c>
      <x:c r="HV158" t="str">
        <x:f>IF('Calculations'!HU158="","",IF('Calculations'!HU158="!AMBIG","!AMBIG",IF(COUNTIF('Calculations'!$HE$13:$HE$512,"="&amp;SUBSTITUTE(SUBSTITUTE(SUBSTITUTE('Calculations'!HU158,"~","~~"),"*","~*"),"?","~?"))&gt;1,"!AMBIG",IFERROR(INDEX('Calculations'!$HF$13:$HF$512,MATCH('Calculations'!HU158,'Calculations'!$HE$13:$HE$512,0)),""))))</x:f>
      </x:c>
      <x:c r="HW158" t="str">
        <x:f>IF('Calculations'!HV158="","",IF('Calculations'!HV158="!AMBIG","!AMBIG",IF(COUNTIF('Calculations'!$HE$13:$HE$512,"="&amp;SUBSTITUTE(SUBSTITUTE(SUBSTITUTE('Calculations'!HV158,"~","~~"),"*","~*"),"?","~?"))&gt;1,"!AMBIG",IFERROR(INDEX('Calculations'!$HF$13:$HF$512,MATCH('Calculations'!HV158,'Calculations'!$HE$13:$HE$512,0)),""))))</x:f>
      </x:c>
      <x:c r="HX158" t="str">
        <x:f>IF('Calculations'!HW158="","",IF('Calculations'!HW158="!AMBIG","!AMBIG",IF(COUNTIF('Calculations'!$HE$13:$HE$512,"="&amp;SUBSTITUTE(SUBSTITUTE(SUBSTITUTE('Calculations'!HW158,"~","~~"),"*","~*"),"?","~?"))&gt;1,"!AMBIG",IFERROR(INDEX('Calculations'!$HF$13:$HF$512,MATCH('Calculations'!HW158,'Calculations'!$HE$13:$HE$512,0)),""))))</x:f>
      </x:c>
      <x:c r="HY158" t="str">
        <x:f>IF('Calculations'!HX158="","",IF('Calculations'!HX158="!AMBIG","!AMBIG",IF(COUNTIF('Calculations'!$HE$13:$HE$512,"="&amp;SUBSTITUTE(SUBSTITUTE(SUBSTITUTE('Calculations'!HX158,"~","~~"),"*","~*"),"?","~?"))&gt;1,"!AMBIG",IFERROR(INDEX('Calculations'!$HF$13:$HF$512,MATCH('Calculations'!HX158,'Calculations'!$HE$13:$HE$512,0)),""))))</x:f>
      </x:c>
      <x:c r="HZ158" t="str">
        <x:f>IF('Calculations'!HY158="","",IF('Calculations'!HY158="!AMBIG","!AMBIG",IF(COUNTIF('Calculations'!$HE$13:$HE$512,"="&amp;SUBSTITUTE(SUBSTITUTE(SUBSTITUTE('Calculations'!HY158,"~","~~"),"*","~*"),"?","~?"))&gt;1,"!AMBIG",IFERROR(INDEX('Calculations'!$HF$13:$HF$512,MATCH('Calculations'!HY158,'Calculations'!$HE$13:$HE$512,0)),""))))</x:f>
      </x:c>
      <x:c r="IA158" t="str">
        <x:f>IF('Calculations'!HZ158="","",IF('Calculations'!HZ158="!AMBIG","!AMBIG",IF(COUNTIF('Calculations'!$HE$13:$HE$512,"="&amp;SUBSTITUTE(SUBSTITUTE(SUBSTITUTE('Calculations'!HZ158,"~","~~"),"*","~*"),"?","~?"))&gt;1,"!AMBIG",IFERROR(INDEX('Calculations'!$HF$13:$HF$512,MATCH('Calculations'!HZ158,'Calculations'!$HE$13:$HE$512,0)),""))))</x:f>
      </x:c>
      <x:c r="IB158" t="str">
        <x:f>IF('Calculations'!IA158="","",IF('Calculations'!IA158="!AMBIG","!AMBIG",IF(COUNTIF('Calculations'!$HE$13:$HE$512,"="&amp;SUBSTITUTE(SUBSTITUTE(SUBSTITUTE('Calculations'!IA158,"~","~~"),"*","~*"),"?","~?"))&gt;1,"!AMBIG",IFERROR(INDEX('Calculations'!$HF$13:$HF$512,MATCH('Calculations'!IA158,'Calculations'!$HE$13:$HE$512,0)),""))))</x:f>
      </x:c>
      <x:c r="IC158" t="str">
        <x:f>IF('Calculations'!IB158="","",IF('Calculations'!IB158="!AMBIG","!AMBIG",IF(COUNTIF('Calculations'!$HE$13:$HE$512,"="&amp;SUBSTITUTE(SUBSTITUTE(SUBSTITUTE('Calculations'!IB158,"~","~~"),"*","~*"),"?","~?"))&gt;1,"!AMBIG",IFERROR(INDEX('Calculations'!$HF$13:$HF$512,MATCH('Calculations'!IB158,'Calculations'!$HE$13:$HE$512,0)),""))))</x:f>
      </x:c>
      <x:c r="ID158" t="str">
        <x:f>IF('Calculations'!IC158="","",IF('Calculations'!IC158="!AMBIG","!AMBIG",IF(COUNTIF('Calculations'!$HE$13:$HE$512,"="&amp;SUBSTITUTE(SUBSTITUTE(SUBSTITUTE('Calculations'!IC158,"~","~~"),"*","~*"),"?","~?"))&gt;1,"!AMBIG",IFERROR(INDEX('Calculations'!$HF$13:$HF$512,MATCH('Calculations'!IC158,'Calculations'!$HE$13:$HE$512,0)),""))))</x:f>
      </x:c>
      <x:c r="IE158" t="str">
        <x:f>IF('Calculations'!ID158="","",IF('Calculations'!ID158="!AMBIG","!AMBIG",IF(COUNTIF('Calculations'!$HE$13:$HE$512,"="&amp;SUBSTITUTE(SUBSTITUTE(SUBSTITUTE('Calculations'!ID158,"~","~~"),"*","~*"),"?","~?"))&gt;1,"!AMBIG",IFERROR(INDEX('Calculations'!$HF$13:$HF$512,MATCH('Calculations'!ID158,'Calculations'!$HE$13:$HE$512,0)),""))))</x:f>
      </x:c>
      <x:c r="IF158" t="str">
        <x:f>IF('Calculations'!IE158="","",IF('Calculations'!IE158="!AMBIG","!AMBIG",IF(COUNTIF('Calculations'!$HE$13:$HE$512,"="&amp;SUBSTITUTE(SUBSTITUTE(SUBSTITUTE('Calculations'!IE158,"~","~~"),"*","~*"),"?","~?"))&gt;1,"!AMBIG",IFERROR(INDEX('Calculations'!$HF$13:$HF$512,MATCH('Calculations'!IE158,'Calculations'!$HE$13:$HE$512,0)),""))))</x:f>
      </x:c>
      <x:c r="IG158" t="str">
        <x:f>IF('Calculations'!IF158="","",IF('Calculations'!IF158="!AMBIG","!AMBIG",IF(COUNTIF('Calculations'!$HE$13:$HE$512,"="&amp;SUBSTITUTE(SUBSTITUTE(SUBSTITUTE('Calculations'!IF158,"~","~~"),"*","~*"),"?","~?"))&gt;1,"!AMBIG",IFERROR(INDEX('Calculations'!$HF$13:$HF$512,MATCH('Calculations'!IF158,'Calculations'!$HE$13:$HE$512,0)),""))))</x:f>
      </x:c>
      <x:c r="IH158" t="str">
        <x:f>IF('Calculations'!IG158="","",IF('Calculations'!IG158="!AMBIG","!AMBIG",IF(COUNTIF('Calculations'!$HE$13:$HE$512,"="&amp;SUBSTITUTE(SUBSTITUTE(SUBSTITUTE('Calculations'!IG158,"~","~~"),"*","~*"),"?","~?"))&gt;1,"!AMBIG",IFERROR(INDEX('Calculations'!$HF$13:$HF$512,MATCH('Calculations'!IG158,'Calculations'!$HE$13:$HE$512,0)),""))))</x:f>
      </x:c>
      <x:c r="II158" t="str">
        <x:f>IF('Calculations'!IH158="","",IF('Calculations'!IH158="!AMBIG","!AMBIG",IF(COUNTIF('Calculations'!$HE$13:$HE$512,"="&amp;SUBSTITUTE(SUBSTITUTE(SUBSTITUTE('Calculations'!IH158,"~","~~"),"*","~*"),"?","~?"))&gt;1,"!AMBIG",IFERROR(INDEX('Calculations'!$HF$13:$HF$512,MATCH('Calculations'!IH158,'Calculations'!$HE$13:$HE$512,0)),""))))</x:f>
      </x:c>
      <x:c r="IJ158" t="str">
        <x:f>IF('Calculations'!EM158="","",IF('Calculations'!$EF$2="All",'Calculations'!HM158,IF('Calculations'!HL158=1,"",IFERROR(IF(MATCH('Calculations'!$EF$2,'Calculations'!HO158:II158,0)=1,'Calculations'!HE158,INDEX('Calculations'!HO158:II158,1,MATCH('Calculations'!$EF$2,'Calculations'!HO158:II158,0)-1)),""))))</x:f>
      </x:c>
      <x:c r="IK158" t="n">
        <x:f>IF(AND('Calculations'!EM158&lt;&gt;"",'Calculations'!$EF$2&lt;&gt;"All",'Calculations'!HF158='Calculations'!$EF$2,'Calculations'!HL158=0,'Calculations'!JD158&gt;0),MAX('Calculations'!$IK$12:IK157)+1,0)</x:f>
        <x:v>0</x:v>
      </x:c>
      <x:c r="JA158" t="n">
        <x:f>IF(OR(IFERROR(INDIRECT("'WCM Calibration Final'!$A$158")&lt;&gt;"",FALSE),IFERROR(INDIRECT("'WCM Calibration Final'!$B$158")&lt;&gt;"",FALSE),IFERROR(INDIRECT("'WCM Calibration Final'!$C$158")&lt;&gt;"",FALSE)),158,0)</x:f>
        <x:v>0</x:v>
      </x:c>
      <x:c r="JB158" t="n">
        <x:f>'Calculations'!JB157+IF('Calculations'!JA158&gt;0,1,0)</x:f>
        <x:v>0</x:v>
      </x:c>
      <x:c r="JC158" t="n">
        <x:f>IF(OR('Calculations'!HF158="",'Calculations'!HF158="!AMBIG"),0,IF('Dashboard'!$B$7="All",1,COUNTIFS('Calculations'!$HO$13:$HO$512,"="&amp;SUBSTITUTE(SUBSTITUTE(SUBSTITUTE('Calculations'!HF158,"~","~~"),"*","~*"),"?","~?"),'Calculations'!$HN$13:$HN$512,"="&amp;SUBSTITUTE(SUBSTITUTE(SUBSTITUTE('Dashboard'!$B$7,"~","~~"),"*","~*"),"?","~?"))+COUNTIFS('Calculations'!$HP$13:$HP$512,"="&amp;SUBSTITUTE(SUBSTITUTE(SUBSTITUTE('Calculations'!HF158,"~","~~"),"*","~*"),"?","~?"),'Calculations'!$HN$13:$HN$512,"="&amp;SUBSTITUTE(SUBSTITUTE(SUBSTITUTE('Dashboard'!$B$7,"~","~~"),"*","~*"),"?","~?"))+COUNTIFS('Calculations'!$HQ$13:$HQ$512,"="&amp;SUBSTITUTE(SUBSTITUTE(SUBSTITUTE('Calculations'!HF158,"~","~~"),"*","~*"),"?","~?"),'Calculations'!$HN$13:$HN$512,"="&amp;SUBSTITUTE(SUBSTITUTE(SUBSTITUTE('Dashboard'!$B$7,"~","~~"),"*","~*"),"?","~?"))+COUNTIFS('Calculations'!$HR$13:$HR$512,"="&amp;SUBSTITUTE(SUBSTITUTE(SUBSTITUTE('Calculations'!HF158,"~","~~"),"*","~*"),"?","~?"),'Calculations'!$HN$13:$HN$512,"="&amp;SUBSTITUTE(SUBSTITUTE(SUBSTITUTE('Dashboard'!$B$7,"~","~~"),"*","~*"),"?","~?"))+COUNTIFS('Calculations'!$HS$13:$HS$512,"="&amp;SUBSTITUTE(SUBSTITUTE(SUBSTITUTE('Calculations'!HF158,"~","~~"),"*","~*"),"?","~?"),'Calculations'!$HN$13:$HN$512,"="&amp;SUBSTITUTE(SUBSTITUTE(SUBSTITUTE('Dashboard'!$B$7,"~","~~"),"*","~*"),"?","~?"))+COUNTIFS('Calculations'!$HT$13:$HT$512,"="&amp;SUBSTITUTE(SUBSTITUTE(SUBSTITUTE('Calculations'!HF158,"~","~~"),"*","~*"),"?","~?"),'Calculations'!$HN$13:$HN$512,"="&amp;SUBSTITUTE(SUBSTITUTE(SUBSTITUTE('Dashboard'!$B$7,"~","~~"),"*","~*"),"?","~?"))+COUNTIFS('Calculations'!$HU$13:$HU$512,"="&amp;SUBSTITUTE(SUBSTITUTE(SUBSTITUTE('Calculations'!HF158,"~","~~"),"*","~*"),"?","~?"),'Calculations'!$HN$13:$HN$512,"="&amp;SUBSTITUTE(SUBSTITUTE(SUBSTITUTE('Dashboard'!$B$7,"~","~~"),"*","~*"),"?","~?"))+COUNTIFS('Calculations'!$HV$13:$HV$512,"="&amp;SUBSTITUTE(SUBSTITUTE(SUBSTITUTE('Calculations'!HF158,"~","~~"),"*","~*"),"?","~?"),'Calculations'!$HN$13:$HN$512,"="&amp;SUBSTITUTE(SUBSTITUTE(SUBSTITUTE('Dashboard'!$B$7,"~","~~"),"*","~*"),"?","~?"))+COUNTIFS('Calculations'!$HW$13:$HW$512,"="&amp;SUBSTITUTE(SUBSTITUTE(SUBSTITUTE('Calculations'!HF158,"~","~~"),"*","~*"),"?","~?"),'Calculations'!$HN$13:$HN$512,"="&amp;SUBSTITUTE(SUBSTITUTE(SUBSTITUTE('Dashboard'!$B$7,"~","~~"),"*","~*"),"?","~?"))+COUNTIFS('Calculations'!$HX$13:$HX$512,"="&amp;SUBSTITUTE(SUBSTITUTE(SUBSTITUTE('Calculations'!HF158,"~","~~"),"*","~*"),"?","~?"),'Calculations'!$HN$13:$HN$512,"="&amp;SUBSTITUTE(SUBSTITUTE(SUBSTITUTE('Dashboard'!$B$7,"~","~~"),"*","~*"),"?","~?"))+COUNTIFS('Calculations'!$HY$13:$HY$512,"="&amp;SUBSTITUTE(SUBSTITUTE(SUBSTITUTE('Calculations'!HF158,"~","~~"),"*","~*"),"?","~?"),'Calculations'!$HN$13:$HN$512,"="&amp;SUBSTITUTE(SUBSTITUTE(SUBSTITUTE('Dashboard'!$B$7,"~","~~"),"*","~*"),"?","~?"))+COUNTIFS('Calculations'!$HZ$13:$HZ$512,"="&amp;SUBSTITUTE(SUBSTITUTE(SUBSTITUTE('Calculations'!HF158,"~","~~"),"*","~*"),"?","~?"),'Calculations'!$HN$13:$HN$512,"="&amp;SUBSTITUTE(SUBSTITUTE(SUBSTITUTE('Dashboard'!$B$7,"~","~~"),"*","~*"),"?","~?"))+COUNTIFS('Calculations'!$IA$13:$IA$512,"="&amp;SUBSTITUTE(SUBSTITUTE(SUBSTITUTE('Calculations'!HF158,"~","~~"),"*","~*"),"?","~?"),'Calculations'!$HN$13:$HN$512,"="&amp;SUBSTITUTE(SUBSTITUTE(SUBSTITUTE('Dashboard'!$B$7,"~","~~"),"*","~*"),"?","~?"))+COUNTIFS('Calculations'!$IB$13:$IB$512,"="&amp;SUBSTITUTE(SUBSTITUTE(SUBSTITUTE('Calculations'!HF158,"~","~~"),"*","~*"),"?","~?"),'Calculations'!$HN$13:$HN$512,"="&amp;SUBSTITUTE(SUBSTITUTE(SUBSTITUTE('Dashboard'!$B$7,"~","~~"),"*","~*"),"?","~?"))+COUNTIFS('Calculations'!$IC$13:$IC$512,"="&amp;SUBSTITUTE(SUBSTITUTE(SUBSTITUTE('Calculations'!HF158,"~","~~"),"*","~*"),"?","~?"),'Calculations'!$HN$13:$HN$512,"="&amp;SUBSTITUTE(SUBSTITUTE(SUBSTITUTE('Dashboard'!$B$7,"~","~~"),"*","~*"),"?","~?"))+COUNTIFS('Calculations'!$ID$13:$ID$512,"="&amp;SUBSTITUTE(SUBSTITUTE(SUBSTITUTE('Calculations'!HF158,"~","~~"),"*","~*"),"?","~?"),'Calculations'!$HN$13:$HN$512,"="&amp;SUBSTITUTE(SUBSTITUTE(SUBSTITUTE('Dashboard'!$B$7,"~","~~"),"*","~*"),"?","~?"))+COUNTIFS('Calculations'!$IE$13:$IE$512,"="&amp;SUBSTITUTE(SUBSTITUTE(SUBSTITUTE('Calculations'!HF158,"~","~~"),"*","~*"),"?","~?"),'Calculations'!$HN$13:$HN$512,"="&amp;SUBSTITUTE(SUBSTITUTE(SUBSTITUTE('Dashboard'!$B$7,"~","~~"),"*","~*"),"?","~?"))+COUNTIFS('Calculations'!$IF$13:$IF$512,"="&amp;SUBSTITUTE(SUBSTITUTE(SUBSTITUTE('Calculations'!HF158,"~","~~"),"*","~*"),"?","~?"),'Calculations'!$HN$13:$HN$512,"="&amp;SUBSTITUTE(SUBSTITUTE(SUBSTITUTE('Dashboard'!$B$7,"~","~~"),"*","~*"),"?","~?"))+COUNTIFS('Calculations'!$IG$13:$IG$512,"="&amp;SUBSTITUTE(SUBSTITUTE(SUBSTITUTE('Calculations'!HF158,"~","~~"),"*","~*"),"?","~?"),'Calculations'!$HN$13:$HN$512,"="&amp;SUBSTITUTE(SUBSTITUTE(SUBSTITUTE('Dashboard'!$B$7,"~","~~"),"*","~*"),"?","~?"))+COUNTIFS('Calculations'!$IH$13:$IH$512,"="&amp;SUBSTITUTE(SUBSTITUTE(SUBSTITUTE('Calculations'!HF158,"~","~~"),"*","~*"),"?","~?"),'Calculations'!$HN$13:$HN$512,"="&amp;SUBSTITUTE(SUBSTITUTE(SUBSTITUTE('Dashboard'!$B$7,"~","~~"),"*","~*"),"?","~?"))))</x:f>
        <x:v>0</x:v>
      </x:c>
      <x:c r="JD158" t="n">
        <x:f>IF('Calculations'!EM158="",0,IF('Dashboard'!$B$7="All",1,IF('Calculations'!HN158='Dashboard'!$B$7,1,0)+IFERROR(INDEX('Calculations'!$JC$13:$JC$512,MATCH('Calculations'!HE158,'Calculations'!$HF$13:$HF$512,0)),0)))</x:f>
        <x:v>0</x:v>
      </x:c>
      <x:c r="JE158" t="n">
        <x:f>IF(AND('Calculations'!EM158&lt;&gt;"",'Calculations'!$JJ$2&lt;&gt;"All",'Calculations'!$JJ$2&lt;&gt;"",'Calculations'!HF158='Calculations'!$JJ$2,'Calculations'!HL158=0,'Calculations'!JD158&gt;0),MAX('Calculations'!$JE$12:JE157)+1,0)</x:f>
        <x:v>0</x:v>
      </x:c>
      <x:c r="JF158" t="str">
        <x:f>IF('Calculations'!EM158="","",IFERROR(IF(INDEX(INDIRECT("'WCM Calibration Final'!$G$1:$G$2000"),'Calculations'!$EM158)="","",TRIM(INDEX(INDIRECT("'WCM Calibration Final'!$G$1:$G$2000"),'Calculations'!$EM158)&amp;"")),""))</x:f>
      </x:c>
      <x:c r="JQ158" t="n">
        <x:f>IF(OR('Calculations'!BM158=0,NOT('Calculations'!$AG$2),'Calculations'!$AG$8&gt;0),0,IF(OR('Dashboard'!$B$7="All",'Calculations'!HN158='Dashboard'!$B$7),IF('Calculations'!$JJ$2="All",1,IF(AND('Calculations'!HF158='Calculations'!$JJ$2,'Calculations'!HL158=0),1,0)),0))</x:f>
        <x:v>0</x:v>
      </x:c>
    </x:row>
    <x:row r="159">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t="n">
        <x:f>IF('Calculations'!$EM159="",0,IF(OR(IFERROR(INDEX(INDIRECT("'WCM Calibration Final'!$A$1:$A$2000"),'Calculations'!$EM159)&lt;&gt;"",FALSE),IFERROR(INDEX(INDIRECT("'WCM Calibration Final'!$B$1:$B$2000"),'Calculations'!$EM159)&lt;&gt;"",FALSE),IFERROR(INDEX(INDIRECT("'WCM Calibration Final'!$C$1:$C$2000"),'Calculations'!$EM159)&lt;&gt;"",FALSE)),1,0))</x:f>
        <x:v>0</x:v>
      </x:c>
      <x:c r="BN159" s="4" t="n">
        <x:f>IF(AND('Calculations'!BM159=1,'Calculations'!$AG$2,'Calculations'!$EN159=1),1,0)</x:f>
        <x:v>0</x:v>
      </x:c>
      <x:c r="BO159" s="4" t="str">
        <x:f>IF('Calculations'!BM159=0,"",IFERROR(IF(AND(VALUE(INDEX(INDIRECT("'WCM Calibration Final'!$K$1:$K$2000"),'Calculations'!$EM159))&gt;=1,VALUE(INDEX(INDIRECT("'WCM Calibration Final'!$K$1:$K$2000"),'Calculations'!$EM159))&lt;=4,MOD(VALUE(INDEX(INDIRECT("'WCM Calibration Final'!$K$1:$K$2000"),'Calculations'!$EM159)),1)=0),VALUE(INDEX(INDIRECT("'WCM Calibration Final'!$K$1:$K$2000"),'Calculations'!$EM159)),""),""))</x:f>
      </x:c>
      <x:c r="BP159" s="4" t="str">
        <x:f>IF('Calculations'!BM159=0,"",IFERROR(IF(AND(VALUE(INDEX(INDIRECT("'WCM Calibration Final'!$L$1:$L$2000"),'Calculations'!$EM159))&gt;=1,VALUE(INDEX(INDIRECT("'WCM Calibration Final'!$L$1:$L$2000"),'Calculations'!$EM159))&lt;=4,MOD(VALUE(INDEX(INDIRECT("'WCM Calibration Final'!$L$1:$L$2000"),'Calculations'!$EM159)),1)=0),VALUE(INDEX(INDIRECT("'WCM Calibration Final'!$L$1:$L$2000"),'Calculations'!$EM159)),""),""))</x:f>
      </x:c>
      <x:c r="BQ159" s="4"/>
      <x:c r="BR159" s="4"/>
      <x:c r="BS159" s="4"/>
      <x:c r="BT159" s="4" t="n">
        <x:f>IF(AND('Calculations'!BM159=1,ISNUMBER('Calculations'!BO159),ISNUMBER('Calculations'!BP159)),1,0)</x:f>
        <x:v>0</x:v>
      </x:c>
      <x:c r="BU159" s="4" t="str">
        <x:f>IF('Calculations'!BM159=0,"",'Calculations'!$EO159)</x:f>
      </x:c>
      <x:c r="BV159" s="4" t="str">
        <x:f>IF('Calculations'!BM159=0,"",IFERROR(IF(OR(INDEX(INDIRECT("'WCM Calibration Final'!$H$1:$H$2000"),'Calculations'!$EM159)="MANAGING DIRECTOR",INDEX(INDIRECT("'WCM Calibration Final'!$H$1:$H$2000"),'Calculations'!$EM159)="DIRECTOR",INDEX(INDIRECT("'WCM Calibration Final'!$H$1:$H$2000"),'Calculations'!$EM159)="SENIOR VICE PRESIDENT",INDEX(INDIRECT("'WCM Calibration Final'!$H$1:$H$2000"),'Calculations'!$EM159)="VICE PRESIDENT",INDEX(INDIRECT("'WCM Calibration Final'!$H$1:$H$2000"),'Calculations'!$EM159)="ASSISTANT VICE PRESIDENT",INDEX(INDIRECT("'WCM Calibration Final'!$H$1:$H$2000"),'Calculations'!$EM159)="OFFICER"),UPPER(INDEX(INDIRECT("'WCM Calibration Final'!$H$1:$H$2000"),'Calculations'!$EM159)),"Other"),"Other"))</x:f>
      </x:c>
      <x:c r="BW159" s="4"/>
      <x:c r="BX159" s="4"/>
      <x:c r="BY159" s="4" t="n">
        <x:f>IF(AND('Calculations'!BM159=1,'Calculations'!BU159&lt;&gt;"",COUNTIF('Calculations'!$BU$12:BU159,'Calculations'!BU159)=1),MAX('Calculations'!$BY$11:BY158)+1,0)</x:f>
        <x:v>0</x:v>
      </x:c>
      <x:c r="BZ159" s="4" t="str">
        <x:f>IF('Dashboard'!$E$67="What",'Calculations'!BO159,'Calculations'!BP159)</x:f>
      </x:c>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t="str">
        <x:f>IF(148&gt;MAX('Calculations'!$HI$13:$HI$512),"",INDEX('Calculations'!$HN$13:$HN$512,MATCH(148,'Calculations'!$HI$13:$HI$512,0)))</x:f>
      </x:c>
      <x:c r="DB159" s="4" t="str">
        <x:f>IF(148&gt;MAX('Calculations'!$HH$13:$HH$512),"",INDEX('Calculations'!$HJ$13:$HJ$512,MATCH(148,'Calculations'!$HH$13:$HH$512,0)))</x:f>
      </x:c>
      <x:c r="DC159" s="4" t="str">
        <x:f>IF(ROW()-11&gt;MAX('Calculations'!$BY$13:$BY$512),"",INDEX('Calculations'!$BU$13:$BU$512,MATCH(ROW()-11,'Calculations'!$BY$13:$BY$512,0)))</x:f>
      </x:c>
      <x:c r="DD159" s="4" t="str">
        <x:f>IF(148&gt;MAX('Calculations'!$IK$13:$IK$512),"",INDEX('Calculations'!$HK$13:$HK$512,MATCH(148,'Calculations'!$IK$13:$IK$512,0)))</x:f>
      </x:c>
      <x:c r="DE159" s="4" t="str">
        <x:f>'Calculations'!DC159</x:f>
      </x:c>
      <x:c r="DF159" s="4" t="str">
        <x:f>IF('Calculations'!DE159="","",COUNTIFS('Calculations'!$BN$13:$BN$512,1,'Calculations'!$BU$13:$BU$512,'Calculations'!DE159))</x:f>
      </x:c>
      <x:c r="DG159" s="4" t="str">
        <x:f>IF('Calculations'!DE159="","",COUNTIFS('Calculations'!$BN$13:$BN$512,1,'Calculations'!$BU$13:$BU$512,'Calculations'!DE159,'Calculations'!$BT$13:$BT$512,1))</x:f>
      </x:c>
      <x:c r="DH159" s="4" t="str">
        <x:f>IF('Calculations'!DE159="","",'Calculations'!DF159-'Calculations'!DG159)</x:f>
      </x:c>
      <x:c r="DI159" s="4" t="str">
        <x:f>IF(OR('Calculations'!DE159="",'Calculations'!DF159=0),"",'Calculations'!DG159/'Calculations'!DF159)</x:f>
      </x:c>
      <x:c r="DJ159" s="4" t="str">
        <x:f>IF('Calculations'!DE159="","",COUNTIFS('Calculations'!$BN$13:$BN$512,1,'Calculations'!$BU$13:$BU$512,'Calculations'!DE159,'Calculations'!$BT$13:$BT$512,1,'Calculations'!$EE$13:$EE$512,"High"))</x:f>
      </x:c>
      <x:c r="DK159" s="4" t="str">
        <x:f>IF('Calculations'!DE159="","",COUNTIFS('Calculations'!$BN$13:$BN$512,1,'Calculations'!$BU$13:$BU$512,'Calculations'!DE159,'Calculations'!$BT$13:$BT$512,1,'Calculations'!$EE$13:$EE$512,"Strong"))</x:f>
      </x:c>
      <x:c r="DL159" s="4" t="str">
        <x:f>IF('Calculations'!DE159="","",COUNTIFS('Calculations'!$BN$13:$BN$512,1,'Calculations'!$BU$13:$BU$512,'Calculations'!DE159,'Calculations'!$BT$13:$BT$512,1,'Calculations'!$EE$13:$EE$512,"Solid"))</x:f>
      </x:c>
      <x:c r="DM159" s="4" t="str">
        <x:f>IF('Calculations'!DE159="","",COUNTIFS('Calculations'!$BN$13:$BN$512,1,'Calculations'!$BU$13:$BU$512,'Calculations'!DE159,'Calculations'!$BT$13:$BT$512,1,'Calculations'!$EE$13:$EE$512,"Low"))</x:f>
      </x:c>
      <x:c r="DN159" s="4" t="str">
        <x:f>IF('Calculations'!DE159="","",COUNTIFS('Calculations'!$BN$13:$BN$512,1,'Calculations'!$BU$13:$BU$512,'Calculations'!DE159,'Calculations'!$EP$13:$EP$512,1))</x:f>
      </x:c>
      <x:c r="DO159" s="4" t="str">
        <x:f>IF(OR('Calculations'!DE159="",'Calculations'!DG159=0),"",('Calculations'!DJ159+'Calculations'!DK159)/'Calculations'!DG159)</x:f>
      </x:c>
      <x:c r="DP159" s="4" t="n">
        <x:f>IF(AND('Calculations'!DE159&lt;&gt;"",'Calculations'!DF159&gt;0),COUNTIF('Calculations'!$DF$12:DF159,"&gt;0"),0)</x:f>
        <x:v>0</x:v>
      </x:c>
      <x:c r="DQ159" s="4" t="str">
        <x:f>IF(148&gt;MAX('Calculations'!$HH$13:$HH$512),"",INDEX('Calculations'!$HF$13:$HF$512,MATCH(148,'Calculations'!$HH$13:$HH$512,0)))</x:f>
      </x:c>
      <x:c r="DR159" s="4" t="str">
        <x:f>IF(148&gt;MAX('Calculations'!$IK$13:$IK$512),"",INDEX('Calculations'!$HE$13:$HE$512,MATCH(148,'Calculations'!$IK$13:$IK$512,0)))</x:f>
      </x:c>
      <x:c r="DS159" s="4"/>
      <x:c r="DT159" s="4"/>
      <x:c r="DU159" s="4"/>
      <x:c r="DV159" s="4"/>
      <x:c r="DW159" s="4"/>
      <x:c r="DX159" s="4"/>
      <x:c r="DY159" s="4"/>
      <x:c r="DZ159" s="4"/>
      <x:c r="EA159" s="4"/>
      <x:c r="EB159" s="4"/>
      <x:c r="EC159" s="4"/>
      <x:c r="ED159" s="4"/>
      <x:c r="EE159" s="4" t="str">
        <x:f>IF('Calculations'!BT159=0,"Not Rated",IF(OR('Calculations'!BO159&gt;=4,'Calculations'!BP159&gt;=4),"Low",IF('Calculations'!BO159+'Calculations'!BP159&lt;=3,"High",IF('Calculations'!BO159+'Calculations'!BP159&lt;=4,"Strong","Solid"))))</x:f>
        <x:v>Not Rated</x:v>
      </x:c>
      <x:c r="EF159" s="4"/>
      <x:c r="EG159" s="4"/>
      <x:c r="EH159" s="4"/>
      <x:c r="EI159" s="4"/>
      <x:c r="EJ159" s="4"/>
      <x:c r="EK159" s="4"/>
      <x:c r="EL159" s="4"/>
      <x:c r="EM159" s="4" t="str">
        <x:f>IF(147&gt;'Calculations'!$JB$2000,"",INDEX('Calculations'!$JA$12:$JA$2000,MATCH(147,'Calculations'!$JB$12:$JB$2000,0)))</x:f>
      </x:c>
      <x:c r="EN159" s="4" t="n">
        <x:f>IF(OR('Calculations'!EM159="",'Calculations'!$AG$8&gt;0,AND('Calculations'!$EF$2&lt;&gt;"All",'Calculations'!HE159='Calculations'!$EF$2),AND('Calculations'!$EF$3&lt;&gt;"All",'Calculations'!HE159='Calculations'!$EF$3)),0,IF(OR('Dashboard'!$B$7="All",'Calculations'!HN159='Dashboard'!$B$7),IF('Calculations'!$EF$2="All",1,IF('Calculations'!HL159&gt;0,0,IF(COUNTIF('Calculations'!HO159:II159,"="&amp;SUBSTITUTE(SUBSTITUTE(SUBSTITUTE('Calculations'!$EF$2,"~","~~"),"*","~*"),"?","~?"))=0,0,IF('Calculations'!$EF$3="All",1,IF(COUNTIF('Calculations'!HO159:II159,"="&amp;SUBSTITUTE(SUBSTITUTE(SUBSTITUTE('Calculations'!$EF$3,"~","~~"),"*","~*"),"?","~?"))&gt;0,1,0))))),0))</x:f>
        <x:v>0</x:v>
      </x:c>
      <x:c r="EO159" s="4" t="str">
        <x:f>IF('Calculations'!IJ159="","",IF('Calculations'!IJ159="!UNRESOLVED","Unresolved hierarchy",IFERROR(INDEX('Calculations'!$HK$13:$HK$512,MATCH('Calculations'!IJ159,'Calculations'!$HE$13:$HE$512,0)),IFERROR(INDEX('Calculations'!$HJ$13:$HJ$512,MATCH('Calculations'!IJ159,'Calculations'!$HF$13:$HF$512,0)),'Calculations'!IJ159))))</x:f>
      </x:c>
      <x:c r="EP159" s="4" t="n">
        <x:f>IF(AND('Calculations'!EM159&lt;&gt;"",'Calculations'!HF159='Calculations'!IJ159),1,0)</x:f>
        <x:v>0</x:v>
      </x:c>
      <x:c r="EQ159" s="4"/>
      <x:c r="ER159" s="4"/>
      <x:c r="ES159" s="4"/>
      <x:c r="ET159" s="4"/>
      <x:c r="EU159" s="4"/>
      <x:c r="EV159" s="4"/>
      <x:c r="EW159" s="4"/>
      <x:c r="EX159" s="4"/>
      <x:c r="EY159" s="4"/>
      <x:c r="EZ159" s="4"/>
      <x:c r="FA159" s="4"/>
      <x:c r="FB159" s="4"/>
      <x:c r="FC159" s="4"/>
      <x:c r="FD159" s="4"/>
      <x:c r="FE159" s="4"/>
      <x:c r="FF159" s="4"/>
      <x:c r="FG159" s="4"/>
      <x:c r="FH159" s="4"/>
      <x:c r="FI159" s="4"/>
      <x:c r="FJ159" s="4"/>
      <x:c r="FK159" s="4"/>
      <x:c r="FL159" s="4"/>
      <x:c r="FM159" s="4"/>
      <x:c r="FN159" s="4"/>
      <x:c r="FO159" s="4"/>
      <x:c r="GA159" s="71"/>
      <x:c r="GB159" s="71"/>
      <x:c r="GC159" s="71"/>
      <x:c r="GD159" s="71"/>
      <x:c r="GE159" s="71"/>
      <x:c r="GF159" s="71"/>
      <x:c r="GG159" s="71"/>
      <x:c r="GH159" s="71"/>
      <x:c r="GI159" s="71"/>
      <x:c r="GJ159" s="71"/>
      <x:c r="GK159" s="71"/>
      <x:c r="GL159" s="71" t="n">
        <x:f>COUNTIFS('Calculations'!$JQ$13:$JQ$512,1,'Calculations'!$BO$13:$BO$512,1)</x:f>
        <x:v>0</x:v>
      </x:c>
      <x:c r="GM159" s="71"/>
      <x:c r="GN159" s="71"/>
      <x:c r="GO159" s="71" t="str">
        <x:f>IF(SUM('Calculations'!$GL$159:$GL$162)=0,"",'Calculations'!GL159/SUM('Calculations'!$GL$159:$GL$162))</x:f>
      </x:c>
      <x:c r="GP159" s="71"/>
      <x:c r="GQ159" s="71"/>
      <x:c r="GR159" s="71" t="n">
        <x:f>IF(COUNT('Dashboard'!N143)=0,"",IF(AND('Dashboard'!N143&gt;=0,'Dashboard'!N143&lt;=1),'Dashboard'!N143,""))</x:f>
        <x:v>0.1</x:v>
      </x:c>
      <x:c r="GS159" s="71"/>
      <x:c r="GT159" s="71"/>
      <x:c r="GU159" s="71" t="str">
        <x:f>IF(COUNT('Calculations'!GO159,'Calculations'!GR159)&lt;2,"",100*('Calculations'!GO159-'Calculations'!GR159))</x:f>
      </x:c>
      <x:c r="GV159" s="71"/>
      <x:c r="GW159" s="71"/>
      <x:c r="GX159" s="71" t="str">
        <x:f>IF(NOT('Calculations'!$AG$2),"Source unavailable",IF('Calculations'!$AG$8&gt;0,"Check filters",IF(COUNT('Calculations'!GO159)=0,"No ratings",IF(COUNT('Calculations'!GR159)=0,"No threshold",IF('Calculations'!GO159&gt;'Calculations'!GR159,"Above threshold","Within threshold")))))</x:f>
        <x:v>Source unavailable</x:v>
      </x:c>
      <x:c r="GY159" s="71"/>
      <x:c r="GZ159" s="71"/>
      <x:c r="HA159" s="71"/>
      <x:c r="HB159" s="71"/>
      <x:c r="HC159" s="71"/>
      <x:c r="HD159" s="71"/>
      <x:c r="HE159" t="str">
        <x:f>IF('Calculations'!EM159="","",IF(IFERROR(IF(INDEX(INDIRECT("'WCM Calibration Final'!$A$1:$A$2000"),'Calculations'!$EM159)="","",TRIM(INDEX(INDIRECT("'WCM Calibration Final'!$A$1:$A$2000"),'Calculations'!$EM159)&amp;"")),"")&lt;&gt;"","G:"&amp;IFERROR(TEXT(1*INDEX(INDIRECT("'WCM Calibration Final'!$A$1:$A$2000"),'Calculations'!$EM159),"0"),UPPER(IFERROR(IF(INDEX(INDIRECT("'WCM Calibration Final'!$A$1:$A$2000"),'Calculations'!$EM159)="","",TRIM(INDEX(INDIRECT("'WCM Calibration Final'!$A$1:$A$2000"),'Calculations'!$EM159)&amp;"")),""))),IF(IFERROR(IF(INDEX(INDIRECT("'WCM Calibration Final'!$C$1:$C$2000"),'Calculations'!$EM159)="","",TRIM(INDEX(INDIRECT("'WCM Calibration Final'!$C$1:$C$2000"),'Calculations'!$EM159)&amp;"")),"")&lt;&gt;"","S:"&amp;UPPER(IFERROR(IF(INDEX(INDIRECT("'WCM Calibration Final'!$C$1:$C$2000"),'Calculations'!$EM159)="","",TRIM(INDEX(INDIRECT("'WCM Calibration Final'!$C$1:$C$2000"),'Calculations'!$EM159)&amp;"")),"")),"R:"&amp;'Calculations'!EM159)))</x:f>
      </x:c>
      <x:c r="HF159" t="str">
        <x:f>IF('Calculations'!EM159="","",IF(IFERROR(IF(INDEX(INDIRECT("'WCM Calibration Final'!$D$1:$D$2000"),'Calculations'!$EM159)="","",TRIM(INDEX(INDIRECT("'WCM Calibration Final'!$D$1:$D$2000"),'Calculations'!$EM159)&amp;"")),"")&lt;&gt;"","G:"&amp;IFERROR(TEXT(1*INDEX(INDIRECT("'WCM Calibration Final'!$D$1:$D$2000"),'Calculations'!$EM159),"0"),UPPER(IFERROR(IF(INDEX(INDIRECT("'WCM Calibration Final'!$D$1:$D$2000"),'Calculations'!$EM159)="","",TRIM(INDEX(INDIRECT("'WCM Calibration Final'!$D$1:$D$2000"),'Calculations'!$EM159)&amp;"")),""))),IF(IFERROR(IF(INDEX(INDIRECT("'WCM Calibration Final'!$E$1:$E$2000"),'Calculations'!$EM159)="","",TRIM(INDEX(INDIRECT("'WCM Calibration Final'!$E$1:$E$2000"),'Calculations'!$EM159)&amp;"")),"")="","",IF(COUNTIF('Calculations'!$HG$13:$HG$512,"="&amp;SUBSTITUTE(SUBSTITUTE(SUBSTITUTE(IFERROR(IF(INDEX(INDIRECT("'WCM Calibration Final'!$E$1:$E$2000"),'Calculations'!$EM159)="","",TRIM(INDEX(INDIRECT("'WCM Calibration Final'!$E$1:$E$2000"),'Calculations'!$EM159)&amp;"")),""),"~","~~"),"*","~*"),"?","~?"))=1,INDEX('Calculations'!$HE$13:$HE$512,MATCH(IFERROR(IF(INDEX(INDIRECT("'WCM Calibration Final'!$E$1:$E$2000"),'Calculations'!$EM159)="","",TRIM(INDEX(INDIRECT("'WCM Calibration Final'!$E$1:$E$2000"),'Calculations'!$EM159)&amp;"")),""),'Calculations'!$HG$13:$HG$512,0)),IF(COUNTIF('Calculations'!$HG$13:$HG$512,"="&amp;SUBSTITUTE(SUBSTITUTE(SUBSTITUTE(IFERROR(IF(INDEX(INDIRECT("'WCM Calibration Final'!$E$1:$E$2000"),'Calculations'!$EM159)="","",TRIM(INDEX(INDIRECT("'WCM Calibration Final'!$E$1:$E$2000"),'Calculations'!$EM159)&amp;"")),""),"~","~~"),"*","~*"),"?","~?"))&gt;1,"!AMBIG","X:"&amp;IFERROR(IF(INDEX(INDIRECT("'WCM Calibration Final'!$E$1:$E$2000"),'Calculations'!$EM159)="","",TRIM(INDEX(INDIRECT("'WCM Calibration Final'!$E$1:$E$2000"),'Calculations'!$EM159)&amp;"")),""))))))</x:f>
      </x:c>
      <x:c r="HG159" t="str">
        <x:f>IF('Calculations'!EM159="","",IFERROR(IF(INDEX(INDIRECT("'WCM Calibration Final'!$B$1:$B$2000"),'Calculations'!$EM159)="","",TRIM(INDEX(INDIRECT("'WCM Calibration Final'!$B$1:$B$2000"),'Calculations'!$EM159)&amp;"")),""))</x:f>
      </x:c>
      <x:c r="HH159" t="n">
        <x:f>IF(AND('Calculations'!JC159&gt;0,COUNTIF('Calculations'!$HF$12:HF159,"="&amp;SUBSTITUTE(SUBSTITUTE(SUBSTITUTE('Calculations'!HF159,"~","~~"),"*","~*"),"?","~?"))=1),MAX('Calculations'!$HH$12:HH158)+1,0)</x:f>
        <x:v>0</x:v>
      </x:c>
      <x:c r="HI159" t="n">
        <x:f>IF(AND('Calculations'!HN159&lt;&gt;"",COUNTIF('Calculations'!$HN$12:HN159,"="&amp;SUBSTITUTE(SUBSTITUTE(SUBSTITUTE('Calculations'!HN159,"~","~~"),"*","~*"),"?","~?"))=1),MAX('Calculations'!$HI$12:HI158)+1,0)</x:f>
        <x:v>0</x:v>
      </x:c>
      <x:c r="HJ159" t="str">
        <x:f>IF('Calculations'!HF159="","",IF(COUNTIF('Calculations'!$HE$13:$HE$512,"="&amp;SUBSTITUTE(SUBSTITUTE(SUBSTITUTE('Calculations'!HF159,"~","~~"),"*","~*"),"?","~?"))=1,INDEX('Calculations'!$HK$13:$HK$512,MATCH('Calculations'!HF159,'Calculations'!$HE$13:$HE$512,0)),IFERROR(IF(INDEX(INDIRECT("'WCM Calibration Final'!$E$1:$E$2000"),'Calculations'!$EM159)="","",TRIM(INDEX(INDIRECT("'WCM Calibration Final'!$E$1:$E$2000"),'Calculations'!$EM159)&amp;"")),"")&amp;" ["&amp;'Calculations'!HF159&amp;"]"))</x:f>
      </x:c>
      <x:c r="HK159" t="str">
        <x:f>IF('Calculations'!EM159="","",'Calculations'!HG159&amp;" ["&amp;'Calculations'!HE159&amp;"]")</x:f>
      </x:c>
      <x:c r="HL159" t="n">
        <x:f>IF('Calculations'!EM159="",0,IF(OR('Calculations'!II159&lt;&gt;"",COUNTIF('Calculations'!$HE$13:$HE$512,"="&amp;SUBSTITUTE(SUBSTITUTE(SUBSTITUTE('Calculations'!HE159,"~","~~"),"*","~*"),"?","~?"))&gt;1),1,0))</x:f>
        <x:v>0</x:v>
      </x:c>
      <x:c r="HM159" t="str">
        <x:f>IF('Calculations'!EM159="","",IF('Calculations'!HL159=1,"!UNRESOLVED",IF('Calculations'!IH159&lt;&gt;"",'Calculations'!IH159,IF('Calculations'!IG159&lt;&gt;"",'Calculations'!IG159,IF('Calculations'!IF159&lt;&gt;"",'Calculations'!IF159,IF('Calculations'!IE159&lt;&gt;"",'Calculations'!IE159,IF('Calculations'!ID159&lt;&gt;"",'Calculations'!ID159,IF('Calculations'!IC159&lt;&gt;"",'Calculations'!IC159,IF('Calculations'!IB159&lt;&gt;"",'Calculations'!IB159,IF('Calculations'!IA159&lt;&gt;"",'Calculations'!IA159,IF('Calculations'!HZ159&lt;&gt;"",'Calculations'!HZ159,IF('Calculations'!HY159&lt;&gt;"",'Calculations'!HY159,IF('Calculations'!HX159&lt;&gt;"",'Calculations'!HX159,IF('Calculations'!HW159&lt;&gt;"",'Calculations'!HW159,IF('Calculations'!HV159&lt;&gt;"",'Calculations'!HV159,IF('Calculations'!HU159&lt;&gt;"",'Calculations'!HU159,IF('Calculations'!HT159&lt;&gt;"",'Calculations'!HT159,IF('Calculations'!HS159&lt;&gt;"",'Calculations'!HS159,IF('Calculations'!HR159&lt;&gt;"",'Calculations'!HR159,IF('Calculations'!HQ159&lt;&gt;"",'Calculations'!HQ159,IF('Calculations'!HP159&lt;&gt;"",'Calculations'!HP159,IF('Calculations'!HO159&lt;&gt;"",'Calculations'!HO159,'Calculations'!HE159))))))))))))))))))))))</x:f>
      </x:c>
      <x:c r="HN159" t="str">
        <x:f>IF('Calculations'!EM159="","",IF(IFERROR(IF(INDEX(INDIRECT("'WCM Calibration Final'!$F$1:$F$2000"),'Calculations'!$EM159)="","",TRIM(INDEX(INDIRECT("'WCM Calibration Final'!$F$1:$F$2000"),'Calculations'!$EM159)&amp;"")),"")="","(Blank)",IFERROR(IF(INDEX(INDIRECT("'WCM Calibration Final'!$F$1:$F$2000"),'Calculations'!$EM159)="","",TRIM(INDEX(INDIRECT("'WCM Calibration Final'!$F$1:$F$2000"),'Calculations'!$EM159)&amp;"")),"")))</x:f>
      </x:c>
      <x:c r="HO159" t="str">
        <x:f>'Calculations'!HF159</x:f>
      </x:c>
      <x:c r="HP159" t="str">
        <x:f>IF('Calculations'!HO159="","",IF('Calculations'!HO159="!AMBIG","!AMBIG",IF(COUNTIF('Calculations'!$HE$13:$HE$512,"="&amp;SUBSTITUTE(SUBSTITUTE(SUBSTITUTE('Calculations'!HO159,"~","~~"),"*","~*"),"?","~?"))&gt;1,"!AMBIG",IFERROR(INDEX('Calculations'!$HF$13:$HF$512,MATCH('Calculations'!HO159,'Calculations'!$HE$13:$HE$512,0)),""))))</x:f>
      </x:c>
      <x:c r="HQ159" t="str">
        <x:f>IF('Calculations'!HP159="","",IF('Calculations'!HP159="!AMBIG","!AMBIG",IF(COUNTIF('Calculations'!$HE$13:$HE$512,"="&amp;SUBSTITUTE(SUBSTITUTE(SUBSTITUTE('Calculations'!HP159,"~","~~"),"*","~*"),"?","~?"))&gt;1,"!AMBIG",IFERROR(INDEX('Calculations'!$HF$13:$HF$512,MATCH('Calculations'!HP159,'Calculations'!$HE$13:$HE$512,0)),""))))</x:f>
      </x:c>
      <x:c r="HR159" t="str">
        <x:f>IF('Calculations'!HQ159="","",IF('Calculations'!HQ159="!AMBIG","!AMBIG",IF(COUNTIF('Calculations'!$HE$13:$HE$512,"="&amp;SUBSTITUTE(SUBSTITUTE(SUBSTITUTE('Calculations'!HQ159,"~","~~"),"*","~*"),"?","~?"))&gt;1,"!AMBIG",IFERROR(INDEX('Calculations'!$HF$13:$HF$512,MATCH('Calculations'!HQ159,'Calculations'!$HE$13:$HE$512,0)),""))))</x:f>
      </x:c>
      <x:c r="HS159" t="str">
        <x:f>IF('Calculations'!HR159="","",IF('Calculations'!HR159="!AMBIG","!AMBIG",IF(COUNTIF('Calculations'!$HE$13:$HE$512,"="&amp;SUBSTITUTE(SUBSTITUTE(SUBSTITUTE('Calculations'!HR159,"~","~~"),"*","~*"),"?","~?"))&gt;1,"!AMBIG",IFERROR(INDEX('Calculations'!$HF$13:$HF$512,MATCH('Calculations'!HR159,'Calculations'!$HE$13:$HE$512,0)),""))))</x:f>
      </x:c>
      <x:c r="HT159" t="str">
        <x:f>IF('Calculations'!HS159="","",IF('Calculations'!HS159="!AMBIG","!AMBIG",IF(COUNTIF('Calculations'!$HE$13:$HE$512,"="&amp;SUBSTITUTE(SUBSTITUTE(SUBSTITUTE('Calculations'!HS159,"~","~~"),"*","~*"),"?","~?"))&gt;1,"!AMBIG",IFERROR(INDEX('Calculations'!$HF$13:$HF$512,MATCH('Calculations'!HS159,'Calculations'!$HE$13:$HE$512,0)),""))))</x:f>
      </x:c>
      <x:c r="HU159" t="str">
        <x:f>IF('Calculations'!HT159="","",IF('Calculations'!HT159="!AMBIG","!AMBIG",IF(COUNTIF('Calculations'!$HE$13:$HE$512,"="&amp;SUBSTITUTE(SUBSTITUTE(SUBSTITUTE('Calculations'!HT159,"~","~~"),"*","~*"),"?","~?"))&gt;1,"!AMBIG",IFERROR(INDEX('Calculations'!$HF$13:$HF$512,MATCH('Calculations'!HT159,'Calculations'!$HE$13:$HE$512,0)),""))))</x:f>
      </x:c>
      <x:c r="HV159" t="str">
        <x:f>IF('Calculations'!HU159="","",IF('Calculations'!HU159="!AMBIG","!AMBIG",IF(COUNTIF('Calculations'!$HE$13:$HE$512,"="&amp;SUBSTITUTE(SUBSTITUTE(SUBSTITUTE('Calculations'!HU159,"~","~~"),"*","~*"),"?","~?"))&gt;1,"!AMBIG",IFERROR(INDEX('Calculations'!$HF$13:$HF$512,MATCH('Calculations'!HU159,'Calculations'!$HE$13:$HE$512,0)),""))))</x:f>
      </x:c>
      <x:c r="HW159" t="str">
        <x:f>IF('Calculations'!HV159="","",IF('Calculations'!HV159="!AMBIG","!AMBIG",IF(COUNTIF('Calculations'!$HE$13:$HE$512,"="&amp;SUBSTITUTE(SUBSTITUTE(SUBSTITUTE('Calculations'!HV159,"~","~~"),"*","~*"),"?","~?"))&gt;1,"!AMBIG",IFERROR(INDEX('Calculations'!$HF$13:$HF$512,MATCH('Calculations'!HV159,'Calculations'!$HE$13:$HE$512,0)),""))))</x:f>
      </x:c>
      <x:c r="HX159" t="str">
        <x:f>IF('Calculations'!HW159="","",IF('Calculations'!HW159="!AMBIG","!AMBIG",IF(COUNTIF('Calculations'!$HE$13:$HE$512,"="&amp;SUBSTITUTE(SUBSTITUTE(SUBSTITUTE('Calculations'!HW159,"~","~~"),"*","~*"),"?","~?"))&gt;1,"!AMBIG",IFERROR(INDEX('Calculations'!$HF$13:$HF$512,MATCH('Calculations'!HW159,'Calculations'!$HE$13:$HE$512,0)),""))))</x:f>
      </x:c>
      <x:c r="HY159" t="str">
        <x:f>IF('Calculations'!HX159="","",IF('Calculations'!HX159="!AMBIG","!AMBIG",IF(COUNTIF('Calculations'!$HE$13:$HE$512,"="&amp;SUBSTITUTE(SUBSTITUTE(SUBSTITUTE('Calculations'!HX159,"~","~~"),"*","~*"),"?","~?"))&gt;1,"!AMBIG",IFERROR(INDEX('Calculations'!$HF$13:$HF$512,MATCH('Calculations'!HX159,'Calculations'!$HE$13:$HE$512,0)),""))))</x:f>
      </x:c>
      <x:c r="HZ159" t="str">
        <x:f>IF('Calculations'!HY159="","",IF('Calculations'!HY159="!AMBIG","!AMBIG",IF(COUNTIF('Calculations'!$HE$13:$HE$512,"="&amp;SUBSTITUTE(SUBSTITUTE(SUBSTITUTE('Calculations'!HY159,"~","~~"),"*","~*"),"?","~?"))&gt;1,"!AMBIG",IFERROR(INDEX('Calculations'!$HF$13:$HF$512,MATCH('Calculations'!HY159,'Calculations'!$HE$13:$HE$512,0)),""))))</x:f>
      </x:c>
      <x:c r="IA159" t="str">
        <x:f>IF('Calculations'!HZ159="","",IF('Calculations'!HZ159="!AMBIG","!AMBIG",IF(COUNTIF('Calculations'!$HE$13:$HE$512,"="&amp;SUBSTITUTE(SUBSTITUTE(SUBSTITUTE('Calculations'!HZ159,"~","~~"),"*","~*"),"?","~?"))&gt;1,"!AMBIG",IFERROR(INDEX('Calculations'!$HF$13:$HF$512,MATCH('Calculations'!HZ159,'Calculations'!$HE$13:$HE$512,0)),""))))</x:f>
      </x:c>
      <x:c r="IB159" t="str">
        <x:f>IF('Calculations'!IA159="","",IF('Calculations'!IA159="!AMBIG","!AMBIG",IF(COUNTIF('Calculations'!$HE$13:$HE$512,"="&amp;SUBSTITUTE(SUBSTITUTE(SUBSTITUTE('Calculations'!IA159,"~","~~"),"*","~*"),"?","~?"))&gt;1,"!AMBIG",IFERROR(INDEX('Calculations'!$HF$13:$HF$512,MATCH('Calculations'!IA159,'Calculations'!$HE$13:$HE$512,0)),""))))</x:f>
      </x:c>
      <x:c r="IC159" t="str">
        <x:f>IF('Calculations'!IB159="","",IF('Calculations'!IB159="!AMBIG","!AMBIG",IF(COUNTIF('Calculations'!$HE$13:$HE$512,"="&amp;SUBSTITUTE(SUBSTITUTE(SUBSTITUTE('Calculations'!IB159,"~","~~"),"*","~*"),"?","~?"))&gt;1,"!AMBIG",IFERROR(INDEX('Calculations'!$HF$13:$HF$512,MATCH('Calculations'!IB159,'Calculations'!$HE$13:$HE$512,0)),""))))</x:f>
      </x:c>
      <x:c r="ID159" t="str">
        <x:f>IF('Calculations'!IC159="","",IF('Calculations'!IC159="!AMBIG","!AMBIG",IF(COUNTIF('Calculations'!$HE$13:$HE$512,"="&amp;SUBSTITUTE(SUBSTITUTE(SUBSTITUTE('Calculations'!IC159,"~","~~"),"*","~*"),"?","~?"))&gt;1,"!AMBIG",IFERROR(INDEX('Calculations'!$HF$13:$HF$512,MATCH('Calculations'!IC159,'Calculations'!$HE$13:$HE$512,0)),""))))</x:f>
      </x:c>
      <x:c r="IE159" t="str">
        <x:f>IF('Calculations'!ID159="","",IF('Calculations'!ID159="!AMBIG","!AMBIG",IF(COUNTIF('Calculations'!$HE$13:$HE$512,"="&amp;SUBSTITUTE(SUBSTITUTE(SUBSTITUTE('Calculations'!ID159,"~","~~"),"*","~*"),"?","~?"))&gt;1,"!AMBIG",IFERROR(INDEX('Calculations'!$HF$13:$HF$512,MATCH('Calculations'!ID159,'Calculations'!$HE$13:$HE$512,0)),""))))</x:f>
      </x:c>
      <x:c r="IF159" t="str">
        <x:f>IF('Calculations'!IE159="","",IF('Calculations'!IE159="!AMBIG","!AMBIG",IF(COUNTIF('Calculations'!$HE$13:$HE$512,"="&amp;SUBSTITUTE(SUBSTITUTE(SUBSTITUTE('Calculations'!IE159,"~","~~"),"*","~*"),"?","~?"))&gt;1,"!AMBIG",IFERROR(INDEX('Calculations'!$HF$13:$HF$512,MATCH('Calculations'!IE159,'Calculations'!$HE$13:$HE$512,0)),""))))</x:f>
      </x:c>
      <x:c r="IG159" t="str">
        <x:f>IF('Calculations'!IF159="","",IF('Calculations'!IF159="!AMBIG","!AMBIG",IF(COUNTIF('Calculations'!$HE$13:$HE$512,"="&amp;SUBSTITUTE(SUBSTITUTE(SUBSTITUTE('Calculations'!IF159,"~","~~"),"*","~*"),"?","~?"))&gt;1,"!AMBIG",IFERROR(INDEX('Calculations'!$HF$13:$HF$512,MATCH('Calculations'!IF159,'Calculations'!$HE$13:$HE$512,0)),""))))</x:f>
      </x:c>
      <x:c r="IH159" t="str">
        <x:f>IF('Calculations'!IG159="","",IF('Calculations'!IG159="!AMBIG","!AMBIG",IF(COUNTIF('Calculations'!$HE$13:$HE$512,"="&amp;SUBSTITUTE(SUBSTITUTE(SUBSTITUTE('Calculations'!IG159,"~","~~"),"*","~*"),"?","~?"))&gt;1,"!AMBIG",IFERROR(INDEX('Calculations'!$HF$13:$HF$512,MATCH('Calculations'!IG159,'Calculations'!$HE$13:$HE$512,0)),""))))</x:f>
      </x:c>
      <x:c r="II159" t="str">
        <x:f>IF('Calculations'!IH159="","",IF('Calculations'!IH159="!AMBIG","!AMBIG",IF(COUNTIF('Calculations'!$HE$13:$HE$512,"="&amp;SUBSTITUTE(SUBSTITUTE(SUBSTITUTE('Calculations'!IH159,"~","~~"),"*","~*"),"?","~?"))&gt;1,"!AMBIG",IFERROR(INDEX('Calculations'!$HF$13:$HF$512,MATCH('Calculations'!IH159,'Calculations'!$HE$13:$HE$512,0)),""))))</x:f>
      </x:c>
      <x:c r="IJ159" t="str">
        <x:f>IF('Calculations'!EM159="","",IF('Calculations'!$EF$2="All",'Calculations'!HM159,IF('Calculations'!HL159=1,"",IFERROR(IF(MATCH('Calculations'!$EF$2,'Calculations'!HO159:II159,0)=1,'Calculations'!HE159,INDEX('Calculations'!HO159:II159,1,MATCH('Calculations'!$EF$2,'Calculations'!HO159:II159,0)-1)),""))))</x:f>
      </x:c>
      <x:c r="IK159" t="n">
        <x:f>IF(AND('Calculations'!EM159&lt;&gt;"",'Calculations'!$EF$2&lt;&gt;"All",'Calculations'!HF159='Calculations'!$EF$2,'Calculations'!HL159=0,'Calculations'!JD159&gt;0),MAX('Calculations'!$IK$12:IK158)+1,0)</x:f>
        <x:v>0</x:v>
      </x:c>
      <x:c r="JA159" t="n">
        <x:f>IF(OR(IFERROR(INDIRECT("'WCM Calibration Final'!$A$159")&lt;&gt;"",FALSE),IFERROR(INDIRECT("'WCM Calibration Final'!$B$159")&lt;&gt;"",FALSE),IFERROR(INDIRECT("'WCM Calibration Final'!$C$159")&lt;&gt;"",FALSE)),159,0)</x:f>
        <x:v>0</x:v>
      </x:c>
      <x:c r="JB159" t="n">
        <x:f>'Calculations'!JB158+IF('Calculations'!JA159&gt;0,1,0)</x:f>
        <x:v>0</x:v>
      </x:c>
      <x:c r="JC159" t="n">
        <x:f>IF(OR('Calculations'!HF159="",'Calculations'!HF159="!AMBIG"),0,IF('Dashboard'!$B$7="All",1,COUNTIFS('Calculations'!$HO$13:$HO$512,"="&amp;SUBSTITUTE(SUBSTITUTE(SUBSTITUTE('Calculations'!HF159,"~","~~"),"*","~*"),"?","~?"),'Calculations'!$HN$13:$HN$512,"="&amp;SUBSTITUTE(SUBSTITUTE(SUBSTITUTE('Dashboard'!$B$7,"~","~~"),"*","~*"),"?","~?"))+COUNTIFS('Calculations'!$HP$13:$HP$512,"="&amp;SUBSTITUTE(SUBSTITUTE(SUBSTITUTE('Calculations'!HF159,"~","~~"),"*","~*"),"?","~?"),'Calculations'!$HN$13:$HN$512,"="&amp;SUBSTITUTE(SUBSTITUTE(SUBSTITUTE('Dashboard'!$B$7,"~","~~"),"*","~*"),"?","~?"))+COUNTIFS('Calculations'!$HQ$13:$HQ$512,"="&amp;SUBSTITUTE(SUBSTITUTE(SUBSTITUTE('Calculations'!HF159,"~","~~"),"*","~*"),"?","~?"),'Calculations'!$HN$13:$HN$512,"="&amp;SUBSTITUTE(SUBSTITUTE(SUBSTITUTE('Dashboard'!$B$7,"~","~~"),"*","~*"),"?","~?"))+COUNTIFS('Calculations'!$HR$13:$HR$512,"="&amp;SUBSTITUTE(SUBSTITUTE(SUBSTITUTE('Calculations'!HF159,"~","~~"),"*","~*"),"?","~?"),'Calculations'!$HN$13:$HN$512,"="&amp;SUBSTITUTE(SUBSTITUTE(SUBSTITUTE('Dashboard'!$B$7,"~","~~"),"*","~*"),"?","~?"))+COUNTIFS('Calculations'!$HS$13:$HS$512,"="&amp;SUBSTITUTE(SUBSTITUTE(SUBSTITUTE('Calculations'!HF159,"~","~~"),"*","~*"),"?","~?"),'Calculations'!$HN$13:$HN$512,"="&amp;SUBSTITUTE(SUBSTITUTE(SUBSTITUTE('Dashboard'!$B$7,"~","~~"),"*","~*"),"?","~?"))+COUNTIFS('Calculations'!$HT$13:$HT$512,"="&amp;SUBSTITUTE(SUBSTITUTE(SUBSTITUTE('Calculations'!HF159,"~","~~"),"*","~*"),"?","~?"),'Calculations'!$HN$13:$HN$512,"="&amp;SUBSTITUTE(SUBSTITUTE(SUBSTITUTE('Dashboard'!$B$7,"~","~~"),"*","~*"),"?","~?"))+COUNTIFS('Calculations'!$HU$13:$HU$512,"="&amp;SUBSTITUTE(SUBSTITUTE(SUBSTITUTE('Calculations'!HF159,"~","~~"),"*","~*"),"?","~?"),'Calculations'!$HN$13:$HN$512,"="&amp;SUBSTITUTE(SUBSTITUTE(SUBSTITUTE('Dashboard'!$B$7,"~","~~"),"*","~*"),"?","~?"))+COUNTIFS('Calculations'!$HV$13:$HV$512,"="&amp;SUBSTITUTE(SUBSTITUTE(SUBSTITUTE('Calculations'!HF159,"~","~~"),"*","~*"),"?","~?"),'Calculations'!$HN$13:$HN$512,"="&amp;SUBSTITUTE(SUBSTITUTE(SUBSTITUTE('Dashboard'!$B$7,"~","~~"),"*","~*"),"?","~?"))+COUNTIFS('Calculations'!$HW$13:$HW$512,"="&amp;SUBSTITUTE(SUBSTITUTE(SUBSTITUTE('Calculations'!HF159,"~","~~"),"*","~*"),"?","~?"),'Calculations'!$HN$13:$HN$512,"="&amp;SUBSTITUTE(SUBSTITUTE(SUBSTITUTE('Dashboard'!$B$7,"~","~~"),"*","~*"),"?","~?"))+COUNTIFS('Calculations'!$HX$13:$HX$512,"="&amp;SUBSTITUTE(SUBSTITUTE(SUBSTITUTE('Calculations'!HF159,"~","~~"),"*","~*"),"?","~?"),'Calculations'!$HN$13:$HN$512,"="&amp;SUBSTITUTE(SUBSTITUTE(SUBSTITUTE('Dashboard'!$B$7,"~","~~"),"*","~*"),"?","~?"))+COUNTIFS('Calculations'!$HY$13:$HY$512,"="&amp;SUBSTITUTE(SUBSTITUTE(SUBSTITUTE('Calculations'!HF159,"~","~~"),"*","~*"),"?","~?"),'Calculations'!$HN$13:$HN$512,"="&amp;SUBSTITUTE(SUBSTITUTE(SUBSTITUTE('Dashboard'!$B$7,"~","~~"),"*","~*"),"?","~?"))+COUNTIFS('Calculations'!$HZ$13:$HZ$512,"="&amp;SUBSTITUTE(SUBSTITUTE(SUBSTITUTE('Calculations'!HF159,"~","~~"),"*","~*"),"?","~?"),'Calculations'!$HN$13:$HN$512,"="&amp;SUBSTITUTE(SUBSTITUTE(SUBSTITUTE('Dashboard'!$B$7,"~","~~"),"*","~*"),"?","~?"))+COUNTIFS('Calculations'!$IA$13:$IA$512,"="&amp;SUBSTITUTE(SUBSTITUTE(SUBSTITUTE('Calculations'!HF159,"~","~~"),"*","~*"),"?","~?"),'Calculations'!$HN$13:$HN$512,"="&amp;SUBSTITUTE(SUBSTITUTE(SUBSTITUTE('Dashboard'!$B$7,"~","~~"),"*","~*"),"?","~?"))+COUNTIFS('Calculations'!$IB$13:$IB$512,"="&amp;SUBSTITUTE(SUBSTITUTE(SUBSTITUTE('Calculations'!HF159,"~","~~"),"*","~*"),"?","~?"),'Calculations'!$HN$13:$HN$512,"="&amp;SUBSTITUTE(SUBSTITUTE(SUBSTITUTE('Dashboard'!$B$7,"~","~~"),"*","~*"),"?","~?"))+COUNTIFS('Calculations'!$IC$13:$IC$512,"="&amp;SUBSTITUTE(SUBSTITUTE(SUBSTITUTE('Calculations'!HF159,"~","~~"),"*","~*"),"?","~?"),'Calculations'!$HN$13:$HN$512,"="&amp;SUBSTITUTE(SUBSTITUTE(SUBSTITUTE('Dashboard'!$B$7,"~","~~"),"*","~*"),"?","~?"))+COUNTIFS('Calculations'!$ID$13:$ID$512,"="&amp;SUBSTITUTE(SUBSTITUTE(SUBSTITUTE('Calculations'!HF159,"~","~~"),"*","~*"),"?","~?"),'Calculations'!$HN$13:$HN$512,"="&amp;SUBSTITUTE(SUBSTITUTE(SUBSTITUTE('Dashboard'!$B$7,"~","~~"),"*","~*"),"?","~?"))+COUNTIFS('Calculations'!$IE$13:$IE$512,"="&amp;SUBSTITUTE(SUBSTITUTE(SUBSTITUTE('Calculations'!HF159,"~","~~"),"*","~*"),"?","~?"),'Calculations'!$HN$13:$HN$512,"="&amp;SUBSTITUTE(SUBSTITUTE(SUBSTITUTE('Dashboard'!$B$7,"~","~~"),"*","~*"),"?","~?"))+COUNTIFS('Calculations'!$IF$13:$IF$512,"="&amp;SUBSTITUTE(SUBSTITUTE(SUBSTITUTE('Calculations'!HF159,"~","~~"),"*","~*"),"?","~?"),'Calculations'!$HN$13:$HN$512,"="&amp;SUBSTITUTE(SUBSTITUTE(SUBSTITUTE('Dashboard'!$B$7,"~","~~"),"*","~*"),"?","~?"))+COUNTIFS('Calculations'!$IG$13:$IG$512,"="&amp;SUBSTITUTE(SUBSTITUTE(SUBSTITUTE('Calculations'!HF159,"~","~~"),"*","~*"),"?","~?"),'Calculations'!$HN$13:$HN$512,"="&amp;SUBSTITUTE(SUBSTITUTE(SUBSTITUTE('Dashboard'!$B$7,"~","~~"),"*","~*"),"?","~?"))+COUNTIFS('Calculations'!$IH$13:$IH$512,"="&amp;SUBSTITUTE(SUBSTITUTE(SUBSTITUTE('Calculations'!HF159,"~","~~"),"*","~*"),"?","~?"),'Calculations'!$HN$13:$HN$512,"="&amp;SUBSTITUTE(SUBSTITUTE(SUBSTITUTE('Dashboard'!$B$7,"~","~~"),"*","~*"),"?","~?"))))</x:f>
        <x:v>0</x:v>
      </x:c>
      <x:c r="JD159" t="n">
        <x:f>IF('Calculations'!EM159="",0,IF('Dashboard'!$B$7="All",1,IF('Calculations'!HN159='Dashboard'!$B$7,1,0)+IFERROR(INDEX('Calculations'!$JC$13:$JC$512,MATCH('Calculations'!HE159,'Calculations'!$HF$13:$HF$512,0)),0)))</x:f>
        <x:v>0</x:v>
      </x:c>
      <x:c r="JE159" t="n">
        <x:f>IF(AND('Calculations'!EM159&lt;&gt;"",'Calculations'!$JJ$2&lt;&gt;"All",'Calculations'!$JJ$2&lt;&gt;"",'Calculations'!HF159='Calculations'!$JJ$2,'Calculations'!HL159=0,'Calculations'!JD159&gt;0),MAX('Calculations'!$JE$12:JE158)+1,0)</x:f>
        <x:v>0</x:v>
      </x:c>
      <x:c r="JF159" t="str">
        <x:f>IF('Calculations'!EM159="","",IFERROR(IF(INDEX(INDIRECT("'WCM Calibration Final'!$G$1:$G$2000"),'Calculations'!$EM159)="","",TRIM(INDEX(INDIRECT("'WCM Calibration Final'!$G$1:$G$2000"),'Calculations'!$EM159)&amp;"")),""))</x:f>
      </x:c>
      <x:c r="JQ159" t="n">
        <x:f>IF(OR('Calculations'!BM159=0,NOT('Calculations'!$AG$2),'Calculations'!$AG$8&gt;0),0,IF(OR('Dashboard'!$B$7="All",'Calculations'!HN159='Dashboard'!$B$7),IF('Calculations'!$JJ$2="All",1,IF(AND('Calculations'!HF159='Calculations'!$JJ$2,'Calculations'!HL159=0),1,0)),0))</x:f>
        <x:v>0</x:v>
      </x:c>
    </x:row>
    <x:row r="160">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t="n">
        <x:f>IF('Calculations'!$EM160="",0,IF(OR(IFERROR(INDEX(INDIRECT("'WCM Calibration Final'!$A$1:$A$2000"),'Calculations'!$EM160)&lt;&gt;"",FALSE),IFERROR(INDEX(INDIRECT("'WCM Calibration Final'!$B$1:$B$2000"),'Calculations'!$EM160)&lt;&gt;"",FALSE),IFERROR(INDEX(INDIRECT("'WCM Calibration Final'!$C$1:$C$2000"),'Calculations'!$EM160)&lt;&gt;"",FALSE)),1,0))</x:f>
        <x:v>0</x:v>
      </x:c>
      <x:c r="BN160" s="4" t="n">
        <x:f>IF(AND('Calculations'!BM160=1,'Calculations'!$AG$2,'Calculations'!$EN160=1),1,0)</x:f>
        <x:v>0</x:v>
      </x:c>
      <x:c r="BO160" s="4" t="str">
        <x:f>IF('Calculations'!BM160=0,"",IFERROR(IF(AND(VALUE(INDEX(INDIRECT("'WCM Calibration Final'!$K$1:$K$2000"),'Calculations'!$EM160))&gt;=1,VALUE(INDEX(INDIRECT("'WCM Calibration Final'!$K$1:$K$2000"),'Calculations'!$EM160))&lt;=4,MOD(VALUE(INDEX(INDIRECT("'WCM Calibration Final'!$K$1:$K$2000"),'Calculations'!$EM160)),1)=0),VALUE(INDEX(INDIRECT("'WCM Calibration Final'!$K$1:$K$2000"),'Calculations'!$EM160)),""),""))</x:f>
      </x:c>
      <x:c r="BP160" s="4" t="str">
        <x:f>IF('Calculations'!BM160=0,"",IFERROR(IF(AND(VALUE(INDEX(INDIRECT("'WCM Calibration Final'!$L$1:$L$2000"),'Calculations'!$EM160))&gt;=1,VALUE(INDEX(INDIRECT("'WCM Calibration Final'!$L$1:$L$2000"),'Calculations'!$EM160))&lt;=4,MOD(VALUE(INDEX(INDIRECT("'WCM Calibration Final'!$L$1:$L$2000"),'Calculations'!$EM160)),1)=0),VALUE(INDEX(INDIRECT("'WCM Calibration Final'!$L$1:$L$2000"),'Calculations'!$EM160)),""),""))</x:f>
      </x:c>
      <x:c r="BQ160" s="4"/>
      <x:c r="BR160" s="4"/>
      <x:c r="BS160" s="4"/>
      <x:c r="BT160" s="4" t="n">
        <x:f>IF(AND('Calculations'!BM160=1,ISNUMBER('Calculations'!BO160),ISNUMBER('Calculations'!BP160)),1,0)</x:f>
        <x:v>0</x:v>
      </x:c>
      <x:c r="BU160" s="4" t="str">
        <x:f>IF('Calculations'!BM160=0,"",'Calculations'!$EO160)</x:f>
      </x:c>
      <x:c r="BV160" s="4" t="str">
        <x:f>IF('Calculations'!BM160=0,"",IFERROR(IF(OR(INDEX(INDIRECT("'WCM Calibration Final'!$H$1:$H$2000"),'Calculations'!$EM160)="MANAGING DIRECTOR",INDEX(INDIRECT("'WCM Calibration Final'!$H$1:$H$2000"),'Calculations'!$EM160)="DIRECTOR",INDEX(INDIRECT("'WCM Calibration Final'!$H$1:$H$2000"),'Calculations'!$EM160)="SENIOR VICE PRESIDENT",INDEX(INDIRECT("'WCM Calibration Final'!$H$1:$H$2000"),'Calculations'!$EM160)="VICE PRESIDENT",INDEX(INDIRECT("'WCM Calibration Final'!$H$1:$H$2000"),'Calculations'!$EM160)="ASSISTANT VICE PRESIDENT",INDEX(INDIRECT("'WCM Calibration Final'!$H$1:$H$2000"),'Calculations'!$EM160)="OFFICER"),UPPER(INDEX(INDIRECT("'WCM Calibration Final'!$H$1:$H$2000"),'Calculations'!$EM160)),"Other"),"Other"))</x:f>
      </x:c>
      <x:c r="BW160" s="4"/>
      <x:c r="BX160" s="4"/>
      <x:c r="BY160" s="4" t="n">
        <x:f>IF(AND('Calculations'!BM160=1,'Calculations'!BU160&lt;&gt;"",COUNTIF('Calculations'!$BU$12:BU160,'Calculations'!BU160)=1),MAX('Calculations'!$BY$11:BY159)+1,0)</x:f>
        <x:v>0</x:v>
      </x:c>
      <x:c r="BZ160" s="4" t="str">
        <x:f>IF('Dashboard'!$E$67="What",'Calculations'!BO160,'Calculations'!BP160)</x:f>
      </x:c>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t="str">
        <x:f>IF(149&gt;MAX('Calculations'!$HI$13:$HI$512),"",INDEX('Calculations'!$HN$13:$HN$512,MATCH(149,'Calculations'!$HI$13:$HI$512,0)))</x:f>
      </x:c>
      <x:c r="DB160" s="4" t="str">
        <x:f>IF(149&gt;MAX('Calculations'!$HH$13:$HH$512),"",INDEX('Calculations'!$HJ$13:$HJ$512,MATCH(149,'Calculations'!$HH$13:$HH$512,0)))</x:f>
      </x:c>
      <x:c r="DC160" s="4" t="str">
        <x:f>IF(ROW()-11&gt;MAX('Calculations'!$BY$13:$BY$512),"",INDEX('Calculations'!$BU$13:$BU$512,MATCH(ROW()-11,'Calculations'!$BY$13:$BY$512,0)))</x:f>
      </x:c>
      <x:c r="DD160" s="4" t="str">
        <x:f>IF(149&gt;MAX('Calculations'!$IK$13:$IK$512),"",INDEX('Calculations'!$HK$13:$HK$512,MATCH(149,'Calculations'!$IK$13:$IK$512,0)))</x:f>
      </x:c>
      <x:c r="DE160" s="4" t="str">
        <x:f>'Calculations'!DC160</x:f>
      </x:c>
      <x:c r="DF160" s="4" t="str">
        <x:f>IF('Calculations'!DE160="","",COUNTIFS('Calculations'!$BN$13:$BN$512,1,'Calculations'!$BU$13:$BU$512,'Calculations'!DE160))</x:f>
      </x:c>
      <x:c r="DG160" s="4" t="str">
        <x:f>IF('Calculations'!DE160="","",COUNTIFS('Calculations'!$BN$13:$BN$512,1,'Calculations'!$BU$13:$BU$512,'Calculations'!DE160,'Calculations'!$BT$13:$BT$512,1))</x:f>
      </x:c>
      <x:c r="DH160" s="4" t="str">
        <x:f>IF('Calculations'!DE160="","",'Calculations'!DF160-'Calculations'!DG160)</x:f>
      </x:c>
      <x:c r="DI160" s="4" t="str">
        <x:f>IF(OR('Calculations'!DE160="",'Calculations'!DF160=0),"",'Calculations'!DG160/'Calculations'!DF160)</x:f>
      </x:c>
      <x:c r="DJ160" s="4" t="str">
        <x:f>IF('Calculations'!DE160="","",COUNTIFS('Calculations'!$BN$13:$BN$512,1,'Calculations'!$BU$13:$BU$512,'Calculations'!DE160,'Calculations'!$BT$13:$BT$512,1,'Calculations'!$EE$13:$EE$512,"High"))</x:f>
      </x:c>
      <x:c r="DK160" s="4" t="str">
        <x:f>IF('Calculations'!DE160="","",COUNTIFS('Calculations'!$BN$13:$BN$512,1,'Calculations'!$BU$13:$BU$512,'Calculations'!DE160,'Calculations'!$BT$13:$BT$512,1,'Calculations'!$EE$13:$EE$512,"Strong"))</x:f>
      </x:c>
      <x:c r="DL160" s="4" t="str">
        <x:f>IF('Calculations'!DE160="","",COUNTIFS('Calculations'!$BN$13:$BN$512,1,'Calculations'!$BU$13:$BU$512,'Calculations'!DE160,'Calculations'!$BT$13:$BT$512,1,'Calculations'!$EE$13:$EE$512,"Solid"))</x:f>
      </x:c>
      <x:c r="DM160" s="4" t="str">
        <x:f>IF('Calculations'!DE160="","",COUNTIFS('Calculations'!$BN$13:$BN$512,1,'Calculations'!$BU$13:$BU$512,'Calculations'!DE160,'Calculations'!$BT$13:$BT$512,1,'Calculations'!$EE$13:$EE$512,"Low"))</x:f>
      </x:c>
      <x:c r="DN160" s="4" t="str">
        <x:f>IF('Calculations'!DE160="","",COUNTIFS('Calculations'!$BN$13:$BN$512,1,'Calculations'!$BU$13:$BU$512,'Calculations'!DE160,'Calculations'!$EP$13:$EP$512,1))</x:f>
      </x:c>
      <x:c r="DO160" s="4" t="str">
        <x:f>IF(OR('Calculations'!DE160="",'Calculations'!DG160=0),"",('Calculations'!DJ160+'Calculations'!DK160)/'Calculations'!DG160)</x:f>
      </x:c>
      <x:c r="DP160" s="4" t="n">
        <x:f>IF(AND('Calculations'!DE160&lt;&gt;"",'Calculations'!DF160&gt;0),COUNTIF('Calculations'!$DF$12:DF160,"&gt;0"),0)</x:f>
        <x:v>0</x:v>
      </x:c>
      <x:c r="DQ160" s="4" t="str">
        <x:f>IF(149&gt;MAX('Calculations'!$HH$13:$HH$512),"",INDEX('Calculations'!$HF$13:$HF$512,MATCH(149,'Calculations'!$HH$13:$HH$512,0)))</x:f>
      </x:c>
      <x:c r="DR160" s="4" t="str">
        <x:f>IF(149&gt;MAX('Calculations'!$IK$13:$IK$512),"",INDEX('Calculations'!$HE$13:$HE$512,MATCH(149,'Calculations'!$IK$13:$IK$512,0)))</x:f>
      </x:c>
      <x:c r="DS160" s="4"/>
      <x:c r="DT160" s="4"/>
      <x:c r="DU160" s="4"/>
      <x:c r="DV160" s="4"/>
      <x:c r="DW160" s="4"/>
      <x:c r="DX160" s="4"/>
      <x:c r="DY160" s="4"/>
      <x:c r="DZ160" s="4"/>
      <x:c r="EA160" s="4"/>
      <x:c r="EB160" s="4"/>
      <x:c r="EC160" s="4"/>
      <x:c r="ED160" s="4"/>
      <x:c r="EE160" s="4" t="str">
        <x:f>IF('Calculations'!BT160=0,"Not Rated",IF(OR('Calculations'!BO160&gt;=4,'Calculations'!BP160&gt;=4),"Low",IF('Calculations'!BO160+'Calculations'!BP160&lt;=3,"High",IF('Calculations'!BO160+'Calculations'!BP160&lt;=4,"Strong","Solid"))))</x:f>
        <x:v>Not Rated</x:v>
      </x:c>
      <x:c r="EF160" s="4"/>
      <x:c r="EG160" s="4"/>
      <x:c r="EH160" s="4"/>
      <x:c r="EI160" s="4"/>
      <x:c r="EJ160" s="4"/>
      <x:c r="EK160" s="4"/>
      <x:c r="EL160" s="4"/>
      <x:c r="EM160" s="4" t="str">
        <x:f>IF(148&gt;'Calculations'!$JB$2000,"",INDEX('Calculations'!$JA$12:$JA$2000,MATCH(148,'Calculations'!$JB$12:$JB$2000,0)))</x:f>
      </x:c>
      <x:c r="EN160" s="4" t="n">
        <x:f>IF(OR('Calculations'!EM160="",'Calculations'!$AG$8&gt;0,AND('Calculations'!$EF$2&lt;&gt;"All",'Calculations'!HE160='Calculations'!$EF$2),AND('Calculations'!$EF$3&lt;&gt;"All",'Calculations'!HE160='Calculations'!$EF$3)),0,IF(OR('Dashboard'!$B$7="All",'Calculations'!HN160='Dashboard'!$B$7),IF('Calculations'!$EF$2="All",1,IF('Calculations'!HL160&gt;0,0,IF(COUNTIF('Calculations'!HO160:II160,"="&amp;SUBSTITUTE(SUBSTITUTE(SUBSTITUTE('Calculations'!$EF$2,"~","~~"),"*","~*"),"?","~?"))=0,0,IF('Calculations'!$EF$3="All",1,IF(COUNTIF('Calculations'!HO160:II160,"="&amp;SUBSTITUTE(SUBSTITUTE(SUBSTITUTE('Calculations'!$EF$3,"~","~~"),"*","~*"),"?","~?"))&gt;0,1,0))))),0))</x:f>
        <x:v>0</x:v>
      </x:c>
      <x:c r="EO160" s="4" t="str">
        <x:f>IF('Calculations'!IJ160="","",IF('Calculations'!IJ160="!UNRESOLVED","Unresolved hierarchy",IFERROR(INDEX('Calculations'!$HK$13:$HK$512,MATCH('Calculations'!IJ160,'Calculations'!$HE$13:$HE$512,0)),IFERROR(INDEX('Calculations'!$HJ$13:$HJ$512,MATCH('Calculations'!IJ160,'Calculations'!$HF$13:$HF$512,0)),'Calculations'!IJ160))))</x:f>
      </x:c>
      <x:c r="EP160" s="4" t="n">
        <x:f>IF(AND('Calculations'!EM160&lt;&gt;"",'Calculations'!HF160='Calculations'!IJ160),1,0)</x:f>
        <x:v>0</x:v>
      </x:c>
      <x:c r="EQ160" s="4"/>
      <x:c r="ER160" s="4"/>
      <x:c r="ES160" s="4"/>
      <x:c r="ET160" s="4"/>
      <x:c r="EU160" s="4"/>
      <x:c r="EV160" s="4"/>
      <x:c r="EW160" s="4"/>
      <x:c r="EX160" s="4"/>
      <x:c r="EY160" s="4"/>
      <x:c r="EZ160" s="4"/>
      <x:c r="FA160" s="4"/>
      <x:c r="FB160" s="4"/>
      <x:c r="FC160" s="4"/>
      <x:c r="FD160" s="4"/>
      <x:c r="FE160" s="4"/>
      <x:c r="FF160" s="4"/>
      <x:c r="FG160" s="4"/>
      <x:c r="FH160" s="4"/>
      <x:c r="FI160" s="4"/>
      <x:c r="FJ160" s="4"/>
      <x:c r="FK160" s="4"/>
      <x:c r="FL160" s="4"/>
      <x:c r="FM160" s="4"/>
      <x:c r="FN160" s="4"/>
      <x:c r="FO160" s="4"/>
      <x:c r="GA160" s="71"/>
      <x:c r="GB160" s="71"/>
      <x:c r="GC160" s="71"/>
      <x:c r="GD160" s="71"/>
      <x:c r="GE160" s="71"/>
      <x:c r="GF160" s="71"/>
      <x:c r="GG160" s="71"/>
      <x:c r="GH160" s="71"/>
      <x:c r="GI160" s="71"/>
      <x:c r="GJ160" s="71"/>
      <x:c r="GK160" s="71"/>
      <x:c r="GL160" s="71" t="n">
        <x:f>COUNTIFS('Calculations'!$JQ$13:$JQ$512,1,'Calculations'!$BO$13:$BO$512,2)</x:f>
        <x:v>0</x:v>
      </x:c>
      <x:c r="GM160" s="71"/>
      <x:c r="GN160" s="71"/>
      <x:c r="GO160" s="71" t="str">
        <x:f>IF(SUM('Calculations'!$GL$159:$GL$162)=0,"",'Calculations'!GL160/SUM('Calculations'!$GL$159:$GL$162))</x:f>
      </x:c>
      <x:c r="GP160" s="71"/>
      <x:c r="GQ160" s="71"/>
      <x:c r="GR160" s="71" t="n">
        <x:f>IF(COUNT('Dashboard'!P143)=0,"",IF(AND('Dashboard'!P143&gt;=0,'Dashboard'!P143&lt;=1),'Dashboard'!P143,""))</x:f>
        <x:v>0.3</x:v>
      </x:c>
      <x:c r="GS160" s="71"/>
      <x:c r="GT160" s="71"/>
      <x:c r="GU160" s="71" t="str">
        <x:f>IF(COUNT('Calculations'!GO160,'Calculations'!GR160)&lt;2,"",100*('Calculations'!GO160-'Calculations'!GR160))</x:f>
      </x:c>
      <x:c r="GV160" s="71"/>
      <x:c r="GW160" s="71"/>
      <x:c r="GX160" s="71" t="str">
        <x:f>IF(NOT('Calculations'!$AG$2),"Source unavailable",IF('Calculations'!$AG$8&gt;0,"Check filters",IF(COUNT('Calculations'!GO160)=0,"No ratings",IF(COUNT('Calculations'!GR160)=0,"No threshold",IF('Calculations'!GO160&gt;'Calculations'!GR160,"Above threshold","Within threshold")))))</x:f>
        <x:v>Source unavailable</x:v>
      </x:c>
      <x:c r="GY160" s="71"/>
      <x:c r="GZ160" s="71"/>
      <x:c r="HA160" s="71"/>
      <x:c r="HB160" s="71"/>
      <x:c r="HC160" s="71"/>
      <x:c r="HD160" s="71"/>
      <x:c r="HE160" t="str">
        <x:f>IF('Calculations'!EM160="","",IF(IFERROR(IF(INDEX(INDIRECT("'WCM Calibration Final'!$A$1:$A$2000"),'Calculations'!$EM160)="","",TRIM(INDEX(INDIRECT("'WCM Calibration Final'!$A$1:$A$2000"),'Calculations'!$EM160)&amp;"")),"")&lt;&gt;"","G:"&amp;IFERROR(TEXT(1*INDEX(INDIRECT("'WCM Calibration Final'!$A$1:$A$2000"),'Calculations'!$EM160),"0"),UPPER(IFERROR(IF(INDEX(INDIRECT("'WCM Calibration Final'!$A$1:$A$2000"),'Calculations'!$EM160)="","",TRIM(INDEX(INDIRECT("'WCM Calibration Final'!$A$1:$A$2000"),'Calculations'!$EM160)&amp;"")),""))),IF(IFERROR(IF(INDEX(INDIRECT("'WCM Calibration Final'!$C$1:$C$2000"),'Calculations'!$EM160)="","",TRIM(INDEX(INDIRECT("'WCM Calibration Final'!$C$1:$C$2000"),'Calculations'!$EM160)&amp;"")),"")&lt;&gt;"","S:"&amp;UPPER(IFERROR(IF(INDEX(INDIRECT("'WCM Calibration Final'!$C$1:$C$2000"),'Calculations'!$EM160)="","",TRIM(INDEX(INDIRECT("'WCM Calibration Final'!$C$1:$C$2000"),'Calculations'!$EM160)&amp;"")),"")),"R:"&amp;'Calculations'!EM160)))</x:f>
      </x:c>
      <x:c r="HF160" t="str">
        <x:f>IF('Calculations'!EM160="","",IF(IFERROR(IF(INDEX(INDIRECT("'WCM Calibration Final'!$D$1:$D$2000"),'Calculations'!$EM160)="","",TRIM(INDEX(INDIRECT("'WCM Calibration Final'!$D$1:$D$2000"),'Calculations'!$EM160)&amp;"")),"")&lt;&gt;"","G:"&amp;IFERROR(TEXT(1*INDEX(INDIRECT("'WCM Calibration Final'!$D$1:$D$2000"),'Calculations'!$EM160),"0"),UPPER(IFERROR(IF(INDEX(INDIRECT("'WCM Calibration Final'!$D$1:$D$2000"),'Calculations'!$EM160)="","",TRIM(INDEX(INDIRECT("'WCM Calibration Final'!$D$1:$D$2000"),'Calculations'!$EM160)&amp;"")),""))),IF(IFERROR(IF(INDEX(INDIRECT("'WCM Calibration Final'!$E$1:$E$2000"),'Calculations'!$EM160)="","",TRIM(INDEX(INDIRECT("'WCM Calibration Final'!$E$1:$E$2000"),'Calculations'!$EM160)&amp;"")),"")="","",IF(COUNTIF('Calculations'!$HG$13:$HG$512,"="&amp;SUBSTITUTE(SUBSTITUTE(SUBSTITUTE(IFERROR(IF(INDEX(INDIRECT("'WCM Calibration Final'!$E$1:$E$2000"),'Calculations'!$EM160)="","",TRIM(INDEX(INDIRECT("'WCM Calibration Final'!$E$1:$E$2000"),'Calculations'!$EM160)&amp;"")),""),"~","~~"),"*","~*"),"?","~?"))=1,INDEX('Calculations'!$HE$13:$HE$512,MATCH(IFERROR(IF(INDEX(INDIRECT("'WCM Calibration Final'!$E$1:$E$2000"),'Calculations'!$EM160)="","",TRIM(INDEX(INDIRECT("'WCM Calibration Final'!$E$1:$E$2000"),'Calculations'!$EM160)&amp;"")),""),'Calculations'!$HG$13:$HG$512,0)),IF(COUNTIF('Calculations'!$HG$13:$HG$512,"="&amp;SUBSTITUTE(SUBSTITUTE(SUBSTITUTE(IFERROR(IF(INDEX(INDIRECT("'WCM Calibration Final'!$E$1:$E$2000"),'Calculations'!$EM160)="","",TRIM(INDEX(INDIRECT("'WCM Calibration Final'!$E$1:$E$2000"),'Calculations'!$EM160)&amp;"")),""),"~","~~"),"*","~*"),"?","~?"))&gt;1,"!AMBIG","X:"&amp;IFERROR(IF(INDEX(INDIRECT("'WCM Calibration Final'!$E$1:$E$2000"),'Calculations'!$EM160)="","",TRIM(INDEX(INDIRECT("'WCM Calibration Final'!$E$1:$E$2000"),'Calculations'!$EM160)&amp;"")),""))))))</x:f>
      </x:c>
      <x:c r="HG160" t="str">
        <x:f>IF('Calculations'!EM160="","",IFERROR(IF(INDEX(INDIRECT("'WCM Calibration Final'!$B$1:$B$2000"),'Calculations'!$EM160)="","",TRIM(INDEX(INDIRECT("'WCM Calibration Final'!$B$1:$B$2000"),'Calculations'!$EM160)&amp;"")),""))</x:f>
      </x:c>
      <x:c r="HH160" t="n">
        <x:f>IF(AND('Calculations'!JC160&gt;0,COUNTIF('Calculations'!$HF$12:HF160,"="&amp;SUBSTITUTE(SUBSTITUTE(SUBSTITUTE('Calculations'!HF160,"~","~~"),"*","~*"),"?","~?"))=1),MAX('Calculations'!$HH$12:HH159)+1,0)</x:f>
        <x:v>0</x:v>
      </x:c>
      <x:c r="HI160" t="n">
        <x:f>IF(AND('Calculations'!HN160&lt;&gt;"",COUNTIF('Calculations'!$HN$12:HN160,"="&amp;SUBSTITUTE(SUBSTITUTE(SUBSTITUTE('Calculations'!HN160,"~","~~"),"*","~*"),"?","~?"))=1),MAX('Calculations'!$HI$12:HI159)+1,0)</x:f>
        <x:v>0</x:v>
      </x:c>
      <x:c r="HJ160" t="str">
        <x:f>IF('Calculations'!HF160="","",IF(COUNTIF('Calculations'!$HE$13:$HE$512,"="&amp;SUBSTITUTE(SUBSTITUTE(SUBSTITUTE('Calculations'!HF160,"~","~~"),"*","~*"),"?","~?"))=1,INDEX('Calculations'!$HK$13:$HK$512,MATCH('Calculations'!HF160,'Calculations'!$HE$13:$HE$512,0)),IFERROR(IF(INDEX(INDIRECT("'WCM Calibration Final'!$E$1:$E$2000"),'Calculations'!$EM160)="","",TRIM(INDEX(INDIRECT("'WCM Calibration Final'!$E$1:$E$2000"),'Calculations'!$EM160)&amp;"")),"")&amp;" ["&amp;'Calculations'!HF160&amp;"]"))</x:f>
      </x:c>
      <x:c r="HK160" t="str">
        <x:f>IF('Calculations'!EM160="","",'Calculations'!HG160&amp;" ["&amp;'Calculations'!HE160&amp;"]")</x:f>
      </x:c>
      <x:c r="HL160" t="n">
        <x:f>IF('Calculations'!EM160="",0,IF(OR('Calculations'!II160&lt;&gt;"",COUNTIF('Calculations'!$HE$13:$HE$512,"="&amp;SUBSTITUTE(SUBSTITUTE(SUBSTITUTE('Calculations'!HE160,"~","~~"),"*","~*"),"?","~?"))&gt;1),1,0))</x:f>
        <x:v>0</x:v>
      </x:c>
      <x:c r="HM160" t="str">
        <x:f>IF('Calculations'!EM160="","",IF('Calculations'!HL160=1,"!UNRESOLVED",IF('Calculations'!IH160&lt;&gt;"",'Calculations'!IH160,IF('Calculations'!IG160&lt;&gt;"",'Calculations'!IG160,IF('Calculations'!IF160&lt;&gt;"",'Calculations'!IF160,IF('Calculations'!IE160&lt;&gt;"",'Calculations'!IE160,IF('Calculations'!ID160&lt;&gt;"",'Calculations'!ID160,IF('Calculations'!IC160&lt;&gt;"",'Calculations'!IC160,IF('Calculations'!IB160&lt;&gt;"",'Calculations'!IB160,IF('Calculations'!IA160&lt;&gt;"",'Calculations'!IA160,IF('Calculations'!HZ160&lt;&gt;"",'Calculations'!HZ160,IF('Calculations'!HY160&lt;&gt;"",'Calculations'!HY160,IF('Calculations'!HX160&lt;&gt;"",'Calculations'!HX160,IF('Calculations'!HW160&lt;&gt;"",'Calculations'!HW160,IF('Calculations'!HV160&lt;&gt;"",'Calculations'!HV160,IF('Calculations'!HU160&lt;&gt;"",'Calculations'!HU160,IF('Calculations'!HT160&lt;&gt;"",'Calculations'!HT160,IF('Calculations'!HS160&lt;&gt;"",'Calculations'!HS160,IF('Calculations'!HR160&lt;&gt;"",'Calculations'!HR160,IF('Calculations'!HQ160&lt;&gt;"",'Calculations'!HQ160,IF('Calculations'!HP160&lt;&gt;"",'Calculations'!HP160,IF('Calculations'!HO160&lt;&gt;"",'Calculations'!HO160,'Calculations'!HE160))))))))))))))))))))))</x:f>
      </x:c>
      <x:c r="HN160" t="str">
        <x:f>IF('Calculations'!EM160="","",IF(IFERROR(IF(INDEX(INDIRECT("'WCM Calibration Final'!$F$1:$F$2000"),'Calculations'!$EM160)="","",TRIM(INDEX(INDIRECT("'WCM Calibration Final'!$F$1:$F$2000"),'Calculations'!$EM160)&amp;"")),"")="","(Blank)",IFERROR(IF(INDEX(INDIRECT("'WCM Calibration Final'!$F$1:$F$2000"),'Calculations'!$EM160)="","",TRIM(INDEX(INDIRECT("'WCM Calibration Final'!$F$1:$F$2000"),'Calculations'!$EM160)&amp;"")),"")))</x:f>
      </x:c>
      <x:c r="HO160" t="str">
        <x:f>'Calculations'!HF160</x:f>
      </x:c>
      <x:c r="HP160" t="str">
        <x:f>IF('Calculations'!HO160="","",IF('Calculations'!HO160="!AMBIG","!AMBIG",IF(COUNTIF('Calculations'!$HE$13:$HE$512,"="&amp;SUBSTITUTE(SUBSTITUTE(SUBSTITUTE('Calculations'!HO160,"~","~~"),"*","~*"),"?","~?"))&gt;1,"!AMBIG",IFERROR(INDEX('Calculations'!$HF$13:$HF$512,MATCH('Calculations'!HO160,'Calculations'!$HE$13:$HE$512,0)),""))))</x:f>
      </x:c>
      <x:c r="HQ160" t="str">
        <x:f>IF('Calculations'!HP160="","",IF('Calculations'!HP160="!AMBIG","!AMBIG",IF(COUNTIF('Calculations'!$HE$13:$HE$512,"="&amp;SUBSTITUTE(SUBSTITUTE(SUBSTITUTE('Calculations'!HP160,"~","~~"),"*","~*"),"?","~?"))&gt;1,"!AMBIG",IFERROR(INDEX('Calculations'!$HF$13:$HF$512,MATCH('Calculations'!HP160,'Calculations'!$HE$13:$HE$512,0)),""))))</x:f>
      </x:c>
      <x:c r="HR160" t="str">
        <x:f>IF('Calculations'!HQ160="","",IF('Calculations'!HQ160="!AMBIG","!AMBIG",IF(COUNTIF('Calculations'!$HE$13:$HE$512,"="&amp;SUBSTITUTE(SUBSTITUTE(SUBSTITUTE('Calculations'!HQ160,"~","~~"),"*","~*"),"?","~?"))&gt;1,"!AMBIG",IFERROR(INDEX('Calculations'!$HF$13:$HF$512,MATCH('Calculations'!HQ160,'Calculations'!$HE$13:$HE$512,0)),""))))</x:f>
      </x:c>
      <x:c r="HS160" t="str">
        <x:f>IF('Calculations'!HR160="","",IF('Calculations'!HR160="!AMBIG","!AMBIG",IF(COUNTIF('Calculations'!$HE$13:$HE$512,"="&amp;SUBSTITUTE(SUBSTITUTE(SUBSTITUTE('Calculations'!HR160,"~","~~"),"*","~*"),"?","~?"))&gt;1,"!AMBIG",IFERROR(INDEX('Calculations'!$HF$13:$HF$512,MATCH('Calculations'!HR160,'Calculations'!$HE$13:$HE$512,0)),""))))</x:f>
      </x:c>
      <x:c r="HT160" t="str">
        <x:f>IF('Calculations'!HS160="","",IF('Calculations'!HS160="!AMBIG","!AMBIG",IF(COUNTIF('Calculations'!$HE$13:$HE$512,"="&amp;SUBSTITUTE(SUBSTITUTE(SUBSTITUTE('Calculations'!HS160,"~","~~"),"*","~*"),"?","~?"))&gt;1,"!AMBIG",IFERROR(INDEX('Calculations'!$HF$13:$HF$512,MATCH('Calculations'!HS160,'Calculations'!$HE$13:$HE$512,0)),""))))</x:f>
      </x:c>
      <x:c r="HU160" t="str">
        <x:f>IF('Calculations'!HT160="","",IF('Calculations'!HT160="!AMBIG","!AMBIG",IF(COUNTIF('Calculations'!$HE$13:$HE$512,"="&amp;SUBSTITUTE(SUBSTITUTE(SUBSTITUTE('Calculations'!HT160,"~","~~"),"*","~*"),"?","~?"))&gt;1,"!AMBIG",IFERROR(INDEX('Calculations'!$HF$13:$HF$512,MATCH('Calculations'!HT160,'Calculations'!$HE$13:$HE$512,0)),""))))</x:f>
      </x:c>
      <x:c r="HV160" t="str">
        <x:f>IF('Calculations'!HU160="","",IF('Calculations'!HU160="!AMBIG","!AMBIG",IF(COUNTIF('Calculations'!$HE$13:$HE$512,"="&amp;SUBSTITUTE(SUBSTITUTE(SUBSTITUTE('Calculations'!HU160,"~","~~"),"*","~*"),"?","~?"))&gt;1,"!AMBIG",IFERROR(INDEX('Calculations'!$HF$13:$HF$512,MATCH('Calculations'!HU160,'Calculations'!$HE$13:$HE$512,0)),""))))</x:f>
      </x:c>
      <x:c r="HW160" t="str">
        <x:f>IF('Calculations'!HV160="","",IF('Calculations'!HV160="!AMBIG","!AMBIG",IF(COUNTIF('Calculations'!$HE$13:$HE$512,"="&amp;SUBSTITUTE(SUBSTITUTE(SUBSTITUTE('Calculations'!HV160,"~","~~"),"*","~*"),"?","~?"))&gt;1,"!AMBIG",IFERROR(INDEX('Calculations'!$HF$13:$HF$512,MATCH('Calculations'!HV160,'Calculations'!$HE$13:$HE$512,0)),""))))</x:f>
      </x:c>
      <x:c r="HX160" t="str">
        <x:f>IF('Calculations'!HW160="","",IF('Calculations'!HW160="!AMBIG","!AMBIG",IF(COUNTIF('Calculations'!$HE$13:$HE$512,"="&amp;SUBSTITUTE(SUBSTITUTE(SUBSTITUTE('Calculations'!HW160,"~","~~"),"*","~*"),"?","~?"))&gt;1,"!AMBIG",IFERROR(INDEX('Calculations'!$HF$13:$HF$512,MATCH('Calculations'!HW160,'Calculations'!$HE$13:$HE$512,0)),""))))</x:f>
      </x:c>
      <x:c r="HY160" t="str">
        <x:f>IF('Calculations'!HX160="","",IF('Calculations'!HX160="!AMBIG","!AMBIG",IF(COUNTIF('Calculations'!$HE$13:$HE$512,"="&amp;SUBSTITUTE(SUBSTITUTE(SUBSTITUTE('Calculations'!HX160,"~","~~"),"*","~*"),"?","~?"))&gt;1,"!AMBIG",IFERROR(INDEX('Calculations'!$HF$13:$HF$512,MATCH('Calculations'!HX160,'Calculations'!$HE$13:$HE$512,0)),""))))</x:f>
      </x:c>
      <x:c r="HZ160" t="str">
        <x:f>IF('Calculations'!HY160="","",IF('Calculations'!HY160="!AMBIG","!AMBIG",IF(COUNTIF('Calculations'!$HE$13:$HE$512,"="&amp;SUBSTITUTE(SUBSTITUTE(SUBSTITUTE('Calculations'!HY160,"~","~~"),"*","~*"),"?","~?"))&gt;1,"!AMBIG",IFERROR(INDEX('Calculations'!$HF$13:$HF$512,MATCH('Calculations'!HY160,'Calculations'!$HE$13:$HE$512,0)),""))))</x:f>
      </x:c>
      <x:c r="IA160" t="str">
        <x:f>IF('Calculations'!HZ160="","",IF('Calculations'!HZ160="!AMBIG","!AMBIG",IF(COUNTIF('Calculations'!$HE$13:$HE$512,"="&amp;SUBSTITUTE(SUBSTITUTE(SUBSTITUTE('Calculations'!HZ160,"~","~~"),"*","~*"),"?","~?"))&gt;1,"!AMBIG",IFERROR(INDEX('Calculations'!$HF$13:$HF$512,MATCH('Calculations'!HZ160,'Calculations'!$HE$13:$HE$512,0)),""))))</x:f>
      </x:c>
      <x:c r="IB160" t="str">
        <x:f>IF('Calculations'!IA160="","",IF('Calculations'!IA160="!AMBIG","!AMBIG",IF(COUNTIF('Calculations'!$HE$13:$HE$512,"="&amp;SUBSTITUTE(SUBSTITUTE(SUBSTITUTE('Calculations'!IA160,"~","~~"),"*","~*"),"?","~?"))&gt;1,"!AMBIG",IFERROR(INDEX('Calculations'!$HF$13:$HF$512,MATCH('Calculations'!IA160,'Calculations'!$HE$13:$HE$512,0)),""))))</x:f>
      </x:c>
      <x:c r="IC160" t="str">
        <x:f>IF('Calculations'!IB160="","",IF('Calculations'!IB160="!AMBIG","!AMBIG",IF(COUNTIF('Calculations'!$HE$13:$HE$512,"="&amp;SUBSTITUTE(SUBSTITUTE(SUBSTITUTE('Calculations'!IB160,"~","~~"),"*","~*"),"?","~?"))&gt;1,"!AMBIG",IFERROR(INDEX('Calculations'!$HF$13:$HF$512,MATCH('Calculations'!IB160,'Calculations'!$HE$13:$HE$512,0)),""))))</x:f>
      </x:c>
      <x:c r="ID160" t="str">
        <x:f>IF('Calculations'!IC160="","",IF('Calculations'!IC160="!AMBIG","!AMBIG",IF(COUNTIF('Calculations'!$HE$13:$HE$512,"="&amp;SUBSTITUTE(SUBSTITUTE(SUBSTITUTE('Calculations'!IC160,"~","~~"),"*","~*"),"?","~?"))&gt;1,"!AMBIG",IFERROR(INDEX('Calculations'!$HF$13:$HF$512,MATCH('Calculations'!IC160,'Calculations'!$HE$13:$HE$512,0)),""))))</x:f>
      </x:c>
      <x:c r="IE160" t="str">
        <x:f>IF('Calculations'!ID160="","",IF('Calculations'!ID160="!AMBIG","!AMBIG",IF(COUNTIF('Calculations'!$HE$13:$HE$512,"="&amp;SUBSTITUTE(SUBSTITUTE(SUBSTITUTE('Calculations'!ID160,"~","~~"),"*","~*"),"?","~?"))&gt;1,"!AMBIG",IFERROR(INDEX('Calculations'!$HF$13:$HF$512,MATCH('Calculations'!ID160,'Calculations'!$HE$13:$HE$512,0)),""))))</x:f>
      </x:c>
      <x:c r="IF160" t="str">
        <x:f>IF('Calculations'!IE160="","",IF('Calculations'!IE160="!AMBIG","!AMBIG",IF(COUNTIF('Calculations'!$HE$13:$HE$512,"="&amp;SUBSTITUTE(SUBSTITUTE(SUBSTITUTE('Calculations'!IE160,"~","~~"),"*","~*"),"?","~?"))&gt;1,"!AMBIG",IFERROR(INDEX('Calculations'!$HF$13:$HF$512,MATCH('Calculations'!IE160,'Calculations'!$HE$13:$HE$512,0)),""))))</x:f>
      </x:c>
      <x:c r="IG160" t="str">
        <x:f>IF('Calculations'!IF160="","",IF('Calculations'!IF160="!AMBIG","!AMBIG",IF(COUNTIF('Calculations'!$HE$13:$HE$512,"="&amp;SUBSTITUTE(SUBSTITUTE(SUBSTITUTE('Calculations'!IF160,"~","~~"),"*","~*"),"?","~?"))&gt;1,"!AMBIG",IFERROR(INDEX('Calculations'!$HF$13:$HF$512,MATCH('Calculations'!IF160,'Calculations'!$HE$13:$HE$512,0)),""))))</x:f>
      </x:c>
      <x:c r="IH160" t="str">
        <x:f>IF('Calculations'!IG160="","",IF('Calculations'!IG160="!AMBIG","!AMBIG",IF(COUNTIF('Calculations'!$HE$13:$HE$512,"="&amp;SUBSTITUTE(SUBSTITUTE(SUBSTITUTE('Calculations'!IG160,"~","~~"),"*","~*"),"?","~?"))&gt;1,"!AMBIG",IFERROR(INDEX('Calculations'!$HF$13:$HF$512,MATCH('Calculations'!IG160,'Calculations'!$HE$13:$HE$512,0)),""))))</x:f>
      </x:c>
      <x:c r="II160" t="str">
        <x:f>IF('Calculations'!IH160="","",IF('Calculations'!IH160="!AMBIG","!AMBIG",IF(COUNTIF('Calculations'!$HE$13:$HE$512,"="&amp;SUBSTITUTE(SUBSTITUTE(SUBSTITUTE('Calculations'!IH160,"~","~~"),"*","~*"),"?","~?"))&gt;1,"!AMBIG",IFERROR(INDEX('Calculations'!$HF$13:$HF$512,MATCH('Calculations'!IH160,'Calculations'!$HE$13:$HE$512,0)),""))))</x:f>
      </x:c>
      <x:c r="IJ160" t="str">
        <x:f>IF('Calculations'!EM160="","",IF('Calculations'!$EF$2="All",'Calculations'!HM160,IF('Calculations'!HL160=1,"",IFERROR(IF(MATCH('Calculations'!$EF$2,'Calculations'!HO160:II160,0)=1,'Calculations'!HE160,INDEX('Calculations'!HO160:II160,1,MATCH('Calculations'!$EF$2,'Calculations'!HO160:II160,0)-1)),""))))</x:f>
      </x:c>
      <x:c r="IK160" t="n">
        <x:f>IF(AND('Calculations'!EM160&lt;&gt;"",'Calculations'!$EF$2&lt;&gt;"All",'Calculations'!HF160='Calculations'!$EF$2,'Calculations'!HL160=0,'Calculations'!JD160&gt;0),MAX('Calculations'!$IK$12:IK159)+1,0)</x:f>
        <x:v>0</x:v>
      </x:c>
      <x:c r="JA160" t="n">
        <x:f>IF(OR(IFERROR(INDIRECT("'WCM Calibration Final'!$A$160")&lt;&gt;"",FALSE),IFERROR(INDIRECT("'WCM Calibration Final'!$B$160")&lt;&gt;"",FALSE),IFERROR(INDIRECT("'WCM Calibration Final'!$C$160")&lt;&gt;"",FALSE)),160,0)</x:f>
        <x:v>0</x:v>
      </x:c>
      <x:c r="JB160" t="n">
        <x:f>'Calculations'!JB159+IF('Calculations'!JA160&gt;0,1,0)</x:f>
        <x:v>0</x:v>
      </x:c>
      <x:c r="JC160" t="n">
        <x:f>IF(OR('Calculations'!HF160="",'Calculations'!HF160="!AMBIG"),0,IF('Dashboard'!$B$7="All",1,COUNTIFS('Calculations'!$HO$13:$HO$512,"="&amp;SUBSTITUTE(SUBSTITUTE(SUBSTITUTE('Calculations'!HF160,"~","~~"),"*","~*"),"?","~?"),'Calculations'!$HN$13:$HN$512,"="&amp;SUBSTITUTE(SUBSTITUTE(SUBSTITUTE('Dashboard'!$B$7,"~","~~"),"*","~*"),"?","~?"))+COUNTIFS('Calculations'!$HP$13:$HP$512,"="&amp;SUBSTITUTE(SUBSTITUTE(SUBSTITUTE('Calculations'!HF160,"~","~~"),"*","~*"),"?","~?"),'Calculations'!$HN$13:$HN$512,"="&amp;SUBSTITUTE(SUBSTITUTE(SUBSTITUTE('Dashboard'!$B$7,"~","~~"),"*","~*"),"?","~?"))+COUNTIFS('Calculations'!$HQ$13:$HQ$512,"="&amp;SUBSTITUTE(SUBSTITUTE(SUBSTITUTE('Calculations'!HF160,"~","~~"),"*","~*"),"?","~?"),'Calculations'!$HN$13:$HN$512,"="&amp;SUBSTITUTE(SUBSTITUTE(SUBSTITUTE('Dashboard'!$B$7,"~","~~"),"*","~*"),"?","~?"))+COUNTIFS('Calculations'!$HR$13:$HR$512,"="&amp;SUBSTITUTE(SUBSTITUTE(SUBSTITUTE('Calculations'!HF160,"~","~~"),"*","~*"),"?","~?"),'Calculations'!$HN$13:$HN$512,"="&amp;SUBSTITUTE(SUBSTITUTE(SUBSTITUTE('Dashboard'!$B$7,"~","~~"),"*","~*"),"?","~?"))+COUNTIFS('Calculations'!$HS$13:$HS$512,"="&amp;SUBSTITUTE(SUBSTITUTE(SUBSTITUTE('Calculations'!HF160,"~","~~"),"*","~*"),"?","~?"),'Calculations'!$HN$13:$HN$512,"="&amp;SUBSTITUTE(SUBSTITUTE(SUBSTITUTE('Dashboard'!$B$7,"~","~~"),"*","~*"),"?","~?"))+COUNTIFS('Calculations'!$HT$13:$HT$512,"="&amp;SUBSTITUTE(SUBSTITUTE(SUBSTITUTE('Calculations'!HF160,"~","~~"),"*","~*"),"?","~?"),'Calculations'!$HN$13:$HN$512,"="&amp;SUBSTITUTE(SUBSTITUTE(SUBSTITUTE('Dashboard'!$B$7,"~","~~"),"*","~*"),"?","~?"))+COUNTIFS('Calculations'!$HU$13:$HU$512,"="&amp;SUBSTITUTE(SUBSTITUTE(SUBSTITUTE('Calculations'!HF160,"~","~~"),"*","~*"),"?","~?"),'Calculations'!$HN$13:$HN$512,"="&amp;SUBSTITUTE(SUBSTITUTE(SUBSTITUTE('Dashboard'!$B$7,"~","~~"),"*","~*"),"?","~?"))+COUNTIFS('Calculations'!$HV$13:$HV$512,"="&amp;SUBSTITUTE(SUBSTITUTE(SUBSTITUTE('Calculations'!HF160,"~","~~"),"*","~*"),"?","~?"),'Calculations'!$HN$13:$HN$512,"="&amp;SUBSTITUTE(SUBSTITUTE(SUBSTITUTE('Dashboard'!$B$7,"~","~~"),"*","~*"),"?","~?"))+COUNTIFS('Calculations'!$HW$13:$HW$512,"="&amp;SUBSTITUTE(SUBSTITUTE(SUBSTITUTE('Calculations'!HF160,"~","~~"),"*","~*"),"?","~?"),'Calculations'!$HN$13:$HN$512,"="&amp;SUBSTITUTE(SUBSTITUTE(SUBSTITUTE('Dashboard'!$B$7,"~","~~"),"*","~*"),"?","~?"))+COUNTIFS('Calculations'!$HX$13:$HX$512,"="&amp;SUBSTITUTE(SUBSTITUTE(SUBSTITUTE('Calculations'!HF160,"~","~~"),"*","~*"),"?","~?"),'Calculations'!$HN$13:$HN$512,"="&amp;SUBSTITUTE(SUBSTITUTE(SUBSTITUTE('Dashboard'!$B$7,"~","~~"),"*","~*"),"?","~?"))+COUNTIFS('Calculations'!$HY$13:$HY$512,"="&amp;SUBSTITUTE(SUBSTITUTE(SUBSTITUTE('Calculations'!HF160,"~","~~"),"*","~*"),"?","~?"),'Calculations'!$HN$13:$HN$512,"="&amp;SUBSTITUTE(SUBSTITUTE(SUBSTITUTE('Dashboard'!$B$7,"~","~~"),"*","~*"),"?","~?"))+COUNTIFS('Calculations'!$HZ$13:$HZ$512,"="&amp;SUBSTITUTE(SUBSTITUTE(SUBSTITUTE('Calculations'!HF160,"~","~~"),"*","~*"),"?","~?"),'Calculations'!$HN$13:$HN$512,"="&amp;SUBSTITUTE(SUBSTITUTE(SUBSTITUTE('Dashboard'!$B$7,"~","~~"),"*","~*"),"?","~?"))+COUNTIFS('Calculations'!$IA$13:$IA$512,"="&amp;SUBSTITUTE(SUBSTITUTE(SUBSTITUTE('Calculations'!HF160,"~","~~"),"*","~*"),"?","~?"),'Calculations'!$HN$13:$HN$512,"="&amp;SUBSTITUTE(SUBSTITUTE(SUBSTITUTE('Dashboard'!$B$7,"~","~~"),"*","~*"),"?","~?"))+COUNTIFS('Calculations'!$IB$13:$IB$512,"="&amp;SUBSTITUTE(SUBSTITUTE(SUBSTITUTE('Calculations'!HF160,"~","~~"),"*","~*"),"?","~?"),'Calculations'!$HN$13:$HN$512,"="&amp;SUBSTITUTE(SUBSTITUTE(SUBSTITUTE('Dashboard'!$B$7,"~","~~"),"*","~*"),"?","~?"))+COUNTIFS('Calculations'!$IC$13:$IC$512,"="&amp;SUBSTITUTE(SUBSTITUTE(SUBSTITUTE('Calculations'!HF160,"~","~~"),"*","~*"),"?","~?"),'Calculations'!$HN$13:$HN$512,"="&amp;SUBSTITUTE(SUBSTITUTE(SUBSTITUTE('Dashboard'!$B$7,"~","~~"),"*","~*"),"?","~?"))+COUNTIFS('Calculations'!$ID$13:$ID$512,"="&amp;SUBSTITUTE(SUBSTITUTE(SUBSTITUTE('Calculations'!HF160,"~","~~"),"*","~*"),"?","~?"),'Calculations'!$HN$13:$HN$512,"="&amp;SUBSTITUTE(SUBSTITUTE(SUBSTITUTE('Dashboard'!$B$7,"~","~~"),"*","~*"),"?","~?"))+COUNTIFS('Calculations'!$IE$13:$IE$512,"="&amp;SUBSTITUTE(SUBSTITUTE(SUBSTITUTE('Calculations'!HF160,"~","~~"),"*","~*"),"?","~?"),'Calculations'!$HN$13:$HN$512,"="&amp;SUBSTITUTE(SUBSTITUTE(SUBSTITUTE('Dashboard'!$B$7,"~","~~"),"*","~*"),"?","~?"))+COUNTIFS('Calculations'!$IF$13:$IF$512,"="&amp;SUBSTITUTE(SUBSTITUTE(SUBSTITUTE('Calculations'!HF160,"~","~~"),"*","~*"),"?","~?"),'Calculations'!$HN$13:$HN$512,"="&amp;SUBSTITUTE(SUBSTITUTE(SUBSTITUTE('Dashboard'!$B$7,"~","~~"),"*","~*"),"?","~?"))+COUNTIFS('Calculations'!$IG$13:$IG$512,"="&amp;SUBSTITUTE(SUBSTITUTE(SUBSTITUTE('Calculations'!HF160,"~","~~"),"*","~*"),"?","~?"),'Calculations'!$HN$13:$HN$512,"="&amp;SUBSTITUTE(SUBSTITUTE(SUBSTITUTE('Dashboard'!$B$7,"~","~~"),"*","~*"),"?","~?"))+COUNTIFS('Calculations'!$IH$13:$IH$512,"="&amp;SUBSTITUTE(SUBSTITUTE(SUBSTITUTE('Calculations'!HF160,"~","~~"),"*","~*"),"?","~?"),'Calculations'!$HN$13:$HN$512,"="&amp;SUBSTITUTE(SUBSTITUTE(SUBSTITUTE('Dashboard'!$B$7,"~","~~"),"*","~*"),"?","~?"))))</x:f>
        <x:v>0</x:v>
      </x:c>
      <x:c r="JD160" t="n">
        <x:f>IF('Calculations'!EM160="",0,IF('Dashboard'!$B$7="All",1,IF('Calculations'!HN160='Dashboard'!$B$7,1,0)+IFERROR(INDEX('Calculations'!$JC$13:$JC$512,MATCH('Calculations'!HE160,'Calculations'!$HF$13:$HF$512,0)),0)))</x:f>
        <x:v>0</x:v>
      </x:c>
      <x:c r="JE160" t="n">
        <x:f>IF(AND('Calculations'!EM160&lt;&gt;"",'Calculations'!$JJ$2&lt;&gt;"All",'Calculations'!$JJ$2&lt;&gt;"",'Calculations'!HF160='Calculations'!$JJ$2,'Calculations'!HL160=0,'Calculations'!JD160&gt;0),MAX('Calculations'!$JE$12:JE159)+1,0)</x:f>
        <x:v>0</x:v>
      </x:c>
      <x:c r="JF160" t="str">
        <x:f>IF('Calculations'!EM160="","",IFERROR(IF(INDEX(INDIRECT("'WCM Calibration Final'!$G$1:$G$2000"),'Calculations'!$EM160)="","",TRIM(INDEX(INDIRECT("'WCM Calibration Final'!$G$1:$G$2000"),'Calculations'!$EM160)&amp;"")),""))</x:f>
      </x:c>
      <x:c r="JQ160" t="n">
        <x:f>IF(OR('Calculations'!BM160=0,NOT('Calculations'!$AG$2),'Calculations'!$AG$8&gt;0),0,IF(OR('Dashboard'!$B$7="All",'Calculations'!HN160='Dashboard'!$B$7),IF('Calculations'!$JJ$2="All",1,IF(AND('Calculations'!HF160='Calculations'!$JJ$2,'Calculations'!HL160=0),1,0)),0))</x:f>
        <x:v>0</x:v>
      </x:c>
    </x:row>
    <x:row r="161">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t="n">
        <x:f>IF('Calculations'!$EM161="",0,IF(OR(IFERROR(INDEX(INDIRECT("'WCM Calibration Final'!$A$1:$A$2000"),'Calculations'!$EM161)&lt;&gt;"",FALSE),IFERROR(INDEX(INDIRECT("'WCM Calibration Final'!$B$1:$B$2000"),'Calculations'!$EM161)&lt;&gt;"",FALSE),IFERROR(INDEX(INDIRECT("'WCM Calibration Final'!$C$1:$C$2000"),'Calculations'!$EM161)&lt;&gt;"",FALSE)),1,0))</x:f>
        <x:v>0</x:v>
      </x:c>
      <x:c r="BN161" s="4" t="n">
        <x:f>IF(AND('Calculations'!BM161=1,'Calculations'!$AG$2,'Calculations'!$EN161=1),1,0)</x:f>
        <x:v>0</x:v>
      </x:c>
      <x:c r="BO161" s="4" t="str">
        <x:f>IF('Calculations'!BM161=0,"",IFERROR(IF(AND(VALUE(INDEX(INDIRECT("'WCM Calibration Final'!$K$1:$K$2000"),'Calculations'!$EM161))&gt;=1,VALUE(INDEX(INDIRECT("'WCM Calibration Final'!$K$1:$K$2000"),'Calculations'!$EM161))&lt;=4,MOD(VALUE(INDEX(INDIRECT("'WCM Calibration Final'!$K$1:$K$2000"),'Calculations'!$EM161)),1)=0),VALUE(INDEX(INDIRECT("'WCM Calibration Final'!$K$1:$K$2000"),'Calculations'!$EM161)),""),""))</x:f>
      </x:c>
      <x:c r="BP161" s="4" t="str">
        <x:f>IF('Calculations'!BM161=0,"",IFERROR(IF(AND(VALUE(INDEX(INDIRECT("'WCM Calibration Final'!$L$1:$L$2000"),'Calculations'!$EM161))&gt;=1,VALUE(INDEX(INDIRECT("'WCM Calibration Final'!$L$1:$L$2000"),'Calculations'!$EM161))&lt;=4,MOD(VALUE(INDEX(INDIRECT("'WCM Calibration Final'!$L$1:$L$2000"),'Calculations'!$EM161)),1)=0),VALUE(INDEX(INDIRECT("'WCM Calibration Final'!$L$1:$L$2000"),'Calculations'!$EM161)),""),""))</x:f>
      </x:c>
      <x:c r="BQ161" s="4"/>
      <x:c r="BR161" s="4"/>
      <x:c r="BS161" s="4"/>
      <x:c r="BT161" s="4" t="n">
        <x:f>IF(AND('Calculations'!BM161=1,ISNUMBER('Calculations'!BO161),ISNUMBER('Calculations'!BP161)),1,0)</x:f>
        <x:v>0</x:v>
      </x:c>
      <x:c r="BU161" s="4" t="str">
        <x:f>IF('Calculations'!BM161=0,"",'Calculations'!$EO161)</x:f>
      </x:c>
      <x:c r="BV161" s="4" t="str">
        <x:f>IF('Calculations'!BM161=0,"",IFERROR(IF(OR(INDEX(INDIRECT("'WCM Calibration Final'!$H$1:$H$2000"),'Calculations'!$EM161)="MANAGING DIRECTOR",INDEX(INDIRECT("'WCM Calibration Final'!$H$1:$H$2000"),'Calculations'!$EM161)="DIRECTOR",INDEX(INDIRECT("'WCM Calibration Final'!$H$1:$H$2000"),'Calculations'!$EM161)="SENIOR VICE PRESIDENT",INDEX(INDIRECT("'WCM Calibration Final'!$H$1:$H$2000"),'Calculations'!$EM161)="VICE PRESIDENT",INDEX(INDIRECT("'WCM Calibration Final'!$H$1:$H$2000"),'Calculations'!$EM161)="ASSISTANT VICE PRESIDENT",INDEX(INDIRECT("'WCM Calibration Final'!$H$1:$H$2000"),'Calculations'!$EM161)="OFFICER"),UPPER(INDEX(INDIRECT("'WCM Calibration Final'!$H$1:$H$2000"),'Calculations'!$EM161)),"Other"),"Other"))</x:f>
      </x:c>
      <x:c r="BW161" s="4"/>
      <x:c r="BX161" s="4"/>
      <x:c r="BY161" s="4" t="n">
        <x:f>IF(AND('Calculations'!BM161=1,'Calculations'!BU161&lt;&gt;"",COUNTIF('Calculations'!$BU$12:BU161,'Calculations'!BU161)=1),MAX('Calculations'!$BY$11:BY160)+1,0)</x:f>
        <x:v>0</x:v>
      </x:c>
      <x:c r="BZ161" s="4" t="str">
        <x:f>IF('Dashboard'!$E$67="What",'Calculations'!BO161,'Calculations'!BP161)</x:f>
      </x:c>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t="str">
        <x:f>IF(150&gt;MAX('Calculations'!$HI$13:$HI$512),"",INDEX('Calculations'!$HN$13:$HN$512,MATCH(150,'Calculations'!$HI$13:$HI$512,0)))</x:f>
      </x:c>
      <x:c r="DB161" s="4" t="str">
        <x:f>IF(150&gt;MAX('Calculations'!$HH$13:$HH$512),"",INDEX('Calculations'!$HJ$13:$HJ$512,MATCH(150,'Calculations'!$HH$13:$HH$512,0)))</x:f>
      </x:c>
      <x:c r="DC161" s="4" t="str">
        <x:f>IF(ROW()-11&gt;MAX('Calculations'!$BY$13:$BY$512),"",INDEX('Calculations'!$BU$13:$BU$512,MATCH(ROW()-11,'Calculations'!$BY$13:$BY$512,0)))</x:f>
      </x:c>
      <x:c r="DD161" s="4" t="str">
        <x:f>IF(150&gt;MAX('Calculations'!$IK$13:$IK$512),"",INDEX('Calculations'!$HK$13:$HK$512,MATCH(150,'Calculations'!$IK$13:$IK$512,0)))</x:f>
      </x:c>
      <x:c r="DE161" s="4" t="str">
        <x:f>'Calculations'!DC161</x:f>
      </x:c>
      <x:c r="DF161" s="4" t="str">
        <x:f>IF('Calculations'!DE161="","",COUNTIFS('Calculations'!$BN$13:$BN$512,1,'Calculations'!$BU$13:$BU$512,'Calculations'!DE161))</x:f>
      </x:c>
      <x:c r="DG161" s="4" t="str">
        <x:f>IF('Calculations'!DE161="","",COUNTIFS('Calculations'!$BN$13:$BN$512,1,'Calculations'!$BU$13:$BU$512,'Calculations'!DE161,'Calculations'!$BT$13:$BT$512,1))</x:f>
      </x:c>
      <x:c r="DH161" s="4" t="str">
        <x:f>IF('Calculations'!DE161="","",'Calculations'!DF161-'Calculations'!DG161)</x:f>
      </x:c>
      <x:c r="DI161" s="4" t="str">
        <x:f>IF(OR('Calculations'!DE161="",'Calculations'!DF161=0),"",'Calculations'!DG161/'Calculations'!DF161)</x:f>
      </x:c>
      <x:c r="DJ161" s="4" t="str">
        <x:f>IF('Calculations'!DE161="","",COUNTIFS('Calculations'!$BN$13:$BN$512,1,'Calculations'!$BU$13:$BU$512,'Calculations'!DE161,'Calculations'!$BT$13:$BT$512,1,'Calculations'!$EE$13:$EE$512,"High"))</x:f>
      </x:c>
      <x:c r="DK161" s="4" t="str">
        <x:f>IF('Calculations'!DE161="","",COUNTIFS('Calculations'!$BN$13:$BN$512,1,'Calculations'!$BU$13:$BU$512,'Calculations'!DE161,'Calculations'!$BT$13:$BT$512,1,'Calculations'!$EE$13:$EE$512,"Strong"))</x:f>
      </x:c>
      <x:c r="DL161" s="4" t="str">
        <x:f>IF('Calculations'!DE161="","",COUNTIFS('Calculations'!$BN$13:$BN$512,1,'Calculations'!$BU$13:$BU$512,'Calculations'!DE161,'Calculations'!$BT$13:$BT$512,1,'Calculations'!$EE$13:$EE$512,"Solid"))</x:f>
      </x:c>
      <x:c r="DM161" s="4" t="str">
        <x:f>IF('Calculations'!DE161="","",COUNTIFS('Calculations'!$BN$13:$BN$512,1,'Calculations'!$BU$13:$BU$512,'Calculations'!DE161,'Calculations'!$BT$13:$BT$512,1,'Calculations'!$EE$13:$EE$512,"Low"))</x:f>
      </x:c>
      <x:c r="DN161" s="4" t="str">
        <x:f>IF('Calculations'!DE161="","",COUNTIFS('Calculations'!$BN$13:$BN$512,1,'Calculations'!$BU$13:$BU$512,'Calculations'!DE161,'Calculations'!$EP$13:$EP$512,1))</x:f>
      </x:c>
      <x:c r="DO161" s="4" t="str">
        <x:f>IF(OR('Calculations'!DE161="",'Calculations'!DG161=0),"",('Calculations'!DJ161+'Calculations'!DK161)/'Calculations'!DG161)</x:f>
      </x:c>
      <x:c r="DP161" s="4" t="n">
        <x:f>IF(AND('Calculations'!DE161&lt;&gt;"",'Calculations'!DF161&gt;0),COUNTIF('Calculations'!$DF$12:DF161,"&gt;0"),0)</x:f>
        <x:v>0</x:v>
      </x:c>
      <x:c r="DQ161" s="4" t="str">
        <x:f>IF(150&gt;MAX('Calculations'!$HH$13:$HH$512),"",INDEX('Calculations'!$HF$13:$HF$512,MATCH(150,'Calculations'!$HH$13:$HH$512,0)))</x:f>
      </x:c>
      <x:c r="DR161" s="4" t="str">
        <x:f>IF(150&gt;MAX('Calculations'!$IK$13:$IK$512),"",INDEX('Calculations'!$HE$13:$HE$512,MATCH(150,'Calculations'!$IK$13:$IK$512,0)))</x:f>
      </x:c>
      <x:c r="DS161" s="4"/>
      <x:c r="DT161" s="4"/>
      <x:c r="DU161" s="4"/>
      <x:c r="DV161" s="4"/>
      <x:c r="DW161" s="4"/>
      <x:c r="DX161" s="4"/>
      <x:c r="DY161" s="4"/>
      <x:c r="DZ161" s="4"/>
      <x:c r="EA161" s="4"/>
      <x:c r="EB161" s="4"/>
      <x:c r="EC161" s="4"/>
      <x:c r="ED161" s="4"/>
      <x:c r="EE161" s="4" t="str">
        <x:f>IF('Calculations'!BT161=0,"Not Rated",IF(OR('Calculations'!BO161&gt;=4,'Calculations'!BP161&gt;=4),"Low",IF('Calculations'!BO161+'Calculations'!BP161&lt;=3,"High",IF('Calculations'!BO161+'Calculations'!BP161&lt;=4,"Strong","Solid"))))</x:f>
        <x:v>Not Rated</x:v>
      </x:c>
      <x:c r="EF161" s="4"/>
      <x:c r="EG161" s="4"/>
      <x:c r="EH161" s="4"/>
      <x:c r="EI161" s="4"/>
      <x:c r="EJ161" s="4"/>
      <x:c r="EK161" s="4"/>
      <x:c r="EL161" s="4"/>
      <x:c r="EM161" s="4" t="str">
        <x:f>IF(149&gt;'Calculations'!$JB$2000,"",INDEX('Calculations'!$JA$12:$JA$2000,MATCH(149,'Calculations'!$JB$12:$JB$2000,0)))</x:f>
      </x:c>
      <x:c r="EN161" s="4" t="n">
        <x:f>IF(OR('Calculations'!EM161="",'Calculations'!$AG$8&gt;0,AND('Calculations'!$EF$2&lt;&gt;"All",'Calculations'!HE161='Calculations'!$EF$2),AND('Calculations'!$EF$3&lt;&gt;"All",'Calculations'!HE161='Calculations'!$EF$3)),0,IF(OR('Dashboard'!$B$7="All",'Calculations'!HN161='Dashboard'!$B$7),IF('Calculations'!$EF$2="All",1,IF('Calculations'!HL161&gt;0,0,IF(COUNTIF('Calculations'!HO161:II161,"="&amp;SUBSTITUTE(SUBSTITUTE(SUBSTITUTE('Calculations'!$EF$2,"~","~~"),"*","~*"),"?","~?"))=0,0,IF('Calculations'!$EF$3="All",1,IF(COUNTIF('Calculations'!HO161:II161,"="&amp;SUBSTITUTE(SUBSTITUTE(SUBSTITUTE('Calculations'!$EF$3,"~","~~"),"*","~*"),"?","~?"))&gt;0,1,0))))),0))</x:f>
        <x:v>0</x:v>
      </x:c>
      <x:c r="EO161" s="4" t="str">
        <x:f>IF('Calculations'!IJ161="","",IF('Calculations'!IJ161="!UNRESOLVED","Unresolved hierarchy",IFERROR(INDEX('Calculations'!$HK$13:$HK$512,MATCH('Calculations'!IJ161,'Calculations'!$HE$13:$HE$512,0)),IFERROR(INDEX('Calculations'!$HJ$13:$HJ$512,MATCH('Calculations'!IJ161,'Calculations'!$HF$13:$HF$512,0)),'Calculations'!IJ161))))</x:f>
      </x:c>
      <x:c r="EP161" s="4" t="n">
        <x:f>IF(AND('Calculations'!EM161&lt;&gt;"",'Calculations'!HF161='Calculations'!IJ161),1,0)</x:f>
        <x:v>0</x:v>
      </x:c>
      <x:c r="EQ161" s="4"/>
      <x:c r="ER161" s="4"/>
      <x:c r="ES161" s="4"/>
      <x:c r="ET161" s="4"/>
      <x:c r="EU161" s="4"/>
      <x:c r="EV161" s="4"/>
      <x:c r="EW161" s="4"/>
      <x:c r="EX161" s="4"/>
      <x:c r="EY161" s="4"/>
      <x:c r="EZ161" s="4"/>
      <x:c r="FA161" s="4"/>
      <x:c r="FB161" s="4"/>
      <x:c r="FC161" s="4"/>
      <x:c r="FD161" s="4"/>
      <x:c r="FE161" s="4"/>
      <x:c r="FF161" s="4"/>
      <x:c r="FG161" s="4"/>
      <x:c r="FH161" s="4"/>
      <x:c r="FI161" s="4"/>
      <x:c r="FJ161" s="4"/>
      <x:c r="FK161" s="4"/>
      <x:c r="FL161" s="4"/>
      <x:c r="FM161" s="4"/>
      <x:c r="FN161" s="4"/>
      <x:c r="FO161" s="4"/>
      <x:c r="GA161" s="71"/>
      <x:c r="GB161" s="71"/>
      <x:c r="GC161" s="71"/>
      <x:c r="GD161" s="71"/>
      <x:c r="GE161" s="71"/>
      <x:c r="GF161" s="71"/>
      <x:c r="GG161" s="71"/>
      <x:c r="GH161" s="71"/>
      <x:c r="GI161" s="71"/>
      <x:c r="GJ161" s="71"/>
      <x:c r="GK161" s="71"/>
      <x:c r="GL161" s="71" t="n">
        <x:f>COUNTIFS('Calculations'!$JQ$13:$JQ$512,1,'Calculations'!$BO$13:$BO$512,3)</x:f>
        <x:v>0</x:v>
      </x:c>
      <x:c r="GM161" s="71"/>
      <x:c r="GN161" s="71"/>
      <x:c r="GO161" s="71" t="str">
        <x:f>IF(SUM('Calculations'!$GL$159:$GL$162)=0,"",'Calculations'!GL161/SUM('Calculations'!$GL$159:$GL$162))</x:f>
      </x:c>
      <x:c r="GP161" s="71"/>
      <x:c r="GQ161" s="71"/>
      <x:c r="GR161" s="71" t="n">
        <x:f>IF(COUNT('Dashboard'!R143)=0,"",IF(AND('Dashboard'!R143&gt;=0,'Dashboard'!R143&lt;=1),'Dashboard'!R143,""))</x:f>
        <x:v>0.65</x:v>
      </x:c>
      <x:c r="GS161" s="71"/>
      <x:c r="GT161" s="71"/>
      <x:c r="GU161" s="71" t="str">
        <x:f>IF(COUNT('Calculations'!GO161,'Calculations'!GR161)&lt;2,"",100*('Calculations'!GO161-'Calculations'!GR161))</x:f>
      </x:c>
      <x:c r="GV161" s="71"/>
      <x:c r="GW161" s="71"/>
      <x:c r="GX161" s="71" t="str">
        <x:f>IF(NOT('Calculations'!$AG$2),"Source unavailable",IF('Calculations'!$AG$8&gt;0,"Check filters",IF(COUNT('Calculations'!GO161)=0,"No ratings",IF(COUNT('Calculations'!GR161)=0,"No threshold",IF('Calculations'!GO161&gt;'Calculations'!GR161,"Above threshold","Within threshold")))))</x:f>
        <x:v>Source unavailable</x:v>
      </x:c>
      <x:c r="GY161" s="71"/>
      <x:c r="GZ161" s="71"/>
      <x:c r="HA161" s="71"/>
      <x:c r="HB161" s="71"/>
      <x:c r="HC161" s="71"/>
      <x:c r="HD161" s="71"/>
      <x:c r="HE161" t="str">
        <x:f>IF('Calculations'!EM161="","",IF(IFERROR(IF(INDEX(INDIRECT("'WCM Calibration Final'!$A$1:$A$2000"),'Calculations'!$EM161)="","",TRIM(INDEX(INDIRECT("'WCM Calibration Final'!$A$1:$A$2000"),'Calculations'!$EM161)&amp;"")),"")&lt;&gt;"","G:"&amp;IFERROR(TEXT(1*INDEX(INDIRECT("'WCM Calibration Final'!$A$1:$A$2000"),'Calculations'!$EM161),"0"),UPPER(IFERROR(IF(INDEX(INDIRECT("'WCM Calibration Final'!$A$1:$A$2000"),'Calculations'!$EM161)="","",TRIM(INDEX(INDIRECT("'WCM Calibration Final'!$A$1:$A$2000"),'Calculations'!$EM161)&amp;"")),""))),IF(IFERROR(IF(INDEX(INDIRECT("'WCM Calibration Final'!$C$1:$C$2000"),'Calculations'!$EM161)="","",TRIM(INDEX(INDIRECT("'WCM Calibration Final'!$C$1:$C$2000"),'Calculations'!$EM161)&amp;"")),"")&lt;&gt;"","S:"&amp;UPPER(IFERROR(IF(INDEX(INDIRECT("'WCM Calibration Final'!$C$1:$C$2000"),'Calculations'!$EM161)="","",TRIM(INDEX(INDIRECT("'WCM Calibration Final'!$C$1:$C$2000"),'Calculations'!$EM161)&amp;"")),"")),"R:"&amp;'Calculations'!EM161)))</x:f>
      </x:c>
      <x:c r="HF161" t="str">
        <x:f>IF('Calculations'!EM161="","",IF(IFERROR(IF(INDEX(INDIRECT("'WCM Calibration Final'!$D$1:$D$2000"),'Calculations'!$EM161)="","",TRIM(INDEX(INDIRECT("'WCM Calibration Final'!$D$1:$D$2000"),'Calculations'!$EM161)&amp;"")),"")&lt;&gt;"","G:"&amp;IFERROR(TEXT(1*INDEX(INDIRECT("'WCM Calibration Final'!$D$1:$D$2000"),'Calculations'!$EM161),"0"),UPPER(IFERROR(IF(INDEX(INDIRECT("'WCM Calibration Final'!$D$1:$D$2000"),'Calculations'!$EM161)="","",TRIM(INDEX(INDIRECT("'WCM Calibration Final'!$D$1:$D$2000"),'Calculations'!$EM161)&amp;"")),""))),IF(IFERROR(IF(INDEX(INDIRECT("'WCM Calibration Final'!$E$1:$E$2000"),'Calculations'!$EM161)="","",TRIM(INDEX(INDIRECT("'WCM Calibration Final'!$E$1:$E$2000"),'Calculations'!$EM161)&amp;"")),"")="","",IF(COUNTIF('Calculations'!$HG$13:$HG$512,"="&amp;SUBSTITUTE(SUBSTITUTE(SUBSTITUTE(IFERROR(IF(INDEX(INDIRECT("'WCM Calibration Final'!$E$1:$E$2000"),'Calculations'!$EM161)="","",TRIM(INDEX(INDIRECT("'WCM Calibration Final'!$E$1:$E$2000"),'Calculations'!$EM161)&amp;"")),""),"~","~~"),"*","~*"),"?","~?"))=1,INDEX('Calculations'!$HE$13:$HE$512,MATCH(IFERROR(IF(INDEX(INDIRECT("'WCM Calibration Final'!$E$1:$E$2000"),'Calculations'!$EM161)="","",TRIM(INDEX(INDIRECT("'WCM Calibration Final'!$E$1:$E$2000"),'Calculations'!$EM161)&amp;"")),""),'Calculations'!$HG$13:$HG$512,0)),IF(COUNTIF('Calculations'!$HG$13:$HG$512,"="&amp;SUBSTITUTE(SUBSTITUTE(SUBSTITUTE(IFERROR(IF(INDEX(INDIRECT("'WCM Calibration Final'!$E$1:$E$2000"),'Calculations'!$EM161)="","",TRIM(INDEX(INDIRECT("'WCM Calibration Final'!$E$1:$E$2000"),'Calculations'!$EM161)&amp;"")),""),"~","~~"),"*","~*"),"?","~?"))&gt;1,"!AMBIG","X:"&amp;IFERROR(IF(INDEX(INDIRECT("'WCM Calibration Final'!$E$1:$E$2000"),'Calculations'!$EM161)="","",TRIM(INDEX(INDIRECT("'WCM Calibration Final'!$E$1:$E$2000"),'Calculations'!$EM161)&amp;"")),""))))))</x:f>
      </x:c>
      <x:c r="HG161" t="str">
        <x:f>IF('Calculations'!EM161="","",IFERROR(IF(INDEX(INDIRECT("'WCM Calibration Final'!$B$1:$B$2000"),'Calculations'!$EM161)="","",TRIM(INDEX(INDIRECT("'WCM Calibration Final'!$B$1:$B$2000"),'Calculations'!$EM161)&amp;"")),""))</x:f>
      </x:c>
      <x:c r="HH161" t="n">
        <x:f>IF(AND('Calculations'!JC161&gt;0,COUNTIF('Calculations'!$HF$12:HF161,"="&amp;SUBSTITUTE(SUBSTITUTE(SUBSTITUTE('Calculations'!HF161,"~","~~"),"*","~*"),"?","~?"))=1),MAX('Calculations'!$HH$12:HH160)+1,0)</x:f>
        <x:v>0</x:v>
      </x:c>
      <x:c r="HI161" t="n">
        <x:f>IF(AND('Calculations'!HN161&lt;&gt;"",COUNTIF('Calculations'!$HN$12:HN161,"="&amp;SUBSTITUTE(SUBSTITUTE(SUBSTITUTE('Calculations'!HN161,"~","~~"),"*","~*"),"?","~?"))=1),MAX('Calculations'!$HI$12:HI160)+1,0)</x:f>
        <x:v>0</x:v>
      </x:c>
      <x:c r="HJ161" t="str">
        <x:f>IF('Calculations'!HF161="","",IF(COUNTIF('Calculations'!$HE$13:$HE$512,"="&amp;SUBSTITUTE(SUBSTITUTE(SUBSTITUTE('Calculations'!HF161,"~","~~"),"*","~*"),"?","~?"))=1,INDEX('Calculations'!$HK$13:$HK$512,MATCH('Calculations'!HF161,'Calculations'!$HE$13:$HE$512,0)),IFERROR(IF(INDEX(INDIRECT("'WCM Calibration Final'!$E$1:$E$2000"),'Calculations'!$EM161)="","",TRIM(INDEX(INDIRECT("'WCM Calibration Final'!$E$1:$E$2000"),'Calculations'!$EM161)&amp;"")),"")&amp;" ["&amp;'Calculations'!HF161&amp;"]"))</x:f>
      </x:c>
      <x:c r="HK161" t="str">
        <x:f>IF('Calculations'!EM161="","",'Calculations'!HG161&amp;" ["&amp;'Calculations'!HE161&amp;"]")</x:f>
      </x:c>
      <x:c r="HL161" t="n">
        <x:f>IF('Calculations'!EM161="",0,IF(OR('Calculations'!II161&lt;&gt;"",COUNTIF('Calculations'!$HE$13:$HE$512,"="&amp;SUBSTITUTE(SUBSTITUTE(SUBSTITUTE('Calculations'!HE161,"~","~~"),"*","~*"),"?","~?"))&gt;1),1,0))</x:f>
        <x:v>0</x:v>
      </x:c>
      <x:c r="HM161" t="str">
        <x:f>IF('Calculations'!EM161="","",IF('Calculations'!HL161=1,"!UNRESOLVED",IF('Calculations'!IH161&lt;&gt;"",'Calculations'!IH161,IF('Calculations'!IG161&lt;&gt;"",'Calculations'!IG161,IF('Calculations'!IF161&lt;&gt;"",'Calculations'!IF161,IF('Calculations'!IE161&lt;&gt;"",'Calculations'!IE161,IF('Calculations'!ID161&lt;&gt;"",'Calculations'!ID161,IF('Calculations'!IC161&lt;&gt;"",'Calculations'!IC161,IF('Calculations'!IB161&lt;&gt;"",'Calculations'!IB161,IF('Calculations'!IA161&lt;&gt;"",'Calculations'!IA161,IF('Calculations'!HZ161&lt;&gt;"",'Calculations'!HZ161,IF('Calculations'!HY161&lt;&gt;"",'Calculations'!HY161,IF('Calculations'!HX161&lt;&gt;"",'Calculations'!HX161,IF('Calculations'!HW161&lt;&gt;"",'Calculations'!HW161,IF('Calculations'!HV161&lt;&gt;"",'Calculations'!HV161,IF('Calculations'!HU161&lt;&gt;"",'Calculations'!HU161,IF('Calculations'!HT161&lt;&gt;"",'Calculations'!HT161,IF('Calculations'!HS161&lt;&gt;"",'Calculations'!HS161,IF('Calculations'!HR161&lt;&gt;"",'Calculations'!HR161,IF('Calculations'!HQ161&lt;&gt;"",'Calculations'!HQ161,IF('Calculations'!HP161&lt;&gt;"",'Calculations'!HP161,IF('Calculations'!HO161&lt;&gt;"",'Calculations'!HO161,'Calculations'!HE161))))))))))))))))))))))</x:f>
      </x:c>
      <x:c r="HN161" t="str">
        <x:f>IF('Calculations'!EM161="","",IF(IFERROR(IF(INDEX(INDIRECT("'WCM Calibration Final'!$F$1:$F$2000"),'Calculations'!$EM161)="","",TRIM(INDEX(INDIRECT("'WCM Calibration Final'!$F$1:$F$2000"),'Calculations'!$EM161)&amp;"")),"")="","(Blank)",IFERROR(IF(INDEX(INDIRECT("'WCM Calibration Final'!$F$1:$F$2000"),'Calculations'!$EM161)="","",TRIM(INDEX(INDIRECT("'WCM Calibration Final'!$F$1:$F$2000"),'Calculations'!$EM161)&amp;"")),"")))</x:f>
      </x:c>
      <x:c r="HO161" t="str">
        <x:f>'Calculations'!HF161</x:f>
      </x:c>
      <x:c r="HP161" t="str">
        <x:f>IF('Calculations'!HO161="","",IF('Calculations'!HO161="!AMBIG","!AMBIG",IF(COUNTIF('Calculations'!$HE$13:$HE$512,"="&amp;SUBSTITUTE(SUBSTITUTE(SUBSTITUTE('Calculations'!HO161,"~","~~"),"*","~*"),"?","~?"))&gt;1,"!AMBIG",IFERROR(INDEX('Calculations'!$HF$13:$HF$512,MATCH('Calculations'!HO161,'Calculations'!$HE$13:$HE$512,0)),""))))</x:f>
      </x:c>
      <x:c r="HQ161" t="str">
        <x:f>IF('Calculations'!HP161="","",IF('Calculations'!HP161="!AMBIG","!AMBIG",IF(COUNTIF('Calculations'!$HE$13:$HE$512,"="&amp;SUBSTITUTE(SUBSTITUTE(SUBSTITUTE('Calculations'!HP161,"~","~~"),"*","~*"),"?","~?"))&gt;1,"!AMBIG",IFERROR(INDEX('Calculations'!$HF$13:$HF$512,MATCH('Calculations'!HP161,'Calculations'!$HE$13:$HE$512,0)),""))))</x:f>
      </x:c>
      <x:c r="HR161" t="str">
        <x:f>IF('Calculations'!HQ161="","",IF('Calculations'!HQ161="!AMBIG","!AMBIG",IF(COUNTIF('Calculations'!$HE$13:$HE$512,"="&amp;SUBSTITUTE(SUBSTITUTE(SUBSTITUTE('Calculations'!HQ161,"~","~~"),"*","~*"),"?","~?"))&gt;1,"!AMBIG",IFERROR(INDEX('Calculations'!$HF$13:$HF$512,MATCH('Calculations'!HQ161,'Calculations'!$HE$13:$HE$512,0)),""))))</x:f>
      </x:c>
      <x:c r="HS161" t="str">
        <x:f>IF('Calculations'!HR161="","",IF('Calculations'!HR161="!AMBIG","!AMBIG",IF(COUNTIF('Calculations'!$HE$13:$HE$512,"="&amp;SUBSTITUTE(SUBSTITUTE(SUBSTITUTE('Calculations'!HR161,"~","~~"),"*","~*"),"?","~?"))&gt;1,"!AMBIG",IFERROR(INDEX('Calculations'!$HF$13:$HF$512,MATCH('Calculations'!HR161,'Calculations'!$HE$13:$HE$512,0)),""))))</x:f>
      </x:c>
      <x:c r="HT161" t="str">
        <x:f>IF('Calculations'!HS161="","",IF('Calculations'!HS161="!AMBIG","!AMBIG",IF(COUNTIF('Calculations'!$HE$13:$HE$512,"="&amp;SUBSTITUTE(SUBSTITUTE(SUBSTITUTE('Calculations'!HS161,"~","~~"),"*","~*"),"?","~?"))&gt;1,"!AMBIG",IFERROR(INDEX('Calculations'!$HF$13:$HF$512,MATCH('Calculations'!HS161,'Calculations'!$HE$13:$HE$512,0)),""))))</x:f>
      </x:c>
      <x:c r="HU161" t="str">
        <x:f>IF('Calculations'!HT161="","",IF('Calculations'!HT161="!AMBIG","!AMBIG",IF(COUNTIF('Calculations'!$HE$13:$HE$512,"="&amp;SUBSTITUTE(SUBSTITUTE(SUBSTITUTE('Calculations'!HT161,"~","~~"),"*","~*"),"?","~?"))&gt;1,"!AMBIG",IFERROR(INDEX('Calculations'!$HF$13:$HF$512,MATCH('Calculations'!HT161,'Calculations'!$HE$13:$HE$512,0)),""))))</x:f>
      </x:c>
      <x:c r="HV161" t="str">
        <x:f>IF('Calculations'!HU161="","",IF('Calculations'!HU161="!AMBIG","!AMBIG",IF(COUNTIF('Calculations'!$HE$13:$HE$512,"="&amp;SUBSTITUTE(SUBSTITUTE(SUBSTITUTE('Calculations'!HU161,"~","~~"),"*","~*"),"?","~?"))&gt;1,"!AMBIG",IFERROR(INDEX('Calculations'!$HF$13:$HF$512,MATCH('Calculations'!HU161,'Calculations'!$HE$13:$HE$512,0)),""))))</x:f>
      </x:c>
      <x:c r="HW161" t="str">
        <x:f>IF('Calculations'!HV161="","",IF('Calculations'!HV161="!AMBIG","!AMBIG",IF(COUNTIF('Calculations'!$HE$13:$HE$512,"="&amp;SUBSTITUTE(SUBSTITUTE(SUBSTITUTE('Calculations'!HV161,"~","~~"),"*","~*"),"?","~?"))&gt;1,"!AMBIG",IFERROR(INDEX('Calculations'!$HF$13:$HF$512,MATCH('Calculations'!HV161,'Calculations'!$HE$13:$HE$512,0)),""))))</x:f>
      </x:c>
      <x:c r="HX161" t="str">
        <x:f>IF('Calculations'!HW161="","",IF('Calculations'!HW161="!AMBIG","!AMBIG",IF(COUNTIF('Calculations'!$HE$13:$HE$512,"="&amp;SUBSTITUTE(SUBSTITUTE(SUBSTITUTE('Calculations'!HW161,"~","~~"),"*","~*"),"?","~?"))&gt;1,"!AMBIG",IFERROR(INDEX('Calculations'!$HF$13:$HF$512,MATCH('Calculations'!HW161,'Calculations'!$HE$13:$HE$512,0)),""))))</x:f>
      </x:c>
      <x:c r="HY161" t="str">
        <x:f>IF('Calculations'!HX161="","",IF('Calculations'!HX161="!AMBIG","!AMBIG",IF(COUNTIF('Calculations'!$HE$13:$HE$512,"="&amp;SUBSTITUTE(SUBSTITUTE(SUBSTITUTE('Calculations'!HX161,"~","~~"),"*","~*"),"?","~?"))&gt;1,"!AMBIG",IFERROR(INDEX('Calculations'!$HF$13:$HF$512,MATCH('Calculations'!HX161,'Calculations'!$HE$13:$HE$512,0)),""))))</x:f>
      </x:c>
      <x:c r="HZ161" t="str">
        <x:f>IF('Calculations'!HY161="","",IF('Calculations'!HY161="!AMBIG","!AMBIG",IF(COUNTIF('Calculations'!$HE$13:$HE$512,"="&amp;SUBSTITUTE(SUBSTITUTE(SUBSTITUTE('Calculations'!HY161,"~","~~"),"*","~*"),"?","~?"))&gt;1,"!AMBIG",IFERROR(INDEX('Calculations'!$HF$13:$HF$512,MATCH('Calculations'!HY161,'Calculations'!$HE$13:$HE$512,0)),""))))</x:f>
      </x:c>
      <x:c r="IA161" t="str">
        <x:f>IF('Calculations'!HZ161="","",IF('Calculations'!HZ161="!AMBIG","!AMBIG",IF(COUNTIF('Calculations'!$HE$13:$HE$512,"="&amp;SUBSTITUTE(SUBSTITUTE(SUBSTITUTE('Calculations'!HZ161,"~","~~"),"*","~*"),"?","~?"))&gt;1,"!AMBIG",IFERROR(INDEX('Calculations'!$HF$13:$HF$512,MATCH('Calculations'!HZ161,'Calculations'!$HE$13:$HE$512,0)),""))))</x:f>
      </x:c>
      <x:c r="IB161" t="str">
        <x:f>IF('Calculations'!IA161="","",IF('Calculations'!IA161="!AMBIG","!AMBIG",IF(COUNTIF('Calculations'!$HE$13:$HE$512,"="&amp;SUBSTITUTE(SUBSTITUTE(SUBSTITUTE('Calculations'!IA161,"~","~~"),"*","~*"),"?","~?"))&gt;1,"!AMBIG",IFERROR(INDEX('Calculations'!$HF$13:$HF$512,MATCH('Calculations'!IA161,'Calculations'!$HE$13:$HE$512,0)),""))))</x:f>
      </x:c>
      <x:c r="IC161" t="str">
        <x:f>IF('Calculations'!IB161="","",IF('Calculations'!IB161="!AMBIG","!AMBIG",IF(COUNTIF('Calculations'!$HE$13:$HE$512,"="&amp;SUBSTITUTE(SUBSTITUTE(SUBSTITUTE('Calculations'!IB161,"~","~~"),"*","~*"),"?","~?"))&gt;1,"!AMBIG",IFERROR(INDEX('Calculations'!$HF$13:$HF$512,MATCH('Calculations'!IB161,'Calculations'!$HE$13:$HE$512,0)),""))))</x:f>
      </x:c>
      <x:c r="ID161" t="str">
        <x:f>IF('Calculations'!IC161="","",IF('Calculations'!IC161="!AMBIG","!AMBIG",IF(COUNTIF('Calculations'!$HE$13:$HE$512,"="&amp;SUBSTITUTE(SUBSTITUTE(SUBSTITUTE('Calculations'!IC161,"~","~~"),"*","~*"),"?","~?"))&gt;1,"!AMBIG",IFERROR(INDEX('Calculations'!$HF$13:$HF$512,MATCH('Calculations'!IC161,'Calculations'!$HE$13:$HE$512,0)),""))))</x:f>
      </x:c>
      <x:c r="IE161" t="str">
        <x:f>IF('Calculations'!ID161="","",IF('Calculations'!ID161="!AMBIG","!AMBIG",IF(COUNTIF('Calculations'!$HE$13:$HE$512,"="&amp;SUBSTITUTE(SUBSTITUTE(SUBSTITUTE('Calculations'!ID161,"~","~~"),"*","~*"),"?","~?"))&gt;1,"!AMBIG",IFERROR(INDEX('Calculations'!$HF$13:$HF$512,MATCH('Calculations'!ID161,'Calculations'!$HE$13:$HE$512,0)),""))))</x:f>
      </x:c>
      <x:c r="IF161" t="str">
        <x:f>IF('Calculations'!IE161="","",IF('Calculations'!IE161="!AMBIG","!AMBIG",IF(COUNTIF('Calculations'!$HE$13:$HE$512,"="&amp;SUBSTITUTE(SUBSTITUTE(SUBSTITUTE('Calculations'!IE161,"~","~~"),"*","~*"),"?","~?"))&gt;1,"!AMBIG",IFERROR(INDEX('Calculations'!$HF$13:$HF$512,MATCH('Calculations'!IE161,'Calculations'!$HE$13:$HE$512,0)),""))))</x:f>
      </x:c>
      <x:c r="IG161" t="str">
        <x:f>IF('Calculations'!IF161="","",IF('Calculations'!IF161="!AMBIG","!AMBIG",IF(COUNTIF('Calculations'!$HE$13:$HE$512,"="&amp;SUBSTITUTE(SUBSTITUTE(SUBSTITUTE('Calculations'!IF161,"~","~~"),"*","~*"),"?","~?"))&gt;1,"!AMBIG",IFERROR(INDEX('Calculations'!$HF$13:$HF$512,MATCH('Calculations'!IF161,'Calculations'!$HE$13:$HE$512,0)),""))))</x:f>
      </x:c>
      <x:c r="IH161" t="str">
        <x:f>IF('Calculations'!IG161="","",IF('Calculations'!IG161="!AMBIG","!AMBIG",IF(COUNTIF('Calculations'!$HE$13:$HE$512,"="&amp;SUBSTITUTE(SUBSTITUTE(SUBSTITUTE('Calculations'!IG161,"~","~~"),"*","~*"),"?","~?"))&gt;1,"!AMBIG",IFERROR(INDEX('Calculations'!$HF$13:$HF$512,MATCH('Calculations'!IG161,'Calculations'!$HE$13:$HE$512,0)),""))))</x:f>
      </x:c>
      <x:c r="II161" t="str">
        <x:f>IF('Calculations'!IH161="","",IF('Calculations'!IH161="!AMBIG","!AMBIG",IF(COUNTIF('Calculations'!$HE$13:$HE$512,"="&amp;SUBSTITUTE(SUBSTITUTE(SUBSTITUTE('Calculations'!IH161,"~","~~"),"*","~*"),"?","~?"))&gt;1,"!AMBIG",IFERROR(INDEX('Calculations'!$HF$13:$HF$512,MATCH('Calculations'!IH161,'Calculations'!$HE$13:$HE$512,0)),""))))</x:f>
      </x:c>
      <x:c r="IJ161" t="str">
        <x:f>IF('Calculations'!EM161="","",IF('Calculations'!$EF$2="All",'Calculations'!HM161,IF('Calculations'!HL161=1,"",IFERROR(IF(MATCH('Calculations'!$EF$2,'Calculations'!HO161:II161,0)=1,'Calculations'!HE161,INDEX('Calculations'!HO161:II161,1,MATCH('Calculations'!$EF$2,'Calculations'!HO161:II161,0)-1)),""))))</x:f>
      </x:c>
      <x:c r="IK161" t="n">
        <x:f>IF(AND('Calculations'!EM161&lt;&gt;"",'Calculations'!$EF$2&lt;&gt;"All",'Calculations'!HF161='Calculations'!$EF$2,'Calculations'!HL161=0,'Calculations'!JD161&gt;0),MAX('Calculations'!$IK$12:IK160)+1,0)</x:f>
        <x:v>0</x:v>
      </x:c>
      <x:c r="JA161" t="n">
        <x:f>IF(OR(IFERROR(INDIRECT("'WCM Calibration Final'!$A$161")&lt;&gt;"",FALSE),IFERROR(INDIRECT("'WCM Calibration Final'!$B$161")&lt;&gt;"",FALSE),IFERROR(INDIRECT("'WCM Calibration Final'!$C$161")&lt;&gt;"",FALSE)),161,0)</x:f>
        <x:v>0</x:v>
      </x:c>
      <x:c r="JB161" t="n">
        <x:f>'Calculations'!JB160+IF('Calculations'!JA161&gt;0,1,0)</x:f>
        <x:v>0</x:v>
      </x:c>
      <x:c r="JC161" t="n">
        <x:f>IF(OR('Calculations'!HF161="",'Calculations'!HF161="!AMBIG"),0,IF('Dashboard'!$B$7="All",1,COUNTIFS('Calculations'!$HO$13:$HO$512,"="&amp;SUBSTITUTE(SUBSTITUTE(SUBSTITUTE('Calculations'!HF161,"~","~~"),"*","~*"),"?","~?"),'Calculations'!$HN$13:$HN$512,"="&amp;SUBSTITUTE(SUBSTITUTE(SUBSTITUTE('Dashboard'!$B$7,"~","~~"),"*","~*"),"?","~?"))+COUNTIFS('Calculations'!$HP$13:$HP$512,"="&amp;SUBSTITUTE(SUBSTITUTE(SUBSTITUTE('Calculations'!HF161,"~","~~"),"*","~*"),"?","~?"),'Calculations'!$HN$13:$HN$512,"="&amp;SUBSTITUTE(SUBSTITUTE(SUBSTITUTE('Dashboard'!$B$7,"~","~~"),"*","~*"),"?","~?"))+COUNTIFS('Calculations'!$HQ$13:$HQ$512,"="&amp;SUBSTITUTE(SUBSTITUTE(SUBSTITUTE('Calculations'!HF161,"~","~~"),"*","~*"),"?","~?"),'Calculations'!$HN$13:$HN$512,"="&amp;SUBSTITUTE(SUBSTITUTE(SUBSTITUTE('Dashboard'!$B$7,"~","~~"),"*","~*"),"?","~?"))+COUNTIFS('Calculations'!$HR$13:$HR$512,"="&amp;SUBSTITUTE(SUBSTITUTE(SUBSTITUTE('Calculations'!HF161,"~","~~"),"*","~*"),"?","~?"),'Calculations'!$HN$13:$HN$512,"="&amp;SUBSTITUTE(SUBSTITUTE(SUBSTITUTE('Dashboard'!$B$7,"~","~~"),"*","~*"),"?","~?"))+COUNTIFS('Calculations'!$HS$13:$HS$512,"="&amp;SUBSTITUTE(SUBSTITUTE(SUBSTITUTE('Calculations'!HF161,"~","~~"),"*","~*"),"?","~?"),'Calculations'!$HN$13:$HN$512,"="&amp;SUBSTITUTE(SUBSTITUTE(SUBSTITUTE('Dashboard'!$B$7,"~","~~"),"*","~*"),"?","~?"))+COUNTIFS('Calculations'!$HT$13:$HT$512,"="&amp;SUBSTITUTE(SUBSTITUTE(SUBSTITUTE('Calculations'!HF161,"~","~~"),"*","~*"),"?","~?"),'Calculations'!$HN$13:$HN$512,"="&amp;SUBSTITUTE(SUBSTITUTE(SUBSTITUTE('Dashboard'!$B$7,"~","~~"),"*","~*"),"?","~?"))+COUNTIFS('Calculations'!$HU$13:$HU$512,"="&amp;SUBSTITUTE(SUBSTITUTE(SUBSTITUTE('Calculations'!HF161,"~","~~"),"*","~*"),"?","~?"),'Calculations'!$HN$13:$HN$512,"="&amp;SUBSTITUTE(SUBSTITUTE(SUBSTITUTE('Dashboard'!$B$7,"~","~~"),"*","~*"),"?","~?"))+COUNTIFS('Calculations'!$HV$13:$HV$512,"="&amp;SUBSTITUTE(SUBSTITUTE(SUBSTITUTE('Calculations'!HF161,"~","~~"),"*","~*"),"?","~?"),'Calculations'!$HN$13:$HN$512,"="&amp;SUBSTITUTE(SUBSTITUTE(SUBSTITUTE('Dashboard'!$B$7,"~","~~"),"*","~*"),"?","~?"))+COUNTIFS('Calculations'!$HW$13:$HW$512,"="&amp;SUBSTITUTE(SUBSTITUTE(SUBSTITUTE('Calculations'!HF161,"~","~~"),"*","~*"),"?","~?"),'Calculations'!$HN$13:$HN$512,"="&amp;SUBSTITUTE(SUBSTITUTE(SUBSTITUTE('Dashboard'!$B$7,"~","~~"),"*","~*"),"?","~?"))+COUNTIFS('Calculations'!$HX$13:$HX$512,"="&amp;SUBSTITUTE(SUBSTITUTE(SUBSTITUTE('Calculations'!HF161,"~","~~"),"*","~*"),"?","~?"),'Calculations'!$HN$13:$HN$512,"="&amp;SUBSTITUTE(SUBSTITUTE(SUBSTITUTE('Dashboard'!$B$7,"~","~~"),"*","~*"),"?","~?"))+COUNTIFS('Calculations'!$HY$13:$HY$512,"="&amp;SUBSTITUTE(SUBSTITUTE(SUBSTITUTE('Calculations'!HF161,"~","~~"),"*","~*"),"?","~?"),'Calculations'!$HN$13:$HN$512,"="&amp;SUBSTITUTE(SUBSTITUTE(SUBSTITUTE('Dashboard'!$B$7,"~","~~"),"*","~*"),"?","~?"))+COUNTIFS('Calculations'!$HZ$13:$HZ$512,"="&amp;SUBSTITUTE(SUBSTITUTE(SUBSTITUTE('Calculations'!HF161,"~","~~"),"*","~*"),"?","~?"),'Calculations'!$HN$13:$HN$512,"="&amp;SUBSTITUTE(SUBSTITUTE(SUBSTITUTE('Dashboard'!$B$7,"~","~~"),"*","~*"),"?","~?"))+COUNTIFS('Calculations'!$IA$13:$IA$512,"="&amp;SUBSTITUTE(SUBSTITUTE(SUBSTITUTE('Calculations'!HF161,"~","~~"),"*","~*"),"?","~?"),'Calculations'!$HN$13:$HN$512,"="&amp;SUBSTITUTE(SUBSTITUTE(SUBSTITUTE('Dashboard'!$B$7,"~","~~"),"*","~*"),"?","~?"))+COUNTIFS('Calculations'!$IB$13:$IB$512,"="&amp;SUBSTITUTE(SUBSTITUTE(SUBSTITUTE('Calculations'!HF161,"~","~~"),"*","~*"),"?","~?"),'Calculations'!$HN$13:$HN$512,"="&amp;SUBSTITUTE(SUBSTITUTE(SUBSTITUTE('Dashboard'!$B$7,"~","~~"),"*","~*"),"?","~?"))+COUNTIFS('Calculations'!$IC$13:$IC$512,"="&amp;SUBSTITUTE(SUBSTITUTE(SUBSTITUTE('Calculations'!HF161,"~","~~"),"*","~*"),"?","~?"),'Calculations'!$HN$13:$HN$512,"="&amp;SUBSTITUTE(SUBSTITUTE(SUBSTITUTE('Dashboard'!$B$7,"~","~~"),"*","~*"),"?","~?"))+COUNTIFS('Calculations'!$ID$13:$ID$512,"="&amp;SUBSTITUTE(SUBSTITUTE(SUBSTITUTE('Calculations'!HF161,"~","~~"),"*","~*"),"?","~?"),'Calculations'!$HN$13:$HN$512,"="&amp;SUBSTITUTE(SUBSTITUTE(SUBSTITUTE('Dashboard'!$B$7,"~","~~"),"*","~*"),"?","~?"))+COUNTIFS('Calculations'!$IE$13:$IE$512,"="&amp;SUBSTITUTE(SUBSTITUTE(SUBSTITUTE('Calculations'!HF161,"~","~~"),"*","~*"),"?","~?"),'Calculations'!$HN$13:$HN$512,"="&amp;SUBSTITUTE(SUBSTITUTE(SUBSTITUTE('Dashboard'!$B$7,"~","~~"),"*","~*"),"?","~?"))+COUNTIFS('Calculations'!$IF$13:$IF$512,"="&amp;SUBSTITUTE(SUBSTITUTE(SUBSTITUTE('Calculations'!HF161,"~","~~"),"*","~*"),"?","~?"),'Calculations'!$HN$13:$HN$512,"="&amp;SUBSTITUTE(SUBSTITUTE(SUBSTITUTE('Dashboard'!$B$7,"~","~~"),"*","~*"),"?","~?"))+COUNTIFS('Calculations'!$IG$13:$IG$512,"="&amp;SUBSTITUTE(SUBSTITUTE(SUBSTITUTE('Calculations'!HF161,"~","~~"),"*","~*"),"?","~?"),'Calculations'!$HN$13:$HN$512,"="&amp;SUBSTITUTE(SUBSTITUTE(SUBSTITUTE('Dashboard'!$B$7,"~","~~"),"*","~*"),"?","~?"))+COUNTIFS('Calculations'!$IH$13:$IH$512,"="&amp;SUBSTITUTE(SUBSTITUTE(SUBSTITUTE('Calculations'!HF161,"~","~~"),"*","~*"),"?","~?"),'Calculations'!$HN$13:$HN$512,"="&amp;SUBSTITUTE(SUBSTITUTE(SUBSTITUTE('Dashboard'!$B$7,"~","~~"),"*","~*"),"?","~?"))))</x:f>
        <x:v>0</x:v>
      </x:c>
      <x:c r="JD161" t="n">
        <x:f>IF('Calculations'!EM161="",0,IF('Dashboard'!$B$7="All",1,IF('Calculations'!HN161='Dashboard'!$B$7,1,0)+IFERROR(INDEX('Calculations'!$JC$13:$JC$512,MATCH('Calculations'!HE161,'Calculations'!$HF$13:$HF$512,0)),0)))</x:f>
        <x:v>0</x:v>
      </x:c>
      <x:c r="JE161" t="n">
        <x:f>IF(AND('Calculations'!EM161&lt;&gt;"",'Calculations'!$JJ$2&lt;&gt;"All",'Calculations'!$JJ$2&lt;&gt;"",'Calculations'!HF161='Calculations'!$JJ$2,'Calculations'!HL161=0,'Calculations'!JD161&gt;0),MAX('Calculations'!$JE$12:JE160)+1,0)</x:f>
        <x:v>0</x:v>
      </x:c>
      <x:c r="JF161" t="str">
        <x:f>IF('Calculations'!EM161="","",IFERROR(IF(INDEX(INDIRECT("'WCM Calibration Final'!$G$1:$G$2000"),'Calculations'!$EM161)="","",TRIM(INDEX(INDIRECT("'WCM Calibration Final'!$G$1:$G$2000"),'Calculations'!$EM161)&amp;"")),""))</x:f>
      </x:c>
      <x:c r="JQ161" t="n">
        <x:f>IF(OR('Calculations'!BM161=0,NOT('Calculations'!$AG$2),'Calculations'!$AG$8&gt;0),0,IF(OR('Dashboard'!$B$7="All",'Calculations'!HN161='Dashboard'!$B$7),IF('Calculations'!$JJ$2="All",1,IF(AND('Calculations'!HF161='Calculations'!$JJ$2,'Calculations'!HL161=0),1,0)),0))</x:f>
        <x:v>0</x:v>
      </x:c>
    </x:row>
    <x:row r="162">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t="n">
        <x:f>IF('Calculations'!$EM162="",0,IF(OR(IFERROR(INDEX(INDIRECT("'WCM Calibration Final'!$A$1:$A$2000"),'Calculations'!$EM162)&lt;&gt;"",FALSE),IFERROR(INDEX(INDIRECT("'WCM Calibration Final'!$B$1:$B$2000"),'Calculations'!$EM162)&lt;&gt;"",FALSE),IFERROR(INDEX(INDIRECT("'WCM Calibration Final'!$C$1:$C$2000"),'Calculations'!$EM162)&lt;&gt;"",FALSE)),1,0))</x:f>
        <x:v>0</x:v>
      </x:c>
      <x:c r="BN162" s="4" t="n">
        <x:f>IF(AND('Calculations'!BM162=1,'Calculations'!$AG$2,'Calculations'!$EN162=1),1,0)</x:f>
        <x:v>0</x:v>
      </x:c>
      <x:c r="BO162" s="4" t="str">
        <x:f>IF('Calculations'!BM162=0,"",IFERROR(IF(AND(VALUE(INDEX(INDIRECT("'WCM Calibration Final'!$K$1:$K$2000"),'Calculations'!$EM162))&gt;=1,VALUE(INDEX(INDIRECT("'WCM Calibration Final'!$K$1:$K$2000"),'Calculations'!$EM162))&lt;=4,MOD(VALUE(INDEX(INDIRECT("'WCM Calibration Final'!$K$1:$K$2000"),'Calculations'!$EM162)),1)=0),VALUE(INDEX(INDIRECT("'WCM Calibration Final'!$K$1:$K$2000"),'Calculations'!$EM162)),""),""))</x:f>
      </x:c>
      <x:c r="BP162" s="4" t="str">
        <x:f>IF('Calculations'!BM162=0,"",IFERROR(IF(AND(VALUE(INDEX(INDIRECT("'WCM Calibration Final'!$L$1:$L$2000"),'Calculations'!$EM162))&gt;=1,VALUE(INDEX(INDIRECT("'WCM Calibration Final'!$L$1:$L$2000"),'Calculations'!$EM162))&lt;=4,MOD(VALUE(INDEX(INDIRECT("'WCM Calibration Final'!$L$1:$L$2000"),'Calculations'!$EM162)),1)=0),VALUE(INDEX(INDIRECT("'WCM Calibration Final'!$L$1:$L$2000"),'Calculations'!$EM162)),""),""))</x:f>
      </x:c>
      <x:c r="BQ162" s="4"/>
      <x:c r="BR162" s="4"/>
      <x:c r="BS162" s="4"/>
      <x:c r="BT162" s="4" t="n">
        <x:f>IF(AND('Calculations'!BM162=1,ISNUMBER('Calculations'!BO162),ISNUMBER('Calculations'!BP162)),1,0)</x:f>
        <x:v>0</x:v>
      </x:c>
      <x:c r="BU162" s="4" t="str">
        <x:f>IF('Calculations'!BM162=0,"",'Calculations'!$EO162)</x:f>
      </x:c>
      <x:c r="BV162" s="4" t="str">
        <x:f>IF('Calculations'!BM162=0,"",IFERROR(IF(OR(INDEX(INDIRECT("'WCM Calibration Final'!$H$1:$H$2000"),'Calculations'!$EM162)="MANAGING DIRECTOR",INDEX(INDIRECT("'WCM Calibration Final'!$H$1:$H$2000"),'Calculations'!$EM162)="DIRECTOR",INDEX(INDIRECT("'WCM Calibration Final'!$H$1:$H$2000"),'Calculations'!$EM162)="SENIOR VICE PRESIDENT",INDEX(INDIRECT("'WCM Calibration Final'!$H$1:$H$2000"),'Calculations'!$EM162)="VICE PRESIDENT",INDEX(INDIRECT("'WCM Calibration Final'!$H$1:$H$2000"),'Calculations'!$EM162)="ASSISTANT VICE PRESIDENT",INDEX(INDIRECT("'WCM Calibration Final'!$H$1:$H$2000"),'Calculations'!$EM162)="OFFICER"),UPPER(INDEX(INDIRECT("'WCM Calibration Final'!$H$1:$H$2000"),'Calculations'!$EM162)),"Other"),"Other"))</x:f>
      </x:c>
      <x:c r="BW162" s="4"/>
      <x:c r="BX162" s="4"/>
      <x:c r="BY162" s="4" t="n">
        <x:f>IF(AND('Calculations'!BM162=1,'Calculations'!BU162&lt;&gt;"",COUNTIF('Calculations'!$BU$12:BU162,'Calculations'!BU162)=1),MAX('Calculations'!$BY$11:BY161)+1,0)</x:f>
        <x:v>0</x:v>
      </x:c>
      <x:c r="BZ162" s="4" t="str">
        <x:f>IF('Dashboard'!$E$67="What",'Calculations'!BO162,'Calculations'!BP162)</x:f>
      </x:c>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t="str">
        <x:f>IF(151&gt;MAX('Calculations'!$HI$13:$HI$512),"",INDEX('Calculations'!$HN$13:$HN$512,MATCH(151,'Calculations'!$HI$13:$HI$512,0)))</x:f>
      </x:c>
      <x:c r="DB162" s="4" t="str">
        <x:f>IF(151&gt;MAX('Calculations'!$HH$13:$HH$512),"",INDEX('Calculations'!$HJ$13:$HJ$512,MATCH(151,'Calculations'!$HH$13:$HH$512,0)))</x:f>
      </x:c>
      <x:c r="DC162" s="4" t="str">
        <x:f>IF(ROW()-11&gt;MAX('Calculations'!$BY$13:$BY$512),"",INDEX('Calculations'!$BU$13:$BU$512,MATCH(ROW()-11,'Calculations'!$BY$13:$BY$512,0)))</x:f>
      </x:c>
      <x:c r="DD162" s="4" t="str">
        <x:f>IF(151&gt;MAX('Calculations'!$IK$13:$IK$512),"",INDEX('Calculations'!$HK$13:$HK$512,MATCH(151,'Calculations'!$IK$13:$IK$512,0)))</x:f>
      </x:c>
      <x:c r="DE162" s="4" t="str">
        <x:f>'Calculations'!DC162</x:f>
      </x:c>
      <x:c r="DF162" s="4" t="str">
        <x:f>IF('Calculations'!DE162="","",COUNTIFS('Calculations'!$BN$13:$BN$512,1,'Calculations'!$BU$13:$BU$512,'Calculations'!DE162))</x:f>
      </x:c>
      <x:c r="DG162" s="4" t="str">
        <x:f>IF('Calculations'!DE162="","",COUNTIFS('Calculations'!$BN$13:$BN$512,1,'Calculations'!$BU$13:$BU$512,'Calculations'!DE162,'Calculations'!$BT$13:$BT$512,1))</x:f>
      </x:c>
      <x:c r="DH162" s="4" t="str">
        <x:f>IF('Calculations'!DE162="","",'Calculations'!DF162-'Calculations'!DG162)</x:f>
      </x:c>
      <x:c r="DI162" s="4" t="str">
        <x:f>IF(OR('Calculations'!DE162="",'Calculations'!DF162=0),"",'Calculations'!DG162/'Calculations'!DF162)</x:f>
      </x:c>
      <x:c r="DJ162" s="4" t="str">
        <x:f>IF('Calculations'!DE162="","",COUNTIFS('Calculations'!$BN$13:$BN$512,1,'Calculations'!$BU$13:$BU$512,'Calculations'!DE162,'Calculations'!$BT$13:$BT$512,1,'Calculations'!$EE$13:$EE$512,"High"))</x:f>
      </x:c>
      <x:c r="DK162" s="4" t="str">
        <x:f>IF('Calculations'!DE162="","",COUNTIFS('Calculations'!$BN$13:$BN$512,1,'Calculations'!$BU$13:$BU$512,'Calculations'!DE162,'Calculations'!$BT$13:$BT$512,1,'Calculations'!$EE$13:$EE$512,"Strong"))</x:f>
      </x:c>
      <x:c r="DL162" s="4" t="str">
        <x:f>IF('Calculations'!DE162="","",COUNTIFS('Calculations'!$BN$13:$BN$512,1,'Calculations'!$BU$13:$BU$512,'Calculations'!DE162,'Calculations'!$BT$13:$BT$512,1,'Calculations'!$EE$13:$EE$512,"Solid"))</x:f>
      </x:c>
      <x:c r="DM162" s="4" t="str">
        <x:f>IF('Calculations'!DE162="","",COUNTIFS('Calculations'!$BN$13:$BN$512,1,'Calculations'!$BU$13:$BU$512,'Calculations'!DE162,'Calculations'!$BT$13:$BT$512,1,'Calculations'!$EE$13:$EE$512,"Low"))</x:f>
      </x:c>
      <x:c r="DN162" s="4" t="str">
        <x:f>IF('Calculations'!DE162="","",COUNTIFS('Calculations'!$BN$13:$BN$512,1,'Calculations'!$BU$13:$BU$512,'Calculations'!DE162,'Calculations'!$EP$13:$EP$512,1))</x:f>
      </x:c>
      <x:c r="DO162" s="4" t="str">
        <x:f>IF(OR('Calculations'!DE162="",'Calculations'!DG162=0),"",('Calculations'!DJ162+'Calculations'!DK162)/'Calculations'!DG162)</x:f>
      </x:c>
      <x:c r="DP162" s="4" t="n">
        <x:f>IF(AND('Calculations'!DE162&lt;&gt;"",'Calculations'!DF162&gt;0),COUNTIF('Calculations'!$DF$12:DF162,"&gt;0"),0)</x:f>
        <x:v>0</x:v>
      </x:c>
      <x:c r="DQ162" s="4" t="str">
        <x:f>IF(151&gt;MAX('Calculations'!$HH$13:$HH$512),"",INDEX('Calculations'!$HF$13:$HF$512,MATCH(151,'Calculations'!$HH$13:$HH$512,0)))</x:f>
      </x:c>
      <x:c r="DR162" s="4" t="str">
        <x:f>IF(151&gt;MAX('Calculations'!$IK$13:$IK$512),"",INDEX('Calculations'!$HE$13:$HE$512,MATCH(151,'Calculations'!$IK$13:$IK$512,0)))</x:f>
      </x:c>
      <x:c r="DS162" s="4"/>
      <x:c r="DT162" s="4"/>
      <x:c r="DU162" s="4"/>
      <x:c r="DV162" s="4"/>
      <x:c r="DW162" s="4"/>
      <x:c r="DX162" s="4"/>
      <x:c r="DY162" s="4"/>
      <x:c r="DZ162" s="4"/>
      <x:c r="EA162" s="4"/>
      <x:c r="EB162" s="4"/>
      <x:c r="EC162" s="4"/>
      <x:c r="ED162" s="4"/>
      <x:c r="EE162" s="4" t="str">
        <x:f>IF('Calculations'!BT162=0,"Not Rated",IF(OR('Calculations'!BO162&gt;=4,'Calculations'!BP162&gt;=4),"Low",IF('Calculations'!BO162+'Calculations'!BP162&lt;=3,"High",IF('Calculations'!BO162+'Calculations'!BP162&lt;=4,"Strong","Solid"))))</x:f>
        <x:v>Not Rated</x:v>
      </x:c>
      <x:c r="EF162" s="4"/>
      <x:c r="EG162" s="4"/>
      <x:c r="EH162" s="4"/>
      <x:c r="EI162" s="4"/>
      <x:c r="EJ162" s="4"/>
      <x:c r="EK162" s="4"/>
      <x:c r="EL162" s="4"/>
      <x:c r="EM162" s="4" t="str">
        <x:f>IF(150&gt;'Calculations'!$JB$2000,"",INDEX('Calculations'!$JA$12:$JA$2000,MATCH(150,'Calculations'!$JB$12:$JB$2000,0)))</x:f>
      </x:c>
      <x:c r="EN162" s="4" t="n">
        <x:f>IF(OR('Calculations'!EM162="",'Calculations'!$AG$8&gt;0,AND('Calculations'!$EF$2&lt;&gt;"All",'Calculations'!HE162='Calculations'!$EF$2),AND('Calculations'!$EF$3&lt;&gt;"All",'Calculations'!HE162='Calculations'!$EF$3)),0,IF(OR('Dashboard'!$B$7="All",'Calculations'!HN162='Dashboard'!$B$7),IF('Calculations'!$EF$2="All",1,IF('Calculations'!HL162&gt;0,0,IF(COUNTIF('Calculations'!HO162:II162,"="&amp;SUBSTITUTE(SUBSTITUTE(SUBSTITUTE('Calculations'!$EF$2,"~","~~"),"*","~*"),"?","~?"))=0,0,IF('Calculations'!$EF$3="All",1,IF(COUNTIF('Calculations'!HO162:II162,"="&amp;SUBSTITUTE(SUBSTITUTE(SUBSTITUTE('Calculations'!$EF$3,"~","~~"),"*","~*"),"?","~?"))&gt;0,1,0))))),0))</x:f>
        <x:v>0</x:v>
      </x:c>
      <x:c r="EO162" s="4" t="str">
        <x:f>IF('Calculations'!IJ162="","",IF('Calculations'!IJ162="!UNRESOLVED","Unresolved hierarchy",IFERROR(INDEX('Calculations'!$HK$13:$HK$512,MATCH('Calculations'!IJ162,'Calculations'!$HE$13:$HE$512,0)),IFERROR(INDEX('Calculations'!$HJ$13:$HJ$512,MATCH('Calculations'!IJ162,'Calculations'!$HF$13:$HF$512,0)),'Calculations'!IJ162))))</x:f>
      </x:c>
      <x:c r="EP162" s="4" t="n">
        <x:f>IF(AND('Calculations'!EM162&lt;&gt;"",'Calculations'!HF162='Calculations'!IJ162),1,0)</x:f>
        <x:v>0</x:v>
      </x:c>
      <x:c r="EQ162" s="4"/>
      <x:c r="ER162" s="4"/>
      <x:c r="ES162" s="4"/>
      <x:c r="ET162" s="4"/>
      <x:c r="EU162" s="4"/>
      <x:c r="EV162" s="4"/>
      <x:c r="EW162" s="4"/>
      <x:c r="EX162" s="4"/>
      <x:c r="EY162" s="4"/>
      <x:c r="EZ162" s="4"/>
      <x:c r="FA162" s="4"/>
      <x:c r="FB162" s="4"/>
      <x:c r="FC162" s="4"/>
      <x:c r="FD162" s="4"/>
      <x:c r="FE162" s="4"/>
      <x:c r="FF162" s="4"/>
      <x:c r="FG162" s="4"/>
      <x:c r="FH162" s="4"/>
      <x:c r="FI162" s="4"/>
      <x:c r="FJ162" s="4"/>
      <x:c r="FK162" s="4"/>
      <x:c r="FL162" s="4"/>
      <x:c r="FM162" s="4"/>
      <x:c r="FN162" s="4"/>
      <x:c r="FO162" s="4"/>
      <x:c r="GA162" s="71"/>
      <x:c r="GB162" s="71"/>
      <x:c r="GC162" s="71"/>
      <x:c r="GD162" s="71"/>
      <x:c r="GE162" s="71"/>
      <x:c r="GF162" s="71"/>
      <x:c r="GG162" s="71"/>
      <x:c r="GH162" s="71"/>
      <x:c r="GI162" s="71"/>
      <x:c r="GJ162" s="71"/>
      <x:c r="GK162" s="71"/>
      <x:c r="GL162" s="71" t="n">
        <x:f>COUNTIFS('Calculations'!$JQ$13:$JQ$512,1,'Calculations'!$BO$13:$BO$512,4)</x:f>
        <x:v>0</x:v>
      </x:c>
      <x:c r="GM162" s="71"/>
      <x:c r="GN162" s="71"/>
      <x:c r="GO162" s="71" t="str">
        <x:f>IF(SUM('Calculations'!$GL$159:$GL$162)=0,"",'Calculations'!GL162/SUM('Calculations'!$GL$159:$GL$162))</x:f>
      </x:c>
      <x:c r="GP162" s="71"/>
      <x:c r="GQ162" s="71"/>
      <x:c r="GR162" s="71" t="n">
        <x:f>IF(COUNT('Dashboard'!T143)=0,"",IF(AND('Dashboard'!T143&gt;=0,'Dashboard'!T143&lt;=1),'Dashboard'!T143,""))</x:f>
        <x:v>0.07</x:v>
      </x:c>
      <x:c r="GS162" s="71"/>
      <x:c r="GT162" s="71"/>
      <x:c r="GU162" s="71" t="str">
        <x:f>IF(COUNT('Calculations'!GO162,'Calculations'!GR162)&lt;2,"",100*('Calculations'!GO162-'Calculations'!GR162))</x:f>
      </x:c>
      <x:c r="GV162" s="71"/>
      <x:c r="GW162" s="71"/>
      <x:c r="GX162" s="71" t="str">
        <x:f>IF(NOT('Calculations'!$AG$2),"Source unavailable",IF('Calculations'!$AG$8&gt;0,"Check filters",IF(COUNT('Calculations'!GO162)=0,"No ratings",IF(COUNT('Calculations'!GR162)=0,"No threshold",IF('Calculations'!GO162&gt;'Calculations'!GR162,"Above threshold","Within threshold")))))</x:f>
        <x:v>Source unavailable</x:v>
      </x:c>
      <x:c r="GY162" s="71"/>
      <x:c r="GZ162" s="71"/>
      <x:c r="HA162" s="71"/>
      <x:c r="HB162" s="71"/>
      <x:c r="HC162" s="71"/>
      <x:c r="HD162" s="71"/>
      <x:c r="HE162" t="str">
        <x:f>IF('Calculations'!EM162="","",IF(IFERROR(IF(INDEX(INDIRECT("'WCM Calibration Final'!$A$1:$A$2000"),'Calculations'!$EM162)="","",TRIM(INDEX(INDIRECT("'WCM Calibration Final'!$A$1:$A$2000"),'Calculations'!$EM162)&amp;"")),"")&lt;&gt;"","G:"&amp;IFERROR(TEXT(1*INDEX(INDIRECT("'WCM Calibration Final'!$A$1:$A$2000"),'Calculations'!$EM162),"0"),UPPER(IFERROR(IF(INDEX(INDIRECT("'WCM Calibration Final'!$A$1:$A$2000"),'Calculations'!$EM162)="","",TRIM(INDEX(INDIRECT("'WCM Calibration Final'!$A$1:$A$2000"),'Calculations'!$EM162)&amp;"")),""))),IF(IFERROR(IF(INDEX(INDIRECT("'WCM Calibration Final'!$C$1:$C$2000"),'Calculations'!$EM162)="","",TRIM(INDEX(INDIRECT("'WCM Calibration Final'!$C$1:$C$2000"),'Calculations'!$EM162)&amp;"")),"")&lt;&gt;"","S:"&amp;UPPER(IFERROR(IF(INDEX(INDIRECT("'WCM Calibration Final'!$C$1:$C$2000"),'Calculations'!$EM162)="","",TRIM(INDEX(INDIRECT("'WCM Calibration Final'!$C$1:$C$2000"),'Calculations'!$EM162)&amp;"")),"")),"R:"&amp;'Calculations'!EM162)))</x:f>
      </x:c>
      <x:c r="HF162" t="str">
        <x:f>IF('Calculations'!EM162="","",IF(IFERROR(IF(INDEX(INDIRECT("'WCM Calibration Final'!$D$1:$D$2000"),'Calculations'!$EM162)="","",TRIM(INDEX(INDIRECT("'WCM Calibration Final'!$D$1:$D$2000"),'Calculations'!$EM162)&amp;"")),"")&lt;&gt;"","G:"&amp;IFERROR(TEXT(1*INDEX(INDIRECT("'WCM Calibration Final'!$D$1:$D$2000"),'Calculations'!$EM162),"0"),UPPER(IFERROR(IF(INDEX(INDIRECT("'WCM Calibration Final'!$D$1:$D$2000"),'Calculations'!$EM162)="","",TRIM(INDEX(INDIRECT("'WCM Calibration Final'!$D$1:$D$2000"),'Calculations'!$EM162)&amp;"")),""))),IF(IFERROR(IF(INDEX(INDIRECT("'WCM Calibration Final'!$E$1:$E$2000"),'Calculations'!$EM162)="","",TRIM(INDEX(INDIRECT("'WCM Calibration Final'!$E$1:$E$2000"),'Calculations'!$EM162)&amp;"")),"")="","",IF(COUNTIF('Calculations'!$HG$13:$HG$512,"="&amp;SUBSTITUTE(SUBSTITUTE(SUBSTITUTE(IFERROR(IF(INDEX(INDIRECT("'WCM Calibration Final'!$E$1:$E$2000"),'Calculations'!$EM162)="","",TRIM(INDEX(INDIRECT("'WCM Calibration Final'!$E$1:$E$2000"),'Calculations'!$EM162)&amp;"")),""),"~","~~"),"*","~*"),"?","~?"))=1,INDEX('Calculations'!$HE$13:$HE$512,MATCH(IFERROR(IF(INDEX(INDIRECT("'WCM Calibration Final'!$E$1:$E$2000"),'Calculations'!$EM162)="","",TRIM(INDEX(INDIRECT("'WCM Calibration Final'!$E$1:$E$2000"),'Calculations'!$EM162)&amp;"")),""),'Calculations'!$HG$13:$HG$512,0)),IF(COUNTIF('Calculations'!$HG$13:$HG$512,"="&amp;SUBSTITUTE(SUBSTITUTE(SUBSTITUTE(IFERROR(IF(INDEX(INDIRECT("'WCM Calibration Final'!$E$1:$E$2000"),'Calculations'!$EM162)="","",TRIM(INDEX(INDIRECT("'WCM Calibration Final'!$E$1:$E$2000"),'Calculations'!$EM162)&amp;"")),""),"~","~~"),"*","~*"),"?","~?"))&gt;1,"!AMBIG","X:"&amp;IFERROR(IF(INDEX(INDIRECT("'WCM Calibration Final'!$E$1:$E$2000"),'Calculations'!$EM162)="","",TRIM(INDEX(INDIRECT("'WCM Calibration Final'!$E$1:$E$2000"),'Calculations'!$EM162)&amp;"")),""))))))</x:f>
      </x:c>
      <x:c r="HG162" t="str">
        <x:f>IF('Calculations'!EM162="","",IFERROR(IF(INDEX(INDIRECT("'WCM Calibration Final'!$B$1:$B$2000"),'Calculations'!$EM162)="","",TRIM(INDEX(INDIRECT("'WCM Calibration Final'!$B$1:$B$2000"),'Calculations'!$EM162)&amp;"")),""))</x:f>
      </x:c>
      <x:c r="HH162" t="n">
        <x:f>IF(AND('Calculations'!JC162&gt;0,COUNTIF('Calculations'!$HF$12:HF162,"="&amp;SUBSTITUTE(SUBSTITUTE(SUBSTITUTE('Calculations'!HF162,"~","~~"),"*","~*"),"?","~?"))=1),MAX('Calculations'!$HH$12:HH161)+1,0)</x:f>
        <x:v>0</x:v>
      </x:c>
      <x:c r="HI162" t="n">
        <x:f>IF(AND('Calculations'!HN162&lt;&gt;"",COUNTIF('Calculations'!$HN$12:HN162,"="&amp;SUBSTITUTE(SUBSTITUTE(SUBSTITUTE('Calculations'!HN162,"~","~~"),"*","~*"),"?","~?"))=1),MAX('Calculations'!$HI$12:HI161)+1,0)</x:f>
        <x:v>0</x:v>
      </x:c>
      <x:c r="HJ162" t="str">
        <x:f>IF('Calculations'!HF162="","",IF(COUNTIF('Calculations'!$HE$13:$HE$512,"="&amp;SUBSTITUTE(SUBSTITUTE(SUBSTITUTE('Calculations'!HF162,"~","~~"),"*","~*"),"?","~?"))=1,INDEX('Calculations'!$HK$13:$HK$512,MATCH('Calculations'!HF162,'Calculations'!$HE$13:$HE$512,0)),IFERROR(IF(INDEX(INDIRECT("'WCM Calibration Final'!$E$1:$E$2000"),'Calculations'!$EM162)="","",TRIM(INDEX(INDIRECT("'WCM Calibration Final'!$E$1:$E$2000"),'Calculations'!$EM162)&amp;"")),"")&amp;" ["&amp;'Calculations'!HF162&amp;"]"))</x:f>
      </x:c>
      <x:c r="HK162" t="str">
        <x:f>IF('Calculations'!EM162="","",'Calculations'!HG162&amp;" ["&amp;'Calculations'!HE162&amp;"]")</x:f>
      </x:c>
      <x:c r="HL162" t="n">
        <x:f>IF('Calculations'!EM162="",0,IF(OR('Calculations'!II162&lt;&gt;"",COUNTIF('Calculations'!$HE$13:$HE$512,"="&amp;SUBSTITUTE(SUBSTITUTE(SUBSTITUTE('Calculations'!HE162,"~","~~"),"*","~*"),"?","~?"))&gt;1),1,0))</x:f>
        <x:v>0</x:v>
      </x:c>
      <x:c r="HM162" t="str">
        <x:f>IF('Calculations'!EM162="","",IF('Calculations'!HL162=1,"!UNRESOLVED",IF('Calculations'!IH162&lt;&gt;"",'Calculations'!IH162,IF('Calculations'!IG162&lt;&gt;"",'Calculations'!IG162,IF('Calculations'!IF162&lt;&gt;"",'Calculations'!IF162,IF('Calculations'!IE162&lt;&gt;"",'Calculations'!IE162,IF('Calculations'!ID162&lt;&gt;"",'Calculations'!ID162,IF('Calculations'!IC162&lt;&gt;"",'Calculations'!IC162,IF('Calculations'!IB162&lt;&gt;"",'Calculations'!IB162,IF('Calculations'!IA162&lt;&gt;"",'Calculations'!IA162,IF('Calculations'!HZ162&lt;&gt;"",'Calculations'!HZ162,IF('Calculations'!HY162&lt;&gt;"",'Calculations'!HY162,IF('Calculations'!HX162&lt;&gt;"",'Calculations'!HX162,IF('Calculations'!HW162&lt;&gt;"",'Calculations'!HW162,IF('Calculations'!HV162&lt;&gt;"",'Calculations'!HV162,IF('Calculations'!HU162&lt;&gt;"",'Calculations'!HU162,IF('Calculations'!HT162&lt;&gt;"",'Calculations'!HT162,IF('Calculations'!HS162&lt;&gt;"",'Calculations'!HS162,IF('Calculations'!HR162&lt;&gt;"",'Calculations'!HR162,IF('Calculations'!HQ162&lt;&gt;"",'Calculations'!HQ162,IF('Calculations'!HP162&lt;&gt;"",'Calculations'!HP162,IF('Calculations'!HO162&lt;&gt;"",'Calculations'!HO162,'Calculations'!HE162))))))))))))))))))))))</x:f>
      </x:c>
      <x:c r="HN162" t="str">
        <x:f>IF('Calculations'!EM162="","",IF(IFERROR(IF(INDEX(INDIRECT("'WCM Calibration Final'!$F$1:$F$2000"),'Calculations'!$EM162)="","",TRIM(INDEX(INDIRECT("'WCM Calibration Final'!$F$1:$F$2000"),'Calculations'!$EM162)&amp;"")),"")="","(Blank)",IFERROR(IF(INDEX(INDIRECT("'WCM Calibration Final'!$F$1:$F$2000"),'Calculations'!$EM162)="","",TRIM(INDEX(INDIRECT("'WCM Calibration Final'!$F$1:$F$2000"),'Calculations'!$EM162)&amp;"")),"")))</x:f>
      </x:c>
      <x:c r="HO162" t="str">
        <x:f>'Calculations'!HF162</x:f>
      </x:c>
      <x:c r="HP162" t="str">
        <x:f>IF('Calculations'!HO162="","",IF('Calculations'!HO162="!AMBIG","!AMBIG",IF(COUNTIF('Calculations'!$HE$13:$HE$512,"="&amp;SUBSTITUTE(SUBSTITUTE(SUBSTITUTE('Calculations'!HO162,"~","~~"),"*","~*"),"?","~?"))&gt;1,"!AMBIG",IFERROR(INDEX('Calculations'!$HF$13:$HF$512,MATCH('Calculations'!HO162,'Calculations'!$HE$13:$HE$512,0)),""))))</x:f>
      </x:c>
      <x:c r="HQ162" t="str">
        <x:f>IF('Calculations'!HP162="","",IF('Calculations'!HP162="!AMBIG","!AMBIG",IF(COUNTIF('Calculations'!$HE$13:$HE$512,"="&amp;SUBSTITUTE(SUBSTITUTE(SUBSTITUTE('Calculations'!HP162,"~","~~"),"*","~*"),"?","~?"))&gt;1,"!AMBIG",IFERROR(INDEX('Calculations'!$HF$13:$HF$512,MATCH('Calculations'!HP162,'Calculations'!$HE$13:$HE$512,0)),""))))</x:f>
      </x:c>
      <x:c r="HR162" t="str">
        <x:f>IF('Calculations'!HQ162="","",IF('Calculations'!HQ162="!AMBIG","!AMBIG",IF(COUNTIF('Calculations'!$HE$13:$HE$512,"="&amp;SUBSTITUTE(SUBSTITUTE(SUBSTITUTE('Calculations'!HQ162,"~","~~"),"*","~*"),"?","~?"))&gt;1,"!AMBIG",IFERROR(INDEX('Calculations'!$HF$13:$HF$512,MATCH('Calculations'!HQ162,'Calculations'!$HE$13:$HE$512,0)),""))))</x:f>
      </x:c>
      <x:c r="HS162" t="str">
        <x:f>IF('Calculations'!HR162="","",IF('Calculations'!HR162="!AMBIG","!AMBIG",IF(COUNTIF('Calculations'!$HE$13:$HE$512,"="&amp;SUBSTITUTE(SUBSTITUTE(SUBSTITUTE('Calculations'!HR162,"~","~~"),"*","~*"),"?","~?"))&gt;1,"!AMBIG",IFERROR(INDEX('Calculations'!$HF$13:$HF$512,MATCH('Calculations'!HR162,'Calculations'!$HE$13:$HE$512,0)),""))))</x:f>
      </x:c>
      <x:c r="HT162" t="str">
        <x:f>IF('Calculations'!HS162="","",IF('Calculations'!HS162="!AMBIG","!AMBIG",IF(COUNTIF('Calculations'!$HE$13:$HE$512,"="&amp;SUBSTITUTE(SUBSTITUTE(SUBSTITUTE('Calculations'!HS162,"~","~~"),"*","~*"),"?","~?"))&gt;1,"!AMBIG",IFERROR(INDEX('Calculations'!$HF$13:$HF$512,MATCH('Calculations'!HS162,'Calculations'!$HE$13:$HE$512,0)),""))))</x:f>
      </x:c>
      <x:c r="HU162" t="str">
        <x:f>IF('Calculations'!HT162="","",IF('Calculations'!HT162="!AMBIG","!AMBIG",IF(COUNTIF('Calculations'!$HE$13:$HE$512,"="&amp;SUBSTITUTE(SUBSTITUTE(SUBSTITUTE('Calculations'!HT162,"~","~~"),"*","~*"),"?","~?"))&gt;1,"!AMBIG",IFERROR(INDEX('Calculations'!$HF$13:$HF$512,MATCH('Calculations'!HT162,'Calculations'!$HE$13:$HE$512,0)),""))))</x:f>
      </x:c>
      <x:c r="HV162" t="str">
        <x:f>IF('Calculations'!HU162="","",IF('Calculations'!HU162="!AMBIG","!AMBIG",IF(COUNTIF('Calculations'!$HE$13:$HE$512,"="&amp;SUBSTITUTE(SUBSTITUTE(SUBSTITUTE('Calculations'!HU162,"~","~~"),"*","~*"),"?","~?"))&gt;1,"!AMBIG",IFERROR(INDEX('Calculations'!$HF$13:$HF$512,MATCH('Calculations'!HU162,'Calculations'!$HE$13:$HE$512,0)),""))))</x:f>
      </x:c>
      <x:c r="HW162" t="str">
        <x:f>IF('Calculations'!HV162="","",IF('Calculations'!HV162="!AMBIG","!AMBIG",IF(COUNTIF('Calculations'!$HE$13:$HE$512,"="&amp;SUBSTITUTE(SUBSTITUTE(SUBSTITUTE('Calculations'!HV162,"~","~~"),"*","~*"),"?","~?"))&gt;1,"!AMBIG",IFERROR(INDEX('Calculations'!$HF$13:$HF$512,MATCH('Calculations'!HV162,'Calculations'!$HE$13:$HE$512,0)),""))))</x:f>
      </x:c>
      <x:c r="HX162" t="str">
        <x:f>IF('Calculations'!HW162="","",IF('Calculations'!HW162="!AMBIG","!AMBIG",IF(COUNTIF('Calculations'!$HE$13:$HE$512,"="&amp;SUBSTITUTE(SUBSTITUTE(SUBSTITUTE('Calculations'!HW162,"~","~~"),"*","~*"),"?","~?"))&gt;1,"!AMBIG",IFERROR(INDEX('Calculations'!$HF$13:$HF$512,MATCH('Calculations'!HW162,'Calculations'!$HE$13:$HE$512,0)),""))))</x:f>
      </x:c>
      <x:c r="HY162" t="str">
        <x:f>IF('Calculations'!HX162="","",IF('Calculations'!HX162="!AMBIG","!AMBIG",IF(COUNTIF('Calculations'!$HE$13:$HE$512,"="&amp;SUBSTITUTE(SUBSTITUTE(SUBSTITUTE('Calculations'!HX162,"~","~~"),"*","~*"),"?","~?"))&gt;1,"!AMBIG",IFERROR(INDEX('Calculations'!$HF$13:$HF$512,MATCH('Calculations'!HX162,'Calculations'!$HE$13:$HE$512,0)),""))))</x:f>
      </x:c>
      <x:c r="HZ162" t="str">
        <x:f>IF('Calculations'!HY162="","",IF('Calculations'!HY162="!AMBIG","!AMBIG",IF(COUNTIF('Calculations'!$HE$13:$HE$512,"="&amp;SUBSTITUTE(SUBSTITUTE(SUBSTITUTE('Calculations'!HY162,"~","~~"),"*","~*"),"?","~?"))&gt;1,"!AMBIG",IFERROR(INDEX('Calculations'!$HF$13:$HF$512,MATCH('Calculations'!HY162,'Calculations'!$HE$13:$HE$512,0)),""))))</x:f>
      </x:c>
      <x:c r="IA162" t="str">
        <x:f>IF('Calculations'!HZ162="","",IF('Calculations'!HZ162="!AMBIG","!AMBIG",IF(COUNTIF('Calculations'!$HE$13:$HE$512,"="&amp;SUBSTITUTE(SUBSTITUTE(SUBSTITUTE('Calculations'!HZ162,"~","~~"),"*","~*"),"?","~?"))&gt;1,"!AMBIG",IFERROR(INDEX('Calculations'!$HF$13:$HF$512,MATCH('Calculations'!HZ162,'Calculations'!$HE$13:$HE$512,0)),""))))</x:f>
      </x:c>
      <x:c r="IB162" t="str">
        <x:f>IF('Calculations'!IA162="","",IF('Calculations'!IA162="!AMBIG","!AMBIG",IF(COUNTIF('Calculations'!$HE$13:$HE$512,"="&amp;SUBSTITUTE(SUBSTITUTE(SUBSTITUTE('Calculations'!IA162,"~","~~"),"*","~*"),"?","~?"))&gt;1,"!AMBIG",IFERROR(INDEX('Calculations'!$HF$13:$HF$512,MATCH('Calculations'!IA162,'Calculations'!$HE$13:$HE$512,0)),""))))</x:f>
      </x:c>
      <x:c r="IC162" t="str">
        <x:f>IF('Calculations'!IB162="","",IF('Calculations'!IB162="!AMBIG","!AMBIG",IF(COUNTIF('Calculations'!$HE$13:$HE$512,"="&amp;SUBSTITUTE(SUBSTITUTE(SUBSTITUTE('Calculations'!IB162,"~","~~"),"*","~*"),"?","~?"))&gt;1,"!AMBIG",IFERROR(INDEX('Calculations'!$HF$13:$HF$512,MATCH('Calculations'!IB162,'Calculations'!$HE$13:$HE$512,0)),""))))</x:f>
      </x:c>
      <x:c r="ID162" t="str">
        <x:f>IF('Calculations'!IC162="","",IF('Calculations'!IC162="!AMBIG","!AMBIG",IF(COUNTIF('Calculations'!$HE$13:$HE$512,"="&amp;SUBSTITUTE(SUBSTITUTE(SUBSTITUTE('Calculations'!IC162,"~","~~"),"*","~*"),"?","~?"))&gt;1,"!AMBIG",IFERROR(INDEX('Calculations'!$HF$13:$HF$512,MATCH('Calculations'!IC162,'Calculations'!$HE$13:$HE$512,0)),""))))</x:f>
      </x:c>
      <x:c r="IE162" t="str">
        <x:f>IF('Calculations'!ID162="","",IF('Calculations'!ID162="!AMBIG","!AMBIG",IF(COUNTIF('Calculations'!$HE$13:$HE$512,"="&amp;SUBSTITUTE(SUBSTITUTE(SUBSTITUTE('Calculations'!ID162,"~","~~"),"*","~*"),"?","~?"))&gt;1,"!AMBIG",IFERROR(INDEX('Calculations'!$HF$13:$HF$512,MATCH('Calculations'!ID162,'Calculations'!$HE$13:$HE$512,0)),""))))</x:f>
      </x:c>
      <x:c r="IF162" t="str">
        <x:f>IF('Calculations'!IE162="","",IF('Calculations'!IE162="!AMBIG","!AMBIG",IF(COUNTIF('Calculations'!$HE$13:$HE$512,"="&amp;SUBSTITUTE(SUBSTITUTE(SUBSTITUTE('Calculations'!IE162,"~","~~"),"*","~*"),"?","~?"))&gt;1,"!AMBIG",IFERROR(INDEX('Calculations'!$HF$13:$HF$512,MATCH('Calculations'!IE162,'Calculations'!$HE$13:$HE$512,0)),""))))</x:f>
      </x:c>
      <x:c r="IG162" t="str">
        <x:f>IF('Calculations'!IF162="","",IF('Calculations'!IF162="!AMBIG","!AMBIG",IF(COUNTIF('Calculations'!$HE$13:$HE$512,"="&amp;SUBSTITUTE(SUBSTITUTE(SUBSTITUTE('Calculations'!IF162,"~","~~"),"*","~*"),"?","~?"))&gt;1,"!AMBIG",IFERROR(INDEX('Calculations'!$HF$13:$HF$512,MATCH('Calculations'!IF162,'Calculations'!$HE$13:$HE$512,0)),""))))</x:f>
      </x:c>
      <x:c r="IH162" t="str">
        <x:f>IF('Calculations'!IG162="","",IF('Calculations'!IG162="!AMBIG","!AMBIG",IF(COUNTIF('Calculations'!$HE$13:$HE$512,"="&amp;SUBSTITUTE(SUBSTITUTE(SUBSTITUTE('Calculations'!IG162,"~","~~"),"*","~*"),"?","~?"))&gt;1,"!AMBIG",IFERROR(INDEX('Calculations'!$HF$13:$HF$512,MATCH('Calculations'!IG162,'Calculations'!$HE$13:$HE$512,0)),""))))</x:f>
      </x:c>
      <x:c r="II162" t="str">
        <x:f>IF('Calculations'!IH162="","",IF('Calculations'!IH162="!AMBIG","!AMBIG",IF(COUNTIF('Calculations'!$HE$13:$HE$512,"="&amp;SUBSTITUTE(SUBSTITUTE(SUBSTITUTE('Calculations'!IH162,"~","~~"),"*","~*"),"?","~?"))&gt;1,"!AMBIG",IFERROR(INDEX('Calculations'!$HF$13:$HF$512,MATCH('Calculations'!IH162,'Calculations'!$HE$13:$HE$512,0)),""))))</x:f>
      </x:c>
      <x:c r="IJ162" t="str">
        <x:f>IF('Calculations'!EM162="","",IF('Calculations'!$EF$2="All",'Calculations'!HM162,IF('Calculations'!HL162=1,"",IFERROR(IF(MATCH('Calculations'!$EF$2,'Calculations'!HO162:II162,0)=1,'Calculations'!HE162,INDEX('Calculations'!HO162:II162,1,MATCH('Calculations'!$EF$2,'Calculations'!HO162:II162,0)-1)),""))))</x:f>
      </x:c>
      <x:c r="IK162" t="n">
        <x:f>IF(AND('Calculations'!EM162&lt;&gt;"",'Calculations'!$EF$2&lt;&gt;"All",'Calculations'!HF162='Calculations'!$EF$2,'Calculations'!HL162=0,'Calculations'!JD162&gt;0),MAX('Calculations'!$IK$12:IK161)+1,0)</x:f>
        <x:v>0</x:v>
      </x:c>
      <x:c r="JA162" t="n">
        <x:f>IF(OR(IFERROR(INDIRECT("'WCM Calibration Final'!$A$162")&lt;&gt;"",FALSE),IFERROR(INDIRECT("'WCM Calibration Final'!$B$162")&lt;&gt;"",FALSE),IFERROR(INDIRECT("'WCM Calibration Final'!$C$162")&lt;&gt;"",FALSE)),162,0)</x:f>
        <x:v>0</x:v>
      </x:c>
      <x:c r="JB162" t="n">
        <x:f>'Calculations'!JB161+IF('Calculations'!JA162&gt;0,1,0)</x:f>
        <x:v>0</x:v>
      </x:c>
      <x:c r="JC162" t="n">
        <x:f>IF(OR('Calculations'!HF162="",'Calculations'!HF162="!AMBIG"),0,IF('Dashboard'!$B$7="All",1,COUNTIFS('Calculations'!$HO$13:$HO$512,"="&amp;SUBSTITUTE(SUBSTITUTE(SUBSTITUTE('Calculations'!HF162,"~","~~"),"*","~*"),"?","~?"),'Calculations'!$HN$13:$HN$512,"="&amp;SUBSTITUTE(SUBSTITUTE(SUBSTITUTE('Dashboard'!$B$7,"~","~~"),"*","~*"),"?","~?"))+COUNTIFS('Calculations'!$HP$13:$HP$512,"="&amp;SUBSTITUTE(SUBSTITUTE(SUBSTITUTE('Calculations'!HF162,"~","~~"),"*","~*"),"?","~?"),'Calculations'!$HN$13:$HN$512,"="&amp;SUBSTITUTE(SUBSTITUTE(SUBSTITUTE('Dashboard'!$B$7,"~","~~"),"*","~*"),"?","~?"))+COUNTIFS('Calculations'!$HQ$13:$HQ$512,"="&amp;SUBSTITUTE(SUBSTITUTE(SUBSTITUTE('Calculations'!HF162,"~","~~"),"*","~*"),"?","~?"),'Calculations'!$HN$13:$HN$512,"="&amp;SUBSTITUTE(SUBSTITUTE(SUBSTITUTE('Dashboard'!$B$7,"~","~~"),"*","~*"),"?","~?"))+COUNTIFS('Calculations'!$HR$13:$HR$512,"="&amp;SUBSTITUTE(SUBSTITUTE(SUBSTITUTE('Calculations'!HF162,"~","~~"),"*","~*"),"?","~?"),'Calculations'!$HN$13:$HN$512,"="&amp;SUBSTITUTE(SUBSTITUTE(SUBSTITUTE('Dashboard'!$B$7,"~","~~"),"*","~*"),"?","~?"))+COUNTIFS('Calculations'!$HS$13:$HS$512,"="&amp;SUBSTITUTE(SUBSTITUTE(SUBSTITUTE('Calculations'!HF162,"~","~~"),"*","~*"),"?","~?"),'Calculations'!$HN$13:$HN$512,"="&amp;SUBSTITUTE(SUBSTITUTE(SUBSTITUTE('Dashboard'!$B$7,"~","~~"),"*","~*"),"?","~?"))+COUNTIFS('Calculations'!$HT$13:$HT$512,"="&amp;SUBSTITUTE(SUBSTITUTE(SUBSTITUTE('Calculations'!HF162,"~","~~"),"*","~*"),"?","~?"),'Calculations'!$HN$13:$HN$512,"="&amp;SUBSTITUTE(SUBSTITUTE(SUBSTITUTE('Dashboard'!$B$7,"~","~~"),"*","~*"),"?","~?"))+COUNTIFS('Calculations'!$HU$13:$HU$512,"="&amp;SUBSTITUTE(SUBSTITUTE(SUBSTITUTE('Calculations'!HF162,"~","~~"),"*","~*"),"?","~?"),'Calculations'!$HN$13:$HN$512,"="&amp;SUBSTITUTE(SUBSTITUTE(SUBSTITUTE('Dashboard'!$B$7,"~","~~"),"*","~*"),"?","~?"))+COUNTIFS('Calculations'!$HV$13:$HV$512,"="&amp;SUBSTITUTE(SUBSTITUTE(SUBSTITUTE('Calculations'!HF162,"~","~~"),"*","~*"),"?","~?"),'Calculations'!$HN$13:$HN$512,"="&amp;SUBSTITUTE(SUBSTITUTE(SUBSTITUTE('Dashboard'!$B$7,"~","~~"),"*","~*"),"?","~?"))+COUNTIFS('Calculations'!$HW$13:$HW$512,"="&amp;SUBSTITUTE(SUBSTITUTE(SUBSTITUTE('Calculations'!HF162,"~","~~"),"*","~*"),"?","~?"),'Calculations'!$HN$13:$HN$512,"="&amp;SUBSTITUTE(SUBSTITUTE(SUBSTITUTE('Dashboard'!$B$7,"~","~~"),"*","~*"),"?","~?"))+COUNTIFS('Calculations'!$HX$13:$HX$512,"="&amp;SUBSTITUTE(SUBSTITUTE(SUBSTITUTE('Calculations'!HF162,"~","~~"),"*","~*"),"?","~?"),'Calculations'!$HN$13:$HN$512,"="&amp;SUBSTITUTE(SUBSTITUTE(SUBSTITUTE('Dashboard'!$B$7,"~","~~"),"*","~*"),"?","~?"))+COUNTIFS('Calculations'!$HY$13:$HY$512,"="&amp;SUBSTITUTE(SUBSTITUTE(SUBSTITUTE('Calculations'!HF162,"~","~~"),"*","~*"),"?","~?"),'Calculations'!$HN$13:$HN$512,"="&amp;SUBSTITUTE(SUBSTITUTE(SUBSTITUTE('Dashboard'!$B$7,"~","~~"),"*","~*"),"?","~?"))+COUNTIFS('Calculations'!$HZ$13:$HZ$512,"="&amp;SUBSTITUTE(SUBSTITUTE(SUBSTITUTE('Calculations'!HF162,"~","~~"),"*","~*"),"?","~?"),'Calculations'!$HN$13:$HN$512,"="&amp;SUBSTITUTE(SUBSTITUTE(SUBSTITUTE('Dashboard'!$B$7,"~","~~"),"*","~*"),"?","~?"))+COUNTIFS('Calculations'!$IA$13:$IA$512,"="&amp;SUBSTITUTE(SUBSTITUTE(SUBSTITUTE('Calculations'!HF162,"~","~~"),"*","~*"),"?","~?"),'Calculations'!$HN$13:$HN$512,"="&amp;SUBSTITUTE(SUBSTITUTE(SUBSTITUTE('Dashboard'!$B$7,"~","~~"),"*","~*"),"?","~?"))+COUNTIFS('Calculations'!$IB$13:$IB$512,"="&amp;SUBSTITUTE(SUBSTITUTE(SUBSTITUTE('Calculations'!HF162,"~","~~"),"*","~*"),"?","~?"),'Calculations'!$HN$13:$HN$512,"="&amp;SUBSTITUTE(SUBSTITUTE(SUBSTITUTE('Dashboard'!$B$7,"~","~~"),"*","~*"),"?","~?"))+COUNTIFS('Calculations'!$IC$13:$IC$512,"="&amp;SUBSTITUTE(SUBSTITUTE(SUBSTITUTE('Calculations'!HF162,"~","~~"),"*","~*"),"?","~?"),'Calculations'!$HN$13:$HN$512,"="&amp;SUBSTITUTE(SUBSTITUTE(SUBSTITUTE('Dashboard'!$B$7,"~","~~"),"*","~*"),"?","~?"))+COUNTIFS('Calculations'!$ID$13:$ID$512,"="&amp;SUBSTITUTE(SUBSTITUTE(SUBSTITUTE('Calculations'!HF162,"~","~~"),"*","~*"),"?","~?"),'Calculations'!$HN$13:$HN$512,"="&amp;SUBSTITUTE(SUBSTITUTE(SUBSTITUTE('Dashboard'!$B$7,"~","~~"),"*","~*"),"?","~?"))+COUNTIFS('Calculations'!$IE$13:$IE$512,"="&amp;SUBSTITUTE(SUBSTITUTE(SUBSTITUTE('Calculations'!HF162,"~","~~"),"*","~*"),"?","~?"),'Calculations'!$HN$13:$HN$512,"="&amp;SUBSTITUTE(SUBSTITUTE(SUBSTITUTE('Dashboard'!$B$7,"~","~~"),"*","~*"),"?","~?"))+COUNTIFS('Calculations'!$IF$13:$IF$512,"="&amp;SUBSTITUTE(SUBSTITUTE(SUBSTITUTE('Calculations'!HF162,"~","~~"),"*","~*"),"?","~?"),'Calculations'!$HN$13:$HN$512,"="&amp;SUBSTITUTE(SUBSTITUTE(SUBSTITUTE('Dashboard'!$B$7,"~","~~"),"*","~*"),"?","~?"))+COUNTIFS('Calculations'!$IG$13:$IG$512,"="&amp;SUBSTITUTE(SUBSTITUTE(SUBSTITUTE('Calculations'!HF162,"~","~~"),"*","~*"),"?","~?"),'Calculations'!$HN$13:$HN$512,"="&amp;SUBSTITUTE(SUBSTITUTE(SUBSTITUTE('Dashboard'!$B$7,"~","~~"),"*","~*"),"?","~?"))+COUNTIFS('Calculations'!$IH$13:$IH$512,"="&amp;SUBSTITUTE(SUBSTITUTE(SUBSTITUTE('Calculations'!HF162,"~","~~"),"*","~*"),"?","~?"),'Calculations'!$HN$13:$HN$512,"="&amp;SUBSTITUTE(SUBSTITUTE(SUBSTITUTE('Dashboard'!$B$7,"~","~~"),"*","~*"),"?","~?"))))</x:f>
        <x:v>0</x:v>
      </x:c>
      <x:c r="JD162" t="n">
        <x:f>IF('Calculations'!EM162="",0,IF('Dashboard'!$B$7="All",1,IF('Calculations'!HN162='Dashboard'!$B$7,1,0)+IFERROR(INDEX('Calculations'!$JC$13:$JC$512,MATCH('Calculations'!HE162,'Calculations'!$HF$13:$HF$512,0)),0)))</x:f>
        <x:v>0</x:v>
      </x:c>
      <x:c r="JE162" t="n">
        <x:f>IF(AND('Calculations'!EM162&lt;&gt;"",'Calculations'!$JJ$2&lt;&gt;"All",'Calculations'!$JJ$2&lt;&gt;"",'Calculations'!HF162='Calculations'!$JJ$2,'Calculations'!HL162=0,'Calculations'!JD162&gt;0),MAX('Calculations'!$JE$12:JE161)+1,0)</x:f>
        <x:v>0</x:v>
      </x:c>
      <x:c r="JF162" t="str">
        <x:f>IF('Calculations'!EM162="","",IFERROR(IF(INDEX(INDIRECT("'WCM Calibration Final'!$G$1:$G$2000"),'Calculations'!$EM162)="","",TRIM(INDEX(INDIRECT("'WCM Calibration Final'!$G$1:$G$2000"),'Calculations'!$EM162)&amp;"")),""))</x:f>
      </x:c>
      <x:c r="JQ162" t="n">
        <x:f>IF(OR('Calculations'!BM162=0,NOT('Calculations'!$AG$2),'Calculations'!$AG$8&gt;0),0,IF(OR('Dashboard'!$B$7="All",'Calculations'!HN162='Dashboard'!$B$7),IF('Calculations'!$JJ$2="All",1,IF(AND('Calculations'!HF162='Calculations'!$JJ$2,'Calculations'!HL162=0),1,0)),0))</x:f>
        <x:v>0</x:v>
      </x:c>
    </x:row>
    <x:row r="163">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t="n">
        <x:f>IF('Calculations'!$EM163="",0,IF(OR(IFERROR(INDEX(INDIRECT("'WCM Calibration Final'!$A$1:$A$2000"),'Calculations'!$EM163)&lt;&gt;"",FALSE),IFERROR(INDEX(INDIRECT("'WCM Calibration Final'!$B$1:$B$2000"),'Calculations'!$EM163)&lt;&gt;"",FALSE),IFERROR(INDEX(INDIRECT("'WCM Calibration Final'!$C$1:$C$2000"),'Calculations'!$EM163)&lt;&gt;"",FALSE)),1,0))</x:f>
        <x:v>0</x:v>
      </x:c>
      <x:c r="BN163" s="4" t="n">
        <x:f>IF(AND('Calculations'!BM163=1,'Calculations'!$AG$2,'Calculations'!$EN163=1),1,0)</x:f>
        <x:v>0</x:v>
      </x:c>
      <x:c r="BO163" s="4" t="str">
        <x:f>IF('Calculations'!BM163=0,"",IFERROR(IF(AND(VALUE(INDEX(INDIRECT("'WCM Calibration Final'!$K$1:$K$2000"),'Calculations'!$EM163))&gt;=1,VALUE(INDEX(INDIRECT("'WCM Calibration Final'!$K$1:$K$2000"),'Calculations'!$EM163))&lt;=4,MOD(VALUE(INDEX(INDIRECT("'WCM Calibration Final'!$K$1:$K$2000"),'Calculations'!$EM163)),1)=0),VALUE(INDEX(INDIRECT("'WCM Calibration Final'!$K$1:$K$2000"),'Calculations'!$EM163)),""),""))</x:f>
      </x:c>
      <x:c r="BP163" s="4" t="str">
        <x:f>IF('Calculations'!BM163=0,"",IFERROR(IF(AND(VALUE(INDEX(INDIRECT("'WCM Calibration Final'!$L$1:$L$2000"),'Calculations'!$EM163))&gt;=1,VALUE(INDEX(INDIRECT("'WCM Calibration Final'!$L$1:$L$2000"),'Calculations'!$EM163))&lt;=4,MOD(VALUE(INDEX(INDIRECT("'WCM Calibration Final'!$L$1:$L$2000"),'Calculations'!$EM163)),1)=0),VALUE(INDEX(INDIRECT("'WCM Calibration Final'!$L$1:$L$2000"),'Calculations'!$EM163)),""),""))</x:f>
      </x:c>
      <x:c r="BQ163" s="4"/>
      <x:c r="BR163" s="4"/>
      <x:c r="BS163" s="4"/>
      <x:c r="BT163" s="4" t="n">
        <x:f>IF(AND('Calculations'!BM163=1,ISNUMBER('Calculations'!BO163),ISNUMBER('Calculations'!BP163)),1,0)</x:f>
        <x:v>0</x:v>
      </x:c>
      <x:c r="BU163" s="4" t="str">
        <x:f>IF('Calculations'!BM163=0,"",'Calculations'!$EO163)</x:f>
      </x:c>
      <x:c r="BV163" s="4" t="str">
        <x:f>IF('Calculations'!BM163=0,"",IFERROR(IF(OR(INDEX(INDIRECT("'WCM Calibration Final'!$H$1:$H$2000"),'Calculations'!$EM163)="MANAGING DIRECTOR",INDEX(INDIRECT("'WCM Calibration Final'!$H$1:$H$2000"),'Calculations'!$EM163)="DIRECTOR",INDEX(INDIRECT("'WCM Calibration Final'!$H$1:$H$2000"),'Calculations'!$EM163)="SENIOR VICE PRESIDENT",INDEX(INDIRECT("'WCM Calibration Final'!$H$1:$H$2000"),'Calculations'!$EM163)="VICE PRESIDENT",INDEX(INDIRECT("'WCM Calibration Final'!$H$1:$H$2000"),'Calculations'!$EM163)="ASSISTANT VICE PRESIDENT",INDEX(INDIRECT("'WCM Calibration Final'!$H$1:$H$2000"),'Calculations'!$EM163)="OFFICER"),UPPER(INDEX(INDIRECT("'WCM Calibration Final'!$H$1:$H$2000"),'Calculations'!$EM163)),"Other"),"Other"))</x:f>
      </x:c>
      <x:c r="BW163" s="4"/>
      <x:c r="BX163" s="4"/>
      <x:c r="BY163" s="4" t="n">
        <x:f>IF(AND('Calculations'!BM163=1,'Calculations'!BU163&lt;&gt;"",COUNTIF('Calculations'!$BU$12:BU163,'Calculations'!BU163)=1),MAX('Calculations'!$BY$11:BY162)+1,0)</x:f>
        <x:v>0</x:v>
      </x:c>
      <x:c r="BZ163" s="4" t="str">
        <x:f>IF('Dashboard'!$E$67="What",'Calculations'!BO163,'Calculations'!BP163)</x:f>
      </x:c>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t="str">
        <x:f>IF(152&gt;MAX('Calculations'!$HI$13:$HI$512),"",INDEX('Calculations'!$HN$13:$HN$512,MATCH(152,'Calculations'!$HI$13:$HI$512,0)))</x:f>
      </x:c>
      <x:c r="DB163" s="4" t="str">
        <x:f>IF(152&gt;MAX('Calculations'!$HH$13:$HH$512),"",INDEX('Calculations'!$HJ$13:$HJ$512,MATCH(152,'Calculations'!$HH$13:$HH$512,0)))</x:f>
      </x:c>
      <x:c r="DC163" s="4" t="str">
        <x:f>IF(ROW()-11&gt;MAX('Calculations'!$BY$13:$BY$512),"",INDEX('Calculations'!$BU$13:$BU$512,MATCH(ROW()-11,'Calculations'!$BY$13:$BY$512,0)))</x:f>
      </x:c>
      <x:c r="DD163" s="4" t="str">
        <x:f>IF(152&gt;MAX('Calculations'!$IK$13:$IK$512),"",INDEX('Calculations'!$HK$13:$HK$512,MATCH(152,'Calculations'!$IK$13:$IK$512,0)))</x:f>
      </x:c>
      <x:c r="DE163" s="4" t="str">
        <x:f>'Calculations'!DC163</x:f>
      </x:c>
      <x:c r="DF163" s="4" t="str">
        <x:f>IF('Calculations'!DE163="","",COUNTIFS('Calculations'!$BN$13:$BN$512,1,'Calculations'!$BU$13:$BU$512,'Calculations'!DE163))</x:f>
      </x:c>
      <x:c r="DG163" s="4" t="str">
        <x:f>IF('Calculations'!DE163="","",COUNTIFS('Calculations'!$BN$13:$BN$512,1,'Calculations'!$BU$13:$BU$512,'Calculations'!DE163,'Calculations'!$BT$13:$BT$512,1))</x:f>
      </x:c>
      <x:c r="DH163" s="4" t="str">
        <x:f>IF('Calculations'!DE163="","",'Calculations'!DF163-'Calculations'!DG163)</x:f>
      </x:c>
      <x:c r="DI163" s="4" t="str">
        <x:f>IF(OR('Calculations'!DE163="",'Calculations'!DF163=0),"",'Calculations'!DG163/'Calculations'!DF163)</x:f>
      </x:c>
      <x:c r="DJ163" s="4" t="str">
        <x:f>IF('Calculations'!DE163="","",COUNTIFS('Calculations'!$BN$13:$BN$512,1,'Calculations'!$BU$13:$BU$512,'Calculations'!DE163,'Calculations'!$BT$13:$BT$512,1,'Calculations'!$EE$13:$EE$512,"High"))</x:f>
      </x:c>
      <x:c r="DK163" s="4" t="str">
        <x:f>IF('Calculations'!DE163="","",COUNTIFS('Calculations'!$BN$13:$BN$512,1,'Calculations'!$BU$13:$BU$512,'Calculations'!DE163,'Calculations'!$BT$13:$BT$512,1,'Calculations'!$EE$13:$EE$512,"Strong"))</x:f>
      </x:c>
      <x:c r="DL163" s="4" t="str">
        <x:f>IF('Calculations'!DE163="","",COUNTIFS('Calculations'!$BN$13:$BN$512,1,'Calculations'!$BU$13:$BU$512,'Calculations'!DE163,'Calculations'!$BT$13:$BT$512,1,'Calculations'!$EE$13:$EE$512,"Solid"))</x:f>
      </x:c>
      <x:c r="DM163" s="4" t="str">
        <x:f>IF('Calculations'!DE163="","",COUNTIFS('Calculations'!$BN$13:$BN$512,1,'Calculations'!$BU$13:$BU$512,'Calculations'!DE163,'Calculations'!$BT$13:$BT$512,1,'Calculations'!$EE$13:$EE$512,"Low"))</x:f>
      </x:c>
      <x:c r="DN163" s="4" t="str">
        <x:f>IF('Calculations'!DE163="","",COUNTIFS('Calculations'!$BN$13:$BN$512,1,'Calculations'!$BU$13:$BU$512,'Calculations'!DE163,'Calculations'!$EP$13:$EP$512,1))</x:f>
      </x:c>
      <x:c r="DO163" s="4" t="str">
        <x:f>IF(OR('Calculations'!DE163="",'Calculations'!DG163=0),"",('Calculations'!DJ163+'Calculations'!DK163)/'Calculations'!DG163)</x:f>
      </x:c>
      <x:c r="DP163" s="4" t="n">
        <x:f>IF(AND('Calculations'!DE163&lt;&gt;"",'Calculations'!DF163&gt;0),COUNTIF('Calculations'!$DF$12:DF163,"&gt;0"),0)</x:f>
        <x:v>0</x:v>
      </x:c>
      <x:c r="DQ163" s="4" t="str">
        <x:f>IF(152&gt;MAX('Calculations'!$HH$13:$HH$512),"",INDEX('Calculations'!$HF$13:$HF$512,MATCH(152,'Calculations'!$HH$13:$HH$512,0)))</x:f>
      </x:c>
      <x:c r="DR163" s="4" t="str">
        <x:f>IF(152&gt;MAX('Calculations'!$IK$13:$IK$512),"",INDEX('Calculations'!$HE$13:$HE$512,MATCH(152,'Calculations'!$IK$13:$IK$512,0)))</x:f>
      </x:c>
      <x:c r="DS163" s="4"/>
      <x:c r="DT163" s="4"/>
      <x:c r="DU163" s="4"/>
      <x:c r="DV163" s="4"/>
      <x:c r="DW163" s="4"/>
      <x:c r="DX163" s="4"/>
      <x:c r="DY163" s="4"/>
      <x:c r="DZ163" s="4"/>
      <x:c r="EA163" s="4"/>
      <x:c r="EB163" s="4"/>
      <x:c r="EC163" s="4"/>
      <x:c r="ED163" s="4"/>
      <x:c r="EE163" s="4" t="str">
        <x:f>IF('Calculations'!BT163=0,"Not Rated",IF(OR('Calculations'!BO163&gt;=4,'Calculations'!BP163&gt;=4),"Low",IF('Calculations'!BO163+'Calculations'!BP163&lt;=3,"High",IF('Calculations'!BO163+'Calculations'!BP163&lt;=4,"Strong","Solid"))))</x:f>
        <x:v>Not Rated</x:v>
      </x:c>
      <x:c r="EF163" s="4"/>
      <x:c r="EG163" s="4"/>
      <x:c r="EH163" s="4"/>
      <x:c r="EI163" s="4"/>
      <x:c r="EJ163" s="4"/>
      <x:c r="EK163" s="4"/>
      <x:c r="EL163" s="4"/>
      <x:c r="EM163" s="4" t="str">
        <x:f>IF(151&gt;'Calculations'!$JB$2000,"",INDEX('Calculations'!$JA$12:$JA$2000,MATCH(151,'Calculations'!$JB$12:$JB$2000,0)))</x:f>
      </x:c>
      <x:c r="EN163" s="4" t="n">
        <x:f>IF(OR('Calculations'!EM163="",'Calculations'!$AG$8&gt;0,AND('Calculations'!$EF$2&lt;&gt;"All",'Calculations'!HE163='Calculations'!$EF$2),AND('Calculations'!$EF$3&lt;&gt;"All",'Calculations'!HE163='Calculations'!$EF$3)),0,IF(OR('Dashboard'!$B$7="All",'Calculations'!HN163='Dashboard'!$B$7),IF('Calculations'!$EF$2="All",1,IF('Calculations'!HL163&gt;0,0,IF(COUNTIF('Calculations'!HO163:II163,"="&amp;SUBSTITUTE(SUBSTITUTE(SUBSTITUTE('Calculations'!$EF$2,"~","~~"),"*","~*"),"?","~?"))=0,0,IF('Calculations'!$EF$3="All",1,IF(COUNTIF('Calculations'!HO163:II163,"="&amp;SUBSTITUTE(SUBSTITUTE(SUBSTITUTE('Calculations'!$EF$3,"~","~~"),"*","~*"),"?","~?"))&gt;0,1,0))))),0))</x:f>
        <x:v>0</x:v>
      </x:c>
      <x:c r="EO163" s="4" t="str">
        <x:f>IF('Calculations'!IJ163="","",IF('Calculations'!IJ163="!UNRESOLVED","Unresolved hierarchy",IFERROR(INDEX('Calculations'!$HK$13:$HK$512,MATCH('Calculations'!IJ163,'Calculations'!$HE$13:$HE$512,0)),IFERROR(INDEX('Calculations'!$HJ$13:$HJ$512,MATCH('Calculations'!IJ163,'Calculations'!$HF$13:$HF$512,0)),'Calculations'!IJ163))))</x:f>
      </x:c>
      <x:c r="EP163" s="4" t="n">
        <x:f>IF(AND('Calculations'!EM163&lt;&gt;"",'Calculations'!HF163='Calculations'!IJ163),1,0)</x:f>
        <x:v>0</x:v>
      </x:c>
      <x:c r="EQ163" s="4"/>
      <x:c r="ER163" s="4"/>
      <x:c r="ES163" s="4"/>
      <x:c r="ET163" s="4"/>
      <x:c r="EU163" s="4"/>
      <x:c r="EV163" s="4"/>
      <x:c r="EW163" s="4"/>
      <x:c r="EX163" s="4"/>
      <x:c r="EY163" s="4"/>
      <x:c r="EZ163" s="4"/>
      <x:c r="FA163" s="4"/>
      <x:c r="FB163" s="4"/>
      <x:c r="FC163" s="4"/>
      <x:c r="FD163" s="4"/>
      <x:c r="FE163" s="4"/>
      <x:c r="FF163" s="4"/>
      <x:c r="FG163" s="4"/>
      <x:c r="FH163" s="4"/>
      <x:c r="FI163" s="4"/>
      <x:c r="FJ163" s="4"/>
      <x:c r="FK163" s="4"/>
      <x:c r="FL163" s="4"/>
      <x:c r="FM163" s="4"/>
      <x:c r="FN163" s="4"/>
      <x:c r="FO163" s="4"/>
      <x:c r="GA163" s="71"/>
      <x:c r="GB163" s="71"/>
      <x:c r="GC163" s="71"/>
      <x:c r="GD163" s="71"/>
      <x:c r="GE163" s="71"/>
      <x:c r="GF163" s="71"/>
      <x:c r="GG163" s="71"/>
      <x:c r="GH163" s="71"/>
      <x:c r="GI163" s="71"/>
      <x:c r="GJ163" s="71"/>
      <x:c r="GK163" s="71"/>
      <x:c r="GL163" s="71" t="n">
        <x:f>COUNTIFS('Calculations'!$JQ$13:$JQ$512,1,'Calculations'!$BP$13:$BP$512,1)</x:f>
        <x:v>0</x:v>
      </x:c>
      <x:c r="GM163" s="71"/>
      <x:c r="GN163" s="71"/>
      <x:c r="GO163" s="71" t="str">
        <x:f>IF(SUM('Calculations'!$GL$163:$GL$166)=0,"",'Calculations'!GL163/SUM('Calculations'!$GL$163:$GL$166))</x:f>
      </x:c>
      <x:c r="GP163" s="71"/>
      <x:c r="GQ163" s="71"/>
      <x:c r="GR163" s="71" t="n">
        <x:f>IF(COUNT('Dashboard'!N144)=0,"",IF(AND('Dashboard'!N144&gt;=0,'Dashboard'!N144&lt;=1),'Dashboard'!N144,""))</x:f>
        <x:v>0.1</x:v>
      </x:c>
      <x:c r="GS163" s="71"/>
      <x:c r="GT163" s="71"/>
      <x:c r="GU163" s="71" t="str">
        <x:f>IF(COUNT('Calculations'!GO163,'Calculations'!GR163)&lt;2,"",100*('Calculations'!GO163-'Calculations'!GR163))</x:f>
      </x:c>
      <x:c r="GV163" s="71"/>
      <x:c r="GW163" s="71"/>
      <x:c r="GX163" s="71" t="str">
        <x:f>IF(NOT('Calculations'!$AG$2),"Source unavailable",IF('Calculations'!$AG$8&gt;0,"Check filters",IF(COUNT('Calculations'!GO163)=0,"No ratings",IF(COUNT('Calculations'!GR163)=0,"No threshold",IF('Calculations'!GO163&gt;'Calculations'!GR163,"Above threshold","Within threshold")))))</x:f>
        <x:v>Source unavailable</x:v>
      </x:c>
      <x:c r="GY163" s="71"/>
      <x:c r="GZ163" s="71"/>
      <x:c r="HA163" s="71"/>
      <x:c r="HB163" s="71"/>
      <x:c r="HC163" s="71"/>
      <x:c r="HD163" s="71"/>
      <x:c r="HE163" t="str">
        <x:f>IF('Calculations'!EM163="","",IF(IFERROR(IF(INDEX(INDIRECT("'WCM Calibration Final'!$A$1:$A$2000"),'Calculations'!$EM163)="","",TRIM(INDEX(INDIRECT("'WCM Calibration Final'!$A$1:$A$2000"),'Calculations'!$EM163)&amp;"")),"")&lt;&gt;"","G:"&amp;IFERROR(TEXT(1*INDEX(INDIRECT("'WCM Calibration Final'!$A$1:$A$2000"),'Calculations'!$EM163),"0"),UPPER(IFERROR(IF(INDEX(INDIRECT("'WCM Calibration Final'!$A$1:$A$2000"),'Calculations'!$EM163)="","",TRIM(INDEX(INDIRECT("'WCM Calibration Final'!$A$1:$A$2000"),'Calculations'!$EM163)&amp;"")),""))),IF(IFERROR(IF(INDEX(INDIRECT("'WCM Calibration Final'!$C$1:$C$2000"),'Calculations'!$EM163)="","",TRIM(INDEX(INDIRECT("'WCM Calibration Final'!$C$1:$C$2000"),'Calculations'!$EM163)&amp;"")),"")&lt;&gt;"","S:"&amp;UPPER(IFERROR(IF(INDEX(INDIRECT("'WCM Calibration Final'!$C$1:$C$2000"),'Calculations'!$EM163)="","",TRIM(INDEX(INDIRECT("'WCM Calibration Final'!$C$1:$C$2000"),'Calculations'!$EM163)&amp;"")),"")),"R:"&amp;'Calculations'!EM163)))</x:f>
      </x:c>
      <x:c r="HF163" t="str">
        <x:f>IF('Calculations'!EM163="","",IF(IFERROR(IF(INDEX(INDIRECT("'WCM Calibration Final'!$D$1:$D$2000"),'Calculations'!$EM163)="","",TRIM(INDEX(INDIRECT("'WCM Calibration Final'!$D$1:$D$2000"),'Calculations'!$EM163)&amp;"")),"")&lt;&gt;"","G:"&amp;IFERROR(TEXT(1*INDEX(INDIRECT("'WCM Calibration Final'!$D$1:$D$2000"),'Calculations'!$EM163),"0"),UPPER(IFERROR(IF(INDEX(INDIRECT("'WCM Calibration Final'!$D$1:$D$2000"),'Calculations'!$EM163)="","",TRIM(INDEX(INDIRECT("'WCM Calibration Final'!$D$1:$D$2000"),'Calculations'!$EM163)&amp;"")),""))),IF(IFERROR(IF(INDEX(INDIRECT("'WCM Calibration Final'!$E$1:$E$2000"),'Calculations'!$EM163)="","",TRIM(INDEX(INDIRECT("'WCM Calibration Final'!$E$1:$E$2000"),'Calculations'!$EM163)&amp;"")),"")="","",IF(COUNTIF('Calculations'!$HG$13:$HG$512,"="&amp;SUBSTITUTE(SUBSTITUTE(SUBSTITUTE(IFERROR(IF(INDEX(INDIRECT("'WCM Calibration Final'!$E$1:$E$2000"),'Calculations'!$EM163)="","",TRIM(INDEX(INDIRECT("'WCM Calibration Final'!$E$1:$E$2000"),'Calculations'!$EM163)&amp;"")),""),"~","~~"),"*","~*"),"?","~?"))=1,INDEX('Calculations'!$HE$13:$HE$512,MATCH(IFERROR(IF(INDEX(INDIRECT("'WCM Calibration Final'!$E$1:$E$2000"),'Calculations'!$EM163)="","",TRIM(INDEX(INDIRECT("'WCM Calibration Final'!$E$1:$E$2000"),'Calculations'!$EM163)&amp;"")),""),'Calculations'!$HG$13:$HG$512,0)),IF(COUNTIF('Calculations'!$HG$13:$HG$512,"="&amp;SUBSTITUTE(SUBSTITUTE(SUBSTITUTE(IFERROR(IF(INDEX(INDIRECT("'WCM Calibration Final'!$E$1:$E$2000"),'Calculations'!$EM163)="","",TRIM(INDEX(INDIRECT("'WCM Calibration Final'!$E$1:$E$2000"),'Calculations'!$EM163)&amp;"")),""),"~","~~"),"*","~*"),"?","~?"))&gt;1,"!AMBIG","X:"&amp;IFERROR(IF(INDEX(INDIRECT("'WCM Calibration Final'!$E$1:$E$2000"),'Calculations'!$EM163)="","",TRIM(INDEX(INDIRECT("'WCM Calibration Final'!$E$1:$E$2000"),'Calculations'!$EM163)&amp;"")),""))))))</x:f>
      </x:c>
      <x:c r="HG163" t="str">
        <x:f>IF('Calculations'!EM163="","",IFERROR(IF(INDEX(INDIRECT("'WCM Calibration Final'!$B$1:$B$2000"),'Calculations'!$EM163)="","",TRIM(INDEX(INDIRECT("'WCM Calibration Final'!$B$1:$B$2000"),'Calculations'!$EM163)&amp;"")),""))</x:f>
      </x:c>
      <x:c r="HH163" t="n">
        <x:f>IF(AND('Calculations'!JC163&gt;0,COUNTIF('Calculations'!$HF$12:HF163,"="&amp;SUBSTITUTE(SUBSTITUTE(SUBSTITUTE('Calculations'!HF163,"~","~~"),"*","~*"),"?","~?"))=1),MAX('Calculations'!$HH$12:HH162)+1,0)</x:f>
        <x:v>0</x:v>
      </x:c>
      <x:c r="HI163" t="n">
        <x:f>IF(AND('Calculations'!HN163&lt;&gt;"",COUNTIF('Calculations'!$HN$12:HN163,"="&amp;SUBSTITUTE(SUBSTITUTE(SUBSTITUTE('Calculations'!HN163,"~","~~"),"*","~*"),"?","~?"))=1),MAX('Calculations'!$HI$12:HI162)+1,0)</x:f>
        <x:v>0</x:v>
      </x:c>
      <x:c r="HJ163" t="str">
        <x:f>IF('Calculations'!HF163="","",IF(COUNTIF('Calculations'!$HE$13:$HE$512,"="&amp;SUBSTITUTE(SUBSTITUTE(SUBSTITUTE('Calculations'!HF163,"~","~~"),"*","~*"),"?","~?"))=1,INDEX('Calculations'!$HK$13:$HK$512,MATCH('Calculations'!HF163,'Calculations'!$HE$13:$HE$512,0)),IFERROR(IF(INDEX(INDIRECT("'WCM Calibration Final'!$E$1:$E$2000"),'Calculations'!$EM163)="","",TRIM(INDEX(INDIRECT("'WCM Calibration Final'!$E$1:$E$2000"),'Calculations'!$EM163)&amp;"")),"")&amp;" ["&amp;'Calculations'!HF163&amp;"]"))</x:f>
      </x:c>
      <x:c r="HK163" t="str">
        <x:f>IF('Calculations'!EM163="","",'Calculations'!HG163&amp;" ["&amp;'Calculations'!HE163&amp;"]")</x:f>
      </x:c>
      <x:c r="HL163" t="n">
        <x:f>IF('Calculations'!EM163="",0,IF(OR('Calculations'!II163&lt;&gt;"",COUNTIF('Calculations'!$HE$13:$HE$512,"="&amp;SUBSTITUTE(SUBSTITUTE(SUBSTITUTE('Calculations'!HE163,"~","~~"),"*","~*"),"?","~?"))&gt;1),1,0))</x:f>
        <x:v>0</x:v>
      </x:c>
      <x:c r="HM163" t="str">
        <x:f>IF('Calculations'!EM163="","",IF('Calculations'!HL163=1,"!UNRESOLVED",IF('Calculations'!IH163&lt;&gt;"",'Calculations'!IH163,IF('Calculations'!IG163&lt;&gt;"",'Calculations'!IG163,IF('Calculations'!IF163&lt;&gt;"",'Calculations'!IF163,IF('Calculations'!IE163&lt;&gt;"",'Calculations'!IE163,IF('Calculations'!ID163&lt;&gt;"",'Calculations'!ID163,IF('Calculations'!IC163&lt;&gt;"",'Calculations'!IC163,IF('Calculations'!IB163&lt;&gt;"",'Calculations'!IB163,IF('Calculations'!IA163&lt;&gt;"",'Calculations'!IA163,IF('Calculations'!HZ163&lt;&gt;"",'Calculations'!HZ163,IF('Calculations'!HY163&lt;&gt;"",'Calculations'!HY163,IF('Calculations'!HX163&lt;&gt;"",'Calculations'!HX163,IF('Calculations'!HW163&lt;&gt;"",'Calculations'!HW163,IF('Calculations'!HV163&lt;&gt;"",'Calculations'!HV163,IF('Calculations'!HU163&lt;&gt;"",'Calculations'!HU163,IF('Calculations'!HT163&lt;&gt;"",'Calculations'!HT163,IF('Calculations'!HS163&lt;&gt;"",'Calculations'!HS163,IF('Calculations'!HR163&lt;&gt;"",'Calculations'!HR163,IF('Calculations'!HQ163&lt;&gt;"",'Calculations'!HQ163,IF('Calculations'!HP163&lt;&gt;"",'Calculations'!HP163,IF('Calculations'!HO163&lt;&gt;"",'Calculations'!HO163,'Calculations'!HE163))))))))))))))))))))))</x:f>
      </x:c>
      <x:c r="HN163" t="str">
        <x:f>IF('Calculations'!EM163="","",IF(IFERROR(IF(INDEX(INDIRECT("'WCM Calibration Final'!$F$1:$F$2000"),'Calculations'!$EM163)="","",TRIM(INDEX(INDIRECT("'WCM Calibration Final'!$F$1:$F$2000"),'Calculations'!$EM163)&amp;"")),"")="","(Blank)",IFERROR(IF(INDEX(INDIRECT("'WCM Calibration Final'!$F$1:$F$2000"),'Calculations'!$EM163)="","",TRIM(INDEX(INDIRECT("'WCM Calibration Final'!$F$1:$F$2000"),'Calculations'!$EM163)&amp;"")),"")))</x:f>
      </x:c>
      <x:c r="HO163" t="str">
        <x:f>'Calculations'!HF163</x:f>
      </x:c>
      <x:c r="HP163" t="str">
        <x:f>IF('Calculations'!HO163="","",IF('Calculations'!HO163="!AMBIG","!AMBIG",IF(COUNTIF('Calculations'!$HE$13:$HE$512,"="&amp;SUBSTITUTE(SUBSTITUTE(SUBSTITUTE('Calculations'!HO163,"~","~~"),"*","~*"),"?","~?"))&gt;1,"!AMBIG",IFERROR(INDEX('Calculations'!$HF$13:$HF$512,MATCH('Calculations'!HO163,'Calculations'!$HE$13:$HE$512,0)),""))))</x:f>
      </x:c>
      <x:c r="HQ163" t="str">
        <x:f>IF('Calculations'!HP163="","",IF('Calculations'!HP163="!AMBIG","!AMBIG",IF(COUNTIF('Calculations'!$HE$13:$HE$512,"="&amp;SUBSTITUTE(SUBSTITUTE(SUBSTITUTE('Calculations'!HP163,"~","~~"),"*","~*"),"?","~?"))&gt;1,"!AMBIG",IFERROR(INDEX('Calculations'!$HF$13:$HF$512,MATCH('Calculations'!HP163,'Calculations'!$HE$13:$HE$512,0)),""))))</x:f>
      </x:c>
      <x:c r="HR163" t="str">
        <x:f>IF('Calculations'!HQ163="","",IF('Calculations'!HQ163="!AMBIG","!AMBIG",IF(COUNTIF('Calculations'!$HE$13:$HE$512,"="&amp;SUBSTITUTE(SUBSTITUTE(SUBSTITUTE('Calculations'!HQ163,"~","~~"),"*","~*"),"?","~?"))&gt;1,"!AMBIG",IFERROR(INDEX('Calculations'!$HF$13:$HF$512,MATCH('Calculations'!HQ163,'Calculations'!$HE$13:$HE$512,0)),""))))</x:f>
      </x:c>
      <x:c r="HS163" t="str">
        <x:f>IF('Calculations'!HR163="","",IF('Calculations'!HR163="!AMBIG","!AMBIG",IF(COUNTIF('Calculations'!$HE$13:$HE$512,"="&amp;SUBSTITUTE(SUBSTITUTE(SUBSTITUTE('Calculations'!HR163,"~","~~"),"*","~*"),"?","~?"))&gt;1,"!AMBIG",IFERROR(INDEX('Calculations'!$HF$13:$HF$512,MATCH('Calculations'!HR163,'Calculations'!$HE$13:$HE$512,0)),""))))</x:f>
      </x:c>
      <x:c r="HT163" t="str">
        <x:f>IF('Calculations'!HS163="","",IF('Calculations'!HS163="!AMBIG","!AMBIG",IF(COUNTIF('Calculations'!$HE$13:$HE$512,"="&amp;SUBSTITUTE(SUBSTITUTE(SUBSTITUTE('Calculations'!HS163,"~","~~"),"*","~*"),"?","~?"))&gt;1,"!AMBIG",IFERROR(INDEX('Calculations'!$HF$13:$HF$512,MATCH('Calculations'!HS163,'Calculations'!$HE$13:$HE$512,0)),""))))</x:f>
      </x:c>
      <x:c r="HU163" t="str">
        <x:f>IF('Calculations'!HT163="","",IF('Calculations'!HT163="!AMBIG","!AMBIG",IF(COUNTIF('Calculations'!$HE$13:$HE$512,"="&amp;SUBSTITUTE(SUBSTITUTE(SUBSTITUTE('Calculations'!HT163,"~","~~"),"*","~*"),"?","~?"))&gt;1,"!AMBIG",IFERROR(INDEX('Calculations'!$HF$13:$HF$512,MATCH('Calculations'!HT163,'Calculations'!$HE$13:$HE$512,0)),""))))</x:f>
      </x:c>
      <x:c r="HV163" t="str">
        <x:f>IF('Calculations'!HU163="","",IF('Calculations'!HU163="!AMBIG","!AMBIG",IF(COUNTIF('Calculations'!$HE$13:$HE$512,"="&amp;SUBSTITUTE(SUBSTITUTE(SUBSTITUTE('Calculations'!HU163,"~","~~"),"*","~*"),"?","~?"))&gt;1,"!AMBIG",IFERROR(INDEX('Calculations'!$HF$13:$HF$512,MATCH('Calculations'!HU163,'Calculations'!$HE$13:$HE$512,0)),""))))</x:f>
      </x:c>
      <x:c r="HW163" t="str">
        <x:f>IF('Calculations'!HV163="","",IF('Calculations'!HV163="!AMBIG","!AMBIG",IF(COUNTIF('Calculations'!$HE$13:$HE$512,"="&amp;SUBSTITUTE(SUBSTITUTE(SUBSTITUTE('Calculations'!HV163,"~","~~"),"*","~*"),"?","~?"))&gt;1,"!AMBIG",IFERROR(INDEX('Calculations'!$HF$13:$HF$512,MATCH('Calculations'!HV163,'Calculations'!$HE$13:$HE$512,0)),""))))</x:f>
      </x:c>
      <x:c r="HX163" t="str">
        <x:f>IF('Calculations'!HW163="","",IF('Calculations'!HW163="!AMBIG","!AMBIG",IF(COUNTIF('Calculations'!$HE$13:$HE$512,"="&amp;SUBSTITUTE(SUBSTITUTE(SUBSTITUTE('Calculations'!HW163,"~","~~"),"*","~*"),"?","~?"))&gt;1,"!AMBIG",IFERROR(INDEX('Calculations'!$HF$13:$HF$512,MATCH('Calculations'!HW163,'Calculations'!$HE$13:$HE$512,0)),""))))</x:f>
      </x:c>
      <x:c r="HY163" t="str">
        <x:f>IF('Calculations'!HX163="","",IF('Calculations'!HX163="!AMBIG","!AMBIG",IF(COUNTIF('Calculations'!$HE$13:$HE$512,"="&amp;SUBSTITUTE(SUBSTITUTE(SUBSTITUTE('Calculations'!HX163,"~","~~"),"*","~*"),"?","~?"))&gt;1,"!AMBIG",IFERROR(INDEX('Calculations'!$HF$13:$HF$512,MATCH('Calculations'!HX163,'Calculations'!$HE$13:$HE$512,0)),""))))</x:f>
      </x:c>
      <x:c r="HZ163" t="str">
        <x:f>IF('Calculations'!HY163="","",IF('Calculations'!HY163="!AMBIG","!AMBIG",IF(COUNTIF('Calculations'!$HE$13:$HE$512,"="&amp;SUBSTITUTE(SUBSTITUTE(SUBSTITUTE('Calculations'!HY163,"~","~~"),"*","~*"),"?","~?"))&gt;1,"!AMBIG",IFERROR(INDEX('Calculations'!$HF$13:$HF$512,MATCH('Calculations'!HY163,'Calculations'!$HE$13:$HE$512,0)),""))))</x:f>
      </x:c>
      <x:c r="IA163" t="str">
        <x:f>IF('Calculations'!HZ163="","",IF('Calculations'!HZ163="!AMBIG","!AMBIG",IF(COUNTIF('Calculations'!$HE$13:$HE$512,"="&amp;SUBSTITUTE(SUBSTITUTE(SUBSTITUTE('Calculations'!HZ163,"~","~~"),"*","~*"),"?","~?"))&gt;1,"!AMBIG",IFERROR(INDEX('Calculations'!$HF$13:$HF$512,MATCH('Calculations'!HZ163,'Calculations'!$HE$13:$HE$512,0)),""))))</x:f>
      </x:c>
      <x:c r="IB163" t="str">
        <x:f>IF('Calculations'!IA163="","",IF('Calculations'!IA163="!AMBIG","!AMBIG",IF(COUNTIF('Calculations'!$HE$13:$HE$512,"="&amp;SUBSTITUTE(SUBSTITUTE(SUBSTITUTE('Calculations'!IA163,"~","~~"),"*","~*"),"?","~?"))&gt;1,"!AMBIG",IFERROR(INDEX('Calculations'!$HF$13:$HF$512,MATCH('Calculations'!IA163,'Calculations'!$HE$13:$HE$512,0)),""))))</x:f>
      </x:c>
      <x:c r="IC163" t="str">
        <x:f>IF('Calculations'!IB163="","",IF('Calculations'!IB163="!AMBIG","!AMBIG",IF(COUNTIF('Calculations'!$HE$13:$HE$512,"="&amp;SUBSTITUTE(SUBSTITUTE(SUBSTITUTE('Calculations'!IB163,"~","~~"),"*","~*"),"?","~?"))&gt;1,"!AMBIG",IFERROR(INDEX('Calculations'!$HF$13:$HF$512,MATCH('Calculations'!IB163,'Calculations'!$HE$13:$HE$512,0)),""))))</x:f>
      </x:c>
      <x:c r="ID163" t="str">
        <x:f>IF('Calculations'!IC163="","",IF('Calculations'!IC163="!AMBIG","!AMBIG",IF(COUNTIF('Calculations'!$HE$13:$HE$512,"="&amp;SUBSTITUTE(SUBSTITUTE(SUBSTITUTE('Calculations'!IC163,"~","~~"),"*","~*"),"?","~?"))&gt;1,"!AMBIG",IFERROR(INDEX('Calculations'!$HF$13:$HF$512,MATCH('Calculations'!IC163,'Calculations'!$HE$13:$HE$512,0)),""))))</x:f>
      </x:c>
      <x:c r="IE163" t="str">
        <x:f>IF('Calculations'!ID163="","",IF('Calculations'!ID163="!AMBIG","!AMBIG",IF(COUNTIF('Calculations'!$HE$13:$HE$512,"="&amp;SUBSTITUTE(SUBSTITUTE(SUBSTITUTE('Calculations'!ID163,"~","~~"),"*","~*"),"?","~?"))&gt;1,"!AMBIG",IFERROR(INDEX('Calculations'!$HF$13:$HF$512,MATCH('Calculations'!ID163,'Calculations'!$HE$13:$HE$512,0)),""))))</x:f>
      </x:c>
      <x:c r="IF163" t="str">
        <x:f>IF('Calculations'!IE163="","",IF('Calculations'!IE163="!AMBIG","!AMBIG",IF(COUNTIF('Calculations'!$HE$13:$HE$512,"="&amp;SUBSTITUTE(SUBSTITUTE(SUBSTITUTE('Calculations'!IE163,"~","~~"),"*","~*"),"?","~?"))&gt;1,"!AMBIG",IFERROR(INDEX('Calculations'!$HF$13:$HF$512,MATCH('Calculations'!IE163,'Calculations'!$HE$13:$HE$512,0)),""))))</x:f>
      </x:c>
      <x:c r="IG163" t="str">
        <x:f>IF('Calculations'!IF163="","",IF('Calculations'!IF163="!AMBIG","!AMBIG",IF(COUNTIF('Calculations'!$HE$13:$HE$512,"="&amp;SUBSTITUTE(SUBSTITUTE(SUBSTITUTE('Calculations'!IF163,"~","~~"),"*","~*"),"?","~?"))&gt;1,"!AMBIG",IFERROR(INDEX('Calculations'!$HF$13:$HF$512,MATCH('Calculations'!IF163,'Calculations'!$HE$13:$HE$512,0)),""))))</x:f>
      </x:c>
      <x:c r="IH163" t="str">
        <x:f>IF('Calculations'!IG163="","",IF('Calculations'!IG163="!AMBIG","!AMBIG",IF(COUNTIF('Calculations'!$HE$13:$HE$512,"="&amp;SUBSTITUTE(SUBSTITUTE(SUBSTITUTE('Calculations'!IG163,"~","~~"),"*","~*"),"?","~?"))&gt;1,"!AMBIG",IFERROR(INDEX('Calculations'!$HF$13:$HF$512,MATCH('Calculations'!IG163,'Calculations'!$HE$13:$HE$512,0)),""))))</x:f>
      </x:c>
      <x:c r="II163" t="str">
        <x:f>IF('Calculations'!IH163="","",IF('Calculations'!IH163="!AMBIG","!AMBIG",IF(COUNTIF('Calculations'!$HE$13:$HE$512,"="&amp;SUBSTITUTE(SUBSTITUTE(SUBSTITUTE('Calculations'!IH163,"~","~~"),"*","~*"),"?","~?"))&gt;1,"!AMBIG",IFERROR(INDEX('Calculations'!$HF$13:$HF$512,MATCH('Calculations'!IH163,'Calculations'!$HE$13:$HE$512,0)),""))))</x:f>
      </x:c>
      <x:c r="IJ163" t="str">
        <x:f>IF('Calculations'!EM163="","",IF('Calculations'!$EF$2="All",'Calculations'!HM163,IF('Calculations'!HL163=1,"",IFERROR(IF(MATCH('Calculations'!$EF$2,'Calculations'!HO163:II163,0)=1,'Calculations'!HE163,INDEX('Calculations'!HO163:II163,1,MATCH('Calculations'!$EF$2,'Calculations'!HO163:II163,0)-1)),""))))</x:f>
      </x:c>
      <x:c r="IK163" t="n">
        <x:f>IF(AND('Calculations'!EM163&lt;&gt;"",'Calculations'!$EF$2&lt;&gt;"All",'Calculations'!HF163='Calculations'!$EF$2,'Calculations'!HL163=0,'Calculations'!JD163&gt;0),MAX('Calculations'!$IK$12:IK162)+1,0)</x:f>
        <x:v>0</x:v>
      </x:c>
      <x:c r="JA163" t="n">
        <x:f>IF(OR(IFERROR(INDIRECT("'WCM Calibration Final'!$A$163")&lt;&gt;"",FALSE),IFERROR(INDIRECT("'WCM Calibration Final'!$B$163")&lt;&gt;"",FALSE),IFERROR(INDIRECT("'WCM Calibration Final'!$C$163")&lt;&gt;"",FALSE)),163,0)</x:f>
        <x:v>0</x:v>
      </x:c>
      <x:c r="JB163" t="n">
        <x:f>'Calculations'!JB162+IF('Calculations'!JA163&gt;0,1,0)</x:f>
        <x:v>0</x:v>
      </x:c>
      <x:c r="JC163" t="n">
        <x:f>IF(OR('Calculations'!HF163="",'Calculations'!HF163="!AMBIG"),0,IF('Dashboard'!$B$7="All",1,COUNTIFS('Calculations'!$HO$13:$HO$512,"="&amp;SUBSTITUTE(SUBSTITUTE(SUBSTITUTE('Calculations'!HF163,"~","~~"),"*","~*"),"?","~?"),'Calculations'!$HN$13:$HN$512,"="&amp;SUBSTITUTE(SUBSTITUTE(SUBSTITUTE('Dashboard'!$B$7,"~","~~"),"*","~*"),"?","~?"))+COUNTIFS('Calculations'!$HP$13:$HP$512,"="&amp;SUBSTITUTE(SUBSTITUTE(SUBSTITUTE('Calculations'!HF163,"~","~~"),"*","~*"),"?","~?"),'Calculations'!$HN$13:$HN$512,"="&amp;SUBSTITUTE(SUBSTITUTE(SUBSTITUTE('Dashboard'!$B$7,"~","~~"),"*","~*"),"?","~?"))+COUNTIFS('Calculations'!$HQ$13:$HQ$512,"="&amp;SUBSTITUTE(SUBSTITUTE(SUBSTITUTE('Calculations'!HF163,"~","~~"),"*","~*"),"?","~?"),'Calculations'!$HN$13:$HN$512,"="&amp;SUBSTITUTE(SUBSTITUTE(SUBSTITUTE('Dashboard'!$B$7,"~","~~"),"*","~*"),"?","~?"))+COUNTIFS('Calculations'!$HR$13:$HR$512,"="&amp;SUBSTITUTE(SUBSTITUTE(SUBSTITUTE('Calculations'!HF163,"~","~~"),"*","~*"),"?","~?"),'Calculations'!$HN$13:$HN$512,"="&amp;SUBSTITUTE(SUBSTITUTE(SUBSTITUTE('Dashboard'!$B$7,"~","~~"),"*","~*"),"?","~?"))+COUNTIFS('Calculations'!$HS$13:$HS$512,"="&amp;SUBSTITUTE(SUBSTITUTE(SUBSTITUTE('Calculations'!HF163,"~","~~"),"*","~*"),"?","~?"),'Calculations'!$HN$13:$HN$512,"="&amp;SUBSTITUTE(SUBSTITUTE(SUBSTITUTE('Dashboard'!$B$7,"~","~~"),"*","~*"),"?","~?"))+COUNTIFS('Calculations'!$HT$13:$HT$512,"="&amp;SUBSTITUTE(SUBSTITUTE(SUBSTITUTE('Calculations'!HF163,"~","~~"),"*","~*"),"?","~?"),'Calculations'!$HN$13:$HN$512,"="&amp;SUBSTITUTE(SUBSTITUTE(SUBSTITUTE('Dashboard'!$B$7,"~","~~"),"*","~*"),"?","~?"))+COUNTIFS('Calculations'!$HU$13:$HU$512,"="&amp;SUBSTITUTE(SUBSTITUTE(SUBSTITUTE('Calculations'!HF163,"~","~~"),"*","~*"),"?","~?"),'Calculations'!$HN$13:$HN$512,"="&amp;SUBSTITUTE(SUBSTITUTE(SUBSTITUTE('Dashboard'!$B$7,"~","~~"),"*","~*"),"?","~?"))+COUNTIFS('Calculations'!$HV$13:$HV$512,"="&amp;SUBSTITUTE(SUBSTITUTE(SUBSTITUTE('Calculations'!HF163,"~","~~"),"*","~*"),"?","~?"),'Calculations'!$HN$13:$HN$512,"="&amp;SUBSTITUTE(SUBSTITUTE(SUBSTITUTE('Dashboard'!$B$7,"~","~~"),"*","~*"),"?","~?"))+COUNTIFS('Calculations'!$HW$13:$HW$512,"="&amp;SUBSTITUTE(SUBSTITUTE(SUBSTITUTE('Calculations'!HF163,"~","~~"),"*","~*"),"?","~?"),'Calculations'!$HN$13:$HN$512,"="&amp;SUBSTITUTE(SUBSTITUTE(SUBSTITUTE('Dashboard'!$B$7,"~","~~"),"*","~*"),"?","~?"))+COUNTIFS('Calculations'!$HX$13:$HX$512,"="&amp;SUBSTITUTE(SUBSTITUTE(SUBSTITUTE('Calculations'!HF163,"~","~~"),"*","~*"),"?","~?"),'Calculations'!$HN$13:$HN$512,"="&amp;SUBSTITUTE(SUBSTITUTE(SUBSTITUTE('Dashboard'!$B$7,"~","~~"),"*","~*"),"?","~?"))+COUNTIFS('Calculations'!$HY$13:$HY$512,"="&amp;SUBSTITUTE(SUBSTITUTE(SUBSTITUTE('Calculations'!HF163,"~","~~"),"*","~*"),"?","~?"),'Calculations'!$HN$13:$HN$512,"="&amp;SUBSTITUTE(SUBSTITUTE(SUBSTITUTE('Dashboard'!$B$7,"~","~~"),"*","~*"),"?","~?"))+COUNTIFS('Calculations'!$HZ$13:$HZ$512,"="&amp;SUBSTITUTE(SUBSTITUTE(SUBSTITUTE('Calculations'!HF163,"~","~~"),"*","~*"),"?","~?"),'Calculations'!$HN$13:$HN$512,"="&amp;SUBSTITUTE(SUBSTITUTE(SUBSTITUTE('Dashboard'!$B$7,"~","~~"),"*","~*"),"?","~?"))+COUNTIFS('Calculations'!$IA$13:$IA$512,"="&amp;SUBSTITUTE(SUBSTITUTE(SUBSTITUTE('Calculations'!HF163,"~","~~"),"*","~*"),"?","~?"),'Calculations'!$HN$13:$HN$512,"="&amp;SUBSTITUTE(SUBSTITUTE(SUBSTITUTE('Dashboard'!$B$7,"~","~~"),"*","~*"),"?","~?"))+COUNTIFS('Calculations'!$IB$13:$IB$512,"="&amp;SUBSTITUTE(SUBSTITUTE(SUBSTITUTE('Calculations'!HF163,"~","~~"),"*","~*"),"?","~?"),'Calculations'!$HN$13:$HN$512,"="&amp;SUBSTITUTE(SUBSTITUTE(SUBSTITUTE('Dashboard'!$B$7,"~","~~"),"*","~*"),"?","~?"))+COUNTIFS('Calculations'!$IC$13:$IC$512,"="&amp;SUBSTITUTE(SUBSTITUTE(SUBSTITUTE('Calculations'!HF163,"~","~~"),"*","~*"),"?","~?"),'Calculations'!$HN$13:$HN$512,"="&amp;SUBSTITUTE(SUBSTITUTE(SUBSTITUTE('Dashboard'!$B$7,"~","~~"),"*","~*"),"?","~?"))+COUNTIFS('Calculations'!$ID$13:$ID$512,"="&amp;SUBSTITUTE(SUBSTITUTE(SUBSTITUTE('Calculations'!HF163,"~","~~"),"*","~*"),"?","~?"),'Calculations'!$HN$13:$HN$512,"="&amp;SUBSTITUTE(SUBSTITUTE(SUBSTITUTE('Dashboard'!$B$7,"~","~~"),"*","~*"),"?","~?"))+COUNTIFS('Calculations'!$IE$13:$IE$512,"="&amp;SUBSTITUTE(SUBSTITUTE(SUBSTITUTE('Calculations'!HF163,"~","~~"),"*","~*"),"?","~?"),'Calculations'!$HN$13:$HN$512,"="&amp;SUBSTITUTE(SUBSTITUTE(SUBSTITUTE('Dashboard'!$B$7,"~","~~"),"*","~*"),"?","~?"))+COUNTIFS('Calculations'!$IF$13:$IF$512,"="&amp;SUBSTITUTE(SUBSTITUTE(SUBSTITUTE('Calculations'!HF163,"~","~~"),"*","~*"),"?","~?"),'Calculations'!$HN$13:$HN$512,"="&amp;SUBSTITUTE(SUBSTITUTE(SUBSTITUTE('Dashboard'!$B$7,"~","~~"),"*","~*"),"?","~?"))+COUNTIFS('Calculations'!$IG$13:$IG$512,"="&amp;SUBSTITUTE(SUBSTITUTE(SUBSTITUTE('Calculations'!HF163,"~","~~"),"*","~*"),"?","~?"),'Calculations'!$HN$13:$HN$512,"="&amp;SUBSTITUTE(SUBSTITUTE(SUBSTITUTE('Dashboard'!$B$7,"~","~~"),"*","~*"),"?","~?"))+COUNTIFS('Calculations'!$IH$13:$IH$512,"="&amp;SUBSTITUTE(SUBSTITUTE(SUBSTITUTE('Calculations'!HF163,"~","~~"),"*","~*"),"?","~?"),'Calculations'!$HN$13:$HN$512,"="&amp;SUBSTITUTE(SUBSTITUTE(SUBSTITUTE('Dashboard'!$B$7,"~","~~"),"*","~*"),"?","~?"))))</x:f>
        <x:v>0</x:v>
      </x:c>
      <x:c r="JD163" t="n">
        <x:f>IF('Calculations'!EM163="",0,IF('Dashboard'!$B$7="All",1,IF('Calculations'!HN163='Dashboard'!$B$7,1,0)+IFERROR(INDEX('Calculations'!$JC$13:$JC$512,MATCH('Calculations'!HE163,'Calculations'!$HF$13:$HF$512,0)),0)))</x:f>
        <x:v>0</x:v>
      </x:c>
      <x:c r="JE163" t="n">
        <x:f>IF(AND('Calculations'!EM163&lt;&gt;"",'Calculations'!$JJ$2&lt;&gt;"All",'Calculations'!$JJ$2&lt;&gt;"",'Calculations'!HF163='Calculations'!$JJ$2,'Calculations'!HL163=0,'Calculations'!JD163&gt;0),MAX('Calculations'!$JE$12:JE162)+1,0)</x:f>
        <x:v>0</x:v>
      </x:c>
      <x:c r="JF163" t="str">
        <x:f>IF('Calculations'!EM163="","",IFERROR(IF(INDEX(INDIRECT("'WCM Calibration Final'!$G$1:$G$2000"),'Calculations'!$EM163)="","",TRIM(INDEX(INDIRECT("'WCM Calibration Final'!$G$1:$G$2000"),'Calculations'!$EM163)&amp;"")),""))</x:f>
      </x:c>
      <x:c r="JQ163" t="n">
        <x:f>IF(OR('Calculations'!BM163=0,NOT('Calculations'!$AG$2),'Calculations'!$AG$8&gt;0),0,IF(OR('Dashboard'!$B$7="All",'Calculations'!HN163='Dashboard'!$B$7),IF('Calculations'!$JJ$2="All",1,IF(AND('Calculations'!HF163='Calculations'!$JJ$2,'Calculations'!HL163=0),1,0)),0))</x:f>
        <x:v>0</x:v>
      </x:c>
    </x:row>
    <x:row r="16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t="n">
        <x:f>IF('Calculations'!$EM164="",0,IF(OR(IFERROR(INDEX(INDIRECT("'WCM Calibration Final'!$A$1:$A$2000"),'Calculations'!$EM164)&lt;&gt;"",FALSE),IFERROR(INDEX(INDIRECT("'WCM Calibration Final'!$B$1:$B$2000"),'Calculations'!$EM164)&lt;&gt;"",FALSE),IFERROR(INDEX(INDIRECT("'WCM Calibration Final'!$C$1:$C$2000"),'Calculations'!$EM164)&lt;&gt;"",FALSE)),1,0))</x:f>
        <x:v>0</x:v>
      </x:c>
      <x:c r="BN164" s="4" t="n">
        <x:f>IF(AND('Calculations'!BM164=1,'Calculations'!$AG$2,'Calculations'!$EN164=1),1,0)</x:f>
        <x:v>0</x:v>
      </x:c>
      <x:c r="BO164" s="4" t="str">
        <x:f>IF('Calculations'!BM164=0,"",IFERROR(IF(AND(VALUE(INDEX(INDIRECT("'WCM Calibration Final'!$K$1:$K$2000"),'Calculations'!$EM164))&gt;=1,VALUE(INDEX(INDIRECT("'WCM Calibration Final'!$K$1:$K$2000"),'Calculations'!$EM164))&lt;=4,MOD(VALUE(INDEX(INDIRECT("'WCM Calibration Final'!$K$1:$K$2000"),'Calculations'!$EM164)),1)=0),VALUE(INDEX(INDIRECT("'WCM Calibration Final'!$K$1:$K$2000"),'Calculations'!$EM164)),""),""))</x:f>
      </x:c>
      <x:c r="BP164" s="4" t="str">
        <x:f>IF('Calculations'!BM164=0,"",IFERROR(IF(AND(VALUE(INDEX(INDIRECT("'WCM Calibration Final'!$L$1:$L$2000"),'Calculations'!$EM164))&gt;=1,VALUE(INDEX(INDIRECT("'WCM Calibration Final'!$L$1:$L$2000"),'Calculations'!$EM164))&lt;=4,MOD(VALUE(INDEX(INDIRECT("'WCM Calibration Final'!$L$1:$L$2000"),'Calculations'!$EM164)),1)=0),VALUE(INDEX(INDIRECT("'WCM Calibration Final'!$L$1:$L$2000"),'Calculations'!$EM164)),""),""))</x:f>
      </x:c>
      <x:c r="BQ164" s="4"/>
      <x:c r="BR164" s="4"/>
      <x:c r="BS164" s="4"/>
      <x:c r="BT164" s="4" t="n">
        <x:f>IF(AND('Calculations'!BM164=1,ISNUMBER('Calculations'!BO164),ISNUMBER('Calculations'!BP164)),1,0)</x:f>
        <x:v>0</x:v>
      </x:c>
      <x:c r="BU164" s="4" t="str">
        <x:f>IF('Calculations'!BM164=0,"",'Calculations'!$EO164)</x:f>
      </x:c>
      <x:c r="BV164" s="4" t="str">
        <x:f>IF('Calculations'!BM164=0,"",IFERROR(IF(OR(INDEX(INDIRECT("'WCM Calibration Final'!$H$1:$H$2000"),'Calculations'!$EM164)="MANAGING DIRECTOR",INDEX(INDIRECT("'WCM Calibration Final'!$H$1:$H$2000"),'Calculations'!$EM164)="DIRECTOR",INDEX(INDIRECT("'WCM Calibration Final'!$H$1:$H$2000"),'Calculations'!$EM164)="SENIOR VICE PRESIDENT",INDEX(INDIRECT("'WCM Calibration Final'!$H$1:$H$2000"),'Calculations'!$EM164)="VICE PRESIDENT",INDEX(INDIRECT("'WCM Calibration Final'!$H$1:$H$2000"),'Calculations'!$EM164)="ASSISTANT VICE PRESIDENT",INDEX(INDIRECT("'WCM Calibration Final'!$H$1:$H$2000"),'Calculations'!$EM164)="OFFICER"),UPPER(INDEX(INDIRECT("'WCM Calibration Final'!$H$1:$H$2000"),'Calculations'!$EM164)),"Other"),"Other"))</x:f>
      </x:c>
      <x:c r="BW164" s="4"/>
      <x:c r="BX164" s="4"/>
      <x:c r="BY164" s="4" t="n">
        <x:f>IF(AND('Calculations'!BM164=1,'Calculations'!BU164&lt;&gt;"",COUNTIF('Calculations'!$BU$12:BU164,'Calculations'!BU164)=1),MAX('Calculations'!$BY$11:BY163)+1,0)</x:f>
        <x:v>0</x:v>
      </x:c>
      <x:c r="BZ164" s="4" t="str">
        <x:f>IF('Dashboard'!$E$67="What",'Calculations'!BO164,'Calculations'!BP164)</x:f>
      </x:c>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t="str">
        <x:f>IF(153&gt;MAX('Calculations'!$HI$13:$HI$512),"",INDEX('Calculations'!$HN$13:$HN$512,MATCH(153,'Calculations'!$HI$13:$HI$512,0)))</x:f>
      </x:c>
      <x:c r="DB164" s="4" t="str">
        <x:f>IF(153&gt;MAX('Calculations'!$HH$13:$HH$512),"",INDEX('Calculations'!$HJ$13:$HJ$512,MATCH(153,'Calculations'!$HH$13:$HH$512,0)))</x:f>
      </x:c>
      <x:c r="DC164" s="4" t="str">
        <x:f>IF(ROW()-11&gt;MAX('Calculations'!$BY$13:$BY$512),"",INDEX('Calculations'!$BU$13:$BU$512,MATCH(ROW()-11,'Calculations'!$BY$13:$BY$512,0)))</x:f>
      </x:c>
      <x:c r="DD164" s="4" t="str">
        <x:f>IF(153&gt;MAX('Calculations'!$IK$13:$IK$512),"",INDEX('Calculations'!$HK$13:$HK$512,MATCH(153,'Calculations'!$IK$13:$IK$512,0)))</x:f>
      </x:c>
      <x:c r="DE164" s="4" t="str">
        <x:f>'Calculations'!DC164</x:f>
      </x:c>
      <x:c r="DF164" s="4" t="str">
        <x:f>IF('Calculations'!DE164="","",COUNTIFS('Calculations'!$BN$13:$BN$512,1,'Calculations'!$BU$13:$BU$512,'Calculations'!DE164))</x:f>
      </x:c>
      <x:c r="DG164" s="4" t="str">
        <x:f>IF('Calculations'!DE164="","",COUNTIFS('Calculations'!$BN$13:$BN$512,1,'Calculations'!$BU$13:$BU$512,'Calculations'!DE164,'Calculations'!$BT$13:$BT$512,1))</x:f>
      </x:c>
      <x:c r="DH164" s="4" t="str">
        <x:f>IF('Calculations'!DE164="","",'Calculations'!DF164-'Calculations'!DG164)</x:f>
      </x:c>
      <x:c r="DI164" s="4" t="str">
        <x:f>IF(OR('Calculations'!DE164="",'Calculations'!DF164=0),"",'Calculations'!DG164/'Calculations'!DF164)</x:f>
      </x:c>
      <x:c r="DJ164" s="4" t="str">
        <x:f>IF('Calculations'!DE164="","",COUNTIFS('Calculations'!$BN$13:$BN$512,1,'Calculations'!$BU$13:$BU$512,'Calculations'!DE164,'Calculations'!$BT$13:$BT$512,1,'Calculations'!$EE$13:$EE$512,"High"))</x:f>
      </x:c>
      <x:c r="DK164" s="4" t="str">
        <x:f>IF('Calculations'!DE164="","",COUNTIFS('Calculations'!$BN$13:$BN$512,1,'Calculations'!$BU$13:$BU$512,'Calculations'!DE164,'Calculations'!$BT$13:$BT$512,1,'Calculations'!$EE$13:$EE$512,"Strong"))</x:f>
      </x:c>
      <x:c r="DL164" s="4" t="str">
        <x:f>IF('Calculations'!DE164="","",COUNTIFS('Calculations'!$BN$13:$BN$512,1,'Calculations'!$BU$13:$BU$512,'Calculations'!DE164,'Calculations'!$BT$13:$BT$512,1,'Calculations'!$EE$13:$EE$512,"Solid"))</x:f>
      </x:c>
      <x:c r="DM164" s="4" t="str">
        <x:f>IF('Calculations'!DE164="","",COUNTIFS('Calculations'!$BN$13:$BN$512,1,'Calculations'!$BU$13:$BU$512,'Calculations'!DE164,'Calculations'!$BT$13:$BT$512,1,'Calculations'!$EE$13:$EE$512,"Low"))</x:f>
      </x:c>
      <x:c r="DN164" s="4" t="str">
        <x:f>IF('Calculations'!DE164="","",COUNTIFS('Calculations'!$BN$13:$BN$512,1,'Calculations'!$BU$13:$BU$512,'Calculations'!DE164,'Calculations'!$EP$13:$EP$512,1))</x:f>
      </x:c>
      <x:c r="DO164" s="4" t="str">
        <x:f>IF(OR('Calculations'!DE164="",'Calculations'!DG164=0),"",('Calculations'!DJ164+'Calculations'!DK164)/'Calculations'!DG164)</x:f>
      </x:c>
      <x:c r="DP164" s="4" t="n">
        <x:f>IF(AND('Calculations'!DE164&lt;&gt;"",'Calculations'!DF164&gt;0),COUNTIF('Calculations'!$DF$12:DF164,"&gt;0"),0)</x:f>
        <x:v>0</x:v>
      </x:c>
      <x:c r="DQ164" s="4" t="str">
        <x:f>IF(153&gt;MAX('Calculations'!$HH$13:$HH$512),"",INDEX('Calculations'!$HF$13:$HF$512,MATCH(153,'Calculations'!$HH$13:$HH$512,0)))</x:f>
      </x:c>
      <x:c r="DR164" s="4" t="str">
        <x:f>IF(153&gt;MAX('Calculations'!$IK$13:$IK$512),"",INDEX('Calculations'!$HE$13:$HE$512,MATCH(153,'Calculations'!$IK$13:$IK$512,0)))</x:f>
      </x:c>
      <x:c r="DS164" s="4"/>
      <x:c r="DT164" s="4"/>
      <x:c r="DU164" s="4"/>
      <x:c r="DV164" s="4"/>
      <x:c r="DW164" s="4"/>
      <x:c r="DX164" s="4"/>
      <x:c r="DY164" s="4"/>
      <x:c r="DZ164" s="4"/>
      <x:c r="EA164" s="4"/>
      <x:c r="EB164" s="4"/>
      <x:c r="EC164" s="4"/>
      <x:c r="ED164" s="4"/>
      <x:c r="EE164" s="4" t="str">
        <x:f>IF('Calculations'!BT164=0,"Not Rated",IF(OR('Calculations'!BO164&gt;=4,'Calculations'!BP164&gt;=4),"Low",IF('Calculations'!BO164+'Calculations'!BP164&lt;=3,"High",IF('Calculations'!BO164+'Calculations'!BP164&lt;=4,"Strong","Solid"))))</x:f>
        <x:v>Not Rated</x:v>
      </x:c>
      <x:c r="EF164" s="4"/>
      <x:c r="EG164" s="4"/>
      <x:c r="EH164" s="4"/>
      <x:c r="EI164" s="4"/>
      <x:c r="EJ164" s="4"/>
      <x:c r="EK164" s="4"/>
      <x:c r="EL164" s="4"/>
      <x:c r="EM164" s="4" t="str">
        <x:f>IF(152&gt;'Calculations'!$JB$2000,"",INDEX('Calculations'!$JA$12:$JA$2000,MATCH(152,'Calculations'!$JB$12:$JB$2000,0)))</x:f>
      </x:c>
      <x:c r="EN164" s="4" t="n">
        <x:f>IF(OR('Calculations'!EM164="",'Calculations'!$AG$8&gt;0,AND('Calculations'!$EF$2&lt;&gt;"All",'Calculations'!HE164='Calculations'!$EF$2),AND('Calculations'!$EF$3&lt;&gt;"All",'Calculations'!HE164='Calculations'!$EF$3)),0,IF(OR('Dashboard'!$B$7="All",'Calculations'!HN164='Dashboard'!$B$7),IF('Calculations'!$EF$2="All",1,IF('Calculations'!HL164&gt;0,0,IF(COUNTIF('Calculations'!HO164:II164,"="&amp;SUBSTITUTE(SUBSTITUTE(SUBSTITUTE('Calculations'!$EF$2,"~","~~"),"*","~*"),"?","~?"))=0,0,IF('Calculations'!$EF$3="All",1,IF(COUNTIF('Calculations'!HO164:II164,"="&amp;SUBSTITUTE(SUBSTITUTE(SUBSTITUTE('Calculations'!$EF$3,"~","~~"),"*","~*"),"?","~?"))&gt;0,1,0))))),0))</x:f>
        <x:v>0</x:v>
      </x:c>
      <x:c r="EO164" s="4" t="str">
        <x:f>IF('Calculations'!IJ164="","",IF('Calculations'!IJ164="!UNRESOLVED","Unresolved hierarchy",IFERROR(INDEX('Calculations'!$HK$13:$HK$512,MATCH('Calculations'!IJ164,'Calculations'!$HE$13:$HE$512,0)),IFERROR(INDEX('Calculations'!$HJ$13:$HJ$512,MATCH('Calculations'!IJ164,'Calculations'!$HF$13:$HF$512,0)),'Calculations'!IJ164))))</x:f>
      </x:c>
      <x:c r="EP164" s="4" t="n">
        <x:f>IF(AND('Calculations'!EM164&lt;&gt;"",'Calculations'!HF164='Calculations'!IJ164),1,0)</x:f>
        <x:v>0</x:v>
      </x:c>
      <x:c r="EQ164" s="4"/>
      <x:c r="ER164" s="4"/>
      <x:c r="ES164" s="4"/>
      <x:c r="ET164" s="4"/>
      <x:c r="EU164" s="4"/>
      <x:c r="EV164" s="4"/>
      <x:c r="EW164" s="4"/>
      <x:c r="EX164" s="4"/>
      <x:c r="EY164" s="4"/>
      <x:c r="EZ164" s="4"/>
      <x:c r="FA164" s="4"/>
      <x:c r="FB164" s="4"/>
      <x:c r="FC164" s="4"/>
      <x:c r="FD164" s="4"/>
      <x:c r="FE164" s="4"/>
      <x:c r="FF164" s="4"/>
      <x:c r="FG164" s="4"/>
      <x:c r="FH164" s="4"/>
      <x:c r="FI164" s="4"/>
      <x:c r="FJ164" s="4"/>
      <x:c r="FK164" s="4"/>
      <x:c r="FL164" s="4"/>
      <x:c r="FM164" s="4"/>
      <x:c r="FN164" s="4"/>
      <x:c r="FO164" s="4"/>
      <x:c r="GA164" s="71"/>
      <x:c r="GB164" s="71"/>
      <x:c r="GC164" s="71"/>
      <x:c r="GD164" s="71"/>
      <x:c r="GE164" s="71"/>
      <x:c r="GF164" s="71"/>
      <x:c r="GG164" s="71"/>
      <x:c r="GH164" s="71"/>
      <x:c r="GI164" s="71"/>
      <x:c r="GJ164" s="71"/>
      <x:c r="GK164" s="71"/>
      <x:c r="GL164" s="71" t="n">
        <x:f>COUNTIFS('Calculations'!$JQ$13:$JQ$512,1,'Calculations'!$BP$13:$BP$512,2)</x:f>
        <x:v>0</x:v>
      </x:c>
      <x:c r="GM164" s="71"/>
      <x:c r="GN164" s="71"/>
      <x:c r="GO164" s="71" t="str">
        <x:f>IF(SUM('Calculations'!$GL$163:$GL$166)=0,"",'Calculations'!GL164/SUM('Calculations'!$GL$163:$GL$166))</x:f>
      </x:c>
      <x:c r="GP164" s="71"/>
      <x:c r="GQ164" s="71"/>
      <x:c r="GR164" s="71" t="n">
        <x:f>IF(COUNT('Dashboard'!P144)=0,"",IF(AND('Dashboard'!P144&gt;=0,'Dashboard'!P144&lt;=1),'Dashboard'!P144,""))</x:f>
        <x:v>0.3</x:v>
      </x:c>
      <x:c r="GS164" s="71"/>
      <x:c r="GT164" s="71"/>
      <x:c r="GU164" s="71" t="str">
        <x:f>IF(COUNT('Calculations'!GO164,'Calculations'!GR164)&lt;2,"",100*('Calculations'!GO164-'Calculations'!GR164))</x:f>
      </x:c>
      <x:c r="GV164" s="71"/>
      <x:c r="GW164" s="71"/>
      <x:c r="GX164" s="71" t="str">
        <x:f>IF(NOT('Calculations'!$AG$2),"Source unavailable",IF('Calculations'!$AG$8&gt;0,"Check filters",IF(COUNT('Calculations'!GO164)=0,"No ratings",IF(COUNT('Calculations'!GR164)=0,"No threshold",IF('Calculations'!GO164&gt;'Calculations'!GR164,"Above threshold","Within threshold")))))</x:f>
        <x:v>Source unavailable</x:v>
      </x:c>
      <x:c r="GY164" s="71"/>
      <x:c r="GZ164" s="71"/>
      <x:c r="HA164" s="71"/>
      <x:c r="HB164" s="71"/>
      <x:c r="HC164" s="71"/>
      <x:c r="HD164" s="71"/>
      <x:c r="HE164" t="str">
        <x:f>IF('Calculations'!EM164="","",IF(IFERROR(IF(INDEX(INDIRECT("'WCM Calibration Final'!$A$1:$A$2000"),'Calculations'!$EM164)="","",TRIM(INDEX(INDIRECT("'WCM Calibration Final'!$A$1:$A$2000"),'Calculations'!$EM164)&amp;"")),"")&lt;&gt;"","G:"&amp;IFERROR(TEXT(1*INDEX(INDIRECT("'WCM Calibration Final'!$A$1:$A$2000"),'Calculations'!$EM164),"0"),UPPER(IFERROR(IF(INDEX(INDIRECT("'WCM Calibration Final'!$A$1:$A$2000"),'Calculations'!$EM164)="","",TRIM(INDEX(INDIRECT("'WCM Calibration Final'!$A$1:$A$2000"),'Calculations'!$EM164)&amp;"")),""))),IF(IFERROR(IF(INDEX(INDIRECT("'WCM Calibration Final'!$C$1:$C$2000"),'Calculations'!$EM164)="","",TRIM(INDEX(INDIRECT("'WCM Calibration Final'!$C$1:$C$2000"),'Calculations'!$EM164)&amp;"")),"")&lt;&gt;"","S:"&amp;UPPER(IFERROR(IF(INDEX(INDIRECT("'WCM Calibration Final'!$C$1:$C$2000"),'Calculations'!$EM164)="","",TRIM(INDEX(INDIRECT("'WCM Calibration Final'!$C$1:$C$2000"),'Calculations'!$EM164)&amp;"")),"")),"R:"&amp;'Calculations'!EM164)))</x:f>
      </x:c>
      <x:c r="HF164" t="str">
        <x:f>IF('Calculations'!EM164="","",IF(IFERROR(IF(INDEX(INDIRECT("'WCM Calibration Final'!$D$1:$D$2000"),'Calculations'!$EM164)="","",TRIM(INDEX(INDIRECT("'WCM Calibration Final'!$D$1:$D$2000"),'Calculations'!$EM164)&amp;"")),"")&lt;&gt;"","G:"&amp;IFERROR(TEXT(1*INDEX(INDIRECT("'WCM Calibration Final'!$D$1:$D$2000"),'Calculations'!$EM164),"0"),UPPER(IFERROR(IF(INDEX(INDIRECT("'WCM Calibration Final'!$D$1:$D$2000"),'Calculations'!$EM164)="","",TRIM(INDEX(INDIRECT("'WCM Calibration Final'!$D$1:$D$2000"),'Calculations'!$EM164)&amp;"")),""))),IF(IFERROR(IF(INDEX(INDIRECT("'WCM Calibration Final'!$E$1:$E$2000"),'Calculations'!$EM164)="","",TRIM(INDEX(INDIRECT("'WCM Calibration Final'!$E$1:$E$2000"),'Calculations'!$EM164)&amp;"")),"")="","",IF(COUNTIF('Calculations'!$HG$13:$HG$512,"="&amp;SUBSTITUTE(SUBSTITUTE(SUBSTITUTE(IFERROR(IF(INDEX(INDIRECT("'WCM Calibration Final'!$E$1:$E$2000"),'Calculations'!$EM164)="","",TRIM(INDEX(INDIRECT("'WCM Calibration Final'!$E$1:$E$2000"),'Calculations'!$EM164)&amp;"")),""),"~","~~"),"*","~*"),"?","~?"))=1,INDEX('Calculations'!$HE$13:$HE$512,MATCH(IFERROR(IF(INDEX(INDIRECT("'WCM Calibration Final'!$E$1:$E$2000"),'Calculations'!$EM164)="","",TRIM(INDEX(INDIRECT("'WCM Calibration Final'!$E$1:$E$2000"),'Calculations'!$EM164)&amp;"")),""),'Calculations'!$HG$13:$HG$512,0)),IF(COUNTIF('Calculations'!$HG$13:$HG$512,"="&amp;SUBSTITUTE(SUBSTITUTE(SUBSTITUTE(IFERROR(IF(INDEX(INDIRECT("'WCM Calibration Final'!$E$1:$E$2000"),'Calculations'!$EM164)="","",TRIM(INDEX(INDIRECT("'WCM Calibration Final'!$E$1:$E$2000"),'Calculations'!$EM164)&amp;"")),""),"~","~~"),"*","~*"),"?","~?"))&gt;1,"!AMBIG","X:"&amp;IFERROR(IF(INDEX(INDIRECT("'WCM Calibration Final'!$E$1:$E$2000"),'Calculations'!$EM164)="","",TRIM(INDEX(INDIRECT("'WCM Calibration Final'!$E$1:$E$2000"),'Calculations'!$EM164)&amp;"")),""))))))</x:f>
      </x:c>
      <x:c r="HG164" t="str">
        <x:f>IF('Calculations'!EM164="","",IFERROR(IF(INDEX(INDIRECT("'WCM Calibration Final'!$B$1:$B$2000"),'Calculations'!$EM164)="","",TRIM(INDEX(INDIRECT("'WCM Calibration Final'!$B$1:$B$2000"),'Calculations'!$EM164)&amp;"")),""))</x:f>
      </x:c>
      <x:c r="HH164" t="n">
        <x:f>IF(AND('Calculations'!JC164&gt;0,COUNTIF('Calculations'!$HF$12:HF164,"="&amp;SUBSTITUTE(SUBSTITUTE(SUBSTITUTE('Calculations'!HF164,"~","~~"),"*","~*"),"?","~?"))=1),MAX('Calculations'!$HH$12:HH163)+1,0)</x:f>
        <x:v>0</x:v>
      </x:c>
      <x:c r="HI164" t="n">
        <x:f>IF(AND('Calculations'!HN164&lt;&gt;"",COUNTIF('Calculations'!$HN$12:HN164,"="&amp;SUBSTITUTE(SUBSTITUTE(SUBSTITUTE('Calculations'!HN164,"~","~~"),"*","~*"),"?","~?"))=1),MAX('Calculations'!$HI$12:HI163)+1,0)</x:f>
        <x:v>0</x:v>
      </x:c>
      <x:c r="HJ164" t="str">
        <x:f>IF('Calculations'!HF164="","",IF(COUNTIF('Calculations'!$HE$13:$HE$512,"="&amp;SUBSTITUTE(SUBSTITUTE(SUBSTITUTE('Calculations'!HF164,"~","~~"),"*","~*"),"?","~?"))=1,INDEX('Calculations'!$HK$13:$HK$512,MATCH('Calculations'!HF164,'Calculations'!$HE$13:$HE$512,0)),IFERROR(IF(INDEX(INDIRECT("'WCM Calibration Final'!$E$1:$E$2000"),'Calculations'!$EM164)="","",TRIM(INDEX(INDIRECT("'WCM Calibration Final'!$E$1:$E$2000"),'Calculations'!$EM164)&amp;"")),"")&amp;" ["&amp;'Calculations'!HF164&amp;"]"))</x:f>
      </x:c>
      <x:c r="HK164" t="str">
        <x:f>IF('Calculations'!EM164="","",'Calculations'!HG164&amp;" ["&amp;'Calculations'!HE164&amp;"]")</x:f>
      </x:c>
      <x:c r="HL164" t="n">
        <x:f>IF('Calculations'!EM164="",0,IF(OR('Calculations'!II164&lt;&gt;"",COUNTIF('Calculations'!$HE$13:$HE$512,"="&amp;SUBSTITUTE(SUBSTITUTE(SUBSTITUTE('Calculations'!HE164,"~","~~"),"*","~*"),"?","~?"))&gt;1),1,0))</x:f>
        <x:v>0</x:v>
      </x:c>
      <x:c r="HM164" t="str">
        <x:f>IF('Calculations'!EM164="","",IF('Calculations'!HL164=1,"!UNRESOLVED",IF('Calculations'!IH164&lt;&gt;"",'Calculations'!IH164,IF('Calculations'!IG164&lt;&gt;"",'Calculations'!IG164,IF('Calculations'!IF164&lt;&gt;"",'Calculations'!IF164,IF('Calculations'!IE164&lt;&gt;"",'Calculations'!IE164,IF('Calculations'!ID164&lt;&gt;"",'Calculations'!ID164,IF('Calculations'!IC164&lt;&gt;"",'Calculations'!IC164,IF('Calculations'!IB164&lt;&gt;"",'Calculations'!IB164,IF('Calculations'!IA164&lt;&gt;"",'Calculations'!IA164,IF('Calculations'!HZ164&lt;&gt;"",'Calculations'!HZ164,IF('Calculations'!HY164&lt;&gt;"",'Calculations'!HY164,IF('Calculations'!HX164&lt;&gt;"",'Calculations'!HX164,IF('Calculations'!HW164&lt;&gt;"",'Calculations'!HW164,IF('Calculations'!HV164&lt;&gt;"",'Calculations'!HV164,IF('Calculations'!HU164&lt;&gt;"",'Calculations'!HU164,IF('Calculations'!HT164&lt;&gt;"",'Calculations'!HT164,IF('Calculations'!HS164&lt;&gt;"",'Calculations'!HS164,IF('Calculations'!HR164&lt;&gt;"",'Calculations'!HR164,IF('Calculations'!HQ164&lt;&gt;"",'Calculations'!HQ164,IF('Calculations'!HP164&lt;&gt;"",'Calculations'!HP164,IF('Calculations'!HO164&lt;&gt;"",'Calculations'!HO164,'Calculations'!HE164))))))))))))))))))))))</x:f>
      </x:c>
      <x:c r="HN164" t="str">
        <x:f>IF('Calculations'!EM164="","",IF(IFERROR(IF(INDEX(INDIRECT("'WCM Calibration Final'!$F$1:$F$2000"),'Calculations'!$EM164)="","",TRIM(INDEX(INDIRECT("'WCM Calibration Final'!$F$1:$F$2000"),'Calculations'!$EM164)&amp;"")),"")="","(Blank)",IFERROR(IF(INDEX(INDIRECT("'WCM Calibration Final'!$F$1:$F$2000"),'Calculations'!$EM164)="","",TRIM(INDEX(INDIRECT("'WCM Calibration Final'!$F$1:$F$2000"),'Calculations'!$EM164)&amp;"")),"")))</x:f>
      </x:c>
      <x:c r="HO164" t="str">
        <x:f>'Calculations'!HF164</x:f>
      </x:c>
      <x:c r="HP164" t="str">
        <x:f>IF('Calculations'!HO164="","",IF('Calculations'!HO164="!AMBIG","!AMBIG",IF(COUNTIF('Calculations'!$HE$13:$HE$512,"="&amp;SUBSTITUTE(SUBSTITUTE(SUBSTITUTE('Calculations'!HO164,"~","~~"),"*","~*"),"?","~?"))&gt;1,"!AMBIG",IFERROR(INDEX('Calculations'!$HF$13:$HF$512,MATCH('Calculations'!HO164,'Calculations'!$HE$13:$HE$512,0)),""))))</x:f>
      </x:c>
      <x:c r="HQ164" t="str">
        <x:f>IF('Calculations'!HP164="","",IF('Calculations'!HP164="!AMBIG","!AMBIG",IF(COUNTIF('Calculations'!$HE$13:$HE$512,"="&amp;SUBSTITUTE(SUBSTITUTE(SUBSTITUTE('Calculations'!HP164,"~","~~"),"*","~*"),"?","~?"))&gt;1,"!AMBIG",IFERROR(INDEX('Calculations'!$HF$13:$HF$512,MATCH('Calculations'!HP164,'Calculations'!$HE$13:$HE$512,0)),""))))</x:f>
      </x:c>
      <x:c r="HR164" t="str">
        <x:f>IF('Calculations'!HQ164="","",IF('Calculations'!HQ164="!AMBIG","!AMBIG",IF(COUNTIF('Calculations'!$HE$13:$HE$512,"="&amp;SUBSTITUTE(SUBSTITUTE(SUBSTITUTE('Calculations'!HQ164,"~","~~"),"*","~*"),"?","~?"))&gt;1,"!AMBIG",IFERROR(INDEX('Calculations'!$HF$13:$HF$512,MATCH('Calculations'!HQ164,'Calculations'!$HE$13:$HE$512,0)),""))))</x:f>
      </x:c>
      <x:c r="HS164" t="str">
        <x:f>IF('Calculations'!HR164="","",IF('Calculations'!HR164="!AMBIG","!AMBIG",IF(COUNTIF('Calculations'!$HE$13:$HE$512,"="&amp;SUBSTITUTE(SUBSTITUTE(SUBSTITUTE('Calculations'!HR164,"~","~~"),"*","~*"),"?","~?"))&gt;1,"!AMBIG",IFERROR(INDEX('Calculations'!$HF$13:$HF$512,MATCH('Calculations'!HR164,'Calculations'!$HE$13:$HE$512,0)),""))))</x:f>
      </x:c>
      <x:c r="HT164" t="str">
        <x:f>IF('Calculations'!HS164="","",IF('Calculations'!HS164="!AMBIG","!AMBIG",IF(COUNTIF('Calculations'!$HE$13:$HE$512,"="&amp;SUBSTITUTE(SUBSTITUTE(SUBSTITUTE('Calculations'!HS164,"~","~~"),"*","~*"),"?","~?"))&gt;1,"!AMBIG",IFERROR(INDEX('Calculations'!$HF$13:$HF$512,MATCH('Calculations'!HS164,'Calculations'!$HE$13:$HE$512,0)),""))))</x:f>
      </x:c>
      <x:c r="HU164" t="str">
        <x:f>IF('Calculations'!HT164="","",IF('Calculations'!HT164="!AMBIG","!AMBIG",IF(COUNTIF('Calculations'!$HE$13:$HE$512,"="&amp;SUBSTITUTE(SUBSTITUTE(SUBSTITUTE('Calculations'!HT164,"~","~~"),"*","~*"),"?","~?"))&gt;1,"!AMBIG",IFERROR(INDEX('Calculations'!$HF$13:$HF$512,MATCH('Calculations'!HT164,'Calculations'!$HE$13:$HE$512,0)),""))))</x:f>
      </x:c>
      <x:c r="HV164" t="str">
        <x:f>IF('Calculations'!HU164="","",IF('Calculations'!HU164="!AMBIG","!AMBIG",IF(COUNTIF('Calculations'!$HE$13:$HE$512,"="&amp;SUBSTITUTE(SUBSTITUTE(SUBSTITUTE('Calculations'!HU164,"~","~~"),"*","~*"),"?","~?"))&gt;1,"!AMBIG",IFERROR(INDEX('Calculations'!$HF$13:$HF$512,MATCH('Calculations'!HU164,'Calculations'!$HE$13:$HE$512,0)),""))))</x:f>
      </x:c>
      <x:c r="HW164" t="str">
        <x:f>IF('Calculations'!HV164="","",IF('Calculations'!HV164="!AMBIG","!AMBIG",IF(COUNTIF('Calculations'!$HE$13:$HE$512,"="&amp;SUBSTITUTE(SUBSTITUTE(SUBSTITUTE('Calculations'!HV164,"~","~~"),"*","~*"),"?","~?"))&gt;1,"!AMBIG",IFERROR(INDEX('Calculations'!$HF$13:$HF$512,MATCH('Calculations'!HV164,'Calculations'!$HE$13:$HE$512,0)),""))))</x:f>
      </x:c>
      <x:c r="HX164" t="str">
        <x:f>IF('Calculations'!HW164="","",IF('Calculations'!HW164="!AMBIG","!AMBIG",IF(COUNTIF('Calculations'!$HE$13:$HE$512,"="&amp;SUBSTITUTE(SUBSTITUTE(SUBSTITUTE('Calculations'!HW164,"~","~~"),"*","~*"),"?","~?"))&gt;1,"!AMBIG",IFERROR(INDEX('Calculations'!$HF$13:$HF$512,MATCH('Calculations'!HW164,'Calculations'!$HE$13:$HE$512,0)),""))))</x:f>
      </x:c>
      <x:c r="HY164" t="str">
        <x:f>IF('Calculations'!HX164="","",IF('Calculations'!HX164="!AMBIG","!AMBIG",IF(COUNTIF('Calculations'!$HE$13:$HE$512,"="&amp;SUBSTITUTE(SUBSTITUTE(SUBSTITUTE('Calculations'!HX164,"~","~~"),"*","~*"),"?","~?"))&gt;1,"!AMBIG",IFERROR(INDEX('Calculations'!$HF$13:$HF$512,MATCH('Calculations'!HX164,'Calculations'!$HE$13:$HE$512,0)),""))))</x:f>
      </x:c>
      <x:c r="HZ164" t="str">
        <x:f>IF('Calculations'!HY164="","",IF('Calculations'!HY164="!AMBIG","!AMBIG",IF(COUNTIF('Calculations'!$HE$13:$HE$512,"="&amp;SUBSTITUTE(SUBSTITUTE(SUBSTITUTE('Calculations'!HY164,"~","~~"),"*","~*"),"?","~?"))&gt;1,"!AMBIG",IFERROR(INDEX('Calculations'!$HF$13:$HF$512,MATCH('Calculations'!HY164,'Calculations'!$HE$13:$HE$512,0)),""))))</x:f>
      </x:c>
      <x:c r="IA164" t="str">
        <x:f>IF('Calculations'!HZ164="","",IF('Calculations'!HZ164="!AMBIG","!AMBIG",IF(COUNTIF('Calculations'!$HE$13:$HE$512,"="&amp;SUBSTITUTE(SUBSTITUTE(SUBSTITUTE('Calculations'!HZ164,"~","~~"),"*","~*"),"?","~?"))&gt;1,"!AMBIG",IFERROR(INDEX('Calculations'!$HF$13:$HF$512,MATCH('Calculations'!HZ164,'Calculations'!$HE$13:$HE$512,0)),""))))</x:f>
      </x:c>
      <x:c r="IB164" t="str">
        <x:f>IF('Calculations'!IA164="","",IF('Calculations'!IA164="!AMBIG","!AMBIG",IF(COUNTIF('Calculations'!$HE$13:$HE$512,"="&amp;SUBSTITUTE(SUBSTITUTE(SUBSTITUTE('Calculations'!IA164,"~","~~"),"*","~*"),"?","~?"))&gt;1,"!AMBIG",IFERROR(INDEX('Calculations'!$HF$13:$HF$512,MATCH('Calculations'!IA164,'Calculations'!$HE$13:$HE$512,0)),""))))</x:f>
      </x:c>
      <x:c r="IC164" t="str">
        <x:f>IF('Calculations'!IB164="","",IF('Calculations'!IB164="!AMBIG","!AMBIG",IF(COUNTIF('Calculations'!$HE$13:$HE$512,"="&amp;SUBSTITUTE(SUBSTITUTE(SUBSTITUTE('Calculations'!IB164,"~","~~"),"*","~*"),"?","~?"))&gt;1,"!AMBIG",IFERROR(INDEX('Calculations'!$HF$13:$HF$512,MATCH('Calculations'!IB164,'Calculations'!$HE$13:$HE$512,0)),""))))</x:f>
      </x:c>
      <x:c r="ID164" t="str">
        <x:f>IF('Calculations'!IC164="","",IF('Calculations'!IC164="!AMBIG","!AMBIG",IF(COUNTIF('Calculations'!$HE$13:$HE$512,"="&amp;SUBSTITUTE(SUBSTITUTE(SUBSTITUTE('Calculations'!IC164,"~","~~"),"*","~*"),"?","~?"))&gt;1,"!AMBIG",IFERROR(INDEX('Calculations'!$HF$13:$HF$512,MATCH('Calculations'!IC164,'Calculations'!$HE$13:$HE$512,0)),""))))</x:f>
      </x:c>
      <x:c r="IE164" t="str">
        <x:f>IF('Calculations'!ID164="","",IF('Calculations'!ID164="!AMBIG","!AMBIG",IF(COUNTIF('Calculations'!$HE$13:$HE$512,"="&amp;SUBSTITUTE(SUBSTITUTE(SUBSTITUTE('Calculations'!ID164,"~","~~"),"*","~*"),"?","~?"))&gt;1,"!AMBIG",IFERROR(INDEX('Calculations'!$HF$13:$HF$512,MATCH('Calculations'!ID164,'Calculations'!$HE$13:$HE$512,0)),""))))</x:f>
      </x:c>
      <x:c r="IF164" t="str">
        <x:f>IF('Calculations'!IE164="","",IF('Calculations'!IE164="!AMBIG","!AMBIG",IF(COUNTIF('Calculations'!$HE$13:$HE$512,"="&amp;SUBSTITUTE(SUBSTITUTE(SUBSTITUTE('Calculations'!IE164,"~","~~"),"*","~*"),"?","~?"))&gt;1,"!AMBIG",IFERROR(INDEX('Calculations'!$HF$13:$HF$512,MATCH('Calculations'!IE164,'Calculations'!$HE$13:$HE$512,0)),""))))</x:f>
      </x:c>
      <x:c r="IG164" t="str">
        <x:f>IF('Calculations'!IF164="","",IF('Calculations'!IF164="!AMBIG","!AMBIG",IF(COUNTIF('Calculations'!$HE$13:$HE$512,"="&amp;SUBSTITUTE(SUBSTITUTE(SUBSTITUTE('Calculations'!IF164,"~","~~"),"*","~*"),"?","~?"))&gt;1,"!AMBIG",IFERROR(INDEX('Calculations'!$HF$13:$HF$512,MATCH('Calculations'!IF164,'Calculations'!$HE$13:$HE$512,0)),""))))</x:f>
      </x:c>
      <x:c r="IH164" t="str">
        <x:f>IF('Calculations'!IG164="","",IF('Calculations'!IG164="!AMBIG","!AMBIG",IF(COUNTIF('Calculations'!$HE$13:$HE$512,"="&amp;SUBSTITUTE(SUBSTITUTE(SUBSTITUTE('Calculations'!IG164,"~","~~"),"*","~*"),"?","~?"))&gt;1,"!AMBIG",IFERROR(INDEX('Calculations'!$HF$13:$HF$512,MATCH('Calculations'!IG164,'Calculations'!$HE$13:$HE$512,0)),""))))</x:f>
      </x:c>
      <x:c r="II164" t="str">
        <x:f>IF('Calculations'!IH164="","",IF('Calculations'!IH164="!AMBIG","!AMBIG",IF(COUNTIF('Calculations'!$HE$13:$HE$512,"="&amp;SUBSTITUTE(SUBSTITUTE(SUBSTITUTE('Calculations'!IH164,"~","~~"),"*","~*"),"?","~?"))&gt;1,"!AMBIG",IFERROR(INDEX('Calculations'!$HF$13:$HF$512,MATCH('Calculations'!IH164,'Calculations'!$HE$13:$HE$512,0)),""))))</x:f>
      </x:c>
      <x:c r="IJ164" t="str">
        <x:f>IF('Calculations'!EM164="","",IF('Calculations'!$EF$2="All",'Calculations'!HM164,IF('Calculations'!HL164=1,"",IFERROR(IF(MATCH('Calculations'!$EF$2,'Calculations'!HO164:II164,0)=1,'Calculations'!HE164,INDEX('Calculations'!HO164:II164,1,MATCH('Calculations'!$EF$2,'Calculations'!HO164:II164,0)-1)),""))))</x:f>
      </x:c>
      <x:c r="IK164" t="n">
        <x:f>IF(AND('Calculations'!EM164&lt;&gt;"",'Calculations'!$EF$2&lt;&gt;"All",'Calculations'!HF164='Calculations'!$EF$2,'Calculations'!HL164=0,'Calculations'!JD164&gt;0),MAX('Calculations'!$IK$12:IK163)+1,0)</x:f>
        <x:v>0</x:v>
      </x:c>
      <x:c r="JA164" t="n">
        <x:f>IF(OR(IFERROR(INDIRECT("'WCM Calibration Final'!$A$164")&lt;&gt;"",FALSE),IFERROR(INDIRECT("'WCM Calibration Final'!$B$164")&lt;&gt;"",FALSE),IFERROR(INDIRECT("'WCM Calibration Final'!$C$164")&lt;&gt;"",FALSE)),164,0)</x:f>
        <x:v>0</x:v>
      </x:c>
      <x:c r="JB164" t="n">
        <x:f>'Calculations'!JB163+IF('Calculations'!JA164&gt;0,1,0)</x:f>
        <x:v>0</x:v>
      </x:c>
      <x:c r="JC164" t="n">
        <x:f>IF(OR('Calculations'!HF164="",'Calculations'!HF164="!AMBIG"),0,IF('Dashboard'!$B$7="All",1,COUNTIFS('Calculations'!$HO$13:$HO$512,"="&amp;SUBSTITUTE(SUBSTITUTE(SUBSTITUTE('Calculations'!HF164,"~","~~"),"*","~*"),"?","~?"),'Calculations'!$HN$13:$HN$512,"="&amp;SUBSTITUTE(SUBSTITUTE(SUBSTITUTE('Dashboard'!$B$7,"~","~~"),"*","~*"),"?","~?"))+COUNTIFS('Calculations'!$HP$13:$HP$512,"="&amp;SUBSTITUTE(SUBSTITUTE(SUBSTITUTE('Calculations'!HF164,"~","~~"),"*","~*"),"?","~?"),'Calculations'!$HN$13:$HN$512,"="&amp;SUBSTITUTE(SUBSTITUTE(SUBSTITUTE('Dashboard'!$B$7,"~","~~"),"*","~*"),"?","~?"))+COUNTIFS('Calculations'!$HQ$13:$HQ$512,"="&amp;SUBSTITUTE(SUBSTITUTE(SUBSTITUTE('Calculations'!HF164,"~","~~"),"*","~*"),"?","~?"),'Calculations'!$HN$13:$HN$512,"="&amp;SUBSTITUTE(SUBSTITUTE(SUBSTITUTE('Dashboard'!$B$7,"~","~~"),"*","~*"),"?","~?"))+COUNTIFS('Calculations'!$HR$13:$HR$512,"="&amp;SUBSTITUTE(SUBSTITUTE(SUBSTITUTE('Calculations'!HF164,"~","~~"),"*","~*"),"?","~?"),'Calculations'!$HN$13:$HN$512,"="&amp;SUBSTITUTE(SUBSTITUTE(SUBSTITUTE('Dashboard'!$B$7,"~","~~"),"*","~*"),"?","~?"))+COUNTIFS('Calculations'!$HS$13:$HS$512,"="&amp;SUBSTITUTE(SUBSTITUTE(SUBSTITUTE('Calculations'!HF164,"~","~~"),"*","~*"),"?","~?"),'Calculations'!$HN$13:$HN$512,"="&amp;SUBSTITUTE(SUBSTITUTE(SUBSTITUTE('Dashboard'!$B$7,"~","~~"),"*","~*"),"?","~?"))+COUNTIFS('Calculations'!$HT$13:$HT$512,"="&amp;SUBSTITUTE(SUBSTITUTE(SUBSTITUTE('Calculations'!HF164,"~","~~"),"*","~*"),"?","~?"),'Calculations'!$HN$13:$HN$512,"="&amp;SUBSTITUTE(SUBSTITUTE(SUBSTITUTE('Dashboard'!$B$7,"~","~~"),"*","~*"),"?","~?"))+COUNTIFS('Calculations'!$HU$13:$HU$512,"="&amp;SUBSTITUTE(SUBSTITUTE(SUBSTITUTE('Calculations'!HF164,"~","~~"),"*","~*"),"?","~?"),'Calculations'!$HN$13:$HN$512,"="&amp;SUBSTITUTE(SUBSTITUTE(SUBSTITUTE('Dashboard'!$B$7,"~","~~"),"*","~*"),"?","~?"))+COUNTIFS('Calculations'!$HV$13:$HV$512,"="&amp;SUBSTITUTE(SUBSTITUTE(SUBSTITUTE('Calculations'!HF164,"~","~~"),"*","~*"),"?","~?"),'Calculations'!$HN$13:$HN$512,"="&amp;SUBSTITUTE(SUBSTITUTE(SUBSTITUTE('Dashboard'!$B$7,"~","~~"),"*","~*"),"?","~?"))+COUNTIFS('Calculations'!$HW$13:$HW$512,"="&amp;SUBSTITUTE(SUBSTITUTE(SUBSTITUTE('Calculations'!HF164,"~","~~"),"*","~*"),"?","~?"),'Calculations'!$HN$13:$HN$512,"="&amp;SUBSTITUTE(SUBSTITUTE(SUBSTITUTE('Dashboard'!$B$7,"~","~~"),"*","~*"),"?","~?"))+COUNTIFS('Calculations'!$HX$13:$HX$512,"="&amp;SUBSTITUTE(SUBSTITUTE(SUBSTITUTE('Calculations'!HF164,"~","~~"),"*","~*"),"?","~?"),'Calculations'!$HN$13:$HN$512,"="&amp;SUBSTITUTE(SUBSTITUTE(SUBSTITUTE('Dashboard'!$B$7,"~","~~"),"*","~*"),"?","~?"))+COUNTIFS('Calculations'!$HY$13:$HY$512,"="&amp;SUBSTITUTE(SUBSTITUTE(SUBSTITUTE('Calculations'!HF164,"~","~~"),"*","~*"),"?","~?"),'Calculations'!$HN$13:$HN$512,"="&amp;SUBSTITUTE(SUBSTITUTE(SUBSTITUTE('Dashboard'!$B$7,"~","~~"),"*","~*"),"?","~?"))+COUNTIFS('Calculations'!$HZ$13:$HZ$512,"="&amp;SUBSTITUTE(SUBSTITUTE(SUBSTITUTE('Calculations'!HF164,"~","~~"),"*","~*"),"?","~?"),'Calculations'!$HN$13:$HN$512,"="&amp;SUBSTITUTE(SUBSTITUTE(SUBSTITUTE('Dashboard'!$B$7,"~","~~"),"*","~*"),"?","~?"))+COUNTIFS('Calculations'!$IA$13:$IA$512,"="&amp;SUBSTITUTE(SUBSTITUTE(SUBSTITUTE('Calculations'!HF164,"~","~~"),"*","~*"),"?","~?"),'Calculations'!$HN$13:$HN$512,"="&amp;SUBSTITUTE(SUBSTITUTE(SUBSTITUTE('Dashboard'!$B$7,"~","~~"),"*","~*"),"?","~?"))+COUNTIFS('Calculations'!$IB$13:$IB$512,"="&amp;SUBSTITUTE(SUBSTITUTE(SUBSTITUTE('Calculations'!HF164,"~","~~"),"*","~*"),"?","~?"),'Calculations'!$HN$13:$HN$512,"="&amp;SUBSTITUTE(SUBSTITUTE(SUBSTITUTE('Dashboard'!$B$7,"~","~~"),"*","~*"),"?","~?"))+COUNTIFS('Calculations'!$IC$13:$IC$512,"="&amp;SUBSTITUTE(SUBSTITUTE(SUBSTITUTE('Calculations'!HF164,"~","~~"),"*","~*"),"?","~?"),'Calculations'!$HN$13:$HN$512,"="&amp;SUBSTITUTE(SUBSTITUTE(SUBSTITUTE('Dashboard'!$B$7,"~","~~"),"*","~*"),"?","~?"))+COUNTIFS('Calculations'!$ID$13:$ID$512,"="&amp;SUBSTITUTE(SUBSTITUTE(SUBSTITUTE('Calculations'!HF164,"~","~~"),"*","~*"),"?","~?"),'Calculations'!$HN$13:$HN$512,"="&amp;SUBSTITUTE(SUBSTITUTE(SUBSTITUTE('Dashboard'!$B$7,"~","~~"),"*","~*"),"?","~?"))+COUNTIFS('Calculations'!$IE$13:$IE$512,"="&amp;SUBSTITUTE(SUBSTITUTE(SUBSTITUTE('Calculations'!HF164,"~","~~"),"*","~*"),"?","~?"),'Calculations'!$HN$13:$HN$512,"="&amp;SUBSTITUTE(SUBSTITUTE(SUBSTITUTE('Dashboard'!$B$7,"~","~~"),"*","~*"),"?","~?"))+COUNTIFS('Calculations'!$IF$13:$IF$512,"="&amp;SUBSTITUTE(SUBSTITUTE(SUBSTITUTE('Calculations'!HF164,"~","~~"),"*","~*"),"?","~?"),'Calculations'!$HN$13:$HN$512,"="&amp;SUBSTITUTE(SUBSTITUTE(SUBSTITUTE('Dashboard'!$B$7,"~","~~"),"*","~*"),"?","~?"))+COUNTIFS('Calculations'!$IG$13:$IG$512,"="&amp;SUBSTITUTE(SUBSTITUTE(SUBSTITUTE('Calculations'!HF164,"~","~~"),"*","~*"),"?","~?"),'Calculations'!$HN$13:$HN$512,"="&amp;SUBSTITUTE(SUBSTITUTE(SUBSTITUTE('Dashboard'!$B$7,"~","~~"),"*","~*"),"?","~?"))+COUNTIFS('Calculations'!$IH$13:$IH$512,"="&amp;SUBSTITUTE(SUBSTITUTE(SUBSTITUTE('Calculations'!HF164,"~","~~"),"*","~*"),"?","~?"),'Calculations'!$HN$13:$HN$512,"="&amp;SUBSTITUTE(SUBSTITUTE(SUBSTITUTE('Dashboard'!$B$7,"~","~~"),"*","~*"),"?","~?"))))</x:f>
        <x:v>0</x:v>
      </x:c>
      <x:c r="JD164" t="n">
        <x:f>IF('Calculations'!EM164="",0,IF('Dashboard'!$B$7="All",1,IF('Calculations'!HN164='Dashboard'!$B$7,1,0)+IFERROR(INDEX('Calculations'!$JC$13:$JC$512,MATCH('Calculations'!HE164,'Calculations'!$HF$13:$HF$512,0)),0)))</x:f>
        <x:v>0</x:v>
      </x:c>
      <x:c r="JE164" t="n">
        <x:f>IF(AND('Calculations'!EM164&lt;&gt;"",'Calculations'!$JJ$2&lt;&gt;"All",'Calculations'!$JJ$2&lt;&gt;"",'Calculations'!HF164='Calculations'!$JJ$2,'Calculations'!HL164=0,'Calculations'!JD164&gt;0),MAX('Calculations'!$JE$12:JE163)+1,0)</x:f>
        <x:v>0</x:v>
      </x:c>
      <x:c r="JF164" t="str">
        <x:f>IF('Calculations'!EM164="","",IFERROR(IF(INDEX(INDIRECT("'WCM Calibration Final'!$G$1:$G$2000"),'Calculations'!$EM164)="","",TRIM(INDEX(INDIRECT("'WCM Calibration Final'!$G$1:$G$2000"),'Calculations'!$EM164)&amp;"")),""))</x:f>
      </x:c>
      <x:c r="JQ164" t="n">
        <x:f>IF(OR('Calculations'!BM164=0,NOT('Calculations'!$AG$2),'Calculations'!$AG$8&gt;0),0,IF(OR('Dashboard'!$B$7="All",'Calculations'!HN164='Dashboard'!$B$7),IF('Calculations'!$JJ$2="All",1,IF(AND('Calculations'!HF164='Calculations'!$JJ$2,'Calculations'!HL164=0),1,0)),0))</x:f>
        <x:v>0</x:v>
      </x:c>
    </x:row>
    <x:row r="165">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t="n">
        <x:f>IF('Calculations'!$EM165="",0,IF(OR(IFERROR(INDEX(INDIRECT("'WCM Calibration Final'!$A$1:$A$2000"),'Calculations'!$EM165)&lt;&gt;"",FALSE),IFERROR(INDEX(INDIRECT("'WCM Calibration Final'!$B$1:$B$2000"),'Calculations'!$EM165)&lt;&gt;"",FALSE),IFERROR(INDEX(INDIRECT("'WCM Calibration Final'!$C$1:$C$2000"),'Calculations'!$EM165)&lt;&gt;"",FALSE)),1,0))</x:f>
        <x:v>0</x:v>
      </x:c>
      <x:c r="BN165" s="4" t="n">
        <x:f>IF(AND('Calculations'!BM165=1,'Calculations'!$AG$2,'Calculations'!$EN165=1),1,0)</x:f>
        <x:v>0</x:v>
      </x:c>
      <x:c r="BO165" s="4" t="str">
        <x:f>IF('Calculations'!BM165=0,"",IFERROR(IF(AND(VALUE(INDEX(INDIRECT("'WCM Calibration Final'!$K$1:$K$2000"),'Calculations'!$EM165))&gt;=1,VALUE(INDEX(INDIRECT("'WCM Calibration Final'!$K$1:$K$2000"),'Calculations'!$EM165))&lt;=4,MOD(VALUE(INDEX(INDIRECT("'WCM Calibration Final'!$K$1:$K$2000"),'Calculations'!$EM165)),1)=0),VALUE(INDEX(INDIRECT("'WCM Calibration Final'!$K$1:$K$2000"),'Calculations'!$EM165)),""),""))</x:f>
      </x:c>
      <x:c r="BP165" s="4" t="str">
        <x:f>IF('Calculations'!BM165=0,"",IFERROR(IF(AND(VALUE(INDEX(INDIRECT("'WCM Calibration Final'!$L$1:$L$2000"),'Calculations'!$EM165))&gt;=1,VALUE(INDEX(INDIRECT("'WCM Calibration Final'!$L$1:$L$2000"),'Calculations'!$EM165))&lt;=4,MOD(VALUE(INDEX(INDIRECT("'WCM Calibration Final'!$L$1:$L$2000"),'Calculations'!$EM165)),1)=0),VALUE(INDEX(INDIRECT("'WCM Calibration Final'!$L$1:$L$2000"),'Calculations'!$EM165)),""),""))</x:f>
      </x:c>
      <x:c r="BQ165" s="4"/>
      <x:c r="BR165" s="4"/>
      <x:c r="BS165" s="4"/>
      <x:c r="BT165" s="4" t="n">
        <x:f>IF(AND('Calculations'!BM165=1,ISNUMBER('Calculations'!BO165),ISNUMBER('Calculations'!BP165)),1,0)</x:f>
        <x:v>0</x:v>
      </x:c>
      <x:c r="BU165" s="4" t="str">
        <x:f>IF('Calculations'!BM165=0,"",'Calculations'!$EO165)</x:f>
      </x:c>
      <x:c r="BV165" s="4" t="str">
        <x:f>IF('Calculations'!BM165=0,"",IFERROR(IF(OR(INDEX(INDIRECT("'WCM Calibration Final'!$H$1:$H$2000"),'Calculations'!$EM165)="MANAGING DIRECTOR",INDEX(INDIRECT("'WCM Calibration Final'!$H$1:$H$2000"),'Calculations'!$EM165)="DIRECTOR",INDEX(INDIRECT("'WCM Calibration Final'!$H$1:$H$2000"),'Calculations'!$EM165)="SENIOR VICE PRESIDENT",INDEX(INDIRECT("'WCM Calibration Final'!$H$1:$H$2000"),'Calculations'!$EM165)="VICE PRESIDENT",INDEX(INDIRECT("'WCM Calibration Final'!$H$1:$H$2000"),'Calculations'!$EM165)="ASSISTANT VICE PRESIDENT",INDEX(INDIRECT("'WCM Calibration Final'!$H$1:$H$2000"),'Calculations'!$EM165)="OFFICER"),UPPER(INDEX(INDIRECT("'WCM Calibration Final'!$H$1:$H$2000"),'Calculations'!$EM165)),"Other"),"Other"))</x:f>
      </x:c>
      <x:c r="BW165" s="4"/>
      <x:c r="BX165" s="4"/>
      <x:c r="BY165" s="4" t="n">
        <x:f>IF(AND('Calculations'!BM165=1,'Calculations'!BU165&lt;&gt;"",COUNTIF('Calculations'!$BU$12:BU165,'Calculations'!BU165)=1),MAX('Calculations'!$BY$11:BY164)+1,0)</x:f>
        <x:v>0</x:v>
      </x:c>
      <x:c r="BZ165" s="4" t="str">
        <x:f>IF('Dashboard'!$E$67="What",'Calculations'!BO165,'Calculations'!BP165)</x:f>
      </x:c>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t="str">
        <x:f>IF(154&gt;MAX('Calculations'!$HI$13:$HI$512),"",INDEX('Calculations'!$HN$13:$HN$512,MATCH(154,'Calculations'!$HI$13:$HI$512,0)))</x:f>
      </x:c>
      <x:c r="DB165" s="4" t="str">
        <x:f>IF(154&gt;MAX('Calculations'!$HH$13:$HH$512),"",INDEX('Calculations'!$HJ$13:$HJ$512,MATCH(154,'Calculations'!$HH$13:$HH$512,0)))</x:f>
      </x:c>
      <x:c r="DC165" s="4" t="str">
        <x:f>IF(ROW()-11&gt;MAX('Calculations'!$BY$13:$BY$512),"",INDEX('Calculations'!$BU$13:$BU$512,MATCH(ROW()-11,'Calculations'!$BY$13:$BY$512,0)))</x:f>
      </x:c>
      <x:c r="DD165" s="4" t="str">
        <x:f>IF(154&gt;MAX('Calculations'!$IK$13:$IK$512),"",INDEX('Calculations'!$HK$13:$HK$512,MATCH(154,'Calculations'!$IK$13:$IK$512,0)))</x:f>
      </x:c>
      <x:c r="DE165" s="4" t="str">
        <x:f>'Calculations'!DC165</x:f>
      </x:c>
      <x:c r="DF165" s="4" t="str">
        <x:f>IF('Calculations'!DE165="","",COUNTIFS('Calculations'!$BN$13:$BN$512,1,'Calculations'!$BU$13:$BU$512,'Calculations'!DE165))</x:f>
      </x:c>
      <x:c r="DG165" s="4" t="str">
        <x:f>IF('Calculations'!DE165="","",COUNTIFS('Calculations'!$BN$13:$BN$512,1,'Calculations'!$BU$13:$BU$512,'Calculations'!DE165,'Calculations'!$BT$13:$BT$512,1))</x:f>
      </x:c>
      <x:c r="DH165" s="4" t="str">
        <x:f>IF('Calculations'!DE165="","",'Calculations'!DF165-'Calculations'!DG165)</x:f>
      </x:c>
      <x:c r="DI165" s="4" t="str">
        <x:f>IF(OR('Calculations'!DE165="",'Calculations'!DF165=0),"",'Calculations'!DG165/'Calculations'!DF165)</x:f>
      </x:c>
      <x:c r="DJ165" s="4" t="str">
        <x:f>IF('Calculations'!DE165="","",COUNTIFS('Calculations'!$BN$13:$BN$512,1,'Calculations'!$BU$13:$BU$512,'Calculations'!DE165,'Calculations'!$BT$13:$BT$512,1,'Calculations'!$EE$13:$EE$512,"High"))</x:f>
      </x:c>
      <x:c r="DK165" s="4" t="str">
        <x:f>IF('Calculations'!DE165="","",COUNTIFS('Calculations'!$BN$13:$BN$512,1,'Calculations'!$BU$13:$BU$512,'Calculations'!DE165,'Calculations'!$BT$13:$BT$512,1,'Calculations'!$EE$13:$EE$512,"Strong"))</x:f>
      </x:c>
      <x:c r="DL165" s="4" t="str">
        <x:f>IF('Calculations'!DE165="","",COUNTIFS('Calculations'!$BN$13:$BN$512,1,'Calculations'!$BU$13:$BU$512,'Calculations'!DE165,'Calculations'!$BT$13:$BT$512,1,'Calculations'!$EE$13:$EE$512,"Solid"))</x:f>
      </x:c>
      <x:c r="DM165" s="4" t="str">
        <x:f>IF('Calculations'!DE165="","",COUNTIFS('Calculations'!$BN$13:$BN$512,1,'Calculations'!$BU$13:$BU$512,'Calculations'!DE165,'Calculations'!$BT$13:$BT$512,1,'Calculations'!$EE$13:$EE$512,"Low"))</x:f>
      </x:c>
      <x:c r="DN165" s="4" t="str">
        <x:f>IF('Calculations'!DE165="","",COUNTIFS('Calculations'!$BN$13:$BN$512,1,'Calculations'!$BU$13:$BU$512,'Calculations'!DE165,'Calculations'!$EP$13:$EP$512,1))</x:f>
      </x:c>
      <x:c r="DO165" s="4" t="str">
        <x:f>IF(OR('Calculations'!DE165="",'Calculations'!DG165=0),"",('Calculations'!DJ165+'Calculations'!DK165)/'Calculations'!DG165)</x:f>
      </x:c>
      <x:c r="DP165" s="4" t="n">
        <x:f>IF(AND('Calculations'!DE165&lt;&gt;"",'Calculations'!DF165&gt;0),COUNTIF('Calculations'!$DF$12:DF165,"&gt;0"),0)</x:f>
        <x:v>0</x:v>
      </x:c>
      <x:c r="DQ165" s="4" t="str">
        <x:f>IF(154&gt;MAX('Calculations'!$HH$13:$HH$512),"",INDEX('Calculations'!$HF$13:$HF$512,MATCH(154,'Calculations'!$HH$13:$HH$512,0)))</x:f>
      </x:c>
      <x:c r="DR165" s="4" t="str">
        <x:f>IF(154&gt;MAX('Calculations'!$IK$13:$IK$512),"",INDEX('Calculations'!$HE$13:$HE$512,MATCH(154,'Calculations'!$IK$13:$IK$512,0)))</x:f>
      </x:c>
      <x:c r="DS165" s="4"/>
      <x:c r="DT165" s="4"/>
      <x:c r="DU165" s="4"/>
      <x:c r="DV165" s="4"/>
      <x:c r="DW165" s="4"/>
      <x:c r="DX165" s="4"/>
      <x:c r="DY165" s="4"/>
      <x:c r="DZ165" s="4"/>
      <x:c r="EA165" s="4"/>
      <x:c r="EB165" s="4"/>
      <x:c r="EC165" s="4"/>
      <x:c r="ED165" s="4"/>
      <x:c r="EE165" s="4" t="str">
        <x:f>IF('Calculations'!BT165=0,"Not Rated",IF(OR('Calculations'!BO165&gt;=4,'Calculations'!BP165&gt;=4),"Low",IF('Calculations'!BO165+'Calculations'!BP165&lt;=3,"High",IF('Calculations'!BO165+'Calculations'!BP165&lt;=4,"Strong","Solid"))))</x:f>
        <x:v>Not Rated</x:v>
      </x:c>
      <x:c r="EF165" s="4"/>
      <x:c r="EG165" s="4"/>
      <x:c r="EH165" s="4"/>
      <x:c r="EI165" s="4"/>
      <x:c r="EJ165" s="4"/>
      <x:c r="EK165" s="4"/>
      <x:c r="EL165" s="4"/>
      <x:c r="EM165" s="4" t="str">
        <x:f>IF(153&gt;'Calculations'!$JB$2000,"",INDEX('Calculations'!$JA$12:$JA$2000,MATCH(153,'Calculations'!$JB$12:$JB$2000,0)))</x:f>
      </x:c>
      <x:c r="EN165" s="4" t="n">
        <x:f>IF(OR('Calculations'!EM165="",'Calculations'!$AG$8&gt;0,AND('Calculations'!$EF$2&lt;&gt;"All",'Calculations'!HE165='Calculations'!$EF$2),AND('Calculations'!$EF$3&lt;&gt;"All",'Calculations'!HE165='Calculations'!$EF$3)),0,IF(OR('Dashboard'!$B$7="All",'Calculations'!HN165='Dashboard'!$B$7),IF('Calculations'!$EF$2="All",1,IF('Calculations'!HL165&gt;0,0,IF(COUNTIF('Calculations'!HO165:II165,"="&amp;SUBSTITUTE(SUBSTITUTE(SUBSTITUTE('Calculations'!$EF$2,"~","~~"),"*","~*"),"?","~?"))=0,0,IF('Calculations'!$EF$3="All",1,IF(COUNTIF('Calculations'!HO165:II165,"="&amp;SUBSTITUTE(SUBSTITUTE(SUBSTITUTE('Calculations'!$EF$3,"~","~~"),"*","~*"),"?","~?"))&gt;0,1,0))))),0))</x:f>
        <x:v>0</x:v>
      </x:c>
      <x:c r="EO165" s="4" t="str">
        <x:f>IF('Calculations'!IJ165="","",IF('Calculations'!IJ165="!UNRESOLVED","Unresolved hierarchy",IFERROR(INDEX('Calculations'!$HK$13:$HK$512,MATCH('Calculations'!IJ165,'Calculations'!$HE$13:$HE$512,0)),IFERROR(INDEX('Calculations'!$HJ$13:$HJ$512,MATCH('Calculations'!IJ165,'Calculations'!$HF$13:$HF$512,0)),'Calculations'!IJ165))))</x:f>
      </x:c>
      <x:c r="EP165" s="4" t="n">
        <x:f>IF(AND('Calculations'!EM165&lt;&gt;"",'Calculations'!HF165='Calculations'!IJ165),1,0)</x:f>
        <x:v>0</x:v>
      </x:c>
      <x:c r="EQ165" s="4"/>
      <x:c r="ER165" s="4"/>
      <x:c r="ES165" s="4"/>
      <x:c r="ET165" s="4"/>
      <x:c r="EU165" s="4"/>
      <x:c r="EV165" s="4"/>
      <x:c r="EW165" s="4"/>
      <x:c r="EX165" s="4"/>
      <x:c r="EY165" s="4"/>
      <x:c r="EZ165" s="4"/>
      <x:c r="FA165" s="4"/>
      <x:c r="FB165" s="4"/>
      <x:c r="FC165" s="4"/>
      <x:c r="FD165" s="4"/>
      <x:c r="FE165" s="4"/>
      <x:c r="FF165" s="4"/>
      <x:c r="FG165" s="4"/>
      <x:c r="FH165" s="4"/>
      <x:c r="FI165" s="4"/>
      <x:c r="FJ165" s="4"/>
      <x:c r="FK165" s="4"/>
      <x:c r="FL165" s="4"/>
      <x:c r="FM165" s="4"/>
      <x:c r="FN165" s="4"/>
      <x:c r="FO165" s="4"/>
      <x:c r="GA165" s="71"/>
      <x:c r="GB165" s="71"/>
      <x:c r="GC165" s="71"/>
      <x:c r="GD165" s="71"/>
      <x:c r="GE165" s="71"/>
      <x:c r="GF165" s="71"/>
      <x:c r="GG165" s="71"/>
      <x:c r="GH165" s="71"/>
      <x:c r="GI165" s="71"/>
      <x:c r="GJ165" s="71"/>
      <x:c r="GK165" s="71"/>
      <x:c r="GL165" s="71" t="n">
        <x:f>COUNTIFS('Calculations'!$JQ$13:$JQ$512,1,'Calculations'!$BP$13:$BP$512,3)</x:f>
        <x:v>0</x:v>
      </x:c>
      <x:c r="GM165" s="71"/>
      <x:c r="GN165" s="71"/>
      <x:c r="GO165" s="71" t="str">
        <x:f>IF(SUM('Calculations'!$GL$163:$GL$166)=0,"",'Calculations'!GL165/SUM('Calculations'!$GL$163:$GL$166))</x:f>
      </x:c>
      <x:c r="GP165" s="71"/>
      <x:c r="GQ165" s="71"/>
      <x:c r="GR165" s="71" t="n">
        <x:f>IF(COUNT('Dashboard'!R144)=0,"",IF(AND('Dashboard'!R144&gt;=0,'Dashboard'!R144&lt;=1),'Dashboard'!R144,""))</x:f>
        <x:v>0.65</x:v>
      </x:c>
      <x:c r="GS165" s="71"/>
      <x:c r="GT165" s="71"/>
      <x:c r="GU165" s="71" t="str">
        <x:f>IF(COUNT('Calculations'!GO165,'Calculations'!GR165)&lt;2,"",100*('Calculations'!GO165-'Calculations'!GR165))</x:f>
      </x:c>
      <x:c r="GV165" s="71"/>
      <x:c r="GW165" s="71"/>
      <x:c r="GX165" s="71" t="str">
        <x:f>IF(NOT('Calculations'!$AG$2),"Source unavailable",IF('Calculations'!$AG$8&gt;0,"Check filters",IF(COUNT('Calculations'!GO165)=0,"No ratings",IF(COUNT('Calculations'!GR165)=0,"No threshold",IF('Calculations'!GO165&gt;'Calculations'!GR165,"Above threshold","Within threshold")))))</x:f>
        <x:v>Source unavailable</x:v>
      </x:c>
      <x:c r="GY165" s="71"/>
      <x:c r="GZ165" s="71"/>
      <x:c r="HA165" s="71"/>
      <x:c r="HB165" s="71"/>
      <x:c r="HC165" s="71"/>
      <x:c r="HD165" s="71"/>
      <x:c r="HE165" t="str">
        <x:f>IF('Calculations'!EM165="","",IF(IFERROR(IF(INDEX(INDIRECT("'WCM Calibration Final'!$A$1:$A$2000"),'Calculations'!$EM165)="","",TRIM(INDEX(INDIRECT("'WCM Calibration Final'!$A$1:$A$2000"),'Calculations'!$EM165)&amp;"")),"")&lt;&gt;"","G:"&amp;IFERROR(TEXT(1*INDEX(INDIRECT("'WCM Calibration Final'!$A$1:$A$2000"),'Calculations'!$EM165),"0"),UPPER(IFERROR(IF(INDEX(INDIRECT("'WCM Calibration Final'!$A$1:$A$2000"),'Calculations'!$EM165)="","",TRIM(INDEX(INDIRECT("'WCM Calibration Final'!$A$1:$A$2000"),'Calculations'!$EM165)&amp;"")),""))),IF(IFERROR(IF(INDEX(INDIRECT("'WCM Calibration Final'!$C$1:$C$2000"),'Calculations'!$EM165)="","",TRIM(INDEX(INDIRECT("'WCM Calibration Final'!$C$1:$C$2000"),'Calculations'!$EM165)&amp;"")),"")&lt;&gt;"","S:"&amp;UPPER(IFERROR(IF(INDEX(INDIRECT("'WCM Calibration Final'!$C$1:$C$2000"),'Calculations'!$EM165)="","",TRIM(INDEX(INDIRECT("'WCM Calibration Final'!$C$1:$C$2000"),'Calculations'!$EM165)&amp;"")),"")),"R:"&amp;'Calculations'!EM165)))</x:f>
      </x:c>
      <x:c r="HF165" t="str">
        <x:f>IF('Calculations'!EM165="","",IF(IFERROR(IF(INDEX(INDIRECT("'WCM Calibration Final'!$D$1:$D$2000"),'Calculations'!$EM165)="","",TRIM(INDEX(INDIRECT("'WCM Calibration Final'!$D$1:$D$2000"),'Calculations'!$EM165)&amp;"")),"")&lt;&gt;"","G:"&amp;IFERROR(TEXT(1*INDEX(INDIRECT("'WCM Calibration Final'!$D$1:$D$2000"),'Calculations'!$EM165),"0"),UPPER(IFERROR(IF(INDEX(INDIRECT("'WCM Calibration Final'!$D$1:$D$2000"),'Calculations'!$EM165)="","",TRIM(INDEX(INDIRECT("'WCM Calibration Final'!$D$1:$D$2000"),'Calculations'!$EM165)&amp;"")),""))),IF(IFERROR(IF(INDEX(INDIRECT("'WCM Calibration Final'!$E$1:$E$2000"),'Calculations'!$EM165)="","",TRIM(INDEX(INDIRECT("'WCM Calibration Final'!$E$1:$E$2000"),'Calculations'!$EM165)&amp;"")),"")="","",IF(COUNTIF('Calculations'!$HG$13:$HG$512,"="&amp;SUBSTITUTE(SUBSTITUTE(SUBSTITUTE(IFERROR(IF(INDEX(INDIRECT("'WCM Calibration Final'!$E$1:$E$2000"),'Calculations'!$EM165)="","",TRIM(INDEX(INDIRECT("'WCM Calibration Final'!$E$1:$E$2000"),'Calculations'!$EM165)&amp;"")),""),"~","~~"),"*","~*"),"?","~?"))=1,INDEX('Calculations'!$HE$13:$HE$512,MATCH(IFERROR(IF(INDEX(INDIRECT("'WCM Calibration Final'!$E$1:$E$2000"),'Calculations'!$EM165)="","",TRIM(INDEX(INDIRECT("'WCM Calibration Final'!$E$1:$E$2000"),'Calculations'!$EM165)&amp;"")),""),'Calculations'!$HG$13:$HG$512,0)),IF(COUNTIF('Calculations'!$HG$13:$HG$512,"="&amp;SUBSTITUTE(SUBSTITUTE(SUBSTITUTE(IFERROR(IF(INDEX(INDIRECT("'WCM Calibration Final'!$E$1:$E$2000"),'Calculations'!$EM165)="","",TRIM(INDEX(INDIRECT("'WCM Calibration Final'!$E$1:$E$2000"),'Calculations'!$EM165)&amp;"")),""),"~","~~"),"*","~*"),"?","~?"))&gt;1,"!AMBIG","X:"&amp;IFERROR(IF(INDEX(INDIRECT("'WCM Calibration Final'!$E$1:$E$2000"),'Calculations'!$EM165)="","",TRIM(INDEX(INDIRECT("'WCM Calibration Final'!$E$1:$E$2000"),'Calculations'!$EM165)&amp;"")),""))))))</x:f>
      </x:c>
      <x:c r="HG165" t="str">
        <x:f>IF('Calculations'!EM165="","",IFERROR(IF(INDEX(INDIRECT("'WCM Calibration Final'!$B$1:$B$2000"),'Calculations'!$EM165)="","",TRIM(INDEX(INDIRECT("'WCM Calibration Final'!$B$1:$B$2000"),'Calculations'!$EM165)&amp;"")),""))</x:f>
      </x:c>
      <x:c r="HH165" t="n">
        <x:f>IF(AND('Calculations'!JC165&gt;0,COUNTIF('Calculations'!$HF$12:HF165,"="&amp;SUBSTITUTE(SUBSTITUTE(SUBSTITUTE('Calculations'!HF165,"~","~~"),"*","~*"),"?","~?"))=1),MAX('Calculations'!$HH$12:HH164)+1,0)</x:f>
        <x:v>0</x:v>
      </x:c>
      <x:c r="HI165" t="n">
        <x:f>IF(AND('Calculations'!HN165&lt;&gt;"",COUNTIF('Calculations'!$HN$12:HN165,"="&amp;SUBSTITUTE(SUBSTITUTE(SUBSTITUTE('Calculations'!HN165,"~","~~"),"*","~*"),"?","~?"))=1),MAX('Calculations'!$HI$12:HI164)+1,0)</x:f>
        <x:v>0</x:v>
      </x:c>
      <x:c r="HJ165" t="str">
        <x:f>IF('Calculations'!HF165="","",IF(COUNTIF('Calculations'!$HE$13:$HE$512,"="&amp;SUBSTITUTE(SUBSTITUTE(SUBSTITUTE('Calculations'!HF165,"~","~~"),"*","~*"),"?","~?"))=1,INDEX('Calculations'!$HK$13:$HK$512,MATCH('Calculations'!HF165,'Calculations'!$HE$13:$HE$512,0)),IFERROR(IF(INDEX(INDIRECT("'WCM Calibration Final'!$E$1:$E$2000"),'Calculations'!$EM165)="","",TRIM(INDEX(INDIRECT("'WCM Calibration Final'!$E$1:$E$2000"),'Calculations'!$EM165)&amp;"")),"")&amp;" ["&amp;'Calculations'!HF165&amp;"]"))</x:f>
      </x:c>
      <x:c r="HK165" t="str">
        <x:f>IF('Calculations'!EM165="","",'Calculations'!HG165&amp;" ["&amp;'Calculations'!HE165&amp;"]")</x:f>
      </x:c>
      <x:c r="HL165" t="n">
        <x:f>IF('Calculations'!EM165="",0,IF(OR('Calculations'!II165&lt;&gt;"",COUNTIF('Calculations'!$HE$13:$HE$512,"="&amp;SUBSTITUTE(SUBSTITUTE(SUBSTITUTE('Calculations'!HE165,"~","~~"),"*","~*"),"?","~?"))&gt;1),1,0))</x:f>
        <x:v>0</x:v>
      </x:c>
      <x:c r="HM165" t="str">
        <x:f>IF('Calculations'!EM165="","",IF('Calculations'!HL165=1,"!UNRESOLVED",IF('Calculations'!IH165&lt;&gt;"",'Calculations'!IH165,IF('Calculations'!IG165&lt;&gt;"",'Calculations'!IG165,IF('Calculations'!IF165&lt;&gt;"",'Calculations'!IF165,IF('Calculations'!IE165&lt;&gt;"",'Calculations'!IE165,IF('Calculations'!ID165&lt;&gt;"",'Calculations'!ID165,IF('Calculations'!IC165&lt;&gt;"",'Calculations'!IC165,IF('Calculations'!IB165&lt;&gt;"",'Calculations'!IB165,IF('Calculations'!IA165&lt;&gt;"",'Calculations'!IA165,IF('Calculations'!HZ165&lt;&gt;"",'Calculations'!HZ165,IF('Calculations'!HY165&lt;&gt;"",'Calculations'!HY165,IF('Calculations'!HX165&lt;&gt;"",'Calculations'!HX165,IF('Calculations'!HW165&lt;&gt;"",'Calculations'!HW165,IF('Calculations'!HV165&lt;&gt;"",'Calculations'!HV165,IF('Calculations'!HU165&lt;&gt;"",'Calculations'!HU165,IF('Calculations'!HT165&lt;&gt;"",'Calculations'!HT165,IF('Calculations'!HS165&lt;&gt;"",'Calculations'!HS165,IF('Calculations'!HR165&lt;&gt;"",'Calculations'!HR165,IF('Calculations'!HQ165&lt;&gt;"",'Calculations'!HQ165,IF('Calculations'!HP165&lt;&gt;"",'Calculations'!HP165,IF('Calculations'!HO165&lt;&gt;"",'Calculations'!HO165,'Calculations'!HE165))))))))))))))))))))))</x:f>
      </x:c>
      <x:c r="HN165" t="str">
        <x:f>IF('Calculations'!EM165="","",IF(IFERROR(IF(INDEX(INDIRECT("'WCM Calibration Final'!$F$1:$F$2000"),'Calculations'!$EM165)="","",TRIM(INDEX(INDIRECT("'WCM Calibration Final'!$F$1:$F$2000"),'Calculations'!$EM165)&amp;"")),"")="","(Blank)",IFERROR(IF(INDEX(INDIRECT("'WCM Calibration Final'!$F$1:$F$2000"),'Calculations'!$EM165)="","",TRIM(INDEX(INDIRECT("'WCM Calibration Final'!$F$1:$F$2000"),'Calculations'!$EM165)&amp;"")),"")))</x:f>
      </x:c>
      <x:c r="HO165" t="str">
        <x:f>'Calculations'!HF165</x:f>
      </x:c>
      <x:c r="HP165" t="str">
        <x:f>IF('Calculations'!HO165="","",IF('Calculations'!HO165="!AMBIG","!AMBIG",IF(COUNTIF('Calculations'!$HE$13:$HE$512,"="&amp;SUBSTITUTE(SUBSTITUTE(SUBSTITUTE('Calculations'!HO165,"~","~~"),"*","~*"),"?","~?"))&gt;1,"!AMBIG",IFERROR(INDEX('Calculations'!$HF$13:$HF$512,MATCH('Calculations'!HO165,'Calculations'!$HE$13:$HE$512,0)),""))))</x:f>
      </x:c>
      <x:c r="HQ165" t="str">
        <x:f>IF('Calculations'!HP165="","",IF('Calculations'!HP165="!AMBIG","!AMBIG",IF(COUNTIF('Calculations'!$HE$13:$HE$512,"="&amp;SUBSTITUTE(SUBSTITUTE(SUBSTITUTE('Calculations'!HP165,"~","~~"),"*","~*"),"?","~?"))&gt;1,"!AMBIG",IFERROR(INDEX('Calculations'!$HF$13:$HF$512,MATCH('Calculations'!HP165,'Calculations'!$HE$13:$HE$512,0)),""))))</x:f>
      </x:c>
      <x:c r="HR165" t="str">
        <x:f>IF('Calculations'!HQ165="","",IF('Calculations'!HQ165="!AMBIG","!AMBIG",IF(COUNTIF('Calculations'!$HE$13:$HE$512,"="&amp;SUBSTITUTE(SUBSTITUTE(SUBSTITUTE('Calculations'!HQ165,"~","~~"),"*","~*"),"?","~?"))&gt;1,"!AMBIG",IFERROR(INDEX('Calculations'!$HF$13:$HF$512,MATCH('Calculations'!HQ165,'Calculations'!$HE$13:$HE$512,0)),""))))</x:f>
      </x:c>
      <x:c r="HS165" t="str">
        <x:f>IF('Calculations'!HR165="","",IF('Calculations'!HR165="!AMBIG","!AMBIG",IF(COUNTIF('Calculations'!$HE$13:$HE$512,"="&amp;SUBSTITUTE(SUBSTITUTE(SUBSTITUTE('Calculations'!HR165,"~","~~"),"*","~*"),"?","~?"))&gt;1,"!AMBIG",IFERROR(INDEX('Calculations'!$HF$13:$HF$512,MATCH('Calculations'!HR165,'Calculations'!$HE$13:$HE$512,0)),""))))</x:f>
      </x:c>
      <x:c r="HT165" t="str">
        <x:f>IF('Calculations'!HS165="","",IF('Calculations'!HS165="!AMBIG","!AMBIG",IF(COUNTIF('Calculations'!$HE$13:$HE$512,"="&amp;SUBSTITUTE(SUBSTITUTE(SUBSTITUTE('Calculations'!HS165,"~","~~"),"*","~*"),"?","~?"))&gt;1,"!AMBIG",IFERROR(INDEX('Calculations'!$HF$13:$HF$512,MATCH('Calculations'!HS165,'Calculations'!$HE$13:$HE$512,0)),""))))</x:f>
      </x:c>
      <x:c r="HU165" t="str">
        <x:f>IF('Calculations'!HT165="","",IF('Calculations'!HT165="!AMBIG","!AMBIG",IF(COUNTIF('Calculations'!$HE$13:$HE$512,"="&amp;SUBSTITUTE(SUBSTITUTE(SUBSTITUTE('Calculations'!HT165,"~","~~"),"*","~*"),"?","~?"))&gt;1,"!AMBIG",IFERROR(INDEX('Calculations'!$HF$13:$HF$512,MATCH('Calculations'!HT165,'Calculations'!$HE$13:$HE$512,0)),""))))</x:f>
      </x:c>
      <x:c r="HV165" t="str">
        <x:f>IF('Calculations'!HU165="","",IF('Calculations'!HU165="!AMBIG","!AMBIG",IF(COUNTIF('Calculations'!$HE$13:$HE$512,"="&amp;SUBSTITUTE(SUBSTITUTE(SUBSTITUTE('Calculations'!HU165,"~","~~"),"*","~*"),"?","~?"))&gt;1,"!AMBIG",IFERROR(INDEX('Calculations'!$HF$13:$HF$512,MATCH('Calculations'!HU165,'Calculations'!$HE$13:$HE$512,0)),""))))</x:f>
      </x:c>
      <x:c r="HW165" t="str">
        <x:f>IF('Calculations'!HV165="","",IF('Calculations'!HV165="!AMBIG","!AMBIG",IF(COUNTIF('Calculations'!$HE$13:$HE$512,"="&amp;SUBSTITUTE(SUBSTITUTE(SUBSTITUTE('Calculations'!HV165,"~","~~"),"*","~*"),"?","~?"))&gt;1,"!AMBIG",IFERROR(INDEX('Calculations'!$HF$13:$HF$512,MATCH('Calculations'!HV165,'Calculations'!$HE$13:$HE$512,0)),""))))</x:f>
      </x:c>
      <x:c r="HX165" t="str">
        <x:f>IF('Calculations'!HW165="","",IF('Calculations'!HW165="!AMBIG","!AMBIG",IF(COUNTIF('Calculations'!$HE$13:$HE$512,"="&amp;SUBSTITUTE(SUBSTITUTE(SUBSTITUTE('Calculations'!HW165,"~","~~"),"*","~*"),"?","~?"))&gt;1,"!AMBIG",IFERROR(INDEX('Calculations'!$HF$13:$HF$512,MATCH('Calculations'!HW165,'Calculations'!$HE$13:$HE$512,0)),""))))</x:f>
      </x:c>
      <x:c r="HY165" t="str">
        <x:f>IF('Calculations'!HX165="","",IF('Calculations'!HX165="!AMBIG","!AMBIG",IF(COUNTIF('Calculations'!$HE$13:$HE$512,"="&amp;SUBSTITUTE(SUBSTITUTE(SUBSTITUTE('Calculations'!HX165,"~","~~"),"*","~*"),"?","~?"))&gt;1,"!AMBIG",IFERROR(INDEX('Calculations'!$HF$13:$HF$512,MATCH('Calculations'!HX165,'Calculations'!$HE$13:$HE$512,0)),""))))</x:f>
      </x:c>
      <x:c r="HZ165" t="str">
        <x:f>IF('Calculations'!HY165="","",IF('Calculations'!HY165="!AMBIG","!AMBIG",IF(COUNTIF('Calculations'!$HE$13:$HE$512,"="&amp;SUBSTITUTE(SUBSTITUTE(SUBSTITUTE('Calculations'!HY165,"~","~~"),"*","~*"),"?","~?"))&gt;1,"!AMBIG",IFERROR(INDEX('Calculations'!$HF$13:$HF$512,MATCH('Calculations'!HY165,'Calculations'!$HE$13:$HE$512,0)),""))))</x:f>
      </x:c>
      <x:c r="IA165" t="str">
        <x:f>IF('Calculations'!HZ165="","",IF('Calculations'!HZ165="!AMBIG","!AMBIG",IF(COUNTIF('Calculations'!$HE$13:$HE$512,"="&amp;SUBSTITUTE(SUBSTITUTE(SUBSTITUTE('Calculations'!HZ165,"~","~~"),"*","~*"),"?","~?"))&gt;1,"!AMBIG",IFERROR(INDEX('Calculations'!$HF$13:$HF$512,MATCH('Calculations'!HZ165,'Calculations'!$HE$13:$HE$512,0)),""))))</x:f>
      </x:c>
      <x:c r="IB165" t="str">
        <x:f>IF('Calculations'!IA165="","",IF('Calculations'!IA165="!AMBIG","!AMBIG",IF(COUNTIF('Calculations'!$HE$13:$HE$512,"="&amp;SUBSTITUTE(SUBSTITUTE(SUBSTITUTE('Calculations'!IA165,"~","~~"),"*","~*"),"?","~?"))&gt;1,"!AMBIG",IFERROR(INDEX('Calculations'!$HF$13:$HF$512,MATCH('Calculations'!IA165,'Calculations'!$HE$13:$HE$512,0)),""))))</x:f>
      </x:c>
      <x:c r="IC165" t="str">
        <x:f>IF('Calculations'!IB165="","",IF('Calculations'!IB165="!AMBIG","!AMBIG",IF(COUNTIF('Calculations'!$HE$13:$HE$512,"="&amp;SUBSTITUTE(SUBSTITUTE(SUBSTITUTE('Calculations'!IB165,"~","~~"),"*","~*"),"?","~?"))&gt;1,"!AMBIG",IFERROR(INDEX('Calculations'!$HF$13:$HF$512,MATCH('Calculations'!IB165,'Calculations'!$HE$13:$HE$512,0)),""))))</x:f>
      </x:c>
      <x:c r="ID165" t="str">
        <x:f>IF('Calculations'!IC165="","",IF('Calculations'!IC165="!AMBIG","!AMBIG",IF(COUNTIF('Calculations'!$HE$13:$HE$512,"="&amp;SUBSTITUTE(SUBSTITUTE(SUBSTITUTE('Calculations'!IC165,"~","~~"),"*","~*"),"?","~?"))&gt;1,"!AMBIG",IFERROR(INDEX('Calculations'!$HF$13:$HF$512,MATCH('Calculations'!IC165,'Calculations'!$HE$13:$HE$512,0)),""))))</x:f>
      </x:c>
      <x:c r="IE165" t="str">
        <x:f>IF('Calculations'!ID165="","",IF('Calculations'!ID165="!AMBIG","!AMBIG",IF(COUNTIF('Calculations'!$HE$13:$HE$512,"="&amp;SUBSTITUTE(SUBSTITUTE(SUBSTITUTE('Calculations'!ID165,"~","~~"),"*","~*"),"?","~?"))&gt;1,"!AMBIG",IFERROR(INDEX('Calculations'!$HF$13:$HF$512,MATCH('Calculations'!ID165,'Calculations'!$HE$13:$HE$512,0)),""))))</x:f>
      </x:c>
      <x:c r="IF165" t="str">
        <x:f>IF('Calculations'!IE165="","",IF('Calculations'!IE165="!AMBIG","!AMBIG",IF(COUNTIF('Calculations'!$HE$13:$HE$512,"="&amp;SUBSTITUTE(SUBSTITUTE(SUBSTITUTE('Calculations'!IE165,"~","~~"),"*","~*"),"?","~?"))&gt;1,"!AMBIG",IFERROR(INDEX('Calculations'!$HF$13:$HF$512,MATCH('Calculations'!IE165,'Calculations'!$HE$13:$HE$512,0)),""))))</x:f>
      </x:c>
      <x:c r="IG165" t="str">
        <x:f>IF('Calculations'!IF165="","",IF('Calculations'!IF165="!AMBIG","!AMBIG",IF(COUNTIF('Calculations'!$HE$13:$HE$512,"="&amp;SUBSTITUTE(SUBSTITUTE(SUBSTITUTE('Calculations'!IF165,"~","~~"),"*","~*"),"?","~?"))&gt;1,"!AMBIG",IFERROR(INDEX('Calculations'!$HF$13:$HF$512,MATCH('Calculations'!IF165,'Calculations'!$HE$13:$HE$512,0)),""))))</x:f>
      </x:c>
      <x:c r="IH165" t="str">
        <x:f>IF('Calculations'!IG165="","",IF('Calculations'!IG165="!AMBIG","!AMBIG",IF(COUNTIF('Calculations'!$HE$13:$HE$512,"="&amp;SUBSTITUTE(SUBSTITUTE(SUBSTITUTE('Calculations'!IG165,"~","~~"),"*","~*"),"?","~?"))&gt;1,"!AMBIG",IFERROR(INDEX('Calculations'!$HF$13:$HF$512,MATCH('Calculations'!IG165,'Calculations'!$HE$13:$HE$512,0)),""))))</x:f>
      </x:c>
      <x:c r="II165" t="str">
        <x:f>IF('Calculations'!IH165="","",IF('Calculations'!IH165="!AMBIG","!AMBIG",IF(COUNTIF('Calculations'!$HE$13:$HE$512,"="&amp;SUBSTITUTE(SUBSTITUTE(SUBSTITUTE('Calculations'!IH165,"~","~~"),"*","~*"),"?","~?"))&gt;1,"!AMBIG",IFERROR(INDEX('Calculations'!$HF$13:$HF$512,MATCH('Calculations'!IH165,'Calculations'!$HE$13:$HE$512,0)),""))))</x:f>
      </x:c>
      <x:c r="IJ165" t="str">
        <x:f>IF('Calculations'!EM165="","",IF('Calculations'!$EF$2="All",'Calculations'!HM165,IF('Calculations'!HL165=1,"",IFERROR(IF(MATCH('Calculations'!$EF$2,'Calculations'!HO165:II165,0)=1,'Calculations'!HE165,INDEX('Calculations'!HO165:II165,1,MATCH('Calculations'!$EF$2,'Calculations'!HO165:II165,0)-1)),""))))</x:f>
      </x:c>
      <x:c r="IK165" t="n">
        <x:f>IF(AND('Calculations'!EM165&lt;&gt;"",'Calculations'!$EF$2&lt;&gt;"All",'Calculations'!HF165='Calculations'!$EF$2,'Calculations'!HL165=0,'Calculations'!JD165&gt;0),MAX('Calculations'!$IK$12:IK164)+1,0)</x:f>
        <x:v>0</x:v>
      </x:c>
      <x:c r="JA165" t="n">
        <x:f>IF(OR(IFERROR(INDIRECT("'WCM Calibration Final'!$A$165")&lt;&gt;"",FALSE),IFERROR(INDIRECT("'WCM Calibration Final'!$B$165")&lt;&gt;"",FALSE),IFERROR(INDIRECT("'WCM Calibration Final'!$C$165")&lt;&gt;"",FALSE)),165,0)</x:f>
        <x:v>0</x:v>
      </x:c>
      <x:c r="JB165" t="n">
        <x:f>'Calculations'!JB164+IF('Calculations'!JA165&gt;0,1,0)</x:f>
        <x:v>0</x:v>
      </x:c>
      <x:c r="JC165" t="n">
        <x:f>IF(OR('Calculations'!HF165="",'Calculations'!HF165="!AMBIG"),0,IF('Dashboard'!$B$7="All",1,COUNTIFS('Calculations'!$HO$13:$HO$512,"="&amp;SUBSTITUTE(SUBSTITUTE(SUBSTITUTE('Calculations'!HF165,"~","~~"),"*","~*"),"?","~?"),'Calculations'!$HN$13:$HN$512,"="&amp;SUBSTITUTE(SUBSTITUTE(SUBSTITUTE('Dashboard'!$B$7,"~","~~"),"*","~*"),"?","~?"))+COUNTIFS('Calculations'!$HP$13:$HP$512,"="&amp;SUBSTITUTE(SUBSTITUTE(SUBSTITUTE('Calculations'!HF165,"~","~~"),"*","~*"),"?","~?"),'Calculations'!$HN$13:$HN$512,"="&amp;SUBSTITUTE(SUBSTITUTE(SUBSTITUTE('Dashboard'!$B$7,"~","~~"),"*","~*"),"?","~?"))+COUNTIFS('Calculations'!$HQ$13:$HQ$512,"="&amp;SUBSTITUTE(SUBSTITUTE(SUBSTITUTE('Calculations'!HF165,"~","~~"),"*","~*"),"?","~?"),'Calculations'!$HN$13:$HN$512,"="&amp;SUBSTITUTE(SUBSTITUTE(SUBSTITUTE('Dashboard'!$B$7,"~","~~"),"*","~*"),"?","~?"))+COUNTIFS('Calculations'!$HR$13:$HR$512,"="&amp;SUBSTITUTE(SUBSTITUTE(SUBSTITUTE('Calculations'!HF165,"~","~~"),"*","~*"),"?","~?"),'Calculations'!$HN$13:$HN$512,"="&amp;SUBSTITUTE(SUBSTITUTE(SUBSTITUTE('Dashboard'!$B$7,"~","~~"),"*","~*"),"?","~?"))+COUNTIFS('Calculations'!$HS$13:$HS$512,"="&amp;SUBSTITUTE(SUBSTITUTE(SUBSTITUTE('Calculations'!HF165,"~","~~"),"*","~*"),"?","~?"),'Calculations'!$HN$13:$HN$512,"="&amp;SUBSTITUTE(SUBSTITUTE(SUBSTITUTE('Dashboard'!$B$7,"~","~~"),"*","~*"),"?","~?"))+COUNTIFS('Calculations'!$HT$13:$HT$512,"="&amp;SUBSTITUTE(SUBSTITUTE(SUBSTITUTE('Calculations'!HF165,"~","~~"),"*","~*"),"?","~?"),'Calculations'!$HN$13:$HN$512,"="&amp;SUBSTITUTE(SUBSTITUTE(SUBSTITUTE('Dashboard'!$B$7,"~","~~"),"*","~*"),"?","~?"))+COUNTIFS('Calculations'!$HU$13:$HU$512,"="&amp;SUBSTITUTE(SUBSTITUTE(SUBSTITUTE('Calculations'!HF165,"~","~~"),"*","~*"),"?","~?"),'Calculations'!$HN$13:$HN$512,"="&amp;SUBSTITUTE(SUBSTITUTE(SUBSTITUTE('Dashboard'!$B$7,"~","~~"),"*","~*"),"?","~?"))+COUNTIFS('Calculations'!$HV$13:$HV$512,"="&amp;SUBSTITUTE(SUBSTITUTE(SUBSTITUTE('Calculations'!HF165,"~","~~"),"*","~*"),"?","~?"),'Calculations'!$HN$13:$HN$512,"="&amp;SUBSTITUTE(SUBSTITUTE(SUBSTITUTE('Dashboard'!$B$7,"~","~~"),"*","~*"),"?","~?"))+COUNTIFS('Calculations'!$HW$13:$HW$512,"="&amp;SUBSTITUTE(SUBSTITUTE(SUBSTITUTE('Calculations'!HF165,"~","~~"),"*","~*"),"?","~?"),'Calculations'!$HN$13:$HN$512,"="&amp;SUBSTITUTE(SUBSTITUTE(SUBSTITUTE('Dashboard'!$B$7,"~","~~"),"*","~*"),"?","~?"))+COUNTIFS('Calculations'!$HX$13:$HX$512,"="&amp;SUBSTITUTE(SUBSTITUTE(SUBSTITUTE('Calculations'!HF165,"~","~~"),"*","~*"),"?","~?"),'Calculations'!$HN$13:$HN$512,"="&amp;SUBSTITUTE(SUBSTITUTE(SUBSTITUTE('Dashboard'!$B$7,"~","~~"),"*","~*"),"?","~?"))+COUNTIFS('Calculations'!$HY$13:$HY$512,"="&amp;SUBSTITUTE(SUBSTITUTE(SUBSTITUTE('Calculations'!HF165,"~","~~"),"*","~*"),"?","~?"),'Calculations'!$HN$13:$HN$512,"="&amp;SUBSTITUTE(SUBSTITUTE(SUBSTITUTE('Dashboard'!$B$7,"~","~~"),"*","~*"),"?","~?"))+COUNTIFS('Calculations'!$HZ$13:$HZ$512,"="&amp;SUBSTITUTE(SUBSTITUTE(SUBSTITUTE('Calculations'!HF165,"~","~~"),"*","~*"),"?","~?"),'Calculations'!$HN$13:$HN$512,"="&amp;SUBSTITUTE(SUBSTITUTE(SUBSTITUTE('Dashboard'!$B$7,"~","~~"),"*","~*"),"?","~?"))+COUNTIFS('Calculations'!$IA$13:$IA$512,"="&amp;SUBSTITUTE(SUBSTITUTE(SUBSTITUTE('Calculations'!HF165,"~","~~"),"*","~*"),"?","~?"),'Calculations'!$HN$13:$HN$512,"="&amp;SUBSTITUTE(SUBSTITUTE(SUBSTITUTE('Dashboard'!$B$7,"~","~~"),"*","~*"),"?","~?"))+COUNTIFS('Calculations'!$IB$13:$IB$512,"="&amp;SUBSTITUTE(SUBSTITUTE(SUBSTITUTE('Calculations'!HF165,"~","~~"),"*","~*"),"?","~?"),'Calculations'!$HN$13:$HN$512,"="&amp;SUBSTITUTE(SUBSTITUTE(SUBSTITUTE('Dashboard'!$B$7,"~","~~"),"*","~*"),"?","~?"))+COUNTIFS('Calculations'!$IC$13:$IC$512,"="&amp;SUBSTITUTE(SUBSTITUTE(SUBSTITUTE('Calculations'!HF165,"~","~~"),"*","~*"),"?","~?"),'Calculations'!$HN$13:$HN$512,"="&amp;SUBSTITUTE(SUBSTITUTE(SUBSTITUTE('Dashboard'!$B$7,"~","~~"),"*","~*"),"?","~?"))+COUNTIFS('Calculations'!$ID$13:$ID$512,"="&amp;SUBSTITUTE(SUBSTITUTE(SUBSTITUTE('Calculations'!HF165,"~","~~"),"*","~*"),"?","~?"),'Calculations'!$HN$13:$HN$512,"="&amp;SUBSTITUTE(SUBSTITUTE(SUBSTITUTE('Dashboard'!$B$7,"~","~~"),"*","~*"),"?","~?"))+COUNTIFS('Calculations'!$IE$13:$IE$512,"="&amp;SUBSTITUTE(SUBSTITUTE(SUBSTITUTE('Calculations'!HF165,"~","~~"),"*","~*"),"?","~?"),'Calculations'!$HN$13:$HN$512,"="&amp;SUBSTITUTE(SUBSTITUTE(SUBSTITUTE('Dashboard'!$B$7,"~","~~"),"*","~*"),"?","~?"))+COUNTIFS('Calculations'!$IF$13:$IF$512,"="&amp;SUBSTITUTE(SUBSTITUTE(SUBSTITUTE('Calculations'!HF165,"~","~~"),"*","~*"),"?","~?"),'Calculations'!$HN$13:$HN$512,"="&amp;SUBSTITUTE(SUBSTITUTE(SUBSTITUTE('Dashboard'!$B$7,"~","~~"),"*","~*"),"?","~?"))+COUNTIFS('Calculations'!$IG$13:$IG$512,"="&amp;SUBSTITUTE(SUBSTITUTE(SUBSTITUTE('Calculations'!HF165,"~","~~"),"*","~*"),"?","~?"),'Calculations'!$HN$13:$HN$512,"="&amp;SUBSTITUTE(SUBSTITUTE(SUBSTITUTE('Dashboard'!$B$7,"~","~~"),"*","~*"),"?","~?"))+COUNTIFS('Calculations'!$IH$13:$IH$512,"="&amp;SUBSTITUTE(SUBSTITUTE(SUBSTITUTE('Calculations'!HF165,"~","~~"),"*","~*"),"?","~?"),'Calculations'!$HN$13:$HN$512,"="&amp;SUBSTITUTE(SUBSTITUTE(SUBSTITUTE('Dashboard'!$B$7,"~","~~"),"*","~*"),"?","~?"))))</x:f>
        <x:v>0</x:v>
      </x:c>
      <x:c r="JD165" t="n">
        <x:f>IF('Calculations'!EM165="",0,IF('Dashboard'!$B$7="All",1,IF('Calculations'!HN165='Dashboard'!$B$7,1,0)+IFERROR(INDEX('Calculations'!$JC$13:$JC$512,MATCH('Calculations'!HE165,'Calculations'!$HF$13:$HF$512,0)),0)))</x:f>
        <x:v>0</x:v>
      </x:c>
      <x:c r="JE165" t="n">
        <x:f>IF(AND('Calculations'!EM165&lt;&gt;"",'Calculations'!$JJ$2&lt;&gt;"All",'Calculations'!$JJ$2&lt;&gt;"",'Calculations'!HF165='Calculations'!$JJ$2,'Calculations'!HL165=0,'Calculations'!JD165&gt;0),MAX('Calculations'!$JE$12:JE164)+1,0)</x:f>
        <x:v>0</x:v>
      </x:c>
      <x:c r="JF165" t="str">
        <x:f>IF('Calculations'!EM165="","",IFERROR(IF(INDEX(INDIRECT("'WCM Calibration Final'!$G$1:$G$2000"),'Calculations'!$EM165)="","",TRIM(INDEX(INDIRECT("'WCM Calibration Final'!$G$1:$G$2000"),'Calculations'!$EM165)&amp;"")),""))</x:f>
      </x:c>
      <x:c r="JQ165" t="n">
        <x:f>IF(OR('Calculations'!BM165=0,NOT('Calculations'!$AG$2),'Calculations'!$AG$8&gt;0),0,IF(OR('Dashboard'!$B$7="All",'Calculations'!HN165='Dashboard'!$B$7),IF('Calculations'!$JJ$2="All",1,IF(AND('Calculations'!HF165='Calculations'!$JJ$2,'Calculations'!HL165=0),1,0)),0))</x:f>
        <x:v>0</x:v>
      </x:c>
    </x:row>
    <x:row r="166">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t="n">
        <x:f>IF('Calculations'!$EM166="",0,IF(OR(IFERROR(INDEX(INDIRECT("'WCM Calibration Final'!$A$1:$A$2000"),'Calculations'!$EM166)&lt;&gt;"",FALSE),IFERROR(INDEX(INDIRECT("'WCM Calibration Final'!$B$1:$B$2000"),'Calculations'!$EM166)&lt;&gt;"",FALSE),IFERROR(INDEX(INDIRECT("'WCM Calibration Final'!$C$1:$C$2000"),'Calculations'!$EM166)&lt;&gt;"",FALSE)),1,0))</x:f>
        <x:v>0</x:v>
      </x:c>
      <x:c r="BN166" s="4" t="n">
        <x:f>IF(AND('Calculations'!BM166=1,'Calculations'!$AG$2,'Calculations'!$EN166=1),1,0)</x:f>
        <x:v>0</x:v>
      </x:c>
      <x:c r="BO166" s="4" t="str">
        <x:f>IF('Calculations'!BM166=0,"",IFERROR(IF(AND(VALUE(INDEX(INDIRECT("'WCM Calibration Final'!$K$1:$K$2000"),'Calculations'!$EM166))&gt;=1,VALUE(INDEX(INDIRECT("'WCM Calibration Final'!$K$1:$K$2000"),'Calculations'!$EM166))&lt;=4,MOD(VALUE(INDEX(INDIRECT("'WCM Calibration Final'!$K$1:$K$2000"),'Calculations'!$EM166)),1)=0),VALUE(INDEX(INDIRECT("'WCM Calibration Final'!$K$1:$K$2000"),'Calculations'!$EM166)),""),""))</x:f>
      </x:c>
      <x:c r="BP166" s="4" t="str">
        <x:f>IF('Calculations'!BM166=0,"",IFERROR(IF(AND(VALUE(INDEX(INDIRECT("'WCM Calibration Final'!$L$1:$L$2000"),'Calculations'!$EM166))&gt;=1,VALUE(INDEX(INDIRECT("'WCM Calibration Final'!$L$1:$L$2000"),'Calculations'!$EM166))&lt;=4,MOD(VALUE(INDEX(INDIRECT("'WCM Calibration Final'!$L$1:$L$2000"),'Calculations'!$EM166)),1)=0),VALUE(INDEX(INDIRECT("'WCM Calibration Final'!$L$1:$L$2000"),'Calculations'!$EM166)),""),""))</x:f>
      </x:c>
      <x:c r="BQ166" s="4"/>
      <x:c r="BR166" s="4"/>
      <x:c r="BS166" s="4"/>
      <x:c r="BT166" s="4" t="n">
        <x:f>IF(AND('Calculations'!BM166=1,ISNUMBER('Calculations'!BO166),ISNUMBER('Calculations'!BP166)),1,0)</x:f>
        <x:v>0</x:v>
      </x:c>
      <x:c r="BU166" s="4" t="str">
        <x:f>IF('Calculations'!BM166=0,"",'Calculations'!$EO166)</x:f>
      </x:c>
      <x:c r="BV166" s="4" t="str">
        <x:f>IF('Calculations'!BM166=0,"",IFERROR(IF(OR(INDEX(INDIRECT("'WCM Calibration Final'!$H$1:$H$2000"),'Calculations'!$EM166)="MANAGING DIRECTOR",INDEX(INDIRECT("'WCM Calibration Final'!$H$1:$H$2000"),'Calculations'!$EM166)="DIRECTOR",INDEX(INDIRECT("'WCM Calibration Final'!$H$1:$H$2000"),'Calculations'!$EM166)="SENIOR VICE PRESIDENT",INDEX(INDIRECT("'WCM Calibration Final'!$H$1:$H$2000"),'Calculations'!$EM166)="VICE PRESIDENT",INDEX(INDIRECT("'WCM Calibration Final'!$H$1:$H$2000"),'Calculations'!$EM166)="ASSISTANT VICE PRESIDENT",INDEX(INDIRECT("'WCM Calibration Final'!$H$1:$H$2000"),'Calculations'!$EM166)="OFFICER"),UPPER(INDEX(INDIRECT("'WCM Calibration Final'!$H$1:$H$2000"),'Calculations'!$EM166)),"Other"),"Other"))</x:f>
      </x:c>
      <x:c r="BW166" s="4"/>
      <x:c r="BX166" s="4"/>
      <x:c r="BY166" s="4" t="n">
        <x:f>IF(AND('Calculations'!BM166=1,'Calculations'!BU166&lt;&gt;"",COUNTIF('Calculations'!$BU$12:BU166,'Calculations'!BU166)=1),MAX('Calculations'!$BY$11:BY165)+1,0)</x:f>
        <x:v>0</x:v>
      </x:c>
      <x:c r="BZ166" s="4" t="str">
        <x:f>IF('Dashboard'!$E$67="What",'Calculations'!BO166,'Calculations'!BP166)</x:f>
      </x:c>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t="str">
        <x:f>IF(155&gt;MAX('Calculations'!$HI$13:$HI$512),"",INDEX('Calculations'!$HN$13:$HN$512,MATCH(155,'Calculations'!$HI$13:$HI$512,0)))</x:f>
      </x:c>
      <x:c r="DB166" s="4" t="str">
        <x:f>IF(155&gt;MAX('Calculations'!$HH$13:$HH$512),"",INDEX('Calculations'!$HJ$13:$HJ$512,MATCH(155,'Calculations'!$HH$13:$HH$512,0)))</x:f>
      </x:c>
      <x:c r="DC166" s="4" t="str">
        <x:f>IF(ROW()-11&gt;MAX('Calculations'!$BY$13:$BY$512),"",INDEX('Calculations'!$BU$13:$BU$512,MATCH(ROW()-11,'Calculations'!$BY$13:$BY$512,0)))</x:f>
      </x:c>
      <x:c r="DD166" s="4" t="str">
        <x:f>IF(155&gt;MAX('Calculations'!$IK$13:$IK$512),"",INDEX('Calculations'!$HK$13:$HK$512,MATCH(155,'Calculations'!$IK$13:$IK$512,0)))</x:f>
      </x:c>
      <x:c r="DE166" s="4" t="str">
        <x:f>'Calculations'!DC166</x:f>
      </x:c>
      <x:c r="DF166" s="4" t="str">
        <x:f>IF('Calculations'!DE166="","",COUNTIFS('Calculations'!$BN$13:$BN$512,1,'Calculations'!$BU$13:$BU$512,'Calculations'!DE166))</x:f>
      </x:c>
      <x:c r="DG166" s="4" t="str">
        <x:f>IF('Calculations'!DE166="","",COUNTIFS('Calculations'!$BN$13:$BN$512,1,'Calculations'!$BU$13:$BU$512,'Calculations'!DE166,'Calculations'!$BT$13:$BT$512,1))</x:f>
      </x:c>
      <x:c r="DH166" s="4" t="str">
        <x:f>IF('Calculations'!DE166="","",'Calculations'!DF166-'Calculations'!DG166)</x:f>
      </x:c>
      <x:c r="DI166" s="4" t="str">
        <x:f>IF(OR('Calculations'!DE166="",'Calculations'!DF166=0),"",'Calculations'!DG166/'Calculations'!DF166)</x:f>
      </x:c>
      <x:c r="DJ166" s="4" t="str">
        <x:f>IF('Calculations'!DE166="","",COUNTIFS('Calculations'!$BN$13:$BN$512,1,'Calculations'!$BU$13:$BU$512,'Calculations'!DE166,'Calculations'!$BT$13:$BT$512,1,'Calculations'!$EE$13:$EE$512,"High"))</x:f>
      </x:c>
      <x:c r="DK166" s="4" t="str">
        <x:f>IF('Calculations'!DE166="","",COUNTIFS('Calculations'!$BN$13:$BN$512,1,'Calculations'!$BU$13:$BU$512,'Calculations'!DE166,'Calculations'!$BT$13:$BT$512,1,'Calculations'!$EE$13:$EE$512,"Strong"))</x:f>
      </x:c>
      <x:c r="DL166" s="4" t="str">
        <x:f>IF('Calculations'!DE166="","",COUNTIFS('Calculations'!$BN$13:$BN$512,1,'Calculations'!$BU$13:$BU$512,'Calculations'!DE166,'Calculations'!$BT$13:$BT$512,1,'Calculations'!$EE$13:$EE$512,"Solid"))</x:f>
      </x:c>
      <x:c r="DM166" s="4" t="str">
        <x:f>IF('Calculations'!DE166="","",COUNTIFS('Calculations'!$BN$13:$BN$512,1,'Calculations'!$BU$13:$BU$512,'Calculations'!DE166,'Calculations'!$BT$13:$BT$512,1,'Calculations'!$EE$13:$EE$512,"Low"))</x:f>
      </x:c>
      <x:c r="DN166" s="4" t="str">
        <x:f>IF('Calculations'!DE166="","",COUNTIFS('Calculations'!$BN$13:$BN$512,1,'Calculations'!$BU$13:$BU$512,'Calculations'!DE166,'Calculations'!$EP$13:$EP$512,1))</x:f>
      </x:c>
      <x:c r="DO166" s="4" t="str">
        <x:f>IF(OR('Calculations'!DE166="",'Calculations'!DG166=0),"",('Calculations'!DJ166+'Calculations'!DK166)/'Calculations'!DG166)</x:f>
      </x:c>
      <x:c r="DP166" s="4" t="n">
        <x:f>IF(AND('Calculations'!DE166&lt;&gt;"",'Calculations'!DF166&gt;0),COUNTIF('Calculations'!$DF$12:DF166,"&gt;0"),0)</x:f>
        <x:v>0</x:v>
      </x:c>
      <x:c r="DQ166" s="4" t="str">
        <x:f>IF(155&gt;MAX('Calculations'!$HH$13:$HH$512),"",INDEX('Calculations'!$HF$13:$HF$512,MATCH(155,'Calculations'!$HH$13:$HH$512,0)))</x:f>
      </x:c>
      <x:c r="DR166" s="4" t="str">
        <x:f>IF(155&gt;MAX('Calculations'!$IK$13:$IK$512),"",INDEX('Calculations'!$HE$13:$HE$512,MATCH(155,'Calculations'!$IK$13:$IK$512,0)))</x:f>
      </x:c>
      <x:c r="DS166" s="4"/>
      <x:c r="DT166" s="4"/>
      <x:c r="DU166" s="4"/>
      <x:c r="DV166" s="4"/>
      <x:c r="DW166" s="4"/>
      <x:c r="DX166" s="4"/>
      <x:c r="DY166" s="4"/>
      <x:c r="DZ166" s="4"/>
      <x:c r="EA166" s="4"/>
      <x:c r="EB166" s="4"/>
      <x:c r="EC166" s="4"/>
      <x:c r="ED166" s="4"/>
      <x:c r="EE166" s="4" t="str">
        <x:f>IF('Calculations'!BT166=0,"Not Rated",IF(OR('Calculations'!BO166&gt;=4,'Calculations'!BP166&gt;=4),"Low",IF('Calculations'!BO166+'Calculations'!BP166&lt;=3,"High",IF('Calculations'!BO166+'Calculations'!BP166&lt;=4,"Strong","Solid"))))</x:f>
        <x:v>Not Rated</x:v>
      </x:c>
      <x:c r="EF166" s="4"/>
      <x:c r="EG166" s="4"/>
      <x:c r="EH166" s="4"/>
      <x:c r="EI166" s="4"/>
      <x:c r="EJ166" s="4"/>
      <x:c r="EK166" s="4"/>
      <x:c r="EL166" s="4"/>
      <x:c r="EM166" s="4" t="str">
        <x:f>IF(154&gt;'Calculations'!$JB$2000,"",INDEX('Calculations'!$JA$12:$JA$2000,MATCH(154,'Calculations'!$JB$12:$JB$2000,0)))</x:f>
      </x:c>
      <x:c r="EN166" s="4" t="n">
        <x:f>IF(OR('Calculations'!EM166="",'Calculations'!$AG$8&gt;0,AND('Calculations'!$EF$2&lt;&gt;"All",'Calculations'!HE166='Calculations'!$EF$2),AND('Calculations'!$EF$3&lt;&gt;"All",'Calculations'!HE166='Calculations'!$EF$3)),0,IF(OR('Dashboard'!$B$7="All",'Calculations'!HN166='Dashboard'!$B$7),IF('Calculations'!$EF$2="All",1,IF('Calculations'!HL166&gt;0,0,IF(COUNTIF('Calculations'!HO166:II166,"="&amp;SUBSTITUTE(SUBSTITUTE(SUBSTITUTE('Calculations'!$EF$2,"~","~~"),"*","~*"),"?","~?"))=0,0,IF('Calculations'!$EF$3="All",1,IF(COUNTIF('Calculations'!HO166:II166,"="&amp;SUBSTITUTE(SUBSTITUTE(SUBSTITUTE('Calculations'!$EF$3,"~","~~"),"*","~*"),"?","~?"))&gt;0,1,0))))),0))</x:f>
        <x:v>0</x:v>
      </x:c>
      <x:c r="EO166" s="4" t="str">
        <x:f>IF('Calculations'!IJ166="","",IF('Calculations'!IJ166="!UNRESOLVED","Unresolved hierarchy",IFERROR(INDEX('Calculations'!$HK$13:$HK$512,MATCH('Calculations'!IJ166,'Calculations'!$HE$13:$HE$512,0)),IFERROR(INDEX('Calculations'!$HJ$13:$HJ$512,MATCH('Calculations'!IJ166,'Calculations'!$HF$13:$HF$512,0)),'Calculations'!IJ166))))</x:f>
      </x:c>
      <x:c r="EP166" s="4" t="n">
        <x:f>IF(AND('Calculations'!EM166&lt;&gt;"",'Calculations'!HF166='Calculations'!IJ166),1,0)</x:f>
        <x:v>0</x:v>
      </x:c>
      <x:c r="EQ166" s="4"/>
      <x:c r="ER166" s="4"/>
      <x:c r="ES166" s="4"/>
      <x:c r="ET166" s="4"/>
      <x:c r="EU166" s="4"/>
      <x:c r="EV166" s="4"/>
      <x:c r="EW166" s="4"/>
      <x:c r="EX166" s="4"/>
      <x:c r="EY166" s="4"/>
      <x:c r="EZ166" s="4"/>
      <x:c r="FA166" s="4"/>
      <x:c r="FB166" s="4"/>
      <x:c r="FC166" s="4"/>
      <x:c r="FD166" s="4"/>
      <x:c r="FE166" s="4"/>
      <x:c r="FF166" s="4"/>
      <x:c r="FG166" s="4"/>
      <x:c r="FH166" s="4"/>
      <x:c r="FI166" s="4"/>
      <x:c r="FJ166" s="4"/>
      <x:c r="FK166" s="4"/>
      <x:c r="FL166" s="4"/>
      <x:c r="FM166" s="4"/>
      <x:c r="FN166" s="4"/>
      <x:c r="FO166" s="4"/>
      <x:c r="GA166" s="71"/>
      <x:c r="GB166" s="71"/>
      <x:c r="GC166" s="71"/>
      <x:c r="GD166" s="71"/>
      <x:c r="GE166" s="71"/>
      <x:c r="GF166" s="71"/>
      <x:c r="GG166" s="71"/>
      <x:c r="GH166" s="71"/>
      <x:c r="GI166" s="71"/>
      <x:c r="GJ166" s="71"/>
      <x:c r="GK166" s="71"/>
      <x:c r="GL166" s="71" t="n">
        <x:f>COUNTIFS('Calculations'!$JQ$13:$JQ$512,1,'Calculations'!$BP$13:$BP$512,4)</x:f>
        <x:v>0</x:v>
      </x:c>
      <x:c r="GM166" s="71"/>
      <x:c r="GN166" s="71"/>
      <x:c r="GO166" s="71" t="str">
        <x:f>IF(SUM('Calculations'!$GL$163:$GL$166)=0,"",'Calculations'!GL166/SUM('Calculations'!$GL$163:$GL$166))</x:f>
      </x:c>
      <x:c r="GP166" s="71"/>
      <x:c r="GQ166" s="71"/>
      <x:c r="GR166" s="71" t="n">
        <x:f>IF(COUNT('Dashboard'!T144)=0,"",IF(AND('Dashboard'!T144&gt;=0,'Dashboard'!T144&lt;=1),'Dashboard'!T144,""))</x:f>
        <x:v>0.07</x:v>
      </x:c>
      <x:c r="GS166" s="71"/>
      <x:c r="GT166" s="71"/>
      <x:c r="GU166" s="71" t="str">
        <x:f>IF(COUNT('Calculations'!GO166,'Calculations'!GR166)&lt;2,"",100*('Calculations'!GO166-'Calculations'!GR166))</x:f>
      </x:c>
      <x:c r="GV166" s="71"/>
      <x:c r="GW166" s="71"/>
      <x:c r="GX166" s="71" t="str">
        <x:f>IF(NOT('Calculations'!$AG$2),"Source unavailable",IF('Calculations'!$AG$8&gt;0,"Check filters",IF(COUNT('Calculations'!GO166)=0,"No ratings",IF(COUNT('Calculations'!GR166)=0,"No threshold",IF('Calculations'!GO166&gt;'Calculations'!GR166,"Above threshold","Within threshold")))))</x:f>
        <x:v>Source unavailable</x:v>
      </x:c>
      <x:c r="GY166" s="71"/>
      <x:c r="GZ166" s="71"/>
      <x:c r="HA166" s="71"/>
      <x:c r="HB166" s="71"/>
      <x:c r="HC166" s="71"/>
      <x:c r="HD166" s="71"/>
      <x:c r="HE166" t="str">
        <x:f>IF('Calculations'!EM166="","",IF(IFERROR(IF(INDEX(INDIRECT("'WCM Calibration Final'!$A$1:$A$2000"),'Calculations'!$EM166)="","",TRIM(INDEX(INDIRECT("'WCM Calibration Final'!$A$1:$A$2000"),'Calculations'!$EM166)&amp;"")),"")&lt;&gt;"","G:"&amp;IFERROR(TEXT(1*INDEX(INDIRECT("'WCM Calibration Final'!$A$1:$A$2000"),'Calculations'!$EM166),"0"),UPPER(IFERROR(IF(INDEX(INDIRECT("'WCM Calibration Final'!$A$1:$A$2000"),'Calculations'!$EM166)="","",TRIM(INDEX(INDIRECT("'WCM Calibration Final'!$A$1:$A$2000"),'Calculations'!$EM166)&amp;"")),""))),IF(IFERROR(IF(INDEX(INDIRECT("'WCM Calibration Final'!$C$1:$C$2000"),'Calculations'!$EM166)="","",TRIM(INDEX(INDIRECT("'WCM Calibration Final'!$C$1:$C$2000"),'Calculations'!$EM166)&amp;"")),"")&lt;&gt;"","S:"&amp;UPPER(IFERROR(IF(INDEX(INDIRECT("'WCM Calibration Final'!$C$1:$C$2000"),'Calculations'!$EM166)="","",TRIM(INDEX(INDIRECT("'WCM Calibration Final'!$C$1:$C$2000"),'Calculations'!$EM166)&amp;"")),"")),"R:"&amp;'Calculations'!EM166)))</x:f>
      </x:c>
      <x:c r="HF166" t="str">
        <x:f>IF('Calculations'!EM166="","",IF(IFERROR(IF(INDEX(INDIRECT("'WCM Calibration Final'!$D$1:$D$2000"),'Calculations'!$EM166)="","",TRIM(INDEX(INDIRECT("'WCM Calibration Final'!$D$1:$D$2000"),'Calculations'!$EM166)&amp;"")),"")&lt;&gt;"","G:"&amp;IFERROR(TEXT(1*INDEX(INDIRECT("'WCM Calibration Final'!$D$1:$D$2000"),'Calculations'!$EM166),"0"),UPPER(IFERROR(IF(INDEX(INDIRECT("'WCM Calibration Final'!$D$1:$D$2000"),'Calculations'!$EM166)="","",TRIM(INDEX(INDIRECT("'WCM Calibration Final'!$D$1:$D$2000"),'Calculations'!$EM166)&amp;"")),""))),IF(IFERROR(IF(INDEX(INDIRECT("'WCM Calibration Final'!$E$1:$E$2000"),'Calculations'!$EM166)="","",TRIM(INDEX(INDIRECT("'WCM Calibration Final'!$E$1:$E$2000"),'Calculations'!$EM166)&amp;"")),"")="","",IF(COUNTIF('Calculations'!$HG$13:$HG$512,"="&amp;SUBSTITUTE(SUBSTITUTE(SUBSTITUTE(IFERROR(IF(INDEX(INDIRECT("'WCM Calibration Final'!$E$1:$E$2000"),'Calculations'!$EM166)="","",TRIM(INDEX(INDIRECT("'WCM Calibration Final'!$E$1:$E$2000"),'Calculations'!$EM166)&amp;"")),""),"~","~~"),"*","~*"),"?","~?"))=1,INDEX('Calculations'!$HE$13:$HE$512,MATCH(IFERROR(IF(INDEX(INDIRECT("'WCM Calibration Final'!$E$1:$E$2000"),'Calculations'!$EM166)="","",TRIM(INDEX(INDIRECT("'WCM Calibration Final'!$E$1:$E$2000"),'Calculations'!$EM166)&amp;"")),""),'Calculations'!$HG$13:$HG$512,0)),IF(COUNTIF('Calculations'!$HG$13:$HG$512,"="&amp;SUBSTITUTE(SUBSTITUTE(SUBSTITUTE(IFERROR(IF(INDEX(INDIRECT("'WCM Calibration Final'!$E$1:$E$2000"),'Calculations'!$EM166)="","",TRIM(INDEX(INDIRECT("'WCM Calibration Final'!$E$1:$E$2000"),'Calculations'!$EM166)&amp;"")),""),"~","~~"),"*","~*"),"?","~?"))&gt;1,"!AMBIG","X:"&amp;IFERROR(IF(INDEX(INDIRECT("'WCM Calibration Final'!$E$1:$E$2000"),'Calculations'!$EM166)="","",TRIM(INDEX(INDIRECT("'WCM Calibration Final'!$E$1:$E$2000"),'Calculations'!$EM166)&amp;"")),""))))))</x:f>
      </x:c>
      <x:c r="HG166" t="str">
        <x:f>IF('Calculations'!EM166="","",IFERROR(IF(INDEX(INDIRECT("'WCM Calibration Final'!$B$1:$B$2000"),'Calculations'!$EM166)="","",TRIM(INDEX(INDIRECT("'WCM Calibration Final'!$B$1:$B$2000"),'Calculations'!$EM166)&amp;"")),""))</x:f>
      </x:c>
      <x:c r="HH166" t="n">
        <x:f>IF(AND('Calculations'!JC166&gt;0,COUNTIF('Calculations'!$HF$12:HF166,"="&amp;SUBSTITUTE(SUBSTITUTE(SUBSTITUTE('Calculations'!HF166,"~","~~"),"*","~*"),"?","~?"))=1),MAX('Calculations'!$HH$12:HH165)+1,0)</x:f>
        <x:v>0</x:v>
      </x:c>
      <x:c r="HI166" t="n">
        <x:f>IF(AND('Calculations'!HN166&lt;&gt;"",COUNTIF('Calculations'!$HN$12:HN166,"="&amp;SUBSTITUTE(SUBSTITUTE(SUBSTITUTE('Calculations'!HN166,"~","~~"),"*","~*"),"?","~?"))=1),MAX('Calculations'!$HI$12:HI165)+1,0)</x:f>
        <x:v>0</x:v>
      </x:c>
      <x:c r="HJ166" t="str">
        <x:f>IF('Calculations'!HF166="","",IF(COUNTIF('Calculations'!$HE$13:$HE$512,"="&amp;SUBSTITUTE(SUBSTITUTE(SUBSTITUTE('Calculations'!HF166,"~","~~"),"*","~*"),"?","~?"))=1,INDEX('Calculations'!$HK$13:$HK$512,MATCH('Calculations'!HF166,'Calculations'!$HE$13:$HE$512,0)),IFERROR(IF(INDEX(INDIRECT("'WCM Calibration Final'!$E$1:$E$2000"),'Calculations'!$EM166)="","",TRIM(INDEX(INDIRECT("'WCM Calibration Final'!$E$1:$E$2000"),'Calculations'!$EM166)&amp;"")),"")&amp;" ["&amp;'Calculations'!HF166&amp;"]"))</x:f>
      </x:c>
      <x:c r="HK166" t="str">
        <x:f>IF('Calculations'!EM166="","",'Calculations'!HG166&amp;" ["&amp;'Calculations'!HE166&amp;"]")</x:f>
      </x:c>
      <x:c r="HL166" t="n">
        <x:f>IF('Calculations'!EM166="",0,IF(OR('Calculations'!II166&lt;&gt;"",COUNTIF('Calculations'!$HE$13:$HE$512,"="&amp;SUBSTITUTE(SUBSTITUTE(SUBSTITUTE('Calculations'!HE166,"~","~~"),"*","~*"),"?","~?"))&gt;1),1,0))</x:f>
        <x:v>0</x:v>
      </x:c>
      <x:c r="HM166" t="str">
        <x:f>IF('Calculations'!EM166="","",IF('Calculations'!HL166=1,"!UNRESOLVED",IF('Calculations'!IH166&lt;&gt;"",'Calculations'!IH166,IF('Calculations'!IG166&lt;&gt;"",'Calculations'!IG166,IF('Calculations'!IF166&lt;&gt;"",'Calculations'!IF166,IF('Calculations'!IE166&lt;&gt;"",'Calculations'!IE166,IF('Calculations'!ID166&lt;&gt;"",'Calculations'!ID166,IF('Calculations'!IC166&lt;&gt;"",'Calculations'!IC166,IF('Calculations'!IB166&lt;&gt;"",'Calculations'!IB166,IF('Calculations'!IA166&lt;&gt;"",'Calculations'!IA166,IF('Calculations'!HZ166&lt;&gt;"",'Calculations'!HZ166,IF('Calculations'!HY166&lt;&gt;"",'Calculations'!HY166,IF('Calculations'!HX166&lt;&gt;"",'Calculations'!HX166,IF('Calculations'!HW166&lt;&gt;"",'Calculations'!HW166,IF('Calculations'!HV166&lt;&gt;"",'Calculations'!HV166,IF('Calculations'!HU166&lt;&gt;"",'Calculations'!HU166,IF('Calculations'!HT166&lt;&gt;"",'Calculations'!HT166,IF('Calculations'!HS166&lt;&gt;"",'Calculations'!HS166,IF('Calculations'!HR166&lt;&gt;"",'Calculations'!HR166,IF('Calculations'!HQ166&lt;&gt;"",'Calculations'!HQ166,IF('Calculations'!HP166&lt;&gt;"",'Calculations'!HP166,IF('Calculations'!HO166&lt;&gt;"",'Calculations'!HO166,'Calculations'!HE166))))))))))))))))))))))</x:f>
      </x:c>
      <x:c r="HN166" t="str">
        <x:f>IF('Calculations'!EM166="","",IF(IFERROR(IF(INDEX(INDIRECT("'WCM Calibration Final'!$F$1:$F$2000"),'Calculations'!$EM166)="","",TRIM(INDEX(INDIRECT("'WCM Calibration Final'!$F$1:$F$2000"),'Calculations'!$EM166)&amp;"")),"")="","(Blank)",IFERROR(IF(INDEX(INDIRECT("'WCM Calibration Final'!$F$1:$F$2000"),'Calculations'!$EM166)="","",TRIM(INDEX(INDIRECT("'WCM Calibration Final'!$F$1:$F$2000"),'Calculations'!$EM166)&amp;"")),"")))</x:f>
      </x:c>
      <x:c r="HO166" t="str">
        <x:f>'Calculations'!HF166</x:f>
      </x:c>
      <x:c r="HP166" t="str">
        <x:f>IF('Calculations'!HO166="","",IF('Calculations'!HO166="!AMBIG","!AMBIG",IF(COUNTIF('Calculations'!$HE$13:$HE$512,"="&amp;SUBSTITUTE(SUBSTITUTE(SUBSTITUTE('Calculations'!HO166,"~","~~"),"*","~*"),"?","~?"))&gt;1,"!AMBIG",IFERROR(INDEX('Calculations'!$HF$13:$HF$512,MATCH('Calculations'!HO166,'Calculations'!$HE$13:$HE$512,0)),""))))</x:f>
      </x:c>
      <x:c r="HQ166" t="str">
        <x:f>IF('Calculations'!HP166="","",IF('Calculations'!HP166="!AMBIG","!AMBIG",IF(COUNTIF('Calculations'!$HE$13:$HE$512,"="&amp;SUBSTITUTE(SUBSTITUTE(SUBSTITUTE('Calculations'!HP166,"~","~~"),"*","~*"),"?","~?"))&gt;1,"!AMBIG",IFERROR(INDEX('Calculations'!$HF$13:$HF$512,MATCH('Calculations'!HP166,'Calculations'!$HE$13:$HE$512,0)),""))))</x:f>
      </x:c>
      <x:c r="HR166" t="str">
        <x:f>IF('Calculations'!HQ166="","",IF('Calculations'!HQ166="!AMBIG","!AMBIG",IF(COUNTIF('Calculations'!$HE$13:$HE$512,"="&amp;SUBSTITUTE(SUBSTITUTE(SUBSTITUTE('Calculations'!HQ166,"~","~~"),"*","~*"),"?","~?"))&gt;1,"!AMBIG",IFERROR(INDEX('Calculations'!$HF$13:$HF$512,MATCH('Calculations'!HQ166,'Calculations'!$HE$13:$HE$512,0)),""))))</x:f>
      </x:c>
      <x:c r="HS166" t="str">
        <x:f>IF('Calculations'!HR166="","",IF('Calculations'!HR166="!AMBIG","!AMBIG",IF(COUNTIF('Calculations'!$HE$13:$HE$512,"="&amp;SUBSTITUTE(SUBSTITUTE(SUBSTITUTE('Calculations'!HR166,"~","~~"),"*","~*"),"?","~?"))&gt;1,"!AMBIG",IFERROR(INDEX('Calculations'!$HF$13:$HF$512,MATCH('Calculations'!HR166,'Calculations'!$HE$13:$HE$512,0)),""))))</x:f>
      </x:c>
      <x:c r="HT166" t="str">
        <x:f>IF('Calculations'!HS166="","",IF('Calculations'!HS166="!AMBIG","!AMBIG",IF(COUNTIF('Calculations'!$HE$13:$HE$512,"="&amp;SUBSTITUTE(SUBSTITUTE(SUBSTITUTE('Calculations'!HS166,"~","~~"),"*","~*"),"?","~?"))&gt;1,"!AMBIG",IFERROR(INDEX('Calculations'!$HF$13:$HF$512,MATCH('Calculations'!HS166,'Calculations'!$HE$13:$HE$512,0)),""))))</x:f>
      </x:c>
      <x:c r="HU166" t="str">
        <x:f>IF('Calculations'!HT166="","",IF('Calculations'!HT166="!AMBIG","!AMBIG",IF(COUNTIF('Calculations'!$HE$13:$HE$512,"="&amp;SUBSTITUTE(SUBSTITUTE(SUBSTITUTE('Calculations'!HT166,"~","~~"),"*","~*"),"?","~?"))&gt;1,"!AMBIG",IFERROR(INDEX('Calculations'!$HF$13:$HF$512,MATCH('Calculations'!HT166,'Calculations'!$HE$13:$HE$512,0)),""))))</x:f>
      </x:c>
      <x:c r="HV166" t="str">
        <x:f>IF('Calculations'!HU166="","",IF('Calculations'!HU166="!AMBIG","!AMBIG",IF(COUNTIF('Calculations'!$HE$13:$HE$512,"="&amp;SUBSTITUTE(SUBSTITUTE(SUBSTITUTE('Calculations'!HU166,"~","~~"),"*","~*"),"?","~?"))&gt;1,"!AMBIG",IFERROR(INDEX('Calculations'!$HF$13:$HF$512,MATCH('Calculations'!HU166,'Calculations'!$HE$13:$HE$512,0)),""))))</x:f>
      </x:c>
      <x:c r="HW166" t="str">
        <x:f>IF('Calculations'!HV166="","",IF('Calculations'!HV166="!AMBIG","!AMBIG",IF(COUNTIF('Calculations'!$HE$13:$HE$512,"="&amp;SUBSTITUTE(SUBSTITUTE(SUBSTITUTE('Calculations'!HV166,"~","~~"),"*","~*"),"?","~?"))&gt;1,"!AMBIG",IFERROR(INDEX('Calculations'!$HF$13:$HF$512,MATCH('Calculations'!HV166,'Calculations'!$HE$13:$HE$512,0)),""))))</x:f>
      </x:c>
      <x:c r="HX166" t="str">
        <x:f>IF('Calculations'!HW166="","",IF('Calculations'!HW166="!AMBIG","!AMBIG",IF(COUNTIF('Calculations'!$HE$13:$HE$512,"="&amp;SUBSTITUTE(SUBSTITUTE(SUBSTITUTE('Calculations'!HW166,"~","~~"),"*","~*"),"?","~?"))&gt;1,"!AMBIG",IFERROR(INDEX('Calculations'!$HF$13:$HF$512,MATCH('Calculations'!HW166,'Calculations'!$HE$13:$HE$512,0)),""))))</x:f>
      </x:c>
      <x:c r="HY166" t="str">
        <x:f>IF('Calculations'!HX166="","",IF('Calculations'!HX166="!AMBIG","!AMBIG",IF(COUNTIF('Calculations'!$HE$13:$HE$512,"="&amp;SUBSTITUTE(SUBSTITUTE(SUBSTITUTE('Calculations'!HX166,"~","~~"),"*","~*"),"?","~?"))&gt;1,"!AMBIG",IFERROR(INDEX('Calculations'!$HF$13:$HF$512,MATCH('Calculations'!HX166,'Calculations'!$HE$13:$HE$512,0)),""))))</x:f>
      </x:c>
      <x:c r="HZ166" t="str">
        <x:f>IF('Calculations'!HY166="","",IF('Calculations'!HY166="!AMBIG","!AMBIG",IF(COUNTIF('Calculations'!$HE$13:$HE$512,"="&amp;SUBSTITUTE(SUBSTITUTE(SUBSTITUTE('Calculations'!HY166,"~","~~"),"*","~*"),"?","~?"))&gt;1,"!AMBIG",IFERROR(INDEX('Calculations'!$HF$13:$HF$512,MATCH('Calculations'!HY166,'Calculations'!$HE$13:$HE$512,0)),""))))</x:f>
      </x:c>
      <x:c r="IA166" t="str">
        <x:f>IF('Calculations'!HZ166="","",IF('Calculations'!HZ166="!AMBIG","!AMBIG",IF(COUNTIF('Calculations'!$HE$13:$HE$512,"="&amp;SUBSTITUTE(SUBSTITUTE(SUBSTITUTE('Calculations'!HZ166,"~","~~"),"*","~*"),"?","~?"))&gt;1,"!AMBIG",IFERROR(INDEX('Calculations'!$HF$13:$HF$512,MATCH('Calculations'!HZ166,'Calculations'!$HE$13:$HE$512,0)),""))))</x:f>
      </x:c>
      <x:c r="IB166" t="str">
        <x:f>IF('Calculations'!IA166="","",IF('Calculations'!IA166="!AMBIG","!AMBIG",IF(COUNTIF('Calculations'!$HE$13:$HE$512,"="&amp;SUBSTITUTE(SUBSTITUTE(SUBSTITUTE('Calculations'!IA166,"~","~~"),"*","~*"),"?","~?"))&gt;1,"!AMBIG",IFERROR(INDEX('Calculations'!$HF$13:$HF$512,MATCH('Calculations'!IA166,'Calculations'!$HE$13:$HE$512,0)),""))))</x:f>
      </x:c>
      <x:c r="IC166" t="str">
        <x:f>IF('Calculations'!IB166="","",IF('Calculations'!IB166="!AMBIG","!AMBIG",IF(COUNTIF('Calculations'!$HE$13:$HE$512,"="&amp;SUBSTITUTE(SUBSTITUTE(SUBSTITUTE('Calculations'!IB166,"~","~~"),"*","~*"),"?","~?"))&gt;1,"!AMBIG",IFERROR(INDEX('Calculations'!$HF$13:$HF$512,MATCH('Calculations'!IB166,'Calculations'!$HE$13:$HE$512,0)),""))))</x:f>
      </x:c>
      <x:c r="ID166" t="str">
        <x:f>IF('Calculations'!IC166="","",IF('Calculations'!IC166="!AMBIG","!AMBIG",IF(COUNTIF('Calculations'!$HE$13:$HE$512,"="&amp;SUBSTITUTE(SUBSTITUTE(SUBSTITUTE('Calculations'!IC166,"~","~~"),"*","~*"),"?","~?"))&gt;1,"!AMBIG",IFERROR(INDEX('Calculations'!$HF$13:$HF$512,MATCH('Calculations'!IC166,'Calculations'!$HE$13:$HE$512,0)),""))))</x:f>
      </x:c>
      <x:c r="IE166" t="str">
        <x:f>IF('Calculations'!ID166="","",IF('Calculations'!ID166="!AMBIG","!AMBIG",IF(COUNTIF('Calculations'!$HE$13:$HE$512,"="&amp;SUBSTITUTE(SUBSTITUTE(SUBSTITUTE('Calculations'!ID166,"~","~~"),"*","~*"),"?","~?"))&gt;1,"!AMBIG",IFERROR(INDEX('Calculations'!$HF$13:$HF$512,MATCH('Calculations'!ID166,'Calculations'!$HE$13:$HE$512,0)),""))))</x:f>
      </x:c>
      <x:c r="IF166" t="str">
        <x:f>IF('Calculations'!IE166="","",IF('Calculations'!IE166="!AMBIG","!AMBIG",IF(COUNTIF('Calculations'!$HE$13:$HE$512,"="&amp;SUBSTITUTE(SUBSTITUTE(SUBSTITUTE('Calculations'!IE166,"~","~~"),"*","~*"),"?","~?"))&gt;1,"!AMBIG",IFERROR(INDEX('Calculations'!$HF$13:$HF$512,MATCH('Calculations'!IE166,'Calculations'!$HE$13:$HE$512,0)),""))))</x:f>
      </x:c>
      <x:c r="IG166" t="str">
        <x:f>IF('Calculations'!IF166="","",IF('Calculations'!IF166="!AMBIG","!AMBIG",IF(COUNTIF('Calculations'!$HE$13:$HE$512,"="&amp;SUBSTITUTE(SUBSTITUTE(SUBSTITUTE('Calculations'!IF166,"~","~~"),"*","~*"),"?","~?"))&gt;1,"!AMBIG",IFERROR(INDEX('Calculations'!$HF$13:$HF$512,MATCH('Calculations'!IF166,'Calculations'!$HE$13:$HE$512,0)),""))))</x:f>
      </x:c>
      <x:c r="IH166" t="str">
        <x:f>IF('Calculations'!IG166="","",IF('Calculations'!IG166="!AMBIG","!AMBIG",IF(COUNTIF('Calculations'!$HE$13:$HE$512,"="&amp;SUBSTITUTE(SUBSTITUTE(SUBSTITUTE('Calculations'!IG166,"~","~~"),"*","~*"),"?","~?"))&gt;1,"!AMBIG",IFERROR(INDEX('Calculations'!$HF$13:$HF$512,MATCH('Calculations'!IG166,'Calculations'!$HE$13:$HE$512,0)),""))))</x:f>
      </x:c>
      <x:c r="II166" t="str">
        <x:f>IF('Calculations'!IH166="","",IF('Calculations'!IH166="!AMBIG","!AMBIG",IF(COUNTIF('Calculations'!$HE$13:$HE$512,"="&amp;SUBSTITUTE(SUBSTITUTE(SUBSTITUTE('Calculations'!IH166,"~","~~"),"*","~*"),"?","~?"))&gt;1,"!AMBIG",IFERROR(INDEX('Calculations'!$HF$13:$HF$512,MATCH('Calculations'!IH166,'Calculations'!$HE$13:$HE$512,0)),""))))</x:f>
      </x:c>
      <x:c r="IJ166" t="str">
        <x:f>IF('Calculations'!EM166="","",IF('Calculations'!$EF$2="All",'Calculations'!HM166,IF('Calculations'!HL166=1,"",IFERROR(IF(MATCH('Calculations'!$EF$2,'Calculations'!HO166:II166,0)=1,'Calculations'!HE166,INDEX('Calculations'!HO166:II166,1,MATCH('Calculations'!$EF$2,'Calculations'!HO166:II166,0)-1)),""))))</x:f>
      </x:c>
      <x:c r="IK166" t="n">
        <x:f>IF(AND('Calculations'!EM166&lt;&gt;"",'Calculations'!$EF$2&lt;&gt;"All",'Calculations'!HF166='Calculations'!$EF$2,'Calculations'!HL166=0,'Calculations'!JD166&gt;0),MAX('Calculations'!$IK$12:IK165)+1,0)</x:f>
        <x:v>0</x:v>
      </x:c>
      <x:c r="JA166" t="n">
        <x:f>IF(OR(IFERROR(INDIRECT("'WCM Calibration Final'!$A$166")&lt;&gt;"",FALSE),IFERROR(INDIRECT("'WCM Calibration Final'!$B$166")&lt;&gt;"",FALSE),IFERROR(INDIRECT("'WCM Calibration Final'!$C$166")&lt;&gt;"",FALSE)),166,0)</x:f>
        <x:v>0</x:v>
      </x:c>
      <x:c r="JB166" t="n">
        <x:f>'Calculations'!JB165+IF('Calculations'!JA166&gt;0,1,0)</x:f>
        <x:v>0</x:v>
      </x:c>
      <x:c r="JC166" t="n">
        <x:f>IF(OR('Calculations'!HF166="",'Calculations'!HF166="!AMBIG"),0,IF('Dashboard'!$B$7="All",1,COUNTIFS('Calculations'!$HO$13:$HO$512,"="&amp;SUBSTITUTE(SUBSTITUTE(SUBSTITUTE('Calculations'!HF166,"~","~~"),"*","~*"),"?","~?"),'Calculations'!$HN$13:$HN$512,"="&amp;SUBSTITUTE(SUBSTITUTE(SUBSTITUTE('Dashboard'!$B$7,"~","~~"),"*","~*"),"?","~?"))+COUNTIFS('Calculations'!$HP$13:$HP$512,"="&amp;SUBSTITUTE(SUBSTITUTE(SUBSTITUTE('Calculations'!HF166,"~","~~"),"*","~*"),"?","~?"),'Calculations'!$HN$13:$HN$512,"="&amp;SUBSTITUTE(SUBSTITUTE(SUBSTITUTE('Dashboard'!$B$7,"~","~~"),"*","~*"),"?","~?"))+COUNTIFS('Calculations'!$HQ$13:$HQ$512,"="&amp;SUBSTITUTE(SUBSTITUTE(SUBSTITUTE('Calculations'!HF166,"~","~~"),"*","~*"),"?","~?"),'Calculations'!$HN$13:$HN$512,"="&amp;SUBSTITUTE(SUBSTITUTE(SUBSTITUTE('Dashboard'!$B$7,"~","~~"),"*","~*"),"?","~?"))+COUNTIFS('Calculations'!$HR$13:$HR$512,"="&amp;SUBSTITUTE(SUBSTITUTE(SUBSTITUTE('Calculations'!HF166,"~","~~"),"*","~*"),"?","~?"),'Calculations'!$HN$13:$HN$512,"="&amp;SUBSTITUTE(SUBSTITUTE(SUBSTITUTE('Dashboard'!$B$7,"~","~~"),"*","~*"),"?","~?"))+COUNTIFS('Calculations'!$HS$13:$HS$512,"="&amp;SUBSTITUTE(SUBSTITUTE(SUBSTITUTE('Calculations'!HF166,"~","~~"),"*","~*"),"?","~?"),'Calculations'!$HN$13:$HN$512,"="&amp;SUBSTITUTE(SUBSTITUTE(SUBSTITUTE('Dashboard'!$B$7,"~","~~"),"*","~*"),"?","~?"))+COUNTIFS('Calculations'!$HT$13:$HT$512,"="&amp;SUBSTITUTE(SUBSTITUTE(SUBSTITUTE('Calculations'!HF166,"~","~~"),"*","~*"),"?","~?"),'Calculations'!$HN$13:$HN$512,"="&amp;SUBSTITUTE(SUBSTITUTE(SUBSTITUTE('Dashboard'!$B$7,"~","~~"),"*","~*"),"?","~?"))+COUNTIFS('Calculations'!$HU$13:$HU$512,"="&amp;SUBSTITUTE(SUBSTITUTE(SUBSTITUTE('Calculations'!HF166,"~","~~"),"*","~*"),"?","~?"),'Calculations'!$HN$13:$HN$512,"="&amp;SUBSTITUTE(SUBSTITUTE(SUBSTITUTE('Dashboard'!$B$7,"~","~~"),"*","~*"),"?","~?"))+COUNTIFS('Calculations'!$HV$13:$HV$512,"="&amp;SUBSTITUTE(SUBSTITUTE(SUBSTITUTE('Calculations'!HF166,"~","~~"),"*","~*"),"?","~?"),'Calculations'!$HN$13:$HN$512,"="&amp;SUBSTITUTE(SUBSTITUTE(SUBSTITUTE('Dashboard'!$B$7,"~","~~"),"*","~*"),"?","~?"))+COUNTIFS('Calculations'!$HW$13:$HW$512,"="&amp;SUBSTITUTE(SUBSTITUTE(SUBSTITUTE('Calculations'!HF166,"~","~~"),"*","~*"),"?","~?"),'Calculations'!$HN$13:$HN$512,"="&amp;SUBSTITUTE(SUBSTITUTE(SUBSTITUTE('Dashboard'!$B$7,"~","~~"),"*","~*"),"?","~?"))+COUNTIFS('Calculations'!$HX$13:$HX$512,"="&amp;SUBSTITUTE(SUBSTITUTE(SUBSTITUTE('Calculations'!HF166,"~","~~"),"*","~*"),"?","~?"),'Calculations'!$HN$13:$HN$512,"="&amp;SUBSTITUTE(SUBSTITUTE(SUBSTITUTE('Dashboard'!$B$7,"~","~~"),"*","~*"),"?","~?"))+COUNTIFS('Calculations'!$HY$13:$HY$512,"="&amp;SUBSTITUTE(SUBSTITUTE(SUBSTITUTE('Calculations'!HF166,"~","~~"),"*","~*"),"?","~?"),'Calculations'!$HN$13:$HN$512,"="&amp;SUBSTITUTE(SUBSTITUTE(SUBSTITUTE('Dashboard'!$B$7,"~","~~"),"*","~*"),"?","~?"))+COUNTIFS('Calculations'!$HZ$13:$HZ$512,"="&amp;SUBSTITUTE(SUBSTITUTE(SUBSTITUTE('Calculations'!HF166,"~","~~"),"*","~*"),"?","~?"),'Calculations'!$HN$13:$HN$512,"="&amp;SUBSTITUTE(SUBSTITUTE(SUBSTITUTE('Dashboard'!$B$7,"~","~~"),"*","~*"),"?","~?"))+COUNTIFS('Calculations'!$IA$13:$IA$512,"="&amp;SUBSTITUTE(SUBSTITUTE(SUBSTITUTE('Calculations'!HF166,"~","~~"),"*","~*"),"?","~?"),'Calculations'!$HN$13:$HN$512,"="&amp;SUBSTITUTE(SUBSTITUTE(SUBSTITUTE('Dashboard'!$B$7,"~","~~"),"*","~*"),"?","~?"))+COUNTIFS('Calculations'!$IB$13:$IB$512,"="&amp;SUBSTITUTE(SUBSTITUTE(SUBSTITUTE('Calculations'!HF166,"~","~~"),"*","~*"),"?","~?"),'Calculations'!$HN$13:$HN$512,"="&amp;SUBSTITUTE(SUBSTITUTE(SUBSTITUTE('Dashboard'!$B$7,"~","~~"),"*","~*"),"?","~?"))+COUNTIFS('Calculations'!$IC$13:$IC$512,"="&amp;SUBSTITUTE(SUBSTITUTE(SUBSTITUTE('Calculations'!HF166,"~","~~"),"*","~*"),"?","~?"),'Calculations'!$HN$13:$HN$512,"="&amp;SUBSTITUTE(SUBSTITUTE(SUBSTITUTE('Dashboard'!$B$7,"~","~~"),"*","~*"),"?","~?"))+COUNTIFS('Calculations'!$ID$13:$ID$512,"="&amp;SUBSTITUTE(SUBSTITUTE(SUBSTITUTE('Calculations'!HF166,"~","~~"),"*","~*"),"?","~?"),'Calculations'!$HN$13:$HN$512,"="&amp;SUBSTITUTE(SUBSTITUTE(SUBSTITUTE('Dashboard'!$B$7,"~","~~"),"*","~*"),"?","~?"))+COUNTIFS('Calculations'!$IE$13:$IE$512,"="&amp;SUBSTITUTE(SUBSTITUTE(SUBSTITUTE('Calculations'!HF166,"~","~~"),"*","~*"),"?","~?"),'Calculations'!$HN$13:$HN$512,"="&amp;SUBSTITUTE(SUBSTITUTE(SUBSTITUTE('Dashboard'!$B$7,"~","~~"),"*","~*"),"?","~?"))+COUNTIFS('Calculations'!$IF$13:$IF$512,"="&amp;SUBSTITUTE(SUBSTITUTE(SUBSTITUTE('Calculations'!HF166,"~","~~"),"*","~*"),"?","~?"),'Calculations'!$HN$13:$HN$512,"="&amp;SUBSTITUTE(SUBSTITUTE(SUBSTITUTE('Dashboard'!$B$7,"~","~~"),"*","~*"),"?","~?"))+COUNTIFS('Calculations'!$IG$13:$IG$512,"="&amp;SUBSTITUTE(SUBSTITUTE(SUBSTITUTE('Calculations'!HF166,"~","~~"),"*","~*"),"?","~?"),'Calculations'!$HN$13:$HN$512,"="&amp;SUBSTITUTE(SUBSTITUTE(SUBSTITUTE('Dashboard'!$B$7,"~","~~"),"*","~*"),"?","~?"))+COUNTIFS('Calculations'!$IH$13:$IH$512,"="&amp;SUBSTITUTE(SUBSTITUTE(SUBSTITUTE('Calculations'!HF166,"~","~~"),"*","~*"),"?","~?"),'Calculations'!$HN$13:$HN$512,"="&amp;SUBSTITUTE(SUBSTITUTE(SUBSTITUTE('Dashboard'!$B$7,"~","~~"),"*","~*"),"?","~?"))))</x:f>
        <x:v>0</x:v>
      </x:c>
      <x:c r="JD166" t="n">
        <x:f>IF('Calculations'!EM166="",0,IF('Dashboard'!$B$7="All",1,IF('Calculations'!HN166='Dashboard'!$B$7,1,0)+IFERROR(INDEX('Calculations'!$JC$13:$JC$512,MATCH('Calculations'!HE166,'Calculations'!$HF$13:$HF$512,0)),0)))</x:f>
        <x:v>0</x:v>
      </x:c>
      <x:c r="JE166" t="n">
        <x:f>IF(AND('Calculations'!EM166&lt;&gt;"",'Calculations'!$JJ$2&lt;&gt;"All",'Calculations'!$JJ$2&lt;&gt;"",'Calculations'!HF166='Calculations'!$JJ$2,'Calculations'!HL166=0,'Calculations'!JD166&gt;0),MAX('Calculations'!$JE$12:JE165)+1,0)</x:f>
        <x:v>0</x:v>
      </x:c>
      <x:c r="JF166" t="str">
        <x:f>IF('Calculations'!EM166="","",IFERROR(IF(INDEX(INDIRECT("'WCM Calibration Final'!$G$1:$G$2000"),'Calculations'!$EM166)="","",TRIM(INDEX(INDIRECT("'WCM Calibration Final'!$G$1:$G$2000"),'Calculations'!$EM166)&amp;"")),""))</x:f>
      </x:c>
      <x:c r="JQ166" t="n">
        <x:f>IF(OR('Calculations'!BM166=0,NOT('Calculations'!$AG$2),'Calculations'!$AG$8&gt;0),0,IF(OR('Dashboard'!$B$7="All",'Calculations'!HN166='Dashboard'!$B$7),IF('Calculations'!$JJ$2="All",1,IF(AND('Calculations'!HF166='Calculations'!$JJ$2,'Calculations'!HL166=0),1,0)),0))</x:f>
        <x:v>0</x:v>
      </x:c>
    </x:row>
    <x:row r="167">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t="n">
        <x:f>IF('Calculations'!$EM167="",0,IF(OR(IFERROR(INDEX(INDIRECT("'WCM Calibration Final'!$A$1:$A$2000"),'Calculations'!$EM167)&lt;&gt;"",FALSE),IFERROR(INDEX(INDIRECT("'WCM Calibration Final'!$B$1:$B$2000"),'Calculations'!$EM167)&lt;&gt;"",FALSE),IFERROR(INDEX(INDIRECT("'WCM Calibration Final'!$C$1:$C$2000"),'Calculations'!$EM167)&lt;&gt;"",FALSE)),1,0))</x:f>
        <x:v>0</x:v>
      </x:c>
      <x:c r="BN167" s="4" t="n">
        <x:f>IF(AND('Calculations'!BM167=1,'Calculations'!$AG$2,'Calculations'!$EN167=1),1,0)</x:f>
        <x:v>0</x:v>
      </x:c>
      <x:c r="BO167" s="4" t="str">
        <x:f>IF('Calculations'!BM167=0,"",IFERROR(IF(AND(VALUE(INDEX(INDIRECT("'WCM Calibration Final'!$K$1:$K$2000"),'Calculations'!$EM167))&gt;=1,VALUE(INDEX(INDIRECT("'WCM Calibration Final'!$K$1:$K$2000"),'Calculations'!$EM167))&lt;=4,MOD(VALUE(INDEX(INDIRECT("'WCM Calibration Final'!$K$1:$K$2000"),'Calculations'!$EM167)),1)=0),VALUE(INDEX(INDIRECT("'WCM Calibration Final'!$K$1:$K$2000"),'Calculations'!$EM167)),""),""))</x:f>
      </x:c>
      <x:c r="BP167" s="4" t="str">
        <x:f>IF('Calculations'!BM167=0,"",IFERROR(IF(AND(VALUE(INDEX(INDIRECT("'WCM Calibration Final'!$L$1:$L$2000"),'Calculations'!$EM167))&gt;=1,VALUE(INDEX(INDIRECT("'WCM Calibration Final'!$L$1:$L$2000"),'Calculations'!$EM167))&lt;=4,MOD(VALUE(INDEX(INDIRECT("'WCM Calibration Final'!$L$1:$L$2000"),'Calculations'!$EM167)),1)=0),VALUE(INDEX(INDIRECT("'WCM Calibration Final'!$L$1:$L$2000"),'Calculations'!$EM167)),""),""))</x:f>
      </x:c>
      <x:c r="BQ167" s="4"/>
      <x:c r="BR167" s="4"/>
      <x:c r="BS167" s="4"/>
      <x:c r="BT167" s="4" t="n">
        <x:f>IF(AND('Calculations'!BM167=1,ISNUMBER('Calculations'!BO167),ISNUMBER('Calculations'!BP167)),1,0)</x:f>
        <x:v>0</x:v>
      </x:c>
      <x:c r="BU167" s="4" t="str">
        <x:f>IF('Calculations'!BM167=0,"",'Calculations'!$EO167)</x:f>
      </x:c>
      <x:c r="BV167" s="4" t="str">
        <x:f>IF('Calculations'!BM167=0,"",IFERROR(IF(OR(INDEX(INDIRECT("'WCM Calibration Final'!$H$1:$H$2000"),'Calculations'!$EM167)="MANAGING DIRECTOR",INDEX(INDIRECT("'WCM Calibration Final'!$H$1:$H$2000"),'Calculations'!$EM167)="DIRECTOR",INDEX(INDIRECT("'WCM Calibration Final'!$H$1:$H$2000"),'Calculations'!$EM167)="SENIOR VICE PRESIDENT",INDEX(INDIRECT("'WCM Calibration Final'!$H$1:$H$2000"),'Calculations'!$EM167)="VICE PRESIDENT",INDEX(INDIRECT("'WCM Calibration Final'!$H$1:$H$2000"),'Calculations'!$EM167)="ASSISTANT VICE PRESIDENT",INDEX(INDIRECT("'WCM Calibration Final'!$H$1:$H$2000"),'Calculations'!$EM167)="OFFICER"),UPPER(INDEX(INDIRECT("'WCM Calibration Final'!$H$1:$H$2000"),'Calculations'!$EM167)),"Other"),"Other"))</x:f>
      </x:c>
      <x:c r="BW167" s="4"/>
      <x:c r="BX167" s="4"/>
      <x:c r="BY167" s="4" t="n">
        <x:f>IF(AND('Calculations'!BM167=1,'Calculations'!BU167&lt;&gt;"",COUNTIF('Calculations'!$BU$12:BU167,'Calculations'!BU167)=1),MAX('Calculations'!$BY$11:BY166)+1,0)</x:f>
        <x:v>0</x:v>
      </x:c>
      <x:c r="BZ167" s="4" t="str">
        <x:f>IF('Dashboard'!$E$67="What",'Calculations'!BO167,'Calculations'!BP167)</x:f>
      </x:c>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t="str">
        <x:f>IF(156&gt;MAX('Calculations'!$HI$13:$HI$512),"",INDEX('Calculations'!$HN$13:$HN$512,MATCH(156,'Calculations'!$HI$13:$HI$512,0)))</x:f>
      </x:c>
      <x:c r="DB167" s="4" t="str">
        <x:f>IF(156&gt;MAX('Calculations'!$HH$13:$HH$512),"",INDEX('Calculations'!$HJ$13:$HJ$512,MATCH(156,'Calculations'!$HH$13:$HH$512,0)))</x:f>
      </x:c>
      <x:c r="DC167" s="4" t="str">
        <x:f>IF(ROW()-11&gt;MAX('Calculations'!$BY$13:$BY$512),"",INDEX('Calculations'!$BU$13:$BU$512,MATCH(ROW()-11,'Calculations'!$BY$13:$BY$512,0)))</x:f>
      </x:c>
      <x:c r="DD167" s="4" t="str">
        <x:f>IF(156&gt;MAX('Calculations'!$IK$13:$IK$512),"",INDEX('Calculations'!$HK$13:$HK$512,MATCH(156,'Calculations'!$IK$13:$IK$512,0)))</x:f>
      </x:c>
      <x:c r="DE167" s="4" t="str">
        <x:f>'Calculations'!DC167</x:f>
      </x:c>
      <x:c r="DF167" s="4" t="str">
        <x:f>IF('Calculations'!DE167="","",COUNTIFS('Calculations'!$BN$13:$BN$512,1,'Calculations'!$BU$13:$BU$512,'Calculations'!DE167))</x:f>
      </x:c>
      <x:c r="DG167" s="4" t="str">
        <x:f>IF('Calculations'!DE167="","",COUNTIFS('Calculations'!$BN$13:$BN$512,1,'Calculations'!$BU$13:$BU$512,'Calculations'!DE167,'Calculations'!$BT$13:$BT$512,1))</x:f>
      </x:c>
      <x:c r="DH167" s="4" t="str">
        <x:f>IF('Calculations'!DE167="","",'Calculations'!DF167-'Calculations'!DG167)</x:f>
      </x:c>
      <x:c r="DI167" s="4" t="str">
        <x:f>IF(OR('Calculations'!DE167="",'Calculations'!DF167=0),"",'Calculations'!DG167/'Calculations'!DF167)</x:f>
      </x:c>
      <x:c r="DJ167" s="4" t="str">
        <x:f>IF('Calculations'!DE167="","",COUNTIFS('Calculations'!$BN$13:$BN$512,1,'Calculations'!$BU$13:$BU$512,'Calculations'!DE167,'Calculations'!$BT$13:$BT$512,1,'Calculations'!$EE$13:$EE$512,"High"))</x:f>
      </x:c>
      <x:c r="DK167" s="4" t="str">
        <x:f>IF('Calculations'!DE167="","",COUNTIFS('Calculations'!$BN$13:$BN$512,1,'Calculations'!$BU$13:$BU$512,'Calculations'!DE167,'Calculations'!$BT$13:$BT$512,1,'Calculations'!$EE$13:$EE$512,"Strong"))</x:f>
      </x:c>
      <x:c r="DL167" s="4" t="str">
        <x:f>IF('Calculations'!DE167="","",COUNTIFS('Calculations'!$BN$13:$BN$512,1,'Calculations'!$BU$13:$BU$512,'Calculations'!DE167,'Calculations'!$BT$13:$BT$512,1,'Calculations'!$EE$13:$EE$512,"Solid"))</x:f>
      </x:c>
      <x:c r="DM167" s="4" t="str">
        <x:f>IF('Calculations'!DE167="","",COUNTIFS('Calculations'!$BN$13:$BN$512,1,'Calculations'!$BU$13:$BU$512,'Calculations'!DE167,'Calculations'!$BT$13:$BT$512,1,'Calculations'!$EE$13:$EE$512,"Low"))</x:f>
      </x:c>
      <x:c r="DN167" s="4" t="str">
        <x:f>IF('Calculations'!DE167="","",COUNTIFS('Calculations'!$BN$13:$BN$512,1,'Calculations'!$BU$13:$BU$512,'Calculations'!DE167,'Calculations'!$EP$13:$EP$512,1))</x:f>
      </x:c>
      <x:c r="DO167" s="4" t="str">
        <x:f>IF(OR('Calculations'!DE167="",'Calculations'!DG167=0),"",('Calculations'!DJ167+'Calculations'!DK167)/'Calculations'!DG167)</x:f>
      </x:c>
      <x:c r="DP167" s="4" t="n">
        <x:f>IF(AND('Calculations'!DE167&lt;&gt;"",'Calculations'!DF167&gt;0),COUNTIF('Calculations'!$DF$12:DF167,"&gt;0"),0)</x:f>
        <x:v>0</x:v>
      </x:c>
      <x:c r="DQ167" s="4" t="str">
        <x:f>IF(156&gt;MAX('Calculations'!$HH$13:$HH$512),"",INDEX('Calculations'!$HF$13:$HF$512,MATCH(156,'Calculations'!$HH$13:$HH$512,0)))</x:f>
      </x:c>
      <x:c r="DR167" s="4" t="str">
        <x:f>IF(156&gt;MAX('Calculations'!$IK$13:$IK$512),"",INDEX('Calculations'!$HE$13:$HE$512,MATCH(156,'Calculations'!$IK$13:$IK$512,0)))</x:f>
      </x:c>
      <x:c r="DS167" s="4"/>
      <x:c r="DT167" s="4"/>
      <x:c r="DU167" s="4"/>
      <x:c r="DV167" s="4"/>
      <x:c r="DW167" s="4"/>
      <x:c r="DX167" s="4"/>
      <x:c r="DY167" s="4"/>
      <x:c r="DZ167" s="4"/>
      <x:c r="EA167" s="4"/>
      <x:c r="EB167" s="4"/>
      <x:c r="EC167" s="4"/>
      <x:c r="ED167" s="4"/>
      <x:c r="EE167" s="4" t="str">
        <x:f>IF('Calculations'!BT167=0,"Not Rated",IF(OR('Calculations'!BO167&gt;=4,'Calculations'!BP167&gt;=4),"Low",IF('Calculations'!BO167+'Calculations'!BP167&lt;=3,"High",IF('Calculations'!BO167+'Calculations'!BP167&lt;=4,"Strong","Solid"))))</x:f>
        <x:v>Not Rated</x:v>
      </x:c>
      <x:c r="EF167" s="4"/>
      <x:c r="EG167" s="4"/>
      <x:c r="EH167" s="4"/>
      <x:c r="EI167" s="4"/>
      <x:c r="EJ167" s="4"/>
      <x:c r="EK167" s="4"/>
      <x:c r="EL167" s="4"/>
      <x:c r="EM167" s="4" t="str">
        <x:f>IF(155&gt;'Calculations'!$JB$2000,"",INDEX('Calculations'!$JA$12:$JA$2000,MATCH(155,'Calculations'!$JB$12:$JB$2000,0)))</x:f>
      </x:c>
      <x:c r="EN167" s="4" t="n">
        <x:f>IF(OR('Calculations'!EM167="",'Calculations'!$AG$8&gt;0,AND('Calculations'!$EF$2&lt;&gt;"All",'Calculations'!HE167='Calculations'!$EF$2),AND('Calculations'!$EF$3&lt;&gt;"All",'Calculations'!HE167='Calculations'!$EF$3)),0,IF(OR('Dashboard'!$B$7="All",'Calculations'!HN167='Dashboard'!$B$7),IF('Calculations'!$EF$2="All",1,IF('Calculations'!HL167&gt;0,0,IF(COUNTIF('Calculations'!HO167:II167,"="&amp;SUBSTITUTE(SUBSTITUTE(SUBSTITUTE('Calculations'!$EF$2,"~","~~"),"*","~*"),"?","~?"))=0,0,IF('Calculations'!$EF$3="All",1,IF(COUNTIF('Calculations'!HO167:II167,"="&amp;SUBSTITUTE(SUBSTITUTE(SUBSTITUTE('Calculations'!$EF$3,"~","~~"),"*","~*"),"?","~?"))&gt;0,1,0))))),0))</x:f>
        <x:v>0</x:v>
      </x:c>
      <x:c r="EO167" s="4" t="str">
        <x:f>IF('Calculations'!IJ167="","",IF('Calculations'!IJ167="!UNRESOLVED","Unresolved hierarchy",IFERROR(INDEX('Calculations'!$HK$13:$HK$512,MATCH('Calculations'!IJ167,'Calculations'!$HE$13:$HE$512,0)),IFERROR(INDEX('Calculations'!$HJ$13:$HJ$512,MATCH('Calculations'!IJ167,'Calculations'!$HF$13:$HF$512,0)),'Calculations'!IJ167))))</x:f>
      </x:c>
      <x:c r="EP167" s="4" t="n">
        <x:f>IF(AND('Calculations'!EM167&lt;&gt;"",'Calculations'!HF167='Calculations'!IJ167),1,0)</x:f>
        <x:v>0</x:v>
      </x:c>
      <x:c r="EQ167" s="4"/>
      <x:c r="ER167" s="4"/>
      <x:c r="ES167" s="4"/>
      <x:c r="ET167" s="4"/>
      <x:c r="EU167" s="4"/>
      <x:c r="EV167" s="4"/>
      <x:c r="EW167" s="4"/>
      <x:c r="EX167" s="4"/>
      <x:c r="EY167" s="4"/>
      <x:c r="EZ167" s="4"/>
      <x:c r="FA167" s="4"/>
      <x:c r="FB167" s="4"/>
      <x:c r="FC167" s="4"/>
      <x:c r="FD167" s="4"/>
      <x:c r="FE167" s="4"/>
      <x:c r="FF167" s="4"/>
      <x:c r="FG167" s="4"/>
      <x:c r="FH167" s="4"/>
      <x:c r="FI167" s="4"/>
      <x:c r="FJ167" s="4"/>
      <x:c r="FK167" s="4"/>
      <x:c r="FL167" s="4"/>
      <x:c r="FM167" s="4"/>
      <x:c r="FN167" s="4"/>
      <x:c r="FO167" s="4"/>
      <x:c r="GA167" s="71"/>
      <x:c r="GB167" s="71"/>
      <x:c r="GC167" s="71"/>
      <x:c r="GD167" s="71"/>
      <x:c r="GE167" s="71"/>
      <x:c r="GF167" s="71"/>
      <x:c r="GG167" s="71"/>
      <x:c r="GH167" s="71"/>
      <x:c r="GI167" s="71"/>
      <x:c r="GJ167" s="71"/>
      <x:c r="GK167" s="71"/>
      <x:c r="GL167" s="71"/>
      <x:c r="GM167" s="71"/>
      <x:c r="GN167" s="71"/>
      <x:c r="GO167" s="71"/>
      <x:c r="GP167" s="71"/>
      <x:c r="GQ167" s="71"/>
      <x:c r="GR167" s="71"/>
      <x:c r="GS167" s="71"/>
      <x:c r="GT167" s="71"/>
      <x:c r="GU167" s="71"/>
      <x:c r="GV167" s="71"/>
      <x:c r="GW167" s="71"/>
      <x:c r="GX167" s="71"/>
      <x:c r="GY167" s="71"/>
      <x:c r="GZ167" s="71"/>
      <x:c r="HA167" s="71"/>
      <x:c r="HB167" s="71"/>
      <x:c r="HC167" s="71"/>
      <x:c r="HD167" s="71"/>
      <x:c r="HE167" t="str">
        <x:f>IF('Calculations'!EM167="","",IF(IFERROR(IF(INDEX(INDIRECT("'WCM Calibration Final'!$A$1:$A$2000"),'Calculations'!$EM167)="","",TRIM(INDEX(INDIRECT("'WCM Calibration Final'!$A$1:$A$2000"),'Calculations'!$EM167)&amp;"")),"")&lt;&gt;"","G:"&amp;IFERROR(TEXT(1*INDEX(INDIRECT("'WCM Calibration Final'!$A$1:$A$2000"),'Calculations'!$EM167),"0"),UPPER(IFERROR(IF(INDEX(INDIRECT("'WCM Calibration Final'!$A$1:$A$2000"),'Calculations'!$EM167)="","",TRIM(INDEX(INDIRECT("'WCM Calibration Final'!$A$1:$A$2000"),'Calculations'!$EM167)&amp;"")),""))),IF(IFERROR(IF(INDEX(INDIRECT("'WCM Calibration Final'!$C$1:$C$2000"),'Calculations'!$EM167)="","",TRIM(INDEX(INDIRECT("'WCM Calibration Final'!$C$1:$C$2000"),'Calculations'!$EM167)&amp;"")),"")&lt;&gt;"","S:"&amp;UPPER(IFERROR(IF(INDEX(INDIRECT("'WCM Calibration Final'!$C$1:$C$2000"),'Calculations'!$EM167)="","",TRIM(INDEX(INDIRECT("'WCM Calibration Final'!$C$1:$C$2000"),'Calculations'!$EM167)&amp;"")),"")),"R:"&amp;'Calculations'!EM167)))</x:f>
      </x:c>
      <x:c r="HF167" t="str">
        <x:f>IF('Calculations'!EM167="","",IF(IFERROR(IF(INDEX(INDIRECT("'WCM Calibration Final'!$D$1:$D$2000"),'Calculations'!$EM167)="","",TRIM(INDEX(INDIRECT("'WCM Calibration Final'!$D$1:$D$2000"),'Calculations'!$EM167)&amp;"")),"")&lt;&gt;"","G:"&amp;IFERROR(TEXT(1*INDEX(INDIRECT("'WCM Calibration Final'!$D$1:$D$2000"),'Calculations'!$EM167),"0"),UPPER(IFERROR(IF(INDEX(INDIRECT("'WCM Calibration Final'!$D$1:$D$2000"),'Calculations'!$EM167)="","",TRIM(INDEX(INDIRECT("'WCM Calibration Final'!$D$1:$D$2000"),'Calculations'!$EM167)&amp;"")),""))),IF(IFERROR(IF(INDEX(INDIRECT("'WCM Calibration Final'!$E$1:$E$2000"),'Calculations'!$EM167)="","",TRIM(INDEX(INDIRECT("'WCM Calibration Final'!$E$1:$E$2000"),'Calculations'!$EM167)&amp;"")),"")="","",IF(COUNTIF('Calculations'!$HG$13:$HG$512,"="&amp;SUBSTITUTE(SUBSTITUTE(SUBSTITUTE(IFERROR(IF(INDEX(INDIRECT("'WCM Calibration Final'!$E$1:$E$2000"),'Calculations'!$EM167)="","",TRIM(INDEX(INDIRECT("'WCM Calibration Final'!$E$1:$E$2000"),'Calculations'!$EM167)&amp;"")),""),"~","~~"),"*","~*"),"?","~?"))=1,INDEX('Calculations'!$HE$13:$HE$512,MATCH(IFERROR(IF(INDEX(INDIRECT("'WCM Calibration Final'!$E$1:$E$2000"),'Calculations'!$EM167)="","",TRIM(INDEX(INDIRECT("'WCM Calibration Final'!$E$1:$E$2000"),'Calculations'!$EM167)&amp;"")),""),'Calculations'!$HG$13:$HG$512,0)),IF(COUNTIF('Calculations'!$HG$13:$HG$512,"="&amp;SUBSTITUTE(SUBSTITUTE(SUBSTITUTE(IFERROR(IF(INDEX(INDIRECT("'WCM Calibration Final'!$E$1:$E$2000"),'Calculations'!$EM167)="","",TRIM(INDEX(INDIRECT("'WCM Calibration Final'!$E$1:$E$2000"),'Calculations'!$EM167)&amp;"")),""),"~","~~"),"*","~*"),"?","~?"))&gt;1,"!AMBIG","X:"&amp;IFERROR(IF(INDEX(INDIRECT("'WCM Calibration Final'!$E$1:$E$2000"),'Calculations'!$EM167)="","",TRIM(INDEX(INDIRECT("'WCM Calibration Final'!$E$1:$E$2000"),'Calculations'!$EM167)&amp;"")),""))))))</x:f>
      </x:c>
      <x:c r="HG167" t="str">
        <x:f>IF('Calculations'!EM167="","",IFERROR(IF(INDEX(INDIRECT("'WCM Calibration Final'!$B$1:$B$2000"),'Calculations'!$EM167)="","",TRIM(INDEX(INDIRECT("'WCM Calibration Final'!$B$1:$B$2000"),'Calculations'!$EM167)&amp;"")),""))</x:f>
      </x:c>
      <x:c r="HH167" t="n">
        <x:f>IF(AND('Calculations'!JC167&gt;0,COUNTIF('Calculations'!$HF$12:HF167,"="&amp;SUBSTITUTE(SUBSTITUTE(SUBSTITUTE('Calculations'!HF167,"~","~~"),"*","~*"),"?","~?"))=1),MAX('Calculations'!$HH$12:HH166)+1,0)</x:f>
        <x:v>0</x:v>
      </x:c>
      <x:c r="HI167" t="n">
        <x:f>IF(AND('Calculations'!HN167&lt;&gt;"",COUNTIF('Calculations'!$HN$12:HN167,"="&amp;SUBSTITUTE(SUBSTITUTE(SUBSTITUTE('Calculations'!HN167,"~","~~"),"*","~*"),"?","~?"))=1),MAX('Calculations'!$HI$12:HI166)+1,0)</x:f>
        <x:v>0</x:v>
      </x:c>
      <x:c r="HJ167" t="str">
        <x:f>IF('Calculations'!HF167="","",IF(COUNTIF('Calculations'!$HE$13:$HE$512,"="&amp;SUBSTITUTE(SUBSTITUTE(SUBSTITUTE('Calculations'!HF167,"~","~~"),"*","~*"),"?","~?"))=1,INDEX('Calculations'!$HK$13:$HK$512,MATCH('Calculations'!HF167,'Calculations'!$HE$13:$HE$512,0)),IFERROR(IF(INDEX(INDIRECT("'WCM Calibration Final'!$E$1:$E$2000"),'Calculations'!$EM167)="","",TRIM(INDEX(INDIRECT("'WCM Calibration Final'!$E$1:$E$2000"),'Calculations'!$EM167)&amp;"")),"")&amp;" ["&amp;'Calculations'!HF167&amp;"]"))</x:f>
      </x:c>
      <x:c r="HK167" t="str">
        <x:f>IF('Calculations'!EM167="","",'Calculations'!HG167&amp;" ["&amp;'Calculations'!HE167&amp;"]")</x:f>
      </x:c>
      <x:c r="HL167" t="n">
        <x:f>IF('Calculations'!EM167="",0,IF(OR('Calculations'!II167&lt;&gt;"",COUNTIF('Calculations'!$HE$13:$HE$512,"="&amp;SUBSTITUTE(SUBSTITUTE(SUBSTITUTE('Calculations'!HE167,"~","~~"),"*","~*"),"?","~?"))&gt;1),1,0))</x:f>
        <x:v>0</x:v>
      </x:c>
      <x:c r="HM167" t="str">
        <x:f>IF('Calculations'!EM167="","",IF('Calculations'!HL167=1,"!UNRESOLVED",IF('Calculations'!IH167&lt;&gt;"",'Calculations'!IH167,IF('Calculations'!IG167&lt;&gt;"",'Calculations'!IG167,IF('Calculations'!IF167&lt;&gt;"",'Calculations'!IF167,IF('Calculations'!IE167&lt;&gt;"",'Calculations'!IE167,IF('Calculations'!ID167&lt;&gt;"",'Calculations'!ID167,IF('Calculations'!IC167&lt;&gt;"",'Calculations'!IC167,IF('Calculations'!IB167&lt;&gt;"",'Calculations'!IB167,IF('Calculations'!IA167&lt;&gt;"",'Calculations'!IA167,IF('Calculations'!HZ167&lt;&gt;"",'Calculations'!HZ167,IF('Calculations'!HY167&lt;&gt;"",'Calculations'!HY167,IF('Calculations'!HX167&lt;&gt;"",'Calculations'!HX167,IF('Calculations'!HW167&lt;&gt;"",'Calculations'!HW167,IF('Calculations'!HV167&lt;&gt;"",'Calculations'!HV167,IF('Calculations'!HU167&lt;&gt;"",'Calculations'!HU167,IF('Calculations'!HT167&lt;&gt;"",'Calculations'!HT167,IF('Calculations'!HS167&lt;&gt;"",'Calculations'!HS167,IF('Calculations'!HR167&lt;&gt;"",'Calculations'!HR167,IF('Calculations'!HQ167&lt;&gt;"",'Calculations'!HQ167,IF('Calculations'!HP167&lt;&gt;"",'Calculations'!HP167,IF('Calculations'!HO167&lt;&gt;"",'Calculations'!HO167,'Calculations'!HE167))))))))))))))))))))))</x:f>
      </x:c>
      <x:c r="HN167" t="str">
        <x:f>IF('Calculations'!EM167="","",IF(IFERROR(IF(INDEX(INDIRECT("'WCM Calibration Final'!$F$1:$F$2000"),'Calculations'!$EM167)="","",TRIM(INDEX(INDIRECT("'WCM Calibration Final'!$F$1:$F$2000"),'Calculations'!$EM167)&amp;"")),"")="","(Blank)",IFERROR(IF(INDEX(INDIRECT("'WCM Calibration Final'!$F$1:$F$2000"),'Calculations'!$EM167)="","",TRIM(INDEX(INDIRECT("'WCM Calibration Final'!$F$1:$F$2000"),'Calculations'!$EM167)&amp;"")),"")))</x:f>
      </x:c>
      <x:c r="HO167" t="str">
        <x:f>'Calculations'!HF167</x:f>
      </x:c>
      <x:c r="HP167" t="str">
        <x:f>IF('Calculations'!HO167="","",IF('Calculations'!HO167="!AMBIG","!AMBIG",IF(COUNTIF('Calculations'!$HE$13:$HE$512,"="&amp;SUBSTITUTE(SUBSTITUTE(SUBSTITUTE('Calculations'!HO167,"~","~~"),"*","~*"),"?","~?"))&gt;1,"!AMBIG",IFERROR(INDEX('Calculations'!$HF$13:$HF$512,MATCH('Calculations'!HO167,'Calculations'!$HE$13:$HE$512,0)),""))))</x:f>
      </x:c>
      <x:c r="HQ167" t="str">
        <x:f>IF('Calculations'!HP167="","",IF('Calculations'!HP167="!AMBIG","!AMBIG",IF(COUNTIF('Calculations'!$HE$13:$HE$512,"="&amp;SUBSTITUTE(SUBSTITUTE(SUBSTITUTE('Calculations'!HP167,"~","~~"),"*","~*"),"?","~?"))&gt;1,"!AMBIG",IFERROR(INDEX('Calculations'!$HF$13:$HF$512,MATCH('Calculations'!HP167,'Calculations'!$HE$13:$HE$512,0)),""))))</x:f>
      </x:c>
      <x:c r="HR167" t="str">
        <x:f>IF('Calculations'!HQ167="","",IF('Calculations'!HQ167="!AMBIG","!AMBIG",IF(COUNTIF('Calculations'!$HE$13:$HE$512,"="&amp;SUBSTITUTE(SUBSTITUTE(SUBSTITUTE('Calculations'!HQ167,"~","~~"),"*","~*"),"?","~?"))&gt;1,"!AMBIG",IFERROR(INDEX('Calculations'!$HF$13:$HF$512,MATCH('Calculations'!HQ167,'Calculations'!$HE$13:$HE$512,0)),""))))</x:f>
      </x:c>
      <x:c r="HS167" t="str">
        <x:f>IF('Calculations'!HR167="","",IF('Calculations'!HR167="!AMBIG","!AMBIG",IF(COUNTIF('Calculations'!$HE$13:$HE$512,"="&amp;SUBSTITUTE(SUBSTITUTE(SUBSTITUTE('Calculations'!HR167,"~","~~"),"*","~*"),"?","~?"))&gt;1,"!AMBIG",IFERROR(INDEX('Calculations'!$HF$13:$HF$512,MATCH('Calculations'!HR167,'Calculations'!$HE$13:$HE$512,0)),""))))</x:f>
      </x:c>
      <x:c r="HT167" t="str">
        <x:f>IF('Calculations'!HS167="","",IF('Calculations'!HS167="!AMBIG","!AMBIG",IF(COUNTIF('Calculations'!$HE$13:$HE$512,"="&amp;SUBSTITUTE(SUBSTITUTE(SUBSTITUTE('Calculations'!HS167,"~","~~"),"*","~*"),"?","~?"))&gt;1,"!AMBIG",IFERROR(INDEX('Calculations'!$HF$13:$HF$512,MATCH('Calculations'!HS167,'Calculations'!$HE$13:$HE$512,0)),""))))</x:f>
      </x:c>
      <x:c r="HU167" t="str">
        <x:f>IF('Calculations'!HT167="","",IF('Calculations'!HT167="!AMBIG","!AMBIG",IF(COUNTIF('Calculations'!$HE$13:$HE$512,"="&amp;SUBSTITUTE(SUBSTITUTE(SUBSTITUTE('Calculations'!HT167,"~","~~"),"*","~*"),"?","~?"))&gt;1,"!AMBIG",IFERROR(INDEX('Calculations'!$HF$13:$HF$512,MATCH('Calculations'!HT167,'Calculations'!$HE$13:$HE$512,0)),""))))</x:f>
      </x:c>
      <x:c r="HV167" t="str">
        <x:f>IF('Calculations'!HU167="","",IF('Calculations'!HU167="!AMBIG","!AMBIG",IF(COUNTIF('Calculations'!$HE$13:$HE$512,"="&amp;SUBSTITUTE(SUBSTITUTE(SUBSTITUTE('Calculations'!HU167,"~","~~"),"*","~*"),"?","~?"))&gt;1,"!AMBIG",IFERROR(INDEX('Calculations'!$HF$13:$HF$512,MATCH('Calculations'!HU167,'Calculations'!$HE$13:$HE$512,0)),""))))</x:f>
      </x:c>
      <x:c r="HW167" t="str">
        <x:f>IF('Calculations'!HV167="","",IF('Calculations'!HV167="!AMBIG","!AMBIG",IF(COUNTIF('Calculations'!$HE$13:$HE$512,"="&amp;SUBSTITUTE(SUBSTITUTE(SUBSTITUTE('Calculations'!HV167,"~","~~"),"*","~*"),"?","~?"))&gt;1,"!AMBIG",IFERROR(INDEX('Calculations'!$HF$13:$HF$512,MATCH('Calculations'!HV167,'Calculations'!$HE$13:$HE$512,0)),""))))</x:f>
      </x:c>
      <x:c r="HX167" t="str">
        <x:f>IF('Calculations'!HW167="","",IF('Calculations'!HW167="!AMBIG","!AMBIG",IF(COUNTIF('Calculations'!$HE$13:$HE$512,"="&amp;SUBSTITUTE(SUBSTITUTE(SUBSTITUTE('Calculations'!HW167,"~","~~"),"*","~*"),"?","~?"))&gt;1,"!AMBIG",IFERROR(INDEX('Calculations'!$HF$13:$HF$512,MATCH('Calculations'!HW167,'Calculations'!$HE$13:$HE$512,0)),""))))</x:f>
      </x:c>
      <x:c r="HY167" t="str">
        <x:f>IF('Calculations'!HX167="","",IF('Calculations'!HX167="!AMBIG","!AMBIG",IF(COUNTIF('Calculations'!$HE$13:$HE$512,"="&amp;SUBSTITUTE(SUBSTITUTE(SUBSTITUTE('Calculations'!HX167,"~","~~"),"*","~*"),"?","~?"))&gt;1,"!AMBIG",IFERROR(INDEX('Calculations'!$HF$13:$HF$512,MATCH('Calculations'!HX167,'Calculations'!$HE$13:$HE$512,0)),""))))</x:f>
      </x:c>
      <x:c r="HZ167" t="str">
        <x:f>IF('Calculations'!HY167="","",IF('Calculations'!HY167="!AMBIG","!AMBIG",IF(COUNTIF('Calculations'!$HE$13:$HE$512,"="&amp;SUBSTITUTE(SUBSTITUTE(SUBSTITUTE('Calculations'!HY167,"~","~~"),"*","~*"),"?","~?"))&gt;1,"!AMBIG",IFERROR(INDEX('Calculations'!$HF$13:$HF$512,MATCH('Calculations'!HY167,'Calculations'!$HE$13:$HE$512,0)),""))))</x:f>
      </x:c>
      <x:c r="IA167" t="str">
        <x:f>IF('Calculations'!HZ167="","",IF('Calculations'!HZ167="!AMBIG","!AMBIG",IF(COUNTIF('Calculations'!$HE$13:$HE$512,"="&amp;SUBSTITUTE(SUBSTITUTE(SUBSTITUTE('Calculations'!HZ167,"~","~~"),"*","~*"),"?","~?"))&gt;1,"!AMBIG",IFERROR(INDEX('Calculations'!$HF$13:$HF$512,MATCH('Calculations'!HZ167,'Calculations'!$HE$13:$HE$512,0)),""))))</x:f>
      </x:c>
      <x:c r="IB167" t="str">
        <x:f>IF('Calculations'!IA167="","",IF('Calculations'!IA167="!AMBIG","!AMBIG",IF(COUNTIF('Calculations'!$HE$13:$HE$512,"="&amp;SUBSTITUTE(SUBSTITUTE(SUBSTITUTE('Calculations'!IA167,"~","~~"),"*","~*"),"?","~?"))&gt;1,"!AMBIG",IFERROR(INDEX('Calculations'!$HF$13:$HF$512,MATCH('Calculations'!IA167,'Calculations'!$HE$13:$HE$512,0)),""))))</x:f>
      </x:c>
      <x:c r="IC167" t="str">
        <x:f>IF('Calculations'!IB167="","",IF('Calculations'!IB167="!AMBIG","!AMBIG",IF(COUNTIF('Calculations'!$HE$13:$HE$512,"="&amp;SUBSTITUTE(SUBSTITUTE(SUBSTITUTE('Calculations'!IB167,"~","~~"),"*","~*"),"?","~?"))&gt;1,"!AMBIG",IFERROR(INDEX('Calculations'!$HF$13:$HF$512,MATCH('Calculations'!IB167,'Calculations'!$HE$13:$HE$512,0)),""))))</x:f>
      </x:c>
      <x:c r="ID167" t="str">
        <x:f>IF('Calculations'!IC167="","",IF('Calculations'!IC167="!AMBIG","!AMBIG",IF(COUNTIF('Calculations'!$HE$13:$HE$512,"="&amp;SUBSTITUTE(SUBSTITUTE(SUBSTITUTE('Calculations'!IC167,"~","~~"),"*","~*"),"?","~?"))&gt;1,"!AMBIG",IFERROR(INDEX('Calculations'!$HF$13:$HF$512,MATCH('Calculations'!IC167,'Calculations'!$HE$13:$HE$512,0)),""))))</x:f>
      </x:c>
      <x:c r="IE167" t="str">
        <x:f>IF('Calculations'!ID167="","",IF('Calculations'!ID167="!AMBIG","!AMBIG",IF(COUNTIF('Calculations'!$HE$13:$HE$512,"="&amp;SUBSTITUTE(SUBSTITUTE(SUBSTITUTE('Calculations'!ID167,"~","~~"),"*","~*"),"?","~?"))&gt;1,"!AMBIG",IFERROR(INDEX('Calculations'!$HF$13:$HF$512,MATCH('Calculations'!ID167,'Calculations'!$HE$13:$HE$512,0)),""))))</x:f>
      </x:c>
      <x:c r="IF167" t="str">
        <x:f>IF('Calculations'!IE167="","",IF('Calculations'!IE167="!AMBIG","!AMBIG",IF(COUNTIF('Calculations'!$HE$13:$HE$512,"="&amp;SUBSTITUTE(SUBSTITUTE(SUBSTITUTE('Calculations'!IE167,"~","~~"),"*","~*"),"?","~?"))&gt;1,"!AMBIG",IFERROR(INDEX('Calculations'!$HF$13:$HF$512,MATCH('Calculations'!IE167,'Calculations'!$HE$13:$HE$512,0)),""))))</x:f>
      </x:c>
      <x:c r="IG167" t="str">
        <x:f>IF('Calculations'!IF167="","",IF('Calculations'!IF167="!AMBIG","!AMBIG",IF(COUNTIF('Calculations'!$HE$13:$HE$512,"="&amp;SUBSTITUTE(SUBSTITUTE(SUBSTITUTE('Calculations'!IF167,"~","~~"),"*","~*"),"?","~?"))&gt;1,"!AMBIG",IFERROR(INDEX('Calculations'!$HF$13:$HF$512,MATCH('Calculations'!IF167,'Calculations'!$HE$13:$HE$512,0)),""))))</x:f>
      </x:c>
      <x:c r="IH167" t="str">
        <x:f>IF('Calculations'!IG167="","",IF('Calculations'!IG167="!AMBIG","!AMBIG",IF(COUNTIF('Calculations'!$HE$13:$HE$512,"="&amp;SUBSTITUTE(SUBSTITUTE(SUBSTITUTE('Calculations'!IG167,"~","~~"),"*","~*"),"?","~?"))&gt;1,"!AMBIG",IFERROR(INDEX('Calculations'!$HF$13:$HF$512,MATCH('Calculations'!IG167,'Calculations'!$HE$13:$HE$512,0)),""))))</x:f>
      </x:c>
      <x:c r="II167" t="str">
        <x:f>IF('Calculations'!IH167="","",IF('Calculations'!IH167="!AMBIG","!AMBIG",IF(COUNTIF('Calculations'!$HE$13:$HE$512,"="&amp;SUBSTITUTE(SUBSTITUTE(SUBSTITUTE('Calculations'!IH167,"~","~~"),"*","~*"),"?","~?"))&gt;1,"!AMBIG",IFERROR(INDEX('Calculations'!$HF$13:$HF$512,MATCH('Calculations'!IH167,'Calculations'!$HE$13:$HE$512,0)),""))))</x:f>
      </x:c>
      <x:c r="IJ167" t="str">
        <x:f>IF('Calculations'!EM167="","",IF('Calculations'!$EF$2="All",'Calculations'!HM167,IF('Calculations'!HL167=1,"",IFERROR(IF(MATCH('Calculations'!$EF$2,'Calculations'!HO167:II167,0)=1,'Calculations'!HE167,INDEX('Calculations'!HO167:II167,1,MATCH('Calculations'!$EF$2,'Calculations'!HO167:II167,0)-1)),""))))</x:f>
      </x:c>
      <x:c r="IK167" t="n">
        <x:f>IF(AND('Calculations'!EM167&lt;&gt;"",'Calculations'!$EF$2&lt;&gt;"All",'Calculations'!HF167='Calculations'!$EF$2,'Calculations'!HL167=0,'Calculations'!JD167&gt;0),MAX('Calculations'!$IK$12:IK166)+1,0)</x:f>
        <x:v>0</x:v>
      </x:c>
      <x:c r="JA167" t="n">
        <x:f>IF(OR(IFERROR(INDIRECT("'WCM Calibration Final'!$A$167")&lt;&gt;"",FALSE),IFERROR(INDIRECT("'WCM Calibration Final'!$B$167")&lt;&gt;"",FALSE),IFERROR(INDIRECT("'WCM Calibration Final'!$C$167")&lt;&gt;"",FALSE)),167,0)</x:f>
        <x:v>0</x:v>
      </x:c>
      <x:c r="JB167" t="n">
        <x:f>'Calculations'!JB166+IF('Calculations'!JA167&gt;0,1,0)</x:f>
        <x:v>0</x:v>
      </x:c>
      <x:c r="JC167" t="n">
        <x:f>IF(OR('Calculations'!HF167="",'Calculations'!HF167="!AMBIG"),0,IF('Dashboard'!$B$7="All",1,COUNTIFS('Calculations'!$HO$13:$HO$512,"="&amp;SUBSTITUTE(SUBSTITUTE(SUBSTITUTE('Calculations'!HF167,"~","~~"),"*","~*"),"?","~?"),'Calculations'!$HN$13:$HN$512,"="&amp;SUBSTITUTE(SUBSTITUTE(SUBSTITUTE('Dashboard'!$B$7,"~","~~"),"*","~*"),"?","~?"))+COUNTIFS('Calculations'!$HP$13:$HP$512,"="&amp;SUBSTITUTE(SUBSTITUTE(SUBSTITUTE('Calculations'!HF167,"~","~~"),"*","~*"),"?","~?"),'Calculations'!$HN$13:$HN$512,"="&amp;SUBSTITUTE(SUBSTITUTE(SUBSTITUTE('Dashboard'!$B$7,"~","~~"),"*","~*"),"?","~?"))+COUNTIFS('Calculations'!$HQ$13:$HQ$512,"="&amp;SUBSTITUTE(SUBSTITUTE(SUBSTITUTE('Calculations'!HF167,"~","~~"),"*","~*"),"?","~?"),'Calculations'!$HN$13:$HN$512,"="&amp;SUBSTITUTE(SUBSTITUTE(SUBSTITUTE('Dashboard'!$B$7,"~","~~"),"*","~*"),"?","~?"))+COUNTIFS('Calculations'!$HR$13:$HR$512,"="&amp;SUBSTITUTE(SUBSTITUTE(SUBSTITUTE('Calculations'!HF167,"~","~~"),"*","~*"),"?","~?"),'Calculations'!$HN$13:$HN$512,"="&amp;SUBSTITUTE(SUBSTITUTE(SUBSTITUTE('Dashboard'!$B$7,"~","~~"),"*","~*"),"?","~?"))+COUNTIFS('Calculations'!$HS$13:$HS$512,"="&amp;SUBSTITUTE(SUBSTITUTE(SUBSTITUTE('Calculations'!HF167,"~","~~"),"*","~*"),"?","~?"),'Calculations'!$HN$13:$HN$512,"="&amp;SUBSTITUTE(SUBSTITUTE(SUBSTITUTE('Dashboard'!$B$7,"~","~~"),"*","~*"),"?","~?"))+COUNTIFS('Calculations'!$HT$13:$HT$512,"="&amp;SUBSTITUTE(SUBSTITUTE(SUBSTITUTE('Calculations'!HF167,"~","~~"),"*","~*"),"?","~?"),'Calculations'!$HN$13:$HN$512,"="&amp;SUBSTITUTE(SUBSTITUTE(SUBSTITUTE('Dashboard'!$B$7,"~","~~"),"*","~*"),"?","~?"))+COUNTIFS('Calculations'!$HU$13:$HU$512,"="&amp;SUBSTITUTE(SUBSTITUTE(SUBSTITUTE('Calculations'!HF167,"~","~~"),"*","~*"),"?","~?"),'Calculations'!$HN$13:$HN$512,"="&amp;SUBSTITUTE(SUBSTITUTE(SUBSTITUTE('Dashboard'!$B$7,"~","~~"),"*","~*"),"?","~?"))+COUNTIFS('Calculations'!$HV$13:$HV$512,"="&amp;SUBSTITUTE(SUBSTITUTE(SUBSTITUTE('Calculations'!HF167,"~","~~"),"*","~*"),"?","~?"),'Calculations'!$HN$13:$HN$512,"="&amp;SUBSTITUTE(SUBSTITUTE(SUBSTITUTE('Dashboard'!$B$7,"~","~~"),"*","~*"),"?","~?"))+COUNTIFS('Calculations'!$HW$13:$HW$512,"="&amp;SUBSTITUTE(SUBSTITUTE(SUBSTITUTE('Calculations'!HF167,"~","~~"),"*","~*"),"?","~?"),'Calculations'!$HN$13:$HN$512,"="&amp;SUBSTITUTE(SUBSTITUTE(SUBSTITUTE('Dashboard'!$B$7,"~","~~"),"*","~*"),"?","~?"))+COUNTIFS('Calculations'!$HX$13:$HX$512,"="&amp;SUBSTITUTE(SUBSTITUTE(SUBSTITUTE('Calculations'!HF167,"~","~~"),"*","~*"),"?","~?"),'Calculations'!$HN$13:$HN$512,"="&amp;SUBSTITUTE(SUBSTITUTE(SUBSTITUTE('Dashboard'!$B$7,"~","~~"),"*","~*"),"?","~?"))+COUNTIFS('Calculations'!$HY$13:$HY$512,"="&amp;SUBSTITUTE(SUBSTITUTE(SUBSTITUTE('Calculations'!HF167,"~","~~"),"*","~*"),"?","~?"),'Calculations'!$HN$13:$HN$512,"="&amp;SUBSTITUTE(SUBSTITUTE(SUBSTITUTE('Dashboard'!$B$7,"~","~~"),"*","~*"),"?","~?"))+COUNTIFS('Calculations'!$HZ$13:$HZ$512,"="&amp;SUBSTITUTE(SUBSTITUTE(SUBSTITUTE('Calculations'!HF167,"~","~~"),"*","~*"),"?","~?"),'Calculations'!$HN$13:$HN$512,"="&amp;SUBSTITUTE(SUBSTITUTE(SUBSTITUTE('Dashboard'!$B$7,"~","~~"),"*","~*"),"?","~?"))+COUNTIFS('Calculations'!$IA$13:$IA$512,"="&amp;SUBSTITUTE(SUBSTITUTE(SUBSTITUTE('Calculations'!HF167,"~","~~"),"*","~*"),"?","~?"),'Calculations'!$HN$13:$HN$512,"="&amp;SUBSTITUTE(SUBSTITUTE(SUBSTITUTE('Dashboard'!$B$7,"~","~~"),"*","~*"),"?","~?"))+COUNTIFS('Calculations'!$IB$13:$IB$512,"="&amp;SUBSTITUTE(SUBSTITUTE(SUBSTITUTE('Calculations'!HF167,"~","~~"),"*","~*"),"?","~?"),'Calculations'!$HN$13:$HN$512,"="&amp;SUBSTITUTE(SUBSTITUTE(SUBSTITUTE('Dashboard'!$B$7,"~","~~"),"*","~*"),"?","~?"))+COUNTIFS('Calculations'!$IC$13:$IC$512,"="&amp;SUBSTITUTE(SUBSTITUTE(SUBSTITUTE('Calculations'!HF167,"~","~~"),"*","~*"),"?","~?"),'Calculations'!$HN$13:$HN$512,"="&amp;SUBSTITUTE(SUBSTITUTE(SUBSTITUTE('Dashboard'!$B$7,"~","~~"),"*","~*"),"?","~?"))+COUNTIFS('Calculations'!$ID$13:$ID$512,"="&amp;SUBSTITUTE(SUBSTITUTE(SUBSTITUTE('Calculations'!HF167,"~","~~"),"*","~*"),"?","~?"),'Calculations'!$HN$13:$HN$512,"="&amp;SUBSTITUTE(SUBSTITUTE(SUBSTITUTE('Dashboard'!$B$7,"~","~~"),"*","~*"),"?","~?"))+COUNTIFS('Calculations'!$IE$13:$IE$512,"="&amp;SUBSTITUTE(SUBSTITUTE(SUBSTITUTE('Calculations'!HF167,"~","~~"),"*","~*"),"?","~?"),'Calculations'!$HN$13:$HN$512,"="&amp;SUBSTITUTE(SUBSTITUTE(SUBSTITUTE('Dashboard'!$B$7,"~","~~"),"*","~*"),"?","~?"))+COUNTIFS('Calculations'!$IF$13:$IF$512,"="&amp;SUBSTITUTE(SUBSTITUTE(SUBSTITUTE('Calculations'!HF167,"~","~~"),"*","~*"),"?","~?"),'Calculations'!$HN$13:$HN$512,"="&amp;SUBSTITUTE(SUBSTITUTE(SUBSTITUTE('Dashboard'!$B$7,"~","~~"),"*","~*"),"?","~?"))+COUNTIFS('Calculations'!$IG$13:$IG$512,"="&amp;SUBSTITUTE(SUBSTITUTE(SUBSTITUTE('Calculations'!HF167,"~","~~"),"*","~*"),"?","~?"),'Calculations'!$HN$13:$HN$512,"="&amp;SUBSTITUTE(SUBSTITUTE(SUBSTITUTE('Dashboard'!$B$7,"~","~~"),"*","~*"),"?","~?"))+COUNTIFS('Calculations'!$IH$13:$IH$512,"="&amp;SUBSTITUTE(SUBSTITUTE(SUBSTITUTE('Calculations'!HF167,"~","~~"),"*","~*"),"?","~?"),'Calculations'!$HN$13:$HN$512,"="&amp;SUBSTITUTE(SUBSTITUTE(SUBSTITUTE('Dashboard'!$B$7,"~","~~"),"*","~*"),"?","~?"))))</x:f>
        <x:v>0</x:v>
      </x:c>
      <x:c r="JD167" t="n">
        <x:f>IF('Calculations'!EM167="",0,IF('Dashboard'!$B$7="All",1,IF('Calculations'!HN167='Dashboard'!$B$7,1,0)+IFERROR(INDEX('Calculations'!$JC$13:$JC$512,MATCH('Calculations'!HE167,'Calculations'!$HF$13:$HF$512,0)),0)))</x:f>
        <x:v>0</x:v>
      </x:c>
      <x:c r="JE167" t="n">
        <x:f>IF(AND('Calculations'!EM167&lt;&gt;"",'Calculations'!$JJ$2&lt;&gt;"All",'Calculations'!$JJ$2&lt;&gt;"",'Calculations'!HF167='Calculations'!$JJ$2,'Calculations'!HL167=0,'Calculations'!JD167&gt;0),MAX('Calculations'!$JE$12:JE166)+1,0)</x:f>
        <x:v>0</x:v>
      </x:c>
      <x:c r="JF167" t="str">
        <x:f>IF('Calculations'!EM167="","",IFERROR(IF(INDEX(INDIRECT("'WCM Calibration Final'!$G$1:$G$2000"),'Calculations'!$EM167)="","",TRIM(INDEX(INDIRECT("'WCM Calibration Final'!$G$1:$G$2000"),'Calculations'!$EM167)&amp;"")),""))</x:f>
      </x:c>
      <x:c r="JQ167" t="n">
        <x:f>IF(OR('Calculations'!BM167=0,NOT('Calculations'!$AG$2),'Calculations'!$AG$8&gt;0),0,IF(OR('Dashboard'!$B$7="All",'Calculations'!HN167='Dashboard'!$B$7),IF('Calculations'!$JJ$2="All",1,IF(AND('Calculations'!HF167='Calculations'!$JJ$2,'Calculations'!HL167=0),1,0)),0))</x:f>
        <x:v>0</x:v>
      </x:c>
    </x:row>
    <x:row r="168">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t="n">
        <x:f>IF('Calculations'!$EM168="",0,IF(OR(IFERROR(INDEX(INDIRECT("'WCM Calibration Final'!$A$1:$A$2000"),'Calculations'!$EM168)&lt;&gt;"",FALSE),IFERROR(INDEX(INDIRECT("'WCM Calibration Final'!$B$1:$B$2000"),'Calculations'!$EM168)&lt;&gt;"",FALSE),IFERROR(INDEX(INDIRECT("'WCM Calibration Final'!$C$1:$C$2000"),'Calculations'!$EM168)&lt;&gt;"",FALSE)),1,0))</x:f>
        <x:v>0</x:v>
      </x:c>
      <x:c r="BN168" s="4" t="n">
        <x:f>IF(AND('Calculations'!BM168=1,'Calculations'!$AG$2,'Calculations'!$EN168=1),1,0)</x:f>
        <x:v>0</x:v>
      </x:c>
      <x:c r="BO168" s="4" t="str">
        <x:f>IF('Calculations'!BM168=0,"",IFERROR(IF(AND(VALUE(INDEX(INDIRECT("'WCM Calibration Final'!$K$1:$K$2000"),'Calculations'!$EM168))&gt;=1,VALUE(INDEX(INDIRECT("'WCM Calibration Final'!$K$1:$K$2000"),'Calculations'!$EM168))&lt;=4,MOD(VALUE(INDEX(INDIRECT("'WCM Calibration Final'!$K$1:$K$2000"),'Calculations'!$EM168)),1)=0),VALUE(INDEX(INDIRECT("'WCM Calibration Final'!$K$1:$K$2000"),'Calculations'!$EM168)),""),""))</x:f>
      </x:c>
      <x:c r="BP168" s="4" t="str">
        <x:f>IF('Calculations'!BM168=0,"",IFERROR(IF(AND(VALUE(INDEX(INDIRECT("'WCM Calibration Final'!$L$1:$L$2000"),'Calculations'!$EM168))&gt;=1,VALUE(INDEX(INDIRECT("'WCM Calibration Final'!$L$1:$L$2000"),'Calculations'!$EM168))&lt;=4,MOD(VALUE(INDEX(INDIRECT("'WCM Calibration Final'!$L$1:$L$2000"),'Calculations'!$EM168)),1)=0),VALUE(INDEX(INDIRECT("'WCM Calibration Final'!$L$1:$L$2000"),'Calculations'!$EM168)),""),""))</x:f>
      </x:c>
      <x:c r="BQ168" s="4"/>
      <x:c r="BR168" s="4"/>
      <x:c r="BS168" s="4"/>
      <x:c r="BT168" s="4" t="n">
        <x:f>IF(AND('Calculations'!BM168=1,ISNUMBER('Calculations'!BO168),ISNUMBER('Calculations'!BP168)),1,0)</x:f>
        <x:v>0</x:v>
      </x:c>
      <x:c r="BU168" s="4" t="str">
        <x:f>IF('Calculations'!BM168=0,"",'Calculations'!$EO168)</x:f>
      </x:c>
      <x:c r="BV168" s="4" t="str">
        <x:f>IF('Calculations'!BM168=0,"",IFERROR(IF(OR(INDEX(INDIRECT("'WCM Calibration Final'!$H$1:$H$2000"),'Calculations'!$EM168)="MANAGING DIRECTOR",INDEX(INDIRECT("'WCM Calibration Final'!$H$1:$H$2000"),'Calculations'!$EM168)="DIRECTOR",INDEX(INDIRECT("'WCM Calibration Final'!$H$1:$H$2000"),'Calculations'!$EM168)="SENIOR VICE PRESIDENT",INDEX(INDIRECT("'WCM Calibration Final'!$H$1:$H$2000"),'Calculations'!$EM168)="VICE PRESIDENT",INDEX(INDIRECT("'WCM Calibration Final'!$H$1:$H$2000"),'Calculations'!$EM168)="ASSISTANT VICE PRESIDENT",INDEX(INDIRECT("'WCM Calibration Final'!$H$1:$H$2000"),'Calculations'!$EM168)="OFFICER"),UPPER(INDEX(INDIRECT("'WCM Calibration Final'!$H$1:$H$2000"),'Calculations'!$EM168)),"Other"),"Other"))</x:f>
      </x:c>
      <x:c r="BW168" s="4"/>
      <x:c r="BX168" s="4"/>
      <x:c r="BY168" s="4" t="n">
        <x:f>IF(AND('Calculations'!BM168=1,'Calculations'!BU168&lt;&gt;"",COUNTIF('Calculations'!$BU$12:BU168,'Calculations'!BU168)=1),MAX('Calculations'!$BY$11:BY167)+1,0)</x:f>
        <x:v>0</x:v>
      </x:c>
      <x:c r="BZ168" s="4" t="str">
        <x:f>IF('Dashboard'!$E$67="What",'Calculations'!BO168,'Calculations'!BP168)</x:f>
      </x:c>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t="str">
        <x:f>IF(157&gt;MAX('Calculations'!$HI$13:$HI$512),"",INDEX('Calculations'!$HN$13:$HN$512,MATCH(157,'Calculations'!$HI$13:$HI$512,0)))</x:f>
      </x:c>
      <x:c r="DB168" s="4" t="str">
        <x:f>IF(157&gt;MAX('Calculations'!$HH$13:$HH$512),"",INDEX('Calculations'!$HJ$13:$HJ$512,MATCH(157,'Calculations'!$HH$13:$HH$512,0)))</x:f>
      </x:c>
      <x:c r="DC168" s="4" t="str">
        <x:f>IF(ROW()-11&gt;MAX('Calculations'!$BY$13:$BY$512),"",INDEX('Calculations'!$BU$13:$BU$512,MATCH(ROW()-11,'Calculations'!$BY$13:$BY$512,0)))</x:f>
      </x:c>
      <x:c r="DD168" s="4" t="str">
        <x:f>IF(157&gt;MAX('Calculations'!$IK$13:$IK$512),"",INDEX('Calculations'!$HK$13:$HK$512,MATCH(157,'Calculations'!$IK$13:$IK$512,0)))</x:f>
      </x:c>
      <x:c r="DE168" s="4" t="str">
        <x:f>'Calculations'!DC168</x:f>
      </x:c>
      <x:c r="DF168" s="4" t="str">
        <x:f>IF('Calculations'!DE168="","",COUNTIFS('Calculations'!$BN$13:$BN$512,1,'Calculations'!$BU$13:$BU$512,'Calculations'!DE168))</x:f>
      </x:c>
      <x:c r="DG168" s="4" t="str">
        <x:f>IF('Calculations'!DE168="","",COUNTIFS('Calculations'!$BN$13:$BN$512,1,'Calculations'!$BU$13:$BU$512,'Calculations'!DE168,'Calculations'!$BT$13:$BT$512,1))</x:f>
      </x:c>
      <x:c r="DH168" s="4" t="str">
        <x:f>IF('Calculations'!DE168="","",'Calculations'!DF168-'Calculations'!DG168)</x:f>
      </x:c>
      <x:c r="DI168" s="4" t="str">
        <x:f>IF(OR('Calculations'!DE168="",'Calculations'!DF168=0),"",'Calculations'!DG168/'Calculations'!DF168)</x:f>
      </x:c>
      <x:c r="DJ168" s="4" t="str">
        <x:f>IF('Calculations'!DE168="","",COUNTIFS('Calculations'!$BN$13:$BN$512,1,'Calculations'!$BU$13:$BU$512,'Calculations'!DE168,'Calculations'!$BT$13:$BT$512,1,'Calculations'!$EE$13:$EE$512,"High"))</x:f>
      </x:c>
      <x:c r="DK168" s="4" t="str">
        <x:f>IF('Calculations'!DE168="","",COUNTIFS('Calculations'!$BN$13:$BN$512,1,'Calculations'!$BU$13:$BU$512,'Calculations'!DE168,'Calculations'!$BT$13:$BT$512,1,'Calculations'!$EE$13:$EE$512,"Strong"))</x:f>
      </x:c>
      <x:c r="DL168" s="4" t="str">
        <x:f>IF('Calculations'!DE168="","",COUNTIFS('Calculations'!$BN$13:$BN$512,1,'Calculations'!$BU$13:$BU$512,'Calculations'!DE168,'Calculations'!$BT$13:$BT$512,1,'Calculations'!$EE$13:$EE$512,"Solid"))</x:f>
      </x:c>
      <x:c r="DM168" s="4" t="str">
        <x:f>IF('Calculations'!DE168="","",COUNTIFS('Calculations'!$BN$13:$BN$512,1,'Calculations'!$BU$13:$BU$512,'Calculations'!DE168,'Calculations'!$BT$13:$BT$512,1,'Calculations'!$EE$13:$EE$512,"Low"))</x:f>
      </x:c>
      <x:c r="DN168" s="4" t="str">
        <x:f>IF('Calculations'!DE168="","",COUNTIFS('Calculations'!$BN$13:$BN$512,1,'Calculations'!$BU$13:$BU$512,'Calculations'!DE168,'Calculations'!$EP$13:$EP$512,1))</x:f>
      </x:c>
      <x:c r="DO168" s="4" t="str">
        <x:f>IF(OR('Calculations'!DE168="",'Calculations'!DG168=0),"",('Calculations'!DJ168+'Calculations'!DK168)/'Calculations'!DG168)</x:f>
      </x:c>
      <x:c r="DP168" s="4" t="n">
        <x:f>IF(AND('Calculations'!DE168&lt;&gt;"",'Calculations'!DF168&gt;0),COUNTIF('Calculations'!$DF$12:DF168,"&gt;0"),0)</x:f>
        <x:v>0</x:v>
      </x:c>
      <x:c r="DQ168" s="4" t="str">
        <x:f>IF(157&gt;MAX('Calculations'!$HH$13:$HH$512),"",INDEX('Calculations'!$HF$13:$HF$512,MATCH(157,'Calculations'!$HH$13:$HH$512,0)))</x:f>
      </x:c>
      <x:c r="DR168" s="4" t="str">
        <x:f>IF(157&gt;MAX('Calculations'!$IK$13:$IK$512),"",INDEX('Calculations'!$HE$13:$HE$512,MATCH(157,'Calculations'!$IK$13:$IK$512,0)))</x:f>
      </x:c>
      <x:c r="DS168" s="4"/>
      <x:c r="DT168" s="4"/>
      <x:c r="DU168" s="4"/>
      <x:c r="DV168" s="4"/>
      <x:c r="DW168" s="4"/>
      <x:c r="DX168" s="4"/>
      <x:c r="DY168" s="4"/>
      <x:c r="DZ168" s="4"/>
      <x:c r="EA168" s="4"/>
      <x:c r="EB168" s="4"/>
      <x:c r="EC168" s="4"/>
      <x:c r="ED168" s="4"/>
      <x:c r="EE168" s="4" t="str">
        <x:f>IF('Calculations'!BT168=0,"Not Rated",IF(OR('Calculations'!BO168&gt;=4,'Calculations'!BP168&gt;=4),"Low",IF('Calculations'!BO168+'Calculations'!BP168&lt;=3,"High",IF('Calculations'!BO168+'Calculations'!BP168&lt;=4,"Strong","Solid"))))</x:f>
        <x:v>Not Rated</x:v>
      </x:c>
      <x:c r="EF168" s="4"/>
      <x:c r="EG168" s="4"/>
      <x:c r="EH168" s="4"/>
      <x:c r="EI168" s="4"/>
      <x:c r="EJ168" s="4"/>
      <x:c r="EK168" s="4"/>
      <x:c r="EL168" s="4"/>
      <x:c r="EM168" s="4" t="str">
        <x:f>IF(156&gt;'Calculations'!$JB$2000,"",INDEX('Calculations'!$JA$12:$JA$2000,MATCH(156,'Calculations'!$JB$12:$JB$2000,0)))</x:f>
      </x:c>
      <x:c r="EN168" s="4" t="n">
        <x:f>IF(OR('Calculations'!EM168="",'Calculations'!$AG$8&gt;0,AND('Calculations'!$EF$2&lt;&gt;"All",'Calculations'!HE168='Calculations'!$EF$2),AND('Calculations'!$EF$3&lt;&gt;"All",'Calculations'!HE168='Calculations'!$EF$3)),0,IF(OR('Dashboard'!$B$7="All",'Calculations'!HN168='Dashboard'!$B$7),IF('Calculations'!$EF$2="All",1,IF('Calculations'!HL168&gt;0,0,IF(COUNTIF('Calculations'!HO168:II168,"="&amp;SUBSTITUTE(SUBSTITUTE(SUBSTITUTE('Calculations'!$EF$2,"~","~~"),"*","~*"),"?","~?"))=0,0,IF('Calculations'!$EF$3="All",1,IF(COUNTIF('Calculations'!HO168:II168,"="&amp;SUBSTITUTE(SUBSTITUTE(SUBSTITUTE('Calculations'!$EF$3,"~","~~"),"*","~*"),"?","~?"))&gt;0,1,0))))),0))</x:f>
        <x:v>0</x:v>
      </x:c>
      <x:c r="EO168" s="4" t="str">
        <x:f>IF('Calculations'!IJ168="","",IF('Calculations'!IJ168="!UNRESOLVED","Unresolved hierarchy",IFERROR(INDEX('Calculations'!$HK$13:$HK$512,MATCH('Calculations'!IJ168,'Calculations'!$HE$13:$HE$512,0)),IFERROR(INDEX('Calculations'!$HJ$13:$HJ$512,MATCH('Calculations'!IJ168,'Calculations'!$HF$13:$HF$512,0)),'Calculations'!IJ168))))</x:f>
      </x:c>
      <x:c r="EP168" s="4" t="n">
        <x:f>IF(AND('Calculations'!EM168&lt;&gt;"",'Calculations'!HF168='Calculations'!IJ168),1,0)</x:f>
        <x:v>0</x:v>
      </x:c>
      <x:c r="EQ168" s="4"/>
      <x:c r="ER168" s="4"/>
      <x:c r="ES168" s="4"/>
      <x:c r="ET168" s="4"/>
      <x:c r="EU168" s="4"/>
      <x:c r="EV168" s="4"/>
      <x:c r="EW168" s="4"/>
      <x:c r="EX168" s="4"/>
      <x:c r="EY168" s="4"/>
      <x:c r="EZ168" s="4"/>
      <x:c r="FA168" s="4"/>
      <x:c r="FB168" s="4"/>
      <x:c r="FC168" s="4"/>
      <x:c r="FD168" s="4"/>
      <x:c r="FE168" s="4"/>
      <x:c r="FF168" s="4"/>
      <x:c r="FG168" s="4"/>
      <x:c r="FH168" s="4"/>
      <x:c r="FI168" s="4"/>
      <x:c r="FJ168" s="4"/>
      <x:c r="FK168" s="4"/>
      <x:c r="FL168" s="4"/>
      <x:c r="FM168" s="4"/>
      <x:c r="FN168" s="4"/>
      <x:c r="FO168" s="4"/>
      <x:c r="GA168" s="71"/>
      <x:c r="GB168" s="71"/>
      <x:c r="GC168" s="71"/>
      <x:c r="GD168" s="71"/>
      <x:c r="GE168" s="71"/>
      <x:c r="GF168" s="71"/>
      <x:c r="GG168" s="71"/>
      <x:c r="GH168" s="71"/>
      <x:c r="GI168" s="71"/>
      <x:c r="GJ168" s="71"/>
      <x:c r="GK168" s="71"/>
      <x:c r="GL168" s="71"/>
      <x:c r="GM168" s="71"/>
      <x:c r="GN168" s="71"/>
      <x:c r="GO168" s="71"/>
      <x:c r="GP168" s="71"/>
      <x:c r="GQ168" s="71"/>
      <x:c r="GR168" s="71"/>
      <x:c r="GS168" s="71"/>
      <x:c r="GT168" s="71"/>
      <x:c r="GU168" s="71"/>
      <x:c r="GV168" s="71"/>
      <x:c r="GW168" s="71"/>
      <x:c r="GX168" s="71"/>
      <x:c r="GY168" s="71"/>
      <x:c r="GZ168" s="71"/>
      <x:c r="HA168" s="71"/>
      <x:c r="HB168" s="71"/>
      <x:c r="HC168" s="71"/>
      <x:c r="HD168" s="71"/>
      <x:c r="HE168" t="str">
        <x:f>IF('Calculations'!EM168="","",IF(IFERROR(IF(INDEX(INDIRECT("'WCM Calibration Final'!$A$1:$A$2000"),'Calculations'!$EM168)="","",TRIM(INDEX(INDIRECT("'WCM Calibration Final'!$A$1:$A$2000"),'Calculations'!$EM168)&amp;"")),"")&lt;&gt;"","G:"&amp;IFERROR(TEXT(1*INDEX(INDIRECT("'WCM Calibration Final'!$A$1:$A$2000"),'Calculations'!$EM168),"0"),UPPER(IFERROR(IF(INDEX(INDIRECT("'WCM Calibration Final'!$A$1:$A$2000"),'Calculations'!$EM168)="","",TRIM(INDEX(INDIRECT("'WCM Calibration Final'!$A$1:$A$2000"),'Calculations'!$EM168)&amp;"")),""))),IF(IFERROR(IF(INDEX(INDIRECT("'WCM Calibration Final'!$C$1:$C$2000"),'Calculations'!$EM168)="","",TRIM(INDEX(INDIRECT("'WCM Calibration Final'!$C$1:$C$2000"),'Calculations'!$EM168)&amp;"")),"")&lt;&gt;"","S:"&amp;UPPER(IFERROR(IF(INDEX(INDIRECT("'WCM Calibration Final'!$C$1:$C$2000"),'Calculations'!$EM168)="","",TRIM(INDEX(INDIRECT("'WCM Calibration Final'!$C$1:$C$2000"),'Calculations'!$EM168)&amp;"")),"")),"R:"&amp;'Calculations'!EM168)))</x:f>
      </x:c>
      <x:c r="HF168" t="str">
        <x:f>IF('Calculations'!EM168="","",IF(IFERROR(IF(INDEX(INDIRECT("'WCM Calibration Final'!$D$1:$D$2000"),'Calculations'!$EM168)="","",TRIM(INDEX(INDIRECT("'WCM Calibration Final'!$D$1:$D$2000"),'Calculations'!$EM168)&amp;"")),"")&lt;&gt;"","G:"&amp;IFERROR(TEXT(1*INDEX(INDIRECT("'WCM Calibration Final'!$D$1:$D$2000"),'Calculations'!$EM168),"0"),UPPER(IFERROR(IF(INDEX(INDIRECT("'WCM Calibration Final'!$D$1:$D$2000"),'Calculations'!$EM168)="","",TRIM(INDEX(INDIRECT("'WCM Calibration Final'!$D$1:$D$2000"),'Calculations'!$EM168)&amp;"")),""))),IF(IFERROR(IF(INDEX(INDIRECT("'WCM Calibration Final'!$E$1:$E$2000"),'Calculations'!$EM168)="","",TRIM(INDEX(INDIRECT("'WCM Calibration Final'!$E$1:$E$2000"),'Calculations'!$EM168)&amp;"")),"")="","",IF(COUNTIF('Calculations'!$HG$13:$HG$512,"="&amp;SUBSTITUTE(SUBSTITUTE(SUBSTITUTE(IFERROR(IF(INDEX(INDIRECT("'WCM Calibration Final'!$E$1:$E$2000"),'Calculations'!$EM168)="","",TRIM(INDEX(INDIRECT("'WCM Calibration Final'!$E$1:$E$2000"),'Calculations'!$EM168)&amp;"")),""),"~","~~"),"*","~*"),"?","~?"))=1,INDEX('Calculations'!$HE$13:$HE$512,MATCH(IFERROR(IF(INDEX(INDIRECT("'WCM Calibration Final'!$E$1:$E$2000"),'Calculations'!$EM168)="","",TRIM(INDEX(INDIRECT("'WCM Calibration Final'!$E$1:$E$2000"),'Calculations'!$EM168)&amp;"")),""),'Calculations'!$HG$13:$HG$512,0)),IF(COUNTIF('Calculations'!$HG$13:$HG$512,"="&amp;SUBSTITUTE(SUBSTITUTE(SUBSTITUTE(IFERROR(IF(INDEX(INDIRECT("'WCM Calibration Final'!$E$1:$E$2000"),'Calculations'!$EM168)="","",TRIM(INDEX(INDIRECT("'WCM Calibration Final'!$E$1:$E$2000"),'Calculations'!$EM168)&amp;"")),""),"~","~~"),"*","~*"),"?","~?"))&gt;1,"!AMBIG","X:"&amp;IFERROR(IF(INDEX(INDIRECT("'WCM Calibration Final'!$E$1:$E$2000"),'Calculations'!$EM168)="","",TRIM(INDEX(INDIRECT("'WCM Calibration Final'!$E$1:$E$2000"),'Calculations'!$EM168)&amp;"")),""))))))</x:f>
      </x:c>
      <x:c r="HG168" t="str">
        <x:f>IF('Calculations'!EM168="","",IFERROR(IF(INDEX(INDIRECT("'WCM Calibration Final'!$B$1:$B$2000"),'Calculations'!$EM168)="","",TRIM(INDEX(INDIRECT("'WCM Calibration Final'!$B$1:$B$2000"),'Calculations'!$EM168)&amp;"")),""))</x:f>
      </x:c>
      <x:c r="HH168" t="n">
        <x:f>IF(AND('Calculations'!JC168&gt;0,COUNTIF('Calculations'!$HF$12:HF168,"="&amp;SUBSTITUTE(SUBSTITUTE(SUBSTITUTE('Calculations'!HF168,"~","~~"),"*","~*"),"?","~?"))=1),MAX('Calculations'!$HH$12:HH167)+1,0)</x:f>
        <x:v>0</x:v>
      </x:c>
      <x:c r="HI168" t="n">
        <x:f>IF(AND('Calculations'!HN168&lt;&gt;"",COUNTIF('Calculations'!$HN$12:HN168,"="&amp;SUBSTITUTE(SUBSTITUTE(SUBSTITUTE('Calculations'!HN168,"~","~~"),"*","~*"),"?","~?"))=1),MAX('Calculations'!$HI$12:HI167)+1,0)</x:f>
        <x:v>0</x:v>
      </x:c>
      <x:c r="HJ168" t="str">
        <x:f>IF('Calculations'!HF168="","",IF(COUNTIF('Calculations'!$HE$13:$HE$512,"="&amp;SUBSTITUTE(SUBSTITUTE(SUBSTITUTE('Calculations'!HF168,"~","~~"),"*","~*"),"?","~?"))=1,INDEX('Calculations'!$HK$13:$HK$512,MATCH('Calculations'!HF168,'Calculations'!$HE$13:$HE$512,0)),IFERROR(IF(INDEX(INDIRECT("'WCM Calibration Final'!$E$1:$E$2000"),'Calculations'!$EM168)="","",TRIM(INDEX(INDIRECT("'WCM Calibration Final'!$E$1:$E$2000"),'Calculations'!$EM168)&amp;"")),"")&amp;" ["&amp;'Calculations'!HF168&amp;"]"))</x:f>
      </x:c>
      <x:c r="HK168" t="str">
        <x:f>IF('Calculations'!EM168="","",'Calculations'!HG168&amp;" ["&amp;'Calculations'!HE168&amp;"]")</x:f>
      </x:c>
      <x:c r="HL168" t="n">
        <x:f>IF('Calculations'!EM168="",0,IF(OR('Calculations'!II168&lt;&gt;"",COUNTIF('Calculations'!$HE$13:$HE$512,"="&amp;SUBSTITUTE(SUBSTITUTE(SUBSTITUTE('Calculations'!HE168,"~","~~"),"*","~*"),"?","~?"))&gt;1),1,0))</x:f>
        <x:v>0</x:v>
      </x:c>
      <x:c r="HM168" t="str">
        <x:f>IF('Calculations'!EM168="","",IF('Calculations'!HL168=1,"!UNRESOLVED",IF('Calculations'!IH168&lt;&gt;"",'Calculations'!IH168,IF('Calculations'!IG168&lt;&gt;"",'Calculations'!IG168,IF('Calculations'!IF168&lt;&gt;"",'Calculations'!IF168,IF('Calculations'!IE168&lt;&gt;"",'Calculations'!IE168,IF('Calculations'!ID168&lt;&gt;"",'Calculations'!ID168,IF('Calculations'!IC168&lt;&gt;"",'Calculations'!IC168,IF('Calculations'!IB168&lt;&gt;"",'Calculations'!IB168,IF('Calculations'!IA168&lt;&gt;"",'Calculations'!IA168,IF('Calculations'!HZ168&lt;&gt;"",'Calculations'!HZ168,IF('Calculations'!HY168&lt;&gt;"",'Calculations'!HY168,IF('Calculations'!HX168&lt;&gt;"",'Calculations'!HX168,IF('Calculations'!HW168&lt;&gt;"",'Calculations'!HW168,IF('Calculations'!HV168&lt;&gt;"",'Calculations'!HV168,IF('Calculations'!HU168&lt;&gt;"",'Calculations'!HU168,IF('Calculations'!HT168&lt;&gt;"",'Calculations'!HT168,IF('Calculations'!HS168&lt;&gt;"",'Calculations'!HS168,IF('Calculations'!HR168&lt;&gt;"",'Calculations'!HR168,IF('Calculations'!HQ168&lt;&gt;"",'Calculations'!HQ168,IF('Calculations'!HP168&lt;&gt;"",'Calculations'!HP168,IF('Calculations'!HO168&lt;&gt;"",'Calculations'!HO168,'Calculations'!HE168))))))))))))))))))))))</x:f>
      </x:c>
      <x:c r="HN168" t="str">
        <x:f>IF('Calculations'!EM168="","",IF(IFERROR(IF(INDEX(INDIRECT("'WCM Calibration Final'!$F$1:$F$2000"),'Calculations'!$EM168)="","",TRIM(INDEX(INDIRECT("'WCM Calibration Final'!$F$1:$F$2000"),'Calculations'!$EM168)&amp;"")),"")="","(Blank)",IFERROR(IF(INDEX(INDIRECT("'WCM Calibration Final'!$F$1:$F$2000"),'Calculations'!$EM168)="","",TRIM(INDEX(INDIRECT("'WCM Calibration Final'!$F$1:$F$2000"),'Calculations'!$EM168)&amp;"")),"")))</x:f>
      </x:c>
      <x:c r="HO168" t="str">
        <x:f>'Calculations'!HF168</x:f>
      </x:c>
      <x:c r="HP168" t="str">
        <x:f>IF('Calculations'!HO168="","",IF('Calculations'!HO168="!AMBIG","!AMBIG",IF(COUNTIF('Calculations'!$HE$13:$HE$512,"="&amp;SUBSTITUTE(SUBSTITUTE(SUBSTITUTE('Calculations'!HO168,"~","~~"),"*","~*"),"?","~?"))&gt;1,"!AMBIG",IFERROR(INDEX('Calculations'!$HF$13:$HF$512,MATCH('Calculations'!HO168,'Calculations'!$HE$13:$HE$512,0)),""))))</x:f>
      </x:c>
      <x:c r="HQ168" t="str">
        <x:f>IF('Calculations'!HP168="","",IF('Calculations'!HP168="!AMBIG","!AMBIG",IF(COUNTIF('Calculations'!$HE$13:$HE$512,"="&amp;SUBSTITUTE(SUBSTITUTE(SUBSTITUTE('Calculations'!HP168,"~","~~"),"*","~*"),"?","~?"))&gt;1,"!AMBIG",IFERROR(INDEX('Calculations'!$HF$13:$HF$512,MATCH('Calculations'!HP168,'Calculations'!$HE$13:$HE$512,0)),""))))</x:f>
      </x:c>
      <x:c r="HR168" t="str">
        <x:f>IF('Calculations'!HQ168="","",IF('Calculations'!HQ168="!AMBIG","!AMBIG",IF(COUNTIF('Calculations'!$HE$13:$HE$512,"="&amp;SUBSTITUTE(SUBSTITUTE(SUBSTITUTE('Calculations'!HQ168,"~","~~"),"*","~*"),"?","~?"))&gt;1,"!AMBIG",IFERROR(INDEX('Calculations'!$HF$13:$HF$512,MATCH('Calculations'!HQ168,'Calculations'!$HE$13:$HE$512,0)),""))))</x:f>
      </x:c>
      <x:c r="HS168" t="str">
        <x:f>IF('Calculations'!HR168="","",IF('Calculations'!HR168="!AMBIG","!AMBIG",IF(COUNTIF('Calculations'!$HE$13:$HE$512,"="&amp;SUBSTITUTE(SUBSTITUTE(SUBSTITUTE('Calculations'!HR168,"~","~~"),"*","~*"),"?","~?"))&gt;1,"!AMBIG",IFERROR(INDEX('Calculations'!$HF$13:$HF$512,MATCH('Calculations'!HR168,'Calculations'!$HE$13:$HE$512,0)),""))))</x:f>
      </x:c>
      <x:c r="HT168" t="str">
        <x:f>IF('Calculations'!HS168="","",IF('Calculations'!HS168="!AMBIG","!AMBIG",IF(COUNTIF('Calculations'!$HE$13:$HE$512,"="&amp;SUBSTITUTE(SUBSTITUTE(SUBSTITUTE('Calculations'!HS168,"~","~~"),"*","~*"),"?","~?"))&gt;1,"!AMBIG",IFERROR(INDEX('Calculations'!$HF$13:$HF$512,MATCH('Calculations'!HS168,'Calculations'!$HE$13:$HE$512,0)),""))))</x:f>
      </x:c>
      <x:c r="HU168" t="str">
        <x:f>IF('Calculations'!HT168="","",IF('Calculations'!HT168="!AMBIG","!AMBIG",IF(COUNTIF('Calculations'!$HE$13:$HE$512,"="&amp;SUBSTITUTE(SUBSTITUTE(SUBSTITUTE('Calculations'!HT168,"~","~~"),"*","~*"),"?","~?"))&gt;1,"!AMBIG",IFERROR(INDEX('Calculations'!$HF$13:$HF$512,MATCH('Calculations'!HT168,'Calculations'!$HE$13:$HE$512,0)),""))))</x:f>
      </x:c>
      <x:c r="HV168" t="str">
        <x:f>IF('Calculations'!HU168="","",IF('Calculations'!HU168="!AMBIG","!AMBIG",IF(COUNTIF('Calculations'!$HE$13:$HE$512,"="&amp;SUBSTITUTE(SUBSTITUTE(SUBSTITUTE('Calculations'!HU168,"~","~~"),"*","~*"),"?","~?"))&gt;1,"!AMBIG",IFERROR(INDEX('Calculations'!$HF$13:$HF$512,MATCH('Calculations'!HU168,'Calculations'!$HE$13:$HE$512,0)),""))))</x:f>
      </x:c>
      <x:c r="HW168" t="str">
        <x:f>IF('Calculations'!HV168="","",IF('Calculations'!HV168="!AMBIG","!AMBIG",IF(COUNTIF('Calculations'!$HE$13:$HE$512,"="&amp;SUBSTITUTE(SUBSTITUTE(SUBSTITUTE('Calculations'!HV168,"~","~~"),"*","~*"),"?","~?"))&gt;1,"!AMBIG",IFERROR(INDEX('Calculations'!$HF$13:$HF$512,MATCH('Calculations'!HV168,'Calculations'!$HE$13:$HE$512,0)),""))))</x:f>
      </x:c>
      <x:c r="HX168" t="str">
        <x:f>IF('Calculations'!HW168="","",IF('Calculations'!HW168="!AMBIG","!AMBIG",IF(COUNTIF('Calculations'!$HE$13:$HE$512,"="&amp;SUBSTITUTE(SUBSTITUTE(SUBSTITUTE('Calculations'!HW168,"~","~~"),"*","~*"),"?","~?"))&gt;1,"!AMBIG",IFERROR(INDEX('Calculations'!$HF$13:$HF$512,MATCH('Calculations'!HW168,'Calculations'!$HE$13:$HE$512,0)),""))))</x:f>
      </x:c>
      <x:c r="HY168" t="str">
        <x:f>IF('Calculations'!HX168="","",IF('Calculations'!HX168="!AMBIG","!AMBIG",IF(COUNTIF('Calculations'!$HE$13:$HE$512,"="&amp;SUBSTITUTE(SUBSTITUTE(SUBSTITUTE('Calculations'!HX168,"~","~~"),"*","~*"),"?","~?"))&gt;1,"!AMBIG",IFERROR(INDEX('Calculations'!$HF$13:$HF$512,MATCH('Calculations'!HX168,'Calculations'!$HE$13:$HE$512,0)),""))))</x:f>
      </x:c>
      <x:c r="HZ168" t="str">
        <x:f>IF('Calculations'!HY168="","",IF('Calculations'!HY168="!AMBIG","!AMBIG",IF(COUNTIF('Calculations'!$HE$13:$HE$512,"="&amp;SUBSTITUTE(SUBSTITUTE(SUBSTITUTE('Calculations'!HY168,"~","~~"),"*","~*"),"?","~?"))&gt;1,"!AMBIG",IFERROR(INDEX('Calculations'!$HF$13:$HF$512,MATCH('Calculations'!HY168,'Calculations'!$HE$13:$HE$512,0)),""))))</x:f>
      </x:c>
      <x:c r="IA168" t="str">
        <x:f>IF('Calculations'!HZ168="","",IF('Calculations'!HZ168="!AMBIG","!AMBIG",IF(COUNTIF('Calculations'!$HE$13:$HE$512,"="&amp;SUBSTITUTE(SUBSTITUTE(SUBSTITUTE('Calculations'!HZ168,"~","~~"),"*","~*"),"?","~?"))&gt;1,"!AMBIG",IFERROR(INDEX('Calculations'!$HF$13:$HF$512,MATCH('Calculations'!HZ168,'Calculations'!$HE$13:$HE$512,0)),""))))</x:f>
      </x:c>
      <x:c r="IB168" t="str">
        <x:f>IF('Calculations'!IA168="","",IF('Calculations'!IA168="!AMBIG","!AMBIG",IF(COUNTIF('Calculations'!$HE$13:$HE$512,"="&amp;SUBSTITUTE(SUBSTITUTE(SUBSTITUTE('Calculations'!IA168,"~","~~"),"*","~*"),"?","~?"))&gt;1,"!AMBIG",IFERROR(INDEX('Calculations'!$HF$13:$HF$512,MATCH('Calculations'!IA168,'Calculations'!$HE$13:$HE$512,0)),""))))</x:f>
      </x:c>
      <x:c r="IC168" t="str">
        <x:f>IF('Calculations'!IB168="","",IF('Calculations'!IB168="!AMBIG","!AMBIG",IF(COUNTIF('Calculations'!$HE$13:$HE$512,"="&amp;SUBSTITUTE(SUBSTITUTE(SUBSTITUTE('Calculations'!IB168,"~","~~"),"*","~*"),"?","~?"))&gt;1,"!AMBIG",IFERROR(INDEX('Calculations'!$HF$13:$HF$512,MATCH('Calculations'!IB168,'Calculations'!$HE$13:$HE$512,0)),""))))</x:f>
      </x:c>
      <x:c r="ID168" t="str">
        <x:f>IF('Calculations'!IC168="","",IF('Calculations'!IC168="!AMBIG","!AMBIG",IF(COUNTIF('Calculations'!$HE$13:$HE$512,"="&amp;SUBSTITUTE(SUBSTITUTE(SUBSTITUTE('Calculations'!IC168,"~","~~"),"*","~*"),"?","~?"))&gt;1,"!AMBIG",IFERROR(INDEX('Calculations'!$HF$13:$HF$512,MATCH('Calculations'!IC168,'Calculations'!$HE$13:$HE$512,0)),""))))</x:f>
      </x:c>
      <x:c r="IE168" t="str">
        <x:f>IF('Calculations'!ID168="","",IF('Calculations'!ID168="!AMBIG","!AMBIG",IF(COUNTIF('Calculations'!$HE$13:$HE$512,"="&amp;SUBSTITUTE(SUBSTITUTE(SUBSTITUTE('Calculations'!ID168,"~","~~"),"*","~*"),"?","~?"))&gt;1,"!AMBIG",IFERROR(INDEX('Calculations'!$HF$13:$HF$512,MATCH('Calculations'!ID168,'Calculations'!$HE$13:$HE$512,0)),""))))</x:f>
      </x:c>
      <x:c r="IF168" t="str">
        <x:f>IF('Calculations'!IE168="","",IF('Calculations'!IE168="!AMBIG","!AMBIG",IF(COUNTIF('Calculations'!$HE$13:$HE$512,"="&amp;SUBSTITUTE(SUBSTITUTE(SUBSTITUTE('Calculations'!IE168,"~","~~"),"*","~*"),"?","~?"))&gt;1,"!AMBIG",IFERROR(INDEX('Calculations'!$HF$13:$HF$512,MATCH('Calculations'!IE168,'Calculations'!$HE$13:$HE$512,0)),""))))</x:f>
      </x:c>
      <x:c r="IG168" t="str">
        <x:f>IF('Calculations'!IF168="","",IF('Calculations'!IF168="!AMBIG","!AMBIG",IF(COUNTIF('Calculations'!$HE$13:$HE$512,"="&amp;SUBSTITUTE(SUBSTITUTE(SUBSTITUTE('Calculations'!IF168,"~","~~"),"*","~*"),"?","~?"))&gt;1,"!AMBIG",IFERROR(INDEX('Calculations'!$HF$13:$HF$512,MATCH('Calculations'!IF168,'Calculations'!$HE$13:$HE$512,0)),""))))</x:f>
      </x:c>
      <x:c r="IH168" t="str">
        <x:f>IF('Calculations'!IG168="","",IF('Calculations'!IG168="!AMBIG","!AMBIG",IF(COUNTIF('Calculations'!$HE$13:$HE$512,"="&amp;SUBSTITUTE(SUBSTITUTE(SUBSTITUTE('Calculations'!IG168,"~","~~"),"*","~*"),"?","~?"))&gt;1,"!AMBIG",IFERROR(INDEX('Calculations'!$HF$13:$HF$512,MATCH('Calculations'!IG168,'Calculations'!$HE$13:$HE$512,0)),""))))</x:f>
      </x:c>
      <x:c r="II168" t="str">
        <x:f>IF('Calculations'!IH168="","",IF('Calculations'!IH168="!AMBIG","!AMBIG",IF(COUNTIF('Calculations'!$HE$13:$HE$512,"="&amp;SUBSTITUTE(SUBSTITUTE(SUBSTITUTE('Calculations'!IH168,"~","~~"),"*","~*"),"?","~?"))&gt;1,"!AMBIG",IFERROR(INDEX('Calculations'!$HF$13:$HF$512,MATCH('Calculations'!IH168,'Calculations'!$HE$13:$HE$512,0)),""))))</x:f>
      </x:c>
      <x:c r="IJ168" t="str">
        <x:f>IF('Calculations'!EM168="","",IF('Calculations'!$EF$2="All",'Calculations'!HM168,IF('Calculations'!HL168=1,"",IFERROR(IF(MATCH('Calculations'!$EF$2,'Calculations'!HO168:II168,0)=1,'Calculations'!HE168,INDEX('Calculations'!HO168:II168,1,MATCH('Calculations'!$EF$2,'Calculations'!HO168:II168,0)-1)),""))))</x:f>
      </x:c>
      <x:c r="IK168" t="n">
        <x:f>IF(AND('Calculations'!EM168&lt;&gt;"",'Calculations'!$EF$2&lt;&gt;"All",'Calculations'!HF168='Calculations'!$EF$2,'Calculations'!HL168=0,'Calculations'!JD168&gt;0),MAX('Calculations'!$IK$12:IK167)+1,0)</x:f>
        <x:v>0</x:v>
      </x:c>
      <x:c r="JA168" t="n">
        <x:f>IF(OR(IFERROR(INDIRECT("'WCM Calibration Final'!$A$168")&lt;&gt;"",FALSE),IFERROR(INDIRECT("'WCM Calibration Final'!$B$168")&lt;&gt;"",FALSE),IFERROR(INDIRECT("'WCM Calibration Final'!$C$168")&lt;&gt;"",FALSE)),168,0)</x:f>
        <x:v>0</x:v>
      </x:c>
      <x:c r="JB168" t="n">
        <x:f>'Calculations'!JB167+IF('Calculations'!JA168&gt;0,1,0)</x:f>
        <x:v>0</x:v>
      </x:c>
      <x:c r="JC168" t="n">
        <x:f>IF(OR('Calculations'!HF168="",'Calculations'!HF168="!AMBIG"),0,IF('Dashboard'!$B$7="All",1,COUNTIFS('Calculations'!$HO$13:$HO$512,"="&amp;SUBSTITUTE(SUBSTITUTE(SUBSTITUTE('Calculations'!HF168,"~","~~"),"*","~*"),"?","~?"),'Calculations'!$HN$13:$HN$512,"="&amp;SUBSTITUTE(SUBSTITUTE(SUBSTITUTE('Dashboard'!$B$7,"~","~~"),"*","~*"),"?","~?"))+COUNTIFS('Calculations'!$HP$13:$HP$512,"="&amp;SUBSTITUTE(SUBSTITUTE(SUBSTITUTE('Calculations'!HF168,"~","~~"),"*","~*"),"?","~?"),'Calculations'!$HN$13:$HN$512,"="&amp;SUBSTITUTE(SUBSTITUTE(SUBSTITUTE('Dashboard'!$B$7,"~","~~"),"*","~*"),"?","~?"))+COUNTIFS('Calculations'!$HQ$13:$HQ$512,"="&amp;SUBSTITUTE(SUBSTITUTE(SUBSTITUTE('Calculations'!HF168,"~","~~"),"*","~*"),"?","~?"),'Calculations'!$HN$13:$HN$512,"="&amp;SUBSTITUTE(SUBSTITUTE(SUBSTITUTE('Dashboard'!$B$7,"~","~~"),"*","~*"),"?","~?"))+COUNTIFS('Calculations'!$HR$13:$HR$512,"="&amp;SUBSTITUTE(SUBSTITUTE(SUBSTITUTE('Calculations'!HF168,"~","~~"),"*","~*"),"?","~?"),'Calculations'!$HN$13:$HN$512,"="&amp;SUBSTITUTE(SUBSTITUTE(SUBSTITUTE('Dashboard'!$B$7,"~","~~"),"*","~*"),"?","~?"))+COUNTIFS('Calculations'!$HS$13:$HS$512,"="&amp;SUBSTITUTE(SUBSTITUTE(SUBSTITUTE('Calculations'!HF168,"~","~~"),"*","~*"),"?","~?"),'Calculations'!$HN$13:$HN$512,"="&amp;SUBSTITUTE(SUBSTITUTE(SUBSTITUTE('Dashboard'!$B$7,"~","~~"),"*","~*"),"?","~?"))+COUNTIFS('Calculations'!$HT$13:$HT$512,"="&amp;SUBSTITUTE(SUBSTITUTE(SUBSTITUTE('Calculations'!HF168,"~","~~"),"*","~*"),"?","~?"),'Calculations'!$HN$13:$HN$512,"="&amp;SUBSTITUTE(SUBSTITUTE(SUBSTITUTE('Dashboard'!$B$7,"~","~~"),"*","~*"),"?","~?"))+COUNTIFS('Calculations'!$HU$13:$HU$512,"="&amp;SUBSTITUTE(SUBSTITUTE(SUBSTITUTE('Calculations'!HF168,"~","~~"),"*","~*"),"?","~?"),'Calculations'!$HN$13:$HN$512,"="&amp;SUBSTITUTE(SUBSTITUTE(SUBSTITUTE('Dashboard'!$B$7,"~","~~"),"*","~*"),"?","~?"))+COUNTIFS('Calculations'!$HV$13:$HV$512,"="&amp;SUBSTITUTE(SUBSTITUTE(SUBSTITUTE('Calculations'!HF168,"~","~~"),"*","~*"),"?","~?"),'Calculations'!$HN$13:$HN$512,"="&amp;SUBSTITUTE(SUBSTITUTE(SUBSTITUTE('Dashboard'!$B$7,"~","~~"),"*","~*"),"?","~?"))+COUNTIFS('Calculations'!$HW$13:$HW$512,"="&amp;SUBSTITUTE(SUBSTITUTE(SUBSTITUTE('Calculations'!HF168,"~","~~"),"*","~*"),"?","~?"),'Calculations'!$HN$13:$HN$512,"="&amp;SUBSTITUTE(SUBSTITUTE(SUBSTITUTE('Dashboard'!$B$7,"~","~~"),"*","~*"),"?","~?"))+COUNTIFS('Calculations'!$HX$13:$HX$512,"="&amp;SUBSTITUTE(SUBSTITUTE(SUBSTITUTE('Calculations'!HF168,"~","~~"),"*","~*"),"?","~?"),'Calculations'!$HN$13:$HN$512,"="&amp;SUBSTITUTE(SUBSTITUTE(SUBSTITUTE('Dashboard'!$B$7,"~","~~"),"*","~*"),"?","~?"))+COUNTIFS('Calculations'!$HY$13:$HY$512,"="&amp;SUBSTITUTE(SUBSTITUTE(SUBSTITUTE('Calculations'!HF168,"~","~~"),"*","~*"),"?","~?"),'Calculations'!$HN$13:$HN$512,"="&amp;SUBSTITUTE(SUBSTITUTE(SUBSTITUTE('Dashboard'!$B$7,"~","~~"),"*","~*"),"?","~?"))+COUNTIFS('Calculations'!$HZ$13:$HZ$512,"="&amp;SUBSTITUTE(SUBSTITUTE(SUBSTITUTE('Calculations'!HF168,"~","~~"),"*","~*"),"?","~?"),'Calculations'!$HN$13:$HN$512,"="&amp;SUBSTITUTE(SUBSTITUTE(SUBSTITUTE('Dashboard'!$B$7,"~","~~"),"*","~*"),"?","~?"))+COUNTIFS('Calculations'!$IA$13:$IA$512,"="&amp;SUBSTITUTE(SUBSTITUTE(SUBSTITUTE('Calculations'!HF168,"~","~~"),"*","~*"),"?","~?"),'Calculations'!$HN$13:$HN$512,"="&amp;SUBSTITUTE(SUBSTITUTE(SUBSTITUTE('Dashboard'!$B$7,"~","~~"),"*","~*"),"?","~?"))+COUNTIFS('Calculations'!$IB$13:$IB$512,"="&amp;SUBSTITUTE(SUBSTITUTE(SUBSTITUTE('Calculations'!HF168,"~","~~"),"*","~*"),"?","~?"),'Calculations'!$HN$13:$HN$512,"="&amp;SUBSTITUTE(SUBSTITUTE(SUBSTITUTE('Dashboard'!$B$7,"~","~~"),"*","~*"),"?","~?"))+COUNTIFS('Calculations'!$IC$13:$IC$512,"="&amp;SUBSTITUTE(SUBSTITUTE(SUBSTITUTE('Calculations'!HF168,"~","~~"),"*","~*"),"?","~?"),'Calculations'!$HN$13:$HN$512,"="&amp;SUBSTITUTE(SUBSTITUTE(SUBSTITUTE('Dashboard'!$B$7,"~","~~"),"*","~*"),"?","~?"))+COUNTIFS('Calculations'!$ID$13:$ID$512,"="&amp;SUBSTITUTE(SUBSTITUTE(SUBSTITUTE('Calculations'!HF168,"~","~~"),"*","~*"),"?","~?"),'Calculations'!$HN$13:$HN$512,"="&amp;SUBSTITUTE(SUBSTITUTE(SUBSTITUTE('Dashboard'!$B$7,"~","~~"),"*","~*"),"?","~?"))+COUNTIFS('Calculations'!$IE$13:$IE$512,"="&amp;SUBSTITUTE(SUBSTITUTE(SUBSTITUTE('Calculations'!HF168,"~","~~"),"*","~*"),"?","~?"),'Calculations'!$HN$13:$HN$512,"="&amp;SUBSTITUTE(SUBSTITUTE(SUBSTITUTE('Dashboard'!$B$7,"~","~~"),"*","~*"),"?","~?"))+COUNTIFS('Calculations'!$IF$13:$IF$512,"="&amp;SUBSTITUTE(SUBSTITUTE(SUBSTITUTE('Calculations'!HF168,"~","~~"),"*","~*"),"?","~?"),'Calculations'!$HN$13:$HN$512,"="&amp;SUBSTITUTE(SUBSTITUTE(SUBSTITUTE('Dashboard'!$B$7,"~","~~"),"*","~*"),"?","~?"))+COUNTIFS('Calculations'!$IG$13:$IG$512,"="&amp;SUBSTITUTE(SUBSTITUTE(SUBSTITUTE('Calculations'!HF168,"~","~~"),"*","~*"),"?","~?"),'Calculations'!$HN$13:$HN$512,"="&amp;SUBSTITUTE(SUBSTITUTE(SUBSTITUTE('Dashboard'!$B$7,"~","~~"),"*","~*"),"?","~?"))+COUNTIFS('Calculations'!$IH$13:$IH$512,"="&amp;SUBSTITUTE(SUBSTITUTE(SUBSTITUTE('Calculations'!HF168,"~","~~"),"*","~*"),"?","~?"),'Calculations'!$HN$13:$HN$512,"="&amp;SUBSTITUTE(SUBSTITUTE(SUBSTITUTE('Dashboard'!$B$7,"~","~~"),"*","~*"),"?","~?"))))</x:f>
        <x:v>0</x:v>
      </x:c>
      <x:c r="JD168" t="n">
        <x:f>IF('Calculations'!EM168="",0,IF('Dashboard'!$B$7="All",1,IF('Calculations'!HN168='Dashboard'!$B$7,1,0)+IFERROR(INDEX('Calculations'!$JC$13:$JC$512,MATCH('Calculations'!HE168,'Calculations'!$HF$13:$HF$512,0)),0)))</x:f>
        <x:v>0</x:v>
      </x:c>
      <x:c r="JE168" t="n">
        <x:f>IF(AND('Calculations'!EM168&lt;&gt;"",'Calculations'!$JJ$2&lt;&gt;"All",'Calculations'!$JJ$2&lt;&gt;"",'Calculations'!HF168='Calculations'!$JJ$2,'Calculations'!HL168=0,'Calculations'!JD168&gt;0),MAX('Calculations'!$JE$12:JE167)+1,0)</x:f>
        <x:v>0</x:v>
      </x:c>
      <x:c r="JF168" t="str">
        <x:f>IF('Calculations'!EM168="","",IFERROR(IF(INDEX(INDIRECT("'WCM Calibration Final'!$G$1:$G$2000"),'Calculations'!$EM168)="","",TRIM(INDEX(INDIRECT("'WCM Calibration Final'!$G$1:$G$2000"),'Calculations'!$EM168)&amp;"")),""))</x:f>
      </x:c>
      <x:c r="JQ168" t="n">
        <x:f>IF(OR('Calculations'!BM168=0,NOT('Calculations'!$AG$2),'Calculations'!$AG$8&gt;0),0,IF(OR('Dashboard'!$B$7="All",'Calculations'!HN168='Dashboard'!$B$7),IF('Calculations'!$JJ$2="All",1,IF(AND('Calculations'!HF168='Calculations'!$JJ$2,'Calculations'!HL168=0),1,0)),0))</x:f>
        <x:v>0</x:v>
      </x:c>
    </x:row>
    <x:row r="169">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t="n">
        <x:f>IF('Calculations'!$EM169="",0,IF(OR(IFERROR(INDEX(INDIRECT("'WCM Calibration Final'!$A$1:$A$2000"),'Calculations'!$EM169)&lt;&gt;"",FALSE),IFERROR(INDEX(INDIRECT("'WCM Calibration Final'!$B$1:$B$2000"),'Calculations'!$EM169)&lt;&gt;"",FALSE),IFERROR(INDEX(INDIRECT("'WCM Calibration Final'!$C$1:$C$2000"),'Calculations'!$EM169)&lt;&gt;"",FALSE)),1,0))</x:f>
        <x:v>0</x:v>
      </x:c>
      <x:c r="BN169" s="4" t="n">
        <x:f>IF(AND('Calculations'!BM169=1,'Calculations'!$AG$2,'Calculations'!$EN169=1),1,0)</x:f>
        <x:v>0</x:v>
      </x:c>
      <x:c r="BO169" s="4" t="str">
        <x:f>IF('Calculations'!BM169=0,"",IFERROR(IF(AND(VALUE(INDEX(INDIRECT("'WCM Calibration Final'!$K$1:$K$2000"),'Calculations'!$EM169))&gt;=1,VALUE(INDEX(INDIRECT("'WCM Calibration Final'!$K$1:$K$2000"),'Calculations'!$EM169))&lt;=4,MOD(VALUE(INDEX(INDIRECT("'WCM Calibration Final'!$K$1:$K$2000"),'Calculations'!$EM169)),1)=0),VALUE(INDEX(INDIRECT("'WCM Calibration Final'!$K$1:$K$2000"),'Calculations'!$EM169)),""),""))</x:f>
      </x:c>
      <x:c r="BP169" s="4" t="str">
        <x:f>IF('Calculations'!BM169=0,"",IFERROR(IF(AND(VALUE(INDEX(INDIRECT("'WCM Calibration Final'!$L$1:$L$2000"),'Calculations'!$EM169))&gt;=1,VALUE(INDEX(INDIRECT("'WCM Calibration Final'!$L$1:$L$2000"),'Calculations'!$EM169))&lt;=4,MOD(VALUE(INDEX(INDIRECT("'WCM Calibration Final'!$L$1:$L$2000"),'Calculations'!$EM169)),1)=0),VALUE(INDEX(INDIRECT("'WCM Calibration Final'!$L$1:$L$2000"),'Calculations'!$EM169)),""),""))</x:f>
      </x:c>
      <x:c r="BQ169" s="4"/>
      <x:c r="BR169" s="4"/>
      <x:c r="BS169" s="4"/>
      <x:c r="BT169" s="4" t="n">
        <x:f>IF(AND('Calculations'!BM169=1,ISNUMBER('Calculations'!BO169),ISNUMBER('Calculations'!BP169)),1,0)</x:f>
        <x:v>0</x:v>
      </x:c>
      <x:c r="BU169" s="4" t="str">
        <x:f>IF('Calculations'!BM169=0,"",'Calculations'!$EO169)</x:f>
      </x:c>
      <x:c r="BV169" s="4" t="str">
        <x:f>IF('Calculations'!BM169=0,"",IFERROR(IF(OR(INDEX(INDIRECT("'WCM Calibration Final'!$H$1:$H$2000"),'Calculations'!$EM169)="MANAGING DIRECTOR",INDEX(INDIRECT("'WCM Calibration Final'!$H$1:$H$2000"),'Calculations'!$EM169)="DIRECTOR",INDEX(INDIRECT("'WCM Calibration Final'!$H$1:$H$2000"),'Calculations'!$EM169)="SENIOR VICE PRESIDENT",INDEX(INDIRECT("'WCM Calibration Final'!$H$1:$H$2000"),'Calculations'!$EM169)="VICE PRESIDENT",INDEX(INDIRECT("'WCM Calibration Final'!$H$1:$H$2000"),'Calculations'!$EM169)="ASSISTANT VICE PRESIDENT",INDEX(INDIRECT("'WCM Calibration Final'!$H$1:$H$2000"),'Calculations'!$EM169)="OFFICER"),UPPER(INDEX(INDIRECT("'WCM Calibration Final'!$H$1:$H$2000"),'Calculations'!$EM169)),"Other"),"Other"))</x:f>
      </x:c>
      <x:c r="BW169" s="4"/>
      <x:c r="BX169" s="4"/>
      <x:c r="BY169" s="4" t="n">
        <x:f>IF(AND('Calculations'!BM169=1,'Calculations'!BU169&lt;&gt;"",COUNTIF('Calculations'!$BU$12:BU169,'Calculations'!BU169)=1),MAX('Calculations'!$BY$11:BY168)+1,0)</x:f>
        <x:v>0</x:v>
      </x:c>
      <x:c r="BZ169" s="4" t="str">
        <x:f>IF('Dashboard'!$E$67="What",'Calculations'!BO169,'Calculations'!BP169)</x:f>
      </x:c>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t="str">
        <x:f>IF(158&gt;MAX('Calculations'!$HI$13:$HI$512),"",INDEX('Calculations'!$HN$13:$HN$512,MATCH(158,'Calculations'!$HI$13:$HI$512,0)))</x:f>
      </x:c>
      <x:c r="DB169" s="4" t="str">
        <x:f>IF(158&gt;MAX('Calculations'!$HH$13:$HH$512),"",INDEX('Calculations'!$HJ$13:$HJ$512,MATCH(158,'Calculations'!$HH$13:$HH$512,0)))</x:f>
      </x:c>
      <x:c r="DC169" s="4" t="str">
        <x:f>IF(ROW()-11&gt;MAX('Calculations'!$BY$13:$BY$512),"",INDEX('Calculations'!$BU$13:$BU$512,MATCH(ROW()-11,'Calculations'!$BY$13:$BY$512,0)))</x:f>
      </x:c>
      <x:c r="DD169" s="4" t="str">
        <x:f>IF(158&gt;MAX('Calculations'!$IK$13:$IK$512),"",INDEX('Calculations'!$HK$13:$HK$512,MATCH(158,'Calculations'!$IK$13:$IK$512,0)))</x:f>
      </x:c>
      <x:c r="DE169" s="4" t="str">
        <x:f>'Calculations'!DC169</x:f>
      </x:c>
      <x:c r="DF169" s="4" t="str">
        <x:f>IF('Calculations'!DE169="","",COUNTIFS('Calculations'!$BN$13:$BN$512,1,'Calculations'!$BU$13:$BU$512,'Calculations'!DE169))</x:f>
      </x:c>
      <x:c r="DG169" s="4" t="str">
        <x:f>IF('Calculations'!DE169="","",COUNTIFS('Calculations'!$BN$13:$BN$512,1,'Calculations'!$BU$13:$BU$512,'Calculations'!DE169,'Calculations'!$BT$13:$BT$512,1))</x:f>
      </x:c>
      <x:c r="DH169" s="4" t="str">
        <x:f>IF('Calculations'!DE169="","",'Calculations'!DF169-'Calculations'!DG169)</x:f>
      </x:c>
      <x:c r="DI169" s="4" t="str">
        <x:f>IF(OR('Calculations'!DE169="",'Calculations'!DF169=0),"",'Calculations'!DG169/'Calculations'!DF169)</x:f>
      </x:c>
      <x:c r="DJ169" s="4" t="str">
        <x:f>IF('Calculations'!DE169="","",COUNTIFS('Calculations'!$BN$13:$BN$512,1,'Calculations'!$BU$13:$BU$512,'Calculations'!DE169,'Calculations'!$BT$13:$BT$512,1,'Calculations'!$EE$13:$EE$512,"High"))</x:f>
      </x:c>
      <x:c r="DK169" s="4" t="str">
        <x:f>IF('Calculations'!DE169="","",COUNTIFS('Calculations'!$BN$13:$BN$512,1,'Calculations'!$BU$13:$BU$512,'Calculations'!DE169,'Calculations'!$BT$13:$BT$512,1,'Calculations'!$EE$13:$EE$512,"Strong"))</x:f>
      </x:c>
      <x:c r="DL169" s="4" t="str">
        <x:f>IF('Calculations'!DE169="","",COUNTIFS('Calculations'!$BN$13:$BN$512,1,'Calculations'!$BU$13:$BU$512,'Calculations'!DE169,'Calculations'!$BT$13:$BT$512,1,'Calculations'!$EE$13:$EE$512,"Solid"))</x:f>
      </x:c>
      <x:c r="DM169" s="4" t="str">
        <x:f>IF('Calculations'!DE169="","",COUNTIFS('Calculations'!$BN$13:$BN$512,1,'Calculations'!$BU$13:$BU$512,'Calculations'!DE169,'Calculations'!$BT$13:$BT$512,1,'Calculations'!$EE$13:$EE$512,"Low"))</x:f>
      </x:c>
      <x:c r="DN169" s="4" t="str">
        <x:f>IF('Calculations'!DE169="","",COUNTIFS('Calculations'!$BN$13:$BN$512,1,'Calculations'!$BU$13:$BU$512,'Calculations'!DE169,'Calculations'!$EP$13:$EP$512,1))</x:f>
      </x:c>
      <x:c r="DO169" s="4" t="str">
        <x:f>IF(OR('Calculations'!DE169="",'Calculations'!DG169=0),"",('Calculations'!DJ169+'Calculations'!DK169)/'Calculations'!DG169)</x:f>
      </x:c>
      <x:c r="DP169" s="4" t="n">
        <x:f>IF(AND('Calculations'!DE169&lt;&gt;"",'Calculations'!DF169&gt;0),COUNTIF('Calculations'!$DF$12:DF169,"&gt;0"),0)</x:f>
        <x:v>0</x:v>
      </x:c>
      <x:c r="DQ169" s="4" t="str">
        <x:f>IF(158&gt;MAX('Calculations'!$HH$13:$HH$512),"",INDEX('Calculations'!$HF$13:$HF$512,MATCH(158,'Calculations'!$HH$13:$HH$512,0)))</x:f>
      </x:c>
      <x:c r="DR169" s="4" t="str">
        <x:f>IF(158&gt;MAX('Calculations'!$IK$13:$IK$512),"",INDEX('Calculations'!$HE$13:$HE$512,MATCH(158,'Calculations'!$IK$13:$IK$512,0)))</x:f>
      </x:c>
      <x:c r="DS169" s="4"/>
      <x:c r="DT169" s="4"/>
      <x:c r="DU169" s="4"/>
      <x:c r="DV169" s="4"/>
      <x:c r="DW169" s="4"/>
      <x:c r="DX169" s="4"/>
      <x:c r="DY169" s="4"/>
      <x:c r="DZ169" s="4"/>
      <x:c r="EA169" s="4"/>
      <x:c r="EB169" s="4"/>
      <x:c r="EC169" s="4"/>
      <x:c r="ED169" s="4"/>
      <x:c r="EE169" s="4" t="str">
        <x:f>IF('Calculations'!BT169=0,"Not Rated",IF(OR('Calculations'!BO169&gt;=4,'Calculations'!BP169&gt;=4),"Low",IF('Calculations'!BO169+'Calculations'!BP169&lt;=3,"High",IF('Calculations'!BO169+'Calculations'!BP169&lt;=4,"Strong","Solid"))))</x:f>
        <x:v>Not Rated</x:v>
      </x:c>
      <x:c r="EF169" s="4"/>
      <x:c r="EG169" s="4"/>
      <x:c r="EH169" s="4"/>
      <x:c r="EI169" s="4"/>
      <x:c r="EJ169" s="4"/>
      <x:c r="EK169" s="4"/>
      <x:c r="EL169" s="4"/>
      <x:c r="EM169" s="4" t="str">
        <x:f>IF(157&gt;'Calculations'!$JB$2000,"",INDEX('Calculations'!$JA$12:$JA$2000,MATCH(157,'Calculations'!$JB$12:$JB$2000,0)))</x:f>
      </x:c>
      <x:c r="EN169" s="4" t="n">
        <x:f>IF(OR('Calculations'!EM169="",'Calculations'!$AG$8&gt;0,AND('Calculations'!$EF$2&lt;&gt;"All",'Calculations'!HE169='Calculations'!$EF$2),AND('Calculations'!$EF$3&lt;&gt;"All",'Calculations'!HE169='Calculations'!$EF$3)),0,IF(OR('Dashboard'!$B$7="All",'Calculations'!HN169='Dashboard'!$B$7),IF('Calculations'!$EF$2="All",1,IF('Calculations'!HL169&gt;0,0,IF(COUNTIF('Calculations'!HO169:II169,"="&amp;SUBSTITUTE(SUBSTITUTE(SUBSTITUTE('Calculations'!$EF$2,"~","~~"),"*","~*"),"?","~?"))=0,0,IF('Calculations'!$EF$3="All",1,IF(COUNTIF('Calculations'!HO169:II169,"="&amp;SUBSTITUTE(SUBSTITUTE(SUBSTITUTE('Calculations'!$EF$3,"~","~~"),"*","~*"),"?","~?"))&gt;0,1,0))))),0))</x:f>
        <x:v>0</x:v>
      </x:c>
      <x:c r="EO169" s="4" t="str">
        <x:f>IF('Calculations'!IJ169="","",IF('Calculations'!IJ169="!UNRESOLVED","Unresolved hierarchy",IFERROR(INDEX('Calculations'!$HK$13:$HK$512,MATCH('Calculations'!IJ169,'Calculations'!$HE$13:$HE$512,0)),IFERROR(INDEX('Calculations'!$HJ$13:$HJ$512,MATCH('Calculations'!IJ169,'Calculations'!$HF$13:$HF$512,0)),'Calculations'!IJ169))))</x:f>
      </x:c>
      <x:c r="EP169" s="4" t="n">
        <x:f>IF(AND('Calculations'!EM169&lt;&gt;"",'Calculations'!HF169='Calculations'!IJ169),1,0)</x:f>
        <x:v>0</x:v>
      </x:c>
      <x:c r="EQ169" s="4"/>
      <x:c r="ER169" s="4"/>
      <x:c r="ES169" s="4"/>
      <x:c r="ET169" s="4"/>
      <x:c r="EU169" s="4"/>
      <x:c r="EV169" s="4"/>
      <x:c r="EW169" s="4"/>
      <x:c r="EX169" s="4"/>
      <x:c r="EY169" s="4"/>
      <x:c r="EZ169" s="4"/>
      <x:c r="FA169" s="4"/>
      <x:c r="FB169" s="4"/>
      <x:c r="FC169" s="4"/>
      <x:c r="FD169" s="4"/>
      <x:c r="FE169" s="4"/>
      <x:c r="FF169" s="4"/>
      <x:c r="FG169" s="4"/>
      <x:c r="FH169" s="4"/>
      <x:c r="FI169" s="4"/>
      <x:c r="FJ169" s="4"/>
      <x:c r="FK169" s="4"/>
      <x:c r="FL169" s="4"/>
      <x:c r="FM169" s="4"/>
      <x:c r="FN169" s="4"/>
      <x:c r="FO169" s="4"/>
      <x:c r="GA169" s="71"/>
      <x:c r="GB169" s="71"/>
      <x:c r="GC169" s="71"/>
      <x:c r="GD169" s="71"/>
      <x:c r="GE169" s="71"/>
      <x:c r="GF169" s="71"/>
      <x:c r="GG169" s="71"/>
      <x:c r="GH169" s="71"/>
      <x:c r="GI169" s="71"/>
      <x:c r="GJ169" s="71"/>
      <x:c r="GK169" s="71"/>
      <x:c r="GL169" s="71"/>
      <x:c r="GM169" s="71"/>
      <x:c r="GN169" s="71"/>
      <x:c r="GO169" s="71"/>
      <x:c r="GP169" s="71"/>
      <x:c r="GQ169" s="71"/>
      <x:c r="GR169" s="71"/>
      <x:c r="GS169" s="71"/>
      <x:c r="GT169" s="71"/>
      <x:c r="GU169" s="71"/>
      <x:c r="GV169" s="71"/>
      <x:c r="GW169" s="71"/>
      <x:c r="GX169" s="71"/>
      <x:c r="GY169" s="71"/>
      <x:c r="GZ169" s="71"/>
      <x:c r="HA169" s="71"/>
      <x:c r="HB169" s="71"/>
      <x:c r="HC169" s="71"/>
      <x:c r="HD169" s="71"/>
      <x:c r="HE169" t="str">
        <x:f>IF('Calculations'!EM169="","",IF(IFERROR(IF(INDEX(INDIRECT("'WCM Calibration Final'!$A$1:$A$2000"),'Calculations'!$EM169)="","",TRIM(INDEX(INDIRECT("'WCM Calibration Final'!$A$1:$A$2000"),'Calculations'!$EM169)&amp;"")),"")&lt;&gt;"","G:"&amp;IFERROR(TEXT(1*INDEX(INDIRECT("'WCM Calibration Final'!$A$1:$A$2000"),'Calculations'!$EM169),"0"),UPPER(IFERROR(IF(INDEX(INDIRECT("'WCM Calibration Final'!$A$1:$A$2000"),'Calculations'!$EM169)="","",TRIM(INDEX(INDIRECT("'WCM Calibration Final'!$A$1:$A$2000"),'Calculations'!$EM169)&amp;"")),""))),IF(IFERROR(IF(INDEX(INDIRECT("'WCM Calibration Final'!$C$1:$C$2000"),'Calculations'!$EM169)="","",TRIM(INDEX(INDIRECT("'WCM Calibration Final'!$C$1:$C$2000"),'Calculations'!$EM169)&amp;"")),"")&lt;&gt;"","S:"&amp;UPPER(IFERROR(IF(INDEX(INDIRECT("'WCM Calibration Final'!$C$1:$C$2000"),'Calculations'!$EM169)="","",TRIM(INDEX(INDIRECT("'WCM Calibration Final'!$C$1:$C$2000"),'Calculations'!$EM169)&amp;"")),"")),"R:"&amp;'Calculations'!EM169)))</x:f>
      </x:c>
      <x:c r="HF169" t="str">
        <x:f>IF('Calculations'!EM169="","",IF(IFERROR(IF(INDEX(INDIRECT("'WCM Calibration Final'!$D$1:$D$2000"),'Calculations'!$EM169)="","",TRIM(INDEX(INDIRECT("'WCM Calibration Final'!$D$1:$D$2000"),'Calculations'!$EM169)&amp;"")),"")&lt;&gt;"","G:"&amp;IFERROR(TEXT(1*INDEX(INDIRECT("'WCM Calibration Final'!$D$1:$D$2000"),'Calculations'!$EM169),"0"),UPPER(IFERROR(IF(INDEX(INDIRECT("'WCM Calibration Final'!$D$1:$D$2000"),'Calculations'!$EM169)="","",TRIM(INDEX(INDIRECT("'WCM Calibration Final'!$D$1:$D$2000"),'Calculations'!$EM169)&amp;"")),""))),IF(IFERROR(IF(INDEX(INDIRECT("'WCM Calibration Final'!$E$1:$E$2000"),'Calculations'!$EM169)="","",TRIM(INDEX(INDIRECT("'WCM Calibration Final'!$E$1:$E$2000"),'Calculations'!$EM169)&amp;"")),"")="","",IF(COUNTIF('Calculations'!$HG$13:$HG$512,"="&amp;SUBSTITUTE(SUBSTITUTE(SUBSTITUTE(IFERROR(IF(INDEX(INDIRECT("'WCM Calibration Final'!$E$1:$E$2000"),'Calculations'!$EM169)="","",TRIM(INDEX(INDIRECT("'WCM Calibration Final'!$E$1:$E$2000"),'Calculations'!$EM169)&amp;"")),""),"~","~~"),"*","~*"),"?","~?"))=1,INDEX('Calculations'!$HE$13:$HE$512,MATCH(IFERROR(IF(INDEX(INDIRECT("'WCM Calibration Final'!$E$1:$E$2000"),'Calculations'!$EM169)="","",TRIM(INDEX(INDIRECT("'WCM Calibration Final'!$E$1:$E$2000"),'Calculations'!$EM169)&amp;"")),""),'Calculations'!$HG$13:$HG$512,0)),IF(COUNTIF('Calculations'!$HG$13:$HG$512,"="&amp;SUBSTITUTE(SUBSTITUTE(SUBSTITUTE(IFERROR(IF(INDEX(INDIRECT("'WCM Calibration Final'!$E$1:$E$2000"),'Calculations'!$EM169)="","",TRIM(INDEX(INDIRECT("'WCM Calibration Final'!$E$1:$E$2000"),'Calculations'!$EM169)&amp;"")),""),"~","~~"),"*","~*"),"?","~?"))&gt;1,"!AMBIG","X:"&amp;IFERROR(IF(INDEX(INDIRECT("'WCM Calibration Final'!$E$1:$E$2000"),'Calculations'!$EM169)="","",TRIM(INDEX(INDIRECT("'WCM Calibration Final'!$E$1:$E$2000"),'Calculations'!$EM169)&amp;"")),""))))))</x:f>
      </x:c>
      <x:c r="HG169" t="str">
        <x:f>IF('Calculations'!EM169="","",IFERROR(IF(INDEX(INDIRECT("'WCM Calibration Final'!$B$1:$B$2000"),'Calculations'!$EM169)="","",TRIM(INDEX(INDIRECT("'WCM Calibration Final'!$B$1:$B$2000"),'Calculations'!$EM169)&amp;"")),""))</x:f>
      </x:c>
      <x:c r="HH169" t="n">
        <x:f>IF(AND('Calculations'!JC169&gt;0,COUNTIF('Calculations'!$HF$12:HF169,"="&amp;SUBSTITUTE(SUBSTITUTE(SUBSTITUTE('Calculations'!HF169,"~","~~"),"*","~*"),"?","~?"))=1),MAX('Calculations'!$HH$12:HH168)+1,0)</x:f>
        <x:v>0</x:v>
      </x:c>
      <x:c r="HI169" t="n">
        <x:f>IF(AND('Calculations'!HN169&lt;&gt;"",COUNTIF('Calculations'!$HN$12:HN169,"="&amp;SUBSTITUTE(SUBSTITUTE(SUBSTITUTE('Calculations'!HN169,"~","~~"),"*","~*"),"?","~?"))=1),MAX('Calculations'!$HI$12:HI168)+1,0)</x:f>
        <x:v>0</x:v>
      </x:c>
      <x:c r="HJ169" t="str">
        <x:f>IF('Calculations'!HF169="","",IF(COUNTIF('Calculations'!$HE$13:$HE$512,"="&amp;SUBSTITUTE(SUBSTITUTE(SUBSTITUTE('Calculations'!HF169,"~","~~"),"*","~*"),"?","~?"))=1,INDEX('Calculations'!$HK$13:$HK$512,MATCH('Calculations'!HF169,'Calculations'!$HE$13:$HE$512,0)),IFERROR(IF(INDEX(INDIRECT("'WCM Calibration Final'!$E$1:$E$2000"),'Calculations'!$EM169)="","",TRIM(INDEX(INDIRECT("'WCM Calibration Final'!$E$1:$E$2000"),'Calculations'!$EM169)&amp;"")),"")&amp;" ["&amp;'Calculations'!HF169&amp;"]"))</x:f>
      </x:c>
      <x:c r="HK169" t="str">
        <x:f>IF('Calculations'!EM169="","",'Calculations'!HG169&amp;" ["&amp;'Calculations'!HE169&amp;"]")</x:f>
      </x:c>
      <x:c r="HL169" t="n">
        <x:f>IF('Calculations'!EM169="",0,IF(OR('Calculations'!II169&lt;&gt;"",COUNTIF('Calculations'!$HE$13:$HE$512,"="&amp;SUBSTITUTE(SUBSTITUTE(SUBSTITUTE('Calculations'!HE169,"~","~~"),"*","~*"),"?","~?"))&gt;1),1,0))</x:f>
        <x:v>0</x:v>
      </x:c>
      <x:c r="HM169" t="str">
        <x:f>IF('Calculations'!EM169="","",IF('Calculations'!HL169=1,"!UNRESOLVED",IF('Calculations'!IH169&lt;&gt;"",'Calculations'!IH169,IF('Calculations'!IG169&lt;&gt;"",'Calculations'!IG169,IF('Calculations'!IF169&lt;&gt;"",'Calculations'!IF169,IF('Calculations'!IE169&lt;&gt;"",'Calculations'!IE169,IF('Calculations'!ID169&lt;&gt;"",'Calculations'!ID169,IF('Calculations'!IC169&lt;&gt;"",'Calculations'!IC169,IF('Calculations'!IB169&lt;&gt;"",'Calculations'!IB169,IF('Calculations'!IA169&lt;&gt;"",'Calculations'!IA169,IF('Calculations'!HZ169&lt;&gt;"",'Calculations'!HZ169,IF('Calculations'!HY169&lt;&gt;"",'Calculations'!HY169,IF('Calculations'!HX169&lt;&gt;"",'Calculations'!HX169,IF('Calculations'!HW169&lt;&gt;"",'Calculations'!HW169,IF('Calculations'!HV169&lt;&gt;"",'Calculations'!HV169,IF('Calculations'!HU169&lt;&gt;"",'Calculations'!HU169,IF('Calculations'!HT169&lt;&gt;"",'Calculations'!HT169,IF('Calculations'!HS169&lt;&gt;"",'Calculations'!HS169,IF('Calculations'!HR169&lt;&gt;"",'Calculations'!HR169,IF('Calculations'!HQ169&lt;&gt;"",'Calculations'!HQ169,IF('Calculations'!HP169&lt;&gt;"",'Calculations'!HP169,IF('Calculations'!HO169&lt;&gt;"",'Calculations'!HO169,'Calculations'!HE169))))))))))))))))))))))</x:f>
      </x:c>
      <x:c r="HN169" t="str">
        <x:f>IF('Calculations'!EM169="","",IF(IFERROR(IF(INDEX(INDIRECT("'WCM Calibration Final'!$F$1:$F$2000"),'Calculations'!$EM169)="","",TRIM(INDEX(INDIRECT("'WCM Calibration Final'!$F$1:$F$2000"),'Calculations'!$EM169)&amp;"")),"")="","(Blank)",IFERROR(IF(INDEX(INDIRECT("'WCM Calibration Final'!$F$1:$F$2000"),'Calculations'!$EM169)="","",TRIM(INDEX(INDIRECT("'WCM Calibration Final'!$F$1:$F$2000"),'Calculations'!$EM169)&amp;"")),"")))</x:f>
      </x:c>
      <x:c r="HO169" t="str">
        <x:f>'Calculations'!HF169</x:f>
      </x:c>
      <x:c r="HP169" t="str">
        <x:f>IF('Calculations'!HO169="","",IF('Calculations'!HO169="!AMBIG","!AMBIG",IF(COUNTIF('Calculations'!$HE$13:$HE$512,"="&amp;SUBSTITUTE(SUBSTITUTE(SUBSTITUTE('Calculations'!HO169,"~","~~"),"*","~*"),"?","~?"))&gt;1,"!AMBIG",IFERROR(INDEX('Calculations'!$HF$13:$HF$512,MATCH('Calculations'!HO169,'Calculations'!$HE$13:$HE$512,0)),""))))</x:f>
      </x:c>
      <x:c r="HQ169" t="str">
        <x:f>IF('Calculations'!HP169="","",IF('Calculations'!HP169="!AMBIG","!AMBIG",IF(COUNTIF('Calculations'!$HE$13:$HE$512,"="&amp;SUBSTITUTE(SUBSTITUTE(SUBSTITUTE('Calculations'!HP169,"~","~~"),"*","~*"),"?","~?"))&gt;1,"!AMBIG",IFERROR(INDEX('Calculations'!$HF$13:$HF$512,MATCH('Calculations'!HP169,'Calculations'!$HE$13:$HE$512,0)),""))))</x:f>
      </x:c>
      <x:c r="HR169" t="str">
        <x:f>IF('Calculations'!HQ169="","",IF('Calculations'!HQ169="!AMBIG","!AMBIG",IF(COUNTIF('Calculations'!$HE$13:$HE$512,"="&amp;SUBSTITUTE(SUBSTITUTE(SUBSTITUTE('Calculations'!HQ169,"~","~~"),"*","~*"),"?","~?"))&gt;1,"!AMBIG",IFERROR(INDEX('Calculations'!$HF$13:$HF$512,MATCH('Calculations'!HQ169,'Calculations'!$HE$13:$HE$512,0)),""))))</x:f>
      </x:c>
      <x:c r="HS169" t="str">
        <x:f>IF('Calculations'!HR169="","",IF('Calculations'!HR169="!AMBIG","!AMBIG",IF(COUNTIF('Calculations'!$HE$13:$HE$512,"="&amp;SUBSTITUTE(SUBSTITUTE(SUBSTITUTE('Calculations'!HR169,"~","~~"),"*","~*"),"?","~?"))&gt;1,"!AMBIG",IFERROR(INDEX('Calculations'!$HF$13:$HF$512,MATCH('Calculations'!HR169,'Calculations'!$HE$13:$HE$512,0)),""))))</x:f>
      </x:c>
      <x:c r="HT169" t="str">
        <x:f>IF('Calculations'!HS169="","",IF('Calculations'!HS169="!AMBIG","!AMBIG",IF(COUNTIF('Calculations'!$HE$13:$HE$512,"="&amp;SUBSTITUTE(SUBSTITUTE(SUBSTITUTE('Calculations'!HS169,"~","~~"),"*","~*"),"?","~?"))&gt;1,"!AMBIG",IFERROR(INDEX('Calculations'!$HF$13:$HF$512,MATCH('Calculations'!HS169,'Calculations'!$HE$13:$HE$512,0)),""))))</x:f>
      </x:c>
      <x:c r="HU169" t="str">
        <x:f>IF('Calculations'!HT169="","",IF('Calculations'!HT169="!AMBIG","!AMBIG",IF(COUNTIF('Calculations'!$HE$13:$HE$512,"="&amp;SUBSTITUTE(SUBSTITUTE(SUBSTITUTE('Calculations'!HT169,"~","~~"),"*","~*"),"?","~?"))&gt;1,"!AMBIG",IFERROR(INDEX('Calculations'!$HF$13:$HF$512,MATCH('Calculations'!HT169,'Calculations'!$HE$13:$HE$512,0)),""))))</x:f>
      </x:c>
      <x:c r="HV169" t="str">
        <x:f>IF('Calculations'!HU169="","",IF('Calculations'!HU169="!AMBIG","!AMBIG",IF(COUNTIF('Calculations'!$HE$13:$HE$512,"="&amp;SUBSTITUTE(SUBSTITUTE(SUBSTITUTE('Calculations'!HU169,"~","~~"),"*","~*"),"?","~?"))&gt;1,"!AMBIG",IFERROR(INDEX('Calculations'!$HF$13:$HF$512,MATCH('Calculations'!HU169,'Calculations'!$HE$13:$HE$512,0)),""))))</x:f>
      </x:c>
      <x:c r="HW169" t="str">
        <x:f>IF('Calculations'!HV169="","",IF('Calculations'!HV169="!AMBIG","!AMBIG",IF(COUNTIF('Calculations'!$HE$13:$HE$512,"="&amp;SUBSTITUTE(SUBSTITUTE(SUBSTITUTE('Calculations'!HV169,"~","~~"),"*","~*"),"?","~?"))&gt;1,"!AMBIG",IFERROR(INDEX('Calculations'!$HF$13:$HF$512,MATCH('Calculations'!HV169,'Calculations'!$HE$13:$HE$512,0)),""))))</x:f>
      </x:c>
      <x:c r="HX169" t="str">
        <x:f>IF('Calculations'!HW169="","",IF('Calculations'!HW169="!AMBIG","!AMBIG",IF(COUNTIF('Calculations'!$HE$13:$HE$512,"="&amp;SUBSTITUTE(SUBSTITUTE(SUBSTITUTE('Calculations'!HW169,"~","~~"),"*","~*"),"?","~?"))&gt;1,"!AMBIG",IFERROR(INDEX('Calculations'!$HF$13:$HF$512,MATCH('Calculations'!HW169,'Calculations'!$HE$13:$HE$512,0)),""))))</x:f>
      </x:c>
      <x:c r="HY169" t="str">
        <x:f>IF('Calculations'!HX169="","",IF('Calculations'!HX169="!AMBIG","!AMBIG",IF(COUNTIF('Calculations'!$HE$13:$HE$512,"="&amp;SUBSTITUTE(SUBSTITUTE(SUBSTITUTE('Calculations'!HX169,"~","~~"),"*","~*"),"?","~?"))&gt;1,"!AMBIG",IFERROR(INDEX('Calculations'!$HF$13:$HF$512,MATCH('Calculations'!HX169,'Calculations'!$HE$13:$HE$512,0)),""))))</x:f>
      </x:c>
      <x:c r="HZ169" t="str">
        <x:f>IF('Calculations'!HY169="","",IF('Calculations'!HY169="!AMBIG","!AMBIG",IF(COUNTIF('Calculations'!$HE$13:$HE$512,"="&amp;SUBSTITUTE(SUBSTITUTE(SUBSTITUTE('Calculations'!HY169,"~","~~"),"*","~*"),"?","~?"))&gt;1,"!AMBIG",IFERROR(INDEX('Calculations'!$HF$13:$HF$512,MATCH('Calculations'!HY169,'Calculations'!$HE$13:$HE$512,0)),""))))</x:f>
      </x:c>
      <x:c r="IA169" t="str">
        <x:f>IF('Calculations'!HZ169="","",IF('Calculations'!HZ169="!AMBIG","!AMBIG",IF(COUNTIF('Calculations'!$HE$13:$HE$512,"="&amp;SUBSTITUTE(SUBSTITUTE(SUBSTITUTE('Calculations'!HZ169,"~","~~"),"*","~*"),"?","~?"))&gt;1,"!AMBIG",IFERROR(INDEX('Calculations'!$HF$13:$HF$512,MATCH('Calculations'!HZ169,'Calculations'!$HE$13:$HE$512,0)),""))))</x:f>
      </x:c>
      <x:c r="IB169" t="str">
        <x:f>IF('Calculations'!IA169="","",IF('Calculations'!IA169="!AMBIG","!AMBIG",IF(COUNTIF('Calculations'!$HE$13:$HE$512,"="&amp;SUBSTITUTE(SUBSTITUTE(SUBSTITUTE('Calculations'!IA169,"~","~~"),"*","~*"),"?","~?"))&gt;1,"!AMBIG",IFERROR(INDEX('Calculations'!$HF$13:$HF$512,MATCH('Calculations'!IA169,'Calculations'!$HE$13:$HE$512,0)),""))))</x:f>
      </x:c>
      <x:c r="IC169" t="str">
        <x:f>IF('Calculations'!IB169="","",IF('Calculations'!IB169="!AMBIG","!AMBIG",IF(COUNTIF('Calculations'!$HE$13:$HE$512,"="&amp;SUBSTITUTE(SUBSTITUTE(SUBSTITUTE('Calculations'!IB169,"~","~~"),"*","~*"),"?","~?"))&gt;1,"!AMBIG",IFERROR(INDEX('Calculations'!$HF$13:$HF$512,MATCH('Calculations'!IB169,'Calculations'!$HE$13:$HE$512,0)),""))))</x:f>
      </x:c>
      <x:c r="ID169" t="str">
        <x:f>IF('Calculations'!IC169="","",IF('Calculations'!IC169="!AMBIG","!AMBIG",IF(COUNTIF('Calculations'!$HE$13:$HE$512,"="&amp;SUBSTITUTE(SUBSTITUTE(SUBSTITUTE('Calculations'!IC169,"~","~~"),"*","~*"),"?","~?"))&gt;1,"!AMBIG",IFERROR(INDEX('Calculations'!$HF$13:$HF$512,MATCH('Calculations'!IC169,'Calculations'!$HE$13:$HE$512,0)),""))))</x:f>
      </x:c>
      <x:c r="IE169" t="str">
        <x:f>IF('Calculations'!ID169="","",IF('Calculations'!ID169="!AMBIG","!AMBIG",IF(COUNTIF('Calculations'!$HE$13:$HE$512,"="&amp;SUBSTITUTE(SUBSTITUTE(SUBSTITUTE('Calculations'!ID169,"~","~~"),"*","~*"),"?","~?"))&gt;1,"!AMBIG",IFERROR(INDEX('Calculations'!$HF$13:$HF$512,MATCH('Calculations'!ID169,'Calculations'!$HE$13:$HE$512,0)),""))))</x:f>
      </x:c>
      <x:c r="IF169" t="str">
        <x:f>IF('Calculations'!IE169="","",IF('Calculations'!IE169="!AMBIG","!AMBIG",IF(COUNTIF('Calculations'!$HE$13:$HE$512,"="&amp;SUBSTITUTE(SUBSTITUTE(SUBSTITUTE('Calculations'!IE169,"~","~~"),"*","~*"),"?","~?"))&gt;1,"!AMBIG",IFERROR(INDEX('Calculations'!$HF$13:$HF$512,MATCH('Calculations'!IE169,'Calculations'!$HE$13:$HE$512,0)),""))))</x:f>
      </x:c>
      <x:c r="IG169" t="str">
        <x:f>IF('Calculations'!IF169="","",IF('Calculations'!IF169="!AMBIG","!AMBIG",IF(COUNTIF('Calculations'!$HE$13:$HE$512,"="&amp;SUBSTITUTE(SUBSTITUTE(SUBSTITUTE('Calculations'!IF169,"~","~~"),"*","~*"),"?","~?"))&gt;1,"!AMBIG",IFERROR(INDEX('Calculations'!$HF$13:$HF$512,MATCH('Calculations'!IF169,'Calculations'!$HE$13:$HE$512,0)),""))))</x:f>
      </x:c>
      <x:c r="IH169" t="str">
        <x:f>IF('Calculations'!IG169="","",IF('Calculations'!IG169="!AMBIG","!AMBIG",IF(COUNTIF('Calculations'!$HE$13:$HE$512,"="&amp;SUBSTITUTE(SUBSTITUTE(SUBSTITUTE('Calculations'!IG169,"~","~~"),"*","~*"),"?","~?"))&gt;1,"!AMBIG",IFERROR(INDEX('Calculations'!$HF$13:$HF$512,MATCH('Calculations'!IG169,'Calculations'!$HE$13:$HE$512,0)),""))))</x:f>
      </x:c>
      <x:c r="II169" t="str">
        <x:f>IF('Calculations'!IH169="","",IF('Calculations'!IH169="!AMBIG","!AMBIG",IF(COUNTIF('Calculations'!$HE$13:$HE$512,"="&amp;SUBSTITUTE(SUBSTITUTE(SUBSTITUTE('Calculations'!IH169,"~","~~"),"*","~*"),"?","~?"))&gt;1,"!AMBIG",IFERROR(INDEX('Calculations'!$HF$13:$HF$512,MATCH('Calculations'!IH169,'Calculations'!$HE$13:$HE$512,0)),""))))</x:f>
      </x:c>
      <x:c r="IJ169" t="str">
        <x:f>IF('Calculations'!EM169="","",IF('Calculations'!$EF$2="All",'Calculations'!HM169,IF('Calculations'!HL169=1,"",IFERROR(IF(MATCH('Calculations'!$EF$2,'Calculations'!HO169:II169,0)=1,'Calculations'!HE169,INDEX('Calculations'!HO169:II169,1,MATCH('Calculations'!$EF$2,'Calculations'!HO169:II169,0)-1)),""))))</x:f>
      </x:c>
      <x:c r="IK169" t="n">
        <x:f>IF(AND('Calculations'!EM169&lt;&gt;"",'Calculations'!$EF$2&lt;&gt;"All",'Calculations'!HF169='Calculations'!$EF$2,'Calculations'!HL169=0,'Calculations'!JD169&gt;0),MAX('Calculations'!$IK$12:IK168)+1,0)</x:f>
        <x:v>0</x:v>
      </x:c>
      <x:c r="JA169" t="n">
        <x:f>IF(OR(IFERROR(INDIRECT("'WCM Calibration Final'!$A$169")&lt;&gt;"",FALSE),IFERROR(INDIRECT("'WCM Calibration Final'!$B$169")&lt;&gt;"",FALSE),IFERROR(INDIRECT("'WCM Calibration Final'!$C$169")&lt;&gt;"",FALSE)),169,0)</x:f>
        <x:v>0</x:v>
      </x:c>
      <x:c r="JB169" t="n">
        <x:f>'Calculations'!JB168+IF('Calculations'!JA169&gt;0,1,0)</x:f>
        <x:v>0</x:v>
      </x:c>
      <x:c r="JC169" t="n">
        <x:f>IF(OR('Calculations'!HF169="",'Calculations'!HF169="!AMBIG"),0,IF('Dashboard'!$B$7="All",1,COUNTIFS('Calculations'!$HO$13:$HO$512,"="&amp;SUBSTITUTE(SUBSTITUTE(SUBSTITUTE('Calculations'!HF169,"~","~~"),"*","~*"),"?","~?"),'Calculations'!$HN$13:$HN$512,"="&amp;SUBSTITUTE(SUBSTITUTE(SUBSTITUTE('Dashboard'!$B$7,"~","~~"),"*","~*"),"?","~?"))+COUNTIFS('Calculations'!$HP$13:$HP$512,"="&amp;SUBSTITUTE(SUBSTITUTE(SUBSTITUTE('Calculations'!HF169,"~","~~"),"*","~*"),"?","~?"),'Calculations'!$HN$13:$HN$512,"="&amp;SUBSTITUTE(SUBSTITUTE(SUBSTITUTE('Dashboard'!$B$7,"~","~~"),"*","~*"),"?","~?"))+COUNTIFS('Calculations'!$HQ$13:$HQ$512,"="&amp;SUBSTITUTE(SUBSTITUTE(SUBSTITUTE('Calculations'!HF169,"~","~~"),"*","~*"),"?","~?"),'Calculations'!$HN$13:$HN$512,"="&amp;SUBSTITUTE(SUBSTITUTE(SUBSTITUTE('Dashboard'!$B$7,"~","~~"),"*","~*"),"?","~?"))+COUNTIFS('Calculations'!$HR$13:$HR$512,"="&amp;SUBSTITUTE(SUBSTITUTE(SUBSTITUTE('Calculations'!HF169,"~","~~"),"*","~*"),"?","~?"),'Calculations'!$HN$13:$HN$512,"="&amp;SUBSTITUTE(SUBSTITUTE(SUBSTITUTE('Dashboard'!$B$7,"~","~~"),"*","~*"),"?","~?"))+COUNTIFS('Calculations'!$HS$13:$HS$512,"="&amp;SUBSTITUTE(SUBSTITUTE(SUBSTITUTE('Calculations'!HF169,"~","~~"),"*","~*"),"?","~?"),'Calculations'!$HN$13:$HN$512,"="&amp;SUBSTITUTE(SUBSTITUTE(SUBSTITUTE('Dashboard'!$B$7,"~","~~"),"*","~*"),"?","~?"))+COUNTIFS('Calculations'!$HT$13:$HT$512,"="&amp;SUBSTITUTE(SUBSTITUTE(SUBSTITUTE('Calculations'!HF169,"~","~~"),"*","~*"),"?","~?"),'Calculations'!$HN$13:$HN$512,"="&amp;SUBSTITUTE(SUBSTITUTE(SUBSTITUTE('Dashboard'!$B$7,"~","~~"),"*","~*"),"?","~?"))+COUNTIFS('Calculations'!$HU$13:$HU$512,"="&amp;SUBSTITUTE(SUBSTITUTE(SUBSTITUTE('Calculations'!HF169,"~","~~"),"*","~*"),"?","~?"),'Calculations'!$HN$13:$HN$512,"="&amp;SUBSTITUTE(SUBSTITUTE(SUBSTITUTE('Dashboard'!$B$7,"~","~~"),"*","~*"),"?","~?"))+COUNTIFS('Calculations'!$HV$13:$HV$512,"="&amp;SUBSTITUTE(SUBSTITUTE(SUBSTITUTE('Calculations'!HF169,"~","~~"),"*","~*"),"?","~?"),'Calculations'!$HN$13:$HN$512,"="&amp;SUBSTITUTE(SUBSTITUTE(SUBSTITUTE('Dashboard'!$B$7,"~","~~"),"*","~*"),"?","~?"))+COUNTIFS('Calculations'!$HW$13:$HW$512,"="&amp;SUBSTITUTE(SUBSTITUTE(SUBSTITUTE('Calculations'!HF169,"~","~~"),"*","~*"),"?","~?"),'Calculations'!$HN$13:$HN$512,"="&amp;SUBSTITUTE(SUBSTITUTE(SUBSTITUTE('Dashboard'!$B$7,"~","~~"),"*","~*"),"?","~?"))+COUNTIFS('Calculations'!$HX$13:$HX$512,"="&amp;SUBSTITUTE(SUBSTITUTE(SUBSTITUTE('Calculations'!HF169,"~","~~"),"*","~*"),"?","~?"),'Calculations'!$HN$13:$HN$512,"="&amp;SUBSTITUTE(SUBSTITUTE(SUBSTITUTE('Dashboard'!$B$7,"~","~~"),"*","~*"),"?","~?"))+COUNTIFS('Calculations'!$HY$13:$HY$512,"="&amp;SUBSTITUTE(SUBSTITUTE(SUBSTITUTE('Calculations'!HF169,"~","~~"),"*","~*"),"?","~?"),'Calculations'!$HN$13:$HN$512,"="&amp;SUBSTITUTE(SUBSTITUTE(SUBSTITUTE('Dashboard'!$B$7,"~","~~"),"*","~*"),"?","~?"))+COUNTIFS('Calculations'!$HZ$13:$HZ$512,"="&amp;SUBSTITUTE(SUBSTITUTE(SUBSTITUTE('Calculations'!HF169,"~","~~"),"*","~*"),"?","~?"),'Calculations'!$HN$13:$HN$512,"="&amp;SUBSTITUTE(SUBSTITUTE(SUBSTITUTE('Dashboard'!$B$7,"~","~~"),"*","~*"),"?","~?"))+COUNTIFS('Calculations'!$IA$13:$IA$512,"="&amp;SUBSTITUTE(SUBSTITUTE(SUBSTITUTE('Calculations'!HF169,"~","~~"),"*","~*"),"?","~?"),'Calculations'!$HN$13:$HN$512,"="&amp;SUBSTITUTE(SUBSTITUTE(SUBSTITUTE('Dashboard'!$B$7,"~","~~"),"*","~*"),"?","~?"))+COUNTIFS('Calculations'!$IB$13:$IB$512,"="&amp;SUBSTITUTE(SUBSTITUTE(SUBSTITUTE('Calculations'!HF169,"~","~~"),"*","~*"),"?","~?"),'Calculations'!$HN$13:$HN$512,"="&amp;SUBSTITUTE(SUBSTITUTE(SUBSTITUTE('Dashboard'!$B$7,"~","~~"),"*","~*"),"?","~?"))+COUNTIFS('Calculations'!$IC$13:$IC$512,"="&amp;SUBSTITUTE(SUBSTITUTE(SUBSTITUTE('Calculations'!HF169,"~","~~"),"*","~*"),"?","~?"),'Calculations'!$HN$13:$HN$512,"="&amp;SUBSTITUTE(SUBSTITUTE(SUBSTITUTE('Dashboard'!$B$7,"~","~~"),"*","~*"),"?","~?"))+COUNTIFS('Calculations'!$ID$13:$ID$512,"="&amp;SUBSTITUTE(SUBSTITUTE(SUBSTITUTE('Calculations'!HF169,"~","~~"),"*","~*"),"?","~?"),'Calculations'!$HN$13:$HN$512,"="&amp;SUBSTITUTE(SUBSTITUTE(SUBSTITUTE('Dashboard'!$B$7,"~","~~"),"*","~*"),"?","~?"))+COUNTIFS('Calculations'!$IE$13:$IE$512,"="&amp;SUBSTITUTE(SUBSTITUTE(SUBSTITUTE('Calculations'!HF169,"~","~~"),"*","~*"),"?","~?"),'Calculations'!$HN$13:$HN$512,"="&amp;SUBSTITUTE(SUBSTITUTE(SUBSTITUTE('Dashboard'!$B$7,"~","~~"),"*","~*"),"?","~?"))+COUNTIFS('Calculations'!$IF$13:$IF$512,"="&amp;SUBSTITUTE(SUBSTITUTE(SUBSTITUTE('Calculations'!HF169,"~","~~"),"*","~*"),"?","~?"),'Calculations'!$HN$13:$HN$512,"="&amp;SUBSTITUTE(SUBSTITUTE(SUBSTITUTE('Dashboard'!$B$7,"~","~~"),"*","~*"),"?","~?"))+COUNTIFS('Calculations'!$IG$13:$IG$512,"="&amp;SUBSTITUTE(SUBSTITUTE(SUBSTITUTE('Calculations'!HF169,"~","~~"),"*","~*"),"?","~?"),'Calculations'!$HN$13:$HN$512,"="&amp;SUBSTITUTE(SUBSTITUTE(SUBSTITUTE('Dashboard'!$B$7,"~","~~"),"*","~*"),"?","~?"))+COUNTIFS('Calculations'!$IH$13:$IH$512,"="&amp;SUBSTITUTE(SUBSTITUTE(SUBSTITUTE('Calculations'!HF169,"~","~~"),"*","~*"),"?","~?"),'Calculations'!$HN$13:$HN$512,"="&amp;SUBSTITUTE(SUBSTITUTE(SUBSTITUTE('Dashboard'!$B$7,"~","~~"),"*","~*"),"?","~?"))))</x:f>
        <x:v>0</x:v>
      </x:c>
      <x:c r="JD169" t="n">
        <x:f>IF('Calculations'!EM169="",0,IF('Dashboard'!$B$7="All",1,IF('Calculations'!HN169='Dashboard'!$B$7,1,0)+IFERROR(INDEX('Calculations'!$JC$13:$JC$512,MATCH('Calculations'!HE169,'Calculations'!$HF$13:$HF$512,0)),0)))</x:f>
        <x:v>0</x:v>
      </x:c>
      <x:c r="JE169" t="n">
        <x:f>IF(AND('Calculations'!EM169&lt;&gt;"",'Calculations'!$JJ$2&lt;&gt;"All",'Calculations'!$JJ$2&lt;&gt;"",'Calculations'!HF169='Calculations'!$JJ$2,'Calculations'!HL169=0,'Calculations'!JD169&gt;0),MAX('Calculations'!$JE$12:JE168)+1,0)</x:f>
        <x:v>0</x:v>
      </x:c>
      <x:c r="JF169" t="str">
        <x:f>IF('Calculations'!EM169="","",IFERROR(IF(INDEX(INDIRECT("'WCM Calibration Final'!$G$1:$G$2000"),'Calculations'!$EM169)="","",TRIM(INDEX(INDIRECT("'WCM Calibration Final'!$G$1:$G$2000"),'Calculations'!$EM169)&amp;"")),""))</x:f>
      </x:c>
      <x:c r="JQ169" t="n">
        <x:f>IF(OR('Calculations'!BM169=0,NOT('Calculations'!$AG$2),'Calculations'!$AG$8&gt;0),0,IF(OR('Dashboard'!$B$7="All",'Calculations'!HN169='Dashboard'!$B$7),IF('Calculations'!$JJ$2="All",1,IF(AND('Calculations'!HF169='Calculations'!$JJ$2,'Calculations'!HL169=0),1,0)),0))</x:f>
        <x:v>0</x:v>
      </x:c>
    </x:row>
    <x:row r="170">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t="n">
        <x:f>IF('Calculations'!$EM170="",0,IF(OR(IFERROR(INDEX(INDIRECT("'WCM Calibration Final'!$A$1:$A$2000"),'Calculations'!$EM170)&lt;&gt;"",FALSE),IFERROR(INDEX(INDIRECT("'WCM Calibration Final'!$B$1:$B$2000"),'Calculations'!$EM170)&lt;&gt;"",FALSE),IFERROR(INDEX(INDIRECT("'WCM Calibration Final'!$C$1:$C$2000"),'Calculations'!$EM170)&lt;&gt;"",FALSE)),1,0))</x:f>
        <x:v>0</x:v>
      </x:c>
      <x:c r="BN170" s="4" t="n">
        <x:f>IF(AND('Calculations'!BM170=1,'Calculations'!$AG$2,'Calculations'!$EN170=1),1,0)</x:f>
        <x:v>0</x:v>
      </x:c>
      <x:c r="BO170" s="4" t="str">
        <x:f>IF('Calculations'!BM170=0,"",IFERROR(IF(AND(VALUE(INDEX(INDIRECT("'WCM Calibration Final'!$K$1:$K$2000"),'Calculations'!$EM170))&gt;=1,VALUE(INDEX(INDIRECT("'WCM Calibration Final'!$K$1:$K$2000"),'Calculations'!$EM170))&lt;=4,MOD(VALUE(INDEX(INDIRECT("'WCM Calibration Final'!$K$1:$K$2000"),'Calculations'!$EM170)),1)=0),VALUE(INDEX(INDIRECT("'WCM Calibration Final'!$K$1:$K$2000"),'Calculations'!$EM170)),""),""))</x:f>
      </x:c>
      <x:c r="BP170" s="4" t="str">
        <x:f>IF('Calculations'!BM170=0,"",IFERROR(IF(AND(VALUE(INDEX(INDIRECT("'WCM Calibration Final'!$L$1:$L$2000"),'Calculations'!$EM170))&gt;=1,VALUE(INDEX(INDIRECT("'WCM Calibration Final'!$L$1:$L$2000"),'Calculations'!$EM170))&lt;=4,MOD(VALUE(INDEX(INDIRECT("'WCM Calibration Final'!$L$1:$L$2000"),'Calculations'!$EM170)),1)=0),VALUE(INDEX(INDIRECT("'WCM Calibration Final'!$L$1:$L$2000"),'Calculations'!$EM170)),""),""))</x:f>
      </x:c>
      <x:c r="BQ170" s="4"/>
      <x:c r="BR170" s="4"/>
      <x:c r="BS170" s="4"/>
      <x:c r="BT170" s="4" t="n">
        <x:f>IF(AND('Calculations'!BM170=1,ISNUMBER('Calculations'!BO170),ISNUMBER('Calculations'!BP170)),1,0)</x:f>
        <x:v>0</x:v>
      </x:c>
      <x:c r="BU170" s="4" t="str">
        <x:f>IF('Calculations'!BM170=0,"",'Calculations'!$EO170)</x:f>
      </x:c>
      <x:c r="BV170" s="4" t="str">
        <x:f>IF('Calculations'!BM170=0,"",IFERROR(IF(OR(INDEX(INDIRECT("'WCM Calibration Final'!$H$1:$H$2000"),'Calculations'!$EM170)="MANAGING DIRECTOR",INDEX(INDIRECT("'WCM Calibration Final'!$H$1:$H$2000"),'Calculations'!$EM170)="DIRECTOR",INDEX(INDIRECT("'WCM Calibration Final'!$H$1:$H$2000"),'Calculations'!$EM170)="SENIOR VICE PRESIDENT",INDEX(INDIRECT("'WCM Calibration Final'!$H$1:$H$2000"),'Calculations'!$EM170)="VICE PRESIDENT",INDEX(INDIRECT("'WCM Calibration Final'!$H$1:$H$2000"),'Calculations'!$EM170)="ASSISTANT VICE PRESIDENT",INDEX(INDIRECT("'WCM Calibration Final'!$H$1:$H$2000"),'Calculations'!$EM170)="OFFICER"),UPPER(INDEX(INDIRECT("'WCM Calibration Final'!$H$1:$H$2000"),'Calculations'!$EM170)),"Other"),"Other"))</x:f>
      </x:c>
      <x:c r="BW170" s="4"/>
      <x:c r="BX170" s="4"/>
      <x:c r="BY170" s="4" t="n">
        <x:f>IF(AND('Calculations'!BM170=1,'Calculations'!BU170&lt;&gt;"",COUNTIF('Calculations'!$BU$12:BU170,'Calculations'!BU170)=1),MAX('Calculations'!$BY$11:BY169)+1,0)</x:f>
        <x:v>0</x:v>
      </x:c>
      <x:c r="BZ170" s="4" t="str">
        <x:f>IF('Dashboard'!$E$67="What",'Calculations'!BO170,'Calculations'!BP170)</x:f>
      </x:c>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t="str">
        <x:f>IF(159&gt;MAX('Calculations'!$HI$13:$HI$512),"",INDEX('Calculations'!$HN$13:$HN$512,MATCH(159,'Calculations'!$HI$13:$HI$512,0)))</x:f>
      </x:c>
      <x:c r="DB170" s="4" t="str">
        <x:f>IF(159&gt;MAX('Calculations'!$HH$13:$HH$512),"",INDEX('Calculations'!$HJ$13:$HJ$512,MATCH(159,'Calculations'!$HH$13:$HH$512,0)))</x:f>
      </x:c>
      <x:c r="DC170" s="4" t="str">
        <x:f>IF(ROW()-11&gt;MAX('Calculations'!$BY$13:$BY$512),"",INDEX('Calculations'!$BU$13:$BU$512,MATCH(ROW()-11,'Calculations'!$BY$13:$BY$512,0)))</x:f>
      </x:c>
      <x:c r="DD170" s="4" t="str">
        <x:f>IF(159&gt;MAX('Calculations'!$IK$13:$IK$512),"",INDEX('Calculations'!$HK$13:$HK$512,MATCH(159,'Calculations'!$IK$13:$IK$512,0)))</x:f>
      </x:c>
      <x:c r="DE170" s="4" t="str">
        <x:f>'Calculations'!DC170</x:f>
      </x:c>
      <x:c r="DF170" s="4" t="str">
        <x:f>IF('Calculations'!DE170="","",COUNTIFS('Calculations'!$BN$13:$BN$512,1,'Calculations'!$BU$13:$BU$512,'Calculations'!DE170))</x:f>
      </x:c>
      <x:c r="DG170" s="4" t="str">
        <x:f>IF('Calculations'!DE170="","",COUNTIFS('Calculations'!$BN$13:$BN$512,1,'Calculations'!$BU$13:$BU$512,'Calculations'!DE170,'Calculations'!$BT$13:$BT$512,1))</x:f>
      </x:c>
      <x:c r="DH170" s="4" t="str">
        <x:f>IF('Calculations'!DE170="","",'Calculations'!DF170-'Calculations'!DG170)</x:f>
      </x:c>
      <x:c r="DI170" s="4" t="str">
        <x:f>IF(OR('Calculations'!DE170="",'Calculations'!DF170=0),"",'Calculations'!DG170/'Calculations'!DF170)</x:f>
      </x:c>
      <x:c r="DJ170" s="4" t="str">
        <x:f>IF('Calculations'!DE170="","",COUNTIFS('Calculations'!$BN$13:$BN$512,1,'Calculations'!$BU$13:$BU$512,'Calculations'!DE170,'Calculations'!$BT$13:$BT$512,1,'Calculations'!$EE$13:$EE$512,"High"))</x:f>
      </x:c>
      <x:c r="DK170" s="4" t="str">
        <x:f>IF('Calculations'!DE170="","",COUNTIFS('Calculations'!$BN$13:$BN$512,1,'Calculations'!$BU$13:$BU$512,'Calculations'!DE170,'Calculations'!$BT$13:$BT$512,1,'Calculations'!$EE$13:$EE$512,"Strong"))</x:f>
      </x:c>
      <x:c r="DL170" s="4" t="str">
        <x:f>IF('Calculations'!DE170="","",COUNTIFS('Calculations'!$BN$13:$BN$512,1,'Calculations'!$BU$13:$BU$512,'Calculations'!DE170,'Calculations'!$BT$13:$BT$512,1,'Calculations'!$EE$13:$EE$512,"Solid"))</x:f>
      </x:c>
      <x:c r="DM170" s="4" t="str">
        <x:f>IF('Calculations'!DE170="","",COUNTIFS('Calculations'!$BN$13:$BN$512,1,'Calculations'!$BU$13:$BU$512,'Calculations'!DE170,'Calculations'!$BT$13:$BT$512,1,'Calculations'!$EE$13:$EE$512,"Low"))</x:f>
      </x:c>
      <x:c r="DN170" s="4" t="str">
        <x:f>IF('Calculations'!DE170="","",COUNTIFS('Calculations'!$BN$13:$BN$512,1,'Calculations'!$BU$13:$BU$512,'Calculations'!DE170,'Calculations'!$EP$13:$EP$512,1))</x:f>
      </x:c>
      <x:c r="DO170" s="4" t="str">
        <x:f>IF(OR('Calculations'!DE170="",'Calculations'!DG170=0),"",('Calculations'!DJ170+'Calculations'!DK170)/'Calculations'!DG170)</x:f>
      </x:c>
      <x:c r="DP170" s="4" t="n">
        <x:f>IF(AND('Calculations'!DE170&lt;&gt;"",'Calculations'!DF170&gt;0),COUNTIF('Calculations'!$DF$12:DF170,"&gt;0"),0)</x:f>
        <x:v>0</x:v>
      </x:c>
      <x:c r="DQ170" s="4" t="str">
        <x:f>IF(159&gt;MAX('Calculations'!$HH$13:$HH$512),"",INDEX('Calculations'!$HF$13:$HF$512,MATCH(159,'Calculations'!$HH$13:$HH$512,0)))</x:f>
      </x:c>
      <x:c r="DR170" s="4" t="str">
        <x:f>IF(159&gt;MAX('Calculations'!$IK$13:$IK$512),"",INDEX('Calculations'!$HE$13:$HE$512,MATCH(159,'Calculations'!$IK$13:$IK$512,0)))</x:f>
      </x:c>
      <x:c r="DS170" s="4"/>
      <x:c r="DT170" s="4"/>
      <x:c r="DU170" s="4"/>
      <x:c r="DV170" s="4"/>
      <x:c r="DW170" s="4"/>
      <x:c r="DX170" s="4"/>
      <x:c r="DY170" s="4"/>
      <x:c r="DZ170" s="4"/>
      <x:c r="EA170" s="4"/>
      <x:c r="EB170" s="4"/>
      <x:c r="EC170" s="4"/>
      <x:c r="ED170" s="4"/>
      <x:c r="EE170" s="4" t="str">
        <x:f>IF('Calculations'!BT170=0,"Not Rated",IF(OR('Calculations'!BO170&gt;=4,'Calculations'!BP170&gt;=4),"Low",IF('Calculations'!BO170+'Calculations'!BP170&lt;=3,"High",IF('Calculations'!BO170+'Calculations'!BP170&lt;=4,"Strong","Solid"))))</x:f>
        <x:v>Not Rated</x:v>
      </x:c>
      <x:c r="EF170" s="4"/>
      <x:c r="EG170" s="4"/>
      <x:c r="EH170" s="4"/>
      <x:c r="EI170" s="4"/>
      <x:c r="EJ170" s="4"/>
      <x:c r="EK170" s="4"/>
      <x:c r="EL170" s="4"/>
      <x:c r="EM170" s="4" t="str">
        <x:f>IF(158&gt;'Calculations'!$JB$2000,"",INDEX('Calculations'!$JA$12:$JA$2000,MATCH(158,'Calculations'!$JB$12:$JB$2000,0)))</x:f>
      </x:c>
      <x:c r="EN170" s="4" t="n">
        <x:f>IF(OR('Calculations'!EM170="",'Calculations'!$AG$8&gt;0,AND('Calculations'!$EF$2&lt;&gt;"All",'Calculations'!HE170='Calculations'!$EF$2),AND('Calculations'!$EF$3&lt;&gt;"All",'Calculations'!HE170='Calculations'!$EF$3)),0,IF(OR('Dashboard'!$B$7="All",'Calculations'!HN170='Dashboard'!$B$7),IF('Calculations'!$EF$2="All",1,IF('Calculations'!HL170&gt;0,0,IF(COUNTIF('Calculations'!HO170:II170,"="&amp;SUBSTITUTE(SUBSTITUTE(SUBSTITUTE('Calculations'!$EF$2,"~","~~"),"*","~*"),"?","~?"))=0,0,IF('Calculations'!$EF$3="All",1,IF(COUNTIF('Calculations'!HO170:II170,"="&amp;SUBSTITUTE(SUBSTITUTE(SUBSTITUTE('Calculations'!$EF$3,"~","~~"),"*","~*"),"?","~?"))&gt;0,1,0))))),0))</x:f>
        <x:v>0</x:v>
      </x:c>
      <x:c r="EO170" s="4" t="str">
        <x:f>IF('Calculations'!IJ170="","",IF('Calculations'!IJ170="!UNRESOLVED","Unresolved hierarchy",IFERROR(INDEX('Calculations'!$HK$13:$HK$512,MATCH('Calculations'!IJ170,'Calculations'!$HE$13:$HE$512,0)),IFERROR(INDEX('Calculations'!$HJ$13:$HJ$512,MATCH('Calculations'!IJ170,'Calculations'!$HF$13:$HF$512,0)),'Calculations'!IJ170))))</x:f>
      </x:c>
      <x:c r="EP170" s="4" t="n">
        <x:f>IF(AND('Calculations'!EM170&lt;&gt;"",'Calculations'!HF170='Calculations'!IJ170),1,0)</x:f>
        <x:v>0</x:v>
      </x:c>
      <x:c r="EQ170" s="4"/>
      <x:c r="ER170" s="4"/>
      <x:c r="ES170" s="4"/>
      <x:c r="ET170" s="4"/>
      <x:c r="EU170" s="4"/>
      <x:c r="EV170" s="4"/>
      <x:c r="EW170" s="4"/>
      <x:c r="EX170" s="4"/>
      <x:c r="EY170" s="4"/>
      <x:c r="EZ170" s="4"/>
      <x:c r="FA170" s="4"/>
      <x:c r="FB170" s="4"/>
      <x:c r="FC170" s="4"/>
      <x:c r="FD170" s="4"/>
      <x:c r="FE170" s="4"/>
      <x:c r="FF170" s="4"/>
      <x:c r="FG170" s="4"/>
      <x:c r="FH170" s="4"/>
      <x:c r="FI170" s="4"/>
      <x:c r="FJ170" s="4"/>
      <x:c r="FK170" s="4"/>
      <x:c r="FL170" s="4"/>
      <x:c r="FM170" s="4"/>
      <x:c r="FN170" s="4"/>
      <x:c r="FO170" s="4"/>
      <x:c r="GA170" s="71"/>
      <x:c r="GB170" s="71"/>
      <x:c r="GC170" s="71"/>
      <x:c r="GD170" s="71"/>
      <x:c r="GE170" s="71"/>
      <x:c r="GF170" s="71"/>
      <x:c r="GG170" s="71"/>
      <x:c r="GH170" s="71"/>
      <x:c r="GI170" s="71"/>
      <x:c r="GJ170" s="71"/>
      <x:c r="GK170" s="71"/>
      <x:c r="GL170" s="71"/>
      <x:c r="GM170" s="71"/>
      <x:c r="GN170" s="71"/>
      <x:c r="GO170" s="71"/>
      <x:c r="GP170" s="71"/>
      <x:c r="GQ170" s="71"/>
      <x:c r="GR170" s="71"/>
      <x:c r="GS170" s="71"/>
      <x:c r="GT170" s="71"/>
      <x:c r="GU170" s="71"/>
      <x:c r="GV170" s="71"/>
      <x:c r="GW170" s="71"/>
      <x:c r="GX170" s="71"/>
      <x:c r="GY170" s="71"/>
      <x:c r="GZ170" s="71"/>
      <x:c r="HA170" s="71"/>
      <x:c r="HB170" s="71"/>
      <x:c r="HC170" s="71"/>
      <x:c r="HD170" s="71"/>
      <x:c r="HE170" t="str">
        <x:f>IF('Calculations'!EM170="","",IF(IFERROR(IF(INDEX(INDIRECT("'WCM Calibration Final'!$A$1:$A$2000"),'Calculations'!$EM170)="","",TRIM(INDEX(INDIRECT("'WCM Calibration Final'!$A$1:$A$2000"),'Calculations'!$EM170)&amp;"")),"")&lt;&gt;"","G:"&amp;IFERROR(TEXT(1*INDEX(INDIRECT("'WCM Calibration Final'!$A$1:$A$2000"),'Calculations'!$EM170),"0"),UPPER(IFERROR(IF(INDEX(INDIRECT("'WCM Calibration Final'!$A$1:$A$2000"),'Calculations'!$EM170)="","",TRIM(INDEX(INDIRECT("'WCM Calibration Final'!$A$1:$A$2000"),'Calculations'!$EM170)&amp;"")),""))),IF(IFERROR(IF(INDEX(INDIRECT("'WCM Calibration Final'!$C$1:$C$2000"),'Calculations'!$EM170)="","",TRIM(INDEX(INDIRECT("'WCM Calibration Final'!$C$1:$C$2000"),'Calculations'!$EM170)&amp;"")),"")&lt;&gt;"","S:"&amp;UPPER(IFERROR(IF(INDEX(INDIRECT("'WCM Calibration Final'!$C$1:$C$2000"),'Calculations'!$EM170)="","",TRIM(INDEX(INDIRECT("'WCM Calibration Final'!$C$1:$C$2000"),'Calculations'!$EM170)&amp;"")),"")),"R:"&amp;'Calculations'!EM170)))</x:f>
      </x:c>
      <x:c r="HF170" t="str">
        <x:f>IF('Calculations'!EM170="","",IF(IFERROR(IF(INDEX(INDIRECT("'WCM Calibration Final'!$D$1:$D$2000"),'Calculations'!$EM170)="","",TRIM(INDEX(INDIRECT("'WCM Calibration Final'!$D$1:$D$2000"),'Calculations'!$EM170)&amp;"")),"")&lt;&gt;"","G:"&amp;IFERROR(TEXT(1*INDEX(INDIRECT("'WCM Calibration Final'!$D$1:$D$2000"),'Calculations'!$EM170),"0"),UPPER(IFERROR(IF(INDEX(INDIRECT("'WCM Calibration Final'!$D$1:$D$2000"),'Calculations'!$EM170)="","",TRIM(INDEX(INDIRECT("'WCM Calibration Final'!$D$1:$D$2000"),'Calculations'!$EM170)&amp;"")),""))),IF(IFERROR(IF(INDEX(INDIRECT("'WCM Calibration Final'!$E$1:$E$2000"),'Calculations'!$EM170)="","",TRIM(INDEX(INDIRECT("'WCM Calibration Final'!$E$1:$E$2000"),'Calculations'!$EM170)&amp;"")),"")="","",IF(COUNTIF('Calculations'!$HG$13:$HG$512,"="&amp;SUBSTITUTE(SUBSTITUTE(SUBSTITUTE(IFERROR(IF(INDEX(INDIRECT("'WCM Calibration Final'!$E$1:$E$2000"),'Calculations'!$EM170)="","",TRIM(INDEX(INDIRECT("'WCM Calibration Final'!$E$1:$E$2000"),'Calculations'!$EM170)&amp;"")),""),"~","~~"),"*","~*"),"?","~?"))=1,INDEX('Calculations'!$HE$13:$HE$512,MATCH(IFERROR(IF(INDEX(INDIRECT("'WCM Calibration Final'!$E$1:$E$2000"),'Calculations'!$EM170)="","",TRIM(INDEX(INDIRECT("'WCM Calibration Final'!$E$1:$E$2000"),'Calculations'!$EM170)&amp;"")),""),'Calculations'!$HG$13:$HG$512,0)),IF(COUNTIF('Calculations'!$HG$13:$HG$512,"="&amp;SUBSTITUTE(SUBSTITUTE(SUBSTITUTE(IFERROR(IF(INDEX(INDIRECT("'WCM Calibration Final'!$E$1:$E$2000"),'Calculations'!$EM170)="","",TRIM(INDEX(INDIRECT("'WCM Calibration Final'!$E$1:$E$2000"),'Calculations'!$EM170)&amp;"")),""),"~","~~"),"*","~*"),"?","~?"))&gt;1,"!AMBIG","X:"&amp;IFERROR(IF(INDEX(INDIRECT("'WCM Calibration Final'!$E$1:$E$2000"),'Calculations'!$EM170)="","",TRIM(INDEX(INDIRECT("'WCM Calibration Final'!$E$1:$E$2000"),'Calculations'!$EM170)&amp;"")),""))))))</x:f>
      </x:c>
      <x:c r="HG170" t="str">
        <x:f>IF('Calculations'!EM170="","",IFERROR(IF(INDEX(INDIRECT("'WCM Calibration Final'!$B$1:$B$2000"),'Calculations'!$EM170)="","",TRIM(INDEX(INDIRECT("'WCM Calibration Final'!$B$1:$B$2000"),'Calculations'!$EM170)&amp;"")),""))</x:f>
      </x:c>
      <x:c r="HH170" t="n">
        <x:f>IF(AND('Calculations'!JC170&gt;0,COUNTIF('Calculations'!$HF$12:HF170,"="&amp;SUBSTITUTE(SUBSTITUTE(SUBSTITUTE('Calculations'!HF170,"~","~~"),"*","~*"),"?","~?"))=1),MAX('Calculations'!$HH$12:HH169)+1,0)</x:f>
        <x:v>0</x:v>
      </x:c>
      <x:c r="HI170" t="n">
        <x:f>IF(AND('Calculations'!HN170&lt;&gt;"",COUNTIF('Calculations'!$HN$12:HN170,"="&amp;SUBSTITUTE(SUBSTITUTE(SUBSTITUTE('Calculations'!HN170,"~","~~"),"*","~*"),"?","~?"))=1),MAX('Calculations'!$HI$12:HI169)+1,0)</x:f>
        <x:v>0</x:v>
      </x:c>
      <x:c r="HJ170" t="str">
        <x:f>IF('Calculations'!HF170="","",IF(COUNTIF('Calculations'!$HE$13:$HE$512,"="&amp;SUBSTITUTE(SUBSTITUTE(SUBSTITUTE('Calculations'!HF170,"~","~~"),"*","~*"),"?","~?"))=1,INDEX('Calculations'!$HK$13:$HK$512,MATCH('Calculations'!HF170,'Calculations'!$HE$13:$HE$512,0)),IFERROR(IF(INDEX(INDIRECT("'WCM Calibration Final'!$E$1:$E$2000"),'Calculations'!$EM170)="","",TRIM(INDEX(INDIRECT("'WCM Calibration Final'!$E$1:$E$2000"),'Calculations'!$EM170)&amp;"")),"")&amp;" ["&amp;'Calculations'!HF170&amp;"]"))</x:f>
      </x:c>
      <x:c r="HK170" t="str">
        <x:f>IF('Calculations'!EM170="","",'Calculations'!HG170&amp;" ["&amp;'Calculations'!HE170&amp;"]")</x:f>
      </x:c>
      <x:c r="HL170" t="n">
        <x:f>IF('Calculations'!EM170="",0,IF(OR('Calculations'!II170&lt;&gt;"",COUNTIF('Calculations'!$HE$13:$HE$512,"="&amp;SUBSTITUTE(SUBSTITUTE(SUBSTITUTE('Calculations'!HE170,"~","~~"),"*","~*"),"?","~?"))&gt;1),1,0))</x:f>
        <x:v>0</x:v>
      </x:c>
      <x:c r="HM170" t="str">
        <x:f>IF('Calculations'!EM170="","",IF('Calculations'!HL170=1,"!UNRESOLVED",IF('Calculations'!IH170&lt;&gt;"",'Calculations'!IH170,IF('Calculations'!IG170&lt;&gt;"",'Calculations'!IG170,IF('Calculations'!IF170&lt;&gt;"",'Calculations'!IF170,IF('Calculations'!IE170&lt;&gt;"",'Calculations'!IE170,IF('Calculations'!ID170&lt;&gt;"",'Calculations'!ID170,IF('Calculations'!IC170&lt;&gt;"",'Calculations'!IC170,IF('Calculations'!IB170&lt;&gt;"",'Calculations'!IB170,IF('Calculations'!IA170&lt;&gt;"",'Calculations'!IA170,IF('Calculations'!HZ170&lt;&gt;"",'Calculations'!HZ170,IF('Calculations'!HY170&lt;&gt;"",'Calculations'!HY170,IF('Calculations'!HX170&lt;&gt;"",'Calculations'!HX170,IF('Calculations'!HW170&lt;&gt;"",'Calculations'!HW170,IF('Calculations'!HV170&lt;&gt;"",'Calculations'!HV170,IF('Calculations'!HU170&lt;&gt;"",'Calculations'!HU170,IF('Calculations'!HT170&lt;&gt;"",'Calculations'!HT170,IF('Calculations'!HS170&lt;&gt;"",'Calculations'!HS170,IF('Calculations'!HR170&lt;&gt;"",'Calculations'!HR170,IF('Calculations'!HQ170&lt;&gt;"",'Calculations'!HQ170,IF('Calculations'!HP170&lt;&gt;"",'Calculations'!HP170,IF('Calculations'!HO170&lt;&gt;"",'Calculations'!HO170,'Calculations'!HE170))))))))))))))))))))))</x:f>
      </x:c>
      <x:c r="HN170" t="str">
        <x:f>IF('Calculations'!EM170="","",IF(IFERROR(IF(INDEX(INDIRECT("'WCM Calibration Final'!$F$1:$F$2000"),'Calculations'!$EM170)="","",TRIM(INDEX(INDIRECT("'WCM Calibration Final'!$F$1:$F$2000"),'Calculations'!$EM170)&amp;"")),"")="","(Blank)",IFERROR(IF(INDEX(INDIRECT("'WCM Calibration Final'!$F$1:$F$2000"),'Calculations'!$EM170)="","",TRIM(INDEX(INDIRECT("'WCM Calibration Final'!$F$1:$F$2000"),'Calculations'!$EM170)&amp;"")),"")))</x:f>
      </x:c>
      <x:c r="HO170" t="str">
        <x:f>'Calculations'!HF170</x:f>
      </x:c>
      <x:c r="HP170" t="str">
        <x:f>IF('Calculations'!HO170="","",IF('Calculations'!HO170="!AMBIG","!AMBIG",IF(COUNTIF('Calculations'!$HE$13:$HE$512,"="&amp;SUBSTITUTE(SUBSTITUTE(SUBSTITUTE('Calculations'!HO170,"~","~~"),"*","~*"),"?","~?"))&gt;1,"!AMBIG",IFERROR(INDEX('Calculations'!$HF$13:$HF$512,MATCH('Calculations'!HO170,'Calculations'!$HE$13:$HE$512,0)),""))))</x:f>
      </x:c>
      <x:c r="HQ170" t="str">
        <x:f>IF('Calculations'!HP170="","",IF('Calculations'!HP170="!AMBIG","!AMBIG",IF(COUNTIF('Calculations'!$HE$13:$HE$512,"="&amp;SUBSTITUTE(SUBSTITUTE(SUBSTITUTE('Calculations'!HP170,"~","~~"),"*","~*"),"?","~?"))&gt;1,"!AMBIG",IFERROR(INDEX('Calculations'!$HF$13:$HF$512,MATCH('Calculations'!HP170,'Calculations'!$HE$13:$HE$512,0)),""))))</x:f>
      </x:c>
      <x:c r="HR170" t="str">
        <x:f>IF('Calculations'!HQ170="","",IF('Calculations'!HQ170="!AMBIG","!AMBIG",IF(COUNTIF('Calculations'!$HE$13:$HE$512,"="&amp;SUBSTITUTE(SUBSTITUTE(SUBSTITUTE('Calculations'!HQ170,"~","~~"),"*","~*"),"?","~?"))&gt;1,"!AMBIG",IFERROR(INDEX('Calculations'!$HF$13:$HF$512,MATCH('Calculations'!HQ170,'Calculations'!$HE$13:$HE$512,0)),""))))</x:f>
      </x:c>
      <x:c r="HS170" t="str">
        <x:f>IF('Calculations'!HR170="","",IF('Calculations'!HR170="!AMBIG","!AMBIG",IF(COUNTIF('Calculations'!$HE$13:$HE$512,"="&amp;SUBSTITUTE(SUBSTITUTE(SUBSTITUTE('Calculations'!HR170,"~","~~"),"*","~*"),"?","~?"))&gt;1,"!AMBIG",IFERROR(INDEX('Calculations'!$HF$13:$HF$512,MATCH('Calculations'!HR170,'Calculations'!$HE$13:$HE$512,0)),""))))</x:f>
      </x:c>
      <x:c r="HT170" t="str">
        <x:f>IF('Calculations'!HS170="","",IF('Calculations'!HS170="!AMBIG","!AMBIG",IF(COUNTIF('Calculations'!$HE$13:$HE$512,"="&amp;SUBSTITUTE(SUBSTITUTE(SUBSTITUTE('Calculations'!HS170,"~","~~"),"*","~*"),"?","~?"))&gt;1,"!AMBIG",IFERROR(INDEX('Calculations'!$HF$13:$HF$512,MATCH('Calculations'!HS170,'Calculations'!$HE$13:$HE$512,0)),""))))</x:f>
      </x:c>
      <x:c r="HU170" t="str">
        <x:f>IF('Calculations'!HT170="","",IF('Calculations'!HT170="!AMBIG","!AMBIG",IF(COUNTIF('Calculations'!$HE$13:$HE$512,"="&amp;SUBSTITUTE(SUBSTITUTE(SUBSTITUTE('Calculations'!HT170,"~","~~"),"*","~*"),"?","~?"))&gt;1,"!AMBIG",IFERROR(INDEX('Calculations'!$HF$13:$HF$512,MATCH('Calculations'!HT170,'Calculations'!$HE$13:$HE$512,0)),""))))</x:f>
      </x:c>
      <x:c r="HV170" t="str">
        <x:f>IF('Calculations'!HU170="","",IF('Calculations'!HU170="!AMBIG","!AMBIG",IF(COUNTIF('Calculations'!$HE$13:$HE$512,"="&amp;SUBSTITUTE(SUBSTITUTE(SUBSTITUTE('Calculations'!HU170,"~","~~"),"*","~*"),"?","~?"))&gt;1,"!AMBIG",IFERROR(INDEX('Calculations'!$HF$13:$HF$512,MATCH('Calculations'!HU170,'Calculations'!$HE$13:$HE$512,0)),""))))</x:f>
      </x:c>
      <x:c r="HW170" t="str">
        <x:f>IF('Calculations'!HV170="","",IF('Calculations'!HV170="!AMBIG","!AMBIG",IF(COUNTIF('Calculations'!$HE$13:$HE$512,"="&amp;SUBSTITUTE(SUBSTITUTE(SUBSTITUTE('Calculations'!HV170,"~","~~"),"*","~*"),"?","~?"))&gt;1,"!AMBIG",IFERROR(INDEX('Calculations'!$HF$13:$HF$512,MATCH('Calculations'!HV170,'Calculations'!$HE$13:$HE$512,0)),""))))</x:f>
      </x:c>
      <x:c r="HX170" t="str">
        <x:f>IF('Calculations'!HW170="","",IF('Calculations'!HW170="!AMBIG","!AMBIG",IF(COUNTIF('Calculations'!$HE$13:$HE$512,"="&amp;SUBSTITUTE(SUBSTITUTE(SUBSTITUTE('Calculations'!HW170,"~","~~"),"*","~*"),"?","~?"))&gt;1,"!AMBIG",IFERROR(INDEX('Calculations'!$HF$13:$HF$512,MATCH('Calculations'!HW170,'Calculations'!$HE$13:$HE$512,0)),""))))</x:f>
      </x:c>
      <x:c r="HY170" t="str">
        <x:f>IF('Calculations'!HX170="","",IF('Calculations'!HX170="!AMBIG","!AMBIG",IF(COUNTIF('Calculations'!$HE$13:$HE$512,"="&amp;SUBSTITUTE(SUBSTITUTE(SUBSTITUTE('Calculations'!HX170,"~","~~"),"*","~*"),"?","~?"))&gt;1,"!AMBIG",IFERROR(INDEX('Calculations'!$HF$13:$HF$512,MATCH('Calculations'!HX170,'Calculations'!$HE$13:$HE$512,0)),""))))</x:f>
      </x:c>
      <x:c r="HZ170" t="str">
        <x:f>IF('Calculations'!HY170="","",IF('Calculations'!HY170="!AMBIG","!AMBIG",IF(COUNTIF('Calculations'!$HE$13:$HE$512,"="&amp;SUBSTITUTE(SUBSTITUTE(SUBSTITUTE('Calculations'!HY170,"~","~~"),"*","~*"),"?","~?"))&gt;1,"!AMBIG",IFERROR(INDEX('Calculations'!$HF$13:$HF$512,MATCH('Calculations'!HY170,'Calculations'!$HE$13:$HE$512,0)),""))))</x:f>
      </x:c>
      <x:c r="IA170" t="str">
        <x:f>IF('Calculations'!HZ170="","",IF('Calculations'!HZ170="!AMBIG","!AMBIG",IF(COUNTIF('Calculations'!$HE$13:$HE$512,"="&amp;SUBSTITUTE(SUBSTITUTE(SUBSTITUTE('Calculations'!HZ170,"~","~~"),"*","~*"),"?","~?"))&gt;1,"!AMBIG",IFERROR(INDEX('Calculations'!$HF$13:$HF$512,MATCH('Calculations'!HZ170,'Calculations'!$HE$13:$HE$512,0)),""))))</x:f>
      </x:c>
      <x:c r="IB170" t="str">
        <x:f>IF('Calculations'!IA170="","",IF('Calculations'!IA170="!AMBIG","!AMBIG",IF(COUNTIF('Calculations'!$HE$13:$HE$512,"="&amp;SUBSTITUTE(SUBSTITUTE(SUBSTITUTE('Calculations'!IA170,"~","~~"),"*","~*"),"?","~?"))&gt;1,"!AMBIG",IFERROR(INDEX('Calculations'!$HF$13:$HF$512,MATCH('Calculations'!IA170,'Calculations'!$HE$13:$HE$512,0)),""))))</x:f>
      </x:c>
      <x:c r="IC170" t="str">
        <x:f>IF('Calculations'!IB170="","",IF('Calculations'!IB170="!AMBIG","!AMBIG",IF(COUNTIF('Calculations'!$HE$13:$HE$512,"="&amp;SUBSTITUTE(SUBSTITUTE(SUBSTITUTE('Calculations'!IB170,"~","~~"),"*","~*"),"?","~?"))&gt;1,"!AMBIG",IFERROR(INDEX('Calculations'!$HF$13:$HF$512,MATCH('Calculations'!IB170,'Calculations'!$HE$13:$HE$512,0)),""))))</x:f>
      </x:c>
      <x:c r="ID170" t="str">
        <x:f>IF('Calculations'!IC170="","",IF('Calculations'!IC170="!AMBIG","!AMBIG",IF(COUNTIF('Calculations'!$HE$13:$HE$512,"="&amp;SUBSTITUTE(SUBSTITUTE(SUBSTITUTE('Calculations'!IC170,"~","~~"),"*","~*"),"?","~?"))&gt;1,"!AMBIG",IFERROR(INDEX('Calculations'!$HF$13:$HF$512,MATCH('Calculations'!IC170,'Calculations'!$HE$13:$HE$512,0)),""))))</x:f>
      </x:c>
      <x:c r="IE170" t="str">
        <x:f>IF('Calculations'!ID170="","",IF('Calculations'!ID170="!AMBIG","!AMBIG",IF(COUNTIF('Calculations'!$HE$13:$HE$512,"="&amp;SUBSTITUTE(SUBSTITUTE(SUBSTITUTE('Calculations'!ID170,"~","~~"),"*","~*"),"?","~?"))&gt;1,"!AMBIG",IFERROR(INDEX('Calculations'!$HF$13:$HF$512,MATCH('Calculations'!ID170,'Calculations'!$HE$13:$HE$512,0)),""))))</x:f>
      </x:c>
      <x:c r="IF170" t="str">
        <x:f>IF('Calculations'!IE170="","",IF('Calculations'!IE170="!AMBIG","!AMBIG",IF(COUNTIF('Calculations'!$HE$13:$HE$512,"="&amp;SUBSTITUTE(SUBSTITUTE(SUBSTITUTE('Calculations'!IE170,"~","~~"),"*","~*"),"?","~?"))&gt;1,"!AMBIG",IFERROR(INDEX('Calculations'!$HF$13:$HF$512,MATCH('Calculations'!IE170,'Calculations'!$HE$13:$HE$512,0)),""))))</x:f>
      </x:c>
      <x:c r="IG170" t="str">
        <x:f>IF('Calculations'!IF170="","",IF('Calculations'!IF170="!AMBIG","!AMBIG",IF(COUNTIF('Calculations'!$HE$13:$HE$512,"="&amp;SUBSTITUTE(SUBSTITUTE(SUBSTITUTE('Calculations'!IF170,"~","~~"),"*","~*"),"?","~?"))&gt;1,"!AMBIG",IFERROR(INDEX('Calculations'!$HF$13:$HF$512,MATCH('Calculations'!IF170,'Calculations'!$HE$13:$HE$512,0)),""))))</x:f>
      </x:c>
      <x:c r="IH170" t="str">
        <x:f>IF('Calculations'!IG170="","",IF('Calculations'!IG170="!AMBIG","!AMBIG",IF(COUNTIF('Calculations'!$HE$13:$HE$512,"="&amp;SUBSTITUTE(SUBSTITUTE(SUBSTITUTE('Calculations'!IG170,"~","~~"),"*","~*"),"?","~?"))&gt;1,"!AMBIG",IFERROR(INDEX('Calculations'!$HF$13:$HF$512,MATCH('Calculations'!IG170,'Calculations'!$HE$13:$HE$512,0)),""))))</x:f>
      </x:c>
      <x:c r="II170" t="str">
        <x:f>IF('Calculations'!IH170="","",IF('Calculations'!IH170="!AMBIG","!AMBIG",IF(COUNTIF('Calculations'!$HE$13:$HE$512,"="&amp;SUBSTITUTE(SUBSTITUTE(SUBSTITUTE('Calculations'!IH170,"~","~~"),"*","~*"),"?","~?"))&gt;1,"!AMBIG",IFERROR(INDEX('Calculations'!$HF$13:$HF$512,MATCH('Calculations'!IH170,'Calculations'!$HE$13:$HE$512,0)),""))))</x:f>
      </x:c>
      <x:c r="IJ170" t="str">
        <x:f>IF('Calculations'!EM170="","",IF('Calculations'!$EF$2="All",'Calculations'!HM170,IF('Calculations'!HL170=1,"",IFERROR(IF(MATCH('Calculations'!$EF$2,'Calculations'!HO170:II170,0)=1,'Calculations'!HE170,INDEX('Calculations'!HO170:II170,1,MATCH('Calculations'!$EF$2,'Calculations'!HO170:II170,0)-1)),""))))</x:f>
      </x:c>
      <x:c r="IK170" t="n">
        <x:f>IF(AND('Calculations'!EM170&lt;&gt;"",'Calculations'!$EF$2&lt;&gt;"All",'Calculations'!HF170='Calculations'!$EF$2,'Calculations'!HL170=0,'Calculations'!JD170&gt;0),MAX('Calculations'!$IK$12:IK169)+1,0)</x:f>
        <x:v>0</x:v>
      </x:c>
      <x:c r="JA170" t="n">
        <x:f>IF(OR(IFERROR(INDIRECT("'WCM Calibration Final'!$A$170")&lt;&gt;"",FALSE),IFERROR(INDIRECT("'WCM Calibration Final'!$B$170")&lt;&gt;"",FALSE),IFERROR(INDIRECT("'WCM Calibration Final'!$C$170")&lt;&gt;"",FALSE)),170,0)</x:f>
        <x:v>0</x:v>
      </x:c>
      <x:c r="JB170" t="n">
        <x:f>'Calculations'!JB169+IF('Calculations'!JA170&gt;0,1,0)</x:f>
        <x:v>0</x:v>
      </x:c>
      <x:c r="JC170" t="n">
        <x:f>IF(OR('Calculations'!HF170="",'Calculations'!HF170="!AMBIG"),0,IF('Dashboard'!$B$7="All",1,COUNTIFS('Calculations'!$HO$13:$HO$512,"="&amp;SUBSTITUTE(SUBSTITUTE(SUBSTITUTE('Calculations'!HF170,"~","~~"),"*","~*"),"?","~?"),'Calculations'!$HN$13:$HN$512,"="&amp;SUBSTITUTE(SUBSTITUTE(SUBSTITUTE('Dashboard'!$B$7,"~","~~"),"*","~*"),"?","~?"))+COUNTIFS('Calculations'!$HP$13:$HP$512,"="&amp;SUBSTITUTE(SUBSTITUTE(SUBSTITUTE('Calculations'!HF170,"~","~~"),"*","~*"),"?","~?"),'Calculations'!$HN$13:$HN$512,"="&amp;SUBSTITUTE(SUBSTITUTE(SUBSTITUTE('Dashboard'!$B$7,"~","~~"),"*","~*"),"?","~?"))+COUNTIFS('Calculations'!$HQ$13:$HQ$512,"="&amp;SUBSTITUTE(SUBSTITUTE(SUBSTITUTE('Calculations'!HF170,"~","~~"),"*","~*"),"?","~?"),'Calculations'!$HN$13:$HN$512,"="&amp;SUBSTITUTE(SUBSTITUTE(SUBSTITUTE('Dashboard'!$B$7,"~","~~"),"*","~*"),"?","~?"))+COUNTIFS('Calculations'!$HR$13:$HR$512,"="&amp;SUBSTITUTE(SUBSTITUTE(SUBSTITUTE('Calculations'!HF170,"~","~~"),"*","~*"),"?","~?"),'Calculations'!$HN$13:$HN$512,"="&amp;SUBSTITUTE(SUBSTITUTE(SUBSTITUTE('Dashboard'!$B$7,"~","~~"),"*","~*"),"?","~?"))+COUNTIFS('Calculations'!$HS$13:$HS$512,"="&amp;SUBSTITUTE(SUBSTITUTE(SUBSTITUTE('Calculations'!HF170,"~","~~"),"*","~*"),"?","~?"),'Calculations'!$HN$13:$HN$512,"="&amp;SUBSTITUTE(SUBSTITUTE(SUBSTITUTE('Dashboard'!$B$7,"~","~~"),"*","~*"),"?","~?"))+COUNTIFS('Calculations'!$HT$13:$HT$512,"="&amp;SUBSTITUTE(SUBSTITUTE(SUBSTITUTE('Calculations'!HF170,"~","~~"),"*","~*"),"?","~?"),'Calculations'!$HN$13:$HN$512,"="&amp;SUBSTITUTE(SUBSTITUTE(SUBSTITUTE('Dashboard'!$B$7,"~","~~"),"*","~*"),"?","~?"))+COUNTIFS('Calculations'!$HU$13:$HU$512,"="&amp;SUBSTITUTE(SUBSTITUTE(SUBSTITUTE('Calculations'!HF170,"~","~~"),"*","~*"),"?","~?"),'Calculations'!$HN$13:$HN$512,"="&amp;SUBSTITUTE(SUBSTITUTE(SUBSTITUTE('Dashboard'!$B$7,"~","~~"),"*","~*"),"?","~?"))+COUNTIFS('Calculations'!$HV$13:$HV$512,"="&amp;SUBSTITUTE(SUBSTITUTE(SUBSTITUTE('Calculations'!HF170,"~","~~"),"*","~*"),"?","~?"),'Calculations'!$HN$13:$HN$512,"="&amp;SUBSTITUTE(SUBSTITUTE(SUBSTITUTE('Dashboard'!$B$7,"~","~~"),"*","~*"),"?","~?"))+COUNTIFS('Calculations'!$HW$13:$HW$512,"="&amp;SUBSTITUTE(SUBSTITUTE(SUBSTITUTE('Calculations'!HF170,"~","~~"),"*","~*"),"?","~?"),'Calculations'!$HN$13:$HN$512,"="&amp;SUBSTITUTE(SUBSTITUTE(SUBSTITUTE('Dashboard'!$B$7,"~","~~"),"*","~*"),"?","~?"))+COUNTIFS('Calculations'!$HX$13:$HX$512,"="&amp;SUBSTITUTE(SUBSTITUTE(SUBSTITUTE('Calculations'!HF170,"~","~~"),"*","~*"),"?","~?"),'Calculations'!$HN$13:$HN$512,"="&amp;SUBSTITUTE(SUBSTITUTE(SUBSTITUTE('Dashboard'!$B$7,"~","~~"),"*","~*"),"?","~?"))+COUNTIFS('Calculations'!$HY$13:$HY$512,"="&amp;SUBSTITUTE(SUBSTITUTE(SUBSTITUTE('Calculations'!HF170,"~","~~"),"*","~*"),"?","~?"),'Calculations'!$HN$13:$HN$512,"="&amp;SUBSTITUTE(SUBSTITUTE(SUBSTITUTE('Dashboard'!$B$7,"~","~~"),"*","~*"),"?","~?"))+COUNTIFS('Calculations'!$HZ$13:$HZ$512,"="&amp;SUBSTITUTE(SUBSTITUTE(SUBSTITUTE('Calculations'!HF170,"~","~~"),"*","~*"),"?","~?"),'Calculations'!$HN$13:$HN$512,"="&amp;SUBSTITUTE(SUBSTITUTE(SUBSTITUTE('Dashboard'!$B$7,"~","~~"),"*","~*"),"?","~?"))+COUNTIFS('Calculations'!$IA$13:$IA$512,"="&amp;SUBSTITUTE(SUBSTITUTE(SUBSTITUTE('Calculations'!HF170,"~","~~"),"*","~*"),"?","~?"),'Calculations'!$HN$13:$HN$512,"="&amp;SUBSTITUTE(SUBSTITUTE(SUBSTITUTE('Dashboard'!$B$7,"~","~~"),"*","~*"),"?","~?"))+COUNTIFS('Calculations'!$IB$13:$IB$512,"="&amp;SUBSTITUTE(SUBSTITUTE(SUBSTITUTE('Calculations'!HF170,"~","~~"),"*","~*"),"?","~?"),'Calculations'!$HN$13:$HN$512,"="&amp;SUBSTITUTE(SUBSTITUTE(SUBSTITUTE('Dashboard'!$B$7,"~","~~"),"*","~*"),"?","~?"))+COUNTIFS('Calculations'!$IC$13:$IC$512,"="&amp;SUBSTITUTE(SUBSTITUTE(SUBSTITUTE('Calculations'!HF170,"~","~~"),"*","~*"),"?","~?"),'Calculations'!$HN$13:$HN$512,"="&amp;SUBSTITUTE(SUBSTITUTE(SUBSTITUTE('Dashboard'!$B$7,"~","~~"),"*","~*"),"?","~?"))+COUNTIFS('Calculations'!$ID$13:$ID$512,"="&amp;SUBSTITUTE(SUBSTITUTE(SUBSTITUTE('Calculations'!HF170,"~","~~"),"*","~*"),"?","~?"),'Calculations'!$HN$13:$HN$512,"="&amp;SUBSTITUTE(SUBSTITUTE(SUBSTITUTE('Dashboard'!$B$7,"~","~~"),"*","~*"),"?","~?"))+COUNTIFS('Calculations'!$IE$13:$IE$512,"="&amp;SUBSTITUTE(SUBSTITUTE(SUBSTITUTE('Calculations'!HF170,"~","~~"),"*","~*"),"?","~?"),'Calculations'!$HN$13:$HN$512,"="&amp;SUBSTITUTE(SUBSTITUTE(SUBSTITUTE('Dashboard'!$B$7,"~","~~"),"*","~*"),"?","~?"))+COUNTIFS('Calculations'!$IF$13:$IF$512,"="&amp;SUBSTITUTE(SUBSTITUTE(SUBSTITUTE('Calculations'!HF170,"~","~~"),"*","~*"),"?","~?"),'Calculations'!$HN$13:$HN$512,"="&amp;SUBSTITUTE(SUBSTITUTE(SUBSTITUTE('Dashboard'!$B$7,"~","~~"),"*","~*"),"?","~?"))+COUNTIFS('Calculations'!$IG$13:$IG$512,"="&amp;SUBSTITUTE(SUBSTITUTE(SUBSTITUTE('Calculations'!HF170,"~","~~"),"*","~*"),"?","~?"),'Calculations'!$HN$13:$HN$512,"="&amp;SUBSTITUTE(SUBSTITUTE(SUBSTITUTE('Dashboard'!$B$7,"~","~~"),"*","~*"),"?","~?"))+COUNTIFS('Calculations'!$IH$13:$IH$512,"="&amp;SUBSTITUTE(SUBSTITUTE(SUBSTITUTE('Calculations'!HF170,"~","~~"),"*","~*"),"?","~?"),'Calculations'!$HN$13:$HN$512,"="&amp;SUBSTITUTE(SUBSTITUTE(SUBSTITUTE('Dashboard'!$B$7,"~","~~"),"*","~*"),"?","~?"))))</x:f>
        <x:v>0</x:v>
      </x:c>
      <x:c r="JD170" t="n">
        <x:f>IF('Calculations'!EM170="",0,IF('Dashboard'!$B$7="All",1,IF('Calculations'!HN170='Dashboard'!$B$7,1,0)+IFERROR(INDEX('Calculations'!$JC$13:$JC$512,MATCH('Calculations'!HE170,'Calculations'!$HF$13:$HF$512,0)),0)))</x:f>
        <x:v>0</x:v>
      </x:c>
      <x:c r="JE170" t="n">
        <x:f>IF(AND('Calculations'!EM170&lt;&gt;"",'Calculations'!$JJ$2&lt;&gt;"All",'Calculations'!$JJ$2&lt;&gt;"",'Calculations'!HF170='Calculations'!$JJ$2,'Calculations'!HL170=0,'Calculations'!JD170&gt;0),MAX('Calculations'!$JE$12:JE169)+1,0)</x:f>
        <x:v>0</x:v>
      </x:c>
      <x:c r="JF170" t="str">
        <x:f>IF('Calculations'!EM170="","",IFERROR(IF(INDEX(INDIRECT("'WCM Calibration Final'!$G$1:$G$2000"),'Calculations'!$EM170)="","",TRIM(INDEX(INDIRECT("'WCM Calibration Final'!$G$1:$G$2000"),'Calculations'!$EM170)&amp;"")),""))</x:f>
      </x:c>
      <x:c r="JQ170" t="n">
        <x:f>IF(OR('Calculations'!BM170=0,NOT('Calculations'!$AG$2),'Calculations'!$AG$8&gt;0),0,IF(OR('Dashboard'!$B$7="All",'Calculations'!HN170='Dashboard'!$B$7),IF('Calculations'!$JJ$2="All",1,IF(AND('Calculations'!HF170='Calculations'!$JJ$2,'Calculations'!HL170=0),1,0)),0))</x:f>
        <x:v>0</x:v>
      </x:c>
    </x:row>
    <x:row r="171">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t="n">
        <x:f>IF('Calculations'!$EM171="",0,IF(OR(IFERROR(INDEX(INDIRECT("'WCM Calibration Final'!$A$1:$A$2000"),'Calculations'!$EM171)&lt;&gt;"",FALSE),IFERROR(INDEX(INDIRECT("'WCM Calibration Final'!$B$1:$B$2000"),'Calculations'!$EM171)&lt;&gt;"",FALSE),IFERROR(INDEX(INDIRECT("'WCM Calibration Final'!$C$1:$C$2000"),'Calculations'!$EM171)&lt;&gt;"",FALSE)),1,0))</x:f>
        <x:v>0</x:v>
      </x:c>
      <x:c r="BN171" s="4" t="n">
        <x:f>IF(AND('Calculations'!BM171=1,'Calculations'!$AG$2,'Calculations'!$EN171=1),1,0)</x:f>
        <x:v>0</x:v>
      </x:c>
      <x:c r="BO171" s="4" t="str">
        <x:f>IF('Calculations'!BM171=0,"",IFERROR(IF(AND(VALUE(INDEX(INDIRECT("'WCM Calibration Final'!$K$1:$K$2000"),'Calculations'!$EM171))&gt;=1,VALUE(INDEX(INDIRECT("'WCM Calibration Final'!$K$1:$K$2000"),'Calculations'!$EM171))&lt;=4,MOD(VALUE(INDEX(INDIRECT("'WCM Calibration Final'!$K$1:$K$2000"),'Calculations'!$EM171)),1)=0),VALUE(INDEX(INDIRECT("'WCM Calibration Final'!$K$1:$K$2000"),'Calculations'!$EM171)),""),""))</x:f>
      </x:c>
      <x:c r="BP171" s="4" t="str">
        <x:f>IF('Calculations'!BM171=0,"",IFERROR(IF(AND(VALUE(INDEX(INDIRECT("'WCM Calibration Final'!$L$1:$L$2000"),'Calculations'!$EM171))&gt;=1,VALUE(INDEX(INDIRECT("'WCM Calibration Final'!$L$1:$L$2000"),'Calculations'!$EM171))&lt;=4,MOD(VALUE(INDEX(INDIRECT("'WCM Calibration Final'!$L$1:$L$2000"),'Calculations'!$EM171)),1)=0),VALUE(INDEX(INDIRECT("'WCM Calibration Final'!$L$1:$L$2000"),'Calculations'!$EM171)),""),""))</x:f>
      </x:c>
      <x:c r="BQ171" s="4"/>
      <x:c r="BR171" s="4"/>
      <x:c r="BS171" s="4"/>
      <x:c r="BT171" s="4" t="n">
        <x:f>IF(AND('Calculations'!BM171=1,ISNUMBER('Calculations'!BO171),ISNUMBER('Calculations'!BP171)),1,0)</x:f>
        <x:v>0</x:v>
      </x:c>
      <x:c r="BU171" s="4" t="str">
        <x:f>IF('Calculations'!BM171=0,"",'Calculations'!$EO171)</x:f>
      </x:c>
      <x:c r="BV171" s="4" t="str">
        <x:f>IF('Calculations'!BM171=0,"",IFERROR(IF(OR(INDEX(INDIRECT("'WCM Calibration Final'!$H$1:$H$2000"),'Calculations'!$EM171)="MANAGING DIRECTOR",INDEX(INDIRECT("'WCM Calibration Final'!$H$1:$H$2000"),'Calculations'!$EM171)="DIRECTOR",INDEX(INDIRECT("'WCM Calibration Final'!$H$1:$H$2000"),'Calculations'!$EM171)="SENIOR VICE PRESIDENT",INDEX(INDIRECT("'WCM Calibration Final'!$H$1:$H$2000"),'Calculations'!$EM171)="VICE PRESIDENT",INDEX(INDIRECT("'WCM Calibration Final'!$H$1:$H$2000"),'Calculations'!$EM171)="ASSISTANT VICE PRESIDENT",INDEX(INDIRECT("'WCM Calibration Final'!$H$1:$H$2000"),'Calculations'!$EM171)="OFFICER"),UPPER(INDEX(INDIRECT("'WCM Calibration Final'!$H$1:$H$2000"),'Calculations'!$EM171)),"Other"),"Other"))</x:f>
      </x:c>
      <x:c r="BW171" s="4"/>
      <x:c r="BX171" s="4"/>
      <x:c r="BY171" s="4" t="n">
        <x:f>IF(AND('Calculations'!BM171=1,'Calculations'!BU171&lt;&gt;"",COUNTIF('Calculations'!$BU$12:BU171,'Calculations'!BU171)=1),MAX('Calculations'!$BY$11:BY170)+1,0)</x:f>
        <x:v>0</x:v>
      </x:c>
      <x:c r="BZ171" s="4" t="str">
        <x:f>IF('Dashboard'!$E$67="What",'Calculations'!BO171,'Calculations'!BP171)</x:f>
      </x:c>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t="str">
        <x:f>IF(160&gt;MAX('Calculations'!$HI$13:$HI$512),"",INDEX('Calculations'!$HN$13:$HN$512,MATCH(160,'Calculations'!$HI$13:$HI$512,0)))</x:f>
      </x:c>
      <x:c r="DB171" s="4" t="str">
        <x:f>IF(160&gt;MAX('Calculations'!$HH$13:$HH$512),"",INDEX('Calculations'!$HJ$13:$HJ$512,MATCH(160,'Calculations'!$HH$13:$HH$512,0)))</x:f>
      </x:c>
      <x:c r="DC171" s="4" t="str">
        <x:f>IF(ROW()-11&gt;MAX('Calculations'!$BY$13:$BY$512),"",INDEX('Calculations'!$BU$13:$BU$512,MATCH(ROW()-11,'Calculations'!$BY$13:$BY$512,0)))</x:f>
      </x:c>
      <x:c r="DD171" s="4" t="str">
        <x:f>IF(160&gt;MAX('Calculations'!$IK$13:$IK$512),"",INDEX('Calculations'!$HK$13:$HK$512,MATCH(160,'Calculations'!$IK$13:$IK$512,0)))</x:f>
      </x:c>
      <x:c r="DE171" s="4" t="str">
        <x:f>'Calculations'!DC171</x:f>
      </x:c>
      <x:c r="DF171" s="4" t="str">
        <x:f>IF('Calculations'!DE171="","",COUNTIFS('Calculations'!$BN$13:$BN$512,1,'Calculations'!$BU$13:$BU$512,'Calculations'!DE171))</x:f>
      </x:c>
      <x:c r="DG171" s="4" t="str">
        <x:f>IF('Calculations'!DE171="","",COUNTIFS('Calculations'!$BN$13:$BN$512,1,'Calculations'!$BU$13:$BU$512,'Calculations'!DE171,'Calculations'!$BT$13:$BT$512,1))</x:f>
      </x:c>
      <x:c r="DH171" s="4" t="str">
        <x:f>IF('Calculations'!DE171="","",'Calculations'!DF171-'Calculations'!DG171)</x:f>
      </x:c>
      <x:c r="DI171" s="4" t="str">
        <x:f>IF(OR('Calculations'!DE171="",'Calculations'!DF171=0),"",'Calculations'!DG171/'Calculations'!DF171)</x:f>
      </x:c>
      <x:c r="DJ171" s="4" t="str">
        <x:f>IF('Calculations'!DE171="","",COUNTIFS('Calculations'!$BN$13:$BN$512,1,'Calculations'!$BU$13:$BU$512,'Calculations'!DE171,'Calculations'!$BT$13:$BT$512,1,'Calculations'!$EE$13:$EE$512,"High"))</x:f>
      </x:c>
      <x:c r="DK171" s="4" t="str">
        <x:f>IF('Calculations'!DE171="","",COUNTIFS('Calculations'!$BN$13:$BN$512,1,'Calculations'!$BU$13:$BU$512,'Calculations'!DE171,'Calculations'!$BT$13:$BT$512,1,'Calculations'!$EE$13:$EE$512,"Strong"))</x:f>
      </x:c>
      <x:c r="DL171" s="4" t="str">
        <x:f>IF('Calculations'!DE171="","",COUNTIFS('Calculations'!$BN$13:$BN$512,1,'Calculations'!$BU$13:$BU$512,'Calculations'!DE171,'Calculations'!$BT$13:$BT$512,1,'Calculations'!$EE$13:$EE$512,"Solid"))</x:f>
      </x:c>
      <x:c r="DM171" s="4" t="str">
        <x:f>IF('Calculations'!DE171="","",COUNTIFS('Calculations'!$BN$13:$BN$512,1,'Calculations'!$BU$13:$BU$512,'Calculations'!DE171,'Calculations'!$BT$13:$BT$512,1,'Calculations'!$EE$13:$EE$512,"Low"))</x:f>
      </x:c>
      <x:c r="DN171" s="4" t="str">
        <x:f>IF('Calculations'!DE171="","",COUNTIFS('Calculations'!$BN$13:$BN$512,1,'Calculations'!$BU$13:$BU$512,'Calculations'!DE171,'Calculations'!$EP$13:$EP$512,1))</x:f>
      </x:c>
      <x:c r="DO171" s="4" t="str">
        <x:f>IF(OR('Calculations'!DE171="",'Calculations'!DG171=0),"",('Calculations'!DJ171+'Calculations'!DK171)/'Calculations'!DG171)</x:f>
      </x:c>
      <x:c r="DP171" s="4" t="n">
        <x:f>IF(AND('Calculations'!DE171&lt;&gt;"",'Calculations'!DF171&gt;0),COUNTIF('Calculations'!$DF$12:DF171,"&gt;0"),0)</x:f>
        <x:v>0</x:v>
      </x:c>
      <x:c r="DQ171" s="4" t="str">
        <x:f>IF(160&gt;MAX('Calculations'!$HH$13:$HH$512),"",INDEX('Calculations'!$HF$13:$HF$512,MATCH(160,'Calculations'!$HH$13:$HH$512,0)))</x:f>
      </x:c>
      <x:c r="DR171" s="4" t="str">
        <x:f>IF(160&gt;MAX('Calculations'!$IK$13:$IK$512),"",INDEX('Calculations'!$HE$13:$HE$512,MATCH(160,'Calculations'!$IK$13:$IK$512,0)))</x:f>
      </x:c>
      <x:c r="DS171" s="4"/>
      <x:c r="DT171" s="4"/>
      <x:c r="DU171" s="4"/>
      <x:c r="DV171" s="4"/>
      <x:c r="DW171" s="4"/>
      <x:c r="DX171" s="4"/>
      <x:c r="DY171" s="4"/>
      <x:c r="DZ171" s="4"/>
      <x:c r="EA171" s="4"/>
      <x:c r="EB171" s="4"/>
      <x:c r="EC171" s="4"/>
      <x:c r="ED171" s="4"/>
      <x:c r="EE171" s="4" t="str">
        <x:f>IF('Calculations'!BT171=0,"Not Rated",IF(OR('Calculations'!BO171&gt;=4,'Calculations'!BP171&gt;=4),"Low",IF('Calculations'!BO171+'Calculations'!BP171&lt;=3,"High",IF('Calculations'!BO171+'Calculations'!BP171&lt;=4,"Strong","Solid"))))</x:f>
        <x:v>Not Rated</x:v>
      </x:c>
      <x:c r="EF171" s="4"/>
      <x:c r="EG171" s="4"/>
      <x:c r="EH171" s="4"/>
      <x:c r="EI171" s="4"/>
      <x:c r="EJ171" s="4"/>
      <x:c r="EK171" s="4"/>
      <x:c r="EL171" s="4"/>
      <x:c r="EM171" s="4" t="str">
        <x:f>IF(159&gt;'Calculations'!$JB$2000,"",INDEX('Calculations'!$JA$12:$JA$2000,MATCH(159,'Calculations'!$JB$12:$JB$2000,0)))</x:f>
      </x:c>
      <x:c r="EN171" s="4" t="n">
        <x:f>IF(OR('Calculations'!EM171="",'Calculations'!$AG$8&gt;0,AND('Calculations'!$EF$2&lt;&gt;"All",'Calculations'!HE171='Calculations'!$EF$2),AND('Calculations'!$EF$3&lt;&gt;"All",'Calculations'!HE171='Calculations'!$EF$3)),0,IF(OR('Dashboard'!$B$7="All",'Calculations'!HN171='Dashboard'!$B$7),IF('Calculations'!$EF$2="All",1,IF('Calculations'!HL171&gt;0,0,IF(COUNTIF('Calculations'!HO171:II171,"="&amp;SUBSTITUTE(SUBSTITUTE(SUBSTITUTE('Calculations'!$EF$2,"~","~~"),"*","~*"),"?","~?"))=0,0,IF('Calculations'!$EF$3="All",1,IF(COUNTIF('Calculations'!HO171:II171,"="&amp;SUBSTITUTE(SUBSTITUTE(SUBSTITUTE('Calculations'!$EF$3,"~","~~"),"*","~*"),"?","~?"))&gt;0,1,0))))),0))</x:f>
        <x:v>0</x:v>
      </x:c>
      <x:c r="EO171" s="4" t="str">
        <x:f>IF('Calculations'!IJ171="","",IF('Calculations'!IJ171="!UNRESOLVED","Unresolved hierarchy",IFERROR(INDEX('Calculations'!$HK$13:$HK$512,MATCH('Calculations'!IJ171,'Calculations'!$HE$13:$HE$512,0)),IFERROR(INDEX('Calculations'!$HJ$13:$HJ$512,MATCH('Calculations'!IJ171,'Calculations'!$HF$13:$HF$512,0)),'Calculations'!IJ171))))</x:f>
      </x:c>
      <x:c r="EP171" s="4" t="n">
        <x:f>IF(AND('Calculations'!EM171&lt;&gt;"",'Calculations'!HF171='Calculations'!IJ171),1,0)</x:f>
        <x:v>0</x:v>
      </x:c>
      <x:c r="EQ171" s="4"/>
      <x:c r="ER171" s="4"/>
      <x:c r="ES171" s="4"/>
      <x:c r="ET171" s="4"/>
      <x:c r="EU171" s="4"/>
      <x:c r="EV171" s="4"/>
      <x:c r="EW171" s="4"/>
      <x:c r="EX171" s="4"/>
      <x:c r="EY171" s="4"/>
      <x:c r="EZ171" s="4"/>
      <x:c r="FA171" s="4"/>
      <x:c r="FB171" s="4"/>
      <x:c r="FC171" s="4"/>
      <x:c r="FD171" s="4"/>
      <x:c r="FE171" s="4"/>
      <x:c r="FF171" s="4"/>
      <x:c r="FG171" s="4"/>
      <x:c r="FH171" s="4"/>
      <x:c r="FI171" s="4"/>
      <x:c r="FJ171" s="4"/>
      <x:c r="FK171" s="4"/>
      <x:c r="FL171" s="4"/>
      <x:c r="FM171" s="4"/>
      <x:c r="FN171" s="4"/>
      <x:c r="FO171" s="4"/>
      <x:c r="GA171" s="71"/>
      <x:c r="GB171" s="71"/>
      <x:c r="GC171" s="71"/>
      <x:c r="GD171" s="71"/>
      <x:c r="GE171" s="71"/>
      <x:c r="GF171" s="71"/>
      <x:c r="GG171" s="71"/>
      <x:c r="GH171" s="71"/>
      <x:c r="GI171" s="71"/>
      <x:c r="GJ171" s="71"/>
      <x:c r="GK171" s="71"/>
      <x:c r="GL171" s="71"/>
      <x:c r="GM171" s="71"/>
      <x:c r="GN171" s="71"/>
      <x:c r="GO171" s="71"/>
      <x:c r="GP171" s="71"/>
      <x:c r="GQ171" s="71"/>
      <x:c r="GR171" s="71"/>
      <x:c r="GS171" s="71"/>
      <x:c r="GT171" s="71"/>
      <x:c r="GU171" s="71"/>
      <x:c r="GV171" s="71"/>
      <x:c r="GW171" s="71"/>
      <x:c r="GX171" s="71"/>
      <x:c r="GY171" s="71"/>
      <x:c r="GZ171" s="71"/>
      <x:c r="HA171" s="71"/>
      <x:c r="HB171" s="71"/>
      <x:c r="HC171" s="71"/>
      <x:c r="HD171" s="71"/>
      <x:c r="HE171" t="str">
        <x:f>IF('Calculations'!EM171="","",IF(IFERROR(IF(INDEX(INDIRECT("'WCM Calibration Final'!$A$1:$A$2000"),'Calculations'!$EM171)="","",TRIM(INDEX(INDIRECT("'WCM Calibration Final'!$A$1:$A$2000"),'Calculations'!$EM171)&amp;"")),"")&lt;&gt;"","G:"&amp;IFERROR(TEXT(1*INDEX(INDIRECT("'WCM Calibration Final'!$A$1:$A$2000"),'Calculations'!$EM171),"0"),UPPER(IFERROR(IF(INDEX(INDIRECT("'WCM Calibration Final'!$A$1:$A$2000"),'Calculations'!$EM171)="","",TRIM(INDEX(INDIRECT("'WCM Calibration Final'!$A$1:$A$2000"),'Calculations'!$EM171)&amp;"")),""))),IF(IFERROR(IF(INDEX(INDIRECT("'WCM Calibration Final'!$C$1:$C$2000"),'Calculations'!$EM171)="","",TRIM(INDEX(INDIRECT("'WCM Calibration Final'!$C$1:$C$2000"),'Calculations'!$EM171)&amp;"")),"")&lt;&gt;"","S:"&amp;UPPER(IFERROR(IF(INDEX(INDIRECT("'WCM Calibration Final'!$C$1:$C$2000"),'Calculations'!$EM171)="","",TRIM(INDEX(INDIRECT("'WCM Calibration Final'!$C$1:$C$2000"),'Calculations'!$EM171)&amp;"")),"")),"R:"&amp;'Calculations'!EM171)))</x:f>
      </x:c>
      <x:c r="HF171" t="str">
        <x:f>IF('Calculations'!EM171="","",IF(IFERROR(IF(INDEX(INDIRECT("'WCM Calibration Final'!$D$1:$D$2000"),'Calculations'!$EM171)="","",TRIM(INDEX(INDIRECT("'WCM Calibration Final'!$D$1:$D$2000"),'Calculations'!$EM171)&amp;"")),"")&lt;&gt;"","G:"&amp;IFERROR(TEXT(1*INDEX(INDIRECT("'WCM Calibration Final'!$D$1:$D$2000"),'Calculations'!$EM171),"0"),UPPER(IFERROR(IF(INDEX(INDIRECT("'WCM Calibration Final'!$D$1:$D$2000"),'Calculations'!$EM171)="","",TRIM(INDEX(INDIRECT("'WCM Calibration Final'!$D$1:$D$2000"),'Calculations'!$EM171)&amp;"")),""))),IF(IFERROR(IF(INDEX(INDIRECT("'WCM Calibration Final'!$E$1:$E$2000"),'Calculations'!$EM171)="","",TRIM(INDEX(INDIRECT("'WCM Calibration Final'!$E$1:$E$2000"),'Calculations'!$EM171)&amp;"")),"")="","",IF(COUNTIF('Calculations'!$HG$13:$HG$512,"="&amp;SUBSTITUTE(SUBSTITUTE(SUBSTITUTE(IFERROR(IF(INDEX(INDIRECT("'WCM Calibration Final'!$E$1:$E$2000"),'Calculations'!$EM171)="","",TRIM(INDEX(INDIRECT("'WCM Calibration Final'!$E$1:$E$2000"),'Calculations'!$EM171)&amp;"")),""),"~","~~"),"*","~*"),"?","~?"))=1,INDEX('Calculations'!$HE$13:$HE$512,MATCH(IFERROR(IF(INDEX(INDIRECT("'WCM Calibration Final'!$E$1:$E$2000"),'Calculations'!$EM171)="","",TRIM(INDEX(INDIRECT("'WCM Calibration Final'!$E$1:$E$2000"),'Calculations'!$EM171)&amp;"")),""),'Calculations'!$HG$13:$HG$512,0)),IF(COUNTIF('Calculations'!$HG$13:$HG$512,"="&amp;SUBSTITUTE(SUBSTITUTE(SUBSTITUTE(IFERROR(IF(INDEX(INDIRECT("'WCM Calibration Final'!$E$1:$E$2000"),'Calculations'!$EM171)="","",TRIM(INDEX(INDIRECT("'WCM Calibration Final'!$E$1:$E$2000"),'Calculations'!$EM171)&amp;"")),""),"~","~~"),"*","~*"),"?","~?"))&gt;1,"!AMBIG","X:"&amp;IFERROR(IF(INDEX(INDIRECT("'WCM Calibration Final'!$E$1:$E$2000"),'Calculations'!$EM171)="","",TRIM(INDEX(INDIRECT("'WCM Calibration Final'!$E$1:$E$2000"),'Calculations'!$EM171)&amp;"")),""))))))</x:f>
      </x:c>
      <x:c r="HG171" t="str">
        <x:f>IF('Calculations'!EM171="","",IFERROR(IF(INDEX(INDIRECT("'WCM Calibration Final'!$B$1:$B$2000"),'Calculations'!$EM171)="","",TRIM(INDEX(INDIRECT("'WCM Calibration Final'!$B$1:$B$2000"),'Calculations'!$EM171)&amp;"")),""))</x:f>
      </x:c>
      <x:c r="HH171" t="n">
        <x:f>IF(AND('Calculations'!JC171&gt;0,COUNTIF('Calculations'!$HF$12:HF171,"="&amp;SUBSTITUTE(SUBSTITUTE(SUBSTITUTE('Calculations'!HF171,"~","~~"),"*","~*"),"?","~?"))=1),MAX('Calculations'!$HH$12:HH170)+1,0)</x:f>
        <x:v>0</x:v>
      </x:c>
      <x:c r="HI171" t="n">
        <x:f>IF(AND('Calculations'!HN171&lt;&gt;"",COUNTIF('Calculations'!$HN$12:HN171,"="&amp;SUBSTITUTE(SUBSTITUTE(SUBSTITUTE('Calculations'!HN171,"~","~~"),"*","~*"),"?","~?"))=1),MAX('Calculations'!$HI$12:HI170)+1,0)</x:f>
        <x:v>0</x:v>
      </x:c>
      <x:c r="HJ171" t="str">
        <x:f>IF('Calculations'!HF171="","",IF(COUNTIF('Calculations'!$HE$13:$HE$512,"="&amp;SUBSTITUTE(SUBSTITUTE(SUBSTITUTE('Calculations'!HF171,"~","~~"),"*","~*"),"?","~?"))=1,INDEX('Calculations'!$HK$13:$HK$512,MATCH('Calculations'!HF171,'Calculations'!$HE$13:$HE$512,0)),IFERROR(IF(INDEX(INDIRECT("'WCM Calibration Final'!$E$1:$E$2000"),'Calculations'!$EM171)="","",TRIM(INDEX(INDIRECT("'WCM Calibration Final'!$E$1:$E$2000"),'Calculations'!$EM171)&amp;"")),"")&amp;" ["&amp;'Calculations'!HF171&amp;"]"))</x:f>
      </x:c>
      <x:c r="HK171" t="str">
        <x:f>IF('Calculations'!EM171="","",'Calculations'!HG171&amp;" ["&amp;'Calculations'!HE171&amp;"]")</x:f>
      </x:c>
      <x:c r="HL171" t="n">
        <x:f>IF('Calculations'!EM171="",0,IF(OR('Calculations'!II171&lt;&gt;"",COUNTIF('Calculations'!$HE$13:$HE$512,"="&amp;SUBSTITUTE(SUBSTITUTE(SUBSTITUTE('Calculations'!HE171,"~","~~"),"*","~*"),"?","~?"))&gt;1),1,0))</x:f>
        <x:v>0</x:v>
      </x:c>
      <x:c r="HM171" t="str">
        <x:f>IF('Calculations'!EM171="","",IF('Calculations'!HL171=1,"!UNRESOLVED",IF('Calculations'!IH171&lt;&gt;"",'Calculations'!IH171,IF('Calculations'!IG171&lt;&gt;"",'Calculations'!IG171,IF('Calculations'!IF171&lt;&gt;"",'Calculations'!IF171,IF('Calculations'!IE171&lt;&gt;"",'Calculations'!IE171,IF('Calculations'!ID171&lt;&gt;"",'Calculations'!ID171,IF('Calculations'!IC171&lt;&gt;"",'Calculations'!IC171,IF('Calculations'!IB171&lt;&gt;"",'Calculations'!IB171,IF('Calculations'!IA171&lt;&gt;"",'Calculations'!IA171,IF('Calculations'!HZ171&lt;&gt;"",'Calculations'!HZ171,IF('Calculations'!HY171&lt;&gt;"",'Calculations'!HY171,IF('Calculations'!HX171&lt;&gt;"",'Calculations'!HX171,IF('Calculations'!HW171&lt;&gt;"",'Calculations'!HW171,IF('Calculations'!HV171&lt;&gt;"",'Calculations'!HV171,IF('Calculations'!HU171&lt;&gt;"",'Calculations'!HU171,IF('Calculations'!HT171&lt;&gt;"",'Calculations'!HT171,IF('Calculations'!HS171&lt;&gt;"",'Calculations'!HS171,IF('Calculations'!HR171&lt;&gt;"",'Calculations'!HR171,IF('Calculations'!HQ171&lt;&gt;"",'Calculations'!HQ171,IF('Calculations'!HP171&lt;&gt;"",'Calculations'!HP171,IF('Calculations'!HO171&lt;&gt;"",'Calculations'!HO171,'Calculations'!HE171))))))))))))))))))))))</x:f>
      </x:c>
      <x:c r="HN171" t="str">
        <x:f>IF('Calculations'!EM171="","",IF(IFERROR(IF(INDEX(INDIRECT("'WCM Calibration Final'!$F$1:$F$2000"),'Calculations'!$EM171)="","",TRIM(INDEX(INDIRECT("'WCM Calibration Final'!$F$1:$F$2000"),'Calculations'!$EM171)&amp;"")),"")="","(Blank)",IFERROR(IF(INDEX(INDIRECT("'WCM Calibration Final'!$F$1:$F$2000"),'Calculations'!$EM171)="","",TRIM(INDEX(INDIRECT("'WCM Calibration Final'!$F$1:$F$2000"),'Calculations'!$EM171)&amp;"")),"")))</x:f>
      </x:c>
      <x:c r="HO171" t="str">
        <x:f>'Calculations'!HF171</x:f>
      </x:c>
      <x:c r="HP171" t="str">
        <x:f>IF('Calculations'!HO171="","",IF('Calculations'!HO171="!AMBIG","!AMBIG",IF(COUNTIF('Calculations'!$HE$13:$HE$512,"="&amp;SUBSTITUTE(SUBSTITUTE(SUBSTITUTE('Calculations'!HO171,"~","~~"),"*","~*"),"?","~?"))&gt;1,"!AMBIG",IFERROR(INDEX('Calculations'!$HF$13:$HF$512,MATCH('Calculations'!HO171,'Calculations'!$HE$13:$HE$512,0)),""))))</x:f>
      </x:c>
      <x:c r="HQ171" t="str">
        <x:f>IF('Calculations'!HP171="","",IF('Calculations'!HP171="!AMBIG","!AMBIG",IF(COUNTIF('Calculations'!$HE$13:$HE$512,"="&amp;SUBSTITUTE(SUBSTITUTE(SUBSTITUTE('Calculations'!HP171,"~","~~"),"*","~*"),"?","~?"))&gt;1,"!AMBIG",IFERROR(INDEX('Calculations'!$HF$13:$HF$512,MATCH('Calculations'!HP171,'Calculations'!$HE$13:$HE$512,0)),""))))</x:f>
      </x:c>
      <x:c r="HR171" t="str">
        <x:f>IF('Calculations'!HQ171="","",IF('Calculations'!HQ171="!AMBIG","!AMBIG",IF(COUNTIF('Calculations'!$HE$13:$HE$512,"="&amp;SUBSTITUTE(SUBSTITUTE(SUBSTITUTE('Calculations'!HQ171,"~","~~"),"*","~*"),"?","~?"))&gt;1,"!AMBIG",IFERROR(INDEX('Calculations'!$HF$13:$HF$512,MATCH('Calculations'!HQ171,'Calculations'!$HE$13:$HE$512,0)),""))))</x:f>
      </x:c>
      <x:c r="HS171" t="str">
        <x:f>IF('Calculations'!HR171="","",IF('Calculations'!HR171="!AMBIG","!AMBIG",IF(COUNTIF('Calculations'!$HE$13:$HE$512,"="&amp;SUBSTITUTE(SUBSTITUTE(SUBSTITUTE('Calculations'!HR171,"~","~~"),"*","~*"),"?","~?"))&gt;1,"!AMBIG",IFERROR(INDEX('Calculations'!$HF$13:$HF$512,MATCH('Calculations'!HR171,'Calculations'!$HE$13:$HE$512,0)),""))))</x:f>
      </x:c>
      <x:c r="HT171" t="str">
        <x:f>IF('Calculations'!HS171="","",IF('Calculations'!HS171="!AMBIG","!AMBIG",IF(COUNTIF('Calculations'!$HE$13:$HE$512,"="&amp;SUBSTITUTE(SUBSTITUTE(SUBSTITUTE('Calculations'!HS171,"~","~~"),"*","~*"),"?","~?"))&gt;1,"!AMBIG",IFERROR(INDEX('Calculations'!$HF$13:$HF$512,MATCH('Calculations'!HS171,'Calculations'!$HE$13:$HE$512,0)),""))))</x:f>
      </x:c>
      <x:c r="HU171" t="str">
        <x:f>IF('Calculations'!HT171="","",IF('Calculations'!HT171="!AMBIG","!AMBIG",IF(COUNTIF('Calculations'!$HE$13:$HE$512,"="&amp;SUBSTITUTE(SUBSTITUTE(SUBSTITUTE('Calculations'!HT171,"~","~~"),"*","~*"),"?","~?"))&gt;1,"!AMBIG",IFERROR(INDEX('Calculations'!$HF$13:$HF$512,MATCH('Calculations'!HT171,'Calculations'!$HE$13:$HE$512,0)),""))))</x:f>
      </x:c>
      <x:c r="HV171" t="str">
        <x:f>IF('Calculations'!HU171="","",IF('Calculations'!HU171="!AMBIG","!AMBIG",IF(COUNTIF('Calculations'!$HE$13:$HE$512,"="&amp;SUBSTITUTE(SUBSTITUTE(SUBSTITUTE('Calculations'!HU171,"~","~~"),"*","~*"),"?","~?"))&gt;1,"!AMBIG",IFERROR(INDEX('Calculations'!$HF$13:$HF$512,MATCH('Calculations'!HU171,'Calculations'!$HE$13:$HE$512,0)),""))))</x:f>
      </x:c>
      <x:c r="HW171" t="str">
        <x:f>IF('Calculations'!HV171="","",IF('Calculations'!HV171="!AMBIG","!AMBIG",IF(COUNTIF('Calculations'!$HE$13:$HE$512,"="&amp;SUBSTITUTE(SUBSTITUTE(SUBSTITUTE('Calculations'!HV171,"~","~~"),"*","~*"),"?","~?"))&gt;1,"!AMBIG",IFERROR(INDEX('Calculations'!$HF$13:$HF$512,MATCH('Calculations'!HV171,'Calculations'!$HE$13:$HE$512,0)),""))))</x:f>
      </x:c>
      <x:c r="HX171" t="str">
        <x:f>IF('Calculations'!HW171="","",IF('Calculations'!HW171="!AMBIG","!AMBIG",IF(COUNTIF('Calculations'!$HE$13:$HE$512,"="&amp;SUBSTITUTE(SUBSTITUTE(SUBSTITUTE('Calculations'!HW171,"~","~~"),"*","~*"),"?","~?"))&gt;1,"!AMBIG",IFERROR(INDEX('Calculations'!$HF$13:$HF$512,MATCH('Calculations'!HW171,'Calculations'!$HE$13:$HE$512,0)),""))))</x:f>
      </x:c>
      <x:c r="HY171" t="str">
        <x:f>IF('Calculations'!HX171="","",IF('Calculations'!HX171="!AMBIG","!AMBIG",IF(COUNTIF('Calculations'!$HE$13:$HE$512,"="&amp;SUBSTITUTE(SUBSTITUTE(SUBSTITUTE('Calculations'!HX171,"~","~~"),"*","~*"),"?","~?"))&gt;1,"!AMBIG",IFERROR(INDEX('Calculations'!$HF$13:$HF$512,MATCH('Calculations'!HX171,'Calculations'!$HE$13:$HE$512,0)),""))))</x:f>
      </x:c>
      <x:c r="HZ171" t="str">
        <x:f>IF('Calculations'!HY171="","",IF('Calculations'!HY171="!AMBIG","!AMBIG",IF(COUNTIF('Calculations'!$HE$13:$HE$512,"="&amp;SUBSTITUTE(SUBSTITUTE(SUBSTITUTE('Calculations'!HY171,"~","~~"),"*","~*"),"?","~?"))&gt;1,"!AMBIG",IFERROR(INDEX('Calculations'!$HF$13:$HF$512,MATCH('Calculations'!HY171,'Calculations'!$HE$13:$HE$512,0)),""))))</x:f>
      </x:c>
      <x:c r="IA171" t="str">
        <x:f>IF('Calculations'!HZ171="","",IF('Calculations'!HZ171="!AMBIG","!AMBIG",IF(COUNTIF('Calculations'!$HE$13:$HE$512,"="&amp;SUBSTITUTE(SUBSTITUTE(SUBSTITUTE('Calculations'!HZ171,"~","~~"),"*","~*"),"?","~?"))&gt;1,"!AMBIG",IFERROR(INDEX('Calculations'!$HF$13:$HF$512,MATCH('Calculations'!HZ171,'Calculations'!$HE$13:$HE$512,0)),""))))</x:f>
      </x:c>
      <x:c r="IB171" t="str">
        <x:f>IF('Calculations'!IA171="","",IF('Calculations'!IA171="!AMBIG","!AMBIG",IF(COUNTIF('Calculations'!$HE$13:$HE$512,"="&amp;SUBSTITUTE(SUBSTITUTE(SUBSTITUTE('Calculations'!IA171,"~","~~"),"*","~*"),"?","~?"))&gt;1,"!AMBIG",IFERROR(INDEX('Calculations'!$HF$13:$HF$512,MATCH('Calculations'!IA171,'Calculations'!$HE$13:$HE$512,0)),""))))</x:f>
      </x:c>
      <x:c r="IC171" t="str">
        <x:f>IF('Calculations'!IB171="","",IF('Calculations'!IB171="!AMBIG","!AMBIG",IF(COUNTIF('Calculations'!$HE$13:$HE$512,"="&amp;SUBSTITUTE(SUBSTITUTE(SUBSTITUTE('Calculations'!IB171,"~","~~"),"*","~*"),"?","~?"))&gt;1,"!AMBIG",IFERROR(INDEX('Calculations'!$HF$13:$HF$512,MATCH('Calculations'!IB171,'Calculations'!$HE$13:$HE$512,0)),""))))</x:f>
      </x:c>
      <x:c r="ID171" t="str">
        <x:f>IF('Calculations'!IC171="","",IF('Calculations'!IC171="!AMBIG","!AMBIG",IF(COUNTIF('Calculations'!$HE$13:$HE$512,"="&amp;SUBSTITUTE(SUBSTITUTE(SUBSTITUTE('Calculations'!IC171,"~","~~"),"*","~*"),"?","~?"))&gt;1,"!AMBIG",IFERROR(INDEX('Calculations'!$HF$13:$HF$512,MATCH('Calculations'!IC171,'Calculations'!$HE$13:$HE$512,0)),""))))</x:f>
      </x:c>
      <x:c r="IE171" t="str">
        <x:f>IF('Calculations'!ID171="","",IF('Calculations'!ID171="!AMBIG","!AMBIG",IF(COUNTIF('Calculations'!$HE$13:$HE$512,"="&amp;SUBSTITUTE(SUBSTITUTE(SUBSTITUTE('Calculations'!ID171,"~","~~"),"*","~*"),"?","~?"))&gt;1,"!AMBIG",IFERROR(INDEX('Calculations'!$HF$13:$HF$512,MATCH('Calculations'!ID171,'Calculations'!$HE$13:$HE$512,0)),""))))</x:f>
      </x:c>
      <x:c r="IF171" t="str">
        <x:f>IF('Calculations'!IE171="","",IF('Calculations'!IE171="!AMBIG","!AMBIG",IF(COUNTIF('Calculations'!$HE$13:$HE$512,"="&amp;SUBSTITUTE(SUBSTITUTE(SUBSTITUTE('Calculations'!IE171,"~","~~"),"*","~*"),"?","~?"))&gt;1,"!AMBIG",IFERROR(INDEX('Calculations'!$HF$13:$HF$512,MATCH('Calculations'!IE171,'Calculations'!$HE$13:$HE$512,0)),""))))</x:f>
      </x:c>
      <x:c r="IG171" t="str">
        <x:f>IF('Calculations'!IF171="","",IF('Calculations'!IF171="!AMBIG","!AMBIG",IF(COUNTIF('Calculations'!$HE$13:$HE$512,"="&amp;SUBSTITUTE(SUBSTITUTE(SUBSTITUTE('Calculations'!IF171,"~","~~"),"*","~*"),"?","~?"))&gt;1,"!AMBIG",IFERROR(INDEX('Calculations'!$HF$13:$HF$512,MATCH('Calculations'!IF171,'Calculations'!$HE$13:$HE$512,0)),""))))</x:f>
      </x:c>
      <x:c r="IH171" t="str">
        <x:f>IF('Calculations'!IG171="","",IF('Calculations'!IG171="!AMBIG","!AMBIG",IF(COUNTIF('Calculations'!$HE$13:$HE$512,"="&amp;SUBSTITUTE(SUBSTITUTE(SUBSTITUTE('Calculations'!IG171,"~","~~"),"*","~*"),"?","~?"))&gt;1,"!AMBIG",IFERROR(INDEX('Calculations'!$HF$13:$HF$512,MATCH('Calculations'!IG171,'Calculations'!$HE$13:$HE$512,0)),""))))</x:f>
      </x:c>
      <x:c r="II171" t="str">
        <x:f>IF('Calculations'!IH171="","",IF('Calculations'!IH171="!AMBIG","!AMBIG",IF(COUNTIF('Calculations'!$HE$13:$HE$512,"="&amp;SUBSTITUTE(SUBSTITUTE(SUBSTITUTE('Calculations'!IH171,"~","~~"),"*","~*"),"?","~?"))&gt;1,"!AMBIG",IFERROR(INDEX('Calculations'!$HF$13:$HF$512,MATCH('Calculations'!IH171,'Calculations'!$HE$13:$HE$512,0)),""))))</x:f>
      </x:c>
      <x:c r="IJ171" t="str">
        <x:f>IF('Calculations'!EM171="","",IF('Calculations'!$EF$2="All",'Calculations'!HM171,IF('Calculations'!HL171=1,"",IFERROR(IF(MATCH('Calculations'!$EF$2,'Calculations'!HO171:II171,0)=1,'Calculations'!HE171,INDEX('Calculations'!HO171:II171,1,MATCH('Calculations'!$EF$2,'Calculations'!HO171:II171,0)-1)),""))))</x:f>
      </x:c>
      <x:c r="IK171" t="n">
        <x:f>IF(AND('Calculations'!EM171&lt;&gt;"",'Calculations'!$EF$2&lt;&gt;"All",'Calculations'!HF171='Calculations'!$EF$2,'Calculations'!HL171=0,'Calculations'!JD171&gt;0),MAX('Calculations'!$IK$12:IK170)+1,0)</x:f>
        <x:v>0</x:v>
      </x:c>
      <x:c r="JA171" t="n">
        <x:f>IF(OR(IFERROR(INDIRECT("'WCM Calibration Final'!$A$171")&lt;&gt;"",FALSE),IFERROR(INDIRECT("'WCM Calibration Final'!$B$171")&lt;&gt;"",FALSE),IFERROR(INDIRECT("'WCM Calibration Final'!$C$171")&lt;&gt;"",FALSE)),171,0)</x:f>
        <x:v>0</x:v>
      </x:c>
      <x:c r="JB171" t="n">
        <x:f>'Calculations'!JB170+IF('Calculations'!JA171&gt;0,1,0)</x:f>
        <x:v>0</x:v>
      </x:c>
      <x:c r="JC171" t="n">
        <x:f>IF(OR('Calculations'!HF171="",'Calculations'!HF171="!AMBIG"),0,IF('Dashboard'!$B$7="All",1,COUNTIFS('Calculations'!$HO$13:$HO$512,"="&amp;SUBSTITUTE(SUBSTITUTE(SUBSTITUTE('Calculations'!HF171,"~","~~"),"*","~*"),"?","~?"),'Calculations'!$HN$13:$HN$512,"="&amp;SUBSTITUTE(SUBSTITUTE(SUBSTITUTE('Dashboard'!$B$7,"~","~~"),"*","~*"),"?","~?"))+COUNTIFS('Calculations'!$HP$13:$HP$512,"="&amp;SUBSTITUTE(SUBSTITUTE(SUBSTITUTE('Calculations'!HF171,"~","~~"),"*","~*"),"?","~?"),'Calculations'!$HN$13:$HN$512,"="&amp;SUBSTITUTE(SUBSTITUTE(SUBSTITUTE('Dashboard'!$B$7,"~","~~"),"*","~*"),"?","~?"))+COUNTIFS('Calculations'!$HQ$13:$HQ$512,"="&amp;SUBSTITUTE(SUBSTITUTE(SUBSTITUTE('Calculations'!HF171,"~","~~"),"*","~*"),"?","~?"),'Calculations'!$HN$13:$HN$512,"="&amp;SUBSTITUTE(SUBSTITUTE(SUBSTITUTE('Dashboard'!$B$7,"~","~~"),"*","~*"),"?","~?"))+COUNTIFS('Calculations'!$HR$13:$HR$512,"="&amp;SUBSTITUTE(SUBSTITUTE(SUBSTITUTE('Calculations'!HF171,"~","~~"),"*","~*"),"?","~?"),'Calculations'!$HN$13:$HN$512,"="&amp;SUBSTITUTE(SUBSTITUTE(SUBSTITUTE('Dashboard'!$B$7,"~","~~"),"*","~*"),"?","~?"))+COUNTIFS('Calculations'!$HS$13:$HS$512,"="&amp;SUBSTITUTE(SUBSTITUTE(SUBSTITUTE('Calculations'!HF171,"~","~~"),"*","~*"),"?","~?"),'Calculations'!$HN$13:$HN$512,"="&amp;SUBSTITUTE(SUBSTITUTE(SUBSTITUTE('Dashboard'!$B$7,"~","~~"),"*","~*"),"?","~?"))+COUNTIFS('Calculations'!$HT$13:$HT$512,"="&amp;SUBSTITUTE(SUBSTITUTE(SUBSTITUTE('Calculations'!HF171,"~","~~"),"*","~*"),"?","~?"),'Calculations'!$HN$13:$HN$512,"="&amp;SUBSTITUTE(SUBSTITUTE(SUBSTITUTE('Dashboard'!$B$7,"~","~~"),"*","~*"),"?","~?"))+COUNTIFS('Calculations'!$HU$13:$HU$512,"="&amp;SUBSTITUTE(SUBSTITUTE(SUBSTITUTE('Calculations'!HF171,"~","~~"),"*","~*"),"?","~?"),'Calculations'!$HN$13:$HN$512,"="&amp;SUBSTITUTE(SUBSTITUTE(SUBSTITUTE('Dashboard'!$B$7,"~","~~"),"*","~*"),"?","~?"))+COUNTIFS('Calculations'!$HV$13:$HV$512,"="&amp;SUBSTITUTE(SUBSTITUTE(SUBSTITUTE('Calculations'!HF171,"~","~~"),"*","~*"),"?","~?"),'Calculations'!$HN$13:$HN$512,"="&amp;SUBSTITUTE(SUBSTITUTE(SUBSTITUTE('Dashboard'!$B$7,"~","~~"),"*","~*"),"?","~?"))+COUNTIFS('Calculations'!$HW$13:$HW$512,"="&amp;SUBSTITUTE(SUBSTITUTE(SUBSTITUTE('Calculations'!HF171,"~","~~"),"*","~*"),"?","~?"),'Calculations'!$HN$13:$HN$512,"="&amp;SUBSTITUTE(SUBSTITUTE(SUBSTITUTE('Dashboard'!$B$7,"~","~~"),"*","~*"),"?","~?"))+COUNTIFS('Calculations'!$HX$13:$HX$512,"="&amp;SUBSTITUTE(SUBSTITUTE(SUBSTITUTE('Calculations'!HF171,"~","~~"),"*","~*"),"?","~?"),'Calculations'!$HN$13:$HN$512,"="&amp;SUBSTITUTE(SUBSTITUTE(SUBSTITUTE('Dashboard'!$B$7,"~","~~"),"*","~*"),"?","~?"))+COUNTIFS('Calculations'!$HY$13:$HY$512,"="&amp;SUBSTITUTE(SUBSTITUTE(SUBSTITUTE('Calculations'!HF171,"~","~~"),"*","~*"),"?","~?"),'Calculations'!$HN$13:$HN$512,"="&amp;SUBSTITUTE(SUBSTITUTE(SUBSTITUTE('Dashboard'!$B$7,"~","~~"),"*","~*"),"?","~?"))+COUNTIFS('Calculations'!$HZ$13:$HZ$512,"="&amp;SUBSTITUTE(SUBSTITUTE(SUBSTITUTE('Calculations'!HF171,"~","~~"),"*","~*"),"?","~?"),'Calculations'!$HN$13:$HN$512,"="&amp;SUBSTITUTE(SUBSTITUTE(SUBSTITUTE('Dashboard'!$B$7,"~","~~"),"*","~*"),"?","~?"))+COUNTIFS('Calculations'!$IA$13:$IA$512,"="&amp;SUBSTITUTE(SUBSTITUTE(SUBSTITUTE('Calculations'!HF171,"~","~~"),"*","~*"),"?","~?"),'Calculations'!$HN$13:$HN$512,"="&amp;SUBSTITUTE(SUBSTITUTE(SUBSTITUTE('Dashboard'!$B$7,"~","~~"),"*","~*"),"?","~?"))+COUNTIFS('Calculations'!$IB$13:$IB$512,"="&amp;SUBSTITUTE(SUBSTITUTE(SUBSTITUTE('Calculations'!HF171,"~","~~"),"*","~*"),"?","~?"),'Calculations'!$HN$13:$HN$512,"="&amp;SUBSTITUTE(SUBSTITUTE(SUBSTITUTE('Dashboard'!$B$7,"~","~~"),"*","~*"),"?","~?"))+COUNTIFS('Calculations'!$IC$13:$IC$512,"="&amp;SUBSTITUTE(SUBSTITUTE(SUBSTITUTE('Calculations'!HF171,"~","~~"),"*","~*"),"?","~?"),'Calculations'!$HN$13:$HN$512,"="&amp;SUBSTITUTE(SUBSTITUTE(SUBSTITUTE('Dashboard'!$B$7,"~","~~"),"*","~*"),"?","~?"))+COUNTIFS('Calculations'!$ID$13:$ID$512,"="&amp;SUBSTITUTE(SUBSTITUTE(SUBSTITUTE('Calculations'!HF171,"~","~~"),"*","~*"),"?","~?"),'Calculations'!$HN$13:$HN$512,"="&amp;SUBSTITUTE(SUBSTITUTE(SUBSTITUTE('Dashboard'!$B$7,"~","~~"),"*","~*"),"?","~?"))+COUNTIFS('Calculations'!$IE$13:$IE$512,"="&amp;SUBSTITUTE(SUBSTITUTE(SUBSTITUTE('Calculations'!HF171,"~","~~"),"*","~*"),"?","~?"),'Calculations'!$HN$13:$HN$512,"="&amp;SUBSTITUTE(SUBSTITUTE(SUBSTITUTE('Dashboard'!$B$7,"~","~~"),"*","~*"),"?","~?"))+COUNTIFS('Calculations'!$IF$13:$IF$512,"="&amp;SUBSTITUTE(SUBSTITUTE(SUBSTITUTE('Calculations'!HF171,"~","~~"),"*","~*"),"?","~?"),'Calculations'!$HN$13:$HN$512,"="&amp;SUBSTITUTE(SUBSTITUTE(SUBSTITUTE('Dashboard'!$B$7,"~","~~"),"*","~*"),"?","~?"))+COUNTIFS('Calculations'!$IG$13:$IG$512,"="&amp;SUBSTITUTE(SUBSTITUTE(SUBSTITUTE('Calculations'!HF171,"~","~~"),"*","~*"),"?","~?"),'Calculations'!$HN$13:$HN$512,"="&amp;SUBSTITUTE(SUBSTITUTE(SUBSTITUTE('Dashboard'!$B$7,"~","~~"),"*","~*"),"?","~?"))+COUNTIFS('Calculations'!$IH$13:$IH$512,"="&amp;SUBSTITUTE(SUBSTITUTE(SUBSTITUTE('Calculations'!HF171,"~","~~"),"*","~*"),"?","~?"),'Calculations'!$HN$13:$HN$512,"="&amp;SUBSTITUTE(SUBSTITUTE(SUBSTITUTE('Dashboard'!$B$7,"~","~~"),"*","~*"),"?","~?"))))</x:f>
        <x:v>0</x:v>
      </x:c>
      <x:c r="JD171" t="n">
        <x:f>IF('Calculations'!EM171="",0,IF('Dashboard'!$B$7="All",1,IF('Calculations'!HN171='Dashboard'!$B$7,1,0)+IFERROR(INDEX('Calculations'!$JC$13:$JC$512,MATCH('Calculations'!HE171,'Calculations'!$HF$13:$HF$512,0)),0)))</x:f>
        <x:v>0</x:v>
      </x:c>
      <x:c r="JE171" t="n">
        <x:f>IF(AND('Calculations'!EM171&lt;&gt;"",'Calculations'!$JJ$2&lt;&gt;"All",'Calculations'!$JJ$2&lt;&gt;"",'Calculations'!HF171='Calculations'!$JJ$2,'Calculations'!HL171=0,'Calculations'!JD171&gt;0),MAX('Calculations'!$JE$12:JE170)+1,0)</x:f>
        <x:v>0</x:v>
      </x:c>
      <x:c r="JF171" t="str">
        <x:f>IF('Calculations'!EM171="","",IFERROR(IF(INDEX(INDIRECT("'WCM Calibration Final'!$G$1:$G$2000"),'Calculations'!$EM171)="","",TRIM(INDEX(INDIRECT("'WCM Calibration Final'!$G$1:$G$2000"),'Calculations'!$EM171)&amp;"")),""))</x:f>
      </x:c>
      <x:c r="JQ171" t="n">
        <x:f>IF(OR('Calculations'!BM171=0,NOT('Calculations'!$AG$2),'Calculations'!$AG$8&gt;0),0,IF(OR('Dashboard'!$B$7="All",'Calculations'!HN171='Dashboard'!$B$7),IF('Calculations'!$JJ$2="All",1,IF(AND('Calculations'!HF171='Calculations'!$JJ$2,'Calculations'!HL171=0),1,0)),0))</x:f>
        <x:v>0</x:v>
      </x:c>
    </x:row>
    <x:row r="172">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t="n">
        <x:f>IF('Calculations'!$EM172="",0,IF(OR(IFERROR(INDEX(INDIRECT("'WCM Calibration Final'!$A$1:$A$2000"),'Calculations'!$EM172)&lt;&gt;"",FALSE),IFERROR(INDEX(INDIRECT("'WCM Calibration Final'!$B$1:$B$2000"),'Calculations'!$EM172)&lt;&gt;"",FALSE),IFERROR(INDEX(INDIRECT("'WCM Calibration Final'!$C$1:$C$2000"),'Calculations'!$EM172)&lt;&gt;"",FALSE)),1,0))</x:f>
        <x:v>0</x:v>
      </x:c>
      <x:c r="BN172" s="4" t="n">
        <x:f>IF(AND('Calculations'!BM172=1,'Calculations'!$AG$2,'Calculations'!$EN172=1),1,0)</x:f>
        <x:v>0</x:v>
      </x:c>
      <x:c r="BO172" s="4" t="str">
        <x:f>IF('Calculations'!BM172=0,"",IFERROR(IF(AND(VALUE(INDEX(INDIRECT("'WCM Calibration Final'!$K$1:$K$2000"),'Calculations'!$EM172))&gt;=1,VALUE(INDEX(INDIRECT("'WCM Calibration Final'!$K$1:$K$2000"),'Calculations'!$EM172))&lt;=4,MOD(VALUE(INDEX(INDIRECT("'WCM Calibration Final'!$K$1:$K$2000"),'Calculations'!$EM172)),1)=0),VALUE(INDEX(INDIRECT("'WCM Calibration Final'!$K$1:$K$2000"),'Calculations'!$EM172)),""),""))</x:f>
      </x:c>
      <x:c r="BP172" s="4" t="str">
        <x:f>IF('Calculations'!BM172=0,"",IFERROR(IF(AND(VALUE(INDEX(INDIRECT("'WCM Calibration Final'!$L$1:$L$2000"),'Calculations'!$EM172))&gt;=1,VALUE(INDEX(INDIRECT("'WCM Calibration Final'!$L$1:$L$2000"),'Calculations'!$EM172))&lt;=4,MOD(VALUE(INDEX(INDIRECT("'WCM Calibration Final'!$L$1:$L$2000"),'Calculations'!$EM172)),1)=0),VALUE(INDEX(INDIRECT("'WCM Calibration Final'!$L$1:$L$2000"),'Calculations'!$EM172)),""),""))</x:f>
      </x:c>
      <x:c r="BQ172" s="4"/>
      <x:c r="BR172" s="4"/>
      <x:c r="BS172" s="4"/>
      <x:c r="BT172" s="4" t="n">
        <x:f>IF(AND('Calculations'!BM172=1,ISNUMBER('Calculations'!BO172),ISNUMBER('Calculations'!BP172)),1,0)</x:f>
        <x:v>0</x:v>
      </x:c>
      <x:c r="BU172" s="4" t="str">
        <x:f>IF('Calculations'!BM172=0,"",'Calculations'!$EO172)</x:f>
      </x:c>
      <x:c r="BV172" s="4" t="str">
        <x:f>IF('Calculations'!BM172=0,"",IFERROR(IF(OR(INDEX(INDIRECT("'WCM Calibration Final'!$H$1:$H$2000"),'Calculations'!$EM172)="MANAGING DIRECTOR",INDEX(INDIRECT("'WCM Calibration Final'!$H$1:$H$2000"),'Calculations'!$EM172)="DIRECTOR",INDEX(INDIRECT("'WCM Calibration Final'!$H$1:$H$2000"),'Calculations'!$EM172)="SENIOR VICE PRESIDENT",INDEX(INDIRECT("'WCM Calibration Final'!$H$1:$H$2000"),'Calculations'!$EM172)="VICE PRESIDENT",INDEX(INDIRECT("'WCM Calibration Final'!$H$1:$H$2000"),'Calculations'!$EM172)="ASSISTANT VICE PRESIDENT",INDEX(INDIRECT("'WCM Calibration Final'!$H$1:$H$2000"),'Calculations'!$EM172)="OFFICER"),UPPER(INDEX(INDIRECT("'WCM Calibration Final'!$H$1:$H$2000"),'Calculations'!$EM172)),"Other"),"Other"))</x:f>
      </x:c>
      <x:c r="BW172" s="4"/>
      <x:c r="BX172" s="4"/>
      <x:c r="BY172" s="4" t="n">
        <x:f>IF(AND('Calculations'!BM172=1,'Calculations'!BU172&lt;&gt;"",COUNTIF('Calculations'!$BU$12:BU172,'Calculations'!BU172)=1),MAX('Calculations'!$BY$11:BY171)+1,0)</x:f>
        <x:v>0</x:v>
      </x:c>
      <x:c r="BZ172" s="4" t="str">
        <x:f>IF('Dashboard'!$E$67="What",'Calculations'!BO172,'Calculations'!BP172)</x:f>
      </x:c>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t="str">
        <x:f>IF(161&gt;MAX('Calculations'!$HI$13:$HI$512),"",INDEX('Calculations'!$HN$13:$HN$512,MATCH(161,'Calculations'!$HI$13:$HI$512,0)))</x:f>
      </x:c>
      <x:c r="DB172" s="4" t="str">
        <x:f>IF(161&gt;MAX('Calculations'!$HH$13:$HH$512),"",INDEX('Calculations'!$HJ$13:$HJ$512,MATCH(161,'Calculations'!$HH$13:$HH$512,0)))</x:f>
      </x:c>
      <x:c r="DC172" s="4" t="str">
        <x:f>IF(ROW()-11&gt;MAX('Calculations'!$BY$13:$BY$512),"",INDEX('Calculations'!$BU$13:$BU$512,MATCH(ROW()-11,'Calculations'!$BY$13:$BY$512,0)))</x:f>
      </x:c>
      <x:c r="DD172" s="4" t="str">
        <x:f>IF(161&gt;MAX('Calculations'!$IK$13:$IK$512),"",INDEX('Calculations'!$HK$13:$HK$512,MATCH(161,'Calculations'!$IK$13:$IK$512,0)))</x:f>
      </x:c>
      <x:c r="DE172" s="4" t="str">
        <x:f>'Calculations'!DC172</x:f>
      </x:c>
      <x:c r="DF172" s="4" t="str">
        <x:f>IF('Calculations'!DE172="","",COUNTIFS('Calculations'!$BN$13:$BN$512,1,'Calculations'!$BU$13:$BU$512,'Calculations'!DE172))</x:f>
      </x:c>
      <x:c r="DG172" s="4" t="str">
        <x:f>IF('Calculations'!DE172="","",COUNTIFS('Calculations'!$BN$13:$BN$512,1,'Calculations'!$BU$13:$BU$512,'Calculations'!DE172,'Calculations'!$BT$13:$BT$512,1))</x:f>
      </x:c>
      <x:c r="DH172" s="4" t="str">
        <x:f>IF('Calculations'!DE172="","",'Calculations'!DF172-'Calculations'!DG172)</x:f>
      </x:c>
      <x:c r="DI172" s="4" t="str">
        <x:f>IF(OR('Calculations'!DE172="",'Calculations'!DF172=0),"",'Calculations'!DG172/'Calculations'!DF172)</x:f>
      </x:c>
      <x:c r="DJ172" s="4" t="str">
        <x:f>IF('Calculations'!DE172="","",COUNTIFS('Calculations'!$BN$13:$BN$512,1,'Calculations'!$BU$13:$BU$512,'Calculations'!DE172,'Calculations'!$BT$13:$BT$512,1,'Calculations'!$EE$13:$EE$512,"High"))</x:f>
      </x:c>
      <x:c r="DK172" s="4" t="str">
        <x:f>IF('Calculations'!DE172="","",COUNTIFS('Calculations'!$BN$13:$BN$512,1,'Calculations'!$BU$13:$BU$512,'Calculations'!DE172,'Calculations'!$BT$13:$BT$512,1,'Calculations'!$EE$13:$EE$512,"Strong"))</x:f>
      </x:c>
      <x:c r="DL172" s="4" t="str">
        <x:f>IF('Calculations'!DE172="","",COUNTIFS('Calculations'!$BN$13:$BN$512,1,'Calculations'!$BU$13:$BU$512,'Calculations'!DE172,'Calculations'!$BT$13:$BT$512,1,'Calculations'!$EE$13:$EE$512,"Solid"))</x:f>
      </x:c>
      <x:c r="DM172" s="4" t="str">
        <x:f>IF('Calculations'!DE172="","",COUNTIFS('Calculations'!$BN$13:$BN$512,1,'Calculations'!$BU$13:$BU$512,'Calculations'!DE172,'Calculations'!$BT$13:$BT$512,1,'Calculations'!$EE$13:$EE$512,"Low"))</x:f>
      </x:c>
      <x:c r="DN172" s="4" t="str">
        <x:f>IF('Calculations'!DE172="","",COUNTIFS('Calculations'!$BN$13:$BN$512,1,'Calculations'!$BU$13:$BU$512,'Calculations'!DE172,'Calculations'!$EP$13:$EP$512,1))</x:f>
      </x:c>
      <x:c r="DO172" s="4" t="str">
        <x:f>IF(OR('Calculations'!DE172="",'Calculations'!DG172=0),"",('Calculations'!DJ172+'Calculations'!DK172)/'Calculations'!DG172)</x:f>
      </x:c>
      <x:c r="DP172" s="4" t="n">
        <x:f>IF(AND('Calculations'!DE172&lt;&gt;"",'Calculations'!DF172&gt;0),COUNTIF('Calculations'!$DF$12:DF172,"&gt;0"),0)</x:f>
        <x:v>0</x:v>
      </x:c>
      <x:c r="DQ172" s="4" t="str">
        <x:f>IF(161&gt;MAX('Calculations'!$HH$13:$HH$512),"",INDEX('Calculations'!$HF$13:$HF$512,MATCH(161,'Calculations'!$HH$13:$HH$512,0)))</x:f>
      </x:c>
      <x:c r="DR172" s="4" t="str">
        <x:f>IF(161&gt;MAX('Calculations'!$IK$13:$IK$512),"",INDEX('Calculations'!$HE$13:$HE$512,MATCH(161,'Calculations'!$IK$13:$IK$512,0)))</x:f>
      </x:c>
      <x:c r="DS172" s="4"/>
      <x:c r="DT172" s="4"/>
      <x:c r="DU172" s="4"/>
      <x:c r="DV172" s="4"/>
      <x:c r="DW172" s="4"/>
      <x:c r="DX172" s="4"/>
      <x:c r="DY172" s="4"/>
      <x:c r="DZ172" s="4"/>
      <x:c r="EA172" s="4"/>
      <x:c r="EB172" s="4"/>
      <x:c r="EC172" s="4"/>
      <x:c r="ED172" s="4"/>
      <x:c r="EE172" s="4" t="str">
        <x:f>IF('Calculations'!BT172=0,"Not Rated",IF(OR('Calculations'!BO172&gt;=4,'Calculations'!BP172&gt;=4),"Low",IF('Calculations'!BO172+'Calculations'!BP172&lt;=3,"High",IF('Calculations'!BO172+'Calculations'!BP172&lt;=4,"Strong","Solid"))))</x:f>
        <x:v>Not Rated</x:v>
      </x:c>
      <x:c r="EF172" s="4"/>
      <x:c r="EG172" s="4"/>
      <x:c r="EH172" s="4"/>
      <x:c r="EI172" s="4"/>
      <x:c r="EJ172" s="4"/>
      <x:c r="EK172" s="4"/>
      <x:c r="EL172" s="4"/>
      <x:c r="EM172" s="4" t="str">
        <x:f>IF(160&gt;'Calculations'!$JB$2000,"",INDEX('Calculations'!$JA$12:$JA$2000,MATCH(160,'Calculations'!$JB$12:$JB$2000,0)))</x:f>
      </x:c>
      <x:c r="EN172" s="4" t="n">
        <x:f>IF(OR('Calculations'!EM172="",'Calculations'!$AG$8&gt;0,AND('Calculations'!$EF$2&lt;&gt;"All",'Calculations'!HE172='Calculations'!$EF$2),AND('Calculations'!$EF$3&lt;&gt;"All",'Calculations'!HE172='Calculations'!$EF$3)),0,IF(OR('Dashboard'!$B$7="All",'Calculations'!HN172='Dashboard'!$B$7),IF('Calculations'!$EF$2="All",1,IF('Calculations'!HL172&gt;0,0,IF(COUNTIF('Calculations'!HO172:II172,"="&amp;SUBSTITUTE(SUBSTITUTE(SUBSTITUTE('Calculations'!$EF$2,"~","~~"),"*","~*"),"?","~?"))=0,0,IF('Calculations'!$EF$3="All",1,IF(COUNTIF('Calculations'!HO172:II172,"="&amp;SUBSTITUTE(SUBSTITUTE(SUBSTITUTE('Calculations'!$EF$3,"~","~~"),"*","~*"),"?","~?"))&gt;0,1,0))))),0))</x:f>
        <x:v>0</x:v>
      </x:c>
      <x:c r="EO172" s="4" t="str">
        <x:f>IF('Calculations'!IJ172="","",IF('Calculations'!IJ172="!UNRESOLVED","Unresolved hierarchy",IFERROR(INDEX('Calculations'!$HK$13:$HK$512,MATCH('Calculations'!IJ172,'Calculations'!$HE$13:$HE$512,0)),IFERROR(INDEX('Calculations'!$HJ$13:$HJ$512,MATCH('Calculations'!IJ172,'Calculations'!$HF$13:$HF$512,0)),'Calculations'!IJ172))))</x:f>
      </x:c>
      <x:c r="EP172" s="4" t="n">
        <x:f>IF(AND('Calculations'!EM172&lt;&gt;"",'Calculations'!HF172='Calculations'!IJ172),1,0)</x:f>
        <x:v>0</x:v>
      </x:c>
      <x:c r="EQ172" s="4"/>
      <x:c r="ER172" s="4"/>
      <x:c r="ES172" s="4"/>
      <x:c r="ET172" s="4"/>
      <x:c r="EU172" s="4"/>
      <x:c r="EV172" s="4"/>
      <x:c r="EW172" s="4"/>
      <x:c r="EX172" s="4"/>
      <x:c r="EY172" s="4"/>
      <x:c r="EZ172" s="4"/>
      <x:c r="FA172" s="4"/>
      <x:c r="FB172" s="4"/>
      <x:c r="FC172" s="4"/>
      <x:c r="FD172" s="4"/>
      <x:c r="FE172" s="4"/>
      <x:c r="FF172" s="4"/>
      <x:c r="FG172" s="4"/>
      <x:c r="FH172" s="4"/>
      <x:c r="FI172" s="4"/>
      <x:c r="FJ172" s="4"/>
      <x:c r="FK172" s="4"/>
      <x:c r="FL172" s="4"/>
      <x:c r="FM172" s="4"/>
      <x:c r="FN172" s="4"/>
      <x:c r="FO172" s="4"/>
      <x:c r="GA172" s="71"/>
      <x:c r="GB172" s="71"/>
      <x:c r="GC172" s="71"/>
      <x:c r="GD172" s="71"/>
      <x:c r="GE172" s="71"/>
      <x:c r="GF172" s="71"/>
      <x:c r="GG172" s="71"/>
      <x:c r="GH172" s="71"/>
      <x:c r="GI172" s="71"/>
      <x:c r="GJ172" s="71"/>
      <x:c r="GK172" s="71"/>
      <x:c r="GL172" s="71"/>
      <x:c r="GM172" s="71"/>
      <x:c r="GN172" s="71"/>
      <x:c r="GO172" s="71"/>
      <x:c r="GP172" s="71"/>
      <x:c r="GQ172" s="71"/>
      <x:c r="GR172" s="71"/>
      <x:c r="GS172" s="71"/>
      <x:c r="GT172" s="71"/>
      <x:c r="GU172" s="71"/>
      <x:c r="GV172" s="71"/>
      <x:c r="GW172" s="71"/>
      <x:c r="GX172" s="71"/>
      <x:c r="GY172" s="71"/>
      <x:c r="GZ172" s="71"/>
      <x:c r="HA172" s="71"/>
      <x:c r="HB172" s="71"/>
      <x:c r="HC172" s="71"/>
      <x:c r="HD172" s="71"/>
      <x:c r="HE172" t="str">
        <x:f>IF('Calculations'!EM172="","",IF(IFERROR(IF(INDEX(INDIRECT("'WCM Calibration Final'!$A$1:$A$2000"),'Calculations'!$EM172)="","",TRIM(INDEX(INDIRECT("'WCM Calibration Final'!$A$1:$A$2000"),'Calculations'!$EM172)&amp;"")),"")&lt;&gt;"","G:"&amp;IFERROR(TEXT(1*INDEX(INDIRECT("'WCM Calibration Final'!$A$1:$A$2000"),'Calculations'!$EM172),"0"),UPPER(IFERROR(IF(INDEX(INDIRECT("'WCM Calibration Final'!$A$1:$A$2000"),'Calculations'!$EM172)="","",TRIM(INDEX(INDIRECT("'WCM Calibration Final'!$A$1:$A$2000"),'Calculations'!$EM172)&amp;"")),""))),IF(IFERROR(IF(INDEX(INDIRECT("'WCM Calibration Final'!$C$1:$C$2000"),'Calculations'!$EM172)="","",TRIM(INDEX(INDIRECT("'WCM Calibration Final'!$C$1:$C$2000"),'Calculations'!$EM172)&amp;"")),"")&lt;&gt;"","S:"&amp;UPPER(IFERROR(IF(INDEX(INDIRECT("'WCM Calibration Final'!$C$1:$C$2000"),'Calculations'!$EM172)="","",TRIM(INDEX(INDIRECT("'WCM Calibration Final'!$C$1:$C$2000"),'Calculations'!$EM172)&amp;"")),"")),"R:"&amp;'Calculations'!EM172)))</x:f>
      </x:c>
      <x:c r="HF172" t="str">
        <x:f>IF('Calculations'!EM172="","",IF(IFERROR(IF(INDEX(INDIRECT("'WCM Calibration Final'!$D$1:$D$2000"),'Calculations'!$EM172)="","",TRIM(INDEX(INDIRECT("'WCM Calibration Final'!$D$1:$D$2000"),'Calculations'!$EM172)&amp;"")),"")&lt;&gt;"","G:"&amp;IFERROR(TEXT(1*INDEX(INDIRECT("'WCM Calibration Final'!$D$1:$D$2000"),'Calculations'!$EM172),"0"),UPPER(IFERROR(IF(INDEX(INDIRECT("'WCM Calibration Final'!$D$1:$D$2000"),'Calculations'!$EM172)="","",TRIM(INDEX(INDIRECT("'WCM Calibration Final'!$D$1:$D$2000"),'Calculations'!$EM172)&amp;"")),""))),IF(IFERROR(IF(INDEX(INDIRECT("'WCM Calibration Final'!$E$1:$E$2000"),'Calculations'!$EM172)="","",TRIM(INDEX(INDIRECT("'WCM Calibration Final'!$E$1:$E$2000"),'Calculations'!$EM172)&amp;"")),"")="","",IF(COUNTIF('Calculations'!$HG$13:$HG$512,"="&amp;SUBSTITUTE(SUBSTITUTE(SUBSTITUTE(IFERROR(IF(INDEX(INDIRECT("'WCM Calibration Final'!$E$1:$E$2000"),'Calculations'!$EM172)="","",TRIM(INDEX(INDIRECT("'WCM Calibration Final'!$E$1:$E$2000"),'Calculations'!$EM172)&amp;"")),""),"~","~~"),"*","~*"),"?","~?"))=1,INDEX('Calculations'!$HE$13:$HE$512,MATCH(IFERROR(IF(INDEX(INDIRECT("'WCM Calibration Final'!$E$1:$E$2000"),'Calculations'!$EM172)="","",TRIM(INDEX(INDIRECT("'WCM Calibration Final'!$E$1:$E$2000"),'Calculations'!$EM172)&amp;"")),""),'Calculations'!$HG$13:$HG$512,0)),IF(COUNTIF('Calculations'!$HG$13:$HG$512,"="&amp;SUBSTITUTE(SUBSTITUTE(SUBSTITUTE(IFERROR(IF(INDEX(INDIRECT("'WCM Calibration Final'!$E$1:$E$2000"),'Calculations'!$EM172)="","",TRIM(INDEX(INDIRECT("'WCM Calibration Final'!$E$1:$E$2000"),'Calculations'!$EM172)&amp;"")),""),"~","~~"),"*","~*"),"?","~?"))&gt;1,"!AMBIG","X:"&amp;IFERROR(IF(INDEX(INDIRECT("'WCM Calibration Final'!$E$1:$E$2000"),'Calculations'!$EM172)="","",TRIM(INDEX(INDIRECT("'WCM Calibration Final'!$E$1:$E$2000"),'Calculations'!$EM172)&amp;"")),""))))))</x:f>
      </x:c>
      <x:c r="HG172" t="str">
        <x:f>IF('Calculations'!EM172="","",IFERROR(IF(INDEX(INDIRECT("'WCM Calibration Final'!$B$1:$B$2000"),'Calculations'!$EM172)="","",TRIM(INDEX(INDIRECT("'WCM Calibration Final'!$B$1:$B$2000"),'Calculations'!$EM172)&amp;"")),""))</x:f>
      </x:c>
      <x:c r="HH172" t="n">
        <x:f>IF(AND('Calculations'!JC172&gt;0,COUNTIF('Calculations'!$HF$12:HF172,"="&amp;SUBSTITUTE(SUBSTITUTE(SUBSTITUTE('Calculations'!HF172,"~","~~"),"*","~*"),"?","~?"))=1),MAX('Calculations'!$HH$12:HH171)+1,0)</x:f>
        <x:v>0</x:v>
      </x:c>
      <x:c r="HI172" t="n">
        <x:f>IF(AND('Calculations'!HN172&lt;&gt;"",COUNTIF('Calculations'!$HN$12:HN172,"="&amp;SUBSTITUTE(SUBSTITUTE(SUBSTITUTE('Calculations'!HN172,"~","~~"),"*","~*"),"?","~?"))=1),MAX('Calculations'!$HI$12:HI171)+1,0)</x:f>
        <x:v>0</x:v>
      </x:c>
      <x:c r="HJ172" t="str">
        <x:f>IF('Calculations'!HF172="","",IF(COUNTIF('Calculations'!$HE$13:$HE$512,"="&amp;SUBSTITUTE(SUBSTITUTE(SUBSTITUTE('Calculations'!HF172,"~","~~"),"*","~*"),"?","~?"))=1,INDEX('Calculations'!$HK$13:$HK$512,MATCH('Calculations'!HF172,'Calculations'!$HE$13:$HE$512,0)),IFERROR(IF(INDEX(INDIRECT("'WCM Calibration Final'!$E$1:$E$2000"),'Calculations'!$EM172)="","",TRIM(INDEX(INDIRECT("'WCM Calibration Final'!$E$1:$E$2000"),'Calculations'!$EM172)&amp;"")),"")&amp;" ["&amp;'Calculations'!HF172&amp;"]"))</x:f>
      </x:c>
      <x:c r="HK172" t="str">
        <x:f>IF('Calculations'!EM172="","",'Calculations'!HG172&amp;" ["&amp;'Calculations'!HE172&amp;"]")</x:f>
      </x:c>
      <x:c r="HL172" t="n">
        <x:f>IF('Calculations'!EM172="",0,IF(OR('Calculations'!II172&lt;&gt;"",COUNTIF('Calculations'!$HE$13:$HE$512,"="&amp;SUBSTITUTE(SUBSTITUTE(SUBSTITUTE('Calculations'!HE172,"~","~~"),"*","~*"),"?","~?"))&gt;1),1,0))</x:f>
        <x:v>0</x:v>
      </x:c>
      <x:c r="HM172" t="str">
        <x:f>IF('Calculations'!EM172="","",IF('Calculations'!HL172=1,"!UNRESOLVED",IF('Calculations'!IH172&lt;&gt;"",'Calculations'!IH172,IF('Calculations'!IG172&lt;&gt;"",'Calculations'!IG172,IF('Calculations'!IF172&lt;&gt;"",'Calculations'!IF172,IF('Calculations'!IE172&lt;&gt;"",'Calculations'!IE172,IF('Calculations'!ID172&lt;&gt;"",'Calculations'!ID172,IF('Calculations'!IC172&lt;&gt;"",'Calculations'!IC172,IF('Calculations'!IB172&lt;&gt;"",'Calculations'!IB172,IF('Calculations'!IA172&lt;&gt;"",'Calculations'!IA172,IF('Calculations'!HZ172&lt;&gt;"",'Calculations'!HZ172,IF('Calculations'!HY172&lt;&gt;"",'Calculations'!HY172,IF('Calculations'!HX172&lt;&gt;"",'Calculations'!HX172,IF('Calculations'!HW172&lt;&gt;"",'Calculations'!HW172,IF('Calculations'!HV172&lt;&gt;"",'Calculations'!HV172,IF('Calculations'!HU172&lt;&gt;"",'Calculations'!HU172,IF('Calculations'!HT172&lt;&gt;"",'Calculations'!HT172,IF('Calculations'!HS172&lt;&gt;"",'Calculations'!HS172,IF('Calculations'!HR172&lt;&gt;"",'Calculations'!HR172,IF('Calculations'!HQ172&lt;&gt;"",'Calculations'!HQ172,IF('Calculations'!HP172&lt;&gt;"",'Calculations'!HP172,IF('Calculations'!HO172&lt;&gt;"",'Calculations'!HO172,'Calculations'!HE172))))))))))))))))))))))</x:f>
      </x:c>
      <x:c r="HN172" t="str">
        <x:f>IF('Calculations'!EM172="","",IF(IFERROR(IF(INDEX(INDIRECT("'WCM Calibration Final'!$F$1:$F$2000"),'Calculations'!$EM172)="","",TRIM(INDEX(INDIRECT("'WCM Calibration Final'!$F$1:$F$2000"),'Calculations'!$EM172)&amp;"")),"")="","(Blank)",IFERROR(IF(INDEX(INDIRECT("'WCM Calibration Final'!$F$1:$F$2000"),'Calculations'!$EM172)="","",TRIM(INDEX(INDIRECT("'WCM Calibration Final'!$F$1:$F$2000"),'Calculations'!$EM172)&amp;"")),"")))</x:f>
      </x:c>
      <x:c r="HO172" t="str">
        <x:f>'Calculations'!HF172</x:f>
      </x:c>
      <x:c r="HP172" t="str">
        <x:f>IF('Calculations'!HO172="","",IF('Calculations'!HO172="!AMBIG","!AMBIG",IF(COUNTIF('Calculations'!$HE$13:$HE$512,"="&amp;SUBSTITUTE(SUBSTITUTE(SUBSTITUTE('Calculations'!HO172,"~","~~"),"*","~*"),"?","~?"))&gt;1,"!AMBIG",IFERROR(INDEX('Calculations'!$HF$13:$HF$512,MATCH('Calculations'!HO172,'Calculations'!$HE$13:$HE$512,0)),""))))</x:f>
      </x:c>
      <x:c r="HQ172" t="str">
        <x:f>IF('Calculations'!HP172="","",IF('Calculations'!HP172="!AMBIG","!AMBIG",IF(COUNTIF('Calculations'!$HE$13:$HE$512,"="&amp;SUBSTITUTE(SUBSTITUTE(SUBSTITUTE('Calculations'!HP172,"~","~~"),"*","~*"),"?","~?"))&gt;1,"!AMBIG",IFERROR(INDEX('Calculations'!$HF$13:$HF$512,MATCH('Calculations'!HP172,'Calculations'!$HE$13:$HE$512,0)),""))))</x:f>
      </x:c>
      <x:c r="HR172" t="str">
        <x:f>IF('Calculations'!HQ172="","",IF('Calculations'!HQ172="!AMBIG","!AMBIG",IF(COUNTIF('Calculations'!$HE$13:$HE$512,"="&amp;SUBSTITUTE(SUBSTITUTE(SUBSTITUTE('Calculations'!HQ172,"~","~~"),"*","~*"),"?","~?"))&gt;1,"!AMBIG",IFERROR(INDEX('Calculations'!$HF$13:$HF$512,MATCH('Calculations'!HQ172,'Calculations'!$HE$13:$HE$512,0)),""))))</x:f>
      </x:c>
      <x:c r="HS172" t="str">
        <x:f>IF('Calculations'!HR172="","",IF('Calculations'!HR172="!AMBIG","!AMBIG",IF(COUNTIF('Calculations'!$HE$13:$HE$512,"="&amp;SUBSTITUTE(SUBSTITUTE(SUBSTITUTE('Calculations'!HR172,"~","~~"),"*","~*"),"?","~?"))&gt;1,"!AMBIG",IFERROR(INDEX('Calculations'!$HF$13:$HF$512,MATCH('Calculations'!HR172,'Calculations'!$HE$13:$HE$512,0)),""))))</x:f>
      </x:c>
      <x:c r="HT172" t="str">
        <x:f>IF('Calculations'!HS172="","",IF('Calculations'!HS172="!AMBIG","!AMBIG",IF(COUNTIF('Calculations'!$HE$13:$HE$512,"="&amp;SUBSTITUTE(SUBSTITUTE(SUBSTITUTE('Calculations'!HS172,"~","~~"),"*","~*"),"?","~?"))&gt;1,"!AMBIG",IFERROR(INDEX('Calculations'!$HF$13:$HF$512,MATCH('Calculations'!HS172,'Calculations'!$HE$13:$HE$512,0)),""))))</x:f>
      </x:c>
      <x:c r="HU172" t="str">
        <x:f>IF('Calculations'!HT172="","",IF('Calculations'!HT172="!AMBIG","!AMBIG",IF(COUNTIF('Calculations'!$HE$13:$HE$512,"="&amp;SUBSTITUTE(SUBSTITUTE(SUBSTITUTE('Calculations'!HT172,"~","~~"),"*","~*"),"?","~?"))&gt;1,"!AMBIG",IFERROR(INDEX('Calculations'!$HF$13:$HF$512,MATCH('Calculations'!HT172,'Calculations'!$HE$13:$HE$512,0)),""))))</x:f>
      </x:c>
      <x:c r="HV172" t="str">
        <x:f>IF('Calculations'!HU172="","",IF('Calculations'!HU172="!AMBIG","!AMBIG",IF(COUNTIF('Calculations'!$HE$13:$HE$512,"="&amp;SUBSTITUTE(SUBSTITUTE(SUBSTITUTE('Calculations'!HU172,"~","~~"),"*","~*"),"?","~?"))&gt;1,"!AMBIG",IFERROR(INDEX('Calculations'!$HF$13:$HF$512,MATCH('Calculations'!HU172,'Calculations'!$HE$13:$HE$512,0)),""))))</x:f>
      </x:c>
      <x:c r="HW172" t="str">
        <x:f>IF('Calculations'!HV172="","",IF('Calculations'!HV172="!AMBIG","!AMBIG",IF(COUNTIF('Calculations'!$HE$13:$HE$512,"="&amp;SUBSTITUTE(SUBSTITUTE(SUBSTITUTE('Calculations'!HV172,"~","~~"),"*","~*"),"?","~?"))&gt;1,"!AMBIG",IFERROR(INDEX('Calculations'!$HF$13:$HF$512,MATCH('Calculations'!HV172,'Calculations'!$HE$13:$HE$512,0)),""))))</x:f>
      </x:c>
      <x:c r="HX172" t="str">
        <x:f>IF('Calculations'!HW172="","",IF('Calculations'!HW172="!AMBIG","!AMBIG",IF(COUNTIF('Calculations'!$HE$13:$HE$512,"="&amp;SUBSTITUTE(SUBSTITUTE(SUBSTITUTE('Calculations'!HW172,"~","~~"),"*","~*"),"?","~?"))&gt;1,"!AMBIG",IFERROR(INDEX('Calculations'!$HF$13:$HF$512,MATCH('Calculations'!HW172,'Calculations'!$HE$13:$HE$512,0)),""))))</x:f>
      </x:c>
      <x:c r="HY172" t="str">
        <x:f>IF('Calculations'!HX172="","",IF('Calculations'!HX172="!AMBIG","!AMBIG",IF(COUNTIF('Calculations'!$HE$13:$HE$512,"="&amp;SUBSTITUTE(SUBSTITUTE(SUBSTITUTE('Calculations'!HX172,"~","~~"),"*","~*"),"?","~?"))&gt;1,"!AMBIG",IFERROR(INDEX('Calculations'!$HF$13:$HF$512,MATCH('Calculations'!HX172,'Calculations'!$HE$13:$HE$512,0)),""))))</x:f>
      </x:c>
      <x:c r="HZ172" t="str">
        <x:f>IF('Calculations'!HY172="","",IF('Calculations'!HY172="!AMBIG","!AMBIG",IF(COUNTIF('Calculations'!$HE$13:$HE$512,"="&amp;SUBSTITUTE(SUBSTITUTE(SUBSTITUTE('Calculations'!HY172,"~","~~"),"*","~*"),"?","~?"))&gt;1,"!AMBIG",IFERROR(INDEX('Calculations'!$HF$13:$HF$512,MATCH('Calculations'!HY172,'Calculations'!$HE$13:$HE$512,0)),""))))</x:f>
      </x:c>
      <x:c r="IA172" t="str">
        <x:f>IF('Calculations'!HZ172="","",IF('Calculations'!HZ172="!AMBIG","!AMBIG",IF(COUNTIF('Calculations'!$HE$13:$HE$512,"="&amp;SUBSTITUTE(SUBSTITUTE(SUBSTITUTE('Calculations'!HZ172,"~","~~"),"*","~*"),"?","~?"))&gt;1,"!AMBIG",IFERROR(INDEX('Calculations'!$HF$13:$HF$512,MATCH('Calculations'!HZ172,'Calculations'!$HE$13:$HE$512,0)),""))))</x:f>
      </x:c>
      <x:c r="IB172" t="str">
        <x:f>IF('Calculations'!IA172="","",IF('Calculations'!IA172="!AMBIG","!AMBIG",IF(COUNTIF('Calculations'!$HE$13:$HE$512,"="&amp;SUBSTITUTE(SUBSTITUTE(SUBSTITUTE('Calculations'!IA172,"~","~~"),"*","~*"),"?","~?"))&gt;1,"!AMBIG",IFERROR(INDEX('Calculations'!$HF$13:$HF$512,MATCH('Calculations'!IA172,'Calculations'!$HE$13:$HE$512,0)),""))))</x:f>
      </x:c>
      <x:c r="IC172" t="str">
        <x:f>IF('Calculations'!IB172="","",IF('Calculations'!IB172="!AMBIG","!AMBIG",IF(COUNTIF('Calculations'!$HE$13:$HE$512,"="&amp;SUBSTITUTE(SUBSTITUTE(SUBSTITUTE('Calculations'!IB172,"~","~~"),"*","~*"),"?","~?"))&gt;1,"!AMBIG",IFERROR(INDEX('Calculations'!$HF$13:$HF$512,MATCH('Calculations'!IB172,'Calculations'!$HE$13:$HE$512,0)),""))))</x:f>
      </x:c>
      <x:c r="ID172" t="str">
        <x:f>IF('Calculations'!IC172="","",IF('Calculations'!IC172="!AMBIG","!AMBIG",IF(COUNTIF('Calculations'!$HE$13:$HE$512,"="&amp;SUBSTITUTE(SUBSTITUTE(SUBSTITUTE('Calculations'!IC172,"~","~~"),"*","~*"),"?","~?"))&gt;1,"!AMBIG",IFERROR(INDEX('Calculations'!$HF$13:$HF$512,MATCH('Calculations'!IC172,'Calculations'!$HE$13:$HE$512,0)),""))))</x:f>
      </x:c>
      <x:c r="IE172" t="str">
        <x:f>IF('Calculations'!ID172="","",IF('Calculations'!ID172="!AMBIG","!AMBIG",IF(COUNTIF('Calculations'!$HE$13:$HE$512,"="&amp;SUBSTITUTE(SUBSTITUTE(SUBSTITUTE('Calculations'!ID172,"~","~~"),"*","~*"),"?","~?"))&gt;1,"!AMBIG",IFERROR(INDEX('Calculations'!$HF$13:$HF$512,MATCH('Calculations'!ID172,'Calculations'!$HE$13:$HE$512,0)),""))))</x:f>
      </x:c>
      <x:c r="IF172" t="str">
        <x:f>IF('Calculations'!IE172="","",IF('Calculations'!IE172="!AMBIG","!AMBIG",IF(COUNTIF('Calculations'!$HE$13:$HE$512,"="&amp;SUBSTITUTE(SUBSTITUTE(SUBSTITUTE('Calculations'!IE172,"~","~~"),"*","~*"),"?","~?"))&gt;1,"!AMBIG",IFERROR(INDEX('Calculations'!$HF$13:$HF$512,MATCH('Calculations'!IE172,'Calculations'!$HE$13:$HE$512,0)),""))))</x:f>
      </x:c>
      <x:c r="IG172" t="str">
        <x:f>IF('Calculations'!IF172="","",IF('Calculations'!IF172="!AMBIG","!AMBIG",IF(COUNTIF('Calculations'!$HE$13:$HE$512,"="&amp;SUBSTITUTE(SUBSTITUTE(SUBSTITUTE('Calculations'!IF172,"~","~~"),"*","~*"),"?","~?"))&gt;1,"!AMBIG",IFERROR(INDEX('Calculations'!$HF$13:$HF$512,MATCH('Calculations'!IF172,'Calculations'!$HE$13:$HE$512,0)),""))))</x:f>
      </x:c>
      <x:c r="IH172" t="str">
        <x:f>IF('Calculations'!IG172="","",IF('Calculations'!IG172="!AMBIG","!AMBIG",IF(COUNTIF('Calculations'!$HE$13:$HE$512,"="&amp;SUBSTITUTE(SUBSTITUTE(SUBSTITUTE('Calculations'!IG172,"~","~~"),"*","~*"),"?","~?"))&gt;1,"!AMBIG",IFERROR(INDEX('Calculations'!$HF$13:$HF$512,MATCH('Calculations'!IG172,'Calculations'!$HE$13:$HE$512,0)),""))))</x:f>
      </x:c>
      <x:c r="II172" t="str">
        <x:f>IF('Calculations'!IH172="","",IF('Calculations'!IH172="!AMBIG","!AMBIG",IF(COUNTIF('Calculations'!$HE$13:$HE$512,"="&amp;SUBSTITUTE(SUBSTITUTE(SUBSTITUTE('Calculations'!IH172,"~","~~"),"*","~*"),"?","~?"))&gt;1,"!AMBIG",IFERROR(INDEX('Calculations'!$HF$13:$HF$512,MATCH('Calculations'!IH172,'Calculations'!$HE$13:$HE$512,0)),""))))</x:f>
      </x:c>
      <x:c r="IJ172" t="str">
        <x:f>IF('Calculations'!EM172="","",IF('Calculations'!$EF$2="All",'Calculations'!HM172,IF('Calculations'!HL172=1,"",IFERROR(IF(MATCH('Calculations'!$EF$2,'Calculations'!HO172:II172,0)=1,'Calculations'!HE172,INDEX('Calculations'!HO172:II172,1,MATCH('Calculations'!$EF$2,'Calculations'!HO172:II172,0)-1)),""))))</x:f>
      </x:c>
      <x:c r="IK172" t="n">
        <x:f>IF(AND('Calculations'!EM172&lt;&gt;"",'Calculations'!$EF$2&lt;&gt;"All",'Calculations'!HF172='Calculations'!$EF$2,'Calculations'!HL172=0,'Calculations'!JD172&gt;0),MAX('Calculations'!$IK$12:IK171)+1,0)</x:f>
        <x:v>0</x:v>
      </x:c>
      <x:c r="JA172" t="n">
        <x:f>IF(OR(IFERROR(INDIRECT("'WCM Calibration Final'!$A$172")&lt;&gt;"",FALSE),IFERROR(INDIRECT("'WCM Calibration Final'!$B$172")&lt;&gt;"",FALSE),IFERROR(INDIRECT("'WCM Calibration Final'!$C$172")&lt;&gt;"",FALSE)),172,0)</x:f>
        <x:v>0</x:v>
      </x:c>
      <x:c r="JB172" t="n">
        <x:f>'Calculations'!JB171+IF('Calculations'!JA172&gt;0,1,0)</x:f>
        <x:v>0</x:v>
      </x:c>
      <x:c r="JC172" t="n">
        <x:f>IF(OR('Calculations'!HF172="",'Calculations'!HF172="!AMBIG"),0,IF('Dashboard'!$B$7="All",1,COUNTIFS('Calculations'!$HO$13:$HO$512,"="&amp;SUBSTITUTE(SUBSTITUTE(SUBSTITUTE('Calculations'!HF172,"~","~~"),"*","~*"),"?","~?"),'Calculations'!$HN$13:$HN$512,"="&amp;SUBSTITUTE(SUBSTITUTE(SUBSTITUTE('Dashboard'!$B$7,"~","~~"),"*","~*"),"?","~?"))+COUNTIFS('Calculations'!$HP$13:$HP$512,"="&amp;SUBSTITUTE(SUBSTITUTE(SUBSTITUTE('Calculations'!HF172,"~","~~"),"*","~*"),"?","~?"),'Calculations'!$HN$13:$HN$512,"="&amp;SUBSTITUTE(SUBSTITUTE(SUBSTITUTE('Dashboard'!$B$7,"~","~~"),"*","~*"),"?","~?"))+COUNTIFS('Calculations'!$HQ$13:$HQ$512,"="&amp;SUBSTITUTE(SUBSTITUTE(SUBSTITUTE('Calculations'!HF172,"~","~~"),"*","~*"),"?","~?"),'Calculations'!$HN$13:$HN$512,"="&amp;SUBSTITUTE(SUBSTITUTE(SUBSTITUTE('Dashboard'!$B$7,"~","~~"),"*","~*"),"?","~?"))+COUNTIFS('Calculations'!$HR$13:$HR$512,"="&amp;SUBSTITUTE(SUBSTITUTE(SUBSTITUTE('Calculations'!HF172,"~","~~"),"*","~*"),"?","~?"),'Calculations'!$HN$13:$HN$512,"="&amp;SUBSTITUTE(SUBSTITUTE(SUBSTITUTE('Dashboard'!$B$7,"~","~~"),"*","~*"),"?","~?"))+COUNTIFS('Calculations'!$HS$13:$HS$512,"="&amp;SUBSTITUTE(SUBSTITUTE(SUBSTITUTE('Calculations'!HF172,"~","~~"),"*","~*"),"?","~?"),'Calculations'!$HN$13:$HN$512,"="&amp;SUBSTITUTE(SUBSTITUTE(SUBSTITUTE('Dashboard'!$B$7,"~","~~"),"*","~*"),"?","~?"))+COUNTIFS('Calculations'!$HT$13:$HT$512,"="&amp;SUBSTITUTE(SUBSTITUTE(SUBSTITUTE('Calculations'!HF172,"~","~~"),"*","~*"),"?","~?"),'Calculations'!$HN$13:$HN$512,"="&amp;SUBSTITUTE(SUBSTITUTE(SUBSTITUTE('Dashboard'!$B$7,"~","~~"),"*","~*"),"?","~?"))+COUNTIFS('Calculations'!$HU$13:$HU$512,"="&amp;SUBSTITUTE(SUBSTITUTE(SUBSTITUTE('Calculations'!HF172,"~","~~"),"*","~*"),"?","~?"),'Calculations'!$HN$13:$HN$512,"="&amp;SUBSTITUTE(SUBSTITUTE(SUBSTITUTE('Dashboard'!$B$7,"~","~~"),"*","~*"),"?","~?"))+COUNTIFS('Calculations'!$HV$13:$HV$512,"="&amp;SUBSTITUTE(SUBSTITUTE(SUBSTITUTE('Calculations'!HF172,"~","~~"),"*","~*"),"?","~?"),'Calculations'!$HN$13:$HN$512,"="&amp;SUBSTITUTE(SUBSTITUTE(SUBSTITUTE('Dashboard'!$B$7,"~","~~"),"*","~*"),"?","~?"))+COUNTIFS('Calculations'!$HW$13:$HW$512,"="&amp;SUBSTITUTE(SUBSTITUTE(SUBSTITUTE('Calculations'!HF172,"~","~~"),"*","~*"),"?","~?"),'Calculations'!$HN$13:$HN$512,"="&amp;SUBSTITUTE(SUBSTITUTE(SUBSTITUTE('Dashboard'!$B$7,"~","~~"),"*","~*"),"?","~?"))+COUNTIFS('Calculations'!$HX$13:$HX$512,"="&amp;SUBSTITUTE(SUBSTITUTE(SUBSTITUTE('Calculations'!HF172,"~","~~"),"*","~*"),"?","~?"),'Calculations'!$HN$13:$HN$512,"="&amp;SUBSTITUTE(SUBSTITUTE(SUBSTITUTE('Dashboard'!$B$7,"~","~~"),"*","~*"),"?","~?"))+COUNTIFS('Calculations'!$HY$13:$HY$512,"="&amp;SUBSTITUTE(SUBSTITUTE(SUBSTITUTE('Calculations'!HF172,"~","~~"),"*","~*"),"?","~?"),'Calculations'!$HN$13:$HN$512,"="&amp;SUBSTITUTE(SUBSTITUTE(SUBSTITUTE('Dashboard'!$B$7,"~","~~"),"*","~*"),"?","~?"))+COUNTIFS('Calculations'!$HZ$13:$HZ$512,"="&amp;SUBSTITUTE(SUBSTITUTE(SUBSTITUTE('Calculations'!HF172,"~","~~"),"*","~*"),"?","~?"),'Calculations'!$HN$13:$HN$512,"="&amp;SUBSTITUTE(SUBSTITUTE(SUBSTITUTE('Dashboard'!$B$7,"~","~~"),"*","~*"),"?","~?"))+COUNTIFS('Calculations'!$IA$13:$IA$512,"="&amp;SUBSTITUTE(SUBSTITUTE(SUBSTITUTE('Calculations'!HF172,"~","~~"),"*","~*"),"?","~?"),'Calculations'!$HN$13:$HN$512,"="&amp;SUBSTITUTE(SUBSTITUTE(SUBSTITUTE('Dashboard'!$B$7,"~","~~"),"*","~*"),"?","~?"))+COUNTIFS('Calculations'!$IB$13:$IB$512,"="&amp;SUBSTITUTE(SUBSTITUTE(SUBSTITUTE('Calculations'!HF172,"~","~~"),"*","~*"),"?","~?"),'Calculations'!$HN$13:$HN$512,"="&amp;SUBSTITUTE(SUBSTITUTE(SUBSTITUTE('Dashboard'!$B$7,"~","~~"),"*","~*"),"?","~?"))+COUNTIFS('Calculations'!$IC$13:$IC$512,"="&amp;SUBSTITUTE(SUBSTITUTE(SUBSTITUTE('Calculations'!HF172,"~","~~"),"*","~*"),"?","~?"),'Calculations'!$HN$13:$HN$512,"="&amp;SUBSTITUTE(SUBSTITUTE(SUBSTITUTE('Dashboard'!$B$7,"~","~~"),"*","~*"),"?","~?"))+COUNTIFS('Calculations'!$ID$13:$ID$512,"="&amp;SUBSTITUTE(SUBSTITUTE(SUBSTITUTE('Calculations'!HF172,"~","~~"),"*","~*"),"?","~?"),'Calculations'!$HN$13:$HN$512,"="&amp;SUBSTITUTE(SUBSTITUTE(SUBSTITUTE('Dashboard'!$B$7,"~","~~"),"*","~*"),"?","~?"))+COUNTIFS('Calculations'!$IE$13:$IE$512,"="&amp;SUBSTITUTE(SUBSTITUTE(SUBSTITUTE('Calculations'!HF172,"~","~~"),"*","~*"),"?","~?"),'Calculations'!$HN$13:$HN$512,"="&amp;SUBSTITUTE(SUBSTITUTE(SUBSTITUTE('Dashboard'!$B$7,"~","~~"),"*","~*"),"?","~?"))+COUNTIFS('Calculations'!$IF$13:$IF$512,"="&amp;SUBSTITUTE(SUBSTITUTE(SUBSTITUTE('Calculations'!HF172,"~","~~"),"*","~*"),"?","~?"),'Calculations'!$HN$13:$HN$512,"="&amp;SUBSTITUTE(SUBSTITUTE(SUBSTITUTE('Dashboard'!$B$7,"~","~~"),"*","~*"),"?","~?"))+COUNTIFS('Calculations'!$IG$13:$IG$512,"="&amp;SUBSTITUTE(SUBSTITUTE(SUBSTITUTE('Calculations'!HF172,"~","~~"),"*","~*"),"?","~?"),'Calculations'!$HN$13:$HN$512,"="&amp;SUBSTITUTE(SUBSTITUTE(SUBSTITUTE('Dashboard'!$B$7,"~","~~"),"*","~*"),"?","~?"))+COUNTIFS('Calculations'!$IH$13:$IH$512,"="&amp;SUBSTITUTE(SUBSTITUTE(SUBSTITUTE('Calculations'!HF172,"~","~~"),"*","~*"),"?","~?"),'Calculations'!$HN$13:$HN$512,"="&amp;SUBSTITUTE(SUBSTITUTE(SUBSTITUTE('Dashboard'!$B$7,"~","~~"),"*","~*"),"?","~?"))))</x:f>
        <x:v>0</x:v>
      </x:c>
      <x:c r="JD172" t="n">
        <x:f>IF('Calculations'!EM172="",0,IF('Dashboard'!$B$7="All",1,IF('Calculations'!HN172='Dashboard'!$B$7,1,0)+IFERROR(INDEX('Calculations'!$JC$13:$JC$512,MATCH('Calculations'!HE172,'Calculations'!$HF$13:$HF$512,0)),0)))</x:f>
        <x:v>0</x:v>
      </x:c>
      <x:c r="JE172" t="n">
        <x:f>IF(AND('Calculations'!EM172&lt;&gt;"",'Calculations'!$JJ$2&lt;&gt;"All",'Calculations'!$JJ$2&lt;&gt;"",'Calculations'!HF172='Calculations'!$JJ$2,'Calculations'!HL172=0,'Calculations'!JD172&gt;0),MAX('Calculations'!$JE$12:JE171)+1,0)</x:f>
        <x:v>0</x:v>
      </x:c>
      <x:c r="JF172" t="str">
        <x:f>IF('Calculations'!EM172="","",IFERROR(IF(INDEX(INDIRECT("'WCM Calibration Final'!$G$1:$G$2000"),'Calculations'!$EM172)="","",TRIM(INDEX(INDIRECT("'WCM Calibration Final'!$G$1:$G$2000"),'Calculations'!$EM172)&amp;"")),""))</x:f>
      </x:c>
      <x:c r="JQ172" t="n">
        <x:f>IF(OR('Calculations'!BM172=0,NOT('Calculations'!$AG$2),'Calculations'!$AG$8&gt;0),0,IF(OR('Dashboard'!$B$7="All",'Calculations'!HN172='Dashboard'!$B$7),IF('Calculations'!$JJ$2="All",1,IF(AND('Calculations'!HF172='Calculations'!$JJ$2,'Calculations'!HL172=0),1,0)),0))</x:f>
        <x:v>0</x:v>
      </x:c>
    </x:row>
    <x:row r="173">
      <x:c r="AF173" s="4"/>
      <x:c r="AG173" s="4"/>
      <x:c r="AH173" s="4"/>
      <x:c r="AI173" s="4"/>
      <x:c r="AJ173" s="4"/>
      <x:c r="AK173" s="4"/>
      <x:c r="AL173" s="4"/>
      <x:c r="AM173" s="4"/>
      <x:c r="AN173" s="4"/>
      <x:c r="AO173" s="4"/>
      <x:c r="AP173" s="4"/>
      <x:c r="AQ173" s="4"/>
      <x:c r="AR173" s="4"/>
      <x:c r="AS173" s="4"/>
      <x:c r="AT173" s="4"/>
      <x:c r="AU173" s="4"/>
      <x:c r="AV173" s="4"/>
      <x:c r="AW173" s="4"/>
      <x:c r="AX173" s="4"/>
      <x:c r="AY173" s="4"/>
      <x:c r="AZ173" s="4"/>
      <x:c r="BA173" s="4"/>
      <x:c r="BB173" s="4"/>
      <x:c r="BC173" s="4"/>
      <x:c r="BD173" s="4"/>
      <x:c r="BE173" s="4"/>
      <x:c r="BF173" s="4"/>
      <x:c r="BG173" s="4"/>
      <x:c r="BH173" s="4"/>
      <x:c r="BI173" s="4"/>
      <x:c r="BJ173" s="4"/>
      <x:c r="BK173" s="4"/>
      <x:c r="BL173" s="4"/>
      <x:c r="BM173" s="4" t="n">
        <x:f>IF('Calculations'!$EM173="",0,IF(OR(IFERROR(INDEX(INDIRECT("'WCM Calibration Final'!$A$1:$A$2000"),'Calculations'!$EM173)&lt;&gt;"",FALSE),IFERROR(INDEX(INDIRECT("'WCM Calibration Final'!$B$1:$B$2000"),'Calculations'!$EM173)&lt;&gt;"",FALSE),IFERROR(INDEX(INDIRECT("'WCM Calibration Final'!$C$1:$C$2000"),'Calculations'!$EM173)&lt;&gt;"",FALSE)),1,0))</x:f>
        <x:v>0</x:v>
      </x:c>
      <x:c r="BN173" s="4" t="n">
        <x:f>IF(AND('Calculations'!BM173=1,'Calculations'!$AG$2,'Calculations'!$EN173=1),1,0)</x:f>
        <x:v>0</x:v>
      </x:c>
      <x:c r="BO173" s="4" t="str">
        <x:f>IF('Calculations'!BM173=0,"",IFERROR(IF(AND(VALUE(INDEX(INDIRECT("'WCM Calibration Final'!$K$1:$K$2000"),'Calculations'!$EM173))&gt;=1,VALUE(INDEX(INDIRECT("'WCM Calibration Final'!$K$1:$K$2000"),'Calculations'!$EM173))&lt;=4,MOD(VALUE(INDEX(INDIRECT("'WCM Calibration Final'!$K$1:$K$2000"),'Calculations'!$EM173)),1)=0),VALUE(INDEX(INDIRECT("'WCM Calibration Final'!$K$1:$K$2000"),'Calculations'!$EM173)),""),""))</x:f>
      </x:c>
      <x:c r="BP173" s="4" t="str">
        <x:f>IF('Calculations'!BM173=0,"",IFERROR(IF(AND(VALUE(INDEX(INDIRECT("'WCM Calibration Final'!$L$1:$L$2000"),'Calculations'!$EM173))&gt;=1,VALUE(INDEX(INDIRECT("'WCM Calibration Final'!$L$1:$L$2000"),'Calculations'!$EM173))&lt;=4,MOD(VALUE(INDEX(INDIRECT("'WCM Calibration Final'!$L$1:$L$2000"),'Calculations'!$EM173)),1)=0),VALUE(INDEX(INDIRECT("'WCM Calibration Final'!$L$1:$L$2000"),'Calculations'!$EM173)),""),""))</x:f>
      </x:c>
      <x:c r="BQ173" s="4"/>
      <x:c r="BR173" s="4"/>
      <x:c r="BS173" s="4"/>
      <x:c r="BT173" s="4" t="n">
        <x:f>IF(AND('Calculations'!BM173=1,ISNUMBER('Calculations'!BO173),ISNUMBER('Calculations'!BP173)),1,0)</x:f>
        <x:v>0</x:v>
      </x:c>
      <x:c r="BU173" s="4" t="str">
        <x:f>IF('Calculations'!BM173=0,"",'Calculations'!$EO173)</x:f>
      </x:c>
      <x:c r="BV173" s="4" t="str">
        <x:f>IF('Calculations'!BM173=0,"",IFERROR(IF(OR(INDEX(INDIRECT("'WCM Calibration Final'!$H$1:$H$2000"),'Calculations'!$EM173)="MANAGING DIRECTOR",INDEX(INDIRECT("'WCM Calibration Final'!$H$1:$H$2000"),'Calculations'!$EM173)="DIRECTOR",INDEX(INDIRECT("'WCM Calibration Final'!$H$1:$H$2000"),'Calculations'!$EM173)="SENIOR VICE PRESIDENT",INDEX(INDIRECT("'WCM Calibration Final'!$H$1:$H$2000"),'Calculations'!$EM173)="VICE PRESIDENT",INDEX(INDIRECT("'WCM Calibration Final'!$H$1:$H$2000"),'Calculations'!$EM173)="ASSISTANT VICE PRESIDENT",INDEX(INDIRECT("'WCM Calibration Final'!$H$1:$H$2000"),'Calculations'!$EM173)="OFFICER"),UPPER(INDEX(INDIRECT("'WCM Calibration Final'!$H$1:$H$2000"),'Calculations'!$EM173)),"Other"),"Other"))</x:f>
      </x:c>
      <x:c r="BW173" s="4"/>
      <x:c r="BX173" s="4"/>
      <x:c r="BY173" s="4" t="n">
        <x:f>IF(AND('Calculations'!BM173=1,'Calculations'!BU173&lt;&gt;"",COUNTIF('Calculations'!$BU$12:BU173,'Calculations'!BU173)=1),MAX('Calculations'!$BY$11:BY172)+1,0)</x:f>
        <x:v>0</x:v>
      </x:c>
      <x:c r="BZ173" s="4" t="str">
        <x:f>IF('Dashboard'!$E$67="What",'Calculations'!BO173,'Calculations'!BP173)</x:f>
      </x:c>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t="str">
        <x:f>IF(162&gt;MAX('Calculations'!$HI$13:$HI$512),"",INDEX('Calculations'!$HN$13:$HN$512,MATCH(162,'Calculations'!$HI$13:$HI$512,0)))</x:f>
      </x:c>
      <x:c r="DB173" s="4" t="str">
        <x:f>IF(162&gt;MAX('Calculations'!$HH$13:$HH$512),"",INDEX('Calculations'!$HJ$13:$HJ$512,MATCH(162,'Calculations'!$HH$13:$HH$512,0)))</x:f>
      </x:c>
      <x:c r="DC173" s="4" t="str">
        <x:f>IF(ROW()-11&gt;MAX('Calculations'!$BY$13:$BY$512),"",INDEX('Calculations'!$BU$13:$BU$512,MATCH(ROW()-11,'Calculations'!$BY$13:$BY$512,0)))</x:f>
      </x:c>
      <x:c r="DD173" s="4" t="str">
        <x:f>IF(162&gt;MAX('Calculations'!$IK$13:$IK$512),"",INDEX('Calculations'!$HK$13:$HK$512,MATCH(162,'Calculations'!$IK$13:$IK$512,0)))</x:f>
      </x:c>
      <x:c r="DE173" s="4" t="str">
        <x:f>'Calculations'!DC173</x:f>
      </x:c>
      <x:c r="DF173" s="4" t="str">
        <x:f>IF('Calculations'!DE173="","",COUNTIFS('Calculations'!$BN$13:$BN$512,1,'Calculations'!$BU$13:$BU$512,'Calculations'!DE173))</x:f>
      </x:c>
      <x:c r="DG173" s="4" t="str">
        <x:f>IF('Calculations'!DE173="","",COUNTIFS('Calculations'!$BN$13:$BN$512,1,'Calculations'!$BU$13:$BU$512,'Calculations'!DE173,'Calculations'!$BT$13:$BT$512,1))</x:f>
      </x:c>
      <x:c r="DH173" s="4" t="str">
        <x:f>IF('Calculations'!DE173="","",'Calculations'!DF173-'Calculations'!DG173)</x:f>
      </x:c>
      <x:c r="DI173" s="4" t="str">
        <x:f>IF(OR('Calculations'!DE173="",'Calculations'!DF173=0),"",'Calculations'!DG173/'Calculations'!DF173)</x:f>
      </x:c>
      <x:c r="DJ173" s="4" t="str">
        <x:f>IF('Calculations'!DE173="","",COUNTIFS('Calculations'!$BN$13:$BN$512,1,'Calculations'!$BU$13:$BU$512,'Calculations'!DE173,'Calculations'!$BT$13:$BT$512,1,'Calculations'!$EE$13:$EE$512,"High"))</x:f>
      </x:c>
      <x:c r="DK173" s="4" t="str">
        <x:f>IF('Calculations'!DE173="","",COUNTIFS('Calculations'!$BN$13:$BN$512,1,'Calculations'!$BU$13:$BU$512,'Calculations'!DE173,'Calculations'!$BT$13:$BT$512,1,'Calculations'!$EE$13:$EE$512,"Strong"))</x:f>
      </x:c>
      <x:c r="DL173" s="4" t="str">
        <x:f>IF('Calculations'!DE173="","",COUNTIFS('Calculations'!$BN$13:$BN$512,1,'Calculations'!$BU$13:$BU$512,'Calculations'!DE173,'Calculations'!$BT$13:$BT$512,1,'Calculations'!$EE$13:$EE$512,"Solid"))</x:f>
      </x:c>
      <x:c r="DM173" s="4" t="str">
        <x:f>IF('Calculations'!DE173="","",COUNTIFS('Calculations'!$BN$13:$BN$512,1,'Calculations'!$BU$13:$BU$512,'Calculations'!DE173,'Calculations'!$BT$13:$BT$512,1,'Calculations'!$EE$13:$EE$512,"Low"))</x:f>
      </x:c>
      <x:c r="DN173" s="4" t="str">
        <x:f>IF('Calculations'!DE173="","",COUNTIFS('Calculations'!$BN$13:$BN$512,1,'Calculations'!$BU$13:$BU$512,'Calculations'!DE173,'Calculations'!$EP$13:$EP$512,1))</x:f>
      </x:c>
      <x:c r="DO173" s="4" t="str">
        <x:f>IF(OR('Calculations'!DE173="",'Calculations'!DG173=0),"",('Calculations'!DJ173+'Calculations'!DK173)/'Calculations'!DG173)</x:f>
      </x:c>
      <x:c r="DP173" s="4" t="n">
        <x:f>IF(AND('Calculations'!DE173&lt;&gt;"",'Calculations'!DF173&gt;0),COUNTIF('Calculations'!$DF$12:DF173,"&gt;0"),0)</x:f>
        <x:v>0</x:v>
      </x:c>
      <x:c r="DQ173" s="4" t="str">
        <x:f>IF(162&gt;MAX('Calculations'!$HH$13:$HH$512),"",INDEX('Calculations'!$HF$13:$HF$512,MATCH(162,'Calculations'!$HH$13:$HH$512,0)))</x:f>
      </x:c>
      <x:c r="DR173" s="4" t="str">
        <x:f>IF(162&gt;MAX('Calculations'!$IK$13:$IK$512),"",INDEX('Calculations'!$HE$13:$HE$512,MATCH(162,'Calculations'!$IK$13:$IK$512,0)))</x:f>
      </x:c>
      <x:c r="DS173" s="4"/>
      <x:c r="DT173" s="4"/>
      <x:c r="DU173" s="4"/>
      <x:c r="DV173" s="4"/>
      <x:c r="DW173" s="4"/>
      <x:c r="DX173" s="4"/>
      <x:c r="DY173" s="4"/>
      <x:c r="DZ173" s="4"/>
      <x:c r="EA173" s="4"/>
      <x:c r="EB173" s="4"/>
      <x:c r="EC173" s="4"/>
      <x:c r="ED173" s="4"/>
      <x:c r="EE173" s="4" t="str">
        <x:f>IF('Calculations'!BT173=0,"Not Rated",IF(OR('Calculations'!BO173&gt;=4,'Calculations'!BP173&gt;=4),"Low",IF('Calculations'!BO173+'Calculations'!BP173&lt;=3,"High",IF('Calculations'!BO173+'Calculations'!BP173&lt;=4,"Strong","Solid"))))</x:f>
        <x:v>Not Rated</x:v>
      </x:c>
      <x:c r="EF173" s="4"/>
      <x:c r="EG173" s="4"/>
      <x:c r="EH173" s="4"/>
      <x:c r="EI173" s="4"/>
      <x:c r="EJ173" s="4"/>
      <x:c r="EK173" s="4"/>
      <x:c r="EL173" s="4"/>
      <x:c r="EM173" s="4" t="str">
        <x:f>IF(161&gt;'Calculations'!$JB$2000,"",INDEX('Calculations'!$JA$12:$JA$2000,MATCH(161,'Calculations'!$JB$12:$JB$2000,0)))</x:f>
      </x:c>
      <x:c r="EN173" s="4" t="n">
        <x:f>IF(OR('Calculations'!EM173="",'Calculations'!$AG$8&gt;0,AND('Calculations'!$EF$2&lt;&gt;"All",'Calculations'!HE173='Calculations'!$EF$2),AND('Calculations'!$EF$3&lt;&gt;"All",'Calculations'!HE173='Calculations'!$EF$3)),0,IF(OR('Dashboard'!$B$7="All",'Calculations'!HN173='Dashboard'!$B$7),IF('Calculations'!$EF$2="All",1,IF('Calculations'!HL173&gt;0,0,IF(COUNTIF('Calculations'!HO173:II173,"="&amp;SUBSTITUTE(SUBSTITUTE(SUBSTITUTE('Calculations'!$EF$2,"~","~~"),"*","~*"),"?","~?"))=0,0,IF('Calculations'!$EF$3="All",1,IF(COUNTIF('Calculations'!HO173:II173,"="&amp;SUBSTITUTE(SUBSTITUTE(SUBSTITUTE('Calculations'!$EF$3,"~","~~"),"*","~*"),"?","~?"))&gt;0,1,0))))),0))</x:f>
        <x:v>0</x:v>
      </x:c>
      <x:c r="EO173" s="4" t="str">
        <x:f>IF('Calculations'!IJ173="","",IF('Calculations'!IJ173="!UNRESOLVED","Unresolved hierarchy",IFERROR(INDEX('Calculations'!$HK$13:$HK$512,MATCH('Calculations'!IJ173,'Calculations'!$HE$13:$HE$512,0)),IFERROR(INDEX('Calculations'!$HJ$13:$HJ$512,MATCH('Calculations'!IJ173,'Calculations'!$HF$13:$HF$512,0)),'Calculations'!IJ173))))</x:f>
      </x:c>
      <x:c r="EP173" s="4" t="n">
        <x:f>IF(AND('Calculations'!EM173&lt;&gt;"",'Calculations'!HF173='Calculations'!IJ173),1,0)</x:f>
        <x:v>0</x:v>
      </x:c>
      <x:c r="EQ173" s="4"/>
      <x:c r="ER173" s="4"/>
      <x:c r="ES173" s="4"/>
      <x:c r="ET173" s="4"/>
      <x:c r="EU173" s="4"/>
      <x:c r="EV173" s="4"/>
      <x:c r="EW173" s="4"/>
      <x:c r="EX173" s="4"/>
      <x:c r="EY173" s="4"/>
      <x:c r="EZ173" s="4"/>
      <x:c r="FA173" s="4"/>
      <x:c r="FB173" s="4"/>
      <x:c r="FC173" s="4"/>
      <x:c r="FD173" s="4"/>
      <x:c r="FE173" s="4"/>
      <x:c r="FF173" s="4"/>
      <x:c r="FG173" s="4"/>
      <x:c r="FH173" s="4"/>
      <x:c r="FI173" s="4"/>
      <x:c r="FJ173" s="4"/>
      <x:c r="FK173" s="4"/>
      <x:c r="FL173" s="4"/>
      <x:c r="FM173" s="4"/>
      <x:c r="FN173" s="4"/>
      <x:c r="FO173" s="4"/>
      <x:c r="GA173" s="71"/>
      <x:c r="GB173" s="71"/>
      <x:c r="GC173" s="71"/>
      <x:c r="GD173" s="71"/>
      <x:c r="GE173" s="71"/>
      <x:c r="GF173" s="71"/>
      <x:c r="GG173" s="71"/>
      <x:c r="GH173" s="71"/>
      <x:c r="GI173" s="71"/>
      <x:c r="GJ173" s="71"/>
      <x:c r="GK173" s="71"/>
      <x:c r="GL173" s="71"/>
      <x:c r="GM173" s="71"/>
      <x:c r="GN173" s="71"/>
      <x:c r="GO173" s="71"/>
      <x:c r="GP173" s="71"/>
      <x:c r="GQ173" s="71"/>
      <x:c r="GR173" s="71"/>
      <x:c r="GS173" s="71"/>
      <x:c r="GT173" s="71"/>
      <x:c r="GU173" s="71"/>
      <x:c r="GV173" s="71"/>
      <x:c r="GW173" s="71"/>
      <x:c r="GX173" s="71"/>
      <x:c r="GY173" s="71"/>
      <x:c r="GZ173" s="71"/>
      <x:c r="HA173" s="71"/>
      <x:c r="HB173" s="71"/>
      <x:c r="HC173" s="71"/>
      <x:c r="HD173" s="71"/>
      <x:c r="HE173" t="str">
        <x:f>IF('Calculations'!EM173="","",IF(IFERROR(IF(INDEX(INDIRECT("'WCM Calibration Final'!$A$1:$A$2000"),'Calculations'!$EM173)="","",TRIM(INDEX(INDIRECT("'WCM Calibration Final'!$A$1:$A$2000"),'Calculations'!$EM173)&amp;"")),"")&lt;&gt;"","G:"&amp;IFERROR(TEXT(1*INDEX(INDIRECT("'WCM Calibration Final'!$A$1:$A$2000"),'Calculations'!$EM173),"0"),UPPER(IFERROR(IF(INDEX(INDIRECT("'WCM Calibration Final'!$A$1:$A$2000"),'Calculations'!$EM173)="","",TRIM(INDEX(INDIRECT("'WCM Calibration Final'!$A$1:$A$2000"),'Calculations'!$EM173)&amp;"")),""))),IF(IFERROR(IF(INDEX(INDIRECT("'WCM Calibration Final'!$C$1:$C$2000"),'Calculations'!$EM173)="","",TRIM(INDEX(INDIRECT("'WCM Calibration Final'!$C$1:$C$2000"),'Calculations'!$EM173)&amp;"")),"")&lt;&gt;"","S:"&amp;UPPER(IFERROR(IF(INDEX(INDIRECT("'WCM Calibration Final'!$C$1:$C$2000"),'Calculations'!$EM173)="","",TRIM(INDEX(INDIRECT("'WCM Calibration Final'!$C$1:$C$2000"),'Calculations'!$EM173)&amp;"")),"")),"R:"&amp;'Calculations'!EM173)))</x:f>
      </x:c>
      <x:c r="HF173" t="str">
        <x:f>IF('Calculations'!EM173="","",IF(IFERROR(IF(INDEX(INDIRECT("'WCM Calibration Final'!$D$1:$D$2000"),'Calculations'!$EM173)="","",TRIM(INDEX(INDIRECT("'WCM Calibration Final'!$D$1:$D$2000"),'Calculations'!$EM173)&amp;"")),"")&lt;&gt;"","G:"&amp;IFERROR(TEXT(1*INDEX(INDIRECT("'WCM Calibration Final'!$D$1:$D$2000"),'Calculations'!$EM173),"0"),UPPER(IFERROR(IF(INDEX(INDIRECT("'WCM Calibration Final'!$D$1:$D$2000"),'Calculations'!$EM173)="","",TRIM(INDEX(INDIRECT("'WCM Calibration Final'!$D$1:$D$2000"),'Calculations'!$EM173)&amp;"")),""))),IF(IFERROR(IF(INDEX(INDIRECT("'WCM Calibration Final'!$E$1:$E$2000"),'Calculations'!$EM173)="","",TRIM(INDEX(INDIRECT("'WCM Calibration Final'!$E$1:$E$2000"),'Calculations'!$EM173)&amp;"")),"")="","",IF(COUNTIF('Calculations'!$HG$13:$HG$512,"="&amp;SUBSTITUTE(SUBSTITUTE(SUBSTITUTE(IFERROR(IF(INDEX(INDIRECT("'WCM Calibration Final'!$E$1:$E$2000"),'Calculations'!$EM173)="","",TRIM(INDEX(INDIRECT("'WCM Calibration Final'!$E$1:$E$2000"),'Calculations'!$EM173)&amp;"")),""),"~","~~"),"*","~*"),"?","~?"))=1,INDEX('Calculations'!$HE$13:$HE$512,MATCH(IFERROR(IF(INDEX(INDIRECT("'WCM Calibration Final'!$E$1:$E$2000"),'Calculations'!$EM173)="","",TRIM(INDEX(INDIRECT("'WCM Calibration Final'!$E$1:$E$2000"),'Calculations'!$EM173)&amp;"")),""),'Calculations'!$HG$13:$HG$512,0)),IF(COUNTIF('Calculations'!$HG$13:$HG$512,"="&amp;SUBSTITUTE(SUBSTITUTE(SUBSTITUTE(IFERROR(IF(INDEX(INDIRECT("'WCM Calibration Final'!$E$1:$E$2000"),'Calculations'!$EM173)="","",TRIM(INDEX(INDIRECT("'WCM Calibration Final'!$E$1:$E$2000"),'Calculations'!$EM173)&amp;"")),""),"~","~~"),"*","~*"),"?","~?"))&gt;1,"!AMBIG","X:"&amp;IFERROR(IF(INDEX(INDIRECT("'WCM Calibration Final'!$E$1:$E$2000"),'Calculations'!$EM173)="","",TRIM(INDEX(INDIRECT("'WCM Calibration Final'!$E$1:$E$2000"),'Calculations'!$EM173)&amp;"")),""))))))</x:f>
      </x:c>
      <x:c r="HG173" t="str">
        <x:f>IF('Calculations'!EM173="","",IFERROR(IF(INDEX(INDIRECT("'WCM Calibration Final'!$B$1:$B$2000"),'Calculations'!$EM173)="","",TRIM(INDEX(INDIRECT("'WCM Calibration Final'!$B$1:$B$2000"),'Calculations'!$EM173)&amp;"")),""))</x:f>
      </x:c>
      <x:c r="HH173" t="n">
        <x:f>IF(AND('Calculations'!JC173&gt;0,COUNTIF('Calculations'!$HF$12:HF173,"="&amp;SUBSTITUTE(SUBSTITUTE(SUBSTITUTE('Calculations'!HF173,"~","~~"),"*","~*"),"?","~?"))=1),MAX('Calculations'!$HH$12:HH172)+1,0)</x:f>
        <x:v>0</x:v>
      </x:c>
      <x:c r="HI173" t="n">
        <x:f>IF(AND('Calculations'!HN173&lt;&gt;"",COUNTIF('Calculations'!$HN$12:HN173,"="&amp;SUBSTITUTE(SUBSTITUTE(SUBSTITUTE('Calculations'!HN173,"~","~~"),"*","~*"),"?","~?"))=1),MAX('Calculations'!$HI$12:HI172)+1,0)</x:f>
        <x:v>0</x:v>
      </x:c>
      <x:c r="HJ173" t="str">
        <x:f>IF('Calculations'!HF173="","",IF(COUNTIF('Calculations'!$HE$13:$HE$512,"="&amp;SUBSTITUTE(SUBSTITUTE(SUBSTITUTE('Calculations'!HF173,"~","~~"),"*","~*"),"?","~?"))=1,INDEX('Calculations'!$HK$13:$HK$512,MATCH('Calculations'!HF173,'Calculations'!$HE$13:$HE$512,0)),IFERROR(IF(INDEX(INDIRECT("'WCM Calibration Final'!$E$1:$E$2000"),'Calculations'!$EM173)="","",TRIM(INDEX(INDIRECT("'WCM Calibration Final'!$E$1:$E$2000"),'Calculations'!$EM173)&amp;"")),"")&amp;" ["&amp;'Calculations'!HF173&amp;"]"))</x:f>
      </x:c>
      <x:c r="HK173" t="str">
        <x:f>IF('Calculations'!EM173="","",'Calculations'!HG173&amp;" ["&amp;'Calculations'!HE173&amp;"]")</x:f>
      </x:c>
      <x:c r="HL173" t="n">
        <x:f>IF('Calculations'!EM173="",0,IF(OR('Calculations'!II173&lt;&gt;"",COUNTIF('Calculations'!$HE$13:$HE$512,"="&amp;SUBSTITUTE(SUBSTITUTE(SUBSTITUTE('Calculations'!HE173,"~","~~"),"*","~*"),"?","~?"))&gt;1),1,0))</x:f>
        <x:v>0</x:v>
      </x:c>
      <x:c r="HM173" t="str">
        <x:f>IF('Calculations'!EM173="","",IF('Calculations'!HL173=1,"!UNRESOLVED",IF('Calculations'!IH173&lt;&gt;"",'Calculations'!IH173,IF('Calculations'!IG173&lt;&gt;"",'Calculations'!IG173,IF('Calculations'!IF173&lt;&gt;"",'Calculations'!IF173,IF('Calculations'!IE173&lt;&gt;"",'Calculations'!IE173,IF('Calculations'!ID173&lt;&gt;"",'Calculations'!ID173,IF('Calculations'!IC173&lt;&gt;"",'Calculations'!IC173,IF('Calculations'!IB173&lt;&gt;"",'Calculations'!IB173,IF('Calculations'!IA173&lt;&gt;"",'Calculations'!IA173,IF('Calculations'!HZ173&lt;&gt;"",'Calculations'!HZ173,IF('Calculations'!HY173&lt;&gt;"",'Calculations'!HY173,IF('Calculations'!HX173&lt;&gt;"",'Calculations'!HX173,IF('Calculations'!HW173&lt;&gt;"",'Calculations'!HW173,IF('Calculations'!HV173&lt;&gt;"",'Calculations'!HV173,IF('Calculations'!HU173&lt;&gt;"",'Calculations'!HU173,IF('Calculations'!HT173&lt;&gt;"",'Calculations'!HT173,IF('Calculations'!HS173&lt;&gt;"",'Calculations'!HS173,IF('Calculations'!HR173&lt;&gt;"",'Calculations'!HR173,IF('Calculations'!HQ173&lt;&gt;"",'Calculations'!HQ173,IF('Calculations'!HP173&lt;&gt;"",'Calculations'!HP173,IF('Calculations'!HO173&lt;&gt;"",'Calculations'!HO173,'Calculations'!HE173))))))))))))))))))))))</x:f>
      </x:c>
      <x:c r="HN173" t="str">
        <x:f>IF('Calculations'!EM173="","",IF(IFERROR(IF(INDEX(INDIRECT("'WCM Calibration Final'!$F$1:$F$2000"),'Calculations'!$EM173)="","",TRIM(INDEX(INDIRECT("'WCM Calibration Final'!$F$1:$F$2000"),'Calculations'!$EM173)&amp;"")),"")="","(Blank)",IFERROR(IF(INDEX(INDIRECT("'WCM Calibration Final'!$F$1:$F$2000"),'Calculations'!$EM173)="","",TRIM(INDEX(INDIRECT("'WCM Calibration Final'!$F$1:$F$2000"),'Calculations'!$EM173)&amp;"")),"")))</x:f>
      </x:c>
      <x:c r="HO173" t="str">
        <x:f>'Calculations'!HF173</x:f>
      </x:c>
      <x:c r="HP173" t="str">
        <x:f>IF('Calculations'!HO173="","",IF('Calculations'!HO173="!AMBIG","!AMBIG",IF(COUNTIF('Calculations'!$HE$13:$HE$512,"="&amp;SUBSTITUTE(SUBSTITUTE(SUBSTITUTE('Calculations'!HO173,"~","~~"),"*","~*"),"?","~?"))&gt;1,"!AMBIG",IFERROR(INDEX('Calculations'!$HF$13:$HF$512,MATCH('Calculations'!HO173,'Calculations'!$HE$13:$HE$512,0)),""))))</x:f>
      </x:c>
      <x:c r="HQ173" t="str">
        <x:f>IF('Calculations'!HP173="","",IF('Calculations'!HP173="!AMBIG","!AMBIG",IF(COUNTIF('Calculations'!$HE$13:$HE$512,"="&amp;SUBSTITUTE(SUBSTITUTE(SUBSTITUTE('Calculations'!HP173,"~","~~"),"*","~*"),"?","~?"))&gt;1,"!AMBIG",IFERROR(INDEX('Calculations'!$HF$13:$HF$512,MATCH('Calculations'!HP173,'Calculations'!$HE$13:$HE$512,0)),""))))</x:f>
      </x:c>
      <x:c r="HR173" t="str">
        <x:f>IF('Calculations'!HQ173="","",IF('Calculations'!HQ173="!AMBIG","!AMBIG",IF(COUNTIF('Calculations'!$HE$13:$HE$512,"="&amp;SUBSTITUTE(SUBSTITUTE(SUBSTITUTE('Calculations'!HQ173,"~","~~"),"*","~*"),"?","~?"))&gt;1,"!AMBIG",IFERROR(INDEX('Calculations'!$HF$13:$HF$512,MATCH('Calculations'!HQ173,'Calculations'!$HE$13:$HE$512,0)),""))))</x:f>
      </x:c>
      <x:c r="HS173" t="str">
        <x:f>IF('Calculations'!HR173="","",IF('Calculations'!HR173="!AMBIG","!AMBIG",IF(COUNTIF('Calculations'!$HE$13:$HE$512,"="&amp;SUBSTITUTE(SUBSTITUTE(SUBSTITUTE('Calculations'!HR173,"~","~~"),"*","~*"),"?","~?"))&gt;1,"!AMBIG",IFERROR(INDEX('Calculations'!$HF$13:$HF$512,MATCH('Calculations'!HR173,'Calculations'!$HE$13:$HE$512,0)),""))))</x:f>
      </x:c>
      <x:c r="HT173" t="str">
        <x:f>IF('Calculations'!HS173="","",IF('Calculations'!HS173="!AMBIG","!AMBIG",IF(COUNTIF('Calculations'!$HE$13:$HE$512,"="&amp;SUBSTITUTE(SUBSTITUTE(SUBSTITUTE('Calculations'!HS173,"~","~~"),"*","~*"),"?","~?"))&gt;1,"!AMBIG",IFERROR(INDEX('Calculations'!$HF$13:$HF$512,MATCH('Calculations'!HS173,'Calculations'!$HE$13:$HE$512,0)),""))))</x:f>
      </x:c>
      <x:c r="HU173" t="str">
        <x:f>IF('Calculations'!HT173="","",IF('Calculations'!HT173="!AMBIG","!AMBIG",IF(COUNTIF('Calculations'!$HE$13:$HE$512,"="&amp;SUBSTITUTE(SUBSTITUTE(SUBSTITUTE('Calculations'!HT173,"~","~~"),"*","~*"),"?","~?"))&gt;1,"!AMBIG",IFERROR(INDEX('Calculations'!$HF$13:$HF$512,MATCH('Calculations'!HT173,'Calculations'!$HE$13:$HE$512,0)),""))))</x:f>
      </x:c>
      <x:c r="HV173" t="str">
        <x:f>IF('Calculations'!HU173="","",IF('Calculations'!HU173="!AMBIG","!AMBIG",IF(COUNTIF('Calculations'!$HE$13:$HE$512,"="&amp;SUBSTITUTE(SUBSTITUTE(SUBSTITUTE('Calculations'!HU173,"~","~~"),"*","~*"),"?","~?"))&gt;1,"!AMBIG",IFERROR(INDEX('Calculations'!$HF$13:$HF$512,MATCH('Calculations'!HU173,'Calculations'!$HE$13:$HE$512,0)),""))))</x:f>
      </x:c>
      <x:c r="HW173" t="str">
        <x:f>IF('Calculations'!HV173="","",IF('Calculations'!HV173="!AMBIG","!AMBIG",IF(COUNTIF('Calculations'!$HE$13:$HE$512,"="&amp;SUBSTITUTE(SUBSTITUTE(SUBSTITUTE('Calculations'!HV173,"~","~~"),"*","~*"),"?","~?"))&gt;1,"!AMBIG",IFERROR(INDEX('Calculations'!$HF$13:$HF$512,MATCH('Calculations'!HV173,'Calculations'!$HE$13:$HE$512,0)),""))))</x:f>
      </x:c>
      <x:c r="HX173" t="str">
        <x:f>IF('Calculations'!HW173="","",IF('Calculations'!HW173="!AMBIG","!AMBIG",IF(COUNTIF('Calculations'!$HE$13:$HE$512,"="&amp;SUBSTITUTE(SUBSTITUTE(SUBSTITUTE('Calculations'!HW173,"~","~~"),"*","~*"),"?","~?"))&gt;1,"!AMBIG",IFERROR(INDEX('Calculations'!$HF$13:$HF$512,MATCH('Calculations'!HW173,'Calculations'!$HE$13:$HE$512,0)),""))))</x:f>
      </x:c>
      <x:c r="HY173" t="str">
        <x:f>IF('Calculations'!HX173="","",IF('Calculations'!HX173="!AMBIG","!AMBIG",IF(COUNTIF('Calculations'!$HE$13:$HE$512,"="&amp;SUBSTITUTE(SUBSTITUTE(SUBSTITUTE('Calculations'!HX173,"~","~~"),"*","~*"),"?","~?"))&gt;1,"!AMBIG",IFERROR(INDEX('Calculations'!$HF$13:$HF$512,MATCH('Calculations'!HX173,'Calculations'!$HE$13:$HE$512,0)),""))))</x:f>
      </x:c>
      <x:c r="HZ173" t="str">
        <x:f>IF('Calculations'!HY173="","",IF('Calculations'!HY173="!AMBIG","!AMBIG",IF(COUNTIF('Calculations'!$HE$13:$HE$512,"="&amp;SUBSTITUTE(SUBSTITUTE(SUBSTITUTE('Calculations'!HY173,"~","~~"),"*","~*"),"?","~?"))&gt;1,"!AMBIG",IFERROR(INDEX('Calculations'!$HF$13:$HF$512,MATCH('Calculations'!HY173,'Calculations'!$HE$13:$HE$512,0)),""))))</x:f>
      </x:c>
      <x:c r="IA173" t="str">
        <x:f>IF('Calculations'!HZ173="","",IF('Calculations'!HZ173="!AMBIG","!AMBIG",IF(COUNTIF('Calculations'!$HE$13:$HE$512,"="&amp;SUBSTITUTE(SUBSTITUTE(SUBSTITUTE('Calculations'!HZ173,"~","~~"),"*","~*"),"?","~?"))&gt;1,"!AMBIG",IFERROR(INDEX('Calculations'!$HF$13:$HF$512,MATCH('Calculations'!HZ173,'Calculations'!$HE$13:$HE$512,0)),""))))</x:f>
      </x:c>
      <x:c r="IB173" t="str">
        <x:f>IF('Calculations'!IA173="","",IF('Calculations'!IA173="!AMBIG","!AMBIG",IF(COUNTIF('Calculations'!$HE$13:$HE$512,"="&amp;SUBSTITUTE(SUBSTITUTE(SUBSTITUTE('Calculations'!IA173,"~","~~"),"*","~*"),"?","~?"))&gt;1,"!AMBIG",IFERROR(INDEX('Calculations'!$HF$13:$HF$512,MATCH('Calculations'!IA173,'Calculations'!$HE$13:$HE$512,0)),""))))</x:f>
      </x:c>
      <x:c r="IC173" t="str">
        <x:f>IF('Calculations'!IB173="","",IF('Calculations'!IB173="!AMBIG","!AMBIG",IF(COUNTIF('Calculations'!$HE$13:$HE$512,"="&amp;SUBSTITUTE(SUBSTITUTE(SUBSTITUTE('Calculations'!IB173,"~","~~"),"*","~*"),"?","~?"))&gt;1,"!AMBIG",IFERROR(INDEX('Calculations'!$HF$13:$HF$512,MATCH('Calculations'!IB173,'Calculations'!$HE$13:$HE$512,0)),""))))</x:f>
      </x:c>
      <x:c r="ID173" t="str">
        <x:f>IF('Calculations'!IC173="","",IF('Calculations'!IC173="!AMBIG","!AMBIG",IF(COUNTIF('Calculations'!$HE$13:$HE$512,"="&amp;SUBSTITUTE(SUBSTITUTE(SUBSTITUTE('Calculations'!IC173,"~","~~"),"*","~*"),"?","~?"))&gt;1,"!AMBIG",IFERROR(INDEX('Calculations'!$HF$13:$HF$512,MATCH('Calculations'!IC173,'Calculations'!$HE$13:$HE$512,0)),""))))</x:f>
      </x:c>
      <x:c r="IE173" t="str">
        <x:f>IF('Calculations'!ID173="","",IF('Calculations'!ID173="!AMBIG","!AMBIG",IF(COUNTIF('Calculations'!$HE$13:$HE$512,"="&amp;SUBSTITUTE(SUBSTITUTE(SUBSTITUTE('Calculations'!ID173,"~","~~"),"*","~*"),"?","~?"))&gt;1,"!AMBIG",IFERROR(INDEX('Calculations'!$HF$13:$HF$512,MATCH('Calculations'!ID173,'Calculations'!$HE$13:$HE$512,0)),""))))</x:f>
      </x:c>
      <x:c r="IF173" t="str">
        <x:f>IF('Calculations'!IE173="","",IF('Calculations'!IE173="!AMBIG","!AMBIG",IF(COUNTIF('Calculations'!$HE$13:$HE$512,"="&amp;SUBSTITUTE(SUBSTITUTE(SUBSTITUTE('Calculations'!IE173,"~","~~"),"*","~*"),"?","~?"))&gt;1,"!AMBIG",IFERROR(INDEX('Calculations'!$HF$13:$HF$512,MATCH('Calculations'!IE173,'Calculations'!$HE$13:$HE$512,0)),""))))</x:f>
      </x:c>
      <x:c r="IG173" t="str">
        <x:f>IF('Calculations'!IF173="","",IF('Calculations'!IF173="!AMBIG","!AMBIG",IF(COUNTIF('Calculations'!$HE$13:$HE$512,"="&amp;SUBSTITUTE(SUBSTITUTE(SUBSTITUTE('Calculations'!IF173,"~","~~"),"*","~*"),"?","~?"))&gt;1,"!AMBIG",IFERROR(INDEX('Calculations'!$HF$13:$HF$512,MATCH('Calculations'!IF173,'Calculations'!$HE$13:$HE$512,0)),""))))</x:f>
      </x:c>
      <x:c r="IH173" t="str">
        <x:f>IF('Calculations'!IG173="","",IF('Calculations'!IG173="!AMBIG","!AMBIG",IF(COUNTIF('Calculations'!$HE$13:$HE$512,"="&amp;SUBSTITUTE(SUBSTITUTE(SUBSTITUTE('Calculations'!IG173,"~","~~"),"*","~*"),"?","~?"))&gt;1,"!AMBIG",IFERROR(INDEX('Calculations'!$HF$13:$HF$512,MATCH('Calculations'!IG173,'Calculations'!$HE$13:$HE$512,0)),""))))</x:f>
      </x:c>
      <x:c r="II173" t="str">
        <x:f>IF('Calculations'!IH173="","",IF('Calculations'!IH173="!AMBIG","!AMBIG",IF(COUNTIF('Calculations'!$HE$13:$HE$512,"="&amp;SUBSTITUTE(SUBSTITUTE(SUBSTITUTE('Calculations'!IH173,"~","~~"),"*","~*"),"?","~?"))&gt;1,"!AMBIG",IFERROR(INDEX('Calculations'!$HF$13:$HF$512,MATCH('Calculations'!IH173,'Calculations'!$HE$13:$HE$512,0)),""))))</x:f>
      </x:c>
      <x:c r="IJ173" t="str">
        <x:f>IF('Calculations'!EM173="","",IF('Calculations'!$EF$2="All",'Calculations'!HM173,IF('Calculations'!HL173=1,"",IFERROR(IF(MATCH('Calculations'!$EF$2,'Calculations'!HO173:II173,0)=1,'Calculations'!HE173,INDEX('Calculations'!HO173:II173,1,MATCH('Calculations'!$EF$2,'Calculations'!HO173:II173,0)-1)),""))))</x:f>
      </x:c>
      <x:c r="IK173" t="n">
        <x:f>IF(AND('Calculations'!EM173&lt;&gt;"",'Calculations'!$EF$2&lt;&gt;"All",'Calculations'!HF173='Calculations'!$EF$2,'Calculations'!HL173=0,'Calculations'!JD173&gt;0),MAX('Calculations'!$IK$12:IK172)+1,0)</x:f>
        <x:v>0</x:v>
      </x:c>
      <x:c r="JA173" t="n">
        <x:f>IF(OR(IFERROR(INDIRECT("'WCM Calibration Final'!$A$173")&lt;&gt;"",FALSE),IFERROR(INDIRECT("'WCM Calibration Final'!$B$173")&lt;&gt;"",FALSE),IFERROR(INDIRECT("'WCM Calibration Final'!$C$173")&lt;&gt;"",FALSE)),173,0)</x:f>
        <x:v>0</x:v>
      </x:c>
      <x:c r="JB173" t="n">
        <x:f>'Calculations'!JB172+IF('Calculations'!JA173&gt;0,1,0)</x:f>
        <x:v>0</x:v>
      </x:c>
      <x:c r="JC173" t="n">
        <x:f>IF(OR('Calculations'!HF173="",'Calculations'!HF173="!AMBIG"),0,IF('Dashboard'!$B$7="All",1,COUNTIFS('Calculations'!$HO$13:$HO$512,"="&amp;SUBSTITUTE(SUBSTITUTE(SUBSTITUTE('Calculations'!HF173,"~","~~"),"*","~*"),"?","~?"),'Calculations'!$HN$13:$HN$512,"="&amp;SUBSTITUTE(SUBSTITUTE(SUBSTITUTE('Dashboard'!$B$7,"~","~~"),"*","~*"),"?","~?"))+COUNTIFS('Calculations'!$HP$13:$HP$512,"="&amp;SUBSTITUTE(SUBSTITUTE(SUBSTITUTE('Calculations'!HF173,"~","~~"),"*","~*"),"?","~?"),'Calculations'!$HN$13:$HN$512,"="&amp;SUBSTITUTE(SUBSTITUTE(SUBSTITUTE('Dashboard'!$B$7,"~","~~"),"*","~*"),"?","~?"))+COUNTIFS('Calculations'!$HQ$13:$HQ$512,"="&amp;SUBSTITUTE(SUBSTITUTE(SUBSTITUTE('Calculations'!HF173,"~","~~"),"*","~*"),"?","~?"),'Calculations'!$HN$13:$HN$512,"="&amp;SUBSTITUTE(SUBSTITUTE(SUBSTITUTE('Dashboard'!$B$7,"~","~~"),"*","~*"),"?","~?"))+COUNTIFS('Calculations'!$HR$13:$HR$512,"="&amp;SUBSTITUTE(SUBSTITUTE(SUBSTITUTE('Calculations'!HF173,"~","~~"),"*","~*"),"?","~?"),'Calculations'!$HN$13:$HN$512,"="&amp;SUBSTITUTE(SUBSTITUTE(SUBSTITUTE('Dashboard'!$B$7,"~","~~"),"*","~*"),"?","~?"))+COUNTIFS('Calculations'!$HS$13:$HS$512,"="&amp;SUBSTITUTE(SUBSTITUTE(SUBSTITUTE('Calculations'!HF173,"~","~~"),"*","~*"),"?","~?"),'Calculations'!$HN$13:$HN$512,"="&amp;SUBSTITUTE(SUBSTITUTE(SUBSTITUTE('Dashboard'!$B$7,"~","~~"),"*","~*"),"?","~?"))+COUNTIFS('Calculations'!$HT$13:$HT$512,"="&amp;SUBSTITUTE(SUBSTITUTE(SUBSTITUTE('Calculations'!HF173,"~","~~"),"*","~*"),"?","~?"),'Calculations'!$HN$13:$HN$512,"="&amp;SUBSTITUTE(SUBSTITUTE(SUBSTITUTE('Dashboard'!$B$7,"~","~~"),"*","~*"),"?","~?"))+COUNTIFS('Calculations'!$HU$13:$HU$512,"="&amp;SUBSTITUTE(SUBSTITUTE(SUBSTITUTE('Calculations'!HF173,"~","~~"),"*","~*"),"?","~?"),'Calculations'!$HN$13:$HN$512,"="&amp;SUBSTITUTE(SUBSTITUTE(SUBSTITUTE('Dashboard'!$B$7,"~","~~"),"*","~*"),"?","~?"))+COUNTIFS('Calculations'!$HV$13:$HV$512,"="&amp;SUBSTITUTE(SUBSTITUTE(SUBSTITUTE('Calculations'!HF173,"~","~~"),"*","~*"),"?","~?"),'Calculations'!$HN$13:$HN$512,"="&amp;SUBSTITUTE(SUBSTITUTE(SUBSTITUTE('Dashboard'!$B$7,"~","~~"),"*","~*"),"?","~?"))+COUNTIFS('Calculations'!$HW$13:$HW$512,"="&amp;SUBSTITUTE(SUBSTITUTE(SUBSTITUTE('Calculations'!HF173,"~","~~"),"*","~*"),"?","~?"),'Calculations'!$HN$13:$HN$512,"="&amp;SUBSTITUTE(SUBSTITUTE(SUBSTITUTE('Dashboard'!$B$7,"~","~~"),"*","~*"),"?","~?"))+COUNTIFS('Calculations'!$HX$13:$HX$512,"="&amp;SUBSTITUTE(SUBSTITUTE(SUBSTITUTE('Calculations'!HF173,"~","~~"),"*","~*"),"?","~?"),'Calculations'!$HN$13:$HN$512,"="&amp;SUBSTITUTE(SUBSTITUTE(SUBSTITUTE('Dashboard'!$B$7,"~","~~"),"*","~*"),"?","~?"))+COUNTIFS('Calculations'!$HY$13:$HY$512,"="&amp;SUBSTITUTE(SUBSTITUTE(SUBSTITUTE('Calculations'!HF173,"~","~~"),"*","~*"),"?","~?"),'Calculations'!$HN$13:$HN$512,"="&amp;SUBSTITUTE(SUBSTITUTE(SUBSTITUTE('Dashboard'!$B$7,"~","~~"),"*","~*"),"?","~?"))+COUNTIFS('Calculations'!$HZ$13:$HZ$512,"="&amp;SUBSTITUTE(SUBSTITUTE(SUBSTITUTE('Calculations'!HF173,"~","~~"),"*","~*"),"?","~?"),'Calculations'!$HN$13:$HN$512,"="&amp;SUBSTITUTE(SUBSTITUTE(SUBSTITUTE('Dashboard'!$B$7,"~","~~"),"*","~*"),"?","~?"))+COUNTIFS('Calculations'!$IA$13:$IA$512,"="&amp;SUBSTITUTE(SUBSTITUTE(SUBSTITUTE('Calculations'!HF173,"~","~~"),"*","~*"),"?","~?"),'Calculations'!$HN$13:$HN$512,"="&amp;SUBSTITUTE(SUBSTITUTE(SUBSTITUTE('Dashboard'!$B$7,"~","~~"),"*","~*"),"?","~?"))+COUNTIFS('Calculations'!$IB$13:$IB$512,"="&amp;SUBSTITUTE(SUBSTITUTE(SUBSTITUTE('Calculations'!HF173,"~","~~"),"*","~*"),"?","~?"),'Calculations'!$HN$13:$HN$512,"="&amp;SUBSTITUTE(SUBSTITUTE(SUBSTITUTE('Dashboard'!$B$7,"~","~~"),"*","~*"),"?","~?"))+COUNTIFS('Calculations'!$IC$13:$IC$512,"="&amp;SUBSTITUTE(SUBSTITUTE(SUBSTITUTE('Calculations'!HF173,"~","~~"),"*","~*"),"?","~?"),'Calculations'!$HN$13:$HN$512,"="&amp;SUBSTITUTE(SUBSTITUTE(SUBSTITUTE('Dashboard'!$B$7,"~","~~"),"*","~*"),"?","~?"))+COUNTIFS('Calculations'!$ID$13:$ID$512,"="&amp;SUBSTITUTE(SUBSTITUTE(SUBSTITUTE('Calculations'!HF173,"~","~~"),"*","~*"),"?","~?"),'Calculations'!$HN$13:$HN$512,"="&amp;SUBSTITUTE(SUBSTITUTE(SUBSTITUTE('Dashboard'!$B$7,"~","~~"),"*","~*"),"?","~?"))+COUNTIFS('Calculations'!$IE$13:$IE$512,"="&amp;SUBSTITUTE(SUBSTITUTE(SUBSTITUTE('Calculations'!HF173,"~","~~"),"*","~*"),"?","~?"),'Calculations'!$HN$13:$HN$512,"="&amp;SUBSTITUTE(SUBSTITUTE(SUBSTITUTE('Dashboard'!$B$7,"~","~~"),"*","~*"),"?","~?"))+COUNTIFS('Calculations'!$IF$13:$IF$512,"="&amp;SUBSTITUTE(SUBSTITUTE(SUBSTITUTE('Calculations'!HF173,"~","~~"),"*","~*"),"?","~?"),'Calculations'!$HN$13:$HN$512,"="&amp;SUBSTITUTE(SUBSTITUTE(SUBSTITUTE('Dashboard'!$B$7,"~","~~"),"*","~*"),"?","~?"))+COUNTIFS('Calculations'!$IG$13:$IG$512,"="&amp;SUBSTITUTE(SUBSTITUTE(SUBSTITUTE('Calculations'!HF173,"~","~~"),"*","~*"),"?","~?"),'Calculations'!$HN$13:$HN$512,"="&amp;SUBSTITUTE(SUBSTITUTE(SUBSTITUTE('Dashboard'!$B$7,"~","~~"),"*","~*"),"?","~?"))+COUNTIFS('Calculations'!$IH$13:$IH$512,"="&amp;SUBSTITUTE(SUBSTITUTE(SUBSTITUTE('Calculations'!HF173,"~","~~"),"*","~*"),"?","~?"),'Calculations'!$HN$13:$HN$512,"="&amp;SUBSTITUTE(SUBSTITUTE(SUBSTITUTE('Dashboard'!$B$7,"~","~~"),"*","~*"),"?","~?"))))</x:f>
        <x:v>0</x:v>
      </x:c>
      <x:c r="JD173" t="n">
        <x:f>IF('Calculations'!EM173="",0,IF('Dashboard'!$B$7="All",1,IF('Calculations'!HN173='Dashboard'!$B$7,1,0)+IFERROR(INDEX('Calculations'!$JC$13:$JC$512,MATCH('Calculations'!HE173,'Calculations'!$HF$13:$HF$512,0)),0)))</x:f>
        <x:v>0</x:v>
      </x:c>
      <x:c r="JE173" t="n">
        <x:f>IF(AND('Calculations'!EM173&lt;&gt;"",'Calculations'!$JJ$2&lt;&gt;"All",'Calculations'!$JJ$2&lt;&gt;"",'Calculations'!HF173='Calculations'!$JJ$2,'Calculations'!HL173=0,'Calculations'!JD173&gt;0),MAX('Calculations'!$JE$12:JE172)+1,0)</x:f>
        <x:v>0</x:v>
      </x:c>
      <x:c r="JF173" t="str">
        <x:f>IF('Calculations'!EM173="","",IFERROR(IF(INDEX(INDIRECT("'WCM Calibration Final'!$G$1:$G$2000"),'Calculations'!$EM173)="","",TRIM(INDEX(INDIRECT("'WCM Calibration Final'!$G$1:$G$2000"),'Calculations'!$EM173)&amp;"")),""))</x:f>
      </x:c>
      <x:c r="JQ173" t="n">
        <x:f>IF(OR('Calculations'!BM173=0,NOT('Calculations'!$AG$2),'Calculations'!$AG$8&gt;0),0,IF(OR('Dashboard'!$B$7="All",'Calculations'!HN173='Dashboard'!$B$7),IF('Calculations'!$JJ$2="All",1,IF(AND('Calculations'!HF173='Calculations'!$JJ$2,'Calculations'!HL173=0),1,0)),0))</x:f>
        <x:v>0</x:v>
      </x:c>
    </x:row>
    <x:row r="17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t="n">
        <x:f>IF('Calculations'!$EM174="",0,IF(OR(IFERROR(INDEX(INDIRECT("'WCM Calibration Final'!$A$1:$A$2000"),'Calculations'!$EM174)&lt;&gt;"",FALSE),IFERROR(INDEX(INDIRECT("'WCM Calibration Final'!$B$1:$B$2000"),'Calculations'!$EM174)&lt;&gt;"",FALSE),IFERROR(INDEX(INDIRECT("'WCM Calibration Final'!$C$1:$C$2000"),'Calculations'!$EM174)&lt;&gt;"",FALSE)),1,0))</x:f>
        <x:v>0</x:v>
      </x:c>
      <x:c r="BN174" s="4" t="n">
        <x:f>IF(AND('Calculations'!BM174=1,'Calculations'!$AG$2,'Calculations'!$EN174=1),1,0)</x:f>
        <x:v>0</x:v>
      </x:c>
      <x:c r="BO174" s="4" t="str">
        <x:f>IF('Calculations'!BM174=0,"",IFERROR(IF(AND(VALUE(INDEX(INDIRECT("'WCM Calibration Final'!$K$1:$K$2000"),'Calculations'!$EM174))&gt;=1,VALUE(INDEX(INDIRECT("'WCM Calibration Final'!$K$1:$K$2000"),'Calculations'!$EM174))&lt;=4,MOD(VALUE(INDEX(INDIRECT("'WCM Calibration Final'!$K$1:$K$2000"),'Calculations'!$EM174)),1)=0),VALUE(INDEX(INDIRECT("'WCM Calibration Final'!$K$1:$K$2000"),'Calculations'!$EM174)),""),""))</x:f>
      </x:c>
      <x:c r="BP174" s="4" t="str">
        <x:f>IF('Calculations'!BM174=0,"",IFERROR(IF(AND(VALUE(INDEX(INDIRECT("'WCM Calibration Final'!$L$1:$L$2000"),'Calculations'!$EM174))&gt;=1,VALUE(INDEX(INDIRECT("'WCM Calibration Final'!$L$1:$L$2000"),'Calculations'!$EM174))&lt;=4,MOD(VALUE(INDEX(INDIRECT("'WCM Calibration Final'!$L$1:$L$2000"),'Calculations'!$EM174)),1)=0),VALUE(INDEX(INDIRECT("'WCM Calibration Final'!$L$1:$L$2000"),'Calculations'!$EM174)),""),""))</x:f>
      </x:c>
      <x:c r="BQ174" s="4"/>
      <x:c r="BR174" s="4"/>
      <x:c r="BS174" s="4"/>
      <x:c r="BT174" s="4" t="n">
        <x:f>IF(AND('Calculations'!BM174=1,ISNUMBER('Calculations'!BO174),ISNUMBER('Calculations'!BP174)),1,0)</x:f>
        <x:v>0</x:v>
      </x:c>
      <x:c r="BU174" s="4" t="str">
        <x:f>IF('Calculations'!BM174=0,"",'Calculations'!$EO174)</x:f>
      </x:c>
      <x:c r="BV174" s="4" t="str">
        <x:f>IF('Calculations'!BM174=0,"",IFERROR(IF(OR(INDEX(INDIRECT("'WCM Calibration Final'!$H$1:$H$2000"),'Calculations'!$EM174)="MANAGING DIRECTOR",INDEX(INDIRECT("'WCM Calibration Final'!$H$1:$H$2000"),'Calculations'!$EM174)="DIRECTOR",INDEX(INDIRECT("'WCM Calibration Final'!$H$1:$H$2000"),'Calculations'!$EM174)="SENIOR VICE PRESIDENT",INDEX(INDIRECT("'WCM Calibration Final'!$H$1:$H$2000"),'Calculations'!$EM174)="VICE PRESIDENT",INDEX(INDIRECT("'WCM Calibration Final'!$H$1:$H$2000"),'Calculations'!$EM174)="ASSISTANT VICE PRESIDENT",INDEX(INDIRECT("'WCM Calibration Final'!$H$1:$H$2000"),'Calculations'!$EM174)="OFFICER"),UPPER(INDEX(INDIRECT("'WCM Calibration Final'!$H$1:$H$2000"),'Calculations'!$EM174)),"Other"),"Other"))</x:f>
      </x:c>
      <x:c r="BW174" s="4"/>
      <x:c r="BX174" s="4"/>
      <x:c r="BY174" s="4" t="n">
        <x:f>IF(AND('Calculations'!BM174=1,'Calculations'!BU174&lt;&gt;"",COUNTIF('Calculations'!$BU$12:BU174,'Calculations'!BU174)=1),MAX('Calculations'!$BY$11:BY173)+1,0)</x:f>
        <x:v>0</x:v>
      </x:c>
      <x:c r="BZ174" s="4" t="str">
        <x:f>IF('Dashboard'!$E$67="What",'Calculations'!BO174,'Calculations'!BP174)</x:f>
      </x:c>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t="str">
        <x:f>IF(163&gt;MAX('Calculations'!$HI$13:$HI$512),"",INDEX('Calculations'!$HN$13:$HN$512,MATCH(163,'Calculations'!$HI$13:$HI$512,0)))</x:f>
      </x:c>
      <x:c r="DB174" s="4" t="str">
        <x:f>IF(163&gt;MAX('Calculations'!$HH$13:$HH$512),"",INDEX('Calculations'!$HJ$13:$HJ$512,MATCH(163,'Calculations'!$HH$13:$HH$512,0)))</x:f>
      </x:c>
      <x:c r="DC174" s="4" t="str">
        <x:f>IF(ROW()-11&gt;MAX('Calculations'!$BY$13:$BY$512),"",INDEX('Calculations'!$BU$13:$BU$512,MATCH(ROW()-11,'Calculations'!$BY$13:$BY$512,0)))</x:f>
      </x:c>
      <x:c r="DD174" s="4" t="str">
        <x:f>IF(163&gt;MAX('Calculations'!$IK$13:$IK$512),"",INDEX('Calculations'!$HK$13:$HK$512,MATCH(163,'Calculations'!$IK$13:$IK$512,0)))</x:f>
      </x:c>
      <x:c r="DE174" s="4" t="str">
        <x:f>'Calculations'!DC174</x:f>
      </x:c>
      <x:c r="DF174" s="4" t="str">
        <x:f>IF('Calculations'!DE174="","",COUNTIFS('Calculations'!$BN$13:$BN$512,1,'Calculations'!$BU$13:$BU$512,'Calculations'!DE174))</x:f>
      </x:c>
      <x:c r="DG174" s="4" t="str">
        <x:f>IF('Calculations'!DE174="","",COUNTIFS('Calculations'!$BN$13:$BN$512,1,'Calculations'!$BU$13:$BU$512,'Calculations'!DE174,'Calculations'!$BT$13:$BT$512,1))</x:f>
      </x:c>
      <x:c r="DH174" s="4" t="str">
        <x:f>IF('Calculations'!DE174="","",'Calculations'!DF174-'Calculations'!DG174)</x:f>
      </x:c>
      <x:c r="DI174" s="4" t="str">
        <x:f>IF(OR('Calculations'!DE174="",'Calculations'!DF174=0),"",'Calculations'!DG174/'Calculations'!DF174)</x:f>
      </x:c>
      <x:c r="DJ174" s="4" t="str">
        <x:f>IF('Calculations'!DE174="","",COUNTIFS('Calculations'!$BN$13:$BN$512,1,'Calculations'!$BU$13:$BU$512,'Calculations'!DE174,'Calculations'!$BT$13:$BT$512,1,'Calculations'!$EE$13:$EE$512,"High"))</x:f>
      </x:c>
      <x:c r="DK174" s="4" t="str">
        <x:f>IF('Calculations'!DE174="","",COUNTIFS('Calculations'!$BN$13:$BN$512,1,'Calculations'!$BU$13:$BU$512,'Calculations'!DE174,'Calculations'!$BT$13:$BT$512,1,'Calculations'!$EE$13:$EE$512,"Strong"))</x:f>
      </x:c>
      <x:c r="DL174" s="4" t="str">
        <x:f>IF('Calculations'!DE174="","",COUNTIFS('Calculations'!$BN$13:$BN$512,1,'Calculations'!$BU$13:$BU$512,'Calculations'!DE174,'Calculations'!$BT$13:$BT$512,1,'Calculations'!$EE$13:$EE$512,"Solid"))</x:f>
      </x:c>
      <x:c r="DM174" s="4" t="str">
        <x:f>IF('Calculations'!DE174="","",COUNTIFS('Calculations'!$BN$13:$BN$512,1,'Calculations'!$BU$13:$BU$512,'Calculations'!DE174,'Calculations'!$BT$13:$BT$512,1,'Calculations'!$EE$13:$EE$512,"Low"))</x:f>
      </x:c>
      <x:c r="DN174" s="4" t="str">
        <x:f>IF('Calculations'!DE174="","",COUNTIFS('Calculations'!$BN$13:$BN$512,1,'Calculations'!$BU$13:$BU$512,'Calculations'!DE174,'Calculations'!$EP$13:$EP$512,1))</x:f>
      </x:c>
      <x:c r="DO174" s="4" t="str">
        <x:f>IF(OR('Calculations'!DE174="",'Calculations'!DG174=0),"",('Calculations'!DJ174+'Calculations'!DK174)/'Calculations'!DG174)</x:f>
      </x:c>
      <x:c r="DP174" s="4" t="n">
        <x:f>IF(AND('Calculations'!DE174&lt;&gt;"",'Calculations'!DF174&gt;0),COUNTIF('Calculations'!$DF$12:DF174,"&gt;0"),0)</x:f>
        <x:v>0</x:v>
      </x:c>
      <x:c r="DQ174" s="4" t="str">
        <x:f>IF(163&gt;MAX('Calculations'!$HH$13:$HH$512),"",INDEX('Calculations'!$HF$13:$HF$512,MATCH(163,'Calculations'!$HH$13:$HH$512,0)))</x:f>
      </x:c>
      <x:c r="DR174" s="4" t="str">
        <x:f>IF(163&gt;MAX('Calculations'!$IK$13:$IK$512),"",INDEX('Calculations'!$HE$13:$HE$512,MATCH(163,'Calculations'!$IK$13:$IK$512,0)))</x:f>
      </x:c>
      <x:c r="DS174" s="4"/>
      <x:c r="DT174" s="4"/>
      <x:c r="DU174" s="4"/>
      <x:c r="DV174" s="4"/>
      <x:c r="DW174" s="4"/>
      <x:c r="DX174" s="4"/>
      <x:c r="DY174" s="4"/>
      <x:c r="DZ174" s="4"/>
      <x:c r="EA174" s="4"/>
      <x:c r="EB174" s="4"/>
      <x:c r="EC174" s="4"/>
      <x:c r="ED174" s="4"/>
      <x:c r="EE174" s="4" t="str">
        <x:f>IF('Calculations'!BT174=0,"Not Rated",IF(OR('Calculations'!BO174&gt;=4,'Calculations'!BP174&gt;=4),"Low",IF('Calculations'!BO174+'Calculations'!BP174&lt;=3,"High",IF('Calculations'!BO174+'Calculations'!BP174&lt;=4,"Strong","Solid"))))</x:f>
        <x:v>Not Rated</x:v>
      </x:c>
      <x:c r="EF174" s="4"/>
      <x:c r="EG174" s="4"/>
      <x:c r="EH174" s="4"/>
      <x:c r="EI174" s="4"/>
      <x:c r="EJ174" s="4"/>
      <x:c r="EK174" s="4"/>
      <x:c r="EL174" s="4"/>
      <x:c r="EM174" s="4" t="str">
        <x:f>IF(162&gt;'Calculations'!$JB$2000,"",INDEX('Calculations'!$JA$12:$JA$2000,MATCH(162,'Calculations'!$JB$12:$JB$2000,0)))</x:f>
      </x:c>
      <x:c r="EN174" s="4" t="n">
        <x:f>IF(OR('Calculations'!EM174="",'Calculations'!$AG$8&gt;0,AND('Calculations'!$EF$2&lt;&gt;"All",'Calculations'!HE174='Calculations'!$EF$2),AND('Calculations'!$EF$3&lt;&gt;"All",'Calculations'!HE174='Calculations'!$EF$3)),0,IF(OR('Dashboard'!$B$7="All",'Calculations'!HN174='Dashboard'!$B$7),IF('Calculations'!$EF$2="All",1,IF('Calculations'!HL174&gt;0,0,IF(COUNTIF('Calculations'!HO174:II174,"="&amp;SUBSTITUTE(SUBSTITUTE(SUBSTITUTE('Calculations'!$EF$2,"~","~~"),"*","~*"),"?","~?"))=0,0,IF('Calculations'!$EF$3="All",1,IF(COUNTIF('Calculations'!HO174:II174,"="&amp;SUBSTITUTE(SUBSTITUTE(SUBSTITUTE('Calculations'!$EF$3,"~","~~"),"*","~*"),"?","~?"))&gt;0,1,0))))),0))</x:f>
        <x:v>0</x:v>
      </x:c>
      <x:c r="EO174" s="4" t="str">
        <x:f>IF('Calculations'!IJ174="","",IF('Calculations'!IJ174="!UNRESOLVED","Unresolved hierarchy",IFERROR(INDEX('Calculations'!$HK$13:$HK$512,MATCH('Calculations'!IJ174,'Calculations'!$HE$13:$HE$512,0)),IFERROR(INDEX('Calculations'!$HJ$13:$HJ$512,MATCH('Calculations'!IJ174,'Calculations'!$HF$13:$HF$512,0)),'Calculations'!IJ174))))</x:f>
      </x:c>
      <x:c r="EP174" s="4" t="n">
        <x:f>IF(AND('Calculations'!EM174&lt;&gt;"",'Calculations'!HF174='Calculations'!IJ174),1,0)</x:f>
        <x:v>0</x:v>
      </x:c>
      <x:c r="EQ174" s="4"/>
      <x:c r="ER174" s="4"/>
      <x:c r="ES174" s="4"/>
      <x:c r="ET174" s="4"/>
      <x:c r="EU174" s="4"/>
      <x:c r="EV174" s="4"/>
      <x:c r="EW174" s="4"/>
      <x:c r="EX174" s="4"/>
      <x:c r="EY174" s="4"/>
      <x:c r="EZ174" s="4"/>
      <x:c r="FA174" s="4"/>
      <x:c r="FB174" s="4"/>
      <x:c r="FC174" s="4"/>
      <x:c r="FD174" s="4"/>
      <x:c r="FE174" s="4"/>
      <x:c r="FF174" s="4"/>
      <x:c r="FG174" s="4"/>
      <x:c r="FH174" s="4"/>
      <x:c r="FI174" s="4"/>
      <x:c r="FJ174" s="4"/>
      <x:c r="FK174" s="4"/>
      <x:c r="FL174" s="4"/>
      <x:c r="FM174" s="4"/>
      <x:c r="FN174" s="4"/>
      <x:c r="FO174" s="4"/>
      <x:c r="GA174" s="71"/>
      <x:c r="GB174" s="71"/>
      <x:c r="GC174" s="71"/>
      <x:c r="GD174" s="71"/>
      <x:c r="GE174" s="71"/>
      <x:c r="GF174" s="71"/>
      <x:c r="GG174" s="71"/>
      <x:c r="GH174" s="71"/>
      <x:c r="GI174" s="71"/>
      <x:c r="GJ174" s="71"/>
      <x:c r="GK174" s="71"/>
      <x:c r="GL174" s="71"/>
      <x:c r="GM174" s="71"/>
      <x:c r="GN174" s="71"/>
      <x:c r="GO174" s="71"/>
      <x:c r="GP174" s="71"/>
      <x:c r="GQ174" s="71"/>
      <x:c r="GR174" s="71"/>
      <x:c r="GS174" s="71"/>
      <x:c r="GT174" s="71"/>
      <x:c r="GU174" s="71"/>
      <x:c r="GV174" s="71"/>
      <x:c r="GW174" s="71"/>
      <x:c r="GX174" s="71"/>
      <x:c r="GY174" s="71"/>
      <x:c r="GZ174" s="71"/>
      <x:c r="HA174" s="71"/>
      <x:c r="HB174" s="71"/>
      <x:c r="HC174" s="71"/>
      <x:c r="HD174" s="71"/>
      <x:c r="HE174" t="str">
        <x:f>IF('Calculations'!EM174="","",IF(IFERROR(IF(INDEX(INDIRECT("'WCM Calibration Final'!$A$1:$A$2000"),'Calculations'!$EM174)="","",TRIM(INDEX(INDIRECT("'WCM Calibration Final'!$A$1:$A$2000"),'Calculations'!$EM174)&amp;"")),"")&lt;&gt;"","G:"&amp;IFERROR(TEXT(1*INDEX(INDIRECT("'WCM Calibration Final'!$A$1:$A$2000"),'Calculations'!$EM174),"0"),UPPER(IFERROR(IF(INDEX(INDIRECT("'WCM Calibration Final'!$A$1:$A$2000"),'Calculations'!$EM174)="","",TRIM(INDEX(INDIRECT("'WCM Calibration Final'!$A$1:$A$2000"),'Calculations'!$EM174)&amp;"")),""))),IF(IFERROR(IF(INDEX(INDIRECT("'WCM Calibration Final'!$C$1:$C$2000"),'Calculations'!$EM174)="","",TRIM(INDEX(INDIRECT("'WCM Calibration Final'!$C$1:$C$2000"),'Calculations'!$EM174)&amp;"")),"")&lt;&gt;"","S:"&amp;UPPER(IFERROR(IF(INDEX(INDIRECT("'WCM Calibration Final'!$C$1:$C$2000"),'Calculations'!$EM174)="","",TRIM(INDEX(INDIRECT("'WCM Calibration Final'!$C$1:$C$2000"),'Calculations'!$EM174)&amp;"")),"")),"R:"&amp;'Calculations'!EM174)))</x:f>
      </x:c>
      <x:c r="HF174" t="str">
        <x:f>IF('Calculations'!EM174="","",IF(IFERROR(IF(INDEX(INDIRECT("'WCM Calibration Final'!$D$1:$D$2000"),'Calculations'!$EM174)="","",TRIM(INDEX(INDIRECT("'WCM Calibration Final'!$D$1:$D$2000"),'Calculations'!$EM174)&amp;"")),"")&lt;&gt;"","G:"&amp;IFERROR(TEXT(1*INDEX(INDIRECT("'WCM Calibration Final'!$D$1:$D$2000"),'Calculations'!$EM174),"0"),UPPER(IFERROR(IF(INDEX(INDIRECT("'WCM Calibration Final'!$D$1:$D$2000"),'Calculations'!$EM174)="","",TRIM(INDEX(INDIRECT("'WCM Calibration Final'!$D$1:$D$2000"),'Calculations'!$EM174)&amp;"")),""))),IF(IFERROR(IF(INDEX(INDIRECT("'WCM Calibration Final'!$E$1:$E$2000"),'Calculations'!$EM174)="","",TRIM(INDEX(INDIRECT("'WCM Calibration Final'!$E$1:$E$2000"),'Calculations'!$EM174)&amp;"")),"")="","",IF(COUNTIF('Calculations'!$HG$13:$HG$512,"="&amp;SUBSTITUTE(SUBSTITUTE(SUBSTITUTE(IFERROR(IF(INDEX(INDIRECT("'WCM Calibration Final'!$E$1:$E$2000"),'Calculations'!$EM174)="","",TRIM(INDEX(INDIRECT("'WCM Calibration Final'!$E$1:$E$2000"),'Calculations'!$EM174)&amp;"")),""),"~","~~"),"*","~*"),"?","~?"))=1,INDEX('Calculations'!$HE$13:$HE$512,MATCH(IFERROR(IF(INDEX(INDIRECT("'WCM Calibration Final'!$E$1:$E$2000"),'Calculations'!$EM174)="","",TRIM(INDEX(INDIRECT("'WCM Calibration Final'!$E$1:$E$2000"),'Calculations'!$EM174)&amp;"")),""),'Calculations'!$HG$13:$HG$512,0)),IF(COUNTIF('Calculations'!$HG$13:$HG$512,"="&amp;SUBSTITUTE(SUBSTITUTE(SUBSTITUTE(IFERROR(IF(INDEX(INDIRECT("'WCM Calibration Final'!$E$1:$E$2000"),'Calculations'!$EM174)="","",TRIM(INDEX(INDIRECT("'WCM Calibration Final'!$E$1:$E$2000"),'Calculations'!$EM174)&amp;"")),""),"~","~~"),"*","~*"),"?","~?"))&gt;1,"!AMBIG","X:"&amp;IFERROR(IF(INDEX(INDIRECT("'WCM Calibration Final'!$E$1:$E$2000"),'Calculations'!$EM174)="","",TRIM(INDEX(INDIRECT("'WCM Calibration Final'!$E$1:$E$2000"),'Calculations'!$EM174)&amp;"")),""))))))</x:f>
      </x:c>
      <x:c r="HG174" t="str">
        <x:f>IF('Calculations'!EM174="","",IFERROR(IF(INDEX(INDIRECT("'WCM Calibration Final'!$B$1:$B$2000"),'Calculations'!$EM174)="","",TRIM(INDEX(INDIRECT("'WCM Calibration Final'!$B$1:$B$2000"),'Calculations'!$EM174)&amp;"")),""))</x:f>
      </x:c>
      <x:c r="HH174" t="n">
        <x:f>IF(AND('Calculations'!JC174&gt;0,COUNTIF('Calculations'!$HF$12:HF174,"="&amp;SUBSTITUTE(SUBSTITUTE(SUBSTITUTE('Calculations'!HF174,"~","~~"),"*","~*"),"?","~?"))=1),MAX('Calculations'!$HH$12:HH173)+1,0)</x:f>
        <x:v>0</x:v>
      </x:c>
      <x:c r="HI174" t="n">
        <x:f>IF(AND('Calculations'!HN174&lt;&gt;"",COUNTIF('Calculations'!$HN$12:HN174,"="&amp;SUBSTITUTE(SUBSTITUTE(SUBSTITUTE('Calculations'!HN174,"~","~~"),"*","~*"),"?","~?"))=1),MAX('Calculations'!$HI$12:HI173)+1,0)</x:f>
        <x:v>0</x:v>
      </x:c>
      <x:c r="HJ174" t="str">
        <x:f>IF('Calculations'!HF174="","",IF(COUNTIF('Calculations'!$HE$13:$HE$512,"="&amp;SUBSTITUTE(SUBSTITUTE(SUBSTITUTE('Calculations'!HF174,"~","~~"),"*","~*"),"?","~?"))=1,INDEX('Calculations'!$HK$13:$HK$512,MATCH('Calculations'!HF174,'Calculations'!$HE$13:$HE$512,0)),IFERROR(IF(INDEX(INDIRECT("'WCM Calibration Final'!$E$1:$E$2000"),'Calculations'!$EM174)="","",TRIM(INDEX(INDIRECT("'WCM Calibration Final'!$E$1:$E$2000"),'Calculations'!$EM174)&amp;"")),"")&amp;" ["&amp;'Calculations'!HF174&amp;"]"))</x:f>
      </x:c>
      <x:c r="HK174" t="str">
        <x:f>IF('Calculations'!EM174="","",'Calculations'!HG174&amp;" ["&amp;'Calculations'!HE174&amp;"]")</x:f>
      </x:c>
      <x:c r="HL174" t="n">
        <x:f>IF('Calculations'!EM174="",0,IF(OR('Calculations'!II174&lt;&gt;"",COUNTIF('Calculations'!$HE$13:$HE$512,"="&amp;SUBSTITUTE(SUBSTITUTE(SUBSTITUTE('Calculations'!HE174,"~","~~"),"*","~*"),"?","~?"))&gt;1),1,0))</x:f>
        <x:v>0</x:v>
      </x:c>
      <x:c r="HM174" t="str">
        <x:f>IF('Calculations'!EM174="","",IF('Calculations'!HL174=1,"!UNRESOLVED",IF('Calculations'!IH174&lt;&gt;"",'Calculations'!IH174,IF('Calculations'!IG174&lt;&gt;"",'Calculations'!IG174,IF('Calculations'!IF174&lt;&gt;"",'Calculations'!IF174,IF('Calculations'!IE174&lt;&gt;"",'Calculations'!IE174,IF('Calculations'!ID174&lt;&gt;"",'Calculations'!ID174,IF('Calculations'!IC174&lt;&gt;"",'Calculations'!IC174,IF('Calculations'!IB174&lt;&gt;"",'Calculations'!IB174,IF('Calculations'!IA174&lt;&gt;"",'Calculations'!IA174,IF('Calculations'!HZ174&lt;&gt;"",'Calculations'!HZ174,IF('Calculations'!HY174&lt;&gt;"",'Calculations'!HY174,IF('Calculations'!HX174&lt;&gt;"",'Calculations'!HX174,IF('Calculations'!HW174&lt;&gt;"",'Calculations'!HW174,IF('Calculations'!HV174&lt;&gt;"",'Calculations'!HV174,IF('Calculations'!HU174&lt;&gt;"",'Calculations'!HU174,IF('Calculations'!HT174&lt;&gt;"",'Calculations'!HT174,IF('Calculations'!HS174&lt;&gt;"",'Calculations'!HS174,IF('Calculations'!HR174&lt;&gt;"",'Calculations'!HR174,IF('Calculations'!HQ174&lt;&gt;"",'Calculations'!HQ174,IF('Calculations'!HP174&lt;&gt;"",'Calculations'!HP174,IF('Calculations'!HO174&lt;&gt;"",'Calculations'!HO174,'Calculations'!HE174))))))))))))))))))))))</x:f>
      </x:c>
      <x:c r="HN174" t="str">
        <x:f>IF('Calculations'!EM174="","",IF(IFERROR(IF(INDEX(INDIRECT("'WCM Calibration Final'!$F$1:$F$2000"),'Calculations'!$EM174)="","",TRIM(INDEX(INDIRECT("'WCM Calibration Final'!$F$1:$F$2000"),'Calculations'!$EM174)&amp;"")),"")="","(Blank)",IFERROR(IF(INDEX(INDIRECT("'WCM Calibration Final'!$F$1:$F$2000"),'Calculations'!$EM174)="","",TRIM(INDEX(INDIRECT("'WCM Calibration Final'!$F$1:$F$2000"),'Calculations'!$EM174)&amp;"")),"")))</x:f>
      </x:c>
      <x:c r="HO174" t="str">
        <x:f>'Calculations'!HF174</x:f>
      </x:c>
      <x:c r="HP174" t="str">
        <x:f>IF('Calculations'!HO174="","",IF('Calculations'!HO174="!AMBIG","!AMBIG",IF(COUNTIF('Calculations'!$HE$13:$HE$512,"="&amp;SUBSTITUTE(SUBSTITUTE(SUBSTITUTE('Calculations'!HO174,"~","~~"),"*","~*"),"?","~?"))&gt;1,"!AMBIG",IFERROR(INDEX('Calculations'!$HF$13:$HF$512,MATCH('Calculations'!HO174,'Calculations'!$HE$13:$HE$512,0)),""))))</x:f>
      </x:c>
      <x:c r="HQ174" t="str">
        <x:f>IF('Calculations'!HP174="","",IF('Calculations'!HP174="!AMBIG","!AMBIG",IF(COUNTIF('Calculations'!$HE$13:$HE$512,"="&amp;SUBSTITUTE(SUBSTITUTE(SUBSTITUTE('Calculations'!HP174,"~","~~"),"*","~*"),"?","~?"))&gt;1,"!AMBIG",IFERROR(INDEX('Calculations'!$HF$13:$HF$512,MATCH('Calculations'!HP174,'Calculations'!$HE$13:$HE$512,0)),""))))</x:f>
      </x:c>
      <x:c r="HR174" t="str">
        <x:f>IF('Calculations'!HQ174="","",IF('Calculations'!HQ174="!AMBIG","!AMBIG",IF(COUNTIF('Calculations'!$HE$13:$HE$512,"="&amp;SUBSTITUTE(SUBSTITUTE(SUBSTITUTE('Calculations'!HQ174,"~","~~"),"*","~*"),"?","~?"))&gt;1,"!AMBIG",IFERROR(INDEX('Calculations'!$HF$13:$HF$512,MATCH('Calculations'!HQ174,'Calculations'!$HE$13:$HE$512,0)),""))))</x:f>
      </x:c>
      <x:c r="HS174" t="str">
        <x:f>IF('Calculations'!HR174="","",IF('Calculations'!HR174="!AMBIG","!AMBIG",IF(COUNTIF('Calculations'!$HE$13:$HE$512,"="&amp;SUBSTITUTE(SUBSTITUTE(SUBSTITUTE('Calculations'!HR174,"~","~~"),"*","~*"),"?","~?"))&gt;1,"!AMBIG",IFERROR(INDEX('Calculations'!$HF$13:$HF$512,MATCH('Calculations'!HR174,'Calculations'!$HE$13:$HE$512,0)),""))))</x:f>
      </x:c>
      <x:c r="HT174" t="str">
        <x:f>IF('Calculations'!HS174="","",IF('Calculations'!HS174="!AMBIG","!AMBIG",IF(COUNTIF('Calculations'!$HE$13:$HE$512,"="&amp;SUBSTITUTE(SUBSTITUTE(SUBSTITUTE('Calculations'!HS174,"~","~~"),"*","~*"),"?","~?"))&gt;1,"!AMBIG",IFERROR(INDEX('Calculations'!$HF$13:$HF$512,MATCH('Calculations'!HS174,'Calculations'!$HE$13:$HE$512,0)),""))))</x:f>
      </x:c>
      <x:c r="HU174" t="str">
        <x:f>IF('Calculations'!HT174="","",IF('Calculations'!HT174="!AMBIG","!AMBIG",IF(COUNTIF('Calculations'!$HE$13:$HE$512,"="&amp;SUBSTITUTE(SUBSTITUTE(SUBSTITUTE('Calculations'!HT174,"~","~~"),"*","~*"),"?","~?"))&gt;1,"!AMBIG",IFERROR(INDEX('Calculations'!$HF$13:$HF$512,MATCH('Calculations'!HT174,'Calculations'!$HE$13:$HE$512,0)),""))))</x:f>
      </x:c>
      <x:c r="HV174" t="str">
        <x:f>IF('Calculations'!HU174="","",IF('Calculations'!HU174="!AMBIG","!AMBIG",IF(COUNTIF('Calculations'!$HE$13:$HE$512,"="&amp;SUBSTITUTE(SUBSTITUTE(SUBSTITUTE('Calculations'!HU174,"~","~~"),"*","~*"),"?","~?"))&gt;1,"!AMBIG",IFERROR(INDEX('Calculations'!$HF$13:$HF$512,MATCH('Calculations'!HU174,'Calculations'!$HE$13:$HE$512,0)),""))))</x:f>
      </x:c>
      <x:c r="HW174" t="str">
        <x:f>IF('Calculations'!HV174="","",IF('Calculations'!HV174="!AMBIG","!AMBIG",IF(COUNTIF('Calculations'!$HE$13:$HE$512,"="&amp;SUBSTITUTE(SUBSTITUTE(SUBSTITUTE('Calculations'!HV174,"~","~~"),"*","~*"),"?","~?"))&gt;1,"!AMBIG",IFERROR(INDEX('Calculations'!$HF$13:$HF$512,MATCH('Calculations'!HV174,'Calculations'!$HE$13:$HE$512,0)),""))))</x:f>
      </x:c>
      <x:c r="HX174" t="str">
        <x:f>IF('Calculations'!HW174="","",IF('Calculations'!HW174="!AMBIG","!AMBIG",IF(COUNTIF('Calculations'!$HE$13:$HE$512,"="&amp;SUBSTITUTE(SUBSTITUTE(SUBSTITUTE('Calculations'!HW174,"~","~~"),"*","~*"),"?","~?"))&gt;1,"!AMBIG",IFERROR(INDEX('Calculations'!$HF$13:$HF$512,MATCH('Calculations'!HW174,'Calculations'!$HE$13:$HE$512,0)),""))))</x:f>
      </x:c>
      <x:c r="HY174" t="str">
        <x:f>IF('Calculations'!HX174="","",IF('Calculations'!HX174="!AMBIG","!AMBIG",IF(COUNTIF('Calculations'!$HE$13:$HE$512,"="&amp;SUBSTITUTE(SUBSTITUTE(SUBSTITUTE('Calculations'!HX174,"~","~~"),"*","~*"),"?","~?"))&gt;1,"!AMBIG",IFERROR(INDEX('Calculations'!$HF$13:$HF$512,MATCH('Calculations'!HX174,'Calculations'!$HE$13:$HE$512,0)),""))))</x:f>
      </x:c>
      <x:c r="HZ174" t="str">
        <x:f>IF('Calculations'!HY174="","",IF('Calculations'!HY174="!AMBIG","!AMBIG",IF(COUNTIF('Calculations'!$HE$13:$HE$512,"="&amp;SUBSTITUTE(SUBSTITUTE(SUBSTITUTE('Calculations'!HY174,"~","~~"),"*","~*"),"?","~?"))&gt;1,"!AMBIG",IFERROR(INDEX('Calculations'!$HF$13:$HF$512,MATCH('Calculations'!HY174,'Calculations'!$HE$13:$HE$512,0)),""))))</x:f>
      </x:c>
      <x:c r="IA174" t="str">
        <x:f>IF('Calculations'!HZ174="","",IF('Calculations'!HZ174="!AMBIG","!AMBIG",IF(COUNTIF('Calculations'!$HE$13:$HE$512,"="&amp;SUBSTITUTE(SUBSTITUTE(SUBSTITUTE('Calculations'!HZ174,"~","~~"),"*","~*"),"?","~?"))&gt;1,"!AMBIG",IFERROR(INDEX('Calculations'!$HF$13:$HF$512,MATCH('Calculations'!HZ174,'Calculations'!$HE$13:$HE$512,0)),""))))</x:f>
      </x:c>
      <x:c r="IB174" t="str">
        <x:f>IF('Calculations'!IA174="","",IF('Calculations'!IA174="!AMBIG","!AMBIG",IF(COUNTIF('Calculations'!$HE$13:$HE$512,"="&amp;SUBSTITUTE(SUBSTITUTE(SUBSTITUTE('Calculations'!IA174,"~","~~"),"*","~*"),"?","~?"))&gt;1,"!AMBIG",IFERROR(INDEX('Calculations'!$HF$13:$HF$512,MATCH('Calculations'!IA174,'Calculations'!$HE$13:$HE$512,0)),""))))</x:f>
      </x:c>
      <x:c r="IC174" t="str">
        <x:f>IF('Calculations'!IB174="","",IF('Calculations'!IB174="!AMBIG","!AMBIG",IF(COUNTIF('Calculations'!$HE$13:$HE$512,"="&amp;SUBSTITUTE(SUBSTITUTE(SUBSTITUTE('Calculations'!IB174,"~","~~"),"*","~*"),"?","~?"))&gt;1,"!AMBIG",IFERROR(INDEX('Calculations'!$HF$13:$HF$512,MATCH('Calculations'!IB174,'Calculations'!$HE$13:$HE$512,0)),""))))</x:f>
      </x:c>
      <x:c r="ID174" t="str">
        <x:f>IF('Calculations'!IC174="","",IF('Calculations'!IC174="!AMBIG","!AMBIG",IF(COUNTIF('Calculations'!$HE$13:$HE$512,"="&amp;SUBSTITUTE(SUBSTITUTE(SUBSTITUTE('Calculations'!IC174,"~","~~"),"*","~*"),"?","~?"))&gt;1,"!AMBIG",IFERROR(INDEX('Calculations'!$HF$13:$HF$512,MATCH('Calculations'!IC174,'Calculations'!$HE$13:$HE$512,0)),""))))</x:f>
      </x:c>
      <x:c r="IE174" t="str">
        <x:f>IF('Calculations'!ID174="","",IF('Calculations'!ID174="!AMBIG","!AMBIG",IF(COUNTIF('Calculations'!$HE$13:$HE$512,"="&amp;SUBSTITUTE(SUBSTITUTE(SUBSTITUTE('Calculations'!ID174,"~","~~"),"*","~*"),"?","~?"))&gt;1,"!AMBIG",IFERROR(INDEX('Calculations'!$HF$13:$HF$512,MATCH('Calculations'!ID174,'Calculations'!$HE$13:$HE$512,0)),""))))</x:f>
      </x:c>
      <x:c r="IF174" t="str">
        <x:f>IF('Calculations'!IE174="","",IF('Calculations'!IE174="!AMBIG","!AMBIG",IF(COUNTIF('Calculations'!$HE$13:$HE$512,"="&amp;SUBSTITUTE(SUBSTITUTE(SUBSTITUTE('Calculations'!IE174,"~","~~"),"*","~*"),"?","~?"))&gt;1,"!AMBIG",IFERROR(INDEX('Calculations'!$HF$13:$HF$512,MATCH('Calculations'!IE174,'Calculations'!$HE$13:$HE$512,0)),""))))</x:f>
      </x:c>
      <x:c r="IG174" t="str">
        <x:f>IF('Calculations'!IF174="","",IF('Calculations'!IF174="!AMBIG","!AMBIG",IF(COUNTIF('Calculations'!$HE$13:$HE$512,"="&amp;SUBSTITUTE(SUBSTITUTE(SUBSTITUTE('Calculations'!IF174,"~","~~"),"*","~*"),"?","~?"))&gt;1,"!AMBIG",IFERROR(INDEX('Calculations'!$HF$13:$HF$512,MATCH('Calculations'!IF174,'Calculations'!$HE$13:$HE$512,0)),""))))</x:f>
      </x:c>
      <x:c r="IH174" t="str">
        <x:f>IF('Calculations'!IG174="","",IF('Calculations'!IG174="!AMBIG","!AMBIG",IF(COUNTIF('Calculations'!$HE$13:$HE$512,"="&amp;SUBSTITUTE(SUBSTITUTE(SUBSTITUTE('Calculations'!IG174,"~","~~"),"*","~*"),"?","~?"))&gt;1,"!AMBIG",IFERROR(INDEX('Calculations'!$HF$13:$HF$512,MATCH('Calculations'!IG174,'Calculations'!$HE$13:$HE$512,0)),""))))</x:f>
      </x:c>
      <x:c r="II174" t="str">
        <x:f>IF('Calculations'!IH174="","",IF('Calculations'!IH174="!AMBIG","!AMBIG",IF(COUNTIF('Calculations'!$HE$13:$HE$512,"="&amp;SUBSTITUTE(SUBSTITUTE(SUBSTITUTE('Calculations'!IH174,"~","~~"),"*","~*"),"?","~?"))&gt;1,"!AMBIG",IFERROR(INDEX('Calculations'!$HF$13:$HF$512,MATCH('Calculations'!IH174,'Calculations'!$HE$13:$HE$512,0)),""))))</x:f>
      </x:c>
      <x:c r="IJ174" t="str">
        <x:f>IF('Calculations'!EM174="","",IF('Calculations'!$EF$2="All",'Calculations'!HM174,IF('Calculations'!HL174=1,"",IFERROR(IF(MATCH('Calculations'!$EF$2,'Calculations'!HO174:II174,0)=1,'Calculations'!HE174,INDEX('Calculations'!HO174:II174,1,MATCH('Calculations'!$EF$2,'Calculations'!HO174:II174,0)-1)),""))))</x:f>
      </x:c>
      <x:c r="IK174" t="n">
        <x:f>IF(AND('Calculations'!EM174&lt;&gt;"",'Calculations'!$EF$2&lt;&gt;"All",'Calculations'!HF174='Calculations'!$EF$2,'Calculations'!HL174=0,'Calculations'!JD174&gt;0),MAX('Calculations'!$IK$12:IK173)+1,0)</x:f>
        <x:v>0</x:v>
      </x:c>
      <x:c r="JA174" t="n">
        <x:f>IF(OR(IFERROR(INDIRECT("'WCM Calibration Final'!$A$174")&lt;&gt;"",FALSE),IFERROR(INDIRECT("'WCM Calibration Final'!$B$174")&lt;&gt;"",FALSE),IFERROR(INDIRECT("'WCM Calibration Final'!$C$174")&lt;&gt;"",FALSE)),174,0)</x:f>
        <x:v>0</x:v>
      </x:c>
      <x:c r="JB174" t="n">
        <x:f>'Calculations'!JB173+IF('Calculations'!JA174&gt;0,1,0)</x:f>
        <x:v>0</x:v>
      </x:c>
      <x:c r="JC174" t="n">
        <x:f>IF(OR('Calculations'!HF174="",'Calculations'!HF174="!AMBIG"),0,IF('Dashboard'!$B$7="All",1,COUNTIFS('Calculations'!$HO$13:$HO$512,"="&amp;SUBSTITUTE(SUBSTITUTE(SUBSTITUTE('Calculations'!HF174,"~","~~"),"*","~*"),"?","~?"),'Calculations'!$HN$13:$HN$512,"="&amp;SUBSTITUTE(SUBSTITUTE(SUBSTITUTE('Dashboard'!$B$7,"~","~~"),"*","~*"),"?","~?"))+COUNTIFS('Calculations'!$HP$13:$HP$512,"="&amp;SUBSTITUTE(SUBSTITUTE(SUBSTITUTE('Calculations'!HF174,"~","~~"),"*","~*"),"?","~?"),'Calculations'!$HN$13:$HN$512,"="&amp;SUBSTITUTE(SUBSTITUTE(SUBSTITUTE('Dashboard'!$B$7,"~","~~"),"*","~*"),"?","~?"))+COUNTIFS('Calculations'!$HQ$13:$HQ$512,"="&amp;SUBSTITUTE(SUBSTITUTE(SUBSTITUTE('Calculations'!HF174,"~","~~"),"*","~*"),"?","~?"),'Calculations'!$HN$13:$HN$512,"="&amp;SUBSTITUTE(SUBSTITUTE(SUBSTITUTE('Dashboard'!$B$7,"~","~~"),"*","~*"),"?","~?"))+COUNTIFS('Calculations'!$HR$13:$HR$512,"="&amp;SUBSTITUTE(SUBSTITUTE(SUBSTITUTE('Calculations'!HF174,"~","~~"),"*","~*"),"?","~?"),'Calculations'!$HN$13:$HN$512,"="&amp;SUBSTITUTE(SUBSTITUTE(SUBSTITUTE('Dashboard'!$B$7,"~","~~"),"*","~*"),"?","~?"))+COUNTIFS('Calculations'!$HS$13:$HS$512,"="&amp;SUBSTITUTE(SUBSTITUTE(SUBSTITUTE('Calculations'!HF174,"~","~~"),"*","~*"),"?","~?"),'Calculations'!$HN$13:$HN$512,"="&amp;SUBSTITUTE(SUBSTITUTE(SUBSTITUTE('Dashboard'!$B$7,"~","~~"),"*","~*"),"?","~?"))+COUNTIFS('Calculations'!$HT$13:$HT$512,"="&amp;SUBSTITUTE(SUBSTITUTE(SUBSTITUTE('Calculations'!HF174,"~","~~"),"*","~*"),"?","~?"),'Calculations'!$HN$13:$HN$512,"="&amp;SUBSTITUTE(SUBSTITUTE(SUBSTITUTE('Dashboard'!$B$7,"~","~~"),"*","~*"),"?","~?"))+COUNTIFS('Calculations'!$HU$13:$HU$512,"="&amp;SUBSTITUTE(SUBSTITUTE(SUBSTITUTE('Calculations'!HF174,"~","~~"),"*","~*"),"?","~?"),'Calculations'!$HN$13:$HN$512,"="&amp;SUBSTITUTE(SUBSTITUTE(SUBSTITUTE('Dashboard'!$B$7,"~","~~"),"*","~*"),"?","~?"))+COUNTIFS('Calculations'!$HV$13:$HV$512,"="&amp;SUBSTITUTE(SUBSTITUTE(SUBSTITUTE('Calculations'!HF174,"~","~~"),"*","~*"),"?","~?"),'Calculations'!$HN$13:$HN$512,"="&amp;SUBSTITUTE(SUBSTITUTE(SUBSTITUTE('Dashboard'!$B$7,"~","~~"),"*","~*"),"?","~?"))+COUNTIFS('Calculations'!$HW$13:$HW$512,"="&amp;SUBSTITUTE(SUBSTITUTE(SUBSTITUTE('Calculations'!HF174,"~","~~"),"*","~*"),"?","~?"),'Calculations'!$HN$13:$HN$512,"="&amp;SUBSTITUTE(SUBSTITUTE(SUBSTITUTE('Dashboard'!$B$7,"~","~~"),"*","~*"),"?","~?"))+COUNTIFS('Calculations'!$HX$13:$HX$512,"="&amp;SUBSTITUTE(SUBSTITUTE(SUBSTITUTE('Calculations'!HF174,"~","~~"),"*","~*"),"?","~?"),'Calculations'!$HN$13:$HN$512,"="&amp;SUBSTITUTE(SUBSTITUTE(SUBSTITUTE('Dashboard'!$B$7,"~","~~"),"*","~*"),"?","~?"))+COUNTIFS('Calculations'!$HY$13:$HY$512,"="&amp;SUBSTITUTE(SUBSTITUTE(SUBSTITUTE('Calculations'!HF174,"~","~~"),"*","~*"),"?","~?"),'Calculations'!$HN$13:$HN$512,"="&amp;SUBSTITUTE(SUBSTITUTE(SUBSTITUTE('Dashboard'!$B$7,"~","~~"),"*","~*"),"?","~?"))+COUNTIFS('Calculations'!$HZ$13:$HZ$512,"="&amp;SUBSTITUTE(SUBSTITUTE(SUBSTITUTE('Calculations'!HF174,"~","~~"),"*","~*"),"?","~?"),'Calculations'!$HN$13:$HN$512,"="&amp;SUBSTITUTE(SUBSTITUTE(SUBSTITUTE('Dashboard'!$B$7,"~","~~"),"*","~*"),"?","~?"))+COUNTIFS('Calculations'!$IA$13:$IA$512,"="&amp;SUBSTITUTE(SUBSTITUTE(SUBSTITUTE('Calculations'!HF174,"~","~~"),"*","~*"),"?","~?"),'Calculations'!$HN$13:$HN$512,"="&amp;SUBSTITUTE(SUBSTITUTE(SUBSTITUTE('Dashboard'!$B$7,"~","~~"),"*","~*"),"?","~?"))+COUNTIFS('Calculations'!$IB$13:$IB$512,"="&amp;SUBSTITUTE(SUBSTITUTE(SUBSTITUTE('Calculations'!HF174,"~","~~"),"*","~*"),"?","~?"),'Calculations'!$HN$13:$HN$512,"="&amp;SUBSTITUTE(SUBSTITUTE(SUBSTITUTE('Dashboard'!$B$7,"~","~~"),"*","~*"),"?","~?"))+COUNTIFS('Calculations'!$IC$13:$IC$512,"="&amp;SUBSTITUTE(SUBSTITUTE(SUBSTITUTE('Calculations'!HF174,"~","~~"),"*","~*"),"?","~?"),'Calculations'!$HN$13:$HN$512,"="&amp;SUBSTITUTE(SUBSTITUTE(SUBSTITUTE('Dashboard'!$B$7,"~","~~"),"*","~*"),"?","~?"))+COUNTIFS('Calculations'!$ID$13:$ID$512,"="&amp;SUBSTITUTE(SUBSTITUTE(SUBSTITUTE('Calculations'!HF174,"~","~~"),"*","~*"),"?","~?"),'Calculations'!$HN$13:$HN$512,"="&amp;SUBSTITUTE(SUBSTITUTE(SUBSTITUTE('Dashboard'!$B$7,"~","~~"),"*","~*"),"?","~?"))+COUNTIFS('Calculations'!$IE$13:$IE$512,"="&amp;SUBSTITUTE(SUBSTITUTE(SUBSTITUTE('Calculations'!HF174,"~","~~"),"*","~*"),"?","~?"),'Calculations'!$HN$13:$HN$512,"="&amp;SUBSTITUTE(SUBSTITUTE(SUBSTITUTE('Dashboard'!$B$7,"~","~~"),"*","~*"),"?","~?"))+COUNTIFS('Calculations'!$IF$13:$IF$512,"="&amp;SUBSTITUTE(SUBSTITUTE(SUBSTITUTE('Calculations'!HF174,"~","~~"),"*","~*"),"?","~?"),'Calculations'!$HN$13:$HN$512,"="&amp;SUBSTITUTE(SUBSTITUTE(SUBSTITUTE('Dashboard'!$B$7,"~","~~"),"*","~*"),"?","~?"))+COUNTIFS('Calculations'!$IG$13:$IG$512,"="&amp;SUBSTITUTE(SUBSTITUTE(SUBSTITUTE('Calculations'!HF174,"~","~~"),"*","~*"),"?","~?"),'Calculations'!$HN$13:$HN$512,"="&amp;SUBSTITUTE(SUBSTITUTE(SUBSTITUTE('Dashboard'!$B$7,"~","~~"),"*","~*"),"?","~?"))+COUNTIFS('Calculations'!$IH$13:$IH$512,"="&amp;SUBSTITUTE(SUBSTITUTE(SUBSTITUTE('Calculations'!HF174,"~","~~"),"*","~*"),"?","~?"),'Calculations'!$HN$13:$HN$512,"="&amp;SUBSTITUTE(SUBSTITUTE(SUBSTITUTE('Dashboard'!$B$7,"~","~~"),"*","~*"),"?","~?"))))</x:f>
        <x:v>0</x:v>
      </x:c>
      <x:c r="JD174" t="n">
        <x:f>IF('Calculations'!EM174="",0,IF('Dashboard'!$B$7="All",1,IF('Calculations'!HN174='Dashboard'!$B$7,1,0)+IFERROR(INDEX('Calculations'!$JC$13:$JC$512,MATCH('Calculations'!HE174,'Calculations'!$HF$13:$HF$512,0)),0)))</x:f>
        <x:v>0</x:v>
      </x:c>
      <x:c r="JE174" t="n">
        <x:f>IF(AND('Calculations'!EM174&lt;&gt;"",'Calculations'!$JJ$2&lt;&gt;"All",'Calculations'!$JJ$2&lt;&gt;"",'Calculations'!HF174='Calculations'!$JJ$2,'Calculations'!HL174=0,'Calculations'!JD174&gt;0),MAX('Calculations'!$JE$12:JE173)+1,0)</x:f>
        <x:v>0</x:v>
      </x:c>
      <x:c r="JF174" t="str">
        <x:f>IF('Calculations'!EM174="","",IFERROR(IF(INDEX(INDIRECT("'WCM Calibration Final'!$G$1:$G$2000"),'Calculations'!$EM174)="","",TRIM(INDEX(INDIRECT("'WCM Calibration Final'!$G$1:$G$2000"),'Calculations'!$EM174)&amp;"")),""))</x:f>
      </x:c>
      <x:c r="JQ174" t="n">
        <x:f>IF(OR('Calculations'!BM174=0,NOT('Calculations'!$AG$2),'Calculations'!$AG$8&gt;0),0,IF(OR('Dashboard'!$B$7="All",'Calculations'!HN174='Dashboard'!$B$7),IF('Calculations'!$JJ$2="All",1,IF(AND('Calculations'!HF174='Calculations'!$JJ$2,'Calculations'!HL174=0),1,0)),0))</x:f>
        <x:v>0</x:v>
      </x:c>
    </x:row>
    <x:row r="175">
      <x:c r="AF175" s="4"/>
      <x:c r="AG175" s="4"/>
      <x:c r="AH175" s="4"/>
      <x:c r="AI175" s="4"/>
      <x:c r="AJ175" s="4"/>
      <x:c r="AK175" s="4"/>
      <x:c r="AL175" s="4"/>
      <x:c r="AM175" s="4"/>
      <x:c r="AN175" s="4"/>
      <x:c r="AO175" s="4"/>
      <x:c r="AP175" s="4"/>
      <x:c r="AQ175" s="4"/>
      <x:c r="AR175" s="4"/>
      <x:c r="AS175" s="4"/>
      <x:c r="AT175" s="4"/>
      <x:c r="AU175" s="4"/>
      <x:c r="AV175" s="4"/>
      <x:c r="AW175" s="4"/>
      <x:c r="AX175" s="4"/>
      <x:c r="AY175" s="4"/>
      <x:c r="AZ175" s="4"/>
      <x:c r="BA175" s="4"/>
      <x:c r="BB175" s="4"/>
      <x:c r="BC175" s="4"/>
      <x:c r="BD175" s="4"/>
      <x:c r="BE175" s="4"/>
      <x:c r="BF175" s="4"/>
      <x:c r="BG175" s="4"/>
      <x:c r="BH175" s="4"/>
      <x:c r="BI175" s="4"/>
      <x:c r="BJ175" s="4"/>
      <x:c r="BK175" s="4"/>
      <x:c r="BL175" s="4"/>
      <x:c r="BM175" s="4" t="n">
        <x:f>IF('Calculations'!$EM175="",0,IF(OR(IFERROR(INDEX(INDIRECT("'WCM Calibration Final'!$A$1:$A$2000"),'Calculations'!$EM175)&lt;&gt;"",FALSE),IFERROR(INDEX(INDIRECT("'WCM Calibration Final'!$B$1:$B$2000"),'Calculations'!$EM175)&lt;&gt;"",FALSE),IFERROR(INDEX(INDIRECT("'WCM Calibration Final'!$C$1:$C$2000"),'Calculations'!$EM175)&lt;&gt;"",FALSE)),1,0))</x:f>
        <x:v>0</x:v>
      </x:c>
      <x:c r="BN175" s="4" t="n">
        <x:f>IF(AND('Calculations'!BM175=1,'Calculations'!$AG$2,'Calculations'!$EN175=1),1,0)</x:f>
        <x:v>0</x:v>
      </x:c>
      <x:c r="BO175" s="4" t="str">
        <x:f>IF('Calculations'!BM175=0,"",IFERROR(IF(AND(VALUE(INDEX(INDIRECT("'WCM Calibration Final'!$K$1:$K$2000"),'Calculations'!$EM175))&gt;=1,VALUE(INDEX(INDIRECT("'WCM Calibration Final'!$K$1:$K$2000"),'Calculations'!$EM175))&lt;=4,MOD(VALUE(INDEX(INDIRECT("'WCM Calibration Final'!$K$1:$K$2000"),'Calculations'!$EM175)),1)=0),VALUE(INDEX(INDIRECT("'WCM Calibration Final'!$K$1:$K$2000"),'Calculations'!$EM175)),""),""))</x:f>
      </x:c>
      <x:c r="BP175" s="4" t="str">
        <x:f>IF('Calculations'!BM175=0,"",IFERROR(IF(AND(VALUE(INDEX(INDIRECT("'WCM Calibration Final'!$L$1:$L$2000"),'Calculations'!$EM175))&gt;=1,VALUE(INDEX(INDIRECT("'WCM Calibration Final'!$L$1:$L$2000"),'Calculations'!$EM175))&lt;=4,MOD(VALUE(INDEX(INDIRECT("'WCM Calibration Final'!$L$1:$L$2000"),'Calculations'!$EM175)),1)=0),VALUE(INDEX(INDIRECT("'WCM Calibration Final'!$L$1:$L$2000"),'Calculations'!$EM175)),""),""))</x:f>
      </x:c>
      <x:c r="BQ175" s="4"/>
      <x:c r="BR175" s="4"/>
      <x:c r="BS175" s="4"/>
      <x:c r="BT175" s="4" t="n">
        <x:f>IF(AND('Calculations'!BM175=1,ISNUMBER('Calculations'!BO175),ISNUMBER('Calculations'!BP175)),1,0)</x:f>
        <x:v>0</x:v>
      </x:c>
      <x:c r="BU175" s="4" t="str">
        <x:f>IF('Calculations'!BM175=0,"",'Calculations'!$EO175)</x:f>
      </x:c>
      <x:c r="BV175" s="4" t="str">
        <x:f>IF('Calculations'!BM175=0,"",IFERROR(IF(OR(INDEX(INDIRECT("'WCM Calibration Final'!$H$1:$H$2000"),'Calculations'!$EM175)="MANAGING DIRECTOR",INDEX(INDIRECT("'WCM Calibration Final'!$H$1:$H$2000"),'Calculations'!$EM175)="DIRECTOR",INDEX(INDIRECT("'WCM Calibration Final'!$H$1:$H$2000"),'Calculations'!$EM175)="SENIOR VICE PRESIDENT",INDEX(INDIRECT("'WCM Calibration Final'!$H$1:$H$2000"),'Calculations'!$EM175)="VICE PRESIDENT",INDEX(INDIRECT("'WCM Calibration Final'!$H$1:$H$2000"),'Calculations'!$EM175)="ASSISTANT VICE PRESIDENT",INDEX(INDIRECT("'WCM Calibration Final'!$H$1:$H$2000"),'Calculations'!$EM175)="OFFICER"),UPPER(INDEX(INDIRECT("'WCM Calibration Final'!$H$1:$H$2000"),'Calculations'!$EM175)),"Other"),"Other"))</x:f>
      </x:c>
      <x:c r="BW175" s="4"/>
      <x:c r="BX175" s="4"/>
      <x:c r="BY175" s="4" t="n">
        <x:f>IF(AND('Calculations'!BM175=1,'Calculations'!BU175&lt;&gt;"",COUNTIF('Calculations'!$BU$12:BU175,'Calculations'!BU175)=1),MAX('Calculations'!$BY$11:BY174)+1,0)</x:f>
        <x:v>0</x:v>
      </x:c>
      <x:c r="BZ175" s="4" t="str">
        <x:f>IF('Dashboard'!$E$67="What",'Calculations'!BO175,'Calculations'!BP175)</x:f>
      </x:c>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t="str">
        <x:f>IF(164&gt;MAX('Calculations'!$HI$13:$HI$512),"",INDEX('Calculations'!$HN$13:$HN$512,MATCH(164,'Calculations'!$HI$13:$HI$512,0)))</x:f>
      </x:c>
      <x:c r="DB175" s="4" t="str">
        <x:f>IF(164&gt;MAX('Calculations'!$HH$13:$HH$512),"",INDEX('Calculations'!$HJ$13:$HJ$512,MATCH(164,'Calculations'!$HH$13:$HH$512,0)))</x:f>
      </x:c>
      <x:c r="DC175" s="4" t="str">
        <x:f>IF(ROW()-11&gt;MAX('Calculations'!$BY$13:$BY$512),"",INDEX('Calculations'!$BU$13:$BU$512,MATCH(ROW()-11,'Calculations'!$BY$13:$BY$512,0)))</x:f>
      </x:c>
      <x:c r="DD175" s="4" t="str">
        <x:f>IF(164&gt;MAX('Calculations'!$IK$13:$IK$512),"",INDEX('Calculations'!$HK$13:$HK$512,MATCH(164,'Calculations'!$IK$13:$IK$512,0)))</x:f>
      </x:c>
      <x:c r="DE175" s="4" t="str">
        <x:f>'Calculations'!DC175</x:f>
      </x:c>
      <x:c r="DF175" s="4" t="str">
        <x:f>IF('Calculations'!DE175="","",COUNTIFS('Calculations'!$BN$13:$BN$512,1,'Calculations'!$BU$13:$BU$512,'Calculations'!DE175))</x:f>
      </x:c>
      <x:c r="DG175" s="4" t="str">
        <x:f>IF('Calculations'!DE175="","",COUNTIFS('Calculations'!$BN$13:$BN$512,1,'Calculations'!$BU$13:$BU$512,'Calculations'!DE175,'Calculations'!$BT$13:$BT$512,1))</x:f>
      </x:c>
      <x:c r="DH175" s="4" t="str">
        <x:f>IF('Calculations'!DE175="","",'Calculations'!DF175-'Calculations'!DG175)</x:f>
      </x:c>
      <x:c r="DI175" s="4" t="str">
        <x:f>IF(OR('Calculations'!DE175="",'Calculations'!DF175=0),"",'Calculations'!DG175/'Calculations'!DF175)</x:f>
      </x:c>
      <x:c r="DJ175" s="4" t="str">
        <x:f>IF('Calculations'!DE175="","",COUNTIFS('Calculations'!$BN$13:$BN$512,1,'Calculations'!$BU$13:$BU$512,'Calculations'!DE175,'Calculations'!$BT$13:$BT$512,1,'Calculations'!$EE$13:$EE$512,"High"))</x:f>
      </x:c>
      <x:c r="DK175" s="4" t="str">
        <x:f>IF('Calculations'!DE175="","",COUNTIFS('Calculations'!$BN$13:$BN$512,1,'Calculations'!$BU$13:$BU$512,'Calculations'!DE175,'Calculations'!$BT$13:$BT$512,1,'Calculations'!$EE$13:$EE$512,"Strong"))</x:f>
      </x:c>
      <x:c r="DL175" s="4" t="str">
        <x:f>IF('Calculations'!DE175="","",COUNTIFS('Calculations'!$BN$13:$BN$512,1,'Calculations'!$BU$13:$BU$512,'Calculations'!DE175,'Calculations'!$BT$13:$BT$512,1,'Calculations'!$EE$13:$EE$512,"Solid"))</x:f>
      </x:c>
      <x:c r="DM175" s="4" t="str">
        <x:f>IF('Calculations'!DE175="","",COUNTIFS('Calculations'!$BN$13:$BN$512,1,'Calculations'!$BU$13:$BU$512,'Calculations'!DE175,'Calculations'!$BT$13:$BT$512,1,'Calculations'!$EE$13:$EE$512,"Low"))</x:f>
      </x:c>
      <x:c r="DN175" s="4" t="str">
        <x:f>IF('Calculations'!DE175="","",COUNTIFS('Calculations'!$BN$13:$BN$512,1,'Calculations'!$BU$13:$BU$512,'Calculations'!DE175,'Calculations'!$EP$13:$EP$512,1))</x:f>
      </x:c>
      <x:c r="DO175" s="4" t="str">
        <x:f>IF(OR('Calculations'!DE175="",'Calculations'!DG175=0),"",('Calculations'!DJ175+'Calculations'!DK175)/'Calculations'!DG175)</x:f>
      </x:c>
      <x:c r="DP175" s="4" t="n">
        <x:f>IF(AND('Calculations'!DE175&lt;&gt;"",'Calculations'!DF175&gt;0),COUNTIF('Calculations'!$DF$12:DF175,"&gt;0"),0)</x:f>
        <x:v>0</x:v>
      </x:c>
      <x:c r="DQ175" s="4" t="str">
        <x:f>IF(164&gt;MAX('Calculations'!$HH$13:$HH$512),"",INDEX('Calculations'!$HF$13:$HF$512,MATCH(164,'Calculations'!$HH$13:$HH$512,0)))</x:f>
      </x:c>
      <x:c r="DR175" s="4" t="str">
        <x:f>IF(164&gt;MAX('Calculations'!$IK$13:$IK$512),"",INDEX('Calculations'!$HE$13:$HE$512,MATCH(164,'Calculations'!$IK$13:$IK$512,0)))</x:f>
      </x:c>
      <x:c r="DS175" s="4"/>
      <x:c r="DT175" s="4"/>
      <x:c r="DU175" s="4"/>
      <x:c r="DV175" s="4"/>
      <x:c r="DW175" s="4"/>
      <x:c r="DX175" s="4"/>
      <x:c r="DY175" s="4"/>
      <x:c r="DZ175" s="4"/>
      <x:c r="EA175" s="4"/>
      <x:c r="EB175" s="4"/>
      <x:c r="EC175" s="4"/>
      <x:c r="ED175" s="4"/>
      <x:c r="EE175" s="4" t="str">
        <x:f>IF('Calculations'!BT175=0,"Not Rated",IF(OR('Calculations'!BO175&gt;=4,'Calculations'!BP175&gt;=4),"Low",IF('Calculations'!BO175+'Calculations'!BP175&lt;=3,"High",IF('Calculations'!BO175+'Calculations'!BP175&lt;=4,"Strong","Solid"))))</x:f>
        <x:v>Not Rated</x:v>
      </x:c>
      <x:c r="EF175" s="4"/>
      <x:c r="EG175" s="4"/>
      <x:c r="EH175" s="4"/>
      <x:c r="EI175" s="4"/>
      <x:c r="EJ175" s="4"/>
      <x:c r="EK175" s="4"/>
      <x:c r="EL175" s="4"/>
      <x:c r="EM175" s="4" t="str">
        <x:f>IF(163&gt;'Calculations'!$JB$2000,"",INDEX('Calculations'!$JA$12:$JA$2000,MATCH(163,'Calculations'!$JB$12:$JB$2000,0)))</x:f>
      </x:c>
      <x:c r="EN175" s="4" t="n">
        <x:f>IF(OR('Calculations'!EM175="",'Calculations'!$AG$8&gt;0,AND('Calculations'!$EF$2&lt;&gt;"All",'Calculations'!HE175='Calculations'!$EF$2),AND('Calculations'!$EF$3&lt;&gt;"All",'Calculations'!HE175='Calculations'!$EF$3)),0,IF(OR('Dashboard'!$B$7="All",'Calculations'!HN175='Dashboard'!$B$7),IF('Calculations'!$EF$2="All",1,IF('Calculations'!HL175&gt;0,0,IF(COUNTIF('Calculations'!HO175:II175,"="&amp;SUBSTITUTE(SUBSTITUTE(SUBSTITUTE('Calculations'!$EF$2,"~","~~"),"*","~*"),"?","~?"))=0,0,IF('Calculations'!$EF$3="All",1,IF(COUNTIF('Calculations'!HO175:II175,"="&amp;SUBSTITUTE(SUBSTITUTE(SUBSTITUTE('Calculations'!$EF$3,"~","~~"),"*","~*"),"?","~?"))&gt;0,1,0))))),0))</x:f>
        <x:v>0</x:v>
      </x:c>
      <x:c r="EO175" s="4" t="str">
        <x:f>IF('Calculations'!IJ175="","",IF('Calculations'!IJ175="!UNRESOLVED","Unresolved hierarchy",IFERROR(INDEX('Calculations'!$HK$13:$HK$512,MATCH('Calculations'!IJ175,'Calculations'!$HE$13:$HE$512,0)),IFERROR(INDEX('Calculations'!$HJ$13:$HJ$512,MATCH('Calculations'!IJ175,'Calculations'!$HF$13:$HF$512,0)),'Calculations'!IJ175))))</x:f>
      </x:c>
      <x:c r="EP175" s="4" t="n">
        <x:f>IF(AND('Calculations'!EM175&lt;&gt;"",'Calculations'!HF175='Calculations'!IJ175),1,0)</x:f>
        <x:v>0</x:v>
      </x:c>
      <x:c r="EQ175" s="4"/>
      <x:c r="ER175" s="4"/>
      <x:c r="ES175" s="4"/>
      <x:c r="ET175" s="4"/>
      <x:c r="EU175" s="4"/>
      <x:c r="EV175" s="4"/>
      <x:c r="EW175" s="4"/>
      <x:c r="EX175" s="4"/>
      <x:c r="EY175" s="4"/>
      <x:c r="EZ175" s="4"/>
      <x:c r="FA175" s="4"/>
      <x:c r="FB175" s="4"/>
      <x:c r="FC175" s="4"/>
      <x:c r="FD175" s="4"/>
      <x:c r="FE175" s="4"/>
      <x:c r="FF175" s="4"/>
      <x:c r="FG175" s="4"/>
      <x:c r="FH175" s="4"/>
      <x:c r="FI175" s="4"/>
      <x:c r="FJ175" s="4"/>
      <x:c r="FK175" s="4"/>
      <x:c r="FL175" s="4"/>
      <x:c r="FM175" s="4"/>
      <x:c r="FN175" s="4"/>
      <x:c r="FO175" s="4"/>
      <x:c r="GA175" s="71"/>
      <x:c r="GB175" s="71"/>
      <x:c r="GC175" s="71"/>
      <x:c r="GD175" s="71"/>
      <x:c r="GE175" s="71"/>
      <x:c r="GF175" s="71"/>
      <x:c r="GG175" s="71"/>
      <x:c r="GH175" s="71"/>
      <x:c r="GI175" s="71"/>
      <x:c r="GJ175" s="71"/>
      <x:c r="GK175" s="71"/>
      <x:c r="GL175" s="71"/>
      <x:c r="GM175" s="71"/>
      <x:c r="GN175" s="71"/>
      <x:c r="GO175" s="71"/>
      <x:c r="GP175" s="71"/>
      <x:c r="GQ175" s="71"/>
      <x:c r="GR175" s="71"/>
      <x:c r="GS175" s="71"/>
      <x:c r="GT175" s="71"/>
      <x:c r="GU175" s="71"/>
      <x:c r="GV175" s="71"/>
      <x:c r="GW175" s="71"/>
      <x:c r="GX175" s="71"/>
      <x:c r="GY175" s="71"/>
      <x:c r="GZ175" s="71"/>
      <x:c r="HA175" s="71"/>
      <x:c r="HB175" s="71"/>
      <x:c r="HC175" s="71"/>
      <x:c r="HD175" s="71"/>
      <x:c r="HE175" t="str">
        <x:f>IF('Calculations'!EM175="","",IF(IFERROR(IF(INDEX(INDIRECT("'WCM Calibration Final'!$A$1:$A$2000"),'Calculations'!$EM175)="","",TRIM(INDEX(INDIRECT("'WCM Calibration Final'!$A$1:$A$2000"),'Calculations'!$EM175)&amp;"")),"")&lt;&gt;"","G:"&amp;IFERROR(TEXT(1*INDEX(INDIRECT("'WCM Calibration Final'!$A$1:$A$2000"),'Calculations'!$EM175),"0"),UPPER(IFERROR(IF(INDEX(INDIRECT("'WCM Calibration Final'!$A$1:$A$2000"),'Calculations'!$EM175)="","",TRIM(INDEX(INDIRECT("'WCM Calibration Final'!$A$1:$A$2000"),'Calculations'!$EM175)&amp;"")),""))),IF(IFERROR(IF(INDEX(INDIRECT("'WCM Calibration Final'!$C$1:$C$2000"),'Calculations'!$EM175)="","",TRIM(INDEX(INDIRECT("'WCM Calibration Final'!$C$1:$C$2000"),'Calculations'!$EM175)&amp;"")),"")&lt;&gt;"","S:"&amp;UPPER(IFERROR(IF(INDEX(INDIRECT("'WCM Calibration Final'!$C$1:$C$2000"),'Calculations'!$EM175)="","",TRIM(INDEX(INDIRECT("'WCM Calibration Final'!$C$1:$C$2000"),'Calculations'!$EM175)&amp;"")),"")),"R:"&amp;'Calculations'!EM175)))</x:f>
      </x:c>
      <x:c r="HF175" t="str">
        <x:f>IF('Calculations'!EM175="","",IF(IFERROR(IF(INDEX(INDIRECT("'WCM Calibration Final'!$D$1:$D$2000"),'Calculations'!$EM175)="","",TRIM(INDEX(INDIRECT("'WCM Calibration Final'!$D$1:$D$2000"),'Calculations'!$EM175)&amp;"")),"")&lt;&gt;"","G:"&amp;IFERROR(TEXT(1*INDEX(INDIRECT("'WCM Calibration Final'!$D$1:$D$2000"),'Calculations'!$EM175),"0"),UPPER(IFERROR(IF(INDEX(INDIRECT("'WCM Calibration Final'!$D$1:$D$2000"),'Calculations'!$EM175)="","",TRIM(INDEX(INDIRECT("'WCM Calibration Final'!$D$1:$D$2000"),'Calculations'!$EM175)&amp;"")),""))),IF(IFERROR(IF(INDEX(INDIRECT("'WCM Calibration Final'!$E$1:$E$2000"),'Calculations'!$EM175)="","",TRIM(INDEX(INDIRECT("'WCM Calibration Final'!$E$1:$E$2000"),'Calculations'!$EM175)&amp;"")),"")="","",IF(COUNTIF('Calculations'!$HG$13:$HG$512,"="&amp;SUBSTITUTE(SUBSTITUTE(SUBSTITUTE(IFERROR(IF(INDEX(INDIRECT("'WCM Calibration Final'!$E$1:$E$2000"),'Calculations'!$EM175)="","",TRIM(INDEX(INDIRECT("'WCM Calibration Final'!$E$1:$E$2000"),'Calculations'!$EM175)&amp;"")),""),"~","~~"),"*","~*"),"?","~?"))=1,INDEX('Calculations'!$HE$13:$HE$512,MATCH(IFERROR(IF(INDEX(INDIRECT("'WCM Calibration Final'!$E$1:$E$2000"),'Calculations'!$EM175)="","",TRIM(INDEX(INDIRECT("'WCM Calibration Final'!$E$1:$E$2000"),'Calculations'!$EM175)&amp;"")),""),'Calculations'!$HG$13:$HG$512,0)),IF(COUNTIF('Calculations'!$HG$13:$HG$512,"="&amp;SUBSTITUTE(SUBSTITUTE(SUBSTITUTE(IFERROR(IF(INDEX(INDIRECT("'WCM Calibration Final'!$E$1:$E$2000"),'Calculations'!$EM175)="","",TRIM(INDEX(INDIRECT("'WCM Calibration Final'!$E$1:$E$2000"),'Calculations'!$EM175)&amp;"")),""),"~","~~"),"*","~*"),"?","~?"))&gt;1,"!AMBIG","X:"&amp;IFERROR(IF(INDEX(INDIRECT("'WCM Calibration Final'!$E$1:$E$2000"),'Calculations'!$EM175)="","",TRIM(INDEX(INDIRECT("'WCM Calibration Final'!$E$1:$E$2000"),'Calculations'!$EM175)&amp;"")),""))))))</x:f>
      </x:c>
      <x:c r="HG175" t="str">
        <x:f>IF('Calculations'!EM175="","",IFERROR(IF(INDEX(INDIRECT("'WCM Calibration Final'!$B$1:$B$2000"),'Calculations'!$EM175)="","",TRIM(INDEX(INDIRECT("'WCM Calibration Final'!$B$1:$B$2000"),'Calculations'!$EM175)&amp;"")),""))</x:f>
      </x:c>
      <x:c r="HH175" t="n">
        <x:f>IF(AND('Calculations'!JC175&gt;0,COUNTIF('Calculations'!$HF$12:HF175,"="&amp;SUBSTITUTE(SUBSTITUTE(SUBSTITUTE('Calculations'!HF175,"~","~~"),"*","~*"),"?","~?"))=1),MAX('Calculations'!$HH$12:HH174)+1,0)</x:f>
        <x:v>0</x:v>
      </x:c>
      <x:c r="HI175" t="n">
        <x:f>IF(AND('Calculations'!HN175&lt;&gt;"",COUNTIF('Calculations'!$HN$12:HN175,"="&amp;SUBSTITUTE(SUBSTITUTE(SUBSTITUTE('Calculations'!HN175,"~","~~"),"*","~*"),"?","~?"))=1),MAX('Calculations'!$HI$12:HI174)+1,0)</x:f>
        <x:v>0</x:v>
      </x:c>
      <x:c r="HJ175" t="str">
        <x:f>IF('Calculations'!HF175="","",IF(COUNTIF('Calculations'!$HE$13:$HE$512,"="&amp;SUBSTITUTE(SUBSTITUTE(SUBSTITUTE('Calculations'!HF175,"~","~~"),"*","~*"),"?","~?"))=1,INDEX('Calculations'!$HK$13:$HK$512,MATCH('Calculations'!HF175,'Calculations'!$HE$13:$HE$512,0)),IFERROR(IF(INDEX(INDIRECT("'WCM Calibration Final'!$E$1:$E$2000"),'Calculations'!$EM175)="","",TRIM(INDEX(INDIRECT("'WCM Calibration Final'!$E$1:$E$2000"),'Calculations'!$EM175)&amp;"")),"")&amp;" ["&amp;'Calculations'!HF175&amp;"]"))</x:f>
      </x:c>
      <x:c r="HK175" t="str">
        <x:f>IF('Calculations'!EM175="","",'Calculations'!HG175&amp;" ["&amp;'Calculations'!HE175&amp;"]")</x:f>
      </x:c>
      <x:c r="HL175" t="n">
        <x:f>IF('Calculations'!EM175="",0,IF(OR('Calculations'!II175&lt;&gt;"",COUNTIF('Calculations'!$HE$13:$HE$512,"="&amp;SUBSTITUTE(SUBSTITUTE(SUBSTITUTE('Calculations'!HE175,"~","~~"),"*","~*"),"?","~?"))&gt;1),1,0))</x:f>
        <x:v>0</x:v>
      </x:c>
      <x:c r="HM175" t="str">
        <x:f>IF('Calculations'!EM175="","",IF('Calculations'!HL175=1,"!UNRESOLVED",IF('Calculations'!IH175&lt;&gt;"",'Calculations'!IH175,IF('Calculations'!IG175&lt;&gt;"",'Calculations'!IG175,IF('Calculations'!IF175&lt;&gt;"",'Calculations'!IF175,IF('Calculations'!IE175&lt;&gt;"",'Calculations'!IE175,IF('Calculations'!ID175&lt;&gt;"",'Calculations'!ID175,IF('Calculations'!IC175&lt;&gt;"",'Calculations'!IC175,IF('Calculations'!IB175&lt;&gt;"",'Calculations'!IB175,IF('Calculations'!IA175&lt;&gt;"",'Calculations'!IA175,IF('Calculations'!HZ175&lt;&gt;"",'Calculations'!HZ175,IF('Calculations'!HY175&lt;&gt;"",'Calculations'!HY175,IF('Calculations'!HX175&lt;&gt;"",'Calculations'!HX175,IF('Calculations'!HW175&lt;&gt;"",'Calculations'!HW175,IF('Calculations'!HV175&lt;&gt;"",'Calculations'!HV175,IF('Calculations'!HU175&lt;&gt;"",'Calculations'!HU175,IF('Calculations'!HT175&lt;&gt;"",'Calculations'!HT175,IF('Calculations'!HS175&lt;&gt;"",'Calculations'!HS175,IF('Calculations'!HR175&lt;&gt;"",'Calculations'!HR175,IF('Calculations'!HQ175&lt;&gt;"",'Calculations'!HQ175,IF('Calculations'!HP175&lt;&gt;"",'Calculations'!HP175,IF('Calculations'!HO175&lt;&gt;"",'Calculations'!HO175,'Calculations'!HE175))))))))))))))))))))))</x:f>
      </x:c>
      <x:c r="HN175" t="str">
        <x:f>IF('Calculations'!EM175="","",IF(IFERROR(IF(INDEX(INDIRECT("'WCM Calibration Final'!$F$1:$F$2000"),'Calculations'!$EM175)="","",TRIM(INDEX(INDIRECT("'WCM Calibration Final'!$F$1:$F$2000"),'Calculations'!$EM175)&amp;"")),"")="","(Blank)",IFERROR(IF(INDEX(INDIRECT("'WCM Calibration Final'!$F$1:$F$2000"),'Calculations'!$EM175)="","",TRIM(INDEX(INDIRECT("'WCM Calibration Final'!$F$1:$F$2000"),'Calculations'!$EM175)&amp;"")),"")))</x:f>
      </x:c>
      <x:c r="HO175" t="str">
        <x:f>'Calculations'!HF175</x:f>
      </x:c>
      <x:c r="HP175" t="str">
        <x:f>IF('Calculations'!HO175="","",IF('Calculations'!HO175="!AMBIG","!AMBIG",IF(COUNTIF('Calculations'!$HE$13:$HE$512,"="&amp;SUBSTITUTE(SUBSTITUTE(SUBSTITUTE('Calculations'!HO175,"~","~~"),"*","~*"),"?","~?"))&gt;1,"!AMBIG",IFERROR(INDEX('Calculations'!$HF$13:$HF$512,MATCH('Calculations'!HO175,'Calculations'!$HE$13:$HE$512,0)),""))))</x:f>
      </x:c>
      <x:c r="HQ175" t="str">
        <x:f>IF('Calculations'!HP175="","",IF('Calculations'!HP175="!AMBIG","!AMBIG",IF(COUNTIF('Calculations'!$HE$13:$HE$512,"="&amp;SUBSTITUTE(SUBSTITUTE(SUBSTITUTE('Calculations'!HP175,"~","~~"),"*","~*"),"?","~?"))&gt;1,"!AMBIG",IFERROR(INDEX('Calculations'!$HF$13:$HF$512,MATCH('Calculations'!HP175,'Calculations'!$HE$13:$HE$512,0)),""))))</x:f>
      </x:c>
      <x:c r="HR175" t="str">
        <x:f>IF('Calculations'!HQ175="","",IF('Calculations'!HQ175="!AMBIG","!AMBIG",IF(COUNTIF('Calculations'!$HE$13:$HE$512,"="&amp;SUBSTITUTE(SUBSTITUTE(SUBSTITUTE('Calculations'!HQ175,"~","~~"),"*","~*"),"?","~?"))&gt;1,"!AMBIG",IFERROR(INDEX('Calculations'!$HF$13:$HF$512,MATCH('Calculations'!HQ175,'Calculations'!$HE$13:$HE$512,0)),""))))</x:f>
      </x:c>
      <x:c r="HS175" t="str">
        <x:f>IF('Calculations'!HR175="","",IF('Calculations'!HR175="!AMBIG","!AMBIG",IF(COUNTIF('Calculations'!$HE$13:$HE$512,"="&amp;SUBSTITUTE(SUBSTITUTE(SUBSTITUTE('Calculations'!HR175,"~","~~"),"*","~*"),"?","~?"))&gt;1,"!AMBIG",IFERROR(INDEX('Calculations'!$HF$13:$HF$512,MATCH('Calculations'!HR175,'Calculations'!$HE$13:$HE$512,0)),""))))</x:f>
      </x:c>
      <x:c r="HT175" t="str">
        <x:f>IF('Calculations'!HS175="","",IF('Calculations'!HS175="!AMBIG","!AMBIG",IF(COUNTIF('Calculations'!$HE$13:$HE$512,"="&amp;SUBSTITUTE(SUBSTITUTE(SUBSTITUTE('Calculations'!HS175,"~","~~"),"*","~*"),"?","~?"))&gt;1,"!AMBIG",IFERROR(INDEX('Calculations'!$HF$13:$HF$512,MATCH('Calculations'!HS175,'Calculations'!$HE$13:$HE$512,0)),""))))</x:f>
      </x:c>
      <x:c r="HU175" t="str">
        <x:f>IF('Calculations'!HT175="","",IF('Calculations'!HT175="!AMBIG","!AMBIG",IF(COUNTIF('Calculations'!$HE$13:$HE$512,"="&amp;SUBSTITUTE(SUBSTITUTE(SUBSTITUTE('Calculations'!HT175,"~","~~"),"*","~*"),"?","~?"))&gt;1,"!AMBIG",IFERROR(INDEX('Calculations'!$HF$13:$HF$512,MATCH('Calculations'!HT175,'Calculations'!$HE$13:$HE$512,0)),""))))</x:f>
      </x:c>
      <x:c r="HV175" t="str">
        <x:f>IF('Calculations'!HU175="","",IF('Calculations'!HU175="!AMBIG","!AMBIG",IF(COUNTIF('Calculations'!$HE$13:$HE$512,"="&amp;SUBSTITUTE(SUBSTITUTE(SUBSTITUTE('Calculations'!HU175,"~","~~"),"*","~*"),"?","~?"))&gt;1,"!AMBIG",IFERROR(INDEX('Calculations'!$HF$13:$HF$512,MATCH('Calculations'!HU175,'Calculations'!$HE$13:$HE$512,0)),""))))</x:f>
      </x:c>
      <x:c r="HW175" t="str">
        <x:f>IF('Calculations'!HV175="","",IF('Calculations'!HV175="!AMBIG","!AMBIG",IF(COUNTIF('Calculations'!$HE$13:$HE$512,"="&amp;SUBSTITUTE(SUBSTITUTE(SUBSTITUTE('Calculations'!HV175,"~","~~"),"*","~*"),"?","~?"))&gt;1,"!AMBIG",IFERROR(INDEX('Calculations'!$HF$13:$HF$512,MATCH('Calculations'!HV175,'Calculations'!$HE$13:$HE$512,0)),""))))</x:f>
      </x:c>
      <x:c r="HX175" t="str">
        <x:f>IF('Calculations'!HW175="","",IF('Calculations'!HW175="!AMBIG","!AMBIG",IF(COUNTIF('Calculations'!$HE$13:$HE$512,"="&amp;SUBSTITUTE(SUBSTITUTE(SUBSTITUTE('Calculations'!HW175,"~","~~"),"*","~*"),"?","~?"))&gt;1,"!AMBIG",IFERROR(INDEX('Calculations'!$HF$13:$HF$512,MATCH('Calculations'!HW175,'Calculations'!$HE$13:$HE$512,0)),""))))</x:f>
      </x:c>
      <x:c r="HY175" t="str">
        <x:f>IF('Calculations'!HX175="","",IF('Calculations'!HX175="!AMBIG","!AMBIG",IF(COUNTIF('Calculations'!$HE$13:$HE$512,"="&amp;SUBSTITUTE(SUBSTITUTE(SUBSTITUTE('Calculations'!HX175,"~","~~"),"*","~*"),"?","~?"))&gt;1,"!AMBIG",IFERROR(INDEX('Calculations'!$HF$13:$HF$512,MATCH('Calculations'!HX175,'Calculations'!$HE$13:$HE$512,0)),""))))</x:f>
      </x:c>
      <x:c r="HZ175" t="str">
        <x:f>IF('Calculations'!HY175="","",IF('Calculations'!HY175="!AMBIG","!AMBIG",IF(COUNTIF('Calculations'!$HE$13:$HE$512,"="&amp;SUBSTITUTE(SUBSTITUTE(SUBSTITUTE('Calculations'!HY175,"~","~~"),"*","~*"),"?","~?"))&gt;1,"!AMBIG",IFERROR(INDEX('Calculations'!$HF$13:$HF$512,MATCH('Calculations'!HY175,'Calculations'!$HE$13:$HE$512,0)),""))))</x:f>
      </x:c>
      <x:c r="IA175" t="str">
        <x:f>IF('Calculations'!HZ175="","",IF('Calculations'!HZ175="!AMBIG","!AMBIG",IF(COUNTIF('Calculations'!$HE$13:$HE$512,"="&amp;SUBSTITUTE(SUBSTITUTE(SUBSTITUTE('Calculations'!HZ175,"~","~~"),"*","~*"),"?","~?"))&gt;1,"!AMBIG",IFERROR(INDEX('Calculations'!$HF$13:$HF$512,MATCH('Calculations'!HZ175,'Calculations'!$HE$13:$HE$512,0)),""))))</x:f>
      </x:c>
      <x:c r="IB175" t="str">
        <x:f>IF('Calculations'!IA175="","",IF('Calculations'!IA175="!AMBIG","!AMBIG",IF(COUNTIF('Calculations'!$HE$13:$HE$512,"="&amp;SUBSTITUTE(SUBSTITUTE(SUBSTITUTE('Calculations'!IA175,"~","~~"),"*","~*"),"?","~?"))&gt;1,"!AMBIG",IFERROR(INDEX('Calculations'!$HF$13:$HF$512,MATCH('Calculations'!IA175,'Calculations'!$HE$13:$HE$512,0)),""))))</x:f>
      </x:c>
      <x:c r="IC175" t="str">
        <x:f>IF('Calculations'!IB175="","",IF('Calculations'!IB175="!AMBIG","!AMBIG",IF(COUNTIF('Calculations'!$HE$13:$HE$512,"="&amp;SUBSTITUTE(SUBSTITUTE(SUBSTITUTE('Calculations'!IB175,"~","~~"),"*","~*"),"?","~?"))&gt;1,"!AMBIG",IFERROR(INDEX('Calculations'!$HF$13:$HF$512,MATCH('Calculations'!IB175,'Calculations'!$HE$13:$HE$512,0)),""))))</x:f>
      </x:c>
      <x:c r="ID175" t="str">
        <x:f>IF('Calculations'!IC175="","",IF('Calculations'!IC175="!AMBIG","!AMBIG",IF(COUNTIF('Calculations'!$HE$13:$HE$512,"="&amp;SUBSTITUTE(SUBSTITUTE(SUBSTITUTE('Calculations'!IC175,"~","~~"),"*","~*"),"?","~?"))&gt;1,"!AMBIG",IFERROR(INDEX('Calculations'!$HF$13:$HF$512,MATCH('Calculations'!IC175,'Calculations'!$HE$13:$HE$512,0)),""))))</x:f>
      </x:c>
      <x:c r="IE175" t="str">
        <x:f>IF('Calculations'!ID175="","",IF('Calculations'!ID175="!AMBIG","!AMBIG",IF(COUNTIF('Calculations'!$HE$13:$HE$512,"="&amp;SUBSTITUTE(SUBSTITUTE(SUBSTITUTE('Calculations'!ID175,"~","~~"),"*","~*"),"?","~?"))&gt;1,"!AMBIG",IFERROR(INDEX('Calculations'!$HF$13:$HF$512,MATCH('Calculations'!ID175,'Calculations'!$HE$13:$HE$512,0)),""))))</x:f>
      </x:c>
      <x:c r="IF175" t="str">
        <x:f>IF('Calculations'!IE175="","",IF('Calculations'!IE175="!AMBIG","!AMBIG",IF(COUNTIF('Calculations'!$HE$13:$HE$512,"="&amp;SUBSTITUTE(SUBSTITUTE(SUBSTITUTE('Calculations'!IE175,"~","~~"),"*","~*"),"?","~?"))&gt;1,"!AMBIG",IFERROR(INDEX('Calculations'!$HF$13:$HF$512,MATCH('Calculations'!IE175,'Calculations'!$HE$13:$HE$512,0)),""))))</x:f>
      </x:c>
      <x:c r="IG175" t="str">
        <x:f>IF('Calculations'!IF175="","",IF('Calculations'!IF175="!AMBIG","!AMBIG",IF(COUNTIF('Calculations'!$HE$13:$HE$512,"="&amp;SUBSTITUTE(SUBSTITUTE(SUBSTITUTE('Calculations'!IF175,"~","~~"),"*","~*"),"?","~?"))&gt;1,"!AMBIG",IFERROR(INDEX('Calculations'!$HF$13:$HF$512,MATCH('Calculations'!IF175,'Calculations'!$HE$13:$HE$512,0)),""))))</x:f>
      </x:c>
      <x:c r="IH175" t="str">
        <x:f>IF('Calculations'!IG175="","",IF('Calculations'!IG175="!AMBIG","!AMBIG",IF(COUNTIF('Calculations'!$HE$13:$HE$512,"="&amp;SUBSTITUTE(SUBSTITUTE(SUBSTITUTE('Calculations'!IG175,"~","~~"),"*","~*"),"?","~?"))&gt;1,"!AMBIG",IFERROR(INDEX('Calculations'!$HF$13:$HF$512,MATCH('Calculations'!IG175,'Calculations'!$HE$13:$HE$512,0)),""))))</x:f>
      </x:c>
      <x:c r="II175" t="str">
        <x:f>IF('Calculations'!IH175="","",IF('Calculations'!IH175="!AMBIG","!AMBIG",IF(COUNTIF('Calculations'!$HE$13:$HE$512,"="&amp;SUBSTITUTE(SUBSTITUTE(SUBSTITUTE('Calculations'!IH175,"~","~~"),"*","~*"),"?","~?"))&gt;1,"!AMBIG",IFERROR(INDEX('Calculations'!$HF$13:$HF$512,MATCH('Calculations'!IH175,'Calculations'!$HE$13:$HE$512,0)),""))))</x:f>
      </x:c>
      <x:c r="IJ175" t="str">
        <x:f>IF('Calculations'!EM175="","",IF('Calculations'!$EF$2="All",'Calculations'!HM175,IF('Calculations'!HL175=1,"",IFERROR(IF(MATCH('Calculations'!$EF$2,'Calculations'!HO175:II175,0)=1,'Calculations'!HE175,INDEX('Calculations'!HO175:II175,1,MATCH('Calculations'!$EF$2,'Calculations'!HO175:II175,0)-1)),""))))</x:f>
      </x:c>
      <x:c r="IK175" t="n">
        <x:f>IF(AND('Calculations'!EM175&lt;&gt;"",'Calculations'!$EF$2&lt;&gt;"All",'Calculations'!HF175='Calculations'!$EF$2,'Calculations'!HL175=0,'Calculations'!JD175&gt;0),MAX('Calculations'!$IK$12:IK174)+1,0)</x:f>
        <x:v>0</x:v>
      </x:c>
      <x:c r="JA175" t="n">
        <x:f>IF(OR(IFERROR(INDIRECT("'WCM Calibration Final'!$A$175")&lt;&gt;"",FALSE),IFERROR(INDIRECT("'WCM Calibration Final'!$B$175")&lt;&gt;"",FALSE),IFERROR(INDIRECT("'WCM Calibration Final'!$C$175")&lt;&gt;"",FALSE)),175,0)</x:f>
        <x:v>0</x:v>
      </x:c>
      <x:c r="JB175" t="n">
        <x:f>'Calculations'!JB174+IF('Calculations'!JA175&gt;0,1,0)</x:f>
        <x:v>0</x:v>
      </x:c>
      <x:c r="JC175" t="n">
        <x:f>IF(OR('Calculations'!HF175="",'Calculations'!HF175="!AMBIG"),0,IF('Dashboard'!$B$7="All",1,COUNTIFS('Calculations'!$HO$13:$HO$512,"="&amp;SUBSTITUTE(SUBSTITUTE(SUBSTITUTE('Calculations'!HF175,"~","~~"),"*","~*"),"?","~?"),'Calculations'!$HN$13:$HN$512,"="&amp;SUBSTITUTE(SUBSTITUTE(SUBSTITUTE('Dashboard'!$B$7,"~","~~"),"*","~*"),"?","~?"))+COUNTIFS('Calculations'!$HP$13:$HP$512,"="&amp;SUBSTITUTE(SUBSTITUTE(SUBSTITUTE('Calculations'!HF175,"~","~~"),"*","~*"),"?","~?"),'Calculations'!$HN$13:$HN$512,"="&amp;SUBSTITUTE(SUBSTITUTE(SUBSTITUTE('Dashboard'!$B$7,"~","~~"),"*","~*"),"?","~?"))+COUNTIFS('Calculations'!$HQ$13:$HQ$512,"="&amp;SUBSTITUTE(SUBSTITUTE(SUBSTITUTE('Calculations'!HF175,"~","~~"),"*","~*"),"?","~?"),'Calculations'!$HN$13:$HN$512,"="&amp;SUBSTITUTE(SUBSTITUTE(SUBSTITUTE('Dashboard'!$B$7,"~","~~"),"*","~*"),"?","~?"))+COUNTIFS('Calculations'!$HR$13:$HR$512,"="&amp;SUBSTITUTE(SUBSTITUTE(SUBSTITUTE('Calculations'!HF175,"~","~~"),"*","~*"),"?","~?"),'Calculations'!$HN$13:$HN$512,"="&amp;SUBSTITUTE(SUBSTITUTE(SUBSTITUTE('Dashboard'!$B$7,"~","~~"),"*","~*"),"?","~?"))+COUNTIFS('Calculations'!$HS$13:$HS$512,"="&amp;SUBSTITUTE(SUBSTITUTE(SUBSTITUTE('Calculations'!HF175,"~","~~"),"*","~*"),"?","~?"),'Calculations'!$HN$13:$HN$512,"="&amp;SUBSTITUTE(SUBSTITUTE(SUBSTITUTE('Dashboard'!$B$7,"~","~~"),"*","~*"),"?","~?"))+COUNTIFS('Calculations'!$HT$13:$HT$512,"="&amp;SUBSTITUTE(SUBSTITUTE(SUBSTITUTE('Calculations'!HF175,"~","~~"),"*","~*"),"?","~?"),'Calculations'!$HN$13:$HN$512,"="&amp;SUBSTITUTE(SUBSTITUTE(SUBSTITUTE('Dashboard'!$B$7,"~","~~"),"*","~*"),"?","~?"))+COUNTIFS('Calculations'!$HU$13:$HU$512,"="&amp;SUBSTITUTE(SUBSTITUTE(SUBSTITUTE('Calculations'!HF175,"~","~~"),"*","~*"),"?","~?"),'Calculations'!$HN$13:$HN$512,"="&amp;SUBSTITUTE(SUBSTITUTE(SUBSTITUTE('Dashboard'!$B$7,"~","~~"),"*","~*"),"?","~?"))+COUNTIFS('Calculations'!$HV$13:$HV$512,"="&amp;SUBSTITUTE(SUBSTITUTE(SUBSTITUTE('Calculations'!HF175,"~","~~"),"*","~*"),"?","~?"),'Calculations'!$HN$13:$HN$512,"="&amp;SUBSTITUTE(SUBSTITUTE(SUBSTITUTE('Dashboard'!$B$7,"~","~~"),"*","~*"),"?","~?"))+COUNTIFS('Calculations'!$HW$13:$HW$512,"="&amp;SUBSTITUTE(SUBSTITUTE(SUBSTITUTE('Calculations'!HF175,"~","~~"),"*","~*"),"?","~?"),'Calculations'!$HN$13:$HN$512,"="&amp;SUBSTITUTE(SUBSTITUTE(SUBSTITUTE('Dashboard'!$B$7,"~","~~"),"*","~*"),"?","~?"))+COUNTIFS('Calculations'!$HX$13:$HX$512,"="&amp;SUBSTITUTE(SUBSTITUTE(SUBSTITUTE('Calculations'!HF175,"~","~~"),"*","~*"),"?","~?"),'Calculations'!$HN$13:$HN$512,"="&amp;SUBSTITUTE(SUBSTITUTE(SUBSTITUTE('Dashboard'!$B$7,"~","~~"),"*","~*"),"?","~?"))+COUNTIFS('Calculations'!$HY$13:$HY$512,"="&amp;SUBSTITUTE(SUBSTITUTE(SUBSTITUTE('Calculations'!HF175,"~","~~"),"*","~*"),"?","~?"),'Calculations'!$HN$13:$HN$512,"="&amp;SUBSTITUTE(SUBSTITUTE(SUBSTITUTE('Dashboard'!$B$7,"~","~~"),"*","~*"),"?","~?"))+COUNTIFS('Calculations'!$HZ$13:$HZ$512,"="&amp;SUBSTITUTE(SUBSTITUTE(SUBSTITUTE('Calculations'!HF175,"~","~~"),"*","~*"),"?","~?"),'Calculations'!$HN$13:$HN$512,"="&amp;SUBSTITUTE(SUBSTITUTE(SUBSTITUTE('Dashboard'!$B$7,"~","~~"),"*","~*"),"?","~?"))+COUNTIFS('Calculations'!$IA$13:$IA$512,"="&amp;SUBSTITUTE(SUBSTITUTE(SUBSTITUTE('Calculations'!HF175,"~","~~"),"*","~*"),"?","~?"),'Calculations'!$HN$13:$HN$512,"="&amp;SUBSTITUTE(SUBSTITUTE(SUBSTITUTE('Dashboard'!$B$7,"~","~~"),"*","~*"),"?","~?"))+COUNTIFS('Calculations'!$IB$13:$IB$512,"="&amp;SUBSTITUTE(SUBSTITUTE(SUBSTITUTE('Calculations'!HF175,"~","~~"),"*","~*"),"?","~?"),'Calculations'!$HN$13:$HN$512,"="&amp;SUBSTITUTE(SUBSTITUTE(SUBSTITUTE('Dashboard'!$B$7,"~","~~"),"*","~*"),"?","~?"))+COUNTIFS('Calculations'!$IC$13:$IC$512,"="&amp;SUBSTITUTE(SUBSTITUTE(SUBSTITUTE('Calculations'!HF175,"~","~~"),"*","~*"),"?","~?"),'Calculations'!$HN$13:$HN$512,"="&amp;SUBSTITUTE(SUBSTITUTE(SUBSTITUTE('Dashboard'!$B$7,"~","~~"),"*","~*"),"?","~?"))+COUNTIFS('Calculations'!$ID$13:$ID$512,"="&amp;SUBSTITUTE(SUBSTITUTE(SUBSTITUTE('Calculations'!HF175,"~","~~"),"*","~*"),"?","~?"),'Calculations'!$HN$13:$HN$512,"="&amp;SUBSTITUTE(SUBSTITUTE(SUBSTITUTE('Dashboard'!$B$7,"~","~~"),"*","~*"),"?","~?"))+COUNTIFS('Calculations'!$IE$13:$IE$512,"="&amp;SUBSTITUTE(SUBSTITUTE(SUBSTITUTE('Calculations'!HF175,"~","~~"),"*","~*"),"?","~?"),'Calculations'!$HN$13:$HN$512,"="&amp;SUBSTITUTE(SUBSTITUTE(SUBSTITUTE('Dashboard'!$B$7,"~","~~"),"*","~*"),"?","~?"))+COUNTIFS('Calculations'!$IF$13:$IF$512,"="&amp;SUBSTITUTE(SUBSTITUTE(SUBSTITUTE('Calculations'!HF175,"~","~~"),"*","~*"),"?","~?"),'Calculations'!$HN$13:$HN$512,"="&amp;SUBSTITUTE(SUBSTITUTE(SUBSTITUTE('Dashboard'!$B$7,"~","~~"),"*","~*"),"?","~?"))+COUNTIFS('Calculations'!$IG$13:$IG$512,"="&amp;SUBSTITUTE(SUBSTITUTE(SUBSTITUTE('Calculations'!HF175,"~","~~"),"*","~*"),"?","~?"),'Calculations'!$HN$13:$HN$512,"="&amp;SUBSTITUTE(SUBSTITUTE(SUBSTITUTE('Dashboard'!$B$7,"~","~~"),"*","~*"),"?","~?"))+COUNTIFS('Calculations'!$IH$13:$IH$512,"="&amp;SUBSTITUTE(SUBSTITUTE(SUBSTITUTE('Calculations'!HF175,"~","~~"),"*","~*"),"?","~?"),'Calculations'!$HN$13:$HN$512,"="&amp;SUBSTITUTE(SUBSTITUTE(SUBSTITUTE('Dashboard'!$B$7,"~","~~"),"*","~*"),"?","~?"))))</x:f>
        <x:v>0</x:v>
      </x:c>
      <x:c r="JD175" t="n">
        <x:f>IF('Calculations'!EM175="",0,IF('Dashboard'!$B$7="All",1,IF('Calculations'!HN175='Dashboard'!$B$7,1,0)+IFERROR(INDEX('Calculations'!$JC$13:$JC$512,MATCH('Calculations'!HE175,'Calculations'!$HF$13:$HF$512,0)),0)))</x:f>
        <x:v>0</x:v>
      </x:c>
      <x:c r="JE175" t="n">
        <x:f>IF(AND('Calculations'!EM175&lt;&gt;"",'Calculations'!$JJ$2&lt;&gt;"All",'Calculations'!$JJ$2&lt;&gt;"",'Calculations'!HF175='Calculations'!$JJ$2,'Calculations'!HL175=0,'Calculations'!JD175&gt;0),MAX('Calculations'!$JE$12:JE174)+1,0)</x:f>
        <x:v>0</x:v>
      </x:c>
      <x:c r="JF175" t="str">
        <x:f>IF('Calculations'!EM175="","",IFERROR(IF(INDEX(INDIRECT("'WCM Calibration Final'!$G$1:$G$2000"),'Calculations'!$EM175)="","",TRIM(INDEX(INDIRECT("'WCM Calibration Final'!$G$1:$G$2000"),'Calculations'!$EM175)&amp;"")),""))</x:f>
      </x:c>
      <x:c r="JQ175" t="n">
        <x:f>IF(OR('Calculations'!BM175=0,NOT('Calculations'!$AG$2),'Calculations'!$AG$8&gt;0),0,IF(OR('Dashboard'!$B$7="All",'Calculations'!HN175='Dashboard'!$B$7),IF('Calculations'!$JJ$2="All",1,IF(AND('Calculations'!HF175='Calculations'!$JJ$2,'Calculations'!HL175=0),1,0)),0))</x:f>
        <x:v>0</x:v>
      </x:c>
    </x:row>
    <x:row r="176">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t="n">
        <x:f>IF('Calculations'!$EM176="",0,IF(OR(IFERROR(INDEX(INDIRECT("'WCM Calibration Final'!$A$1:$A$2000"),'Calculations'!$EM176)&lt;&gt;"",FALSE),IFERROR(INDEX(INDIRECT("'WCM Calibration Final'!$B$1:$B$2000"),'Calculations'!$EM176)&lt;&gt;"",FALSE),IFERROR(INDEX(INDIRECT("'WCM Calibration Final'!$C$1:$C$2000"),'Calculations'!$EM176)&lt;&gt;"",FALSE)),1,0))</x:f>
        <x:v>0</x:v>
      </x:c>
      <x:c r="BN176" s="4" t="n">
        <x:f>IF(AND('Calculations'!BM176=1,'Calculations'!$AG$2,'Calculations'!$EN176=1),1,0)</x:f>
        <x:v>0</x:v>
      </x:c>
      <x:c r="BO176" s="4" t="str">
        <x:f>IF('Calculations'!BM176=0,"",IFERROR(IF(AND(VALUE(INDEX(INDIRECT("'WCM Calibration Final'!$K$1:$K$2000"),'Calculations'!$EM176))&gt;=1,VALUE(INDEX(INDIRECT("'WCM Calibration Final'!$K$1:$K$2000"),'Calculations'!$EM176))&lt;=4,MOD(VALUE(INDEX(INDIRECT("'WCM Calibration Final'!$K$1:$K$2000"),'Calculations'!$EM176)),1)=0),VALUE(INDEX(INDIRECT("'WCM Calibration Final'!$K$1:$K$2000"),'Calculations'!$EM176)),""),""))</x:f>
      </x:c>
      <x:c r="BP176" s="4" t="str">
        <x:f>IF('Calculations'!BM176=0,"",IFERROR(IF(AND(VALUE(INDEX(INDIRECT("'WCM Calibration Final'!$L$1:$L$2000"),'Calculations'!$EM176))&gt;=1,VALUE(INDEX(INDIRECT("'WCM Calibration Final'!$L$1:$L$2000"),'Calculations'!$EM176))&lt;=4,MOD(VALUE(INDEX(INDIRECT("'WCM Calibration Final'!$L$1:$L$2000"),'Calculations'!$EM176)),1)=0),VALUE(INDEX(INDIRECT("'WCM Calibration Final'!$L$1:$L$2000"),'Calculations'!$EM176)),""),""))</x:f>
      </x:c>
      <x:c r="BQ176" s="4"/>
      <x:c r="BR176" s="4"/>
      <x:c r="BS176" s="4"/>
      <x:c r="BT176" s="4" t="n">
        <x:f>IF(AND('Calculations'!BM176=1,ISNUMBER('Calculations'!BO176),ISNUMBER('Calculations'!BP176)),1,0)</x:f>
        <x:v>0</x:v>
      </x:c>
      <x:c r="BU176" s="4" t="str">
        <x:f>IF('Calculations'!BM176=0,"",'Calculations'!$EO176)</x:f>
      </x:c>
      <x:c r="BV176" s="4" t="str">
        <x:f>IF('Calculations'!BM176=0,"",IFERROR(IF(OR(INDEX(INDIRECT("'WCM Calibration Final'!$H$1:$H$2000"),'Calculations'!$EM176)="MANAGING DIRECTOR",INDEX(INDIRECT("'WCM Calibration Final'!$H$1:$H$2000"),'Calculations'!$EM176)="DIRECTOR",INDEX(INDIRECT("'WCM Calibration Final'!$H$1:$H$2000"),'Calculations'!$EM176)="SENIOR VICE PRESIDENT",INDEX(INDIRECT("'WCM Calibration Final'!$H$1:$H$2000"),'Calculations'!$EM176)="VICE PRESIDENT",INDEX(INDIRECT("'WCM Calibration Final'!$H$1:$H$2000"),'Calculations'!$EM176)="ASSISTANT VICE PRESIDENT",INDEX(INDIRECT("'WCM Calibration Final'!$H$1:$H$2000"),'Calculations'!$EM176)="OFFICER"),UPPER(INDEX(INDIRECT("'WCM Calibration Final'!$H$1:$H$2000"),'Calculations'!$EM176)),"Other"),"Other"))</x:f>
      </x:c>
      <x:c r="BW176" s="4"/>
      <x:c r="BX176" s="4"/>
      <x:c r="BY176" s="4" t="n">
        <x:f>IF(AND('Calculations'!BM176=1,'Calculations'!BU176&lt;&gt;"",COUNTIF('Calculations'!$BU$12:BU176,'Calculations'!BU176)=1),MAX('Calculations'!$BY$11:BY175)+1,0)</x:f>
        <x:v>0</x:v>
      </x:c>
      <x:c r="BZ176" s="4" t="str">
        <x:f>IF('Dashboard'!$E$67="What",'Calculations'!BO176,'Calculations'!BP176)</x:f>
      </x:c>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t="str">
        <x:f>IF(165&gt;MAX('Calculations'!$HI$13:$HI$512),"",INDEX('Calculations'!$HN$13:$HN$512,MATCH(165,'Calculations'!$HI$13:$HI$512,0)))</x:f>
      </x:c>
      <x:c r="DB176" s="4" t="str">
        <x:f>IF(165&gt;MAX('Calculations'!$HH$13:$HH$512),"",INDEX('Calculations'!$HJ$13:$HJ$512,MATCH(165,'Calculations'!$HH$13:$HH$512,0)))</x:f>
      </x:c>
      <x:c r="DC176" s="4" t="str">
        <x:f>IF(ROW()-11&gt;MAX('Calculations'!$BY$13:$BY$512),"",INDEX('Calculations'!$BU$13:$BU$512,MATCH(ROW()-11,'Calculations'!$BY$13:$BY$512,0)))</x:f>
      </x:c>
      <x:c r="DD176" s="4" t="str">
        <x:f>IF(165&gt;MAX('Calculations'!$IK$13:$IK$512),"",INDEX('Calculations'!$HK$13:$HK$512,MATCH(165,'Calculations'!$IK$13:$IK$512,0)))</x:f>
      </x:c>
      <x:c r="DE176" s="4" t="str">
        <x:f>'Calculations'!DC176</x:f>
      </x:c>
      <x:c r="DF176" s="4" t="str">
        <x:f>IF('Calculations'!DE176="","",COUNTIFS('Calculations'!$BN$13:$BN$512,1,'Calculations'!$BU$13:$BU$512,'Calculations'!DE176))</x:f>
      </x:c>
      <x:c r="DG176" s="4" t="str">
        <x:f>IF('Calculations'!DE176="","",COUNTIFS('Calculations'!$BN$13:$BN$512,1,'Calculations'!$BU$13:$BU$512,'Calculations'!DE176,'Calculations'!$BT$13:$BT$512,1))</x:f>
      </x:c>
      <x:c r="DH176" s="4" t="str">
        <x:f>IF('Calculations'!DE176="","",'Calculations'!DF176-'Calculations'!DG176)</x:f>
      </x:c>
      <x:c r="DI176" s="4" t="str">
        <x:f>IF(OR('Calculations'!DE176="",'Calculations'!DF176=0),"",'Calculations'!DG176/'Calculations'!DF176)</x:f>
      </x:c>
      <x:c r="DJ176" s="4" t="str">
        <x:f>IF('Calculations'!DE176="","",COUNTIFS('Calculations'!$BN$13:$BN$512,1,'Calculations'!$BU$13:$BU$512,'Calculations'!DE176,'Calculations'!$BT$13:$BT$512,1,'Calculations'!$EE$13:$EE$512,"High"))</x:f>
      </x:c>
      <x:c r="DK176" s="4" t="str">
        <x:f>IF('Calculations'!DE176="","",COUNTIFS('Calculations'!$BN$13:$BN$512,1,'Calculations'!$BU$13:$BU$512,'Calculations'!DE176,'Calculations'!$BT$13:$BT$512,1,'Calculations'!$EE$13:$EE$512,"Strong"))</x:f>
      </x:c>
      <x:c r="DL176" s="4" t="str">
        <x:f>IF('Calculations'!DE176="","",COUNTIFS('Calculations'!$BN$13:$BN$512,1,'Calculations'!$BU$13:$BU$512,'Calculations'!DE176,'Calculations'!$BT$13:$BT$512,1,'Calculations'!$EE$13:$EE$512,"Solid"))</x:f>
      </x:c>
      <x:c r="DM176" s="4" t="str">
        <x:f>IF('Calculations'!DE176="","",COUNTIFS('Calculations'!$BN$13:$BN$512,1,'Calculations'!$BU$13:$BU$512,'Calculations'!DE176,'Calculations'!$BT$13:$BT$512,1,'Calculations'!$EE$13:$EE$512,"Low"))</x:f>
      </x:c>
      <x:c r="DN176" s="4" t="str">
        <x:f>IF('Calculations'!DE176="","",COUNTIFS('Calculations'!$BN$13:$BN$512,1,'Calculations'!$BU$13:$BU$512,'Calculations'!DE176,'Calculations'!$EP$13:$EP$512,1))</x:f>
      </x:c>
      <x:c r="DO176" s="4" t="str">
        <x:f>IF(OR('Calculations'!DE176="",'Calculations'!DG176=0),"",('Calculations'!DJ176+'Calculations'!DK176)/'Calculations'!DG176)</x:f>
      </x:c>
      <x:c r="DP176" s="4" t="n">
        <x:f>IF(AND('Calculations'!DE176&lt;&gt;"",'Calculations'!DF176&gt;0),COUNTIF('Calculations'!$DF$12:DF176,"&gt;0"),0)</x:f>
        <x:v>0</x:v>
      </x:c>
      <x:c r="DQ176" s="4" t="str">
        <x:f>IF(165&gt;MAX('Calculations'!$HH$13:$HH$512),"",INDEX('Calculations'!$HF$13:$HF$512,MATCH(165,'Calculations'!$HH$13:$HH$512,0)))</x:f>
      </x:c>
      <x:c r="DR176" s="4" t="str">
        <x:f>IF(165&gt;MAX('Calculations'!$IK$13:$IK$512),"",INDEX('Calculations'!$HE$13:$HE$512,MATCH(165,'Calculations'!$IK$13:$IK$512,0)))</x:f>
      </x:c>
      <x:c r="DS176" s="4"/>
      <x:c r="DT176" s="4"/>
      <x:c r="DU176" s="4"/>
      <x:c r="DV176" s="4"/>
      <x:c r="DW176" s="4"/>
      <x:c r="DX176" s="4"/>
      <x:c r="DY176" s="4"/>
      <x:c r="DZ176" s="4"/>
      <x:c r="EA176" s="4"/>
      <x:c r="EB176" s="4"/>
      <x:c r="EC176" s="4"/>
      <x:c r="ED176" s="4"/>
      <x:c r="EE176" s="4" t="str">
        <x:f>IF('Calculations'!BT176=0,"Not Rated",IF(OR('Calculations'!BO176&gt;=4,'Calculations'!BP176&gt;=4),"Low",IF('Calculations'!BO176+'Calculations'!BP176&lt;=3,"High",IF('Calculations'!BO176+'Calculations'!BP176&lt;=4,"Strong","Solid"))))</x:f>
        <x:v>Not Rated</x:v>
      </x:c>
      <x:c r="EF176" s="4"/>
      <x:c r="EG176" s="4"/>
      <x:c r="EH176" s="4"/>
      <x:c r="EI176" s="4"/>
      <x:c r="EJ176" s="4"/>
      <x:c r="EK176" s="4"/>
      <x:c r="EL176" s="4"/>
      <x:c r="EM176" s="4" t="str">
        <x:f>IF(164&gt;'Calculations'!$JB$2000,"",INDEX('Calculations'!$JA$12:$JA$2000,MATCH(164,'Calculations'!$JB$12:$JB$2000,0)))</x:f>
      </x:c>
      <x:c r="EN176" s="4" t="n">
        <x:f>IF(OR('Calculations'!EM176="",'Calculations'!$AG$8&gt;0,AND('Calculations'!$EF$2&lt;&gt;"All",'Calculations'!HE176='Calculations'!$EF$2),AND('Calculations'!$EF$3&lt;&gt;"All",'Calculations'!HE176='Calculations'!$EF$3)),0,IF(OR('Dashboard'!$B$7="All",'Calculations'!HN176='Dashboard'!$B$7),IF('Calculations'!$EF$2="All",1,IF('Calculations'!HL176&gt;0,0,IF(COUNTIF('Calculations'!HO176:II176,"="&amp;SUBSTITUTE(SUBSTITUTE(SUBSTITUTE('Calculations'!$EF$2,"~","~~"),"*","~*"),"?","~?"))=0,0,IF('Calculations'!$EF$3="All",1,IF(COUNTIF('Calculations'!HO176:II176,"="&amp;SUBSTITUTE(SUBSTITUTE(SUBSTITUTE('Calculations'!$EF$3,"~","~~"),"*","~*"),"?","~?"))&gt;0,1,0))))),0))</x:f>
        <x:v>0</x:v>
      </x:c>
      <x:c r="EO176" s="4" t="str">
        <x:f>IF('Calculations'!IJ176="","",IF('Calculations'!IJ176="!UNRESOLVED","Unresolved hierarchy",IFERROR(INDEX('Calculations'!$HK$13:$HK$512,MATCH('Calculations'!IJ176,'Calculations'!$HE$13:$HE$512,0)),IFERROR(INDEX('Calculations'!$HJ$13:$HJ$512,MATCH('Calculations'!IJ176,'Calculations'!$HF$13:$HF$512,0)),'Calculations'!IJ176))))</x:f>
      </x:c>
      <x:c r="EP176" s="4" t="n">
        <x:f>IF(AND('Calculations'!EM176&lt;&gt;"",'Calculations'!HF176='Calculations'!IJ176),1,0)</x:f>
        <x:v>0</x:v>
      </x:c>
      <x:c r="EQ176" s="4"/>
      <x:c r="ER176" s="4"/>
      <x:c r="ES176" s="4"/>
      <x:c r="ET176" s="4"/>
      <x:c r="EU176" s="4"/>
      <x:c r="EV176" s="4"/>
      <x:c r="EW176" s="4"/>
      <x:c r="EX176" s="4"/>
      <x:c r="EY176" s="4"/>
      <x:c r="EZ176" s="4"/>
      <x:c r="FA176" s="4"/>
      <x:c r="FB176" s="4"/>
      <x:c r="FC176" s="4"/>
      <x:c r="FD176" s="4"/>
      <x:c r="FE176" s="4"/>
      <x:c r="FF176" s="4"/>
      <x:c r="FG176" s="4"/>
      <x:c r="FH176" s="4"/>
      <x:c r="FI176" s="4"/>
      <x:c r="FJ176" s="4"/>
      <x:c r="FK176" s="4"/>
      <x:c r="FL176" s="4"/>
      <x:c r="FM176" s="4"/>
      <x:c r="FN176" s="4"/>
      <x:c r="FO176" s="4"/>
      <x:c r="GA176" s="71"/>
      <x:c r="GB176" s="71"/>
      <x:c r="GC176" s="71"/>
      <x:c r="GD176" s="71"/>
      <x:c r="GE176" s="71"/>
      <x:c r="GF176" s="71"/>
      <x:c r="GG176" s="71"/>
      <x:c r="GH176" s="71"/>
      <x:c r="GI176" s="71"/>
      <x:c r="GJ176" s="71"/>
      <x:c r="GK176" s="71"/>
      <x:c r="GL176" s="71"/>
      <x:c r="GM176" s="71"/>
      <x:c r="GN176" s="71"/>
      <x:c r="GO176" s="71"/>
      <x:c r="GP176" s="71"/>
      <x:c r="GQ176" s="71"/>
      <x:c r="GR176" s="71"/>
      <x:c r="GS176" s="71"/>
      <x:c r="GT176" s="71"/>
      <x:c r="GU176" s="71"/>
      <x:c r="GV176" s="71"/>
      <x:c r="GW176" s="71"/>
      <x:c r="GX176" s="71"/>
      <x:c r="GY176" s="71"/>
      <x:c r="GZ176" s="71"/>
      <x:c r="HA176" s="71"/>
      <x:c r="HB176" s="71"/>
      <x:c r="HC176" s="71"/>
      <x:c r="HD176" s="71"/>
      <x:c r="HE176" t="str">
        <x:f>IF('Calculations'!EM176="","",IF(IFERROR(IF(INDEX(INDIRECT("'WCM Calibration Final'!$A$1:$A$2000"),'Calculations'!$EM176)="","",TRIM(INDEX(INDIRECT("'WCM Calibration Final'!$A$1:$A$2000"),'Calculations'!$EM176)&amp;"")),"")&lt;&gt;"","G:"&amp;IFERROR(TEXT(1*INDEX(INDIRECT("'WCM Calibration Final'!$A$1:$A$2000"),'Calculations'!$EM176),"0"),UPPER(IFERROR(IF(INDEX(INDIRECT("'WCM Calibration Final'!$A$1:$A$2000"),'Calculations'!$EM176)="","",TRIM(INDEX(INDIRECT("'WCM Calibration Final'!$A$1:$A$2000"),'Calculations'!$EM176)&amp;"")),""))),IF(IFERROR(IF(INDEX(INDIRECT("'WCM Calibration Final'!$C$1:$C$2000"),'Calculations'!$EM176)="","",TRIM(INDEX(INDIRECT("'WCM Calibration Final'!$C$1:$C$2000"),'Calculations'!$EM176)&amp;"")),"")&lt;&gt;"","S:"&amp;UPPER(IFERROR(IF(INDEX(INDIRECT("'WCM Calibration Final'!$C$1:$C$2000"),'Calculations'!$EM176)="","",TRIM(INDEX(INDIRECT("'WCM Calibration Final'!$C$1:$C$2000"),'Calculations'!$EM176)&amp;"")),"")),"R:"&amp;'Calculations'!EM176)))</x:f>
      </x:c>
      <x:c r="HF176" t="str">
        <x:f>IF('Calculations'!EM176="","",IF(IFERROR(IF(INDEX(INDIRECT("'WCM Calibration Final'!$D$1:$D$2000"),'Calculations'!$EM176)="","",TRIM(INDEX(INDIRECT("'WCM Calibration Final'!$D$1:$D$2000"),'Calculations'!$EM176)&amp;"")),"")&lt;&gt;"","G:"&amp;IFERROR(TEXT(1*INDEX(INDIRECT("'WCM Calibration Final'!$D$1:$D$2000"),'Calculations'!$EM176),"0"),UPPER(IFERROR(IF(INDEX(INDIRECT("'WCM Calibration Final'!$D$1:$D$2000"),'Calculations'!$EM176)="","",TRIM(INDEX(INDIRECT("'WCM Calibration Final'!$D$1:$D$2000"),'Calculations'!$EM176)&amp;"")),""))),IF(IFERROR(IF(INDEX(INDIRECT("'WCM Calibration Final'!$E$1:$E$2000"),'Calculations'!$EM176)="","",TRIM(INDEX(INDIRECT("'WCM Calibration Final'!$E$1:$E$2000"),'Calculations'!$EM176)&amp;"")),"")="","",IF(COUNTIF('Calculations'!$HG$13:$HG$512,"="&amp;SUBSTITUTE(SUBSTITUTE(SUBSTITUTE(IFERROR(IF(INDEX(INDIRECT("'WCM Calibration Final'!$E$1:$E$2000"),'Calculations'!$EM176)="","",TRIM(INDEX(INDIRECT("'WCM Calibration Final'!$E$1:$E$2000"),'Calculations'!$EM176)&amp;"")),""),"~","~~"),"*","~*"),"?","~?"))=1,INDEX('Calculations'!$HE$13:$HE$512,MATCH(IFERROR(IF(INDEX(INDIRECT("'WCM Calibration Final'!$E$1:$E$2000"),'Calculations'!$EM176)="","",TRIM(INDEX(INDIRECT("'WCM Calibration Final'!$E$1:$E$2000"),'Calculations'!$EM176)&amp;"")),""),'Calculations'!$HG$13:$HG$512,0)),IF(COUNTIF('Calculations'!$HG$13:$HG$512,"="&amp;SUBSTITUTE(SUBSTITUTE(SUBSTITUTE(IFERROR(IF(INDEX(INDIRECT("'WCM Calibration Final'!$E$1:$E$2000"),'Calculations'!$EM176)="","",TRIM(INDEX(INDIRECT("'WCM Calibration Final'!$E$1:$E$2000"),'Calculations'!$EM176)&amp;"")),""),"~","~~"),"*","~*"),"?","~?"))&gt;1,"!AMBIG","X:"&amp;IFERROR(IF(INDEX(INDIRECT("'WCM Calibration Final'!$E$1:$E$2000"),'Calculations'!$EM176)="","",TRIM(INDEX(INDIRECT("'WCM Calibration Final'!$E$1:$E$2000"),'Calculations'!$EM176)&amp;"")),""))))))</x:f>
      </x:c>
      <x:c r="HG176" t="str">
        <x:f>IF('Calculations'!EM176="","",IFERROR(IF(INDEX(INDIRECT("'WCM Calibration Final'!$B$1:$B$2000"),'Calculations'!$EM176)="","",TRIM(INDEX(INDIRECT("'WCM Calibration Final'!$B$1:$B$2000"),'Calculations'!$EM176)&amp;"")),""))</x:f>
      </x:c>
      <x:c r="HH176" t="n">
        <x:f>IF(AND('Calculations'!JC176&gt;0,COUNTIF('Calculations'!$HF$12:HF176,"="&amp;SUBSTITUTE(SUBSTITUTE(SUBSTITUTE('Calculations'!HF176,"~","~~"),"*","~*"),"?","~?"))=1),MAX('Calculations'!$HH$12:HH175)+1,0)</x:f>
        <x:v>0</x:v>
      </x:c>
      <x:c r="HI176" t="n">
        <x:f>IF(AND('Calculations'!HN176&lt;&gt;"",COUNTIF('Calculations'!$HN$12:HN176,"="&amp;SUBSTITUTE(SUBSTITUTE(SUBSTITUTE('Calculations'!HN176,"~","~~"),"*","~*"),"?","~?"))=1),MAX('Calculations'!$HI$12:HI175)+1,0)</x:f>
        <x:v>0</x:v>
      </x:c>
      <x:c r="HJ176" t="str">
        <x:f>IF('Calculations'!HF176="","",IF(COUNTIF('Calculations'!$HE$13:$HE$512,"="&amp;SUBSTITUTE(SUBSTITUTE(SUBSTITUTE('Calculations'!HF176,"~","~~"),"*","~*"),"?","~?"))=1,INDEX('Calculations'!$HK$13:$HK$512,MATCH('Calculations'!HF176,'Calculations'!$HE$13:$HE$512,0)),IFERROR(IF(INDEX(INDIRECT("'WCM Calibration Final'!$E$1:$E$2000"),'Calculations'!$EM176)="","",TRIM(INDEX(INDIRECT("'WCM Calibration Final'!$E$1:$E$2000"),'Calculations'!$EM176)&amp;"")),"")&amp;" ["&amp;'Calculations'!HF176&amp;"]"))</x:f>
      </x:c>
      <x:c r="HK176" t="str">
        <x:f>IF('Calculations'!EM176="","",'Calculations'!HG176&amp;" ["&amp;'Calculations'!HE176&amp;"]")</x:f>
      </x:c>
      <x:c r="HL176" t="n">
        <x:f>IF('Calculations'!EM176="",0,IF(OR('Calculations'!II176&lt;&gt;"",COUNTIF('Calculations'!$HE$13:$HE$512,"="&amp;SUBSTITUTE(SUBSTITUTE(SUBSTITUTE('Calculations'!HE176,"~","~~"),"*","~*"),"?","~?"))&gt;1),1,0))</x:f>
        <x:v>0</x:v>
      </x:c>
      <x:c r="HM176" t="str">
        <x:f>IF('Calculations'!EM176="","",IF('Calculations'!HL176=1,"!UNRESOLVED",IF('Calculations'!IH176&lt;&gt;"",'Calculations'!IH176,IF('Calculations'!IG176&lt;&gt;"",'Calculations'!IG176,IF('Calculations'!IF176&lt;&gt;"",'Calculations'!IF176,IF('Calculations'!IE176&lt;&gt;"",'Calculations'!IE176,IF('Calculations'!ID176&lt;&gt;"",'Calculations'!ID176,IF('Calculations'!IC176&lt;&gt;"",'Calculations'!IC176,IF('Calculations'!IB176&lt;&gt;"",'Calculations'!IB176,IF('Calculations'!IA176&lt;&gt;"",'Calculations'!IA176,IF('Calculations'!HZ176&lt;&gt;"",'Calculations'!HZ176,IF('Calculations'!HY176&lt;&gt;"",'Calculations'!HY176,IF('Calculations'!HX176&lt;&gt;"",'Calculations'!HX176,IF('Calculations'!HW176&lt;&gt;"",'Calculations'!HW176,IF('Calculations'!HV176&lt;&gt;"",'Calculations'!HV176,IF('Calculations'!HU176&lt;&gt;"",'Calculations'!HU176,IF('Calculations'!HT176&lt;&gt;"",'Calculations'!HT176,IF('Calculations'!HS176&lt;&gt;"",'Calculations'!HS176,IF('Calculations'!HR176&lt;&gt;"",'Calculations'!HR176,IF('Calculations'!HQ176&lt;&gt;"",'Calculations'!HQ176,IF('Calculations'!HP176&lt;&gt;"",'Calculations'!HP176,IF('Calculations'!HO176&lt;&gt;"",'Calculations'!HO176,'Calculations'!HE176))))))))))))))))))))))</x:f>
      </x:c>
      <x:c r="HN176" t="str">
        <x:f>IF('Calculations'!EM176="","",IF(IFERROR(IF(INDEX(INDIRECT("'WCM Calibration Final'!$F$1:$F$2000"),'Calculations'!$EM176)="","",TRIM(INDEX(INDIRECT("'WCM Calibration Final'!$F$1:$F$2000"),'Calculations'!$EM176)&amp;"")),"")="","(Blank)",IFERROR(IF(INDEX(INDIRECT("'WCM Calibration Final'!$F$1:$F$2000"),'Calculations'!$EM176)="","",TRIM(INDEX(INDIRECT("'WCM Calibration Final'!$F$1:$F$2000"),'Calculations'!$EM176)&amp;"")),"")))</x:f>
      </x:c>
      <x:c r="HO176" t="str">
        <x:f>'Calculations'!HF176</x:f>
      </x:c>
      <x:c r="HP176" t="str">
        <x:f>IF('Calculations'!HO176="","",IF('Calculations'!HO176="!AMBIG","!AMBIG",IF(COUNTIF('Calculations'!$HE$13:$HE$512,"="&amp;SUBSTITUTE(SUBSTITUTE(SUBSTITUTE('Calculations'!HO176,"~","~~"),"*","~*"),"?","~?"))&gt;1,"!AMBIG",IFERROR(INDEX('Calculations'!$HF$13:$HF$512,MATCH('Calculations'!HO176,'Calculations'!$HE$13:$HE$512,0)),""))))</x:f>
      </x:c>
      <x:c r="HQ176" t="str">
        <x:f>IF('Calculations'!HP176="","",IF('Calculations'!HP176="!AMBIG","!AMBIG",IF(COUNTIF('Calculations'!$HE$13:$HE$512,"="&amp;SUBSTITUTE(SUBSTITUTE(SUBSTITUTE('Calculations'!HP176,"~","~~"),"*","~*"),"?","~?"))&gt;1,"!AMBIG",IFERROR(INDEX('Calculations'!$HF$13:$HF$512,MATCH('Calculations'!HP176,'Calculations'!$HE$13:$HE$512,0)),""))))</x:f>
      </x:c>
      <x:c r="HR176" t="str">
        <x:f>IF('Calculations'!HQ176="","",IF('Calculations'!HQ176="!AMBIG","!AMBIG",IF(COUNTIF('Calculations'!$HE$13:$HE$512,"="&amp;SUBSTITUTE(SUBSTITUTE(SUBSTITUTE('Calculations'!HQ176,"~","~~"),"*","~*"),"?","~?"))&gt;1,"!AMBIG",IFERROR(INDEX('Calculations'!$HF$13:$HF$512,MATCH('Calculations'!HQ176,'Calculations'!$HE$13:$HE$512,0)),""))))</x:f>
      </x:c>
      <x:c r="HS176" t="str">
        <x:f>IF('Calculations'!HR176="","",IF('Calculations'!HR176="!AMBIG","!AMBIG",IF(COUNTIF('Calculations'!$HE$13:$HE$512,"="&amp;SUBSTITUTE(SUBSTITUTE(SUBSTITUTE('Calculations'!HR176,"~","~~"),"*","~*"),"?","~?"))&gt;1,"!AMBIG",IFERROR(INDEX('Calculations'!$HF$13:$HF$512,MATCH('Calculations'!HR176,'Calculations'!$HE$13:$HE$512,0)),""))))</x:f>
      </x:c>
      <x:c r="HT176" t="str">
        <x:f>IF('Calculations'!HS176="","",IF('Calculations'!HS176="!AMBIG","!AMBIG",IF(COUNTIF('Calculations'!$HE$13:$HE$512,"="&amp;SUBSTITUTE(SUBSTITUTE(SUBSTITUTE('Calculations'!HS176,"~","~~"),"*","~*"),"?","~?"))&gt;1,"!AMBIG",IFERROR(INDEX('Calculations'!$HF$13:$HF$512,MATCH('Calculations'!HS176,'Calculations'!$HE$13:$HE$512,0)),""))))</x:f>
      </x:c>
      <x:c r="HU176" t="str">
        <x:f>IF('Calculations'!HT176="","",IF('Calculations'!HT176="!AMBIG","!AMBIG",IF(COUNTIF('Calculations'!$HE$13:$HE$512,"="&amp;SUBSTITUTE(SUBSTITUTE(SUBSTITUTE('Calculations'!HT176,"~","~~"),"*","~*"),"?","~?"))&gt;1,"!AMBIG",IFERROR(INDEX('Calculations'!$HF$13:$HF$512,MATCH('Calculations'!HT176,'Calculations'!$HE$13:$HE$512,0)),""))))</x:f>
      </x:c>
      <x:c r="HV176" t="str">
        <x:f>IF('Calculations'!HU176="","",IF('Calculations'!HU176="!AMBIG","!AMBIG",IF(COUNTIF('Calculations'!$HE$13:$HE$512,"="&amp;SUBSTITUTE(SUBSTITUTE(SUBSTITUTE('Calculations'!HU176,"~","~~"),"*","~*"),"?","~?"))&gt;1,"!AMBIG",IFERROR(INDEX('Calculations'!$HF$13:$HF$512,MATCH('Calculations'!HU176,'Calculations'!$HE$13:$HE$512,0)),""))))</x:f>
      </x:c>
      <x:c r="HW176" t="str">
        <x:f>IF('Calculations'!HV176="","",IF('Calculations'!HV176="!AMBIG","!AMBIG",IF(COUNTIF('Calculations'!$HE$13:$HE$512,"="&amp;SUBSTITUTE(SUBSTITUTE(SUBSTITUTE('Calculations'!HV176,"~","~~"),"*","~*"),"?","~?"))&gt;1,"!AMBIG",IFERROR(INDEX('Calculations'!$HF$13:$HF$512,MATCH('Calculations'!HV176,'Calculations'!$HE$13:$HE$512,0)),""))))</x:f>
      </x:c>
      <x:c r="HX176" t="str">
        <x:f>IF('Calculations'!HW176="","",IF('Calculations'!HW176="!AMBIG","!AMBIG",IF(COUNTIF('Calculations'!$HE$13:$HE$512,"="&amp;SUBSTITUTE(SUBSTITUTE(SUBSTITUTE('Calculations'!HW176,"~","~~"),"*","~*"),"?","~?"))&gt;1,"!AMBIG",IFERROR(INDEX('Calculations'!$HF$13:$HF$512,MATCH('Calculations'!HW176,'Calculations'!$HE$13:$HE$512,0)),""))))</x:f>
      </x:c>
      <x:c r="HY176" t="str">
        <x:f>IF('Calculations'!HX176="","",IF('Calculations'!HX176="!AMBIG","!AMBIG",IF(COUNTIF('Calculations'!$HE$13:$HE$512,"="&amp;SUBSTITUTE(SUBSTITUTE(SUBSTITUTE('Calculations'!HX176,"~","~~"),"*","~*"),"?","~?"))&gt;1,"!AMBIG",IFERROR(INDEX('Calculations'!$HF$13:$HF$512,MATCH('Calculations'!HX176,'Calculations'!$HE$13:$HE$512,0)),""))))</x:f>
      </x:c>
      <x:c r="HZ176" t="str">
        <x:f>IF('Calculations'!HY176="","",IF('Calculations'!HY176="!AMBIG","!AMBIG",IF(COUNTIF('Calculations'!$HE$13:$HE$512,"="&amp;SUBSTITUTE(SUBSTITUTE(SUBSTITUTE('Calculations'!HY176,"~","~~"),"*","~*"),"?","~?"))&gt;1,"!AMBIG",IFERROR(INDEX('Calculations'!$HF$13:$HF$512,MATCH('Calculations'!HY176,'Calculations'!$HE$13:$HE$512,0)),""))))</x:f>
      </x:c>
      <x:c r="IA176" t="str">
        <x:f>IF('Calculations'!HZ176="","",IF('Calculations'!HZ176="!AMBIG","!AMBIG",IF(COUNTIF('Calculations'!$HE$13:$HE$512,"="&amp;SUBSTITUTE(SUBSTITUTE(SUBSTITUTE('Calculations'!HZ176,"~","~~"),"*","~*"),"?","~?"))&gt;1,"!AMBIG",IFERROR(INDEX('Calculations'!$HF$13:$HF$512,MATCH('Calculations'!HZ176,'Calculations'!$HE$13:$HE$512,0)),""))))</x:f>
      </x:c>
      <x:c r="IB176" t="str">
        <x:f>IF('Calculations'!IA176="","",IF('Calculations'!IA176="!AMBIG","!AMBIG",IF(COUNTIF('Calculations'!$HE$13:$HE$512,"="&amp;SUBSTITUTE(SUBSTITUTE(SUBSTITUTE('Calculations'!IA176,"~","~~"),"*","~*"),"?","~?"))&gt;1,"!AMBIG",IFERROR(INDEX('Calculations'!$HF$13:$HF$512,MATCH('Calculations'!IA176,'Calculations'!$HE$13:$HE$512,0)),""))))</x:f>
      </x:c>
      <x:c r="IC176" t="str">
        <x:f>IF('Calculations'!IB176="","",IF('Calculations'!IB176="!AMBIG","!AMBIG",IF(COUNTIF('Calculations'!$HE$13:$HE$512,"="&amp;SUBSTITUTE(SUBSTITUTE(SUBSTITUTE('Calculations'!IB176,"~","~~"),"*","~*"),"?","~?"))&gt;1,"!AMBIG",IFERROR(INDEX('Calculations'!$HF$13:$HF$512,MATCH('Calculations'!IB176,'Calculations'!$HE$13:$HE$512,0)),""))))</x:f>
      </x:c>
      <x:c r="ID176" t="str">
        <x:f>IF('Calculations'!IC176="","",IF('Calculations'!IC176="!AMBIG","!AMBIG",IF(COUNTIF('Calculations'!$HE$13:$HE$512,"="&amp;SUBSTITUTE(SUBSTITUTE(SUBSTITUTE('Calculations'!IC176,"~","~~"),"*","~*"),"?","~?"))&gt;1,"!AMBIG",IFERROR(INDEX('Calculations'!$HF$13:$HF$512,MATCH('Calculations'!IC176,'Calculations'!$HE$13:$HE$512,0)),""))))</x:f>
      </x:c>
      <x:c r="IE176" t="str">
        <x:f>IF('Calculations'!ID176="","",IF('Calculations'!ID176="!AMBIG","!AMBIG",IF(COUNTIF('Calculations'!$HE$13:$HE$512,"="&amp;SUBSTITUTE(SUBSTITUTE(SUBSTITUTE('Calculations'!ID176,"~","~~"),"*","~*"),"?","~?"))&gt;1,"!AMBIG",IFERROR(INDEX('Calculations'!$HF$13:$HF$512,MATCH('Calculations'!ID176,'Calculations'!$HE$13:$HE$512,0)),""))))</x:f>
      </x:c>
      <x:c r="IF176" t="str">
        <x:f>IF('Calculations'!IE176="","",IF('Calculations'!IE176="!AMBIG","!AMBIG",IF(COUNTIF('Calculations'!$HE$13:$HE$512,"="&amp;SUBSTITUTE(SUBSTITUTE(SUBSTITUTE('Calculations'!IE176,"~","~~"),"*","~*"),"?","~?"))&gt;1,"!AMBIG",IFERROR(INDEX('Calculations'!$HF$13:$HF$512,MATCH('Calculations'!IE176,'Calculations'!$HE$13:$HE$512,0)),""))))</x:f>
      </x:c>
      <x:c r="IG176" t="str">
        <x:f>IF('Calculations'!IF176="","",IF('Calculations'!IF176="!AMBIG","!AMBIG",IF(COUNTIF('Calculations'!$HE$13:$HE$512,"="&amp;SUBSTITUTE(SUBSTITUTE(SUBSTITUTE('Calculations'!IF176,"~","~~"),"*","~*"),"?","~?"))&gt;1,"!AMBIG",IFERROR(INDEX('Calculations'!$HF$13:$HF$512,MATCH('Calculations'!IF176,'Calculations'!$HE$13:$HE$512,0)),""))))</x:f>
      </x:c>
      <x:c r="IH176" t="str">
        <x:f>IF('Calculations'!IG176="","",IF('Calculations'!IG176="!AMBIG","!AMBIG",IF(COUNTIF('Calculations'!$HE$13:$HE$512,"="&amp;SUBSTITUTE(SUBSTITUTE(SUBSTITUTE('Calculations'!IG176,"~","~~"),"*","~*"),"?","~?"))&gt;1,"!AMBIG",IFERROR(INDEX('Calculations'!$HF$13:$HF$512,MATCH('Calculations'!IG176,'Calculations'!$HE$13:$HE$512,0)),""))))</x:f>
      </x:c>
      <x:c r="II176" t="str">
        <x:f>IF('Calculations'!IH176="","",IF('Calculations'!IH176="!AMBIG","!AMBIG",IF(COUNTIF('Calculations'!$HE$13:$HE$512,"="&amp;SUBSTITUTE(SUBSTITUTE(SUBSTITUTE('Calculations'!IH176,"~","~~"),"*","~*"),"?","~?"))&gt;1,"!AMBIG",IFERROR(INDEX('Calculations'!$HF$13:$HF$512,MATCH('Calculations'!IH176,'Calculations'!$HE$13:$HE$512,0)),""))))</x:f>
      </x:c>
      <x:c r="IJ176" t="str">
        <x:f>IF('Calculations'!EM176="","",IF('Calculations'!$EF$2="All",'Calculations'!HM176,IF('Calculations'!HL176=1,"",IFERROR(IF(MATCH('Calculations'!$EF$2,'Calculations'!HO176:II176,0)=1,'Calculations'!HE176,INDEX('Calculations'!HO176:II176,1,MATCH('Calculations'!$EF$2,'Calculations'!HO176:II176,0)-1)),""))))</x:f>
      </x:c>
      <x:c r="IK176" t="n">
        <x:f>IF(AND('Calculations'!EM176&lt;&gt;"",'Calculations'!$EF$2&lt;&gt;"All",'Calculations'!HF176='Calculations'!$EF$2,'Calculations'!HL176=0,'Calculations'!JD176&gt;0),MAX('Calculations'!$IK$12:IK175)+1,0)</x:f>
        <x:v>0</x:v>
      </x:c>
      <x:c r="JA176" t="n">
        <x:f>IF(OR(IFERROR(INDIRECT("'WCM Calibration Final'!$A$176")&lt;&gt;"",FALSE),IFERROR(INDIRECT("'WCM Calibration Final'!$B$176")&lt;&gt;"",FALSE),IFERROR(INDIRECT("'WCM Calibration Final'!$C$176")&lt;&gt;"",FALSE)),176,0)</x:f>
        <x:v>0</x:v>
      </x:c>
      <x:c r="JB176" t="n">
        <x:f>'Calculations'!JB175+IF('Calculations'!JA176&gt;0,1,0)</x:f>
        <x:v>0</x:v>
      </x:c>
      <x:c r="JC176" t="n">
        <x:f>IF(OR('Calculations'!HF176="",'Calculations'!HF176="!AMBIG"),0,IF('Dashboard'!$B$7="All",1,COUNTIFS('Calculations'!$HO$13:$HO$512,"="&amp;SUBSTITUTE(SUBSTITUTE(SUBSTITUTE('Calculations'!HF176,"~","~~"),"*","~*"),"?","~?"),'Calculations'!$HN$13:$HN$512,"="&amp;SUBSTITUTE(SUBSTITUTE(SUBSTITUTE('Dashboard'!$B$7,"~","~~"),"*","~*"),"?","~?"))+COUNTIFS('Calculations'!$HP$13:$HP$512,"="&amp;SUBSTITUTE(SUBSTITUTE(SUBSTITUTE('Calculations'!HF176,"~","~~"),"*","~*"),"?","~?"),'Calculations'!$HN$13:$HN$512,"="&amp;SUBSTITUTE(SUBSTITUTE(SUBSTITUTE('Dashboard'!$B$7,"~","~~"),"*","~*"),"?","~?"))+COUNTIFS('Calculations'!$HQ$13:$HQ$512,"="&amp;SUBSTITUTE(SUBSTITUTE(SUBSTITUTE('Calculations'!HF176,"~","~~"),"*","~*"),"?","~?"),'Calculations'!$HN$13:$HN$512,"="&amp;SUBSTITUTE(SUBSTITUTE(SUBSTITUTE('Dashboard'!$B$7,"~","~~"),"*","~*"),"?","~?"))+COUNTIFS('Calculations'!$HR$13:$HR$512,"="&amp;SUBSTITUTE(SUBSTITUTE(SUBSTITUTE('Calculations'!HF176,"~","~~"),"*","~*"),"?","~?"),'Calculations'!$HN$13:$HN$512,"="&amp;SUBSTITUTE(SUBSTITUTE(SUBSTITUTE('Dashboard'!$B$7,"~","~~"),"*","~*"),"?","~?"))+COUNTIFS('Calculations'!$HS$13:$HS$512,"="&amp;SUBSTITUTE(SUBSTITUTE(SUBSTITUTE('Calculations'!HF176,"~","~~"),"*","~*"),"?","~?"),'Calculations'!$HN$13:$HN$512,"="&amp;SUBSTITUTE(SUBSTITUTE(SUBSTITUTE('Dashboard'!$B$7,"~","~~"),"*","~*"),"?","~?"))+COUNTIFS('Calculations'!$HT$13:$HT$512,"="&amp;SUBSTITUTE(SUBSTITUTE(SUBSTITUTE('Calculations'!HF176,"~","~~"),"*","~*"),"?","~?"),'Calculations'!$HN$13:$HN$512,"="&amp;SUBSTITUTE(SUBSTITUTE(SUBSTITUTE('Dashboard'!$B$7,"~","~~"),"*","~*"),"?","~?"))+COUNTIFS('Calculations'!$HU$13:$HU$512,"="&amp;SUBSTITUTE(SUBSTITUTE(SUBSTITUTE('Calculations'!HF176,"~","~~"),"*","~*"),"?","~?"),'Calculations'!$HN$13:$HN$512,"="&amp;SUBSTITUTE(SUBSTITUTE(SUBSTITUTE('Dashboard'!$B$7,"~","~~"),"*","~*"),"?","~?"))+COUNTIFS('Calculations'!$HV$13:$HV$512,"="&amp;SUBSTITUTE(SUBSTITUTE(SUBSTITUTE('Calculations'!HF176,"~","~~"),"*","~*"),"?","~?"),'Calculations'!$HN$13:$HN$512,"="&amp;SUBSTITUTE(SUBSTITUTE(SUBSTITUTE('Dashboard'!$B$7,"~","~~"),"*","~*"),"?","~?"))+COUNTIFS('Calculations'!$HW$13:$HW$512,"="&amp;SUBSTITUTE(SUBSTITUTE(SUBSTITUTE('Calculations'!HF176,"~","~~"),"*","~*"),"?","~?"),'Calculations'!$HN$13:$HN$512,"="&amp;SUBSTITUTE(SUBSTITUTE(SUBSTITUTE('Dashboard'!$B$7,"~","~~"),"*","~*"),"?","~?"))+COUNTIFS('Calculations'!$HX$13:$HX$512,"="&amp;SUBSTITUTE(SUBSTITUTE(SUBSTITUTE('Calculations'!HF176,"~","~~"),"*","~*"),"?","~?"),'Calculations'!$HN$13:$HN$512,"="&amp;SUBSTITUTE(SUBSTITUTE(SUBSTITUTE('Dashboard'!$B$7,"~","~~"),"*","~*"),"?","~?"))+COUNTIFS('Calculations'!$HY$13:$HY$512,"="&amp;SUBSTITUTE(SUBSTITUTE(SUBSTITUTE('Calculations'!HF176,"~","~~"),"*","~*"),"?","~?"),'Calculations'!$HN$13:$HN$512,"="&amp;SUBSTITUTE(SUBSTITUTE(SUBSTITUTE('Dashboard'!$B$7,"~","~~"),"*","~*"),"?","~?"))+COUNTIFS('Calculations'!$HZ$13:$HZ$512,"="&amp;SUBSTITUTE(SUBSTITUTE(SUBSTITUTE('Calculations'!HF176,"~","~~"),"*","~*"),"?","~?"),'Calculations'!$HN$13:$HN$512,"="&amp;SUBSTITUTE(SUBSTITUTE(SUBSTITUTE('Dashboard'!$B$7,"~","~~"),"*","~*"),"?","~?"))+COUNTIFS('Calculations'!$IA$13:$IA$512,"="&amp;SUBSTITUTE(SUBSTITUTE(SUBSTITUTE('Calculations'!HF176,"~","~~"),"*","~*"),"?","~?"),'Calculations'!$HN$13:$HN$512,"="&amp;SUBSTITUTE(SUBSTITUTE(SUBSTITUTE('Dashboard'!$B$7,"~","~~"),"*","~*"),"?","~?"))+COUNTIFS('Calculations'!$IB$13:$IB$512,"="&amp;SUBSTITUTE(SUBSTITUTE(SUBSTITUTE('Calculations'!HF176,"~","~~"),"*","~*"),"?","~?"),'Calculations'!$HN$13:$HN$512,"="&amp;SUBSTITUTE(SUBSTITUTE(SUBSTITUTE('Dashboard'!$B$7,"~","~~"),"*","~*"),"?","~?"))+COUNTIFS('Calculations'!$IC$13:$IC$512,"="&amp;SUBSTITUTE(SUBSTITUTE(SUBSTITUTE('Calculations'!HF176,"~","~~"),"*","~*"),"?","~?"),'Calculations'!$HN$13:$HN$512,"="&amp;SUBSTITUTE(SUBSTITUTE(SUBSTITUTE('Dashboard'!$B$7,"~","~~"),"*","~*"),"?","~?"))+COUNTIFS('Calculations'!$ID$13:$ID$512,"="&amp;SUBSTITUTE(SUBSTITUTE(SUBSTITUTE('Calculations'!HF176,"~","~~"),"*","~*"),"?","~?"),'Calculations'!$HN$13:$HN$512,"="&amp;SUBSTITUTE(SUBSTITUTE(SUBSTITUTE('Dashboard'!$B$7,"~","~~"),"*","~*"),"?","~?"))+COUNTIFS('Calculations'!$IE$13:$IE$512,"="&amp;SUBSTITUTE(SUBSTITUTE(SUBSTITUTE('Calculations'!HF176,"~","~~"),"*","~*"),"?","~?"),'Calculations'!$HN$13:$HN$512,"="&amp;SUBSTITUTE(SUBSTITUTE(SUBSTITUTE('Dashboard'!$B$7,"~","~~"),"*","~*"),"?","~?"))+COUNTIFS('Calculations'!$IF$13:$IF$512,"="&amp;SUBSTITUTE(SUBSTITUTE(SUBSTITUTE('Calculations'!HF176,"~","~~"),"*","~*"),"?","~?"),'Calculations'!$HN$13:$HN$512,"="&amp;SUBSTITUTE(SUBSTITUTE(SUBSTITUTE('Dashboard'!$B$7,"~","~~"),"*","~*"),"?","~?"))+COUNTIFS('Calculations'!$IG$13:$IG$512,"="&amp;SUBSTITUTE(SUBSTITUTE(SUBSTITUTE('Calculations'!HF176,"~","~~"),"*","~*"),"?","~?"),'Calculations'!$HN$13:$HN$512,"="&amp;SUBSTITUTE(SUBSTITUTE(SUBSTITUTE('Dashboard'!$B$7,"~","~~"),"*","~*"),"?","~?"))+COUNTIFS('Calculations'!$IH$13:$IH$512,"="&amp;SUBSTITUTE(SUBSTITUTE(SUBSTITUTE('Calculations'!HF176,"~","~~"),"*","~*"),"?","~?"),'Calculations'!$HN$13:$HN$512,"="&amp;SUBSTITUTE(SUBSTITUTE(SUBSTITUTE('Dashboard'!$B$7,"~","~~"),"*","~*"),"?","~?"))))</x:f>
        <x:v>0</x:v>
      </x:c>
      <x:c r="JD176" t="n">
        <x:f>IF('Calculations'!EM176="",0,IF('Dashboard'!$B$7="All",1,IF('Calculations'!HN176='Dashboard'!$B$7,1,0)+IFERROR(INDEX('Calculations'!$JC$13:$JC$512,MATCH('Calculations'!HE176,'Calculations'!$HF$13:$HF$512,0)),0)))</x:f>
        <x:v>0</x:v>
      </x:c>
      <x:c r="JE176" t="n">
        <x:f>IF(AND('Calculations'!EM176&lt;&gt;"",'Calculations'!$JJ$2&lt;&gt;"All",'Calculations'!$JJ$2&lt;&gt;"",'Calculations'!HF176='Calculations'!$JJ$2,'Calculations'!HL176=0,'Calculations'!JD176&gt;0),MAX('Calculations'!$JE$12:JE175)+1,0)</x:f>
        <x:v>0</x:v>
      </x:c>
      <x:c r="JF176" t="str">
        <x:f>IF('Calculations'!EM176="","",IFERROR(IF(INDEX(INDIRECT("'WCM Calibration Final'!$G$1:$G$2000"),'Calculations'!$EM176)="","",TRIM(INDEX(INDIRECT("'WCM Calibration Final'!$G$1:$G$2000"),'Calculations'!$EM176)&amp;"")),""))</x:f>
      </x:c>
      <x:c r="JQ176" t="n">
        <x:f>IF(OR('Calculations'!BM176=0,NOT('Calculations'!$AG$2),'Calculations'!$AG$8&gt;0),0,IF(OR('Dashboard'!$B$7="All",'Calculations'!HN176='Dashboard'!$B$7),IF('Calculations'!$JJ$2="All",1,IF(AND('Calculations'!HF176='Calculations'!$JJ$2,'Calculations'!HL176=0),1,0)),0))</x:f>
        <x:v>0</x:v>
      </x:c>
    </x:row>
    <x:row r="177">
      <x:c r="AF177" s="4"/>
      <x:c r="AG177" s="4"/>
      <x:c r="AH177" s="4"/>
      <x:c r="AI177" s="4"/>
      <x:c r="AJ177" s="4"/>
      <x:c r="AK177" s="4"/>
      <x:c r="AL177" s="4"/>
      <x:c r="AM177" s="4"/>
      <x:c r="AN177" s="4"/>
      <x:c r="AO177" s="4"/>
      <x:c r="AP177" s="4"/>
      <x:c r="AQ177" s="4"/>
      <x:c r="AR177" s="4"/>
      <x:c r="AS177" s="4"/>
      <x:c r="AT177" s="4"/>
      <x:c r="AU177" s="4"/>
      <x:c r="AV177" s="4"/>
      <x:c r="AW177" s="4"/>
      <x:c r="AX177" s="4"/>
      <x:c r="AY177" s="4"/>
      <x:c r="AZ177" s="4"/>
      <x:c r="BA177" s="4"/>
      <x:c r="BB177" s="4"/>
      <x:c r="BC177" s="4"/>
      <x:c r="BD177" s="4"/>
      <x:c r="BE177" s="4"/>
      <x:c r="BF177" s="4"/>
      <x:c r="BG177" s="4"/>
      <x:c r="BH177" s="4"/>
      <x:c r="BI177" s="4"/>
      <x:c r="BJ177" s="4"/>
      <x:c r="BK177" s="4"/>
      <x:c r="BL177" s="4"/>
      <x:c r="BM177" s="4" t="n">
        <x:f>IF('Calculations'!$EM177="",0,IF(OR(IFERROR(INDEX(INDIRECT("'WCM Calibration Final'!$A$1:$A$2000"),'Calculations'!$EM177)&lt;&gt;"",FALSE),IFERROR(INDEX(INDIRECT("'WCM Calibration Final'!$B$1:$B$2000"),'Calculations'!$EM177)&lt;&gt;"",FALSE),IFERROR(INDEX(INDIRECT("'WCM Calibration Final'!$C$1:$C$2000"),'Calculations'!$EM177)&lt;&gt;"",FALSE)),1,0))</x:f>
        <x:v>0</x:v>
      </x:c>
      <x:c r="BN177" s="4" t="n">
        <x:f>IF(AND('Calculations'!BM177=1,'Calculations'!$AG$2,'Calculations'!$EN177=1),1,0)</x:f>
        <x:v>0</x:v>
      </x:c>
      <x:c r="BO177" s="4" t="str">
        <x:f>IF('Calculations'!BM177=0,"",IFERROR(IF(AND(VALUE(INDEX(INDIRECT("'WCM Calibration Final'!$K$1:$K$2000"),'Calculations'!$EM177))&gt;=1,VALUE(INDEX(INDIRECT("'WCM Calibration Final'!$K$1:$K$2000"),'Calculations'!$EM177))&lt;=4,MOD(VALUE(INDEX(INDIRECT("'WCM Calibration Final'!$K$1:$K$2000"),'Calculations'!$EM177)),1)=0),VALUE(INDEX(INDIRECT("'WCM Calibration Final'!$K$1:$K$2000"),'Calculations'!$EM177)),""),""))</x:f>
      </x:c>
      <x:c r="BP177" s="4" t="str">
        <x:f>IF('Calculations'!BM177=0,"",IFERROR(IF(AND(VALUE(INDEX(INDIRECT("'WCM Calibration Final'!$L$1:$L$2000"),'Calculations'!$EM177))&gt;=1,VALUE(INDEX(INDIRECT("'WCM Calibration Final'!$L$1:$L$2000"),'Calculations'!$EM177))&lt;=4,MOD(VALUE(INDEX(INDIRECT("'WCM Calibration Final'!$L$1:$L$2000"),'Calculations'!$EM177)),1)=0),VALUE(INDEX(INDIRECT("'WCM Calibration Final'!$L$1:$L$2000"),'Calculations'!$EM177)),""),""))</x:f>
      </x:c>
      <x:c r="BQ177" s="4"/>
      <x:c r="BR177" s="4"/>
      <x:c r="BS177" s="4"/>
      <x:c r="BT177" s="4" t="n">
        <x:f>IF(AND('Calculations'!BM177=1,ISNUMBER('Calculations'!BO177),ISNUMBER('Calculations'!BP177)),1,0)</x:f>
        <x:v>0</x:v>
      </x:c>
      <x:c r="BU177" s="4" t="str">
        <x:f>IF('Calculations'!BM177=0,"",'Calculations'!$EO177)</x:f>
      </x:c>
      <x:c r="BV177" s="4" t="str">
        <x:f>IF('Calculations'!BM177=0,"",IFERROR(IF(OR(INDEX(INDIRECT("'WCM Calibration Final'!$H$1:$H$2000"),'Calculations'!$EM177)="MANAGING DIRECTOR",INDEX(INDIRECT("'WCM Calibration Final'!$H$1:$H$2000"),'Calculations'!$EM177)="DIRECTOR",INDEX(INDIRECT("'WCM Calibration Final'!$H$1:$H$2000"),'Calculations'!$EM177)="SENIOR VICE PRESIDENT",INDEX(INDIRECT("'WCM Calibration Final'!$H$1:$H$2000"),'Calculations'!$EM177)="VICE PRESIDENT",INDEX(INDIRECT("'WCM Calibration Final'!$H$1:$H$2000"),'Calculations'!$EM177)="ASSISTANT VICE PRESIDENT",INDEX(INDIRECT("'WCM Calibration Final'!$H$1:$H$2000"),'Calculations'!$EM177)="OFFICER"),UPPER(INDEX(INDIRECT("'WCM Calibration Final'!$H$1:$H$2000"),'Calculations'!$EM177)),"Other"),"Other"))</x:f>
      </x:c>
      <x:c r="BW177" s="4"/>
      <x:c r="BX177" s="4"/>
      <x:c r="BY177" s="4" t="n">
        <x:f>IF(AND('Calculations'!BM177=1,'Calculations'!BU177&lt;&gt;"",COUNTIF('Calculations'!$BU$12:BU177,'Calculations'!BU177)=1),MAX('Calculations'!$BY$11:BY176)+1,0)</x:f>
        <x:v>0</x:v>
      </x:c>
      <x:c r="BZ177" s="4" t="str">
        <x:f>IF('Dashboard'!$E$67="What",'Calculations'!BO177,'Calculations'!BP177)</x:f>
      </x:c>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t="str">
        <x:f>IF(166&gt;MAX('Calculations'!$HI$13:$HI$512),"",INDEX('Calculations'!$HN$13:$HN$512,MATCH(166,'Calculations'!$HI$13:$HI$512,0)))</x:f>
      </x:c>
      <x:c r="DB177" s="4" t="str">
        <x:f>IF(166&gt;MAX('Calculations'!$HH$13:$HH$512),"",INDEX('Calculations'!$HJ$13:$HJ$512,MATCH(166,'Calculations'!$HH$13:$HH$512,0)))</x:f>
      </x:c>
      <x:c r="DC177" s="4" t="str">
        <x:f>IF(ROW()-11&gt;MAX('Calculations'!$BY$13:$BY$512),"",INDEX('Calculations'!$BU$13:$BU$512,MATCH(ROW()-11,'Calculations'!$BY$13:$BY$512,0)))</x:f>
      </x:c>
      <x:c r="DD177" s="4" t="str">
        <x:f>IF(166&gt;MAX('Calculations'!$IK$13:$IK$512),"",INDEX('Calculations'!$HK$13:$HK$512,MATCH(166,'Calculations'!$IK$13:$IK$512,0)))</x:f>
      </x:c>
      <x:c r="DE177" s="4" t="str">
        <x:f>'Calculations'!DC177</x:f>
      </x:c>
      <x:c r="DF177" s="4" t="str">
        <x:f>IF('Calculations'!DE177="","",COUNTIFS('Calculations'!$BN$13:$BN$512,1,'Calculations'!$BU$13:$BU$512,'Calculations'!DE177))</x:f>
      </x:c>
      <x:c r="DG177" s="4" t="str">
        <x:f>IF('Calculations'!DE177="","",COUNTIFS('Calculations'!$BN$13:$BN$512,1,'Calculations'!$BU$13:$BU$512,'Calculations'!DE177,'Calculations'!$BT$13:$BT$512,1))</x:f>
      </x:c>
      <x:c r="DH177" s="4" t="str">
        <x:f>IF('Calculations'!DE177="","",'Calculations'!DF177-'Calculations'!DG177)</x:f>
      </x:c>
      <x:c r="DI177" s="4" t="str">
        <x:f>IF(OR('Calculations'!DE177="",'Calculations'!DF177=0),"",'Calculations'!DG177/'Calculations'!DF177)</x:f>
      </x:c>
      <x:c r="DJ177" s="4" t="str">
        <x:f>IF('Calculations'!DE177="","",COUNTIFS('Calculations'!$BN$13:$BN$512,1,'Calculations'!$BU$13:$BU$512,'Calculations'!DE177,'Calculations'!$BT$13:$BT$512,1,'Calculations'!$EE$13:$EE$512,"High"))</x:f>
      </x:c>
      <x:c r="DK177" s="4" t="str">
        <x:f>IF('Calculations'!DE177="","",COUNTIFS('Calculations'!$BN$13:$BN$512,1,'Calculations'!$BU$13:$BU$512,'Calculations'!DE177,'Calculations'!$BT$13:$BT$512,1,'Calculations'!$EE$13:$EE$512,"Strong"))</x:f>
      </x:c>
      <x:c r="DL177" s="4" t="str">
        <x:f>IF('Calculations'!DE177="","",COUNTIFS('Calculations'!$BN$13:$BN$512,1,'Calculations'!$BU$13:$BU$512,'Calculations'!DE177,'Calculations'!$BT$13:$BT$512,1,'Calculations'!$EE$13:$EE$512,"Solid"))</x:f>
      </x:c>
      <x:c r="DM177" s="4" t="str">
        <x:f>IF('Calculations'!DE177="","",COUNTIFS('Calculations'!$BN$13:$BN$512,1,'Calculations'!$BU$13:$BU$512,'Calculations'!DE177,'Calculations'!$BT$13:$BT$512,1,'Calculations'!$EE$13:$EE$512,"Low"))</x:f>
      </x:c>
      <x:c r="DN177" s="4" t="str">
        <x:f>IF('Calculations'!DE177="","",COUNTIFS('Calculations'!$BN$13:$BN$512,1,'Calculations'!$BU$13:$BU$512,'Calculations'!DE177,'Calculations'!$EP$13:$EP$512,1))</x:f>
      </x:c>
      <x:c r="DO177" s="4" t="str">
        <x:f>IF(OR('Calculations'!DE177="",'Calculations'!DG177=0),"",('Calculations'!DJ177+'Calculations'!DK177)/'Calculations'!DG177)</x:f>
      </x:c>
      <x:c r="DP177" s="4" t="n">
        <x:f>IF(AND('Calculations'!DE177&lt;&gt;"",'Calculations'!DF177&gt;0),COUNTIF('Calculations'!$DF$12:DF177,"&gt;0"),0)</x:f>
        <x:v>0</x:v>
      </x:c>
      <x:c r="DQ177" s="4" t="str">
        <x:f>IF(166&gt;MAX('Calculations'!$HH$13:$HH$512),"",INDEX('Calculations'!$HF$13:$HF$512,MATCH(166,'Calculations'!$HH$13:$HH$512,0)))</x:f>
      </x:c>
      <x:c r="DR177" s="4" t="str">
        <x:f>IF(166&gt;MAX('Calculations'!$IK$13:$IK$512),"",INDEX('Calculations'!$HE$13:$HE$512,MATCH(166,'Calculations'!$IK$13:$IK$512,0)))</x:f>
      </x:c>
      <x:c r="DS177" s="4"/>
      <x:c r="DT177" s="4"/>
      <x:c r="DU177" s="4"/>
      <x:c r="DV177" s="4"/>
      <x:c r="DW177" s="4"/>
      <x:c r="DX177" s="4"/>
      <x:c r="DY177" s="4"/>
      <x:c r="DZ177" s="4"/>
      <x:c r="EA177" s="4"/>
      <x:c r="EB177" s="4"/>
      <x:c r="EC177" s="4"/>
      <x:c r="ED177" s="4"/>
      <x:c r="EE177" s="4" t="str">
        <x:f>IF('Calculations'!BT177=0,"Not Rated",IF(OR('Calculations'!BO177&gt;=4,'Calculations'!BP177&gt;=4),"Low",IF('Calculations'!BO177+'Calculations'!BP177&lt;=3,"High",IF('Calculations'!BO177+'Calculations'!BP177&lt;=4,"Strong","Solid"))))</x:f>
        <x:v>Not Rated</x:v>
      </x:c>
      <x:c r="EF177" s="4"/>
      <x:c r="EG177" s="4"/>
      <x:c r="EH177" s="4"/>
      <x:c r="EI177" s="4"/>
      <x:c r="EJ177" s="4"/>
      <x:c r="EK177" s="4"/>
      <x:c r="EL177" s="4"/>
      <x:c r="EM177" s="4" t="str">
        <x:f>IF(165&gt;'Calculations'!$JB$2000,"",INDEX('Calculations'!$JA$12:$JA$2000,MATCH(165,'Calculations'!$JB$12:$JB$2000,0)))</x:f>
      </x:c>
      <x:c r="EN177" s="4" t="n">
        <x:f>IF(OR('Calculations'!EM177="",'Calculations'!$AG$8&gt;0,AND('Calculations'!$EF$2&lt;&gt;"All",'Calculations'!HE177='Calculations'!$EF$2),AND('Calculations'!$EF$3&lt;&gt;"All",'Calculations'!HE177='Calculations'!$EF$3)),0,IF(OR('Dashboard'!$B$7="All",'Calculations'!HN177='Dashboard'!$B$7),IF('Calculations'!$EF$2="All",1,IF('Calculations'!HL177&gt;0,0,IF(COUNTIF('Calculations'!HO177:II177,"="&amp;SUBSTITUTE(SUBSTITUTE(SUBSTITUTE('Calculations'!$EF$2,"~","~~"),"*","~*"),"?","~?"))=0,0,IF('Calculations'!$EF$3="All",1,IF(COUNTIF('Calculations'!HO177:II177,"="&amp;SUBSTITUTE(SUBSTITUTE(SUBSTITUTE('Calculations'!$EF$3,"~","~~"),"*","~*"),"?","~?"))&gt;0,1,0))))),0))</x:f>
        <x:v>0</x:v>
      </x:c>
      <x:c r="EO177" s="4" t="str">
        <x:f>IF('Calculations'!IJ177="","",IF('Calculations'!IJ177="!UNRESOLVED","Unresolved hierarchy",IFERROR(INDEX('Calculations'!$HK$13:$HK$512,MATCH('Calculations'!IJ177,'Calculations'!$HE$13:$HE$512,0)),IFERROR(INDEX('Calculations'!$HJ$13:$HJ$512,MATCH('Calculations'!IJ177,'Calculations'!$HF$13:$HF$512,0)),'Calculations'!IJ177))))</x:f>
      </x:c>
      <x:c r="EP177" s="4" t="n">
        <x:f>IF(AND('Calculations'!EM177&lt;&gt;"",'Calculations'!HF177='Calculations'!IJ177),1,0)</x:f>
        <x:v>0</x:v>
      </x:c>
      <x:c r="EQ177" s="4"/>
      <x:c r="ER177" s="4"/>
      <x:c r="ES177" s="4"/>
      <x:c r="ET177" s="4"/>
      <x:c r="EU177" s="4"/>
      <x:c r="EV177" s="4"/>
      <x:c r="EW177" s="4"/>
      <x:c r="EX177" s="4"/>
      <x:c r="EY177" s="4"/>
      <x:c r="EZ177" s="4"/>
      <x:c r="FA177" s="4"/>
      <x:c r="FB177" s="4"/>
      <x:c r="FC177" s="4"/>
      <x:c r="FD177" s="4"/>
      <x:c r="FE177" s="4"/>
      <x:c r="FF177" s="4"/>
      <x:c r="FG177" s="4"/>
      <x:c r="FH177" s="4"/>
      <x:c r="FI177" s="4"/>
      <x:c r="FJ177" s="4"/>
      <x:c r="FK177" s="4"/>
      <x:c r="FL177" s="4"/>
      <x:c r="FM177" s="4"/>
      <x:c r="FN177" s="4"/>
      <x:c r="FO177" s="4"/>
      <x:c r="GA177" s="71"/>
      <x:c r="GB177" s="71"/>
      <x:c r="GC177" s="71"/>
      <x:c r="GD177" s="71"/>
      <x:c r="GE177" s="71"/>
      <x:c r="GF177" s="71"/>
      <x:c r="GG177" s="71"/>
      <x:c r="GH177" s="71"/>
      <x:c r="GI177" s="71"/>
      <x:c r="GJ177" s="71"/>
      <x:c r="GK177" s="71"/>
      <x:c r="GL177" s="71"/>
      <x:c r="GM177" s="71"/>
      <x:c r="GN177" s="71"/>
      <x:c r="GO177" s="71"/>
      <x:c r="GP177" s="71"/>
      <x:c r="GQ177" s="71"/>
      <x:c r="GR177" s="71"/>
      <x:c r="GS177" s="71"/>
      <x:c r="GT177" s="71"/>
      <x:c r="GU177" s="71"/>
      <x:c r="GV177" s="71"/>
      <x:c r="GW177" s="71"/>
      <x:c r="GX177" s="71"/>
      <x:c r="GY177" s="71"/>
      <x:c r="GZ177" s="71"/>
      <x:c r="HA177" s="71"/>
      <x:c r="HB177" s="71"/>
      <x:c r="HC177" s="71"/>
      <x:c r="HD177" s="71"/>
      <x:c r="HE177" t="str">
        <x:f>IF('Calculations'!EM177="","",IF(IFERROR(IF(INDEX(INDIRECT("'WCM Calibration Final'!$A$1:$A$2000"),'Calculations'!$EM177)="","",TRIM(INDEX(INDIRECT("'WCM Calibration Final'!$A$1:$A$2000"),'Calculations'!$EM177)&amp;"")),"")&lt;&gt;"","G:"&amp;IFERROR(TEXT(1*INDEX(INDIRECT("'WCM Calibration Final'!$A$1:$A$2000"),'Calculations'!$EM177),"0"),UPPER(IFERROR(IF(INDEX(INDIRECT("'WCM Calibration Final'!$A$1:$A$2000"),'Calculations'!$EM177)="","",TRIM(INDEX(INDIRECT("'WCM Calibration Final'!$A$1:$A$2000"),'Calculations'!$EM177)&amp;"")),""))),IF(IFERROR(IF(INDEX(INDIRECT("'WCM Calibration Final'!$C$1:$C$2000"),'Calculations'!$EM177)="","",TRIM(INDEX(INDIRECT("'WCM Calibration Final'!$C$1:$C$2000"),'Calculations'!$EM177)&amp;"")),"")&lt;&gt;"","S:"&amp;UPPER(IFERROR(IF(INDEX(INDIRECT("'WCM Calibration Final'!$C$1:$C$2000"),'Calculations'!$EM177)="","",TRIM(INDEX(INDIRECT("'WCM Calibration Final'!$C$1:$C$2000"),'Calculations'!$EM177)&amp;"")),"")),"R:"&amp;'Calculations'!EM177)))</x:f>
      </x:c>
      <x:c r="HF177" t="str">
        <x:f>IF('Calculations'!EM177="","",IF(IFERROR(IF(INDEX(INDIRECT("'WCM Calibration Final'!$D$1:$D$2000"),'Calculations'!$EM177)="","",TRIM(INDEX(INDIRECT("'WCM Calibration Final'!$D$1:$D$2000"),'Calculations'!$EM177)&amp;"")),"")&lt;&gt;"","G:"&amp;IFERROR(TEXT(1*INDEX(INDIRECT("'WCM Calibration Final'!$D$1:$D$2000"),'Calculations'!$EM177),"0"),UPPER(IFERROR(IF(INDEX(INDIRECT("'WCM Calibration Final'!$D$1:$D$2000"),'Calculations'!$EM177)="","",TRIM(INDEX(INDIRECT("'WCM Calibration Final'!$D$1:$D$2000"),'Calculations'!$EM177)&amp;"")),""))),IF(IFERROR(IF(INDEX(INDIRECT("'WCM Calibration Final'!$E$1:$E$2000"),'Calculations'!$EM177)="","",TRIM(INDEX(INDIRECT("'WCM Calibration Final'!$E$1:$E$2000"),'Calculations'!$EM177)&amp;"")),"")="","",IF(COUNTIF('Calculations'!$HG$13:$HG$512,"="&amp;SUBSTITUTE(SUBSTITUTE(SUBSTITUTE(IFERROR(IF(INDEX(INDIRECT("'WCM Calibration Final'!$E$1:$E$2000"),'Calculations'!$EM177)="","",TRIM(INDEX(INDIRECT("'WCM Calibration Final'!$E$1:$E$2000"),'Calculations'!$EM177)&amp;"")),""),"~","~~"),"*","~*"),"?","~?"))=1,INDEX('Calculations'!$HE$13:$HE$512,MATCH(IFERROR(IF(INDEX(INDIRECT("'WCM Calibration Final'!$E$1:$E$2000"),'Calculations'!$EM177)="","",TRIM(INDEX(INDIRECT("'WCM Calibration Final'!$E$1:$E$2000"),'Calculations'!$EM177)&amp;"")),""),'Calculations'!$HG$13:$HG$512,0)),IF(COUNTIF('Calculations'!$HG$13:$HG$512,"="&amp;SUBSTITUTE(SUBSTITUTE(SUBSTITUTE(IFERROR(IF(INDEX(INDIRECT("'WCM Calibration Final'!$E$1:$E$2000"),'Calculations'!$EM177)="","",TRIM(INDEX(INDIRECT("'WCM Calibration Final'!$E$1:$E$2000"),'Calculations'!$EM177)&amp;"")),""),"~","~~"),"*","~*"),"?","~?"))&gt;1,"!AMBIG","X:"&amp;IFERROR(IF(INDEX(INDIRECT("'WCM Calibration Final'!$E$1:$E$2000"),'Calculations'!$EM177)="","",TRIM(INDEX(INDIRECT("'WCM Calibration Final'!$E$1:$E$2000"),'Calculations'!$EM177)&amp;"")),""))))))</x:f>
      </x:c>
      <x:c r="HG177" t="str">
        <x:f>IF('Calculations'!EM177="","",IFERROR(IF(INDEX(INDIRECT("'WCM Calibration Final'!$B$1:$B$2000"),'Calculations'!$EM177)="","",TRIM(INDEX(INDIRECT("'WCM Calibration Final'!$B$1:$B$2000"),'Calculations'!$EM177)&amp;"")),""))</x:f>
      </x:c>
      <x:c r="HH177" t="n">
        <x:f>IF(AND('Calculations'!JC177&gt;0,COUNTIF('Calculations'!$HF$12:HF177,"="&amp;SUBSTITUTE(SUBSTITUTE(SUBSTITUTE('Calculations'!HF177,"~","~~"),"*","~*"),"?","~?"))=1),MAX('Calculations'!$HH$12:HH176)+1,0)</x:f>
        <x:v>0</x:v>
      </x:c>
      <x:c r="HI177" t="n">
        <x:f>IF(AND('Calculations'!HN177&lt;&gt;"",COUNTIF('Calculations'!$HN$12:HN177,"="&amp;SUBSTITUTE(SUBSTITUTE(SUBSTITUTE('Calculations'!HN177,"~","~~"),"*","~*"),"?","~?"))=1),MAX('Calculations'!$HI$12:HI176)+1,0)</x:f>
        <x:v>0</x:v>
      </x:c>
      <x:c r="HJ177" t="str">
        <x:f>IF('Calculations'!HF177="","",IF(COUNTIF('Calculations'!$HE$13:$HE$512,"="&amp;SUBSTITUTE(SUBSTITUTE(SUBSTITUTE('Calculations'!HF177,"~","~~"),"*","~*"),"?","~?"))=1,INDEX('Calculations'!$HK$13:$HK$512,MATCH('Calculations'!HF177,'Calculations'!$HE$13:$HE$512,0)),IFERROR(IF(INDEX(INDIRECT("'WCM Calibration Final'!$E$1:$E$2000"),'Calculations'!$EM177)="","",TRIM(INDEX(INDIRECT("'WCM Calibration Final'!$E$1:$E$2000"),'Calculations'!$EM177)&amp;"")),"")&amp;" ["&amp;'Calculations'!HF177&amp;"]"))</x:f>
      </x:c>
      <x:c r="HK177" t="str">
        <x:f>IF('Calculations'!EM177="","",'Calculations'!HG177&amp;" ["&amp;'Calculations'!HE177&amp;"]")</x:f>
      </x:c>
      <x:c r="HL177" t="n">
        <x:f>IF('Calculations'!EM177="",0,IF(OR('Calculations'!II177&lt;&gt;"",COUNTIF('Calculations'!$HE$13:$HE$512,"="&amp;SUBSTITUTE(SUBSTITUTE(SUBSTITUTE('Calculations'!HE177,"~","~~"),"*","~*"),"?","~?"))&gt;1),1,0))</x:f>
        <x:v>0</x:v>
      </x:c>
      <x:c r="HM177" t="str">
        <x:f>IF('Calculations'!EM177="","",IF('Calculations'!HL177=1,"!UNRESOLVED",IF('Calculations'!IH177&lt;&gt;"",'Calculations'!IH177,IF('Calculations'!IG177&lt;&gt;"",'Calculations'!IG177,IF('Calculations'!IF177&lt;&gt;"",'Calculations'!IF177,IF('Calculations'!IE177&lt;&gt;"",'Calculations'!IE177,IF('Calculations'!ID177&lt;&gt;"",'Calculations'!ID177,IF('Calculations'!IC177&lt;&gt;"",'Calculations'!IC177,IF('Calculations'!IB177&lt;&gt;"",'Calculations'!IB177,IF('Calculations'!IA177&lt;&gt;"",'Calculations'!IA177,IF('Calculations'!HZ177&lt;&gt;"",'Calculations'!HZ177,IF('Calculations'!HY177&lt;&gt;"",'Calculations'!HY177,IF('Calculations'!HX177&lt;&gt;"",'Calculations'!HX177,IF('Calculations'!HW177&lt;&gt;"",'Calculations'!HW177,IF('Calculations'!HV177&lt;&gt;"",'Calculations'!HV177,IF('Calculations'!HU177&lt;&gt;"",'Calculations'!HU177,IF('Calculations'!HT177&lt;&gt;"",'Calculations'!HT177,IF('Calculations'!HS177&lt;&gt;"",'Calculations'!HS177,IF('Calculations'!HR177&lt;&gt;"",'Calculations'!HR177,IF('Calculations'!HQ177&lt;&gt;"",'Calculations'!HQ177,IF('Calculations'!HP177&lt;&gt;"",'Calculations'!HP177,IF('Calculations'!HO177&lt;&gt;"",'Calculations'!HO177,'Calculations'!HE177))))))))))))))))))))))</x:f>
      </x:c>
      <x:c r="HN177" t="str">
        <x:f>IF('Calculations'!EM177="","",IF(IFERROR(IF(INDEX(INDIRECT("'WCM Calibration Final'!$F$1:$F$2000"),'Calculations'!$EM177)="","",TRIM(INDEX(INDIRECT("'WCM Calibration Final'!$F$1:$F$2000"),'Calculations'!$EM177)&amp;"")),"")="","(Blank)",IFERROR(IF(INDEX(INDIRECT("'WCM Calibration Final'!$F$1:$F$2000"),'Calculations'!$EM177)="","",TRIM(INDEX(INDIRECT("'WCM Calibration Final'!$F$1:$F$2000"),'Calculations'!$EM177)&amp;"")),"")))</x:f>
      </x:c>
      <x:c r="HO177" t="str">
        <x:f>'Calculations'!HF177</x:f>
      </x:c>
      <x:c r="HP177" t="str">
        <x:f>IF('Calculations'!HO177="","",IF('Calculations'!HO177="!AMBIG","!AMBIG",IF(COUNTIF('Calculations'!$HE$13:$HE$512,"="&amp;SUBSTITUTE(SUBSTITUTE(SUBSTITUTE('Calculations'!HO177,"~","~~"),"*","~*"),"?","~?"))&gt;1,"!AMBIG",IFERROR(INDEX('Calculations'!$HF$13:$HF$512,MATCH('Calculations'!HO177,'Calculations'!$HE$13:$HE$512,0)),""))))</x:f>
      </x:c>
      <x:c r="HQ177" t="str">
        <x:f>IF('Calculations'!HP177="","",IF('Calculations'!HP177="!AMBIG","!AMBIG",IF(COUNTIF('Calculations'!$HE$13:$HE$512,"="&amp;SUBSTITUTE(SUBSTITUTE(SUBSTITUTE('Calculations'!HP177,"~","~~"),"*","~*"),"?","~?"))&gt;1,"!AMBIG",IFERROR(INDEX('Calculations'!$HF$13:$HF$512,MATCH('Calculations'!HP177,'Calculations'!$HE$13:$HE$512,0)),""))))</x:f>
      </x:c>
      <x:c r="HR177" t="str">
        <x:f>IF('Calculations'!HQ177="","",IF('Calculations'!HQ177="!AMBIG","!AMBIG",IF(COUNTIF('Calculations'!$HE$13:$HE$512,"="&amp;SUBSTITUTE(SUBSTITUTE(SUBSTITUTE('Calculations'!HQ177,"~","~~"),"*","~*"),"?","~?"))&gt;1,"!AMBIG",IFERROR(INDEX('Calculations'!$HF$13:$HF$512,MATCH('Calculations'!HQ177,'Calculations'!$HE$13:$HE$512,0)),""))))</x:f>
      </x:c>
      <x:c r="HS177" t="str">
        <x:f>IF('Calculations'!HR177="","",IF('Calculations'!HR177="!AMBIG","!AMBIG",IF(COUNTIF('Calculations'!$HE$13:$HE$512,"="&amp;SUBSTITUTE(SUBSTITUTE(SUBSTITUTE('Calculations'!HR177,"~","~~"),"*","~*"),"?","~?"))&gt;1,"!AMBIG",IFERROR(INDEX('Calculations'!$HF$13:$HF$512,MATCH('Calculations'!HR177,'Calculations'!$HE$13:$HE$512,0)),""))))</x:f>
      </x:c>
      <x:c r="HT177" t="str">
        <x:f>IF('Calculations'!HS177="","",IF('Calculations'!HS177="!AMBIG","!AMBIG",IF(COUNTIF('Calculations'!$HE$13:$HE$512,"="&amp;SUBSTITUTE(SUBSTITUTE(SUBSTITUTE('Calculations'!HS177,"~","~~"),"*","~*"),"?","~?"))&gt;1,"!AMBIG",IFERROR(INDEX('Calculations'!$HF$13:$HF$512,MATCH('Calculations'!HS177,'Calculations'!$HE$13:$HE$512,0)),""))))</x:f>
      </x:c>
      <x:c r="HU177" t="str">
        <x:f>IF('Calculations'!HT177="","",IF('Calculations'!HT177="!AMBIG","!AMBIG",IF(COUNTIF('Calculations'!$HE$13:$HE$512,"="&amp;SUBSTITUTE(SUBSTITUTE(SUBSTITUTE('Calculations'!HT177,"~","~~"),"*","~*"),"?","~?"))&gt;1,"!AMBIG",IFERROR(INDEX('Calculations'!$HF$13:$HF$512,MATCH('Calculations'!HT177,'Calculations'!$HE$13:$HE$512,0)),""))))</x:f>
      </x:c>
      <x:c r="HV177" t="str">
        <x:f>IF('Calculations'!HU177="","",IF('Calculations'!HU177="!AMBIG","!AMBIG",IF(COUNTIF('Calculations'!$HE$13:$HE$512,"="&amp;SUBSTITUTE(SUBSTITUTE(SUBSTITUTE('Calculations'!HU177,"~","~~"),"*","~*"),"?","~?"))&gt;1,"!AMBIG",IFERROR(INDEX('Calculations'!$HF$13:$HF$512,MATCH('Calculations'!HU177,'Calculations'!$HE$13:$HE$512,0)),""))))</x:f>
      </x:c>
      <x:c r="HW177" t="str">
        <x:f>IF('Calculations'!HV177="","",IF('Calculations'!HV177="!AMBIG","!AMBIG",IF(COUNTIF('Calculations'!$HE$13:$HE$512,"="&amp;SUBSTITUTE(SUBSTITUTE(SUBSTITUTE('Calculations'!HV177,"~","~~"),"*","~*"),"?","~?"))&gt;1,"!AMBIG",IFERROR(INDEX('Calculations'!$HF$13:$HF$512,MATCH('Calculations'!HV177,'Calculations'!$HE$13:$HE$512,0)),""))))</x:f>
      </x:c>
      <x:c r="HX177" t="str">
        <x:f>IF('Calculations'!HW177="","",IF('Calculations'!HW177="!AMBIG","!AMBIG",IF(COUNTIF('Calculations'!$HE$13:$HE$512,"="&amp;SUBSTITUTE(SUBSTITUTE(SUBSTITUTE('Calculations'!HW177,"~","~~"),"*","~*"),"?","~?"))&gt;1,"!AMBIG",IFERROR(INDEX('Calculations'!$HF$13:$HF$512,MATCH('Calculations'!HW177,'Calculations'!$HE$13:$HE$512,0)),""))))</x:f>
      </x:c>
      <x:c r="HY177" t="str">
        <x:f>IF('Calculations'!HX177="","",IF('Calculations'!HX177="!AMBIG","!AMBIG",IF(COUNTIF('Calculations'!$HE$13:$HE$512,"="&amp;SUBSTITUTE(SUBSTITUTE(SUBSTITUTE('Calculations'!HX177,"~","~~"),"*","~*"),"?","~?"))&gt;1,"!AMBIG",IFERROR(INDEX('Calculations'!$HF$13:$HF$512,MATCH('Calculations'!HX177,'Calculations'!$HE$13:$HE$512,0)),""))))</x:f>
      </x:c>
      <x:c r="HZ177" t="str">
        <x:f>IF('Calculations'!HY177="","",IF('Calculations'!HY177="!AMBIG","!AMBIG",IF(COUNTIF('Calculations'!$HE$13:$HE$512,"="&amp;SUBSTITUTE(SUBSTITUTE(SUBSTITUTE('Calculations'!HY177,"~","~~"),"*","~*"),"?","~?"))&gt;1,"!AMBIG",IFERROR(INDEX('Calculations'!$HF$13:$HF$512,MATCH('Calculations'!HY177,'Calculations'!$HE$13:$HE$512,0)),""))))</x:f>
      </x:c>
      <x:c r="IA177" t="str">
        <x:f>IF('Calculations'!HZ177="","",IF('Calculations'!HZ177="!AMBIG","!AMBIG",IF(COUNTIF('Calculations'!$HE$13:$HE$512,"="&amp;SUBSTITUTE(SUBSTITUTE(SUBSTITUTE('Calculations'!HZ177,"~","~~"),"*","~*"),"?","~?"))&gt;1,"!AMBIG",IFERROR(INDEX('Calculations'!$HF$13:$HF$512,MATCH('Calculations'!HZ177,'Calculations'!$HE$13:$HE$512,0)),""))))</x:f>
      </x:c>
      <x:c r="IB177" t="str">
        <x:f>IF('Calculations'!IA177="","",IF('Calculations'!IA177="!AMBIG","!AMBIG",IF(COUNTIF('Calculations'!$HE$13:$HE$512,"="&amp;SUBSTITUTE(SUBSTITUTE(SUBSTITUTE('Calculations'!IA177,"~","~~"),"*","~*"),"?","~?"))&gt;1,"!AMBIG",IFERROR(INDEX('Calculations'!$HF$13:$HF$512,MATCH('Calculations'!IA177,'Calculations'!$HE$13:$HE$512,0)),""))))</x:f>
      </x:c>
      <x:c r="IC177" t="str">
        <x:f>IF('Calculations'!IB177="","",IF('Calculations'!IB177="!AMBIG","!AMBIG",IF(COUNTIF('Calculations'!$HE$13:$HE$512,"="&amp;SUBSTITUTE(SUBSTITUTE(SUBSTITUTE('Calculations'!IB177,"~","~~"),"*","~*"),"?","~?"))&gt;1,"!AMBIG",IFERROR(INDEX('Calculations'!$HF$13:$HF$512,MATCH('Calculations'!IB177,'Calculations'!$HE$13:$HE$512,0)),""))))</x:f>
      </x:c>
      <x:c r="ID177" t="str">
        <x:f>IF('Calculations'!IC177="","",IF('Calculations'!IC177="!AMBIG","!AMBIG",IF(COUNTIF('Calculations'!$HE$13:$HE$512,"="&amp;SUBSTITUTE(SUBSTITUTE(SUBSTITUTE('Calculations'!IC177,"~","~~"),"*","~*"),"?","~?"))&gt;1,"!AMBIG",IFERROR(INDEX('Calculations'!$HF$13:$HF$512,MATCH('Calculations'!IC177,'Calculations'!$HE$13:$HE$512,0)),""))))</x:f>
      </x:c>
      <x:c r="IE177" t="str">
        <x:f>IF('Calculations'!ID177="","",IF('Calculations'!ID177="!AMBIG","!AMBIG",IF(COUNTIF('Calculations'!$HE$13:$HE$512,"="&amp;SUBSTITUTE(SUBSTITUTE(SUBSTITUTE('Calculations'!ID177,"~","~~"),"*","~*"),"?","~?"))&gt;1,"!AMBIG",IFERROR(INDEX('Calculations'!$HF$13:$HF$512,MATCH('Calculations'!ID177,'Calculations'!$HE$13:$HE$512,0)),""))))</x:f>
      </x:c>
      <x:c r="IF177" t="str">
        <x:f>IF('Calculations'!IE177="","",IF('Calculations'!IE177="!AMBIG","!AMBIG",IF(COUNTIF('Calculations'!$HE$13:$HE$512,"="&amp;SUBSTITUTE(SUBSTITUTE(SUBSTITUTE('Calculations'!IE177,"~","~~"),"*","~*"),"?","~?"))&gt;1,"!AMBIG",IFERROR(INDEX('Calculations'!$HF$13:$HF$512,MATCH('Calculations'!IE177,'Calculations'!$HE$13:$HE$512,0)),""))))</x:f>
      </x:c>
      <x:c r="IG177" t="str">
        <x:f>IF('Calculations'!IF177="","",IF('Calculations'!IF177="!AMBIG","!AMBIG",IF(COUNTIF('Calculations'!$HE$13:$HE$512,"="&amp;SUBSTITUTE(SUBSTITUTE(SUBSTITUTE('Calculations'!IF177,"~","~~"),"*","~*"),"?","~?"))&gt;1,"!AMBIG",IFERROR(INDEX('Calculations'!$HF$13:$HF$512,MATCH('Calculations'!IF177,'Calculations'!$HE$13:$HE$512,0)),""))))</x:f>
      </x:c>
      <x:c r="IH177" t="str">
        <x:f>IF('Calculations'!IG177="","",IF('Calculations'!IG177="!AMBIG","!AMBIG",IF(COUNTIF('Calculations'!$HE$13:$HE$512,"="&amp;SUBSTITUTE(SUBSTITUTE(SUBSTITUTE('Calculations'!IG177,"~","~~"),"*","~*"),"?","~?"))&gt;1,"!AMBIG",IFERROR(INDEX('Calculations'!$HF$13:$HF$512,MATCH('Calculations'!IG177,'Calculations'!$HE$13:$HE$512,0)),""))))</x:f>
      </x:c>
      <x:c r="II177" t="str">
        <x:f>IF('Calculations'!IH177="","",IF('Calculations'!IH177="!AMBIG","!AMBIG",IF(COUNTIF('Calculations'!$HE$13:$HE$512,"="&amp;SUBSTITUTE(SUBSTITUTE(SUBSTITUTE('Calculations'!IH177,"~","~~"),"*","~*"),"?","~?"))&gt;1,"!AMBIG",IFERROR(INDEX('Calculations'!$HF$13:$HF$512,MATCH('Calculations'!IH177,'Calculations'!$HE$13:$HE$512,0)),""))))</x:f>
      </x:c>
      <x:c r="IJ177" t="str">
        <x:f>IF('Calculations'!EM177="","",IF('Calculations'!$EF$2="All",'Calculations'!HM177,IF('Calculations'!HL177=1,"",IFERROR(IF(MATCH('Calculations'!$EF$2,'Calculations'!HO177:II177,0)=1,'Calculations'!HE177,INDEX('Calculations'!HO177:II177,1,MATCH('Calculations'!$EF$2,'Calculations'!HO177:II177,0)-1)),""))))</x:f>
      </x:c>
      <x:c r="IK177" t="n">
        <x:f>IF(AND('Calculations'!EM177&lt;&gt;"",'Calculations'!$EF$2&lt;&gt;"All",'Calculations'!HF177='Calculations'!$EF$2,'Calculations'!HL177=0,'Calculations'!JD177&gt;0),MAX('Calculations'!$IK$12:IK176)+1,0)</x:f>
        <x:v>0</x:v>
      </x:c>
      <x:c r="JA177" t="n">
        <x:f>IF(OR(IFERROR(INDIRECT("'WCM Calibration Final'!$A$177")&lt;&gt;"",FALSE),IFERROR(INDIRECT("'WCM Calibration Final'!$B$177")&lt;&gt;"",FALSE),IFERROR(INDIRECT("'WCM Calibration Final'!$C$177")&lt;&gt;"",FALSE)),177,0)</x:f>
        <x:v>0</x:v>
      </x:c>
      <x:c r="JB177" t="n">
        <x:f>'Calculations'!JB176+IF('Calculations'!JA177&gt;0,1,0)</x:f>
        <x:v>0</x:v>
      </x:c>
      <x:c r="JC177" t="n">
        <x:f>IF(OR('Calculations'!HF177="",'Calculations'!HF177="!AMBIG"),0,IF('Dashboard'!$B$7="All",1,COUNTIFS('Calculations'!$HO$13:$HO$512,"="&amp;SUBSTITUTE(SUBSTITUTE(SUBSTITUTE('Calculations'!HF177,"~","~~"),"*","~*"),"?","~?"),'Calculations'!$HN$13:$HN$512,"="&amp;SUBSTITUTE(SUBSTITUTE(SUBSTITUTE('Dashboard'!$B$7,"~","~~"),"*","~*"),"?","~?"))+COUNTIFS('Calculations'!$HP$13:$HP$512,"="&amp;SUBSTITUTE(SUBSTITUTE(SUBSTITUTE('Calculations'!HF177,"~","~~"),"*","~*"),"?","~?"),'Calculations'!$HN$13:$HN$512,"="&amp;SUBSTITUTE(SUBSTITUTE(SUBSTITUTE('Dashboard'!$B$7,"~","~~"),"*","~*"),"?","~?"))+COUNTIFS('Calculations'!$HQ$13:$HQ$512,"="&amp;SUBSTITUTE(SUBSTITUTE(SUBSTITUTE('Calculations'!HF177,"~","~~"),"*","~*"),"?","~?"),'Calculations'!$HN$13:$HN$512,"="&amp;SUBSTITUTE(SUBSTITUTE(SUBSTITUTE('Dashboard'!$B$7,"~","~~"),"*","~*"),"?","~?"))+COUNTIFS('Calculations'!$HR$13:$HR$512,"="&amp;SUBSTITUTE(SUBSTITUTE(SUBSTITUTE('Calculations'!HF177,"~","~~"),"*","~*"),"?","~?"),'Calculations'!$HN$13:$HN$512,"="&amp;SUBSTITUTE(SUBSTITUTE(SUBSTITUTE('Dashboard'!$B$7,"~","~~"),"*","~*"),"?","~?"))+COUNTIFS('Calculations'!$HS$13:$HS$512,"="&amp;SUBSTITUTE(SUBSTITUTE(SUBSTITUTE('Calculations'!HF177,"~","~~"),"*","~*"),"?","~?"),'Calculations'!$HN$13:$HN$512,"="&amp;SUBSTITUTE(SUBSTITUTE(SUBSTITUTE('Dashboard'!$B$7,"~","~~"),"*","~*"),"?","~?"))+COUNTIFS('Calculations'!$HT$13:$HT$512,"="&amp;SUBSTITUTE(SUBSTITUTE(SUBSTITUTE('Calculations'!HF177,"~","~~"),"*","~*"),"?","~?"),'Calculations'!$HN$13:$HN$512,"="&amp;SUBSTITUTE(SUBSTITUTE(SUBSTITUTE('Dashboard'!$B$7,"~","~~"),"*","~*"),"?","~?"))+COUNTIFS('Calculations'!$HU$13:$HU$512,"="&amp;SUBSTITUTE(SUBSTITUTE(SUBSTITUTE('Calculations'!HF177,"~","~~"),"*","~*"),"?","~?"),'Calculations'!$HN$13:$HN$512,"="&amp;SUBSTITUTE(SUBSTITUTE(SUBSTITUTE('Dashboard'!$B$7,"~","~~"),"*","~*"),"?","~?"))+COUNTIFS('Calculations'!$HV$13:$HV$512,"="&amp;SUBSTITUTE(SUBSTITUTE(SUBSTITUTE('Calculations'!HF177,"~","~~"),"*","~*"),"?","~?"),'Calculations'!$HN$13:$HN$512,"="&amp;SUBSTITUTE(SUBSTITUTE(SUBSTITUTE('Dashboard'!$B$7,"~","~~"),"*","~*"),"?","~?"))+COUNTIFS('Calculations'!$HW$13:$HW$512,"="&amp;SUBSTITUTE(SUBSTITUTE(SUBSTITUTE('Calculations'!HF177,"~","~~"),"*","~*"),"?","~?"),'Calculations'!$HN$13:$HN$512,"="&amp;SUBSTITUTE(SUBSTITUTE(SUBSTITUTE('Dashboard'!$B$7,"~","~~"),"*","~*"),"?","~?"))+COUNTIFS('Calculations'!$HX$13:$HX$512,"="&amp;SUBSTITUTE(SUBSTITUTE(SUBSTITUTE('Calculations'!HF177,"~","~~"),"*","~*"),"?","~?"),'Calculations'!$HN$13:$HN$512,"="&amp;SUBSTITUTE(SUBSTITUTE(SUBSTITUTE('Dashboard'!$B$7,"~","~~"),"*","~*"),"?","~?"))+COUNTIFS('Calculations'!$HY$13:$HY$512,"="&amp;SUBSTITUTE(SUBSTITUTE(SUBSTITUTE('Calculations'!HF177,"~","~~"),"*","~*"),"?","~?"),'Calculations'!$HN$13:$HN$512,"="&amp;SUBSTITUTE(SUBSTITUTE(SUBSTITUTE('Dashboard'!$B$7,"~","~~"),"*","~*"),"?","~?"))+COUNTIFS('Calculations'!$HZ$13:$HZ$512,"="&amp;SUBSTITUTE(SUBSTITUTE(SUBSTITUTE('Calculations'!HF177,"~","~~"),"*","~*"),"?","~?"),'Calculations'!$HN$13:$HN$512,"="&amp;SUBSTITUTE(SUBSTITUTE(SUBSTITUTE('Dashboard'!$B$7,"~","~~"),"*","~*"),"?","~?"))+COUNTIFS('Calculations'!$IA$13:$IA$512,"="&amp;SUBSTITUTE(SUBSTITUTE(SUBSTITUTE('Calculations'!HF177,"~","~~"),"*","~*"),"?","~?"),'Calculations'!$HN$13:$HN$512,"="&amp;SUBSTITUTE(SUBSTITUTE(SUBSTITUTE('Dashboard'!$B$7,"~","~~"),"*","~*"),"?","~?"))+COUNTIFS('Calculations'!$IB$13:$IB$512,"="&amp;SUBSTITUTE(SUBSTITUTE(SUBSTITUTE('Calculations'!HF177,"~","~~"),"*","~*"),"?","~?"),'Calculations'!$HN$13:$HN$512,"="&amp;SUBSTITUTE(SUBSTITUTE(SUBSTITUTE('Dashboard'!$B$7,"~","~~"),"*","~*"),"?","~?"))+COUNTIFS('Calculations'!$IC$13:$IC$512,"="&amp;SUBSTITUTE(SUBSTITUTE(SUBSTITUTE('Calculations'!HF177,"~","~~"),"*","~*"),"?","~?"),'Calculations'!$HN$13:$HN$512,"="&amp;SUBSTITUTE(SUBSTITUTE(SUBSTITUTE('Dashboard'!$B$7,"~","~~"),"*","~*"),"?","~?"))+COUNTIFS('Calculations'!$ID$13:$ID$512,"="&amp;SUBSTITUTE(SUBSTITUTE(SUBSTITUTE('Calculations'!HF177,"~","~~"),"*","~*"),"?","~?"),'Calculations'!$HN$13:$HN$512,"="&amp;SUBSTITUTE(SUBSTITUTE(SUBSTITUTE('Dashboard'!$B$7,"~","~~"),"*","~*"),"?","~?"))+COUNTIFS('Calculations'!$IE$13:$IE$512,"="&amp;SUBSTITUTE(SUBSTITUTE(SUBSTITUTE('Calculations'!HF177,"~","~~"),"*","~*"),"?","~?"),'Calculations'!$HN$13:$HN$512,"="&amp;SUBSTITUTE(SUBSTITUTE(SUBSTITUTE('Dashboard'!$B$7,"~","~~"),"*","~*"),"?","~?"))+COUNTIFS('Calculations'!$IF$13:$IF$512,"="&amp;SUBSTITUTE(SUBSTITUTE(SUBSTITUTE('Calculations'!HF177,"~","~~"),"*","~*"),"?","~?"),'Calculations'!$HN$13:$HN$512,"="&amp;SUBSTITUTE(SUBSTITUTE(SUBSTITUTE('Dashboard'!$B$7,"~","~~"),"*","~*"),"?","~?"))+COUNTIFS('Calculations'!$IG$13:$IG$512,"="&amp;SUBSTITUTE(SUBSTITUTE(SUBSTITUTE('Calculations'!HF177,"~","~~"),"*","~*"),"?","~?"),'Calculations'!$HN$13:$HN$512,"="&amp;SUBSTITUTE(SUBSTITUTE(SUBSTITUTE('Dashboard'!$B$7,"~","~~"),"*","~*"),"?","~?"))+COUNTIFS('Calculations'!$IH$13:$IH$512,"="&amp;SUBSTITUTE(SUBSTITUTE(SUBSTITUTE('Calculations'!HF177,"~","~~"),"*","~*"),"?","~?"),'Calculations'!$HN$13:$HN$512,"="&amp;SUBSTITUTE(SUBSTITUTE(SUBSTITUTE('Dashboard'!$B$7,"~","~~"),"*","~*"),"?","~?"))))</x:f>
        <x:v>0</x:v>
      </x:c>
      <x:c r="JD177" t="n">
        <x:f>IF('Calculations'!EM177="",0,IF('Dashboard'!$B$7="All",1,IF('Calculations'!HN177='Dashboard'!$B$7,1,0)+IFERROR(INDEX('Calculations'!$JC$13:$JC$512,MATCH('Calculations'!HE177,'Calculations'!$HF$13:$HF$512,0)),0)))</x:f>
        <x:v>0</x:v>
      </x:c>
      <x:c r="JE177" t="n">
        <x:f>IF(AND('Calculations'!EM177&lt;&gt;"",'Calculations'!$JJ$2&lt;&gt;"All",'Calculations'!$JJ$2&lt;&gt;"",'Calculations'!HF177='Calculations'!$JJ$2,'Calculations'!HL177=0,'Calculations'!JD177&gt;0),MAX('Calculations'!$JE$12:JE176)+1,0)</x:f>
        <x:v>0</x:v>
      </x:c>
      <x:c r="JF177" t="str">
        <x:f>IF('Calculations'!EM177="","",IFERROR(IF(INDEX(INDIRECT("'WCM Calibration Final'!$G$1:$G$2000"),'Calculations'!$EM177)="","",TRIM(INDEX(INDIRECT("'WCM Calibration Final'!$G$1:$G$2000"),'Calculations'!$EM177)&amp;"")),""))</x:f>
      </x:c>
      <x:c r="JQ177" t="n">
        <x:f>IF(OR('Calculations'!BM177=0,NOT('Calculations'!$AG$2),'Calculations'!$AG$8&gt;0),0,IF(OR('Dashboard'!$B$7="All",'Calculations'!HN177='Dashboard'!$B$7),IF('Calculations'!$JJ$2="All",1,IF(AND('Calculations'!HF177='Calculations'!$JJ$2,'Calculations'!HL177=0),1,0)),0))</x:f>
        <x:v>0</x:v>
      </x:c>
    </x:row>
    <x:row r="178">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t="n">
        <x:f>IF('Calculations'!$EM178="",0,IF(OR(IFERROR(INDEX(INDIRECT("'WCM Calibration Final'!$A$1:$A$2000"),'Calculations'!$EM178)&lt;&gt;"",FALSE),IFERROR(INDEX(INDIRECT("'WCM Calibration Final'!$B$1:$B$2000"),'Calculations'!$EM178)&lt;&gt;"",FALSE),IFERROR(INDEX(INDIRECT("'WCM Calibration Final'!$C$1:$C$2000"),'Calculations'!$EM178)&lt;&gt;"",FALSE)),1,0))</x:f>
        <x:v>0</x:v>
      </x:c>
      <x:c r="BN178" s="4" t="n">
        <x:f>IF(AND('Calculations'!BM178=1,'Calculations'!$AG$2,'Calculations'!$EN178=1),1,0)</x:f>
        <x:v>0</x:v>
      </x:c>
      <x:c r="BO178" s="4" t="str">
        <x:f>IF('Calculations'!BM178=0,"",IFERROR(IF(AND(VALUE(INDEX(INDIRECT("'WCM Calibration Final'!$K$1:$K$2000"),'Calculations'!$EM178))&gt;=1,VALUE(INDEX(INDIRECT("'WCM Calibration Final'!$K$1:$K$2000"),'Calculations'!$EM178))&lt;=4,MOD(VALUE(INDEX(INDIRECT("'WCM Calibration Final'!$K$1:$K$2000"),'Calculations'!$EM178)),1)=0),VALUE(INDEX(INDIRECT("'WCM Calibration Final'!$K$1:$K$2000"),'Calculations'!$EM178)),""),""))</x:f>
      </x:c>
      <x:c r="BP178" s="4" t="str">
        <x:f>IF('Calculations'!BM178=0,"",IFERROR(IF(AND(VALUE(INDEX(INDIRECT("'WCM Calibration Final'!$L$1:$L$2000"),'Calculations'!$EM178))&gt;=1,VALUE(INDEX(INDIRECT("'WCM Calibration Final'!$L$1:$L$2000"),'Calculations'!$EM178))&lt;=4,MOD(VALUE(INDEX(INDIRECT("'WCM Calibration Final'!$L$1:$L$2000"),'Calculations'!$EM178)),1)=0),VALUE(INDEX(INDIRECT("'WCM Calibration Final'!$L$1:$L$2000"),'Calculations'!$EM178)),""),""))</x:f>
      </x:c>
      <x:c r="BQ178" s="4"/>
      <x:c r="BR178" s="4"/>
      <x:c r="BS178" s="4"/>
      <x:c r="BT178" s="4" t="n">
        <x:f>IF(AND('Calculations'!BM178=1,ISNUMBER('Calculations'!BO178),ISNUMBER('Calculations'!BP178)),1,0)</x:f>
        <x:v>0</x:v>
      </x:c>
      <x:c r="BU178" s="4" t="str">
        <x:f>IF('Calculations'!BM178=0,"",'Calculations'!$EO178)</x:f>
      </x:c>
      <x:c r="BV178" s="4" t="str">
        <x:f>IF('Calculations'!BM178=0,"",IFERROR(IF(OR(INDEX(INDIRECT("'WCM Calibration Final'!$H$1:$H$2000"),'Calculations'!$EM178)="MANAGING DIRECTOR",INDEX(INDIRECT("'WCM Calibration Final'!$H$1:$H$2000"),'Calculations'!$EM178)="DIRECTOR",INDEX(INDIRECT("'WCM Calibration Final'!$H$1:$H$2000"),'Calculations'!$EM178)="SENIOR VICE PRESIDENT",INDEX(INDIRECT("'WCM Calibration Final'!$H$1:$H$2000"),'Calculations'!$EM178)="VICE PRESIDENT",INDEX(INDIRECT("'WCM Calibration Final'!$H$1:$H$2000"),'Calculations'!$EM178)="ASSISTANT VICE PRESIDENT",INDEX(INDIRECT("'WCM Calibration Final'!$H$1:$H$2000"),'Calculations'!$EM178)="OFFICER"),UPPER(INDEX(INDIRECT("'WCM Calibration Final'!$H$1:$H$2000"),'Calculations'!$EM178)),"Other"),"Other"))</x:f>
      </x:c>
      <x:c r="BW178" s="4"/>
      <x:c r="BX178" s="4"/>
      <x:c r="BY178" s="4" t="n">
        <x:f>IF(AND('Calculations'!BM178=1,'Calculations'!BU178&lt;&gt;"",COUNTIF('Calculations'!$BU$12:BU178,'Calculations'!BU178)=1),MAX('Calculations'!$BY$11:BY177)+1,0)</x:f>
        <x:v>0</x:v>
      </x:c>
      <x:c r="BZ178" s="4" t="str">
        <x:f>IF('Dashboard'!$E$67="What",'Calculations'!BO178,'Calculations'!BP178)</x:f>
      </x:c>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t="str">
        <x:f>IF(167&gt;MAX('Calculations'!$HI$13:$HI$512),"",INDEX('Calculations'!$HN$13:$HN$512,MATCH(167,'Calculations'!$HI$13:$HI$512,0)))</x:f>
      </x:c>
      <x:c r="DB178" s="4" t="str">
        <x:f>IF(167&gt;MAX('Calculations'!$HH$13:$HH$512),"",INDEX('Calculations'!$HJ$13:$HJ$512,MATCH(167,'Calculations'!$HH$13:$HH$512,0)))</x:f>
      </x:c>
      <x:c r="DC178" s="4" t="str">
        <x:f>IF(ROW()-11&gt;MAX('Calculations'!$BY$13:$BY$512),"",INDEX('Calculations'!$BU$13:$BU$512,MATCH(ROW()-11,'Calculations'!$BY$13:$BY$512,0)))</x:f>
      </x:c>
      <x:c r="DD178" s="4" t="str">
        <x:f>IF(167&gt;MAX('Calculations'!$IK$13:$IK$512),"",INDEX('Calculations'!$HK$13:$HK$512,MATCH(167,'Calculations'!$IK$13:$IK$512,0)))</x:f>
      </x:c>
      <x:c r="DE178" s="4" t="str">
        <x:f>'Calculations'!DC178</x:f>
      </x:c>
      <x:c r="DF178" s="4" t="str">
        <x:f>IF('Calculations'!DE178="","",COUNTIFS('Calculations'!$BN$13:$BN$512,1,'Calculations'!$BU$13:$BU$512,'Calculations'!DE178))</x:f>
      </x:c>
      <x:c r="DG178" s="4" t="str">
        <x:f>IF('Calculations'!DE178="","",COUNTIFS('Calculations'!$BN$13:$BN$512,1,'Calculations'!$BU$13:$BU$512,'Calculations'!DE178,'Calculations'!$BT$13:$BT$512,1))</x:f>
      </x:c>
      <x:c r="DH178" s="4" t="str">
        <x:f>IF('Calculations'!DE178="","",'Calculations'!DF178-'Calculations'!DG178)</x:f>
      </x:c>
      <x:c r="DI178" s="4" t="str">
        <x:f>IF(OR('Calculations'!DE178="",'Calculations'!DF178=0),"",'Calculations'!DG178/'Calculations'!DF178)</x:f>
      </x:c>
      <x:c r="DJ178" s="4" t="str">
        <x:f>IF('Calculations'!DE178="","",COUNTIFS('Calculations'!$BN$13:$BN$512,1,'Calculations'!$BU$13:$BU$512,'Calculations'!DE178,'Calculations'!$BT$13:$BT$512,1,'Calculations'!$EE$13:$EE$512,"High"))</x:f>
      </x:c>
      <x:c r="DK178" s="4" t="str">
        <x:f>IF('Calculations'!DE178="","",COUNTIFS('Calculations'!$BN$13:$BN$512,1,'Calculations'!$BU$13:$BU$512,'Calculations'!DE178,'Calculations'!$BT$13:$BT$512,1,'Calculations'!$EE$13:$EE$512,"Strong"))</x:f>
      </x:c>
      <x:c r="DL178" s="4" t="str">
        <x:f>IF('Calculations'!DE178="","",COUNTIFS('Calculations'!$BN$13:$BN$512,1,'Calculations'!$BU$13:$BU$512,'Calculations'!DE178,'Calculations'!$BT$13:$BT$512,1,'Calculations'!$EE$13:$EE$512,"Solid"))</x:f>
      </x:c>
      <x:c r="DM178" s="4" t="str">
        <x:f>IF('Calculations'!DE178="","",COUNTIFS('Calculations'!$BN$13:$BN$512,1,'Calculations'!$BU$13:$BU$512,'Calculations'!DE178,'Calculations'!$BT$13:$BT$512,1,'Calculations'!$EE$13:$EE$512,"Low"))</x:f>
      </x:c>
      <x:c r="DN178" s="4" t="str">
        <x:f>IF('Calculations'!DE178="","",COUNTIFS('Calculations'!$BN$13:$BN$512,1,'Calculations'!$BU$13:$BU$512,'Calculations'!DE178,'Calculations'!$EP$13:$EP$512,1))</x:f>
      </x:c>
      <x:c r="DO178" s="4" t="str">
        <x:f>IF(OR('Calculations'!DE178="",'Calculations'!DG178=0),"",('Calculations'!DJ178+'Calculations'!DK178)/'Calculations'!DG178)</x:f>
      </x:c>
      <x:c r="DP178" s="4" t="n">
        <x:f>IF(AND('Calculations'!DE178&lt;&gt;"",'Calculations'!DF178&gt;0),COUNTIF('Calculations'!$DF$12:DF178,"&gt;0"),0)</x:f>
        <x:v>0</x:v>
      </x:c>
      <x:c r="DQ178" s="4" t="str">
        <x:f>IF(167&gt;MAX('Calculations'!$HH$13:$HH$512),"",INDEX('Calculations'!$HF$13:$HF$512,MATCH(167,'Calculations'!$HH$13:$HH$512,0)))</x:f>
      </x:c>
      <x:c r="DR178" s="4" t="str">
        <x:f>IF(167&gt;MAX('Calculations'!$IK$13:$IK$512),"",INDEX('Calculations'!$HE$13:$HE$512,MATCH(167,'Calculations'!$IK$13:$IK$512,0)))</x:f>
      </x:c>
      <x:c r="DS178" s="4"/>
      <x:c r="DT178" s="4"/>
      <x:c r="DU178" s="4"/>
      <x:c r="DV178" s="4"/>
      <x:c r="DW178" s="4"/>
      <x:c r="DX178" s="4"/>
      <x:c r="DY178" s="4"/>
      <x:c r="DZ178" s="4"/>
      <x:c r="EA178" s="4"/>
      <x:c r="EB178" s="4"/>
      <x:c r="EC178" s="4"/>
      <x:c r="ED178" s="4"/>
      <x:c r="EE178" s="4" t="str">
        <x:f>IF('Calculations'!BT178=0,"Not Rated",IF(OR('Calculations'!BO178&gt;=4,'Calculations'!BP178&gt;=4),"Low",IF('Calculations'!BO178+'Calculations'!BP178&lt;=3,"High",IF('Calculations'!BO178+'Calculations'!BP178&lt;=4,"Strong","Solid"))))</x:f>
        <x:v>Not Rated</x:v>
      </x:c>
      <x:c r="EF178" s="4"/>
      <x:c r="EG178" s="4"/>
      <x:c r="EH178" s="4"/>
      <x:c r="EI178" s="4"/>
      <x:c r="EJ178" s="4"/>
      <x:c r="EK178" s="4"/>
      <x:c r="EL178" s="4"/>
      <x:c r="EM178" s="4" t="str">
        <x:f>IF(166&gt;'Calculations'!$JB$2000,"",INDEX('Calculations'!$JA$12:$JA$2000,MATCH(166,'Calculations'!$JB$12:$JB$2000,0)))</x:f>
      </x:c>
      <x:c r="EN178" s="4" t="n">
        <x:f>IF(OR('Calculations'!EM178="",'Calculations'!$AG$8&gt;0,AND('Calculations'!$EF$2&lt;&gt;"All",'Calculations'!HE178='Calculations'!$EF$2),AND('Calculations'!$EF$3&lt;&gt;"All",'Calculations'!HE178='Calculations'!$EF$3)),0,IF(OR('Dashboard'!$B$7="All",'Calculations'!HN178='Dashboard'!$B$7),IF('Calculations'!$EF$2="All",1,IF('Calculations'!HL178&gt;0,0,IF(COUNTIF('Calculations'!HO178:II178,"="&amp;SUBSTITUTE(SUBSTITUTE(SUBSTITUTE('Calculations'!$EF$2,"~","~~"),"*","~*"),"?","~?"))=0,0,IF('Calculations'!$EF$3="All",1,IF(COUNTIF('Calculations'!HO178:II178,"="&amp;SUBSTITUTE(SUBSTITUTE(SUBSTITUTE('Calculations'!$EF$3,"~","~~"),"*","~*"),"?","~?"))&gt;0,1,0))))),0))</x:f>
        <x:v>0</x:v>
      </x:c>
      <x:c r="EO178" s="4" t="str">
        <x:f>IF('Calculations'!IJ178="","",IF('Calculations'!IJ178="!UNRESOLVED","Unresolved hierarchy",IFERROR(INDEX('Calculations'!$HK$13:$HK$512,MATCH('Calculations'!IJ178,'Calculations'!$HE$13:$HE$512,0)),IFERROR(INDEX('Calculations'!$HJ$13:$HJ$512,MATCH('Calculations'!IJ178,'Calculations'!$HF$13:$HF$512,0)),'Calculations'!IJ178))))</x:f>
      </x:c>
      <x:c r="EP178" s="4" t="n">
        <x:f>IF(AND('Calculations'!EM178&lt;&gt;"",'Calculations'!HF178='Calculations'!IJ178),1,0)</x:f>
        <x:v>0</x:v>
      </x:c>
      <x:c r="EQ178" s="4"/>
      <x:c r="ER178" s="4"/>
      <x:c r="ES178" s="4"/>
      <x:c r="ET178" s="4"/>
      <x:c r="EU178" s="4"/>
      <x:c r="EV178" s="4"/>
      <x:c r="EW178" s="4"/>
      <x:c r="EX178" s="4"/>
      <x:c r="EY178" s="4"/>
      <x:c r="EZ178" s="4"/>
      <x:c r="FA178" s="4"/>
      <x:c r="FB178" s="4"/>
      <x:c r="FC178" s="4"/>
      <x:c r="FD178" s="4"/>
      <x:c r="FE178" s="4"/>
      <x:c r="FF178" s="4"/>
      <x:c r="FG178" s="4"/>
      <x:c r="FH178" s="4"/>
      <x:c r="FI178" s="4"/>
      <x:c r="FJ178" s="4"/>
      <x:c r="FK178" s="4"/>
      <x:c r="FL178" s="4"/>
      <x:c r="FM178" s="4"/>
      <x:c r="FN178" s="4"/>
      <x:c r="FO178" s="4"/>
      <x:c r="GA178" s="71"/>
      <x:c r="GB178" s="71"/>
      <x:c r="GC178" s="71"/>
      <x:c r="GD178" s="71"/>
      <x:c r="GE178" s="71"/>
      <x:c r="GF178" s="71"/>
      <x:c r="GG178" s="71"/>
      <x:c r="GH178" s="71"/>
      <x:c r="GI178" s="71"/>
      <x:c r="GJ178" s="71"/>
      <x:c r="GK178" s="71"/>
      <x:c r="GL178" s="71"/>
      <x:c r="GM178" s="71"/>
      <x:c r="GN178" s="71"/>
      <x:c r="GO178" s="71"/>
      <x:c r="GP178" s="71"/>
      <x:c r="GQ178" s="71"/>
      <x:c r="GR178" s="71"/>
      <x:c r="GS178" s="71"/>
      <x:c r="GT178" s="71"/>
      <x:c r="GU178" s="71"/>
      <x:c r="GV178" s="71"/>
      <x:c r="GW178" s="71"/>
      <x:c r="GX178" s="71"/>
      <x:c r="GY178" s="71"/>
      <x:c r="GZ178" s="71"/>
      <x:c r="HA178" s="71"/>
      <x:c r="HB178" s="71"/>
      <x:c r="HC178" s="71"/>
      <x:c r="HD178" s="71"/>
      <x:c r="HE178" t="str">
        <x:f>IF('Calculations'!EM178="","",IF(IFERROR(IF(INDEX(INDIRECT("'WCM Calibration Final'!$A$1:$A$2000"),'Calculations'!$EM178)="","",TRIM(INDEX(INDIRECT("'WCM Calibration Final'!$A$1:$A$2000"),'Calculations'!$EM178)&amp;"")),"")&lt;&gt;"","G:"&amp;IFERROR(TEXT(1*INDEX(INDIRECT("'WCM Calibration Final'!$A$1:$A$2000"),'Calculations'!$EM178),"0"),UPPER(IFERROR(IF(INDEX(INDIRECT("'WCM Calibration Final'!$A$1:$A$2000"),'Calculations'!$EM178)="","",TRIM(INDEX(INDIRECT("'WCM Calibration Final'!$A$1:$A$2000"),'Calculations'!$EM178)&amp;"")),""))),IF(IFERROR(IF(INDEX(INDIRECT("'WCM Calibration Final'!$C$1:$C$2000"),'Calculations'!$EM178)="","",TRIM(INDEX(INDIRECT("'WCM Calibration Final'!$C$1:$C$2000"),'Calculations'!$EM178)&amp;"")),"")&lt;&gt;"","S:"&amp;UPPER(IFERROR(IF(INDEX(INDIRECT("'WCM Calibration Final'!$C$1:$C$2000"),'Calculations'!$EM178)="","",TRIM(INDEX(INDIRECT("'WCM Calibration Final'!$C$1:$C$2000"),'Calculations'!$EM178)&amp;"")),"")),"R:"&amp;'Calculations'!EM178)))</x:f>
      </x:c>
      <x:c r="HF178" t="str">
        <x:f>IF('Calculations'!EM178="","",IF(IFERROR(IF(INDEX(INDIRECT("'WCM Calibration Final'!$D$1:$D$2000"),'Calculations'!$EM178)="","",TRIM(INDEX(INDIRECT("'WCM Calibration Final'!$D$1:$D$2000"),'Calculations'!$EM178)&amp;"")),"")&lt;&gt;"","G:"&amp;IFERROR(TEXT(1*INDEX(INDIRECT("'WCM Calibration Final'!$D$1:$D$2000"),'Calculations'!$EM178),"0"),UPPER(IFERROR(IF(INDEX(INDIRECT("'WCM Calibration Final'!$D$1:$D$2000"),'Calculations'!$EM178)="","",TRIM(INDEX(INDIRECT("'WCM Calibration Final'!$D$1:$D$2000"),'Calculations'!$EM178)&amp;"")),""))),IF(IFERROR(IF(INDEX(INDIRECT("'WCM Calibration Final'!$E$1:$E$2000"),'Calculations'!$EM178)="","",TRIM(INDEX(INDIRECT("'WCM Calibration Final'!$E$1:$E$2000"),'Calculations'!$EM178)&amp;"")),"")="","",IF(COUNTIF('Calculations'!$HG$13:$HG$512,"="&amp;SUBSTITUTE(SUBSTITUTE(SUBSTITUTE(IFERROR(IF(INDEX(INDIRECT("'WCM Calibration Final'!$E$1:$E$2000"),'Calculations'!$EM178)="","",TRIM(INDEX(INDIRECT("'WCM Calibration Final'!$E$1:$E$2000"),'Calculations'!$EM178)&amp;"")),""),"~","~~"),"*","~*"),"?","~?"))=1,INDEX('Calculations'!$HE$13:$HE$512,MATCH(IFERROR(IF(INDEX(INDIRECT("'WCM Calibration Final'!$E$1:$E$2000"),'Calculations'!$EM178)="","",TRIM(INDEX(INDIRECT("'WCM Calibration Final'!$E$1:$E$2000"),'Calculations'!$EM178)&amp;"")),""),'Calculations'!$HG$13:$HG$512,0)),IF(COUNTIF('Calculations'!$HG$13:$HG$512,"="&amp;SUBSTITUTE(SUBSTITUTE(SUBSTITUTE(IFERROR(IF(INDEX(INDIRECT("'WCM Calibration Final'!$E$1:$E$2000"),'Calculations'!$EM178)="","",TRIM(INDEX(INDIRECT("'WCM Calibration Final'!$E$1:$E$2000"),'Calculations'!$EM178)&amp;"")),""),"~","~~"),"*","~*"),"?","~?"))&gt;1,"!AMBIG","X:"&amp;IFERROR(IF(INDEX(INDIRECT("'WCM Calibration Final'!$E$1:$E$2000"),'Calculations'!$EM178)="","",TRIM(INDEX(INDIRECT("'WCM Calibration Final'!$E$1:$E$2000"),'Calculations'!$EM178)&amp;"")),""))))))</x:f>
      </x:c>
      <x:c r="HG178" t="str">
        <x:f>IF('Calculations'!EM178="","",IFERROR(IF(INDEX(INDIRECT("'WCM Calibration Final'!$B$1:$B$2000"),'Calculations'!$EM178)="","",TRIM(INDEX(INDIRECT("'WCM Calibration Final'!$B$1:$B$2000"),'Calculations'!$EM178)&amp;"")),""))</x:f>
      </x:c>
      <x:c r="HH178" t="n">
        <x:f>IF(AND('Calculations'!JC178&gt;0,COUNTIF('Calculations'!$HF$12:HF178,"="&amp;SUBSTITUTE(SUBSTITUTE(SUBSTITUTE('Calculations'!HF178,"~","~~"),"*","~*"),"?","~?"))=1),MAX('Calculations'!$HH$12:HH177)+1,0)</x:f>
        <x:v>0</x:v>
      </x:c>
      <x:c r="HI178" t="n">
        <x:f>IF(AND('Calculations'!HN178&lt;&gt;"",COUNTIF('Calculations'!$HN$12:HN178,"="&amp;SUBSTITUTE(SUBSTITUTE(SUBSTITUTE('Calculations'!HN178,"~","~~"),"*","~*"),"?","~?"))=1),MAX('Calculations'!$HI$12:HI177)+1,0)</x:f>
        <x:v>0</x:v>
      </x:c>
      <x:c r="HJ178" t="str">
        <x:f>IF('Calculations'!HF178="","",IF(COUNTIF('Calculations'!$HE$13:$HE$512,"="&amp;SUBSTITUTE(SUBSTITUTE(SUBSTITUTE('Calculations'!HF178,"~","~~"),"*","~*"),"?","~?"))=1,INDEX('Calculations'!$HK$13:$HK$512,MATCH('Calculations'!HF178,'Calculations'!$HE$13:$HE$512,0)),IFERROR(IF(INDEX(INDIRECT("'WCM Calibration Final'!$E$1:$E$2000"),'Calculations'!$EM178)="","",TRIM(INDEX(INDIRECT("'WCM Calibration Final'!$E$1:$E$2000"),'Calculations'!$EM178)&amp;"")),"")&amp;" ["&amp;'Calculations'!HF178&amp;"]"))</x:f>
      </x:c>
      <x:c r="HK178" t="str">
        <x:f>IF('Calculations'!EM178="","",'Calculations'!HG178&amp;" ["&amp;'Calculations'!HE178&amp;"]")</x:f>
      </x:c>
      <x:c r="HL178" t="n">
        <x:f>IF('Calculations'!EM178="",0,IF(OR('Calculations'!II178&lt;&gt;"",COUNTIF('Calculations'!$HE$13:$HE$512,"="&amp;SUBSTITUTE(SUBSTITUTE(SUBSTITUTE('Calculations'!HE178,"~","~~"),"*","~*"),"?","~?"))&gt;1),1,0))</x:f>
        <x:v>0</x:v>
      </x:c>
      <x:c r="HM178" t="str">
        <x:f>IF('Calculations'!EM178="","",IF('Calculations'!HL178=1,"!UNRESOLVED",IF('Calculations'!IH178&lt;&gt;"",'Calculations'!IH178,IF('Calculations'!IG178&lt;&gt;"",'Calculations'!IG178,IF('Calculations'!IF178&lt;&gt;"",'Calculations'!IF178,IF('Calculations'!IE178&lt;&gt;"",'Calculations'!IE178,IF('Calculations'!ID178&lt;&gt;"",'Calculations'!ID178,IF('Calculations'!IC178&lt;&gt;"",'Calculations'!IC178,IF('Calculations'!IB178&lt;&gt;"",'Calculations'!IB178,IF('Calculations'!IA178&lt;&gt;"",'Calculations'!IA178,IF('Calculations'!HZ178&lt;&gt;"",'Calculations'!HZ178,IF('Calculations'!HY178&lt;&gt;"",'Calculations'!HY178,IF('Calculations'!HX178&lt;&gt;"",'Calculations'!HX178,IF('Calculations'!HW178&lt;&gt;"",'Calculations'!HW178,IF('Calculations'!HV178&lt;&gt;"",'Calculations'!HV178,IF('Calculations'!HU178&lt;&gt;"",'Calculations'!HU178,IF('Calculations'!HT178&lt;&gt;"",'Calculations'!HT178,IF('Calculations'!HS178&lt;&gt;"",'Calculations'!HS178,IF('Calculations'!HR178&lt;&gt;"",'Calculations'!HR178,IF('Calculations'!HQ178&lt;&gt;"",'Calculations'!HQ178,IF('Calculations'!HP178&lt;&gt;"",'Calculations'!HP178,IF('Calculations'!HO178&lt;&gt;"",'Calculations'!HO178,'Calculations'!HE178))))))))))))))))))))))</x:f>
      </x:c>
      <x:c r="HN178" t="str">
        <x:f>IF('Calculations'!EM178="","",IF(IFERROR(IF(INDEX(INDIRECT("'WCM Calibration Final'!$F$1:$F$2000"),'Calculations'!$EM178)="","",TRIM(INDEX(INDIRECT("'WCM Calibration Final'!$F$1:$F$2000"),'Calculations'!$EM178)&amp;"")),"")="","(Blank)",IFERROR(IF(INDEX(INDIRECT("'WCM Calibration Final'!$F$1:$F$2000"),'Calculations'!$EM178)="","",TRIM(INDEX(INDIRECT("'WCM Calibration Final'!$F$1:$F$2000"),'Calculations'!$EM178)&amp;"")),"")))</x:f>
      </x:c>
      <x:c r="HO178" t="str">
        <x:f>'Calculations'!HF178</x:f>
      </x:c>
      <x:c r="HP178" t="str">
        <x:f>IF('Calculations'!HO178="","",IF('Calculations'!HO178="!AMBIG","!AMBIG",IF(COUNTIF('Calculations'!$HE$13:$HE$512,"="&amp;SUBSTITUTE(SUBSTITUTE(SUBSTITUTE('Calculations'!HO178,"~","~~"),"*","~*"),"?","~?"))&gt;1,"!AMBIG",IFERROR(INDEX('Calculations'!$HF$13:$HF$512,MATCH('Calculations'!HO178,'Calculations'!$HE$13:$HE$512,0)),""))))</x:f>
      </x:c>
      <x:c r="HQ178" t="str">
        <x:f>IF('Calculations'!HP178="","",IF('Calculations'!HP178="!AMBIG","!AMBIG",IF(COUNTIF('Calculations'!$HE$13:$HE$512,"="&amp;SUBSTITUTE(SUBSTITUTE(SUBSTITUTE('Calculations'!HP178,"~","~~"),"*","~*"),"?","~?"))&gt;1,"!AMBIG",IFERROR(INDEX('Calculations'!$HF$13:$HF$512,MATCH('Calculations'!HP178,'Calculations'!$HE$13:$HE$512,0)),""))))</x:f>
      </x:c>
      <x:c r="HR178" t="str">
        <x:f>IF('Calculations'!HQ178="","",IF('Calculations'!HQ178="!AMBIG","!AMBIG",IF(COUNTIF('Calculations'!$HE$13:$HE$512,"="&amp;SUBSTITUTE(SUBSTITUTE(SUBSTITUTE('Calculations'!HQ178,"~","~~"),"*","~*"),"?","~?"))&gt;1,"!AMBIG",IFERROR(INDEX('Calculations'!$HF$13:$HF$512,MATCH('Calculations'!HQ178,'Calculations'!$HE$13:$HE$512,0)),""))))</x:f>
      </x:c>
      <x:c r="HS178" t="str">
        <x:f>IF('Calculations'!HR178="","",IF('Calculations'!HR178="!AMBIG","!AMBIG",IF(COUNTIF('Calculations'!$HE$13:$HE$512,"="&amp;SUBSTITUTE(SUBSTITUTE(SUBSTITUTE('Calculations'!HR178,"~","~~"),"*","~*"),"?","~?"))&gt;1,"!AMBIG",IFERROR(INDEX('Calculations'!$HF$13:$HF$512,MATCH('Calculations'!HR178,'Calculations'!$HE$13:$HE$512,0)),""))))</x:f>
      </x:c>
      <x:c r="HT178" t="str">
        <x:f>IF('Calculations'!HS178="","",IF('Calculations'!HS178="!AMBIG","!AMBIG",IF(COUNTIF('Calculations'!$HE$13:$HE$512,"="&amp;SUBSTITUTE(SUBSTITUTE(SUBSTITUTE('Calculations'!HS178,"~","~~"),"*","~*"),"?","~?"))&gt;1,"!AMBIG",IFERROR(INDEX('Calculations'!$HF$13:$HF$512,MATCH('Calculations'!HS178,'Calculations'!$HE$13:$HE$512,0)),""))))</x:f>
      </x:c>
      <x:c r="HU178" t="str">
        <x:f>IF('Calculations'!HT178="","",IF('Calculations'!HT178="!AMBIG","!AMBIG",IF(COUNTIF('Calculations'!$HE$13:$HE$512,"="&amp;SUBSTITUTE(SUBSTITUTE(SUBSTITUTE('Calculations'!HT178,"~","~~"),"*","~*"),"?","~?"))&gt;1,"!AMBIG",IFERROR(INDEX('Calculations'!$HF$13:$HF$512,MATCH('Calculations'!HT178,'Calculations'!$HE$13:$HE$512,0)),""))))</x:f>
      </x:c>
      <x:c r="HV178" t="str">
        <x:f>IF('Calculations'!HU178="","",IF('Calculations'!HU178="!AMBIG","!AMBIG",IF(COUNTIF('Calculations'!$HE$13:$HE$512,"="&amp;SUBSTITUTE(SUBSTITUTE(SUBSTITUTE('Calculations'!HU178,"~","~~"),"*","~*"),"?","~?"))&gt;1,"!AMBIG",IFERROR(INDEX('Calculations'!$HF$13:$HF$512,MATCH('Calculations'!HU178,'Calculations'!$HE$13:$HE$512,0)),""))))</x:f>
      </x:c>
      <x:c r="HW178" t="str">
        <x:f>IF('Calculations'!HV178="","",IF('Calculations'!HV178="!AMBIG","!AMBIG",IF(COUNTIF('Calculations'!$HE$13:$HE$512,"="&amp;SUBSTITUTE(SUBSTITUTE(SUBSTITUTE('Calculations'!HV178,"~","~~"),"*","~*"),"?","~?"))&gt;1,"!AMBIG",IFERROR(INDEX('Calculations'!$HF$13:$HF$512,MATCH('Calculations'!HV178,'Calculations'!$HE$13:$HE$512,0)),""))))</x:f>
      </x:c>
      <x:c r="HX178" t="str">
        <x:f>IF('Calculations'!HW178="","",IF('Calculations'!HW178="!AMBIG","!AMBIG",IF(COUNTIF('Calculations'!$HE$13:$HE$512,"="&amp;SUBSTITUTE(SUBSTITUTE(SUBSTITUTE('Calculations'!HW178,"~","~~"),"*","~*"),"?","~?"))&gt;1,"!AMBIG",IFERROR(INDEX('Calculations'!$HF$13:$HF$512,MATCH('Calculations'!HW178,'Calculations'!$HE$13:$HE$512,0)),""))))</x:f>
      </x:c>
      <x:c r="HY178" t="str">
        <x:f>IF('Calculations'!HX178="","",IF('Calculations'!HX178="!AMBIG","!AMBIG",IF(COUNTIF('Calculations'!$HE$13:$HE$512,"="&amp;SUBSTITUTE(SUBSTITUTE(SUBSTITUTE('Calculations'!HX178,"~","~~"),"*","~*"),"?","~?"))&gt;1,"!AMBIG",IFERROR(INDEX('Calculations'!$HF$13:$HF$512,MATCH('Calculations'!HX178,'Calculations'!$HE$13:$HE$512,0)),""))))</x:f>
      </x:c>
      <x:c r="HZ178" t="str">
        <x:f>IF('Calculations'!HY178="","",IF('Calculations'!HY178="!AMBIG","!AMBIG",IF(COUNTIF('Calculations'!$HE$13:$HE$512,"="&amp;SUBSTITUTE(SUBSTITUTE(SUBSTITUTE('Calculations'!HY178,"~","~~"),"*","~*"),"?","~?"))&gt;1,"!AMBIG",IFERROR(INDEX('Calculations'!$HF$13:$HF$512,MATCH('Calculations'!HY178,'Calculations'!$HE$13:$HE$512,0)),""))))</x:f>
      </x:c>
      <x:c r="IA178" t="str">
        <x:f>IF('Calculations'!HZ178="","",IF('Calculations'!HZ178="!AMBIG","!AMBIG",IF(COUNTIF('Calculations'!$HE$13:$HE$512,"="&amp;SUBSTITUTE(SUBSTITUTE(SUBSTITUTE('Calculations'!HZ178,"~","~~"),"*","~*"),"?","~?"))&gt;1,"!AMBIG",IFERROR(INDEX('Calculations'!$HF$13:$HF$512,MATCH('Calculations'!HZ178,'Calculations'!$HE$13:$HE$512,0)),""))))</x:f>
      </x:c>
      <x:c r="IB178" t="str">
        <x:f>IF('Calculations'!IA178="","",IF('Calculations'!IA178="!AMBIG","!AMBIG",IF(COUNTIF('Calculations'!$HE$13:$HE$512,"="&amp;SUBSTITUTE(SUBSTITUTE(SUBSTITUTE('Calculations'!IA178,"~","~~"),"*","~*"),"?","~?"))&gt;1,"!AMBIG",IFERROR(INDEX('Calculations'!$HF$13:$HF$512,MATCH('Calculations'!IA178,'Calculations'!$HE$13:$HE$512,0)),""))))</x:f>
      </x:c>
      <x:c r="IC178" t="str">
        <x:f>IF('Calculations'!IB178="","",IF('Calculations'!IB178="!AMBIG","!AMBIG",IF(COUNTIF('Calculations'!$HE$13:$HE$512,"="&amp;SUBSTITUTE(SUBSTITUTE(SUBSTITUTE('Calculations'!IB178,"~","~~"),"*","~*"),"?","~?"))&gt;1,"!AMBIG",IFERROR(INDEX('Calculations'!$HF$13:$HF$512,MATCH('Calculations'!IB178,'Calculations'!$HE$13:$HE$512,0)),""))))</x:f>
      </x:c>
      <x:c r="ID178" t="str">
        <x:f>IF('Calculations'!IC178="","",IF('Calculations'!IC178="!AMBIG","!AMBIG",IF(COUNTIF('Calculations'!$HE$13:$HE$512,"="&amp;SUBSTITUTE(SUBSTITUTE(SUBSTITUTE('Calculations'!IC178,"~","~~"),"*","~*"),"?","~?"))&gt;1,"!AMBIG",IFERROR(INDEX('Calculations'!$HF$13:$HF$512,MATCH('Calculations'!IC178,'Calculations'!$HE$13:$HE$512,0)),""))))</x:f>
      </x:c>
      <x:c r="IE178" t="str">
        <x:f>IF('Calculations'!ID178="","",IF('Calculations'!ID178="!AMBIG","!AMBIG",IF(COUNTIF('Calculations'!$HE$13:$HE$512,"="&amp;SUBSTITUTE(SUBSTITUTE(SUBSTITUTE('Calculations'!ID178,"~","~~"),"*","~*"),"?","~?"))&gt;1,"!AMBIG",IFERROR(INDEX('Calculations'!$HF$13:$HF$512,MATCH('Calculations'!ID178,'Calculations'!$HE$13:$HE$512,0)),""))))</x:f>
      </x:c>
      <x:c r="IF178" t="str">
        <x:f>IF('Calculations'!IE178="","",IF('Calculations'!IE178="!AMBIG","!AMBIG",IF(COUNTIF('Calculations'!$HE$13:$HE$512,"="&amp;SUBSTITUTE(SUBSTITUTE(SUBSTITUTE('Calculations'!IE178,"~","~~"),"*","~*"),"?","~?"))&gt;1,"!AMBIG",IFERROR(INDEX('Calculations'!$HF$13:$HF$512,MATCH('Calculations'!IE178,'Calculations'!$HE$13:$HE$512,0)),""))))</x:f>
      </x:c>
      <x:c r="IG178" t="str">
        <x:f>IF('Calculations'!IF178="","",IF('Calculations'!IF178="!AMBIG","!AMBIG",IF(COUNTIF('Calculations'!$HE$13:$HE$512,"="&amp;SUBSTITUTE(SUBSTITUTE(SUBSTITUTE('Calculations'!IF178,"~","~~"),"*","~*"),"?","~?"))&gt;1,"!AMBIG",IFERROR(INDEX('Calculations'!$HF$13:$HF$512,MATCH('Calculations'!IF178,'Calculations'!$HE$13:$HE$512,0)),""))))</x:f>
      </x:c>
      <x:c r="IH178" t="str">
        <x:f>IF('Calculations'!IG178="","",IF('Calculations'!IG178="!AMBIG","!AMBIG",IF(COUNTIF('Calculations'!$HE$13:$HE$512,"="&amp;SUBSTITUTE(SUBSTITUTE(SUBSTITUTE('Calculations'!IG178,"~","~~"),"*","~*"),"?","~?"))&gt;1,"!AMBIG",IFERROR(INDEX('Calculations'!$HF$13:$HF$512,MATCH('Calculations'!IG178,'Calculations'!$HE$13:$HE$512,0)),""))))</x:f>
      </x:c>
      <x:c r="II178" t="str">
        <x:f>IF('Calculations'!IH178="","",IF('Calculations'!IH178="!AMBIG","!AMBIG",IF(COUNTIF('Calculations'!$HE$13:$HE$512,"="&amp;SUBSTITUTE(SUBSTITUTE(SUBSTITUTE('Calculations'!IH178,"~","~~"),"*","~*"),"?","~?"))&gt;1,"!AMBIG",IFERROR(INDEX('Calculations'!$HF$13:$HF$512,MATCH('Calculations'!IH178,'Calculations'!$HE$13:$HE$512,0)),""))))</x:f>
      </x:c>
      <x:c r="IJ178" t="str">
        <x:f>IF('Calculations'!EM178="","",IF('Calculations'!$EF$2="All",'Calculations'!HM178,IF('Calculations'!HL178=1,"",IFERROR(IF(MATCH('Calculations'!$EF$2,'Calculations'!HO178:II178,0)=1,'Calculations'!HE178,INDEX('Calculations'!HO178:II178,1,MATCH('Calculations'!$EF$2,'Calculations'!HO178:II178,0)-1)),""))))</x:f>
      </x:c>
      <x:c r="IK178" t="n">
        <x:f>IF(AND('Calculations'!EM178&lt;&gt;"",'Calculations'!$EF$2&lt;&gt;"All",'Calculations'!HF178='Calculations'!$EF$2,'Calculations'!HL178=0,'Calculations'!JD178&gt;0),MAX('Calculations'!$IK$12:IK177)+1,0)</x:f>
        <x:v>0</x:v>
      </x:c>
      <x:c r="JA178" t="n">
        <x:f>IF(OR(IFERROR(INDIRECT("'WCM Calibration Final'!$A$178")&lt;&gt;"",FALSE),IFERROR(INDIRECT("'WCM Calibration Final'!$B$178")&lt;&gt;"",FALSE),IFERROR(INDIRECT("'WCM Calibration Final'!$C$178")&lt;&gt;"",FALSE)),178,0)</x:f>
        <x:v>0</x:v>
      </x:c>
      <x:c r="JB178" t="n">
        <x:f>'Calculations'!JB177+IF('Calculations'!JA178&gt;0,1,0)</x:f>
        <x:v>0</x:v>
      </x:c>
      <x:c r="JC178" t="n">
        <x:f>IF(OR('Calculations'!HF178="",'Calculations'!HF178="!AMBIG"),0,IF('Dashboard'!$B$7="All",1,COUNTIFS('Calculations'!$HO$13:$HO$512,"="&amp;SUBSTITUTE(SUBSTITUTE(SUBSTITUTE('Calculations'!HF178,"~","~~"),"*","~*"),"?","~?"),'Calculations'!$HN$13:$HN$512,"="&amp;SUBSTITUTE(SUBSTITUTE(SUBSTITUTE('Dashboard'!$B$7,"~","~~"),"*","~*"),"?","~?"))+COUNTIFS('Calculations'!$HP$13:$HP$512,"="&amp;SUBSTITUTE(SUBSTITUTE(SUBSTITUTE('Calculations'!HF178,"~","~~"),"*","~*"),"?","~?"),'Calculations'!$HN$13:$HN$512,"="&amp;SUBSTITUTE(SUBSTITUTE(SUBSTITUTE('Dashboard'!$B$7,"~","~~"),"*","~*"),"?","~?"))+COUNTIFS('Calculations'!$HQ$13:$HQ$512,"="&amp;SUBSTITUTE(SUBSTITUTE(SUBSTITUTE('Calculations'!HF178,"~","~~"),"*","~*"),"?","~?"),'Calculations'!$HN$13:$HN$512,"="&amp;SUBSTITUTE(SUBSTITUTE(SUBSTITUTE('Dashboard'!$B$7,"~","~~"),"*","~*"),"?","~?"))+COUNTIFS('Calculations'!$HR$13:$HR$512,"="&amp;SUBSTITUTE(SUBSTITUTE(SUBSTITUTE('Calculations'!HF178,"~","~~"),"*","~*"),"?","~?"),'Calculations'!$HN$13:$HN$512,"="&amp;SUBSTITUTE(SUBSTITUTE(SUBSTITUTE('Dashboard'!$B$7,"~","~~"),"*","~*"),"?","~?"))+COUNTIFS('Calculations'!$HS$13:$HS$512,"="&amp;SUBSTITUTE(SUBSTITUTE(SUBSTITUTE('Calculations'!HF178,"~","~~"),"*","~*"),"?","~?"),'Calculations'!$HN$13:$HN$512,"="&amp;SUBSTITUTE(SUBSTITUTE(SUBSTITUTE('Dashboard'!$B$7,"~","~~"),"*","~*"),"?","~?"))+COUNTIFS('Calculations'!$HT$13:$HT$512,"="&amp;SUBSTITUTE(SUBSTITUTE(SUBSTITUTE('Calculations'!HF178,"~","~~"),"*","~*"),"?","~?"),'Calculations'!$HN$13:$HN$512,"="&amp;SUBSTITUTE(SUBSTITUTE(SUBSTITUTE('Dashboard'!$B$7,"~","~~"),"*","~*"),"?","~?"))+COUNTIFS('Calculations'!$HU$13:$HU$512,"="&amp;SUBSTITUTE(SUBSTITUTE(SUBSTITUTE('Calculations'!HF178,"~","~~"),"*","~*"),"?","~?"),'Calculations'!$HN$13:$HN$512,"="&amp;SUBSTITUTE(SUBSTITUTE(SUBSTITUTE('Dashboard'!$B$7,"~","~~"),"*","~*"),"?","~?"))+COUNTIFS('Calculations'!$HV$13:$HV$512,"="&amp;SUBSTITUTE(SUBSTITUTE(SUBSTITUTE('Calculations'!HF178,"~","~~"),"*","~*"),"?","~?"),'Calculations'!$HN$13:$HN$512,"="&amp;SUBSTITUTE(SUBSTITUTE(SUBSTITUTE('Dashboard'!$B$7,"~","~~"),"*","~*"),"?","~?"))+COUNTIFS('Calculations'!$HW$13:$HW$512,"="&amp;SUBSTITUTE(SUBSTITUTE(SUBSTITUTE('Calculations'!HF178,"~","~~"),"*","~*"),"?","~?"),'Calculations'!$HN$13:$HN$512,"="&amp;SUBSTITUTE(SUBSTITUTE(SUBSTITUTE('Dashboard'!$B$7,"~","~~"),"*","~*"),"?","~?"))+COUNTIFS('Calculations'!$HX$13:$HX$512,"="&amp;SUBSTITUTE(SUBSTITUTE(SUBSTITUTE('Calculations'!HF178,"~","~~"),"*","~*"),"?","~?"),'Calculations'!$HN$13:$HN$512,"="&amp;SUBSTITUTE(SUBSTITUTE(SUBSTITUTE('Dashboard'!$B$7,"~","~~"),"*","~*"),"?","~?"))+COUNTIFS('Calculations'!$HY$13:$HY$512,"="&amp;SUBSTITUTE(SUBSTITUTE(SUBSTITUTE('Calculations'!HF178,"~","~~"),"*","~*"),"?","~?"),'Calculations'!$HN$13:$HN$512,"="&amp;SUBSTITUTE(SUBSTITUTE(SUBSTITUTE('Dashboard'!$B$7,"~","~~"),"*","~*"),"?","~?"))+COUNTIFS('Calculations'!$HZ$13:$HZ$512,"="&amp;SUBSTITUTE(SUBSTITUTE(SUBSTITUTE('Calculations'!HF178,"~","~~"),"*","~*"),"?","~?"),'Calculations'!$HN$13:$HN$512,"="&amp;SUBSTITUTE(SUBSTITUTE(SUBSTITUTE('Dashboard'!$B$7,"~","~~"),"*","~*"),"?","~?"))+COUNTIFS('Calculations'!$IA$13:$IA$512,"="&amp;SUBSTITUTE(SUBSTITUTE(SUBSTITUTE('Calculations'!HF178,"~","~~"),"*","~*"),"?","~?"),'Calculations'!$HN$13:$HN$512,"="&amp;SUBSTITUTE(SUBSTITUTE(SUBSTITUTE('Dashboard'!$B$7,"~","~~"),"*","~*"),"?","~?"))+COUNTIFS('Calculations'!$IB$13:$IB$512,"="&amp;SUBSTITUTE(SUBSTITUTE(SUBSTITUTE('Calculations'!HF178,"~","~~"),"*","~*"),"?","~?"),'Calculations'!$HN$13:$HN$512,"="&amp;SUBSTITUTE(SUBSTITUTE(SUBSTITUTE('Dashboard'!$B$7,"~","~~"),"*","~*"),"?","~?"))+COUNTIFS('Calculations'!$IC$13:$IC$512,"="&amp;SUBSTITUTE(SUBSTITUTE(SUBSTITUTE('Calculations'!HF178,"~","~~"),"*","~*"),"?","~?"),'Calculations'!$HN$13:$HN$512,"="&amp;SUBSTITUTE(SUBSTITUTE(SUBSTITUTE('Dashboard'!$B$7,"~","~~"),"*","~*"),"?","~?"))+COUNTIFS('Calculations'!$ID$13:$ID$512,"="&amp;SUBSTITUTE(SUBSTITUTE(SUBSTITUTE('Calculations'!HF178,"~","~~"),"*","~*"),"?","~?"),'Calculations'!$HN$13:$HN$512,"="&amp;SUBSTITUTE(SUBSTITUTE(SUBSTITUTE('Dashboard'!$B$7,"~","~~"),"*","~*"),"?","~?"))+COUNTIFS('Calculations'!$IE$13:$IE$512,"="&amp;SUBSTITUTE(SUBSTITUTE(SUBSTITUTE('Calculations'!HF178,"~","~~"),"*","~*"),"?","~?"),'Calculations'!$HN$13:$HN$512,"="&amp;SUBSTITUTE(SUBSTITUTE(SUBSTITUTE('Dashboard'!$B$7,"~","~~"),"*","~*"),"?","~?"))+COUNTIFS('Calculations'!$IF$13:$IF$512,"="&amp;SUBSTITUTE(SUBSTITUTE(SUBSTITUTE('Calculations'!HF178,"~","~~"),"*","~*"),"?","~?"),'Calculations'!$HN$13:$HN$512,"="&amp;SUBSTITUTE(SUBSTITUTE(SUBSTITUTE('Dashboard'!$B$7,"~","~~"),"*","~*"),"?","~?"))+COUNTIFS('Calculations'!$IG$13:$IG$512,"="&amp;SUBSTITUTE(SUBSTITUTE(SUBSTITUTE('Calculations'!HF178,"~","~~"),"*","~*"),"?","~?"),'Calculations'!$HN$13:$HN$512,"="&amp;SUBSTITUTE(SUBSTITUTE(SUBSTITUTE('Dashboard'!$B$7,"~","~~"),"*","~*"),"?","~?"))+COUNTIFS('Calculations'!$IH$13:$IH$512,"="&amp;SUBSTITUTE(SUBSTITUTE(SUBSTITUTE('Calculations'!HF178,"~","~~"),"*","~*"),"?","~?"),'Calculations'!$HN$13:$HN$512,"="&amp;SUBSTITUTE(SUBSTITUTE(SUBSTITUTE('Dashboard'!$B$7,"~","~~"),"*","~*"),"?","~?"))))</x:f>
        <x:v>0</x:v>
      </x:c>
      <x:c r="JD178" t="n">
        <x:f>IF('Calculations'!EM178="",0,IF('Dashboard'!$B$7="All",1,IF('Calculations'!HN178='Dashboard'!$B$7,1,0)+IFERROR(INDEX('Calculations'!$JC$13:$JC$512,MATCH('Calculations'!HE178,'Calculations'!$HF$13:$HF$512,0)),0)))</x:f>
        <x:v>0</x:v>
      </x:c>
      <x:c r="JE178" t="n">
        <x:f>IF(AND('Calculations'!EM178&lt;&gt;"",'Calculations'!$JJ$2&lt;&gt;"All",'Calculations'!$JJ$2&lt;&gt;"",'Calculations'!HF178='Calculations'!$JJ$2,'Calculations'!HL178=0,'Calculations'!JD178&gt;0),MAX('Calculations'!$JE$12:JE177)+1,0)</x:f>
        <x:v>0</x:v>
      </x:c>
      <x:c r="JF178" t="str">
        <x:f>IF('Calculations'!EM178="","",IFERROR(IF(INDEX(INDIRECT("'WCM Calibration Final'!$G$1:$G$2000"),'Calculations'!$EM178)="","",TRIM(INDEX(INDIRECT("'WCM Calibration Final'!$G$1:$G$2000"),'Calculations'!$EM178)&amp;"")),""))</x:f>
      </x:c>
      <x:c r="JQ178" t="n">
        <x:f>IF(OR('Calculations'!BM178=0,NOT('Calculations'!$AG$2),'Calculations'!$AG$8&gt;0),0,IF(OR('Dashboard'!$B$7="All",'Calculations'!HN178='Dashboard'!$B$7),IF('Calculations'!$JJ$2="All",1,IF(AND('Calculations'!HF178='Calculations'!$JJ$2,'Calculations'!HL178=0),1,0)),0))</x:f>
        <x:v>0</x:v>
      </x:c>
    </x:row>
    <x:row r="179">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t="n">
        <x:f>IF('Calculations'!$EM179="",0,IF(OR(IFERROR(INDEX(INDIRECT("'WCM Calibration Final'!$A$1:$A$2000"),'Calculations'!$EM179)&lt;&gt;"",FALSE),IFERROR(INDEX(INDIRECT("'WCM Calibration Final'!$B$1:$B$2000"),'Calculations'!$EM179)&lt;&gt;"",FALSE),IFERROR(INDEX(INDIRECT("'WCM Calibration Final'!$C$1:$C$2000"),'Calculations'!$EM179)&lt;&gt;"",FALSE)),1,0))</x:f>
        <x:v>0</x:v>
      </x:c>
      <x:c r="BN179" s="4" t="n">
        <x:f>IF(AND('Calculations'!BM179=1,'Calculations'!$AG$2,'Calculations'!$EN179=1),1,0)</x:f>
        <x:v>0</x:v>
      </x:c>
      <x:c r="BO179" s="4" t="str">
        <x:f>IF('Calculations'!BM179=0,"",IFERROR(IF(AND(VALUE(INDEX(INDIRECT("'WCM Calibration Final'!$K$1:$K$2000"),'Calculations'!$EM179))&gt;=1,VALUE(INDEX(INDIRECT("'WCM Calibration Final'!$K$1:$K$2000"),'Calculations'!$EM179))&lt;=4,MOD(VALUE(INDEX(INDIRECT("'WCM Calibration Final'!$K$1:$K$2000"),'Calculations'!$EM179)),1)=0),VALUE(INDEX(INDIRECT("'WCM Calibration Final'!$K$1:$K$2000"),'Calculations'!$EM179)),""),""))</x:f>
      </x:c>
      <x:c r="BP179" s="4" t="str">
        <x:f>IF('Calculations'!BM179=0,"",IFERROR(IF(AND(VALUE(INDEX(INDIRECT("'WCM Calibration Final'!$L$1:$L$2000"),'Calculations'!$EM179))&gt;=1,VALUE(INDEX(INDIRECT("'WCM Calibration Final'!$L$1:$L$2000"),'Calculations'!$EM179))&lt;=4,MOD(VALUE(INDEX(INDIRECT("'WCM Calibration Final'!$L$1:$L$2000"),'Calculations'!$EM179)),1)=0),VALUE(INDEX(INDIRECT("'WCM Calibration Final'!$L$1:$L$2000"),'Calculations'!$EM179)),""),""))</x:f>
      </x:c>
      <x:c r="BQ179" s="4"/>
      <x:c r="BR179" s="4"/>
      <x:c r="BS179" s="4"/>
      <x:c r="BT179" s="4" t="n">
        <x:f>IF(AND('Calculations'!BM179=1,ISNUMBER('Calculations'!BO179),ISNUMBER('Calculations'!BP179)),1,0)</x:f>
        <x:v>0</x:v>
      </x:c>
      <x:c r="BU179" s="4" t="str">
        <x:f>IF('Calculations'!BM179=0,"",'Calculations'!$EO179)</x:f>
      </x:c>
      <x:c r="BV179" s="4" t="str">
        <x:f>IF('Calculations'!BM179=0,"",IFERROR(IF(OR(INDEX(INDIRECT("'WCM Calibration Final'!$H$1:$H$2000"),'Calculations'!$EM179)="MANAGING DIRECTOR",INDEX(INDIRECT("'WCM Calibration Final'!$H$1:$H$2000"),'Calculations'!$EM179)="DIRECTOR",INDEX(INDIRECT("'WCM Calibration Final'!$H$1:$H$2000"),'Calculations'!$EM179)="SENIOR VICE PRESIDENT",INDEX(INDIRECT("'WCM Calibration Final'!$H$1:$H$2000"),'Calculations'!$EM179)="VICE PRESIDENT",INDEX(INDIRECT("'WCM Calibration Final'!$H$1:$H$2000"),'Calculations'!$EM179)="ASSISTANT VICE PRESIDENT",INDEX(INDIRECT("'WCM Calibration Final'!$H$1:$H$2000"),'Calculations'!$EM179)="OFFICER"),UPPER(INDEX(INDIRECT("'WCM Calibration Final'!$H$1:$H$2000"),'Calculations'!$EM179)),"Other"),"Other"))</x:f>
      </x:c>
      <x:c r="BW179" s="4"/>
      <x:c r="BX179" s="4"/>
      <x:c r="BY179" s="4" t="n">
        <x:f>IF(AND('Calculations'!BM179=1,'Calculations'!BU179&lt;&gt;"",COUNTIF('Calculations'!$BU$12:BU179,'Calculations'!BU179)=1),MAX('Calculations'!$BY$11:BY178)+1,0)</x:f>
        <x:v>0</x:v>
      </x:c>
      <x:c r="BZ179" s="4" t="str">
        <x:f>IF('Dashboard'!$E$67="What",'Calculations'!BO179,'Calculations'!BP179)</x:f>
      </x:c>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t="str">
        <x:f>IF(168&gt;MAX('Calculations'!$HI$13:$HI$512),"",INDEX('Calculations'!$HN$13:$HN$512,MATCH(168,'Calculations'!$HI$13:$HI$512,0)))</x:f>
      </x:c>
      <x:c r="DB179" s="4" t="str">
        <x:f>IF(168&gt;MAX('Calculations'!$HH$13:$HH$512),"",INDEX('Calculations'!$HJ$13:$HJ$512,MATCH(168,'Calculations'!$HH$13:$HH$512,0)))</x:f>
      </x:c>
      <x:c r="DC179" s="4" t="str">
        <x:f>IF(ROW()-11&gt;MAX('Calculations'!$BY$13:$BY$512),"",INDEX('Calculations'!$BU$13:$BU$512,MATCH(ROW()-11,'Calculations'!$BY$13:$BY$512,0)))</x:f>
      </x:c>
      <x:c r="DD179" s="4" t="str">
        <x:f>IF(168&gt;MAX('Calculations'!$IK$13:$IK$512),"",INDEX('Calculations'!$HK$13:$HK$512,MATCH(168,'Calculations'!$IK$13:$IK$512,0)))</x:f>
      </x:c>
      <x:c r="DE179" s="4" t="str">
        <x:f>'Calculations'!DC179</x:f>
      </x:c>
      <x:c r="DF179" s="4" t="str">
        <x:f>IF('Calculations'!DE179="","",COUNTIFS('Calculations'!$BN$13:$BN$512,1,'Calculations'!$BU$13:$BU$512,'Calculations'!DE179))</x:f>
      </x:c>
      <x:c r="DG179" s="4" t="str">
        <x:f>IF('Calculations'!DE179="","",COUNTIFS('Calculations'!$BN$13:$BN$512,1,'Calculations'!$BU$13:$BU$512,'Calculations'!DE179,'Calculations'!$BT$13:$BT$512,1))</x:f>
      </x:c>
      <x:c r="DH179" s="4" t="str">
        <x:f>IF('Calculations'!DE179="","",'Calculations'!DF179-'Calculations'!DG179)</x:f>
      </x:c>
      <x:c r="DI179" s="4" t="str">
        <x:f>IF(OR('Calculations'!DE179="",'Calculations'!DF179=0),"",'Calculations'!DG179/'Calculations'!DF179)</x:f>
      </x:c>
      <x:c r="DJ179" s="4" t="str">
        <x:f>IF('Calculations'!DE179="","",COUNTIFS('Calculations'!$BN$13:$BN$512,1,'Calculations'!$BU$13:$BU$512,'Calculations'!DE179,'Calculations'!$BT$13:$BT$512,1,'Calculations'!$EE$13:$EE$512,"High"))</x:f>
      </x:c>
      <x:c r="DK179" s="4" t="str">
        <x:f>IF('Calculations'!DE179="","",COUNTIFS('Calculations'!$BN$13:$BN$512,1,'Calculations'!$BU$13:$BU$512,'Calculations'!DE179,'Calculations'!$BT$13:$BT$512,1,'Calculations'!$EE$13:$EE$512,"Strong"))</x:f>
      </x:c>
      <x:c r="DL179" s="4" t="str">
        <x:f>IF('Calculations'!DE179="","",COUNTIFS('Calculations'!$BN$13:$BN$512,1,'Calculations'!$BU$13:$BU$512,'Calculations'!DE179,'Calculations'!$BT$13:$BT$512,1,'Calculations'!$EE$13:$EE$512,"Solid"))</x:f>
      </x:c>
      <x:c r="DM179" s="4" t="str">
        <x:f>IF('Calculations'!DE179="","",COUNTIFS('Calculations'!$BN$13:$BN$512,1,'Calculations'!$BU$13:$BU$512,'Calculations'!DE179,'Calculations'!$BT$13:$BT$512,1,'Calculations'!$EE$13:$EE$512,"Low"))</x:f>
      </x:c>
      <x:c r="DN179" s="4" t="str">
        <x:f>IF('Calculations'!DE179="","",COUNTIFS('Calculations'!$BN$13:$BN$512,1,'Calculations'!$BU$13:$BU$512,'Calculations'!DE179,'Calculations'!$EP$13:$EP$512,1))</x:f>
      </x:c>
      <x:c r="DO179" s="4" t="str">
        <x:f>IF(OR('Calculations'!DE179="",'Calculations'!DG179=0),"",('Calculations'!DJ179+'Calculations'!DK179)/'Calculations'!DG179)</x:f>
      </x:c>
      <x:c r="DP179" s="4" t="n">
        <x:f>IF(AND('Calculations'!DE179&lt;&gt;"",'Calculations'!DF179&gt;0),COUNTIF('Calculations'!$DF$12:DF179,"&gt;0"),0)</x:f>
        <x:v>0</x:v>
      </x:c>
      <x:c r="DQ179" s="4" t="str">
        <x:f>IF(168&gt;MAX('Calculations'!$HH$13:$HH$512),"",INDEX('Calculations'!$HF$13:$HF$512,MATCH(168,'Calculations'!$HH$13:$HH$512,0)))</x:f>
      </x:c>
      <x:c r="DR179" s="4" t="str">
        <x:f>IF(168&gt;MAX('Calculations'!$IK$13:$IK$512),"",INDEX('Calculations'!$HE$13:$HE$512,MATCH(168,'Calculations'!$IK$13:$IK$512,0)))</x:f>
      </x:c>
      <x:c r="DS179" s="4"/>
      <x:c r="DT179" s="4"/>
      <x:c r="DU179" s="4"/>
      <x:c r="DV179" s="4"/>
      <x:c r="DW179" s="4"/>
      <x:c r="DX179" s="4"/>
      <x:c r="DY179" s="4"/>
      <x:c r="DZ179" s="4"/>
      <x:c r="EA179" s="4"/>
      <x:c r="EB179" s="4"/>
      <x:c r="EC179" s="4"/>
      <x:c r="ED179" s="4"/>
      <x:c r="EE179" s="4" t="str">
        <x:f>IF('Calculations'!BT179=0,"Not Rated",IF(OR('Calculations'!BO179&gt;=4,'Calculations'!BP179&gt;=4),"Low",IF('Calculations'!BO179+'Calculations'!BP179&lt;=3,"High",IF('Calculations'!BO179+'Calculations'!BP179&lt;=4,"Strong","Solid"))))</x:f>
        <x:v>Not Rated</x:v>
      </x:c>
      <x:c r="EF179" s="4"/>
      <x:c r="EG179" s="4"/>
      <x:c r="EH179" s="4"/>
      <x:c r="EI179" s="4"/>
      <x:c r="EJ179" s="4"/>
      <x:c r="EK179" s="4"/>
      <x:c r="EL179" s="4"/>
      <x:c r="EM179" s="4" t="str">
        <x:f>IF(167&gt;'Calculations'!$JB$2000,"",INDEX('Calculations'!$JA$12:$JA$2000,MATCH(167,'Calculations'!$JB$12:$JB$2000,0)))</x:f>
      </x:c>
      <x:c r="EN179" s="4" t="n">
        <x:f>IF(OR('Calculations'!EM179="",'Calculations'!$AG$8&gt;0,AND('Calculations'!$EF$2&lt;&gt;"All",'Calculations'!HE179='Calculations'!$EF$2),AND('Calculations'!$EF$3&lt;&gt;"All",'Calculations'!HE179='Calculations'!$EF$3)),0,IF(OR('Dashboard'!$B$7="All",'Calculations'!HN179='Dashboard'!$B$7),IF('Calculations'!$EF$2="All",1,IF('Calculations'!HL179&gt;0,0,IF(COUNTIF('Calculations'!HO179:II179,"="&amp;SUBSTITUTE(SUBSTITUTE(SUBSTITUTE('Calculations'!$EF$2,"~","~~"),"*","~*"),"?","~?"))=0,0,IF('Calculations'!$EF$3="All",1,IF(COUNTIF('Calculations'!HO179:II179,"="&amp;SUBSTITUTE(SUBSTITUTE(SUBSTITUTE('Calculations'!$EF$3,"~","~~"),"*","~*"),"?","~?"))&gt;0,1,0))))),0))</x:f>
        <x:v>0</x:v>
      </x:c>
      <x:c r="EO179" s="4" t="str">
        <x:f>IF('Calculations'!IJ179="","",IF('Calculations'!IJ179="!UNRESOLVED","Unresolved hierarchy",IFERROR(INDEX('Calculations'!$HK$13:$HK$512,MATCH('Calculations'!IJ179,'Calculations'!$HE$13:$HE$512,0)),IFERROR(INDEX('Calculations'!$HJ$13:$HJ$512,MATCH('Calculations'!IJ179,'Calculations'!$HF$13:$HF$512,0)),'Calculations'!IJ179))))</x:f>
      </x:c>
      <x:c r="EP179" s="4" t="n">
        <x:f>IF(AND('Calculations'!EM179&lt;&gt;"",'Calculations'!HF179='Calculations'!IJ179),1,0)</x:f>
        <x:v>0</x:v>
      </x:c>
      <x:c r="EQ179" s="4"/>
      <x:c r="ER179" s="4"/>
      <x:c r="ES179" s="4"/>
      <x:c r="ET179" s="4"/>
      <x:c r="EU179" s="4"/>
      <x:c r="EV179" s="4"/>
      <x:c r="EW179" s="4"/>
      <x:c r="EX179" s="4"/>
      <x:c r="EY179" s="4"/>
      <x:c r="EZ179" s="4"/>
      <x:c r="FA179" s="4"/>
      <x:c r="FB179" s="4"/>
      <x:c r="FC179" s="4"/>
      <x:c r="FD179" s="4"/>
      <x:c r="FE179" s="4"/>
      <x:c r="FF179" s="4"/>
      <x:c r="FG179" s="4"/>
      <x:c r="FH179" s="4"/>
      <x:c r="FI179" s="4"/>
      <x:c r="FJ179" s="4"/>
      <x:c r="FK179" s="4"/>
      <x:c r="FL179" s="4"/>
      <x:c r="FM179" s="4"/>
      <x:c r="FN179" s="4"/>
      <x:c r="FO179" s="4"/>
      <x:c r="GA179" s="71"/>
      <x:c r="GB179" s="71"/>
      <x:c r="GC179" s="71"/>
      <x:c r="GD179" s="71"/>
      <x:c r="GE179" s="71"/>
      <x:c r="GF179" s="71"/>
      <x:c r="GG179" s="71"/>
      <x:c r="GH179" s="71"/>
      <x:c r="GI179" s="71"/>
      <x:c r="GJ179" s="71"/>
      <x:c r="GK179" s="71"/>
      <x:c r="GL179" s="71"/>
      <x:c r="GM179" s="71"/>
      <x:c r="GN179" s="71"/>
      <x:c r="GO179" s="71"/>
      <x:c r="GP179" s="71"/>
      <x:c r="GQ179" s="71"/>
      <x:c r="GR179" s="71"/>
      <x:c r="GS179" s="71"/>
      <x:c r="GT179" s="71"/>
      <x:c r="GU179" s="71"/>
      <x:c r="GV179" s="71"/>
      <x:c r="GW179" s="71"/>
      <x:c r="GX179" s="71"/>
      <x:c r="GY179" s="71"/>
      <x:c r="GZ179" s="71"/>
      <x:c r="HA179" s="71"/>
      <x:c r="HB179" s="71"/>
      <x:c r="HC179" s="71"/>
      <x:c r="HD179" s="71"/>
      <x:c r="HE179" t="str">
        <x:f>IF('Calculations'!EM179="","",IF(IFERROR(IF(INDEX(INDIRECT("'WCM Calibration Final'!$A$1:$A$2000"),'Calculations'!$EM179)="","",TRIM(INDEX(INDIRECT("'WCM Calibration Final'!$A$1:$A$2000"),'Calculations'!$EM179)&amp;"")),"")&lt;&gt;"","G:"&amp;IFERROR(TEXT(1*INDEX(INDIRECT("'WCM Calibration Final'!$A$1:$A$2000"),'Calculations'!$EM179),"0"),UPPER(IFERROR(IF(INDEX(INDIRECT("'WCM Calibration Final'!$A$1:$A$2000"),'Calculations'!$EM179)="","",TRIM(INDEX(INDIRECT("'WCM Calibration Final'!$A$1:$A$2000"),'Calculations'!$EM179)&amp;"")),""))),IF(IFERROR(IF(INDEX(INDIRECT("'WCM Calibration Final'!$C$1:$C$2000"),'Calculations'!$EM179)="","",TRIM(INDEX(INDIRECT("'WCM Calibration Final'!$C$1:$C$2000"),'Calculations'!$EM179)&amp;"")),"")&lt;&gt;"","S:"&amp;UPPER(IFERROR(IF(INDEX(INDIRECT("'WCM Calibration Final'!$C$1:$C$2000"),'Calculations'!$EM179)="","",TRIM(INDEX(INDIRECT("'WCM Calibration Final'!$C$1:$C$2000"),'Calculations'!$EM179)&amp;"")),"")),"R:"&amp;'Calculations'!EM179)))</x:f>
      </x:c>
      <x:c r="HF179" t="str">
        <x:f>IF('Calculations'!EM179="","",IF(IFERROR(IF(INDEX(INDIRECT("'WCM Calibration Final'!$D$1:$D$2000"),'Calculations'!$EM179)="","",TRIM(INDEX(INDIRECT("'WCM Calibration Final'!$D$1:$D$2000"),'Calculations'!$EM179)&amp;"")),"")&lt;&gt;"","G:"&amp;IFERROR(TEXT(1*INDEX(INDIRECT("'WCM Calibration Final'!$D$1:$D$2000"),'Calculations'!$EM179),"0"),UPPER(IFERROR(IF(INDEX(INDIRECT("'WCM Calibration Final'!$D$1:$D$2000"),'Calculations'!$EM179)="","",TRIM(INDEX(INDIRECT("'WCM Calibration Final'!$D$1:$D$2000"),'Calculations'!$EM179)&amp;"")),""))),IF(IFERROR(IF(INDEX(INDIRECT("'WCM Calibration Final'!$E$1:$E$2000"),'Calculations'!$EM179)="","",TRIM(INDEX(INDIRECT("'WCM Calibration Final'!$E$1:$E$2000"),'Calculations'!$EM179)&amp;"")),"")="","",IF(COUNTIF('Calculations'!$HG$13:$HG$512,"="&amp;SUBSTITUTE(SUBSTITUTE(SUBSTITUTE(IFERROR(IF(INDEX(INDIRECT("'WCM Calibration Final'!$E$1:$E$2000"),'Calculations'!$EM179)="","",TRIM(INDEX(INDIRECT("'WCM Calibration Final'!$E$1:$E$2000"),'Calculations'!$EM179)&amp;"")),""),"~","~~"),"*","~*"),"?","~?"))=1,INDEX('Calculations'!$HE$13:$HE$512,MATCH(IFERROR(IF(INDEX(INDIRECT("'WCM Calibration Final'!$E$1:$E$2000"),'Calculations'!$EM179)="","",TRIM(INDEX(INDIRECT("'WCM Calibration Final'!$E$1:$E$2000"),'Calculations'!$EM179)&amp;"")),""),'Calculations'!$HG$13:$HG$512,0)),IF(COUNTIF('Calculations'!$HG$13:$HG$512,"="&amp;SUBSTITUTE(SUBSTITUTE(SUBSTITUTE(IFERROR(IF(INDEX(INDIRECT("'WCM Calibration Final'!$E$1:$E$2000"),'Calculations'!$EM179)="","",TRIM(INDEX(INDIRECT("'WCM Calibration Final'!$E$1:$E$2000"),'Calculations'!$EM179)&amp;"")),""),"~","~~"),"*","~*"),"?","~?"))&gt;1,"!AMBIG","X:"&amp;IFERROR(IF(INDEX(INDIRECT("'WCM Calibration Final'!$E$1:$E$2000"),'Calculations'!$EM179)="","",TRIM(INDEX(INDIRECT("'WCM Calibration Final'!$E$1:$E$2000"),'Calculations'!$EM179)&amp;"")),""))))))</x:f>
      </x:c>
      <x:c r="HG179" t="str">
        <x:f>IF('Calculations'!EM179="","",IFERROR(IF(INDEX(INDIRECT("'WCM Calibration Final'!$B$1:$B$2000"),'Calculations'!$EM179)="","",TRIM(INDEX(INDIRECT("'WCM Calibration Final'!$B$1:$B$2000"),'Calculations'!$EM179)&amp;"")),""))</x:f>
      </x:c>
      <x:c r="HH179" t="n">
        <x:f>IF(AND('Calculations'!JC179&gt;0,COUNTIF('Calculations'!$HF$12:HF179,"="&amp;SUBSTITUTE(SUBSTITUTE(SUBSTITUTE('Calculations'!HF179,"~","~~"),"*","~*"),"?","~?"))=1),MAX('Calculations'!$HH$12:HH178)+1,0)</x:f>
        <x:v>0</x:v>
      </x:c>
      <x:c r="HI179" t="n">
        <x:f>IF(AND('Calculations'!HN179&lt;&gt;"",COUNTIF('Calculations'!$HN$12:HN179,"="&amp;SUBSTITUTE(SUBSTITUTE(SUBSTITUTE('Calculations'!HN179,"~","~~"),"*","~*"),"?","~?"))=1),MAX('Calculations'!$HI$12:HI178)+1,0)</x:f>
        <x:v>0</x:v>
      </x:c>
      <x:c r="HJ179" t="str">
        <x:f>IF('Calculations'!HF179="","",IF(COUNTIF('Calculations'!$HE$13:$HE$512,"="&amp;SUBSTITUTE(SUBSTITUTE(SUBSTITUTE('Calculations'!HF179,"~","~~"),"*","~*"),"?","~?"))=1,INDEX('Calculations'!$HK$13:$HK$512,MATCH('Calculations'!HF179,'Calculations'!$HE$13:$HE$512,0)),IFERROR(IF(INDEX(INDIRECT("'WCM Calibration Final'!$E$1:$E$2000"),'Calculations'!$EM179)="","",TRIM(INDEX(INDIRECT("'WCM Calibration Final'!$E$1:$E$2000"),'Calculations'!$EM179)&amp;"")),"")&amp;" ["&amp;'Calculations'!HF179&amp;"]"))</x:f>
      </x:c>
      <x:c r="HK179" t="str">
        <x:f>IF('Calculations'!EM179="","",'Calculations'!HG179&amp;" ["&amp;'Calculations'!HE179&amp;"]")</x:f>
      </x:c>
      <x:c r="HL179" t="n">
        <x:f>IF('Calculations'!EM179="",0,IF(OR('Calculations'!II179&lt;&gt;"",COUNTIF('Calculations'!$HE$13:$HE$512,"="&amp;SUBSTITUTE(SUBSTITUTE(SUBSTITUTE('Calculations'!HE179,"~","~~"),"*","~*"),"?","~?"))&gt;1),1,0))</x:f>
        <x:v>0</x:v>
      </x:c>
      <x:c r="HM179" t="str">
        <x:f>IF('Calculations'!EM179="","",IF('Calculations'!HL179=1,"!UNRESOLVED",IF('Calculations'!IH179&lt;&gt;"",'Calculations'!IH179,IF('Calculations'!IG179&lt;&gt;"",'Calculations'!IG179,IF('Calculations'!IF179&lt;&gt;"",'Calculations'!IF179,IF('Calculations'!IE179&lt;&gt;"",'Calculations'!IE179,IF('Calculations'!ID179&lt;&gt;"",'Calculations'!ID179,IF('Calculations'!IC179&lt;&gt;"",'Calculations'!IC179,IF('Calculations'!IB179&lt;&gt;"",'Calculations'!IB179,IF('Calculations'!IA179&lt;&gt;"",'Calculations'!IA179,IF('Calculations'!HZ179&lt;&gt;"",'Calculations'!HZ179,IF('Calculations'!HY179&lt;&gt;"",'Calculations'!HY179,IF('Calculations'!HX179&lt;&gt;"",'Calculations'!HX179,IF('Calculations'!HW179&lt;&gt;"",'Calculations'!HW179,IF('Calculations'!HV179&lt;&gt;"",'Calculations'!HV179,IF('Calculations'!HU179&lt;&gt;"",'Calculations'!HU179,IF('Calculations'!HT179&lt;&gt;"",'Calculations'!HT179,IF('Calculations'!HS179&lt;&gt;"",'Calculations'!HS179,IF('Calculations'!HR179&lt;&gt;"",'Calculations'!HR179,IF('Calculations'!HQ179&lt;&gt;"",'Calculations'!HQ179,IF('Calculations'!HP179&lt;&gt;"",'Calculations'!HP179,IF('Calculations'!HO179&lt;&gt;"",'Calculations'!HO179,'Calculations'!HE179))))))))))))))))))))))</x:f>
      </x:c>
      <x:c r="HN179" t="str">
        <x:f>IF('Calculations'!EM179="","",IF(IFERROR(IF(INDEX(INDIRECT("'WCM Calibration Final'!$F$1:$F$2000"),'Calculations'!$EM179)="","",TRIM(INDEX(INDIRECT("'WCM Calibration Final'!$F$1:$F$2000"),'Calculations'!$EM179)&amp;"")),"")="","(Blank)",IFERROR(IF(INDEX(INDIRECT("'WCM Calibration Final'!$F$1:$F$2000"),'Calculations'!$EM179)="","",TRIM(INDEX(INDIRECT("'WCM Calibration Final'!$F$1:$F$2000"),'Calculations'!$EM179)&amp;"")),"")))</x:f>
      </x:c>
      <x:c r="HO179" t="str">
        <x:f>'Calculations'!HF179</x:f>
      </x:c>
      <x:c r="HP179" t="str">
        <x:f>IF('Calculations'!HO179="","",IF('Calculations'!HO179="!AMBIG","!AMBIG",IF(COUNTIF('Calculations'!$HE$13:$HE$512,"="&amp;SUBSTITUTE(SUBSTITUTE(SUBSTITUTE('Calculations'!HO179,"~","~~"),"*","~*"),"?","~?"))&gt;1,"!AMBIG",IFERROR(INDEX('Calculations'!$HF$13:$HF$512,MATCH('Calculations'!HO179,'Calculations'!$HE$13:$HE$512,0)),""))))</x:f>
      </x:c>
      <x:c r="HQ179" t="str">
        <x:f>IF('Calculations'!HP179="","",IF('Calculations'!HP179="!AMBIG","!AMBIG",IF(COUNTIF('Calculations'!$HE$13:$HE$512,"="&amp;SUBSTITUTE(SUBSTITUTE(SUBSTITUTE('Calculations'!HP179,"~","~~"),"*","~*"),"?","~?"))&gt;1,"!AMBIG",IFERROR(INDEX('Calculations'!$HF$13:$HF$512,MATCH('Calculations'!HP179,'Calculations'!$HE$13:$HE$512,0)),""))))</x:f>
      </x:c>
      <x:c r="HR179" t="str">
        <x:f>IF('Calculations'!HQ179="","",IF('Calculations'!HQ179="!AMBIG","!AMBIG",IF(COUNTIF('Calculations'!$HE$13:$HE$512,"="&amp;SUBSTITUTE(SUBSTITUTE(SUBSTITUTE('Calculations'!HQ179,"~","~~"),"*","~*"),"?","~?"))&gt;1,"!AMBIG",IFERROR(INDEX('Calculations'!$HF$13:$HF$512,MATCH('Calculations'!HQ179,'Calculations'!$HE$13:$HE$512,0)),""))))</x:f>
      </x:c>
      <x:c r="HS179" t="str">
        <x:f>IF('Calculations'!HR179="","",IF('Calculations'!HR179="!AMBIG","!AMBIG",IF(COUNTIF('Calculations'!$HE$13:$HE$512,"="&amp;SUBSTITUTE(SUBSTITUTE(SUBSTITUTE('Calculations'!HR179,"~","~~"),"*","~*"),"?","~?"))&gt;1,"!AMBIG",IFERROR(INDEX('Calculations'!$HF$13:$HF$512,MATCH('Calculations'!HR179,'Calculations'!$HE$13:$HE$512,0)),""))))</x:f>
      </x:c>
      <x:c r="HT179" t="str">
        <x:f>IF('Calculations'!HS179="","",IF('Calculations'!HS179="!AMBIG","!AMBIG",IF(COUNTIF('Calculations'!$HE$13:$HE$512,"="&amp;SUBSTITUTE(SUBSTITUTE(SUBSTITUTE('Calculations'!HS179,"~","~~"),"*","~*"),"?","~?"))&gt;1,"!AMBIG",IFERROR(INDEX('Calculations'!$HF$13:$HF$512,MATCH('Calculations'!HS179,'Calculations'!$HE$13:$HE$512,0)),""))))</x:f>
      </x:c>
      <x:c r="HU179" t="str">
        <x:f>IF('Calculations'!HT179="","",IF('Calculations'!HT179="!AMBIG","!AMBIG",IF(COUNTIF('Calculations'!$HE$13:$HE$512,"="&amp;SUBSTITUTE(SUBSTITUTE(SUBSTITUTE('Calculations'!HT179,"~","~~"),"*","~*"),"?","~?"))&gt;1,"!AMBIG",IFERROR(INDEX('Calculations'!$HF$13:$HF$512,MATCH('Calculations'!HT179,'Calculations'!$HE$13:$HE$512,0)),""))))</x:f>
      </x:c>
      <x:c r="HV179" t="str">
        <x:f>IF('Calculations'!HU179="","",IF('Calculations'!HU179="!AMBIG","!AMBIG",IF(COUNTIF('Calculations'!$HE$13:$HE$512,"="&amp;SUBSTITUTE(SUBSTITUTE(SUBSTITUTE('Calculations'!HU179,"~","~~"),"*","~*"),"?","~?"))&gt;1,"!AMBIG",IFERROR(INDEX('Calculations'!$HF$13:$HF$512,MATCH('Calculations'!HU179,'Calculations'!$HE$13:$HE$512,0)),""))))</x:f>
      </x:c>
      <x:c r="HW179" t="str">
        <x:f>IF('Calculations'!HV179="","",IF('Calculations'!HV179="!AMBIG","!AMBIG",IF(COUNTIF('Calculations'!$HE$13:$HE$512,"="&amp;SUBSTITUTE(SUBSTITUTE(SUBSTITUTE('Calculations'!HV179,"~","~~"),"*","~*"),"?","~?"))&gt;1,"!AMBIG",IFERROR(INDEX('Calculations'!$HF$13:$HF$512,MATCH('Calculations'!HV179,'Calculations'!$HE$13:$HE$512,0)),""))))</x:f>
      </x:c>
      <x:c r="HX179" t="str">
        <x:f>IF('Calculations'!HW179="","",IF('Calculations'!HW179="!AMBIG","!AMBIG",IF(COUNTIF('Calculations'!$HE$13:$HE$512,"="&amp;SUBSTITUTE(SUBSTITUTE(SUBSTITUTE('Calculations'!HW179,"~","~~"),"*","~*"),"?","~?"))&gt;1,"!AMBIG",IFERROR(INDEX('Calculations'!$HF$13:$HF$512,MATCH('Calculations'!HW179,'Calculations'!$HE$13:$HE$512,0)),""))))</x:f>
      </x:c>
      <x:c r="HY179" t="str">
        <x:f>IF('Calculations'!HX179="","",IF('Calculations'!HX179="!AMBIG","!AMBIG",IF(COUNTIF('Calculations'!$HE$13:$HE$512,"="&amp;SUBSTITUTE(SUBSTITUTE(SUBSTITUTE('Calculations'!HX179,"~","~~"),"*","~*"),"?","~?"))&gt;1,"!AMBIG",IFERROR(INDEX('Calculations'!$HF$13:$HF$512,MATCH('Calculations'!HX179,'Calculations'!$HE$13:$HE$512,0)),""))))</x:f>
      </x:c>
      <x:c r="HZ179" t="str">
        <x:f>IF('Calculations'!HY179="","",IF('Calculations'!HY179="!AMBIG","!AMBIG",IF(COUNTIF('Calculations'!$HE$13:$HE$512,"="&amp;SUBSTITUTE(SUBSTITUTE(SUBSTITUTE('Calculations'!HY179,"~","~~"),"*","~*"),"?","~?"))&gt;1,"!AMBIG",IFERROR(INDEX('Calculations'!$HF$13:$HF$512,MATCH('Calculations'!HY179,'Calculations'!$HE$13:$HE$512,0)),""))))</x:f>
      </x:c>
      <x:c r="IA179" t="str">
        <x:f>IF('Calculations'!HZ179="","",IF('Calculations'!HZ179="!AMBIG","!AMBIG",IF(COUNTIF('Calculations'!$HE$13:$HE$512,"="&amp;SUBSTITUTE(SUBSTITUTE(SUBSTITUTE('Calculations'!HZ179,"~","~~"),"*","~*"),"?","~?"))&gt;1,"!AMBIG",IFERROR(INDEX('Calculations'!$HF$13:$HF$512,MATCH('Calculations'!HZ179,'Calculations'!$HE$13:$HE$512,0)),""))))</x:f>
      </x:c>
      <x:c r="IB179" t="str">
        <x:f>IF('Calculations'!IA179="","",IF('Calculations'!IA179="!AMBIG","!AMBIG",IF(COUNTIF('Calculations'!$HE$13:$HE$512,"="&amp;SUBSTITUTE(SUBSTITUTE(SUBSTITUTE('Calculations'!IA179,"~","~~"),"*","~*"),"?","~?"))&gt;1,"!AMBIG",IFERROR(INDEX('Calculations'!$HF$13:$HF$512,MATCH('Calculations'!IA179,'Calculations'!$HE$13:$HE$512,0)),""))))</x:f>
      </x:c>
      <x:c r="IC179" t="str">
        <x:f>IF('Calculations'!IB179="","",IF('Calculations'!IB179="!AMBIG","!AMBIG",IF(COUNTIF('Calculations'!$HE$13:$HE$512,"="&amp;SUBSTITUTE(SUBSTITUTE(SUBSTITUTE('Calculations'!IB179,"~","~~"),"*","~*"),"?","~?"))&gt;1,"!AMBIG",IFERROR(INDEX('Calculations'!$HF$13:$HF$512,MATCH('Calculations'!IB179,'Calculations'!$HE$13:$HE$512,0)),""))))</x:f>
      </x:c>
      <x:c r="ID179" t="str">
        <x:f>IF('Calculations'!IC179="","",IF('Calculations'!IC179="!AMBIG","!AMBIG",IF(COUNTIF('Calculations'!$HE$13:$HE$512,"="&amp;SUBSTITUTE(SUBSTITUTE(SUBSTITUTE('Calculations'!IC179,"~","~~"),"*","~*"),"?","~?"))&gt;1,"!AMBIG",IFERROR(INDEX('Calculations'!$HF$13:$HF$512,MATCH('Calculations'!IC179,'Calculations'!$HE$13:$HE$512,0)),""))))</x:f>
      </x:c>
      <x:c r="IE179" t="str">
        <x:f>IF('Calculations'!ID179="","",IF('Calculations'!ID179="!AMBIG","!AMBIG",IF(COUNTIF('Calculations'!$HE$13:$HE$512,"="&amp;SUBSTITUTE(SUBSTITUTE(SUBSTITUTE('Calculations'!ID179,"~","~~"),"*","~*"),"?","~?"))&gt;1,"!AMBIG",IFERROR(INDEX('Calculations'!$HF$13:$HF$512,MATCH('Calculations'!ID179,'Calculations'!$HE$13:$HE$512,0)),""))))</x:f>
      </x:c>
      <x:c r="IF179" t="str">
        <x:f>IF('Calculations'!IE179="","",IF('Calculations'!IE179="!AMBIG","!AMBIG",IF(COUNTIF('Calculations'!$HE$13:$HE$512,"="&amp;SUBSTITUTE(SUBSTITUTE(SUBSTITUTE('Calculations'!IE179,"~","~~"),"*","~*"),"?","~?"))&gt;1,"!AMBIG",IFERROR(INDEX('Calculations'!$HF$13:$HF$512,MATCH('Calculations'!IE179,'Calculations'!$HE$13:$HE$512,0)),""))))</x:f>
      </x:c>
      <x:c r="IG179" t="str">
        <x:f>IF('Calculations'!IF179="","",IF('Calculations'!IF179="!AMBIG","!AMBIG",IF(COUNTIF('Calculations'!$HE$13:$HE$512,"="&amp;SUBSTITUTE(SUBSTITUTE(SUBSTITUTE('Calculations'!IF179,"~","~~"),"*","~*"),"?","~?"))&gt;1,"!AMBIG",IFERROR(INDEX('Calculations'!$HF$13:$HF$512,MATCH('Calculations'!IF179,'Calculations'!$HE$13:$HE$512,0)),""))))</x:f>
      </x:c>
      <x:c r="IH179" t="str">
        <x:f>IF('Calculations'!IG179="","",IF('Calculations'!IG179="!AMBIG","!AMBIG",IF(COUNTIF('Calculations'!$HE$13:$HE$512,"="&amp;SUBSTITUTE(SUBSTITUTE(SUBSTITUTE('Calculations'!IG179,"~","~~"),"*","~*"),"?","~?"))&gt;1,"!AMBIG",IFERROR(INDEX('Calculations'!$HF$13:$HF$512,MATCH('Calculations'!IG179,'Calculations'!$HE$13:$HE$512,0)),""))))</x:f>
      </x:c>
      <x:c r="II179" t="str">
        <x:f>IF('Calculations'!IH179="","",IF('Calculations'!IH179="!AMBIG","!AMBIG",IF(COUNTIF('Calculations'!$HE$13:$HE$512,"="&amp;SUBSTITUTE(SUBSTITUTE(SUBSTITUTE('Calculations'!IH179,"~","~~"),"*","~*"),"?","~?"))&gt;1,"!AMBIG",IFERROR(INDEX('Calculations'!$HF$13:$HF$512,MATCH('Calculations'!IH179,'Calculations'!$HE$13:$HE$512,0)),""))))</x:f>
      </x:c>
      <x:c r="IJ179" t="str">
        <x:f>IF('Calculations'!EM179="","",IF('Calculations'!$EF$2="All",'Calculations'!HM179,IF('Calculations'!HL179=1,"",IFERROR(IF(MATCH('Calculations'!$EF$2,'Calculations'!HO179:II179,0)=1,'Calculations'!HE179,INDEX('Calculations'!HO179:II179,1,MATCH('Calculations'!$EF$2,'Calculations'!HO179:II179,0)-1)),""))))</x:f>
      </x:c>
      <x:c r="IK179" t="n">
        <x:f>IF(AND('Calculations'!EM179&lt;&gt;"",'Calculations'!$EF$2&lt;&gt;"All",'Calculations'!HF179='Calculations'!$EF$2,'Calculations'!HL179=0,'Calculations'!JD179&gt;0),MAX('Calculations'!$IK$12:IK178)+1,0)</x:f>
        <x:v>0</x:v>
      </x:c>
      <x:c r="JA179" t="n">
        <x:f>IF(OR(IFERROR(INDIRECT("'WCM Calibration Final'!$A$179")&lt;&gt;"",FALSE),IFERROR(INDIRECT("'WCM Calibration Final'!$B$179")&lt;&gt;"",FALSE),IFERROR(INDIRECT("'WCM Calibration Final'!$C$179")&lt;&gt;"",FALSE)),179,0)</x:f>
        <x:v>0</x:v>
      </x:c>
      <x:c r="JB179" t="n">
        <x:f>'Calculations'!JB178+IF('Calculations'!JA179&gt;0,1,0)</x:f>
        <x:v>0</x:v>
      </x:c>
      <x:c r="JC179" t="n">
        <x:f>IF(OR('Calculations'!HF179="",'Calculations'!HF179="!AMBIG"),0,IF('Dashboard'!$B$7="All",1,COUNTIFS('Calculations'!$HO$13:$HO$512,"="&amp;SUBSTITUTE(SUBSTITUTE(SUBSTITUTE('Calculations'!HF179,"~","~~"),"*","~*"),"?","~?"),'Calculations'!$HN$13:$HN$512,"="&amp;SUBSTITUTE(SUBSTITUTE(SUBSTITUTE('Dashboard'!$B$7,"~","~~"),"*","~*"),"?","~?"))+COUNTIFS('Calculations'!$HP$13:$HP$512,"="&amp;SUBSTITUTE(SUBSTITUTE(SUBSTITUTE('Calculations'!HF179,"~","~~"),"*","~*"),"?","~?"),'Calculations'!$HN$13:$HN$512,"="&amp;SUBSTITUTE(SUBSTITUTE(SUBSTITUTE('Dashboard'!$B$7,"~","~~"),"*","~*"),"?","~?"))+COUNTIFS('Calculations'!$HQ$13:$HQ$512,"="&amp;SUBSTITUTE(SUBSTITUTE(SUBSTITUTE('Calculations'!HF179,"~","~~"),"*","~*"),"?","~?"),'Calculations'!$HN$13:$HN$512,"="&amp;SUBSTITUTE(SUBSTITUTE(SUBSTITUTE('Dashboard'!$B$7,"~","~~"),"*","~*"),"?","~?"))+COUNTIFS('Calculations'!$HR$13:$HR$512,"="&amp;SUBSTITUTE(SUBSTITUTE(SUBSTITUTE('Calculations'!HF179,"~","~~"),"*","~*"),"?","~?"),'Calculations'!$HN$13:$HN$512,"="&amp;SUBSTITUTE(SUBSTITUTE(SUBSTITUTE('Dashboard'!$B$7,"~","~~"),"*","~*"),"?","~?"))+COUNTIFS('Calculations'!$HS$13:$HS$512,"="&amp;SUBSTITUTE(SUBSTITUTE(SUBSTITUTE('Calculations'!HF179,"~","~~"),"*","~*"),"?","~?"),'Calculations'!$HN$13:$HN$512,"="&amp;SUBSTITUTE(SUBSTITUTE(SUBSTITUTE('Dashboard'!$B$7,"~","~~"),"*","~*"),"?","~?"))+COUNTIFS('Calculations'!$HT$13:$HT$512,"="&amp;SUBSTITUTE(SUBSTITUTE(SUBSTITUTE('Calculations'!HF179,"~","~~"),"*","~*"),"?","~?"),'Calculations'!$HN$13:$HN$512,"="&amp;SUBSTITUTE(SUBSTITUTE(SUBSTITUTE('Dashboard'!$B$7,"~","~~"),"*","~*"),"?","~?"))+COUNTIFS('Calculations'!$HU$13:$HU$512,"="&amp;SUBSTITUTE(SUBSTITUTE(SUBSTITUTE('Calculations'!HF179,"~","~~"),"*","~*"),"?","~?"),'Calculations'!$HN$13:$HN$512,"="&amp;SUBSTITUTE(SUBSTITUTE(SUBSTITUTE('Dashboard'!$B$7,"~","~~"),"*","~*"),"?","~?"))+COUNTIFS('Calculations'!$HV$13:$HV$512,"="&amp;SUBSTITUTE(SUBSTITUTE(SUBSTITUTE('Calculations'!HF179,"~","~~"),"*","~*"),"?","~?"),'Calculations'!$HN$13:$HN$512,"="&amp;SUBSTITUTE(SUBSTITUTE(SUBSTITUTE('Dashboard'!$B$7,"~","~~"),"*","~*"),"?","~?"))+COUNTIFS('Calculations'!$HW$13:$HW$512,"="&amp;SUBSTITUTE(SUBSTITUTE(SUBSTITUTE('Calculations'!HF179,"~","~~"),"*","~*"),"?","~?"),'Calculations'!$HN$13:$HN$512,"="&amp;SUBSTITUTE(SUBSTITUTE(SUBSTITUTE('Dashboard'!$B$7,"~","~~"),"*","~*"),"?","~?"))+COUNTIFS('Calculations'!$HX$13:$HX$512,"="&amp;SUBSTITUTE(SUBSTITUTE(SUBSTITUTE('Calculations'!HF179,"~","~~"),"*","~*"),"?","~?"),'Calculations'!$HN$13:$HN$512,"="&amp;SUBSTITUTE(SUBSTITUTE(SUBSTITUTE('Dashboard'!$B$7,"~","~~"),"*","~*"),"?","~?"))+COUNTIFS('Calculations'!$HY$13:$HY$512,"="&amp;SUBSTITUTE(SUBSTITUTE(SUBSTITUTE('Calculations'!HF179,"~","~~"),"*","~*"),"?","~?"),'Calculations'!$HN$13:$HN$512,"="&amp;SUBSTITUTE(SUBSTITUTE(SUBSTITUTE('Dashboard'!$B$7,"~","~~"),"*","~*"),"?","~?"))+COUNTIFS('Calculations'!$HZ$13:$HZ$512,"="&amp;SUBSTITUTE(SUBSTITUTE(SUBSTITUTE('Calculations'!HF179,"~","~~"),"*","~*"),"?","~?"),'Calculations'!$HN$13:$HN$512,"="&amp;SUBSTITUTE(SUBSTITUTE(SUBSTITUTE('Dashboard'!$B$7,"~","~~"),"*","~*"),"?","~?"))+COUNTIFS('Calculations'!$IA$13:$IA$512,"="&amp;SUBSTITUTE(SUBSTITUTE(SUBSTITUTE('Calculations'!HF179,"~","~~"),"*","~*"),"?","~?"),'Calculations'!$HN$13:$HN$512,"="&amp;SUBSTITUTE(SUBSTITUTE(SUBSTITUTE('Dashboard'!$B$7,"~","~~"),"*","~*"),"?","~?"))+COUNTIFS('Calculations'!$IB$13:$IB$512,"="&amp;SUBSTITUTE(SUBSTITUTE(SUBSTITUTE('Calculations'!HF179,"~","~~"),"*","~*"),"?","~?"),'Calculations'!$HN$13:$HN$512,"="&amp;SUBSTITUTE(SUBSTITUTE(SUBSTITUTE('Dashboard'!$B$7,"~","~~"),"*","~*"),"?","~?"))+COUNTIFS('Calculations'!$IC$13:$IC$512,"="&amp;SUBSTITUTE(SUBSTITUTE(SUBSTITUTE('Calculations'!HF179,"~","~~"),"*","~*"),"?","~?"),'Calculations'!$HN$13:$HN$512,"="&amp;SUBSTITUTE(SUBSTITUTE(SUBSTITUTE('Dashboard'!$B$7,"~","~~"),"*","~*"),"?","~?"))+COUNTIFS('Calculations'!$ID$13:$ID$512,"="&amp;SUBSTITUTE(SUBSTITUTE(SUBSTITUTE('Calculations'!HF179,"~","~~"),"*","~*"),"?","~?"),'Calculations'!$HN$13:$HN$512,"="&amp;SUBSTITUTE(SUBSTITUTE(SUBSTITUTE('Dashboard'!$B$7,"~","~~"),"*","~*"),"?","~?"))+COUNTIFS('Calculations'!$IE$13:$IE$512,"="&amp;SUBSTITUTE(SUBSTITUTE(SUBSTITUTE('Calculations'!HF179,"~","~~"),"*","~*"),"?","~?"),'Calculations'!$HN$13:$HN$512,"="&amp;SUBSTITUTE(SUBSTITUTE(SUBSTITUTE('Dashboard'!$B$7,"~","~~"),"*","~*"),"?","~?"))+COUNTIFS('Calculations'!$IF$13:$IF$512,"="&amp;SUBSTITUTE(SUBSTITUTE(SUBSTITUTE('Calculations'!HF179,"~","~~"),"*","~*"),"?","~?"),'Calculations'!$HN$13:$HN$512,"="&amp;SUBSTITUTE(SUBSTITUTE(SUBSTITUTE('Dashboard'!$B$7,"~","~~"),"*","~*"),"?","~?"))+COUNTIFS('Calculations'!$IG$13:$IG$512,"="&amp;SUBSTITUTE(SUBSTITUTE(SUBSTITUTE('Calculations'!HF179,"~","~~"),"*","~*"),"?","~?"),'Calculations'!$HN$13:$HN$512,"="&amp;SUBSTITUTE(SUBSTITUTE(SUBSTITUTE('Dashboard'!$B$7,"~","~~"),"*","~*"),"?","~?"))+COUNTIFS('Calculations'!$IH$13:$IH$512,"="&amp;SUBSTITUTE(SUBSTITUTE(SUBSTITUTE('Calculations'!HF179,"~","~~"),"*","~*"),"?","~?"),'Calculations'!$HN$13:$HN$512,"="&amp;SUBSTITUTE(SUBSTITUTE(SUBSTITUTE('Dashboard'!$B$7,"~","~~"),"*","~*"),"?","~?"))))</x:f>
        <x:v>0</x:v>
      </x:c>
      <x:c r="JD179" t="n">
        <x:f>IF('Calculations'!EM179="",0,IF('Dashboard'!$B$7="All",1,IF('Calculations'!HN179='Dashboard'!$B$7,1,0)+IFERROR(INDEX('Calculations'!$JC$13:$JC$512,MATCH('Calculations'!HE179,'Calculations'!$HF$13:$HF$512,0)),0)))</x:f>
        <x:v>0</x:v>
      </x:c>
      <x:c r="JE179" t="n">
        <x:f>IF(AND('Calculations'!EM179&lt;&gt;"",'Calculations'!$JJ$2&lt;&gt;"All",'Calculations'!$JJ$2&lt;&gt;"",'Calculations'!HF179='Calculations'!$JJ$2,'Calculations'!HL179=0,'Calculations'!JD179&gt;0),MAX('Calculations'!$JE$12:JE178)+1,0)</x:f>
        <x:v>0</x:v>
      </x:c>
      <x:c r="JF179" t="str">
        <x:f>IF('Calculations'!EM179="","",IFERROR(IF(INDEX(INDIRECT("'WCM Calibration Final'!$G$1:$G$2000"),'Calculations'!$EM179)="","",TRIM(INDEX(INDIRECT("'WCM Calibration Final'!$G$1:$G$2000"),'Calculations'!$EM179)&amp;"")),""))</x:f>
      </x:c>
      <x:c r="JQ179" t="n">
        <x:f>IF(OR('Calculations'!BM179=0,NOT('Calculations'!$AG$2),'Calculations'!$AG$8&gt;0),0,IF(OR('Dashboard'!$B$7="All",'Calculations'!HN179='Dashboard'!$B$7),IF('Calculations'!$JJ$2="All",1,IF(AND('Calculations'!HF179='Calculations'!$JJ$2,'Calculations'!HL179=0),1,0)),0))</x:f>
        <x:v>0</x:v>
      </x:c>
    </x:row>
    <x:row r="180">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t="n">
        <x:f>IF('Calculations'!$EM180="",0,IF(OR(IFERROR(INDEX(INDIRECT("'WCM Calibration Final'!$A$1:$A$2000"),'Calculations'!$EM180)&lt;&gt;"",FALSE),IFERROR(INDEX(INDIRECT("'WCM Calibration Final'!$B$1:$B$2000"),'Calculations'!$EM180)&lt;&gt;"",FALSE),IFERROR(INDEX(INDIRECT("'WCM Calibration Final'!$C$1:$C$2000"),'Calculations'!$EM180)&lt;&gt;"",FALSE)),1,0))</x:f>
        <x:v>0</x:v>
      </x:c>
      <x:c r="BN180" s="4" t="n">
        <x:f>IF(AND('Calculations'!BM180=1,'Calculations'!$AG$2,'Calculations'!$EN180=1),1,0)</x:f>
        <x:v>0</x:v>
      </x:c>
      <x:c r="BO180" s="4" t="str">
        <x:f>IF('Calculations'!BM180=0,"",IFERROR(IF(AND(VALUE(INDEX(INDIRECT("'WCM Calibration Final'!$K$1:$K$2000"),'Calculations'!$EM180))&gt;=1,VALUE(INDEX(INDIRECT("'WCM Calibration Final'!$K$1:$K$2000"),'Calculations'!$EM180))&lt;=4,MOD(VALUE(INDEX(INDIRECT("'WCM Calibration Final'!$K$1:$K$2000"),'Calculations'!$EM180)),1)=0),VALUE(INDEX(INDIRECT("'WCM Calibration Final'!$K$1:$K$2000"),'Calculations'!$EM180)),""),""))</x:f>
      </x:c>
      <x:c r="BP180" s="4" t="str">
        <x:f>IF('Calculations'!BM180=0,"",IFERROR(IF(AND(VALUE(INDEX(INDIRECT("'WCM Calibration Final'!$L$1:$L$2000"),'Calculations'!$EM180))&gt;=1,VALUE(INDEX(INDIRECT("'WCM Calibration Final'!$L$1:$L$2000"),'Calculations'!$EM180))&lt;=4,MOD(VALUE(INDEX(INDIRECT("'WCM Calibration Final'!$L$1:$L$2000"),'Calculations'!$EM180)),1)=0),VALUE(INDEX(INDIRECT("'WCM Calibration Final'!$L$1:$L$2000"),'Calculations'!$EM180)),""),""))</x:f>
      </x:c>
      <x:c r="BQ180" s="4"/>
      <x:c r="BR180" s="4"/>
      <x:c r="BS180" s="4"/>
      <x:c r="BT180" s="4" t="n">
        <x:f>IF(AND('Calculations'!BM180=1,ISNUMBER('Calculations'!BO180),ISNUMBER('Calculations'!BP180)),1,0)</x:f>
        <x:v>0</x:v>
      </x:c>
      <x:c r="BU180" s="4" t="str">
        <x:f>IF('Calculations'!BM180=0,"",'Calculations'!$EO180)</x:f>
      </x:c>
      <x:c r="BV180" s="4" t="str">
        <x:f>IF('Calculations'!BM180=0,"",IFERROR(IF(OR(INDEX(INDIRECT("'WCM Calibration Final'!$H$1:$H$2000"),'Calculations'!$EM180)="MANAGING DIRECTOR",INDEX(INDIRECT("'WCM Calibration Final'!$H$1:$H$2000"),'Calculations'!$EM180)="DIRECTOR",INDEX(INDIRECT("'WCM Calibration Final'!$H$1:$H$2000"),'Calculations'!$EM180)="SENIOR VICE PRESIDENT",INDEX(INDIRECT("'WCM Calibration Final'!$H$1:$H$2000"),'Calculations'!$EM180)="VICE PRESIDENT",INDEX(INDIRECT("'WCM Calibration Final'!$H$1:$H$2000"),'Calculations'!$EM180)="ASSISTANT VICE PRESIDENT",INDEX(INDIRECT("'WCM Calibration Final'!$H$1:$H$2000"),'Calculations'!$EM180)="OFFICER"),UPPER(INDEX(INDIRECT("'WCM Calibration Final'!$H$1:$H$2000"),'Calculations'!$EM180)),"Other"),"Other"))</x:f>
      </x:c>
      <x:c r="BW180" s="4"/>
      <x:c r="BX180" s="4"/>
      <x:c r="BY180" s="4" t="n">
        <x:f>IF(AND('Calculations'!BM180=1,'Calculations'!BU180&lt;&gt;"",COUNTIF('Calculations'!$BU$12:BU180,'Calculations'!BU180)=1),MAX('Calculations'!$BY$11:BY179)+1,0)</x:f>
        <x:v>0</x:v>
      </x:c>
      <x:c r="BZ180" s="4" t="str">
        <x:f>IF('Dashboard'!$E$67="What",'Calculations'!BO180,'Calculations'!BP180)</x:f>
      </x:c>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t="str">
        <x:f>IF(169&gt;MAX('Calculations'!$HI$13:$HI$512),"",INDEX('Calculations'!$HN$13:$HN$512,MATCH(169,'Calculations'!$HI$13:$HI$512,0)))</x:f>
      </x:c>
      <x:c r="DB180" s="4" t="str">
        <x:f>IF(169&gt;MAX('Calculations'!$HH$13:$HH$512),"",INDEX('Calculations'!$HJ$13:$HJ$512,MATCH(169,'Calculations'!$HH$13:$HH$512,0)))</x:f>
      </x:c>
      <x:c r="DC180" s="4" t="str">
        <x:f>IF(ROW()-11&gt;MAX('Calculations'!$BY$13:$BY$512),"",INDEX('Calculations'!$BU$13:$BU$512,MATCH(ROW()-11,'Calculations'!$BY$13:$BY$512,0)))</x:f>
      </x:c>
      <x:c r="DD180" s="4" t="str">
        <x:f>IF(169&gt;MAX('Calculations'!$IK$13:$IK$512),"",INDEX('Calculations'!$HK$13:$HK$512,MATCH(169,'Calculations'!$IK$13:$IK$512,0)))</x:f>
      </x:c>
      <x:c r="DE180" s="4" t="str">
        <x:f>'Calculations'!DC180</x:f>
      </x:c>
      <x:c r="DF180" s="4" t="str">
        <x:f>IF('Calculations'!DE180="","",COUNTIFS('Calculations'!$BN$13:$BN$512,1,'Calculations'!$BU$13:$BU$512,'Calculations'!DE180))</x:f>
      </x:c>
      <x:c r="DG180" s="4" t="str">
        <x:f>IF('Calculations'!DE180="","",COUNTIFS('Calculations'!$BN$13:$BN$512,1,'Calculations'!$BU$13:$BU$512,'Calculations'!DE180,'Calculations'!$BT$13:$BT$512,1))</x:f>
      </x:c>
      <x:c r="DH180" s="4" t="str">
        <x:f>IF('Calculations'!DE180="","",'Calculations'!DF180-'Calculations'!DG180)</x:f>
      </x:c>
      <x:c r="DI180" s="4" t="str">
        <x:f>IF(OR('Calculations'!DE180="",'Calculations'!DF180=0),"",'Calculations'!DG180/'Calculations'!DF180)</x:f>
      </x:c>
      <x:c r="DJ180" s="4" t="str">
        <x:f>IF('Calculations'!DE180="","",COUNTIFS('Calculations'!$BN$13:$BN$512,1,'Calculations'!$BU$13:$BU$512,'Calculations'!DE180,'Calculations'!$BT$13:$BT$512,1,'Calculations'!$EE$13:$EE$512,"High"))</x:f>
      </x:c>
      <x:c r="DK180" s="4" t="str">
        <x:f>IF('Calculations'!DE180="","",COUNTIFS('Calculations'!$BN$13:$BN$512,1,'Calculations'!$BU$13:$BU$512,'Calculations'!DE180,'Calculations'!$BT$13:$BT$512,1,'Calculations'!$EE$13:$EE$512,"Strong"))</x:f>
      </x:c>
      <x:c r="DL180" s="4" t="str">
        <x:f>IF('Calculations'!DE180="","",COUNTIFS('Calculations'!$BN$13:$BN$512,1,'Calculations'!$BU$13:$BU$512,'Calculations'!DE180,'Calculations'!$BT$13:$BT$512,1,'Calculations'!$EE$13:$EE$512,"Solid"))</x:f>
      </x:c>
      <x:c r="DM180" s="4" t="str">
        <x:f>IF('Calculations'!DE180="","",COUNTIFS('Calculations'!$BN$13:$BN$512,1,'Calculations'!$BU$13:$BU$512,'Calculations'!DE180,'Calculations'!$BT$13:$BT$512,1,'Calculations'!$EE$13:$EE$512,"Low"))</x:f>
      </x:c>
      <x:c r="DN180" s="4" t="str">
        <x:f>IF('Calculations'!DE180="","",COUNTIFS('Calculations'!$BN$13:$BN$512,1,'Calculations'!$BU$13:$BU$512,'Calculations'!DE180,'Calculations'!$EP$13:$EP$512,1))</x:f>
      </x:c>
      <x:c r="DO180" s="4" t="str">
        <x:f>IF(OR('Calculations'!DE180="",'Calculations'!DG180=0),"",('Calculations'!DJ180+'Calculations'!DK180)/'Calculations'!DG180)</x:f>
      </x:c>
      <x:c r="DP180" s="4" t="n">
        <x:f>IF(AND('Calculations'!DE180&lt;&gt;"",'Calculations'!DF180&gt;0),COUNTIF('Calculations'!$DF$12:DF180,"&gt;0"),0)</x:f>
        <x:v>0</x:v>
      </x:c>
      <x:c r="DQ180" s="4" t="str">
        <x:f>IF(169&gt;MAX('Calculations'!$HH$13:$HH$512),"",INDEX('Calculations'!$HF$13:$HF$512,MATCH(169,'Calculations'!$HH$13:$HH$512,0)))</x:f>
      </x:c>
      <x:c r="DR180" s="4" t="str">
        <x:f>IF(169&gt;MAX('Calculations'!$IK$13:$IK$512),"",INDEX('Calculations'!$HE$13:$HE$512,MATCH(169,'Calculations'!$IK$13:$IK$512,0)))</x:f>
      </x:c>
      <x:c r="DS180" s="4"/>
      <x:c r="DT180" s="4"/>
      <x:c r="DU180" s="4"/>
      <x:c r="DV180" s="4"/>
      <x:c r="DW180" s="4"/>
      <x:c r="DX180" s="4"/>
      <x:c r="DY180" s="4"/>
      <x:c r="DZ180" s="4"/>
      <x:c r="EA180" s="4"/>
      <x:c r="EB180" s="4"/>
      <x:c r="EC180" s="4"/>
      <x:c r="ED180" s="4"/>
      <x:c r="EE180" s="4" t="str">
        <x:f>IF('Calculations'!BT180=0,"Not Rated",IF(OR('Calculations'!BO180&gt;=4,'Calculations'!BP180&gt;=4),"Low",IF('Calculations'!BO180+'Calculations'!BP180&lt;=3,"High",IF('Calculations'!BO180+'Calculations'!BP180&lt;=4,"Strong","Solid"))))</x:f>
        <x:v>Not Rated</x:v>
      </x:c>
      <x:c r="EF180" s="4"/>
      <x:c r="EG180" s="4"/>
      <x:c r="EH180" s="4"/>
      <x:c r="EI180" s="4"/>
      <x:c r="EJ180" s="4"/>
      <x:c r="EK180" s="4"/>
      <x:c r="EL180" s="4"/>
      <x:c r="EM180" s="4" t="str">
        <x:f>IF(168&gt;'Calculations'!$JB$2000,"",INDEX('Calculations'!$JA$12:$JA$2000,MATCH(168,'Calculations'!$JB$12:$JB$2000,0)))</x:f>
      </x:c>
      <x:c r="EN180" s="4" t="n">
        <x:f>IF(OR('Calculations'!EM180="",'Calculations'!$AG$8&gt;0,AND('Calculations'!$EF$2&lt;&gt;"All",'Calculations'!HE180='Calculations'!$EF$2),AND('Calculations'!$EF$3&lt;&gt;"All",'Calculations'!HE180='Calculations'!$EF$3)),0,IF(OR('Dashboard'!$B$7="All",'Calculations'!HN180='Dashboard'!$B$7),IF('Calculations'!$EF$2="All",1,IF('Calculations'!HL180&gt;0,0,IF(COUNTIF('Calculations'!HO180:II180,"="&amp;SUBSTITUTE(SUBSTITUTE(SUBSTITUTE('Calculations'!$EF$2,"~","~~"),"*","~*"),"?","~?"))=0,0,IF('Calculations'!$EF$3="All",1,IF(COUNTIF('Calculations'!HO180:II180,"="&amp;SUBSTITUTE(SUBSTITUTE(SUBSTITUTE('Calculations'!$EF$3,"~","~~"),"*","~*"),"?","~?"))&gt;0,1,0))))),0))</x:f>
        <x:v>0</x:v>
      </x:c>
      <x:c r="EO180" s="4" t="str">
        <x:f>IF('Calculations'!IJ180="","",IF('Calculations'!IJ180="!UNRESOLVED","Unresolved hierarchy",IFERROR(INDEX('Calculations'!$HK$13:$HK$512,MATCH('Calculations'!IJ180,'Calculations'!$HE$13:$HE$512,0)),IFERROR(INDEX('Calculations'!$HJ$13:$HJ$512,MATCH('Calculations'!IJ180,'Calculations'!$HF$13:$HF$512,0)),'Calculations'!IJ180))))</x:f>
      </x:c>
      <x:c r="EP180" s="4" t="n">
        <x:f>IF(AND('Calculations'!EM180&lt;&gt;"",'Calculations'!HF180='Calculations'!IJ180),1,0)</x:f>
        <x:v>0</x:v>
      </x:c>
      <x:c r="EQ180" s="4"/>
      <x:c r="ER180" s="4"/>
      <x:c r="ES180" s="4"/>
      <x:c r="ET180" s="4"/>
      <x:c r="EU180" s="4"/>
      <x:c r="EV180" s="4"/>
      <x:c r="EW180" s="4"/>
      <x:c r="EX180" s="4"/>
      <x:c r="EY180" s="4"/>
      <x:c r="EZ180" s="4"/>
      <x:c r="FA180" s="4"/>
      <x:c r="FB180" s="4"/>
      <x:c r="FC180" s="4"/>
      <x:c r="FD180" s="4"/>
      <x:c r="FE180" s="4"/>
      <x:c r="FF180" s="4"/>
      <x:c r="FG180" s="4"/>
      <x:c r="FH180" s="4"/>
      <x:c r="FI180" s="4"/>
      <x:c r="FJ180" s="4"/>
      <x:c r="FK180" s="4"/>
      <x:c r="FL180" s="4"/>
      <x:c r="FM180" s="4"/>
      <x:c r="FN180" s="4"/>
      <x:c r="FO180" s="4"/>
      <x:c r="GA180" s="71"/>
      <x:c r="GB180" s="71"/>
      <x:c r="GC180" s="71"/>
      <x:c r="GD180" s="71"/>
      <x:c r="GE180" s="71"/>
      <x:c r="GF180" s="71"/>
      <x:c r="GG180" s="71"/>
      <x:c r="GH180" s="71"/>
      <x:c r="GI180" s="71"/>
      <x:c r="GJ180" s="71"/>
      <x:c r="GK180" s="71"/>
      <x:c r="GL180" s="71"/>
      <x:c r="GM180" s="71"/>
      <x:c r="GN180" s="71"/>
      <x:c r="GO180" s="71"/>
      <x:c r="GP180" s="71"/>
      <x:c r="GQ180" s="71"/>
      <x:c r="GR180" s="71"/>
      <x:c r="GS180" s="71"/>
      <x:c r="GT180" s="71"/>
      <x:c r="GU180" s="71"/>
      <x:c r="GV180" s="71"/>
      <x:c r="GW180" s="71"/>
      <x:c r="GX180" s="71"/>
      <x:c r="GY180" s="71"/>
      <x:c r="GZ180" s="71"/>
      <x:c r="HA180" s="71"/>
      <x:c r="HB180" s="71"/>
      <x:c r="HC180" s="71"/>
      <x:c r="HD180" s="71"/>
      <x:c r="HE180" t="str">
        <x:f>IF('Calculations'!EM180="","",IF(IFERROR(IF(INDEX(INDIRECT("'WCM Calibration Final'!$A$1:$A$2000"),'Calculations'!$EM180)="","",TRIM(INDEX(INDIRECT("'WCM Calibration Final'!$A$1:$A$2000"),'Calculations'!$EM180)&amp;"")),"")&lt;&gt;"","G:"&amp;IFERROR(TEXT(1*INDEX(INDIRECT("'WCM Calibration Final'!$A$1:$A$2000"),'Calculations'!$EM180),"0"),UPPER(IFERROR(IF(INDEX(INDIRECT("'WCM Calibration Final'!$A$1:$A$2000"),'Calculations'!$EM180)="","",TRIM(INDEX(INDIRECT("'WCM Calibration Final'!$A$1:$A$2000"),'Calculations'!$EM180)&amp;"")),""))),IF(IFERROR(IF(INDEX(INDIRECT("'WCM Calibration Final'!$C$1:$C$2000"),'Calculations'!$EM180)="","",TRIM(INDEX(INDIRECT("'WCM Calibration Final'!$C$1:$C$2000"),'Calculations'!$EM180)&amp;"")),"")&lt;&gt;"","S:"&amp;UPPER(IFERROR(IF(INDEX(INDIRECT("'WCM Calibration Final'!$C$1:$C$2000"),'Calculations'!$EM180)="","",TRIM(INDEX(INDIRECT("'WCM Calibration Final'!$C$1:$C$2000"),'Calculations'!$EM180)&amp;"")),"")),"R:"&amp;'Calculations'!EM180)))</x:f>
      </x:c>
      <x:c r="HF180" t="str">
        <x:f>IF('Calculations'!EM180="","",IF(IFERROR(IF(INDEX(INDIRECT("'WCM Calibration Final'!$D$1:$D$2000"),'Calculations'!$EM180)="","",TRIM(INDEX(INDIRECT("'WCM Calibration Final'!$D$1:$D$2000"),'Calculations'!$EM180)&amp;"")),"")&lt;&gt;"","G:"&amp;IFERROR(TEXT(1*INDEX(INDIRECT("'WCM Calibration Final'!$D$1:$D$2000"),'Calculations'!$EM180),"0"),UPPER(IFERROR(IF(INDEX(INDIRECT("'WCM Calibration Final'!$D$1:$D$2000"),'Calculations'!$EM180)="","",TRIM(INDEX(INDIRECT("'WCM Calibration Final'!$D$1:$D$2000"),'Calculations'!$EM180)&amp;"")),""))),IF(IFERROR(IF(INDEX(INDIRECT("'WCM Calibration Final'!$E$1:$E$2000"),'Calculations'!$EM180)="","",TRIM(INDEX(INDIRECT("'WCM Calibration Final'!$E$1:$E$2000"),'Calculations'!$EM180)&amp;"")),"")="","",IF(COUNTIF('Calculations'!$HG$13:$HG$512,"="&amp;SUBSTITUTE(SUBSTITUTE(SUBSTITUTE(IFERROR(IF(INDEX(INDIRECT("'WCM Calibration Final'!$E$1:$E$2000"),'Calculations'!$EM180)="","",TRIM(INDEX(INDIRECT("'WCM Calibration Final'!$E$1:$E$2000"),'Calculations'!$EM180)&amp;"")),""),"~","~~"),"*","~*"),"?","~?"))=1,INDEX('Calculations'!$HE$13:$HE$512,MATCH(IFERROR(IF(INDEX(INDIRECT("'WCM Calibration Final'!$E$1:$E$2000"),'Calculations'!$EM180)="","",TRIM(INDEX(INDIRECT("'WCM Calibration Final'!$E$1:$E$2000"),'Calculations'!$EM180)&amp;"")),""),'Calculations'!$HG$13:$HG$512,0)),IF(COUNTIF('Calculations'!$HG$13:$HG$512,"="&amp;SUBSTITUTE(SUBSTITUTE(SUBSTITUTE(IFERROR(IF(INDEX(INDIRECT("'WCM Calibration Final'!$E$1:$E$2000"),'Calculations'!$EM180)="","",TRIM(INDEX(INDIRECT("'WCM Calibration Final'!$E$1:$E$2000"),'Calculations'!$EM180)&amp;"")),""),"~","~~"),"*","~*"),"?","~?"))&gt;1,"!AMBIG","X:"&amp;IFERROR(IF(INDEX(INDIRECT("'WCM Calibration Final'!$E$1:$E$2000"),'Calculations'!$EM180)="","",TRIM(INDEX(INDIRECT("'WCM Calibration Final'!$E$1:$E$2000"),'Calculations'!$EM180)&amp;"")),""))))))</x:f>
      </x:c>
      <x:c r="HG180" t="str">
        <x:f>IF('Calculations'!EM180="","",IFERROR(IF(INDEX(INDIRECT("'WCM Calibration Final'!$B$1:$B$2000"),'Calculations'!$EM180)="","",TRIM(INDEX(INDIRECT("'WCM Calibration Final'!$B$1:$B$2000"),'Calculations'!$EM180)&amp;"")),""))</x:f>
      </x:c>
      <x:c r="HH180" t="n">
        <x:f>IF(AND('Calculations'!JC180&gt;0,COUNTIF('Calculations'!$HF$12:HF180,"="&amp;SUBSTITUTE(SUBSTITUTE(SUBSTITUTE('Calculations'!HF180,"~","~~"),"*","~*"),"?","~?"))=1),MAX('Calculations'!$HH$12:HH179)+1,0)</x:f>
        <x:v>0</x:v>
      </x:c>
      <x:c r="HI180" t="n">
        <x:f>IF(AND('Calculations'!HN180&lt;&gt;"",COUNTIF('Calculations'!$HN$12:HN180,"="&amp;SUBSTITUTE(SUBSTITUTE(SUBSTITUTE('Calculations'!HN180,"~","~~"),"*","~*"),"?","~?"))=1),MAX('Calculations'!$HI$12:HI179)+1,0)</x:f>
        <x:v>0</x:v>
      </x:c>
      <x:c r="HJ180" t="str">
        <x:f>IF('Calculations'!HF180="","",IF(COUNTIF('Calculations'!$HE$13:$HE$512,"="&amp;SUBSTITUTE(SUBSTITUTE(SUBSTITUTE('Calculations'!HF180,"~","~~"),"*","~*"),"?","~?"))=1,INDEX('Calculations'!$HK$13:$HK$512,MATCH('Calculations'!HF180,'Calculations'!$HE$13:$HE$512,0)),IFERROR(IF(INDEX(INDIRECT("'WCM Calibration Final'!$E$1:$E$2000"),'Calculations'!$EM180)="","",TRIM(INDEX(INDIRECT("'WCM Calibration Final'!$E$1:$E$2000"),'Calculations'!$EM180)&amp;"")),"")&amp;" ["&amp;'Calculations'!HF180&amp;"]"))</x:f>
      </x:c>
      <x:c r="HK180" t="str">
        <x:f>IF('Calculations'!EM180="","",'Calculations'!HG180&amp;" ["&amp;'Calculations'!HE180&amp;"]")</x:f>
      </x:c>
      <x:c r="HL180" t="n">
        <x:f>IF('Calculations'!EM180="",0,IF(OR('Calculations'!II180&lt;&gt;"",COUNTIF('Calculations'!$HE$13:$HE$512,"="&amp;SUBSTITUTE(SUBSTITUTE(SUBSTITUTE('Calculations'!HE180,"~","~~"),"*","~*"),"?","~?"))&gt;1),1,0))</x:f>
        <x:v>0</x:v>
      </x:c>
      <x:c r="HM180" t="str">
        <x:f>IF('Calculations'!EM180="","",IF('Calculations'!HL180=1,"!UNRESOLVED",IF('Calculations'!IH180&lt;&gt;"",'Calculations'!IH180,IF('Calculations'!IG180&lt;&gt;"",'Calculations'!IG180,IF('Calculations'!IF180&lt;&gt;"",'Calculations'!IF180,IF('Calculations'!IE180&lt;&gt;"",'Calculations'!IE180,IF('Calculations'!ID180&lt;&gt;"",'Calculations'!ID180,IF('Calculations'!IC180&lt;&gt;"",'Calculations'!IC180,IF('Calculations'!IB180&lt;&gt;"",'Calculations'!IB180,IF('Calculations'!IA180&lt;&gt;"",'Calculations'!IA180,IF('Calculations'!HZ180&lt;&gt;"",'Calculations'!HZ180,IF('Calculations'!HY180&lt;&gt;"",'Calculations'!HY180,IF('Calculations'!HX180&lt;&gt;"",'Calculations'!HX180,IF('Calculations'!HW180&lt;&gt;"",'Calculations'!HW180,IF('Calculations'!HV180&lt;&gt;"",'Calculations'!HV180,IF('Calculations'!HU180&lt;&gt;"",'Calculations'!HU180,IF('Calculations'!HT180&lt;&gt;"",'Calculations'!HT180,IF('Calculations'!HS180&lt;&gt;"",'Calculations'!HS180,IF('Calculations'!HR180&lt;&gt;"",'Calculations'!HR180,IF('Calculations'!HQ180&lt;&gt;"",'Calculations'!HQ180,IF('Calculations'!HP180&lt;&gt;"",'Calculations'!HP180,IF('Calculations'!HO180&lt;&gt;"",'Calculations'!HO180,'Calculations'!HE180))))))))))))))))))))))</x:f>
      </x:c>
      <x:c r="HN180" t="str">
        <x:f>IF('Calculations'!EM180="","",IF(IFERROR(IF(INDEX(INDIRECT("'WCM Calibration Final'!$F$1:$F$2000"),'Calculations'!$EM180)="","",TRIM(INDEX(INDIRECT("'WCM Calibration Final'!$F$1:$F$2000"),'Calculations'!$EM180)&amp;"")),"")="","(Blank)",IFERROR(IF(INDEX(INDIRECT("'WCM Calibration Final'!$F$1:$F$2000"),'Calculations'!$EM180)="","",TRIM(INDEX(INDIRECT("'WCM Calibration Final'!$F$1:$F$2000"),'Calculations'!$EM180)&amp;"")),"")))</x:f>
      </x:c>
      <x:c r="HO180" t="str">
        <x:f>'Calculations'!HF180</x:f>
      </x:c>
      <x:c r="HP180" t="str">
        <x:f>IF('Calculations'!HO180="","",IF('Calculations'!HO180="!AMBIG","!AMBIG",IF(COUNTIF('Calculations'!$HE$13:$HE$512,"="&amp;SUBSTITUTE(SUBSTITUTE(SUBSTITUTE('Calculations'!HO180,"~","~~"),"*","~*"),"?","~?"))&gt;1,"!AMBIG",IFERROR(INDEX('Calculations'!$HF$13:$HF$512,MATCH('Calculations'!HO180,'Calculations'!$HE$13:$HE$512,0)),""))))</x:f>
      </x:c>
      <x:c r="HQ180" t="str">
        <x:f>IF('Calculations'!HP180="","",IF('Calculations'!HP180="!AMBIG","!AMBIG",IF(COUNTIF('Calculations'!$HE$13:$HE$512,"="&amp;SUBSTITUTE(SUBSTITUTE(SUBSTITUTE('Calculations'!HP180,"~","~~"),"*","~*"),"?","~?"))&gt;1,"!AMBIG",IFERROR(INDEX('Calculations'!$HF$13:$HF$512,MATCH('Calculations'!HP180,'Calculations'!$HE$13:$HE$512,0)),""))))</x:f>
      </x:c>
      <x:c r="HR180" t="str">
        <x:f>IF('Calculations'!HQ180="","",IF('Calculations'!HQ180="!AMBIG","!AMBIG",IF(COUNTIF('Calculations'!$HE$13:$HE$512,"="&amp;SUBSTITUTE(SUBSTITUTE(SUBSTITUTE('Calculations'!HQ180,"~","~~"),"*","~*"),"?","~?"))&gt;1,"!AMBIG",IFERROR(INDEX('Calculations'!$HF$13:$HF$512,MATCH('Calculations'!HQ180,'Calculations'!$HE$13:$HE$512,0)),""))))</x:f>
      </x:c>
      <x:c r="HS180" t="str">
        <x:f>IF('Calculations'!HR180="","",IF('Calculations'!HR180="!AMBIG","!AMBIG",IF(COUNTIF('Calculations'!$HE$13:$HE$512,"="&amp;SUBSTITUTE(SUBSTITUTE(SUBSTITUTE('Calculations'!HR180,"~","~~"),"*","~*"),"?","~?"))&gt;1,"!AMBIG",IFERROR(INDEX('Calculations'!$HF$13:$HF$512,MATCH('Calculations'!HR180,'Calculations'!$HE$13:$HE$512,0)),""))))</x:f>
      </x:c>
      <x:c r="HT180" t="str">
        <x:f>IF('Calculations'!HS180="","",IF('Calculations'!HS180="!AMBIG","!AMBIG",IF(COUNTIF('Calculations'!$HE$13:$HE$512,"="&amp;SUBSTITUTE(SUBSTITUTE(SUBSTITUTE('Calculations'!HS180,"~","~~"),"*","~*"),"?","~?"))&gt;1,"!AMBIG",IFERROR(INDEX('Calculations'!$HF$13:$HF$512,MATCH('Calculations'!HS180,'Calculations'!$HE$13:$HE$512,0)),""))))</x:f>
      </x:c>
      <x:c r="HU180" t="str">
        <x:f>IF('Calculations'!HT180="","",IF('Calculations'!HT180="!AMBIG","!AMBIG",IF(COUNTIF('Calculations'!$HE$13:$HE$512,"="&amp;SUBSTITUTE(SUBSTITUTE(SUBSTITUTE('Calculations'!HT180,"~","~~"),"*","~*"),"?","~?"))&gt;1,"!AMBIG",IFERROR(INDEX('Calculations'!$HF$13:$HF$512,MATCH('Calculations'!HT180,'Calculations'!$HE$13:$HE$512,0)),""))))</x:f>
      </x:c>
      <x:c r="HV180" t="str">
        <x:f>IF('Calculations'!HU180="","",IF('Calculations'!HU180="!AMBIG","!AMBIG",IF(COUNTIF('Calculations'!$HE$13:$HE$512,"="&amp;SUBSTITUTE(SUBSTITUTE(SUBSTITUTE('Calculations'!HU180,"~","~~"),"*","~*"),"?","~?"))&gt;1,"!AMBIG",IFERROR(INDEX('Calculations'!$HF$13:$HF$512,MATCH('Calculations'!HU180,'Calculations'!$HE$13:$HE$512,0)),""))))</x:f>
      </x:c>
      <x:c r="HW180" t="str">
        <x:f>IF('Calculations'!HV180="","",IF('Calculations'!HV180="!AMBIG","!AMBIG",IF(COUNTIF('Calculations'!$HE$13:$HE$512,"="&amp;SUBSTITUTE(SUBSTITUTE(SUBSTITUTE('Calculations'!HV180,"~","~~"),"*","~*"),"?","~?"))&gt;1,"!AMBIG",IFERROR(INDEX('Calculations'!$HF$13:$HF$512,MATCH('Calculations'!HV180,'Calculations'!$HE$13:$HE$512,0)),""))))</x:f>
      </x:c>
      <x:c r="HX180" t="str">
        <x:f>IF('Calculations'!HW180="","",IF('Calculations'!HW180="!AMBIG","!AMBIG",IF(COUNTIF('Calculations'!$HE$13:$HE$512,"="&amp;SUBSTITUTE(SUBSTITUTE(SUBSTITUTE('Calculations'!HW180,"~","~~"),"*","~*"),"?","~?"))&gt;1,"!AMBIG",IFERROR(INDEX('Calculations'!$HF$13:$HF$512,MATCH('Calculations'!HW180,'Calculations'!$HE$13:$HE$512,0)),""))))</x:f>
      </x:c>
      <x:c r="HY180" t="str">
        <x:f>IF('Calculations'!HX180="","",IF('Calculations'!HX180="!AMBIG","!AMBIG",IF(COUNTIF('Calculations'!$HE$13:$HE$512,"="&amp;SUBSTITUTE(SUBSTITUTE(SUBSTITUTE('Calculations'!HX180,"~","~~"),"*","~*"),"?","~?"))&gt;1,"!AMBIG",IFERROR(INDEX('Calculations'!$HF$13:$HF$512,MATCH('Calculations'!HX180,'Calculations'!$HE$13:$HE$512,0)),""))))</x:f>
      </x:c>
      <x:c r="HZ180" t="str">
        <x:f>IF('Calculations'!HY180="","",IF('Calculations'!HY180="!AMBIG","!AMBIG",IF(COUNTIF('Calculations'!$HE$13:$HE$512,"="&amp;SUBSTITUTE(SUBSTITUTE(SUBSTITUTE('Calculations'!HY180,"~","~~"),"*","~*"),"?","~?"))&gt;1,"!AMBIG",IFERROR(INDEX('Calculations'!$HF$13:$HF$512,MATCH('Calculations'!HY180,'Calculations'!$HE$13:$HE$512,0)),""))))</x:f>
      </x:c>
      <x:c r="IA180" t="str">
        <x:f>IF('Calculations'!HZ180="","",IF('Calculations'!HZ180="!AMBIG","!AMBIG",IF(COUNTIF('Calculations'!$HE$13:$HE$512,"="&amp;SUBSTITUTE(SUBSTITUTE(SUBSTITUTE('Calculations'!HZ180,"~","~~"),"*","~*"),"?","~?"))&gt;1,"!AMBIG",IFERROR(INDEX('Calculations'!$HF$13:$HF$512,MATCH('Calculations'!HZ180,'Calculations'!$HE$13:$HE$512,0)),""))))</x:f>
      </x:c>
      <x:c r="IB180" t="str">
        <x:f>IF('Calculations'!IA180="","",IF('Calculations'!IA180="!AMBIG","!AMBIG",IF(COUNTIF('Calculations'!$HE$13:$HE$512,"="&amp;SUBSTITUTE(SUBSTITUTE(SUBSTITUTE('Calculations'!IA180,"~","~~"),"*","~*"),"?","~?"))&gt;1,"!AMBIG",IFERROR(INDEX('Calculations'!$HF$13:$HF$512,MATCH('Calculations'!IA180,'Calculations'!$HE$13:$HE$512,0)),""))))</x:f>
      </x:c>
      <x:c r="IC180" t="str">
        <x:f>IF('Calculations'!IB180="","",IF('Calculations'!IB180="!AMBIG","!AMBIG",IF(COUNTIF('Calculations'!$HE$13:$HE$512,"="&amp;SUBSTITUTE(SUBSTITUTE(SUBSTITUTE('Calculations'!IB180,"~","~~"),"*","~*"),"?","~?"))&gt;1,"!AMBIG",IFERROR(INDEX('Calculations'!$HF$13:$HF$512,MATCH('Calculations'!IB180,'Calculations'!$HE$13:$HE$512,0)),""))))</x:f>
      </x:c>
      <x:c r="ID180" t="str">
        <x:f>IF('Calculations'!IC180="","",IF('Calculations'!IC180="!AMBIG","!AMBIG",IF(COUNTIF('Calculations'!$HE$13:$HE$512,"="&amp;SUBSTITUTE(SUBSTITUTE(SUBSTITUTE('Calculations'!IC180,"~","~~"),"*","~*"),"?","~?"))&gt;1,"!AMBIG",IFERROR(INDEX('Calculations'!$HF$13:$HF$512,MATCH('Calculations'!IC180,'Calculations'!$HE$13:$HE$512,0)),""))))</x:f>
      </x:c>
      <x:c r="IE180" t="str">
        <x:f>IF('Calculations'!ID180="","",IF('Calculations'!ID180="!AMBIG","!AMBIG",IF(COUNTIF('Calculations'!$HE$13:$HE$512,"="&amp;SUBSTITUTE(SUBSTITUTE(SUBSTITUTE('Calculations'!ID180,"~","~~"),"*","~*"),"?","~?"))&gt;1,"!AMBIG",IFERROR(INDEX('Calculations'!$HF$13:$HF$512,MATCH('Calculations'!ID180,'Calculations'!$HE$13:$HE$512,0)),""))))</x:f>
      </x:c>
      <x:c r="IF180" t="str">
        <x:f>IF('Calculations'!IE180="","",IF('Calculations'!IE180="!AMBIG","!AMBIG",IF(COUNTIF('Calculations'!$HE$13:$HE$512,"="&amp;SUBSTITUTE(SUBSTITUTE(SUBSTITUTE('Calculations'!IE180,"~","~~"),"*","~*"),"?","~?"))&gt;1,"!AMBIG",IFERROR(INDEX('Calculations'!$HF$13:$HF$512,MATCH('Calculations'!IE180,'Calculations'!$HE$13:$HE$512,0)),""))))</x:f>
      </x:c>
      <x:c r="IG180" t="str">
        <x:f>IF('Calculations'!IF180="","",IF('Calculations'!IF180="!AMBIG","!AMBIG",IF(COUNTIF('Calculations'!$HE$13:$HE$512,"="&amp;SUBSTITUTE(SUBSTITUTE(SUBSTITUTE('Calculations'!IF180,"~","~~"),"*","~*"),"?","~?"))&gt;1,"!AMBIG",IFERROR(INDEX('Calculations'!$HF$13:$HF$512,MATCH('Calculations'!IF180,'Calculations'!$HE$13:$HE$512,0)),""))))</x:f>
      </x:c>
      <x:c r="IH180" t="str">
        <x:f>IF('Calculations'!IG180="","",IF('Calculations'!IG180="!AMBIG","!AMBIG",IF(COUNTIF('Calculations'!$HE$13:$HE$512,"="&amp;SUBSTITUTE(SUBSTITUTE(SUBSTITUTE('Calculations'!IG180,"~","~~"),"*","~*"),"?","~?"))&gt;1,"!AMBIG",IFERROR(INDEX('Calculations'!$HF$13:$HF$512,MATCH('Calculations'!IG180,'Calculations'!$HE$13:$HE$512,0)),""))))</x:f>
      </x:c>
      <x:c r="II180" t="str">
        <x:f>IF('Calculations'!IH180="","",IF('Calculations'!IH180="!AMBIG","!AMBIG",IF(COUNTIF('Calculations'!$HE$13:$HE$512,"="&amp;SUBSTITUTE(SUBSTITUTE(SUBSTITUTE('Calculations'!IH180,"~","~~"),"*","~*"),"?","~?"))&gt;1,"!AMBIG",IFERROR(INDEX('Calculations'!$HF$13:$HF$512,MATCH('Calculations'!IH180,'Calculations'!$HE$13:$HE$512,0)),""))))</x:f>
      </x:c>
      <x:c r="IJ180" t="str">
        <x:f>IF('Calculations'!EM180="","",IF('Calculations'!$EF$2="All",'Calculations'!HM180,IF('Calculations'!HL180=1,"",IFERROR(IF(MATCH('Calculations'!$EF$2,'Calculations'!HO180:II180,0)=1,'Calculations'!HE180,INDEX('Calculations'!HO180:II180,1,MATCH('Calculations'!$EF$2,'Calculations'!HO180:II180,0)-1)),""))))</x:f>
      </x:c>
      <x:c r="IK180" t="n">
        <x:f>IF(AND('Calculations'!EM180&lt;&gt;"",'Calculations'!$EF$2&lt;&gt;"All",'Calculations'!HF180='Calculations'!$EF$2,'Calculations'!HL180=0,'Calculations'!JD180&gt;0),MAX('Calculations'!$IK$12:IK179)+1,0)</x:f>
        <x:v>0</x:v>
      </x:c>
      <x:c r="JA180" t="n">
        <x:f>IF(OR(IFERROR(INDIRECT("'WCM Calibration Final'!$A$180")&lt;&gt;"",FALSE),IFERROR(INDIRECT("'WCM Calibration Final'!$B$180")&lt;&gt;"",FALSE),IFERROR(INDIRECT("'WCM Calibration Final'!$C$180")&lt;&gt;"",FALSE)),180,0)</x:f>
        <x:v>0</x:v>
      </x:c>
      <x:c r="JB180" t="n">
        <x:f>'Calculations'!JB179+IF('Calculations'!JA180&gt;0,1,0)</x:f>
        <x:v>0</x:v>
      </x:c>
      <x:c r="JC180" t="n">
        <x:f>IF(OR('Calculations'!HF180="",'Calculations'!HF180="!AMBIG"),0,IF('Dashboard'!$B$7="All",1,COUNTIFS('Calculations'!$HO$13:$HO$512,"="&amp;SUBSTITUTE(SUBSTITUTE(SUBSTITUTE('Calculations'!HF180,"~","~~"),"*","~*"),"?","~?"),'Calculations'!$HN$13:$HN$512,"="&amp;SUBSTITUTE(SUBSTITUTE(SUBSTITUTE('Dashboard'!$B$7,"~","~~"),"*","~*"),"?","~?"))+COUNTIFS('Calculations'!$HP$13:$HP$512,"="&amp;SUBSTITUTE(SUBSTITUTE(SUBSTITUTE('Calculations'!HF180,"~","~~"),"*","~*"),"?","~?"),'Calculations'!$HN$13:$HN$512,"="&amp;SUBSTITUTE(SUBSTITUTE(SUBSTITUTE('Dashboard'!$B$7,"~","~~"),"*","~*"),"?","~?"))+COUNTIFS('Calculations'!$HQ$13:$HQ$512,"="&amp;SUBSTITUTE(SUBSTITUTE(SUBSTITUTE('Calculations'!HF180,"~","~~"),"*","~*"),"?","~?"),'Calculations'!$HN$13:$HN$512,"="&amp;SUBSTITUTE(SUBSTITUTE(SUBSTITUTE('Dashboard'!$B$7,"~","~~"),"*","~*"),"?","~?"))+COUNTIFS('Calculations'!$HR$13:$HR$512,"="&amp;SUBSTITUTE(SUBSTITUTE(SUBSTITUTE('Calculations'!HF180,"~","~~"),"*","~*"),"?","~?"),'Calculations'!$HN$13:$HN$512,"="&amp;SUBSTITUTE(SUBSTITUTE(SUBSTITUTE('Dashboard'!$B$7,"~","~~"),"*","~*"),"?","~?"))+COUNTIFS('Calculations'!$HS$13:$HS$512,"="&amp;SUBSTITUTE(SUBSTITUTE(SUBSTITUTE('Calculations'!HF180,"~","~~"),"*","~*"),"?","~?"),'Calculations'!$HN$13:$HN$512,"="&amp;SUBSTITUTE(SUBSTITUTE(SUBSTITUTE('Dashboard'!$B$7,"~","~~"),"*","~*"),"?","~?"))+COUNTIFS('Calculations'!$HT$13:$HT$512,"="&amp;SUBSTITUTE(SUBSTITUTE(SUBSTITUTE('Calculations'!HF180,"~","~~"),"*","~*"),"?","~?"),'Calculations'!$HN$13:$HN$512,"="&amp;SUBSTITUTE(SUBSTITUTE(SUBSTITUTE('Dashboard'!$B$7,"~","~~"),"*","~*"),"?","~?"))+COUNTIFS('Calculations'!$HU$13:$HU$512,"="&amp;SUBSTITUTE(SUBSTITUTE(SUBSTITUTE('Calculations'!HF180,"~","~~"),"*","~*"),"?","~?"),'Calculations'!$HN$13:$HN$512,"="&amp;SUBSTITUTE(SUBSTITUTE(SUBSTITUTE('Dashboard'!$B$7,"~","~~"),"*","~*"),"?","~?"))+COUNTIFS('Calculations'!$HV$13:$HV$512,"="&amp;SUBSTITUTE(SUBSTITUTE(SUBSTITUTE('Calculations'!HF180,"~","~~"),"*","~*"),"?","~?"),'Calculations'!$HN$13:$HN$512,"="&amp;SUBSTITUTE(SUBSTITUTE(SUBSTITUTE('Dashboard'!$B$7,"~","~~"),"*","~*"),"?","~?"))+COUNTIFS('Calculations'!$HW$13:$HW$512,"="&amp;SUBSTITUTE(SUBSTITUTE(SUBSTITUTE('Calculations'!HF180,"~","~~"),"*","~*"),"?","~?"),'Calculations'!$HN$13:$HN$512,"="&amp;SUBSTITUTE(SUBSTITUTE(SUBSTITUTE('Dashboard'!$B$7,"~","~~"),"*","~*"),"?","~?"))+COUNTIFS('Calculations'!$HX$13:$HX$512,"="&amp;SUBSTITUTE(SUBSTITUTE(SUBSTITUTE('Calculations'!HF180,"~","~~"),"*","~*"),"?","~?"),'Calculations'!$HN$13:$HN$512,"="&amp;SUBSTITUTE(SUBSTITUTE(SUBSTITUTE('Dashboard'!$B$7,"~","~~"),"*","~*"),"?","~?"))+COUNTIFS('Calculations'!$HY$13:$HY$512,"="&amp;SUBSTITUTE(SUBSTITUTE(SUBSTITUTE('Calculations'!HF180,"~","~~"),"*","~*"),"?","~?"),'Calculations'!$HN$13:$HN$512,"="&amp;SUBSTITUTE(SUBSTITUTE(SUBSTITUTE('Dashboard'!$B$7,"~","~~"),"*","~*"),"?","~?"))+COUNTIFS('Calculations'!$HZ$13:$HZ$512,"="&amp;SUBSTITUTE(SUBSTITUTE(SUBSTITUTE('Calculations'!HF180,"~","~~"),"*","~*"),"?","~?"),'Calculations'!$HN$13:$HN$512,"="&amp;SUBSTITUTE(SUBSTITUTE(SUBSTITUTE('Dashboard'!$B$7,"~","~~"),"*","~*"),"?","~?"))+COUNTIFS('Calculations'!$IA$13:$IA$512,"="&amp;SUBSTITUTE(SUBSTITUTE(SUBSTITUTE('Calculations'!HF180,"~","~~"),"*","~*"),"?","~?"),'Calculations'!$HN$13:$HN$512,"="&amp;SUBSTITUTE(SUBSTITUTE(SUBSTITUTE('Dashboard'!$B$7,"~","~~"),"*","~*"),"?","~?"))+COUNTIFS('Calculations'!$IB$13:$IB$512,"="&amp;SUBSTITUTE(SUBSTITUTE(SUBSTITUTE('Calculations'!HF180,"~","~~"),"*","~*"),"?","~?"),'Calculations'!$HN$13:$HN$512,"="&amp;SUBSTITUTE(SUBSTITUTE(SUBSTITUTE('Dashboard'!$B$7,"~","~~"),"*","~*"),"?","~?"))+COUNTIFS('Calculations'!$IC$13:$IC$512,"="&amp;SUBSTITUTE(SUBSTITUTE(SUBSTITUTE('Calculations'!HF180,"~","~~"),"*","~*"),"?","~?"),'Calculations'!$HN$13:$HN$512,"="&amp;SUBSTITUTE(SUBSTITUTE(SUBSTITUTE('Dashboard'!$B$7,"~","~~"),"*","~*"),"?","~?"))+COUNTIFS('Calculations'!$ID$13:$ID$512,"="&amp;SUBSTITUTE(SUBSTITUTE(SUBSTITUTE('Calculations'!HF180,"~","~~"),"*","~*"),"?","~?"),'Calculations'!$HN$13:$HN$512,"="&amp;SUBSTITUTE(SUBSTITUTE(SUBSTITUTE('Dashboard'!$B$7,"~","~~"),"*","~*"),"?","~?"))+COUNTIFS('Calculations'!$IE$13:$IE$512,"="&amp;SUBSTITUTE(SUBSTITUTE(SUBSTITUTE('Calculations'!HF180,"~","~~"),"*","~*"),"?","~?"),'Calculations'!$HN$13:$HN$512,"="&amp;SUBSTITUTE(SUBSTITUTE(SUBSTITUTE('Dashboard'!$B$7,"~","~~"),"*","~*"),"?","~?"))+COUNTIFS('Calculations'!$IF$13:$IF$512,"="&amp;SUBSTITUTE(SUBSTITUTE(SUBSTITUTE('Calculations'!HF180,"~","~~"),"*","~*"),"?","~?"),'Calculations'!$HN$13:$HN$512,"="&amp;SUBSTITUTE(SUBSTITUTE(SUBSTITUTE('Dashboard'!$B$7,"~","~~"),"*","~*"),"?","~?"))+COUNTIFS('Calculations'!$IG$13:$IG$512,"="&amp;SUBSTITUTE(SUBSTITUTE(SUBSTITUTE('Calculations'!HF180,"~","~~"),"*","~*"),"?","~?"),'Calculations'!$HN$13:$HN$512,"="&amp;SUBSTITUTE(SUBSTITUTE(SUBSTITUTE('Dashboard'!$B$7,"~","~~"),"*","~*"),"?","~?"))+COUNTIFS('Calculations'!$IH$13:$IH$512,"="&amp;SUBSTITUTE(SUBSTITUTE(SUBSTITUTE('Calculations'!HF180,"~","~~"),"*","~*"),"?","~?"),'Calculations'!$HN$13:$HN$512,"="&amp;SUBSTITUTE(SUBSTITUTE(SUBSTITUTE('Dashboard'!$B$7,"~","~~"),"*","~*"),"?","~?"))))</x:f>
        <x:v>0</x:v>
      </x:c>
      <x:c r="JD180" t="n">
        <x:f>IF('Calculations'!EM180="",0,IF('Dashboard'!$B$7="All",1,IF('Calculations'!HN180='Dashboard'!$B$7,1,0)+IFERROR(INDEX('Calculations'!$JC$13:$JC$512,MATCH('Calculations'!HE180,'Calculations'!$HF$13:$HF$512,0)),0)))</x:f>
        <x:v>0</x:v>
      </x:c>
      <x:c r="JE180" t="n">
        <x:f>IF(AND('Calculations'!EM180&lt;&gt;"",'Calculations'!$JJ$2&lt;&gt;"All",'Calculations'!$JJ$2&lt;&gt;"",'Calculations'!HF180='Calculations'!$JJ$2,'Calculations'!HL180=0,'Calculations'!JD180&gt;0),MAX('Calculations'!$JE$12:JE179)+1,0)</x:f>
        <x:v>0</x:v>
      </x:c>
      <x:c r="JF180" t="str">
        <x:f>IF('Calculations'!EM180="","",IFERROR(IF(INDEX(INDIRECT("'WCM Calibration Final'!$G$1:$G$2000"),'Calculations'!$EM180)="","",TRIM(INDEX(INDIRECT("'WCM Calibration Final'!$G$1:$G$2000"),'Calculations'!$EM180)&amp;"")),""))</x:f>
      </x:c>
      <x:c r="JQ180" t="n">
        <x:f>IF(OR('Calculations'!BM180=0,NOT('Calculations'!$AG$2),'Calculations'!$AG$8&gt;0),0,IF(OR('Dashboard'!$B$7="All",'Calculations'!HN180='Dashboard'!$B$7),IF('Calculations'!$JJ$2="All",1,IF(AND('Calculations'!HF180='Calculations'!$JJ$2,'Calculations'!HL180=0),1,0)),0))</x:f>
        <x:v>0</x:v>
      </x:c>
    </x:row>
    <x:row r="181">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t="n">
        <x:f>IF('Calculations'!$EM181="",0,IF(OR(IFERROR(INDEX(INDIRECT("'WCM Calibration Final'!$A$1:$A$2000"),'Calculations'!$EM181)&lt;&gt;"",FALSE),IFERROR(INDEX(INDIRECT("'WCM Calibration Final'!$B$1:$B$2000"),'Calculations'!$EM181)&lt;&gt;"",FALSE),IFERROR(INDEX(INDIRECT("'WCM Calibration Final'!$C$1:$C$2000"),'Calculations'!$EM181)&lt;&gt;"",FALSE)),1,0))</x:f>
        <x:v>0</x:v>
      </x:c>
      <x:c r="BN181" s="4" t="n">
        <x:f>IF(AND('Calculations'!BM181=1,'Calculations'!$AG$2,'Calculations'!$EN181=1),1,0)</x:f>
        <x:v>0</x:v>
      </x:c>
      <x:c r="BO181" s="4" t="str">
        <x:f>IF('Calculations'!BM181=0,"",IFERROR(IF(AND(VALUE(INDEX(INDIRECT("'WCM Calibration Final'!$K$1:$K$2000"),'Calculations'!$EM181))&gt;=1,VALUE(INDEX(INDIRECT("'WCM Calibration Final'!$K$1:$K$2000"),'Calculations'!$EM181))&lt;=4,MOD(VALUE(INDEX(INDIRECT("'WCM Calibration Final'!$K$1:$K$2000"),'Calculations'!$EM181)),1)=0),VALUE(INDEX(INDIRECT("'WCM Calibration Final'!$K$1:$K$2000"),'Calculations'!$EM181)),""),""))</x:f>
      </x:c>
      <x:c r="BP181" s="4" t="str">
        <x:f>IF('Calculations'!BM181=0,"",IFERROR(IF(AND(VALUE(INDEX(INDIRECT("'WCM Calibration Final'!$L$1:$L$2000"),'Calculations'!$EM181))&gt;=1,VALUE(INDEX(INDIRECT("'WCM Calibration Final'!$L$1:$L$2000"),'Calculations'!$EM181))&lt;=4,MOD(VALUE(INDEX(INDIRECT("'WCM Calibration Final'!$L$1:$L$2000"),'Calculations'!$EM181)),1)=0),VALUE(INDEX(INDIRECT("'WCM Calibration Final'!$L$1:$L$2000"),'Calculations'!$EM181)),""),""))</x:f>
      </x:c>
      <x:c r="BQ181" s="4"/>
      <x:c r="BR181" s="4"/>
      <x:c r="BS181" s="4"/>
      <x:c r="BT181" s="4" t="n">
        <x:f>IF(AND('Calculations'!BM181=1,ISNUMBER('Calculations'!BO181),ISNUMBER('Calculations'!BP181)),1,0)</x:f>
        <x:v>0</x:v>
      </x:c>
      <x:c r="BU181" s="4" t="str">
        <x:f>IF('Calculations'!BM181=0,"",'Calculations'!$EO181)</x:f>
      </x:c>
      <x:c r="BV181" s="4" t="str">
        <x:f>IF('Calculations'!BM181=0,"",IFERROR(IF(OR(INDEX(INDIRECT("'WCM Calibration Final'!$H$1:$H$2000"),'Calculations'!$EM181)="MANAGING DIRECTOR",INDEX(INDIRECT("'WCM Calibration Final'!$H$1:$H$2000"),'Calculations'!$EM181)="DIRECTOR",INDEX(INDIRECT("'WCM Calibration Final'!$H$1:$H$2000"),'Calculations'!$EM181)="SENIOR VICE PRESIDENT",INDEX(INDIRECT("'WCM Calibration Final'!$H$1:$H$2000"),'Calculations'!$EM181)="VICE PRESIDENT",INDEX(INDIRECT("'WCM Calibration Final'!$H$1:$H$2000"),'Calculations'!$EM181)="ASSISTANT VICE PRESIDENT",INDEX(INDIRECT("'WCM Calibration Final'!$H$1:$H$2000"),'Calculations'!$EM181)="OFFICER"),UPPER(INDEX(INDIRECT("'WCM Calibration Final'!$H$1:$H$2000"),'Calculations'!$EM181)),"Other"),"Other"))</x:f>
      </x:c>
      <x:c r="BW181" s="4"/>
      <x:c r="BX181" s="4"/>
      <x:c r="BY181" s="4" t="n">
        <x:f>IF(AND('Calculations'!BM181=1,'Calculations'!BU181&lt;&gt;"",COUNTIF('Calculations'!$BU$12:BU181,'Calculations'!BU181)=1),MAX('Calculations'!$BY$11:BY180)+1,0)</x:f>
        <x:v>0</x:v>
      </x:c>
      <x:c r="BZ181" s="4" t="str">
        <x:f>IF('Dashboard'!$E$67="What",'Calculations'!BO181,'Calculations'!BP181)</x:f>
      </x:c>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t="str">
        <x:f>IF(170&gt;MAX('Calculations'!$HI$13:$HI$512),"",INDEX('Calculations'!$HN$13:$HN$512,MATCH(170,'Calculations'!$HI$13:$HI$512,0)))</x:f>
      </x:c>
      <x:c r="DB181" s="4" t="str">
        <x:f>IF(170&gt;MAX('Calculations'!$HH$13:$HH$512),"",INDEX('Calculations'!$HJ$13:$HJ$512,MATCH(170,'Calculations'!$HH$13:$HH$512,0)))</x:f>
      </x:c>
      <x:c r="DC181" s="4" t="str">
        <x:f>IF(ROW()-11&gt;MAX('Calculations'!$BY$13:$BY$512),"",INDEX('Calculations'!$BU$13:$BU$512,MATCH(ROW()-11,'Calculations'!$BY$13:$BY$512,0)))</x:f>
      </x:c>
      <x:c r="DD181" s="4" t="str">
        <x:f>IF(170&gt;MAX('Calculations'!$IK$13:$IK$512),"",INDEX('Calculations'!$HK$13:$HK$512,MATCH(170,'Calculations'!$IK$13:$IK$512,0)))</x:f>
      </x:c>
      <x:c r="DE181" s="4" t="str">
        <x:f>'Calculations'!DC181</x:f>
      </x:c>
      <x:c r="DF181" s="4" t="str">
        <x:f>IF('Calculations'!DE181="","",COUNTIFS('Calculations'!$BN$13:$BN$512,1,'Calculations'!$BU$13:$BU$512,'Calculations'!DE181))</x:f>
      </x:c>
      <x:c r="DG181" s="4" t="str">
        <x:f>IF('Calculations'!DE181="","",COUNTIFS('Calculations'!$BN$13:$BN$512,1,'Calculations'!$BU$13:$BU$512,'Calculations'!DE181,'Calculations'!$BT$13:$BT$512,1))</x:f>
      </x:c>
      <x:c r="DH181" s="4" t="str">
        <x:f>IF('Calculations'!DE181="","",'Calculations'!DF181-'Calculations'!DG181)</x:f>
      </x:c>
      <x:c r="DI181" s="4" t="str">
        <x:f>IF(OR('Calculations'!DE181="",'Calculations'!DF181=0),"",'Calculations'!DG181/'Calculations'!DF181)</x:f>
      </x:c>
      <x:c r="DJ181" s="4" t="str">
        <x:f>IF('Calculations'!DE181="","",COUNTIFS('Calculations'!$BN$13:$BN$512,1,'Calculations'!$BU$13:$BU$512,'Calculations'!DE181,'Calculations'!$BT$13:$BT$512,1,'Calculations'!$EE$13:$EE$512,"High"))</x:f>
      </x:c>
      <x:c r="DK181" s="4" t="str">
        <x:f>IF('Calculations'!DE181="","",COUNTIFS('Calculations'!$BN$13:$BN$512,1,'Calculations'!$BU$13:$BU$512,'Calculations'!DE181,'Calculations'!$BT$13:$BT$512,1,'Calculations'!$EE$13:$EE$512,"Strong"))</x:f>
      </x:c>
      <x:c r="DL181" s="4" t="str">
        <x:f>IF('Calculations'!DE181="","",COUNTIFS('Calculations'!$BN$13:$BN$512,1,'Calculations'!$BU$13:$BU$512,'Calculations'!DE181,'Calculations'!$BT$13:$BT$512,1,'Calculations'!$EE$13:$EE$512,"Solid"))</x:f>
      </x:c>
      <x:c r="DM181" s="4" t="str">
        <x:f>IF('Calculations'!DE181="","",COUNTIFS('Calculations'!$BN$13:$BN$512,1,'Calculations'!$BU$13:$BU$512,'Calculations'!DE181,'Calculations'!$BT$13:$BT$512,1,'Calculations'!$EE$13:$EE$512,"Low"))</x:f>
      </x:c>
      <x:c r="DN181" s="4" t="str">
        <x:f>IF('Calculations'!DE181="","",COUNTIFS('Calculations'!$BN$13:$BN$512,1,'Calculations'!$BU$13:$BU$512,'Calculations'!DE181,'Calculations'!$EP$13:$EP$512,1))</x:f>
      </x:c>
      <x:c r="DO181" s="4" t="str">
        <x:f>IF(OR('Calculations'!DE181="",'Calculations'!DG181=0),"",('Calculations'!DJ181+'Calculations'!DK181)/'Calculations'!DG181)</x:f>
      </x:c>
      <x:c r="DP181" s="4" t="n">
        <x:f>IF(AND('Calculations'!DE181&lt;&gt;"",'Calculations'!DF181&gt;0),COUNTIF('Calculations'!$DF$12:DF181,"&gt;0"),0)</x:f>
        <x:v>0</x:v>
      </x:c>
      <x:c r="DQ181" s="4" t="str">
        <x:f>IF(170&gt;MAX('Calculations'!$HH$13:$HH$512),"",INDEX('Calculations'!$HF$13:$HF$512,MATCH(170,'Calculations'!$HH$13:$HH$512,0)))</x:f>
      </x:c>
      <x:c r="DR181" s="4" t="str">
        <x:f>IF(170&gt;MAX('Calculations'!$IK$13:$IK$512),"",INDEX('Calculations'!$HE$13:$HE$512,MATCH(170,'Calculations'!$IK$13:$IK$512,0)))</x:f>
      </x:c>
      <x:c r="DS181" s="4"/>
      <x:c r="DT181" s="4"/>
      <x:c r="DU181" s="4"/>
      <x:c r="DV181" s="4"/>
      <x:c r="DW181" s="4"/>
      <x:c r="DX181" s="4"/>
      <x:c r="DY181" s="4"/>
      <x:c r="DZ181" s="4"/>
      <x:c r="EA181" s="4"/>
      <x:c r="EB181" s="4"/>
      <x:c r="EC181" s="4"/>
      <x:c r="ED181" s="4"/>
      <x:c r="EE181" s="4" t="str">
        <x:f>IF('Calculations'!BT181=0,"Not Rated",IF(OR('Calculations'!BO181&gt;=4,'Calculations'!BP181&gt;=4),"Low",IF('Calculations'!BO181+'Calculations'!BP181&lt;=3,"High",IF('Calculations'!BO181+'Calculations'!BP181&lt;=4,"Strong","Solid"))))</x:f>
        <x:v>Not Rated</x:v>
      </x:c>
      <x:c r="EF181" s="4"/>
      <x:c r="EG181" s="4"/>
      <x:c r="EH181" s="4"/>
      <x:c r="EI181" s="4"/>
      <x:c r="EJ181" s="4"/>
      <x:c r="EK181" s="4"/>
      <x:c r="EL181" s="4"/>
      <x:c r="EM181" s="4" t="str">
        <x:f>IF(169&gt;'Calculations'!$JB$2000,"",INDEX('Calculations'!$JA$12:$JA$2000,MATCH(169,'Calculations'!$JB$12:$JB$2000,0)))</x:f>
      </x:c>
      <x:c r="EN181" s="4" t="n">
        <x:f>IF(OR('Calculations'!EM181="",'Calculations'!$AG$8&gt;0,AND('Calculations'!$EF$2&lt;&gt;"All",'Calculations'!HE181='Calculations'!$EF$2),AND('Calculations'!$EF$3&lt;&gt;"All",'Calculations'!HE181='Calculations'!$EF$3)),0,IF(OR('Dashboard'!$B$7="All",'Calculations'!HN181='Dashboard'!$B$7),IF('Calculations'!$EF$2="All",1,IF('Calculations'!HL181&gt;0,0,IF(COUNTIF('Calculations'!HO181:II181,"="&amp;SUBSTITUTE(SUBSTITUTE(SUBSTITUTE('Calculations'!$EF$2,"~","~~"),"*","~*"),"?","~?"))=0,0,IF('Calculations'!$EF$3="All",1,IF(COUNTIF('Calculations'!HO181:II181,"="&amp;SUBSTITUTE(SUBSTITUTE(SUBSTITUTE('Calculations'!$EF$3,"~","~~"),"*","~*"),"?","~?"))&gt;0,1,0))))),0))</x:f>
        <x:v>0</x:v>
      </x:c>
      <x:c r="EO181" s="4" t="str">
        <x:f>IF('Calculations'!IJ181="","",IF('Calculations'!IJ181="!UNRESOLVED","Unresolved hierarchy",IFERROR(INDEX('Calculations'!$HK$13:$HK$512,MATCH('Calculations'!IJ181,'Calculations'!$HE$13:$HE$512,0)),IFERROR(INDEX('Calculations'!$HJ$13:$HJ$512,MATCH('Calculations'!IJ181,'Calculations'!$HF$13:$HF$512,0)),'Calculations'!IJ181))))</x:f>
      </x:c>
      <x:c r="EP181" s="4" t="n">
        <x:f>IF(AND('Calculations'!EM181&lt;&gt;"",'Calculations'!HF181='Calculations'!IJ181),1,0)</x:f>
        <x:v>0</x:v>
      </x:c>
      <x:c r="EQ181" s="4"/>
      <x:c r="ER181" s="4"/>
      <x:c r="ES181" s="4"/>
      <x:c r="ET181" s="4"/>
      <x:c r="EU181" s="4"/>
      <x:c r="EV181" s="4"/>
      <x:c r="EW181" s="4"/>
      <x:c r="EX181" s="4"/>
      <x:c r="EY181" s="4"/>
      <x:c r="EZ181" s="4"/>
      <x:c r="FA181" s="4"/>
      <x:c r="FB181" s="4"/>
      <x:c r="FC181" s="4"/>
      <x:c r="FD181" s="4"/>
      <x:c r="FE181" s="4"/>
      <x:c r="FF181" s="4"/>
      <x:c r="FG181" s="4"/>
      <x:c r="FH181" s="4"/>
      <x:c r="FI181" s="4"/>
      <x:c r="FJ181" s="4"/>
      <x:c r="FK181" s="4"/>
      <x:c r="FL181" s="4"/>
      <x:c r="FM181" s="4"/>
      <x:c r="FN181" s="4"/>
      <x:c r="FO181" s="4"/>
      <x:c r="GA181" s="71"/>
      <x:c r="GB181" s="71"/>
      <x:c r="GC181" s="71"/>
      <x:c r="GD181" s="71"/>
      <x:c r="GE181" s="71"/>
      <x:c r="GF181" s="71"/>
      <x:c r="GG181" s="71"/>
      <x:c r="GH181" s="71"/>
      <x:c r="GI181" s="71"/>
      <x:c r="GJ181" s="71"/>
      <x:c r="GK181" s="71"/>
      <x:c r="GL181" s="71"/>
      <x:c r="GM181" s="71"/>
      <x:c r="GN181" s="71"/>
      <x:c r="GO181" s="71"/>
      <x:c r="GP181" s="71"/>
      <x:c r="GQ181" s="71"/>
      <x:c r="GR181" s="71"/>
      <x:c r="GS181" s="71"/>
      <x:c r="GT181" s="71"/>
      <x:c r="GU181" s="71"/>
      <x:c r="GV181" s="71"/>
      <x:c r="GW181" s="71"/>
      <x:c r="GX181" s="71"/>
      <x:c r="GY181" s="71"/>
      <x:c r="GZ181" s="71"/>
      <x:c r="HA181" s="71"/>
      <x:c r="HB181" s="71"/>
      <x:c r="HC181" s="71"/>
      <x:c r="HD181" s="71"/>
      <x:c r="HE181" t="str">
        <x:f>IF('Calculations'!EM181="","",IF(IFERROR(IF(INDEX(INDIRECT("'WCM Calibration Final'!$A$1:$A$2000"),'Calculations'!$EM181)="","",TRIM(INDEX(INDIRECT("'WCM Calibration Final'!$A$1:$A$2000"),'Calculations'!$EM181)&amp;"")),"")&lt;&gt;"","G:"&amp;IFERROR(TEXT(1*INDEX(INDIRECT("'WCM Calibration Final'!$A$1:$A$2000"),'Calculations'!$EM181),"0"),UPPER(IFERROR(IF(INDEX(INDIRECT("'WCM Calibration Final'!$A$1:$A$2000"),'Calculations'!$EM181)="","",TRIM(INDEX(INDIRECT("'WCM Calibration Final'!$A$1:$A$2000"),'Calculations'!$EM181)&amp;"")),""))),IF(IFERROR(IF(INDEX(INDIRECT("'WCM Calibration Final'!$C$1:$C$2000"),'Calculations'!$EM181)="","",TRIM(INDEX(INDIRECT("'WCM Calibration Final'!$C$1:$C$2000"),'Calculations'!$EM181)&amp;"")),"")&lt;&gt;"","S:"&amp;UPPER(IFERROR(IF(INDEX(INDIRECT("'WCM Calibration Final'!$C$1:$C$2000"),'Calculations'!$EM181)="","",TRIM(INDEX(INDIRECT("'WCM Calibration Final'!$C$1:$C$2000"),'Calculations'!$EM181)&amp;"")),"")),"R:"&amp;'Calculations'!EM181)))</x:f>
      </x:c>
      <x:c r="HF181" t="str">
        <x:f>IF('Calculations'!EM181="","",IF(IFERROR(IF(INDEX(INDIRECT("'WCM Calibration Final'!$D$1:$D$2000"),'Calculations'!$EM181)="","",TRIM(INDEX(INDIRECT("'WCM Calibration Final'!$D$1:$D$2000"),'Calculations'!$EM181)&amp;"")),"")&lt;&gt;"","G:"&amp;IFERROR(TEXT(1*INDEX(INDIRECT("'WCM Calibration Final'!$D$1:$D$2000"),'Calculations'!$EM181),"0"),UPPER(IFERROR(IF(INDEX(INDIRECT("'WCM Calibration Final'!$D$1:$D$2000"),'Calculations'!$EM181)="","",TRIM(INDEX(INDIRECT("'WCM Calibration Final'!$D$1:$D$2000"),'Calculations'!$EM181)&amp;"")),""))),IF(IFERROR(IF(INDEX(INDIRECT("'WCM Calibration Final'!$E$1:$E$2000"),'Calculations'!$EM181)="","",TRIM(INDEX(INDIRECT("'WCM Calibration Final'!$E$1:$E$2000"),'Calculations'!$EM181)&amp;"")),"")="","",IF(COUNTIF('Calculations'!$HG$13:$HG$512,"="&amp;SUBSTITUTE(SUBSTITUTE(SUBSTITUTE(IFERROR(IF(INDEX(INDIRECT("'WCM Calibration Final'!$E$1:$E$2000"),'Calculations'!$EM181)="","",TRIM(INDEX(INDIRECT("'WCM Calibration Final'!$E$1:$E$2000"),'Calculations'!$EM181)&amp;"")),""),"~","~~"),"*","~*"),"?","~?"))=1,INDEX('Calculations'!$HE$13:$HE$512,MATCH(IFERROR(IF(INDEX(INDIRECT("'WCM Calibration Final'!$E$1:$E$2000"),'Calculations'!$EM181)="","",TRIM(INDEX(INDIRECT("'WCM Calibration Final'!$E$1:$E$2000"),'Calculations'!$EM181)&amp;"")),""),'Calculations'!$HG$13:$HG$512,0)),IF(COUNTIF('Calculations'!$HG$13:$HG$512,"="&amp;SUBSTITUTE(SUBSTITUTE(SUBSTITUTE(IFERROR(IF(INDEX(INDIRECT("'WCM Calibration Final'!$E$1:$E$2000"),'Calculations'!$EM181)="","",TRIM(INDEX(INDIRECT("'WCM Calibration Final'!$E$1:$E$2000"),'Calculations'!$EM181)&amp;"")),""),"~","~~"),"*","~*"),"?","~?"))&gt;1,"!AMBIG","X:"&amp;IFERROR(IF(INDEX(INDIRECT("'WCM Calibration Final'!$E$1:$E$2000"),'Calculations'!$EM181)="","",TRIM(INDEX(INDIRECT("'WCM Calibration Final'!$E$1:$E$2000"),'Calculations'!$EM181)&amp;"")),""))))))</x:f>
      </x:c>
      <x:c r="HG181" t="str">
        <x:f>IF('Calculations'!EM181="","",IFERROR(IF(INDEX(INDIRECT("'WCM Calibration Final'!$B$1:$B$2000"),'Calculations'!$EM181)="","",TRIM(INDEX(INDIRECT("'WCM Calibration Final'!$B$1:$B$2000"),'Calculations'!$EM181)&amp;"")),""))</x:f>
      </x:c>
      <x:c r="HH181" t="n">
        <x:f>IF(AND('Calculations'!JC181&gt;0,COUNTIF('Calculations'!$HF$12:HF181,"="&amp;SUBSTITUTE(SUBSTITUTE(SUBSTITUTE('Calculations'!HF181,"~","~~"),"*","~*"),"?","~?"))=1),MAX('Calculations'!$HH$12:HH180)+1,0)</x:f>
        <x:v>0</x:v>
      </x:c>
      <x:c r="HI181" t="n">
        <x:f>IF(AND('Calculations'!HN181&lt;&gt;"",COUNTIF('Calculations'!$HN$12:HN181,"="&amp;SUBSTITUTE(SUBSTITUTE(SUBSTITUTE('Calculations'!HN181,"~","~~"),"*","~*"),"?","~?"))=1),MAX('Calculations'!$HI$12:HI180)+1,0)</x:f>
        <x:v>0</x:v>
      </x:c>
      <x:c r="HJ181" t="str">
        <x:f>IF('Calculations'!HF181="","",IF(COUNTIF('Calculations'!$HE$13:$HE$512,"="&amp;SUBSTITUTE(SUBSTITUTE(SUBSTITUTE('Calculations'!HF181,"~","~~"),"*","~*"),"?","~?"))=1,INDEX('Calculations'!$HK$13:$HK$512,MATCH('Calculations'!HF181,'Calculations'!$HE$13:$HE$512,0)),IFERROR(IF(INDEX(INDIRECT("'WCM Calibration Final'!$E$1:$E$2000"),'Calculations'!$EM181)="","",TRIM(INDEX(INDIRECT("'WCM Calibration Final'!$E$1:$E$2000"),'Calculations'!$EM181)&amp;"")),"")&amp;" ["&amp;'Calculations'!HF181&amp;"]"))</x:f>
      </x:c>
      <x:c r="HK181" t="str">
        <x:f>IF('Calculations'!EM181="","",'Calculations'!HG181&amp;" ["&amp;'Calculations'!HE181&amp;"]")</x:f>
      </x:c>
      <x:c r="HL181" t="n">
        <x:f>IF('Calculations'!EM181="",0,IF(OR('Calculations'!II181&lt;&gt;"",COUNTIF('Calculations'!$HE$13:$HE$512,"="&amp;SUBSTITUTE(SUBSTITUTE(SUBSTITUTE('Calculations'!HE181,"~","~~"),"*","~*"),"?","~?"))&gt;1),1,0))</x:f>
        <x:v>0</x:v>
      </x:c>
      <x:c r="HM181" t="str">
        <x:f>IF('Calculations'!EM181="","",IF('Calculations'!HL181=1,"!UNRESOLVED",IF('Calculations'!IH181&lt;&gt;"",'Calculations'!IH181,IF('Calculations'!IG181&lt;&gt;"",'Calculations'!IG181,IF('Calculations'!IF181&lt;&gt;"",'Calculations'!IF181,IF('Calculations'!IE181&lt;&gt;"",'Calculations'!IE181,IF('Calculations'!ID181&lt;&gt;"",'Calculations'!ID181,IF('Calculations'!IC181&lt;&gt;"",'Calculations'!IC181,IF('Calculations'!IB181&lt;&gt;"",'Calculations'!IB181,IF('Calculations'!IA181&lt;&gt;"",'Calculations'!IA181,IF('Calculations'!HZ181&lt;&gt;"",'Calculations'!HZ181,IF('Calculations'!HY181&lt;&gt;"",'Calculations'!HY181,IF('Calculations'!HX181&lt;&gt;"",'Calculations'!HX181,IF('Calculations'!HW181&lt;&gt;"",'Calculations'!HW181,IF('Calculations'!HV181&lt;&gt;"",'Calculations'!HV181,IF('Calculations'!HU181&lt;&gt;"",'Calculations'!HU181,IF('Calculations'!HT181&lt;&gt;"",'Calculations'!HT181,IF('Calculations'!HS181&lt;&gt;"",'Calculations'!HS181,IF('Calculations'!HR181&lt;&gt;"",'Calculations'!HR181,IF('Calculations'!HQ181&lt;&gt;"",'Calculations'!HQ181,IF('Calculations'!HP181&lt;&gt;"",'Calculations'!HP181,IF('Calculations'!HO181&lt;&gt;"",'Calculations'!HO181,'Calculations'!HE181))))))))))))))))))))))</x:f>
      </x:c>
      <x:c r="HN181" t="str">
        <x:f>IF('Calculations'!EM181="","",IF(IFERROR(IF(INDEX(INDIRECT("'WCM Calibration Final'!$F$1:$F$2000"),'Calculations'!$EM181)="","",TRIM(INDEX(INDIRECT("'WCM Calibration Final'!$F$1:$F$2000"),'Calculations'!$EM181)&amp;"")),"")="","(Blank)",IFERROR(IF(INDEX(INDIRECT("'WCM Calibration Final'!$F$1:$F$2000"),'Calculations'!$EM181)="","",TRIM(INDEX(INDIRECT("'WCM Calibration Final'!$F$1:$F$2000"),'Calculations'!$EM181)&amp;"")),"")))</x:f>
      </x:c>
      <x:c r="HO181" t="str">
        <x:f>'Calculations'!HF181</x:f>
      </x:c>
      <x:c r="HP181" t="str">
        <x:f>IF('Calculations'!HO181="","",IF('Calculations'!HO181="!AMBIG","!AMBIG",IF(COUNTIF('Calculations'!$HE$13:$HE$512,"="&amp;SUBSTITUTE(SUBSTITUTE(SUBSTITUTE('Calculations'!HO181,"~","~~"),"*","~*"),"?","~?"))&gt;1,"!AMBIG",IFERROR(INDEX('Calculations'!$HF$13:$HF$512,MATCH('Calculations'!HO181,'Calculations'!$HE$13:$HE$512,0)),""))))</x:f>
      </x:c>
      <x:c r="HQ181" t="str">
        <x:f>IF('Calculations'!HP181="","",IF('Calculations'!HP181="!AMBIG","!AMBIG",IF(COUNTIF('Calculations'!$HE$13:$HE$512,"="&amp;SUBSTITUTE(SUBSTITUTE(SUBSTITUTE('Calculations'!HP181,"~","~~"),"*","~*"),"?","~?"))&gt;1,"!AMBIG",IFERROR(INDEX('Calculations'!$HF$13:$HF$512,MATCH('Calculations'!HP181,'Calculations'!$HE$13:$HE$512,0)),""))))</x:f>
      </x:c>
      <x:c r="HR181" t="str">
        <x:f>IF('Calculations'!HQ181="","",IF('Calculations'!HQ181="!AMBIG","!AMBIG",IF(COUNTIF('Calculations'!$HE$13:$HE$512,"="&amp;SUBSTITUTE(SUBSTITUTE(SUBSTITUTE('Calculations'!HQ181,"~","~~"),"*","~*"),"?","~?"))&gt;1,"!AMBIG",IFERROR(INDEX('Calculations'!$HF$13:$HF$512,MATCH('Calculations'!HQ181,'Calculations'!$HE$13:$HE$512,0)),""))))</x:f>
      </x:c>
      <x:c r="HS181" t="str">
        <x:f>IF('Calculations'!HR181="","",IF('Calculations'!HR181="!AMBIG","!AMBIG",IF(COUNTIF('Calculations'!$HE$13:$HE$512,"="&amp;SUBSTITUTE(SUBSTITUTE(SUBSTITUTE('Calculations'!HR181,"~","~~"),"*","~*"),"?","~?"))&gt;1,"!AMBIG",IFERROR(INDEX('Calculations'!$HF$13:$HF$512,MATCH('Calculations'!HR181,'Calculations'!$HE$13:$HE$512,0)),""))))</x:f>
      </x:c>
      <x:c r="HT181" t="str">
        <x:f>IF('Calculations'!HS181="","",IF('Calculations'!HS181="!AMBIG","!AMBIG",IF(COUNTIF('Calculations'!$HE$13:$HE$512,"="&amp;SUBSTITUTE(SUBSTITUTE(SUBSTITUTE('Calculations'!HS181,"~","~~"),"*","~*"),"?","~?"))&gt;1,"!AMBIG",IFERROR(INDEX('Calculations'!$HF$13:$HF$512,MATCH('Calculations'!HS181,'Calculations'!$HE$13:$HE$512,0)),""))))</x:f>
      </x:c>
      <x:c r="HU181" t="str">
        <x:f>IF('Calculations'!HT181="","",IF('Calculations'!HT181="!AMBIG","!AMBIG",IF(COUNTIF('Calculations'!$HE$13:$HE$512,"="&amp;SUBSTITUTE(SUBSTITUTE(SUBSTITUTE('Calculations'!HT181,"~","~~"),"*","~*"),"?","~?"))&gt;1,"!AMBIG",IFERROR(INDEX('Calculations'!$HF$13:$HF$512,MATCH('Calculations'!HT181,'Calculations'!$HE$13:$HE$512,0)),""))))</x:f>
      </x:c>
      <x:c r="HV181" t="str">
        <x:f>IF('Calculations'!HU181="","",IF('Calculations'!HU181="!AMBIG","!AMBIG",IF(COUNTIF('Calculations'!$HE$13:$HE$512,"="&amp;SUBSTITUTE(SUBSTITUTE(SUBSTITUTE('Calculations'!HU181,"~","~~"),"*","~*"),"?","~?"))&gt;1,"!AMBIG",IFERROR(INDEX('Calculations'!$HF$13:$HF$512,MATCH('Calculations'!HU181,'Calculations'!$HE$13:$HE$512,0)),""))))</x:f>
      </x:c>
      <x:c r="HW181" t="str">
        <x:f>IF('Calculations'!HV181="","",IF('Calculations'!HV181="!AMBIG","!AMBIG",IF(COUNTIF('Calculations'!$HE$13:$HE$512,"="&amp;SUBSTITUTE(SUBSTITUTE(SUBSTITUTE('Calculations'!HV181,"~","~~"),"*","~*"),"?","~?"))&gt;1,"!AMBIG",IFERROR(INDEX('Calculations'!$HF$13:$HF$512,MATCH('Calculations'!HV181,'Calculations'!$HE$13:$HE$512,0)),""))))</x:f>
      </x:c>
      <x:c r="HX181" t="str">
        <x:f>IF('Calculations'!HW181="","",IF('Calculations'!HW181="!AMBIG","!AMBIG",IF(COUNTIF('Calculations'!$HE$13:$HE$512,"="&amp;SUBSTITUTE(SUBSTITUTE(SUBSTITUTE('Calculations'!HW181,"~","~~"),"*","~*"),"?","~?"))&gt;1,"!AMBIG",IFERROR(INDEX('Calculations'!$HF$13:$HF$512,MATCH('Calculations'!HW181,'Calculations'!$HE$13:$HE$512,0)),""))))</x:f>
      </x:c>
      <x:c r="HY181" t="str">
        <x:f>IF('Calculations'!HX181="","",IF('Calculations'!HX181="!AMBIG","!AMBIG",IF(COUNTIF('Calculations'!$HE$13:$HE$512,"="&amp;SUBSTITUTE(SUBSTITUTE(SUBSTITUTE('Calculations'!HX181,"~","~~"),"*","~*"),"?","~?"))&gt;1,"!AMBIG",IFERROR(INDEX('Calculations'!$HF$13:$HF$512,MATCH('Calculations'!HX181,'Calculations'!$HE$13:$HE$512,0)),""))))</x:f>
      </x:c>
      <x:c r="HZ181" t="str">
        <x:f>IF('Calculations'!HY181="","",IF('Calculations'!HY181="!AMBIG","!AMBIG",IF(COUNTIF('Calculations'!$HE$13:$HE$512,"="&amp;SUBSTITUTE(SUBSTITUTE(SUBSTITUTE('Calculations'!HY181,"~","~~"),"*","~*"),"?","~?"))&gt;1,"!AMBIG",IFERROR(INDEX('Calculations'!$HF$13:$HF$512,MATCH('Calculations'!HY181,'Calculations'!$HE$13:$HE$512,0)),""))))</x:f>
      </x:c>
      <x:c r="IA181" t="str">
        <x:f>IF('Calculations'!HZ181="","",IF('Calculations'!HZ181="!AMBIG","!AMBIG",IF(COUNTIF('Calculations'!$HE$13:$HE$512,"="&amp;SUBSTITUTE(SUBSTITUTE(SUBSTITUTE('Calculations'!HZ181,"~","~~"),"*","~*"),"?","~?"))&gt;1,"!AMBIG",IFERROR(INDEX('Calculations'!$HF$13:$HF$512,MATCH('Calculations'!HZ181,'Calculations'!$HE$13:$HE$512,0)),""))))</x:f>
      </x:c>
      <x:c r="IB181" t="str">
        <x:f>IF('Calculations'!IA181="","",IF('Calculations'!IA181="!AMBIG","!AMBIG",IF(COUNTIF('Calculations'!$HE$13:$HE$512,"="&amp;SUBSTITUTE(SUBSTITUTE(SUBSTITUTE('Calculations'!IA181,"~","~~"),"*","~*"),"?","~?"))&gt;1,"!AMBIG",IFERROR(INDEX('Calculations'!$HF$13:$HF$512,MATCH('Calculations'!IA181,'Calculations'!$HE$13:$HE$512,0)),""))))</x:f>
      </x:c>
      <x:c r="IC181" t="str">
        <x:f>IF('Calculations'!IB181="","",IF('Calculations'!IB181="!AMBIG","!AMBIG",IF(COUNTIF('Calculations'!$HE$13:$HE$512,"="&amp;SUBSTITUTE(SUBSTITUTE(SUBSTITUTE('Calculations'!IB181,"~","~~"),"*","~*"),"?","~?"))&gt;1,"!AMBIG",IFERROR(INDEX('Calculations'!$HF$13:$HF$512,MATCH('Calculations'!IB181,'Calculations'!$HE$13:$HE$512,0)),""))))</x:f>
      </x:c>
      <x:c r="ID181" t="str">
        <x:f>IF('Calculations'!IC181="","",IF('Calculations'!IC181="!AMBIG","!AMBIG",IF(COUNTIF('Calculations'!$HE$13:$HE$512,"="&amp;SUBSTITUTE(SUBSTITUTE(SUBSTITUTE('Calculations'!IC181,"~","~~"),"*","~*"),"?","~?"))&gt;1,"!AMBIG",IFERROR(INDEX('Calculations'!$HF$13:$HF$512,MATCH('Calculations'!IC181,'Calculations'!$HE$13:$HE$512,0)),""))))</x:f>
      </x:c>
      <x:c r="IE181" t="str">
        <x:f>IF('Calculations'!ID181="","",IF('Calculations'!ID181="!AMBIG","!AMBIG",IF(COUNTIF('Calculations'!$HE$13:$HE$512,"="&amp;SUBSTITUTE(SUBSTITUTE(SUBSTITUTE('Calculations'!ID181,"~","~~"),"*","~*"),"?","~?"))&gt;1,"!AMBIG",IFERROR(INDEX('Calculations'!$HF$13:$HF$512,MATCH('Calculations'!ID181,'Calculations'!$HE$13:$HE$512,0)),""))))</x:f>
      </x:c>
      <x:c r="IF181" t="str">
        <x:f>IF('Calculations'!IE181="","",IF('Calculations'!IE181="!AMBIG","!AMBIG",IF(COUNTIF('Calculations'!$HE$13:$HE$512,"="&amp;SUBSTITUTE(SUBSTITUTE(SUBSTITUTE('Calculations'!IE181,"~","~~"),"*","~*"),"?","~?"))&gt;1,"!AMBIG",IFERROR(INDEX('Calculations'!$HF$13:$HF$512,MATCH('Calculations'!IE181,'Calculations'!$HE$13:$HE$512,0)),""))))</x:f>
      </x:c>
      <x:c r="IG181" t="str">
        <x:f>IF('Calculations'!IF181="","",IF('Calculations'!IF181="!AMBIG","!AMBIG",IF(COUNTIF('Calculations'!$HE$13:$HE$512,"="&amp;SUBSTITUTE(SUBSTITUTE(SUBSTITUTE('Calculations'!IF181,"~","~~"),"*","~*"),"?","~?"))&gt;1,"!AMBIG",IFERROR(INDEX('Calculations'!$HF$13:$HF$512,MATCH('Calculations'!IF181,'Calculations'!$HE$13:$HE$512,0)),""))))</x:f>
      </x:c>
      <x:c r="IH181" t="str">
        <x:f>IF('Calculations'!IG181="","",IF('Calculations'!IG181="!AMBIG","!AMBIG",IF(COUNTIF('Calculations'!$HE$13:$HE$512,"="&amp;SUBSTITUTE(SUBSTITUTE(SUBSTITUTE('Calculations'!IG181,"~","~~"),"*","~*"),"?","~?"))&gt;1,"!AMBIG",IFERROR(INDEX('Calculations'!$HF$13:$HF$512,MATCH('Calculations'!IG181,'Calculations'!$HE$13:$HE$512,0)),""))))</x:f>
      </x:c>
      <x:c r="II181" t="str">
        <x:f>IF('Calculations'!IH181="","",IF('Calculations'!IH181="!AMBIG","!AMBIG",IF(COUNTIF('Calculations'!$HE$13:$HE$512,"="&amp;SUBSTITUTE(SUBSTITUTE(SUBSTITUTE('Calculations'!IH181,"~","~~"),"*","~*"),"?","~?"))&gt;1,"!AMBIG",IFERROR(INDEX('Calculations'!$HF$13:$HF$512,MATCH('Calculations'!IH181,'Calculations'!$HE$13:$HE$512,0)),""))))</x:f>
      </x:c>
      <x:c r="IJ181" t="str">
        <x:f>IF('Calculations'!EM181="","",IF('Calculations'!$EF$2="All",'Calculations'!HM181,IF('Calculations'!HL181=1,"",IFERROR(IF(MATCH('Calculations'!$EF$2,'Calculations'!HO181:II181,0)=1,'Calculations'!HE181,INDEX('Calculations'!HO181:II181,1,MATCH('Calculations'!$EF$2,'Calculations'!HO181:II181,0)-1)),""))))</x:f>
      </x:c>
      <x:c r="IK181" t="n">
        <x:f>IF(AND('Calculations'!EM181&lt;&gt;"",'Calculations'!$EF$2&lt;&gt;"All",'Calculations'!HF181='Calculations'!$EF$2,'Calculations'!HL181=0,'Calculations'!JD181&gt;0),MAX('Calculations'!$IK$12:IK180)+1,0)</x:f>
        <x:v>0</x:v>
      </x:c>
      <x:c r="JA181" t="n">
        <x:f>IF(OR(IFERROR(INDIRECT("'WCM Calibration Final'!$A$181")&lt;&gt;"",FALSE),IFERROR(INDIRECT("'WCM Calibration Final'!$B$181")&lt;&gt;"",FALSE),IFERROR(INDIRECT("'WCM Calibration Final'!$C$181")&lt;&gt;"",FALSE)),181,0)</x:f>
        <x:v>0</x:v>
      </x:c>
      <x:c r="JB181" t="n">
        <x:f>'Calculations'!JB180+IF('Calculations'!JA181&gt;0,1,0)</x:f>
        <x:v>0</x:v>
      </x:c>
      <x:c r="JC181" t="n">
        <x:f>IF(OR('Calculations'!HF181="",'Calculations'!HF181="!AMBIG"),0,IF('Dashboard'!$B$7="All",1,COUNTIFS('Calculations'!$HO$13:$HO$512,"="&amp;SUBSTITUTE(SUBSTITUTE(SUBSTITUTE('Calculations'!HF181,"~","~~"),"*","~*"),"?","~?"),'Calculations'!$HN$13:$HN$512,"="&amp;SUBSTITUTE(SUBSTITUTE(SUBSTITUTE('Dashboard'!$B$7,"~","~~"),"*","~*"),"?","~?"))+COUNTIFS('Calculations'!$HP$13:$HP$512,"="&amp;SUBSTITUTE(SUBSTITUTE(SUBSTITUTE('Calculations'!HF181,"~","~~"),"*","~*"),"?","~?"),'Calculations'!$HN$13:$HN$512,"="&amp;SUBSTITUTE(SUBSTITUTE(SUBSTITUTE('Dashboard'!$B$7,"~","~~"),"*","~*"),"?","~?"))+COUNTIFS('Calculations'!$HQ$13:$HQ$512,"="&amp;SUBSTITUTE(SUBSTITUTE(SUBSTITUTE('Calculations'!HF181,"~","~~"),"*","~*"),"?","~?"),'Calculations'!$HN$13:$HN$512,"="&amp;SUBSTITUTE(SUBSTITUTE(SUBSTITUTE('Dashboard'!$B$7,"~","~~"),"*","~*"),"?","~?"))+COUNTIFS('Calculations'!$HR$13:$HR$512,"="&amp;SUBSTITUTE(SUBSTITUTE(SUBSTITUTE('Calculations'!HF181,"~","~~"),"*","~*"),"?","~?"),'Calculations'!$HN$13:$HN$512,"="&amp;SUBSTITUTE(SUBSTITUTE(SUBSTITUTE('Dashboard'!$B$7,"~","~~"),"*","~*"),"?","~?"))+COUNTIFS('Calculations'!$HS$13:$HS$512,"="&amp;SUBSTITUTE(SUBSTITUTE(SUBSTITUTE('Calculations'!HF181,"~","~~"),"*","~*"),"?","~?"),'Calculations'!$HN$13:$HN$512,"="&amp;SUBSTITUTE(SUBSTITUTE(SUBSTITUTE('Dashboard'!$B$7,"~","~~"),"*","~*"),"?","~?"))+COUNTIFS('Calculations'!$HT$13:$HT$512,"="&amp;SUBSTITUTE(SUBSTITUTE(SUBSTITUTE('Calculations'!HF181,"~","~~"),"*","~*"),"?","~?"),'Calculations'!$HN$13:$HN$512,"="&amp;SUBSTITUTE(SUBSTITUTE(SUBSTITUTE('Dashboard'!$B$7,"~","~~"),"*","~*"),"?","~?"))+COUNTIFS('Calculations'!$HU$13:$HU$512,"="&amp;SUBSTITUTE(SUBSTITUTE(SUBSTITUTE('Calculations'!HF181,"~","~~"),"*","~*"),"?","~?"),'Calculations'!$HN$13:$HN$512,"="&amp;SUBSTITUTE(SUBSTITUTE(SUBSTITUTE('Dashboard'!$B$7,"~","~~"),"*","~*"),"?","~?"))+COUNTIFS('Calculations'!$HV$13:$HV$512,"="&amp;SUBSTITUTE(SUBSTITUTE(SUBSTITUTE('Calculations'!HF181,"~","~~"),"*","~*"),"?","~?"),'Calculations'!$HN$13:$HN$512,"="&amp;SUBSTITUTE(SUBSTITUTE(SUBSTITUTE('Dashboard'!$B$7,"~","~~"),"*","~*"),"?","~?"))+COUNTIFS('Calculations'!$HW$13:$HW$512,"="&amp;SUBSTITUTE(SUBSTITUTE(SUBSTITUTE('Calculations'!HF181,"~","~~"),"*","~*"),"?","~?"),'Calculations'!$HN$13:$HN$512,"="&amp;SUBSTITUTE(SUBSTITUTE(SUBSTITUTE('Dashboard'!$B$7,"~","~~"),"*","~*"),"?","~?"))+COUNTIFS('Calculations'!$HX$13:$HX$512,"="&amp;SUBSTITUTE(SUBSTITUTE(SUBSTITUTE('Calculations'!HF181,"~","~~"),"*","~*"),"?","~?"),'Calculations'!$HN$13:$HN$512,"="&amp;SUBSTITUTE(SUBSTITUTE(SUBSTITUTE('Dashboard'!$B$7,"~","~~"),"*","~*"),"?","~?"))+COUNTIFS('Calculations'!$HY$13:$HY$512,"="&amp;SUBSTITUTE(SUBSTITUTE(SUBSTITUTE('Calculations'!HF181,"~","~~"),"*","~*"),"?","~?"),'Calculations'!$HN$13:$HN$512,"="&amp;SUBSTITUTE(SUBSTITUTE(SUBSTITUTE('Dashboard'!$B$7,"~","~~"),"*","~*"),"?","~?"))+COUNTIFS('Calculations'!$HZ$13:$HZ$512,"="&amp;SUBSTITUTE(SUBSTITUTE(SUBSTITUTE('Calculations'!HF181,"~","~~"),"*","~*"),"?","~?"),'Calculations'!$HN$13:$HN$512,"="&amp;SUBSTITUTE(SUBSTITUTE(SUBSTITUTE('Dashboard'!$B$7,"~","~~"),"*","~*"),"?","~?"))+COUNTIFS('Calculations'!$IA$13:$IA$512,"="&amp;SUBSTITUTE(SUBSTITUTE(SUBSTITUTE('Calculations'!HF181,"~","~~"),"*","~*"),"?","~?"),'Calculations'!$HN$13:$HN$512,"="&amp;SUBSTITUTE(SUBSTITUTE(SUBSTITUTE('Dashboard'!$B$7,"~","~~"),"*","~*"),"?","~?"))+COUNTIFS('Calculations'!$IB$13:$IB$512,"="&amp;SUBSTITUTE(SUBSTITUTE(SUBSTITUTE('Calculations'!HF181,"~","~~"),"*","~*"),"?","~?"),'Calculations'!$HN$13:$HN$512,"="&amp;SUBSTITUTE(SUBSTITUTE(SUBSTITUTE('Dashboard'!$B$7,"~","~~"),"*","~*"),"?","~?"))+COUNTIFS('Calculations'!$IC$13:$IC$512,"="&amp;SUBSTITUTE(SUBSTITUTE(SUBSTITUTE('Calculations'!HF181,"~","~~"),"*","~*"),"?","~?"),'Calculations'!$HN$13:$HN$512,"="&amp;SUBSTITUTE(SUBSTITUTE(SUBSTITUTE('Dashboard'!$B$7,"~","~~"),"*","~*"),"?","~?"))+COUNTIFS('Calculations'!$ID$13:$ID$512,"="&amp;SUBSTITUTE(SUBSTITUTE(SUBSTITUTE('Calculations'!HF181,"~","~~"),"*","~*"),"?","~?"),'Calculations'!$HN$13:$HN$512,"="&amp;SUBSTITUTE(SUBSTITUTE(SUBSTITUTE('Dashboard'!$B$7,"~","~~"),"*","~*"),"?","~?"))+COUNTIFS('Calculations'!$IE$13:$IE$512,"="&amp;SUBSTITUTE(SUBSTITUTE(SUBSTITUTE('Calculations'!HF181,"~","~~"),"*","~*"),"?","~?"),'Calculations'!$HN$13:$HN$512,"="&amp;SUBSTITUTE(SUBSTITUTE(SUBSTITUTE('Dashboard'!$B$7,"~","~~"),"*","~*"),"?","~?"))+COUNTIFS('Calculations'!$IF$13:$IF$512,"="&amp;SUBSTITUTE(SUBSTITUTE(SUBSTITUTE('Calculations'!HF181,"~","~~"),"*","~*"),"?","~?"),'Calculations'!$HN$13:$HN$512,"="&amp;SUBSTITUTE(SUBSTITUTE(SUBSTITUTE('Dashboard'!$B$7,"~","~~"),"*","~*"),"?","~?"))+COUNTIFS('Calculations'!$IG$13:$IG$512,"="&amp;SUBSTITUTE(SUBSTITUTE(SUBSTITUTE('Calculations'!HF181,"~","~~"),"*","~*"),"?","~?"),'Calculations'!$HN$13:$HN$512,"="&amp;SUBSTITUTE(SUBSTITUTE(SUBSTITUTE('Dashboard'!$B$7,"~","~~"),"*","~*"),"?","~?"))+COUNTIFS('Calculations'!$IH$13:$IH$512,"="&amp;SUBSTITUTE(SUBSTITUTE(SUBSTITUTE('Calculations'!HF181,"~","~~"),"*","~*"),"?","~?"),'Calculations'!$HN$13:$HN$512,"="&amp;SUBSTITUTE(SUBSTITUTE(SUBSTITUTE('Dashboard'!$B$7,"~","~~"),"*","~*"),"?","~?"))))</x:f>
        <x:v>0</x:v>
      </x:c>
      <x:c r="JD181" t="n">
        <x:f>IF('Calculations'!EM181="",0,IF('Dashboard'!$B$7="All",1,IF('Calculations'!HN181='Dashboard'!$B$7,1,0)+IFERROR(INDEX('Calculations'!$JC$13:$JC$512,MATCH('Calculations'!HE181,'Calculations'!$HF$13:$HF$512,0)),0)))</x:f>
        <x:v>0</x:v>
      </x:c>
      <x:c r="JE181" t="n">
        <x:f>IF(AND('Calculations'!EM181&lt;&gt;"",'Calculations'!$JJ$2&lt;&gt;"All",'Calculations'!$JJ$2&lt;&gt;"",'Calculations'!HF181='Calculations'!$JJ$2,'Calculations'!HL181=0,'Calculations'!JD181&gt;0),MAX('Calculations'!$JE$12:JE180)+1,0)</x:f>
        <x:v>0</x:v>
      </x:c>
      <x:c r="JF181" t="str">
        <x:f>IF('Calculations'!EM181="","",IFERROR(IF(INDEX(INDIRECT("'WCM Calibration Final'!$G$1:$G$2000"),'Calculations'!$EM181)="","",TRIM(INDEX(INDIRECT("'WCM Calibration Final'!$G$1:$G$2000"),'Calculations'!$EM181)&amp;"")),""))</x:f>
      </x:c>
      <x:c r="JQ181" t="n">
        <x:f>IF(OR('Calculations'!BM181=0,NOT('Calculations'!$AG$2),'Calculations'!$AG$8&gt;0),0,IF(OR('Dashboard'!$B$7="All",'Calculations'!HN181='Dashboard'!$B$7),IF('Calculations'!$JJ$2="All",1,IF(AND('Calculations'!HF181='Calculations'!$JJ$2,'Calculations'!HL181=0),1,0)),0))</x:f>
        <x:v>0</x:v>
      </x:c>
    </x:row>
    <x:row r="182">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t="n">
        <x:f>IF('Calculations'!$EM182="",0,IF(OR(IFERROR(INDEX(INDIRECT("'WCM Calibration Final'!$A$1:$A$2000"),'Calculations'!$EM182)&lt;&gt;"",FALSE),IFERROR(INDEX(INDIRECT("'WCM Calibration Final'!$B$1:$B$2000"),'Calculations'!$EM182)&lt;&gt;"",FALSE),IFERROR(INDEX(INDIRECT("'WCM Calibration Final'!$C$1:$C$2000"),'Calculations'!$EM182)&lt;&gt;"",FALSE)),1,0))</x:f>
        <x:v>0</x:v>
      </x:c>
      <x:c r="BN182" s="4" t="n">
        <x:f>IF(AND('Calculations'!BM182=1,'Calculations'!$AG$2,'Calculations'!$EN182=1),1,0)</x:f>
        <x:v>0</x:v>
      </x:c>
      <x:c r="BO182" s="4" t="str">
        <x:f>IF('Calculations'!BM182=0,"",IFERROR(IF(AND(VALUE(INDEX(INDIRECT("'WCM Calibration Final'!$K$1:$K$2000"),'Calculations'!$EM182))&gt;=1,VALUE(INDEX(INDIRECT("'WCM Calibration Final'!$K$1:$K$2000"),'Calculations'!$EM182))&lt;=4,MOD(VALUE(INDEX(INDIRECT("'WCM Calibration Final'!$K$1:$K$2000"),'Calculations'!$EM182)),1)=0),VALUE(INDEX(INDIRECT("'WCM Calibration Final'!$K$1:$K$2000"),'Calculations'!$EM182)),""),""))</x:f>
      </x:c>
      <x:c r="BP182" s="4" t="str">
        <x:f>IF('Calculations'!BM182=0,"",IFERROR(IF(AND(VALUE(INDEX(INDIRECT("'WCM Calibration Final'!$L$1:$L$2000"),'Calculations'!$EM182))&gt;=1,VALUE(INDEX(INDIRECT("'WCM Calibration Final'!$L$1:$L$2000"),'Calculations'!$EM182))&lt;=4,MOD(VALUE(INDEX(INDIRECT("'WCM Calibration Final'!$L$1:$L$2000"),'Calculations'!$EM182)),1)=0),VALUE(INDEX(INDIRECT("'WCM Calibration Final'!$L$1:$L$2000"),'Calculations'!$EM182)),""),""))</x:f>
      </x:c>
      <x:c r="BQ182" s="4"/>
      <x:c r="BR182" s="4"/>
      <x:c r="BS182" s="4"/>
      <x:c r="BT182" s="4" t="n">
        <x:f>IF(AND('Calculations'!BM182=1,ISNUMBER('Calculations'!BO182),ISNUMBER('Calculations'!BP182)),1,0)</x:f>
        <x:v>0</x:v>
      </x:c>
      <x:c r="BU182" s="4" t="str">
        <x:f>IF('Calculations'!BM182=0,"",'Calculations'!$EO182)</x:f>
      </x:c>
      <x:c r="BV182" s="4" t="str">
        <x:f>IF('Calculations'!BM182=0,"",IFERROR(IF(OR(INDEX(INDIRECT("'WCM Calibration Final'!$H$1:$H$2000"),'Calculations'!$EM182)="MANAGING DIRECTOR",INDEX(INDIRECT("'WCM Calibration Final'!$H$1:$H$2000"),'Calculations'!$EM182)="DIRECTOR",INDEX(INDIRECT("'WCM Calibration Final'!$H$1:$H$2000"),'Calculations'!$EM182)="SENIOR VICE PRESIDENT",INDEX(INDIRECT("'WCM Calibration Final'!$H$1:$H$2000"),'Calculations'!$EM182)="VICE PRESIDENT",INDEX(INDIRECT("'WCM Calibration Final'!$H$1:$H$2000"),'Calculations'!$EM182)="ASSISTANT VICE PRESIDENT",INDEX(INDIRECT("'WCM Calibration Final'!$H$1:$H$2000"),'Calculations'!$EM182)="OFFICER"),UPPER(INDEX(INDIRECT("'WCM Calibration Final'!$H$1:$H$2000"),'Calculations'!$EM182)),"Other"),"Other"))</x:f>
      </x:c>
      <x:c r="BW182" s="4"/>
      <x:c r="BX182" s="4"/>
      <x:c r="BY182" s="4" t="n">
        <x:f>IF(AND('Calculations'!BM182=1,'Calculations'!BU182&lt;&gt;"",COUNTIF('Calculations'!$BU$12:BU182,'Calculations'!BU182)=1),MAX('Calculations'!$BY$11:BY181)+1,0)</x:f>
        <x:v>0</x:v>
      </x:c>
      <x:c r="BZ182" s="4" t="str">
        <x:f>IF('Dashboard'!$E$67="What",'Calculations'!BO182,'Calculations'!BP182)</x:f>
      </x:c>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t="str">
        <x:f>IF(171&gt;MAX('Calculations'!$HI$13:$HI$512),"",INDEX('Calculations'!$HN$13:$HN$512,MATCH(171,'Calculations'!$HI$13:$HI$512,0)))</x:f>
      </x:c>
      <x:c r="DB182" s="4" t="str">
        <x:f>IF(171&gt;MAX('Calculations'!$HH$13:$HH$512),"",INDEX('Calculations'!$HJ$13:$HJ$512,MATCH(171,'Calculations'!$HH$13:$HH$512,0)))</x:f>
      </x:c>
      <x:c r="DC182" s="4" t="str">
        <x:f>IF(ROW()-11&gt;MAX('Calculations'!$BY$13:$BY$512),"",INDEX('Calculations'!$BU$13:$BU$512,MATCH(ROW()-11,'Calculations'!$BY$13:$BY$512,0)))</x:f>
      </x:c>
      <x:c r="DD182" s="4" t="str">
        <x:f>IF(171&gt;MAX('Calculations'!$IK$13:$IK$512),"",INDEX('Calculations'!$HK$13:$HK$512,MATCH(171,'Calculations'!$IK$13:$IK$512,0)))</x:f>
      </x:c>
      <x:c r="DE182" s="4" t="str">
        <x:f>'Calculations'!DC182</x:f>
      </x:c>
      <x:c r="DF182" s="4" t="str">
        <x:f>IF('Calculations'!DE182="","",COUNTIFS('Calculations'!$BN$13:$BN$512,1,'Calculations'!$BU$13:$BU$512,'Calculations'!DE182))</x:f>
      </x:c>
      <x:c r="DG182" s="4" t="str">
        <x:f>IF('Calculations'!DE182="","",COUNTIFS('Calculations'!$BN$13:$BN$512,1,'Calculations'!$BU$13:$BU$512,'Calculations'!DE182,'Calculations'!$BT$13:$BT$512,1))</x:f>
      </x:c>
      <x:c r="DH182" s="4" t="str">
        <x:f>IF('Calculations'!DE182="","",'Calculations'!DF182-'Calculations'!DG182)</x:f>
      </x:c>
      <x:c r="DI182" s="4" t="str">
        <x:f>IF(OR('Calculations'!DE182="",'Calculations'!DF182=0),"",'Calculations'!DG182/'Calculations'!DF182)</x:f>
      </x:c>
      <x:c r="DJ182" s="4" t="str">
        <x:f>IF('Calculations'!DE182="","",COUNTIFS('Calculations'!$BN$13:$BN$512,1,'Calculations'!$BU$13:$BU$512,'Calculations'!DE182,'Calculations'!$BT$13:$BT$512,1,'Calculations'!$EE$13:$EE$512,"High"))</x:f>
      </x:c>
      <x:c r="DK182" s="4" t="str">
        <x:f>IF('Calculations'!DE182="","",COUNTIFS('Calculations'!$BN$13:$BN$512,1,'Calculations'!$BU$13:$BU$512,'Calculations'!DE182,'Calculations'!$BT$13:$BT$512,1,'Calculations'!$EE$13:$EE$512,"Strong"))</x:f>
      </x:c>
      <x:c r="DL182" s="4" t="str">
        <x:f>IF('Calculations'!DE182="","",COUNTIFS('Calculations'!$BN$13:$BN$512,1,'Calculations'!$BU$13:$BU$512,'Calculations'!DE182,'Calculations'!$BT$13:$BT$512,1,'Calculations'!$EE$13:$EE$512,"Solid"))</x:f>
      </x:c>
      <x:c r="DM182" s="4" t="str">
        <x:f>IF('Calculations'!DE182="","",COUNTIFS('Calculations'!$BN$13:$BN$512,1,'Calculations'!$BU$13:$BU$512,'Calculations'!DE182,'Calculations'!$BT$13:$BT$512,1,'Calculations'!$EE$13:$EE$512,"Low"))</x:f>
      </x:c>
      <x:c r="DN182" s="4" t="str">
        <x:f>IF('Calculations'!DE182="","",COUNTIFS('Calculations'!$BN$13:$BN$512,1,'Calculations'!$BU$13:$BU$512,'Calculations'!DE182,'Calculations'!$EP$13:$EP$512,1))</x:f>
      </x:c>
      <x:c r="DO182" s="4" t="str">
        <x:f>IF(OR('Calculations'!DE182="",'Calculations'!DG182=0),"",('Calculations'!DJ182+'Calculations'!DK182)/'Calculations'!DG182)</x:f>
      </x:c>
      <x:c r="DP182" s="4" t="n">
        <x:f>IF(AND('Calculations'!DE182&lt;&gt;"",'Calculations'!DF182&gt;0),COUNTIF('Calculations'!$DF$12:DF182,"&gt;0"),0)</x:f>
        <x:v>0</x:v>
      </x:c>
      <x:c r="DQ182" s="4" t="str">
        <x:f>IF(171&gt;MAX('Calculations'!$HH$13:$HH$512),"",INDEX('Calculations'!$HF$13:$HF$512,MATCH(171,'Calculations'!$HH$13:$HH$512,0)))</x:f>
      </x:c>
      <x:c r="DR182" s="4" t="str">
        <x:f>IF(171&gt;MAX('Calculations'!$IK$13:$IK$512),"",INDEX('Calculations'!$HE$13:$HE$512,MATCH(171,'Calculations'!$IK$13:$IK$512,0)))</x:f>
      </x:c>
      <x:c r="DS182" s="4"/>
      <x:c r="DT182" s="4"/>
      <x:c r="DU182" s="4"/>
      <x:c r="DV182" s="4"/>
      <x:c r="DW182" s="4"/>
      <x:c r="DX182" s="4"/>
      <x:c r="DY182" s="4"/>
      <x:c r="DZ182" s="4"/>
      <x:c r="EA182" s="4"/>
      <x:c r="EB182" s="4"/>
      <x:c r="EC182" s="4"/>
      <x:c r="ED182" s="4"/>
      <x:c r="EE182" s="4" t="str">
        <x:f>IF('Calculations'!BT182=0,"Not Rated",IF(OR('Calculations'!BO182&gt;=4,'Calculations'!BP182&gt;=4),"Low",IF('Calculations'!BO182+'Calculations'!BP182&lt;=3,"High",IF('Calculations'!BO182+'Calculations'!BP182&lt;=4,"Strong","Solid"))))</x:f>
        <x:v>Not Rated</x:v>
      </x:c>
      <x:c r="EF182" s="4"/>
      <x:c r="EG182" s="4"/>
      <x:c r="EH182" s="4"/>
      <x:c r="EI182" s="4"/>
      <x:c r="EJ182" s="4"/>
      <x:c r="EK182" s="4"/>
      <x:c r="EL182" s="4"/>
      <x:c r="EM182" s="4" t="str">
        <x:f>IF(170&gt;'Calculations'!$JB$2000,"",INDEX('Calculations'!$JA$12:$JA$2000,MATCH(170,'Calculations'!$JB$12:$JB$2000,0)))</x:f>
      </x:c>
      <x:c r="EN182" s="4" t="n">
        <x:f>IF(OR('Calculations'!EM182="",'Calculations'!$AG$8&gt;0,AND('Calculations'!$EF$2&lt;&gt;"All",'Calculations'!HE182='Calculations'!$EF$2),AND('Calculations'!$EF$3&lt;&gt;"All",'Calculations'!HE182='Calculations'!$EF$3)),0,IF(OR('Dashboard'!$B$7="All",'Calculations'!HN182='Dashboard'!$B$7),IF('Calculations'!$EF$2="All",1,IF('Calculations'!HL182&gt;0,0,IF(COUNTIF('Calculations'!HO182:II182,"="&amp;SUBSTITUTE(SUBSTITUTE(SUBSTITUTE('Calculations'!$EF$2,"~","~~"),"*","~*"),"?","~?"))=0,0,IF('Calculations'!$EF$3="All",1,IF(COUNTIF('Calculations'!HO182:II182,"="&amp;SUBSTITUTE(SUBSTITUTE(SUBSTITUTE('Calculations'!$EF$3,"~","~~"),"*","~*"),"?","~?"))&gt;0,1,0))))),0))</x:f>
        <x:v>0</x:v>
      </x:c>
      <x:c r="EO182" s="4" t="str">
        <x:f>IF('Calculations'!IJ182="","",IF('Calculations'!IJ182="!UNRESOLVED","Unresolved hierarchy",IFERROR(INDEX('Calculations'!$HK$13:$HK$512,MATCH('Calculations'!IJ182,'Calculations'!$HE$13:$HE$512,0)),IFERROR(INDEX('Calculations'!$HJ$13:$HJ$512,MATCH('Calculations'!IJ182,'Calculations'!$HF$13:$HF$512,0)),'Calculations'!IJ182))))</x:f>
      </x:c>
      <x:c r="EP182" s="4" t="n">
        <x:f>IF(AND('Calculations'!EM182&lt;&gt;"",'Calculations'!HF182='Calculations'!IJ182),1,0)</x:f>
        <x:v>0</x:v>
      </x:c>
      <x:c r="EQ182" s="4"/>
      <x:c r="ER182" s="4"/>
      <x:c r="ES182" s="4"/>
      <x:c r="ET182" s="4"/>
      <x:c r="EU182" s="4"/>
      <x:c r="EV182" s="4"/>
      <x:c r="EW182" s="4"/>
      <x:c r="EX182" s="4"/>
      <x:c r="EY182" s="4"/>
      <x:c r="EZ182" s="4"/>
      <x:c r="FA182" s="4"/>
      <x:c r="FB182" s="4"/>
      <x:c r="FC182" s="4"/>
      <x:c r="FD182" s="4"/>
      <x:c r="FE182" s="4"/>
      <x:c r="FF182" s="4"/>
      <x:c r="FG182" s="4"/>
      <x:c r="FH182" s="4"/>
      <x:c r="FI182" s="4"/>
      <x:c r="FJ182" s="4"/>
      <x:c r="FK182" s="4"/>
      <x:c r="FL182" s="4"/>
      <x:c r="FM182" s="4"/>
      <x:c r="FN182" s="4"/>
      <x:c r="FO182" s="4"/>
      <x:c r="GA182" s="71"/>
      <x:c r="GB182" s="71"/>
      <x:c r="GC182" s="71"/>
      <x:c r="GD182" s="71"/>
      <x:c r="GE182" s="71"/>
      <x:c r="GF182" s="71"/>
      <x:c r="GG182" s="71"/>
      <x:c r="GH182" s="71"/>
      <x:c r="GI182" s="71"/>
      <x:c r="GJ182" s="71"/>
      <x:c r="GK182" s="71"/>
      <x:c r="GL182" s="71"/>
      <x:c r="GM182" s="71"/>
      <x:c r="GN182" s="71"/>
      <x:c r="GO182" s="71"/>
      <x:c r="GP182" s="71"/>
      <x:c r="GQ182" s="71"/>
      <x:c r="GR182" s="71"/>
      <x:c r="GS182" s="71"/>
      <x:c r="GT182" s="71"/>
      <x:c r="GU182" s="71"/>
      <x:c r="GV182" s="71"/>
      <x:c r="GW182" s="71"/>
      <x:c r="GX182" s="71"/>
      <x:c r="GY182" s="71"/>
      <x:c r="GZ182" s="71"/>
      <x:c r="HA182" s="71"/>
      <x:c r="HB182" s="71"/>
      <x:c r="HC182" s="71"/>
      <x:c r="HD182" s="71"/>
      <x:c r="HE182" t="str">
        <x:f>IF('Calculations'!EM182="","",IF(IFERROR(IF(INDEX(INDIRECT("'WCM Calibration Final'!$A$1:$A$2000"),'Calculations'!$EM182)="","",TRIM(INDEX(INDIRECT("'WCM Calibration Final'!$A$1:$A$2000"),'Calculations'!$EM182)&amp;"")),"")&lt;&gt;"","G:"&amp;IFERROR(TEXT(1*INDEX(INDIRECT("'WCM Calibration Final'!$A$1:$A$2000"),'Calculations'!$EM182),"0"),UPPER(IFERROR(IF(INDEX(INDIRECT("'WCM Calibration Final'!$A$1:$A$2000"),'Calculations'!$EM182)="","",TRIM(INDEX(INDIRECT("'WCM Calibration Final'!$A$1:$A$2000"),'Calculations'!$EM182)&amp;"")),""))),IF(IFERROR(IF(INDEX(INDIRECT("'WCM Calibration Final'!$C$1:$C$2000"),'Calculations'!$EM182)="","",TRIM(INDEX(INDIRECT("'WCM Calibration Final'!$C$1:$C$2000"),'Calculations'!$EM182)&amp;"")),"")&lt;&gt;"","S:"&amp;UPPER(IFERROR(IF(INDEX(INDIRECT("'WCM Calibration Final'!$C$1:$C$2000"),'Calculations'!$EM182)="","",TRIM(INDEX(INDIRECT("'WCM Calibration Final'!$C$1:$C$2000"),'Calculations'!$EM182)&amp;"")),"")),"R:"&amp;'Calculations'!EM182)))</x:f>
      </x:c>
      <x:c r="HF182" t="str">
        <x:f>IF('Calculations'!EM182="","",IF(IFERROR(IF(INDEX(INDIRECT("'WCM Calibration Final'!$D$1:$D$2000"),'Calculations'!$EM182)="","",TRIM(INDEX(INDIRECT("'WCM Calibration Final'!$D$1:$D$2000"),'Calculations'!$EM182)&amp;"")),"")&lt;&gt;"","G:"&amp;IFERROR(TEXT(1*INDEX(INDIRECT("'WCM Calibration Final'!$D$1:$D$2000"),'Calculations'!$EM182),"0"),UPPER(IFERROR(IF(INDEX(INDIRECT("'WCM Calibration Final'!$D$1:$D$2000"),'Calculations'!$EM182)="","",TRIM(INDEX(INDIRECT("'WCM Calibration Final'!$D$1:$D$2000"),'Calculations'!$EM182)&amp;"")),""))),IF(IFERROR(IF(INDEX(INDIRECT("'WCM Calibration Final'!$E$1:$E$2000"),'Calculations'!$EM182)="","",TRIM(INDEX(INDIRECT("'WCM Calibration Final'!$E$1:$E$2000"),'Calculations'!$EM182)&amp;"")),"")="","",IF(COUNTIF('Calculations'!$HG$13:$HG$512,"="&amp;SUBSTITUTE(SUBSTITUTE(SUBSTITUTE(IFERROR(IF(INDEX(INDIRECT("'WCM Calibration Final'!$E$1:$E$2000"),'Calculations'!$EM182)="","",TRIM(INDEX(INDIRECT("'WCM Calibration Final'!$E$1:$E$2000"),'Calculations'!$EM182)&amp;"")),""),"~","~~"),"*","~*"),"?","~?"))=1,INDEX('Calculations'!$HE$13:$HE$512,MATCH(IFERROR(IF(INDEX(INDIRECT("'WCM Calibration Final'!$E$1:$E$2000"),'Calculations'!$EM182)="","",TRIM(INDEX(INDIRECT("'WCM Calibration Final'!$E$1:$E$2000"),'Calculations'!$EM182)&amp;"")),""),'Calculations'!$HG$13:$HG$512,0)),IF(COUNTIF('Calculations'!$HG$13:$HG$512,"="&amp;SUBSTITUTE(SUBSTITUTE(SUBSTITUTE(IFERROR(IF(INDEX(INDIRECT("'WCM Calibration Final'!$E$1:$E$2000"),'Calculations'!$EM182)="","",TRIM(INDEX(INDIRECT("'WCM Calibration Final'!$E$1:$E$2000"),'Calculations'!$EM182)&amp;"")),""),"~","~~"),"*","~*"),"?","~?"))&gt;1,"!AMBIG","X:"&amp;IFERROR(IF(INDEX(INDIRECT("'WCM Calibration Final'!$E$1:$E$2000"),'Calculations'!$EM182)="","",TRIM(INDEX(INDIRECT("'WCM Calibration Final'!$E$1:$E$2000"),'Calculations'!$EM182)&amp;"")),""))))))</x:f>
      </x:c>
      <x:c r="HG182" t="str">
        <x:f>IF('Calculations'!EM182="","",IFERROR(IF(INDEX(INDIRECT("'WCM Calibration Final'!$B$1:$B$2000"),'Calculations'!$EM182)="","",TRIM(INDEX(INDIRECT("'WCM Calibration Final'!$B$1:$B$2000"),'Calculations'!$EM182)&amp;"")),""))</x:f>
      </x:c>
      <x:c r="HH182" t="n">
        <x:f>IF(AND('Calculations'!JC182&gt;0,COUNTIF('Calculations'!$HF$12:HF182,"="&amp;SUBSTITUTE(SUBSTITUTE(SUBSTITUTE('Calculations'!HF182,"~","~~"),"*","~*"),"?","~?"))=1),MAX('Calculations'!$HH$12:HH181)+1,0)</x:f>
        <x:v>0</x:v>
      </x:c>
      <x:c r="HI182" t="n">
        <x:f>IF(AND('Calculations'!HN182&lt;&gt;"",COUNTIF('Calculations'!$HN$12:HN182,"="&amp;SUBSTITUTE(SUBSTITUTE(SUBSTITUTE('Calculations'!HN182,"~","~~"),"*","~*"),"?","~?"))=1),MAX('Calculations'!$HI$12:HI181)+1,0)</x:f>
        <x:v>0</x:v>
      </x:c>
      <x:c r="HJ182" t="str">
        <x:f>IF('Calculations'!HF182="","",IF(COUNTIF('Calculations'!$HE$13:$HE$512,"="&amp;SUBSTITUTE(SUBSTITUTE(SUBSTITUTE('Calculations'!HF182,"~","~~"),"*","~*"),"?","~?"))=1,INDEX('Calculations'!$HK$13:$HK$512,MATCH('Calculations'!HF182,'Calculations'!$HE$13:$HE$512,0)),IFERROR(IF(INDEX(INDIRECT("'WCM Calibration Final'!$E$1:$E$2000"),'Calculations'!$EM182)="","",TRIM(INDEX(INDIRECT("'WCM Calibration Final'!$E$1:$E$2000"),'Calculations'!$EM182)&amp;"")),"")&amp;" ["&amp;'Calculations'!HF182&amp;"]"))</x:f>
      </x:c>
      <x:c r="HK182" t="str">
        <x:f>IF('Calculations'!EM182="","",'Calculations'!HG182&amp;" ["&amp;'Calculations'!HE182&amp;"]")</x:f>
      </x:c>
      <x:c r="HL182" t="n">
        <x:f>IF('Calculations'!EM182="",0,IF(OR('Calculations'!II182&lt;&gt;"",COUNTIF('Calculations'!$HE$13:$HE$512,"="&amp;SUBSTITUTE(SUBSTITUTE(SUBSTITUTE('Calculations'!HE182,"~","~~"),"*","~*"),"?","~?"))&gt;1),1,0))</x:f>
        <x:v>0</x:v>
      </x:c>
      <x:c r="HM182" t="str">
        <x:f>IF('Calculations'!EM182="","",IF('Calculations'!HL182=1,"!UNRESOLVED",IF('Calculations'!IH182&lt;&gt;"",'Calculations'!IH182,IF('Calculations'!IG182&lt;&gt;"",'Calculations'!IG182,IF('Calculations'!IF182&lt;&gt;"",'Calculations'!IF182,IF('Calculations'!IE182&lt;&gt;"",'Calculations'!IE182,IF('Calculations'!ID182&lt;&gt;"",'Calculations'!ID182,IF('Calculations'!IC182&lt;&gt;"",'Calculations'!IC182,IF('Calculations'!IB182&lt;&gt;"",'Calculations'!IB182,IF('Calculations'!IA182&lt;&gt;"",'Calculations'!IA182,IF('Calculations'!HZ182&lt;&gt;"",'Calculations'!HZ182,IF('Calculations'!HY182&lt;&gt;"",'Calculations'!HY182,IF('Calculations'!HX182&lt;&gt;"",'Calculations'!HX182,IF('Calculations'!HW182&lt;&gt;"",'Calculations'!HW182,IF('Calculations'!HV182&lt;&gt;"",'Calculations'!HV182,IF('Calculations'!HU182&lt;&gt;"",'Calculations'!HU182,IF('Calculations'!HT182&lt;&gt;"",'Calculations'!HT182,IF('Calculations'!HS182&lt;&gt;"",'Calculations'!HS182,IF('Calculations'!HR182&lt;&gt;"",'Calculations'!HR182,IF('Calculations'!HQ182&lt;&gt;"",'Calculations'!HQ182,IF('Calculations'!HP182&lt;&gt;"",'Calculations'!HP182,IF('Calculations'!HO182&lt;&gt;"",'Calculations'!HO182,'Calculations'!HE182))))))))))))))))))))))</x:f>
      </x:c>
      <x:c r="HN182" t="str">
        <x:f>IF('Calculations'!EM182="","",IF(IFERROR(IF(INDEX(INDIRECT("'WCM Calibration Final'!$F$1:$F$2000"),'Calculations'!$EM182)="","",TRIM(INDEX(INDIRECT("'WCM Calibration Final'!$F$1:$F$2000"),'Calculations'!$EM182)&amp;"")),"")="","(Blank)",IFERROR(IF(INDEX(INDIRECT("'WCM Calibration Final'!$F$1:$F$2000"),'Calculations'!$EM182)="","",TRIM(INDEX(INDIRECT("'WCM Calibration Final'!$F$1:$F$2000"),'Calculations'!$EM182)&amp;"")),"")))</x:f>
      </x:c>
      <x:c r="HO182" t="str">
        <x:f>'Calculations'!HF182</x:f>
      </x:c>
      <x:c r="HP182" t="str">
        <x:f>IF('Calculations'!HO182="","",IF('Calculations'!HO182="!AMBIG","!AMBIG",IF(COUNTIF('Calculations'!$HE$13:$HE$512,"="&amp;SUBSTITUTE(SUBSTITUTE(SUBSTITUTE('Calculations'!HO182,"~","~~"),"*","~*"),"?","~?"))&gt;1,"!AMBIG",IFERROR(INDEX('Calculations'!$HF$13:$HF$512,MATCH('Calculations'!HO182,'Calculations'!$HE$13:$HE$512,0)),""))))</x:f>
      </x:c>
      <x:c r="HQ182" t="str">
        <x:f>IF('Calculations'!HP182="","",IF('Calculations'!HP182="!AMBIG","!AMBIG",IF(COUNTIF('Calculations'!$HE$13:$HE$512,"="&amp;SUBSTITUTE(SUBSTITUTE(SUBSTITUTE('Calculations'!HP182,"~","~~"),"*","~*"),"?","~?"))&gt;1,"!AMBIG",IFERROR(INDEX('Calculations'!$HF$13:$HF$512,MATCH('Calculations'!HP182,'Calculations'!$HE$13:$HE$512,0)),""))))</x:f>
      </x:c>
      <x:c r="HR182" t="str">
        <x:f>IF('Calculations'!HQ182="","",IF('Calculations'!HQ182="!AMBIG","!AMBIG",IF(COUNTIF('Calculations'!$HE$13:$HE$512,"="&amp;SUBSTITUTE(SUBSTITUTE(SUBSTITUTE('Calculations'!HQ182,"~","~~"),"*","~*"),"?","~?"))&gt;1,"!AMBIG",IFERROR(INDEX('Calculations'!$HF$13:$HF$512,MATCH('Calculations'!HQ182,'Calculations'!$HE$13:$HE$512,0)),""))))</x:f>
      </x:c>
      <x:c r="HS182" t="str">
        <x:f>IF('Calculations'!HR182="","",IF('Calculations'!HR182="!AMBIG","!AMBIG",IF(COUNTIF('Calculations'!$HE$13:$HE$512,"="&amp;SUBSTITUTE(SUBSTITUTE(SUBSTITUTE('Calculations'!HR182,"~","~~"),"*","~*"),"?","~?"))&gt;1,"!AMBIG",IFERROR(INDEX('Calculations'!$HF$13:$HF$512,MATCH('Calculations'!HR182,'Calculations'!$HE$13:$HE$512,0)),""))))</x:f>
      </x:c>
      <x:c r="HT182" t="str">
        <x:f>IF('Calculations'!HS182="","",IF('Calculations'!HS182="!AMBIG","!AMBIG",IF(COUNTIF('Calculations'!$HE$13:$HE$512,"="&amp;SUBSTITUTE(SUBSTITUTE(SUBSTITUTE('Calculations'!HS182,"~","~~"),"*","~*"),"?","~?"))&gt;1,"!AMBIG",IFERROR(INDEX('Calculations'!$HF$13:$HF$512,MATCH('Calculations'!HS182,'Calculations'!$HE$13:$HE$512,0)),""))))</x:f>
      </x:c>
      <x:c r="HU182" t="str">
        <x:f>IF('Calculations'!HT182="","",IF('Calculations'!HT182="!AMBIG","!AMBIG",IF(COUNTIF('Calculations'!$HE$13:$HE$512,"="&amp;SUBSTITUTE(SUBSTITUTE(SUBSTITUTE('Calculations'!HT182,"~","~~"),"*","~*"),"?","~?"))&gt;1,"!AMBIG",IFERROR(INDEX('Calculations'!$HF$13:$HF$512,MATCH('Calculations'!HT182,'Calculations'!$HE$13:$HE$512,0)),""))))</x:f>
      </x:c>
      <x:c r="HV182" t="str">
        <x:f>IF('Calculations'!HU182="","",IF('Calculations'!HU182="!AMBIG","!AMBIG",IF(COUNTIF('Calculations'!$HE$13:$HE$512,"="&amp;SUBSTITUTE(SUBSTITUTE(SUBSTITUTE('Calculations'!HU182,"~","~~"),"*","~*"),"?","~?"))&gt;1,"!AMBIG",IFERROR(INDEX('Calculations'!$HF$13:$HF$512,MATCH('Calculations'!HU182,'Calculations'!$HE$13:$HE$512,0)),""))))</x:f>
      </x:c>
      <x:c r="HW182" t="str">
        <x:f>IF('Calculations'!HV182="","",IF('Calculations'!HV182="!AMBIG","!AMBIG",IF(COUNTIF('Calculations'!$HE$13:$HE$512,"="&amp;SUBSTITUTE(SUBSTITUTE(SUBSTITUTE('Calculations'!HV182,"~","~~"),"*","~*"),"?","~?"))&gt;1,"!AMBIG",IFERROR(INDEX('Calculations'!$HF$13:$HF$512,MATCH('Calculations'!HV182,'Calculations'!$HE$13:$HE$512,0)),""))))</x:f>
      </x:c>
      <x:c r="HX182" t="str">
        <x:f>IF('Calculations'!HW182="","",IF('Calculations'!HW182="!AMBIG","!AMBIG",IF(COUNTIF('Calculations'!$HE$13:$HE$512,"="&amp;SUBSTITUTE(SUBSTITUTE(SUBSTITUTE('Calculations'!HW182,"~","~~"),"*","~*"),"?","~?"))&gt;1,"!AMBIG",IFERROR(INDEX('Calculations'!$HF$13:$HF$512,MATCH('Calculations'!HW182,'Calculations'!$HE$13:$HE$512,0)),""))))</x:f>
      </x:c>
      <x:c r="HY182" t="str">
        <x:f>IF('Calculations'!HX182="","",IF('Calculations'!HX182="!AMBIG","!AMBIG",IF(COUNTIF('Calculations'!$HE$13:$HE$512,"="&amp;SUBSTITUTE(SUBSTITUTE(SUBSTITUTE('Calculations'!HX182,"~","~~"),"*","~*"),"?","~?"))&gt;1,"!AMBIG",IFERROR(INDEX('Calculations'!$HF$13:$HF$512,MATCH('Calculations'!HX182,'Calculations'!$HE$13:$HE$512,0)),""))))</x:f>
      </x:c>
      <x:c r="HZ182" t="str">
        <x:f>IF('Calculations'!HY182="","",IF('Calculations'!HY182="!AMBIG","!AMBIG",IF(COUNTIF('Calculations'!$HE$13:$HE$512,"="&amp;SUBSTITUTE(SUBSTITUTE(SUBSTITUTE('Calculations'!HY182,"~","~~"),"*","~*"),"?","~?"))&gt;1,"!AMBIG",IFERROR(INDEX('Calculations'!$HF$13:$HF$512,MATCH('Calculations'!HY182,'Calculations'!$HE$13:$HE$512,0)),""))))</x:f>
      </x:c>
      <x:c r="IA182" t="str">
        <x:f>IF('Calculations'!HZ182="","",IF('Calculations'!HZ182="!AMBIG","!AMBIG",IF(COUNTIF('Calculations'!$HE$13:$HE$512,"="&amp;SUBSTITUTE(SUBSTITUTE(SUBSTITUTE('Calculations'!HZ182,"~","~~"),"*","~*"),"?","~?"))&gt;1,"!AMBIG",IFERROR(INDEX('Calculations'!$HF$13:$HF$512,MATCH('Calculations'!HZ182,'Calculations'!$HE$13:$HE$512,0)),""))))</x:f>
      </x:c>
      <x:c r="IB182" t="str">
        <x:f>IF('Calculations'!IA182="","",IF('Calculations'!IA182="!AMBIG","!AMBIG",IF(COUNTIF('Calculations'!$HE$13:$HE$512,"="&amp;SUBSTITUTE(SUBSTITUTE(SUBSTITUTE('Calculations'!IA182,"~","~~"),"*","~*"),"?","~?"))&gt;1,"!AMBIG",IFERROR(INDEX('Calculations'!$HF$13:$HF$512,MATCH('Calculations'!IA182,'Calculations'!$HE$13:$HE$512,0)),""))))</x:f>
      </x:c>
      <x:c r="IC182" t="str">
        <x:f>IF('Calculations'!IB182="","",IF('Calculations'!IB182="!AMBIG","!AMBIG",IF(COUNTIF('Calculations'!$HE$13:$HE$512,"="&amp;SUBSTITUTE(SUBSTITUTE(SUBSTITUTE('Calculations'!IB182,"~","~~"),"*","~*"),"?","~?"))&gt;1,"!AMBIG",IFERROR(INDEX('Calculations'!$HF$13:$HF$512,MATCH('Calculations'!IB182,'Calculations'!$HE$13:$HE$512,0)),""))))</x:f>
      </x:c>
      <x:c r="ID182" t="str">
        <x:f>IF('Calculations'!IC182="","",IF('Calculations'!IC182="!AMBIG","!AMBIG",IF(COUNTIF('Calculations'!$HE$13:$HE$512,"="&amp;SUBSTITUTE(SUBSTITUTE(SUBSTITUTE('Calculations'!IC182,"~","~~"),"*","~*"),"?","~?"))&gt;1,"!AMBIG",IFERROR(INDEX('Calculations'!$HF$13:$HF$512,MATCH('Calculations'!IC182,'Calculations'!$HE$13:$HE$512,0)),""))))</x:f>
      </x:c>
      <x:c r="IE182" t="str">
        <x:f>IF('Calculations'!ID182="","",IF('Calculations'!ID182="!AMBIG","!AMBIG",IF(COUNTIF('Calculations'!$HE$13:$HE$512,"="&amp;SUBSTITUTE(SUBSTITUTE(SUBSTITUTE('Calculations'!ID182,"~","~~"),"*","~*"),"?","~?"))&gt;1,"!AMBIG",IFERROR(INDEX('Calculations'!$HF$13:$HF$512,MATCH('Calculations'!ID182,'Calculations'!$HE$13:$HE$512,0)),""))))</x:f>
      </x:c>
      <x:c r="IF182" t="str">
        <x:f>IF('Calculations'!IE182="","",IF('Calculations'!IE182="!AMBIG","!AMBIG",IF(COUNTIF('Calculations'!$HE$13:$HE$512,"="&amp;SUBSTITUTE(SUBSTITUTE(SUBSTITUTE('Calculations'!IE182,"~","~~"),"*","~*"),"?","~?"))&gt;1,"!AMBIG",IFERROR(INDEX('Calculations'!$HF$13:$HF$512,MATCH('Calculations'!IE182,'Calculations'!$HE$13:$HE$512,0)),""))))</x:f>
      </x:c>
      <x:c r="IG182" t="str">
        <x:f>IF('Calculations'!IF182="","",IF('Calculations'!IF182="!AMBIG","!AMBIG",IF(COUNTIF('Calculations'!$HE$13:$HE$512,"="&amp;SUBSTITUTE(SUBSTITUTE(SUBSTITUTE('Calculations'!IF182,"~","~~"),"*","~*"),"?","~?"))&gt;1,"!AMBIG",IFERROR(INDEX('Calculations'!$HF$13:$HF$512,MATCH('Calculations'!IF182,'Calculations'!$HE$13:$HE$512,0)),""))))</x:f>
      </x:c>
      <x:c r="IH182" t="str">
        <x:f>IF('Calculations'!IG182="","",IF('Calculations'!IG182="!AMBIG","!AMBIG",IF(COUNTIF('Calculations'!$HE$13:$HE$512,"="&amp;SUBSTITUTE(SUBSTITUTE(SUBSTITUTE('Calculations'!IG182,"~","~~"),"*","~*"),"?","~?"))&gt;1,"!AMBIG",IFERROR(INDEX('Calculations'!$HF$13:$HF$512,MATCH('Calculations'!IG182,'Calculations'!$HE$13:$HE$512,0)),""))))</x:f>
      </x:c>
      <x:c r="II182" t="str">
        <x:f>IF('Calculations'!IH182="","",IF('Calculations'!IH182="!AMBIG","!AMBIG",IF(COUNTIF('Calculations'!$HE$13:$HE$512,"="&amp;SUBSTITUTE(SUBSTITUTE(SUBSTITUTE('Calculations'!IH182,"~","~~"),"*","~*"),"?","~?"))&gt;1,"!AMBIG",IFERROR(INDEX('Calculations'!$HF$13:$HF$512,MATCH('Calculations'!IH182,'Calculations'!$HE$13:$HE$512,0)),""))))</x:f>
      </x:c>
      <x:c r="IJ182" t="str">
        <x:f>IF('Calculations'!EM182="","",IF('Calculations'!$EF$2="All",'Calculations'!HM182,IF('Calculations'!HL182=1,"",IFERROR(IF(MATCH('Calculations'!$EF$2,'Calculations'!HO182:II182,0)=1,'Calculations'!HE182,INDEX('Calculations'!HO182:II182,1,MATCH('Calculations'!$EF$2,'Calculations'!HO182:II182,0)-1)),""))))</x:f>
      </x:c>
      <x:c r="IK182" t="n">
        <x:f>IF(AND('Calculations'!EM182&lt;&gt;"",'Calculations'!$EF$2&lt;&gt;"All",'Calculations'!HF182='Calculations'!$EF$2,'Calculations'!HL182=0,'Calculations'!JD182&gt;0),MAX('Calculations'!$IK$12:IK181)+1,0)</x:f>
        <x:v>0</x:v>
      </x:c>
      <x:c r="JA182" t="n">
        <x:f>IF(OR(IFERROR(INDIRECT("'WCM Calibration Final'!$A$182")&lt;&gt;"",FALSE),IFERROR(INDIRECT("'WCM Calibration Final'!$B$182")&lt;&gt;"",FALSE),IFERROR(INDIRECT("'WCM Calibration Final'!$C$182")&lt;&gt;"",FALSE)),182,0)</x:f>
        <x:v>0</x:v>
      </x:c>
      <x:c r="JB182" t="n">
        <x:f>'Calculations'!JB181+IF('Calculations'!JA182&gt;0,1,0)</x:f>
        <x:v>0</x:v>
      </x:c>
      <x:c r="JC182" t="n">
        <x:f>IF(OR('Calculations'!HF182="",'Calculations'!HF182="!AMBIG"),0,IF('Dashboard'!$B$7="All",1,COUNTIFS('Calculations'!$HO$13:$HO$512,"="&amp;SUBSTITUTE(SUBSTITUTE(SUBSTITUTE('Calculations'!HF182,"~","~~"),"*","~*"),"?","~?"),'Calculations'!$HN$13:$HN$512,"="&amp;SUBSTITUTE(SUBSTITUTE(SUBSTITUTE('Dashboard'!$B$7,"~","~~"),"*","~*"),"?","~?"))+COUNTIFS('Calculations'!$HP$13:$HP$512,"="&amp;SUBSTITUTE(SUBSTITUTE(SUBSTITUTE('Calculations'!HF182,"~","~~"),"*","~*"),"?","~?"),'Calculations'!$HN$13:$HN$512,"="&amp;SUBSTITUTE(SUBSTITUTE(SUBSTITUTE('Dashboard'!$B$7,"~","~~"),"*","~*"),"?","~?"))+COUNTIFS('Calculations'!$HQ$13:$HQ$512,"="&amp;SUBSTITUTE(SUBSTITUTE(SUBSTITUTE('Calculations'!HF182,"~","~~"),"*","~*"),"?","~?"),'Calculations'!$HN$13:$HN$512,"="&amp;SUBSTITUTE(SUBSTITUTE(SUBSTITUTE('Dashboard'!$B$7,"~","~~"),"*","~*"),"?","~?"))+COUNTIFS('Calculations'!$HR$13:$HR$512,"="&amp;SUBSTITUTE(SUBSTITUTE(SUBSTITUTE('Calculations'!HF182,"~","~~"),"*","~*"),"?","~?"),'Calculations'!$HN$13:$HN$512,"="&amp;SUBSTITUTE(SUBSTITUTE(SUBSTITUTE('Dashboard'!$B$7,"~","~~"),"*","~*"),"?","~?"))+COUNTIFS('Calculations'!$HS$13:$HS$512,"="&amp;SUBSTITUTE(SUBSTITUTE(SUBSTITUTE('Calculations'!HF182,"~","~~"),"*","~*"),"?","~?"),'Calculations'!$HN$13:$HN$512,"="&amp;SUBSTITUTE(SUBSTITUTE(SUBSTITUTE('Dashboard'!$B$7,"~","~~"),"*","~*"),"?","~?"))+COUNTIFS('Calculations'!$HT$13:$HT$512,"="&amp;SUBSTITUTE(SUBSTITUTE(SUBSTITUTE('Calculations'!HF182,"~","~~"),"*","~*"),"?","~?"),'Calculations'!$HN$13:$HN$512,"="&amp;SUBSTITUTE(SUBSTITUTE(SUBSTITUTE('Dashboard'!$B$7,"~","~~"),"*","~*"),"?","~?"))+COUNTIFS('Calculations'!$HU$13:$HU$512,"="&amp;SUBSTITUTE(SUBSTITUTE(SUBSTITUTE('Calculations'!HF182,"~","~~"),"*","~*"),"?","~?"),'Calculations'!$HN$13:$HN$512,"="&amp;SUBSTITUTE(SUBSTITUTE(SUBSTITUTE('Dashboard'!$B$7,"~","~~"),"*","~*"),"?","~?"))+COUNTIFS('Calculations'!$HV$13:$HV$512,"="&amp;SUBSTITUTE(SUBSTITUTE(SUBSTITUTE('Calculations'!HF182,"~","~~"),"*","~*"),"?","~?"),'Calculations'!$HN$13:$HN$512,"="&amp;SUBSTITUTE(SUBSTITUTE(SUBSTITUTE('Dashboard'!$B$7,"~","~~"),"*","~*"),"?","~?"))+COUNTIFS('Calculations'!$HW$13:$HW$512,"="&amp;SUBSTITUTE(SUBSTITUTE(SUBSTITUTE('Calculations'!HF182,"~","~~"),"*","~*"),"?","~?"),'Calculations'!$HN$13:$HN$512,"="&amp;SUBSTITUTE(SUBSTITUTE(SUBSTITUTE('Dashboard'!$B$7,"~","~~"),"*","~*"),"?","~?"))+COUNTIFS('Calculations'!$HX$13:$HX$512,"="&amp;SUBSTITUTE(SUBSTITUTE(SUBSTITUTE('Calculations'!HF182,"~","~~"),"*","~*"),"?","~?"),'Calculations'!$HN$13:$HN$512,"="&amp;SUBSTITUTE(SUBSTITUTE(SUBSTITUTE('Dashboard'!$B$7,"~","~~"),"*","~*"),"?","~?"))+COUNTIFS('Calculations'!$HY$13:$HY$512,"="&amp;SUBSTITUTE(SUBSTITUTE(SUBSTITUTE('Calculations'!HF182,"~","~~"),"*","~*"),"?","~?"),'Calculations'!$HN$13:$HN$512,"="&amp;SUBSTITUTE(SUBSTITUTE(SUBSTITUTE('Dashboard'!$B$7,"~","~~"),"*","~*"),"?","~?"))+COUNTIFS('Calculations'!$HZ$13:$HZ$512,"="&amp;SUBSTITUTE(SUBSTITUTE(SUBSTITUTE('Calculations'!HF182,"~","~~"),"*","~*"),"?","~?"),'Calculations'!$HN$13:$HN$512,"="&amp;SUBSTITUTE(SUBSTITUTE(SUBSTITUTE('Dashboard'!$B$7,"~","~~"),"*","~*"),"?","~?"))+COUNTIFS('Calculations'!$IA$13:$IA$512,"="&amp;SUBSTITUTE(SUBSTITUTE(SUBSTITUTE('Calculations'!HF182,"~","~~"),"*","~*"),"?","~?"),'Calculations'!$HN$13:$HN$512,"="&amp;SUBSTITUTE(SUBSTITUTE(SUBSTITUTE('Dashboard'!$B$7,"~","~~"),"*","~*"),"?","~?"))+COUNTIFS('Calculations'!$IB$13:$IB$512,"="&amp;SUBSTITUTE(SUBSTITUTE(SUBSTITUTE('Calculations'!HF182,"~","~~"),"*","~*"),"?","~?"),'Calculations'!$HN$13:$HN$512,"="&amp;SUBSTITUTE(SUBSTITUTE(SUBSTITUTE('Dashboard'!$B$7,"~","~~"),"*","~*"),"?","~?"))+COUNTIFS('Calculations'!$IC$13:$IC$512,"="&amp;SUBSTITUTE(SUBSTITUTE(SUBSTITUTE('Calculations'!HF182,"~","~~"),"*","~*"),"?","~?"),'Calculations'!$HN$13:$HN$512,"="&amp;SUBSTITUTE(SUBSTITUTE(SUBSTITUTE('Dashboard'!$B$7,"~","~~"),"*","~*"),"?","~?"))+COUNTIFS('Calculations'!$ID$13:$ID$512,"="&amp;SUBSTITUTE(SUBSTITUTE(SUBSTITUTE('Calculations'!HF182,"~","~~"),"*","~*"),"?","~?"),'Calculations'!$HN$13:$HN$512,"="&amp;SUBSTITUTE(SUBSTITUTE(SUBSTITUTE('Dashboard'!$B$7,"~","~~"),"*","~*"),"?","~?"))+COUNTIFS('Calculations'!$IE$13:$IE$512,"="&amp;SUBSTITUTE(SUBSTITUTE(SUBSTITUTE('Calculations'!HF182,"~","~~"),"*","~*"),"?","~?"),'Calculations'!$HN$13:$HN$512,"="&amp;SUBSTITUTE(SUBSTITUTE(SUBSTITUTE('Dashboard'!$B$7,"~","~~"),"*","~*"),"?","~?"))+COUNTIFS('Calculations'!$IF$13:$IF$512,"="&amp;SUBSTITUTE(SUBSTITUTE(SUBSTITUTE('Calculations'!HF182,"~","~~"),"*","~*"),"?","~?"),'Calculations'!$HN$13:$HN$512,"="&amp;SUBSTITUTE(SUBSTITUTE(SUBSTITUTE('Dashboard'!$B$7,"~","~~"),"*","~*"),"?","~?"))+COUNTIFS('Calculations'!$IG$13:$IG$512,"="&amp;SUBSTITUTE(SUBSTITUTE(SUBSTITUTE('Calculations'!HF182,"~","~~"),"*","~*"),"?","~?"),'Calculations'!$HN$13:$HN$512,"="&amp;SUBSTITUTE(SUBSTITUTE(SUBSTITUTE('Dashboard'!$B$7,"~","~~"),"*","~*"),"?","~?"))+COUNTIFS('Calculations'!$IH$13:$IH$512,"="&amp;SUBSTITUTE(SUBSTITUTE(SUBSTITUTE('Calculations'!HF182,"~","~~"),"*","~*"),"?","~?"),'Calculations'!$HN$13:$HN$512,"="&amp;SUBSTITUTE(SUBSTITUTE(SUBSTITUTE('Dashboard'!$B$7,"~","~~"),"*","~*"),"?","~?"))))</x:f>
        <x:v>0</x:v>
      </x:c>
      <x:c r="JD182" t="n">
        <x:f>IF('Calculations'!EM182="",0,IF('Dashboard'!$B$7="All",1,IF('Calculations'!HN182='Dashboard'!$B$7,1,0)+IFERROR(INDEX('Calculations'!$JC$13:$JC$512,MATCH('Calculations'!HE182,'Calculations'!$HF$13:$HF$512,0)),0)))</x:f>
        <x:v>0</x:v>
      </x:c>
      <x:c r="JE182" t="n">
        <x:f>IF(AND('Calculations'!EM182&lt;&gt;"",'Calculations'!$JJ$2&lt;&gt;"All",'Calculations'!$JJ$2&lt;&gt;"",'Calculations'!HF182='Calculations'!$JJ$2,'Calculations'!HL182=0,'Calculations'!JD182&gt;0),MAX('Calculations'!$JE$12:JE181)+1,0)</x:f>
        <x:v>0</x:v>
      </x:c>
      <x:c r="JF182" t="str">
        <x:f>IF('Calculations'!EM182="","",IFERROR(IF(INDEX(INDIRECT("'WCM Calibration Final'!$G$1:$G$2000"),'Calculations'!$EM182)="","",TRIM(INDEX(INDIRECT("'WCM Calibration Final'!$G$1:$G$2000"),'Calculations'!$EM182)&amp;"")),""))</x:f>
      </x:c>
      <x:c r="JQ182" t="n">
        <x:f>IF(OR('Calculations'!BM182=0,NOT('Calculations'!$AG$2),'Calculations'!$AG$8&gt;0),0,IF(OR('Dashboard'!$B$7="All",'Calculations'!HN182='Dashboard'!$B$7),IF('Calculations'!$JJ$2="All",1,IF(AND('Calculations'!HF182='Calculations'!$JJ$2,'Calculations'!HL182=0),1,0)),0))</x:f>
        <x:v>0</x:v>
      </x:c>
    </x:row>
    <x:row r="183">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t="n">
        <x:f>IF('Calculations'!$EM183="",0,IF(OR(IFERROR(INDEX(INDIRECT("'WCM Calibration Final'!$A$1:$A$2000"),'Calculations'!$EM183)&lt;&gt;"",FALSE),IFERROR(INDEX(INDIRECT("'WCM Calibration Final'!$B$1:$B$2000"),'Calculations'!$EM183)&lt;&gt;"",FALSE),IFERROR(INDEX(INDIRECT("'WCM Calibration Final'!$C$1:$C$2000"),'Calculations'!$EM183)&lt;&gt;"",FALSE)),1,0))</x:f>
        <x:v>0</x:v>
      </x:c>
      <x:c r="BN183" s="4" t="n">
        <x:f>IF(AND('Calculations'!BM183=1,'Calculations'!$AG$2,'Calculations'!$EN183=1),1,0)</x:f>
        <x:v>0</x:v>
      </x:c>
      <x:c r="BO183" s="4" t="str">
        <x:f>IF('Calculations'!BM183=0,"",IFERROR(IF(AND(VALUE(INDEX(INDIRECT("'WCM Calibration Final'!$K$1:$K$2000"),'Calculations'!$EM183))&gt;=1,VALUE(INDEX(INDIRECT("'WCM Calibration Final'!$K$1:$K$2000"),'Calculations'!$EM183))&lt;=4,MOD(VALUE(INDEX(INDIRECT("'WCM Calibration Final'!$K$1:$K$2000"),'Calculations'!$EM183)),1)=0),VALUE(INDEX(INDIRECT("'WCM Calibration Final'!$K$1:$K$2000"),'Calculations'!$EM183)),""),""))</x:f>
      </x:c>
      <x:c r="BP183" s="4" t="str">
        <x:f>IF('Calculations'!BM183=0,"",IFERROR(IF(AND(VALUE(INDEX(INDIRECT("'WCM Calibration Final'!$L$1:$L$2000"),'Calculations'!$EM183))&gt;=1,VALUE(INDEX(INDIRECT("'WCM Calibration Final'!$L$1:$L$2000"),'Calculations'!$EM183))&lt;=4,MOD(VALUE(INDEX(INDIRECT("'WCM Calibration Final'!$L$1:$L$2000"),'Calculations'!$EM183)),1)=0),VALUE(INDEX(INDIRECT("'WCM Calibration Final'!$L$1:$L$2000"),'Calculations'!$EM183)),""),""))</x:f>
      </x:c>
      <x:c r="BQ183" s="4"/>
      <x:c r="BR183" s="4"/>
      <x:c r="BS183" s="4"/>
      <x:c r="BT183" s="4" t="n">
        <x:f>IF(AND('Calculations'!BM183=1,ISNUMBER('Calculations'!BO183),ISNUMBER('Calculations'!BP183)),1,0)</x:f>
        <x:v>0</x:v>
      </x:c>
      <x:c r="BU183" s="4" t="str">
        <x:f>IF('Calculations'!BM183=0,"",'Calculations'!$EO183)</x:f>
      </x:c>
      <x:c r="BV183" s="4" t="str">
        <x:f>IF('Calculations'!BM183=0,"",IFERROR(IF(OR(INDEX(INDIRECT("'WCM Calibration Final'!$H$1:$H$2000"),'Calculations'!$EM183)="MANAGING DIRECTOR",INDEX(INDIRECT("'WCM Calibration Final'!$H$1:$H$2000"),'Calculations'!$EM183)="DIRECTOR",INDEX(INDIRECT("'WCM Calibration Final'!$H$1:$H$2000"),'Calculations'!$EM183)="SENIOR VICE PRESIDENT",INDEX(INDIRECT("'WCM Calibration Final'!$H$1:$H$2000"),'Calculations'!$EM183)="VICE PRESIDENT",INDEX(INDIRECT("'WCM Calibration Final'!$H$1:$H$2000"),'Calculations'!$EM183)="ASSISTANT VICE PRESIDENT",INDEX(INDIRECT("'WCM Calibration Final'!$H$1:$H$2000"),'Calculations'!$EM183)="OFFICER"),UPPER(INDEX(INDIRECT("'WCM Calibration Final'!$H$1:$H$2000"),'Calculations'!$EM183)),"Other"),"Other"))</x:f>
      </x:c>
      <x:c r="BW183" s="4"/>
      <x:c r="BX183" s="4"/>
      <x:c r="BY183" s="4" t="n">
        <x:f>IF(AND('Calculations'!BM183=1,'Calculations'!BU183&lt;&gt;"",COUNTIF('Calculations'!$BU$12:BU183,'Calculations'!BU183)=1),MAX('Calculations'!$BY$11:BY182)+1,0)</x:f>
        <x:v>0</x:v>
      </x:c>
      <x:c r="BZ183" s="4" t="str">
        <x:f>IF('Dashboard'!$E$67="What",'Calculations'!BO183,'Calculations'!BP183)</x:f>
      </x:c>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t="str">
        <x:f>IF(172&gt;MAX('Calculations'!$HI$13:$HI$512),"",INDEX('Calculations'!$HN$13:$HN$512,MATCH(172,'Calculations'!$HI$13:$HI$512,0)))</x:f>
      </x:c>
      <x:c r="DB183" s="4" t="str">
        <x:f>IF(172&gt;MAX('Calculations'!$HH$13:$HH$512),"",INDEX('Calculations'!$HJ$13:$HJ$512,MATCH(172,'Calculations'!$HH$13:$HH$512,0)))</x:f>
      </x:c>
      <x:c r="DC183" s="4" t="str">
        <x:f>IF(ROW()-11&gt;MAX('Calculations'!$BY$13:$BY$512),"",INDEX('Calculations'!$BU$13:$BU$512,MATCH(ROW()-11,'Calculations'!$BY$13:$BY$512,0)))</x:f>
      </x:c>
      <x:c r="DD183" s="4" t="str">
        <x:f>IF(172&gt;MAX('Calculations'!$IK$13:$IK$512),"",INDEX('Calculations'!$HK$13:$HK$512,MATCH(172,'Calculations'!$IK$13:$IK$512,0)))</x:f>
      </x:c>
      <x:c r="DE183" s="4" t="str">
        <x:f>'Calculations'!DC183</x:f>
      </x:c>
      <x:c r="DF183" s="4" t="str">
        <x:f>IF('Calculations'!DE183="","",COUNTIFS('Calculations'!$BN$13:$BN$512,1,'Calculations'!$BU$13:$BU$512,'Calculations'!DE183))</x:f>
      </x:c>
      <x:c r="DG183" s="4" t="str">
        <x:f>IF('Calculations'!DE183="","",COUNTIFS('Calculations'!$BN$13:$BN$512,1,'Calculations'!$BU$13:$BU$512,'Calculations'!DE183,'Calculations'!$BT$13:$BT$512,1))</x:f>
      </x:c>
      <x:c r="DH183" s="4" t="str">
        <x:f>IF('Calculations'!DE183="","",'Calculations'!DF183-'Calculations'!DG183)</x:f>
      </x:c>
      <x:c r="DI183" s="4" t="str">
        <x:f>IF(OR('Calculations'!DE183="",'Calculations'!DF183=0),"",'Calculations'!DG183/'Calculations'!DF183)</x:f>
      </x:c>
      <x:c r="DJ183" s="4" t="str">
        <x:f>IF('Calculations'!DE183="","",COUNTIFS('Calculations'!$BN$13:$BN$512,1,'Calculations'!$BU$13:$BU$512,'Calculations'!DE183,'Calculations'!$BT$13:$BT$512,1,'Calculations'!$EE$13:$EE$512,"High"))</x:f>
      </x:c>
      <x:c r="DK183" s="4" t="str">
        <x:f>IF('Calculations'!DE183="","",COUNTIFS('Calculations'!$BN$13:$BN$512,1,'Calculations'!$BU$13:$BU$512,'Calculations'!DE183,'Calculations'!$BT$13:$BT$512,1,'Calculations'!$EE$13:$EE$512,"Strong"))</x:f>
      </x:c>
      <x:c r="DL183" s="4" t="str">
        <x:f>IF('Calculations'!DE183="","",COUNTIFS('Calculations'!$BN$13:$BN$512,1,'Calculations'!$BU$13:$BU$512,'Calculations'!DE183,'Calculations'!$BT$13:$BT$512,1,'Calculations'!$EE$13:$EE$512,"Solid"))</x:f>
      </x:c>
      <x:c r="DM183" s="4" t="str">
        <x:f>IF('Calculations'!DE183="","",COUNTIFS('Calculations'!$BN$13:$BN$512,1,'Calculations'!$BU$13:$BU$512,'Calculations'!DE183,'Calculations'!$BT$13:$BT$512,1,'Calculations'!$EE$13:$EE$512,"Low"))</x:f>
      </x:c>
      <x:c r="DN183" s="4" t="str">
        <x:f>IF('Calculations'!DE183="","",COUNTIFS('Calculations'!$BN$13:$BN$512,1,'Calculations'!$BU$13:$BU$512,'Calculations'!DE183,'Calculations'!$EP$13:$EP$512,1))</x:f>
      </x:c>
      <x:c r="DO183" s="4" t="str">
        <x:f>IF(OR('Calculations'!DE183="",'Calculations'!DG183=0),"",('Calculations'!DJ183+'Calculations'!DK183)/'Calculations'!DG183)</x:f>
      </x:c>
      <x:c r="DP183" s="4" t="n">
        <x:f>IF(AND('Calculations'!DE183&lt;&gt;"",'Calculations'!DF183&gt;0),COUNTIF('Calculations'!$DF$12:DF183,"&gt;0"),0)</x:f>
        <x:v>0</x:v>
      </x:c>
      <x:c r="DQ183" s="4" t="str">
        <x:f>IF(172&gt;MAX('Calculations'!$HH$13:$HH$512),"",INDEX('Calculations'!$HF$13:$HF$512,MATCH(172,'Calculations'!$HH$13:$HH$512,0)))</x:f>
      </x:c>
      <x:c r="DR183" s="4" t="str">
        <x:f>IF(172&gt;MAX('Calculations'!$IK$13:$IK$512),"",INDEX('Calculations'!$HE$13:$HE$512,MATCH(172,'Calculations'!$IK$13:$IK$512,0)))</x:f>
      </x:c>
      <x:c r="DS183" s="4"/>
      <x:c r="DT183" s="4"/>
      <x:c r="DU183" s="4"/>
      <x:c r="DV183" s="4"/>
      <x:c r="DW183" s="4"/>
      <x:c r="DX183" s="4"/>
      <x:c r="DY183" s="4"/>
      <x:c r="DZ183" s="4"/>
      <x:c r="EA183" s="4"/>
      <x:c r="EB183" s="4"/>
      <x:c r="EC183" s="4"/>
      <x:c r="ED183" s="4"/>
      <x:c r="EE183" s="4" t="str">
        <x:f>IF('Calculations'!BT183=0,"Not Rated",IF(OR('Calculations'!BO183&gt;=4,'Calculations'!BP183&gt;=4),"Low",IF('Calculations'!BO183+'Calculations'!BP183&lt;=3,"High",IF('Calculations'!BO183+'Calculations'!BP183&lt;=4,"Strong","Solid"))))</x:f>
        <x:v>Not Rated</x:v>
      </x:c>
      <x:c r="EF183" s="4"/>
      <x:c r="EG183" s="4"/>
      <x:c r="EH183" s="4"/>
      <x:c r="EI183" s="4"/>
      <x:c r="EJ183" s="4"/>
      <x:c r="EK183" s="4"/>
      <x:c r="EL183" s="4"/>
      <x:c r="EM183" s="4" t="str">
        <x:f>IF(171&gt;'Calculations'!$JB$2000,"",INDEX('Calculations'!$JA$12:$JA$2000,MATCH(171,'Calculations'!$JB$12:$JB$2000,0)))</x:f>
      </x:c>
      <x:c r="EN183" s="4" t="n">
        <x:f>IF(OR('Calculations'!EM183="",'Calculations'!$AG$8&gt;0,AND('Calculations'!$EF$2&lt;&gt;"All",'Calculations'!HE183='Calculations'!$EF$2),AND('Calculations'!$EF$3&lt;&gt;"All",'Calculations'!HE183='Calculations'!$EF$3)),0,IF(OR('Dashboard'!$B$7="All",'Calculations'!HN183='Dashboard'!$B$7),IF('Calculations'!$EF$2="All",1,IF('Calculations'!HL183&gt;0,0,IF(COUNTIF('Calculations'!HO183:II183,"="&amp;SUBSTITUTE(SUBSTITUTE(SUBSTITUTE('Calculations'!$EF$2,"~","~~"),"*","~*"),"?","~?"))=0,0,IF('Calculations'!$EF$3="All",1,IF(COUNTIF('Calculations'!HO183:II183,"="&amp;SUBSTITUTE(SUBSTITUTE(SUBSTITUTE('Calculations'!$EF$3,"~","~~"),"*","~*"),"?","~?"))&gt;0,1,0))))),0))</x:f>
        <x:v>0</x:v>
      </x:c>
      <x:c r="EO183" s="4" t="str">
        <x:f>IF('Calculations'!IJ183="","",IF('Calculations'!IJ183="!UNRESOLVED","Unresolved hierarchy",IFERROR(INDEX('Calculations'!$HK$13:$HK$512,MATCH('Calculations'!IJ183,'Calculations'!$HE$13:$HE$512,0)),IFERROR(INDEX('Calculations'!$HJ$13:$HJ$512,MATCH('Calculations'!IJ183,'Calculations'!$HF$13:$HF$512,0)),'Calculations'!IJ183))))</x:f>
      </x:c>
      <x:c r="EP183" s="4" t="n">
        <x:f>IF(AND('Calculations'!EM183&lt;&gt;"",'Calculations'!HF183='Calculations'!IJ183),1,0)</x:f>
        <x:v>0</x:v>
      </x:c>
      <x:c r="EQ183" s="4"/>
      <x:c r="ER183" s="4"/>
      <x:c r="ES183" s="4"/>
      <x:c r="ET183" s="4"/>
      <x:c r="EU183" s="4"/>
      <x:c r="EV183" s="4"/>
      <x:c r="EW183" s="4"/>
      <x:c r="EX183" s="4"/>
      <x:c r="EY183" s="4"/>
      <x:c r="EZ183" s="4"/>
      <x:c r="FA183" s="4"/>
      <x:c r="FB183" s="4"/>
      <x:c r="FC183" s="4"/>
      <x:c r="FD183" s="4"/>
      <x:c r="FE183" s="4"/>
      <x:c r="FF183" s="4"/>
      <x:c r="FG183" s="4"/>
      <x:c r="FH183" s="4"/>
      <x:c r="FI183" s="4"/>
      <x:c r="FJ183" s="4"/>
      <x:c r="FK183" s="4"/>
      <x:c r="FL183" s="4"/>
      <x:c r="FM183" s="4"/>
      <x:c r="FN183" s="4"/>
      <x:c r="FO183" s="4"/>
      <x:c r="GA183" s="71"/>
      <x:c r="GB183" s="71"/>
      <x:c r="GC183" s="71"/>
      <x:c r="GD183" s="71"/>
      <x:c r="GE183" s="71"/>
      <x:c r="GF183" s="71"/>
      <x:c r="GG183" s="71"/>
      <x:c r="GH183" s="71"/>
      <x:c r="GI183" s="71"/>
      <x:c r="GJ183" s="71"/>
      <x:c r="GK183" s="71"/>
      <x:c r="GL183" s="71"/>
      <x:c r="GM183" s="71"/>
      <x:c r="GN183" s="71"/>
      <x:c r="GO183" s="71"/>
      <x:c r="GP183" s="71"/>
      <x:c r="GQ183" s="71"/>
      <x:c r="GR183" s="71"/>
      <x:c r="GS183" s="71"/>
      <x:c r="GT183" s="71"/>
      <x:c r="GU183" s="71"/>
      <x:c r="GV183" s="71"/>
      <x:c r="GW183" s="71"/>
      <x:c r="GX183" s="71"/>
      <x:c r="GY183" s="71"/>
      <x:c r="GZ183" s="71"/>
      <x:c r="HA183" s="71"/>
      <x:c r="HB183" s="71"/>
      <x:c r="HC183" s="71"/>
      <x:c r="HD183" s="71"/>
      <x:c r="HE183" t="str">
        <x:f>IF('Calculations'!EM183="","",IF(IFERROR(IF(INDEX(INDIRECT("'WCM Calibration Final'!$A$1:$A$2000"),'Calculations'!$EM183)="","",TRIM(INDEX(INDIRECT("'WCM Calibration Final'!$A$1:$A$2000"),'Calculations'!$EM183)&amp;"")),"")&lt;&gt;"","G:"&amp;IFERROR(TEXT(1*INDEX(INDIRECT("'WCM Calibration Final'!$A$1:$A$2000"),'Calculations'!$EM183),"0"),UPPER(IFERROR(IF(INDEX(INDIRECT("'WCM Calibration Final'!$A$1:$A$2000"),'Calculations'!$EM183)="","",TRIM(INDEX(INDIRECT("'WCM Calibration Final'!$A$1:$A$2000"),'Calculations'!$EM183)&amp;"")),""))),IF(IFERROR(IF(INDEX(INDIRECT("'WCM Calibration Final'!$C$1:$C$2000"),'Calculations'!$EM183)="","",TRIM(INDEX(INDIRECT("'WCM Calibration Final'!$C$1:$C$2000"),'Calculations'!$EM183)&amp;"")),"")&lt;&gt;"","S:"&amp;UPPER(IFERROR(IF(INDEX(INDIRECT("'WCM Calibration Final'!$C$1:$C$2000"),'Calculations'!$EM183)="","",TRIM(INDEX(INDIRECT("'WCM Calibration Final'!$C$1:$C$2000"),'Calculations'!$EM183)&amp;"")),"")),"R:"&amp;'Calculations'!EM183)))</x:f>
      </x:c>
      <x:c r="HF183" t="str">
        <x:f>IF('Calculations'!EM183="","",IF(IFERROR(IF(INDEX(INDIRECT("'WCM Calibration Final'!$D$1:$D$2000"),'Calculations'!$EM183)="","",TRIM(INDEX(INDIRECT("'WCM Calibration Final'!$D$1:$D$2000"),'Calculations'!$EM183)&amp;"")),"")&lt;&gt;"","G:"&amp;IFERROR(TEXT(1*INDEX(INDIRECT("'WCM Calibration Final'!$D$1:$D$2000"),'Calculations'!$EM183),"0"),UPPER(IFERROR(IF(INDEX(INDIRECT("'WCM Calibration Final'!$D$1:$D$2000"),'Calculations'!$EM183)="","",TRIM(INDEX(INDIRECT("'WCM Calibration Final'!$D$1:$D$2000"),'Calculations'!$EM183)&amp;"")),""))),IF(IFERROR(IF(INDEX(INDIRECT("'WCM Calibration Final'!$E$1:$E$2000"),'Calculations'!$EM183)="","",TRIM(INDEX(INDIRECT("'WCM Calibration Final'!$E$1:$E$2000"),'Calculations'!$EM183)&amp;"")),"")="","",IF(COUNTIF('Calculations'!$HG$13:$HG$512,"="&amp;SUBSTITUTE(SUBSTITUTE(SUBSTITUTE(IFERROR(IF(INDEX(INDIRECT("'WCM Calibration Final'!$E$1:$E$2000"),'Calculations'!$EM183)="","",TRIM(INDEX(INDIRECT("'WCM Calibration Final'!$E$1:$E$2000"),'Calculations'!$EM183)&amp;"")),""),"~","~~"),"*","~*"),"?","~?"))=1,INDEX('Calculations'!$HE$13:$HE$512,MATCH(IFERROR(IF(INDEX(INDIRECT("'WCM Calibration Final'!$E$1:$E$2000"),'Calculations'!$EM183)="","",TRIM(INDEX(INDIRECT("'WCM Calibration Final'!$E$1:$E$2000"),'Calculations'!$EM183)&amp;"")),""),'Calculations'!$HG$13:$HG$512,0)),IF(COUNTIF('Calculations'!$HG$13:$HG$512,"="&amp;SUBSTITUTE(SUBSTITUTE(SUBSTITUTE(IFERROR(IF(INDEX(INDIRECT("'WCM Calibration Final'!$E$1:$E$2000"),'Calculations'!$EM183)="","",TRIM(INDEX(INDIRECT("'WCM Calibration Final'!$E$1:$E$2000"),'Calculations'!$EM183)&amp;"")),""),"~","~~"),"*","~*"),"?","~?"))&gt;1,"!AMBIG","X:"&amp;IFERROR(IF(INDEX(INDIRECT("'WCM Calibration Final'!$E$1:$E$2000"),'Calculations'!$EM183)="","",TRIM(INDEX(INDIRECT("'WCM Calibration Final'!$E$1:$E$2000"),'Calculations'!$EM183)&amp;"")),""))))))</x:f>
      </x:c>
      <x:c r="HG183" t="str">
        <x:f>IF('Calculations'!EM183="","",IFERROR(IF(INDEX(INDIRECT("'WCM Calibration Final'!$B$1:$B$2000"),'Calculations'!$EM183)="","",TRIM(INDEX(INDIRECT("'WCM Calibration Final'!$B$1:$B$2000"),'Calculations'!$EM183)&amp;"")),""))</x:f>
      </x:c>
      <x:c r="HH183" t="n">
        <x:f>IF(AND('Calculations'!JC183&gt;0,COUNTIF('Calculations'!$HF$12:HF183,"="&amp;SUBSTITUTE(SUBSTITUTE(SUBSTITUTE('Calculations'!HF183,"~","~~"),"*","~*"),"?","~?"))=1),MAX('Calculations'!$HH$12:HH182)+1,0)</x:f>
        <x:v>0</x:v>
      </x:c>
      <x:c r="HI183" t="n">
        <x:f>IF(AND('Calculations'!HN183&lt;&gt;"",COUNTIF('Calculations'!$HN$12:HN183,"="&amp;SUBSTITUTE(SUBSTITUTE(SUBSTITUTE('Calculations'!HN183,"~","~~"),"*","~*"),"?","~?"))=1),MAX('Calculations'!$HI$12:HI182)+1,0)</x:f>
        <x:v>0</x:v>
      </x:c>
      <x:c r="HJ183" t="str">
        <x:f>IF('Calculations'!HF183="","",IF(COUNTIF('Calculations'!$HE$13:$HE$512,"="&amp;SUBSTITUTE(SUBSTITUTE(SUBSTITUTE('Calculations'!HF183,"~","~~"),"*","~*"),"?","~?"))=1,INDEX('Calculations'!$HK$13:$HK$512,MATCH('Calculations'!HF183,'Calculations'!$HE$13:$HE$512,0)),IFERROR(IF(INDEX(INDIRECT("'WCM Calibration Final'!$E$1:$E$2000"),'Calculations'!$EM183)="","",TRIM(INDEX(INDIRECT("'WCM Calibration Final'!$E$1:$E$2000"),'Calculations'!$EM183)&amp;"")),"")&amp;" ["&amp;'Calculations'!HF183&amp;"]"))</x:f>
      </x:c>
      <x:c r="HK183" t="str">
        <x:f>IF('Calculations'!EM183="","",'Calculations'!HG183&amp;" ["&amp;'Calculations'!HE183&amp;"]")</x:f>
      </x:c>
      <x:c r="HL183" t="n">
        <x:f>IF('Calculations'!EM183="",0,IF(OR('Calculations'!II183&lt;&gt;"",COUNTIF('Calculations'!$HE$13:$HE$512,"="&amp;SUBSTITUTE(SUBSTITUTE(SUBSTITUTE('Calculations'!HE183,"~","~~"),"*","~*"),"?","~?"))&gt;1),1,0))</x:f>
        <x:v>0</x:v>
      </x:c>
      <x:c r="HM183" t="str">
        <x:f>IF('Calculations'!EM183="","",IF('Calculations'!HL183=1,"!UNRESOLVED",IF('Calculations'!IH183&lt;&gt;"",'Calculations'!IH183,IF('Calculations'!IG183&lt;&gt;"",'Calculations'!IG183,IF('Calculations'!IF183&lt;&gt;"",'Calculations'!IF183,IF('Calculations'!IE183&lt;&gt;"",'Calculations'!IE183,IF('Calculations'!ID183&lt;&gt;"",'Calculations'!ID183,IF('Calculations'!IC183&lt;&gt;"",'Calculations'!IC183,IF('Calculations'!IB183&lt;&gt;"",'Calculations'!IB183,IF('Calculations'!IA183&lt;&gt;"",'Calculations'!IA183,IF('Calculations'!HZ183&lt;&gt;"",'Calculations'!HZ183,IF('Calculations'!HY183&lt;&gt;"",'Calculations'!HY183,IF('Calculations'!HX183&lt;&gt;"",'Calculations'!HX183,IF('Calculations'!HW183&lt;&gt;"",'Calculations'!HW183,IF('Calculations'!HV183&lt;&gt;"",'Calculations'!HV183,IF('Calculations'!HU183&lt;&gt;"",'Calculations'!HU183,IF('Calculations'!HT183&lt;&gt;"",'Calculations'!HT183,IF('Calculations'!HS183&lt;&gt;"",'Calculations'!HS183,IF('Calculations'!HR183&lt;&gt;"",'Calculations'!HR183,IF('Calculations'!HQ183&lt;&gt;"",'Calculations'!HQ183,IF('Calculations'!HP183&lt;&gt;"",'Calculations'!HP183,IF('Calculations'!HO183&lt;&gt;"",'Calculations'!HO183,'Calculations'!HE183))))))))))))))))))))))</x:f>
      </x:c>
      <x:c r="HN183" t="str">
        <x:f>IF('Calculations'!EM183="","",IF(IFERROR(IF(INDEX(INDIRECT("'WCM Calibration Final'!$F$1:$F$2000"),'Calculations'!$EM183)="","",TRIM(INDEX(INDIRECT("'WCM Calibration Final'!$F$1:$F$2000"),'Calculations'!$EM183)&amp;"")),"")="","(Blank)",IFERROR(IF(INDEX(INDIRECT("'WCM Calibration Final'!$F$1:$F$2000"),'Calculations'!$EM183)="","",TRIM(INDEX(INDIRECT("'WCM Calibration Final'!$F$1:$F$2000"),'Calculations'!$EM183)&amp;"")),"")))</x:f>
      </x:c>
      <x:c r="HO183" t="str">
        <x:f>'Calculations'!HF183</x:f>
      </x:c>
      <x:c r="HP183" t="str">
        <x:f>IF('Calculations'!HO183="","",IF('Calculations'!HO183="!AMBIG","!AMBIG",IF(COUNTIF('Calculations'!$HE$13:$HE$512,"="&amp;SUBSTITUTE(SUBSTITUTE(SUBSTITUTE('Calculations'!HO183,"~","~~"),"*","~*"),"?","~?"))&gt;1,"!AMBIG",IFERROR(INDEX('Calculations'!$HF$13:$HF$512,MATCH('Calculations'!HO183,'Calculations'!$HE$13:$HE$512,0)),""))))</x:f>
      </x:c>
      <x:c r="HQ183" t="str">
        <x:f>IF('Calculations'!HP183="","",IF('Calculations'!HP183="!AMBIG","!AMBIG",IF(COUNTIF('Calculations'!$HE$13:$HE$512,"="&amp;SUBSTITUTE(SUBSTITUTE(SUBSTITUTE('Calculations'!HP183,"~","~~"),"*","~*"),"?","~?"))&gt;1,"!AMBIG",IFERROR(INDEX('Calculations'!$HF$13:$HF$512,MATCH('Calculations'!HP183,'Calculations'!$HE$13:$HE$512,0)),""))))</x:f>
      </x:c>
      <x:c r="HR183" t="str">
        <x:f>IF('Calculations'!HQ183="","",IF('Calculations'!HQ183="!AMBIG","!AMBIG",IF(COUNTIF('Calculations'!$HE$13:$HE$512,"="&amp;SUBSTITUTE(SUBSTITUTE(SUBSTITUTE('Calculations'!HQ183,"~","~~"),"*","~*"),"?","~?"))&gt;1,"!AMBIG",IFERROR(INDEX('Calculations'!$HF$13:$HF$512,MATCH('Calculations'!HQ183,'Calculations'!$HE$13:$HE$512,0)),""))))</x:f>
      </x:c>
      <x:c r="HS183" t="str">
        <x:f>IF('Calculations'!HR183="","",IF('Calculations'!HR183="!AMBIG","!AMBIG",IF(COUNTIF('Calculations'!$HE$13:$HE$512,"="&amp;SUBSTITUTE(SUBSTITUTE(SUBSTITUTE('Calculations'!HR183,"~","~~"),"*","~*"),"?","~?"))&gt;1,"!AMBIG",IFERROR(INDEX('Calculations'!$HF$13:$HF$512,MATCH('Calculations'!HR183,'Calculations'!$HE$13:$HE$512,0)),""))))</x:f>
      </x:c>
      <x:c r="HT183" t="str">
        <x:f>IF('Calculations'!HS183="","",IF('Calculations'!HS183="!AMBIG","!AMBIG",IF(COUNTIF('Calculations'!$HE$13:$HE$512,"="&amp;SUBSTITUTE(SUBSTITUTE(SUBSTITUTE('Calculations'!HS183,"~","~~"),"*","~*"),"?","~?"))&gt;1,"!AMBIG",IFERROR(INDEX('Calculations'!$HF$13:$HF$512,MATCH('Calculations'!HS183,'Calculations'!$HE$13:$HE$512,0)),""))))</x:f>
      </x:c>
      <x:c r="HU183" t="str">
        <x:f>IF('Calculations'!HT183="","",IF('Calculations'!HT183="!AMBIG","!AMBIG",IF(COUNTIF('Calculations'!$HE$13:$HE$512,"="&amp;SUBSTITUTE(SUBSTITUTE(SUBSTITUTE('Calculations'!HT183,"~","~~"),"*","~*"),"?","~?"))&gt;1,"!AMBIG",IFERROR(INDEX('Calculations'!$HF$13:$HF$512,MATCH('Calculations'!HT183,'Calculations'!$HE$13:$HE$512,0)),""))))</x:f>
      </x:c>
      <x:c r="HV183" t="str">
        <x:f>IF('Calculations'!HU183="","",IF('Calculations'!HU183="!AMBIG","!AMBIG",IF(COUNTIF('Calculations'!$HE$13:$HE$512,"="&amp;SUBSTITUTE(SUBSTITUTE(SUBSTITUTE('Calculations'!HU183,"~","~~"),"*","~*"),"?","~?"))&gt;1,"!AMBIG",IFERROR(INDEX('Calculations'!$HF$13:$HF$512,MATCH('Calculations'!HU183,'Calculations'!$HE$13:$HE$512,0)),""))))</x:f>
      </x:c>
      <x:c r="HW183" t="str">
        <x:f>IF('Calculations'!HV183="","",IF('Calculations'!HV183="!AMBIG","!AMBIG",IF(COUNTIF('Calculations'!$HE$13:$HE$512,"="&amp;SUBSTITUTE(SUBSTITUTE(SUBSTITUTE('Calculations'!HV183,"~","~~"),"*","~*"),"?","~?"))&gt;1,"!AMBIG",IFERROR(INDEX('Calculations'!$HF$13:$HF$512,MATCH('Calculations'!HV183,'Calculations'!$HE$13:$HE$512,0)),""))))</x:f>
      </x:c>
      <x:c r="HX183" t="str">
        <x:f>IF('Calculations'!HW183="","",IF('Calculations'!HW183="!AMBIG","!AMBIG",IF(COUNTIF('Calculations'!$HE$13:$HE$512,"="&amp;SUBSTITUTE(SUBSTITUTE(SUBSTITUTE('Calculations'!HW183,"~","~~"),"*","~*"),"?","~?"))&gt;1,"!AMBIG",IFERROR(INDEX('Calculations'!$HF$13:$HF$512,MATCH('Calculations'!HW183,'Calculations'!$HE$13:$HE$512,0)),""))))</x:f>
      </x:c>
      <x:c r="HY183" t="str">
        <x:f>IF('Calculations'!HX183="","",IF('Calculations'!HX183="!AMBIG","!AMBIG",IF(COUNTIF('Calculations'!$HE$13:$HE$512,"="&amp;SUBSTITUTE(SUBSTITUTE(SUBSTITUTE('Calculations'!HX183,"~","~~"),"*","~*"),"?","~?"))&gt;1,"!AMBIG",IFERROR(INDEX('Calculations'!$HF$13:$HF$512,MATCH('Calculations'!HX183,'Calculations'!$HE$13:$HE$512,0)),""))))</x:f>
      </x:c>
      <x:c r="HZ183" t="str">
        <x:f>IF('Calculations'!HY183="","",IF('Calculations'!HY183="!AMBIG","!AMBIG",IF(COUNTIF('Calculations'!$HE$13:$HE$512,"="&amp;SUBSTITUTE(SUBSTITUTE(SUBSTITUTE('Calculations'!HY183,"~","~~"),"*","~*"),"?","~?"))&gt;1,"!AMBIG",IFERROR(INDEX('Calculations'!$HF$13:$HF$512,MATCH('Calculations'!HY183,'Calculations'!$HE$13:$HE$512,0)),""))))</x:f>
      </x:c>
      <x:c r="IA183" t="str">
        <x:f>IF('Calculations'!HZ183="","",IF('Calculations'!HZ183="!AMBIG","!AMBIG",IF(COUNTIF('Calculations'!$HE$13:$HE$512,"="&amp;SUBSTITUTE(SUBSTITUTE(SUBSTITUTE('Calculations'!HZ183,"~","~~"),"*","~*"),"?","~?"))&gt;1,"!AMBIG",IFERROR(INDEX('Calculations'!$HF$13:$HF$512,MATCH('Calculations'!HZ183,'Calculations'!$HE$13:$HE$512,0)),""))))</x:f>
      </x:c>
      <x:c r="IB183" t="str">
        <x:f>IF('Calculations'!IA183="","",IF('Calculations'!IA183="!AMBIG","!AMBIG",IF(COUNTIF('Calculations'!$HE$13:$HE$512,"="&amp;SUBSTITUTE(SUBSTITUTE(SUBSTITUTE('Calculations'!IA183,"~","~~"),"*","~*"),"?","~?"))&gt;1,"!AMBIG",IFERROR(INDEX('Calculations'!$HF$13:$HF$512,MATCH('Calculations'!IA183,'Calculations'!$HE$13:$HE$512,0)),""))))</x:f>
      </x:c>
      <x:c r="IC183" t="str">
        <x:f>IF('Calculations'!IB183="","",IF('Calculations'!IB183="!AMBIG","!AMBIG",IF(COUNTIF('Calculations'!$HE$13:$HE$512,"="&amp;SUBSTITUTE(SUBSTITUTE(SUBSTITUTE('Calculations'!IB183,"~","~~"),"*","~*"),"?","~?"))&gt;1,"!AMBIG",IFERROR(INDEX('Calculations'!$HF$13:$HF$512,MATCH('Calculations'!IB183,'Calculations'!$HE$13:$HE$512,0)),""))))</x:f>
      </x:c>
      <x:c r="ID183" t="str">
        <x:f>IF('Calculations'!IC183="","",IF('Calculations'!IC183="!AMBIG","!AMBIG",IF(COUNTIF('Calculations'!$HE$13:$HE$512,"="&amp;SUBSTITUTE(SUBSTITUTE(SUBSTITUTE('Calculations'!IC183,"~","~~"),"*","~*"),"?","~?"))&gt;1,"!AMBIG",IFERROR(INDEX('Calculations'!$HF$13:$HF$512,MATCH('Calculations'!IC183,'Calculations'!$HE$13:$HE$512,0)),""))))</x:f>
      </x:c>
      <x:c r="IE183" t="str">
        <x:f>IF('Calculations'!ID183="","",IF('Calculations'!ID183="!AMBIG","!AMBIG",IF(COUNTIF('Calculations'!$HE$13:$HE$512,"="&amp;SUBSTITUTE(SUBSTITUTE(SUBSTITUTE('Calculations'!ID183,"~","~~"),"*","~*"),"?","~?"))&gt;1,"!AMBIG",IFERROR(INDEX('Calculations'!$HF$13:$HF$512,MATCH('Calculations'!ID183,'Calculations'!$HE$13:$HE$512,0)),""))))</x:f>
      </x:c>
      <x:c r="IF183" t="str">
        <x:f>IF('Calculations'!IE183="","",IF('Calculations'!IE183="!AMBIG","!AMBIG",IF(COUNTIF('Calculations'!$HE$13:$HE$512,"="&amp;SUBSTITUTE(SUBSTITUTE(SUBSTITUTE('Calculations'!IE183,"~","~~"),"*","~*"),"?","~?"))&gt;1,"!AMBIG",IFERROR(INDEX('Calculations'!$HF$13:$HF$512,MATCH('Calculations'!IE183,'Calculations'!$HE$13:$HE$512,0)),""))))</x:f>
      </x:c>
      <x:c r="IG183" t="str">
        <x:f>IF('Calculations'!IF183="","",IF('Calculations'!IF183="!AMBIG","!AMBIG",IF(COUNTIF('Calculations'!$HE$13:$HE$512,"="&amp;SUBSTITUTE(SUBSTITUTE(SUBSTITUTE('Calculations'!IF183,"~","~~"),"*","~*"),"?","~?"))&gt;1,"!AMBIG",IFERROR(INDEX('Calculations'!$HF$13:$HF$512,MATCH('Calculations'!IF183,'Calculations'!$HE$13:$HE$512,0)),""))))</x:f>
      </x:c>
      <x:c r="IH183" t="str">
        <x:f>IF('Calculations'!IG183="","",IF('Calculations'!IG183="!AMBIG","!AMBIG",IF(COUNTIF('Calculations'!$HE$13:$HE$512,"="&amp;SUBSTITUTE(SUBSTITUTE(SUBSTITUTE('Calculations'!IG183,"~","~~"),"*","~*"),"?","~?"))&gt;1,"!AMBIG",IFERROR(INDEX('Calculations'!$HF$13:$HF$512,MATCH('Calculations'!IG183,'Calculations'!$HE$13:$HE$512,0)),""))))</x:f>
      </x:c>
      <x:c r="II183" t="str">
        <x:f>IF('Calculations'!IH183="","",IF('Calculations'!IH183="!AMBIG","!AMBIG",IF(COUNTIF('Calculations'!$HE$13:$HE$512,"="&amp;SUBSTITUTE(SUBSTITUTE(SUBSTITUTE('Calculations'!IH183,"~","~~"),"*","~*"),"?","~?"))&gt;1,"!AMBIG",IFERROR(INDEX('Calculations'!$HF$13:$HF$512,MATCH('Calculations'!IH183,'Calculations'!$HE$13:$HE$512,0)),""))))</x:f>
      </x:c>
      <x:c r="IJ183" t="str">
        <x:f>IF('Calculations'!EM183="","",IF('Calculations'!$EF$2="All",'Calculations'!HM183,IF('Calculations'!HL183=1,"",IFERROR(IF(MATCH('Calculations'!$EF$2,'Calculations'!HO183:II183,0)=1,'Calculations'!HE183,INDEX('Calculations'!HO183:II183,1,MATCH('Calculations'!$EF$2,'Calculations'!HO183:II183,0)-1)),""))))</x:f>
      </x:c>
      <x:c r="IK183" t="n">
        <x:f>IF(AND('Calculations'!EM183&lt;&gt;"",'Calculations'!$EF$2&lt;&gt;"All",'Calculations'!HF183='Calculations'!$EF$2,'Calculations'!HL183=0,'Calculations'!JD183&gt;0),MAX('Calculations'!$IK$12:IK182)+1,0)</x:f>
        <x:v>0</x:v>
      </x:c>
      <x:c r="JA183" t="n">
        <x:f>IF(OR(IFERROR(INDIRECT("'WCM Calibration Final'!$A$183")&lt;&gt;"",FALSE),IFERROR(INDIRECT("'WCM Calibration Final'!$B$183")&lt;&gt;"",FALSE),IFERROR(INDIRECT("'WCM Calibration Final'!$C$183")&lt;&gt;"",FALSE)),183,0)</x:f>
        <x:v>0</x:v>
      </x:c>
      <x:c r="JB183" t="n">
        <x:f>'Calculations'!JB182+IF('Calculations'!JA183&gt;0,1,0)</x:f>
        <x:v>0</x:v>
      </x:c>
      <x:c r="JC183" t="n">
        <x:f>IF(OR('Calculations'!HF183="",'Calculations'!HF183="!AMBIG"),0,IF('Dashboard'!$B$7="All",1,COUNTIFS('Calculations'!$HO$13:$HO$512,"="&amp;SUBSTITUTE(SUBSTITUTE(SUBSTITUTE('Calculations'!HF183,"~","~~"),"*","~*"),"?","~?"),'Calculations'!$HN$13:$HN$512,"="&amp;SUBSTITUTE(SUBSTITUTE(SUBSTITUTE('Dashboard'!$B$7,"~","~~"),"*","~*"),"?","~?"))+COUNTIFS('Calculations'!$HP$13:$HP$512,"="&amp;SUBSTITUTE(SUBSTITUTE(SUBSTITUTE('Calculations'!HF183,"~","~~"),"*","~*"),"?","~?"),'Calculations'!$HN$13:$HN$512,"="&amp;SUBSTITUTE(SUBSTITUTE(SUBSTITUTE('Dashboard'!$B$7,"~","~~"),"*","~*"),"?","~?"))+COUNTIFS('Calculations'!$HQ$13:$HQ$512,"="&amp;SUBSTITUTE(SUBSTITUTE(SUBSTITUTE('Calculations'!HF183,"~","~~"),"*","~*"),"?","~?"),'Calculations'!$HN$13:$HN$512,"="&amp;SUBSTITUTE(SUBSTITUTE(SUBSTITUTE('Dashboard'!$B$7,"~","~~"),"*","~*"),"?","~?"))+COUNTIFS('Calculations'!$HR$13:$HR$512,"="&amp;SUBSTITUTE(SUBSTITUTE(SUBSTITUTE('Calculations'!HF183,"~","~~"),"*","~*"),"?","~?"),'Calculations'!$HN$13:$HN$512,"="&amp;SUBSTITUTE(SUBSTITUTE(SUBSTITUTE('Dashboard'!$B$7,"~","~~"),"*","~*"),"?","~?"))+COUNTIFS('Calculations'!$HS$13:$HS$512,"="&amp;SUBSTITUTE(SUBSTITUTE(SUBSTITUTE('Calculations'!HF183,"~","~~"),"*","~*"),"?","~?"),'Calculations'!$HN$13:$HN$512,"="&amp;SUBSTITUTE(SUBSTITUTE(SUBSTITUTE('Dashboard'!$B$7,"~","~~"),"*","~*"),"?","~?"))+COUNTIFS('Calculations'!$HT$13:$HT$512,"="&amp;SUBSTITUTE(SUBSTITUTE(SUBSTITUTE('Calculations'!HF183,"~","~~"),"*","~*"),"?","~?"),'Calculations'!$HN$13:$HN$512,"="&amp;SUBSTITUTE(SUBSTITUTE(SUBSTITUTE('Dashboard'!$B$7,"~","~~"),"*","~*"),"?","~?"))+COUNTIFS('Calculations'!$HU$13:$HU$512,"="&amp;SUBSTITUTE(SUBSTITUTE(SUBSTITUTE('Calculations'!HF183,"~","~~"),"*","~*"),"?","~?"),'Calculations'!$HN$13:$HN$512,"="&amp;SUBSTITUTE(SUBSTITUTE(SUBSTITUTE('Dashboard'!$B$7,"~","~~"),"*","~*"),"?","~?"))+COUNTIFS('Calculations'!$HV$13:$HV$512,"="&amp;SUBSTITUTE(SUBSTITUTE(SUBSTITUTE('Calculations'!HF183,"~","~~"),"*","~*"),"?","~?"),'Calculations'!$HN$13:$HN$512,"="&amp;SUBSTITUTE(SUBSTITUTE(SUBSTITUTE('Dashboard'!$B$7,"~","~~"),"*","~*"),"?","~?"))+COUNTIFS('Calculations'!$HW$13:$HW$512,"="&amp;SUBSTITUTE(SUBSTITUTE(SUBSTITUTE('Calculations'!HF183,"~","~~"),"*","~*"),"?","~?"),'Calculations'!$HN$13:$HN$512,"="&amp;SUBSTITUTE(SUBSTITUTE(SUBSTITUTE('Dashboard'!$B$7,"~","~~"),"*","~*"),"?","~?"))+COUNTIFS('Calculations'!$HX$13:$HX$512,"="&amp;SUBSTITUTE(SUBSTITUTE(SUBSTITUTE('Calculations'!HF183,"~","~~"),"*","~*"),"?","~?"),'Calculations'!$HN$13:$HN$512,"="&amp;SUBSTITUTE(SUBSTITUTE(SUBSTITUTE('Dashboard'!$B$7,"~","~~"),"*","~*"),"?","~?"))+COUNTIFS('Calculations'!$HY$13:$HY$512,"="&amp;SUBSTITUTE(SUBSTITUTE(SUBSTITUTE('Calculations'!HF183,"~","~~"),"*","~*"),"?","~?"),'Calculations'!$HN$13:$HN$512,"="&amp;SUBSTITUTE(SUBSTITUTE(SUBSTITUTE('Dashboard'!$B$7,"~","~~"),"*","~*"),"?","~?"))+COUNTIFS('Calculations'!$HZ$13:$HZ$512,"="&amp;SUBSTITUTE(SUBSTITUTE(SUBSTITUTE('Calculations'!HF183,"~","~~"),"*","~*"),"?","~?"),'Calculations'!$HN$13:$HN$512,"="&amp;SUBSTITUTE(SUBSTITUTE(SUBSTITUTE('Dashboard'!$B$7,"~","~~"),"*","~*"),"?","~?"))+COUNTIFS('Calculations'!$IA$13:$IA$512,"="&amp;SUBSTITUTE(SUBSTITUTE(SUBSTITUTE('Calculations'!HF183,"~","~~"),"*","~*"),"?","~?"),'Calculations'!$HN$13:$HN$512,"="&amp;SUBSTITUTE(SUBSTITUTE(SUBSTITUTE('Dashboard'!$B$7,"~","~~"),"*","~*"),"?","~?"))+COUNTIFS('Calculations'!$IB$13:$IB$512,"="&amp;SUBSTITUTE(SUBSTITUTE(SUBSTITUTE('Calculations'!HF183,"~","~~"),"*","~*"),"?","~?"),'Calculations'!$HN$13:$HN$512,"="&amp;SUBSTITUTE(SUBSTITUTE(SUBSTITUTE('Dashboard'!$B$7,"~","~~"),"*","~*"),"?","~?"))+COUNTIFS('Calculations'!$IC$13:$IC$512,"="&amp;SUBSTITUTE(SUBSTITUTE(SUBSTITUTE('Calculations'!HF183,"~","~~"),"*","~*"),"?","~?"),'Calculations'!$HN$13:$HN$512,"="&amp;SUBSTITUTE(SUBSTITUTE(SUBSTITUTE('Dashboard'!$B$7,"~","~~"),"*","~*"),"?","~?"))+COUNTIFS('Calculations'!$ID$13:$ID$512,"="&amp;SUBSTITUTE(SUBSTITUTE(SUBSTITUTE('Calculations'!HF183,"~","~~"),"*","~*"),"?","~?"),'Calculations'!$HN$13:$HN$512,"="&amp;SUBSTITUTE(SUBSTITUTE(SUBSTITUTE('Dashboard'!$B$7,"~","~~"),"*","~*"),"?","~?"))+COUNTIFS('Calculations'!$IE$13:$IE$512,"="&amp;SUBSTITUTE(SUBSTITUTE(SUBSTITUTE('Calculations'!HF183,"~","~~"),"*","~*"),"?","~?"),'Calculations'!$HN$13:$HN$512,"="&amp;SUBSTITUTE(SUBSTITUTE(SUBSTITUTE('Dashboard'!$B$7,"~","~~"),"*","~*"),"?","~?"))+COUNTIFS('Calculations'!$IF$13:$IF$512,"="&amp;SUBSTITUTE(SUBSTITUTE(SUBSTITUTE('Calculations'!HF183,"~","~~"),"*","~*"),"?","~?"),'Calculations'!$HN$13:$HN$512,"="&amp;SUBSTITUTE(SUBSTITUTE(SUBSTITUTE('Dashboard'!$B$7,"~","~~"),"*","~*"),"?","~?"))+COUNTIFS('Calculations'!$IG$13:$IG$512,"="&amp;SUBSTITUTE(SUBSTITUTE(SUBSTITUTE('Calculations'!HF183,"~","~~"),"*","~*"),"?","~?"),'Calculations'!$HN$13:$HN$512,"="&amp;SUBSTITUTE(SUBSTITUTE(SUBSTITUTE('Dashboard'!$B$7,"~","~~"),"*","~*"),"?","~?"))+COUNTIFS('Calculations'!$IH$13:$IH$512,"="&amp;SUBSTITUTE(SUBSTITUTE(SUBSTITUTE('Calculations'!HF183,"~","~~"),"*","~*"),"?","~?"),'Calculations'!$HN$13:$HN$512,"="&amp;SUBSTITUTE(SUBSTITUTE(SUBSTITUTE('Dashboard'!$B$7,"~","~~"),"*","~*"),"?","~?"))))</x:f>
        <x:v>0</x:v>
      </x:c>
      <x:c r="JD183" t="n">
        <x:f>IF('Calculations'!EM183="",0,IF('Dashboard'!$B$7="All",1,IF('Calculations'!HN183='Dashboard'!$B$7,1,0)+IFERROR(INDEX('Calculations'!$JC$13:$JC$512,MATCH('Calculations'!HE183,'Calculations'!$HF$13:$HF$512,0)),0)))</x:f>
        <x:v>0</x:v>
      </x:c>
      <x:c r="JE183" t="n">
        <x:f>IF(AND('Calculations'!EM183&lt;&gt;"",'Calculations'!$JJ$2&lt;&gt;"All",'Calculations'!$JJ$2&lt;&gt;"",'Calculations'!HF183='Calculations'!$JJ$2,'Calculations'!HL183=0,'Calculations'!JD183&gt;0),MAX('Calculations'!$JE$12:JE182)+1,0)</x:f>
        <x:v>0</x:v>
      </x:c>
      <x:c r="JF183" t="str">
        <x:f>IF('Calculations'!EM183="","",IFERROR(IF(INDEX(INDIRECT("'WCM Calibration Final'!$G$1:$G$2000"),'Calculations'!$EM183)="","",TRIM(INDEX(INDIRECT("'WCM Calibration Final'!$G$1:$G$2000"),'Calculations'!$EM183)&amp;"")),""))</x:f>
      </x:c>
      <x:c r="JQ183" t="n">
        <x:f>IF(OR('Calculations'!BM183=0,NOT('Calculations'!$AG$2),'Calculations'!$AG$8&gt;0),0,IF(OR('Dashboard'!$B$7="All",'Calculations'!HN183='Dashboard'!$B$7),IF('Calculations'!$JJ$2="All",1,IF(AND('Calculations'!HF183='Calculations'!$JJ$2,'Calculations'!HL183=0),1,0)),0))</x:f>
        <x:v>0</x:v>
      </x:c>
    </x:row>
    <x:row r="18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t="n">
        <x:f>IF('Calculations'!$EM184="",0,IF(OR(IFERROR(INDEX(INDIRECT("'WCM Calibration Final'!$A$1:$A$2000"),'Calculations'!$EM184)&lt;&gt;"",FALSE),IFERROR(INDEX(INDIRECT("'WCM Calibration Final'!$B$1:$B$2000"),'Calculations'!$EM184)&lt;&gt;"",FALSE),IFERROR(INDEX(INDIRECT("'WCM Calibration Final'!$C$1:$C$2000"),'Calculations'!$EM184)&lt;&gt;"",FALSE)),1,0))</x:f>
        <x:v>0</x:v>
      </x:c>
      <x:c r="BN184" s="4" t="n">
        <x:f>IF(AND('Calculations'!BM184=1,'Calculations'!$AG$2,'Calculations'!$EN184=1),1,0)</x:f>
        <x:v>0</x:v>
      </x:c>
      <x:c r="BO184" s="4" t="str">
        <x:f>IF('Calculations'!BM184=0,"",IFERROR(IF(AND(VALUE(INDEX(INDIRECT("'WCM Calibration Final'!$K$1:$K$2000"),'Calculations'!$EM184))&gt;=1,VALUE(INDEX(INDIRECT("'WCM Calibration Final'!$K$1:$K$2000"),'Calculations'!$EM184))&lt;=4,MOD(VALUE(INDEX(INDIRECT("'WCM Calibration Final'!$K$1:$K$2000"),'Calculations'!$EM184)),1)=0),VALUE(INDEX(INDIRECT("'WCM Calibration Final'!$K$1:$K$2000"),'Calculations'!$EM184)),""),""))</x:f>
      </x:c>
      <x:c r="BP184" s="4" t="str">
        <x:f>IF('Calculations'!BM184=0,"",IFERROR(IF(AND(VALUE(INDEX(INDIRECT("'WCM Calibration Final'!$L$1:$L$2000"),'Calculations'!$EM184))&gt;=1,VALUE(INDEX(INDIRECT("'WCM Calibration Final'!$L$1:$L$2000"),'Calculations'!$EM184))&lt;=4,MOD(VALUE(INDEX(INDIRECT("'WCM Calibration Final'!$L$1:$L$2000"),'Calculations'!$EM184)),1)=0),VALUE(INDEX(INDIRECT("'WCM Calibration Final'!$L$1:$L$2000"),'Calculations'!$EM184)),""),""))</x:f>
      </x:c>
      <x:c r="BQ184" s="4"/>
      <x:c r="BR184" s="4"/>
      <x:c r="BS184" s="4"/>
      <x:c r="BT184" s="4" t="n">
        <x:f>IF(AND('Calculations'!BM184=1,ISNUMBER('Calculations'!BO184),ISNUMBER('Calculations'!BP184)),1,0)</x:f>
        <x:v>0</x:v>
      </x:c>
      <x:c r="BU184" s="4" t="str">
        <x:f>IF('Calculations'!BM184=0,"",'Calculations'!$EO184)</x:f>
      </x:c>
      <x:c r="BV184" s="4" t="str">
        <x:f>IF('Calculations'!BM184=0,"",IFERROR(IF(OR(INDEX(INDIRECT("'WCM Calibration Final'!$H$1:$H$2000"),'Calculations'!$EM184)="MANAGING DIRECTOR",INDEX(INDIRECT("'WCM Calibration Final'!$H$1:$H$2000"),'Calculations'!$EM184)="DIRECTOR",INDEX(INDIRECT("'WCM Calibration Final'!$H$1:$H$2000"),'Calculations'!$EM184)="SENIOR VICE PRESIDENT",INDEX(INDIRECT("'WCM Calibration Final'!$H$1:$H$2000"),'Calculations'!$EM184)="VICE PRESIDENT",INDEX(INDIRECT("'WCM Calibration Final'!$H$1:$H$2000"),'Calculations'!$EM184)="ASSISTANT VICE PRESIDENT",INDEX(INDIRECT("'WCM Calibration Final'!$H$1:$H$2000"),'Calculations'!$EM184)="OFFICER"),UPPER(INDEX(INDIRECT("'WCM Calibration Final'!$H$1:$H$2000"),'Calculations'!$EM184)),"Other"),"Other"))</x:f>
      </x:c>
      <x:c r="BW184" s="4"/>
      <x:c r="BX184" s="4"/>
      <x:c r="BY184" s="4" t="n">
        <x:f>IF(AND('Calculations'!BM184=1,'Calculations'!BU184&lt;&gt;"",COUNTIF('Calculations'!$BU$12:BU184,'Calculations'!BU184)=1),MAX('Calculations'!$BY$11:BY183)+1,0)</x:f>
        <x:v>0</x:v>
      </x:c>
      <x:c r="BZ184" s="4" t="str">
        <x:f>IF('Dashboard'!$E$67="What",'Calculations'!BO184,'Calculations'!BP184)</x:f>
      </x:c>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t="str">
        <x:f>IF(173&gt;MAX('Calculations'!$HI$13:$HI$512),"",INDEX('Calculations'!$HN$13:$HN$512,MATCH(173,'Calculations'!$HI$13:$HI$512,0)))</x:f>
      </x:c>
      <x:c r="DB184" s="4" t="str">
        <x:f>IF(173&gt;MAX('Calculations'!$HH$13:$HH$512),"",INDEX('Calculations'!$HJ$13:$HJ$512,MATCH(173,'Calculations'!$HH$13:$HH$512,0)))</x:f>
      </x:c>
      <x:c r="DC184" s="4" t="str">
        <x:f>IF(ROW()-11&gt;MAX('Calculations'!$BY$13:$BY$512),"",INDEX('Calculations'!$BU$13:$BU$512,MATCH(ROW()-11,'Calculations'!$BY$13:$BY$512,0)))</x:f>
      </x:c>
      <x:c r="DD184" s="4" t="str">
        <x:f>IF(173&gt;MAX('Calculations'!$IK$13:$IK$512),"",INDEX('Calculations'!$HK$13:$HK$512,MATCH(173,'Calculations'!$IK$13:$IK$512,0)))</x:f>
      </x:c>
      <x:c r="DE184" s="4" t="str">
        <x:f>'Calculations'!DC184</x:f>
      </x:c>
      <x:c r="DF184" s="4" t="str">
        <x:f>IF('Calculations'!DE184="","",COUNTIFS('Calculations'!$BN$13:$BN$512,1,'Calculations'!$BU$13:$BU$512,'Calculations'!DE184))</x:f>
      </x:c>
      <x:c r="DG184" s="4" t="str">
        <x:f>IF('Calculations'!DE184="","",COUNTIFS('Calculations'!$BN$13:$BN$512,1,'Calculations'!$BU$13:$BU$512,'Calculations'!DE184,'Calculations'!$BT$13:$BT$512,1))</x:f>
      </x:c>
      <x:c r="DH184" s="4" t="str">
        <x:f>IF('Calculations'!DE184="","",'Calculations'!DF184-'Calculations'!DG184)</x:f>
      </x:c>
      <x:c r="DI184" s="4" t="str">
        <x:f>IF(OR('Calculations'!DE184="",'Calculations'!DF184=0),"",'Calculations'!DG184/'Calculations'!DF184)</x:f>
      </x:c>
      <x:c r="DJ184" s="4" t="str">
        <x:f>IF('Calculations'!DE184="","",COUNTIFS('Calculations'!$BN$13:$BN$512,1,'Calculations'!$BU$13:$BU$512,'Calculations'!DE184,'Calculations'!$BT$13:$BT$512,1,'Calculations'!$EE$13:$EE$512,"High"))</x:f>
      </x:c>
      <x:c r="DK184" s="4" t="str">
        <x:f>IF('Calculations'!DE184="","",COUNTIFS('Calculations'!$BN$13:$BN$512,1,'Calculations'!$BU$13:$BU$512,'Calculations'!DE184,'Calculations'!$BT$13:$BT$512,1,'Calculations'!$EE$13:$EE$512,"Strong"))</x:f>
      </x:c>
      <x:c r="DL184" s="4" t="str">
        <x:f>IF('Calculations'!DE184="","",COUNTIFS('Calculations'!$BN$13:$BN$512,1,'Calculations'!$BU$13:$BU$512,'Calculations'!DE184,'Calculations'!$BT$13:$BT$512,1,'Calculations'!$EE$13:$EE$512,"Solid"))</x:f>
      </x:c>
      <x:c r="DM184" s="4" t="str">
        <x:f>IF('Calculations'!DE184="","",COUNTIFS('Calculations'!$BN$13:$BN$512,1,'Calculations'!$BU$13:$BU$512,'Calculations'!DE184,'Calculations'!$BT$13:$BT$512,1,'Calculations'!$EE$13:$EE$512,"Low"))</x:f>
      </x:c>
      <x:c r="DN184" s="4" t="str">
        <x:f>IF('Calculations'!DE184="","",COUNTIFS('Calculations'!$BN$13:$BN$512,1,'Calculations'!$BU$13:$BU$512,'Calculations'!DE184,'Calculations'!$EP$13:$EP$512,1))</x:f>
      </x:c>
      <x:c r="DO184" s="4" t="str">
        <x:f>IF(OR('Calculations'!DE184="",'Calculations'!DG184=0),"",('Calculations'!DJ184+'Calculations'!DK184)/'Calculations'!DG184)</x:f>
      </x:c>
      <x:c r="DP184" s="4" t="n">
        <x:f>IF(AND('Calculations'!DE184&lt;&gt;"",'Calculations'!DF184&gt;0),COUNTIF('Calculations'!$DF$12:DF184,"&gt;0"),0)</x:f>
        <x:v>0</x:v>
      </x:c>
      <x:c r="DQ184" s="4" t="str">
        <x:f>IF(173&gt;MAX('Calculations'!$HH$13:$HH$512),"",INDEX('Calculations'!$HF$13:$HF$512,MATCH(173,'Calculations'!$HH$13:$HH$512,0)))</x:f>
      </x:c>
      <x:c r="DR184" s="4" t="str">
        <x:f>IF(173&gt;MAX('Calculations'!$IK$13:$IK$512),"",INDEX('Calculations'!$HE$13:$HE$512,MATCH(173,'Calculations'!$IK$13:$IK$512,0)))</x:f>
      </x:c>
      <x:c r="DS184" s="4"/>
      <x:c r="DT184" s="4"/>
      <x:c r="DU184" s="4"/>
      <x:c r="DV184" s="4"/>
      <x:c r="DW184" s="4"/>
      <x:c r="DX184" s="4"/>
      <x:c r="DY184" s="4"/>
      <x:c r="DZ184" s="4"/>
      <x:c r="EA184" s="4"/>
      <x:c r="EB184" s="4"/>
      <x:c r="EC184" s="4"/>
      <x:c r="ED184" s="4"/>
      <x:c r="EE184" s="4" t="str">
        <x:f>IF('Calculations'!BT184=0,"Not Rated",IF(OR('Calculations'!BO184&gt;=4,'Calculations'!BP184&gt;=4),"Low",IF('Calculations'!BO184+'Calculations'!BP184&lt;=3,"High",IF('Calculations'!BO184+'Calculations'!BP184&lt;=4,"Strong","Solid"))))</x:f>
        <x:v>Not Rated</x:v>
      </x:c>
      <x:c r="EF184" s="4"/>
      <x:c r="EG184" s="4"/>
      <x:c r="EH184" s="4"/>
      <x:c r="EI184" s="4"/>
      <x:c r="EJ184" s="4"/>
      <x:c r="EK184" s="4"/>
      <x:c r="EL184" s="4"/>
      <x:c r="EM184" s="4" t="str">
        <x:f>IF(172&gt;'Calculations'!$JB$2000,"",INDEX('Calculations'!$JA$12:$JA$2000,MATCH(172,'Calculations'!$JB$12:$JB$2000,0)))</x:f>
      </x:c>
      <x:c r="EN184" s="4" t="n">
        <x:f>IF(OR('Calculations'!EM184="",'Calculations'!$AG$8&gt;0,AND('Calculations'!$EF$2&lt;&gt;"All",'Calculations'!HE184='Calculations'!$EF$2),AND('Calculations'!$EF$3&lt;&gt;"All",'Calculations'!HE184='Calculations'!$EF$3)),0,IF(OR('Dashboard'!$B$7="All",'Calculations'!HN184='Dashboard'!$B$7),IF('Calculations'!$EF$2="All",1,IF('Calculations'!HL184&gt;0,0,IF(COUNTIF('Calculations'!HO184:II184,"="&amp;SUBSTITUTE(SUBSTITUTE(SUBSTITUTE('Calculations'!$EF$2,"~","~~"),"*","~*"),"?","~?"))=0,0,IF('Calculations'!$EF$3="All",1,IF(COUNTIF('Calculations'!HO184:II184,"="&amp;SUBSTITUTE(SUBSTITUTE(SUBSTITUTE('Calculations'!$EF$3,"~","~~"),"*","~*"),"?","~?"))&gt;0,1,0))))),0))</x:f>
        <x:v>0</x:v>
      </x:c>
      <x:c r="EO184" s="4" t="str">
        <x:f>IF('Calculations'!IJ184="","",IF('Calculations'!IJ184="!UNRESOLVED","Unresolved hierarchy",IFERROR(INDEX('Calculations'!$HK$13:$HK$512,MATCH('Calculations'!IJ184,'Calculations'!$HE$13:$HE$512,0)),IFERROR(INDEX('Calculations'!$HJ$13:$HJ$512,MATCH('Calculations'!IJ184,'Calculations'!$HF$13:$HF$512,0)),'Calculations'!IJ184))))</x:f>
      </x:c>
      <x:c r="EP184" s="4" t="n">
        <x:f>IF(AND('Calculations'!EM184&lt;&gt;"",'Calculations'!HF184='Calculations'!IJ184),1,0)</x:f>
        <x:v>0</x:v>
      </x:c>
      <x:c r="EQ184" s="4"/>
      <x:c r="ER184" s="4"/>
      <x:c r="ES184" s="4"/>
      <x:c r="ET184" s="4"/>
      <x:c r="EU184" s="4"/>
      <x:c r="EV184" s="4"/>
      <x:c r="EW184" s="4"/>
      <x:c r="EX184" s="4"/>
      <x:c r="EY184" s="4"/>
      <x:c r="EZ184" s="4"/>
      <x:c r="FA184" s="4"/>
      <x:c r="FB184" s="4"/>
      <x:c r="FC184" s="4"/>
      <x:c r="FD184" s="4"/>
      <x:c r="FE184" s="4"/>
      <x:c r="FF184" s="4"/>
      <x:c r="FG184" s="4"/>
      <x:c r="FH184" s="4"/>
      <x:c r="FI184" s="4"/>
      <x:c r="FJ184" s="4"/>
      <x:c r="FK184" s="4"/>
      <x:c r="FL184" s="4"/>
      <x:c r="FM184" s="4"/>
      <x:c r="FN184" s="4"/>
      <x:c r="FO184" s="4"/>
      <x:c r="GA184" s="71"/>
      <x:c r="GB184" s="71"/>
      <x:c r="GC184" s="71"/>
      <x:c r="GD184" s="71"/>
      <x:c r="GE184" s="71"/>
      <x:c r="GF184" s="71"/>
      <x:c r="GG184" s="71"/>
      <x:c r="GH184" s="71"/>
      <x:c r="GI184" s="71"/>
      <x:c r="GJ184" s="71"/>
      <x:c r="GK184" s="71"/>
      <x:c r="GL184" s="71"/>
      <x:c r="GM184" s="71"/>
      <x:c r="GN184" s="71"/>
      <x:c r="GO184" s="71"/>
      <x:c r="GP184" s="71"/>
      <x:c r="GQ184" s="71"/>
      <x:c r="GR184" s="71"/>
      <x:c r="GS184" s="71"/>
      <x:c r="GT184" s="71"/>
      <x:c r="GU184" s="71"/>
      <x:c r="GV184" s="71"/>
      <x:c r="GW184" s="71"/>
      <x:c r="GX184" s="71"/>
      <x:c r="GY184" s="71"/>
      <x:c r="GZ184" s="71"/>
      <x:c r="HA184" s="71"/>
      <x:c r="HB184" s="71"/>
      <x:c r="HC184" s="71"/>
      <x:c r="HD184" s="71"/>
      <x:c r="HE184" t="str">
        <x:f>IF('Calculations'!EM184="","",IF(IFERROR(IF(INDEX(INDIRECT("'WCM Calibration Final'!$A$1:$A$2000"),'Calculations'!$EM184)="","",TRIM(INDEX(INDIRECT("'WCM Calibration Final'!$A$1:$A$2000"),'Calculations'!$EM184)&amp;"")),"")&lt;&gt;"","G:"&amp;IFERROR(TEXT(1*INDEX(INDIRECT("'WCM Calibration Final'!$A$1:$A$2000"),'Calculations'!$EM184),"0"),UPPER(IFERROR(IF(INDEX(INDIRECT("'WCM Calibration Final'!$A$1:$A$2000"),'Calculations'!$EM184)="","",TRIM(INDEX(INDIRECT("'WCM Calibration Final'!$A$1:$A$2000"),'Calculations'!$EM184)&amp;"")),""))),IF(IFERROR(IF(INDEX(INDIRECT("'WCM Calibration Final'!$C$1:$C$2000"),'Calculations'!$EM184)="","",TRIM(INDEX(INDIRECT("'WCM Calibration Final'!$C$1:$C$2000"),'Calculations'!$EM184)&amp;"")),"")&lt;&gt;"","S:"&amp;UPPER(IFERROR(IF(INDEX(INDIRECT("'WCM Calibration Final'!$C$1:$C$2000"),'Calculations'!$EM184)="","",TRIM(INDEX(INDIRECT("'WCM Calibration Final'!$C$1:$C$2000"),'Calculations'!$EM184)&amp;"")),"")),"R:"&amp;'Calculations'!EM184)))</x:f>
      </x:c>
      <x:c r="HF184" t="str">
        <x:f>IF('Calculations'!EM184="","",IF(IFERROR(IF(INDEX(INDIRECT("'WCM Calibration Final'!$D$1:$D$2000"),'Calculations'!$EM184)="","",TRIM(INDEX(INDIRECT("'WCM Calibration Final'!$D$1:$D$2000"),'Calculations'!$EM184)&amp;"")),"")&lt;&gt;"","G:"&amp;IFERROR(TEXT(1*INDEX(INDIRECT("'WCM Calibration Final'!$D$1:$D$2000"),'Calculations'!$EM184),"0"),UPPER(IFERROR(IF(INDEX(INDIRECT("'WCM Calibration Final'!$D$1:$D$2000"),'Calculations'!$EM184)="","",TRIM(INDEX(INDIRECT("'WCM Calibration Final'!$D$1:$D$2000"),'Calculations'!$EM184)&amp;"")),""))),IF(IFERROR(IF(INDEX(INDIRECT("'WCM Calibration Final'!$E$1:$E$2000"),'Calculations'!$EM184)="","",TRIM(INDEX(INDIRECT("'WCM Calibration Final'!$E$1:$E$2000"),'Calculations'!$EM184)&amp;"")),"")="","",IF(COUNTIF('Calculations'!$HG$13:$HG$512,"="&amp;SUBSTITUTE(SUBSTITUTE(SUBSTITUTE(IFERROR(IF(INDEX(INDIRECT("'WCM Calibration Final'!$E$1:$E$2000"),'Calculations'!$EM184)="","",TRIM(INDEX(INDIRECT("'WCM Calibration Final'!$E$1:$E$2000"),'Calculations'!$EM184)&amp;"")),""),"~","~~"),"*","~*"),"?","~?"))=1,INDEX('Calculations'!$HE$13:$HE$512,MATCH(IFERROR(IF(INDEX(INDIRECT("'WCM Calibration Final'!$E$1:$E$2000"),'Calculations'!$EM184)="","",TRIM(INDEX(INDIRECT("'WCM Calibration Final'!$E$1:$E$2000"),'Calculations'!$EM184)&amp;"")),""),'Calculations'!$HG$13:$HG$512,0)),IF(COUNTIF('Calculations'!$HG$13:$HG$512,"="&amp;SUBSTITUTE(SUBSTITUTE(SUBSTITUTE(IFERROR(IF(INDEX(INDIRECT("'WCM Calibration Final'!$E$1:$E$2000"),'Calculations'!$EM184)="","",TRIM(INDEX(INDIRECT("'WCM Calibration Final'!$E$1:$E$2000"),'Calculations'!$EM184)&amp;"")),""),"~","~~"),"*","~*"),"?","~?"))&gt;1,"!AMBIG","X:"&amp;IFERROR(IF(INDEX(INDIRECT("'WCM Calibration Final'!$E$1:$E$2000"),'Calculations'!$EM184)="","",TRIM(INDEX(INDIRECT("'WCM Calibration Final'!$E$1:$E$2000"),'Calculations'!$EM184)&amp;"")),""))))))</x:f>
      </x:c>
      <x:c r="HG184" t="str">
        <x:f>IF('Calculations'!EM184="","",IFERROR(IF(INDEX(INDIRECT("'WCM Calibration Final'!$B$1:$B$2000"),'Calculations'!$EM184)="","",TRIM(INDEX(INDIRECT("'WCM Calibration Final'!$B$1:$B$2000"),'Calculations'!$EM184)&amp;"")),""))</x:f>
      </x:c>
      <x:c r="HH184" t="n">
        <x:f>IF(AND('Calculations'!JC184&gt;0,COUNTIF('Calculations'!$HF$12:HF184,"="&amp;SUBSTITUTE(SUBSTITUTE(SUBSTITUTE('Calculations'!HF184,"~","~~"),"*","~*"),"?","~?"))=1),MAX('Calculations'!$HH$12:HH183)+1,0)</x:f>
        <x:v>0</x:v>
      </x:c>
      <x:c r="HI184" t="n">
        <x:f>IF(AND('Calculations'!HN184&lt;&gt;"",COUNTIF('Calculations'!$HN$12:HN184,"="&amp;SUBSTITUTE(SUBSTITUTE(SUBSTITUTE('Calculations'!HN184,"~","~~"),"*","~*"),"?","~?"))=1),MAX('Calculations'!$HI$12:HI183)+1,0)</x:f>
        <x:v>0</x:v>
      </x:c>
      <x:c r="HJ184" t="str">
        <x:f>IF('Calculations'!HF184="","",IF(COUNTIF('Calculations'!$HE$13:$HE$512,"="&amp;SUBSTITUTE(SUBSTITUTE(SUBSTITUTE('Calculations'!HF184,"~","~~"),"*","~*"),"?","~?"))=1,INDEX('Calculations'!$HK$13:$HK$512,MATCH('Calculations'!HF184,'Calculations'!$HE$13:$HE$512,0)),IFERROR(IF(INDEX(INDIRECT("'WCM Calibration Final'!$E$1:$E$2000"),'Calculations'!$EM184)="","",TRIM(INDEX(INDIRECT("'WCM Calibration Final'!$E$1:$E$2000"),'Calculations'!$EM184)&amp;"")),"")&amp;" ["&amp;'Calculations'!HF184&amp;"]"))</x:f>
      </x:c>
      <x:c r="HK184" t="str">
        <x:f>IF('Calculations'!EM184="","",'Calculations'!HG184&amp;" ["&amp;'Calculations'!HE184&amp;"]")</x:f>
      </x:c>
      <x:c r="HL184" t="n">
        <x:f>IF('Calculations'!EM184="",0,IF(OR('Calculations'!II184&lt;&gt;"",COUNTIF('Calculations'!$HE$13:$HE$512,"="&amp;SUBSTITUTE(SUBSTITUTE(SUBSTITUTE('Calculations'!HE184,"~","~~"),"*","~*"),"?","~?"))&gt;1),1,0))</x:f>
        <x:v>0</x:v>
      </x:c>
      <x:c r="HM184" t="str">
        <x:f>IF('Calculations'!EM184="","",IF('Calculations'!HL184=1,"!UNRESOLVED",IF('Calculations'!IH184&lt;&gt;"",'Calculations'!IH184,IF('Calculations'!IG184&lt;&gt;"",'Calculations'!IG184,IF('Calculations'!IF184&lt;&gt;"",'Calculations'!IF184,IF('Calculations'!IE184&lt;&gt;"",'Calculations'!IE184,IF('Calculations'!ID184&lt;&gt;"",'Calculations'!ID184,IF('Calculations'!IC184&lt;&gt;"",'Calculations'!IC184,IF('Calculations'!IB184&lt;&gt;"",'Calculations'!IB184,IF('Calculations'!IA184&lt;&gt;"",'Calculations'!IA184,IF('Calculations'!HZ184&lt;&gt;"",'Calculations'!HZ184,IF('Calculations'!HY184&lt;&gt;"",'Calculations'!HY184,IF('Calculations'!HX184&lt;&gt;"",'Calculations'!HX184,IF('Calculations'!HW184&lt;&gt;"",'Calculations'!HW184,IF('Calculations'!HV184&lt;&gt;"",'Calculations'!HV184,IF('Calculations'!HU184&lt;&gt;"",'Calculations'!HU184,IF('Calculations'!HT184&lt;&gt;"",'Calculations'!HT184,IF('Calculations'!HS184&lt;&gt;"",'Calculations'!HS184,IF('Calculations'!HR184&lt;&gt;"",'Calculations'!HR184,IF('Calculations'!HQ184&lt;&gt;"",'Calculations'!HQ184,IF('Calculations'!HP184&lt;&gt;"",'Calculations'!HP184,IF('Calculations'!HO184&lt;&gt;"",'Calculations'!HO184,'Calculations'!HE184))))))))))))))))))))))</x:f>
      </x:c>
      <x:c r="HN184" t="str">
        <x:f>IF('Calculations'!EM184="","",IF(IFERROR(IF(INDEX(INDIRECT("'WCM Calibration Final'!$F$1:$F$2000"),'Calculations'!$EM184)="","",TRIM(INDEX(INDIRECT("'WCM Calibration Final'!$F$1:$F$2000"),'Calculations'!$EM184)&amp;"")),"")="","(Blank)",IFERROR(IF(INDEX(INDIRECT("'WCM Calibration Final'!$F$1:$F$2000"),'Calculations'!$EM184)="","",TRIM(INDEX(INDIRECT("'WCM Calibration Final'!$F$1:$F$2000"),'Calculations'!$EM184)&amp;"")),"")))</x:f>
      </x:c>
      <x:c r="HO184" t="str">
        <x:f>'Calculations'!HF184</x:f>
      </x:c>
      <x:c r="HP184" t="str">
        <x:f>IF('Calculations'!HO184="","",IF('Calculations'!HO184="!AMBIG","!AMBIG",IF(COUNTIF('Calculations'!$HE$13:$HE$512,"="&amp;SUBSTITUTE(SUBSTITUTE(SUBSTITUTE('Calculations'!HO184,"~","~~"),"*","~*"),"?","~?"))&gt;1,"!AMBIG",IFERROR(INDEX('Calculations'!$HF$13:$HF$512,MATCH('Calculations'!HO184,'Calculations'!$HE$13:$HE$512,0)),""))))</x:f>
      </x:c>
      <x:c r="HQ184" t="str">
        <x:f>IF('Calculations'!HP184="","",IF('Calculations'!HP184="!AMBIG","!AMBIG",IF(COUNTIF('Calculations'!$HE$13:$HE$512,"="&amp;SUBSTITUTE(SUBSTITUTE(SUBSTITUTE('Calculations'!HP184,"~","~~"),"*","~*"),"?","~?"))&gt;1,"!AMBIG",IFERROR(INDEX('Calculations'!$HF$13:$HF$512,MATCH('Calculations'!HP184,'Calculations'!$HE$13:$HE$512,0)),""))))</x:f>
      </x:c>
      <x:c r="HR184" t="str">
        <x:f>IF('Calculations'!HQ184="","",IF('Calculations'!HQ184="!AMBIG","!AMBIG",IF(COUNTIF('Calculations'!$HE$13:$HE$512,"="&amp;SUBSTITUTE(SUBSTITUTE(SUBSTITUTE('Calculations'!HQ184,"~","~~"),"*","~*"),"?","~?"))&gt;1,"!AMBIG",IFERROR(INDEX('Calculations'!$HF$13:$HF$512,MATCH('Calculations'!HQ184,'Calculations'!$HE$13:$HE$512,0)),""))))</x:f>
      </x:c>
      <x:c r="HS184" t="str">
        <x:f>IF('Calculations'!HR184="","",IF('Calculations'!HR184="!AMBIG","!AMBIG",IF(COUNTIF('Calculations'!$HE$13:$HE$512,"="&amp;SUBSTITUTE(SUBSTITUTE(SUBSTITUTE('Calculations'!HR184,"~","~~"),"*","~*"),"?","~?"))&gt;1,"!AMBIG",IFERROR(INDEX('Calculations'!$HF$13:$HF$512,MATCH('Calculations'!HR184,'Calculations'!$HE$13:$HE$512,0)),""))))</x:f>
      </x:c>
      <x:c r="HT184" t="str">
        <x:f>IF('Calculations'!HS184="","",IF('Calculations'!HS184="!AMBIG","!AMBIG",IF(COUNTIF('Calculations'!$HE$13:$HE$512,"="&amp;SUBSTITUTE(SUBSTITUTE(SUBSTITUTE('Calculations'!HS184,"~","~~"),"*","~*"),"?","~?"))&gt;1,"!AMBIG",IFERROR(INDEX('Calculations'!$HF$13:$HF$512,MATCH('Calculations'!HS184,'Calculations'!$HE$13:$HE$512,0)),""))))</x:f>
      </x:c>
      <x:c r="HU184" t="str">
        <x:f>IF('Calculations'!HT184="","",IF('Calculations'!HT184="!AMBIG","!AMBIG",IF(COUNTIF('Calculations'!$HE$13:$HE$512,"="&amp;SUBSTITUTE(SUBSTITUTE(SUBSTITUTE('Calculations'!HT184,"~","~~"),"*","~*"),"?","~?"))&gt;1,"!AMBIG",IFERROR(INDEX('Calculations'!$HF$13:$HF$512,MATCH('Calculations'!HT184,'Calculations'!$HE$13:$HE$512,0)),""))))</x:f>
      </x:c>
      <x:c r="HV184" t="str">
        <x:f>IF('Calculations'!HU184="","",IF('Calculations'!HU184="!AMBIG","!AMBIG",IF(COUNTIF('Calculations'!$HE$13:$HE$512,"="&amp;SUBSTITUTE(SUBSTITUTE(SUBSTITUTE('Calculations'!HU184,"~","~~"),"*","~*"),"?","~?"))&gt;1,"!AMBIG",IFERROR(INDEX('Calculations'!$HF$13:$HF$512,MATCH('Calculations'!HU184,'Calculations'!$HE$13:$HE$512,0)),""))))</x:f>
      </x:c>
      <x:c r="HW184" t="str">
        <x:f>IF('Calculations'!HV184="","",IF('Calculations'!HV184="!AMBIG","!AMBIG",IF(COUNTIF('Calculations'!$HE$13:$HE$512,"="&amp;SUBSTITUTE(SUBSTITUTE(SUBSTITUTE('Calculations'!HV184,"~","~~"),"*","~*"),"?","~?"))&gt;1,"!AMBIG",IFERROR(INDEX('Calculations'!$HF$13:$HF$512,MATCH('Calculations'!HV184,'Calculations'!$HE$13:$HE$512,0)),""))))</x:f>
      </x:c>
      <x:c r="HX184" t="str">
        <x:f>IF('Calculations'!HW184="","",IF('Calculations'!HW184="!AMBIG","!AMBIG",IF(COUNTIF('Calculations'!$HE$13:$HE$512,"="&amp;SUBSTITUTE(SUBSTITUTE(SUBSTITUTE('Calculations'!HW184,"~","~~"),"*","~*"),"?","~?"))&gt;1,"!AMBIG",IFERROR(INDEX('Calculations'!$HF$13:$HF$512,MATCH('Calculations'!HW184,'Calculations'!$HE$13:$HE$512,0)),""))))</x:f>
      </x:c>
      <x:c r="HY184" t="str">
        <x:f>IF('Calculations'!HX184="","",IF('Calculations'!HX184="!AMBIG","!AMBIG",IF(COUNTIF('Calculations'!$HE$13:$HE$512,"="&amp;SUBSTITUTE(SUBSTITUTE(SUBSTITUTE('Calculations'!HX184,"~","~~"),"*","~*"),"?","~?"))&gt;1,"!AMBIG",IFERROR(INDEX('Calculations'!$HF$13:$HF$512,MATCH('Calculations'!HX184,'Calculations'!$HE$13:$HE$512,0)),""))))</x:f>
      </x:c>
      <x:c r="HZ184" t="str">
        <x:f>IF('Calculations'!HY184="","",IF('Calculations'!HY184="!AMBIG","!AMBIG",IF(COUNTIF('Calculations'!$HE$13:$HE$512,"="&amp;SUBSTITUTE(SUBSTITUTE(SUBSTITUTE('Calculations'!HY184,"~","~~"),"*","~*"),"?","~?"))&gt;1,"!AMBIG",IFERROR(INDEX('Calculations'!$HF$13:$HF$512,MATCH('Calculations'!HY184,'Calculations'!$HE$13:$HE$512,0)),""))))</x:f>
      </x:c>
      <x:c r="IA184" t="str">
        <x:f>IF('Calculations'!HZ184="","",IF('Calculations'!HZ184="!AMBIG","!AMBIG",IF(COUNTIF('Calculations'!$HE$13:$HE$512,"="&amp;SUBSTITUTE(SUBSTITUTE(SUBSTITUTE('Calculations'!HZ184,"~","~~"),"*","~*"),"?","~?"))&gt;1,"!AMBIG",IFERROR(INDEX('Calculations'!$HF$13:$HF$512,MATCH('Calculations'!HZ184,'Calculations'!$HE$13:$HE$512,0)),""))))</x:f>
      </x:c>
      <x:c r="IB184" t="str">
        <x:f>IF('Calculations'!IA184="","",IF('Calculations'!IA184="!AMBIG","!AMBIG",IF(COUNTIF('Calculations'!$HE$13:$HE$512,"="&amp;SUBSTITUTE(SUBSTITUTE(SUBSTITUTE('Calculations'!IA184,"~","~~"),"*","~*"),"?","~?"))&gt;1,"!AMBIG",IFERROR(INDEX('Calculations'!$HF$13:$HF$512,MATCH('Calculations'!IA184,'Calculations'!$HE$13:$HE$512,0)),""))))</x:f>
      </x:c>
      <x:c r="IC184" t="str">
        <x:f>IF('Calculations'!IB184="","",IF('Calculations'!IB184="!AMBIG","!AMBIG",IF(COUNTIF('Calculations'!$HE$13:$HE$512,"="&amp;SUBSTITUTE(SUBSTITUTE(SUBSTITUTE('Calculations'!IB184,"~","~~"),"*","~*"),"?","~?"))&gt;1,"!AMBIG",IFERROR(INDEX('Calculations'!$HF$13:$HF$512,MATCH('Calculations'!IB184,'Calculations'!$HE$13:$HE$512,0)),""))))</x:f>
      </x:c>
      <x:c r="ID184" t="str">
        <x:f>IF('Calculations'!IC184="","",IF('Calculations'!IC184="!AMBIG","!AMBIG",IF(COUNTIF('Calculations'!$HE$13:$HE$512,"="&amp;SUBSTITUTE(SUBSTITUTE(SUBSTITUTE('Calculations'!IC184,"~","~~"),"*","~*"),"?","~?"))&gt;1,"!AMBIG",IFERROR(INDEX('Calculations'!$HF$13:$HF$512,MATCH('Calculations'!IC184,'Calculations'!$HE$13:$HE$512,0)),""))))</x:f>
      </x:c>
      <x:c r="IE184" t="str">
        <x:f>IF('Calculations'!ID184="","",IF('Calculations'!ID184="!AMBIG","!AMBIG",IF(COUNTIF('Calculations'!$HE$13:$HE$512,"="&amp;SUBSTITUTE(SUBSTITUTE(SUBSTITUTE('Calculations'!ID184,"~","~~"),"*","~*"),"?","~?"))&gt;1,"!AMBIG",IFERROR(INDEX('Calculations'!$HF$13:$HF$512,MATCH('Calculations'!ID184,'Calculations'!$HE$13:$HE$512,0)),""))))</x:f>
      </x:c>
      <x:c r="IF184" t="str">
        <x:f>IF('Calculations'!IE184="","",IF('Calculations'!IE184="!AMBIG","!AMBIG",IF(COUNTIF('Calculations'!$HE$13:$HE$512,"="&amp;SUBSTITUTE(SUBSTITUTE(SUBSTITUTE('Calculations'!IE184,"~","~~"),"*","~*"),"?","~?"))&gt;1,"!AMBIG",IFERROR(INDEX('Calculations'!$HF$13:$HF$512,MATCH('Calculations'!IE184,'Calculations'!$HE$13:$HE$512,0)),""))))</x:f>
      </x:c>
      <x:c r="IG184" t="str">
        <x:f>IF('Calculations'!IF184="","",IF('Calculations'!IF184="!AMBIG","!AMBIG",IF(COUNTIF('Calculations'!$HE$13:$HE$512,"="&amp;SUBSTITUTE(SUBSTITUTE(SUBSTITUTE('Calculations'!IF184,"~","~~"),"*","~*"),"?","~?"))&gt;1,"!AMBIG",IFERROR(INDEX('Calculations'!$HF$13:$HF$512,MATCH('Calculations'!IF184,'Calculations'!$HE$13:$HE$512,0)),""))))</x:f>
      </x:c>
      <x:c r="IH184" t="str">
        <x:f>IF('Calculations'!IG184="","",IF('Calculations'!IG184="!AMBIG","!AMBIG",IF(COUNTIF('Calculations'!$HE$13:$HE$512,"="&amp;SUBSTITUTE(SUBSTITUTE(SUBSTITUTE('Calculations'!IG184,"~","~~"),"*","~*"),"?","~?"))&gt;1,"!AMBIG",IFERROR(INDEX('Calculations'!$HF$13:$HF$512,MATCH('Calculations'!IG184,'Calculations'!$HE$13:$HE$512,0)),""))))</x:f>
      </x:c>
      <x:c r="II184" t="str">
        <x:f>IF('Calculations'!IH184="","",IF('Calculations'!IH184="!AMBIG","!AMBIG",IF(COUNTIF('Calculations'!$HE$13:$HE$512,"="&amp;SUBSTITUTE(SUBSTITUTE(SUBSTITUTE('Calculations'!IH184,"~","~~"),"*","~*"),"?","~?"))&gt;1,"!AMBIG",IFERROR(INDEX('Calculations'!$HF$13:$HF$512,MATCH('Calculations'!IH184,'Calculations'!$HE$13:$HE$512,0)),""))))</x:f>
      </x:c>
      <x:c r="IJ184" t="str">
        <x:f>IF('Calculations'!EM184="","",IF('Calculations'!$EF$2="All",'Calculations'!HM184,IF('Calculations'!HL184=1,"",IFERROR(IF(MATCH('Calculations'!$EF$2,'Calculations'!HO184:II184,0)=1,'Calculations'!HE184,INDEX('Calculations'!HO184:II184,1,MATCH('Calculations'!$EF$2,'Calculations'!HO184:II184,0)-1)),""))))</x:f>
      </x:c>
      <x:c r="IK184" t="n">
        <x:f>IF(AND('Calculations'!EM184&lt;&gt;"",'Calculations'!$EF$2&lt;&gt;"All",'Calculations'!HF184='Calculations'!$EF$2,'Calculations'!HL184=0,'Calculations'!JD184&gt;0),MAX('Calculations'!$IK$12:IK183)+1,0)</x:f>
        <x:v>0</x:v>
      </x:c>
      <x:c r="JA184" t="n">
        <x:f>IF(OR(IFERROR(INDIRECT("'WCM Calibration Final'!$A$184")&lt;&gt;"",FALSE),IFERROR(INDIRECT("'WCM Calibration Final'!$B$184")&lt;&gt;"",FALSE),IFERROR(INDIRECT("'WCM Calibration Final'!$C$184")&lt;&gt;"",FALSE)),184,0)</x:f>
        <x:v>0</x:v>
      </x:c>
      <x:c r="JB184" t="n">
        <x:f>'Calculations'!JB183+IF('Calculations'!JA184&gt;0,1,0)</x:f>
        <x:v>0</x:v>
      </x:c>
      <x:c r="JC184" t="n">
        <x:f>IF(OR('Calculations'!HF184="",'Calculations'!HF184="!AMBIG"),0,IF('Dashboard'!$B$7="All",1,COUNTIFS('Calculations'!$HO$13:$HO$512,"="&amp;SUBSTITUTE(SUBSTITUTE(SUBSTITUTE('Calculations'!HF184,"~","~~"),"*","~*"),"?","~?"),'Calculations'!$HN$13:$HN$512,"="&amp;SUBSTITUTE(SUBSTITUTE(SUBSTITUTE('Dashboard'!$B$7,"~","~~"),"*","~*"),"?","~?"))+COUNTIFS('Calculations'!$HP$13:$HP$512,"="&amp;SUBSTITUTE(SUBSTITUTE(SUBSTITUTE('Calculations'!HF184,"~","~~"),"*","~*"),"?","~?"),'Calculations'!$HN$13:$HN$512,"="&amp;SUBSTITUTE(SUBSTITUTE(SUBSTITUTE('Dashboard'!$B$7,"~","~~"),"*","~*"),"?","~?"))+COUNTIFS('Calculations'!$HQ$13:$HQ$512,"="&amp;SUBSTITUTE(SUBSTITUTE(SUBSTITUTE('Calculations'!HF184,"~","~~"),"*","~*"),"?","~?"),'Calculations'!$HN$13:$HN$512,"="&amp;SUBSTITUTE(SUBSTITUTE(SUBSTITUTE('Dashboard'!$B$7,"~","~~"),"*","~*"),"?","~?"))+COUNTIFS('Calculations'!$HR$13:$HR$512,"="&amp;SUBSTITUTE(SUBSTITUTE(SUBSTITUTE('Calculations'!HF184,"~","~~"),"*","~*"),"?","~?"),'Calculations'!$HN$13:$HN$512,"="&amp;SUBSTITUTE(SUBSTITUTE(SUBSTITUTE('Dashboard'!$B$7,"~","~~"),"*","~*"),"?","~?"))+COUNTIFS('Calculations'!$HS$13:$HS$512,"="&amp;SUBSTITUTE(SUBSTITUTE(SUBSTITUTE('Calculations'!HF184,"~","~~"),"*","~*"),"?","~?"),'Calculations'!$HN$13:$HN$512,"="&amp;SUBSTITUTE(SUBSTITUTE(SUBSTITUTE('Dashboard'!$B$7,"~","~~"),"*","~*"),"?","~?"))+COUNTIFS('Calculations'!$HT$13:$HT$512,"="&amp;SUBSTITUTE(SUBSTITUTE(SUBSTITUTE('Calculations'!HF184,"~","~~"),"*","~*"),"?","~?"),'Calculations'!$HN$13:$HN$512,"="&amp;SUBSTITUTE(SUBSTITUTE(SUBSTITUTE('Dashboard'!$B$7,"~","~~"),"*","~*"),"?","~?"))+COUNTIFS('Calculations'!$HU$13:$HU$512,"="&amp;SUBSTITUTE(SUBSTITUTE(SUBSTITUTE('Calculations'!HF184,"~","~~"),"*","~*"),"?","~?"),'Calculations'!$HN$13:$HN$512,"="&amp;SUBSTITUTE(SUBSTITUTE(SUBSTITUTE('Dashboard'!$B$7,"~","~~"),"*","~*"),"?","~?"))+COUNTIFS('Calculations'!$HV$13:$HV$512,"="&amp;SUBSTITUTE(SUBSTITUTE(SUBSTITUTE('Calculations'!HF184,"~","~~"),"*","~*"),"?","~?"),'Calculations'!$HN$13:$HN$512,"="&amp;SUBSTITUTE(SUBSTITUTE(SUBSTITUTE('Dashboard'!$B$7,"~","~~"),"*","~*"),"?","~?"))+COUNTIFS('Calculations'!$HW$13:$HW$512,"="&amp;SUBSTITUTE(SUBSTITUTE(SUBSTITUTE('Calculations'!HF184,"~","~~"),"*","~*"),"?","~?"),'Calculations'!$HN$13:$HN$512,"="&amp;SUBSTITUTE(SUBSTITUTE(SUBSTITUTE('Dashboard'!$B$7,"~","~~"),"*","~*"),"?","~?"))+COUNTIFS('Calculations'!$HX$13:$HX$512,"="&amp;SUBSTITUTE(SUBSTITUTE(SUBSTITUTE('Calculations'!HF184,"~","~~"),"*","~*"),"?","~?"),'Calculations'!$HN$13:$HN$512,"="&amp;SUBSTITUTE(SUBSTITUTE(SUBSTITUTE('Dashboard'!$B$7,"~","~~"),"*","~*"),"?","~?"))+COUNTIFS('Calculations'!$HY$13:$HY$512,"="&amp;SUBSTITUTE(SUBSTITUTE(SUBSTITUTE('Calculations'!HF184,"~","~~"),"*","~*"),"?","~?"),'Calculations'!$HN$13:$HN$512,"="&amp;SUBSTITUTE(SUBSTITUTE(SUBSTITUTE('Dashboard'!$B$7,"~","~~"),"*","~*"),"?","~?"))+COUNTIFS('Calculations'!$HZ$13:$HZ$512,"="&amp;SUBSTITUTE(SUBSTITUTE(SUBSTITUTE('Calculations'!HF184,"~","~~"),"*","~*"),"?","~?"),'Calculations'!$HN$13:$HN$512,"="&amp;SUBSTITUTE(SUBSTITUTE(SUBSTITUTE('Dashboard'!$B$7,"~","~~"),"*","~*"),"?","~?"))+COUNTIFS('Calculations'!$IA$13:$IA$512,"="&amp;SUBSTITUTE(SUBSTITUTE(SUBSTITUTE('Calculations'!HF184,"~","~~"),"*","~*"),"?","~?"),'Calculations'!$HN$13:$HN$512,"="&amp;SUBSTITUTE(SUBSTITUTE(SUBSTITUTE('Dashboard'!$B$7,"~","~~"),"*","~*"),"?","~?"))+COUNTIFS('Calculations'!$IB$13:$IB$512,"="&amp;SUBSTITUTE(SUBSTITUTE(SUBSTITUTE('Calculations'!HF184,"~","~~"),"*","~*"),"?","~?"),'Calculations'!$HN$13:$HN$512,"="&amp;SUBSTITUTE(SUBSTITUTE(SUBSTITUTE('Dashboard'!$B$7,"~","~~"),"*","~*"),"?","~?"))+COUNTIFS('Calculations'!$IC$13:$IC$512,"="&amp;SUBSTITUTE(SUBSTITUTE(SUBSTITUTE('Calculations'!HF184,"~","~~"),"*","~*"),"?","~?"),'Calculations'!$HN$13:$HN$512,"="&amp;SUBSTITUTE(SUBSTITUTE(SUBSTITUTE('Dashboard'!$B$7,"~","~~"),"*","~*"),"?","~?"))+COUNTIFS('Calculations'!$ID$13:$ID$512,"="&amp;SUBSTITUTE(SUBSTITUTE(SUBSTITUTE('Calculations'!HF184,"~","~~"),"*","~*"),"?","~?"),'Calculations'!$HN$13:$HN$512,"="&amp;SUBSTITUTE(SUBSTITUTE(SUBSTITUTE('Dashboard'!$B$7,"~","~~"),"*","~*"),"?","~?"))+COUNTIFS('Calculations'!$IE$13:$IE$512,"="&amp;SUBSTITUTE(SUBSTITUTE(SUBSTITUTE('Calculations'!HF184,"~","~~"),"*","~*"),"?","~?"),'Calculations'!$HN$13:$HN$512,"="&amp;SUBSTITUTE(SUBSTITUTE(SUBSTITUTE('Dashboard'!$B$7,"~","~~"),"*","~*"),"?","~?"))+COUNTIFS('Calculations'!$IF$13:$IF$512,"="&amp;SUBSTITUTE(SUBSTITUTE(SUBSTITUTE('Calculations'!HF184,"~","~~"),"*","~*"),"?","~?"),'Calculations'!$HN$13:$HN$512,"="&amp;SUBSTITUTE(SUBSTITUTE(SUBSTITUTE('Dashboard'!$B$7,"~","~~"),"*","~*"),"?","~?"))+COUNTIFS('Calculations'!$IG$13:$IG$512,"="&amp;SUBSTITUTE(SUBSTITUTE(SUBSTITUTE('Calculations'!HF184,"~","~~"),"*","~*"),"?","~?"),'Calculations'!$HN$13:$HN$512,"="&amp;SUBSTITUTE(SUBSTITUTE(SUBSTITUTE('Dashboard'!$B$7,"~","~~"),"*","~*"),"?","~?"))+COUNTIFS('Calculations'!$IH$13:$IH$512,"="&amp;SUBSTITUTE(SUBSTITUTE(SUBSTITUTE('Calculations'!HF184,"~","~~"),"*","~*"),"?","~?"),'Calculations'!$HN$13:$HN$512,"="&amp;SUBSTITUTE(SUBSTITUTE(SUBSTITUTE('Dashboard'!$B$7,"~","~~"),"*","~*"),"?","~?"))))</x:f>
        <x:v>0</x:v>
      </x:c>
      <x:c r="JD184" t="n">
        <x:f>IF('Calculations'!EM184="",0,IF('Dashboard'!$B$7="All",1,IF('Calculations'!HN184='Dashboard'!$B$7,1,0)+IFERROR(INDEX('Calculations'!$JC$13:$JC$512,MATCH('Calculations'!HE184,'Calculations'!$HF$13:$HF$512,0)),0)))</x:f>
        <x:v>0</x:v>
      </x:c>
      <x:c r="JE184" t="n">
        <x:f>IF(AND('Calculations'!EM184&lt;&gt;"",'Calculations'!$JJ$2&lt;&gt;"All",'Calculations'!$JJ$2&lt;&gt;"",'Calculations'!HF184='Calculations'!$JJ$2,'Calculations'!HL184=0,'Calculations'!JD184&gt;0),MAX('Calculations'!$JE$12:JE183)+1,0)</x:f>
        <x:v>0</x:v>
      </x:c>
      <x:c r="JF184" t="str">
        <x:f>IF('Calculations'!EM184="","",IFERROR(IF(INDEX(INDIRECT("'WCM Calibration Final'!$G$1:$G$2000"),'Calculations'!$EM184)="","",TRIM(INDEX(INDIRECT("'WCM Calibration Final'!$G$1:$G$2000"),'Calculations'!$EM184)&amp;"")),""))</x:f>
      </x:c>
      <x:c r="JQ184" t="n">
        <x:f>IF(OR('Calculations'!BM184=0,NOT('Calculations'!$AG$2),'Calculations'!$AG$8&gt;0),0,IF(OR('Dashboard'!$B$7="All",'Calculations'!HN184='Dashboard'!$B$7),IF('Calculations'!$JJ$2="All",1,IF(AND('Calculations'!HF184='Calculations'!$JJ$2,'Calculations'!HL184=0),1,0)),0))</x:f>
        <x:v>0</x:v>
      </x:c>
    </x:row>
    <x:row r="185">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t="n">
        <x:f>IF('Calculations'!$EM185="",0,IF(OR(IFERROR(INDEX(INDIRECT("'WCM Calibration Final'!$A$1:$A$2000"),'Calculations'!$EM185)&lt;&gt;"",FALSE),IFERROR(INDEX(INDIRECT("'WCM Calibration Final'!$B$1:$B$2000"),'Calculations'!$EM185)&lt;&gt;"",FALSE),IFERROR(INDEX(INDIRECT("'WCM Calibration Final'!$C$1:$C$2000"),'Calculations'!$EM185)&lt;&gt;"",FALSE)),1,0))</x:f>
        <x:v>0</x:v>
      </x:c>
      <x:c r="BN185" s="4" t="n">
        <x:f>IF(AND('Calculations'!BM185=1,'Calculations'!$AG$2,'Calculations'!$EN185=1),1,0)</x:f>
        <x:v>0</x:v>
      </x:c>
      <x:c r="BO185" s="4" t="str">
        <x:f>IF('Calculations'!BM185=0,"",IFERROR(IF(AND(VALUE(INDEX(INDIRECT("'WCM Calibration Final'!$K$1:$K$2000"),'Calculations'!$EM185))&gt;=1,VALUE(INDEX(INDIRECT("'WCM Calibration Final'!$K$1:$K$2000"),'Calculations'!$EM185))&lt;=4,MOD(VALUE(INDEX(INDIRECT("'WCM Calibration Final'!$K$1:$K$2000"),'Calculations'!$EM185)),1)=0),VALUE(INDEX(INDIRECT("'WCM Calibration Final'!$K$1:$K$2000"),'Calculations'!$EM185)),""),""))</x:f>
      </x:c>
      <x:c r="BP185" s="4" t="str">
        <x:f>IF('Calculations'!BM185=0,"",IFERROR(IF(AND(VALUE(INDEX(INDIRECT("'WCM Calibration Final'!$L$1:$L$2000"),'Calculations'!$EM185))&gt;=1,VALUE(INDEX(INDIRECT("'WCM Calibration Final'!$L$1:$L$2000"),'Calculations'!$EM185))&lt;=4,MOD(VALUE(INDEX(INDIRECT("'WCM Calibration Final'!$L$1:$L$2000"),'Calculations'!$EM185)),1)=0),VALUE(INDEX(INDIRECT("'WCM Calibration Final'!$L$1:$L$2000"),'Calculations'!$EM185)),""),""))</x:f>
      </x:c>
      <x:c r="BQ185" s="4"/>
      <x:c r="BR185" s="4"/>
      <x:c r="BS185" s="4"/>
      <x:c r="BT185" s="4" t="n">
        <x:f>IF(AND('Calculations'!BM185=1,ISNUMBER('Calculations'!BO185),ISNUMBER('Calculations'!BP185)),1,0)</x:f>
        <x:v>0</x:v>
      </x:c>
      <x:c r="BU185" s="4" t="str">
        <x:f>IF('Calculations'!BM185=0,"",'Calculations'!$EO185)</x:f>
      </x:c>
      <x:c r="BV185" s="4" t="str">
        <x:f>IF('Calculations'!BM185=0,"",IFERROR(IF(OR(INDEX(INDIRECT("'WCM Calibration Final'!$H$1:$H$2000"),'Calculations'!$EM185)="MANAGING DIRECTOR",INDEX(INDIRECT("'WCM Calibration Final'!$H$1:$H$2000"),'Calculations'!$EM185)="DIRECTOR",INDEX(INDIRECT("'WCM Calibration Final'!$H$1:$H$2000"),'Calculations'!$EM185)="SENIOR VICE PRESIDENT",INDEX(INDIRECT("'WCM Calibration Final'!$H$1:$H$2000"),'Calculations'!$EM185)="VICE PRESIDENT",INDEX(INDIRECT("'WCM Calibration Final'!$H$1:$H$2000"),'Calculations'!$EM185)="ASSISTANT VICE PRESIDENT",INDEX(INDIRECT("'WCM Calibration Final'!$H$1:$H$2000"),'Calculations'!$EM185)="OFFICER"),UPPER(INDEX(INDIRECT("'WCM Calibration Final'!$H$1:$H$2000"),'Calculations'!$EM185)),"Other"),"Other"))</x:f>
      </x:c>
      <x:c r="BW185" s="4"/>
      <x:c r="BX185" s="4"/>
      <x:c r="BY185" s="4" t="n">
        <x:f>IF(AND('Calculations'!BM185=1,'Calculations'!BU185&lt;&gt;"",COUNTIF('Calculations'!$BU$12:BU185,'Calculations'!BU185)=1),MAX('Calculations'!$BY$11:BY184)+1,0)</x:f>
        <x:v>0</x:v>
      </x:c>
      <x:c r="BZ185" s="4" t="str">
        <x:f>IF('Dashboard'!$E$67="What",'Calculations'!BO185,'Calculations'!BP185)</x:f>
      </x:c>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t="str">
        <x:f>IF(174&gt;MAX('Calculations'!$HI$13:$HI$512),"",INDEX('Calculations'!$HN$13:$HN$512,MATCH(174,'Calculations'!$HI$13:$HI$512,0)))</x:f>
      </x:c>
      <x:c r="DB185" s="4" t="str">
        <x:f>IF(174&gt;MAX('Calculations'!$HH$13:$HH$512),"",INDEX('Calculations'!$HJ$13:$HJ$512,MATCH(174,'Calculations'!$HH$13:$HH$512,0)))</x:f>
      </x:c>
      <x:c r="DC185" s="4" t="str">
        <x:f>IF(ROW()-11&gt;MAX('Calculations'!$BY$13:$BY$512),"",INDEX('Calculations'!$BU$13:$BU$512,MATCH(ROW()-11,'Calculations'!$BY$13:$BY$512,0)))</x:f>
      </x:c>
      <x:c r="DD185" s="4" t="str">
        <x:f>IF(174&gt;MAX('Calculations'!$IK$13:$IK$512),"",INDEX('Calculations'!$HK$13:$HK$512,MATCH(174,'Calculations'!$IK$13:$IK$512,0)))</x:f>
      </x:c>
      <x:c r="DE185" s="4" t="str">
        <x:f>'Calculations'!DC185</x:f>
      </x:c>
      <x:c r="DF185" s="4" t="str">
        <x:f>IF('Calculations'!DE185="","",COUNTIFS('Calculations'!$BN$13:$BN$512,1,'Calculations'!$BU$13:$BU$512,'Calculations'!DE185))</x:f>
      </x:c>
      <x:c r="DG185" s="4" t="str">
        <x:f>IF('Calculations'!DE185="","",COUNTIFS('Calculations'!$BN$13:$BN$512,1,'Calculations'!$BU$13:$BU$512,'Calculations'!DE185,'Calculations'!$BT$13:$BT$512,1))</x:f>
      </x:c>
      <x:c r="DH185" s="4" t="str">
        <x:f>IF('Calculations'!DE185="","",'Calculations'!DF185-'Calculations'!DG185)</x:f>
      </x:c>
      <x:c r="DI185" s="4" t="str">
        <x:f>IF(OR('Calculations'!DE185="",'Calculations'!DF185=0),"",'Calculations'!DG185/'Calculations'!DF185)</x:f>
      </x:c>
      <x:c r="DJ185" s="4" t="str">
        <x:f>IF('Calculations'!DE185="","",COUNTIFS('Calculations'!$BN$13:$BN$512,1,'Calculations'!$BU$13:$BU$512,'Calculations'!DE185,'Calculations'!$BT$13:$BT$512,1,'Calculations'!$EE$13:$EE$512,"High"))</x:f>
      </x:c>
      <x:c r="DK185" s="4" t="str">
        <x:f>IF('Calculations'!DE185="","",COUNTIFS('Calculations'!$BN$13:$BN$512,1,'Calculations'!$BU$13:$BU$512,'Calculations'!DE185,'Calculations'!$BT$13:$BT$512,1,'Calculations'!$EE$13:$EE$512,"Strong"))</x:f>
      </x:c>
      <x:c r="DL185" s="4" t="str">
        <x:f>IF('Calculations'!DE185="","",COUNTIFS('Calculations'!$BN$13:$BN$512,1,'Calculations'!$BU$13:$BU$512,'Calculations'!DE185,'Calculations'!$BT$13:$BT$512,1,'Calculations'!$EE$13:$EE$512,"Solid"))</x:f>
      </x:c>
      <x:c r="DM185" s="4" t="str">
        <x:f>IF('Calculations'!DE185="","",COUNTIFS('Calculations'!$BN$13:$BN$512,1,'Calculations'!$BU$13:$BU$512,'Calculations'!DE185,'Calculations'!$BT$13:$BT$512,1,'Calculations'!$EE$13:$EE$512,"Low"))</x:f>
      </x:c>
      <x:c r="DN185" s="4" t="str">
        <x:f>IF('Calculations'!DE185="","",COUNTIFS('Calculations'!$BN$13:$BN$512,1,'Calculations'!$BU$13:$BU$512,'Calculations'!DE185,'Calculations'!$EP$13:$EP$512,1))</x:f>
      </x:c>
      <x:c r="DO185" s="4" t="str">
        <x:f>IF(OR('Calculations'!DE185="",'Calculations'!DG185=0),"",('Calculations'!DJ185+'Calculations'!DK185)/'Calculations'!DG185)</x:f>
      </x:c>
      <x:c r="DP185" s="4" t="n">
        <x:f>IF(AND('Calculations'!DE185&lt;&gt;"",'Calculations'!DF185&gt;0),COUNTIF('Calculations'!$DF$12:DF185,"&gt;0"),0)</x:f>
        <x:v>0</x:v>
      </x:c>
      <x:c r="DQ185" s="4" t="str">
        <x:f>IF(174&gt;MAX('Calculations'!$HH$13:$HH$512),"",INDEX('Calculations'!$HF$13:$HF$512,MATCH(174,'Calculations'!$HH$13:$HH$512,0)))</x:f>
      </x:c>
      <x:c r="DR185" s="4" t="str">
        <x:f>IF(174&gt;MAX('Calculations'!$IK$13:$IK$512),"",INDEX('Calculations'!$HE$13:$HE$512,MATCH(174,'Calculations'!$IK$13:$IK$512,0)))</x:f>
      </x:c>
      <x:c r="DS185" s="4"/>
      <x:c r="DT185" s="4"/>
      <x:c r="DU185" s="4"/>
      <x:c r="DV185" s="4"/>
      <x:c r="DW185" s="4"/>
      <x:c r="DX185" s="4"/>
      <x:c r="DY185" s="4"/>
      <x:c r="DZ185" s="4"/>
      <x:c r="EA185" s="4"/>
      <x:c r="EB185" s="4"/>
      <x:c r="EC185" s="4"/>
      <x:c r="ED185" s="4"/>
      <x:c r="EE185" s="4" t="str">
        <x:f>IF('Calculations'!BT185=0,"Not Rated",IF(OR('Calculations'!BO185&gt;=4,'Calculations'!BP185&gt;=4),"Low",IF('Calculations'!BO185+'Calculations'!BP185&lt;=3,"High",IF('Calculations'!BO185+'Calculations'!BP185&lt;=4,"Strong","Solid"))))</x:f>
        <x:v>Not Rated</x:v>
      </x:c>
      <x:c r="EF185" s="4"/>
      <x:c r="EG185" s="4"/>
      <x:c r="EH185" s="4"/>
      <x:c r="EI185" s="4"/>
      <x:c r="EJ185" s="4"/>
      <x:c r="EK185" s="4"/>
      <x:c r="EL185" s="4"/>
      <x:c r="EM185" s="4" t="str">
        <x:f>IF(173&gt;'Calculations'!$JB$2000,"",INDEX('Calculations'!$JA$12:$JA$2000,MATCH(173,'Calculations'!$JB$12:$JB$2000,0)))</x:f>
      </x:c>
      <x:c r="EN185" s="4" t="n">
        <x:f>IF(OR('Calculations'!EM185="",'Calculations'!$AG$8&gt;0,AND('Calculations'!$EF$2&lt;&gt;"All",'Calculations'!HE185='Calculations'!$EF$2),AND('Calculations'!$EF$3&lt;&gt;"All",'Calculations'!HE185='Calculations'!$EF$3)),0,IF(OR('Dashboard'!$B$7="All",'Calculations'!HN185='Dashboard'!$B$7),IF('Calculations'!$EF$2="All",1,IF('Calculations'!HL185&gt;0,0,IF(COUNTIF('Calculations'!HO185:II185,"="&amp;SUBSTITUTE(SUBSTITUTE(SUBSTITUTE('Calculations'!$EF$2,"~","~~"),"*","~*"),"?","~?"))=0,0,IF('Calculations'!$EF$3="All",1,IF(COUNTIF('Calculations'!HO185:II185,"="&amp;SUBSTITUTE(SUBSTITUTE(SUBSTITUTE('Calculations'!$EF$3,"~","~~"),"*","~*"),"?","~?"))&gt;0,1,0))))),0))</x:f>
        <x:v>0</x:v>
      </x:c>
      <x:c r="EO185" s="4" t="str">
        <x:f>IF('Calculations'!IJ185="","",IF('Calculations'!IJ185="!UNRESOLVED","Unresolved hierarchy",IFERROR(INDEX('Calculations'!$HK$13:$HK$512,MATCH('Calculations'!IJ185,'Calculations'!$HE$13:$HE$512,0)),IFERROR(INDEX('Calculations'!$HJ$13:$HJ$512,MATCH('Calculations'!IJ185,'Calculations'!$HF$13:$HF$512,0)),'Calculations'!IJ185))))</x:f>
      </x:c>
      <x:c r="EP185" s="4" t="n">
        <x:f>IF(AND('Calculations'!EM185&lt;&gt;"",'Calculations'!HF185='Calculations'!IJ185),1,0)</x:f>
        <x:v>0</x:v>
      </x:c>
      <x:c r="EQ185" s="4"/>
      <x:c r="ER185" s="4"/>
      <x:c r="ES185" s="4"/>
      <x:c r="ET185" s="4"/>
      <x:c r="EU185" s="4"/>
      <x:c r="EV185" s="4"/>
      <x:c r="EW185" s="4"/>
      <x:c r="EX185" s="4"/>
      <x:c r="EY185" s="4"/>
      <x:c r="EZ185" s="4"/>
      <x:c r="FA185" s="4"/>
      <x:c r="FB185" s="4"/>
      <x:c r="FC185" s="4"/>
      <x:c r="FD185" s="4"/>
      <x:c r="FE185" s="4"/>
      <x:c r="FF185" s="4"/>
      <x:c r="FG185" s="4"/>
      <x:c r="FH185" s="4"/>
      <x:c r="FI185" s="4"/>
      <x:c r="FJ185" s="4"/>
      <x:c r="FK185" s="4"/>
      <x:c r="FL185" s="4"/>
      <x:c r="FM185" s="4"/>
      <x:c r="FN185" s="4"/>
      <x:c r="FO185" s="4"/>
      <x:c r="GA185" s="71"/>
      <x:c r="GB185" s="71"/>
      <x:c r="GC185" s="71"/>
      <x:c r="GD185" s="71"/>
      <x:c r="GE185" s="71"/>
      <x:c r="GF185" s="71"/>
      <x:c r="GG185" s="71"/>
      <x:c r="GH185" s="71"/>
      <x:c r="GI185" s="71"/>
      <x:c r="GJ185" s="71"/>
      <x:c r="GK185" s="71"/>
      <x:c r="GL185" s="71"/>
      <x:c r="GM185" s="71"/>
      <x:c r="GN185" s="71"/>
      <x:c r="GO185" s="71"/>
      <x:c r="GP185" s="71"/>
      <x:c r="GQ185" s="71"/>
      <x:c r="GR185" s="71"/>
      <x:c r="GS185" s="71"/>
      <x:c r="GT185" s="71"/>
      <x:c r="GU185" s="71"/>
      <x:c r="GV185" s="71"/>
      <x:c r="GW185" s="71"/>
      <x:c r="GX185" s="71"/>
      <x:c r="GY185" s="71"/>
      <x:c r="GZ185" s="71"/>
      <x:c r="HA185" s="71"/>
      <x:c r="HB185" s="71"/>
      <x:c r="HC185" s="71"/>
      <x:c r="HD185" s="71"/>
      <x:c r="HE185" t="str">
        <x:f>IF('Calculations'!EM185="","",IF(IFERROR(IF(INDEX(INDIRECT("'WCM Calibration Final'!$A$1:$A$2000"),'Calculations'!$EM185)="","",TRIM(INDEX(INDIRECT("'WCM Calibration Final'!$A$1:$A$2000"),'Calculations'!$EM185)&amp;"")),"")&lt;&gt;"","G:"&amp;IFERROR(TEXT(1*INDEX(INDIRECT("'WCM Calibration Final'!$A$1:$A$2000"),'Calculations'!$EM185),"0"),UPPER(IFERROR(IF(INDEX(INDIRECT("'WCM Calibration Final'!$A$1:$A$2000"),'Calculations'!$EM185)="","",TRIM(INDEX(INDIRECT("'WCM Calibration Final'!$A$1:$A$2000"),'Calculations'!$EM185)&amp;"")),""))),IF(IFERROR(IF(INDEX(INDIRECT("'WCM Calibration Final'!$C$1:$C$2000"),'Calculations'!$EM185)="","",TRIM(INDEX(INDIRECT("'WCM Calibration Final'!$C$1:$C$2000"),'Calculations'!$EM185)&amp;"")),"")&lt;&gt;"","S:"&amp;UPPER(IFERROR(IF(INDEX(INDIRECT("'WCM Calibration Final'!$C$1:$C$2000"),'Calculations'!$EM185)="","",TRIM(INDEX(INDIRECT("'WCM Calibration Final'!$C$1:$C$2000"),'Calculations'!$EM185)&amp;"")),"")),"R:"&amp;'Calculations'!EM185)))</x:f>
      </x:c>
      <x:c r="HF185" t="str">
        <x:f>IF('Calculations'!EM185="","",IF(IFERROR(IF(INDEX(INDIRECT("'WCM Calibration Final'!$D$1:$D$2000"),'Calculations'!$EM185)="","",TRIM(INDEX(INDIRECT("'WCM Calibration Final'!$D$1:$D$2000"),'Calculations'!$EM185)&amp;"")),"")&lt;&gt;"","G:"&amp;IFERROR(TEXT(1*INDEX(INDIRECT("'WCM Calibration Final'!$D$1:$D$2000"),'Calculations'!$EM185),"0"),UPPER(IFERROR(IF(INDEX(INDIRECT("'WCM Calibration Final'!$D$1:$D$2000"),'Calculations'!$EM185)="","",TRIM(INDEX(INDIRECT("'WCM Calibration Final'!$D$1:$D$2000"),'Calculations'!$EM185)&amp;"")),""))),IF(IFERROR(IF(INDEX(INDIRECT("'WCM Calibration Final'!$E$1:$E$2000"),'Calculations'!$EM185)="","",TRIM(INDEX(INDIRECT("'WCM Calibration Final'!$E$1:$E$2000"),'Calculations'!$EM185)&amp;"")),"")="","",IF(COUNTIF('Calculations'!$HG$13:$HG$512,"="&amp;SUBSTITUTE(SUBSTITUTE(SUBSTITUTE(IFERROR(IF(INDEX(INDIRECT("'WCM Calibration Final'!$E$1:$E$2000"),'Calculations'!$EM185)="","",TRIM(INDEX(INDIRECT("'WCM Calibration Final'!$E$1:$E$2000"),'Calculations'!$EM185)&amp;"")),""),"~","~~"),"*","~*"),"?","~?"))=1,INDEX('Calculations'!$HE$13:$HE$512,MATCH(IFERROR(IF(INDEX(INDIRECT("'WCM Calibration Final'!$E$1:$E$2000"),'Calculations'!$EM185)="","",TRIM(INDEX(INDIRECT("'WCM Calibration Final'!$E$1:$E$2000"),'Calculations'!$EM185)&amp;"")),""),'Calculations'!$HG$13:$HG$512,0)),IF(COUNTIF('Calculations'!$HG$13:$HG$512,"="&amp;SUBSTITUTE(SUBSTITUTE(SUBSTITUTE(IFERROR(IF(INDEX(INDIRECT("'WCM Calibration Final'!$E$1:$E$2000"),'Calculations'!$EM185)="","",TRIM(INDEX(INDIRECT("'WCM Calibration Final'!$E$1:$E$2000"),'Calculations'!$EM185)&amp;"")),""),"~","~~"),"*","~*"),"?","~?"))&gt;1,"!AMBIG","X:"&amp;IFERROR(IF(INDEX(INDIRECT("'WCM Calibration Final'!$E$1:$E$2000"),'Calculations'!$EM185)="","",TRIM(INDEX(INDIRECT("'WCM Calibration Final'!$E$1:$E$2000"),'Calculations'!$EM185)&amp;"")),""))))))</x:f>
      </x:c>
      <x:c r="HG185" t="str">
        <x:f>IF('Calculations'!EM185="","",IFERROR(IF(INDEX(INDIRECT("'WCM Calibration Final'!$B$1:$B$2000"),'Calculations'!$EM185)="","",TRIM(INDEX(INDIRECT("'WCM Calibration Final'!$B$1:$B$2000"),'Calculations'!$EM185)&amp;"")),""))</x:f>
      </x:c>
      <x:c r="HH185" t="n">
        <x:f>IF(AND('Calculations'!JC185&gt;0,COUNTIF('Calculations'!$HF$12:HF185,"="&amp;SUBSTITUTE(SUBSTITUTE(SUBSTITUTE('Calculations'!HF185,"~","~~"),"*","~*"),"?","~?"))=1),MAX('Calculations'!$HH$12:HH184)+1,0)</x:f>
        <x:v>0</x:v>
      </x:c>
      <x:c r="HI185" t="n">
        <x:f>IF(AND('Calculations'!HN185&lt;&gt;"",COUNTIF('Calculations'!$HN$12:HN185,"="&amp;SUBSTITUTE(SUBSTITUTE(SUBSTITUTE('Calculations'!HN185,"~","~~"),"*","~*"),"?","~?"))=1),MAX('Calculations'!$HI$12:HI184)+1,0)</x:f>
        <x:v>0</x:v>
      </x:c>
      <x:c r="HJ185" t="str">
        <x:f>IF('Calculations'!HF185="","",IF(COUNTIF('Calculations'!$HE$13:$HE$512,"="&amp;SUBSTITUTE(SUBSTITUTE(SUBSTITUTE('Calculations'!HF185,"~","~~"),"*","~*"),"?","~?"))=1,INDEX('Calculations'!$HK$13:$HK$512,MATCH('Calculations'!HF185,'Calculations'!$HE$13:$HE$512,0)),IFERROR(IF(INDEX(INDIRECT("'WCM Calibration Final'!$E$1:$E$2000"),'Calculations'!$EM185)="","",TRIM(INDEX(INDIRECT("'WCM Calibration Final'!$E$1:$E$2000"),'Calculations'!$EM185)&amp;"")),"")&amp;" ["&amp;'Calculations'!HF185&amp;"]"))</x:f>
      </x:c>
      <x:c r="HK185" t="str">
        <x:f>IF('Calculations'!EM185="","",'Calculations'!HG185&amp;" ["&amp;'Calculations'!HE185&amp;"]")</x:f>
      </x:c>
      <x:c r="HL185" t="n">
        <x:f>IF('Calculations'!EM185="",0,IF(OR('Calculations'!II185&lt;&gt;"",COUNTIF('Calculations'!$HE$13:$HE$512,"="&amp;SUBSTITUTE(SUBSTITUTE(SUBSTITUTE('Calculations'!HE185,"~","~~"),"*","~*"),"?","~?"))&gt;1),1,0))</x:f>
        <x:v>0</x:v>
      </x:c>
      <x:c r="HM185" t="str">
        <x:f>IF('Calculations'!EM185="","",IF('Calculations'!HL185=1,"!UNRESOLVED",IF('Calculations'!IH185&lt;&gt;"",'Calculations'!IH185,IF('Calculations'!IG185&lt;&gt;"",'Calculations'!IG185,IF('Calculations'!IF185&lt;&gt;"",'Calculations'!IF185,IF('Calculations'!IE185&lt;&gt;"",'Calculations'!IE185,IF('Calculations'!ID185&lt;&gt;"",'Calculations'!ID185,IF('Calculations'!IC185&lt;&gt;"",'Calculations'!IC185,IF('Calculations'!IB185&lt;&gt;"",'Calculations'!IB185,IF('Calculations'!IA185&lt;&gt;"",'Calculations'!IA185,IF('Calculations'!HZ185&lt;&gt;"",'Calculations'!HZ185,IF('Calculations'!HY185&lt;&gt;"",'Calculations'!HY185,IF('Calculations'!HX185&lt;&gt;"",'Calculations'!HX185,IF('Calculations'!HW185&lt;&gt;"",'Calculations'!HW185,IF('Calculations'!HV185&lt;&gt;"",'Calculations'!HV185,IF('Calculations'!HU185&lt;&gt;"",'Calculations'!HU185,IF('Calculations'!HT185&lt;&gt;"",'Calculations'!HT185,IF('Calculations'!HS185&lt;&gt;"",'Calculations'!HS185,IF('Calculations'!HR185&lt;&gt;"",'Calculations'!HR185,IF('Calculations'!HQ185&lt;&gt;"",'Calculations'!HQ185,IF('Calculations'!HP185&lt;&gt;"",'Calculations'!HP185,IF('Calculations'!HO185&lt;&gt;"",'Calculations'!HO185,'Calculations'!HE185))))))))))))))))))))))</x:f>
      </x:c>
      <x:c r="HN185" t="str">
        <x:f>IF('Calculations'!EM185="","",IF(IFERROR(IF(INDEX(INDIRECT("'WCM Calibration Final'!$F$1:$F$2000"),'Calculations'!$EM185)="","",TRIM(INDEX(INDIRECT("'WCM Calibration Final'!$F$1:$F$2000"),'Calculations'!$EM185)&amp;"")),"")="","(Blank)",IFERROR(IF(INDEX(INDIRECT("'WCM Calibration Final'!$F$1:$F$2000"),'Calculations'!$EM185)="","",TRIM(INDEX(INDIRECT("'WCM Calibration Final'!$F$1:$F$2000"),'Calculations'!$EM185)&amp;"")),"")))</x:f>
      </x:c>
      <x:c r="HO185" t="str">
        <x:f>'Calculations'!HF185</x:f>
      </x:c>
      <x:c r="HP185" t="str">
        <x:f>IF('Calculations'!HO185="","",IF('Calculations'!HO185="!AMBIG","!AMBIG",IF(COUNTIF('Calculations'!$HE$13:$HE$512,"="&amp;SUBSTITUTE(SUBSTITUTE(SUBSTITUTE('Calculations'!HO185,"~","~~"),"*","~*"),"?","~?"))&gt;1,"!AMBIG",IFERROR(INDEX('Calculations'!$HF$13:$HF$512,MATCH('Calculations'!HO185,'Calculations'!$HE$13:$HE$512,0)),""))))</x:f>
      </x:c>
      <x:c r="HQ185" t="str">
        <x:f>IF('Calculations'!HP185="","",IF('Calculations'!HP185="!AMBIG","!AMBIG",IF(COUNTIF('Calculations'!$HE$13:$HE$512,"="&amp;SUBSTITUTE(SUBSTITUTE(SUBSTITUTE('Calculations'!HP185,"~","~~"),"*","~*"),"?","~?"))&gt;1,"!AMBIG",IFERROR(INDEX('Calculations'!$HF$13:$HF$512,MATCH('Calculations'!HP185,'Calculations'!$HE$13:$HE$512,0)),""))))</x:f>
      </x:c>
      <x:c r="HR185" t="str">
        <x:f>IF('Calculations'!HQ185="","",IF('Calculations'!HQ185="!AMBIG","!AMBIG",IF(COUNTIF('Calculations'!$HE$13:$HE$512,"="&amp;SUBSTITUTE(SUBSTITUTE(SUBSTITUTE('Calculations'!HQ185,"~","~~"),"*","~*"),"?","~?"))&gt;1,"!AMBIG",IFERROR(INDEX('Calculations'!$HF$13:$HF$512,MATCH('Calculations'!HQ185,'Calculations'!$HE$13:$HE$512,0)),""))))</x:f>
      </x:c>
      <x:c r="HS185" t="str">
        <x:f>IF('Calculations'!HR185="","",IF('Calculations'!HR185="!AMBIG","!AMBIG",IF(COUNTIF('Calculations'!$HE$13:$HE$512,"="&amp;SUBSTITUTE(SUBSTITUTE(SUBSTITUTE('Calculations'!HR185,"~","~~"),"*","~*"),"?","~?"))&gt;1,"!AMBIG",IFERROR(INDEX('Calculations'!$HF$13:$HF$512,MATCH('Calculations'!HR185,'Calculations'!$HE$13:$HE$512,0)),""))))</x:f>
      </x:c>
      <x:c r="HT185" t="str">
        <x:f>IF('Calculations'!HS185="","",IF('Calculations'!HS185="!AMBIG","!AMBIG",IF(COUNTIF('Calculations'!$HE$13:$HE$512,"="&amp;SUBSTITUTE(SUBSTITUTE(SUBSTITUTE('Calculations'!HS185,"~","~~"),"*","~*"),"?","~?"))&gt;1,"!AMBIG",IFERROR(INDEX('Calculations'!$HF$13:$HF$512,MATCH('Calculations'!HS185,'Calculations'!$HE$13:$HE$512,0)),""))))</x:f>
      </x:c>
      <x:c r="HU185" t="str">
        <x:f>IF('Calculations'!HT185="","",IF('Calculations'!HT185="!AMBIG","!AMBIG",IF(COUNTIF('Calculations'!$HE$13:$HE$512,"="&amp;SUBSTITUTE(SUBSTITUTE(SUBSTITUTE('Calculations'!HT185,"~","~~"),"*","~*"),"?","~?"))&gt;1,"!AMBIG",IFERROR(INDEX('Calculations'!$HF$13:$HF$512,MATCH('Calculations'!HT185,'Calculations'!$HE$13:$HE$512,0)),""))))</x:f>
      </x:c>
      <x:c r="HV185" t="str">
        <x:f>IF('Calculations'!HU185="","",IF('Calculations'!HU185="!AMBIG","!AMBIG",IF(COUNTIF('Calculations'!$HE$13:$HE$512,"="&amp;SUBSTITUTE(SUBSTITUTE(SUBSTITUTE('Calculations'!HU185,"~","~~"),"*","~*"),"?","~?"))&gt;1,"!AMBIG",IFERROR(INDEX('Calculations'!$HF$13:$HF$512,MATCH('Calculations'!HU185,'Calculations'!$HE$13:$HE$512,0)),""))))</x:f>
      </x:c>
      <x:c r="HW185" t="str">
        <x:f>IF('Calculations'!HV185="","",IF('Calculations'!HV185="!AMBIG","!AMBIG",IF(COUNTIF('Calculations'!$HE$13:$HE$512,"="&amp;SUBSTITUTE(SUBSTITUTE(SUBSTITUTE('Calculations'!HV185,"~","~~"),"*","~*"),"?","~?"))&gt;1,"!AMBIG",IFERROR(INDEX('Calculations'!$HF$13:$HF$512,MATCH('Calculations'!HV185,'Calculations'!$HE$13:$HE$512,0)),""))))</x:f>
      </x:c>
      <x:c r="HX185" t="str">
        <x:f>IF('Calculations'!HW185="","",IF('Calculations'!HW185="!AMBIG","!AMBIG",IF(COUNTIF('Calculations'!$HE$13:$HE$512,"="&amp;SUBSTITUTE(SUBSTITUTE(SUBSTITUTE('Calculations'!HW185,"~","~~"),"*","~*"),"?","~?"))&gt;1,"!AMBIG",IFERROR(INDEX('Calculations'!$HF$13:$HF$512,MATCH('Calculations'!HW185,'Calculations'!$HE$13:$HE$512,0)),""))))</x:f>
      </x:c>
      <x:c r="HY185" t="str">
        <x:f>IF('Calculations'!HX185="","",IF('Calculations'!HX185="!AMBIG","!AMBIG",IF(COUNTIF('Calculations'!$HE$13:$HE$512,"="&amp;SUBSTITUTE(SUBSTITUTE(SUBSTITUTE('Calculations'!HX185,"~","~~"),"*","~*"),"?","~?"))&gt;1,"!AMBIG",IFERROR(INDEX('Calculations'!$HF$13:$HF$512,MATCH('Calculations'!HX185,'Calculations'!$HE$13:$HE$512,0)),""))))</x:f>
      </x:c>
      <x:c r="HZ185" t="str">
        <x:f>IF('Calculations'!HY185="","",IF('Calculations'!HY185="!AMBIG","!AMBIG",IF(COUNTIF('Calculations'!$HE$13:$HE$512,"="&amp;SUBSTITUTE(SUBSTITUTE(SUBSTITUTE('Calculations'!HY185,"~","~~"),"*","~*"),"?","~?"))&gt;1,"!AMBIG",IFERROR(INDEX('Calculations'!$HF$13:$HF$512,MATCH('Calculations'!HY185,'Calculations'!$HE$13:$HE$512,0)),""))))</x:f>
      </x:c>
      <x:c r="IA185" t="str">
        <x:f>IF('Calculations'!HZ185="","",IF('Calculations'!HZ185="!AMBIG","!AMBIG",IF(COUNTIF('Calculations'!$HE$13:$HE$512,"="&amp;SUBSTITUTE(SUBSTITUTE(SUBSTITUTE('Calculations'!HZ185,"~","~~"),"*","~*"),"?","~?"))&gt;1,"!AMBIG",IFERROR(INDEX('Calculations'!$HF$13:$HF$512,MATCH('Calculations'!HZ185,'Calculations'!$HE$13:$HE$512,0)),""))))</x:f>
      </x:c>
      <x:c r="IB185" t="str">
        <x:f>IF('Calculations'!IA185="","",IF('Calculations'!IA185="!AMBIG","!AMBIG",IF(COUNTIF('Calculations'!$HE$13:$HE$512,"="&amp;SUBSTITUTE(SUBSTITUTE(SUBSTITUTE('Calculations'!IA185,"~","~~"),"*","~*"),"?","~?"))&gt;1,"!AMBIG",IFERROR(INDEX('Calculations'!$HF$13:$HF$512,MATCH('Calculations'!IA185,'Calculations'!$HE$13:$HE$512,0)),""))))</x:f>
      </x:c>
      <x:c r="IC185" t="str">
        <x:f>IF('Calculations'!IB185="","",IF('Calculations'!IB185="!AMBIG","!AMBIG",IF(COUNTIF('Calculations'!$HE$13:$HE$512,"="&amp;SUBSTITUTE(SUBSTITUTE(SUBSTITUTE('Calculations'!IB185,"~","~~"),"*","~*"),"?","~?"))&gt;1,"!AMBIG",IFERROR(INDEX('Calculations'!$HF$13:$HF$512,MATCH('Calculations'!IB185,'Calculations'!$HE$13:$HE$512,0)),""))))</x:f>
      </x:c>
      <x:c r="ID185" t="str">
        <x:f>IF('Calculations'!IC185="","",IF('Calculations'!IC185="!AMBIG","!AMBIG",IF(COUNTIF('Calculations'!$HE$13:$HE$512,"="&amp;SUBSTITUTE(SUBSTITUTE(SUBSTITUTE('Calculations'!IC185,"~","~~"),"*","~*"),"?","~?"))&gt;1,"!AMBIG",IFERROR(INDEX('Calculations'!$HF$13:$HF$512,MATCH('Calculations'!IC185,'Calculations'!$HE$13:$HE$512,0)),""))))</x:f>
      </x:c>
      <x:c r="IE185" t="str">
        <x:f>IF('Calculations'!ID185="","",IF('Calculations'!ID185="!AMBIG","!AMBIG",IF(COUNTIF('Calculations'!$HE$13:$HE$512,"="&amp;SUBSTITUTE(SUBSTITUTE(SUBSTITUTE('Calculations'!ID185,"~","~~"),"*","~*"),"?","~?"))&gt;1,"!AMBIG",IFERROR(INDEX('Calculations'!$HF$13:$HF$512,MATCH('Calculations'!ID185,'Calculations'!$HE$13:$HE$512,0)),""))))</x:f>
      </x:c>
      <x:c r="IF185" t="str">
        <x:f>IF('Calculations'!IE185="","",IF('Calculations'!IE185="!AMBIG","!AMBIG",IF(COUNTIF('Calculations'!$HE$13:$HE$512,"="&amp;SUBSTITUTE(SUBSTITUTE(SUBSTITUTE('Calculations'!IE185,"~","~~"),"*","~*"),"?","~?"))&gt;1,"!AMBIG",IFERROR(INDEX('Calculations'!$HF$13:$HF$512,MATCH('Calculations'!IE185,'Calculations'!$HE$13:$HE$512,0)),""))))</x:f>
      </x:c>
      <x:c r="IG185" t="str">
        <x:f>IF('Calculations'!IF185="","",IF('Calculations'!IF185="!AMBIG","!AMBIG",IF(COUNTIF('Calculations'!$HE$13:$HE$512,"="&amp;SUBSTITUTE(SUBSTITUTE(SUBSTITUTE('Calculations'!IF185,"~","~~"),"*","~*"),"?","~?"))&gt;1,"!AMBIG",IFERROR(INDEX('Calculations'!$HF$13:$HF$512,MATCH('Calculations'!IF185,'Calculations'!$HE$13:$HE$512,0)),""))))</x:f>
      </x:c>
      <x:c r="IH185" t="str">
        <x:f>IF('Calculations'!IG185="","",IF('Calculations'!IG185="!AMBIG","!AMBIG",IF(COUNTIF('Calculations'!$HE$13:$HE$512,"="&amp;SUBSTITUTE(SUBSTITUTE(SUBSTITUTE('Calculations'!IG185,"~","~~"),"*","~*"),"?","~?"))&gt;1,"!AMBIG",IFERROR(INDEX('Calculations'!$HF$13:$HF$512,MATCH('Calculations'!IG185,'Calculations'!$HE$13:$HE$512,0)),""))))</x:f>
      </x:c>
      <x:c r="II185" t="str">
        <x:f>IF('Calculations'!IH185="","",IF('Calculations'!IH185="!AMBIG","!AMBIG",IF(COUNTIF('Calculations'!$HE$13:$HE$512,"="&amp;SUBSTITUTE(SUBSTITUTE(SUBSTITUTE('Calculations'!IH185,"~","~~"),"*","~*"),"?","~?"))&gt;1,"!AMBIG",IFERROR(INDEX('Calculations'!$HF$13:$HF$512,MATCH('Calculations'!IH185,'Calculations'!$HE$13:$HE$512,0)),""))))</x:f>
      </x:c>
      <x:c r="IJ185" t="str">
        <x:f>IF('Calculations'!EM185="","",IF('Calculations'!$EF$2="All",'Calculations'!HM185,IF('Calculations'!HL185=1,"",IFERROR(IF(MATCH('Calculations'!$EF$2,'Calculations'!HO185:II185,0)=1,'Calculations'!HE185,INDEX('Calculations'!HO185:II185,1,MATCH('Calculations'!$EF$2,'Calculations'!HO185:II185,0)-1)),""))))</x:f>
      </x:c>
      <x:c r="IK185" t="n">
        <x:f>IF(AND('Calculations'!EM185&lt;&gt;"",'Calculations'!$EF$2&lt;&gt;"All",'Calculations'!HF185='Calculations'!$EF$2,'Calculations'!HL185=0,'Calculations'!JD185&gt;0),MAX('Calculations'!$IK$12:IK184)+1,0)</x:f>
        <x:v>0</x:v>
      </x:c>
      <x:c r="JA185" t="n">
        <x:f>IF(OR(IFERROR(INDIRECT("'WCM Calibration Final'!$A$185")&lt;&gt;"",FALSE),IFERROR(INDIRECT("'WCM Calibration Final'!$B$185")&lt;&gt;"",FALSE),IFERROR(INDIRECT("'WCM Calibration Final'!$C$185")&lt;&gt;"",FALSE)),185,0)</x:f>
        <x:v>0</x:v>
      </x:c>
      <x:c r="JB185" t="n">
        <x:f>'Calculations'!JB184+IF('Calculations'!JA185&gt;0,1,0)</x:f>
        <x:v>0</x:v>
      </x:c>
      <x:c r="JC185" t="n">
        <x:f>IF(OR('Calculations'!HF185="",'Calculations'!HF185="!AMBIG"),0,IF('Dashboard'!$B$7="All",1,COUNTIFS('Calculations'!$HO$13:$HO$512,"="&amp;SUBSTITUTE(SUBSTITUTE(SUBSTITUTE('Calculations'!HF185,"~","~~"),"*","~*"),"?","~?"),'Calculations'!$HN$13:$HN$512,"="&amp;SUBSTITUTE(SUBSTITUTE(SUBSTITUTE('Dashboard'!$B$7,"~","~~"),"*","~*"),"?","~?"))+COUNTIFS('Calculations'!$HP$13:$HP$512,"="&amp;SUBSTITUTE(SUBSTITUTE(SUBSTITUTE('Calculations'!HF185,"~","~~"),"*","~*"),"?","~?"),'Calculations'!$HN$13:$HN$512,"="&amp;SUBSTITUTE(SUBSTITUTE(SUBSTITUTE('Dashboard'!$B$7,"~","~~"),"*","~*"),"?","~?"))+COUNTIFS('Calculations'!$HQ$13:$HQ$512,"="&amp;SUBSTITUTE(SUBSTITUTE(SUBSTITUTE('Calculations'!HF185,"~","~~"),"*","~*"),"?","~?"),'Calculations'!$HN$13:$HN$512,"="&amp;SUBSTITUTE(SUBSTITUTE(SUBSTITUTE('Dashboard'!$B$7,"~","~~"),"*","~*"),"?","~?"))+COUNTIFS('Calculations'!$HR$13:$HR$512,"="&amp;SUBSTITUTE(SUBSTITUTE(SUBSTITUTE('Calculations'!HF185,"~","~~"),"*","~*"),"?","~?"),'Calculations'!$HN$13:$HN$512,"="&amp;SUBSTITUTE(SUBSTITUTE(SUBSTITUTE('Dashboard'!$B$7,"~","~~"),"*","~*"),"?","~?"))+COUNTIFS('Calculations'!$HS$13:$HS$512,"="&amp;SUBSTITUTE(SUBSTITUTE(SUBSTITUTE('Calculations'!HF185,"~","~~"),"*","~*"),"?","~?"),'Calculations'!$HN$13:$HN$512,"="&amp;SUBSTITUTE(SUBSTITUTE(SUBSTITUTE('Dashboard'!$B$7,"~","~~"),"*","~*"),"?","~?"))+COUNTIFS('Calculations'!$HT$13:$HT$512,"="&amp;SUBSTITUTE(SUBSTITUTE(SUBSTITUTE('Calculations'!HF185,"~","~~"),"*","~*"),"?","~?"),'Calculations'!$HN$13:$HN$512,"="&amp;SUBSTITUTE(SUBSTITUTE(SUBSTITUTE('Dashboard'!$B$7,"~","~~"),"*","~*"),"?","~?"))+COUNTIFS('Calculations'!$HU$13:$HU$512,"="&amp;SUBSTITUTE(SUBSTITUTE(SUBSTITUTE('Calculations'!HF185,"~","~~"),"*","~*"),"?","~?"),'Calculations'!$HN$13:$HN$512,"="&amp;SUBSTITUTE(SUBSTITUTE(SUBSTITUTE('Dashboard'!$B$7,"~","~~"),"*","~*"),"?","~?"))+COUNTIFS('Calculations'!$HV$13:$HV$512,"="&amp;SUBSTITUTE(SUBSTITUTE(SUBSTITUTE('Calculations'!HF185,"~","~~"),"*","~*"),"?","~?"),'Calculations'!$HN$13:$HN$512,"="&amp;SUBSTITUTE(SUBSTITUTE(SUBSTITUTE('Dashboard'!$B$7,"~","~~"),"*","~*"),"?","~?"))+COUNTIFS('Calculations'!$HW$13:$HW$512,"="&amp;SUBSTITUTE(SUBSTITUTE(SUBSTITUTE('Calculations'!HF185,"~","~~"),"*","~*"),"?","~?"),'Calculations'!$HN$13:$HN$512,"="&amp;SUBSTITUTE(SUBSTITUTE(SUBSTITUTE('Dashboard'!$B$7,"~","~~"),"*","~*"),"?","~?"))+COUNTIFS('Calculations'!$HX$13:$HX$512,"="&amp;SUBSTITUTE(SUBSTITUTE(SUBSTITUTE('Calculations'!HF185,"~","~~"),"*","~*"),"?","~?"),'Calculations'!$HN$13:$HN$512,"="&amp;SUBSTITUTE(SUBSTITUTE(SUBSTITUTE('Dashboard'!$B$7,"~","~~"),"*","~*"),"?","~?"))+COUNTIFS('Calculations'!$HY$13:$HY$512,"="&amp;SUBSTITUTE(SUBSTITUTE(SUBSTITUTE('Calculations'!HF185,"~","~~"),"*","~*"),"?","~?"),'Calculations'!$HN$13:$HN$512,"="&amp;SUBSTITUTE(SUBSTITUTE(SUBSTITUTE('Dashboard'!$B$7,"~","~~"),"*","~*"),"?","~?"))+COUNTIFS('Calculations'!$HZ$13:$HZ$512,"="&amp;SUBSTITUTE(SUBSTITUTE(SUBSTITUTE('Calculations'!HF185,"~","~~"),"*","~*"),"?","~?"),'Calculations'!$HN$13:$HN$512,"="&amp;SUBSTITUTE(SUBSTITUTE(SUBSTITUTE('Dashboard'!$B$7,"~","~~"),"*","~*"),"?","~?"))+COUNTIFS('Calculations'!$IA$13:$IA$512,"="&amp;SUBSTITUTE(SUBSTITUTE(SUBSTITUTE('Calculations'!HF185,"~","~~"),"*","~*"),"?","~?"),'Calculations'!$HN$13:$HN$512,"="&amp;SUBSTITUTE(SUBSTITUTE(SUBSTITUTE('Dashboard'!$B$7,"~","~~"),"*","~*"),"?","~?"))+COUNTIFS('Calculations'!$IB$13:$IB$512,"="&amp;SUBSTITUTE(SUBSTITUTE(SUBSTITUTE('Calculations'!HF185,"~","~~"),"*","~*"),"?","~?"),'Calculations'!$HN$13:$HN$512,"="&amp;SUBSTITUTE(SUBSTITUTE(SUBSTITUTE('Dashboard'!$B$7,"~","~~"),"*","~*"),"?","~?"))+COUNTIFS('Calculations'!$IC$13:$IC$512,"="&amp;SUBSTITUTE(SUBSTITUTE(SUBSTITUTE('Calculations'!HF185,"~","~~"),"*","~*"),"?","~?"),'Calculations'!$HN$13:$HN$512,"="&amp;SUBSTITUTE(SUBSTITUTE(SUBSTITUTE('Dashboard'!$B$7,"~","~~"),"*","~*"),"?","~?"))+COUNTIFS('Calculations'!$ID$13:$ID$512,"="&amp;SUBSTITUTE(SUBSTITUTE(SUBSTITUTE('Calculations'!HF185,"~","~~"),"*","~*"),"?","~?"),'Calculations'!$HN$13:$HN$512,"="&amp;SUBSTITUTE(SUBSTITUTE(SUBSTITUTE('Dashboard'!$B$7,"~","~~"),"*","~*"),"?","~?"))+COUNTIFS('Calculations'!$IE$13:$IE$512,"="&amp;SUBSTITUTE(SUBSTITUTE(SUBSTITUTE('Calculations'!HF185,"~","~~"),"*","~*"),"?","~?"),'Calculations'!$HN$13:$HN$512,"="&amp;SUBSTITUTE(SUBSTITUTE(SUBSTITUTE('Dashboard'!$B$7,"~","~~"),"*","~*"),"?","~?"))+COUNTIFS('Calculations'!$IF$13:$IF$512,"="&amp;SUBSTITUTE(SUBSTITUTE(SUBSTITUTE('Calculations'!HF185,"~","~~"),"*","~*"),"?","~?"),'Calculations'!$HN$13:$HN$512,"="&amp;SUBSTITUTE(SUBSTITUTE(SUBSTITUTE('Dashboard'!$B$7,"~","~~"),"*","~*"),"?","~?"))+COUNTIFS('Calculations'!$IG$13:$IG$512,"="&amp;SUBSTITUTE(SUBSTITUTE(SUBSTITUTE('Calculations'!HF185,"~","~~"),"*","~*"),"?","~?"),'Calculations'!$HN$13:$HN$512,"="&amp;SUBSTITUTE(SUBSTITUTE(SUBSTITUTE('Dashboard'!$B$7,"~","~~"),"*","~*"),"?","~?"))+COUNTIFS('Calculations'!$IH$13:$IH$512,"="&amp;SUBSTITUTE(SUBSTITUTE(SUBSTITUTE('Calculations'!HF185,"~","~~"),"*","~*"),"?","~?"),'Calculations'!$HN$13:$HN$512,"="&amp;SUBSTITUTE(SUBSTITUTE(SUBSTITUTE('Dashboard'!$B$7,"~","~~"),"*","~*"),"?","~?"))))</x:f>
        <x:v>0</x:v>
      </x:c>
      <x:c r="JD185" t="n">
        <x:f>IF('Calculations'!EM185="",0,IF('Dashboard'!$B$7="All",1,IF('Calculations'!HN185='Dashboard'!$B$7,1,0)+IFERROR(INDEX('Calculations'!$JC$13:$JC$512,MATCH('Calculations'!HE185,'Calculations'!$HF$13:$HF$512,0)),0)))</x:f>
        <x:v>0</x:v>
      </x:c>
      <x:c r="JE185" t="n">
        <x:f>IF(AND('Calculations'!EM185&lt;&gt;"",'Calculations'!$JJ$2&lt;&gt;"All",'Calculations'!$JJ$2&lt;&gt;"",'Calculations'!HF185='Calculations'!$JJ$2,'Calculations'!HL185=0,'Calculations'!JD185&gt;0),MAX('Calculations'!$JE$12:JE184)+1,0)</x:f>
        <x:v>0</x:v>
      </x:c>
      <x:c r="JF185" t="str">
        <x:f>IF('Calculations'!EM185="","",IFERROR(IF(INDEX(INDIRECT("'WCM Calibration Final'!$G$1:$G$2000"),'Calculations'!$EM185)="","",TRIM(INDEX(INDIRECT("'WCM Calibration Final'!$G$1:$G$2000"),'Calculations'!$EM185)&amp;"")),""))</x:f>
      </x:c>
      <x:c r="JQ185" t="n">
        <x:f>IF(OR('Calculations'!BM185=0,NOT('Calculations'!$AG$2),'Calculations'!$AG$8&gt;0),0,IF(OR('Dashboard'!$B$7="All",'Calculations'!HN185='Dashboard'!$B$7),IF('Calculations'!$JJ$2="All",1,IF(AND('Calculations'!HF185='Calculations'!$JJ$2,'Calculations'!HL185=0),1,0)),0))</x:f>
        <x:v>0</x:v>
      </x:c>
    </x:row>
    <x:row r="186">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t="n">
        <x:f>IF('Calculations'!$EM186="",0,IF(OR(IFERROR(INDEX(INDIRECT("'WCM Calibration Final'!$A$1:$A$2000"),'Calculations'!$EM186)&lt;&gt;"",FALSE),IFERROR(INDEX(INDIRECT("'WCM Calibration Final'!$B$1:$B$2000"),'Calculations'!$EM186)&lt;&gt;"",FALSE),IFERROR(INDEX(INDIRECT("'WCM Calibration Final'!$C$1:$C$2000"),'Calculations'!$EM186)&lt;&gt;"",FALSE)),1,0))</x:f>
        <x:v>0</x:v>
      </x:c>
      <x:c r="BN186" s="4" t="n">
        <x:f>IF(AND('Calculations'!BM186=1,'Calculations'!$AG$2,'Calculations'!$EN186=1),1,0)</x:f>
        <x:v>0</x:v>
      </x:c>
      <x:c r="BO186" s="4" t="str">
        <x:f>IF('Calculations'!BM186=0,"",IFERROR(IF(AND(VALUE(INDEX(INDIRECT("'WCM Calibration Final'!$K$1:$K$2000"),'Calculations'!$EM186))&gt;=1,VALUE(INDEX(INDIRECT("'WCM Calibration Final'!$K$1:$K$2000"),'Calculations'!$EM186))&lt;=4,MOD(VALUE(INDEX(INDIRECT("'WCM Calibration Final'!$K$1:$K$2000"),'Calculations'!$EM186)),1)=0),VALUE(INDEX(INDIRECT("'WCM Calibration Final'!$K$1:$K$2000"),'Calculations'!$EM186)),""),""))</x:f>
      </x:c>
      <x:c r="BP186" s="4" t="str">
        <x:f>IF('Calculations'!BM186=0,"",IFERROR(IF(AND(VALUE(INDEX(INDIRECT("'WCM Calibration Final'!$L$1:$L$2000"),'Calculations'!$EM186))&gt;=1,VALUE(INDEX(INDIRECT("'WCM Calibration Final'!$L$1:$L$2000"),'Calculations'!$EM186))&lt;=4,MOD(VALUE(INDEX(INDIRECT("'WCM Calibration Final'!$L$1:$L$2000"),'Calculations'!$EM186)),1)=0),VALUE(INDEX(INDIRECT("'WCM Calibration Final'!$L$1:$L$2000"),'Calculations'!$EM186)),""),""))</x:f>
      </x:c>
      <x:c r="BQ186" s="4"/>
      <x:c r="BR186" s="4"/>
      <x:c r="BS186" s="4"/>
      <x:c r="BT186" s="4" t="n">
        <x:f>IF(AND('Calculations'!BM186=1,ISNUMBER('Calculations'!BO186),ISNUMBER('Calculations'!BP186)),1,0)</x:f>
        <x:v>0</x:v>
      </x:c>
      <x:c r="BU186" s="4" t="str">
        <x:f>IF('Calculations'!BM186=0,"",'Calculations'!$EO186)</x:f>
      </x:c>
      <x:c r="BV186" s="4" t="str">
        <x:f>IF('Calculations'!BM186=0,"",IFERROR(IF(OR(INDEX(INDIRECT("'WCM Calibration Final'!$H$1:$H$2000"),'Calculations'!$EM186)="MANAGING DIRECTOR",INDEX(INDIRECT("'WCM Calibration Final'!$H$1:$H$2000"),'Calculations'!$EM186)="DIRECTOR",INDEX(INDIRECT("'WCM Calibration Final'!$H$1:$H$2000"),'Calculations'!$EM186)="SENIOR VICE PRESIDENT",INDEX(INDIRECT("'WCM Calibration Final'!$H$1:$H$2000"),'Calculations'!$EM186)="VICE PRESIDENT",INDEX(INDIRECT("'WCM Calibration Final'!$H$1:$H$2000"),'Calculations'!$EM186)="ASSISTANT VICE PRESIDENT",INDEX(INDIRECT("'WCM Calibration Final'!$H$1:$H$2000"),'Calculations'!$EM186)="OFFICER"),UPPER(INDEX(INDIRECT("'WCM Calibration Final'!$H$1:$H$2000"),'Calculations'!$EM186)),"Other"),"Other"))</x:f>
      </x:c>
      <x:c r="BW186" s="4"/>
      <x:c r="BX186" s="4"/>
      <x:c r="BY186" s="4" t="n">
        <x:f>IF(AND('Calculations'!BM186=1,'Calculations'!BU186&lt;&gt;"",COUNTIF('Calculations'!$BU$12:BU186,'Calculations'!BU186)=1),MAX('Calculations'!$BY$11:BY185)+1,0)</x:f>
        <x:v>0</x:v>
      </x:c>
      <x:c r="BZ186" s="4" t="str">
        <x:f>IF('Dashboard'!$E$67="What",'Calculations'!BO186,'Calculations'!BP186)</x:f>
      </x:c>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t="str">
        <x:f>IF(175&gt;MAX('Calculations'!$HI$13:$HI$512),"",INDEX('Calculations'!$HN$13:$HN$512,MATCH(175,'Calculations'!$HI$13:$HI$512,0)))</x:f>
      </x:c>
      <x:c r="DB186" s="4" t="str">
        <x:f>IF(175&gt;MAX('Calculations'!$HH$13:$HH$512),"",INDEX('Calculations'!$HJ$13:$HJ$512,MATCH(175,'Calculations'!$HH$13:$HH$512,0)))</x:f>
      </x:c>
      <x:c r="DC186" s="4" t="str">
        <x:f>IF(ROW()-11&gt;MAX('Calculations'!$BY$13:$BY$512),"",INDEX('Calculations'!$BU$13:$BU$512,MATCH(ROW()-11,'Calculations'!$BY$13:$BY$512,0)))</x:f>
      </x:c>
      <x:c r="DD186" s="4" t="str">
        <x:f>IF(175&gt;MAX('Calculations'!$IK$13:$IK$512),"",INDEX('Calculations'!$HK$13:$HK$512,MATCH(175,'Calculations'!$IK$13:$IK$512,0)))</x:f>
      </x:c>
      <x:c r="DE186" s="4" t="str">
        <x:f>'Calculations'!DC186</x:f>
      </x:c>
      <x:c r="DF186" s="4" t="str">
        <x:f>IF('Calculations'!DE186="","",COUNTIFS('Calculations'!$BN$13:$BN$512,1,'Calculations'!$BU$13:$BU$512,'Calculations'!DE186))</x:f>
      </x:c>
      <x:c r="DG186" s="4" t="str">
        <x:f>IF('Calculations'!DE186="","",COUNTIFS('Calculations'!$BN$13:$BN$512,1,'Calculations'!$BU$13:$BU$512,'Calculations'!DE186,'Calculations'!$BT$13:$BT$512,1))</x:f>
      </x:c>
      <x:c r="DH186" s="4" t="str">
        <x:f>IF('Calculations'!DE186="","",'Calculations'!DF186-'Calculations'!DG186)</x:f>
      </x:c>
      <x:c r="DI186" s="4" t="str">
        <x:f>IF(OR('Calculations'!DE186="",'Calculations'!DF186=0),"",'Calculations'!DG186/'Calculations'!DF186)</x:f>
      </x:c>
      <x:c r="DJ186" s="4" t="str">
        <x:f>IF('Calculations'!DE186="","",COUNTIFS('Calculations'!$BN$13:$BN$512,1,'Calculations'!$BU$13:$BU$512,'Calculations'!DE186,'Calculations'!$BT$13:$BT$512,1,'Calculations'!$EE$13:$EE$512,"High"))</x:f>
      </x:c>
      <x:c r="DK186" s="4" t="str">
        <x:f>IF('Calculations'!DE186="","",COUNTIFS('Calculations'!$BN$13:$BN$512,1,'Calculations'!$BU$13:$BU$512,'Calculations'!DE186,'Calculations'!$BT$13:$BT$512,1,'Calculations'!$EE$13:$EE$512,"Strong"))</x:f>
      </x:c>
      <x:c r="DL186" s="4" t="str">
        <x:f>IF('Calculations'!DE186="","",COUNTIFS('Calculations'!$BN$13:$BN$512,1,'Calculations'!$BU$13:$BU$512,'Calculations'!DE186,'Calculations'!$BT$13:$BT$512,1,'Calculations'!$EE$13:$EE$512,"Solid"))</x:f>
      </x:c>
      <x:c r="DM186" s="4" t="str">
        <x:f>IF('Calculations'!DE186="","",COUNTIFS('Calculations'!$BN$13:$BN$512,1,'Calculations'!$BU$13:$BU$512,'Calculations'!DE186,'Calculations'!$BT$13:$BT$512,1,'Calculations'!$EE$13:$EE$512,"Low"))</x:f>
      </x:c>
      <x:c r="DN186" s="4" t="str">
        <x:f>IF('Calculations'!DE186="","",COUNTIFS('Calculations'!$BN$13:$BN$512,1,'Calculations'!$BU$13:$BU$512,'Calculations'!DE186,'Calculations'!$EP$13:$EP$512,1))</x:f>
      </x:c>
      <x:c r="DO186" s="4" t="str">
        <x:f>IF(OR('Calculations'!DE186="",'Calculations'!DG186=0),"",('Calculations'!DJ186+'Calculations'!DK186)/'Calculations'!DG186)</x:f>
      </x:c>
      <x:c r="DP186" s="4" t="n">
        <x:f>IF(AND('Calculations'!DE186&lt;&gt;"",'Calculations'!DF186&gt;0),COUNTIF('Calculations'!$DF$12:DF186,"&gt;0"),0)</x:f>
        <x:v>0</x:v>
      </x:c>
      <x:c r="DQ186" s="4" t="str">
        <x:f>IF(175&gt;MAX('Calculations'!$HH$13:$HH$512),"",INDEX('Calculations'!$HF$13:$HF$512,MATCH(175,'Calculations'!$HH$13:$HH$512,0)))</x:f>
      </x:c>
      <x:c r="DR186" s="4" t="str">
        <x:f>IF(175&gt;MAX('Calculations'!$IK$13:$IK$512),"",INDEX('Calculations'!$HE$13:$HE$512,MATCH(175,'Calculations'!$IK$13:$IK$512,0)))</x:f>
      </x:c>
      <x:c r="DS186" s="4"/>
      <x:c r="DT186" s="4"/>
      <x:c r="DU186" s="4"/>
      <x:c r="DV186" s="4"/>
      <x:c r="DW186" s="4"/>
      <x:c r="DX186" s="4"/>
      <x:c r="DY186" s="4"/>
      <x:c r="DZ186" s="4"/>
      <x:c r="EA186" s="4"/>
      <x:c r="EB186" s="4"/>
      <x:c r="EC186" s="4"/>
      <x:c r="ED186" s="4"/>
      <x:c r="EE186" s="4" t="str">
        <x:f>IF('Calculations'!BT186=0,"Not Rated",IF(OR('Calculations'!BO186&gt;=4,'Calculations'!BP186&gt;=4),"Low",IF('Calculations'!BO186+'Calculations'!BP186&lt;=3,"High",IF('Calculations'!BO186+'Calculations'!BP186&lt;=4,"Strong","Solid"))))</x:f>
        <x:v>Not Rated</x:v>
      </x:c>
      <x:c r="EF186" s="4"/>
      <x:c r="EG186" s="4"/>
      <x:c r="EH186" s="4"/>
      <x:c r="EI186" s="4"/>
      <x:c r="EJ186" s="4"/>
      <x:c r="EK186" s="4"/>
      <x:c r="EL186" s="4"/>
      <x:c r="EM186" s="4" t="str">
        <x:f>IF(174&gt;'Calculations'!$JB$2000,"",INDEX('Calculations'!$JA$12:$JA$2000,MATCH(174,'Calculations'!$JB$12:$JB$2000,0)))</x:f>
      </x:c>
      <x:c r="EN186" s="4" t="n">
        <x:f>IF(OR('Calculations'!EM186="",'Calculations'!$AG$8&gt;0,AND('Calculations'!$EF$2&lt;&gt;"All",'Calculations'!HE186='Calculations'!$EF$2),AND('Calculations'!$EF$3&lt;&gt;"All",'Calculations'!HE186='Calculations'!$EF$3)),0,IF(OR('Dashboard'!$B$7="All",'Calculations'!HN186='Dashboard'!$B$7),IF('Calculations'!$EF$2="All",1,IF('Calculations'!HL186&gt;0,0,IF(COUNTIF('Calculations'!HO186:II186,"="&amp;SUBSTITUTE(SUBSTITUTE(SUBSTITUTE('Calculations'!$EF$2,"~","~~"),"*","~*"),"?","~?"))=0,0,IF('Calculations'!$EF$3="All",1,IF(COUNTIF('Calculations'!HO186:II186,"="&amp;SUBSTITUTE(SUBSTITUTE(SUBSTITUTE('Calculations'!$EF$3,"~","~~"),"*","~*"),"?","~?"))&gt;0,1,0))))),0))</x:f>
        <x:v>0</x:v>
      </x:c>
      <x:c r="EO186" s="4" t="str">
        <x:f>IF('Calculations'!IJ186="","",IF('Calculations'!IJ186="!UNRESOLVED","Unresolved hierarchy",IFERROR(INDEX('Calculations'!$HK$13:$HK$512,MATCH('Calculations'!IJ186,'Calculations'!$HE$13:$HE$512,0)),IFERROR(INDEX('Calculations'!$HJ$13:$HJ$512,MATCH('Calculations'!IJ186,'Calculations'!$HF$13:$HF$512,0)),'Calculations'!IJ186))))</x:f>
      </x:c>
      <x:c r="EP186" s="4" t="n">
        <x:f>IF(AND('Calculations'!EM186&lt;&gt;"",'Calculations'!HF186='Calculations'!IJ186),1,0)</x:f>
        <x:v>0</x:v>
      </x:c>
      <x:c r="EQ186" s="4"/>
      <x:c r="ER186" s="4"/>
      <x:c r="ES186" s="4"/>
      <x:c r="ET186" s="4"/>
      <x:c r="EU186" s="4"/>
      <x:c r="EV186" s="4"/>
      <x:c r="EW186" s="4"/>
      <x:c r="EX186" s="4"/>
      <x:c r="EY186" s="4"/>
      <x:c r="EZ186" s="4"/>
      <x:c r="FA186" s="4"/>
      <x:c r="FB186" s="4"/>
      <x:c r="FC186" s="4"/>
      <x:c r="FD186" s="4"/>
      <x:c r="FE186" s="4"/>
      <x:c r="FF186" s="4"/>
      <x:c r="FG186" s="4"/>
      <x:c r="FH186" s="4"/>
      <x:c r="FI186" s="4"/>
      <x:c r="FJ186" s="4"/>
      <x:c r="FK186" s="4"/>
      <x:c r="FL186" s="4"/>
      <x:c r="FM186" s="4"/>
      <x:c r="FN186" s="4"/>
      <x:c r="FO186" s="4"/>
      <x:c r="GA186" s="71"/>
      <x:c r="GB186" s="71"/>
      <x:c r="GC186" s="71"/>
      <x:c r="GD186" s="71"/>
      <x:c r="GE186" s="71"/>
      <x:c r="GF186" s="71"/>
      <x:c r="GG186" s="71"/>
      <x:c r="GH186" s="71"/>
      <x:c r="GI186" s="71"/>
      <x:c r="GJ186" s="71"/>
      <x:c r="GK186" s="71"/>
      <x:c r="GL186" s="71"/>
      <x:c r="GM186" s="71"/>
      <x:c r="GN186" s="71"/>
      <x:c r="GO186" s="71"/>
      <x:c r="GP186" s="71"/>
      <x:c r="GQ186" s="71"/>
      <x:c r="GR186" s="71"/>
      <x:c r="GS186" s="71"/>
      <x:c r="GT186" s="71"/>
      <x:c r="GU186" s="71"/>
      <x:c r="GV186" s="71"/>
      <x:c r="GW186" s="71"/>
      <x:c r="GX186" s="71"/>
      <x:c r="GY186" s="71"/>
      <x:c r="GZ186" s="71"/>
      <x:c r="HA186" s="71"/>
      <x:c r="HB186" s="71"/>
      <x:c r="HC186" s="71"/>
      <x:c r="HD186" s="71"/>
      <x:c r="HE186" t="str">
        <x:f>IF('Calculations'!EM186="","",IF(IFERROR(IF(INDEX(INDIRECT("'WCM Calibration Final'!$A$1:$A$2000"),'Calculations'!$EM186)="","",TRIM(INDEX(INDIRECT("'WCM Calibration Final'!$A$1:$A$2000"),'Calculations'!$EM186)&amp;"")),"")&lt;&gt;"","G:"&amp;IFERROR(TEXT(1*INDEX(INDIRECT("'WCM Calibration Final'!$A$1:$A$2000"),'Calculations'!$EM186),"0"),UPPER(IFERROR(IF(INDEX(INDIRECT("'WCM Calibration Final'!$A$1:$A$2000"),'Calculations'!$EM186)="","",TRIM(INDEX(INDIRECT("'WCM Calibration Final'!$A$1:$A$2000"),'Calculations'!$EM186)&amp;"")),""))),IF(IFERROR(IF(INDEX(INDIRECT("'WCM Calibration Final'!$C$1:$C$2000"),'Calculations'!$EM186)="","",TRIM(INDEX(INDIRECT("'WCM Calibration Final'!$C$1:$C$2000"),'Calculations'!$EM186)&amp;"")),"")&lt;&gt;"","S:"&amp;UPPER(IFERROR(IF(INDEX(INDIRECT("'WCM Calibration Final'!$C$1:$C$2000"),'Calculations'!$EM186)="","",TRIM(INDEX(INDIRECT("'WCM Calibration Final'!$C$1:$C$2000"),'Calculations'!$EM186)&amp;"")),"")),"R:"&amp;'Calculations'!EM186)))</x:f>
      </x:c>
      <x:c r="HF186" t="str">
        <x:f>IF('Calculations'!EM186="","",IF(IFERROR(IF(INDEX(INDIRECT("'WCM Calibration Final'!$D$1:$D$2000"),'Calculations'!$EM186)="","",TRIM(INDEX(INDIRECT("'WCM Calibration Final'!$D$1:$D$2000"),'Calculations'!$EM186)&amp;"")),"")&lt;&gt;"","G:"&amp;IFERROR(TEXT(1*INDEX(INDIRECT("'WCM Calibration Final'!$D$1:$D$2000"),'Calculations'!$EM186),"0"),UPPER(IFERROR(IF(INDEX(INDIRECT("'WCM Calibration Final'!$D$1:$D$2000"),'Calculations'!$EM186)="","",TRIM(INDEX(INDIRECT("'WCM Calibration Final'!$D$1:$D$2000"),'Calculations'!$EM186)&amp;"")),""))),IF(IFERROR(IF(INDEX(INDIRECT("'WCM Calibration Final'!$E$1:$E$2000"),'Calculations'!$EM186)="","",TRIM(INDEX(INDIRECT("'WCM Calibration Final'!$E$1:$E$2000"),'Calculations'!$EM186)&amp;"")),"")="","",IF(COUNTIF('Calculations'!$HG$13:$HG$512,"="&amp;SUBSTITUTE(SUBSTITUTE(SUBSTITUTE(IFERROR(IF(INDEX(INDIRECT("'WCM Calibration Final'!$E$1:$E$2000"),'Calculations'!$EM186)="","",TRIM(INDEX(INDIRECT("'WCM Calibration Final'!$E$1:$E$2000"),'Calculations'!$EM186)&amp;"")),""),"~","~~"),"*","~*"),"?","~?"))=1,INDEX('Calculations'!$HE$13:$HE$512,MATCH(IFERROR(IF(INDEX(INDIRECT("'WCM Calibration Final'!$E$1:$E$2000"),'Calculations'!$EM186)="","",TRIM(INDEX(INDIRECT("'WCM Calibration Final'!$E$1:$E$2000"),'Calculations'!$EM186)&amp;"")),""),'Calculations'!$HG$13:$HG$512,0)),IF(COUNTIF('Calculations'!$HG$13:$HG$512,"="&amp;SUBSTITUTE(SUBSTITUTE(SUBSTITUTE(IFERROR(IF(INDEX(INDIRECT("'WCM Calibration Final'!$E$1:$E$2000"),'Calculations'!$EM186)="","",TRIM(INDEX(INDIRECT("'WCM Calibration Final'!$E$1:$E$2000"),'Calculations'!$EM186)&amp;"")),""),"~","~~"),"*","~*"),"?","~?"))&gt;1,"!AMBIG","X:"&amp;IFERROR(IF(INDEX(INDIRECT("'WCM Calibration Final'!$E$1:$E$2000"),'Calculations'!$EM186)="","",TRIM(INDEX(INDIRECT("'WCM Calibration Final'!$E$1:$E$2000"),'Calculations'!$EM186)&amp;"")),""))))))</x:f>
      </x:c>
      <x:c r="HG186" t="str">
        <x:f>IF('Calculations'!EM186="","",IFERROR(IF(INDEX(INDIRECT("'WCM Calibration Final'!$B$1:$B$2000"),'Calculations'!$EM186)="","",TRIM(INDEX(INDIRECT("'WCM Calibration Final'!$B$1:$B$2000"),'Calculations'!$EM186)&amp;"")),""))</x:f>
      </x:c>
      <x:c r="HH186" t="n">
        <x:f>IF(AND('Calculations'!JC186&gt;0,COUNTIF('Calculations'!$HF$12:HF186,"="&amp;SUBSTITUTE(SUBSTITUTE(SUBSTITUTE('Calculations'!HF186,"~","~~"),"*","~*"),"?","~?"))=1),MAX('Calculations'!$HH$12:HH185)+1,0)</x:f>
        <x:v>0</x:v>
      </x:c>
      <x:c r="HI186" t="n">
        <x:f>IF(AND('Calculations'!HN186&lt;&gt;"",COUNTIF('Calculations'!$HN$12:HN186,"="&amp;SUBSTITUTE(SUBSTITUTE(SUBSTITUTE('Calculations'!HN186,"~","~~"),"*","~*"),"?","~?"))=1),MAX('Calculations'!$HI$12:HI185)+1,0)</x:f>
        <x:v>0</x:v>
      </x:c>
      <x:c r="HJ186" t="str">
        <x:f>IF('Calculations'!HF186="","",IF(COUNTIF('Calculations'!$HE$13:$HE$512,"="&amp;SUBSTITUTE(SUBSTITUTE(SUBSTITUTE('Calculations'!HF186,"~","~~"),"*","~*"),"?","~?"))=1,INDEX('Calculations'!$HK$13:$HK$512,MATCH('Calculations'!HF186,'Calculations'!$HE$13:$HE$512,0)),IFERROR(IF(INDEX(INDIRECT("'WCM Calibration Final'!$E$1:$E$2000"),'Calculations'!$EM186)="","",TRIM(INDEX(INDIRECT("'WCM Calibration Final'!$E$1:$E$2000"),'Calculations'!$EM186)&amp;"")),"")&amp;" ["&amp;'Calculations'!HF186&amp;"]"))</x:f>
      </x:c>
      <x:c r="HK186" t="str">
        <x:f>IF('Calculations'!EM186="","",'Calculations'!HG186&amp;" ["&amp;'Calculations'!HE186&amp;"]")</x:f>
      </x:c>
      <x:c r="HL186" t="n">
        <x:f>IF('Calculations'!EM186="",0,IF(OR('Calculations'!II186&lt;&gt;"",COUNTIF('Calculations'!$HE$13:$HE$512,"="&amp;SUBSTITUTE(SUBSTITUTE(SUBSTITUTE('Calculations'!HE186,"~","~~"),"*","~*"),"?","~?"))&gt;1),1,0))</x:f>
        <x:v>0</x:v>
      </x:c>
      <x:c r="HM186" t="str">
        <x:f>IF('Calculations'!EM186="","",IF('Calculations'!HL186=1,"!UNRESOLVED",IF('Calculations'!IH186&lt;&gt;"",'Calculations'!IH186,IF('Calculations'!IG186&lt;&gt;"",'Calculations'!IG186,IF('Calculations'!IF186&lt;&gt;"",'Calculations'!IF186,IF('Calculations'!IE186&lt;&gt;"",'Calculations'!IE186,IF('Calculations'!ID186&lt;&gt;"",'Calculations'!ID186,IF('Calculations'!IC186&lt;&gt;"",'Calculations'!IC186,IF('Calculations'!IB186&lt;&gt;"",'Calculations'!IB186,IF('Calculations'!IA186&lt;&gt;"",'Calculations'!IA186,IF('Calculations'!HZ186&lt;&gt;"",'Calculations'!HZ186,IF('Calculations'!HY186&lt;&gt;"",'Calculations'!HY186,IF('Calculations'!HX186&lt;&gt;"",'Calculations'!HX186,IF('Calculations'!HW186&lt;&gt;"",'Calculations'!HW186,IF('Calculations'!HV186&lt;&gt;"",'Calculations'!HV186,IF('Calculations'!HU186&lt;&gt;"",'Calculations'!HU186,IF('Calculations'!HT186&lt;&gt;"",'Calculations'!HT186,IF('Calculations'!HS186&lt;&gt;"",'Calculations'!HS186,IF('Calculations'!HR186&lt;&gt;"",'Calculations'!HR186,IF('Calculations'!HQ186&lt;&gt;"",'Calculations'!HQ186,IF('Calculations'!HP186&lt;&gt;"",'Calculations'!HP186,IF('Calculations'!HO186&lt;&gt;"",'Calculations'!HO186,'Calculations'!HE186))))))))))))))))))))))</x:f>
      </x:c>
      <x:c r="HN186" t="str">
        <x:f>IF('Calculations'!EM186="","",IF(IFERROR(IF(INDEX(INDIRECT("'WCM Calibration Final'!$F$1:$F$2000"),'Calculations'!$EM186)="","",TRIM(INDEX(INDIRECT("'WCM Calibration Final'!$F$1:$F$2000"),'Calculations'!$EM186)&amp;"")),"")="","(Blank)",IFERROR(IF(INDEX(INDIRECT("'WCM Calibration Final'!$F$1:$F$2000"),'Calculations'!$EM186)="","",TRIM(INDEX(INDIRECT("'WCM Calibration Final'!$F$1:$F$2000"),'Calculations'!$EM186)&amp;"")),"")))</x:f>
      </x:c>
      <x:c r="HO186" t="str">
        <x:f>'Calculations'!HF186</x:f>
      </x:c>
      <x:c r="HP186" t="str">
        <x:f>IF('Calculations'!HO186="","",IF('Calculations'!HO186="!AMBIG","!AMBIG",IF(COUNTIF('Calculations'!$HE$13:$HE$512,"="&amp;SUBSTITUTE(SUBSTITUTE(SUBSTITUTE('Calculations'!HO186,"~","~~"),"*","~*"),"?","~?"))&gt;1,"!AMBIG",IFERROR(INDEX('Calculations'!$HF$13:$HF$512,MATCH('Calculations'!HO186,'Calculations'!$HE$13:$HE$512,0)),""))))</x:f>
      </x:c>
      <x:c r="HQ186" t="str">
        <x:f>IF('Calculations'!HP186="","",IF('Calculations'!HP186="!AMBIG","!AMBIG",IF(COUNTIF('Calculations'!$HE$13:$HE$512,"="&amp;SUBSTITUTE(SUBSTITUTE(SUBSTITUTE('Calculations'!HP186,"~","~~"),"*","~*"),"?","~?"))&gt;1,"!AMBIG",IFERROR(INDEX('Calculations'!$HF$13:$HF$512,MATCH('Calculations'!HP186,'Calculations'!$HE$13:$HE$512,0)),""))))</x:f>
      </x:c>
      <x:c r="HR186" t="str">
        <x:f>IF('Calculations'!HQ186="","",IF('Calculations'!HQ186="!AMBIG","!AMBIG",IF(COUNTIF('Calculations'!$HE$13:$HE$512,"="&amp;SUBSTITUTE(SUBSTITUTE(SUBSTITUTE('Calculations'!HQ186,"~","~~"),"*","~*"),"?","~?"))&gt;1,"!AMBIG",IFERROR(INDEX('Calculations'!$HF$13:$HF$512,MATCH('Calculations'!HQ186,'Calculations'!$HE$13:$HE$512,0)),""))))</x:f>
      </x:c>
      <x:c r="HS186" t="str">
        <x:f>IF('Calculations'!HR186="","",IF('Calculations'!HR186="!AMBIG","!AMBIG",IF(COUNTIF('Calculations'!$HE$13:$HE$512,"="&amp;SUBSTITUTE(SUBSTITUTE(SUBSTITUTE('Calculations'!HR186,"~","~~"),"*","~*"),"?","~?"))&gt;1,"!AMBIG",IFERROR(INDEX('Calculations'!$HF$13:$HF$512,MATCH('Calculations'!HR186,'Calculations'!$HE$13:$HE$512,0)),""))))</x:f>
      </x:c>
      <x:c r="HT186" t="str">
        <x:f>IF('Calculations'!HS186="","",IF('Calculations'!HS186="!AMBIG","!AMBIG",IF(COUNTIF('Calculations'!$HE$13:$HE$512,"="&amp;SUBSTITUTE(SUBSTITUTE(SUBSTITUTE('Calculations'!HS186,"~","~~"),"*","~*"),"?","~?"))&gt;1,"!AMBIG",IFERROR(INDEX('Calculations'!$HF$13:$HF$512,MATCH('Calculations'!HS186,'Calculations'!$HE$13:$HE$512,0)),""))))</x:f>
      </x:c>
      <x:c r="HU186" t="str">
        <x:f>IF('Calculations'!HT186="","",IF('Calculations'!HT186="!AMBIG","!AMBIG",IF(COUNTIF('Calculations'!$HE$13:$HE$512,"="&amp;SUBSTITUTE(SUBSTITUTE(SUBSTITUTE('Calculations'!HT186,"~","~~"),"*","~*"),"?","~?"))&gt;1,"!AMBIG",IFERROR(INDEX('Calculations'!$HF$13:$HF$512,MATCH('Calculations'!HT186,'Calculations'!$HE$13:$HE$512,0)),""))))</x:f>
      </x:c>
      <x:c r="HV186" t="str">
        <x:f>IF('Calculations'!HU186="","",IF('Calculations'!HU186="!AMBIG","!AMBIG",IF(COUNTIF('Calculations'!$HE$13:$HE$512,"="&amp;SUBSTITUTE(SUBSTITUTE(SUBSTITUTE('Calculations'!HU186,"~","~~"),"*","~*"),"?","~?"))&gt;1,"!AMBIG",IFERROR(INDEX('Calculations'!$HF$13:$HF$512,MATCH('Calculations'!HU186,'Calculations'!$HE$13:$HE$512,0)),""))))</x:f>
      </x:c>
      <x:c r="HW186" t="str">
        <x:f>IF('Calculations'!HV186="","",IF('Calculations'!HV186="!AMBIG","!AMBIG",IF(COUNTIF('Calculations'!$HE$13:$HE$512,"="&amp;SUBSTITUTE(SUBSTITUTE(SUBSTITUTE('Calculations'!HV186,"~","~~"),"*","~*"),"?","~?"))&gt;1,"!AMBIG",IFERROR(INDEX('Calculations'!$HF$13:$HF$512,MATCH('Calculations'!HV186,'Calculations'!$HE$13:$HE$512,0)),""))))</x:f>
      </x:c>
      <x:c r="HX186" t="str">
        <x:f>IF('Calculations'!HW186="","",IF('Calculations'!HW186="!AMBIG","!AMBIG",IF(COUNTIF('Calculations'!$HE$13:$HE$512,"="&amp;SUBSTITUTE(SUBSTITUTE(SUBSTITUTE('Calculations'!HW186,"~","~~"),"*","~*"),"?","~?"))&gt;1,"!AMBIG",IFERROR(INDEX('Calculations'!$HF$13:$HF$512,MATCH('Calculations'!HW186,'Calculations'!$HE$13:$HE$512,0)),""))))</x:f>
      </x:c>
      <x:c r="HY186" t="str">
        <x:f>IF('Calculations'!HX186="","",IF('Calculations'!HX186="!AMBIG","!AMBIG",IF(COUNTIF('Calculations'!$HE$13:$HE$512,"="&amp;SUBSTITUTE(SUBSTITUTE(SUBSTITUTE('Calculations'!HX186,"~","~~"),"*","~*"),"?","~?"))&gt;1,"!AMBIG",IFERROR(INDEX('Calculations'!$HF$13:$HF$512,MATCH('Calculations'!HX186,'Calculations'!$HE$13:$HE$512,0)),""))))</x:f>
      </x:c>
      <x:c r="HZ186" t="str">
        <x:f>IF('Calculations'!HY186="","",IF('Calculations'!HY186="!AMBIG","!AMBIG",IF(COUNTIF('Calculations'!$HE$13:$HE$512,"="&amp;SUBSTITUTE(SUBSTITUTE(SUBSTITUTE('Calculations'!HY186,"~","~~"),"*","~*"),"?","~?"))&gt;1,"!AMBIG",IFERROR(INDEX('Calculations'!$HF$13:$HF$512,MATCH('Calculations'!HY186,'Calculations'!$HE$13:$HE$512,0)),""))))</x:f>
      </x:c>
      <x:c r="IA186" t="str">
        <x:f>IF('Calculations'!HZ186="","",IF('Calculations'!HZ186="!AMBIG","!AMBIG",IF(COUNTIF('Calculations'!$HE$13:$HE$512,"="&amp;SUBSTITUTE(SUBSTITUTE(SUBSTITUTE('Calculations'!HZ186,"~","~~"),"*","~*"),"?","~?"))&gt;1,"!AMBIG",IFERROR(INDEX('Calculations'!$HF$13:$HF$512,MATCH('Calculations'!HZ186,'Calculations'!$HE$13:$HE$512,0)),""))))</x:f>
      </x:c>
      <x:c r="IB186" t="str">
        <x:f>IF('Calculations'!IA186="","",IF('Calculations'!IA186="!AMBIG","!AMBIG",IF(COUNTIF('Calculations'!$HE$13:$HE$512,"="&amp;SUBSTITUTE(SUBSTITUTE(SUBSTITUTE('Calculations'!IA186,"~","~~"),"*","~*"),"?","~?"))&gt;1,"!AMBIG",IFERROR(INDEX('Calculations'!$HF$13:$HF$512,MATCH('Calculations'!IA186,'Calculations'!$HE$13:$HE$512,0)),""))))</x:f>
      </x:c>
      <x:c r="IC186" t="str">
        <x:f>IF('Calculations'!IB186="","",IF('Calculations'!IB186="!AMBIG","!AMBIG",IF(COUNTIF('Calculations'!$HE$13:$HE$512,"="&amp;SUBSTITUTE(SUBSTITUTE(SUBSTITUTE('Calculations'!IB186,"~","~~"),"*","~*"),"?","~?"))&gt;1,"!AMBIG",IFERROR(INDEX('Calculations'!$HF$13:$HF$512,MATCH('Calculations'!IB186,'Calculations'!$HE$13:$HE$512,0)),""))))</x:f>
      </x:c>
      <x:c r="ID186" t="str">
        <x:f>IF('Calculations'!IC186="","",IF('Calculations'!IC186="!AMBIG","!AMBIG",IF(COUNTIF('Calculations'!$HE$13:$HE$512,"="&amp;SUBSTITUTE(SUBSTITUTE(SUBSTITUTE('Calculations'!IC186,"~","~~"),"*","~*"),"?","~?"))&gt;1,"!AMBIG",IFERROR(INDEX('Calculations'!$HF$13:$HF$512,MATCH('Calculations'!IC186,'Calculations'!$HE$13:$HE$512,0)),""))))</x:f>
      </x:c>
      <x:c r="IE186" t="str">
        <x:f>IF('Calculations'!ID186="","",IF('Calculations'!ID186="!AMBIG","!AMBIG",IF(COUNTIF('Calculations'!$HE$13:$HE$512,"="&amp;SUBSTITUTE(SUBSTITUTE(SUBSTITUTE('Calculations'!ID186,"~","~~"),"*","~*"),"?","~?"))&gt;1,"!AMBIG",IFERROR(INDEX('Calculations'!$HF$13:$HF$512,MATCH('Calculations'!ID186,'Calculations'!$HE$13:$HE$512,0)),""))))</x:f>
      </x:c>
      <x:c r="IF186" t="str">
        <x:f>IF('Calculations'!IE186="","",IF('Calculations'!IE186="!AMBIG","!AMBIG",IF(COUNTIF('Calculations'!$HE$13:$HE$512,"="&amp;SUBSTITUTE(SUBSTITUTE(SUBSTITUTE('Calculations'!IE186,"~","~~"),"*","~*"),"?","~?"))&gt;1,"!AMBIG",IFERROR(INDEX('Calculations'!$HF$13:$HF$512,MATCH('Calculations'!IE186,'Calculations'!$HE$13:$HE$512,0)),""))))</x:f>
      </x:c>
      <x:c r="IG186" t="str">
        <x:f>IF('Calculations'!IF186="","",IF('Calculations'!IF186="!AMBIG","!AMBIG",IF(COUNTIF('Calculations'!$HE$13:$HE$512,"="&amp;SUBSTITUTE(SUBSTITUTE(SUBSTITUTE('Calculations'!IF186,"~","~~"),"*","~*"),"?","~?"))&gt;1,"!AMBIG",IFERROR(INDEX('Calculations'!$HF$13:$HF$512,MATCH('Calculations'!IF186,'Calculations'!$HE$13:$HE$512,0)),""))))</x:f>
      </x:c>
      <x:c r="IH186" t="str">
        <x:f>IF('Calculations'!IG186="","",IF('Calculations'!IG186="!AMBIG","!AMBIG",IF(COUNTIF('Calculations'!$HE$13:$HE$512,"="&amp;SUBSTITUTE(SUBSTITUTE(SUBSTITUTE('Calculations'!IG186,"~","~~"),"*","~*"),"?","~?"))&gt;1,"!AMBIG",IFERROR(INDEX('Calculations'!$HF$13:$HF$512,MATCH('Calculations'!IG186,'Calculations'!$HE$13:$HE$512,0)),""))))</x:f>
      </x:c>
      <x:c r="II186" t="str">
        <x:f>IF('Calculations'!IH186="","",IF('Calculations'!IH186="!AMBIG","!AMBIG",IF(COUNTIF('Calculations'!$HE$13:$HE$512,"="&amp;SUBSTITUTE(SUBSTITUTE(SUBSTITUTE('Calculations'!IH186,"~","~~"),"*","~*"),"?","~?"))&gt;1,"!AMBIG",IFERROR(INDEX('Calculations'!$HF$13:$HF$512,MATCH('Calculations'!IH186,'Calculations'!$HE$13:$HE$512,0)),""))))</x:f>
      </x:c>
      <x:c r="IJ186" t="str">
        <x:f>IF('Calculations'!EM186="","",IF('Calculations'!$EF$2="All",'Calculations'!HM186,IF('Calculations'!HL186=1,"",IFERROR(IF(MATCH('Calculations'!$EF$2,'Calculations'!HO186:II186,0)=1,'Calculations'!HE186,INDEX('Calculations'!HO186:II186,1,MATCH('Calculations'!$EF$2,'Calculations'!HO186:II186,0)-1)),""))))</x:f>
      </x:c>
      <x:c r="IK186" t="n">
        <x:f>IF(AND('Calculations'!EM186&lt;&gt;"",'Calculations'!$EF$2&lt;&gt;"All",'Calculations'!HF186='Calculations'!$EF$2,'Calculations'!HL186=0,'Calculations'!JD186&gt;0),MAX('Calculations'!$IK$12:IK185)+1,0)</x:f>
        <x:v>0</x:v>
      </x:c>
      <x:c r="JA186" t="n">
        <x:f>IF(OR(IFERROR(INDIRECT("'WCM Calibration Final'!$A$186")&lt;&gt;"",FALSE),IFERROR(INDIRECT("'WCM Calibration Final'!$B$186")&lt;&gt;"",FALSE),IFERROR(INDIRECT("'WCM Calibration Final'!$C$186")&lt;&gt;"",FALSE)),186,0)</x:f>
        <x:v>0</x:v>
      </x:c>
      <x:c r="JB186" t="n">
        <x:f>'Calculations'!JB185+IF('Calculations'!JA186&gt;0,1,0)</x:f>
        <x:v>0</x:v>
      </x:c>
      <x:c r="JC186" t="n">
        <x:f>IF(OR('Calculations'!HF186="",'Calculations'!HF186="!AMBIG"),0,IF('Dashboard'!$B$7="All",1,COUNTIFS('Calculations'!$HO$13:$HO$512,"="&amp;SUBSTITUTE(SUBSTITUTE(SUBSTITUTE('Calculations'!HF186,"~","~~"),"*","~*"),"?","~?"),'Calculations'!$HN$13:$HN$512,"="&amp;SUBSTITUTE(SUBSTITUTE(SUBSTITUTE('Dashboard'!$B$7,"~","~~"),"*","~*"),"?","~?"))+COUNTIFS('Calculations'!$HP$13:$HP$512,"="&amp;SUBSTITUTE(SUBSTITUTE(SUBSTITUTE('Calculations'!HF186,"~","~~"),"*","~*"),"?","~?"),'Calculations'!$HN$13:$HN$512,"="&amp;SUBSTITUTE(SUBSTITUTE(SUBSTITUTE('Dashboard'!$B$7,"~","~~"),"*","~*"),"?","~?"))+COUNTIFS('Calculations'!$HQ$13:$HQ$512,"="&amp;SUBSTITUTE(SUBSTITUTE(SUBSTITUTE('Calculations'!HF186,"~","~~"),"*","~*"),"?","~?"),'Calculations'!$HN$13:$HN$512,"="&amp;SUBSTITUTE(SUBSTITUTE(SUBSTITUTE('Dashboard'!$B$7,"~","~~"),"*","~*"),"?","~?"))+COUNTIFS('Calculations'!$HR$13:$HR$512,"="&amp;SUBSTITUTE(SUBSTITUTE(SUBSTITUTE('Calculations'!HF186,"~","~~"),"*","~*"),"?","~?"),'Calculations'!$HN$13:$HN$512,"="&amp;SUBSTITUTE(SUBSTITUTE(SUBSTITUTE('Dashboard'!$B$7,"~","~~"),"*","~*"),"?","~?"))+COUNTIFS('Calculations'!$HS$13:$HS$512,"="&amp;SUBSTITUTE(SUBSTITUTE(SUBSTITUTE('Calculations'!HF186,"~","~~"),"*","~*"),"?","~?"),'Calculations'!$HN$13:$HN$512,"="&amp;SUBSTITUTE(SUBSTITUTE(SUBSTITUTE('Dashboard'!$B$7,"~","~~"),"*","~*"),"?","~?"))+COUNTIFS('Calculations'!$HT$13:$HT$512,"="&amp;SUBSTITUTE(SUBSTITUTE(SUBSTITUTE('Calculations'!HF186,"~","~~"),"*","~*"),"?","~?"),'Calculations'!$HN$13:$HN$512,"="&amp;SUBSTITUTE(SUBSTITUTE(SUBSTITUTE('Dashboard'!$B$7,"~","~~"),"*","~*"),"?","~?"))+COUNTIFS('Calculations'!$HU$13:$HU$512,"="&amp;SUBSTITUTE(SUBSTITUTE(SUBSTITUTE('Calculations'!HF186,"~","~~"),"*","~*"),"?","~?"),'Calculations'!$HN$13:$HN$512,"="&amp;SUBSTITUTE(SUBSTITUTE(SUBSTITUTE('Dashboard'!$B$7,"~","~~"),"*","~*"),"?","~?"))+COUNTIFS('Calculations'!$HV$13:$HV$512,"="&amp;SUBSTITUTE(SUBSTITUTE(SUBSTITUTE('Calculations'!HF186,"~","~~"),"*","~*"),"?","~?"),'Calculations'!$HN$13:$HN$512,"="&amp;SUBSTITUTE(SUBSTITUTE(SUBSTITUTE('Dashboard'!$B$7,"~","~~"),"*","~*"),"?","~?"))+COUNTIFS('Calculations'!$HW$13:$HW$512,"="&amp;SUBSTITUTE(SUBSTITUTE(SUBSTITUTE('Calculations'!HF186,"~","~~"),"*","~*"),"?","~?"),'Calculations'!$HN$13:$HN$512,"="&amp;SUBSTITUTE(SUBSTITUTE(SUBSTITUTE('Dashboard'!$B$7,"~","~~"),"*","~*"),"?","~?"))+COUNTIFS('Calculations'!$HX$13:$HX$512,"="&amp;SUBSTITUTE(SUBSTITUTE(SUBSTITUTE('Calculations'!HF186,"~","~~"),"*","~*"),"?","~?"),'Calculations'!$HN$13:$HN$512,"="&amp;SUBSTITUTE(SUBSTITUTE(SUBSTITUTE('Dashboard'!$B$7,"~","~~"),"*","~*"),"?","~?"))+COUNTIFS('Calculations'!$HY$13:$HY$512,"="&amp;SUBSTITUTE(SUBSTITUTE(SUBSTITUTE('Calculations'!HF186,"~","~~"),"*","~*"),"?","~?"),'Calculations'!$HN$13:$HN$512,"="&amp;SUBSTITUTE(SUBSTITUTE(SUBSTITUTE('Dashboard'!$B$7,"~","~~"),"*","~*"),"?","~?"))+COUNTIFS('Calculations'!$HZ$13:$HZ$512,"="&amp;SUBSTITUTE(SUBSTITUTE(SUBSTITUTE('Calculations'!HF186,"~","~~"),"*","~*"),"?","~?"),'Calculations'!$HN$13:$HN$512,"="&amp;SUBSTITUTE(SUBSTITUTE(SUBSTITUTE('Dashboard'!$B$7,"~","~~"),"*","~*"),"?","~?"))+COUNTIFS('Calculations'!$IA$13:$IA$512,"="&amp;SUBSTITUTE(SUBSTITUTE(SUBSTITUTE('Calculations'!HF186,"~","~~"),"*","~*"),"?","~?"),'Calculations'!$HN$13:$HN$512,"="&amp;SUBSTITUTE(SUBSTITUTE(SUBSTITUTE('Dashboard'!$B$7,"~","~~"),"*","~*"),"?","~?"))+COUNTIFS('Calculations'!$IB$13:$IB$512,"="&amp;SUBSTITUTE(SUBSTITUTE(SUBSTITUTE('Calculations'!HF186,"~","~~"),"*","~*"),"?","~?"),'Calculations'!$HN$13:$HN$512,"="&amp;SUBSTITUTE(SUBSTITUTE(SUBSTITUTE('Dashboard'!$B$7,"~","~~"),"*","~*"),"?","~?"))+COUNTIFS('Calculations'!$IC$13:$IC$512,"="&amp;SUBSTITUTE(SUBSTITUTE(SUBSTITUTE('Calculations'!HF186,"~","~~"),"*","~*"),"?","~?"),'Calculations'!$HN$13:$HN$512,"="&amp;SUBSTITUTE(SUBSTITUTE(SUBSTITUTE('Dashboard'!$B$7,"~","~~"),"*","~*"),"?","~?"))+COUNTIFS('Calculations'!$ID$13:$ID$512,"="&amp;SUBSTITUTE(SUBSTITUTE(SUBSTITUTE('Calculations'!HF186,"~","~~"),"*","~*"),"?","~?"),'Calculations'!$HN$13:$HN$512,"="&amp;SUBSTITUTE(SUBSTITUTE(SUBSTITUTE('Dashboard'!$B$7,"~","~~"),"*","~*"),"?","~?"))+COUNTIFS('Calculations'!$IE$13:$IE$512,"="&amp;SUBSTITUTE(SUBSTITUTE(SUBSTITUTE('Calculations'!HF186,"~","~~"),"*","~*"),"?","~?"),'Calculations'!$HN$13:$HN$512,"="&amp;SUBSTITUTE(SUBSTITUTE(SUBSTITUTE('Dashboard'!$B$7,"~","~~"),"*","~*"),"?","~?"))+COUNTIFS('Calculations'!$IF$13:$IF$512,"="&amp;SUBSTITUTE(SUBSTITUTE(SUBSTITUTE('Calculations'!HF186,"~","~~"),"*","~*"),"?","~?"),'Calculations'!$HN$13:$HN$512,"="&amp;SUBSTITUTE(SUBSTITUTE(SUBSTITUTE('Dashboard'!$B$7,"~","~~"),"*","~*"),"?","~?"))+COUNTIFS('Calculations'!$IG$13:$IG$512,"="&amp;SUBSTITUTE(SUBSTITUTE(SUBSTITUTE('Calculations'!HF186,"~","~~"),"*","~*"),"?","~?"),'Calculations'!$HN$13:$HN$512,"="&amp;SUBSTITUTE(SUBSTITUTE(SUBSTITUTE('Dashboard'!$B$7,"~","~~"),"*","~*"),"?","~?"))+COUNTIFS('Calculations'!$IH$13:$IH$512,"="&amp;SUBSTITUTE(SUBSTITUTE(SUBSTITUTE('Calculations'!HF186,"~","~~"),"*","~*"),"?","~?"),'Calculations'!$HN$13:$HN$512,"="&amp;SUBSTITUTE(SUBSTITUTE(SUBSTITUTE('Dashboard'!$B$7,"~","~~"),"*","~*"),"?","~?"))))</x:f>
        <x:v>0</x:v>
      </x:c>
      <x:c r="JD186" t="n">
        <x:f>IF('Calculations'!EM186="",0,IF('Dashboard'!$B$7="All",1,IF('Calculations'!HN186='Dashboard'!$B$7,1,0)+IFERROR(INDEX('Calculations'!$JC$13:$JC$512,MATCH('Calculations'!HE186,'Calculations'!$HF$13:$HF$512,0)),0)))</x:f>
        <x:v>0</x:v>
      </x:c>
      <x:c r="JE186" t="n">
        <x:f>IF(AND('Calculations'!EM186&lt;&gt;"",'Calculations'!$JJ$2&lt;&gt;"All",'Calculations'!$JJ$2&lt;&gt;"",'Calculations'!HF186='Calculations'!$JJ$2,'Calculations'!HL186=0,'Calculations'!JD186&gt;0),MAX('Calculations'!$JE$12:JE185)+1,0)</x:f>
        <x:v>0</x:v>
      </x:c>
      <x:c r="JF186" t="str">
        <x:f>IF('Calculations'!EM186="","",IFERROR(IF(INDEX(INDIRECT("'WCM Calibration Final'!$G$1:$G$2000"),'Calculations'!$EM186)="","",TRIM(INDEX(INDIRECT("'WCM Calibration Final'!$G$1:$G$2000"),'Calculations'!$EM186)&amp;"")),""))</x:f>
      </x:c>
      <x:c r="JQ186" t="n">
        <x:f>IF(OR('Calculations'!BM186=0,NOT('Calculations'!$AG$2),'Calculations'!$AG$8&gt;0),0,IF(OR('Dashboard'!$B$7="All",'Calculations'!HN186='Dashboard'!$B$7),IF('Calculations'!$JJ$2="All",1,IF(AND('Calculations'!HF186='Calculations'!$JJ$2,'Calculations'!HL186=0),1,0)),0))</x:f>
        <x:v>0</x:v>
      </x:c>
    </x:row>
    <x:row r="187">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t="n">
        <x:f>IF('Calculations'!$EM187="",0,IF(OR(IFERROR(INDEX(INDIRECT("'WCM Calibration Final'!$A$1:$A$2000"),'Calculations'!$EM187)&lt;&gt;"",FALSE),IFERROR(INDEX(INDIRECT("'WCM Calibration Final'!$B$1:$B$2000"),'Calculations'!$EM187)&lt;&gt;"",FALSE),IFERROR(INDEX(INDIRECT("'WCM Calibration Final'!$C$1:$C$2000"),'Calculations'!$EM187)&lt;&gt;"",FALSE)),1,0))</x:f>
        <x:v>0</x:v>
      </x:c>
      <x:c r="BN187" s="4" t="n">
        <x:f>IF(AND('Calculations'!BM187=1,'Calculations'!$AG$2,'Calculations'!$EN187=1),1,0)</x:f>
        <x:v>0</x:v>
      </x:c>
      <x:c r="BO187" s="4" t="str">
        <x:f>IF('Calculations'!BM187=0,"",IFERROR(IF(AND(VALUE(INDEX(INDIRECT("'WCM Calibration Final'!$K$1:$K$2000"),'Calculations'!$EM187))&gt;=1,VALUE(INDEX(INDIRECT("'WCM Calibration Final'!$K$1:$K$2000"),'Calculations'!$EM187))&lt;=4,MOD(VALUE(INDEX(INDIRECT("'WCM Calibration Final'!$K$1:$K$2000"),'Calculations'!$EM187)),1)=0),VALUE(INDEX(INDIRECT("'WCM Calibration Final'!$K$1:$K$2000"),'Calculations'!$EM187)),""),""))</x:f>
      </x:c>
      <x:c r="BP187" s="4" t="str">
        <x:f>IF('Calculations'!BM187=0,"",IFERROR(IF(AND(VALUE(INDEX(INDIRECT("'WCM Calibration Final'!$L$1:$L$2000"),'Calculations'!$EM187))&gt;=1,VALUE(INDEX(INDIRECT("'WCM Calibration Final'!$L$1:$L$2000"),'Calculations'!$EM187))&lt;=4,MOD(VALUE(INDEX(INDIRECT("'WCM Calibration Final'!$L$1:$L$2000"),'Calculations'!$EM187)),1)=0),VALUE(INDEX(INDIRECT("'WCM Calibration Final'!$L$1:$L$2000"),'Calculations'!$EM187)),""),""))</x:f>
      </x:c>
      <x:c r="BQ187" s="4"/>
      <x:c r="BR187" s="4"/>
      <x:c r="BS187" s="4"/>
      <x:c r="BT187" s="4" t="n">
        <x:f>IF(AND('Calculations'!BM187=1,ISNUMBER('Calculations'!BO187),ISNUMBER('Calculations'!BP187)),1,0)</x:f>
        <x:v>0</x:v>
      </x:c>
      <x:c r="BU187" s="4" t="str">
        <x:f>IF('Calculations'!BM187=0,"",'Calculations'!$EO187)</x:f>
      </x:c>
      <x:c r="BV187" s="4" t="str">
        <x:f>IF('Calculations'!BM187=0,"",IFERROR(IF(OR(INDEX(INDIRECT("'WCM Calibration Final'!$H$1:$H$2000"),'Calculations'!$EM187)="MANAGING DIRECTOR",INDEX(INDIRECT("'WCM Calibration Final'!$H$1:$H$2000"),'Calculations'!$EM187)="DIRECTOR",INDEX(INDIRECT("'WCM Calibration Final'!$H$1:$H$2000"),'Calculations'!$EM187)="SENIOR VICE PRESIDENT",INDEX(INDIRECT("'WCM Calibration Final'!$H$1:$H$2000"),'Calculations'!$EM187)="VICE PRESIDENT",INDEX(INDIRECT("'WCM Calibration Final'!$H$1:$H$2000"),'Calculations'!$EM187)="ASSISTANT VICE PRESIDENT",INDEX(INDIRECT("'WCM Calibration Final'!$H$1:$H$2000"),'Calculations'!$EM187)="OFFICER"),UPPER(INDEX(INDIRECT("'WCM Calibration Final'!$H$1:$H$2000"),'Calculations'!$EM187)),"Other"),"Other"))</x:f>
      </x:c>
      <x:c r="BW187" s="4"/>
      <x:c r="BX187" s="4"/>
      <x:c r="BY187" s="4" t="n">
        <x:f>IF(AND('Calculations'!BM187=1,'Calculations'!BU187&lt;&gt;"",COUNTIF('Calculations'!$BU$12:BU187,'Calculations'!BU187)=1),MAX('Calculations'!$BY$11:BY186)+1,0)</x:f>
        <x:v>0</x:v>
      </x:c>
      <x:c r="BZ187" s="4" t="str">
        <x:f>IF('Dashboard'!$E$67="What",'Calculations'!BO187,'Calculations'!BP187)</x:f>
      </x:c>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t="str">
        <x:f>IF(176&gt;MAX('Calculations'!$HI$13:$HI$512),"",INDEX('Calculations'!$HN$13:$HN$512,MATCH(176,'Calculations'!$HI$13:$HI$512,0)))</x:f>
      </x:c>
      <x:c r="DB187" s="4" t="str">
        <x:f>IF(176&gt;MAX('Calculations'!$HH$13:$HH$512),"",INDEX('Calculations'!$HJ$13:$HJ$512,MATCH(176,'Calculations'!$HH$13:$HH$512,0)))</x:f>
      </x:c>
      <x:c r="DC187" s="4" t="str">
        <x:f>IF(ROW()-11&gt;MAX('Calculations'!$BY$13:$BY$512),"",INDEX('Calculations'!$BU$13:$BU$512,MATCH(ROW()-11,'Calculations'!$BY$13:$BY$512,0)))</x:f>
      </x:c>
      <x:c r="DD187" s="4" t="str">
        <x:f>IF(176&gt;MAX('Calculations'!$IK$13:$IK$512),"",INDEX('Calculations'!$HK$13:$HK$512,MATCH(176,'Calculations'!$IK$13:$IK$512,0)))</x:f>
      </x:c>
      <x:c r="DE187" s="4" t="str">
        <x:f>'Calculations'!DC187</x:f>
      </x:c>
      <x:c r="DF187" s="4" t="str">
        <x:f>IF('Calculations'!DE187="","",COUNTIFS('Calculations'!$BN$13:$BN$512,1,'Calculations'!$BU$13:$BU$512,'Calculations'!DE187))</x:f>
      </x:c>
      <x:c r="DG187" s="4" t="str">
        <x:f>IF('Calculations'!DE187="","",COUNTIFS('Calculations'!$BN$13:$BN$512,1,'Calculations'!$BU$13:$BU$512,'Calculations'!DE187,'Calculations'!$BT$13:$BT$512,1))</x:f>
      </x:c>
      <x:c r="DH187" s="4" t="str">
        <x:f>IF('Calculations'!DE187="","",'Calculations'!DF187-'Calculations'!DG187)</x:f>
      </x:c>
      <x:c r="DI187" s="4" t="str">
        <x:f>IF(OR('Calculations'!DE187="",'Calculations'!DF187=0),"",'Calculations'!DG187/'Calculations'!DF187)</x:f>
      </x:c>
      <x:c r="DJ187" s="4" t="str">
        <x:f>IF('Calculations'!DE187="","",COUNTIFS('Calculations'!$BN$13:$BN$512,1,'Calculations'!$BU$13:$BU$512,'Calculations'!DE187,'Calculations'!$BT$13:$BT$512,1,'Calculations'!$EE$13:$EE$512,"High"))</x:f>
      </x:c>
      <x:c r="DK187" s="4" t="str">
        <x:f>IF('Calculations'!DE187="","",COUNTIFS('Calculations'!$BN$13:$BN$512,1,'Calculations'!$BU$13:$BU$512,'Calculations'!DE187,'Calculations'!$BT$13:$BT$512,1,'Calculations'!$EE$13:$EE$512,"Strong"))</x:f>
      </x:c>
      <x:c r="DL187" s="4" t="str">
        <x:f>IF('Calculations'!DE187="","",COUNTIFS('Calculations'!$BN$13:$BN$512,1,'Calculations'!$BU$13:$BU$512,'Calculations'!DE187,'Calculations'!$BT$13:$BT$512,1,'Calculations'!$EE$13:$EE$512,"Solid"))</x:f>
      </x:c>
      <x:c r="DM187" s="4" t="str">
        <x:f>IF('Calculations'!DE187="","",COUNTIFS('Calculations'!$BN$13:$BN$512,1,'Calculations'!$BU$13:$BU$512,'Calculations'!DE187,'Calculations'!$BT$13:$BT$512,1,'Calculations'!$EE$13:$EE$512,"Low"))</x:f>
      </x:c>
      <x:c r="DN187" s="4" t="str">
        <x:f>IF('Calculations'!DE187="","",COUNTIFS('Calculations'!$BN$13:$BN$512,1,'Calculations'!$BU$13:$BU$512,'Calculations'!DE187,'Calculations'!$EP$13:$EP$512,1))</x:f>
      </x:c>
      <x:c r="DO187" s="4" t="str">
        <x:f>IF(OR('Calculations'!DE187="",'Calculations'!DG187=0),"",('Calculations'!DJ187+'Calculations'!DK187)/'Calculations'!DG187)</x:f>
      </x:c>
      <x:c r="DP187" s="4" t="n">
        <x:f>IF(AND('Calculations'!DE187&lt;&gt;"",'Calculations'!DF187&gt;0),COUNTIF('Calculations'!$DF$12:DF187,"&gt;0"),0)</x:f>
        <x:v>0</x:v>
      </x:c>
      <x:c r="DQ187" s="4" t="str">
        <x:f>IF(176&gt;MAX('Calculations'!$HH$13:$HH$512),"",INDEX('Calculations'!$HF$13:$HF$512,MATCH(176,'Calculations'!$HH$13:$HH$512,0)))</x:f>
      </x:c>
      <x:c r="DR187" s="4" t="str">
        <x:f>IF(176&gt;MAX('Calculations'!$IK$13:$IK$512),"",INDEX('Calculations'!$HE$13:$HE$512,MATCH(176,'Calculations'!$IK$13:$IK$512,0)))</x:f>
      </x:c>
      <x:c r="DS187" s="4"/>
      <x:c r="DT187" s="4"/>
      <x:c r="DU187" s="4"/>
      <x:c r="DV187" s="4"/>
      <x:c r="DW187" s="4"/>
      <x:c r="DX187" s="4"/>
      <x:c r="DY187" s="4"/>
      <x:c r="DZ187" s="4"/>
      <x:c r="EA187" s="4"/>
      <x:c r="EB187" s="4"/>
      <x:c r="EC187" s="4"/>
      <x:c r="ED187" s="4"/>
      <x:c r="EE187" s="4" t="str">
        <x:f>IF('Calculations'!BT187=0,"Not Rated",IF(OR('Calculations'!BO187&gt;=4,'Calculations'!BP187&gt;=4),"Low",IF('Calculations'!BO187+'Calculations'!BP187&lt;=3,"High",IF('Calculations'!BO187+'Calculations'!BP187&lt;=4,"Strong","Solid"))))</x:f>
        <x:v>Not Rated</x:v>
      </x:c>
      <x:c r="EF187" s="4"/>
      <x:c r="EG187" s="4"/>
      <x:c r="EH187" s="4"/>
      <x:c r="EI187" s="4"/>
      <x:c r="EJ187" s="4"/>
      <x:c r="EK187" s="4"/>
      <x:c r="EL187" s="4"/>
      <x:c r="EM187" s="4" t="str">
        <x:f>IF(175&gt;'Calculations'!$JB$2000,"",INDEX('Calculations'!$JA$12:$JA$2000,MATCH(175,'Calculations'!$JB$12:$JB$2000,0)))</x:f>
      </x:c>
      <x:c r="EN187" s="4" t="n">
        <x:f>IF(OR('Calculations'!EM187="",'Calculations'!$AG$8&gt;0,AND('Calculations'!$EF$2&lt;&gt;"All",'Calculations'!HE187='Calculations'!$EF$2),AND('Calculations'!$EF$3&lt;&gt;"All",'Calculations'!HE187='Calculations'!$EF$3)),0,IF(OR('Dashboard'!$B$7="All",'Calculations'!HN187='Dashboard'!$B$7),IF('Calculations'!$EF$2="All",1,IF('Calculations'!HL187&gt;0,0,IF(COUNTIF('Calculations'!HO187:II187,"="&amp;SUBSTITUTE(SUBSTITUTE(SUBSTITUTE('Calculations'!$EF$2,"~","~~"),"*","~*"),"?","~?"))=0,0,IF('Calculations'!$EF$3="All",1,IF(COUNTIF('Calculations'!HO187:II187,"="&amp;SUBSTITUTE(SUBSTITUTE(SUBSTITUTE('Calculations'!$EF$3,"~","~~"),"*","~*"),"?","~?"))&gt;0,1,0))))),0))</x:f>
        <x:v>0</x:v>
      </x:c>
      <x:c r="EO187" s="4" t="str">
        <x:f>IF('Calculations'!IJ187="","",IF('Calculations'!IJ187="!UNRESOLVED","Unresolved hierarchy",IFERROR(INDEX('Calculations'!$HK$13:$HK$512,MATCH('Calculations'!IJ187,'Calculations'!$HE$13:$HE$512,0)),IFERROR(INDEX('Calculations'!$HJ$13:$HJ$512,MATCH('Calculations'!IJ187,'Calculations'!$HF$13:$HF$512,0)),'Calculations'!IJ187))))</x:f>
      </x:c>
      <x:c r="EP187" s="4" t="n">
        <x:f>IF(AND('Calculations'!EM187&lt;&gt;"",'Calculations'!HF187='Calculations'!IJ187),1,0)</x:f>
        <x:v>0</x:v>
      </x:c>
      <x:c r="EQ187" s="4"/>
      <x:c r="ER187" s="4"/>
      <x:c r="ES187" s="4"/>
      <x:c r="ET187" s="4"/>
      <x:c r="EU187" s="4"/>
      <x:c r="EV187" s="4"/>
      <x:c r="EW187" s="4"/>
      <x:c r="EX187" s="4"/>
      <x:c r="EY187" s="4"/>
      <x:c r="EZ187" s="4"/>
      <x:c r="FA187" s="4"/>
      <x:c r="FB187" s="4"/>
      <x:c r="FC187" s="4"/>
      <x:c r="FD187" s="4"/>
      <x:c r="FE187" s="4"/>
      <x:c r="FF187" s="4"/>
      <x:c r="FG187" s="4"/>
      <x:c r="FH187" s="4"/>
      <x:c r="FI187" s="4"/>
      <x:c r="FJ187" s="4"/>
      <x:c r="FK187" s="4"/>
      <x:c r="FL187" s="4"/>
      <x:c r="FM187" s="4"/>
      <x:c r="FN187" s="4"/>
      <x:c r="FO187" s="4"/>
      <x:c r="GA187" s="71"/>
      <x:c r="GB187" s="71"/>
      <x:c r="GC187" s="71"/>
      <x:c r="GD187" s="71"/>
      <x:c r="GE187" s="71"/>
      <x:c r="GF187" s="71"/>
      <x:c r="GG187" s="71"/>
      <x:c r="GH187" s="71"/>
      <x:c r="GI187" s="71"/>
      <x:c r="GJ187" s="71"/>
      <x:c r="GK187" s="71"/>
      <x:c r="GL187" s="71"/>
      <x:c r="GM187" s="71"/>
      <x:c r="GN187" s="71"/>
      <x:c r="GO187" s="71"/>
      <x:c r="GP187" s="71"/>
      <x:c r="GQ187" s="71"/>
      <x:c r="GR187" s="71"/>
      <x:c r="GS187" s="71"/>
      <x:c r="GT187" s="71"/>
      <x:c r="GU187" s="71"/>
      <x:c r="GV187" s="71"/>
      <x:c r="GW187" s="71"/>
      <x:c r="GX187" s="71"/>
      <x:c r="GY187" s="71"/>
      <x:c r="GZ187" s="71"/>
      <x:c r="HA187" s="71"/>
      <x:c r="HB187" s="71"/>
      <x:c r="HC187" s="71"/>
      <x:c r="HD187" s="71"/>
      <x:c r="HE187" t="str">
        <x:f>IF('Calculations'!EM187="","",IF(IFERROR(IF(INDEX(INDIRECT("'WCM Calibration Final'!$A$1:$A$2000"),'Calculations'!$EM187)="","",TRIM(INDEX(INDIRECT("'WCM Calibration Final'!$A$1:$A$2000"),'Calculations'!$EM187)&amp;"")),"")&lt;&gt;"","G:"&amp;IFERROR(TEXT(1*INDEX(INDIRECT("'WCM Calibration Final'!$A$1:$A$2000"),'Calculations'!$EM187),"0"),UPPER(IFERROR(IF(INDEX(INDIRECT("'WCM Calibration Final'!$A$1:$A$2000"),'Calculations'!$EM187)="","",TRIM(INDEX(INDIRECT("'WCM Calibration Final'!$A$1:$A$2000"),'Calculations'!$EM187)&amp;"")),""))),IF(IFERROR(IF(INDEX(INDIRECT("'WCM Calibration Final'!$C$1:$C$2000"),'Calculations'!$EM187)="","",TRIM(INDEX(INDIRECT("'WCM Calibration Final'!$C$1:$C$2000"),'Calculations'!$EM187)&amp;"")),"")&lt;&gt;"","S:"&amp;UPPER(IFERROR(IF(INDEX(INDIRECT("'WCM Calibration Final'!$C$1:$C$2000"),'Calculations'!$EM187)="","",TRIM(INDEX(INDIRECT("'WCM Calibration Final'!$C$1:$C$2000"),'Calculations'!$EM187)&amp;"")),"")),"R:"&amp;'Calculations'!EM187)))</x:f>
      </x:c>
      <x:c r="HF187" t="str">
        <x:f>IF('Calculations'!EM187="","",IF(IFERROR(IF(INDEX(INDIRECT("'WCM Calibration Final'!$D$1:$D$2000"),'Calculations'!$EM187)="","",TRIM(INDEX(INDIRECT("'WCM Calibration Final'!$D$1:$D$2000"),'Calculations'!$EM187)&amp;"")),"")&lt;&gt;"","G:"&amp;IFERROR(TEXT(1*INDEX(INDIRECT("'WCM Calibration Final'!$D$1:$D$2000"),'Calculations'!$EM187),"0"),UPPER(IFERROR(IF(INDEX(INDIRECT("'WCM Calibration Final'!$D$1:$D$2000"),'Calculations'!$EM187)="","",TRIM(INDEX(INDIRECT("'WCM Calibration Final'!$D$1:$D$2000"),'Calculations'!$EM187)&amp;"")),""))),IF(IFERROR(IF(INDEX(INDIRECT("'WCM Calibration Final'!$E$1:$E$2000"),'Calculations'!$EM187)="","",TRIM(INDEX(INDIRECT("'WCM Calibration Final'!$E$1:$E$2000"),'Calculations'!$EM187)&amp;"")),"")="","",IF(COUNTIF('Calculations'!$HG$13:$HG$512,"="&amp;SUBSTITUTE(SUBSTITUTE(SUBSTITUTE(IFERROR(IF(INDEX(INDIRECT("'WCM Calibration Final'!$E$1:$E$2000"),'Calculations'!$EM187)="","",TRIM(INDEX(INDIRECT("'WCM Calibration Final'!$E$1:$E$2000"),'Calculations'!$EM187)&amp;"")),""),"~","~~"),"*","~*"),"?","~?"))=1,INDEX('Calculations'!$HE$13:$HE$512,MATCH(IFERROR(IF(INDEX(INDIRECT("'WCM Calibration Final'!$E$1:$E$2000"),'Calculations'!$EM187)="","",TRIM(INDEX(INDIRECT("'WCM Calibration Final'!$E$1:$E$2000"),'Calculations'!$EM187)&amp;"")),""),'Calculations'!$HG$13:$HG$512,0)),IF(COUNTIF('Calculations'!$HG$13:$HG$512,"="&amp;SUBSTITUTE(SUBSTITUTE(SUBSTITUTE(IFERROR(IF(INDEX(INDIRECT("'WCM Calibration Final'!$E$1:$E$2000"),'Calculations'!$EM187)="","",TRIM(INDEX(INDIRECT("'WCM Calibration Final'!$E$1:$E$2000"),'Calculations'!$EM187)&amp;"")),""),"~","~~"),"*","~*"),"?","~?"))&gt;1,"!AMBIG","X:"&amp;IFERROR(IF(INDEX(INDIRECT("'WCM Calibration Final'!$E$1:$E$2000"),'Calculations'!$EM187)="","",TRIM(INDEX(INDIRECT("'WCM Calibration Final'!$E$1:$E$2000"),'Calculations'!$EM187)&amp;"")),""))))))</x:f>
      </x:c>
      <x:c r="HG187" t="str">
        <x:f>IF('Calculations'!EM187="","",IFERROR(IF(INDEX(INDIRECT("'WCM Calibration Final'!$B$1:$B$2000"),'Calculations'!$EM187)="","",TRIM(INDEX(INDIRECT("'WCM Calibration Final'!$B$1:$B$2000"),'Calculations'!$EM187)&amp;"")),""))</x:f>
      </x:c>
      <x:c r="HH187" t="n">
        <x:f>IF(AND('Calculations'!JC187&gt;0,COUNTIF('Calculations'!$HF$12:HF187,"="&amp;SUBSTITUTE(SUBSTITUTE(SUBSTITUTE('Calculations'!HF187,"~","~~"),"*","~*"),"?","~?"))=1),MAX('Calculations'!$HH$12:HH186)+1,0)</x:f>
        <x:v>0</x:v>
      </x:c>
      <x:c r="HI187" t="n">
        <x:f>IF(AND('Calculations'!HN187&lt;&gt;"",COUNTIF('Calculations'!$HN$12:HN187,"="&amp;SUBSTITUTE(SUBSTITUTE(SUBSTITUTE('Calculations'!HN187,"~","~~"),"*","~*"),"?","~?"))=1),MAX('Calculations'!$HI$12:HI186)+1,0)</x:f>
        <x:v>0</x:v>
      </x:c>
      <x:c r="HJ187" t="str">
        <x:f>IF('Calculations'!HF187="","",IF(COUNTIF('Calculations'!$HE$13:$HE$512,"="&amp;SUBSTITUTE(SUBSTITUTE(SUBSTITUTE('Calculations'!HF187,"~","~~"),"*","~*"),"?","~?"))=1,INDEX('Calculations'!$HK$13:$HK$512,MATCH('Calculations'!HF187,'Calculations'!$HE$13:$HE$512,0)),IFERROR(IF(INDEX(INDIRECT("'WCM Calibration Final'!$E$1:$E$2000"),'Calculations'!$EM187)="","",TRIM(INDEX(INDIRECT("'WCM Calibration Final'!$E$1:$E$2000"),'Calculations'!$EM187)&amp;"")),"")&amp;" ["&amp;'Calculations'!HF187&amp;"]"))</x:f>
      </x:c>
      <x:c r="HK187" t="str">
        <x:f>IF('Calculations'!EM187="","",'Calculations'!HG187&amp;" ["&amp;'Calculations'!HE187&amp;"]")</x:f>
      </x:c>
      <x:c r="HL187" t="n">
        <x:f>IF('Calculations'!EM187="",0,IF(OR('Calculations'!II187&lt;&gt;"",COUNTIF('Calculations'!$HE$13:$HE$512,"="&amp;SUBSTITUTE(SUBSTITUTE(SUBSTITUTE('Calculations'!HE187,"~","~~"),"*","~*"),"?","~?"))&gt;1),1,0))</x:f>
        <x:v>0</x:v>
      </x:c>
      <x:c r="HM187" t="str">
        <x:f>IF('Calculations'!EM187="","",IF('Calculations'!HL187=1,"!UNRESOLVED",IF('Calculations'!IH187&lt;&gt;"",'Calculations'!IH187,IF('Calculations'!IG187&lt;&gt;"",'Calculations'!IG187,IF('Calculations'!IF187&lt;&gt;"",'Calculations'!IF187,IF('Calculations'!IE187&lt;&gt;"",'Calculations'!IE187,IF('Calculations'!ID187&lt;&gt;"",'Calculations'!ID187,IF('Calculations'!IC187&lt;&gt;"",'Calculations'!IC187,IF('Calculations'!IB187&lt;&gt;"",'Calculations'!IB187,IF('Calculations'!IA187&lt;&gt;"",'Calculations'!IA187,IF('Calculations'!HZ187&lt;&gt;"",'Calculations'!HZ187,IF('Calculations'!HY187&lt;&gt;"",'Calculations'!HY187,IF('Calculations'!HX187&lt;&gt;"",'Calculations'!HX187,IF('Calculations'!HW187&lt;&gt;"",'Calculations'!HW187,IF('Calculations'!HV187&lt;&gt;"",'Calculations'!HV187,IF('Calculations'!HU187&lt;&gt;"",'Calculations'!HU187,IF('Calculations'!HT187&lt;&gt;"",'Calculations'!HT187,IF('Calculations'!HS187&lt;&gt;"",'Calculations'!HS187,IF('Calculations'!HR187&lt;&gt;"",'Calculations'!HR187,IF('Calculations'!HQ187&lt;&gt;"",'Calculations'!HQ187,IF('Calculations'!HP187&lt;&gt;"",'Calculations'!HP187,IF('Calculations'!HO187&lt;&gt;"",'Calculations'!HO187,'Calculations'!HE187))))))))))))))))))))))</x:f>
      </x:c>
      <x:c r="HN187" t="str">
        <x:f>IF('Calculations'!EM187="","",IF(IFERROR(IF(INDEX(INDIRECT("'WCM Calibration Final'!$F$1:$F$2000"),'Calculations'!$EM187)="","",TRIM(INDEX(INDIRECT("'WCM Calibration Final'!$F$1:$F$2000"),'Calculations'!$EM187)&amp;"")),"")="","(Blank)",IFERROR(IF(INDEX(INDIRECT("'WCM Calibration Final'!$F$1:$F$2000"),'Calculations'!$EM187)="","",TRIM(INDEX(INDIRECT("'WCM Calibration Final'!$F$1:$F$2000"),'Calculations'!$EM187)&amp;"")),"")))</x:f>
      </x:c>
      <x:c r="HO187" t="str">
        <x:f>'Calculations'!HF187</x:f>
      </x:c>
      <x:c r="HP187" t="str">
        <x:f>IF('Calculations'!HO187="","",IF('Calculations'!HO187="!AMBIG","!AMBIG",IF(COUNTIF('Calculations'!$HE$13:$HE$512,"="&amp;SUBSTITUTE(SUBSTITUTE(SUBSTITUTE('Calculations'!HO187,"~","~~"),"*","~*"),"?","~?"))&gt;1,"!AMBIG",IFERROR(INDEX('Calculations'!$HF$13:$HF$512,MATCH('Calculations'!HO187,'Calculations'!$HE$13:$HE$512,0)),""))))</x:f>
      </x:c>
      <x:c r="HQ187" t="str">
        <x:f>IF('Calculations'!HP187="","",IF('Calculations'!HP187="!AMBIG","!AMBIG",IF(COUNTIF('Calculations'!$HE$13:$HE$512,"="&amp;SUBSTITUTE(SUBSTITUTE(SUBSTITUTE('Calculations'!HP187,"~","~~"),"*","~*"),"?","~?"))&gt;1,"!AMBIG",IFERROR(INDEX('Calculations'!$HF$13:$HF$512,MATCH('Calculations'!HP187,'Calculations'!$HE$13:$HE$512,0)),""))))</x:f>
      </x:c>
      <x:c r="HR187" t="str">
        <x:f>IF('Calculations'!HQ187="","",IF('Calculations'!HQ187="!AMBIG","!AMBIG",IF(COUNTIF('Calculations'!$HE$13:$HE$512,"="&amp;SUBSTITUTE(SUBSTITUTE(SUBSTITUTE('Calculations'!HQ187,"~","~~"),"*","~*"),"?","~?"))&gt;1,"!AMBIG",IFERROR(INDEX('Calculations'!$HF$13:$HF$512,MATCH('Calculations'!HQ187,'Calculations'!$HE$13:$HE$512,0)),""))))</x:f>
      </x:c>
      <x:c r="HS187" t="str">
        <x:f>IF('Calculations'!HR187="","",IF('Calculations'!HR187="!AMBIG","!AMBIG",IF(COUNTIF('Calculations'!$HE$13:$HE$512,"="&amp;SUBSTITUTE(SUBSTITUTE(SUBSTITUTE('Calculations'!HR187,"~","~~"),"*","~*"),"?","~?"))&gt;1,"!AMBIG",IFERROR(INDEX('Calculations'!$HF$13:$HF$512,MATCH('Calculations'!HR187,'Calculations'!$HE$13:$HE$512,0)),""))))</x:f>
      </x:c>
      <x:c r="HT187" t="str">
        <x:f>IF('Calculations'!HS187="","",IF('Calculations'!HS187="!AMBIG","!AMBIG",IF(COUNTIF('Calculations'!$HE$13:$HE$512,"="&amp;SUBSTITUTE(SUBSTITUTE(SUBSTITUTE('Calculations'!HS187,"~","~~"),"*","~*"),"?","~?"))&gt;1,"!AMBIG",IFERROR(INDEX('Calculations'!$HF$13:$HF$512,MATCH('Calculations'!HS187,'Calculations'!$HE$13:$HE$512,0)),""))))</x:f>
      </x:c>
      <x:c r="HU187" t="str">
        <x:f>IF('Calculations'!HT187="","",IF('Calculations'!HT187="!AMBIG","!AMBIG",IF(COUNTIF('Calculations'!$HE$13:$HE$512,"="&amp;SUBSTITUTE(SUBSTITUTE(SUBSTITUTE('Calculations'!HT187,"~","~~"),"*","~*"),"?","~?"))&gt;1,"!AMBIG",IFERROR(INDEX('Calculations'!$HF$13:$HF$512,MATCH('Calculations'!HT187,'Calculations'!$HE$13:$HE$512,0)),""))))</x:f>
      </x:c>
      <x:c r="HV187" t="str">
        <x:f>IF('Calculations'!HU187="","",IF('Calculations'!HU187="!AMBIG","!AMBIG",IF(COUNTIF('Calculations'!$HE$13:$HE$512,"="&amp;SUBSTITUTE(SUBSTITUTE(SUBSTITUTE('Calculations'!HU187,"~","~~"),"*","~*"),"?","~?"))&gt;1,"!AMBIG",IFERROR(INDEX('Calculations'!$HF$13:$HF$512,MATCH('Calculations'!HU187,'Calculations'!$HE$13:$HE$512,0)),""))))</x:f>
      </x:c>
      <x:c r="HW187" t="str">
        <x:f>IF('Calculations'!HV187="","",IF('Calculations'!HV187="!AMBIG","!AMBIG",IF(COUNTIF('Calculations'!$HE$13:$HE$512,"="&amp;SUBSTITUTE(SUBSTITUTE(SUBSTITUTE('Calculations'!HV187,"~","~~"),"*","~*"),"?","~?"))&gt;1,"!AMBIG",IFERROR(INDEX('Calculations'!$HF$13:$HF$512,MATCH('Calculations'!HV187,'Calculations'!$HE$13:$HE$512,0)),""))))</x:f>
      </x:c>
      <x:c r="HX187" t="str">
        <x:f>IF('Calculations'!HW187="","",IF('Calculations'!HW187="!AMBIG","!AMBIG",IF(COUNTIF('Calculations'!$HE$13:$HE$512,"="&amp;SUBSTITUTE(SUBSTITUTE(SUBSTITUTE('Calculations'!HW187,"~","~~"),"*","~*"),"?","~?"))&gt;1,"!AMBIG",IFERROR(INDEX('Calculations'!$HF$13:$HF$512,MATCH('Calculations'!HW187,'Calculations'!$HE$13:$HE$512,0)),""))))</x:f>
      </x:c>
      <x:c r="HY187" t="str">
        <x:f>IF('Calculations'!HX187="","",IF('Calculations'!HX187="!AMBIG","!AMBIG",IF(COUNTIF('Calculations'!$HE$13:$HE$512,"="&amp;SUBSTITUTE(SUBSTITUTE(SUBSTITUTE('Calculations'!HX187,"~","~~"),"*","~*"),"?","~?"))&gt;1,"!AMBIG",IFERROR(INDEX('Calculations'!$HF$13:$HF$512,MATCH('Calculations'!HX187,'Calculations'!$HE$13:$HE$512,0)),""))))</x:f>
      </x:c>
      <x:c r="HZ187" t="str">
        <x:f>IF('Calculations'!HY187="","",IF('Calculations'!HY187="!AMBIG","!AMBIG",IF(COUNTIF('Calculations'!$HE$13:$HE$512,"="&amp;SUBSTITUTE(SUBSTITUTE(SUBSTITUTE('Calculations'!HY187,"~","~~"),"*","~*"),"?","~?"))&gt;1,"!AMBIG",IFERROR(INDEX('Calculations'!$HF$13:$HF$512,MATCH('Calculations'!HY187,'Calculations'!$HE$13:$HE$512,0)),""))))</x:f>
      </x:c>
      <x:c r="IA187" t="str">
        <x:f>IF('Calculations'!HZ187="","",IF('Calculations'!HZ187="!AMBIG","!AMBIG",IF(COUNTIF('Calculations'!$HE$13:$HE$512,"="&amp;SUBSTITUTE(SUBSTITUTE(SUBSTITUTE('Calculations'!HZ187,"~","~~"),"*","~*"),"?","~?"))&gt;1,"!AMBIG",IFERROR(INDEX('Calculations'!$HF$13:$HF$512,MATCH('Calculations'!HZ187,'Calculations'!$HE$13:$HE$512,0)),""))))</x:f>
      </x:c>
      <x:c r="IB187" t="str">
        <x:f>IF('Calculations'!IA187="","",IF('Calculations'!IA187="!AMBIG","!AMBIG",IF(COUNTIF('Calculations'!$HE$13:$HE$512,"="&amp;SUBSTITUTE(SUBSTITUTE(SUBSTITUTE('Calculations'!IA187,"~","~~"),"*","~*"),"?","~?"))&gt;1,"!AMBIG",IFERROR(INDEX('Calculations'!$HF$13:$HF$512,MATCH('Calculations'!IA187,'Calculations'!$HE$13:$HE$512,0)),""))))</x:f>
      </x:c>
      <x:c r="IC187" t="str">
        <x:f>IF('Calculations'!IB187="","",IF('Calculations'!IB187="!AMBIG","!AMBIG",IF(COUNTIF('Calculations'!$HE$13:$HE$512,"="&amp;SUBSTITUTE(SUBSTITUTE(SUBSTITUTE('Calculations'!IB187,"~","~~"),"*","~*"),"?","~?"))&gt;1,"!AMBIG",IFERROR(INDEX('Calculations'!$HF$13:$HF$512,MATCH('Calculations'!IB187,'Calculations'!$HE$13:$HE$512,0)),""))))</x:f>
      </x:c>
      <x:c r="ID187" t="str">
        <x:f>IF('Calculations'!IC187="","",IF('Calculations'!IC187="!AMBIG","!AMBIG",IF(COUNTIF('Calculations'!$HE$13:$HE$512,"="&amp;SUBSTITUTE(SUBSTITUTE(SUBSTITUTE('Calculations'!IC187,"~","~~"),"*","~*"),"?","~?"))&gt;1,"!AMBIG",IFERROR(INDEX('Calculations'!$HF$13:$HF$512,MATCH('Calculations'!IC187,'Calculations'!$HE$13:$HE$512,0)),""))))</x:f>
      </x:c>
      <x:c r="IE187" t="str">
        <x:f>IF('Calculations'!ID187="","",IF('Calculations'!ID187="!AMBIG","!AMBIG",IF(COUNTIF('Calculations'!$HE$13:$HE$512,"="&amp;SUBSTITUTE(SUBSTITUTE(SUBSTITUTE('Calculations'!ID187,"~","~~"),"*","~*"),"?","~?"))&gt;1,"!AMBIG",IFERROR(INDEX('Calculations'!$HF$13:$HF$512,MATCH('Calculations'!ID187,'Calculations'!$HE$13:$HE$512,0)),""))))</x:f>
      </x:c>
      <x:c r="IF187" t="str">
        <x:f>IF('Calculations'!IE187="","",IF('Calculations'!IE187="!AMBIG","!AMBIG",IF(COUNTIF('Calculations'!$HE$13:$HE$512,"="&amp;SUBSTITUTE(SUBSTITUTE(SUBSTITUTE('Calculations'!IE187,"~","~~"),"*","~*"),"?","~?"))&gt;1,"!AMBIG",IFERROR(INDEX('Calculations'!$HF$13:$HF$512,MATCH('Calculations'!IE187,'Calculations'!$HE$13:$HE$512,0)),""))))</x:f>
      </x:c>
      <x:c r="IG187" t="str">
        <x:f>IF('Calculations'!IF187="","",IF('Calculations'!IF187="!AMBIG","!AMBIG",IF(COUNTIF('Calculations'!$HE$13:$HE$512,"="&amp;SUBSTITUTE(SUBSTITUTE(SUBSTITUTE('Calculations'!IF187,"~","~~"),"*","~*"),"?","~?"))&gt;1,"!AMBIG",IFERROR(INDEX('Calculations'!$HF$13:$HF$512,MATCH('Calculations'!IF187,'Calculations'!$HE$13:$HE$512,0)),""))))</x:f>
      </x:c>
      <x:c r="IH187" t="str">
        <x:f>IF('Calculations'!IG187="","",IF('Calculations'!IG187="!AMBIG","!AMBIG",IF(COUNTIF('Calculations'!$HE$13:$HE$512,"="&amp;SUBSTITUTE(SUBSTITUTE(SUBSTITUTE('Calculations'!IG187,"~","~~"),"*","~*"),"?","~?"))&gt;1,"!AMBIG",IFERROR(INDEX('Calculations'!$HF$13:$HF$512,MATCH('Calculations'!IG187,'Calculations'!$HE$13:$HE$512,0)),""))))</x:f>
      </x:c>
      <x:c r="II187" t="str">
        <x:f>IF('Calculations'!IH187="","",IF('Calculations'!IH187="!AMBIG","!AMBIG",IF(COUNTIF('Calculations'!$HE$13:$HE$512,"="&amp;SUBSTITUTE(SUBSTITUTE(SUBSTITUTE('Calculations'!IH187,"~","~~"),"*","~*"),"?","~?"))&gt;1,"!AMBIG",IFERROR(INDEX('Calculations'!$HF$13:$HF$512,MATCH('Calculations'!IH187,'Calculations'!$HE$13:$HE$512,0)),""))))</x:f>
      </x:c>
      <x:c r="IJ187" t="str">
        <x:f>IF('Calculations'!EM187="","",IF('Calculations'!$EF$2="All",'Calculations'!HM187,IF('Calculations'!HL187=1,"",IFERROR(IF(MATCH('Calculations'!$EF$2,'Calculations'!HO187:II187,0)=1,'Calculations'!HE187,INDEX('Calculations'!HO187:II187,1,MATCH('Calculations'!$EF$2,'Calculations'!HO187:II187,0)-1)),""))))</x:f>
      </x:c>
      <x:c r="IK187" t="n">
        <x:f>IF(AND('Calculations'!EM187&lt;&gt;"",'Calculations'!$EF$2&lt;&gt;"All",'Calculations'!HF187='Calculations'!$EF$2,'Calculations'!HL187=0,'Calculations'!JD187&gt;0),MAX('Calculations'!$IK$12:IK186)+1,0)</x:f>
        <x:v>0</x:v>
      </x:c>
      <x:c r="JA187" t="n">
        <x:f>IF(OR(IFERROR(INDIRECT("'WCM Calibration Final'!$A$187")&lt;&gt;"",FALSE),IFERROR(INDIRECT("'WCM Calibration Final'!$B$187")&lt;&gt;"",FALSE),IFERROR(INDIRECT("'WCM Calibration Final'!$C$187")&lt;&gt;"",FALSE)),187,0)</x:f>
        <x:v>0</x:v>
      </x:c>
      <x:c r="JB187" t="n">
        <x:f>'Calculations'!JB186+IF('Calculations'!JA187&gt;0,1,0)</x:f>
        <x:v>0</x:v>
      </x:c>
      <x:c r="JC187" t="n">
        <x:f>IF(OR('Calculations'!HF187="",'Calculations'!HF187="!AMBIG"),0,IF('Dashboard'!$B$7="All",1,COUNTIFS('Calculations'!$HO$13:$HO$512,"="&amp;SUBSTITUTE(SUBSTITUTE(SUBSTITUTE('Calculations'!HF187,"~","~~"),"*","~*"),"?","~?"),'Calculations'!$HN$13:$HN$512,"="&amp;SUBSTITUTE(SUBSTITUTE(SUBSTITUTE('Dashboard'!$B$7,"~","~~"),"*","~*"),"?","~?"))+COUNTIFS('Calculations'!$HP$13:$HP$512,"="&amp;SUBSTITUTE(SUBSTITUTE(SUBSTITUTE('Calculations'!HF187,"~","~~"),"*","~*"),"?","~?"),'Calculations'!$HN$13:$HN$512,"="&amp;SUBSTITUTE(SUBSTITUTE(SUBSTITUTE('Dashboard'!$B$7,"~","~~"),"*","~*"),"?","~?"))+COUNTIFS('Calculations'!$HQ$13:$HQ$512,"="&amp;SUBSTITUTE(SUBSTITUTE(SUBSTITUTE('Calculations'!HF187,"~","~~"),"*","~*"),"?","~?"),'Calculations'!$HN$13:$HN$512,"="&amp;SUBSTITUTE(SUBSTITUTE(SUBSTITUTE('Dashboard'!$B$7,"~","~~"),"*","~*"),"?","~?"))+COUNTIFS('Calculations'!$HR$13:$HR$512,"="&amp;SUBSTITUTE(SUBSTITUTE(SUBSTITUTE('Calculations'!HF187,"~","~~"),"*","~*"),"?","~?"),'Calculations'!$HN$13:$HN$512,"="&amp;SUBSTITUTE(SUBSTITUTE(SUBSTITUTE('Dashboard'!$B$7,"~","~~"),"*","~*"),"?","~?"))+COUNTIFS('Calculations'!$HS$13:$HS$512,"="&amp;SUBSTITUTE(SUBSTITUTE(SUBSTITUTE('Calculations'!HF187,"~","~~"),"*","~*"),"?","~?"),'Calculations'!$HN$13:$HN$512,"="&amp;SUBSTITUTE(SUBSTITUTE(SUBSTITUTE('Dashboard'!$B$7,"~","~~"),"*","~*"),"?","~?"))+COUNTIFS('Calculations'!$HT$13:$HT$512,"="&amp;SUBSTITUTE(SUBSTITUTE(SUBSTITUTE('Calculations'!HF187,"~","~~"),"*","~*"),"?","~?"),'Calculations'!$HN$13:$HN$512,"="&amp;SUBSTITUTE(SUBSTITUTE(SUBSTITUTE('Dashboard'!$B$7,"~","~~"),"*","~*"),"?","~?"))+COUNTIFS('Calculations'!$HU$13:$HU$512,"="&amp;SUBSTITUTE(SUBSTITUTE(SUBSTITUTE('Calculations'!HF187,"~","~~"),"*","~*"),"?","~?"),'Calculations'!$HN$13:$HN$512,"="&amp;SUBSTITUTE(SUBSTITUTE(SUBSTITUTE('Dashboard'!$B$7,"~","~~"),"*","~*"),"?","~?"))+COUNTIFS('Calculations'!$HV$13:$HV$512,"="&amp;SUBSTITUTE(SUBSTITUTE(SUBSTITUTE('Calculations'!HF187,"~","~~"),"*","~*"),"?","~?"),'Calculations'!$HN$13:$HN$512,"="&amp;SUBSTITUTE(SUBSTITUTE(SUBSTITUTE('Dashboard'!$B$7,"~","~~"),"*","~*"),"?","~?"))+COUNTIFS('Calculations'!$HW$13:$HW$512,"="&amp;SUBSTITUTE(SUBSTITUTE(SUBSTITUTE('Calculations'!HF187,"~","~~"),"*","~*"),"?","~?"),'Calculations'!$HN$13:$HN$512,"="&amp;SUBSTITUTE(SUBSTITUTE(SUBSTITUTE('Dashboard'!$B$7,"~","~~"),"*","~*"),"?","~?"))+COUNTIFS('Calculations'!$HX$13:$HX$512,"="&amp;SUBSTITUTE(SUBSTITUTE(SUBSTITUTE('Calculations'!HF187,"~","~~"),"*","~*"),"?","~?"),'Calculations'!$HN$13:$HN$512,"="&amp;SUBSTITUTE(SUBSTITUTE(SUBSTITUTE('Dashboard'!$B$7,"~","~~"),"*","~*"),"?","~?"))+COUNTIFS('Calculations'!$HY$13:$HY$512,"="&amp;SUBSTITUTE(SUBSTITUTE(SUBSTITUTE('Calculations'!HF187,"~","~~"),"*","~*"),"?","~?"),'Calculations'!$HN$13:$HN$512,"="&amp;SUBSTITUTE(SUBSTITUTE(SUBSTITUTE('Dashboard'!$B$7,"~","~~"),"*","~*"),"?","~?"))+COUNTIFS('Calculations'!$HZ$13:$HZ$512,"="&amp;SUBSTITUTE(SUBSTITUTE(SUBSTITUTE('Calculations'!HF187,"~","~~"),"*","~*"),"?","~?"),'Calculations'!$HN$13:$HN$512,"="&amp;SUBSTITUTE(SUBSTITUTE(SUBSTITUTE('Dashboard'!$B$7,"~","~~"),"*","~*"),"?","~?"))+COUNTIFS('Calculations'!$IA$13:$IA$512,"="&amp;SUBSTITUTE(SUBSTITUTE(SUBSTITUTE('Calculations'!HF187,"~","~~"),"*","~*"),"?","~?"),'Calculations'!$HN$13:$HN$512,"="&amp;SUBSTITUTE(SUBSTITUTE(SUBSTITUTE('Dashboard'!$B$7,"~","~~"),"*","~*"),"?","~?"))+COUNTIFS('Calculations'!$IB$13:$IB$512,"="&amp;SUBSTITUTE(SUBSTITUTE(SUBSTITUTE('Calculations'!HF187,"~","~~"),"*","~*"),"?","~?"),'Calculations'!$HN$13:$HN$512,"="&amp;SUBSTITUTE(SUBSTITUTE(SUBSTITUTE('Dashboard'!$B$7,"~","~~"),"*","~*"),"?","~?"))+COUNTIFS('Calculations'!$IC$13:$IC$512,"="&amp;SUBSTITUTE(SUBSTITUTE(SUBSTITUTE('Calculations'!HF187,"~","~~"),"*","~*"),"?","~?"),'Calculations'!$HN$13:$HN$512,"="&amp;SUBSTITUTE(SUBSTITUTE(SUBSTITUTE('Dashboard'!$B$7,"~","~~"),"*","~*"),"?","~?"))+COUNTIFS('Calculations'!$ID$13:$ID$512,"="&amp;SUBSTITUTE(SUBSTITUTE(SUBSTITUTE('Calculations'!HF187,"~","~~"),"*","~*"),"?","~?"),'Calculations'!$HN$13:$HN$512,"="&amp;SUBSTITUTE(SUBSTITUTE(SUBSTITUTE('Dashboard'!$B$7,"~","~~"),"*","~*"),"?","~?"))+COUNTIFS('Calculations'!$IE$13:$IE$512,"="&amp;SUBSTITUTE(SUBSTITUTE(SUBSTITUTE('Calculations'!HF187,"~","~~"),"*","~*"),"?","~?"),'Calculations'!$HN$13:$HN$512,"="&amp;SUBSTITUTE(SUBSTITUTE(SUBSTITUTE('Dashboard'!$B$7,"~","~~"),"*","~*"),"?","~?"))+COUNTIFS('Calculations'!$IF$13:$IF$512,"="&amp;SUBSTITUTE(SUBSTITUTE(SUBSTITUTE('Calculations'!HF187,"~","~~"),"*","~*"),"?","~?"),'Calculations'!$HN$13:$HN$512,"="&amp;SUBSTITUTE(SUBSTITUTE(SUBSTITUTE('Dashboard'!$B$7,"~","~~"),"*","~*"),"?","~?"))+COUNTIFS('Calculations'!$IG$13:$IG$512,"="&amp;SUBSTITUTE(SUBSTITUTE(SUBSTITUTE('Calculations'!HF187,"~","~~"),"*","~*"),"?","~?"),'Calculations'!$HN$13:$HN$512,"="&amp;SUBSTITUTE(SUBSTITUTE(SUBSTITUTE('Dashboard'!$B$7,"~","~~"),"*","~*"),"?","~?"))+COUNTIFS('Calculations'!$IH$13:$IH$512,"="&amp;SUBSTITUTE(SUBSTITUTE(SUBSTITUTE('Calculations'!HF187,"~","~~"),"*","~*"),"?","~?"),'Calculations'!$HN$13:$HN$512,"="&amp;SUBSTITUTE(SUBSTITUTE(SUBSTITUTE('Dashboard'!$B$7,"~","~~"),"*","~*"),"?","~?"))))</x:f>
        <x:v>0</x:v>
      </x:c>
      <x:c r="JD187" t="n">
        <x:f>IF('Calculations'!EM187="",0,IF('Dashboard'!$B$7="All",1,IF('Calculations'!HN187='Dashboard'!$B$7,1,0)+IFERROR(INDEX('Calculations'!$JC$13:$JC$512,MATCH('Calculations'!HE187,'Calculations'!$HF$13:$HF$512,0)),0)))</x:f>
        <x:v>0</x:v>
      </x:c>
      <x:c r="JE187" t="n">
        <x:f>IF(AND('Calculations'!EM187&lt;&gt;"",'Calculations'!$JJ$2&lt;&gt;"All",'Calculations'!$JJ$2&lt;&gt;"",'Calculations'!HF187='Calculations'!$JJ$2,'Calculations'!HL187=0,'Calculations'!JD187&gt;0),MAX('Calculations'!$JE$12:JE186)+1,0)</x:f>
        <x:v>0</x:v>
      </x:c>
      <x:c r="JF187" t="str">
        <x:f>IF('Calculations'!EM187="","",IFERROR(IF(INDEX(INDIRECT("'WCM Calibration Final'!$G$1:$G$2000"),'Calculations'!$EM187)="","",TRIM(INDEX(INDIRECT("'WCM Calibration Final'!$G$1:$G$2000"),'Calculations'!$EM187)&amp;"")),""))</x:f>
      </x:c>
      <x:c r="JQ187" t="n">
        <x:f>IF(OR('Calculations'!BM187=0,NOT('Calculations'!$AG$2),'Calculations'!$AG$8&gt;0),0,IF(OR('Dashboard'!$B$7="All",'Calculations'!HN187='Dashboard'!$B$7),IF('Calculations'!$JJ$2="All",1,IF(AND('Calculations'!HF187='Calculations'!$JJ$2,'Calculations'!HL187=0),1,0)),0))</x:f>
        <x:v>0</x:v>
      </x:c>
    </x:row>
    <x:row r="188">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t="n">
        <x:f>IF('Calculations'!$EM188="",0,IF(OR(IFERROR(INDEX(INDIRECT("'WCM Calibration Final'!$A$1:$A$2000"),'Calculations'!$EM188)&lt;&gt;"",FALSE),IFERROR(INDEX(INDIRECT("'WCM Calibration Final'!$B$1:$B$2000"),'Calculations'!$EM188)&lt;&gt;"",FALSE),IFERROR(INDEX(INDIRECT("'WCM Calibration Final'!$C$1:$C$2000"),'Calculations'!$EM188)&lt;&gt;"",FALSE)),1,0))</x:f>
        <x:v>0</x:v>
      </x:c>
      <x:c r="BN188" s="4" t="n">
        <x:f>IF(AND('Calculations'!BM188=1,'Calculations'!$AG$2,'Calculations'!$EN188=1),1,0)</x:f>
        <x:v>0</x:v>
      </x:c>
      <x:c r="BO188" s="4" t="str">
        <x:f>IF('Calculations'!BM188=0,"",IFERROR(IF(AND(VALUE(INDEX(INDIRECT("'WCM Calibration Final'!$K$1:$K$2000"),'Calculations'!$EM188))&gt;=1,VALUE(INDEX(INDIRECT("'WCM Calibration Final'!$K$1:$K$2000"),'Calculations'!$EM188))&lt;=4,MOD(VALUE(INDEX(INDIRECT("'WCM Calibration Final'!$K$1:$K$2000"),'Calculations'!$EM188)),1)=0),VALUE(INDEX(INDIRECT("'WCM Calibration Final'!$K$1:$K$2000"),'Calculations'!$EM188)),""),""))</x:f>
      </x:c>
      <x:c r="BP188" s="4" t="str">
        <x:f>IF('Calculations'!BM188=0,"",IFERROR(IF(AND(VALUE(INDEX(INDIRECT("'WCM Calibration Final'!$L$1:$L$2000"),'Calculations'!$EM188))&gt;=1,VALUE(INDEX(INDIRECT("'WCM Calibration Final'!$L$1:$L$2000"),'Calculations'!$EM188))&lt;=4,MOD(VALUE(INDEX(INDIRECT("'WCM Calibration Final'!$L$1:$L$2000"),'Calculations'!$EM188)),1)=0),VALUE(INDEX(INDIRECT("'WCM Calibration Final'!$L$1:$L$2000"),'Calculations'!$EM188)),""),""))</x:f>
      </x:c>
      <x:c r="BQ188" s="4"/>
      <x:c r="BR188" s="4"/>
      <x:c r="BS188" s="4"/>
      <x:c r="BT188" s="4" t="n">
        <x:f>IF(AND('Calculations'!BM188=1,ISNUMBER('Calculations'!BO188),ISNUMBER('Calculations'!BP188)),1,0)</x:f>
        <x:v>0</x:v>
      </x:c>
      <x:c r="BU188" s="4" t="str">
        <x:f>IF('Calculations'!BM188=0,"",'Calculations'!$EO188)</x:f>
      </x:c>
      <x:c r="BV188" s="4" t="str">
        <x:f>IF('Calculations'!BM188=0,"",IFERROR(IF(OR(INDEX(INDIRECT("'WCM Calibration Final'!$H$1:$H$2000"),'Calculations'!$EM188)="MANAGING DIRECTOR",INDEX(INDIRECT("'WCM Calibration Final'!$H$1:$H$2000"),'Calculations'!$EM188)="DIRECTOR",INDEX(INDIRECT("'WCM Calibration Final'!$H$1:$H$2000"),'Calculations'!$EM188)="SENIOR VICE PRESIDENT",INDEX(INDIRECT("'WCM Calibration Final'!$H$1:$H$2000"),'Calculations'!$EM188)="VICE PRESIDENT",INDEX(INDIRECT("'WCM Calibration Final'!$H$1:$H$2000"),'Calculations'!$EM188)="ASSISTANT VICE PRESIDENT",INDEX(INDIRECT("'WCM Calibration Final'!$H$1:$H$2000"),'Calculations'!$EM188)="OFFICER"),UPPER(INDEX(INDIRECT("'WCM Calibration Final'!$H$1:$H$2000"),'Calculations'!$EM188)),"Other"),"Other"))</x:f>
      </x:c>
      <x:c r="BW188" s="4"/>
      <x:c r="BX188" s="4"/>
      <x:c r="BY188" s="4" t="n">
        <x:f>IF(AND('Calculations'!BM188=1,'Calculations'!BU188&lt;&gt;"",COUNTIF('Calculations'!$BU$12:BU188,'Calculations'!BU188)=1),MAX('Calculations'!$BY$11:BY187)+1,0)</x:f>
        <x:v>0</x:v>
      </x:c>
      <x:c r="BZ188" s="4" t="str">
        <x:f>IF('Dashboard'!$E$67="What",'Calculations'!BO188,'Calculations'!BP188)</x:f>
      </x:c>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t="str">
        <x:f>IF(177&gt;MAX('Calculations'!$HI$13:$HI$512),"",INDEX('Calculations'!$HN$13:$HN$512,MATCH(177,'Calculations'!$HI$13:$HI$512,0)))</x:f>
      </x:c>
      <x:c r="DB188" s="4" t="str">
        <x:f>IF(177&gt;MAX('Calculations'!$HH$13:$HH$512),"",INDEX('Calculations'!$HJ$13:$HJ$512,MATCH(177,'Calculations'!$HH$13:$HH$512,0)))</x:f>
      </x:c>
      <x:c r="DC188" s="4" t="str">
        <x:f>IF(ROW()-11&gt;MAX('Calculations'!$BY$13:$BY$512),"",INDEX('Calculations'!$BU$13:$BU$512,MATCH(ROW()-11,'Calculations'!$BY$13:$BY$512,0)))</x:f>
      </x:c>
      <x:c r="DD188" s="4" t="str">
        <x:f>IF(177&gt;MAX('Calculations'!$IK$13:$IK$512),"",INDEX('Calculations'!$HK$13:$HK$512,MATCH(177,'Calculations'!$IK$13:$IK$512,0)))</x:f>
      </x:c>
      <x:c r="DE188" s="4" t="str">
        <x:f>'Calculations'!DC188</x:f>
      </x:c>
      <x:c r="DF188" s="4" t="str">
        <x:f>IF('Calculations'!DE188="","",COUNTIFS('Calculations'!$BN$13:$BN$512,1,'Calculations'!$BU$13:$BU$512,'Calculations'!DE188))</x:f>
      </x:c>
      <x:c r="DG188" s="4" t="str">
        <x:f>IF('Calculations'!DE188="","",COUNTIFS('Calculations'!$BN$13:$BN$512,1,'Calculations'!$BU$13:$BU$512,'Calculations'!DE188,'Calculations'!$BT$13:$BT$512,1))</x:f>
      </x:c>
      <x:c r="DH188" s="4" t="str">
        <x:f>IF('Calculations'!DE188="","",'Calculations'!DF188-'Calculations'!DG188)</x:f>
      </x:c>
      <x:c r="DI188" s="4" t="str">
        <x:f>IF(OR('Calculations'!DE188="",'Calculations'!DF188=0),"",'Calculations'!DG188/'Calculations'!DF188)</x:f>
      </x:c>
      <x:c r="DJ188" s="4" t="str">
        <x:f>IF('Calculations'!DE188="","",COUNTIFS('Calculations'!$BN$13:$BN$512,1,'Calculations'!$BU$13:$BU$512,'Calculations'!DE188,'Calculations'!$BT$13:$BT$512,1,'Calculations'!$EE$13:$EE$512,"High"))</x:f>
      </x:c>
      <x:c r="DK188" s="4" t="str">
        <x:f>IF('Calculations'!DE188="","",COUNTIFS('Calculations'!$BN$13:$BN$512,1,'Calculations'!$BU$13:$BU$512,'Calculations'!DE188,'Calculations'!$BT$13:$BT$512,1,'Calculations'!$EE$13:$EE$512,"Strong"))</x:f>
      </x:c>
      <x:c r="DL188" s="4" t="str">
        <x:f>IF('Calculations'!DE188="","",COUNTIFS('Calculations'!$BN$13:$BN$512,1,'Calculations'!$BU$13:$BU$512,'Calculations'!DE188,'Calculations'!$BT$13:$BT$512,1,'Calculations'!$EE$13:$EE$512,"Solid"))</x:f>
      </x:c>
      <x:c r="DM188" s="4" t="str">
        <x:f>IF('Calculations'!DE188="","",COUNTIFS('Calculations'!$BN$13:$BN$512,1,'Calculations'!$BU$13:$BU$512,'Calculations'!DE188,'Calculations'!$BT$13:$BT$512,1,'Calculations'!$EE$13:$EE$512,"Low"))</x:f>
      </x:c>
      <x:c r="DN188" s="4" t="str">
        <x:f>IF('Calculations'!DE188="","",COUNTIFS('Calculations'!$BN$13:$BN$512,1,'Calculations'!$BU$13:$BU$512,'Calculations'!DE188,'Calculations'!$EP$13:$EP$512,1))</x:f>
      </x:c>
      <x:c r="DO188" s="4" t="str">
        <x:f>IF(OR('Calculations'!DE188="",'Calculations'!DG188=0),"",('Calculations'!DJ188+'Calculations'!DK188)/'Calculations'!DG188)</x:f>
      </x:c>
      <x:c r="DP188" s="4" t="n">
        <x:f>IF(AND('Calculations'!DE188&lt;&gt;"",'Calculations'!DF188&gt;0),COUNTIF('Calculations'!$DF$12:DF188,"&gt;0"),0)</x:f>
        <x:v>0</x:v>
      </x:c>
      <x:c r="DQ188" s="4" t="str">
        <x:f>IF(177&gt;MAX('Calculations'!$HH$13:$HH$512),"",INDEX('Calculations'!$HF$13:$HF$512,MATCH(177,'Calculations'!$HH$13:$HH$512,0)))</x:f>
      </x:c>
      <x:c r="DR188" s="4" t="str">
        <x:f>IF(177&gt;MAX('Calculations'!$IK$13:$IK$512),"",INDEX('Calculations'!$HE$13:$HE$512,MATCH(177,'Calculations'!$IK$13:$IK$512,0)))</x:f>
      </x:c>
      <x:c r="DS188" s="4"/>
      <x:c r="DT188" s="4"/>
      <x:c r="DU188" s="4"/>
      <x:c r="DV188" s="4"/>
      <x:c r="DW188" s="4"/>
      <x:c r="DX188" s="4"/>
      <x:c r="DY188" s="4"/>
      <x:c r="DZ188" s="4"/>
      <x:c r="EA188" s="4"/>
      <x:c r="EB188" s="4"/>
      <x:c r="EC188" s="4"/>
      <x:c r="ED188" s="4"/>
      <x:c r="EE188" s="4" t="str">
        <x:f>IF('Calculations'!BT188=0,"Not Rated",IF(OR('Calculations'!BO188&gt;=4,'Calculations'!BP188&gt;=4),"Low",IF('Calculations'!BO188+'Calculations'!BP188&lt;=3,"High",IF('Calculations'!BO188+'Calculations'!BP188&lt;=4,"Strong","Solid"))))</x:f>
        <x:v>Not Rated</x:v>
      </x:c>
      <x:c r="EF188" s="4"/>
      <x:c r="EG188" s="4"/>
      <x:c r="EH188" s="4"/>
      <x:c r="EI188" s="4"/>
      <x:c r="EJ188" s="4"/>
      <x:c r="EK188" s="4"/>
      <x:c r="EL188" s="4"/>
      <x:c r="EM188" s="4" t="str">
        <x:f>IF(176&gt;'Calculations'!$JB$2000,"",INDEX('Calculations'!$JA$12:$JA$2000,MATCH(176,'Calculations'!$JB$12:$JB$2000,0)))</x:f>
      </x:c>
      <x:c r="EN188" s="4" t="n">
        <x:f>IF(OR('Calculations'!EM188="",'Calculations'!$AG$8&gt;0,AND('Calculations'!$EF$2&lt;&gt;"All",'Calculations'!HE188='Calculations'!$EF$2),AND('Calculations'!$EF$3&lt;&gt;"All",'Calculations'!HE188='Calculations'!$EF$3)),0,IF(OR('Dashboard'!$B$7="All",'Calculations'!HN188='Dashboard'!$B$7),IF('Calculations'!$EF$2="All",1,IF('Calculations'!HL188&gt;0,0,IF(COUNTIF('Calculations'!HO188:II188,"="&amp;SUBSTITUTE(SUBSTITUTE(SUBSTITUTE('Calculations'!$EF$2,"~","~~"),"*","~*"),"?","~?"))=0,0,IF('Calculations'!$EF$3="All",1,IF(COUNTIF('Calculations'!HO188:II188,"="&amp;SUBSTITUTE(SUBSTITUTE(SUBSTITUTE('Calculations'!$EF$3,"~","~~"),"*","~*"),"?","~?"))&gt;0,1,0))))),0))</x:f>
        <x:v>0</x:v>
      </x:c>
      <x:c r="EO188" s="4" t="str">
        <x:f>IF('Calculations'!IJ188="","",IF('Calculations'!IJ188="!UNRESOLVED","Unresolved hierarchy",IFERROR(INDEX('Calculations'!$HK$13:$HK$512,MATCH('Calculations'!IJ188,'Calculations'!$HE$13:$HE$512,0)),IFERROR(INDEX('Calculations'!$HJ$13:$HJ$512,MATCH('Calculations'!IJ188,'Calculations'!$HF$13:$HF$512,0)),'Calculations'!IJ188))))</x:f>
      </x:c>
      <x:c r="EP188" s="4" t="n">
        <x:f>IF(AND('Calculations'!EM188&lt;&gt;"",'Calculations'!HF188='Calculations'!IJ188),1,0)</x:f>
        <x:v>0</x:v>
      </x:c>
      <x:c r="EQ188" s="4"/>
      <x:c r="ER188" s="4"/>
      <x:c r="ES188" s="4"/>
      <x:c r="ET188" s="4"/>
      <x:c r="EU188" s="4"/>
      <x:c r="EV188" s="4"/>
      <x:c r="EW188" s="4"/>
      <x:c r="EX188" s="4"/>
      <x:c r="EY188" s="4"/>
      <x:c r="EZ188" s="4"/>
      <x:c r="FA188" s="4"/>
      <x:c r="FB188" s="4"/>
      <x:c r="FC188" s="4"/>
      <x:c r="FD188" s="4"/>
      <x:c r="FE188" s="4"/>
      <x:c r="FF188" s="4"/>
      <x:c r="FG188" s="4"/>
      <x:c r="FH188" s="4"/>
      <x:c r="FI188" s="4"/>
      <x:c r="FJ188" s="4"/>
      <x:c r="FK188" s="4"/>
      <x:c r="FL188" s="4"/>
      <x:c r="FM188" s="4"/>
      <x:c r="FN188" s="4"/>
      <x:c r="FO188" s="4"/>
      <x:c r="GA188" s="71"/>
      <x:c r="GB188" s="71"/>
      <x:c r="GC188" s="71"/>
      <x:c r="GD188" s="71"/>
      <x:c r="GE188" s="71"/>
      <x:c r="GF188" s="71"/>
      <x:c r="GG188" s="71"/>
      <x:c r="GH188" s="71"/>
      <x:c r="GI188" s="71"/>
      <x:c r="GJ188" s="71"/>
      <x:c r="GK188" s="71"/>
      <x:c r="GL188" s="71"/>
      <x:c r="GM188" s="71"/>
      <x:c r="GN188" s="71"/>
      <x:c r="GO188" s="71"/>
      <x:c r="GP188" s="71"/>
      <x:c r="GQ188" s="71"/>
      <x:c r="GR188" s="71"/>
      <x:c r="GS188" s="71"/>
      <x:c r="GT188" s="71"/>
      <x:c r="GU188" s="71"/>
      <x:c r="GV188" s="71"/>
      <x:c r="GW188" s="71"/>
      <x:c r="GX188" s="71"/>
      <x:c r="GY188" s="71"/>
      <x:c r="GZ188" s="71"/>
      <x:c r="HA188" s="71"/>
      <x:c r="HB188" s="71"/>
      <x:c r="HC188" s="71"/>
      <x:c r="HD188" s="71"/>
      <x:c r="HE188" t="str">
        <x:f>IF('Calculations'!EM188="","",IF(IFERROR(IF(INDEX(INDIRECT("'WCM Calibration Final'!$A$1:$A$2000"),'Calculations'!$EM188)="","",TRIM(INDEX(INDIRECT("'WCM Calibration Final'!$A$1:$A$2000"),'Calculations'!$EM188)&amp;"")),"")&lt;&gt;"","G:"&amp;IFERROR(TEXT(1*INDEX(INDIRECT("'WCM Calibration Final'!$A$1:$A$2000"),'Calculations'!$EM188),"0"),UPPER(IFERROR(IF(INDEX(INDIRECT("'WCM Calibration Final'!$A$1:$A$2000"),'Calculations'!$EM188)="","",TRIM(INDEX(INDIRECT("'WCM Calibration Final'!$A$1:$A$2000"),'Calculations'!$EM188)&amp;"")),""))),IF(IFERROR(IF(INDEX(INDIRECT("'WCM Calibration Final'!$C$1:$C$2000"),'Calculations'!$EM188)="","",TRIM(INDEX(INDIRECT("'WCM Calibration Final'!$C$1:$C$2000"),'Calculations'!$EM188)&amp;"")),"")&lt;&gt;"","S:"&amp;UPPER(IFERROR(IF(INDEX(INDIRECT("'WCM Calibration Final'!$C$1:$C$2000"),'Calculations'!$EM188)="","",TRIM(INDEX(INDIRECT("'WCM Calibration Final'!$C$1:$C$2000"),'Calculations'!$EM188)&amp;"")),"")),"R:"&amp;'Calculations'!EM188)))</x:f>
      </x:c>
      <x:c r="HF188" t="str">
        <x:f>IF('Calculations'!EM188="","",IF(IFERROR(IF(INDEX(INDIRECT("'WCM Calibration Final'!$D$1:$D$2000"),'Calculations'!$EM188)="","",TRIM(INDEX(INDIRECT("'WCM Calibration Final'!$D$1:$D$2000"),'Calculations'!$EM188)&amp;"")),"")&lt;&gt;"","G:"&amp;IFERROR(TEXT(1*INDEX(INDIRECT("'WCM Calibration Final'!$D$1:$D$2000"),'Calculations'!$EM188),"0"),UPPER(IFERROR(IF(INDEX(INDIRECT("'WCM Calibration Final'!$D$1:$D$2000"),'Calculations'!$EM188)="","",TRIM(INDEX(INDIRECT("'WCM Calibration Final'!$D$1:$D$2000"),'Calculations'!$EM188)&amp;"")),""))),IF(IFERROR(IF(INDEX(INDIRECT("'WCM Calibration Final'!$E$1:$E$2000"),'Calculations'!$EM188)="","",TRIM(INDEX(INDIRECT("'WCM Calibration Final'!$E$1:$E$2000"),'Calculations'!$EM188)&amp;"")),"")="","",IF(COUNTIF('Calculations'!$HG$13:$HG$512,"="&amp;SUBSTITUTE(SUBSTITUTE(SUBSTITUTE(IFERROR(IF(INDEX(INDIRECT("'WCM Calibration Final'!$E$1:$E$2000"),'Calculations'!$EM188)="","",TRIM(INDEX(INDIRECT("'WCM Calibration Final'!$E$1:$E$2000"),'Calculations'!$EM188)&amp;"")),""),"~","~~"),"*","~*"),"?","~?"))=1,INDEX('Calculations'!$HE$13:$HE$512,MATCH(IFERROR(IF(INDEX(INDIRECT("'WCM Calibration Final'!$E$1:$E$2000"),'Calculations'!$EM188)="","",TRIM(INDEX(INDIRECT("'WCM Calibration Final'!$E$1:$E$2000"),'Calculations'!$EM188)&amp;"")),""),'Calculations'!$HG$13:$HG$512,0)),IF(COUNTIF('Calculations'!$HG$13:$HG$512,"="&amp;SUBSTITUTE(SUBSTITUTE(SUBSTITUTE(IFERROR(IF(INDEX(INDIRECT("'WCM Calibration Final'!$E$1:$E$2000"),'Calculations'!$EM188)="","",TRIM(INDEX(INDIRECT("'WCM Calibration Final'!$E$1:$E$2000"),'Calculations'!$EM188)&amp;"")),""),"~","~~"),"*","~*"),"?","~?"))&gt;1,"!AMBIG","X:"&amp;IFERROR(IF(INDEX(INDIRECT("'WCM Calibration Final'!$E$1:$E$2000"),'Calculations'!$EM188)="","",TRIM(INDEX(INDIRECT("'WCM Calibration Final'!$E$1:$E$2000"),'Calculations'!$EM188)&amp;"")),""))))))</x:f>
      </x:c>
      <x:c r="HG188" t="str">
        <x:f>IF('Calculations'!EM188="","",IFERROR(IF(INDEX(INDIRECT("'WCM Calibration Final'!$B$1:$B$2000"),'Calculations'!$EM188)="","",TRIM(INDEX(INDIRECT("'WCM Calibration Final'!$B$1:$B$2000"),'Calculations'!$EM188)&amp;"")),""))</x:f>
      </x:c>
      <x:c r="HH188" t="n">
        <x:f>IF(AND('Calculations'!JC188&gt;0,COUNTIF('Calculations'!$HF$12:HF188,"="&amp;SUBSTITUTE(SUBSTITUTE(SUBSTITUTE('Calculations'!HF188,"~","~~"),"*","~*"),"?","~?"))=1),MAX('Calculations'!$HH$12:HH187)+1,0)</x:f>
        <x:v>0</x:v>
      </x:c>
      <x:c r="HI188" t="n">
        <x:f>IF(AND('Calculations'!HN188&lt;&gt;"",COUNTIF('Calculations'!$HN$12:HN188,"="&amp;SUBSTITUTE(SUBSTITUTE(SUBSTITUTE('Calculations'!HN188,"~","~~"),"*","~*"),"?","~?"))=1),MAX('Calculations'!$HI$12:HI187)+1,0)</x:f>
        <x:v>0</x:v>
      </x:c>
      <x:c r="HJ188" t="str">
        <x:f>IF('Calculations'!HF188="","",IF(COUNTIF('Calculations'!$HE$13:$HE$512,"="&amp;SUBSTITUTE(SUBSTITUTE(SUBSTITUTE('Calculations'!HF188,"~","~~"),"*","~*"),"?","~?"))=1,INDEX('Calculations'!$HK$13:$HK$512,MATCH('Calculations'!HF188,'Calculations'!$HE$13:$HE$512,0)),IFERROR(IF(INDEX(INDIRECT("'WCM Calibration Final'!$E$1:$E$2000"),'Calculations'!$EM188)="","",TRIM(INDEX(INDIRECT("'WCM Calibration Final'!$E$1:$E$2000"),'Calculations'!$EM188)&amp;"")),"")&amp;" ["&amp;'Calculations'!HF188&amp;"]"))</x:f>
      </x:c>
      <x:c r="HK188" t="str">
        <x:f>IF('Calculations'!EM188="","",'Calculations'!HG188&amp;" ["&amp;'Calculations'!HE188&amp;"]")</x:f>
      </x:c>
      <x:c r="HL188" t="n">
        <x:f>IF('Calculations'!EM188="",0,IF(OR('Calculations'!II188&lt;&gt;"",COUNTIF('Calculations'!$HE$13:$HE$512,"="&amp;SUBSTITUTE(SUBSTITUTE(SUBSTITUTE('Calculations'!HE188,"~","~~"),"*","~*"),"?","~?"))&gt;1),1,0))</x:f>
        <x:v>0</x:v>
      </x:c>
      <x:c r="HM188" t="str">
        <x:f>IF('Calculations'!EM188="","",IF('Calculations'!HL188=1,"!UNRESOLVED",IF('Calculations'!IH188&lt;&gt;"",'Calculations'!IH188,IF('Calculations'!IG188&lt;&gt;"",'Calculations'!IG188,IF('Calculations'!IF188&lt;&gt;"",'Calculations'!IF188,IF('Calculations'!IE188&lt;&gt;"",'Calculations'!IE188,IF('Calculations'!ID188&lt;&gt;"",'Calculations'!ID188,IF('Calculations'!IC188&lt;&gt;"",'Calculations'!IC188,IF('Calculations'!IB188&lt;&gt;"",'Calculations'!IB188,IF('Calculations'!IA188&lt;&gt;"",'Calculations'!IA188,IF('Calculations'!HZ188&lt;&gt;"",'Calculations'!HZ188,IF('Calculations'!HY188&lt;&gt;"",'Calculations'!HY188,IF('Calculations'!HX188&lt;&gt;"",'Calculations'!HX188,IF('Calculations'!HW188&lt;&gt;"",'Calculations'!HW188,IF('Calculations'!HV188&lt;&gt;"",'Calculations'!HV188,IF('Calculations'!HU188&lt;&gt;"",'Calculations'!HU188,IF('Calculations'!HT188&lt;&gt;"",'Calculations'!HT188,IF('Calculations'!HS188&lt;&gt;"",'Calculations'!HS188,IF('Calculations'!HR188&lt;&gt;"",'Calculations'!HR188,IF('Calculations'!HQ188&lt;&gt;"",'Calculations'!HQ188,IF('Calculations'!HP188&lt;&gt;"",'Calculations'!HP188,IF('Calculations'!HO188&lt;&gt;"",'Calculations'!HO188,'Calculations'!HE188))))))))))))))))))))))</x:f>
      </x:c>
      <x:c r="HN188" t="str">
        <x:f>IF('Calculations'!EM188="","",IF(IFERROR(IF(INDEX(INDIRECT("'WCM Calibration Final'!$F$1:$F$2000"),'Calculations'!$EM188)="","",TRIM(INDEX(INDIRECT("'WCM Calibration Final'!$F$1:$F$2000"),'Calculations'!$EM188)&amp;"")),"")="","(Blank)",IFERROR(IF(INDEX(INDIRECT("'WCM Calibration Final'!$F$1:$F$2000"),'Calculations'!$EM188)="","",TRIM(INDEX(INDIRECT("'WCM Calibration Final'!$F$1:$F$2000"),'Calculations'!$EM188)&amp;"")),"")))</x:f>
      </x:c>
      <x:c r="HO188" t="str">
        <x:f>'Calculations'!HF188</x:f>
      </x:c>
      <x:c r="HP188" t="str">
        <x:f>IF('Calculations'!HO188="","",IF('Calculations'!HO188="!AMBIG","!AMBIG",IF(COUNTIF('Calculations'!$HE$13:$HE$512,"="&amp;SUBSTITUTE(SUBSTITUTE(SUBSTITUTE('Calculations'!HO188,"~","~~"),"*","~*"),"?","~?"))&gt;1,"!AMBIG",IFERROR(INDEX('Calculations'!$HF$13:$HF$512,MATCH('Calculations'!HO188,'Calculations'!$HE$13:$HE$512,0)),""))))</x:f>
      </x:c>
      <x:c r="HQ188" t="str">
        <x:f>IF('Calculations'!HP188="","",IF('Calculations'!HP188="!AMBIG","!AMBIG",IF(COUNTIF('Calculations'!$HE$13:$HE$512,"="&amp;SUBSTITUTE(SUBSTITUTE(SUBSTITUTE('Calculations'!HP188,"~","~~"),"*","~*"),"?","~?"))&gt;1,"!AMBIG",IFERROR(INDEX('Calculations'!$HF$13:$HF$512,MATCH('Calculations'!HP188,'Calculations'!$HE$13:$HE$512,0)),""))))</x:f>
      </x:c>
      <x:c r="HR188" t="str">
        <x:f>IF('Calculations'!HQ188="","",IF('Calculations'!HQ188="!AMBIG","!AMBIG",IF(COUNTIF('Calculations'!$HE$13:$HE$512,"="&amp;SUBSTITUTE(SUBSTITUTE(SUBSTITUTE('Calculations'!HQ188,"~","~~"),"*","~*"),"?","~?"))&gt;1,"!AMBIG",IFERROR(INDEX('Calculations'!$HF$13:$HF$512,MATCH('Calculations'!HQ188,'Calculations'!$HE$13:$HE$512,0)),""))))</x:f>
      </x:c>
      <x:c r="HS188" t="str">
        <x:f>IF('Calculations'!HR188="","",IF('Calculations'!HR188="!AMBIG","!AMBIG",IF(COUNTIF('Calculations'!$HE$13:$HE$512,"="&amp;SUBSTITUTE(SUBSTITUTE(SUBSTITUTE('Calculations'!HR188,"~","~~"),"*","~*"),"?","~?"))&gt;1,"!AMBIG",IFERROR(INDEX('Calculations'!$HF$13:$HF$512,MATCH('Calculations'!HR188,'Calculations'!$HE$13:$HE$512,0)),""))))</x:f>
      </x:c>
      <x:c r="HT188" t="str">
        <x:f>IF('Calculations'!HS188="","",IF('Calculations'!HS188="!AMBIG","!AMBIG",IF(COUNTIF('Calculations'!$HE$13:$HE$512,"="&amp;SUBSTITUTE(SUBSTITUTE(SUBSTITUTE('Calculations'!HS188,"~","~~"),"*","~*"),"?","~?"))&gt;1,"!AMBIG",IFERROR(INDEX('Calculations'!$HF$13:$HF$512,MATCH('Calculations'!HS188,'Calculations'!$HE$13:$HE$512,0)),""))))</x:f>
      </x:c>
      <x:c r="HU188" t="str">
        <x:f>IF('Calculations'!HT188="","",IF('Calculations'!HT188="!AMBIG","!AMBIG",IF(COUNTIF('Calculations'!$HE$13:$HE$512,"="&amp;SUBSTITUTE(SUBSTITUTE(SUBSTITUTE('Calculations'!HT188,"~","~~"),"*","~*"),"?","~?"))&gt;1,"!AMBIG",IFERROR(INDEX('Calculations'!$HF$13:$HF$512,MATCH('Calculations'!HT188,'Calculations'!$HE$13:$HE$512,0)),""))))</x:f>
      </x:c>
      <x:c r="HV188" t="str">
        <x:f>IF('Calculations'!HU188="","",IF('Calculations'!HU188="!AMBIG","!AMBIG",IF(COUNTIF('Calculations'!$HE$13:$HE$512,"="&amp;SUBSTITUTE(SUBSTITUTE(SUBSTITUTE('Calculations'!HU188,"~","~~"),"*","~*"),"?","~?"))&gt;1,"!AMBIG",IFERROR(INDEX('Calculations'!$HF$13:$HF$512,MATCH('Calculations'!HU188,'Calculations'!$HE$13:$HE$512,0)),""))))</x:f>
      </x:c>
      <x:c r="HW188" t="str">
        <x:f>IF('Calculations'!HV188="","",IF('Calculations'!HV188="!AMBIG","!AMBIG",IF(COUNTIF('Calculations'!$HE$13:$HE$512,"="&amp;SUBSTITUTE(SUBSTITUTE(SUBSTITUTE('Calculations'!HV188,"~","~~"),"*","~*"),"?","~?"))&gt;1,"!AMBIG",IFERROR(INDEX('Calculations'!$HF$13:$HF$512,MATCH('Calculations'!HV188,'Calculations'!$HE$13:$HE$512,0)),""))))</x:f>
      </x:c>
      <x:c r="HX188" t="str">
        <x:f>IF('Calculations'!HW188="","",IF('Calculations'!HW188="!AMBIG","!AMBIG",IF(COUNTIF('Calculations'!$HE$13:$HE$512,"="&amp;SUBSTITUTE(SUBSTITUTE(SUBSTITUTE('Calculations'!HW188,"~","~~"),"*","~*"),"?","~?"))&gt;1,"!AMBIG",IFERROR(INDEX('Calculations'!$HF$13:$HF$512,MATCH('Calculations'!HW188,'Calculations'!$HE$13:$HE$512,0)),""))))</x:f>
      </x:c>
      <x:c r="HY188" t="str">
        <x:f>IF('Calculations'!HX188="","",IF('Calculations'!HX188="!AMBIG","!AMBIG",IF(COUNTIF('Calculations'!$HE$13:$HE$512,"="&amp;SUBSTITUTE(SUBSTITUTE(SUBSTITUTE('Calculations'!HX188,"~","~~"),"*","~*"),"?","~?"))&gt;1,"!AMBIG",IFERROR(INDEX('Calculations'!$HF$13:$HF$512,MATCH('Calculations'!HX188,'Calculations'!$HE$13:$HE$512,0)),""))))</x:f>
      </x:c>
      <x:c r="HZ188" t="str">
        <x:f>IF('Calculations'!HY188="","",IF('Calculations'!HY188="!AMBIG","!AMBIG",IF(COUNTIF('Calculations'!$HE$13:$HE$512,"="&amp;SUBSTITUTE(SUBSTITUTE(SUBSTITUTE('Calculations'!HY188,"~","~~"),"*","~*"),"?","~?"))&gt;1,"!AMBIG",IFERROR(INDEX('Calculations'!$HF$13:$HF$512,MATCH('Calculations'!HY188,'Calculations'!$HE$13:$HE$512,0)),""))))</x:f>
      </x:c>
      <x:c r="IA188" t="str">
        <x:f>IF('Calculations'!HZ188="","",IF('Calculations'!HZ188="!AMBIG","!AMBIG",IF(COUNTIF('Calculations'!$HE$13:$HE$512,"="&amp;SUBSTITUTE(SUBSTITUTE(SUBSTITUTE('Calculations'!HZ188,"~","~~"),"*","~*"),"?","~?"))&gt;1,"!AMBIG",IFERROR(INDEX('Calculations'!$HF$13:$HF$512,MATCH('Calculations'!HZ188,'Calculations'!$HE$13:$HE$512,0)),""))))</x:f>
      </x:c>
      <x:c r="IB188" t="str">
        <x:f>IF('Calculations'!IA188="","",IF('Calculations'!IA188="!AMBIG","!AMBIG",IF(COUNTIF('Calculations'!$HE$13:$HE$512,"="&amp;SUBSTITUTE(SUBSTITUTE(SUBSTITUTE('Calculations'!IA188,"~","~~"),"*","~*"),"?","~?"))&gt;1,"!AMBIG",IFERROR(INDEX('Calculations'!$HF$13:$HF$512,MATCH('Calculations'!IA188,'Calculations'!$HE$13:$HE$512,0)),""))))</x:f>
      </x:c>
      <x:c r="IC188" t="str">
        <x:f>IF('Calculations'!IB188="","",IF('Calculations'!IB188="!AMBIG","!AMBIG",IF(COUNTIF('Calculations'!$HE$13:$HE$512,"="&amp;SUBSTITUTE(SUBSTITUTE(SUBSTITUTE('Calculations'!IB188,"~","~~"),"*","~*"),"?","~?"))&gt;1,"!AMBIG",IFERROR(INDEX('Calculations'!$HF$13:$HF$512,MATCH('Calculations'!IB188,'Calculations'!$HE$13:$HE$512,0)),""))))</x:f>
      </x:c>
      <x:c r="ID188" t="str">
        <x:f>IF('Calculations'!IC188="","",IF('Calculations'!IC188="!AMBIG","!AMBIG",IF(COUNTIF('Calculations'!$HE$13:$HE$512,"="&amp;SUBSTITUTE(SUBSTITUTE(SUBSTITUTE('Calculations'!IC188,"~","~~"),"*","~*"),"?","~?"))&gt;1,"!AMBIG",IFERROR(INDEX('Calculations'!$HF$13:$HF$512,MATCH('Calculations'!IC188,'Calculations'!$HE$13:$HE$512,0)),""))))</x:f>
      </x:c>
      <x:c r="IE188" t="str">
        <x:f>IF('Calculations'!ID188="","",IF('Calculations'!ID188="!AMBIG","!AMBIG",IF(COUNTIF('Calculations'!$HE$13:$HE$512,"="&amp;SUBSTITUTE(SUBSTITUTE(SUBSTITUTE('Calculations'!ID188,"~","~~"),"*","~*"),"?","~?"))&gt;1,"!AMBIG",IFERROR(INDEX('Calculations'!$HF$13:$HF$512,MATCH('Calculations'!ID188,'Calculations'!$HE$13:$HE$512,0)),""))))</x:f>
      </x:c>
      <x:c r="IF188" t="str">
        <x:f>IF('Calculations'!IE188="","",IF('Calculations'!IE188="!AMBIG","!AMBIG",IF(COUNTIF('Calculations'!$HE$13:$HE$512,"="&amp;SUBSTITUTE(SUBSTITUTE(SUBSTITUTE('Calculations'!IE188,"~","~~"),"*","~*"),"?","~?"))&gt;1,"!AMBIG",IFERROR(INDEX('Calculations'!$HF$13:$HF$512,MATCH('Calculations'!IE188,'Calculations'!$HE$13:$HE$512,0)),""))))</x:f>
      </x:c>
      <x:c r="IG188" t="str">
        <x:f>IF('Calculations'!IF188="","",IF('Calculations'!IF188="!AMBIG","!AMBIG",IF(COUNTIF('Calculations'!$HE$13:$HE$512,"="&amp;SUBSTITUTE(SUBSTITUTE(SUBSTITUTE('Calculations'!IF188,"~","~~"),"*","~*"),"?","~?"))&gt;1,"!AMBIG",IFERROR(INDEX('Calculations'!$HF$13:$HF$512,MATCH('Calculations'!IF188,'Calculations'!$HE$13:$HE$512,0)),""))))</x:f>
      </x:c>
      <x:c r="IH188" t="str">
        <x:f>IF('Calculations'!IG188="","",IF('Calculations'!IG188="!AMBIG","!AMBIG",IF(COUNTIF('Calculations'!$HE$13:$HE$512,"="&amp;SUBSTITUTE(SUBSTITUTE(SUBSTITUTE('Calculations'!IG188,"~","~~"),"*","~*"),"?","~?"))&gt;1,"!AMBIG",IFERROR(INDEX('Calculations'!$HF$13:$HF$512,MATCH('Calculations'!IG188,'Calculations'!$HE$13:$HE$512,0)),""))))</x:f>
      </x:c>
      <x:c r="II188" t="str">
        <x:f>IF('Calculations'!IH188="","",IF('Calculations'!IH188="!AMBIG","!AMBIG",IF(COUNTIF('Calculations'!$HE$13:$HE$512,"="&amp;SUBSTITUTE(SUBSTITUTE(SUBSTITUTE('Calculations'!IH188,"~","~~"),"*","~*"),"?","~?"))&gt;1,"!AMBIG",IFERROR(INDEX('Calculations'!$HF$13:$HF$512,MATCH('Calculations'!IH188,'Calculations'!$HE$13:$HE$512,0)),""))))</x:f>
      </x:c>
      <x:c r="IJ188" t="str">
        <x:f>IF('Calculations'!EM188="","",IF('Calculations'!$EF$2="All",'Calculations'!HM188,IF('Calculations'!HL188=1,"",IFERROR(IF(MATCH('Calculations'!$EF$2,'Calculations'!HO188:II188,0)=1,'Calculations'!HE188,INDEX('Calculations'!HO188:II188,1,MATCH('Calculations'!$EF$2,'Calculations'!HO188:II188,0)-1)),""))))</x:f>
      </x:c>
      <x:c r="IK188" t="n">
        <x:f>IF(AND('Calculations'!EM188&lt;&gt;"",'Calculations'!$EF$2&lt;&gt;"All",'Calculations'!HF188='Calculations'!$EF$2,'Calculations'!HL188=0,'Calculations'!JD188&gt;0),MAX('Calculations'!$IK$12:IK187)+1,0)</x:f>
        <x:v>0</x:v>
      </x:c>
      <x:c r="JA188" t="n">
        <x:f>IF(OR(IFERROR(INDIRECT("'WCM Calibration Final'!$A$188")&lt;&gt;"",FALSE),IFERROR(INDIRECT("'WCM Calibration Final'!$B$188")&lt;&gt;"",FALSE),IFERROR(INDIRECT("'WCM Calibration Final'!$C$188")&lt;&gt;"",FALSE)),188,0)</x:f>
        <x:v>0</x:v>
      </x:c>
      <x:c r="JB188" t="n">
        <x:f>'Calculations'!JB187+IF('Calculations'!JA188&gt;0,1,0)</x:f>
        <x:v>0</x:v>
      </x:c>
      <x:c r="JC188" t="n">
        <x:f>IF(OR('Calculations'!HF188="",'Calculations'!HF188="!AMBIG"),0,IF('Dashboard'!$B$7="All",1,COUNTIFS('Calculations'!$HO$13:$HO$512,"="&amp;SUBSTITUTE(SUBSTITUTE(SUBSTITUTE('Calculations'!HF188,"~","~~"),"*","~*"),"?","~?"),'Calculations'!$HN$13:$HN$512,"="&amp;SUBSTITUTE(SUBSTITUTE(SUBSTITUTE('Dashboard'!$B$7,"~","~~"),"*","~*"),"?","~?"))+COUNTIFS('Calculations'!$HP$13:$HP$512,"="&amp;SUBSTITUTE(SUBSTITUTE(SUBSTITUTE('Calculations'!HF188,"~","~~"),"*","~*"),"?","~?"),'Calculations'!$HN$13:$HN$512,"="&amp;SUBSTITUTE(SUBSTITUTE(SUBSTITUTE('Dashboard'!$B$7,"~","~~"),"*","~*"),"?","~?"))+COUNTIFS('Calculations'!$HQ$13:$HQ$512,"="&amp;SUBSTITUTE(SUBSTITUTE(SUBSTITUTE('Calculations'!HF188,"~","~~"),"*","~*"),"?","~?"),'Calculations'!$HN$13:$HN$512,"="&amp;SUBSTITUTE(SUBSTITUTE(SUBSTITUTE('Dashboard'!$B$7,"~","~~"),"*","~*"),"?","~?"))+COUNTIFS('Calculations'!$HR$13:$HR$512,"="&amp;SUBSTITUTE(SUBSTITUTE(SUBSTITUTE('Calculations'!HF188,"~","~~"),"*","~*"),"?","~?"),'Calculations'!$HN$13:$HN$512,"="&amp;SUBSTITUTE(SUBSTITUTE(SUBSTITUTE('Dashboard'!$B$7,"~","~~"),"*","~*"),"?","~?"))+COUNTIFS('Calculations'!$HS$13:$HS$512,"="&amp;SUBSTITUTE(SUBSTITUTE(SUBSTITUTE('Calculations'!HF188,"~","~~"),"*","~*"),"?","~?"),'Calculations'!$HN$13:$HN$512,"="&amp;SUBSTITUTE(SUBSTITUTE(SUBSTITUTE('Dashboard'!$B$7,"~","~~"),"*","~*"),"?","~?"))+COUNTIFS('Calculations'!$HT$13:$HT$512,"="&amp;SUBSTITUTE(SUBSTITUTE(SUBSTITUTE('Calculations'!HF188,"~","~~"),"*","~*"),"?","~?"),'Calculations'!$HN$13:$HN$512,"="&amp;SUBSTITUTE(SUBSTITUTE(SUBSTITUTE('Dashboard'!$B$7,"~","~~"),"*","~*"),"?","~?"))+COUNTIFS('Calculations'!$HU$13:$HU$512,"="&amp;SUBSTITUTE(SUBSTITUTE(SUBSTITUTE('Calculations'!HF188,"~","~~"),"*","~*"),"?","~?"),'Calculations'!$HN$13:$HN$512,"="&amp;SUBSTITUTE(SUBSTITUTE(SUBSTITUTE('Dashboard'!$B$7,"~","~~"),"*","~*"),"?","~?"))+COUNTIFS('Calculations'!$HV$13:$HV$512,"="&amp;SUBSTITUTE(SUBSTITUTE(SUBSTITUTE('Calculations'!HF188,"~","~~"),"*","~*"),"?","~?"),'Calculations'!$HN$13:$HN$512,"="&amp;SUBSTITUTE(SUBSTITUTE(SUBSTITUTE('Dashboard'!$B$7,"~","~~"),"*","~*"),"?","~?"))+COUNTIFS('Calculations'!$HW$13:$HW$512,"="&amp;SUBSTITUTE(SUBSTITUTE(SUBSTITUTE('Calculations'!HF188,"~","~~"),"*","~*"),"?","~?"),'Calculations'!$HN$13:$HN$512,"="&amp;SUBSTITUTE(SUBSTITUTE(SUBSTITUTE('Dashboard'!$B$7,"~","~~"),"*","~*"),"?","~?"))+COUNTIFS('Calculations'!$HX$13:$HX$512,"="&amp;SUBSTITUTE(SUBSTITUTE(SUBSTITUTE('Calculations'!HF188,"~","~~"),"*","~*"),"?","~?"),'Calculations'!$HN$13:$HN$512,"="&amp;SUBSTITUTE(SUBSTITUTE(SUBSTITUTE('Dashboard'!$B$7,"~","~~"),"*","~*"),"?","~?"))+COUNTIFS('Calculations'!$HY$13:$HY$512,"="&amp;SUBSTITUTE(SUBSTITUTE(SUBSTITUTE('Calculations'!HF188,"~","~~"),"*","~*"),"?","~?"),'Calculations'!$HN$13:$HN$512,"="&amp;SUBSTITUTE(SUBSTITUTE(SUBSTITUTE('Dashboard'!$B$7,"~","~~"),"*","~*"),"?","~?"))+COUNTIFS('Calculations'!$HZ$13:$HZ$512,"="&amp;SUBSTITUTE(SUBSTITUTE(SUBSTITUTE('Calculations'!HF188,"~","~~"),"*","~*"),"?","~?"),'Calculations'!$HN$13:$HN$512,"="&amp;SUBSTITUTE(SUBSTITUTE(SUBSTITUTE('Dashboard'!$B$7,"~","~~"),"*","~*"),"?","~?"))+COUNTIFS('Calculations'!$IA$13:$IA$512,"="&amp;SUBSTITUTE(SUBSTITUTE(SUBSTITUTE('Calculations'!HF188,"~","~~"),"*","~*"),"?","~?"),'Calculations'!$HN$13:$HN$512,"="&amp;SUBSTITUTE(SUBSTITUTE(SUBSTITUTE('Dashboard'!$B$7,"~","~~"),"*","~*"),"?","~?"))+COUNTIFS('Calculations'!$IB$13:$IB$512,"="&amp;SUBSTITUTE(SUBSTITUTE(SUBSTITUTE('Calculations'!HF188,"~","~~"),"*","~*"),"?","~?"),'Calculations'!$HN$13:$HN$512,"="&amp;SUBSTITUTE(SUBSTITUTE(SUBSTITUTE('Dashboard'!$B$7,"~","~~"),"*","~*"),"?","~?"))+COUNTIFS('Calculations'!$IC$13:$IC$512,"="&amp;SUBSTITUTE(SUBSTITUTE(SUBSTITUTE('Calculations'!HF188,"~","~~"),"*","~*"),"?","~?"),'Calculations'!$HN$13:$HN$512,"="&amp;SUBSTITUTE(SUBSTITUTE(SUBSTITUTE('Dashboard'!$B$7,"~","~~"),"*","~*"),"?","~?"))+COUNTIFS('Calculations'!$ID$13:$ID$512,"="&amp;SUBSTITUTE(SUBSTITUTE(SUBSTITUTE('Calculations'!HF188,"~","~~"),"*","~*"),"?","~?"),'Calculations'!$HN$13:$HN$512,"="&amp;SUBSTITUTE(SUBSTITUTE(SUBSTITUTE('Dashboard'!$B$7,"~","~~"),"*","~*"),"?","~?"))+COUNTIFS('Calculations'!$IE$13:$IE$512,"="&amp;SUBSTITUTE(SUBSTITUTE(SUBSTITUTE('Calculations'!HF188,"~","~~"),"*","~*"),"?","~?"),'Calculations'!$HN$13:$HN$512,"="&amp;SUBSTITUTE(SUBSTITUTE(SUBSTITUTE('Dashboard'!$B$7,"~","~~"),"*","~*"),"?","~?"))+COUNTIFS('Calculations'!$IF$13:$IF$512,"="&amp;SUBSTITUTE(SUBSTITUTE(SUBSTITUTE('Calculations'!HF188,"~","~~"),"*","~*"),"?","~?"),'Calculations'!$HN$13:$HN$512,"="&amp;SUBSTITUTE(SUBSTITUTE(SUBSTITUTE('Dashboard'!$B$7,"~","~~"),"*","~*"),"?","~?"))+COUNTIFS('Calculations'!$IG$13:$IG$512,"="&amp;SUBSTITUTE(SUBSTITUTE(SUBSTITUTE('Calculations'!HF188,"~","~~"),"*","~*"),"?","~?"),'Calculations'!$HN$13:$HN$512,"="&amp;SUBSTITUTE(SUBSTITUTE(SUBSTITUTE('Dashboard'!$B$7,"~","~~"),"*","~*"),"?","~?"))+COUNTIFS('Calculations'!$IH$13:$IH$512,"="&amp;SUBSTITUTE(SUBSTITUTE(SUBSTITUTE('Calculations'!HF188,"~","~~"),"*","~*"),"?","~?"),'Calculations'!$HN$13:$HN$512,"="&amp;SUBSTITUTE(SUBSTITUTE(SUBSTITUTE('Dashboard'!$B$7,"~","~~"),"*","~*"),"?","~?"))))</x:f>
        <x:v>0</x:v>
      </x:c>
      <x:c r="JD188" t="n">
        <x:f>IF('Calculations'!EM188="",0,IF('Dashboard'!$B$7="All",1,IF('Calculations'!HN188='Dashboard'!$B$7,1,0)+IFERROR(INDEX('Calculations'!$JC$13:$JC$512,MATCH('Calculations'!HE188,'Calculations'!$HF$13:$HF$512,0)),0)))</x:f>
        <x:v>0</x:v>
      </x:c>
      <x:c r="JE188" t="n">
        <x:f>IF(AND('Calculations'!EM188&lt;&gt;"",'Calculations'!$JJ$2&lt;&gt;"All",'Calculations'!$JJ$2&lt;&gt;"",'Calculations'!HF188='Calculations'!$JJ$2,'Calculations'!HL188=0,'Calculations'!JD188&gt;0),MAX('Calculations'!$JE$12:JE187)+1,0)</x:f>
        <x:v>0</x:v>
      </x:c>
      <x:c r="JF188" t="str">
        <x:f>IF('Calculations'!EM188="","",IFERROR(IF(INDEX(INDIRECT("'WCM Calibration Final'!$G$1:$G$2000"),'Calculations'!$EM188)="","",TRIM(INDEX(INDIRECT("'WCM Calibration Final'!$G$1:$G$2000"),'Calculations'!$EM188)&amp;"")),""))</x:f>
      </x:c>
      <x:c r="JQ188" t="n">
        <x:f>IF(OR('Calculations'!BM188=0,NOT('Calculations'!$AG$2),'Calculations'!$AG$8&gt;0),0,IF(OR('Dashboard'!$B$7="All",'Calculations'!HN188='Dashboard'!$B$7),IF('Calculations'!$JJ$2="All",1,IF(AND('Calculations'!HF188='Calculations'!$JJ$2,'Calculations'!HL188=0),1,0)),0))</x:f>
        <x:v>0</x:v>
      </x:c>
    </x:row>
    <x:row r="189">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t="n">
        <x:f>IF('Calculations'!$EM189="",0,IF(OR(IFERROR(INDEX(INDIRECT("'WCM Calibration Final'!$A$1:$A$2000"),'Calculations'!$EM189)&lt;&gt;"",FALSE),IFERROR(INDEX(INDIRECT("'WCM Calibration Final'!$B$1:$B$2000"),'Calculations'!$EM189)&lt;&gt;"",FALSE),IFERROR(INDEX(INDIRECT("'WCM Calibration Final'!$C$1:$C$2000"),'Calculations'!$EM189)&lt;&gt;"",FALSE)),1,0))</x:f>
        <x:v>0</x:v>
      </x:c>
      <x:c r="BN189" s="4" t="n">
        <x:f>IF(AND('Calculations'!BM189=1,'Calculations'!$AG$2,'Calculations'!$EN189=1),1,0)</x:f>
        <x:v>0</x:v>
      </x:c>
      <x:c r="BO189" s="4" t="str">
        <x:f>IF('Calculations'!BM189=0,"",IFERROR(IF(AND(VALUE(INDEX(INDIRECT("'WCM Calibration Final'!$K$1:$K$2000"),'Calculations'!$EM189))&gt;=1,VALUE(INDEX(INDIRECT("'WCM Calibration Final'!$K$1:$K$2000"),'Calculations'!$EM189))&lt;=4,MOD(VALUE(INDEX(INDIRECT("'WCM Calibration Final'!$K$1:$K$2000"),'Calculations'!$EM189)),1)=0),VALUE(INDEX(INDIRECT("'WCM Calibration Final'!$K$1:$K$2000"),'Calculations'!$EM189)),""),""))</x:f>
      </x:c>
      <x:c r="BP189" s="4" t="str">
        <x:f>IF('Calculations'!BM189=0,"",IFERROR(IF(AND(VALUE(INDEX(INDIRECT("'WCM Calibration Final'!$L$1:$L$2000"),'Calculations'!$EM189))&gt;=1,VALUE(INDEX(INDIRECT("'WCM Calibration Final'!$L$1:$L$2000"),'Calculations'!$EM189))&lt;=4,MOD(VALUE(INDEX(INDIRECT("'WCM Calibration Final'!$L$1:$L$2000"),'Calculations'!$EM189)),1)=0),VALUE(INDEX(INDIRECT("'WCM Calibration Final'!$L$1:$L$2000"),'Calculations'!$EM189)),""),""))</x:f>
      </x:c>
      <x:c r="BQ189" s="4"/>
      <x:c r="BR189" s="4"/>
      <x:c r="BS189" s="4"/>
      <x:c r="BT189" s="4" t="n">
        <x:f>IF(AND('Calculations'!BM189=1,ISNUMBER('Calculations'!BO189),ISNUMBER('Calculations'!BP189)),1,0)</x:f>
        <x:v>0</x:v>
      </x:c>
      <x:c r="BU189" s="4" t="str">
        <x:f>IF('Calculations'!BM189=0,"",'Calculations'!$EO189)</x:f>
      </x:c>
      <x:c r="BV189" s="4" t="str">
        <x:f>IF('Calculations'!BM189=0,"",IFERROR(IF(OR(INDEX(INDIRECT("'WCM Calibration Final'!$H$1:$H$2000"),'Calculations'!$EM189)="MANAGING DIRECTOR",INDEX(INDIRECT("'WCM Calibration Final'!$H$1:$H$2000"),'Calculations'!$EM189)="DIRECTOR",INDEX(INDIRECT("'WCM Calibration Final'!$H$1:$H$2000"),'Calculations'!$EM189)="SENIOR VICE PRESIDENT",INDEX(INDIRECT("'WCM Calibration Final'!$H$1:$H$2000"),'Calculations'!$EM189)="VICE PRESIDENT",INDEX(INDIRECT("'WCM Calibration Final'!$H$1:$H$2000"),'Calculations'!$EM189)="ASSISTANT VICE PRESIDENT",INDEX(INDIRECT("'WCM Calibration Final'!$H$1:$H$2000"),'Calculations'!$EM189)="OFFICER"),UPPER(INDEX(INDIRECT("'WCM Calibration Final'!$H$1:$H$2000"),'Calculations'!$EM189)),"Other"),"Other"))</x:f>
      </x:c>
      <x:c r="BW189" s="4"/>
      <x:c r="BX189" s="4"/>
      <x:c r="BY189" s="4" t="n">
        <x:f>IF(AND('Calculations'!BM189=1,'Calculations'!BU189&lt;&gt;"",COUNTIF('Calculations'!$BU$12:BU189,'Calculations'!BU189)=1),MAX('Calculations'!$BY$11:BY188)+1,0)</x:f>
        <x:v>0</x:v>
      </x:c>
      <x:c r="BZ189" s="4" t="str">
        <x:f>IF('Dashboard'!$E$67="What",'Calculations'!BO189,'Calculations'!BP189)</x:f>
      </x:c>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t="str">
        <x:f>IF(178&gt;MAX('Calculations'!$HI$13:$HI$512),"",INDEX('Calculations'!$HN$13:$HN$512,MATCH(178,'Calculations'!$HI$13:$HI$512,0)))</x:f>
      </x:c>
      <x:c r="DB189" s="4" t="str">
        <x:f>IF(178&gt;MAX('Calculations'!$HH$13:$HH$512),"",INDEX('Calculations'!$HJ$13:$HJ$512,MATCH(178,'Calculations'!$HH$13:$HH$512,0)))</x:f>
      </x:c>
      <x:c r="DC189" s="4" t="str">
        <x:f>IF(ROW()-11&gt;MAX('Calculations'!$BY$13:$BY$512),"",INDEX('Calculations'!$BU$13:$BU$512,MATCH(ROW()-11,'Calculations'!$BY$13:$BY$512,0)))</x:f>
      </x:c>
      <x:c r="DD189" s="4" t="str">
        <x:f>IF(178&gt;MAX('Calculations'!$IK$13:$IK$512),"",INDEX('Calculations'!$HK$13:$HK$512,MATCH(178,'Calculations'!$IK$13:$IK$512,0)))</x:f>
      </x:c>
      <x:c r="DE189" s="4" t="str">
        <x:f>'Calculations'!DC189</x:f>
      </x:c>
      <x:c r="DF189" s="4" t="str">
        <x:f>IF('Calculations'!DE189="","",COUNTIFS('Calculations'!$BN$13:$BN$512,1,'Calculations'!$BU$13:$BU$512,'Calculations'!DE189))</x:f>
      </x:c>
      <x:c r="DG189" s="4" t="str">
        <x:f>IF('Calculations'!DE189="","",COUNTIFS('Calculations'!$BN$13:$BN$512,1,'Calculations'!$BU$13:$BU$512,'Calculations'!DE189,'Calculations'!$BT$13:$BT$512,1))</x:f>
      </x:c>
      <x:c r="DH189" s="4" t="str">
        <x:f>IF('Calculations'!DE189="","",'Calculations'!DF189-'Calculations'!DG189)</x:f>
      </x:c>
      <x:c r="DI189" s="4" t="str">
        <x:f>IF(OR('Calculations'!DE189="",'Calculations'!DF189=0),"",'Calculations'!DG189/'Calculations'!DF189)</x:f>
      </x:c>
      <x:c r="DJ189" s="4" t="str">
        <x:f>IF('Calculations'!DE189="","",COUNTIFS('Calculations'!$BN$13:$BN$512,1,'Calculations'!$BU$13:$BU$512,'Calculations'!DE189,'Calculations'!$BT$13:$BT$512,1,'Calculations'!$EE$13:$EE$512,"High"))</x:f>
      </x:c>
      <x:c r="DK189" s="4" t="str">
        <x:f>IF('Calculations'!DE189="","",COUNTIFS('Calculations'!$BN$13:$BN$512,1,'Calculations'!$BU$13:$BU$512,'Calculations'!DE189,'Calculations'!$BT$13:$BT$512,1,'Calculations'!$EE$13:$EE$512,"Strong"))</x:f>
      </x:c>
      <x:c r="DL189" s="4" t="str">
        <x:f>IF('Calculations'!DE189="","",COUNTIFS('Calculations'!$BN$13:$BN$512,1,'Calculations'!$BU$13:$BU$512,'Calculations'!DE189,'Calculations'!$BT$13:$BT$512,1,'Calculations'!$EE$13:$EE$512,"Solid"))</x:f>
      </x:c>
      <x:c r="DM189" s="4" t="str">
        <x:f>IF('Calculations'!DE189="","",COUNTIFS('Calculations'!$BN$13:$BN$512,1,'Calculations'!$BU$13:$BU$512,'Calculations'!DE189,'Calculations'!$BT$13:$BT$512,1,'Calculations'!$EE$13:$EE$512,"Low"))</x:f>
      </x:c>
      <x:c r="DN189" s="4" t="str">
        <x:f>IF('Calculations'!DE189="","",COUNTIFS('Calculations'!$BN$13:$BN$512,1,'Calculations'!$BU$13:$BU$512,'Calculations'!DE189,'Calculations'!$EP$13:$EP$512,1))</x:f>
      </x:c>
      <x:c r="DO189" s="4" t="str">
        <x:f>IF(OR('Calculations'!DE189="",'Calculations'!DG189=0),"",('Calculations'!DJ189+'Calculations'!DK189)/'Calculations'!DG189)</x:f>
      </x:c>
      <x:c r="DP189" s="4" t="n">
        <x:f>IF(AND('Calculations'!DE189&lt;&gt;"",'Calculations'!DF189&gt;0),COUNTIF('Calculations'!$DF$12:DF189,"&gt;0"),0)</x:f>
        <x:v>0</x:v>
      </x:c>
      <x:c r="DQ189" s="4" t="str">
        <x:f>IF(178&gt;MAX('Calculations'!$HH$13:$HH$512),"",INDEX('Calculations'!$HF$13:$HF$512,MATCH(178,'Calculations'!$HH$13:$HH$512,0)))</x:f>
      </x:c>
      <x:c r="DR189" s="4" t="str">
        <x:f>IF(178&gt;MAX('Calculations'!$IK$13:$IK$512),"",INDEX('Calculations'!$HE$13:$HE$512,MATCH(178,'Calculations'!$IK$13:$IK$512,0)))</x:f>
      </x:c>
      <x:c r="DS189" s="4"/>
      <x:c r="DT189" s="4"/>
      <x:c r="DU189" s="4"/>
      <x:c r="DV189" s="4"/>
      <x:c r="DW189" s="4"/>
      <x:c r="DX189" s="4"/>
      <x:c r="DY189" s="4"/>
      <x:c r="DZ189" s="4"/>
      <x:c r="EA189" s="4"/>
      <x:c r="EB189" s="4"/>
      <x:c r="EC189" s="4"/>
      <x:c r="ED189" s="4"/>
      <x:c r="EE189" s="4" t="str">
        <x:f>IF('Calculations'!BT189=0,"Not Rated",IF(OR('Calculations'!BO189&gt;=4,'Calculations'!BP189&gt;=4),"Low",IF('Calculations'!BO189+'Calculations'!BP189&lt;=3,"High",IF('Calculations'!BO189+'Calculations'!BP189&lt;=4,"Strong","Solid"))))</x:f>
        <x:v>Not Rated</x:v>
      </x:c>
      <x:c r="EF189" s="4"/>
      <x:c r="EG189" s="4"/>
      <x:c r="EH189" s="4"/>
      <x:c r="EI189" s="4"/>
      <x:c r="EJ189" s="4"/>
      <x:c r="EK189" s="4"/>
      <x:c r="EL189" s="4"/>
      <x:c r="EM189" s="4" t="str">
        <x:f>IF(177&gt;'Calculations'!$JB$2000,"",INDEX('Calculations'!$JA$12:$JA$2000,MATCH(177,'Calculations'!$JB$12:$JB$2000,0)))</x:f>
      </x:c>
      <x:c r="EN189" s="4" t="n">
        <x:f>IF(OR('Calculations'!EM189="",'Calculations'!$AG$8&gt;0,AND('Calculations'!$EF$2&lt;&gt;"All",'Calculations'!HE189='Calculations'!$EF$2),AND('Calculations'!$EF$3&lt;&gt;"All",'Calculations'!HE189='Calculations'!$EF$3)),0,IF(OR('Dashboard'!$B$7="All",'Calculations'!HN189='Dashboard'!$B$7),IF('Calculations'!$EF$2="All",1,IF('Calculations'!HL189&gt;0,0,IF(COUNTIF('Calculations'!HO189:II189,"="&amp;SUBSTITUTE(SUBSTITUTE(SUBSTITUTE('Calculations'!$EF$2,"~","~~"),"*","~*"),"?","~?"))=0,0,IF('Calculations'!$EF$3="All",1,IF(COUNTIF('Calculations'!HO189:II189,"="&amp;SUBSTITUTE(SUBSTITUTE(SUBSTITUTE('Calculations'!$EF$3,"~","~~"),"*","~*"),"?","~?"))&gt;0,1,0))))),0))</x:f>
        <x:v>0</x:v>
      </x:c>
      <x:c r="EO189" s="4" t="str">
        <x:f>IF('Calculations'!IJ189="","",IF('Calculations'!IJ189="!UNRESOLVED","Unresolved hierarchy",IFERROR(INDEX('Calculations'!$HK$13:$HK$512,MATCH('Calculations'!IJ189,'Calculations'!$HE$13:$HE$512,0)),IFERROR(INDEX('Calculations'!$HJ$13:$HJ$512,MATCH('Calculations'!IJ189,'Calculations'!$HF$13:$HF$512,0)),'Calculations'!IJ189))))</x:f>
      </x:c>
      <x:c r="EP189" s="4" t="n">
        <x:f>IF(AND('Calculations'!EM189&lt;&gt;"",'Calculations'!HF189='Calculations'!IJ189),1,0)</x:f>
        <x:v>0</x:v>
      </x:c>
      <x:c r="EQ189" s="4"/>
      <x:c r="ER189" s="4"/>
      <x:c r="ES189" s="4"/>
      <x:c r="ET189" s="4"/>
      <x:c r="EU189" s="4"/>
      <x:c r="EV189" s="4"/>
      <x:c r="EW189" s="4"/>
      <x:c r="EX189" s="4"/>
      <x:c r="EY189" s="4"/>
      <x:c r="EZ189" s="4"/>
      <x:c r="FA189" s="4"/>
      <x:c r="FB189" s="4"/>
      <x:c r="FC189" s="4"/>
      <x:c r="FD189" s="4"/>
      <x:c r="FE189" s="4"/>
      <x:c r="FF189" s="4"/>
      <x:c r="FG189" s="4"/>
      <x:c r="FH189" s="4"/>
      <x:c r="FI189" s="4"/>
      <x:c r="FJ189" s="4"/>
      <x:c r="FK189" s="4"/>
      <x:c r="FL189" s="4"/>
      <x:c r="FM189" s="4"/>
      <x:c r="FN189" s="4"/>
      <x:c r="FO189" s="4"/>
      <x:c r="GA189" s="71"/>
      <x:c r="GB189" s="71"/>
      <x:c r="GC189" s="71"/>
      <x:c r="GD189" s="71"/>
      <x:c r="GE189" s="71"/>
      <x:c r="GF189" s="71"/>
      <x:c r="GG189" s="71"/>
      <x:c r="GH189" s="71"/>
      <x:c r="GI189" s="71"/>
      <x:c r="GJ189" s="71"/>
      <x:c r="GK189" s="71"/>
      <x:c r="GL189" s="71"/>
      <x:c r="GM189" s="71"/>
      <x:c r="GN189" s="71"/>
      <x:c r="GO189" s="71"/>
      <x:c r="GP189" s="71"/>
      <x:c r="GQ189" s="71"/>
      <x:c r="GR189" s="71"/>
      <x:c r="GS189" s="71"/>
      <x:c r="GT189" s="71"/>
      <x:c r="GU189" s="71"/>
      <x:c r="GV189" s="71"/>
      <x:c r="GW189" s="71"/>
      <x:c r="GX189" s="71"/>
      <x:c r="GY189" s="71"/>
      <x:c r="GZ189" s="71"/>
      <x:c r="HA189" s="71"/>
      <x:c r="HB189" s="71"/>
      <x:c r="HC189" s="71"/>
      <x:c r="HD189" s="71"/>
      <x:c r="HE189" t="str">
        <x:f>IF('Calculations'!EM189="","",IF(IFERROR(IF(INDEX(INDIRECT("'WCM Calibration Final'!$A$1:$A$2000"),'Calculations'!$EM189)="","",TRIM(INDEX(INDIRECT("'WCM Calibration Final'!$A$1:$A$2000"),'Calculations'!$EM189)&amp;"")),"")&lt;&gt;"","G:"&amp;IFERROR(TEXT(1*INDEX(INDIRECT("'WCM Calibration Final'!$A$1:$A$2000"),'Calculations'!$EM189),"0"),UPPER(IFERROR(IF(INDEX(INDIRECT("'WCM Calibration Final'!$A$1:$A$2000"),'Calculations'!$EM189)="","",TRIM(INDEX(INDIRECT("'WCM Calibration Final'!$A$1:$A$2000"),'Calculations'!$EM189)&amp;"")),""))),IF(IFERROR(IF(INDEX(INDIRECT("'WCM Calibration Final'!$C$1:$C$2000"),'Calculations'!$EM189)="","",TRIM(INDEX(INDIRECT("'WCM Calibration Final'!$C$1:$C$2000"),'Calculations'!$EM189)&amp;"")),"")&lt;&gt;"","S:"&amp;UPPER(IFERROR(IF(INDEX(INDIRECT("'WCM Calibration Final'!$C$1:$C$2000"),'Calculations'!$EM189)="","",TRIM(INDEX(INDIRECT("'WCM Calibration Final'!$C$1:$C$2000"),'Calculations'!$EM189)&amp;"")),"")),"R:"&amp;'Calculations'!EM189)))</x:f>
      </x:c>
      <x:c r="HF189" t="str">
        <x:f>IF('Calculations'!EM189="","",IF(IFERROR(IF(INDEX(INDIRECT("'WCM Calibration Final'!$D$1:$D$2000"),'Calculations'!$EM189)="","",TRIM(INDEX(INDIRECT("'WCM Calibration Final'!$D$1:$D$2000"),'Calculations'!$EM189)&amp;"")),"")&lt;&gt;"","G:"&amp;IFERROR(TEXT(1*INDEX(INDIRECT("'WCM Calibration Final'!$D$1:$D$2000"),'Calculations'!$EM189),"0"),UPPER(IFERROR(IF(INDEX(INDIRECT("'WCM Calibration Final'!$D$1:$D$2000"),'Calculations'!$EM189)="","",TRIM(INDEX(INDIRECT("'WCM Calibration Final'!$D$1:$D$2000"),'Calculations'!$EM189)&amp;"")),""))),IF(IFERROR(IF(INDEX(INDIRECT("'WCM Calibration Final'!$E$1:$E$2000"),'Calculations'!$EM189)="","",TRIM(INDEX(INDIRECT("'WCM Calibration Final'!$E$1:$E$2000"),'Calculations'!$EM189)&amp;"")),"")="","",IF(COUNTIF('Calculations'!$HG$13:$HG$512,"="&amp;SUBSTITUTE(SUBSTITUTE(SUBSTITUTE(IFERROR(IF(INDEX(INDIRECT("'WCM Calibration Final'!$E$1:$E$2000"),'Calculations'!$EM189)="","",TRIM(INDEX(INDIRECT("'WCM Calibration Final'!$E$1:$E$2000"),'Calculations'!$EM189)&amp;"")),""),"~","~~"),"*","~*"),"?","~?"))=1,INDEX('Calculations'!$HE$13:$HE$512,MATCH(IFERROR(IF(INDEX(INDIRECT("'WCM Calibration Final'!$E$1:$E$2000"),'Calculations'!$EM189)="","",TRIM(INDEX(INDIRECT("'WCM Calibration Final'!$E$1:$E$2000"),'Calculations'!$EM189)&amp;"")),""),'Calculations'!$HG$13:$HG$512,0)),IF(COUNTIF('Calculations'!$HG$13:$HG$512,"="&amp;SUBSTITUTE(SUBSTITUTE(SUBSTITUTE(IFERROR(IF(INDEX(INDIRECT("'WCM Calibration Final'!$E$1:$E$2000"),'Calculations'!$EM189)="","",TRIM(INDEX(INDIRECT("'WCM Calibration Final'!$E$1:$E$2000"),'Calculations'!$EM189)&amp;"")),""),"~","~~"),"*","~*"),"?","~?"))&gt;1,"!AMBIG","X:"&amp;IFERROR(IF(INDEX(INDIRECT("'WCM Calibration Final'!$E$1:$E$2000"),'Calculations'!$EM189)="","",TRIM(INDEX(INDIRECT("'WCM Calibration Final'!$E$1:$E$2000"),'Calculations'!$EM189)&amp;"")),""))))))</x:f>
      </x:c>
      <x:c r="HG189" t="str">
        <x:f>IF('Calculations'!EM189="","",IFERROR(IF(INDEX(INDIRECT("'WCM Calibration Final'!$B$1:$B$2000"),'Calculations'!$EM189)="","",TRIM(INDEX(INDIRECT("'WCM Calibration Final'!$B$1:$B$2000"),'Calculations'!$EM189)&amp;"")),""))</x:f>
      </x:c>
      <x:c r="HH189" t="n">
        <x:f>IF(AND('Calculations'!JC189&gt;0,COUNTIF('Calculations'!$HF$12:HF189,"="&amp;SUBSTITUTE(SUBSTITUTE(SUBSTITUTE('Calculations'!HF189,"~","~~"),"*","~*"),"?","~?"))=1),MAX('Calculations'!$HH$12:HH188)+1,0)</x:f>
        <x:v>0</x:v>
      </x:c>
      <x:c r="HI189" t="n">
        <x:f>IF(AND('Calculations'!HN189&lt;&gt;"",COUNTIF('Calculations'!$HN$12:HN189,"="&amp;SUBSTITUTE(SUBSTITUTE(SUBSTITUTE('Calculations'!HN189,"~","~~"),"*","~*"),"?","~?"))=1),MAX('Calculations'!$HI$12:HI188)+1,0)</x:f>
        <x:v>0</x:v>
      </x:c>
      <x:c r="HJ189" t="str">
        <x:f>IF('Calculations'!HF189="","",IF(COUNTIF('Calculations'!$HE$13:$HE$512,"="&amp;SUBSTITUTE(SUBSTITUTE(SUBSTITUTE('Calculations'!HF189,"~","~~"),"*","~*"),"?","~?"))=1,INDEX('Calculations'!$HK$13:$HK$512,MATCH('Calculations'!HF189,'Calculations'!$HE$13:$HE$512,0)),IFERROR(IF(INDEX(INDIRECT("'WCM Calibration Final'!$E$1:$E$2000"),'Calculations'!$EM189)="","",TRIM(INDEX(INDIRECT("'WCM Calibration Final'!$E$1:$E$2000"),'Calculations'!$EM189)&amp;"")),"")&amp;" ["&amp;'Calculations'!HF189&amp;"]"))</x:f>
      </x:c>
      <x:c r="HK189" t="str">
        <x:f>IF('Calculations'!EM189="","",'Calculations'!HG189&amp;" ["&amp;'Calculations'!HE189&amp;"]")</x:f>
      </x:c>
      <x:c r="HL189" t="n">
        <x:f>IF('Calculations'!EM189="",0,IF(OR('Calculations'!II189&lt;&gt;"",COUNTIF('Calculations'!$HE$13:$HE$512,"="&amp;SUBSTITUTE(SUBSTITUTE(SUBSTITUTE('Calculations'!HE189,"~","~~"),"*","~*"),"?","~?"))&gt;1),1,0))</x:f>
        <x:v>0</x:v>
      </x:c>
      <x:c r="HM189" t="str">
        <x:f>IF('Calculations'!EM189="","",IF('Calculations'!HL189=1,"!UNRESOLVED",IF('Calculations'!IH189&lt;&gt;"",'Calculations'!IH189,IF('Calculations'!IG189&lt;&gt;"",'Calculations'!IG189,IF('Calculations'!IF189&lt;&gt;"",'Calculations'!IF189,IF('Calculations'!IE189&lt;&gt;"",'Calculations'!IE189,IF('Calculations'!ID189&lt;&gt;"",'Calculations'!ID189,IF('Calculations'!IC189&lt;&gt;"",'Calculations'!IC189,IF('Calculations'!IB189&lt;&gt;"",'Calculations'!IB189,IF('Calculations'!IA189&lt;&gt;"",'Calculations'!IA189,IF('Calculations'!HZ189&lt;&gt;"",'Calculations'!HZ189,IF('Calculations'!HY189&lt;&gt;"",'Calculations'!HY189,IF('Calculations'!HX189&lt;&gt;"",'Calculations'!HX189,IF('Calculations'!HW189&lt;&gt;"",'Calculations'!HW189,IF('Calculations'!HV189&lt;&gt;"",'Calculations'!HV189,IF('Calculations'!HU189&lt;&gt;"",'Calculations'!HU189,IF('Calculations'!HT189&lt;&gt;"",'Calculations'!HT189,IF('Calculations'!HS189&lt;&gt;"",'Calculations'!HS189,IF('Calculations'!HR189&lt;&gt;"",'Calculations'!HR189,IF('Calculations'!HQ189&lt;&gt;"",'Calculations'!HQ189,IF('Calculations'!HP189&lt;&gt;"",'Calculations'!HP189,IF('Calculations'!HO189&lt;&gt;"",'Calculations'!HO189,'Calculations'!HE189))))))))))))))))))))))</x:f>
      </x:c>
      <x:c r="HN189" t="str">
        <x:f>IF('Calculations'!EM189="","",IF(IFERROR(IF(INDEX(INDIRECT("'WCM Calibration Final'!$F$1:$F$2000"),'Calculations'!$EM189)="","",TRIM(INDEX(INDIRECT("'WCM Calibration Final'!$F$1:$F$2000"),'Calculations'!$EM189)&amp;"")),"")="","(Blank)",IFERROR(IF(INDEX(INDIRECT("'WCM Calibration Final'!$F$1:$F$2000"),'Calculations'!$EM189)="","",TRIM(INDEX(INDIRECT("'WCM Calibration Final'!$F$1:$F$2000"),'Calculations'!$EM189)&amp;"")),"")))</x:f>
      </x:c>
      <x:c r="HO189" t="str">
        <x:f>'Calculations'!HF189</x:f>
      </x:c>
      <x:c r="HP189" t="str">
        <x:f>IF('Calculations'!HO189="","",IF('Calculations'!HO189="!AMBIG","!AMBIG",IF(COUNTIF('Calculations'!$HE$13:$HE$512,"="&amp;SUBSTITUTE(SUBSTITUTE(SUBSTITUTE('Calculations'!HO189,"~","~~"),"*","~*"),"?","~?"))&gt;1,"!AMBIG",IFERROR(INDEX('Calculations'!$HF$13:$HF$512,MATCH('Calculations'!HO189,'Calculations'!$HE$13:$HE$512,0)),""))))</x:f>
      </x:c>
      <x:c r="HQ189" t="str">
        <x:f>IF('Calculations'!HP189="","",IF('Calculations'!HP189="!AMBIG","!AMBIG",IF(COUNTIF('Calculations'!$HE$13:$HE$512,"="&amp;SUBSTITUTE(SUBSTITUTE(SUBSTITUTE('Calculations'!HP189,"~","~~"),"*","~*"),"?","~?"))&gt;1,"!AMBIG",IFERROR(INDEX('Calculations'!$HF$13:$HF$512,MATCH('Calculations'!HP189,'Calculations'!$HE$13:$HE$512,0)),""))))</x:f>
      </x:c>
      <x:c r="HR189" t="str">
        <x:f>IF('Calculations'!HQ189="","",IF('Calculations'!HQ189="!AMBIG","!AMBIG",IF(COUNTIF('Calculations'!$HE$13:$HE$512,"="&amp;SUBSTITUTE(SUBSTITUTE(SUBSTITUTE('Calculations'!HQ189,"~","~~"),"*","~*"),"?","~?"))&gt;1,"!AMBIG",IFERROR(INDEX('Calculations'!$HF$13:$HF$512,MATCH('Calculations'!HQ189,'Calculations'!$HE$13:$HE$512,0)),""))))</x:f>
      </x:c>
      <x:c r="HS189" t="str">
        <x:f>IF('Calculations'!HR189="","",IF('Calculations'!HR189="!AMBIG","!AMBIG",IF(COUNTIF('Calculations'!$HE$13:$HE$512,"="&amp;SUBSTITUTE(SUBSTITUTE(SUBSTITUTE('Calculations'!HR189,"~","~~"),"*","~*"),"?","~?"))&gt;1,"!AMBIG",IFERROR(INDEX('Calculations'!$HF$13:$HF$512,MATCH('Calculations'!HR189,'Calculations'!$HE$13:$HE$512,0)),""))))</x:f>
      </x:c>
      <x:c r="HT189" t="str">
        <x:f>IF('Calculations'!HS189="","",IF('Calculations'!HS189="!AMBIG","!AMBIG",IF(COUNTIF('Calculations'!$HE$13:$HE$512,"="&amp;SUBSTITUTE(SUBSTITUTE(SUBSTITUTE('Calculations'!HS189,"~","~~"),"*","~*"),"?","~?"))&gt;1,"!AMBIG",IFERROR(INDEX('Calculations'!$HF$13:$HF$512,MATCH('Calculations'!HS189,'Calculations'!$HE$13:$HE$512,0)),""))))</x:f>
      </x:c>
      <x:c r="HU189" t="str">
        <x:f>IF('Calculations'!HT189="","",IF('Calculations'!HT189="!AMBIG","!AMBIG",IF(COUNTIF('Calculations'!$HE$13:$HE$512,"="&amp;SUBSTITUTE(SUBSTITUTE(SUBSTITUTE('Calculations'!HT189,"~","~~"),"*","~*"),"?","~?"))&gt;1,"!AMBIG",IFERROR(INDEX('Calculations'!$HF$13:$HF$512,MATCH('Calculations'!HT189,'Calculations'!$HE$13:$HE$512,0)),""))))</x:f>
      </x:c>
      <x:c r="HV189" t="str">
        <x:f>IF('Calculations'!HU189="","",IF('Calculations'!HU189="!AMBIG","!AMBIG",IF(COUNTIF('Calculations'!$HE$13:$HE$512,"="&amp;SUBSTITUTE(SUBSTITUTE(SUBSTITUTE('Calculations'!HU189,"~","~~"),"*","~*"),"?","~?"))&gt;1,"!AMBIG",IFERROR(INDEX('Calculations'!$HF$13:$HF$512,MATCH('Calculations'!HU189,'Calculations'!$HE$13:$HE$512,0)),""))))</x:f>
      </x:c>
      <x:c r="HW189" t="str">
        <x:f>IF('Calculations'!HV189="","",IF('Calculations'!HV189="!AMBIG","!AMBIG",IF(COUNTIF('Calculations'!$HE$13:$HE$512,"="&amp;SUBSTITUTE(SUBSTITUTE(SUBSTITUTE('Calculations'!HV189,"~","~~"),"*","~*"),"?","~?"))&gt;1,"!AMBIG",IFERROR(INDEX('Calculations'!$HF$13:$HF$512,MATCH('Calculations'!HV189,'Calculations'!$HE$13:$HE$512,0)),""))))</x:f>
      </x:c>
      <x:c r="HX189" t="str">
        <x:f>IF('Calculations'!HW189="","",IF('Calculations'!HW189="!AMBIG","!AMBIG",IF(COUNTIF('Calculations'!$HE$13:$HE$512,"="&amp;SUBSTITUTE(SUBSTITUTE(SUBSTITUTE('Calculations'!HW189,"~","~~"),"*","~*"),"?","~?"))&gt;1,"!AMBIG",IFERROR(INDEX('Calculations'!$HF$13:$HF$512,MATCH('Calculations'!HW189,'Calculations'!$HE$13:$HE$512,0)),""))))</x:f>
      </x:c>
      <x:c r="HY189" t="str">
        <x:f>IF('Calculations'!HX189="","",IF('Calculations'!HX189="!AMBIG","!AMBIG",IF(COUNTIF('Calculations'!$HE$13:$HE$512,"="&amp;SUBSTITUTE(SUBSTITUTE(SUBSTITUTE('Calculations'!HX189,"~","~~"),"*","~*"),"?","~?"))&gt;1,"!AMBIG",IFERROR(INDEX('Calculations'!$HF$13:$HF$512,MATCH('Calculations'!HX189,'Calculations'!$HE$13:$HE$512,0)),""))))</x:f>
      </x:c>
      <x:c r="HZ189" t="str">
        <x:f>IF('Calculations'!HY189="","",IF('Calculations'!HY189="!AMBIG","!AMBIG",IF(COUNTIF('Calculations'!$HE$13:$HE$512,"="&amp;SUBSTITUTE(SUBSTITUTE(SUBSTITUTE('Calculations'!HY189,"~","~~"),"*","~*"),"?","~?"))&gt;1,"!AMBIG",IFERROR(INDEX('Calculations'!$HF$13:$HF$512,MATCH('Calculations'!HY189,'Calculations'!$HE$13:$HE$512,0)),""))))</x:f>
      </x:c>
      <x:c r="IA189" t="str">
        <x:f>IF('Calculations'!HZ189="","",IF('Calculations'!HZ189="!AMBIG","!AMBIG",IF(COUNTIF('Calculations'!$HE$13:$HE$512,"="&amp;SUBSTITUTE(SUBSTITUTE(SUBSTITUTE('Calculations'!HZ189,"~","~~"),"*","~*"),"?","~?"))&gt;1,"!AMBIG",IFERROR(INDEX('Calculations'!$HF$13:$HF$512,MATCH('Calculations'!HZ189,'Calculations'!$HE$13:$HE$512,0)),""))))</x:f>
      </x:c>
      <x:c r="IB189" t="str">
        <x:f>IF('Calculations'!IA189="","",IF('Calculations'!IA189="!AMBIG","!AMBIG",IF(COUNTIF('Calculations'!$HE$13:$HE$512,"="&amp;SUBSTITUTE(SUBSTITUTE(SUBSTITUTE('Calculations'!IA189,"~","~~"),"*","~*"),"?","~?"))&gt;1,"!AMBIG",IFERROR(INDEX('Calculations'!$HF$13:$HF$512,MATCH('Calculations'!IA189,'Calculations'!$HE$13:$HE$512,0)),""))))</x:f>
      </x:c>
      <x:c r="IC189" t="str">
        <x:f>IF('Calculations'!IB189="","",IF('Calculations'!IB189="!AMBIG","!AMBIG",IF(COUNTIF('Calculations'!$HE$13:$HE$512,"="&amp;SUBSTITUTE(SUBSTITUTE(SUBSTITUTE('Calculations'!IB189,"~","~~"),"*","~*"),"?","~?"))&gt;1,"!AMBIG",IFERROR(INDEX('Calculations'!$HF$13:$HF$512,MATCH('Calculations'!IB189,'Calculations'!$HE$13:$HE$512,0)),""))))</x:f>
      </x:c>
      <x:c r="ID189" t="str">
        <x:f>IF('Calculations'!IC189="","",IF('Calculations'!IC189="!AMBIG","!AMBIG",IF(COUNTIF('Calculations'!$HE$13:$HE$512,"="&amp;SUBSTITUTE(SUBSTITUTE(SUBSTITUTE('Calculations'!IC189,"~","~~"),"*","~*"),"?","~?"))&gt;1,"!AMBIG",IFERROR(INDEX('Calculations'!$HF$13:$HF$512,MATCH('Calculations'!IC189,'Calculations'!$HE$13:$HE$512,0)),""))))</x:f>
      </x:c>
      <x:c r="IE189" t="str">
        <x:f>IF('Calculations'!ID189="","",IF('Calculations'!ID189="!AMBIG","!AMBIG",IF(COUNTIF('Calculations'!$HE$13:$HE$512,"="&amp;SUBSTITUTE(SUBSTITUTE(SUBSTITUTE('Calculations'!ID189,"~","~~"),"*","~*"),"?","~?"))&gt;1,"!AMBIG",IFERROR(INDEX('Calculations'!$HF$13:$HF$512,MATCH('Calculations'!ID189,'Calculations'!$HE$13:$HE$512,0)),""))))</x:f>
      </x:c>
      <x:c r="IF189" t="str">
        <x:f>IF('Calculations'!IE189="","",IF('Calculations'!IE189="!AMBIG","!AMBIG",IF(COUNTIF('Calculations'!$HE$13:$HE$512,"="&amp;SUBSTITUTE(SUBSTITUTE(SUBSTITUTE('Calculations'!IE189,"~","~~"),"*","~*"),"?","~?"))&gt;1,"!AMBIG",IFERROR(INDEX('Calculations'!$HF$13:$HF$512,MATCH('Calculations'!IE189,'Calculations'!$HE$13:$HE$512,0)),""))))</x:f>
      </x:c>
      <x:c r="IG189" t="str">
        <x:f>IF('Calculations'!IF189="","",IF('Calculations'!IF189="!AMBIG","!AMBIG",IF(COUNTIF('Calculations'!$HE$13:$HE$512,"="&amp;SUBSTITUTE(SUBSTITUTE(SUBSTITUTE('Calculations'!IF189,"~","~~"),"*","~*"),"?","~?"))&gt;1,"!AMBIG",IFERROR(INDEX('Calculations'!$HF$13:$HF$512,MATCH('Calculations'!IF189,'Calculations'!$HE$13:$HE$512,0)),""))))</x:f>
      </x:c>
      <x:c r="IH189" t="str">
        <x:f>IF('Calculations'!IG189="","",IF('Calculations'!IG189="!AMBIG","!AMBIG",IF(COUNTIF('Calculations'!$HE$13:$HE$512,"="&amp;SUBSTITUTE(SUBSTITUTE(SUBSTITUTE('Calculations'!IG189,"~","~~"),"*","~*"),"?","~?"))&gt;1,"!AMBIG",IFERROR(INDEX('Calculations'!$HF$13:$HF$512,MATCH('Calculations'!IG189,'Calculations'!$HE$13:$HE$512,0)),""))))</x:f>
      </x:c>
      <x:c r="II189" t="str">
        <x:f>IF('Calculations'!IH189="","",IF('Calculations'!IH189="!AMBIG","!AMBIG",IF(COUNTIF('Calculations'!$HE$13:$HE$512,"="&amp;SUBSTITUTE(SUBSTITUTE(SUBSTITUTE('Calculations'!IH189,"~","~~"),"*","~*"),"?","~?"))&gt;1,"!AMBIG",IFERROR(INDEX('Calculations'!$HF$13:$HF$512,MATCH('Calculations'!IH189,'Calculations'!$HE$13:$HE$512,0)),""))))</x:f>
      </x:c>
      <x:c r="IJ189" t="str">
        <x:f>IF('Calculations'!EM189="","",IF('Calculations'!$EF$2="All",'Calculations'!HM189,IF('Calculations'!HL189=1,"",IFERROR(IF(MATCH('Calculations'!$EF$2,'Calculations'!HO189:II189,0)=1,'Calculations'!HE189,INDEX('Calculations'!HO189:II189,1,MATCH('Calculations'!$EF$2,'Calculations'!HO189:II189,0)-1)),""))))</x:f>
      </x:c>
      <x:c r="IK189" t="n">
        <x:f>IF(AND('Calculations'!EM189&lt;&gt;"",'Calculations'!$EF$2&lt;&gt;"All",'Calculations'!HF189='Calculations'!$EF$2,'Calculations'!HL189=0,'Calculations'!JD189&gt;0),MAX('Calculations'!$IK$12:IK188)+1,0)</x:f>
        <x:v>0</x:v>
      </x:c>
      <x:c r="JA189" t="n">
        <x:f>IF(OR(IFERROR(INDIRECT("'WCM Calibration Final'!$A$189")&lt;&gt;"",FALSE),IFERROR(INDIRECT("'WCM Calibration Final'!$B$189")&lt;&gt;"",FALSE),IFERROR(INDIRECT("'WCM Calibration Final'!$C$189")&lt;&gt;"",FALSE)),189,0)</x:f>
        <x:v>0</x:v>
      </x:c>
      <x:c r="JB189" t="n">
        <x:f>'Calculations'!JB188+IF('Calculations'!JA189&gt;0,1,0)</x:f>
        <x:v>0</x:v>
      </x:c>
      <x:c r="JC189" t="n">
        <x:f>IF(OR('Calculations'!HF189="",'Calculations'!HF189="!AMBIG"),0,IF('Dashboard'!$B$7="All",1,COUNTIFS('Calculations'!$HO$13:$HO$512,"="&amp;SUBSTITUTE(SUBSTITUTE(SUBSTITUTE('Calculations'!HF189,"~","~~"),"*","~*"),"?","~?"),'Calculations'!$HN$13:$HN$512,"="&amp;SUBSTITUTE(SUBSTITUTE(SUBSTITUTE('Dashboard'!$B$7,"~","~~"),"*","~*"),"?","~?"))+COUNTIFS('Calculations'!$HP$13:$HP$512,"="&amp;SUBSTITUTE(SUBSTITUTE(SUBSTITUTE('Calculations'!HF189,"~","~~"),"*","~*"),"?","~?"),'Calculations'!$HN$13:$HN$512,"="&amp;SUBSTITUTE(SUBSTITUTE(SUBSTITUTE('Dashboard'!$B$7,"~","~~"),"*","~*"),"?","~?"))+COUNTIFS('Calculations'!$HQ$13:$HQ$512,"="&amp;SUBSTITUTE(SUBSTITUTE(SUBSTITUTE('Calculations'!HF189,"~","~~"),"*","~*"),"?","~?"),'Calculations'!$HN$13:$HN$512,"="&amp;SUBSTITUTE(SUBSTITUTE(SUBSTITUTE('Dashboard'!$B$7,"~","~~"),"*","~*"),"?","~?"))+COUNTIFS('Calculations'!$HR$13:$HR$512,"="&amp;SUBSTITUTE(SUBSTITUTE(SUBSTITUTE('Calculations'!HF189,"~","~~"),"*","~*"),"?","~?"),'Calculations'!$HN$13:$HN$512,"="&amp;SUBSTITUTE(SUBSTITUTE(SUBSTITUTE('Dashboard'!$B$7,"~","~~"),"*","~*"),"?","~?"))+COUNTIFS('Calculations'!$HS$13:$HS$512,"="&amp;SUBSTITUTE(SUBSTITUTE(SUBSTITUTE('Calculations'!HF189,"~","~~"),"*","~*"),"?","~?"),'Calculations'!$HN$13:$HN$512,"="&amp;SUBSTITUTE(SUBSTITUTE(SUBSTITUTE('Dashboard'!$B$7,"~","~~"),"*","~*"),"?","~?"))+COUNTIFS('Calculations'!$HT$13:$HT$512,"="&amp;SUBSTITUTE(SUBSTITUTE(SUBSTITUTE('Calculations'!HF189,"~","~~"),"*","~*"),"?","~?"),'Calculations'!$HN$13:$HN$512,"="&amp;SUBSTITUTE(SUBSTITUTE(SUBSTITUTE('Dashboard'!$B$7,"~","~~"),"*","~*"),"?","~?"))+COUNTIFS('Calculations'!$HU$13:$HU$512,"="&amp;SUBSTITUTE(SUBSTITUTE(SUBSTITUTE('Calculations'!HF189,"~","~~"),"*","~*"),"?","~?"),'Calculations'!$HN$13:$HN$512,"="&amp;SUBSTITUTE(SUBSTITUTE(SUBSTITUTE('Dashboard'!$B$7,"~","~~"),"*","~*"),"?","~?"))+COUNTIFS('Calculations'!$HV$13:$HV$512,"="&amp;SUBSTITUTE(SUBSTITUTE(SUBSTITUTE('Calculations'!HF189,"~","~~"),"*","~*"),"?","~?"),'Calculations'!$HN$13:$HN$512,"="&amp;SUBSTITUTE(SUBSTITUTE(SUBSTITUTE('Dashboard'!$B$7,"~","~~"),"*","~*"),"?","~?"))+COUNTIFS('Calculations'!$HW$13:$HW$512,"="&amp;SUBSTITUTE(SUBSTITUTE(SUBSTITUTE('Calculations'!HF189,"~","~~"),"*","~*"),"?","~?"),'Calculations'!$HN$13:$HN$512,"="&amp;SUBSTITUTE(SUBSTITUTE(SUBSTITUTE('Dashboard'!$B$7,"~","~~"),"*","~*"),"?","~?"))+COUNTIFS('Calculations'!$HX$13:$HX$512,"="&amp;SUBSTITUTE(SUBSTITUTE(SUBSTITUTE('Calculations'!HF189,"~","~~"),"*","~*"),"?","~?"),'Calculations'!$HN$13:$HN$512,"="&amp;SUBSTITUTE(SUBSTITUTE(SUBSTITUTE('Dashboard'!$B$7,"~","~~"),"*","~*"),"?","~?"))+COUNTIFS('Calculations'!$HY$13:$HY$512,"="&amp;SUBSTITUTE(SUBSTITUTE(SUBSTITUTE('Calculations'!HF189,"~","~~"),"*","~*"),"?","~?"),'Calculations'!$HN$13:$HN$512,"="&amp;SUBSTITUTE(SUBSTITUTE(SUBSTITUTE('Dashboard'!$B$7,"~","~~"),"*","~*"),"?","~?"))+COUNTIFS('Calculations'!$HZ$13:$HZ$512,"="&amp;SUBSTITUTE(SUBSTITUTE(SUBSTITUTE('Calculations'!HF189,"~","~~"),"*","~*"),"?","~?"),'Calculations'!$HN$13:$HN$512,"="&amp;SUBSTITUTE(SUBSTITUTE(SUBSTITUTE('Dashboard'!$B$7,"~","~~"),"*","~*"),"?","~?"))+COUNTIFS('Calculations'!$IA$13:$IA$512,"="&amp;SUBSTITUTE(SUBSTITUTE(SUBSTITUTE('Calculations'!HF189,"~","~~"),"*","~*"),"?","~?"),'Calculations'!$HN$13:$HN$512,"="&amp;SUBSTITUTE(SUBSTITUTE(SUBSTITUTE('Dashboard'!$B$7,"~","~~"),"*","~*"),"?","~?"))+COUNTIFS('Calculations'!$IB$13:$IB$512,"="&amp;SUBSTITUTE(SUBSTITUTE(SUBSTITUTE('Calculations'!HF189,"~","~~"),"*","~*"),"?","~?"),'Calculations'!$HN$13:$HN$512,"="&amp;SUBSTITUTE(SUBSTITUTE(SUBSTITUTE('Dashboard'!$B$7,"~","~~"),"*","~*"),"?","~?"))+COUNTIFS('Calculations'!$IC$13:$IC$512,"="&amp;SUBSTITUTE(SUBSTITUTE(SUBSTITUTE('Calculations'!HF189,"~","~~"),"*","~*"),"?","~?"),'Calculations'!$HN$13:$HN$512,"="&amp;SUBSTITUTE(SUBSTITUTE(SUBSTITUTE('Dashboard'!$B$7,"~","~~"),"*","~*"),"?","~?"))+COUNTIFS('Calculations'!$ID$13:$ID$512,"="&amp;SUBSTITUTE(SUBSTITUTE(SUBSTITUTE('Calculations'!HF189,"~","~~"),"*","~*"),"?","~?"),'Calculations'!$HN$13:$HN$512,"="&amp;SUBSTITUTE(SUBSTITUTE(SUBSTITUTE('Dashboard'!$B$7,"~","~~"),"*","~*"),"?","~?"))+COUNTIFS('Calculations'!$IE$13:$IE$512,"="&amp;SUBSTITUTE(SUBSTITUTE(SUBSTITUTE('Calculations'!HF189,"~","~~"),"*","~*"),"?","~?"),'Calculations'!$HN$13:$HN$512,"="&amp;SUBSTITUTE(SUBSTITUTE(SUBSTITUTE('Dashboard'!$B$7,"~","~~"),"*","~*"),"?","~?"))+COUNTIFS('Calculations'!$IF$13:$IF$512,"="&amp;SUBSTITUTE(SUBSTITUTE(SUBSTITUTE('Calculations'!HF189,"~","~~"),"*","~*"),"?","~?"),'Calculations'!$HN$13:$HN$512,"="&amp;SUBSTITUTE(SUBSTITUTE(SUBSTITUTE('Dashboard'!$B$7,"~","~~"),"*","~*"),"?","~?"))+COUNTIFS('Calculations'!$IG$13:$IG$512,"="&amp;SUBSTITUTE(SUBSTITUTE(SUBSTITUTE('Calculations'!HF189,"~","~~"),"*","~*"),"?","~?"),'Calculations'!$HN$13:$HN$512,"="&amp;SUBSTITUTE(SUBSTITUTE(SUBSTITUTE('Dashboard'!$B$7,"~","~~"),"*","~*"),"?","~?"))+COUNTIFS('Calculations'!$IH$13:$IH$512,"="&amp;SUBSTITUTE(SUBSTITUTE(SUBSTITUTE('Calculations'!HF189,"~","~~"),"*","~*"),"?","~?"),'Calculations'!$HN$13:$HN$512,"="&amp;SUBSTITUTE(SUBSTITUTE(SUBSTITUTE('Dashboard'!$B$7,"~","~~"),"*","~*"),"?","~?"))))</x:f>
        <x:v>0</x:v>
      </x:c>
      <x:c r="JD189" t="n">
        <x:f>IF('Calculations'!EM189="",0,IF('Dashboard'!$B$7="All",1,IF('Calculations'!HN189='Dashboard'!$B$7,1,0)+IFERROR(INDEX('Calculations'!$JC$13:$JC$512,MATCH('Calculations'!HE189,'Calculations'!$HF$13:$HF$512,0)),0)))</x:f>
        <x:v>0</x:v>
      </x:c>
      <x:c r="JE189" t="n">
        <x:f>IF(AND('Calculations'!EM189&lt;&gt;"",'Calculations'!$JJ$2&lt;&gt;"All",'Calculations'!$JJ$2&lt;&gt;"",'Calculations'!HF189='Calculations'!$JJ$2,'Calculations'!HL189=0,'Calculations'!JD189&gt;0),MAX('Calculations'!$JE$12:JE188)+1,0)</x:f>
        <x:v>0</x:v>
      </x:c>
      <x:c r="JF189" t="str">
        <x:f>IF('Calculations'!EM189="","",IFERROR(IF(INDEX(INDIRECT("'WCM Calibration Final'!$G$1:$G$2000"),'Calculations'!$EM189)="","",TRIM(INDEX(INDIRECT("'WCM Calibration Final'!$G$1:$G$2000"),'Calculations'!$EM189)&amp;"")),""))</x:f>
      </x:c>
      <x:c r="JQ189" t="n">
        <x:f>IF(OR('Calculations'!BM189=0,NOT('Calculations'!$AG$2),'Calculations'!$AG$8&gt;0),0,IF(OR('Dashboard'!$B$7="All",'Calculations'!HN189='Dashboard'!$B$7),IF('Calculations'!$JJ$2="All",1,IF(AND('Calculations'!HF189='Calculations'!$JJ$2,'Calculations'!HL189=0),1,0)),0))</x:f>
        <x:v>0</x:v>
      </x:c>
    </x:row>
    <x:row r="190">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t="n">
        <x:f>IF('Calculations'!$EM190="",0,IF(OR(IFERROR(INDEX(INDIRECT("'WCM Calibration Final'!$A$1:$A$2000"),'Calculations'!$EM190)&lt;&gt;"",FALSE),IFERROR(INDEX(INDIRECT("'WCM Calibration Final'!$B$1:$B$2000"),'Calculations'!$EM190)&lt;&gt;"",FALSE),IFERROR(INDEX(INDIRECT("'WCM Calibration Final'!$C$1:$C$2000"),'Calculations'!$EM190)&lt;&gt;"",FALSE)),1,0))</x:f>
        <x:v>0</x:v>
      </x:c>
      <x:c r="BN190" s="4" t="n">
        <x:f>IF(AND('Calculations'!BM190=1,'Calculations'!$AG$2,'Calculations'!$EN190=1),1,0)</x:f>
        <x:v>0</x:v>
      </x:c>
      <x:c r="BO190" s="4" t="str">
        <x:f>IF('Calculations'!BM190=0,"",IFERROR(IF(AND(VALUE(INDEX(INDIRECT("'WCM Calibration Final'!$K$1:$K$2000"),'Calculations'!$EM190))&gt;=1,VALUE(INDEX(INDIRECT("'WCM Calibration Final'!$K$1:$K$2000"),'Calculations'!$EM190))&lt;=4,MOD(VALUE(INDEX(INDIRECT("'WCM Calibration Final'!$K$1:$K$2000"),'Calculations'!$EM190)),1)=0),VALUE(INDEX(INDIRECT("'WCM Calibration Final'!$K$1:$K$2000"),'Calculations'!$EM190)),""),""))</x:f>
      </x:c>
      <x:c r="BP190" s="4" t="str">
        <x:f>IF('Calculations'!BM190=0,"",IFERROR(IF(AND(VALUE(INDEX(INDIRECT("'WCM Calibration Final'!$L$1:$L$2000"),'Calculations'!$EM190))&gt;=1,VALUE(INDEX(INDIRECT("'WCM Calibration Final'!$L$1:$L$2000"),'Calculations'!$EM190))&lt;=4,MOD(VALUE(INDEX(INDIRECT("'WCM Calibration Final'!$L$1:$L$2000"),'Calculations'!$EM190)),1)=0),VALUE(INDEX(INDIRECT("'WCM Calibration Final'!$L$1:$L$2000"),'Calculations'!$EM190)),""),""))</x:f>
      </x:c>
      <x:c r="BQ190" s="4"/>
      <x:c r="BR190" s="4"/>
      <x:c r="BS190" s="4"/>
      <x:c r="BT190" s="4" t="n">
        <x:f>IF(AND('Calculations'!BM190=1,ISNUMBER('Calculations'!BO190),ISNUMBER('Calculations'!BP190)),1,0)</x:f>
        <x:v>0</x:v>
      </x:c>
      <x:c r="BU190" s="4" t="str">
        <x:f>IF('Calculations'!BM190=0,"",'Calculations'!$EO190)</x:f>
      </x:c>
      <x:c r="BV190" s="4" t="str">
        <x:f>IF('Calculations'!BM190=0,"",IFERROR(IF(OR(INDEX(INDIRECT("'WCM Calibration Final'!$H$1:$H$2000"),'Calculations'!$EM190)="MANAGING DIRECTOR",INDEX(INDIRECT("'WCM Calibration Final'!$H$1:$H$2000"),'Calculations'!$EM190)="DIRECTOR",INDEX(INDIRECT("'WCM Calibration Final'!$H$1:$H$2000"),'Calculations'!$EM190)="SENIOR VICE PRESIDENT",INDEX(INDIRECT("'WCM Calibration Final'!$H$1:$H$2000"),'Calculations'!$EM190)="VICE PRESIDENT",INDEX(INDIRECT("'WCM Calibration Final'!$H$1:$H$2000"),'Calculations'!$EM190)="ASSISTANT VICE PRESIDENT",INDEX(INDIRECT("'WCM Calibration Final'!$H$1:$H$2000"),'Calculations'!$EM190)="OFFICER"),UPPER(INDEX(INDIRECT("'WCM Calibration Final'!$H$1:$H$2000"),'Calculations'!$EM190)),"Other"),"Other"))</x:f>
      </x:c>
      <x:c r="BW190" s="4"/>
      <x:c r="BX190" s="4"/>
      <x:c r="BY190" s="4" t="n">
        <x:f>IF(AND('Calculations'!BM190=1,'Calculations'!BU190&lt;&gt;"",COUNTIF('Calculations'!$BU$12:BU190,'Calculations'!BU190)=1),MAX('Calculations'!$BY$11:BY189)+1,0)</x:f>
        <x:v>0</x:v>
      </x:c>
      <x:c r="BZ190" s="4" t="str">
        <x:f>IF('Dashboard'!$E$67="What",'Calculations'!BO190,'Calculations'!BP190)</x:f>
      </x:c>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t="str">
        <x:f>IF(179&gt;MAX('Calculations'!$HI$13:$HI$512),"",INDEX('Calculations'!$HN$13:$HN$512,MATCH(179,'Calculations'!$HI$13:$HI$512,0)))</x:f>
      </x:c>
      <x:c r="DB190" s="4" t="str">
        <x:f>IF(179&gt;MAX('Calculations'!$HH$13:$HH$512),"",INDEX('Calculations'!$HJ$13:$HJ$512,MATCH(179,'Calculations'!$HH$13:$HH$512,0)))</x:f>
      </x:c>
      <x:c r="DC190" s="4" t="str">
        <x:f>IF(ROW()-11&gt;MAX('Calculations'!$BY$13:$BY$512),"",INDEX('Calculations'!$BU$13:$BU$512,MATCH(ROW()-11,'Calculations'!$BY$13:$BY$512,0)))</x:f>
      </x:c>
      <x:c r="DD190" s="4" t="str">
        <x:f>IF(179&gt;MAX('Calculations'!$IK$13:$IK$512),"",INDEX('Calculations'!$HK$13:$HK$512,MATCH(179,'Calculations'!$IK$13:$IK$512,0)))</x:f>
      </x:c>
      <x:c r="DE190" s="4" t="str">
        <x:f>'Calculations'!DC190</x:f>
      </x:c>
      <x:c r="DF190" s="4" t="str">
        <x:f>IF('Calculations'!DE190="","",COUNTIFS('Calculations'!$BN$13:$BN$512,1,'Calculations'!$BU$13:$BU$512,'Calculations'!DE190))</x:f>
      </x:c>
      <x:c r="DG190" s="4" t="str">
        <x:f>IF('Calculations'!DE190="","",COUNTIFS('Calculations'!$BN$13:$BN$512,1,'Calculations'!$BU$13:$BU$512,'Calculations'!DE190,'Calculations'!$BT$13:$BT$512,1))</x:f>
      </x:c>
      <x:c r="DH190" s="4" t="str">
        <x:f>IF('Calculations'!DE190="","",'Calculations'!DF190-'Calculations'!DG190)</x:f>
      </x:c>
      <x:c r="DI190" s="4" t="str">
        <x:f>IF(OR('Calculations'!DE190="",'Calculations'!DF190=0),"",'Calculations'!DG190/'Calculations'!DF190)</x:f>
      </x:c>
      <x:c r="DJ190" s="4" t="str">
        <x:f>IF('Calculations'!DE190="","",COUNTIFS('Calculations'!$BN$13:$BN$512,1,'Calculations'!$BU$13:$BU$512,'Calculations'!DE190,'Calculations'!$BT$13:$BT$512,1,'Calculations'!$EE$13:$EE$512,"High"))</x:f>
      </x:c>
      <x:c r="DK190" s="4" t="str">
        <x:f>IF('Calculations'!DE190="","",COUNTIFS('Calculations'!$BN$13:$BN$512,1,'Calculations'!$BU$13:$BU$512,'Calculations'!DE190,'Calculations'!$BT$13:$BT$512,1,'Calculations'!$EE$13:$EE$512,"Strong"))</x:f>
      </x:c>
      <x:c r="DL190" s="4" t="str">
        <x:f>IF('Calculations'!DE190="","",COUNTIFS('Calculations'!$BN$13:$BN$512,1,'Calculations'!$BU$13:$BU$512,'Calculations'!DE190,'Calculations'!$BT$13:$BT$512,1,'Calculations'!$EE$13:$EE$512,"Solid"))</x:f>
      </x:c>
      <x:c r="DM190" s="4" t="str">
        <x:f>IF('Calculations'!DE190="","",COUNTIFS('Calculations'!$BN$13:$BN$512,1,'Calculations'!$BU$13:$BU$512,'Calculations'!DE190,'Calculations'!$BT$13:$BT$512,1,'Calculations'!$EE$13:$EE$512,"Low"))</x:f>
      </x:c>
      <x:c r="DN190" s="4" t="str">
        <x:f>IF('Calculations'!DE190="","",COUNTIFS('Calculations'!$BN$13:$BN$512,1,'Calculations'!$BU$13:$BU$512,'Calculations'!DE190,'Calculations'!$EP$13:$EP$512,1))</x:f>
      </x:c>
      <x:c r="DO190" s="4" t="str">
        <x:f>IF(OR('Calculations'!DE190="",'Calculations'!DG190=0),"",('Calculations'!DJ190+'Calculations'!DK190)/'Calculations'!DG190)</x:f>
      </x:c>
      <x:c r="DP190" s="4" t="n">
        <x:f>IF(AND('Calculations'!DE190&lt;&gt;"",'Calculations'!DF190&gt;0),COUNTIF('Calculations'!$DF$12:DF190,"&gt;0"),0)</x:f>
        <x:v>0</x:v>
      </x:c>
      <x:c r="DQ190" s="4" t="str">
        <x:f>IF(179&gt;MAX('Calculations'!$HH$13:$HH$512),"",INDEX('Calculations'!$HF$13:$HF$512,MATCH(179,'Calculations'!$HH$13:$HH$512,0)))</x:f>
      </x:c>
      <x:c r="DR190" s="4" t="str">
        <x:f>IF(179&gt;MAX('Calculations'!$IK$13:$IK$512),"",INDEX('Calculations'!$HE$13:$HE$512,MATCH(179,'Calculations'!$IK$13:$IK$512,0)))</x:f>
      </x:c>
      <x:c r="DS190" s="4"/>
      <x:c r="DT190" s="4"/>
      <x:c r="DU190" s="4"/>
      <x:c r="DV190" s="4"/>
      <x:c r="DW190" s="4"/>
      <x:c r="DX190" s="4"/>
      <x:c r="DY190" s="4"/>
      <x:c r="DZ190" s="4"/>
      <x:c r="EA190" s="4"/>
      <x:c r="EB190" s="4"/>
      <x:c r="EC190" s="4"/>
      <x:c r="ED190" s="4"/>
      <x:c r="EE190" s="4" t="str">
        <x:f>IF('Calculations'!BT190=0,"Not Rated",IF(OR('Calculations'!BO190&gt;=4,'Calculations'!BP190&gt;=4),"Low",IF('Calculations'!BO190+'Calculations'!BP190&lt;=3,"High",IF('Calculations'!BO190+'Calculations'!BP190&lt;=4,"Strong","Solid"))))</x:f>
        <x:v>Not Rated</x:v>
      </x:c>
      <x:c r="EF190" s="4"/>
      <x:c r="EG190" s="4"/>
      <x:c r="EH190" s="4"/>
      <x:c r="EI190" s="4"/>
      <x:c r="EJ190" s="4"/>
      <x:c r="EK190" s="4"/>
      <x:c r="EL190" s="4"/>
      <x:c r="EM190" s="4" t="str">
        <x:f>IF(178&gt;'Calculations'!$JB$2000,"",INDEX('Calculations'!$JA$12:$JA$2000,MATCH(178,'Calculations'!$JB$12:$JB$2000,0)))</x:f>
      </x:c>
      <x:c r="EN190" s="4" t="n">
        <x:f>IF(OR('Calculations'!EM190="",'Calculations'!$AG$8&gt;0,AND('Calculations'!$EF$2&lt;&gt;"All",'Calculations'!HE190='Calculations'!$EF$2),AND('Calculations'!$EF$3&lt;&gt;"All",'Calculations'!HE190='Calculations'!$EF$3)),0,IF(OR('Dashboard'!$B$7="All",'Calculations'!HN190='Dashboard'!$B$7),IF('Calculations'!$EF$2="All",1,IF('Calculations'!HL190&gt;0,0,IF(COUNTIF('Calculations'!HO190:II190,"="&amp;SUBSTITUTE(SUBSTITUTE(SUBSTITUTE('Calculations'!$EF$2,"~","~~"),"*","~*"),"?","~?"))=0,0,IF('Calculations'!$EF$3="All",1,IF(COUNTIF('Calculations'!HO190:II190,"="&amp;SUBSTITUTE(SUBSTITUTE(SUBSTITUTE('Calculations'!$EF$3,"~","~~"),"*","~*"),"?","~?"))&gt;0,1,0))))),0))</x:f>
        <x:v>0</x:v>
      </x:c>
      <x:c r="EO190" s="4" t="str">
        <x:f>IF('Calculations'!IJ190="","",IF('Calculations'!IJ190="!UNRESOLVED","Unresolved hierarchy",IFERROR(INDEX('Calculations'!$HK$13:$HK$512,MATCH('Calculations'!IJ190,'Calculations'!$HE$13:$HE$512,0)),IFERROR(INDEX('Calculations'!$HJ$13:$HJ$512,MATCH('Calculations'!IJ190,'Calculations'!$HF$13:$HF$512,0)),'Calculations'!IJ190))))</x:f>
      </x:c>
      <x:c r="EP190" s="4" t="n">
        <x:f>IF(AND('Calculations'!EM190&lt;&gt;"",'Calculations'!HF190='Calculations'!IJ190),1,0)</x:f>
        <x:v>0</x:v>
      </x:c>
      <x:c r="EQ190" s="4"/>
      <x:c r="ER190" s="4"/>
      <x:c r="ES190" s="4"/>
      <x:c r="ET190" s="4"/>
      <x:c r="EU190" s="4"/>
      <x:c r="EV190" s="4"/>
      <x:c r="EW190" s="4"/>
      <x:c r="EX190" s="4"/>
      <x:c r="EY190" s="4"/>
      <x:c r="EZ190" s="4"/>
      <x:c r="FA190" s="4"/>
      <x:c r="FB190" s="4"/>
      <x:c r="FC190" s="4"/>
      <x:c r="FD190" s="4"/>
      <x:c r="FE190" s="4"/>
      <x:c r="FF190" s="4"/>
      <x:c r="FG190" s="4"/>
      <x:c r="FH190" s="4"/>
      <x:c r="FI190" s="4"/>
      <x:c r="FJ190" s="4"/>
      <x:c r="FK190" s="4"/>
      <x:c r="FL190" s="4"/>
      <x:c r="FM190" s="4"/>
      <x:c r="FN190" s="4"/>
      <x:c r="FO190" s="4"/>
      <x:c r="GA190" s="71"/>
      <x:c r="GB190" s="71"/>
      <x:c r="GC190" s="71"/>
      <x:c r="GD190" s="71"/>
      <x:c r="GE190" s="71"/>
      <x:c r="GF190" s="71"/>
      <x:c r="GG190" s="71"/>
      <x:c r="GH190" s="71"/>
      <x:c r="GI190" s="71"/>
      <x:c r="GJ190" s="71"/>
      <x:c r="GK190" s="71"/>
      <x:c r="GL190" s="71"/>
      <x:c r="GM190" s="71"/>
      <x:c r="GN190" s="71"/>
      <x:c r="GO190" s="71"/>
      <x:c r="GP190" s="71"/>
      <x:c r="GQ190" s="71"/>
      <x:c r="GR190" s="71"/>
      <x:c r="GS190" s="71"/>
      <x:c r="GT190" s="71"/>
      <x:c r="GU190" s="71"/>
      <x:c r="GV190" s="71"/>
      <x:c r="GW190" s="71"/>
      <x:c r="GX190" s="71"/>
      <x:c r="GY190" s="71"/>
      <x:c r="GZ190" s="71"/>
      <x:c r="HA190" s="71"/>
      <x:c r="HB190" s="71"/>
      <x:c r="HC190" s="71"/>
      <x:c r="HD190" s="71"/>
      <x:c r="HE190" t="str">
        <x:f>IF('Calculations'!EM190="","",IF(IFERROR(IF(INDEX(INDIRECT("'WCM Calibration Final'!$A$1:$A$2000"),'Calculations'!$EM190)="","",TRIM(INDEX(INDIRECT("'WCM Calibration Final'!$A$1:$A$2000"),'Calculations'!$EM190)&amp;"")),"")&lt;&gt;"","G:"&amp;IFERROR(TEXT(1*INDEX(INDIRECT("'WCM Calibration Final'!$A$1:$A$2000"),'Calculations'!$EM190),"0"),UPPER(IFERROR(IF(INDEX(INDIRECT("'WCM Calibration Final'!$A$1:$A$2000"),'Calculations'!$EM190)="","",TRIM(INDEX(INDIRECT("'WCM Calibration Final'!$A$1:$A$2000"),'Calculations'!$EM190)&amp;"")),""))),IF(IFERROR(IF(INDEX(INDIRECT("'WCM Calibration Final'!$C$1:$C$2000"),'Calculations'!$EM190)="","",TRIM(INDEX(INDIRECT("'WCM Calibration Final'!$C$1:$C$2000"),'Calculations'!$EM190)&amp;"")),"")&lt;&gt;"","S:"&amp;UPPER(IFERROR(IF(INDEX(INDIRECT("'WCM Calibration Final'!$C$1:$C$2000"),'Calculations'!$EM190)="","",TRIM(INDEX(INDIRECT("'WCM Calibration Final'!$C$1:$C$2000"),'Calculations'!$EM190)&amp;"")),"")),"R:"&amp;'Calculations'!EM190)))</x:f>
      </x:c>
      <x:c r="HF190" t="str">
        <x:f>IF('Calculations'!EM190="","",IF(IFERROR(IF(INDEX(INDIRECT("'WCM Calibration Final'!$D$1:$D$2000"),'Calculations'!$EM190)="","",TRIM(INDEX(INDIRECT("'WCM Calibration Final'!$D$1:$D$2000"),'Calculations'!$EM190)&amp;"")),"")&lt;&gt;"","G:"&amp;IFERROR(TEXT(1*INDEX(INDIRECT("'WCM Calibration Final'!$D$1:$D$2000"),'Calculations'!$EM190),"0"),UPPER(IFERROR(IF(INDEX(INDIRECT("'WCM Calibration Final'!$D$1:$D$2000"),'Calculations'!$EM190)="","",TRIM(INDEX(INDIRECT("'WCM Calibration Final'!$D$1:$D$2000"),'Calculations'!$EM190)&amp;"")),""))),IF(IFERROR(IF(INDEX(INDIRECT("'WCM Calibration Final'!$E$1:$E$2000"),'Calculations'!$EM190)="","",TRIM(INDEX(INDIRECT("'WCM Calibration Final'!$E$1:$E$2000"),'Calculations'!$EM190)&amp;"")),"")="","",IF(COUNTIF('Calculations'!$HG$13:$HG$512,"="&amp;SUBSTITUTE(SUBSTITUTE(SUBSTITUTE(IFERROR(IF(INDEX(INDIRECT("'WCM Calibration Final'!$E$1:$E$2000"),'Calculations'!$EM190)="","",TRIM(INDEX(INDIRECT("'WCM Calibration Final'!$E$1:$E$2000"),'Calculations'!$EM190)&amp;"")),""),"~","~~"),"*","~*"),"?","~?"))=1,INDEX('Calculations'!$HE$13:$HE$512,MATCH(IFERROR(IF(INDEX(INDIRECT("'WCM Calibration Final'!$E$1:$E$2000"),'Calculations'!$EM190)="","",TRIM(INDEX(INDIRECT("'WCM Calibration Final'!$E$1:$E$2000"),'Calculations'!$EM190)&amp;"")),""),'Calculations'!$HG$13:$HG$512,0)),IF(COUNTIF('Calculations'!$HG$13:$HG$512,"="&amp;SUBSTITUTE(SUBSTITUTE(SUBSTITUTE(IFERROR(IF(INDEX(INDIRECT("'WCM Calibration Final'!$E$1:$E$2000"),'Calculations'!$EM190)="","",TRIM(INDEX(INDIRECT("'WCM Calibration Final'!$E$1:$E$2000"),'Calculations'!$EM190)&amp;"")),""),"~","~~"),"*","~*"),"?","~?"))&gt;1,"!AMBIG","X:"&amp;IFERROR(IF(INDEX(INDIRECT("'WCM Calibration Final'!$E$1:$E$2000"),'Calculations'!$EM190)="","",TRIM(INDEX(INDIRECT("'WCM Calibration Final'!$E$1:$E$2000"),'Calculations'!$EM190)&amp;"")),""))))))</x:f>
      </x:c>
      <x:c r="HG190" t="str">
        <x:f>IF('Calculations'!EM190="","",IFERROR(IF(INDEX(INDIRECT("'WCM Calibration Final'!$B$1:$B$2000"),'Calculations'!$EM190)="","",TRIM(INDEX(INDIRECT("'WCM Calibration Final'!$B$1:$B$2000"),'Calculations'!$EM190)&amp;"")),""))</x:f>
      </x:c>
      <x:c r="HH190" t="n">
        <x:f>IF(AND('Calculations'!JC190&gt;0,COUNTIF('Calculations'!$HF$12:HF190,"="&amp;SUBSTITUTE(SUBSTITUTE(SUBSTITUTE('Calculations'!HF190,"~","~~"),"*","~*"),"?","~?"))=1),MAX('Calculations'!$HH$12:HH189)+1,0)</x:f>
        <x:v>0</x:v>
      </x:c>
      <x:c r="HI190" t="n">
        <x:f>IF(AND('Calculations'!HN190&lt;&gt;"",COUNTIF('Calculations'!$HN$12:HN190,"="&amp;SUBSTITUTE(SUBSTITUTE(SUBSTITUTE('Calculations'!HN190,"~","~~"),"*","~*"),"?","~?"))=1),MAX('Calculations'!$HI$12:HI189)+1,0)</x:f>
        <x:v>0</x:v>
      </x:c>
      <x:c r="HJ190" t="str">
        <x:f>IF('Calculations'!HF190="","",IF(COUNTIF('Calculations'!$HE$13:$HE$512,"="&amp;SUBSTITUTE(SUBSTITUTE(SUBSTITUTE('Calculations'!HF190,"~","~~"),"*","~*"),"?","~?"))=1,INDEX('Calculations'!$HK$13:$HK$512,MATCH('Calculations'!HF190,'Calculations'!$HE$13:$HE$512,0)),IFERROR(IF(INDEX(INDIRECT("'WCM Calibration Final'!$E$1:$E$2000"),'Calculations'!$EM190)="","",TRIM(INDEX(INDIRECT("'WCM Calibration Final'!$E$1:$E$2000"),'Calculations'!$EM190)&amp;"")),"")&amp;" ["&amp;'Calculations'!HF190&amp;"]"))</x:f>
      </x:c>
      <x:c r="HK190" t="str">
        <x:f>IF('Calculations'!EM190="","",'Calculations'!HG190&amp;" ["&amp;'Calculations'!HE190&amp;"]")</x:f>
      </x:c>
      <x:c r="HL190" t="n">
        <x:f>IF('Calculations'!EM190="",0,IF(OR('Calculations'!II190&lt;&gt;"",COUNTIF('Calculations'!$HE$13:$HE$512,"="&amp;SUBSTITUTE(SUBSTITUTE(SUBSTITUTE('Calculations'!HE190,"~","~~"),"*","~*"),"?","~?"))&gt;1),1,0))</x:f>
        <x:v>0</x:v>
      </x:c>
      <x:c r="HM190" t="str">
        <x:f>IF('Calculations'!EM190="","",IF('Calculations'!HL190=1,"!UNRESOLVED",IF('Calculations'!IH190&lt;&gt;"",'Calculations'!IH190,IF('Calculations'!IG190&lt;&gt;"",'Calculations'!IG190,IF('Calculations'!IF190&lt;&gt;"",'Calculations'!IF190,IF('Calculations'!IE190&lt;&gt;"",'Calculations'!IE190,IF('Calculations'!ID190&lt;&gt;"",'Calculations'!ID190,IF('Calculations'!IC190&lt;&gt;"",'Calculations'!IC190,IF('Calculations'!IB190&lt;&gt;"",'Calculations'!IB190,IF('Calculations'!IA190&lt;&gt;"",'Calculations'!IA190,IF('Calculations'!HZ190&lt;&gt;"",'Calculations'!HZ190,IF('Calculations'!HY190&lt;&gt;"",'Calculations'!HY190,IF('Calculations'!HX190&lt;&gt;"",'Calculations'!HX190,IF('Calculations'!HW190&lt;&gt;"",'Calculations'!HW190,IF('Calculations'!HV190&lt;&gt;"",'Calculations'!HV190,IF('Calculations'!HU190&lt;&gt;"",'Calculations'!HU190,IF('Calculations'!HT190&lt;&gt;"",'Calculations'!HT190,IF('Calculations'!HS190&lt;&gt;"",'Calculations'!HS190,IF('Calculations'!HR190&lt;&gt;"",'Calculations'!HR190,IF('Calculations'!HQ190&lt;&gt;"",'Calculations'!HQ190,IF('Calculations'!HP190&lt;&gt;"",'Calculations'!HP190,IF('Calculations'!HO190&lt;&gt;"",'Calculations'!HO190,'Calculations'!HE190))))))))))))))))))))))</x:f>
      </x:c>
      <x:c r="HN190" t="str">
        <x:f>IF('Calculations'!EM190="","",IF(IFERROR(IF(INDEX(INDIRECT("'WCM Calibration Final'!$F$1:$F$2000"),'Calculations'!$EM190)="","",TRIM(INDEX(INDIRECT("'WCM Calibration Final'!$F$1:$F$2000"),'Calculations'!$EM190)&amp;"")),"")="","(Blank)",IFERROR(IF(INDEX(INDIRECT("'WCM Calibration Final'!$F$1:$F$2000"),'Calculations'!$EM190)="","",TRIM(INDEX(INDIRECT("'WCM Calibration Final'!$F$1:$F$2000"),'Calculations'!$EM190)&amp;"")),"")))</x:f>
      </x:c>
      <x:c r="HO190" t="str">
        <x:f>'Calculations'!HF190</x:f>
      </x:c>
      <x:c r="HP190" t="str">
        <x:f>IF('Calculations'!HO190="","",IF('Calculations'!HO190="!AMBIG","!AMBIG",IF(COUNTIF('Calculations'!$HE$13:$HE$512,"="&amp;SUBSTITUTE(SUBSTITUTE(SUBSTITUTE('Calculations'!HO190,"~","~~"),"*","~*"),"?","~?"))&gt;1,"!AMBIG",IFERROR(INDEX('Calculations'!$HF$13:$HF$512,MATCH('Calculations'!HO190,'Calculations'!$HE$13:$HE$512,0)),""))))</x:f>
      </x:c>
      <x:c r="HQ190" t="str">
        <x:f>IF('Calculations'!HP190="","",IF('Calculations'!HP190="!AMBIG","!AMBIG",IF(COUNTIF('Calculations'!$HE$13:$HE$512,"="&amp;SUBSTITUTE(SUBSTITUTE(SUBSTITUTE('Calculations'!HP190,"~","~~"),"*","~*"),"?","~?"))&gt;1,"!AMBIG",IFERROR(INDEX('Calculations'!$HF$13:$HF$512,MATCH('Calculations'!HP190,'Calculations'!$HE$13:$HE$512,0)),""))))</x:f>
      </x:c>
      <x:c r="HR190" t="str">
        <x:f>IF('Calculations'!HQ190="","",IF('Calculations'!HQ190="!AMBIG","!AMBIG",IF(COUNTIF('Calculations'!$HE$13:$HE$512,"="&amp;SUBSTITUTE(SUBSTITUTE(SUBSTITUTE('Calculations'!HQ190,"~","~~"),"*","~*"),"?","~?"))&gt;1,"!AMBIG",IFERROR(INDEX('Calculations'!$HF$13:$HF$512,MATCH('Calculations'!HQ190,'Calculations'!$HE$13:$HE$512,0)),""))))</x:f>
      </x:c>
      <x:c r="HS190" t="str">
        <x:f>IF('Calculations'!HR190="","",IF('Calculations'!HR190="!AMBIG","!AMBIG",IF(COUNTIF('Calculations'!$HE$13:$HE$512,"="&amp;SUBSTITUTE(SUBSTITUTE(SUBSTITUTE('Calculations'!HR190,"~","~~"),"*","~*"),"?","~?"))&gt;1,"!AMBIG",IFERROR(INDEX('Calculations'!$HF$13:$HF$512,MATCH('Calculations'!HR190,'Calculations'!$HE$13:$HE$512,0)),""))))</x:f>
      </x:c>
      <x:c r="HT190" t="str">
        <x:f>IF('Calculations'!HS190="","",IF('Calculations'!HS190="!AMBIG","!AMBIG",IF(COUNTIF('Calculations'!$HE$13:$HE$512,"="&amp;SUBSTITUTE(SUBSTITUTE(SUBSTITUTE('Calculations'!HS190,"~","~~"),"*","~*"),"?","~?"))&gt;1,"!AMBIG",IFERROR(INDEX('Calculations'!$HF$13:$HF$512,MATCH('Calculations'!HS190,'Calculations'!$HE$13:$HE$512,0)),""))))</x:f>
      </x:c>
      <x:c r="HU190" t="str">
        <x:f>IF('Calculations'!HT190="","",IF('Calculations'!HT190="!AMBIG","!AMBIG",IF(COUNTIF('Calculations'!$HE$13:$HE$512,"="&amp;SUBSTITUTE(SUBSTITUTE(SUBSTITUTE('Calculations'!HT190,"~","~~"),"*","~*"),"?","~?"))&gt;1,"!AMBIG",IFERROR(INDEX('Calculations'!$HF$13:$HF$512,MATCH('Calculations'!HT190,'Calculations'!$HE$13:$HE$512,0)),""))))</x:f>
      </x:c>
      <x:c r="HV190" t="str">
        <x:f>IF('Calculations'!HU190="","",IF('Calculations'!HU190="!AMBIG","!AMBIG",IF(COUNTIF('Calculations'!$HE$13:$HE$512,"="&amp;SUBSTITUTE(SUBSTITUTE(SUBSTITUTE('Calculations'!HU190,"~","~~"),"*","~*"),"?","~?"))&gt;1,"!AMBIG",IFERROR(INDEX('Calculations'!$HF$13:$HF$512,MATCH('Calculations'!HU190,'Calculations'!$HE$13:$HE$512,0)),""))))</x:f>
      </x:c>
      <x:c r="HW190" t="str">
        <x:f>IF('Calculations'!HV190="","",IF('Calculations'!HV190="!AMBIG","!AMBIG",IF(COUNTIF('Calculations'!$HE$13:$HE$512,"="&amp;SUBSTITUTE(SUBSTITUTE(SUBSTITUTE('Calculations'!HV190,"~","~~"),"*","~*"),"?","~?"))&gt;1,"!AMBIG",IFERROR(INDEX('Calculations'!$HF$13:$HF$512,MATCH('Calculations'!HV190,'Calculations'!$HE$13:$HE$512,0)),""))))</x:f>
      </x:c>
      <x:c r="HX190" t="str">
        <x:f>IF('Calculations'!HW190="","",IF('Calculations'!HW190="!AMBIG","!AMBIG",IF(COUNTIF('Calculations'!$HE$13:$HE$512,"="&amp;SUBSTITUTE(SUBSTITUTE(SUBSTITUTE('Calculations'!HW190,"~","~~"),"*","~*"),"?","~?"))&gt;1,"!AMBIG",IFERROR(INDEX('Calculations'!$HF$13:$HF$512,MATCH('Calculations'!HW190,'Calculations'!$HE$13:$HE$512,0)),""))))</x:f>
      </x:c>
      <x:c r="HY190" t="str">
        <x:f>IF('Calculations'!HX190="","",IF('Calculations'!HX190="!AMBIG","!AMBIG",IF(COUNTIF('Calculations'!$HE$13:$HE$512,"="&amp;SUBSTITUTE(SUBSTITUTE(SUBSTITUTE('Calculations'!HX190,"~","~~"),"*","~*"),"?","~?"))&gt;1,"!AMBIG",IFERROR(INDEX('Calculations'!$HF$13:$HF$512,MATCH('Calculations'!HX190,'Calculations'!$HE$13:$HE$512,0)),""))))</x:f>
      </x:c>
      <x:c r="HZ190" t="str">
        <x:f>IF('Calculations'!HY190="","",IF('Calculations'!HY190="!AMBIG","!AMBIG",IF(COUNTIF('Calculations'!$HE$13:$HE$512,"="&amp;SUBSTITUTE(SUBSTITUTE(SUBSTITUTE('Calculations'!HY190,"~","~~"),"*","~*"),"?","~?"))&gt;1,"!AMBIG",IFERROR(INDEX('Calculations'!$HF$13:$HF$512,MATCH('Calculations'!HY190,'Calculations'!$HE$13:$HE$512,0)),""))))</x:f>
      </x:c>
      <x:c r="IA190" t="str">
        <x:f>IF('Calculations'!HZ190="","",IF('Calculations'!HZ190="!AMBIG","!AMBIG",IF(COUNTIF('Calculations'!$HE$13:$HE$512,"="&amp;SUBSTITUTE(SUBSTITUTE(SUBSTITUTE('Calculations'!HZ190,"~","~~"),"*","~*"),"?","~?"))&gt;1,"!AMBIG",IFERROR(INDEX('Calculations'!$HF$13:$HF$512,MATCH('Calculations'!HZ190,'Calculations'!$HE$13:$HE$512,0)),""))))</x:f>
      </x:c>
      <x:c r="IB190" t="str">
        <x:f>IF('Calculations'!IA190="","",IF('Calculations'!IA190="!AMBIG","!AMBIG",IF(COUNTIF('Calculations'!$HE$13:$HE$512,"="&amp;SUBSTITUTE(SUBSTITUTE(SUBSTITUTE('Calculations'!IA190,"~","~~"),"*","~*"),"?","~?"))&gt;1,"!AMBIG",IFERROR(INDEX('Calculations'!$HF$13:$HF$512,MATCH('Calculations'!IA190,'Calculations'!$HE$13:$HE$512,0)),""))))</x:f>
      </x:c>
      <x:c r="IC190" t="str">
        <x:f>IF('Calculations'!IB190="","",IF('Calculations'!IB190="!AMBIG","!AMBIG",IF(COUNTIF('Calculations'!$HE$13:$HE$512,"="&amp;SUBSTITUTE(SUBSTITUTE(SUBSTITUTE('Calculations'!IB190,"~","~~"),"*","~*"),"?","~?"))&gt;1,"!AMBIG",IFERROR(INDEX('Calculations'!$HF$13:$HF$512,MATCH('Calculations'!IB190,'Calculations'!$HE$13:$HE$512,0)),""))))</x:f>
      </x:c>
      <x:c r="ID190" t="str">
        <x:f>IF('Calculations'!IC190="","",IF('Calculations'!IC190="!AMBIG","!AMBIG",IF(COUNTIF('Calculations'!$HE$13:$HE$512,"="&amp;SUBSTITUTE(SUBSTITUTE(SUBSTITUTE('Calculations'!IC190,"~","~~"),"*","~*"),"?","~?"))&gt;1,"!AMBIG",IFERROR(INDEX('Calculations'!$HF$13:$HF$512,MATCH('Calculations'!IC190,'Calculations'!$HE$13:$HE$512,0)),""))))</x:f>
      </x:c>
      <x:c r="IE190" t="str">
        <x:f>IF('Calculations'!ID190="","",IF('Calculations'!ID190="!AMBIG","!AMBIG",IF(COUNTIF('Calculations'!$HE$13:$HE$512,"="&amp;SUBSTITUTE(SUBSTITUTE(SUBSTITUTE('Calculations'!ID190,"~","~~"),"*","~*"),"?","~?"))&gt;1,"!AMBIG",IFERROR(INDEX('Calculations'!$HF$13:$HF$512,MATCH('Calculations'!ID190,'Calculations'!$HE$13:$HE$512,0)),""))))</x:f>
      </x:c>
      <x:c r="IF190" t="str">
        <x:f>IF('Calculations'!IE190="","",IF('Calculations'!IE190="!AMBIG","!AMBIG",IF(COUNTIF('Calculations'!$HE$13:$HE$512,"="&amp;SUBSTITUTE(SUBSTITUTE(SUBSTITUTE('Calculations'!IE190,"~","~~"),"*","~*"),"?","~?"))&gt;1,"!AMBIG",IFERROR(INDEX('Calculations'!$HF$13:$HF$512,MATCH('Calculations'!IE190,'Calculations'!$HE$13:$HE$512,0)),""))))</x:f>
      </x:c>
      <x:c r="IG190" t="str">
        <x:f>IF('Calculations'!IF190="","",IF('Calculations'!IF190="!AMBIG","!AMBIG",IF(COUNTIF('Calculations'!$HE$13:$HE$512,"="&amp;SUBSTITUTE(SUBSTITUTE(SUBSTITUTE('Calculations'!IF190,"~","~~"),"*","~*"),"?","~?"))&gt;1,"!AMBIG",IFERROR(INDEX('Calculations'!$HF$13:$HF$512,MATCH('Calculations'!IF190,'Calculations'!$HE$13:$HE$512,0)),""))))</x:f>
      </x:c>
      <x:c r="IH190" t="str">
        <x:f>IF('Calculations'!IG190="","",IF('Calculations'!IG190="!AMBIG","!AMBIG",IF(COUNTIF('Calculations'!$HE$13:$HE$512,"="&amp;SUBSTITUTE(SUBSTITUTE(SUBSTITUTE('Calculations'!IG190,"~","~~"),"*","~*"),"?","~?"))&gt;1,"!AMBIG",IFERROR(INDEX('Calculations'!$HF$13:$HF$512,MATCH('Calculations'!IG190,'Calculations'!$HE$13:$HE$512,0)),""))))</x:f>
      </x:c>
      <x:c r="II190" t="str">
        <x:f>IF('Calculations'!IH190="","",IF('Calculations'!IH190="!AMBIG","!AMBIG",IF(COUNTIF('Calculations'!$HE$13:$HE$512,"="&amp;SUBSTITUTE(SUBSTITUTE(SUBSTITUTE('Calculations'!IH190,"~","~~"),"*","~*"),"?","~?"))&gt;1,"!AMBIG",IFERROR(INDEX('Calculations'!$HF$13:$HF$512,MATCH('Calculations'!IH190,'Calculations'!$HE$13:$HE$512,0)),""))))</x:f>
      </x:c>
      <x:c r="IJ190" t="str">
        <x:f>IF('Calculations'!EM190="","",IF('Calculations'!$EF$2="All",'Calculations'!HM190,IF('Calculations'!HL190=1,"",IFERROR(IF(MATCH('Calculations'!$EF$2,'Calculations'!HO190:II190,0)=1,'Calculations'!HE190,INDEX('Calculations'!HO190:II190,1,MATCH('Calculations'!$EF$2,'Calculations'!HO190:II190,0)-1)),""))))</x:f>
      </x:c>
      <x:c r="IK190" t="n">
        <x:f>IF(AND('Calculations'!EM190&lt;&gt;"",'Calculations'!$EF$2&lt;&gt;"All",'Calculations'!HF190='Calculations'!$EF$2,'Calculations'!HL190=0,'Calculations'!JD190&gt;0),MAX('Calculations'!$IK$12:IK189)+1,0)</x:f>
        <x:v>0</x:v>
      </x:c>
      <x:c r="JA190" t="n">
        <x:f>IF(OR(IFERROR(INDIRECT("'WCM Calibration Final'!$A$190")&lt;&gt;"",FALSE),IFERROR(INDIRECT("'WCM Calibration Final'!$B$190")&lt;&gt;"",FALSE),IFERROR(INDIRECT("'WCM Calibration Final'!$C$190")&lt;&gt;"",FALSE)),190,0)</x:f>
        <x:v>0</x:v>
      </x:c>
      <x:c r="JB190" t="n">
        <x:f>'Calculations'!JB189+IF('Calculations'!JA190&gt;0,1,0)</x:f>
        <x:v>0</x:v>
      </x:c>
      <x:c r="JC190" t="n">
        <x:f>IF(OR('Calculations'!HF190="",'Calculations'!HF190="!AMBIG"),0,IF('Dashboard'!$B$7="All",1,COUNTIFS('Calculations'!$HO$13:$HO$512,"="&amp;SUBSTITUTE(SUBSTITUTE(SUBSTITUTE('Calculations'!HF190,"~","~~"),"*","~*"),"?","~?"),'Calculations'!$HN$13:$HN$512,"="&amp;SUBSTITUTE(SUBSTITUTE(SUBSTITUTE('Dashboard'!$B$7,"~","~~"),"*","~*"),"?","~?"))+COUNTIFS('Calculations'!$HP$13:$HP$512,"="&amp;SUBSTITUTE(SUBSTITUTE(SUBSTITUTE('Calculations'!HF190,"~","~~"),"*","~*"),"?","~?"),'Calculations'!$HN$13:$HN$512,"="&amp;SUBSTITUTE(SUBSTITUTE(SUBSTITUTE('Dashboard'!$B$7,"~","~~"),"*","~*"),"?","~?"))+COUNTIFS('Calculations'!$HQ$13:$HQ$512,"="&amp;SUBSTITUTE(SUBSTITUTE(SUBSTITUTE('Calculations'!HF190,"~","~~"),"*","~*"),"?","~?"),'Calculations'!$HN$13:$HN$512,"="&amp;SUBSTITUTE(SUBSTITUTE(SUBSTITUTE('Dashboard'!$B$7,"~","~~"),"*","~*"),"?","~?"))+COUNTIFS('Calculations'!$HR$13:$HR$512,"="&amp;SUBSTITUTE(SUBSTITUTE(SUBSTITUTE('Calculations'!HF190,"~","~~"),"*","~*"),"?","~?"),'Calculations'!$HN$13:$HN$512,"="&amp;SUBSTITUTE(SUBSTITUTE(SUBSTITUTE('Dashboard'!$B$7,"~","~~"),"*","~*"),"?","~?"))+COUNTIFS('Calculations'!$HS$13:$HS$512,"="&amp;SUBSTITUTE(SUBSTITUTE(SUBSTITUTE('Calculations'!HF190,"~","~~"),"*","~*"),"?","~?"),'Calculations'!$HN$13:$HN$512,"="&amp;SUBSTITUTE(SUBSTITUTE(SUBSTITUTE('Dashboard'!$B$7,"~","~~"),"*","~*"),"?","~?"))+COUNTIFS('Calculations'!$HT$13:$HT$512,"="&amp;SUBSTITUTE(SUBSTITUTE(SUBSTITUTE('Calculations'!HF190,"~","~~"),"*","~*"),"?","~?"),'Calculations'!$HN$13:$HN$512,"="&amp;SUBSTITUTE(SUBSTITUTE(SUBSTITUTE('Dashboard'!$B$7,"~","~~"),"*","~*"),"?","~?"))+COUNTIFS('Calculations'!$HU$13:$HU$512,"="&amp;SUBSTITUTE(SUBSTITUTE(SUBSTITUTE('Calculations'!HF190,"~","~~"),"*","~*"),"?","~?"),'Calculations'!$HN$13:$HN$512,"="&amp;SUBSTITUTE(SUBSTITUTE(SUBSTITUTE('Dashboard'!$B$7,"~","~~"),"*","~*"),"?","~?"))+COUNTIFS('Calculations'!$HV$13:$HV$512,"="&amp;SUBSTITUTE(SUBSTITUTE(SUBSTITUTE('Calculations'!HF190,"~","~~"),"*","~*"),"?","~?"),'Calculations'!$HN$13:$HN$512,"="&amp;SUBSTITUTE(SUBSTITUTE(SUBSTITUTE('Dashboard'!$B$7,"~","~~"),"*","~*"),"?","~?"))+COUNTIFS('Calculations'!$HW$13:$HW$512,"="&amp;SUBSTITUTE(SUBSTITUTE(SUBSTITUTE('Calculations'!HF190,"~","~~"),"*","~*"),"?","~?"),'Calculations'!$HN$13:$HN$512,"="&amp;SUBSTITUTE(SUBSTITUTE(SUBSTITUTE('Dashboard'!$B$7,"~","~~"),"*","~*"),"?","~?"))+COUNTIFS('Calculations'!$HX$13:$HX$512,"="&amp;SUBSTITUTE(SUBSTITUTE(SUBSTITUTE('Calculations'!HF190,"~","~~"),"*","~*"),"?","~?"),'Calculations'!$HN$13:$HN$512,"="&amp;SUBSTITUTE(SUBSTITUTE(SUBSTITUTE('Dashboard'!$B$7,"~","~~"),"*","~*"),"?","~?"))+COUNTIFS('Calculations'!$HY$13:$HY$512,"="&amp;SUBSTITUTE(SUBSTITUTE(SUBSTITUTE('Calculations'!HF190,"~","~~"),"*","~*"),"?","~?"),'Calculations'!$HN$13:$HN$512,"="&amp;SUBSTITUTE(SUBSTITUTE(SUBSTITUTE('Dashboard'!$B$7,"~","~~"),"*","~*"),"?","~?"))+COUNTIFS('Calculations'!$HZ$13:$HZ$512,"="&amp;SUBSTITUTE(SUBSTITUTE(SUBSTITUTE('Calculations'!HF190,"~","~~"),"*","~*"),"?","~?"),'Calculations'!$HN$13:$HN$512,"="&amp;SUBSTITUTE(SUBSTITUTE(SUBSTITUTE('Dashboard'!$B$7,"~","~~"),"*","~*"),"?","~?"))+COUNTIFS('Calculations'!$IA$13:$IA$512,"="&amp;SUBSTITUTE(SUBSTITUTE(SUBSTITUTE('Calculations'!HF190,"~","~~"),"*","~*"),"?","~?"),'Calculations'!$HN$13:$HN$512,"="&amp;SUBSTITUTE(SUBSTITUTE(SUBSTITUTE('Dashboard'!$B$7,"~","~~"),"*","~*"),"?","~?"))+COUNTIFS('Calculations'!$IB$13:$IB$512,"="&amp;SUBSTITUTE(SUBSTITUTE(SUBSTITUTE('Calculations'!HF190,"~","~~"),"*","~*"),"?","~?"),'Calculations'!$HN$13:$HN$512,"="&amp;SUBSTITUTE(SUBSTITUTE(SUBSTITUTE('Dashboard'!$B$7,"~","~~"),"*","~*"),"?","~?"))+COUNTIFS('Calculations'!$IC$13:$IC$512,"="&amp;SUBSTITUTE(SUBSTITUTE(SUBSTITUTE('Calculations'!HF190,"~","~~"),"*","~*"),"?","~?"),'Calculations'!$HN$13:$HN$512,"="&amp;SUBSTITUTE(SUBSTITUTE(SUBSTITUTE('Dashboard'!$B$7,"~","~~"),"*","~*"),"?","~?"))+COUNTIFS('Calculations'!$ID$13:$ID$512,"="&amp;SUBSTITUTE(SUBSTITUTE(SUBSTITUTE('Calculations'!HF190,"~","~~"),"*","~*"),"?","~?"),'Calculations'!$HN$13:$HN$512,"="&amp;SUBSTITUTE(SUBSTITUTE(SUBSTITUTE('Dashboard'!$B$7,"~","~~"),"*","~*"),"?","~?"))+COUNTIFS('Calculations'!$IE$13:$IE$512,"="&amp;SUBSTITUTE(SUBSTITUTE(SUBSTITUTE('Calculations'!HF190,"~","~~"),"*","~*"),"?","~?"),'Calculations'!$HN$13:$HN$512,"="&amp;SUBSTITUTE(SUBSTITUTE(SUBSTITUTE('Dashboard'!$B$7,"~","~~"),"*","~*"),"?","~?"))+COUNTIFS('Calculations'!$IF$13:$IF$512,"="&amp;SUBSTITUTE(SUBSTITUTE(SUBSTITUTE('Calculations'!HF190,"~","~~"),"*","~*"),"?","~?"),'Calculations'!$HN$13:$HN$512,"="&amp;SUBSTITUTE(SUBSTITUTE(SUBSTITUTE('Dashboard'!$B$7,"~","~~"),"*","~*"),"?","~?"))+COUNTIFS('Calculations'!$IG$13:$IG$512,"="&amp;SUBSTITUTE(SUBSTITUTE(SUBSTITUTE('Calculations'!HF190,"~","~~"),"*","~*"),"?","~?"),'Calculations'!$HN$13:$HN$512,"="&amp;SUBSTITUTE(SUBSTITUTE(SUBSTITUTE('Dashboard'!$B$7,"~","~~"),"*","~*"),"?","~?"))+COUNTIFS('Calculations'!$IH$13:$IH$512,"="&amp;SUBSTITUTE(SUBSTITUTE(SUBSTITUTE('Calculations'!HF190,"~","~~"),"*","~*"),"?","~?"),'Calculations'!$HN$13:$HN$512,"="&amp;SUBSTITUTE(SUBSTITUTE(SUBSTITUTE('Dashboard'!$B$7,"~","~~"),"*","~*"),"?","~?"))))</x:f>
        <x:v>0</x:v>
      </x:c>
      <x:c r="JD190" t="n">
        <x:f>IF('Calculations'!EM190="",0,IF('Dashboard'!$B$7="All",1,IF('Calculations'!HN190='Dashboard'!$B$7,1,0)+IFERROR(INDEX('Calculations'!$JC$13:$JC$512,MATCH('Calculations'!HE190,'Calculations'!$HF$13:$HF$512,0)),0)))</x:f>
        <x:v>0</x:v>
      </x:c>
      <x:c r="JE190" t="n">
        <x:f>IF(AND('Calculations'!EM190&lt;&gt;"",'Calculations'!$JJ$2&lt;&gt;"All",'Calculations'!$JJ$2&lt;&gt;"",'Calculations'!HF190='Calculations'!$JJ$2,'Calculations'!HL190=0,'Calculations'!JD190&gt;0),MAX('Calculations'!$JE$12:JE189)+1,0)</x:f>
        <x:v>0</x:v>
      </x:c>
      <x:c r="JF190" t="str">
        <x:f>IF('Calculations'!EM190="","",IFERROR(IF(INDEX(INDIRECT("'WCM Calibration Final'!$G$1:$G$2000"),'Calculations'!$EM190)="","",TRIM(INDEX(INDIRECT("'WCM Calibration Final'!$G$1:$G$2000"),'Calculations'!$EM190)&amp;"")),""))</x:f>
      </x:c>
      <x:c r="JQ190" t="n">
        <x:f>IF(OR('Calculations'!BM190=0,NOT('Calculations'!$AG$2),'Calculations'!$AG$8&gt;0),0,IF(OR('Dashboard'!$B$7="All",'Calculations'!HN190='Dashboard'!$B$7),IF('Calculations'!$JJ$2="All",1,IF(AND('Calculations'!HF190='Calculations'!$JJ$2,'Calculations'!HL190=0),1,0)),0))</x:f>
        <x:v>0</x:v>
      </x:c>
    </x:row>
    <x:row r="191">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t="n">
        <x:f>IF('Calculations'!$EM191="",0,IF(OR(IFERROR(INDEX(INDIRECT("'WCM Calibration Final'!$A$1:$A$2000"),'Calculations'!$EM191)&lt;&gt;"",FALSE),IFERROR(INDEX(INDIRECT("'WCM Calibration Final'!$B$1:$B$2000"),'Calculations'!$EM191)&lt;&gt;"",FALSE),IFERROR(INDEX(INDIRECT("'WCM Calibration Final'!$C$1:$C$2000"),'Calculations'!$EM191)&lt;&gt;"",FALSE)),1,0))</x:f>
        <x:v>0</x:v>
      </x:c>
      <x:c r="BN191" s="4" t="n">
        <x:f>IF(AND('Calculations'!BM191=1,'Calculations'!$AG$2,'Calculations'!$EN191=1),1,0)</x:f>
        <x:v>0</x:v>
      </x:c>
      <x:c r="BO191" s="4" t="str">
        <x:f>IF('Calculations'!BM191=0,"",IFERROR(IF(AND(VALUE(INDEX(INDIRECT("'WCM Calibration Final'!$K$1:$K$2000"),'Calculations'!$EM191))&gt;=1,VALUE(INDEX(INDIRECT("'WCM Calibration Final'!$K$1:$K$2000"),'Calculations'!$EM191))&lt;=4,MOD(VALUE(INDEX(INDIRECT("'WCM Calibration Final'!$K$1:$K$2000"),'Calculations'!$EM191)),1)=0),VALUE(INDEX(INDIRECT("'WCM Calibration Final'!$K$1:$K$2000"),'Calculations'!$EM191)),""),""))</x:f>
      </x:c>
      <x:c r="BP191" s="4" t="str">
        <x:f>IF('Calculations'!BM191=0,"",IFERROR(IF(AND(VALUE(INDEX(INDIRECT("'WCM Calibration Final'!$L$1:$L$2000"),'Calculations'!$EM191))&gt;=1,VALUE(INDEX(INDIRECT("'WCM Calibration Final'!$L$1:$L$2000"),'Calculations'!$EM191))&lt;=4,MOD(VALUE(INDEX(INDIRECT("'WCM Calibration Final'!$L$1:$L$2000"),'Calculations'!$EM191)),1)=0),VALUE(INDEX(INDIRECT("'WCM Calibration Final'!$L$1:$L$2000"),'Calculations'!$EM191)),""),""))</x:f>
      </x:c>
      <x:c r="BQ191" s="4"/>
      <x:c r="BR191" s="4"/>
      <x:c r="BS191" s="4"/>
      <x:c r="BT191" s="4" t="n">
        <x:f>IF(AND('Calculations'!BM191=1,ISNUMBER('Calculations'!BO191),ISNUMBER('Calculations'!BP191)),1,0)</x:f>
        <x:v>0</x:v>
      </x:c>
      <x:c r="BU191" s="4" t="str">
        <x:f>IF('Calculations'!BM191=0,"",'Calculations'!$EO191)</x:f>
      </x:c>
      <x:c r="BV191" s="4" t="str">
        <x:f>IF('Calculations'!BM191=0,"",IFERROR(IF(OR(INDEX(INDIRECT("'WCM Calibration Final'!$H$1:$H$2000"),'Calculations'!$EM191)="MANAGING DIRECTOR",INDEX(INDIRECT("'WCM Calibration Final'!$H$1:$H$2000"),'Calculations'!$EM191)="DIRECTOR",INDEX(INDIRECT("'WCM Calibration Final'!$H$1:$H$2000"),'Calculations'!$EM191)="SENIOR VICE PRESIDENT",INDEX(INDIRECT("'WCM Calibration Final'!$H$1:$H$2000"),'Calculations'!$EM191)="VICE PRESIDENT",INDEX(INDIRECT("'WCM Calibration Final'!$H$1:$H$2000"),'Calculations'!$EM191)="ASSISTANT VICE PRESIDENT",INDEX(INDIRECT("'WCM Calibration Final'!$H$1:$H$2000"),'Calculations'!$EM191)="OFFICER"),UPPER(INDEX(INDIRECT("'WCM Calibration Final'!$H$1:$H$2000"),'Calculations'!$EM191)),"Other"),"Other"))</x:f>
      </x:c>
      <x:c r="BW191" s="4"/>
      <x:c r="BX191" s="4"/>
      <x:c r="BY191" s="4" t="n">
        <x:f>IF(AND('Calculations'!BM191=1,'Calculations'!BU191&lt;&gt;"",COUNTIF('Calculations'!$BU$12:BU191,'Calculations'!BU191)=1),MAX('Calculations'!$BY$11:BY190)+1,0)</x:f>
        <x:v>0</x:v>
      </x:c>
      <x:c r="BZ191" s="4" t="str">
        <x:f>IF('Dashboard'!$E$67="What",'Calculations'!BO191,'Calculations'!BP191)</x:f>
      </x:c>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t="str">
        <x:f>IF(180&gt;MAX('Calculations'!$HI$13:$HI$512),"",INDEX('Calculations'!$HN$13:$HN$512,MATCH(180,'Calculations'!$HI$13:$HI$512,0)))</x:f>
      </x:c>
      <x:c r="DB191" s="4" t="str">
        <x:f>IF(180&gt;MAX('Calculations'!$HH$13:$HH$512),"",INDEX('Calculations'!$HJ$13:$HJ$512,MATCH(180,'Calculations'!$HH$13:$HH$512,0)))</x:f>
      </x:c>
      <x:c r="DC191" s="4" t="str">
        <x:f>IF(ROW()-11&gt;MAX('Calculations'!$BY$13:$BY$512),"",INDEX('Calculations'!$BU$13:$BU$512,MATCH(ROW()-11,'Calculations'!$BY$13:$BY$512,0)))</x:f>
      </x:c>
      <x:c r="DD191" s="4" t="str">
        <x:f>IF(180&gt;MAX('Calculations'!$IK$13:$IK$512),"",INDEX('Calculations'!$HK$13:$HK$512,MATCH(180,'Calculations'!$IK$13:$IK$512,0)))</x:f>
      </x:c>
      <x:c r="DE191" s="4" t="str">
        <x:f>'Calculations'!DC191</x:f>
      </x:c>
      <x:c r="DF191" s="4" t="str">
        <x:f>IF('Calculations'!DE191="","",COUNTIFS('Calculations'!$BN$13:$BN$512,1,'Calculations'!$BU$13:$BU$512,'Calculations'!DE191))</x:f>
      </x:c>
      <x:c r="DG191" s="4" t="str">
        <x:f>IF('Calculations'!DE191="","",COUNTIFS('Calculations'!$BN$13:$BN$512,1,'Calculations'!$BU$13:$BU$512,'Calculations'!DE191,'Calculations'!$BT$13:$BT$512,1))</x:f>
      </x:c>
      <x:c r="DH191" s="4" t="str">
        <x:f>IF('Calculations'!DE191="","",'Calculations'!DF191-'Calculations'!DG191)</x:f>
      </x:c>
      <x:c r="DI191" s="4" t="str">
        <x:f>IF(OR('Calculations'!DE191="",'Calculations'!DF191=0),"",'Calculations'!DG191/'Calculations'!DF191)</x:f>
      </x:c>
      <x:c r="DJ191" s="4" t="str">
        <x:f>IF('Calculations'!DE191="","",COUNTIFS('Calculations'!$BN$13:$BN$512,1,'Calculations'!$BU$13:$BU$512,'Calculations'!DE191,'Calculations'!$BT$13:$BT$512,1,'Calculations'!$EE$13:$EE$512,"High"))</x:f>
      </x:c>
      <x:c r="DK191" s="4" t="str">
        <x:f>IF('Calculations'!DE191="","",COUNTIFS('Calculations'!$BN$13:$BN$512,1,'Calculations'!$BU$13:$BU$512,'Calculations'!DE191,'Calculations'!$BT$13:$BT$512,1,'Calculations'!$EE$13:$EE$512,"Strong"))</x:f>
      </x:c>
      <x:c r="DL191" s="4" t="str">
        <x:f>IF('Calculations'!DE191="","",COUNTIFS('Calculations'!$BN$13:$BN$512,1,'Calculations'!$BU$13:$BU$512,'Calculations'!DE191,'Calculations'!$BT$13:$BT$512,1,'Calculations'!$EE$13:$EE$512,"Solid"))</x:f>
      </x:c>
      <x:c r="DM191" s="4" t="str">
        <x:f>IF('Calculations'!DE191="","",COUNTIFS('Calculations'!$BN$13:$BN$512,1,'Calculations'!$BU$13:$BU$512,'Calculations'!DE191,'Calculations'!$BT$13:$BT$512,1,'Calculations'!$EE$13:$EE$512,"Low"))</x:f>
      </x:c>
      <x:c r="DN191" s="4" t="str">
        <x:f>IF('Calculations'!DE191="","",COUNTIFS('Calculations'!$BN$13:$BN$512,1,'Calculations'!$BU$13:$BU$512,'Calculations'!DE191,'Calculations'!$EP$13:$EP$512,1))</x:f>
      </x:c>
      <x:c r="DO191" s="4" t="str">
        <x:f>IF(OR('Calculations'!DE191="",'Calculations'!DG191=0),"",('Calculations'!DJ191+'Calculations'!DK191)/'Calculations'!DG191)</x:f>
      </x:c>
      <x:c r="DP191" s="4" t="n">
        <x:f>IF(AND('Calculations'!DE191&lt;&gt;"",'Calculations'!DF191&gt;0),COUNTIF('Calculations'!$DF$12:DF191,"&gt;0"),0)</x:f>
        <x:v>0</x:v>
      </x:c>
      <x:c r="DQ191" s="4" t="str">
        <x:f>IF(180&gt;MAX('Calculations'!$HH$13:$HH$512),"",INDEX('Calculations'!$HF$13:$HF$512,MATCH(180,'Calculations'!$HH$13:$HH$512,0)))</x:f>
      </x:c>
      <x:c r="DR191" s="4" t="str">
        <x:f>IF(180&gt;MAX('Calculations'!$IK$13:$IK$512),"",INDEX('Calculations'!$HE$13:$HE$512,MATCH(180,'Calculations'!$IK$13:$IK$512,0)))</x:f>
      </x:c>
      <x:c r="DS191" s="4"/>
      <x:c r="DT191" s="4"/>
      <x:c r="DU191" s="4"/>
      <x:c r="DV191" s="4"/>
      <x:c r="DW191" s="4"/>
      <x:c r="DX191" s="4"/>
      <x:c r="DY191" s="4"/>
      <x:c r="DZ191" s="4"/>
      <x:c r="EA191" s="4"/>
      <x:c r="EB191" s="4"/>
      <x:c r="EC191" s="4"/>
      <x:c r="ED191" s="4"/>
      <x:c r="EE191" s="4" t="str">
        <x:f>IF('Calculations'!BT191=0,"Not Rated",IF(OR('Calculations'!BO191&gt;=4,'Calculations'!BP191&gt;=4),"Low",IF('Calculations'!BO191+'Calculations'!BP191&lt;=3,"High",IF('Calculations'!BO191+'Calculations'!BP191&lt;=4,"Strong","Solid"))))</x:f>
        <x:v>Not Rated</x:v>
      </x:c>
      <x:c r="EF191" s="4"/>
      <x:c r="EG191" s="4"/>
      <x:c r="EH191" s="4"/>
      <x:c r="EI191" s="4"/>
      <x:c r="EJ191" s="4"/>
      <x:c r="EK191" s="4"/>
      <x:c r="EL191" s="4"/>
      <x:c r="EM191" s="4" t="str">
        <x:f>IF(179&gt;'Calculations'!$JB$2000,"",INDEX('Calculations'!$JA$12:$JA$2000,MATCH(179,'Calculations'!$JB$12:$JB$2000,0)))</x:f>
      </x:c>
      <x:c r="EN191" s="4" t="n">
        <x:f>IF(OR('Calculations'!EM191="",'Calculations'!$AG$8&gt;0,AND('Calculations'!$EF$2&lt;&gt;"All",'Calculations'!HE191='Calculations'!$EF$2),AND('Calculations'!$EF$3&lt;&gt;"All",'Calculations'!HE191='Calculations'!$EF$3)),0,IF(OR('Dashboard'!$B$7="All",'Calculations'!HN191='Dashboard'!$B$7),IF('Calculations'!$EF$2="All",1,IF('Calculations'!HL191&gt;0,0,IF(COUNTIF('Calculations'!HO191:II191,"="&amp;SUBSTITUTE(SUBSTITUTE(SUBSTITUTE('Calculations'!$EF$2,"~","~~"),"*","~*"),"?","~?"))=0,0,IF('Calculations'!$EF$3="All",1,IF(COUNTIF('Calculations'!HO191:II191,"="&amp;SUBSTITUTE(SUBSTITUTE(SUBSTITUTE('Calculations'!$EF$3,"~","~~"),"*","~*"),"?","~?"))&gt;0,1,0))))),0))</x:f>
        <x:v>0</x:v>
      </x:c>
      <x:c r="EO191" s="4" t="str">
        <x:f>IF('Calculations'!IJ191="","",IF('Calculations'!IJ191="!UNRESOLVED","Unresolved hierarchy",IFERROR(INDEX('Calculations'!$HK$13:$HK$512,MATCH('Calculations'!IJ191,'Calculations'!$HE$13:$HE$512,0)),IFERROR(INDEX('Calculations'!$HJ$13:$HJ$512,MATCH('Calculations'!IJ191,'Calculations'!$HF$13:$HF$512,0)),'Calculations'!IJ191))))</x:f>
      </x:c>
      <x:c r="EP191" s="4" t="n">
        <x:f>IF(AND('Calculations'!EM191&lt;&gt;"",'Calculations'!HF191='Calculations'!IJ191),1,0)</x:f>
        <x:v>0</x:v>
      </x:c>
      <x:c r="EQ191" s="4"/>
      <x:c r="ER191" s="4"/>
      <x:c r="ES191" s="4"/>
      <x:c r="ET191" s="4"/>
      <x:c r="EU191" s="4"/>
      <x:c r="EV191" s="4"/>
      <x:c r="EW191" s="4"/>
      <x:c r="EX191" s="4"/>
      <x:c r="EY191" s="4"/>
      <x:c r="EZ191" s="4"/>
      <x:c r="FA191" s="4"/>
      <x:c r="FB191" s="4"/>
      <x:c r="FC191" s="4"/>
      <x:c r="FD191" s="4"/>
      <x:c r="FE191" s="4"/>
      <x:c r="FF191" s="4"/>
      <x:c r="FG191" s="4"/>
      <x:c r="FH191" s="4"/>
      <x:c r="FI191" s="4"/>
      <x:c r="FJ191" s="4"/>
      <x:c r="FK191" s="4"/>
      <x:c r="FL191" s="4"/>
      <x:c r="FM191" s="4"/>
      <x:c r="FN191" s="4"/>
      <x:c r="FO191" s="4"/>
      <x:c r="GA191" s="71"/>
      <x:c r="GB191" s="71"/>
      <x:c r="GC191" s="71"/>
      <x:c r="GD191" s="71"/>
      <x:c r="GE191" s="71"/>
      <x:c r="GF191" s="71"/>
      <x:c r="GG191" s="71"/>
      <x:c r="GH191" s="71"/>
      <x:c r="GI191" s="71"/>
      <x:c r="GJ191" s="71"/>
      <x:c r="GK191" s="71"/>
      <x:c r="GL191" s="71"/>
      <x:c r="GM191" s="71"/>
      <x:c r="GN191" s="71"/>
      <x:c r="GO191" s="71"/>
      <x:c r="GP191" s="71"/>
      <x:c r="GQ191" s="71"/>
      <x:c r="GR191" s="71"/>
      <x:c r="GS191" s="71"/>
      <x:c r="GT191" s="71"/>
      <x:c r="GU191" s="71"/>
      <x:c r="GV191" s="71"/>
      <x:c r="GW191" s="71"/>
      <x:c r="GX191" s="71"/>
      <x:c r="GY191" s="71"/>
      <x:c r="GZ191" s="71"/>
      <x:c r="HA191" s="71"/>
      <x:c r="HB191" s="71"/>
      <x:c r="HC191" s="71"/>
      <x:c r="HD191" s="71"/>
      <x:c r="HE191" t="str">
        <x:f>IF('Calculations'!EM191="","",IF(IFERROR(IF(INDEX(INDIRECT("'WCM Calibration Final'!$A$1:$A$2000"),'Calculations'!$EM191)="","",TRIM(INDEX(INDIRECT("'WCM Calibration Final'!$A$1:$A$2000"),'Calculations'!$EM191)&amp;"")),"")&lt;&gt;"","G:"&amp;IFERROR(TEXT(1*INDEX(INDIRECT("'WCM Calibration Final'!$A$1:$A$2000"),'Calculations'!$EM191),"0"),UPPER(IFERROR(IF(INDEX(INDIRECT("'WCM Calibration Final'!$A$1:$A$2000"),'Calculations'!$EM191)="","",TRIM(INDEX(INDIRECT("'WCM Calibration Final'!$A$1:$A$2000"),'Calculations'!$EM191)&amp;"")),""))),IF(IFERROR(IF(INDEX(INDIRECT("'WCM Calibration Final'!$C$1:$C$2000"),'Calculations'!$EM191)="","",TRIM(INDEX(INDIRECT("'WCM Calibration Final'!$C$1:$C$2000"),'Calculations'!$EM191)&amp;"")),"")&lt;&gt;"","S:"&amp;UPPER(IFERROR(IF(INDEX(INDIRECT("'WCM Calibration Final'!$C$1:$C$2000"),'Calculations'!$EM191)="","",TRIM(INDEX(INDIRECT("'WCM Calibration Final'!$C$1:$C$2000"),'Calculations'!$EM191)&amp;"")),"")),"R:"&amp;'Calculations'!EM191)))</x:f>
      </x:c>
      <x:c r="HF191" t="str">
        <x:f>IF('Calculations'!EM191="","",IF(IFERROR(IF(INDEX(INDIRECT("'WCM Calibration Final'!$D$1:$D$2000"),'Calculations'!$EM191)="","",TRIM(INDEX(INDIRECT("'WCM Calibration Final'!$D$1:$D$2000"),'Calculations'!$EM191)&amp;"")),"")&lt;&gt;"","G:"&amp;IFERROR(TEXT(1*INDEX(INDIRECT("'WCM Calibration Final'!$D$1:$D$2000"),'Calculations'!$EM191),"0"),UPPER(IFERROR(IF(INDEX(INDIRECT("'WCM Calibration Final'!$D$1:$D$2000"),'Calculations'!$EM191)="","",TRIM(INDEX(INDIRECT("'WCM Calibration Final'!$D$1:$D$2000"),'Calculations'!$EM191)&amp;"")),""))),IF(IFERROR(IF(INDEX(INDIRECT("'WCM Calibration Final'!$E$1:$E$2000"),'Calculations'!$EM191)="","",TRIM(INDEX(INDIRECT("'WCM Calibration Final'!$E$1:$E$2000"),'Calculations'!$EM191)&amp;"")),"")="","",IF(COUNTIF('Calculations'!$HG$13:$HG$512,"="&amp;SUBSTITUTE(SUBSTITUTE(SUBSTITUTE(IFERROR(IF(INDEX(INDIRECT("'WCM Calibration Final'!$E$1:$E$2000"),'Calculations'!$EM191)="","",TRIM(INDEX(INDIRECT("'WCM Calibration Final'!$E$1:$E$2000"),'Calculations'!$EM191)&amp;"")),""),"~","~~"),"*","~*"),"?","~?"))=1,INDEX('Calculations'!$HE$13:$HE$512,MATCH(IFERROR(IF(INDEX(INDIRECT("'WCM Calibration Final'!$E$1:$E$2000"),'Calculations'!$EM191)="","",TRIM(INDEX(INDIRECT("'WCM Calibration Final'!$E$1:$E$2000"),'Calculations'!$EM191)&amp;"")),""),'Calculations'!$HG$13:$HG$512,0)),IF(COUNTIF('Calculations'!$HG$13:$HG$512,"="&amp;SUBSTITUTE(SUBSTITUTE(SUBSTITUTE(IFERROR(IF(INDEX(INDIRECT("'WCM Calibration Final'!$E$1:$E$2000"),'Calculations'!$EM191)="","",TRIM(INDEX(INDIRECT("'WCM Calibration Final'!$E$1:$E$2000"),'Calculations'!$EM191)&amp;"")),""),"~","~~"),"*","~*"),"?","~?"))&gt;1,"!AMBIG","X:"&amp;IFERROR(IF(INDEX(INDIRECT("'WCM Calibration Final'!$E$1:$E$2000"),'Calculations'!$EM191)="","",TRIM(INDEX(INDIRECT("'WCM Calibration Final'!$E$1:$E$2000"),'Calculations'!$EM191)&amp;"")),""))))))</x:f>
      </x:c>
      <x:c r="HG191" t="str">
        <x:f>IF('Calculations'!EM191="","",IFERROR(IF(INDEX(INDIRECT("'WCM Calibration Final'!$B$1:$B$2000"),'Calculations'!$EM191)="","",TRIM(INDEX(INDIRECT("'WCM Calibration Final'!$B$1:$B$2000"),'Calculations'!$EM191)&amp;"")),""))</x:f>
      </x:c>
      <x:c r="HH191" t="n">
        <x:f>IF(AND('Calculations'!JC191&gt;0,COUNTIF('Calculations'!$HF$12:HF191,"="&amp;SUBSTITUTE(SUBSTITUTE(SUBSTITUTE('Calculations'!HF191,"~","~~"),"*","~*"),"?","~?"))=1),MAX('Calculations'!$HH$12:HH190)+1,0)</x:f>
        <x:v>0</x:v>
      </x:c>
      <x:c r="HI191" t="n">
        <x:f>IF(AND('Calculations'!HN191&lt;&gt;"",COUNTIF('Calculations'!$HN$12:HN191,"="&amp;SUBSTITUTE(SUBSTITUTE(SUBSTITUTE('Calculations'!HN191,"~","~~"),"*","~*"),"?","~?"))=1),MAX('Calculations'!$HI$12:HI190)+1,0)</x:f>
        <x:v>0</x:v>
      </x:c>
      <x:c r="HJ191" t="str">
        <x:f>IF('Calculations'!HF191="","",IF(COUNTIF('Calculations'!$HE$13:$HE$512,"="&amp;SUBSTITUTE(SUBSTITUTE(SUBSTITUTE('Calculations'!HF191,"~","~~"),"*","~*"),"?","~?"))=1,INDEX('Calculations'!$HK$13:$HK$512,MATCH('Calculations'!HF191,'Calculations'!$HE$13:$HE$512,0)),IFERROR(IF(INDEX(INDIRECT("'WCM Calibration Final'!$E$1:$E$2000"),'Calculations'!$EM191)="","",TRIM(INDEX(INDIRECT("'WCM Calibration Final'!$E$1:$E$2000"),'Calculations'!$EM191)&amp;"")),"")&amp;" ["&amp;'Calculations'!HF191&amp;"]"))</x:f>
      </x:c>
      <x:c r="HK191" t="str">
        <x:f>IF('Calculations'!EM191="","",'Calculations'!HG191&amp;" ["&amp;'Calculations'!HE191&amp;"]")</x:f>
      </x:c>
      <x:c r="HL191" t="n">
        <x:f>IF('Calculations'!EM191="",0,IF(OR('Calculations'!II191&lt;&gt;"",COUNTIF('Calculations'!$HE$13:$HE$512,"="&amp;SUBSTITUTE(SUBSTITUTE(SUBSTITUTE('Calculations'!HE191,"~","~~"),"*","~*"),"?","~?"))&gt;1),1,0))</x:f>
        <x:v>0</x:v>
      </x:c>
      <x:c r="HM191" t="str">
        <x:f>IF('Calculations'!EM191="","",IF('Calculations'!HL191=1,"!UNRESOLVED",IF('Calculations'!IH191&lt;&gt;"",'Calculations'!IH191,IF('Calculations'!IG191&lt;&gt;"",'Calculations'!IG191,IF('Calculations'!IF191&lt;&gt;"",'Calculations'!IF191,IF('Calculations'!IE191&lt;&gt;"",'Calculations'!IE191,IF('Calculations'!ID191&lt;&gt;"",'Calculations'!ID191,IF('Calculations'!IC191&lt;&gt;"",'Calculations'!IC191,IF('Calculations'!IB191&lt;&gt;"",'Calculations'!IB191,IF('Calculations'!IA191&lt;&gt;"",'Calculations'!IA191,IF('Calculations'!HZ191&lt;&gt;"",'Calculations'!HZ191,IF('Calculations'!HY191&lt;&gt;"",'Calculations'!HY191,IF('Calculations'!HX191&lt;&gt;"",'Calculations'!HX191,IF('Calculations'!HW191&lt;&gt;"",'Calculations'!HW191,IF('Calculations'!HV191&lt;&gt;"",'Calculations'!HV191,IF('Calculations'!HU191&lt;&gt;"",'Calculations'!HU191,IF('Calculations'!HT191&lt;&gt;"",'Calculations'!HT191,IF('Calculations'!HS191&lt;&gt;"",'Calculations'!HS191,IF('Calculations'!HR191&lt;&gt;"",'Calculations'!HR191,IF('Calculations'!HQ191&lt;&gt;"",'Calculations'!HQ191,IF('Calculations'!HP191&lt;&gt;"",'Calculations'!HP191,IF('Calculations'!HO191&lt;&gt;"",'Calculations'!HO191,'Calculations'!HE191))))))))))))))))))))))</x:f>
      </x:c>
      <x:c r="HN191" t="str">
        <x:f>IF('Calculations'!EM191="","",IF(IFERROR(IF(INDEX(INDIRECT("'WCM Calibration Final'!$F$1:$F$2000"),'Calculations'!$EM191)="","",TRIM(INDEX(INDIRECT("'WCM Calibration Final'!$F$1:$F$2000"),'Calculations'!$EM191)&amp;"")),"")="","(Blank)",IFERROR(IF(INDEX(INDIRECT("'WCM Calibration Final'!$F$1:$F$2000"),'Calculations'!$EM191)="","",TRIM(INDEX(INDIRECT("'WCM Calibration Final'!$F$1:$F$2000"),'Calculations'!$EM191)&amp;"")),"")))</x:f>
      </x:c>
      <x:c r="HO191" t="str">
        <x:f>'Calculations'!HF191</x:f>
      </x:c>
      <x:c r="HP191" t="str">
        <x:f>IF('Calculations'!HO191="","",IF('Calculations'!HO191="!AMBIG","!AMBIG",IF(COUNTIF('Calculations'!$HE$13:$HE$512,"="&amp;SUBSTITUTE(SUBSTITUTE(SUBSTITUTE('Calculations'!HO191,"~","~~"),"*","~*"),"?","~?"))&gt;1,"!AMBIG",IFERROR(INDEX('Calculations'!$HF$13:$HF$512,MATCH('Calculations'!HO191,'Calculations'!$HE$13:$HE$512,0)),""))))</x:f>
      </x:c>
      <x:c r="HQ191" t="str">
        <x:f>IF('Calculations'!HP191="","",IF('Calculations'!HP191="!AMBIG","!AMBIG",IF(COUNTIF('Calculations'!$HE$13:$HE$512,"="&amp;SUBSTITUTE(SUBSTITUTE(SUBSTITUTE('Calculations'!HP191,"~","~~"),"*","~*"),"?","~?"))&gt;1,"!AMBIG",IFERROR(INDEX('Calculations'!$HF$13:$HF$512,MATCH('Calculations'!HP191,'Calculations'!$HE$13:$HE$512,0)),""))))</x:f>
      </x:c>
      <x:c r="HR191" t="str">
        <x:f>IF('Calculations'!HQ191="","",IF('Calculations'!HQ191="!AMBIG","!AMBIG",IF(COUNTIF('Calculations'!$HE$13:$HE$512,"="&amp;SUBSTITUTE(SUBSTITUTE(SUBSTITUTE('Calculations'!HQ191,"~","~~"),"*","~*"),"?","~?"))&gt;1,"!AMBIG",IFERROR(INDEX('Calculations'!$HF$13:$HF$512,MATCH('Calculations'!HQ191,'Calculations'!$HE$13:$HE$512,0)),""))))</x:f>
      </x:c>
      <x:c r="HS191" t="str">
        <x:f>IF('Calculations'!HR191="","",IF('Calculations'!HR191="!AMBIG","!AMBIG",IF(COUNTIF('Calculations'!$HE$13:$HE$512,"="&amp;SUBSTITUTE(SUBSTITUTE(SUBSTITUTE('Calculations'!HR191,"~","~~"),"*","~*"),"?","~?"))&gt;1,"!AMBIG",IFERROR(INDEX('Calculations'!$HF$13:$HF$512,MATCH('Calculations'!HR191,'Calculations'!$HE$13:$HE$512,0)),""))))</x:f>
      </x:c>
      <x:c r="HT191" t="str">
        <x:f>IF('Calculations'!HS191="","",IF('Calculations'!HS191="!AMBIG","!AMBIG",IF(COUNTIF('Calculations'!$HE$13:$HE$512,"="&amp;SUBSTITUTE(SUBSTITUTE(SUBSTITUTE('Calculations'!HS191,"~","~~"),"*","~*"),"?","~?"))&gt;1,"!AMBIG",IFERROR(INDEX('Calculations'!$HF$13:$HF$512,MATCH('Calculations'!HS191,'Calculations'!$HE$13:$HE$512,0)),""))))</x:f>
      </x:c>
      <x:c r="HU191" t="str">
        <x:f>IF('Calculations'!HT191="","",IF('Calculations'!HT191="!AMBIG","!AMBIG",IF(COUNTIF('Calculations'!$HE$13:$HE$512,"="&amp;SUBSTITUTE(SUBSTITUTE(SUBSTITUTE('Calculations'!HT191,"~","~~"),"*","~*"),"?","~?"))&gt;1,"!AMBIG",IFERROR(INDEX('Calculations'!$HF$13:$HF$512,MATCH('Calculations'!HT191,'Calculations'!$HE$13:$HE$512,0)),""))))</x:f>
      </x:c>
      <x:c r="HV191" t="str">
        <x:f>IF('Calculations'!HU191="","",IF('Calculations'!HU191="!AMBIG","!AMBIG",IF(COUNTIF('Calculations'!$HE$13:$HE$512,"="&amp;SUBSTITUTE(SUBSTITUTE(SUBSTITUTE('Calculations'!HU191,"~","~~"),"*","~*"),"?","~?"))&gt;1,"!AMBIG",IFERROR(INDEX('Calculations'!$HF$13:$HF$512,MATCH('Calculations'!HU191,'Calculations'!$HE$13:$HE$512,0)),""))))</x:f>
      </x:c>
      <x:c r="HW191" t="str">
        <x:f>IF('Calculations'!HV191="","",IF('Calculations'!HV191="!AMBIG","!AMBIG",IF(COUNTIF('Calculations'!$HE$13:$HE$512,"="&amp;SUBSTITUTE(SUBSTITUTE(SUBSTITUTE('Calculations'!HV191,"~","~~"),"*","~*"),"?","~?"))&gt;1,"!AMBIG",IFERROR(INDEX('Calculations'!$HF$13:$HF$512,MATCH('Calculations'!HV191,'Calculations'!$HE$13:$HE$512,0)),""))))</x:f>
      </x:c>
      <x:c r="HX191" t="str">
        <x:f>IF('Calculations'!HW191="","",IF('Calculations'!HW191="!AMBIG","!AMBIG",IF(COUNTIF('Calculations'!$HE$13:$HE$512,"="&amp;SUBSTITUTE(SUBSTITUTE(SUBSTITUTE('Calculations'!HW191,"~","~~"),"*","~*"),"?","~?"))&gt;1,"!AMBIG",IFERROR(INDEX('Calculations'!$HF$13:$HF$512,MATCH('Calculations'!HW191,'Calculations'!$HE$13:$HE$512,0)),""))))</x:f>
      </x:c>
      <x:c r="HY191" t="str">
        <x:f>IF('Calculations'!HX191="","",IF('Calculations'!HX191="!AMBIG","!AMBIG",IF(COUNTIF('Calculations'!$HE$13:$HE$512,"="&amp;SUBSTITUTE(SUBSTITUTE(SUBSTITUTE('Calculations'!HX191,"~","~~"),"*","~*"),"?","~?"))&gt;1,"!AMBIG",IFERROR(INDEX('Calculations'!$HF$13:$HF$512,MATCH('Calculations'!HX191,'Calculations'!$HE$13:$HE$512,0)),""))))</x:f>
      </x:c>
      <x:c r="HZ191" t="str">
        <x:f>IF('Calculations'!HY191="","",IF('Calculations'!HY191="!AMBIG","!AMBIG",IF(COUNTIF('Calculations'!$HE$13:$HE$512,"="&amp;SUBSTITUTE(SUBSTITUTE(SUBSTITUTE('Calculations'!HY191,"~","~~"),"*","~*"),"?","~?"))&gt;1,"!AMBIG",IFERROR(INDEX('Calculations'!$HF$13:$HF$512,MATCH('Calculations'!HY191,'Calculations'!$HE$13:$HE$512,0)),""))))</x:f>
      </x:c>
      <x:c r="IA191" t="str">
        <x:f>IF('Calculations'!HZ191="","",IF('Calculations'!HZ191="!AMBIG","!AMBIG",IF(COUNTIF('Calculations'!$HE$13:$HE$512,"="&amp;SUBSTITUTE(SUBSTITUTE(SUBSTITUTE('Calculations'!HZ191,"~","~~"),"*","~*"),"?","~?"))&gt;1,"!AMBIG",IFERROR(INDEX('Calculations'!$HF$13:$HF$512,MATCH('Calculations'!HZ191,'Calculations'!$HE$13:$HE$512,0)),""))))</x:f>
      </x:c>
      <x:c r="IB191" t="str">
        <x:f>IF('Calculations'!IA191="","",IF('Calculations'!IA191="!AMBIG","!AMBIG",IF(COUNTIF('Calculations'!$HE$13:$HE$512,"="&amp;SUBSTITUTE(SUBSTITUTE(SUBSTITUTE('Calculations'!IA191,"~","~~"),"*","~*"),"?","~?"))&gt;1,"!AMBIG",IFERROR(INDEX('Calculations'!$HF$13:$HF$512,MATCH('Calculations'!IA191,'Calculations'!$HE$13:$HE$512,0)),""))))</x:f>
      </x:c>
      <x:c r="IC191" t="str">
        <x:f>IF('Calculations'!IB191="","",IF('Calculations'!IB191="!AMBIG","!AMBIG",IF(COUNTIF('Calculations'!$HE$13:$HE$512,"="&amp;SUBSTITUTE(SUBSTITUTE(SUBSTITUTE('Calculations'!IB191,"~","~~"),"*","~*"),"?","~?"))&gt;1,"!AMBIG",IFERROR(INDEX('Calculations'!$HF$13:$HF$512,MATCH('Calculations'!IB191,'Calculations'!$HE$13:$HE$512,0)),""))))</x:f>
      </x:c>
      <x:c r="ID191" t="str">
        <x:f>IF('Calculations'!IC191="","",IF('Calculations'!IC191="!AMBIG","!AMBIG",IF(COUNTIF('Calculations'!$HE$13:$HE$512,"="&amp;SUBSTITUTE(SUBSTITUTE(SUBSTITUTE('Calculations'!IC191,"~","~~"),"*","~*"),"?","~?"))&gt;1,"!AMBIG",IFERROR(INDEX('Calculations'!$HF$13:$HF$512,MATCH('Calculations'!IC191,'Calculations'!$HE$13:$HE$512,0)),""))))</x:f>
      </x:c>
      <x:c r="IE191" t="str">
        <x:f>IF('Calculations'!ID191="","",IF('Calculations'!ID191="!AMBIG","!AMBIG",IF(COUNTIF('Calculations'!$HE$13:$HE$512,"="&amp;SUBSTITUTE(SUBSTITUTE(SUBSTITUTE('Calculations'!ID191,"~","~~"),"*","~*"),"?","~?"))&gt;1,"!AMBIG",IFERROR(INDEX('Calculations'!$HF$13:$HF$512,MATCH('Calculations'!ID191,'Calculations'!$HE$13:$HE$512,0)),""))))</x:f>
      </x:c>
      <x:c r="IF191" t="str">
        <x:f>IF('Calculations'!IE191="","",IF('Calculations'!IE191="!AMBIG","!AMBIG",IF(COUNTIF('Calculations'!$HE$13:$HE$512,"="&amp;SUBSTITUTE(SUBSTITUTE(SUBSTITUTE('Calculations'!IE191,"~","~~"),"*","~*"),"?","~?"))&gt;1,"!AMBIG",IFERROR(INDEX('Calculations'!$HF$13:$HF$512,MATCH('Calculations'!IE191,'Calculations'!$HE$13:$HE$512,0)),""))))</x:f>
      </x:c>
      <x:c r="IG191" t="str">
        <x:f>IF('Calculations'!IF191="","",IF('Calculations'!IF191="!AMBIG","!AMBIG",IF(COUNTIF('Calculations'!$HE$13:$HE$512,"="&amp;SUBSTITUTE(SUBSTITUTE(SUBSTITUTE('Calculations'!IF191,"~","~~"),"*","~*"),"?","~?"))&gt;1,"!AMBIG",IFERROR(INDEX('Calculations'!$HF$13:$HF$512,MATCH('Calculations'!IF191,'Calculations'!$HE$13:$HE$512,0)),""))))</x:f>
      </x:c>
      <x:c r="IH191" t="str">
        <x:f>IF('Calculations'!IG191="","",IF('Calculations'!IG191="!AMBIG","!AMBIG",IF(COUNTIF('Calculations'!$HE$13:$HE$512,"="&amp;SUBSTITUTE(SUBSTITUTE(SUBSTITUTE('Calculations'!IG191,"~","~~"),"*","~*"),"?","~?"))&gt;1,"!AMBIG",IFERROR(INDEX('Calculations'!$HF$13:$HF$512,MATCH('Calculations'!IG191,'Calculations'!$HE$13:$HE$512,0)),""))))</x:f>
      </x:c>
      <x:c r="II191" t="str">
        <x:f>IF('Calculations'!IH191="","",IF('Calculations'!IH191="!AMBIG","!AMBIG",IF(COUNTIF('Calculations'!$HE$13:$HE$512,"="&amp;SUBSTITUTE(SUBSTITUTE(SUBSTITUTE('Calculations'!IH191,"~","~~"),"*","~*"),"?","~?"))&gt;1,"!AMBIG",IFERROR(INDEX('Calculations'!$HF$13:$HF$512,MATCH('Calculations'!IH191,'Calculations'!$HE$13:$HE$512,0)),""))))</x:f>
      </x:c>
      <x:c r="IJ191" t="str">
        <x:f>IF('Calculations'!EM191="","",IF('Calculations'!$EF$2="All",'Calculations'!HM191,IF('Calculations'!HL191=1,"",IFERROR(IF(MATCH('Calculations'!$EF$2,'Calculations'!HO191:II191,0)=1,'Calculations'!HE191,INDEX('Calculations'!HO191:II191,1,MATCH('Calculations'!$EF$2,'Calculations'!HO191:II191,0)-1)),""))))</x:f>
      </x:c>
      <x:c r="IK191" t="n">
        <x:f>IF(AND('Calculations'!EM191&lt;&gt;"",'Calculations'!$EF$2&lt;&gt;"All",'Calculations'!HF191='Calculations'!$EF$2,'Calculations'!HL191=0,'Calculations'!JD191&gt;0),MAX('Calculations'!$IK$12:IK190)+1,0)</x:f>
        <x:v>0</x:v>
      </x:c>
      <x:c r="JA191" t="n">
        <x:f>IF(OR(IFERROR(INDIRECT("'WCM Calibration Final'!$A$191")&lt;&gt;"",FALSE),IFERROR(INDIRECT("'WCM Calibration Final'!$B$191")&lt;&gt;"",FALSE),IFERROR(INDIRECT("'WCM Calibration Final'!$C$191")&lt;&gt;"",FALSE)),191,0)</x:f>
        <x:v>0</x:v>
      </x:c>
      <x:c r="JB191" t="n">
        <x:f>'Calculations'!JB190+IF('Calculations'!JA191&gt;0,1,0)</x:f>
        <x:v>0</x:v>
      </x:c>
      <x:c r="JC191" t="n">
        <x:f>IF(OR('Calculations'!HF191="",'Calculations'!HF191="!AMBIG"),0,IF('Dashboard'!$B$7="All",1,COUNTIFS('Calculations'!$HO$13:$HO$512,"="&amp;SUBSTITUTE(SUBSTITUTE(SUBSTITUTE('Calculations'!HF191,"~","~~"),"*","~*"),"?","~?"),'Calculations'!$HN$13:$HN$512,"="&amp;SUBSTITUTE(SUBSTITUTE(SUBSTITUTE('Dashboard'!$B$7,"~","~~"),"*","~*"),"?","~?"))+COUNTIFS('Calculations'!$HP$13:$HP$512,"="&amp;SUBSTITUTE(SUBSTITUTE(SUBSTITUTE('Calculations'!HF191,"~","~~"),"*","~*"),"?","~?"),'Calculations'!$HN$13:$HN$512,"="&amp;SUBSTITUTE(SUBSTITUTE(SUBSTITUTE('Dashboard'!$B$7,"~","~~"),"*","~*"),"?","~?"))+COUNTIFS('Calculations'!$HQ$13:$HQ$512,"="&amp;SUBSTITUTE(SUBSTITUTE(SUBSTITUTE('Calculations'!HF191,"~","~~"),"*","~*"),"?","~?"),'Calculations'!$HN$13:$HN$512,"="&amp;SUBSTITUTE(SUBSTITUTE(SUBSTITUTE('Dashboard'!$B$7,"~","~~"),"*","~*"),"?","~?"))+COUNTIFS('Calculations'!$HR$13:$HR$512,"="&amp;SUBSTITUTE(SUBSTITUTE(SUBSTITUTE('Calculations'!HF191,"~","~~"),"*","~*"),"?","~?"),'Calculations'!$HN$13:$HN$512,"="&amp;SUBSTITUTE(SUBSTITUTE(SUBSTITUTE('Dashboard'!$B$7,"~","~~"),"*","~*"),"?","~?"))+COUNTIFS('Calculations'!$HS$13:$HS$512,"="&amp;SUBSTITUTE(SUBSTITUTE(SUBSTITUTE('Calculations'!HF191,"~","~~"),"*","~*"),"?","~?"),'Calculations'!$HN$13:$HN$512,"="&amp;SUBSTITUTE(SUBSTITUTE(SUBSTITUTE('Dashboard'!$B$7,"~","~~"),"*","~*"),"?","~?"))+COUNTIFS('Calculations'!$HT$13:$HT$512,"="&amp;SUBSTITUTE(SUBSTITUTE(SUBSTITUTE('Calculations'!HF191,"~","~~"),"*","~*"),"?","~?"),'Calculations'!$HN$13:$HN$512,"="&amp;SUBSTITUTE(SUBSTITUTE(SUBSTITUTE('Dashboard'!$B$7,"~","~~"),"*","~*"),"?","~?"))+COUNTIFS('Calculations'!$HU$13:$HU$512,"="&amp;SUBSTITUTE(SUBSTITUTE(SUBSTITUTE('Calculations'!HF191,"~","~~"),"*","~*"),"?","~?"),'Calculations'!$HN$13:$HN$512,"="&amp;SUBSTITUTE(SUBSTITUTE(SUBSTITUTE('Dashboard'!$B$7,"~","~~"),"*","~*"),"?","~?"))+COUNTIFS('Calculations'!$HV$13:$HV$512,"="&amp;SUBSTITUTE(SUBSTITUTE(SUBSTITUTE('Calculations'!HF191,"~","~~"),"*","~*"),"?","~?"),'Calculations'!$HN$13:$HN$512,"="&amp;SUBSTITUTE(SUBSTITUTE(SUBSTITUTE('Dashboard'!$B$7,"~","~~"),"*","~*"),"?","~?"))+COUNTIFS('Calculations'!$HW$13:$HW$512,"="&amp;SUBSTITUTE(SUBSTITUTE(SUBSTITUTE('Calculations'!HF191,"~","~~"),"*","~*"),"?","~?"),'Calculations'!$HN$13:$HN$512,"="&amp;SUBSTITUTE(SUBSTITUTE(SUBSTITUTE('Dashboard'!$B$7,"~","~~"),"*","~*"),"?","~?"))+COUNTIFS('Calculations'!$HX$13:$HX$512,"="&amp;SUBSTITUTE(SUBSTITUTE(SUBSTITUTE('Calculations'!HF191,"~","~~"),"*","~*"),"?","~?"),'Calculations'!$HN$13:$HN$512,"="&amp;SUBSTITUTE(SUBSTITUTE(SUBSTITUTE('Dashboard'!$B$7,"~","~~"),"*","~*"),"?","~?"))+COUNTIFS('Calculations'!$HY$13:$HY$512,"="&amp;SUBSTITUTE(SUBSTITUTE(SUBSTITUTE('Calculations'!HF191,"~","~~"),"*","~*"),"?","~?"),'Calculations'!$HN$13:$HN$512,"="&amp;SUBSTITUTE(SUBSTITUTE(SUBSTITUTE('Dashboard'!$B$7,"~","~~"),"*","~*"),"?","~?"))+COUNTIFS('Calculations'!$HZ$13:$HZ$512,"="&amp;SUBSTITUTE(SUBSTITUTE(SUBSTITUTE('Calculations'!HF191,"~","~~"),"*","~*"),"?","~?"),'Calculations'!$HN$13:$HN$512,"="&amp;SUBSTITUTE(SUBSTITUTE(SUBSTITUTE('Dashboard'!$B$7,"~","~~"),"*","~*"),"?","~?"))+COUNTIFS('Calculations'!$IA$13:$IA$512,"="&amp;SUBSTITUTE(SUBSTITUTE(SUBSTITUTE('Calculations'!HF191,"~","~~"),"*","~*"),"?","~?"),'Calculations'!$HN$13:$HN$512,"="&amp;SUBSTITUTE(SUBSTITUTE(SUBSTITUTE('Dashboard'!$B$7,"~","~~"),"*","~*"),"?","~?"))+COUNTIFS('Calculations'!$IB$13:$IB$512,"="&amp;SUBSTITUTE(SUBSTITUTE(SUBSTITUTE('Calculations'!HF191,"~","~~"),"*","~*"),"?","~?"),'Calculations'!$HN$13:$HN$512,"="&amp;SUBSTITUTE(SUBSTITUTE(SUBSTITUTE('Dashboard'!$B$7,"~","~~"),"*","~*"),"?","~?"))+COUNTIFS('Calculations'!$IC$13:$IC$512,"="&amp;SUBSTITUTE(SUBSTITUTE(SUBSTITUTE('Calculations'!HF191,"~","~~"),"*","~*"),"?","~?"),'Calculations'!$HN$13:$HN$512,"="&amp;SUBSTITUTE(SUBSTITUTE(SUBSTITUTE('Dashboard'!$B$7,"~","~~"),"*","~*"),"?","~?"))+COUNTIFS('Calculations'!$ID$13:$ID$512,"="&amp;SUBSTITUTE(SUBSTITUTE(SUBSTITUTE('Calculations'!HF191,"~","~~"),"*","~*"),"?","~?"),'Calculations'!$HN$13:$HN$512,"="&amp;SUBSTITUTE(SUBSTITUTE(SUBSTITUTE('Dashboard'!$B$7,"~","~~"),"*","~*"),"?","~?"))+COUNTIFS('Calculations'!$IE$13:$IE$512,"="&amp;SUBSTITUTE(SUBSTITUTE(SUBSTITUTE('Calculations'!HF191,"~","~~"),"*","~*"),"?","~?"),'Calculations'!$HN$13:$HN$512,"="&amp;SUBSTITUTE(SUBSTITUTE(SUBSTITUTE('Dashboard'!$B$7,"~","~~"),"*","~*"),"?","~?"))+COUNTIFS('Calculations'!$IF$13:$IF$512,"="&amp;SUBSTITUTE(SUBSTITUTE(SUBSTITUTE('Calculations'!HF191,"~","~~"),"*","~*"),"?","~?"),'Calculations'!$HN$13:$HN$512,"="&amp;SUBSTITUTE(SUBSTITUTE(SUBSTITUTE('Dashboard'!$B$7,"~","~~"),"*","~*"),"?","~?"))+COUNTIFS('Calculations'!$IG$13:$IG$512,"="&amp;SUBSTITUTE(SUBSTITUTE(SUBSTITUTE('Calculations'!HF191,"~","~~"),"*","~*"),"?","~?"),'Calculations'!$HN$13:$HN$512,"="&amp;SUBSTITUTE(SUBSTITUTE(SUBSTITUTE('Dashboard'!$B$7,"~","~~"),"*","~*"),"?","~?"))+COUNTIFS('Calculations'!$IH$13:$IH$512,"="&amp;SUBSTITUTE(SUBSTITUTE(SUBSTITUTE('Calculations'!HF191,"~","~~"),"*","~*"),"?","~?"),'Calculations'!$HN$13:$HN$512,"="&amp;SUBSTITUTE(SUBSTITUTE(SUBSTITUTE('Dashboard'!$B$7,"~","~~"),"*","~*"),"?","~?"))))</x:f>
        <x:v>0</x:v>
      </x:c>
      <x:c r="JD191" t="n">
        <x:f>IF('Calculations'!EM191="",0,IF('Dashboard'!$B$7="All",1,IF('Calculations'!HN191='Dashboard'!$B$7,1,0)+IFERROR(INDEX('Calculations'!$JC$13:$JC$512,MATCH('Calculations'!HE191,'Calculations'!$HF$13:$HF$512,0)),0)))</x:f>
        <x:v>0</x:v>
      </x:c>
      <x:c r="JE191" t="n">
        <x:f>IF(AND('Calculations'!EM191&lt;&gt;"",'Calculations'!$JJ$2&lt;&gt;"All",'Calculations'!$JJ$2&lt;&gt;"",'Calculations'!HF191='Calculations'!$JJ$2,'Calculations'!HL191=0,'Calculations'!JD191&gt;0),MAX('Calculations'!$JE$12:JE190)+1,0)</x:f>
        <x:v>0</x:v>
      </x:c>
      <x:c r="JF191" t="str">
        <x:f>IF('Calculations'!EM191="","",IFERROR(IF(INDEX(INDIRECT("'WCM Calibration Final'!$G$1:$G$2000"),'Calculations'!$EM191)="","",TRIM(INDEX(INDIRECT("'WCM Calibration Final'!$G$1:$G$2000"),'Calculations'!$EM191)&amp;"")),""))</x:f>
      </x:c>
      <x:c r="JQ191" t="n">
        <x:f>IF(OR('Calculations'!BM191=0,NOT('Calculations'!$AG$2),'Calculations'!$AG$8&gt;0),0,IF(OR('Dashboard'!$B$7="All",'Calculations'!HN191='Dashboard'!$B$7),IF('Calculations'!$JJ$2="All",1,IF(AND('Calculations'!HF191='Calculations'!$JJ$2,'Calculations'!HL191=0),1,0)),0))</x:f>
        <x:v>0</x:v>
      </x:c>
    </x:row>
    <x:row r="192">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t="n">
        <x:f>IF('Calculations'!$EM192="",0,IF(OR(IFERROR(INDEX(INDIRECT("'WCM Calibration Final'!$A$1:$A$2000"),'Calculations'!$EM192)&lt;&gt;"",FALSE),IFERROR(INDEX(INDIRECT("'WCM Calibration Final'!$B$1:$B$2000"),'Calculations'!$EM192)&lt;&gt;"",FALSE),IFERROR(INDEX(INDIRECT("'WCM Calibration Final'!$C$1:$C$2000"),'Calculations'!$EM192)&lt;&gt;"",FALSE)),1,0))</x:f>
        <x:v>0</x:v>
      </x:c>
      <x:c r="BN192" s="4" t="n">
        <x:f>IF(AND('Calculations'!BM192=1,'Calculations'!$AG$2,'Calculations'!$EN192=1),1,0)</x:f>
        <x:v>0</x:v>
      </x:c>
      <x:c r="BO192" s="4" t="str">
        <x:f>IF('Calculations'!BM192=0,"",IFERROR(IF(AND(VALUE(INDEX(INDIRECT("'WCM Calibration Final'!$K$1:$K$2000"),'Calculations'!$EM192))&gt;=1,VALUE(INDEX(INDIRECT("'WCM Calibration Final'!$K$1:$K$2000"),'Calculations'!$EM192))&lt;=4,MOD(VALUE(INDEX(INDIRECT("'WCM Calibration Final'!$K$1:$K$2000"),'Calculations'!$EM192)),1)=0),VALUE(INDEX(INDIRECT("'WCM Calibration Final'!$K$1:$K$2000"),'Calculations'!$EM192)),""),""))</x:f>
      </x:c>
      <x:c r="BP192" s="4" t="str">
        <x:f>IF('Calculations'!BM192=0,"",IFERROR(IF(AND(VALUE(INDEX(INDIRECT("'WCM Calibration Final'!$L$1:$L$2000"),'Calculations'!$EM192))&gt;=1,VALUE(INDEX(INDIRECT("'WCM Calibration Final'!$L$1:$L$2000"),'Calculations'!$EM192))&lt;=4,MOD(VALUE(INDEX(INDIRECT("'WCM Calibration Final'!$L$1:$L$2000"),'Calculations'!$EM192)),1)=0),VALUE(INDEX(INDIRECT("'WCM Calibration Final'!$L$1:$L$2000"),'Calculations'!$EM192)),""),""))</x:f>
      </x:c>
      <x:c r="BQ192" s="4"/>
      <x:c r="BR192" s="4"/>
      <x:c r="BS192" s="4"/>
      <x:c r="BT192" s="4" t="n">
        <x:f>IF(AND('Calculations'!BM192=1,ISNUMBER('Calculations'!BO192),ISNUMBER('Calculations'!BP192)),1,0)</x:f>
        <x:v>0</x:v>
      </x:c>
      <x:c r="BU192" s="4" t="str">
        <x:f>IF('Calculations'!BM192=0,"",'Calculations'!$EO192)</x:f>
      </x:c>
      <x:c r="BV192" s="4" t="str">
        <x:f>IF('Calculations'!BM192=0,"",IFERROR(IF(OR(INDEX(INDIRECT("'WCM Calibration Final'!$H$1:$H$2000"),'Calculations'!$EM192)="MANAGING DIRECTOR",INDEX(INDIRECT("'WCM Calibration Final'!$H$1:$H$2000"),'Calculations'!$EM192)="DIRECTOR",INDEX(INDIRECT("'WCM Calibration Final'!$H$1:$H$2000"),'Calculations'!$EM192)="SENIOR VICE PRESIDENT",INDEX(INDIRECT("'WCM Calibration Final'!$H$1:$H$2000"),'Calculations'!$EM192)="VICE PRESIDENT",INDEX(INDIRECT("'WCM Calibration Final'!$H$1:$H$2000"),'Calculations'!$EM192)="ASSISTANT VICE PRESIDENT",INDEX(INDIRECT("'WCM Calibration Final'!$H$1:$H$2000"),'Calculations'!$EM192)="OFFICER"),UPPER(INDEX(INDIRECT("'WCM Calibration Final'!$H$1:$H$2000"),'Calculations'!$EM192)),"Other"),"Other"))</x:f>
      </x:c>
      <x:c r="BW192" s="4"/>
      <x:c r="BX192" s="4"/>
      <x:c r="BY192" s="4" t="n">
        <x:f>IF(AND('Calculations'!BM192=1,'Calculations'!BU192&lt;&gt;"",COUNTIF('Calculations'!$BU$12:BU192,'Calculations'!BU192)=1),MAX('Calculations'!$BY$11:BY191)+1,0)</x:f>
        <x:v>0</x:v>
      </x:c>
      <x:c r="BZ192" s="4" t="str">
        <x:f>IF('Dashboard'!$E$67="What",'Calculations'!BO192,'Calculations'!BP192)</x:f>
      </x:c>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t="str">
        <x:f>IF(181&gt;MAX('Calculations'!$HI$13:$HI$512),"",INDEX('Calculations'!$HN$13:$HN$512,MATCH(181,'Calculations'!$HI$13:$HI$512,0)))</x:f>
      </x:c>
      <x:c r="DB192" s="4" t="str">
        <x:f>IF(181&gt;MAX('Calculations'!$HH$13:$HH$512),"",INDEX('Calculations'!$HJ$13:$HJ$512,MATCH(181,'Calculations'!$HH$13:$HH$512,0)))</x:f>
      </x:c>
      <x:c r="DC192" s="4" t="str">
        <x:f>IF(ROW()-11&gt;MAX('Calculations'!$BY$13:$BY$512),"",INDEX('Calculations'!$BU$13:$BU$512,MATCH(ROW()-11,'Calculations'!$BY$13:$BY$512,0)))</x:f>
      </x:c>
      <x:c r="DD192" s="4" t="str">
        <x:f>IF(181&gt;MAX('Calculations'!$IK$13:$IK$512),"",INDEX('Calculations'!$HK$13:$HK$512,MATCH(181,'Calculations'!$IK$13:$IK$512,0)))</x:f>
      </x:c>
      <x:c r="DE192" s="4" t="str">
        <x:f>'Calculations'!DC192</x:f>
      </x:c>
      <x:c r="DF192" s="4" t="str">
        <x:f>IF('Calculations'!DE192="","",COUNTIFS('Calculations'!$BN$13:$BN$512,1,'Calculations'!$BU$13:$BU$512,'Calculations'!DE192))</x:f>
      </x:c>
      <x:c r="DG192" s="4" t="str">
        <x:f>IF('Calculations'!DE192="","",COUNTIFS('Calculations'!$BN$13:$BN$512,1,'Calculations'!$BU$13:$BU$512,'Calculations'!DE192,'Calculations'!$BT$13:$BT$512,1))</x:f>
      </x:c>
      <x:c r="DH192" s="4" t="str">
        <x:f>IF('Calculations'!DE192="","",'Calculations'!DF192-'Calculations'!DG192)</x:f>
      </x:c>
      <x:c r="DI192" s="4" t="str">
        <x:f>IF(OR('Calculations'!DE192="",'Calculations'!DF192=0),"",'Calculations'!DG192/'Calculations'!DF192)</x:f>
      </x:c>
      <x:c r="DJ192" s="4" t="str">
        <x:f>IF('Calculations'!DE192="","",COUNTIFS('Calculations'!$BN$13:$BN$512,1,'Calculations'!$BU$13:$BU$512,'Calculations'!DE192,'Calculations'!$BT$13:$BT$512,1,'Calculations'!$EE$13:$EE$512,"High"))</x:f>
      </x:c>
      <x:c r="DK192" s="4" t="str">
        <x:f>IF('Calculations'!DE192="","",COUNTIFS('Calculations'!$BN$13:$BN$512,1,'Calculations'!$BU$13:$BU$512,'Calculations'!DE192,'Calculations'!$BT$13:$BT$512,1,'Calculations'!$EE$13:$EE$512,"Strong"))</x:f>
      </x:c>
      <x:c r="DL192" s="4" t="str">
        <x:f>IF('Calculations'!DE192="","",COUNTIFS('Calculations'!$BN$13:$BN$512,1,'Calculations'!$BU$13:$BU$512,'Calculations'!DE192,'Calculations'!$BT$13:$BT$512,1,'Calculations'!$EE$13:$EE$512,"Solid"))</x:f>
      </x:c>
      <x:c r="DM192" s="4" t="str">
        <x:f>IF('Calculations'!DE192="","",COUNTIFS('Calculations'!$BN$13:$BN$512,1,'Calculations'!$BU$13:$BU$512,'Calculations'!DE192,'Calculations'!$BT$13:$BT$512,1,'Calculations'!$EE$13:$EE$512,"Low"))</x:f>
      </x:c>
      <x:c r="DN192" s="4" t="str">
        <x:f>IF('Calculations'!DE192="","",COUNTIFS('Calculations'!$BN$13:$BN$512,1,'Calculations'!$BU$13:$BU$512,'Calculations'!DE192,'Calculations'!$EP$13:$EP$512,1))</x:f>
      </x:c>
      <x:c r="DO192" s="4" t="str">
        <x:f>IF(OR('Calculations'!DE192="",'Calculations'!DG192=0),"",('Calculations'!DJ192+'Calculations'!DK192)/'Calculations'!DG192)</x:f>
      </x:c>
      <x:c r="DP192" s="4" t="n">
        <x:f>IF(AND('Calculations'!DE192&lt;&gt;"",'Calculations'!DF192&gt;0),COUNTIF('Calculations'!$DF$12:DF192,"&gt;0"),0)</x:f>
        <x:v>0</x:v>
      </x:c>
      <x:c r="DQ192" s="4" t="str">
        <x:f>IF(181&gt;MAX('Calculations'!$HH$13:$HH$512),"",INDEX('Calculations'!$HF$13:$HF$512,MATCH(181,'Calculations'!$HH$13:$HH$512,0)))</x:f>
      </x:c>
      <x:c r="DR192" s="4" t="str">
        <x:f>IF(181&gt;MAX('Calculations'!$IK$13:$IK$512),"",INDEX('Calculations'!$HE$13:$HE$512,MATCH(181,'Calculations'!$IK$13:$IK$512,0)))</x:f>
      </x:c>
      <x:c r="DS192" s="4"/>
      <x:c r="DT192" s="4"/>
      <x:c r="DU192" s="4"/>
      <x:c r="DV192" s="4"/>
      <x:c r="DW192" s="4"/>
      <x:c r="DX192" s="4"/>
      <x:c r="DY192" s="4"/>
      <x:c r="DZ192" s="4"/>
      <x:c r="EA192" s="4"/>
      <x:c r="EB192" s="4"/>
      <x:c r="EC192" s="4"/>
      <x:c r="ED192" s="4"/>
      <x:c r="EE192" s="4" t="str">
        <x:f>IF('Calculations'!BT192=0,"Not Rated",IF(OR('Calculations'!BO192&gt;=4,'Calculations'!BP192&gt;=4),"Low",IF('Calculations'!BO192+'Calculations'!BP192&lt;=3,"High",IF('Calculations'!BO192+'Calculations'!BP192&lt;=4,"Strong","Solid"))))</x:f>
        <x:v>Not Rated</x:v>
      </x:c>
      <x:c r="EF192" s="4"/>
      <x:c r="EG192" s="4"/>
      <x:c r="EH192" s="4"/>
      <x:c r="EI192" s="4"/>
      <x:c r="EJ192" s="4"/>
      <x:c r="EK192" s="4"/>
      <x:c r="EL192" s="4"/>
      <x:c r="EM192" s="4" t="str">
        <x:f>IF(180&gt;'Calculations'!$JB$2000,"",INDEX('Calculations'!$JA$12:$JA$2000,MATCH(180,'Calculations'!$JB$12:$JB$2000,0)))</x:f>
      </x:c>
      <x:c r="EN192" s="4" t="n">
        <x:f>IF(OR('Calculations'!EM192="",'Calculations'!$AG$8&gt;0,AND('Calculations'!$EF$2&lt;&gt;"All",'Calculations'!HE192='Calculations'!$EF$2),AND('Calculations'!$EF$3&lt;&gt;"All",'Calculations'!HE192='Calculations'!$EF$3)),0,IF(OR('Dashboard'!$B$7="All",'Calculations'!HN192='Dashboard'!$B$7),IF('Calculations'!$EF$2="All",1,IF('Calculations'!HL192&gt;0,0,IF(COUNTIF('Calculations'!HO192:II192,"="&amp;SUBSTITUTE(SUBSTITUTE(SUBSTITUTE('Calculations'!$EF$2,"~","~~"),"*","~*"),"?","~?"))=0,0,IF('Calculations'!$EF$3="All",1,IF(COUNTIF('Calculations'!HO192:II192,"="&amp;SUBSTITUTE(SUBSTITUTE(SUBSTITUTE('Calculations'!$EF$3,"~","~~"),"*","~*"),"?","~?"))&gt;0,1,0))))),0))</x:f>
        <x:v>0</x:v>
      </x:c>
      <x:c r="EO192" s="4" t="str">
        <x:f>IF('Calculations'!IJ192="","",IF('Calculations'!IJ192="!UNRESOLVED","Unresolved hierarchy",IFERROR(INDEX('Calculations'!$HK$13:$HK$512,MATCH('Calculations'!IJ192,'Calculations'!$HE$13:$HE$512,0)),IFERROR(INDEX('Calculations'!$HJ$13:$HJ$512,MATCH('Calculations'!IJ192,'Calculations'!$HF$13:$HF$512,0)),'Calculations'!IJ192))))</x:f>
      </x:c>
      <x:c r="EP192" s="4" t="n">
        <x:f>IF(AND('Calculations'!EM192&lt;&gt;"",'Calculations'!HF192='Calculations'!IJ192),1,0)</x:f>
        <x:v>0</x:v>
      </x:c>
      <x:c r="EQ192" s="4"/>
      <x:c r="ER192" s="4"/>
      <x:c r="ES192" s="4"/>
      <x:c r="ET192" s="4"/>
      <x:c r="EU192" s="4"/>
      <x:c r="EV192" s="4"/>
      <x:c r="EW192" s="4"/>
      <x:c r="EX192" s="4"/>
      <x:c r="EY192" s="4"/>
      <x:c r="EZ192" s="4"/>
      <x:c r="FA192" s="4"/>
      <x:c r="FB192" s="4"/>
      <x:c r="FC192" s="4"/>
      <x:c r="FD192" s="4"/>
      <x:c r="FE192" s="4"/>
      <x:c r="FF192" s="4"/>
      <x:c r="FG192" s="4"/>
      <x:c r="FH192" s="4"/>
      <x:c r="FI192" s="4"/>
      <x:c r="FJ192" s="4"/>
      <x:c r="FK192" s="4"/>
      <x:c r="FL192" s="4"/>
      <x:c r="FM192" s="4"/>
      <x:c r="FN192" s="4"/>
      <x:c r="FO192" s="4"/>
      <x:c r="GA192" s="71"/>
      <x:c r="GB192" s="71"/>
      <x:c r="GC192" s="71"/>
      <x:c r="GD192" s="71"/>
      <x:c r="GE192" s="71"/>
      <x:c r="GF192" s="71"/>
      <x:c r="GG192" s="71"/>
      <x:c r="GH192" s="71"/>
      <x:c r="GI192" s="71"/>
      <x:c r="GJ192" s="71"/>
      <x:c r="GK192" s="71"/>
      <x:c r="GL192" s="71"/>
      <x:c r="GM192" s="71"/>
      <x:c r="GN192" s="71"/>
      <x:c r="GO192" s="71"/>
      <x:c r="GP192" s="71"/>
      <x:c r="GQ192" s="71"/>
      <x:c r="GR192" s="71"/>
      <x:c r="GS192" s="71"/>
      <x:c r="GT192" s="71"/>
      <x:c r="GU192" s="71"/>
      <x:c r="GV192" s="71"/>
      <x:c r="GW192" s="71"/>
      <x:c r="GX192" s="71"/>
      <x:c r="GY192" s="71"/>
      <x:c r="GZ192" s="71"/>
      <x:c r="HA192" s="71"/>
      <x:c r="HB192" s="71"/>
      <x:c r="HC192" s="71"/>
      <x:c r="HD192" s="71"/>
      <x:c r="HE192" t="str">
        <x:f>IF('Calculations'!EM192="","",IF(IFERROR(IF(INDEX(INDIRECT("'WCM Calibration Final'!$A$1:$A$2000"),'Calculations'!$EM192)="","",TRIM(INDEX(INDIRECT("'WCM Calibration Final'!$A$1:$A$2000"),'Calculations'!$EM192)&amp;"")),"")&lt;&gt;"","G:"&amp;IFERROR(TEXT(1*INDEX(INDIRECT("'WCM Calibration Final'!$A$1:$A$2000"),'Calculations'!$EM192),"0"),UPPER(IFERROR(IF(INDEX(INDIRECT("'WCM Calibration Final'!$A$1:$A$2000"),'Calculations'!$EM192)="","",TRIM(INDEX(INDIRECT("'WCM Calibration Final'!$A$1:$A$2000"),'Calculations'!$EM192)&amp;"")),""))),IF(IFERROR(IF(INDEX(INDIRECT("'WCM Calibration Final'!$C$1:$C$2000"),'Calculations'!$EM192)="","",TRIM(INDEX(INDIRECT("'WCM Calibration Final'!$C$1:$C$2000"),'Calculations'!$EM192)&amp;"")),"")&lt;&gt;"","S:"&amp;UPPER(IFERROR(IF(INDEX(INDIRECT("'WCM Calibration Final'!$C$1:$C$2000"),'Calculations'!$EM192)="","",TRIM(INDEX(INDIRECT("'WCM Calibration Final'!$C$1:$C$2000"),'Calculations'!$EM192)&amp;"")),"")),"R:"&amp;'Calculations'!EM192)))</x:f>
      </x:c>
      <x:c r="HF192" t="str">
        <x:f>IF('Calculations'!EM192="","",IF(IFERROR(IF(INDEX(INDIRECT("'WCM Calibration Final'!$D$1:$D$2000"),'Calculations'!$EM192)="","",TRIM(INDEX(INDIRECT("'WCM Calibration Final'!$D$1:$D$2000"),'Calculations'!$EM192)&amp;"")),"")&lt;&gt;"","G:"&amp;IFERROR(TEXT(1*INDEX(INDIRECT("'WCM Calibration Final'!$D$1:$D$2000"),'Calculations'!$EM192),"0"),UPPER(IFERROR(IF(INDEX(INDIRECT("'WCM Calibration Final'!$D$1:$D$2000"),'Calculations'!$EM192)="","",TRIM(INDEX(INDIRECT("'WCM Calibration Final'!$D$1:$D$2000"),'Calculations'!$EM192)&amp;"")),""))),IF(IFERROR(IF(INDEX(INDIRECT("'WCM Calibration Final'!$E$1:$E$2000"),'Calculations'!$EM192)="","",TRIM(INDEX(INDIRECT("'WCM Calibration Final'!$E$1:$E$2000"),'Calculations'!$EM192)&amp;"")),"")="","",IF(COUNTIF('Calculations'!$HG$13:$HG$512,"="&amp;SUBSTITUTE(SUBSTITUTE(SUBSTITUTE(IFERROR(IF(INDEX(INDIRECT("'WCM Calibration Final'!$E$1:$E$2000"),'Calculations'!$EM192)="","",TRIM(INDEX(INDIRECT("'WCM Calibration Final'!$E$1:$E$2000"),'Calculations'!$EM192)&amp;"")),""),"~","~~"),"*","~*"),"?","~?"))=1,INDEX('Calculations'!$HE$13:$HE$512,MATCH(IFERROR(IF(INDEX(INDIRECT("'WCM Calibration Final'!$E$1:$E$2000"),'Calculations'!$EM192)="","",TRIM(INDEX(INDIRECT("'WCM Calibration Final'!$E$1:$E$2000"),'Calculations'!$EM192)&amp;"")),""),'Calculations'!$HG$13:$HG$512,0)),IF(COUNTIF('Calculations'!$HG$13:$HG$512,"="&amp;SUBSTITUTE(SUBSTITUTE(SUBSTITUTE(IFERROR(IF(INDEX(INDIRECT("'WCM Calibration Final'!$E$1:$E$2000"),'Calculations'!$EM192)="","",TRIM(INDEX(INDIRECT("'WCM Calibration Final'!$E$1:$E$2000"),'Calculations'!$EM192)&amp;"")),""),"~","~~"),"*","~*"),"?","~?"))&gt;1,"!AMBIG","X:"&amp;IFERROR(IF(INDEX(INDIRECT("'WCM Calibration Final'!$E$1:$E$2000"),'Calculations'!$EM192)="","",TRIM(INDEX(INDIRECT("'WCM Calibration Final'!$E$1:$E$2000"),'Calculations'!$EM192)&amp;"")),""))))))</x:f>
      </x:c>
      <x:c r="HG192" t="str">
        <x:f>IF('Calculations'!EM192="","",IFERROR(IF(INDEX(INDIRECT("'WCM Calibration Final'!$B$1:$B$2000"),'Calculations'!$EM192)="","",TRIM(INDEX(INDIRECT("'WCM Calibration Final'!$B$1:$B$2000"),'Calculations'!$EM192)&amp;"")),""))</x:f>
      </x:c>
      <x:c r="HH192" t="n">
        <x:f>IF(AND('Calculations'!JC192&gt;0,COUNTIF('Calculations'!$HF$12:HF192,"="&amp;SUBSTITUTE(SUBSTITUTE(SUBSTITUTE('Calculations'!HF192,"~","~~"),"*","~*"),"?","~?"))=1),MAX('Calculations'!$HH$12:HH191)+1,0)</x:f>
        <x:v>0</x:v>
      </x:c>
      <x:c r="HI192" t="n">
        <x:f>IF(AND('Calculations'!HN192&lt;&gt;"",COUNTIF('Calculations'!$HN$12:HN192,"="&amp;SUBSTITUTE(SUBSTITUTE(SUBSTITUTE('Calculations'!HN192,"~","~~"),"*","~*"),"?","~?"))=1),MAX('Calculations'!$HI$12:HI191)+1,0)</x:f>
        <x:v>0</x:v>
      </x:c>
      <x:c r="HJ192" t="str">
        <x:f>IF('Calculations'!HF192="","",IF(COUNTIF('Calculations'!$HE$13:$HE$512,"="&amp;SUBSTITUTE(SUBSTITUTE(SUBSTITUTE('Calculations'!HF192,"~","~~"),"*","~*"),"?","~?"))=1,INDEX('Calculations'!$HK$13:$HK$512,MATCH('Calculations'!HF192,'Calculations'!$HE$13:$HE$512,0)),IFERROR(IF(INDEX(INDIRECT("'WCM Calibration Final'!$E$1:$E$2000"),'Calculations'!$EM192)="","",TRIM(INDEX(INDIRECT("'WCM Calibration Final'!$E$1:$E$2000"),'Calculations'!$EM192)&amp;"")),"")&amp;" ["&amp;'Calculations'!HF192&amp;"]"))</x:f>
      </x:c>
      <x:c r="HK192" t="str">
        <x:f>IF('Calculations'!EM192="","",'Calculations'!HG192&amp;" ["&amp;'Calculations'!HE192&amp;"]")</x:f>
      </x:c>
      <x:c r="HL192" t="n">
        <x:f>IF('Calculations'!EM192="",0,IF(OR('Calculations'!II192&lt;&gt;"",COUNTIF('Calculations'!$HE$13:$HE$512,"="&amp;SUBSTITUTE(SUBSTITUTE(SUBSTITUTE('Calculations'!HE192,"~","~~"),"*","~*"),"?","~?"))&gt;1),1,0))</x:f>
        <x:v>0</x:v>
      </x:c>
      <x:c r="HM192" t="str">
        <x:f>IF('Calculations'!EM192="","",IF('Calculations'!HL192=1,"!UNRESOLVED",IF('Calculations'!IH192&lt;&gt;"",'Calculations'!IH192,IF('Calculations'!IG192&lt;&gt;"",'Calculations'!IG192,IF('Calculations'!IF192&lt;&gt;"",'Calculations'!IF192,IF('Calculations'!IE192&lt;&gt;"",'Calculations'!IE192,IF('Calculations'!ID192&lt;&gt;"",'Calculations'!ID192,IF('Calculations'!IC192&lt;&gt;"",'Calculations'!IC192,IF('Calculations'!IB192&lt;&gt;"",'Calculations'!IB192,IF('Calculations'!IA192&lt;&gt;"",'Calculations'!IA192,IF('Calculations'!HZ192&lt;&gt;"",'Calculations'!HZ192,IF('Calculations'!HY192&lt;&gt;"",'Calculations'!HY192,IF('Calculations'!HX192&lt;&gt;"",'Calculations'!HX192,IF('Calculations'!HW192&lt;&gt;"",'Calculations'!HW192,IF('Calculations'!HV192&lt;&gt;"",'Calculations'!HV192,IF('Calculations'!HU192&lt;&gt;"",'Calculations'!HU192,IF('Calculations'!HT192&lt;&gt;"",'Calculations'!HT192,IF('Calculations'!HS192&lt;&gt;"",'Calculations'!HS192,IF('Calculations'!HR192&lt;&gt;"",'Calculations'!HR192,IF('Calculations'!HQ192&lt;&gt;"",'Calculations'!HQ192,IF('Calculations'!HP192&lt;&gt;"",'Calculations'!HP192,IF('Calculations'!HO192&lt;&gt;"",'Calculations'!HO192,'Calculations'!HE192))))))))))))))))))))))</x:f>
      </x:c>
      <x:c r="HN192" t="str">
        <x:f>IF('Calculations'!EM192="","",IF(IFERROR(IF(INDEX(INDIRECT("'WCM Calibration Final'!$F$1:$F$2000"),'Calculations'!$EM192)="","",TRIM(INDEX(INDIRECT("'WCM Calibration Final'!$F$1:$F$2000"),'Calculations'!$EM192)&amp;"")),"")="","(Blank)",IFERROR(IF(INDEX(INDIRECT("'WCM Calibration Final'!$F$1:$F$2000"),'Calculations'!$EM192)="","",TRIM(INDEX(INDIRECT("'WCM Calibration Final'!$F$1:$F$2000"),'Calculations'!$EM192)&amp;"")),"")))</x:f>
      </x:c>
      <x:c r="HO192" t="str">
        <x:f>'Calculations'!HF192</x:f>
      </x:c>
      <x:c r="HP192" t="str">
        <x:f>IF('Calculations'!HO192="","",IF('Calculations'!HO192="!AMBIG","!AMBIG",IF(COUNTIF('Calculations'!$HE$13:$HE$512,"="&amp;SUBSTITUTE(SUBSTITUTE(SUBSTITUTE('Calculations'!HO192,"~","~~"),"*","~*"),"?","~?"))&gt;1,"!AMBIG",IFERROR(INDEX('Calculations'!$HF$13:$HF$512,MATCH('Calculations'!HO192,'Calculations'!$HE$13:$HE$512,0)),""))))</x:f>
      </x:c>
      <x:c r="HQ192" t="str">
        <x:f>IF('Calculations'!HP192="","",IF('Calculations'!HP192="!AMBIG","!AMBIG",IF(COUNTIF('Calculations'!$HE$13:$HE$512,"="&amp;SUBSTITUTE(SUBSTITUTE(SUBSTITUTE('Calculations'!HP192,"~","~~"),"*","~*"),"?","~?"))&gt;1,"!AMBIG",IFERROR(INDEX('Calculations'!$HF$13:$HF$512,MATCH('Calculations'!HP192,'Calculations'!$HE$13:$HE$512,0)),""))))</x:f>
      </x:c>
      <x:c r="HR192" t="str">
        <x:f>IF('Calculations'!HQ192="","",IF('Calculations'!HQ192="!AMBIG","!AMBIG",IF(COUNTIF('Calculations'!$HE$13:$HE$512,"="&amp;SUBSTITUTE(SUBSTITUTE(SUBSTITUTE('Calculations'!HQ192,"~","~~"),"*","~*"),"?","~?"))&gt;1,"!AMBIG",IFERROR(INDEX('Calculations'!$HF$13:$HF$512,MATCH('Calculations'!HQ192,'Calculations'!$HE$13:$HE$512,0)),""))))</x:f>
      </x:c>
      <x:c r="HS192" t="str">
        <x:f>IF('Calculations'!HR192="","",IF('Calculations'!HR192="!AMBIG","!AMBIG",IF(COUNTIF('Calculations'!$HE$13:$HE$512,"="&amp;SUBSTITUTE(SUBSTITUTE(SUBSTITUTE('Calculations'!HR192,"~","~~"),"*","~*"),"?","~?"))&gt;1,"!AMBIG",IFERROR(INDEX('Calculations'!$HF$13:$HF$512,MATCH('Calculations'!HR192,'Calculations'!$HE$13:$HE$512,0)),""))))</x:f>
      </x:c>
      <x:c r="HT192" t="str">
        <x:f>IF('Calculations'!HS192="","",IF('Calculations'!HS192="!AMBIG","!AMBIG",IF(COUNTIF('Calculations'!$HE$13:$HE$512,"="&amp;SUBSTITUTE(SUBSTITUTE(SUBSTITUTE('Calculations'!HS192,"~","~~"),"*","~*"),"?","~?"))&gt;1,"!AMBIG",IFERROR(INDEX('Calculations'!$HF$13:$HF$512,MATCH('Calculations'!HS192,'Calculations'!$HE$13:$HE$512,0)),""))))</x:f>
      </x:c>
      <x:c r="HU192" t="str">
        <x:f>IF('Calculations'!HT192="","",IF('Calculations'!HT192="!AMBIG","!AMBIG",IF(COUNTIF('Calculations'!$HE$13:$HE$512,"="&amp;SUBSTITUTE(SUBSTITUTE(SUBSTITUTE('Calculations'!HT192,"~","~~"),"*","~*"),"?","~?"))&gt;1,"!AMBIG",IFERROR(INDEX('Calculations'!$HF$13:$HF$512,MATCH('Calculations'!HT192,'Calculations'!$HE$13:$HE$512,0)),""))))</x:f>
      </x:c>
      <x:c r="HV192" t="str">
        <x:f>IF('Calculations'!HU192="","",IF('Calculations'!HU192="!AMBIG","!AMBIG",IF(COUNTIF('Calculations'!$HE$13:$HE$512,"="&amp;SUBSTITUTE(SUBSTITUTE(SUBSTITUTE('Calculations'!HU192,"~","~~"),"*","~*"),"?","~?"))&gt;1,"!AMBIG",IFERROR(INDEX('Calculations'!$HF$13:$HF$512,MATCH('Calculations'!HU192,'Calculations'!$HE$13:$HE$512,0)),""))))</x:f>
      </x:c>
      <x:c r="HW192" t="str">
        <x:f>IF('Calculations'!HV192="","",IF('Calculations'!HV192="!AMBIG","!AMBIG",IF(COUNTIF('Calculations'!$HE$13:$HE$512,"="&amp;SUBSTITUTE(SUBSTITUTE(SUBSTITUTE('Calculations'!HV192,"~","~~"),"*","~*"),"?","~?"))&gt;1,"!AMBIG",IFERROR(INDEX('Calculations'!$HF$13:$HF$512,MATCH('Calculations'!HV192,'Calculations'!$HE$13:$HE$512,0)),""))))</x:f>
      </x:c>
      <x:c r="HX192" t="str">
        <x:f>IF('Calculations'!HW192="","",IF('Calculations'!HW192="!AMBIG","!AMBIG",IF(COUNTIF('Calculations'!$HE$13:$HE$512,"="&amp;SUBSTITUTE(SUBSTITUTE(SUBSTITUTE('Calculations'!HW192,"~","~~"),"*","~*"),"?","~?"))&gt;1,"!AMBIG",IFERROR(INDEX('Calculations'!$HF$13:$HF$512,MATCH('Calculations'!HW192,'Calculations'!$HE$13:$HE$512,0)),""))))</x:f>
      </x:c>
      <x:c r="HY192" t="str">
        <x:f>IF('Calculations'!HX192="","",IF('Calculations'!HX192="!AMBIG","!AMBIG",IF(COUNTIF('Calculations'!$HE$13:$HE$512,"="&amp;SUBSTITUTE(SUBSTITUTE(SUBSTITUTE('Calculations'!HX192,"~","~~"),"*","~*"),"?","~?"))&gt;1,"!AMBIG",IFERROR(INDEX('Calculations'!$HF$13:$HF$512,MATCH('Calculations'!HX192,'Calculations'!$HE$13:$HE$512,0)),""))))</x:f>
      </x:c>
      <x:c r="HZ192" t="str">
        <x:f>IF('Calculations'!HY192="","",IF('Calculations'!HY192="!AMBIG","!AMBIG",IF(COUNTIF('Calculations'!$HE$13:$HE$512,"="&amp;SUBSTITUTE(SUBSTITUTE(SUBSTITUTE('Calculations'!HY192,"~","~~"),"*","~*"),"?","~?"))&gt;1,"!AMBIG",IFERROR(INDEX('Calculations'!$HF$13:$HF$512,MATCH('Calculations'!HY192,'Calculations'!$HE$13:$HE$512,0)),""))))</x:f>
      </x:c>
      <x:c r="IA192" t="str">
        <x:f>IF('Calculations'!HZ192="","",IF('Calculations'!HZ192="!AMBIG","!AMBIG",IF(COUNTIF('Calculations'!$HE$13:$HE$512,"="&amp;SUBSTITUTE(SUBSTITUTE(SUBSTITUTE('Calculations'!HZ192,"~","~~"),"*","~*"),"?","~?"))&gt;1,"!AMBIG",IFERROR(INDEX('Calculations'!$HF$13:$HF$512,MATCH('Calculations'!HZ192,'Calculations'!$HE$13:$HE$512,0)),""))))</x:f>
      </x:c>
      <x:c r="IB192" t="str">
        <x:f>IF('Calculations'!IA192="","",IF('Calculations'!IA192="!AMBIG","!AMBIG",IF(COUNTIF('Calculations'!$HE$13:$HE$512,"="&amp;SUBSTITUTE(SUBSTITUTE(SUBSTITUTE('Calculations'!IA192,"~","~~"),"*","~*"),"?","~?"))&gt;1,"!AMBIG",IFERROR(INDEX('Calculations'!$HF$13:$HF$512,MATCH('Calculations'!IA192,'Calculations'!$HE$13:$HE$512,0)),""))))</x:f>
      </x:c>
      <x:c r="IC192" t="str">
        <x:f>IF('Calculations'!IB192="","",IF('Calculations'!IB192="!AMBIG","!AMBIG",IF(COUNTIF('Calculations'!$HE$13:$HE$512,"="&amp;SUBSTITUTE(SUBSTITUTE(SUBSTITUTE('Calculations'!IB192,"~","~~"),"*","~*"),"?","~?"))&gt;1,"!AMBIG",IFERROR(INDEX('Calculations'!$HF$13:$HF$512,MATCH('Calculations'!IB192,'Calculations'!$HE$13:$HE$512,0)),""))))</x:f>
      </x:c>
      <x:c r="ID192" t="str">
        <x:f>IF('Calculations'!IC192="","",IF('Calculations'!IC192="!AMBIG","!AMBIG",IF(COUNTIF('Calculations'!$HE$13:$HE$512,"="&amp;SUBSTITUTE(SUBSTITUTE(SUBSTITUTE('Calculations'!IC192,"~","~~"),"*","~*"),"?","~?"))&gt;1,"!AMBIG",IFERROR(INDEX('Calculations'!$HF$13:$HF$512,MATCH('Calculations'!IC192,'Calculations'!$HE$13:$HE$512,0)),""))))</x:f>
      </x:c>
      <x:c r="IE192" t="str">
        <x:f>IF('Calculations'!ID192="","",IF('Calculations'!ID192="!AMBIG","!AMBIG",IF(COUNTIF('Calculations'!$HE$13:$HE$512,"="&amp;SUBSTITUTE(SUBSTITUTE(SUBSTITUTE('Calculations'!ID192,"~","~~"),"*","~*"),"?","~?"))&gt;1,"!AMBIG",IFERROR(INDEX('Calculations'!$HF$13:$HF$512,MATCH('Calculations'!ID192,'Calculations'!$HE$13:$HE$512,0)),""))))</x:f>
      </x:c>
      <x:c r="IF192" t="str">
        <x:f>IF('Calculations'!IE192="","",IF('Calculations'!IE192="!AMBIG","!AMBIG",IF(COUNTIF('Calculations'!$HE$13:$HE$512,"="&amp;SUBSTITUTE(SUBSTITUTE(SUBSTITUTE('Calculations'!IE192,"~","~~"),"*","~*"),"?","~?"))&gt;1,"!AMBIG",IFERROR(INDEX('Calculations'!$HF$13:$HF$512,MATCH('Calculations'!IE192,'Calculations'!$HE$13:$HE$512,0)),""))))</x:f>
      </x:c>
      <x:c r="IG192" t="str">
        <x:f>IF('Calculations'!IF192="","",IF('Calculations'!IF192="!AMBIG","!AMBIG",IF(COUNTIF('Calculations'!$HE$13:$HE$512,"="&amp;SUBSTITUTE(SUBSTITUTE(SUBSTITUTE('Calculations'!IF192,"~","~~"),"*","~*"),"?","~?"))&gt;1,"!AMBIG",IFERROR(INDEX('Calculations'!$HF$13:$HF$512,MATCH('Calculations'!IF192,'Calculations'!$HE$13:$HE$512,0)),""))))</x:f>
      </x:c>
      <x:c r="IH192" t="str">
        <x:f>IF('Calculations'!IG192="","",IF('Calculations'!IG192="!AMBIG","!AMBIG",IF(COUNTIF('Calculations'!$HE$13:$HE$512,"="&amp;SUBSTITUTE(SUBSTITUTE(SUBSTITUTE('Calculations'!IG192,"~","~~"),"*","~*"),"?","~?"))&gt;1,"!AMBIG",IFERROR(INDEX('Calculations'!$HF$13:$HF$512,MATCH('Calculations'!IG192,'Calculations'!$HE$13:$HE$512,0)),""))))</x:f>
      </x:c>
      <x:c r="II192" t="str">
        <x:f>IF('Calculations'!IH192="","",IF('Calculations'!IH192="!AMBIG","!AMBIG",IF(COUNTIF('Calculations'!$HE$13:$HE$512,"="&amp;SUBSTITUTE(SUBSTITUTE(SUBSTITUTE('Calculations'!IH192,"~","~~"),"*","~*"),"?","~?"))&gt;1,"!AMBIG",IFERROR(INDEX('Calculations'!$HF$13:$HF$512,MATCH('Calculations'!IH192,'Calculations'!$HE$13:$HE$512,0)),""))))</x:f>
      </x:c>
      <x:c r="IJ192" t="str">
        <x:f>IF('Calculations'!EM192="","",IF('Calculations'!$EF$2="All",'Calculations'!HM192,IF('Calculations'!HL192=1,"",IFERROR(IF(MATCH('Calculations'!$EF$2,'Calculations'!HO192:II192,0)=1,'Calculations'!HE192,INDEX('Calculations'!HO192:II192,1,MATCH('Calculations'!$EF$2,'Calculations'!HO192:II192,0)-1)),""))))</x:f>
      </x:c>
      <x:c r="IK192" t="n">
        <x:f>IF(AND('Calculations'!EM192&lt;&gt;"",'Calculations'!$EF$2&lt;&gt;"All",'Calculations'!HF192='Calculations'!$EF$2,'Calculations'!HL192=0,'Calculations'!JD192&gt;0),MAX('Calculations'!$IK$12:IK191)+1,0)</x:f>
        <x:v>0</x:v>
      </x:c>
      <x:c r="JA192" t="n">
        <x:f>IF(OR(IFERROR(INDIRECT("'WCM Calibration Final'!$A$192")&lt;&gt;"",FALSE),IFERROR(INDIRECT("'WCM Calibration Final'!$B$192")&lt;&gt;"",FALSE),IFERROR(INDIRECT("'WCM Calibration Final'!$C$192")&lt;&gt;"",FALSE)),192,0)</x:f>
        <x:v>0</x:v>
      </x:c>
      <x:c r="JB192" t="n">
        <x:f>'Calculations'!JB191+IF('Calculations'!JA192&gt;0,1,0)</x:f>
        <x:v>0</x:v>
      </x:c>
      <x:c r="JC192" t="n">
        <x:f>IF(OR('Calculations'!HF192="",'Calculations'!HF192="!AMBIG"),0,IF('Dashboard'!$B$7="All",1,COUNTIFS('Calculations'!$HO$13:$HO$512,"="&amp;SUBSTITUTE(SUBSTITUTE(SUBSTITUTE('Calculations'!HF192,"~","~~"),"*","~*"),"?","~?"),'Calculations'!$HN$13:$HN$512,"="&amp;SUBSTITUTE(SUBSTITUTE(SUBSTITUTE('Dashboard'!$B$7,"~","~~"),"*","~*"),"?","~?"))+COUNTIFS('Calculations'!$HP$13:$HP$512,"="&amp;SUBSTITUTE(SUBSTITUTE(SUBSTITUTE('Calculations'!HF192,"~","~~"),"*","~*"),"?","~?"),'Calculations'!$HN$13:$HN$512,"="&amp;SUBSTITUTE(SUBSTITUTE(SUBSTITUTE('Dashboard'!$B$7,"~","~~"),"*","~*"),"?","~?"))+COUNTIFS('Calculations'!$HQ$13:$HQ$512,"="&amp;SUBSTITUTE(SUBSTITUTE(SUBSTITUTE('Calculations'!HF192,"~","~~"),"*","~*"),"?","~?"),'Calculations'!$HN$13:$HN$512,"="&amp;SUBSTITUTE(SUBSTITUTE(SUBSTITUTE('Dashboard'!$B$7,"~","~~"),"*","~*"),"?","~?"))+COUNTIFS('Calculations'!$HR$13:$HR$512,"="&amp;SUBSTITUTE(SUBSTITUTE(SUBSTITUTE('Calculations'!HF192,"~","~~"),"*","~*"),"?","~?"),'Calculations'!$HN$13:$HN$512,"="&amp;SUBSTITUTE(SUBSTITUTE(SUBSTITUTE('Dashboard'!$B$7,"~","~~"),"*","~*"),"?","~?"))+COUNTIFS('Calculations'!$HS$13:$HS$512,"="&amp;SUBSTITUTE(SUBSTITUTE(SUBSTITUTE('Calculations'!HF192,"~","~~"),"*","~*"),"?","~?"),'Calculations'!$HN$13:$HN$512,"="&amp;SUBSTITUTE(SUBSTITUTE(SUBSTITUTE('Dashboard'!$B$7,"~","~~"),"*","~*"),"?","~?"))+COUNTIFS('Calculations'!$HT$13:$HT$512,"="&amp;SUBSTITUTE(SUBSTITUTE(SUBSTITUTE('Calculations'!HF192,"~","~~"),"*","~*"),"?","~?"),'Calculations'!$HN$13:$HN$512,"="&amp;SUBSTITUTE(SUBSTITUTE(SUBSTITUTE('Dashboard'!$B$7,"~","~~"),"*","~*"),"?","~?"))+COUNTIFS('Calculations'!$HU$13:$HU$512,"="&amp;SUBSTITUTE(SUBSTITUTE(SUBSTITUTE('Calculations'!HF192,"~","~~"),"*","~*"),"?","~?"),'Calculations'!$HN$13:$HN$512,"="&amp;SUBSTITUTE(SUBSTITUTE(SUBSTITUTE('Dashboard'!$B$7,"~","~~"),"*","~*"),"?","~?"))+COUNTIFS('Calculations'!$HV$13:$HV$512,"="&amp;SUBSTITUTE(SUBSTITUTE(SUBSTITUTE('Calculations'!HF192,"~","~~"),"*","~*"),"?","~?"),'Calculations'!$HN$13:$HN$512,"="&amp;SUBSTITUTE(SUBSTITUTE(SUBSTITUTE('Dashboard'!$B$7,"~","~~"),"*","~*"),"?","~?"))+COUNTIFS('Calculations'!$HW$13:$HW$512,"="&amp;SUBSTITUTE(SUBSTITUTE(SUBSTITUTE('Calculations'!HF192,"~","~~"),"*","~*"),"?","~?"),'Calculations'!$HN$13:$HN$512,"="&amp;SUBSTITUTE(SUBSTITUTE(SUBSTITUTE('Dashboard'!$B$7,"~","~~"),"*","~*"),"?","~?"))+COUNTIFS('Calculations'!$HX$13:$HX$512,"="&amp;SUBSTITUTE(SUBSTITUTE(SUBSTITUTE('Calculations'!HF192,"~","~~"),"*","~*"),"?","~?"),'Calculations'!$HN$13:$HN$512,"="&amp;SUBSTITUTE(SUBSTITUTE(SUBSTITUTE('Dashboard'!$B$7,"~","~~"),"*","~*"),"?","~?"))+COUNTIFS('Calculations'!$HY$13:$HY$512,"="&amp;SUBSTITUTE(SUBSTITUTE(SUBSTITUTE('Calculations'!HF192,"~","~~"),"*","~*"),"?","~?"),'Calculations'!$HN$13:$HN$512,"="&amp;SUBSTITUTE(SUBSTITUTE(SUBSTITUTE('Dashboard'!$B$7,"~","~~"),"*","~*"),"?","~?"))+COUNTIFS('Calculations'!$HZ$13:$HZ$512,"="&amp;SUBSTITUTE(SUBSTITUTE(SUBSTITUTE('Calculations'!HF192,"~","~~"),"*","~*"),"?","~?"),'Calculations'!$HN$13:$HN$512,"="&amp;SUBSTITUTE(SUBSTITUTE(SUBSTITUTE('Dashboard'!$B$7,"~","~~"),"*","~*"),"?","~?"))+COUNTIFS('Calculations'!$IA$13:$IA$512,"="&amp;SUBSTITUTE(SUBSTITUTE(SUBSTITUTE('Calculations'!HF192,"~","~~"),"*","~*"),"?","~?"),'Calculations'!$HN$13:$HN$512,"="&amp;SUBSTITUTE(SUBSTITUTE(SUBSTITUTE('Dashboard'!$B$7,"~","~~"),"*","~*"),"?","~?"))+COUNTIFS('Calculations'!$IB$13:$IB$512,"="&amp;SUBSTITUTE(SUBSTITUTE(SUBSTITUTE('Calculations'!HF192,"~","~~"),"*","~*"),"?","~?"),'Calculations'!$HN$13:$HN$512,"="&amp;SUBSTITUTE(SUBSTITUTE(SUBSTITUTE('Dashboard'!$B$7,"~","~~"),"*","~*"),"?","~?"))+COUNTIFS('Calculations'!$IC$13:$IC$512,"="&amp;SUBSTITUTE(SUBSTITUTE(SUBSTITUTE('Calculations'!HF192,"~","~~"),"*","~*"),"?","~?"),'Calculations'!$HN$13:$HN$512,"="&amp;SUBSTITUTE(SUBSTITUTE(SUBSTITUTE('Dashboard'!$B$7,"~","~~"),"*","~*"),"?","~?"))+COUNTIFS('Calculations'!$ID$13:$ID$512,"="&amp;SUBSTITUTE(SUBSTITUTE(SUBSTITUTE('Calculations'!HF192,"~","~~"),"*","~*"),"?","~?"),'Calculations'!$HN$13:$HN$512,"="&amp;SUBSTITUTE(SUBSTITUTE(SUBSTITUTE('Dashboard'!$B$7,"~","~~"),"*","~*"),"?","~?"))+COUNTIFS('Calculations'!$IE$13:$IE$512,"="&amp;SUBSTITUTE(SUBSTITUTE(SUBSTITUTE('Calculations'!HF192,"~","~~"),"*","~*"),"?","~?"),'Calculations'!$HN$13:$HN$512,"="&amp;SUBSTITUTE(SUBSTITUTE(SUBSTITUTE('Dashboard'!$B$7,"~","~~"),"*","~*"),"?","~?"))+COUNTIFS('Calculations'!$IF$13:$IF$512,"="&amp;SUBSTITUTE(SUBSTITUTE(SUBSTITUTE('Calculations'!HF192,"~","~~"),"*","~*"),"?","~?"),'Calculations'!$HN$13:$HN$512,"="&amp;SUBSTITUTE(SUBSTITUTE(SUBSTITUTE('Dashboard'!$B$7,"~","~~"),"*","~*"),"?","~?"))+COUNTIFS('Calculations'!$IG$13:$IG$512,"="&amp;SUBSTITUTE(SUBSTITUTE(SUBSTITUTE('Calculations'!HF192,"~","~~"),"*","~*"),"?","~?"),'Calculations'!$HN$13:$HN$512,"="&amp;SUBSTITUTE(SUBSTITUTE(SUBSTITUTE('Dashboard'!$B$7,"~","~~"),"*","~*"),"?","~?"))+COUNTIFS('Calculations'!$IH$13:$IH$512,"="&amp;SUBSTITUTE(SUBSTITUTE(SUBSTITUTE('Calculations'!HF192,"~","~~"),"*","~*"),"?","~?"),'Calculations'!$HN$13:$HN$512,"="&amp;SUBSTITUTE(SUBSTITUTE(SUBSTITUTE('Dashboard'!$B$7,"~","~~"),"*","~*"),"?","~?"))))</x:f>
        <x:v>0</x:v>
      </x:c>
      <x:c r="JD192" t="n">
        <x:f>IF('Calculations'!EM192="",0,IF('Dashboard'!$B$7="All",1,IF('Calculations'!HN192='Dashboard'!$B$7,1,0)+IFERROR(INDEX('Calculations'!$JC$13:$JC$512,MATCH('Calculations'!HE192,'Calculations'!$HF$13:$HF$512,0)),0)))</x:f>
        <x:v>0</x:v>
      </x:c>
      <x:c r="JE192" t="n">
        <x:f>IF(AND('Calculations'!EM192&lt;&gt;"",'Calculations'!$JJ$2&lt;&gt;"All",'Calculations'!$JJ$2&lt;&gt;"",'Calculations'!HF192='Calculations'!$JJ$2,'Calculations'!HL192=0,'Calculations'!JD192&gt;0),MAX('Calculations'!$JE$12:JE191)+1,0)</x:f>
        <x:v>0</x:v>
      </x:c>
      <x:c r="JF192" t="str">
        <x:f>IF('Calculations'!EM192="","",IFERROR(IF(INDEX(INDIRECT("'WCM Calibration Final'!$G$1:$G$2000"),'Calculations'!$EM192)="","",TRIM(INDEX(INDIRECT("'WCM Calibration Final'!$G$1:$G$2000"),'Calculations'!$EM192)&amp;"")),""))</x:f>
      </x:c>
      <x:c r="JQ192" t="n">
        <x:f>IF(OR('Calculations'!BM192=0,NOT('Calculations'!$AG$2),'Calculations'!$AG$8&gt;0),0,IF(OR('Dashboard'!$B$7="All",'Calculations'!HN192='Dashboard'!$B$7),IF('Calculations'!$JJ$2="All",1,IF(AND('Calculations'!HF192='Calculations'!$JJ$2,'Calculations'!HL192=0),1,0)),0))</x:f>
        <x:v>0</x:v>
      </x:c>
    </x:row>
    <x:row r="193">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t="n">
        <x:f>IF('Calculations'!$EM193="",0,IF(OR(IFERROR(INDEX(INDIRECT("'WCM Calibration Final'!$A$1:$A$2000"),'Calculations'!$EM193)&lt;&gt;"",FALSE),IFERROR(INDEX(INDIRECT("'WCM Calibration Final'!$B$1:$B$2000"),'Calculations'!$EM193)&lt;&gt;"",FALSE),IFERROR(INDEX(INDIRECT("'WCM Calibration Final'!$C$1:$C$2000"),'Calculations'!$EM193)&lt;&gt;"",FALSE)),1,0))</x:f>
        <x:v>0</x:v>
      </x:c>
      <x:c r="BN193" s="4" t="n">
        <x:f>IF(AND('Calculations'!BM193=1,'Calculations'!$AG$2,'Calculations'!$EN193=1),1,0)</x:f>
        <x:v>0</x:v>
      </x:c>
      <x:c r="BO193" s="4" t="str">
        <x:f>IF('Calculations'!BM193=0,"",IFERROR(IF(AND(VALUE(INDEX(INDIRECT("'WCM Calibration Final'!$K$1:$K$2000"),'Calculations'!$EM193))&gt;=1,VALUE(INDEX(INDIRECT("'WCM Calibration Final'!$K$1:$K$2000"),'Calculations'!$EM193))&lt;=4,MOD(VALUE(INDEX(INDIRECT("'WCM Calibration Final'!$K$1:$K$2000"),'Calculations'!$EM193)),1)=0),VALUE(INDEX(INDIRECT("'WCM Calibration Final'!$K$1:$K$2000"),'Calculations'!$EM193)),""),""))</x:f>
      </x:c>
      <x:c r="BP193" s="4" t="str">
        <x:f>IF('Calculations'!BM193=0,"",IFERROR(IF(AND(VALUE(INDEX(INDIRECT("'WCM Calibration Final'!$L$1:$L$2000"),'Calculations'!$EM193))&gt;=1,VALUE(INDEX(INDIRECT("'WCM Calibration Final'!$L$1:$L$2000"),'Calculations'!$EM193))&lt;=4,MOD(VALUE(INDEX(INDIRECT("'WCM Calibration Final'!$L$1:$L$2000"),'Calculations'!$EM193)),1)=0),VALUE(INDEX(INDIRECT("'WCM Calibration Final'!$L$1:$L$2000"),'Calculations'!$EM193)),""),""))</x:f>
      </x:c>
      <x:c r="BQ193" s="4"/>
      <x:c r="BR193" s="4"/>
      <x:c r="BS193" s="4"/>
      <x:c r="BT193" s="4" t="n">
        <x:f>IF(AND('Calculations'!BM193=1,ISNUMBER('Calculations'!BO193),ISNUMBER('Calculations'!BP193)),1,0)</x:f>
        <x:v>0</x:v>
      </x:c>
      <x:c r="BU193" s="4" t="str">
        <x:f>IF('Calculations'!BM193=0,"",'Calculations'!$EO193)</x:f>
      </x:c>
      <x:c r="BV193" s="4" t="str">
        <x:f>IF('Calculations'!BM193=0,"",IFERROR(IF(OR(INDEX(INDIRECT("'WCM Calibration Final'!$H$1:$H$2000"),'Calculations'!$EM193)="MANAGING DIRECTOR",INDEX(INDIRECT("'WCM Calibration Final'!$H$1:$H$2000"),'Calculations'!$EM193)="DIRECTOR",INDEX(INDIRECT("'WCM Calibration Final'!$H$1:$H$2000"),'Calculations'!$EM193)="SENIOR VICE PRESIDENT",INDEX(INDIRECT("'WCM Calibration Final'!$H$1:$H$2000"),'Calculations'!$EM193)="VICE PRESIDENT",INDEX(INDIRECT("'WCM Calibration Final'!$H$1:$H$2000"),'Calculations'!$EM193)="ASSISTANT VICE PRESIDENT",INDEX(INDIRECT("'WCM Calibration Final'!$H$1:$H$2000"),'Calculations'!$EM193)="OFFICER"),UPPER(INDEX(INDIRECT("'WCM Calibration Final'!$H$1:$H$2000"),'Calculations'!$EM193)),"Other"),"Other"))</x:f>
      </x:c>
      <x:c r="BW193" s="4"/>
      <x:c r="BX193" s="4"/>
      <x:c r="BY193" s="4" t="n">
        <x:f>IF(AND('Calculations'!BM193=1,'Calculations'!BU193&lt;&gt;"",COUNTIF('Calculations'!$BU$12:BU193,'Calculations'!BU193)=1),MAX('Calculations'!$BY$11:BY192)+1,0)</x:f>
        <x:v>0</x:v>
      </x:c>
      <x:c r="BZ193" s="4" t="str">
        <x:f>IF('Dashboard'!$E$67="What",'Calculations'!BO193,'Calculations'!BP193)</x:f>
      </x:c>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t="str">
        <x:f>IF(182&gt;MAX('Calculations'!$HI$13:$HI$512),"",INDEX('Calculations'!$HN$13:$HN$512,MATCH(182,'Calculations'!$HI$13:$HI$512,0)))</x:f>
      </x:c>
      <x:c r="DB193" s="4" t="str">
        <x:f>IF(182&gt;MAX('Calculations'!$HH$13:$HH$512),"",INDEX('Calculations'!$HJ$13:$HJ$512,MATCH(182,'Calculations'!$HH$13:$HH$512,0)))</x:f>
      </x:c>
      <x:c r="DC193" s="4" t="str">
        <x:f>IF(ROW()-11&gt;MAX('Calculations'!$BY$13:$BY$512),"",INDEX('Calculations'!$BU$13:$BU$512,MATCH(ROW()-11,'Calculations'!$BY$13:$BY$512,0)))</x:f>
      </x:c>
      <x:c r="DD193" s="4" t="str">
        <x:f>IF(182&gt;MAX('Calculations'!$IK$13:$IK$512),"",INDEX('Calculations'!$HK$13:$HK$512,MATCH(182,'Calculations'!$IK$13:$IK$512,0)))</x:f>
      </x:c>
      <x:c r="DE193" s="4" t="str">
        <x:f>'Calculations'!DC193</x:f>
      </x:c>
      <x:c r="DF193" s="4" t="str">
        <x:f>IF('Calculations'!DE193="","",COUNTIFS('Calculations'!$BN$13:$BN$512,1,'Calculations'!$BU$13:$BU$512,'Calculations'!DE193))</x:f>
      </x:c>
      <x:c r="DG193" s="4" t="str">
        <x:f>IF('Calculations'!DE193="","",COUNTIFS('Calculations'!$BN$13:$BN$512,1,'Calculations'!$BU$13:$BU$512,'Calculations'!DE193,'Calculations'!$BT$13:$BT$512,1))</x:f>
      </x:c>
      <x:c r="DH193" s="4" t="str">
        <x:f>IF('Calculations'!DE193="","",'Calculations'!DF193-'Calculations'!DG193)</x:f>
      </x:c>
      <x:c r="DI193" s="4" t="str">
        <x:f>IF(OR('Calculations'!DE193="",'Calculations'!DF193=0),"",'Calculations'!DG193/'Calculations'!DF193)</x:f>
      </x:c>
      <x:c r="DJ193" s="4" t="str">
        <x:f>IF('Calculations'!DE193="","",COUNTIFS('Calculations'!$BN$13:$BN$512,1,'Calculations'!$BU$13:$BU$512,'Calculations'!DE193,'Calculations'!$BT$13:$BT$512,1,'Calculations'!$EE$13:$EE$512,"High"))</x:f>
      </x:c>
      <x:c r="DK193" s="4" t="str">
        <x:f>IF('Calculations'!DE193="","",COUNTIFS('Calculations'!$BN$13:$BN$512,1,'Calculations'!$BU$13:$BU$512,'Calculations'!DE193,'Calculations'!$BT$13:$BT$512,1,'Calculations'!$EE$13:$EE$512,"Strong"))</x:f>
      </x:c>
      <x:c r="DL193" s="4" t="str">
        <x:f>IF('Calculations'!DE193="","",COUNTIFS('Calculations'!$BN$13:$BN$512,1,'Calculations'!$BU$13:$BU$512,'Calculations'!DE193,'Calculations'!$BT$13:$BT$512,1,'Calculations'!$EE$13:$EE$512,"Solid"))</x:f>
      </x:c>
      <x:c r="DM193" s="4" t="str">
        <x:f>IF('Calculations'!DE193="","",COUNTIFS('Calculations'!$BN$13:$BN$512,1,'Calculations'!$BU$13:$BU$512,'Calculations'!DE193,'Calculations'!$BT$13:$BT$512,1,'Calculations'!$EE$13:$EE$512,"Low"))</x:f>
      </x:c>
      <x:c r="DN193" s="4" t="str">
        <x:f>IF('Calculations'!DE193="","",COUNTIFS('Calculations'!$BN$13:$BN$512,1,'Calculations'!$BU$13:$BU$512,'Calculations'!DE193,'Calculations'!$EP$13:$EP$512,1))</x:f>
      </x:c>
      <x:c r="DO193" s="4" t="str">
        <x:f>IF(OR('Calculations'!DE193="",'Calculations'!DG193=0),"",('Calculations'!DJ193+'Calculations'!DK193)/'Calculations'!DG193)</x:f>
      </x:c>
      <x:c r="DP193" s="4" t="n">
        <x:f>IF(AND('Calculations'!DE193&lt;&gt;"",'Calculations'!DF193&gt;0),COUNTIF('Calculations'!$DF$12:DF193,"&gt;0"),0)</x:f>
        <x:v>0</x:v>
      </x:c>
      <x:c r="DQ193" s="4" t="str">
        <x:f>IF(182&gt;MAX('Calculations'!$HH$13:$HH$512),"",INDEX('Calculations'!$HF$13:$HF$512,MATCH(182,'Calculations'!$HH$13:$HH$512,0)))</x:f>
      </x:c>
      <x:c r="DR193" s="4" t="str">
        <x:f>IF(182&gt;MAX('Calculations'!$IK$13:$IK$512),"",INDEX('Calculations'!$HE$13:$HE$512,MATCH(182,'Calculations'!$IK$13:$IK$512,0)))</x:f>
      </x:c>
      <x:c r="DS193" s="4"/>
      <x:c r="DT193" s="4"/>
      <x:c r="DU193" s="4"/>
      <x:c r="DV193" s="4"/>
      <x:c r="DW193" s="4"/>
      <x:c r="DX193" s="4"/>
      <x:c r="DY193" s="4"/>
      <x:c r="DZ193" s="4"/>
      <x:c r="EA193" s="4"/>
      <x:c r="EB193" s="4"/>
      <x:c r="EC193" s="4"/>
      <x:c r="ED193" s="4"/>
      <x:c r="EE193" s="4" t="str">
        <x:f>IF('Calculations'!BT193=0,"Not Rated",IF(OR('Calculations'!BO193&gt;=4,'Calculations'!BP193&gt;=4),"Low",IF('Calculations'!BO193+'Calculations'!BP193&lt;=3,"High",IF('Calculations'!BO193+'Calculations'!BP193&lt;=4,"Strong","Solid"))))</x:f>
        <x:v>Not Rated</x:v>
      </x:c>
      <x:c r="EF193" s="4"/>
      <x:c r="EG193" s="4"/>
      <x:c r="EH193" s="4"/>
      <x:c r="EI193" s="4"/>
      <x:c r="EJ193" s="4"/>
      <x:c r="EK193" s="4"/>
      <x:c r="EL193" s="4"/>
      <x:c r="EM193" s="4" t="str">
        <x:f>IF(181&gt;'Calculations'!$JB$2000,"",INDEX('Calculations'!$JA$12:$JA$2000,MATCH(181,'Calculations'!$JB$12:$JB$2000,0)))</x:f>
      </x:c>
      <x:c r="EN193" s="4" t="n">
        <x:f>IF(OR('Calculations'!EM193="",'Calculations'!$AG$8&gt;0,AND('Calculations'!$EF$2&lt;&gt;"All",'Calculations'!HE193='Calculations'!$EF$2),AND('Calculations'!$EF$3&lt;&gt;"All",'Calculations'!HE193='Calculations'!$EF$3)),0,IF(OR('Dashboard'!$B$7="All",'Calculations'!HN193='Dashboard'!$B$7),IF('Calculations'!$EF$2="All",1,IF('Calculations'!HL193&gt;0,0,IF(COUNTIF('Calculations'!HO193:II193,"="&amp;SUBSTITUTE(SUBSTITUTE(SUBSTITUTE('Calculations'!$EF$2,"~","~~"),"*","~*"),"?","~?"))=0,0,IF('Calculations'!$EF$3="All",1,IF(COUNTIF('Calculations'!HO193:II193,"="&amp;SUBSTITUTE(SUBSTITUTE(SUBSTITUTE('Calculations'!$EF$3,"~","~~"),"*","~*"),"?","~?"))&gt;0,1,0))))),0))</x:f>
        <x:v>0</x:v>
      </x:c>
      <x:c r="EO193" s="4" t="str">
        <x:f>IF('Calculations'!IJ193="","",IF('Calculations'!IJ193="!UNRESOLVED","Unresolved hierarchy",IFERROR(INDEX('Calculations'!$HK$13:$HK$512,MATCH('Calculations'!IJ193,'Calculations'!$HE$13:$HE$512,0)),IFERROR(INDEX('Calculations'!$HJ$13:$HJ$512,MATCH('Calculations'!IJ193,'Calculations'!$HF$13:$HF$512,0)),'Calculations'!IJ193))))</x:f>
      </x:c>
      <x:c r="EP193" s="4" t="n">
        <x:f>IF(AND('Calculations'!EM193&lt;&gt;"",'Calculations'!HF193='Calculations'!IJ193),1,0)</x:f>
        <x:v>0</x:v>
      </x:c>
      <x:c r="EQ193" s="4"/>
      <x:c r="ER193" s="4"/>
      <x:c r="ES193" s="4"/>
      <x:c r="ET193" s="4"/>
      <x:c r="EU193" s="4"/>
      <x:c r="EV193" s="4"/>
      <x:c r="EW193" s="4"/>
      <x:c r="EX193" s="4"/>
      <x:c r="EY193" s="4"/>
      <x:c r="EZ193" s="4"/>
      <x:c r="FA193" s="4"/>
      <x:c r="FB193" s="4"/>
      <x:c r="FC193" s="4"/>
      <x:c r="FD193" s="4"/>
      <x:c r="FE193" s="4"/>
      <x:c r="FF193" s="4"/>
      <x:c r="FG193" s="4"/>
      <x:c r="FH193" s="4"/>
      <x:c r="FI193" s="4"/>
      <x:c r="FJ193" s="4"/>
      <x:c r="FK193" s="4"/>
      <x:c r="FL193" s="4"/>
      <x:c r="FM193" s="4"/>
      <x:c r="FN193" s="4"/>
      <x:c r="FO193" s="4"/>
      <x:c r="GA193" s="71"/>
      <x:c r="GB193" s="71"/>
      <x:c r="GC193" s="71"/>
      <x:c r="GD193" s="71"/>
      <x:c r="GE193" s="71"/>
      <x:c r="GF193" s="71"/>
      <x:c r="GG193" s="71"/>
      <x:c r="GH193" s="71"/>
      <x:c r="GI193" s="71"/>
      <x:c r="GJ193" s="71"/>
      <x:c r="GK193" s="71"/>
      <x:c r="GL193" s="71"/>
      <x:c r="GM193" s="71"/>
      <x:c r="GN193" s="71"/>
      <x:c r="GO193" s="71"/>
      <x:c r="GP193" s="71"/>
      <x:c r="GQ193" s="71"/>
      <x:c r="GR193" s="71"/>
      <x:c r="GS193" s="71"/>
      <x:c r="GT193" s="71"/>
      <x:c r="GU193" s="71"/>
      <x:c r="GV193" s="71"/>
      <x:c r="GW193" s="71"/>
      <x:c r="GX193" s="71"/>
      <x:c r="GY193" s="71"/>
      <x:c r="GZ193" s="71"/>
      <x:c r="HA193" s="71"/>
      <x:c r="HB193" s="71"/>
      <x:c r="HC193" s="71"/>
      <x:c r="HD193" s="71"/>
      <x:c r="HE193" t="str">
        <x:f>IF('Calculations'!EM193="","",IF(IFERROR(IF(INDEX(INDIRECT("'WCM Calibration Final'!$A$1:$A$2000"),'Calculations'!$EM193)="","",TRIM(INDEX(INDIRECT("'WCM Calibration Final'!$A$1:$A$2000"),'Calculations'!$EM193)&amp;"")),"")&lt;&gt;"","G:"&amp;IFERROR(TEXT(1*INDEX(INDIRECT("'WCM Calibration Final'!$A$1:$A$2000"),'Calculations'!$EM193),"0"),UPPER(IFERROR(IF(INDEX(INDIRECT("'WCM Calibration Final'!$A$1:$A$2000"),'Calculations'!$EM193)="","",TRIM(INDEX(INDIRECT("'WCM Calibration Final'!$A$1:$A$2000"),'Calculations'!$EM193)&amp;"")),""))),IF(IFERROR(IF(INDEX(INDIRECT("'WCM Calibration Final'!$C$1:$C$2000"),'Calculations'!$EM193)="","",TRIM(INDEX(INDIRECT("'WCM Calibration Final'!$C$1:$C$2000"),'Calculations'!$EM193)&amp;"")),"")&lt;&gt;"","S:"&amp;UPPER(IFERROR(IF(INDEX(INDIRECT("'WCM Calibration Final'!$C$1:$C$2000"),'Calculations'!$EM193)="","",TRIM(INDEX(INDIRECT("'WCM Calibration Final'!$C$1:$C$2000"),'Calculations'!$EM193)&amp;"")),"")),"R:"&amp;'Calculations'!EM193)))</x:f>
      </x:c>
      <x:c r="HF193" t="str">
        <x:f>IF('Calculations'!EM193="","",IF(IFERROR(IF(INDEX(INDIRECT("'WCM Calibration Final'!$D$1:$D$2000"),'Calculations'!$EM193)="","",TRIM(INDEX(INDIRECT("'WCM Calibration Final'!$D$1:$D$2000"),'Calculations'!$EM193)&amp;"")),"")&lt;&gt;"","G:"&amp;IFERROR(TEXT(1*INDEX(INDIRECT("'WCM Calibration Final'!$D$1:$D$2000"),'Calculations'!$EM193),"0"),UPPER(IFERROR(IF(INDEX(INDIRECT("'WCM Calibration Final'!$D$1:$D$2000"),'Calculations'!$EM193)="","",TRIM(INDEX(INDIRECT("'WCM Calibration Final'!$D$1:$D$2000"),'Calculations'!$EM193)&amp;"")),""))),IF(IFERROR(IF(INDEX(INDIRECT("'WCM Calibration Final'!$E$1:$E$2000"),'Calculations'!$EM193)="","",TRIM(INDEX(INDIRECT("'WCM Calibration Final'!$E$1:$E$2000"),'Calculations'!$EM193)&amp;"")),"")="","",IF(COUNTIF('Calculations'!$HG$13:$HG$512,"="&amp;SUBSTITUTE(SUBSTITUTE(SUBSTITUTE(IFERROR(IF(INDEX(INDIRECT("'WCM Calibration Final'!$E$1:$E$2000"),'Calculations'!$EM193)="","",TRIM(INDEX(INDIRECT("'WCM Calibration Final'!$E$1:$E$2000"),'Calculations'!$EM193)&amp;"")),""),"~","~~"),"*","~*"),"?","~?"))=1,INDEX('Calculations'!$HE$13:$HE$512,MATCH(IFERROR(IF(INDEX(INDIRECT("'WCM Calibration Final'!$E$1:$E$2000"),'Calculations'!$EM193)="","",TRIM(INDEX(INDIRECT("'WCM Calibration Final'!$E$1:$E$2000"),'Calculations'!$EM193)&amp;"")),""),'Calculations'!$HG$13:$HG$512,0)),IF(COUNTIF('Calculations'!$HG$13:$HG$512,"="&amp;SUBSTITUTE(SUBSTITUTE(SUBSTITUTE(IFERROR(IF(INDEX(INDIRECT("'WCM Calibration Final'!$E$1:$E$2000"),'Calculations'!$EM193)="","",TRIM(INDEX(INDIRECT("'WCM Calibration Final'!$E$1:$E$2000"),'Calculations'!$EM193)&amp;"")),""),"~","~~"),"*","~*"),"?","~?"))&gt;1,"!AMBIG","X:"&amp;IFERROR(IF(INDEX(INDIRECT("'WCM Calibration Final'!$E$1:$E$2000"),'Calculations'!$EM193)="","",TRIM(INDEX(INDIRECT("'WCM Calibration Final'!$E$1:$E$2000"),'Calculations'!$EM193)&amp;"")),""))))))</x:f>
      </x:c>
      <x:c r="HG193" t="str">
        <x:f>IF('Calculations'!EM193="","",IFERROR(IF(INDEX(INDIRECT("'WCM Calibration Final'!$B$1:$B$2000"),'Calculations'!$EM193)="","",TRIM(INDEX(INDIRECT("'WCM Calibration Final'!$B$1:$B$2000"),'Calculations'!$EM193)&amp;"")),""))</x:f>
      </x:c>
      <x:c r="HH193" t="n">
        <x:f>IF(AND('Calculations'!JC193&gt;0,COUNTIF('Calculations'!$HF$12:HF193,"="&amp;SUBSTITUTE(SUBSTITUTE(SUBSTITUTE('Calculations'!HF193,"~","~~"),"*","~*"),"?","~?"))=1),MAX('Calculations'!$HH$12:HH192)+1,0)</x:f>
        <x:v>0</x:v>
      </x:c>
      <x:c r="HI193" t="n">
        <x:f>IF(AND('Calculations'!HN193&lt;&gt;"",COUNTIF('Calculations'!$HN$12:HN193,"="&amp;SUBSTITUTE(SUBSTITUTE(SUBSTITUTE('Calculations'!HN193,"~","~~"),"*","~*"),"?","~?"))=1),MAX('Calculations'!$HI$12:HI192)+1,0)</x:f>
        <x:v>0</x:v>
      </x:c>
      <x:c r="HJ193" t="str">
        <x:f>IF('Calculations'!HF193="","",IF(COUNTIF('Calculations'!$HE$13:$HE$512,"="&amp;SUBSTITUTE(SUBSTITUTE(SUBSTITUTE('Calculations'!HF193,"~","~~"),"*","~*"),"?","~?"))=1,INDEX('Calculations'!$HK$13:$HK$512,MATCH('Calculations'!HF193,'Calculations'!$HE$13:$HE$512,0)),IFERROR(IF(INDEX(INDIRECT("'WCM Calibration Final'!$E$1:$E$2000"),'Calculations'!$EM193)="","",TRIM(INDEX(INDIRECT("'WCM Calibration Final'!$E$1:$E$2000"),'Calculations'!$EM193)&amp;"")),"")&amp;" ["&amp;'Calculations'!HF193&amp;"]"))</x:f>
      </x:c>
      <x:c r="HK193" t="str">
        <x:f>IF('Calculations'!EM193="","",'Calculations'!HG193&amp;" ["&amp;'Calculations'!HE193&amp;"]")</x:f>
      </x:c>
      <x:c r="HL193" t="n">
        <x:f>IF('Calculations'!EM193="",0,IF(OR('Calculations'!II193&lt;&gt;"",COUNTIF('Calculations'!$HE$13:$HE$512,"="&amp;SUBSTITUTE(SUBSTITUTE(SUBSTITUTE('Calculations'!HE193,"~","~~"),"*","~*"),"?","~?"))&gt;1),1,0))</x:f>
        <x:v>0</x:v>
      </x:c>
      <x:c r="HM193" t="str">
        <x:f>IF('Calculations'!EM193="","",IF('Calculations'!HL193=1,"!UNRESOLVED",IF('Calculations'!IH193&lt;&gt;"",'Calculations'!IH193,IF('Calculations'!IG193&lt;&gt;"",'Calculations'!IG193,IF('Calculations'!IF193&lt;&gt;"",'Calculations'!IF193,IF('Calculations'!IE193&lt;&gt;"",'Calculations'!IE193,IF('Calculations'!ID193&lt;&gt;"",'Calculations'!ID193,IF('Calculations'!IC193&lt;&gt;"",'Calculations'!IC193,IF('Calculations'!IB193&lt;&gt;"",'Calculations'!IB193,IF('Calculations'!IA193&lt;&gt;"",'Calculations'!IA193,IF('Calculations'!HZ193&lt;&gt;"",'Calculations'!HZ193,IF('Calculations'!HY193&lt;&gt;"",'Calculations'!HY193,IF('Calculations'!HX193&lt;&gt;"",'Calculations'!HX193,IF('Calculations'!HW193&lt;&gt;"",'Calculations'!HW193,IF('Calculations'!HV193&lt;&gt;"",'Calculations'!HV193,IF('Calculations'!HU193&lt;&gt;"",'Calculations'!HU193,IF('Calculations'!HT193&lt;&gt;"",'Calculations'!HT193,IF('Calculations'!HS193&lt;&gt;"",'Calculations'!HS193,IF('Calculations'!HR193&lt;&gt;"",'Calculations'!HR193,IF('Calculations'!HQ193&lt;&gt;"",'Calculations'!HQ193,IF('Calculations'!HP193&lt;&gt;"",'Calculations'!HP193,IF('Calculations'!HO193&lt;&gt;"",'Calculations'!HO193,'Calculations'!HE193))))))))))))))))))))))</x:f>
      </x:c>
      <x:c r="HN193" t="str">
        <x:f>IF('Calculations'!EM193="","",IF(IFERROR(IF(INDEX(INDIRECT("'WCM Calibration Final'!$F$1:$F$2000"),'Calculations'!$EM193)="","",TRIM(INDEX(INDIRECT("'WCM Calibration Final'!$F$1:$F$2000"),'Calculations'!$EM193)&amp;"")),"")="","(Blank)",IFERROR(IF(INDEX(INDIRECT("'WCM Calibration Final'!$F$1:$F$2000"),'Calculations'!$EM193)="","",TRIM(INDEX(INDIRECT("'WCM Calibration Final'!$F$1:$F$2000"),'Calculations'!$EM193)&amp;"")),"")))</x:f>
      </x:c>
      <x:c r="HO193" t="str">
        <x:f>'Calculations'!HF193</x:f>
      </x:c>
      <x:c r="HP193" t="str">
        <x:f>IF('Calculations'!HO193="","",IF('Calculations'!HO193="!AMBIG","!AMBIG",IF(COUNTIF('Calculations'!$HE$13:$HE$512,"="&amp;SUBSTITUTE(SUBSTITUTE(SUBSTITUTE('Calculations'!HO193,"~","~~"),"*","~*"),"?","~?"))&gt;1,"!AMBIG",IFERROR(INDEX('Calculations'!$HF$13:$HF$512,MATCH('Calculations'!HO193,'Calculations'!$HE$13:$HE$512,0)),""))))</x:f>
      </x:c>
      <x:c r="HQ193" t="str">
        <x:f>IF('Calculations'!HP193="","",IF('Calculations'!HP193="!AMBIG","!AMBIG",IF(COUNTIF('Calculations'!$HE$13:$HE$512,"="&amp;SUBSTITUTE(SUBSTITUTE(SUBSTITUTE('Calculations'!HP193,"~","~~"),"*","~*"),"?","~?"))&gt;1,"!AMBIG",IFERROR(INDEX('Calculations'!$HF$13:$HF$512,MATCH('Calculations'!HP193,'Calculations'!$HE$13:$HE$512,0)),""))))</x:f>
      </x:c>
      <x:c r="HR193" t="str">
        <x:f>IF('Calculations'!HQ193="","",IF('Calculations'!HQ193="!AMBIG","!AMBIG",IF(COUNTIF('Calculations'!$HE$13:$HE$512,"="&amp;SUBSTITUTE(SUBSTITUTE(SUBSTITUTE('Calculations'!HQ193,"~","~~"),"*","~*"),"?","~?"))&gt;1,"!AMBIG",IFERROR(INDEX('Calculations'!$HF$13:$HF$512,MATCH('Calculations'!HQ193,'Calculations'!$HE$13:$HE$512,0)),""))))</x:f>
      </x:c>
      <x:c r="HS193" t="str">
        <x:f>IF('Calculations'!HR193="","",IF('Calculations'!HR193="!AMBIG","!AMBIG",IF(COUNTIF('Calculations'!$HE$13:$HE$512,"="&amp;SUBSTITUTE(SUBSTITUTE(SUBSTITUTE('Calculations'!HR193,"~","~~"),"*","~*"),"?","~?"))&gt;1,"!AMBIG",IFERROR(INDEX('Calculations'!$HF$13:$HF$512,MATCH('Calculations'!HR193,'Calculations'!$HE$13:$HE$512,0)),""))))</x:f>
      </x:c>
      <x:c r="HT193" t="str">
        <x:f>IF('Calculations'!HS193="","",IF('Calculations'!HS193="!AMBIG","!AMBIG",IF(COUNTIF('Calculations'!$HE$13:$HE$512,"="&amp;SUBSTITUTE(SUBSTITUTE(SUBSTITUTE('Calculations'!HS193,"~","~~"),"*","~*"),"?","~?"))&gt;1,"!AMBIG",IFERROR(INDEX('Calculations'!$HF$13:$HF$512,MATCH('Calculations'!HS193,'Calculations'!$HE$13:$HE$512,0)),""))))</x:f>
      </x:c>
      <x:c r="HU193" t="str">
        <x:f>IF('Calculations'!HT193="","",IF('Calculations'!HT193="!AMBIG","!AMBIG",IF(COUNTIF('Calculations'!$HE$13:$HE$512,"="&amp;SUBSTITUTE(SUBSTITUTE(SUBSTITUTE('Calculations'!HT193,"~","~~"),"*","~*"),"?","~?"))&gt;1,"!AMBIG",IFERROR(INDEX('Calculations'!$HF$13:$HF$512,MATCH('Calculations'!HT193,'Calculations'!$HE$13:$HE$512,0)),""))))</x:f>
      </x:c>
      <x:c r="HV193" t="str">
        <x:f>IF('Calculations'!HU193="","",IF('Calculations'!HU193="!AMBIG","!AMBIG",IF(COUNTIF('Calculations'!$HE$13:$HE$512,"="&amp;SUBSTITUTE(SUBSTITUTE(SUBSTITUTE('Calculations'!HU193,"~","~~"),"*","~*"),"?","~?"))&gt;1,"!AMBIG",IFERROR(INDEX('Calculations'!$HF$13:$HF$512,MATCH('Calculations'!HU193,'Calculations'!$HE$13:$HE$512,0)),""))))</x:f>
      </x:c>
      <x:c r="HW193" t="str">
        <x:f>IF('Calculations'!HV193="","",IF('Calculations'!HV193="!AMBIG","!AMBIG",IF(COUNTIF('Calculations'!$HE$13:$HE$512,"="&amp;SUBSTITUTE(SUBSTITUTE(SUBSTITUTE('Calculations'!HV193,"~","~~"),"*","~*"),"?","~?"))&gt;1,"!AMBIG",IFERROR(INDEX('Calculations'!$HF$13:$HF$512,MATCH('Calculations'!HV193,'Calculations'!$HE$13:$HE$512,0)),""))))</x:f>
      </x:c>
      <x:c r="HX193" t="str">
        <x:f>IF('Calculations'!HW193="","",IF('Calculations'!HW193="!AMBIG","!AMBIG",IF(COUNTIF('Calculations'!$HE$13:$HE$512,"="&amp;SUBSTITUTE(SUBSTITUTE(SUBSTITUTE('Calculations'!HW193,"~","~~"),"*","~*"),"?","~?"))&gt;1,"!AMBIG",IFERROR(INDEX('Calculations'!$HF$13:$HF$512,MATCH('Calculations'!HW193,'Calculations'!$HE$13:$HE$512,0)),""))))</x:f>
      </x:c>
      <x:c r="HY193" t="str">
        <x:f>IF('Calculations'!HX193="","",IF('Calculations'!HX193="!AMBIG","!AMBIG",IF(COUNTIF('Calculations'!$HE$13:$HE$512,"="&amp;SUBSTITUTE(SUBSTITUTE(SUBSTITUTE('Calculations'!HX193,"~","~~"),"*","~*"),"?","~?"))&gt;1,"!AMBIG",IFERROR(INDEX('Calculations'!$HF$13:$HF$512,MATCH('Calculations'!HX193,'Calculations'!$HE$13:$HE$512,0)),""))))</x:f>
      </x:c>
      <x:c r="HZ193" t="str">
        <x:f>IF('Calculations'!HY193="","",IF('Calculations'!HY193="!AMBIG","!AMBIG",IF(COUNTIF('Calculations'!$HE$13:$HE$512,"="&amp;SUBSTITUTE(SUBSTITUTE(SUBSTITUTE('Calculations'!HY193,"~","~~"),"*","~*"),"?","~?"))&gt;1,"!AMBIG",IFERROR(INDEX('Calculations'!$HF$13:$HF$512,MATCH('Calculations'!HY193,'Calculations'!$HE$13:$HE$512,0)),""))))</x:f>
      </x:c>
      <x:c r="IA193" t="str">
        <x:f>IF('Calculations'!HZ193="","",IF('Calculations'!HZ193="!AMBIG","!AMBIG",IF(COUNTIF('Calculations'!$HE$13:$HE$512,"="&amp;SUBSTITUTE(SUBSTITUTE(SUBSTITUTE('Calculations'!HZ193,"~","~~"),"*","~*"),"?","~?"))&gt;1,"!AMBIG",IFERROR(INDEX('Calculations'!$HF$13:$HF$512,MATCH('Calculations'!HZ193,'Calculations'!$HE$13:$HE$512,0)),""))))</x:f>
      </x:c>
      <x:c r="IB193" t="str">
        <x:f>IF('Calculations'!IA193="","",IF('Calculations'!IA193="!AMBIG","!AMBIG",IF(COUNTIF('Calculations'!$HE$13:$HE$512,"="&amp;SUBSTITUTE(SUBSTITUTE(SUBSTITUTE('Calculations'!IA193,"~","~~"),"*","~*"),"?","~?"))&gt;1,"!AMBIG",IFERROR(INDEX('Calculations'!$HF$13:$HF$512,MATCH('Calculations'!IA193,'Calculations'!$HE$13:$HE$512,0)),""))))</x:f>
      </x:c>
      <x:c r="IC193" t="str">
        <x:f>IF('Calculations'!IB193="","",IF('Calculations'!IB193="!AMBIG","!AMBIG",IF(COUNTIF('Calculations'!$HE$13:$HE$512,"="&amp;SUBSTITUTE(SUBSTITUTE(SUBSTITUTE('Calculations'!IB193,"~","~~"),"*","~*"),"?","~?"))&gt;1,"!AMBIG",IFERROR(INDEX('Calculations'!$HF$13:$HF$512,MATCH('Calculations'!IB193,'Calculations'!$HE$13:$HE$512,0)),""))))</x:f>
      </x:c>
      <x:c r="ID193" t="str">
        <x:f>IF('Calculations'!IC193="","",IF('Calculations'!IC193="!AMBIG","!AMBIG",IF(COUNTIF('Calculations'!$HE$13:$HE$512,"="&amp;SUBSTITUTE(SUBSTITUTE(SUBSTITUTE('Calculations'!IC193,"~","~~"),"*","~*"),"?","~?"))&gt;1,"!AMBIG",IFERROR(INDEX('Calculations'!$HF$13:$HF$512,MATCH('Calculations'!IC193,'Calculations'!$HE$13:$HE$512,0)),""))))</x:f>
      </x:c>
      <x:c r="IE193" t="str">
        <x:f>IF('Calculations'!ID193="","",IF('Calculations'!ID193="!AMBIG","!AMBIG",IF(COUNTIF('Calculations'!$HE$13:$HE$512,"="&amp;SUBSTITUTE(SUBSTITUTE(SUBSTITUTE('Calculations'!ID193,"~","~~"),"*","~*"),"?","~?"))&gt;1,"!AMBIG",IFERROR(INDEX('Calculations'!$HF$13:$HF$512,MATCH('Calculations'!ID193,'Calculations'!$HE$13:$HE$512,0)),""))))</x:f>
      </x:c>
      <x:c r="IF193" t="str">
        <x:f>IF('Calculations'!IE193="","",IF('Calculations'!IE193="!AMBIG","!AMBIG",IF(COUNTIF('Calculations'!$HE$13:$HE$512,"="&amp;SUBSTITUTE(SUBSTITUTE(SUBSTITUTE('Calculations'!IE193,"~","~~"),"*","~*"),"?","~?"))&gt;1,"!AMBIG",IFERROR(INDEX('Calculations'!$HF$13:$HF$512,MATCH('Calculations'!IE193,'Calculations'!$HE$13:$HE$512,0)),""))))</x:f>
      </x:c>
      <x:c r="IG193" t="str">
        <x:f>IF('Calculations'!IF193="","",IF('Calculations'!IF193="!AMBIG","!AMBIG",IF(COUNTIF('Calculations'!$HE$13:$HE$512,"="&amp;SUBSTITUTE(SUBSTITUTE(SUBSTITUTE('Calculations'!IF193,"~","~~"),"*","~*"),"?","~?"))&gt;1,"!AMBIG",IFERROR(INDEX('Calculations'!$HF$13:$HF$512,MATCH('Calculations'!IF193,'Calculations'!$HE$13:$HE$512,0)),""))))</x:f>
      </x:c>
      <x:c r="IH193" t="str">
        <x:f>IF('Calculations'!IG193="","",IF('Calculations'!IG193="!AMBIG","!AMBIG",IF(COUNTIF('Calculations'!$HE$13:$HE$512,"="&amp;SUBSTITUTE(SUBSTITUTE(SUBSTITUTE('Calculations'!IG193,"~","~~"),"*","~*"),"?","~?"))&gt;1,"!AMBIG",IFERROR(INDEX('Calculations'!$HF$13:$HF$512,MATCH('Calculations'!IG193,'Calculations'!$HE$13:$HE$512,0)),""))))</x:f>
      </x:c>
      <x:c r="II193" t="str">
        <x:f>IF('Calculations'!IH193="","",IF('Calculations'!IH193="!AMBIG","!AMBIG",IF(COUNTIF('Calculations'!$HE$13:$HE$512,"="&amp;SUBSTITUTE(SUBSTITUTE(SUBSTITUTE('Calculations'!IH193,"~","~~"),"*","~*"),"?","~?"))&gt;1,"!AMBIG",IFERROR(INDEX('Calculations'!$HF$13:$HF$512,MATCH('Calculations'!IH193,'Calculations'!$HE$13:$HE$512,0)),""))))</x:f>
      </x:c>
      <x:c r="IJ193" t="str">
        <x:f>IF('Calculations'!EM193="","",IF('Calculations'!$EF$2="All",'Calculations'!HM193,IF('Calculations'!HL193=1,"",IFERROR(IF(MATCH('Calculations'!$EF$2,'Calculations'!HO193:II193,0)=1,'Calculations'!HE193,INDEX('Calculations'!HO193:II193,1,MATCH('Calculations'!$EF$2,'Calculations'!HO193:II193,0)-1)),""))))</x:f>
      </x:c>
      <x:c r="IK193" t="n">
        <x:f>IF(AND('Calculations'!EM193&lt;&gt;"",'Calculations'!$EF$2&lt;&gt;"All",'Calculations'!HF193='Calculations'!$EF$2,'Calculations'!HL193=0,'Calculations'!JD193&gt;0),MAX('Calculations'!$IK$12:IK192)+1,0)</x:f>
        <x:v>0</x:v>
      </x:c>
      <x:c r="JA193" t="n">
        <x:f>IF(OR(IFERROR(INDIRECT("'WCM Calibration Final'!$A$193")&lt;&gt;"",FALSE),IFERROR(INDIRECT("'WCM Calibration Final'!$B$193")&lt;&gt;"",FALSE),IFERROR(INDIRECT("'WCM Calibration Final'!$C$193")&lt;&gt;"",FALSE)),193,0)</x:f>
        <x:v>0</x:v>
      </x:c>
      <x:c r="JB193" t="n">
        <x:f>'Calculations'!JB192+IF('Calculations'!JA193&gt;0,1,0)</x:f>
        <x:v>0</x:v>
      </x:c>
      <x:c r="JC193" t="n">
        <x:f>IF(OR('Calculations'!HF193="",'Calculations'!HF193="!AMBIG"),0,IF('Dashboard'!$B$7="All",1,COUNTIFS('Calculations'!$HO$13:$HO$512,"="&amp;SUBSTITUTE(SUBSTITUTE(SUBSTITUTE('Calculations'!HF193,"~","~~"),"*","~*"),"?","~?"),'Calculations'!$HN$13:$HN$512,"="&amp;SUBSTITUTE(SUBSTITUTE(SUBSTITUTE('Dashboard'!$B$7,"~","~~"),"*","~*"),"?","~?"))+COUNTIFS('Calculations'!$HP$13:$HP$512,"="&amp;SUBSTITUTE(SUBSTITUTE(SUBSTITUTE('Calculations'!HF193,"~","~~"),"*","~*"),"?","~?"),'Calculations'!$HN$13:$HN$512,"="&amp;SUBSTITUTE(SUBSTITUTE(SUBSTITUTE('Dashboard'!$B$7,"~","~~"),"*","~*"),"?","~?"))+COUNTIFS('Calculations'!$HQ$13:$HQ$512,"="&amp;SUBSTITUTE(SUBSTITUTE(SUBSTITUTE('Calculations'!HF193,"~","~~"),"*","~*"),"?","~?"),'Calculations'!$HN$13:$HN$512,"="&amp;SUBSTITUTE(SUBSTITUTE(SUBSTITUTE('Dashboard'!$B$7,"~","~~"),"*","~*"),"?","~?"))+COUNTIFS('Calculations'!$HR$13:$HR$512,"="&amp;SUBSTITUTE(SUBSTITUTE(SUBSTITUTE('Calculations'!HF193,"~","~~"),"*","~*"),"?","~?"),'Calculations'!$HN$13:$HN$512,"="&amp;SUBSTITUTE(SUBSTITUTE(SUBSTITUTE('Dashboard'!$B$7,"~","~~"),"*","~*"),"?","~?"))+COUNTIFS('Calculations'!$HS$13:$HS$512,"="&amp;SUBSTITUTE(SUBSTITUTE(SUBSTITUTE('Calculations'!HF193,"~","~~"),"*","~*"),"?","~?"),'Calculations'!$HN$13:$HN$512,"="&amp;SUBSTITUTE(SUBSTITUTE(SUBSTITUTE('Dashboard'!$B$7,"~","~~"),"*","~*"),"?","~?"))+COUNTIFS('Calculations'!$HT$13:$HT$512,"="&amp;SUBSTITUTE(SUBSTITUTE(SUBSTITUTE('Calculations'!HF193,"~","~~"),"*","~*"),"?","~?"),'Calculations'!$HN$13:$HN$512,"="&amp;SUBSTITUTE(SUBSTITUTE(SUBSTITUTE('Dashboard'!$B$7,"~","~~"),"*","~*"),"?","~?"))+COUNTIFS('Calculations'!$HU$13:$HU$512,"="&amp;SUBSTITUTE(SUBSTITUTE(SUBSTITUTE('Calculations'!HF193,"~","~~"),"*","~*"),"?","~?"),'Calculations'!$HN$13:$HN$512,"="&amp;SUBSTITUTE(SUBSTITUTE(SUBSTITUTE('Dashboard'!$B$7,"~","~~"),"*","~*"),"?","~?"))+COUNTIFS('Calculations'!$HV$13:$HV$512,"="&amp;SUBSTITUTE(SUBSTITUTE(SUBSTITUTE('Calculations'!HF193,"~","~~"),"*","~*"),"?","~?"),'Calculations'!$HN$13:$HN$512,"="&amp;SUBSTITUTE(SUBSTITUTE(SUBSTITUTE('Dashboard'!$B$7,"~","~~"),"*","~*"),"?","~?"))+COUNTIFS('Calculations'!$HW$13:$HW$512,"="&amp;SUBSTITUTE(SUBSTITUTE(SUBSTITUTE('Calculations'!HF193,"~","~~"),"*","~*"),"?","~?"),'Calculations'!$HN$13:$HN$512,"="&amp;SUBSTITUTE(SUBSTITUTE(SUBSTITUTE('Dashboard'!$B$7,"~","~~"),"*","~*"),"?","~?"))+COUNTIFS('Calculations'!$HX$13:$HX$512,"="&amp;SUBSTITUTE(SUBSTITUTE(SUBSTITUTE('Calculations'!HF193,"~","~~"),"*","~*"),"?","~?"),'Calculations'!$HN$13:$HN$512,"="&amp;SUBSTITUTE(SUBSTITUTE(SUBSTITUTE('Dashboard'!$B$7,"~","~~"),"*","~*"),"?","~?"))+COUNTIFS('Calculations'!$HY$13:$HY$512,"="&amp;SUBSTITUTE(SUBSTITUTE(SUBSTITUTE('Calculations'!HF193,"~","~~"),"*","~*"),"?","~?"),'Calculations'!$HN$13:$HN$512,"="&amp;SUBSTITUTE(SUBSTITUTE(SUBSTITUTE('Dashboard'!$B$7,"~","~~"),"*","~*"),"?","~?"))+COUNTIFS('Calculations'!$HZ$13:$HZ$512,"="&amp;SUBSTITUTE(SUBSTITUTE(SUBSTITUTE('Calculations'!HF193,"~","~~"),"*","~*"),"?","~?"),'Calculations'!$HN$13:$HN$512,"="&amp;SUBSTITUTE(SUBSTITUTE(SUBSTITUTE('Dashboard'!$B$7,"~","~~"),"*","~*"),"?","~?"))+COUNTIFS('Calculations'!$IA$13:$IA$512,"="&amp;SUBSTITUTE(SUBSTITUTE(SUBSTITUTE('Calculations'!HF193,"~","~~"),"*","~*"),"?","~?"),'Calculations'!$HN$13:$HN$512,"="&amp;SUBSTITUTE(SUBSTITUTE(SUBSTITUTE('Dashboard'!$B$7,"~","~~"),"*","~*"),"?","~?"))+COUNTIFS('Calculations'!$IB$13:$IB$512,"="&amp;SUBSTITUTE(SUBSTITUTE(SUBSTITUTE('Calculations'!HF193,"~","~~"),"*","~*"),"?","~?"),'Calculations'!$HN$13:$HN$512,"="&amp;SUBSTITUTE(SUBSTITUTE(SUBSTITUTE('Dashboard'!$B$7,"~","~~"),"*","~*"),"?","~?"))+COUNTIFS('Calculations'!$IC$13:$IC$512,"="&amp;SUBSTITUTE(SUBSTITUTE(SUBSTITUTE('Calculations'!HF193,"~","~~"),"*","~*"),"?","~?"),'Calculations'!$HN$13:$HN$512,"="&amp;SUBSTITUTE(SUBSTITUTE(SUBSTITUTE('Dashboard'!$B$7,"~","~~"),"*","~*"),"?","~?"))+COUNTIFS('Calculations'!$ID$13:$ID$512,"="&amp;SUBSTITUTE(SUBSTITUTE(SUBSTITUTE('Calculations'!HF193,"~","~~"),"*","~*"),"?","~?"),'Calculations'!$HN$13:$HN$512,"="&amp;SUBSTITUTE(SUBSTITUTE(SUBSTITUTE('Dashboard'!$B$7,"~","~~"),"*","~*"),"?","~?"))+COUNTIFS('Calculations'!$IE$13:$IE$512,"="&amp;SUBSTITUTE(SUBSTITUTE(SUBSTITUTE('Calculations'!HF193,"~","~~"),"*","~*"),"?","~?"),'Calculations'!$HN$13:$HN$512,"="&amp;SUBSTITUTE(SUBSTITUTE(SUBSTITUTE('Dashboard'!$B$7,"~","~~"),"*","~*"),"?","~?"))+COUNTIFS('Calculations'!$IF$13:$IF$512,"="&amp;SUBSTITUTE(SUBSTITUTE(SUBSTITUTE('Calculations'!HF193,"~","~~"),"*","~*"),"?","~?"),'Calculations'!$HN$13:$HN$512,"="&amp;SUBSTITUTE(SUBSTITUTE(SUBSTITUTE('Dashboard'!$B$7,"~","~~"),"*","~*"),"?","~?"))+COUNTIFS('Calculations'!$IG$13:$IG$512,"="&amp;SUBSTITUTE(SUBSTITUTE(SUBSTITUTE('Calculations'!HF193,"~","~~"),"*","~*"),"?","~?"),'Calculations'!$HN$13:$HN$512,"="&amp;SUBSTITUTE(SUBSTITUTE(SUBSTITUTE('Dashboard'!$B$7,"~","~~"),"*","~*"),"?","~?"))+COUNTIFS('Calculations'!$IH$13:$IH$512,"="&amp;SUBSTITUTE(SUBSTITUTE(SUBSTITUTE('Calculations'!HF193,"~","~~"),"*","~*"),"?","~?"),'Calculations'!$HN$13:$HN$512,"="&amp;SUBSTITUTE(SUBSTITUTE(SUBSTITUTE('Dashboard'!$B$7,"~","~~"),"*","~*"),"?","~?"))))</x:f>
        <x:v>0</x:v>
      </x:c>
      <x:c r="JD193" t="n">
        <x:f>IF('Calculations'!EM193="",0,IF('Dashboard'!$B$7="All",1,IF('Calculations'!HN193='Dashboard'!$B$7,1,0)+IFERROR(INDEX('Calculations'!$JC$13:$JC$512,MATCH('Calculations'!HE193,'Calculations'!$HF$13:$HF$512,0)),0)))</x:f>
        <x:v>0</x:v>
      </x:c>
      <x:c r="JE193" t="n">
        <x:f>IF(AND('Calculations'!EM193&lt;&gt;"",'Calculations'!$JJ$2&lt;&gt;"All",'Calculations'!$JJ$2&lt;&gt;"",'Calculations'!HF193='Calculations'!$JJ$2,'Calculations'!HL193=0,'Calculations'!JD193&gt;0),MAX('Calculations'!$JE$12:JE192)+1,0)</x:f>
        <x:v>0</x:v>
      </x:c>
      <x:c r="JF193" t="str">
        <x:f>IF('Calculations'!EM193="","",IFERROR(IF(INDEX(INDIRECT("'WCM Calibration Final'!$G$1:$G$2000"),'Calculations'!$EM193)="","",TRIM(INDEX(INDIRECT("'WCM Calibration Final'!$G$1:$G$2000"),'Calculations'!$EM193)&amp;"")),""))</x:f>
      </x:c>
      <x:c r="JQ193" t="n">
        <x:f>IF(OR('Calculations'!BM193=0,NOT('Calculations'!$AG$2),'Calculations'!$AG$8&gt;0),0,IF(OR('Dashboard'!$B$7="All",'Calculations'!HN193='Dashboard'!$B$7),IF('Calculations'!$JJ$2="All",1,IF(AND('Calculations'!HF193='Calculations'!$JJ$2,'Calculations'!HL193=0),1,0)),0))</x:f>
        <x:v>0</x:v>
      </x:c>
    </x:row>
    <x:row r="19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t="n">
        <x:f>IF('Calculations'!$EM194="",0,IF(OR(IFERROR(INDEX(INDIRECT("'WCM Calibration Final'!$A$1:$A$2000"),'Calculations'!$EM194)&lt;&gt;"",FALSE),IFERROR(INDEX(INDIRECT("'WCM Calibration Final'!$B$1:$B$2000"),'Calculations'!$EM194)&lt;&gt;"",FALSE),IFERROR(INDEX(INDIRECT("'WCM Calibration Final'!$C$1:$C$2000"),'Calculations'!$EM194)&lt;&gt;"",FALSE)),1,0))</x:f>
        <x:v>0</x:v>
      </x:c>
      <x:c r="BN194" s="4" t="n">
        <x:f>IF(AND('Calculations'!BM194=1,'Calculations'!$AG$2,'Calculations'!$EN194=1),1,0)</x:f>
        <x:v>0</x:v>
      </x:c>
      <x:c r="BO194" s="4" t="str">
        <x:f>IF('Calculations'!BM194=0,"",IFERROR(IF(AND(VALUE(INDEX(INDIRECT("'WCM Calibration Final'!$K$1:$K$2000"),'Calculations'!$EM194))&gt;=1,VALUE(INDEX(INDIRECT("'WCM Calibration Final'!$K$1:$K$2000"),'Calculations'!$EM194))&lt;=4,MOD(VALUE(INDEX(INDIRECT("'WCM Calibration Final'!$K$1:$K$2000"),'Calculations'!$EM194)),1)=0),VALUE(INDEX(INDIRECT("'WCM Calibration Final'!$K$1:$K$2000"),'Calculations'!$EM194)),""),""))</x:f>
      </x:c>
      <x:c r="BP194" s="4" t="str">
        <x:f>IF('Calculations'!BM194=0,"",IFERROR(IF(AND(VALUE(INDEX(INDIRECT("'WCM Calibration Final'!$L$1:$L$2000"),'Calculations'!$EM194))&gt;=1,VALUE(INDEX(INDIRECT("'WCM Calibration Final'!$L$1:$L$2000"),'Calculations'!$EM194))&lt;=4,MOD(VALUE(INDEX(INDIRECT("'WCM Calibration Final'!$L$1:$L$2000"),'Calculations'!$EM194)),1)=0),VALUE(INDEX(INDIRECT("'WCM Calibration Final'!$L$1:$L$2000"),'Calculations'!$EM194)),""),""))</x:f>
      </x:c>
      <x:c r="BQ194" s="4"/>
      <x:c r="BR194" s="4"/>
      <x:c r="BS194" s="4"/>
      <x:c r="BT194" s="4" t="n">
        <x:f>IF(AND('Calculations'!BM194=1,ISNUMBER('Calculations'!BO194),ISNUMBER('Calculations'!BP194)),1,0)</x:f>
        <x:v>0</x:v>
      </x:c>
      <x:c r="BU194" s="4" t="str">
        <x:f>IF('Calculations'!BM194=0,"",'Calculations'!$EO194)</x:f>
      </x:c>
      <x:c r="BV194" s="4" t="str">
        <x:f>IF('Calculations'!BM194=0,"",IFERROR(IF(OR(INDEX(INDIRECT("'WCM Calibration Final'!$H$1:$H$2000"),'Calculations'!$EM194)="MANAGING DIRECTOR",INDEX(INDIRECT("'WCM Calibration Final'!$H$1:$H$2000"),'Calculations'!$EM194)="DIRECTOR",INDEX(INDIRECT("'WCM Calibration Final'!$H$1:$H$2000"),'Calculations'!$EM194)="SENIOR VICE PRESIDENT",INDEX(INDIRECT("'WCM Calibration Final'!$H$1:$H$2000"),'Calculations'!$EM194)="VICE PRESIDENT",INDEX(INDIRECT("'WCM Calibration Final'!$H$1:$H$2000"),'Calculations'!$EM194)="ASSISTANT VICE PRESIDENT",INDEX(INDIRECT("'WCM Calibration Final'!$H$1:$H$2000"),'Calculations'!$EM194)="OFFICER"),UPPER(INDEX(INDIRECT("'WCM Calibration Final'!$H$1:$H$2000"),'Calculations'!$EM194)),"Other"),"Other"))</x:f>
      </x:c>
      <x:c r="BW194" s="4"/>
      <x:c r="BX194" s="4"/>
      <x:c r="BY194" s="4" t="n">
        <x:f>IF(AND('Calculations'!BM194=1,'Calculations'!BU194&lt;&gt;"",COUNTIF('Calculations'!$BU$12:BU194,'Calculations'!BU194)=1),MAX('Calculations'!$BY$11:BY193)+1,0)</x:f>
        <x:v>0</x:v>
      </x:c>
      <x:c r="BZ194" s="4" t="str">
        <x:f>IF('Dashboard'!$E$67="What",'Calculations'!BO194,'Calculations'!BP194)</x:f>
      </x:c>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t="str">
        <x:f>IF(183&gt;MAX('Calculations'!$HI$13:$HI$512),"",INDEX('Calculations'!$HN$13:$HN$512,MATCH(183,'Calculations'!$HI$13:$HI$512,0)))</x:f>
      </x:c>
      <x:c r="DB194" s="4" t="str">
        <x:f>IF(183&gt;MAX('Calculations'!$HH$13:$HH$512),"",INDEX('Calculations'!$HJ$13:$HJ$512,MATCH(183,'Calculations'!$HH$13:$HH$512,0)))</x:f>
      </x:c>
      <x:c r="DC194" s="4" t="str">
        <x:f>IF(ROW()-11&gt;MAX('Calculations'!$BY$13:$BY$512),"",INDEX('Calculations'!$BU$13:$BU$512,MATCH(ROW()-11,'Calculations'!$BY$13:$BY$512,0)))</x:f>
      </x:c>
      <x:c r="DD194" s="4" t="str">
        <x:f>IF(183&gt;MAX('Calculations'!$IK$13:$IK$512),"",INDEX('Calculations'!$HK$13:$HK$512,MATCH(183,'Calculations'!$IK$13:$IK$512,0)))</x:f>
      </x:c>
      <x:c r="DE194" s="4" t="str">
        <x:f>'Calculations'!DC194</x:f>
      </x:c>
      <x:c r="DF194" s="4" t="str">
        <x:f>IF('Calculations'!DE194="","",COUNTIFS('Calculations'!$BN$13:$BN$512,1,'Calculations'!$BU$13:$BU$512,'Calculations'!DE194))</x:f>
      </x:c>
      <x:c r="DG194" s="4" t="str">
        <x:f>IF('Calculations'!DE194="","",COUNTIFS('Calculations'!$BN$13:$BN$512,1,'Calculations'!$BU$13:$BU$512,'Calculations'!DE194,'Calculations'!$BT$13:$BT$512,1))</x:f>
      </x:c>
      <x:c r="DH194" s="4" t="str">
        <x:f>IF('Calculations'!DE194="","",'Calculations'!DF194-'Calculations'!DG194)</x:f>
      </x:c>
      <x:c r="DI194" s="4" t="str">
        <x:f>IF(OR('Calculations'!DE194="",'Calculations'!DF194=0),"",'Calculations'!DG194/'Calculations'!DF194)</x:f>
      </x:c>
      <x:c r="DJ194" s="4" t="str">
        <x:f>IF('Calculations'!DE194="","",COUNTIFS('Calculations'!$BN$13:$BN$512,1,'Calculations'!$BU$13:$BU$512,'Calculations'!DE194,'Calculations'!$BT$13:$BT$512,1,'Calculations'!$EE$13:$EE$512,"High"))</x:f>
      </x:c>
      <x:c r="DK194" s="4" t="str">
        <x:f>IF('Calculations'!DE194="","",COUNTIFS('Calculations'!$BN$13:$BN$512,1,'Calculations'!$BU$13:$BU$512,'Calculations'!DE194,'Calculations'!$BT$13:$BT$512,1,'Calculations'!$EE$13:$EE$512,"Strong"))</x:f>
      </x:c>
      <x:c r="DL194" s="4" t="str">
        <x:f>IF('Calculations'!DE194="","",COUNTIFS('Calculations'!$BN$13:$BN$512,1,'Calculations'!$BU$13:$BU$512,'Calculations'!DE194,'Calculations'!$BT$13:$BT$512,1,'Calculations'!$EE$13:$EE$512,"Solid"))</x:f>
      </x:c>
      <x:c r="DM194" s="4" t="str">
        <x:f>IF('Calculations'!DE194="","",COUNTIFS('Calculations'!$BN$13:$BN$512,1,'Calculations'!$BU$13:$BU$512,'Calculations'!DE194,'Calculations'!$BT$13:$BT$512,1,'Calculations'!$EE$13:$EE$512,"Low"))</x:f>
      </x:c>
      <x:c r="DN194" s="4" t="str">
        <x:f>IF('Calculations'!DE194="","",COUNTIFS('Calculations'!$BN$13:$BN$512,1,'Calculations'!$BU$13:$BU$512,'Calculations'!DE194,'Calculations'!$EP$13:$EP$512,1))</x:f>
      </x:c>
      <x:c r="DO194" s="4" t="str">
        <x:f>IF(OR('Calculations'!DE194="",'Calculations'!DG194=0),"",('Calculations'!DJ194+'Calculations'!DK194)/'Calculations'!DG194)</x:f>
      </x:c>
      <x:c r="DP194" s="4" t="n">
        <x:f>IF(AND('Calculations'!DE194&lt;&gt;"",'Calculations'!DF194&gt;0),COUNTIF('Calculations'!$DF$12:DF194,"&gt;0"),0)</x:f>
        <x:v>0</x:v>
      </x:c>
      <x:c r="DQ194" s="4" t="str">
        <x:f>IF(183&gt;MAX('Calculations'!$HH$13:$HH$512),"",INDEX('Calculations'!$HF$13:$HF$512,MATCH(183,'Calculations'!$HH$13:$HH$512,0)))</x:f>
      </x:c>
      <x:c r="DR194" s="4" t="str">
        <x:f>IF(183&gt;MAX('Calculations'!$IK$13:$IK$512),"",INDEX('Calculations'!$HE$13:$HE$512,MATCH(183,'Calculations'!$IK$13:$IK$512,0)))</x:f>
      </x:c>
      <x:c r="DS194" s="4"/>
      <x:c r="DT194" s="4"/>
      <x:c r="DU194" s="4"/>
      <x:c r="DV194" s="4"/>
      <x:c r="DW194" s="4"/>
      <x:c r="DX194" s="4"/>
      <x:c r="DY194" s="4"/>
      <x:c r="DZ194" s="4"/>
      <x:c r="EA194" s="4"/>
      <x:c r="EB194" s="4"/>
      <x:c r="EC194" s="4"/>
      <x:c r="ED194" s="4"/>
      <x:c r="EE194" s="4" t="str">
        <x:f>IF('Calculations'!BT194=0,"Not Rated",IF(OR('Calculations'!BO194&gt;=4,'Calculations'!BP194&gt;=4),"Low",IF('Calculations'!BO194+'Calculations'!BP194&lt;=3,"High",IF('Calculations'!BO194+'Calculations'!BP194&lt;=4,"Strong","Solid"))))</x:f>
        <x:v>Not Rated</x:v>
      </x:c>
      <x:c r="EF194" s="4"/>
      <x:c r="EG194" s="4"/>
      <x:c r="EH194" s="4"/>
      <x:c r="EI194" s="4"/>
      <x:c r="EJ194" s="4"/>
      <x:c r="EK194" s="4"/>
      <x:c r="EL194" s="4"/>
      <x:c r="EM194" s="4" t="str">
        <x:f>IF(182&gt;'Calculations'!$JB$2000,"",INDEX('Calculations'!$JA$12:$JA$2000,MATCH(182,'Calculations'!$JB$12:$JB$2000,0)))</x:f>
      </x:c>
      <x:c r="EN194" s="4" t="n">
        <x:f>IF(OR('Calculations'!EM194="",'Calculations'!$AG$8&gt;0,AND('Calculations'!$EF$2&lt;&gt;"All",'Calculations'!HE194='Calculations'!$EF$2),AND('Calculations'!$EF$3&lt;&gt;"All",'Calculations'!HE194='Calculations'!$EF$3)),0,IF(OR('Dashboard'!$B$7="All",'Calculations'!HN194='Dashboard'!$B$7),IF('Calculations'!$EF$2="All",1,IF('Calculations'!HL194&gt;0,0,IF(COUNTIF('Calculations'!HO194:II194,"="&amp;SUBSTITUTE(SUBSTITUTE(SUBSTITUTE('Calculations'!$EF$2,"~","~~"),"*","~*"),"?","~?"))=0,0,IF('Calculations'!$EF$3="All",1,IF(COUNTIF('Calculations'!HO194:II194,"="&amp;SUBSTITUTE(SUBSTITUTE(SUBSTITUTE('Calculations'!$EF$3,"~","~~"),"*","~*"),"?","~?"))&gt;0,1,0))))),0))</x:f>
        <x:v>0</x:v>
      </x:c>
      <x:c r="EO194" s="4" t="str">
        <x:f>IF('Calculations'!IJ194="","",IF('Calculations'!IJ194="!UNRESOLVED","Unresolved hierarchy",IFERROR(INDEX('Calculations'!$HK$13:$HK$512,MATCH('Calculations'!IJ194,'Calculations'!$HE$13:$HE$512,0)),IFERROR(INDEX('Calculations'!$HJ$13:$HJ$512,MATCH('Calculations'!IJ194,'Calculations'!$HF$13:$HF$512,0)),'Calculations'!IJ194))))</x:f>
      </x:c>
      <x:c r="EP194" s="4" t="n">
        <x:f>IF(AND('Calculations'!EM194&lt;&gt;"",'Calculations'!HF194='Calculations'!IJ194),1,0)</x:f>
        <x:v>0</x:v>
      </x:c>
      <x:c r="EQ194" s="4"/>
      <x:c r="ER194" s="4"/>
      <x:c r="ES194" s="4"/>
      <x:c r="ET194" s="4"/>
      <x:c r="EU194" s="4"/>
      <x:c r="EV194" s="4"/>
      <x:c r="EW194" s="4"/>
      <x:c r="EX194" s="4"/>
      <x:c r="EY194" s="4"/>
      <x:c r="EZ194" s="4"/>
      <x:c r="FA194" s="4"/>
      <x:c r="FB194" s="4"/>
      <x:c r="FC194" s="4"/>
      <x:c r="FD194" s="4"/>
      <x:c r="FE194" s="4"/>
      <x:c r="FF194" s="4"/>
      <x:c r="FG194" s="4"/>
      <x:c r="FH194" s="4"/>
      <x:c r="FI194" s="4"/>
      <x:c r="FJ194" s="4"/>
      <x:c r="FK194" s="4"/>
      <x:c r="FL194" s="4"/>
      <x:c r="FM194" s="4"/>
      <x:c r="FN194" s="4"/>
      <x:c r="FO194" s="4"/>
      <x:c r="GA194" s="71"/>
      <x:c r="GB194" s="71"/>
      <x:c r="GC194" s="71"/>
      <x:c r="GD194" s="71"/>
      <x:c r="GE194" s="71"/>
      <x:c r="GF194" s="71"/>
      <x:c r="GG194" s="71"/>
      <x:c r="GH194" s="71"/>
      <x:c r="GI194" s="71"/>
      <x:c r="GJ194" s="71"/>
      <x:c r="GK194" s="71"/>
      <x:c r="GL194" s="71"/>
      <x:c r="GM194" s="71"/>
      <x:c r="GN194" s="71"/>
      <x:c r="GO194" s="71"/>
      <x:c r="GP194" s="71"/>
      <x:c r="GQ194" s="71"/>
      <x:c r="GR194" s="71"/>
      <x:c r="GS194" s="71"/>
      <x:c r="GT194" s="71"/>
      <x:c r="GU194" s="71"/>
      <x:c r="GV194" s="71"/>
      <x:c r="GW194" s="71"/>
      <x:c r="GX194" s="71"/>
      <x:c r="GY194" s="71"/>
      <x:c r="GZ194" s="71"/>
      <x:c r="HA194" s="71"/>
      <x:c r="HB194" s="71"/>
      <x:c r="HC194" s="71"/>
      <x:c r="HD194" s="71"/>
      <x:c r="HE194" t="str">
        <x:f>IF('Calculations'!EM194="","",IF(IFERROR(IF(INDEX(INDIRECT("'WCM Calibration Final'!$A$1:$A$2000"),'Calculations'!$EM194)="","",TRIM(INDEX(INDIRECT("'WCM Calibration Final'!$A$1:$A$2000"),'Calculations'!$EM194)&amp;"")),"")&lt;&gt;"","G:"&amp;IFERROR(TEXT(1*INDEX(INDIRECT("'WCM Calibration Final'!$A$1:$A$2000"),'Calculations'!$EM194),"0"),UPPER(IFERROR(IF(INDEX(INDIRECT("'WCM Calibration Final'!$A$1:$A$2000"),'Calculations'!$EM194)="","",TRIM(INDEX(INDIRECT("'WCM Calibration Final'!$A$1:$A$2000"),'Calculations'!$EM194)&amp;"")),""))),IF(IFERROR(IF(INDEX(INDIRECT("'WCM Calibration Final'!$C$1:$C$2000"),'Calculations'!$EM194)="","",TRIM(INDEX(INDIRECT("'WCM Calibration Final'!$C$1:$C$2000"),'Calculations'!$EM194)&amp;"")),"")&lt;&gt;"","S:"&amp;UPPER(IFERROR(IF(INDEX(INDIRECT("'WCM Calibration Final'!$C$1:$C$2000"),'Calculations'!$EM194)="","",TRIM(INDEX(INDIRECT("'WCM Calibration Final'!$C$1:$C$2000"),'Calculations'!$EM194)&amp;"")),"")),"R:"&amp;'Calculations'!EM194)))</x:f>
      </x:c>
      <x:c r="HF194" t="str">
        <x:f>IF('Calculations'!EM194="","",IF(IFERROR(IF(INDEX(INDIRECT("'WCM Calibration Final'!$D$1:$D$2000"),'Calculations'!$EM194)="","",TRIM(INDEX(INDIRECT("'WCM Calibration Final'!$D$1:$D$2000"),'Calculations'!$EM194)&amp;"")),"")&lt;&gt;"","G:"&amp;IFERROR(TEXT(1*INDEX(INDIRECT("'WCM Calibration Final'!$D$1:$D$2000"),'Calculations'!$EM194),"0"),UPPER(IFERROR(IF(INDEX(INDIRECT("'WCM Calibration Final'!$D$1:$D$2000"),'Calculations'!$EM194)="","",TRIM(INDEX(INDIRECT("'WCM Calibration Final'!$D$1:$D$2000"),'Calculations'!$EM194)&amp;"")),""))),IF(IFERROR(IF(INDEX(INDIRECT("'WCM Calibration Final'!$E$1:$E$2000"),'Calculations'!$EM194)="","",TRIM(INDEX(INDIRECT("'WCM Calibration Final'!$E$1:$E$2000"),'Calculations'!$EM194)&amp;"")),"")="","",IF(COUNTIF('Calculations'!$HG$13:$HG$512,"="&amp;SUBSTITUTE(SUBSTITUTE(SUBSTITUTE(IFERROR(IF(INDEX(INDIRECT("'WCM Calibration Final'!$E$1:$E$2000"),'Calculations'!$EM194)="","",TRIM(INDEX(INDIRECT("'WCM Calibration Final'!$E$1:$E$2000"),'Calculations'!$EM194)&amp;"")),""),"~","~~"),"*","~*"),"?","~?"))=1,INDEX('Calculations'!$HE$13:$HE$512,MATCH(IFERROR(IF(INDEX(INDIRECT("'WCM Calibration Final'!$E$1:$E$2000"),'Calculations'!$EM194)="","",TRIM(INDEX(INDIRECT("'WCM Calibration Final'!$E$1:$E$2000"),'Calculations'!$EM194)&amp;"")),""),'Calculations'!$HG$13:$HG$512,0)),IF(COUNTIF('Calculations'!$HG$13:$HG$512,"="&amp;SUBSTITUTE(SUBSTITUTE(SUBSTITUTE(IFERROR(IF(INDEX(INDIRECT("'WCM Calibration Final'!$E$1:$E$2000"),'Calculations'!$EM194)="","",TRIM(INDEX(INDIRECT("'WCM Calibration Final'!$E$1:$E$2000"),'Calculations'!$EM194)&amp;"")),""),"~","~~"),"*","~*"),"?","~?"))&gt;1,"!AMBIG","X:"&amp;IFERROR(IF(INDEX(INDIRECT("'WCM Calibration Final'!$E$1:$E$2000"),'Calculations'!$EM194)="","",TRIM(INDEX(INDIRECT("'WCM Calibration Final'!$E$1:$E$2000"),'Calculations'!$EM194)&amp;"")),""))))))</x:f>
      </x:c>
      <x:c r="HG194" t="str">
        <x:f>IF('Calculations'!EM194="","",IFERROR(IF(INDEX(INDIRECT("'WCM Calibration Final'!$B$1:$B$2000"),'Calculations'!$EM194)="","",TRIM(INDEX(INDIRECT("'WCM Calibration Final'!$B$1:$B$2000"),'Calculations'!$EM194)&amp;"")),""))</x:f>
      </x:c>
      <x:c r="HH194" t="n">
        <x:f>IF(AND('Calculations'!JC194&gt;0,COUNTIF('Calculations'!$HF$12:HF194,"="&amp;SUBSTITUTE(SUBSTITUTE(SUBSTITUTE('Calculations'!HF194,"~","~~"),"*","~*"),"?","~?"))=1),MAX('Calculations'!$HH$12:HH193)+1,0)</x:f>
        <x:v>0</x:v>
      </x:c>
      <x:c r="HI194" t="n">
        <x:f>IF(AND('Calculations'!HN194&lt;&gt;"",COUNTIF('Calculations'!$HN$12:HN194,"="&amp;SUBSTITUTE(SUBSTITUTE(SUBSTITUTE('Calculations'!HN194,"~","~~"),"*","~*"),"?","~?"))=1),MAX('Calculations'!$HI$12:HI193)+1,0)</x:f>
        <x:v>0</x:v>
      </x:c>
      <x:c r="HJ194" t="str">
        <x:f>IF('Calculations'!HF194="","",IF(COUNTIF('Calculations'!$HE$13:$HE$512,"="&amp;SUBSTITUTE(SUBSTITUTE(SUBSTITUTE('Calculations'!HF194,"~","~~"),"*","~*"),"?","~?"))=1,INDEX('Calculations'!$HK$13:$HK$512,MATCH('Calculations'!HF194,'Calculations'!$HE$13:$HE$512,0)),IFERROR(IF(INDEX(INDIRECT("'WCM Calibration Final'!$E$1:$E$2000"),'Calculations'!$EM194)="","",TRIM(INDEX(INDIRECT("'WCM Calibration Final'!$E$1:$E$2000"),'Calculations'!$EM194)&amp;"")),"")&amp;" ["&amp;'Calculations'!HF194&amp;"]"))</x:f>
      </x:c>
      <x:c r="HK194" t="str">
        <x:f>IF('Calculations'!EM194="","",'Calculations'!HG194&amp;" ["&amp;'Calculations'!HE194&amp;"]")</x:f>
      </x:c>
      <x:c r="HL194" t="n">
        <x:f>IF('Calculations'!EM194="",0,IF(OR('Calculations'!II194&lt;&gt;"",COUNTIF('Calculations'!$HE$13:$HE$512,"="&amp;SUBSTITUTE(SUBSTITUTE(SUBSTITUTE('Calculations'!HE194,"~","~~"),"*","~*"),"?","~?"))&gt;1),1,0))</x:f>
        <x:v>0</x:v>
      </x:c>
      <x:c r="HM194" t="str">
        <x:f>IF('Calculations'!EM194="","",IF('Calculations'!HL194=1,"!UNRESOLVED",IF('Calculations'!IH194&lt;&gt;"",'Calculations'!IH194,IF('Calculations'!IG194&lt;&gt;"",'Calculations'!IG194,IF('Calculations'!IF194&lt;&gt;"",'Calculations'!IF194,IF('Calculations'!IE194&lt;&gt;"",'Calculations'!IE194,IF('Calculations'!ID194&lt;&gt;"",'Calculations'!ID194,IF('Calculations'!IC194&lt;&gt;"",'Calculations'!IC194,IF('Calculations'!IB194&lt;&gt;"",'Calculations'!IB194,IF('Calculations'!IA194&lt;&gt;"",'Calculations'!IA194,IF('Calculations'!HZ194&lt;&gt;"",'Calculations'!HZ194,IF('Calculations'!HY194&lt;&gt;"",'Calculations'!HY194,IF('Calculations'!HX194&lt;&gt;"",'Calculations'!HX194,IF('Calculations'!HW194&lt;&gt;"",'Calculations'!HW194,IF('Calculations'!HV194&lt;&gt;"",'Calculations'!HV194,IF('Calculations'!HU194&lt;&gt;"",'Calculations'!HU194,IF('Calculations'!HT194&lt;&gt;"",'Calculations'!HT194,IF('Calculations'!HS194&lt;&gt;"",'Calculations'!HS194,IF('Calculations'!HR194&lt;&gt;"",'Calculations'!HR194,IF('Calculations'!HQ194&lt;&gt;"",'Calculations'!HQ194,IF('Calculations'!HP194&lt;&gt;"",'Calculations'!HP194,IF('Calculations'!HO194&lt;&gt;"",'Calculations'!HO194,'Calculations'!HE194))))))))))))))))))))))</x:f>
      </x:c>
      <x:c r="HN194" t="str">
        <x:f>IF('Calculations'!EM194="","",IF(IFERROR(IF(INDEX(INDIRECT("'WCM Calibration Final'!$F$1:$F$2000"),'Calculations'!$EM194)="","",TRIM(INDEX(INDIRECT("'WCM Calibration Final'!$F$1:$F$2000"),'Calculations'!$EM194)&amp;"")),"")="","(Blank)",IFERROR(IF(INDEX(INDIRECT("'WCM Calibration Final'!$F$1:$F$2000"),'Calculations'!$EM194)="","",TRIM(INDEX(INDIRECT("'WCM Calibration Final'!$F$1:$F$2000"),'Calculations'!$EM194)&amp;"")),"")))</x:f>
      </x:c>
      <x:c r="HO194" t="str">
        <x:f>'Calculations'!HF194</x:f>
      </x:c>
      <x:c r="HP194" t="str">
        <x:f>IF('Calculations'!HO194="","",IF('Calculations'!HO194="!AMBIG","!AMBIG",IF(COUNTIF('Calculations'!$HE$13:$HE$512,"="&amp;SUBSTITUTE(SUBSTITUTE(SUBSTITUTE('Calculations'!HO194,"~","~~"),"*","~*"),"?","~?"))&gt;1,"!AMBIG",IFERROR(INDEX('Calculations'!$HF$13:$HF$512,MATCH('Calculations'!HO194,'Calculations'!$HE$13:$HE$512,0)),""))))</x:f>
      </x:c>
      <x:c r="HQ194" t="str">
        <x:f>IF('Calculations'!HP194="","",IF('Calculations'!HP194="!AMBIG","!AMBIG",IF(COUNTIF('Calculations'!$HE$13:$HE$512,"="&amp;SUBSTITUTE(SUBSTITUTE(SUBSTITUTE('Calculations'!HP194,"~","~~"),"*","~*"),"?","~?"))&gt;1,"!AMBIG",IFERROR(INDEX('Calculations'!$HF$13:$HF$512,MATCH('Calculations'!HP194,'Calculations'!$HE$13:$HE$512,0)),""))))</x:f>
      </x:c>
      <x:c r="HR194" t="str">
        <x:f>IF('Calculations'!HQ194="","",IF('Calculations'!HQ194="!AMBIG","!AMBIG",IF(COUNTIF('Calculations'!$HE$13:$HE$512,"="&amp;SUBSTITUTE(SUBSTITUTE(SUBSTITUTE('Calculations'!HQ194,"~","~~"),"*","~*"),"?","~?"))&gt;1,"!AMBIG",IFERROR(INDEX('Calculations'!$HF$13:$HF$512,MATCH('Calculations'!HQ194,'Calculations'!$HE$13:$HE$512,0)),""))))</x:f>
      </x:c>
      <x:c r="HS194" t="str">
        <x:f>IF('Calculations'!HR194="","",IF('Calculations'!HR194="!AMBIG","!AMBIG",IF(COUNTIF('Calculations'!$HE$13:$HE$512,"="&amp;SUBSTITUTE(SUBSTITUTE(SUBSTITUTE('Calculations'!HR194,"~","~~"),"*","~*"),"?","~?"))&gt;1,"!AMBIG",IFERROR(INDEX('Calculations'!$HF$13:$HF$512,MATCH('Calculations'!HR194,'Calculations'!$HE$13:$HE$512,0)),""))))</x:f>
      </x:c>
      <x:c r="HT194" t="str">
        <x:f>IF('Calculations'!HS194="","",IF('Calculations'!HS194="!AMBIG","!AMBIG",IF(COUNTIF('Calculations'!$HE$13:$HE$512,"="&amp;SUBSTITUTE(SUBSTITUTE(SUBSTITUTE('Calculations'!HS194,"~","~~"),"*","~*"),"?","~?"))&gt;1,"!AMBIG",IFERROR(INDEX('Calculations'!$HF$13:$HF$512,MATCH('Calculations'!HS194,'Calculations'!$HE$13:$HE$512,0)),""))))</x:f>
      </x:c>
      <x:c r="HU194" t="str">
        <x:f>IF('Calculations'!HT194="","",IF('Calculations'!HT194="!AMBIG","!AMBIG",IF(COUNTIF('Calculations'!$HE$13:$HE$512,"="&amp;SUBSTITUTE(SUBSTITUTE(SUBSTITUTE('Calculations'!HT194,"~","~~"),"*","~*"),"?","~?"))&gt;1,"!AMBIG",IFERROR(INDEX('Calculations'!$HF$13:$HF$512,MATCH('Calculations'!HT194,'Calculations'!$HE$13:$HE$512,0)),""))))</x:f>
      </x:c>
      <x:c r="HV194" t="str">
        <x:f>IF('Calculations'!HU194="","",IF('Calculations'!HU194="!AMBIG","!AMBIG",IF(COUNTIF('Calculations'!$HE$13:$HE$512,"="&amp;SUBSTITUTE(SUBSTITUTE(SUBSTITUTE('Calculations'!HU194,"~","~~"),"*","~*"),"?","~?"))&gt;1,"!AMBIG",IFERROR(INDEX('Calculations'!$HF$13:$HF$512,MATCH('Calculations'!HU194,'Calculations'!$HE$13:$HE$512,0)),""))))</x:f>
      </x:c>
      <x:c r="HW194" t="str">
        <x:f>IF('Calculations'!HV194="","",IF('Calculations'!HV194="!AMBIG","!AMBIG",IF(COUNTIF('Calculations'!$HE$13:$HE$512,"="&amp;SUBSTITUTE(SUBSTITUTE(SUBSTITUTE('Calculations'!HV194,"~","~~"),"*","~*"),"?","~?"))&gt;1,"!AMBIG",IFERROR(INDEX('Calculations'!$HF$13:$HF$512,MATCH('Calculations'!HV194,'Calculations'!$HE$13:$HE$512,0)),""))))</x:f>
      </x:c>
      <x:c r="HX194" t="str">
        <x:f>IF('Calculations'!HW194="","",IF('Calculations'!HW194="!AMBIG","!AMBIG",IF(COUNTIF('Calculations'!$HE$13:$HE$512,"="&amp;SUBSTITUTE(SUBSTITUTE(SUBSTITUTE('Calculations'!HW194,"~","~~"),"*","~*"),"?","~?"))&gt;1,"!AMBIG",IFERROR(INDEX('Calculations'!$HF$13:$HF$512,MATCH('Calculations'!HW194,'Calculations'!$HE$13:$HE$512,0)),""))))</x:f>
      </x:c>
      <x:c r="HY194" t="str">
        <x:f>IF('Calculations'!HX194="","",IF('Calculations'!HX194="!AMBIG","!AMBIG",IF(COUNTIF('Calculations'!$HE$13:$HE$512,"="&amp;SUBSTITUTE(SUBSTITUTE(SUBSTITUTE('Calculations'!HX194,"~","~~"),"*","~*"),"?","~?"))&gt;1,"!AMBIG",IFERROR(INDEX('Calculations'!$HF$13:$HF$512,MATCH('Calculations'!HX194,'Calculations'!$HE$13:$HE$512,0)),""))))</x:f>
      </x:c>
      <x:c r="HZ194" t="str">
        <x:f>IF('Calculations'!HY194="","",IF('Calculations'!HY194="!AMBIG","!AMBIG",IF(COUNTIF('Calculations'!$HE$13:$HE$512,"="&amp;SUBSTITUTE(SUBSTITUTE(SUBSTITUTE('Calculations'!HY194,"~","~~"),"*","~*"),"?","~?"))&gt;1,"!AMBIG",IFERROR(INDEX('Calculations'!$HF$13:$HF$512,MATCH('Calculations'!HY194,'Calculations'!$HE$13:$HE$512,0)),""))))</x:f>
      </x:c>
      <x:c r="IA194" t="str">
        <x:f>IF('Calculations'!HZ194="","",IF('Calculations'!HZ194="!AMBIG","!AMBIG",IF(COUNTIF('Calculations'!$HE$13:$HE$512,"="&amp;SUBSTITUTE(SUBSTITUTE(SUBSTITUTE('Calculations'!HZ194,"~","~~"),"*","~*"),"?","~?"))&gt;1,"!AMBIG",IFERROR(INDEX('Calculations'!$HF$13:$HF$512,MATCH('Calculations'!HZ194,'Calculations'!$HE$13:$HE$512,0)),""))))</x:f>
      </x:c>
      <x:c r="IB194" t="str">
        <x:f>IF('Calculations'!IA194="","",IF('Calculations'!IA194="!AMBIG","!AMBIG",IF(COUNTIF('Calculations'!$HE$13:$HE$512,"="&amp;SUBSTITUTE(SUBSTITUTE(SUBSTITUTE('Calculations'!IA194,"~","~~"),"*","~*"),"?","~?"))&gt;1,"!AMBIG",IFERROR(INDEX('Calculations'!$HF$13:$HF$512,MATCH('Calculations'!IA194,'Calculations'!$HE$13:$HE$512,0)),""))))</x:f>
      </x:c>
      <x:c r="IC194" t="str">
        <x:f>IF('Calculations'!IB194="","",IF('Calculations'!IB194="!AMBIG","!AMBIG",IF(COUNTIF('Calculations'!$HE$13:$HE$512,"="&amp;SUBSTITUTE(SUBSTITUTE(SUBSTITUTE('Calculations'!IB194,"~","~~"),"*","~*"),"?","~?"))&gt;1,"!AMBIG",IFERROR(INDEX('Calculations'!$HF$13:$HF$512,MATCH('Calculations'!IB194,'Calculations'!$HE$13:$HE$512,0)),""))))</x:f>
      </x:c>
      <x:c r="ID194" t="str">
        <x:f>IF('Calculations'!IC194="","",IF('Calculations'!IC194="!AMBIG","!AMBIG",IF(COUNTIF('Calculations'!$HE$13:$HE$512,"="&amp;SUBSTITUTE(SUBSTITUTE(SUBSTITUTE('Calculations'!IC194,"~","~~"),"*","~*"),"?","~?"))&gt;1,"!AMBIG",IFERROR(INDEX('Calculations'!$HF$13:$HF$512,MATCH('Calculations'!IC194,'Calculations'!$HE$13:$HE$512,0)),""))))</x:f>
      </x:c>
      <x:c r="IE194" t="str">
        <x:f>IF('Calculations'!ID194="","",IF('Calculations'!ID194="!AMBIG","!AMBIG",IF(COUNTIF('Calculations'!$HE$13:$HE$512,"="&amp;SUBSTITUTE(SUBSTITUTE(SUBSTITUTE('Calculations'!ID194,"~","~~"),"*","~*"),"?","~?"))&gt;1,"!AMBIG",IFERROR(INDEX('Calculations'!$HF$13:$HF$512,MATCH('Calculations'!ID194,'Calculations'!$HE$13:$HE$512,0)),""))))</x:f>
      </x:c>
      <x:c r="IF194" t="str">
        <x:f>IF('Calculations'!IE194="","",IF('Calculations'!IE194="!AMBIG","!AMBIG",IF(COUNTIF('Calculations'!$HE$13:$HE$512,"="&amp;SUBSTITUTE(SUBSTITUTE(SUBSTITUTE('Calculations'!IE194,"~","~~"),"*","~*"),"?","~?"))&gt;1,"!AMBIG",IFERROR(INDEX('Calculations'!$HF$13:$HF$512,MATCH('Calculations'!IE194,'Calculations'!$HE$13:$HE$512,0)),""))))</x:f>
      </x:c>
      <x:c r="IG194" t="str">
        <x:f>IF('Calculations'!IF194="","",IF('Calculations'!IF194="!AMBIG","!AMBIG",IF(COUNTIF('Calculations'!$HE$13:$HE$512,"="&amp;SUBSTITUTE(SUBSTITUTE(SUBSTITUTE('Calculations'!IF194,"~","~~"),"*","~*"),"?","~?"))&gt;1,"!AMBIG",IFERROR(INDEX('Calculations'!$HF$13:$HF$512,MATCH('Calculations'!IF194,'Calculations'!$HE$13:$HE$512,0)),""))))</x:f>
      </x:c>
      <x:c r="IH194" t="str">
        <x:f>IF('Calculations'!IG194="","",IF('Calculations'!IG194="!AMBIG","!AMBIG",IF(COUNTIF('Calculations'!$HE$13:$HE$512,"="&amp;SUBSTITUTE(SUBSTITUTE(SUBSTITUTE('Calculations'!IG194,"~","~~"),"*","~*"),"?","~?"))&gt;1,"!AMBIG",IFERROR(INDEX('Calculations'!$HF$13:$HF$512,MATCH('Calculations'!IG194,'Calculations'!$HE$13:$HE$512,0)),""))))</x:f>
      </x:c>
      <x:c r="II194" t="str">
        <x:f>IF('Calculations'!IH194="","",IF('Calculations'!IH194="!AMBIG","!AMBIG",IF(COUNTIF('Calculations'!$HE$13:$HE$512,"="&amp;SUBSTITUTE(SUBSTITUTE(SUBSTITUTE('Calculations'!IH194,"~","~~"),"*","~*"),"?","~?"))&gt;1,"!AMBIG",IFERROR(INDEX('Calculations'!$HF$13:$HF$512,MATCH('Calculations'!IH194,'Calculations'!$HE$13:$HE$512,0)),""))))</x:f>
      </x:c>
      <x:c r="IJ194" t="str">
        <x:f>IF('Calculations'!EM194="","",IF('Calculations'!$EF$2="All",'Calculations'!HM194,IF('Calculations'!HL194=1,"",IFERROR(IF(MATCH('Calculations'!$EF$2,'Calculations'!HO194:II194,0)=1,'Calculations'!HE194,INDEX('Calculations'!HO194:II194,1,MATCH('Calculations'!$EF$2,'Calculations'!HO194:II194,0)-1)),""))))</x:f>
      </x:c>
      <x:c r="IK194" t="n">
        <x:f>IF(AND('Calculations'!EM194&lt;&gt;"",'Calculations'!$EF$2&lt;&gt;"All",'Calculations'!HF194='Calculations'!$EF$2,'Calculations'!HL194=0,'Calculations'!JD194&gt;0),MAX('Calculations'!$IK$12:IK193)+1,0)</x:f>
        <x:v>0</x:v>
      </x:c>
      <x:c r="JA194" t="n">
        <x:f>IF(OR(IFERROR(INDIRECT("'WCM Calibration Final'!$A$194")&lt;&gt;"",FALSE),IFERROR(INDIRECT("'WCM Calibration Final'!$B$194")&lt;&gt;"",FALSE),IFERROR(INDIRECT("'WCM Calibration Final'!$C$194")&lt;&gt;"",FALSE)),194,0)</x:f>
        <x:v>0</x:v>
      </x:c>
      <x:c r="JB194" t="n">
        <x:f>'Calculations'!JB193+IF('Calculations'!JA194&gt;0,1,0)</x:f>
        <x:v>0</x:v>
      </x:c>
      <x:c r="JC194" t="n">
        <x:f>IF(OR('Calculations'!HF194="",'Calculations'!HF194="!AMBIG"),0,IF('Dashboard'!$B$7="All",1,COUNTIFS('Calculations'!$HO$13:$HO$512,"="&amp;SUBSTITUTE(SUBSTITUTE(SUBSTITUTE('Calculations'!HF194,"~","~~"),"*","~*"),"?","~?"),'Calculations'!$HN$13:$HN$512,"="&amp;SUBSTITUTE(SUBSTITUTE(SUBSTITUTE('Dashboard'!$B$7,"~","~~"),"*","~*"),"?","~?"))+COUNTIFS('Calculations'!$HP$13:$HP$512,"="&amp;SUBSTITUTE(SUBSTITUTE(SUBSTITUTE('Calculations'!HF194,"~","~~"),"*","~*"),"?","~?"),'Calculations'!$HN$13:$HN$512,"="&amp;SUBSTITUTE(SUBSTITUTE(SUBSTITUTE('Dashboard'!$B$7,"~","~~"),"*","~*"),"?","~?"))+COUNTIFS('Calculations'!$HQ$13:$HQ$512,"="&amp;SUBSTITUTE(SUBSTITUTE(SUBSTITUTE('Calculations'!HF194,"~","~~"),"*","~*"),"?","~?"),'Calculations'!$HN$13:$HN$512,"="&amp;SUBSTITUTE(SUBSTITUTE(SUBSTITUTE('Dashboard'!$B$7,"~","~~"),"*","~*"),"?","~?"))+COUNTIFS('Calculations'!$HR$13:$HR$512,"="&amp;SUBSTITUTE(SUBSTITUTE(SUBSTITUTE('Calculations'!HF194,"~","~~"),"*","~*"),"?","~?"),'Calculations'!$HN$13:$HN$512,"="&amp;SUBSTITUTE(SUBSTITUTE(SUBSTITUTE('Dashboard'!$B$7,"~","~~"),"*","~*"),"?","~?"))+COUNTIFS('Calculations'!$HS$13:$HS$512,"="&amp;SUBSTITUTE(SUBSTITUTE(SUBSTITUTE('Calculations'!HF194,"~","~~"),"*","~*"),"?","~?"),'Calculations'!$HN$13:$HN$512,"="&amp;SUBSTITUTE(SUBSTITUTE(SUBSTITUTE('Dashboard'!$B$7,"~","~~"),"*","~*"),"?","~?"))+COUNTIFS('Calculations'!$HT$13:$HT$512,"="&amp;SUBSTITUTE(SUBSTITUTE(SUBSTITUTE('Calculations'!HF194,"~","~~"),"*","~*"),"?","~?"),'Calculations'!$HN$13:$HN$512,"="&amp;SUBSTITUTE(SUBSTITUTE(SUBSTITUTE('Dashboard'!$B$7,"~","~~"),"*","~*"),"?","~?"))+COUNTIFS('Calculations'!$HU$13:$HU$512,"="&amp;SUBSTITUTE(SUBSTITUTE(SUBSTITUTE('Calculations'!HF194,"~","~~"),"*","~*"),"?","~?"),'Calculations'!$HN$13:$HN$512,"="&amp;SUBSTITUTE(SUBSTITUTE(SUBSTITUTE('Dashboard'!$B$7,"~","~~"),"*","~*"),"?","~?"))+COUNTIFS('Calculations'!$HV$13:$HV$512,"="&amp;SUBSTITUTE(SUBSTITUTE(SUBSTITUTE('Calculations'!HF194,"~","~~"),"*","~*"),"?","~?"),'Calculations'!$HN$13:$HN$512,"="&amp;SUBSTITUTE(SUBSTITUTE(SUBSTITUTE('Dashboard'!$B$7,"~","~~"),"*","~*"),"?","~?"))+COUNTIFS('Calculations'!$HW$13:$HW$512,"="&amp;SUBSTITUTE(SUBSTITUTE(SUBSTITUTE('Calculations'!HF194,"~","~~"),"*","~*"),"?","~?"),'Calculations'!$HN$13:$HN$512,"="&amp;SUBSTITUTE(SUBSTITUTE(SUBSTITUTE('Dashboard'!$B$7,"~","~~"),"*","~*"),"?","~?"))+COUNTIFS('Calculations'!$HX$13:$HX$512,"="&amp;SUBSTITUTE(SUBSTITUTE(SUBSTITUTE('Calculations'!HF194,"~","~~"),"*","~*"),"?","~?"),'Calculations'!$HN$13:$HN$512,"="&amp;SUBSTITUTE(SUBSTITUTE(SUBSTITUTE('Dashboard'!$B$7,"~","~~"),"*","~*"),"?","~?"))+COUNTIFS('Calculations'!$HY$13:$HY$512,"="&amp;SUBSTITUTE(SUBSTITUTE(SUBSTITUTE('Calculations'!HF194,"~","~~"),"*","~*"),"?","~?"),'Calculations'!$HN$13:$HN$512,"="&amp;SUBSTITUTE(SUBSTITUTE(SUBSTITUTE('Dashboard'!$B$7,"~","~~"),"*","~*"),"?","~?"))+COUNTIFS('Calculations'!$HZ$13:$HZ$512,"="&amp;SUBSTITUTE(SUBSTITUTE(SUBSTITUTE('Calculations'!HF194,"~","~~"),"*","~*"),"?","~?"),'Calculations'!$HN$13:$HN$512,"="&amp;SUBSTITUTE(SUBSTITUTE(SUBSTITUTE('Dashboard'!$B$7,"~","~~"),"*","~*"),"?","~?"))+COUNTIFS('Calculations'!$IA$13:$IA$512,"="&amp;SUBSTITUTE(SUBSTITUTE(SUBSTITUTE('Calculations'!HF194,"~","~~"),"*","~*"),"?","~?"),'Calculations'!$HN$13:$HN$512,"="&amp;SUBSTITUTE(SUBSTITUTE(SUBSTITUTE('Dashboard'!$B$7,"~","~~"),"*","~*"),"?","~?"))+COUNTIFS('Calculations'!$IB$13:$IB$512,"="&amp;SUBSTITUTE(SUBSTITUTE(SUBSTITUTE('Calculations'!HF194,"~","~~"),"*","~*"),"?","~?"),'Calculations'!$HN$13:$HN$512,"="&amp;SUBSTITUTE(SUBSTITUTE(SUBSTITUTE('Dashboard'!$B$7,"~","~~"),"*","~*"),"?","~?"))+COUNTIFS('Calculations'!$IC$13:$IC$512,"="&amp;SUBSTITUTE(SUBSTITUTE(SUBSTITUTE('Calculations'!HF194,"~","~~"),"*","~*"),"?","~?"),'Calculations'!$HN$13:$HN$512,"="&amp;SUBSTITUTE(SUBSTITUTE(SUBSTITUTE('Dashboard'!$B$7,"~","~~"),"*","~*"),"?","~?"))+COUNTIFS('Calculations'!$ID$13:$ID$512,"="&amp;SUBSTITUTE(SUBSTITUTE(SUBSTITUTE('Calculations'!HF194,"~","~~"),"*","~*"),"?","~?"),'Calculations'!$HN$13:$HN$512,"="&amp;SUBSTITUTE(SUBSTITUTE(SUBSTITUTE('Dashboard'!$B$7,"~","~~"),"*","~*"),"?","~?"))+COUNTIFS('Calculations'!$IE$13:$IE$512,"="&amp;SUBSTITUTE(SUBSTITUTE(SUBSTITUTE('Calculations'!HF194,"~","~~"),"*","~*"),"?","~?"),'Calculations'!$HN$13:$HN$512,"="&amp;SUBSTITUTE(SUBSTITUTE(SUBSTITUTE('Dashboard'!$B$7,"~","~~"),"*","~*"),"?","~?"))+COUNTIFS('Calculations'!$IF$13:$IF$512,"="&amp;SUBSTITUTE(SUBSTITUTE(SUBSTITUTE('Calculations'!HF194,"~","~~"),"*","~*"),"?","~?"),'Calculations'!$HN$13:$HN$512,"="&amp;SUBSTITUTE(SUBSTITUTE(SUBSTITUTE('Dashboard'!$B$7,"~","~~"),"*","~*"),"?","~?"))+COUNTIFS('Calculations'!$IG$13:$IG$512,"="&amp;SUBSTITUTE(SUBSTITUTE(SUBSTITUTE('Calculations'!HF194,"~","~~"),"*","~*"),"?","~?"),'Calculations'!$HN$13:$HN$512,"="&amp;SUBSTITUTE(SUBSTITUTE(SUBSTITUTE('Dashboard'!$B$7,"~","~~"),"*","~*"),"?","~?"))+COUNTIFS('Calculations'!$IH$13:$IH$512,"="&amp;SUBSTITUTE(SUBSTITUTE(SUBSTITUTE('Calculations'!HF194,"~","~~"),"*","~*"),"?","~?"),'Calculations'!$HN$13:$HN$512,"="&amp;SUBSTITUTE(SUBSTITUTE(SUBSTITUTE('Dashboard'!$B$7,"~","~~"),"*","~*"),"?","~?"))))</x:f>
        <x:v>0</x:v>
      </x:c>
      <x:c r="JD194" t="n">
        <x:f>IF('Calculations'!EM194="",0,IF('Dashboard'!$B$7="All",1,IF('Calculations'!HN194='Dashboard'!$B$7,1,0)+IFERROR(INDEX('Calculations'!$JC$13:$JC$512,MATCH('Calculations'!HE194,'Calculations'!$HF$13:$HF$512,0)),0)))</x:f>
        <x:v>0</x:v>
      </x:c>
      <x:c r="JE194" t="n">
        <x:f>IF(AND('Calculations'!EM194&lt;&gt;"",'Calculations'!$JJ$2&lt;&gt;"All",'Calculations'!$JJ$2&lt;&gt;"",'Calculations'!HF194='Calculations'!$JJ$2,'Calculations'!HL194=0,'Calculations'!JD194&gt;0),MAX('Calculations'!$JE$12:JE193)+1,0)</x:f>
        <x:v>0</x:v>
      </x:c>
      <x:c r="JF194" t="str">
        <x:f>IF('Calculations'!EM194="","",IFERROR(IF(INDEX(INDIRECT("'WCM Calibration Final'!$G$1:$G$2000"),'Calculations'!$EM194)="","",TRIM(INDEX(INDIRECT("'WCM Calibration Final'!$G$1:$G$2000"),'Calculations'!$EM194)&amp;"")),""))</x:f>
      </x:c>
      <x:c r="JQ194" t="n">
        <x:f>IF(OR('Calculations'!BM194=0,NOT('Calculations'!$AG$2),'Calculations'!$AG$8&gt;0),0,IF(OR('Dashboard'!$B$7="All",'Calculations'!HN194='Dashboard'!$B$7),IF('Calculations'!$JJ$2="All",1,IF(AND('Calculations'!HF194='Calculations'!$JJ$2,'Calculations'!HL194=0),1,0)),0))</x:f>
        <x:v>0</x:v>
      </x:c>
    </x:row>
    <x:row r="195">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t="n">
        <x:f>IF('Calculations'!$EM195="",0,IF(OR(IFERROR(INDEX(INDIRECT("'WCM Calibration Final'!$A$1:$A$2000"),'Calculations'!$EM195)&lt;&gt;"",FALSE),IFERROR(INDEX(INDIRECT("'WCM Calibration Final'!$B$1:$B$2000"),'Calculations'!$EM195)&lt;&gt;"",FALSE),IFERROR(INDEX(INDIRECT("'WCM Calibration Final'!$C$1:$C$2000"),'Calculations'!$EM195)&lt;&gt;"",FALSE)),1,0))</x:f>
        <x:v>0</x:v>
      </x:c>
      <x:c r="BN195" s="4" t="n">
        <x:f>IF(AND('Calculations'!BM195=1,'Calculations'!$AG$2,'Calculations'!$EN195=1),1,0)</x:f>
        <x:v>0</x:v>
      </x:c>
      <x:c r="BO195" s="4" t="str">
        <x:f>IF('Calculations'!BM195=0,"",IFERROR(IF(AND(VALUE(INDEX(INDIRECT("'WCM Calibration Final'!$K$1:$K$2000"),'Calculations'!$EM195))&gt;=1,VALUE(INDEX(INDIRECT("'WCM Calibration Final'!$K$1:$K$2000"),'Calculations'!$EM195))&lt;=4,MOD(VALUE(INDEX(INDIRECT("'WCM Calibration Final'!$K$1:$K$2000"),'Calculations'!$EM195)),1)=0),VALUE(INDEX(INDIRECT("'WCM Calibration Final'!$K$1:$K$2000"),'Calculations'!$EM195)),""),""))</x:f>
      </x:c>
      <x:c r="BP195" s="4" t="str">
        <x:f>IF('Calculations'!BM195=0,"",IFERROR(IF(AND(VALUE(INDEX(INDIRECT("'WCM Calibration Final'!$L$1:$L$2000"),'Calculations'!$EM195))&gt;=1,VALUE(INDEX(INDIRECT("'WCM Calibration Final'!$L$1:$L$2000"),'Calculations'!$EM195))&lt;=4,MOD(VALUE(INDEX(INDIRECT("'WCM Calibration Final'!$L$1:$L$2000"),'Calculations'!$EM195)),1)=0),VALUE(INDEX(INDIRECT("'WCM Calibration Final'!$L$1:$L$2000"),'Calculations'!$EM195)),""),""))</x:f>
      </x:c>
      <x:c r="BQ195" s="4"/>
      <x:c r="BR195" s="4"/>
      <x:c r="BS195" s="4"/>
      <x:c r="BT195" s="4" t="n">
        <x:f>IF(AND('Calculations'!BM195=1,ISNUMBER('Calculations'!BO195),ISNUMBER('Calculations'!BP195)),1,0)</x:f>
        <x:v>0</x:v>
      </x:c>
      <x:c r="BU195" s="4" t="str">
        <x:f>IF('Calculations'!BM195=0,"",'Calculations'!$EO195)</x:f>
      </x:c>
      <x:c r="BV195" s="4" t="str">
        <x:f>IF('Calculations'!BM195=0,"",IFERROR(IF(OR(INDEX(INDIRECT("'WCM Calibration Final'!$H$1:$H$2000"),'Calculations'!$EM195)="MANAGING DIRECTOR",INDEX(INDIRECT("'WCM Calibration Final'!$H$1:$H$2000"),'Calculations'!$EM195)="DIRECTOR",INDEX(INDIRECT("'WCM Calibration Final'!$H$1:$H$2000"),'Calculations'!$EM195)="SENIOR VICE PRESIDENT",INDEX(INDIRECT("'WCM Calibration Final'!$H$1:$H$2000"),'Calculations'!$EM195)="VICE PRESIDENT",INDEX(INDIRECT("'WCM Calibration Final'!$H$1:$H$2000"),'Calculations'!$EM195)="ASSISTANT VICE PRESIDENT",INDEX(INDIRECT("'WCM Calibration Final'!$H$1:$H$2000"),'Calculations'!$EM195)="OFFICER"),UPPER(INDEX(INDIRECT("'WCM Calibration Final'!$H$1:$H$2000"),'Calculations'!$EM195)),"Other"),"Other"))</x:f>
      </x:c>
      <x:c r="BW195" s="4"/>
      <x:c r="BX195" s="4"/>
      <x:c r="BY195" s="4" t="n">
        <x:f>IF(AND('Calculations'!BM195=1,'Calculations'!BU195&lt;&gt;"",COUNTIF('Calculations'!$BU$12:BU195,'Calculations'!BU195)=1),MAX('Calculations'!$BY$11:BY194)+1,0)</x:f>
        <x:v>0</x:v>
      </x:c>
      <x:c r="BZ195" s="4" t="str">
        <x:f>IF('Dashboard'!$E$67="What",'Calculations'!BO195,'Calculations'!BP195)</x:f>
      </x:c>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t="str">
        <x:f>IF(184&gt;MAX('Calculations'!$HI$13:$HI$512),"",INDEX('Calculations'!$HN$13:$HN$512,MATCH(184,'Calculations'!$HI$13:$HI$512,0)))</x:f>
      </x:c>
      <x:c r="DB195" s="4" t="str">
        <x:f>IF(184&gt;MAX('Calculations'!$HH$13:$HH$512),"",INDEX('Calculations'!$HJ$13:$HJ$512,MATCH(184,'Calculations'!$HH$13:$HH$512,0)))</x:f>
      </x:c>
      <x:c r="DC195" s="4" t="str">
        <x:f>IF(ROW()-11&gt;MAX('Calculations'!$BY$13:$BY$512),"",INDEX('Calculations'!$BU$13:$BU$512,MATCH(ROW()-11,'Calculations'!$BY$13:$BY$512,0)))</x:f>
      </x:c>
      <x:c r="DD195" s="4" t="str">
        <x:f>IF(184&gt;MAX('Calculations'!$IK$13:$IK$512),"",INDEX('Calculations'!$HK$13:$HK$512,MATCH(184,'Calculations'!$IK$13:$IK$512,0)))</x:f>
      </x:c>
      <x:c r="DE195" s="4" t="str">
        <x:f>'Calculations'!DC195</x:f>
      </x:c>
      <x:c r="DF195" s="4" t="str">
        <x:f>IF('Calculations'!DE195="","",COUNTIFS('Calculations'!$BN$13:$BN$512,1,'Calculations'!$BU$13:$BU$512,'Calculations'!DE195))</x:f>
      </x:c>
      <x:c r="DG195" s="4" t="str">
        <x:f>IF('Calculations'!DE195="","",COUNTIFS('Calculations'!$BN$13:$BN$512,1,'Calculations'!$BU$13:$BU$512,'Calculations'!DE195,'Calculations'!$BT$13:$BT$512,1))</x:f>
      </x:c>
      <x:c r="DH195" s="4" t="str">
        <x:f>IF('Calculations'!DE195="","",'Calculations'!DF195-'Calculations'!DG195)</x:f>
      </x:c>
      <x:c r="DI195" s="4" t="str">
        <x:f>IF(OR('Calculations'!DE195="",'Calculations'!DF195=0),"",'Calculations'!DG195/'Calculations'!DF195)</x:f>
      </x:c>
      <x:c r="DJ195" s="4" t="str">
        <x:f>IF('Calculations'!DE195="","",COUNTIFS('Calculations'!$BN$13:$BN$512,1,'Calculations'!$BU$13:$BU$512,'Calculations'!DE195,'Calculations'!$BT$13:$BT$512,1,'Calculations'!$EE$13:$EE$512,"High"))</x:f>
      </x:c>
      <x:c r="DK195" s="4" t="str">
        <x:f>IF('Calculations'!DE195="","",COUNTIFS('Calculations'!$BN$13:$BN$512,1,'Calculations'!$BU$13:$BU$512,'Calculations'!DE195,'Calculations'!$BT$13:$BT$512,1,'Calculations'!$EE$13:$EE$512,"Strong"))</x:f>
      </x:c>
      <x:c r="DL195" s="4" t="str">
        <x:f>IF('Calculations'!DE195="","",COUNTIFS('Calculations'!$BN$13:$BN$512,1,'Calculations'!$BU$13:$BU$512,'Calculations'!DE195,'Calculations'!$BT$13:$BT$512,1,'Calculations'!$EE$13:$EE$512,"Solid"))</x:f>
      </x:c>
      <x:c r="DM195" s="4" t="str">
        <x:f>IF('Calculations'!DE195="","",COUNTIFS('Calculations'!$BN$13:$BN$512,1,'Calculations'!$BU$13:$BU$512,'Calculations'!DE195,'Calculations'!$BT$13:$BT$512,1,'Calculations'!$EE$13:$EE$512,"Low"))</x:f>
      </x:c>
      <x:c r="DN195" s="4" t="str">
        <x:f>IF('Calculations'!DE195="","",COUNTIFS('Calculations'!$BN$13:$BN$512,1,'Calculations'!$BU$13:$BU$512,'Calculations'!DE195,'Calculations'!$EP$13:$EP$512,1))</x:f>
      </x:c>
      <x:c r="DO195" s="4" t="str">
        <x:f>IF(OR('Calculations'!DE195="",'Calculations'!DG195=0),"",('Calculations'!DJ195+'Calculations'!DK195)/'Calculations'!DG195)</x:f>
      </x:c>
      <x:c r="DP195" s="4" t="n">
        <x:f>IF(AND('Calculations'!DE195&lt;&gt;"",'Calculations'!DF195&gt;0),COUNTIF('Calculations'!$DF$12:DF195,"&gt;0"),0)</x:f>
        <x:v>0</x:v>
      </x:c>
      <x:c r="DQ195" s="4" t="str">
        <x:f>IF(184&gt;MAX('Calculations'!$HH$13:$HH$512),"",INDEX('Calculations'!$HF$13:$HF$512,MATCH(184,'Calculations'!$HH$13:$HH$512,0)))</x:f>
      </x:c>
      <x:c r="DR195" s="4" t="str">
        <x:f>IF(184&gt;MAX('Calculations'!$IK$13:$IK$512),"",INDEX('Calculations'!$HE$13:$HE$512,MATCH(184,'Calculations'!$IK$13:$IK$512,0)))</x:f>
      </x:c>
      <x:c r="DS195" s="4"/>
      <x:c r="DT195" s="4"/>
      <x:c r="DU195" s="4"/>
      <x:c r="DV195" s="4"/>
      <x:c r="DW195" s="4"/>
      <x:c r="DX195" s="4"/>
      <x:c r="DY195" s="4"/>
      <x:c r="DZ195" s="4"/>
      <x:c r="EA195" s="4"/>
      <x:c r="EB195" s="4"/>
      <x:c r="EC195" s="4"/>
      <x:c r="ED195" s="4"/>
      <x:c r="EE195" s="4" t="str">
        <x:f>IF('Calculations'!BT195=0,"Not Rated",IF(OR('Calculations'!BO195&gt;=4,'Calculations'!BP195&gt;=4),"Low",IF('Calculations'!BO195+'Calculations'!BP195&lt;=3,"High",IF('Calculations'!BO195+'Calculations'!BP195&lt;=4,"Strong","Solid"))))</x:f>
        <x:v>Not Rated</x:v>
      </x:c>
      <x:c r="EF195" s="4"/>
      <x:c r="EG195" s="4"/>
      <x:c r="EH195" s="4"/>
      <x:c r="EI195" s="4"/>
      <x:c r="EJ195" s="4"/>
      <x:c r="EK195" s="4"/>
      <x:c r="EL195" s="4"/>
      <x:c r="EM195" s="4" t="str">
        <x:f>IF(183&gt;'Calculations'!$JB$2000,"",INDEX('Calculations'!$JA$12:$JA$2000,MATCH(183,'Calculations'!$JB$12:$JB$2000,0)))</x:f>
      </x:c>
      <x:c r="EN195" s="4" t="n">
        <x:f>IF(OR('Calculations'!EM195="",'Calculations'!$AG$8&gt;0,AND('Calculations'!$EF$2&lt;&gt;"All",'Calculations'!HE195='Calculations'!$EF$2),AND('Calculations'!$EF$3&lt;&gt;"All",'Calculations'!HE195='Calculations'!$EF$3)),0,IF(OR('Dashboard'!$B$7="All",'Calculations'!HN195='Dashboard'!$B$7),IF('Calculations'!$EF$2="All",1,IF('Calculations'!HL195&gt;0,0,IF(COUNTIF('Calculations'!HO195:II195,"="&amp;SUBSTITUTE(SUBSTITUTE(SUBSTITUTE('Calculations'!$EF$2,"~","~~"),"*","~*"),"?","~?"))=0,0,IF('Calculations'!$EF$3="All",1,IF(COUNTIF('Calculations'!HO195:II195,"="&amp;SUBSTITUTE(SUBSTITUTE(SUBSTITUTE('Calculations'!$EF$3,"~","~~"),"*","~*"),"?","~?"))&gt;0,1,0))))),0))</x:f>
        <x:v>0</x:v>
      </x:c>
      <x:c r="EO195" s="4" t="str">
        <x:f>IF('Calculations'!IJ195="","",IF('Calculations'!IJ195="!UNRESOLVED","Unresolved hierarchy",IFERROR(INDEX('Calculations'!$HK$13:$HK$512,MATCH('Calculations'!IJ195,'Calculations'!$HE$13:$HE$512,0)),IFERROR(INDEX('Calculations'!$HJ$13:$HJ$512,MATCH('Calculations'!IJ195,'Calculations'!$HF$13:$HF$512,0)),'Calculations'!IJ195))))</x:f>
      </x:c>
      <x:c r="EP195" s="4" t="n">
        <x:f>IF(AND('Calculations'!EM195&lt;&gt;"",'Calculations'!HF195='Calculations'!IJ195),1,0)</x:f>
        <x:v>0</x:v>
      </x:c>
      <x:c r="EQ195" s="4"/>
      <x:c r="ER195" s="4"/>
      <x:c r="ES195" s="4"/>
      <x:c r="ET195" s="4"/>
      <x:c r="EU195" s="4"/>
      <x:c r="EV195" s="4"/>
      <x:c r="EW195" s="4"/>
      <x:c r="EX195" s="4"/>
      <x:c r="EY195" s="4"/>
      <x:c r="EZ195" s="4"/>
      <x:c r="FA195" s="4"/>
      <x:c r="FB195" s="4"/>
      <x:c r="FC195" s="4"/>
      <x:c r="FD195" s="4"/>
      <x:c r="FE195" s="4"/>
      <x:c r="FF195" s="4"/>
      <x:c r="FG195" s="4"/>
      <x:c r="FH195" s="4"/>
      <x:c r="FI195" s="4"/>
      <x:c r="FJ195" s="4"/>
      <x:c r="FK195" s="4"/>
      <x:c r="FL195" s="4"/>
      <x:c r="FM195" s="4"/>
      <x:c r="FN195" s="4"/>
      <x:c r="FO195" s="4"/>
      <x:c r="GA195" s="71"/>
      <x:c r="GB195" s="71"/>
      <x:c r="GC195" s="71"/>
      <x:c r="GD195" s="71"/>
      <x:c r="GE195" s="71"/>
      <x:c r="GF195" s="71"/>
      <x:c r="GG195" s="71"/>
      <x:c r="GH195" s="71"/>
      <x:c r="GI195" s="71"/>
      <x:c r="GJ195" s="71"/>
      <x:c r="GK195" s="71"/>
      <x:c r="GL195" s="71"/>
      <x:c r="GM195" s="71"/>
      <x:c r="GN195" s="71"/>
      <x:c r="GO195" s="71"/>
      <x:c r="GP195" s="71"/>
      <x:c r="GQ195" s="71"/>
      <x:c r="GR195" s="71"/>
      <x:c r="GS195" s="71"/>
      <x:c r="GT195" s="71"/>
      <x:c r="GU195" s="71"/>
      <x:c r="GV195" s="71"/>
      <x:c r="GW195" s="71"/>
      <x:c r="GX195" s="71"/>
      <x:c r="GY195" s="71"/>
      <x:c r="GZ195" s="71"/>
      <x:c r="HA195" s="71"/>
      <x:c r="HB195" s="71"/>
      <x:c r="HC195" s="71"/>
      <x:c r="HD195" s="71"/>
      <x:c r="HE195" t="str">
        <x:f>IF('Calculations'!EM195="","",IF(IFERROR(IF(INDEX(INDIRECT("'WCM Calibration Final'!$A$1:$A$2000"),'Calculations'!$EM195)="","",TRIM(INDEX(INDIRECT("'WCM Calibration Final'!$A$1:$A$2000"),'Calculations'!$EM195)&amp;"")),"")&lt;&gt;"","G:"&amp;IFERROR(TEXT(1*INDEX(INDIRECT("'WCM Calibration Final'!$A$1:$A$2000"),'Calculations'!$EM195),"0"),UPPER(IFERROR(IF(INDEX(INDIRECT("'WCM Calibration Final'!$A$1:$A$2000"),'Calculations'!$EM195)="","",TRIM(INDEX(INDIRECT("'WCM Calibration Final'!$A$1:$A$2000"),'Calculations'!$EM195)&amp;"")),""))),IF(IFERROR(IF(INDEX(INDIRECT("'WCM Calibration Final'!$C$1:$C$2000"),'Calculations'!$EM195)="","",TRIM(INDEX(INDIRECT("'WCM Calibration Final'!$C$1:$C$2000"),'Calculations'!$EM195)&amp;"")),"")&lt;&gt;"","S:"&amp;UPPER(IFERROR(IF(INDEX(INDIRECT("'WCM Calibration Final'!$C$1:$C$2000"),'Calculations'!$EM195)="","",TRIM(INDEX(INDIRECT("'WCM Calibration Final'!$C$1:$C$2000"),'Calculations'!$EM195)&amp;"")),"")),"R:"&amp;'Calculations'!EM195)))</x:f>
      </x:c>
      <x:c r="HF195" t="str">
        <x:f>IF('Calculations'!EM195="","",IF(IFERROR(IF(INDEX(INDIRECT("'WCM Calibration Final'!$D$1:$D$2000"),'Calculations'!$EM195)="","",TRIM(INDEX(INDIRECT("'WCM Calibration Final'!$D$1:$D$2000"),'Calculations'!$EM195)&amp;"")),"")&lt;&gt;"","G:"&amp;IFERROR(TEXT(1*INDEX(INDIRECT("'WCM Calibration Final'!$D$1:$D$2000"),'Calculations'!$EM195),"0"),UPPER(IFERROR(IF(INDEX(INDIRECT("'WCM Calibration Final'!$D$1:$D$2000"),'Calculations'!$EM195)="","",TRIM(INDEX(INDIRECT("'WCM Calibration Final'!$D$1:$D$2000"),'Calculations'!$EM195)&amp;"")),""))),IF(IFERROR(IF(INDEX(INDIRECT("'WCM Calibration Final'!$E$1:$E$2000"),'Calculations'!$EM195)="","",TRIM(INDEX(INDIRECT("'WCM Calibration Final'!$E$1:$E$2000"),'Calculations'!$EM195)&amp;"")),"")="","",IF(COUNTIF('Calculations'!$HG$13:$HG$512,"="&amp;SUBSTITUTE(SUBSTITUTE(SUBSTITUTE(IFERROR(IF(INDEX(INDIRECT("'WCM Calibration Final'!$E$1:$E$2000"),'Calculations'!$EM195)="","",TRIM(INDEX(INDIRECT("'WCM Calibration Final'!$E$1:$E$2000"),'Calculations'!$EM195)&amp;"")),""),"~","~~"),"*","~*"),"?","~?"))=1,INDEX('Calculations'!$HE$13:$HE$512,MATCH(IFERROR(IF(INDEX(INDIRECT("'WCM Calibration Final'!$E$1:$E$2000"),'Calculations'!$EM195)="","",TRIM(INDEX(INDIRECT("'WCM Calibration Final'!$E$1:$E$2000"),'Calculations'!$EM195)&amp;"")),""),'Calculations'!$HG$13:$HG$512,0)),IF(COUNTIF('Calculations'!$HG$13:$HG$512,"="&amp;SUBSTITUTE(SUBSTITUTE(SUBSTITUTE(IFERROR(IF(INDEX(INDIRECT("'WCM Calibration Final'!$E$1:$E$2000"),'Calculations'!$EM195)="","",TRIM(INDEX(INDIRECT("'WCM Calibration Final'!$E$1:$E$2000"),'Calculations'!$EM195)&amp;"")),""),"~","~~"),"*","~*"),"?","~?"))&gt;1,"!AMBIG","X:"&amp;IFERROR(IF(INDEX(INDIRECT("'WCM Calibration Final'!$E$1:$E$2000"),'Calculations'!$EM195)="","",TRIM(INDEX(INDIRECT("'WCM Calibration Final'!$E$1:$E$2000"),'Calculations'!$EM195)&amp;"")),""))))))</x:f>
      </x:c>
      <x:c r="HG195" t="str">
        <x:f>IF('Calculations'!EM195="","",IFERROR(IF(INDEX(INDIRECT("'WCM Calibration Final'!$B$1:$B$2000"),'Calculations'!$EM195)="","",TRIM(INDEX(INDIRECT("'WCM Calibration Final'!$B$1:$B$2000"),'Calculations'!$EM195)&amp;"")),""))</x:f>
      </x:c>
      <x:c r="HH195" t="n">
        <x:f>IF(AND('Calculations'!JC195&gt;0,COUNTIF('Calculations'!$HF$12:HF195,"="&amp;SUBSTITUTE(SUBSTITUTE(SUBSTITUTE('Calculations'!HF195,"~","~~"),"*","~*"),"?","~?"))=1),MAX('Calculations'!$HH$12:HH194)+1,0)</x:f>
        <x:v>0</x:v>
      </x:c>
      <x:c r="HI195" t="n">
        <x:f>IF(AND('Calculations'!HN195&lt;&gt;"",COUNTIF('Calculations'!$HN$12:HN195,"="&amp;SUBSTITUTE(SUBSTITUTE(SUBSTITUTE('Calculations'!HN195,"~","~~"),"*","~*"),"?","~?"))=1),MAX('Calculations'!$HI$12:HI194)+1,0)</x:f>
        <x:v>0</x:v>
      </x:c>
      <x:c r="HJ195" t="str">
        <x:f>IF('Calculations'!HF195="","",IF(COUNTIF('Calculations'!$HE$13:$HE$512,"="&amp;SUBSTITUTE(SUBSTITUTE(SUBSTITUTE('Calculations'!HF195,"~","~~"),"*","~*"),"?","~?"))=1,INDEX('Calculations'!$HK$13:$HK$512,MATCH('Calculations'!HF195,'Calculations'!$HE$13:$HE$512,0)),IFERROR(IF(INDEX(INDIRECT("'WCM Calibration Final'!$E$1:$E$2000"),'Calculations'!$EM195)="","",TRIM(INDEX(INDIRECT("'WCM Calibration Final'!$E$1:$E$2000"),'Calculations'!$EM195)&amp;"")),"")&amp;" ["&amp;'Calculations'!HF195&amp;"]"))</x:f>
      </x:c>
      <x:c r="HK195" t="str">
        <x:f>IF('Calculations'!EM195="","",'Calculations'!HG195&amp;" ["&amp;'Calculations'!HE195&amp;"]")</x:f>
      </x:c>
      <x:c r="HL195" t="n">
        <x:f>IF('Calculations'!EM195="",0,IF(OR('Calculations'!II195&lt;&gt;"",COUNTIF('Calculations'!$HE$13:$HE$512,"="&amp;SUBSTITUTE(SUBSTITUTE(SUBSTITUTE('Calculations'!HE195,"~","~~"),"*","~*"),"?","~?"))&gt;1),1,0))</x:f>
        <x:v>0</x:v>
      </x:c>
      <x:c r="HM195" t="str">
        <x:f>IF('Calculations'!EM195="","",IF('Calculations'!HL195=1,"!UNRESOLVED",IF('Calculations'!IH195&lt;&gt;"",'Calculations'!IH195,IF('Calculations'!IG195&lt;&gt;"",'Calculations'!IG195,IF('Calculations'!IF195&lt;&gt;"",'Calculations'!IF195,IF('Calculations'!IE195&lt;&gt;"",'Calculations'!IE195,IF('Calculations'!ID195&lt;&gt;"",'Calculations'!ID195,IF('Calculations'!IC195&lt;&gt;"",'Calculations'!IC195,IF('Calculations'!IB195&lt;&gt;"",'Calculations'!IB195,IF('Calculations'!IA195&lt;&gt;"",'Calculations'!IA195,IF('Calculations'!HZ195&lt;&gt;"",'Calculations'!HZ195,IF('Calculations'!HY195&lt;&gt;"",'Calculations'!HY195,IF('Calculations'!HX195&lt;&gt;"",'Calculations'!HX195,IF('Calculations'!HW195&lt;&gt;"",'Calculations'!HW195,IF('Calculations'!HV195&lt;&gt;"",'Calculations'!HV195,IF('Calculations'!HU195&lt;&gt;"",'Calculations'!HU195,IF('Calculations'!HT195&lt;&gt;"",'Calculations'!HT195,IF('Calculations'!HS195&lt;&gt;"",'Calculations'!HS195,IF('Calculations'!HR195&lt;&gt;"",'Calculations'!HR195,IF('Calculations'!HQ195&lt;&gt;"",'Calculations'!HQ195,IF('Calculations'!HP195&lt;&gt;"",'Calculations'!HP195,IF('Calculations'!HO195&lt;&gt;"",'Calculations'!HO195,'Calculations'!HE195))))))))))))))))))))))</x:f>
      </x:c>
      <x:c r="HN195" t="str">
        <x:f>IF('Calculations'!EM195="","",IF(IFERROR(IF(INDEX(INDIRECT("'WCM Calibration Final'!$F$1:$F$2000"),'Calculations'!$EM195)="","",TRIM(INDEX(INDIRECT("'WCM Calibration Final'!$F$1:$F$2000"),'Calculations'!$EM195)&amp;"")),"")="","(Blank)",IFERROR(IF(INDEX(INDIRECT("'WCM Calibration Final'!$F$1:$F$2000"),'Calculations'!$EM195)="","",TRIM(INDEX(INDIRECT("'WCM Calibration Final'!$F$1:$F$2000"),'Calculations'!$EM195)&amp;"")),"")))</x:f>
      </x:c>
      <x:c r="HO195" t="str">
        <x:f>'Calculations'!HF195</x:f>
      </x:c>
      <x:c r="HP195" t="str">
        <x:f>IF('Calculations'!HO195="","",IF('Calculations'!HO195="!AMBIG","!AMBIG",IF(COUNTIF('Calculations'!$HE$13:$HE$512,"="&amp;SUBSTITUTE(SUBSTITUTE(SUBSTITUTE('Calculations'!HO195,"~","~~"),"*","~*"),"?","~?"))&gt;1,"!AMBIG",IFERROR(INDEX('Calculations'!$HF$13:$HF$512,MATCH('Calculations'!HO195,'Calculations'!$HE$13:$HE$512,0)),""))))</x:f>
      </x:c>
      <x:c r="HQ195" t="str">
        <x:f>IF('Calculations'!HP195="","",IF('Calculations'!HP195="!AMBIG","!AMBIG",IF(COUNTIF('Calculations'!$HE$13:$HE$512,"="&amp;SUBSTITUTE(SUBSTITUTE(SUBSTITUTE('Calculations'!HP195,"~","~~"),"*","~*"),"?","~?"))&gt;1,"!AMBIG",IFERROR(INDEX('Calculations'!$HF$13:$HF$512,MATCH('Calculations'!HP195,'Calculations'!$HE$13:$HE$512,0)),""))))</x:f>
      </x:c>
      <x:c r="HR195" t="str">
        <x:f>IF('Calculations'!HQ195="","",IF('Calculations'!HQ195="!AMBIG","!AMBIG",IF(COUNTIF('Calculations'!$HE$13:$HE$512,"="&amp;SUBSTITUTE(SUBSTITUTE(SUBSTITUTE('Calculations'!HQ195,"~","~~"),"*","~*"),"?","~?"))&gt;1,"!AMBIG",IFERROR(INDEX('Calculations'!$HF$13:$HF$512,MATCH('Calculations'!HQ195,'Calculations'!$HE$13:$HE$512,0)),""))))</x:f>
      </x:c>
      <x:c r="HS195" t="str">
        <x:f>IF('Calculations'!HR195="","",IF('Calculations'!HR195="!AMBIG","!AMBIG",IF(COUNTIF('Calculations'!$HE$13:$HE$512,"="&amp;SUBSTITUTE(SUBSTITUTE(SUBSTITUTE('Calculations'!HR195,"~","~~"),"*","~*"),"?","~?"))&gt;1,"!AMBIG",IFERROR(INDEX('Calculations'!$HF$13:$HF$512,MATCH('Calculations'!HR195,'Calculations'!$HE$13:$HE$512,0)),""))))</x:f>
      </x:c>
      <x:c r="HT195" t="str">
        <x:f>IF('Calculations'!HS195="","",IF('Calculations'!HS195="!AMBIG","!AMBIG",IF(COUNTIF('Calculations'!$HE$13:$HE$512,"="&amp;SUBSTITUTE(SUBSTITUTE(SUBSTITUTE('Calculations'!HS195,"~","~~"),"*","~*"),"?","~?"))&gt;1,"!AMBIG",IFERROR(INDEX('Calculations'!$HF$13:$HF$512,MATCH('Calculations'!HS195,'Calculations'!$HE$13:$HE$512,0)),""))))</x:f>
      </x:c>
      <x:c r="HU195" t="str">
        <x:f>IF('Calculations'!HT195="","",IF('Calculations'!HT195="!AMBIG","!AMBIG",IF(COUNTIF('Calculations'!$HE$13:$HE$512,"="&amp;SUBSTITUTE(SUBSTITUTE(SUBSTITUTE('Calculations'!HT195,"~","~~"),"*","~*"),"?","~?"))&gt;1,"!AMBIG",IFERROR(INDEX('Calculations'!$HF$13:$HF$512,MATCH('Calculations'!HT195,'Calculations'!$HE$13:$HE$512,0)),""))))</x:f>
      </x:c>
      <x:c r="HV195" t="str">
        <x:f>IF('Calculations'!HU195="","",IF('Calculations'!HU195="!AMBIG","!AMBIG",IF(COUNTIF('Calculations'!$HE$13:$HE$512,"="&amp;SUBSTITUTE(SUBSTITUTE(SUBSTITUTE('Calculations'!HU195,"~","~~"),"*","~*"),"?","~?"))&gt;1,"!AMBIG",IFERROR(INDEX('Calculations'!$HF$13:$HF$512,MATCH('Calculations'!HU195,'Calculations'!$HE$13:$HE$512,0)),""))))</x:f>
      </x:c>
      <x:c r="HW195" t="str">
        <x:f>IF('Calculations'!HV195="","",IF('Calculations'!HV195="!AMBIG","!AMBIG",IF(COUNTIF('Calculations'!$HE$13:$HE$512,"="&amp;SUBSTITUTE(SUBSTITUTE(SUBSTITUTE('Calculations'!HV195,"~","~~"),"*","~*"),"?","~?"))&gt;1,"!AMBIG",IFERROR(INDEX('Calculations'!$HF$13:$HF$512,MATCH('Calculations'!HV195,'Calculations'!$HE$13:$HE$512,0)),""))))</x:f>
      </x:c>
      <x:c r="HX195" t="str">
        <x:f>IF('Calculations'!HW195="","",IF('Calculations'!HW195="!AMBIG","!AMBIG",IF(COUNTIF('Calculations'!$HE$13:$HE$512,"="&amp;SUBSTITUTE(SUBSTITUTE(SUBSTITUTE('Calculations'!HW195,"~","~~"),"*","~*"),"?","~?"))&gt;1,"!AMBIG",IFERROR(INDEX('Calculations'!$HF$13:$HF$512,MATCH('Calculations'!HW195,'Calculations'!$HE$13:$HE$512,0)),""))))</x:f>
      </x:c>
      <x:c r="HY195" t="str">
        <x:f>IF('Calculations'!HX195="","",IF('Calculations'!HX195="!AMBIG","!AMBIG",IF(COUNTIF('Calculations'!$HE$13:$HE$512,"="&amp;SUBSTITUTE(SUBSTITUTE(SUBSTITUTE('Calculations'!HX195,"~","~~"),"*","~*"),"?","~?"))&gt;1,"!AMBIG",IFERROR(INDEX('Calculations'!$HF$13:$HF$512,MATCH('Calculations'!HX195,'Calculations'!$HE$13:$HE$512,0)),""))))</x:f>
      </x:c>
      <x:c r="HZ195" t="str">
        <x:f>IF('Calculations'!HY195="","",IF('Calculations'!HY195="!AMBIG","!AMBIG",IF(COUNTIF('Calculations'!$HE$13:$HE$512,"="&amp;SUBSTITUTE(SUBSTITUTE(SUBSTITUTE('Calculations'!HY195,"~","~~"),"*","~*"),"?","~?"))&gt;1,"!AMBIG",IFERROR(INDEX('Calculations'!$HF$13:$HF$512,MATCH('Calculations'!HY195,'Calculations'!$HE$13:$HE$512,0)),""))))</x:f>
      </x:c>
      <x:c r="IA195" t="str">
        <x:f>IF('Calculations'!HZ195="","",IF('Calculations'!HZ195="!AMBIG","!AMBIG",IF(COUNTIF('Calculations'!$HE$13:$HE$512,"="&amp;SUBSTITUTE(SUBSTITUTE(SUBSTITUTE('Calculations'!HZ195,"~","~~"),"*","~*"),"?","~?"))&gt;1,"!AMBIG",IFERROR(INDEX('Calculations'!$HF$13:$HF$512,MATCH('Calculations'!HZ195,'Calculations'!$HE$13:$HE$512,0)),""))))</x:f>
      </x:c>
      <x:c r="IB195" t="str">
        <x:f>IF('Calculations'!IA195="","",IF('Calculations'!IA195="!AMBIG","!AMBIG",IF(COUNTIF('Calculations'!$HE$13:$HE$512,"="&amp;SUBSTITUTE(SUBSTITUTE(SUBSTITUTE('Calculations'!IA195,"~","~~"),"*","~*"),"?","~?"))&gt;1,"!AMBIG",IFERROR(INDEX('Calculations'!$HF$13:$HF$512,MATCH('Calculations'!IA195,'Calculations'!$HE$13:$HE$512,0)),""))))</x:f>
      </x:c>
      <x:c r="IC195" t="str">
        <x:f>IF('Calculations'!IB195="","",IF('Calculations'!IB195="!AMBIG","!AMBIG",IF(COUNTIF('Calculations'!$HE$13:$HE$512,"="&amp;SUBSTITUTE(SUBSTITUTE(SUBSTITUTE('Calculations'!IB195,"~","~~"),"*","~*"),"?","~?"))&gt;1,"!AMBIG",IFERROR(INDEX('Calculations'!$HF$13:$HF$512,MATCH('Calculations'!IB195,'Calculations'!$HE$13:$HE$512,0)),""))))</x:f>
      </x:c>
      <x:c r="ID195" t="str">
        <x:f>IF('Calculations'!IC195="","",IF('Calculations'!IC195="!AMBIG","!AMBIG",IF(COUNTIF('Calculations'!$HE$13:$HE$512,"="&amp;SUBSTITUTE(SUBSTITUTE(SUBSTITUTE('Calculations'!IC195,"~","~~"),"*","~*"),"?","~?"))&gt;1,"!AMBIG",IFERROR(INDEX('Calculations'!$HF$13:$HF$512,MATCH('Calculations'!IC195,'Calculations'!$HE$13:$HE$512,0)),""))))</x:f>
      </x:c>
      <x:c r="IE195" t="str">
        <x:f>IF('Calculations'!ID195="","",IF('Calculations'!ID195="!AMBIG","!AMBIG",IF(COUNTIF('Calculations'!$HE$13:$HE$512,"="&amp;SUBSTITUTE(SUBSTITUTE(SUBSTITUTE('Calculations'!ID195,"~","~~"),"*","~*"),"?","~?"))&gt;1,"!AMBIG",IFERROR(INDEX('Calculations'!$HF$13:$HF$512,MATCH('Calculations'!ID195,'Calculations'!$HE$13:$HE$512,0)),""))))</x:f>
      </x:c>
      <x:c r="IF195" t="str">
        <x:f>IF('Calculations'!IE195="","",IF('Calculations'!IE195="!AMBIG","!AMBIG",IF(COUNTIF('Calculations'!$HE$13:$HE$512,"="&amp;SUBSTITUTE(SUBSTITUTE(SUBSTITUTE('Calculations'!IE195,"~","~~"),"*","~*"),"?","~?"))&gt;1,"!AMBIG",IFERROR(INDEX('Calculations'!$HF$13:$HF$512,MATCH('Calculations'!IE195,'Calculations'!$HE$13:$HE$512,0)),""))))</x:f>
      </x:c>
      <x:c r="IG195" t="str">
        <x:f>IF('Calculations'!IF195="","",IF('Calculations'!IF195="!AMBIG","!AMBIG",IF(COUNTIF('Calculations'!$HE$13:$HE$512,"="&amp;SUBSTITUTE(SUBSTITUTE(SUBSTITUTE('Calculations'!IF195,"~","~~"),"*","~*"),"?","~?"))&gt;1,"!AMBIG",IFERROR(INDEX('Calculations'!$HF$13:$HF$512,MATCH('Calculations'!IF195,'Calculations'!$HE$13:$HE$512,0)),""))))</x:f>
      </x:c>
      <x:c r="IH195" t="str">
        <x:f>IF('Calculations'!IG195="","",IF('Calculations'!IG195="!AMBIG","!AMBIG",IF(COUNTIF('Calculations'!$HE$13:$HE$512,"="&amp;SUBSTITUTE(SUBSTITUTE(SUBSTITUTE('Calculations'!IG195,"~","~~"),"*","~*"),"?","~?"))&gt;1,"!AMBIG",IFERROR(INDEX('Calculations'!$HF$13:$HF$512,MATCH('Calculations'!IG195,'Calculations'!$HE$13:$HE$512,0)),""))))</x:f>
      </x:c>
      <x:c r="II195" t="str">
        <x:f>IF('Calculations'!IH195="","",IF('Calculations'!IH195="!AMBIG","!AMBIG",IF(COUNTIF('Calculations'!$HE$13:$HE$512,"="&amp;SUBSTITUTE(SUBSTITUTE(SUBSTITUTE('Calculations'!IH195,"~","~~"),"*","~*"),"?","~?"))&gt;1,"!AMBIG",IFERROR(INDEX('Calculations'!$HF$13:$HF$512,MATCH('Calculations'!IH195,'Calculations'!$HE$13:$HE$512,0)),""))))</x:f>
      </x:c>
      <x:c r="IJ195" t="str">
        <x:f>IF('Calculations'!EM195="","",IF('Calculations'!$EF$2="All",'Calculations'!HM195,IF('Calculations'!HL195=1,"",IFERROR(IF(MATCH('Calculations'!$EF$2,'Calculations'!HO195:II195,0)=1,'Calculations'!HE195,INDEX('Calculations'!HO195:II195,1,MATCH('Calculations'!$EF$2,'Calculations'!HO195:II195,0)-1)),""))))</x:f>
      </x:c>
      <x:c r="IK195" t="n">
        <x:f>IF(AND('Calculations'!EM195&lt;&gt;"",'Calculations'!$EF$2&lt;&gt;"All",'Calculations'!HF195='Calculations'!$EF$2,'Calculations'!HL195=0,'Calculations'!JD195&gt;0),MAX('Calculations'!$IK$12:IK194)+1,0)</x:f>
        <x:v>0</x:v>
      </x:c>
      <x:c r="JA195" t="n">
        <x:f>IF(OR(IFERROR(INDIRECT("'WCM Calibration Final'!$A$195")&lt;&gt;"",FALSE),IFERROR(INDIRECT("'WCM Calibration Final'!$B$195")&lt;&gt;"",FALSE),IFERROR(INDIRECT("'WCM Calibration Final'!$C$195")&lt;&gt;"",FALSE)),195,0)</x:f>
        <x:v>0</x:v>
      </x:c>
      <x:c r="JB195" t="n">
        <x:f>'Calculations'!JB194+IF('Calculations'!JA195&gt;0,1,0)</x:f>
        <x:v>0</x:v>
      </x:c>
      <x:c r="JC195" t="n">
        <x:f>IF(OR('Calculations'!HF195="",'Calculations'!HF195="!AMBIG"),0,IF('Dashboard'!$B$7="All",1,COUNTIFS('Calculations'!$HO$13:$HO$512,"="&amp;SUBSTITUTE(SUBSTITUTE(SUBSTITUTE('Calculations'!HF195,"~","~~"),"*","~*"),"?","~?"),'Calculations'!$HN$13:$HN$512,"="&amp;SUBSTITUTE(SUBSTITUTE(SUBSTITUTE('Dashboard'!$B$7,"~","~~"),"*","~*"),"?","~?"))+COUNTIFS('Calculations'!$HP$13:$HP$512,"="&amp;SUBSTITUTE(SUBSTITUTE(SUBSTITUTE('Calculations'!HF195,"~","~~"),"*","~*"),"?","~?"),'Calculations'!$HN$13:$HN$512,"="&amp;SUBSTITUTE(SUBSTITUTE(SUBSTITUTE('Dashboard'!$B$7,"~","~~"),"*","~*"),"?","~?"))+COUNTIFS('Calculations'!$HQ$13:$HQ$512,"="&amp;SUBSTITUTE(SUBSTITUTE(SUBSTITUTE('Calculations'!HF195,"~","~~"),"*","~*"),"?","~?"),'Calculations'!$HN$13:$HN$512,"="&amp;SUBSTITUTE(SUBSTITUTE(SUBSTITUTE('Dashboard'!$B$7,"~","~~"),"*","~*"),"?","~?"))+COUNTIFS('Calculations'!$HR$13:$HR$512,"="&amp;SUBSTITUTE(SUBSTITUTE(SUBSTITUTE('Calculations'!HF195,"~","~~"),"*","~*"),"?","~?"),'Calculations'!$HN$13:$HN$512,"="&amp;SUBSTITUTE(SUBSTITUTE(SUBSTITUTE('Dashboard'!$B$7,"~","~~"),"*","~*"),"?","~?"))+COUNTIFS('Calculations'!$HS$13:$HS$512,"="&amp;SUBSTITUTE(SUBSTITUTE(SUBSTITUTE('Calculations'!HF195,"~","~~"),"*","~*"),"?","~?"),'Calculations'!$HN$13:$HN$512,"="&amp;SUBSTITUTE(SUBSTITUTE(SUBSTITUTE('Dashboard'!$B$7,"~","~~"),"*","~*"),"?","~?"))+COUNTIFS('Calculations'!$HT$13:$HT$512,"="&amp;SUBSTITUTE(SUBSTITUTE(SUBSTITUTE('Calculations'!HF195,"~","~~"),"*","~*"),"?","~?"),'Calculations'!$HN$13:$HN$512,"="&amp;SUBSTITUTE(SUBSTITUTE(SUBSTITUTE('Dashboard'!$B$7,"~","~~"),"*","~*"),"?","~?"))+COUNTIFS('Calculations'!$HU$13:$HU$512,"="&amp;SUBSTITUTE(SUBSTITUTE(SUBSTITUTE('Calculations'!HF195,"~","~~"),"*","~*"),"?","~?"),'Calculations'!$HN$13:$HN$512,"="&amp;SUBSTITUTE(SUBSTITUTE(SUBSTITUTE('Dashboard'!$B$7,"~","~~"),"*","~*"),"?","~?"))+COUNTIFS('Calculations'!$HV$13:$HV$512,"="&amp;SUBSTITUTE(SUBSTITUTE(SUBSTITUTE('Calculations'!HF195,"~","~~"),"*","~*"),"?","~?"),'Calculations'!$HN$13:$HN$512,"="&amp;SUBSTITUTE(SUBSTITUTE(SUBSTITUTE('Dashboard'!$B$7,"~","~~"),"*","~*"),"?","~?"))+COUNTIFS('Calculations'!$HW$13:$HW$512,"="&amp;SUBSTITUTE(SUBSTITUTE(SUBSTITUTE('Calculations'!HF195,"~","~~"),"*","~*"),"?","~?"),'Calculations'!$HN$13:$HN$512,"="&amp;SUBSTITUTE(SUBSTITUTE(SUBSTITUTE('Dashboard'!$B$7,"~","~~"),"*","~*"),"?","~?"))+COUNTIFS('Calculations'!$HX$13:$HX$512,"="&amp;SUBSTITUTE(SUBSTITUTE(SUBSTITUTE('Calculations'!HF195,"~","~~"),"*","~*"),"?","~?"),'Calculations'!$HN$13:$HN$512,"="&amp;SUBSTITUTE(SUBSTITUTE(SUBSTITUTE('Dashboard'!$B$7,"~","~~"),"*","~*"),"?","~?"))+COUNTIFS('Calculations'!$HY$13:$HY$512,"="&amp;SUBSTITUTE(SUBSTITUTE(SUBSTITUTE('Calculations'!HF195,"~","~~"),"*","~*"),"?","~?"),'Calculations'!$HN$13:$HN$512,"="&amp;SUBSTITUTE(SUBSTITUTE(SUBSTITUTE('Dashboard'!$B$7,"~","~~"),"*","~*"),"?","~?"))+COUNTIFS('Calculations'!$HZ$13:$HZ$512,"="&amp;SUBSTITUTE(SUBSTITUTE(SUBSTITUTE('Calculations'!HF195,"~","~~"),"*","~*"),"?","~?"),'Calculations'!$HN$13:$HN$512,"="&amp;SUBSTITUTE(SUBSTITUTE(SUBSTITUTE('Dashboard'!$B$7,"~","~~"),"*","~*"),"?","~?"))+COUNTIFS('Calculations'!$IA$13:$IA$512,"="&amp;SUBSTITUTE(SUBSTITUTE(SUBSTITUTE('Calculations'!HF195,"~","~~"),"*","~*"),"?","~?"),'Calculations'!$HN$13:$HN$512,"="&amp;SUBSTITUTE(SUBSTITUTE(SUBSTITUTE('Dashboard'!$B$7,"~","~~"),"*","~*"),"?","~?"))+COUNTIFS('Calculations'!$IB$13:$IB$512,"="&amp;SUBSTITUTE(SUBSTITUTE(SUBSTITUTE('Calculations'!HF195,"~","~~"),"*","~*"),"?","~?"),'Calculations'!$HN$13:$HN$512,"="&amp;SUBSTITUTE(SUBSTITUTE(SUBSTITUTE('Dashboard'!$B$7,"~","~~"),"*","~*"),"?","~?"))+COUNTIFS('Calculations'!$IC$13:$IC$512,"="&amp;SUBSTITUTE(SUBSTITUTE(SUBSTITUTE('Calculations'!HF195,"~","~~"),"*","~*"),"?","~?"),'Calculations'!$HN$13:$HN$512,"="&amp;SUBSTITUTE(SUBSTITUTE(SUBSTITUTE('Dashboard'!$B$7,"~","~~"),"*","~*"),"?","~?"))+COUNTIFS('Calculations'!$ID$13:$ID$512,"="&amp;SUBSTITUTE(SUBSTITUTE(SUBSTITUTE('Calculations'!HF195,"~","~~"),"*","~*"),"?","~?"),'Calculations'!$HN$13:$HN$512,"="&amp;SUBSTITUTE(SUBSTITUTE(SUBSTITUTE('Dashboard'!$B$7,"~","~~"),"*","~*"),"?","~?"))+COUNTIFS('Calculations'!$IE$13:$IE$512,"="&amp;SUBSTITUTE(SUBSTITUTE(SUBSTITUTE('Calculations'!HF195,"~","~~"),"*","~*"),"?","~?"),'Calculations'!$HN$13:$HN$512,"="&amp;SUBSTITUTE(SUBSTITUTE(SUBSTITUTE('Dashboard'!$B$7,"~","~~"),"*","~*"),"?","~?"))+COUNTIFS('Calculations'!$IF$13:$IF$512,"="&amp;SUBSTITUTE(SUBSTITUTE(SUBSTITUTE('Calculations'!HF195,"~","~~"),"*","~*"),"?","~?"),'Calculations'!$HN$13:$HN$512,"="&amp;SUBSTITUTE(SUBSTITUTE(SUBSTITUTE('Dashboard'!$B$7,"~","~~"),"*","~*"),"?","~?"))+COUNTIFS('Calculations'!$IG$13:$IG$512,"="&amp;SUBSTITUTE(SUBSTITUTE(SUBSTITUTE('Calculations'!HF195,"~","~~"),"*","~*"),"?","~?"),'Calculations'!$HN$13:$HN$512,"="&amp;SUBSTITUTE(SUBSTITUTE(SUBSTITUTE('Dashboard'!$B$7,"~","~~"),"*","~*"),"?","~?"))+COUNTIFS('Calculations'!$IH$13:$IH$512,"="&amp;SUBSTITUTE(SUBSTITUTE(SUBSTITUTE('Calculations'!HF195,"~","~~"),"*","~*"),"?","~?"),'Calculations'!$HN$13:$HN$512,"="&amp;SUBSTITUTE(SUBSTITUTE(SUBSTITUTE('Dashboard'!$B$7,"~","~~"),"*","~*"),"?","~?"))))</x:f>
        <x:v>0</x:v>
      </x:c>
      <x:c r="JD195" t="n">
        <x:f>IF('Calculations'!EM195="",0,IF('Dashboard'!$B$7="All",1,IF('Calculations'!HN195='Dashboard'!$B$7,1,0)+IFERROR(INDEX('Calculations'!$JC$13:$JC$512,MATCH('Calculations'!HE195,'Calculations'!$HF$13:$HF$512,0)),0)))</x:f>
        <x:v>0</x:v>
      </x:c>
      <x:c r="JE195" t="n">
        <x:f>IF(AND('Calculations'!EM195&lt;&gt;"",'Calculations'!$JJ$2&lt;&gt;"All",'Calculations'!$JJ$2&lt;&gt;"",'Calculations'!HF195='Calculations'!$JJ$2,'Calculations'!HL195=0,'Calculations'!JD195&gt;0),MAX('Calculations'!$JE$12:JE194)+1,0)</x:f>
        <x:v>0</x:v>
      </x:c>
      <x:c r="JF195" t="str">
        <x:f>IF('Calculations'!EM195="","",IFERROR(IF(INDEX(INDIRECT("'WCM Calibration Final'!$G$1:$G$2000"),'Calculations'!$EM195)="","",TRIM(INDEX(INDIRECT("'WCM Calibration Final'!$G$1:$G$2000"),'Calculations'!$EM195)&amp;"")),""))</x:f>
      </x:c>
      <x:c r="JQ195" t="n">
        <x:f>IF(OR('Calculations'!BM195=0,NOT('Calculations'!$AG$2),'Calculations'!$AG$8&gt;0),0,IF(OR('Dashboard'!$B$7="All",'Calculations'!HN195='Dashboard'!$B$7),IF('Calculations'!$JJ$2="All",1,IF(AND('Calculations'!HF195='Calculations'!$JJ$2,'Calculations'!HL195=0),1,0)),0))</x:f>
        <x:v>0</x:v>
      </x:c>
    </x:row>
    <x:row r="196">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t="n">
        <x:f>IF('Calculations'!$EM196="",0,IF(OR(IFERROR(INDEX(INDIRECT("'WCM Calibration Final'!$A$1:$A$2000"),'Calculations'!$EM196)&lt;&gt;"",FALSE),IFERROR(INDEX(INDIRECT("'WCM Calibration Final'!$B$1:$B$2000"),'Calculations'!$EM196)&lt;&gt;"",FALSE),IFERROR(INDEX(INDIRECT("'WCM Calibration Final'!$C$1:$C$2000"),'Calculations'!$EM196)&lt;&gt;"",FALSE)),1,0))</x:f>
        <x:v>0</x:v>
      </x:c>
      <x:c r="BN196" s="4" t="n">
        <x:f>IF(AND('Calculations'!BM196=1,'Calculations'!$AG$2,'Calculations'!$EN196=1),1,0)</x:f>
        <x:v>0</x:v>
      </x:c>
      <x:c r="BO196" s="4" t="str">
        <x:f>IF('Calculations'!BM196=0,"",IFERROR(IF(AND(VALUE(INDEX(INDIRECT("'WCM Calibration Final'!$K$1:$K$2000"),'Calculations'!$EM196))&gt;=1,VALUE(INDEX(INDIRECT("'WCM Calibration Final'!$K$1:$K$2000"),'Calculations'!$EM196))&lt;=4,MOD(VALUE(INDEX(INDIRECT("'WCM Calibration Final'!$K$1:$K$2000"),'Calculations'!$EM196)),1)=0),VALUE(INDEX(INDIRECT("'WCM Calibration Final'!$K$1:$K$2000"),'Calculations'!$EM196)),""),""))</x:f>
      </x:c>
      <x:c r="BP196" s="4" t="str">
        <x:f>IF('Calculations'!BM196=0,"",IFERROR(IF(AND(VALUE(INDEX(INDIRECT("'WCM Calibration Final'!$L$1:$L$2000"),'Calculations'!$EM196))&gt;=1,VALUE(INDEX(INDIRECT("'WCM Calibration Final'!$L$1:$L$2000"),'Calculations'!$EM196))&lt;=4,MOD(VALUE(INDEX(INDIRECT("'WCM Calibration Final'!$L$1:$L$2000"),'Calculations'!$EM196)),1)=0),VALUE(INDEX(INDIRECT("'WCM Calibration Final'!$L$1:$L$2000"),'Calculations'!$EM196)),""),""))</x:f>
      </x:c>
      <x:c r="BQ196" s="4"/>
      <x:c r="BR196" s="4"/>
      <x:c r="BS196" s="4"/>
      <x:c r="BT196" s="4" t="n">
        <x:f>IF(AND('Calculations'!BM196=1,ISNUMBER('Calculations'!BO196),ISNUMBER('Calculations'!BP196)),1,0)</x:f>
        <x:v>0</x:v>
      </x:c>
      <x:c r="BU196" s="4" t="str">
        <x:f>IF('Calculations'!BM196=0,"",'Calculations'!$EO196)</x:f>
      </x:c>
      <x:c r="BV196" s="4" t="str">
        <x:f>IF('Calculations'!BM196=0,"",IFERROR(IF(OR(INDEX(INDIRECT("'WCM Calibration Final'!$H$1:$H$2000"),'Calculations'!$EM196)="MANAGING DIRECTOR",INDEX(INDIRECT("'WCM Calibration Final'!$H$1:$H$2000"),'Calculations'!$EM196)="DIRECTOR",INDEX(INDIRECT("'WCM Calibration Final'!$H$1:$H$2000"),'Calculations'!$EM196)="SENIOR VICE PRESIDENT",INDEX(INDIRECT("'WCM Calibration Final'!$H$1:$H$2000"),'Calculations'!$EM196)="VICE PRESIDENT",INDEX(INDIRECT("'WCM Calibration Final'!$H$1:$H$2000"),'Calculations'!$EM196)="ASSISTANT VICE PRESIDENT",INDEX(INDIRECT("'WCM Calibration Final'!$H$1:$H$2000"),'Calculations'!$EM196)="OFFICER"),UPPER(INDEX(INDIRECT("'WCM Calibration Final'!$H$1:$H$2000"),'Calculations'!$EM196)),"Other"),"Other"))</x:f>
      </x:c>
      <x:c r="BW196" s="4"/>
      <x:c r="BX196" s="4"/>
      <x:c r="BY196" s="4" t="n">
        <x:f>IF(AND('Calculations'!BM196=1,'Calculations'!BU196&lt;&gt;"",COUNTIF('Calculations'!$BU$12:BU196,'Calculations'!BU196)=1),MAX('Calculations'!$BY$11:BY195)+1,0)</x:f>
        <x:v>0</x:v>
      </x:c>
      <x:c r="BZ196" s="4" t="str">
        <x:f>IF('Dashboard'!$E$67="What",'Calculations'!BO196,'Calculations'!BP196)</x:f>
      </x:c>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t="str">
        <x:f>IF(185&gt;MAX('Calculations'!$HI$13:$HI$512),"",INDEX('Calculations'!$HN$13:$HN$512,MATCH(185,'Calculations'!$HI$13:$HI$512,0)))</x:f>
      </x:c>
      <x:c r="DB196" s="4" t="str">
        <x:f>IF(185&gt;MAX('Calculations'!$HH$13:$HH$512),"",INDEX('Calculations'!$HJ$13:$HJ$512,MATCH(185,'Calculations'!$HH$13:$HH$512,0)))</x:f>
      </x:c>
      <x:c r="DC196" s="4" t="str">
        <x:f>IF(ROW()-11&gt;MAX('Calculations'!$BY$13:$BY$512),"",INDEX('Calculations'!$BU$13:$BU$512,MATCH(ROW()-11,'Calculations'!$BY$13:$BY$512,0)))</x:f>
      </x:c>
      <x:c r="DD196" s="4" t="str">
        <x:f>IF(185&gt;MAX('Calculations'!$IK$13:$IK$512),"",INDEX('Calculations'!$HK$13:$HK$512,MATCH(185,'Calculations'!$IK$13:$IK$512,0)))</x:f>
      </x:c>
      <x:c r="DE196" s="4" t="str">
        <x:f>'Calculations'!DC196</x:f>
      </x:c>
      <x:c r="DF196" s="4" t="str">
        <x:f>IF('Calculations'!DE196="","",COUNTIFS('Calculations'!$BN$13:$BN$512,1,'Calculations'!$BU$13:$BU$512,'Calculations'!DE196))</x:f>
      </x:c>
      <x:c r="DG196" s="4" t="str">
        <x:f>IF('Calculations'!DE196="","",COUNTIFS('Calculations'!$BN$13:$BN$512,1,'Calculations'!$BU$13:$BU$512,'Calculations'!DE196,'Calculations'!$BT$13:$BT$512,1))</x:f>
      </x:c>
      <x:c r="DH196" s="4" t="str">
        <x:f>IF('Calculations'!DE196="","",'Calculations'!DF196-'Calculations'!DG196)</x:f>
      </x:c>
      <x:c r="DI196" s="4" t="str">
        <x:f>IF(OR('Calculations'!DE196="",'Calculations'!DF196=0),"",'Calculations'!DG196/'Calculations'!DF196)</x:f>
      </x:c>
      <x:c r="DJ196" s="4" t="str">
        <x:f>IF('Calculations'!DE196="","",COUNTIFS('Calculations'!$BN$13:$BN$512,1,'Calculations'!$BU$13:$BU$512,'Calculations'!DE196,'Calculations'!$BT$13:$BT$512,1,'Calculations'!$EE$13:$EE$512,"High"))</x:f>
      </x:c>
      <x:c r="DK196" s="4" t="str">
        <x:f>IF('Calculations'!DE196="","",COUNTIFS('Calculations'!$BN$13:$BN$512,1,'Calculations'!$BU$13:$BU$512,'Calculations'!DE196,'Calculations'!$BT$13:$BT$512,1,'Calculations'!$EE$13:$EE$512,"Strong"))</x:f>
      </x:c>
      <x:c r="DL196" s="4" t="str">
        <x:f>IF('Calculations'!DE196="","",COUNTIFS('Calculations'!$BN$13:$BN$512,1,'Calculations'!$BU$13:$BU$512,'Calculations'!DE196,'Calculations'!$BT$13:$BT$512,1,'Calculations'!$EE$13:$EE$512,"Solid"))</x:f>
      </x:c>
      <x:c r="DM196" s="4" t="str">
        <x:f>IF('Calculations'!DE196="","",COUNTIFS('Calculations'!$BN$13:$BN$512,1,'Calculations'!$BU$13:$BU$512,'Calculations'!DE196,'Calculations'!$BT$13:$BT$512,1,'Calculations'!$EE$13:$EE$512,"Low"))</x:f>
      </x:c>
      <x:c r="DN196" s="4" t="str">
        <x:f>IF('Calculations'!DE196="","",COUNTIFS('Calculations'!$BN$13:$BN$512,1,'Calculations'!$BU$13:$BU$512,'Calculations'!DE196,'Calculations'!$EP$13:$EP$512,1))</x:f>
      </x:c>
      <x:c r="DO196" s="4" t="str">
        <x:f>IF(OR('Calculations'!DE196="",'Calculations'!DG196=0),"",('Calculations'!DJ196+'Calculations'!DK196)/'Calculations'!DG196)</x:f>
      </x:c>
      <x:c r="DP196" s="4" t="n">
        <x:f>IF(AND('Calculations'!DE196&lt;&gt;"",'Calculations'!DF196&gt;0),COUNTIF('Calculations'!$DF$12:DF196,"&gt;0"),0)</x:f>
        <x:v>0</x:v>
      </x:c>
      <x:c r="DQ196" s="4" t="str">
        <x:f>IF(185&gt;MAX('Calculations'!$HH$13:$HH$512),"",INDEX('Calculations'!$HF$13:$HF$512,MATCH(185,'Calculations'!$HH$13:$HH$512,0)))</x:f>
      </x:c>
      <x:c r="DR196" s="4" t="str">
        <x:f>IF(185&gt;MAX('Calculations'!$IK$13:$IK$512),"",INDEX('Calculations'!$HE$13:$HE$512,MATCH(185,'Calculations'!$IK$13:$IK$512,0)))</x:f>
      </x:c>
      <x:c r="DS196" s="4"/>
      <x:c r="DT196" s="4"/>
      <x:c r="DU196" s="4"/>
      <x:c r="DV196" s="4"/>
      <x:c r="DW196" s="4"/>
      <x:c r="DX196" s="4"/>
      <x:c r="DY196" s="4"/>
      <x:c r="DZ196" s="4"/>
      <x:c r="EA196" s="4"/>
      <x:c r="EB196" s="4"/>
      <x:c r="EC196" s="4"/>
      <x:c r="ED196" s="4"/>
      <x:c r="EE196" s="4" t="str">
        <x:f>IF('Calculations'!BT196=0,"Not Rated",IF(OR('Calculations'!BO196&gt;=4,'Calculations'!BP196&gt;=4),"Low",IF('Calculations'!BO196+'Calculations'!BP196&lt;=3,"High",IF('Calculations'!BO196+'Calculations'!BP196&lt;=4,"Strong","Solid"))))</x:f>
        <x:v>Not Rated</x:v>
      </x:c>
      <x:c r="EF196" s="4"/>
      <x:c r="EG196" s="4"/>
      <x:c r="EH196" s="4"/>
      <x:c r="EI196" s="4"/>
      <x:c r="EJ196" s="4"/>
      <x:c r="EK196" s="4"/>
      <x:c r="EL196" s="4"/>
      <x:c r="EM196" s="4" t="str">
        <x:f>IF(184&gt;'Calculations'!$JB$2000,"",INDEX('Calculations'!$JA$12:$JA$2000,MATCH(184,'Calculations'!$JB$12:$JB$2000,0)))</x:f>
      </x:c>
      <x:c r="EN196" s="4" t="n">
        <x:f>IF(OR('Calculations'!EM196="",'Calculations'!$AG$8&gt;0,AND('Calculations'!$EF$2&lt;&gt;"All",'Calculations'!HE196='Calculations'!$EF$2),AND('Calculations'!$EF$3&lt;&gt;"All",'Calculations'!HE196='Calculations'!$EF$3)),0,IF(OR('Dashboard'!$B$7="All",'Calculations'!HN196='Dashboard'!$B$7),IF('Calculations'!$EF$2="All",1,IF('Calculations'!HL196&gt;0,0,IF(COUNTIF('Calculations'!HO196:II196,"="&amp;SUBSTITUTE(SUBSTITUTE(SUBSTITUTE('Calculations'!$EF$2,"~","~~"),"*","~*"),"?","~?"))=0,0,IF('Calculations'!$EF$3="All",1,IF(COUNTIF('Calculations'!HO196:II196,"="&amp;SUBSTITUTE(SUBSTITUTE(SUBSTITUTE('Calculations'!$EF$3,"~","~~"),"*","~*"),"?","~?"))&gt;0,1,0))))),0))</x:f>
        <x:v>0</x:v>
      </x:c>
      <x:c r="EO196" s="4" t="str">
        <x:f>IF('Calculations'!IJ196="","",IF('Calculations'!IJ196="!UNRESOLVED","Unresolved hierarchy",IFERROR(INDEX('Calculations'!$HK$13:$HK$512,MATCH('Calculations'!IJ196,'Calculations'!$HE$13:$HE$512,0)),IFERROR(INDEX('Calculations'!$HJ$13:$HJ$512,MATCH('Calculations'!IJ196,'Calculations'!$HF$13:$HF$512,0)),'Calculations'!IJ196))))</x:f>
      </x:c>
      <x:c r="EP196" s="4" t="n">
        <x:f>IF(AND('Calculations'!EM196&lt;&gt;"",'Calculations'!HF196='Calculations'!IJ196),1,0)</x:f>
        <x:v>0</x:v>
      </x:c>
      <x:c r="EQ196" s="4"/>
      <x:c r="ER196" s="4"/>
      <x:c r="ES196" s="4"/>
      <x:c r="ET196" s="4"/>
      <x:c r="EU196" s="4"/>
      <x:c r="EV196" s="4"/>
      <x:c r="EW196" s="4"/>
      <x:c r="EX196" s="4"/>
      <x:c r="EY196" s="4"/>
      <x:c r="EZ196" s="4"/>
      <x:c r="FA196" s="4"/>
      <x:c r="FB196" s="4"/>
      <x:c r="FC196" s="4"/>
      <x:c r="FD196" s="4"/>
      <x:c r="FE196" s="4"/>
      <x:c r="FF196" s="4"/>
      <x:c r="FG196" s="4"/>
      <x:c r="FH196" s="4"/>
      <x:c r="FI196" s="4"/>
      <x:c r="FJ196" s="4"/>
      <x:c r="FK196" s="4"/>
      <x:c r="FL196" s="4"/>
      <x:c r="FM196" s="4"/>
      <x:c r="FN196" s="4"/>
      <x:c r="FO196" s="4"/>
      <x:c r="GA196" s="71"/>
      <x:c r="GB196" s="71"/>
      <x:c r="GC196" s="71"/>
      <x:c r="GD196" s="71"/>
      <x:c r="GE196" s="71"/>
      <x:c r="GF196" s="71"/>
      <x:c r="GG196" s="71"/>
      <x:c r="GH196" s="71"/>
      <x:c r="GI196" s="71"/>
      <x:c r="GJ196" s="71"/>
      <x:c r="GK196" s="71"/>
      <x:c r="GL196" s="71"/>
      <x:c r="GM196" s="71"/>
      <x:c r="GN196" s="71"/>
      <x:c r="GO196" s="71"/>
      <x:c r="GP196" s="71"/>
      <x:c r="GQ196" s="71"/>
      <x:c r="GR196" s="71"/>
      <x:c r="GS196" s="71"/>
      <x:c r="GT196" s="71"/>
      <x:c r="GU196" s="71"/>
      <x:c r="GV196" s="71"/>
      <x:c r="GW196" s="71"/>
      <x:c r="GX196" s="71"/>
      <x:c r="GY196" s="71"/>
      <x:c r="GZ196" s="71"/>
      <x:c r="HA196" s="71"/>
      <x:c r="HB196" s="71"/>
      <x:c r="HC196" s="71"/>
      <x:c r="HD196" s="71"/>
      <x:c r="HE196" t="str">
        <x:f>IF('Calculations'!EM196="","",IF(IFERROR(IF(INDEX(INDIRECT("'WCM Calibration Final'!$A$1:$A$2000"),'Calculations'!$EM196)="","",TRIM(INDEX(INDIRECT("'WCM Calibration Final'!$A$1:$A$2000"),'Calculations'!$EM196)&amp;"")),"")&lt;&gt;"","G:"&amp;IFERROR(TEXT(1*INDEX(INDIRECT("'WCM Calibration Final'!$A$1:$A$2000"),'Calculations'!$EM196),"0"),UPPER(IFERROR(IF(INDEX(INDIRECT("'WCM Calibration Final'!$A$1:$A$2000"),'Calculations'!$EM196)="","",TRIM(INDEX(INDIRECT("'WCM Calibration Final'!$A$1:$A$2000"),'Calculations'!$EM196)&amp;"")),""))),IF(IFERROR(IF(INDEX(INDIRECT("'WCM Calibration Final'!$C$1:$C$2000"),'Calculations'!$EM196)="","",TRIM(INDEX(INDIRECT("'WCM Calibration Final'!$C$1:$C$2000"),'Calculations'!$EM196)&amp;"")),"")&lt;&gt;"","S:"&amp;UPPER(IFERROR(IF(INDEX(INDIRECT("'WCM Calibration Final'!$C$1:$C$2000"),'Calculations'!$EM196)="","",TRIM(INDEX(INDIRECT("'WCM Calibration Final'!$C$1:$C$2000"),'Calculations'!$EM196)&amp;"")),"")),"R:"&amp;'Calculations'!EM196)))</x:f>
      </x:c>
      <x:c r="HF196" t="str">
        <x:f>IF('Calculations'!EM196="","",IF(IFERROR(IF(INDEX(INDIRECT("'WCM Calibration Final'!$D$1:$D$2000"),'Calculations'!$EM196)="","",TRIM(INDEX(INDIRECT("'WCM Calibration Final'!$D$1:$D$2000"),'Calculations'!$EM196)&amp;"")),"")&lt;&gt;"","G:"&amp;IFERROR(TEXT(1*INDEX(INDIRECT("'WCM Calibration Final'!$D$1:$D$2000"),'Calculations'!$EM196),"0"),UPPER(IFERROR(IF(INDEX(INDIRECT("'WCM Calibration Final'!$D$1:$D$2000"),'Calculations'!$EM196)="","",TRIM(INDEX(INDIRECT("'WCM Calibration Final'!$D$1:$D$2000"),'Calculations'!$EM196)&amp;"")),""))),IF(IFERROR(IF(INDEX(INDIRECT("'WCM Calibration Final'!$E$1:$E$2000"),'Calculations'!$EM196)="","",TRIM(INDEX(INDIRECT("'WCM Calibration Final'!$E$1:$E$2000"),'Calculations'!$EM196)&amp;"")),"")="","",IF(COUNTIF('Calculations'!$HG$13:$HG$512,"="&amp;SUBSTITUTE(SUBSTITUTE(SUBSTITUTE(IFERROR(IF(INDEX(INDIRECT("'WCM Calibration Final'!$E$1:$E$2000"),'Calculations'!$EM196)="","",TRIM(INDEX(INDIRECT("'WCM Calibration Final'!$E$1:$E$2000"),'Calculations'!$EM196)&amp;"")),""),"~","~~"),"*","~*"),"?","~?"))=1,INDEX('Calculations'!$HE$13:$HE$512,MATCH(IFERROR(IF(INDEX(INDIRECT("'WCM Calibration Final'!$E$1:$E$2000"),'Calculations'!$EM196)="","",TRIM(INDEX(INDIRECT("'WCM Calibration Final'!$E$1:$E$2000"),'Calculations'!$EM196)&amp;"")),""),'Calculations'!$HG$13:$HG$512,0)),IF(COUNTIF('Calculations'!$HG$13:$HG$512,"="&amp;SUBSTITUTE(SUBSTITUTE(SUBSTITUTE(IFERROR(IF(INDEX(INDIRECT("'WCM Calibration Final'!$E$1:$E$2000"),'Calculations'!$EM196)="","",TRIM(INDEX(INDIRECT("'WCM Calibration Final'!$E$1:$E$2000"),'Calculations'!$EM196)&amp;"")),""),"~","~~"),"*","~*"),"?","~?"))&gt;1,"!AMBIG","X:"&amp;IFERROR(IF(INDEX(INDIRECT("'WCM Calibration Final'!$E$1:$E$2000"),'Calculations'!$EM196)="","",TRIM(INDEX(INDIRECT("'WCM Calibration Final'!$E$1:$E$2000"),'Calculations'!$EM196)&amp;"")),""))))))</x:f>
      </x:c>
      <x:c r="HG196" t="str">
        <x:f>IF('Calculations'!EM196="","",IFERROR(IF(INDEX(INDIRECT("'WCM Calibration Final'!$B$1:$B$2000"),'Calculations'!$EM196)="","",TRIM(INDEX(INDIRECT("'WCM Calibration Final'!$B$1:$B$2000"),'Calculations'!$EM196)&amp;"")),""))</x:f>
      </x:c>
      <x:c r="HH196" t="n">
        <x:f>IF(AND('Calculations'!JC196&gt;0,COUNTIF('Calculations'!$HF$12:HF196,"="&amp;SUBSTITUTE(SUBSTITUTE(SUBSTITUTE('Calculations'!HF196,"~","~~"),"*","~*"),"?","~?"))=1),MAX('Calculations'!$HH$12:HH195)+1,0)</x:f>
        <x:v>0</x:v>
      </x:c>
      <x:c r="HI196" t="n">
        <x:f>IF(AND('Calculations'!HN196&lt;&gt;"",COUNTIF('Calculations'!$HN$12:HN196,"="&amp;SUBSTITUTE(SUBSTITUTE(SUBSTITUTE('Calculations'!HN196,"~","~~"),"*","~*"),"?","~?"))=1),MAX('Calculations'!$HI$12:HI195)+1,0)</x:f>
        <x:v>0</x:v>
      </x:c>
      <x:c r="HJ196" t="str">
        <x:f>IF('Calculations'!HF196="","",IF(COUNTIF('Calculations'!$HE$13:$HE$512,"="&amp;SUBSTITUTE(SUBSTITUTE(SUBSTITUTE('Calculations'!HF196,"~","~~"),"*","~*"),"?","~?"))=1,INDEX('Calculations'!$HK$13:$HK$512,MATCH('Calculations'!HF196,'Calculations'!$HE$13:$HE$512,0)),IFERROR(IF(INDEX(INDIRECT("'WCM Calibration Final'!$E$1:$E$2000"),'Calculations'!$EM196)="","",TRIM(INDEX(INDIRECT("'WCM Calibration Final'!$E$1:$E$2000"),'Calculations'!$EM196)&amp;"")),"")&amp;" ["&amp;'Calculations'!HF196&amp;"]"))</x:f>
      </x:c>
      <x:c r="HK196" t="str">
        <x:f>IF('Calculations'!EM196="","",'Calculations'!HG196&amp;" ["&amp;'Calculations'!HE196&amp;"]")</x:f>
      </x:c>
      <x:c r="HL196" t="n">
        <x:f>IF('Calculations'!EM196="",0,IF(OR('Calculations'!II196&lt;&gt;"",COUNTIF('Calculations'!$HE$13:$HE$512,"="&amp;SUBSTITUTE(SUBSTITUTE(SUBSTITUTE('Calculations'!HE196,"~","~~"),"*","~*"),"?","~?"))&gt;1),1,0))</x:f>
        <x:v>0</x:v>
      </x:c>
      <x:c r="HM196" t="str">
        <x:f>IF('Calculations'!EM196="","",IF('Calculations'!HL196=1,"!UNRESOLVED",IF('Calculations'!IH196&lt;&gt;"",'Calculations'!IH196,IF('Calculations'!IG196&lt;&gt;"",'Calculations'!IG196,IF('Calculations'!IF196&lt;&gt;"",'Calculations'!IF196,IF('Calculations'!IE196&lt;&gt;"",'Calculations'!IE196,IF('Calculations'!ID196&lt;&gt;"",'Calculations'!ID196,IF('Calculations'!IC196&lt;&gt;"",'Calculations'!IC196,IF('Calculations'!IB196&lt;&gt;"",'Calculations'!IB196,IF('Calculations'!IA196&lt;&gt;"",'Calculations'!IA196,IF('Calculations'!HZ196&lt;&gt;"",'Calculations'!HZ196,IF('Calculations'!HY196&lt;&gt;"",'Calculations'!HY196,IF('Calculations'!HX196&lt;&gt;"",'Calculations'!HX196,IF('Calculations'!HW196&lt;&gt;"",'Calculations'!HW196,IF('Calculations'!HV196&lt;&gt;"",'Calculations'!HV196,IF('Calculations'!HU196&lt;&gt;"",'Calculations'!HU196,IF('Calculations'!HT196&lt;&gt;"",'Calculations'!HT196,IF('Calculations'!HS196&lt;&gt;"",'Calculations'!HS196,IF('Calculations'!HR196&lt;&gt;"",'Calculations'!HR196,IF('Calculations'!HQ196&lt;&gt;"",'Calculations'!HQ196,IF('Calculations'!HP196&lt;&gt;"",'Calculations'!HP196,IF('Calculations'!HO196&lt;&gt;"",'Calculations'!HO196,'Calculations'!HE196))))))))))))))))))))))</x:f>
      </x:c>
      <x:c r="HN196" t="str">
        <x:f>IF('Calculations'!EM196="","",IF(IFERROR(IF(INDEX(INDIRECT("'WCM Calibration Final'!$F$1:$F$2000"),'Calculations'!$EM196)="","",TRIM(INDEX(INDIRECT("'WCM Calibration Final'!$F$1:$F$2000"),'Calculations'!$EM196)&amp;"")),"")="","(Blank)",IFERROR(IF(INDEX(INDIRECT("'WCM Calibration Final'!$F$1:$F$2000"),'Calculations'!$EM196)="","",TRIM(INDEX(INDIRECT("'WCM Calibration Final'!$F$1:$F$2000"),'Calculations'!$EM196)&amp;"")),"")))</x:f>
      </x:c>
      <x:c r="HO196" t="str">
        <x:f>'Calculations'!HF196</x:f>
      </x:c>
      <x:c r="HP196" t="str">
        <x:f>IF('Calculations'!HO196="","",IF('Calculations'!HO196="!AMBIG","!AMBIG",IF(COUNTIF('Calculations'!$HE$13:$HE$512,"="&amp;SUBSTITUTE(SUBSTITUTE(SUBSTITUTE('Calculations'!HO196,"~","~~"),"*","~*"),"?","~?"))&gt;1,"!AMBIG",IFERROR(INDEX('Calculations'!$HF$13:$HF$512,MATCH('Calculations'!HO196,'Calculations'!$HE$13:$HE$512,0)),""))))</x:f>
      </x:c>
      <x:c r="HQ196" t="str">
        <x:f>IF('Calculations'!HP196="","",IF('Calculations'!HP196="!AMBIG","!AMBIG",IF(COUNTIF('Calculations'!$HE$13:$HE$512,"="&amp;SUBSTITUTE(SUBSTITUTE(SUBSTITUTE('Calculations'!HP196,"~","~~"),"*","~*"),"?","~?"))&gt;1,"!AMBIG",IFERROR(INDEX('Calculations'!$HF$13:$HF$512,MATCH('Calculations'!HP196,'Calculations'!$HE$13:$HE$512,0)),""))))</x:f>
      </x:c>
      <x:c r="HR196" t="str">
        <x:f>IF('Calculations'!HQ196="","",IF('Calculations'!HQ196="!AMBIG","!AMBIG",IF(COUNTIF('Calculations'!$HE$13:$HE$512,"="&amp;SUBSTITUTE(SUBSTITUTE(SUBSTITUTE('Calculations'!HQ196,"~","~~"),"*","~*"),"?","~?"))&gt;1,"!AMBIG",IFERROR(INDEX('Calculations'!$HF$13:$HF$512,MATCH('Calculations'!HQ196,'Calculations'!$HE$13:$HE$512,0)),""))))</x:f>
      </x:c>
      <x:c r="HS196" t="str">
        <x:f>IF('Calculations'!HR196="","",IF('Calculations'!HR196="!AMBIG","!AMBIG",IF(COUNTIF('Calculations'!$HE$13:$HE$512,"="&amp;SUBSTITUTE(SUBSTITUTE(SUBSTITUTE('Calculations'!HR196,"~","~~"),"*","~*"),"?","~?"))&gt;1,"!AMBIG",IFERROR(INDEX('Calculations'!$HF$13:$HF$512,MATCH('Calculations'!HR196,'Calculations'!$HE$13:$HE$512,0)),""))))</x:f>
      </x:c>
      <x:c r="HT196" t="str">
        <x:f>IF('Calculations'!HS196="","",IF('Calculations'!HS196="!AMBIG","!AMBIG",IF(COUNTIF('Calculations'!$HE$13:$HE$512,"="&amp;SUBSTITUTE(SUBSTITUTE(SUBSTITUTE('Calculations'!HS196,"~","~~"),"*","~*"),"?","~?"))&gt;1,"!AMBIG",IFERROR(INDEX('Calculations'!$HF$13:$HF$512,MATCH('Calculations'!HS196,'Calculations'!$HE$13:$HE$512,0)),""))))</x:f>
      </x:c>
      <x:c r="HU196" t="str">
        <x:f>IF('Calculations'!HT196="","",IF('Calculations'!HT196="!AMBIG","!AMBIG",IF(COUNTIF('Calculations'!$HE$13:$HE$512,"="&amp;SUBSTITUTE(SUBSTITUTE(SUBSTITUTE('Calculations'!HT196,"~","~~"),"*","~*"),"?","~?"))&gt;1,"!AMBIG",IFERROR(INDEX('Calculations'!$HF$13:$HF$512,MATCH('Calculations'!HT196,'Calculations'!$HE$13:$HE$512,0)),""))))</x:f>
      </x:c>
      <x:c r="HV196" t="str">
        <x:f>IF('Calculations'!HU196="","",IF('Calculations'!HU196="!AMBIG","!AMBIG",IF(COUNTIF('Calculations'!$HE$13:$HE$512,"="&amp;SUBSTITUTE(SUBSTITUTE(SUBSTITUTE('Calculations'!HU196,"~","~~"),"*","~*"),"?","~?"))&gt;1,"!AMBIG",IFERROR(INDEX('Calculations'!$HF$13:$HF$512,MATCH('Calculations'!HU196,'Calculations'!$HE$13:$HE$512,0)),""))))</x:f>
      </x:c>
      <x:c r="HW196" t="str">
        <x:f>IF('Calculations'!HV196="","",IF('Calculations'!HV196="!AMBIG","!AMBIG",IF(COUNTIF('Calculations'!$HE$13:$HE$512,"="&amp;SUBSTITUTE(SUBSTITUTE(SUBSTITUTE('Calculations'!HV196,"~","~~"),"*","~*"),"?","~?"))&gt;1,"!AMBIG",IFERROR(INDEX('Calculations'!$HF$13:$HF$512,MATCH('Calculations'!HV196,'Calculations'!$HE$13:$HE$512,0)),""))))</x:f>
      </x:c>
      <x:c r="HX196" t="str">
        <x:f>IF('Calculations'!HW196="","",IF('Calculations'!HW196="!AMBIG","!AMBIG",IF(COUNTIF('Calculations'!$HE$13:$HE$512,"="&amp;SUBSTITUTE(SUBSTITUTE(SUBSTITUTE('Calculations'!HW196,"~","~~"),"*","~*"),"?","~?"))&gt;1,"!AMBIG",IFERROR(INDEX('Calculations'!$HF$13:$HF$512,MATCH('Calculations'!HW196,'Calculations'!$HE$13:$HE$512,0)),""))))</x:f>
      </x:c>
      <x:c r="HY196" t="str">
        <x:f>IF('Calculations'!HX196="","",IF('Calculations'!HX196="!AMBIG","!AMBIG",IF(COUNTIF('Calculations'!$HE$13:$HE$512,"="&amp;SUBSTITUTE(SUBSTITUTE(SUBSTITUTE('Calculations'!HX196,"~","~~"),"*","~*"),"?","~?"))&gt;1,"!AMBIG",IFERROR(INDEX('Calculations'!$HF$13:$HF$512,MATCH('Calculations'!HX196,'Calculations'!$HE$13:$HE$512,0)),""))))</x:f>
      </x:c>
      <x:c r="HZ196" t="str">
        <x:f>IF('Calculations'!HY196="","",IF('Calculations'!HY196="!AMBIG","!AMBIG",IF(COUNTIF('Calculations'!$HE$13:$HE$512,"="&amp;SUBSTITUTE(SUBSTITUTE(SUBSTITUTE('Calculations'!HY196,"~","~~"),"*","~*"),"?","~?"))&gt;1,"!AMBIG",IFERROR(INDEX('Calculations'!$HF$13:$HF$512,MATCH('Calculations'!HY196,'Calculations'!$HE$13:$HE$512,0)),""))))</x:f>
      </x:c>
      <x:c r="IA196" t="str">
        <x:f>IF('Calculations'!HZ196="","",IF('Calculations'!HZ196="!AMBIG","!AMBIG",IF(COUNTIF('Calculations'!$HE$13:$HE$512,"="&amp;SUBSTITUTE(SUBSTITUTE(SUBSTITUTE('Calculations'!HZ196,"~","~~"),"*","~*"),"?","~?"))&gt;1,"!AMBIG",IFERROR(INDEX('Calculations'!$HF$13:$HF$512,MATCH('Calculations'!HZ196,'Calculations'!$HE$13:$HE$512,0)),""))))</x:f>
      </x:c>
      <x:c r="IB196" t="str">
        <x:f>IF('Calculations'!IA196="","",IF('Calculations'!IA196="!AMBIG","!AMBIG",IF(COUNTIF('Calculations'!$HE$13:$HE$512,"="&amp;SUBSTITUTE(SUBSTITUTE(SUBSTITUTE('Calculations'!IA196,"~","~~"),"*","~*"),"?","~?"))&gt;1,"!AMBIG",IFERROR(INDEX('Calculations'!$HF$13:$HF$512,MATCH('Calculations'!IA196,'Calculations'!$HE$13:$HE$512,0)),""))))</x:f>
      </x:c>
      <x:c r="IC196" t="str">
        <x:f>IF('Calculations'!IB196="","",IF('Calculations'!IB196="!AMBIG","!AMBIG",IF(COUNTIF('Calculations'!$HE$13:$HE$512,"="&amp;SUBSTITUTE(SUBSTITUTE(SUBSTITUTE('Calculations'!IB196,"~","~~"),"*","~*"),"?","~?"))&gt;1,"!AMBIG",IFERROR(INDEX('Calculations'!$HF$13:$HF$512,MATCH('Calculations'!IB196,'Calculations'!$HE$13:$HE$512,0)),""))))</x:f>
      </x:c>
      <x:c r="ID196" t="str">
        <x:f>IF('Calculations'!IC196="","",IF('Calculations'!IC196="!AMBIG","!AMBIG",IF(COUNTIF('Calculations'!$HE$13:$HE$512,"="&amp;SUBSTITUTE(SUBSTITUTE(SUBSTITUTE('Calculations'!IC196,"~","~~"),"*","~*"),"?","~?"))&gt;1,"!AMBIG",IFERROR(INDEX('Calculations'!$HF$13:$HF$512,MATCH('Calculations'!IC196,'Calculations'!$HE$13:$HE$512,0)),""))))</x:f>
      </x:c>
      <x:c r="IE196" t="str">
        <x:f>IF('Calculations'!ID196="","",IF('Calculations'!ID196="!AMBIG","!AMBIG",IF(COUNTIF('Calculations'!$HE$13:$HE$512,"="&amp;SUBSTITUTE(SUBSTITUTE(SUBSTITUTE('Calculations'!ID196,"~","~~"),"*","~*"),"?","~?"))&gt;1,"!AMBIG",IFERROR(INDEX('Calculations'!$HF$13:$HF$512,MATCH('Calculations'!ID196,'Calculations'!$HE$13:$HE$512,0)),""))))</x:f>
      </x:c>
      <x:c r="IF196" t="str">
        <x:f>IF('Calculations'!IE196="","",IF('Calculations'!IE196="!AMBIG","!AMBIG",IF(COUNTIF('Calculations'!$HE$13:$HE$512,"="&amp;SUBSTITUTE(SUBSTITUTE(SUBSTITUTE('Calculations'!IE196,"~","~~"),"*","~*"),"?","~?"))&gt;1,"!AMBIG",IFERROR(INDEX('Calculations'!$HF$13:$HF$512,MATCH('Calculations'!IE196,'Calculations'!$HE$13:$HE$512,0)),""))))</x:f>
      </x:c>
      <x:c r="IG196" t="str">
        <x:f>IF('Calculations'!IF196="","",IF('Calculations'!IF196="!AMBIG","!AMBIG",IF(COUNTIF('Calculations'!$HE$13:$HE$512,"="&amp;SUBSTITUTE(SUBSTITUTE(SUBSTITUTE('Calculations'!IF196,"~","~~"),"*","~*"),"?","~?"))&gt;1,"!AMBIG",IFERROR(INDEX('Calculations'!$HF$13:$HF$512,MATCH('Calculations'!IF196,'Calculations'!$HE$13:$HE$512,0)),""))))</x:f>
      </x:c>
      <x:c r="IH196" t="str">
        <x:f>IF('Calculations'!IG196="","",IF('Calculations'!IG196="!AMBIG","!AMBIG",IF(COUNTIF('Calculations'!$HE$13:$HE$512,"="&amp;SUBSTITUTE(SUBSTITUTE(SUBSTITUTE('Calculations'!IG196,"~","~~"),"*","~*"),"?","~?"))&gt;1,"!AMBIG",IFERROR(INDEX('Calculations'!$HF$13:$HF$512,MATCH('Calculations'!IG196,'Calculations'!$HE$13:$HE$512,0)),""))))</x:f>
      </x:c>
      <x:c r="II196" t="str">
        <x:f>IF('Calculations'!IH196="","",IF('Calculations'!IH196="!AMBIG","!AMBIG",IF(COUNTIF('Calculations'!$HE$13:$HE$512,"="&amp;SUBSTITUTE(SUBSTITUTE(SUBSTITUTE('Calculations'!IH196,"~","~~"),"*","~*"),"?","~?"))&gt;1,"!AMBIG",IFERROR(INDEX('Calculations'!$HF$13:$HF$512,MATCH('Calculations'!IH196,'Calculations'!$HE$13:$HE$512,0)),""))))</x:f>
      </x:c>
      <x:c r="IJ196" t="str">
        <x:f>IF('Calculations'!EM196="","",IF('Calculations'!$EF$2="All",'Calculations'!HM196,IF('Calculations'!HL196=1,"",IFERROR(IF(MATCH('Calculations'!$EF$2,'Calculations'!HO196:II196,0)=1,'Calculations'!HE196,INDEX('Calculations'!HO196:II196,1,MATCH('Calculations'!$EF$2,'Calculations'!HO196:II196,0)-1)),""))))</x:f>
      </x:c>
      <x:c r="IK196" t="n">
        <x:f>IF(AND('Calculations'!EM196&lt;&gt;"",'Calculations'!$EF$2&lt;&gt;"All",'Calculations'!HF196='Calculations'!$EF$2,'Calculations'!HL196=0,'Calculations'!JD196&gt;0),MAX('Calculations'!$IK$12:IK195)+1,0)</x:f>
        <x:v>0</x:v>
      </x:c>
      <x:c r="JA196" t="n">
        <x:f>IF(OR(IFERROR(INDIRECT("'WCM Calibration Final'!$A$196")&lt;&gt;"",FALSE),IFERROR(INDIRECT("'WCM Calibration Final'!$B$196")&lt;&gt;"",FALSE),IFERROR(INDIRECT("'WCM Calibration Final'!$C$196")&lt;&gt;"",FALSE)),196,0)</x:f>
        <x:v>0</x:v>
      </x:c>
      <x:c r="JB196" t="n">
        <x:f>'Calculations'!JB195+IF('Calculations'!JA196&gt;0,1,0)</x:f>
        <x:v>0</x:v>
      </x:c>
      <x:c r="JC196" t="n">
        <x:f>IF(OR('Calculations'!HF196="",'Calculations'!HF196="!AMBIG"),0,IF('Dashboard'!$B$7="All",1,COUNTIFS('Calculations'!$HO$13:$HO$512,"="&amp;SUBSTITUTE(SUBSTITUTE(SUBSTITUTE('Calculations'!HF196,"~","~~"),"*","~*"),"?","~?"),'Calculations'!$HN$13:$HN$512,"="&amp;SUBSTITUTE(SUBSTITUTE(SUBSTITUTE('Dashboard'!$B$7,"~","~~"),"*","~*"),"?","~?"))+COUNTIFS('Calculations'!$HP$13:$HP$512,"="&amp;SUBSTITUTE(SUBSTITUTE(SUBSTITUTE('Calculations'!HF196,"~","~~"),"*","~*"),"?","~?"),'Calculations'!$HN$13:$HN$512,"="&amp;SUBSTITUTE(SUBSTITUTE(SUBSTITUTE('Dashboard'!$B$7,"~","~~"),"*","~*"),"?","~?"))+COUNTIFS('Calculations'!$HQ$13:$HQ$512,"="&amp;SUBSTITUTE(SUBSTITUTE(SUBSTITUTE('Calculations'!HF196,"~","~~"),"*","~*"),"?","~?"),'Calculations'!$HN$13:$HN$512,"="&amp;SUBSTITUTE(SUBSTITUTE(SUBSTITUTE('Dashboard'!$B$7,"~","~~"),"*","~*"),"?","~?"))+COUNTIFS('Calculations'!$HR$13:$HR$512,"="&amp;SUBSTITUTE(SUBSTITUTE(SUBSTITUTE('Calculations'!HF196,"~","~~"),"*","~*"),"?","~?"),'Calculations'!$HN$13:$HN$512,"="&amp;SUBSTITUTE(SUBSTITUTE(SUBSTITUTE('Dashboard'!$B$7,"~","~~"),"*","~*"),"?","~?"))+COUNTIFS('Calculations'!$HS$13:$HS$512,"="&amp;SUBSTITUTE(SUBSTITUTE(SUBSTITUTE('Calculations'!HF196,"~","~~"),"*","~*"),"?","~?"),'Calculations'!$HN$13:$HN$512,"="&amp;SUBSTITUTE(SUBSTITUTE(SUBSTITUTE('Dashboard'!$B$7,"~","~~"),"*","~*"),"?","~?"))+COUNTIFS('Calculations'!$HT$13:$HT$512,"="&amp;SUBSTITUTE(SUBSTITUTE(SUBSTITUTE('Calculations'!HF196,"~","~~"),"*","~*"),"?","~?"),'Calculations'!$HN$13:$HN$512,"="&amp;SUBSTITUTE(SUBSTITUTE(SUBSTITUTE('Dashboard'!$B$7,"~","~~"),"*","~*"),"?","~?"))+COUNTIFS('Calculations'!$HU$13:$HU$512,"="&amp;SUBSTITUTE(SUBSTITUTE(SUBSTITUTE('Calculations'!HF196,"~","~~"),"*","~*"),"?","~?"),'Calculations'!$HN$13:$HN$512,"="&amp;SUBSTITUTE(SUBSTITUTE(SUBSTITUTE('Dashboard'!$B$7,"~","~~"),"*","~*"),"?","~?"))+COUNTIFS('Calculations'!$HV$13:$HV$512,"="&amp;SUBSTITUTE(SUBSTITUTE(SUBSTITUTE('Calculations'!HF196,"~","~~"),"*","~*"),"?","~?"),'Calculations'!$HN$13:$HN$512,"="&amp;SUBSTITUTE(SUBSTITUTE(SUBSTITUTE('Dashboard'!$B$7,"~","~~"),"*","~*"),"?","~?"))+COUNTIFS('Calculations'!$HW$13:$HW$512,"="&amp;SUBSTITUTE(SUBSTITUTE(SUBSTITUTE('Calculations'!HF196,"~","~~"),"*","~*"),"?","~?"),'Calculations'!$HN$13:$HN$512,"="&amp;SUBSTITUTE(SUBSTITUTE(SUBSTITUTE('Dashboard'!$B$7,"~","~~"),"*","~*"),"?","~?"))+COUNTIFS('Calculations'!$HX$13:$HX$512,"="&amp;SUBSTITUTE(SUBSTITUTE(SUBSTITUTE('Calculations'!HF196,"~","~~"),"*","~*"),"?","~?"),'Calculations'!$HN$13:$HN$512,"="&amp;SUBSTITUTE(SUBSTITUTE(SUBSTITUTE('Dashboard'!$B$7,"~","~~"),"*","~*"),"?","~?"))+COUNTIFS('Calculations'!$HY$13:$HY$512,"="&amp;SUBSTITUTE(SUBSTITUTE(SUBSTITUTE('Calculations'!HF196,"~","~~"),"*","~*"),"?","~?"),'Calculations'!$HN$13:$HN$512,"="&amp;SUBSTITUTE(SUBSTITUTE(SUBSTITUTE('Dashboard'!$B$7,"~","~~"),"*","~*"),"?","~?"))+COUNTIFS('Calculations'!$HZ$13:$HZ$512,"="&amp;SUBSTITUTE(SUBSTITUTE(SUBSTITUTE('Calculations'!HF196,"~","~~"),"*","~*"),"?","~?"),'Calculations'!$HN$13:$HN$512,"="&amp;SUBSTITUTE(SUBSTITUTE(SUBSTITUTE('Dashboard'!$B$7,"~","~~"),"*","~*"),"?","~?"))+COUNTIFS('Calculations'!$IA$13:$IA$512,"="&amp;SUBSTITUTE(SUBSTITUTE(SUBSTITUTE('Calculations'!HF196,"~","~~"),"*","~*"),"?","~?"),'Calculations'!$HN$13:$HN$512,"="&amp;SUBSTITUTE(SUBSTITUTE(SUBSTITUTE('Dashboard'!$B$7,"~","~~"),"*","~*"),"?","~?"))+COUNTIFS('Calculations'!$IB$13:$IB$512,"="&amp;SUBSTITUTE(SUBSTITUTE(SUBSTITUTE('Calculations'!HF196,"~","~~"),"*","~*"),"?","~?"),'Calculations'!$HN$13:$HN$512,"="&amp;SUBSTITUTE(SUBSTITUTE(SUBSTITUTE('Dashboard'!$B$7,"~","~~"),"*","~*"),"?","~?"))+COUNTIFS('Calculations'!$IC$13:$IC$512,"="&amp;SUBSTITUTE(SUBSTITUTE(SUBSTITUTE('Calculations'!HF196,"~","~~"),"*","~*"),"?","~?"),'Calculations'!$HN$13:$HN$512,"="&amp;SUBSTITUTE(SUBSTITUTE(SUBSTITUTE('Dashboard'!$B$7,"~","~~"),"*","~*"),"?","~?"))+COUNTIFS('Calculations'!$ID$13:$ID$512,"="&amp;SUBSTITUTE(SUBSTITUTE(SUBSTITUTE('Calculations'!HF196,"~","~~"),"*","~*"),"?","~?"),'Calculations'!$HN$13:$HN$512,"="&amp;SUBSTITUTE(SUBSTITUTE(SUBSTITUTE('Dashboard'!$B$7,"~","~~"),"*","~*"),"?","~?"))+COUNTIFS('Calculations'!$IE$13:$IE$512,"="&amp;SUBSTITUTE(SUBSTITUTE(SUBSTITUTE('Calculations'!HF196,"~","~~"),"*","~*"),"?","~?"),'Calculations'!$HN$13:$HN$512,"="&amp;SUBSTITUTE(SUBSTITUTE(SUBSTITUTE('Dashboard'!$B$7,"~","~~"),"*","~*"),"?","~?"))+COUNTIFS('Calculations'!$IF$13:$IF$512,"="&amp;SUBSTITUTE(SUBSTITUTE(SUBSTITUTE('Calculations'!HF196,"~","~~"),"*","~*"),"?","~?"),'Calculations'!$HN$13:$HN$512,"="&amp;SUBSTITUTE(SUBSTITUTE(SUBSTITUTE('Dashboard'!$B$7,"~","~~"),"*","~*"),"?","~?"))+COUNTIFS('Calculations'!$IG$13:$IG$512,"="&amp;SUBSTITUTE(SUBSTITUTE(SUBSTITUTE('Calculations'!HF196,"~","~~"),"*","~*"),"?","~?"),'Calculations'!$HN$13:$HN$512,"="&amp;SUBSTITUTE(SUBSTITUTE(SUBSTITUTE('Dashboard'!$B$7,"~","~~"),"*","~*"),"?","~?"))+COUNTIFS('Calculations'!$IH$13:$IH$512,"="&amp;SUBSTITUTE(SUBSTITUTE(SUBSTITUTE('Calculations'!HF196,"~","~~"),"*","~*"),"?","~?"),'Calculations'!$HN$13:$HN$512,"="&amp;SUBSTITUTE(SUBSTITUTE(SUBSTITUTE('Dashboard'!$B$7,"~","~~"),"*","~*"),"?","~?"))))</x:f>
        <x:v>0</x:v>
      </x:c>
      <x:c r="JD196" t="n">
        <x:f>IF('Calculations'!EM196="",0,IF('Dashboard'!$B$7="All",1,IF('Calculations'!HN196='Dashboard'!$B$7,1,0)+IFERROR(INDEX('Calculations'!$JC$13:$JC$512,MATCH('Calculations'!HE196,'Calculations'!$HF$13:$HF$512,0)),0)))</x:f>
        <x:v>0</x:v>
      </x:c>
      <x:c r="JE196" t="n">
        <x:f>IF(AND('Calculations'!EM196&lt;&gt;"",'Calculations'!$JJ$2&lt;&gt;"All",'Calculations'!$JJ$2&lt;&gt;"",'Calculations'!HF196='Calculations'!$JJ$2,'Calculations'!HL196=0,'Calculations'!JD196&gt;0),MAX('Calculations'!$JE$12:JE195)+1,0)</x:f>
        <x:v>0</x:v>
      </x:c>
      <x:c r="JF196" t="str">
        <x:f>IF('Calculations'!EM196="","",IFERROR(IF(INDEX(INDIRECT("'WCM Calibration Final'!$G$1:$G$2000"),'Calculations'!$EM196)="","",TRIM(INDEX(INDIRECT("'WCM Calibration Final'!$G$1:$G$2000"),'Calculations'!$EM196)&amp;"")),""))</x:f>
      </x:c>
      <x:c r="JQ196" t="n">
        <x:f>IF(OR('Calculations'!BM196=0,NOT('Calculations'!$AG$2),'Calculations'!$AG$8&gt;0),0,IF(OR('Dashboard'!$B$7="All",'Calculations'!HN196='Dashboard'!$B$7),IF('Calculations'!$JJ$2="All",1,IF(AND('Calculations'!HF196='Calculations'!$JJ$2,'Calculations'!HL196=0),1,0)),0))</x:f>
        <x:v>0</x:v>
      </x:c>
    </x:row>
    <x:row r="197">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t="n">
        <x:f>IF('Calculations'!$EM197="",0,IF(OR(IFERROR(INDEX(INDIRECT("'WCM Calibration Final'!$A$1:$A$2000"),'Calculations'!$EM197)&lt;&gt;"",FALSE),IFERROR(INDEX(INDIRECT("'WCM Calibration Final'!$B$1:$B$2000"),'Calculations'!$EM197)&lt;&gt;"",FALSE),IFERROR(INDEX(INDIRECT("'WCM Calibration Final'!$C$1:$C$2000"),'Calculations'!$EM197)&lt;&gt;"",FALSE)),1,0))</x:f>
        <x:v>0</x:v>
      </x:c>
      <x:c r="BN197" s="4" t="n">
        <x:f>IF(AND('Calculations'!BM197=1,'Calculations'!$AG$2,'Calculations'!$EN197=1),1,0)</x:f>
        <x:v>0</x:v>
      </x:c>
      <x:c r="BO197" s="4" t="str">
        <x:f>IF('Calculations'!BM197=0,"",IFERROR(IF(AND(VALUE(INDEX(INDIRECT("'WCM Calibration Final'!$K$1:$K$2000"),'Calculations'!$EM197))&gt;=1,VALUE(INDEX(INDIRECT("'WCM Calibration Final'!$K$1:$K$2000"),'Calculations'!$EM197))&lt;=4,MOD(VALUE(INDEX(INDIRECT("'WCM Calibration Final'!$K$1:$K$2000"),'Calculations'!$EM197)),1)=0),VALUE(INDEX(INDIRECT("'WCM Calibration Final'!$K$1:$K$2000"),'Calculations'!$EM197)),""),""))</x:f>
      </x:c>
      <x:c r="BP197" s="4" t="str">
        <x:f>IF('Calculations'!BM197=0,"",IFERROR(IF(AND(VALUE(INDEX(INDIRECT("'WCM Calibration Final'!$L$1:$L$2000"),'Calculations'!$EM197))&gt;=1,VALUE(INDEX(INDIRECT("'WCM Calibration Final'!$L$1:$L$2000"),'Calculations'!$EM197))&lt;=4,MOD(VALUE(INDEX(INDIRECT("'WCM Calibration Final'!$L$1:$L$2000"),'Calculations'!$EM197)),1)=0),VALUE(INDEX(INDIRECT("'WCM Calibration Final'!$L$1:$L$2000"),'Calculations'!$EM197)),""),""))</x:f>
      </x:c>
      <x:c r="BQ197" s="4"/>
      <x:c r="BR197" s="4"/>
      <x:c r="BS197" s="4"/>
      <x:c r="BT197" s="4" t="n">
        <x:f>IF(AND('Calculations'!BM197=1,ISNUMBER('Calculations'!BO197),ISNUMBER('Calculations'!BP197)),1,0)</x:f>
        <x:v>0</x:v>
      </x:c>
      <x:c r="BU197" s="4" t="str">
        <x:f>IF('Calculations'!BM197=0,"",'Calculations'!$EO197)</x:f>
      </x:c>
      <x:c r="BV197" s="4" t="str">
        <x:f>IF('Calculations'!BM197=0,"",IFERROR(IF(OR(INDEX(INDIRECT("'WCM Calibration Final'!$H$1:$H$2000"),'Calculations'!$EM197)="MANAGING DIRECTOR",INDEX(INDIRECT("'WCM Calibration Final'!$H$1:$H$2000"),'Calculations'!$EM197)="DIRECTOR",INDEX(INDIRECT("'WCM Calibration Final'!$H$1:$H$2000"),'Calculations'!$EM197)="SENIOR VICE PRESIDENT",INDEX(INDIRECT("'WCM Calibration Final'!$H$1:$H$2000"),'Calculations'!$EM197)="VICE PRESIDENT",INDEX(INDIRECT("'WCM Calibration Final'!$H$1:$H$2000"),'Calculations'!$EM197)="ASSISTANT VICE PRESIDENT",INDEX(INDIRECT("'WCM Calibration Final'!$H$1:$H$2000"),'Calculations'!$EM197)="OFFICER"),UPPER(INDEX(INDIRECT("'WCM Calibration Final'!$H$1:$H$2000"),'Calculations'!$EM197)),"Other"),"Other"))</x:f>
      </x:c>
      <x:c r="BW197" s="4"/>
      <x:c r="BX197" s="4"/>
      <x:c r="BY197" s="4" t="n">
        <x:f>IF(AND('Calculations'!BM197=1,'Calculations'!BU197&lt;&gt;"",COUNTIF('Calculations'!$BU$12:BU197,'Calculations'!BU197)=1),MAX('Calculations'!$BY$11:BY196)+1,0)</x:f>
        <x:v>0</x:v>
      </x:c>
      <x:c r="BZ197" s="4" t="str">
        <x:f>IF('Dashboard'!$E$67="What",'Calculations'!BO197,'Calculations'!BP197)</x:f>
      </x:c>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t="str">
        <x:f>IF(186&gt;MAX('Calculations'!$HI$13:$HI$512),"",INDEX('Calculations'!$HN$13:$HN$512,MATCH(186,'Calculations'!$HI$13:$HI$512,0)))</x:f>
      </x:c>
      <x:c r="DB197" s="4" t="str">
        <x:f>IF(186&gt;MAX('Calculations'!$HH$13:$HH$512),"",INDEX('Calculations'!$HJ$13:$HJ$512,MATCH(186,'Calculations'!$HH$13:$HH$512,0)))</x:f>
      </x:c>
      <x:c r="DC197" s="4" t="str">
        <x:f>IF(ROW()-11&gt;MAX('Calculations'!$BY$13:$BY$512),"",INDEX('Calculations'!$BU$13:$BU$512,MATCH(ROW()-11,'Calculations'!$BY$13:$BY$512,0)))</x:f>
      </x:c>
      <x:c r="DD197" s="4" t="str">
        <x:f>IF(186&gt;MAX('Calculations'!$IK$13:$IK$512),"",INDEX('Calculations'!$HK$13:$HK$512,MATCH(186,'Calculations'!$IK$13:$IK$512,0)))</x:f>
      </x:c>
      <x:c r="DE197" s="4" t="str">
        <x:f>'Calculations'!DC197</x:f>
      </x:c>
      <x:c r="DF197" s="4" t="str">
        <x:f>IF('Calculations'!DE197="","",COUNTIFS('Calculations'!$BN$13:$BN$512,1,'Calculations'!$BU$13:$BU$512,'Calculations'!DE197))</x:f>
      </x:c>
      <x:c r="DG197" s="4" t="str">
        <x:f>IF('Calculations'!DE197="","",COUNTIFS('Calculations'!$BN$13:$BN$512,1,'Calculations'!$BU$13:$BU$512,'Calculations'!DE197,'Calculations'!$BT$13:$BT$512,1))</x:f>
      </x:c>
      <x:c r="DH197" s="4" t="str">
        <x:f>IF('Calculations'!DE197="","",'Calculations'!DF197-'Calculations'!DG197)</x:f>
      </x:c>
      <x:c r="DI197" s="4" t="str">
        <x:f>IF(OR('Calculations'!DE197="",'Calculations'!DF197=0),"",'Calculations'!DG197/'Calculations'!DF197)</x:f>
      </x:c>
      <x:c r="DJ197" s="4" t="str">
        <x:f>IF('Calculations'!DE197="","",COUNTIFS('Calculations'!$BN$13:$BN$512,1,'Calculations'!$BU$13:$BU$512,'Calculations'!DE197,'Calculations'!$BT$13:$BT$512,1,'Calculations'!$EE$13:$EE$512,"High"))</x:f>
      </x:c>
      <x:c r="DK197" s="4" t="str">
        <x:f>IF('Calculations'!DE197="","",COUNTIFS('Calculations'!$BN$13:$BN$512,1,'Calculations'!$BU$13:$BU$512,'Calculations'!DE197,'Calculations'!$BT$13:$BT$512,1,'Calculations'!$EE$13:$EE$512,"Strong"))</x:f>
      </x:c>
      <x:c r="DL197" s="4" t="str">
        <x:f>IF('Calculations'!DE197="","",COUNTIFS('Calculations'!$BN$13:$BN$512,1,'Calculations'!$BU$13:$BU$512,'Calculations'!DE197,'Calculations'!$BT$13:$BT$512,1,'Calculations'!$EE$13:$EE$512,"Solid"))</x:f>
      </x:c>
      <x:c r="DM197" s="4" t="str">
        <x:f>IF('Calculations'!DE197="","",COUNTIFS('Calculations'!$BN$13:$BN$512,1,'Calculations'!$BU$13:$BU$512,'Calculations'!DE197,'Calculations'!$BT$13:$BT$512,1,'Calculations'!$EE$13:$EE$512,"Low"))</x:f>
      </x:c>
      <x:c r="DN197" s="4" t="str">
        <x:f>IF('Calculations'!DE197="","",COUNTIFS('Calculations'!$BN$13:$BN$512,1,'Calculations'!$BU$13:$BU$512,'Calculations'!DE197,'Calculations'!$EP$13:$EP$512,1))</x:f>
      </x:c>
      <x:c r="DO197" s="4" t="str">
        <x:f>IF(OR('Calculations'!DE197="",'Calculations'!DG197=0),"",('Calculations'!DJ197+'Calculations'!DK197)/'Calculations'!DG197)</x:f>
      </x:c>
      <x:c r="DP197" s="4" t="n">
        <x:f>IF(AND('Calculations'!DE197&lt;&gt;"",'Calculations'!DF197&gt;0),COUNTIF('Calculations'!$DF$12:DF197,"&gt;0"),0)</x:f>
        <x:v>0</x:v>
      </x:c>
      <x:c r="DQ197" s="4" t="str">
        <x:f>IF(186&gt;MAX('Calculations'!$HH$13:$HH$512),"",INDEX('Calculations'!$HF$13:$HF$512,MATCH(186,'Calculations'!$HH$13:$HH$512,0)))</x:f>
      </x:c>
      <x:c r="DR197" s="4" t="str">
        <x:f>IF(186&gt;MAX('Calculations'!$IK$13:$IK$512),"",INDEX('Calculations'!$HE$13:$HE$512,MATCH(186,'Calculations'!$IK$13:$IK$512,0)))</x:f>
      </x:c>
      <x:c r="DS197" s="4"/>
      <x:c r="DT197" s="4"/>
      <x:c r="DU197" s="4"/>
      <x:c r="DV197" s="4"/>
      <x:c r="DW197" s="4"/>
      <x:c r="DX197" s="4"/>
      <x:c r="DY197" s="4"/>
      <x:c r="DZ197" s="4"/>
      <x:c r="EA197" s="4"/>
      <x:c r="EB197" s="4"/>
      <x:c r="EC197" s="4"/>
      <x:c r="ED197" s="4"/>
      <x:c r="EE197" s="4" t="str">
        <x:f>IF('Calculations'!BT197=0,"Not Rated",IF(OR('Calculations'!BO197&gt;=4,'Calculations'!BP197&gt;=4),"Low",IF('Calculations'!BO197+'Calculations'!BP197&lt;=3,"High",IF('Calculations'!BO197+'Calculations'!BP197&lt;=4,"Strong","Solid"))))</x:f>
        <x:v>Not Rated</x:v>
      </x:c>
      <x:c r="EF197" s="4"/>
      <x:c r="EG197" s="4"/>
      <x:c r="EH197" s="4"/>
      <x:c r="EI197" s="4"/>
      <x:c r="EJ197" s="4"/>
      <x:c r="EK197" s="4"/>
      <x:c r="EL197" s="4"/>
      <x:c r="EM197" s="4" t="str">
        <x:f>IF(185&gt;'Calculations'!$JB$2000,"",INDEX('Calculations'!$JA$12:$JA$2000,MATCH(185,'Calculations'!$JB$12:$JB$2000,0)))</x:f>
      </x:c>
      <x:c r="EN197" s="4" t="n">
        <x:f>IF(OR('Calculations'!EM197="",'Calculations'!$AG$8&gt;0,AND('Calculations'!$EF$2&lt;&gt;"All",'Calculations'!HE197='Calculations'!$EF$2),AND('Calculations'!$EF$3&lt;&gt;"All",'Calculations'!HE197='Calculations'!$EF$3)),0,IF(OR('Dashboard'!$B$7="All",'Calculations'!HN197='Dashboard'!$B$7),IF('Calculations'!$EF$2="All",1,IF('Calculations'!HL197&gt;0,0,IF(COUNTIF('Calculations'!HO197:II197,"="&amp;SUBSTITUTE(SUBSTITUTE(SUBSTITUTE('Calculations'!$EF$2,"~","~~"),"*","~*"),"?","~?"))=0,0,IF('Calculations'!$EF$3="All",1,IF(COUNTIF('Calculations'!HO197:II197,"="&amp;SUBSTITUTE(SUBSTITUTE(SUBSTITUTE('Calculations'!$EF$3,"~","~~"),"*","~*"),"?","~?"))&gt;0,1,0))))),0))</x:f>
        <x:v>0</x:v>
      </x:c>
      <x:c r="EO197" s="4" t="str">
        <x:f>IF('Calculations'!IJ197="","",IF('Calculations'!IJ197="!UNRESOLVED","Unresolved hierarchy",IFERROR(INDEX('Calculations'!$HK$13:$HK$512,MATCH('Calculations'!IJ197,'Calculations'!$HE$13:$HE$512,0)),IFERROR(INDEX('Calculations'!$HJ$13:$HJ$512,MATCH('Calculations'!IJ197,'Calculations'!$HF$13:$HF$512,0)),'Calculations'!IJ197))))</x:f>
      </x:c>
      <x:c r="EP197" s="4" t="n">
        <x:f>IF(AND('Calculations'!EM197&lt;&gt;"",'Calculations'!HF197='Calculations'!IJ197),1,0)</x:f>
        <x:v>0</x:v>
      </x:c>
      <x:c r="EQ197" s="4"/>
      <x:c r="ER197" s="4"/>
      <x:c r="ES197" s="4"/>
      <x:c r="ET197" s="4"/>
      <x:c r="EU197" s="4"/>
      <x:c r="EV197" s="4"/>
      <x:c r="EW197" s="4"/>
      <x:c r="EX197" s="4"/>
      <x:c r="EY197" s="4"/>
      <x:c r="EZ197" s="4"/>
      <x:c r="FA197" s="4"/>
      <x:c r="FB197" s="4"/>
      <x:c r="FC197" s="4"/>
      <x:c r="FD197" s="4"/>
      <x:c r="FE197" s="4"/>
      <x:c r="FF197" s="4"/>
      <x:c r="FG197" s="4"/>
      <x:c r="FH197" s="4"/>
      <x:c r="FI197" s="4"/>
      <x:c r="FJ197" s="4"/>
      <x:c r="FK197" s="4"/>
      <x:c r="FL197" s="4"/>
      <x:c r="FM197" s="4"/>
      <x:c r="FN197" s="4"/>
      <x:c r="FO197" s="4"/>
      <x:c r="GA197" s="71"/>
      <x:c r="GB197" s="71"/>
      <x:c r="GC197" s="71"/>
      <x:c r="GD197" s="71"/>
      <x:c r="GE197" s="71"/>
      <x:c r="GF197" s="71"/>
      <x:c r="GG197" s="71"/>
      <x:c r="GH197" s="71"/>
      <x:c r="GI197" s="71"/>
      <x:c r="GJ197" s="71"/>
      <x:c r="GK197" s="71"/>
      <x:c r="GL197" s="71"/>
      <x:c r="GM197" s="71"/>
      <x:c r="GN197" s="71"/>
      <x:c r="GO197" s="71"/>
      <x:c r="GP197" s="71"/>
      <x:c r="GQ197" s="71"/>
      <x:c r="GR197" s="71"/>
      <x:c r="GS197" s="71"/>
      <x:c r="GT197" s="71"/>
      <x:c r="GU197" s="71"/>
      <x:c r="GV197" s="71"/>
      <x:c r="GW197" s="71"/>
      <x:c r="GX197" s="71"/>
      <x:c r="GY197" s="71"/>
      <x:c r="GZ197" s="71"/>
      <x:c r="HA197" s="71"/>
      <x:c r="HB197" s="71"/>
      <x:c r="HC197" s="71"/>
      <x:c r="HD197" s="71"/>
      <x:c r="HE197" t="str">
        <x:f>IF('Calculations'!EM197="","",IF(IFERROR(IF(INDEX(INDIRECT("'WCM Calibration Final'!$A$1:$A$2000"),'Calculations'!$EM197)="","",TRIM(INDEX(INDIRECT("'WCM Calibration Final'!$A$1:$A$2000"),'Calculations'!$EM197)&amp;"")),"")&lt;&gt;"","G:"&amp;IFERROR(TEXT(1*INDEX(INDIRECT("'WCM Calibration Final'!$A$1:$A$2000"),'Calculations'!$EM197),"0"),UPPER(IFERROR(IF(INDEX(INDIRECT("'WCM Calibration Final'!$A$1:$A$2000"),'Calculations'!$EM197)="","",TRIM(INDEX(INDIRECT("'WCM Calibration Final'!$A$1:$A$2000"),'Calculations'!$EM197)&amp;"")),""))),IF(IFERROR(IF(INDEX(INDIRECT("'WCM Calibration Final'!$C$1:$C$2000"),'Calculations'!$EM197)="","",TRIM(INDEX(INDIRECT("'WCM Calibration Final'!$C$1:$C$2000"),'Calculations'!$EM197)&amp;"")),"")&lt;&gt;"","S:"&amp;UPPER(IFERROR(IF(INDEX(INDIRECT("'WCM Calibration Final'!$C$1:$C$2000"),'Calculations'!$EM197)="","",TRIM(INDEX(INDIRECT("'WCM Calibration Final'!$C$1:$C$2000"),'Calculations'!$EM197)&amp;"")),"")),"R:"&amp;'Calculations'!EM197)))</x:f>
      </x:c>
      <x:c r="HF197" t="str">
        <x:f>IF('Calculations'!EM197="","",IF(IFERROR(IF(INDEX(INDIRECT("'WCM Calibration Final'!$D$1:$D$2000"),'Calculations'!$EM197)="","",TRIM(INDEX(INDIRECT("'WCM Calibration Final'!$D$1:$D$2000"),'Calculations'!$EM197)&amp;"")),"")&lt;&gt;"","G:"&amp;IFERROR(TEXT(1*INDEX(INDIRECT("'WCM Calibration Final'!$D$1:$D$2000"),'Calculations'!$EM197),"0"),UPPER(IFERROR(IF(INDEX(INDIRECT("'WCM Calibration Final'!$D$1:$D$2000"),'Calculations'!$EM197)="","",TRIM(INDEX(INDIRECT("'WCM Calibration Final'!$D$1:$D$2000"),'Calculations'!$EM197)&amp;"")),""))),IF(IFERROR(IF(INDEX(INDIRECT("'WCM Calibration Final'!$E$1:$E$2000"),'Calculations'!$EM197)="","",TRIM(INDEX(INDIRECT("'WCM Calibration Final'!$E$1:$E$2000"),'Calculations'!$EM197)&amp;"")),"")="","",IF(COUNTIF('Calculations'!$HG$13:$HG$512,"="&amp;SUBSTITUTE(SUBSTITUTE(SUBSTITUTE(IFERROR(IF(INDEX(INDIRECT("'WCM Calibration Final'!$E$1:$E$2000"),'Calculations'!$EM197)="","",TRIM(INDEX(INDIRECT("'WCM Calibration Final'!$E$1:$E$2000"),'Calculations'!$EM197)&amp;"")),""),"~","~~"),"*","~*"),"?","~?"))=1,INDEX('Calculations'!$HE$13:$HE$512,MATCH(IFERROR(IF(INDEX(INDIRECT("'WCM Calibration Final'!$E$1:$E$2000"),'Calculations'!$EM197)="","",TRIM(INDEX(INDIRECT("'WCM Calibration Final'!$E$1:$E$2000"),'Calculations'!$EM197)&amp;"")),""),'Calculations'!$HG$13:$HG$512,0)),IF(COUNTIF('Calculations'!$HG$13:$HG$512,"="&amp;SUBSTITUTE(SUBSTITUTE(SUBSTITUTE(IFERROR(IF(INDEX(INDIRECT("'WCM Calibration Final'!$E$1:$E$2000"),'Calculations'!$EM197)="","",TRIM(INDEX(INDIRECT("'WCM Calibration Final'!$E$1:$E$2000"),'Calculations'!$EM197)&amp;"")),""),"~","~~"),"*","~*"),"?","~?"))&gt;1,"!AMBIG","X:"&amp;IFERROR(IF(INDEX(INDIRECT("'WCM Calibration Final'!$E$1:$E$2000"),'Calculations'!$EM197)="","",TRIM(INDEX(INDIRECT("'WCM Calibration Final'!$E$1:$E$2000"),'Calculations'!$EM197)&amp;"")),""))))))</x:f>
      </x:c>
      <x:c r="HG197" t="str">
        <x:f>IF('Calculations'!EM197="","",IFERROR(IF(INDEX(INDIRECT("'WCM Calibration Final'!$B$1:$B$2000"),'Calculations'!$EM197)="","",TRIM(INDEX(INDIRECT("'WCM Calibration Final'!$B$1:$B$2000"),'Calculations'!$EM197)&amp;"")),""))</x:f>
      </x:c>
      <x:c r="HH197" t="n">
        <x:f>IF(AND('Calculations'!JC197&gt;0,COUNTIF('Calculations'!$HF$12:HF197,"="&amp;SUBSTITUTE(SUBSTITUTE(SUBSTITUTE('Calculations'!HF197,"~","~~"),"*","~*"),"?","~?"))=1),MAX('Calculations'!$HH$12:HH196)+1,0)</x:f>
        <x:v>0</x:v>
      </x:c>
      <x:c r="HI197" t="n">
        <x:f>IF(AND('Calculations'!HN197&lt;&gt;"",COUNTIF('Calculations'!$HN$12:HN197,"="&amp;SUBSTITUTE(SUBSTITUTE(SUBSTITUTE('Calculations'!HN197,"~","~~"),"*","~*"),"?","~?"))=1),MAX('Calculations'!$HI$12:HI196)+1,0)</x:f>
        <x:v>0</x:v>
      </x:c>
      <x:c r="HJ197" t="str">
        <x:f>IF('Calculations'!HF197="","",IF(COUNTIF('Calculations'!$HE$13:$HE$512,"="&amp;SUBSTITUTE(SUBSTITUTE(SUBSTITUTE('Calculations'!HF197,"~","~~"),"*","~*"),"?","~?"))=1,INDEX('Calculations'!$HK$13:$HK$512,MATCH('Calculations'!HF197,'Calculations'!$HE$13:$HE$512,0)),IFERROR(IF(INDEX(INDIRECT("'WCM Calibration Final'!$E$1:$E$2000"),'Calculations'!$EM197)="","",TRIM(INDEX(INDIRECT("'WCM Calibration Final'!$E$1:$E$2000"),'Calculations'!$EM197)&amp;"")),"")&amp;" ["&amp;'Calculations'!HF197&amp;"]"))</x:f>
      </x:c>
      <x:c r="HK197" t="str">
        <x:f>IF('Calculations'!EM197="","",'Calculations'!HG197&amp;" ["&amp;'Calculations'!HE197&amp;"]")</x:f>
      </x:c>
      <x:c r="HL197" t="n">
        <x:f>IF('Calculations'!EM197="",0,IF(OR('Calculations'!II197&lt;&gt;"",COUNTIF('Calculations'!$HE$13:$HE$512,"="&amp;SUBSTITUTE(SUBSTITUTE(SUBSTITUTE('Calculations'!HE197,"~","~~"),"*","~*"),"?","~?"))&gt;1),1,0))</x:f>
        <x:v>0</x:v>
      </x:c>
      <x:c r="HM197" t="str">
        <x:f>IF('Calculations'!EM197="","",IF('Calculations'!HL197=1,"!UNRESOLVED",IF('Calculations'!IH197&lt;&gt;"",'Calculations'!IH197,IF('Calculations'!IG197&lt;&gt;"",'Calculations'!IG197,IF('Calculations'!IF197&lt;&gt;"",'Calculations'!IF197,IF('Calculations'!IE197&lt;&gt;"",'Calculations'!IE197,IF('Calculations'!ID197&lt;&gt;"",'Calculations'!ID197,IF('Calculations'!IC197&lt;&gt;"",'Calculations'!IC197,IF('Calculations'!IB197&lt;&gt;"",'Calculations'!IB197,IF('Calculations'!IA197&lt;&gt;"",'Calculations'!IA197,IF('Calculations'!HZ197&lt;&gt;"",'Calculations'!HZ197,IF('Calculations'!HY197&lt;&gt;"",'Calculations'!HY197,IF('Calculations'!HX197&lt;&gt;"",'Calculations'!HX197,IF('Calculations'!HW197&lt;&gt;"",'Calculations'!HW197,IF('Calculations'!HV197&lt;&gt;"",'Calculations'!HV197,IF('Calculations'!HU197&lt;&gt;"",'Calculations'!HU197,IF('Calculations'!HT197&lt;&gt;"",'Calculations'!HT197,IF('Calculations'!HS197&lt;&gt;"",'Calculations'!HS197,IF('Calculations'!HR197&lt;&gt;"",'Calculations'!HR197,IF('Calculations'!HQ197&lt;&gt;"",'Calculations'!HQ197,IF('Calculations'!HP197&lt;&gt;"",'Calculations'!HP197,IF('Calculations'!HO197&lt;&gt;"",'Calculations'!HO197,'Calculations'!HE197))))))))))))))))))))))</x:f>
      </x:c>
      <x:c r="HN197" t="str">
        <x:f>IF('Calculations'!EM197="","",IF(IFERROR(IF(INDEX(INDIRECT("'WCM Calibration Final'!$F$1:$F$2000"),'Calculations'!$EM197)="","",TRIM(INDEX(INDIRECT("'WCM Calibration Final'!$F$1:$F$2000"),'Calculations'!$EM197)&amp;"")),"")="","(Blank)",IFERROR(IF(INDEX(INDIRECT("'WCM Calibration Final'!$F$1:$F$2000"),'Calculations'!$EM197)="","",TRIM(INDEX(INDIRECT("'WCM Calibration Final'!$F$1:$F$2000"),'Calculations'!$EM197)&amp;"")),"")))</x:f>
      </x:c>
      <x:c r="HO197" t="str">
        <x:f>'Calculations'!HF197</x:f>
      </x:c>
      <x:c r="HP197" t="str">
        <x:f>IF('Calculations'!HO197="","",IF('Calculations'!HO197="!AMBIG","!AMBIG",IF(COUNTIF('Calculations'!$HE$13:$HE$512,"="&amp;SUBSTITUTE(SUBSTITUTE(SUBSTITUTE('Calculations'!HO197,"~","~~"),"*","~*"),"?","~?"))&gt;1,"!AMBIG",IFERROR(INDEX('Calculations'!$HF$13:$HF$512,MATCH('Calculations'!HO197,'Calculations'!$HE$13:$HE$512,0)),""))))</x:f>
      </x:c>
      <x:c r="HQ197" t="str">
        <x:f>IF('Calculations'!HP197="","",IF('Calculations'!HP197="!AMBIG","!AMBIG",IF(COUNTIF('Calculations'!$HE$13:$HE$512,"="&amp;SUBSTITUTE(SUBSTITUTE(SUBSTITUTE('Calculations'!HP197,"~","~~"),"*","~*"),"?","~?"))&gt;1,"!AMBIG",IFERROR(INDEX('Calculations'!$HF$13:$HF$512,MATCH('Calculations'!HP197,'Calculations'!$HE$13:$HE$512,0)),""))))</x:f>
      </x:c>
      <x:c r="HR197" t="str">
        <x:f>IF('Calculations'!HQ197="","",IF('Calculations'!HQ197="!AMBIG","!AMBIG",IF(COUNTIF('Calculations'!$HE$13:$HE$512,"="&amp;SUBSTITUTE(SUBSTITUTE(SUBSTITUTE('Calculations'!HQ197,"~","~~"),"*","~*"),"?","~?"))&gt;1,"!AMBIG",IFERROR(INDEX('Calculations'!$HF$13:$HF$512,MATCH('Calculations'!HQ197,'Calculations'!$HE$13:$HE$512,0)),""))))</x:f>
      </x:c>
      <x:c r="HS197" t="str">
        <x:f>IF('Calculations'!HR197="","",IF('Calculations'!HR197="!AMBIG","!AMBIG",IF(COUNTIF('Calculations'!$HE$13:$HE$512,"="&amp;SUBSTITUTE(SUBSTITUTE(SUBSTITUTE('Calculations'!HR197,"~","~~"),"*","~*"),"?","~?"))&gt;1,"!AMBIG",IFERROR(INDEX('Calculations'!$HF$13:$HF$512,MATCH('Calculations'!HR197,'Calculations'!$HE$13:$HE$512,0)),""))))</x:f>
      </x:c>
      <x:c r="HT197" t="str">
        <x:f>IF('Calculations'!HS197="","",IF('Calculations'!HS197="!AMBIG","!AMBIG",IF(COUNTIF('Calculations'!$HE$13:$HE$512,"="&amp;SUBSTITUTE(SUBSTITUTE(SUBSTITUTE('Calculations'!HS197,"~","~~"),"*","~*"),"?","~?"))&gt;1,"!AMBIG",IFERROR(INDEX('Calculations'!$HF$13:$HF$512,MATCH('Calculations'!HS197,'Calculations'!$HE$13:$HE$512,0)),""))))</x:f>
      </x:c>
      <x:c r="HU197" t="str">
        <x:f>IF('Calculations'!HT197="","",IF('Calculations'!HT197="!AMBIG","!AMBIG",IF(COUNTIF('Calculations'!$HE$13:$HE$512,"="&amp;SUBSTITUTE(SUBSTITUTE(SUBSTITUTE('Calculations'!HT197,"~","~~"),"*","~*"),"?","~?"))&gt;1,"!AMBIG",IFERROR(INDEX('Calculations'!$HF$13:$HF$512,MATCH('Calculations'!HT197,'Calculations'!$HE$13:$HE$512,0)),""))))</x:f>
      </x:c>
      <x:c r="HV197" t="str">
        <x:f>IF('Calculations'!HU197="","",IF('Calculations'!HU197="!AMBIG","!AMBIG",IF(COUNTIF('Calculations'!$HE$13:$HE$512,"="&amp;SUBSTITUTE(SUBSTITUTE(SUBSTITUTE('Calculations'!HU197,"~","~~"),"*","~*"),"?","~?"))&gt;1,"!AMBIG",IFERROR(INDEX('Calculations'!$HF$13:$HF$512,MATCH('Calculations'!HU197,'Calculations'!$HE$13:$HE$512,0)),""))))</x:f>
      </x:c>
      <x:c r="HW197" t="str">
        <x:f>IF('Calculations'!HV197="","",IF('Calculations'!HV197="!AMBIG","!AMBIG",IF(COUNTIF('Calculations'!$HE$13:$HE$512,"="&amp;SUBSTITUTE(SUBSTITUTE(SUBSTITUTE('Calculations'!HV197,"~","~~"),"*","~*"),"?","~?"))&gt;1,"!AMBIG",IFERROR(INDEX('Calculations'!$HF$13:$HF$512,MATCH('Calculations'!HV197,'Calculations'!$HE$13:$HE$512,0)),""))))</x:f>
      </x:c>
      <x:c r="HX197" t="str">
        <x:f>IF('Calculations'!HW197="","",IF('Calculations'!HW197="!AMBIG","!AMBIG",IF(COUNTIF('Calculations'!$HE$13:$HE$512,"="&amp;SUBSTITUTE(SUBSTITUTE(SUBSTITUTE('Calculations'!HW197,"~","~~"),"*","~*"),"?","~?"))&gt;1,"!AMBIG",IFERROR(INDEX('Calculations'!$HF$13:$HF$512,MATCH('Calculations'!HW197,'Calculations'!$HE$13:$HE$512,0)),""))))</x:f>
      </x:c>
      <x:c r="HY197" t="str">
        <x:f>IF('Calculations'!HX197="","",IF('Calculations'!HX197="!AMBIG","!AMBIG",IF(COUNTIF('Calculations'!$HE$13:$HE$512,"="&amp;SUBSTITUTE(SUBSTITUTE(SUBSTITUTE('Calculations'!HX197,"~","~~"),"*","~*"),"?","~?"))&gt;1,"!AMBIG",IFERROR(INDEX('Calculations'!$HF$13:$HF$512,MATCH('Calculations'!HX197,'Calculations'!$HE$13:$HE$512,0)),""))))</x:f>
      </x:c>
      <x:c r="HZ197" t="str">
        <x:f>IF('Calculations'!HY197="","",IF('Calculations'!HY197="!AMBIG","!AMBIG",IF(COUNTIF('Calculations'!$HE$13:$HE$512,"="&amp;SUBSTITUTE(SUBSTITUTE(SUBSTITUTE('Calculations'!HY197,"~","~~"),"*","~*"),"?","~?"))&gt;1,"!AMBIG",IFERROR(INDEX('Calculations'!$HF$13:$HF$512,MATCH('Calculations'!HY197,'Calculations'!$HE$13:$HE$512,0)),""))))</x:f>
      </x:c>
      <x:c r="IA197" t="str">
        <x:f>IF('Calculations'!HZ197="","",IF('Calculations'!HZ197="!AMBIG","!AMBIG",IF(COUNTIF('Calculations'!$HE$13:$HE$512,"="&amp;SUBSTITUTE(SUBSTITUTE(SUBSTITUTE('Calculations'!HZ197,"~","~~"),"*","~*"),"?","~?"))&gt;1,"!AMBIG",IFERROR(INDEX('Calculations'!$HF$13:$HF$512,MATCH('Calculations'!HZ197,'Calculations'!$HE$13:$HE$512,0)),""))))</x:f>
      </x:c>
      <x:c r="IB197" t="str">
        <x:f>IF('Calculations'!IA197="","",IF('Calculations'!IA197="!AMBIG","!AMBIG",IF(COUNTIF('Calculations'!$HE$13:$HE$512,"="&amp;SUBSTITUTE(SUBSTITUTE(SUBSTITUTE('Calculations'!IA197,"~","~~"),"*","~*"),"?","~?"))&gt;1,"!AMBIG",IFERROR(INDEX('Calculations'!$HF$13:$HF$512,MATCH('Calculations'!IA197,'Calculations'!$HE$13:$HE$512,0)),""))))</x:f>
      </x:c>
      <x:c r="IC197" t="str">
        <x:f>IF('Calculations'!IB197="","",IF('Calculations'!IB197="!AMBIG","!AMBIG",IF(COUNTIF('Calculations'!$HE$13:$HE$512,"="&amp;SUBSTITUTE(SUBSTITUTE(SUBSTITUTE('Calculations'!IB197,"~","~~"),"*","~*"),"?","~?"))&gt;1,"!AMBIG",IFERROR(INDEX('Calculations'!$HF$13:$HF$512,MATCH('Calculations'!IB197,'Calculations'!$HE$13:$HE$512,0)),""))))</x:f>
      </x:c>
      <x:c r="ID197" t="str">
        <x:f>IF('Calculations'!IC197="","",IF('Calculations'!IC197="!AMBIG","!AMBIG",IF(COUNTIF('Calculations'!$HE$13:$HE$512,"="&amp;SUBSTITUTE(SUBSTITUTE(SUBSTITUTE('Calculations'!IC197,"~","~~"),"*","~*"),"?","~?"))&gt;1,"!AMBIG",IFERROR(INDEX('Calculations'!$HF$13:$HF$512,MATCH('Calculations'!IC197,'Calculations'!$HE$13:$HE$512,0)),""))))</x:f>
      </x:c>
      <x:c r="IE197" t="str">
        <x:f>IF('Calculations'!ID197="","",IF('Calculations'!ID197="!AMBIG","!AMBIG",IF(COUNTIF('Calculations'!$HE$13:$HE$512,"="&amp;SUBSTITUTE(SUBSTITUTE(SUBSTITUTE('Calculations'!ID197,"~","~~"),"*","~*"),"?","~?"))&gt;1,"!AMBIG",IFERROR(INDEX('Calculations'!$HF$13:$HF$512,MATCH('Calculations'!ID197,'Calculations'!$HE$13:$HE$512,0)),""))))</x:f>
      </x:c>
      <x:c r="IF197" t="str">
        <x:f>IF('Calculations'!IE197="","",IF('Calculations'!IE197="!AMBIG","!AMBIG",IF(COUNTIF('Calculations'!$HE$13:$HE$512,"="&amp;SUBSTITUTE(SUBSTITUTE(SUBSTITUTE('Calculations'!IE197,"~","~~"),"*","~*"),"?","~?"))&gt;1,"!AMBIG",IFERROR(INDEX('Calculations'!$HF$13:$HF$512,MATCH('Calculations'!IE197,'Calculations'!$HE$13:$HE$512,0)),""))))</x:f>
      </x:c>
      <x:c r="IG197" t="str">
        <x:f>IF('Calculations'!IF197="","",IF('Calculations'!IF197="!AMBIG","!AMBIG",IF(COUNTIF('Calculations'!$HE$13:$HE$512,"="&amp;SUBSTITUTE(SUBSTITUTE(SUBSTITUTE('Calculations'!IF197,"~","~~"),"*","~*"),"?","~?"))&gt;1,"!AMBIG",IFERROR(INDEX('Calculations'!$HF$13:$HF$512,MATCH('Calculations'!IF197,'Calculations'!$HE$13:$HE$512,0)),""))))</x:f>
      </x:c>
      <x:c r="IH197" t="str">
        <x:f>IF('Calculations'!IG197="","",IF('Calculations'!IG197="!AMBIG","!AMBIG",IF(COUNTIF('Calculations'!$HE$13:$HE$512,"="&amp;SUBSTITUTE(SUBSTITUTE(SUBSTITUTE('Calculations'!IG197,"~","~~"),"*","~*"),"?","~?"))&gt;1,"!AMBIG",IFERROR(INDEX('Calculations'!$HF$13:$HF$512,MATCH('Calculations'!IG197,'Calculations'!$HE$13:$HE$512,0)),""))))</x:f>
      </x:c>
      <x:c r="II197" t="str">
        <x:f>IF('Calculations'!IH197="","",IF('Calculations'!IH197="!AMBIG","!AMBIG",IF(COUNTIF('Calculations'!$HE$13:$HE$512,"="&amp;SUBSTITUTE(SUBSTITUTE(SUBSTITUTE('Calculations'!IH197,"~","~~"),"*","~*"),"?","~?"))&gt;1,"!AMBIG",IFERROR(INDEX('Calculations'!$HF$13:$HF$512,MATCH('Calculations'!IH197,'Calculations'!$HE$13:$HE$512,0)),""))))</x:f>
      </x:c>
      <x:c r="IJ197" t="str">
        <x:f>IF('Calculations'!EM197="","",IF('Calculations'!$EF$2="All",'Calculations'!HM197,IF('Calculations'!HL197=1,"",IFERROR(IF(MATCH('Calculations'!$EF$2,'Calculations'!HO197:II197,0)=1,'Calculations'!HE197,INDEX('Calculations'!HO197:II197,1,MATCH('Calculations'!$EF$2,'Calculations'!HO197:II197,0)-1)),""))))</x:f>
      </x:c>
      <x:c r="IK197" t="n">
        <x:f>IF(AND('Calculations'!EM197&lt;&gt;"",'Calculations'!$EF$2&lt;&gt;"All",'Calculations'!HF197='Calculations'!$EF$2,'Calculations'!HL197=0,'Calculations'!JD197&gt;0),MAX('Calculations'!$IK$12:IK196)+1,0)</x:f>
        <x:v>0</x:v>
      </x:c>
      <x:c r="JA197" t="n">
        <x:f>IF(OR(IFERROR(INDIRECT("'WCM Calibration Final'!$A$197")&lt;&gt;"",FALSE),IFERROR(INDIRECT("'WCM Calibration Final'!$B$197")&lt;&gt;"",FALSE),IFERROR(INDIRECT("'WCM Calibration Final'!$C$197")&lt;&gt;"",FALSE)),197,0)</x:f>
        <x:v>0</x:v>
      </x:c>
      <x:c r="JB197" t="n">
        <x:f>'Calculations'!JB196+IF('Calculations'!JA197&gt;0,1,0)</x:f>
        <x:v>0</x:v>
      </x:c>
      <x:c r="JC197" t="n">
        <x:f>IF(OR('Calculations'!HF197="",'Calculations'!HF197="!AMBIG"),0,IF('Dashboard'!$B$7="All",1,COUNTIFS('Calculations'!$HO$13:$HO$512,"="&amp;SUBSTITUTE(SUBSTITUTE(SUBSTITUTE('Calculations'!HF197,"~","~~"),"*","~*"),"?","~?"),'Calculations'!$HN$13:$HN$512,"="&amp;SUBSTITUTE(SUBSTITUTE(SUBSTITUTE('Dashboard'!$B$7,"~","~~"),"*","~*"),"?","~?"))+COUNTIFS('Calculations'!$HP$13:$HP$512,"="&amp;SUBSTITUTE(SUBSTITUTE(SUBSTITUTE('Calculations'!HF197,"~","~~"),"*","~*"),"?","~?"),'Calculations'!$HN$13:$HN$512,"="&amp;SUBSTITUTE(SUBSTITUTE(SUBSTITUTE('Dashboard'!$B$7,"~","~~"),"*","~*"),"?","~?"))+COUNTIFS('Calculations'!$HQ$13:$HQ$512,"="&amp;SUBSTITUTE(SUBSTITUTE(SUBSTITUTE('Calculations'!HF197,"~","~~"),"*","~*"),"?","~?"),'Calculations'!$HN$13:$HN$512,"="&amp;SUBSTITUTE(SUBSTITUTE(SUBSTITUTE('Dashboard'!$B$7,"~","~~"),"*","~*"),"?","~?"))+COUNTIFS('Calculations'!$HR$13:$HR$512,"="&amp;SUBSTITUTE(SUBSTITUTE(SUBSTITUTE('Calculations'!HF197,"~","~~"),"*","~*"),"?","~?"),'Calculations'!$HN$13:$HN$512,"="&amp;SUBSTITUTE(SUBSTITUTE(SUBSTITUTE('Dashboard'!$B$7,"~","~~"),"*","~*"),"?","~?"))+COUNTIFS('Calculations'!$HS$13:$HS$512,"="&amp;SUBSTITUTE(SUBSTITUTE(SUBSTITUTE('Calculations'!HF197,"~","~~"),"*","~*"),"?","~?"),'Calculations'!$HN$13:$HN$512,"="&amp;SUBSTITUTE(SUBSTITUTE(SUBSTITUTE('Dashboard'!$B$7,"~","~~"),"*","~*"),"?","~?"))+COUNTIFS('Calculations'!$HT$13:$HT$512,"="&amp;SUBSTITUTE(SUBSTITUTE(SUBSTITUTE('Calculations'!HF197,"~","~~"),"*","~*"),"?","~?"),'Calculations'!$HN$13:$HN$512,"="&amp;SUBSTITUTE(SUBSTITUTE(SUBSTITUTE('Dashboard'!$B$7,"~","~~"),"*","~*"),"?","~?"))+COUNTIFS('Calculations'!$HU$13:$HU$512,"="&amp;SUBSTITUTE(SUBSTITUTE(SUBSTITUTE('Calculations'!HF197,"~","~~"),"*","~*"),"?","~?"),'Calculations'!$HN$13:$HN$512,"="&amp;SUBSTITUTE(SUBSTITUTE(SUBSTITUTE('Dashboard'!$B$7,"~","~~"),"*","~*"),"?","~?"))+COUNTIFS('Calculations'!$HV$13:$HV$512,"="&amp;SUBSTITUTE(SUBSTITUTE(SUBSTITUTE('Calculations'!HF197,"~","~~"),"*","~*"),"?","~?"),'Calculations'!$HN$13:$HN$512,"="&amp;SUBSTITUTE(SUBSTITUTE(SUBSTITUTE('Dashboard'!$B$7,"~","~~"),"*","~*"),"?","~?"))+COUNTIFS('Calculations'!$HW$13:$HW$512,"="&amp;SUBSTITUTE(SUBSTITUTE(SUBSTITUTE('Calculations'!HF197,"~","~~"),"*","~*"),"?","~?"),'Calculations'!$HN$13:$HN$512,"="&amp;SUBSTITUTE(SUBSTITUTE(SUBSTITUTE('Dashboard'!$B$7,"~","~~"),"*","~*"),"?","~?"))+COUNTIFS('Calculations'!$HX$13:$HX$512,"="&amp;SUBSTITUTE(SUBSTITUTE(SUBSTITUTE('Calculations'!HF197,"~","~~"),"*","~*"),"?","~?"),'Calculations'!$HN$13:$HN$512,"="&amp;SUBSTITUTE(SUBSTITUTE(SUBSTITUTE('Dashboard'!$B$7,"~","~~"),"*","~*"),"?","~?"))+COUNTIFS('Calculations'!$HY$13:$HY$512,"="&amp;SUBSTITUTE(SUBSTITUTE(SUBSTITUTE('Calculations'!HF197,"~","~~"),"*","~*"),"?","~?"),'Calculations'!$HN$13:$HN$512,"="&amp;SUBSTITUTE(SUBSTITUTE(SUBSTITUTE('Dashboard'!$B$7,"~","~~"),"*","~*"),"?","~?"))+COUNTIFS('Calculations'!$HZ$13:$HZ$512,"="&amp;SUBSTITUTE(SUBSTITUTE(SUBSTITUTE('Calculations'!HF197,"~","~~"),"*","~*"),"?","~?"),'Calculations'!$HN$13:$HN$512,"="&amp;SUBSTITUTE(SUBSTITUTE(SUBSTITUTE('Dashboard'!$B$7,"~","~~"),"*","~*"),"?","~?"))+COUNTIFS('Calculations'!$IA$13:$IA$512,"="&amp;SUBSTITUTE(SUBSTITUTE(SUBSTITUTE('Calculations'!HF197,"~","~~"),"*","~*"),"?","~?"),'Calculations'!$HN$13:$HN$512,"="&amp;SUBSTITUTE(SUBSTITUTE(SUBSTITUTE('Dashboard'!$B$7,"~","~~"),"*","~*"),"?","~?"))+COUNTIFS('Calculations'!$IB$13:$IB$512,"="&amp;SUBSTITUTE(SUBSTITUTE(SUBSTITUTE('Calculations'!HF197,"~","~~"),"*","~*"),"?","~?"),'Calculations'!$HN$13:$HN$512,"="&amp;SUBSTITUTE(SUBSTITUTE(SUBSTITUTE('Dashboard'!$B$7,"~","~~"),"*","~*"),"?","~?"))+COUNTIFS('Calculations'!$IC$13:$IC$512,"="&amp;SUBSTITUTE(SUBSTITUTE(SUBSTITUTE('Calculations'!HF197,"~","~~"),"*","~*"),"?","~?"),'Calculations'!$HN$13:$HN$512,"="&amp;SUBSTITUTE(SUBSTITUTE(SUBSTITUTE('Dashboard'!$B$7,"~","~~"),"*","~*"),"?","~?"))+COUNTIFS('Calculations'!$ID$13:$ID$512,"="&amp;SUBSTITUTE(SUBSTITUTE(SUBSTITUTE('Calculations'!HF197,"~","~~"),"*","~*"),"?","~?"),'Calculations'!$HN$13:$HN$512,"="&amp;SUBSTITUTE(SUBSTITUTE(SUBSTITUTE('Dashboard'!$B$7,"~","~~"),"*","~*"),"?","~?"))+COUNTIFS('Calculations'!$IE$13:$IE$512,"="&amp;SUBSTITUTE(SUBSTITUTE(SUBSTITUTE('Calculations'!HF197,"~","~~"),"*","~*"),"?","~?"),'Calculations'!$HN$13:$HN$512,"="&amp;SUBSTITUTE(SUBSTITUTE(SUBSTITUTE('Dashboard'!$B$7,"~","~~"),"*","~*"),"?","~?"))+COUNTIFS('Calculations'!$IF$13:$IF$512,"="&amp;SUBSTITUTE(SUBSTITUTE(SUBSTITUTE('Calculations'!HF197,"~","~~"),"*","~*"),"?","~?"),'Calculations'!$HN$13:$HN$512,"="&amp;SUBSTITUTE(SUBSTITUTE(SUBSTITUTE('Dashboard'!$B$7,"~","~~"),"*","~*"),"?","~?"))+COUNTIFS('Calculations'!$IG$13:$IG$512,"="&amp;SUBSTITUTE(SUBSTITUTE(SUBSTITUTE('Calculations'!HF197,"~","~~"),"*","~*"),"?","~?"),'Calculations'!$HN$13:$HN$512,"="&amp;SUBSTITUTE(SUBSTITUTE(SUBSTITUTE('Dashboard'!$B$7,"~","~~"),"*","~*"),"?","~?"))+COUNTIFS('Calculations'!$IH$13:$IH$512,"="&amp;SUBSTITUTE(SUBSTITUTE(SUBSTITUTE('Calculations'!HF197,"~","~~"),"*","~*"),"?","~?"),'Calculations'!$HN$13:$HN$512,"="&amp;SUBSTITUTE(SUBSTITUTE(SUBSTITUTE('Dashboard'!$B$7,"~","~~"),"*","~*"),"?","~?"))))</x:f>
        <x:v>0</x:v>
      </x:c>
      <x:c r="JD197" t="n">
        <x:f>IF('Calculations'!EM197="",0,IF('Dashboard'!$B$7="All",1,IF('Calculations'!HN197='Dashboard'!$B$7,1,0)+IFERROR(INDEX('Calculations'!$JC$13:$JC$512,MATCH('Calculations'!HE197,'Calculations'!$HF$13:$HF$512,0)),0)))</x:f>
        <x:v>0</x:v>
      </x:c>
      <x:c r="JE197" t="n">
        <x:f>IF(AND('Calculations'!EM197&lt;&gt;"",'Calculations'!$JJ$2&lt;&gt;"All",'Calculations'!$JJ$2&lt;&gt;"",'Calculations'!HF197='Calculations'!$JJ$2,'Calculations'!HL197=0,'Calculations'!JD197&gt;0),MAX('Calculations'!$JE$12:JE196)+1,0)</x:f>
        <x:v>0</x:v>
      </x:c>
      <x:c r="JF197" t="str">
        <x:f>IF('Calculations'!EM197="","",IFERROR(IF(INDEX(INDIRECT("'WCM Calibration Final'!$G$1:$G$2000"),'Calculations'!$EM197)="","",TRIM(INDEX(INDIRECT("'WCM Calibration Final'!$G$1:$G$2000"),'Calculations'!$EM197)&amp;"")),""))</x:f>
      </x:c>
      <x:c r="JQ197" t="n">
        <x:f>IF(OR('Calculations'!BM197=0,NOT('Calculations'!$AG$2),'Calculations'!$AG$8&gt;0),0,IF(OR('Dashboard'!$B$7="All",'Calculations'!HN197='Dashboard'!$B$7),IF('Calculations'!$JJ$2="All",1,IF(AND('Calculations'!HF197='Calculations'!$JJ$2,'Calculations'!HL197=0),1,0)),0))</x:f>
        <x:v>0</x:v>
      </x:c>
    </x:row>
    <x:row r="198">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t="n">
        <x:f>IF('Calculations'!$EM198="",0,IF(OR(IFERROR(INDEX(INDIRECT("'WCM Calibration Final'!$A$1:$A$2000"),'Calculations'!$EM198)&lt;&gt;"",FALSE),IFERROR(INDEX(INDIRECT("'WCM Calibration Final'!$B$1:$B$2000"),'Calculations'!$EM198)&lt;&gt;"",FALSE),IFERROR(INDEX(INDIRECT("'WCM Calibration Final'!$C$1:$C$2000"),'Calculations'!$EM198)&lt;&gt;"",FALSE)),1,0))</x:f>
        <x:v>0</x:v>
      </x:c>
      <x:c r="BN198" s="4" t="n">
        <x:f>IF(AND('Calculations'!BM198=1,'Calculations'!$AG$2,'Calculations'!$EN198=1),1,0)</x:f>
        <x:v>0</x:v>
      </x:c>
      <x:c r="BO198" s="4" t="str">
        <x:f>IF('Calculations'!BM198=0,"",IFERROR(IF(AND(VALUE(INDEX(INDIRECT("'WCM Calibration Final'!$K$1:$K$2000"),'Calculations'!$EM198))&gt;=1,VALUE(INDEX(INDIRECT("'WCM Calibration Final'!$K$1:$K$2000"),'Calculations'!$EM198))&lt;=4,MOD(VALUE(INDEX(INDIRECT("'WCM Calibration Final'!$K$1:$K$2000"),'Calculations'!$EM198)),1)=0),VALUE(INDEX(INDIRECT("'WCM Calibration Final'!$K$1:$K$2000"),'Calculations'!$EM198)),""),""))</x:f>
      </x:c>
      <x:c r="BP198" s="4" t="str">
        <x:f>IF('Calculations'!BM198=0,"",IFERROR(IF(AND(VALUE(INDEX(INDIRECT("'WCM Calibration Final'!$L$1:$L$2000"),'Calculations'!$EM198))&gt;=1,VALUE(INDEX(INDIRECT("'WCM Calibration Final'!$L$1:$L$2000"),'Calculations'!$EM198))&lt;=4,MOD(VALUE(INDEX(INDIRECT("'WCM Calibration Final'!$L$1:$L$2000"),'Calculations'!$EM198)),1)=0),VALUE(INDEX(INDIRECT("'WCM Calibration Final'!$L$1:$L$2000"),'Calculations'!$EM198)),""),""))</x:f>
      </x:c>
      <x:c r="BQ198" s="4"/>
      <x:c r="BR198" s="4"/>
      <x:c r="BS198" s="4"/>
      <x:c r="BT198" s="4" t="n">
        <x:f>IF(AND('Calculations'!BM198=1,ISNUMBER('Calculations'!BO198),ISNUMBER('Calculations'!BP198)),1,0)</x:f>
        <x:v>0</x:v>
      </x:c>
      <x:c r="BU198" s="4" t="str">
        <x:f>IF('Calculations'!BM198=0,"",'Calculations'!$EO198)</x:f>
      </x:c>
      <x:c r="BV198" s="4" t="str">
        <x:f>IF('Calculations'!BM198=0,"",IFERROR(IF(OR(INDEX(INDIRECT("'WCM Calibration Final'!$H$1:$H$2000"),'Calculations'!$EM198)="MANAGING DIRECTOR",INDEX(INDIRECT("'WCM Calibration Final'!$H$1:$H$2000"),'Calculations'!$EM198)="DIRECTOR",INDEX(INDIRECT("'WCM Calibration Final'!$H$1:$H$2000"),'Calculations'!$EM198)="SENIOR VICE PRESIDENT",INDEX(INDIRECT("'WCM Calibration Final'!$H$1:$H$2000"),'Calculations'!$EM198)="VICE PRESIDENT",INDEX(INDIRECT("'WCM Calibration Final'!$H$1:$H$2000"),'Calculations'!$EM198)="ASSISTANT VICE PRESIDENT",INDEX(INDIRECT("'WCM Calibration Final'!$H$1:$H$2000"),'Calculations'!$EM198)="OFFICER"),UPPER(INDEX(INDIRECT("'WCM Calibration Final'!$H$1:$H$2000"),'Calculations'!$EM198)),"Other"),"Other"))</x:f>
      </x:c>
      <x:c r="BW198" s="4"/>
      <x:c r="BX198" s="4"/>
      <x:c r="BY198" s="4" t="n">
        <x:f>IF(AND('Calculations'!BM198=1,'Calculations'!BU198&lt;&gt;"",COUNTIF('Calculations'!$BU$12:BU198,'Calculations'!BU198)=1),MAX('Calculations'!$BY$11:BY197)+1,0)</x:f>
        <x:v>0</x:v>
      </x:c>
      <x:c r="BZ198" s="4" t="str">
        <x:f>IF('Dashboard'!$E$67="What",'Calculations'!BO198,'Calculations'!BP198)</x:f>
      </x:c>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t="str">
        <x:f>IF(187&gt;MAX('Calculations'!$HI$13:$HI$512),"",INDEX('Calculations'!$HN$13:$HN$512,MATCH(187,'Calculations'!$HI$13:$HI$512,0)))</x:f>
      </x:c>
      <x:c r="DB198" s="4" t="str">
        <x:f>IF(187&gt;MAX('Calculations'!$HH$13:$HH$512),"",INDEX('Calculations'!$HJ$13:$HJ$512,MATCH(187,'Calculations'!$HH$13:$HH$512,0)))</x:f>
      </x:c>
      <x:c r="DC198" s="4" t="str">
        <x:f>IF(ROW()-11&gt;MAX('Calculations'!$BY$13:$BY$512),"",INDEX('Calculations'!$BU$13:$BU$512,MATCH(ROW()-11,'Calculations'!$BY$13:$BY$512,0)))</x:f>
      </x:c>
      <x:c r="DD198" s="4" t="str">
        <x:f>IF(187&gt;MAX('Calculations'!$IK$13:$IK$512),"",INDEX('Calculations'!$HK$13:$HK$512,MATCH(187,'Calculations'!$IK$13:$IK$512,0)))</x:f>
      </x:c>
      <x:c r="DE198" s="4" t="str">
        <x:f>'Calculations'!DC198</x:f>
      </x:c>
      <x:c r="DF198" s="4" t="str">
        <x:f>IF('Calculations'!DE198="","",COUNTIFS('Calculations'!$BN$13:$BN$512,1,'Calculations'!$BU$13:$BU$512,'Calculations'!DE198))</x:f>
      </x:c>
      <x:c r="DG198" s="4" t="str">
        <x:f>IF('Calculations'!DE198="","",COUNTIFS('Calculations'!$BN$13:$BN$512,1,'Calculations'!$BU$13:$BU$512,'Calculations'!DE198,'Calculations'!$BT$13:$BT$512,1))</x:f>
      </x:c>
      <x:c r="DH198" s="4" t="str">
        <x:f>IF('Calculations'!DE198="","",'Calculations'!DF198-'Calculations'!DG198)</x:f>
      </x:c>
      <x:c r="DI198" s="4" t="str">
        <x:f>IF(OR('Calculations'!DE198="",'Calculations'!DF198=0),"",'Calculations'!DG198/'Calculations'!DF198)</x:f>
      </x:c>
      <x:c r="DJ198" s="4" t="str">
        <x:f>IF('Calculations'!DE198="","",COUNTIFS('Calculations'!$BN$13:$BN$512,1,'Calculations'!$BU$13:$BU$512,'Calculations'!DE198,'Calculations'!$BT$13:$BT$512,1,'Calculations'!$EE$13:$EE$512,"High"))</x:f>
      </x:c>
      <x:c r="DK198" s="4" t="str">
        <x:f>IF('Calculations'!DE198="","",COUNTIFS('Calculations'!$BN$13:$BN$512,1,'Calculations'!$BU$13:$BU$512,'Calculations'!DE198,'Calculations'!$BT$13:$BT$512,1,'Calculations'!$EE$13:$EE$512,"Strong"))</x:f>
      </x:c>
      <x:c r="DL198" s="4" t="str">
        <x:f>IF('Calculations'!DE198="","",COUNTIFS('Calculations'!$BN$13:$BN$512,1,'Calculations'!$BU$13:$BU$512,'Calculations'!DE198,'Calculations'!$BT$13:$BT$512,1,'Calculations'!$EE$13:$EE$512,"Solid"))</x:f>
      </x:c>
      <x:c r="DM198" s="4" t="str">
        <x:f>IF('Calculations'!DE198="","",COUNTIFS('Calculations'!$BN$13:$BN$512,1,'Calculations'!$BU$13:$BU$512,'Calculations'!DE198,'Calculations'!$BT$13:$BT$512,1,'Calculations'!$EE$13:$EE$512,"Low"))</x:f>
      </x:c>
      <x:c r="DN198" s="4" t="str">
        <x:f>IF('Calculations'!DE198="","",COUNTIFS('Calculations'!$BN$13:$BN$512,1,'Calculations'!$BU$13:$BU$512,'Calculations'!DE198,'Calculations'!$EP$13:$EP$512,1))</x:f>
      </x:c>
      <x:c r="DO198" s="4" t="str">
        <x:f>IF(OR('Calculations'!DE198="",'Calculations'!DG198=0),"",('Calculations'!DJ198+'Calculations'!DK198)/'Calculations'!DG198)</x:f>
      </x:c>
      <x:c r="DP198" s="4" t="n">
        <x:f>IF(AND('Calculations'!DE198&lt;&gt;"",'Calculations'!DF198&gt;0),COUNTIF('Calculations'!$DF$12:DF198,"&gt;0"),0)</x:f>
        <x:v>0</x:v>
      </x:c>
      <x:c r="DQ198" s="4" t="str">
        <x:f>IF(187&gt;MAX('Calculations'!$HH$13:$HH$512),"",INDEX('Calculations'!$HF$13:$HF$512,MATCH(187,'Calculations'!$HH$13:$HH$512,0)))</x:f>
      </x:c>
      <x:c r="DR198" s="4" t="str">
        <x:f>IF(187&gt;MAX('Calculations'!$IK$13:$IK$512),"",INDEX('Calculations'!$HE$13:$HE$512,MATCH(187,'Calculations'!$IK$13:$IK$512,0)))</x:f>
      </x:c>
      <x:c r="DS198" s="4"/>
      <x:c r="DT198" s="4"/>
      <x:c r="DU198" s="4"/>
      <x:c r="DV198" s="4"/>
      <x:c r="DW198" s="4"/>
      <x:c r="DX198" s="4"/>
      <x:c r="DY198" s="4"/>
      <x:c r="DZ198" s="4"/>
      <x:c r="EA198" s="4"/>
      <x:c r="EB198" s="4"/>
      <x:c r="EC198" s="4"/>
      <x:c r="ED198" s="4"/>
      <x:c r="EE198" s="4" t="str">
        <x:f>IF('Calculations'!BT198=0,"Not Rated",IF(OR('Calculations'!BO198&gt;=4,'Calculations'!BP198&gt;=4),"Low",IF('Calculations'!BO198+'Calculations'!BP198&lt;=3,"High",IF('Calculations'!BO198+'Calculations'!BP198&lt;=4,"Strong","Solid"))))</x:f>
        <x:v>Not Rated</x:v>
      </x:c>
      <x:c r="EF198" s="4"/>
      <x:c r="EG198" s="4"/>
      <x:c r="EH198" s="4"/>
      <x:c r="EI198" s="4"/>
      <x:c r="EJ198" s="4"/>
      <x:c r="EK198" s="4"/>
      <x:c r="EL198" s="4"/>
      <x:c r="EM198" s="4" t="str">
        <x:f>IF(186&gt;'Calculations'!$JB$2000,"",INDEX('Calculations'!$JA$12:$JA$2000,MATCH(186,'Calculations'!$JB$12:$JB$2000,0)))</x:f>
      </x:c>
      <x:c r="EN198" s="4" t="n">
        <x:f>IF(OR('Calculations'!EM198="",'Calculations'!$AG$8&gt;0,AND('Calculations'!$EF$2&lt;&gt;"All",'Calculations'!HE198='Calculations'!$EF$2),AND('Calculations'!$EF$3&lt;&gt;"All",'Calculations'!HE198='Calculations'!$EF$3)),0,IF(OR('Dashboard'!$B$7="All",'Calculations'!HN198='Dashboard'!$B$7),IF('Calculations'!$EF$2="All",1,IF('Calculations'!HL198&gt;0,0,IF(COUNTIF('Calculations'!HO198:II198,"="&amp;SUBSTITUTE(SUBSTITUTE(SUBSTITUTE('Calculations'!$EF$2,"~","~~"),"*","~*"),"?","~?"))=0,0,IF('Calculations'!$EF$3="All",1,IF(COUNTIF('Calculations'!HO198:II198,"="&amp;SUBSTITUTE(SUBSTITUTE(SUBSTITUTE('Calculations'!$EF$3,"~","~~"),"*","~*"),"?","~?"))&gt;0,1,0))))),0))</x:f>
        <x:v>0</x:v>
      </x:c>
      <x:c r="EO198" s="4" t="str">
        <x:f>IF('Calculations'!IJ198="","",IF('Calculations'!IJ198="!UNRESOLVED","Unresolved hierarchy",IFERROR(INDEX('Calculations'!$HK$13:$HK$512,MATCH('Calculations'!IJ198,'Calculations'!$HE$13:$HE$512,0)),IFERROR(INDEX('Calculations'!$HJ$13:$HJ$512,MATCH('Calculations'!IJ198,'Calculations'!$HF$13:$HF$512,0)),'Calculations'!IJ198))))</x:f>
      </x:c>
      <x:c r="EP198" s="4" t="n">
        <x:f>IF(AND('Calculations'!EM198&lt;&gt;"",'Calculations'!HF198='Calculations'!IJ198),1,0)</x:f>
        <x:v>0</x:v>
      </x:c>
      <x:c r="EQ198" s="4"/>
      <x:c r="ER198" s="4"/>
      <x:c r="ES198" s="4"/>
      <x:c r="ET198" s="4"/>
      <x:c r="EU198" s="4"/>
      <x:c r="EV198" s="4"/>
      <x:c r="EW198" s="4"/>
      <x:c r="EX198" s="4"/>
      <x:c r="EY198" s="4"/>
      <x:c r="EZ198" s="4"/>
      <x:c r="FA198" s="4"/>
      <x:c r="FB198" s="4"/>
      <x:c r="FC198" s="4"/>
      <x:c r="FD198" s="4"/>
      <x:c r="FE198" s="4"/>
      <x:c r="FF198" s="4"/>
      <x:c r="FG198" s="4"/>
      <x:c r="FH198" s="4"/>
      <x:c r="FI198" s="4"/>
      <x:c r="FJ198" s="4"/>
      <x:c r="FK198" s="4"/>
      <x:c r="FL198" s="4"/>
      <x:c r="FM198" s="4"/>
      <x:c r="FN198" s="4"/>
      <x:c r="FO198" s="4"/>
      <x:c r="GA198" s="71"/>
      <x:c r="GB198" s="71"/>
      <x:c r="GC198" s="71"/>
      <x:c r="GD198" s="71"/>
      <x:c r="GE198" s="71"/>
      <x:c r="GF198" s="71"/>
      <x:c r="GG198" s="71"/>
      <x:c r="GH198" s="71"/>
      <x:c r="GI198" s="71"/>
      <x:c r="GJ198" s="71"/>
      <x:c r="GK198" s="71"/>
      <x:c r="GL198" s="71"/>
      <x:c r="GM198" s="71"/>
      <x:c r="GN198" s="71"/>
      <x:c r="GO198" s="71"/>
      <x:c r="GP198" s="71"/>
      <x:c r="GQ198" s="71"/>
      <x:c r="GR198" s="71"/>
      <x:c r="GS198" s="71"/>
      <x:c r="GT198" s="71"/>
      <x:c r="GU198" s="71"/>
      <x:c r="GV198" s="71"/>
      <x:c r="GW198" s="71"/>
      <x:c r="GX198" s="71"/>
      <x:c r="GY198" s="71"/>
      <x:c r="GZ198" s="71"/>
      <x:c r="HA198" s="71"/>
      <x:c r="HB198" s="71"/>
      <x:c r="HC198" s="71"/>
      <x:c r="HD198" s="71"/>
      <x:c r="HE198" t="str">
        <x:f>IF('Calculations'!EM198="","",IF(IFERROR(IF(INDEX(INDIRECT("'WCM Calibration Final'!$A$1:$A$2000"),'Calculations'!$EM198)="","",TRIM(INDEX(INDIRECT("'WCM Calibration Final'!$A$1:$A$2000"),'Calculations'!$EM198)&amp;"")),"")&lt;&gt;"","G:"&amp;IFERROR(TEXT(1*INDEX(INDIRECT("'WCM Calibration Final'!$A$1:$A$2000"),'Calculations'!$EM198),"0"),UPPER(IFERROR(IF(INDEX(INDIRECT("'WCM Calibration Final'!$A$1:$A$2000"),'Calculations'!$EM198)="","",TRIM(INDEX(INDIRECT("'WCM Calibration Final'!$A$1:$A$2000"),'Calculations'!$EM198)&amp;"")),""))),IF(IFERROR(IF(INDEX(INDIRECT("'WCM Calibration Final'!$C$1:$C$2000"),'Calculations'!$EM198)="","",TRIM(INDEX(INDIRECT("'WCM Calibration Final'!$C$1:$C$2000"),'Calculations'!$EM198)&amp;"")),"")&lt;&gt;"","S:"&amp;UPPER(IFERROR(IF(INDEX(INDIRECT("'WCM Calibration Final'!$C$1:$C$2000"),'Calculations'!$EM198)="","",TRIM(INDEX(INDIRECT("'WCM Calibration Final'!$C$1:$C$2000"),'Calculations'!$EM198)&amp;"")),"")),"R:"&amp;'Calculations'!EM198)))</x:f>
      </x:c>
      <x:c r="HF198" t="str">
        <x:f>IF('Calculations'!EM198="","",IF(IFERROR(IF(INDEX(INDIRECT("'WCM Calibration Final'!$D$1:$D$2000"),'Calculations'!$EM198)="","",TRIM(INDEX(INDIRECT("'WCM Calibration Final'!$D$1:$D$2000"),'Calculations'!$EM198)&amp;"")),"")&lt;&gt;"","G:"&amp;IFERROR(TEXT(1*INDEX(INDIRECT("'WCM Calibration Final'!$D$1:$D$2000"),'Calculations'!$EM198),"0"),UPPER(IFERROR(IF(INDEX(INDIRECT("'WCM Calibration Final'!$D$1:$D$2000"),'Calculations'!$EM198)="","",TRIM(INDEX(INDIRECT("'WCM Calibration Final'!$D$1:$D$2000"),'Calculations'!$EM198)&amp;"")),""))),IF(IFERROR(IF(INDEX(INDIRECT("'WCM Calibration Final'!$E$1:$E$2000"),'Calculations'!$EM198)="","",TRIM(INDEX(INDIRECT("'WCM Calibration Final'!$E$1:$E$2000"),'Calculations'!$EM198)&amp;"")),"")="","",IF(COUNTIF('Calculations'!$HG$13:$HG$512,"="&amp;SUBSTITUTE(SUBSTITUTE(SUBSTITUTE(IFERROR(IF(INDEX(INDIRECT("'WCM Calibration Final'!$E$1:$E$2000"),'Calculations'!$EM198)="","",TRIM(INDEX(INDIRECT("'WCM Calibration Final'!$E$1:$E$2000"),'Calculations'!$EM198)&amp;"")),""),"~","~~"),"*","~*"),"?","~?"))=1,INDEX('Calculations'!$HE$13:$HE$512,MATCH(IFERROR(IF(INDEX(INDIRECT("'WCM Calibration Final'!$E$1:$E$2000"),'Calculations'!$EM198)="","",TRIM(INDEX(INDIRECT("'WCM Calibration Final'!$E$1:$E$2000"),'Calculations'!$EM198)&amp;"")),""),'Calculations'!$HG$13:$HG$512,0)),IF(COUNTIF('Calculations'!$HG$13:$HG$512,"="&amp;SUBSTITUTE(SUBSTITUTE(SUBSTITUTE(IFERROR(IF(INDEX(INDIRECT("'WCM Calibration Final'!$E$1:$E$2000"),'Calculations'!$EM198)="","",TRIM(INDEX(INDIRECT("'WCM Calibration Final'!$E$1:$E$2000"),'Calculations'!$EM198)&amp;"")),""),"~","~~"),"*","~*"),"?","~?"))&gt;1,"!AMBIG","X:"&amp;IFERROR(IF(INDEX(INDIRECT("'WCM Calibration Final'!$E$1:$E$2000"),'Calculations'!$EM198)="","",TRIM(INDEX(INDIRECT("'WCM Calibration Final'!$E$1:$E$2000"),'Calculations'!$EM198)&amp;"")),""))))))</x:f>
      </x:c>
      <x:c r="HG198" t="str">
        <x:f>IF('Calculations'!EM198="","",IFERROR(IF(INDEX(INDIRECT("'WCM Calibration Final'!$B$1:$B$2000"),'Calculations'!$EM198)="","",TRIM(INDEX(INDIRECT("'WCM Calibration Final'!$B$1:$B$2000"),'Calculations'!$EM198)&amp;"")),""))</x:f>
      </x:c>
      <x:c r="HH198" t="n">
        <x:f>IF(AND('Calculations'!JC198&gt;0,COUNTIF('Calculations'!$HF$12:HF198,"="&amp;SUBSTITUTE(SUBSTITUTE(SUBSTITUTE('Calculations'!HF198,"~","~~"),"*","~*"),"?","~?"))=1),MAX('Calculations'!$HH$12:HH197)+1,0)</x:f>
        <x:v>0</x:v>
      </x:c>
      <x:c r="HI198" t="n">
        <x:f>IF(AND('Calculations'!HN198&lt;&gt;"",COUNTIF('Calculations'!$HN$12:HN198,"="&amp;SUBSTITUTE(SUBSTITUTE(SUBSTITUTE('Calculations'!HN198,"~","~~"),"*","~*"),"?","~?"))=1),MAX('Calculations'!$HI$12:HI197)+1,0)</x:f>
        <x:v>0</x:v>
      </x:c>
      <x:c r="HJ198" t="str">
        <x:f>IF('Calculations'!HF198="","",IF(COUNTIF('Calculations'!$HE$13:$HE$512,"="&amp;SUBSTITUTE(SUBSTITUTE(SUBSTITUTE('Calculations'!HF198,"~","~~"),"*","~*"),"?","~?"))=1,INDEX('Calculations'!$HK$13:$HK$512,MATCH('Calculations'!HF198,'Calculations'!$HE$13:$HE$512,0)),IFERROR(IF(INDEX(INDIRECT("'WCM Calibration Final'!$E$1:$E$2000"),'Calculations'!$EM198)="","",TRIM(INDEX(INDIRECT("'WCM Calibration Final'!$E$1:$E$2000"),'Calculations'!$EM198)&amp;"")),"")&amp;" ["&amp;'Calculations'!HF198&amp;"]"))</x:f>
      </x:c>
      <x:c r="HK198" t="str">
        <x:f>IF('Calculations'!EM198="","",'Calculations'!HG198&amp;" ["&amp;'Calculations'!HE198&amp;"]")</x:f>
      </x:c>
      <x:c r="HL198" t="n">
        <x:f>IF('Calculations'!EM198="",0,IF(OR('Calculations'!II198&lt;&gt;"",COUNTIF('Calculations'!$HE$13:$HE$512,"="&amp;SUBSTITUTE(SUBSTITUTE(SUBSTITUTE('Calculations'!HE198,"~","~~"),"*","~*"),"?","~?"))&gt;1),1,0))</x:f>
        <x:v>0</x:v>
      </x:c>
      <x:c r="HM198" t="str">
        <x:f>IF('Calculations'!EM198="","",IF('Calculations'!HL198=1,"!UNRESOLVED",IF('Calculations'!IH198&lt;&gt;"",'Calculations'!IH198,IF('Calculations'!IG198&lt;&gt;"",'Calculations'!IG198,IF('Calculations'!IF198&lt;&gt;"",'Calculations'!IF198,IF('Calculations'!IE198&lt;&gt;"",'Calculations'!IE198,IF('Calculations'!ID198&lt;&gt;"",'Calculations'!ID198,IF('Calculations'!IC198&lt;&gt;"",'Calculations'!IC198,IF('Calculations'!IB198&lt;&gt;"",'Calculations'!IB198,IF('Calculations'!IA198&lt;&gt;"",'Calculations'!IA198,IF('Calculations'!HZ198&lt;&gt;"",'Calculations'!HZ198,IF('Calculations'!HY198&lt;&gt;"",'Calculations'!HY198,IF('Calculations'!HX198&lt;&gt;"",'Calculations'!HX198,IF('Calculations'!HW198&lt;&gt;"",'Calculations'!HW198,IF('Calculations'!HV198&lt;&gt;"",'Calculations'!HV198,IF('Calculations'!HU198&lt;&gt;"",'Calculations'!HU198,IF('Calculations'!HT198&lt;&gt;"",'Calculations'!HT198,IF('Calculations'!HS198&lt;&gt;"",'Calculations'!HS198,IF('Calculations'!HR198&lt;&gt;"",'Calculations'!HR198,IF('Calculations'!HQ198&lt;&gt;"",'Calculations'!HQ198,IF('Calculations'!HP198&lt;&gt;"",'Calculations'!HP198,IF('Calculations'!HO198&lt;&gt;"",'Calculations'!HO198,'Calculations'!HE198))))))))))))))))))))))</x:f>
      </x:c>
      <x:c r="HN198" t="str">
        <x:f>IF('Calculations'!EM198="","",IF(IFERROR(IF(INDEX(INDIRECT("'WCM Calibration Final'!$F$1:$F$2000"),'Calculations'!$EM198)="","",TRIM(INDEX(INDIRECT("'WCM Calibration Final'!$F$1:$F$2000"),'Calculations'!$EM198)&amp;"")),"")="","(Blank)",IFERROR(IF(INDEX(INDIRECT("'WCM Calibration Final'!$F$1:$F$2000"),'Calculations'!$EM198)="","",TRIM(INDEX(INDIRECT("'WCM Calibration Final'!$F$1:$F$2000"),'Calculations'!$EM198)&amp;"")),"")))</x:f>
      </x:c>
      <x:c r="HO198" t="str">
        <x:f>'Calculations'!HF198</x:f>
      </x:c>
      <x:c r="HP198" t="str">
        <x:f>IF('Calculations'!HO198="","",IF('Calculations'!HO198="!AMBIG","!AMBIG",IF(COUNTIF('Calculations'!$HE$13:$HE$512,"="&amp;SUBSTITUTE(SUBSTITUTE(SUBSTITUTE('Calculations'!HO198,"~","~~"),"*","~*"),"?","~?"))&gt;1,"!AMBIG",IFERROR(INDEX('Calculations'!$HF$13:$HF$512,MATCH('Calculations'!HO198,'Calculations'!$HE$13:$HE$512,0)),""))))</x:f>
      </x:c>
      <x:c r="HQ198" t="str">
        <x:f>IF('Calculations'!HP198="","",IF('Calculations'!HP198="!AMBIG","!AMBIG",IF(COUNTIF('Calculations'!$HE$13:$HE$512,"="&amp;SUBSTITUTE(SUBSTITUTE(SUBSTITUTE('Calculations'!HP198,"~","~~"),"*","~*"),"?","~?"))&gt;1,"!AMBIG",IFERROR(INDEX('Calculations'!$HF$13:$HF$512,MATCH('Calculations'!HP198,'Calculations'!$HE$13:$HE$512,0)),""))))</x:f>
      </x:c>
      <x:c r="HR198" t="str">
        <x:f>IF('Calculations'!HQ198="","",IF('Calculations'!HQ198="!AMBIG","!AMBIG",IF(COUNTIF('Calculations'!$HE$13:$HE$512,"="&amp;SUBSTITUTE(SUBSTITUTE(SUBSTITUTE('Calculations'!HQ198,"~","~~"),"*","~*"),"?","~?"))&gt;1,"!AMBIG",IFERROR(INDEX('Calculations'!$HF$13:$HF$512,MATCH('Calculations'!HQ198,'Calculations'!$HE$13:$HE$512,0)),""))))</x:f>
      </x:c>
      <x:c r="HS198" t="str">
        <x:f>IF('Calculations'!HR198="","",IF('Calculations'!HR198="!AMBIG","!AMBIG",IF(COUNTIF('Calculations'!$HE$13:$HE$512,"="&amp;SUBSTITUTE(SUBSTITUTE(SUBSTITUTE('Calculations'!HR198,"~","~~"),"*","~*"),"?","~?"))&gt;1,"!AMBIG",IFERROR(INDEX('Calculations'!$HF$13:$HF$512,MATCH('Calculations'!HR198,'Calculations'!$HE$13:$HE$512,0)),""))))</x:f>
      </x:c>
      <x:c r="HT198" t="str">
        <x:f>IF('Calculations'!HS198="","",IF('Calculations'!HS198="!AMBIG","!AMBIG",IF(COUNTIF('Calculations'!$HE$13:$HE$512,"="&amp;SUBSTITUTE(SUBSTITUTE(SUBSTITUTE('Calculations'!HS198,"~","~~"),"*","~*"),"?","~?"))&gt;1,"!AMBIG",IFERROR(INDEX('Calculations'!$HF$13:$HF$512,MATCH('Calculations'!HS198,'Calculations'!$HE$13:$HE$512,0)),""))))</x:f>
      </x:c>
      <x:c r="HU198" t="str">
        <x:f>IF('Calculations'!HT198="","",IF('Calculations'!HT198="!AMBIG","!AMBIG",IF(COUNTIF('Calculations'!$HE$13:$HE$512,"="&amp;SUBSTITUTE(SUBSTITUTE(SUBSTITUTE('Calculations'!HT198,"~","~~"),"*","~*"),"?","~?"))&gt;1,"!AMBIG",IFERROR(INDEX('Calculations'!$HF$13:$HF$512,MATCH('Calculations'!HT198,'Calculations'!$HE$13:$HE$512,0)),""))))</x:f>
      </x:c>
      <x:c r="HV198" t="str">
        <x:f>IF('Calculations'!HU198="","",IF('Calculations'!HU198="!AMBIG","!AMBIG",IF(COUNTIF('Calculations'!$HE$13:$HE$512,"="&amp;SUBSTITUTE(SUBSTITUTE(SUBSTITUTE('Calculations'!HU198,"~","~~"),"*","~*"),"?","~?"))&gt;1,"!AMBIG",IFERROR(INDEX('Calculations'!$HF$13:$HF$512,MATCH('Calculations'!HU198,'Calculations'!$HE$13:$HE$512,0)),""))))</x:f>
      </x:c>
      <x:c r="HW198" t="str">
        <x:f>IF('Calculations'!HV198="","",IF('Calculations'!HV198="!AMBIG","!AMBIG",IF(COUNTIF('Calculations'!$HE$13:$HE$512,"="&amp;SUBSTITUTE(SUBSTITUTE(SUBSTITUTE('Calculations'!HV198,"~","~~"),"*","~*"),"?","~?"))&gt;1,"!AMBIG",IFERROR(INDEX('Calculations'!$HF$13:$HF$512,MATCH('Calculations'!HV198,'Calculations'!$HE$13:$HE$512,0)),""))))</x:f>
      </x:c>
      <x:c r="HX198" t="str">
        <x:f>IF('Calculations'!HW198="","",IF('Calculations'!HW198="!AMBIG","!AMBIG",IF(COUNTIF('Calculations'!$HE$13:$HE$512,"="&amp;SUBSTITUTE(SUBSTITUTE(SUBSTITUTE('Calculations'!HW198,"~","~~"),"*","~*"),"?","~?"))&gt;1,"!AMBIG",IFERROR(INDEX('Calculations'!$HF$13:$HF$512,MATCH('Calculations'!HW198,'Calculations'!$HE$13:$HE$512,0)),""))))</x:f>
      </x:c>
      <x:c r="HY198" t="str">
        <x:f>IF('Calculations'!HX198="","",IF('Calculations'!HX198="!AMBIG","!AMBIG",IF(COUNTIF('Calculations'!$HE$13:$HE$512,"="&amp;SUBSTITUTE(SUBSTITUTE(SUBSTITUTE('Calculations'!HX198,"~","~~"),"*","~*"),"?","~?"))&gt;1,"!AMBIG",IFERROR(INDEX('Calculations'!$HF$13:$HF$512,MATCH('Calculations'!HX198,'Calculations'!$HE$13:$HE$512,0)),""))))</x:f>
      </x:c>
      <x:c r="HZ198" t="str">
        <x:f>IF('Calculations'!HY198="","",IF('Calculations'!HY198="!AMBIG","!AMBIG",IF(COUNTIF('Calculations'!$HE$13:$HE$512,"="&amp;SUBSTITUTE(SUBSTITUTE(SUBSTITUTE('Calculations'!HY198,"~","~~"),"*","~*"),"?","~?"))&gt;1,"!AMBIG",IFERROR(INDEX('Calculations'!$HF$13:$HF$512,MATCH('Calculations'!HY198,'Calculations'!$HE$13:$HE$512,0)),""))))</x:f>
      </x:c>
      <x:c r="IA198" t="str">
        <x:f>IF('Calculations'!HZ198="","",IF('Calculations'!HZ198="!AMBIG","!AMBIG",IF(COUNTIF('Calculations'!$HE$13:$HE$512,"="&amp;SUBSTITUTE(SUBSTITUTE(SUBSTITUTE('Calculations'!HZ198,"~","~~"),"*","~*"),"?","~?"))&gt;1,"!AMBIG",IFERROR(INDEX('Calculations'!$HF$13:$HF$512,MATCH('Calculations'!HZ198,'Calculations'!$HE$13:$HE$512,0)),""))))</x:f>
      </x:c>
      <x:c r="IB198" t="str">
        <x:f>IF('Calculations'!IA198="","",IF('Calculations'!IA198="!AMBIG","!AMBIG",IF(COUNTIF('Calculations'!$HE$13:$HE$512,"="&amp;SUBSTITUTE(SUBSTITUTE(SUBSTITUTE('Calculations'!IA198,"~","~~"),"*","~*"),"?","~?"))&gt;1,"!AMBIG",IFERROR(INDEX('Calculations'!$HF$13:$HF$512,MATCH('Calculations'!IA198,'Calculations'!$HE$13:$HE$512,0)),""))))</x:f>
      </x:c>
      <x:c r="IC198" t="str">
        <x:f>IF('Calculations'!IB198="","",IF('Calculations'!IB198="!AMBIG","!AMBIG",IF(COUNTIF('Calculations'!$HE$13:$HE$512,"="&amp;SUBSTITUTE(SUBSTITUTE(SUBSTITUTE('Calculations'!IB198,"~","~~"),"*","~*"),"?","~?"))&gt;1,"!AMBIG",IFERROR(INDEX('Calculations'!$HF$13:$HF$512,MATCH('Calculations'!IB198,'Calculations'!$HE$13:$HE$512,0)),""))))</x:f>
      </x:c>
      <x:c r="ID198" t="str">
        <x:f>IF('Calculations'!IC198="","",IF('Calculations'!IC198="!AMBIG","!AMBIG",IF(COUNTIF('Calculations'!$HE$13:$HE$512,"="&amp;SUBSTITUTE(SUBSTITUTE(SUBSTITUTE('Calculations'!IC198,"~","~~"),"*","~*"),"?","~?"))&gt;1,"!AMBIG",IFERROR(INDEX('Calculations'!$HF$13:$HF$512,MATCH('Calculations'!IC198,'Calculations'!$HE$13:$HE$512,0)),""))))</x:f>
      </x:c>
      <x:c r="IE198" t="str">
        <x:f>IF('Calculations'!ID198="","",IF('Calculations'!ID198="!AMBIG","!AMBIG",IF(COUNTIF('Calculations'!$HE$13:$HE$512,"="&amp;SUBSTITUTE(SUBSTITUTE(SUBSTITUTE('Calculations'!ID198,"~","~~"),"*","~*"),"?","~?"))&gt;1,"!AMBIG",IFERROR(INDEX('Calculations'!$HF$13:$HF$512,MATCH('Calculations'!ID198,'Calculations'!$HE$13:$HE$512,0)),""))))</x:f>
      </x:c>
      <x:c r="IF198" t="str">
        <x:f>IF('Calculations'!IE198="","",IF('Calculations'!IE198="!AMBIG","!AMBIG",IF(COUNTIF('Calculations'!$HE$13:$HE$512,"="&amp;SUBSTITUTE(SUBSTITUTE(SUBSTITUTE('Calculations'!IE198,"~","~~"),"*","~*"),"?","~?"))&gt;1,"!AMBIG",IFERROR(INDEX('Calculations'!$HF$13:$HF$512,MATCH('Calculations'!IE198,'Calculations'!$HE$13:$HE$512,0)),""))))</x:f>
      </x:c>
      <x:c r="IG198" t="str">
        <x:f>IF('Calculations'!IF198="","",IF('Calculations'!IF198="!AMBIG","!AMBIG",IF(COUNTIF('Calculations'!$HE$13:$HE$512,"="&amp;SUBSTITUTE(SUBSTITUTE(SUBSTITUTE('Calculations'!IF198,"~","~~"),"*","~*"),"?","~?"))&gt;1,"!AMBIG",IFERROR(INDEX('Calculations'!$HF$13:$HF$512,MATCH('Calculations'!IF198,'Calculations'!$HE$13:$HE$512,0)),""))))</x:f>
      </x:c>
      <x:c r="IH198" t="str">
        <x:f>IF('Calculations'!IG198="","",IF('Calculations'!IG198="!AMBIG","!AMBIG",IF(COUNTIF('Calculations'!$HE$13:$HE$512,"="&amp;SUBSTITUTE(SUBSTITUTE(SUBSTITUTE('Calculations'!IG198,"~","~~"),"*","~*"),"?","~?"))&gt;1,"!AMBIG",IFERROR(INDEX('Calculations'!$HF$13:$HF$512,MATCH('Calculations'!IG198,'Calculations'!$HE$13:$HE$512,0)),""))))</x:f>
      </x:c>
      <x:c r="II198" t="str">
        <x:f>IF('Calculations'!IH198="","",IF('Calculations'!IH198="!AMBIG","!AMBIG",IF(COUNTIF('Calculations'!$HE$13:$HE$512,"="&amp;SUBSTITUTE(SUBSTITUTE(SUBSTITUTE('Calculations'!IH198,"~","~~"),"*","~*"),"?","~?"))&gt;1,"!AMBIG",IFERROR(INDEX('Calculations'!$HF$13:$HF$512,MATCH('Calculations'!IH198,'Calculations'!$HE$13:$HE$512,0)),""))))</x:f>
      </x:c>
      <x:c r="IJ198" t="str">
        <x:f>IF('Calculations'!EM198="","",IF('Calculations'!$EF$2="All",'Calculations'!HM198,IF('Calculations'!HL198=1,"",IFERROR(IF(MATCH('Calculations'!$EF$2,'Calculations'!HO198:II198,0)=1,'Calculations'!HE198,INDEX('Calculations'!HO198:II198,1,MATCH('Calculations'!$EF$2,'Calculations'!HO198:II198,0)-1)),""))))</x:f>
      </x:c>
      <x:c r="IK198" t="n">
        <x:f>IF(AND('Calculations'!EM198&lt;&gt;"",'Calculations'!$EF$2&lt;&gt;"All",'Calculations'!HF198='Calculations'!$EF$2,'Calculations'!HL198=0,'Calculations'!JD198&gt;0),MAX('Calculations'!$IK$12:IK197)+1,0)</x:f>
        <x:v>0</x:v>
      </x:c>
      <x:c r="JA198" t="n">
        <x:f>IF(OR(IFERROR(INDIRECT("'WCM Calibration Final'!$A$198")&lt;&gt;"",FALSE),IFERROR(INDIRECT("'WCM Calibration Final'!$B$198")&lt;&gt;"",FALSE),IFERROR(INDIRECT("'WCM Calibration Final'!$C$198")&lt;&gt;"",FALSE)),198,0)</x:f>
        <x:v>0</x:v>
      </x:c>
      <x:c r="JB198" t="n">
        <x:f>'Calculations'!JB197+IF('Calculations'!JA198&gt;0,1,0)</x:f>
        <x:v>0</x:v>
      </x:c>
      <x:c r="JC198" t="n">
        <x:f>IF(OR('Calculations'!HF198="",'Calculations'!HF198="!AMBIG"),0,IF('Dashboard'!$B$7="All",1,COUNTIFS('Calculations'!$HO$13:$HO$512,"="&amp;SUBSTITUTE(SUBSTITUTE(SUBSTITUTE('Calculations'!HF198,"~","~~"),"*","~*"),"?","~?"),'Calculations'!$HN$13:$HN$512,"="&amp;SUBSTITUTE(SUBSTITUTE(SUBSTITUTE('Dashboard'!$B$7,"~","~~"),"*","~*"),"?","~?"))+COUNTIFS('Calculations'!$HP$13:$HP$512,"="&amp;SUBSTITUTE(SUBSTITUTE(SUBSTITUTE('Calculations'!HF198,"~","~~"),"*","~*"),"?","~?"),'Calculations'!$HN$13:$HN$512,"="&amp;SUBSTITUTE(SUBSTITUTE(SUBSTITUTE('Dashboard'!$B$7,"~","~~"),"*","~*"),"?","~?"))+COUNTIFS('Calculations'!$HQ$13:$HQ$512,"="&amp;SUBSTITUTE(SUBSTITUTE(SUBSTITUTE('Calculations'!HF198,"~","~~"),"*","~*"),"?","~?"),'Calculations'!$HN$13:$HN$512,"="&amp;SUBSTITUTE(SUBSTITUTE(SUBSTITUTE('Dashboard'!$B$7,"~","~~"),"*","~*"),"?","~?"))+COUNTIFS('Calculations'!$HR$13:$HR$512,"="&amp;SUBSTITUTE(SUBSTITUTE(SUBSTITUTE('Calculations'!HF198,"~","~~"),"*","~*"),"?","~?"),'Calculations'!$HN$13:$HN$512,"="&amp;SUBSTITUTE(SUBSTITUTE(SUBSTITUTE('Dashboard'!$B$7,"~","~~"),"*","~*"),"?","~?"))+COUNTIFS('Calculations'!$HS$13:$HS$512,"="&amp;SUBSTITUTE(SUBSTITUTE(SUBSTITUTE('Calculations'!HF198,"~","~~"),"*","~*"),"?","~?"),'Calculations'!$HN$13:$HN$512,"="&amp;SUBSTITUTE(SUBSTITUTE(SUBSTITUTE('Dashboard'!$B$7,"~","~~"),"*","~*"),"?","~?"))+COUNTIFS('Calculations'!$HT$13:$HT$512,"="&amp;SUBSTITUTE(SUBSTITUTE(SUBSTITUTE('Calculations'!HF198,"~","~~"),"*","~*"),"?","~?"),'Calculations'!$HN$13:$HN$512,"="&amp;SUBSTITUTE(SUBSTITUTE(SUBSTITUTE('Dashboard'!$B$7,"~","~~"),"*","~*"),"?","~?"))+COUNTIFS('Calculations'!$HU$13:$HU$512,"="&amp;SUBSTITUTE(SUBSTITUTE(SUBSTITUTE('Calculations'!HF198,"~","~~"),"*","~*"),"?","~?"),'Calculations'!$HN$13:$HN$512,"="&amp;SUBSTITUTE(SUBSTITUTE(SUBSTITUTE('Dashboard'!$B$7,"~","~~"),"*","~*"),"?","~?"))+COUNTIFS('Calculations'!$HV$13:$HV$512,"="&amp;SUBSTITUTE(SUBSTITUTE(SUBSTITUTE('Calculations'!HF198,"~","~~"),"*","~*"),"?","~?"),'Calculations'!$HN$13:$HN$512,"="&amp;SUBSTITUTE(SUBSTITUTE(SUBSTITUTE('Dashboard'!$B$7,"~","~~"),"*","~*"),"?","~?"))+COUNTIFS('Calculations'!$HW$13:$HW$512,"="&amp;SUBSTITUTE(SUBSTITUTE(SUBSTITUTE('Calculations'!HF198,"~","~~"),"*","~*"),"?","~?"),'Calculations'!$HN$13:$HN$512,"="&amp;SUBSTITUTE(SUBSTITUTE(SUBSTITUTE('Dashboard'!$B$7,"~","~~"),"*","~*"),"?","~?"))+COUNTIFS('Calculations'!$HX$13:$HX$512,"="&amp;SUBSTITUTE(SUBSTITUTE(SUBSTITUTE('Calculations'!HF198,"~","~~"),"*","~*"),"?","~?"),'Calculations'!$HN$13:$HN$512,"="&amp;SUBSTITUTE(SUBSTITUTE(SUBSTITUTE('Dashboard'!$B$7,"~","~~"),"*","~*"),"?","~?"))+COUNTIFS('Calculations'!$HY$13:$HY$512,"="&amp;SUBSTITUTE(SUBSTITUTE(SUBSTITUTE('Calculations'!HF198,"~","~~"),"*","~*"),"?","~?"),'Calculations'!$HN$13:$HN$512,"="&amp;SUBSTITUTE(SUBSTITUTE(SUBSTITUTE('Dashboard'!$B$7,"~","~~"),"*","~*"),"?","~?"))+COUNTIFS('Calculations'!$HZ$13:$HZ$512,"="&amp;SUBSTITUTE(SUBSTITUTE(SUBSTITUTE('Calculations'!HF198,"~","~~"),"*","~*"),"?","~?"),'Calculations'!$HN$13:$HN$512,"="&amp;SUBSTITUTE(SUBSTITUTE(SUBSTITUTE('Dashboard'!$B$7,"~","~~"),"*","~*"),"?","~?"))+COUNTIFS('Calculations'!$IA$13:$IA$512,"="&amp;SUBSTITUTE(SUBSTITUTE(SUBSTITUTE('Calculations'!HF198,"~","~~"),"*","~*"),"?","~?"),'Calculations'!$HN$13:$HN$512,"="&amp;SUBSTITUTE(SUBSTITUTE(SUBSTITUTE('Dashboard'!$B$7,"~","~~"),"*","~*"),"?","~?"))+COUNTIFS('Calculations'!$IB$13:$IB$512,"="&amp;SUBSTITUTE(SUBSTITUTE(SUBSTITUTE('Calculations'!HF198,"~","~~"),"*","~*"),"?","~?"),'Calculations'!$HN$13:$HN$512,"="&amp;SUBSTITUTE(SUBSTITUTE(SUBSTITUTE('Dashboard'!$B$7,"~","~~"),"*","~*"),"?","~?"))+COUNTIFS('Calculations'!$IC$13:$IC$512,"="&amp;SUBSTITUTE(SUBSTITUTE(SUBSTITUTE('Calculations'!HF198,"~","~~"),"*","~*"),"?","~?"),'Calculations'!$HN$13:$HN$512,"="&amp;SUBSTITUTE(SUBSTITUTE(SUBSTITUTE('Dashboard'!$B$7,"~","~~"),"*","~*"),"?","~?"))+COUNTIFS('Calculations'!$ID$13:$ID$512,"="&amp;SUBSTITUTE(SUBSTITUTE(SUBSTITUTE('Calculations'!HF198,"~","~~"),"*","~*"),"?","~?"),'Calculations'!$HN$13:$HN$512,"="&amp;SUBSTITUTE(SUBSTITUTE(SUBSTITUTE('Dashboard'!$B$7,"~","~~"),"*","~*"),"?","~?"))+COUNTIFS('Calculations'!$IE$13:$IE$512,"="&amp;SUBSTITUTE(SUBSTITUTE(SUBSTITUTE('Calculations'!HF198,"~","~~"),"*","~*"),"?","~?"),'Calculations'!$HN$13:$HN$512,"="&amp;SUBSTITUTE(SUBSTITUTE(SUBSTITUTE('Dashboard'!$B$7,"~","~~"),"*","~*"),"?","~?"))+COUNTIFS('Calculations'!$IF$13:$IF$512,"="&amp;SUBSTITUTE(SUBSTITUTE(SUBSTITUTE('Calculations'!HF198,"~","~~"),"*","~*"),"?","~?"),'Calculations'!$HN$13:$HN$512,"="&amp;SUBSTITUTE(SUBSTITUTE(SUBSTITUTE('Dashboard'!$B$7,"~","~~"),"*","~*"),"?","~?"))+COUNTIFS('Calculations'!$IG$13:$IG$512,"="&amp;SUBSTITUTE(SUBSTITUTE(SUBSTITUTE('Calculations'!HF198,"~","~~"),"*","~*"),"?","~?"),'Calculations'!$HN$13:$HN$512,"="&amp;SUBSTITUTE(SUBSTITUTE(SUBSTITUTE('Dashboard'!$B$7,"~","~~"),"*","~*"),"?","~?"))+COUNTIFS('Calculations'!$IH$13:$IH$512,"="&amp;SUBSTITUTE(SUBSTITUTE(SUBSTITUTE('Calculations'!HF198,"~","~~"),"*","~*"),"?","~?"),'Calculations'!$HN$13:$HN$512,"="&amp;SUBSTITUTE(SUBSTITUTE(SUBSTITUTE('Dashboard'!$B$7,"~","~~"),"*","~*"),"?","~?"))))</x:f>
        <x:v>0</x:v>
      </x:c>
      <x:c r="JD198" t="n">
        <x:f>IF('Calculations'!EM198="",0,IF('Dashboard'!$B$7="All",1,IF('Calculations'!HN198='Dashboard'!$B$7,1,0)+IFERROR(INDEX('Calculations'!$JC$13:$JC$512,MATCH('Calculations'!HE198,'Calculations'!$HF$13:$HF$512,0)),0)))</x:f>
        <x:v>0</x:v>
      </x:c>
      <x:c r="JE198" t="n">
        <x:f>IF(AND('Calculations'!EM198&lt;&gt;"",'Calculations'!$JJ$2&lt;&gt;"All",'Calculations'!$JJ$2&lt;&gt;"",'Calculations'!HF198='Calculations'!$JJ$2,'Calculations'!HL198=0,'Calculations'!JD198&gt;0),MAX('Calculations'!$JE$12:JE197)+1,0)</x:f>
        <x:v>0</x:v>
      </x:c>
      <x:c r="JF198" t="str">
        <x:f>IF('Calculations'!EM198="","",IFERROR(IF(INDEX(INDIRECT("'WCM Calibration Final'!$G$1:$G$2000"),'Calculations'!$EM198)="","",TRIM(INDEX(INDIRECT("'WCM Calibration Final'!$G$1:$G$2000"),'Calculations'!$EM198)&amp;"")),""))</x:f>
      </x:c>
      <x:c r="JQ198" t="n">
        <x:f>IF(OR('Calculations'!BM198=0,NOT('Calculations'!$AG$2),'Calculations'!$AG$8&gt;0),0,IF(OR('Dashboard'!$B$7="All",'Calculations'!HN198='Dashboard'!$B$7),IF('Calculations'!$JJ$2="All",1,IF(AND('Calculations'!HF198='Calculations'!$JJ$2,'Calculations'!HL198=0),1,0)),0))</x:f>
        <x:v>0</x:v>
      </x:c>
    </x:row>
    <x:row r="199">
      <x:c r="AF199" s="4"/>
      <x:c r="AG199" s="4"/>
      <x:c r="AH199" s="4"/>
      <x:c r="AI199" s="4"/>
      <x:c r="AJ199" s="4"/>
      <x:c r="AK199" s="4"/>
      <x:c r="AL199" s="4"/>
      <x:c r="AM199" s="4"/>
      <x:c r="AN199" s="4"/>
      <x:c r="AO199" s="4"/>
      <x:c r="AP199" s="4"/>
      <x:c r="AQ199" s="4"/>
      <x:c r="AR199" s="4"/>
      <x:c r="AS199" s="4"/>
      <x:c r="AT199" s="4"/>
      <x:c r="AU199" s="4"/>
      <x:c r="AV199" s="4"/>
      <x:c r="AW199" s="4"/>
      <x:c r="AX199" s="4"/>
      <x:c r="AY199" s="4"/>
      <x:c r="AZ199" s="4"/>
      <x:c r="BA199" s="4"/>
      <x:c r="BB199" s="4"/>
      <x:c r="BC199" s="4"/>
      <x:c r="BD199" s="4"/>
      <x:c r="BE199" s="4"/>
      <x:c r="BF199" s="4"/>
      <x:c r="BG199" s="4"/>
      <x:c r="BH199" s="4"/>
      <x:c r="BI199" s="4"/>
      <x:c r="BJ199" s="4"/>
      <x:c r="BK199" s="4"/>
      <x:c r="BL199" s="4"/>
      <x:c r="BM199" s="4" t="n">
        <x:f>IF('Calculations'!$EM199="",0,IF(OR(IFERROR(INDEX(INDIRECT("'WCM Calibration Final'!$A$1:$A$2000"),'Calculations'!$EM199)&lt;&gt;"",FALSE),IFERROR(INDEX(INDIRECT("'WCM Calibration Final'!$B$1:$B$2000"),'Calculations'!$EM199)&lt;&gt;"",FALSE),IFERROR(INDEX(INDIRECT("'WCM Calibration Final'!$C$1:$C$2000"),'Calculations'!$EM199)&lt;&gt;"",FALSE)),1,0))</x:f>
        <x:v>0</x:v>
      </x:c>
      <x:c r="BN199" s="4" t="n">
        <x:f>IF(AND('Calculations'!BM199=1,'Calculations'!$AG$2,'Calculations'!$EN199=1),1,0)</x:f>
        <x:v>0</x:v>
      </x:c>
      <x:c r="BO199" s="4" t="str">
        <x:f>IF('Calculations'!BM199=0,"",IFERROR(IF(AND(VALUE(INDEX(INDIRECT("'WCM Calibration Final'!$K$1:$K$2000"),'Calculations'!$EM199))&gt;=1,VALUE(INDEX(INDIRECT("'WCM Calibration Final'!$K$1:$K$2000"),'Calculations'!$EM199))&lt;=4,MOD(VALUE(INDEX(INDIRECT("'WCM Calibration Final'!$K$1:$K$2000"),'Calculations'!$EM199)),1)=0),VALUE(INDEX(INDIRECT("'WCM Calibration Final'!$K$1:$K$2000"),'Calculations'!$EM199)),""),""))</x:f>
      </x:c>
      <x:c r="BP199" s="4" t="str">
        <x:f>IF('Calculations'!BM199=0,"",IFERROR(IF(AND(VALUE(INDEX(INDIRECT("'WCM Calibration Final'!$L$1:$L$2000"),'Calculations'!$EM199))&gt;=1,VALUE(INDEX(INDIRECT("'WCM Calibration Final'!$L$1:$L$2000"),'Calculations'!$EM199))&lt;=4,MOD(VALUE(INDEX(INDIRECT("'WCM Calibration Final'!$L$1:$L$2000"),'Calculations'!$EM199)),1)=0),VALUE(INDEX(INDIRECT("'WCM Calibration Final'!$L$1:$L$2000"),'Calculations'!$EM199)),""),""))</x:f>
      </x:c>
      <x:c r="BQ199" s="4"/>
      <x:c r="BR199" s="4"/>
      <x:c r="BS199" s="4"/>
      <x:c r="BT199" s="4" t="n">
        <x:f>IF(AND('Calculations'!BM199=1,ISNUMBER('Calculations'!BO199),ISNUMBER('Calculations'!BP199)),1,0)</x:f>
        <x:v>0</x:v>
      </x:c>
      <x:c r="BU199" s="4" t="str">
        <x:f>IF('Calculations'!BM199=0,"",'Calculations'!$EO199)</x:f>
      </x:c>
      <x:c r="BV199" s="4" t="str">
        <x:f>IF('Calculations'!BM199=0,"",IFERROR(IF(OR(INDEX(INDIRECT("'WCM Calibration Final'!$H$1:$H$2000"),'Calculations'!$EM199)="MANAGING DIRECTOR",INDEX(INDIRECT("'WCM Calibration Final'!$H$1:$H$2000"),'Calculations'!$EM199)="DIRECTOR",INDEX(INDIRECT("'WCM Calibration Final'!$H$1:$H$2000"),'Calculations'!$EM199)="SENIOR VICE PRESIDENT",INDEX(INDIRECT("'WCM Calibration Final'!$H$1:$H$2000"),'Calculations'!$EM199)="VICE PRESIDENT",INDEX(INDIRECT("'WCM Calibration Final'!$H$1:$H$2000"),'Calculations'!$EM199)="ASSISTANT VICE PRESIDENT",INDEX(INDIRECT("'WCM Calibration Final'!$H$1:$H$2000"),'Calculations'!$EM199)="OFFICER"),UPPER(INDEX(INDIRECT("'WCM Calibration Final'!$H$1:$H$2000"),'Calculations'!$EM199)),"Other"),"Other"))</x:f>
      </x:c>
      <x:c r="BW199" s="4"/>
      <x:c r="BX199" s="4"/>
      <x:c r="BY199" s="4" t="n">
        <x:f>IF(AND('Calculations'!BM199=1,'Calculations'!BU199&lt;&gt;"",COUNTIF('Calculations'!$BU$12:BU199,'Calculations'!BU199)=1),MAX('Calculations'!$BY$11:BY198)+1,0)</x:f>
        <x:v>0</x:v>
      </x:c>
      <x:c r="BZ199" s="4" t="str">
        <x:f>IF('Dashboard'!$E$67="What",'Calculations'!BO199,'Calculations'!BP199)</x:f>
      </x:c>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t="str">
        <x:f>IF(188&gt;MAX('Calculations'!$HI$13:$HI$512),"",INDEX('Calculations'!$HN$13:$HN$512,MATCH(188,'Calculations'!$HI$13:$HI$512,0)))</x:f>
      </x:c>
      <x:c r="DB199" s="4" t="str">
        <x:f>IF(188&gt;MAX('Calculations'!$HH$13:$HH$512),"",INDEX('Calculations'!$HJ$13:$HJ$512,MATCH(188,'Calculations'!$HH$13:$HH$512,0)))</x:f>
      </x:c>
      <x:c r="DC199" s="4" t="str">
        <x:f>IF(ROW()-11&gt;MAX('Calculations'!$BY$13:$BY$512),"",INDEX('Calculations'!$BU$13:$BU$512,MATCH(ROW()-11,'Calculations'!$BY$13:$BY$512,0)))</x:f>
      </x:c>
      <x:c r="DD199" s="4" t="str">
        <x:f>IF(188&gt;MAX('Calculations'!$IK$13:$IK$512),"",INDEX('Calculations'!$HK$13:$HK$512,MATCH(188,'Calculations'!$IK$13:$IK$512,0)))</x:f>
      </x:c>
      <x:c r="DE199" s="4" t="str">
        <x:f>'Calculations'!DC199</x:f>
      </x:c>
      <x:c r="DF199" s="4" t="str">
        <x:f>IF('Calculations'!DE199="","",COUNTIFS('Calculations'!$BN$13:$BN$512,1,'Calculations'!$BU$13:$BU$512,'Calculations'!DE199))</x:f>
      </x:c>
      <x:c r="DG199" s="4" t="str">
        <x:f>IF('Calculations'!DE199="","",COUNTIFS('Calculations'!$BN$13:$BN$512,1,'Calculations'!$BU$13:$BU$512,'Calculations'!DE199,'Calculations'!$BT$13:$BT$512,1))</x:f>
      </x:c>
      <x:c r="DH199" s="4" t="str">
        <x:f>IF('Calculations'!DE199="","",'Calculations'!DF199-'Calculations'!DG199)</x:f>
      </x:c>
      <x:c r="DI199" s="4" t="str">
        <x:f>IF(OR('Calculations'!DE199="",'Calculations'!DF199=0),"",'Calculations'!DG199/'Calculations'!DF199)</x:f>
      </x:c>
      <x:c r="DJ199" s="4" t="str">
        <x:f>IF('Calculations'!DE199="","",COUNTIFS('Calculations'!$BN$13:$BN$512,1,'Calculations'!$BU$13:$BU$512,'Calculations'!DE199,'Calculations'!$BT$13:$BT$512,1,'Calculations'!$EE$13:$EE$512,"High"))</x:f>
      </x:c>
      <x:c r="DK199" s="4" t="str">
        <x:f>IF('Calculations'!DE199="","",COUNTIFS('Calculations'!$BN$13:$BN$512,1,'Calculations'!$BU$13:$BU$512,'Calculations'!DE199,'Calculations'!$BT$13:$BT$512,1,'Calculations'!$EE$13:$EE$512,"Strong"))</x:f>
      </x:c>
      <x:c r="DL199" s="4" t="str">
        <x:f>IF('Calculations'!DE199="","",COUNTIFS('Calculations'!$BN$13:$BN$512,1,'Calculations'!$BU$13:$BU$512,'Calculations'!DE199,'Calculations'!$BT$13:$BT$512,1,'Calculations'!$EE$13:$EE$512,"Solid"))</x:f>
      </x:c>
      <x:c r="DM199" s="4" t="str">
        <x:f>IF('Calculations'!DE199="","",COUNTIFS('Calculations'!$BN$13:$BN$512,1,'Calculations'!$BU$13:$BU$512,'Calculations'!DE199,'Calculations'!$BT$13:$BT$512,1,'Calculations'!$EE$13:$EE$512,"Low"))</x:f>
      </x:c>
      <x:c r="DN199" s="4" t="str">
        <x:f>IF('Calculations'!DE199="","",COUNTIFS('Calculations'!$BN$13:$BN$512,1,'Calculations'!$BU$13:$BU$512,'Calculations'!DE199,'Calculations'!$EP$13:$EP$512,1))</x:f>
      </x:c>
      <x:c r="DO199" s="4" t="str">
        <x:f>IF(OR('Calculations'!DE199="",'Calculations'!DG199=0),"",('Calculations'!DJ199+'Calculations'!DK199)/'Calculations'!DG199)</x:f>
      </x:c>
      <x:c r="DP199" s="4" t="n">
        <x:f>IF(AND('Calculations'!DE199&lt;&gt;"",'Calculations'!DF199&gt;0),COUNTIF('Calculations'!$DF$12:DF199,"&gt;0"),0)</x:f>
        <x:v>0</x:v>
      </x:c>
      <x:c r="DQ199" s="4" t="str">
        <x:f>IF(188&gt;MAX('Calculations'!$HH$13:$HH$512),"",INDEX('Calculations'!$HF$13:$HF$512,MATCH(188,'Calculations'!$HH$13:$HH$512,0)))</x:f>
      </x:c>
      <x:c r="DR199" s="4" t="str">
        <x:f>IF(188&gt;MAX('Calculations'!$IK$13:$IK$512),"",INDEX('Calculations'!$HE$13:$HE$512,MATCH(188,'Calculations'!$IK$13:$IK$512,0)))</x:f>
      </x:c>
      <x:c r="DS199" s="4"/>
      <x:c r="DT199" s="4"/>
      <x:c r="DU199" s="4"/>
      <x:c r="DV199" s="4"/>
      <x:c r="DW199" s="4"/>
      <x:c r="DX199" s="4"/>
      <x:c r="DY199" s="4"/>
      <x:c r="DZ199" s="4"/>
      <x:c r="EA199" s="4"/>
      <x:c r="EB199" s="4"/>
      <x:c r="EC199" s="4"/>
      <x:c r="ED199" s="4"/>
      <x:c r="EE199" s="4" t="str">
        <x:f>IF('Calculations'!BT199=0,"Not Rated",IF(OR('Calculations'!BO199&gt;=4,'Calculations'!BP199&gt;=4),"Low",IF('Calculations'!BO199+'Calculations'!BP199&lt;=3,"High",IF('Calculations'!BO199+'Calculations'!BP199&lt;=4,"Strong","Solid"))))</x:f>
        <x:v>Not Rated</x:v>
      </x:c>
      <x:c r="EF199" s="4"/>
      <x:c r="EG199" s="4"/>
      <x:c r="EH199" s="4"/>
      <x:c r="EI199" s="4"/>
      <x:c r="EJ199" s="4"/>
      <x:c r="EK199" s="4"/>
      <x:c r="EL199" s="4"/>
      <x:c r="EM199" s="4" t="str">
        <x:f>IF(187&gt;'Calculations'!$JB$2000,"",INDEX('Calculations'!$JA$12:$JA$2000,MATCH(187,'Calculations'!$JB$12:$JB$2000,0)))</x:f>
      </x:c>
      <x:c r="EN199" s="4" t="n">
        <x:f>IF(OR('Calculations'!EM199="",'Calculations'!$AG$8&gt;0,AND('Calculations'!$EF$2&lt;&gt;"All",'Calculations'!HE199='Calculations'!$EF$2),AND('Calculations'!$EF$3&lt;&gt;"All",'Calculations'!HE199='Calculations'!$EF$3)),0,IF(OR('Dashboard'!$B$7="All",'Calculations'!HN199='Dashboard'!$B$7),IF('Calculations'!$EF$2="All",1,IF('Calculations'!HL199&gt;0,0,IF(COUNTIF('Calculations'!HO199:II199,"="&amp;SUBSTITUTE(SUBSTITUTE(SUBSTITUTE('Calculations'!$EF$2,"~","~~"),"*","~*"),"?","~?"))=0,0,IF('Calculations'!$EF$3="All",1,IF(COUNTIF('Calculations'!HO199:II199,"="&amp;SUBSTITUTE(SUBSTITUTE(SUBSTITUTE('Calculations'!$EF$3,"~","~~"),"*","~*"),"?","~?"))&gt;0,1,0))))),0))</x:f>
        <x:v>0</x:v>
      </x:c>
      <x:c r="EO199" s="4" t="str">
        <x:f>IF('Calculations'!IJ199="","",IF('Calculations'!IJ199="!UNRESOLVED","Unresolved hierarchy",IFERROR(INDEX('Calculations'!$HK$13:$HK$512,MATCH('Calculations'!IJ199,'Calculations'!$HE$13:$HE$512,0)),IFERROR(INDEX('Calculations'!$HJ$13:$HJ$512,MATCH('Calculations'!IJ199,'Calculations'!$HF$13:$HF$512,0)),'Calculations'!IJ199))))</x:f>
      </x:c>
      <x:c r="EP199" s="4" t="n">
        <x:f>IF(AND('Calculations'!EM199&lt;&gt;"",'Calculations'!HF199='Calculations'!IJ199),1,0)</x:f>
        <x:v>0</x:v>
      </x:c>
      <x:c r="EQ199" s="4"/>
      <x:c r="ER199" s="4"/>
      <x:c r="ES199" s="4"/>
      <x:c r="ET199" s="4"/>
      <x:c r="EU199" s="4"/>
      <x:c r="EV199" s="4"/>
      <x:c r="EW199" s="4"/>
      <x:c r="EX199" s="4"/>
      <x:c r="EY199" s="4"/>
      <x:c r="EZ199" s="4"/>
      <x:c r="FA199" s="4"/>
      <x:c r="FB199" s="4"/>
      <x:c r="FC199" s="4"/>
      <x:c r="FD199" s="4"/>
      <x:c r="FE199" s="4"/>
      <x:c r="FF199" s="4"/>
      <x:c r="FG199" s="4"/>
      <x:c r="FH199" s="4"/>
      <x:c r="FI199" s="4"/>
      <x:c r="FJ199" s="4"/>
      <x:c r="FK199" s="4"/>
      <x:c r="FL199" s="4"/>
      <x:c r="FM199" s="4"/>
      <x:c r="FN199" s="4"/>
      <x:c r="FO199" s="4"/>
      <x:c r="GA199" s="71"/>
      <x:c r="GB199" s="71"/>
      <x:c r="GC199" s="71"/>
      <x:c r="GD199" s="71"/>
      <x:c r="GE199" s="71"/>
      <x:c r="GF199" s="71"/>
      <x:c r="GG199" s="71"/>
      <x:c r="GH199" s="71"/>
      <x:c r="GI199" s="71"/>
      <x:c r="GJ199" s="71"/>
      <x:c r="GK199" s="71"/>
      <x:c r="GL199" s="71"/>
      <x:c r="GM199" s="71"/>
      <x:c r="GN199" s="71"/>
      <x:c r="GO199" s="71"/>
      <x:c r="GP199" s="71"/>
      <x:c r="GQ199" s="71"/>
      <x:c r="GR199" s="71"/>
      <x:c r="GS199" s="71"/>
      <x:c r="GT199" s="71"/>
      <x:c r="GU199" s="71"/>
      <x:c r="GV199" s="71"/>
      <x:c r="GW199" s="71"/>
      <x:c r="GX199" s="71"/>
      <x:c r="GY199" s="71"/>
      <x:c r="GZ199" s="71"/>
      <x:c r="HA199" s="71"/>
      <x:c r="HB199" s="71"/>
      <x:c r="HC199" s="71"/>
      <x:c r="HD199" s="71"/>
      <x:c r="HE199" t="str">
        <x:f>IF('Calculations'!EM199="","",IF(IFERROR(IF(INDEX(INDIRECT("'WCM Calibration Final'!$A$1:$A$2000"),'Calculations'!$EM199)="","",TRIM(INDEX(INDIRECT("'WCM Calibration Final'!$A$1:$A$2000"),'Calculations'!$EM199)&amp;"")),"")&lt;&gt;"","G:"&amp;IFERROR(TEXT(1*INDEX(INDIRECT("'WCM Calibration Final'!$A$1:$A$2000"),'Calculations'!$EM199),"0"),UPPER(IFERROR(IF(INDEX(INDIRECT("'WCM Calibration Final'!$A$1:$A$2000"),'Calculations'!$EM199)="","",TRIM(INDEX(INDIRECT("'WCM Calibration Final'!$A$1:$A$2000"),'Calculations'!$EM199)&amp;"")),""))),IF(IFERROR(IF(INDEX(INDIRECT("'WCM Calibration Final'!$C$1:$C$2000"),'Calculations'!$EM199)="","",TRIM(INDEX(INDIRECT("'WCM Calibration Final'!$C$1:$C$2000"),'Calculations'!$EM199)&amp;"")),"")&lt;&gt;"","S:"&amp;UPPER(IFERROR(IF(INDEX(INDIRECT("'WCM Calibration Final'!$C$1:$C$2000"),'Calculations'!$EM199)="","",TRIM(INDEX(INDIRECT("'WCM Calibration Final'!$C$1:$C$2000"),'Calculations'!$EM199)&amp;"")),"")),"R:"&amp;'Calculations'!EM199)))</x:f>
      </x:c>
      <x:c r="HF199" t="str">
        <x:f>IF('Calculations'!EM199="","",IF(IFERROR(IF(INDEX(INDIRECT("'WCM Calibration Final'!$D$1:$D$2000"),'Calculations'!$EM199)="","",TRIM(INDEX(INDIRECT("'WCM Calibration Final'!$D$1:$D$2000"),'Calculations'!$EM199)&amp;"")),"")&lt;&gt;"","G:"&amp;IFERROR(TEXT(1*INDEX(INDIRECT("'WCM Calibration Final'!$D$1:$D$2000"),'Calculations'!$EM199),"0"),UPPER(IFERROR(IF(INDEX(INDIRECT("'WCM Calibration Final'!$D$1:$D$2000"),'Calculations'!$EM199)="","",TRIM(INDEX(INDIRECT("'WCM Calibration Final'!$D$1:$D$2000"),'Calculations'!$EM199)&amp;"")),""))),IF(IFERROR(IF(INDEX(INDIRECT("'WCM Calibration Final'!$E$1:$E$2000"),'Calculations'!$EM199)="","",TRIM(INDEX(INDIRECT("'WCM Calibration Final'!$E$1:$E$2000"),'Calculations'!$EM199)&amp;"")),"")="","",IF(COUNTIF('Calculations'!$HG$13:$HG$512,"="&amp;SUBSTITUTE(SUBSTITUTE(SUBSTITUTE(IFERROR(IF(INDEX(INDIRECT("'WCM Calibration Final'!$E$1:$E$2000"),'Calculations'!$EM199)="","",TRIM(INDEX(INDIRECT("'WCM Calibration Final'!$E$1:$E$2000"),'Calculations'!$EM199)&amp;"")),""),"~","~~"),"*","~*"),"?","~?"))=1,INDEX('Calculations'!$HE$13:$HE$512,MATCH(IFERROR(IF(INDEX(INDIRECT("'WCM Calibration Final'!$E$1:$E$2000"),'Calculations'!$EM199)="","",TRIM(INDEX(INDIRECT("'WCM Calibration Final'!$E$1:$E$2000"),'Calculations'!$EM199)&amp;"")),""),'Calculations'!$HG$13:$HG$512,0)),IF(COUNTIF('Calculations'!$HG$13:$HG$512,"="&amp;SUBSTITUTE(SUBSTITUTE(SUBSTITUTE(IFERROR(IF(INDEX(INDIRECT("'WCM Calibration Final'!$E$1:$E$2000"),'Calculations'!$EM199)="","",TRIM(INDEX(INDIRECT("'WCM Calibration Final'!$E$1:$E$2000"),'Calculations'!$EM199)&amp;"")),""),"~","~~"),"*","~*"),"?","~?"))&gt;1,"!AMBIG","X:"&amp;IFERROR(IF(INDEX(INDIRECT("'WCM Calibration Final'!$E$1:$E$2000"),'Calculations'!$EM199)="","",TRIM(INDEX(INDIRECT("'WCM Calibration Final'!$E$1:$E$2000"),'Calculations'!$EM199)&amp;"")),""))))))</x:f>
      </x:c>
      <x:c r="HG199" t="str">
        <x:f>IF('Calculations'!EM199="","",IFERROR(IF(INDEX(INDIRECT("'WCM Calibration Final'!$B$1:$B$2000"),'Calculations'!$EM199)="","",TRIM(INDEX(INDIRECT("'WCM Calibration Final'!$B$1:$B$2000"),'Calculations'!$EM199)&amp;"")),""))</x:f>
      </x:c>
      <x:c r="HH199" t="n">
        <x:f>IF(AND('Calculations'!JC199&gt;0,COUNTIF('Calculations'!$HF$12:HF199,"="&amp;SUBSTITUTE(SUBSTITUTE(SUBSTITUTE('Calculations'!HF199,"~","~~"),"*","~*"),"?","~?"))=1),MAX('Calculations'!$HH$12:HH198)+1,0)</x:f>
        <x:v>0</x:v>
      </x:c>
      <x:c r="HI199" t="n">
        <x:f>IF(AND('Calculations'!HN199&lt;&gt;"",COUNTIF('Calculations'!$HN$12:HN199,"="&amp;SUBSTITUTE(SUBSTITUTE(SUBSTITUTE('Calculations'!HN199,"~","~~"),"*","~*"),"?","~?"))=1),MAX('Calculations'!$HI$12:HI198)+1,0)</x:f>
        <x:v>0</x:v>
      </x:c>
      <x:c r="HJ199" t="str">
        <x:f>IF('Calculations'!HF199="","",IF(COUNTIF('Calculations'!$HE$13:$HE$512,"="&amp;SUBSTITUTE(SUBSTITUTE(SUBSTITUTE('Calculations'!HF199,"~","~~"),"*","~*"),"?","~?"))=1,INDEX('Calculations'!$HK$13:$HK$512,MATCH('Calculations'!HF199,'Calculations'!$HE$13:$HE$512,0)),IFERROR(IF(INDEX(INDIRECT("'WCM Calibration Final'!$E$1:$E$2000"),'Calculations'!$EM199)="","",TRIM(INDEX(INDIRECT("'WCM Calibration Final'!$E$1:$E$2000"),'Calculations'!$EM199)&amp;"")),"")&amp;" ["&amp;'Calculations'!HF199&amp;"]"))</x:f>
      </x:c>
      <x:c r="HK199" t="str">
        <x:f>IF('Calculations'!EM199="","",'Calculations'!HG199&amp;" ["&amp;'Calculations'!HE199&amp;"]")</x:f>
      </x:c>
      <x:c r="HL199" t="n">
        <x:f>IF('Calculations'!EM199="",0,IF(OR('Calculations'!II199&lt;&gt;"",COUNTIF('Calculations'!$HE$13:$HE$512,"="&amp;SUBSTITUTE(SUBSTITUTE(SUBSTITUTE('Calculations'!HE199,"~","~~"),"*","~*"),"?","~?"))&gt;1),1,0))</x:f>
        <x:v>0</x:v>
      </x:c>
      <x:c r="HM199" t="str">
        <x:f>IF('Calculations'!EM199="","",IF('Calculations'!HL199=1,"!UNRESOLVED",IF('Calculations'!IH199&lt;&gt;"",'Calculations'!IH199,IF('Calculations'!IG199&lt;&gt;"",'Calculations'!IG199,IF('Calculations'!IF199&lt;&gt;"",'Calculations'!IF199,IF('Calculations'!IE199&lt;&gt;"",'Calculations'!IE199,IF('Calculations'!ID199&lt;&gt;"",'Calculations'!ID199,IF('Calculations'!IC199&lt;&gt;"",'Calculations'!IC199,IF('Calculations'!IB199&lt;&gt;"",'Calculations'!IB199,IF('Calculations'!IA199&lt;&gt;"",'Calculations'!IA199,IF('Calculations'!HZ199&lt;&gt;"",'Calculations'!HZ199,IF('Calculations'!HY199&lt;&gt;"",'Calculations'!HY199,IF('Calculations'!HX199&lt;&gt;"",'Calculations'!HX199,IF('Calculations'!HW199&lt;&gt;"",'Calculations'!HW199,IF('Calculations'!HV199&lt;&gt;"",'Calculations'!HV199,IF('Calculations'!HU199&lt;&gt;"",'Calculations'!HU199,IF('Calculations'!HT199&lt;&gt;"",'Calculations'!HT199,IF('Calculations'!HS199&lt;&gt;"",'Calculations'!HS199,IF('Calculations'!HR199&lt;&gt;"",'Calculations'!HR199,IF('Calculations'!HQ199&lt;&gt;"",'Calculations'!HQ199,IF('Calculations'!HP199&lt;&gt;"",'Calculations'!HP199,IF('Calculations'!HO199&lt;&gt;"",'Calculations'!HO199,'Calculations'!HE199))))))))))))))))))))))</x:f>
      </x:c>
      <x:c r="HN199" t="str">
        <x:f>IF('Calculations'!EM199="","",IF(IFERROR(IF(INDEX(INDIRECT("'WCM Calibration Final'!$F$1:$F$2000"),'Calculations'!$EM199)="","",TRIM(INDEX(INDIRECT("'WCM Calibration Final'!$F$1:$F$2000"),'Calculations'!$EM199)&amp;"")),"")="","(Blank)",IFERROR(IF(INDEX(INDIRECT("'WCM Calibration Final'!$F$1:$F$2000"),'Calculations'!$EM199)="","",TRIM(INDEX(INDIRECT("'WCM Calibration Final'!$F$1:$F$2000"),'Calculations'!$EM199)&amp;"")),"")))</x:f>
      </x:c>
      <x:c r="HO199" t="str">
        <x:f>'Calculations'!HF199</x:f>
      </x:c>
      <x:c r="HP199" t="str">
        <x:f>IF('Calculations'!HO199="","",IF('Calculations'!HO199="!AMBIG","!AMBIG",IF(COUNTIF('Calculations'!$HE$13:$HE$512,"="&amp;SUBSTITUTE(SUBSTITUTE(SUBSTITUTE('Calculations'!HO199,"~","~~"),"*","~*"),"?","~?"))&gt;1,"!AMBIG",IFERROR(INDEX('Calculations'!$HF$13:$HF$512,MATCH('Calculations'!HO199,'Calculations'!$HE$13:$HE$512,0)),""))))</x:f>
      </x:c>
      <x:c r="HQ199" t="str">
        <x:f>IF('Calculations'!HP199="","",IF('Calculations'!HP199="!AMBIG","!AMBIG",IF(COUNTIF('Calculations'!$HE$13:$HE$512,"="&amp;SUBSTITUTE(SUBSTITUTE(SUBSTITUTE('Calculations'!HP199,"~","~~"),"*","~*"),"?","~?"))&gt;1,"!AMBIG",IFERROR(INDEX('Calculations'!$HF$13:$HF$512,MATCH('Calculations'!HP199,'Calculations'!$HE$13:$HE$512,0)),""))))</x:f>
      </x:c>
      <x:c r="HR199" t="str">
        <x:f>IF('Calculations'!HQ199="","",IF('Calculations'!HQ199="!AMBIG","!AMBIG",IF(COUNTIF('Calculations'!$HE$13:$HE$512,"="&amp;SUBSTITUTE(SUBSTITUTE(SUBSTITUTE('Calculations'!HQ199,"~","~~"),"*","~*"),"?","~?"))&gt;1,"!AMBIG",IFERROR(INDEX('Calculations'!$HF$13:$HF$512,MATCH('Calculations'!HQ199,'Calculations'!$HE$13:$HE$512,0)),""))))</x:f>
      </x:c>
      <x:c r="HS199" t="str">
        <x:f>IF('Calculations'!HR199="","",IF('Calculations'!HR199="!AMBIG","!AMBIG",IF(COUNTIF('Calculations'!$HE$13:$HE$512,"="&amp;SUBSTITUTE(SUBSTITUTE(SUBSTITUTE('Calculations'!HR199,"~","~~"),"*","~*"),"?","~?"))&gt;1,"!AMBIG",IFERROR(INDEX('Calculations'!$HF$13:$HF$512,MATCH('Calculations'!HR199,'Calculations'!$HE$13:$HE$512,0)),""))))</x:f>
      </x:c>
      <x:c r="HT199" t="str">
        <x:f>IF('Calculations'!HS199="","",IF('Calculations'!HS199="!AMBIG","!AMBIG",IF(COUNTIF('Calculations'!$HE$13:$HE$512,"="&amp;SUBSTITUTE(SUBSTITUTE(SUBSTITUTE('Calculations'!HS199,"~","~~"),"*","~*"),"?","~?"))&gt;1,"!AMBIG",IFERROR(INDEX('Calculations'!$HF$13:$HF$512,MATCH('Calculations'!HS199,'Calculations'!$HE$13:$HE$512,0)),""))))</x:f>
      </x:c>
      <x:c r="HU199" t="str">
        <x:f>IF('Calculations'!HT199="","",IF('Calculations'!HT199="!AMBIG","!AMBIG",IF(COUNTIF('Calculations'!$HE$13:$HE$512,"="&amp;SUBSTITUTE(SUBSTITUTE(SUBSTITUTE('Calculations'!HT199,"~","~~"),"*","~*"),"?","~?"))&gt;1,"!AMBIG",IFERROR(INDEX('Calculations'!$HF$13:$HF$512,MATCH('Calculations'!HT199,'Calculations'!$HE$13:$HE$512,0)),""))))</x:f>
      </x:c>
      <x:c r="HV199" t="str">
        <x:f>IF('Calculations'!HU199="","",IF('Calculations'!HU199="!AMBIG","!AMBIG",IF(COUNTIF('Calculations'!$HE$13:$HE$512,"="&amp;SUBSTITUTE(SUBSTITUTE(SUBSTITUTE('Calculations'!HU199,"~","~~"),"*","~*"),"?","~?"))&gt;1,"!AMBIG",IFERROR(INDEX('Calculations'!$HF$13:$HF$512,MATCH('Calculations'!HU199,'Calculations'!$HE$13:$HE$512,0)),""))))</x:f>
      </x:c>
      <x:c r="HW199" t="str">
        <x:f>IF('Calculations'!HV199="","",IF('Calculations'!HV199="!AMBIG","!AMBIG",IF(COUNTIF('Calculations'!$HE$13:$HE$512,"="&amp;SUBSTITUTE(SUBSTITUTE(SUBSTITUTE('Calculations'!HV199,"~","~~"),"*","~*"),"?","~?"))&gt;1,"!AMBIG",IFERROR(INDEX('Calculations'!$HF$13:$HF$512,MATCH('Calculations'!HV199,'Calculations'!$HE$13:$HE$512,0)),""))))</x:f>
      </x:c>
      <x:c r="HX199" t="str">
        <x:f>IF('Calculations'!HW199="","",IF('Calculations'!HW199="!AMBIG","!AMBIG",IF(COUNTIF('Calculations'!$HE$13:$HE$512,"="&amp;SUBSTITUTE(SUBSTITUTE(SUBSTITUTE('Calculations'!HW199,"~","~~"),"*","~*"),"?","~?"))&gt;1,"!AMBIG",IFERROR(INDEX('Calculations'!$HF$13:$HF$512,MATCH('Calculations'!HW199,'Calculations'!$HE$13:$HE$512,0)),""))))</x:f>
      </x:c>
      <x:c r="HY199" t="str">
        <x:f>IF('Calculations'!HX199="","",IF('Calculations'!HX199="!AMBIG","!AMBIG",IF(COUNTIF('Calculations'!$HE$13:$HE$512,"="&amp;SUBSTITUTE(SUBSTITUTE(SUBSTITUTE('Calculations'!HX199,"~","~~"),"*","~*"),"?","~?"))&gt;1,"!AMBIG",IFERROR(INDEX('Calculations'!$HF$13:$HF$512,MATCH('Calculations'!HX199,'Calculations'!$HE$13:$HE$512,0)),""))))</x:f>
      </x:c>
      <x:c r="HZ199" t="str">
        <x:f>IF('Calculations'!HY199="","",IF('Calculations'!HY199="!AMBIG","!AMBIG",IF(COUNTIF('Calculations'!$HE$13:$HE$512,"="&amp;SUBSTITUTE(SUBSTITUTE(SUBSTITUTE('Calculations'!HY199,"~","~~"),"*","~*"),"?","~?"))&gt;1,"!AMBIG",IFERROR(INDEX('Calculations'!$HF$13:$HF$512,MATCH('Calculations'!HY199,'Calculations'!$HE$13:$HE$512,0)),""))))</x:f>
      </x:c>
      <x:c r="IA199" t="str">
        <x:f>IF('Calculations'!HZ199="","",IF('Calculations'!HZ199="!AMBIG","!AMBIG",IF(COUNTIF('Calculations'!$HE$13:$HE$512,"="&amp;SUBSTITUTE(SUBSTITUTE(SUBSTITUTE('Calculations'!HZ199,"~","~~"),"*","~*"),"?","~?"))&gt;1,"!AMBIG",IFERROR(INDEX('Calculations'!$HF$13:$HF$512,MATCH('Calculations'!HZ199,'Calculations'!$HE$13:$HE$512,0)),""))))</x:f>
      </x:c>
      <x:c r="IB199" t="str">
        <x:f>IF('Calculations'!IA199="","",IF('Calculations'!IA199="!AMBIG","!AMBIG",IF(COUNTIF('Calculations'!$HE$13:$HE$512,"="&amp;SUBSTITUTE(SUBSTITUTE(SUBSTITUTE('Calculations'!IA199,"~","~~"),"*","~*"),"?","~?"))&gt;1,"!AMBIG",IFERROR(INDEX('Calculations'!$HF$13:$HF$512,MATCH('Calculations'!IA199,'Calculations'!$HE$13:$HE$512,0)),""))))</x:f>
      </x:c>
      <x:c r="IC199" t="str">
        <x:f>IF('Calculations'!IB199="","",IF('Calculations'!IB199="!AMBIG","!AMBIG",IF(COUNTIF('Calculations'!$HE$13:$HE$512,"="&amp;SUBSTITUTE(SUBSTITUTE(SUBSTITUTE('Calculations'!IB199,"~","~~"),"*","~*"),"?","~?"))&gt;1,"!AMBIG",IFERROR(INDEX('Calculations'!$HF$13:$HF$512,MATCH('Calculations'!IB199,'Calculations'!$HE$13:$HE$512,0)),""))))</x:f>
      </x:c>
      <x:c r="ID199" t="str">
        <x:f>IF('Calculations'!IC199="","",IF('Calculations'!IC199="!AMBIG","!AMBIG",IF(COUNTIF('Calculations'!$HE$13:$HE$512,"="&amp;SUBSTITUTE(SUBSTITUTE(SUBSTITUTE('Calculations'!IC199,"~","~~"),"*","~*"),"?","~?"))&gt;1,"!AMBIG",IFERROR(INDEX('Calculations'!$HF$13:$HF$512,MATCH('Calculations'!IC199,'Calculations'!$HE$13:$HE$512,0)),""))))</x:f>
      </x:c>
      <x:c r="IE199" t="str">
        <x:f>IF('Calculations'!ID199="","",IF('Calculations'!ID199="!AMBIG","!AMBIG",IF(COUNTIF('Calculations'!$HE$13:$HE$512,"="&amp;SUBSTITUTE(SUBSTITUTE(SUBSTITUTE('Calculations'!ID199,"~","~~"),"*","~*"),"?","~?"))&gt;1,"!AMBIG",IFERROR(INDEX('Calculations'!$HF$13:$HF$512,MATCH('Calculations'!ID199,'Calculations'!$HE$13:$HE$512,0)),""))))</x:f>
      </x:c>
      <x:c r="IF199" t="str">
        <x:f>IF('Calculations'!IE199="","",IF('Calculations'!IE199="!AMBIG","!AMBIG",IF(COUNTIF('Calculations'!$HE$13:$HE$512,"="&amp;SUBSTITUTE(SUBSTITUTE(SUBSTITUTE('Calculations'!IE199,"~","~~"),"*","~*"),"?","~?"))&gt;1,"!AMBIG",IFERROR(INDEX('Calculations'!$HF$13:$HF$512,MATCH('Calculations'!IE199,'Calculations'!$HE$13:$HE$512,0)),""))))</x:f>
      </x:c>
      <x:c r="IG199" t="str">
        <x:f>IF('Calculations'!IF199="","",IF('Calculations'!IF199="!AMBIG","!AMBIG",IF(COUNTIF('Calculations'!$HE$13:$HE$512,"="&amp;SUBSTITUTE(SUBSTITUTE(SUBSTITUTE('Calculations'!IF199,"~","~~"),"*","~*"),"?","~?"))&gt;1,"!AMBIG",IFERROR(INDEX('Calculations'!$HF$13:$HF$512,MATCH('Calculations'!IF199,'Calculations'!$HE$13:$HE$512,0)),""))))</x:f>
      </x:c>
      <x:c r="IH199" t="str">
        <x:f>IF('Calculations'!IG199="","",IF('Calculations'!IG199="!AMBIG","!AMBIG",IF(COUNTIF('Calculations'!$HE$13:$HE$512,"="&amp;SUBSTITUTE(SUBSTITUTE(SUBSTITUTE('Calculations'!IG199,"~","~~"),"*","~*"),"?","~?"))&gt;1,"!AMBIG",IFERROR(INDEX('Calculations'!$HF$13:$HF$512,MATCH('Calculations'!IG199,'Calculations'!$HE$13:$HE$512,0)),""))))</x:f>
      </x:c>
      <x:c r="II199" t="str">
        <x:f>IF('Calculations'!IH199="","",IF('Calculations'!IH199="!AMBIG","!AMBIG",IF(COUNTIF('Calculations'!$HE$13:$HE$512,"="&amp;SUBSTITUTE(SUBSTITUTE(SUBSTITUTE('Calculations'!IH199,"~","~~"),"*","~*"),"?","~?"))&gt;1,"!AMBIG",IFERROR(INDEX('Calculations'!$HF$13:$HF$512,MATCH('Calculations'!IH199,'Calculations'!$HE$13:$HE$512,0)),""))))</x:f>
      </x:c>
      <x:c r="IJ199" t="str">
        <x:f>IF('Calculations'!EM199="","",IF('Calculations'!$EF$2="All",'Calculations'!HM199,IF('Calculations'!HL199=1,"",IFERROR(IF(MATCH('Calculations'!$EF$2,'Calculations'!HO199:II199,0)=1,'Calculations'!HE199,INDEX('Calculations'!HO199:II199,1,MATCH('Calculations'!$EF$2,'Calculations'!HO199:II199,0)-1)),""))))</x:f>
      </x:c>
      <x:c r="IK199" t="n">
        <x:f>IF(AND('Calculations'!EM199&lt;&gt;"",'Calculations'!$EF$2&lt;&gt;"All",'Calculations'!HF199='Calculations'!$EF$2,'Calculations'!HL199=0,'Calculations'!JD199&gt;0),MAX('Calculations'!$IK$12:IK198)+1,0)</x:f>
        <x:v>0</x:v>
      </x:c>
      <x:c r="JA199" t="n">
        <x:f>IF(OR(IFERROR(INDIRECT("'WCM Calibration Final'!$A$199")&lt;&gt;"",FALSE),IFERROR(INDIRECT("'WCM Calibration Final'!$B$199")&lt;&gt;"",FALSE),IFERROR(INDIRECT("'WCM Calibration Final'!$C$199")&lt;&gt;"",FALSE)),199,0)</x:f>
        <x:v>0</x:v>
      </x:c>
      <x:c r="JB199" t="n">
        <x:f>'Calculations'!JB198+IF('Calculations'!JA199&gt;0,1,0)</x:f>
        <x:v>0</x:v>
      </x:c>
      <x:c r="JC199" t="n">
        <x:f>IF(OR('Calculations'!HF199="",'Calculations'!HF199="!AMBIG"),0,IF('Dashboard'!$B$7="All",1,COUNTIFS('Calculations'!$HO$13:$HO$512,"="&amp;SUBSTITUTE(SUBSTITUTE(SUBSTITUTE('Calculations'!HF199,"~","~~"),"*","~*"),"?","~?"),'Calculations'!$HN$13:$HN$512,"="&amp;SUBSTITUTE(SUBSTITUTE(SUBSTITUTE('Dashboard'!$B$7,"~","~~"),"*","~*"),"?","~?"))+COUNTIFS('Calculations'!$HP$13:$HP$512,"="&amp;SUBSTITUTE(SUBSTITUTE(SUBSTITUTE('Calculations'!HF199,"~","~~"),"*","~*"),"?","~?"),'Calculations'!$HN$13:$HN$512,"="&amp;SUBSTITUTE(SUBSTITUTE(SUBSTITUTE('Dashboard'!$B$7,"~","~~"),"*","~*"),"?","~?"))+COUNTIFS('Calculations'!$HQ$13:$HQ$512,"="&amp;SUBSTITUTE(SUBSTITUTE(SUBSTITUTE('Calculations'!HF199,"~","~~"),"*","~*"),"?","~?"),'Calculations'!$HN$13:$HN$512,"="&amp;SUBSTITUTE(SUBSTITUTE(SUBSTITUTE('Dashboard'!$B$7,"~","~~"),"*","~*"),"?","~?"))+COUNTIFS('Calculations'!$HR$13:$HR$512,"="&amp;SUBSTITUTE(SUBSTITUTE(SUBSTITUTE('Calculations'!HF199,"~","~~"),"*","~*"),"?","~?"),'Calculations'!$HN$13:$HN$512,"="&amp;SUBSTITUTE(SUBSTITUTE(SUBSTITUTE('Dashboard'!$B$7,"~","~~"),"*","~*"),"?","~?"))+COUNTIFS('Calculations'!$HS$13:$HS$512,"="&amp;SUBSTITUTE(SUBSTITUTE(SUBSTITUTE('Calculations'!HF199,"~","~~"),"*","~*"),"?","~?"),'Calculations'!$HN$13:$HN$512,"="&amp;SUBSTITUTE(SUBSTITUTE(SUBSTITUTE('Dashboard'!$B$7,"~","~~"),"*","~*"),"?","~?"))+COUNTIFS('Calculations'!$HT$13:$HT$512,"="&amp;SUBSTITUTE(SUBSTITUTE(SUBSTITUTE('Calculations'!HF199,"~","~~"),"*","~*"),"?","~?"),'Calculations'!$HN$13:$HN$512,"="&amp;SUBSTITUTE(SUBSTITUTE(SUBSTITUTE('Dashboard'!$B$7,"~","~~"),"*","~*"),"?","~?"))+COUNTIFS('Calculations'!$HU$13:$HU$512,"="&amp;SUBSTITUTE(SUBSTITUTE(SUBSTITUTE('Calculations'!HF199,"~","~~"),"*","~*"),"?","~?"),'Calculations'!$HN$13:$HN$512,"="&amp;SUBSTITUTE(SUBSTITUTE(SUBSTITUTE('Dashboard'!$B$7,"~","~~"),"*","~*"),"?","~?"))+COUNTIFS('Calculations'!$HV$13:$HV$512,"="&amp;SUBSTITUTE(SUBSTITUTE(SUBSTITUTE('Calculations'!HF199,"~","~~"),"*","~*"),"?","~?"),'Calculations'!$HN$13:$HN$512,"="&amp;SUBSTITUTE(SUBSTITUTE(SUBSTITUTE('Dashboard'!$B$7,"~","~~"),"*","~*"),"?","~?"))+COUNTIFS('Calculations'!$HW$13:$HW$512,"="&amp;SUBSTITUTE(SUBSTITUTE(SUBSTITUTE('Calculations'!HF199,"~","~~"),"*","~*"),"?","~?"),'Calculations'!$HN$13:$HN$512,"="&amp;SUBSTITUTE(SUBSTITUTE(SUBSTITUTE('Dashboard'!$B$7,"~","~~"),"*","~*"),"?","~?"))+COUNTIFS('Calculations'!$HX$13:$HX$512,"="&amp;SUBSTITUTE(SUBSTITUTE(SUBSTITUTE('Calculations'!HF199,"~","~~"),"*","~*"),"?","~?"),'Calculations'!$HN$13:$HN$512,"="&amp;SUBSTITUTE(SUBSTITUTE(SUBSTITUTE('Dashboard'!$B$7,"~","~~"),"*","~*"),"?","~?"))+COUNTIFS('Calculations'!$HY$13:$HY$512,"="&amp;SUBSTITUTE(SUBSTITUTE(SUBSTITUTE('Calculations'!HF199,"~","~~"),"*","~*"),"?","~?"),'Calculations'!$HN$13:$HN$512,"="&amp;SUBSTITUTE(SUBSTITUTE(SUBSTITUTE('Dashboard'!$B$7,"~","~~"),"*","~*"),"?","~?"))+COUNTIFS('Calculations'!$HZ$13:$HZ$512,"="&amp;SUBSTITUTE(SUBSTITUTE(SUBSTITUTE('Calculations'!HF199,"~","~~"),"*","~*"),"?","~?"),'Calculations'!$HN$13:$HN$512,"="&amp;SUBSTITUTE(SUBSTITUTE(SUBSTITUTE('Dashboard'!$B$7,"~","~~"),"*","~*"),"?","~?"))+COUNTIFS('Calculations'!$IA$13:$IA$512,"="&amp;SUBSTITUTE(SUBSTITUTE(SUBSTITUTE('Calculations'!HF199,"~","~~"),"*","~*"),"?","~?"),'Calculations'!$HN$13:$HN$512,"="&amp;SUBSTITUTE(SUBSTITUTE(SUBSTITUTE('Dashboard'!$B$7,"~","~~"),"*","~*"),"?","~?"))+COUNTIFS('Calculations'!$IB$13:$IB$512,"="&amp;SUBSTITUTE(SUBSTITUTE(SUBSTITUTE('Calculations'!HF199,"~","~~"),"*","~*"),"?","~?"),'Calculations'!$HN$13:$HN$512,"="&amp;SUBSTITUTE(SUBSTITUTE(SUBSTITUTE('Dashboard'!$B$7,"~","~~"),"*","~*"),"?","~?"))+COUNTIFS('Calculations'!$IC$13:$IC$512,"="&amp;SUBSTITUTE(SUBSTITUTE(SUBSTITUTE('Calculations'!HF199,"~","~~"),"*","~*"),"?","~?"),'Calculations'!$HN$13:$HN$512,"="&amp;SUBSTITUTE(SUBSTITUTE(SUBSTITUTE('Dashboard'!$B$7,"~","~~"),"*","~*"),"?","~?"))+COUNTIFS('Calculations'!$ID$13:$ID$512,"="&amp;SUBSTITUTE(SUBSTITUTE(SUBSTITUTE('Calculations'!HF199,"~","~~"),"*","~*"),"?","~?"),'Calculations'!$HN$13:$HN$512,"="&amp;SUBSTITUTE(SUBSTITUTE(SUBSTITUTE('Dashboard'!$B$7,"~","~~"),"*","~*"),"?","~?"))+COUNTIFS('Calculations'!$IE$13:$IE$512,"="&amp;SUBSTITUTE(SUBSTITUTE(SUBSTITUTE('Calculations'!HF199,"~","~~"),"*","~*"),"?","~?"),'Calculations'!$HN$13:$HN$512,"="&amp;SUBSTITUTE(SUBSTITUTE(SUBSTITUTE('Dashboard'!$B$7,"~","~~"),"*","~*"),"?","~?"))+COUNTIFS('Calculations'!$IF$13:$IF$512,"="&amp;SUBSTITUTE(SUBSTITUTE(SUBSTITUTE('Calculations'!HF199,"~","~~"),"*","~*"),"?","~?"),'Calculations'!$HN$13:$HN$512,"="&amp;SUBSTITUTE(SUBSTITUTE(SUBSTITUTE('Dashboard'!$B$7,"~","~~"),"*","~*"),"?","~?"))+COUNTIFS('Calculations'!$IG$13:$IG$512,"="&amp;SUBSTITUTE(SUBSTITUTE(SUBSTITUTE('Calculations'!HF199,"~","~~"),"*","~*"),"?","~?"),'Calculations'!$HN$13:$HN$512,"="&amp;SUBSTITUTE(SUBSTITUTE(SUBSTITUTE('Dashboard'!$B$7,"~","~~"),"*","~*"),"?","~?"))+COUNTIFS('Calculations'!$IH$13:$IH$512,"="&amp;SUBSTITUTE(SUBSTITUTE(SUBSTITUTE('Calculations'!HF199,"~","~~"),"*","~*"),"?","~?"),'Calculations'!$HN$13:$HN$512,"="&amp;SUBSTITUTE(SUBSTITUTE(SUBSTITUTE('Dashboard'!$B$7,"~","~~"),"*","~*"),"?","~?"))))</x:f>
        <x:v>0</x:v>
      </x:c>
      <x:c r="JD199" t="n">
        <x:f>IF('Calculations'!EM199="",0,IF('Dashboard'!$B$7="All",1,IF('Calculations'!HN199='Dashboard'!$B$7,1,0)+IFERROR(INDEX('Calculations'!$JC$13:$JC$512,MATCH('Calculations'!HE199,'Calculations'!$HF$13:$HF$512,0)),0)))</x:f>
        <x:v>0</x:v>
      </x:c>
      <x:c r="JE199" t="n">
        <x:f>IF(AND('Calculations'!EM199&lt;&gt;"",'Calculations'!$JJ$2&lt;&gt;"All",'Calculations'!$JJ$2&lt;&gt;"",'Calculations'!HF199='Calculations'!$JJ$2,'Calculations'!HL199=0,'Calculations'!JD199&gt;0),MAX('Calculations'!$JE$12:JE198)+1,0)</x:f>
        <x:v>0</x:v>
      </x:c>
      <x:c r="JF199" t="str">
        <x:f>IF('Calculations'!EM199="","",IFERROR(IF(INDEX(INDIRECT("'WCM Calibration Final'!$G$1:$G$2000"),'Calculations'!$EM199)="","",TRIM(INDEX(INDIRECT("'WCM Calibration Final'!$G$1:$G$2000"),'Calculations'!$EM199)&amp;"")),""))</x:f>
      </x:c>
      <x:c r="JQ199" t="n">
        <x:f>IF(OR('Calculations'!BM199=0,NOT('Calculations'!$AG$2),'Calculations'!$AG$8&gt;0),0,IF(OR('Dashboard'!$B$7="All",'Calculations'!HN199='Dashboard'!$B$7),IF('Calculations'!$JJ$2="All",1,IF(AND('Calculations'!HF199='Calculations'!$JJ$2,'Calculations'!HL199=0),1,0)),0))</x:f>
        <x:v>0</x:v>
      </x:c>
    </x:row>
    <x:row r="200">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t="n">
        <x:f>IF('Calculations'!$EM200="",0,IF(OR(IFERROR(INDEX(INDIRECT("'WCM Calibration Final'!$A$1:$A$2000"),'Calculations'!$EM200)&lt;&gt;"",FALSE),IFERROR(INDEX(INDIRECT("'WCM Calibration Final'!$B$1:$B$2000"),'Calculations'!$EM200)&lt;&gt;"",FALSE),IFERROR(INDEX(INDIRECT("'WCM Calibration Final'!$C$1:$C$2000"),'Calculations'!$EM200)&lt;&gt;"",FALSE)),1,0))</x:f>
        <x:v>0</x:v>
      </x:c>
      <x:c r="BN200" s="4" t="n">
        <x:f>IF(AND('Calculations'!BM200=1,'Calculations'!$AG$2,'Calculations'!$EN200=1),1,0)</x:f>
        <x:v>0</x:v>
      </x:c>
      <x:c r="BO200" s="4" t="str">
        <x:f>IF('Calculations'!BM200=0,"",IFERROR(IF(AND(VALUE(INDEX(INDIRECT("'WCM Calibration Final'!$K$1:$K$2000"),'Calculations'!$EM200))&gt;=1,VALUE(INDEX(INDIRECT("'WCM Calibration Final'!$K$1:$K$2000"),'Calculations'!$EM200))&lt;=4,MOD(VALUE(INDEX(INDIRECT("'WCM Calibration Final'!$K$1:$K$2000"),'Calculations'!$EM200)),1)=0),VALUE(INDEX(INDIRECT("'WCM Calibration Final'!$K$1:$K$2000"),'Calculations'!$EM200)),""),""))</x:f>
      </x:c>
      <x:c r="BP200" s="4" t="str">
        <x:f>IF('Calculations'!BM200=0,"",IFERROR(IF(AND(VALUE(INDEX(INDIRECT("'WCM Calibration Final'!$L$1:$L$2000"),'Calculations'!$EM200))&gt;=1,VALUE(INDEX(INDIRECT("'WCM Calibration Final'!$L$1:$L$2000"),'Calculations'!$EM200))&lt;=4,MOD(VALUE(INDEX(INDIRECT("'WCM Calibration Final'!$L$1:$L$2000"),'Calculations'!$EM200)),1)=0),VALUE(INDEX(INDIRECT("'WCM Calibration Final'!$L$1:$L$2000"),'Calculations'!$EM200)),""),""))</x:f>
      </x:c>
      <x:c r="BQ200" s="4"/>
      <x:c r="BR200" s="4"/>
      <x:c r="BS200" s="4"/>
      <x:c r="BT200" s="4" t="n">
        <x:f>IF(AND('Calculations'!BM200=1,ISNUMBER('Calculations'!BO200),ISNUMBER('Calculations'!BP200)),1,0)</x:f>
        <x:v>0</x:v>
      </x:c>
      <x:c r="BU200" s="4" t="str">
        <x:f>IF('Calculations'!BM200=0,"",'Calculations'!$EO200)</x:f>
      </x:c>
      <x:c r="BV200" s="4" t="str">
        <x:f>IF('Calculations'!BM200=0,"",IFERROR(IF(OR(INDEX(INDIRECT("'WCM Calibration Final'!$H$1:$H$2000"),'Calculations'!$EM200)="MANAGING DIRECTOR",INDEX(INDIRECT("'WCM Calibration Final'!$H$1:$H$2000"),'Calculations'!$EM200)="DIRECTOR",INDEX(INDIRECT("'WCM Calibration Final'!$H$1:$H$2000"),'Calculations'!$EM200)="SENIOR VICE PRESIDENT",INDEX(INDIRECT("'WCM Calibration Final'!$H$1:$H$2000"),'Calculations'!$EM200)="VICE PRESIDENT",INDEX(INDIRECT("'WCM Calibration Final'!$H$1:$H$2000"),'Calculations'!$EM200)="ASSISTANT VICE PRESIDENT",INDEX(INDIRECT("'WCM Calibration Final'!$H$1:$H$2000"),'Calculations'!$EM200)="OFFICER"),UPPER(INDEX(INDIRECT("'WCM Calibration Final'!$H$1:$H$2000"),'Calculations'!$EM200)),"Other"),"Other"))</x:f>
      </x:c>
      <x:c r="BW200" s="4"/>
      <x:c r="BX200" s="4"/>
      <x:c r="BY200" s="4" t="n">
        <x:f>IF(AND('Calculations'!BM200=1,'Calculations'!BU200&lt;&gt;"",COUNTIF('Calculations'!$BU$12:BU200,'Calculations'!BU200)=1),MAX('Calculations'!$BY$11:BY199)+1,0)</x:f>
        <x:v>0</x:v>
      </x:c>
      <x:c r="BZ200" s="4" t="str">
        <x:f>IF('Dashboard'!$E$67="What",'Calculations'!BO200,'Calculations'!BP200)</x:f>
      </x:c>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t="str">
        <x:f>IF(189&gt;MAX('Calculations'!$HI$13:$HI$512),"",INDEX('Calculations'!$HN$13:$HN$512,MATCH(189,'Calculations'!$HI$13:$HI$512,0)))</x:f>
      </x:c>
      <x:c r="DB200" s="4" t="str">
        <x:f>IF(189&gt;MAX('Calculations'!$HH$13:$HH$512),"",INDEX('Calculations'!$HJ$13:$HJ$512,MATCH(189,'Calculations'!$HH$13:$HH$512,0)))</x:f>
      </x:c>
      <x:c r="DC200" s="4" t="str">
        <x:f>IF(ROW()-11&gt;MAX('Calculations'!$BY$13:$BY$512),"",INDEX('Calculations'!$BU$13:$BU$512,MATCH(ROW()-11,'Calculations'!$BY$13:$BY$512,0)))</x:f>
      </x:c>
      <x:c r="DD200" s="4" t="str">
        <x:f>IF(189&gt;MAX('Calculations'!$IK$13:$IK$512),"",INDEX('Calculations'!$HK$13:$HK$512,MATCH(189,'Calculations'!$IK$13:$IK$512,0)))</x:f>
      </x:c>
      <x:c r="DE200" s="4" t="str">
        <x:f>'Calculations'!DC200</x:f>
      </x:c>
      <x:c r="DF200" s="4" t="str">
        <x:f>IF('Calculations'!DE200="","",COUNTIFS('Calculations'!$BN$13:$BN$512,1,'Calculations'!$BU$13:$BU$512,'Calculations'!DE200))</x:f>
      </x:c>
      <x:c r="DG200" s="4" t="str">
        <x:f>IF('Calculations'!DE200="","",COUNTIFS('Calculations'!$BN$13:$BN$512,1,'Calculations'!$BU$13:$BU$512,'Calculations'!DE200,'Calculations'!$BT$13:$BT$512,1))</x:f>
      </x:c>
      <x:c r="DH200" s="4" t="str">
        <x:f>IF('Calculations'!DE200="","",'Calculations'!DF200-'Calculations'!DG200)</x:f>
      </x:c>
      <x:c r="DI200" s="4" t="str">
        <x:f>IF(OR('Calculations'!DE200="",'Calculations'!DF200=0),"",'Calculations'!DG200/'Calculations'!DF200)</x:f>
      </x:c>
      <x:c r="DJ200" s="4" t="str">
        <x:f>IF('Calculations'!DE200="","",COUNTIFS('Calculations'!$BN$13:$BN$512,1,'Calculations'!$BU$13:$BU$512,'Calculations'!DE200,'Calculations'!$BT$13:$BT$512,1,'Calculations'!$EE$13:$EE$512,"High"))</x:f>
      </x:c>
      <x:c r="DK200" s="4" t="str">
        <x:f>IF('Calculations'!DE200="","",COUNTIFS('Calculations'!$BN$13:$BN$512,1,'Calculations'!$BU$13:$BU$512,'Calculations'!DE200,'Calculations'!$BT$13:$BT$512,1,'Calculations'!$EE$13:$EE$512,"Strong"))</x:f>
      </x:c>
      <x:c r="DL200" s="4" t="str">
        <x:f>IF('Calculations'!DE200="","",COUNTIFS('Calculations'!$BN$13:$BN$512,1,'Calculations'!$BU$13:$BU$512,'Calculations'!DE200,'Calculations'!$BT$13:$BT$512,1,'Calculations'!$EE$13:$EE$512,"Solid"))</x:f>
      </x:c>
      <x:c r="DM200" s="4" t="str">
        <x:f>IF('Calculations'!DE200="","",COUNTIFS('Calculations'!$BN$13:$BN$512,1,'Calculations'!$BU$13:$BU$512,'Calculations'!DE200,'Calculations'!$BT$13:$BT$512,1,'Calculations'!$EE$13:$EE$512,"Low"))</x:f>
      </x:c>
      <x:c r="DN200" s="4" t="str">
        <x:f>IF('Calculations'!DE200="","",COUNTIFS('Calculations'!$BN$13:$BN$512,1,'Calculations'!$BU$13:$BU$512,'Calculations'!DE200,'Calculations'!$EP$13:$EP$512,1))</x:f>
      </x:c>
      <x:c r="DO200" s="4" t="str">
        <x:f>IF(OR('Calculations'!DE200="",'Calculations'!DG200=0),"",('Calculations'!DJ200+'Calculations'!DK200)/'Calculations'!DG200)</x:f>
      </x:c>
      <x:c r="DP200" s="4" t="n">
        <x:f>IF(AND('Calculations'!DE200&lt;&gt;"",'Calculations'!DF200&gt;0),COUNTIF('Calculations'!$DF$12:DF200,"&gt;0"),0)</x:f>
        <x:v>0</x:v>
      </x:c>
      <x:c r="DQ200" s="4" t="str">
        <x:f>IF(189&gt;MAX('Calculations'!$HH$13:$HH$512),"",INDEX('Calculations'!$HF$13:$HF$512,MATCH(189,'Calculations'!$HH$13:$HH$512,0)))</x:f>
      </x:c>
      <x:c r="DR200" s="4" t="str">
        <x:f>IF(189&gt;MAX('Calculations'!$IK$13:$IK$512),"",INDEX('Calculations'!$HE$13:$HE$512,MATCH(189,'Calculations'!$IK$13:$IK$512,0)))</x:f>
      </x:c>
      <x:c r="DS200" s="4"/>
      <x:c r="DT200" s="4"/>
      <x:c r="DU200" s="4"/>
      <x:c r="DV200" s="4"/>
      <x:c r="DW200" s="4"/>
      <x:c r="DX200" s="4"/>
      <x:c r="DY200" s="4"/>
      <x:c r="DZ200" s="4"/>
      <x:c r="EA200" s="4"/>
      <x:c r="EB200" s="4"/>
      <x:c r="EC200" s="4"/>
      <x:c r="ED200" s="4"/>
      <x:c r="EE200" s="4" t="str">
        <x:f>IF('Calculations'!BT200=0,"Not Rated",IF(OR('Calculations'!BO200&gt;=4,'Calculations'!BP200&gt;=4),"Low",IF('Calculations'!BO200+'Calculations'!BP200&lt;=3,"High",IF('Calculations'!BO200+'Calculations'!BP200&lt;=4,"Strong","Solid"))))</x:f>
        <x:v>Not Rated</x:v>
      </x:c>
      <x:c r="EF200" s="4"/>
      <x:c r="EG200" s="4"/>
      <x:c r="EH200" s="4"/>
      <x:c r="EI200" s="4"/>
      <x:c r="EJ200" s="4"/>
      <x:c r="EK200" s="4"/>
      <x:c r="EL200" s="4"/>
      <x:c r="EM200" s="4" t="str">
        <x:f>IF(188&gt;'Calculations'!$JB$2000,"",INDEX('Calculations'!$JA$12:$JA$2000,MATCH(188,'Calculations'!$JB$12:$JB$2000,0)))</x:f>
      </x:c>
      <x:c r="EN200" s="4" t="n">
        <x:f>IF(OR('Calculations'!EM200="",'Calculations'!$AG$8&gt;0,AND('Calculations'!$EF$2&lt;&gt;"All",'Calculations'!HE200='Calculations'!$EF$2),AND('Calculations'!$EF$3&lt;&gt;"All",'Calculations'!HE200='Calculations'!$EF$3)),0,IF(OR('Dashboard'!$B$7="All",'Calculations'!HN200='Dashboard'!$B$7),IF('Calculations'!$EF$2="All",1,IF('Calculations'!HL200&gt;0,0,IF(COUNTIF('Calculations'!HO200:II200,"="&amp;SUBSTITUTE(SUBSTITUTE(SUBSTITUTE('Calculations'!$EF$2,"~","~~"),"*","~*"),"?","~?"))=0,0,IF('Calculations'!$EF$3="All",1,IF(COUNTIF('Calculations'!HO200:II200,"="&amp;SUBSTITUTE(SUBSTITUTE(SUBSTITUTE('Calculations'!$EF$3,"~","~~"),"*","~*"),"?","~?"))&gt;0,1,0))))),0))</x:f>
        <x:v>0</x:v>
      </x:c>
      <x:c r="EO200" s="4" t="str">
        <x:f>IF('Calculations'!IJ200="","",IF('Calculations'!IJ200="!UNRESOLVED","Unresolved hierarchy",IFERROR(INDEX('Calculations'!$HK$13:$HK$512,MATCH('Calculations'!IJ200,'Calculations'!$HE$13:$HE$512,0)),IFERROR(INDEX('Calculations'!$HJ$13:$HJ$512,MATCH('Calculations'!IJ200,'Calculations'!$HF$13:$HF$512,0)),'Calculations'!IJ200))))</x:f>
      </x:c>
      <x:c r="EP200" s="4" t="n">
        <x:f>IF(AND('Calculations'!EM200&lt;&gt;"",'Calculations'!HF200='Calculations'!IJ200),1,0)</x:f>
        <x:v>0</x:v>
      </x:c>
      <x:c r="EQ200" s="4"/>
      <x:c r="ER200" s="4"/>
      <x:c r="ES200" s="4"/>
      <x:c r="ET200" s="4"/>
      <x:c r="EU200" s="4"/>
      <x:c r="EV200" s="4"/>
      <x:c r="EW200" s="4"/>
      <x:c r="EX200" s="4"/>
      <x:c r="EY200" s="4"/>
      <x:c r="EZ200" s="4"/>
      <x:c r="FA200" s="4"/>
      <x:c r="FB200" s="4"/>
      <x:c r="FC200" s="4"/>
      <x:c r="FD200" s="4"/>
      <x:c r="FE200" s="4"/>
      <x:c r="FF200" s="4"/>
      <x:c r="FG200" s="4"/>
      <x:c r="FH200" s="4"/>
      <x:c r="FI200" s="4"/>
      <x:c r="FJ200" s="4"/>
      <x:c r="FK200" s="4"/>
      <x:c r="FL200" s="4"/>
      <x:c r="FM200" s="4"/>
      <x:c r="FN200" s="4"/>
      <x:c r="FO200" s="4"/>
      <x:c r="GA200" s="71"/>
      <x:c r="GB200" s="71"/>
      <x:c r="GC200" s="71"/>
      <x:c r="GD200" s="71"/>
      <x:c r="GE200" s="71"/>
      <x:c r="GF200" s="71"/>
      <x:c r="GG200" s="71"/>
      <x:c r="GH200" s="71"/>
      <x:c r="GI200" s="71"/>
      <x:c r="GJ200" s="71"/>
      <x:c r="GK200" s="71"/>
      <x:c r="GL200" s="71"/>
      <x:c r="GM200" s="71"/>
      <x:c r="GN200" s="71"/>
      <x:c r="GO200" s="71"/>
      <x:c r="GP200" s="71"/>
      <x:c r="GQ200" s="71"/>
      <x:c r="GR200" s="71"/>
      <x:c r="GS200" s="71"/>
      <x:c r="GT200" s="71"/>
      <x:c r="GU200" s="71"/>
      <x:c r="GV200" s="71"/>
      <x:c r="GW200" s="71"/>
      <x:c r="GX200" s="71"/>
      <x:c r="GY200" s="71"/>
      <x:c r="GZ200" s="71"/>
      <x:c r="HA200" s="71"/>
      <x:c r="HB200" s="71"/>
      <x:c r="HC200" s="71"/>
      <x:c r="HD200" s="71"/>
      <x:c r="HE200" t="str">
        <x:f>IF('Calculations'!EM200="","",IF(IFERROR(IF(INDEX(INDIRECT("'WCM Calibration Final'!$A$1:$A$2000"),'Calculations'!$EM200)="","",TRIM(INDEX(INDIRECT("'WCM Calibration Final'!$A$1:$A$2000"),'Calculations'!$EM200)&amp;"")),"")&lt;&gt;"","G:"&amp;IFERROR(TEXT(1*INDEX(INDIRECT("'WCM Calibration Final'!$A$1:$A$2000"),'Calculations'!$EM200),"0"),UPPER(IFERROR(IF(INDEX(INDIRECT("'WCM Calibration Final'!$A$1:$A$2000"),'Calculations'!$EM200)="","",TRIM(INDEX(INDIRECT("'WCM Calibration Final'!$A$1:$A$2000"),'Calculations'!$EM200)&amp;"")),""))),IF(IFERROR(IF(INDEX(INDIRECT("'WCM Calibration Final'!$C$1:$C$2000"),'Calculations'!$EM200)="","",TRIM(INDEX(INDIRECT("'WCM Calibration Final'!$C$1:$C$2000"),'Calculations'!$EM200)&amp;"")),"")&lt;&gt;"","S:"&amp;UPPER(IFERROR(IF(INDEX(INDIRECT("'WCM Calibration Final'!$C$1:$C$2000"),'Calculations'!$EM200)="","",TRIM(INDEX(INDIRECT("'WCM Calibration Final'!$C$1:$C$2000"),'Calculations'!$EM200)&amp;"")),"")),"R:"&amp;'Calculations'!EM200)))</x:f>
      </x:c>
      <x:c r="HF200" t="str">
        <x:f>IF('Calculations'!EM200="","",IF(IFERROR(IF(INDEX(INDIRECT("'WCM Calibration Final'!$D$1:$D$2000"),'Calculations'!$EM200)="","",TRIM(INDEX(INDIRECT("'WCM Calibration Final'!$D$1:$D$2000"),'Calculations'!$EM200)&amp;"")),"")&lt;&gt;"","G:"&amp;IFERROR(TEXT(1*INDEX(INDIRECT("'WCM Calibration Final'!$D$1:$D$2000"),'Calculations'!$EM200),"0"),UPPER(IFERROR(IF(INDEX(INDIRECT("'WCM Calibration Final'!$D$1:$D$2000"),'Calculations'!$EM200)="","",TRIM(INDEX(INDIRECT("'WCM Calibration Final'!$D$1:$D$2000"),'Calculations'!$EM200)&amp;"")),""))),IF(IFERROR(IF(INDEX(INDIRECT("'WCM Calibration Final'!$E$1:$E$2000"),'Calculations'!$EM200)="","",TRIM(INDEX(INDIRECT("'WCM Calibration Final'!$E$1:$E$2000"),'Calculations'!$EM200)&amp;"")),"")="","",IF(COUNTIF('Calculations'!$HG$13:$HG$512,"="&amp;SUBSTITUTE(SUBSTITUTE(SUBSTITUTE(IFERROR(IF(INDEX(INDIRECT("'WCM Calibration Final'!$E$1:$E$2000"),'Calculations'!$EM200)="","",TRIM(INDEX(INDIRECT("'WCM Calibration Final'!$E$1:$E$2000"),'Calculations'!$EM200)&amp;"")),""),"~","~~"),"*","~*"),"?","~?"))=1,INDEX('Calculations'!$HE$13:$HE$512,MATCH(IFERROR(IF(INDEX(INDIRECT("'WCM Calibration Final'!$E$1:$E$2000"),'Calculations'!$EM200)="","",TRIM(INDEX(INDIRECT("'WCM Calibration Final'!$E$1:$E$2000"),'Calculations'!$EM200)&amp;"")),""),'Calculations'!$HG$13:$HG$512,0)),IF(COUNTIF('Calculations'!$HG$13:$HG$512,"="&amp;SUBSTITUTE(SUBSTITUTE(SUBSTITUTE(IFERROR(IF(INDEX(INDIRECT("'WCM Calibration Final'!$E$1:$E$2000"),'Calculations'!$EM200)="","",TRIM(INDEX(INDIRECT("'WCM Calibration Final'!$E$1:$E$2000"),'Calculations'!$EM200)&amp;"")),""),"~","~~"),"*","~*"),"?","~?"))&gt;1,"!AMBIG","X:"&amp;IFERROR(IF(INDEX(INDIRECT("'WCM Calibration Final'!$E$1:$E$2000"),'Calculations'!$EM200)="","",TRIM(INDEX(INDIRECT("'WCM Calibration Final'!$E$1:$E$2000"),'Calculations'!$EM200)&amp;"")),""))))))</x:f>
      </x:c>
      <x:c r="HG200" t="str">
        <x:f>IF('Calculations'!EM200="","",IFERROR(IF(INDEX(INDIRECT("'WCM Calibration Final'!$B$1:$B$2000"),'Calculations'!$EM200)="","",TRIM(INDEX(INDIRECT("'WCM Calibration Final'!$B$1:$B$2000"),'Calculations'!$EM200)&amp;"")),""))</x:f>
      </x:c>
      <x:c r="HH200" t="n">
        <x:f>IF(AND('Calculations'!JC200&gt;0,COUNTIF('Calculations'!$HF$12:HF200,"="&amp;SUBSTITUTE(SUBSTITUTE(SUBSTITUTE('Calculations'!HF200,"~","~~"),"*","~*"),"?","~?"))=1),MAX('Calculations'!$HH$12:HH199)+1,0)</x:f>
        <x:v>0</x:v>
      </x:c>
      <x:c r="HI200" t="n">
        <x:f>IF(AND('Calculations'!HN200&lt;&gt;"",COUNTIF('Calculations'!$HN$12:HN200,"="&amp;SUBSTITUTE(SUBSTITUTE(SUBSTITUTE('Calculations'!HN200,"~","~~"),"*","~*"),"?","~?"))=1),MAX('Calculations'!$HI$12:HI199)+1,0)</x:f>
        <x:v>0</x:v>
      </x:c>
      <x:c r="HJ200" t="str">
        <x:f>IF('Calculations'!HF200="","",IF(COUNTIF('Calculations'!$HE$13:$HE$512,"="&amp;SUBSTITUTE(SUBSTITUTE(SUBSTITUTE('Calculations'!HF200,"~","~~"),"*","~*"),"?","~?"))=1,INDEX('Calculations'!$HK$13:$HK$512,MATCH('Calculations'!HF200,'Calculations'!$HE$13:$HE$512,0)),IFERROR(IF(INDEX(INDIRECT("'WCM Calibration Final'!$E$1:$E$2000"),'Calculations'!$EM200)="","",TRIM(INDEX(INDIRECT("'WCM Calibration Final'!$E$1:$E$2000"),'Calculations'!$EM200)&amp;"")),"")&amp;" ["&amp;'Calculations'!HF200&amp;"]"))</x:f>
      </x:c>
      <x:c r="HK200" t="str">
        <x:f>IF('Calculations'!EM200="","",'Calculations'!HG200&amp;" ["&amp;'Calculations'!HE200&amp;"]")</x:f>
      </x:c>
      <x:c r="HL200" t="n">
        <x:f>IF('Calculations'!EM200="",0,IF(OR('Calculations'!II200&lt;&gt;"",COUNTIF('Calculations'!$HE$13:$HE$512,"="&amp;SUBSTITUTE(SUBSTITUTE(SUBSTITUTE('Calculations'!HE200,"~","~~"),"*","~*"),"?","~?"))&gt;1),1,0))</x:f>
        <x:v>0</x:v>
      </x:c>
      <x:c r="HM200" t="str">
        <x:f>IF('Calculations'!EM200="","",IF('Calculations'!HL200=1,"!UNRESOLVED",IF('Calculations'!IH200&lt;&gt;"",'Calculations'!IH200,IF('Calculations'!IG200&lt;&gt;"",'Calculations'!IG200,IF('Calculations'!IF200&lt;&gt;"",'Calculations'!IF200,IF('Calculations'!IE200&lt;&gt;"",'Calculations'!IE200,IF('Calculations'!ID200&lt;&gt;"",'Calculations'!ID200,IF('Calculations'!IC200&lt;&gt;"",'Calculations'!IC200,IF('Calculations'!IB200&lt;&gt;"",'Calculations'!IB200,IF('Calculations'!IA200&lt;&gt;"",'Calculations'!IA200,IF('Calculations'!HZ200&lt;&gt;"",'Calculations'!HZ200,IF('Calculations'!HY200&lt;&gt;"",'Calculations'!HY200,IF('Calculations'!HX200&lt;&gt;"",'Calculations'!HX200,IF('Calculations'!HW200&lt;&gt;"",'Calculations'!HW200,IF('Calculations'!HV200&lt;&gt;"",'Calculations'!HV200,IF('Calculations'!HU200&lt;&gt;"",'Calculations'!HU200,IF('Calculations'!HT200&lt;&gt;"",'Calculations'!HT200,IF('Calculations'!HS200&lt;&gt;"",'Calculations'!HS200,IF('Calculations'!HR200&lt;&gt;"",'Calculations'!HR200,IF('Calculations'!HQ200&lt;&gt;"",'Calculations'!HQ200,IF('Calculations'!HP200&lt;&gt;"",'Calculations'!HP200,IF('Calculations'!HO200&lt;&gt;"",'Calculations'!HO200,'Calculations'!HE200))))))))))))))))))))))</x:f>
      </x:c>
      <x:c r="HN200" t="str">
        <x:f>IF('Calculations'!EM200="","",IF(IFERROR(IF(INDEX(INDIRECT("'WCM Calibration Final'!$F$1:$F$2000"),'Calculations'!$EM200)="","",TRIM(INDEX(INDIRECT("'WCM Calibration Final'!$F$1:$F$2000"),'Calculations'!$EM200)&amp;"")),"")="","(Blank)",IFERROR(IF(INDEX(INDIRECT("'WCM Calibration Final'!$F$1:$F$2000"),'Calculations'!$EM200)="","",TRIM(INDEX(INDIRECT("'WCM Calibration Final'!$F$1:$F$2000"),'Calculations'!$EM200)&amp;"")),"")))</x:f>
      </x:c>
      <x:c r="HO200" t="str">
        <x:f>'Calculations'!HF200</x:f>
      </x:c>
      <x:c r="HP200" t="str">
        <x:f>IF('Calculations'!HO200="","",IF('Calculations'!HO200="!AMBIG","!AMBIG",IF(COUNTIF('Calculations'!$HE$13:$HE$512,"="&amp;SUBSTITUTE(SUBSTITUTE(SUBSTITUTE('Calculations'!HO200,"~","~~"),"*","~*"),"?","~?"))&gt;1,"!AMBIG",IFERROR(INDEX('Calculations'!$HF$13:$HF$512,MATCH('Calculations'!HO200,'Calculations'!$HE$13:$HE$512,0)),""))))</x:f>
      </x:c>
      <x:c r="HQ200" t="str">
        <x:f>IF('Calculations'!HP200="","",IF('Calculations'!HP200="!AMBIG","!AMBIG",IF(COUNTIF('Calculations'!$HE$13:$HE$512,"="&amp;SUBSTITUTE(SUBSTITUTE(SUBSTITUTE('Calculations'!HP200,"~","~~"),"*","~*"),"?","~?"))&gt;1,"!AMBIG",IFERROR(INDEX('Calculations'!$HF$13:$HF$512,MATCH('Calculations'!HP200,'Calculations'!$HE$13:$HE$512,0)),""))))</x:f>
      </x:c>
      <x:c r="HR200" t="str">
        <x:f>IF('Calculations'!HQ200="","",IF('Calculations'!HQ200="!AMBIG","!AMBIG",IF(COUNTIF('Calculations'!$HE$13:$HE$512,"="&amp;SUBSTITUTE(SUBSTITUTE(SUBSTITUTE('Calculations'!HQ200,"~","~~"),"*","~*"),"?","~?"))&gt;1,"!AMBIG",IFERROR(INDEX('Calculations'!$HF$13:$HF$512,MATCH('Calculations'!HQ200,'Calculations'!$HE$13:$HE$512,0)),""))))</x:f>
      </x:c>
      <x:c r="HS200" t="str">
        <x:f>IF('Calculations'!HR200="","",IF('Calculations'!HR200="!AMBIG","!AMBIG",IF(COUNTIF('Calculations'!$HE$13:$HE$512,"="&amp;SUBSTITUTE(SUBSTITUTE(SUBSTITUTE('Calculations'!HR200,"~","~~"),"*","~*"),"?","~?"))&gt;1,"!AMBIG",IFERROR(INDEX('Calculations'!$HF$13:$HF$512,MATCH('Calculations'!HR200,'Calculations'!$HE$13:$HE$512,0)),""))))</x:f>
      </x:c>
      <x:c r="HT200" t="str">
        <x:f>IF('Calculations'!HS200="","",IF('Calculations'!HS200="!AMBIG","!AMBIG",IF(COUNTIF('Calculations'!$HE$13:$HE$512,"="&amp;SUBSTITUTE(SUBSTITUTE(SUBSTITUTE('Calculations'!HS200,"~","~~"),"*","~*"),"?","~?"))&gt;1,"!AMBIG",IFERROR(INDEX('Calculations'!$HF$13:$HF$512,MATCH('Calculations'!HS200,'Calculations'!$HE$13:$HE$512,0)),""))))</x:f>
      </x:c>
      <x:c r="HU200" t="str">
        <x:f>IF('Calculations'!HT200="","",IF('Calculations'!HT200="!AMBIG","!AMBIG",IF(COUNTIF('Calculations'!$HE$13:$HE$512,"="&amp;SUBSTITUTE(SUBSTITUTE(SUBSTITUTE('Calculations'!HT200,"~","~~"),"*","~*"),"?","~?"))&gt;1,"!AMBIG",IFERROR(INDEX('Calculations'!$HF$13:$HF$512,MATCH('Calculations'!HT200,'Calculations'!$HE$13:$HE$512,0)),""))))</x:f>
      </x:c>
      <x:c r="HV200" t="str">
        <x:f>IF('Calculations'!HU200="","",IF('Calculations'!HU200="!AMBIG","!AMBIG",IF(COUNTIF('Calculations'!$HE$13:$HE$512,"="&amp;SUBSTITUTE(SUBSTITUTE(SUBSTITUTE('Calculations'!HU200,"~","~~"),"*","~*"),"?","~?"))&gt;1,"!AMBIG",IFERROR(INDEX('Calculations'!$HF$13:$HF$512,MATCH('Calculations'!HU200,'Calculations'!$HE$13:$HE$512,0)),""))))</x:f>
      </x:c>
      <x:c r="HW200" t="str">
        <x:f>IF('Calculations'!HV200="","",IF('Calculations'!HV200="!AMBIG","!AMBIG",IF(COUNTIF('Calculations'!$HE$13:$HE$512,"="&amp;SUBSTITUTE(SUBSTITUTE(SUBSTITUTE('Calculations'!HV200,"~","~~"),"*","~*"),"?","~?"))&gt;1,"!AMBIG",IFERROR(INDEX('Calculations'!$HF$13:$HF$512,MATCH('Calculations'!HV200,'Calculations'!$HE$13:$HE$512,0)),""))))</x:f>
      </x:c>
      <x:c r="HX200" t="str">
        <x:f>IF('Calculations'!HW200="","",IF('Calculations'!HW200="!AMBIG","!AMBIG",IF(COUNTIF('Calculations'!$HE$13:$HE$512,"="&amp;SUBSTITUTE(SUBSTITUTE(SUBSTITUTE('Calculations'!HW200,"~","~~"),"*","~*"),"?","~?"))&gt;1,"!AMBIG",IFERROR(INDEX('Calculations'!$HF$13:$HF$512,MATCH('Calculations'!HW200,'Calculations'!$HE$13:$HE$512,0)),""))))</x:f>
      </x:c>
      <x:c r="HY200" t="str">
        <x:f>IF('Calculations'!HX200="","",IF('Calculations'!HX200="!AMBIG","!AMBIG",IF(COUNTIF('Calculations'!$HE$13:$HE$512,"="&amp;SUBSTITUTE(SUBSTITUTE(SUBSTITUTE('Calculations'!HX200,"~","~~"),"*","~*"),"?","~?"))&gt;1,"!AMBIG",IFERROR(INDEX('Calculations'!$HF$13:$HF$512,MATCH('Calculations'!HX200,'Calculations'!$HE$13:$HE$512,0)),""))))</x:f>
      </x:c>
      <x:c r="HZ200" t="str">
        <x:f>IF('Calculations'!HY200="","",IF('Calculations'!HY200="!AMBIG","!AMBIG",IF(COUNTIF('Calculations'!$HE$13:$HE$512,"="&amp;SUBSTITUTE(SUBSTITUTE(SUBSTITUTE('Calculations'!HY200,"~","~~"),"*","~*"),"?","~?"))&gt;1,"!AMBIG",IFERROR(INDEX('Calculations'!$HF$13:$HF$512,MATCH('Calculations'!HY200,'Calculations'!$HE$13:$HE$512,0)),""))))</x:f>
      </x:c>
      <x:c r="IA200" t="str">
        <x:f>IF('Calculations'!HZ200="","",IF('Calculations'!HZ200="!AMBIG","!AMBIG",IF(COUNTIF('Calculations'!$HE$13:$HE$512,"="&amp;SUBSTITUTE(SUBSTITUTE(SUBSTITUTE('Calculations'!HZ200,"~","~~"),"*","~*"),"?","~?"))&gt;1,"!AMBIG",IFERROR(INDEX('Calculations'!$HF$13:$HF$512,MATCH('Calculations'!HZ200,'Calculations'!$HE$13:$HE$512,0)),""))))</x:f>
      </x:c>
      <x:c r="IB200" t="str">
        <x:f>IF('Calculations'!IA200="","",IF('Calculations'!IA200="!AMBIG","!AMBIG",IF(COUNTIF('Calculations'!$HE$13:$HE$512,"="&amp;SUBSTITUTE(SUBSTITUTE(SUBSTITUTE('Calculations'!IA200,"~","~~"),"*","~*"),"?","~?"))&gt;1,"!AMBIG",IFERROR(INDEX('Calculations'!$HF$13:$HF$512,MATCH('Calculations'!IA200,'Calculations'!$HE$13:$HE$512,0)),""))))</x:f>
      </x:c>
      <x:c r="IC200" t="str">
        <x:f>IF('Calculations'!IB200="","",IF('Calculations'!IB200="!AMBIG","!AMBIG",IF(COUNTIF('Calculations'!$HE$13:$HE$512,"="&amp;SUBSTITUTE(SUBSTITUTE(SUBSTITUTE('Calculations'!IB200,"~","~~"),"*","~*"),"?","~?"))&gt;1,"!AMBIG",IFERROR(INDEX('Calculations'!$HF$13:$HF$512,MATCH('Calculations'!IB200,'Calculations'!$HE$13:$HE$512,0)),""))))</x:f>
      </x:c>
      <x:c r="ID200" t="str">
        <x:f>IF('Calculations'!IC200="","",IF('Calculations'!IC200="!AMBIG","!AMBIG",IF(COUNTIF('Calculations'!$HE$13:$HE$512,"="&amp;SUBSTITUTE(SUBSTITUTE(SUBSTITUTE('Calculations'!IC200,"~","~~"),"*","~*"),"?","~?"))&gt;1,"!AMBIG",IFERROR(INDEX('Calculations'!$HF$13:$HF$512,MATCH('Calculations'!IC200,'Calculations'!$HE$13:$HE$512,0)),""))))</x:f>
      </x:c>
      <x:c r="IE200" t="str">
        <x:f>IF('Calculations'!ID200="","",IF('Calculations'!ID200="!AMBIG","!AMBIG",IF(COUNTIF('Calculations'!$HE$13:$HE$512,"="&amp;SUBSTITUTE(SUBSTITUTE(SUBSTITUTE('Calculations'!ID200,"~","~~"),"*","~*"),"?","~?"))&gt;1,"!AMBIG",IFERROR(INDEX('Calculations'!$HF$13:$HF$512,MATCH('Calculations'!ID200,'Calculations'!$HE$13:$HE$512,0)),""))))</x:f>
      </x:c>
      <x:c r="IF200" t="str">
        <x:f>IF('Calculations'!IE200="","",IF('Calculations'!IE200="!AMBIG","!AMBIG",IF(COUNTIF('Calculations'!$HE$13:$HE$512,"="&amp;SUBSTITUTE(SUBSTITUTE(SUBSTITUTE('Calculations'!IE200,"~","~~"),"*","~*"),"?","~?"))&gt;1,"!AMBIG",IFERROR(INDEX('Calculations'!$HF$13:$HF$512,MATCH('Calculations'!IE200,'Calculations'!$HE$13:$HE$512,0)),""))))</x:f>
      </x:c>
      <x:c r="IG200" t="str">
        <x:f>IF('Calculations'!IF200="","",IF('Calculations'!IF200="!AMBIG","!AMBIG",IF(COUNTIF('Calculations'!$HE$13:$HE$512,"="&amp;SUBSTITUTE(SUBSTITUTE(SUBSTITUTE('Calculations'!IF200,"~","~~"),"*","~*"),"?","~?"))&gt;1,"!AMBIG",IFERROR(INDEX('Calculations'!$HF$13:$HF$512,MATCH('Calculations'!IF200,'Calculations'!$HE$13:$HE$512,0)),""))))</x:f>
      </x:c>
      <x:c r="IH200" t="str">
        <x:f>IF('Calculations'!IG200="","",IF('Calculations'!IG200="!AMBIG","!AMBIG",IF(COUNTIF('Calculations'!$HE$13:$HE$512,"="&amp;SUBSTITUTE(SUBSTITUTE(SUBSTITUTE('Calculations'!IG200,"~","~~"),"*","~*"),"?","~?"))&gt;1,"!AMBIG",IFERROR(INDEX('Calculations'!$HF$13:$HF$512,MATCH('Calculations'!IG200,'Calculations'!$HE$13:$HE$512,0)),""))))</x:f>
      </x:c>
      <x:c r="II200" t="str">
        <x:f>IF('Calculations'!IH200="","",IF('Calculations'!IH200="!AMBIG","!AMBIG",IF(COUNTIF('Calculations'!$HE$13:$HE$512,"="&amp;SUBSTITUTE(SUBSTITUTE(SUBSTITUTE('Calculations'!IH200,"~","~~"),"*","~*"),"?","~?"))&gt;1,"!AMBIG",IFERROR(INDEX('Calculations'!$HF$13:$HF$512,MATCH('Calculations'!IH200,'Calculations'!$HE$13:$HE$512,0)),""))))</x:f>
      </x:c>
      <x:c r="IJ200" t="str">
        <x:f>IF('Calculations'!EM200="","",IF('Calculations'!$EF$2="All",'Calculations'!HM200,IF('Calculations'!HL200=1,"",IFERROR(IF(MATCH('Calculations'!$EF$2,'Calculations'!HO200:II200,0)=1,'Calculations'!HE200,INDEX('Calculations'!HO200:II200,1,MATCH('Calculations'!$EF$2,'Calculations'!HO200:II200,0)-1)),""))))</x:f>
      </x:c>
      <x:c r="IK200" t="n">
        <x:f>IF(AND('Calculations'!EM200&lt;&gt;"",'Calculations'!$EF$2&lt;&gt;"All",'Calculations'!HF200='Calculations'!$EF$2,'Calculations'!HL200=0,'Calculations'!JD200&gt;0),MAX('Calculations'!$IK$12:IK199)+1,0)</x:f>
        <x:v>0</x:v>
      </x:c>
      <x:c r="JA200" t="n">
        <x:f>IF(OR(IFERROR(INDIRECT("'WCM Calibration Final'!$A$200")&lt;&gt;"",FALSE),IFERROR(INDIRECT("'WCM Calibration Final'!$B$200")&lt;&gt;"",FALSE),IFERROR(INDIRECT("'WCM Calibration Final'!$C$200")&lt;&gt;"",FALSE)),200,0)</x:f>
        <x:v>0</x:v>
      </x:c>
      <x:c r="JB200" t="n">
        <x:f>'Calculations'!JB199+IF('Calculations'!JA200&gt;0,1,0)</x:f>
        <x:v>0</x:v>
      </x:c>
      <x:c r="JC200" t="n">
        <x:f>IF(OR('Calculations'!HF200="",'Calculations'!HF200="!AMBIG"),0,IF('Dashboard'!$B$7="All",1,COUNTIFS('Calculations'!$HO$13:$HO$512,"="&amp;SUBSTITUTE(SUBSTITUTE(SUBSTITUTE('Calculations'!HF200,"~","~~"),"*","~*"),"?","~?"),'Calculations'!$HN$13:$HN$512,"="&amp;SUBSTITUTE(SUBSTITUTE(SUBSTITUTE('Dashboard'!$B$7,"~","~~"),"*","~*"),"?","~?"))+COUNTIFS('Calculations'!$HP$13:$HP$512,"="&amp;SUBSTITUTE(SUBSTITUTE(SUBSTITUTE('Calculations'!HF200,"~","~~"),"*","~*"),"?","~?"),'Calculations'!$HN$13:$HN$512,"="&amp;SUBSTITUTE(SUBSTITUTE(SUBSTITUTE('Dashboard'!$B$7,"~","~~"),"*","~*"),"?","~?"))+COUNTIFS('Calculations'!$HQ$13:$HQ$512,"="&amp;SUBSTITUTE(SUBSTITUTE(SUBSTITUTE('Calculations'!HF200,"~","~~"),"*","~*"),"?","~?"),'Calculations'!$HN$13:$HN$512,"="&amp;SUBSTITUTE(SUBSTITUTE(SUBSTITUTE('Dashboard'!$B$7,"~","~~"),"*","~*"),"?","~?"))+COUNTIFS('Calculations'!$HR$13:$HR$512,"="&amp;SUBSTITUTE(SUBSTITUTE(SUBSTITUTE('Calculations'!HF200,"~","~~"),"*","~*"),"?","~?"),'Calculations'!$HN$13:$HN$512,"="&amp;SUBSTITUTE(SUBSTITUTE(SUBSTITUTE('Dashboard'!$B$7,"~","~~"),"*","~*"),"?","~?"))+COUNTIFS('Calculations'!$HS$13:$HS$512,"="&amp;SUBSTITUTE(SUBSTITUTE(SUBSTITUTE('Calculations'!HF200,"~","~~"),"*","~*"),"?","~?"),'Calculations'!$HN$13:$HN$512,"="&amp;SUBSTITUTE(SUBSTITUTE(SUBSTITUTE('Dashboard'!$B$7,"~","~~"),"*","~*"),"?","~?"))+COUNTIFS('Calculations'!$HT$13:$HT$512,"="&amp;SUBSTITUTE(SUBSTITUTE(SUBSTITUTE('Calculations'!HF200,"~","~~"),"*","~*"),"?","~?"),'Calculations'!$HN$13:$HN$512,"="&amp;SUBSTITUTE(SUBSTITUTE(SUBSTITUTE('Dashboard'!$B$7,"~","~~"),"*","~*"),"?","~?"))+COUNTIFS('Calculations'!$HU$13:$HU$512,"="&amp;SUBSTITUTE(SUBSTITUTE(SUBSTITUTE('Calculations'!HF200,"~","~~"),"*","~*"),"?","~?"),'Calculations'!$HN$13:$HN$512,"="&amp;SUBSTITUTE(SUBSTITUTE(SUBSTITUTE('Dashboard'!$B$7,"~","~~"),"*","~*"),"?","~?"))+COUNTIFS('Calculations'!$HV$13:$HV$512,"="&amp;SUBSTITUTE(SUBSTITUTE(SUBSTITUTE('Calculations'!HF200,"~","~~"),"*","~*"),"?","~?"),'Calculations'!$HN$13:$HN$512,"="&amp;SUBSTITUTE(SUBSTITUTE(SUBSTITUTE('Dashboard'!$B$7,"~","~~"),"*","~*"),"?","~?"))+COUNTIFS('Calculations'!$HW$13:$HW$512,"="&amp;SUBSTITUTE(SUBSTITUTE(SUBSTITUTE('Calculations'!HF200,"~","~~"),"*","~*"),"?","~?"),'Calculations'!$HN$13:$HN$512,"="&amp;SUBSTITUTE(SUBSTITUTE(SUBSTITUTE('Dashboard'!$B$7,"~","~~"),"*","~*"),"?","~?"))+COUNTIFS('Calculations'!$HX$13:$HX$512,"="&amp;SUBSTITUTE(SUBSTITUTE(SUBSTITUTE('Calculations'!HF200,"~","~~"),"*","~*"),"?","~?"),'Calculations'!$HN$13:$HN$512,"="&amp;SUBSTITUTE(SUBSTITUTE(SUBSTITUTE('Dashboard'!$B$7,"~","~~"),"*","~*"),"?","~?"))+COUNTIFS('Calculations'!$HY$13:$HY$512,"="&amp;SUBSTITUTE(SUBSTITUTE(SUBSTITUTE('Calculations'!HF200,"~","~~"),"*","~*"),"?","~?"),'Calculations'!$HN$13:$HN$512,"="&amp;SUBSTITUTE(SUBSTITUTE(SUBSTITUTE('Dashboard'!$B$7,"~","~~"),"*","~*"),"?","~?"))+COUNTIFS('Calculations'!$HZ$13:$HZ$512,"="&amp;SUBSTITUTE(SUBSTITUTE(SUBSTITUTE('Calculations'!HF200,"~","~~"),"*","~*"),"?","~?"),'Calculations'!$HN$13:$HN$512,"="&amp;SUBSTITUTE(SUBSTITUTE(SUBSTITUTE('Dashboard'!$B$7,"~","~~"),"*","~*"),"?","~?"))+COUNTIFS('Calculations'!$IA$13:$IA$512,"="&amp;SUBSTITUTE(SUBSTITUTE(SUBSTITUTE('Calculations'!HF200,"~","~~"),"*","~*"),"?","~?"),'Calculations'!$HN$13:$HN$512,"="&amp;SUBSTITUTE(SUBSTITUTE(SUBSTITUTE('Dashboard'!$B$7,"~","~~"),"*","~*"),"?","~?"))+COUNTIFS('Calculations'!$IB$13:$IB$512,"="&amp;SUBSTITUTE(SUBSTITUTE(SUBSTITUTE('Calculations'!HF200,"~","~~"),"*","~*"),"?","~?"),'Calculations'!$HN$13:$HN$512,"="&amp;SUBSTITUTE(SUBSTITUTE(SUBSTITUTE('Dashboard'!$B$7,"~","~~"),"*","~*"),"?","~?"))+COUNTIFS('Calculations'!$IC$13:$IC$512,"="&amp;SUBSTITUTE(SUBSTITUTE(SUBSTITUTE('Calculations'!HF200,"~","~~"),"*","~*"),"?","~?"),'Calculations'!$HN$13:$HN$512,"="&amp;SUBSTITUTE(SUBSTITUTE(SUBSTITUTE('Dashboard'!$B$7,"~","~~"),"*","~*"),"?","~?"))+COUNTIFS('Calculations'!$ID$13:$ID$512,"="&amp;SUBSTITUTE(SUBSTITUTE(SUBSTITUTE('Calculations'!HF200,"~","~~"),"*","~*"),"?","~?"),'Calculations'!$HN$13:$HN$512,"="&amp;SUBSTITUTE(SUBSTITUTE(SUBSTITUTE('Dashboard'!$B$7,"~","~~"),"*","~*"),"?","~?"))+COUNTIFS('Calculations'!$IE$13:$IE$512,"="&amp;SUBSTITUTE(SUBSTITUTE(SUBSTITUTE('Calculations'!HF200,"~","~~"),"*","~*"),"?","~?"),'Calculations'!$HN$13:$HN$512,"="&amp;SUBSTITUTE(SUBSTITUTE(SUBSTITUTE('Dashboard'!$B$7,"~","~~"),"*","~*"),"?","~?"))+COUNTIFS('Calculations'!$IF$13:$IF$512,"="&amp;SUBSTITUTE(SUBSTITUTE(SUBSTITUTE('Calculations'!HF200,"~","~~"),"*","~*"),"?","~?"),'Calculations'!$HN$13:$HN$512,"="&amp;SUBSTITUTE(SUBSTITUTE(SUBSTITUTE('Dashboard'!$B$7,"~","~~"),"*","~*"),"?","~?"))+COUNTIFS('Calculations'!$IG$13:$IG$512,"="&amp;SUBSTITUTE(SUBSTITUTE(SUBSTITUTE('Calculations'!HF200,"~","~~"),"*","~*"),"?","~?"),'Calculations'!$HN$13:$HN$512,"="&amp;SUBSTITUTE(SUBSTITUTE(SUBSTITUTE('Dashboard'!$B$7,"~","~~"),"*","~*"),"?","~?"))+COUNTIFS('Calculations'!$IH$13:$IH$512,"="&amp;SUBSTITUTE(SUBSTITUTE(SUBSTITUTE('Calculations'!HF200,"~","~~"),"*","~*"),"?","~?"),'Calculations'!$HN$13:$HN$512,"="&amp;SUBSTITUTE(SUBSTITUTE(SUBSTITUTE('Dashboard'!$B$7,"~","~~"),"*","~*"),"?","~?"))))</x:f>
        <x:v>0</x:v>
      </x:c>
      <x:c r="JD200" t="n">
        <x:f>IF('Calculations'!EM200="",0,IF('Dashboard'!$B$7="All",1,IF('Calculations'!HN200='Dashboard'!$B$7,1,0)+IFERROR(INDEX('Calculations'!$JC$13:$JC$512,MATCH('Calculations'!HE200,'Calculations'!$HF$13:$HF$512,0)),0)))</x:f>
        <x:v>0</x:v>
      </x:c>
      <x:c r="JE200" t="n">
        <x:f>IF(AND('Calculations'!EM200&lt;&gt;"",'Calculations'!$JJ$2&lt;&gt;"All",'Calculations'!$JJ$2&lt;&gt;"",'Calculations'!HF200='Calculations'!$JJ$2,'Calculations'!HL200=0,'Calculations'!JD200&gt;0),MAX('Calculations'!$JE$12:JE199)+1,0)</x:f>
        <x:v>0</x:v>
      </x:c>
      <x:c r="JF200" t="str">
        <x:f>IF('Calculations'!EM200="","",IFERROR(IF(INDEX(INDIRECT("'WCM Calibration Final'!$G$1:$G$2000"),'Calculations'!$EM200)="","",TRIM(INDEX(INDIRECT("'WCM Calibration Final'!$G$1:$G$2000"),'Calculations'!$EM200)&amp;"")),""))</x:f>
      </x:c>
      <x:c r="JQ200" t="n">
        <x:f>IF(OR('Calculations'!BM200=0,NOT('Calculations'!$AG$2),'Calculations'!$AG$8&gt;0),0,IF(OR('Dashboard'!$B$7="All",'Calculations'!HN200='Dashboard'!$B$7),IF('Calculations'!$JJ$2="All",1,IF(AND('Calculations'!HF200='Calculations'!$JJ$2,'Calculations'!HL200=0),1,0)),0))</x:f>
        <x:v>0</x:v>
      </x:c>
    </x:row>
    <x:row r="201">
      <x:c r="AF201" s="4"/>
      <x:c r="AG201" s="4"/>
      <x:c r="AH201" s="4"/>
      <x:c r="AI201" s="4"/>
      <x:c r="AJ201" s="4"/>
      <x:c r="AK201" s="4"/>
      <x:c r="AL201" s="4"/>
      <x:c r="AM201" s="4"/>
      <x:c r="AN201" s="4"/>
      <x:c r="AO201" s="4"/>
      <x:c r="AP201" s="4"/>
      <x:c r="AQ201" s="4"/>
      <x:c r="AR201" s="4"/>
      <x:c r="AS201" s="4"/>
      <x:c r="AT201" s="4"/>
      <x:c r="AU201" s="4"/>
      <x:c r="AV201" s="4"/>
      <x:c r="AW201" s="4"/>
      <x:c r="AX201" s="4"/>
      <x:c r="AY201" s="4"/>
      <x:c r="AZ201" s="4"/>
      <x:c r="BA201" s="4"/>
      <x:c r="BB201" s="4"/>
      <x:c r="BC201" s="4"/>
      <x:c r="BD201" s="4"/>
      <x:c r="BE201" s="4"/>
      <x:c r="BF201" s="4"/>
      <x:c r="BG201" s="4"/>
      <x:c r="BH201" s="4"/>
      <x:c r="BI201" s="4"/>
      <x:c r="BJ201" s="4"/>
      <x:c r="BK201" s="4"/>
      <x:c r="BL201" s="4"/>
      <x:c r="BM201" s="4" t="n">
        <x:f>IF('Calculations'!$EM201="",0,IF(OR(IFERROR(INDEX(INDIRECT("'WCM Calibration Final'!$A$1:$A$2000"),'Calculations'!$EM201)&lt;&gt;"",FALSE),IFERROR(INDEX(INDIRECT("'WCM Calibration Final'!$B$1:$B$2000"),'Calculations'!$EM201)&lt;&gt;"",FALSE),IFERROR(INDEX(INDIRECT("'WCM Calibration Final'!$C$1:$C$2000"),'Calculations'!$EM201)&lt;&gt;"",FALSE)),1,0))</x:f>
        <x:v>0</x:v>
      </x:c>
      <x:c r="BN201" s="4" t="n">
        <x:f>IF(AND('Calculations'!BM201=1,'Calculations'!$AG$2,'Calculations'!$EN201=1),1,0)</x:f>
        <x:v>0</x:v>
      </x:c>
      <x:c r="BO201" s="4" t="str">
        <x:f>IF('Calculations'!BM201=0,"",IFERROR(IF(AND(VALUE(INDEX(INDIRECT("'WCM Calibration Final'!$K$1:$K$2000"),'Calculations'!$EM201))&gt;=1,VALUE(INDEX(INDIRECT("'WCM Calibration Final'!$K$1:$K$2000"),'Calculations'!$EM201))&lt;=4,MOD(VALUE(INDEX(INDIRECT("'WCM Calibration Final'!$K$1:$K$2000"),'Calculations'!$EM201)),1)=0),VALUE(INDEX(INDIRECT("'WCM Calibration Final'!$K$1:$K$2000"),'Calculations'!$EM201)),""),""))</x:f>
      </x:c>
      <x:c r="BP201" s="4" t="str">
        <x:f>IF('Calculations'!BM201=0,"",IFERROR(IF(AND(VALUE(INDEX(INDIRECT("'WCM Calibration Final'!$L$1:$L$2000"),'Calculations'!$EM201))&gt;=1,VALUE(INDEX(INDIRECT("'WCM Calibration Final'!$L$1:$L$2000"),'Calculations'!$EM201))&lt;=4,MOD(VALUE(INDEX(INDIRECT("'WCM Calibration Final'!$L$1:$L$2000"),'Calculations'!$EM201)),1)=0),VALUE(INDEX(INDIRECT("'WCM Calibration Final'!$L$1:$L$2000"),'Calculations'!$EM201)),""),""))</x:f>
      </x:c>
      <x:c r="BQ201" s="4"/>
      <x:c r="BR201" s="4"/>
      <x:c r="BS201" s="4"/>
      <x:c r="BT201" s="4" t="n">
        <x:f>IF(AND('Calculations'!BM201=1,ISNUMBER('Calculations'!BO201),ISNUMBER('Calculations'!BP201)),1,0)</x:f>
        <x:v>0</x:v>
      </x:c>
      <x:c r="BU201" s="4" t="str">
        <x:f>IF('Calculations'!BM201=0,"",'Calculations'!$EO201)</x:f>
      </x:c>
      <x:c r="BV201" s="4" t="str">
        <x:f>IF('Calculations'!BM201=0,"",IFERROR(IF(OR(INDEX(INDIRECT("'WCM Calibration Final'!$H$1:$H$2000"),'Calculations'!$EM201)="MANAGING DIRECTOR",INDEX(INDIRECT("'WCM Calibration Final'!$H$1:$H$2000"),'Calculations'!$EM201)="DIRECTOR",INDEX(INDIRECT("'WCM Calibration Final'!$H$1:$H$2000"),'Calculations'!$EM201)="SENIOR VICE PRESIDENT",INDEX(INDIRECT("'WCM Calibration Final'!$H$1:$H$2000"),'Calculations'!$EM201)="VICE PRESIDENT",INDEX(INDIRECT("'WCM Calibration Final'!$H$1:$H$2000"),'Calculations'!$EM201)="ASSISTANT VICE PRESIDENT",INDEX(INDIRECT("'WCM Calibration Final'!$H$1:$H$2000"),'Calculations'!$EM201)="OFFICER"),UPPER(INDEX(INDIRECT("'WCM Calibration Final'!$H$1:$H$2000"),'Calculations'!$EM201)),"Other"),"Other"))</x:f>
      </x:c>
      <x:c r="BW201" s="4"/>
      <x:c r="BX201" s="4"/>
      <x:c r="BY201" s="4" t="n">
        <x:f>IF(AND('Calculations'!BM201=1,'Calculations'!BU201&lt;&gt;"",COUNTIF('Calculations'!$BU$12:BU201,'Calculations'!BU201)=1),MAX('Calculations'!$BY$11:BY200)+1,0)</x:f>
        <x:v>0</x:v>
      </x:c>
      <x:c r="BZ201" s="4" t="str">
        <x:f>IF('Dashboard'!$E$67="What",'Calculations'!BO201,'Calculations'!BP201)</x:f>
      </x:c>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t="str">
        <x:f>IF(190&gt;MAX('Calculations'!$HI$13:$HI$512),"",INDEX('Calculations'!$HN$13:$HN$512,MATCH(190,'Calculations'!$HI$13:$HI$512,0)))</x:f>
      </x:c>
      <x:c r="DB201" s="4" t="str">
        <x:f>IF(190&gt;MAX('Calculations'!$HH$13:$HH$512),"",INDEX('Calculations'!$HJ$13:$HJ$512,MATCH(190,'Calculations'!$HH$13:$HH$512,0)))</x:f>
      </x:c>
      <x:c r="DC201" s="4" t="str">
        <x:f>IF(ROW()-11&gt;MAX('Calculations'!$BY$13:$BY$512),"",INDEX('Calculations'!$BU$13:$BU$512,MATCH(ROW()-11,'Calculations'!$BY$13:$BY$512,0)))</x:f>
      </x:c>
      <x:c r="DD201" s="4" t="str">
        <x:f>IF(190&gt;MAX('Calculations'!$IK$13:$IK$512),"",INDEX('Calculations'!$HK$13:$HK$512,MATCH(190,'Calculations'!$IK$13:$IK$512,0)))</x:f>
      </x:c>
      <x:c r="DE201" s="4" t="str">
        <x:f>'Calculations'!DC201</x:f>
      </x:c>
      <x:c r="DF201" s="4" t="str">
        <x:f>IF('Calculations'!DE201="","",COUNTIFS('Calculations'!$BN$13:$BN$512,1,'Calculations'!$BU$13:$BU$512,'Calculations'!DE201))</x:f>
      </x:c>
      <x:c r="DG201" s="4" t="str">
        <x:f>IF('Calculations'!DE201="","",COUNTIFS('Calculations'!$BN$13:$BN$512,1,'Calculations'!$BU$13:$BU$512,'Calculations'!DE201,'Calculations'!$BT$13:$BT$512,1))</x:f>
      </x:c>
      <x:c r="DH201" s="4" t="str">
        <x:f>IF('Calculations'!DE201="","",'Calculations'!DF201-'Calculations'!DG201)</x:f>
      </x:c>
      <x:c r="DI201" s="4" t="str">
        <x:f>IF(OR('Calculations'!DE201="",'Calculations'!DF201=0),"",'Calculations'!DG201/'Calculations'!DF201)</x:f>
      </x:c>
      <x:c r="DJ201" s="4" t="str">
        <x:f>IF('Calculations'!DE201="","",COUNTIFS('Calculations'!$BN$13:$BN$512,1,'Calculations'!$BU$13:$BU$512,'Calculations'!DE201,'Calculations'!$BT$13:$BT$512,1,'Calculations'!$EE$13:$EE$512,"High"))</x:f>
      </x:c>
      <x:c r="DK201" s="4" t="str">
        <x:f>IF('Calculations'!DE201="","",COUNTIFS('Calculations'!$BN$13:$BN$512,1,'Calculations'!$BU$13:$BU$512,'Calculations'!DE201,'Calculations'!$BT$13:$BT$512,1,'Calculations'!$EE$13:$EE$512,"Strong"))</x:f>
      </x:c>
      <x:c r="DL201" s="4" t="str">
        <x:f>IF('Calculations'!DE201="","",COUNTIFS('Calculations'!$BN$13:$BN$512,1,'Calculations'!$BU$13:$BU$512,'Calculations'!DE201,'Calculations'!$BT$13:$BT$512,1,'Calculations'!$EE$13:$EE$512,"Solid"))</x:f>
      </x:c>
      <x:c r="DM201" s="4" t="str">
        <x:f>IF('Calculations'!DE201="","",COUNTIFS('Calculations'!$BN$13:$BN$512,1,'Calculations'!$BU$13:$BU$512,'Calculations'!DE201,'Calculations'!$BT$13:$BT$512,1,'Calculations'!$EE$13:$EE$512,"Low"))</x:f>
      </x:c>
      <x:c r="DN201" s="4" t="str">
        <x:f>IF('Calculations'!DE201="","",COUNTIFS('Calculations'!$BN$13:$BN$512,1,'Calculations'!$BU$13:$BU$512,'Calculations'!DE201,'Calculations'!$EP$13:$EP$512,1))</x:f>
      </x:c>
      <x:c r="DO201" s="4" t="str">
        <x:f>IF(OR('Calculations'!DE201="",'Calculations'!DG201=0),"",('Calculations'!DJ201+'Calculations'!DK201)/'Calculations'!DG201)</x:f>
      </x:c>
      <x:c r="DP201" s="4" t="n">
        <x:f>IF(AND('Calculations'!DE201&lt;&gt;"",'Calculations'!DF201&gt;0),COUNTIF('Calculations'!$DF$12:DF201,"&gt;0"),0)</x:f>
        <x:v>0</x:v>
      </x:c>
      <x:c r="DQ201" s="4" t="str">
        <x:f>IF(190&gt;MAX('Calculations'!$HH$13:$HH$512),"",INDEX('Calculations'!$HF$13:$HF$512,MATCH(190,'Calculations'!$HH$13:$HH$512,0)))</x:f>
      </x:c>
      <x:c r="DR201" s="4" t="str">
        <x:f>IF(190&gt;MAX('Calculations'!$IK$13:$IK$512),"",INDEX('Calculations'!$HE$13:$HE$512,MATCH(190,'Calculations'!$IK$13:$IK$512,0)))</x:f>
      </x:c>
      <x:c r="DS201" s="4"/>
      <x:c r="DT201" s="4"/>
      <x:c r="DU201" s="4"/>
      <x:c r="DV201" s="4"/>
      <x:c r="DW201" s="4"/>
      <x:c r="DX201" s="4"/>
      <x:c r="DY201" s="4"/>
      <x:c r="DZ201" s="4"/>
      <x:c r="EA201" s="4"/>
      <x:c r="EB201" s="4"/>
      <x:c r="EC201" s="4"/>
      <x:c r="ED201" s="4"/>
      <x:c r="EE201" s="4" t="str">
        <x:f>IF('Calculations'!BT201=0,"Not Rated",IF(OR('Calculations'!BO201&gt;=4,'Calculations'!BP201&gt;=4),"Low",IF('Calculations'!BO201+'Calculations'!BP201&lt;=3,"High",IF('Calculations'!BO201+'Calculations'!BP201&lt;=4,"Strong","Solid"))))</x:f>
        <x:v>Not Rated</x:v>
      </x:c>
      <x:c r="EF201" s="4"/>
      <x:c r="EG201" s="4"/>
      <x:c r="EH201" s="4"/>
      <x:c r="EI201" s="4"/>
      <x:c r="EJ201" s="4"/>
      <x:c r="EK201" s="4"/>
      <x:c r="EL201" s="4"/>
      <x:c r="EM201" s="4" t="str">
        <x:f>IF(189&gt;'Calculations'!$JB$2000,"",INDEX('Calculations'!$JA$12:$JA$2000,MATCH(189,'Calculations'!$JB$12:$JB$2000,0)))</x:f>
      </x:c>
      <x:c r="EN201" s="4" t="n">
        <x:f>IF(OR('Calculations'!EM201="",'Calculations'!$AG$8&gt;0,AND('Calculations'!$EF$2&lt;&gt;"All",'Calculations'!HE201='Calculations'!$EF$2),AND('Calculations'!$EF$3&lt;&gt;"All",'Calculations'!HE201='Calculations'!$EF$3)),0,IF(OR('Dashboard'!$B$7="All",'Calculations'!HN201='Dashboard'!$B$7),IF('Calculations'!$EF$2="All",1,IF('Calculations'!HL201&gt;0,0,IF(COUNTIF('Calculations'!HO201:II201,"="&amp;SUBSTITUTE(SUBSTITUTE(SUBSTITUTE('Calculations'!$EF$2,"~","~~"),"*","~*"),"?","~?"))=0,0,IF('Calculations'!$EF$3="All",1,IF(COUNTIF('Calculations'!HO201:II201,"="&amp;SUBSTITUTE(SUBSTITUTE(SUBSTITUTE('Calculations'!$EF$3,"~","~~"),"*","~*"),"?","~?"))&gt;0,1,0))))),0))</x:f>
        <x:v>0</x:v>
      </x:c>
      <x:c r="EO201" s="4" t="str">
        <x:f>IF('Calculations'!IJ201="","",IF('Calculations'!IJ201="!UNRESOLVED","Unresolved hierarchy",IFERROR(INDEX('Calculations'!$HK$13:$HK$512,MATCH('Calculations'!IJ201,'Calculations'!$HE$13:$HE$512,0)),IFERROR(INDEX('Calculations'!$HJ$13:$HJ$512,MATCH('Calculations'!IJ201,'Calculations'!$HF$13:$HF$512,0)),'Calculations'!IJ201))))</x:f>
      </x:c>
      <x:c r="EP201" s="4" t="n">
        <x:f>IF(AND('Calculations'!EM201&lt;&gt;"",'Calculations'!HF201='Calculations'!IJ201),1,0)</x:f>
        <x:v>0</x:v>
      </x:c>
      <x:c r="EQ201" s="4"/>
      <x:c r="ER201" s="4"/>
      <x:c r="ES201" s="4"/>
      <x:c r="ET201" s="4"/>
      <x:c r="EU201" s="4"/>
      <x:c r="EV201" s="4"/>
      <x:c r="EW201" s="4"/>
      <x:c r="EX201" s="4"/>
      <x:c r="EY201" s="4"/>
      <x:c r="EZ201" s="4"/>
      <x:c r="FA201" s="4"/>
      <x:c r="FB201" s="4"/>
      <x:c r="FC201" s="4"/>
      <x:c r="FD201" s="4"/>
      <x:c r="FE201" s="4"/>
      <x:c r="FF201" s="4"/>
      <x:c r="FG201" s="4"/>
      <x:c r="FH201" s="4"/>
      <x:c r="FI201" s="4"/>
      <x:c r="FJ201" s="4"/>
      <x:c r="FK201" s="4"/>
      <x:c r="FL201" s="4"/>
      <x:c r="FM201" s="4"/>
      <x:c r="FN201" s="4"/>
      <x:c r="FO201" s="4"/>
      <x:c r="GA201" s="71"/>
      <x:c r="GB201" s="71"/>
      <x:c r="GC201" s="71"/>
      <x:c r="GD201" s="71"/>
      <x:c r="GE201" s="71"/>
      <x:c r="GF201" s="71"/>
      <x:c r="GG201" s="71"/>
      <x:c r="GH201" s="71"/>
      <x:c r="GI201" s="71"/>
      <x:c r="GJ201" s="71"/>
      <x:c r="GK201" s="71"/>
      <x:c r="GL201" s="71"/>
      <x:c r="GM201" s="71"/>
      <x:c r="GN201" s="71"/>
      <x:c r="GO201" s="71"/>
      <x:c r="GP201" s="71"/>
      <x:c r="GQ201" s="71"/>
      <x:c r="GR201" s="71"/>
      <x:c r="GS201" s="71"/>
      <x:c r="GT201" s="71"/>
      <x:c r="GU201" s="71"/>
      <x:c r="GV201" s="71"/>
      <x:c r="GW201" s="71"/>
      <x:c r="GX201" s="71"/>
      <x:c r="GY201" s="71"/>
      <x:c r="GZ201" s="71"/>
      <x:c r="HA201" s="71"/>
      <x:c r="HB201" s="71"/>
      <x:c r="HC201" s="71"/>
      <x:c r="HD201" s="71"/>
      <x:c r="HE201" t="str">
        <x:f>IF('Calculations'!EM201="","",IF(IFERROR(IF(INDEX(INDIRECT("'WCM Calibration Final'!$A$1:$A$2000"),'Calculations'!$EM201)="","",TRIM(INDEX(INDIRECT("'WCM Calibration Final'!$A$1:$A$2000"),'Calculations'!$EM201)&amp;"")),"")&lt;&gt;"","G:"&amp;IFERROR(TEXT(1*INDEX(INDIRECT("'WCM Calibration Final'!$A$1:$A$2000"),'Calculations'!$EM201),"0"),UPPER(IFERROR(IF(INDEX(INDIRECT("'WCM Calibration Final'!$A$1:$A$2000"),'Calculations'!$EM201)="","",TRIM(INDEX(INDIRECT("'WCM Calibration Final'!$A$1:$A$2000"),'Calculations'!$EM201)&amp;"")),""))),IF(IFERROR(IF(INDEX(INDIRECT("'WCM Calibration Final'!$C$1:$C$2000"),'Calculations'!$EM201)="","",TRIM(INDEX(INDIRECT("'WCM Calibration Final'!$C$1:$C$2000"),'Calculations'!$EM201)&amp;"")),"")&lt;&gt;"","S:"&amp;UPPER(IFERROR(IF(INDEX(INDIRECT("'WCM Calibration Final'!$C$1:$C$2000"),'Calculations'!$EM201)="","",TRIM(INDEX(INDIRECT("'WCM Calibration Final'!$C$1:$C$2000"),'Calculations'!$EM201)&amp;"")),"")),"R:"&amp;'Calculations'!EM201)))</x:f>
      </x:c>
      <x:c r="HF201" t="str">
        <x:f>IF('Calculations'!EM201="","",IF(IFERROR(IF(INDEX(INDIRECT("'WCM Calibration Final'!$D$1:$D$2000"),'Calculations'!$EM201)="","",TRIM(INDEX(INDIRECT("'WCM Calibration Final'!$D$1:$D$2000"),'Calculations'!$EM201)&amp;"")),"")&lt;&gt;"","G:"&amp;IFERROR(TEXT(1*INDEX(INDIRECT("'WCM Calibration Final'!$D$1:$D$2000"),'Calculations'!$EM201),"0"),UPPER(IFERROR(IF(INDEX(INDIRECT("'WCM Calibration Final'!$D$1:$D$2000"),'Calculations'!$EM201)="","",TRIM(INDEX(INDIRECT("'WCM Calibration Final'!$D$1:$D$2000"),'Calculations'!$EM201)&amp;"")),""))),IF(IFERROR(IF(INDEX(INDIRECT("'WCM Calibration Final'!$E$1:$E$2000"),'Calculations'!$EM201)="","",TRIM(INDEX(INDIRECT("'WCM Calibration Final'!$E$1:$E$2000"),'Calculations'!$EM201)&amp;"")),"")="","",IF(COUNTIF('Calculations'!$HG$13:$HG$512,"="&amp;SUBSTITUTE(SUBSTITUTE(SUBSTITUTE(IFERROR(IF(INDEX(INDIRECT("'WCM Calibration Final'!$E$1:$E$2000"),'Calculations'!$EM201)="","",TRIM(INDEX(INDIRECT("'WCM Calibration Final'!$E$1:$E$2000"),'Calculations'!$EM201)&amp;"")),""),"~","~~"),"*","~*"),"?","~?"))=1,INDEX('Calculations'!$HE$13:$HE$512,MATCH(IFERROR(IF(INDEX(INDIRECT("'WCM Calibration Final'!$E$1:$E$2000"),'Calculations'!$EM201)="","",TRIM(INDEX(INDIRECT("'WCM Calibration Final'!$E$1:$E$2000"),'Calculations'!$EM201)&amp;"")),""),'Calculations'!$HG$13:$HG$512,0)),IF(COUNTIF('Calculations'!$HG$13:$HG$512,"="&amp;SUBSTITUTE(SUBSTITUTE(SUBSTITUTE(IFERROR(IF(INDEX(INDIRECT("'WCM Calibration Final'!$E$1:$E$2000"),'Calculations'!$EM201)="","",TRIM(INDEX(INDIRECT("'WCM Calibration Final'!$E$1:$E$2000"),'Calculations'!$EM201)&amp;"")),""),"~","~~"),"*","~*"),"?","~?"))&gt;1,"!AMBIG","X:"&amp;IFERROR(IF(INDEX(INDIRECT("'WCM Calibration Final'!$E$1:$E$2000"),'Calculations'!$EM201)="","",TRIM(INDEX(INDIRECT("'WCM Calibration Final'!$E$1:$E$2000"),'Calculations'!$EM201)&amp;"")),""))))))</x:f>
      </x:c>
      <x:c r="HG201" t="str">
        <x:f>IF('Calculations'!EM201="","",IFERROR(IF(INDEX(INDIRECT("'WCM Calibration Final'!$B$1:$B$2000"),'Calculations'!$EM201)="","",TRIM(INDEX(INDIRECT("'WCM Calibration Final'!$B$1:$B$2000"),'Calculations'!$EM201)&amp;"")),""))</x:f>
      </x:c>
      <x:c r="HH201" t="n">
        <x:f>IF(AND('Calculations'!JC201&gt;0,COUNTIF('Calculations'!$HF$12:HF201,"="&amp;SUBSTITUTE(SUBSTITUTE(SUBSTITUTE('Calculations'!HF201,"~","~~"),"*","~*"),"?","~?"))=1),MAX('Calculations'!$HH$12:HH200)+1,0)</x:f>
        <x:v>0</x:v>
      </x:c>
      <x:c r="HI201" t="n">
        <x:f>IF(AND('Calculations'!HN201&lt;&gt;"",COUNTIF('Calculations'!$HN$12:HN201,"="&amp;SUBSTITUTE(SUBSTITUTE(SUBSTITUTE('Calculations'!HN201,"~","~~"),"*","~*"),"?","~?"))=1),MAX('Calculations'!$HI$12:HI200)+1,0)</x:f>
        <x:v>0</x:v>
      </x:c>
      <x:c r="HJ201" t="str">
        <x:f>IF('Calculations'!HF201="","",IF(COUNTIF('Calculations'!$HE$13:$HE$512,"="&amp;SUBSTITUTE(SUBSTITUTE(SUBSTITUTE('Calculations'!HF201,"~","~~"),"*","~*"),"?","~?"))=1,INDEX('Calculations'!$HK$13:$HK$512,MATCH('Calculations'!HF201,'Calculations'!$HE$13:$HE$512,0)),IFERROR(IF(INDEX(INDIRECT("'WCM Calibration Final'!$E$1:$E$2000"),'Calculations'!$EM201)="","",TRIM(INDEX(INDIRECT("'WCM Calibration Final'!$E$1:$E$2000"),'Calculations'!$EM201)&amp;"")),"")&amp;" ["&amp;'Calculations'!HF201&amp;"]"))</x:f>
      </x:c>
      <x:c r="HK201" t="str">
        <x:f>IF('Calculations'!EM201="","",'Calculations'!HG201&amp;" ["&amp;'Calculations'!HE201&amp;"]")</x:f>
      </x:c>
      <x:c r="HL201" t="n">
        <x:f>IF('Calculations'!EM201="",0,IF(OR('Calculations'!II201&lt;&gt;"",COUNTIF('Calculations'!$HE$13:$HE$512,"="&amp;SUBSTITUTE(SUBSTITUTE(SUBSTITUTE('Calculations'!HE201,"~","~~"),"*","~*"),"?","~?"))&gt;1),1,0))</x:f>
        <x:v>0</x:v>
      </x:c>
      <x:c r="HM201" t="str">
        <x:f>IF('Calculations'!EM201="","",IF('Calculations'!HL201=1,"!UNRESOLVED",IF('Calculations'!IH201&lt;&gt;"",'Calculations'!IH201,IF('Calculations'!IG201&lt;&gt;"",'Calculations'!IG201,IF('Calculations'!IF201&lt;&gt;"",'Calculations'!IF201,IF('Calculations'!IE201&lt;&gt;"",'Calculations'!IE201,IF('Calculations'!ID201&lt;&gt;"",'Calculations'!ID201,IF('Calculations'!IC201&lt;&gt;"",'Calculations'!IC201,IF('Calculations'!IB201&lt;&gt;"",'Calculations'!IB201,IF('Calculations'!IA201&lt;&gt;"",'Calculations'!IA201,IF('Calculations'!HZ201&lt;&gt;"",'Calculations'!HZ201,IF('Calculations'!HY201&lt;&gt;"",'Calculations'!HY201,IF('Calculations'!HX201&lt;&gt;"",'Calculations'!HX201,IF('Calculations'!HW201&lt;&gt;"",'Calculations'!HW201,IF('Calculations'!HV201&lt;&gt;"",'Calculations'!HV201,IF('Calculations'!HU201&lt;&gt;"",'Calculations'!HU201,IF('Calculations'!HT201&lt;&gt;"",'Calculations'!HT201,IF('Calculations'!HS201&lt;&gt;"",'Calculations'!HS201,IF('Calculations'!HR201&lt;&gt;"",'Calculations'!HR201,IF('Calculations'!HQ201&lt;&gt;"",'Calculations'!HQ201,IF('Calculations'!HP201&lt;&gt;"",'Calculations'!HP201,IF('Calculations'!HO201&lt;&gt;"",'Calculations'!HO201,'Calculations'!HE201))))))))))))))))))))))</x:f>
      </x:c>
      <x:c r="HN201" t="str">
        <x:f>IF('Calculations'!EM201="","",IF(IFERROR(IF(INDEX(INDIRECT("'WCM Calibration Final'!$F$1:$F$2000"),'Calculations'!$EM201)="","",TRIM(INDEX(INDIRECT("'WCM Calibration Final'!$F$1:$F$2000"),'Calculations'!$EM201)&amp;"")),"")="","(Blank)",IFERROR(IF(INDEX(INDIRECT("'WCM Calibration Final'!$F$1:$F$2000"),'Calculations'!$EM201)="","",TRIM(INDEX(INDIRECT("'WCM Calibration Final'!$F$1:$F$2000"),'Calculations'!$EM201)&amp;"")),"")))</x:f>
      </x:c>
      <x:c r="HO201" t="str">
        <x:f>'Calculations'!HF201</x:f>
      </x:c>
      <x:c r="HP201" t="str">
        <x:f>IF('Calculations'!HO201="","",IF('Calculations'!HO201="!AMBIG","!AMBIG",IF(COUNTIF('Calculations'!$HE$13:$HE$512,"="&amp;SUBSTITUTE(SUBSTITUTE(SUBSTITUTE('Calculations'!HO201,"~","~~"),"*","~*"),"?","~?"))&gt;1,"!AMBIG",IFERROR(INDEX('Calculations'!$HF$13:$HF$512,MATCH('Calculations'!HO201,'Calculations'!$HE$13:$HE$512,0)),""))))</x:f>
      </x:c>
      <x:c r="HQ201" t="str">
        <x:f>IF('Calculations'!HP201="","",IF('Calculations'!HP201="!AMBIG","!AMBIG",IF(COUNTIF('Calculations'!$HE$13:$HE$512,"="&amp;SUBSTITUTE(SUBSTITUTE(SUBSTITUTE('Calculations'!HP201,"~","~~"),"*","~*"),"?","~?"))&gt;1,"!AMBIG",IFERROR(INDEX('Calculations'!$HF$13:$HF$512,MATCH('Calculations'!HP201,'Calculations'!$HE$13:$HE$512,0)),""))))</x:f>
      </x:c>
      <x:c r="HR201" t="str">
        <x:f>IF('Calculations'!HQ201="","",IF('Calculations'!HQ201="!AMBIG","!AMBIG",IF(COUNTIF('Calculations'!$HE$13:$HE$512,"="&amp;SUBSTITUTE(SUBSTITUTE(SUBSTITUTE('Calculations'!HQ201,"~","~~"),"*","~*"),"?","~?"))&gt;1,"!AMBIG",IFERROR(INDEX('Calculations'!$HF$13:$HF$512,MATCH('Calculations'!HQ201,'Calculations'!$HE$13:$HE$512,0)),""))))</x:f>
      </x:c>
      <x:c r="HS201" t="str">
        <x:f>IF('Calculations'!HR201="","",IF('Calculations'!HR201="!AMBIG","!AMBIG",IF(COUNTIF('Calculations'!$HE$13:$HE$512,"="&amp;SUBSTITUTE(SUBSTITUTE(SUBSTITUTE('Calculations'!HR201,"~","~~"),"*","~*"),"?","~?"))&gt;1,"!AMBIG",IFERROR(INDEX('Calculations'!$HF$13:$HF$512,MATCH('Calculations'!HR201,'Calculations'!$HE$13:$HE$512,0)),""))))</x:f>
      </x:c>
      <x:c r="HT201" t="str">
        <x:f>IF('Calculations'!HS201="","",IF('Calculations'!HS201="!AMBIG","!AMBIG",IF(COUNTIF('Calculations'!$HE$13:$HE$512,"="&amp;SUBSTITUTE(SUBSTITUTE(SUBSTITUTE('Calculations'!HS201,"~","~~"),"*","~*"),"?","~?"))&gt;1,"!AMBIG",IFERROR(INDEX('Calculations'!$HF$13:$HF$512,MATCH('Calculations'!HS201,'Calculations'!$HE$13:$HE$512,0)),""))))</x:f>
      </x:c>
      <x:c r="HU201" t="str">
        <x:f>IF('Calculations'!HT201="","",IF('Calculations'!HT201="!AMBIG","!AMBIG",IF(COUNTIF('Calculations'!$HE$13:$HE$512,"="&amp;SUBSTITUTE(SUBSTITUTE(SUBSTITUTE('Calculations'!HT201,"~","~~"),"*","~*"),"?","~?"))&gt;1,"!AMBIG",IFERROR(INDEX('Calculations'!$HF$13:$HF$512,MATCH('Calculations'!HT201,'Calculations'!$HE$13:$HE$512,0)),""))))</x:f>
      </x:c>
      <x:c r="HV201" t="str">
        <x:f>IF('Calculations'!HU201="","",IF('Calculations'!HU201="!AMBIG","!AMBIG",IF(COUNTIF('Calculations'!$HE$13:$HE$512,"="&amp;SUBSTITUTE(SUBSTITUTE(SUBSTITUTE('Calculations'!HU201,"~","~~"),"*","~*"),"?","~?"))&gt;1,"!AMBIG",IFERROR(INDEX('Calculations'!$HF$13:$HF$512,MATCH('Calculations'!HU201,'Calculations'!$HE$13:$HE$512,0)),""))))</x:f>
      </x:c>
      <x:c r="HW201" t="str">
        <x:f>IF('Calculations'!HV201="","",IF('Calculations'!HV201="!AMBIG","!AMBIG",IF(COUNTIF('Calculations'!$HE$13:$HE$512,"="&amp;SUBSTITUTE(SUBSTITUTE(SUBSTITUTE('Calculations'!HV201,"~","~~"),"*","~*"),"?","~?"))&gt;1,"!AMBIG",IFERROR(INDEX('Calculations'!$HF$13:$HF$512,MATCH('Calculations'!HV201,'Calculations'!$HE$13:$HE$512,0)),""))))</x:f>
      </x:c>
      <x:c r="HX201" t="str">
        <x:f>IF('Calculations'!HW201="","",IF('Calculations'!HW201="!AMBIG","!AMBIG",IF(COUNTIF('Calculations'!$HE$13:$HE$512,"="&amp;SUBSTITUTE(SUBSTITUTE(SUBSTITUTE('Calculations'!HW201,"~","~~"),"*","~*"),"?","~?"))&gt;1,"!AMBIG",IFERROR(INDEX('Calculations'!$HF$13:$HF$512,MATCH('Calculations'!HW201,'Calculations'!$HE$13:$HE$512,0)),""))))</x:f>
      </x:c>
      <x:c r="HY201" t="str">
        <x:f>IF('Calculations'!HX201="","",IF('Calculations'!HX201="!AMBIG","!AMBIG",IF(COUNTIF('Calculations'!$HE$13:$HE$512,"="&amp;SUBSTITUTE(SUBSTITUTE(SUBSTITUTE('Calculations'!HX201,"~","~~"),"*","~*"),"?","~?"))&gt;1,"!AMBIG",IFERROR(INDEX('Calculations'!$HF$13:$HF$512,MATCH('Calculations'!HX201,'Calculations'!$HE$13:$HE$512,0)),""))))</x:f>
      </x:c>
      <x:c r="HZ201" t="str">
        <x:f>IF('Calculations'!HY201="","",IF('Calculations'!HY201="!AMBIG","!AMBIG",IF(COUNTIF('Calculations'!$HE$13:$HE$512,"="&amp;SUBSTITUTE(SUBSTITUTE(SUBSTITUTE('Calculations'!HY201,"~","~~"),"*","~*"),"?","~?"))&gt;1,"!AMBIG",IFERROR(INDEX('Calculations'!$HF$13:$HF$512,MATCH('Calculations'!HY201,'Calculations'!$HE$13:$HE$512,0)),""))))</x:f>
      </x:c>
      <x:c r="IA201" t="str">
        <x:f>IF('Calculations'!HZ201="","",IF('Calculations'!HZ201="!AMBIG","!AMBIG",IF(COUNTIF('Calculations'!$HE$13:$HE$512,"="&amp;SUBSTITUTE(SUBSTITUTE(SUBSTITUTE('Calculations'!HZ201,"~","~~"),"*","~*"),"?","~?"))&gt;1,"!AMBIG",IFERROR(INDEX('Calculations'!$HF$13:$HF$512,MATCH('Calculations'!HZ201,'Calculations'!$HE$13:$HE$512,0)),""))))</x:f>
      </x:c>
      <x:c r="IB201" t="str">
        <x:f>IF('Calculations'!IA201="","",IF('Calculations'!IA201="!AMBIG","!AMBIG",IF(COUNTIF('Calculations'!$HE$13:$HE$512,"="&amp;SUBSTITUTE(SUBSTITUTE(SUBSTITUTE('Calculations'!IA201,"~","~~"),"*","~*"),"?","~?"))&gt;1,"!AMBIG",IFERROR(INDEX('Calculations'!$HF$13:$HF$512,MATCH('Calculations'!IA201,'Calculations'!$HE$13:$HE$512,0)),""))))</x:f>
      </x:c>
      <x:c r="IC201" t="str">
        <x:f>IF('Calculations'!IB201="","",IF('Calculations'!IB201="!AMBIG","!AMBIG",IF(COUNTIF('Calculations'!$HE$13:$HE$512,"="&amp;SUBSTITUTE(SUBSTITUTE(SUBSTITUTE('Calculations'!IB201,"~","~~"),"*","~*"),"?","~?"))&gt;1,"!AMBIG",IFERROR(INDEX('Calculations'!$HF$13:$HF$512,MATCH('Calculations'!IB201,'Calculations'!$HE$13:$HE$512,0)),""))))</x:f>
      </x:c>
      <x:c r="ID201" t="str">
        <x:f>IF('Calculations'!IC201="","",IF('Calculations'!IC201="!AMBIG","!AMBIG",IF(COUNTIF('Calculations'!$HE$13:$HE$512,"="&amp;SUBSTITUTE(SUBSTITUTE(SUBSTITUTE('Calculations'!IC201,"~","~~"),"*","~*"),"?","~?"))&gt;1,"!AMBIG",IFERROR(INDEX('Calculations'!$HF$13:$HF$512,MATCH('Calculations'!IC201,'Calculations'!$HE$13:$HE$512,0)),""))))</x:f>
      </x:c>
      <x:c r="IE201" t="str">
        <x:f>IF('Calculations'!ID201="","",IF('Calculations'!ID201="!AMBIG","!AMBIG",IF(COUNTIF('Calculations'!$HE$13:$HE$512,"="&amp;SUBSTITUTE(SUBSTITUTE(SUBSTITUTE('Calculations'!ID201,"~","~~"),"*","~*"),"?","~?"))&gt;1,"!AMBIG",IFERROR(INDEX('Calculations'!$HF$13:$HF$512,MATCH('Calculations'!ID201,'Calculations'!$HE$13:$HE$512,0)),""))))</x:f>
      </x:c>
      <x:c r="IF201" t="str">
        <x:f>IF('Calculations'!IE201="","",IF('Calculations'!IE201="!AMBIG","!AMBIG",IF(COUNTIF('Calculations'!$HE$13:$HE$512,"="&amp;SUBSTITUTE(SUBSTITUTE(SUBSTITUTE('Calculations'!IE201,"~","~~"),"*","~*"),"?","~?"))&gt;1,"!AMBIG",IFERROR(INDEX('Calculations'!$HF$13:$HF$512,MATCH('Calculations'!IE201,'Calculations'!$HE$13:$HE$512,0)),""))))</x:f>
      </x:c>
      <x:c r="IG201" t="str">
        <x:f>IF('Calculations'!IF201="","",IF('Calculations'!IF201="!AMBIG","!AMBIG",IF(COUNTIF('Calculations'!$HE$13:$HE$512,"="&amp;SUBSTITUTE(SUBSTITUTE(SUBSTITUTE('Calculations'!IF201,"~","~~"),"*","~*"),"?","~?"))&gt;1,"!AMBIG",IFERROR(INDEX('Calculations'!$HF$13:$HF$512,MATCH('Calculations'!IF201,'Calculations'!$HE$13:$HE$512,0)),""))))</x:f>
      </x:c>
      <x:c r="IH201" t="str">
        <x:f>IF('Calculations'!IG201="","",IF('Calculations'!IG201="!AMBIG","!AMBIG",IF(COUNTIF('Calculations'!$HE$13:$HE$512,"="&amp;SUBSTITUTE(SUBSTITUTE(SUBSTITUTE('Calculations'!IG201,"~","~~"),"*","~*"),"?","~?"))&gt;1,"!AMBIG",IFERROR(INDEX('Calculations'!$HF$13:$HF$512,MATCH('Calculations'!IG201,'Calculations'!$HE$13:$HE$512,0)),""))))</x:f>
      </x:c>
      <x:c r="II201" t="str">
        <x:f>IF('Calculations'!IH201="","",IF('Calculations'!IH201="!AMBIG","!AMBIG",IF(COUNTIF('Calculations'!$HE$13:$HE$512,"="&amp;SUBSTITUTE(SUBSTITUTE(SUBSTITUTE('Calculations'!IH201,"~","~~"),"*","~*"),"?","~?"))&gt;1,"!AMBIG",IFERROR(INDEX('Calculations'!$HF$13:$HF$512,MATCH('Calculations'!IH201,'Calculations'!$HE$13:$HE$512,0)),""))))</x:f>
      </x:c>
      <x:c r="IJ201" t="str">
        <x:f>IF('Calculations'!EM201="","",IF('Calculations'!$EF$2="All",'Calculations'!HM201,IF('Calculations'!HL201=1,"",IFERROR(IF(MATCH('Calculations'!$EF$2,'Calculations'!HO201:II201,0)=1,'Calculations'!HE201,INDEX('Calculations'!HO201:II201,1,MATCH('Calculations'!$EF$2,'Calculations'!HO201:II201,0)-1)),""))))</x:f>
      </x:c>
      <x:c r="IK201" t="n">
        <x:f>IF(AND('Calculations'!EM201&lt;&gt;"",'Calculations'!$EF$2&lt;&gt;"All",'Calculations'!HF201='Calculations'!$EF$2,'Calculations'!HL201=0,'Calculations'!JD201&gt;0),MAX('Calculations'!$IK$12:IK200)+1,0)</x:f>
        <x:v>0</x:v>
      </x:c>
      <x:c r="JA201" t="n">
        <x:f>IF(OR(IFERROR(INDIRECT("'WCM Calibration Final'!$A$201")&lt;&gt;"",FALSE),IFERROR(INDIRECT("'WCM Calibration Final'!$B$201")&lt;&gt;"",FALSE),IFERROR(INDIRECT("'WCM Calibration Final'!$C$201")&lt;&gt;"",FALSE)),201,0)</x:f>
        <x:v>0</x:v>
      </x:c>
      <x:c r="JB201" t="n">
        <x:f>'Calculations'!JB200+IF('Calculations'!JA201&gt;0,1,0)</x:f>
        <x:v>0</x:v>
      </x:c>
      <x:c r="JC201" t="n">
        <x:f>IF(OR('Calculations'!HF201="",'Calculations'!HF201="!AMBIG"),0,IF('Dashboard'!$B$7="All",1,COUNTIFS('Calculations'!$HO$13:$HO$512,"="&amp;SUBSTITUTE(SUBSTITUTE(SUBSTITUTE('Calculations'!HF201,"~","~~"),"*","~*"),"?","~?"),'Calculations'!$HN$13:$HN$512,"="&amp;SUBSTITUTE(SUBSTITUTE(SUBSTITUTE('Dashboard'!$B$7,"~","~~"),"*","~*"),"?","~?"))+COUNTIFS('Calculations'!$HP$13:$HP$512,"="&amp;SUBSTITUTE(SUBSTITUTE(SUBSTITUTE('Calculations'!HF201,"~","~~"),"*","~*"),"?","~?"),'Calculations'!$HN$13:$HN$512,"="&amp;SUBSTITUTE(SUBSTITUTE(SUBSTITUTE('Dashboard'!$B$7,"~","~~"),"*","~*"),"?","~?"))+COUNTIFS('Calculations'!$HQ$13:$HQ$512,"="&amp;SUBSTITUTE(SUBSTITUTE(SUBSTITUTE('Calculations'!HF201,"~","~~"),"*","~*"),"?","~?"),'Calculations'!$HN$13:$HN$512,"="&amp;SUBSTITUTE(SUBSTITUTE(SUBSTITUTE('Dashboard'!$B$7,"~","~~"),"*","~*"),"?","~?"))+COUNTIFS('Calculations'!$HR$13:$HR$512,"="&amp;SUBSTITUTE(SUBSTITUTE(SUBSTITUTE('Calculations'!HF201,"~","~~"),"*","~*"),"?","~?"),'Calculations'!$HN$13:$HN$512,"="&amp;SUBSTITUTE(SUBSTITUTE(SUBSTITUTE('Dashboard'!$B$7,"~","~~"),"*","~*"),"?","~?"))+COUNTIFS('Calculations'!$HS$13:$HS$512,"="&amp;SUBSTITUTE(SUBSTITUTE(SUBSTITUTE('Calculations'!HF201,"~","~~"),"*","~*"),"?","~?"),'Calculations'!$HN$13:$HN$512,"="&amp;SUBSTITUTE(SUBSTITUTE(SUBSTITUTE('Dashboard'!$B$7,"~","~~"),"*","~*"),"?","~?"))+COUNTIFS('Calculations'!$HT$13:$HT$512,"="&amp;SUBSTITUTE(SUBSTITUTE(SUBSTITUTE('Calculations'!HF201,"~","~~"),"*","~*"),"?","~?"),'Calculations'!$HN$13:$HN$512,"="&amp;SUBSTITUTE(SUBSTITUTE(SUBSTITUTE('Dashboard'!$B$7,"~","~~"),"*","~*"),"?","~?"))+COUNTIFS('Calculations'!$HU$13:$HU$512,"="&amp;SUBSTITUTE(SUBSTITUTE(SUBSTITUTE('Calculations'!HF201,"~","~~"),"*","~*"),"?","~?"),'Calculations'!$HN$13:$HN$512,"="&amp;SUBSTITUTE(SUBSTITUTE(SUBSTITUTE('Dashboard'!$B$7,"~","~~"),"*","~*"),"?","~?"))+COUNTIFS('Calculations'!$HV$13:$HV$512,"="&amp;SUBSTITUTE(SUBSTITUTE(SUBSTITUTE('Calculations'!HF201,"~","~~"),"*","~*"),"?","~?"),'Calculations'!$HN$13:$HN$512,"="&amp;SUBSTITUTE(SUBSTITUTE(SUBSTITUTE('Dashboard'!$B$7,"~","~~"),"*","~*"),"?","~?"))+COUNTIFS('Calculations'!$HW$13:$HW$512,"="&amp;SUBSTITUTE(SUBSTITUTE(SUBSTITUTE('Calculations'!HF201,"~","~~"),"*","~*"),"?","~?"),'Calculations'!$HN$13:$HN$512,"="&amp;SUBSTITUTE(SUBSTITUTE(SUBSTITUTE('Dashboard'!$B$7,"~","~~"),"*","~*"),"?","~?"))+COUNTIFS('Calculations'!$HX$13:$HX$512,"="&amp;SUBSTITUTE(SUBSTITUTE(SUBSTITUTE('Calculations'!HF201,"~","~~"),"*","~*"),"?","~?"),'Calculations'!$HN$13:$HN$512,"="&amp;SUBSTITUTE(SUBSTITUTE(SUBSTITUTE('Dashboard'!$B$7,"~","~~"),"*","~*"),"?","~?"))+COUNTIFS('Calculations'!$HY$13:$HY$512,"="&amp;SUBSTITUTE(SUBSTITUTE(SUBSTITUTE('Calculations'!HF201,"~","~~"),"*","~*"),"?","~?"),'Calculations'!$HN$13:$HN$512,"="&amp;SUBSTITUTE(SUBSTITUTE(SUBSTITUTE('Dashboard'!$B$7,"~","~~"),"*","~*"),"?","~?"))+COUNTIFS('Calculations'!$HZ$13:$HZ$512,"="&amp;SUBSTITUTE(SUBSTITUTE(SUBSTITUTE('Calculations'!HF201,"~","~~"),"*","~*"),"?","~?"),'Calculations'!$HN$13:$HN$512,"="&amp;SUBSTITUTE(SUBSTITUTE(SUBSTITUTE('Dashboard'!$B$7,"~","~~"),"*","~*"),"?","~?"))+COUNTIFS('Calculations'!$IA$13:$IA$512,"="&amp;SUBSTITUTE(SUBSTITUTE(SUBSTITUTE('Calculations'!HF201,"~","~~"),"*","~*"),"?","~?"),'Calculations'!$HN$13:$HN$512,"="&amp;SUBSTITUTE(SUBSTITUTE(SUBSTITUTE('Dashboard'!$B$7,"~","~~"),"*","~*"),"?","~?"))+COUNTIFS('Calculations'!$IB$13:$IB$512,"="&amp;SUBSTITUTE(SUBSTITUTE(SUBSTITUTE('Calculations'!HF201,"~","~~"),"*","~*"),"?","~?"),'Calculations'!$HN$13:$HN$512,"="&amp;SUBSTITUTE(SUBSTITUTE(SUBSTITUTE('Dashboard'!$B$7,"~","~~"),"*","~*"),"?","~?"))+COUNTIFS('Calculations'!$IC$13:$IC$512,"="&amp;SUBSTITUTE(SUBSTITUTE(SUBSTITUTE('Calculations'!HF201,"~","~~"),"*","~*"),"?","~?"),'Calculations'!$HN$13:$HN$512,"="&amp;SUBSTITUTE(SUBSTITUTE(SUBSTITUTE('Dashboard'!$B$7,"~","~~"),"*","~*"),"?","~?"))+COUNTIFS('Calculations'!$ID$13:$ID$512,"="&amp;SUBSTITUTE(SUBSTITUTE(SUBSTITUTE('Calculations'!HF201,"~","~~"),"*","~*"),"?","~?"),'Calculations'!$HN$13:$HN$512,"="&amp;SUBSTITUTE(SUBSTITUTE(SUBSTITUTE('Dashboard'!$B$7,"~","~~"),"*","~*"),"?","~?"))+COUNTIFS('Calculations'!$IE$13:$IE$512,"="&amp;SUBSTITUTE(SUBSTITUTE(SUBSTITUTE('Calculations'!HF201,"~","~~"),"*","~*"),"?","~?"),'Calculations'!$HN$13:$HN$512,"="&amp;SUBSTITUTE(SUBSTITUTE(SUBSTITUTE('Dashboard'!$B$7,"~","~~"),"*","~*"),"?","~?"))+COUNTIFS('Calculations'!$IF$13:$IF$512,"="&amp;SUBSTITUTE(SUBSTITUTE(SUBSTITUTE('Calculations'!HF201,"~","~~"),"*","~*"),"?","~?"),'Calculations'!$HN$13:$HN$512,"="&amp;SUBSTITUTE(SUBSTITUTE(SUBSTITUTE('Dashboard'!$B$7,"~","~~"),"*","~*"),"?","~?"))+COUNTIFS('Calculations'!$IG$13:$IG$512,"="&amp;SUBSTITUTE(SUBSTITUTE(SUBSTITUTE('Calculations'!HF201,"~","~~"),"*","~*"),"?","~?"),'Calculations'!$HN$13:$HN$512,"="&amp;SUBSTITUTE(SUBSTITUTE(SUBSTITUTE('Dashboard'!$B$7,"~","~~"),"*","~*"),"?","~?"))+COUNTIFS('Calculations'!$IH$13:$IH$512,"="&amp;SUBSTITUTE(SUBSTITUTE(SUBSTITUTE('Calculations'!HF201,"~","~~"),"*","~*"),"?","~?"),'Calculations'!$HN$13:$HN$512,"="&amp;SUBSTITUTE(SUBSTITUTE(SUBSTITUTE('Dashboard'!$B$7,"~","~~"),"*","~*"),"?","~?"))))</x:f>
        <x:v>0</x:v>
      </x:c>
      <x:c r="JD201" t="n">
        <x:f>IF('Calculations'!EM201="",0,IF('Dashboard'!$B$7="All",1,IF('Calculations'!HN201='Dashboard'!$B$7,1,0)+IFERROR(INDEX('Calculations'!$JC$13:$JC$512,MATCH('Calculations'!HE201,'Calculations'!$HF$13:$HF$512,0)),0)))</x:f>
        <x:v>0</x:v>
      </x:c>
      <x:c r="JE201" t="n">
        <x:f>IF(AND('Calculations'!EM201&lt;&gt;"",'Calculations'!$JJ$2&lt;&gt;"All",'Calculations'!$JJ$2&lt;&gt;"",'Calculations'!HF201='Calculations'!$JJ$2,'Calculations'!HL201=0,'Calculations'!JD201&gt;0),MAX('Calculations'!$JE$12:JE200)+1,0)</x:f>
        <x:v>0</x:v>
      </x:c>
      <x:c r="JF201" t="str">
        <x:f>IF('Calculations'!EM201="","",IFERROR(IF(INDEX(INDIRECT("'WCM Calibration Final'!$G$1:$G$2000"),'Calculations'!$EM201)="","",TRIM(INDEX(INDIRECT("'WCM Calibration Final'!$G$1:$G$2000"),'Calculations'!$EM201)&amp;"")),""))</x:f>
      </x:c>
      <x:c r="JQ201" t="n">
        <x:f>IF(OR('Calculations'!BM201=0,NOT('Calculations'!$AG$2),'Calculations'!$AG$8&gt;0),0,IF(OR('Dashboard'!$B$7="All",'Calculations'!HN201='Dashboard'!$B$7),IF('Calculations'!$JJ$2="All",1,IF(AND('Calculations'!HF201='Calculations'!$JJ$2,'Calculations'!HL201=0),1,0)),0))</x:f>
        <x:v>0</x:v>
      </x:c>
    </x:row>
    <x:row r="202">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t="n">
        <x:f>IF('Calculations'!$EM202="",0,IF(OR(IFERROR(INDEX(INDIRECT("'WCM Calibration Final'!$A$1:$A$2000"),'Calculations'!$EM202)&lt;&gt;"",FALSE),IFERROR(INDEX(INDIRECT("'WCM Calibration Final'!$B$1:$B$2000"),'Calculations'!$EM202)&lt;&gt;"",FALSE),IFERROR(INDEX(INDIRECT("'WCM Calibration Final'!$C$1:$C$2000"),'Calculations'!$EM202)&lt;&gt;"",FALSE)),1,0))</x:f>
        <x:v>0</x:v>
      </x:c>
      <x:c r="BN202" s="4" t="n">
        <x:f>IF(AND('Calculations'!BM202=1,'Calculations'!$AG$2,'Calculations'!$EN202=1),1,0)</x:f>
        <x:v>0</x:v>
      </x:c>
      <x:c r="BO202" s="4" t="str">
        <x:f>IF('Calculations'!BM202=0,"",IFERROR(IF(AND(VALUE(INDEX(INDIRECT("'WCM Calibration Final'!$K$1:$K$2000"),'Calculations'!$EM202))&gt;=1,VALUE(INDEX(INDIRECT("'WCM Calibration Final'!$K$1:$K$2000"),'Calculations'!$EM202))&lt;=4,MOD(VALUE(INDEX(INDIRECT("'WCM Calibration Final'!$K$1:$K$2000"),'Calculations'!$EM202)),1)=0),VALUE(INDEX(INDIRECT("'WCM Calibration Final'!$K$1:$K$2000"),'Calculations'!$EM202)),""),""))</x:f>
      </x:c>
      <x:c r="BP202" s="4" t="str">
        <x:f>IF('Calculations'!BM202=0,"",IFERROR(IF(AND(VALUE(INDEX(INDIRECT("'WCM Calibration Final'!$L$1:$L$2000"),'Calculations'!$EM202))&gt;=1,VALUE(INDEX(INDIRECT("'WCM Calibration Final'!$L$1:$L$2000"),'Calculations'!$EM202))&lt;=4,MOD(VALUE(INDEX(INDIRECT("'WCM Calibration Final'!$L$1:$L$2000"),'Calculations'!$EM202)),1)=0),VALUE(INDEX(INDIRECT("'WCM Calibration Final'!$L$1:$L$2000"),'Calculations'!$EM202)),""),""))</x:f>
      </x:c>
      <x:c r="BQ202" s="4"/>
      <x:c r="BR202" s="4"/>
      <x:c r="BS202" s="4"/>
      <x:c r="BT202" s="4" t="n">
        <x:f>IF(AND('Calculations'!BM202=1,ISNUMBER('Calculations'!BO202),ISNUMBER('Calculations'!BP202)),1,0)</x:f>
        <x:v>0</x:v>
      </x:c>
      <x:c r="BU202" s="4" t="str">
        <x:f>IF('Calculations'!BM202=0,"",'Calculations'!$EO202)</x:f>
      </x:c>
      <x:c r="BV202" s="4" t="str">
        <x:f>IF('Calculations'!BM202=0,"",IFERROR(IF(OR(INDEX(INDIRECT("'WCM Calibration Final'!$H$1:$H$2000"),'Calculations'!$EM202)="MANAGING DIRECTOR",INDEX(INDIRECT("'WCM Calibration Final'!$H$1:$H$2000"),'Calculations'!$EM202)="DIRECTOR",INDEX(INDIRECT("'WCM Calibration Final'!$H$1:$H$2000"),'Calculations'!$EM202)="SENIOR VICE PRESIDENT",INDEX(INDIRECT("'WCM Calibration Final'!$H$1:$H$2000"),'Calculations'!$EM202)="VICE PRESIDENT",INDEX(INDIRECT("'WCM Calibration Final'!$H$1:$H$2000"),'Calculations'!$EM202)="ASSISTANT VICE PRESIDENT",INDEX(INDIRECT("'WCM Calibration Final'!$H$1:$H$2000"),'Calculations'!$EM202)="OFFICER"),UPPER(INDEX(INDIRECT("'WCM Calibration Final'!$H$1:$H$2000"),'Calculations'!$EM202)),"Other"),"Other"))</x:f>
      </x:c>
      <x:c r="BW202" s="4"/>
      <x:c r="BX202" s="4"/>
      <x:c r="BY202" s="4" t="n">
        <x:f>IF(AND('Calculations'!BM202=1,'Calculations'!BU202&lt;&gt;"",COUNTIF('Calculations'!$BU$12:BU202,'Calculations'!BU202)=1),MAX('Calculations'!$BY$11:BY201)+1,0)</x:f>
        <x:v>0</x:v>
      </x:c>
      <x:c r="BZ202" s="4" t="str">
        <x:f>IF('Dashboard'!$E$67="What",'Calculations'!BO202,'Calculations'!BP202)</x:f>
      </x:c>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t="str">
        <x:f>IF(191&gt;MAX('Calculations'!$HI$13:$HI$512),"",INDEX('Calculations'!$HN$13:$HN$512,MATCH(191,'Calculations'!$HI$13:$HI$512,0)))</x:f>
      </x:c>
      <x:c r="DB202" s="4" t="str">
        <x:f>IF(191&gt;MAX('Calculations'!$HH$13:$HH$512),"",INDEX('Calculations'!$HJ$13:$HJ$512,MATCH(191,'Calculations'!$HH$13:$HH$512,0)))</x:f>
      </x:c>
      <x:c r="DC202" s="4" t="str">
        <x:f>IF(ROW()-11&gt;MAX('Calculations'!$BY$13:$BY$512),"",INDEX('Calculations'!$BU$13:$BU$512,MATCH(ROW()-11,'Calculations'!$BY$13:$BY$512,0)))</x:f>
      </x:c>
      <x:c r="DD202" s="4" t="str">
        <x:f>IF(191&gt;MAX('Calculations'!$IK$13:$IK$512),"",INDEX('Calculations'!$HK$13:$HK$512,MATCH(191,'Calculations'!$IK$13:$IK$512,0)))</x:f>
      </x:c>
      <x:c r="DE202" s="4" t="str">
        <x:f>'Calculations'!DC202</x:f>
      </x:c>
      <x:c r="DF202" s="4" t="str">
        <x:f>IF('Calculations'!DE202="","",COUNTIFS('Calculations'!$BN$13:$BN$512,1,'Calculations'!$BU$13:$BU$512,'Calculations'!DE202))</x:f>
      </x:c>
      <x:c r="DG202" s="4" t="str">
        <x:f>IF('Calculations'!DE202="","",COUNTIFS('Calculations'!$BN$13:$BN$512,1,'Calculations'!$BU$13:$BU$512,'Calculations'!DE202,'Calculations'!$BT$13:$BT$512,1))</x:f>
      </x:c>
      <x:c r="DH202" s="4" t="str">
        <x:f>IF('Calculations'!DE202="","",'Calculations'!DF202-'Calculations'!DG202)</x:f>
      </x:c>
      <x:c r="DI202" s="4" t="str">
        <x:f>IF(OR('Calculations'!DE202="",'Calculations'!DF202=0),"",'Calculations'!DG202/'Calculations'!DF202)</x:f>
      </x:c>
      <x:c r="DJ202" s="4" t="str">
        <x:f>IF('Calculations'!DE202="","",COUNTIFS('Calculations'!$BN$13:$BN$512,1,'Calculations'!$BU$13:$BU$512,'Calculations'!DE202,'Calculations'!$BT$13:$BT$512,1,'Calculations'!$EE$13:$EE$512,"High"))</x:f>
      </x:c>
      <x:c r="DK202" s="4" t="str">
        <x:f>IF('Calculations'!DE202="","",COUNTIFS('Calculations'!$BN$13:$BN$512,1,'Calculations'!$BU$13:$BU$512,'Calculations'!DE202,'Calculations'!$BT$13:$BT$512,1,'Calculations'!$EE$13:$EE$512,"Strong"))</x:f>
      </x:c>
      <x:c r="DL202" s="4" t="str">
        <x:f>IF('Calculations'!DE202="","",COUNTIFS('Calculations'!$BN$13:$BN$512,1,'Calculations'!$BU$13:$BU$512,'Calculations'!DE202,'Calculations'!$BT$13:$BT$512,1,'Calculations'!$EE$13:$EE$512,"Solid"))</x:f>
      </x:c>
      <x:c r="DM202" s="4" t="str">
        <x:f>IF('Calculations'!DE202="","",COUNTIFS('Calculations'!$BN$13:$BN$512,1,'Calculations'!$BU$13:$BU$512,'Calculations'!DE202,'Calculations'!$BT$13:$BT$512,1,'Calculations'!$EE$13:$EE$512,"Low"))</x:f>
      </x:c>
      <x:c r="DN202" s="4" t="str">
        <x:f>IF('Calculations'!DE202="","",COUNTIFS('Calculations'!$BN$13:$BN$512,1,'Calculations'!$BU$13:$BU$512,'Calculations'!DE202,'Calculations'!$EP$13:$EP$512,1))</x:f>
      </x:c>
      <x:c r="DO202" s="4" t="str">
        <x:f>IF(OR('Calculations'!DE202="",'Calculations'!DG202=0),"",('Calculations'!DJ202+'Calculations'!DK202)/'Calculations'!DG202)</x:f>
      </x:c>
      <x:c r="DP202" s="4" t="n">
        <x:f>IF(AND('Calculations'!DE202&lt;&gt;"",'Calculations'!DF202&gt;0),COUNTIF('Calculations'!$DF$12:DF202,"&gt;0"),0)</x:f>
        <x:v>0</x:v>
      </x:c>
      <x:c r="DQ202" s="4" t="str">
        <x:f>IF(191&gt;MAX('Calculations'!$HH$13:$HH$512),"",INDEX('Calculations'!$HF$13:$HF$512,MATCH(191,'Calculations'!$HH$13:$HH$512,0)))</x:f>
      </x:c>
      <x:c r="DR202" s="4" t="str">
        <x:f>IF(191&gt;MAX('Calculations'!$IK$13:$IK$512),"",INDEX('Calculations'!$HE$13:$HE$512,MATCH(191,'Calculations'!$IK$13:$IK$512,0)))</x:f>
      </x:c>
      <x:c r="DS202" s="4"/>
      <x:c r="DT202" s="4"/>
      <x:c r="DU202" s="4"/>
      <x:c r="DV202" s="4"/>
      <x:c r="DW202" s="4"/>
      <x:c r="DX202" s="4"/>
      <x:c r="DY202" s="4"/>
      <x:c r="DZ202" s="4"/>
      <x:c r="EA202" s="4"/>
      <x:c r="EB202" s="4"/>
      <x:c r="EC202" s="4"/>
      <x:c r="ED202" s="4"/>
      <x:c r="EE202" s="4" t="str">
        <x:f>IF('Calculations'!BT202=0,"Not Rated",IF(OR('Calculations'!BO202&gt;=4,'Calculations'!BP202&gt;=4),"Low",IF('Calculations'!BO202+'Calculations'!BP202&lt;=3,"High",IF('Calculations'!BO202+'Calculations'!BP202&lt;=4,"Strong","Solid"))))</x:f>
        <x:v>Not Rated</x:v>
      </x:c>
      <x:c r="EF202" s="4"/>
      <x:c r="EG202" s="4"/>
      <x:c r="EH202" s="4"/>
      <x:c r="EI202" s="4"/>
      <x:c r="EJ202" s="4"/>
      <x:c r="EK202" s="4"/>
      <x:c r="EL202" s="4"/>
      <x:c r="EM202" s="4" t="str">
        <x:f>IF(190&gt;'Calculations'!$JB$2000,"",INDEX('Calculations'!$JA$12:$JA$2000,MATCH(190,'Calculations'!$JB$12:$JB$2000,0)))</x:f>
      </x:c>
      <x:c r="EN202" s="4" t="n">
        <x:f>IF(OR('Calculations'!EM202="",'Calculations'!$AG$8&gt;0,AND('Calculations'!$EF$2&lt;&gt;"All",'Calculations'!HE202='Calculations'!$EF$2),AND('Calculations'!$EF$3&lt;&gt;"All",'Calculations'!HE202='Calculations'!$EF$3)),0,IF(OR('Dashboard'!$B$7="All",'Calculations'!HN202='Dashboard'!$B$7),IF('Calculations'!$EF$2="All",1,IF('Calculations'!HL202&gt;0,0,IF(COUNTIF('Calculations'!HO202:II202,"="&amp;SUBSTITUTE(SUBSTITUTE(SUBSTITUTE('Calculations'!$EF$2,"~","~~"),"*","~*"),"?","~?"))=0,0,IF('Calculations'!$EF$3="All",1,IF(COUNTIF('Calculations'!HO202:II202,"="&amp;SUBSTITUTE(SUBSTITUTE(SUBSTITUTE('Calculations'!$EF$3,"~","~~"),"*","~*"),"?","~?"))&gt;0,1,0))))),0))</x:f>
        <x:v>0</x:v>
      </x:c>
      <x:c r="EO202" s="4" t="str">
        <x:f>IF('Calculations'!IJ202="","",IF('Calculations'!IJ202="!UNRESOLVED","Unresolved hierarchy",IFERROR(INDEX('Calculations'!$HK$13:$HK$512,MATCH('Calculations'!IJ202,'Calculations'!$HE$13:$HE$512,0)),IFERROR(INDEX('Calculations'!$HJ$13:$HJ$512,MATCH('Calculations'!IJ202,'Calculations'!$HF$13:$HF$512,0)),'Calculations'!IJ202))))</x:f>
      </x:c>
      <x:c r="EP202" s="4" t="n">
        <x:f>IF(AND('Calculations'!EM202&lt;&gt;"",'Calculations'!HF202='Calculations'!IJ202),1,0)</x:f>
        <x:v>0</x:v>
      </x:c>
      <x:c r="EQ202" s="4"/>
      <x:c r="ER202" s="4"/>
      <x:c r="ES202" s="4"/>
      <x:c r="ET202" s="4"/>
      <x:c r="EU202" s="4"/>
      <x:c r="EV202" s="4"/>
      <x:c r="EW202" s="4"/>
      <x:c r="EX202" s="4"/>
      <x:c r="EY202" s="4"/>
      <x:c r="EZ202" s="4"/>
      <x:c r="FA202" s="4"/>
      <x:c r="FB202" s="4"/>
      <x:c r="FC202" s="4"/>
      <x:c r="FD202" s="4"/>
      <x:c r="FE202" s="4"/>
      <x:c r="FF202" s="4"/>
      <x:c r="FG202" s="4"/>
      <x:c r="FH202" s="4"/>
      <x:c r="FI202" s="4"/>
      <x:c r="FJ202" s="4"/>
      <x:c r="FK202" s="4"/>
      <x:c r="FL202" s="4"/>
      <x:c r="FM202" s="4"/>
      <x:c r="FN202" s="4"/>
      <x:c r="FO202" s="4"/>
      <x:c r="GA202" s="71"/>
      <x:c r="GB202" s="71"/>
      <x:c r="GC202" s="71"/>
      <x:c r="GD202" s="71"/>
      <x:c r="GE202" s="71"/>
      <x:c r="GF202" s="71"/>
      <x:c r="GG202" s="71"/>
      <x:c r="GH202" s="71"/>
      <x:c r="GI202" s="71"/>
      <x:c r="GJ202" s="71"/>
      <x:c r="GK202" s="71"/>
      <x:c r="GL202" s="71"/>
      <x:c r="GM202" s="71"/>
      <x:c r="GN202" s="71"/>
      <x:c r="GO202" s="71"/>
      <x:c r="GP202" s="71"/>
      <x:c r="GQ202" s="71"/>
      <x:c r="GR202" s="71"/>
      <x:c r="GS202" s="71"/>
      <x:c r="GT202" s="71"/>
      <x:c r="GU202" s="71"/>
      <x:c r="GV202" s="71"/>
      <x:c r="GW202" s="71"/>
      <x:c r="GX202" s="71"/>
      <x:c r="GY202" s="71"/>
      <x:c r="GZ202" s="71"/>
      <x:c r="HA202" s="71"/>
      <x:c r="HB202" s="71"/>
      <x:c r="HC202" s="71"/>
      <x:c r="HD202" s="71"/>
      <x:c r="HE202" t="str">
        <x:f>IF('Calculations'!EM202="","",IF(IFERROR(IF(INDEX(INDIRECT("'WCM Calibration Final'!$A$1:$A$2000"),'Calculations'!$EM202)="","",TRIM(INDEX(INDIRECT("'WCM Calibration Final'!$A$1:$A$2000"),'Calculations'!$EM202)&amp;"")),"")&lt;&gt;"","G:"&amp;IFERROR(TEXT(1*INDEX(INDIRECT("'WCM Calibration Final'!$A$1:$A$2000"),'Calculations'!$EM202),"0"),UPPER(IFERROR(IF(INDEX(INDIRECT("'WCM Calibration Final'!$A$1:$A$2000"),'Calculations'!$EM202)="","",TRIM(INDEX(INDIRECT("'WCM Calibration Final'!$A$1:$A$2000"),'Calculations'!$EM202)&amp;"")),""))),IF(IFERROR(IF(INDEX(INDIRECT("'WCM Calibration Final'!$C$1:$C$2000"),'Calculations'!$EM202)="","",TRIM(INDEX(INDIRECT("'WCM Calibration Final'!$C$1:$C$2000"),'Calculations'!$EM202)&amp;"")),"")&lt;&gt;"","S:"&amp;UPPER(IFERROR(IF(INDEX(INDIRECT("'WCM Calibration Final'!$C$1:$C$2000"),'Calculations'!$EM202)="","",TRIM(INDEX(INDIRECT("'WCM Calibration Final'!$C$1:$C$2000"),'Calculations'!$EM202)&amp;"")),"")),"R:"&amp;'Calculations'!EM202)))</x:f>
      </x:c>
      <x:c r="HF202" t="str">
        <x:f>IF('Calculations'!EM202="","",IF(IFERROR(IF(INDEX(INDIRECT("'WCM Calibration Final'!$D$1:$D$2000"),'Calculations'!$EM202)="","",TRIM(INDEX(INDIRECT("'WCM Calibration Final'!$D$1:$D$2000"),'Calculations'!$EM202)&amp;"")),"")&lt;&gt;"","G:"&amp;IFERROR(TEXT(1*INDEX(INDIRECT("'WCM Calibration Final'!$D$1:$D$2000"),'Calculations'!$EM202),"0"),UPPER(IFERROR(IF(INDEX(INDIRECT("'WCM Calibration Final'!$D$1:$D$2000"),'Calculations'!$EM202)="","",TRIM(INDEX(INDIRECT("'WCM Calibration Final'!$D$1:$D$2000"),'Calculations'!$EM202)&amp;"")),""))),IF(IFERROR(IF(INDEX(INDIRECT("'WCM Calibration Final'!$E$1:$E$2000"),'Calculations'!$EM202)="","",TRIM(INDEX(INDIRECT("'WCM Calibration Final'!$E$1:$E$2000"),'Calculations'!$EM202)&amp;"")),"")="","",IF(COUNTIF('Calculations'!$HG$13:$HG$512,"="&amp;SUBSTITUTE(SUBSTITUTE(SUBSTITUTE(IFERROR(IF(INDEX(INDIRECT("'WCM Calibration Final'!$E$1:$E$2000"),'Calculations'!$EM202)="","",TRIM(INDEX(INDIRECT("'WCM Calibration Final'!$E$1:$E$2000"),'Calculations'!$EM202)&amp;"")),""),"~","~~"),"*","~*"),"?","~?"))=1,INDEX('Calculations'!$HE$13:$HE$512,MATCH(IFERROR(IF(INDEX(INDIRECT("'WCM Calibration Final'!$E$1:$E$2000"),'Calculations'!$EM202)="","",TRIM(INDEX(INDIRECT("'WCM Calibration Final'!$E$1:$E$2000"),'Calculations'!$EM202)&amp;"")),""),'Calculations'!$HG$13:$HG$512,0)),IF(COUNTIF('Calculations'!$HG$13:$HG$512,"="&amp;SUBSTITUTE(SUBSTITUTE(SUBSTITUTE(IFERROR(IF(INDEX(INDIRECT("'WCM Calibration Final'!$E$1:$E$2000"),'Calculations'!$EM202)="","",TRIM(INDEX(INDIRECT("'WCM Calibration Final'!$E$1:$E$2000"),'Calculations'!$EM202)&amp;"")),""),"~","~~"),"*","~*"),"?","~?"))&gt;1,"!AMBIG","X:"&amp;IFERROR(IF(INDEX(INDIRECT("'WCM Calibration Final'!$E$1:$E$2000"),'Calculations'!$EM202)="","",TRIM(INDEX(INDIRECT("'WCM Calibration Final'!$E$1:$E$2000"),'Calculations'!$EM202)&amp;"")),""))))))</x:f>
      </x:c>
      <x:c r="HG202" t="str">
        <x:f>IF('Calculations'!EM202="","",IFERROR(IF(INDEX(INDIRECT("'WCM Calibration Final'!$B$1:$B$2000"),'Calculations'!$EM202)="","",TRIM(INDEX(INDIRECT("'WCM Calibration Final'!$B$1:$B$2000"),'Calculations'!$EM202)&amp;"")),""))</x:f>
      </x:c>
      <x:c r="HH202" t="n">
        <x:f>IF(AND('Calculations'!JC202&gt;0,COUNTIF('Calculations'!$HF$12:HF202,"="&amp;SUBSTITUTE(SUBSTITUTE(SUBSTITUTE('Calculations'!HF202,"~","~~"),"*","~*"),"?","~?"))=1),MAX('Calculations'!$HH$12:HH201)+1,0)</x:f>
        <x:v>0</x:v>
      </x:c>
      <x:c r="HI202" t="n">
        <x:f>IF(AND('Calculations'!HN202&lt;&gt;"",COUNTIF('Calculations'!$HN$12:HN202,"="&amp;SUBSTITUTE(SUBSTITUTE(SUBSTITUTE('Calculations'!HN202,"~","~~"),"*","~*"),"?","~?"))=1),MAX('Calculations'!$HI$12:HI201)+1,0)</x:f>
        <x:v>0</x:v>
      </x:c>
      <x:c r="HJ202" t="str">
        <x:f>IF('Calculations'!HF202="","",IF(COUNTIF('Calculations'!$HE$13:$HE$512,"="&amp;SUBSTITUTE(SUBSTITUTE(SUBSTITUTE('Calculations'!HF202,"~","~~"),"*","~*"),"?","~?"))=1,INDEX('Calculations'!$HK$13:$HK$512,MATCH('Calculations'!HF202,'Calculations'!$HE$13:$HE$512,0)),IFERROR(IF(INDEX(INDIRECT("'WCM Calibration Final'!$E$1:$E$2000"),'Calculations'!$EM202)="","",TRIM(INDEX(INDIRECT("'WCM Calibration Final'!$E$1:$E$2000"),'Calculations'!$EM202)&amp;"")),"")&amp;" ["&amp;'Calculations'!HF202&amp;"]"))</x:f>
      </x:c>
      <x:c r="HK202" t="str">
        <x:f>IF('Calculations'!EM202="","",'Calculations'!HG202&amp;" ["&amp;'Calculations'!HE202&amp;"]")</x:f>
      </x:c>
      <x:c r="HL202" t="n">
        <x:f>IF('Calculations'!EM202="",0,IF(OR('Calculations'!II202&lt;&gt;"",COUNTIF('Calculations'!$HE$13:$HE$512,"="&amp;SUBSTITUTE(SUBSTITUTE(SUBSTITUTE('Calculations'!HE202,"~","~~"),"*","~*"),"?","~?"))&gt;1),1,0))</x:f>
        <x:v>0</x:v>
      </x:c>
      <x:c r="HM202" t="str">
        <x:f>IF('Calculations'!EM202="","",IF('Calculations'!HL202=1,"!UNRESOLVED",IF('Calculations'!IH202&lt;&gt;"",'Calculations'!IH202,IF('Calculations'!IG202&lt;&gt;"",'Calculations'!IG202,IF('Calculations'!IF202&lt;&gt;"",'Calculations'!IF202,IF('Calculations'!IE202&lt;&gt;"",'Calculations'!IE202,IF('Calculations'!ID202&lt;&gt;"",'Calculations'!ID202,IF('Calculations'!IC202&lt;&gt;"",'Calculations'!IC202,IF('Calculations'!IB202&lt;&gt;"",'Calculations'!IB202,IF('Calculations'!IA202&lt;&gt;"",'Calculations'!IA202,IF('Calculations'!HZ202&lt;&gt;"",'Calculations'!HZ202,IF('Calculations'!HY202&lt;&gt;"",'Calculations'!HY202,IF('Calculations'!HX202&lt;&gt;"",'Calculations'!HX202,IF('Calculations'!HW202&lt;&gt;"",'Calculations'!HW202,IF('Calculations'!HV202&lt;&gt;"",'Calculations'!HV202,IF('Calculations'!HU202&lt;&gt;"",'Calculations'!HU202,IF('Calculations'!HT202&lt;&gt;"",'Calculations'!HT202,IF('Calculations'!HS202&lt;&gt;"",'Calculations'!HS202,IF('Calculations'!HR202&lt;&gt;"",'Calculations'!HR202,IF('Calculations'!HQ202&lt;&gt;"",'Calculations'!HQ202,IF('Calculations'!HP202&lt;&gt;"",'Calculations'!HP202,IF('Calculations'!HO202&lt;&gt;"",'Calculations'!HO202,'Calculations'!HE202))))))))))))))))))))))</x:f>
      </x:c>
      <x:c r="HN202" t="str">
        <x:f>IF('Calculations'!EM202="","",IF(IFERROR(IF(INDEX(INDIRECT("'WCM Calibration Final'!$F$1:$F$2000"),'Calculations'!$EM202)="","",TRIM(INDEX(INDIRECT("'WCM Calibration Final'!$F$1:$F$2000"),'Calculations'!$EM202)&amp;"")),"")="","(Blank)",IFERROR(IF(INDEX(INDIRECT("'WCM Calibration Final'!$F$1:$F$2000"),'Calculations'!$EM202)="","",TRIM(INDEX(INDIRECT("'WCM Calibration Final'!$F$1:$F$2000"),'Calculations'!$EM202)&amp;"")),"")))</x:f>
      </x:c>
      <x:c r="HO202" t="str">
        <x:f>'Calculations'!HF202</x:f>
      </x:c>
      <x:c r="HP202" t="str">
        <x:f>IF('Calculations'!HO202="","",IF('Calculations'!HO202="!AMBIG","!AMBIG",IF(COUNTIF('Calculations'!$HE$13:$HE$512,"="&amp;SUBSTITUTE(SUBSTITUTE(SUBSTITUTE('Calculations'!HO202,"~","~~"),"*","~*"),"?","~?"))&gt;1,"!AMBIG",IFERROR(INDEX('Calculations'!$HF$13:$HF$512,MATCH('Calculations'!HO202,'Calculations'!$HE$13:$HE$512,0)),""))))</x:f>
      </x:c>
      <x:c r="HQ202" t="str">
        <x:f>IF('Calculations'!HP202="","",IF('Calculations'!HP202="!AMBIG","!AMBIG",IF(COUNTIF('Calculations'!$HE$13:$HE$512,"="&amp;SUBSTITUTE(SUBSTITUTE(SUBSTITUTE('Calculations'!HP202,"~","~~"),"*","~*"),"?","~?"))&gt;1,"!AMBIG",IFERROR(INDEX('Calculations'!$HF$13:$HF$512,MATCH('Calculations'!HP202,'Calculations'!$HE$13:$HE$512,0)),""))))</x:f>
      </x:c>
      <x:c r="HR202" t="str">
        <x:f>IF('Calculations'!HQ202="","",IF('Calculations'!HQ202="!AMBIG","!AMBIG",IF(COUNTIF('Calculations'!$HE$13:$HE$512,"="&amp;SUBSTITUTE(SUBSTITUTE(SUBSTITUTE('Calculations'!HQ202,"~","~~"),"*","~*"),"?","~?"))&gt;1,"!AMBIG",IFERROR(INDEX('Calculations'!$HF$13:$HF$512,MATCH('Calculations'!HQ202,'Calculations'!$HE$13:$HE$512,0)),""))))</x:f>
      </x:c>
      <x:c r="HS202" t="str">
        <x:f>IF('Calculations'!HR202="","",IF('Calculations'!HR202="!AMBIG","!AMBIG",IF(COUNTIF('Calculations'!$HE$13:$HE$512,"="&amp;SUBSTITUTE(SUBSTITUTE(SUBSTITUTE('Calculations'!HR202,"~","~~"),"*","~*"),"?","~?"))&gt;1,"!AMBIG",IFERROR(INDEX('Calculations'!$HF$13:$HF$512,MATCH('Calculations'!HR202,'Calculations'!$HE$13:$HE$512,0)),""))))</x:f>
      </x:c>
      <x:c r="HT202" t="str">
        <x:f>IF('Calculations'!HS202="","",IF('Calculations'!HS202="!AMBIG","!AMBIG",IF(COUNTIF('Calculations'!$HE$13:$HE$512,"="&amp;SUBSTITUTE(SUBSTITUTE(SUBSTITUTE('Calculations'!HS202,"~","~~"),"*","~*"),"?","~?"))&gt;1,"!AMBIG",IFERROR(INDEX('Calculations'!$HF$13:$HF$512,MATCH('Calculations'!HS202,'Calculations'!$HE$13:$HE$512,0)),""))))</x:f>
      </x:c>
      <x:c r="HU202" t="str">
        <x:f>IF('Calculations'!HT202="","",IF('Calculations'!HT202="!AMBIG","!AMBIG",IF(COUNTIF('Calculations'!$HE$13:$HE$512,"="&amp;SUBSTITUTE(SUBSTITUTE(SUBSTITUTE('Calculations'!HT202,"~","~~"),"*","~*"),"?","~?"))&gt;1,"!AMBIG",IFERROR(INDEX('Calculations'!$HF$13:$HF$512,MATCH('Calculations'!HT202,'Calculations'!$HE$13:$HE$512,0)),""))))</x:f>
      </x:c>
      <x:c r="HV202" t="str">
        <x:f>IF('Calculations'!HU202="","",IF('Calculations'!HU202="!AMBIG","!AMBIG",IF(COUNTIF('Calculations'!$HE$13:$HE$512,"="&amp;SUBSTITUTE(SUBSTITUTE(SUBSTITUTE('Calculations'!HU202,"~","~~"),"*","~*"),"?","~?"))&gt;1,"!AMBIG",IFERROR(INDEX('Calculations'!$HF$13:$HF$512,MATCH('Calculations'!HU202,'Calculations'!$HE$13:$HE$512,0)),""))))</x:f>
      </x:c>
      <x:c r="HW202" t="str">
        <x:f>IF('Calculations'!HV202="","",IF('Calculations'!HV202="!AMBIG","!AMBIG",IF(COUNTIF('Calculations'!$HE$13:$HE$512,"="&amp;SUBSTITUTE(SUBSTITUTE(SUBSTITUTE('Calculations'!HV202,"~","~~"),"*","~*"),"?","~?"))&gt;1,"!AMBIG",IFERROR(INDEX('Calculations'!$HF$13:$HF$512,MATCH('Calculations'!HV202,'Calculations'!$HE$13:$HE$512,0)),""))))</x:f>
      </x:c>
      <x:c r="HX202" t="str">
        <x:f>IF('Calculations'!HW202="","",IF('Calculations'!HW202="!AMBIG","!AMBIG",IF(COUNTIF('Calculations'!$HE$13:$HE$512,"="&amp;SUBSTITUTE(SUBSTITUTE(SUBSTITUTE('Calculations'!HW202,"~","~~"),"*","~*"),"?","~?"))&gt;1,"!AMBIG",IFERROR(INDEX('Calculations'!$HF$13:$HF$512,MATCH('Calculations'!HW202,'Calculations'!$HE$13:$HE$512,0)),""))))</x:f>
      </x:c>
      <x:c r="HY202" t="str">
        <x:f>IF('Calculations'!HX202="","",IF('Calculations'!HX202="!AMBIG","!AMBIG",IF(COUNTIF('Calculations'!$HE$13:$HE$512,"="&amp;SUBSTITUTE(SUBSTITUTE(SUBSTITUTE('Calculations'!HX202,"~","~~"),"*","~*"),"?","~?"))&gt;1,"!AMBIG",IFERROR(INDEX('Calculations'!$HF$13:$HF$512,MATCH('Calculations'!HX202,'Calculations'!$HE$13:$HE$512,0)),""))))</x:f>
      </x:c>
      <x:c r="HZ202" t="str">
        <x:f>IF('Calculations'!HY202="","",IF('Calculations'!HY202="!AMBIG","!AMBIG",IF(COUNTIF('Calculations'!$HE$13:$HE$512,"="&amp;SUBSTITUTE(SUBSTITUTE(SUBSTITUTE('Calculations'!HY202,"~","~~"),"*","~*"),"?","~?"))&gt;1,"!AMBIG",IFERROR(INDEX('Calculations'!$HF$13:$HF$512,MATCH('Calculations'!HY202,'Calculations'!$HE$13:$HE$512,0)),""))))</x:f>
      </x:c>
      <x:c r="IA202" t="str">
        <x:f>IF('Calculations'!HZ202="","",IF('Calculations'!HZ202="!AMBIG","!AMBIG",IF(COUNTIF('Calculations'!$HE$13:$HE$512,"="&amp;SUBSTITUTE(SUBSTITUTE(SUBSTITUTE('Calculations'!HZ202,"~","~~"),"*","~*"),"?","~?"))&gt;1,"!AMBIG",IFERROR(INDEX('Calculations'!$HF$13:$HF$512,MATCH('Calculations'!HZ202,'Calculations'!$HE$13:$HE$512,0)),""))))</x:f>
      </x:c>
      <x:c r="IB202" t="str">
        <x:f>IF('Calculations'!IA202="","",IF('Calculations'!IA202="!AMBIG","!AMBIG",IF(COUNTIF('Calculations'!$HE$13:$HE$512,"="&amp;SUBSTITUTE(SUBSTITUTE(SUBSTITUTE('Calculations'!IA202,"~","~~"),"*","~*"),"?","~?"))&gt;1,"!AMBIG",IFERROR(INDEX('Calculations'!$HF$13:$HF$512,MATCH('Calculations'!IA202,'Calculations'!$HE$13:$HE$512,0)),""))))</x:f>
      </x:c>
      <x:c r="IC202" t="str">
        <x:f>IF('Calculations'!IB202="","",IF('Calculations'!IB202="!AMBIG","!AMBIG",IF(COUNTIF('Calculations'!$HE$13:$HE$512,"="&amp;SUBSTITUTE(SUBSTITUTE(SUBSTITUTE('Calculations'!IB202,"~","~~"),"*","~*"),"?","~?"))&gt;1,"!AMBIG",IFERROR(INDEX('Calculations'!$HF$13:$HF$512,MATCH('Calculations'!IB202,'Calculations'!$HE$13:$HE$512,0)),""))))</x:f>
      </x:c>
      <x:c r="ID202" t="str">
        <x:f>IF('Calculations'!IC202="","",IF('Calculations'!IC202="!AMBIG","!AMBIG",IF(COUNTIF('Calculations'!$HE$13:$HE$512,"="&amp;SUBSTITUTE(SUBSTITUTE(SUBSTITUTE('Calculations'!IC202,"~","~~"),"*","~*"),"?","~?"))&gt;1,"!AMBIG",IFERROR(INDEX('Calculations'!$HF$13:$HF$512,MATCH('Calculations'!IC202,'Calculations'!$HE$13:$HE$512,0)),""))))</x:f>
      </x:c>
      <x:c r="IE202" t="str">
        <x:f>IF('Calculations'!ID202="","",IF('Calculations'!ID202="!AMBIG","!AMBIG",IF(COUNTIF('Calculations'!$HE$13:$HE$512,"="&amp;SUBSTITUTE(SUBSTITUTE(SUBSTITUTE('Calculations'!ID202,"~","~~"),"*","~*"),"?","~?"))&gt;1,"!AMBIG",IFERROR(INDEX('Calculations'!$HF$13:$HF$512,MATCH('Calculations'!ID202,'Calculations'!$HE$13:$HE$512,0)),""))))</x:f>
      </x:c>
      <x:c r="IF202" t="str">
        <x:f>IF('Calculations'!IE202="","",IF('Calculations'!IE202="!AMBIG","!AMBIG",IF(COUNTIF('Calculations'!$HE$13:$HE$512,"="&amp;SUBSTITUTE(SUBSTITUTE(SUBSTITUTE('Calculations'!IE202,"~","~~"),"*","~*"),"?","~?"))&gt;1,"!AMBIG",IFERROR(INDEX('Calculations'!$HF$13:$HF$512,MATCH('Calculations'!IE202,'Calculations'!$HE$13:$HE$512,0)),""))))</x:f>
      </x:c>
      <x:c r="IG202" t="str">
        <x:f>IF('Calculations'!IF202="","",IF('Calculations'!IF202="!AMBIG","!AMBIG",IF(COUNTIF('Calculations'!$HE$13:$HE$512,"="&amp;SUBSTITUTE(SUBSTITUTE(SUBSTITUTE('Calculations'!IF202,"~","~~"),"*","~*"),"?","~?"))&gt;1,"!AMBIG",IFERROR(INDEX('Calculations'!$HF$13:$HF$512,MATCH('Calculations'!IF202,'Calculations'!$HE$13:$HE$512,0)),""))))</x:f>
      </x:c>
      <x:c r="IH202" t="str">
        <x:f>IF('Calculations'!IG202="","",IF('Calculations'!IG202="!AMBIG","!AMBIG",IF(COUNTIF('Calculations'!$HE$13:$HE$512,"="&amp;SUBSTITUTE(SUBSTITUTE(SUBSTITUTE('Calculations'!IG202,"~","~~"),"*","~*"),"?","~?"))&gt;1,"!AMBIG",IFERROR(INDEX('Calculations'!$HF$13:$HF$512,MATCH('Calculations'!IG202,'Calculations'!$HE$13:$HE$512,0)),""))))</x:f>
      </x:c>
      <x:c r="II202" t="str">
        <x:f>IF('Calculations'!IH202="","",IF('Calculations'!IH202="!AMBIG","!AMBIG",IF(COUNTIF('Calculations'!$HE$13:$HE$512,"="&amp;SUBSTITUTE(SUBSTITUTE(SUBSTITUTE('Calculations'!IH202,"~","~~"),"*","~*"),"?","~?"))&gt;1,"!AMBIG",IFERROR(INDEX('Calculations'!$HF$13:$HF$512,MATCH('Calculations'!IH202,'Calculations'!$HE$13:$HE$512,0)),""))))</x:f>
      </x:c>
      <x:c r="IJ202" t="str">
        <x:f>IF('Calculations'!EM202="","",IF('Calculations'!$EF$2="All",'Calculations'!HM202,IF('Calculations'!HL202=1,"",IFERROR(IF(MATCH('Calculations'!$EF$2,'Calculations'!HO202:II202,0)=1,'Calculations'!HE202,INDEX('Calculations'!HO202:II202,1,MATCH('Calculations'!$EF$2,'Calculations'!HO202:II202,0)-1)),""))))</x:f>
      </x:c>
      <x:c r="IK202" t="n">
        <x:f>IF(AND('Calculations'!EM202&lt;&gt;"",'Calculations'!$EF$2&lt;&gt;"All",'Calculations'!HF202='Calculations'!$EF$2,'Calculations'!HL202=0,'Calculations'!JD202&gt;0),MAX('Calculations'!$IK$12:IK201)+1,0)</x:f>
        <x:v>0</x:v>
      </x:c>
      <x:c r="JA202" t="n">
        <x:f>IF(OR(IFERROR(INDIRECT("'WCM Calibration Final'!$A$202")&lt;&gt;"",FALSE),IFERROR(INDIRECT("'WCM Calibration Final'!$B$202")&lt;&gt;"",FALSE),IFERROR(INDIRECT("'WCM Calibration Final'!$C$202")&lt;&gt;"",FALSE)),202,0)</x:f>
        <x:v>0</x:v>
      </x:c>
      <x:c r="JB202" t="n">
        <x:f>'Calculations'!JB201+IF('Calculations'!JA202&gt;0,1,0)</x:f>
        <x:v>0</x:v>
      </x:c>
      <x:c r="JC202" t="n">
        <x:f>IF(OR('Calculations'!HF202="",'Calculations'!HF202="!AMBIG"),0,IF('Dashboard'!$B$7="All",1,COUNTIFS('Calculations'!$HO$13:$HO$512,"="&amp;SUBSTITUTE(SUBSTITUTE(SUBSTITUTE('Calculations'!HF202,"~","~~"),"*","~*"),"?","~?"),'Calculations'!$HN$13:$HN$512,"="&amp;SUBSTITUTE(SUBSTITUTE(SUBSTITUTE('Dashboard'!$B$7,"~","~~"),"*","~*"),"?","~?"))+COUNTIFS('Calculations'!$HP$13:$HP$512,"="&amp;SUBSTITUTE(SUBSTITUTE(SUBSTITUTE('Calculations'!HF202,"~","~~"),"*","~*"),"?","~?"),'Calculations'!$HN$13:$HN$512,"="&amp;SUBSTITUTE(SUBSTITUTE(SUBSTITUTE('Dashboard'!$B$7,"~","~~"),"*","~*"),"?","~?"))+COUNTIFS('Calculations'!$HQ$13:$HQ$512,"="&amp;SUBSTITUTE(SUBSTITUTE(SUBSTITUTE('Calculations'!HF202,"~","~~"),"*","~*"),"?","~?"),'Calculations'!$HN$13:$HN$512,"="&amp;SUBSTITUTE(SUBSTITUTE(SUBSTITUTE('Dashboard'!$B$7,"~","~~"),"*","~*"),"?","~?"))+COUNTIFS('Calculations'!$HR$13:$HR$512,"="&amp;SUBSTITUTE(SUBSTITUTE(SUBSTITUTE('Calculations'!HF202,"~","~~"),"*","~*"),"?","~?"),'Calculations'!$HN$13:$HN$512,"="&amp;SUBSTITUTE(SUBSTITUTE(SUBSTITUTE('Dashboard'!$B$7,"~","~~"),"*","~*"),"?","~?"))+COUNTIFS('Calculations'!$HS$13:$HS$512,"="&amp;SUBSTITUTE(SUBSTITUTE(SUBSTITUTE('Calculations'!HF202,"~","~~"),"*","~*"),"?","~?"),'Calculations'!$HN$13:$HN$512,"="&amp;SUBSTITUTE(SUBSTITUTE(SUBSTITUTE('Dashboard'!$B$7,"~","~~"),"*","~*"),"?","~?"))+COUNTIFS('Calculations'!$HT$13:$HT$512,"="&amp;SUBSTITUTE(SUBSTITUTE(SUBSTITUTE('Calculations'!HF202,"~","~~"),"*","~*"),"?","~?"),'Calculations'!$HN$13:$HN$512,"="&amp;SUBSTITUTE(SUBSTITUTE(SUBSTITUTE('Dashboard'!$B$7,"~","~~"),"*","~*"),"?","~?"))+COUNTIFS('Calculations'!$HU$13:$HU$512,"="&amp;SUBSTITUTE(SUBSTITUTE(SUBSTITUTE('Calculations'!HF202,"~","~~"),"*","~*"),"?","~?"),'Calculations'!$HN$13:$HN$512,"="&amp;SUBSTITUTE(SUBSTITUTE(SUBSTITUTE('Dashboard'!$B$7,"~","~~"),"*","~*"),"?","~?"))+COUNTIFS('Calculations'!$HV$13:$HV$512,"="&amp;SUBSTITUTE(SUBSTITUTE(SUBSTITUTE('Calculations'!HF202,"~","~~"),"*","~*"),"?","~?"),'Calculations'!$HN$13:$HN$512,"="&amp;SUBSTITUTE(SUBSTITUTE(SUBSTITUTE('Dashboard'!$B$7,"~","~~"),"*","~*"),"?","~?"))+COUNTIFS('Calculations'!$HW$13:$HW$512,"="&amp;SUBSTITUTE(SUBSTITUTE(SUBSTITUTE('Calculations'!HF202,"~","~~"),"*","~*"),"?","~?"),'Calculations'!$HN$13:$HN$512,"="&amp;SUBSTITUTE(SUBSTITUTE(SUBSTITUTE('Dashboard'!$B$7,"~","~~"),"*","~*"),"?","~?"))+COUNTIFS('Calculations'!$HX$13:$HX$512,"="&amp;SUBSTITUTE(SUBSTITUTE(SUBSTITUTE('Calculations'!HF202,"~","~~"),"*","~*"),"?","~?"),'Calculations'!$HN$13:$HN$512,"="&amp;SUBSTITUTE(SUBSTITUTE(SUBSTITUTE('Dashboard'!$B$7,"~","~~"),"*","~*"),"?","~?"))+COUNTIFS('Calculations'!$HY$13:$HY$512,"="&amp;SUBSTITUTE(SUBSTITUTE(SUBSTITUTE('Calculations'!HF202,"~","~~"),"*","~*"),"?","~?"),'Calculations'!$HN$13:$HN$512,"="&amp;SUBSTITUTE(SUBSTITUTE(SUBSTITUTE('Dashboard'!$B$7,"~","~~"),"*","~*"),"?","~?"))+COUNTIFS('Calculations'!$HZ$13:$HZ$512,"="&amp;SUBSTITUTE(SUBSTITUTE(SUBSTITUTE('Calculations'!HF202,"~","~~"),"*","~*"),"?","~?"),'Calculations'!$HN$13:$HN$512,"="&amp;SUBSTITUTE(SUBSTITUTE(SUBSTITUTE('Dashboard'!$B$7,"~","~~"),"*","~*"),"?","~?"))+COUNTIFS('Calculations'!$IA$13:$IA$512,"="&amp;SUBSTITUTE(SUBSTITUTE(SUBSTITUTE('Calculations'!HF202,"~","~~"),"*","~*"),"?","~?"),'Calculations'!$HN$13:$HN$512,"="&amp;SUBSTITUTE(SUBSTITUTE(SUBSTITUTE('Dashboard'!$B$7,"~","~~"),"*","~*"),"?","~?"))+COUNTIFS('Calculations'!$IB$13:$IB$512,"="&amp;SUBSTITUTE(SUBSTITUTE(SUBSTITUTE('Calculations'!HF202,"~","~~"),"*","~*"),"?","~?"),'Calculations'!$HN$13:$HN$512,"="&amp;SUBSTITUTE(SUBSTITUTE(SUBSTITUTE('Dashboard'!$B$7,"~","~~"),"*","~*"),"?","~?"))+COUNTIFS('Calculations'!$IC$13:$IC$512,"="&amp;SUBSTITUTE(SUBSTITUTE(SUBSTITUTE('Calculations'!HF202,"~","~~"),"*","~*"),"?","~?"),'Calculations'!$HN$13:$HN$512,"="&amp;SUBSTITUTE(SUBSTITUTE(SUBSTITUTE('Dashboard'!$B$7,"~","~~"),"*","~*"),"?","~?"))+COUNTIFS('Calculations'!$ID$13:$ID$512,"="&amp;SUBSTITUTE(SUBSTITUTE(SUBSTITUTE('Calculations'!HF202,"~","~~"),"*","~*"),"?","~?"),'Calculations'!$HN$13:$HN$512,"="&amp;SUBSTITUTE(SUBSTITUTE(SUBSTITUTE('Dashboard'!$B$7,"~","~~"),"*","~*"),"?","~?"))+COUNTIFS('Calculations'!$IE$13:$IE$512,"="&amp;SUBSTITUTE(SUBSTITUTE(SUBSTITUTE('Calculations'!HF202,"~","~~"),"*","~*"),"?","~?"),'Calculations'!$HN$13:$HN$512,"="&amp;SUBSTITUTE(SUBSTITUTE(SUBSTITUTE('Dashboard'!$B$7,"~","~~"),"*","~*"),"?","~?"))+COUNTIFS('Calculations'!$IF$13:$IF$512,"="&amp;SUBSTITUTE(SUBSTITUTE(SUBSTITUTE('Calculations'!HF202,"~","~~"),"*","~*"),"?","~?"),'Calculations'!$HN$13:$HN$512,"="&amp;SUBSTITUTE(SUBSTITUTE(SUBSTITUTE('Dashboard'!$B$7,"~","~~"),"*","~*"),"?","~?"))+COUNTIFS('Calculations'!$IG$13:$IG$512,"="&amp;SUBSTITUTE(SUBSTITUTE(SUBSTITUTE('Calculations'!HF202,"~","~~"),"*","~*"),"?","~?"),'Calculations'!$HN$13:$HN$512,"="&amp;SUBSTITUTE(SUBSTITUTE(SUBSTITUTE('Dashboard'!$B$7,"~","~~"),"*","~*"),"?","~?"))+COUNTIFS('Calculations'!$IH$13:$IH$512,"="&amp;SUBSTITUTE(SUBSTITUTE(SUBSTITUTE('Calculations'!HF202,"~","~~"),"*","~*"),"?","~?"),'Calculations'!$HN$13:$HN$512,"="&amp;SUBSTITUTE(SUBSTITUTE(SUBSTITUTE('Dashboard'!$B$7,"~","~~"),"*","~*"),"?","~?"))))</x:f>
        <x:v>0</x:v>
      </x:c>
      <x:c r="JD202" t="n">
        <x:f>IF('Calculations'!EM202="",0,IF('Dashboard'!$B$7="All",1,IF('Calculations'!HN202='Dashboard'!$B$7,1,0)+IFERROR(INDEX('Calculations'!$JC$13:$JC$512,MATCH('Calculations'!HE202,'Calculations'!$HF$13:$HF$512,0)),0)))</x:f>
        <x:v>0</x:v>
      </x:c>
      <x:c r="JE202" t="n">
        <x:f>IF(AND('Calculations'!EM202&lt;&gt;"",'Calculations'!$JJ$2&lt;&gt;"All",'Calculations'!$JJ$2&lt;&gt;"",'Calculations'!HF202='Calculations'!$JJ$2,'Calculations'!HL202=0,'Calculations'!JD202&gt;0),MAX('Calculations'!$JE$12:JE201)+1,0)</x:f>
        <x:v>0</x:v>
      </x:c>
      <x:c r="JF202" t="str">
        <x:f>IF('Calculations'!EM202="","",IFERROR(IF(INDEX(INDIRECT("'WCM Calibration Final'!$G$1:$G$2000"),'Calculations'!$EM202)="","",TRIM(INDEX(INDIRECT("'WCM Calibration Final'!$G$1:$G$2000"),'Calculations'!$EM202)&amp;"")),""))</x:f>
      </x:c>
      <x:c r="JQ202" t="n">
        <x:f>IF(OR('Calculations'!BM202=0,NOT('Calculations'!$AG$2),'Calculations'!$AG$8&gt;0),0,IF(OR('Dashboard'!$B$7="All",'Calculations'!HN202='Dashboard'!$B$7),IF('Calculations'!$JJ$2="All",1,IF(AND('Calculations'!HF202='Calculations'!$JJ$2,'Calculations'!HL202=0),1,0)),0))</x:f>
        <x:v>0</x:v>
      </x:c>
    </x:row>
    <x:row r="203">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t="n">
        <x:f>IF('Calculations'!$EM203="",0,IF(OR(IFERROR(INDEX(INDIRECT("'WCM Calibration Final'!$A$1:$A$2000"),'Calculations'!$EM203)&lt;&gt;"",FALSE),IFERROR(INDEX(INDIRECT("'WCM Calibration Final'!$B$1:$B$2000"),'Calculations'!$EM203)&lt;&gt;"",FALSE),IFERROR(INDEX(INDIRECT("'WCM Calibration Final'!$C$1:$C$2000"),'Calculations'!$EM203)&lt;&gt;"",FALSE)),1,0))</x:f>
        <x:v>0</x:v>
      </x:c>
      <x:c r="BN203" s="4" t="n">
        <x:f>IF(AND('Calculations'!BM203=1,'Calculations'!$AG$2,'Calculations'!$EN203=1),1,0)</x:f>
        <x:v>0</x:v>
      </x:c>
      <x:c r="BO203" s="4" t="str">
        <x:f>IF('Calculations'!BM203=0,"",IFERROR(IF(AND(VALUE(INDEX(INDIRECT("'WCM Calibration Final'!$K$1:$K$2000"),'Calculations'!$EM203))&gt;=1,VALUE(INDEX(INDIRECT("'WCM Calibration Final'!$K$1:$K$2000"),'Calculations'!$EM203))&lt;=4,MOD(VALUE(INDEX(INDIRECT("'WCM Calibration Final'!$K$1:$K$2000"),'Calculations'!$EM203)),1)=0),VALUE(INDEX(INDIRECT("'WCM Calibration Final'!$K$1:$K$2000"),'Calculations'!$EM203)),""),""))</x:f>
      </x:c>
      <x:c r="BP203" s="4" t="str">
        <x:f>IF('Calculations'!BM203=0,"",IFERROR(IF(AND(VALUE(INDEX(INDIRECT("'WCM Calibration Final'!$L$1:$L$2000"),'Calculations'!$EM203))&gt;=1,VALUE(INDEX(INDIRECT("'WCM Calibration Final'!$L$1:$L$2000"),'Calculations'!$EM203))&lt;=4,MOD(VALUE(INDEX(INDIRECT("'WCM Calibration Final'!$L$1:$L$2000"),'Calculations'!$EM203)),1)=0),VALUE(INDEX(INDIRECT("'WCM Calibration Final'!$L$1:$L$2000"),'Calculations'!$EM203)),""),""))</x:f>
      </x:c>
      <x:c r="BQ203" s="4"/>
      <x:c r="BR203" s="4"/>
      <x:c r="BS203" s="4"/>
      <x:c r="BT203" s="4" t="n">
        <x:f>IF(AND('Calculations'!BM203=1,ISNUMBER('Calculations'!BO203),ISNUMBER('Calculations'!BP203)),1,0)</x:f>
        <x:v>0</x:v>
      </x:c>
      <x:c r="BU203" s="4" t="str">
        <x:f>IF('Calculations'!BM203=0,"",'Calculations'!$EO203)</x:f>
      </x:c>
      <x:c r="BV203" s="4" t="str">
        <x:f>IF('Calculations'!BM203=0,"",IFERROR(IF(OR(INDEX(INDIRECT("'WCM Calibration Final'!$H$1:$H$2000"),'Calculations'!$EM203)="MANAGING DIRECTOR",INDEX(INDIRECT("'WCM Calibration Final'!$H$1:$H$2000"),'Calculations'!$EM203)="DIRECTOR",INDEX(INDIRECT("'WCM Calibration Final'!$H$1:$H$2000"),'Calculations'!$EM203)="SENIOR VICE PRESIDENT",INDEX(INDIRECT("'WCM Calibration Final'!$H$1:$H$2000"),'Calculations'!$EM203)="VICE PRESIDENT",INDEX(INDIRECT("'WCM Calibration Final'!$H$1:$H$2000"),'Calculations'!$EM203)="ASSISTANT VICE PRESIDENT",INDEX(INDIRECT("'WCM Calibration Final'!$H$1:$H$2000"),'Calculations'!$EM203)="OFFICER"),UPPER(INDEX(INDIRECT("'WCM Calibration Final'!$H$1:$H$2000"),'Calculations'!$EM203)),"Other"),"Other"))</x:f>
      </x:c>
      <x:c r="BW203" s="4"/>
      <x:c r="BX203" s="4"/>
      <x:c r="BY203" s="4" t="n">
        <x:f>IF(AND('Calculations'!BM203=1,'Calculations'!BU203&lt;&gt;"",COUNTIF('Calculations'!$BU$12:BU203,'Calculations'!BU203)=1),MAX('Calculations'!$BY$11:BY202)+1,0)</x:f>
        <x:v>0</x:v>
      </x:c>
      <x:c r="BZ203" s="4" t="str">
        <x:f>IF('Dashboard'!$E$67="What",'Calculations'!BO203,'Calculations'!BP203)</x:f>
      </x:c>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t="str">
        <x:f>IF(192&gt;MAX('Calculations'!$HI$13:$HI$512),"",INDEX('Calculations'!$HN$13:$HN$512,MATCH(192,'Calculations'!$HI$13:$HI$512,0)))</x:f>
      </x:c>
      <x:c r="DB203" s="4" t="str">
        <x:f>IF(192&gt;MAX('Calculations'!$HH$13:$HH$512),"",INDEX('Calculations'!$HJ$13:$HJ$512,MATCH(192,'Calculations'!$HH$13:$HH$512,0)))</x:f>
      </x:c>
      <x:c r="DC203" s="4" t="str">
        <x:f>IF(ROW()-11&gt;MAX('Calculations'!$BY$13:$BY$512),"",INDEX('Calculations'!$BU$13:$BU$512,MATCH(ROW()-11,'Calculations'!$BY$13:$BY$512,0)))</x:f>
      </x:c>
      <x:c r="DD203" s="4" t="str">
        <x:f>IF(192&gt;MAX('Calculations'!$IK$13:$IK$512),"",INDEX('Calculations'!$HK$13:$HK$512,MATCH(192,'Calculations'!$IK$13:$IK$512,0)))</x:f>
      </x:c>
      <x:c r="DE203" s="4" t="str">
        <x:f>'Calculations'!DC203</x:f>
      </x:c>
      <x:c r="DF203" s="4" t="str">
        <x:f>IF('Calculations'!DE203="","",COUNTIFS('Calculations'!$BN$13:$BN$512,1,'Calculations'!$BU$13:$BU$512,'Calculations'!DE203))</x:f>
      </x:c>
      <x:c r="DG203" s="4" t="str">
        <x:f>IF('Calculations'!DE203="","",COUNTIFS('Calculations'!$BN$13:$BN$512,1,'Calculations'!$BU$13:$BU$512,'Calculations'!DE203,'Calculations'!$BT$13:$BT$512,1))</x:f>
      </x:c>
      <x:c r="DH203" s="4" t="str">
        <x:f>IF('Calculations'!DE203="","",'Calculations'!DF203-'Calculations'!DG203)</x:f>
      </x:c>
      <x:c r="DI203" s="4" t="str">
        <x:f>IF(OR('Calculations'!DE203="",'Calculations'!DF203=0),"",'Calculations'!DG203/'Calculations'!DF203)</x:f>
      </x:c>
      <x:c r="DJ203" s="4" t="str">
        <x:f>IF('Calculations'!DE203="","",COUNTIFS('Calculations'!$BN$13:$BN$512,1,'Calculations'!$BU$13:$BU$512,'Calculations'!DE203,'Calculations'!$BT$13:$BT$512,1,'Calculations'!$EE$13:$EE$512,"High"))</x:f>
      </x:c>
      <x:c r="DK203" s="4" t="str">
        <x:f>IF('Calculations'!DE203="","",COUNTIFS('Calculations'!$BN$13:$BN$512,1,'Calculations'!$BU$13:$BU$512,'Calculations'!DE203,'Calculations'!$BT$13:$BT$512,1,'Calculations'!$EE$13:$EE$512,"Strong"))</x:f>
      </x:c>
      <x:c r="DL203" s="4" t="str">
        <x:f>IF('Calculations'!DE203="","",COUNTIFS('Calculations'!$BN$13:$BN$512,1,'Calculations'!$BU$13:$BU$512,'Calculations'!DE203,'Calculations'!$BT$13:$BT$512,1,'Calculations'!$EE$13:$EE$512,"Solid"))</x:f>
      </x:c>
      <x:c r="DM203" s="4" t="str">
        <x:f>IF('Calculations'!DE203="","",COUNTIFS('Calculations'!$BN$13:$BN$512,1,'Calculations'!$BU$13:$BU$512,'Calculations'!DE203,'Calculations'!$BT$13:$BT$512,1,'Calculations'!$EE$13:$EE$512,"Low"))</x:f>
      </x:c>
      <x:c r="DN203" s="4" t="str">
        <x:f>IF('Calculations'!DE203="","",COUNTIFS('Calculations'!$BN$13:$BN$512,1,'Calculations'!$BU$13:$BU$512,'Calculations'!DE203,'Calculations'!$EP$13:$EP$512,1))</x:f>
      </x:c>
      <x:c r="DO203" s="4" t="str">
        <x:f>IF(OR('Calculations'!DE203="",'Calculations'!DG203=0),"",('Calculations'!DJ203+'Calculations'!DK203)/'Calculations'!DG203)</x:f>
      </x:c>
      <x:c r="DP203" s="4" t="n">
        <x:f>IF(AND('Calculations'!DE203&lt;&gt;"",'Calculations'!DF203&gt;0),COUNTIF('Calculations'!$DF$12:DF203,"&gt;0"),0)</x:f>
        <x:v>0</x:v>
      </x:c>
      <x:c r="DQ203" s="4" t="str">
        <x:f>IF(192&gt;MAX('Calculations'!$HH$13:$HH$512),"",INDEX('Calculations'!$HF$13:$HF$512,MATCH(192,'Calculations'!$HH$13:$HH$512,0)))</x:f>
      </x:c>
      <x:c r="DR203" s="4" t="str">
        <x:f>IF(192&gt;MAX('Calculations'!$IK$13:$IK$512),"",INDEX('Calculations'!$HE$13:$HE$512,MATCH(192,'Calculations'!$IK$13:$IK$512,0)))</x:f>
      </x:c>
      <x:c r="DS203" s="4"/>
      <x:c r="DT203" s="4"/>
      <x:c r="DU203" s="4"/>
      <x:c r="DV203" s="4"/>
      <x:c r="DW203" s="4"/>
      <x:c r="DX203" s="4"/>
      <x:c r="DY203" s="4"/>
      <x:c r="DZ203" s="4"/>
      <x:c r="EA203" s="4"/>
      <x:c r="EB203" s="4"/>
      <x:c r="EC203" s="4"/>
      <x:c r="ED203" s="4"/>
      <x:c r="EE203" s="4" t="str">
        <x:f>IF('Calculations'!BT203=0,"Not Rated",IF(OR('Calculations'!BO203&gt;=4,'Calculations'!BP203&gt;=4),"Low",IF('Calculations'!BO203+'Calculations'!BP203&lt;=3,"High",IF('Calculations'!BO203+'Calculations'!BP203&lt;=4,"Strong","Solid"))))</x:f>
        <x:v>Not Rated</x:v>
      </x:c>
      <x:c r="EF203" s="4"/>
      <x:c r="EG203" s="4"/>
      <x:c r="EH203" s="4"/>
      <x:c r="EI203" s="4"/>
      <x:c r="EJ203" s="4"/>
      <x:c r="EK203" s="4"/>
      <x:c r="EL203" s="4"/>
      <x:c r="EM203" s="4" t="str">
        <x:f>IF(191&gt;'Calculations'!$JB$2000,"",INDEX('Calculations'!$JA$12:$JA$2000,MATCH(191,'Calculations'!$JB$12:$JB$2000,0)))</x:f>
      </x:c>
      <x:c r="EN203" s="4" t="n">
        <x:f>IF(OR('Calculations'!EM203="",'Calculations'!$AG$8&gt;0,AND('Calculations'!$EF$2&lt;&gt;"All",'Calculations'!HE203='Calculations'!$EF$2),AND('Calculations'!$EF$3&lt;&gt;"All",'Calculations'!HE203='Calculations'!$EF$3)),0,IF(OR('Dashboard'!$B$7="All",'Calculations'!HN203='Dashboard'!$B$7),IF('Calculations'!$EF$2="All",1,IF('Calculations'!HL203&gt;0,0,IF(COUNTIF('Calculations'!HO203:II203,"="&amp;SUBSTITUTE(SUBSTITUTE(SUBSTITUTE('Calculations'!$EF$2,"~","~~"),"*","~*"),"?","~?"))=0,0,IF('Calculations'!$EF$3="All",1,IF(COUNTIF('Calculations'!HO203:II203,"="&amp;SUBSTITUTE(SUBSTITUTE(SUBSTITUTE('Calculations'!$EF$3,"~","~~"),"*","~*"),"?","~?"))&gt;0,1,0))))),0))</x:f>
        <x:v>0</x:v>
      </x:c>
      <x:c r="EO203" s="4" t="str">
        <x:f>IF('Calculations'!IJ203="","",IF('Calculations'!IJ203="!UNRESOLVED","Unresolved hierarchy",IFERROR(INDEX('Calculations'!$HK$13:$HK$512,MATCH('Calculations'!IJ203,'Calculations'!$HE$13:$HE$512,0)),IFERROR(INDEX('Calculations'!$HJ$13:$HJ$512,MATCH('Calculations'!IJ203,'Calculations'!$HF$13:$HF$512,0)),'Calculations'!IJ203))))</x:f>
      </x:c>
      <x:c r="EP203" s="4" t="n">
        <x:f>IF(AND('Calculations'!EM203&lt;&gt;"",'Calculations'!HF203='Calculations'!IJ203),1,0)</x:f>
        <x:v>0</x:v>
      </x:c>
      <x:c r="EQ203" s="4"/>
      <x:c r="ER203" s="4"/>
      <x:c r="ES203" s="4"/>
      <x:c r="ET203" s="4"/>
      <x:c r="EU203" s="4"/>
      <x:c r="EV203" s="4"/>
      <x:c r="EW203" s="4"/>
      <x:c r="EX203" s="4"/>
      <x:c r="EY203" s="4"/>
      <x:c r="EZ203" s="4"/>
      <x:c r="FA203" s="4"/>
      <x:c r="FB203" s="4"/>
      <x:c r="FC203" s="4"/>
      <x:c r="FD203" s="4"/>
      <x:c r="FE203" s="4"/>
      <x:c r="FF203" s="4"/>
      <x:c r="FG203" s="4"/>
      <x:c r="FH203" s="4"/>
      <x:c r="FI203" s="4"/>
      <x:c r="FJ203" s="4"/>
      <x:c r="FK203" s="4"/>
      <x:c r="FL203" s="4"/>
      <x:c r="FM203" s="4"/>
      <x:c r="FN203" s="4"/>
      <x:c r="FO203" s="4"/>
      <x:c r="GA203" s="71"/>
      <x:c r="GB203" s="71"/>
      <x:c r="GC203" s="71"/>
      <x:c r="GD203" s="71"/>
      <x:c r="GE203" s="71"/>
      <x:c r="GF203" s="71"/>
      <x:c r="GG203" s="71"/>
      <x:c r="GH203" s="71"/>
      <x:c r="GI203" s="71"/>
      <x:c r="GJ203" s="71"/>
      <x:c r="GK203" s="71"/>
      <x:c r="GL203" s="71"/>
      <x:c r="GM203" s="71"/>
      <x:c r="GN203" s="71"/>
      <x:c r="GO203" s="71"/>
      <x:c r="GP203" s="71"/>
      <x:c r="GQ203" s="71"/>
      <x:c r="GR203" s="71"/>
      <x:c r="GS203" s="71"/>
      <x:c r="GT203" s="71"/>
      <x:c r="GU203" s="71"/>
      <x:c r="GV203" s="71"/>
      <x:c r="GW203" s="71"/>
      <x:c r="GX203" s="71"/>
      <x:c r="GY203" s="71"/>
      <x:c r="GZ203" s="71"/>
      <x:c r="HA203" s="71"/>
      <x:c r="HB203" s="71"/>
      <x:c r="HC203" s="71"/>
      <x:c r="HD203" s="71"/>
      <x:c r="HE203" t="str">
        <x:f>IF('Calculations'!EM203="","",IF(IFERROR(IF(INDEX(INDIRECT("'WCM Calibration Final'!$A$1:$A$2000"),'Calculations'!$EM203)="","",TRIM(INDEX(INDIRECT("'WCM Calibration Final'!$A$1:$A$2000"),'Calculations'!$EM203)&amp;"")),"")&lt;&gt;"","G:"&amp;IFERROR(TEXT(1*INDEX(INDIRECT("'WCM Calibration Final'!$A$1:$A$2000"),'Calculations'!$EM203),"0"),UPPER(IFERROR(IF(INDEX(INDIRECT("'WCM Calibration Final'!$A$1:$A$2000"),'Calculations'!$EM203)="","",TRIM(INDEX(INDIRECT("'WCM Calibration Final'!$A$1:$A$2000"),'Calculations'!$EM203)&amp;"")),""))),IF(IFERROR(IF(INDEX(INDIRECT("'WCM Calibration Final'!$C$1:$C$2000"),'Calculations'!$EM203)="","",TRIM(INDEX(INDIRECT("'WCM Calibration Final'!$C$1:$C$2000"),'Calculations'!$EM203)&amp;"")),"")&lt;&gt;"","S:"&amp;UPPER(IFERROR(IF(INDEX(INDIRECT("'WCM Calibration Final'!$C$1:$C$2000"),'Calculations'!$EM203)="","",TRIM(INDEX(INDIRECT("'WCM Calibration Final'!$C$1:$C$2000"),'Calculations'!$EM203)&amp;"")),"")),"R:"&amp;'Calculations'!EM203)))</x:f>
      </x:c>
      <x:c r="HF203" t="str">
        <x:f>IF('Calculations'!EM203="","",IF(IFERROR(IF(INDEX(INDIRECT("'WCM Calibration Final'!$D$1:$D$2000"),'Calculations'!$EM203)="","",TRIM(INDEX(INDIRECT("'WCM Calibration Final'!$D$1:$D$2000"),'Calculations'!$EM203)&amp;"")),"")&lt;&gt;"","G:"&amp;IFERROR(TEXT(1*INDEX(INDIRECT("'WCM Calibration Final'!$D$1:$D$2000"),'Calculations'!$EM203),"0"),UPPER(IFERROR(IF(INDEX(INDIRECT("'WCM Calibration Final'!$D$1:$D$2000"),'Calculations'!$EM203)="","",TRIM(INDEX(INDIRECT("'WCM Calibration Final'!$D$1:$D$2000"),'Calculations'!$EM203)&amp;"")),""))),IF(IFERROR(IF(INDEX(INDIRECT("'WCM Calibration Final'!$E$1:$E$2000"),'Calculations'!$EM203)="","",TRIM(INDEX(INDIRECT("'WCM Calibration Final'!$E$1:$E$2000"),'Calculations'!$EM203)&amp;"")),"")="","",IF(COUNTIF('Calculations'!$HG$13:$HG$512,"="&amp;SUBSTITUTE(SUBSTITUTE(SUBSTITUTE(IFERROR(IF(INDEX(INDIRECT("'WCM Calibration Final'!$E$1:$E$2000"),'Calculations'!$EM203)="","",TRIM(INDEX(INDIRECT("'WCM Calibration Final'!$E$1:$E$2000"),'Calculations'!$EM203)&amp;"")),""),"~","~~"),"*","~*"),"?","~?"))=1,INDEX('Calculations'!$HE$13:$HE$512,MATCH(IFERROR(IF(INDEX(INDIRECT("'WCM Calibration Final'!$E$1:$E$2000"),'Calculations'!$EM203)="","",TRIM(INDEX(INDIRECT("'WCM Calibration Final'!$E$1:$E$2000"),'Calculations'!$EM203)&amp;"")),""),'Calculations'!$HG$13:$HG$512,0)),IF(COUNTIF('Calculations'!$HG$13:$HG$512,"="&amp;SUBSTITUTE(SUBSTITUTE(SUBSTITUTE(IFERROR(IF(INDEX(INDIRECT("'WCM Calibration Final'!$E$1:$E$2000"),'Calculations'!$EM203)="","",TRIM(INDEX(INDIRECT("'WCM Calibration Final'!$E$1:$E$2000"),'Calculations'!$EM203)&amp;"")),""),"~","~~"),"*","~*"),"?","~?"))&gt;1,"!AMBIG","X:"&amp;IFERROR(IF(INDEX(INDIRECT("'WCM Calibration Final'!$E$1:$E$2000"),'Calculations'!$EM203)="","",TRIM(INDEX(INDIRECT("'WCM Calibration Final'!$E$1:$E$2000"),'Calculations'!$EM203)&amp;"")),""))))))</x:f>
      </x:c>
      <x:c r="HG203" t="str">
        <x:f>IF('Calculations'!EM203="","",IFERROR(IF(INDEX(INDIRECT("'WCM Calibration Final'!$B$1:$B$2000"),'Calculations'!$EM203)="","",TRIM(INDEX(INDIRECT("'WCM Calibration Final'!$B$1:$B$2000"),'Calculations'!$EM203)&amp;"")),""))</x:f>
      </x:c>
      <x:c r="HH203" t="n">
        <x:f>IF(AND('Calculations'!JC203&gt;0,COUNTIF('Calculations'!$HF$12:HF203,"="&amp;SUBSTITUTE(SUBSTITUTE(SUBSTITUTE('Calculations'!HF203,"~","~~"),"*","~*"),"?","~?"))=1),MAX('Calculations'!$HH$12:HH202)+1,0)</x:f>
        <x:v>0</x:v>
      </x:c>
      <x:c r="HI203" t="n">
        <x:f>IF(AND('Calculations'!HN203&lt;&gt;"",COUNTIF('Calculations'!$HN$12:HN203,"="&amp;SUBSTITUTE(SUBSTITUTE(SUBSTITUTE('Calculations'!HN203,"~","~~"),"*","~*"),"?","~?"))=1),MAX('Calculations'!$HI$12:HI202)+1,0)</x:f>
        <x:v>0</x:v>
      </x:c>
      <x:c r="HJ203" t="str">
        <x:f>IF('Calculations'!HF203="","",IF(COUNTIF('Calculations'!$HE$13:$HE$512,"="&amp;SUBSTITUTE(SUBSTITUTE(SUBSTITUTE('Calculations'!HF203,"~","~~"),"*","~*"),"?","~?"))=1,INDEX('Calculations'!$HK$13:$HK$512,MATCH('Calculations'!HF203,'Calculations'!$HE$13:$HE$512,0)),IFERROR(IF(INDEX(INDIRECT("'WCM Calibration Final'!$E$1:$E$2000"),'Calculations'!$EM203)="","",TRIM(INDEX(INDIRECT("'WCM Calibration Final'!$E$1:$E$2000"),'Calculations'!$EM203)&amp;"")),"")&amp;" ["&amp;'Calculations'!HF203&amp;"]"))</x:f>
      </x:c>
      <x:c r="HK203" t="str">
        <x:f>IF('Calculations'!EM203="","",'Calculations'!HG203&amp;" ["&amp;'Calculations'!HE203&amp;"]")</x:f>
      </x:c>
      <x:c r="HL203" t="n">
        <x:f>IF('Calculations'!EM203="",0,IF(OR('Calculations'!II203&lt;&gt;"",COUNTIF('Calculations'!$HE$13:$HE$512,"="&amp;SUBSTITUTE(SUBSTITUTE(SUBSTITUTE('Calculations'!HE203,"~","~~"),"*","~*"),"?","~?"))&gt;1),1,0))</x:f>
        <x:v>0</x:v>
      </x:c>
      <x:c r="HM203" t="str">
        <x:f>IF('Calculations'!EM203="","",IF('Calculations'!HL203=1,"!UNRESOLVED",IF('Calculations'!IH203&lt;&gt;"",'Calculations'!IH203,IF('Calculations'!IG203&lt;&gt;"",'Calculations'!IG203,IF('Calculations'!IF203&lt;&gt;"",'Calculations'!IF203,IF('Calculations'!IE203&lt;&gt;"",'Calculations'!IE203,IF('Calculations'!ID203&lt;&gt;"",'Calculations'!ID203,IF('Calculations'!IC203&lt;&gt;"",'Calculations'!IC203,IF('Calculations'!IB203&lt;&gt;"",'Calculations'!IB203,IF('Calculations'!IA203&lt;&gt;"",'Calculations'!IA203,IF('Calculations'!HZ203&lt;&gt;"",'Calculations'!HZ203,IF('Calculations'!HY203&lt;&gt;"",'Calculations'!HY203,IF('Calculations'!HX203&lt;&gt;"",'Calculations'!HX203,IF('Calculations'!HW203&lt;&gt;"",'Calculations'!HW203,IF('Calculations'!HV203&lt;&gt;"",'Calculations'!HV203,IF('Calculations'!HU203&lt;&gt;"",'Calculations'!HU203,IF('Calculations'!HT203&lt;&gt;"",'Calculations'!HT203,IF('Calculations'!HS203&lt;&gt;"",'Calculations'!HS203,IF('Calculations'!HR203&lt;&gt;"",'Calculations'!HR203,IF('Calculations'!HQ203&lt;&gt;"",'Calculations'!HQ203,IF('Calculations'!HP203&lt;&gt;"",'Calculations'!HP203,IF('Calculations'!HO203&lt;&gt;"",'Calculations'!HO203,'Calculations'!HE203))))))))))))))))))))))</x:f>
      </x:c>
      <x:c r="HN203" t="str">
        <x:f>IF('Calculations'!EM203="","",IF(IFERROR(IF(INDEX(INDIRECT("'WCM Calibration Final'!$F$1:$F$2000"),'Calculations'!$EM203)="","",TRIM(INDEX(INDIRECT("'WCM Calibration Final'!$F$1:$F$2000"),'Calculations'!$EM203)&amp;"")),"")="","(Blank)",IFERROR(IF(INDEX(INDIRECT("'WCM Calibration Final'!$F$1:$F$2000"),'Calculations'!$EM203)="","",TRIM(INDEX(INDIRECT("'WCM Calibration Final'!$F$1:$F$2000"),'Calculations'!$EM203)&amp;"")),"")))</x:f>
      </x:c>
      <x:c r="HO203" t="str">
        <x:f>'Calculations'!HF203</x:f>
      </x:c>
      <x:c r="HP203" t="str">
        <x:f>IF('Calculations'!HO203="","",IF('Calculations'!HO203="!AMBIG","!AMBIG",IF(COUNTIF('Calculations'!$HE$13:$HE$512,"="&amp;SUBSTITUTE(SUBSTITUTE(SUBSTITUTE('Calculations'!HO203,"~","~~"),"*","~*"),"?","~?"))&gt;1,"!AMBIG",IFERROR(INDEX('Calculations'!$HF$13:$HF$512,MATCH('Calculations'!HO203,'Calculations'!$HE$13:$HE$512,0)),""))))</x:f>
      </x:c>
      <x:c r="HQ203" t="str">
        <x:f>IF('Calculations'!HP203="","",IF('Calculations'!HP203="!AMBIG","!AMBIG",IF(COUNTIF('Calculations'!$HE$13:$HE$512,"="&amp;SUBSTITUTE(SUBSTITUTE(SUBSTITUTE('Calculations'!HP203,"~","~~"),"*","~*"),"?","~?"))&gt;1,"!AMBIG",IFERROR(INDEX('Calculations'!$HF$13:$HF$512,MATCH('Calculations'!HP203,'Calculations'!$HE$13:$HE$512,0)),""))))</x:f>
      </x:c>
      <x:c r="HR203" t="str">
        <x:f>IF('Calculations'!HQ203="","",IF('Calculations'!HQ203="!AMBIG","!AMBIG",IF(COUNTIF('Calculations'!$HE$13:$HE$512,"="&amp;SUBSTITUTE(SUBSTITUTE(SUBSTITUTE('Calculations'!HQ203,"~","~~"),"*","~*"),"?","~?"))&gt;1,"!AMBIG",IFERROR(INDEX('Calculations'!$HF$13:$HF$512,MATCH('Calculations'!HQ203,'Calculations'!$HE$13:$HE$512,0)),""))))</x:f>
      </x:c>
      <x:c r="HS203" t="str">
        <x:f>IF('Calculations'!HR203="","",IF('Calculations'!HR203="!AMBIG","!AMBIG",IF(COUNTIF('Calculations'!$HE$13:$HE$512,"="&amp;SUBSTITUTE(SUBSTITUTE(SUBSTITUTE('Calculations'!HR203,"~","~~"),"*","~*"),"?","~?"))&gt;1,"!AMBIG",IFERROR(INDEX('Calculations'!$HF$13:$HF$512,MATCH('Calculations'!HR203,'Calculations'!$HE$13:$HE$512,0)),""))))</x:f>
      </x:c>
      <x:c r="HT203" t="str">
        <x:f>IF('Calculations'!HS203="","",IF('Calculations'!HS203="!AMBIG","!AMBIG",IF(COUNTIF('Calculations'!$HE$13:$HE$512,"="&amp;SUBSTITUTE(SUBSTITUTE(SUBSTITUTE('Calculations'!HS203,"~","~~"),"*","~*"),"?","~?"))&gt;1,"!AMBIG",IFERROR(INDEX('Calculations'!$HF$13:$HF$512,MATCH('Calculations'!HS203,'Calculations'!$HE$13:$HE$512,0)),""))))</x:f>
      </x:c>
      <x:c r="HU203" t="str">
        <x:f>IF('Calculations'!HT203="","",IF('Calculations'!HT203="!AMBIG","!AMBIG",IF(COUNTIF('Calculations'!$HE$13:$HE$512,"="&amp;SUBSTITUTE(SUBSTITUTE(SUBSTITUTE('Calculations'!HT203,"~","~~"),"*","~*"),"?","~?"))&gt;1,"!AMBIG",IFERROR(INDEX('Calculations'!$HF$13:$HF$512,MATCH('Calculations'!HT203,'Calculations'!$HE$13:$HE$512,0)),""))))</x:f>
      </x:c>
      <x:c r="HV203" t="str">
        <x:f>IF('Calculations'!HU203="","",IF('Calculations'!HU203="!AMBIG","!AMBIG",IF(COUNTIF('Calculations'!$HE$13:$HE$512,"="&amp;SUBSTITUTE(SUBSTITUTE(SUBSTITUTE('Calculations'!HU203,"~","~~"),"*","~*"),"?","~?"))&gt;1,"!AMBIG",IFERROR(INDEX('Calculations'!$HF$13:$HF$512,MATCH('Calculations'!HU203,'Calculations'!$HE$13:$HE$512,0)),""))))</x:f>
      </x:c>
      <x:c r="HW203" t="str">
        <x:f>IF('Calculations'!HV203="","",IF('Calculations'!HV203="!AMBIG","!AMBIG",IF(COUNTIF('Calculations'!$HE$13:$HE$512,"="&amp;SUBSTITUTE(SUBSTITUTE(SUBSTITUTE('Calculations'!HV203,"~","~~"),"*","~*"),"?","~?"))&gt;1,"!AMBIG",IFERROR(INDEX('Calculations'!$HF$13:$HF$512,MATCH('Calculations'!HV203,'Calculations'!$HE$13:$HE$512,0)),""))))</x:f>
      </x:c>
      <x:c r="HX203" t="str">
        <x:f>IF('Calculations'!HW203="","",IF('Calculations'!HW203="!AMBIG","!AMBIG",IF(COUNTIF('Calculations'!$HE$13:$HE$512,"="&amp;SUBSTITUTE(SUBSTITUTE(SUBSTITUTE('Calculations'!HW203,"~","~~"),"*","~*"),"?","~?"))&gt;1,"!AMBIG",IFERROR(INDEX('Calculations'!$HF$13:$HF$512,MATCH('Calculations'!HW203,'Calculations'!$HE$13:$HE$512,0)),""))))</x:f>
      </x:c>
      <x:c r="HY203" t="str">
        <x:f>IF('Calculations'!HX203="","",IF('Calculations'!HX203="!AMBIG","!AMBIG",IF(COUNTIF('Calculations'!$HE$13:$HE$512,"="&amp;SUBSTITUTE(SUBSTITUTE(SUBSTITUTE('Calculations'!HX203,"~","~~"),"*","~*"),"?","~?"))&gt;1,"!AMBIG",IFERROR(INDEX('Calculations'!$HF$13:$HF$512,MATCH('Calculations'!HX203,'Calculations'!$HE$13:$HE$512,0)),""))))</x:f>
      </x:c>
      <x:c r="HZ203" t="str">
        <x:f>IF('Calculations'!HY203="","",IF('Calculations'!HY203="!AMBIG","!AMBIG",IF(COUNTIF('Calculations'!$HE$13:$HE$512,"="&amp;SUBSTITUTE(SUBSTITUTE(SUBSTITUTE('Calculations'!HY203,"~","~~"),"*","~*"),"?","~?"))&gt;1,"!AMBIG",IFERROR(INDEX('Calculations'!$HF$13:$HF$512,MATCH('Calculations'!HY203,'Calculations'!$HE$13:$HE$512,0)),""))))</x:f>
      </x:c>
      <x:c r="IA203" t="str">
        <x:f>IF('Calculations'!HZ203="","",IF('Calculations'!HZ203="!AMBIG","!AMBIG",IF(COUNTIF('Calculations'!$HE$13:$HE$512,"="&amp;SUBSTITUTE(SUBSTITUTE(SUBSTITUTE('Calculations'!HZ203,"~","~~"),"*","~*"),"?","~?"))&gt;1,"!AMBIG",IFERROR(INDEX('Calculations'!$HF$13:$HF$512,MATCH('Calculations'!HZ203,'Calculations'!$HE$13:$HE$512,0)),""))))</x:f>
      </x:c>
      <x:c r="IB203" t="str">
        <x:f>IF('Calculations'!IA203="","",IF('Calculations'!IA203="!AMBIG","!AMBIG",IF(COUNTIF('Calculations'!$HE$13:$HE$512,"="&amp;SUBSTITUTE(SUBSTITUTE(SUBSTITUTE('Calculations'!IA203,"~","~~"),"*","~*"),"?","~?"))&gt;1,"!AMBIG",IFERROR(INDEX('Calculations'!$HF$13:$HF$512,MATCH('Calculations'!IA203,'Calculations'!$HE$13:$HE$512,0)),""))))</x:f>
      </x:c>
      <x:c r="IC203" t="str">
        <x:f>IF('Calculations'!IB203="","",IF('Calculations'!IB203="!AMBIG","!AMBIG",IF(COUNTIF('Calculations'!$HE$13:$HE$512,"="&amp;SUBSTITUTE(SUBSTITUTE(SUBSTITUTE('Calculations'!IB203,"~","~~"),"*","~*"),"?","~?"))&gt;1,"!AMBIG",IFERROR(INDEX('Calculations'!$HF$13:$HF$512,MATCH('Calculations'!IB203,'Calculations'!$HE$13:$HE$512,0)),""))))</x:f>
      </x:c>
      <x:c r="ID203" t="str">
        <x:f>IF('Calculations'!IC203="","",IF('Calculations'!IC203="!AMBIG","!AMBIG",IF(COUNTIF('Calculations'!$HE$13:$HE$512,"="&amp;SUBSTITUTE(SUBSTITUTE(SUBSTITUTE('Calculations'!IC203,"~","~~"),"*","~*"),"?","~?"))&gt;1,"!AMBIG",IFERROR(INDEX('Calculations'!$HF$13:$HF$512,MATCH('Calculations'!IC203,'Calculations'!$HE$13:$HE$512,0)),""))))</x:f>
      </x:c>
      <x:c r="IE203" t="str">
        <x:f>IF('Calculations'!ID203="","",IF('Calculations'!ID203="!AMBIG","!AMBIG",IF(COUNTIF('Calculations'!$HE$13:$HE$512,"="&amp;SUBSTITUTE(SUBSTITUTE(SUBSTITUTE('Calculations'!ID203,"~","~~"),"*","~*"),"?","~?"))&gt;1,"!AMBIG",IFERROR(INDEX('Calculations'!$HF$13:$HF$512,MATCH('Calculations'!ID203,'Calculations'!$HE$13:$HE$512,0)),""))))</x:f>
      </x:c>
      <x:c r="IF203" t="str">
        <x:f>IF('Calculations'!IE203="","",IF('Calculations'!IE203="!AMBIG","!AMBIG",IF(COUNTIF('Calculations'!$HE$13:$HE$512,"="&amp;SUBSTITUTE(SUBSTITUTE(SUBSTITUTE('Calculations'!IE203,"~","~~"),"*","~*"),"?","~?"))&gt;1,"!AMBIG",IFERROR(INDEX('Calculations'!$HF$13:$HF$512,MATCH('Calculations'!IE203,'Calculations'!$HE$13:$HE$512,0)),""))))</x:f>
      </x:c>
      <x:c r="IG203" t="str">
        <x:f>IF('Calculations'!IF203="","",IF('Calculations'!IF203="!AMBIG","!AMBIG",IF(COUNTIF('Calculations'!$HE$13:$HE$512,"="&amp;SUBSTITUTE(SUBSTITUTE(SUBSTITUTE('Calculations'!IF203,"~","~~"),"*","~*"),"?","~?"))&gt;1,"!AMBIG",IFERROR(INDEX('Calculations'!$HF$13:$HF$512,MATCH('Calculations'!IF203,'Calculations'!$HE$13:$HE$512,0)),""))))</x:f>
      </x:c>
      <x:c r="IH203" t="str">
        <x:f>IF('Calculations'!IG203="","",IF('Calculations'!IG203="!AMBIG","!AMBIG",IF(COUNTIF('Calculations'!$HE$13:$HE$512,"="&amp;SUBSTITUTE(SUBSTITUTE(SUBSTITUTE('Calculations'!IG203,"~","~~"),"*","~*"),"?","~?"))&gt;1,"!AMBIG",IFERROR(INDEX('Calculations'!$HF$13:$HF$512,MATCH('Calculations'!IG203,'Calculations'!$HE$13:$HE$512,0)),""))))</x:f>
      </x:c>
      <x:c r="II203" t="str">
        <x:f>IF('Calculations'!IH203="","",IF('Calculations'!IH203="!AMBIG","!AMBIG",IF(COUNTIF('Calculations'!$HE$13:$HE$512,"="&amp;SUBSTITUTE(SUBSTITUTE(SUBSTITUTE('Calculations'!IH203,"~","~~"),"*","~*"),"?","~?"))&gt;1,"!AMBIG",IFERROR(INDEX('Calculations'!$HF$13:$HF$512,MATCH('Calculations'!IH203,'Calculations'!$HE$13:$HE$512,0)),""))))</x:f>
      </x:c>
      <x:c r="IJ203" t="str">
        <x:f>IF('Calculations'!EM203="","",IF('Calculations'!$EF$2="All",'Calculations'!HM203,IF('Calculations'!HL203=1,"",IFERROR(IF(MATCH('Calculations'!$EF$2,'Calculations'!HO203:II203,0)=1,'Calculations'!HE203,INDEX('Calculations'!HO203:II203,1,MATCH('Calculations'!$EF$2,'Calculations'!HO203:II203,0)-1)),""))))</x:f>
      </x:c>
      <x:c r="IK203" t="n">
        <x:f>IF(AND('Calculations'!EM203&lt;&gt;"",'Calculations'!$EF$2&lt;&gt;"All",'Calculations'!HF203='Calculations'!$EF$2,'Calculations'!HL203=0,'Calculations'!JD203&gt;0),MAX('Calculations'!$IK$12:IK202)+1,0)</x:f>
        <x:v>0</x:v>
      </x:c>
      <x:c r="JA203" t="n">
        <x:f>IF(OR(IFERROR(INDIRECT("'WCM Calibration Final'!$A$203")&lt;&gt;"",FALSE),IFERROR(INDIRECT("'WCM Calibration Final'!$B$203")&lt;&gt;"",FALSE),IFERROR(INDIRECT("'WCM Calibration Final'!$C$203")&lt;&gt;"",FALSE)),203,0)</x:f>
        <x:v>0</x:v>
      </x:c>
      <x:c r="JB203" t="n">
        <x:f>'Calculations'!JB202+IF('Calculations'!JA203&gt;0,1,0)</x:f>
        <x:v>0</x:v>
      </x:c>
      <x:c r="JC203" t="n">
        <x:f>IF(OR('Calculations'!HF203="",'Calculations'!HF203="!AMBIG"),0,IF('Dashboard'!$B$7="All",1,COUNTIFS('Calculations'!$HO$13:$HO$512,"="&amp;SUBSTITUTE(SUBSTITUTE(SUBSTITUTE('Calculations'!HF203,"~","~~"),"*","~*"),"?","~?"),'Calculations'!$HN$13:$HN$512,"="&amp;SUBSTITUTE(SUBSTITUTE(SUBSTITUTE('Dashboard'!$B$7,"~","~~"),"*","~*"),"?","~?"))+COUNTIFS('Calculations'!$HP$13:$HP$512,"="&amp;SUBSTITUTE(SUBSTITUTE(SUBSTITUTE('Calculations'!HF203,"~","~~"),"*","~*"),"?","~?"),'Calculations'!$HN$13:$HN$512,"="&amp;SUBSTITUTE(SUBSTITUTE(SUBSTITUTE('Dashboard'!$B$7,"~","~~"),"*","~*"),"?","~?"))+COUNTIFS('Calculations'!$HQ$13:$HQ$512,"="&amp;SUBSTITUTE(SUBSTITUTE(SUBSTITUTE('Calculations'!HF203,"~","~~"),"*","~*"),"?","~?"),'Calculations'!$HN$13:$HN$512,"="&amp;SUBSTITUTE(SUBSTITUTE(SUBSTITUTE('Dashboard'!$B$7,"~","~~"),"*","~*"),"?","~?"))+COUNTIFS('Calculations'!$HR$13:$HR$512,"="&amp;SUBSTITUTE(SUBSTITUTE(SUBSTITUTE('Calculations'!HF203,"~","~~"),"*","~*"),"?","~?"),'Calculations'!$HN$13:$HN$512,"="&amp;SUBSTITUTE(SUBSTITUTE(SUBSTITUTE('Dashboard'!$B$7,"~","~~"),"*","~*"),"?","~?"))+COUNTIFS('Calculations'!$HS$13:$HS$512,"="&amp;SUBSTITUTE(SUBSTITUTE(SUBSTITUTE('Calculations'!HF203,"~","~~"),"*","~*"),"?","~?"),'Calculations'!$HN$13:$HN$512,"="&amp;SUBSTITUTE(SUBSTITUTE(SUBSTITUTE('Dashboard'!$B$7,"~","~~"),"*","~*"),"?","~?"))+COUNTIFS('Calculations'!$HT$13:$HT$512,"="&amp;SUBSTITUTE(SUBSTITUTE(SUBSTITUTE('Calculations'!HF203,"~","~~"),"*","~*"),"?","~?"),'Calculations'!$HN$13:$HN$512,"="&amp;SUBSTITUTE(SUBSTITUTE(SUBSTITUTE('Dashboard'!$B$7,"~","~~"),"*","~*"),"?","~?"))+COUNTIFS('Calculations'!$HU$13:$HU$512,"="&amp;SUBSTITUTE(SUBSTITUTE(SUBSTITUTE('Calculations'!HF203,"~","~~"),"*","~*"),"?","~?"),'Calculations'!$HN$13:$HN$512,"="&amp;SUBSTITUTE(SUBSTITUTE(SUBSTITUTE('Dashboard'!$B$7,"~","~~"),"*","~*"),"?","~?"))+COUNTIFS('Calculations'!$HV$13:$HV$512,"="&amp;SUBSTITUTE(SUBSTITUTE(SUBSTITUTE('Calculations'!HF203,"~","~~"),"*","~*"),"?","~?"),'Calculations'!$HN$13:$HN$512,"="&amp;SUBSTITUTE(SUBSTITUTE(SUBSTITUTE('Dashboard'!$B$7,"~","~~"),"*","~*"),"?","~?"))+COUNTIFS('Calculations'!$HW$13:$HW$512,"="&amp;SUBSTITUTE(SUBSTITUTE(SUBSTITUTE('Calculations'!HF203,"~","~~"),"*","~*"),"?","~?"),'Calculations'!$HN$13:$HN$512,"="&amp;SUBSTITUTE(SUBSTITUTE(SUBSTITUTE('Dashboard'!$B$7,"~","~~"),"*","~*"),"?","~?"))+COUNTIFS('Calculations'!$HX$13:$HX$512,"="&amp;SUBSTITUTE(SUBSTITUTE(SUBSTITUTE('Calculations'!HF203,"~","~~"),"*","~*"),"?","~?"),'Calculations'!$HN$13:$HN$512,"="&amp;SUBSTITUTE(SUBSTITUTE(SUBSTITUTE('Dashboard'!$B$7,"~","~~"),"*","~*"),"?","~?"))+COUNTIFS('Calculations'!$HY$13:$HY$512,"="&amp;SUBSTITUTE(SUBSTITUTE(SUBSTITUTE('Calculations'!HF203,"~","~~"),"*","~*"),"?","~?"),'Calculations'!$HN$13:$HN$512,"="&amp;SUBSTITUTE(SUBSTITUTE(SUBSTITUTE('Dashboard'!$B$7,"~","~~"),"*","~*"),"?","~?"))+COUNTIFS('Calculations'!$HZ$13:$HZ$512,"="&amp;SUBSTITUTE(SUBSTITUTE(SUBSTITUTE('Calculations'!HF203,"~","~~"),"*","~*"),"?","~?"),'Calculations'!$HN$13:$HN$512,"="&amp;SUBSTITUTE(SUBSTITUTE(SUBSTITUTE('Dashboard'!$B$7,"~","~~"),"*","~*"),"?","~?"))+COUNTIFS('Calculations'!$IA$13:$IA$512,"="&amp;SUBSTITUTE(SUBSTITUTE(SUBSTITUTE('Calculations'!HF203,"~","~~"),"*","~*"),"?","~?"),'Calculations'!$HN$13:$HN$512,"="&amp;SUBSTITUTE(SUBSTITUTE(SUBSTITUTE('Dashboard'!$B$7,"~","~~"),"*","~*"),"?","~?"))+COUNTIFS('Calculations'!$IB$13:$IB$512,"="&amp;SUBSTITUTE(SUBSTITUTE(SUBSTITUTE('Calculations'!HF203,"~","~~"),"*","~*"),"?","~?"),'Calculations'!$HN$13:$HN$512,"="&amp;SUBSTITUTE(SUBSTITUTE(SUBSTITUTE('Dashboard'!$B$7,"~","~~"),"*","~*"),"?","~?"))+COUNTIFS('Calculations'!$IC$13:$IC$512,"="&amp;SUBSTITUTE(SUBSTITUTE(SUBSTITUTE('Calculations'!HF203,"~","~~"),"*","~*"),"?","~?"),'Calculations'!$HN$13:$HN$512,"="&amp;SUBSTITUTE(SUBSTITUTE(SUBSTITUTE('Dashboard'!$B$7,"~","~~"),"*","~*"),"?","~?"))+COUNTIFS('Calculations'!$ID$13:$ID$512,"="&amp;SUBSTITUTE(SUBSTITUTE(SUBSTITUTE('Calculations'!HF203,"~","~~"),"*","~*"),"?","~?"),'Calculations'!$HN$13:$HN$512,"="&amp;SUBSTITUTE(SUBSTITUTE(SUBSTITUTE('Dashboard'!$B$7,"~","~~"),"*","~*"),"?","~?"))+COUNTIFS('Calculations'!$IE$13:$IE$512,"="&amp;SUBSTITUTE(SUBSTITUTE(SUBSTITUTE('Calculations'!HF203,"~","~~"),"*","~*"),"?","~?"),'Calculations'!$HN$13:$HN$512,"="&amp;SUBSTITUTE(SUBSTITUTE(SUBSTITUTE('Dashboard'!$B$7,"~","~~"),"*","~*"),"?","~?"))+COUNTIFS('Calculations'!$IF$13:$IF$512,"="&amp;SUBSTITUTE(SUBSTITUTE(SUBSTITUTE('Calculations'!HF203,"~","~~"),"*","~*"),"?","~?"),'Calculations'!$HN$13:$HN$512,"="&amp;SUBSTITUTE(SUBSTITUTE(SUBSTITUTE('Dashboard'!$B$7,"~","~~"),"*","~*"),"?","~?"))+COUNTIFS('Calculations'!$IG$13:$IG$512,"="&amp;SUBSTITUTE(SUBSTITUTE(SUBSTITUTE('Calculations'!HF203,"~","~~"),"*","~*"),"?","~?"),'Calculations'!$HN$13:$HN$512,"="&amp;SUBSTITUTE(SUBSTITUTE(SUBSTITUTE('Dashboard'!$B$7,"~","~~"),"*","~*"),"?","~?"))+COUNTIFS('Calculations'!$IH$13:$IH$512,"="&amp;SUBSTITUTE(SUBSTITUTE(SUBSTITUTE('Calculations'!HF203,"~","~~"),"*","~*"),"?","~?"),'Calculations'!$HN$13:$HN$512,"="&amp;SUBSTITUTE(SUBSTITUTE(SUBSTITUTE('Dashboard'!$B$7,"~","~~"),"*","~*"),"?","~?"))))</x:f>
        <x:v>0</x:v>
      </x:c>
      <x:c r="JD203" t="n">
        <x:f>IF('Calculations'!EM203="",0,IF('Dashboard'!$B$7="All",1,IF('Calculations'!HN203='Dashboard'!$B$7,1,0)+IFERROR(INDEX('Calculations'!$JC$13:$JC$512,MATCH('Calculations'!HE203,'Calculations'!$HF$13:$HF$512,0)),0)))</x:f>
        <x:v>0</x:v>
      </x:c>
      <x:c r="JE203" t="n">
        <x:f>IF(AND('Calculations'!EM203&lt;&gt;"",'Calculations'!$JJ$2&lt;&gt;"All",'Calculations'!$JJ$2&lt;&gt;"",'Calculations'!HF203='Calculations'!$JJ$2,'Calculations'!HL203=0,'Calculations'!JD203&gt;0),MAX('Calculations'!$JE$12:JE202)+1,0)</x:f>
        <x:v>0</x:v>
      </x:c>
      <x:c r="JF203" t="str">
        <x:f>IF('Calculations'!EM203="","",IFERROR(IF(INDEX(INDIRECT("'WCM Calibration Final'!$G$1:$G$2000"),'Calculations'!$EM203)="","",TRIM(INDEX(INDIRECT("'WCM Calibration Final'!$G$1:$G$2000"),'Calculations'!$EM203)&amp;"")),""))</x:f>
      </x:c>
      <x:c r="JQ203" t="n">
        <x:f>IF(OR('Calculations'!BM203=0,NOT('Calculations'!$AG$2),'Calculations'!$AG$8&gt;0),0,IF(OR('Dashboard'!$B$7="All",'Calculations'!HN203='Dashboard'!$B$7),IF('Calculations'!$JJ$2="All",1,IF(AND('Calculations'!HF203='Calculations'!$JJ$2,'Calculations'!HL203=0),1,0)),0))</x:f>
        <x:v>0</x:v>
      </x:c>
    </x:row>
    <x:row r="204">
      <x:c r="AF204" s="4"/>
      <x:c r="AG204" s="4"/>
      <x:c r="AH204" s="4"/>
      <x:c r="AI204" s="4"/>
      <x:c r="AJ204" s="4"/>
      <x:c r="AK204" s="4"/>
      <x:c r="AL204" s="4"/>
      <x:c r="AM204" s="4"/>
      <x:c r="AN204" s="4"/>
      <x:c r="AO204" s="4"/>
      <x:c r="AP204" s="4"/>
      <x:c r="AQ204" s="4"/>
      <x:c r="AR204" s="4"/>
      <x:c r="AS204" s="4"/>
      <x:c r="AT204" s="4"/>
      <x:c r="AU204" s="4"/>
      <x:c r="AV204" s="4"/>
      <x:c r="AW204" s="4"/>
      <x:c r="AX204" s="4"/>
      <x:c r="AY204" s="4"/>
      <x:c r="AZ204" s="4"/>
      <x:c r="BA204" s="4"/>
      <x:c r="BB204" s="4"/>
      <x:c r="BC204" s="4"/>
      <x:c r="BD204" s="4"/>
      <x:c r="BE204" s="4"/>
      <x:c r="BF204" s="4"/>
      <x:c r="BG204" s="4"/>
      <x:c r="BH204" s="4"/>
      <x:c r="BI204" s="4"/>
      <x:c r="BJ204" s="4"/>
      <x:c r="BK204" s="4"/>
      <x:c r="BL204" s="4"/>
      <x:c r="BM204" s="4" t="n">
        <x:f>IF('Calculations'!$EM204="",0,IF(OR(IFERROR(INDEX(INDIRECT("'WCM Calibration Final'!$A$1:$A$2000"),'Calculations'!$EM204)&lt;&gt;"",FALSE),IFERROR(INDEX(INDIRECT("'WCM Calibration Final'!$B$1:$B$2000"),'Calculations'!$EM204)&lt;&gt;"",FALSE),IFERROR(INDEX(INDIRECT("'WCM Calibration Final'!$C$1:$C$2000"),'Calculations'!$EM204)&lt;&gt;"",FALSE)),1,0))</x:f>
        <x:v>0</x:v>
      </x:c>
      <x:c r="BN204" s="4" t="n">
        <x:f>IF(AND('Calculations'!BM204=1,'Calculations'!$AG$2,'Calculations'!$EN204=1),1,0)</x:f>
        <x:v>0</x:v>
      </x:c>
      <x:c r="BO204" s="4" t="str">
        <x:f>IF('Calculations'!BM204=0,"",IFERROR(IF(AND(VALUE(INDEX(INDIRECT("'WCM Calibration Final'!$K$1:$K$2000"),'Calculations'!$EM204))&gt;=1,VALUE(INDEX(INDIRECT("'WCM Calibration Final'!$K$1:$K$2000"),'Calculations'!$EM204))&lt;=4,MOD(VALUE(INDEX(INDIRECT("'WCM Calibration Final'!$K$1:$K$2000"),'Calculations'!$EM204)),1)=0),VALUE(INDEX(INDIRECT("'WCM Calibration Final'!$K$1:$K$2000"),'Calculations'!$EM204)),""),""))</x:f>
      </x:c>
      <x:c r="BP204" s="4" t="str">
        <x:f>IF('Calculations'!BM204=0,"",IFERROR(IF(AND(VALUE(INDEX(INDIRECT("'WCM Calibration Final'!$L$1:$L$2000"),'Calculations'!$EM204))&gt;=1,VALUE(INDEX(INDIRECT("'WCM Calibration Final'!$L$1:$L$2000"),'Calculations'!$EM204))&lt;=4,MOD(VALUE(INDEX(INDIRECT("'WCM Calibration Final'!$L$1:$L$2000"),'Calculations'!$EM204)),1)=0),VALUE(INDEX(INDIRECT("'WCM Calibration Final'!$L$1:$L$2000"),'Calculations'!$EM204)),""),""))</x:f>
      </x:c>
      <x:c r="BQ204" s="4"/>
      <x:c r="BR204" s="4"/>
      <x:c r="BS204" s="4"/>
      <x:c r="BT204" s="4" t="n">
        <x:f>IF(AND('Calculations'!BM204=1,ISNUMBER('Calculations'!BO204),ISNUMBER('Calculations'!BP204)),1,0)</x:f>
        <x:v>0</x:v>
      </x:c>
      <x:c r="BU204" s="4" t="str">
        <x:f>IF('Calculations'!BM204=0,"",'Calculations'!$EO204)</x:f>
      </x:c>
      <x:c r="BV204" s="4" t="str">
        <x:f>IF('Calculations'!BM204=0,"",IFERROR(IF(OR(INDEX(INDIRECT("'WCM Calibration Final'!$H$1:$H$2000"),'Calculations'!$EM204)="MANAGING DIRECTOR",INDEX(INDIRECT("'WCM Calibration Final'!$H$1:$H$2000"),'Calculations'!$EM204)="DIRECTOR",INDEX(INDIRECT("'WCM Calibration Final'!$H$1:$H$2000"),'Calculations'!$EM204)="SENIOR VICE PRESIDENT",INDEX(INDIRECT("'WCM Calibration Final'!$H$1:$H$2000"),'Calculations'!$EM204)="VICE PRESIDENT",INDEX(INDIRECT("'WCM Calibration Final'!$H$1:$H$2000"),'Calculations'!$EM204)="ASSISTANT VICE PRESIDENT",INDEX(INDIRECT("'WCM Calibration Final'!$H$1:$H$2000"),'Calculations'!$EM204)="OFFICER"),UPPER(INDEX(INDIRECT("'WCM Calibration Final'!$H$1:$H$2000"),'Calculations'!$EM204)),"Other"),"Other"))</x:f>
      </x:c>
      <x:c r="BW204" s="4"/>
      <x:c r="BX204" s="4"/>
      <x:c r="BY204" s="4" t="n">
        <x:f>IF(AND('Calculations'!BM204=1,'Calculations'!BU204&lt;&gt;"",COUNTIF('Calculations'!$BU$12:BU204,'Calculations'!BU204)=1),MAX('Calculations'!$BY$11:BY203)+1,0)</x:f>
        <x:v>0</x:v>
      </x:c>
      <x:c r="BZ204" s="4" t="str">
        <x:f>IF('Dashboard'!$E$67="What",'Calculations'!BO204,'Calculations'!BP204)</x:f>
      </x:c>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t="str">
        <x:f>IF(193&gt;MAX('Calculations'!$HI$13:$HI$512),"",INDEX('Calculations'!$HN$13:$HN$512,MATCH(193,'Calculations'!$HI$13:$HI$512,0)))</x:f>
      </x:c>
      <x:c r="DB204" s="4" t="str">
        <x:f>IF(193&gt;MAX('Calculations'!$HH$13:$HH$512),"",INDEX('Calculations'!$HJ$13:$HJ$512,MATCH(193,'Calculations'!$HH$13:$HH$512,0)))</x:f>
      </x:c>
      <x:c r="DC204" s="4" t="str">
        <x:f>IF(ROW()-11&gt;MAX('Calculations'!$BY$13:$BY$512),"",INDEX('Calculations'!$BU$13:$BU$512,MATCH(ROW()-11,'Calculations'!$BY$13:$BY$512,0)))</x:f>
      </x:c>
      <x:c r="DD204" s="4" t="str">
        <x:f>IF(193&gt;MAX('Calculations'!$IK$13:$IK$512),"",INDEX('Calculations'!$HK$13:$HK$512,MATCH(193,'Calculations'!$IK$13:$IK$512,0)))</x:f>
      </x:c>
      <x:c r="DE204" s="4" t="str">
        <x:f>'Calculations'!DC204</x:f>
      </x:c>
      <x:c r="DF204" s="4" t="str">
        <x:f>IF('Calculations'!DE204="","",COUNTIFS('Calculations'!$BN$13:$BN$512,1,'Calculations'!$BU$13:$BU$512,'Calculations'!DE204))</x:f>
      </x:c>
      <x:c r="DG204" s="4" t="str">
        <x:f>IF('Calculations'!DE204="","",COUNTIFS('Calculations'!$BN$13:$BN$512,1,'Calculations'!$BU$13:$BU$512,'Calculations'!DE204,'Calculations'!$BT$13:$BT$512,1))</x:f>
      </x:c>
      <x:c r="DH204" s="4" t="str">
        <x:f>IF('Calculations'!DE204="","",'Calculations'!DF204-'Calculations'!DG204)</x:f>
      </x:c>
      <x:c r="DI204" s="4" t="str">
        <x:f>IF(OR('Calculations'!DE204="",'Calculations'!DF204=0),"",'Calculations'!DG204/'Calculations'!DF204)</x:f>
      </x:c>
      <x:c r="DJ204" s="4" t="str">
        <x:f>IF('Calculations'!DE204="","",COUNTIFS('Calculations'!$BN$13:$BN$512,1,'Calculations'!$BU$13:$BU$512,'Calculations'!DE204,'Calculations'!$BT$13:$BT$512,1,'Calculations'!$EE$13:$EE$512,"High"))</x:f>
      </x:c>
      <x:c r="DK204" s="4" t="str">
        <x:f>IF('Calculations'!DE204="","",COUNTIFS('Calculations'!$BN$13:$BN$512,1,'Calculations'!$BU$13:$BU$512,'Calculations'!DE204,'Calculations'!$BT$13:$BT$512,1,'Calculations'!$EE$13:$EE$512,"Strong"))</x:f>
      </x:c>
      <x:c r="DL204" s="4" t="str">
        <x:f>IF('Calculations'!DE204="","",COUNTIFS('Calculations'!$BN$13:$BN$512,1,'Calculations'!$BU$13:$BU$512,'Calculations'!DE204,'Calculations'!$BT$13:$BT$512,1,'Calculations'!$EE$13:$EE$512,"Solid"))</x:f>
      </x:c>
      <x:c r="DM204" s="4" t="str">
        <x:f>IF('Calculations'!DE204="","",COUNTIFS('Calculations'!$BN$13:$BN$512,1,'Calculations'!$BU$13:$BU$512,'Calculations'!DE204,'Calculations'!$BT$13:$BT$512,1,'Calculations'!$EE$13:$EE$512,"Low"))</x:f>
      </x:c>
      <x:c r="DN204" s="4" t="str">
        <x:f>IF('Calculations'!DE204="","",COUNTIFS('Calculations'!$BN$13:$BN$512,1,'Calculations'!$BU$13:$BU$512,'Calculations'!DE204,'Calculations'!$EP$13:$EP$512,1))</x:f>
      </x:c>
      <x:c r="DO204" s="4" t="str">
        <x:f>IF(OR('Calculations'!DE204="",'Calculations'!DG204=0),"",('Calculations'!DJ204+'Calculations'!DK204)/'Calculations'!DG204)</x:f>
      </x:c>
      <x:c r="DP204" s="4" t="n">
        <x:f>IF(AND('Calculations'!DE204&lt;&gt;"",'Calculations'!DF204&gt;0),COUNTIF('Calculations'!$DF$12:DF204,"&gt;0"),0)</x:f>
        <x:v>0</x:v>
      </x:c>
      <x:c r="DQ204" s="4" t="str">
        <x:f>IF(193&gt;MAX('Calculations'!$HH$13:$HH$512),"",INDEX('Calculations'!$HF$13:$HF$512,MATCH(193,'Calculations'!$HH$13:$HH$512,0)))</x:f>
      </x:c>
      <x:c r="DR204" s="4" t="str">
        <x:f>IF(193&gt;MAX('Calculations'!$IK$13:$IK$512),"",INDEX('Calculations'!$HE$13:$HE$512,MATCH(193,'Calculations'!$IK$13:$IK$512,0)))</x:f>
      </x:c>
      <x:c r="DS204" s="4"/>
      <x:c r="DT204" s="4"/>
      <x:c r="DU204" s="4"/>
      <x:c r="DV204" s="4"/>
      <x:c r="DW204" s="4"/>
      <x:c r="DX204" s="4"/>
      <x:c r="DY204" s="4"/>
      <x:c r="DZ204" s="4"/>
      <x:c r="EA204" s="4"/>
      <x:c r="EB204" s="4"/>
      <x:c r="EC204" s="4"/>
      <x:c r="ED204" s="4"/>
      <x:c r="EE204" s="4" t="str">
        <x:f>IF('Calculations'!BT204=0,"Not Rated",IF(OR('Calculations'!BO204&gt;=4,'Calculations'!BP204&gt;=4),"Low",IF('Calculations'!BO204+'Calculations'!BP204&lt;=3,"High",IF('Calculations'!BO204+'Calculations'!BP204&lt;=4,"Strong","Solid"))))</x:f>
        <x:v>Not Rated</x:v>
      </x:c>
      <x:c r="EF204" s="4"/>
      <x:c r="EG204" s="4"/>
      <x:c r="EH204" s="4"/>
      <x:c r="EI204" s="4"/>
      <x:c r="EJ204" s="4"/>
      <x:c r="EK204" s="4"/>
      <x:c r="EL204" s="4"/>
      <x:c r="EM204" s="4" t="str">
        <x:f>IF(192&gt;'Calculations'!$JB$2000,"",INDEX('Calculations'!$JA$12:$JA$2000,MATCH(192,'Calculations'!$JB$12:$JB$2000,0)))</x:f>
      </x:c>
      <x:c r="EN204" s="4" t="n">
        <x:f>IF(OR('Calculations'!EM204="",'Calculations'!$AG$8&gt;0,AND('Calculations'!$EF$2&lt;&gt;"All",'Calculations'!HE204='Calculations'!$EF$2),AND('Calculations'!$EF$3&lt;&gt;"All",'Calculations'!HE204='Calculations'!$EF$3)),0,IF(OR('Dashboard'!$B$7="All",'Calculations'!HN204='Dashboard'!$B$7),IF('Calculations'!$EF$2="All",1,IF('Calculations'!HL204&gt;0,0,IF(COUNTIF('Calculations'!HO204:II204,"="&amp;SUBSTITUTE(SUBSTITUTE(SUBSTITUTE('Calculations'!$EF$2,"~","~~"),"*","~*"),"?","~?"))=0,0,IF('Calculations'!$EF$3="All",1,IF(COUNTIF('Calculations'!HO204:II204,"="&amp;SUBSTITUTE(SUBSTITUTE(SUBSTITUTE('Calculations'!$EF$3,"~","~~"),"*","~*"),"?","~?"))&gt;0,1,0))))),0))</x:f>
        <x:v>0</x:v>
      </x:c>
      <x:c r="EO204" s="4" t="str">
        <x:f>IF('Calculations'!IJ204="","",IF('Calculations'!IJ204="!UNRESOLVED","Unresolved hierarchy",IFERROR(INDEX('Calculations'!$HK$13:$HK$512,MATCH('Calculations'!IJ204,'Calculations'!$HE$13:$HE$512,0)),IFERROR(INDEX('Calculations'!$HJ$13:$HJ$512,MATCH('Calculations'!IJ204,'Calculations'!$HF$13:$HF$512,0)),'Calculations'!IJ204))))</x:f>
      </x:c>
      <x:c r="EP204" s="4" t="n">
        <x:f>IF(AND('Calculations'!EM204&lt;&gt;"",'Calculations'!HF204='Calculations'!IJ204),1,0)</x:f>
        <x:v>0</x:v>
      </x:c>
      <x:c r="EQ204" s="4"/>
      <x:c r="ER204" s="4"/>
      <x:c r="ES204" s="4"/>
      <x:c r="ET204" s="4"/>
      <x:c r="EU204" s="4"/>
      <x:c r="EV204" s="4"/>
      <x:c r="EW204" s="4"/>
      <x:c r="EX204" s="4"/>
      <x:c r="EY204" s="4"/>
      <x:c r="EZ204" s="4"/>
      <x:c r="FA204" s="4"/>
      <x:c r="FB204" s="4"/>
      <x:c r="FC204" s="4"/>
      <x:c r="FD204" s="4"/>
      <x:c r="FE204" s="4"/>
      <x:c r="FF204" s="4"/>
      <x:c r="FG204" s="4"/>
      <x:c r="FH204" s="4"/>
      <x:c r="FI204" s="4"/>
      <x:c r="FJ204" s="4"/>
      <x:c r="FK204" s="4"/>
      <x:c r="FL204" s="4"/>
      <x:c r="FM204" s="4"/>
      <x:c r="FN204" s="4"/>
      <x:c r="FO204" s="4"/>
      <x:c r="GA204" s="71"/>
      <x:c r="GB204" s="71"/>
      <x:c r="GC204" s="71"/>
      <x:c r="GD204" s="71"/>
      <x:c r="GE204" s="71"/>
      <x:c r="GF204" s="71"/>
      <x:c r="GG204" s="71"/>
      <x:c r="GH204" s="71"/>
      <x:c r="GI204" s="71"/>
      <x:c r="GJ204" s="71"/>
      <x:c r="GK204" s="71"/>
      <x:c r="GL204" s="71"/>
      <x:c r="GM204" s="71"/>
      <x:c r="GN204" s="71"/>
      <x:c r="GO204" s="71"/>
      <x:c r="GP204" s="71"/>
      <x:c r="GQ204" s="71"/>
      <x:c r="GR204" s="71"/>
      <x:c r="GS204" s="71"/>
      <x:c r="GT204" s="71"/>
      <x:c r="GU204" s="71"/>
      <x:c r="GV204" s="71"/>
      <x:c r="GW204" s="71"/>
      <x:c r="GX204" s="71"/>
      <x:c r="GY204" s="71"/>
      <x:c r="GZ204" s="71"/>
      <x:c r="HA204" s="71"/>
      <x:c r="HB204" s="71"/>
      <x:c r="HC204" s="71"/>
      <x:c r="HD204" s="71"/>
      <x:c r="HE204" t="str">
        <x:f>IF('Calculations'!EM204="","",IF(IFERROR(IF(INDEX(INDIRECT("'WCM Calibration Final'!$A$1:$A$2000"),'Calculations'!$EM204)="","",TRIM(INDEX(INDIRECT("'WCM Calibration Final'!$A$1:$A$2000"),'Calculations'!$EM204)&amp;"")),"")&lt;&gt;"","G:"&amp;IFERROR(TEXT(1*INDEX(INDIRECT("'WCM Calibration Final'!$A$1:$A$2000"),'Calculations'!$EM204),"0"),UPPER(IFERROR(IF(INDEX(INDIRECT("'WCM Calibration Final'!$A$1:$A$2000"),'Calculations'!$EM204)="","",TRIM(INDEX(INDIRECT("'WCM Calibration Final'!$A$1:$A$2000"),'Calculations'!$EM204)&amp;"")),""))),IF(IFERROR(IF(INDEX(INDIRECT("'WCM Calibration Final'!$C$1:$C$2000"),'Calculations'!$EM204)="","",TRIM(INDEX(INDIRECT("'WCM Calibration Final'!$C$1:$C$2000"),'Calculations'!$EM204)&amp;"")),"")&lt;&gt;"","S:"&amp;UPPER(IFERROR(IF(INDEX(INDIRECT("'WCM Calibration Final'!$C$1:$C$2000"),'Calculations'!$EM204)="","",TRIM(INDEX(INDIRECT("'WCM Calibration Final'!$C$1:$C$2000"),'Calculations'!$EM204)&amp;"")),"")),"R:"&amp;'Calculations'!EM204)))</x:f>
      </x:c>
      <x:c r="HF204" t="str">
        <x:f>IF('Calculations'!EM204="","",IF(IFERROR(IF(INDEX(INDIRECT("'WCM Calibration Final'!$D$1:$D$2000"),'Calculations'!$EM204)="","",TRIM(INDEX(INDIRECT("'WCM Calibration Final'!$D$1:$D$2000"),'Calculations'!$EM204)&amp;"")),"")&lt;&gt;"","G:"&amp;IFERROR(TEXT(1*INDEX(INDIRECT("'WCM Calibration Final'!$D$1:$D$2000"),'Calculations'!$EM204),"0"),UPPER(IFERROR(IF(INDEX(INDIRECT("'WCM Calibration Final'!$D$1:$D$2000"),'Calculations'!$EM204)="","",TRIM(INDEX(INDIRECT("'WCM Calibration Final'!$D$1:$D$2000"),'Calculations'!$EM204)&amp;"")),""))),IF(IFERROR(IF(INDEX(INDIRECT("'WCM Calibration Final'!$E$1:$E$2000"),'Calculations'!$EM204)="","",TRIM(INDEX(INDIRECT("'WCM Calibration Final'!$E$1:$E$2000"),'Calculations'!$EM204)&amp;"")),"")="","",IF(COUNTIF('Calculations'!$HG$13:$HG$512,"="&amp;SUBSTITUTE(SUBSTITUTE(SUBSTITUTE(IFERROR(IF(INDEX(INDIRECT("'WCM Calibration Final'!$E$1:$E$2000"),'Calculations'!$EM204)="","",TRIM(INDEX(INDIRECT("'WCM Calibration Final'!$E$1:$E$2000"),'Calculations'!$EM204)&amp;"")),""),"~","~~"),"*","~*"),"?","~?"))=1,INDEX('Calculations'!$HE$13:$HE$512,MATCH(IFERROR(IF(INDEX(INDIRECT("'WCM Calibration Final'!$E$1:$E$2000"),'Calculations'!$EM204)="","",TRIM(INDEX(INDIRECT("'WCM Calibration Final'!$E$1:$E$2000"),'Calculations'!$EM204)&amp;"")),""),'Calculations'!$HG$13:$HG$512,0)),IF(COUNTIF('Calculations'!$HG$13:$HG$512,"="&amp;SUBSTITUTE(SUBSTITUTE(SUBSTITUTE(IFERROR(IF(INDEX(INDIRECT("'WCM Calibration Final'!$E$1:$E$2000"),'Calculations'!$EM204)="","",TRIM(INDEX(INDIRECT("'WCM Calibration Final'!$E$1:$E$2000"),'Calculations'!$EM204)&amp;"")),""),"~","~~"),"*","~*"),"?","~?"))&gt;1,"!AMBIG","X:"&amp;IFERROR(IF(INDEX(INDIRECT("'WCM Calibration Final'!$E$1:$E$2000"),'Calculations'!$EM204)="","",TRIM(INDEX(INDIRECT("'WCM Calibration Final'!$E$1:$E$2000"),'Calculations'!$EM204)&amp;"")),""))))))</x:f>
      </x:c>
      <x:c r="HG204" t="str">
        <x:f>IF('Calculations'!EM204="","",IFERROR(IF(INDEX(INDIRECT("'WCM Calibration Final'!$B$1:$B$2000"),'Calculations'!$EM204)="","",TRIM(INDEX(INDIRECT("'WCM Calibration Final'!$B$1:$B$2000"),'Calculations'!$EM204)&amp;"")),""))</x:f>
      </x:c>
      <x:c r="HH204" t="n">
        <x:f>IF(AND('Calculations'!JC204&gt;0,COUNTIF('Calculations'!$HF$12:HF204,"="&amp;SUBSTITUTE(SUBSTITUTE(SUBSTITUTE('Calculations'!HF204,"~","~~"),"*","~*"),"?","~?"))=1),MAX('Calculations'!$HH$12:HH203)+1,0)</x:f>
        <x:v>0</x:v>
      </x:c>
      <x:c r="HI204" t="n">
        <x:f>IF(AND('Calculations'!HN204&lt;&gt;"",COUNTIF('Calculations'!$HN$12:HN204,"="&amp;SUBSTITUTE(SUBSTITUTE(SUBSTITUTE('Calculations'!HN204,"~","~~"),"*","~*"),"?","~?"))=1),MAX('Calculations'!$HI$12:HI203)+1,0)</x:f>
        <x:v>0</x:v>
      </x:c>
      <x:c r="HJ204" t="str">
        <x:f>IF('Calculations'!HF204="","",IF(COUNTIF('Calculations'!$HE$13:$HE$512,"="&amp;SUBSTITUTE(SUBSTITUTE(SUBSTITUTE('Calculations'!HF204,"~","~~"),"*","~*"),"?","~?"))=1,INDEX('Calculations'!$HK$13:$HK$512,MATCH('Calculations'!HF204,'Calculations'!$HE$13:$HE$512,0)),IFERROR(IF(INDEX(INDIRECT("'WCM Calibration Final'!$E$1:$E$2000"),'Calculations'!$EM204)="","",TRIM(INDEX(INDIRECT("'WCM Calibration Final'!$E$1:$E$2000"),'Calculations'!$EM204)&amp;"")),"")&amp;" ["&amp;'Calculations'!HF204&amp;"]"))</x:f>
      </x:c>
      <x:c r="HK204" t="str">
        <x:f>IF('Calculations'!EM204="","",'Calculations'!HG204&amp;" ["&amp;'Calculations'!HE204&amp;"]")</x:f>
      </x:c>
      <x:c r="HL204" t="n">
        <x:f>IF('Calculations'!EM204="",0,IF(OR('Calculations'!II204&lt;&gt;"",COUNTIF('Calculations'!$HE$13:$HE$512,"="&amp;SUBSTITUTE(SUBSTITUTE(SUBSTITUTE('Calculations'!HE204,"~","~~"),"*","~*"),"?","~?"))&gt;1),1,0))</x:f>
        <x:v>0</x:v>
      </x:c>
      <x:c r="HM204" t="str">
        <x:f>IF('Calculations'!EM204="","",IF('Calculations'!HL204=1,"!UNRESOLVED",IF('Calculations'!IH204&lt;&gt;"",'Calculations'!IH204,IF('Calculations'!IG204&lt;&gt;"",'Calculations'!IG204,IF('Calculations'!IF204&lt;&gt;"",'Calculations'!IF204,IF('Calculations'!IE204&lt;&gt;"",'Calculations'!IE204,IF('Calculations'!ID204&lt;&gt;"",'Calculations'!ID204,IF('Calculations'!IC204&lt;&gt;"",'Calculations'!IC204,IF('Calculations'!IB204&lt;&gt;"",'Calculations'!IB204,IF('Calculations'!IA204&lt;&gt;"",'Calculations'!IA204,IF('Calculations'!HZ204&lt;&gt;"",'Calculations'!HZ204,IF('Calculations'!HY204&lt;&gt;"",'Calculations'!HY204,IF('Calculations'!HX204&lt;&gt;"",'Calculations'!HX204,IF('Calculations'!HW204&lt;&gt;"",'Calculations'!HW204,IF('Calculations'!HV204&lt;&gt;"",'Calculations'!HV204,IF('Calculations'!HU204&lt;&gt;"",'Calculations'!HU204,IF('Calculations'!HT204&lt;&gt;"",'Calculations'!HT204,IF('Calculations'!HS204&lt;&gt;"",'Calculations'!HS204,IF('Calculations'!HR204&lt;&gt;"",'Calculations'!HR204,IF('Calculations'!HQ204&lt;&gt;"",'Calculations'!HQ204,IF('Calculations'!HP204&lt;&gt;"",'Calculations'!HP204,IF('Calculations'!HO204&lt;&gt;"",'Calculations'!HO204,'Calculations'!HE204))))))))))))))))))))))</x:f>
      </x:c>
      <x:c r="HN204" t="str">
        <x:f>IF('Calculations'!EM204="","",IF(IFERROR(IF(INDEX(INDIRECT("'WCM Calibration Final'!$F$1:$F$2000"),'Calculations'!$EM204)="","",TRIM(INDEX(INDIRECT("'WCM Calibration Final'!$F$1:$F$2000"),'Calculations'!$EM204)&amp;"")),"")="","(Blank)",IFERROR(IF(INDEX(INDIRECT("'WCM Calibration Final'!$F$1:$F$2000"),'Calculations'!$EM204)="","",TRIM(INDEX(INDIRECT("'WCM Calibration Final'!$F$1:$F$2000"),'Calculations'!$EM204)&amp;"")),"")))</x:f>
      </x:c>
      <x:c r="HO204" t="str">
        <x:f>'Calculations'!HF204</x:f>
      </x:c>
      <x:c r="HP204" t="str">
        <x:f>IF('Calculations'!HO204="","",IF('Calculations'!HO204="!AMBIG","!AMBIG",IF(COUNTIF('Calculations'!$HE$13:$HE$512,"="&amp;SUBSTITUTE(SUBSTITUTE(SUBSTITUTE('Calculations'!HO204,"~","~~"),"*","~*"),"?","~?"))&gt;1,"!AMBIG",IFERROR(INDEX('Calculations'!$HF$13:$HF$512,MATCH('Calculations'!HO204,'Calculations'!$HE$13:$HE$512,0)),""))))</x:f>
      </x:c>
      <x:c r="HQ204" t="str">
        <x:f>IF('Calculations'!HP204="","",IF('Calculations'!HP204="!AMBIG","!AMBIG",IF(COUNTIF('Calculations'!$HE$13:$HE$512,"="&amp;SUBSTITUTE(SUBSTITUTE(SUBSTITUTE('Calculations'!HP204,"~","~~"),"*","~*"),"?","~?"))&gt;1,"!AMBIG",IFERROR(INDEX('Calculations'!$HF$13:$HF$512,MATCH('Calculations'!HP204,'Calculations'!$HE$13:$HE$512,0)),""))))</x:f>
      </x:c>
      <x:c r="HR204" t="str">
        <x:f>IF('Calculations'!HQ204="","",IF('Calculations'!HQ204="!AMBIG","!AMBIG",IF(COUNTIF('Calculations'!$HE$13:$HE$512,"="&amp;SUBSTITUTE(SUBSTITUTE(SUBSTITUTE('Calculations'!HQ204,"~","~~"),"*","~*"),"?","~?"))&gt;1,"!AMBIG",IFERROR(INDEX('Calculations'!$HF$13:$HF$512,MATCH('Calculations'!HQ204,'Calculations'!$HE$13:$HE$512,0)),""))))</x:f>
      </x:c>
      <x:c r="HS204" t="str">
        <x:f>IF('Calculations'!HR204="","",IF('Calculations'!HR204="!AMBIG","!AMBIG",IF(COUNTIF('Calculations'!$HE$13:$HE$512,"="&amp;SUBSTITUTE(SUBSTITUTE(SUBSTITUTE('Calculations'!HR204,"~","~~"),"*","~*"),"?","~?"))&gt;1,"!AMBIG",IFERROR(INDEX('Calculations'!$HF$13:$HF$512,MATCH('Calculations'!HR204,'Calculations'!$HE$13:$HE$512,0)),""))))</x:f>
      </x:c>
      <x:c r="HT204" t="str">
        <x:f>IF('Calculations'!HS204="","",IF('Calculations'!HS204="!AMBIG","!AMBIG",IF(COUNTIF('Calculations'!$HE$13:$HE$512,"="&amp;SUBSTITUTE(SUBSTITUTE(SUBSTITUTE('Calculations'!HS204,"~","~~"),"*","~*"),"?","~?"))&gt;1,"!AMBIG",IFERROR(INDEX('Calculations'!$HF$13:$HF$512,MATCH('Calculations'!HS204,'Calculations'!$HE$13:$HE$512,0)),""))))</x:f>
      </x:c>
      <x:c r="HU204" t="str">
        <x:f>IF('Calculations'!HT204="","",IF('Calculations'!HT204="!AMBIG","!AMBIG",IF(COUNTIF('Calculations'!$HE$13:$HE$512,"="&amp;SUBSTITUTE(SUBSTITUTE(SUBSTITUTE('Calculations'!HT204,"~","~~"),"*","~*"),"?","~?"))&gt;1,"!AMBIG",IFERROR(INDEX('Calculations'!$HF$13:$HF$512,MATCH('Calculations'!HT204,'Calculations'!$HE$13:$HE$512,0)),""))))</x:f>
      </x:c>
      <x:c r="HV204" t="str">
        <x:f>IF('Calculations'!HU204="","",IF('Calculations'!HU204="!AMBIG","!AMBIG",IF(COUNTIF('Calculations'!$HE$13:$HE$512,"="&amp;SUBSTITUTE(SUBSTITUTE(SUBSTITUTE('Calculations'!HU204,"~","~~"),"*","~*"),"?","~?"))&gt;1,"!AMBIG",IFERROR(INDEX('Calculations'!$HF$13:$HF$512,MATCH('Calculations'!HU204,'Calculations'!$HE$13:$HE$512,0)),""))))</x:f>
      </x:c>
      <x:c r="HW204" t="str">
        <x:f>IF('Calculations'!HV204="","",IF('Calculations'!HV204="!AMBIG","!AMBIG",IF(COUNTIF('Calculations'!$HE$13:$HE$512,"="&amp;SUBSTITUTE(SUBSTITUTE(SUBSTITUTE('Calculations'!HV204,"~","~~"),"*","~*"),"?","~?"))&gt;1,"!AMBIG",IFERROR(INDEX('Calculations'!$HF$13:$HF$512,MATCH('Calculations'!HV204,'Calculations'!$HE$13:$HE$512,0)),""))))</x:f>
      </x:c>
      <x:c r="HX204" t="str">
        <x:f>IF('Calculations'!HW204="","",IF('Calculations'!HW204="!AMBIG","!AMBIG",IF(COUNTIF('Calculations'!$HE$13:$HE$512,"="&amp;SUBSTITUTE(SUBSTITUTE(SUBSTITUTE('Calculations'!HW204,"~","~~"),"*","~*"),"?","~?"))&gt;1,"!AMBIG",IFERROR(INDEX('Calculations'!$HF$13:$HF$512,MATCH('Calculations'!HW204,'Calculations'!$HE$13:$HE$512,0)),""))))</x:f>
      </x:c>
      <x:c r="HY204" t="str">
        <x:f>IF('Calculations'!HX204="","",IF('Calculations'!HX204="!AMBIG","!AMBIG",IF(COUNTIF('Calculations'!$HE$13:$HE$512,"="&amp;SUBSTITUTE(SUBSTITUTE(SUBSTITUTE('Calculations'!HX204,"~","~~"),"*","~*"),"?","~?"))&gt;1,"!AMBIG",IFERROR(INDEX('Calculations'!$HF$13:$HF$512,MATCH('Calculations'!HX204,'Calculations'!$HE$13:$HE$512,0)),""))))</x:f>
      </x:c>
      <x:c r="HZ204" t="str">
        <x:f>IF('Calculations'!HY204="","",IF('Calculations'!HY204="!AMBIG","!AMBIG",IF(COUNTIF('Calculations'!$HE$13:$HE$512,"="&amp;SUBSTITUTE(SUBSTITUTE(SUBSTITUTE('Calculations'!HY204,"~","~~"),"*","~*"),"?","~?"))&gt;1,"!AMBIG",IFERROR(INDEX('Calculations'!$HF$13:$HF$512,MATCH('Calculations'!HY204,'Calculations'!$HE$13:$HE$512,0)),""))))</x:f>
      </x:c>
      <x:c r="IA204" t="str">
        <x:f>IF('Calculations'!HZ204="","",IF('Calculations'!HZ204="!AMBIG","!AMBIG",IF(COUNTIF('Calculations'!$HE$13:$HE$512,"="&amp;SUBSTITUTE(SUBSTITUTE(SUBSTITUTE('Calculations'!HZ204,"~","~~"),"*","~*"),"?","~?"))&gt;1,"!AMBIG",IFERROR(INDEX('Calculations'!$HF$13:$HF$512,MATCH('Calculations'!HZ204,'Calculations'!$HE$13:$HE$512,0)),""))))</x:f>
      </x:c>
      <x:c r="IB204" t="str">
        <x:f>IF('Calculations'!IA204="","",IF('Calculations'!IA204="!AMBIG","!AMBIG",IF(COUNTIF('Calculations'!$HE$13:$HE$512,"="&amp;SUBSTITUTE(SUBSTITUTE(SUBSTITUTE('Calculations'!IA204,"~","~~"),"*","~*"),"?","~?"))&gt;1,"!AMBIG",IFERROR(INDEX('Calculations'!$HF$13:$HF$512,MATCH('Calculations'!IA204,'Calculations'!$HE$13:$HE$512,0)),""))))</x:f>
      </x:c>
      <x:c r="IC204" t="str">
        <x:f>IF('Calculations'!IB204="","",IF('Calculations'!IB204="!AMBIG","!AMBIG",IF(COUNTIF('Calculations'!$HE$13:$HE$512,"="&amp;SUBSTITUTE(SUBSTITUTE(SUBSTITUTE('Calculations'!IB204,"~","~~"),"*","~*"),"?","~?"))&gt;1,"!AMBIG",IFERROR(INDEX('Calculations'!$HF$13:$HF$512,MATCH('Calculations'!IB204,'Calculations'!$HE$13:$HE$512,0)),""))))</x:f>
      </x:c>
      <x:c r="ID204" t="str">
        <x:f>IF('Calculations'!IC204="","",IF('Calculations'!IC204="!AMBIG","!AMBIG",IF(COUNTIF('Calculations'!$HE$13:$HE$512,"="&amp;SUBSTITUTE(SUBSTITUTE(SUBSTITUTE('Calculations'!IC204,"~","~~"),"*","~*"),"?","~?"))&gt;1,"!AMBIG",IFERROR(INDEX('Calculations'!$HF$13:$HF$512,MATCH('Calculations'!IC204,'Calculations'!$HE$13:$HE$512,0)),""))))</x:f>
      </x:c>
      <x:c r="IE204" t="str">
        <x:f>IF('Calculations'!ID204="","",IF('Calculations'!ID204="!AMBIG","!AMBIG",IF(COUNTIF('Calculations'!$HE$13:$HE$512,"="&amp;SUBSTITUTE(SUBSTITUTE(SUBSTITUTE('Calculations'!ID204,"~","~~"),"*","~*"),"?","~?"))&gt;1,"!AMBIG",IFERROR(INDEX('Calculations'!$HF$13:$HF$512,MATCH('Calculations'!ID204,'Calculations'!$HE$13:$HE$512,0)),""))))</x:f>
      </x:c>
      <x:c r="IF204" t="str">
        <x:f>IF('Calculations'!IE204="","",IF('Calculations'!IE204="!AMBIG","!AMBIG",IF(COUNTIF('Calculations'!$HE$13:$HE$512,"="&amp;SUBSTITUTE(SUBSTITUTE(SUBSTITUTE('Calculations'!IE204,"~","~~"),"*","~*"),"?","~?"))&gt;1,"!AMBIG",IFERROR(INDEX('Calculations'!$HF$13:$HF$512,MATCH('Calculations'!IE204,'Calculations'!$HE$13:$HE$512,0)),""))))</x:f>
      </x:c>
      <x:c r="IG204" t="str">
        <x:f>IF('Calculations'!IF204="","",IF('Calculations'!IF204="!AMBIG","!AMBIG",IF(COUNTIF('Calculations'!$HE$13:$HE$512,"="&amp;SUBSTITUTE(SUBSTITUTE(SUBSTITUTE('Calculations'!IF204,"~","~~"),"*","~*"),"?","~?"))&gt;1,"!AMBIG",IFERROR(INDEX('Calculations'!$HF$13:$HF$512,MATCH('Calculations'!IF204,'Calculations'!$HE$13:$HE$512,0)),""))))</x:f>
      </x:c>
      <x:c r="IH204" t="str">
        <x:f>IF('Calculations'!IG204="","",IF('Calculations'!IG204="!AMBIG","!AMBIG",IF(COUNTIF('Calculations'!$HE$13:$HE$512,"="&amp;SUBSTITUTE(SUBSTITUTE(SUBSTITUTE('Calculations'!IG204,"~","~~"),"*","~*"),"?","~?"))&gt;1,"!AMBIG",IFERROR(INDEX('Calculations'!$HF$13:$HF$512,MATCH('Calculations'!IG204,'Calculations'!$HE$13:$HE$512,0)),""))))</x:f>
      </x:c>
      <x:c r="II204" t="str">
        <x:f>IF('Calculations'!IH204="","",IF('Calculations'!IH204="!AMBIG","!AMBIG",IF(COUNTIF('Calculations'!$HE$13:$HE$512,"="&amp;SUBSTITUTE(SUBSTITUTE(SUBSTITUTE('Calculations'!IH204,"~","~~"),"*","~*"),"?","~?"))&gt;1,"!AMBIG",IFERROR(INDEX('Calculations'!$HF$13:$HF$512,MATCH('Calculations'!IH204,'Calculations'!$HE$13:$HE$512,0)),""))))</x:f>
      </x:c>
      <x:c r="IJ204" t="str">
        <x:f>IF('Calculations'!EM204="","",IF('Calculations'!$EF$2="All",'Calculations'!HM204,IF('Calculations'!HL204=1,"",IFERROR(IF(MATCH('Calculations'!$EF$2,'Calculations'!HO204:II204,0)=1,'Calculations'!HE204,INDEX('Calculations'!HO204:II204,1,MATCH('Calculations'!$EF$2,'Calculations'!HO204:II204,0)-1)),""))))</x:f>
      </x:c>
      <x:c r="IK204" t="n">
        <x:f>IF(AND('Calculations'!EM204&lt;&gt;"",'Calculations'!$EF$2&lt;&gt;"All",'Calculations'!HF204='Calculations'!$EF$2,'Calculations'!HL204=0,'Calculations'!JD204&gt;0),MAX('Calculations'!$IK$12:IK203)+1,0)</x:f>
        <x:v>0</x:v>
      </x:c>
      <x:c r="JA204" t="n">
        <x:f>IF(OR(IFERROR(INDIRECT("'WCM Calibration Final'!$A$204")&lt;&gt;"",FALSE),IFERROR(INDIRECT("'WCM Calibration Final'!$B$204")&lt;&gt;"",FALSE),IFERROR(INDIRECT("'WCM Calibration Final'!$C$204")&lt;&gt;"",FALSE)),204,0)</x:f>
        <x:v>0</x:v>
      </x:c>
      <x:c r="JB204" t="n">
        <x:f>'Calculations'!JB203+IF('Calculations'!JA204&gt;0,1,0)</x:f>
        <x:v>0</x:v>
      </x:c>
      <x:c r="JC204" t="n">
        <x:f>IF(OR('Calculations'!HF204="",'Calculations'!HF204="!AMBIG"),0,IF('Dashboard'!$B$7="All",1,COUNTIFS('Calculations'!$HO$13:$HO$512,"="&amp;SUBSTITUTE(SUBSTITUTE(SUBSTITUTE('Calculations'!HF204,"~","~~"),"*","~*"),"?","~?"),'Calculations'!$HN$13:$HN$512,"="&amp;SUBSTITUTE(SUBSTITUTE(SUBSTITUTE('Dashboard'!$B$7,"~","~~"),"*","~*"),"?","~?"))+COUNTIFS('Calculations'!$HP$13:$HP$512,"="&amp;SUBSTITUTE(SUBSTITUTE(SUBSTITUTE('Calculations'!HF204,"~","~~"),"*","~*"),"?","~?"),'Calculations'!$HN$13:$HN$512,"="&amp;SUBSTITUTE(SUBSTITUTE(SUBSTITUTE('Dashboard'!$B$7,"~","~~"),"*","~*"),"?","~?"))+COUNTIFS('Calculations'!$HQ$13:$HQ$512,"="&amp;SUBSTITUTE(SUBSTITUTE(SUBSTITUTE('Calculations'!HF204,"~","~~"),"*","~*"),"?","~?"),'Calculations'!$HN$13:$HN$512,"="&amp;SUBSTITUTE(SUBSTITUTE(SUBSTITUTE('Dashboard'!$B$7,"~","~~"),"*","~*"),"?","~?"))+COUNTIFS('Calculations'!$HR$13:$HR$512,"="&amp;SUBSTITUTE(SUBSTITUTE(SUBSTITUTE('Calculations'!HF204,"~","~~"),"*","~*"),"?","~?"),'Calculations'!$HN$13:$HN$512,"="&amp;SUBSTITUTE(SUBSTITUTE(SUBSTITUTE('Dashboard'!$B$7,"~","~~"),"*","~*"),"?","~?"))+COUNTIFS('Calculations'!$HS$13:$HS$512,"="&amp;SUBSTITUTE(SUBSTITUTE(SUBSTITUTE('Calculations'!HF204,"~","~~"),"*","~*"),"?","~?"),'Calculations'!$HN$13:$HN$512,"="&amp;SUBSTITUTE(SUBSTITUTE(SUBSTITUTE('Dashboard'!$B$7,"~","~~"),"*","~*"),"?","~?"))+COUNTIFS('Calculations'!$HT$13:$HT$512,"="&amp;SUBSTITUTE(SUBSTITUTE(SUBSTITUTE('Calculations'!HF204,"~","~~"),"*","~*"),"?","~?"),'Calculations'!$HN$13:$HN$512,"="&amp;SUBSTITUTE(SUBSTITUTE(SUBSTITUTE('Dashboard'!$B$7,"~","~~"),"*","~*"),"?","~?"))+COUNTIFS('Calculations'!$HU$13:$HU$512,"="&amp;SUBSTITUTE(SUBSTITUTE(SUBSTITUTE('Calculations'!HF204,"~","~~"),"*","~*"),"?","~?"),'Calculations'!$HN$13:$HN$512,"="&amp;SUBSTITUTE(SUBSTITUTE(SUBSTITUTE('Dashboard'!$B$7,"~","~~"),"*","~*"),"?","~?"))+COUNTIFS('Calculations'!$HV$13:$HV$512,"="&amp;SUBSTITUTE(SUBSTITUTE(SUBSTITUTE('Calculations'!HF204,"~","~~"),"*","~*"),"?","~?"),'Calculations'!$HN$13:$HN$512,"="&amp;SUBSTITUTE(SUBSTITUTE(SUBSTITUTE('Dashboard'!$B$7,"~","~~"),"*","~*"),"?","~?"))+COUNTIFS('Calculations'!$HW$13:$HW$512,"="&amp;SUBSTITUTE(SUBSTITUTE(SUBSTITUTE('Calculations'!HF204,"~","~~"),"*","~*"),"?","~?"),'Calculations'!$HN$13:$HN$512,"="&amp;SUBSTITUTE(SUBSTITUTE(SUBSTITUTE('Dashboard'!$B$7,"~","~~"),"*","~*"),"?","~?"))+COUNTIFS('Calculations'!$HX$13:$HX$512,"="&amp;SUBSTITUTE(SUBSTITUTE(SUBSTITUTE('Calculations'!HF204,"~","~~"),"*","~*"),"?","~?"),'Calculations'!$HN$13:$HN$512,"="&amp;SUBSTITUTE(SUBSTITUTE(SUBSTITUTE('Dashboard'!$B$7,"~","~~"),"*","~*"),"?","~?"))+COUNTIFS('Calculations'!$HY$13:$HY$512,"="&amp;SUBSTITUTE(SUBSTITUTE(SUBSTITUTE('Calculations'!HF204,"~","~~"),"*","~*"),"?","~?"),'Calculations'!$HN$13:$HN$512,"="&amp;SUBSTITUTE(SUBSTITUTE(SUBSTITUTE('Dashboard'!$B$7,"~","~~"),"*","~*"),"?","~?"))+COUNTIFS('Calculations'!$HZ$13:$HZ$512,"="&amp;SUBSTITUTE(SUBSTITUTE(SUBSTITUTE('Calculations'!HF204,"~","~~"),"*","~*"),"?","~?"),'Calculations'!$HN$13:$HN$512,"="&amp;SUBSTITUTE(SUBSTITUTE(SUBSTITUTE('Dashboard'!$B$7,"~","~~"),"*","~*"),"?","~?"))+COUNTIFS('Calculations'!$IA$13:$IA$512,"="&amp;SUBSTITUTE(SUBSTITUTE(SUBSTITUTE('Calculations'!HF204,"~","~~"),"*","~*"),"?","~?"),'Calculations'!$HN$13:$HN$512,"="&amp;SUBSTITUTE(SUBSTITUTE(SUBSTITUTE('Dashboard'!$B$7,"~","~~"),"*","~*"),"?","~?"))+COUNTIFS('Calculations'!$IB$13:$IB$512,"="&amp;SUBSTITUTE(SUBSTITUTE(SUBSTITUTE('Calculations'!HF204,"~","~~"),"*","~*"),"?","~?"),'Calculations'!$HN$13:$HN$512,"="&amp;SUBSTITUTE(SUBSTITUTE(SUBSTITUTE('Dashboard'!$B$7,"~","~~"),"*","~*"),"?","~?"))+COUNTIFS('Calculations'!$IC$13:$IC$512,"="&amp;SUBSTITUTE(SUBSTITUTE(SUBSTITUTE('Calculations'!HF204,"~","~~"),"*","~*"),"?","~?"),'Calculations'!$HN$13:$HN$512,"="&amp;SUBSTITUTE(SUBSTITUTE(SUBSTITUTE('Dashboard'!$B$7,"~","~~"),"*","~*"),"?","~?"))+COUNTIFS('Calculations'!$ID$13:$ID$512,"="&amp;SUBSTITUTE(SUBSTITUTE(SUBSTITUTE('Calculations'!HF204,"~","~~"),"*","~*"),"?","~?"),'Calculations'!$HN$13:$HN$512,"="&amp;SUBSTITUTE(SUBSTITUTE(SUBSTITUTE('Dashboard'!$B$7,"~","~~"),"*","~*"),"?","~?"))+COUNTIFS('Calculations'!$IE$13:$IE$512,"="&amp;SUBSTITUTE(SUBSTITUTE(SUBSTITUTE('Calculations'!HF204,"~","~~"),"*","~*"),"?","~?"),'Calculations'!$HN$13:$HN$512,"="&amp;SUBSTITUTE(SUBSTITUTE(SUBSTITUTE('Dashboard'!$B$7,"~","~~"),"*","~*"),"?","~?"))+COUNTIFS('Calculations'!$IF$13:$IF$512,"="&amp;SUBSTITUTE(SUBSTITUTE(SUBSTITUTE('Calculations'!HF204,"~","~~"),"*","~*"),"?","~?"),'Calculations'!$HN$13:$HN$512,"="&amp;SUBSTITUTE(SUBSTITUTE(SUBSTITUTE('Dashboard'!$B$7,"~","~~"),"*","~*"),"?","~?"))+COUNTIFS('Calculations'!$IG$13:$IG$512,"="&amp;SUBSTITUTE(SUBSTITUTE(SUBSTITUTE('Calculations'!HF204,"~","~~"),"*","~*"),"?","~?"),'Calculations'!$HN$13:$HN$512,"="&amp;SUBSTITUTE(SUBSTITUTE(SUBSTITUTE('Dashboard'!$B$7,"~","~~"),"*","~*"),"?","~?"))+COUNTIFS('Calculations'!$IH$13:$IH$512,"="&amp;SUBSTITUTE(SUBSTITUTE(SUBSTITUTE('Calculations'!HF204,"~","~~"),"*","~*"),"?","~?"),'Calculations'!$HN$13:$HN$512,"="&amp;SUBSTITUTE(SUBSTITUTE(SUBSTITUTE('Dashboard'!$B$7,"~","~~"),"*","~*"),"?","~?"))))</x:f>
        <x:v>0</x:v>
      </x:c>
      <x:c r="JD204" t="n">
        <x:f>IF('Calculations'!EM204="",0,IF('Dashboard'!$B$7="All",1,IF('Calculations'!HN204='Dashboard'!$B$7,1,0)+IFERROR(INDEX('Calculations'!$JC$13:$JC$512,MATCH('Calculations'!HE204,'Calculations'!$HF$13:$HF$512,0)),0)))</x:f>
        <x:v>0</x:v>
      </x:c>
      <x:c r="JE204" t="n">
        <x:f>IF(AND('Calculations'!EM204&lt;&gt;"",'Calculations'!$JJ$2&lt;&gt;"All",'Calculations'!$JJ$2&lt;&gt;"",'Calculations'!HF204='Calculations'!$JJ$2,'Calculations'!HL204=0,'Calculations'!JD204&gt;0),MAX('Calculations'!$JE$12:JE203)+1,0)</x:f>
        <x:v>0</x:v>
      </x:c>
      <x:c r="JF204" t="str">
        <x:f>IF('Calculations'!EM204="","",IFERROR(IF(INDEX(INDIRECT("'WCM Calibration Final'!$G$1:$G$2000"),'Calculations'!$EM204)="","",TRIM(INDEX(INDIRECT("'WCM Calibration Final'!$G$1:$G$2000"),'Calculations'!$EM204)&amp;"")),""))</x:f>
      </x:c>
      <x:c r="JQ204" t="n">
        <x:f>IF(OR('Calculations'!BM204=0,NOT('Calculations'!$AG$2),'Calculations'!$AG$8&gt;0),0,IF(OR('Dashboard'!$B$7="All",'Calculations'!HN204='Dashboard'!$B$7),IF('Calculations'!$JJ$2="All",1,IF(AND('Calculations'!HF204='Calculations'!$JJ$2,'Calculations'!HL204=0),1,0)),0))</x:f>
        <x:v>0</x:v>
      </x:c>
    </x:row>
    <x:row r="205">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t="n">
        <x:f>IF('Calculations'!$EM205="",0,IF(OR(IFERROR(INDEX(INDIRECT("'WCM Calibration Final'!$A$1:$A$2000"),'Calculations'!$EM205)&lt;&gt;"",FALSE),IFERROR(INDEX(INDIRECT("'WCM Calibration Final'!$B$1:$B$2000"),'Calculations'!$EM205)&lt;&gt;"",FALSE),IFERROR(INDEX(INDIRECT("'WCM Calibration Final'!$C$1:$C$2000"),'Calculations'!$EM205)&lt;&gt;"",FALSE)),1,0))</x:f>
        <x:v>0</x:v>
      </x:c>
      <x:c r="BN205" s="4" t="n">
        <x:f>IF(AND('Calculations'!BM205=1,'Calculations'!$AG$2,'Calculations'!$EN205=1),1,0)</x:f>
        <x:v>0</x:v>
      </x:c>
      <x:c r="BO205" s="4" t="str">
        <x:f>IF('Calculations'!BM205=0,"",IFERROR(IF(AND(VALUE(INDEX(INDIRECT("'WCM Calibration Final'!$K$1:$K$2000"),'Calculations'!$EM205))&gt;=1,VALUE(INDEX(INDIRECT("'WCM Calibration Final'!$K$1:$K$2000"),'Calculations'!$EM205))&lt;=4,MOD(VALUE(INDEX(INDIRECT("'WCM Calibration Final'!$K$1:$K$2000"),'Calculations'!$EM205)),1)=0),VALUE(INDEX(INDIRECT("'WCM Calibration Final'!$K$1:$K$2000"),'Calculations'!$EM205)),""),""))</x:f>
      </x:c>
      <x:c r="BP205" s="4" t="str">
        <x:f>IF('Calculations'!BM205=0,"",IFERROR(IF(AND(VALUE(INDEX(INDIRECT("'WCM Calibration Final'!$L$1:$L$2000"),'Calculations'!$EM205))&gt;=1,VALUE(INDEX(INDIRECT("'WCM Calibration Final'!$L$1:$L$2000"),'Calculations'!$EM205))&lt;=4,MOD(VALUE(INDEX(INDIRECT("'WCM Calibration Final'!$L$1:$L$2000"),'Calculations'!$EM205)),1)=0),VALUE(INDEX(INDIRECT("'WCM Calibration Final'!$L$1:$L$2000"),'Calculations'!$EM205)),""),""))</x:f>
      </x:c>
      <x:c r="BQ205" s="4"/>
      <x:c r="BR205" s="4"/>
      <x:c r="BS205" s="4"/>
      <x:c r="BT205" s="4" t="n">
        <x:f>IF(AND('Calculations'!BM205=1,ISNUMBER('Calculations'!BO205),ISNUMBER('Calculations'!BP205)),1,0)</x:f>
        <x:v>0</x:v>
      </x:c>
      <x:c r="BU205" s="4" t="str">
        <x:f>IF('Calculations'!BM205=0,"",'Calculations'!$EO205)</x:f>
      </x:c>
      <x:c r="BV205" s="4" t="str">
        <x:f>IF('Calculations'!BM205=0,"",IFERROR(IF(OR(INDEX(INDIRECT("'WCM Calibration Final'!$H$1:$H$2000"),'Calculations'!$EM205)="MANAGING DIRECTOR",INDEX(INDIRECT("'WCM Calibration Final'!$H$1:$H$2000"),'Calculations'!$EM205)="DIRECTOR",INDEX(INDIRECT("'WCM Calibration Final'!$H$1:$H$2000"),'Calculations'!$EM205)="SENIOR VICE PRESIDENT",INDEX(INDIRECT("'WCM Calibration Final'!$H$1:$H$2000"),'Calculations'!$EM205)="VICE PRESIDENT",INDEX(INDIRECT("'WCM Calibration Final'!$H$1:$H$2000"),'Calculations'!$EM205)="ASSISTANT VICE PRESIDENT",INDEX(INDIRECT("'WCM Calibration Final'!$H$1:$H$2000"),'Calculations'!$EM205)="OFFICER"),UPPER(INDEX(INDIRECT("'WCM Calibration Final'!$H$1:$H$2000"),'Calculations'!$EM205)),"Other"),"Other"))</x:f>
      </x:c>
      <x:c r="BW205" s="4"/>
      <x:c r="BX205" s="4"/>
      <x:c r="BY205" s="4" t="n">
        <x:f>IF(AND('Calculations'!BM205=1,'Calculations'!BU205&lt;&gt;"",COUNTIF('Calculations'!$BU$12:BU205,'Calculations'!BU205)=1),MAX('Calculations'!$BY$11:BY204)+1,0)</x:f>
        <x:v>0</x:v>
      </x:c>
      <x:c r="BZ205" s="4" t="str">
        <x:f>IF('Dashboard'!$E$67="What",'Calculations'!BO205,'Calculations'!BP205)</x:f>
      </x:c>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t="str">
        <x:f>IF(194&gt;MAX('Calculations'!$HI$13:$HI$512),"",INDEX('Calculations'!$HN$13:$HN$512,MATCH(194,'Calculations'!$HI$13:$HI$512,0)))</x:f>
      </x:c>
      <x:c r="DB205" s="4" t="str">
        <x:f>IF(194&gt;MAX('Calculations'!$HH$13:$HH$512),"",INDEX('Calculations'!$HJ$13:$HJ$512,MATCH(194,'Calculations'!$HH$13:$HH$512,0)))</x:f>
      </x:c>
      <x:c r="DC205" s="4" t="str">
        <x:f>IF(ROW()-11&gt;MAX('Calculations'!$BY$13:$BY$512),"",INDEX('Calculations'!$BU$13:$BU$512,MATCH(ROW()-11,'Calculations'!$BY$13:$BY$512,0)))</x:f>
      </x:c>
      <x:c r="DD205" s="4" t="str">
        <x:f>IF(194&gt;MAX('Calculations'!$IK$13:$IK$512),"",INDEX('Calculations'!$HK$13:$HK$512,MATCH(194,'Calculations'!$IK$13:$IK$512,0)))</x:f>
      </x:c>
      <x:c r="DE205" s="4" t="str">
        <x:f>'Calculations'!DC205</x:f>
      </x:c>
      <x:c r="DF205" s="4" t="str">
        <x:f>IF('Calculations'!DE205="","",COUNTIFS('Calculations'!$BN$13:$BN$512,1,'Calculations'!$BU$13:$BU$512,'Calculations'!DE205))</x:f>
      </x:c>
      <x:c r="DG205" s="4" t="str">
        <x:f>IF('Calculations'!DE205="","",COUNTIFS('Calculations'!$BN$13:$BN$512,1,'Calculations'!$BU$13:$BU$512,'Calculations'!DE205,'Calculations'!$BT$13:$BT$512,1))</x:f>
      </x:c>
      <x:c r="DH205" s="4" t="str">
        <x:f>IF('Calculations'!DE205="","",'Calculations'!DF205-'Calculations'!DG205)</x:f>
      </x:c>
      <x:c r="DI205" s="4" t="str">
        <x:f>IF(OR('Calculations'!DE205="",'Calculations'!DF205=0),"",'Calculations'!DG205/'Calculations'!DF205)</x:f>
      </x:c>
      <x:c r="DJ205" s="4" t="str">
        <x:f>IF('Calculations'!DE205="","",COUNTIFS('Calculations'!$BN$13:$BN$512,1,'Calculations'!$BU$13:$BU$512,'Calculations'!DE205,'Calculations'!$BT$13:$BT$512,1,'Calculations'!$EE$13:$EE$512,"High"))</x:f>
      </x:c>
      <x:c r="DK205" s="4" t="str">
        <x:f>IF('Calculations'!DE205="","",COUNTIFS('Calculations'!$BN$13:$BN$512,1,'Calculations'!$BU$13:$BU$512,'Calculations'!DE205,'Calculations'!$BT$13:$BT$512,1,'Calculations'!$EE$13:$EE$512,"Strong"))</x:f>
      </x:c>
      <x:c r="DL205" s="4" t="str">
        <x:f>IF('Calculations'!DE205="","",COUNTIFS('Calculations'!$BN$13:$BN$512,1,'Calculations'!$BU$13:$BU$512,'Calculations'!DE205,'Calculations'!$BT$13:$BT$512,1,'Calculations'!$EE$13:$EE$512,"Solid"))</x:f>
      </x:c>
      <x:c r="DM205" s="4" t="str">
        <x:f>IF('Calculations'!DE205="","",COUNTIFS('Calculations'!$BN$13:$BN$512,1,'Calculations'!$BU$13:$BU$512,'Calculations'!DE205,'Calculations'!$BT$13:$BT$512,1,'Calculations'!$EE$13:$EE$512,"Low"))</x:f>
      </x:c>
      <x:c r="DN205" s="4" t="str">
        <x:f>IF('Calculations'!DE205="","",COUNTIFS('Calculations'!$BN$13:$BN$512,1,'Calculations'!$BU$13:$BU$512,'Calculations'!DE205,'Calculations'!$EP$13:$EP$512,1))</x:f>
      </x:c>
      <x:c r="DO205" s="4" t="str">
        <x:f>IF(OR('Calculations'!DE205="",'Calculations'!DG205=0),"",('Calculations'!DJ205+'Calculations'!DK205)/'Calculations'!DG205)</x:f>
      </x:c>
      <x:c r="DP205" s="4" t="n">
        <x:f>IF(AND('Calculations'!DE205&lt;&gt;"",'Calculations'!DF205&gt;0),COUNTIF('Calculations'!$DF$12:DF205,"&gt;0"),0)</x:f>
        <x:v>0</x:v>
      </x:c>
      <x:c r="DQ205" s="4" t="str">
        <x:f>IF(194&gt;MAX('Calculations'!$HH$13:$HH$512),"",INDEX('Calculations'!$HF$13:$HF$512,MATCH(194,'Calculations'!$HH$13:$HH$512,0)))</x:f>
      </x:c>
      <x:c r="DR205" s="4" t="str">
        <x:f>IF(194&gt;MAX('Calculations'!$IK$13:$IK$512),"",INDEX('Calculations'!$HE$13:$HE$512,MATCH(194,'Calculations'!$IK$13:$IK$512,0)))</x:f>
      </x:c>
      <x:c r="DS205" s="4"/>
      <x:c r="DT205" s="4"/>
      <x:c r="DU205" s="4"/>
      <x:c r="DV205" s="4"/>
      <x:c r="DW205" s="4"/>
      <x:c r="DX205" s="4"/>
      <x:c r="DY205" s="4"/>
      <x:c r="DZ205" s="4"/>
      <x:c r="EA205" s="4"/>
      <x:c r="EB205" s="4"/>
      <x:c r="EC205" s="4"/>
      <x:c r="ED205" s="4"/>
      <x:c r="EE205" s="4" t="str">
        <x:f>IF('Calculations'!BT205=0,"Not Rated",IF(OR('Calculations'!BO205&gt;=4,'Calculations'!BP205&gt;=4),"Low",IF('Calculations'!BO205+'Calculations'!BP205&lt;=3,"High",IF('Calculations'!BO205+'Calculations'!BP205&lt;=4,"Strong","Solid"))))</x:f>
        <x:v>Not Rated</x:v>
      </x:c>
      <x:c r="EF205" s="4"/>
      <x:c r="EG205" s="4"/>
      <x:c r="EH205" s="4"/>
      <x:c r="EI205" s="4"/>
      <x:c r="EJ205" s="4"/>
      <x:c r="EK205" s="4"/>
      <x:c r="EL205" s="4"/>
      <x:c r="EM205" s="4" t="str">
        <x:f>IF(193&gt;'Calculations'!$JB$2000,"",INDEX('Calculations'!$JA$12:$JA$2000,MATCH(193,'Calculations'!$JB$12:$JB$2000,0)))</x:f>
      </x:c>
      <x:c r="EN205" s="4" t="n">
        <x:f>IF(OR('Calculations'!EM205="",'Calculations'!$AG$8&gt;0,AND('Calculations'!$EF$2&lt;&gt;"All",'Calculations'!HE205='Calculations'!$EF$2),AND('Calculations'!$EF$3&lt;&gt;"All",'Calculations'!HE205='Calculations'!$EF$3)),0,IF(OR('Dashboard'!$B$7="All",'Calculations'!HN205='Dashboard'!$B$7),IF('Calculations'!$EF$2="All",1,IF('Calculations'!HL205&gt;0,0,IF(COUNTIF('Calculations'!HO205:II205,"="&amp;SUBSTITUTE(SUBSTITUTE(SUBSTITUTE('Calculations'!$EF$2,"~","~~"),"*","~*"),"?","~?"))=0,0,IF('Calculations'!$EF$3="All",1,IF(COUNTIF('Calculations'!HO205:II205,"="&amp;SUBSTITUTE(SUBSTITUTE(SUBSTITUTE('Calculations'!$EF$3,"~","~~"),"*","~*"),"?","~?"))&gt;0,1,0))))),0))</x:f>
        <x:v>0</x:v>
      </x:c>
      <x:c r="EO205" s="4" t="str">
        <x:f>IF('Calculations'!IJ205="","",IF('Calculations'!IJ205="!UNRESOLVED","Unresolved hierarchy",IFERROR(INDEX('Calculations'!$HK$13:$HK$512,MATCH('Calculations'!IJ205,'Calculations'!$HE$13:$HE$512,0)),IFERROR(INDEX('Calculations'!$HJ$13:$HJ$512,MATCH('Calculations'!IJ205,'Calculations'!$HF$13:$HF$512,0)),'Calculations'!IJ205))))</x:f>
      </x:c>
      <x:c r="EP205" s="4" t="n">
        <x:f>IF(AND('Calculations'!EM205&lt;&gt;"",'Calculations'!HF205='Calculations'!IJ205),1,0)</x:f>
        <x:v>0</x:v>
      </x:c>
      <x:c r="EQ205" s="4"/>
      <x:c r="ER205" s="4"/>
      <x:c r="ES205" s="4"/>
      <x:c r="ET205" s="4"/>
      <x:c r="EU205" s="4"/>
      <x:c r="EV205" s="4"/>
      <x:c r="EW205" s="4"/>
      <x:c r="EX205" s="4"/>
      <x:c r="EY205" s="4"/>
      <x:c r="EZ205" s="4"/>
      <x:c r="FA205" s="4"/>
      <x:c r="FB205" s="4"/>
      <x:c r="FC205" s="4"/>
      <x:c r="FD205" s="4"/>
      <x:c r="FE205" s="4"/>
      <x:c r="FF205" s="4"/>
      <x:c r="FG205" s="4"/>
      <x:c r="FH205" s="4"/>
      <x:c r="FI205" s="4"/>
      <x:c r="FJ205" s="4"/>
      <x:c r="FK205" s="4"/>
      <x:c r="FL205" s="4"/>
      <x:c r="FM205" s="4"/>
      <x:c r="FN205" s="4"/>
      <x:c r="FO205" s="4"/>
      <x:c r="HE205" t="str">
        <x:f>IF('Calculations'!EM205="","",IF(IFERROR(IF(INDEX(INDIRECT("'WCM Calibration Final'!$A$1:$A$2000"),'Calculations'!$EM205)="","",TRIM(INDEX(INDIRECT("'WCM Calibration Final'!$A$1:$A$2000"),'Calculations'!$EM205)&amp;"")),"")&lt;&gt;"","G:"&amp;IFERROR(TEXT(1*INDEX(INDIRECT("'WCM Calibration Final'!$A$1:$A$2000"),'Calculations'!$EM205),"0"),UPPER(IFERROR(IF(INDEX(INDIRECT("'WCM Calibration Final'!$A$1:$A$2000"),'Calculations'!$EM205)="","",TRIM(INDEX(INDIRECT("'WCM Calibration Final'!$A$1:$A$2000"),'Calculations'!$EM205)&amp;"")),""))),IF(IFERROR(IF(INDEX(INDIRECT("'WCM Calibration Final'!$C$1:$C$2000"),'Calculations'!$EM205)="","",TRIM(INDEX(INDIRECT("'WCM Calibration Final'!$C$1:$C$2000"),'Calculations'!$EM205)&amp;"")),"")&lt;&gt;"","S:"&amp;UPPER(IFERROR(IF(INDEX(INDIRECT("'WCM Calibration Final'!$C$1:$C$2000"),'Calculations'!$EM205)="","",TRIM(INDEX(INDIRECT("'WCM Calibration Final'!$C$1:$C$2000"),'Calculations'!$EM205)&amp;"")),"")),"R:"&amp;'Calculations'!EM205)))</x:f>
      </x:c>
      <x:c r="HF205" t="str">
        <x:f>IF('Calculations'!EM205="","",IF(IFERROR(IF(INDEX(INDIRECT("'WCM Calibration Final'!$D$1:$D$2000"),'Calculations'!$EM205)="","",TRIM(INDEX(INDIRECT("'WCM Calibration Final'!$D$1:$D$2000"),'Calculations'!$EM205)&amp;"")),"")&lt;&gt;"","G:"&amp;IFERROR(TEXT(1*INDEX(INDIRECT("'WCM Calibration Final'!$D$1:$D$2000"),'Calculations'!$EM205),"0"),UPPER(IFERROR(IF(INDEX(INDIRECT("'WCM Calibration Final'!$D$1:$D$2000"),'Calculations'!$EM205)="","",TRIM(INDEX(INDIRECT("'WCM Calibration Final'!$D$1:$D$2000"),'Calculations'!$EM205)&amp;"")),""))),IF(IFERROR(IF(INDEX(INDIRECT("'WCM Calibration Final'!$E$1:$E$2000"),'Calculations'!$EM205)="","",TRIM(INDEX(INDIRECT("'WCM Calibration Final'!$E$1:$E$2000"),'Calculations'!$EM205)&amp;"")),"")="","",IF(COUNTIF('Calculations'!$HG$13:$HG$512,"="&amp;SUBSTITUTE(SUBSTITUTE(SUBSTITUTE(IFERROR(IF(INDEX(INDIRECT("'WCM Calibration Final'!$E$1:$E$2000"),'Calculations'!$EM205)="","",TRIM(INDEX(INDIRECT("'WCM Calibration Final'!$E$1:$E$2000"),'Calculations'!$EM205)&amp;"")),""),"~","~~"),"*","~*"),"?","~?"))=1,INDEX('Calculations'!$HE$13:$HE$512,MATCH(IFERROR(IF(INDEX(INDIRECT("'WCM Calibration Final'!$E$1:$E$2000"),'Calculations'!$EM205)="","",TRIM(INDEX(INDIRECT("'WCM Calibration Final'!$E$1:$E$2000"),'Calculations'!$EM205)&amp;"")),""),'Calculations'!$HG$13:$HG$512,0)),IF(COUNTIF('Calculations'!$HG$13:$HG$512,"="&amp;SUBSTITUTE(SUBSTITUTE(SUBSTITUTE(IFERROR(IF(INDEX(INDIRECT("'WCM Calibration Final'!$E$1:$E$2000"),'Calculations'!$EM205)="","",TRIM(INDEX(INDIRECT("'WCM Calibration Final'!$E$1:$E$2000"),'Calculations'!$EM205)&amp;"")),""),"~","~~"),"*","~*"),"?","~?"))&gt;1,"!AMBIG","X:"&amp;IFERROR(IF(INDEX(INDIRECT("'WCM Calibration Final'!$E$1:$E$2000"),'Calculations'!$EM205)="","",TRIM(INDEX(INDIRECT("'WCM Calibration Final'!$E$1:$E$2000"),'Calculations'!$EM205)&amp;"")),""))))))</x:f>
      </x:c>
      <x:c r="HG205" t="str">
        <x:f>IF('Calculations'!EM205="","",IFERROR(IF(INDEX(INDIRECT("'WCM Calibration Final'!$B$1:$B$2000"),'Calculations'!$EM205)="","",TRIM(INDEX(INDIRECT("'WCM Calibration Final'!$B$1:$B$2000"),'Calculations'!$EM205)&amp;"")),""))</x:f>
      </x:c>
      <x:c r="HH205" t="n">
        <x:f>IF(AND('Calculations'!JC205&gt;0,COUNTIF('Calculations'!$HF$12:HF205,"="&amp;SUBSTITUTE(SUBSTITUTE(SUBSTITUTE('Calculations'!HF205,"~","~~"),"*","~*"),"?","~?"))=1),MAX('Calculations'!$HH$12:HH204)+1,0)</x:f>
        <x:v>0</x:v>
      </x:c>
      <x:c r="HI205" t="n">
        <x:f>IF(AND('Calculations'!HN205&lt;&gt;"",COUNTIF('Calculations'!$HN$12:HN205,"="&amp;SUBSTITUTE(SUBSTITUTE(SUBSTITUTE('Calculations'!HN205,"~","~~"),"*","~*"),"?","~?"))=1),MAX('Calculations'!$HI$12:HI204)+1,0)</x:f>
        <x:v>0</x:v>
      </x:c>
      <x:c r="HJ205" t="str">
        <x:f>IF('Calculations'!HF205="","",IF(COUNTIF('Calculations'!$HE$13:$HE$512,"="&amp;SUBSTITUTE(SUBSTITUTE(SUBSTITUTE('Calculations'!HF205,"~","~~"),"*","~*"),"?","~?"))=1,INDEX('Calculations'!$HK$13:$HK$512,MATCH('Calculations'!HF205,'Calculations'!$HE$13:$HE$512,0)),IFERROR(IF(INDEX(INDIRECT("'WCM Calibration Final'!$E$1:$E$2000"),'Calculations'!$EM205)="","",TRIM(INDEX(INDIRECT("'WCM Calibration Final'!$E$1:$E$2000"),'Calculations'!$EM205)&amp;"")),"")&amp;" ["&amp;'Calculations'!HF205&amp;"]"))</x:f>
      </x:c>
      <x:c r="HK205" t="str">
        <x:f>IF('Calculations'!EM205="","",'Calculations'!HG205&amp;" ["&amp;'Calculations'!HE205&amp;"]")</x:f>
      </x:c>
      <x:c r="HL205" t="n">
        <x:f>IF('Calculations'!EM205="",0,IF(OR('Calculations'!II205&lt;&gt;"",COUNTIF('Calculations'!$HE$13:$HE$512,"="&amp;SUBSTITUTE(SUBSTITUTE(SUBSTITUTE('Calculations'!HE205,"~","~~"),"*","~*"),"?","~?"))&gt;1),1,0))</x:f>
        <x:v>0</x:v>
      </x:c>
      <x:c r="HM205" t="str">
        <x:f>IF('Calculations'!EM205="","",IF('Calculations'!HL205=1,"!UNRESOLVED",IF('Calculations'!IH205&lt;&gt;"",'Calculations'!IH205,IF('Calculations'!IG205&lt;&gt;"",'Calculations'!IG205,IF('Calculations'!IF205&lt;&gt;"",'Calculations'!IF205,IF('Calculations'!IE205&lt;&gt;"",'Calculations'!IE205,IF('Calculations'!ID205&lt;&gt;"",'Calculations'!ID205,IF('Calculations'!IC205&lt;&gt;"",'Calculations'!IC205,IF('Calculations'!IB205&lt;&gt;"",'Calculations'!IB205,IF('Calculations'!IA205&lt;&gt;"",'Calculations'!IA205,IF('Calculations'!HZ205&lt;&gt;"",'Calculations'!HZ205,IF('Calculations'!HY205&lt;&gt;"",'Calculations'!HY205,IF('Calculations'!HX205&lt;&gt;"",'Calculations'!HX205,IF('Calculations'!HW205&lt;&gt;"",'Calculations'!HW205,IF('Calculations'!HV205&lt;&gt;"",'Calculations'!HV205,IF('Calculations'!HU205&lt;&gt;"",'Calculations'!HU205,IF('Calculations'!HT205&lt;&gt;"",'Calculations'!HT205,IF('Calculations'!HS205&lt;&gt;"",'Calculations'!HS205,IF('Calculations'!HR205&lt;&gt;"",'Calculations'!HR205,IF('Calculations'!HQ205&lt;&gt;"",'Calculations'!HQ205,IF('Calculations'!HP205&lt;&gt;"",'Calculations'!HP205,IF('Calculations'!HO205&lt;&gt;"",'Calculations'!HO205,'Calculations'!HE205))))))))))))))))))))))</x:f>
      </x:c>
      <x:c r="HN205" t="str">
        <x:f>IF('Calculations'!EM205="","",IF(IFERROR(IF(INDEX(INDIRECT("'WCM Calibration Final'!$F$1:$F$2000"),'Calculations'!$EM205)="","",TRIM(INDEX(INDIRECT("'WCM Calibration Final'!$F$1:$F$2000"),'Calculations'!$EM205)&amp;"")),"")="","(Blank)",IFERROR(IF(INDEX(INDIRECT("'WCM Calibration Final'!$F$1:$F$2000"),'Calculations'!$EM205)="","",TRIM(INDEX(INDIRECT("'WCM Calibration Final'!$F$1:$F$2000"),'Calculations'!$EM205)&amp;"")),"")))</x:f>
      </x:c>
      <x:c r="HO205" t="str">
        <x:f>'Calculations'!HF205</x:f>
      </x:c>
      <x:c r="HP205" t="str">
        <x:f>IF('Calculations'!HO205="","",IF('Calculations'!HO205="!AMBIG","!AMBIG",IF(COUNTIF('Calculations'!$HE$13:$HE$512,"="&amp;SUBSTITUTE(SUBSTITUTE(SUBSTITUTE('Calculations'!HO205,"~","~~"),"*","~*"),"?","~?"))&gt;1,"!AMBIG",IFERROR(INDEX('Calculations'!$HF$13:$HF$512,MATCH('Calculations'!HO205,'Calculations'!$HE$13:$HE$512,0)),""))))</x:f>
      </x:c>
      <x:c r="HQ205" t="str">
        <x:f>IF('Calculations'!HP205="","",IF('Calculations'!HP205="!AMBIG","!AMBIG",IF(COUNTIF('Calculations'!$HE$13:$HE$512,"="&amp;SUBSTITUTE(SUBSTITUTE(SUBSTITUTE('Calculations'!HP205,"~","~~"),"*","~*"),"?","~?"))&gt;1,"!AMBIG",IFERROR(INDEX('Calculations'!$HF$13:$HF$512,MATCH('Calculations'!HP205,'Calculations'!$HE$13:$HE$512,0)),""))))</x:f>
      </x:c>
      <x:c r="HR205" t="str">
        <x:f>IF('Calculations'!HQ205="","",IF('Calculations'!HQ205="!AMBIG","!AMBIG",IF(COUNTIF('Calculations'!$HE$13:$HE$512,"="&amp;SUBSTITUTE(SUBSTITUTE(SUBSTITUTE('Calculations'!HQ205,"~","~~"),"*","~*"),"?","~?"))&gt;1,"!AMBIG",IFERROR(INDEX('Calculations'!$HF$13:$HF$512,MATCH('Calculations'!HQ205,'Calculations'!$HE$13:$HE$512,0)),""))))</x:f>
      </x:c>
      <x:c r="HS205" t="str">
        <x:f>IF('Calculations'!HR205="","",IF('Calculations'!HR205="!AMBIG","!AMBIG",IF(COUNTIF('Calculations'!$HE$13:$HE$512,"="&amp;SUBSTITUTE(SUBSTITUTE(SUBSTITUTE('Calculations'!HR205,"~","~~"),"*","~*"),"?","~?"))&gt;1,"!AMBIG",IFERROR(INDEX('Calculations'!$HF$13:$HF$512,MATCH('Calculations'!HR205,'Calculations'!$HE$13:$HE$512,0)),""))))</x:f>
      </x:c>
      <x:c r="HT205" t="str">
        <x:f>IF('Calculations'!HS205="","",IF('Calculations'!HS205="!AMBIG","!AMBIG",IF(COUNTIF('Calculations'!$HE$13:$HE$512,"="&amp;SUBSTITUTE(SUBSTITUTE(SUBSTITUTE('Calculations'!HS205,"~","~~"),"*","~*"),"?","~?"))&gt;1,"!AMBIG",IFERROR(INDEX('Calculations'!$HF$13:$HF$512,MATCH('Calculations'!HS205,'Calculations'!$HE$13:$HE$512,0)),""))))</x:f>
      </x:c>
      <x:c r="HU205" t="str">
        <x:f>IF('Calculations'!HT205="","",IF('Calculations'!HT205="!AMBIG","!AMBIG",IF(COUNTIF('Calculations'!$HE$13:$HE$512,"="&amp;SUBSTITUTE(SUBSTITUTE(SUBSTITUTE('Calculations'!HT205,"~","~~"),"*","~*"),"?","~?"))&gt;1,"!AMBIG",IFERROR(INDEX('Calculations'!$HF$13:$HF$512,MATCH('Calculations'!HT205,'Calculations'!$HE$13:$HE$512,0)),""))))</x:f>
      </x:c>
      <x:c r="HV205" t="str">
        <x:f>IF('Calculations'!HU205="","",IF('Calculations'!HU205="!AMBIG","!AMBIG",IF(COUNTIF('Calculations'!$HE$13:$HE$512,"="&amp;SUBSTITUTE(SUBSTITUTE(SUBSTITUTE('Calculations'!HU205,"~","~~"),"*","~*"),"?","~?"))&gt;1,"!AMBIG",IFERROR(INDEX('Calculations'!$HF$13:$HF$512,MATCH('Calculations'!HU205,'Calculations'!$HE$13:$HE$512,0)),""))))</x:f>
      </x:c>
      <x:c r="HW205" t="str">
        <x:f>IF('Calculations'!HV205="","",IF('Calculations'!HV205="!AMBIG","!AMBIG",IF(COUNTIF('Calculations'!$HE$13:$HE$512,"="&amp;SUBSTITUTE(SUBSTITUTE(SUBSTITUTE('Calculations'!HV205,"~","~~"),"*","~*"),"?","~?"))&gt;1,"!AMBIG",IFERROR(INDEX('Calculations'!$HF$13:$HF$512,MATCH('Calculations'!HV205,'Calculations'!$HE$13:$HE$512,0)),""))))</x:f>
      </x:c>
      <x:c r="HX205" t="str">
        <x:f>IF('Calculations'!HW205="","",IF('Calculations'!HW205="!AMBIG","!AMBIG",IF(COUNTIF('Calculations'!$HE$13:$HE$512,"="&amp;SUBSTITUTE(SUBSTITUTE(SUBSTITUTE('Calculations'!HW205,"~","~~"),"*","~*"),"?","~?"))&gt;1,"!AMBIG",IFERROR(INDEX('Calculations'!$HF$13:$HF$512,MATCH('Calculations'!HW205,'Calculations'!$HE$13:$HE$512,0)),""))))</x:f>
      </x:c>
      <x:c r="HY205" t="str">
        <x:f>IF('Calculations'!HX205="","",IF('Calculations'!HX205="!AMBIG","!AMBIG",IF(COUNTIF('Calculations'!$HE$13:$HE$512,"="&amp;SUBSTITUTE(SUBSTITUTE(SUBSTITUTE('Calculations'!HX205,"~","~~"),"*","~*"),"?","~?"))&gt;1,"!AMBIG",IFERROR(INDEX('Calculations'!$HF$13:$HF$512,MATCH('Calculations'!HX205,'Calculations'!$HE$13:$HE$512,0)),""))))</x:f>
      </x:c>
      <x:c r="HZ205" t="str">
        <x:f>IF('Calculations'!HY205="","",IF('Calculations'!HY205="!AMBIG","!AMBIG",IF(COUNTIF('Calculations'!$HE$13:$HE$512,"="&amp;SUBSTITUTE(SUBSTITUTE(SUBSTITUTE('Calculations'!HY205,"~","~~"),"*","~*"),"?","~?"))&gt;1,"!AMBIG",IFERROR(INDEX('Calculations'!$HF$13:$HF$512,MATCH('Calculations'!HY205,'Calculations'!$HE$13:$HE$512,0)),""))))</x:f>
      </x:c>
      <x:c r="IA205" t="str">
        <x:f>IF('Calculations'!HZ205="","",IF('Calculations'!HZ205="!AMBIG","!AMBIG",IF(COUNTIF('Calculations'!$HE$13:$HE$512,"="&amp;SUBSTITUTE(SUBSTITUTE(SUBSTITUTE('Calculations'!HZ205,"~","~~"),"*","~*"),"?","~?"))&gt;1,"!AMBIG",IFERROR(INDEX('Calculations'!$HF$13:$HF$512,MATCH('Calculations'!HZ205,'Calculations'!$HE$13:$HE$512,0)),""))))</x:f>
      </x:c>
      <x:c r="IB205" t="str">
        <x:f>IF('Calculations'!IA205="","",IF('Calculations'!IA205="!AMBIG","!AMBIG",IF(COUNTIF('Calculations'!$HE$13:$HE$512,"="&amp;SUBSTITUTE(SUBSTITUTE(SUBSTITUTE('Calculations'!IA205,"~","~~"),"*","~*"),"?","~?"))&gt;1,"!AMBIG",IFERROR(INDEX('Calculations'!$HF$13:$HF$512,MATCH('Calculations'!IA205,'Calculations'!$HE$13:$HE$512,0)),""))))</x:f>
      </x:c>
      <x:c r="IC205" t="str">
        <x:f>IF('Calculations'!IB205="","",IF('Calculations'!IB205="!AMBIG","!AMBIG",IF(COUNTIF('Calculations'!$HE$13:$HE$512,"="&amp;SUBSTITUTE(SUBSTITUTE(SUBSTITUTE('Calculations'!IB205,"~","~~"),"*","~*"),"?","~?"))&gt;1,"!AMBIG",IFERROR(INDEX('Calculations'!$HF$13:$HF$512,MATCH('Calculations'!IB205,'Calculations'!$HE$13:$HE$512,0)),""))))</x:f>
      </x:c>
      <x:c r="ID205" t="str">
        <x:f>IF('Calculations'!IC205="","",IF('Calculations'!IC205="!AMBIG","!AMBIG",IF(COUNTIF('Calculations'!$HE$13:$HE$512,"="&amp;SUBSTITUTE(SUBSTITUTE(SUBSTITUTE('Calculations'!IC205,"~","~~"),"*","~*"),"?","~?"))&gt;1,"!AMBIG",IFERROR(INDEX('Calculations'!$HF$13:$HF$512,MATCH('Calculations'!IC205,'Calculations'!$HE$13:$HE$512,0)),""))))</x:f>
      </x:c>
      <x:c r="IE205" t="str">
        <x:f>IF('Calculations'!ID205="","",IF('Calculations'!ID205="!AMBIG","!AMBIG",IF(COUNTIF('Calculations'!$HE$13:$HE$512,"="&amp;SUBSTITUTE(SUBSTITUTE(SUBSTITUTE('Calculations'!ID205,"~","~~"),"*","~*"),"?","~?"))&gt;1,"!AMBIG",IFERROR(INDEX('Calculations'!$HF$13:$HF$512,MATCH('Calculations'!ID205,'Calculations'!$HE$13:$HE$512,0)),""))))</x:f>
      </x:c>
      <x:c r="IF205" t="str">
        <x:f>IF('Calculations'!IE205="","",IF('Calculations'!IE205="!AMBIG","!AMBIG",IF(COUNTIF('Calculations'!$HE$13:$HE$512,"="&amp;SUBSTITUTE(SUBSTITUTE(SUBSTITUTE('Calculations'!IE205,"~","~~"),"*","~*"),"?","~?"))&gt;1,"!AMBIG",IFERROR(INDEX('Calculations'!$HF$13:$HF$512,MATCH('Calculations'!IE205,'Calculations'!$HE$13:$HE$512,0)),""))))</x:f>
      </x:c>
      <x:c r="IG205" t="str">
        <x:f>IF('Calculations'!IF205="","",IF('Calculations'!IF205="!AMBIG","!AMBIG",IF(COUNTIF('Calculations'!$HE$13:$HE$512,"="&amp;SUBSTITUTE(SUBSTITUTE(SUBSTITUTE('Calculations'!IF205,"~","~~"),"*","~*"),"?","~?"))&gt;1,"!AMBIG",IFERROR(INDEX('Calculations'!$HF$13:$HF$512,MATCH('Calculations'!IF205,'Calculations'!$HE$13:$HE$512,0)),""))))</x:f>
      </x:c>
      <x:c r="IH205" t="str">
        <x:f>IF('Calculations'!IG205="","",IF('Calculations'!IG205="!AMBIG","!AMBIG",IF(COUNTIF('Calculations'!$HE$13:$HE$512,"="&amp;SUBSTITUTE(SUBSTITUTE(SUBSTITUTE('Calculations'!IG205,"~","~~"),"*","~*"),"?","~?"))&gt;1,"!AMBIG",IFERROR(INDEX('Calculations'!$HF$13:$HF$512,MATCH('Calculations'!IG205,'Calculations'!$HE$13:$HE$512,0)),""))))</x:f>
      </x:c>
      <x:c r="II205" t="str">
        <x:f>IF('Calculations'!IH205="","",IF('Calculations'!IH205="!AMBIG","!AMBIG",IF(COUNTIF('Calculations'!$HE$13:$HE$512,"="&amp;SUBSTITUTE(SUBSTITUTE(SUBSTITUTE('Calculations'!IH205,"~","~~"),"*","~*"),"?","~?"))&gt;1,"!AMBIG",IFERROR(INDEX('Calculations'!$HF$13:$HF$512,MATCH('Calculations'!IH205,'Calculations'!$HE$13:$HE$512,0)),""))))</x:f>
      </x:c>
      <x:c r="IJ205" t="str">
        <x:f>IF('Calculations'!EM205="","",IF('Calculations'!$EF$2="All",'Calculations'!HM205,IF('Calculations'!HL205=1,"",IFERROR(IF(MATCH('Calculations'!$EF$2,'Calculations'!HO205:II205,0)=1,'Calculations'!HE205,INDEX('Calculations'!HO205:II205,1,MATCH('Calculations'!$EF$2,'Calculations'!HO205:II205,0)-1)),""))))</x:f>
      </x:c>
      <x:c r="IK205" t="n">
        <x:f>IF(AND('Calculations'!EM205&lt;&gt;"",'Calculations'!$EF$2&lt;&gt;"All",'Calculations'!HF205='Calculations'!$EF$2,'Calculations'!HL205=0,'Calculations'!JD205&gt;0),MAX('Calculations'!$IK$12:IK204)+1,0)</x:f>
        <x:v>0</x:v>
      </x:c>
      <x:c r="JA205" t="n">
        <x:f>IF(OR(IFERROR(INDIRECT("'WCM Calibration Final'!$A$205")&lt;&gt;"",FALSE),IFERROR(INDIRECT("'WCM Calibration Final'!$B$205")&lt;&gt;"",FALSE),IFERROR(INDIRECT("'WCM Calibration Final'!$C$205")&lt;&gt;"",FALSE)),205,0)</x:f>
        <x:v>0</x:v>
      </x:c>
      <x:c r="JB205" t="n">
        <x:f>'Calculations'!JB204+IF('Calculations'!JA205&gt;0,1,0)</x:f>
        <x:v>0</x:v>
      </x:c>
      <x:c r="JC205" t="n">
        <x:f>IF(OR('Calculations'!HF205="",'Calculations'!HF205="!AMBIG"),0,IF('Dashboard'!$B$7="All",1,COUNTIFS('Calculations'!$HO$13:$HO$512,"="&amp;SUBSTITUTE(SUBSTITUTE(SUBSTITUTE('Calculations'!HF205,"~","~~"),"*","~*"),"?","~?"),'Calculations'!$HN$13:$HN$512,"="&amp;SUBSTITUTE(SUBSTITUTE(SUBSTITUTE('Dashboard'!$B$7,"~","~~"),"*","~*"),"?","~?"))+COUNTIFS('Calculations'!$HP$13:$HP$512,"="&amp;SUBSTITUTE(SUBSTITUTE(SUBSTITUTE('Calculations'!HF205,"~","~~"),"*","~*"),"?","~?"),'Calculations'!$HN$13:$HN$512,"="&amp;SUBSTITUTE(SUBSTITUTE(SUBSTITUTE('Dashboard'!$B$7,"~","~~"),"*","~*"),"?","~?"))+COUNTIFS('Calculations'!$HQ$13:$HQ$512,"="&amp;SUBSTITUTE(SUBSTITUTE(SUBSTITUTE('Calculations'!HF205,"~","~~"),"*","~*"),"?","~?"),'Calculations'!$HN$13:$HN$512,"="&amp;SUBSTITUTE(SUBSTITUTE(SUBSTITUTE('Dashboard'!$B$7,"~","~~"),"*","~*"),"?","~?"))+COUNTIFS('Calculations'!$HR$13:$HR$512,"="&amp;SUBSTITUTE(SUBSTITUTE(SUBSTITUTE('Calculations'!HF205,"~","~~"),"*","~*"),"?","~?"),'Calculations'!$HN$13:$HN$512,"="&amp;SUBSTITUTE(SUBSTITUTE(SUBSTITUTE('Dashboard'!$B$7,"~","~~"),"*","~*"),"?","~?"))+COUNTIFS('Calculations'!$HS$13:$HS$512,"="&amp;SUBSTITUTE(SUBSTITUTE(SUBSTITUTE('Calculations'!HF205,"~","~~"),"*","~*"),"?","~?"),'Calculations'!$HN$13:$HN$512,"="&amp;SUBSTITUTE(SUBSTITUTE(SUBSTITUTE('Dashboard'!$B$7,"~","~~"),"*","~*"),"?","~?"))+COUNTIFS('Calculations'!$HT$13:$HT$512,"="&amp;SUBSTITUTE(SUBSTITUTE(SUBSTITUTE('Calculations'!HF205,"~","~~"),"*","~*"),"?","~?"),'Calculations'!$HN$13:$HN$512,"="&amp;SUBSTITUTE(SUBSTITUTE(SUBSTITUTE('Dashboard'!$B$7,"~","~~"),"*","~*"),"?","~?"))+COUNTIFS('Calculations'!$HU$13:$HU$512,"="&amp;SUBSTITUTE(SUBSTITUTE(SUBSTITUTE('Calculations'!HF205,"~","~~"),"*","~*"),"?","~?"),'Calculations'!$HN$13:$HN$512,"="&amp;SUBSTITUTE(SUBSTITUTE(SUBSTITUTE('Dashboard'!$B$7,"~","~~"),"*","~*"),"?","~?"))+COUNTIFS('Calculations'!$HV$13:$HV$512,"="&amp;SUBSTITUTE(SUBSTITUTE(SUBSTITUTE('Calculations'!HF205,"~","~~"),"*","~*"),"?","~?"),'Calculations'!$HN$13:$HN$512,"="&amp;SUBSTITUTE(SUBSTITUTE(SUBSTITUTE('Dashboard'!$B$7,"~","~~"),"*","~*"),"?","~?"))+COUNTIFS('Calculations'!$HW$13:$HW$512,"="&amp;SUBSTITUTE(SUBSTITUTE(SUBSTITUTE('Calculations'!HF205,"~","~~"),"*","~*"),"?","~?"),'Calculations'!$HN$13:$HN$512,"="&amp;SUBSTITUTE(SUBSTITUTE(SUBSTITUTE('Dashboard'!$B$7,"~","~~"),"*","~*"),"?","~?"))+COUNTIFS('Calculations'!$HX$13:$HX$512,"="&amp;SUBSTITUTE(SUBSTITUTE(SUBSTITUTE('Calculations'!HF205,"~","~~"),"*","~*"),"?","~?"),'Calculations'!$HN$13:$HN$512,"="&amp;SUBSTITUTE(SUBSTITUTE(SUBSTITUTE('Dashboard'!$B$7,"~","~~"),"*","~*"),"?","~?"))+COUNTIFS('Calculations'!$HY$13:$HY$512,"="&amp;SUBSTITUTE(SUBSTITUTE(SUBSTITUTE('Calculations'!HF205,"~","~~"),"*","~*"),"?","~?"),'Calculations'!$HN$13:$HN$512,"="&amp;SUBSTITUTE(SUBSTITUTE(SUBSTITUTE('Dashboard'!$B$7,"~","~~"),"*","~*"),"?","~?"))+COUNTIFS('Calculations'!$HZ$13:$HZ$512,"="&amp;SUBSTITUTE(SUBSTITUTE(SUBSTITUTE('Calculations'!HF205,"~","~~"),"*","~*"),"?","~?"),'Calculations'!$HN$13:$HN$512,"="&amp;SUBSTITUTE(SUBSTITUTE(SUBSTITUTE('Dashboard'!$B$7,"~","~~"),"*","~*"),"?","~?"))+COUNTIFS('Calculations'!$IA$13:$IA$512,"="&amp;SUBSTITUTE(SUBSTITUTE(SUBSTITUTE('Calculations'!HF205,"~","~~"),"*","~*"),"?","~?"),'Calculations'!$HN$13:$HN$512,"="&amp;SUBSTITUTE(SUBSTITUTE(SUBSTITUTE('Dashboard'!$B$7,"~","~~"),"*","~*"),"?","~?"))+COUNTIFS('Calculations'!$IB$13:$IB$512,"="&amp;SUBSTITUTE(SUBSTITUTE(SUBSTITUTE('Calculations'!HF205,"~","~~"),"*","~*"),"?","~?"),'Calculations'!$HN$13:$HN$512,"="&amp;SUBSTITUTE(SUBSTITUTE(SUBSTITUTE('Dashboard'!$B$7,"~","~~"),"*","~*"),"?","~?"))+COUNTIFS('Calculations'!$IC$13:$IC$512,"="&amp;SUBSTITUTE(SUBSTITUTE(SUBSTITUTE('Calculations'!HF205,"~","~~"),"*","~*"),"?","~?"),'Calculations'!$HN$13:$HN$512,"="&amp;SUBSTITUTE(SUBSTITUTE(SUBSTITUTE('Dashboard'!$B$7,"~","~~"),"*","~*"),"?","~?"))+COUNTIFS('Calculations'!$ID$13:$ID$512,"="&amp;SUBSTITUTE(SUBSTITUTE(SUBSTITUTE('Calculations'!HF205,"~","~~"),"*","~*"),"?","~?"),'Calculations'!$HN$13:$HN$512,"="&amp;SUBSTITUTE(SUBSTITUTE(SUBSTITUTE('Dashboard'!$B$7,"~","~~"),"*","~*"),"?","~?"))+COUNTIFS('Calculations'!$IE$13:$IE$512,"="&amp;SUBSTITUTE(SUBSTITUTE(SUBSTITUTE('Calculations'!HF205,"~","~~"),"*","~*"),"?","~?"),'Calculations'!$HN$13:$HN$512,"="&amp;SUBSTITUTE(SUBSTITUTE(SUBSTITUTE('Dashboard'!$B$7,"~","~~"),"*","~*"),"?","~?"))+COUNTIFS('Calculations'!$IF$13:$IF$512,"="&amp;SUBSTITUTE(SUBSTITUTE(SUBSTITUTE('Calculations'!HF205,"~","~~"),"*","~*"),"?","~?"),'Calculations'!$HN$13:$HN$512,"="&amp;SUBSTITUTE(SUBSTITUTE(SUBSTITUTE('Dashboard'!$B$7,"~","~~"),"*","~*"),"?","~?"))+COUNTIFS('Calculations'!$IG$13:$IG$512,"="&amp;SUBSTITUTE(SUBSTITUTE(SUBSTITUTE('Calculations'!HF205,"~","~~"),"*","~*"),"?","~?"),'Calculations'!$HN$13:$HN$512,"="&amp;SUBSTITUTE(SUBSTITUTE(SUBSTITUTE('Dashboard'!$B$7,"~","~~"),"*","~*"),"?","~?"))+COUNTIFS('Calculations'!$IH$13:$IH$512,"="&amp;SUBSTITUTE(SUBSTITUTE(SUBSTITUTE('Calculations'!HF205,"~","~~"),"*","~*"),"?","~?"),'Calculations'!$HN$13:$HN$512,"="&amp;SUBSTITUTE(SUBSTITUTE(SUBSTITUTE('Dashboard'!$B$7,"~","~~"),"*","~*"),"?","~?"))))</x:f>
        <x:v>0</x:v>
      </x:c>
      <x:c r="JD205" t="n">
        <x:f>IF('Calculations'!EM205="",0,IF('Dashboard'!$B$7="All",1,IF('Calculations'!HN205='Dashboard'!$B$7,1,0)+IFERROR(INDEX('Calculations'!$JC$13:$JC$512,MATCH('Calculations'!HE205,'Calculations'!$HF$13:$HF$512,0)),0)))</x:f>
        <x:v>0</x:v>
      </x:c>
      <x:c r="JE205" t="n">
        <x:f>IF(AND('Calculations'!EM205&lt;&gt;"",'Calculations'!$JJ$2&lt;&gt;"All",'Calculations'!$JJ$2&lt;&gt;"",'Calculations'!HF205='Calculations'!$JJ$2,'Calculations'!HL205=0,'Calculations'!JD205&gt;0),MAX('Calculations'!$JE$12:JE204)+1,0)</x:f>
        <x:v>0</x:v>
      </x:c>
      <x:c r="JF205" t="str">
        <x:f>IF('Calculations'!EM205="","",IFERROR(IF(INDEX(INDIRECT("'WCM Calibration Final'!$G$1:$G$2000"),'Calculations'!$EM205)="","",TRIM(INDEX(INDIRECT("'WCM Calibration Final'!$G$1:$G$2000"),'Calculations'!$EM205)&amp;"")),""))</x:f>
      </x:c>
      <x:c r="JQ205" t="n">
        <x:f>IF(OR('Calculations'!BM205=0,NOT('Calculations'!$AG$2),'Calculations'!$AG$8&gt;0),0,IF(OR('Dashboard'!$B$7="All",'Calculations'!HN205='Dashboard'!$B$7),IF('Calculations'!$JJ$2="All",1,IF(AND('Calculations'!HF205='Calculations'!$JJ$2,'Calculations'!HL205=0),1,0)),0))</x:f>
        <x:v>0</x:v>
      </x:c>
    </x:row>
    <x:row r="206">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t="n">
        <x:f>IF('Calculations'!$EM206="",0,IF(OR(IFERROR(INDEX(INDIRECT("'WCM Calibration Final'!$A$1:$A$2000"),'Calculations'!$EM206)&lt;&gt;"",FALSE),IFERROR(INDEX(INDIRECT("'WCM Calibration Final'!$B$1:$B$2000"),'Calculations'!$EM206)&lt;&gt;"",FALSE),IFERROR(INDEX(INDIRECT("'WCM Calibration Final'!$C$1:$C$2000"),'Calculations'!$EM206)&lt;&gt;"",FALSE)),1,0))</x:f>
        <x:v>0</x:v>
      </x:c>
      <x:c r="BN206" s="4" t="n">
        <x:f>IF(AND('Calculations'!BM206=1,'Calculations'!$AG$2,'Calculations'!$EN206=1),1,0)</x:f>
        <x:v>0</x:v>
      </x:c>
      <x:c r="BO206" s="4" t="str">
        <x:f>IF('Calculations'!BM206=0,"",IFERROR(IF(AND(VALUE(INDEX(INDIRECT("'WCM Calibration Final'!$K$1:$K$2000"),'Calculations'!$EM206))&gt;=1,VALUE(INDEX(INDIRECT("'WCM Calibration Final'!$K$1:$K$2000"),'Calculations'!$EM206))&lt;=4,MOD(VALUE(INDEX(INDIRECT("'WCM Calibration Final'!$K$1:$K$2000"),'Calculations'!$EM206)),1)=0),VALUE(INDEX(INDIRECT("'WCM Calibration Final'!$K$1:$K$2000"),'Calculations'!$EM206)),""),""))</x:f>
      </x:c>
      <x:c r="BP206" s="4" t="str">
        <x:f>IF('Calculations'!BM206=0,"",IFERROR(IF(AND(VALUE(INDEX(INDIRECT("'WCM Calibration Final'!$L$1:$L$2000"),'Calculations'!$EM206))&gt;=1,VALUE(INDEX(INDIRECT("'WCM Calibration Final'!$L$1:$L$2000"),'Calculations'!$EM206))&lt;=4,MOD(VALUE(INDEX(INDIRECT("'WCM Calibration Final'!$L$1:$L$2000"),'Calculations'!$EM206)),1)=0),VALUE(INDEX(INDIRECT("'WCM Calibration Final'!$L$1:$L$2000"),'Calculations'!$EM206)),""),""))</x:f>
      </x:c>
      <x:c r="BQ206" s="4"/>
      <x:c r="BR206" s="4"/>
      <x:c r="BS206" s="4"/>
      <x:c r="BT206" s="4" t="n">
        <x:f>IF(AND('Calculations'!BM206=1,ISNUMBER('Calculations'!BO206),ISNUMBER('Calculations'!BP206)),1,0)</x:f>
        <x:v>0</x:v>
      </x:c>
      <x:c r="BU206" s="4" t="str">
        <x:f>IF('Calculations'!BM206=0,"",'Calculations'!$EO206)</x:f>
      </x:c>
      <x:c r="BV206" s="4" t="str">
        <x:f>IF('Calculations'!BM206=0,"",IFERROR(IF(OR(INDEX(INDIRECT("'WCM Calibration Final'!$H$1:$H$2000"),'Calculations'!$EM206)="MANAGING DIRECTOR",INDEX(INDIRECT("'WCM Calibration Final'!$H$1:$H$2000"),'Calculations'!$EM206)="DIRECTOR",INDEX(INDIRECT("'WCM Calibration Final'!$H$1:$H$2000"),'Calculations'!$EM206)="SENIOR VICE PRESIDENT",INDEX(INDIRECT("'WCM Calibration Final'!$H$1:$H$2000"),'Calculations'!$EM206)="VICE PRESIDENT",INDEX(INDIRECT("'WCM Calibration Final'!$H$1:$H$2000"),'Calculations'!$EM206)="ASSISTANT VICE PRESIDENT",INDEX(INDIRECT("'WCM Calibration Final'!$H$1:$H$2000"),'Calculations'!$EM206)="OFFICER"),UPPER(INDEX(INDIRECT("'WCM Calibration Final'!$H$1:$H$2000"),'Calculations'!$EM206)),"Other"),"Other"))</x:f>
      </x:c>
      <x:c r="BW206" s="4"/>
      <x:c r="BX206" s="4"/>
      <x:c r="BY206" s="4" t="n">
        <x:f>IF(AND('Calculations'!BM206=1,'Calculations'!BU206&lt;&gt;"",COUNTIF('Calculations'!$BU$12:BU206,'Calculations'!BU206)=1),MAX('Calculations'!$BY$11:BY205)+1,0)</x:f>
        <x:v>0</x:v>
      </x:c>
      <x:c r="BZ206" s="4" t="str">
        <x:f>IF('Dashboard'!$E$67="What",'Calculations'!BO206,'Calculations'!BP206)</x:f>
      </x:c>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t="str">
        <x:f>IF(195&gt;MAX('Calculations'!$HI$13:$HI$512),"",INDEX('Calculations'!$HN$13:$HN$512,MATCH(195,'Calculations'!$HI$13:$HI$512,0)))</x:f>
      </x:c>
      <x:c r="DB206" s="4" t="str">
        <x:f>IF(195&gt;MAX('Calculations'!$HH$13:$HH$512),"",INDEX('Calculations'!$HJ$13:$HJ$512,MATCH(195,'Calculations'!$HH$13:$HH$512,0)))</x:f>
      </x:c>
      <x:c r="DC206" s="4" t="str">
        <x:f>IF(ROW()-11&gt;MAX('Calculations'!$BY$13:$BY$512),"",INDEX('Calculations'!$BU$13:$BU$512,MATCH(ROW()-11,'Calculations'!$BY$13:$BY$512,0)))</x:f>
      </x:c>
      <x:c r="DD206" s="4" t="str">
        <x:f>IF(195&gt;MAX('Calculations'!$IK$13:$IK$512),"",INDEX('Calculations'!$HK$13:$HK$512,MATCH(195,'Calculations'!$IK$13:$IK$512,0)))</x:f>
      </x:c>
      <x:c r="DE206" s="4" t="str">
        <x:f>'Calculations'!DC206</x:f>
      </x:c>
      <x:c r="DF206" s="4" t="str">
        <x:f>IF('Calculations'!DE206="","",COUNTIFS('Calculations'!$BN$13:$BN$512,1,'Calculations'!$BU$13:$BU$512,'Calculations'!DE206))</x:f>
      </x:c>
      <x:c r="DG206" s="4" t="str">
        <x:f>IF('Calculations'!DE206="","",COUNTIFS('Calculations'!$BN$13:$BN$512,1,'Calculations'!$BU$13:$BU$512,'Calculations'!DE206,'Calculations'!$BT$13:$BT$512,1))</x:f>
      </x:c>
      <x:c r="DH206" s="4" t="str">
        <x:f>IF('Calculations'!DE206="","",'Calculations'!DF206-'Calculations'!DG206)</x:f>
      </x:c>
      <x:c r="DI206" s="4" t="str">
        <x:f>IF(OR('Calculations'!DE206="",'Calculations'!DF206=0),"",'Calculations'!DG206/'Calculations'!DF206)</x:f>
      </x:c>
      <x:c r="DJ206" s="4" t="str">
        <x:f>IF('Calculations'!DE206="","",COUNTIFS('Calculations'!$BN$13:$BN$512,1,'Calculations'!$BU$13:$BU$512,'Calculations'!DE206,'Calculations'!$BT$13:$BT$512,1,'Calculations'!$EE$13:$EE$512,"High"))</x:f>
      </x:c>
      <x:c r="DK206" s="4" t="str">
        <x:f>IF('Calculations'!DE206="","",COUNTIFS('Calculations'!$BN$13:$BN$512,1,'Calculations'!$BU$13:$BU$512,'Calculations'!DE206,'Calculations'!$BT$13:$BT$512,1,'Calculations'!$EE$13:$EE$512,"Strong"))</x:f>
      </x:c>
      <x:c r="DL206" s="4" t="str">
        <x:f>IF('Calculations'!DE206="","",COUNTIFS('Calculations'!$BN$13:$BN$512,1,'Calculations'!$BU$13:$BU$512,'Calculations'!DE206,'Calculations'!$BT$13:$BT$512,1,'Calculations'!$EE$13:$EE$512,"Solid"))</x:f>
      </x:c>
      <x:c r="DM206" s="4" t="str">
        <x:f>IF('Calculations'!DE206="","",COUNTIFS('Calculations'!$BN$13:$BN$512,1,'Calculations'!$BU$13:$BU$512,'Calculations'!DE206,'Calculations'!$BT$13:$BT$512,1,'Calculations'!$EE$13:$EE$512,"Low"))</x:f>
      </x:c>
      <x:c r="DN206" s="4" t="str">
        <x:f>IF('Calculations'!DE206="","",COUNTIFS('Calculations'!$BN$13:$BN$512,1,'Calculations'!$BU$13:$BU$512,'Calculations'!DE206,'Calculations'!$EP$13:$EP$512,1))</x:f>
      </x:c>
      <x:c r="DO206" s="4" t="str">
        <x:f>IF(OR('Calculations'!DE206="",'Calculations'!DG206=0),"",('Calculations'!DJ206+'Calculations'!DK206)/'Calculations'!DG206)</x:f>
      </x:c>
      <x:c r="DP206" s="4" t="n">
        <x:f>IF(AND('Calculations'!DE206&lt;&gt;"",'Calculations'!DF206&gt;0),COUNTIF('Calculations'!$DF$12:DF206,"&gt;0"),0)</x:f>
        <x:v>0</x:v>
      </x:c>
      <x:c r="DQ206" s="4" t="str">
        <x:f>IF(195&gt;MAX('Calculations'!$HH$13:$HH$512),"",INDEX('Calculations'!$HF$13:$HF$512,MATCH(195,'Calculations'!$HH$13:$HH$512,0)))</x:f>
      </x:c>
      <x:c r="DR206" s="4" t="str">
        <x:f>IF(195&gt;MAX('Calculations'!$IK$13:$IK$512),"",INDEX('Calculations'!$HE$13:$HE$512,MATCH(195,'Calculations'!$IK$13:$IK$512,0)))</x:f>
      </x:c>
      <x:c r="DS206" s="4"/>
      <x:c r="DT206" s="4"/>
      <x:c r="DU206" s="4"/>
      <x:c r="DV206" s="4"/>
      <x:c r="DW206" s="4"/>
      <x:c r="DX206" s="4"/>
      <x:c r="DY206" s="4"/>
      <x:c r="DZ206" s="4"/>
      <x:c r="EA206" s="4"/>
      <x:c r="EB206" s="4"/>
      <x:c r="EC206" s="4"/>
      <x:c r="ED206" s="4"/>
      <x:c r="EE206" s="4" t="str">
        <x:f>IF('Calculations'!BT206=0,"Not Rated",IF(OR('Calculations'!BO206&gt;=4,'Calculations'!BP206&gt;=4),"Low",IF('Calculations'!BO206+'Calculations'!BP206&lt;=3,"High",IF('Calculations'!BO206+'Calculations'!BP206&lt;=4,"Strong","Solid"))))</x:f>
        <x:v>Not Rated</x:v>
      </x:c>
      <x:c r="EF206" s="4"/>
      <x:c r="EG206" s="4"/>
      <x:c r="EH206" s="4"/>
      <x:c r="EI206" s="4"/>
      <x:c r="EJ206" s="4"/>
      <x:c r="EK206" s="4"/>
      <x:c r="EL206" s="4"/>
      <x:c r="EM206" s="4" t="str">
        <x:f>IF(194&gt;'Calculations'!$JB$2000,"",INDEX('Calculations'!$JA$12:$JA$2000,MATCH(194,'Calculations'!$JB$12:$JB$2000,0)))</x:f>
      </x:c>
      <x:c r="EN206" s="4" t="n">
        <x:f>IF(OR('Calculations'!EM206="",'Calculations'!$AG$8&gt;0,AND('Calculations'!$EF$2&lt;&gt;"All",'Calculations'!HE206='Calculations'!$EF$2),AND('Calculations'!$EF$3&lt;&gt;"All",'Calculations'!HE206='Calculations'!$EF$3)),0,IF(OR('Dashboard'!$B$7="All",'Calculations'!HN206='Dashboard'!$B$7),IF('Calculations'!$EF$2="All",1,IF('Calculations'!HL206&gt;0,0,IF(COUNTIF('Calculations'!HO206:II206,"="&amp;SUBSTITUTE(SUBSTITUTE(SUBSTITUTE('Calculations'!$EF$2,"~","~~"),"*","~*"),"?","~?"))=0,0,IF('Calculations'!$EF$3="All",1,IF(COUNTIF('Calculations'!HO206:II206,"="&amp;SUBSTITUTE(SUBSTITUTE(SUBSTITUTE('Calculations'!$EF$3,"~","~~"),"*","~*"),"?","~?"))&gt;0,1,0))))),0))</x:f>
        <x:v>0</x:v>
      </x:c>
      <x:c r="EO206" s="4" t="str">
        <x:f>IF('Calculations'!IJ206="","",IF('Calculations'!IJ206="!UNRESOLVED","Unresolved hierarchy",IFERROR(INDEX('Calculations'!$HK$13:$HK$512,MATCH('Calculations'!IJ206,'Calculations'!$HE$13:$HE$512,0)),IFERROR(INDEX('Calculations'!$HJ$13:$HJ$512,MATCH('Calculations'!IJ206,'Calculations'!$HF$13:$HF$512,0)),'Calculations'!IJ206))))</x:f>
      </x:c>
      <x:c r="EP206" s="4" t="n">
        <x:f>IF(AND('Calculations'!EM206&lt;&gt;"",'Calculations'!HF206='Calculations'!IJ206),1,0)</x:f>
        <x:v>0</x:v>
      </x:c>
      <x:c r="EQ206" s="4"/>
      <x:c r="ER206" s="4"/>
      <x:c r="ES206" s="4"/>
      <x:c r="ET206" s="4"/>
      <x:c r="EU206" s="4"/>
      <x:c r="EV206" s="4"/>
      <x:c r="EW206" s="4"/>
      <x:c r="EX206" s="4"/>
      <x:c r="EY206" s="4"/>
      <x:c r="EZ206" s="4"/>
      <x:c r="FA206" s="4"/>
      <x:c r="FB206" s="4"/>
      <x:c r="FC206" s="4"/>
      <x:c r="FD206" s="4"/>
      <x:c r="FE206" s="4"/>
      <x:c r="FF206" s="4"/>
      <x:c r="FG206" s="4"/>
      <x:c r="FH206" s="4"/>
      <x:c r="FI206" s="4"/>
      <x:c r="FJ206" s="4"/>
      <x:c r="FK206" s="4"/>
      <x:c r="FL206" s="4"/>
      <x:c r="FM206" s="4"/>
      <x:c r="FN206" s="4"/>
      <x:c r="FO206" s="4"/>
      <x:c r="HE206" t="str">
        <x:f>IF('Calculations'!EM206="","",IF(IFERROR(IF(INDEX(INDIRECT("'WCM Calibration Final'!$A$1:$A$2000"),'Calculations'!$EM206)="","",TRIM(INDEX(INDIRECT("'WCM Calibration Final'!$A$1:$A$2000"),'Calculations'!$EM206)&amp;"")),"")&lt;&gt;"","G:"&amp;IFERROR(TEXT(1*INDEX(INDIRECT("'WCM Calibration Final'!$A$1:$A$2000"),'Calculations'!$EM206),"0"),UPPER(IFERROR(IF(INDEX(INDIRECT("'WCM Calibration Final'!$A$1:$A$2000"),'Calculations'!$EM206)="","",TRIM(INDEX(INDIRECT("'WCM Calibration Final'!$A$1:$A$2000"),'Calculations'!$EM206)&amp;"")),""))),IF(IFERROR(IF(INDEX(INDIRECT("'WCM Calibration Final'!$C$1:$C$2000"),'Calculations'!$EM206)="","",TRIM(INDEX(INDIRECT("'WCM Calibration Final'!$C$1:$C$2000"),'Calculations'!$EM206)&amp;"")),"")&lt;&gt;"","S:"&amp;UPPER(IFERROR(IF(INDEX(INDIRECT("'WCM Calibration Final'!$C$1:$C$2000"),'Calculations'!$EM206)="","",TRIM(INDEX(INDIRECT("'WCM Calibration Final'!$C$1:$C$2000"),'Calculations'!$EM206)&amp;"")),"")),"R:"&amp;'Calculations'!EM206)))</x:f>
      </x:c>
      <x:c r="HF206" t="str">
        <x:f>IF('Calculations'!EM206="","",IF(IFERROR(IF(INDEX(INDIRECT("'WCM Calibration Final'!$D$1:$D$2000"),'Calculations'!$EM206)="","",TRIM(INDEX(INDIRECT("'WCM Calibration Final'!$D$1:$D$2000"),'Calculations'!$EM206)&amp;"")),"")&lt;&gt;"","G:"&amp;IFERROR(TEXT(1*INDEX(INDIRECT("'WCM Calibration Final'!$D$1:$D$2000"),'Calculations'!$EM206),"0"),UPPER(IFERROR(IF(INDEX(INDIRECT("'WCM Calibration Final'!$D$1:$D$2000"),'Calculations'!$EM206)="","",TRIM(INDEX(INDIRECT("'WCM Calibration Final'!$D$1:$D$2000"),'Calculations'!$EM206)&amp;"")),""))),IF(IFERROR(IF(INDEX(INDIRECT("'WCM Calibration Final'!$E$1:$E$2000"),'Calculations'!$EM206)="","",TRIM(INDEX(INDIRECT("'WCM Calibration Final'!$E$1:$E$2000"),'Calculations'!$EM206)&amp;"")),"")="","",IF(COUNTIF('Calculations'!$HG$13:$HG$512,"="&amp;SUBSTITUTE(SUBSTITUTE(SUBSTITUTE(IFERROR(IF(INDEX(INDIRECT("'WCM Calibration Final'!$E$1:$E$2000"),'Calculations'!$EM206)="","",TRIM(INDEX(INDIRECT("'WCM Calibration Final'!$E$1:$E$2000"),'Calculations'!$EM206)&amp;"")),""),"~","~~"),"*","~*"),"?","~?"))=1,INDEX('Calculations'!$HE$13:$HE$512,MATCH(IFERROR(IF(INDEX(INDIRECT("'WCM Calibration Final'!$E$1:$E$2000"),'Calculations'!$EM206)="","",TRIM(INDEX(INDIRECT("'WCM Calibration Final'!$E$1:$E$2000"),'Calculations'!$EM206)&amp;"")),""),'Calculations'!$HG$13:$HG$512,0)),IF(COUNTIF('Calculations'!$HG$13:$HG$512,"="&amp;SUBSTITUTE(SUBSTITUTE(SUBSTITUTE(IFERROR(IF(INDEX(INDIRECT("'WCM Calibration Final'!$E$1:$E$2000"),'Calculations'!$EM206)="","",TRIM(INDEX(INDIRECT("'WCM Calibration Final'!$E$1:$E$2000"),'Calculations'!$EM206)&amp;"")),""),"~","~~"),"*","~*"),"?","~?"))&gt;1,"!AMBIG","X:"&amp;IFERROR(IF(INDEX(INDIRECT("'WCM Calibration Final'!$E$1:$E$2000"),'Calculations'!$EM206)="","",TRIM(INDEX(INDIRECT("'WCM Calibration Final'!$E$1:$E$2000"),'Calculations'!$EM206)&amp;"")),""))))))</x:f>
      </x:c>
      <x:c r="HG206" t="str">
        <x:f>IF('Calculations'!EM206="","",IFERROR(IF(INDEX(INDIRECT("'WCM Calibration Final'!$B$1:$B$2000"),'Calculations'!$EM206)="","",TRIM(INDEX(INDIRECT("'WCM Calibration Final'!$B$1:$B$2000"),'Calculations'!$EM206)&amp;"")),""))</x:f>
      </x:c>
      <x:c r="HH206" t="n">
        <x:f>IF(AND('Calculations'!JC206&gt;0,COUNTIF('Calculations'!$HF$12:HF206,"="&amp;SUBSTITUTE(SUBSTITUTE(SUBSTITUTE('Calculations'!HF206,"~","~~"),"*","~*"),"?","~?"))=1),MAX('Calculations'!$HH$12:HH205)+1,0)</x:f>
        <x:v>0</x:v>
      </x:c>
      <x:c r="HI206" t="n">
        <x:f>IF(AND('Calculations'!HN206&lt;&gt;"",COUNTIF('Calculations'!$HN$12:HN206,"="&amp;SUBSTITUTE(SUBSTITUTE(SUBSTITUTE('Calculations'!HN206,"~","~~"),"*","~*"),"?","~?"))=1),MAX('Calculations'!$HI$12:HI205)+1,0)</x:f>
        <x:v>0</x:v>
      </x:c>
      <x:c r="HJ206" t="str">
        <x:f>IF('Calculations'!HF206="","",IF(COUNTIF('Calculations'!$HE$13:$HE$512,"="&amp;SUBSTITUTE(SUBSTITUTE(SUBSTITUTE('Calculations'!HF206,"~","~~"),"*","~*"),"?","~?"))=1,INDEX('Calculations'!$HK$13:$HK$512,MATCH('Calculations'!HF206,'Calculations'!$HE$13:$HE$512,0)),IFERROR(IF(INDEX(INDIRECT("'WCM Calibration Final'!$E$1:$E$2000"),'Calculations'!$EM206)="","",TRIM(INDEX(INDIRECT("'WCM Calibration Final'!$E$1:$E$2000"),'Calculations'!$EM206)&amp;"")),"")&amp;" ["&amp;'Calculations'!HF206&amp;"]"))</x:f>
      </x:c>
      <x:c r="HK206" t="str">
        <x:f>IF('Calculations'!EM206="","",'Calculations'!HG206&amp;" ["&amp;'Calculations'!HE206&amp;"]")</x:f>
      </x:c>
      <x:c r="HL206" t="n">
        <x:f>IF('Calculations'!EM206="",0,IF(OR('Calculations'!II206&lt;&gt;"",COUNTIF('Calculations'!$HE$13:$HE$512,"="&amp;SUBSTITUTE(SUBSTITUTE(SUBSTITUTE('Calculations'!HE206,"~","~~"),"*","~*"),"?","~?"))&gt;1),1,0))</x:f>
        <x:v>0</x:v>
      </x:c>
      <x:c r="HM206" t="str">
        <x:f>IF('Calculations'!EM206="","",IF('Calculations'!HL206=1,"!UNRESOLVED",IF('Calculations'!IH206&lt;&gt;"",'Calculations'!IH206,IF('Calculations'!IG206&lt;&gt;"",'Calculations'!IG206,IF('Calculations'!IF206&lt;&gt;"",'Calculations'!IF206,IF('Calculations'!IE206&lt;&gt;"",'Calculations'!IE206,IF('Calculations'!ID206&lt;&gt;"",'Calculations'!ID206,IF('Calculations'!IC206&lt;&gt;"",'Calculations'!IC206,IF('Calculations'!IB206&lt;&gt;"",'Calculations'!IB206,IF('Calculations'!IA206&lt;&gt;"",'Calculations'!IA206,IF('Calculations'!HZ206&lt;&gt;"",'Calculations'!HZ206,IF('Calculations'!HY206&lt;&gt;"",'Calculations'!HY206,IF('Calculations'!HX206&lt;&gt;"",'Calculations'!HX206,IF('Calculations'!HW206&lt;&gt;"",'Calculations'!HW206,IF('Calculations'!HV206&lt;&gt;"",'Calculations'!HV206,IF('Calculations'!HU206&lt;&gt;"",'Calculations'!HU206,IF('Calculations'!HT206&lt;&gt;"",'Calculations'!HT206,IF('Calculations'!HS206&lt;&gt;"",'Calculations'!HS206,IF('Calculations'!HR206&lt;&gt;"",'Calculations'!HR206,IF('Calculations'!HQ206&lt;&gt;"",'Calculations'!HQ206,IF('Calculations'!HP206&lt;&gt;"",'Calculations'!HP206,IF('Calculations'!HO206&lt;&gt;"",'Calculations'!HO206,'Calculations'!HE206))))))))))))))))))))))</x:f>
      </x:c>
      <x:c r="HN206" t="str">
        <x:f>IF('Calculations'!EM206="","",IF(IFERROR(IF(INDEX(INDIRECT("'WCM Calibration Final'!$F$1:$F$2000"),'Calculations'!$EM206)="","",TRIM(INDEX(INDIRECT("'WCM Calibration Final'!$F$1:$F$2000"),'Calculations'!$EM206)&amp;"")),"")="","(Blank)",IFERROR(IF(INDEX(INDIRECT("'WCM Calibration Final'!$F$1:$F$2000"),'Calculations'!$EM206)="","",TRIM(INDEX(INDIRECT("'WCM Calibration Final'!$F$1:$F$2000"),'Calculations'!$EM206)&amp;"")),"")))</x:f>
      </x:c>
      <x:c r="HO206" t="str">
        <x:f>'Calculations'!HF206</x:f>
      </x:c>
      <x:c r="HP206" t="str">
        <x:f>IF('Calculations'!HO206="","",IF('Calculations'!HO206="!AMBIG","!AMBIG",IF(COUNTIF('Calculations'!$HE$13:$HE$512,"="&amp;SUBSTITUTE(SUBSTITUTE(SUBSTITUTE('Calculations'!HO206,"~","~~"),"*","~*"),"?","~?"))&gt;1,"!AMBIG",IFERROR(INDEX('Calculations'!$HF$13:$HF$512,MATCH('Calculations'!HO206,'Calculations'!$HE$13:$HE$512,0)),""))))</x:f>
      </x:c>
      <x:c r="HQ206" t="str">
        <x:f>IF('Calculations'!HP206="","",IF('Calculations'!HP206="!AMBIG","!AMBIG",IF(COUNTIF('Calculations'!$HE$13:$HE$512,"="&amp;SUBSTITUTE(SUBSTITUTE(SUBSTITUTE('Calculations'!HP206,"~","~~"),"*","~*"),"?","~?"))&gt;1,"!AMBIG",IFERROR(INDEX('Calculations'!$HF$13:$HF$512,MATCH('Calculations'!HP206,'Calculations'!$HE$13:$HE$512,0)),""))))</x:f>
      </x:c>
      <x:c r="HR206" t="str">
        <x:f>IF('Calculations'!HQ206="","",IF('Calculations'!HQ206="!AMBIG","!AMBIG",IF(COUNTIF('Calculations'!$HE$13:$HE$512,"="&amp;SUBSTITUTE(SUBSTITUTE(SUBSTITUTE('Calculations'!HQ206,"~","~~"),"*","~*"),"?","~?"))&gt;1,"!AMBIG",IFERROR(INDEX('Calculations'!$HF$13:$HF$512,MATCH('Calculations'!HQ206,'Calculations'!$HE$13:$HE$512,0)),""))))</x:f>
      </x:c>
      <x:c r="HS206" t="str">
        <x:f>IF('Calculations'!HR206="","",IF('Calculations'!HR206="!AMBIG","!AMBIG",IF(COUNTIF('Calculations'!$HE$13:$HE$512,"="&amp;SUBSTITUTE(SUBSTITUTE(SUBSTITUTE('Calculations'!HR206,"~","~~"),"*","~*"),"?","~?"))&gt;1,"!AMBIG",IFERROR(INDEX('Calculations'!$HF$13:$HF$512,MATCH('Calculations'!HR206,'Calculations'!$HE$13:$HE$512,0)),""))))</x:f>
      </x:c>
      <x:c r="HT206" t="str">
        <x:f>IF('Calculations'!HS206="","",IF('Calculations'!HS206="!AMBIG","!AMBIG",IF(COUNTIF('Calculations'!$HE$13:$HE$512,"="&amp;SUBSTITUTE(SUBSTITUTE(SUBSTITUTE('Calculations'!HS206,"~","~~"),"*","~*"),"?","~?"))&gt;1,"!AMBIG",IFERROR(INDEX('Calculations'!$HF$13:$HF$512,MATCH('Calculations'!HS206,'Calculations'!$HE$13:$HE$512,0)),""))))</x:f>
      </x:c>
      <x:c r="HU206" t="str">
        <x:f>IF('Calculations'!HT206="","",IF('Calculations'!HT206="!AMBIG","!AMBIG",IF(COUNTIF('Calculations'!$HE$13:$HE$512,"="&amp;SUBSTITUTE(SUBSTITUTE(SUBSTITUTE('Calculations'!HT206,"~","~~"),"*","~*"),"?","~?"))&gt;1,"!AMBIG",IFERROR(INDEX('Calculations'!$HF$13:$HF$512,MATCH('Calculations'!HT206,'Calculations'!$HE$13:$HE$512,0)),""))))</x:f>
      </x:c>
      <x:c r="HV206" t="str">
        <x:f>IF('Calculations'!HU206="","",IF('Calculations'!HU206="!AMBIG","!AMBIG",IF(COUNTIF('Calculations'!$HE$13:$HE$512,"="&amp;SUBSTITUTE(SUBSTITUTE(SUBSTITUTE('Calculations'!HU206,"~","~~"),"*","~*"),"?","~?"))&gt;1,"!AMBIG",IFERROR(INDEX('Calculations'!$HF$13:$HF$512,MATCH('Calculations'!HU206,'Calculations'!$HE$13:$HE$512,0)),""))))</x:f>
      </x:c>
      <x:c r="HW206" t="str">
        <x:f>IF('Calculations'!HV206="","",IF('Calculations'!HV206="!AMBIG","!AMBIG",IF(COUNTIF('Calculations'!$HE$13:$HE$512,"="&amp;SUBSTITUTE(SUBSTITUTE(SUBSTITUTE('Calculations'!HV206,"~","~~"),"*","~*"),"?","~?"))&gt;1,"!AMBIG",IFERROR(INDEX('Calculations'!$HF$13:$HF$512,MATCH('Calculations'!HV206,'Calculations'!$HE$13:$HE$512,0)),""))))</x:f>
      </x:c>
      <x:c r="HX206" t="str">
        <x:f>IF('Calculations'!HW206="","",IF('Calculations'!HW206="!AMBIG","!AMBIG",IF(COUNTIF('Calculations'!$HE$13:$HE$512,"="&amp;SUBSTITUTE(SUBSTITUTE(SUBSTITUTE('Calculations'!HW206,"~","~~"),"*","~*"),"?","~?"))&gt;1,"!AMBIG",IFERROR(INDEX('Calculations'!$HF$13:$HF$512,MATCH('Calculations'!HW206,'Calculations'!$HE$13:$HE$512,0)),""))))</x:f>
      </x:c>
      <x:c r="HY206" t="str">
        <x:f>IF('Calculations'!HX206="","",IF('Calculations'!HX206="!AMBIG","!AMBIG",IF(COUNTIF('Calculations'!$HE$13:$HE$512,"="&amp;SUBSTITUTE(SUBSTITUTE(SUBSTITUTE('Calculations'!HX206,"~","~~"),"*","~*"),"?","~?"))&gt;1,"!AMBIG",IFERROR(INDEX('Calculations'!$HF$13:$HF$512,MATCH('Calculations'!HX206,'Calculations'!$HE$13:$HE$512,0)),""))))</x:f>
      </x:c>
      <x:c r="HZ206" t="str">
        <x:f>IF('Calculations'!HY206="","",IF('Calculations'!HY206="!AMBIG","!AMBIG",IF(COUNTIF('Calculations'!$HE$13:$HE$512,"="&amp;SUBSTITUTE(SUBSTITUTE(SUBSTITUTE('Calculations'!HY206,"~","~~"),"*","~*"),"?","~?"))&gt;1,"!AMBIG",IFERROR(INDEX('Calculations'!$HF$13:$HF$512,MATCH('Calculations'!HY206,'Calculations'!$HE$13:$HE$512,0)),""))))</x:f>
      </x:c>
      <x:c r="IA206" t="str">
        <x:f>IF('Calculations'!HZ206="","",IF('Calculations'!HZ206="!AMBIG","!AMBIG",IF(COUNTIF('Calculations'!$HE$13:$HE$512,"="&amp;SUBSTITUTE(SUBSTITUTE(SUBSTITUTE('Calculations'!HZ206,"~","~~"),"*","~*"),"?","~?"))&gt;1,"!AMBIG",IFERROR(INDEX('Calculations'!$HF$13:$HF$512,MATCH('Calculations'!HZ206,'Calculations'!$HE$13:$HE$512,0)),""))))</x:f>
      </x:c>
      <x:c r="IB206" t="str">
        <x:f>IF('Calculations'!IA206="","",IF('Calculations'!IA206="!AMBIG","!AMBIG",IF(COUNTIF('Calculations'!$HE$13:$HE$512,"="&amp;SUBSTITUTE(SUBSTITUTE(SUBSTITUTE('Calculations'!IA206,"~","~~"),"*","~*"),"?","~?"))&gt;1,"!AMBIG",IFERROR(INDEX('Calculations'!$HF$13:$HF$512,MATCH('Calculations'!IA206,'Calculations'!$HE$13:$HE$512,0)),""))))</x:f>
      </x:c>
      <x:c r="IC206" t="str">
        <x:f>IF('Calculations'!IB206="","",IF('Calculations'!IB206="!AMBIG","!AMBIG",IF(COUNTIF('Calculations'!$HE$13:$HE$512,"="&amp;SUBSTITUTE(SUBSTITUTE(SUBSTITUTE('Calculations'!IB206,"~","~~"),"*","~*"),"?","~?"))&gt;1,"!AMBIG",IFERROR(INDEX('Calculations'!$HF$13:$HF$512,MATCH('Calculations'!IB206,'Calculations'!$HE$13:$HE$512,0)),""))))</x:f>
      </x:c>
      <x:c r="ID206" t="str">
        <x:f>IF('Calculations'!IC206="","",IF('Calculations'!IC206="!AMBIG","!AMBIG",IF(COUNTIF('Calculations'!$HE$13:$HE$512,"="&amp;SUBSTITUTE(SUBSTITUTE(SUBSTITUTE('Calculations'!IC206,"~","~~"),"*","~*"),"?","~?"))&gt;1,"!AMBIG",IFERROR(INDEX('Calculations'!$HF$13:$HF$512,MATCH('Calculations'!IC206,'Calculations'!$HE$13:$HE$512,0)),""))))</x:f>
      </x:c>
      <x:c r="IE206" t="str">
        <x:f>IF('Calculations'!ID206="","",IF('Calculations'!ID206="!AMBIG","!AMBIG",IF(COUNTIF('Calculations'!$HE$13:$HE$512,"="&amp;SUBSTITUTE(SUBSTITUTE(SUBSTITUTE('Calculations'!ID206,"~","~~"),"*","~*"),"?","~?"))&gt;1,"!AMBIG",IFERROR(INDEX('Calculations'!$HF$13:$HF$512,MATCH('Calculations'!ID206,'Calculations'!$HE$13:$HE$512,0)),""))))</x:f>
      </x:c>
      <x:c r="IF206" t="str">
        <x:f>IF('Calculations'!IE206="","",IF('Calculations'!IE206="!AMBIG","!AMBIG",IF(COUNTIF('Calculations'!$HE$13:$HE$512,"="&amp;SUBSTITUTE(SUBSTITUTE(SUBSTITUTE('Calculations'!IE206,"~","~~"),"*","~*"),"?","~?"))&gt;1,"!AMBIG",IFERROR(INDEX('Calculations'!$HF$13:$HF$512,MATCH('Calculations'!IE206,'Calculations'!$HE$13:$HE$512,0)),""))))</x:f>
      </x:c>
      <x:c r="IG206" t="str">
        <x:f>IF('Calculations'!IF206="","",IF('Calculations'!IF206="!AMBIG","!AMBIG",IF(COUNTIF('Calculations'!$HE$13:$HE$512,"="&amp;SUBSTITUTE(SUBSTITUTE(SUBSTITUTE('Calculations'!IF206,"~","~~"),"*","~*"),"?","~?"))&gt;1,"!AMBIG",IFERROR(INDEX('Calculations'!$HF$13:$HF$512,MATCH('Calculations'!IF206,'Calculations'!$HE$13:$HE$512,0)),""))))</x:f>
      </x:c>
      <x:c r="IH206" t="str">
        <x:f>IF('Calculations'!IG206="","",IF('Calculations'!IG206="!AMBIG","!AMBIG",IF(COUNTIF('Calculations'!$HE$13:$HE$512,"="&amp;SUBSTITUTE(SUBSTITUTE(SUBSTITUTE('Calculations'!IG206,"~","~~"),"*","~*"),"?","~?"))&gt;1,"!AMBIG",IFERROR(INDEX('Calculations'!$HF$13:$HF$512,MATCH('Calculations'!IG206,'Calculations'!$HE$13:$HE$512,0)),""))))</x:f>
      </x:c>
      <x:c r="II206" t="str">
        <x:f>IF('Calculations'!IH206="","",IF('Calculations'!IH206="!AMBIG","!AMBIG",IF(COUNTIF('Calculations'!$HE$13:$HE$512,"="&amp;SUBSTITUTE(SUBSTITUTE(SUBSTITUTE('Calculations'!IH206,"~","~~"),"*","~*"),"?","~?"))&gt;1,"!AMBIG",IFERROR(INDEX('Calculations'!$HF$13:$HF$512,MATCH('Calculations'!IH206,'Calculations'!$HE$13:$HE$512,0)),""))))</x:f>
      </x:c>
      <x:c r="IJ206" t="str">
        <x:f>IF('Calculations'!EM206="","",IF('Calculations'!$EF$2="All",'Calculations'!HM206,IF('Calculations'!HL206=1,"",IFERROR(IF(MATCH('Calculations'!$EF$2,'Calculations'!HO206:II206,0)=1,'Calculations'!HE206,INDEX('Calculations'!HO206:II206,1,MATCH('Calculations'!$EF$2,'Calculations'!HO206:II206,0)-1)),""))))</x:f>
      </x:c>
      <x:c r="IK206" t="n">
        <x:f>IF(AND('Calculations'!EM206&lt;&gt;"",'Calculations'!$EF$2&lt;&gt;"All",'Calculations'!HF206='Calculations'!$EF$2,'Calculations'!HL206=0,'Calculations'!JD206&gt;0),MAX('Calculations'!$IK$12:IK205)+1,0)</x:f>
        <x:v>0</x:v>
      </x:c>
      <x:c r="JA206" t="n">
        <x:f>IF(OR(IFERROR(INDIRECT("'WCM Calibration Final'!$A$206")&lt;&gt;"",FALSE),IFERROR(INDIRECT("'WCM Calibration Final'!$B$206")&lt;&gt;"",FALSE),IFERROR(INDIRECT("'WCM Calibration Final'!$C$206")&lt;&gt;"",FALSE)),206,0)</x:f>
        <x:v>0</x:v>
      </x:c>
      <x:c r="JB206" t="n">
        <x:f>'Calculations'!JB205+IF('Calculations'!JA206&gt;0,1,0)</x:f>
        <x:v>0</x:v>
      </x:c>
      <x:c r="JC206" t="n">
        <x:f>IF(OR('Calculations'!HF206="",'Calculations'!HF206="!AMBIG"),0,IF('Dashboard'!$B$7="All",1,COUNTIFS('Calculations'!$HO$13:$HO$512,"="&amp;SUBSTITUTE(SUBSTITUTE(SUBSTITUTE('Calculations'!HF206,"~","~~"),"*","~*"),"?","~?"),'Calculations'!$HN$13:$HN$512,"="&amp;SUBSTITUTE(SUBSTITUTE(SUBSTITUTE('Dashboard'!$B$7,"~","~~"),"*","~*"),"?","~?"))+COUNTIFS('Calculations'!$HP$13:$HP$512,"="&amp;SUBSTITUTE(SUBSTITUTE(SUBSTITUTE('Calculations'!HF206,"~","~~"),"*","~*"),"?","~?"),'Calculations'!$HN$13:$HN$512,"="&amp;SUBSTITUTE(SUBSTITUTE(SUBSTITUTE('Dashboard'!$B$7,"~","~~"),"*","~*"),"?","~?"))+COUNTIFS('Calculations'!$HQ$13:$HQ$512,"="&amp;SUBSTITUTE(SUBSTITUTE(SUBSTITUTE('Calculations'!HF206,"~","~~"),"*","~*"),"?","~?"),'Calculations'!$HN$13:$HN$512,"="&amp;SUBSTITUTE(SUBSTITUTE(SUBSTITUTE('Dashboard'!$B$7,"~","~~"),"*","~*"),"?","~?"))+COUNTIFS('Calculations'!$HR$13:$HR$512,"="&amp;SUBSTITUTE(SUBSTITUTE(SUBSTITUTE('Calculations'!HF206,"~","~~"),"*","~*"),"?","~?"),'Calculations'!$HN$13:$HN$512,"="&amp;SUBSTITUTE(SUBSTITUTE(SUBSTITUTE('Dashboard'!$B$7,"~","~~"),"*","~*"),"?","~?"))+COUNTIFS('Calculations'!$HS$13:$HS$512,"="&amp;SUBSTITUTE(SUBSTITUTE(SUBSTITUTE('Calculations'!HF206,"~","~~"),"*","~*"),"?","~?"),'Calculations'!$HN$13:$HN$512,"="&amp;SUBSTITUTE(SUBSTITUTE(SUBSTITUTE('Dashboard'!$B$7,"~","~~"),"*","~*"),"?","~?"))+COUNTIFS('Calculations'!$HT$13:$HT$512,"="&amp;SUBSTITUTE(SUBSTITUTE(SUBSTITUTE('Calculations'!HF206,"~","~~"),"*","~*"),"?","~?"),'Calculations'!$HN$13:$HN$512,"="&amp;SUBSTITUTE(SUBSTITUTE(SUBSTITUTE('Dashboard'!$B$7,"~","~~"),"*","~*"),"?","~?"))+COUNTIFS('Calculations'!$HU$13:$HU$512,"="&amp;SUBSTITUTE(SUBSTITUTE(SUBSTITUTE('Calculations'!HF206,"~","~~"),"*","~*"),"?","~?"),'Calculations'!$HN$13:$HN$512,"="&amp;SUBSTITUTE(SUBSTITUTE(SUBSTITUTE('Dashboard'!$B$7,"~","~~"),"*","~*"),"?","~?"))+COUNTIFS('Calculations'!$HV$13:$HV$512,"="&amp;SUBSTITUTE(SUBSTITUTE(SUBSTITUTE('Calculations'!HF206,"~","~~"),"*","~*"),"?","~?"),'Calculations'!$HN$13:$HN$512,"="&amp;SUBSTITUTE(SUBSTITUTE(SUBSTITUTE('Dashboard'!$B$7,"~","~~"),"*","~*"),"?","~?"))+COUNTIFS('Calculations'!$HW$13:$HW$512,"="&amp;SUBSTITUTE(SUBSTITUTE(SUBSTITUTE('Calculations'!HF206,"~","~~"),"*","~*"),"?","~?"),'Calculations'!$HN$13:$HN$512,"="&amp;SUBSTITUTE(SUBSTITUTE(SUBSTITUTE('Dashboard'!$B$7,"~","~~"),"*","~*"),"?","~?"))+COUNTIFS('Calculations'!$HX$13:$HX$512,"="&amp;SUBSTITUTE(SUBSTITUTE(SUBSTITUTE('Calculations'!HF206,"~","~~"),"*","~*"),"?","~?"),'Calculations'!$HN$13:$HN$512,"="&amp;SUBSTITUTE(SUBSTITUTE(SUBSTITUTE('Dashboard'!$B$7,"~","~~"),"*","~*"),"?","~?"))+COUNTIFS('Calculations'!$HY$13:$HY$512,"="&amp;SUBSTITUTE(SUBSTITUTE(SUBSTITUTE('Calculations'!HF206,"~","~~"),"*","~*"),"?","~?"),'Calculations'!$HN$13:$HN$512,"="&amp;SUBSTITUTE(SUBSTITUTE(SUBSTITUTE('Dashboard'!$B$7,"~","~~"),"*","~*"),"?","~?"))+COUNTIFS('Calculations'!$HZ$13:$HZ$512,"="&amp;SUBSTITUTE(SUBSTITUTE(SUBSTITUTE('Calculations'!HF206,"~","~~"),"*","~*"),"?","~?"),'Calculations'!$HN$13:$HN$512,"="&amp;SUBSTITUTE(SUBSTITUTE(SUBSTITUTE('Dashboard'!$B$7,"~","~~"),"*","~*"),"?","~?"))+COUNTIFS('Calculations'!$IA$13:$IA$512,"="&amp;SUBSTITUTE(SUBSTITUTE(SUBSTITUTE('Calculations'!HF206,"~","~~"),"*","~*"),"?","~?"),'Calculations'!$HN$13:$HN$512,"="&amp;SUBSTITUTE(SUBSTITUTE(SUBSTITUTE('Dashboard'!$B$7,"~","~~"),"*","~*"),"?","~?"))+COUNTIFS('Calculations'!$IB$13:$IB$512,"="&amp;SUBSTITUTE(SUBSTITUTE(SUBSTITUTE('Calculations'!HF206,"~","~~"),"*","~*"),"?","~?"),'Calculations'!$HN$13:$HN$512,"="&amp;SUBSTITUTE(SUBSTITUTE(SUBSTITUTE('Dashboard'!$B$7,"~","~~"),"*","~*"),"?","~?"))+COUNTIFS('Calculations'!$IC$13:$IC$512,"="&amp;SUBSTITUTE(SUBSTITUTE(SUBSTITUTE('Calculations'!HF206,"~","~~"),"*","~*"),"?","~?"),'Calculations'!$HN$13:$HN$512,"="&amp;SUBSTITUTE(SUBSTITUTE(SUBSTITUTE('Dashboard'!$B$7,"~","~~"),"*","~*"),"?","~?"))+COUNTIFS('Calculations'!$ID$13:$ID$512,"="&amp;SUBSTITUTE(SUBSTITUTE(SUBSTITUTE('Calculations'!HF206,"~","~~"),"*","~*"),"?","~?"),'Calculations'!$HN$13:$HN$512,"="&amp;SUBSTITUTE(SUBSTITUTE(SUBSTITUTE('Dashboard'!$B$7,"~","~~"),"*","~*"),"?","~?"))+COUNTIFS('Calculations'!$IE$13:$IE$512,"="&amp;SUBSTITUTE(SUBSTITUTE(SUBSTITUTE('Calculations'!HF206,"~","~~"),"*","~*"),"?","~?"),'Calculations'!$HN$13:$HN$512,"="&amp;SUBSTITUTE(SUBSTITUTE(SUBSTITUTE('Dashboard'!$B$7,"~","~~"),"*","~*"),"?","~?"))+COUNTIFS('Calculations'!$IF$13:$IF$512,"="&amp;SUBSTITUTE(SUBSTITUTE(SUBSTITUTE('Calculations'!HF206,"~","~~"),"*","~*"),"?","~?"),'Calculations'!$HN$13:$HN$512,"="&amp;SUBSTITUTE(SUBSTITUTE(SUBSTITUTE('Dashboard'!$B$7,"~","~~"),"*","~*"),"?","~?"))+COUNTIFS('Calculations'!$IG$13:$IG$512,"="&amp;SUBSTITUTE(SUBSTITUTE(SUBSTITUTE('Calculations'!HF206,"~","~~"),"*","~*"),"?","~?"),'Calculations'!$HN$13:$HN$512,"="&amp;SUBSTITUTE(SUBSTITUTE(SUBSTITUTE('Dashboard'!$B$7,"~","~~"),"*","~*"),"?","~?"))+COUNTIFS('Calculations'!$IH$13:$IH$512,"="&amp;SUBSTITUTE(SUBSTITUTE(SUBSTITUTE('Calculations'!HF206,"~","~~"),"*","~*"),"?","~?"),'Calculations'!$HN$13:$HN$512,"="&amp;SUBSTITUTE(SUBSTITUTE(SUBSTITUTE('Dashboard'!$B$7,"~","~~"),"*","~*"),"?","~?"))))</x:f>
        <x:v>0</x:v>
      </x:c>
      <x:c r="JD206" t="n">
        <x:f>IF('Calculations'!EM206="",0,IF('Dashboard'!$B$7="All",1,IF('Calculations'!HN206='Dashboard'!$B$7,1,0)+IFERROR(INDEX('Calculations'!$JC$13:$JC$512,MATCH('Calculations'!HE206,'Calculations'!$HF$13:$HF$512,0)),0)))</x:f>
        <x:v>0</x:v>
      </x:c>
      <x:c r="JE206" t="n">
        <x:f>IF(AND('Calculations'!EM206&lt;&gt;"",'Calculations'!$JJ$2&lt;&gt;"All",'Calculations'!$JJ$2&lt;&gt;"",'Calculations'!HF206='Calculations'!$JJ$2,'Calculations'!HL206=0,'Calculations'!JD206&gt;0),MAX('Calculations'!$JE$12:JE205)+1,0)</x:f>
        <x:v>0</x:v>
      </x:c>
      <x:c r="JF206" t="str">
        <x:f>IF('Calculations'!EM206="","",IFERROR(IF(INDEX(INDIRECT("'WCM Calibration Final'!$G$1:$G$2000"),'Calculations'!$EM206)="","",TRIM(INDEX(INDIRECT("'WCM Calibration Final'!$G$1:$G$2000"),'Calculations'!$EM206)&amp;"")),""))</x:f>
      </x:c>
      <x:c r="JQ206" t="n">
        <x:f>IF(OR('Calculations'!BM206=0,NOT('Calculations'!$AG$2),'Calculations'!$AG$8&gt;0),0,IF(OR('Dashboard'!$B$7="All",'Calculations'!HN206='Dashboard'!$B$7),IF('Calculations'!$JJ$2="All",1,IF(AND('Calculations'!HF206='Calculations'!$JJ$2,'Calculations'!HL206=0),1,0)),0))</x:f>
        <x:v>0</x:v>
      </x:c>
    </x:row>
    <x:row r="207">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t="n">
        <x:f>IF('Calculations'!$EM207="",0,IF(OR(IFERROR(INDEX(INDIRECT("'WCM Calibration Final'!$A$1:$A$2000"),'Calculations'!$EM207)&lt;&gt;"",FALSE),IFERROR(INDEX(INDIRECT("'WCM Calibration Final'!$B$1:$B$2000"),'Calculations'!$EM207)&lt;&gt;"",FALSE),IFERROR(INDEX(INDIRECT("'WCM Calibration Final'!$C$1:$C$2000"),'Calculations'!$EM207)&lt;&gt;"",FALSE)),1,0))</x:f>
        <x:v>0</x:v>
      </x:c>
      <x:c r="BN207" s="4" t="n">
        <x:f>IF(AND('Calculations'!BM207=1,'Calculations'!$AG$2,'Calculations'!$EN207=1),1,0)</x:f>
        <x:v>0</x:v>
      </x:c>
      <x:c r="BO207" s="4" t="str">
        <x:f>IF('Calculations'!BM207=0,"",IFERROR(IF(AND(VALUE(INDEX(INDIRECT("'WCM Calibration Final'!$K$1:$K$2000"),'Calculations'!$EM207))&gt;=1,VALUE(INDEX(INDIRECT("'WCM Calibration Final'!$K$1:$K$2000"),'Calculations'!$EM207))&lt;=4,MOD(VALUE(INDEX(INDIRECT("'WCM Calibration Final'!$K$1:$K$2000"),'Calculations'!$EM207)),1)=0),VALUE(INDEX(INDIRECT("'WCM Calibration Final'!$K$1:$K$2000"),'Calculations'!$EM207)),""),""))</x:f>
      </x:c>
      <x:c r="BP207" s="4" t="str">
        <x:f>IF('Calculations'!BM207=0,"",IFERROR(IF(AND(VALUE(INDEX(INDIRECT("'WCM Calibration Final'!$L$1:$L$2000"),'Calculations'!$EM207))&gt;=1,VALUE(INDEX(INDIRECT("'WCM Calibration Final'!$L$1:$L$2000"),'Calculations'!$EM207))&lt;=4,MOD(VALUE(INDEX(INDIRECT("'WCM Calibration Final'!$L$1:$L$2000"),'Calculations'!$EM207)),1)=0),VALUE(INDEX(INDIRECT("'WCM Calibration Final'!$L$1:$L$2000"),'Calculations'!$EM207)),""),""))</x:f>
      </x:c>
      <x:c r="BQ207" s="4"/>
      <x:c r="BR207" s="4"/>
      <x:c r="BS207" s="4"/>
      <x:c r="BT207" s="4" t="n">
        <x:f>IF(AND('Calculations'!BM207=1,ISNUMBER('Calculations'!BO207),ISNUMBER('Calculations'!BP207)),1,0)</x:f>
        <x:v>0</x:v>
      </x:c>
      <x:c r="BU207" s="4" t="str">
        <x:f>IF('Calculations'!BM207=0,"",'Calculations'!$EO207)</x:f>
      </x:c>
      <x:c r="BV207" s="4" t="str">
        <x:f>IF('Calculations'!BM207=0,"",IFERROR(IF(OR(INDEX(INDIRECT("'WCM Calibration Final'!$H$1:$H$2000"),'Calculations'!$EM207)="MANAGING DIRECTOR",INDEX(INDIRECT("'WCM Calibration Final'!$H$1:$H$2000"),'Calculations'!$EM207)="DIRECTOR",INDEX(INDIRECT("'WCM Calibration Final'!$H$1:$H$2000"),'Calculations'!$EM207)="SENIOR VICE PRESIDENT",INDEX(INDIRECT("'WCM Calibration Final'!$H$1:$H$2000"),'Calculations'!$EM207)="VICE PRESIDENT",INDEX(INDIRECT("'WCM Calibration Final'!$H$1:$H$2000"),'Calculations'!$EM207)="ASSISTANT VICE PRESIDENT",INDEX(INDIRECT("'WCM Calibration Final'!$H$1:$H$2000"),'Calculations'!$EM207)="OFFICER"),UPPER(INDEX(INDIRECT("'WCM Calibration Final'!$H$1:$H$2000"),'Calculations'!$EM207)),"Other"),"Other"))</x:f>
      </x:c>
      <x:c r="BW207" s="4"/>
      <x:c r="BX207" s="4"/>
      <x:c r="BY207" s="4" t="n">
        <x:f>IF(AND('Calculations'!BM207=1,'Calculations'!BU207&lt;&gt;"",COUNTIF('Calculations'!$BU$12:BU207,'Calculations'!BU207)=1),MAX('Calculations'!$BY$11:BY206)+1,0)</x:f>
        <x:v>0</x:v>
      </x:c>
      <x:c r="BZ207" s="4" t="str">
        <x:f>IF('Dashboard'!$E$67="What",'Calculations'!BO207,'Calculations'!BP207)</x:f>
      </x:c>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t="str">
        <x:f>IF(196&gt;MAX('Calculations'!$HI$13:$HI$512),"",INDEX('Calculations'!$HN$13:$HN$512,MATCH(196,'Calculations'!$HI$13:$HI$512,0)))</x:f>
      </x:c>
      <x:c r="DB207" s="4" t="str">
        <x:f>IF(196&gt;MAX('Calculations'!$HH$13:$HH$512),"",INDEX('Calculations'!$HJ$13:$HJ$512,MATCH(196,'Calculations'!$HH$13:$HH$512,0)))</x:f>
      </x:c>
      <x:c r="DC207" s="4" t="str">
        <x:f>IF(ROW()-11&gt;MAX('Calculations'!$BY$13:$BY$512),"",INDEX('Calculations'!$BU$13:$BU$512,MATCH(ROW()-11,'Calculations'!$BY$13:$BY$512,0)))</x:f>
      </x:c>
      <x:c r="DD207" s="4" t="str">
        <x:f>IF(196&gt;MAX('Calculations'!$IK$13:$IK$512),"",INDEX('Calculations'!$HK$13:$HK$512,MATCH(196,'Calculations'!$IK$13:$IK$512,0)))</x:f>
      </x:c>
      <x:c r="DE207" s="4" t="str">
        <x:f>'Calculations'!DC207</x:f>
      </x:c>
      <x:c r="DF207" s="4" t="str">
        <x:f>IF('Calculations'!DE207="","",COUNTIFS('Calculations'!$BN$13:$BN$512,1,'Calculations'!$BU$13:$BU$512,'Calculations'!DE207))</x:f>
      </x:c>
      <x:c r="DG207" s="4" t="str">
        <x:f>IF('Calculations'!DE207="","",COUNTIFS('Calculations'!$BN$13:$BN$512,1,'Calculations'!$BU$13:$BU$512,'Calculations'!DE207,'Calculations'!$BT$13:$BT$512,1))</x:f>
      </x:c>
      <x:c r="DH207" s="4" t="str">
        <x:f>IF('Calculations'!DE207="","",'Calculations'!DF207-'Calculations'!DG207)</x:f>
      </x:c>
      <x:c r="DI207" s="4" t="str">
        <x:f>IF(OR('Calculations'!DE207="",'Calculations'!DF207=0),"",'Calculations'!DG207/'Calculations'!DF207)</x:f>
      </x:c>
      <x:c r="DJ207" s="4" t="str">
        <x:f>IF('Calculations'!DE207="","",COUNTIFS('Calculations'!$BN$13:$BN$512,1,'Calculations'!$BU$13:$BU$512,'Calculations'!DE207,'Calculations'!$BT$13:$BT$512,1,'Calculations'!$EE$13:$EE$512,"High"))</x:f>
      </x:c>
      <x:c r="DK207" s="4" t="str">
        <x:f>IF('Calculations'!DE207="","",COUNTIFS('Calculations'!$BN$13:$BN$512,1,'Calculations'!$BU$13:$BU$512,'Calculations'!DE207,'Calculations'!$BT$13:$BT$512,1,'Calculations'!$EE$13:$EE$512,"Strong"))</x:f>
      </x:c>
      <x:c r="DL207" s="4" t="str">
        <x:f>IF('Calculations'!DE207="","",COUNTIFS('Calculations'!$BN$13:$BN$512,1,'Calculations'!$BU$13:$BU$512,'Calculations'!DE207,'Calculations'!$BT$13:$BT$512,1,'Calculations'!$EE$13:$EE$512,"Solid"))</x:f>
      </x:c>
      <x:c r="DM207" s="4" t="str">
        <x:f>IF('Calculations'!DE207="","",COUNTIFS('Calculations'!$BN$13:$BN$512,1,'Calculations'!$BU$13:$BU$512,'Calculations'!DE207,'Calculations'!$BT$13:$BT$512,1,'Calculations'!$EE$13:$EE$512,"Low"))</x:f>
      </x:c>
      <x:c r="DN207" s="4" t="str">
        <x:f>IF('Calculations'!DE207="","",COUNTIFS('Calculations'!$BN$13:$BN$512,1,'Calculations'!$BU$13:$BU$512,'Calculations'!DE207,'Calculations'!$EP$13:$EP$512,1))</x:f>
      </x:c>
      <x:c r="DO207" s="4" t="str">
        <x:f>IF(OR('Calculations'!DE207="",'Calculations'!DG207=0),"",('Calculations'!DJ207+'Calculations'!DK207)/'Calculations'!DG207)</x:f>
      </x:c>
      <x:c r="DP207" s="4" t="n">
        <x:f>IF(AND('Calculations'!DE207&lt;&gt;"",'Calculations'!DF207&gt;0),COUNTIF('Calculations'!$DF$12:DF207,"&gt;0"),0)</x:f>
        <x:v>0</x:v>
      </x:c>
      <x:c r="DQ207" s="4" t="str">
        <x:f>IF(196&gt;MAX('Calculations'!$HH$13:$HH$512),"",INDEX('Calculations'!$HF$13:$HF$512,MATCH(196,'Calculations'!$HH$13:$HH$512,0)))</x:f>
      </x:c>
      <x:c r="DR207" s="4" t="str">
        <x:f>IF(196&gt;MAX('Calculations'!$IK$13:$IK$512),"",INDEX('Calculations'!$HE$13:$HE$512,MATCH(196,'Calculations'!$IK$13:$IK$512,0)))</x:f>
      </x:c>
      <x:c r="DS207" s="4"/>
      <x:c r="DT207" s="4"/>
      <x:c r="DU207" s="4"/>
      <x:c r="DV207" s="4"/>
      <x:c r="DW207" s="4"/>
      <x:c r="DX207" s="4"/>
      <x:c r="DY207" s="4"/>
      <x:c r="DZ207" s="4"/>
      <x:c r="EA207" s="4"/>
      <x:c r="EB207" s="4"/>
      <x:c r="EC207" s="4"/>
      <x:c r="ED207" s="4"/>
      <x:c r="EE207" s="4" t="str">
        <x:f>IF('Calculations'!BT207=0,"Not Rated",IF(OR('Calculations'!BO207&gt;=4,'Calculations'!BP207&gt;=4),"Low",IF('Calculations'!BO207+'Calculations'!BP207&lt;=3,"High",IF('Calculations'!BO207+'Calculations'!BP207&lt;=4,"Strong","Solid"))))</x:f>
        <x:v>Not Rated</x:v>
      </x:c>
      <x:c r="EF207" s="4"/>
      <x:c r="EG207" s="4"/>
      <x:c r="EH207" s="4"/>
      <x:c r="EI207" s="4"/>
      <x:c r="EJ207" s="4"/>
      <x:c r="EK207" s="4"/>
      <x:c r="EL207" s="4"/>
      <x:c r="EM207" s="4" t="str">
        <x:f>IF(195&gt;'Calculations'!$JB$2000,"",INDEX('Calculations'!$JA$12:$JA$2000,MATCH(195,'Calculations'!$JB$12:$JB$2000,0)))</x:f>
      </x:c>
      <x:c r="EN207" s="4" t="n">
        <x:f>IF(OR('Calculations'!EM207="",'Calculations'!$AG$8&gt;0,AND('Calculations'!$EF$2&lt;&gt;"All",'Calculations'!HE207='Calculations'!$EF$2),AND('Calculations'!$EF$3&lt;&gt;"All",'Calculations'!HE207='Calculations'!$EF$3)),0,IF(OR('Dashboard'!$B$7="All",'Calculations'!HN207='Dashboard'!$B$7),IF('Calculations'!$EF$2="All",1,IF('Calculations'!HL207&gt;0,0,IF(COUNTIF('Calculations'!HO207:II207,"="&amp;SUBSTITUTE(SUBSTITUTE(SUBSTITUTE('Calculations'!$EF$2,"~","~~"),"*","~*"),"?","~?"))=0,0,IF('Calculations'!$EF$3="All",1,IF(COUNTIF('Calculations'!HO207:II207,"="&amp;SUBSTITUTE(SUBSTITUTE(SUBSTITUTE('Calculations'!$EF$3,"~","~~"),"*","~*"),"?","~?"))&gt;0,1,0))))),0))</x:f>
        <x:v>0</x:v>
      </x:c>
      <x:c r="EO207" s="4" t="str">
        <x:f>IF('Calculations'!IJ207="","",IF('Calculations'!IJ207="!UNRESOLVED","Unresolved hierarchy",IFERROR(INDEX('Calculations'!$HK$13:$HK$512,MATCH('Calculations'!IJ207,'Calculations'!$HE$13:$HE$512,0)),IFERROR(INDEX('Calculations'!$HJ$13:$HJ$512,MATCH('Calculations'!IJ207,'Calculations'!$HF$13:$HF$512,0)),'Calculations'!IJ207))))</x:f>
      </x:c>
      <x:c r="EP207" s="4" t="n">
        <x:f>IF(AND('Calculations'!EM207&lt;&gt;"",'Calculations'!HF207='Calculations'!IJ207),1,0)</x:f>
        <x:v>0</x:v>
      </x:c>
      <x:c r="EQ207" s="4"/>
      <x:c r="ER207" s="4"/>
      <x:c r="ES207" s="4"/>
      <x:c r="ET207" s="4"/>
      <x:c r="EU207" s="4"/>
      <x:c r="EV207" s="4"/>
      <x:c r="EW207" s="4"/>
      <x:c r="EX207" s="4"/>
      <x:c r="EY207" s="4"/>
      <x:c r="EZ207" s="4"/>
      <x:c r="FA207" s="4"/>
      <x:c r="FB207" s="4"/>
      <x:c r="FC207" s="4"/>
      <x:c r="FD207" s="4"/>
      <x:c r="FE207" s="4"/>
      <x:c r="FF207" s="4"/>
      <x:c r="FG207" s="4"/>
      <x:c r="FH207" s="4"/>
      <x:c r="FI207" s="4"/>
      <x:c r="FJ207" s="4"/>
      <x:c r="FK207" s="4"/>
      <x:c r="FL207" s="4"/>
      <x:c r="FM207" s="4"/>
      <x:c r="FN207" s="4"/>
      <x:c r="FO207" s="4"/>
      <x:c r="HE207" t="str">
        <x:f>IF('Calculations'!EM207="","",IF(IFERROR(IF(INDEX(INDIRECT("'WCM Calibration Final'!$A$1:$A$2000"),'Calculations'!$EM207)="","",TRIM(INDEX(INDIRECT("'WCM Calibration Final'!$A$1:$A$2000"),'Calculations'!$EM207)&amp;"")),"")&lt;&gt;"","G:"&amp;IFERROR(TEXT(1*INDEX(INDIRECT("'WCM Calibration Final'!$A$1:$A$2000"),'Calculations'!$EM207),"0"),UPPER(IFERROR(IF(INDEX(INDIRECT("'WCM Calibration Final'!$A$1:$A$2000"),'Calculations'!$EM207)="","",TRIM(INDEX(INDIRECT("'WCM Calibration Final'!$A$1:$A$2000"),'Calculations'!$EM207)&amp;"")),""))),IF(IFERROR(IF(INDEX(INDIRECT("'WCM Calibration Final'!$C$1:$C$2000"),'Calculations'!$EM207)="","",TRIM(INDEX(INDIRECT("'WCM Calibration Final'!$C$1:$C$2000"),'Calculations'!$EM207)&amp;"")),"")&lt;&gt;"","S:"&amp;UPPER(IFERROR(IF(INDEX(INDIRECT("'WCM Calibration Final'!$C$1:$C$2000"),'Calculations'!$EM207)="","",TRIM(INDEX(INDIRECT("'WCM Calibration Final'!$C$1:$C$2000"),'Calculations'!$EM207)&amp;"")),"")),"R:"&amp;'Calculations'!EM207)))</x:f>
      </x:c>
      <x:c r="HF207" t="str">
        <x:f>IF('Calculations'!EM207="","",IF(IFERROR(IF(INDEX(INDIRECT("'WCM Calibration Final'!$D$1:$D$2000"),'Calculations'!$EM207)="","",TRIM(INDEX(INDIRECT("'WCM Calibration Final'!$D$1:$D$2000"),'Calculations'!$EM207)&amp;"")),"")&lt;&gt;"","G:"&amp;IFERROR(TEXT(1*INDEX(INDIRECT("'WCM Calibration Final'!$D$1:$D$2000"),'Calculations'!$EM207),"0"),UPPER(IFERROR(IF(INDEX(INDIRECT("'WCM Calibration Final'!$D$1:$D$2000"),'Calculations'!$EM207)="","",TRIM(INDEX(INDIRECT("'WCM Calibration Final'!$D$1:$D$2000"),'Calculations'!$EM207)&amp;"")),""))),IF(IFERROR(IF(INDEX(INDIRECT("'WCM Calibration Final'!$E$1:$E$2000"),'Calculations'!$EM207)="","",TRIM(INDEX(INDIRECT("'WCM Calibration Final'!$E$1:$E$2000"),'Calculations'!$EM207)&amp;"")),"")="","",IF(COUNTIF('Calculations'!$HG$13:$HG$512,"="&amp;SUBSTITUTE(SUBSTITUTE(SUBSTITUTE(IFERROR(IF(INDEX(INDIRECT("'WCM Calibration Final'!$E$1:$E$2000"),'Calculations'!$EM207)="","",TRIM(INDEX(INDIRECT("'WCM Calibration Final'!$E$1:$E$2000"),'Calculations'!$EM207)&amp;"")),""),"~","~~"),"*","~*"),"?","~?"))=1,INDEX('Calculations'!$HE$13:$HE$512,MATCH(IFERROR(IF(INDEX(INDIRECT("'WCM Calibration Final'!$E$1:$E$2000"),'Calculations'!$EM207)="","",TRIM(INDEX(INDIRECT("'WCM Calibration Final'!$E$1:$E$2000"),'Calculations'!$EM207)&amp;"")),""),'Calculations'!$HG$13:$HG$512,0)),IF(COUNTIF('Calculations'!$HG$13:$HG$512,"="&amp;SUBSTITUTE(SUBSTITUTE(SUBSTITUTE(IFERROR(IF(INDEX(INDIRECT("'WCM Calibration Final'!$E$1:$E$2000"),'Calculations'!$EM207)="","",TRIM(INDEX(INDIRECT("'WCM Calibration Final'!$E$1:$E$2000"),'Calculations'!$EM207)&amp;"")),""),"~","~~"),"*","~*"),"?","~?"))&gt;1,"!AMBIG","X:"&amp;IFERROR(IF(INDEX(INDIRECT("'WCM Calibration Final'!$E$1:$E$2000"),'Calculations'!$EM207)="","",TRIM(INDEX(INDIRECT("'WCM Calibration Final'!$E$1:$E$2000"),'Calculations'!$EM207)&amp;"")),""))))))</x:f>
      </x:c>
      <x:c r="HG207" t="str">
        <x:f>IF('Calculations'!EM207="","",IFERROR(IF(INDEX(INDIRECT("'WCM Calibration Final'!$B$1:$B$2000"),'Calculations'!$EM207)="","",TRIM(INDEX(INDIRECT("'WCM Calibration Final'!$B$1:$B$2000"),'Calculations'!$EM207)&amp;"")),""))</x:f>
      </x:c>
      <x:c r="HH207" t="n">
        <x:f>IF(AND('Calculations'!JC207&gt;0,COUNTIF('Calculations'!$HF$12:HF207,"="&amp;SUBSTITUTE(SUBSTITUTE(SUBSTITUTE('Calculations'!HF207,"~","~~"),"*","~*"),"?","~?"))=1),MAX('Calculations'!$HH$12:HH206)+1,0)</x:f>
        <x:v>0</x:v>
      </x:c>
      <x:c r="HI207" t="n">
        <x:f>IF(AND('Calculations'!HN207&lt;&gt;"",COUNTIF('Calculations'!$HN$12:HN207,"="&amp;SUBSTITUTE(SUBSTITUTE(SUBSTITUTE('Calculations'!HN207,"~","~~"),"*","~*"),"?","~?"))=1),MAX('Calculations'!$HI$12:HI206)+1,0)</x:f>
        <x:v>0</x:v>
      </x:c>
      <x:c r="HJ207" t="str">
        <x:f>IF('Calculations'!HF207="","",IF(COUNTIF('Calculations'!$HE$13:$HE$512,"="&amp;SUBSTITUTE(SUBSTITUTE(SUBSTITUTE('Calculations'!HF207,"~","~~"),"*","~*"),"?","~?"))=1,INDEX('Calculations'!$HK$13:$HK$512,MATCH('Calculations'!HF207,'Calculations'!$HE$13:$HE$512,0)),IFERROR(IF(INDEX(INDIRECT("'WCM Calibration Final'!$E$1:$E$2000"),'Calculations'!$EM207)="","",TRIM(INDEX(INDIRECT("'WCM Calibration Final'!$E$1:$E$2000"),'Calculations'!$EM207)&amp;"")),"")&amp;" ["&amp;'Calculations'!HF207&amp;"]"))</x:f>
      </x:c>
      <x:c r="HK207" t="str">
        <x:f>IF('Calculations'!EM207="","",'Calculations'!HG207&amp;" ["&amp;'Calculations'!HE207&amp;"]")</x:f>
      </x:c>
      <x:c r="HL207" t="n">
        <x:f>IF('Calculations'!EM207="",0,IF(OR('Calculations'!II207&lt;&gt;"",COUNTIF('Calculations'!$HE$13:$HE$512,"="&amp;SUBSTITUTE(SUBSTITUTE(SUBSTITUTE('Calculations'!HE207,"~","~~"),"*","~*"),"?","~?"))&gt;1),1,0))</x:f>
        <x:v>0</x:v>
      </x:c>
      <x:c r="HM207" t="str">
        <x:f>IF('Calculations'!EM207="","",IF('Calculations'!HL207=1,"!UNRESOLVED",IF('Calculations'!IH207&lt;&gt;"",'Calculations'!IH207,IF('Calculations'!IG207&lt;&gt;"",'Calculations'!IG207,IF('Calculations'!IF207&lt;&gt;"",'Calculations'!IF207,IF('Calculations'!IE207&lt;&gt;"",'Calculations'!IE207,IF('Calculations'!ID207&lt;&gt;"",'Calculations'!ID207,IF('Calculations'!IC207&lt;&gt;"",'Calculations'!IC207,IF('Calculations'!IB207&lt;&gt;"",'Calculations'!IB207,IF('Calculations'!IA207&lt;&gt;"",'Calculations'!IA207,IF('Calculations'!HZ207&lt;&gt;"",'Calculations'!HZ207,IF('Calculations'!HY207&lt;&gt;"",'Calculations'!HY207,IF('Calculations'!HX207&lt;&gt;"",'Calculations'!HX207,IF('Calculations'!HW207&lt;&gt;"",'Calculations'!HW207,IF('Calculations'!HV207&lt;&gt;"",'Calculations'!HV207,IF('Calculations'!HU207&lt;&gt;"",'Calculations'!HU207,IF('Calculations'!HT207&lt;&gt;"",'Calculations'!HT207,IF('Calculations'!HS207&lt;&gt;"",'Calculations'!HS207,IF('Calculations'!HR207&lt;&gt;"",'Calculations'!HR207,IF('Calculations'!HQ207&lt;&gt;"",'Calculations'!HQ207,IF('Calculations'!HP207&lt;&gt;"",'Calculations'!HP207,IF('Calculations'!HO207&lt;&gt;"",'Calculations'!HO207,'Calculations'!HE207))))))))))))))))))))))</x:f>
      </x:c>
      <x:c r="HN207" t="str">
        <x:f>IF('Calculations'!EM207="","",IF(IFERROR(IF(INDEX(INDIRECT("'WCM Calibration Final'!$F$1:$F$2000"),'Calculations'!$EM207)="","",TRIM(INDEX(INDIRECT("'WCM Calibration Final'!$F$1:$F$2000"),'Calculations'!$EM207)&amp;"")),"")="","(Blank)",IFERROR(IF(INDEX(INDIRECT("'WCM Calibration Final'!$F$1:$F$2000"),'Calculations'!$EM207)="","",TRIM(INDEX(INDIRECT("'WCM Calibration Final'!$F$1:$F$2000"),'Calculations'!$EM207)&amp;"")),"")))</x:f>
      </x:c>
      <x:c r="HO207" t="str">
        <x:f>'Calculations'!HF207</x:f>
      </x:c>
      <x:c r="HP207" t="str">
        <x:f>IF('Calculations'!HO207="","",IF('Calculations'!HO207="!AMBIG","!AMBIG",IF(COUNTIF('Calculations'!$HE$13:$HE$512,"="&amp;SUBSTITUTE(SUBSTITUTE(SUBSTITUTE('Calculations'!HO207,"~","~~"),"*","~*"),"?","~?"))&gt;1,"!AMBIG",IFERROR(INDEX('Calculations'!$HF$13:$HF$512,MATCH('Calculations'!HO207,'Calculations'!$HE$13:$HE$512,0)),""))))</x:f>
      </x:c>
      <x:c r="HQ207" t="str">
        <x:f>IF('Calculations'!HP207="","",IF('Calculations'!HP207="!AMBIG","!AMBIG",IF(COUNTIF('Calculations'!$HE$13:$HE$512,"="&amp;SUBSTITUTE(SUBSTITUTE(SUBSTITUTE('Calculations'!HP207,"~","~~"),"*","~*"),"?","~?"))&gt;1,"!AMBIG",IFERROR(INDEX('Calculations'!$HF$13:$HF$512,MATCH('Calculations'!HP207,'Calculations'!$HE$13:$HE$512,0)),""))))</x:f>
      </x:c>
      <x:c r="HR207" t="str">
        <x:f>IF('Calculations'!HQ207="","",IF('Calculations'!HQ207="!AMBIG","!AMBIG",IF(COUNTIF('Calculations'!$HE$13:$HE$512,"="&amp;SUBSTITUTE(SUBSTITUTE(SUBSTITUTE('Calculations'!HQ207,"~","~~"),"*","~*"),"?","~?"))&gt;1,"!AMBIG",IFERROR(INDEX('Calculations'!$HF$13:$HF$512,MATCH('Calculations'!HQ207,'Calculations'!$HE$13:$HE$512,0)),""))))</x:f>
      </x:c>
      <x:c r="HS207" t="str">
        <x:f>IF('Calculations'!HR207="","",IF('Calculations'!HR207="!AMBIG","!AMBIG",IF(COUNTIF('Calculations'!$HE$13:$HE$512,"="&amp;SUBSTITUTE(SUBSTITUTE(SUBSTITUTE('Calculations'!HR207,"~","~~"),"*","~*"),"?","~?"))&gt;1,"!AMBIG",IFERROR(INDEX('Calculations'!$HF$13:$HF$512,MATCH('Calculations'!HR207,'Calculations'!$HE$13:$HE$512,0)),""))))</x:f>
      </x:c>
      <x:c r="HT207" t="str">
        <x:f>IF('Calculations'!HS207="","",IF('Calculations'!HS207="!AMBIG","!AMBIG",IF(COUNTIF('Calculations'!$HE$13:$HE$512,"="&amp;SUBSTITUTE(SUBSTITUTE(SUBSTITUTE('Calculations'!HS207,"~","~~"),"*","~*"),"?","~?"))&gt;1,"!AMBIG",IFERROR(INDEX('Calculations'!$HF$13:$HF$512,MATCH('Calculations'!HS207,'Calculations'!$HE$13:$HE$512,0)),""))))</x:f>
      </x:c>
      <x:c r="HU207" t="str">
        <x:f>IF('Calculations'!HT207="","",IF('Calculations'!HT207="!AMBIG","!AMBIG",IF(COUNTIF('Calculations'!$HE$13:$HE$512,"="&amp;SUBSTITUTE(SUBSTITUTE(SUBSTITUTE('Calculations'!HT207,"~","~~"),"*","~*"),"?","~?"))&gt;1,"!AMBIG",IFERROR(INDEX('Calculations'!$HF$13:$HF$512,MATCH('Calculations'!HT207,'Calculations'!$HE$13:$HE$512,0)),""))))</x:f>
      </x:c>
      <x:c r="HV207" t="str">
        <x:f>IF('Calculations'!HU207="","",IF('Calculations'!HU207="!AMBIG","!AMBIG",IF(COUNTIF('Calculations'!$HE$13:$HE$512,"="&amp;SUBSTITUTE(SUBSTITUTE(SUBSTITUTE('Calculations'!HU207,"~","~~"),"*","~*"),"?","~?"))&gt;1,"!AMBIG",IFERROR(INDEX('Calculations'!$HF$13:$HF$512,MATCH('Calculations'!HU207,'Calculations'!$HE$13:$HE$512,0)),""))))</x:f>
      </x:c>
      <x:c r="HW207" t="str">
        <x:f>IF('Calculations'!HV207="","",IF('Calculations'!HV207="!AMBIG","!AMBIG",IF(COUNTIF('Calculations'!$HE$13:$HE$512,"="&amp;SUBSTITUTE(SUBSTITUTE(SUBSTITUTE('Calculations'!HV207,"~","~~"),"*","~*"),"?","~?"))&gt;1,"!AMBIG",IFERROR(INDEX('Calculations'!$HF$13:$HF$512,MATCH('Calculations'!HV207,'Calculations'!$HE$13:$HE$512,0)),""))))</x:f>
      </x:c>
      <x:c r="HX207" t="str">
        <x:f>IF('Calculations'!HW207="","",IF('Calculations'!HW207="!AMBIG","!AMBIG",IF(COUNTIF('Calculations'!$HE$13:$HE$512,"="&amp;SUBSTITUTE(SUBSTITUTE(SUBSTITUTE('Calculations'!HW207,"~","~~"),"*","~*"),"?","~?"))&gt;1,"!AMBIG",IFERROR(INDEX('Calculations'!$HF$13:$HF$512,MATCH('Calculations'!HW207,'Calculations'!$HE$13:$HE$512,0)),""))))</x:f>
      </x:c>
      <x:c r="HY207" t="str">
        <x:f>IF('Calculations'!HX207="","",IF('Calculations'!HX207="!AMBIG","!AMBIG",IF(COUNTIF('Calculations'!$HE$13:$HE$512,"="&amp;SUBSTITUTE(SUBSTITUTE(SUBSTITUTE('Calculations'!HX207,"~","~~"),"*","~*"),"?","~?"))&gt;1,"!AMBIG",IFERROR(INDEX('Calculations'!$HF$13:$HF$512,MATCH('Calculations'!HX207,'Calculations'!$HE$13:$HE$512,0)),""))))</x:f>
      </x:c>
      <x:c r="HZ207" t="str">
        <x:f>IF('Calculations'!HY207="","",IF('Calculations'!HY207="!AMBIG","!AMBIG",IF(COUNTIF('Calculations'!$HE$13:$HE$512,"="&amp;SUBSTITUTE(SUBSTITUTE(SUBSTITUTE('Calculations'!HY207,"~","~~"),"*","~*"),"?","~?"))&gt;1,"!AMBIG",IFERROR(INDEX('Calculations'!$HF$13:$HF$512,MATCH('Calculations'!HY207,'Calculations'!$HE$13:$HE$512,0)),""))))</x:f>
      </x:c>
      <x:c r="IA207" t="str">
        <x:f>IF('Calculations'!HZ207="","",IF('Calculations'!HZ207="!AMBIG","!AMBIG",IF(COUNTIF('Calculations'!$HE$13:$HE$512,"="&amp;SUBSTITUTE(SUBSTITUTE(SUBSTITUTE('Calculations'!HZ207,"~","~~"),"*","~*"),"?","~?"))&gt;1,"!AMBIG",IFERROR(INDEX('Calculations'!$HF$13:$HF$512,MATCH('Calculations'!HZ207,'Calculations'!$HE$13:$HE$512,0)),""))))</x:f>
      </x:c>
      <x:c r="IB207" t="str">
        <x:f>IF('Calculations'!IA207="","",IF('Calculations'!IA207="!AMBIG","!AMBIG",IF(COUNTIF('Calculations'!$HE$13:$HE$512,"="&amp;SUBSTITUTE(SUBSTITUTE(SUBSTITUTE('Calculations'!IA207,"~","~~"),"*","~*"),"?","~?"))&gt;1,"!AMBIG",IFERROR(INDEX('Calculations'!$HF$13:$HF$512,MATCH('Calculations'!IA207,'Calculations'!$HE$13:$HE$512,0)),""))))</x:f>
      </x:c>
      <x:c r="IC207" t="str">
        <x:f>IF('Calculations'!IB207="","",IF('Calculations'!IB207="!AMBIG","!AMBIG",IF(COUNTIF('Calculations'!$HE$13:$HE$512,"="&amp;SUBSTITUTE(SUBSTITUTE(SUBSTITUTE('Calculations'!IB207,"~","~~"),"*","~*"),"?","~?"))&gt;1,"!AMBIG",IFERROR(INDEX('Calculations'!$HF$13:$HF$512,MATCH('Calculations'!IB207,'Calculations'!$HE$13:$HE$512,0)),""))))</x:f>
      </x:c>
      <x:c r="ID207" t="str">
        <x:f>IF('Calculations'!IC207="","",IF('Calculations'!IC207="!AMBIG","!AMBIG",IF(COUNTIF('Calculations'!$HE$13:$HE$512,"="&amp;SUBSTITUTE(SUBSTITUTE(SUBSTITUTE('Calculations'!IC207,"~","~~"),"*","~*"),"?","~?"))&gt;1,"!AMBIG",IFERROR(INDEX('Calculations'!$HF$13:$HF$512,MATCH('Calculations'!IC207,'Calculations'!$HE$13:$HE$512,0)),""))))</x:f>
      </x:c>
      <x:c r="IE207" t="str">
        <x:f>IF('Calculations'!ID207="","",IF('Calculations'!ID207="!AMBIG","!AMBIG",IF(COUNTIF('Calculations'!$HE$13:$HE$512,"="&amp;SUBSTITUTE(SUBSTITUTE(SUBSTITUTE('Calculations'!ID207,"~","~~"),"*","~*"),"?","~?"))&gt;1,"!AMBIG",IFERROR(INDEX('Calculations'!$HF$13:$HF$512,MATCH('Calculations'!ID207,'Calculations'!$HE$13:$HE$512,0)),""))))</x:f>
      </x:c>
      <x:c r="IF207" t="str">
        <x:f>IF('Calculations'!IE207="","",IF('Calculations'!IE207="!AMBIG","!AMBIG",IF(COUNTIF('Calculations'!$HE$13:$HE$512,"="&amp;SUBSTITUTE(SUBSTITUTE(SUBSTITUTE('Calculations'!IE207,"~","~~"),"*","~*"),"?","~?"))&gt;1,"!AMBIG",IFERROR(INDEX('Calculations'!$HF$13:$HF$512,MATCH('Calculations'!IE207,'Calculations'!$HE$13:$HE$512,0)),""))))</x:f>
      </x:c>
      <x:c r="IG207" t="str">
        <x:f>IF('Calculations'!IF207="","",IF('Calculations'!IF207="!AMBIG","!AMBIG",IF(COUNTIF('Calculations'!$HE$13:$HE$512,"="&amp;SUBSTITUTE(SUBSTITUTE(SUBSTITUTE('Calculations'!IF207,"~","~~"),"*","~*"),"?","~?"))&gt;1,"!AMBIG",IFERROR(INDEX('Calculations'!$HF$13:$HF$512,MATCH('Calculations'!IF207,'Calculations'!$HE$13:$HE$512,0)),""))))</x:f>
      </x:c>
      <x:c r="IH207" t="str">
        <x:f>IF('Calculations'!IG207="","",IF('Calculations'!IG207="!AMBIG","!AMBIG",IF(COUNTIF('Calculations'!$HE$13:$HE$512,"="&amp;SUBSTITUTE(SUBSTITUTE(SUBSTITUTE('Calculations'!IG207,"~","~~"),"*","~*"),"?","~?"))&gt;1,"!AMBIG",IFERROR(INDEX('Calculations'!$HF$13:$HF$512,MATCH('Calculations'!IG207,'Calculations'!$HE$13:$HE$512,0)),""))))</x:f>
      </x:c>
      <x:c r="II207" t="str">
        <x:f>IF('Calculations'!IH207="","",IF('Calculations'!IH207="!AMBIG","!AMBIG",IF(COUNTIF('Calculations'!$HE$13:$HE$512,"="&amp;SUBSTITUTE(SUBSTITUTE(SUBSTITUTE('Calculations'!IH207,"~","~~"),"*","~*"),"?","~?"))&gt;1,"!AMBIG",IFERROR(INDEX('Calculations'!$HF$13:$HF$512,MATCH('Calculations'!IH207,'Calculations'!$HE$13:$HE$512,0)),""))))</x:f>
      </x:c>
      <x:c r="IJ207" t="str">
        <x:f>IF('Calculations'!EM207="","",IF('Calculations'!$EF$2="All",'Calculations'!HM207,IF('Calculations'!HL207=1,"",IFERROR(IF(MATCH('Calculations'!$EF$2,'Calculations'!HO207:II207,0)=1,'Calculations'!HE207,INDEX('Calculations'!HO207:II207,1,MATCH('Calculations'!$EF$2,'Calculations'!HO207:II207,0)-1)),""))))</x:f>
      </x:c>
      <x:c r="IK207" t="n">
        <x:f>IF(AND('Calculations'!EM207&lt;&gt;"",'Calculations'!$EF$2&lt;&gt;"All",'Calculations'!HF207='Calculations'!$EF$2,'Calculations'!HL207=0,'Calculations'!JD207&gt;0),MAX('Calculations'!$IK$12:IK206)+1,0)</x:f>
        <x:v>0</x:v>
      </x:c>
      <x:c r="JA207" t="n">
        <x:f>IF(OR(IFERROR(INDIRECT("'WCM Calibration Final'!$A$207")&lt;&gt;"",FALSE),IFERROR(INDIRECT("'WCM Calibration Final'!$B$207")&lt;&gt;"",FALSE),IFERROR(INDIRECT("'WCM Calibration Final'!$C$207")&lt;&gt;"",FALSE)),207,0)</x:f>
        <x:v>0</x:v>
      </x:c>
      <x:c r="JB207" t="n">
        <x:f>'Calculations'!JB206+IF('Calculations'!JA207&gt;0,1,0)</x:f>
        <x:v>0</x:v>
      </x:c>
      <x:c r="JC207" t="n">
        <x:f>IF(OR('Calculations'!HF207="",'Calculations'!HF207="!AMBIG"),0,IF('Dashboard'!$B$7="All",1,COUNTIFS('Calculations'!$HO$13:$HO$512,"="&amp;SUBSTITUTE(SUBSTITUTE(SUBSTITUTE('Calculations'!HF207,"~","~~"),"*","~*"),"?","~?"),'Calculations'!$HN$13:$HN$512,"="&amp;SUBSTITUTE(SUBSTITUTE(SUBSTITUTE('Dashboard'!$B$7,"~","~~"),"*","~*"),"?","~?"))+COUNTIFS('Calculations'!$HP$13:$HP$512,"="&amp;SUBSTITUTE(SUBSTITUTE(SUBSTITUTE('Calculations'!HF207,"~","~~"),"*","~*"),"?","~?"),'Calculations'!$HN$13:$HN$512,"="&amp;SUBSTITUTE(SUBSTITUTE(SUBSTITUTE('Dashboard'!$B$7,"~","~~"),"*","~*"),"?","~?"))+COUNTIFS('Calculations'!$HQ$13:$HQ$512,"="&amp;SUBSTITUTE(SUBSTITUTE(SUBSTITUTE('Calculations'!HF207,"~","~~"),"*","~*"),"?","~?"),'Calculations'!$HN$13:$HN$512,"="&amp;SUBSTITUTE(SUBSTITUTE(SUBSTITUTE('Dashboard'!$B$7,"~","~~"),"*","~*"),"?","~?"))+COUNTIFS('Calculations'!$HR$13:$HR$512,"="&amp;SUBSTITUTE(SUBSTITUTE(SUBSTITUTE('Calculations'!HF207,"~","~~"),"*","~*"),"?","~?"),'Calculations'!$HN$13:$HN$512,"="&amp;SUBSTITUTE(SUBSTITUTE(SUBSTITUTE('Dashboard'!$B$7,"~","~~"),"*","~*"),"?","~?"))+COUNTIFS('Calculations'!$HS$13:$HS$512,"="&amp;SUBSTITUTE(SUBSTITUTE(SUBSTITUTE('Calculations'!HF207,"~","~~"),"*","~*"),"?","~?"),'Calculations'!$HN$13:$HN$512,"="&amp;SUBSTITUTE(SUBSTITUTE(SUBSTITUTE('Dashboard'!$B$7,"~","~~"),"*","~*"),"?","~?"))+COUNTIFS('Calculations'!$HT$13:$HT$512,"="&amp;SUBSTITUTE(SUBSTITUTE(SUBSTITUTE('Calculations'!HF207,"~","~~"),"*","~*"),"?","~?"),'Calculations'!$HN$13:$HN$512,"="&amp;SUBSTITUTE(SUBSTITUTE(SUBSTITUTE('Dashboard'!$B$7,"~","~~"),"*","~*"),"?","~?"))+COUNTIFS('Calculations'!$HU$13:$HU$512,"="&amp;SUBSTITUTE(SUBSTITUTE(SUBSTITUTE('Calculations'!HF207,"~","~~"),"*","~*"),"?","~?"),'Calculations'!$HN$13:$HN$512,"="&amp;SUBSTITUTE(SUBSTITUTE(SUBSTITUTE('Dashboard'!$B$7,"~","~~"),"*","~*"),"?","~?"))+COUNTIFS('Calculations'!$HV$13:$HV$512,"="&amp;SUBSTITUTE(SUBSTITUTE(SUBSTITUTE('Calculations'!HF207,"~","~~"),"*","~*"),"?","~?"),'Calculations'!$HN$13:$HN$512,"="&amp;SUBSTITUTE(SUBSTITUTE(SUBSTITUTE('Dashboard'!$B$7,"~","~~"),"*","~*"),"?","~?"))+COUNTIFS('Calculations'!$HW$13:$HW$512,"="&amp;SUBSTITUTE(SUBSTITUTE(SUBSTITUTE('Calculations'!HF207,"~","~~"),"*","~*"),"?","~?"),'Calculations'!$HN$13:$HN$512,"="&amp;SUBSTITUTE(SUBSTITUTE(SUBSTITUTE('Dashboard'!$B$7,"~","~~"),"*","~*"),"?","~?"))+COUNTIFS('Calculations'!$HX$13:$HX$512,"="&amp;SUBSTITUTE(SUBSTITUTE(SUBSTITUTE('Calculations'!HF207,"~","~~"),"*","~*"),"?","~?"),'Calculations'!$HN$13:$HN$512,"="&amp;SUBSTITUTE(SUBSTITUTE(SUBSTITUTE('Dashboard'!$B$7,"~","~~"),"*","~*"),"?","~?"))+COUNTIFS('Calculations'!$HY$13:$HY$512,"="&amp;SUBSTITUTE(SUBSTITUTE(SUBSTITUTE('Calculations'!HF207,"~","~~"),"*","~*"),"?","~?"),'Calculations'!$HN$13:$HN$512,"="&amp;SUBSTITUTE(SUBSTITUTE(SUBSTITUTE('Dashboard'!$B$7,"~","~~"),"*","~*"),"?","~?"))+COUNTIFS('Calculations'!$HZ$13:$HZ$512,"="&amp;SUBSTITUTE(SUBSTITUTE(SUBSTITUTE('Calculations'!HF207,"~","~~"),"*","~*"),"?","~?"),'Calculations'!$HN$13:$HN$512,"="&amp;SUBSTITUTE(SUBSTITUTE(SUBSTITUTE('Dashboard'!$B$7,"~","~~"),"*","~*"),"?","~?"))+COUNTIFS('Calculations'!$IA$13:$IA$512,"="&amp;SUBSTITUTE(SUBSTITUTE(SUBSTITUTE('Calculations'!HF207,"~","~~"),"*","~*"),"?","~?"),'Calculations'!$HN$13:$HN$512,"="&amp;SUBSTITUTE(SUBSTITUTE(SUBSTITUTE('Dashboard'!$B$7,"~","~~"),"*","~*"),"?","~?"))+COUNTIFS('Calculations'!$IB$13:$IB$512,"="&amp;SUBSTITUTE(SUBSTITUTE(SUBSTITUTE('Calculations'!HF207,"~","~~"),"*","~*"),"?","~?"),'Calculations'!$HN$13:$HN$512,"="&amp;SUBSTITUTE(SUBSTITUTE(SUBSTITUTE('Dashboard'!$B$7,"~","~~"),"*","~*"),"?","~?"))+COUNTIFS('Calculations'!$IC$13:$IC$512,"="&amp;SUBSTITUTE(SUBSTITUTE(SUBSTITUTE('Calculations'!HF207,"~","~~"),"*","~*"),"?","~?"),'Calculations'!$HN$13:$HN$512,"="&amp;SUBSTITUTE(SUBSTITUTE(SUBSTITUTE('Dashboard'!$B$7,"~","~~"),"*","~*"),"?","~?"))+COUNTIFS('Calculations'!$ID$13:$ID$512,"="&amp;SUBSTITUTE(SUBSTITUTE(SUBSTITUTE('Calculations'!HF207,"~","~~"),"*","~*"),"?","~?"),'Calculations'!$HN$13:$HN$512,"="&amp;SUBSTITUTE(SUBSTITUTE(SUBSTITUTE('Dashboard'!$B$7,"~","~~"),"*","~*"),"?","~?"))+COUNTIFS('Calculations'!$IE$13:$IE$512,"="&amp;SUBSTITUTE(SUBSTITUTE(SUBSTITUTE('Calculations'!HF207,"~","~~"),"*","~*"),"?","~?"),'Calculations'!$HN$13:$HN$512,"="&amp;SUBSTITUTE(SUBSTITUTE(SUBSTITUTE('Dashboard'!$B$7,"~","~~"),"*","~*"),"?","~?"))+COUNTIFS('Calculations'!$IF$13:$IF$512,"="&amp;SUBSTITUTE(SUBSTITUTE(SUBSTITUTE('Calculations'!HF207,"~","~~"),"*","~*"),"?","~?"),'Calculations'!$HN$13:$HN$512,"="&amp;SUBSTITUTE(SUBSTITUTE(SUBSTITUTE('Dashboard'!$B$7,"~","~~"),"*","~*"),"?","~?"))+COUNTIFS('Calculations'!$IG$13:$IG$512,"="&amp;SUBSTITUTE(SUBSTITUTE(SUBSTITUTE('Calculations'!HF207,"~","~~"),"*","~*"),"?","~?"),'Calculations'!$HN$13:$HN$512,"="&amp;SUBSTITUTE(SUBSTITUTE(SUBSTITUTE('Dashboard'!$B$7,"~","~~"),"*","~*"),"?","~?"))+COUNTIFS('Calculations'!$IH$13:$IH$512,"="&amp;SUBSTITUTE(SUBSTITUTE(SUBSTITUTE('Calculations'!HF207,"~","~~"),"*","~*"),"?","~?"),'Calculations'!$HN$13:$HN$512,"="&amp;SUBSTITUTE(SUBSTITUTE(SUBSTITUTE('Dashboard'!$B$7,"~","~~"),"*","~*"),"?","~?"))))</x:f>
        <x:v>0</x:v>
      </x:c>
      <x:c r="JD207" t="n">
        <x:f>IF('Calculations'!EM207="",0,IF('Dashboard'!$B$7="All",1,IF('Calculations'!HN207='Dashboard'!$B$7,1,0)+IFERROR(INDEX('Calculations'!$JC$13:$JC$512,MATCH('Calculations'!HE207,'Calculations'!$HF$13:$HF$512,0)),0)))</x:f>
        <x:v>0</x:v>
      </x:c>
      <x:c r="JE207" t="n">
        <x:f>IF(AND('Calculations'!EM207&lt;&gt;"",'Calculations'!$JJ$2&lt;&gt;"All",'Calculations'!$JJ$2&lt;&gt;"",'Calculations'!HF207='Calculations'!$JJ$2,'Calculations'!HL207=0,'Calculations'!JD207&gt;0),MAX('Calculations'!$JE$12:JE206)+1,0)</x:f>
        <x:v>0</x:v>
      </x:c>
      <x:c r="JF207" t="str">
        <x:f>IF('Calculations'!EM207="","",IFERROR(IF(INDEX(INDIRECT("'WCM Calibration Final'!$G$1:$G$2000"),'Calculations'!$EM207)="","",TRIM(INDEX(INDIRECT("'WCM Calibration Final'!$G$1:$G$2000"),'Calculations'!$EM207)&amp;"")),""))</x:f>
      </x:c>
      <x:c r="JQ207" t="n">
        <x:f>IF(OR('Calculations'!BM207=0,NOT('Calculations'!$AG$2),'Calculations'!$AG$8&gt;0),0,IF(OR('Dashboard'!$B$7="All",'Calculations'!HN207='Dashboard'!$B$7),IF('Calculations'!$JJ$2="All",1,IF(AND('Calculations'!HF207='Calculations'!$JJ$2,'Calculations'!HL207=0),1,0)),0))</x:f>
        <x:v>0</x:v>
      </x:c>
    </x:row>
    <x:row r="208">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t="n">
        <x:f>IF('Calculations'!$EM208="",0,IF(OR(IFERROR(INDEX(INDIRECT("'WCM Calibration Final'!$A$1:$A$2000"),'Calculations'!$EM208)&lt;&gt;"",FALSE),IFERROR(INDEX(INDIRECT("'WCM Calibration Final'!$B$1:$B$2000"),'Calculations'!$EM208)&lt;&gt;"",FALSE),IFERROR(INDEX(INDIRECT("'WCM Calibration Final'!$C$1:$C$2000"),'Calculations'!$EM208)&lt;&gt;"",FALSE)),1,0))</x:f>
        <x:v>0</x:v>
      </x:c>
      <x:c r="BN208" s="4" t="n">
        <x:f>IF(AND('Calculations'!BM208=1,'Calculations'!$AG$2,'Calculations'!$EN208=1),1,0)</x:f>
        <x:v>0</x:v>
      </x:c>
      <x:c r="BO208" s="4" t="str">
        <x:f>IF('Calculations'!BM208=0,"",IFERROR(IF(AND(VALUE(INDEX(INDIRECT("'WCM Calibration Final'!$K$1:$K$2000"),'Calculations'!$EM208))&gt;=1,VALUE(INDEX(INDIRECT("'WCM Calibration Final'!$K$1:$K$2000"),'Calculations'!$EM208))&lt;=4,MOD(VALUE(INDEX(INDIRECT("'WCM Calibration Final'!$K$1:$K$2000"),'Calculations'!$EM208)),1)=0),VALUE(INDEX(INDIRECT("'WCM Calibration Final'!$K$1:$K$2000"),'Calculations'!$EM208)),""),""))</x:f>
      </x:c>
      <x:c r="BP208" s="4" t="str">
        <x:f>IF('Calculations'!BM208=0,"",IFERROR(IF(AND(VALUE(INDEX(INDIRECT("'WCM Calibration Final'!$L$1:$L$2000"),'Calculations'!$EM208))&gt;=1,VALUE(INDEX(INDIRECT("'WCM Calibration Final'!$L$1:$L$2000"),'Calculations'!$EM208))&lt;=4,MOD(VALUE(INDEX(INDIRECT("'WCM Calibration Final'!$L$1:$L$2000"),'Calculations'!$EM208)),1)=0),VALUE(INDEX(INDIRECT("'WCM Calibration Final'!$L$1:$L$2000"),'Calculations'!$EM208)),""),""))</x:f>
      </x:c>
      <x:c r="BQ208" s="4"/>
      <x:c r="BR208" s="4"/>
      <x:c r="BS208" s="4"/>
      <x:c r="BT208" s="4" t="n">
        <x:f>IF(AND('Calculations'!BM208=1,ISNUMBER('Calculations'!BO208),ISNUMBER('Calculations'!BP208)),1,0)</x:f>
        <x:v>0</x:v>
      </x:c>
      <x:c r="BU208" s="4" t="str">
        <x:f>IF('Calculations'!BM208=0,"",'Calculations'!$EO208)</x:f>
      </x:c>
      <x:c r="BV208" s="4" t="str">
        <x:f>IF('Calculations'!BM208=0,"",IFERROR(IF(OR(INDEX(INDIRECT("'WCM Calibration Final'!$H$1:$H$2000"),'Calculations'!$EM208)="MANAGING DIRECTOR",INDEX(INDIRECT("'WCM Calibration Final'!$H$1:$H$2000"),'Calculations'!$EM208)="DIRECTOR",INDEX(INDIRECT("'WCM Calibration Final'!$H$1:$H$2000"),'Calculations'!$EM208)="SENIOR VICE PRESIDENT",INDEX(INDIRECT("'WCM Calibration Final'!$H$1:$H$2000"),'Calculations'!$EM208)="VICE PRESIDENT",INDEX(INDIRECT("'WCM Calibration Final'!$H$1:$H$2000"),'Calculations'!$EM208)="ASSISTANT VICE PRESIDENT",INDEX(INDIRECT("'WCM Calibration Final'!$H$1:$H$2000"),'Calculations'!$EM208)="OFFICER"),UPPER(INDEX(INDIRECT("'WCM Calibration Final'!$H$1:$H$2000"),'Calculations'!$EM208)),"Other"),"Other"))</x:f>
      </x:c>
      <x:c r="BW208" s="4"/>
      <x:c r="BX208" s="4"/>
      <x:c r="BY208" s="4" t="n">
        <x:f>IF(AND('Calculations'!BM208=1,'Calculations'!BU208&lt;&gt;"",COUNTIF('Calculations'!$BU$12:BU208,'Calculations'!BU208)=1),MAX('Calculations'!$BY$11:BY207)+1,0)</x:f>
        <x:v>0</x:v>
      </x:c>
      <x:c r="BZ208" s="4" t="str">
        <x:f>IF('Dashboard'!$E$67="What",'Calculations'!BO208,'Calculations'!BP208)</x:f>
      </x:c>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t="str">
        <x:f>IF(197&gt;MAX('Calculations'!$HI$13:$HI$512),"",INDEX('Calculations'!$HN$13:$HN$512,MATCH(197,'Calculations'!$HI$13:$HI$512,0)))</x:f>
      </x:c>
      <x:c r="DB208" s="4" t="str">
        <x:f>IF(197&gt;MAX('Calculations'!$HH$13:$HH$512),"",INDEX('Calculations'!$HJ$13:$HJ$512,MATCH(197,'Calculations'!$HH$13:$HH$512,0)))</x:f>
      </x:c>
      <x:c r="DC208" s="4" t="str">
        <x:f>IF(ROW()-11&gt;MAX('Calculations'!$BY$13:$BY$512),"",INDEX('Calculations'!$BU$13:$BU$512,MATCH(ROW()-11,'Calculations'!$BY$13:$BY$512,0)))</x:f>
      </x:c>
      <x:c r="DD208" s="4" t="str">
        <x:f>IF(197&gt;MAX('Calculations'!$IK$13:$IK$512),"",INDEX('Calculations'!$HK$13:$HK$512,MATCH(197,'Calculations'!$IK$13:$IK$512,0)))</x:f>
      </x:c>
      <x:c r="DE208" s="4" t="str">
        <x:f>'Calculations'!DC208</x:f>
      </x:c>
      <x:c r="DF208" s="4" t="str">
        <x:f>IF('Calculations'!DE208="","",COUNTIFS('Calculations'!$BN$13:$BN$512,1,'Calculations'!$BU$13:$BU$512,'Calculations'!DE208))</x:f>
      </x:c>
      <x:c r="DG208" s="4" t="str">
        <x:f>IF('Calculations'!DE208="","",COUNTIFS('Calculations'!$BN$13:$BN$512,1,'Calculations'!$BU$13:$BU$512,'Calculations'!DE208,'Calculations'!$BT$13:$BT$512,1))</x:f>
      </x:c>
      <x:c r="DH208" s="4" t="str">
        <x:f>IF('Calculations'!DE208="","",'Calculations'!DF208-'Calculations'!DG208)</x:f>
      </x:c>
      <x:c r="DI208" s="4" t="str">
        <x:f>IF(OR('Calculations'!DE208="",'Calculations'!DF208=0),"",'Calculations'!DG208/'Calculations'!DF208)</x:f>
      </x:c>
      <x:c r="DJ208" s="4" t="str">
        <x:f>IF('Calculations'!DE208="","",COUNTIFS('Calculations'!$BN$13:$BN$512,1,'Calculations'!$BU$13:$BU$512,'Calculations'!DE208,'Calculations'!$BT$13:$BT$512,1,'Calculations'!$EE$13:$EE$512,"High"))</x:f>
      </x:c>
      <x:c r="DK208" s="4" t="str">
        <x:f>IF('Calculations'!DE208="","",COUNTIFS('Calculations'!$BN$13:$BN$512,1,'Calculations'!$BU$13:$BU$512,'Calculations'!DE208,'Calculations'!$BT$13:$BT$512,1,'Calculations'!$EE$13:$EE$512,"Strong"))</x:f>
      </x:c>
      <x:c r="DL208" s="4" t="str">
        <x:f>IF('Calculations'!DE208="","",COUNTIFS('Calculations'!$BN$13:$BN$512,1,'Calculations'!$BU$13:$BU$512,'Calculations'!DE208,'Calculations'!$BT$13:$BT$512,1,'Calculations'!$EE$13:$EE$512,"Solid"))</x:f>
      </x:c>
      <x:c r="DM208" s="4" t="str">
        <x:f>IF('Calculations'!DE208="","",COUNTIFS('Calculations'!$BN$13:$BN$512,1,'Calculations'!$BU$13:$BU$512,'Calculations'!DE208,'Calculations'!$BT$13:$BT$512,1,'Calculations'!$EE$13:$EE$512,"Low"))</x:f>
      </x:c>
      <x:c r="DN208" s="4" t="str">
        <x:f>IF('Calculations'!DE208="","",COUNTIFS('Calculations'!$BN$13:$BN$512,1,'Calculations'!$BU$13:$BU$512,'Calculations'!DE208,'Calculations'!$EP$13:$EP$512,1))</x:f>
      </x:c>
      <x:c r="DO208" s="4" t="str">
        <x:f>IF(OR('Calculations'!DE208="",'Calculations'!DG208=0),"",('Calculations'!DJ208+'Calculations'!DK208)/'Calculations'!DG208)</x:f>
      </x:c>
      <x:c r="DP208" s="4" t="n">
        <x:f>IF(AND('Calculations'!DE208&lt;&gt;"",'Calculations'!DF208&gt;0),COUNTIF('Calculations'!$DF$12:DF208,"&gt;0"),0)</x:f>
        <x:v>0</x:v>
      </x:c>
      <x:c r="DQ208" s="4" t="str">
        <x:f>IF(197&gt;MAX('Calculations'!$HH$13:$HH$512),"",INDEX('Calculations'!$HF$13:$HF$512,MATCH(197,'Calculations'!$HH$13:$HH$512,0)))</x:f>
      </x:c>
      <x:c r="DR208" s="4" t="str">
        <x:f>IF(197&gt;MAX('Calculations'!$IK$13:$IK$512),"",INDEX('Calculations'!$HE$13:$HE$512,MATCH(197,'Calculations'!$IK$13:$IK$512,0)))</x:f>
      </x:c>
      <x:c r="DS208" s="4"/>
      <x:c r="DT208" s="4"/>
      <x:c r="DU208" s="4"/>
      <x:c r="DV208" s="4"/>
      <x:c r="DW208" s="4"/>
      <x:c r="DX208" s="4"/>
      <x:c r="DY208" s="4"/>
      <x:c r="DZ208" s="4"/>
      <x:c r="EA208" s="4"/>
      <x:c r="EB208" s="4"/>
      <x:c r="EC208" s="4"/>
      <x:c r="ED208" s="4"/>
      <x:c r="EE208" s="4" t="str">
        <x:f>IF('Calculations'!BT208=0,"Not Rated",IF(OR('Calculations'!BO208&gt;=4,'Calculations'!BP208&gt;=4),"Low",IF('Calculations'!BO208+'Calculations'!BP208&lt;=3,"High",IF('Calculations'!BO208+'Calculations'!BP208&lt;=4,"Strong","Solid"))))</x:f>
        <x:v>Not Rated</x:v>
      </x:c>
      <x:c r="EF208" s="4"/>
      <x:c r="EG208" s="4"/>
      <x:c r="EH208" s="4"/>
      <x:c r="EI208" s="4"/>
      <x:c r="EJ208" s="4"/>
      <x:c r="EK208" s="4"/>
      <x:c r="EL208" s="4"/>
      <x:c r="EM208" s="4" t="str">
        <x:f>IF(196&gt;'Calculations'!$JB$2000,"",INDEX('Calculations'!$JA$12:$JA$2000,MATCH(196,'Calculations'!$JB$12:$JB$2000,0)))</x:f>
      </x:c>
      <x:c r="EN208" s="4" t="n">
        <x:f>IF(OR('Calculations'!EM208="",'Calculations'!$AG$8&gt;0,AND('Calculations'!$EF$2&lt;&gt;"All",'Calculations'!HE208='Calculations'!$EF$2),AND('Calculations'!$EF$3&lt;&gt;"All",'Calculations'!HE208='Calculations'!$EF$3)),0,IF(OR('Dashboard'!$B$7="All",'Calculations'!HN208='Dashboard'!$B$7),IF('Calculations'!$EF$2="All",1,IF('Calculations'!HL208&gt;0,0,IF(COUNTIF('Calculations'!HO208:II208,"="&amp;SUBSTITUTE(SUBSTITUTE(SUBSTITUTE('Calculations'!$EF$2,"~","~~"),"*","~*"),"?","~?"))=0,0,IF('Calculations'!$EF$3="All",1,IF(COUNTIF('Calculations'!HO208:II208,"="&amp;SUBSTITUTE(SUBSTITUTE(SUBSTITUTE('Calculations'!$EF$3,"~","~~"),"*","~*"),"?","~?"))&gt;0,1,0))))),0))</x:f>
        <x:v>0</x:v>
      </x:c>
      <x:c r="EO208" s="4" t="str">
        <x:f>IF('Calculations'!IJ208="","",IF('Calculations'!IJ208="!UNRESOLVED","Unresolved hierarchy",IFERROR(INDEX('Calculations'!$HK$13:$HK$512,MATCH('Calculations'!IJ208,'Calculations'!$HE$13:$HE$512,0)),IFERROR(INDEX('Calculations'!$HJ$13:$HJ$512,MATCH('Calculations'!IJ208,'Calculations'!$HF$13:$HF$512,0)),'Calculations'!IJ208))))</x:f>
      </x:c>
      <x:c r="EP208" s="4" t="n">
        <x:f>IF(AND('Calculations'!EM208&lt;&gt;"",'Calculations'!HF208='Calculations'!IJ208),1,0)</x:f>
        <x:v>0</x:v>
      </x:c>
      <x:c r="EQ208" s="4"/>
      <x:c r="ER208" s="4"/>
      <x:c r="ES208" s="4"/>
      <x:c r="ET208" s="4"/>
      <x:c r="EU208" s="4"/>
      <x:c r="EV208" s="4"/>
      <x:c r="EW208" s="4"/>
      <x:c r="EX208" s="4"/>
      <x:c r="EY208" s="4"/>
      <x:c r="EZ208" s="4"/>
      <x:c r="FA208" s="4"/>
      <x:c r="FB208" s="4"/>
      <x:c r="FC208" s="4"/>
      <x:c r="FD208" s="4"/>
      <x:c r="FE208" s="4"/>
      <x:c r="FF208" s="4"/>
      <x:c r="FG208" s="4"/>
      <x:c r="FH208" s="4"/>
      <x:c r="FI208" s="4"/>
      <x:c r="FJ208" s="4"/>
      <x:c r="FK208" s="4"/>
      <x:c r="FL208" s="4"/>
      <x:c r="FM208" s="4"/>
      <x:c r="FN208" s="4"/>
      <x:c r="FO208" s="4"/>
      <x:c r="HE208" t="str">
        <x:f>IF('Calculations'!EM208="","",IF(IFERROR(IF(INDEX(INDIRECT("'WCM Calibration Final'!$A$1:$A$2000"),'Calculations'!$EM208)="","",TRIM(INDEX(INDIRECT("'WCM Calibration Final'!$A$1:$A$2000"),'Calculations'!$EM208)&amp;"")),"")&lt;&gt;"","G:"&amp;IFERROR(TEXT(1*INDEX(INDIRECT("'WCM Calibration Final'!$A$1:$A$2000"),'Calculations'!$EM208),"0"),UPPER(IFERROR(IF(INDEX(INDIRECT("'WCM Calibration Final'!$A$1:$A$2000"),'Calculations'!$EM208)="","",TRIM(INDEX(INDIRECT("'WCM Calibration Final'!$A$1:$A$2000"),'Calculations'!$EM208)&amp;"")),""))),IF(IFERROR(IF(INDEX(INDIRECT("'WCM Calibration Final'!$C$1:$C$2000"),'Calculations'!$EM208)="","",TRIM(INDEX(INDIRECT("'WCM Calibration Final'!$C$1:$C$2000"),'Calculations'!$EM208)&amp;"")),"")&lt;&gt;"","S:"&amp;UPPER(IFERROR(IF(INDEX(INDIRECT("'WCM Calibration Final'!$C$1:$C$2000"),'Calculations'!$EM208)="","",TRIM(INDEX(INDIRECT("'WCM Calibration Final'!$C$1:$C$2000"),'Calculations'!$EM208)&amp;"")),"")),"R:"&amp;'Calculations'!EM208)))</x:f>
      </x:c>
      <x:c r="HF208" t="str">
        <x:f>IF('Calculations'!EM208="","",IF(IFERROR(IF(INDEX(INDIRECT("'WCM Calibration Final'!$D$1:$D$2000"),'Calculations'!$EM208)="","",TRIM(INDEX(INDIRECT("'WCM Calibration Final'!$D$1:$D$2000"),'Calculations'!$EM208)&amp;"")),"")&lt;&gt;"","G:"&amp;IFERROR(TEXT(1*INDEX(INDIRECT("'WCM Calibration Final'!$D$1:$D$2000"),'Calculations'!$EM208),"0"),UPPER(IFERROR(IF(INDEX(INDIRECT("'WCM Calibration Final'!$D$1:$D$2000"),'Calculations'!$EM208)="","",TRIM(INDEX(INDIRECT("'WCM Calibration Final'!$D$1:$D$2000"),'Calculations'!$EM208)&amp;"")),""))),IF(IFERROR(IF(INDEX(INDIRECT("'WCM Calibration Final'!$E$1:$E$2000"),'Calculations'!$EM208)="","",TRIM(INDEX(INDIRECT("'WCM Calibration Final'!$E$1:$E$2000"),'Calculations'!$EM208)&amp;"")),"")="","",IF(COUNTIF('Calculations'!$HG$13:$HG$512,"="&amp;SUBSTITUTE(SUBSTITUTE(SUBSTITUTE(IFERROR(IF(INDEX(INDIRECT("'WCM Calibration Final'!$E$1:$E$2000"),'Calculations'!$EM208)="","",TRIM(INDEX(INDIRECT("'WCM Calibration Final'!$E$1:$E$2000"),'Calculations'!$EM208)&amp;"")),""),"~","~~"),"*","~*"),"?","~?"))=1,INDEX('Calculations'!$HE$13:$HE$512,MATCH(IFERROR(IF(INDEX(INDIRECT("'WCM Calibration Final'!$E$1:$E$2000"),'Calculations'!$EM208)="","",TRIM(INDEX(INDIRECT("'WCM Calibration Final'!$E$1:$E$2000"),'Calculations'!$EM208)&amp;"")),""),'Calculations'!$HG$13:$HG$512,0)),IF(COUNTIF('Calculations'!$HG$13:$HG$512,"="&amp;SUBSTITUTE(SUBSTITUTE(SUBSTITUTE(IFERROR(IF(INDEX(INDIRECT("'WCM Calibration Final'!$E$1:$E$2000"),'Calculations'!$EM208)="","",TRIM(INDEX(INDIRECT("'WCM Calibration Final'!$E$1:$E$2000"),'Calculations'!$EM208)&amp;"")),""),"~","~~"),"*","~*"),"?","~?"))&gt;1,"!AMBIG","X:"&amp;IFERROR(IF(INDEX(INDIRECT("'WCM Calibration Final'!$E$1:$E$2000"),'Calculations'!$EM208)="","",TRIM(INDEX(INDIRECT("'WCM Calibration Final'!$E$1:$E$2000"),'Calculations'!$EM208)&amp;"")),""))))))</x:f>
      </x:c>
      <x:c r="HG208" t="str">
        <x:f>IF('Calculations'!EM208="","",IFERROR(IF(INDEX(INDIRECT("'WCM Calibration Final'!$B$1:$B$2000"),'Calculations'!$EM208)="","",TRIM(INDEX(INDIRECT("'WCM Calibration Final'!$B$1:$B$2000"),'Calculations'!$EM208)&amp;"")),""))</x:f>
      </x:c>
      <x:c r="HH208" t="n">
        <x:f>IF(AND('Calculations'!JC208&gt;0,COUNTIF('Calculations'!$HF$12:HF208,"="&amp;SUBSTITUTE(SUBSTITUTE(SUBSTITUTE('Calculations'!HF208,"~","~~"),"*","~*"),"?","~?"))=1),MAX('Calculations'!$HH$12:HH207)+1,0)</x:f>
        <x:v>0</x:v>
      </x:c>
      <x:c r="HI208" t="n">
        <x:f>IF(AND('Calculations'!HN208&lt;&gt;"",COUNTIF('Calculations'!$HN$12:HN208,"="&amp;SUBSTITUTE(SUBSTITUTE(SUBSTITUTE('Calculations'!HN208,"~","~~"),"*","~*"),"?","~?"))=1),MAX('Calculations'!$HI$12:HI207)+1,0)</x:f>
        <x:v>0</x:v>
      </x:c>
      <x:c r="HJ208" t="str">
        <x:f>IF('Calculations'!HF208="","",IF(COUNTIF('Calculations'!$HE$13:$HE$512,"="&amp;SUBSTITUTE(SUBSTITUTE(SUBSTITUTE('Calculations'!HF208,"~","~~"),"*","~*"),"?","~?"))=1,INDEX('Calculations'!$HK$13:$HK$512,MATCH('Calculations'!HF208,'Calculations'!$HE$13:$HE$512,0)),IFERROR(IF(INDEX(INDIRECT("'WCM Calibration Final'!$E$1:$E$2000"),'Calculations'!$EM208)="","",TRIM(INDEX(INDIRECT("'WCM Calibration Final'!$E$1:$E$2000"),'Calculations'!$EM208)&amp;"")),"")&amp;" ["&amp;'Calculations'!HF208&amp;"]"))</x:f>
      </x:c>
      <x:c r="HK208" t="str">
        <x:f>IF('Calculations'!EM208="","",'Calculations'!HG208&amp;" ["&amp;'Calculations'!HE208&amp;"]")</x:f>
      </x:c>
      <x:c r="HL208" t="n">
        <x:f>IF('Calculations'!EM208="",0,IF(OR('Calculations'!II208&lt;&gt;"",COUNTIF('Calculations'!$HE$13:$HE$512,"="&amp;SUBSTITUTE(SUBSTITUTE(SUBSTITUTE('Calculations'!HE208,"~","~~"),"*","~*"),"?","~?"))&gt;1),1,0))</x:f>
        <x:v>0</x:v>
      </x:c>
      <x:c r="HM208" t="str">
        <x:f>IF('Calculations'!EM208="","",IF('Calculations'!HL208=1,"!UNRESOLVED",IF('Calculations'!IH208&lt;&gt;"",'Calculations'!IH208,IF('Calculations'!IG208&lt;&gt;"",'Calculations'!IG208,IF('Calculations'!IF208&lt;&gt;"",'Calculations'!IF208,IF('Calculations'!IE208&lt;&gt;"",'Calculations'!IE208,IF('Calculations'!ID208&lt;&gt;"",'Calculations'!ID208,IF('Calculations'!IC208&lt;&gt;"",'Calculations'!IC208,IF('Calculations'!IB208&lt;&gt;"",'Calculations'!IB208,IF('Calculations'!IA208&lt;&gt;"",'Calculations'!IA208,IF('Calculations'!HZ208&lt;&gt;"",'Calculations'!HZ208,IF('Calculations'!HY208&lt;&gt;"",'Calculations'!HY208,IF('Calculations'!HX208&lt;&gt;"",'Calculations'!HX208,IF('Calculations'!HW208&lt;&gt;"",'Calculations'!HW208,IF('Calculations'!HV208&lt;&gt;"",'Calculations'!HV208,IF('Calculations'!HU208&lt;&gt;"",'Calculations'!HU208,IF('Calculations'!HT208&lt;&gt;"",'Calculations'!HT208,IF('Calculations'!HS208&lt;&gt;"",'Calculations'!HS208,IF('Calculations'!HR208&lt;&gt;"",'Calculations'!HR208,IF('Calculations'!HQ208&lt;&gt;"",'Calculations'!HQ208,IF('Calculations'!HP208&lt;&gt;"",'Calculations'!HP208,IF('Calculations'!HO208&lt;&gt;"",'Calculations'!HO208,'Calculations'!HE208))))))))))))))))))))))</x:f>
      </x:c>
      <x:c r="HN208" t="str">
        <x:f>IF('Calculations'!EM208="","",IF(IFERROR(IF(INDEX(INDIRECT("'WCM Calibration Final'!$F$1:$F$2000"),'Calculations'!$EM208)="","",TRIM(INDEX(INDIRECT("'WCM Calibration Final'!$F$1:$F$2000"),'Calculations'!$EM208)&amp;"")),"")="","(Blank)",IFERROR(IF(INDEX(INDIRECT("'WCM Calibration Final'!$F$1:$F$2000"),'Calculations'!$EM208)="","",TRIM(INDEX(INDIRECT("'WCM Calibration Final'!$F$1:$F$2000"),'Calculations'!$EM208)&amp;"")),"")))</x:f>
      </x:c>
      <x:c r="HO208" t="str">
        <x:f>'Calculations'!HF208</x:f>
      </x:c>
      <x:c r="HP208" t="str">
        <x:f>IF('Calculations'!HO208="","",IF('Calculations'!HO208="!AMBIG","!AMBIG",IF(COUNTIF('Calculations'!$HE$13:$HE$512,"="&amp;SUBSTITUTE(SUBSTITUTE(SUBSTITUTE('Calculations'!HO208,"~","~~"),"*","~*"),"?","~?"))&gt;1,"!AMBIG",IFERROR(INDEX('Calculations'!$HF$13:$HF$512,MATCH('Calculations'!HO208,'Calculations'!$HE$13:$HE$512,0)),""))))</x:f>
      </x:c>
      <x:c r="HQ208" t="str">
        <x:f>IF('Calculations'!HP208="","",IF('Calculations'!HP208="!AMBIG","!AMBIG",IF(COUNTIF('Calculations'!$HE$13:$HE$512,"="&amp;SUBSTITUTE(SUBSTITUTE(SUBSTITUTE('Calculations'!HP208,"~","~~"),"*","~*"),"?","~?"))&gt;1,"!AMBIG",IFERROR(INDEX('Calculations'!$HF$13:$HF$512,MATCH('Calculations'!HP208,'Calculations'!$HE$13:$HE$512,0)),""))))</x:f>
      </x:c>
      <x:c r="HR208" t="str">
        <x:f>IF('Calculations'!HQ208="","",IF('Calculations'!HQ208="!AMBIG","!AMBIG",IF(COUNTIF('Calculations'!$HE$13:$HE$512,"="&amp;SUBSTITUTE(SUBSTITUTE(SUBSTITUTE('Calculations'!HQ208,"~","~~"),"*","~*"),"?","~?"))&gt;1,"!AMBIG",IFERROR(INDEX('Calculations'!$HF$13:$HF$512,MATCH('Calculations'!HQ208,'Calculations'!$HE$13:$HE$512,0)),""))))</x:f>
      </x:c>
      <x:c r="HS208" t="str">
        <x:f>IF('Calculations'!HR208="","",IF('Calculations'!HR208="!AMBIG","!AMBIG",IF(COUNTIF('Calculations'!$HE$13:$HE$512,"="&amp;SUBSTITUTE(SUBSTITUTE(SUBSTITUTE('Calculations'!HR208,"~","~~"),"*","~*"),"?","~?"))&gt;1,"!AMBIG",IFERROR(INDEX('Calculations'!$HF$13:$HF$512,MATCH('Calculations'!HR208,'Calculations'!$HE$13:$HE$512,0)),""))))</x:f>
      </x:c>
      <x:c r="HT208" t="str">
        <x:f>IF('Calculations'!HS208="","",IF('Calculations'!HS208="!AMBIG","!AMBIG",IF(COUNTIF('Calculations'!$HE$13:$HE$512,"="&amp;SUBSTITUTE(SUBSTITUTE(SUBSTITUTE('Calculations'!HS208,"~","~~"),"*","~*"),"?","~?"))&gt;1,"!AMBIG",IFERROR(INDEX('Calculations'!$HF$13:$HF$512,MATCH('Calculations'!HS208,'Calculations'!$HE$13:$HE$512,0)),""))))</x:f>
      </x:c>
      <x:c r="HU208" t="str">
        <x:f>IF('Calculations'!HT208="","",IF('Calculations'!HT208="!AMBIG","!AMBIG",IF(COUNTIF('Calculations'!$HE$13:$HE$512,"="&amp;SUBSTITUTE(SUBSTITUTE(SUBSTITUTE('Calculations'!HT208,"~","~~"),"*","~*"),"?","~?"))&gt;1,"!AMBIG",IFERROR(INDEX('Calculations'!$HF$13:$HF$512,MATCH('Calculations'!HT208,'Calculations'!$HE$13:$HE$512,0)),""))))</x:f>
      </x:c>
      <x:c r="HV208" t="str">
        <x:f>IF('Calculations'!HU208="","",IF('Calculations'!HU208="!AMBIG","!AMBIG",IF(COUNTIF('Calculations'!$HE$13:$HE$512,"="&amp;SUBSTITUTE(SUBSTITUTE(SUBSTITUTE('Calculations'!HU208,"~","~~"),"*","~*"),"?","~?"))&gt;1,"!AMBIG",IFERROR(INDEX('Calculations'!$HF$13:$HF$512,MATCH('Calculations'!HU208,'Calculations'!$HE$13:$HE$512,0)),""))))</x:f>
      </x:c>
      <x:c r="HW208" t="str">
        <x:f>IF('Calculations'!HV208="","",IF('Calculations'!HV208="!AMBIG","!AMBIG",IF(COUNTIF('Calculations'!$HE$13:$HE$512,"="&amp;SUBSTITUTE(SUBSTITUTE(SUBSTITUTE('Calculations'!HV208,"~","~~"),"*","~*"),"?","~?"))&gt;1,"!AMBIG",IFERROR(INDEX('Calculations'!$HF$13:$HF$512,MATCH('Calculations'!HV208,'Calculations'!$HE$13:$HE$512,0)),""))))</x:f>
      </x:c>
      <x:c r="HX208" t="str">
        <x:f>IF('Calculations'!HW208="","",IF('Calculations'!HW208="!AMBIG","!AMBIG",IF(COUNTIF('Calculations'!$HE$13:$HE$512,"="&amp;SUBSTITUTE(SUBSTITUTE(SUBSTITUTE('Calculations'!HW208,"~","~~"),"*","~*"),"?","~?"))&gt;1,"!AMBIG",IFERROR(INDEX('Calculations'!$HF$13:$HF$512,MATCH('Calculations'!HW208,'Calculations'!$HE$13:$HE$512,0)),""))))</x:f>
      </x:c>
      <x:c r="HY208" t="str">
        <x:f>IF('Calculations'!HX208="","",IF('Calculations'!HX208="!AMBIG","!AMBIG",IF(COUNTIF('Calculations'!$HE$13:$HE$512,"="&amp;SUBSTITUTE(SUBSTITUTE(SUBSTITUTE('Calculations'!HX208,"~","~~"),"*","~*"),"?","~?"))&gt;1,"!AMBIG",IFERROR(INDEX('Calculations'!$HF$13:$HF$512,MATCH('Calculations'!HX208,'Calculations'!$HE$13:$HE$512,0)),""))))</x:f>
      </x:c>
      <x:c r="HZ208" t="str">
        <x:f>IF('Calculations'!HY208="","",IF('Calculations'!HY208="!AMBIG","!AMBIG",IF(COUNTIF('Calculations'!$HE$13:$HE$512,"="&amp;SUBSTITUTE(SUBSTITUTE(SUBSTITUTE('Calculations'!HY208,"~","~~"),"*","~*"),"?","~?"))&gt;1,"!AMBIG",IFERROR(INDEX('Calculations'!$HF$13:$HF$512,MATCH('Calculations'!HY208,'Calculations'!$HE$13:$HE$512,0)),""))))</x:f>
      </x:c>
      <x:c r="IA208" t="str">
        <x:f>IF('Calculations'!HZ208="","",IF('Calculations'!HZ208="!AMBIG","!AMBIG",IF(COUNTIF('Calculations'!$HE$13:$HE$512,"="&amp;SUBSTITUTE(SUBSTITUTE(SUBSTITUTE('Calculations'!HZ208,"~","~~"),"*","~*"),"?","~?"))&gt;1,"!AMBIG",IFERROR(INDEX('Calculations'!$HF$13:$HF$512,MATCH('Calculations'!HZ208,'Calculations'!$HE$13:$HE$512,0)),""))))</x:f>
      </x:c>
      <x:c r="IB208" t="str">
        <x:f>IF('Calculations'!IA208="","",IF('Calculations'!IA208="!AMBIG","!AMBIG",IF(COUNTIF('Calculations'!$HE$13:$HE$512,"="&amp;SUBSTITUTE(SUBSTITUTE(SUBSTITUTE('Calculations'!IA208,"~","~~"),"*","~*"),"?","~?"))&gt;1,"!AMBIG",IFERROR(INDEX('Calculations'!$HF$13:$HF$512,MATCH('Calculations'!IA208,'Calculations'!$HE$13:$HE$512,0)),""))))</x:f>
      </x:c>
      <x:c r="IC208" t="str">
        <x:f>IF('Calculations'!IB208="","",IF('Calculations'!IB208="!AMBIG","!AMBIG",IF(COUNTIF('Calculations'!$HE$13:$HE$512,"="&amp;SUBSTITUTE(SUBSTITUTE(SUBSTITUTE('Calculations'!IB208,"~","~~"),"*","~*"),"?","~?"))&gt;1,"!AMBIG",IFERROR(INDEX('Calculations'!$HF$13:$HF$512,MATCH('Calculations'!IB208,'Calculations'!$HE$13:$HE$512,0)),""))))</x:f>
      </x:c>
      <x:c r="ID208" t="str">
        <x:f>IF('Calculations'!IC208="","",IF('Calculations'!IC208="!AMBIG","!AMBIG",IF(COUNTIF('Calculations'!$HE$13:$HE$512,"="&amp;SUBSTITUTE(SUBSTITUTE(SUBSTITUTE('Calculations'!IC208,"~","~~"),"*","~*"),"?","~?"))&gt;1,"!AMBIG",IFERROR(INDEX('Calculations'!$HF$13:$HF$512,MATCH('Calculations'!IC208,'Calculations'!$HE$13:$HE$512,0)),""))))</x:f>
      </x:c>
      <x:c r="IE208" t="str">
        <x:f>IF('Calculations'!ID208="","",IF('Calculations'!ID208="!AMBIG","!AMBIG",IF(COUNTIF('Calculations'!$HE$13:$HE$512,"="&amp;SUBSTITUTE(SUBSTITUTE(SUBSTITUTE('Calculations'!ID208,"~","~~"),"*","~*"),"?","~?"))&gt;1,"!AMBIG",IFERROR(INDEX('Calculations'!$HF$13:$HF$512,MATCH('Calculations'!ID208,'Calculations'!$HE$13:$HE$512,0)),""))))</x:f>
      </x:c>
      <x:c r="IF208" t="str">
        <x:f>IF('Calculations'!IE208="","",IF('Calculations'!IE208="!AMBIG","!AMBIG",IF(COUNTIF('Calculations'!$HE$13:$HE$512,"="&amp;SUBSTITUTE(SUBSTITUTE(SUBSTITUTE('Calculations'!IE208,"~","~~"),"*","~*"),"?","~?"))&gt;1,"!AMBIG",IFERROR(INDEX('Calculations'!$HF$13:$HF$512,MATCH('Calculations'!IE208,'Calculations'!$HE$13:$HE$512,0)),""))))</x:f>
      </x:c>
      <x:c r="IG208" t="str">
        <x:f>IF('Calculations'!IF208="","",IF('Calculations'!IF208="!AMBIG","!AMBIG",IF(COUNTIF('Calculations'!$HE$13:$HE$512,"="&amp;SUBSTITUTE(SUBSTITUTE(SUBSTITUTE('Calculations'!IF208,"~","~~"),"*","~*"),"?","~?"))&gt;1,"!AMBIG",IFERROR(INDEX('Calculations'!$HF$13:$HF$512,MATCH('Calculations'!IF208,'Calculations'!$HE$13:$HE$512,0)),""))))</x:f>
      </x:c>
      <x:c r="IH208" t="str">
        <x:f>IF('Calculations'!IG208="","",IF('Calculations'!IG208="!AMBIG","!AMBIG",IF(COUNTIF('Calculations'!$HE$13:$HE$512,"="&amp;SUBSTITUTE(SUBSTITUTE(SUBSTITUTE('Calculations'!IG208,"~","~~"),"*","~*"),"?","~?"))&gt;1,"!AMBIG",IFERROR(INDEX('Calculations'!$HF$13:$HF$512,MATCH('Calculations'!IG208,'Calculations'!$HE$13:$HE$512,0)),""))))</x:f>
      </x:c>
      <x:c r="II208" t="str">
        <x:f>IF('Calculations'!IH208="","",IF('Calculations'!IH208="!AMBIG","!AMBIG",IF(COUNTIF('Calculations'!$HE$13:$HE$512,"="&amp;SUBSTITUTE(SUBSTITUTE(SUBSTITUTE('Calculations'!IH208,"~","~~"),"*","~*"),"?","~?"))&gt;1,"!AMBIG",IFERROR(INDEX('Calculations'!$HF$13:$HF$512,MATCH('Calculations'!IH208,'Calculations'!$HE$13:$HE$512,0)),""))))</x:f>
      </x:c>
      <x:c r="IJ208" t="str">
        <x:f>IF('Calculations'!EM208="","",IF('Calculations'!$EF$2="All",'Calculations'!HM208,IF('Calculations'!HL208=1,"",IFERROR(IF(MATCH('Calculations'!$EF$2,'Calculations'!HO208:II208,0)=1,'Calculations'!HE208,INDEX('Calculations'!HO208:II208,1,MATCH('Calculations'!$EF$2,'Calculations'!HO208:II208,0)-1)),""))))</x:f>
      </x:c>
      <x:c r="IK208" t="n">
        <x:f>IF(AND('Calculations'!EM208&lt;&gt;"",'Calculations'!$EF$2&lt;&gt;"All",'Calculations'!HF208='Calculations'!$EF$2,'Calculations'!HL208=0,'Calculations'!JD208&gt;0),MAX('Calculations'!$IK$12:IK207)+1,0)</x:f>
        <x:v>0</x:v>
      </x:c>
      <x:c r="JA208" t="n">
        <x:f>IF(OR(IFERROR(INDIRECT("'WCM Calibration Final'!$A$208")&lt;&gt;"",FALSE),IFERROR(INDIRECT("'WCM Calibration Final'!$B$208")&lt;&gt;"",FALSE),IFERROR(INDIRECT("'WCM Calibration Final'!$C$208")&lt;&gt;"",FALSE)),208,0)</x:f>
        <x:v>0</x:v>
      </x:c>
      <x:c r="JB208" t="n">
        <x:f>'Calculations'!JB207+IF('Calculations'!JA208&gt;0,1,0)</x:f>
        <x:v>0</x:v>
      </x:c>
      <x:c r="JC208" t="n">
        <x:f>IF(OR('Calculations'!HF208="",'Calculations'!HF208="!AMBIG"),0,IF('Dashboard'!$B$7="All",1,COUNTIFS('Calculations'!$HO$13:$HO$512,"="&amp;SUBSTITUTE(SUBSTITUTE(SUBSTITUTE('Calculations'!HF208,"~","~~"),"*","~*"),"?","~?"),'Calculations'!$HN$13:$HN$512,"="&amp;SUBSTITUTE(SUBSTITUTE(SUBSTITUTE('Dashboard'!$B$7,"~","~~"),"*","~*"),"?","~?"))+COUNTIFS('Calculations'!$HP$13:$HP$512,"="&amp;SUBSTITUTE(SUBSTITUTE(SUBSTITUTE('Calculations'!HF208,"~","~~"),"*","~*"),"?","~?"),'Calculations'!$HN$13:$HN$512,"="&amp;SUBSTITUTE(SUBSTITUTE(SUBSTITUTE('Dashboard'!$B$7,"~","~~"),"*","~*"),"?","~?"))+COUNTIFS('Calculations'!$HQ$13:$HQ$512,"="&amp;SUBSTITUTE(SUBSTITUTE(SUBSTITUTE('Calculations'!HF208,"~","~~"),"*","~*"),"?","~?"),'Calculations'!$HN$13:$HN$512,"="&amp;SUBSTITUTE(SUBSTITUTE(SUBSTITUTE('Dashboard'!$B$7,"~","~~"),"*","~*"),"?","~?"))+COUNTIFS('Calculations'!$HR$13:$HR$512,"="&amp;SUBSTITUTE(SUBSTITUTE(SUBSTITUTE('Calculations'!HF208,"~","~~"),"*","~*"),"?","~?"),'Calculations'!$HN$13:$HN$512,"="&amp;SUBSTITUTE(SUBSTITUTE(SUBSTITUTE('Dashboard'!$B$7,"~","~~"),"*","~*"),"?","~?"))+COUNTIFS('Calculations'!$HS$13:$HS$512,"="&amp;SUBSTITUTE(SUBSTITUTE(SUBSTITUTE('Calculations'!HF208,"~","~~"),"*","~*"),"?","~?"),'Calculations'!$HN$13:$HN$512,"="&amp;SUBSTITUTE(SUBSTITUTE(SUBSTITUTE('Dashboard'!$B$7,"~","~~"),"*","~*"),"?","~?"))+COUNTIFS('Calculations'!$HT$13:$HT$512,"="&amp;SUBSTITUTE(SUBSTITUTE(SUBSTITUTE('Calculations'!HF208,"~","~~"),"*","~*"),"?","~?"),'Calculations'!$HN$13:$HN$512,"="&amp;SUBSTITUTE(SUBSTITUTE(SUBSTITUTE('Dashboard'!$B$7,"~","~~"),"*","~*"),"?","~?"))+COUNTIFS('Calculations'!$HU$13:$HU$512,"="&amp;SUBSTITUTE(SUBSTITUTE(SUBSTITUTE('Calculations'!HF208,"~","~~"),"*","~*"),"?","~?"),'Calculations'!$HN$13:$HN$512,"="&amp;SUBSTITUTE(SUBSTITUTE(SUBSTITUTE('Dashboard'!$B$7,"~","~~"),"*","~*"),"?","~?"))+COUNTIFS('Calculations'!$HV$13:$HV$512,"="&amp;SUBSTITUTE(SUBSTITUTE(SUBSTITUTE('Calculations'!HF208,"~","~~"),"*","~*"),"?","~?"),'Calculations'!$HN$13:$HN$512,"="&amp;SUBSTITUTE(SUBSTITUTE(SUBSTITUTE('Dashboard'!$B$7,"~","~~"),"*","~*"),"?","~?"))+COUNTIFS('Calculations'!$HW$13:$HW$512,"="&amp;SUBSTITUTE(SUBSTITUTE(SUBSTITUTE('Calculations'!HF208,"~","~~"),"*","~*"),"?","~?"),'Calculations'!$HN$13:$HN$512,"="&amp;SUBSTITUTE(SUBSTITUTE(SUBSTITUTE('Dashboard'!$B$7,"~","~~"),"*","~*"),"?","~?"))+COUNTIFS('Calculations'!$HX$13:$HX$512,"="&amp;SUBSTITUTE(SUBSTITUTE(SUBSTITUTE('Calculations'!HF208,"~","~~"),"*","~*"),"?","~?"),'Calculations'!$HN$13:$HN$512,"="&amp;SUBSTITUTE(SUBSTITUTE(SUBSTITUTE('Dashboard'!$B$7,"~","~~"),"*","~*"),"?","~?"))+COUNTIFS('Calculations'!$HY$13:$HY$512,"="&amp;SUBSTITUTE(SUBSTITUTE(SUBSTITUTE('Calculations'!HF208,"~","~~"),"*","~*"),"?","~?"),'Calculations'!$HN$13:$HN$512,"="&amp;SUBSTITUTE(SUBSTITUTE(SUBSTITUTE('Dashboard'!$B$7,"~","~~"),"*","~*"),"?","~?"))+COUNTIFS('Calculations'!$HZ$13:$HZ$512,"="&amp;SUBSTITUTE(SUBSTITUTE(SUBSTITUTE('Calculations'!HF208,"~","~~"),"*","~*"),"?","~?"),'Calculations'!$HN$13:$HN$512,"="&amp;SUBSTITUTE(SUBSTITUTE(SUBSTITUTE('Dashboard'!$B$7,"~","~~"),"*","~*"),"?","~?"))+COUNTIFS('Calculations'!$IA$13:$IA$512,"="&amp;SUBSTITUTE(SUBSTITUTE(SUBSTITUTE('Calculations'!HF208,"~","~~"),"*","~*"),"?","~?"),'Calculations'!$HN$13:$HN$512,"="&amp;SUBSTITUTE(SUBSTITUTE(SUBSTITUTE('Dashboard'!$B$7,"~","~~"),"*","~*"),"?","~?"))+COUNTIFS('Calculations'!$IB$13:$IB$512,"="&amp;SUBSTITUTE(SUBSTITUTE(SUBSTITUTE('Calculations'!HF208,"~","~~"),"*","~*"),"?","~?"),'Calculations'!$HN$13:$HN$512,"="&amp;SUBSTITUTE(SUBSTITUTE(SUBSTITUTE('Dashboard'!$B$7,"~","~~"),"*","~*"),"?","~?"))+COUNTIFS('Calculations'!$IC$13:$IC$512,"="&amp;SUBSTITUTE(SUBSTITUTE(SUBSTITUTE('Calculations'!HF208,"~","~~"),"*","~*"),"?","~?"),'Calculations'!$HN$13:$HN$512,"="&amp;SUBSTITUTE(SUBSTITUTE(SUBSTITUTE('Dashboard'!$B$7,"~","~~"),"*","~*"),"?","~?"))+COUNTIFS('Calculations'!$ID$13:$ID$512,"="&amp;SUBSTITUTE(SUBSTITUTE(SUBSTITUTE('Calculations'!HF208,"~","~~"),"*","~*"),"?","~?"),'Calculations'!$HN$13:$HN$512,"="&amp;SUBSTITUTE(SUBSTITUTE(SUBSTITUTE('Dashboard'!$B$7,"~","~~"),"*","~*"),"?","~?"))+COUNTIFS('Calculations'!$IE$13:$IE$512,"="&amp;SUBSTITUTE(SUBSTITUTE(SUBSTITUTE('Calculations'!HF208,"~","~~"),"*","~*"),"?","~?"),'Calculations'!$HN$13:$HN$512,"="&amp;SUBSTITUTE(SUBSTITUTE(SUBSTITUTE('Dashboard'!$B$7,"~","~~"),"*","~*"),"?","~?"))+COUNTIFS('Calculations'!$IF$13:$IF$512,"="&amp;SUBSTITUTE(SUBSTITUTE(SUBSTITUTE('Calculations'!HF208,"~","~~"),"*","~*"),"?","~?"),'Calculations'!$HN$13:$HN$512,"="&amp;SUBSTITUTE(SUBSTITUTE(SUBSTITUTE('Dashboard'!$B$7,"~","~~"),"*","~*"),"?","~?"))+COUNTIFS('Calculations'!$IG$13:$IG$512,"="&amp;SUBSTITUTE(SUBSTITUTE(SUBSTITUTE('Calculations'!HF208,"~","~~"),"*","~*"),"?","~?"),'Calculations'!$HN$13:$HN$512,"="&amp;SUBSTITUTE(SUBSTITUTE(SUBSTITUTE('Dashboard'!$B$7,"~","~~"),"*","~*"),"?","~?"))+COUNTIFS('Calculations'!$IH$13:$IH$512,"="&amp;SUBSTITUTE(SUBSTITUTE(SUBSTITUTE('Calculations'!HF208,"~","~~"),"*","~*"),"?","~?"),'Calculations'!$HN$13:$HN$512,"="&amp;SUBSTITUTE(SUBSTITUTE(SUBSTITUTE('Dashboard'!$B$7,"~","~~"),"*","~*"),"?","~?"))))</x:f>
        <x:v>0</x:v>
      </x:c>
      <x:c r="JD208" t="n">
        <x:f>IF('Calculations'!EM208="",0,IF('Dashboard'!$B$7="All",1,IF('Calculations'!HN208='Dashboard'!$B$7,1,0)+IFERROR(INDEX('Calculations'!$JC$13:$JC$512,MATCH('Calculations'!HE208,'Calculations'!$HF$13:$HF$512,0)),0)))</x:f>
        <x:v>0</x:v>
      </x:c>
      <x:c r="JE208" t="n">
        <x:f>IF(AND('Calculations'!EM208&lt;&gt;"",'Calculations'!$JJ$2&lt;&gt;"All",'Calculations'!$JJ$2&lt;&gt;"",'Calculations'!HF208='Calculations'!$JJ$2,'Calculations'!HL208=0,'Calculations'!JD208&gt;0),MAX('Calculations'!$JE$12:JE207)+1,0)</x:f>
        <x:v>0</x:v>
      </x:c>
      <x:c r="JF208" t="str">
        <x:f>IF('Calculations'!EM208="","",IFERROR(IF(INDEX(INDIRECT("'WCM Calibration Final'!$G$1:$G$2000"),'Calculations'!$EM208)="","",TRIM(INDEX(INDIRECT("'WCM Calibration Final'!$G$1:$G$2000"),'Calculations'!$EM208)&amp;"")),""))</x:f>
      </x:c>
      <x:c r="JQ208" t="n">
        <x:f>IF(OR('Calculations'!BM208=0,NOT('Calculations'!$AG$2),'Calculations'!$AG$8&gt;0),0,IF(OR('Dashboard'!$B$7="All",'Calculations'!HN208='Dashboard'!$B$7),IF('Calculations'!$JJ$2="All",1,IF(AND('Calculations'!HF208='Calculations'!$JJ$2,'Calculations'!HL208=0),1,0)),0))</x:f>
        <x:v>0</x:v>
      </x:c>
    </x:row>
    <x:row r="209">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t="n">
        <x:f>IF('Calculations'!$EM209="",0,IF(OR(IFERROR(INDEX(INDIRECT("'WCM Calibration Final'!$A$1:$A$2000"),'Calculations'!$EM209)&lt;&gt;"",FALSE),IFERROR(INDEX(INDIRECT("'WCM Calibration Final'!$B$1:$B$2000"),'Calculations'!$EM209)&lt;&gt;"",FALSE),IFERROR(INDEX(INDIRECT("'WCM Calibration Final'!$C$1:$C$2000"),'Calculations'!$EM209)&lt;&gt;"",FALSE)),1,0))</x:f>
        <x:v>0</x:v>
      </x:c>
      <x:c r="BN209" s="4" t="n">
        <x:f>IF(AND('Calculations'!BM209=1,'Calculations'!$AG$2,'Calculations'!$EN209=1),1,0)</x:f>
        <x:v>0</x:v>
      </x:c>
      <x:c r="BO209" s="4" t="str">
        <x:f>IF('Calculations'!BM209=0,"",IFERROR(IF(AND(VALUE(INDEX(INDIRECT("'WCM Calibration Final'!$K$1:$K$2000"),'Calculations'!$EM209))&gt;=1,VALUE(INDEX(INDIRECT("'WCM Calibration Final'!$K$1:$K$2000"),'Calculations'!$EM209))&lt;=4,MOD(VALUE(INDEX(INDIRECT("'WCM Calibration Final'!$K$1:$K$2000"),'Calculations'!$EM209)),1)=0),VALUE(INDEX(INDIRECT("'WCM Calibration Final'!$K$1:$K$2000"),'Calculations'!$EM209)),""),""))</x:f>
      </x:c>
      <x:c r="BP209" s="4" t="str">
        <x:f>IF('Calculations'!BM209=0,"",IFERROR(IF(AND(VALUE(INDEX(INDIRECT("'WCM Calibration Final'!$L$1:$L$2000"),'Calculations'!$EM209))&gt;=1,VALUE(INDEX(INDIRECT("'WCM Calibration Final'!$L$1:$L$2000"),'Calculations'!$EM209))&lt;=4,MOD(VALUE(INDEX(INDIRECT("'WCM Calibration Final'!$L$1:$L$2000"),'Calculations'!$EM209)),1)=0),VALUE(INDEX(INDIRECT("'WCM Calibration Final'!$L$1:$L$2000"),'Calculations'!$EM209)),""),""))</x:f>
      </x:c>
      <x:c r="BQ209" s="4"/>
      <x:c r="BR209" s="4"/>
      <x:c r="BS209" s="4"/>
      <x:c r="BT209" s="4" t="n">
        <x:f>IF(AND('Calculations'!BM209=1,ISNUMBER('Calculations'!BO209),ISNUMBER('Calculations'!BP209)),1,0)</x:f>
        <x:v>0</x:v>
      </x:c>
      <x:c r="BU209" s="4" t="str">
        <x:f>IF('Calculations'!BM209=0,"",'Calculations'!$EO209)</x:f>
      </x:c>
      <x:c r="BV209" s="4" t="str">
        <x:f>IF('Calculations'!BM209=0,"",IFERROR(IF(OR(INDEX(INDIRECT("'WCM Calibration Final'!$H$1:$H$2000"),'Calculations'!$EM209)="MANAGING DIRECTOR",INDEX(INDIRECT("'WCM Calibration Final'!$H$1:$H$2000"),'Calculations'!$EM209)="DIRECTOR",INDEX(INDIRECT("'WCM Calibration Final'!$H$1:$H$2000"),'Calculations'!$EM209)="SENIOR VICE PRESIDENT",INDEX(INDIRECT("'WCM Calibration Final'!$H$1:$H$2000"),'Calculations'!$EM209)="VICE PRESIDENT",INDEX(INDIRECT("'WCM Calibration Final'!$H$1:$H$2000"),'Calculations'!$EM209)="ASSISTANT VICE PRESIDENT",INDEX(INDIRECT("'WCM Calibration Final'!$H$1:$H$2000"),'Calculations'!$EM209)="OFFICER"),UPPER(INDEX(INDIRECT("'WCM Calibration Final'!$H$1:$H$2000"),'Calculations'!$EM209)),"Other"),"Other"))</x:f>
      </x:c>
      <x:c r="BW209" s="4"/>
      <x:c r="BX209" s="4"/>
      <x:c r="BY209" s="4" t="n">
        <x:f>IF(AND('Calculations'!BM209=1,'Calculations'!BU209&lt;&gt;"",COUNTIF('Calculations'!$BU$12:BU209,'Calculations'!BU209)=1),MAX('Calculations'!$BY$11:BY208)+1,0)</x:f>
        <x:v>0</x:v>
      </x:c>
      <x:c r="BZ209" s="4" t="str">
        <x:f>IF('Dashboard'!$E$67="What",'Calculations'!BO209,'Calculations'!BP209)</x:f>
      </x:c>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t="str">
        <x:f>IF(198&gt;MAX('Calculations'!$HI$13:$HI$512),"",INDEX('Calculations'!$HN$13:$HN$512,MATCH(198,'Calculations'!$HI$13:$HI$512,0)))</x:f>
      </x:c>
      <x:c r="DB209" s="4" t="str">
        <x:f>IF(198&gt;MAX('Calculations'!$HH$13:$HH$512),"",INDEX('Calculations'!$HJ$13:$HJ$512,MATCH(198,'Calculations'!$HH$13:$HH$512,0)))</x:f>
      </x:c>
      <x:c r="DC209" s="4" t="str">
        <x:f>IF(ROW()-11&gt;MAX('Calculations'!$BY$13:$BY$512),"",INDEX('Calculations'!$BU$13:$BU$512,MATCH(ROW()-11,'Calculations'!$BY$13:$BY$512,0)))</x:f>
      </x:c>
      <x:c r="DD209" s="4" t="str">
        <x:f>IF(198&gt;MAX('Calculations'!$IK$13:$IK$512),"",INDEX('Calculations'!$HK$13:$HK$512,MATCH(198,'Calculations'!$IK$13:$IK$512,0)))</x:f>
      </x:c>
      <x:c r="DE209" s="4" t="str">
        <x:f>'Calculations'!DC209</x:f>
      </x:c>
      <x:c r="DF209" s="4" t="str">
        <x:f>IF('Calculations'!DE209="","",COUNTIFS('Calculations'!$BN$13:$BN$512,1,'Calculations'!$BU$13:$BU$512,'Calculations'!DE209))</x:f>
      </x:c>
      <x:c r="DG209" s="4" t="str">
        <x:f>IF('Calculations'!DE209="","",COUNTIFS('Calculations'!$BN$13:$BN$512,1,'Calculations'!$BU$13:$BU$512,'Calculations'!DE209,'Calculations'!$BT$13:$BT$512,1))</x:f>
      </x:c>
      <x:c r="DH209" s="4" t="str">
        <x:f>IF('Calculations'!DE209="","",'Calculations'!DF209-'Calculations'!DG209)</x:f>
      </x:c>
      <x:c r="DI209" s="4" t="str">
        <x:f>IF(OR('Calculations'!DE209="",'Calculations'!DF209=0),"",'Calculations'!DG209/'Calculations'!DF209)</x:f>
      </x:c>
      <x:c r="DJ209" s="4" t="str">
        <x:f>IF('Calculations'!DE209="","",COUNTIFS('Calculations'!$BN$13:$BN$512,1,'Calculations'!$BU$13:$BU$512,'Calculations'!DE209,'Calculations'!$BT$13:$BT$512,1,'Calculations'!$EE$13:$EE$512,"High"))</x:f>
      </x:c>
      <x:c r="DK209" s="4" t="str">
        <x:f>IF('Calculations'!DE209="","",COUNTIFS('Calculations'!$BN$13:$BN$512,1,'Calculations'!$BU$13:$BU$512,'Calculations'!DE209,'Calculations'!$BT$13:$BT$512,1,'Calculations'!$EE$13:$EE$512,"Strong"))</x:f>
      </x:c>
      <x:c r="DL209" s="4" t="str">
        <x:f>IF('Calculations'!DE209="","",COUNTIFS('Calculations'!$BN$13:$BN$512,1,'Calculations'!$BU$13:$BU$512,'Calculations'!DE209,'Calculations'!$BT$13:$BT$512,1,'Calculations'!$EE$13:$EE$512,"Solid"))</x:f>
      </x:c>
      <x:c r="DM209" s="4" t="str">
        <x:f>IF('Calculations'!DE209="","",COUNTIFS('Calculations'!$BN$13:$BN$512,1,'Calculations'!$BU$13:$BU$512,'Calculations'!DE209,'Calculations'!$BT$13:$BT$512,1,'Calculations'!$EE$13:$EE$512,"Low"))</x:f>
      </x:c>
      <x:c r="DN209" s="4" t="str">
        <x:f>IF('Calculations'!DE209="","",COUNTIFS('Calculations'!$BN$13:$BN$512,1,'Calculations'!$BU$13:$BU$512,'Calculations'!DE209,'Calculations'!$EP$13:$EP$512,1))</x:f>
      </x:c>
      <x:c r="DO209" s="4" t="str">
        <x:f>IF(OR('Calculations'!DE209="",'Calculations'!DG209=0),"",('Calculations'!DJ209+'Calculations'!DK209)/'Calculations'!DG209)</x:f>
      </x:c>
      <x:c r="DP209" s="4" t="n">
        <x:f>IF(AND('Calculations'!DE209&lt;&gt;"",'Calculations'!DF209&gt;0),COUNTIF('Calculations'!$DF$12:DF209,"&gt;0"),0)</x:f>
        <x:v>0</x:v>
      </x:c>
      <x:c r="DQ209" s="4" t="str">
        <x:f>IF(198&gt;MAX('Calculations'!$HH$13:$HH$512),"",INDEX('Calculations'!$HF$13:$HF$512,MATCH(198,'Calculations'!$HH$13:$HH$512,0)))</x:f>
      </x:c>
      <x:c r="DR209" s="4" t="str">
        <x:f>IF(198&gt;MAX('Calculations'!$IK$13:$IK$512),"",INDEX('Calculations'!$HE$13:$HE$512,MATCH(198,'Calculations'!$IK$13:$IK$512,0)))</x:f>
      </x:c>
      <x:c r="DS209" s="4"/>
      <x:c r="DT209" s="4"/>
      <x:c r="DU209" s="4"/>
      <x:c r="DV209" s="4"/>
      <x:c r="DW209" s="4"/>
      <x:c r="DX209" s="4"/>
      <x:c r="DY209" s="4"/>
      <x:c r="DZ209" s="4"/>
      <x:c r="EA209" s="4"/>
      <x:c r="EB209" s="4"/>
      <x:c r="EC209" s="4"/>
      <x:c r="ED209" s="4"/>
      <x:c r="EE209" s="4" t="str">
        <x:f>IF('Calculations'!BT209=0,"Not Rated",IF(OR('Calculations'!BO209&gt;=4,'Calculations'!BP209&gt;=4),"Low",IF('Calculations'!BO209+'Calculations'!BP209&lt;=3,"High",IF('Calculations'!BO209+'Calculations'!BP209&lt;=4,"Strong","Solid"))))</x:f>
        <x:v>Not Rated</x:v>
      </x:c>
      <x:c r="EF209" s="4"/>
      <x:c r="EG209" s="4"/>
      <x:c r="EH209" s="4"/>
      <x:c r="EI209" s="4"/>
      <x:c r="EJ209" s="4"/>
      <x:c r="EK209" s="4"/>
      <x:c r="EL209" s="4"/>
      <x:c r="EM209" s="4" t="str">
        <x:f>IF(197&gt;'Calculations'!$JB$2000,"",INDEX('Calculations'!$JA$12:$JA$2000,MATCH(197,'Calculations'!$JB$12:$JB$2000,0)))</x:f>
      </x:c>
      <x:c r="EN209" s="4" t="n">
        <x:f>IF(OR('Calculations'!EM209="",'Calculations'!$AG$8&gt;0,AND('Calculations'!$EF$2&lt;&gt;"All",'Calculations'!HE209='Calculations'!$EF$2),AND('Calculations'!$EF$3&lt;&gt;"All",'Calculations'!HE209='Calculations'!$EF$3)),0,IF(OR('Dashboard'!$B$7="All",'Calculations'!HN209='Dashboard'!$B$7),IF('Calculations'!$EF$2="All",1,IF('Calculations'!HL209&gt;0,0,IF(COUNTIF('Calculations'!HO209:II209,"="&amp;SUBSTITUTE(SUBSTITUTE(SUBSTITUTE('Calculations'!$EF$2,"~","~~"),"*","~*"),"?","~?"))=0,0,IF('Calculations'!$EF$3="All",1,IF(COUNTIF('Calculations'!HO209:II209,"="&amp;SUBSTITUTE(SUBSTITUTE(SUBSTITUTE('Calculations'!$EF$3,"~","~~"),"*","~*"),"?","~?"))&gt;0,1,0))))),0))</x:f>
        <x:v>0</x:v>
      </x:c>
      <x:c r="EO209" s="4" t="str">
        <x:f>IF('Calculations'!IJ209="","",IF('Calculations'!IJ209="!UNRESOLVED","Unresolved hierarchy",IFERROR(INDEX('Calculations'!$HK$13:$HK$512,MATCH('Calculations'!IJ209,'Calculations'!$HE$13:$HE$512,0)),IFERROR(INDEX('Calculations'!$HJ$13:$HJ$512,MATCH('Calculations'!IJ209,'Calculations'!$HF$13:$HF$512,0)),'Calculations'!IJ209))))</x:f>
      </x:c>
      <x:c r="EP209" s="4" t="n">
        <x:f>IF(AND('Calculations'!EM209&lt;&gt;"",'Calculations'!HF209='Calculations'!IJ209),1,0)</x:f>
        <x:v>0</x:v>
      </x:c>
      <x:c r="EQ209" s="4"/>
      <x:c r="ER209" s="4"/>
      <x:c r="ES209" s="4"/>
      <x:c r="ET209" s="4"/>
      <x:c r="EU209" s="4"/>
      <x:c r="EV209" s="4"/>
      <x:c r="EW209" s="4"/>
      <x:c r="EX209" s="4"/>
      <x:c r="EY209" s="4"/>
      <x:c r="EZ209" s="4"/>
      <x:c r="FA209" s="4"/>
      <x:c r="FB209" s="4"/>
      <x:c r="FC209" s="4"/>
      <x:c r="FD209" s="4"/>
      <x:c r="FE209" s="4"/>
      <x:c r="FF209" s="4"/>
      <x:c r="FG209" s="4"/>
      <x:c r="FH209" s="4"/>
      <x:c r="FI209" s="4"/>
      <x:c r="FJ209" s="4"/>
      <x:c r="FK209" s="4"/>
      <x:c r="FL209" s="4"/>
      <x:c r="FM209" s="4"/>
      <x:c r="FN209" s="4"/>
      <x:c r="FO209" s="4"/>
      <x:c r="HE209" t="str">
        <x:f>IF('Calculations'!EM209="","",IF(IFERROR(IF(INDEX(INDIRECT("'WCM Calibration Final'!$A$1:$A$2000"),'Calculations'!$EM209)="","",TRIM(INDEX(INDIRECT("'WCM Calibration Final'!$A$1:$A$2000"),'Calculations'!$EM209)&amp;"")),"")&lt;&gt;"","G:"&amp;IFERROR(TEXT(1*INDEX(INDIRECT("'WCM Calibration Final'!$A$1:$A$2000"),'Calculations'!$EM209),"0"),UPPER(IFERROR(IF(INDEX(INDIRECT("'WCM Calibration Final'!$A$1:$A$2000"),'Calculations'!$EM209)="","",TRIM(INDEX(INDIRECT("'WCM Calibration Final'!$A$1:$A$2000"),'Calculations'!$EM209)&amp;"")),""))),IF(IFERROR(IF(INDEX(INDIRECT("'WCM Calibration Final'!$C$1:$C$2000"),'Calculations'!$EM209)="","",TRIM(INDEX(INDIRECT("'WCM Calibration Final'!$C$1:$C$2000"),'Calculations'!$EM209)&amp;"")),"")&lt;&gt;"","S:"&amp;UPPER(IFERROR(IF(INDEX(INDIRECT("'WCM Calibration Final'!$C$1:$C$2000"),'Calculations'!$EM209)="","",TRIM(INDEX(INDIRECT("'WCM Calibration Final'!$C$1:$C$2000"),'Calculations'!$EM209)&amp;"")),"")),"R:"&amp;'Calculations'!EM209)))</x:f>
      </x:c>
      <x:c r="HF209" t="str">
        <x:f>IF('Calculations'!EM209="","",IF(IFERROR(IF(INDEX(INDIRECT("'WCM Calibration Final'!$D$1:$D$2000"),'Calculations'!$EM209)="","",TRIM(INDEX(INDIRECT("'WCM Calibration Final'!$D$1:$D$2000"),'Calculations'!$EM209)&amp;"")),"")&lt;&gt;"","G:"&amp;IFERROR(TEXT(1*INDEX(INDIRECT("'WCM Calibration Final'!$D$1:$D$2000"),'Calculations'!$EM209),"0"),UPPER(IFERROR(IF(INDEX(INDIRECT("'WCM Calibration Final'!$D$1:$D$2000"),'Calculations'!$EM209)="","",TRIM(INDEX(INDIRECT("'WCM Calibration Final'!$D$1:$D$2000"),'Calculations'!$EM209)&amp;"")),""))),IF(IFERROR(IF(INDEX(INDIRECT("'WCM Calibration Final'!$E$1:$E$2000"),'Calculations'!$EM209)="","",TRIM(INDEX(INDIRECT("'WCM Calibration Final'!$E$1:$E$2000"),'Calculations'!$EM209)&amp;"")),"")="","",IF(COUNTIF('Calculations'!$HG$13:$HG$512,"="&amp;SUBSTITUTE(SUBSTITUTE(SUBSTITUTE(IFERROR(IF(INDEX(INDIRECT("'WCM Calibration Final'!$E$1:$E$2000"),'Calculations'!$EM209)="","",TRIM(INDEX(INDIRECT("'WCM Calibration Final'!$E$1:$E$2000"),'Calculations'!$EM209)&amp;"")),""),"~","~~"),"*","~*"),"?","~?"))=1,INDEX('Calculations'!$HE$13:$HE$512,MATCH(IFERROR(IF(INDEX(INDIRECT("'WCM Calibration Final'!$E$1:$E$2000"),'Calculations'!$EM209)="","",TRIM(INDEX(INDIRECT("'WCM Calibration Final'!$E$1:$E$2000"),'Calculations'!$EM209)&amp;"")),""),'Calculations'!$HG$13:$HG$512,0)),IF(COUNTIF('Calculations'!$HG$13:$HG$512,"="&amp;SUBSTITUTE(SUBSTITUTE(SUBSTITUTE(IFERROR(IF(INDEX(INDIRECT("'WCM Calibration Final'!$E$1:$E$2000"),'Calculations'!$EM209)="","",TRIM(INDEX(INDIRECT("'WCM Calibration Final'!$E$1:$E$2000"),'Calculations'!$EM209)&amp;"")),""),"~","~~"),"*","~*"),"?","~?"))&gt;1,"!AMBIG","X:"&amp;IFERROR(IF(INDEX(INDIRECT("'WCM Calibration Final'!$E$1:$E$2000"),'Calculations'!$EM209)="","",TRIM(INDEX(INDIRECT("'WCM Calibration Final'!$E$1:$E$2000"),'Calculations'!$EM209)&amp;"")),""))))))</x:f>
      </x:c>
      <x:c r="HG209" t="str">
        <x:f>IF('Calculations'!EM209="","",IFERROR(IF(INDEX(INDIRECT("'WCM Calibration Final'!$B$1:$B$2000"),'Calculations'!$EM209)="","",TRIM(INDEX(INDIRECT("'WCM Calibration Final'!$B$1:$B$2000"),'Calculations'!$EM209)&amp;"")),""))</x:f>
      </x:c>
      <x:c r="HH209" t="n">
        <x:f>IF(AND('Calculations'!JC209&gt;0,COUNTIF('Calculations'!$HF$12:HF209,"="&amp;SUBSTITUTE(SUBSTITUTE(SUBSTITUTE('Calculations'!HF209,"~","~~"),"*","~*"),"?","~?"))=1),MAX('Calculations'!$HH$12:HH208)+1,0)</x:f>
        <x:v>0</x:v>
      </x:c>
      <x:c r="HI209" t="n">
        <x:f>IF(AND('Calculations'!HN209&lt;&gt;"",COUNTIF('Calculations'!$HN$12:HN209,"="&amp;SUBSTITUTE(SUBSTITUTE(SUBSTITUTE('Calculations'!HN209,"~","~~"),"*","~*"),"?","~?"))=1),MAX('Calculations'!$HI$12:HI208)+1,0)</x:f>
        <x:v>0</x:v>
      </x:c>
      <x:c r="HJ209" t="str">
        <x:f>IF('Calculations'!HF209="","",IF(COUNTIF('Calculations'!$HE$13:$HE$512,"="&amp;SUBSTITUTE(SUBSTITUTE(SUBSTITUTE('Calculations'!HF209,"~","~~"),"*","~*"),"?","~?"))=1,INDEX('Calculations'!$HK$13:$HK$512,MATCH('Calculations'!HF209,'Calculations'!$HE$13:$HE$512,0)),IFERROR(IF(INDEX(INDIRECT("'WCM Calibration Final'!$E$1:$E$2000"),'Calculations'!$EM209)="","",TRIM(INDEX(INDIRECT("'WCM Calibration Final'!$E$1:$E$2000"),'Calculations'!$EM209)&amp;"")),"")&amp;" ["&amp;'Calculations'!HF209&amp;"]"))</x:f>
      </x:c>
      <x:c r="HK209" t="str">
        <x:f>IF('Calculations'!EM209="","",'Calculations'!HG209&amp;" ["&amp;'Calculations'!HE209&amp;"]")</x:f>
      </x:c>
      <x:c r="HL209" t="n">
        <x:f>IF('Calculations'!EM209="",0,IF(OR('Calculations'!II209&lt;&gt;"",COUNTIF('Calculations'!$HE$13:$HE$512,"="&amp;SUBSTITUTE(SUBSTITUTE(SUBSTITUTE('Calculations'!HE209,"~","~~"),"*","~*"),"?","~?"))&gt;1),1,0))</x:f>
        <x:v>0</x:v>
      </x:c>
      <x:c r="HM209" t="str">
        <x:f>IF('Calculations'!EM209="","",IF('Calculations'!HL209=1,"!UNRESOLVED",IF('Calculations'!IH209&lt;&gt;"",'Calculations'!IH209,IF('Calculations'!IG209&lt;&gt;"",'Calculations'!IG209,IF('Calculations'!IF209&lt;&gt;"",'Calculations'!IF209,IF('Calculations'!IE209&lt;&gt;"",'Calculations'!IE209,IF('Calculations'!ID209&lt;&gt;"",'Calculations'!ID209,IF('Calculations'!IC209&lt;&gt;"",'Calculations'!IC209,IF('Calculations'!IB209&lt;&gt;"",'Calculations'!IB209,IF('Calculations'!IA209&lt;&gt;"",'Calculations'!IA209,IF('Calculations'!HZ209&lt;&gt;"",'Calculations'!HZ209,IF('Calculations'!HY209&lt;&gt;"",'Calculations'!HY209,IF('Calculations'!HX209&lt;&gt;"",'Calculations'!HX209,IF('Calculations'!HW209&lt;&gt;"",'Calculations'!HW209,IF('Calculations'!HV209&lt;&gt;"",'Calculations'!HV209,IF('Calculations'!HU209&lt;&gt;"",'Calculations'!HU209,IF('Calculations'!HT209&lt;&gt;"",'Calculations'!HT209,IF('Calculations'!HS209&lt;&gt;"",'Calculations'!HS209,IF('Calculations'!HR209&lt;&gt;"",'Calculations'!HR209,IF('Calculations'!HQ209&lt;&gt;"",'Calculations'!HQ209,IF('Calculations'!HP209&lt;&gt;"",'Calculations'!HP209,IF('Calculations'!HO209&lt;&gt;"",'Calculations'!HO209,'Calculations'!HE209))))))))))))))))))))))</x:f>
      </x:c>
      <x:c r="HN209" t="str">
        <x:f>IF('Calculations'!EM209="","",IF(IFERROR(IF(INDEX(INDIRECT("'WCM Calibration Final'!$F$1:$F$2000"),'Calculations'!$EM209)="","",TRIM(INDEX(INDIRECT("'WCM Calibration Final'!$F$1:$F$2000"),'Calculations'!$EM209)&amp;"")),"")="","(Blank)",IFERROR(IF(INDEX(INDIRECT("'WCM Calibration Final'!$F$1:$F$2000"),'Calculations'!$EM209)="","",TRIM(INDEX(INDIRECT("'WCM Calibration Final'!$F$1:$F$2000"),'Calculations'!$EM209)&amp;"")),"")))</x:f>
      </x:c>
      <x:c r="HO209" t="str">
        <x:f>'Calculations'!HF209</x:f>
      </x:c>
      <x:c r="HP209" t="str">
        <x:f>IF('Calculations'!HO209="","",IF('Calculations'!HO209="!AMBIG","!AMBIG",IF(COUNTIF('Calculations'!$HE$13:$HE$512,"="&amp;SUBSTITUTE(SUBSTITUTE(SUBSTITUTE('Calculations'!HO209,"~","~~"),"*","~*"),"?","~?"))&gt;1,"!AMBIG",IFERROR(INDEX('Calculations'!$HF$13:$HF$512,MATCH('Calculations'!HO209,'Calculations'!$HE$13:$HE$512,0)),""))))</x:f>
      </x:c>
      <x:c r="HQ209" t="str">
        <x:f>IF('Calculations'!HP209="","",IF('Calculations'!HP209="!AMBIG","!AMBIG",IF(COUNTIF('Calculations'!$HE$13:$HE$512,"="&amp;SUBSTITUTE(SUBSTITUTE(SUBSTITUTE('Calculations'!HP209,"~","~~"),"*","~*"),"?","~?"))&gt;1,"!AMBIG",IFERROR(INDEX('Calculations'!$HF$13:$HF$512,MATCH('Calculations'!HP209,'Calculations'!$HE$13:$HE$512,0)),""))))</x:f>
      </x:c>
      <x:c r="HR209" t="str">
        <x:f>IF('Calculations'!HQ209="","",IF('Calculations'!HQ209="!AMBIG","!AMBIG",IF(COUNTIF('Calculations'!$HE$13:$HE$512,"="&amp;SUBSTITUTE(SUBSTITUTE(SUBSTITUTE('Calculations'!HQ209,"~","~~"),"*","~*"),"?","~?"))&gt;1,"!AMBIG",IFERROR(INDEX('Calculations'!$HF$13:$HF$512,MATCH('Calculations'!HQ209,'Calculations'!$HE$13:$HE$512,0)),""))))</x:f>
      </x:c>
      <x:c r="HS209" t="str">
        <x:f>IF('Calculations'!HR209="","",IF('Calculations'!HR209="!AMBIG","!AMBIG",IF(COUNTIF('Calculations'!$HE$13:$HE$512,"="&amp;SUBSTITUTE(SUBSTITUTE(SUBSTITUTE('Calculations'!HR209,"~","~~"),"*","~*"),"?","~?"))&gt;1,"!AMBIG",IFERROR(INDEX('Calculations'!$HF$13:$HF$512,MATCH('Calculations'!HR209,'Calculations'!$HE$13:$HE$512,0)),""))))</x:f>
      </x:c>
      <x:c r="HT209" t="str">
        <x:f>IF('Calculations'!HS209="","",IF('Calculations'!HS209="!AMBIG","!AMBIG",IF(COUNTIF('Calculations'!$HE$13:$HE$512,"="&amp;SUBSTITUTE(SUBSTITUTE(SUBSTITUTE('Calculations'!HS209,"~","~~"),"*","~*"),"?","~?"))&gt;1,"!AMBIG",IFERROR(INDEX('Calculations'!$HF$13:$HF$512,MATCH('Calculations'!HS209,'Calculations'!$HE$13:$HE$512,0)),""))))</x:f>
      </x:c>
      <x:c r="HU209" t="str">
        <x:f>IF('Calculations'!HT209="","",IF('Calculations'!HT209="!AMBIG","!AMBIG",IF(COUNTIF('Calculations'!$HE$13:$HE$512,"="&amp;SUBSTITUTE(SUBSTITUTE(SUBSTITUTE('Calculations'!HT209,"~","~~"),"*","~*"),"?","~?"))&gt;1,"!AMBIG",IFERROR(INDEX('Calculations'!$HF$13:$HF$512,MATCH('Calculations'!HT209,'Calculations'!$HE$13:$HE$512,0)),""))))</x:f>
      </x:c>
      <x:c r="HV209" t="str">
        <x:f>IF('Calculations'!HU209="","",IF('Calculations'!HU209="!AMBIG","!AMBIG",IF(COUNTIF('Calculations'!$HE$13:$HE$512,"="&amp;SUBSTITUTE(SUBSTITUTE(SUBSTITUTE('Calculations'!HU209,"~","~~"),"*","~*"),"?","~?"))&gt;1,"!AMBIG",IFERROR(INDEX('Calculations'!$HF$13:$HF$512,MATCH('Calculations'!HU209,'Calculations'!$HE$13:$HE$512,0)),""))))</x:f>
      </x:c>
      <x:c r="HW209" t="str">
        <x:f>IF('Calculations'!HV209="","",IF('Calculations'!HV209="!AMBIG","!AMBIG",IF(COUNTIF('Calculations'!$HE$13:$HE$512,"="&amp;SUBSTITUTE(SUBSTITUTE(SUBSTITUTE('Calculations'!HV209,"~","~~"),"*","~*"),"?","~?"))&gt;1,"!AMBIG",IFERROR(INDEX('Calculations'!$HF$13:$HF$512,MATCH('Calculations'!HV209,'Calculations'!$HE$13:$HE$512,0)),""))))</x:f>
      </x:c>
      <x:c r="HX209" t="str">
        <x:f>IF('Calculations'!HW209="","",IF('Calculations'!HW209="!AMBIG","!AMBIG",IF(COUNTIF('Calculations'!$HE$13:$HE$512,"="&amp;SUBSTITUTE(SUBSTITUTE(SUBSTITUTE('Calculations'!HW209,"~","~~"),"*","~*"),"?","~?"))&gt;1,"!AMBIG",IFERROR(INDEX('Calculations'!$HF$13:$HF$512,MATCH('Calculations'!HW209,'Calculations'!$HE$13:$HE$512,0)),""))))</x:f>
      </x:c>
      <x:c r="HY209" t="str">
        <x:f>IF('Calculations'!HX209="","",IF('Calculations'!HX209="!AMBIG","!AMBIG",IF(COUNTIF('Calculations'!$HE$13:$HE$512,"="&amp;SUBSTITUTE(SUBSTITUTE(SUBSTITUTE('Calculations'!HX209,"~","~~"),"*","~*"),"?","~?"))&gt;1,"!AMBIG",IFERROR(INDEX('Calculations'!$HF$13:$HF$512,MATCH('Calculations'!HX209,'Calculations'!$HE$13:$HE$512,0)),""))))</x:f>
      </x:c>
      <x:c r="HZ209" t="str">
        <x:f>IF('Calculations'!HY209="","",IF('Calculations'!HY209="!AMBIG","!AMBIG",IF(COUNTIF('Calculations'!$HE$13:$HE$512,"="&amp;SUBSTITUTE(SUBSTITUTE(SUBSTITUTE('Calculations'!HY209,"~","~~"),"*","~*"),"?","~?"))&gt;1,"!AMBIG",IFERROR(INDEX('Calculations'!$HF$13:$HF$512,MATCH('Calculations'!HY209,'Calculations'!$HE$13:$HE$512,0)),""))))</x:f>
      </x:c>
      <x:c r="IA209" t="str">
        <x:f>IF('Calculations'!HZ209="","",IF('Calculations'!HZ209="!AMBIG","!AMBIG",IF(COUNTIF('Calculations'!$HE$13:$HE$512,"="&amp;SUBSTITUTE(SUBSTITUTE(SUBSTITUTE('Calculations'!HZ209,"~","~~"),"*","~*"),"?","~?"))&gt;1,"!AMBIG",IFERROR(INDEX('Calculations'!$HF$13:$HF$512,MATCH('Calculations'!HZ209,'Calculations'!$HE$13:$HE$512,0)),""))))</x:f>
      </x:c>
      <x:c r="IB209" t="str">
        <x:f>IF('Calculations'!IA209="","",IF('Calculations'!IA209="!AMBIG","!AMBIG",IF(COUNTIF('Calculations'!$HE$13:$HE$512,"="&amp;SUBSTITUTE(SUBSTITUTE(SUBSTITUTE('Calculations'!IA209,"~","~~"),"*","~*"),"?","~?"))&gt;1,"!AMBIG",IFERROR(INDEX('Calculations'!$HF$13:$HF$512,MATCH('Calculations'!IA209,'Calculations'!$HE$13:$HE$512,0)),""))))</x:f>
      </x:c>
      <x:c r="IC209" t="str">
        <x:f>IF('Calculations'!IB209="","",IF('Calculations'!IB209="!AMBIG","!AMBIG",IF(COUNTIF('Calculations'!$HE$13:$HE$512,"="&amp;SUBSTITUTE(SUBSTITUTE(SUBSTITUTE('Calculations'!IB209,"~","~~"),"*","~*"),"?","~?"))&gt;1,"!AMBIG",IFERROR(INDEX('Calculations'!$HF$13:$HF$512,MATCH('Calculations'!IB209,'Calculations'!$HE$13:$HE$512,0)),""))))</x:f>
      </x:c>
      <x:c r="ID209" t="str">
        <x:f>IF('Calculations'!IC209="","",IF('Calculations'!IC209="!AMBIG","!AMBIG",IF(COUNTIF('Calculations'!$HE$13:$HE$512,"="&amp;SUBSTITUTE(SUBSTITUTE(SUBSTITUTE('Calculations'!IC209,"~","~~"),"*","~*"),"?","~?"))&gt;1,"!AMBIG",IFERROR(INDEX('Calculations'!$HF$13:$HF$512,MATCH('Calculations'!IC209,'Calculations'!$HE$13:$HE$512,0)),""))))</x:f>
      </x:c>
      <x:c r="IE209" t="str">
        <x:f>IF('Calculations'!ID209="","",IF('Calculations'!ID209="!AMBIG","!AMBIG",IF(COUNTIF('Calculations'!$HE$13:$HE$512,"="&amp;SUBSTITUTE(SUBSTITUTE(SUBSTITUTE('Calculations'!ID209,"~","~~"),"*","~*"),"?","~?"))&gt;1,"!AMBIG",IFERROR(INDEX('Calculations'!$HF$13:$HF$512,MATCH('Calculations'!ID209,'Calculations'!$HE$13:$HE$512,0)),""))))</x:f>
      </x:c>
      <x:c r="IF209" t="str">
        <x:f>IF('Calculations'!IE209="","",IF('Calculations'!IE209="!AMBIG","!AMBIG",IF(COUNTIF('Calculations'!$HE$13:$HE$512,"="&amp;SUBSTITUTE(SUBSTITUTE(SUBSTITUTE('Calculations'!IE209,"~","~~"),"*","~*"),"?","~?"))&gt;1,"!AMBIG",IFERROR(INDEX('Calculations'!$HF$13:$HF$512,MATCH('Calculations'!IE209,'Calculations'!$HE$13:$HE$512,0)),""))))</x:f>
      </x:c>
      <x:c r="IG209" t="str">
        <x:f>IF('Calculations'!IF209="","",IF('Calculations'!IF209="!AMBIG","!AMBIG",IF(COUNTIF('Calculations'!$HE$13:$HE$512,"="&amp;SUBSTITUTE(SUBSTITUTE(SUBSTITUTE('Calculations'!IF209,"~","~~"),"*","~*"),"?","~?"))&gt;1,"!AMBIG",IFERROR(INDEX('Calculations'!$HF$13:$HF$512,MATCH('Calculations'!IF209,'Calculations'!$HE$13:$HE$512,0)),""))))</x:f>
      </x:c>
      <x:c r="IH209" t="str">
        <x:f>IF('Calculations'!IG209="","",IF('Calculations'!IG209="!AMBIG","!AMBIG",IF(COUNTIF('Calculations'!$HE$13:$HE$512,"="&amp;SUBSTITUTE(SUBSTITUTE(SUBSTITUTE('Calculations'!IG209,"~","~~"),"*","~*"),"?","~?"))&gt;1,"!AMBIG",IFERROR(INDEX('Calculations'!$HF$13:$HF$512,MATCH('Calculations'!IG209,'Calculations'!$HE$13:$HE$512,0)),""))))</x:f>
      </x:c>
      <x:c r="II209" t="str">
        <x:f>IF('Calculations'!IH209="","",IF('Calculations'!IH209="!AMBIG","!AMBIG",IF(COUNTIF('Calculations'!$HE$13:$HE$512,"="&amp;SUBSTITUTE(SUBSTITUTE(SUBSTITUTE('Calculations'!IH209,"~","~~"),"*","~*"),"?","~?"))&gt;1,"!AMBIG",IFERROR(INDEX('Calculations'!$HF$13:$HF$512,MATCH('Calculations'!IH209,'Calculations'!$HE$13:$HE$512,0)),""))))</x:f>
      </x:c>
      <x:c r="IJ209" t="str">
        <x:f>IF('Calculations'!EM209="","",IF('Calculations'!$EF$2="All",'Calculations'!HM209,IF('Calculations'!HL209=1,"",IFERROR(IF(MATCH('Calculations'!$EF$2,'Calculations'!HO209:II209,0)=1,'Calculations'!HE209,INDEX('Calculations'!HO209:II209,1,MATCH('Calculations'!$EF$2,'Calculations'!HO209:II209,0)-1)),""))))</x:f>
      </x:c>
      <x:c r="IK209" t="n">
        <x:f>IF(AND('Calculations'!EM209&lt;&gt;"",'Calculations'!$EF$2&lt;&gt;"All",'Calculations'!HF209='Calculations'!$EF$2,'Calculations'!HL209=0,'Calculations'!JD209&gt;0),MAX('Calculations'!$IK$12:IK208)+1,0)</x:f>
        <x:v>0</x:v>
      </x:c>
      <x:c r="JA209" t="n">
        <x:f>IF(OR(IFERROR(INDIRECT("'WCM Calibration Final'!$A$209")&lt;&gt;"",FALSE),IFERROR(INDIRECT("'WCM Calibration Final'!$B$209")&lt;&gt;"",FALSE),IFERROR(INDIRECT("'WCM Calibration Final'!$C$209")&lt;&gt;"",FALSE)),209,0)</x:f>
        <x:v>0</x:v>
      </x:c>
      <x:c r="JB209" t="n">
        <x:f>'Calculations'!JB208+IF('Calculations'!JA209&gt;0,1,0)</x:f>
        <x:v>0</x:v>
      </x:c>
      <x:c r="JC209" t="n">
        <x:f>IF(OR('Calculations'!HF209="",'Calculations'!HF209="!AMBIG"),0,IF('Dashboard'!$B$7="All",1,COUNTIFS('Calculations'!$HO$13:$HO$512,"="&amp;SUBSTITUTE(SUBSTITUTE(SUBSTITUTE('Calculations'!HF209,"~","~~"),"*","~*"),"?","~?"),'Calculations'!$HN$13:$HN$512,"="&amp;SUBSTITUTE(SUBSTITUTE(SUBSTITUTE('Dashboard'!$B$7,"~","~~"),"*","~*"),"?","~?"))+COUNTIFS('Calculations'!$HP$13:$HP$512,"="&amp;SUBSTITUTE(SUBSTITUTE(SUBSTITUTE('Calculations'!HF209,"~","~~"),"*","~*"),"?","~?"),'Calculations'!$HN$13:$HN$512,"="&amp;SUBSTITUTE(SUBSTITUTE(SUBSTITUTE('Dashboard'!$B$7,"~","~~"),"*","~*"),"?","~?"))+COUNTIFS('Calculations'!$HQ$13:$HQ$512,"="&amp;SUBSTITUTE(SUBSTITUTE(SUBSTITUTE('Calculations'!HF209,"~","~~"),"*","~*"),"?","~?"),'Calculations'!$HN$13:$HN$512,"="&amp;SUBSTITUTE(SUBSTITUTE(SUBSTITUTE('Dashboard'!$B$7,"~","~~"),"*","~*"),"?","~?"))+COUNTIFS('Calculations'!$HR$13:$HR$512,"="&amp;SUBSTITUTE(SUBSTITUTE(SUBSTITUTE('Calculations'!HF209,"~","~~"),"*","~*"),"?","~?"),'Calculations'!$HN$13:$HN$512,"="&amp;SUBSTITUTE(SUBSTITUTE(SUBSTITUTE('Dashboard'!$B$7,"~","~~"),"*","~*"),"?","~?"))+COUNTIFS('Calculations'!$HS$13:$HS$512,"="&amp;SUBSTITUTE(SUBSTITUTE(SUBSTITUTE('Calculations'!HF209,"~","~~"),"*","~*"),"?","~?"),'Calculations'!$HN$13:$HN$512,"="&amp;SUBSTITUTE(SUBSTITUTE(SUBSTITUTE('Dashboard'!$B$7,"~","~~"),"*","~*"),"?","~?"))+COUNTIFS('Calculations'!$HT$13:$HT$512,"="&amp;SUBSTITUTE(SUBSTITUTE(SUBSTITUTE('Calculations'!HF209,"~","~~"),"*","~*"),"?","~?"),'Calculations'!$HN$13:$HN$512,"="&amp;SUBSTITUTE(SUBSTITUTE(SUBSTITUTE('Dashboard'!$B$7,"~","~~"),"*","~*"),"?","~?"))+COUNTIFS('Calculations'!$HU$13:$HU$512,"="&amp;SUBSTITUTE(SUBSTITUTE(SUBSTITUTE('Calculations'!HF209,"~","~~"),"*","~*"),"?","~?"),'Calculations'!$HN$13:$HN$512,"="&amp;SUBSTITUTE(SUBSTITUTE(SUBSTITUTE('Dashboard'!$B$7,"~","~~"),"*","~*"),"?","~?"))+COUNTIFS('Calculations'!$HV$13:$HV$512,"="&amp;SUBSTITUTE(SUBSTITUTE(SUBSTITUTE('Calculations'!HF209,"~","~~"),"*","~*"),"?","~?"),'Calculations'!$HN$13:$HN$512,"="&amp;SUBSTITUTE(SUBSTITUTE(SUBSTITUTE('Dashboard'!$B$7,"~","~~"),"*","~*"),"?","~?"))+COUNTIFS('Calculations'!$HW$13:$HW$512,"="&amp;SUBSTITUTE(SUBSTITUTE(SUBSTITUTE('Calculations'!HF209,"~","~~"),"*","~*"),"?","~?"),'Calculations'!$HN$13:$HN$512,"="&amp;SUBSTITUTE(SUBSTITUTE(SUBSTITUTE('Dashboard'!$B$7,"~","~~"),"*","~*"),"?","~?"))+COUNTIFS('Calculations'!$HX$13:$HX$512,"="&amp;SUBSTITUTE(SUBSTITUTE(SUBSTITUTE('Calculations'!HF209,"~","~~"),"*","~*"),"?","~?"),'Calculations'!$HN$13:$HN$512,"="&amp;SUBSTITUTE(SUBSTITUTE(SUBSTITUTE('Dashboard'!$B$7,"~","~~"),"*","~*"),"?","~?"))+COUNTIFS('Calculations'!$HY$13:$HY$512,"="&amp;SUBSTITUTE(SUBSTITUTE(SUBSTITUTE('Calculations'!HF209,"~","~~"),"*","~*"),"?","~?"),'Calculations'!$HN$13:$HN$512,"="&amp;SUBSTITUTE(SUBSTITUTE(SUBSTITUTE('Dashboard'!$B$7,"~","~~"),"*","~*"),"?","~?"))+COUNTIFS('Calculations'!$HZ$13:$HZ$512,"="&amp;SUBSTITUTE(SUBSTITUTE(SUBSTITUTE('Calculations'!HF209,"~","~~"),"*","~*"),"?","~?"),'Calculations'!$HN$13:$HN$512,"="&amp;SUBSTITUTE(SUBSTITUTE(SUBSTITUTE('Dashboard'!$B$7,"~","~~"),"*","~*"),"?","~?"))+COUNTIFS('Calculations'!$IA$13:$IA$512,"="&amp;SUBSTITUTE(SUBSTITUTE(SUBSTITUTE('Calculations'!HF209,"~","~~"),"*","~*"),"?","~?"),'Calculations'!$HN$13:$HN$512,"="&amp;SUBSTITUTE(SUBSTITUTE(SUBSTITUTE('Dashboard'!$B$7,"~","~~"),"*","~*"),"?","~?"))+COUNTIFS('Calculations'!$IB$13:$IB$512,"="&amp;SUBSTITUTE(SUBSTITUTE(SUBSTITUTE('Calculations'!HF209,"~","~~"),"*","~*"),"?","~?"),'Calculations'!$HN$13:$HN$512,"="&amp;SUBSTITUTE(SUBSTITUTE(SUBSTITUTE('Dashboard'!$B$7,"~","~~"),"*","~*"),"?","~?"))+COUNTIFS('Calculations'!$IC$13:$IC$512,"="&amp;SUBSTITUTE(SUBSTITUTE(SUBSTITUTE('Calculations'!HF209,"~","~~"),"*","~*"),"?","~?"),'Calculations'!$HN$13:$HN$512,"="&amp;SUBSTITUTE(SUBSTITUTE(SUBSTITUTE('Dashboard'!$B$7,"~","~~"),"*","~*"),"?","~?"))+COUNTIFS('Calculations'!$ID$13:$ID$512,"="&amp;SUBSTITUTE(SUBSTITUTE(SUBSTITUTE('Calculations'!HF209,"~","~~"),"*","~*"),"?","~?"),'Calculations'!$HN$13:$HN$512,"="&amp;SUBSTITUTE(SUBSTITUTE(SUBSTITUTE('Dashboard'!$B$7,"~","~~"),"*","~*"),"?","~?"))+COUNTIFS('Calculations'!$IE$13:$IE$512,"="&amp;SUBSTITUTE(SUBSTITUTE(SUBSTITUTE('Calculations'!HF209,"~","~~"),"*","~*"),"?","~?"),'Calculations'!$HN$13:$HN$512,"="&amp;SUBSTITUTE(SUBSTITUTE(SUBSTITUTE('Dashboard'!$B$7,"~","~~"),"*","~*"),"?","~?"))+COUNTIFS('Calculations'!$IF$13:$IF$512,"="&amp;SUBSTITUTE(SUBSTITUTE(SUBSTITUTE('Calculations'!HF209,"~","~~"),"*","~*"),"?","~?"),'Calculations'!$HN$13:$HN$512,"="&amp;SUBSTITUTE(SUBSTITUTE(SUBSTITUTE('Dashboard'!$B$7,"~","~~"),"*","~*"),"?","~?"))+COUNTIFS('Calculations'!$IG$13:$IG$512,"="&amp;SUBSTITUTE(SUBSTITUTE(SUBSTITUTE('Calculations'!HF209,"~","~~"),"*","~*"),"?","~?"),'Calculations'!$HN$13:$HN$512,"="&amp;SUBSTITUTE(SUBSTITUTE(SUBSTITUTE('Dashboard'!$B$7,"~","~~"),"*","~*"),"?","~?"))+COUNTIFS('Calculations'!$IH$13:$IH$512,"="&amp;SUBSTITUTE(SUBSTITUTE(SUBSTITUTE('Calculations'!HF209,"~","~~"),"*","~*"),"?","~?"),'Calculations'!$HN$13:$HN$512,"="&amp;SUBSTITUTE(SUBSTITUTE(SUBSTITUTE('Dashboard'!$B$7,"~","~~"),"*","~*"),"?","~?"))))</x:f>
        <x:v>0</x:v>
      </x:c>
      <x:c r="JD209" t="n">
        <x:f>IF('Calculations'!EM209="",0,IF('Dashboard'!$B$7="All",1,IF('Calculations'!HN209='Dashboard'!$B$7,1,0)+IFERROR(INDEX('Calculations'!$JC$13:$JC$512,MATCH('Calculations'!HE209,'Calculations'!$HF$13:$HF$512,0)),0)))</x:f>
        <x:v>0</x:v>
      </x:c>
      <x:c r="JE209" t="n">
        <x:f>IF(AND('Calculations'!EM209&lt;&gt;"",'Calculations'!$JJ$2&lt;&gt;"All",'Calculations'!$JJ$2&lt;&gt;"",'Calculations'!HF209='Calculations'!$JJ$2,'Calculations'!HL209=0,'Calculations'!JD209&gt;0),MAX('Calculations'!$JE$12:JE208)+1,0)</x:f>
        <x:v>0</x:v>
      </x:c>
      <x:c r="JF209" t="str">
        <x:f>IF('Calculations'!EM209="","",IFERROR(IF(INDEX(INDIRECT("'WCM Calibration Final'!$G$1:$G$2000"),'Calculations'!$EM209)="","",TRIM(INDEX(INDIRECT("'WCM Calibration Final'!$G$1:$G$2000"),'Calculations'!$EM209)&amp;"")),""))</x:f>
      </x:c>
      <x:c r="JQ209" t="n">
        <x:f>IF(OR('Calculations'!BM209=0,NOT('Calculations'!$AG$2),'Calculations'!$AG$8&gt;0),0,IF(OR('Dashboard'!$B$7="All",'Calculations'!HN209='Dashboard'!$B$7),IF('Calculations'!$JJ$2="All",1,IF(AND('Calculations'!HF209='Calculations'!$JJ$2,'Calculations'!HL209=0),1,0)),0))</x:f>
        <x:v>0</x:v>
      </x:c>
    </x:row>
    <x:row r="210">
      <x:c r="AF210" s="4" t="str">
        <x:v>Rating</x:v>
      </x:c>
      <x:c r="AG210" s="4" t="str">
        <x:v>Count</x:v>
      </x:c>
      <x:c r="AH210" s="4" t="str">
        <x:v>Actual</x:v>
      </x:c>
      <x:c r="AI210" s="4" t="str">
        <x:v>Threshold</x:v>
      </x:c>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t="n">
        <x:f>IF('Calculations'!$EM210="",0,IF(OR(IFERROR(INDEX(INDIRECT("'WCM Calibration Final'!$A$1:$A$2000"),'Calculations'!$EM210)&lt;&gt;"",FALSE),IFERROR(INDEX(INDIRECT("'WCM Calibration Final'!$B$1:$B$2000"),'Calculations'!$EM210)&lt;&gt;"",FALSE),IFERROR(INDEX(INDIRECT("'WCM Calibration Final'!$C$1:$C$2000"),'Calculations'!$EM210)&lt;&gt;"",FALSE)),1,0))</x:f>
        <x:v>0</x:v>
      </x:c>
      <x:c r="BN210" s="4" t="n">
        <x:f>IF(AND('Calculations'!BM210=1,'Calculations'!$AG$2,'Calculations'!$EN210=1),1,0)</x:f>
        <x:v>0</x:v>
      </x:c>
      <x:c r="BO210" s="4" t="str">
        <x:f>IF('Calculations'!BM210=0,"",IFERROR(IF(AND(VALUE(INDEX(INDIRECT("'WCM Calibration Final'!$K$1:$K$2000"),'Calculations'!$EM210))&gt;=1,VALUE(INDEX(INDIRECT("'WCM Calibration Final'!$K$1:$K$2000"),'Calculations'!$EM210))&lt;=4,MOD(VALUE(INDEX(INDIRECT("'WCM Calibration Final'!$K$1:$K$2000"),'Calculations'!$EM210)),1)=0),VALUE(INDEX(INDIRECT("'WCM Calibration Final'!$K$1:$K$2000"),'Calculations'!$EM210)),""),""))</x:f>
      </x:c>
      <x:c r="BP210" s="4" t="str">
        <x:f>IF('Calculations'!BM210=0,"",IFERROR(IF(AND(VALUE(INDEX(INDIRECT("'WCM Calibration Final'!$L$1:$L$2000"),'Calculations'!$EM210))&gt;=1,VALUE(INDEX(INDIRECT("'WCM Calibration Final'!$L$1:$L$2000"),'Calculations'!$EM210))&lt;=4,MOD(VALUE(INDEX(INDIRECT("'WCM Calibration Final'!$L$1:$L$2000"),'Calculations'!$EM210)),1)=0),VALUE(INDEX(INDIRECT("'WCM Calibration Final'!$L$1:$L$2000"),'Calculations'!$EM210)),""),""))</x:f>
      </x:c>
      <x:c r="BQ210" s="4"/>
      <x:c r="BR210" s="4"/>
      <x:c r="BS210" s="4"/>
      <x:c r="BT210" s="4" t="n">
        <x:f>IF(AND('Calculations'!BM210=1,ISNUMBER('Calculations'!BO210),ISNUMBER('Calculations'!BP210)),1,0)</x:f>
        <x:v>0</x:v>
      </x:c>
      <x:c r="BU210" s="4" t="str">
        <x:f>IF('Calculations'!BM210=0,"",'Calculations'!$EO210)</x:f>
      </x:c>
      <x:c r="BV210" s="4" t="str">
        <x:f>IF('Calculations'!BM210=0,"",IFERROR(IF(OR(INDEX(INDIRECT("'WCM Calibration Final'!$H$1:$H$2000"),'Calculations'!$EM210)="MANAGING DIRECTOR",INDEX(INDIRECT("'WCM Calibration Final'!$H$1:$H$2000"),'Calculations'!$EM210)="DIRECTOR",INDEX(INDIRECT("'WCM Calibration Final'!$H$1:$H$2000"),'Calculations'!$EM210)="SENIOR VICE PRESIDENT",INDEX(INDIRECT("'WCM Calibration Final'!$H$1:$H$2000"),'Calculations'!$EM210)="VICE PRESIDENT",INDEX(INDIRECT("'WCM Calibration Final'!$H$1:$H$2000"),'Calculations'!$EM210)="ASSISTANT VICE PRESIDENT",INDEX(INDIRECT("'WCM Calibration Final'!$H$1:$H$2000"),'Calculations'!$EM210)="OFFICER"),UPPER(INDEX(INDIRECT("'WCM Calibration Final'!$H$1:$H$2000"),'Calculations'!$EM210)),"Other"),"Other"))</x:f>
      </x:c>
      <x:c r="BW210" s="4"/>
      <x:c r="BX210" s="4"/>
      <x:c r="BY210" s="4" t="n">
        <x:f>IF(AND('Calculations'!BM210=1,'Calculations'!BU210&lt;&gt;"",COUNTIF('Calculations'!$BU$12:BU210,'Calculations'!BU210)=1),MAX('Calculations'!$BY$11:BY209)+1,0)</x:f>
        <x:v>0</x:v>
      </x:c>
      <x:c r="BZ210" s="4" t="str">
        <x:f>IF('Dashboard'!$E$67="What",'Calculations'!BO210,'Calculations'!BP210)</x:f>
      </x:c>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t="str">
        <x:f>IF(199&gt;MAX('Calculations'!$HI$13:$HI$512),"",INDEX('Calculations'!$HN$13:$HN$512,MATCH(199,'Calculations'!$HI$13:$HI$512,0)))</x:f>
      </x:c>
      <x:c r="DB210" s="4" t="str">
        <x:f>IF(199&gt;MAX('Calculations'!$HH$13:$HH$512),"",INDEX('Calculations'!$HJ$13:$HJ$512,MATCH(199,'Calculations'!$HH$13:$HH$512,0)))</x:f>
      </x:c>
      <x:c r="DC210" s="4" t="str">
        <x:f>IF(ROW()-11&gt;MAX('Calculations'!$BY$13:$BY$512),"",INDEX('Calculations'!$BU$13:$BU$512,MATCH(ROW()-11,'Calculations'!$BY$13:$BY$512,0)))</x:f>
      </x:c>
      <x:c r="DD210" s="4" t="str">
        <x:f>IF(199&gt;MAX('Calculations'!$IK$13:$IK$512),"",INDEX('Calculations'!$HK$13:$HK$512,MATCH(199,'Calculations'!$IK$13:$IK$512,0)))</x:f>
      </x:c>
      <x:c r="DE210" s="4" t="str">
        <x:f>'Calculations'!DC210</x:f>
      </x:c>
      <x:c r="DF210" s="4" t="str">
        <x:f>IF('Calculations'!DE210="","",COUNTIFS('Calculations'!$BN$13:$BN$512,1,'Calculations'!$BU$13:$BU$512,'Calculations'!DE210))</x:f>
      </x:c>
      <x:c r="DG210" s="4" t="str">
        <x:f>IF('Calculations'!DE210="","",COUNTIFS('Calculations'!$BN$13:$BN$512,1,'Calculations'!$BU$13:$BU$512,'Calculations'!DE210,'Calculations'!$BT$13:$BT$512,1))</x:f>
      </x:c>
      <x:c r="DH210" s="4" t="str">
        <x:f>IF('Calculations'!DE210="","",'Calculations'!DF210-'Calculations'!DG210)</x:f>
      </x:c>
      <x:c r="DI210" s="4" t="str">
        <x:f>IF(OR('Calculations'!DE210="",'Calculations'!DF210=0),"",'Calculations'!DG210/'Calculations'!DF210)</x:f>
      </x:c>
      <x:c r="DJ210" s="4" t="str">
        <x:f>IF('Calculations'!DE210="","",COUNTIFS('Calculations'!$BN$13:$BN$512,1,'Calculations'!$BU$13:$BU$512,'Calculations'!DE210,'Calculations'!$BT$13:$BT$512,1,'Calculations'!$EE$13:$EE$512,"High"))</x:f>
      </x:c>
      <x:c r="DK210" s="4" t="str">
        <x:f>IF('Calculations'!DE210="","",COUNTIFS('Calculations'!$BN$13:$BN$512,1,'Calculations'!$BU$13:$BU$512,'Calculations'!DE210,'Calculations'!$BT$13:$BT$512,1,'Calculations'!$EE$13:$EE$512,"Strong"))</x:f>
      </x:c>
      <x:c r="DL210" s="4" t="str">
        <x:f>IF('Calculations'!DE210="","",COUNTIFS('Calculations'!$BN$13:$BN$512,1,'Calculations'!$BU$13:$BU$512,'Calculations'!DE210,'Calculations'!$BT$13:$BT$512,1,'Calculations'!$EE$13:$EE$512,"Solid"))</x:f>
      </x:c>
      <x:c r="DM210" s="4" t="str">
        <x:f>IF('Calculations'!DE210="","",COUNTIFS('Calculations'!$BN$13:$BN$512,1,'Calculations'!$BU$13:$BU$512,'Calculations'!DE210,'Calculations'!$BT$13:$BT$512,1,'Calculations'!$EE$13:$EE$512,"Low"))</x:f>
      </x:c>
      <x:c r="DN210" s="4" t="str">
        <x:f>IF('Calculations'!DE210="","",COUNTIFS('Calculations'!$BN$13:$BN$512,1,'Calculations'!$BU$13:$BU$512,'Calculations'!DE210,'Calculations'!$EP$13:$EP$512,1))</x:f>
      </x:c>
      <x:c r="DO210" s="4" t="str">
        <x:f>IF(OR('Calculations'!DE210="",'Calculations'!DG210=0),"",('Calculations'!DJ210+'Calculations'!DK210)/'Calculations'!DG210)</x:f>
      </x:c>
      <x:c r="DP210" s="4" t="n">
        <x:f>IF(AND('Calculations'!DE210&lt;&gt;"",'Calculations'!DF210&gt;0),COUNTIF('Calculations'!$DF$12:DF210,"&gt;0"),0)</x:f>
        <x:v>0</x:v>
      </x:c>
      <x:c r="DQ210" s="4" t="str">
        <x:f>IF(199&gt;MAX('Calculations'!$HH$13:$HH$512),"",INDEX('Calculations'!$HF$13:$HF$512,MATCH(199,'Calculations'!$HH$13:$HH$512,0)))</x:f>
      </x:c>
      <x:c r="DR210" s="4" t="str">
        <x:f>IF(199&gt;MAX('Calculations'!$IK$13:$IK$512),"",INDEX('Calculations'!$HE$13:$HE$512,MATCH(199,'Calculations'!$IK$13:$IK$512,0)))</x:f>
      </x:c>
      <x:c r="DS210" s="4"/>
      <x:c r="DT210" s="4"/>
      <x:c r="DU210" s="4"/>
      <x:c r="DV210" s="4"/>
      <x:c r="DW210" s="4"/>
      <x:c r="DX210" s="4"/>
      <x:c r="DY210" s="4"/>
      <x:c r="DZ210" s="4"/>
      <x:c r="EA210" s="4"/>
      <x:c r="EB210" s="4"/>
      <x:c r="EC210" s="4"/>
      <x:c r="ED210" s="4"/>
      <x:c r="EE210" s="4" t="str">
        <x:f>IF('Calculations'!BT210=0,"Not Rated",IF(OR('Calculations'!BO210&gt;=4,'Calculations'!BP210&gt;=4),"Low",IF('Calculations'!BO210+'Calculations'!BP210&lt;=3,"High",IF('Calculations'!BO210+'Calculations'!BP210&lt;=4,"Strong","Solid"))))</x:f>
        <x:v>Not Rated</x:v>
      </x:c>
      <x:c r="EF210" s="4"/>
      <x:c r="EG210" s="4"/>
      <x:c r="EH210" s="4"/>
      <x:c r="EI210" s="4"/>
      <x:c r="EJ210" s="4"/>
      <x:c r="EK210" s="4"/>
      <x:c r="EL210" s="4"/>
      <x:c r="EM210" s="4" t="str">
        <x:f>IF(198&gt;'Calculations'!$JB$2000,"",INDEX('Calculations'!$JA$12:$JA$2000,MATCH(198,'Calculations'!$JB$12:$JB$2000,0)))</x:f>
      </x:c>
      <x:c r="EN210" s="4" t="n">
        <x:f>IF(OR('Calculations'!EM210="",'Calculations'!$AG$8&gt;0,AND('Calculations'!$EF$2&lt;&gt;"All",'Calculations'!HE210='Calculations'!$EF$2),AND('Calculations'!$EF$3&lt;&gt;"All",'Calculations'!HE210='Calculations'!$EF$3)),0,IF(OR('Dashboard'!$B$7="All",'Calculations'!HN210='Dashboard'!$B$7),IF('Calculations'!$EF$2="All",1,IF('Calculations'!HL210&gt;0,0,IF(COUNTIF('Calculations'!HO210:II210,"="&amp;SUBSTITUTE(SUBSTITUTE(SUBSTITUTE('Calculations'!$EF$2,"~","~~"),"*","~*"),"?","~?"))=0,0,IF('Calculations'!$EF$3="All",1,IF(COUNTIF('Calculations'!HO210:II210,"="&amp;SUBSTITUTE(SUBSTITUTE(SUBSTITUTE('Calculations'!$EF$3,"~","~~"),"*","~*"),"?","~?"))&gt;0,1,0))))),0))</x:f>
        <x:v>0</x:v>
      </x:c>
      <x:c r="EO210" s="4" t="str">
        <x:f>IF('Calculations'!IJ210="","",IF('Calculations'!IJ210="!UNRESOLVED","Unresolved hierarchy",IFERROR(INDEX('Calculations'!$HK$13:$HK$512,MATCH('Calculations'!IJ210,'Calculations'!$HE$13:$HE$512,0)),IFERROR(INDEX('Calculations'!$HJ$13:$HJ$512,MATCH('Calculations'!IJ210,'Calculations'!$HF$13:$HF$512,0)),'Calculations'!IJ210))))</x:f>
      </x:c>
      <x:c r="EP210" s="4" t="n">
        <x:f>IF(AND('Calculations'!EM210&lt;&gt;"",'Calculations'!HF210='Calculations'!IJ210),1,0)</x:f>
        <x:v>0</x:v>
      </x:c>
      <x:c r="EQ210" s="4"/>
      <x:c r="ER210" s="4"/>
      <x:c r="ES210" s="4"/>
      <x:c r="ET210" s="4"/>
      <x:c r="EU210" s="4"/>
      <x:c r="EV210" s="4"/>
      <x:c r="EW210" s="4"/>
      <x:c r="EX210" s="4"/>
      <x:c r="EY210" s="4"/>
      <x:c r="EZ210" s="4"/>
      <x:c r="FA210" s="4"/>
      <x:c r="FB210" s="4"/>
      <x:c r="FC210" s="4"/>
      <x:c r="FD210" s="4"/>
      <x:c r="FE210" s="4"/>
      <x:c r="FF210" s="4"/>
      <x:c r="FG210" s="4"/>
      <x:c r="FH210" s="4"/>
      <x:c r="FI210" s="4"/>
      <x:c r="FJ210" s="4"/>
      <x:c r="FK210" s="4"/>
      <x:c r="FL210" s="4"/>
      <x:c r="FM210" s="4"/>
      <x:c r="FN210" s="4"/>
      <x:c r="FO210" s="4"/>
      <x:c r="HE210" t="str">
        <x:f>IF('Calculations'!EM210="","",IF(IFERROR(IF(INDEX(INDIRECT("'WCM Calibration Final'!$A$1:$A$2000"),'Calculations'!$EM210)="","",TRIM(INDEX(INDIRECT("'WCM Calibration Final'!$A$1:$A$2000"),'Calculations'!$EM210)&amp;"")),"")&lt;&gt;"","G:"&amp;IFERROR(TEXT(1*INDEX(INDIRECT("'WCM Calibration Final'!$A$1:$A$2000"),'Calculations'!$EM210),"0"),UPPER(IFERROR(IF(INDEX(INDIRECT("'WCM Calibration Final'!$A$1:$A$2000"),'Calculations'!$EM210)="","",TRIM(INDEX(INDIRECT("'WCM Calibration Final'!$A$1:$A$2000"),'Calculations'!$EM210)&amp;"")),""))),IF(IFERROR(IF(INDEX(INDIRECT("'WCM Calibration Final'!$C$1:$C$2000"),'Calculations'!$EM210)="","",TRIM(INDEX(INDIRECT("'WCM Calibration Final'!$C$1:$C$2000"),'Calculations'!$EM210)&amp;"")),"")&lt;&gt;"","S:"&amp;UPPER(IFERROR(IF(INDEX(INDIRECT("'WCM Calibration Final'!$C$1:$C$2000"),'Calculations'!$EM210)="","",TRIM(INDEX(INDIRECT("'WCM Calibration Final'!$C$1:$C$2000"),'Calculations'!$EM210)&amp;"")),"")),"R:"&amp;'Calculations'!EM210)))</x:f>
      </x:c>
      <x:c r="HF210" t="str">
        <x:f>IF('Calculations'!EM210="","",IF(IFERROR(IF(INDEX(INDIRECT("'WCM Calibration Final'!$D$1:$D$2000"),'Calculations'!$EM210)="","",TRIM(INDEX(INDIRECT("'WCM Calibration Final'!$D$1:$D$2000"),'Calculations'!$EM210)&amp;"")),"")&lt;&gt;"","G:"&amp;IFERROR(TEXT(1*INDEX(INDIRECT("'WCM Calibration Final'!$D$1:$D$2000"),'Calculations'!$EM210),"0"),UPPER(IFERROR(IF(INDEX(INDIRECT("'WCM Calibration Final'!$D$1:$D$2000"),'Calculations'!$EM210)="","",TRIM(INDEX(INDIRECT("'WCM Calibration Final'!$D$1:$D$2000"),'Calculations'!$EM210)&amp;"")),""))),IF(IFERROR(IF(INDEX(INDIRECT("'WCM Calibration Final'!$E$1:$E$2000"),'Calculations'!$EM210)="","",TRIM(INDEX(INDIRECT("'WCM Calibration Final'!$E$1:$E$2000"),'Calculations'!$EM210)&amp;"")),"")="","",IF(COUNTIF('Calculations'!$HG$13:$HG$512,"="&amp;SUBSTITUTE(SUBSTITUTE(SUBSTITUTE(IFERROR(IF(INDEX(INDIRECT("'WCM Calibration Final'!$E$1:$E$2000"),'Calculations'!$EM210)="","",TRIM(INDEX(INDIRECT("'WCM Calibration Final'!$E$1:$E$2000"),'Calculations'!$EM210)&amp;"")),""),"~","~~"),"*","~*"),"?","~?"))=1,INDEX('Calculations'!$HE$13:$HE$512,MATCH(IFERROR(IF(INDEX(INDIRECT("'WCM Calibration Final'!$E$1:$E$2000"),'Calculations'!$EM210)="","",TRIM(INDEX(INDIRECT("'WCM Calibration Final'!$E$1:$E$2000"),'Calculations'!$EM210)&amp;"")),""),'Calculations'!$HG$13:$HG$512,0)),IF(COUNTIF('Calculations'!$HG$13:$HG$512,"="&amp;SUBSTITUTE(SUBSTITUTE(SUBSTITUTE(IFERROR(IF(INDEX(INDIRECT("'WCM Calibration Final'!$E$1:$E$2000"),'Calculations'!$EM210)="","",TRIM(INDEX(INDIRECT("'WCM Calibration Final'!$E$1:$E$2000"),'Calculations'!$EM210)&amp;"")),""),"~","~~"),"*","~*"),"?","~?"))&gt;1,"!AMBIG","X:"&amp;IFERROR(IF(INDEX(INDIRECT("'WCM Calibration Final'!$E$1:$E$2000"),'Calculations'!$EM210)="","",TRIM(INDEX(INDIRECT("'WCM Calibration Final'!$E$1:$E$2000"),'Calculations'!$EM210)&amp;"")),""))))))</x:f>
      </x:c>
      <x:c r="HG210" t="str">
        <x:f>IF('Calculations'!EM210="","",IFERROR(IF(INDEX(INDIRECT("'WCM Calibration Final'!$B$1:$B$2000"),'Calculations'!$EM210)="","",TRIM(INDEX(INDIRECT("'WCM Calibration Final'!$B$1:$B$2000"),'Calculations'!$EM210)&amp;"")),""))</x:f>
      </x:c>
      <x:c r="HH210" t="n">
        <x:f>IF(AND('Calculations'!JC210&gt;0,COUNTIF('Calculations'!$HF$12:HF210,"="&amp;SUBSTITUTE(SUBSTITUTE(SUBSTITUTE('Calculations'!HF210,"~","~~"),"*","~*"),"?","~?"))=1),MAX('Calculations'!$HH$12:HH209)+1,0)</x:f>
        <x:v>0</x:v>
      </x:c>
      <x:c r="HI210" t="n">
        <x:f>IF(AND('Calculations'!HN210&lt;&gt;"",COUNTIF('Calculations'!$HN$12:HN210,"="&amp;SUBSTITUTE(SUBSTITUTE(SUBSTITUTE('Calculations'!HN210,"~","~~"),"*","~*"),"?","~?"))=1),MAX('Calculations'!$HI$12:HI209)+1,0)</x:f>
        <x:v>0</x:v>
      </x:c>
      <x:c r="HJ210" t="str">
        <x:f>IF('Calculations'!HF210="","",IF(COUNTIF('Calculations'!$HE$13:$HE$512,"="&amp;SUBSTITUTE(SUBSTITUTE(SUBSTITUTE('Calculations'!HF210,"~","~~"),"*","~*"),"?","~?"))=1,INDEX('Calculations'!$HK$13:$HK$512,MATCH('Calculations'!HF210,'Calculations'!$HE$13:$HE$512,0)),IFERROR(IF(INDEX(INDIRECT("'WCM Calibration Final'!$E$1:$E$2000"),'Calculations'!$EM210)="","",TRIM(INDEX(INDIRECT("'WCM Calibration Final'!$E$1:$E$2000"),'Calculations'!$EM210)&amp;"")),"")&amp;" ["&amp;'Calculations'!HF210&amp;"]"))</x:f>
      </x:c>
      <x:c r="HK210" t="str">
        <x:f>IF('Calculations'!EM210="","",'Calculations'!HG210&amp;" ["&amp;'Calculations'!HE210&amp;"]")</x:f>
      </x:c>
      <x:c r="HL210" t="n">
        <x:f>IF('Calculations'!EM210="",0,IF(OR('Calculations'!II210&lt;&gt;"",COUNTIF('Calculations'!$HE$13:$HE$512,"="&amp;SUBSTITUTE(SUBSTITUTE(SUBSTITUTE('Calculations'!HE210,"~","~~"),"*","~*"),"?","~?"))&gt;1),1,0))</x:f>
        <x:v>0</x:v>
      </x:c>
      <x:c r="HM210" t="str">
        <x:f>IF('Calculations'!EM210="","",IF('Calculations'!HL210=1,"!UNRESOLVED",IF('Calculations'!IH210&lt;&gt;"",'Calculations'!IH210,IF('Calculations'!IG210&lt;&gt;"",'Calculations'!IG210,IF('Calculations'!IF210&lt;&gt;"",'Calculations'!IF210,IF('Calculations'!IE210&lt;&gt;"",'Calculations'!IE210,IF('Calculations'!ID210&lt;&gt;"",'Calculations'!ID210,IF('Calculations'!IC210&lt;&gt;"",'Calculations'!IC210,IF('Calculations'!IB210&lt;&gt;"",'Calculations'!IB210,IF('Calculations'!IA210&lt;&gt;"",'Calculations'!IA210,IF('Calculations'!HZ210&lt;&gt;"",'Calculations'!HZ210,IF('Calculations'!HY210&lt;&gt;"",'Calculations'!HY210,IF('Calculations'!HX210&lt;&gt;"",'Calculations'!HX210,IF('Calculations'!HW210&lt;&gt;"",'Calculations'!HW210,IF('Calculations'!HV210&lt;&gt;"",'Calculations'!HV210,IF('Calculations'!HU210&lt;&gt;"",'Calculations'!HU210,IF('Calculations'!HT210&lt;&gt;"",'Calculations'!HT210,IF('Calculations'!HS210&lt;&gt;"",'Calculations'!HS210,IF('Calculations'!HR210&lt;&gt;"",'Calculations'!HR210,IF('Calculations'!HQ210&lt;&gt;"",'Calculations'!HQ210,IF('Calculations'!HP210&lt;&gt;"",'Calculations'!HP210,IF('Calculations'!HO210&lt;&gt;"",'Calculations'!HO210,'Calculations'!HE210))))))))))))))))))))))</x:f>
      </x:c>
      <x:c r="HN210" t="str">
        <x:f>IF('Calculations'!EM210="","",IF(IFERROR(IF(INDEX(INDIRECT("'WCM Calibration Final'!$F$1:$F$2000"),'Calculations'!$EM210)="","",TRIM(INDEX(INDIRECT("'WCM Calibration Final'!$F$1:$F$2000"),'Calculations'!$EM210)&amp;"")),"")="","(Blank)",IFERROR(IF(INDEX(INDIRECT("'WCM Calibration Final'!$F$1:$F$2000"),'Calculations'!$EM210)="","",TRIM(INDEX(INDIRECT("'WCM Calibration Final'!$F$1:$F$2000"),'Calculations'!$EM210)&amp;"")),"")))</x:f>
      </x:c>
      <x:c r="HO210" t="str">
        <x:f>'Calculations'!HF210</x:f>
      </x:c>
      <x:c r="HP210" t="str">
        <x:f>IF('Calculations'!HO210="","",IF('Calculations'!HO210="!AMBIG","!AMBIG",IF(COUNTIF('Calculations'!$HE$13:$HE$512,"="&amp;SUBSTITUTE(SUBSTITUTE(SUBSTITUTE('Calculations'!HO210,"~","~~"),"*","~*"),"?","~?"))&gt;1,"!AMBIG",IFERROR(INDEX('Calculations'!$HF$13:$HF$512,MATCH('Calculations'!HO210,'Calculations'!$HE$13:$HE$512,0)),""))))</x:f>
      </x:c>
      <x:c r="HQ210" t="str">
        <x:f>IF('Calculations'!HP210="","",IF('Calculations'!HP210="!AMBIG","!AMBIG",IF(COUNTIF('Calculations'!$HE$13:$HE$512,"="&amp;SUBSTITUTE(SUBSTITUTE(SUBSTITUTE('Calculations'!HP210,"~","~~"),"*","~*"),"?","~?"))&gt;1,"!AMBIG",IFERROR(INDEX('Calculations'!$HF$13:$HF$512,MATCH('Calculations'!HP210,'Calculations'!$HE$13:$HE$512,0)),""))))</x:f>
      </x:c>
      <x:c r="HR210" t="str">
        <x:f>IF('Calculations'!HQ210="","",IF('Calculations'!HQ210="!AMBIG","!AMBIG",IF(COUNTIF('Calculations'!$HE$13:$HE$512,"="&amp;SUBSTITUTE(SUBSTITUTE(SUBSTITUTE('Calculations'!HQ210,"~","~~"),"*","~*"),"?","~?"))&gt;1,"!AMBIG",IFERROR(INDEX('Calculations'!$HF$13:$HF$512,MATCH('Calculations'!HQ210,'Calculations'!$HE$13:$HE$512,0)),""))))</x:f>
      </x:c>
      <x:c r="HS210" t="str">
        <x:f>IF('Calculations'!HR210="","",IF('Calculations'!HR210="!AMBIG","!AMBIG",IF(COUNTIF('Calculations'!$HE$13:$HE$512,"="&amp;SUBSTITUTE(SUBSTITUTE(SUBSTITUTE('Calculations'!HR210,"~","~~"),"*","~*"),"?","~?"))&gt;1,"!AMBIG",IFERROR(INDEX('Calculations'!$HF$13:$HF$512,MATCH('Calculations'!HR210,'Calculations'!$HE$13:$HE$512,0)),""))))</x:f>
      </x:c>
      <x:c r="HT210" t="str">
        <x:f>IF('Calculations'!HS210="","",IF('Calculations'!HS210="!AMBIG","!AMBIG",IF(COUNTIF('Calculations'!$HE$13:$HE$512,"="&amp;SUBSTITUTE(SUBSTITUTE(SUBSTITUTE('Calculations'!HS210,"~","~~"),"*","~*"),"?","~?"))&gt;1,"!AMBIG",IFERROR(INDEX('Calculations'!$HF$13:$HF$512,MATCH('Calculations'!HS210,'Calculations'!$HE$13:$HE$512,0)),""))))</x:f>
      </x:c>
      <x:c r="HU210" t="str">
        <x:f>IF('Calculations'!HT210="","",IF('Calculations'!HT210="!AMBIG","!AMBIG",IF(COUNTIF('Calculations'!$HE$13:$HE$512,"="&amp;SUBSTITUTE(SUBSTITUTE(SUBSTITUTE('Calculations'!HT210,"~","~~"),"*","~*"),"?","~?"))&gt;1,"!AMBIG",IFERROR(INDEX('Calculations'!$HF$13:$HF$512,MATCH('Calculations'!HT210,'Calculations'!$HE$13:$HE$512,0)),""))))</x:f>
      </x:c>
      <x:c r="HV210" t="str">
        <x:f>IF('Calculations'!HU210="","",IF('Calculations'!HU210="!AMBIG","!AMBIG",IF(COUNTIF('Calculations'!$HE$13:$HE$512,"="&amp;SUBSTITUTE(SUBSTITUTE(SUBSTITUTE('Calculations'!HU210,"~","~~"),"*","~*"),"?","~?"))&gt;1,"!AMBIG",IFERROR(INDEX('Calculations'!$HF$13:$HF$512,MATCH('Calculations'!HU210,'Calculations'!$HE$13:$HE$512,0)),""))))</x:f>
      </x:c>
      <x:c r="HW210" t="str">
        <x:f>IF('Calculations'!HV210="","",IF('Calculations'!HV210="!AMBIG","!AMBIG",IF(COUNTIF('Calculations'!$HE$13:$HE$512,"="&amp;SUBSTITUTE(SUBSTITUTE(SUBSTITUTE('Calculations'!HV210,"~","~~"),"*","~*"),"?","~?"))&gt;1,"!AMBIG",IFERROR(INDEX('Calculations'!$HF$13:$HF$512,MATCH('Calculations'!HV210,'Calculations'!$HE$13:$HE$512,0)),""))))</x:f>
      </x:c>
      <x:c r="HX210" t="str">
        <x:f>IF('Calculations'!HW210="","",IF('Calculations'!HW210="!AMBIG","!AMBIG",IF(COUNTIF('Calculations'!$HE$13:$HE$512,"="&amp;SUBSTITUTE(SUBSTITUTE(SUBSTITUTE('Calculations'!HW210,"~","~~"),"*","~*"),"?","~?"))&gt;1,"!AMBIG",IFERROR(INDEX('Calculations'!$HF$13:$HF$512,MATCH('Calculations'!HW210,'Calculations'!$HE$13:$HE$512,0)),""))))</x:f>
      </x:c>
      <x:c r="HY210" t="str">
        <x:f>IF('Calculations'!HX210="","",IF('Calculations'!HX210="!AMBIG","!AMBIG",IF(COUNTIF('Calculations'!$HE$13:$HE$512,"="&amp;SUBSTITUTE(SUBSTITUTE(SUBSTITUTE('Calculations'!HX210,"~","~~"),"*","~*"),"?","~?"))&gt;1,"!AMBIG",IFERROR(INDEX('Calculations'!$HF$13:$HF$512,MATCH('Calculations'!HX210,'Calculations'!$HE$13:$HE$512,0)),""))))</x:f>
      </x:c>
      <x:c r="HZ210" t="str">
        <x:f>IF('Calculations'!HY210="","",IF('Calculations'!HY210="!AMBIG","!AMBIG",IF(COUNTIF('Calculations'!$HE$13:$HE$512,"="&amp;SUBSTITUTE(SUBSTITUTE(SUBSTITUTE('Calculations'!HY210,"~","~~"),"*","~*"),"?","~?"))&gt;1,"!AMBIG",IFERROR(INDEX('Calculations'!$HF$13:$HF$512,MATCH('Calculations'!HY210,'Calculations'!$HE$13:$HE$512,0)),""))))</x:f>
      </x:c>
      <x:c r="IA210" t="str">
        <x:f>IF('Calculations'!HZ210="","",IF('Calculations'!HZ210="!AMBIG","!AMBIG",IF(COUNTIF('Calculations'!$HE$13:$HE$512,"="&amp;SUBSTITUTE(SUBSTITUTE(SUBSTITUTE('Calculations'!HZ210,"~","~~"),"*","~*"),"?","~?"))&gt;1,"!AMBIG",IFERROR(INDEX('Calculations'!$HF$13:$HF$512,MATCH('Calculations'!HZ210,'Calculations'!$HE$13:$HE$512,0)),""))))</x:f>
      </x:c>
      <x:c r="IB210" t="str">
        <x:f>IF('Calculations'!IA210="","",IF('Calculations'!IA210="!AMBIG","!AMBIG",IF(COUNTIF('Calculations'!$HE$13:$HE$512,"="&amp;SUBSTITUTE(SUBSTITUTE(SUBSTITUTE('Calculations'!IA210,"~","~~"),"*","~*"),"?","~?"))&gt;1,"!AMBIG",IFERROR(INDEX('Calculations'!$HF$13:$HF$512,MATCH('Calculations'!IA210,'Calculations'!$HE$13:$HE$512,0)),""))))</x:f>
      </x:c>
      <x:c r="IC210" t="str">
        <x:f>IF('Calculations'!IB210="","",IF('Calculations'!IB210="!AMBIG","!AMBIG",IF(COUNTIF('Calculations'!$HE$13:$HE$512,"="&amp;SUBSTITUTE(SUBSTITUTE(SUBSTITUTE('Calculations'!IB210,"~","~~"),"*","~*"),"?","~?"))&gt;1,"!AMBIG",IFERROR(INDEX('Calculations'!$HF$13:$HF$512,MATCH('Calculations'!IB210,'Calculations'!$HE$13:$HE$512,0)),""))))</x:f>
      </x:c>
      <x:c r="ID210" t="str">
        <x:f>IF('Calculations'!IC210="","",IF('Calculations'!IC210="!AMBIG","!AMBIG",IF(COUNTIF('Calculations'!$HE$13:$HE$512,"="&amp;SUBSTITUTE(SUBSTITUTE(SUBSTITUTE('Calculations'!IC210,"~","~~"),"*","~*"),"?","~?"))&gt;1,"!AMBIG",IFERROR(INDEX('Calculations'!$HF$13:$HF$512,MATCH('Calculations'!IC210,'Calculations'!$HE$13:$HE$512,0)),""))))</x:f>
      </x:c>
      <x:c r="IE210" t="str">
        <x:f>IF('Calculations'!ID210="","",IF('Calculations'!ID210="!AMBIG","!AMBIG",IF(COUNTIF('Calculations'!$HE$13:$HE$512,"="&amp;SUBSTITUTE(SUBSTITUTE(SUBSTITUTE('Calculations'!ID210,"~","~~"),"*","~*"),"?","~?"))&gt;1,"!AMBIG",IFERROR(INDEX('Calculations'!$HF$13:$HF$512,MATCH('Calculations'!ID210,'Calculations'!$HE$13:$HE$512,0)),""))))</x:f>
      </x:c>
      <x:c r="IF210" t="str">
        <x:f>IF('Calculations'!IE210="","",IF('Calculations'!IE210="!AMBIG","!AMBIG",IF(COUNTIF('Calculations'!$HE$13:$HE$512,"="&amp;SUBSTITUTE(SUBSTITUTE(SUBSTITUTE('Calculations'!IE210,"~","~~"),"*","~*"),"?","~?"))&gt;1,"!AMBIG",IFERROR(INDEX('Calculations'!$HF$13:$HF$512,MATCH('Calculations'!IE210,'Calculations'!$HE$13:$HE$512,0)),""))))</x:f>
      </x:c>
      <x:c r="IG210" t="str">
        <x:f>IF('Calculations'!IF210="","",IF('Calculations'!IF210="!AMBIG","!AMBIG",IF(COUNTIF('Calculations'!$HE$13:$HE$512,"="&amp;SUBSTITUTE(SUBSTITUTE(SUBSTITUTE('Calculations'!IF210,"~","~~"),"*","~*"),"?","~?"))&gt;1,"!AMBIG",IFERROR(INDEX('Calculations'!$HF$13:$HF$512,MATCH('Calculations'!IF210,'Calculations'!$HE$13:$HE$512,0)),""))))</x:f>
      </x:c>
      <x:c r="IH210" t="str">
        <x:f>IF('Calculations'!IG210="","",IF('Calculations'!IG210="!AMBIG","!AMBIG",IF(COUNTIF('Calculations'!$HE$13:$HE$512,"="&amp;SUBSTITUTE(SUBSTITUTE(SUBSTITUTE('Calculations'!IG210,"~","~~"),"*","~*"),"?","~?"))&gt;1,"!AMBIG",IFERROR(INDEX('Calculations'!$HF$13:$HF$512,MATCH('Calculations'!IG210,'Calculations'!$HE$13:$HE$512,0)),""))))</x:f>
      </x:c>
      <x:c r="II210" t="str">
        <x:f>IF('Calculations'!IH210="","",IF('Calculations'!IH210="!AMBIG","!AMBIG",IF(COUNTIF('Calculations'!$HE$13:$HE$512,"="&amp;SUBSTITUTE(SUBSTITUTE(SUBSTITUTE('Calculations'!IH210,"~","~~"),"*","~*"),"?","~?"))&gt;1,"!AMBIG",IFERROR(INDEX('Calculations'!$HF$13:$HF$512,MATCH('Calculations'!IH210,'Calculations'!$HE$13:$HE$512,0)),""))))</x:f>
      </x:c>
      <x:c r="IJ210" t="str">
        <x:f>IF('Calculations'!EM210="","",IF('Calculations'!$EF$2="All",'Calculations'!HM210,IF('Calculations'!HL210=1,"",IFERROR(IF(MATCH('Calculations'!$EF$2,'Calculations'!HO210:II210,0)=1,'Calculations'!HE210,INDEX('Calculations'!HO210:II210,1,MATCH('Calculations'!$EF$2,'Calculations'!HO210:II210,0)-1)),""))))</x:f>
      </x:c>
      <x:c r="IK210" t="n">
        <x:f>IF(AND('Calculations'!EM210&lt;&gt;"",'Calculations'!$EF$2&lt;&gt;"All",'Calculations'!HF210='Calculations'!$EF$2,'Calculations'!HL210=0,'Calculations'!JD210&gt;0),MAX('Calculations'!$IK$12:IK209)+1,0)</x:f>
        <x:v>0</x:v>
      </x:c>
      <x:c r="JA210" t="n">
        <x:f>IF(OR(IFERROR(INDIRECT("'WCM Calibration Final'!$A$210")&lt;&gt;"",FALSE),IFERROR(INDIRECT("'WCM Calibration Final'!$B$210")&lt;&gt;"",FALSE),IFERROR(INDIRECT("'WCM Calibration Final'!$C$210")&lt;&gt;"",FALSE)),210,0)</x:f>
        <x:v>0</x:v>
      </x:c>
      <x:c r="JB210" t="n">
        <x:f>'Calculations'!JB209+IF('Calculations'!JA210&gt;0,1,0)</x:f>
        <x:v>0</x:v>
      </x:c>
      <x:c r="JC210" t="n">
        <x:f>IF(OR('Calculations'!HF210="",'Calculations'!HF210="!AMBIG"),0,IF('Dashboard'!$B$7="All",1,COUNTIFS('Calculations'!$HO$13:$HO$512,"="&amp;SUBSTITUTE(SUBSTITUTE(SUBSTITUTE('Calculations'!HF210,"~","~~"),"*","~*"),"?","~?"),'Calculations'!$HN$13:$HN$512,"="&amp;SUBSTITUTE(SUBSTITUTE(SUBSTITUTE('Dashboard'!$B$7,"~","~~"),"*","~*"),"?","~?"))+COUNTIFS('Calculations'!$HP$13:$HP$512,"="&amp;SUBSTITUTE(SUBSTITUTE(SUBSTITUTE('Calculations'!HF210,"~","~~"),"*","~*"),"?","~?"),'Calculations'!$HN$13:$HN$512,"="&amp;SUBSTITUTE(SUBSTITUTE(SUBSTITUTE('Dashboard'!$B$7,"~","~~"),"*","~*"),"?","~?"))+COUNTIFS('Calculations'!$HQ$13:$HQ$512,"="&amp;SUBSTITUTE(SUBSTITUTE(SUBSTITUTE('Calculations'!HF210,"~","~~"),"*","~*"),"?","~?"),'Calculations'!$HN$13:$HN$512,"="&amp;SUBSTITUTE(SUBSTITUTE(SUBSTITUTE('Dashboard'!$B$7,"~","~~"),"*","~*"),"?","~?"))+COUNTIFS('Calculations'!$HR$13:$HR$512,"="&amp;SUBSTITUTE(SUBSTITUTE(SUBSTITUTE('Calculations'!HF210,"~","~~"),"*","~*"),"?","~?"),'Calculations'!$HN$13:$HN$512,"="&amp;SUBSTITUTE(SUBSTITUTE(SUBSTITUTE('Dashboard'!$B$7,"~","~~"),"*","~*"),"?","~?"))+COUNTIFS('Calculations'!$HS$13:$HS$512,"="&amp;SUBSTITUTE(SUBSTITUTE(SUBSTITUTE('Calculations'!HF210,"~","~~"),"*","~*"),"?","~?"),'Calculations'!$HN$13:$HN$512,"="&amp;SUBSTITUTE(SUBSTITUTE(SUBSTITUTE('Dashboard'!$B$7,"~","~~"),"*","~*"),"?","~?"))+COUNTIFS('Calculations'!$HT$13:$HT$512,"="&amp;SUBSTITUTE(SUBSTITUTE(SUBSTITUTE('Calculations'!HF210,"~","~~"),"*","~*"),"?","~?"),'Calculations'!$HN$13:$HN$512,"="&amp;SUBSTITUTE(SUBSTITUTE(SUBSTITUTE('Dashboard'!$B$7,"~","~~"),"*","~*"),"?","~?"))+COUNTIFS('Calculations'!$HU$13:$HU$512,"="&amp;SUBSTITUTE(SUBSTITUTE(SUBSTITUTE('Calculations'!HF210,"~","~~"),"*","~*"),"?","~?"),'Calculations'!$HN$13:$HN$512,"="&amp;SUBSTITUTE(SUBSTITUTE(SUBSTITUTE('Dashboard'!$B$7,"~","~~"),"*","~*"),"?","~?"))+COUNTIFS('Calculations'!$HV$13:$HV$512,"="&amp;SUBSTITUTE(SUBSTITUTE(SUBSTITUTE('Calculations'!HF210,"~","~~"),"*","~*"),"?","~?"),'Calculations'!$HN$13:$HN$512,"="&amp;SUBSTITUTE(SUBSTITUTE(SUBSTITUTE('Dashboard'!$B$7,"~","~~"),"*","~*"),"?","~?"))+COUNTIFS('Calculations'!$HW$13:$HW$512,"="&amp;SUBSTITUTE(SUBSTITUTE(SUBSTITUTE('Calculations'!HF210,"~","~~"),"*","~*"),"?","~?"),'Calculations'!$HN$13:$HN$512,"="&amp;SUBSTITUTE(SUBSTITUTE(SUBSTITUTE('Dashboard'!$B$7,"~","~~"),"*","~*"),"?","~?"))+COUNTIFS('Calculations'!$HX$13:$HX$512,"="&amp;SUBSTITUTE(SUBSTITUTE(SUBSTITUTE('Calculations'!HF210,"~","~~"),"*","~*"),"?","~?"),'Calculations'!$HN$13:$HN$512,"="&amp;SUBSTITUTE(SUBSTITUTE(SUBSTITUTE('Dashboard'!$B$7,"~","~~"),"*","~*"),"?","~?"))+COUNTIFS('Calculations'!$HY$13:$HY$512,"="&amp;SUBSTITUTE(SUBSTITUTE(SUBSTITUTE('Calculations'!HF210,"~","~~"),"*","~*"),"?","~?"),'Calculations'!$HN$13:$HN$512,"="&amp;SUBSTITUTE(SUBSTITUTE(SUBSTITUTE('Dashboard'!$B$7,"~","~~"),"*","~*"),"?","~?"))+COUNTIFS('Calculations'!$HZ$13:$HZ$512,"="&amp;SUBSTITUTE(SUBSTITUTE(SUBSTITUTE('Calculations'!HF210,"~","~~"),"*","~*"),"?","~?"),'Calculations'!$HN$13:$HN$512,"="&amp;SUBSTITUTE(SUBSTITUTE(SUBSTITUTE('Dashboard'!$B$7,"~","~~"),"*","~*"),"?","~?"))+COUNTIFS('Calculations'!$IA$13:$IA$512,"="&amp;SUBSTITUTE(SUBSTITUTE(SUBSTITUTE('Calculations'!HF210,"~","~~"),"*","~*"),"?","~?"),'Calculations'!$HN$13:$HN$512,"="&amp;SUBSTITUTE(SUBSTITUTE(SUBSTITUTE('Dashboard'!$B$7,"~","~~"),"*","~*"),"?","~?"))+COUNTIFS('Calculations'!$IB$13:$IB$512,"="&amp;SUBSTITUTE(SUBSTITUTE(SUBSTITUTE('Calculations'!HF210,"~","~~"),"*","~*"),"?","~?"),'Calculations'!$HN$13:$HN$512,"="&amp;SUBSTITUTE(SUBSTITUTE(SUBSTITUTE('Dashboard'!$B$7,"~","~~"),"*","~*"),"?","~?"))+COUNTIFS('Calculations'!$IC$13:$IC$512,"="&amp;SUBSTITUTE(SUBSTITUTE(SUBSTITUTE('Calculations'!HF210,"~","~~"),"*","~*"),"?","~?"),'Calculations'!$HN$13:$HN$512,"="&amp;SUBSTITUTE(SUBSTITUTE(SUBSTITUTE('Dashboard'!$B$7,"~","~~"),"*","~*"),"?","~?"))+COUNTIFS('Calculations'!$ID$13:$ID$512,"="&amp;SUBSTITUTE(SUBSTITUTE(SUBSTITUTE('Calculations'!HF210,"~","~~"),"*","~*"),"?","~?"),'Calculations'!$HN$13:$HN$512,"="&amp;SUBSTITUTE(SUBSTITUTE(SUBSTITUTE('Dashboard'!$B$7,"~","~~"),"*","~*"),"?","~?"))+COUNTIFS('Calculations'!$IE$13:$IE$512,"="&amp;SUBSTITUTE(SUBSTITUTE(SUBSTITUTE('Calculations'!HF210,"~","~~"),"*","~*"),"?","~?"),'Calculations'!$HN$13:$HN$512,"="&amp;SUBSTITUTE(SUBSTITUTE(SUBSTITUTE('Dashboard'!$B$7,"~","~~"),"*","~*"),"?","~?"))+COUNTIFS('Calculations'!$IF$13:$IF$512,"="&amp;SUBSTITUTE(SUBSTITUTE(SUBSTITUTE('Calculations'!HF210,"~","~~"),"*","~*"),"?","~?"),'Calculations'!$HN$13:$HN$512,"="&amp;SUBSTITUTE(SUBSTITUTE(SUBSTITUTE('Dashboard'!$B$7,"~","~~"),"*","~*"),"?","~?"))+COUNTIFS('Calculations'!$IG$13:$IG$512,"="&amp;SUBSTITUTE(SUBSTITUTE(SUBSTITUTE('Calculations'!HF210,"~","~~"),"*","~*"),"?","~?"),'Calculations'!$HN$13:$HN$512,"="&amp;SUBSTITUTE(SUBSTITUTE(SUBSTITUTE('Dashboard'!$B$7,"~","~~"),"*","~*"),"?","~?"))+COUNTIFS('Calculations'!$IH$13:$IH$512,"="&amp;SUBSTITUTE(SUBSTITUTE(SUBSTITUTE('Calculations'!HF210,"~","~~"),"*","~*"),"?","~?"),'Calculations'!$HN$13:$HN$512,"="&amp;SUBSTITUTE(SUBSTITUTE(SUBSTITUTE('Dashboard'!$B$7,"~","~~"),"*","~*"),"?","~?"))))</x:f>
        <x:v>0</x:v>
      </x:c>
      <x:c r="JD210" t="n">
        <x:f>IF('Calculations'!EM210="",0,IF('Dashboard'!$B$7="All",1,IF('Calculations'!HN210='Dashboard'!$B$7,1,0)+IFERROR(INDEX('Calculations'!$JC$13:$JC$512,MATCH('Calculations'!HE210,'Calculations'!$HF$13:$HF$512,0)),0)))</x:f>
        <x:v>0</x:v>
      </x:c>
      <x:c r="JE210" t="n">
        <x:f>IF(AND('Calculations'!EM210&lt;&gt;"",'Calculations'!$JJ$2&lt;&gt;"All",'Calculations'!$JJ$2&lt;&gt;"",'Calculations'!HF210='Calculations'!$JJ$2,'Calculations'!HL210=0,'Calculations'!JD210&gt;0),MAX('Calculations'!$JE$12:JE209)+1,0)</x:f>
        <x:v>0</x:v>
      </x:c>
      <x:c r="JF210" t="str">
        <x:f>IF('Calculations'!EM210="","",IFERROR(IF(INDEX(INDIRECT("'WCM Calibration Final'!$G$1:$G$2000"),'Calculations'!$EM210)="","",TRIM(INDEX(INDIRECT("'WCM Calibration Final'!$G$1:$G$2000"),'Calculations'!$EM210)&amp;"")),""))</x:f>
      </x:c>
      <x:c r="JQ210" t="n">
        <x:f>IF(OR('Calculations'!BM210=0,NOT('Calculations'!$AG$2),'Calculations'!$AG$8&gt;0),0,IF(OR('Dashboard'!$B$7="All",'Calculations'!HN210='Dashboard'!$B$7),IF('Calculations'!$JJ$2="All",1,IF(AND('Calculations'!HF210='Calculations'!$JJ$2,'Calculations'!HL210=0),1,0)),0))</x:f>
        <x:v>0</x:v>
      </x:c>
    </x:row>
    <x:row r="211">
      <x:c r="AF211" s="4" t="str">
        <x:v>1 Exemplary</x:v>
      </x:c>
      <x:c r="AG211" s="4" t="n">
        <x:f>COUNTIFS('Calculations'!$BN$13:$BN$512,1,'Calculations'!$BO$13:$BO$512,1)</x:f>
        <x:v>0</x:v>
      </x:c>
      <x:c r="AH211" s="4" t="e">
        <x:f>IF(SUM('Calculations'!$AG$211:$AG$214)=0,NA(),'Calculations'!AG211/SUM('Calculations'!$AG$211:$AG$214))</x:f>
        <x:v>#N/A</x:v>
      </x:c>
      <x:c r="AI211" s="4" t="n">
        <x:f>IF(COUNT('Dashboard'!N143)=0,NA(),IF(AND('Dashboard'!N143&gt;=0,'Dashboard'!N143&lt;=1),'Dashboard'!N143,NA()))</x:f>
        <x:v>0.1</x:v>
      </x:c>
      <x:c r="AJ211" s="4"/>
      <x:c r="AK211" s="4"/>
      <x:c r="AL211" s="4"/>
      <x:c r="AM211" s="4"/>
      <x:c r="AN211" s="4"/>
      <x:c r="AO211" s="4"/>
      <x:c r="AP211" s="4"/>
      <x:c r="AQ211" s="4"/>
      <x:c r="AR211" s="4"/>
      <x:c r="AS211" s="4"/>
      <x:c r="AT211" s="4" t="str">
        <x:f>IFERROR('Calculations'!AG211&amp;" · "&amp;TEXT('Calculations'!AH211,"0.0%"),"")</x:f>
      </x:c>
      <x:c r="AU211" s="4"/>
      <x:c r="AV211" s="4"/>
      <x:c r="AW211" s="4"/>
      <x:c r="AX211" s="4"/>
      <x:c r="AY211" s="4"/>
      <x:c r="AZ211" s="4"/>
      <x:c r="BA211" s="4"/>
      <x:c r="BB211" s="4"/>
      <x:c r="BC211" s="4"/>
      <x:c r="BD211" s="4"/>
      <x:c r="BE211" s="4"/>
      <x:c r="BF211" s="4"/>
      <x:c r="BG211" s="4"/>
      <x:c r="BH211" s="4"/>
      <x:c r="BI211" s="4"/>
      <x:c r="BJ211" s="4"/>
      <x:c r="BK211" s="4"/>
      <x:c r="BL211" s="4"/>
      <x:c r="BM211" s="4" t="n">
        <x:f>IF('Calculations'!$EM211="",0,IF(OR(IFERROR(INDEX(INDIRECT("'WCM Calibration Final'!$A$1:$A$2000"),'Calculations'!$EM211)&lt;&gt;"",FALSE),IFERROR(INDEX(INDIRECT("'WCM Calibration Final'!$B$1:$B$2000"),'Calculations'!$EM211)&lt;&gt;"",FALSE),IFERROR(INDEX(INDIRECT("'WCM Calibration Final'!$C$1:$C$2000"),'Calculations'!$EM211)&lt;&gt;"",FALSE)),1,0))</x:f>
        <x:v>0</x:v>
      </x:c>
      <x:c r="BN211" s="4" t="n">
        <x:f>IF(AND('Calculations'!BM211=1,'Calculations'!$AG$2,'Calculations'!$EN211=1),1,0)</x:f>
        <x:v>0</x:v>
      </x:c>
      <x:c r="BO211" s="4" t="str">
        <x:f>IF('Calculations'!BM211=0,"",IFERROR(IF(AND(VALUE(INDEX(INDIRECT("'WCM Calibration Final'!$K$1:$K$2000"),'Calculations'!$EM211))&gt;=1,VALUE(INDEX(INDIRECT("'WCM Calibration Final'!$K$1:$K$2000"),'Calculations'!$EM211))&lt;=4,MOD(VALUE(INDEX(INDIRECT("'WCM Calibration Final'!$K$1:$K$2000"),'Calculations'!$EM211)),1)=0),VALUE(INDEX(INDIRECT("'WCM Calibration Final'!$K$1:$K$2000"),'Calculations'!$EM211)),""),""))</x:f>
      </x:c>
      <x:c r="BP211" s="4" t="str">
        <x:f>IF('Calculations'!BM211=0,"",IFERROR(IF(AND(VALUE(INDEX(INDIRECT("'WCM Calibration Final'!$L$1:$L$2000"),'Calculations'!$EM211))&gt;=1,VALUE(INDEX(INDIRECT("'WCM Calibration Final'!$L$1:$L$2000"),'Calculations'!$EM211))&lt;=4,MOD(VALUE(INDEX(INDIRECT("'WCM Calibration Final'!$L$1:$L$2000"),'Calculations'!$EM211)),1)=0),VALUE(INDEX(INDIRECT("'WCM Calibration Final'!$L$1:$L$2000"),'Calculations'!$EM211)),""),""))</x:f>
      </x:c>
      <x:c r="BQ211" s="4"/>
      <x:c r="BR211" s="4"/>
      <x:c r="BS211" s="4"/>
      <x:c r="BT211" s="4" t="n">
        <x:f>IF(AND('Calculations'!BM211=1,ISNUMBER('Calculations'!BO211),ISNUMBER('Calculations'!BP211)),1,0)</x:f>
        <x:v>0</x:v>
      </x:c>
      <x:c r="BU211" s="4" t="str">
        <x:f>IF('Calculations'!BM211=0,"",'Calculations'!$EO211)</x:f>
      </x:c>
      <x:c r="BV211" s="4" t="str">
        <x:f>IF('Calculations'!BM211=0,"",IFERROR(IF(OR(INDEX(INDIRECT("'WCM Calibration Final'!$H$1:$H$2000"),'Calculations'!$EM211)="MANAGING DIRECTOR",INDEX(INDIRECT("'WCM Calibration Final'!$H$1:$H$2000"),'Calculations'!$EM211)="DIRECTOR",INDEX(INDIRECT("'WCM Calibration Final'!$H$1:$H$2000"),'Calculations'!$EM211)="SENIOR VICE PRESIDENT",INDEX(INDIRECT("'WCM Calibration Final'!$H$1:$H$2000"),'Calculations'!$EM211)="VICE PRESIDENT",INDEX(INDIRECT("'WCM Calibration Final'!$H$1:$H$2000"),'Calculations'!$EM211)="ASSISTANT VICE PRESIDENT",INDEX(INDIRECT("'WCM Calibration Final'!$H$1:$H$2000"),'Calculations'!$EM211)="OFFICER"),UPPER(INDEX(INDIRECT("'WCM Calibration Final'!$H$1:$H$2000"),'Calculations'!$EM211)),"Other"),"Other"))</x:f>
      </x:c>
      <x:c r="BW211" s="4"/>
      <x:c r="BX211" s="4"/>
      <x:c r="BY211" s="4" t="n">
        <x:f>IF(AND('Calculations'!BM211=1,'Calculations'!BU211&lt;&gt;"",COUNTIF('Calculations'!$BU$12:BU211,'Calculations'!BU211)=1),MAX('Calculations'!$BY$11:BY210)+1,0)</x:f>
        <x:v>0</x:v>
      </x:c>
      <x:c r="BZ211" s="4" t="str">
        <x:f>IF('Dashboard'!$E$67="What",'Calculations'!BO211,'Calculations'!BP211)</x:f>
      </x:c>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t="str">
        <x:f>IF(200&gt;MAX('Calculations'!$HI$13:$HI$512),"",INDEX('Calculations'!$HN$13:$HN$512,MATCH(200,'Calculations'!$HI$13:$HI$512,0)))</x:f>
      </x:c>
      <x:c r="DB211" s="4" t="str">
        <x:f>IF(200&gt;MAX('Calculations'!$HH$13:$HH$512),"",INDEX('Calculations'!$HJ$13:$HJ$512,MATCH(200,'Calculations'!$HH$13:$HH$512,0)))</x:f>
      </x:c>
      <x:c r="DC211" s="4" t="str">
        <x:f>IF(ROW()-11&gt;MAX('Calculations'!$BY$13:$BY$512),"",INDEX('Calculations'!$BU$13:$BU$512,MATCH(ROW()-11,'Calculations'!$BY$13:$BY$512,0)))</x:f>
      </x:c>
      <x:c r="DD211" s="4" t="str">
        <x:f>IF(200&gt;MAX('Calculations'!$IK$13:$IK$512),"",INDEX('Calculations'!$HK$13:$HK$512,MATCH(200,'Calculations'!$IK$13:$IK$512,0)))</x:f>
      </x:c>
      <x:c r="DE211" s="4" t="str">
        <x:f>'Calculations'!DC211</x:f>
      </x:c>
      <x:c r="DF211" s="4" t="str">
        <x:f>IF('Calculations'!DE211="","",COUNTIFS('Calculations'!$BN$13:$BN$512,1,'Calculations'!$BU$13:$BU$512,'Calculations'!DE211))</x:f>
      </x:c>
      <x:c r="DG211" s="4" t="str">
        <x:f>IF('Calculations'!DE211="","",COUNTIFS('Calculations'!$BN$13:$BN$512,1,'Calculations'!$BU$13:$BU$512,'Calculations'!DE211,'Calculations'!$BT$13:$BT$512,1))</x:f>
      </x:c>
      <x:c r="DH211" s="4" t="str">
        <x:f>IF('Calculations'!DE211="","",'Calculations'!DF211-'Calculations'!DG211)</x:f>
      </x:c>
      <x:c r="DI211" s="4" t="str">
        <x:f>IF(OR('Calculations'!DE211="",'Calculations'!DF211=0),"",'Calculations'!DG211/'Calculations'!DF211)</x:f>
      </x:c>
      <x:c r="DJ211" s="4" t="str">
        <x:f>IF('Calculations'!DE211="","",COUNTIFS('Calculations'!$BN$13:$BN$512,1,'Calculations'!$BU$13:$BU$512,'Calculations'!DE211,'Calculations'!$BT$13:$BT$512,1,'Calculations'!$EE$13:$EE$512,"High"))</x:f>
      </x:c>
      <x:c r="DK211" s="4" t="str">
        <x:f>IF('Calculations'!DE211="","",COUNTIFS('Calculations'!$BN$13:$BN$512,1,'Calculations'!$BU$13:$BU$512,'Calculations'!DE211,'Calculations'!$BT$13:$BT$512,1,'Calculations'!$EE$13:$EE$512,"Strong"))</x:f>
      </x:c>
      <x:c r="DL211" s="4" t="str">
        <x:f>IF('Calculations'!DE211="","",COUNTIFS('Calculations'!$BN$13:$BN$512,1,'Calculations'!$BU$13:$BU$512,'Calculations'!DE211,'Calculations'!$BT$13:$BT$512,1,'Calculations'!$EE$13:$EE$512,"Solid"))</x:f>
      </x:c>
      <x:c r="DM211" s="4" t="str">
        <x:f>IF('Calculations'!DE211="","",COUNTIFS('Calculations'!$BN$13:$BN$512,1,'Calculations'!$BU$13:$BU$512,'Calculations'!DE211,'Calculations'!$BT$13:$BT$512,1,'Calculations'!$EE$13:$EE$512,"Low"))</x:f>
      </x:c>
      <x:c r="DN211" s="4" t="str">
        <x:f>IF('Calculations'!DE211="","",COUNTIFS('Calculations'!$BN$13:$BN$512,1,'Calculations'!$BU$13:$BU$512,'Calculations'!DE211,'Calculations'!$EP$13:$EP$512,1))</x:f>
      </x:c>
      <x:c r="DO211" s="4" t="str">
        <x:f>IF(OR('Calculations'!DE211="",'Calculations'!DG211=0),"",('Calculations'!DJ211+'Calculations'!DK211)/'Calculations'!DG211)</x:f>
      </x:c>
      <x:c r="DP211" s="4" t="n">
        <x:f>IF(AND('Calculations'!DE211&lt;&gt;"",'Calculations'!DF211&gt;0),COUNTIF('Calculations'!$DF$12:DF211,"&gt;0"),0)</x:f>
        <x:v>0</x:v>
      </x:c>
      <x:c r="DQ211" s="4" t="str">
        <x:f>IF(200&gt;MAX('Calculations'!$HH$13:$HH$512),"",INDEX('Calculations'!$HF$13:$HF$512,MATCH(200,'Calculations'!$HH$13:$HH$512,0)))</x:f>
      </x:c>
      <x:c r="DR211" s="4" t="str">
        <x:f>IF(200&gt;MAX('Calculations'!$IK$13:$IK$512),"",INDEX('Calculations'!$HE$13:$HE$512,MATCH(200,'Calculations'!$IK$13:$IK$512,0)))</x:f>
      </x:c>
      <x:c r="DS211" s="4"/>
      <x:c r="DT211" s="4"/>
      <x:c r="DU211" s="4"/>
      <x:c r="DV211" s="4"/>
      <x:c r="DW211" s="4"/>
      <x:c r="DX211" s="4"/>
      <x:c r="DY211" s="4"/>
      <x:c r="DZ211" s="4"/>
      <x:c r="EA211" s="4"/>
      <x:c r="EB211" s="4"/>
      <x:c r="EC211" s="4"/>
      <x:c r="ED211" s="4"/>
      <x:c r="EE211" s="4" t="str">
        <x:f>IF('Calculations'!BT211=0,"Not Rated",IF(OR('Calculations'!BO211&gt;=4,'Calculations'!BP211&gt;=4),"Low",IF('Calculations'!BO211+'Calculations'!BP211&lt;=3,"High",IF('Calculations'!BO211+'Calculations'!BP211&lt;=4,"Strong","Solid"))))</x:f>
        <x:v>Not Rated</x:v>
      </x:c>
      <x:c r="EF211" s="4"/>
      <x:c r="EG211" s="4"/>
      <x:c r="EH211" s="4"/>
      <x:c r="EI211" s="4"/>
      <x:c r="EJ211" s="4"/>
      <x:c r="EK211" s="4"/>
      <x:c r="EL211" s="4"/>
      <x:c r="EM211" s="4" t="str">
        <x:f>IF(199&gt;'Calculations'!$JB$2000,"",INDEX('Calculations'!$JA$12:$JA$2000,MATCH(199,'Calculations'!$JB$12:$JB$2000,0)))</x:f>
      </x:c>
      <x:c r="EN211" s="4" t="n">
        <x:f>IF(OR('Calculations'!EM211="",'Calculations'!$AG$8&gt;0,AND('Calculations'!$EF$2&lt;&gt;"All",'Calculations'!HE211='Calculations'!$EF$2),AND('Calculations'!$EF$3&lt;&gt;"All",'Calculations'!HE211='Calculations'!$EF$3)),0,IF(OR('Dashboard'!$B$7="All",'Calculations'!HN211='Dashboard'!$B$7),IF('Calculations'!$EF$2="All",1,IF('Calculations'!HL211&gt;0,0,IF(COUNTIF('Calculations'!HO211:II211,"="&amp;SUBSTITUTE(SUBSTITUTE(SUBSTITUTE('Calculations'!$EF$2,"~","~~"),"*","~*"),"?","~?"))=0,0,IF('Calculations'!$EF$3="All",1,IF(COUNTIF('Calculations'!HO211:II211,"="&amp;SUBSTITUTE(SUBSTITUTE(SUBSTITUTE('Calculations'!$EF$3,"~","~~"),"*","~*"),"?","~?"))&gt;0,1,0))))),0))</x:f>
        <x:v>0</x:v>
      </x:c>
      <x:c r="EO211" s="4" t="str">
        <x:f>IF('Calculations'!IJ211="","",IF('Calculations'!IJ211="!UNRESOLVED","Unresolved hierarchy",IFERROR(INDEX('Calculations'!$HK$13:$HK$512,MATCH('Calculations'!IJ211,'Calculations'!$HE$13:$HE$512,0)),IFERROR(INDEX('Calculations'!$HJ$13:$HJ$512,MATCH('Calculations'!IJ211,'Calculations'!$HF$13:$HF$512,0)),'Calculations'!IJ211))))</x:f>
      </x:c>
      <x:c r="EP211" s="4" t="n">
        <x:f>IF(AND('Calculations'!EM211&lt;&gt;"",'Calculations'!HF211='Calculations'!IJ211),1,0)</x:f>
        <x:v>0</x:v>
      </x:c>
      <x:c r="EQ211" s="4"/>
      <x:c r="ER211" s="4"/>
      <x:c r="ES211" s="4"/>
      <x:c r="ET211" s="4"/>
      <x:c r="EU211" s="4"/>
      <x:c r="EV211" s="4"/>
      <x:c r="EW211" s="4"/>
      <x:c r="EX211" s="4"/>
      <x:c r="EY211" s="4"/>
      <x:c r="EZ211" s="4"/>
      <x:c r="FA211" s="4"/>
      <x:c r="FB211" s="4"/>
      <x:c r="FC211" s="4"/>
      <x:c r="FD211" s="4"/>
      <x:c r="FE211" s="4"/>
      <x:c r="FF211" s="4"/>
      <x:c r="FG211" s="4"/>
      <x:c r="FH211" s="4"/>
      <x:c r="FI211" s="4"/>
      <x:c r="FJ211" s="4"/>
      <x:c r="FK211" s="4"/>
      <x:c r="FL211" s="4"/>
      <x:c r="FM211" s="4"/>
      <x:c r="FN211" s="4"/>
      <x:c r="FO211" s="4"/>
      <x:c r="HE211" t="str">
        <x:f>IF('Calculations'!EM211="","",IF(IFERROR(IF(INDEX(INDIRECT("'WCM Calibration Final'!$A$1:$A$2000"),'Calculations'!$EM211)="","",TRIM(INDEX(INDIRECT("'WCM Calibration Final'!$A$1:$A$2000"),'Calculations'!$EM211)&amp;"")),"")&lt;&gt;"","G:"&amp;IFERROR(TEXT(1*INDEX(INDIRECT("'WCM Calibration Final'!$A$1:$A$2000"),'Calculations'!$EM211),"0"),UPPER(IFERROR(IF(INDEX(INDIRECT("'WCM Calibration Final'!$A$1:$A$2000"),'Calculations'!$EM211)="","",TRIM(INDEX(INDIRECT("'WCM Calibration Final'!$A$1:$A$2000"),'Calculations'!$EM211)&amp;"")),""))),IF(IFERROR(IF(INDEX(INDIRECT("'WCM Calibration Final'!$C$1:$C$2000"),'Calculations'!$EM211)="","",TRIM(INDEX(INDIRECT("'WCM Calibration Final'!$C$1:$C$2000"),'Calculations'!$EM211)&amp;"")),"")&lt;&gt;"","S:"&amp;UPPER(IFERROR(IF(INDEX(INDIRECT("'WCM Calibration Final'!$C$1:$C$2000"),'Calculations'!$EM211)="","",TRIM(INDEX(INDIRECT("'WCM Calibration Final'!$C$1:$C$2000"),'Calculations'!$EM211)&amp;"")),"")),"R:"&amp;'Calculations'!EM211)))</x:f>
      </x:c>
      <x:c r="HF211" t="str">
        <x:f>IF('Calculations'!EM211="","",IF(IFERROR(IF(INDEX(INDIRECT("'WCM Calibration Final'!$D$1:$D$2000"),'Calculations'!$EM211)="","",TRIM(INDEX(INDIRECT("'WCM Calibration Final'!$D$1:$D$2000"),'Calculations'!$EM211)&amp;"")),"")&lt;&gt;"","G:"&amp;IFERROR(TEXT(1*INDEX(INDIRECT("'WCM Calibration Final'!$D$1:$D$2000"),'Calculations'!$EM211),"0"),UPPER(IFERROR(IF(INDEX(INDIRECT("'WCM Calibration Final'!$D$1:$D$2000"),'Calculations'!$EM211)="","",TRIM(INDEX(INDIRECT("'WCM Calibration Final'!$D$1:$D$2000"),'Calculations'!$EM211)&amp;"")),""))),IF(IFERROR(IF(INDEX(INDIRECT("'WCM Calibration Final'!$E$1:$E$2000"),'Calculations'!$EM211)="","",TRIM(INDEX(INDIRECT("'WCM Calibration Final'!$E$1:$E$2000"),'Calculations'!$EM211)&amp;"")),"")="","",IF(COUNTIF('Calculations'!$HG$13:$HG$512,"="&amp;SUBSTITUTE(SUBSTITUTE(SUBSTITUTE(IFERROR(IF(INDEX(INDIRECT("'WCM Calibration Final'!$E$1:$E$2000"),'Calculations'!$EM211)="","",TRIM(INDEX(INDIRECT("'WCM Calibration Final'!$E$1:$E$2000"),'Calculations'!$EM211)&amp;"")),""),"~","~~"),"*","~*"),"?","~?"))=1,INDEX('Calculations'!$HE$13:$HE$512,MATCH(IFERROR(IF(INDEX(INDIRECT("'WCM Calibration Final'!$E$1:$E$2000"),'Calculations'!$EM211)="","",TRIM(INDEX(INDIRECT("'WCM Calibration Final'!$E$1:$E$2000"),'Calculations'!$EM211)&amp;"")),""),'Calculations'!$HG$13:$HG$512,0)),IF(COUNTIF('Calculations'!$HG$13:$HG$512,"="&amp;SUBSTITUTE(SUBSTITUTE(SUBSTITUTE(IFERROR(IF(INDEX(INDIRECT("'WCM Calibration Final'!$E$1:$E$2000"),'Calculations'!$EM211)="","",TRIM(INDEX(INDIRECT("'WCM Calibration Final'!$E$1:$E$2000"),'Calculations'!$EM211)&amp;"")),""),"~","~~"),"*","~*"),"?","~?"))&gt;1,"!AMBIG","X:"&amp;IFERROR(IF(INDEX(INDIRECT("'WCM Calibration Final'!$E$1:$E$2000"),'Calculations'!$EM211)="","",TRIM(INDEX(INDIRECT("'WCM Calibration Final'!$E$1:$E$2000"),'Calculations'!$EM211)&amp;"")),""))))))</x:f>
      </x:c>
      <x:c r="HG211" t="str">
        <x:f>IF('Calculations'!EM211="","",IFERROR(IF(INDEX(INDIRECT("'WCM Calibration Final'!$B$1:$B$2000"),'Calculations'!$EM211)="","",TRIM(INDEX(INDIRECT("'WCM Calibration Final'!$B$1:$B$2000"),'Calculations'!$EM211)&amp;"")),""))</x:f>
      </x:c>
      <x:c r="HH211" t="n">
        <x:f>IF(AND('Calculations'!JC211&gt;0,COUNTIF('Calculations'!$HF$12:HF211,"="&amp;SUBSTITUTE(SUBSTITUTE(SUBSTITUTE('Calculations'!HF211,"~","~~"),"*","~*"),"?","~?"))=1),MAX('Calculations'!$HH$12:HH210)+1,0)</x:f>
        <x:v>0</x:v>
      </x:c>
      <x:c r="HI211" t="n">
        <x:f>IF(AND('Calculations'!HN211&lt;&gt;"",COUNTIF('Calculations'!$HN$12:HN211,"="&amp;SUBSTITUTE(SUBSTITUTE(SUBSTITUTE('Calculations'!HN211,"~","~~"),"*","~*"),"?","~?"))=1),MAX('Calculations'!$HI$12:HI210)+1,0)</x:f>
        <x:v>0</x:v>
      </x:c>
      <x:c r="HJ211" t="str">
        <x:f>IF('Calculations'!HF211="","",IF(COUNTIF('Calculations'!$HE$13:$HE$512,"="&amp;SUBSTITUTE(SUBSTITUTE(SUBSTITUTE('Calculations'!HF211,"~","~~"),"*","~*"),"?","~?"))=1,INDEX('Calculations'!$HK$13:$HK$512,MATCH('Calculations'!HF211,'Calculations'!$HE$13:$HE$512,0)),IFERROR(IF(INDEX(INDIRECT("'WCM Calibration Final'!$E$1:$E$2000"),'Calculations'!$EM211)="","",TRIM(INDEX(INDIRECT("'WCM Calibration Final'!$E$1:$E$2000"),'Calculations'!$EM211)&amp;"")),"")&amp;" ["&amp;'Calculations'!HF211&amp;"]"))</x:f>
      </x:c>
      <x:c r="HK211" t="str">
        <x:f>IF('Calculations'!EM211="","",'Calculations'!HG211&amp;" ["&amp;'Calculations'!HE211&amp;"]")</x:f>
      </x:c>
      <x:c r="HL211" t="n">
        <x:f>IF('Calculations'!EM211="",0,IF(OR('Calculations'!II211&lt;&gt;"",COUNTIF('Calculations'!$HE$13:$HE$512,"="&amp;SUBSTITUTE(SUBSTITUTE(SUBSTITUTE('Calculations'!HE211,"~","~~"),"*","~*"),"?","~?"))&gt;1),1,0))</x:f>
        <x:v>0</x:v>
      </x:c>
      <x:c r="HM211" t="str">
        <x:f>IF('Calculations'!EM211="","",IF('Calculations'!HL211=1,"!UNRESOLVED",IF('Calculations'!IH211&lt;&gt;"",'Calculations'!IH211,IF('Calculations'!IG211&lt;&gt;"",'Calculations'!IG211,IF('Calculations'!IF211&lt;&gt;"",'Calculations'!IF211,IF('Calculations'!IE211&lt;&gt;"",'Calculations'!IE211,IF('Calculations'!ID211&lt;&gt;"",'Calculations'!ID211,IF('Calculations'!IC211&lt;&gt;"",'Calculations'!IC211,IF('Calculations'!IB211&lt;&gt;"",'Calculations'!IB211,IF('Calculations'!IA211&lt;&gt;"",'Calculations'!IA211,IF('Calculations'!HZ211&lt;&gt;"",'Calculations'!HZ211,IF('Calculations'!HY211&lt;&gt;"",'Calculations'!HY211,IF('Calculations'!HX211&lt;&gt;"",'Calculations'!HX211,IF('Calculations'!HW211&lt;&gt;"",'Calculations'!HW211,IF('Calculations'!HV211&lt;&gt;"",'Calculations'!HV211,IF('Calculations'!HU211&lt;&gt;"",'Calculations'!HU211,IF('Calculations'!HT211&lt;&gt;"",'Calculations'!HT211,IF('Calculations'!HS211&lt;&gt;"",'Calculations'!HS211,IF('Calculations'!HR211&lt;&gt;"",'Calculations'!HR211,IF('Calculations'!HQ211&lt;&gt;"",'Calculations'!HQ211,IF('Calculations'!HP211&lt;&gt;"",'Calculations'!HP211,IF('Calculations'!HO211&lt;&gt;"",'Calculations'!HO211,'Calculations'!HE211))))))))))))))))))))))</x:f>
      </x:c>
      <x:c r="HN211" t="str">
        <x:f>IF('Calculations'!EM211="","",IF(IFERROR(IF(INDEX(INDIRECT("'WCM Calibration Final'!$F$1:$F$2000"),'Calculations'!$EM211)="","",TRIM(INDEX(INDIRECT("'WCM Calibration Final'!$F$1:$F$2000"),'Calculations'!$EM211)&amp;"")),"")="","(Blank)",IFERROR(IF(INDEX(INDIRECT("'WCM Calibration Final'!$F$1:$F$2000"),'Calculations'!$EM211)="","",TRIM(INDEX(INDIRECT("'WCM Calibration Final'!$F$1:$F$2000"),'Calculations'!$EM211)&amp;"")),"")))</x:f>
      </x:c>
      <x:c r="HO211" t="str">
        <x:f>'Calculations'!HF211</x:f>
      </x:c>
      <x:c r="HP211" t="str">
        <x:f>IF('Calculations'!HO211="","",IF('Calculations'!HO211="!AMBIG","!AMBIG",IF(COUNTIF('Calculations'!$HE$13:$HE$512,"="&amp;SUBSTITUTE(SUBSTITUTE(SUBSTITUTE('Calculations'!HO211,"~","~~"),"*","~*"),"?","~?"))&gt;1,"!AMBIG",IFERROR(INDEX('Calculations'!$HF$13:$HF$512,MATCH('Calculations'!HO211,'Calculations'!$HE$13:$HE$512,0)),""))))</x:f>
      </x:c>
      <x:c r="HQ211" t="str">
        <x:f>IF('Calculations'!HP211="","",IF('Calculations'!HP211="!AMBIG","!AMBIG",IF(COUNTIF('Calculations'!$HE$13:$HE$512,"="&amp;SUBSTITUTE(SUBSTITUTE(SUBSTITUTE('Calculations'!HP211,"~","~~"),"*","~*"),"?","~?"))&gt;1,"!AMBIG",IFERROR(INDEX('Calculations'!$HF$13:$HF$512,MATCH('Calculations'!HP211,'Calculations'!$HE$13:$HE$512,0)),""))))</x:f>
      </x:c>
      <x:c r="HR211" t="str">
        <x:f>IF('Calculations'!HQ211="","",IF('Calculations'!HQ211="!AMBIG","!AMBIG",IF(COUNTIF('Calculations'!$HE$13:$HE$512,"="&amp;SUBSTITUTE(SUBSTITUTE(SUBSTITUTE('Calculations'!HQ211,"~","~~"),"*","~*"),"?","~?"))&gt;1,"!AMBIG",IFERROR(INDEX('Calculations'!$HF$13:$HF$512,MATCH('Calculations'!HQ211,'Calculations'!$HE$13:$HE$512,0)),""))))</x:f>
      </x:c>
      <x:c r="HS211" t="str">
        <x:f>IF('Calculations'!HR211="","",IF('Calculations'!HR211="!AMBIG","!AMBIG",IF(COUNTIF('Calculations'!$HE$13:$HE$512,"="&amp;SUBSTITUTE(SUBSTITUTE(SUBSTITUTE('Calculations'!HR211,"~","~~"),"*","~*"),"?","~?"))&gt;1,"!AMBIG",IFERROR(INDEX('Calculations'!$HF$13:$HF$512,MATCH('Calculations'!HR211,'Calculations'!$HE$13:$HE$512,0)),""))))</x:f>
      </x:c>
      <x:c r="HT211" t="str">
        <x:f>IF('Calculations'!HS211="","",IF('Calculations'!HS211="!AMBIG","!AMBIG",IF(COUNTIF('Calculations'!$HE$13:$HE$512,"="&amp;SUBSTITUTE(SUBSTITUTE(SUBSTITUTE('Calculations'!HS211,"~","~~"),"*","~*"),"?","~?"))&gt;1,"!AMBIG",IFERROR(INDEX('Calculations'!$HF$13:$HF$512,MATCH('Calculations'!HS211,'Calculations'!$HE$13:$HE$512,0)),""))))</x:f>
      </x:c>
      <x:c r="HU211" t="str">
        <x:f>IF('Calculations'!HT211="","",IF('Calculations'!HT211="!AMBIG","!AMBIG",IF(COUNTIF('Calculations'!$HE$13:$HE$512,"="&amp;SUBSTITUTE(SUBSTITUTE(SUBSTITUTE('Calculations'!HT211,"~","~~"),"*","~*"),"?","~?"))&gt;1,"!AMBIG",IFERROR(INDEX('Calculations'!$HF$13:$HF$512,MATCH('Calculations'!HT211,'Calculations'!$HE$13:$HE$512,0)),""))))</x:f>
      </x:c>
      <x:c r="HV211" t="str">
        <x:f>IF('Calculations'!HU211="","",IF('Calculations'!HU211="!AMBIG","!AMBIG",IF(COUNTIF('Calculations'!$HE$13:$HE$512,"="&amp;SUBSTITUTE(SUBSTITUTE(SUBSTITUTE('Calculations'!HU211,"~","~~"),"*","~*"),"?","~?"))&gt;1,"!AMBIG",IFERROR(INDEX('Calculations'!$HF$13:$HF$512,MATCH('Calculations'!HU211,'Calculations'!$HE$13:$HE$512,0)),""))))</x:f>
      </x:c>
      <x:c r="HW211" t="str">
        <x:f>IF('Calculations'!HV211="","",IF('Calculations'!HV211="!AMBIG","!AMBIG",IF(COUNTIF('Calculations'!$HE$13:$HE$512,"="&amp;SUBSTITUTE(SUBSTITUTE(SUBSTITUTE('Calculations'!HV211,"~","~~"),"*","~*"),"?","~?"))&gt;1,"!AMBIG",IFERROR(INDEX('Calculations'!$HF$13:$HF$512,MATCH('Calculations'!HV211,'Calculations'!$HE$13:$HE$512,0)),""))))</x:f>
      </x:c>
      <x:c r="HX211" t="str">
        <x:f>IF('Calculations'!HW211="","",IF('Calculations'!HW211="!AMBIG","!AMBIG",IF(COUNTIF('Calculations'!$HE$13:$HE$512,"="&amp;SUBSTITUTE(SUBSTITUTE(SUBSTITUTE('Calculations'!HW211,"~","~~"),"*","~*"),"?","~?"))&gt;1,"!AMBIG",IFERROR(INDEX('Calculations'!$HF$13:$HF$512,MATCH('Calculations'!HW211,'Calculations'!$HE$13:$HE$512,0)),""))))</x:f>
      </x:c>
      <x:c r="HY211" t="str">
        <x:f>IF('Calculations'!HX211="","",IF('Calculations'!HX211="!AMBIG","!AMBIG",IF(COUNTIF('Calculations'!$HE$13:$HE$512,"="&amp;SUBSTITUTE(SUBSTITUTE(SUBSTITUTE('Calculations'!HX211,"~","~~"),"*","~*"),"?","~?"))&gt;1,"!AMBIG",IFERROR(INDEX('Calculations'!$HF$13:$HF$512,MATCH('Calculations'!HX211,'Calculations'!$HE$13:$HE$512,0)),""))))</x:f>
      </x:c>
      <x:c r="HZ211" t="str">
        <x:f>IF('Calculations'!HY211="","",IF('Calculations'!HY211="!AMBIG","!AMBIG",IF(COUNTIF('Calculations'!$HE$13:$HE$512,"="&amp;SUBSTITUTE(SUBSTITUTE(SUBSTITUTE('Calculations'!HY211,"~","~~"),"*","~*"),"?","~?"))&gt;1,"!AMBIG",IFERROR(INDEX('Calculations'!$HF$13:$HF$512,MATCH('Calculations'!HY211,'Calculations'!$HE$13:$HE$512,0)),""))))</x:f>
      </x:c>
      <x:c r="IA211" t="str">
        <x:f>IF('Calculations'!HZ211="","",IF('Calculations'!HZ211="!AMBIG","!AMBIG",IF(COUNTIF('Calculations'!$HE$13:$HE$512,"="&amp;SUBSTITUTE(SUBSTITUTE(SUBSTITUTE('Calculations'!HZ211,"~","~~"),"*","~*"),"?","~?"))&gt;1,"!AMBIG",IFERROR(INDEX('Calculations'!$HF$13:$HF$512,MATCH('Calculations'!HZ211,'Calculations'!$HE$13:$HE$512,0)),""))))</x:f>
      </x:c>
      <x:c r="IB211" t="str">
        <x:f>IF('Calculations'!IA211="","",IF('Calculations'!IA211="!AMBIG","!AMBIG",IF(COUNTIF('Calculations'!$HE$13:$HE$512,"="&amp;SUBSTITUTE(SUBSTITUTE(SUBSTITUTE('Calculations'!IA211,"~","~~"),"*","~*"),"?","~?"))&gt;1,"!AMBIG",IFERROR(INDEX('Calculations'!$HF$13:$HF$512,MATCH('Calculations'!IA211,'Calculations'!$HE$13:$HE$512,0)),""))))</x:f>
      </x:c>
      <x:c r="IC211" t="str">
        <x:f>IF('Calculations'!IB211="","",IF('Calculations'!IB211="!AMBIG","!AMBIG",IF(COUNTIF('Calculations'!$HE$13:$HE$512,"="&amp;SUBSTITUTE(SUBSTITUTE(SUBSTITUTE('Calculations'!IB211,"~","~~"),"*","~*"),"?","~?"))&gt;1,"!AMBIG",IFERROR(INDEX('Calculations'!$HF$13:$HF$512,MATCH('Calculations'!IB211,'Calculations'!$HE$13:$HE$512,0)),""))))</x:f>
      </x:c>
      <x:c r="ID211" t="str">
        <x:f>IF('Calculations'!IC211="","",IF('Calculations'!IC211="!AMBIG","!AMBIG",IF(COUNTIF('Calculations'!$HE$13:$HE$512,"="&amp;SUBSTITUTE(SUBSTITUTE(SUBSTITUTE('Calculations'!IC211,"~","~~"),"*","~*"),"?","~?"))&gt;1,"!AMBIG",IFERROR(INDEX('Calculations'!$HF$13:$HF$512,MATCH('Calculations'!IC211,'Calculations'!$HE$13:$HE$512,0)),""))))</x:f>
      </x:c>
      <x:c r="IE211" t="str">
        <x:f>IF('Calculations'!ID211="","",IF('Calculations'!ID211="!AMBIG","!AMBIG",IF(COUNTIF('Calculations'!$HE$13:$HE$512,"="&amp;SUBSTITUTE(SUBSTITUTE(SUBSTITUTE('Calculations'!ID211,"~","~~"),"*","~*"),"?","~?"))&gt;1,"!AMBIG",IFERROR(INDEX('Calculations'!$HF$13:$HF$512,MATCH('Calculations'!ID211,'Calculations'!$HE$13:$HE$512,0)),""))))</x:f>
      </x:c>
      <x:c r="IF211" t="str">
        <x:f>IF('Calculations'!IE211="","",IF('Calculations'!IE211="!AMBIG","!AMBIG",IF(COUNTIF('Calculations'!$HE$13:$HE$512,"="&amp;SUBSTITUTE(SUBSTITUTE(SUBSTITUTE('Calculations'!IE211,"~","~~"),"*","~*"),"?","~?"))&gt;1,"!AMBIG",IFERROR(INDEX('Calculations'!$HF$13:$HF$512,MATCH('Calculations'!IE211,'Calculations'!$HE$13:$HE$512,0)),""))))</x:f>
      </x:c>
      <x:c r="IG211" t="str">
        <x:f>IF('Calculations'!IF211="","",IF('Calculations'!IF211="!AMBIG","!AMBIG",IF(COUNTIF('Calculations'!$HE$13:$HE$512,"="&amp;SUBSTITUTE(SUBSTITUTE(SUBSTITUTE('Calculations'!IF211,"~","~~"),"*","~*"),"?","~?"))&gt;1,"!AMBIG",IFERROR(INDEX('Calculations'!$HF$13:$HF$512,MATCH('Calculations'!IF211,'Calculations'!$HE$13:$HE$512,0)),""))))</x:f>
      </x:c>
      <x:c r="IH211" t="str">
        <x:f>IF('Calculations'!IG211="","",IF('Calculations'!IG211="!AMBIG","!AMBIG",IF(COUNTIF('Calculations'!$HE$13:$HE$512,"="&amp;SUBSTITUTE(SUBSTITUTE(SUBSTITUTE('Calculations'!IG211,"~","~~"),"*","~*"),"?","~?"))&gt;1,"!AMBIG",IFERROR(INDEX('Calculations'!$HF$13:$HF$512,MATCH('Calculations'!IG211,'Calculations'!$HE$13:$HE$512,0)),""))))</x:f>
      </x:c>
      <x:c r="II211" t="str">
        <x:f>IF('Calculations'!IH211="","",IF('Calculations'!IH211="!AMBIG","!AMBIG",IF(COUNTIF('Calculations'!$HE$13:$HE$512,"="&amp;SUBSTITUTE(SUBSTITUTE(SUBSTITUTE('Calculations'!IH211,"~","~~"),"*","~*"),"?","~?"))&gt;1,"!AMBIG",IFERROR(INDEX('Calculations'!$HF$13:$HF$512,MATCH('Calculations'!IH211,'Calculations'!$HE$13:$HE$512,0)),""))))</x:f>
      </x:c>
      <x:c r="IJ211" t="str">
        <x:f>IF('Calculations'!EM211="","",IF('Calculations'!$EF$2="All",'Calculations'!HM211,IF('Calculations'!HL211=1,"",IFERROR(IF(MATCH('Calculations'!$EF$2,'Calculations'!HO211:II211,0)=1,'Calculations'!HE211,INDEX('Calculations'!HO211:II211,1,MATCH('Calculations'!$EF$2,'Calculations'!HO211:II211,0)-1)),""))))</x:f>
      </x:c>
      <x:c r="IK211" t="n">
        <x:f>IF(AND('Calculations'!EM211&lt;&gt;"",'Calculations'!$EF$2&lt;&gt;"All",'Calculations'!HF211='Calculations'!$EF$2,'Calculations'!HL211=0,'Calculations'!JD211&gt;0),MAX('Calculations'!$IK$12:IK210)+1,0)</x:f>
        <x:v>0</x:v>
      </x:c>
      <x:c r="JA211" t="n">
        <x:f>IF(OR(IFERROR(INDIRECT("'WCM Calibration Final'!$A$211")&lt;&gt;"",FALSE),IFERROR(INDIRECT("'WCM Calibration Final'!$B$211")&lt;&gt;"",FALSE),IFERROR(INDIRECT("'WCM Calibration Final'!$C$211")&lt;&gt;"",FALSE)),211,0)</x:f>
        <x:v>0</x:v>
      </x:c>
      <x:c r="JB211" t="n">
        <x:f>'Calculations'!JB210+IF('Calculations'!JA211&gt;0,1,0)</x:f>
        <x:v>0</x:v>
      </x:c>
      <x:c r="JC211" t="n">
        <x:f>IF(OR('Calculations'!HF211="",'Calculations'!HF211="!AMBIG"),0,IF('Dashboard'!$B$7="All",1,COUNTIFS('Calculations'!$HO$13:$HO$512,"="&amp;SUBSTITUTE(SUBSTITUTE(SUBSTITUTE('Calculations'!HF211,"~","~~"),"*","~*"),"?","~?"),'Calculations'!$HN$13:$HN$512,"="&amp;SUBSTITUTE(SUBSTITUTE(SUBSTITUTE('Dashboard'!$B$7,"~","~~"),"*","~*"),"?","~?"))+COUNTIFS('Calculations'!$HP$13:$HP$512,"="&amp;SUBSTITUTE(SUBSTITUTE(SUBSTITUTE('Calculations'!HF211,"~","~~"),"*","~*"),"?","~?"),'Calculations'!$HN$13:$HN$512,"="&amp;SUBSTITUTE(SUBSTITUTE(SUBSTITUTE('Dashboard'!$B$7,"~","~~"),"*","~*"),"?","~?"))+COUNTIFS('Calculations'!$HQ$13:$HQ$512,"="&amp;SUBSTITUTE(SUBSTITUTE(SUBSTITUTE('Calculations'!HF211,"~","~~"),"*","~*"),"?","~?"),'Calculations'!$HN$13:$HN$512,"="&amp;SUBSTITUTE(SUBSTITUTE(SUBSTITUTE('Dashboard'!$B$7,"~","~~"),"*","~*"),"?","~?"))+COUNTIFS('Calculations'!$HR$13:$HR$512,"="&amp;SUBSTITUTE(SUBSTITUTE(SUBSTITUTE('Calculations'!HF211,"~","~~"),"*","~*"),"?","~?"),'Calculations'!$HN$13:$HN$512,"="&amp;SUBSTITUTE(SUBSTITUTE(SUBSTITUTE('Dashboard'!$B$7,"~","~~"),"*","~*"),"?","~?"))+COUNTIFS('Calculations'!$HS$13:$HS$512,"="&amp;SUBSTITUTE(SUBSTITUTE(SUBSTITUTE('Calculations'!HF211,"~","~~"),"*","~*"),"?","~?"),'Calculations'!$HN$13:$HN$512,"="&amp;SUBSTITUTE(SUBSTITUTE(SUBSTITUTE('Dashboard'!$B$7,"~","~~"),"*","~*"),"?","~?"))+COUNTIFS('Calculations'!$HT$13:$HT$512,"="&amp;SUBSTITUTE(SUBSTITUTE(SUBSTITUTE('Calculations'!HF211,"~","~~"),"*","~*"),"?","~?"),'Calculations'!$HN$13:$HN$512,"="&amp;SUBSTITUTE(SUBSTITUTE(SUBSTITUTE('Dashboard'!$B$7,"~","~~"),"*","~*"),"?","~?"))+COUNTIFS('Calculations'!$HU$13:$HU$512,"="&amp;SUBSTITUTE(SUBSTITUTE(SUBSTITUTE('Calculations'!HF211,"~","~~"),"*","~*"),"?","~?"),'Calculations'!$HN$13:$HN$512,"="&amp;SUBSTITUTE(SUBSTITUTE(SUBSTITUTE('Dashboard'!$B$7,"~","~~"),"*","~*"),"?","~?"))+COUNTIFS('Calculations'!$HV$13:$HV$512,"="&amp;SUBSTITUTE(SUBSTITUTE(SUBSTITUTE('Calculations'!HF211,"~","~~"),"*","~*"),"?","~?"),'Calculations'!$HN$13:$HN$512,"="&amp;SUBSTITUTE(SUBSTITUTE(SUBSTITUTE('Dashboard'!$B$7,"~","~~"),"*","~*"),"?","~?"))+COUNTIFS('Calculations'!$HW$13:$HW$512,"="&amp;SUBSTITUTE(SUBSTITUTE(SUBSTITUTE('Calculations'!HF211,"~","~~"),"*","~*"),"?","~?"),'Calculations'!$HN$13:$HN$512,"="&amp;SUBSTITUTE(SUBSTITUTE(SUBSTITUTE('Dashboard'!$B$7,"~","~~"),"*","~*"),"?","~?"))+COUNTIFS('Calculations'!$HX$13:$HX$512,"="&amp;SUBSTITUTE(SUBSTITUTE(SUBSTITUTE('Calculations'!HF211,"~","~~"),"*","~*"),"?","~?"),'Calculations'!$HN$13:$HN$512,"="&amp;SUBSTITUTE(SUBSTITUTE(SUBSTITUTE('Dashboard'!$B$7,"~","~~"),"*","~*"),"?","~?"))+COUNTIFS('Calculations'!$HY$13:$HY$512,"="&amp;SUBSTITUTE(SUBSTITUTE(SUBSTITUTE('Calculations'!HF211,"~","~~"),"*","~*"),"?","~?"),'Calculations'!$HN$13:$HN$512,"="&amp;SUBSTITUTE(SUBSTITUTE(SUBSTITUTE('Dashboard'!$B$7,"~","~~"),"*","~*"),"?","~?"))+COUNTIFS('Calculations'!$HZ$13:$HZ$512,"="&amp;SUBSTITUTE(SUBSTITUTE(SUBSTITUTE('Calculations'!HF211,"~","~~"),"*","~*"),"?","~?"),'Calculations'!$HN$13:$HN$512,"="&amp;SUBSTITUTE(SUBSTITUTE(SUBSTITUTE('Dashboard'!$B$7,"~","~~"),"*","~*"),"?","~?"))+COUNTIFS('Calculations'!$IA$13:$IA$512,"="&amp;SUBSTITUTE(SUBSTITUTE(SUBSTITUTE('Calculations'!HF211,"~","~~"),"*","~*"),"?","~?"),'Calculations'!$HN$13:$HN$512,"="&amp;SUBSTITUTE(SUBSTITUTE(SUBSTITUTE('Dashboard'!$B$7,"~","~~"),"*","~*"),"?","~?"))+COUNTIFS('Calculations'!$IB$13:$IB$512,"="&amp;SUBSTITUTE(SUBSTITUTE(SUBSTITUTE('Calculations'!HF211,"~","~~"),"*","~*"),"?","~?"),'Calculations'!$HN$13:$HN$512,"="&amp;SUBSTITUTE(SUBSTITUTE(SUBSTITUTE('Dashboard'!$B$7,"~","~~"),"*","~*"),"?","~?"))+COUNTIFS('Calculations'!$IC$13:$IC$512,"="&amp;SUBSTITUTE(SUBSTITUTE(SUBSTITUTE('Calculations'!HF211,"~","~~"),"*","~*"),"?","~?"),'Calculations'!$HN$13:$HN$512,"="&amp;SUBSTITUTE(SUBSTITUTE(SUBSTITUTE('Dashboard'!$B$7,"~","~~"),"*","~*"),"?","~?"))+COUNTIFS('Calculations'!$ID$13:$ID$512,"="&amp;SUBSTITUTE(SUBSTITUTE(SUBSTITUTE('Calculations'!HF211,"~","~~"),"*","~*"),"?","~?"),'Calculations'!$HN$13:$HN$512,"="&amp;SUBSTITUTE(SUBSTITUTE(SUBSTITUTE('Dashboard'!$B$7,"~","~~"),"*","~*"),"?","~?"))+COUNTIFS('Calculations'!$IE$13:$IE$512,"="&amp;SUBSTITUTE(SUBSTITUTE(SUBSTITUTE('Calculations'!HF211,"~","~~"),"*","~*"),"?","~?"),'Calculations'!$HN$13:$HN$512,"="&amp;SUBSTITUTE(SUBSTITUTE(SUBSTITUTE('Dashboard'!$B$7,"~","~~"),"*","~*"),"?","~?"))+COUNTIFS('Calculations'!$IF$13:$IF$512,"="&amp;SUBSTITUTE(SUBSTITUTE(SUBSTITUTE('Calculations'!HF211,"~","~~"),"*","~*"),"?","~?"),'Calculations'!$HN$13:$HN$512,"="&amp;SUBSTITUTE(SUBSTITUTE(SUBSTITUTE('Dashboard'!$B$7,"~","~~"),"*","~*"),"?","~?"))+COUNTIFS('Calculations'!$IG$13:$IG$512,"="&amp;SUBSTITUTE(SUBSTITUTE(SUBSTITUTE('Calculations'!HF211,"~","~~"),"*","~*"),"?","~?"),'Calculations'!$HN$13:$HN$512,"="&amp;SUBSTITUTE(SUBSTITUTE(SUBSTITUTE('Dashboard'!$B$7,"~","~~"),"*","~*"),"?","~?"))+COUNTIFS('Calculations'!$IH$13:$IH$512,"="&amp;SUBSTITUTE(SUBSTITUTE(SUBSTITUTE('Calculations'!HF211,"~","~~"),"*","~*"),"?","~?"),'Calculations'!$HN$13:$HN$512,"="&amp;SUBSTITUTE(SUBSTITUTE(SUBSTITUTE('Dashboard'!$B$7,"~","~~"),"*","~*"),"?","~?"))))</x:f>
        <x:v>0</x:v>
      </x:c>
      <x:c r="JD211" t="n">
        <x:f>IF('Calculations'!EM211="",0,IF('Dashboard'!$B$7="All",1,IF('Calculations'!HN211='Dashboard'!$B$7,1,0)+IFERROR(INDEX('Calculations'!$JC$13:$JC$512,MATCH('Calculations'!HE211,'Calculations'!$HF$13:$HF$512,0)),0)))</x:f>
        <x:v>0</x:v>
      </x:c>
      <x:c r="JE211" t="n">
        <x:f>IF(AND('Calculations'!EM211&lt;&gt;"",'Calculations'!$JJ$2&lt;&gt;"All",'Calculations'!$JJ$2&lt;&gt;"",'Calculations'!HF211='Calculations'!$JJ$2,'Calculations'!HL211=0,'Calculations'!JD211&gt;0),MAX('Calculations'!$JE$12:JE210)+1,0)</x:f>
        <x:v>0</x:v>
      </x:c>
      <x:c r="JF211" t="str">
        <x:f>IF('Calculations'!EM211="","",IFERROR(IF(INDEX(INDIRECT("'WCM Calibration Final'!$G$1:$G$2000"),'Calculations'!$EM211)="","",TRIM(INDEX(INDIRECT("'WCM Calibration Final'!$G$1:$G$2000"),'Calculations'!$EM211)&amp;"")),""))</x:f>
      </x:c>
      <x:c r="JQ211" t="n">
        <x:f>IF(OR('Calculations'!BM211=0,NOT('Calculations'!$AG$2),'Calculations'!$AG$8&gt;0),0,IF(OR('Dashboard'!$B$7="All",'Calculations'!HN211='Dashboard'!$B$7),IF('Calculations'!$JJ$2="All",1,IF(AND('Calculations'!HF211='Calculations'!$JJ$2,'Calculations'!HL211=0),1,0)),0))</x:f>
        <x:v>0</x:v>
      </x:c>
    </x:row>
    <x:row r="212">
      <x:c r="AF212" s="4" t="str">
        <x:v>2 Exceeds</x:v>
      </x:c>
      <x:c r="AG212" s="4" t="n">
        <x:f>COUNTIFS('Calculations'!$BN$13:$BN$512,1,'Calculations'!$BO$13:$BO$512,2)</x:f>
        <x:v>0</x:v>
      </x:c>
      <x:c r="AH212" s="4" t="e">
        <x:f>IF(SUM('Calculations'!$AG$211:$AG$214)=0,NA(),'Calculations'!AG212/SUM('Calculations'!$AG$211:$AG$214))</x:f>
        <x:v>#N/A</x:v>
      </x:c>
      <x:c r="AI212" s="4" t="n">
        <x:f>IF(COUNT('Dashboard'!P143)=0,NA(),IF(AND('Dashboard'!P143&gt;=0,'Dashboard'!P143&lt;=1),'Dashboard'!P143,NA()))</x:f>
        <x:v>0.3</x:v>
      </x:c>
      <x:c r="AJ212" s="4"/>
      <x:c r="AK212" s="4"/>
      <x:c r="AL212" s="4"/>
      <x:c r="AM212" s="4"/>
      <x:c r="AN212" s="4"/>
      <x:c r="AO212" s="4"/>
      <x:c r="AP212" s="4"/>
      <x:c r="AQ212" s="4"/>
      <x:c r="AR212" s="4"/>
      <x:c r="AS212" s="4"/>
      <x:c r="AT212" s="4" t="str">
        <x:f>IFERROR('Calculations'!AG212&amp;" · "&amp;TEXT('Calculations'!AH212,"0.0%"),"")</x:f>
      </x:c>
      <x:c r="AU212" s="4"/>
      <x:c r="AV212" s="4"/>
      <x:c r="AW212" s="4"/>
      <x:c r="AX212" s="4"/>
      <x:c r="AY212" s="4"/>
      <x:c r="AZ212" s="4"/>
      <x:c r="BA212" s="4"/>
      <x:c r="BB212" s="4"/>
      <x:c r="BC212" s="4"/>
      <x:c r="BD212" s="4"/>
      <x:c r="BE212" s="4"/>
      <x:c r="BF212" s="4"/>
      <x:c r="BG212" s="4"/>
      <x:c r="BH212" s="4"/>
      <x:c r="BI212" s="4"/>
      <x:c r="BJ212" s="4"/>
      <x:c r="BK212" s="4"/>
      <x:c r="BL212" s="4"/>
      <x:c r="BM212" s="4" t="n">
        <x:f>IF('Calculations'!$EM212="",0,IF(OR(IFERROR(INDEX(INDIRECT("'WCM Calibration Final'!$A$1:$A$2000"),'Calculations'!$EM212)&lt;&gt;"",FALSE),IFERROR(INDEX(INDIRECT("'WCM Calibration Final'!$B$1:$B$2000"),'Calculations'!$EM212)&lt;&gt;"",FALSE),IFERROR(INDEX(INDIRECT("'WCM Calibration Final'!$C$1:$C$2000"),'Calculations'!$EM212)&lt;&gt;"",FALSE)),1,0))</x:f>
        <x:v>0</x:v>
      </x:c>
      <x:c r="BN212" s="4" t="n">
        <x:f>IF(AND('Calculations'!BM212=1,'Calculations'!$AG$2,'Calculations'!$EN212=1),1,0)</x:f>
        <x:v>0</x:v>
      </x:c>
      <x:c r="BO212" s="4" t="str">
        <x:f>IF('Calculations'!BM212=0,"",IFERROR(IF(AND(VALUE(INDEX(INDIRECT("'WCM Calibration Final'!$K$1:$K$2000"),'Calculations'!$EM212))&gt;=1,VALUE(INDEX(INDIRECT("'WCM Calibration Final'!$K$1:$K$2000"),'Calculations'!$EM212))&lt;=4,MOD(VALUE(INDEX(INDIRECT("'WCM Calibration Final'!$K$1:$K$2000"),'Calculations'!$EM212)),1)=0),VALUE(INDEX(INDIRECT("'WCM Calibration Final'!$K$1:$K$2000"),'Calculations'!$EM212)),""),""))</x:f>
      </x:c>
      <x:c r="BP212" s="4" t="str">
        <x:f>IF('Calculations'!BM212=0,"",IFERROR(IF(AND(VALUE(INDEX(INDIRECT("'WCM Calibration Final'!$L$1:$L$2000"),'Calculations'!$EM212))&gt;=1,VALUE(INDEX(INDIRECT("'WCM Calibration Final'!$L$1:$L$2000"),'Calculations'!$EM212))&lt;=4,MOD(VALUE(INDEX(INDIRECT("'WCM Calibration Final'!$L$1:$L$2000"),'Calculations'!$EM212)),1)=0),VALUE(INDEX(INDIRECT("'WCM Calibration Final'!$L$1:$L$2000"),'Calculations'!$EM212)),""),""))</x:f>
      </x:c>
      <x:c r="BQ212" s="4"/>
      <x:c r="BR212" s="4"/>
      <x:c r="BS212" s="4"/>
      <x:c r="BT212" s="4" t="n">
        <x:f>IF(AND('Calculations'!BM212=1,ISNUMBER('Calculations'!BO212),ISNUMBER('Calculations'!BP212)),1,0)</x:f>
        <x:v>0</x:v>
      </x:c>
      <x:c r="BU212" s="4" t="str">
        <x:f>IF('Calculations'!BM212=0,"",'Calculations'!$EO212)</x:f>
      </x:c>
      <x:c r="BV212" s="4" t="str">
        <x:f>IF('Calculations'!BM212=0,"",IFERROR(IF(OR(INDEX(INDIRECT("'WCM Calibration Final'!$H$1:$H$2000"),'Calculations'!$EM212)="MANAGING DIRECTOR",INDEX(INDIRECT("'WCM Calibration Final'!$H$1:$H$2000"),'Calculations'!$EM212)="DIRECTOR",INDEX(INDIRECT("'WCM Calibration Final'!$H$1:$H$2000"),'Calculations'!$EM212)="SENIOR VICE PRESIDENT",INDEX(INDIRECT("'WCM Calibration Final'!$H$1:$H$2000"),'Calculations'!$EM212)="VICE PRESIDENT",INDEX(INDIRECT("'WCM Calibration Final'!$H$1:$H$2000"),'Calculations'!$EM212)="ASSISTANT VICE PRESIDENT",INDEX(INDIRECT("'WCM Calibration Final'!$H$1:$H$2000"),'Calculations'!$EM212)="OFFICER"),UPPER(INDEX(INDIRECT("'WCM Calibration Final'!$H$1:$H$2000"),'Calculations'!$EM212)),"Other"),"Other"))</x:f>
      </x:c>
      <x:c r="BW212" s="4"/>
      <x:c r="BX212" s="4"/>
      <x:c r="BY212" s="4" t="n">
        <x:f>IF(AND('Calculations'!BM212=1,'Calculations'!BU212&lt;&gt;"",COUNTIF('Calculations'!$BU$12:BU212,'Calculations'!BU212)=1),MAX('Calculations'!$BY$11:BY211)+1,0)</x:f>
        <x:v>0</x:v>
      </x:c>
      <x:c r="BZ212" s="4" t="str">
        <x:f>IF('Dashboard'!$E$67="What",'Calculations'!BO212,'Calculations'!BP212)</x:f>
      </x:c>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t="str">
        <x:f>IF(201&gt;MAX('Calculations'!$HI$13:$HI$512),"",INDEX('Calculations'!$HN$13:$HN$512,MATCH(201,'Calculations'!$HI$13:$HI$512,0)))</x:f>
      </x:c>
      <x:c r="DB212" s="4" t="str">
        <x:f>IF(201&gt;MAX('Calculations'!$HH$13:$HH$512),"",INDEX('Calculations'!$HJ$13:$HJ$512,MATCH(201,'Calculations'!$HH$13:$HH$512,0)))</x:f>
      </x:c>
      <x:c r="DC212" s="4" t="str">
        <x:f>IF(ROW()-11&gt;MAX('Calculations'!$BY$13:$BY$512),"",INDEX('Calculations'!$BU$13:$BU$512,MATCH(ROW()-11,'Calculations'!$BY$13:$BY$512,0)))</x:f>
      </x:c>
      <x:c r="DD212" s="4" t="str">
        <x:f>IF(201&gt;MAX('Calculations'!$IK$13:$IK$512),"",INDEX('Calculations'!$HK$13:$HK$512,MATCH(201,'Calculations'!$IK$13:$IK$512,0)))</x:f>
      </x:c>
      <x:c r="DE212" s="4" t="str">
        <x:f>'Calculations'!DC212</x:f>
      </x:c>
      <x:c r="DF212" s="4" t="str">
        <x:f>IF('Calculations'!DE212="","",COUNTIFS('Calculations'!$BN$13:$BN$512,1,'Calculations'!$BU$13:$BU$512,'Calculations'!DE212))</x:f>
      </x:c>
      <x:c r="DG212" s="4" t="str">
        <x:f>IF('Calculations'!DE212="","",COUNTIFS('Calculations'!$BN$13:$BN$512,1,'Calculations'!$BU$13:$BU$512,'Calculations'!DE212,'Calculations'!$BT$13:$BT$512,1))</x:f>
      </x:c>
      <x:c r="DH212" s="4" t="str">
        <x:f>IF('Calculations'!DE212="","",'Calculations'!DF212-'Calculations'!DG212)</x:f>
      </x:c>
      <x:c r="DI212" s="4" t="str">
        <x:f>IF(OR('Calculations'!DE212="",'Calculations'!DF212=0),"",'Calculations'!DG212/'Calculations'!DF212)</x:f>
      </x:c>
      <x:c r="DJ212" s="4" t="str">
        <x:f>IF('Calculations'!DE212="","",COUNTIFS('Calculations'!$BN$13:$BN$512,1,'Calculations'!$BU$13:$BU$512,'Calculations'!DE212,'Calculations'!$BT$13:$BT$512,1,'Calculations'!$EE$13:$EE$512,"High"))</x:f>
      </x:c>
      <x:c r="DK212" s="4" t="str">
        <x:f>IF('Calculations'!DE212="","",COUNTIFS('Calculations'!$BN$13:$BN$512,1,'Calculations'!$BU$13:$BU$512,'Calculations'!DE212,'Calculations'!$BT$13:$BT$512,1,'Calculations'!$EE$13:$EE$512,"Strong"))</x:f>
      </x:c>
      <x:c r="DL212" s="4" t="str">
        <x:f>IF('Calculations'!DE212="","",COUNTIFS('Calculations'!$BN$13:$BN$512,1,'Calculations'!$BU$13:$BU$512,'Calculations'!DE212,'Calculations'!$BT$13:$BT$512,1,'Calculations'!$EE$13:$EE$512,"Solid"))</x:f>
      </x:c>
      <x:c r="DM212" s="4" t="str">
        <x:f>IF('Calculations'!DE212="","",COUNTIFS('Calculations'!$BN$13:$BN$512,1,'Calculations'!$BU$13:$BU$512,'Calculations'!DE212,'Calculations'!$BT$13:$BT$512,1,'Calculations'!$EE$13:$EE$512,"Low"))</x:f>
      </x:c>
      <x:c r="DN212" s="4" t="str">
        <x:f>IF('Calculations'!DE212="","",COUNTIFS('Calculations'!$BN$13:$BN$512,1,'Calculations'!$BU$13:$BU$512,'Calculations'!DE212,'Calculations'!$EP$13:$EP$512,1))</x:f>
      </x:c>
      <x:c r="DO212" s="4" t="str">
        <x:f>IF(OR('Calculations'!DE212="",'Calculations'!DG212=0),"",('Calculations'!DJ212+'Calculations'!DK212)/'Calculations'!DG212)</x:f>
      </x:c>
      <x:c r="DP212" s="4" t="n">
        <x:f>IF(AND('Calculations'!DE212&lt;&gt;"",'Calculations'!DF212&gt;0),COUNTIF('Calculations'!$DF$12:DF212,"&gt;0"),0)</x:f>
        <x:v>0</x:v>
      </x:c>
      <x:c r="DQ212" s="4" t="str">
        <x:f>IF(201&gt;MAX('Calculations'!$HH$13:$HH$512),"",INDEX('Calculations'!$HF$13:$HF$512,MATCH(201,'Calculations'!$HH$13:$HH$512,0)))</x:f>
      </x:c>
      <x:c r="DR212" s="4" t="str">
        <x:f>IF(201&gt;MAX('Calculations'!$IK$13:$IK$512),"",INDEX('Calculations'!$HE$13:$HE$512,MATCH(201,'Calculations'!$IK$13:$IK$512,0)))</x:f>
      </x:c>
      <x:c r="DS212" s="4"/>
      <x:c r="DT212" s="4"/>
      <x:c r="DU212" s="4"/>
      <x:c r="DV212" s="4"/>
      <x:c r="DW212" s="4"/>
      <x:c r="DX212" s="4"/>
      <x:c r="DY212" s="4"/>
      <x:c r="DZ212" s="4"/>
      <x:c r="EA212" s="4"/>
      <x:c r="EB212" s="4"/>
      <x:c r="EC212" s="4"/>
      <x:c r="ED212" s="4"/>
      <x:c r="EE212" s="4" t="str">
        <x:f>IF('Calculations'!BT212=0,"Not Rated",IF(OR('Calculations'!BO212&gt;=4,'Calculations'!BP212&gt;=4),"Low",IF('Calculations'!BO212+'Calculations'!BP212&lt;=3,"High",IF('Calculations'!BO212+'Calculations'!BP212&lt;=4,"Strong","Solid"))))</x:f>
        <x:v>Not Rated</x:v>
      </x:c>
      <x:c r="EF212" s="4"/>
      <x:c r="EG212" s="4"/>
      <x:c r="EH212" s="4"/>
      <x:c r="EI212" s="4"/>
      <x:c r="EJ212" s="4"/>
      <x:c r="EK212" s="4"/>
      <x:c r="EL212" s="4"/>
      <x:c r="EM212" s="4" t="str">
        <x:f>IF(200&gt;'Calculations'!$JB$2000,"",INDEX('Calculations'!$JA$12:$JA$2000,MATCH(200,'Calculations'!$JB$12:$JB$2000,0)))</x:f>
      </x:c>
      <x:c r="EN212" s="4" t="n">
        <x:f>IF(OR('Calculations'!EM212="",'Calculations'!$AG$8&gt;0,AND('Calculations'!$EF$2&lt;&gt;"All",'Calculations'!HE212='Calculations'!$EF$2),AND('Calculations'!$EF$3&lt;&gt;"All",'Calculations'!HE212='Calculations'!$EF$3)),0,IF(OR('Dashboard'!$B$7="All",'Calculations'!HN212='Dashboard'!$B$7),IF('Calculations'!$EF$2="All",1,IF('Calculations'!HL212&gt;0,0,IF(COUNTIF('Calculations'!HO212:II212,"="&amp;SUBSTITUTE(SUBSTITUTE(SUBSTITUTE('Calculations'!$EF$2,"~","~~"),"*","~*"),"?","~?"))=0,0,IF('Calculations'!$EF$3="All",1,IF(COUNTIF('Calculations'!HO212:II212,"="&amp;SUBSTITUTE(SUBSTITUTE(SUBSTITUTE('Calculations'!$EF$3,"~","~~"),"*","~*"),"?","~?"))&gt;0,1,0))))),0))</x:f>
        <x:v>0</x:v>
      </x:c>
      <x:c r="EO212" s="4" t="str">
        <x:f>IF('Calculations'!IJ212="","",IF('Calculations'!IJ212="!UNRESOLVED","Unresolved hierarchy",IFERROR(INDEX('Calculations'!$HK$13:$HK$512,MATCH('Calculations'!IJ212,'Calculations'!$HE$13:$HE$512,0)),IFERROR(INDEX('Calculations'!$HJ$13:$HJ$512,MATCH('Calculations'!IJ212,'Calculations'!$HF$13:$HF$512,0)),'Calculations'!IJ212))))</x:f>
      </x:c>
      <x:c r="EP212" s="4" t="n">
        <x:f>IF(AND('Calculations'!EM212&lt;&gt;"",'Calculations'!HF212='Calculations'!IJ212),1,0)</x:f>
        <x:v>0</x:v>
      </x:c>
      <x:c r="EQ212" s="4"/>
      <x:c r="ER212" s="4"/>
      <x:c r="ES212" s="4"/>
      <x:c r="ET212" s="4"/>
      <x:c r="EU212" s="4"/>
      <x:c r="EV212" s="4"/>
      <x:c r="EW212" s="4"/>
      <x:c r="EX212" s="4"/>
      <x:c r="EY212" s="4"/>
      <x:c r="EZ212" s="4"/>
      <x:c r="FA212" s="4"/>
      <x:c r="FB212" s="4"/>
      <x:c r="FC212" s="4"/>
      <x:c r="FD212" s="4"/>
      <x:c r="FE212" s="4"/>
      <x:c r="FF212" s="4"/>
      <x:c r="FG212" s="4"/>
      <x:c r="FH212" s="4"/>
      <x:c r="FI212" s="4"/>
      <x:c r="FJ212" s="4"/>
      <x:c r="FK212" s="4"/>
      <x:c r="FL212" s="4"/>
      <x:c r="FM212" s="4"/>
      <x:c r="FN212" s="4"/>
      <x:c r="FO212" s="4"/>
      <x:c r="HE212" t="str">
        <x:f>IF('Calculations'!EM212="","",IF(IFERROR(IF(INDEX(INDIRECT("'WCM Calibration Final'!$A$1:$A$2000"),'Calculations'!$EM212)="","",TRIM(INDEX(INDIRECT("'WCM Calibration Final'!$A$1:$A$2000"),'Calculations'!$EM212)&amp;"")),"")&lt;&gt;"","G:"&amp;IFERROR(TEXT(1*INDEX(INDIRECT("'WCM Calibration Final'!$A$1:$A$2000"),'Calculations'!$EM212),"0"),UPPER(IFERROR(IF(INDEX(INDIRECT("'WCM Calibration Final'!$A$1:$A$2000"),'Calculations'!$EM212)="","",TRIM(INDEX(INDIRECT("'WCM Calibration Final'!$A$1:$A$2000"),'Calculations'!$EM212)&amp;"")),""))),IF(IFERROR(IF(INDEX(INDIRECT("'WCM Calibration Final'!$C$1:$C$2000"),'Calculations'!$EM212)="","",TRIM(INDEX(INDIRECT("'WCM Calibration Final'!$C$1:$C$2000"),'Calculations'!$EM212)&amp;"")),"")&lt;&gt;"","S:"&amp;UPPER(IFERROR(IF(INDEX(INDIRECT("'WCM Calibration Final'!$C$1:$C$2000"),'Calculations'!$EM212)="","",TRIM(INDEX(INDIRECT("'WCM Calibration Final'!$C$1:$C$2000"),'Calculations'!$EM212)&amp;"")),"")),"R:"&amp;'Calculations'!EM212)))</x:f>
      </x:c>
      <x:c r="HF212" t="str">
        <x:f>IF('Calculations'!EM212="","",IF(IFERROR(IF(INDEX(INDIRECT("'WCM Calibration Final'!$D$1:$D$2000"),'Calculations'!$EM212)="","",TRIM(INDEX(INDIRECT("'WCM Calibration Final'!$D$1:$D$2000"),'Calculations'!$EM212)&amp;"")),"")&lt;&gt;"","G:"&amp;IFERROR(TEXT(1*INDEX(INDIRECT("'WCM Calibration Final'!$D$1:$D$2000"),'Calculations'!$EM212),"0"),UPPER(IFERROR(IF(INDEX(INDIRECT("'WCM Calibration Final'!$D$1:$D$2000"),'Calculations'!$EM212)="","",TRIM(INDEX(INDIRECT("'WCM Calibration Final'!$D$1:$D$2000"),'Calculations'!$EM212)&amp;"")),""))),IF(IFERROR(IF(INDEX(INDIRECT("'WCM Calibration Final'!$E$1:$E$2000"),'Calculations'!$EM212)="","",TRIM(INDEX(INDIRECT("'WCM Calibration Final'!$E$1:$E$2000"),'Calculations'!$EM212)&amp;"")),"")="","",IF(COUNTIF('Calculations'!$HG$13:$HG$512,"="&amp;SUBSTITUTE(SUBSTITUTE(SUBSTITUTE(IFERROR(IF(INDEX(INDIRECT("'WCM Calibration Final'!$E$1:$E$2000"),'Calculations'!$EM212)="","",TRIM(INDEX(INDIRECT("'WCM Calibration Final'!$E$1:$E$2000"),'Calculations'!$EM212)&amp;"")),""),"~","~~"),"*","~*"),"?","~?"))=1,INDEX('Calculations'!$HE$13:$HE$512,MATCH(IFERROR(IF(INDEX(INDIRECT("'WCM Calibration Final'!$E$1:$E$2000"),'Calculations'!$EM212)="","",TRIM(INDEX(INDIRECT("'WCM Calibration Final'!$E$1:$E$2000"),'Calculations'!$EM212)&amp;"")),""),'Calculations'!$HG$13:$HG$512,0)),IF(COUNTIF('Calculations'!$HG$13:$HG$512,"="&amp;SUBSTITUTE(SUBSTITUTE(SUBSTITUTE(IFERROR(IF(INDEX(INDIRECT("'WCM Calibration Final'!$E$1:$E$2000"),'Calculations'!$EM212)="","",TRIM(INDEX(INDIRECT("'WCM Calibration Final'!$E$1:$E$2000"),'Calculations'!$EM212)&amp;"")),""),"~","~~"),"*","~*"),"?","~?"))&gt;1,"!AMBIG","X:"&amp;IFERROR(IF(INDEX(INDIRECT("'WCM Calibration Final'!$E$1:$E$2000"),'Calculations'!$EM212)="","",TRIM(INDEX(INDIRECT("'WCM Calibration Final'!$E$1:$E$2000"),'Calculations'!$EM212)&amp;"")),""))))))</x:f>
      </x:c>
      <x:c r="HG212" t="str">
        <x:f>IF('Calculations'!EM212="","",IFERROR(IF(INDEX(INDIRECT("'WCM Calibration Final'!$B$1:$B$2000"),'Calculations'!$EM212)="","",TRIM(INDEX(INDIRECT("'WCM Calibration Final'!$B$1:$B$2000"),'Calculations'!$EM212)&amp;"")),""))</x:f>
      </x:c>
      <x:c r="HH212" t="n">
        <x:f>IF(AND('Calculations'!JC212&gt;0,COUNTIF('Calculations'!$HF$12:HF212,"="&amp;SUBSTITUTE(SUBSTITUTE(SUBSTITUTE('Calculations'!HF212,"~","~~"),"*","~*"),"?","~?"))=1),MAX('Calculations'!$HH$12:HH211)+1,0)</x:f>
        <x:v>0</x:v>
      </x:c>
      <x:c r="HI212" t="n">
        <x:f>IF(AND('Calculations'!HN212&lt;&gt;"",COUNTIF('Calculations'!$HN$12:HN212,"="&amp;SUBSTITUTE(SUBSTITUTE(SUBSTITUTE('Calculations'!HN212,"~","~~"),"*","~*"),"?","~?"))=1),MAX('Calculations'!$HI$12:HI211)+1,0)</x:f>
        <x:v>0</x:v>
      </x:c>
      <x:c r="HJ212" t="str">
        <x:f>IF('Calculations'!HF212="","",IF(COUNTIF('Calculations'!$HE$13:$HE$512,"="&amp;SUBSTITUTE(SUBSTITUTE(SUBSTITUTE('Calculations'!HF212,"~","~~"),"*","~*"),"?","~?"))=1,INDEX('Calculations'!$HK$13:$HK$512,MATCH('Calculations'!HF212,'Calculations'!$HE$13:$HE$512,0)),IFERROR(IF(INDEX(INDIRECT("'WCM Calibration Final'!$E$1:$E$2000"),'Calculations'!$EM212)="","",TRIM(INDEX(INDIRECT("'WCM Calibration Final'!$E$1:$E$2000"),'Calculations'!$EM212)&amp;"")),"")&amp;" ["&amp;'Calculations'!HF212&amp;"]"))</x:f>
      </x:c>
      <x:c r="HK212" t="str">
        <x:f>IF('Calculations'!EM212="","",'Calculations'!HG212&amp;" ["&amp;'Calculations'!HE212&amp;"]")</x:f>
      </x:c>
      <x:c r="HL212" t="n">
        <x:f>IF('Calculations'!EM212="",0,IF(OR('Calculations'!II212&lt;&gt;"",COUNTIF('Calculations'!$HE$13:$HE$512,"="&amp;SUBSTITUTE(SUBSTITUTE(SUBSTITUTE('Calculations'!HE212,"~","~~"),"*","~*"),"?","~?"))&gt;1),1,0))</x:f>
        <x:v>0</x:v>
      </x:c>
      <x:c r="HM212" t="str">
        <x:f>IF('Calculations'!EM212="","",IF('Calculations'!HL212=1,"!UNRESOLVED",IF('Calculations'!IH212&lt;&gt;"",'Calculations'!IH212,IF('Calculations'!IG212&lt;&gt;"",'Calculations'!IG212,IF('Calculations'!IF212&lt;&gt;"",'Calculations'!IF212,IF('Calculations'!IE212&lt;&gt;"",'Calculations'!IE212,IF('Calculations'!ID212&lt;&gt;"",'Calculations'!ID212,IF('Calculations'!IC212&lt;&gt;"",'Calculations'!IC212,IF('Calculations'!IB212&lt;&gt;"",'Calculations'!IB212,IF('Calculations'!IA212&lt;&gt;"",'Calculations'!IA212,IF('Calculations'!HZ212&lt;&gt;"",'Calculations'!HZ212,IF('Calculations'!HY212&lt;&gt;"",'Calculations'!HY212,IF('Calculations'!HX212&lt;&gt;"",'Calculations'!HX212,IF('Calculations'!HW212&lt;&gt;"",'Calculations'!HW212,IF('Calculations'!HV212&lt;&gt;"",'Calculations'!HV212,IF('Calculations'!HU212&lt;&gt;"",'Calculations'!HU212,IF('Calculations'!HT212&lt;&gt;"",'Calculations'!HT212,IF('Calculations'!HS212&lt;&gt;"",'Calculations'!HS212,IF('Calculations'!HR212&lt;&gt;"",'Calculations'!HR212,IF('Calculations'!HQ212&lt;&gt;"",'Calculations'!HQ212,IF('Calculations'!HP212&lt;&gt;"",'Calculations'!HP212,IF('Calculations'!HO212&lt;&gt;"",'Calculations'!HO212,'Calculations'!HE212))))))))))))))))))))))</x:f>
      </x:c>
      <x:c r="HN212" t="str">
        <x:f>IF('Calculations'!EM212="","",IF(IFERROR(IF(INDEX(INDIRECT("'WCM Calibration Final'!$F$1:$F$2000"),'Calculations'!$EM212)="","",TRIM(INDEX(INDIRECT("'WCM Calibration Final'!$F$1:$F$2000"),'Calculations'!$EM212)&amp;"")),"")="","(Blank)",IFERROR(IF(INDEX(INDIRECT("'WCM Calibration Final'!$F$1:$F$2000"),'Calculations'!$EM212)="","",TRIM(INDEX(INDIRECT("'WCM Calibration Final'!$F$1:$F$2000"),'Calculations'!$EM212)&amp;"")),"")))</x:f>
      </x:c>
      <x:c r="HO212" t="str">
        <x:f>'Calculations'!HF212</x:f>
      </x:c>
      <x:c r="HP212" t="str">
        <x:f>IF('Calculations'!HO212="","",IF('Calculations'!HO212="!AMBIG","!AMBIG",IF(COUNTIF('Calculations'!$HE$13:$HE$512,"="&amp;SUBSTITUTE(SUBSTITUTE(SUBSTITUTE('Calculations'!HO212,"~","~~"),"*","~*"),"?","~?"))&gt;1,"!AMBIG",IFERROR(INDEX('Calculations'!$HF$13:$HF$512,MATCH('Calculations'!HO212,'Calculations'!$HE$13:$HE$512,0)),""))))</x:f>
      </x:c>
      <x:c r="HQ212" t="str">
        <x:f>IF('Calculations'!HP212="","",IF('Calculations'!HP212="!AMBIG","!AMBIG",IF(COUNTIF('Calculations'!$HE$13:$HE$512,"="&amp;SUBSTITUTE(SUBSTITUTE(SUBSTITUTE('Calculations'!HP212,"~","~~"),"*","~*"),"?","~?"))&gt;1,"!AMBIG",IFERROR(INDEX('Calculations'!$HF$13:$HF$512,MATCH('Calculations'!HP212,'Calculations'!$HE$13:$HE$512,0)),""))))</x:f>
      </x:c>
      <x:c r="HR212" t="str">
        <x:f>IF('Calculations'!HQ212="","",IF('Calculations'!HQ212="!AMBIG","!AMBIG",IF(COUNTIF('Calculations'!$HE$13:$HE$512,"="&amp;SUBSTITUTE(SUBSTITUTE(SUBSTITUTE('Calculations'!HQ212,"~","~~"),"*","~*"),"?","~?"))&gt;1,"!AMBIG",IFERROR(INDEX('Calculations'!$HF$13:$HF$512,MATCH('Calculations'!HQ212,'Calculations'!$HE$13:$HE$512,0)),""))))</x:f>
      </x:c>
      <x:c r="HS212" t="str">
        <x:f>IF('Calculations'!HR212="","",IF('Calculations'!HR212="!AMBIG","!AMBIG",IF(COUNTIF('Calculations'!$HE$13:$HE$512,"="&amp;SUBSTITUTE(SUBSTITUTE(SUBSTITUTE('Calculations'!HR212,"~","~~"),"*","~*"),"?","~?"))&gt;1,"!AMBIG",IFERROR(INDEX('Calculations'!$HF$13:$HF$512,MATCH('Calculations'!HR212,'Calculations'!$HE$13:$HE$512,0)),""))))</x:f>
      </x:c>
      <x:c r="HT212" t="str">
        <x:f>IF('Calculations'!HS212="","",IF('Calculations'!HS212="!AMBIG","!AMBIG",IF(COUNTIF('Calculations'!$HE$13:$HE$512,"="&amp;SUBSTITUTE(SUBSTITUTE(SUBSTITUTE('Calculations'!HS212,"~","~~"),"*","~*"),"?","~?"))&gt;1,"!AMBIG",IFERROR(INDEX('Calculations'!$HF$13:$HF$512,MATCH('Calculations'!HS212,'Calculations'!$HE$13:$HE$512,0)),""))))</x:f>
      </x:c>
      <x:c r="HU212" t="str">
        <x:f>IF('Calculations'!HT212="","",IF('Calculations'!HT212="!AMBIG","!AMBIG",IF(COUNTIF('Calculations'!$HE$13:$HE$512,"="&amp;SUBSTITUTE(SUBSTITUTE(SUBSTITUTE('Calculations'!HT212,"~","~~"),"*","~*"),"?","~?"))&gt;1,"!AMBIG",IFERROR(INDEX('Calculations'!$HF$13:$HF$512,MATCH('Calculations'!HT212,'Calculations'!$HE$13:$HE$512,0)),""))))</x:f>
      </x:c>
      <x:c r="HV212" t="str">
        <x:f>IF('Calculations'!HU212="","",IF('Calculations'!HU212="!AMBIG","!AMBIG",IF(COUNTIF('Calculations'!$HE$13:$HE$512,"="&amp;SUBSTITUTE(SUBSTITUTE(SUBSTITUTE('Calculations'!HU212,"~","~~"),"*","~*"),"?","~?"))&gt;1,"!AMBIG",IFERROR(INDEX('Calculations'!$HF$13:$HF$512,MATCH('Calculations'!HU212,'Calculations'!$HE$13:$HE$512,0)),""))))</x:f>
      </x:c>
      <x:c r="HW212" t="str">
        <x:f>IF('Calculations'!HV212="","",IF('Calculations'!HV212="!AMBIG","!AMBIG",IF(COUNTIF('Calculations'!$HE$13:$HE$512,"="&amp;SUBSTITUTE(SUBSTITUTE(SUBSTITUTE('Calculations'!HV212,"~","~~"),"*","~*"),"?","~?"))&gt;1,"!AMBIG",IFERROR(INDEX('Calculations'!$HF$13:$HF$512,MATCH('Calculations'!HV212,'Calculations'!$HE$13:$HE$512,0)),""))))</x:f>
      </x:c>
      <x:c r="HX212" t="str">
        <x:f>IF('Calculations'!HW212="","",IF('Calculations'!HW212="!AMBIG","!AMBIG",IF(COUNTIF('Calculations'!$HE$13:$HE$512,"="&amp;SUBSTITUTE(SUBSTITUTE(SUBSTITUTE('Calculations'!HW212,"~","~~"),"*","~*"),"?","~?"))&gt;1,"!AMBIG",IFERROR(INDEX('Calculations'!$HF$13:$HF$512,MATCH('Calculations'!HW212,'Calculations'!$HE$13:$HE$512,0)),""))))</x:f>
      </x:c>
      <x:c r="HY212" t="str">
        <x:f>IF('Calculations'!HX212="","",IF('Calculations'!HX212="!AMBIG","!AMBIG",IF(COUNTIF('Calculations'!$HE$13:$HE$512,"="&amp;SUBSTITUTE(SUBSTITUTE(SUBSTITUTE('Calculations'!HX212,"~","~~"),"*","~*"),"?","~?"))&gt;1,"!AMBIG",IFERROR(INDEX('Calculations'!$HF$13:$HF$512,MATCH('Calculations'!HX212,'Calculations'!$HE$13:$HE$512,0)),""))))</x:f>
      </x:c>
      <x:c r="HZ212" t="str">
        <x:f>IF('Calculations'!HY212="","",IF('Calculations'!HY212="!AMBIG","!AMBIG",IF(COUNTIF('Calculations'!$HE$13:$HE$512,"="&amp;SUBSTITUTE(SUBSTITUTE(SUBSTITUTE('Calculations'!HY212,"~","~~"),"*","~*"),"?","~?"))&gt;1,"!AMBIG",IFERROR(INDEX('Calculations'!$HF$13:$HF$512,MATCH('Calculations'!HY212,'Calculations'!$HE$13:$HE$512,0)),""))))</x:f>
      </x:c>
      <x:c r="IA212" t="str">
        <x:f>IF('Calculations'!HZ212="","",IF('Calculations'!HZ212="!AMBIG","!AMBIG",IF(COUNTIF('Calculations'!$HE$13:$HE$512,"="&amp;SUBSTITUTE(SUBSTITUTE(SUBSTITUTE('Calculations'!HZ212,"~","~~"),"*","~*"),"?","~?"))&gt;1,"!AMBIG",IFERROR(INDEX('Calculations'!$HF$13:$HF$512,MATCH('Calculations'!HZ212,'Calculations'!$HE$13:$HE$512,0)),""))))</x:f>
      </x:c>
      <x:c r="IB212" t="str">
        <x:f>IF('Calculations'!IA212="","",IF('Calculations'!IA212="!AMBIG","!AMBIG",IF(COUNTIF('Calculations'!$HE$13:$HE$512,"="&amp;SUBSTITUTE(SUBSTITUTE(SUBSTITUTE('Calculations'!IA212,"~","~~"),"*","~*"),"?","~?"))&gt;1,"!AMBIG",IFERROR(INDEX('Calculations'!$HF$13:$HF$512,MATCH('Calculations'!IA212,'Calculations'!$HE$13:$HE$512,0)),""))))</x:f>
      </x:c>
      <x:c r="IC212" t="str">
        <x:f>IF('Calculations'!IB212="","",IF('Calculations'!IB212="!AMBIG","!AMBIG",IF(COUNTIF('Calculations'!$HE$13:$HE$512,"="&amp;SUBSTITUTE(SUBSTITUTE(SUBSTITUTE('Calculations'!IB212,"~","~~"),"*","~*"),"?","~?"))&gt;1,"!AMBIG",IFERROR(INDEX('Calculations'!$HF$13:$HF$512,MATCH('Calculations'!IB212,'Calculations'!$HE$13:$HE$512,0)),""))))</x:f>
      </x:c>
      <x:c r="ID212" t="str">
        <x:f>IF('Calculations'!IC212="","",IF('Calculations'!IC212="!AMBIG","!AMBIG",IF(COUNTIF('Calculations'!$HE$13:$HE$512,"="&amp;SUBSTITUTE(SUBSTITUTE(SUBSTITUTE('Calculations'!IC212,"~","~~"),"*","~*"),"?","~?"))&gt;1,"!AMBIG",IFERROR(INDEX('Calculations'!$HF$13:$HF$512,MATCH('Calculations'!IC212,'Calculations'!$HE$13:$HE$512,0)),""))))</x:f>
      </x:c>
      <x:c r="IE212" t="str">
        <x:f>IF('Calculations'!ID212="","",IF('Calculations'!ID212="!AMBIG","!AMBIG",IF(COUNTIF('Calculations'!$HE$13:$HE$512,"="&amp;SUBSTITUTE(SUBSTITUTE(SUBSTITUTE('Calculations'!ID212,"~","~~"),"*","~*"),"?","~?"))&gt;1,"!AMBIG",IFERROR(INDEX('Calculations'!$HF$13:$HF$512,MATCH('Calculations'!ID212,'Calculations'!$HE$13:$HE$512,0)),""))))</x:f>
      </x:c>
      <x:c r="IF212" t="str">
        <x:f>IF('Calculations'!IE212="","",IF('Calculations'!IE212="!AMBIG","!AMBIG",IF(COUNTIF('Calculations'!$HE$13:$HE$512,"="&amp;SUBSTITUTE(SUBSTITUTE(SUBSTITUTE('Calculations'!IE212,"~","~~"),"*","~*"),"?","~?"))&gt;1,"!AMBIG",IFERROR(INDEX('Calculations'!$HF$13:$HF$512,MATCH('Calculations'!IE212,'Calculations'!$HE$13:$HE$512,0)),""))))</x:f>
      </x:c>
      <x:c r="IG212" t="str">
        <x:f>IF('Calculations'!IF212="","",IF('Calculations'!IF212="!AMBIG","!AMBIG",IF(COUNTIF('Calculations'!$HE$13:$HE$512,"="&amp;SUBSTITUTE(SUBSTITUTE(SUBSTITUTE('Calculations'!IF212,"~","~~"),"*","~*"),"?","~?"))&gt;1,"!AMBIG",IFERROR(INDEX('Calculations'!$HF$13:$HF$512,MATCH('Calculations'!IF212,'Calculations'!$HE$13:$HE$512,0)),""))))</x:f>
      </x:c>
      <x:c r="IH212" t="str">
        <x:f>IF('Calculations'!IG212="","",IF('Calculations'!IG212="!AMBIG","!AMBIG",IF(COUNTIF('Calculations'!$HE$13:$HE$512,"="&amp;SUBSTITUTE(SUBSTITUTE(SUBSTITUTE('Calculations'!IG212,"~","~~"),"*","~*"),"?","~?"))&gt;1,"!AMBIG",IFERROR(INDEX('Calculations'!$HF$13:$HF$512,MATCH('Calculations'!IG212,'Calculations'!$HE$13:$HE$512,0)),""))))</x:f>
      </x:c>
      <x:c r="II212" t="str">
        <x:f>IF('Calculations'!IH212="","",IF('Calculations'!IH212="!AMBIG","!AMBIG",IF(COUNTIF('Calculations'!$HE$13:$HE$512,"="&amp;SUBSTITUTE(SUBSTITUTE(SUBSTITUTE('Calculations'!IH212,"~","~~"),"*","~*"),"?","~?"))&gt;1,"!AMBIG",IFERROR(INDEX('Calculations'!$HF$13:$HF$512,MATCH('Calculations'!IH212,'Calculations'!$HE$13:$HE$512,0)),""))))</x:f>
      </x:c>
      <x:c r="IJ212" t="str">
        <x:f>IF('Calculations'!EM212="","",IF('Calculations'!$EF$2="All",'Calculations'!HM212,IF('Calculations'!HL212=1,"",IFERROR(IF(MATCH('Calculations'!$EF$2,'Calculations'!HO212:II212,0)=1,'Calculations'!HE212,INDEX('Calculations'!HO212:II212,1,MATCH('Calculations'!$EF$2,'Calculations'!HO212:II212,0)-1)),""))))</x:f>
      </x:c>
      <x:c r="IK212" t="n">
        <x:f>IF(AND('Calculations'!EM212&lt;&gt;"",'Calculations'!$EF$2&lt;&gt;"All",'Calculations'!HF212='Calculations'!$EF$2,'Calculations'!HL212=0,'Calculations'!JD212&gt;0),MAX('Calculations'!$IK$12:IK211)+1,0)</x:f>
        <x:v>0</x:v>
      </x:c>
      <x:c r="JA212" t="n">
        <x:f>IF(OR(IFERROR(INDIRECT("'WCM Calibration Final'!$A$212")&lt;&gt;"",FALSE),IFERROR(INDIRECT("'WCM Calibration Final'!$B$212")&lt;&gt;"",FALSE),IFERROR(INDIRECT("'WCM Calibration Final'!$C$212")&lt;&gt;"",FALSE)),212,0)</x:f>
        <x:v>0</x:v>
      </x:c>
      <x:c r="JB212" t="n">
        <x:f>'Calculations'!JB211+IF('Calculations'!JA212&gt;0,1,0)</x:f>
        <x:v>0</x:v>
      </x:c>
      <x:c r="JC212" t="n">
        <x:f>IF(OR('Calculations'!HF212="",'Calculations'!HF212="!AMBIG"),0,IF('Dashboard'!$B$7="All",1,COUNTIFS('Calculations'!$HO$13:$HO$512,"="&amp;SUBSTITUTE(SUBSTITUTE(SUBSTITUTE('Calculations'!HF212,"~","~~"),"*","~*"),"?","~?"),'Calculations'!$HN$13:$HN$512,"="&amp;SUBSTITUTE(SUBSTITUTE(SUBSTITUTE('Dashboard'!$B$7,"~","~~"),"*","~*"),"?","~?"))+COUNTIFS('Calculations'!$HP$13:$HP$512,"="&amp;SUBSTITUTE(SUBSTITUTE(SUBSTITUTE('Calculations'!HF212,"~","~~"),"*","~*"),"?","~?"),'Calculations'!$HN$13:$HN$512,"="&amp;SUBSTITUTE(SUBSTITUTE(SUBSTITUTE('Dashboard'!$B$7,"~","~~"),"*","~*"),"?","~?"))+COUNTIFS('Calculations'!$HQ$13:$HQ$512,"="&amp;SUBSTITUTE(SUBSTITUTE(SUBSTITUTE('Calculations'!HF212,"~","~~"),"*","~*"),"?","~?"),'Calculations'!$HN$13:$HN$512,"="&amp;SUBSTITUTE(SUBSTITUTE(SUBSTITUTE('Dashboard'!$B$7,"~","~~"),"*","~*"),"?","~?"))+COUNTIFS('Calculations'!$HR$13:$HR$512,"="&amp;SUBSTITUTE(SUBSTITUTE(SUBSTITUTE('Calculations'!HF212,"~","~~"),"*","~*"),"?","~?"),'Calculations'!$HN$13:$HN$512,"="&amp;SUBSTITUTE(SUBSTITUTE(SUBSTITUTE('Dashboard'!$B$7,"~","~~"),"*","~*"),"?","~?"))+COUNTIFS('Calculations'!$HS$13:$HS$512,"="&amp;SUBSTITUTE(SUBSTITUTE(SUBSTITUTE('Calculations'!HF212,"~","~~"),"*","~*"),"?","~?"),'Calculations'!$HN$13:$HN$512,"="&amp;SUBSTITUTE(SUBSTITUTE(SUBSTITUTE('Dashboard'!$B$7,"~","~~"),"*","~*"),"?","~?"))+COUNTIFS('Calculations'!$HT$13:$HT$512,"="&amp;SUBSTITUTE(SUBSTITUTE(SUBSTITUTE('Calculations'!HF212,"~","~~"),"*","~*"),"?","~?"),'Calculations'!$HN$13:$HN$512,"="&amp;SUBSTITUTE(SUBSTITUTE(SUBSTITUTE('Dashboard'!$B$7,"~","~~"),"*","~*"),"?","~?"))+COUNTIFS('Calculations'!$HU$13:$HU$512,"="&amp;SUBSTITUTE(SUBSTITUTE(SUBSTITUTE('Calculations'!HF212,"~","~~"),"*","~*"),"?","~?"),'Calculations'!$HN$13:$HN$512,"="&amp;SUBSTITUTE(SUBSTITUTE(SUBSTITUTE('Dashboard'!$B$7,"~","~~"),"*","~*"),"?","~?"))+COUNTIFS('Calculations'!$HV$13:$HV$512,"="&amp;SUBSTITUTE(SUBSTITUTE(SUBSTITUTE('Calculations'!HF212,"~","~~"),"*","~*"),"?","~?"),'Calculations'!$HN$13:$HN$512,"="&amp;SUBSTITUTE(SUBSTITUTE(SUBSTITUTE('Dashboard'!$B$7,"~","~~"),"*","~*"),"?","~?"))+COUNTIFS('Calculations'!$HW$13:$HW$512,"="&amp;SUBSTITUTE(SUBSTITUTE(SUBSTITUTE('Calculations'!HF212,"~","~~"),"*","~*"),"?","~?"),'Calculations'!$HN$13:$HN$512,"="&amp;SUBSTITUTE(SUBSTITUTE(SUBSTITUTE('Dashboard'!$B$7,"~","~~"),"*","~*"),"?","~?"))+COUNTIFS('Calculations'!$HX$13:$HX$512,"="&amp;SUBSTITUTE(SUBSTITUTE(SUBSTITUTE('Calculations'!HF212,"~","~~"),"*","~*"),"?","~?"),'Calculations'!$HN$13:$HN$512,"="&amp;SUBSTITUTE(SUBSTITUTE(SUBSTITUTE('Dashboard'!$B$7,"~","~~"),"*","~*"),"?","~?"))+COUNTIFS('Calculations'!$HY$13:$HY$512,"="&amp;SUBSTITUTE(SUBSTITUTE(SUBSTITUTE('Calculations'!HF212,"~","~~"),"*","~*"),"?","~?"),'Calculations'!$HN$13:$HN$512,"="&amp;SUBSTITUTE(SUBSTITUTE(SUBSTITUTE('Dashboard'!$B$7,"~","~~"),"*","~*"),"?","~?"))+COUNTIFS('Calculations'!$HZ$13:$HZ$512,"="&amp;SUBSTITUTE(SUBSTITUTE(SUBSTITUTE('Calculations'!HF212,"~","~~"),"*","~*"),"?","~?"),'Calculations'!$HN$13:$HN$512,"="&amp;SUBSTITUTE(SUBSTITUTE(SUBSTITUTE('Dashboard'!$B$7,"~","~~"),"*","~*"),"?","~?"))+COUNTIFS('Calculations'!$IA$13:$IA$512,"="&amp;SUBSTITUTE(SUBSTITUTE(SUBSTITUTE('Calculations'!HF212,"~","~~"),"*","~*"),"?","~?"),'Calculations'!$HN$13:$HN$512,"="&amp;SUBSTITUTE(SUBSTITUTE(SUBSTITUTE('Dashboard'!$B$7,"~","~~"),"*","~*"),"?","~?"))+COUNTIFS('Calculations'!$IB$13:$IB$512,"="&amp;SUBSTITUTE(SUBSTITUTE(SUBSTITUTE('Calculations'!HF212,"~","~~"),"*","~*"),"?","~?"),'Calculations'!$HN$13:$HN$512,"="&amp;SUBSTITUTE(SUBSTITUTE(SUBSTITUTE('Dashboard'!$B$7,"~","~~"),"*","~*"),"?","~?"))+COUNTIFS('Calculations'!$IC$13:$IC$512,"="&amp;SUBSTITUTE(SUBSTITUTE(SUBSTITUTE('Calculations'!HF212,"~","~~"),"*","~*"),"?","~?"),'Calculations'!$HN$13:$HN$512,"="&amp;SUBSTITUTE(SUBSTITUTE(SUBSTITUTE('Dashboard'!$B$7,"~","~~"),"*","~*"),"?","~?"))+COUNTIFS('Calculations'!$ID$13:$ID$512,"="&amp;SUBSTITUTE(SUBSTITUTE(SUBSTITUTE('Calculations'!HF212,"~","~~"),"*","~*"),"?","~?"),'Calculations'!$HN$13:$HN$512,"="&amp;SUBSTITUTE(SUBSTITUTE(SUBSTITUTE('Dashboard'!$B$7,"~","~~"),"*","~*"),"?","~?"))+COUNTIFS('Calculations'!$IE$13:$IE$512,"="&amp;SUBSTITUTE(SUBSTITUTE(SUBSTITUTE('Calculations'!HF212,"~","~~"),"*","~*"),"?","~?"),'Calculations'!$HN$13:$HN$512,"="&amp;SUBSTITUTE(SUBSTITUTE(SUBSTITUTE('Dashboard'!$B$7,"~","~~"),"*","~*"),"?","~?"))+COUNTIFS('Calculations'!$IF$13:$IF$512,"="&amp;SUBSTITUTE(SUBSTITUTE(SUBSTITUTE('Calculations'!HF212,"~","~~"),"*","~*"),"?","~?"),'Calculations'!$HN$13:$HN$512,"="&amp;SUBSTITUTE(SUBSTITUTE(SUBSTITUTE('Dashboard'!$B$7,"~","~~"),"*","~*"),"?","~?"))+COUNTIFS('Calculations'!$IG$13:$IG$512,"="&amp;SUBSTITUTE(SUBSTITUTE(SUBSTITUTE('Calculations'!HF212,"~","~~"),"*","~*"),"?","~?"),'Calculations'!$HN$13:$HN$512,"="&amp;SUBSTITUTE(SUBSTITUTE(SUBSTITUTE('Dashboard'!$B$7,"~","~~"),"*","~*"),"?","~?"))+COUNTIFS('Calculations'!$IH$13:$IH$512,"="&amp;SUBSTITUTE(SUBSTITUTE(SUBSTITUTE('Calculations'!HF212,"~","~~"),"*","~*"),"?","~?"),'Calculations'!$HN$13:$HN$512,"="&amp;SUBSTITUTE(SUBSTITUTE(SUBSTITUTE('Dashboard'!$B$7,"~","~~"),"*","~*"),"?","~?"))))</x:f>
        <x:v>0</x:v>
      </x:c>
      <x:c r="JD212" t="n">
        <x:f>IF('Calculations'!EM212="",0,IF('Dashboard'!$B$7="All",1,IF('Calculations'!HN212='Dashboard'!$B$7,1,0)+IFERROR(INDEX('Calculations'!$JC$13:$JC$512,MATCH('Calculations'!HE212,'Calculations'!$HF$13:$HF$512,0)),0)))</x:f>
        <x:v>0</x:v>
      </x:c>
      <x:c r="JE212" t="n">
        <x:f>IF(AND('Calculations'!EM212&lt;&gt;"",'Calculations'!$JJ$2&lt;&gt;"All",'Calculations'!$JJ$2&lt;&gt;"",'Calculations'!HF212='Calculations'!$JJ$2,'Calculations'!HL212=0,'Calculations'!JD212&gt;0),MAX('Calculations'!$JE$12:JE211)+1,0)</x:f>
        <x:v>0</x:v>
      </x:c>
      <x:c r="JF212" t="str">
        <x:f>IF('Calculations'!EM212="","",IFERROR(IF(INDEX(INDIRECT("'WCM Calibration Final'!$G$1:$G$2000"),'Calculations'!$EM212)="","",TRIM(INDEX(INDIRECT("'WCM Calibration Final'!$G$1:$G$2000"),'Calculations'!$EM212)&amp;"")),""))</x:f>
      </x:c>
      <x:c r="JQ212" t="n">
        <x:f>IF(OR('Calculations'!BM212=0,NOT('Calculations'!$AG$2),'Calculations'!$AG$8&gt;0),0,IF(OR('Dashboard'!$B$7="All",'Calculations'!HN212='Dashboard'!$B$7),IF('Calculations'!$JJ$2="All",1,IF(AND('Calculations'!HF212='Calculations'!$JJ$2,'Calculations'!HL212=0),1,0)),0))</x:f>
        <x:v>0</x:v>
      </x:c>
    </x:row>
    <x:row r="213">
      <x:c r="AF213" s="4" t="str">
        <x:v>3 Valued</x:v>
      </x:c>
      <x:c r="AG213" s="4" t="n">
        <x:f>COUNTIFS('Calculations'!$BN$13:$BN$512,1,'Calculations'!$BO$13:$BO$512,3)</x:f>
        <x:v>0</x:v>
      </x:c>
      <x:c r="AH213" s="4" t="e">
        <x:f>IF(SUM('Calculations'!$AG$211:$AG$214)=0,NA(),'Calculations'!AG213/SUM('Calculations'!$AG$211:$AG$214))</x:f>
        <x:v>#N/A</x:v>
      </x:c>
      <x:c r="AI213" s="4" t="n">
        <x:f>IF(COUNT('Dashboard'!R143)=0,NA(),IF(AND('Dashboard'!R143&gt;=0,'Dashboard'!R143&lt;=1),'Dashboard'!R143,NA()))</x:f>
        <x:v>0.65</x:v>
      </x:c>
      <x:c r="AJ213" s="4"/>
      <x:c r="AK213" s="4"/>
      <x:c r="AL213" s="4"/>
      <x:c r="AM213" s="4"/>
      <x:c r="AN213" s="4"/>
      <x:c r="AO213" s="4"/>
      <x:c r="AP213" s="4"/>
      <x:c r="AQ213" s="4"/>
      <x:c r="AR213" s="4"/>
      <x:c r="AS213" s="4"/>
      <x:c r="AT213" s="4" t="str">
        <x:f>IFERROR('Calculations'!AG213&amp;" · "&amp;TEXT('Calculations'!AH213,"0.0%"),"")</x:f>
      </x:c>
      <x:c r="AU213" s="4"/>
      <x:c r="AV213" s="4"/>
      <x:c r="AW213" s="4"/>
      <x:c r="AX213" s="4"/>
      <x:c r="AY213" s="4"/>
      <x:c r="AZ213" s="4"/>
      <x:c r="BA213" s="4"/>
      <x:c r="BB213" s="4"/>
      <x:c r="BC213" s="4"/>
      <x:c r="BD213" s="4"/>
      <x:c r="BE213" s="4"/>
      <x:c r="BF213" s="4"/>
      <x:c r="BG213" s="4"/>
      <x:c r="BH213" s="4"/>
      <x:c r="BI213" s="4"/>
      <x:c r="BJ213" s="4"/>
      <x:c r="BK213" s="4"/>
      <x:c r="BL213" s="4"/>
      <x:c r="BM213" s="4" t="n">
        <x:f>IF('Calculations'!$EM213="",0,IF(OR(IFERROR(INDEX(INDIRECT("'WCM Calibration Final'!$A$1:$A$2000"),'Calculations'!$EM213)&lt;&gt;"",FALSE),IFERROR(INDEX(INDIRECT("'WCM Calibration Final'!$B$1:$B$2000"),'Calculations'!$EM213)&lt;&gt;"",FALSE),IFERROR(INDEX(INDIRECT("'WCM Calibration Final'!$C$1:$C$2000"),'Calculations'!$EM213)&lt;&gt;"",FALSE)),1,0))</x:f>
        <x:v>0</x:v>
      </x:c>
      <x:c r="BN213" s="4" t="n">
        <x:f>IF(AND('Calculations'!BM213=1,'Calculations'!$AG$2,'Calculations'!$EN213=1),1,0)</x:f>
        <x:v>0</x:v>
      </x:c>
      <x:c r="BO213" s="4" t="str">
        <x:f>IF('Calculations'!BM213=0,"",IFERROR(IF(AND(VALUE(INDEX(INDIRECT("'WCM Calibration Final'!$K$1:$K$2000"),'Calculations'!$EM213))&gt;=1,VALUE(INDEX(INDIRECT("'WCM Calibration Final'!$K$1:$K$2000"),'Calculations'!$EM213))&lt;=4,MOD(VALUE(INDEX(INDIRECT("'WCM Calibration Final'!$K$1:$K$2000"),'Calculations'!$EM213)),1)=0),VALUE(INDEX(INDIRECT("'WCM Calibration Final'!$K$1:$K$2000"),'Calculations'!$EM213)),""),""))</x:f>
      </x:c>
      <x:c r="BP213" s="4" t="str">
        <x:f>IF('Calculations'!BM213=0,"",IFERROR(IF(AND(VALUE(INDEX(INDIRECT("'WCM Calibration Final'!$L$1:$L$2000"),'Calculations'!$EM213))&gt;=1,VALUE(INDEX(INDIRECT("'WCM Calibration Final'!$L$1:$L$2000"),'Calculations'!$EM213))&lt;=4,MOD(VALUE(INDEX(INDIRECT("'WCM Calibration Final'!$L$1:$L$2000"),'Calculations'!$EM213)),1)=0),VALUE(INDEX(INDIRECT("'WCM Calibration Final'!$L$1:$L$2000"),'Calculations'!$EM213)),""),""))</x:f>
      </x:c>
      <x:c r="BQ213" s="4"/>
      <x:c r="BR213" s="4"/>
      <x:c r="BS213" s="4"/>
      <x:c r="BT213" s="4" t="n">
        <x:f>IF(AND('Calculations'!BM213=1,ISNUMBER('Calculations'!BO213),ISNUMBER('Calculations'!BP213)),1,0)</x:f>
        <x:v>0</x:v>
      </x:c>
      <x:c r="BU213" s="4" t="str">
        <x:f>IF('Calculations'!BM213=0,"",'Calculations'!$EO213)</x:f>
      </x:c>
      <x:c r="BV213" s="4" t="str">
        <x:f>IF('Calculations'!BM213=0,"",IFERROR(IF(OR(INDEX(INDIRECT("'WCM Calibration Final'!$H$1:$H$2000"),'Calculations'!$EM213)="MANAGING DIRECTOR",INDEX(INDIRECT("'WCM Calibration Final'!$H$1:$H$2000"),'Calculations'!$EM213)="DIRECTOR",INDEX(INDIRECT("'WCM Calibration Final'!$H$1:$H$2000"),'Calculations'!$EM213)="SENIOR VICE PRESIDENT",INDEX(INDIRECT("'WCM Calibration Final'!$H$1:$H$2000"),'Calculations'!$EM213)="VICE PRESIDENT",INDEX(INDIRECT("'WCM Calibration Final'!$H$1:$H$2000"),'Calculations'!$EM213)="ASSISTANT VICE PRESIDENT",INDEX(INDIRECT("'WCM Calibration Final'!$H$1:$H$2000"),'Calculations'!$EM213)="OFFICER"),UPPER(INDEX(INDIRECT("'WCM Calibration Final'!$H$1:$H$2000"),'Calculations'!$EM213)),"Other"),"Other"))</x:f>
      </x:c>
      <x:c r="BW213" s="4"/>
      <x:c r="BX213" s="4"/>
      <x:c r="BY213" s="4" t="n">
        <x:f>IF(AND('Calculations'!BM213=1,'Calculations'!BU213&lt;&gt;"",COUNTIF('Calculations'!$BU$12:BU213,'Calculations'!BU213)=1),MAX('Calculations'!$BY$11:BY212)+1,0)</x:f>
        <x:v>0</x:v>
      </x:c>
      <x:c r="BZ213" s="4" t="str">
        <x:f>IF('Dashboard'!$E$67="What",'Calculations'!BO213,'Calculations'!BP213)</x:f>
      </x:c>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t="str">
        <x:f>IF(202&gt;MAX('Calculations'!$HI$13:$HI$512),"",INDEX('Calculations'!$HN$13:$HN$512,MATCH(202,'Calculations'!$HI$13:$HI$512,0)))</x:f>
      </x:c>
      <x:c r="DB213" s="4" t="str">
        <x:f>IF(202&gt;MAX('Calculations'!$HH$13:$HH$512),"",INDEX('Calculations'!$HJ$13:$HJ$512,MATCH(202,'Calculations'!$HH$13:$HH$512,0)))</x:f>
      </x:c>
      <x:c r="DC213" s="4" t="str">
        <x:f>IF(ROW()-11&gt;MAX('Calculations'!$BY$13:$BY$512),"",INDEX('Calculations'!$BU$13:$BU$512,MATCH(ROW()-11,'Calculations'!$BY$13:$BY$512,0)))</x:f>
      </x:c>
      <x:c r="DD213" s="4" t="str">
        <x:f>IF(202&gt;MAX('Calculations'!$IK$13:$IK$512),"",INDEX('Calculations'!$HK$13:$HK$512,MATCH(202,'Calculations'!$IK$13:$IK$512,0)))</x:f>
      </x:c>
      <x:c r="DE213" s="4" t="str">
        <x:f>'Calculations'!DC213</x:f>
      </x:c>
      <x:c r="DF213" s="4" t="str">
        <x:f>IF('Calculations'!DE213="","",COUNTIFS('Calculations'!$BN$13:$BN$512,1,'Calculations'!$BU$13:$BU$512,'Calculations'!DE213))</x:f>
      </x:c>
      <x:c r="DG213" s="4" t="str">
        <x:f>IF('Calculations'!DE213="","",COUNTIFS('Calculations'!$BN$13:$BN$512,1,'Calculations'!$BU$13:$BU$512,'Calculations'!DE213,'Calculations'!$BT$13:$BT$512,1))</x:f>
      </x:c>
      <x:c r="DH213" s="4" t="str">
        <x:f>IF('Calculations'!DE213="","",'Calculations'!DF213-'Calculations'!DG213)</x:f>
      </x:c>
      <x:c r="DI213" s="4" t="str">
        <x:f>IF(OR('Calculations'!DE213="",'Calculations'!DF213=0),"",'Calculations'!DG213/'Calculations'!DF213)</x:f>
      </x:c>
      <x:c r="DJ213" s="4" t="str">
        <x:f>IF('Calculations'!DE213="","",COUNTIFS('Calculations'!$BN$13:$BN$512,1,'Calculations'!$BU$13:$BU$512,'Calculations'!DE213,'Calculations'!$BT$13:$BT$512,1,'Calculations'!$EE$13:$EE$512,"High"))</x:f>
      </x:c>
      <x:c r="DK213" s="4" t="str">
        <x:f>IF('Calculations'!DE213="","",COUNTIFS('Calculations'!$BN$13:$BN$512,1,'Calculations'!$BU$13:$BU$512,'Calculations'!DE213,'Calculations'!$BT$13:$BT$512,1,'Calculations'!$EE$13:$EE$512,"Strong"))</x:f>
      </x:c>
      <x:c r="DL213" s="4" t="str">
        <x:f>IF('Calculations'!DE213="","",COUNTIFS('Calculations'!$BN$13:$BN$512,1,'Calculations'!$BU$13:$BU$512,'Calculations'!DE213,'Calculations'!$BT$13:$BT$512,1,'Calculations'!$EE$13:$EE$512,"Solid"))</x:f>
      </x:c>
      <x:c r="DM213" s="4" t="str">
        <x:f>IF('Calculations'!DE213="","",COUNTIFS('Calculations'!$BN$13:$BN$512,1,'Calculations'!$BU$13:$BU$512,'Calculations'!DE213,'Calculations'!$BT$13:$BT$512,1,'Calculations'!$EE$13:$EE$512,"Low"))</x:f>
      </x:c>
      <x:c r="DN213" s="4" t="str">
        <x:f>IF('Calculations'!DE213="","",COUNTIFS('Calculations'!$BN$13:$BN$512,1,'Calculations'!$BU$13:$BU$512,'Calculations'!DE213,'Calculations'!$EP$13:$EP$512,1))</x:f>
      </x:c>
      <x:c r="DO213" s="4" t="str">
        <x:f>IF(OR('Calculations'!DE213="",'Calculations'!DG213=0),"",('Calculations'!DJ213+'Calculations'!DK213)/'Calculations'!DG213)</x:f>
      </x:c>
      <x:c r="DP213" s="4" t="n">
        <x:f>IF(AND('Calculations'!DE213&lt;&gt;"",'Calculations'!DF213&gt;0),COUNTIF('Calculations'!$DF$12:DF213,"&gt;0"),0)</x:f>
        <x:v>0</x:v>
      </x:c>
      <x:c r="DQ213" s="4" t="str">
        <x:f>IF(202&gt;MAX('Calculations'!$HH$13:$HH$512),"",INDEX('Calculations'!$HF$13:$HF$512,MATCH(202,'Calculations'!$HH$13:$HH$512,0)))</x:f>
      </x:c>
      <x:c r="DR213" s="4" t="str">
        <x:f>IF(202&gt;MAX('Calculations'!$IK$13:$IK$512),"",INDEX('Calculations'!$HE$13:$HE$512,MATCH(202,'Calculations'!$IK$13:$IK$512,0)))</x:f>
      </x:c>
      <x:c r="DS213" s="4"/>
      <x:c r="DT213" s="4"/>
      <x:c r="DU213" s="4"/>
      <x:c r="DV213" s="4"/>
      <x:c r="DW213" s="4"/>
      <x:c r="DX213" s="4"/>
      <x:c r="DY213" s="4"/>
      <x:c r="DZ213" s="4"/>
      <x:c r="EA213" s="4"/>
      <x:c r="EB213" s="4"/>
      <x:c r="EC213" s="4"/>
      <x:c r="ED213" s="4"/>
      <x:c r="EE213" s="4" t="str">
        <x:f>IF('Calculations'!BT213=0,"Not Rated",IF(OR('Calculations'!BO213&gt;=4,'Calculations'!BP213&gt;=4),"Low",IF('Calculations'!BO213+'Calculations'!BP213&lt;=3,"High",IF('Calculations'!BO213+'Calculations'!BP213&lt;=4,"Strong","Solid"))))</x:f>
        <x:v>Not Rated</x:v>
      </x:c>
      <x:c r="EF213" s="4"/>
      <x:c r="EG213" s="4"/>
      <x:c r="EH213" s="4"/>
      <x:c r="EI213" s="4"/>
      <x:c r="EJ213" s="4"/>
      <x:c r="EK213" s="4"/>
      <x:c r="EL213" s="4"/>
      <x:c r="EM213" s="4" t="str">
        <x:f>IF(201&gt;'Calculations'!$JB$2000,"",INDEX('Calculations'!$JA$12:$JA$2000,MATCH(201,'Calculations'!$JB$12:$JB$2000,0)))</x:f>
      </x:c>
      <x:c r="EN213" s="4" t="n">
        <x:f>IF(OR('Calculations'!EM213="",'Calculations'!$AG$8&gt;0,AND('Calculations'!$EF$2&lt;&gt;"All",'Calculations'!HE213='Calculations'!$EF$2),AND('Calculations'!$EF$3&lt;&gt;"All",'Calculations'!HE213='Calculations'!$EF$3)),0,IF(OR('Dashboard'!$B$7="All",'Calculations'!HN213='Dashboard'!$B$7),IF('Calculations'!$EF$2="All",1,IF('Calculations'!HL213&gt;0,0,IF(COUNTIF('Calculations'!HO213:II213,"="&amp;SUBSTITUTE(SUBSTITUTE(SUBSTITUTE('Calculations'!$EF$2,"~","~~"),"*","~*"),"?","~?"))=0,0,IF('Calculations'!$EF$3="All",1,IF(COUNTIF('Calculations'!HO213:II213,"="&amp;SUBSTITUTE(SUBSTITUTE(SUBSTITUTE('Calculations'!$EF$3,"~","~~"),"*","~*"),"?","~?"))&gt;0,1,0))))),0))</x:f>
        <x:v>0</x:v>
      </x:c>
      <x:c r="EO213" s="4" t="str">
        <x:f>IF('Calculations'!IJ213="","",IF('Calculations'!IJ213="!UNRESOLVED","Unresolved hierarchy",IFERROR(INDEX('Calculations'!$HK$13:$HK$512,MATCH('Calculations'!IJ213,'Calculations'!$HE$13:$HE$512,0)),IFERROR(INDEX('Calculations'!$HJ$13:$HJ$512,MATCH('Calculations'!IJ213,'Calculations'!$HF$13:$HF$512,0)),'Calculations'!IJ213))))</x:f>
      </x:c>
      <x:c r="EP213" s="4" t="n">
        <x:f>IF(AND('Calculations'!EM213&lt;&gt;"",'Calculations'!HF213='Calculations'!IJ213),1,0)</x:f>
        <x:v>0</x:v>
      </x:c>
      <x:c r="EQ213" s="4"/>
      <x:c r="ER213" s="4"/>
      <x:c r="ES213" s="4"/>
      <x:c r="ET213" s="4"/>
      <x:c r="EU213" s="4"/>
      <x:c r="EV213" s="4"/>
      <x:c r="EW213" s="4"/>
      <x:c r="EX213" s="4"/>
      <x:c r="EY213" s="4"/>
      <x:c r="EZ213" s="4"/>
      <x:c r="FA213" s="4"/>
      <x:c r="FB213" s="4"/>
      <x:c r="FC213" s="4"/>
      <x:c r="FD213" s="4"/>
      <x:c r="FE213" s="4"/>
      <x:c r="FF213" s="4"/>
      <x:c r="FG213" s="4"/>
      <x:c r="FH213" s="4"/>
      <x:c r="FI213" s="4"/>
      <x:c r="FJ213" s="4"/>
      <x:c r="FK213" s="4"/>
      <x:c r="FL213" s="4"/>
      <x:c r="FM213" s="4"/>
      <x:c r="FN213" s="4"/>
      <x:c r="FO213" s="4"/>
      <x:c r="HE213" t="str">
        <x:f>IF('Calculations'!EM213="","",IF(IFERROR(IF(INDEX(INDIRECT("'WCM Calibration Final'!$A$1:$A$2000"),'Calculations'!$EM213)="","",TRIM(INDEX(INDIRECT("'WCM Calibration Final'!$A$1:$A$2000"),'Calculations'!$EM213)&amp;"")),"")&lt;&gt;"","G:"&amp;IFERROR(TEXT(1*INDEX(INDIRECT("'WCM Calibration Final'!$A$1:$A$2000"),'Calculations'!$EM213),"0"),UPPER(IFERROR(IF(INDEX(INDIRECT("'WCM Calibration Final'!$A$1:$A$2000"),'Calculations'!$EM213)="","",TRIM(INDEX(INDIRECT("'WCM Calibration Final'!$A$1:$A$2000"),'Calculations'!$EM213)&amp;"")),""))),IF(IFERROR(IF(INDEX(INDIRECT("'WCM Calibration Final'!$C$1:$C$2000"),'Calculations'!$EM213)="","",TRIM(INDEX(INDIRECT("'WCM Calibration Final'!$C$1:$C$2000"),'Calculations'!$EM213)&amp;"")),"")&lt;&gt;"","S:"&amp;UPPER(IFERROR(IF(INDEX(INDIRECT("'WCM Calibration Final'!$C$1:$C$2000"),'Calculations'!$EM213)="","",TRIM(INDEX(INDIRECT("'WCM Calibration Final'!$C$1:$C$2000"),'Calculations'!$EM213)&amp;"")),"")),"R:"&amp;'Calculations'!EM213)))</x:f>
      </x:c>
      <x:c r="HF213" t="str">
        <x:f>IF('Calculations'!EM213="","",IF(IFERROR(IF(INDEX(INDIRECT("'WCM Calibration Final'!$D$1:$D$2000"),'Calculations'!$EM213)="","",TRIM(INDEX(INDIRECT("'WCM Calibration Final'!$D$1:$D$2000"),'Calculations'!$EM213)&amp;"")),"")&lt;&gt;"","G:"&amp;IFERROR(TEXT(1*INDEX(INDIRECT("'WCM Calibration Final'!$D$1:$D$2000"),'Calculations'!$EM213),"0"),UPPER(IFERROR(IF(INDEX(INDIRECT("'WCM Calibration Final'!$D$1:$D$2000"),'Calculations'!$EM213)="","",TRIM(INDEX(INDIRECT("'WCM Calibration Final'!$D$1:$D$2000"),'Calculations'!$EM213)&amp;"")),""))),IF(IFERROR(IF(INDEX(INDIRECT("'WCM Calibration Final'!$E$1:$E$2000"),'Calculations'!$EM213)="","",TRIM(INDEX(INDIRECT("'WCM Calibration Final'!$E$1:$E$2000"),'Calculations'!$EM213)&amp;"")),"")="","",IF(COUNTIF('Calculations'!$HG$13:$HG$512,"="&amp;SUBSTITUTE(SUBSTITUTE(SUBSTITUTE(IFERROR(IF(INDEX(INDIRECT("'WCM Calibration Final'!$E$1:$E$2000"),'Calculations'!$EM213)="","",TRIM(INDEX(INDIRECT("'WCM Calibration Final'!$E$1:$E$2000"),'Calculations'!$EM213)&amp;"")),""),"~","~~"),"*","~*"),"?","~?"))=1,INDEX('Calculations'!$HE$13:$HE$512,MATCH(IFERROR(IF(INDEX(INDIRECT("'WCM Calibration Final'!$E$1:$E$2000"),'Calculations'!$EM213)="","",TRIM(INDEX(INDIRECT("'WCM Calibration Final'!$E$1:$E$2000"),'Calculations'!$EM213)&amp;"")),""),'Calculations'!$HG$13:$HG$512,0)),IF(COUNTIF('Calculations'!$HG$13:$HG$512,"="&amp;SUBSTITUTE(SUBSTITUTE(SUBSTITUTE(IFERROR(IF(INDEX(INDIRECT("'WCM Calibration Final'!$E$1:$E$2000"),'Calculations'!$EM213)="","",TRIM(INDEX(INDIRECT("'WCM Calibration Final'!$E$1:$E$2000"),'Calculations'!$EM213)&amp;"")),""),"~","~~"),"*","~*"),"?","~?"))&gt;1,"!AMBIG","X:"&amp;IFERROR(IF(INDEX(INDIRECT("'WCM Calibration Final'!$E$1:$E$2000"),'Calculations'!$EM213)="","",TRIM(INDEX(INDIRECT("'WCM Calibration Final'!$E$1:$E$2000"),'Calculations'!$EM213)&amp;"")),""))))))</x:f>
      </x:c>
      <x:c r="HG213" t="str">
        <x:f>IF('Calculations'!EM213="","",IFERROR(IF(INDEX(INDIRECT("'WCM Calibration Final'!$B$1:$B$2000"),'Calculations'!$EM213)="","",TRIM(INDEX(INDIRECT("'WCM Calibration Final'!$B$1:$B$2000"),'Calculations'!$EM213)&amp;"")),""))</x:f>
      </x:c>
      <x:c r="HH213" t="n">
        <x:f>IF(AND('Calculations'!JC213&gt;0,COUNTIF('Calculations'!$HF$12:HF213,"="&amp;SUBSTITUTE(SUBSTITUTE(SUBSTITUTE('Calculations'!HF213,"~","~~"),"*","~*"),"?","~?"))=1),MAX('Calculations'!$HH$12:HH212)+1,0)</x:f>
        <x:v>0</x:v>
      </x:c>
      <x:c r="HI213" t="n">
        <x:f>IF(AND('Calculations'!HN213&lt;&gt;"",COUNTIF('Calculations'!$HN$12:HN213,"="&amp;SUBSTITUTE(SUBSTITUTE(SUBSTITUTE('Calculations'!HN213,"~","~~"),"*","~*"),"?","~?"))=1),MAX('Calculations'!$HI$12:HI212)+1,0)</x:f>
        <x:v>0</x:v>
      </x:c>
      <x:c r="HJ213" t="str">
        <x:f>IF('Calculations'!HF213="","",IF(COUNTIF('Calculations'!$HE$13:$HE$512,"="&amp;SUBSTITUTE(SUBSTITUTE(SUBSTITUTE('Calculations'!HF213,"~","~~"),"*","~*"),"?","~?"))=1,INDEX('Calculations'!$HK$13:$HK$512,MATCH('Calculations'!HF213,'Calculations'!$HE$13:$HE$512,0)),IFERROR(IF(INDEX(INDIRECT("'WCM Calibration Final'!$E$1:$E$2000"),'Calculations'!$EM213)="","",TRIM(INDEX(INDIRECT("'WCM Calibration Final'!$E$1:$E$2000"),'Calculations'!$EM213)&amp;"")),"")&amp;" ["&amp;'Calculations'!HF213&amp;"]"))</x:f>
      </x:c>
      <x:c r="HK213" t="str">
        <x:f>IF('Calculations'!EM213="","",'Calculations'!HG213&amp;" ["&amp;'Calculations'!HE213&amp;"]")</x:f>
      </x:c>
      <x:c r="HL213" t="n">
        <x:f>IF('Calculations'!EM213="",0,IF(OR('Calculations'!II213&lt;&gt;"",COUNTIF('Calculations'!$HE$13:$HE$512,"="&amp;SUBSTITUTE(SUBSTITUTE(SUBSTITUTE('Calculations'!HE213,"~","~~"),"*","~*"),"?","~?"))&gt;1),1,0))</x:f>
        <x:v>0</x:v>
      </x:c>
      <x:c r="HM213" t="str">
        <x:f>IF('Calculations'!EM213="","",IF('Calculations'!HL213=1,"!UNRESOLVED",IF('Calculations'!IH213&lt;&gt;"",'Calculations'!IH213,IF('Calculations'!IG213&lt;&gt;"",'Calculations'!IG213,IF('Calculations'!IF213&lt;&gt;"",'Calculations'!IF213,IF('Calculations'!IE213&lt;&gt;"",'Calculations'!IE213,IF('Calculations'!ID213&lt;&gt;"",'Calculations'!ID213,IF('Calculations'!IC213&lt;&gt;"",'Calculations'!IC213,IF('Calculations'!IB213&lt;&gt;"",'Calculations'!IB213,IF('Calculations'!IA213&lt;&gt;"",'Calculations'!IA213,IF('Calculations'!HZ213&lt;&gt;"",'Calculations'!HZ213,IF('Calculations'!HY213&lt;&gt;"",'Calculations'!HY213,IF('Calculations'!HX213&lt;&gt;"",'Calculations'!HX213,IF('Calculations'!HW213&lt;&gt;"",'Calculations'!HW213,IF('Calculations'!HV213&lt;&gt;"",'Calculations'!HV213,IF('Calculations'!HU213&lt;&gt;"",'Calculations'!HU213,IF('Calculations'!HT213&lt;&gt;"",'Calculations'!HT213,IF('Calculations'!HS213&lt;&gt;"",'Calculations'!HS213,IF('Calculations'!HR213&lt;&gt;"",'Calculations'!HR213,IF('Calculations'!HQ213&lt;&gt;"",'Calculations'!HQ213,IF('Calculations'!HP213&lt;&gt;"",'Calculations'!HP213,IF('Calculations'!HO213&lt;&gt;"",'Calculations'!HO213,'Calculations'!HE213))))))))))))))))))))))</x:f>
      </x:c>
      <x:c r="HN213" t="str">
        <x:f>IF('Calculations'!EM213="","",IF(IFERROR(IF(INDEX(INDIRECT("'WCM Calibration Final'!$F$1:$F$2000"),'Calculations'!$EM213)="","",TRIM(INDEX(INDIRECT("'WCM Calibration Final'!$F$1:$F$2000"),'Calculations'!$EM213)&amp;"")),"")="","(Blank)",IFERROR(IF(INDEX(INDIRECT("'WCM Calibration Final'!$F$1:$F$2000"),'Calculations'!$EM213)="","",TRIM(INDEX(INDIRECT("'WCM Calibration Final'!$F$1:$F$2000"),'Calculations'!$EM213)&amp;"")),"")))</x:f>
      </x:c>
      <x:c r="HO213" t="str">
        <x:f>'Calculations'!HF213</x:f>
      </x:c>
      <x:c r="HP213" t="str">
        <x:f>IF('Calculations'!HO213="","",IF('Calculations'!HO213="!AMBIG","!AMBIG",IF(COUNTIF('Calculations'!$HE$13:$HE$512,"="&amp;SUBSTITUTE(SUBSTITUTE(SUBSTITUTE('Calculations'!HO213,"~","~~"),"*","~*"),"?","~?"))&gt;1,"!AMBIG",IFERROR(INDEX('Calculations'!$HF$13:$HF$512,MATCH('Calculations'!HO213,'Calculations'!$HE$13:$HE$512,0)),""))))</x:f>
      </x:c>
      <x:c r="HQ213" t="str">
        <x:f>IF('Calculations'!HP213="","",IF('Calculations'!HP213="!AMBIG","!AMBIG",IF(COUNTIF('Calculations'!$HE$13:$HE$512,"="&amp;SUBSTITUTE(SUBSTITUTE(SUBSTITUTE('Calculations'!HP213,"~","~~"),"*","~*"),"?","~?"))&gt;1,"!AMBIG",IFERROR(INDEX('Calculations'!$HF$13:$HF$512,MATCH('Calculations'!HP213,'Calculations'!$HE$13:$HE$512,0)),""))))</x:f>
      </x:c>
      <x:c r="HR213" t="str">
        <x:f>IF('Calculations'!HQ213="","",IF('Calculations'!HQ213="!AMBIG","!AMBIG",IF(COUNTIF('Calculations'!$HE$13:$HE$512,"="&amp;SUBSTITUTE(SUBSTITUTE(SUBSTITUTE('Calculations'!HQ213,"~","~~"),"*","~*"),"?","~?"))&gt;1,"!AMBIG",IFERROR(INDEX('Calculations'!$HF$13:$HF$512,MATCH('Calculations'!HQ213,'Calculations'!$HE$13:$HE$512,0)),""))))</x:f>
      </x:c>
      <x:c r="HS213" t="str">
        <x:f>IF('Calculations'!HR213="","",IF('Calculations'!HR213="!AMBIG","!AMBIG",IF(COUNTIF('Calculations'!$HE$13:$HE$512,"="&amp;SUBSTITUTE(SUBSTITUTE(SUBSTITUTE('Calculations'!HR213,"~","~~"),"*","~*"),"?","~?"))&gt;1,"!AMBIG",IFERROR(INDEX('Calculations'!$HF$13:$HF$512,MATCH('Calculations'!HR213,'Calculations'!$HE$13:$HE$512,0)),""))))</x:f>
      </x:c>
      <x:c r="HT213" t="str">
        <x:f>IF('Calculations'!HS213="","",IF('Calculations'!HS213="!AMBIG","!AMBIG",IF(COUNTIF('Calculations'!$HE$13:$HE$512,"="&amp;SUBSTITUTE(SUBSTITUTE(SUBSTITUTE('Calculations'!HS213,"~","~~"),"*","~*"),"?","~?"))&gt;1,"!AMBIG",IFERROR(INDEX('Calculations'!$HF$13:$HF$512,MATCH('Calculations'!HS213,'Calculations'!$HE$13:$HE$512,0)),""))))</x:f>
      </x:c>
      <x:c r="HU213" t="str">
        <x:f>IF('Calculations'!HT213="","",IF('Calculations'!HT213="!AMBIG","!AMBIG",IF(COUNTIF('Calculations'!$HE$13:$HE$512,"="&amp;SUBSTITUTE(SUBSTITUTE(SUBSTITUTE('Calculations'!HT213,"~","~~"),"*","~*"),"?","~?"))&gt;1,"!AMBIG",IFERROR(INDEX('Calculations'!$HF$13:$HF$512,MATCH('Calculations'!HT213,'Calculations'!$HE$13:$HE$512,0)),""))))</x:f>
      </x:c>
      <x:c r="HV213" t="str">
        <x:f>IF('Calculations'!HU213="","",IF('Calculations'!HU213="!AMBIG","!AMBIG",IF(COUNTIF('Calculations'!$HE$13:$HE$512,"="&amp;SUBSTITUTE(SUBSTITUTE(SUBSTITUTE('Calculations'!HU213,"~","~~"),"*","~*"),"?","~?"))&gt;1,"!AMBIG",IFERROR(INDEX('Calculations'!$HF$13:$HF$512,MATCH('Calculations'!HU213,'Calculations'!$HE$13:$HE$512,0)),""))))</x:f>
      </x:c>
      <x:c r="HW213" t="str">
        <x:f>IF('Calculations'!HV213="","",IF('Calculations'!HV213="!AMBIG","!AMBIG",IF(COUNTIF('Calculations'!$HE$13:$HE$512,"="&amp;SUBSTITUTE(SUBSTITUTE(SUBSTITUTE('Calculations'!HV213,"~","~~"),"*","~*"),"?","~?"))&gt;1,"!AMBIG",IFERROR(INDEX('Calculations'!$HF$13:$HF$512,MATCH('Calculations'!HV213,'Calculations'!$HE$13:$HE$512,0)),""))))</x:f>
      </x:c>
      <x:c r="HX213" t="str">
        <x:f>IF('Calculations'!HW213="","",IF('Calculations'!HW213="!AMBIG","!AMBIG",IF(COUNTIF('Calculations'!$HE$13:$HE$512,"="&amp;SUBSTITUTE(SUBSTITUTE(SUBSTITUTE('Calculations'!HW213,"~","~~"),"*","~*"),"?","~?"))&gt;1,"!AMBIG",IFERROR(INDEX('Calculations'!$HF$13:$HF$512,MATCH('Calculations'!HW213,'Calculations'!$HE$13:$HE$512,0)),""))))</x:f>
      </x:c>
      <x:c r="HY213" t="str">
        <x:f>IF('Calculations'!HX213="","",IF('Calculations'!HX213="!AMBIG","!AMBIG",IF(COUNTIF('Calculations'!$HE$13:$HE$512,"="&amp;SUBSTITUTE(SUBSTITUTE(SUBSTITUTE('Calculations'!HX213,"~","~~"),"*","~*"),"?","~?"))&gt;1,"!AMBIG",IFERROR(INDEX('Calculations'!$HF$13:$HF$512,MATCH('Calculations'!HX213,'Calculations'!$HE$13:$HE$512,0)),""))))</x:f>
      </x:c>
      <x:c r="HZ213" t="str">
        <x:f>IF('Calculations'!HY213="","",IF('Calculations'!HY213="!AMBIG","!AMBIG",IF(COUNTIF('Calculations'!$HE$13:$HE$512,"="&amp;SUBSTITUTE(SUBSTITUTE(SUBSTITUTE('Calculations'!HY213,"~","~~"),"*","~*"),"?","~?"))&gt;1,"!AMBIG",IFERROR(INDEX('Calculations'!$HF$13:$HF$512,MATCH('Calculations'!HY213,'Calculations'!$HE$13:$HE$512,0)),""))))</x:f>
      </x:c>
      <x:c r="IA213" t="str">
        <x:f>IF('Calculations'!HZ213="","",IF('Calculations'!HZ213="!AMBIG","!AMBIG",IF(COUNTIF('Calculations'!$HE$13:$HE$512,"="&amp;SUBSTITUTE(SUBSTITUTE(SUBSTITUTE('Calculations'!HZ213,"~","~~"),"*","~*"),"?","~?"))&gt;1,"!AMBIG",IFERROR(INDEX('Calculations'!$HF$13:$HF$512,MATCH('Calculations'!HZ213,'Calculations'!$HE$13:$HE$512,0)),""))))</x:f>
      </x:c>
      <x:c r="IB213" t="str">
        <x:f>IF('Calculations'!IA213="","",IF('Calculations'!IA213="!AMBIG","!AMBIG",IF(COUNTIF('Calculations'!$HE$13:$HE$512,"="&amp;SUBSTITUTE(SUBSTITUTE(SUBSTITUTE('Calculations'!IA213,"~","~~"),"*","~*"),"?","~?"))&gt;1,"!AMBIG",IFERROR(INDEX('Calculations'!$HF$13:$HF$512,MATCH('Calculations'!IA213,'Calculations'!$HE$13:$HE$512,0)),""))))</x:f>
      </x:c>
      <x:c r="IC213" t="str">
        <x:f>IF('Calculations'!IB213="","",IF('Calculations'!IB213="!AMBIG","!AMBIG",IF(COUNTIF('Calculations'!$HE$13:$HE$512,"="&amp;SUBSTITUTE(SUBSTITUTE(SUBSTITUTE('Calculations'!IB213,"~","~~"),"*","~*"),"?","~?"))&gt;1,"!AMBIG",IFERROR(INDEX('Calculations'!$HF$13:$HF$512,MATCH('Calculations'!IB213,'Calculations'!$HE$13:$HE$512,0)),""))))</x:f>
      </x:c>
      <x:c r="ID213" t="str">
        <x:f>IF('Calculations'!IC213="","",IF('Calculations'!IC213="!AMBIG","!AMBIG",IF(COUNTIF('Calculations'!$HE$13:$HE$512,"="&amp;SUBSTITUTE(SUBSTITUTE(SUBSTITUTE('Calculations'!IC213,"~","~~"),"*","~*"),"?","~?"))&gt;1,"!AMBIG",IFERROR(INDEX('Calculations'!$HF$13:$HF$512,MATCH('Calculations'!IC213,'Calculations'!$HE$13:$HE$512,0)),""))))</x:f>
      </x:c>
      <x:c r="IE213" t="str">
        <x:f>IF('Calculations'!ID213="","",IF('Calculations'!ID213="!AMBIG","!AMBIG",IF(COUNTIF('Calculations'!$HE$13:$HE$512,"="&amp;SUBSTITUTE(SUBSTITUTE(SUBSTITUTE('Calculations'!ID213,"~","~~"),"*","~*"),"?","~?"))&gt;1,"!AMBIG",IFERROR(INDEX('Calculations'!$HF$13:$HF$512,MATCH('Calculations'!ID213,'Calculations'!$HE$13:$HE$512,0)),""))))</x:f>
      </x:c>
      <x:c r="IF213" t="str">
        <x:f>IF('Calculations'!IE213="","",IF('Calculations'!IE213="!AMBIG","!AMBIG",IF(COUNTIF('Calculations'!$HE$13:$HE$512,"="&amp;SUBSTITUTE(SUBSTITUTE(SUBSTITUTE('Calculations'!IE213,"~","~~"),"*","~*"),"?","~?"))&gt;1,"!AMBIG",IFERROR(INDEX('Calculations'!$HF$13:$HF$512,MATCH('Calculations'!IE213,'Calculations'!$HE$13:$HE$512,0)),""))))</x:f>
      </x:c>
      <x:c r="IG213" t="str">
        <x:f>IF('Calculations'!IF213="","",IF('Calculations'!IF213="!AMBIG","!AMBIG",IF(COUNTIF('Calculations'!$HE$13:$HE$512,"="&amp;SUBSTITUTE(SUBSTITUTE(SUBSTITUTE('Calculations'!IF213,"~","~~"),"*","~*"),"?","~?"))&gt;1,"!AMBIG",IFERROR(INDEX('Calculations'!$HF$13:$HF$512,MATCH('Calculations'!IF213,'Calculations'!$HE$13:$HE$512,0)),""))))</x:f>
      </x:c>
      <x:c r="IH213" t="str">
        <x:f>IF('Calculations'!IG213="","",IF('Calculations'!IG213="!AMBIG","!AMBIG",IF(COUNTIF('Calculations'!$HE$13:$HE$512,"="&amp;SUBSTITUTE(SUBSTITUTE(SUBSTITUTE('Calculations'!IG213,"~","~~"),"*","~*"),"?","~?"))&gt;1,"!AMBIG",IFERROR(INDEX('Calculations'!$HF$13:$HF$512,MATCH('Calculations'!IG213,'Calculations'!$HE$13:$HE$512,0)),""))))</x:f>
      </x:c>
      <x:c r="II213" t="str">
        <x:f>IF('Calculations'!IH213="","",IF('Calculations'!IH213="!AMBIG","!AMBIG",IF(COUNTIF('Calculations'!$HE$13:$HE$512,"="&amp;SUBSTITUTE(SUBSTITUTE(SUBSTITUTE('Calculations'!IH213,"~","~~"),"*","~*"),"?","~?"))&gt;1,"!AMBIG",IFERROR(INDEX('Calculations'!$HF$13:$HF$512,MATCH('Calculations'!IH213,'Calculations'!$HE$13:$HE$512,0)),""))))</x:f>
      </x:c>
      <x:c r="IJ213" t="str">
        <x:f>IF('Calculations'!EM213="","",IF('Calculations'!$EF$2="All",'Calculations'!HM213,IF('Calculations'!HL213=1,"",IFERROR(IF(MATCH('Calculations'!$EF$2,'Calculations'!HO213:II213,0)=1,'Calculations'!HE213,INDEX('Calculations'!HO213:II213,1,MATCH('Calculations'!$EF$2,'Calculations'!HO213:II213,0)-1)),""))))</x:f>
      </x:c>
      <x:c r="IK213" t="n">
        <x:f>IF(AND('Calculations'!EM213&lt;&gt;"",'Calculations'!$EF$2&lt;&gt;"All",'Calculations'!HF213='Calculations'!$EF$2,'Calculations'!HL213=0,'Calculations'!JD213&gt;0),MAX('Calculations'!$IK$12:IK212)+1,0)</x:f>
        <x:v>0</x:v>
      </x:c>
      <x:c r="JA213" t="n">
        <x:f>IF(OR(IFERROR(INDIRECT("'WCM Calibration Final'!$A$213")&lt;&gt;"",FALSE),IFERROR(INDIRECT("'WCM Calibration Final'!$B$213")&lt;&gt;"",FALSE),IFERROR(INDIRECT("'WCM Calibration Final'!$C$213")&lt;&gt;"",FALSE)),213,0)</x:f>
        <x:v>0</x:v>
      </x:c>
      <x:c r="JB213" t="n">
        <x:f>'Calculations'!JB212+IF('Calculations'!JA213&gt;0,1,0)</x:f>
        <x:v>0</x:v>
      </x:c>
      <x:c r="JC213" t="n">
        <x:f>IF(OR('Calculations'!HF213="",'Calculations'!HF213="!AMBIG"),0,IF('Dashboard'!$B$7="All",1,COUNTIFS('Calculations'!$HO$13:$HO$512,"="&amp;SUBSTITUTE(SUBSTITUTE(SUBSTITUTE('Calculations'!HF213,"~","~~"),"*","~*"),"?","~?"),'Calculations'!$HN$13:$HN$512,"="&amp;SUBSTITUTE(SUBSTITUTE(SUBSTITUTE('Dashboard'!$B$7,"~","~~"),"*","~*"),"?","~?"))+COUNTIFS('Calculations'!$HP$13:$HP$512,"="&amp;SUBSTITUTE(SUBSTITUTE(SUBSTITUTE('Calculations'!HF213,"~","~~"),"*","~*"),"?","~?"),'Calculations'!$HN$13:$HN$512,"="&amp;SUBSTITUTE(SUBSTITUTE(SUBSTITUTE('Dashboard'!$B$7,"~","~~"),"*","~*"),"?","~?"))+COUNTIFS('Calculations'!$HQ$13:$HQ$512,"="&amp;SUBSTITUTE(SUBSTITUTE(SUBSTITUTE('Calculations'!HF213,"~","~~"),"*","~*"),"?","~?"),'Calculations'!$HN$13:$HN$512,"="&amp;SUBSTITUTE(SUBSTITUTE(SUBSTITUTE('Dashboard'!$B$7,"~","~~"),"*","~*"),"?","~?"))+COUNTIFS('Calculations'!$HR$13:$HR$512,"="&amp;SUBSTITUTE(SUBSTITUTE(SUBSTITUTE('Calculations'!HF213,"~","~~"),"*","~*"),"?","~?"),'Calculations'!$HN$13:$HN$512,"="&amp;SUBSTITUTE(SUBSTITUTE(SUBSTITUTE('Dashboard'!$B$7,"~","~~"),"*","~*"),"?","~?"))+COUNTIFS('Calculations'!$HS$13:$HS$512,"="&amp;SUBSTITUTE(SUBSTITUTE(SUBSTITUTE('Calculations'!HF213,"~","~~"),"*","~*"),"?","~?"),'Calculations'!$HN$13:$HN$512,"="&amp;SUBSTITUTE(SUBSTITUTE(SUBSTITUTE('Dashboard'!$B$7,"~","~~"),"*","~*"),"?","~?"))+COUNTIFS('Calculations'!$HT$13:$HT$512,"="&amp;SUBSTITUTE(SUBSTITUTE(SUBSTITUTE('Calculations'!HF213,"~","~~"),"*","~*"),"?","~?"),'Calculations'!$HN$13:$HN$512,"="&amp;SUBSTITUTE(SUBSTITUTE(SUBSTITUTE('Dashboard'!$B$7,"~","~~"),"*","~*"),"?","~?"))+COUNTIFS('Calculations'!$HU$13:$HU$512,"="&amp;SUBSTITUTE(SUBSTITUTE(SUBSTITUTE('Calculations'!HF213,"~","~~"),"*","~*"),"?","~?"),'Calculations'!$HN$13:$HN$512,"="&amp;SUBSTITUTE(SUBSTITUTE(SUBSTITUTE('Dashboard'!$B$7,"~","~~"),"*","~*"),"?","~?"))+COUNTIFS('Calculations'!$HV$13:$HV$512,"="&amp;SUBSTITUTE(SUBSTITUTE(SUBSTITUTE('Calculations'!HF213,"~","~~"),"*","~*"),"?","~?"),'Calculations'!$HN$13:$HN$512,"="&amp;SUBSTITUTE(SUBSTITUTE(SUBSTITUTE('Dashboard'!$B$7,"~","~~"),"*","~*"),"?","~?"))+COUNTIFS('Calculations'!$HW$13:$HW$512,"="&amp;SUBSTITUTE(SUBSTITUTE(SUBSTITUTE('Calculations'!HF213,"~","~~"),"*","~*"),"?","~?"),'Calculations'!$HN$13:$HN$512,"="&amp;SUBSTITUTE(SUBSTITUTE(SUBSTITUTE('Dashboard'!$B$7,"~","~~"),"*","~*"),"?","~?"))+COUNTIFS('Calculations'!$HX$13:$HX$512,"="&amp;SUBSTITUTE(SUBSTITUTE(SUBSTITUTE('Calculations'!HF213,"~","~~"),"*","~*"),"?","~?"),'Calculations'!$HN$13:$HN$512,"="&amp;SUBSTITUTE(SUBSTITUTE(SUBSTITUTE('Dashboard'!$B$7,"~","~~"),"*","~*"),"?","~?"))+COUNTIFS('Calculations'!$HY$13:$HY$512,"="&amp;SUBSTITUTE(SUBSTITUTE(SUBSTITUTE('Calculations'!HF213,"~","~~"),"*","~*"),"?","~?"),'Calculations'!$HN$13:$HN$512,"="&amp;SUBSTITUTE(SUBSTITUTE(SUBSTITUTE('Dashboard'!$B$7,"~","~~"),"*","~*"),"?","~?"))+COUNTIFS('Calculations'!$HZ$13:$HZ$512,"="&amp;SUBSTITUTE(SUBSTITUTE(SUBSTITUTE('Calculations'!HF213,"~","~~"),"*","~*"),"?","~?"),'Calculations'!$HN$13:$HN$512,"="&amp;SUBSTITUTE(SUBSTITUTE(SUBSTITUTE('Dashboard'!$B$7,"~","~~"),"*","~*"),"?","~?"))+COUNTIFS('Calculations'!$IA$13:$IA$512,"="&amp;SUBSTITUTE(SUBSTITUTE(SUBSTITUTE('Calculations'!HF213,"~","~~"),"*","~*"),"?","~?"),'Calculations'!$HN$13:$HN$512,"="&amp;SUBSTITUTE(SUBSTITUTE(SUBSTITUTE('Dashboard'!$B$7,"~","~~"),"*","~*"),"?","~?"))+COUNTIFS('Calculations'!$IB$13:$IB$512,"="&amp;SUBSTITUTE(SUBSTITUTE(SUBSTITUTE('Calculations'!HF213,"~","~~"),"*","~*"),"?","~?"),'Calculations'!$HN$13:$HN$512,"="&amp;SUBSTITUTE(SUBSTITUTE(SUBSTITUTE('Dashboard'!$B$7,"~","~~"),"*","~*"),"?","~?"))+COUNTIFS('Calculations'!$IC$13:$IC$512,"="&amp;SUBSTITUTE(SUBSTITUTE(SUBSTITUTE('Calculations'!HF213,"~","~~"),"*","~*"),"?","~?"),'Calculations'!$HN$13:$HN$512,"="&amp;SUBSTITUTE(SUBSTITUTE(SUBSTITUTE('Dashboard'!$B$7,"~","~~"),"*","~*"),"?","~?"))+COUNTIFS('Calculations'!$ID$13:$ID$512,"="&amp;SUBSTITUTE(SUBSTITUTE(SUBSTITUTE('Calculations'!HF213,"~","~~"),"*","~*"),"?","~?"),'Calculations'!$HN$13:$HN$512,"="&amp;SUBSTITUTE(SUBSTITUTE(SUBSTITUTE('Dashboard'!$B$7,"~","~~"),"*","~*"),"?","~?"))+COUNTIFS('Calculations'!$IE$13:$IE$512,"="&amp;SUBSTITUTE(SUBSTITUTE(SUBSTITUTE('Calculations'!HF213,"~","~~"),"*","~*"),"?","~?"),'Calculations'!$HN$13:$HN$512,"="&amp;SUBSTITUTE(SUBSTITUTE(SUBSTITUTE('Dashboard'!$B$7,"~","~~"),"*","~*"),"?","~?"))+COUNTIFS('Calculations'!$IF$13:$IF$512,"="&amp;SUBSTITUTE(SUBSTITUTE(SUBSTITUTE('Calculations'!HF213,"~","~~"),"*","~*"),"?","~?"),'Calculations'!$HN$13:$HN$512,"="&amp;SUBSTITUTE(SUBSTITUTE(SUBSTITUTE('Dashboard'!$B$7,"~","~~"),"*","~*"),"?","~?"))+COUNTIFS('Calculations'!$IG$13:$IG$512,"="&amp;SUBSTITUTE(SUBSTITUTE(SUBSTITUTE('Calculations'!HF213,"~","~~"),"*","~*"),"?","~?"),'Calculations'!$HN$13:$HN$512,"="&amp;SUBSTITUTE(SUBSTITUTE(SUBSTITUTE('Dashboard'!$B$7,"~","~~"),"*","~*"),"?","~?"))+COUNTIFS('Calculations'!$IH$13:$IH$512,"="&amp;SUBSTITUTE(SUBSTITUTE(SUBSTITUTE('Calculations'!HF213,"~","~~"),"*","~*"),"?","~?"),'Calculations'!$HN$13:$HN$512,"="&amp;SUBSTITUTE(SUBSTITUTE(SUBSTITUTE('Dashboard'!$B$7,"~","~~"),"*","~*"),"?","~?"))))</x:f>
        <x:v>0</x:v>
      </x:c>
      <x:c r="JD213" t="n">
        <x:f>IF('Calculations'!EM213="",0,IF('Dashboard'!$B$7="All",1,IF('Calculations'!HN213='Dashboard'!$B$7,1,0)+IFERROR(INDEX('Calculations'!$JC$13:$JC$512,MATCH('Calculations'!HE213,'Calculations'!$HF$13:$HF$512,0)),0)))</x:f>
        <x:v>0</x:v>
      </x:c>
      <x:c r="JE213" t="n">
        <x:f>IF(AND('Calculations'!EM213&lt;&gt;"",'Calculations'!$JJ$2&lt;&gt;"All",'Calculations'!$JJ$2&lt;&gt;"",'Calculations'!HF213='Calculations'!$JJ$2,'Calculations'!HL213=0,'Calculations'!JD213&gt;0),MAX('Calculations'!$JE$12:JE212)+1,0)</x:f>
        <x:v>0</x:v>
      </x:c>
      <x:c r="JF213" t="str">
        <x:f>IF('Calculations'!EM213="","",IFERROR(IF(INDEX(INDIRECT("'WCM Calibration Final'!$G$1:$G$2000"),'Calculations'!$EM213)="","",TRIM(INDEX(INDIRECT("'WCM Calibration Final'!$G$1:$G$2000"),'Calculations'!$EM213)&amp;"")),""))</x:f>
      </x:c>
      <x:c r="JQ213" t="n">
        <x:f>IF(OR('Calculations'!BM213=0,NOT('Calculations'!$AG$2),'Calculations'!$AG$8&gt;0),0,IF(OR('Dashboard'!$B$7="All",'Calculations'!HN213='Dashboard'!$B$7),IF('Calculations'!$JJ$2="All",1,IF(AND('Calculations'!HF213='Calculations'!$JJ$2,'Calculations'!HL213=0),1,0)),0))</x:f>
        <x:v>0</x:v>
      </x:c>
    </x:row>
    <x:row r="214">
      <x:c r="AF214" s="4" t="str">
        <x:v>4 Needs impr.</x:v>
      </x:c>
      <x:c r="AG214" s="4" t="n">
        <x:f>COUNTIFS('Calculations'!$BN$13:$BN$512,1,'Calculations'!$BO$13:$BO$512,4)</x:f>
        <x:v>0</x:v>
      </x:c>
      <x:c r="AH214" s="4" t="e">
        <x:f>IF(SUM('Calculations'!$AG$211:$AG$214)=0,NA(),'Calculations'!AG214/SUM('Calculations'!$AG$211:$AG$214))</x:f>
        <x:v>#N/A</x:v>
      </x:c>
      <x:c r="AI214" s="4" t="n">
        <x:f>IF(COUNT('Dashboard'!T143)=0,NA(),IF(AND('Dashboard'!T143&gt;=0,'Dashboard'!T143&lt;=1),'Dashboard'!T143,NA()))</x:f>
        <x:v>0.07</x:v>
      </x:c>
      <x:c r="AJ214" s="4"/>
      <x:c r="AK214" s="4"/>
      <x:c r="AL214" s="4"/>
      <x:c r="AM214" s="4"/>
      <x:c r="AN214" s="4"/>
      <x:c r="AO214" s="4"/>
      <x:c r="AP214" s="4"/>
      <x:c r="AQ214" s="4"/>
      <x:c r="AR214" s="4"/>
      <x:c r="AS214" s="4"/>
      <x:c r="AT214" s="4" t="str">
        <x:f>IFERROR('Calculations'!AG214&amp;" · "&amp;TEXT('Calculations'!AH214,"0.0%"),"")</x:f>
      </x:c>
      <x:c r="AU214" s="4"/>
      <x:c r="AV214" s="4"/>
      <x:c r="AW214" s="4"/>
      <x:c r="AX214" s="4"/>
      <x:c r="AY214" s="4"/>
      <x:c r="AZ214" s="4"/>
      <x:c r="BA214" s="4"/>
      <x:c r="BB214" s="4"/>
      <x:c r="BC214" s="4"/>
      <x:c r="BD214" s="4"/>
      <x:c r="BE214" s="4"/>
      <x:c r="BF214" s="4"/>
      <x:c r="BG214" s="4"/>
      <x:c r="BH214" s="4"/>
      <x:c r="BI214" s="4"/>
      <x:c r="BJ214" s="4"/>
      <x:c r="BK214" s="4"/>
      <x:c r="BL214" s="4"/>
      <x:c r="BM214" s="4" t="n">
        <x:f>IF('Calculations'!$EM214="",0,IF(OR(IFERROR(INDEX(INDIRECT("'WCM Calibration Final'!$A$1:$A$2000"),'Calculations'!$EM214)&lt;&gt;"",FALSE),IFERROR(INDEX(INDIRECT("'WCM Calibration Final'!$B$1:$B$2000"),'Calculations'!$EM214)&lt;&gt;"",FALSE),IFERROR(INDEX(INDIRECT("'WCM Calibration Final'!$C$1:$C$2000"),'Calculations'!$EM214)&lt;&gt;"",FALSE)),1,0))</x:f>
        <x:v>0</x:v>
      </x:c>
      <x:c r="BN214" s="4" t="n">
        <x:f>IF(AND('Calculations'!BM214=1,'Calculations'!$AG$2,'Calculations'!$EN214=1),1,0)</x:f>
        <x:v>0</x:v>
      </x:c>
      <x:c r="BO214" s="4" t="str">
        <x:f>IF('Calculations'!BM214=0,"",IFERROR(IF(AND(VALUE(INDEX(INDIRECT("'WCM Calibration Final'!$K$1:$K$2000"),'Calculations'!$EM214))&gt;=1,VALUE(INDEX(INDIRECT("'WCM Calibration Final'!$K$1:$K$2000"),'Calculations'!$EM214))&lt;=4,MOD(VALUE(INDEX(INDIRECT("'WCM Calibration Final'!$K$1:$K$2000"),'Calculations'!$EM214)),1)=0),VALUE(INDEX(INDIRECT("'WCM Calibration Final'!$K$1:$K$2000"),'Calculations'!$EM214)),""),""))</x:f>
      </x:c>
      <x:c r="BP214" s="4" t="str">
        <x:f>IF('Calculations'!BM214=0,"",IFERROR(IF(AND(VALUE(INDEX(INDIRECT("'WCM Calibration Final'!$L$1:$L$2000"),'Calculations'!$EM214))&gt;=1,VALUE(INDEX(INDIRECT("'WCM Calibration Final'!$L$1:$L$2000"),'Calculations'!$EM214))&lt;=4,MOD(VALUE(INDEX(INDIRECT("'WCM Calibration Final'!$L$1:$L$2000"),'Calculations'!$EM214)),1)=0),VALUE(INDEX(INDIRECT("'WCM Calibration Final'!$L$1:$L$2000"),'Calculations'!$EM214)),""),""))</x:f>
      </x:c>
      <x:c r="BQ214" s="4"/>
      <x:c r="BR214" s="4"/>
      <x:c r="BS214" s="4"/>
      <x:c r="BT214" s="4" t="n">
        <x:f>IF(AND('Calculations'!BM214=1,ISNUMBER('Calculations'!BO214),ISNUMBER('Calculations'!BP214)),1,0)</x:f>
        <x:v>0</x:v>
      </x:c>
      <x:c r="BU214" s="4" t="str">
        <x:f>IF('Calculations'!BM214=0,"",'Calculations'!$EO214)</x:f>
      </x:c>
      <x:c r="BV214" s="4" t="str">
        <x:f>IF('Calculations'!BM214=0,"",IFERROR(IF(OR(INDEX(INDIRECT("'WCM Calibration Final'!$H$1:$H$2000"),'Calculations'!$EM214)="MANAGING DIRECTOR",INDEX(INDIRECT("'WCM Calibration Final'!$H$1:$H$2000"),'Calculations'!$EM214)="DIRECTOR",INDEX(INDIRECT("'WCM Calibration Final'!$H$1:$H$2000"),'Calculations'!$EM214)="SENIOR VICE PRESIDENT",INDEX(INDIRECT("'WCM Calibration Final'!$H$1:$H$2000"),'Calculations'!$EM214)="VICE PRESIDENT",INDEX(INDIRECT("'WCM Calibration Final'!$H$1:$H$2000"),'Calculations'!$EM214)="ASSISTANT VICE PRESIDENT",INDEX(INDIRECT("'WCM Calibration Final'!$H$1:$H$2000"),'Calculations'!$EM214)="OFFICER"),UPPER(INDEX(INDIRECT("'WCM Calibration Final'!$H$1:$H$2000"),'Calculations'!$EM214)),"Other"),"Other"))</x:f>
      </x:c>
      <x:c r="BW214" s="4"/>
      <x:c r="BX214" s="4"/>
      <x:c r="BY214" s="4" t="n">
        <x:f>IF(AND('Calculations'!BM214=1,'Calculations'!BU214&lt;&gt;"",COUNTIF('Calculations'!$BU$12:BU214,'Calculations'!BU214)=1),MAX('Calculations'!$BY$11:BY213)+1,0)</x:f>
        <x:v>0</x:v>
      </x:c>
      <x:c r="BZ214" s="4" t="str">
        <x:f>IF('Dashboard'!$E$67="What",'Calculations'!BO214,'Calculations'!BP214)</x:f>
      </x:c>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t="str">
        <x:f>IF(203&gt;MAX('Calculations'!$HI$13:$HI$512),"",INDEX('Calculations'!$HN$13:$HN$512,MATCH(203,'Calculations'!$HI$13:$HI$512,0)))</x:f>
      </x:c>
      <x:c r="DB214" s="4" t="str">
        <x:f>IF(203&gt;MAX('Calculations'!$HH$13:$HH$512),"",INDEX('Calculations'!$HJ$13:$HJ$512,MATCH(203,'Calculations'!$HH$13:$HH$512,0)))</x:f>
      </x:c>
      <x:c r="DC214" s="4" t="str">
        <x:f>IF(ROW()-11&gt;MAX('Calculations'!$BY$13:$BY$512),"",INDEX('Calculations'!$BU$13:$BU$512,MATCH(ROW()-11,'Calculations'!$BY$13:$BY$512,0)))</x:f>
      </x:c>
      <x:c r="DD214" s="4" t="str">
        <x:f>IF(203&gt;MAX('Calculations'!$IK$13:$IK$512),"",INDEX('Calculations'!$HK$13:$HK$512,MATCH(203,'Calculations'!$IK$13:$IK$512,0)))</x:f>
      </x:c>
      <x:c r="DE214" s="4" t="str">
        <x:f>'Calculations'!DC214</x:f>
      </x:c>
      <x:c r="DF214" s="4" t="str">
        <x:f>IF('Calculations'!DE214="","",COUNTIFS('Calculations'!$BN$13:$BN$512,1,'Calculations'!$BU$13:$BU$512,'Calculations'!DE214))</x:f>
      </x:c>
      <x:c r="DG214" s="4" t="str">
        <x:f>IF('Calculations'!DE214="","",COUNTIFS('Calculations'!$BN$13:$BN$512,1,'Calculations'!$BU$13:$BU$512,'Calculations'!DE214,'Calculations'!$BT$13:$BT$512,1))</x:f>
      </x:c>
      <x:c r="DH214" s="4" t="str">
        <x:f>IF('Calculations'!DE214="","",'Calculations'!DF214-'Calculations'!DG214)</x:f>
      </x:c>
      <x:c r="DI214" s="4" t="str">
        <x:f>IF(OR('Calculations'!DE214="",'Calculations'!DF214=0),"",'Calculations'!DG214/'Calculations'!DF214)</x:f>
      </x:c>
      <x:c r="DJ214" s="4" t="str">
        <x:f>IF('Calculations'!DE214="","",COUNTIFS('Calculations'!$BN$13:$BN$512,1,'Calculations'!$BU$13:$BU$512,'Calculations'!DE214,'Calculations'!$BT$13:$BT$512,1,'Calculations'!$EE$13:$EE$512,"High"))</x:f>
      </x:c>
      <x:c r="DK214" s="4" t="str">
        <x:f>IF('Calculations'!DE214="","",COUNTIFS('Calculations'!$BN$13:$BN$512,1,'Calculations'!$BU$13:$BU$512,'Calculations'!DE214,'Calculations'!$BT$13:$BT$512,1,'Calculations'!$EE$13:$EE$512,"Strong"))</x:f>
      </x:c>
      <x:c r="DL214" s="4" t="str">
        <x:f>IF('Calculations'!DE214="","",COUNTIFS('Calculations'!$BN$13:$BN$512,1,'Calculations'!$BU$13:$BU$512,'Calculations'!DE214,'Calculations'!$BT$13:$BT$512,1,'Calculations'!$EE$13:$EE$512,"Solid"))</x:f>
      </x:c>
      <x:c r="DM214" s="4" t="str">
        <x:f>IF('Calculations'!DE214="","",COUNTIFS('Calculations'!$BN$13:$BN$512,1,'Calculations'!$BU$13:$BU$512,'Calculations'!DE214,'Calculations'!$BT$13:$BT$512,1,'Calculations'!$EE$13:$EE$512,"Low"))</x:f>
      </x:c>
      <x:c r="DN214" s="4" t="str">
        <x:f>IF('Calculations'!DE214="","",COUNTIFS('Calculations'!$BN$13:$BN$512,1,'Calculations'!$BU$13:$BU$512,'Calculations'!DE214,'Calculations'!$EP$13:$EP$512,1))</x:f>
      </x:c>
      <x:c r="DO214" s="4" t="str">
        <x:f>IF(OR('Calculations'!DE214="",'Calculations'!DG214=0),"",('Calculations'!DJ214+'Calculations'!DK214)/'Calculations'!DG214)</x:f>
      </x:c>
      <x:c r="DP214" s="4" t="n">
        <x:f>IF(AND('Calculations'!DE214&lt;&gt;"",'Calculations'!DF214&gt;0),COUNTIF('Calculations'!$DF$12:DF214,"&gt;0"),0)</x:f>
        <x:v>0</x:v>
      </x:c>
      <x:c r="DQ214" s="4" t="str">
        <x:f>IF(203&gt;MAX('Calculations'!$HH$13:$HH$512),"",INDEX('Calculations'!$HF$13:$HF$512,MATCH(203,'Calculations'!$HH$13:$HH$512,0)))</x:f>
      </x:c>
      <x:c r="DR214" s="4" t="str">
        <x:f>IF(203&gt;MAX('Calculations'!$IK$13:$IK$512),"",INDEX('Calculations'!$HE$13:$HE$512,MATCH(203,'Calculations'!$IK$13:$IK$512,0)))</x:f>
      </x:c>
      <x:c r="DS214" s="4"/>
      <x:c r="DT214" s="4"/>
      <x:c r="DU214" s="4"/>
      <x:c r="DV214" s="4"/>
      <x:c r="DW214" s="4"/>
      <x:c r="DX214" s="4"/>
      <x:c r="DY214" s="4"/>
      <x:c r="DZ214" s="4"/>
      <x:c r="EA214" s="4"/>
      <x:c r="EB214" s="4"/>
      <x:c r="EC214" s="4"/>
      <x:c r="ED214" s="4"/>
      <x:c r="EE214" s="4" t="str">
        <x:f>IF('Calculations'!BT214=0,"Not Rated",IF(OR('Calculations'!BO214&gt;=4,'Calculations'!BP214&gt;=4),"Low",IF('Calculations'!BO214+'Calculations'!BP214&lt;=3,"High",IF('Calculations'!BO214+'Calculations'!BP214&lt;=4,"Strong","Solid"))))</x:f>
        <x:v>Not Rated</x:v>
      </x:c>
      <x:c r="EF214" s="4"/>
      <x:c r="EG214" s="4"/>
      <x:c r="EH214" s="4"/>
      <x:c r="EI214" s="4"/>
      <x:c r="EJ214" s="4"/>
      <x:c r="EK214" s="4"/>
      <x:c r="EL214" s="4"/>
      <x:c r="EM214" s="4" t="str">
        <x:f>IF(202&gt;'Calculations'!$JB$2000,"",INDEX('Calculations'!$JA$12:$JA$2000,MATCH(202,'Calculations'!$JB$12:$JB$2000,0)))</x:f>
      </x:c>
      <x:c r="EN214" s="4" t="n">
        <x:f>IF(OR('Calculations'!EM214="",'Calculations'!$AG$8&gt;0,AND('Calculations'!$EF$2&lt;&gt;"All",'Calculations'!HE214='Calculations'!$EF$2),AND('Calculations'!$EF$3&lt;&gt;"All",'Calculations'!HE214='Calculations'!$EF$3)),0,IF(OR('Dashboard'!$B$7="All",'Calculations'!HN214='Dashboard'!$B$7),IF('Calculations'!$EF$2="All",1,IF('Calculations'!HL214&gt;0,0,IF(COUNTIF('Calculations'!HO214:II214,"="&amp;SUBSTITUTE(SUBSTITUTE(SUBSTITUTE('Calculations'!$EF$2,"~","~~"),"*","~*"),"?","~?"))=0,0,IF('Calculations'!$EF$3="All",1,IF(COUNTIF('Calculations'!HO214:II214,"="&amp;SUBSTITUTE(SUBSTITUTE(SUBSTITUTE('Calculations'!$EF$3,"~","~~"),"*","~*"),"?","~?"))&gt;0,1,0))))),0))</x:f>
        <x:v>0</x:v>
      </x:c>
      <x:c r="EO214" s="4" t="str">
        <x:f>IF('Calculations'!IJ214="","",IF('Calculations'!IJ214="!UNRESOLVED","Unresolved hierarchy",IFERROR(INDEX('Calculations'!$HK$13:$HK$512,MATCH('Calculations'!IJ214,'Calculations'!$HE$13:$HE$512,0)),IFERROR(INDEX('Calculations'!$HJ$13:$HJ$512,MATCH('Calculations'!IJ214,'Calculations'!$HF$13:$HF$512,0)),'Calculations'!IJ214))))</x:f>
      </x:c>
      <x:c r="EP214" s="4" t="n">
        <x:f>IF(AND('Calculations'!EM214&lt;&gt;"",'Calculations'!HF214='Calculations'!IJ214),1,0)</x:f>
        <x:v>0</x:v>
      </x:c>
      <x:c r="EQ214" s="4"/>
      <x:c r="ER214" s="4"/>
      <x:c r="ES214" s="4"/>
      <x:c r="ET214" s="4"/>
      <x:c r="EU214" s="4"/>
      <x:c r="EV214" s="4"/>
      <x:c r="EW214" s="4"/>
      <x:c r="EX214" s="4"/>
      <x:c r="EY214" s="4"/>
      <x:c r="EZ214" s="4"/>
      <x:c r="FA214" s="4"/>
      <x:c r="FB214" s="4"/>
      <x:c r="FC214" s="4"/>
      <x:c r="FD214" s="4"/>
      <x:c r="FE214" s="4"/>
      <x:c r="FF214" s="4"/>
      <x:c r="FG214" s="4"/>
      <x:c r="FH214" s="4"/>
      <x:c r="FI214" s="4"/>
      <x:c r="FJ214" s="4"/>
      <x:c r="FK214" s="4"/>
      <x:c r="FL214" s="4"/>
      <x:c r="FM214" s="4"/>
      <x:c r="FN214" s="4"/>
      <x:c r="FO214" s="4"/>
      <x:c r="HE214" t="str">
        <x:f>IF('Calculations'!EM214="","",IF(IFERROR(IF(INDEX(INDIRECT("'WCM Calibration Final'!$A$1:$A$2000"),'Calculations'!$EM214)="","",TRIM(INDEX(INDIRECT("'WCM Calibration Final'!$A$1:$A$2000"),'Calculations'!$EM214)&amp;"")),"")&lt;&gt;"","G:"&amp;IFERROR(TEXT(1*INDEX(INDIRECT("'WCM Calibration Final'!$A$1:$A$2000"),'Calculations'!$EM214),"0"),UPPER(IFERROR(IF(INDEX(INDIRECT("'WCM Calibration Final'!$A$1:$A$2000"),'Calculations'!$EM214)="","",TRIM(INDEX(INDIRECT("'WCM Calibration Final'!$A$1:$A$2000"),'Calculations'!$EM214)&amp;"")),""))),IF(IFERROR(IF(INDEX(INDIRECT("'WCM Calibration Final'!$C$1:$C$2000"),'Calculations'!$EM214)="","",TRIM(INDEX(INDIRECT("'WCM Calibration Final'!$C$1:$C$2000"),'Calculations'!$EM214)&amp;"")),"")&lt;&gt;"","S:"&amp;UPPER(IFERROR(IF(INDEX(INDIRECT("'WCM Calibration Final'!$C$1:$C$2000"),'Calculations'!$EM214)="","",TRIM(INDEX(INDIRECT("'WCM Calibration Final'!$C$1:$C$2000"),'Calculations'!$EM214)&amp;"")),"")),"R:"&amp;'Calculations'!EM214)))</x:f>
      </x:c>
      <x:c r="HF214" t="str">
        <x:f>IF('Calculations'!EM214="","",IF(IFERROR(IF(INDEX(INDIRECT("'WCM Calibration Final'!$D$1:$D$2000"),'Calculations'!$EM214)="","",TRIM(INDEX(INDIRECT("'WCM Calibration Final'!$D$1:$D$2000"),'Calculations'!$EM214)&amp;"")),"")&lt;&gt;"","G:"&amp;IFERROR(TEXT(1*INDEX(INDIRECT("'WCM Calibration Final'!$D$1:$D$2000"),'Calculations'!$EM214),"0"),UPPER(IFERROR(IF(INDEX(INDIRECT("'WCM Calibration Final'!$D$1:$D$2000"),'Calculations'!$EM214)="","",TRIM(INDEX(INDIRECT("'WCM Calibration Final'!$D$1:$D$2000"),'Calculations'!$EM214)&amp;"")),""))),IF(IFERROR(IF(INDEX(INDIRECT("'WCM Calibration Final'!$E$1:$E$2000"),'Calculations'!$EM214)="","",TRIM(INDEX(INDIRECT("'WCM Calibration Final'!$E$1:$E$2000"),'Calculations'!$EM214)&amp;"")),"")="","",IF(COUNTIF('Calculations'!$HG$13:$HG$512,"="&amp;SUBSTITUTE(SUBSTITUTE(SUBSTITUTE(IFERROR(IF(INDEX(INDIRECT("'WCM Calibration Final'!$E$1:$E$2000"),'Calculations'!$EM214)="","",TRIM(INDEX(INDIRECT("'WCM Calibration Final'!$E$1:$E$2000"),'Calculations'!$EM214)&amp;"")),""),"~","~~"),"*","~*"),"?","~?"))=1,INDEX('Calculations'!$HE$13:$HE$512,MATCH(IFERROR(IF(INDEX(INDIRECT("'WCM Calibration Final'!$E$1:$E$2000"),'Calculations'!$EM214)="","",TRIM(INDEX(INDIRECT("'WCM Calibration Final'!$E$1:$E$2000"),'Calculations'!$EM214)&amp;"")),""),'Calculations'!$HG$13:$HG$512,0)),IF(COUNTIF('Calculations'!$HG$13:$HG$512,"="&amp;SUBSTITUTE(SUBSTITUTE(SUBSTITUTE(IFERROR(IF(INDEX(INDIRECT("'WCM Calibration Final'!$E$1:$E$2000"),'Calculations'!$EM214)="","",TRIM(INDEX(INDIRECT("'WCM Calibration Final'!$E$1:$E$2000"),'Calculations'!$EM214)&amp;"")),""),"~","~~"),"*","~*"),"?","~?"))&gt;1,"!AMBIG","X:"&amp;IFERROR(IF(INDEX(INDIRECT("'WCM Calibration Final'!$E$1:$E$2000"),'Calculations'!$EM214)="","",TRIM(INDEX(INDIRECT("'WCM Calibration Final'!$E$1:$E$2000"),'Calculations'!$EM214)&amp;"")),""))))))</x:f>
      </x:c>
      <x:c r="HG214" t="str">
        <x:f>IF('Calculations'!EM214="","",IFERROR(IF(INDEX(INDIRECT("'WCM Calibration Final'!$B$1:$B$2000"),'Calculations'!$EM214)="","",TRIM(INDEX(INDIRECT("'WCM Calibration Final'!$B$1:$B$2000"),'Calculations'!$EM214)&amp;"")),""))</x:f>
      </x:c>
      <x:c r="HH214" t="n">
        <x:f>IF(AND('Calculations'!JC214&gt;0,COUNTIF('Calculations'!$HF$12:HF214,"="&amp;SUBSTITUTE(SUBSTITUTE(SUBSTITUTE('Calculations'!HF214,"~","~~"),"*","~*"),"?","~?"))=1),MAX('Calculations'!$HH$12:HH213)+1,0)</x:f>
        <x:v>0</x:v>
      </x:c>
      <x:c r="HI214" t="n">
        <x:f>IF(AND('Calculations'!HN214&lt;&gt;"",COUNTIF('Calculations'!$HN$12:HN214,"="&amp;SUBSTITUTE(SUBSTITUTE(SUBSTITUTE('Calculations'!HN214,"~","~~"),"*","~*"),"?","~?"))=1),MAX('Calculations'!$HI$12:HI213)+1,0)</x:f>
        <x:v>0</x:v>
      </x:c>
      <x:c r="HJ214" t="str">
        <x:f>IF('Calculations'!HF214="","",IF(COUNTIF('Calculations'!$HE$13:$HE$512,"="&amp;SUBSTITUTE(SUBSTITUTE(SUBSTITUTE('Calculations'!HF214,"~","~~"),"*","~*"),"?","~?"))=1,INDEX('Calculations'!$HK$13:$HK$512,MATCH('Calculations'!HF214,'Calculations'!$HE$13:$HE$512,0)),IFERROR(IF(INDEX(INDIRECT("'WCM Calibration Final'!$E$1:$E$2000"),'Calculations'!$EM214)="","",TRIM(INDEX(INDIRECT("'WCM Calibration Final'!$E$1:$E$2000"),'Calculations'!$EM214)&amp;"")),"")&amp;" ["&amp;'Calculations'!HF214&amp;"]"))</x:f>
      </x:c>
      <x:c r="HK214" t="str">
        <x:f>IF('Calculations'!EM214="","",'Calculations'!HG214&amp;" ["&amp;'Calculations'!HE214&amp;"]")</x:f>
      </x:c>
      <x:c r="HL214" t="n">
        <x:f>IF('Calculations'!EM214="",0,IF(OR('Calculations'!II214&lt;&gt;"",COUNTIF('Calculations'!$HE$13:$HE$512,"="&amp;SUBSTITUTE(SUBSTITUTE(SUBSTITUTE('Calculations'!HE214,"~","~~"),"*","~*"),"?","~?"))&gt;1),1,0))</x:f>
        <x:v>0</x:v>
      </x:c>
      <x:c r="HM214" t="str">
        <x:f>IF('Calculations'!EM214="","",IF('Calculations'!HL214=1,"!UNRESOLVED",IF('Calculations'!IH214&lt;&gt;"",'Calculations'!IH214,IF('Calculations'!IG214&lt;&gt;"",'Calculations'!IG214,IF('Calculations'!IF214&lt;&gt;"",'Calculations'!IF214,IF('Calculations'!IE214&lt;&gt;"",'Calculations'!IE214,IF('Calculations'!ID214&lt;&gt;"",'Calculations'!ID214,IF('Calculations'!IC214&lt;&gt;"",'Calculations'!IC214,IF('Calculations'!IB214&lt;&gt;"",'Calculations'!IB214,IF('Calculations'!IA214&lt;&gt;"",'Calculations'!IA214,IF('Calculations'!HZ214&lt;&gt;"",'Calculations'!HZ214,IF('Calculations'!HY214&lt;&gt;"",'Calculations'!HY214,IF('Calculations'!HX214&lt;&gt;"",'Calculations'!HX214,IF('Calculations'!HW214&lt;&gt;"",'Calculations'!HW214,IF('Calculations'!HV214&lt;&gt;"",'Calculations'!HV214,IF('Calculations'!HU214&lt;&gt;"",'Calculations'!HU214,IF('Calculations'!HT214&lt;&gt;"",'Calculations'!HT214,IF('Calculations'!HS214&lt;&gt;"",'Calculations'!HS214,IF('Calculations'!HR214&lt;&gt;"",'Calculations'!HR214,IF('Calculations'!HQ214&lt;&gt;"",'Calculations'!HQ214,IF('Calculations'!HP214&lt;&gt;"",'Calculations'!HP214,IF('Calculations'!HO214&lt;&gt;"",'Calculations'!HO214,'Calculations'!HE214))))))))))))))))))))))</x:f>
      </x:c>
      <x:c r="HN214" t="str">
        <x:f>IF('Calculations'!EM214="","",IF(IFERROR(IF(INDEX(INDIRECT("'WCM Calibration Final'!$F$1:$F$2000"),'Calculations'!$EM214)="","",TRIM(INDEX(INDIRECT("'WCM Calibration Final'!$F$1:$F$2000"),'Calculations'!$EM214)&amp;"")),"")="","(Blank)",IFERROR(IF(INDEX(INDIRECT("'WCM Calibration Final'!$F$1:$F$2000"),'Calculations'!$EM214)="","",TRIM(INDEX(INDIRECT("'WCM Calibration Final'!$F$1:$F$2000"),'Calculations'!$EM214)&amp;"")),"")))</x:f>
      </x:c>
      <x:c r="HO214" t="str">
        <x:f>'Calculations'!HF214</x:f>
      </x:c>
      <x:c r="HP214" t="str">
        <x:f>IF('Calculations'!HO214="","",IF('Calculations'!HO214="!AMBIG","!AMBIG",IF(COUNTIF('Calculations'!$HE$13:$HE$512,"="&amp;SUBSTITUTE(SUBSTITUTE(SUBSTITUTE('Calculations'!HO214,"~","~~"),"*","~*"),"?","~?"))&gt;1,"!AMBIG",IFERROR(INDEX('Calculations'!$HF$13:$HF$512,MATCH('Calculations'!HO214,'Calculations'!$HE$13:$HE$512,0)),""))))</x:f>
      </x:c>
      <x:c r="HQ214" t="str">
        <x:f>IF('Calculations'!HP214="","",IF('Calculations'!HP214="!AMBIG","!AMBIG",IF(COUNTIF('Calculations'!$HE$13:$HE$512,"="&amp;SUBSTITUTE(SUBSTITUTE(SUBSTITUTE('Calculations'!HP214,"~","~~"),"*","~*"),"?","~?"))&gt;1,"!AMBIG",IFERROR(INDEX('Calculations'!$HF$13:$HF$512,MATCH('Calculations'!HP214,'Calculations'!$HE$13:$HE$512,0)),""))))</x:f>
      </x:c>
      <x:c r="HR214" t="str">
        <x:f>IF('Calculations'!HQ214="","",IF('Calculations'!HQ214="!AMBIG","!AMBIG",IF(COUNTIF('Calculations'!$HE$13:$HE$512,"="&amp;SUBSTITUTE(SUBSTITUTE(SUBSTITUTE('Calculations'!HQ214,"~","~~"),"*","~*"),"?","~?"))&gt;1,"!AMBIG",IFERROR(INDEX('Calculations'!$HF$13:$HF$512,MATCH('Calculations'!HQ214,'Calculations'!$HE$13:$HE$512,0)),""))))</x:f>
      </x:c>
      <x:c r="HS214" t="str">
        <x:f>IF('Calculations'!HR214="","",IF('Calculations'!HR214="!AMBIG","!AMBIG",IF(COUNTIF('Calculations'!$HE$13:$HE$512,"="&amp;SUBSTITUTE(SUBSTITUTE(SUBSTITUTE('Calculations'!HR214,"~","~~"),"*","~*"),"?","~?"))&gt;1,"!AMBIG",IFERROR(INDEX('Calculations'!$HF$13:$HF$512,MATCH('Calculations'!HR214,'Calculations'!$HE$13:$HE$512,0)),""))))</x:f>
      </x:c>
      <x:c r="HT214" t="str">
        <x:f>IF('Calculations'!HS214="","",IF('Calculations'!HS214="!AMBIG","!AMBIG",IF(COUNTIF('Calculations'!$HE$13:$HE$512,"="&amp;SUBSTITUTE(SUBSTITUTE(SUBSTITUTE('Calculations'!HS214,"~","~~"),"*","~*"),"?","~?"))&gt;1,"!AMBIG",IFERROR(INDEX('Calculations'!$HF$13:$HF$512,MATCH('Calculations'!HS214,'Calculations'!$HE$13:$HE$512,0)),""))))</x:f>
      </x:c>
      <x:c r="HU214" t="str">
        <x:f>IF('Calculations'!HT214="","",IF('Calculations'!HT214="!AMBIG","!AMBIG",IF(COUNTIF('Calculations'!$HE$13:$HE$512,"="&amp;SUBSTITUTE(SUBSTITUTE(SUBSTITUTE('Calculations'!HT214,"~","~~"),"*","~*"),"?","~?"))&gt;1,"!AMBIG",IFERROR(INDEX('Calculations'!$HF$13:$HF$512,MATCH('Calculations'!HT214,'Calculations'!$HE$13:$HE$512,0)),""))))</x:f>
      </x:c>
      <x:c r="HV214" t="str">
        <x:f>IF('Calculations'!HU214="","",IF('Calculations'!HU214="!AMBIG","!AMBIG",IF(COUNTIF('Calculations'!$HE$13:$HE$512,"="&amp;SUBSTITUTE(SUBSTITUTE(SUBSTITUTE('Calculations'!HU214,"~","~~"),"*","~*"),"?","~?"))&gt;1,"!AMBIG",IFERROR(INDEX('Calculations'!$HF$13:$HF$512,MATCH('Calculations'!HU214,'Calculations'!$HE$13:$HE$512,0)),""))))</x:f>
      </x:c>
      <x:c r="HW214" t="str">
        <x:f>IF('Calculations'!HV214="","",IF('Calculations'!HV214="!AMBIG","!AMBIG",IF(COUNTIF('Calculations'!$HE$13:$HE$512,"="&amp;SUBSTITUTE(SUBSTITUTE(SUBSTITUTE('Calculations'!HV214,"~","~~"),"*","~*"),"?","~?"))&gt;1,"!AMBIG",IFERROR(INDEX('Calculations'!$HF$13:$HF$512,MATCH('Calculations'!HV214,'Calculations'!$HE$13:$HE$512,0)),""))))</x:f>
      </x:c>
      <x:c r="HX214" t="str">
        <x:f>IF('Calculations'!HW214="","",IF('Calculations'!HW214="!AMBIG","!AMBIG",IF(COUNTIF('Calculations'!$HE$13:$HE$512,"="&amp;SUBSTITUTE(SUBSTITUTE(SUBSTITUTE('Calculations'!HW214,"~","~~"),"*","~*"),"?","~?"))&gt;1,"!AMBIG",IFERROR(INDEX('Calculations'!$HF$13:$HF$512,MATCH('Calculations'!HW214,'Calculations'!$HE$13:$HE$512,0)),""))))</x:f>
      </x:c>
      <x:c r="HY214" t="str">
        <x:f>IF('Calculations'!HX214="","",IF('Calculations'!HX214="!AMBIG","!AMBIG",IF(COUNTIF('Calculations'!$HE$13:$HE$512,"="&amp;SUBSTITUTE(SUBSTITUTE(SUBSTITUTE('Calculations'!HX214,"~","~~"),"*","~*"),"?","~?"))&gt;1,"!AMBIG",IFERROR(INDEX('Calculations'!$HF$13:$HF$512,MATCH('Calculations'!HX214,'Calculations'!$HE$13:$HE$512,0)),""))))</x:f>
      </x:c>
      <x:c r="HZ214" t="str">
        <x:f>IF('Calculations'!HY214="","",IF('Calculations'!HY214="!AMBIG","!AMBIG",IF(COUNTIF('Calculations'!$HE$13:$HE$512,"="&amp;SUBSTITUTE(SUBSTITUTE(SUBSTITUTE('Calculations'!HY214,"~","~~"),"*","~*"),"?","~?"))&gt;1,"!AMBIG",IFERROR(INDEX('Calculations'!$HF$13:$HF$512,MATCH('Calculations'!HY214,'Calculations'!$HE$13:$HE$512,0)),""))))</x:f>
      </x:c>
      <x:c r="IA214" t="str">
        <x:f>IF('Calculations'!HZ214="","",IF('Calculations'!HZ214="!AMBIG","!AMBIG",IF(COUNTIF('Calculations'!$HE$13:$HE$512,"="&amp;SUBSTITUTE(SUBSTITUTE(SUBSTITUTE('Calculations'!HZ214,"~","~~"),"*","~*"),"?","~?"))&gt;1,"!AMBIG",IFERROR(INDEX('Calculations'!$HF$13:$HF$512,MATCH('Calculations'!HZ214,'Calculations'!$HE$13:$HE$512,0)),""))))</x:f>
      </x:c>
      <x:c r="IB214" t="str">
        <x:f>IF('Calculations'!IA214="","",IF('Calculations'!IA214="!AMBIG","!AMBIG",IF(COUNTIF('Calculations'!$HE$13:$HE$512,"="&amp;SUBSTITUTE(SUBSTITUTE(SUBSTITUTE('Calculations'!IA214,"~","~~"),"*","~*"),"?","~?"))&gt;1,"!AMBIG",IFERROR(INDEX('Calculations'!$HF$13:$HF$512,MATCH('Calculations'!IA214,'Calculations'!$HE$13:$HE$512,0)),""))))</x:f>
      </x:c>
      <x:c r="IC214" t="str">
        <x:f>IF('Calculations'!IB214="","",IF('Calculations'!IB214="!AMBIG","!AMBIG",IF(COUNTIF('Calculations'!$HE$13:$HE$512,"="&amp;SUBSTITUTE(SUBSTITUTE(SUBSTITUTE('Calculations'!IB214,"~","~~"),"*","~*"),"?","~?"))&gt;1,"!AMBIG",IFERROR(INDEX('Calculations'!$HF$13:$HF$512,MATCH('Calculations'!IB214,'Calculations'!$HE$13:$HE$512,0)),""))))</x:f>
      </x:c>
      <x:c r="ID214" t="str">
        <x:f>IF('Calculations'!IC214="","",IF('Calculations'!IC214="!AMBIG","!AMBIG",IF(COUNTIF('Calculations'!$HE$13:$HE$512,"="&amp;SUBSTITUTE(SUBSTITUTE(SUBSTITUTE('Calculations'!IC214,"~","~~"),"*","~*"),"?","~?"))&gt;1,"!AMBIG",IFERROR(INDEX('Calculations'!$HF$13:$HF$512,MATCH('Calculations'!IC214,'Calculations'!$HE$13:$HE$512,0)),""))))</x:f>
      </x:c>
      <x:c r="IE214" t="str">
        <x:f>IF('Calculations'!ID214="","",IF('Calculations'!ID214="!AMBIG","!AMBIG",IF(COUNTIF('Calculations'!$HE$13:$HE$512,"="&amp;SUBSTITUTE(SUBSTITUTE(SUBSTITUTE('Calculations'!ID214,"~","~~"),"*","~*"),"?","~?"))&gt;1,"!AMBIG",IFERROR(INDEX('Calculations'!$HF$13:$HF$512,MATCH('Calculations'!ID214,'Calculations'!$HE$13:$HE$512,0)),""))))</x:f>
      </x:c>
      <x:c r="IF214" t="str">
        <x:f>IF('Calculations'!IE214="","",IF('Calculations'!IE214="!AMBIG","!AMBIG",IF(COUNTIF('Calculations'!$HE$13:$HE$512,"="&amp;SUBSTITUTE(SUBSTITUTE(SUBSTITUTE('Calculations'!IE214,"~","~~"),"*","~*"),"?","~?"))&gt;1,"!AMBIG",IFERROR(INDEX('Calculations'!$HF$13:$HF$512,MATCH('Calculations'!IE214,'Calculations'!$HE$13:$HE$512,0)),""))))</x:f>
      </x:c>
      <x:c r="IG214" t="str">
        <x:f>IF('Calculations'!IF214="","",IF('Calculations'!IF214="!AMBIG","!AMBIG",IF(COUNTIF('Calculations'!$HE$13:$HE$512,"="&amp;SUBSTITUTE(SUBSTITUTE(SUBSTITUTE('Calculations'!IF214,"~","~~"),"*","~*"),"?","~?"))&gt;1,"!AMBIG",IFERROR(INDEX('Calculations'!$HF$13:$HF$512,MATCH('Calculations'!IF214,'Calculations'!$HE$13:$HE$512,0)),""))))</x:f>
      </x:c>
      <x:c r="IH214" t="str">
        <x:f>IF('Calculations'!IG214="","",IF('Calculations'!IG214="!AMBIG","!AMBIG",IF(COUNTIF('Calculations'!$HE$13:$HE$512,"="&amp;SUBSTITUTE(SUBSTITUTE(SUBSTITUTE('Calculations'!IG214,"~","~~"),"*","~*"),"?","~?"))&gt;1,"!AMBIG",IFERROR(INDEX('Calculations'!$HF$13:$HF$512,MATCH('Calculations'!IG214,'Calculations'!$HE$13:$HE$512,0)),""))))</x:f>
      </x:c>
      <x:c r="II214" t="str">
        <x:f>IF('Calculations'!IH214="","",IF('Calculations'!IH214="!AMBIG","!AMBIG",IF(COUNTIF('Calculations'!$HE$13:$HE$512,"="&amp;SUBSTITUTE(SUBSTITUTE(SUBSTITUTE('Calculations'!IH214,"~","~~"),"*","~*"),"?","~?"))&gt;1,"!AMBIG",IFERROR(INDEX('Calculations'!$HF$13:$HF$512,MATCH('Calculations'!IH214,'Calculations'!$HE$13:$HE$512,0)),""))))</x:f>
      </x:c>
      <x:c r="IJ214" t="str">
        <x:f>IF('Calculations'!EM214="","",IF('Calculations'!$EF$2="All",'Calculations'!HM214,IF('Calculations'!HL214=1,"",IFERROR(IF(MATCH('Calculations'!$EF$2,'Calculations'!HO214:II214,0)=1,'Calculations'!HE214,INDEX('Calculations'!HO214:II214,1,MATCH('Calculations'!$EF$2,'Calculations'!HO214:II214,0)-1)),""))))</x:f>
      </x:c>
      <x:c r="IK214" t="n">
        <x:f>IF(AND('Calculations'!EM214&lt;&gt;"",'Calculations'!$EF$2&lt;&gt;"All",'Calculations'!HF214='Calculations'!$EF$2,'Calculations'!HL214=0,'Calculations'!JD214&gt;0),MAX('Calculations'!$IK$12:IK213)+1,0)</x:f>
        <x:v>0</x:v>
      </x:c>
      <x:c r="JA214" t="n">
        <x:f>IF(OR(IFERROR(INDIRECT("'WCM Calibration Final'!$A$214")&lt;&gt;"",FALSE),IFERROR(INDIRECT("'WCM Calibration Final'!$B$214")&lt;&gt;"",FALSE),IFERROR(INDIRECT("'WCM Calibration Final'!$C$214")&lt;&gt;"",FALSE)),214,0)</x:f>
        <x:v>0</x:v>
      </x:c>
      <x:c r="JB214" t="n">
        <x:f>'Calculations'!JB213+IF('Calculations'!JA214&gt;0,1,0)</x:f>
        <x:v>0</x:v>
      </x:c>
      <x:c r="JC214" t="n">
        <x:f>IF(OR('Calculations'!HF214="",'Calculations'!HF214="!AMBIG"),0,IF('Dashboard'!$B$7="All",1,COUNTIFS('Calculations'!$HO$13:$HO$512,"="&amp;SUBSTITUTE(SUBSTITUTE(SUBSTITUTE('Calculations'!HF214,"~","~~"),"*","~*"),"?","~?"),'Calculations'!$HN$13:$HN$512,"="&amp;SUBSTITUTE(SUBSTITUTE(SUBSTITUTE('Dashboard'!$B$7,"~","~~"),"*","~*"),"?","~?"))+COUNTIFS('Calculations'!$HP$13:$HP$512,"="&amp;SUBSTITUTE(SUBSTITUTE(SUBSTITUTE('Calculations'!HF214,"~","~~"),"*","~*"),"?","~?"),'Calculations'!$HN$13:$HN$512,"="&amp;SUBSTITUTE(SUBSTITUTE(SUBSTITUTE('Dashboard'!$B$7,"~","~~"),"*","~*"),"?","~?"))+COUNTIFS('Calculations'!$HQ$13:$HQ$512,"="&amp;SUBSTITUTE(SUBSTITUTE(SUBSTITUTE('Calculations'!HF214,"~","~~"),"*","~*"),"?","~?"),'Calculations'!$HN$13:$HN$512,"="&amp;SUBSTITUTE(SUBSTITUTE(SUBSTITUTE('Dashboard'!$B$7,"~","~~"),"*","~*"),"?","~?"))+COUNTIFS('Calculations'!$HR$13:$HR$512,"="&amp;SUBSTITUTE(SUBSTITUTE(SUBSTITUTE('Calculations'!HF214,"~","~~"),"*","~*"),"?","~?"),'Calculations'!$HN$13:$HN$512,"="&amp;SUBSTITUTE(SUBSTITUTE(SUBSTITUTE('Dashboard'!$B$7,"~","~~"),"*","~*"),"?","~?"))+COUNTIFS('Calculations'!$HS$13:$HS$512,"="&amp;SUBSTITUTE(SUBSTITUTE(SUBSTITUTE('Calculations'!HF214,"~","~~"),"*","~*"),"?","~?"),'Calculations'!$HN$13:$HN$512,"="&amp;SUBSTITUTE(SUBSTITUTE(SUBSTITUTE('Dashboard'!$B$7,"~","~~"),"*","~*"),"?","~?"))+COUNTIFS('Calculations'!$HT$13:$HT$512,"="&amp;SUBSTITUTE(SUBSTITUTE(SUBSTITUTE('Calculations'!HF214,"~","~~"),"*","~*"),"?","~?"),'Calculations'!$HN$13:$HN$512,"="&amp;SUBSTITUTE(SUBSTITUTE(SUBSTITUTE('Dashboard'!$B$7,"~","~~"),"*","~*"),"?","~?"))+COUNTIFS('Calculations'!$HU$13:$HU$512,"="&amp;SUBSTITUTE(SUBSTITUTE(SUBSTITUTE('Calculations'!HF214,"~","~~"),"*","~*"),"?","~?"),'Calculations'!$HN$13:$HN$512,"="&amp;SUBSTITUTE(SUBSTITUTE(SUBSTITUTE('Dashboard'!$B$7,"~","~~"),"*","~*"),"?","~?"))+COUNTIFS('Calculations'!$HV$13:$HV$512,"="&amp;SUBSTITUTE(SUBSTITUTE(SUBSTITUTE('Calculations'!HF214,"~","~~"),"*","~*"),"?","~?"),'Calculations'!$HN$13:$HN$512,"="&amp;SUBSTITUTE(SUBSTITUTE(SUBSTITUTE('Dashboard'!$B$7,"~","~~"),"*","~*"),"?","~?"))+COUNTIFS('Calculations'!$HW$13:$HW$512,"="&amp;SUBSTITUTE(SUBSTITUTE(SUBSTITUTE('Calculations'!HF214,"~","~~"),"*","~*"),"?","~?"),'Calculations'!$HN$13:$HN$512,"="&amp;SUBSTITUTE(SUBSTITUTE(SUBSTITUTE('Dashboard'!$B$7,"~","~~"),"*","~*"),"?","~?"))+COUNTIFS('Calculations'!$HX$13:$HX$512,"="&amp;SUBSTITUTE(SUBSTITUTE(SUBSTITUTE('Calculations'!HF214,"~","~~"),"*","~*"),"?","~?"),'Calculations'!$HN$13:$HN$512,"="&amp;SUBSTITUTE(SUBSTITUTE(SUBSTITUTE('Dashboard'!$B$7,"~","~~"),"*","~*"),"?","~?"))+COUNTIFS('Calculations'!$HY$13:$HY$512,"="&amp;SUBSTITUTE(SUBSTITUTE(SUBSTITUTE('Calculations'!HF214,"~","~~"),"*","~*"),"?","~?"),'Calculations'!$HN$13:$HN$512,"="&amp;SUBSTITUTE(SUBSTITUTE(SUBSTITUTE('Dashboard'!$B$7,"~","~~"),"*","~*"),"?","~?"))+COUNTIFS('Calculations'!$HZ$13:$HZ$512,"="&amp;SUBSTITUTE(SUBSTITUTE(SUBSTITUTE('Calculations'!HF214,"~","~~"),"*","~*"),"?","~?"),'Calculations'!$HN$13:$HN$512,"="&amp;SUBSTITUTE(SUBSTITUTE(SUBSTITUTE('Dashboard'!$B$7,"~","~~"),"*","~*"),"?","~?"))+COUNTIFS('Calculations'!$IA$13:$IA$512,"="&amp;SUBSTITUTE(SUBSTITUTE(SUBSTITUTE('Calculations'!HF214,"~","~~"),"*","~*"),"?","~?"),'Calculations'!$HN$13:$HN$512,"="&amp;SUBSTITUTE(SUBSTITUTE(SUBSTITUTE('Dashboard'!$B$7,"~","~~"),"*","~*"),"?","~?"))+COUNTIFS('Calculations'!$IB$13:$IB$512,"="&amp;SUBSTITUTE(SUBSTITUTE(SUBSTITUTE('Calculations'!HF214,"~","~~"),"*","~*"),"?","~?"),'Calculations'!$HN$13:$HN$512,"="&amp;SUBSTITUTE(SUBSTITUTE(SUBSTITUTE('Dashboard'!$B$7,"~","~~"),"*","~*"),"?","~?"))+COUNTIFS('Calculations'!$IC$13:$IC$512,"="&amp;SUBSTITUTE(SUBSTITUTE(SUBSTITUTE('Calculations'!HF214,"~","~~"),"*","~*"),"?","~?"),'Calculations'!$HN$13:$HN$512,"="&amp;SUBSTITUTE(SUBSTITUTE(SUBSTITUTE('Dashboard'!$B$7,"~","~~"),"*","~*"),"?","~?"))+COUNTIFS('Calculations'!$ID$13:$ID$512,"="&amp;SUBSTITUTE(SUBSTITUTE(SUBSTITUTE('Calculations'!HF214,"~","~~"),"*","~*"),"?","~?"),'Calculations'!$HN$13:$HN$512,"="&amp;SUBSTITUTE(SUBSTITUTE(SUBSTITUTE('Dashboard'!$B$7,"~","~~"),"*","~*"),"?","~?"))+COUNTIFS('Calculations'!$IE$13:$IE$512,"="&amp;SUBSTITUTE(SUBSTITUTE(SUBSTITUTE('Calculations'!HF214,"~","~~"),"*","~*"),"?","~?"),'Calculations'!$HN$13:$HN$512,"="&amp;SUBSTITUTE(SUBSTITUTE(SUBSTITUTE('Dashboard'!$B$7,"~","~~"),"*","~*"),"?","~?"))+COUNTIFS('Calculations'!$IF$13:$IF$512,"="&amp;SUBSTITUTE(SUBSTITUTE(SUBSTITUTE('Calculations'!HF214,"~","~~"),"*","~*"),"?","~?"),'Calculations'!$HN$13:$HN$512,"="&amp;SUBSTITUTE(SUBSTITUTE(SUBSTITUTE('Dashboard'!$B$7,"~","~~"),"*","~*"),"?","~?"))+COUNTIFS('Calculations'!$IG$13:$IG$512,"="&amp;SUBSTITUTE(SUBSTITUTE(SUBSTITUTE('Calculations'!HF214,"~","~~"),"*","~*"),"?","~?"),'Calculations'!$HN$13:$HN$512,"="&amp;SUBSTITUTE(SUBSTITUTE(SUBSTITUTE('Dashboard'!$B$7,"~","~~"),"*","~*"),"?","~?"))+COUNTIFS('Calculations'!$IH$13:$IH$512,"="&amp;SUBSTITUTE(SUBSTITUTE(SUBSTITUTE('Calculations'!HF214,"~","~~"),"*","~*"),"?","~?"),'Calculations'!$HN$13:$HN$512,"="&amp;SUBSTITUTE(SUBSTITUTE(SUBSTITUTE('Dashboard'!$B$7,"~","~~"),"*","~*"),"?","~?"))))</x:f>
        <x:v>0</x:v>
      </x:c>
      <x:c r="JD214" t="n">
        <x:f>IF('Calculations'!EM214="",0,IF('Dashboard'!$B$7="All",1,IF('Calculations'!HN214='Dashboard'!$B$7,1,0)+IFERROR(INDEX('Calculations'!$JC$13:$JC$512,MATCH('Calculations'!HE214,'Calculations'!$HF$13:$HF$512,0)),0)))</x:f>
        <x:v>0</x:v>
      </x:c>
      <x:c r="JE214" t="n">
        <x:f>IF(AND('Calculations'!EM214&lt;&gt;"",'Calculations'!$JJ$2&lt;&gt;"All",'Calculations'!$JJ$2&lt;&gt;"",'Calculations'!HF214='Calculations'!$JJ$2,'Calculations'!HL214=0,'Calculations'!JD214&gt;0),MAX('Calculations'!$JE$12:JE213)+1,0)</x:f>
        <x:v>0</x:v>
      </x:c>
      <x:c r="JF214" t="str">
        <x:f>IF('Calculations'!EM214="","",IFERROR(IF(INDEX(INDIRECT("'WCM Calibration Final'!$G$1:$G$2000"),'Calculations'!$EM214)="","",TRIM(INDEX(INDIRECT("'WCM Calibration Final'!$G$1:$G$2000"),'Calculations'!$EM214)&amp;"")),""))</x:f>
      </x:c>
      <x:c r="JQ214" t="n">
        <x:f>IF(OR('Calculations'!BM214=0,NOT('Calculations'!$AG$2),'Calculations'!$AG$8&gt;0),0,IF(OR('Dashboard'!$B$7="All",'Calculations'!HN214='Dashboard'!$B$7),IF('Calculations'!$JJ$2="All",1,IF(AND('Calculations'!HF214='Calculations'!$JJ$2,'Calculations'!HL214=0),1,0)),0))</x:f>
        <x:v>0</x:v>
      </x:c>
    </x:row>
    <x:row r="215">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t="n">
        <x:f>IF('Calculations'!$EM215="",0,IF(OR(IFERROR(INDEX(INDIRECT("'WCM Calibration Final'!$A$1:$A$2000"),'Calculations'!$EM215)&lt;&gt;"",FALSE),IFERROR(INDEX(INDIRECT("'WCM Calibration Final'!$B$1:$B$2000"),'Calculations'!$EM215)&lt;&gt;"",FALSE),IFERROR(INDEX(INDIRECT("'WCM Calibration Final'!$C$1:$C$2000"),'Calculations'!$EM215)&lt;&gt;"",FALSE)),1,0))</x:f>
        <x:v>0</x:v>
      </x:c>
      <x:c r="BN215" s="4" t="n">
        <x:f>IF(AND('Calculations'!BM215=1,'Calculations'!$AG$2,'Calculations'!$EN215=1),1,0)</x:f>
        <x:v>0</x:v>
      </x:c>
      <x:c r="BO215" s="4" t="str">
        <x:f>IF('Calculations'!BM215=0,"",IFERROR(IF(AND(VALUE(INDEX(INDIRECT("'WCM Calibration Final'!$K$1:$K$2000"),'Calculations'!$EM215))&gt;=1,VALUE(INDEX(INDIRECT("'WCM Calibration Final'!$K$1:$K$2000"),'Calculations'!$EM215))&lt;=4,MOD(VALUE(INDEX(INDIRECT("'WCM Calibration Final'!$K$1:$K$2000"),'Calculations'!$EM215)),1)=0),VALUE(INDEX(INDIRECT("'WCM Calibration Final'!$K$1:$K$2000"),'Calculations'!$EM215)),""),""))</x:f>
      </x:c>
      <x:c r="BP215" s="4" t="str">
        <x:f>IF('Calculations'!BM215=0,"",IFERROR(IF(AND(VALUE(INDEX(INDIRECT("'WCM Calibration Final'!$L$1:$L$2000"),'Calculations'!$EM215))&gt;=1,VALUE(INDEX(INDIRECT("'WCM Calibration Final'!$L$1:$L$2000"),'Calculations'!$EM215))&lt;=4,MOD(VALUE(INDEX(INDIRECT("'WCM Calibration Final'!$L$1:$L$2000"),'Calculations'!$EM215)),1)=0),VALUE(INDEX(INDIRECT("'WCM Calibration Final'!$L$1:$L$2000"),'Calculations'!$EM215)),""),""))</x:f>
      </x:c>
      <x:c r="BQ215" s="4"/>
      <x:c r="BR215" s="4"/>
      <x:c r="BS215" s="4"/>
      <x:c r="BT215" s="4" t="n">
        <x:f>IF(AND('Calculations'!BM215=1,ISNUMBER('Calculations'!BO215),ISNUMBER('Calculations'!BP215)),1,0)</x:f>
        <x:v>0</x:v>
      </x:c>
      <x:c r="BU215" s="4" t="str">
        <x:f>IF('Calculations'!BM215=0,"",'Calculations'!$EO215)</x:f>
      </x:c>
      <x:c r="BV215" s="4" t="str">
        <x:f>IF('Calculations'!BM215=0,"",IFERROR(IF(OR(INDEX(INDIRECT("'WCM Calibration Final'!$H$1:$H$2000"),'Calculations'!$EM215)="MANAGING DIRECTOR",INDEX(INDIRECT("'WCM Calibration Final'!$H$1:$H$2000"),'Calculations'!$EM215)="DIRECTOR",INDEX(INDIRECT("'WCM Calibration Final'!$H$1:$H$2000"),'Calculations'!$EM215)="SENIOR VICE PRESIDENT",INDEX(INDIRECT("'WCM Calibration Final'!$H$1:$H$2000"),'Calculations'!$EM215)="VICE PRESIDENT",INDEX(INDIRECT("'WCM Calibration Final'!$H$1:$H$2000"),'Calculations'!$EM215)="ASSISTANT VICE PRESIDENT",INDEX(INDIRECT("'WCM Calibration Final'!$H$1:$H$2000"),'Calculations'!$EM215)="OFFICER"),UPPER(INDEX(INDIRECT("'WCM Calibration Final'!$H$1:$H$2000"),'Calculations'!$EM215)),"Other"),"Other"))</x:f>
      </x:c>
      <x:c r="BW215" s="4"/>
      <x:c r="BX215" s="4"/>
      <x:c r="BY215" s="4" t="n">
        <x:f>IF(AND('Calculations'!BM215=1,'Calculations'!BU215&lt;&gt;"",COUNTIF('Calculations'!$BU$12:BU215,'Calculations'!BU215)=1),MAX('Calculations'!$BY$11:BY214)+1,0)</x:f>
        <x:v>0</x:v>
      </x:c>
      <x:c r="BZ215" s="4" t="str">
        <x:f>IF('Dashboard'!$E$67="What",'Calculations'!BO215,'Calculations'!BP215)</x:f>
      </x:c>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t="str">
        <x:f>IF(204&gt;MAX('Calculations'!$HI$13:$HI$512),"",INDEX('Calculations'!$HN$13:$HN$512,MATCH(204,'Calculations'!$HI$13:$HI$512,0)))</x:f>
      </x:c>
      <x:c r="DB215" s="4" t="str">
        <x:f>IF(204&gt;MAX('Calculations'!$HH$13:$HH$512),"",INDEX('Calculations'!$HJ$13:$HJ$512,MATCH(204,'Calculations'!$HH$13:$HH$512,0)))</x:f>
      </x:c>
      <x:c r="DC215" s="4" t="str">
        <x:f>IF(ROW()-11&gt;MAX('Calculations'!$BY$13:$BY$512),"",INDEX('Calculations'!$BU$13:$BU$512,MATCH(ROW()-11,'Calculations'!$BY$13:$BY$512,0)))</x:f>
      </x:c>
      <x:c r="DD215" s="4" t="str">
        <x:f>IF(204&gt;MAX('Calculations'!$IK$13:$IK$512),"",INDEX('Calculations'!$HK$13:$HK$512,MATCH(204,'Calculations'!$IK$13:$IK$512,0)))</x:f>
      </x:c>
      <x:c r="DE215" s="4" t="str">
        <x:f>'Calculations'!DC215</x:f>
      </x:c>
      <x:c r="DF215" s="4" t="str">
        <x:f>IF('Calculations'!DE215="","",COUNTIFS('Calculations'!$BN$13:$BN$512,1,'Calculations'!$BU$13:$BU$512,'Calculations'!DE215))</x:f>
      </x:c>
      <x:c r="DG215" s="4" t="str">
        <x:f>IF('Calculations'!DE215="","",COUNTIFS('Calculations'!$BN$13:$BN$512,1,'Calculations'!$BU$13:$BU$512,'Calculations'!DE215,'Calculations'!$BT$13:$BT$512,1))</x:f>
      </x:c>
      <x:c r="DH215" s="4" t="str">
        <x:f>IF('Calculations'!DE215="","",'Calculations'!DF215-'Calculations'!DG215)</x:f>
      </x:c>
      <x:c r="DI215" s="4" t="str">
        <x:f>IF(OR('Calculations'!DE215="",'Calculations'!DF215=0),"",'Calculations'!DG215/'Calculations'!DF215)</x:f>
      </x:c>
      <x:c r="DJ215" s="4" t="str">
        <x:f>IF('Calculations'!DE215="","",COUNTIFS('Calculations'!$BN$13:$BN$512,1,'Calculations'!$BU$13:$BU$512,'Calculations'!DE215,'Calculations'!$BT$13:$BT$512,1,'Calculations'!$EE$13:$EE$512,"High"))</x:f>
      </x:c>
      <x:c r="DK215" s="4" t="str">
        <x:f>IF('Calculations'!DE215="","",COUNTIFS('Calculations'!$BN$13:$BN$512,1,'Calculations'!$BU$13:$BU$512,'Calculations'!DE215,'Calculations'!$BT$13:$BT$512,1,'Calculations'!$EE$13:$EE$512,"Strong"))</x:f>
      </x:c>
      <x:c r="DL215" s="4" t="str">
        <x:f>IF('Calculations'!DE215="","",COUNTIFS('Calculations'!$BN$13:$BN$512,1,'Calculations'!$BU$13:$BU$512,'Calculations'!DE215,'Calculations'!$BT$13:$BT$512,1,'Calculations'!$EE$13:$EE$512,"Solid"))</x:f>
      </x:c>
      <x:c r="DM215" s="4" t="str">
        <x:f>IF('Calculations'!DE215="","",COUNTIFS('Calculations'!$BN$13:$BN$512,1,'Calculations'!$BU$13:$BU$512,'Calculations'!DE215,'Calculations'!$BT$13:$BT$512,1,'Calculations'!$EE$13:$EE$512,"Low"))</x:f>
      </x:c>
      <x:c r="DN215" s="4" t="str">
        <x:f>IF('Calculations'!DE215="","",COUNTIFS('Calculations'!$BN$13:$BN$512,1,'Calculations'!$BU$13:$BU$512,'Calculations'!DE215,'Calculations'!$EP$13:$EP$512,1))</x:f>
      </x:c>
      <x:c r="DO215" s="4" t="str">
        <x:f>IF(OR('Calculations'!DE215="",'Calculations'!DG215=0),"",('Calculations'!DJ215+'Calculations'!DK215)/'Calculations'!DG215)</x:f>
      </x:c>
      <x:c r="DP215" s="4" t="n">
        <x:f>IF(AND('Calculations'!DE215&lt;&gt;"",'Calculations'!DF215&gt;0),COUNTIF('Calculations'!$DF$12:DF215,"&gt;0"),0)</x:f>
        <x:v>0</x:v>
      </x:c>
      <x:c r="DQ215" s="4" t="str">
        <x:f>IF(204&gt;MAX('Calculations'!$HH$13:$HH$512),"",INDEX('Calculations'!$HF$13:$HF$512,MATCH(204,'Calculations'!$HH$13:$HH$512,0)))</x:f>
      </x:c>
      <x:c r="DR215" s="4" t="str">
        <x:f>IF(204&gt;MAX('Calculations'!$IK$13:$IK$512),"",INDEX('Calculations'!$HE$13:$HE$512,MATCH(204,'Calculations'!$IK$13:$IK$512,0)))</x:f>
      </x:c>
      <x:c r="DS215" s="4"/>
      <x:c r="DT215" s="4"/>
      <x:c r="DU215" s="4"/>
      <x:c r="DV215" s="4"/>
      <x:c r="DW215" s="4"/>
      <x:c r="DX215" s="4"/>
      <x:c r="DY215" s="4"/>
      <x:c r="DZ215" s="4"/>
      <x:c r="EA215" s="4"/>
      <x:c r="EB215" s="4"/>
      <x:c r="EC215" s="4"/>
      <x:c r="ED215" s="4"/>
      <x:c r="EE215" s="4" t="str">
        <x:f>IF('Calculations'!BT215=0,"Not Rated",IF(OR('Calculations'!BO215&gt;=4,'Calculations'!BP215&gt;=4),"Low",IF('Calculations'!BO215+'Calculations'!BP215&lt;=3,"High",IF('Calculations'!BO215+'Calculations'!BP215&lt;=4,"Strong","Solid"))))</x:f>
        <x:v>Not Rated</x:v>
      </x:c>
      <x:c r="EF215" s="4"/>
      <x:c r="EG215" s="4"/>
      <x:c r="EH215" s="4"/>
      <x:c r="EI215" s="4"/>
      <x:c r="EJ215" s="4"/>
      <x:c r="EK215" s="4"/>
      <x:c r="EL215" s="4"/>
      <x:c r="EM215" s="4" t="str">
        <x:f>IF(203&gt;'Calculations'!$JB$2000,"",INDEX('Calculations'!$JA$12:$JA$2000,MATCH(203,'Calculations'!$JB$12:$JB$2000,0)))</x:f>
      </x:c>
      <x:c r="EN215" s="4" t="n">
        <x:f>IF(OR('Calculations'!EM215="",'Calculations'!$AG$8&gt;0,AND('Calculations'!$EF$2&lt;&gt;"All",'Calculations'!HE215='Calculations'!$EF$2),AND('Calculations'!$EF$3&lt;&gt;"All",'Calculations'!HE215='Calculations'!$EF$3)),0,IF(OR('Dashboard'!$B$7="All",'Calculations'!HN215='Dashboard'!$B$7),IF('Calculations'!$EF$2="All",1,IF('Calculations'!HL215&gt;0,0,IF(COUNTIF('Calculations'!HO215:II215,"="&amp;SUBSTITUTE(SUBSTITUTE(SUBSTITUTE('Calculations'!$EF$2,"~","~~"),"*","~*"),"?","~?"))=0,0,IF('Calculations'!$EF$3="All",1,IF(COUNTIF('Calculations'!HO215:II215,"="&amp;SUBSTITUTE(SUBSTITUTE(SUBSTITUTE('Calculations'!$EF$3,"~","~~"),"*","~*"),"?","~?"))&gt;0,1,0))))),0))</x:f>
        <x:v>0</x:v>
      </x:c>
      <x:c r="EO215" s="4" t="str">
        <x:f>IF('Calculations'!IJ215="","",IF('Calculations'!IJ215="!UNRESOLVED","Unresolved hierarchy",IFERROR(INDEX('Calculations'!$HK$13:$HK$512,MATCH('Calculations'!IJ215,'Calculations'!$HE$13:$HE$512,0)),IFERROR(INDEX('Calculations'!$HJ$13:$HJ$512,MATCH('Calculations'!IJ215,'Calculations'!$HF$13:$HF$512,0)),'Calculations'!IJ215))))</x:f>
      </x:c>
      <x:c r="EP215" s="4" t="n">
        <x:f>IF(AND('Calculations'!EM215&lt;&gt;"",'Calculations'!HF215='Calculations'!IJ215),1,0)</x:f>
        <x:v>0</x:v>
      </x:c>
      <x:c r="EQ215" s="4"/>
      <x:c r="ER215" s="4"/>
      <x:c r="ES215" s="4"/>
      <x:c r="ET215" s="4"/>
      <x:c r="EU215" s="4"/>
      <x:c r="EV215" s="4"/>
      <x:c r="EW215" s="4"/>
      <x:c r="EX215" s="4"/>
      <x:c r="EY215" s="4"/>
      <x:c r="EZ215" s="4"/>
      <x:c r="FA215" s="4"/>
      <x:c r="FB215" s="4"/>
      <x:c r="FC215" s="4"/>
      <x:c r="FD215" s="4"/>
      <x:c r="FE215" s="4"/>
      <x:c r="FF215" s="4"/>
      <x:c r="FG215" s="4"/>
      <x:c r="FH215" s="4"/>
      <x:c r="FI215" s="4"/>
      <x:c r="FJ215" s="4"/>
      <x:c r="FK215" s="4"/>
      <x:c r="FL215" s="4"/>
      <x:c r="FM215" s="4"/>
      <x:c r="FN215" s="4"/>
      <x:c r="FO215" s="4"/>
      <x:c r="HE215" t="str">
        <x:f>IF('Calculations'!EM215="","",IF(IFERROR(IF(INDEX(INDIRECT("'WCM Calibration Final'!$A$1:$A$2000"),'Calculations'!$EM215)="","",TRIM(INDEX(INDIRECT("'WCM Calibration Final'!$A$1:$A$2000"),'Calculations'!$EM215)&amp;"")),"")&lt;&gt;"","G:"&amp;IFERROR(TEXT(1*INDEX(INDIRECT("'WCM Calibration Final'!$A$1:$A$2000"),'Calculations'!$EM215),"0"),UPPER(IFERROR(IF(INDEX(INDIRECT("'WCM Calibration Final'!$A$1:$A$2000"),'Calculations'!$EM215)="","",TRIM(INDEX(INDIRECT("'WCM Calibration Final'!$A$1:$A$2000"),'Calculations'!$EM215)&amp;"")),""))),IF(IFERROR(IF(INDEX(INDIRECT("'WCM Calibration Final'!$C$1:$C$2000"),'Calculations'!$EM215)="","",TRIM(INDEX(INDIRECT("'WCM Calibration Final'!$C$1:$C$2000"),'Calculations'!$EM215)&amp;"")),"")&lt;&gt;"","S:"&amp;UPPER(IFERROR(IF(INDEX(INDIRECT("'WCM Calibration Final'!$C$1:$C$2000"),'Calculations'!$EM215)="","",TRIM(INDEX(INDIRECT("'WCM Calibration Final'!$C$1:$C$2000"),'Calculations'!$EM215)&amp;"")),"")),"R:"&amp;'Calculations'!EM215)))</x:f>
      </x:c>
      <x:c r="HF215" t="str">
        <x:f>IF('Calculations'!EM215="","",IF(IFERROR(IF(INDEX(INDIRECT("'WCM Calibration Final'!$D$1:$D$2000"),'Calculations'!$EM215)="","",TRIM(INDEX(INDIRECT("'WCM Calibration Final'!$D$1:$D$2000"),'Calculations'!$EM215)&amp;"")),"")&lt;&gt;"","G:"&amp;IFERROR(TEXT(1*INDEX(INDIRECT("'WCM Calibration Final'!$D$1:$D$2000"),'Calculations'!$EM215),"0"),UPPER(IFERROR(IF(INDEX(INDIRECT("'WCM Calibration Final'!$D$1:$D$2000"),'Calculations'!$EM215)="","",TRIM(INDEX(INDIRECT("'WCM Calibration Final'!$D$1:$D$2000"),'Calculations'!$EM215)&amp;"")),""))),IF(IFERROR(IF(INDEX(INDIRECT("'WCM Calibration Final'!$E$1:$E$2000"),'Calculations'!$EM215)="","",TRIM(INDEX(INDIRECT("'WCM Calibration Final'!$E$1:$E$2000"),'Calculations'!$EM215)&amp;"")),"")="","",IF(COUNTIF('Calculations'!$HG$13:$HG$512,"="&amp;SUBSTITUTE(SUBSTITUTE(SUBSTITUTE(IFERROR(IF(INDEX(INDIRECT("'WCM Calibration Final'!$E$1:$E$2000"),'Calculations'!$EM215)="","",TRIM(INDEX(INDIRECT("'WCM Calibration Final'!$E$1:$E$2000"),'Calculations'!$EM215)&amp;"")),""),"~","~~"),"*","~*"),"?","~?"))=1,INDEX('Calculations'!$HE$13:$HE$512,MATCH(IFERROR(IF(INDEX(INDIRECT("'WCM Calibration Final'!$E$1:$E$2000"),'Calculations'!$EM215)="","",TRIM(INDEX(INDIRECT("'WCM Calibration Final'!$E$1:$E$2000"),'Calculations'!$EM215)&amp;"")),""),'Calculations'!$HG$13:$HG$512,0)),IF(COUNTIF('Calculations'!$HG$13:$HG$512,"="&amp;SUBSTITUTE(SUBSTITUTE(SUBSTITUTE(IFERROR(IF(INDEX(INDIRECT("'WCM Calibration Final'!$E$1:$E$2000"),'Calculations'!$EM215)="","",TRIM(INDEX(INDIRECT("'WCM Calibration Final'!$E$1:$E$2000"),'Calculations'!$EM215)&amp;"")),""),"~","~~"),"*","~*"),"?","~?"))&gt;1,"!AMBIG","X:"&amp;IFERROR(IF(INDEX(INDIRECT("'WCM Calibration Final'!$E$1:$E$2000"),'Calculations'!$EM215)="","",TRIM(INDEX(INDIRECT("'WCM Calibration Final'!$E$1:$E$2000"),'Calculations'!$EM215)&amp;"")),""))))))</x:f>
      </x:c>
      <x:c r="HG215" t="str">
        <x:f>IF('Calculations'!EM215="","",IFERROR(IF(INDEX(INDIRECT("'WCM Calibration Final'!$B$1:$B$2000"),'Calculations'!$EM215)="","",TRIM(INDEX(INDIRECT("'WCM Calibration Final'!$B$1:$B$2000"),'Calculations'!$EM215)&amp;"")),""))</x:f>
      </x:c>
      <x:c r="HH215" t="n">
        <x:f>IF(AND('Calculations'!JC215&gt;0,COUNTIF('Calculations'!$HF$12:HF215,"="&amp;SUBSTITUTE(SUBSTITUTE(SUBSTITUTE('Calculations'!HF215,"~","~~"),"*","~*"),"?","~?"))=1),MAX('Calculations'!$HH$12:HH214)+1,0)</x:f>
        <x:v>0</x:v>
      </x:c>
      <x:c r="HI215" t="n">
        <x:f>IF(AND('Calculations'!HN215&lt;&gt;"",COUNTIF('Calculations'!$HN$12:HN215,"="&amp;SUBSTITUTE(SUBSTITUTE(SUBSTITUTE('Calculations'!HN215,"~","~~"),"*","~*"),"?","~?"))=1),MAX('Calculations'!$HI$12:HI214)+1,0)</x:f>
        <x:v>0</x:v>
      </x:c>
      <x:c r="HJ215" t="str">
        <x:f>IF('Calculations'!HF215="","",IF(COUNTIF('Calculations'!$HE$13:$HE$512,"="&amp;SUBSTITUTE(SUBSTITUTE(SUBSTITUTE('Calculations'!HF215,"~","~~"),"*","~*"),"?","~?"))=1,INDEX('Calculations'!$HK$13:$HK$512,MATCH('Calculations'!HF215,'Calculations'!$HE$13:$HE$512,0)),IFERROR(IF(INDEX(INDIRECT("'WCM Calibration Final'!$E$1:$E$2000"),'Calculations'!$EM215)="","",TRIM(INDEX(INDIRECT("'WCM Calibration Final'!$E$1:$E$2000"),'Calculations'!$EM215)&amp;"")),"")&amp;" ["&amp;'Calculations'!HF215&amp;"]"))</x:f>
      </x:c>
      <x:c r="HK215" t="str">
        <x:f>IF('Calculations'!EM215="","",'Calculations'!HG215&amp;" ["&amp;'Calculations'!HE215&amp;"]")</x:f>
      </x:c>
      <x:c r="HL215" t="n">
        <x:f>IF('Calculations'!EM215="",0,IF(OR('Calculations'!II215&lt;&gt;"",COUNTIF('Calculations'!$HE$13:$HE$512,"="&amp;SUBSTITUTE(SUBSTITUTE(SUBSTITUTE('Calculations'!HE215,"~","~~"),"*","~*"),"?","~?"))&gt;1),1,0))</x:f>
        <x:v>0</x:v>
      </x:c>
      <x:c r="HM215" t="str">
        <x:f>IF('Calculations'!EM215="","",IF('Calculations'!HL215=1,"!UNRESOLVED",IF('Calculations'!IH215&lt;&gt;"",'Calculations'!IH215,IF('Calculations'!IG215&lt;&gt;"",'Calculations'!IG215,IF('Calculations'!IF215&lt;&gt;"",'Calculations'!IF215,IF('Calculations'!IE215&lt;&gt;"",'Calculations'!IE215,IF('Calculations'!ID215&lt;&gt;"",'Calculations'!ID215,IF('Calculations'!IC215&lt;&gt;"",'Calculations'!IC215,IF('Calculations'!IB215&lt;&gt;"",'Calculations'!IB215,IF('Calculations'!IA215&lt;&gt;"",'Calculations'!IA215,IF('Calculations'!HZ215&lt;&gt;"",'Calculations'!HZ215,IF('Calculations'!HY215&lt;&gt;"",'Calculations'!HY215,IF('Calculations'!HX215&lt;&gt;"",'Calculations'!HX215,IF('Calculations'!HW215&lt;&gt;"",'Calculations'!HW215,IF('Calculations'!HV215&lt;&gt;"",'Calculations'!HV215,IF('Calculations'!HU215&lt;&gt;"",'Calculations'!HU215,IF('Calculations'!HT215&lt;&gt;"",'Calculations'!HT215,IF('Calculations'!HS215&lt;&gt;"",'Calculations'!HS215,IF('Calculations'!HR215&lt;&gt;"",'Calculations'!HR215,IF('Calculations'!HQ215&lt;&gt;"",'Calculations'!HQ215,IF('Calculations'!HP215&lt;&gt;"",'Calculations'!HP215,IF('Calculations'!HO215&lt;&gt;"",'Calculations'!HO215,'Calculations'!HE215))))))))))))))))))))))</x:f>
      </x:c>
      <x:c r="HN215" t="str">
        <x:f>IF('Calculations'!EM215="","",IF(IFERROR(IF(INDEX(INDIRECT("'WCM Calibration Final'!$F$1:$F$2000"),'Calculations'!$EM215)="","",TRIM(INDEX(INDIRECT("'WCM Calibration Final'!$F$1:$F$2000"),'Calculations'!$EM215)&amp;"")),"")="","(Blank)",IFERROR(IF(INDEX(INDIRECT("'WCM Calibration Final'!$F$1:$F$2000"),'Calculations'!$EM215)="","",TRIM(INDEX(INDIRECT("'WCM Calibration Final'!$F$1:$F$2000"),'Calculations'!$EM215)&amp;"")),"")))</x:f>
      </x:c>
      <x:c r="HO215" t="str">
        <x:f>'Calculations'!HF215</x:f>
      </x:c>
      <x:c r="HP215" t="str">
        <x:f>IF('Calculations'!HO215="","",IF('Calculations'!HO215="!AMBIG","!AMBIG",IF(COUNTIF('Calculations'!$HE$13:$HE$512,"="&amp;SUBSTITUTE(SUBSTITUTE(SUBSTITUTE('Calculations'!HO215,"~","~~"),"*","~*"),"?","~?"))&gt;1,"!AMBIG",IFERROR(INDEX('Calculations'!$HF$13:$HF$512,MATCH('Calculations'!HO215,'Calculations'!$HE$13:$HE$512,0)),""))))</x:f>
      </x:c>
      <x:c r="HQ215" t="str">
        <x:f>IF('Calculations'!HP215="","",IF('Calculations'!HP215="!AMBIG","!AMBIG",IF(COUNTIF('Calculations'!$HE$13:$HE$512,"="&amp;SUBSTITUTE(SUBSTITUTE(SUBSTITUTE('Calculations'!HP215,"~","~~"),"*","~*"),"?","~?"))&gt;1,"!AMBIG",IFERROR(INDEX('Calculations'!$HF$13:$HF$512,MATCH('Calculations'!HP215,'Calculations'!$HE$13:$HE$512,0)),""))))</x:f>
      </x:c>
      <x:c r="HR215" t="str">
        <x:f>IF('Calculations'!HQ215="","",IF('Calculations'!HQ215="!AMBIG","!AMBIG",IF(COUNTIF('Calculations'!$HE$13:$HE$512,"="&amp;SUBSTITUTE(SUBSTITUTE(SUBSTITUTE('Calculations'!HQ215,"~","~~"),"*","~*"),"?","~?"))&gt;1,"!AMBIG",IFERROR(INDEX('Calculations'!$HF$13:$HF$512,MATCH('Calculations'!HQ215,'Calculations'!$HE$13:$HE$512,0)),""))))</x:f>
      </x:c>
      <x:c r="HS215" t="str">
        <x:f>IF('Calculations'!HR215="","",IF('Calculations'!HR215="!AMBIG","!AMBIG",IF(COUNTIF('Calculations'!$HE$13:$HE$512,"="&amp;SUBSTITUTE(SUBSTITUTE(SUBSTITUTE('Calculations'!HR215,"~","~~"),"*","~*"),"?","~?"))&gt;1,"!AMBIG",IFERROR(INDEX('Calculations'!$HF$13:$HF$512,MATCH('Calculations'!HR215,'Calculations'!$HE$13:$HE$512,0)),""))))</x:f>
      </x:c>
      <x:c r="HT215" t="str">
        <x:f>IF('Calculations'!HS215="","",IF('Calculations'!HS215="!AMBIG","!AMBIG",IF(COUNTIF('Calculations'!$HE$13:$HE$512,"="&amp;SUBSTITUTE(SUBSTITUTE(SUBSTITUTE('Calculations'!HS215,"~","~~"),"*","~*"),"?","~?"))&gt;1,"!AMBIG",IFERROR(INDEX('Calculations'!$HF$13:$HF$512,MATCH('Calculations'!HS215,'Calculations'!$HE$13:$HE$512,0)),""))))</x:f>
      </x:c>
      <x:c r="HU215" t="str">
        <x:f>IF('Calculations'!HT215="","",IF('Calculations'!HT215="!AMBIG","!AMBIG",IF(COUNTIF('Calculations'!$HE$13:$HE$512,"="&amp;SUBSTITUTE(SUBSTITUTE(SUBSTITUTE('Calculations'!HT215,"~","~~"),"*","~*"),"?","~?"))&gt;1,"!AMBIG",IFERROR(INDEX('Calculations'!$HF$13:$HF$512,MATCH('Calculations'!HT215,'Calculations'!$HE$13:$HE$512,0)),""))))</x:f>
      </x:c>
      <x:c r="HV215" t="str">
        <x:f>IF('Calculations'!HU215="","",IF('Calculations'!HU215="!AMBIG","!AMBIG",IF(COUNTIF('Calculations'!$HE$13:$HE$512,"="&amp;SUBSTITUTE(SUBSTITUTE(SUBSTITUTE('Calculations'!HU215,"~","~~"),"*","~*"),"?","~?"))&gt;1,"!AMBIG",IFERROR(INDEX('Calculations'!$HF$13:$HF$512,MATCH('Calculations'!HU215,'Calculations'!$HE$13:$HE$512,0)),""))))</x:f>
      </x:c>
      <x:c r="HW215" t="str">
        <x:f>IF('Calculations'!HV215="","",IF('Calculations'!HV215="!AMBIG","!AMBIG",IF(COUNTIF('Calculations'!$HE$13:$HE$512,"="&amp;SUBSTITUTE(SUBSTITUTE(SUBSTITUTE('Calculations'!HV215,"~","~~"),"*","~*"),"?","~?"))&gt;1,"!AMBIG",IFERROR(INDEX('Calculations'!$HF$13:$HF$512,MATCH('Calculations'!HV215,'Calculations'!$HE$13:$HE$512,0)),""))))</x:f>
      </x:c>
      <x:c r="HX215" t="str">
        <x:f>IF('Calculations'!HW215="","",IF('Calculations'!HW215="!AMBIG","!AMBIG",IF(COUNTIF('Calculations'!$HE$13:$HE$512,"="&amp;SUBSTITUTE(SUBSTITUTE(SUBSTITUTE('Calculations'!HW215,"~","~~"),"*","~*"),"?","~?"))&gt;1,"!AMBIG",IFERROR(INDEX('Calculations'!$HF$13:$HF$512,MATCH('Calculations'!HW215,'Calculations'!$HE$13:$HE$512,0)),""))))</x:f>
      </x:c>
      <x:c r="HY215" t="str">
        <x:f>IF('Calculations'!HX215="","",IF('Calculations'!HX215="!AMBIG","!AMBIG",IF(COUNTIF('Calculations'!$HE$13:$HE$512,"="&amp;SUBSTITUTE(SUBSTITUTE(SUBSTITUTE('Calculations'!HX215,"~","~~"),"*","~*"),"?","~?"))&gt;1,"!AMBIG",IFERROR(INDEX('Calculations'!$HF$13:$HF$512,MATCH('Calculations'!HX215,'Calculations'!$HE$13:$HE$512,0)),""))))</x:f>
      </x:c>
      <x:c r="HZ215" t="str">
        <x:f>IF('Calculations'!HY215="","",IF('Calculations'!HY215="!AMBIG","!AMBIG",IF(COUNTIF('Calculations'!$HE$13:$HE$512,"="&amp;SUBSTITUTE(SUBSTITUTE(SUBSTITUTE('Calculations'!HY215,"~","~~"),"*","~*"),"?","~?"))&gt;1,"!AMBIG",IFERROR(INDEX('Calculations'!$HF$13:$HF$512,MATCH('Calculations'!HY215,'Calculations'!$HE$13:$HE$512,0)),""))))</x:f>
      </x:c>
      <x:c r="IA215" t="str">
        <x:f>IF('Calculations'!HZ215="","",IF('Calculations'!HZ215="!AMBIG","!AMBIG",IF(COUNTIF('Calculations'!$HE$13:$HE$512,"="&amp;SUBSTITUTE(SUBSTITUTE(SUBSTITUTE('Calculations'!HZ215,"~","~~"),"*","~*"),"?","~?"))&gt;1,"!AMBIG",IFERROR(INDEX('Calculations'!$HF$13:$HF$512,MATCH('Calculations'!HZ215,'Calculations'!$HE$13:$HE$512,0)),""))))</x:f>
      </x:c>
      <x:c r="IB215" t="str">
        <x:f>IF('Calculations'!IA215="","",IF('Calculations'!IA215="!AMBIG","!AMBIG",IF(COUNTIF('Calculations'!$HE$13:$HE$512,"="&amp;SUBSTITUTE(SUBSTITUTE(SUBSTITUTE('Calculations'!IA215,"~","~~"),"*","~*"),"?","~?"))&gt;1,"!AMBIG",IFERROR(INDEX('Calculations'!$HF$13:$HF$512,MATCH('Calculations'!IA215,'Calculations'!$HE$13:$HE$512,0)),""))))</x:f>
      </x:c>
      <x:c r="IC215" t="str">
        <x:f>IF('Calculations'!IB215="","",IF('Calculations'!IB215="!AMBIG","!AMBIG",IF(COUNTIF('Calculations'!$HE$13:$HE$512,"="&amp;SUBSTITUTE(SUBSTITUTE(SUBSTITUTE('Calculations'!IB215,"~","~~"),"*","~*"),"?","~?"))&gt;1,"!AMBIG",IFERROR(INDEX('Calculations'!$HF$13:$HF$512,MATCH('Calculations'!IB215,'Calculations'!$HE$13:$HE$512,0)),""))))</x:f>
      </x:c>
      <x:c r="ID215" t="str">
        <x:f>IF('Calculations'!IC215="","",IF('Calculations'!IC215="!AMBIG","!AMBIG",IF(COUNTIF('Calculations'!$HE$13:$HE$512,"="&amp;SUBSTITUTE(SUBSTITUTE(SUBSTITUTE('Calculations'!IC215,"~","~~"),"*","~*"),"?","~?"))&gt;1,"!AMBIG",IFERROR(INDEX('Calculations'!$HF$13:$HF$512,MATCH('Calculations'!IC215,'Calculations'!$HE$13:$HE$512,0)),""))))</x:f>
      </x:c>
      <x:c r="IE215" t="str">
        <x:f>IF('Calculations'!ID215="","",IF('Calculations'!ID215="!AMBIG","!AMBIG",IF(COUNTIF('Calculations'!$HE$13:$HE$512,"="&amp;SUBSTITUTE(SUBSTITUTE(SUBSTITUTE('Calculations'!ID215,"~","~~"),"*","~*"),"?","~?"))&gt;1,"!AMBIG",IFERROR(INDEX('Calculations'!$HF$13:$HF$512,MATCH('Calculations'!ID215,'Calculations'!$HE$13:$HE$512,0)),""))))</x:f>
      </x:c>
      <x:c r="IF215" t="str">
        <x:f>IF('Calculations'!IE215="","",IF('Calculations'!IE215="!AMBIG","!AMBIG",IF(COUNTIF('Calculations'!$HE$13:$HE$512,"="&amp;SUBSTITUTE(SUBSTITUTE(SUBSTITUTE('Calculations'!IE215,"~","~~"),"*","~*"),"?","~?"))&gt;1,"!AMBIG",IFERROR(INDEX('Calculations'!$HF$13:$HF$512,MATCH('Calculations'!IE215,'Calculations'!$HE$13:$HE$512,0)),""))))</x:f>
      </x:c>
      <x:c r="IG215" t="str">
        <x:f>IF('Calculations'!IF215="","",IF('Calculations'!IF215="!AMBIG","!AMBIG",IF(COUNTIF('Calculations'!$HE$13:$HE$512,"="&amp;SUBSTITUTE(SUBSTITUTE(SUBSTITUTE('Calculations'!IF215,"~","~~"),"*","~*"),"?","~?"))&gt;1,"!AMBIG",IFERROR(INDEX('Calculations'!$HF$13:$HF$512,MATCH('Calculations'!IF215,'Calculations'!$HE$13:$HE$512,0)),""))))</x:f>
      </x:c>
      <x:c r="IH215" t="str">
        <x:f>IF('Calculations'!IG215="","",IF('Calculations'!IG215="!AMBIG","!AMBIG",IF(COUNTIF('Calculations'!$HE$13:$HE$512,"="&amp;SUBSTITUTE(SUBSTITUTE(SUBSTITUTE('Calculations'!IG215,"~","~~"),"*","~*"),"?","~?"))&gt;1,"!AMBIG",IFERROR(INDEX('Calculations'!$HF$13:$HF$512,MATCH('Calculations'!IG215,'Calculations'!$HE$13:$HE$512,0)),""))))</x:f>
      </x:c>
      <x:c r="II215" t="str">
        <x:f>IF('Calculations'!IH215="","",IF('Calculations'!IH215="!AMBIG","!AMBIG",IF(COUNTIF('Calculations'!$HE$13:$HE$512,"="&amp;SUBSTITUTE(SUBSTITUTE(SUBSTITUTE('Calculations'!IH215,"~","~~"),"*","~*"),"?","~?"))&gt;1,"!AMBIG",IFERROR(INDEX('Calculations'!$HF$13:$HF$512,MATCH('Calculations'!IH215,'Calculations'!$HE$13:$HE$512,0)),""))))</x:f>
      </x:c>
      <x:c r="IJ215" t="str">
        <x:f>IF('Calculations'!EM215="","",IF('Calculations'!$EF$2="All",'Calculations'!HM215,IF('Calculations'!HL215=1,"",IFERROR(IF(MATCH('Calculations'!$EF$2,'Calculations'!HO215:II215,0)=1,'Calculations'!HE215,INDEX('Calculations'!HO215:II215,1,MATCH('Calculations'!$EF$2,'Calculations'!HO215:II215,0)-1)),""))))</x:f>
      </x:c>
      <x:c r="IK215" t="n">
        <x:f>IF(AND('Calculations'!EM215&lt;&gt;"",'Calculations'!$EF$2&lt;&gt;"All",'Calculations'!HF215='Calculations'!$EF$2,'Calculations'!HL215=0,'Calculations'!JD215&gt;0),MAX('Calculations'!$IK$12:IK214)+1,0)</x:f>
        <x:v>0</x:v>
      </x:c>
      <x:c r="JA215" t="n">
        <x:f>IF(OR(IFERROR(INDIRECT("'WCM Calibration Final'!$A$215")&lt;&gt;"",FALSE),IFERROR(INDIRECT("'WCM Calibration Final'!$B$215")&lt;&gt;"",FALSE),IFERROR(INDIRECT("'WCM Calibration Final'!$C$215")&lt;&gt;"",FALSE)),215,0)</x:f>
        <x:v>0</x:v>
      </x:c>
      <x:c r="JB215" t="n">
        <x:f>'Calculations'!JB214+IF('Calculations'!JA215&gt;0,1,0)</x:f>
        <x:v>0</x:v>
      </x:c>
      <x:c r="JC215" t="n">
        <x:f>IF(OR('Calculations'!HF215="",'Calculations'!HF215="!AMBIG"),0,IF('Dashboard'!$B$7="All",1,COUNTIFS('Calculations'!$HO$13:$HO$512,"="&amp;SUBSTITUTE(SUBSTITUTE(SUBSTITUTE('Calculations'!HF215,"~","~~"),"*","~*"),"?","~?"),'Calculations'!$HN$13:$HN$512,"="&amp;SUBSTITUTE(SUBSTITUTE(SUBSTITUTE('Dashboard'!$B$7,"~","~~"),"*","~*"),"?","~?"))+COUNTIFS('Calculations'!$HP$13:$HP$512,"="&amp;SUBSTITUTE(SUBSTITUTE(SUBSTITUTE('Calculations'!HF215,"~","~~"),"*","~*"),"?","~?"),'Calculations'!$HN$13:$HN$512,"="&amp;SUBSTITUTE(SUBSTITUTE(SUBSTITUTE('Dashboard'!$B$7,"~","~~"),"*","~*"),"?","~?"))+COUNTIFS('Calculations'!$HQ$13:$HQ$512,"="&amp;SUBSTITUTE(SUBSTITUTE(SUBSTITUTE('Calculations'!HF215,"~","~~"),"*","~*"),"?","~?"),'Calculations'!$HN$13:$HN$512,"="&amp;SUBSTITUTE(SUBSTITUTE(SUBSTITUTE('Dashboard'!$B$7,"~","~~"),"*","~*"),"?","~?"))+COUNTIFS('Calculations'!$HR$13:$HR$512,"="&amp;SUBSTITUTE(SUBSTITUTE(SUBSTITUTE('Calculations'!HF215,"~","~~"),"*","~*"),"?","~?"),'Calculations'!$HN$13:$HN$512,"="&amp;SUBSTITUTE(SUBSTITUTE(SUBSTITUTE('Dashboard'!$B$7,"~","~~"),"*","~*"),"?","~?"))+COUNTIFS('Calculations'!$HS$13:$HS$512,"="&amp;SUBSTITUTE(SUBSTITUTE(SUBSTITUTE('Calculations'!HF215,"~","~~"),"*","~*"),"?","~?"),'Calculations'!$HN$13:$HN$512,"="&amp;SUBSTITUTE(SUBSTITUTE(SUBSTITUTE('Dashboard'!$B$7,"~","~~"),"*","~*"),"?","~?"))+COUNTIFS('Calculations'!$HT$13:$HT$512,"="&amp;SUBSTITUTE(SUBSTITUTE(SUBSTITUTE('Calculations'!HF215,"~","~~"),"*","~*"),"?","~?"),'Calculations'!$HN$13:$HN$512,"="&amp;SUBSTITUTE(SUBSTITUTE(SUBSTITUTE('Dashboard'!$B$7,"~","~~"),"*","~*"),"?","~?"))+COUNTIFS('Calculations'!$HU$13:$HU$512,"="&amp;SUBSTITUTE(SUBSTITUTE(SUBSTITUTE('Calculations'!HF215,"~","~~"),"*","~*"),"?","~?"),'Calculations'!$HN$13:$HN$512,"="&amp;SUBSTITUTE(SUBSTITUTE(SUBSTITUTE('Dashboard'!$B$7,"~","~~"),"*","~*"),"?","~?"))+COUNTIFS('Calculations'!$HV$13:$HV$512,"="&amp;SUBSTITUTE(SUBSTITUTE(SUBSTITUTE('Calculations'!HF215,"~","~~"),"*","~*"),"?","~?"),'Calculations'!$HN$13:$HN$512,"="&amp;SUBSTITUTE(SUBSTITUTE(SUBSTITUTE('Dashboard'!$B$7,"~","~~"),"*","~*"),"?","~?"))+COUNTIFS('Calculations'!$HW$13:$HW$512,"="&amp;SUBSTITUTE(SUBSTITUTE(SUBSTITUTE('Calculations'!HF215,"~","~~"),"*","~*"),"?","~?"),'Calculations'!$HN$13:$HN$512,"="&amp;SUBSTITUTE(SUBSTITUTE(SUBSTITUTE('Dashboard'!$B$7,"~","~~"),"*","~*"),"?","~?"))+COUNTIFS('Calculations'!$HX$13:$HX$512,"="&amp;SUBSTITUTE(SUBSTITUTE(SUBSTITUTE('Calculations'!HF215,"~","~~"),"*","~*"),"?","~?"),'Calculations'!$HN$13:$HN$512,"="&amp;SUBSTITUTE(SUBSTITUTE(SUBSTITUTE('Dashboard'!$B$7,"~","~~"),"*","~*"),"?","~?"))+COUNTIFS('Calculations'!$HY$13:$HY$512,"="&amp;SUBSTITUTE(SUBSTITUTE(SUBSTITUTE('Calculations'!HF215,"~","~~"),"*","~*"),"?","~?"),'Calculations'!$HN$13:$HN$512,"="&amp;SUBSTITUTE(SUBSTITUTE(SUBSTITUTE('Dashboard'!$B$7,"~","~~"),"*","~*"),"?","~?"))+COUNTIFS('Calculations'!$HZ$13:$HZ$512,"="&amp;SUBSTITUTE(SUBSTITUTE(SUBSTITUTE('Calculations'!HF215,"~","~~"),"*","~*"),"?","~?"),'Calculations'!$HN$13:$HN$512,"="&amp;SUBSTITUTE(SUBSTITUTE(SUBSTITUTE('Dashboard'!$B$7,"~","~~"),"*","~*"),"?","~?"))+COUNTIFS('Calculations'!$IA$13:$IA$512,"="&amp;SUBSTITUTE(SUBSTITUTE(SUBSTITUTE('Calculations'!HF215,"~","~~"),"*","~*"),"?","~?"),'Calculations'!$HN$13:$HN$512,"="&amp;SUBSTITUTE(SUBSTITUTE(SUBSTITUTE('Dashboard'!$B$7,"~","~~"),"*","~*"),"?","~?"))+COUNTIFS('Calculations'!$IB$13:$IB$512,"="&amp;SUBSTITUTE(SUBSTITUTE(SUBSTITUTE('Calculations'!HF215,"~","~~"),"*","~*"),"?","~?"),'Calculations'!$HN$13:$HN$512,"="&amp;SUBSTITUTE(SUBSTITUTE(SUBSTITUTE('Dashboard'!$B$7,"~","~~"),"*","~*"),"?","~?"))+COUNTIFS('Calculations'!$IC$13:$IC$512,"="&amp;SUBSTITUTE(SUBSTITUTE(SUBSTITUTE('Calculations'!HF215,"~","~~"),"*","~*"),"?","~?"),'Calculations'!$HN$13:$HN$512,"="&amp;SUBSTITUTE(SUBSTITUTE(SUBSTITUTE('Dashboard'!$B$7,"~","~~"),"*","~*"),"?","~?"))+COUNTIFS('Calculations'!$ID$13:$ID$512,"="&amp;SUBSTITUTE(SUBSTITUTE(SUBSTITUTE('Calculations'!HF215,"~","~~"),"*","~*"),"?","~?"),'Calculations'!$HN$13:$HN$512,"="&amp;SUBSTITUTE(SUBSTITUTE(SUBSTITUTE('Dashboard'!$B$7,"~","~~"),"*","~*"),"?","~?"))+COUNTIFS('Calculations'!$IE$13:$IE$512,"="&amp;SUBSTITUTE(SUBSTITUTE(SUBSTITUTE('Calculations'!HF215,"~","~~"),"*","~*"),"?","~?"),'Calculations'!$HN$13:$HN$512,"="&amp;SUBSTITUTE(SUBSTITUTE(SUBSTITUTE('Dashboard'!$B$7,"~","~~"),"*","~*"),"?","~?"))+COUNTIFS('Calculations'!$IF$13:$IF$512,"="&amp;SUBSTITUTE(SUBSTITUTE(SUBSTITUTE('Calculations'!HF215,"~","~~"),"*","~*"),"?","~?"),'Calculations'!$HN$13:$HN$512,"="&amp;SUBSTITUTE(SUBSTITUTE(SUBSTITUTE('Dashboard'!$B$7,"~","~~"),"*","~*"),"?","~?"))+COUNTIFS('Calculations'!$IG$13:$IG$512,"="&amp;SUBSTITUTE(SUBSTITUTE(SUBSTITUTE('Calculations'!HF215,"~","~~"),"*","~*"),"?","~?"),'Calculations'!$HN$13:$HN$512,"="&amp;SUBSTITUTE(SUBSTITUTE(SUBSTITUTE('Dashboard'!$B$7,"~","~~"),"*","~*"),"?","~?"))+COUNTIFS('Calculations'!$IH$13:$IH$512,"="&amp;SUBSTITUTE(SUBSTITUTE(SUBSTITUTE('Calculations'!HF215,"~","~~"),"*","~*"),"?","~?"),'Calculations'!$HN$13:$HN$512,"="&amp;SUBSTITUTE(SUBSTITUTE(SUBSTITUTE('Dashboard'!$B$7,"~","~~"),"*","~*"),"?","~?"))))</x:f>
        <x:v>0</x:v>
      </x:c>
      <x:c r="JD215" t="n">
        <x:f>IF('Calculations'!EM215="",0,IF('Dashboard'!$B$7="All",1,IF('Calculations'!HN215='Dashboard'!$B$7,1,0)+IFERROR(INDEX('Calculations'!$JC$13:$JC$512,MATCH('Calculations'!HE215,'Calculations'!$HF$13:$HF$512,0)),0)))</x:f>
        <x:v>0</x:v>
      </x:c>
      <x:c r="JE215" t="n">
        <x:f>IF(AND('Calculations'!EM215&lt;&gt;"",'Calculations'!$JJ$2&lt;&gt;"All",'Calculations'!$JJ$2&lt;&gt;"",'Calculations'!HF215='Calculations'!$JJ$2,'Calculations'!HL215=0,'Calculations'!JD215&gt;0),MAX('Calculations'!$JE$12:JE214)+1,0)</x:f>
        <x:v>0</x:v>
      </x:c>
      <x:c r="JF215" t="str">
        <x:f>IF('Calculations'!EM215="","",IFERROR(IF(INDEX(INDIRECT("'WCM Calibration Final'!$G$1:$G$2000"),'Calculations'!$EM215)="","",TRIM(INDEX(INDIRECT("'WCM Calibration Final'!$G$1:$G$2000"),'Calculations'!$EM215)&amp;"")),""))</x:f>
      </x:c>
      <x:c r="JQ215" t="n">
        <x:f>IF(OR('Calculations'!BM215=0,NOT('Calculations'!$AG$2),'Calculations'!$AG$8&gt;0),0,IF(OR('Dashboard'!$B$7="All",'Calculations'!HN215='Dashboard'!$B$7),IF('Calculations'!$JJ$2="All",1,IF(AND('Calculations'!HF215='Calculations'!$JJ$2,'Calculations'!HL215=0),1,0)),0))</x:f>
        <x:v>0</x:v>
      </x:c>
    </x:row>
    <x:row r="216">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t="n">
        <x:f>IF('Calculations'!$EM216="",0,IF(OR(IFERROR(INDEX(INDIRECT("'WCM Calibration Final'!$A$1:$A$2000"),'Calculations'!$EM216)&lt;&gt;"",FALSE),IFERROR(INDEX(INDIRECT("'WCM Calibration Final'!$B$1:$B$2000"),'Calculations'!$EM216)&lt;&gt;"",FALSE),IFERROR(INDEX(INDIRECT("'WCM Calibration Final'!$C$1:$C$2000"),'Calculations'!$EM216)&lt;&gt;"",FALSE)),1,0))</x:f>
        <x:v>0</x:v>
      </x:c>
      <x:c r="BN216" s="4" t="n">
        <x:f>IF(AND('Calculations'!BM216=1,'Calculations'!$AG$2,'Calculations'!$EN216=1),1,0)</x:f>
        <x:v>0</x:v>
      </x:c>
      <x:c r="BO216" s="4" t="str">
        <x:f>IF('Calculations'!BM216=0,"",IFERROR(IF(AND(VALUE(INDEX(INDIRECT("'WCM Calibration Final'!$K$1:$K$2000"),'Calculations'!$EM216))&gt;=1,VALUE(INDEX(INDIRECT("'WCM Calibration Final'!$K$1:$K$2000"),'Calculations'!$EM216))&lt;=4,MOD(VALUE(INDEX(INDIRECT("'WCM Calibration Final'!$K$1:$K$2000"),'Calculations'!$EM216)),1)=0),VALUE(INDEX(INDIRECT("'WCM Calibration Final'!$K$1:$K$2000"),'Calculations'!$EM216)),""),""))</x:f>
      </x:c>
      <x:c r="BP216" s="4" t="str">
        <x:f>IF('Calculations'!BM216=0,"",IFERROR(IF(AND(VALUE(INDEX(INDIRECT("'WCM Calibration Final'!$L$1:$L$2000"),'Calculations'!$EM216))&gt;=1,VALUE(INDEX(INDIRECT("'WCM Calibration Final'!$L$1:$L$2000"),'Calculations'!$EM216))&lt;=4,MOD(VALUE(INDEX(INDIRECT("'WCM Calibration Final'!$L$1:$L$2000"),'Calculations'!$EM216)),1)=0),VALUE(INDEX(INDIRECT("'WCM Calibration Final'!$L$1:$L$2000"),'Calculations'!$EM216)),""),""))</x:f>
      </x:c>
      <x:c r="BQ216" s="4"/>
      <x:c r="BR216" s="4"/>
      <x:c r="BS216" s="4"/>
      <x:c r="BT216" s="4" t="n">
        <x:f>IF(AND('Calculations'!BM216=1,ISNUMBER('Calculations'!BO216),ISNUMBER('Calculations'!BP216)),1,0)</x:f>
        <x:v>0</x:v>
      </x:c>
      <x:c r="BU216" s="4" t="str">
        <x:f>IF('Calculations'!BM216=0,"",'Calculations'!$EO216)</x:f>
      </x:c>
      <x:c r="BV216" s="4" t="str">
        <x:f>IF('Calculations'!BM216=0,"",IFERROR(IF(OR(INDEX(INDIRECT("'WCM Calibration Final'!$H$1:$H$2000"),'Calculations'!$EM216)="MANAGING DIRECTOR",INDEX(INDIRECT("'WCM Calibration Final'!$H$1:$H$2000"),'Calculations'!$EM216)="DIRECTOR",INDEX(INDIRECT("'WCM Calibration Final'!$H$1:$H$2000"),'Calculations'!$EM216)="SENIOR VICE PRESIDENT",INDEX(INDIRECT("'WCM Calibration Final'!$H$1:$H$2000"),'Calculations'!$EM216)="VICE PRESIDENT",INDEX(INDIRECT("'WCM Calibration Final'!$H$1:$H$2000"),'Calculations'!$EM216)="ASSISTANT VICE PRESIDENT",INDEX(INDIRECT("'WCM Calibration Final'!$H$1:$H$2000"),'Calculations'!$EM216)="OFFICER"),UPPER(INDEX(INDIRECT("'WCM Calibration Final'!$H$1:$H$2000"),'Calculations'!$EM216)),"Other"),"Other"))</x:f>
      </x:c>
      <x:c r="BW216" s="4"/>
      <x:c r="BX216" s="4"/>
      <x:c r="BY216" s="4" t="n">
        <x:f>IF(AND('Calculations'!BM216=1,'Calculations'!BU216&lt;&gt;"",COUNTIF('Calculations'!$BU$12:BU216,'Calculations'!BU216)=1),MAX('Calculations'!$BY$11:BY215)+1,0)</x:f>
        <x:v>0</x:v>
      </x:c>
      <x:c r="BZ216" s="4" t="str">
        <x:f>IF('Dashboard'!$E$67="What",'Calculations'!BO216,'Calculations'!BP216)</x:f>
      </x:c>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t="str">
        <x:f>IF(205&gt;MAX('Calculations'!$HI$13:$HI$512),"",INDEX('Calculations'!$HN$13:$HN$512,MATCH(205,'Calculations'!$HI$13:$HI$512,0)))</x:f>
      </x:c>
      <x:c r="DB216" s="4" t="str">
        <x:f>IF(205&gt;MAX('Calculations'!$HH$13:$HH$512),"",INDEX('Calculations'!$HJ$13:$HJ$512,MATCH(205,'Calculations'!$HH$13:$HH$512,0)))</x:f>
      </x:c>
      <x:c r="DC216" s="4" t="str">
        <x:f>IF(ROW()-11&gt;MAX('Calculations'!$BY$13:$BY$512),"",INDEX('Calculations'!$BU$13:$BU$512,MATCH(ROW()-11,'Calculations'!$BY$13:$BY$512,0)))</x:f>
      </x:c>
      <x:c r="DD216" s="4" t="str">
        <x:f>IF(205&gt;MAX('Calculations'!$IK$13:$IK$512),"",INDEX('Calculations'!$HK$13:$HK$512,MATCH(205,'Calculations'!$IK$13:$IK$512,0)))</x:f>
      </x:c>
      <x:c r="DE216" s="4" t="str">
        <x:f>'Calculations'!DC216</x:f>
      </x:c>
      <x:c r="DF216" s="4" t="str">
        <x:f>IF('Calculations'!DE216="","",COUNTIFS('Calculations'!$BN$13:$BN$512,1,'Calculations'!$BU$13:$BU$512,'Calculations'!DE216))</x:f>
      </x:c>
      <x:c r="DG216" s="4" t="str">
        <x:f>IF('Calculations'!DE216="","",COUNTIFS('Calculations'!$BN$13:$BN$512,1,'Calculations'!$BU$13:$BU$512,'Calculations'!DE216,'Calculations'!$BT$13:$BT$512,1))</x:f>
      </x:c>
      <x:c r="DH216" s="4" t="str">
        <x:f>IF('Calculations'!DE216="","",'Calculations'!DF216-'Calculations'!DG216)</x:f>
      </x:c>
      <x:c r="DI216" s="4" t="str">
        <x:f>IF(OR('Calculations'!DE216="",'Calculations'!DF216=0),"",'Calculations'!DG216/'Calculations'!DF216)</x:f>
      </x:c>
      <x:c r="DJ216" s="4" t="str">
        <x:f>IF('Calculations'!DE216="","",COUNTIFS('Calculations'!$BN$13:$BN$512,1,'Calculations'!$BU$13:$BU$512,'Calculations'!DE216,'Calculations'!$BT$13:$BT$512,1,'Calculations'!$EE$13:$EE$512,"High"))</x:f>
      </x:c>
      <x:c r="DK216" s="4" t="str">
        <x:f>IF('Calculations'!DE216="","",COUNTIFS('Calculations'!$BN$13:$BN$512,1,'Calculations'!$BU$13:$BU$512,'Calculations'!DE216,'Calculations'!$BT$13:$BT$512,1,'Calculations'!$EE$13:$EE$512,"Strong"))</x:f>
      </x:c>
      <x:c r="DL216" s="4" t="str">
        <x:f>IF('Calculations'!DE216="","",COUNTIFS('Calculations'!$BN$13:$BN$512,1,'Calculations'!$BU$13:$BU$512,'Calculations'!DE216,'Calculations'!$BT$13:$BT$512,1,'Calculations'!$EE$13:$EE$512,"Solid"))</x:f>
      </x:c>
      <x:c r="DM216" s="4" t="str">
        <x:f>IF('Calculations'!DE216="","",COUNTIFS('Calculations'!$BN$13:$BN$512,1,'Calculations'!$BU$13:$BU$512,'Calculations'!DE216,'Calculations'!$BT$13:$BT$512,1,'Calculations'!$EE$13:$EE$512,"Low"))</x:f>
      </x:c>
      <x:c r="DN216" s="4" t="str">
        <x:f>IF('Calculations'!DE216="","",COUNTIFS('Calculations'!$BN$13:$BN$512,1,'Calculations'!$BU$13:$BU$512,'Calculations'!DE216,'Calculations'!$EP$13:$EP$512,1))</x:f>
      </x:c>
      <x:c r="DO216" s="4" t="str">
        <x:f>IF(OR('Calculations'!DE216="",'Calculations'!DG216=0),"",('Calculations'!DJ216+'Calculations'!DK216)/'Calculations'!DG216)</x:f>
      </x:c>
      <x:c r="DP216" s="4" t="n">
        <x:f>IF(AND('Calculations'!DE216&lt;&gt;"",'Calculations'!DF216&gt;0),COUNTIF('Calculations'!$DF$12:DF216,"&gt;0"),0)</x:f>
        <x:v>0</x:v>
      </x:c>
      <x:c r="DQ216" s="4" t="str">
        <x:f>IF(205&gt;MAX('Calculations'!$HH$13:$HH$512),"",INDEX('Calculations'!$HF$13:$HF$512,MATCH(205,'Calculations'!$HH$13:$HH$512,0)))</x:f>
      </x:c>
      <x:c r="DR216" s="4" t="str">
        <x:f>IF(205&gt;MAX('Calculations'!$IK$13:$IK$512),"",INDEX('Calculations'!$HE$13:$HE$512,MATCH(205,'Calculations'!$IK$13:$IK$512,0)))</x:f>
      </x:c>
      <x:c r="DS216" s="4"/>
      <x:c r="DT216" s="4"/>
      <x:c r="DU216" s="4"/>
      <x:c r="DV216" s="4"/>
      <x:c r="DW216" s="4"/>
      <x:c r="DX216" s="4"/>
      <x:c r="DY216" s="4"/>
      <x:c r="DZ216" s="4"/>
      <x:c r="EA216" s="4"/>
      <x:c r="EB216" s="4"/>
      <x:c r="EC216" s="4"/>
      <x:c r="ED216" s="4"/>
      <x:c r="EE216" s="4" t="str">
        <x:f>IF('Calculations'!BT216=0,"Not Rated",IF(OR('Calculations'!BO216&gt;=4,'Calculations'!BP216&gt;=4),"Low",IF('Calculations'!BO216+'Calculations'!BP216&lt;=3,"High",IF('Calculations'!BO216+'Calculations'!BP216&lt;=4,"Strong","Solid"))))</x:f>
        <x:v>Not Rated</x:v>
      </x:c>
      <x:c r="EF216" s="4"/>
      <x:c r="EG216" s="4"/>
      <x:c r="EH216" s="4"/>
      <x:c r="EI216" s="4"/>
      <x:c r="EJ216" s="4"/>
      <x:c r="EK216" s="4"/>
      <x:c r="EL216" s="4"/>
      <x:c r="EM216" s="4" t="str">
        <x:f>IF(204&gt;'Calculations'!$JB$2000,"",INDEX('Calculations'!$JA$12:$JA$2000,MATCH(204,'Calculations'!$JB$12:$JB$2000,0)))</x:f>
      </x:c>
      <x:c r="EN216" s="4" t="n">
        <x:f>IF(OR('Calculations'!EM216="",'Calculations'!$AG$8&gt;0,AND('Calculations'!$EF$2&lt;&gt;"All",'Calculations'!HE216='Calculations'!$EF$2),AND('Calculations'!$EF$3&lt;&gt;"All",'Calculations'!HE216='Calculations'!$EF$3)),0,IF(OR('Dashboard'!$B$7="All",'Calculations'!HN216='Dashboard'!$B$7),IF('Calculations'!$EF$2="All",1,IF('Calculations'!HL216&gt;0,0,IF(COUNTIF('Calculations'!HO216:II216,"="&amp;SUBSTITUTE(SUBSTITUTE(SUBSTITUTE('Calculations'!$EF$2,"~","~~"),"*","~*"),"?","~?"))=0,0,IF('Calculations'!$EF$3="All",1,IF(COUNTIF('Calculations'!HO216:II216,"="&amp;SUBSTITUTE(SUBSTITUTE(SUBSTITUTE('Calculations'!$EF$3,"~","~~"),"*","~*"),"?","~?"))&gt;0,1,0))))),0))</x:f>
        <x:v>0</x:v>
      </x:c>
      <x:c r="EO216" s="4" t="str">
        <x:f>IF('Calculations'!IJ216="","",IF('Calculations'!IJ216="!UNRESOLVED","Unresolved hierarchy",IFERROR(INDEX('Calculations'!$HK$13:$HK$512,MATCH('Calculations'!IJ216,'Calculations'!$HE$13:$HE$512,0)),IFERROR(INDEX('Calculations'!$HJ$13:$HJ$512,MATCH('Calculations'!IJ216,'Calculations'!$HF$13:$HF$512,0)),'Calculations'!IJ216))))</x:f>
      </x:c>
      <x:c r="EP216" s="4" t="n">
        <x:f>IF(AND('Calculations'!EM216&lt;&gt;"",'Calculations'!HF216='Calculations'!IJ216),1,0)</x:f>
        <x:v>0</x:v>
      </x:c>
      <x:c r="EQ216" s="4"/>
      <x:c r="ER216" s="4"/>
      <x:c r="ES216" s="4"/>
      <x:c r="ET216" s="4"/>
      <x:c r="EU216" s="4"/>
      <x:c r="EV216" s="4"/>
      <x:c r="EW216" s="4"/>
      <x:c r="EX216" s="4"/>
      <x:c r="EY216" s="4"/>
      <x:c r="EZ216" s="4"/>
      <x:c r="FA216" s="4"/>
      <x:c r="FB216" s="4"/>
      <x:c r="FC216" s="4"/>
      <x:c r="FD216" s="4"/>
      <x:c r="FE216" s="4"/>
      <x:c r="FF216" s="4"/>
      <x:c r="FG216" s="4"/>
      <x:c r="FH216" s="4"/>
      <x:c r="FI216" s="4"/>
      <x:c r="FJ216" s="4"/>
      <x:c r="FK216" s="4"/>
      <x:c r="FL216" s="4"/>
      <x:c r="FM216" s="4"/>
      <x:c r="FN216" s="4"/>
      <x:c r="FO216" s="4"/>
      <x:c r="HE216" t="str">
        <x:f>IF('Calculations'!EM216="","",IF(IFERROR(IF(INDEX(INDIRECT("'WCM Calibration Final'!$A$1:$A$2000"),'Calculations'!$EM216)="","",TRIM(INDEX(INDIRECT("'WCM Calibration Final'!$A$1:$A$2000"),'Calculations'!$EM216)&amp;"")),"")&lt;&gt;"","G:"&amp;IFERROR(TEXT(1*INDEX(INDIRECT("'WCM Calibration Final'!$A$1:$A$2000"),'Calculations'!$EM216),"0"),UPPER(IFERROR(IF(INDEX(INDIRECT("'WCM Calibration Final'!$A$1:$A$2000"),'Calculations'!$EM216)="","",TRIM(INDEX(INDIRECT("'WCM Calibration Final'!$A$1:$A$2000"),'Calculations'!$EM216)&amp;"")),""))),IF(IFERROR(IF(INDEX(INDIRECT("'WCM Calibration Final'!$C$1:$C$2000"),'Calculations'!$EM216)="","",TRIM(INDEX(INDIRECT("'WCM Calibration Final'!$C$1:$C$2000"),'Calculations'!$EM216)&amp;"")),"")&lt;&gt;"","S:"&amp;UPPER(IFERROR(IF(INDEX(INDIRECT("'WCM Calibration Final'!$C$1:$C$2000"),'Calculations'!$EM216)="","",TRIM(INDEX(INDIRECT("'WCM Calibration Final'!$C$1:$C$2000"),'Calculations'!$EM216)&amp;"")),"")),"R:"&amp;'Calculations'!EM216)))</x:f>
      </x:c>
      <x:c r="HF216" t="str">
        <x:f>IF('Calculations'!EM216="","",IF(IFERROR(IF(INDEX(INDIRECT("'WCM Calibration Final'!$D$1:$D$2000"),'Calculations'!$EM216)="","",TRIM(INDEX(INDIRECT("'WCM Calibration Final'!$D$1:$D$2000"),'Calculations'!$EM216)&amp;"")),"")&lt;&gt;"","G:"&amp;IFERROR(TEXT(1*INDEX(INDIRECT("'WCM Calibration Final'!$D$1:$D$2000"),'Calculations'!$EM216),"0"),UPPER(IFERROR(IF(INDEX(INDIRECT("'WCM Calibration Final'!$D$1:$D$2000"),'Calculations'!$EM216)="","",TRIM(INDEX(INDIRECT("'WCM Calibration Final'!$D$1:$D$2000"),'Calculations'!$EM216)&amp;"")),""))),IF(IFERROR(IF(INDEX(INDIRECT("'WCM Calibration Final'!$E$1:$E$2000"),'Calculations'!$EM216)="","",TRIM(INDEX(INDIRECT("'WCM Calibration Final'!$E$1:$E$2000"),'Calculations'!$EM216)&amp;"")),"")="","",IF(COUNTIF('Calculations'!$HG$13:$HG$512,"="&amp;SUBSTITUTE(SUBSTITUTE(SUBSTITUTE(IFERROR(IF(INDEX(INDIRECT("'WCM Calibration Final'!$E$1:$E$2000"),'Calculations'!$EM216)="","",TRIM(INDEX(INDIRECT("'WCM Calibration Final'!$E$1:$E$2000"),'Calculations'!$EM216)&amp;"")),""),"~","~~"),"*","~*"),"?","~?"))=1,INDEX('Calculations'!$HE$13:$HE$512,MATCH(IFERROR(IF(INDEX(INDIRECT("'WCM Calibration Final'!$E$1:$E$2000"),'Calculations'!$EM216)="","",TRIM(INDEX(INDIRECT("'WCM Calibration Final'!$E$1:$E$2000"),'Calculations'!$EM216)&amp;"")),""),'Calculations'!$HG$13:$HG$512,0)),IF(COUNTIF('Calculations'!$HG$13:$HG$512,"="&amp;SUBSTITUTE(SUBSTITUTE(SUBSTITUTE(IFERROR(IF(INDEX(INDIRECT("'WCM Calibration Final'!$E$1:$E$2000"),'Calculations'!$EM216)="","",TRIM(INDEX(INDIRECT("'WCM Calibration Final'!$E$1:$E$2000"),'Calculations'!$EM216)&amp;"")),""),"~","~~"),"*","~*"),"?","~?"))&gt;1,"!AMBIG","X:"&amp;IFERROR(IF(INDEX(INDIRECT("'WCM Calibration Final'!$E$1:$E$2000"),'Calculations'!$EM216)="","",TRIM(INDEX(INDIRECT("'WCM Calibration Final'!$E$1:$E$2000"),'Calculations'!$EM216)&amp;"")),""))))))</x:f>
      </x:c>
      <x:c r="HG216" t="str">
        <x:f>IF('Calculations'!EM216="","",IFERROR(IF(INDEX(INDIRECT("'WCM Calibration Final'!$B$1:$B$2000"),'Calculations'!$EM216)="","",TRIM(INDEX(INDIRECT("'WCM Calibration Final'!$B$1:$B$2000"),'Calculations'!$EM216)&amp;"")),""))</x:f>
      </x:c>
      <x:c r="HH216" t="n">
        <x:f>IF(AND('Calculations'!JC216&gt;0,COUNTIF('Calculations'!$HF$12:HF216,"="&amp;SUBSTITUTE(SUBSTITUTE(SUBSTITUTE('Calculations'!HF216,"~","~~"),"*","~*"),"?","~?"))=1),MAX('Calculations'!$HH$12:HH215)+1,0)</x:f>
        <x:v>0</x:v>
      </x:c>
      <x:c r="HI216" t="n">
        <x:f>IF(AND('Calculations'!HN216&lt;&gt;"",COUNTIF('Calculations'!$HN$12:HN216,"="&amp;SUBSTITUTE(SUBSTITUTE(SUBSTITUTE('Calculations'!HN216,"~","~~"),"*","~*"),"?","~?"))=1),MAX('Calculations'!$HI$12:HI215)+1,0)</x:f>
        <x:v>0</x:v>
      </x:c>
      <x:c r="HJ216" t="str">
        <x:f>IF('Calculations'!HF216="","",IF(COUNTIF('Calculations'!$HE$13:$HE$512,"="&amp;SUBSTITUTE(SUBSTITUTE(SUBSTITUTE('Calculations'!HF216,"~","~~"),"*","~*"),"?","~?"))=1,INDEX('Calculations'!$HK$13:$HK$512,MATCH('Calculations'!HF216,'Calculations'!$HE$13:$HE$512,0)),IFERROR(IF(INDEX(INDIRECT("'WCM Calibration Final'!$E$1:$E$2000"),'Calculations'!$EM216)="","",TRIM(INDEX(INDIRECT("'WCM Calibration Final'!$E$1:$E$2000"),'Calculations'!$EM216)&amp;"")),"")&amp;" ["&amp;'Calculations'!HF216&amp;"]"))</x:f>
      </x:c>
      <x:c r="HK216" t="str">
        <x:f>IF('Calculations'!EM216="","",'Calculations'!HG216&amp;" ["&amp;'Calculations'!HE216&amp;"]")</x:f>
      </x:c>
      <x:c r="HL216" t="n">
        <x:f>IF('Calculations'!EM216="",0,IF(OR('Calculations'!II216&lt;&gt;"",COUNTIF('Calculations'!$HE$13:$HE$512,"="&amp;SUBSTITUTE(SUBSTITUTE(SUBSTITUTE('Calculations'!HE216,"~","~~"),"*","~*"),"?","~?"))&gt;1),1,0))</x:f>
        <x:v>0</x:v>
      </x:c>
      <x:c r="HM216" t="str">
        <x:f>IF('Calculations'!EM216="","",IF('Calculations'!HL216=1,"!UNRESOLVED",IF('Calculations'!IH216&lt;&gt;"",'Calculations'!IH216,IF('Calculations'!IG216&lt;&gt;"",'Calculations'!IG216,IF('Calculations'!IF216&lt;&gt;"",'Calculations'!IF216,IF('Calculations'!IE216&lt;&gt;"",'Calculations'!IE216,IF('Calculations'!ID216&lt;&gt;"",'Calculations'!ID216,IF('Calculations'!IC216&lt;&gt;"",'Calculations'!IC216,IF('Calculations'!IB216&lt;&gt;"",'Calculations'!IB216,IF('Calculations'!IA216&lt;&gt;"",'Calculations'!IA216,IF('Calculations'!HZ216&lt;&gt;"",'Calculations'!HZ216,IF('Calculations'!HY216&lt;&gt;"",'Calculations'!HY216,IF('Calculations'!HX216&lt;&gt;"",'Calculations'!HX216,IF('Calculations'!HW216&lt;&gt;"",'Calculations'!HW216,IF('Calculations'!HV216&lt;&gt;"",'Calculations'!HV216,IF('Calculations'!HU216&lt;&gt;"",'Calculations'!HU216,IF('Calculations'!HT216&lt;&gt;"",'Calculations'!HT216,IF('Calculations'!HS216&lt;&gt;"",'Calculations'!HS216,IF('Calculations'!HR216&lt;&gt;"",'Calculations'!HR216,IF('Calculations'!HQ216&lt;&gt;"",'Calculations'!HQ216,IF('Calculations'!HP216&lt;&gt;"",'Calculations'!HP216,IF('Calculations'!HO216&lt;&gt;"",'Calculations'!HO216,'Calculations'!HE216))))))))))))))))))))))</x:f>
      </x:c>
      <x:c r="HN216" t="str">
        <x:f>IF('Calculations'!EM216="","",IF(IFERROR(IF(INDEX(INDIRECT("'WCM Calibration Final'!$F$1:$F$2000"),'Calculations'!$EM216)="","",TRIM(INDEX(INDIRECT("'WCM Calibration Final'!$F$1:$F$2000"),'Calculations'!$EM216)&amp;"")),"")="","(Blank)",IFERROR(IF(INDEX(INDIRECT("'WCM Calibration Final'!$F$1:$F$2000"),'Calculations'!$EM216)="","",TRIM(INDEX(INDIRECT("'WCM Calibration Final'!$F$1:$F$2000"),'Calculations'!$EM216)&amp;"")),"")))</x:f>
      </x:c>
      <x:c r="HO216" t="str">
        <x:f>'Calculations'!HF216</x:f>
      </x:c>
      <x:c r="HP216" t="str">
        <x:f>IF('Calculations'!HO216="","",IF('Calculations'!HO216="!AMBIG","!AMBIG",IF(COUNTIF('Calculations'!$HE$13:$HE$512,"="&amp;SUBSTITUTE(SUBSTITUTE(SUBSTITUTE('Calculations'!HO216,"~","~~"),"*","~*"),"?","~?"))&gt;1,"!AMBIG",IFERROR(INDEX('Calculations'!$HF$13:$HF$512,MATCH('Calculations'!HO216,'Calculations'!$HE$13:$HE$512,0)),""))))</x:f>
      </x:c>
      <x:c r="HQ216" t="str">
        <x:f>IF('Calculations'!HP216="","",IF('Calculations'!HP216="!AMBIG","!AMBIG",IF(COUNTIF('Calculations'!$HE$13:$HE$512,"="&amp;SUBSTITUTE(SUBSTITUTE(SUBSTITUTE('Calculations'!HP216,"~","~~"),"*","~*"),"?","~?"))&gt;1,"!AMBIG",IFERROR(INDEX('Calculations'!$HF$13:$HF$512,MATCH('Calculations'!HP216,'Calculations'!$HE$13:$HE$512,0)),""))))</x:f>
      </x:c>
      <x:c r="HR216" t="str">
        <x:f>IF('Calculations'!HQ216="","",IF('Calculations'!HQ216="!AMBIG","!AMBIG",IF(COUNTIF('Calculations'!$HE$13:$HE$512,"="&amp;SUBSTITUTE(SUBSTITUTE(SUBSTITUTE('Calculations'!HQ216,"~","~~"),"*","~*"),"?","~?"))&gt;1,"!AMBIG",IFERROR(INDEX('Calculations'!$HF$13:$HF$512,MATCH('Calculations'!HQ216,'Calculations'!$HE$13:$HE$512,0)),""))))</x:f>
      </x:c>
      <x:c r="HS216" t="str">
        <x:f>IF('Calculations'!HR216="","",IF('Calculations'!HR216="!AMBIG","!AMBIG",IF(COUNTIF('Calculations'!$HE$13:$HE$512,"="&amp;SUBSTITUTE(SUBSTITUTE(SUBSTITUTE('Calculations'!HR216,"~","~~"),"*","~*"),"?","~?"))&gt;1,"!AMBIG",IFERROR(INDEX('Calculations'!$HF$13:$HF$512,MATCH('Calculations'!HR216,'Calculations'!$HE$13:$HE$512,0)),""))))</x:f>
      </x:c>
      <x:c r="HT216" t="str">
        <x:f>IF('Calculations'!HS216="","",IF('Calculations'!HS216="!AMBIG","!AMBIG",IF(COUNTIF('Calculations'!$HE$13:$HE$512,"="&amp;SUBSTITUTE(SUBSTITUTE(SUBSTITUTE('Calculations'!HS216,"~","~~"),"*","~*"),"?","~?"))&gt;1,"!AMBIG",IFERROR(INDEX('Calculations'!$HF$13:$HF$512,MATCH('Calculations'!HS216,'Calculations'!$HE$13:$HE$512,0)),""))))</x:f>
      </x:c>
      <x:c r="HU216" t="str">
        <x:f>IF('Calculations'!HT216="","",IF('Calculations'!HT216="!AMBIG","!AMBIG",IF(COUNTIF('Calculations'!$HE$13:$HE$512,"="&amp;SUBSTITUTE(SUBSTITUTE(SUBSTITUTE('Calculations'!HT216,"~","~~"),"*","~*"),"?","~?"))&gt;1,"!AMBIG",IFERROR(INDEX('Calculations'!$HF$13:$HF$512,MATCH('Calculations'!HT216,'Calculations'!$HE$13:$HE$512,0)),""))))</x:f>
      </x:c>
      <x:c r="HV216" t="str">
        <x:f>IF('Calculations'!HU216="","",IF('Calculations'!HU216="!AMBIG","!AMBIG",IF(COUNTIF('Calculations'!$HE$13:$HE$512,"="&amp;SUBSTITUTE(SUBSTITUTE(SUBSTITUTE('Calculations'!HU216,"~","~~"),"*","~*"),"?","~?"))&gt;1,"!AMBIG",IFERROR(INDEX('Calculations'!$HF$13:$HF$512,MATCH('Calculations'!HU216,'Calculations'!$HE$13:$HE$512,0)),""))))</x:f>
      </x:c>
      <x:c r="HW216" t="str">
        <x:f>IF('Calculations'!HV216="","",IF('Calculations'!HV216="!AMBIG","!AMBIG",IF(COUNTIF('Calculations'!$HE$13:$HE$512,"="&amp;SUBSTITUTE(SUBSTITUTE(SUBSTITUTE('Calculations'!HV216,"~","~~"),"*","~*"),"?","~?"))&gt;1,"!AMBIG",IFERROR(INDEX('Calculations'!$HF$13:$HF$512,MATCH('Calculations'!HV216,'Calculations'!$HE$13:$HE$512,0)),""))))</x:f>
      </x:c>
      <x:c r="HX216" t="str">
        <x:f>IF('Calculations'!HW216="","",IF('Calculations'!HW216="!AMBIG","!AMBIG",IF(COUNTIF('Calculations'!$HE$13:$HE$512,"="&amp;SUBSTITUTE(SUBSTITUTE(SUBSTITUTE('Calculations'!HW216,"~","~~"),"*","~*"),"?","~?"))&gt;1,"!AMBIG",IFERROR(INDEX('Calculations'!$HF$13:$HF$512,MATCH('Calculations'!HW216,'Calculations'!$HE$13:$HE$512,0)),""))))</x:f>
      </x:c>
      <x:c r="HY216" t="str">
        <x:f>IF('Calculations'!HX216="","",IF('Calculations'!HX216="!AMBIG","!AMBIG",IF(COUNTIF('Calculations'!$HE$13:$HE$512,"="&amp;SUBSTITUTE(SUBSTITUTE(SUBSTITUTE('Calculations'!HX216,"~","~~"),"*","~*"),"?","~?"))&gt;1,"!AMBIG",IFERROR(INDEX('Calculations'!$HF$13:$HF$512,MATCH('Calculations'!HX216,'Calculations'!$HE$13:$HE$512,0)),""))))</x:f>
      </x:c>
      <x:c r="HZ216" t="str">
        <x:f>IF('Calculations'!HY216="","",IF('Calculations'!HY216="!AMBIG","!AMBIG",IF(COUNTIF('Calculations'!$HE$13:$HE$512,"="&amp;SUBSTITUTE(SUBSTITUTE(SUBSTITUTE('Calculations'!HY216,"~","~~"),"*","~*"),"?","~?"))&gt;1,"!AMBIG",IFERROR(INDEX('Calculations'!$HF$13:$HF$512,MATCH('Calculations'!HY216,'Calculations'!$HE$13:$HE$512,0)),""))))</x:f>
      </x:c>
      <x:c r="IA216" t="str">
        <x:f>IF('Calculations'!HZ216="","",IF('Calculations'!HZ216="!AMBIG","!AMBIG",IF(COUNTIF('Calculations'!$HE$13:$HE$512,"="&amp;SUBSTITUTE(SUBSTITUTE(SUBSTITUTE('Calculations'!HZ216,"~","~~"),"*","~*"),"?","~?"))&gt;1,"!AMBIG",IFERROR(INDEX('Calculations'!$HF$13:$HF$512,MATCH('Calculations'!HZ216,'Calculations'!$HE$13:$HE$512,0)),""))))</x:f>
      </x:c>
      <x:c r="IB216" t="str">
        <x:f>IF('Calculations'!IA216="","",IF('Calculations'!IA216="!AMBIG","!AMBIG",IF(COUNTIF('Calculations'!$HE$13:$HE$512,"="&amp;SUBSTITUTE(SUBSTITUTE(SUBSTITUTE('Calculations'!IA216,"~","~~"),"*","~*"),"?","~?"))&gt;1,"!AMBIG",IFERROR(INDEX('Calculations'!$HF$13:$HF$512,MATCH('Calculations'!IA216,'Calculations'!$HE$13:$HE$512,0)),""))))</x:f>
      </x:c>
      <x:c r="IC216" t="str">
        <x:f>IF('Calculations'!IB216="","",IF('Calculations'!IB216="!AMBIG","!AMBIG",IF(COUNTIF('Calculations'!$HE$13:$HE$512,"="&amp;SUBSTITUTE(SUBSTITUTE(SUBSTITUTE('Calculations'!IB216,"~","~~"),"*","~*"),"?","~?"))&gt;1,"!AMBIG",IFERROR(INDEX('Calculations'!$HF$13:$HF$512,MATCH('Calculations'!IB216,'Calculations'!$HE$13:$HE$512,0)),""))))</x:f>
      </x:c>
      <x:c r="ID216" t="str">
        <x:f>IF('Calculations'!IC216="","",IF('Calculations'!IC216="!AMBIG","!AMBIG",IF(COUNTIF('Calculations'!$HE$13:$HE$512,"="&amp;SUBSTITUTE(SUBSTITUTE(SUBSTITUTE('Calculations'!IC216,"~","~~"),"*","~*"),"?","~?"))&gt;1,"!AMBIG",IFERROR(INDEX('Calculations'!$HF$13:$HF$512,MATCH('Calculations'!IC216,'Calculations'!$HE$13:$HE$512,0)),""))))</x:f>
      </x:c>
      <x:c r="IE216" t="str">
        <x:f>IF('Calculations'!ID216="","",IF('Calculations'!ID216="!AMBIG","!AMBIG",IF(COUNTIF('Calculations'!$HE$13:$HE$512,"="&amp;SUBSTITUTE(SUBSTITUTE(SUBSTITUTE('Calculations'!ID216,"~","~~"),"*","~*"),"?","~?"))&gt;1,"!AMBIG",IFERROR(INDEX('Calculations'!$HF$13:$HF$512,MATCH('Calculations'!ID216,'Calculations'!$HE$13:$HE$512,0)),""))))</x:f>
      </x:c>
      <x:c r="IF216" t="str">
        <x:f>IF('Calculations'!IE216="","",IF('Calculations'!IE216="!AMBIG","!AMBIG",IF(COUNTIF('Calculations'!$HE$13:$HE$512,"="&amp;SUBSTITUTE(SUBSTITUTE(SUBSTITUTE('Calculations'!IE216,"~","~~"),"*","~*"),"?","~?"))&gt;1,"!AMBIG",IFERROR(INDEX('Calculations'!$HF$13:$HF$512,MATCH('Calculations'!IE216,'Calculations'!$HE$13:$HE$512,0)),""))))</x:f>
      </x:c>
      <x:c r="IG216" t="str">
        <x:f>IF('Calculations'!IF216="","",IF('Calculations'!IF216="!AMBIG","!AMBIG",IF(COUNTIF('Calculations'!$HE$13:$HE$512,"="&amp;SUBSTITUTE(SUBSTITUTE(SUBSTITUTE('Calculations'!IF216,"~","~~"),"*","~*"),"?","~?"))&gt;1,"!AMBIG",IFERROR(INDEX('Calculations'!$HF$13:$HF$512,MATCH('Calculations'!IF216,'Calculations'!$HE$13:$HE$512,0)),""))))</x:f>
      </x:c>
      <x:c r="IH216" t="str">
        <x:f>IF('Calculations'!IG216="","",IF('Calculations'!IG216="!AMBIG","!AMBIG",IF(COUNTIF('Calculations'!$HE$13:$HE$512,"="&amp;SUBSTITUTE(SUBSTITUTE(SUBSTITUTE('Calculations'!IG216,"~","~~"),"*","~*"),"?","~?"))&gt;1,"!AMBIG",IFERROR(INDEX('Calculations'!$HF$13:$HF$512,MATCH('Calculations'!IG216,'Calculations'!$HE$13:$HE$512,0)),""))))</x:f>
      </x:c>
      <x:c r="II216" t="str">
        <x:f>IF('Calculations'!IH216="","",IF('Calculations'!IH216="!AMBIG","!AMBIG",IF(COUNTIF('Calculations'!$HE$13:$HE$512,"="&amp;SUBSTITUTE(SUBSTITUTE(SUBSTITUTE('Calculations'!IH216,"~","~~"),"*","~*"),"?","~?"))&gt;1,"!AMBIG",IFERROR(INDEX('Calculations'!$HF$13:$HF$512,MATCH('Calculations'!IH216,'Calculations'!$HE$13:$HE$512,0)),""))))</x:f>
      </x:c>
      <x:c r="IJ216" t="str">
        <x:f>IF('Calculations'!EM216="","",IF('Calculations'!$EF$2="All",'Calculations'!HM216,IF('Calculations'!HL216=1,"",IFERROR(IF(MATCH('Calculations'!$EF$2,'Calculations'!HO216:II216,0)=1,'Calculations'!HE216,INDEX('Calculations'!HO216:II216,1,MATCH('Calculations'!$EF$2,'Calculations'!HO216:II216,0)-1)),""))))</x:f>
      </x:c>
      <x:c r="IK216" t="n">
        <x:f>IF(AND('Calculations'!EM216&lt;&gt;"",'Calculations'!$EF$2&lt;&gt;"All",'Calculations'!HF216='Calculations'!$EF$2,'Calculations'!HL216=0,'Calculations'!JD216&gt;0),MAX('Calculations'!$IK$12:IK215)+1,0)</x:f>
        <x:v>0</x:v>
      </x:c>
      <x:c r="JA216" t="n">
        <x:f>IF(OR(IFERROR(INDIRECT("'WCM Calibration Final'!$A$216")&lt;&gt;"",FALSE),IFERROR(INDIRECT("'WCM Calibration Final'!$B$216")&lt;&gt;"",FALSE),IFERROR(INDIRECT("'WCM Calibration Final'!$C$216")&lt;&gt;"",FALSE)),216,0)</x:f>
        <x:v>0</x:v>
      </x:c>
      <x:c r="JB216" t="n">
        <x:f>'Calculations'!JB215+IF('Calculations'!JA216&gt;0,1,0)</x:f>
        <x:v>0</x:v>
      </x:c>
      <x:c r="JC216" t="n">
        <x:f>IF(OR('Calculations'!HF216="",'Calculations'!HF216="!AMBIG"),0,IF('Dashboard'!$B$7="All",1,COUNTIFS('Calculations'!$HO$13:$HO$512,"="&amp;SUBSTITUTE(SUBSTITUTE(SUBSTITUTE('Calculations'!HF216,"~","~~"),"*","~*"),"?","~?"),'Calculations'!$HN$13:$HN$512,"="&amp;SUBSTITUTE(SUBSTITUTE(SUBSTITUTE('Dashboard'!$B$7,"~","~~"),"*","~*"),"?","~?"))+COUNTIFS('Calculations'!$HP$13:$HP$512,"="&amp;SUBSTITUTE(SUBSTITUTE(SUBSTITUTE('Calculations'!HF216,"~","~~"),"*","~*"),"?","~?"),'Calculations'!$HN$13:$HN$512,"="&amp;SUBSTITUTE(SUBSTITUTE(SUBSTITUTE('Dashboard'!$B$7,"~","~~"),"*","~*"),"?","~?"))+COUNTIFS('Calculations'!$HQ$13:$HQ$512,"="&amp;SUBSTITUTE(SUBSTITUTE(SUBSTITUTE('Calculations'!HF216,"~","~~"),"*","~*"),"?","~?"),'Calculations'!$HN$13:$HN$512,"="&amp;SUBSTITUTE(SUBSTITUTE(SUBSTITUTE('Dashboard'!$B$7,"~","~~"),"*","~*"),"?","~?"))+COUNTIFS('Calculations'!$HR$13:$HR$512,"="&amp;SUBSTITUTE(SUBSTITUTE(SUBSTITUTE('Calculations'!HF216,"~","~~"),"*","~*"),"?","~?"),'Calculations'!$HN$13:$HN$512,"="&amp;SUBSTITUTE(SUBSTITUTE(SUBSTITUTE('Dashboard'!$B$7,"~","~~"),"*","~*"),"?","~?"))+COUNTIFS('Calculations'!$HS$13:$HS$512,"="&amp;SUBSTITUTE(SUBSTITUTE(SUBSTITUTE('Calculations'!HF216,"~","~~"),"*","~*"),"?","~?"),'Calculations'!$HN$13:$HN$512,"="&amp;SUBSTITUTE(SUBSTITUTE(SUBSTITUTE('Dashboard'!$B$7,"~","~~"),"*","~*"),"?","~?"))+COUNTIFS('Calculations'!$HT$13:$HT$512,"="&amp;SUBSTITUTE(SUBSTITUTE(SUBSTITUTE('Calculations'!HF216,"~","~~"),"*","~*"),"?","~?"),'Calculations'!$HN$13:$HN$512,"="&amp;SUBSTITUTE(SUBSTITUTE(SUBSTITUTE('Dashboard'!$B$7,"~","~~"),"*","~*"),"?","~?"))+COUNTIFS('Calculations'!$HU$13:$HU$512,"="&amp;SUBSTITUTE(SUBSTITUTE(SUBSTITUTE('Calculations'!HF216,"~","~~"),"*","~*"),"?","~?"),'Calculations'!$HN$13:$HN$512,"="&amp;SUBSTITUTE(SUBSTITUTE(SUBSTITUTE('Dashboard'!$B$7,"~","~~"),"*","~*"),"?","~?"))+COUNTIFS('Calculations'!$HV$13:$HV$512,"="&amp;SUBSTITUTE(SUBSTITUTE(SUBSTITUTE('Calculations'!HF216,"~","~~"),"*","~*"),"?","~?"),'Calculations'!$HN$13:$HN$512,"="&amp;SUBSTITUTE(SUBSTITUTE(SUBSTITUTE('Dashboard'!$B$7,"~","~~"),"*","~*"),"?","~?"))+COUNTIFS('Calculations'!$HW$13:$HW$512,"="&amp;SUBSTITUTE(SUBSTITUTE(SUBSTITUTE('Calculations'!HF216,"~","~~"),"*","~*"),"?","~?"),'Calculations'!$HN$13:$HN$512,"="&amp;SUBSTITUTE(SUBSTITUTE(SUBSTITUTE('Dashboard'!$B$7,"~","~~"),"*","~*"),"?","~?"))+COUNTIFS('Calculations'!$HX$13:$HX$512,"="&amp;SUBSTITUTE(SUBSTITUTE(SUBSTITUTE('Calculations'!HF216,"~","~~"),"*","~*"),"?","~?"),'Calculations'!$HN$13:$HN$512,"="&amp;SUBSTITUTE(SUBSTITUTE(SUBSTITUTE('Dashboard'!$B$7,"~","~~"),"*","~*"),"?","~?"))+COUNTIFS('Calculations'!$HY$13:$HY$512,"="&amp;SUBSTITUTE(SUBSTITUTE(SUBSTITUTE('Calculations'!HF216,"~","~~"),"*","~*"),"?","~?"),'Calculations'!$HN$13:$HN$512,"="&amp;SUBSTITUTE(SUBSTITUTE(SUBSTITUTE('Dashboard'!$B$7,"~","~~"),"*","~*"),"?","~?"))+COUNTIFS('Calculations'!$HZ$13:$HZ$512,"="&amp;SUBSTITUTE(SUBSTITUTE(SUBSTITUTE('Calculations'!HF216,"~","~~"),"*","~*"),"?","~?"),'Calculations'!$HN$13:$HN$512,"="&amp;SUBSTITUTE(SUBSTITUTE(SUBSTITUTE('Dashboard'!$B$7,"~","~~"),"*","~*"),"?","~?"))+COUNTIFS('Calculations'!$IA$13:$IA$512,"="&amp;SUBSTITUTE(SUBSTITUTE(SUBSTITUTE('Calculations'!HF216,"~","~~"),"*","~*"),"?","~?"),'Calculations'!$HN$13:$HN$512,"="&amp;SUBSTITUTE(SUBSTITUTE(SUBSTITUTE('Dashboard'!$B$7,"~","~~"),"*","~*"),"?","~?"))+COUNTIFS('Calculations'!$IB$13:$IB$512,"="&amp;SUBSTITUTE(SUBSTITUTE(SUBSTITUTE('Calculations'!HF216,"~","~~"),"*","~*"),"?","~?"),'Calculations'!$HN$13:$HN$512,"="&amp;SUBSTITUTE(SUBSTITUTE(SUBSTITUTE('Dashboard'!$B$7,"~","~~"),"*","~*"),"?","~?"))+COUNTIFS('Calculations'!$IC$13:$IC$512,"="&amp;SUBSTITUTE(SUBSTITUTE(SUBSTITUTE('Calculations'!HF216,"~","~~"),"*","~*"),"?","~?"),'Calculations'!$HN$13:$HN$512,"="&amp;SUBSTITUTE(SUBSTITUTE(SUBSTITUTE('Dashboard'!$B$7,"~","~~"),"*","~*"),"?","~?"))+COUNTIFS('Calculations'!$ID$13:$ID$512,"="&amp;SUBSTITUTE(SUBSTITUTE(SUBSTITUTE('Calculations'!HF216,"~","~~"),"*","~*"),"?","~?"),'Calculations'!$HN$13:$HN$512,"="&amp;SUBSTITUTE(SUBSTITUTE(SUBSTITUTE('Dashboard'!$B$7,"~","~~"),"*","~*"),"?","~?"))+COUNTIFS('Calculations'!$IE$13:$IE$512,"="&amp;SUBSTITUTE(SUBSTITUTE(SUBSTITUTE('Calculations'!HF216,"~","~~"),"*","~*"),"?","~?"),'Calculations'!$HN$13:$HN$512,"="&amp;SUBSTITUTE(SUBSTITUTE(SUBSTITUTE('Dashboard'!$B$7,"~","~~"),"*","~*"),"?","~?"))+COUNTIFS('Calculations'!$IF$13:$IF$512,"="&amp;SUBSTITUTE(SUBSTITUTE(SUBSTITUTE('Calculations'!HF216,"~","~~"),"*","~*"),"?","~?"),'Calculations'!$HN$13:$HN$512,"="&amp;SUBSTITUTE(SUBSTITUTE(SUBSTITUTE('Dashboard'!$B$7,"~","~~"),"*","~*"),"?","~?"))+COUNTIFS('Calculations'!$IG$13:$IG$512,"="&amp;SUBSTITUTE(SUBSTITUTE(SUBSTITUTE('Calculations'!HF216,"~","~~"),"*","~*"),"?","~?"),'Calculations'!$HN$13:$HN$512,"="&amp;SUBSTITUTE(SUBSTITUTE(SUBSTITUTE('Dashboard'!$B$7,"~","~~"),"*","~*"),"?","~?"))+COUNTIFS('Calculations'!$IH$13:$IH$512,"="&amp;SUBSTITUTE(SUBSTITUTE(SUBSTITUTE('Calculations'!HF216,"~","~~"),"*","~*"),"?","~?"),'Calculations'!$HN$13:$HN$512,"="&amp;SUBSTITUTE(SUBSTITUTE(SUBSTITUTE('Dashboard'!$B$7,"~","~~"),"*","~*"),"?","~?"))))</x:f>
        <x:v>0</x:v>
      </x:c>
      <x:c r="JD216" t="n">
        <x:f>IF('Calculations'!EM216="",0,IF('Dashboard'!$B$7="All",1,IF('Calculations'!HN216='Dashboard'!$B$7,1,0)+IFERROR(INDEX('Calculations'!$JC$13:$JC$512,MATCH('Calculations'!HE216,'Calculations'!$HF$13:$HF$512,0)),0)))</x:f>
        <x:v>0</x:v>
      </x:c>
      <x:c r="JE216" t="n">
        <x:f>IF(AND('Calculations'!EM216&lt;&gt;"",'Calculations'!$JJ$2&lt;&gt;"All",'Calculations'!$JJ$2&lt;&gt;"",'Calculations'!HF216='Calculations'!$JJ$2,'Calculations'!HL216=0,'Calculations'!JD216&gt;0),MAX('Calculations'!$JE$12:JE215)+1,0)</x:f>
        <x:v>0</x:v>
      </x:c>
      <x:c r="JF216" t="str">
        <x:f>IF('Calculations'!EM216="","",IFERROR(IF(INDEX(INDIRECT("'WCM Calibration Final'!$G$1:$G$2000"),'Calculations'!$EM216)="","",TRIM(INDEX(INDIRECT("'WCM Calibration Final'!$G$1:$G$2000"),'Calculations'!$EM216)&amp;"")),""))</x:f>
      </x:c>
      <x:c r="JQ216" t="n">
        <x:f>IF(OR('Calculations'!BM216=0,NOT('Calculations'!$AG$2),'Calculations'!$AG$8&gt;0),0,IF(OR('Dashboard'!$B$7="All",'Calculations'!HN216='Dashboard'!$B$7),IF('Calculations'!$JJ$2="All",1,IF(AND('Calculations'!HF216='Calculations'!$JJ$2,'Calculations'!HL216=0),1,0)),0))</x:f>
        <x:v>0</x:v>
      </x:c>
    </x:row>
    <x:row r="217">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t="n">
        <x:f>IF('Calculations'!$EM217="",0,IF(OR(IFERROR(INDEX(INDIRECT("'WCM Calibration Final'!$A$1:$A$2000"),'Calculations'!$EM217)&lt;&gt;"",FALSE),IFERROR(INDEX(INDIRECT("'WCM Calibration Final'!$B$1:$B$2000"),'Calculations'!$EM217)&lt;&gt;"",FALSE),IFERROR(INDEX(INDIRECT("'WCM Calibration Final'!$C$1:$C$2000"),'Calculations'!$EM217)&lt;&gt;"",FALSE)),1,0))</x:f>
        <x:v>0</x:v>
      </x:c>
      <x:c r="BN217" s="4" t="n">
        <x:f>IF(AND('Calculations'!BM217=1,'Calculations'!$AG$2,'Calculations'!$EN217=1),1,0)</x:f>
        <x:v>0</x:v>
      </x:c>
      <x:c r="BO217" s="4" t="str">
        <x:f>IF('Calculations'!BM217=0,"",IFERROR(IF(AND(VALUE(INDEX(INDIRECT("'WCM Calibration Final'!$K$1:$K$2000"),'Calculations'!$EM217))&gt;=1,VALUE(INDEX(INDIRECT("'WCM Calibration Final'!$K$1:$K$2000"),'Calculations'!$EM217))&lt;=4,MOD(VALUE(INDEX(INDIRECT("'WCM Calibration Final'!$K$1:$K$2000"),'Calculations'!$EM217)),1)=0),VALUE(INDEX(INDIRECT("'WCM Calibration Final'!$K$1:$K$2000"),'Calculations'!$EM217)),""),""))</x:f>
      </x:c>
      <x:c r="BP217" s="4" t="str">
        <x:f>IF('Calculations'!BM217=0,"",IFERROR(IF(AND(VALUE(INDEX(INDIRECT("'WCM Calibration Final'!$L$1:$L$2000"),'Calculations'!$EM217))&gt;=1,VALUE(INDEX(INDIRECT("'WCM Calibration Final'!$L$1:$L$2000"),'Calculations'!$EM217))&lt;=4,MOD(VALUE(INDEX(INDIRECT("'WCM Calibration Final'!$L$1:$L$2000"),'Calculations'!$EM217)),1)=0),VALUE(INDEX(INDIRECT("'WCM Calibration Final'!$L$1:$L$2000"),'Calculations'!$EM217)),""),""))</x:f>
      </x:c>
      <x:c r="BQ217" s="4"/>
      <x:c r="BR217" s="4"/>
      <x:c r="BS217" s="4"/>
      <x:c r="BT217" s="4" t="n">
        <x:f>IF(AND('Calculations'!BM217=1,ISNUMBER('Calculations'!BO217),ISNUMBER('Calculations'!BP217)),1,0)</x:f>
        <x:v>0</x:v>
      </x:c>
      <x:c r="BU217" s="4" t="str">
        <x:f>IF('Calculations'!BM217=0,"",'Calculations'!$EO217)</x:f>
      </x:c>
      <x:c r="BV217" s="4" t="str">
        <x:f>IF('Calculations'!BM217=0,"",IFERROR(IF(OR(INDEX(INDIRECT("'WCM Calibration Final'!$H$1:$H$2000"),'Calculations'!$EM217)="MANAGING DIRECTOR",INDEX(INDIRECT("'WCM Calibration Final'!$H$1:$H$2000"),'Calculations'!$EM217)="DIRECTOR",INDEX(INDIRECT("'WCM Calibration Final'!$H$1:$H$2000"),'Calculations'!$EM217)="SENIOR VICE PRESIDENT",INDEX(INDIRECT("'WCM Calibration Final'!$H$1:$H$2000"),'Calculations'!$EM217)="VICE PRESIDENT",INDEX(INDIRECT("'WCM Calibration Final'!$H$1:$H$2000"),'Calculations'!$EM217)="ASSISTANT VICE PRESIDENT",INDEX(INDIRECT("'WCM Calibration Final'!$H$1:$H$2000"),'Calculations'!$EM217)="OFFICER"),UPPER(INDEX(INDIRECT("'WCM Calibration Final'!$H$1:$H$2000"),'Calculations'!$EM217)),"Other"),"Other"))</x:f>
      </x:c>
      <x:c r="BW217" s="4"/>
      <x:c r="BX217" s="4"/>
      <x:c r="BY217" s="4" t="n">
        <x:f>IF(AND('Calculations'!BM217=1,'Calculations'!BU217&lt;&gt;"",COUNTIF('Calculations'!$BU$12:BU217,'Calculations'!BU217)=1),MAX('Calculations'!$BY$11:BY216)+1,0)</x:f>
        <x:v>0</x:v>
      </x:c>
      <x:c r="BZ217" s="4" t="str">
        <x:f>IF('Dashboard'!$E$67="What",'Calculations'!BO217,'Calculations'!BP217)</x:f>
      </x:c>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t="str">
        <x:f>IF(206&gt;MAX('Calculations'!$HI$13:$HI$512),"",INDEX('Calculations'!$HN$13:$HN$512,MATCH(206,'Calculations'!$HI$13:$HI$512,0)))</x:f>
      </x:c>
      <x:c r="DB217" s="4" t="str">
        <x:f>IF(206&gt;MAX('Calculations'!$HH$13:$HH$512),"",INDEX('Calculations'!$HJ$13:$HJ$512,MATCH(206,'Calculations'!$HH$13:$HH$512,0)))</x:f>
      </x:c>
      <x:c r="DC217" s="4" t="str">
        <x:f>IF(ROW()-11&gt;MAX('Calculations'!$BY$13:$BY$512),"",INDEX('Calculations'!$BU$13:$BU$512,MATCH(ROW()-11,'Calculations'!$BY$13:$BY$512,0)))</x:f>
      </x:c>
      <x:c r="DD217" s="4" t="str">
        <x:f>IF(206&gt;MAX('Calculations'!$IK$13:$IK$512),"",INDEX('Calculations'!$HK$13:$HK$512,MATCH(206,'Calculations'!$IK$13:$IK$512,0)))</x:f>
      </x:c>
      <x:c r="DE217" s="4" t="str">
        <x:f>'Calculations'!DC217</x:f>
      </x:c>
      <x:c r="DF217" s="4" t="str">
        <x:f>IF('Calculations'!DE217="","",COUNTIFS('Calculations'!$BN$13:$BN$512,1,'Calculations'!$BU$13:$BU$512,'Calculations'!DE217))</x:f>
      </x:c>
      <x:c r="DG217" s="4" t="str">
        <x:f>IF('Calculations'!DE217="","",COUNTIFS('Calculations'!$BN$13:$BN$512,1,'Calculations'!$BU$13:$BU$512,'Calculations'!DE217,'Calculations'!$BT$13:$BT$512,1))</x:f>
      </x:c>
      <x:c r="DH217" s="4" t="str">
        <x:f>IF('Calculations'!DE217="","",'Calculations'!DF217-'Calculations'!DG217)</x:f>
      </x:c>
      <x:c r="DI217" s="4" t="str">
        <x:f>IF(OR('Calculations'!DE217="",'Calculations'!DF217=0),"",'Calculations'!DG217/'Calculations'!DF217)</x:f>
      </x:c>
      <x:c r="DJ217" s="4" t="str">
        <x:f>IF('Calculations'!DE217="","",COUNTIFS('Calculations'!$BN$13:$BN$512,1,'Calculations'!$BU$13:$BU$512,'Calculations'!DE217,'Calculations'!$BT$13:$BT$512,1,'Calculations'!$EE$13:$EE$512,"High"))</x:f>
      </x:c>
      <x:c r="DK217" s="4" t="str">
        <x:f>IF('Calculations'!DE217="","",COUNTIFS('Calculations'!$BN$13:$BN$512,1,'Calculations'!$BU$13:$BU$512,'Calculations'!DE217,'Calculations'!$BT$13:$BT$512,1,'Calculations'!$EE$13:$EE$512,"Strong"))</x:f>
      </x:c>
      <x:c r="DL217" s="4" t="str">
        <x:f>IF('Calculations'!DE217="","",COUNTIFS('Calculations'!$BN$13:$BN$512,1,'Calculations'!$BU$13:$BU$512,'Calculations'!DE217,'Calculations'!$BT$13:$BT$512,1,'Calculations'!$EE$13:$EE$512,"Solid"))</x:f>
      </x:c>
      <x:c r="DM217" s="4" t="str">
        <x:f>IF('Calculations'!DE217="","",COUNTIFS('Calculations'!$BN$13:$BN$512,1,'Calculations'!$BU$13:$BU$512,'Calculations'!DE217,'Calculations'!$BT$13:$BT$512,1,'Calculations'!$EE$13:$EE$512,"Low"))</x:f>
      </x:c>
      <x:c r="DN217" s="4" t="str">
        <x:f>IF('Calculations'!DE217="","",COUNTIFS('Calculations'!$BN$13:$BN$512,1,'Calculations'!$BU$13:$BU$512,'Calculations'!DE217,'Calculations'!$EP$13:$EP$512,1))</x:f>
      </x:c>
      <x:c r="DO217" s="4" t="str">
        <x:f>IF(OR('Calculations'!DE217="",'Calculations'!DG217=0),"",('Calculations'!DJ217+'Calculations'!DK217)/'Calculations'!DG217)</x:f>
      </x:c>
      <x:c r="DP217" s="4" t="n">
        <x:f>IF(AND('Calculations'!DE217&lt;&gt;"",'Calculations'!DF217&gt;0),COUNTIF('Calculations'!$DF$12:DF217,"&gt;0"),0)</x:f>
        <x:v>0</x:v>
      </x:c>
      <x:c r="DQ217" s="4" t="str">
        <x:f>IF(206&gt;MAX('Calculations'!$HH$13:$HH$512),"",INDEX('Calculations'!$HF$13:$HF$512,MATCH(206,'Calculations'!$HH$13:$HH$512,0)))</x:f>
      </x:c>
      <x:c r="DR217" s="4" t="str">
        <x:f>IF(206&gt;MAX('Calculations'!$IK$13:$IK$512),"",INDEX('Calculations'!$HE$13:$HE$512,MATCH(206,'Calculations'!$IK$13:$IK$512,0)))</x:f>
      </x:c>
      <x:c r="DS217" s="4"/>
      <x:c r="DT217" s="4"/>
      <x:c r="DU217" s="4"/>
      <x:c r="DV217" s="4"/>
      <x:c r="DW217" s="4"/>
      <x:c r="DX217" s="4"/>
      <x:c r="DY217" s="4"/>
      <x:c r="DZ217" s="4"/>
      <x:c r="EA217" s="4"/>
      <x:c r="EB217" s="4"/>
      <x:c r="EC217" s="4"/>
      <x:c r="ED217" s="4"/>
      <x:c r="EE217" s="4" t="str">
        <x:f>IF('Calculations'!BT217=0,"Not Rated",IF(OR('Calculations'!BO217&gt;=4,'Calculations'!BP217&gt;=4),"Low",IF('Calculations'!BO217+'Calculations'!BP217&lt;=3,"High",IF('Calculations'!BO217+'Calculations'!BP217&lt;=4,"Strong","Solid"))))</x:f>
        <x:v>Not Rated</x:v>
      </x:c>
      <x:c r="EF217" s="4"/>
      <x:c r="EG217" s="4"/>
      <x:c r="EH217" s="4"/>
      <x:c r="EI217" s="4"/>
      <x:c r="EJ217" s="4"/>
      <x:c r="EK217" s="4"/>
      <x:c r="EL217" s="4"/>
      <x:c r="EM217" s="4" t="str">
        <x:f>IF(205&gt;'Calculations'!$JB$2000,"",INDEX('Calculations'!$JA$12:$JA$2000,MATCH(205,'Calculations'!$JB$12:$JB$2000,0)))</x:f>
      </x:c>
      <x:c r="EN217" s="4" t="n">
        <x:f>IF(OR('Calculations'!EM217="",'Calculations'!$AG$8&gt;0,AND('Calculations'!$EF$2&lt;&gt;"All",'Calculations'!HE217='Calculations'!$EF$2),AND('Calculations'!$EF$3&lt;&gt;"All",'Calculations'!HE217='Calculations'!$EF$3)),0,IF(OR('Dashboard'!$B$7="All",'Calculations'!HN217='Dashboard'!$B$7),IF('Calculations'!$EF$2="All",1,IF('Calculations'!HL217&gt;0,0,IF(COUNTIF('Calculations'!HO217:II217,"="&amp;SUBSTITUTE(SUBSTITUTE(SUBSTITUTE('Calculations'!$EF$2,"~","~~"),"*","~*"),"?","~?"))=0,0,IF('Calculations'!$EF$3="All",1,IF(COUNTIF('Calculations'!HO217:II217,"="&amp;SUBSTITUTE(SUBSTITUTE(SUBSTITUTE('Calculations'!$EF$3,"~","~~"),"*","~*"),"?","~?"))&gt;0,1,0))))),0))</x:f>
        <x:v>0</x:v>
      </x:c>
      <x:c r="EO217" s="4" t="str">
        <x:f>IF('Calculations'!IJ217="","",IF('Calculations'!IJ217="!UNRESOLVED","Unresolved hierarchy",IFERROR(INDEX('Calculations'!$HK$13:$HK$512,MATCH('Calculations'!IJ217,'Calculations'!$HE$13:$HE$512,0)),IFERROR(INDEX('Calculations'!$HJ$13:$HJ$512,MATCH('Calculations'!IJ217,'Calculations'!$HF$13:$HF$512,0)),'Calculations'!IJ217))))</x:f>
      </x:c>
      <x:c r="EP217" s="4" t="n">
        <x:f>IF(AND('Calculations'!EM217&lt;&gt;"",'Calculations'!HF217='Calculations'!IJ217),1,0)</x:f>
        <x:v>0</x:v>
      </x:c>
      <x:c r="EQ217" s="4"/>
      <x:c r="ER217" s="4"/>
      <x:c r="ES217" s="4"/>
      <x:c r="ET217" s="4"/>
      <x:c r="EU217" s="4"/>
      <x:c r="EV217" s="4"/>
      <x:c r="EW217" s="4"/>
      <x:c r="EX217" s="4"/>
      <x:c r="EY217" s="4"/>
      <x:c r="EZ217" s="4"/>
      <x:c r="FA217" s="4"/>
      <x:c r="FB217" s="4"/>
      <x:c r="FC217" s="4"/>
      <x:c r="FD217" s="4"/>
      <x:c r="FE217" s="4"/>
      <x:c r="FF217" s="4"/>
      <x:c r="FG217" s="4"/>
      <x:c r="FH217" s="4"/>
      <x:c r="FI217" s="4"/>
      <x:c r="FJ217" s="4"/>
      <x:c r="FK217" s="4"/>
      <x:c r="FL217" s="4"/>
      <x:c r="FM217" s="4"/>
      <x:c r="FN217" s="4"/>
      <x:c r="FO217" s="4"/>
      <x:c r="HE217" t="str">
        <x:f>IF('Calculations'!EM217="","",IF(IFERROR(IF(INDEX(INDIRECT("'WCM Calibration Final'!$A$1:$A$2000"),'Calculations'!$EM217)="","",TRIM(INDEX(INDIRECT("'WCM Calibration Final'!$A$1:$A$2000"),'Calculations'!$EM217)&amp;"")),"")&lt;&gt;"","G:"&amp;IFERROR(TEXT(1*INDEX(INDIRECT("'WCM Calibration Final'!$A$1:$A$2000"),'Calculations'!$EM217),"0"),UPPER(IFERROR(IF(INDEX(INDIRECT("'WCM Calibration Final'!$A$1:$A$2000"),'Calculations'!$EM217)="","",TRIM(INDEX(INDIRECT("'WCM Calibration Final'!$A$1:$A$2000"),'Calculations'!$EM217)&amp;"")),""))),IF(IFERROR(IF(INDEX(INDIRECT("'WCM Calibration Final'!$C$1:$C$2000"),'Calculations'!$EM217)="","",TRIM(INDEX(INDIRECT("'WCM Calibration Final'!$C$1:$C$2000"),'Calculations'!$EM217)&amp;"")),"")&lt;&gt;"","S:"&amp;UPPER(IFERROR(IF(INDEX(INDIRECT("'WCM Calibration Final'!$C$1:$C$2000"),'Calculations'!$EM217)="","",TRIM(INDEX(INDIRECT("'WCM Calibration Final'!$C$1:$C$2000"),'Calculations'!$EM217)&amp;"")),"")),"R:"&amp;'Calculations'!EM217)))</x:f>
      </x:c>
      <x:c r="HF217" t="str">
        <x:f>IF('Calculations'!EM217="","",IF(IFERROR(IF(INDEX(INDIRECT("'WCM Calibration Final'!$D$1:$D$2000"),'Calculations'!$EM217)="","",TRIM(INDEX(INDIRECT("'WCM Calibration Final'!$D$1:$D$2000"),'Calculations'!$EM217)&amp;"")),"")&lt;&gt;"","G:"&amp;IFERROR(TEXT(1*INDEX(INDIRECT("'WCM Calibration Final'!$D$1:$D$2000"),'Calculations'!$EM217),"0"),UPPER(IFERROR(IF(INDEX(INDIRECT("'WCM Calibration Final'!$D$1:$D$2000"),'Calculations'!$EM217)="","",TRIM(INDEX(INDIRECT("'WCM Calibration Final'!$D$1:$D$2000"),'Calculations'!$EM217)&amp;"")),""))),IF(IFERROR(IF(INDEX(INDIRECT("'WCM Calibration Final'!$E$1:$E$2000"),'Calculations'!$EM217)="","",TRIM(INDEX(INDIRECT("'WCM Calibration Final'!$E$1:$E$2000"),'Calculations'!$EM217)&amp;"")),"")="","",IF(COUNTIF('Calculations'!$HG$13:$HG$512,"="&amp;SUBSTITUTE(SUBSTITUTE(SUBSTITUTE(IFERROR(IF(INDEX(INDIRECT("'WCM Calibration Final'!$E$1:$E$2000"),'Calculations'!$EM217)="","",TRIM(INDEX(INDIRECT("'WCM Calibration Final'!$E$1:$E$2000"),'Calculations'!$EM217)&amp;"")),""),"~","~~"),"*","~*"),"?","~?"))=1,INDEX('Calculations'!$HE$13:$HE$512,MATCH(IFERROR(IF(INDEX(INDIRECT("'WCM Calibration Final'!$E$1:$E$2000"),'Calculations'!$EM217)="","",TRIM(INDEX(INDIRECT("'WCM Calibration Final'!$E$1:$E$2000"),'Calculations'!$EM217)&amp;"")),""),'Calculations'!$HG$13:$HG$512,0)),IF(COUNTIF('Calculations'!$HG$13:$HG$512,"="&amp;SUBSTITUTE(SUBSTITUTE(SUBSTITUTE(IFERROR(IF(INDEX(INDIRECT("'WCM Calibration Final'!$E$1:$E$2000"),'Calculations'!$EM217)="","",TRIM(INDEX(INDIRECT("'WCM Calibration Final'!$E$1:$E$2000"),'Calculations'!$EM217)&amp;"")),""),"~","~~"),"*","~*"),"?","~?"))&gt;1,"!AMBIG","X:"&amp;IFERROR(IF(INDEX(INDIRECT("'WCM Calibration Final'!$E$1:$E$2000"),'Calculations'!$EM217)="","",TRIM(INDEX(INDIRECT("'WCM Calibration Final'!$E$1:$E$2000"),'Calculations'!$EM217)&amp;"")),""))))))</x:f>
      </x:c>
      <x:c r="HG217" t="str">
        <x:f>IF('Calculations'!EM217="","",IFERROR(IF(INDEX(INDIRECT("'WCM Calibration Final'!$B$1:$B$2000"),'Calculations'!$EM217)="","",TRIM(INDEX(INDIRECT("'WCM Calibration Final'!$B$1:$B$2000"),'Calculations'!$EM217)&amp;"")),""))</x:f>
      </x:c>
      <x:c r="HH217" t="n">
        <x:f>IF(AND('Calculations'!JC217&gt;0,COUNTIF('Calculations'!$HF$12:HF217,"="&amp;SUBSTITUTE(SUBSTITUTE(SUBSTITUTE('Calculations'!HF217,"~","~~"),"*","~*"),"?","~?"))=1),MAX('Calculations'!$HH$12:HH216)+1,0)</x:f>
        <x:v>0</x:v>
      </x:c>
      <x:c r="HI217" t="n">
        <x:f>IF(AND('Calculations'!HN217&lt;&gt;"",COUNTIF('Calculations'!$HN$12:HN217,"="&amp;SUBSTITUTE(SUBSTITUTE(SUBSTITUTE('Calculations'!HN217,"~","~~"),"*","~*"),"?","~?"))=1),MAX('Calculations'!$HI$12:HI216)+1,0)</x:f>
        <x:v>0</x:v>
      </x:c>
      <x:c r="HJ217" t="str">
        <x:f>IF('Calculations'!HF217="","",IF(COUNTIF('Calculations'!$HE$13:$HE$512,"="&amp;SUBSTITUTE(SUBSTITUTE(SUBSTITUTE('Calculations'!HF217,"~","~~"),"*","~*"),"?","~?"))=1,INDEX('Calculations'!$HK$13:$HK$512,MATCH('Calculations'!HF217,'Calculations'!$HE$13:$HE$512,0)),IFERROR(IF(INDEX(INDIRECT("'WCM Calibration Final'!$E$1:$E$2000"),'Calculations'!$EM217)="","",TRIM(INDEX(INDIRECT("'WCM Calibration Final'!$E$1:$E$2000"),'Calculations'!$EM217)&amp;"")),"")&amp;" ["&amp;'Calculations'!HF217&amp;"]"))</x:f>
      </x:c>
      <x:c r="HK217" t="str">
        <x:f>IF('Calculations'!EM217="","",'Calculations'!HG217&amp;" ["&amp;'Calculations'!HE217&amp;"]")</x:f>
      </x:c>
      <x:c r="HL217" t="n">
        <x:f>IF('Calculations'!EM217="",0,IF(OR('Calculations'!II217&lt;&gt;"",COUNTIF('Calculations'!$HE$13:$HE$512,"="&amp;SUBSTITUTE(SUBSTITUTE(SUBSTITUTE('Calculations'!HE217,"~","~~"),"*","~*"),"?","~?"))&gt;1),1,0))</x:f>
        <x:v>0</x:v>
      </x:c>
      <x:c r="HM217" t="str">
        <x:f>IF('Calculations'!EM217="","",IF('Calculations'!HL217=1,"!UNRESOLVED",IF('Calculations'!IH217&lt;&gt;"",'Calculations'!IH217,IF('Calculations'!IG217&lt;&gt;"",'Calculations'!IG217,IF('Calculations'!IF217&lt;&gt;"",'Calculations'!IF217,IF('Calculations'!IE217&lt;&gt;"",'Calculations'!IE217,IF('Calculations'!ID217&lt;&gt;"",'Calculations'!ID217,IF('Calculations'!IC217&lt;&gt;"",'Calculations'!IC217,IF('Calculations'!IB217&lt;&gt;"",'Calculations'!IB217,IF('Calculations'!IA217&lt;&gt;"",'Calculations'!IA217,IF('Calculations'!HZ217&lt;&gt;"",'Calculations'!HZ217,IF('Calculations'!HY217&lt;&gt;"",'Calculations'!HY217,IF('Calculations'!HX217&lt;&gt;"",'Calculations'!HX217,IF('Calculations'!HW217&lt;&gt;"",'Calculations'!HW217,IF('Calculations'!HV217&lt;&gt;"",'Calculations'!HV217,IF('Calculations'!HU217&lt;&gt;"",'Calculations'!HU217,IF('Calculations'!HT217&lt;&gt;"",'Calculations'!HT217,IF('Calculations'!HS217&lt;&gt;"",'Calculations'!HS217,IF('Calculations'!HR217&lt;&gt;"",'Calculations'!HR217,IF('Calculations'!HQ217&lt;&gt;"",'Calculations'!HQ217,IF('Calculations'!HP217&lt;&gt;"",'Calculations'!HP217,IF('Calculations'!HO217&lt;&gt;"",'Calculations'!HO217,'Calculations'!HE217))))))))))))))))))))))</x:f>
      </x:c>
      <x:c r="HN217" t="str">
        <x:f>IF('Calculations'!EM217="","",IF(IFERROR(IF(INDEX(INDIRECT("'WCM Calibration Final'!$F$1:$F$2000"),'Calculations'!$EM217)="","",TRIM(INDEX(INDIRECT("'WCM Calibration Final'!$F$1:$F$2000"),'Calculations'!$EM217)&amp;"")),"")="","(Blank)",IFERROR(IF(INDEX(INDIRECT("'WCM Calibration Final'!$F$1:$F$2000"),'Calculations'!$EM217)="","",TRIM(INDEX(INDIRECT("'WCM Calibration Final'!$F$1:$F$2000"),'Calculations'!$EM217)&amp;"")),"")))</x:f>
      </x:c>
      <x:c r="HO217" t="str">
        <x:f>'Calculations'!HF217</x:f>
      </x:c>
      <x:c r="HP217" t="str">
        <x:f>IF('Calculations'!HO217="","",IF('Calculations'!HO217="!AMBIG","!AMBIG",IF(COUNTIF('Calculations'!$HE$13:$HE$512,"="&amp;SUBSTITUTE(SUBSTITUTE(SUBSTITUTE('Calculations'!HO217,"~","~~"),"*","~*"),"?","~?"))&gt;1,"!AMBIG",IFERROR(INDEX('Calculations'!$HF$13:$HF$512,MATCH('Calculations'!HO217,'Calculations'!$HE$13:$HE$512,0)),""))))</x:f>
      </x:c>
      <x:c r="HQ217" t="str">
        <x:f>IF('Calculations'!HP217="","",IF('Calculations'!HP217="!AMBIG","!AMBIG",IF(COUNTIF('Calculations'!$HE$13:$HE$512,"="&amp;SUBSTITUTE(SUBSTITUTE(SUBSTITUTE('Calculations'!HP217,"~","~~"),"*","~*"),"?","~?"))&gt;1,"!AMBIG",IFERROR(INDEX('Calculations'!$HF$13:$HF$512,MATCH('Calculations'!HP217,'Calculations'!$HE$13:$HE$512,0)),""))))</x:f>
      </x:c>
      <x:c r="HR217" t="str">
        <x:f>IF('Calculations'!HQ217="","",IF('Calculations'!HQ217="!AMBIG","!AMBIG",IF(COUNTIF('Calculations'!$HE$13:$HE$512,"="&amp;SUBSTITUTE(SUBSTITUTE(SUBSTITUTE('Calculations'!HQ217,"~","~~"),"*","~*"),"?","~?"))&gt;1,"!AMBIG",IFERROR(INDEX('Calculations'!$HF$13:$HF$512,MATCH('Calculations'!HQ217,'Calculations'!$HE$13:$HE$512,0)),""))))</x:f>
      </x:c>
      <x:c r="HS217" t="str">
        <x:f>IF('Calculations'!HR217="","",IF('Calculations'!HR217="!AMBIG","!AMBIG",IF(COUNTIF('Calculations'!$HE$13:$HE$512,"="&amp;SUBSTITUTE(SUBSTITUTE(SUBSTITUTE('Calculations'!HR217,"~","~~"),"*","~*"),"?","~?"))&gt;1,"!AMBIG",IFERROR(INDEX('Calculations'!$HF$13:$HF$512,MATCH('Calculations'!HR217,'Calculations'!$HE$13:$HE$512,0)),""))))</x:f>
      </x:c>
      <x:c r="HT217" t="str">
        <x:f>IF('Calculations'!HS217="","",IF('Calculations'!HS217="!AMBIG","!AMBIG",IF(COUNTIF('Calculations'!$HE$13:$HE$512,"="&amp;SUBSTITUTE(SUBSTITUTE(SUBSTITUTE('Calculations'!HS217,"~","~~"),"*","~*"),"?","~?"))&gt;1,"!AMBIG",IFERROR(INDEX('Calculations'!$HF$13:$HF$512,MATCH('Calculations'!HS217,'Calculations'!$HE$13:$HE$512,0)),""))))</x:f>
      </x:c>
      <x:c r="HU217" t="str">
        <x:f>IF('Calculations'!HT217="","",IF('Calculations'!HT217="!AMBIG","!AMBIG",IF(COUNTIF('Calculations'!$HE$13:$HE$512,"="&amp;SUBSTITUTE(SUBSTITUTE(SUBSTITUTE('Calculations'!HT217,"~","~~"),"*","~*"),"?","~?"))&gt;1,"!AMBIG",IFERROR(INDEX('Calculations'!$HF$13:$HF$512,MATCH('Calculations'!HT217,'Calculations'!$HE$13:$HE$512,0)),""))))</x:f>
      </x:c>
      <x:c r="HV217" t="str">
        <x:f>IF('Calculations'!HU217="","",IF('Calculations'!HU217="!AMBIG","!AMBIG",IF(COUNTIF('Calculations'!$HE$13:$HE$512,"="&amp;SUBSTITUTE(SUBSTITUTE(SUBSTITUTE('Calculations'!HU217,"~","~~"),"*","~*"),"?","~?"))&gt;1,"!AMBIG",IFERROR(INDEX('Calculations'!$HF$13:$HF$512,MATCH('Calculations'!HU217,'Calculations'!$HE$13:$HE$512,0)),""))))</x:f>
      </x:c>
      <x:c r="HW217" t="str">
        <x:f>IF('Calculations'!HV217="","",IF('Calculations'!HV217="!AMBIG","!AMBIG",IF(COUNTIF('Calculations'!$HE$13:$HE$512,"="&amp;SUBSTITUTE(SUBSTITUTE(SUBSTITUTE('Calculations'!HV217,"~","~~"),"*","~*"),"?","~?"))&gt;1,"!AMBIG",IFERROR(INDEX('Calculations'!$HF$13:$HF$512,MATCH('Calculations'!HV217,'Calculations'!$HE$13:$HE$512,0)),""))))</x:f>
      </x:c>
      <x:c r="HX217" t="str">
        <x:f>IF('Calculations'!HW217="","",IF('Calculations'!HW217="!AMBIG","!AMBIG",IF(COUNTIF('Calculations'!$HE$13:$HE$512,"="&amp;SUBSTITUTE(SUBSTITUTE(SUBSTITUTE('Calculations'!HW217,"~","~~"),"*","~*"),"?","~?"))&gt;1,"!AMBIG",IFERROR(INDEX('Calculations'!$HF$13:$HF$512,MATCH('Calculations'!HW217,'Calculations'!$HE$13:$HE$512,0)),""))))</x:f>
      </x:c>
      <x:c r="HY217" t="str">
        <x:f>IF('Calculations'!HX217="","",IF('Calculations'!HX217="!AMBIG","!AMBIG",IF(COUNTIF('Calculations'!$HE$13:$HE$512,"="&amp;SUBSTITUTE(SUBSTITUTE(SUBSTITUTE('Calculations'!HX217,"~","~~"),"*","~*"),"?","~?"))&gt;1,"!AMBIG",IFERROR(INDEX('Calculations'!$HF$13:$HF$512,MATCH('Calculations'!HX217,'Calculations'!$HE$13:$HE$512,0)),""))))</x:f>
      </x:c>
      <x:c r="HZ217" t="str">
        <x:f>IF('Calculations'!HY217="","",IF('Calculations'!HY217="!AMBIG","!AMBIG",IF(COUNTIF('Calculations'!$HE$13:$HE$512,"="&amp;SUBSTITUTE(SUBSTITUTE(SUBSTITUTE('Calculations'!HY217,"~","~~"),"*","~*"),"?","~?"))&gt;1,"!AMBIG",IFERROR(INDEX('Calculations'!$HF$13:$HF$512,MATCH('Calculations'!HY217,'Calculations'!$HE$13:$HE$512,0)),""))))</x:f>
      </x:c>
      <x:c r="IA217" t="str">
        <x:f>IF('Calculations'!HZ217="","",IF('Calculations'!HZ217="!AMBIG","!AMBIG",IF(COUNTIF('Calculations'!$HE$13:$HE$512,"="&amp;SUBSTITUTE(SUBSTITUTE(SUBSTITUTE('Calculations'!HZ217,"~","~~"),"*","~*"),"?","~?"))&gt;1,"!AMBIG",IFERROR(INDEX('Calculations'!$HF$13:$HF$512,MATCH('Calculations'!HZ217,'Calculations'!$HE$13:$HE$512,0)),""))))</x:f>
      </x:c>
      <x:c r="IB217" t="str">
        <x:f>IF('Calculations'!IA217="","",IF('Calculations'!IA217="!AMBIG","!AMBIG",IF(COUNTIF('Calculations'!$HE$13:$HE$512,"="&amp;SUBSTITUTE(SUBSTITUTE(SUBSTITUTE('Calculations'!IA217,"~","~~"),"*","~*"),"?","~?"))&gt;1,"!AMBIG",IFERROR(INDEX('Calculations'!$HF$13:$HF$512,MATCH('Calculations'!IA217,'Calculations'!$HE$13:$HE$512,0)),""))))</x:f>
      </x:c>
      <x:c r="IC217" t="str">
        <x:f>IF('Calculations'!IB217="","",IF('Calculations'!IB217="!AMBIG","!AMBIG",IF(COUNTIF('Calculations'!$HE$13:$HE$512,"="&amp;SUBSTITUTE(SUBSTITUTE(SUBSTITUTE('Calculations'!IB217,"~","~~"),"*","~*"),"?","~?"))&gt;1,"!AMBIG",IFERROR(INDEX('Calculations'!$HF$13:$HF$512,MATCH('Calculations'!IB217,'Calculations'!$HE$13:$HE$512,0)),""))))</x:f>
      </x:c>
      <x:c r="ID217" t="str">
        <x:f>IF('Calculations'!IC217="","",IF('Calculations'!IC217="!AMBIG","!AMBIG",IF(COUNTIF('Calculations'!$HE$13:$HE$512,"="&amp;SUBSTITUTE(SUBSTITUTE(SUBSTITUTE('Calculations'!IC217,"~","~~"),"*","~*"),"?","~?"))&gt;1,"!AMBIG",IFERROR(INDEX('Calculations'!$HF$13:$HF$512,MATCH('Calculations'!IC217,'Calculations'!$HE$13:$HE$512,0)),""))))</x:f>
      </x:c>
      <x:c r="IE217" t="str">
        <x:f>IF('Calculations'!ID217="","",IF('Calculations'!ID217="!AMBIG","!AMBIG",IF(COUNTIF('Calculations'!$HE$13:$HE$512,"="&amp;SUBSTITUTE(SUBSTITUTE(SUBSTITUTE('Calculations'!ID217,"~","~~"),"*","~*"),"?","~?"))&gt;1,"!AMBIG",IFERROR(INDEX('Calculations'!$HF$13:$HF$512,MATCH('Calculations'!ID217,'Calculations'!$HE$13:$HE$512,0)),""))))</x:f>
      </x:c>
      <x:c r="IF217" t="str">
        <x:f>IF('Calculations'!IE217="","",IF('Calculations'!IE217="!AMBIG","!AMBIG",IF(COUNTIF('Calculations'!$HE$13:$HE$512,"="&amp;SUBSTITUTE(SUBSTITUTE(SUBSTITUTE('Calculations'!IE217,"~","~~"),"*","~*"),"?","~?"))&gt;1,"!AMBIG",IFERROR(INDEX('Calculations'!$HF$13:$HF$512,MATCH('Calculations'!IE217,'Calculations'!$HE$13:$HE$512,0)),""))))</x:f>
      </x:c>
      <x:c r="IG217" t="str">
        <x:f>IF('Calculations'!IF217="","",IF('Calculations'!IF217="!AMBIG","!AMBIG",IF(COUNTIF('Calculations'!$HE$13:$HE$512,"="&amp;SUBSTITUTE(SUBSTITUTE(SUBSTITUTE('Calculations'!IF217,"~","~~"),"*","~*"),"?","~?"))&gt;1,"!AMBIG",IFERROR(INDEX('Calculations'!$HF$13:$HF$512,MATCH('Calculations'!IF217,'Calculations'!$HE$13:$HE$512,0)),""))))</x:f>
      </x:c>
      <x:c r="IH217" t="str">
        <x:f>IF('Calculations'!IG217="","",IF('Calculations'!IG217="!AMBIG","!AMBIG",IF(COUNTIF('Calculations'!$HE$13:$HE$512,"="&amp;SUBSTITUTE(SUBSTITUTE(SUBSTITUTE('Calculations'!IG217,"~","~~"),"*","~*"),"?","~?"))&gt;1,"!AMBIG",IFERROR(INDEX('Calculations'!$HF$13:$HF$512,MATCH('Calculations'!IG217,'Calculations'!$HE$13:$HE$512,0)),""))))</x:f>
      </x:c>
      <x:c r="II217" t="str">
        <x:f>IF('Calculations'!IH217="","",IF('Calculations'!IH217="!AMBIG","!AMBIG",IF(COUNTIF('Calculations'!$HE$13:$HE$512,"="&amp;SUBSTITUTE(SUBSTITUTE(SUBSTITUTE('Calculations'!IH217,"~","~~"),"*","~*"),"?","~?"))&gt;1,"!AMBIG",IFERROR(INDEX('Calculations'!$HF$13:$HF$512,MATCH('Calculations'!IH217,'Calculations'!$HE$13:$HE$512,0)),""))))</x:f>
      </x:c>
      <x:c r="IJ217" t="str">
        <x:f>IF('Calculations'!EM217="","",IF('Calculations'!$EF$2="All",'Calculations'!HM217,IF('Calculations'!HL217=1,"",IFERROR(IF(MATCH('Calculations'!$EF$2,'Calculations'!HO217:II217,0)=1,'Calculations'!HE217,INDEX('Calculations'!HO217:II217,1,MATCH('Calculations'!$EF$2,'Calculations'!HO217:II217,0)-1)),""))))</x:f>
      </x:c>
      <x:c r="IK217" t="n">
        <x:f>IF(AND('Calculations'!EM217&lt;&gt;"",'Calculations'!$EF$2&lt;&gt;"All",'Calculations'!HF217='Calculations'!$EF$2,'Calculations'!HL217=0,'Calculations'!JD217&gt;0),MAX('Calculations'!$IK$12:IK216)+1,0)</x:f>
        <x:v>0</x:v>
      </x:c>
      <x:c r="JA217" t="n">
        <x:f>IF(OR(IFERROR(INDIRECT("'WCM Calibration Final'!$A$217")&lt;&gt;"",FALSE),IFERROR(INDIRECT("'WCM Calibration Final'!$B$217")&lt;&gt;"",FALSE),IFERROR(INDIRECT("'WCM Calibration Final'!$C$217")&lt;&gt;"",FALSE)),217,0)</x:f>
        <x:v>0</x:v>
      </x:c>
      <x:c r="JB217" t="n">
        <x:f>'Calculations'!JB216+IF('Calculations'!JA217&gt;0,1,0)</x:f>
        <x:v>0</x:v>
      </x:c>
      <x:c r="JC217" t="n">
        <x:f>IF(OR('Calculations'!HF217="",'Calculations'!HF217="!AMBIG"),0,IF('Dashboard'!$B$7="All",1,COUNTIFS('Calculations'!$HO$13:$HO$512,"="&amp;SUBSTITUTE(SUBSTITUTE(SUBSTITUTE('Calculations'!HF217,"~","~~"),"*","~*"),"?","~?"),'Calculations'!$HN$13:$HN$512,"="&amp;SUBSTITUTE(SUBSTITUTE(SUBSTITUTE('Dashboard'!$B$7,"~","~~"),"*","~*"),"?","~?"))+COUNTIFS('Calculations'!$HP$13:$HP$512,"="&amp;SUBSTITUTE(SUBSTITUTE(SUBSTITUTE('Calculations'!HF217,"~","~~"),"*","~*"),"?","~?"),'Calculations'!$HN$13:$HN$512,"="&amp;SUBSTITUTE(SUBSTITUTE(SUBSTITUTE('Dashboard'!$B$7,"~","~~"),"*","~*"),"?","~?"))+COUNTIFS('Calculations'!$HQ$13:$HQ$512,"="&amp;SUBSTITUTE(SUBSTITUTE(SUBSTITUTE('Calculations'!HF217,"~","~~"),"*","~*"),"?","~?"),'Calculations'!$HN$13:$HN$512,"="&amp;SUBSTITUTE(SUBSTITUTE(SUBSTITUTE('Dashboard'!$B$7,"~","~~"),"*","~*"),"?","~?"))+COUNTIFS('Calculations'!$HR$13:$HR$512,"="&amp;SUBSTITUTE(SUBSTITUTE(SUBSTITUTE('Calculations'!HF217,"~","~~"),"*","~*"),"?","~?"),'Calculations'!$HN$13:$HN$512,"="&amp;SUBSTITUTE(SUBSTITUTE(SUBSTITUTE('Dashboard'!$B$7,"~","~~"),"*","~*"),"?","~?"))+COUNTIFS('Calculations'!$HS$13:$HS$512,"="&amp;SUBSTITUTE(SUBSTITUTE(SUBSTITUTE('Calculations'!HF217,"~","~~"),"*","~*"),"?","~?"),'Calculations'!$HN$13:$HN$512,"="&amp;SUBSTITUTE(SUBSTITUTE(SUBSTITUTE('Dashboard'!$B$7,"~","~~"),"*","~*"),"?","~?"))+COUNTIFS('Calculations'!$HT$13:$HT$512,"="&amp;SUBSTITUTE(SUBSTITUTE(SUBSTITUTE('Calculations'!HF217,"~","~~"),"*","~*"),"?","~?"),'Calculations'!$HN$13:$HN$512,"="&amp;SUBSTITUTE(SUBSTITUTE(SUBSTITUTE('Dashboard'!$B$7,"~","~~"),"*","~*"),"?","~?"))+COUNTIFS('Calculations'!$HU$13:$HU$512,"="&amp;SUBSTITUTE(SUBSTITUTE(SUBSTITUTE('Calculations'!HF217,"~","~~"),"*","~*"),"?","~?"),'Calculations'!$HN$13:$HN$512,"="&amp;SUBSTITUTE(SUBSTITUTE(SUBSTITUTE('Dashboard'!$B$7,"~","~~"),"*","~*"),"?","~?"))+COUNTIFS('Calculations'!$HV$13:$HV$512,"="&amp;SUBSTITUTE(SUBSTITUTE(SUBSTITUTE('Calculations'!HF217,"~","~~"),"*","~*"),"?","~?"),'Calculations'!$HN$13:$HN$512,"="&amp;SUBSTITUTE(SUBSTITUTE(SUBSTITUTE('Dashboard'!$B$7,"~","~~"),"*","~*"),"?","~?"))+COUNTIFS('Calculations'!$HW$13:$HW$512,"="&amp;SUBSTITUTE(SUBSTITUTE(SUBSTITUTE('Calculations'!HF217,"~","~~"),"*","~*"),"?","~?"),'Calculations'!$HN$13:$HN$512,"="&amp;SUBSTITUTE(SUBSTITUTE(SUBSTITUTE('Dashboard'!$B$7,"~","~~"),"*","~*"),"?","~?"))+COUNTIFS('Calculations'!$HX$13:$HX$512,"="&amp;SUBSTITUTE(SUBSTITUTE(SUBSTITUTE('Calculations'!HF217,"~","~~"),"*","~*"),"?","~?"),'Calculations'!$HN$13:$HN$512,"="&amp;SUBSTITUTE(SUBSTITUTE(SUBSTITUTE('Dashboard'!$B$7,"~","~~"),"*","~*"),"?","~?"))+COUNTIFS('Calculations'!$HY$13:$HY$512,"="&amp;SUBSTITUTE(SUBSTITUTE(SUBSTITUTE('Calculations'!HF217,"~","~~"),"*","~*"),"?","~?"),'Calculations'!$HN$13:$HN$512,"="&amp;SUBSTITUTE(SUBSTITUTE(SUBSTITUTE('Dashboard'!$B$7,"~","~~"),"*","~*"),"?","~?"))+COUNTIFS('Calculations'!$HZ$13:$HZ$512,"="&amp;SUBSTITUTE(SUBSTITUTE(SUBSTITUTE('Calculations'!HF217,"~","~~"),"*","~*"),"?","~?"),'Calculations'!$HN$13:$HN$512,"="&amp;SUBSTITUTE(SUBSTITUTE(SUBSTITUTE('Dashboard'!$B$7,"~","~~"),"*","~*"),"?","~?"))+COUNTIFS('Calculations'!$IA$13:$IA$512,"="&amp;SUBSTITUTE(SUBSTITUTE(SUBSTITUTE('Calculations'!HF217,"~","~~"),"*","~*"),"?","~?"),'Calculations'!$HN$13:$HN$512,"="&amp;SUBSTITUTE(SUBSTITUTE(SUBSTITUTE('Dashboard'!$B$7,"~","~~"),"*","~*"),"?","~?"))+COUNTIFS('Calculations'!$IB$13:$IB$512,"="&amp;SUBSTITUTE(SUBSTITUTE(SUBSTITUTE('Calculations'!HF217,"~","~~"),"*","~*"),"?","~?"),'Calculations'!$HN$13:$HN$512,"="&amp;SUBSTITUTE(SUBSTITUTE(SUBSTITUTE('Dashboard'!$B$7,"~","~~"),"*","~*"),"?","~?"))+COUNTIFS('Calculations'!$IC$13:$IC$512,"="&amp;SUBSTITUTE(SUBSTITUTE(SUBSTITUTE('Calculations'!HF217,"~","~~"),"*","~*"),"?","~?"),'Calculations'!$HN$13:$HN$512,"="&amp;SUBSTITUTE(SUBSTITUTE(SUBSTITUTE('Dashboard'!$B$7,"~","~~"),"*","~*"),"?","~?"))+COUNTIFS('Calculations'!$ID$13:$ID$512,"="&amp;SUBSTITUTE(SUBSTITUTE(SUBSTITUTE('Calculations'!HF217,"~","~~"),"*","~*"),"?","~?"),'Calculations'!$HN$13:$HN$512,"="&amp;SUBSTITUTE(SUBSTITUTE(SUBSTITUTE('Dashboard'!$B$7,"~","~~"),"*","~*"),"?","~?"))+COUNTIFS('Calculations'!$IE$13:$IE$512,"="&amp;SUBSTITUTE(SUBSTITUTE(SUBSTITUTE('Calculations'!HF217,"~","~~"),"*","~*"),"?","~?"),'Calculations'!$HN$13:$HN$512,"="&amp;SUBSTITUTE(SUBSTITUTE(SUBSTITUTE('Dashboard'!$B$7,"~","~~"),"*","~*"),"?","~?"))+COUNTIFS('Calculations'!$IF$13:$IF$512,"="&amp;SUBSTITUTE(SUBSTITUTE(SUBSTITUTE('Calculations'!HF217,"~","~~"),"*","~*"),"?","~?"),'Calculations'!$HN$13:$HN$512,"="&amp;SUBSTITUTE(SUBSTITUTE(SUBSTITUTE('Dashboard'!$B$7,"~","~~"),"*","~*"),"?","~?"))+COUNTIFS('Calculations'!$IG$13:$IG$512,"="&amp;SUBSTITUTE(SUBSTITUTE(SUBSTITUTE('Calculations'!HF217,"~","~~"),"*","~*"),"?","~?"),'Calculations'!$HN$13:$HN$512,"="&amp;SUBSTITUTE(SUBSTITUTE(SUBSTITUTE('Dashboard'!$B$7,"~","~~"),"*","~*"),"?","~?"))+COUNTIFS('Calculations'!$IH$13:$IH$512,"="&amp;SUBSTITUTE(SUBSTITUTE(SUBSTITUTE('Calculations'!HF217,"~","~~"),"*","~*"),"?","~?"),'Calculations'!$HN$13:$HN$512,"="&amp;SUBSTITUTE(SUBSTITUTE(SUBSTITUTE('Dashboard'!$B$7,"~","~~"),"*","~*"),"?","~?"))))</x:f>
        <x:v>0</x:v>
      </x:c>
      <x:c r="JD217" t="n">
        <x:f>IF('Calculations'!EM217="",0,IF('Dashboard'!$B$7="All",1,IF('Calculations'!HN217='Dashboard'!$B$7,1,0)+IFERROR(INDEX('Calculations'!$JC$13:$JC$512,MATCH('Calculations'!HE217,'Calculations'!$HF$13:$HF$512,0)),0)))</x:f>
        <x:v>0</x:v>
      </x:c>
      <x:c r="JE217" t="n">
        <x:f>IF(AND('Calculations'!EM217&lt;&gt;"",'Calculations'!$JJ$2&lt;&gt;"All",'Calculations'!$JJ$2&lt;&gt;"",'Calculations'!HF217='Calculations'!$JJ$2,'Calculations'!HL217=0,'Calculations'!JD217&gt;0),MAX('Calculations'!$JE$12:JE216)+1,0)</x:f>
        <x:v>0</x:v>
      </x:c>
      <x:c r="JF217" t="str">
        <x:f>IF('Calculations'!EM217="","",IFERROR(IF(INDEX(INDIRECT("'WCM Calibration Final'!$G$1:$G$2000"),'Calculations'!$EM217)="","",TRIM(INDEX(INDIRECT("'WCM Calibration Final'!$G$1:$G$2000"),'Calculations'!$EM217)&amp;"")),""))</x:f>
      </x:c>
      <x:c r="JQ217" t="n">
        <x:f>IF(OR('Calculations'!BM217=0,NOT('Calculations'!$AG$2),'Calculations'!$AG$8&gt;0),0,IF(OR('Dashboard'!$B$7="All",'Calculations'!HN217='Dashboard'!$B$7),IF('Calculations'!$JJ$2="All",1,IF(AND('Calculations'!HF217='Calculations'!$JJ$2,'Calculations'!HL217=0),1,0)),0))</x:f>
        <x:v>0</x:v>
      </x:c>
    </x:row>
    <x:row r="218">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t="n">
        <x:f>IF('Calculations'!$EM218="",0,IF(OR(IFERROR(INDEX(INDIRECT("'WCM Calibration Final'!$A$1:$A$2000"),'Calculations'!$EM218)&lt;&gt;"",FALSE),IFERROR(INDEX(INDIRECT("'WCM Calibration Final'!$B$1:$B$2000"),'Calculations'!$EM218)&lt;&gt;"",FALSE),IFERROR(INDEX(INDIRECT("'WCM Calibration Final'!$C$1:$C$2000"),'Calculations'!$EM218)&lt;&gt;"",FALSE)),1,0))</x:f>
        <x:v>0</x:v>
      </x:c>
      <x:c r="BN218" s="4" t="n">
        <x:f>IF(AND('Calculations'!BM218=1,'Calculations'!$AG$2,'Calculations'!$EN218=1),1,0)</x:f>
        <x:v>0</x:v>
      </x:c>
      <x:c r="BO218" s="4" t="str">
        <x:f>IF('Calculations'!BM218=0,"",IFERROR(IF(AND(VALUE(INDEX(INDIRECT("'WCM Calibration Final'!$K$1:$K$2000"),'Calculations'!$EM218))&gt;=1,VALUE(INDEX(INDIRECT("'WCM Calibration Final'!$K$1:$K$2000"),'Calculations'!$EM218))&lt;=4,MOD(VALUE(INDEX(INDIRECT("'WCM Calibration Final'!$K$1:$K$2000"),'Calculations'!$EM218)),1)=0),VALUE(INDEX(INDIRECT("'WCM Calibration Final'!$K$1:$K$2000"),'Calculations'!$EM218)),""),""))</x:f>
      </x:c>
      <x:c r="BP218" s="4" t="str">
        <x:f>IF('Calculations'!BM218=0,"",IFERROR(IF(AND(VALUE(INDEX(INDIRECT("'WCM Calibration Final'!$L$1:$L$2000"),'Calculations'!$EM218))&gt;=1,VALUE(INDEX(INDIRECT("'WCM Calibration Final'!$L$1:$L$2000"),'Calculations'!$EM218))&lt;=4,MOD(VALUE(INDEX(INDIRECT("'WCM Calibration Final'!$L$1:$L$2000"),'Calculations'!$EM218)),1)=0),VALUE(INDEX(INDIRECT("'WCM Calibration Final'!$L$1:$L$2000"),'Calculations'!$EM218)),""),""))</x:f>
      </x:c>
      <x:c r="BQ218" s="4"/>
      <x:c r="BR218" s="4"/>
      <x:c r="BS218" s="4"/>
      <x:c r="BT218" s="4" t="n">
        <x:f>IF(AND('Calculations'!BM218=1,ISNUMBER('Calculations'!BO218),ISNUMBER('Calculations'!BP218)),1,0)</x:f>
        <x:v>0</x:v>
      </x:c>
      <x:c r="BU218" s="4" t="str">
        <x:f>IF('Calculations'!BM218=0,"",'Calculations'!$EO218)</x:f>
      </x:c>
      <x:c r="BV218" s="4" t="str">
        <x:f>IF('Calculations'!BM218=0,"",IFERROR(IF(OR(INDEX(INDIRECT("'WCM Calibration Final'!$H$1:$H$2000"),'Calculations'!$EM218)="MANAGING DIRECTOR",INDEX(INDIRECT("'WCM Calibration Final'!$H$1:$H$2000"),'Calculations'!$EM218)="DIRECTOR",INDEX(INDIRECT("'WCM Calibration Final'!$H$1:$H$2000"),'Calculations'!$EM218)="SENIOR VICE PRESIDENT",INDEX(INDIRECT("'WCM Calibration Final'!$H$1:$H$2000"),'Calculations'!$EM218)="VICE PRESIDENT",INDEX(INDIRECT("'WCM Calibration Final'!$H$1:$H$2000"),'Calculations'!$EM218)="ASSISTANT VICE PRESIDENT",INDEX(INDIRECT("'WCM Calibration Final'!$H$1:$H$2000"),'Calculations'!$EM218)="OFFICER"),UPPER(INDEX(INDIRECT("'WCM Calibration Final'!$H$1:$H$2000"),'Calculations'!$EM218)),"Other"),"Other"))</x:f>
      </x:c>
      <x:c r="BW218" s="4"/>
      <x:c r="BX218" s="4"/>
      <x:c r="BY218" s="4" t="n">
        <x:f>IF(AND('Calculations'!BM218=1,'Calculations'!BU218&lt;&gt;"",COUNTIF('Calculations'!$BU$12:BU218,'Calculations'!BU218)=1),MAX('Calculations'!$BY$11:BY217)+1,0)</x:f>
        <x:v>0</x:v>
      </x:c>
      <x:c r="BZ218" s="4" t="str">
        <x:f>IF('Dashboard'!$E$67="What",'Calculations'!BO218,'Calculations'!BP218)</x:f>
      </x:c>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t="str">
        <x:f>IF(207&gt;MAX('Calculations'!$HI$13:$HI$512),"",INDEX('Calculations'!$HN$13:$HN$512,MATCH(207,'Calculations'!$HI$13:$HI$512,0)))</x:f>
      </x:c>
      <x:c r="DB218" s="4" t="str">
        <x:f>IF(207&gt;MAX('Calculations'!$HH$13:$HH$512),"",INDEX('Calculations'!$HJ$13:$HJ$512,MATCH(207,'Calculations'!$HH$13:$HH$512,0)))</x:f>
      </x:c>
      <x:c r="DC218" s="4" t="str">
        <x:f>IF(ROW()-11&gt;MAX('Calculations'!$BY$13:$BY$512),"",INDEX('Calculations'!$BU$13:$BU$512,MATCH(ROW()-11,'Calculations'!$BY$13:$BY$512,0)))</x:f>
      </x:c>
      <x:c r="DD218" s="4" t="str">
        <x:f>IF(207&gt;MAX('Calculations'!$IK$13:$IK$512),"",INDEX('Calculations'!$HK$13:$HK$512,MATCH(207,'Calculations'!$IK$13:$IK$512,0)))</x:f>
      </x:c>
      <x:c r="DE218" s="4" t="str">
        <x:f>'Calculations'!DC218</x:f>
      </x:c>
      <x:c r="DF218" s="4" t="str">
        <x:f>IF('Calculations'!DE218="","",COUNTIFS('Calculations'!$BN$13:$BN$512,1,'Calculations'!$BU$13:$BU$512,'Calculations'!DE218))</x:f>
      </x:c>
      <x:c r="DG218" s="4" t="str">
        <x:f>IF('Calculations'!DE218="","",COUNTIFS('Calculations'!$BN$13:$BN$512,1,'Calculations'!$BU$13:$BU$512,'Calculations'!DE218,'Calculations'!$BT$13:$BT$512,1))</x:f>
      </x:c>
      <x:c r="DH218" s="4" t="str">
        <x:f>IF('Calculations'!DE218="","",'Calculations'!DF218-'Calculations'!DG218)</x:f>
      </x:c>
      <x:c r="DI218" s="4" t="str">
        <x:f>IF(OR('Calculations'!DE218="",'Calculations'!DF218=0),"",'Calculations'!DG218/'Calculations'!DF218)</x:f>
      </x:c>
      <x:c r="DJ218" s="4" t="str">
        <x:f>IF('Calculations'!DE218="","",COUNTIFS('Calculations'!$BN$13:$BN$512,1,'Calculations'!$BU$13:$BU$512,'Calculations'!DE218,'Calculations'!$BT$13:$BT$512,1,'Calculations'!$EE$13:$EE$512,"High"))</x:f>
      </x:c>
      <x:c r="DK218" s="4" t="str">
        <x:f>IF('Calculations'!DE218="","",COUNTIFS('Calculations'!$BN$13:$BN$512,1,'Calculations'!$BU$13:$BU$512,'Calculations'!DE218,'Calculations'!$BT$13:$BT$512,1,'Calculations'!$EE$13:$EE$512,"Strong"))</x:f>
      </x:c>
      <x:c r="DL218" s="4" t="str">
        <x:f>IF('Calculations'!DE218="","",COUNTIFS('Calculations'!$BN$13:$BN$512,1,'Calculations'!$BU$13:$BU$512,'Calculations'!DE218,'Calculations'!$BT$13:$BT$512,1,'Calculations'!$EE$13:$EE$512,"Solid"))</x:f>
      </x:c>
      <x:c r="DM218" s="4" t="str">
        <x:f>IF('Calculations'!DE218="","",COUNTIFS('Calculations'!$BN$13:$BN$512,1,'Calculations'!$BU$13:$BU$512,'Calculations'!DE218,'Calculations'!$BT$13:$BT$512,1,'Calculations'!$EE$13:$EE$512,"Low"))</x:f>
      </x:c>
      <x:c r="DN218" s="4" t="str">
        <x:f>IF('Calculations'!DE218="","",COUNTIFS('Calculations'!$BN$13:$BN$512,1,'Calculations'!$BU$13:$BU$512,'Calculations'!DE218,'Calculations'!$EP$13:$EP$512,1))</x:f>
      </x:c>
      <x:c r="DO218" s="4" t="str">
        <x:f>IF(OR('Calculations'!DE218="",'Calculations'!DG218=0),"",('Calculations'!DJ218+'Calculations'!DK218)/'Calculations'!DG218)</x:f>
      </x:c>
      <x:c r="DP218" s="4" t="n">
        <x:f>IF(AND('Calculations'!DE218&lt;&gt;"",'Calculations'!DF218&gt;0),COUNTIF('Calculations'!$DF$12:DF218,"&gt;0"),0)</x:f>
        <x:v>0</x:v>
      </x:c>
      <x:c r="DQ218" s="4" t="str">
        <x:f>IF(207&gt;MAX('Calculations'!$HH$13:$HH$512),"",INDEX('Calculations'!$HF$13:$HF$512,MATCH(207,'Calculations'!$HH$13:$HH$512,0)))</x:f>
      </x:c>
      <x:c r="DR218" s="4" t="str">
        <x:f>IF(207&gt;MAX('Calculations'!$IK$13:$IK$512),"",INDEX('Calculations'!$HE$13:$HE$512,MATCH(207,'Calculations'!$IK$13:$IK$512,0)))</x:f>
      </x:c>
      <x:c r="DS218" s="4"/>
      <x:c r="DT218" s="4"/>
      <x:c r="DU218" s="4"/>
      <x:c r="DV218" s="4"/>
      <x:c r="DW218" s="4"/>
      <x:c r="DX218" s="4"/>
      <x:c r="DY218" s="4"/>
      <x:c r="DZ218" s="4"/>
      <x:c r="EA218" s="4"/>
      <x:c r="EB218" s="4"/>
      <x:c r="EC218" s="4"/>
      <x:c r="ED218" s="4"/>
      <x:c r="EE218" s="4" t="str">
        <x:f>IF('Calculations'!BT218=0,"Not Rated",IF(OR('Calculations'!BO218&gt;=4,'Calculations'!BP218&gt;=4),"Low",IF('Calculations'!BO218+'Calculations'!BP218&lt;=3,"High",IF('Calculations'!BO218+'Calculations'!BP218&lt;=4,"Strong","Solid"))))</x:f>
        <x:v>Not Rated</x:v>
      </x:c>
      <x:c r="EF218" s="4"/>
      <x:c r="EG218" s="4"/>
      <x:c r="EH218" s="4"/>
      <x:c r="EI218" s="4"/>
      <x:c r="EJ218" s="4"/>
      <x:c r="EK218" s="4"/>
      <x:c r="EL218" s="4"/>
      <x:c r="EM218" s="4" t="str">
        <x:f>IF(206&gt;'Calculations'!$JB$2000,"",INDEX('Calculations'!$JA$12:$JA$2000,MATCH(206,'Calculations'!$JB$12:$JB$2000,0)))</x:f>
      </x:c>
      <x:c r="EN218" s="4" t="n">
        <x:f>IF(OR('Calculations'!EM218="",'Calculations'!$AG$8&gt;0,AND('Calculations'!$EF$2&lt;&gt;"All",'Calculations'!HE218='Calculations'!$EF$2),AND('Calculations'!$EF$3&lt;&gt;"All",'Calculations'!HE218='Calculations'!$EF$3)),0,IF(OR('Dashboard'!$B$7="All",'Calculations'!HN218='Dashboard'!$B$7),IF('Calculations'!$EF$2="All",1,IF('Calculations'!HL218&gt;0,0,IF(COUNTIF('Calculations'!HO218:II218,"="&amp;SUBSTITUTE(SUBSTITUTE(SUBSTITUTE('Calculations'!$EF$2,"~","~~"),"*","~*"),"?","~?"))=0,0,IF('Calculations'!$EF$3="All",1,IF(COUNTIF('Calculations'!HO218:II218,"="&amp;SUBSTITUTE(SUBSTITUTE(SUBSTITUTE('Calculations'!$EF$3,"~","~~"),"*","~*"),"?","~?"))&gt;0,1,0))))),0))</x:f>
        <x:v>0</x:v>
      </x:c>
      <x:c r="EO218" s="4" t="str">
        <x:f>IF('Calculations'!IJ218="","",IF('Calculations'!IJ218="!UNRESOLVED","Unresolved hierarchy",IFERROR(INDEX('Calculations'!$HK$13:$HK$512,MATCH('Calculations'!IJ218,'Calculations'!$HE$13:$HE$512,0)),IFERROR(INDEX('Calculations'!$HJ$13:$HJ$512,MATCH('Calculations'!IJ218,'Calculations'!$HF$13:$HF$512,0)),'Calculations'!IJ218))))</x:f>
      </x:c>
      <x:c r="EP218" s="4" t="n">
        <x:f>IF(AND('Calculations'!EM218&lt;&gt;"",'Calculations'!HF218='Calculations'!IJ218),1,0)</x:f>
        <x:v>0</x:v>
      </x:c>
      <x:c r="EQ218" s="4"/>
      <x:c r="ER218" s="4"/>
      <x:c r="ES218" s="4"/>
      <x:c r="ET218" s="4"/>
      <x:c r="EU218" s="4"/>
      <x:c r="EV218" s="4"/>
      <x:c r="EW218" s="4"/>
      <x:c r="EX218" s="4"/>
      <x:c r="EY218" s="4"/>
      <x:c r="EZ218" s="4"/>
      <x:c r="FA218" s="4"/>
      <x:c r="FB218" s="4"/>
      <x:c r="FC218" s="4"/>
      <x:c r="FD218" s="4"/>
      <x:c r="FE218" s="4"/>
      <x:c r="FF218" s="4"/>
      <x:c r="FG218" s="4"/>
      <x:c r="FH218" s="4"/>
      <x:c r="FI218" s="4"/>
      <x:c r="FJ218" s="4"/>
      <x:c r="FK218" s="4"/>
      <x:c r="FL218" s="4"/>
      <x:c r="FM218" s="4"/>
      <x:c r="FN218" s="4"/>
      <x:c r="FO218" s="4"/>
      <x:c r="HE218" t="str">
        <x:f>IF('Calculations'!EM218="","",IF(IFERROR(IF(INDEX(INDIRECT("'WCM Calibration Final'!$A$1:$A$2000"),'Calculations'!$EM218)="","",TRIM(INDEX(INDIRECT("'WCM Calibration Final'!$A$1:$A$2000"),'Calculations'!$EM218)&amp;"")),"")&lt;&gt;"","G:"&amp;IFERROR(TEXT(1*INDEX(INDIRECT("'WCM Calibration Final'!$A$1:$A$2000"),'Calculations'!$EM218),"0"),UPPER(IFERROR(IF(INDEX(INDIRECT("'WCM Calibration Final'!$A$1:$A$2000"),'Calculations'!$EM218)="","",TRIM(INDEX(INDIRECT("'WCM Calibration Final'!$A$1:$A$2000"),'Calculations'!$EM218)&amp;"")),""))),IF(IFERROR(IF(INDEX(INDIRECT("'WCM Calibration Final'!$C$1:$C$2000"),'Calculations'!$EM218)="","",TRIM(INDEX(INDIRECT("'WCM Calibration Final'!$C$1:$C$2000"),'Calculations'!$EM218)&amp;"")),"")&lt;&gt;"","S:"&amp;UPPER(IFERROR(IF(INDEX(INDIRECT("'WCM Calibration Final'!$C$1:$C$2000"),'Calculations'!$EM218)="","",TRIM(INDEX(INDIRECT("'WCM Calibration Final'!$C$1:$C$2000"),'Calculations'!$EM218)&amp;"")),"")),"R:"&amp;'Calculations'!EM218)))</x:f>
      </x:c>
      <x:c r="HF218" t="str">
        <x:f>IF('Calculations'!EM218="","",IF(IFERROR(IF(INDEX(INDIRECT("'WCM Calibration Final'!$D$1:$D$2000"),'Calculations'!$EM218)="","",TRIM(INDEX(INDIRECT("'WCM Calibration Final'!$D$1:$D$2000"),'Calculations'!$EM218)&amp;"")),"")&lt;&gt;"","G:"&amp;IFERROR(TEXT(1*INDEX(INDIRECT("'WCM Calibration Final'!$D$1:$D$2000"),'Calculations'!$EM218),"0"),UPPER(IFERROR(IF(INDEX(INDIRECT("'WCM Calibration Final'!$D$1:$D$2000"),'Calculations'!$EM218)="","",TRIM(INDEX(INDIRECT("'WCM Calibration Final'!$D$1:$D$2000"),'Calculations'!$EM218)&amp;"")),""))),IF(IFERROR(IF(INDEX(INDIRECT("'WCM Calibration Final'!$E$1:$E$2000"),'Calculations'!$EM218)="","",TRIM(INDEX(INDIRECT("'WCM Calibration Final'!$E$1:$E$2000"),'Calculations'!$EM218)&amp;"")),"")="","",IF(COUNTIF('Calculations'!$HG$13:$HG$512,"="&amp;SUBSTITUTE(SUBSTITUTE(SUBSTITUTE(IFERROR(IF(INDEX(INDIRECT("'WCM Calibration Final'!$E$1:$E$2000"),'Calculations'!$EM218)="","",TRIM(INDEX(INDIRECT("'WCM Calibration Final'!$E$1:$E$2000"),'Calculations'!$EM218)&amp;"")),""),"~","~~"),"*","~*"),"?","~?"))=1,INDEX('Calculations'!$HE$13:$HE$512,MATCH(IFERROR(IF(INDEX(INDIRECT("'WCM Calibration Final'!$E$1:$E$2000"),'Calculations'!$EM218)="","",TRIM(INDEX(INDIRECT("'WCM Calibration Final'!$E$1:$E$2000"),'Calculations'!$EM218)&amp;"")),""),'Calculations'!$HG$13:$HG$512,0)),IF(COUNTIF('Calculations'!$HG$13:$HG$512,"="&amp;SUBSTITUTE(SUBSTITUTE(SUBSTITUTE(IFERROR(IF(INDEX(INDIRECT("'WCM Calibration Final'!$E$1:$E$2000"),'Calculations'!$EM218)="","",TRIM(INDEX(INDIRECT("'WCM Calibration Final'!$E$1:$E$2000"),'Calculations'!$EM218)&amp;"")),""),"~","~~"),"*","~*"),"?","~?"))&gt;1,"!AMBIG","X:"&amp;IFERROR(IF(INDEX(INDIRECT("'WCM Calibration Final'!$E$1:$E$2000"),'Calculations'!$EM218)="","",TRIM(INDEX(INDIRECT("'WCM Calibration Final'!$E$1:$E$2000"),'Calculations'!$EM218)&amp;"")),""))))))</x:f>
      </x:c>
      <x:c r="HG218" t="str">
        <x:f>IF('Calculations'!EM218="","",IFERROR(IF(INDEX(INDIRECT("'WCM Calibration Final'!$B$1:$B$2000"),'Calculations'!$EM218)="","",TRIM(INDEX(INDIRECT("'WCM Calibration Final'!$B$1:$B$2000"),'Calculations'!$EM218)&amp;"")),""))</x:f>
      </x:c>
      <x:c r="HH218" t="n">
        <x:f>IF(AND('Calculations'!JC218&gt;0,COUNTIF('Calculations'!$HF$12:HF218,"="&amp;SUBSTITUTE(SUBSTITUTE(SUBSTITUTE('Calculations'!HF218,"~","~~"),"*","~*"),"?","~?"))=1),MAX('Calculations'!$HH$12:HH217)+1,0)</x:f>
        <x:v>0</x:v>
      </x:c>
      <x:c r="HI218" t="n">
        <x:f>IF(AND('Calculations'!HN218&lt;&gt;"",COUNTIF('Calculations'!$HN$12:HN218,"="&amp;SUBSTITUTE(SUBSTITUTE(SUBSTITUTE('Calculations'!HN218,"~","~~"),"*","~*"),"?","~?"))=1),MAX('Calculations'!$HI$12:HI217)+1,0)</x:f>
        <x:v>0</x:v>
      </x:c>
      <x:c r="HJ218" t="str">
        <x:f>IF('Calculations'!HF218="","",IF(COUNTIF('Calculations'!$HE$13:$HE$512,"="&amp;SUBSTITUTE(SUBSTITUTE(SUBSTITUTE('Calculations'!HF218,"~","~~"),"*","~*"),"?","~?"))=1,INDEX('Calculations'!$HK$13:$HK$512,MATCH('Calculations'!HF218,'Calculations'!$HE$13:$HE$512,0)),IFERROR(IF(INDEX(INDIRECT("'WCM Calibration Final'!$E$1:$E$2000"),'Calculations'!$EM218)="","",TRIM(INDEX(INDIRECT("'WCM Calibration Final'!$E$1:$E$2000"),'Calculations'!$EM218)&amp;"")),"")&amp;" ["&amp;'Calculations'!HF218&amp;"]"))</x:f>
      </x:c>
      <x:c r="HK218" t="str">
        <x:f>IF('Calculations'!EM218="","",'Calculations'!HG218&amp;" ["&amp;'Calculations'!HE218&amp;"]")</x:f>
      </x:c>
      <x:c r="HL218" t="n">
        <x:f>IF('Calculations'!EM218="",0,IF(OR('Calculations'!II218&lt;&gt;"",COUNTIF('Calculations'!$HE$13:$HE$512,"="&amp;SUBSTITUTE(SUBSTITUTE(SUBSTITUTE('Calculations'!HE218,"~","~~"),"*","~*"),"?","~?"))&gt;1),1,0))</x:f>
        <x:v>0</x:v>
      </x:c>
      <x:c r="HM218" t="str">
        <x:f>IF('Calculations'!EM218="","",IF('Calculations'!HL218=1,"!UNRESOLVED",IF('Calculations'!IH218&lt;&gt;"",'Calculations'!IH218,IF('Calculations'!IG218&lt;&gt;"",'Calculations'!IG218,IF('Calculations'!IF218&lt;&gt;"",'Calculations'!IF218,IF('Calculations'!IE218&lt;&gt;"",'Calculations'!IE218,IF('Calculations'!ID218&lt;&gt;"",'Calculations'!ID218,IF('Calculations'!IC218&lt;&gt;"",'Calculations'!IC218,IF('Calculations'!IB218&lt;&gt;"",'Calculations'!IB218,IF('Calculations'!IA218&lt;&gt;"",'Calculations'!IA218,IF('Calculations'!HZ218&lt;&gt;"",'Calculations'!HZ218,IF('Calculations'!HY218&lt;&gt;"",'Calculations'!HY218,IF('Calculations'!HX218&lt;&gt;"",'Calculations'!HX218,IF('Calculations'!HW218&lt;&gt;"",'Calculations'!HW218,IF('Calculations'!HV218&lt;&gt;"",'Calculations'!HV218,IF('Calculations'!HU218&lt;&gt;"",'Calculations'!HU218,IF('Calculations'!HT218&lt;&gt;"",'Calculations'!HT218,IF('Calculations'!HS218&lt;&gt;"",'Calculations'!HS218,IF('Calculations'!HR218&lt;&gt;"",'Calculations'!HR218,IF('Calculations'!HQ218&lt;&gt;"",'Calculations'!HQ218,IF('Calculations'!HP218&lt;&gt;"",'Calculations'!HP218,IF('Calculations'!HO218&lt;&gt;"",'Calculations'!HO218,'Calculations'!HE218))))))))))))))))))))))</x:f>
      </x:c>
      <x:c r="HN218" t="str">
        <x:f>IF('Calculations'!EM218="","",IF(IFERROR(IF(INDEX(INDIRECT("'WCM Calibration Final'!$F$1:$F$2000"),'Calculations'!$EM218)="","",TRIM(INDEX(INDIRECT("'WCM Calibration Final'!$F$1:$F$2000"),'Calculations'!$EM218)&amp;"")),"")="","(Blank)",IFERROR(IF(INDEX(INDIRECT("'WCM Calibration Final'!$F$1:$F$2000"),'Calculations'!$EM218)="","",TRIM(INDEX(INDIRECT("'WCM Calibration Final'!$F$1:$F$2000"),'Calculations'!$EM218)&amp;"")),"")))</x:f>
      </x:c>
      <x:c r="HO218" t="str">
        <x:f>'Calculations'!HF218</x:f>
      </x:c>
      <x:c r="HP218" t="str">
        <x:f>IF('Calculations'!HO218="","",IF('Calculations'!HO218="!AMBIG","!AMBIG",IF(COUNTIF('Calculations'!$HE$13:$HE$512,"="&amp;SUBSTITUTE(SUBSTITUTE(SUBSTITUTE('Calculations'!HO218,"~","~~"),"*","~*"),"?","~?"))&gt;1,"!AMBIG",IFERROR(INDEX('Calculations'!$HF$13:$HF$512,MATCH('Calculations'!HO218,'Calculations'!$HE$13:$HE$512,0)),""))))</x:f>
      </x:c>
      <x:c r="HQ218" t="str">
        <x:f>IF('Calculations'!HP218="","",IF('Calculations'!HP218="!AMBIG","!AMBIG",IF(COUNTIF('Calculations'!$HE$13:$HE$512,"="&amp;SUBSTITUTE(SUBSTITUTE(SUBSTITUTE('Calculations'!HP218,"~","~~"),"*","~*"),"?","~?"))&gt;1,"!AMBIG",IFERROR(INDEX('Calculations'!$HF$13:$HF$512,MATCH('Calculations'!HP218,'Calculations'!$HE$13:$HE$512,0)),""))))</x:f>
      </x:c>
      <x:c r="HR218" t="str">
        <x:f>IF('Calculations'!HQ218="","",IF('Calculations'!HQ218="!AMBIG","!AMBIG",IF(COUNTIF('Calculations'!$HE$13:$HE$512,"="&amp;SUBSTITUTE(SUBSTITUTE(SUBSTITUTE('Calculations'!HQ218,"~","~~"),"*","~*"),"?","~?"))&gt;1,"!AMBIG",IFERROR(INDEX('Calculations'!$HF$13:$HF$512,MATCH('Calculations'!HQ218,'Calculations'!$HE$13:$HE$512,0)),""))))</x:f>
      </x:c>
      <x:c r="HS218" t="str">
        <x:f>IF('Calculations'!HR218="","",IF('Calculations'!HR218="!AMBIG","!AMBIG",IF(COUNTIF('Calculations'!$HE$13:$HE$512,"="&amp;SUBSTITUTE(SUBSTITUTE(SUBSTITUTE('Calculations'!HR218,"~","~~"),"*","~*"),"?","~?"))&gt;1,"!AMBIG",IFERROR(INDEX('Calculations'!$HF$13:$HF$512,MATCH('Calculations'!HR218,'Calculations'!$HE$13:$HE$512,0)),""))))</x:f>
      </x:c>
      <x:c r="HT218" t="str">
        <x:f>IF('Calculations'!HS218="","",IF('Calculations'!HS218="!AMBIG","!AMBIG",IF(COUNTIF('Calculations'!$HE$13:$HE$512,"="&amp;SUBSTITUTE(SUBSTITUTE(SUBSTITUTE('Calculations'!HS218,"~","~~"),"*","~*"),"?","~?"))&gt;1,"!AMBIG",IFERROR(INDEX('Calculations'!$HF$13:$HF$512,MATCH('Calculations'!HS218,'Calculations'!$HE$13:$HE$512,0)),""))))</x:f>
      </x:c>
      <x:c r="HU218" t="str">
        <x:f>IF('Calculations'!HT218="","",IF('Calculations'!HT218="!AMBIG","!AMBIG",IF(COUNTIF('Calculations'!$HE$13:$HE$512,"="&amp;SUBSTITUTE(SUBSTITUTE(SUBSTITUTE('Calculations'!HT218,"~","~~"),"*","~*"),"?","~?"))&gt;1,"!AMBIG",IFERROR(INDEX('Calculations'!$HF$13:$HF$512,MATCH('Calculations'!HT218,'Calculations'!$HE$13:$HE$512,0)),""))))</x:f>
      </x:c>
      <x:c r="HV218" t="str">
        <x:f>IF('Calculations'!HU218="","",IF('Calculations'!HU218="!AMBIG","!AMBIG",IF(COUNTIF('Calculations'!$HE$13:$HE$512,"="&amp;SUBSTITUTE(SUBSTITUTE(SUBSTITUTE('Calculations'!HU218,"~","~~"),"*","~*"),"?","~?"))&gt;1,"!AMBIG",IFERROR(INDEX('Calculations'!$HF$13:$HF$512,MATCH('Calculations'!HU218,'Calculations'!$HE$13:$HE$512,0)),""))))</x:f>
      </x:c>
      <x:c r="HW218" t="str">
        <x:f>IF('Calculations'!HV218="","",IF('Calculations'!HV218="!AMBIG","!AMBIG",IF(COUNTIF('Calculations'!$HE$13:$HE$512,"="&amp;SUBSTITUTE(SUBSTITUTE(SUBSTITUTE('Calculations'!HV218,"~","~~"),"*","~*"),"?","~?"))&gt;1,"!AMBIG",IFERROR(INDEX('Calculations'!$HF$13:$HF$512,MATCH('Calculations'!HV218,'Calculations'!$HE$13:$HE$512,0)),""))))</x:f>
      </x:c>
      <x:c r="HX218" t="str">
        <x:f>IF('Calculations'!HW218="","",IF('Calculations'!HW218="!AMBIG","!AMBIG",IF(COUNTIF('Calculations'!$HE$13:$HE$512,"="&amp;SUBSTITUTE(SUBSTITUTE(SUBSTITUTE('Calculations'!HW218,"~","~~"),"*","~*"),"?","~?"))&gt;1,"!AMBIG",IFERROR(INDEX('Calculations'!$HF$13:$HF$512,MATCH('Calculations'!HW218,'Calculations'!$HE$13:$HE$512,0)),""))))</x:f>
      </x:c>
      <x:c r="HY218" t="str">
        <x:f>IF('Calculations'!HX218="","",IF('Calculations'!HX218="!AMBIG","!AMBIG",IF(COUNTIF('Calculations'!$HE$13:$HE$512,"="&amp;SUBSTITUTE(SUBSTITUTE(SUBSTITUTE('Calculations'!HX218,"~","~~"),"*","~*"),"?","~?"))&gt;1,"!AMBIG",IFERROR(INDEX('Calculations'!$HF$13:$HF$512,MATCH('Calculations'!HX218,'Calculations'!$HE$13:$HE$512,0)),""))))</x:f>
      </x:c>
      <x:c r="HZ218" t="str">
        <x:f>IF('Calculations'!HY218="","",IF('Calculations'!HY218="!AMBIG","!AMBIG",IF(COUNTIF('Calculations'!$HE$13:$HE$512,"="&amp;SUBSTITUTE(SUBSTITUTE(SUBSTITUTE('Calculations'!HY218,"~","~~"),"*","~*"),"?","~?"))&gt;1,"!AMBIG",IFERROR(INDEX('Calculations'!$HF$13:$HF$512,MATCH('Calculations'!HY218,'Calculations'!$HE$13:$HE$512,0)),""))))</x:f>
      </x:c>
      <x:c r="IA218" t="str">
        <x:f>IF('Calculations'!HZ218="","",IF('Calculations'!HZ218="!AMBIG","!AMBIG",IF(COUNTIF('Calculations'!$HE$13:$HE$512,"="&amp;SUBSTITUTE(SUBSTITUTE(SUBSTITUTE('Calculations'!HZ218,"~","~~"),"*","~*"),"?","~?"))&gt;1,"!AMBIG",IFERROR(INDEX('Calculations'!$HF$13:$HF$512,MATCH('Calculations'!HZ218,'Calculations'!$HE$13:$HE$512,0)),""))))</x:f>
      </x:c>
      <x:c r="IB218" t="str">
        <x:f>IF('Calculations'!IA218="","",IF('Calculations'!IA218="!AMBIG","!AMBIG",IF(COUNTIF('Calculations'!$HE$13:$HE$512,"="&amp;SUBSTITUTE(SUBSTITUTE(SUBSTITUTE('Calculations'!IA218,"~","~~"),"*","~*"),"?","~?"))&gt;1,"!AMBIG",IFERROR(INDEX('Calculations'!$HF$13:$HF$512,MATCH('Calculations'!IA218,'Calculations'!$HE$13:$HE$512,0)),""))))</x:f>
      </x:c>
      <x:c r="IC218" t="str">
        <x:f>IF('Calculations'!IB218="","",IF('Calculations'!IB218="!AMBIG","!AMBIG",IF(COUNTIF('Calculations'!$HE$13:$HE$512,"="&amp;SUBSTITUTE(SUBSTITUTE(SUBSTITUTE('Calculations'!IB218,"~","~~"),"*","~*"),"?","~?"))&gt;1,"!AMBIG",IFERROR(INDEX('Calculations'!$HF$13:$HF$512,MATCH('Calculations'!IB218,'Calculations'!$HE$13:$HE$512,0)),""))))</x:f>
      </x:c>
      <x:c r="ID218" t="str">
        <x:f>IF('Calculations'!IC218="","",IF('Calculations'!IC218="!AMBIG","!AMBIG",IF(COUNTIF('Calculations'!$HE$13:$HE$512,"="&amp;SUBSTITUTE(SUBSTITUTE(SUBSTITUTE('Calculations'!IC218,"~","~~"),"*","~*"),"?","~?"))&gt;1,"!AMBIG",IFERROR(INDEX('Calculations'!$HF$13:$HF$512,MATCH('Calculations'!IC218,'Calculations'!$HE$13:$HE$512,0)),""))))</x:f>
      </x:c>
      <x:c r="IE218" t="str">
        <x:f>IF('Calculations'!ID218="","",IF('Calculations'!ID218="!AMBIG","!AMBIG",IF(COUNTIF('Calculations'!$HE$13:$HE$512,"="&amp;SUBSTITUTE(SUBSTITUTE(SUBSTITUTE('Calculations'!ID218,"~","~~"),"*","~*"),"?","~?"))&gt;1,"!AMBIG",IFERROR(INDEX('Calculations'!$HF$13:$HF$512,MATCH('Calculations'!ID218,'Calculations'!$HE$13:$HE$512,0)),""))))</x:f>
      </x:c>
      <x:c r="IF218" t="str">
        <x:f>IF('Calculations'!IE218="","",IF('Calculations'!IE218="!AMBIG","!AMBIG",IF(COUNTIF('Calculations'!$HE$13:$HE$512,"="&amp;SUBSTITUTE(SUBSTITUTE(SUBSTITUTE('Calculations'!IE218,"~","~~"),"*","~*"),"?","~?"))&gt;1,"!AMBIG",IFERROR(INDEX('Calculations'!$HF$13:$HF$512,MATCH('Calculations'!IE218,'Calculations'!$HE$13:$HE$512,0)),""))))</x:f>
      </x:c>
      <x:c r="IG218" t="str">
        <x:f>IF('Calculations'!IF218="","",IF('Calculations'!IF218="!AMBIG","!AMBIG",IF(COUNTIF('Calculations'!$HE$13:$HE$512,"="&amp;SUBSTITUTE(SUBSTITUTE(SUBSTITUTE('Calculations'!IF218,"~","~~"),"*","~*"),"?","~?"))&gt;1,"!AMBIG",IFERROR(INDEX('Calculations'!$HF$13:$HF$512,MATCH('Calculations'!IF218,'Calculations'!$HE$13:$HE$512,0)),""))))</x:f>
      </x:c>
      <x:c r="IH218" t="str">
        <x:f>IF('Calculations'!IG218="","",IF('Calculations'!IG218="!AMBIG","!AMBIG",IF(COUNTIF('Calculations'!$HE$13:$HE$512,"="&amp;SUBSTITUTE(SUBSTITUTE(SUBSTITUTE('Calculations'!IG218,"~","~~"),"*","~*"),"?","~?"))&gt;1,"!AMBIG",IFERROR(INDEX('Calculations'!$HF$13:$HF$512,MATCH('Calculations'!IG218,'Calculations'!$HE$13:$HE$512,0)),""))))</x:f>
      </x:c>
      <x:c r="II218" t="str">
        <x:f>IF('Calculations'!IH218="","",IF('Calculations'!IH218="!AMBIG","!AMBIG",IF(COUNTIF('Calculations'!$HE$13:$HE$512,"="&amp;SUBSTITUTE(SUBSTITUTE(SUBSTITUTE('Calculations'!IH218,"~","~~"),"*","~*"),"?","~?"))&gt;1,"!AMBIG",IFERROR(INDEX('Calculations'!$HF$13:$HF$512,MATCH('Calculations'!IH218,'Calculations'!$HE$13:$HE$512,0)),""))))</x:f>
      </x:c>
      <x:c r="IJ218" t="str">
        <x:f>IF('Calculations'!EM218="","",IF('Calculations'!$EF$2="All",'Calculations'!HM218,IF('Calculations'!HL218=1,"",IFERROR(IF(MATCH('Calculations'!$EF$2,'Calculations'!HO218:II218,0)=1,'Calculations'!HE218,INDEX('Calculations'!HO218:II218,1,MATCH('Calculations'!$EF$2,'Calculations'!HO218:II218,0)-1)),""))))</x:f>
      </x:c>
      <x:c r="IK218" t="n">
        <x:f>IF(AND('Calculations'!EM218&lt;&gt;"",'Calculations'!$EF$2&lt;&gt;"All",'Calculations'!HF218='Calculations'!$EF$2,'Calculations'!HL218=0,'Calculations'!JD218&gt;0),MAX('Calculations'!$IK$12:IK217)+1,0)</x:f>
        <x:v>0</x:v>
      </x:c>
      <x:c r="JA218" t="n">
        <x:f>IF(OR(IFERROR(INDIRECT("'WCM Calibration Final'!$A$218")&lt;&gt;"",FALSE),IFERROR(INDIRECT("'WCM Calibration Final'!$B$218")&lt;&gt;"",FALSE),IFERROR(INDIRECT("'WCM Calibration Final'!$C$218")&lt;&gt;"",FALSE)),218,0)</x:f>
        <x:v>0</x:v>
      </x:c>
      <x:c r="JB218" t="n">
        <x:f>'Calculations'!JB217+IF('Calculations'!JA218&gt;0,1,0)</x:f>
        <x:v>0</x:v>
      </x:c>
      <x:c r="JC218" t="n">
        <x:f>IF(OR('Calculations'!HF218="",'Calculations'!HF218="!AMBIG"),0,IF('Dashboard'!$B$7="All",1,COUNTIFS('Calculations'!$HO$13:$HO$512,"="&amp;SUBSTITUTE(SUBSTITUTE(SUBSTITUTE('Calculations'!HF218,"~","~~"),"*","~*"),"?","~?"),'Calculations'!$HN$13:$HN$512,"="&amp;SUBSTITUTE(SUBSTITUTE(SUBSTITUTE('Dashboard'!$B$7,"~","~~"),"*","~*"),"?","~?"))+COUNTIFS('Calculations'!$HP$13:$HP$512,"="&amp;SUBSTITUTE(SUBSTITUTE(SUBSTITUTE('Calculations'!HF218,"~","~~"),"*","~*"),"?","~?"),'Calculations'!$HN$13:$HN$512,"="&amp;SUBSTITUTE(SUBSTITUTE(SUBSTITUTE('Dashboard'!$B$7,"~","~~"),"*","~*"),"?","~?"))+COUNTIFS('Calculations'!$HQ$13:$HQ$512,"="&amp;SUBSTITUTE(SUBSTITUTE(SUBSTITUTE('Calculations'!HF218,"~","~~"),"*","~*"),"?","~?"),'Calculations'!$HN$13:$HN$512,"="&amp;SUBSTITUTE(SUBSTITUTE(SUBSTITUTE('Dashboard'!$B$7,"~","~~"),"*","~*"),"?","~?"))+COUNTIFS('Calculations'!$HR$13:$HR$512,"="&amp;SUBSTITUTE(SUBSTITUTE(SUBSTITUTE('Calculations'!HF218,"~","~~"),"*","~*"),"?","~?"),'Calculations'!$HN$13:$HN$512,"="&amp;SUBSTITUTE(SUBSTITUTE(SUBSTITUTE('Dashboard'!$B$7,"~","~~"),"*","~*"),"?","~?"))+COUNTIFS('Calculations'!$HS$13:$HS$512,"="&amp;SUBSTITUTE(SUBSTITUTE(SUBSTITUTE('Calculations'!HF218,"~","~~"),"*","~*"),"?","~?"),'Calculations'!$HN$13:$HN$512,"="&amp;SUBSTITUTE(SUBSTITUTE(SUBSTITUTE('Dashboard'!$B$7,"~","~~"),"*","~*"),"?","~?"))+COUNTIFS('Calculations'!$HT$13:$HT$512,"="&amp;SUBSTITUTE(SUBSTITUTE(SUBSTITUTE('Calculations'!HF218,"~","~~"),"*","~*"),"?","~?"),'Calculations'!$HN$13:$HN$512,"="&amp;SUBSTITUTE(SUBSTITUTE(SUBSTITUTE('Dashboard'!$B$7,"~","~~"),"*","~*"),"?","~?"))+COUNTIFS('Calculations'!$HU$13:$HU$512,"="&amp;SUBSTITUTE(SUBSTITUTE(SUBSTITUTE('Calculations'!HF218,"~","~~"),"*","~*"),"?","~?"),'Calculations'!$HN$13:$HN$512,"="&amp;SUBSTITUTE(SUBSTITUTE(SUBSTITUTE('Dashboard'!$B$7,"~","~~"),"*","~*"),"?","~?"))+COUNTIFS('Calculations'!$HV$13:$HV$512,"="&amp;SUBSTITUTE(SUBSTITUTE(SUBSTITUTE('Calculations'!HF218,"~","~~"),"*","~*"),"?","~?"),'Calculations'!$HN$13:$HN$512,"="&amp;SUBSTITUTE(SUBSTITUTE(SUBSTITUTE('Dashboard'!$B$7,"~","~~"),"*","~*"),"?","~?"))+COUNTIFS('Calculations'!$HW$13:$HW$512,"="&amp;SUBSTITUTE(SUBSTITUTE(SUBSTITUTE('Calculations'!HF218,"~","~~"),"*","~*"),"?","~?"),'Calculations'!$HN$13:$HN$512,"="&amp;SUBSTITUTE(SUBSTITUTE(SUBSTITUTE('Dashboard'!$B$7,"~","~~"),"*","~*"),"?","~?"))+COUNTIFS('Calculations'!$HX$13:$HX$512,"="&amp;SUBSTITUTE(SUBSTITUTE(SUBSTITUTE('Calculations'!HF218,"~","~~"),"*","~*"),"?","~?"),'Calculations'!$HN$13:$HN$512,"="&amp;SUBSTITUTE(SUBSTITUTE(SUBSTITUTE('Dashboard'!$B$7,"~","~~"),"*","~*"),"?","~?"))+COUNTIFS('Calculations'!$HY$13:$HY$512,"="&amp;SUBSTITUTE(SUBSTITUTE(SUBSTITUTE('Calculations'!HF218,"~","~~"),"*","~*"),"?","~?"),'Calculations'!$HN$13:$HN$512,"="&amp;SUBSTITUTE(SUBSTITUTE(SUBSTITUTE('Dashboard'!$B$7,"~","~~"),"*","~*"),"?","~?"))+COUNTIFS('Calculations'!$HZ$13:$HZ$512,"="&amp;SUBSTITUTE(SUBSTITUTE(SUBSTITUTE('Calculations'!HF218,"~","~~"),"*","~*"),"?","~?"),'Calculations'!$HN$13:$HN$512,"="&amp;SUBSTITUTE(SUBSTITUTE(SUBSTITUTE('Dashboard'!$B$7,"~","~~"),"*","~*"),"?","~?"))+COUNTIFS('Calculations'!$IA$13:$IA$512,"="&amp;SUBSTITUTE(SUBSTITUTE(SUBSTITUTE('Calculations'!HF218,"~","~~"),"*","~*"),"?","~?"),'Calculations'!$HN$13:$HN$512,"="&amp;SUBSTITUTE(SUBSTITUTE(SUBSTITUTE('Dashboard'!$B$7,"~","~~"),"*","~*"),"?","~?"))+COUNTIFS('Calculations'!$IB$13:$IB$512,"="&amp;SUBSTITUTE(SUBSTITUTE(SUBSTITUTE('Calculations'!HF218,"~","~~"),"*","~*"),"?","~?"),'Calculations'!$HN$13:$HN$512,"="&amp;SUBSTITUTE(SUBSTITUTE(SUBSTITUTE('Dashboard'!$B$7,"~","~~"),"*","~*"),"?","~?"))+COUNTIFS('Calculations'!$IC$13:$IC$512,"="&amp;SUBSTITUTE(SUBSTITUTE(SUBSTITUTE('Calculations'!HF218,"~","~~"),"*","~*"),"?","~?"),'Calculations'!$HN$13:$HN$512,"="&amp;SUBSTITUTE(SUBSTITUTE(SUBSTITUTE('Dashboard'!$B$7,"~","~~"),"*","~*"),"?","~?"))+COUNTIFS('Calculations'!$ID$13:$ID$512,"="&amp;SUBSTITUTE(SUBSTITUTE(SUBSTITUTE('Calculations'!HF218,"~","~~"),"*","~*"),"?","~?"),'Calculations'!$HN$13:$HN$512,"="&amp;SUBSTITUTE(SUBSTITUTE(SUBSTITUTE('Dashboard'!$B$7,"~","~~"),"*","~*"),"?","~?"))+COUNTIFS('Calculations'!$IE$13:$IE$512,"="&amp;SUBSTITUTE(SUBSTITUTE(SUBSTITUTE('Calculations'!HF218,"~","~~"),"*","~*"),"?","~?"),'Calculations'!$HN$13:$HN$512,"="&amp;SUBSTITUTE(SUBSTITUTE(SUBSTITUTE('Dashboard'!$B$7,"~","~~"),"*","~*"),"?","~?"))+COUNTIFS('Calculations'!$IF$13:$IF$512,"="&amp;SUBSTITUTE(SUBSTITUTE(SUBSTITUTE('Calculations'!HF218,"~","~~"),"*","~*"),"?","~?"),'Calculations'!$HN$13:$HN$512,"="&amp;SUBSTITUTE(SUBSTITUTE(SUBSTITUTE('Dashboard'!$B$7,"~","~~"),"*","~*"),"?","~?"))+COUNTIFS('Calculations'!$IG$13:$IG$512,"="&amp;SUBSTITUTE(SUBSTITUTE(SUBSTITUTE('Calculations'!HF218,"~","~~"),"*","~*"),"?","~?"),'Calculations'!$HN$13:$HN$512,"="&amp;SUBSTITUTE(SUBSTITUTE(SUBSTITUTE('Dashboard'!$B$7,"~","~~"),"*","~*"),"?","~?"))+COUNTIFS('Calculations'!$IH$13:$IH$512,"="&amp;SUBSTITUTE(SUBSTITUTE(SUBSTITUTE('Calculations'!HF218,"~","~~"),"*","~*"),"?","~?"),'Calculations'!$HN$13:$HN$512,"="&amp;SUBSTITUTE(SUBSTITUTE(SUBSTITUTE('Dashboard'!$B$7,"~","~~"),"*","~*"),"?","~?"))))</x:f>
        <x:v>0</x:v>
      </x:c>
      <x:c r="JD218" t="n">
        <x:f>IF('Calculations'!EM218="",0,IF('Dashboard'!$B$7="All",1,IF('Calculations'!HN218='Dashboard'!$B$7,1,0)+IFERROR(INDEX('Calculations'!$JC$13:$JC$512,MATCH('Calculations'!HE218,'Calculations'!$HF$13:$HF$512,0)),0)))</x:f>
        <x:v>0</x:v>
      </x:c>
      <x:c r="JE218" t="n">
        <x:f>IF(AND('Calculations'!EM218&lt;&gt;"",'Calculations'!$JJ$2&lt;&gt;"All",'Calculations'!$JJ$2&lt;&gt;"",'Calculations'!HF218='Calculations'!$JJ$2,'Calculations'!HL218=0,'Calculations'!JD218&gt;0),MAX('Calculations'!$JE$12:JE217)+1,0)</x:f>
        <x:v>0</x:v>
      </x:c>
      <x:c r="JF218" t="str">
        <x:f>IF('Calculations'!EM218="","",IFERROR(IF(INDEX(INDIRECT("'WCM Calibration Final'!$G$1:$G$2000"),'Calculations'!$EM218)="","",TRIM(INDEX(INDIRECT("'WCM Calibration Final'!$G$1:$G$2000"),'Calculations'!$EM218)&amp;"")),""))</x:f>
      </x:c>
      <x:c r="JQ218" t="n">
        <x:f>IF(OR('Calculations'!BM218=0,NOT('Calculations'!$AG$2),'Calculations'!$AG$8&gt;0),0,IF(OR('Dashboard'!$B$7="All",'Calculations'!HN218='Dashboard'!$B$7),IF('Calculations'!$JJ$2="All",1,IF(AND('Calculations'!HF218='Calculations'!$JJ$2,'Calculations'!HL218=0),1,0)),0))</x:f>
        <x:v>0</x:v>
      </x:c>
    </x:row>
    <x:row r="219">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t="n">
        <x:f>IF('Calculations'!$EM219="",0,IF(OR(IFERROR(INDEX(INDIRECT("'WCM Calibration Final'!$A$1:$A$2000"),'Calculations'!$EM219)&lt;&gt;"",FALSE),IFERROR(INDEX(INDIRECT("'WCM Calibration Final'!$B$1:$B$2000"),'Calculations'!$EM219)&lt;&gt;"",FALSE),IFERROR(INDEX(INDIRECT("'WCM Calibration Final'!$C$1:$C$2000"),'Calculations'!$EM219)&lt;&gt;"",FALSE)),1,0))</x:f>
        <x:v>0</x:v>
      </x:c>
      <x:c r="BN219" s="4" t="n">
        <x:f>IF(AND('Calculations'!BM219=1,'Calculations'!$AG$2,'Calculations'!$EN219=1),1,0)</x:f>
        <x:v>0</x:v>
      </x:c>
      <x:c r="BO219" s="4" t="str">
        <x:f>IF('Calculations'!BM219=0,"",IFERROR(IF(AND(VALUE(INDEX(INDIRECT("'WCM Calibration Final'!$K$1:$K$2000"),'Calculations'!$EM219))&gt;=1,VALUE(INDEX(INDIRECT("'WCM Calibration Final'!$K$1:$K$2000"),'Calculations'!$EM219))&lt;=4,MOD(VALUE(INDEX(INDIRECT("'WCM Calibration Final'!$K$1:$K$2000"),'Calculations'!$EM219)),1)=0),VALUE(INDEX(INDIRECT("'WCM Calibration Final'!$K$1:$K$2000"),'Calculations'!$EM219)),""),""))</x:f>
      </x:c>
      <x:c r="BP219" s="4" t="str">
        <x:f>IF('Calculations'!BM219=0,"",IFERROR(IF(AND(VALUE(INDEX(INDIRECT("'WCM Calibration Final'!$L$1:$L$2000"),'Calculations'!$EM219))&gt;=1,VALUE(INDEX(INDIRECT("'WCM Calibration Final'!$L$1:$L$2000"),'Calculations'!$EM219))&lt;=4,MOD(VALUE(INDEX(INDIRECT("'WCM Calibration Final'!$L$1:$L$2000"),'Calculations'!$EM219)),1)=0),VALUE(INDEX(INDIRECT("'WCM Calibration Final'!$L$1:$L$2000"),'Calculations'!$EM219)),""),""))</x:f>
      </x:c>
      <x:c r="BQ219" s="4"/>
      <x:c r="BR219" s="4"/>
      <x:c r="BS219" s="4"/>
      <x:c r="BT219" s="4" t="n">
        <x:f>IF(AND('Calculations'!BM219=1,ISNUMBER('Calculations'!BO219),ISNUMBER('Calculations'!BP219)),1,0)</x:f>
        <x:v>0</x:v>
      </x:c>
      <x:c r="BU219" s="4" t="str">
        <x:f>IF('Calculations'!BM219=0,"",'Calculations'!$EO219)</x:f>
      </x:c>
      <x:c r="BV219" s="4" t="str">
        <x:f>IF('Calculations'!BM219=0,"",IFERROR(IF(OR(INDEX(INDIRECT("'WCM Calibration Final'!$H$1:$H$2000"),'Calculations'!$EM219)="MANAGING DIRECTOR",INDEX(INDIRECT("'WCM Calibration Final'!$H$1:$H$2000"),'Calculations'!$EM219)="DIRECTOR",INDEX(INDIRECT("'WCM Calibration Final'!$H$1:$H$2000"),'Calculations'!$EM219)="SENIOR VICE PRESIDENT",INDEX(INDIRECT("'WCM Calibration Final'!$H$1:$H$2000"),'Calculations'!$EM219)="VICE PRESIDENT",INDEX(INDIRECT("'WCM Calibration Final'!$H$1:$H$2000"),'Calculations'!$EM219)="ASSISTANT VICE PRESIDENT",INDEX(INDIRECT("'WCM Calibration Final'!$H$1:$H$2000"),'Calculations'!$EM219)="OFFICER"),UPPER(INDEX(INDIRECT("'WCM Calibration Final'!$H$1:$H$2000"),'Calculations'!$EM219)),"Other"),"Other"))</x:f>
      </x:c>
      <x:c r="BW219" s="4"/>
      <x:c r="BX219" s="4"/>
      <x:c r="BY219" s="4" t="n">
        <x:f>IF(AND('Calculations'!BM219=1,'Calculations'!BU219&lt;&gt;"",COUNTIF('Calculations'!$BU$12:BU219,'Calculations'!BU219)=1),MAX('Calculations'!$BY$11:BY218)+1,0)</x:f>
        <x:v>0</x:v>
      </x:c>
      <x:c r="BZ219" s="4" t="str">
        <x:f>IF('Dashboard'!$E$67="What",'Calculations'!BO219,'Calculations'!BP219)</x:f>
      </x:c>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t="str">
        <x:f>IF(208&gt;MAX('Calculations'!$HI$13:$HI$512),"",INDEX('Calculations'!$HN$13:$HN$512,MATCH(208,'Calculations'!$HI$13:$HI$512,0)))</x:f>
      </x:c>
      <x:c r="DB219" s="4" t="str">
        <x:f>IF(208&gt;MAX('Calculations'!$HH$13:$HH$512),"",INDEX('Calculations'!$HJ$13:$HJ$512,MATCH(208,'Calculations'!$HH$13:$HH$512,0)))</x:f>
      </x:c>
      <x:c r="DC219" s="4" t="str">
        <x:f>IF(ROW()-11&gt;MAX('Calculations'!$BY$13:$BY$512),"",INDEX('Calculations'!$BU$13:$BU$512,MATCH(ROW()-11,'Calculations'!$BY$13:$BY$512,0)))</x:f>
      </x:c>
      <x:c r="DD219" s="4" t="str">
        <x:f>IF(208&gt;MAX('Calculations'!$IK$13:$IK$512),"",INDEX('Calculations'!$HK$13:$HK$512,MATCH(208,'Calculations'!$IK$13:$IK$512,0)))</x:f>
      </x:c>
      <x:c r="DE219" s="4" t="str">
        <x:f>'Calculations'!DC219</x:f>
      </x:c>
      <x:c r="DF219" s="4" t="str">
        <x:f>IF('Calculations'!DE219="","",COUNTIFS('Calculations'!$BN$13:$BN$512,1,'Calculations'!$BU$13:$BU$512,'Calculations'!DE219))</x:f>
      </x:c>
      <x:c r="DG219" s="4" t="str">
        <x:f>IF('Calculations'!DE219="","",COUNTIFS('Calculations'!$BN$13:$BN$512,1,'Calculations'!$BU$13:$BU$512,'Calculations'!DE219,'Calculations'!$BT$13:$BT$512,1))</x:f>
      </x:c>
      <x:c r="DH219" s="4" t="str">
        <x:f>IF('Calculations'!DE219="","",'Calculations'!DF219-'Calculations'!DG219)</x:f>
      </x:c>
      <x:c r="DI219" s="4" t="str">
        <x:f>IF(OR('Calculations'!DE219="",'Calculations'!DF219=0),"",'Calculations'!DG219/'Calculations'!DF219)</x:f>
      </x:c>
      <x:c r="DJ219" s="4" t="str">
        <x:f>IF('Calculations'!DE219="","",COUNTIFS('Calculations'!$BN$13:$BN$512,1,'Calculations'!$BU$13:$BU$512,'Calculations'!DE219,'Calculations'!$BT$13:$BT$512,1,'Calculations'!$EE$13:$EE$512,"High"))</x:f>
      </x:c>
      <x:c r="DK219" s="4" t="str">
        <x:f>IF('Calculations'!DE219="","",COUNTIFS('Calculations'!$BN$13:$BN$512,1,'Calculations'!$BU$13:$BU$512,'Calculations'!DE219,'Calculations'!$BT$13:$BT$512,1,'Calculations'!$EE$13:$EE$512,"Strong"))</x:f>
      </x:c>
      <x:c r="DL219" s="4" t="str">
        <x:f>IF('Calculations'!DE219="","",COUNTIFS('Calculations'!$BN$13:$BN$512,1,'Calculations'!$BU$13:$BU$512,'Calculations'!DE219,'Calculations'!$BT$13:$BT$512,1,'Calculations'!$EE$13:$EE$512,"Solid"))</x:f>
      </x:c>
      <x:c r="DM219" s="4" t="str">
        <x:f>IF('Calculations'!DE219="","",COUNTIFS('Calculations'!$BN$13:$BN$512,1,'Calculations'!$BU$13:$BU$512,'Calculations'!DE219,'Calculations'!$BT$13:$BT$512,1,'Calculations'!$EE$13:$EE$512,"Low"))</x:f>
      </x:c>
      <x:c r="DN219" s="4" t="str">
        <x:f>IF('Calculations'!DE219="","",COUNTIFS('Calculations'!$BN$13:$BN$512,1,'Calculations'!$BU$13:$BU$512,'Calculations'!DE219,'Calculations'!$EP$13:$EP$512,1))</x:f>
      </x:c>
      <x:c r="DO219" s="4" t="str">
        <x:f>IF(OR('Calculations'!DE219="",'Calculations'!DG219=0),"",('Calculations'!DJ219+'Calculations'!DK219)/'Calculations'!DG219)</x:f>
      </x:c>
      <x:c r="DP219" s="4" t="n">
        <x:f>IF(AND('Calculations'!DE219&lt;&gt;"",'Calculations'!DF219&gt;0),COUNTIF('Calculations'!$DF$12:DF219,"&gt;0"),0)</x:f>
        <x:v>0</x:v>
      </x:c>
      <x:c r="DQ219" s="4" t="str">
        <x:f>IF(208&gt;MAX('Calculations'!$HH$13:$HH$512),"",INDEX('Calculations'!$HF$13:$HF$512,MATCH(208,'Calculations'!$HH$13:$HH$512,0)))</x:f>
      </x:c>
      <x:c r="DR219" s="4" t="str">
        <x:f>IF(208&gt;MAX('Calculations'!$IK$13:$IK$512),"",INDEX('Calculations'!$HE$13:$HE$512,MATCH(208,'Calculations'!$IK$13:$IK$512,0)))</x:f>
      </x:c>
      <x:c r="DS219" s="4"/>
      <x:c r="DT219" s="4"/>
      <x:c r="DU219" s="4"/>
      <x:c r="DV219" s="4"/>
      <x:c r="DW219" s="4"/>
      <x:c r="DX219" s="4"/>
      <x:c r="DY219" s="4"/>
      <x:c r="DZ219" s="4"/>
      <x:c r="EA219" s="4"/>
      <x:c r="EB219" s="4"/>
      <x:c r="EC219" s="4"/>
      <x:c r="ED219" s="4"/>
      <x:c r="EE219" s="4" t="str">
        <x:f>IF('Calculations'!BT219=0,"Not Rated",IF(OR('Calculations'!BO219&gt;=4,'Calculations'!BP219&gt;=4),"Low",IF('Calculations'!BO219+'Calculations'!BP219&lt;=3,"High",IF('Calculations'!BO219+'Calculations'!BP219&lt;=4,"Strong","Solid"))))</x:f>
        <x:v>Not Rated</x:v>
      </x:c>
      <x:c r="EF219" s="4"/>
      <x:c r="EG219" s="4"/>
      <x:c r="EH219" s="4"/>
      <x:c r="EI219" s="4"/>
      <x:c r="EJ219" s="4"/>
      <x:c r="EK219" s="4"/>
      <x:c r="EL219" s="4"/>
      <x:c r="EM219" s="4" t="str">
        <x:f>IF(207&gt;'Calculations'!$JB$2000,"",INDEX('Calculations'!$JA$12:$JA$2000,MATCH(207,'Calculations'!$JB$12:$JB$2000,0)))</x:f>
      </x:c>
      <x:c r="EN219" s="4" t="n">
        <x:f>IF(OR('Calculations'!EM219="",'Calculations'!$AG$8&gt;0,AND('Calculations'!$EF$2&lt;&gt;"All",'Calculations'!HE219='Calculations'!$EF$2),AND('Calculations'!$EF$3&lt;&gt;"All",'Calculations'!HE219='Calculations'!$EF$3)),0,IF(OR('Dashboard'!$B$7="All",'Calculations'!HN219='Dashboard'!$B$7),IF('Calculations'!$EF$2="All",1,IF('Calculations'!HL219&gt;0,0,IF(COUNTIF('Calculations'!HO219:II219,"="&amp;SUBSTITUTE(SUBSTITUTE(SUBSTITUTE('Calculations'!$EF$2,"~","~~"),"*","~*"),"?","~?"))=0,0,IF('Calculations'!$EF$3="All",1,IF(COUNTIF('Calculations'!HO219:II219,"="&amp;SUBSTITUTE(SUBSTITUTE(SUBSTITUTE('Calculations'!$EF$3,"~","~~"),"*","~*"),"?","~?"))&gt;0,1,0))))),0))</x:f>
        <x:v>0</x:v>
      </x:c>
      <x:c r="EO219" s="4" t="str">
        <x:f>IF('Calculations'!IJ219="","",IF('Calculations'!IJ219="!UNRESOLVED","Unresolved hierarchy",IFERROR(INDEX('Calculations'!$HK$13:$HK$512,MATCH('Calculations'!IJ219,'Calculations'!$HE$13:$HE$512,0)),IFERROR(INDEX('Calculations'!$HJ$13:$HJ$512,MATCH('Calculations'!IJ219,'Calculations'!$HF$13:$HF$512,0)),'Calculations'!IJ219))))</x:f>
      </x:c>
      <x:c r="EP219" s="4" t="n">
        <x:f>IF(AND('Calculations'!EM219&lt;&gt;"",'Calculations'!HF219='Calculations'!IJ219),1,0)</x:f>
        <x:v>0</x:v>
      </x:c>
      <x:c r="EQ219" s="4"/>
      <x:c r="ER219" s="4"/>
      <x:c r="ES219" s="4"/>
      <x:c r="ET219" s="4"/>
      <x:c r="EU219" s="4"/>
      <x:c r="EV219" s="4"/>
      <x:c r="EW219" s="4"/>
      <x:c r="EX219" s="4"/>
      <x:c r="EY219" s="4"/>
      <x:c r="EZ219" s="4"/>
      <x:c r="FA219" s="4"/>
      <x:c r="FB219" s="4"/>
      <x:c r="FC219" s="4"/>
      <x:c r="FD219" s="4"/>
      <x:c r="FE219" s="4"/>
      <x:c r="FF219" s="4"/>
      <x:c r="FG219" s="4"/>
      <x:c r="FH219" s="4"/>
      <x:c r="FI219" s="4"/>
      <x:c r="FJ219" s="4"/>
      <x:c r="FK219" s="4"/>
      <x:c r="FL219" s="4"/>
      <x:c r="FM219" s="4"/>
      <x:c r="FN219" s="4"/>
      <x:c r="FO219" s="4"/>
      <x:c r="HE219" t="str">
        <x:f>IF('Calculations'!EM219="","",IF(IFERROR(IF(INDEX(INDIRECT("'WCM Calibration Final'!$A$1:$A$2000"),'Calculations'!$EM219)="","",TRIM(INDEX(INDIRECT("'WCM Calibration Final'!$A$1:$A$2000"),'Calculations'!$EM219)&amp;"")),"")&lt;&gt;"","G:"&amp;IFERROR(TEXT(1*INDEX(INDIRECT("'WCM Calibration Final'!$A$1:$A$2000"),'Calculations'!$EM219),"0"),UPPER(IFERROR(IF(INDEX(INDIRECT("'WCM Calibration Final'!$A$1:$A$2000"),'Calculations'!$EM219)="","",TRIM(INDEX(INDIRECT("'WCM Calibration Final'!$A$1:$A$2000"),'Calculations'!$EM219)&amp;"")),""))),IF(IFERROR(IF(INDEX(INDIRECT("'WCM Calibration Final'!$C$1:$C$2000"),'Calculations'!$EM219)="","",TRIM(INDEX(INDIRECT("'WCM Calibration Final'!$C$1:$C$2000"),'Calculations'!$EM219)&amp;"")),"")&lt;&gt;"","S:"&amp;UPPER(IFERROR(IF(INDEX(INDIRECT("'WCM Calibration Final'!$C$1:$C$2000"),'Calculations'!$EM219)="","",TRIM(INDEX(INDIRECT("'WCM Calibration Final'!$C$1:$C$2000"),'Calculations'!$EM219)&amp;"")),"")),"R:"&amp;'Calculations'!EM219)))</x:f>
      </x:c>
      <x:c r="HF219" t="str">
        <x:f>IF('Calculations'!EM219="","",IF(IFERROR(IF(INDEX(INDIRECT("'WCM Calibration Final'!$D$1:$D$2000"),'Calculations'!$EM219)="","",TRIM(INDEX(INDIRECT("'WCM Calibration Final'!$D$1:$D$2000"),'Calculations'!$EM219)&amp;"")),"")&lt;&gt;"","G:"&amp;IFERROR(TEXT(1*INDEX(INDIRECT("'WCM Calibration Final'!$D$1:$D$2000"),'Calculations'!$EM219),"0"),UPPER(IFERROR(IF(INDEX(INDIRECT("'WCM Calibration Final'!$D$1:$D$2000"),'Calculations'!$EM219)="","",TRIM(INDEX(INDIRECT("'WCM Calibration Final'!$D$1:$D$2000"),'Calculations'!$EM219)&amp;"")),""))),IF(IFERROR(IF(INDEX(INDIRECT("'WCM Calibration Final'!$E$1:$E$2000"),'Calculations'!$EM219)="","",TRIM(INDEX(INDIRECT("'WCM Calibration Final'!$E$1:$E$2000"),'Calculations'!$EM219)&amp;"")),"")="","",IF(COUNTIF('Calculations'!$HG$13:$HG$512,"="&amp;SUBSTITUTE(SUBSTITUTE(SUBSTITUTE(IFERROR(IF(INDEX(INDIRECT("'WCM Calibration Final'!$E$1:$E$2000"),'Calculations'!$EM219)="","",TRIM(INDEX(INDIRECT("'WCM Calibration Final'!$E$1:$E$2000"),'Calculations'!$EM219)&amp;"")),""),"~","~~"),"*","~*"),"?","~?"))=1,INDEX('Calculations'!$HE$13:$HE$512,MATCH(IFERROR(IF(INDEX(INDIRECT("'WCM Calibration Final'!$E$1:$E$2000"),'Calculations'!$EM219)="","",TRIM(INDEX(INDIRECT("'WCM Calibration Final'!$E$1:$E$2000"),'Calculations'!$EM219)&amp;"")),""),'Calculations'!$HG$13:$HG$512,0)),IF(COUNTIF('Calculations'!$HG$13:$HG$512,"="&amp;SUBSTITUTE(SUBSTITUTE(SUBSTITUTE(IFERROR(IF(INDEX(INDIRECT("'WCM Calibration Final'!$E$1:$E$2000"),'Calculations'!$EM219)="","",TRIM(INDEX(INDIRECT("'WCM Calibration Final'!$E$1:$E$2000"),'Calculations'!$EM219)&amp;"")),""),"~","~~"),"*","~*"),"?","~?"))&gt;1,"!AMBIG","X:"&amp;IFERROR(IF(INDEX(INDIRECT("'WCM Calibration Final'!$E$1:$E$2000"),'Calculations'!$EM219)="","",TRIM(INDEX(INDIRECT("'WCM Calibration Final'!$E$1:$E$2000"),'Calculations'!$EM219)&amp;"")),""))))))</x:f>
      </x:c>
      <x:c r="HG219" t="str">
        <x:f>IF('Calculations'!EM219="","",IFERROR(IF(INDEX(INDIRECT("'WCM Calibration Final'!$B$1:$B$2000"),'Calculations'!$EM219)="","",TRIM(INDEX(INDIRECT("'WCM Calibration Final'!$B$1:$B$2000"),'Calculations'!$EM219)&amp;"")),""))</x:f>
      </x:c>
      <x:c r="HH219" t="n">
        <x:f>IF(AND('Calculations'!JC219&gt;0,COUNTIF('Calculations'!$HF$12:HF219,"="&amp;SUBSTITUTE(SUBSTITUTE(SUBSTITUTE('Calculations'!HF219,"~","~~"),"*","~*"),"?","~?"))=1),MAX('Calculations'!$HH$12:HH218)+1,0)</x:f>
        <x:v>0</x:v>
      </x:c>
      <x:c r="HI219" t="n">
        <x:f>IF(AND('Calculations'!HN219&lt;&gt;"",COUNTIF('Calculations'!$HN$12:HN219,"="&amp;SUBSTITUTE(SUBSTITUTE(SUBSTITUTE('Calculations'!HN219,"~","~~"),"*","~*"),"?","~?"))=1),MAX('Calculations'!$HI$12:HI218)+1,0)</x:f>
        <x:v>0</x:v>
      </x:c>
      <x:c r="HJ219" t="str">
        <x:f>IF('Calculations'!HF219="","",IF(COUNTIF('Calculations'!$HE$13:$HE$512,"="&amp;SUBSTITUTE(SUBSTITUTE(SUBSTITUTE('Calculations'!HF219,"~","~~"),"*","~*"),"?","~?"))=1,INDEX('Calculations'!$HK$13:$HK$512,MATCH('Calculations'!HF219,'Calculations'!$HE$13:$HE$512,0)),IFERROR(IF(INDEX(INDIRECT("'WCM Calibration Final'!$E$1:$E$2000"),'Calculations'!$EM219)="","",TRIM(INDEX(INDIRECT("'WCM Calibration Final'!$E$1:$E$2000"),'Calculations'!$EM219)&amp;"")),"")&amp;" ["&amp;'Calculations'!HF219&amp;"]"))</x:f>
      </x:c>
      <x:c r="HK219" t="str">
        <x:f>IF('Calculations'!EM219="","",'Calculations'!HG219&amp;" ["&amp;'Calculations'!HE219&amp;"]")</x:f>
      </x:c>
      <x:c r="HL219" t="n">
        <x:f>IF('Calculations'!EM219="",0,IF(OR('Calculations'!II219&lt;&gt;"",COUNTIF('Calculations'!$HE$13:$HE$512,"="&amp;SUBSTITUTE(SUBSTITUTE(SUBSTITUTE('Calculations'!HE219,"~","~~"),"*","~*"),"?","~?"))&gt;1),1,0))</x:f>
        <x:v>0</x:v>
      </x:c>
      <x:c r="HM219" t="str">
        <x:f>IF('Calculations'!EM219="","",IF('Calculations'!HL219=1,"!UNRESOLVED",IF('Calculations'!IH219&lt;&gt;"",'Calculations'!IH219,IF('Calculations'!IG219&lt;&gt;"",'Calculations'!IG219,IF('Calculations'!IF219&lt;&gt;"",'Calculations'!IF219,IF('Calculations'!IE219&lt;&gt;"",'Calculations'!IE219,IF('Calculations'!ID219&lt;&gt;"",'Calculations'!ID219,IF('Calculations'!IC219&lt;&gt;"",'Calculations'!IC219,IF('Calculations'!IB219&lt;&gt;"",'Calculations'!IB219,IF('Calculations'!IA219&lt;&gt;"",'Calculations'!IA219,IF('Calculations'!HZ219&lt;&gt;"",'Calculations'!HZ219,IF('Calculations'!HY219&lt;&gt;"",'Calculations'!HY219,IF('Calculations'!HX219&lt;&gt;"",'Calculations'!HX219,IF('Calculations'!HW219&lt;&gt;"",'Calculations'!HW219,IF('Calculations'!HV219&lt;&gt;"",'Calculations'!HV219,IF('Calculations'!HU219&lt;&gt;"",'Calculations'!HU219,IF('Calculations'!HT219&lt;&gt;"",'Calculations'!HT219,IF('Calculations'!HS219&lt;&gt;"",'Calculations'!HS219,IF('Calculations'!HR219&lt;&gt;"",'Calculations'!HR219,IF('Calculations'!HQ219&lt;&gt;"",'Calculations'!HQ219,IF('Calculations'!HP219&lt;&gt;"",'Calculations'!HP219,IF('Calculations'!HO219&lt;&gt;"",'Calculations'!HO219,'Calculations'!HE219))))))))))))))))))))))</x:f>
      </x:c>
      <x:c r="HN219" t="str">
        <x:f>IF('Calculations'!EM219="","",IF(IFERROR(IF(INDEX(INDIRECT("'WCM Calibration Final'!$F$1:$F$2000"),'Calculations'!$EM219)="","",TRIM(INDEX(INDIRECT("'WCM Calibration Final'!$F$1:$F$2000"),'Calculations'!$EM219)&amp;"")),"")="","(Blank)",IFERROR(IF(INDEX(INDIRECT("'WCM Calibration Final'!$F$1:$F$2000"),'Calculations'!$EM219)="","",TRIM(INDEX(INDIRECT("'WCM Calibration Final'!$F$1:$F$2000"),'Calculations'!$EM219)&amp;"")),"")))</x:f>
      </x:c>
      <x:c r="HO219" t="str">
        <x:f>'Calculations'!HF219</x:f>
      </x:c>
      <x:c r="HP219" t="str">
        <x:f>IF('Calculations'!HO219="","",IF('Calculations'!HO219="!AMBIG","!AMBIG",IF(COUNTIF('Calculations'!$HE$13:$HE$512,"="&amp;SUBSTITUTE(SUBSTITUTE(SUBSTITUTE('Calculations'!HO219,"~","~~"),"*","~*"),"?","~?"))&gt;1,"!AMBIG",IFERROR(INDEX('Calculations'!$HF$13:$HF$512,MATCH('Calculations'!HO219,'Calculations'!$HE$13:$HE$512,0)),""))))</x:f>
      </x:c>
      <x:c r="HQ219" t="str">
        <x:f>IF('Calculations'!HP219="","",IF('Calculations'!HP219="!AMBIG","!AMBIG",IF(COUNTIF('Calculations'!$HE$13:$HE$512,"="&amp;SUBSTITUTE(SUBSTITUTE(SUBSTITUTE('Calculations'!HP219,"~","~~"),"*","~*"),"?","~?"))&gt;1,"!AMBIG",IFERROR(INDEX('Calculations'!$HF$13:$HF$512,MATCH('Calculations'!HP219,'Calculations'!$HE$13:$HE$512,0)),""))))</x:f>
      </x:c>
      <x:c r="HR219" t="str">
        <x:f>IF('Calculations'!HQ219="","",IF('Calculations'!HQ219="!AMBIG","!AMBIG",IF(COUNTIF('Calculations'!$HE$13:$HE$512,"="&amp;SUBSTITUTE(SUBSTITUTE(SUBSTITUTE('Calculations'!HQ219,"~","~~"),"*","~*"),"?","~?"))&gt;1,"!AMBIG",IFERROR(INDEX('Calculations'!$HF$13:$HF$512,MATCH('Calculations'!HQ219,'Calculations'!$HE$13:$HE$512,0)),""))))</x:f>
      </x:c>
      <x:c r="HS219" t="str">
        <x:f>IF('Calculations'!HR219="","",IF('Calculations'!HR219="!AMBIG","!AMBIG",IF(COUNTIF('Calculations'!$HE$13:$HE$512,"="&amp;SUBSTITUTE(SUBSTITUTE(SUBSTITUTE('Calculations'!HR219,"~","~~"),"*","~*"),"?","~?"))&gt;1,"!AMBIG",IFERROR(INDEX('Calculations'!$HF$13:$HF$512,MATCH('Calculations'!HR219,'Calculations'!$HE$13:$HE$512,0)),""))))</x:f>
      </x:c>
      <x:c r="HT219" t="str">
        <x:f>IF('Calculations'!HS219="","",IF('Calculations'!HS219="!AMBIG","!AMBIG",IF(COUNTIF('Calculations'!$HE$13:$HE$512,"="&amp;SUBSTITUTE(SUBSTITUTE(SUBSTITUTE('Calculations'!HS219,"~","~~"),"*","~*"),"?","~?"))&gt;1,"!AMBIG",IFERROR(INDEX('Calculations'!$HF$13:$HF$512,MATCH('Calculations'!HS219,'Calculations'!$HE$13:$HE$512,0)),""))))</x:f>
      </x:c>
      <x:c r="HU219" t="str">
        <x:f>IF('Calculations'!HT219="","",IF('Calculations'!HT219="!AMBIG","!AMBIG",IF(COUNTIF('Calculations'!$HE$13:$HE$512,"="&amp;SUBSTITUTE(SUBSTITUTE(SUBSTITUTE('Calculations'!HT219,"~","~~"),"*","~*"),"?","~?"))&gt;1,"!AMBIG",IFERROR(INDEX('Calculations'!$HF$13:$HF$512,MATCH('Calculations'!HT219,'Calculations'!$HE$13:$HE$512,0)),""))))</x:f>
      </x:c>
      <x:c r="HV219" t="str">
        <x:f>IF('Calculations'!HU219="","",IF('Calculations'!HU219="!AMBIG","!AMBIG",IF(COUNTIF('Calculations'!$HE$13:$HE$512,"="&amp;SUBSTITUTE(SUBSTITUTE(SUBSTITUTE('Calculations'!HU219,"~","~~"),"*","~*"),"?","~?"))&gt;1,"!AMBIG",IFERROR(INDEX('Calculations'!$HF$13:$HF$512,MATCH('Calculations'!HU219,'Calculations'!$HE$13:$HE$512,0)),""))))</x:f>
      </x:c>
      <x:c r="HW219" t="str">
        <x:f>IF('Calculations'!HV219="","",IF('Calculations'!HV219="!AMBIG","!AMBIG",IF(COUNTIF('Calculations'!$HE$13:$HE$512,"="&amp;SUBSTITUTE(SUBSTITUTE(SUBSTITUTE('Calculations'!HV219,"~","~~"),"*","~*"),"?","~?"))&gt;1,"!AMBIG",IFERROR(INDEX('Calculations'!$HF$13:$HF$512,MATCH('Calculations'!HV219,'Calculations'!$HE$13:$HE$512,0)),""))))</x:f>
      </x:c>
      <x:c r="HX219" t="str">
        <x:f>IF('Calculations'!HW219="","",IF('Calculations'!HW219="!AMBIG","!AMBIG",IF(COUNTIF('Calculations'!$HE$13:$HE$512,"="&amp;SUBSTITUTE(SUBSTITUTE(SUBSTITUTE('Calculations'!HW219,"~","~~"),"*","~*"),"?","~?"))&gt;1,"!AMBIG",IFERROR(INDEX('Calculations'!$HF$13:$HF$512,MATCH('Calculations'!HW219,'Calculations'!$HE$13:$HE$512,0)),""))))</x:f>
      </x:c>
      <x:c r="HY219" t="str">
        <x:f>IF('Calculations'!HX219="","",IF('Calculations'!HX219="!AMBIG","!AMBIG",IF(COUNTIF('Calculations'!$HE$13:$HE$512,"="&amp;SUBSTITUTE(SUBSTITUTE(SUBSTITUTE('Calculations'!HX219,"~","~~"),"*","~*"),"?","~?"))&gt;1,"!AMBIG",IFERROR(INDEX('Calculations'!$HF$13:$HF$512,MATCH('Calculations'!HX219,'Calculations'!$HE$13:$HE$512,0)),""))))</x:f>
      </x:c>
      <x:c r="HZ219" t="str">
        <x:f>IF('Calculations'!HY219="","",IF('Calculations'!HY219="!AMBIG","!AMBIG",IF(COUNTIF('Calculations'!$HE$13:$HE$512,"="&amp;SUBSTITUTE(SUBSTITUTE(SUBSTITUTE('Calculations'!HY219,"~","~~"),"*","~*"),"?","~?"))&gt;1,"!AMBIG",IFERROR(INDEX('Calculations'!$HF$13:$HF$512,MATCH('Calculations'!HY219,'Calculations'!$HE$13:$HE$512,0)),""))))</x:f>
      </x:c>
      <x:c r="IA219" t="str">
        <x:f>IF('Calculations'!HZ219="","",IF('Calculations'!HZ219="!AMBIG","!AMBIG",IF(COUNTIF('Calculations'!$HE$13:$HE$512,"="&amp;SUBSTITUTE(SUBSTITUTE(SUBSTITUTE('Calculations'!HZ219,"~","~~"),"*","~*"),"?","~?"))&gt;1,"!AMBIG",IFERROR(INDEX('Calculations'!$HF$13:$HF$512,MATCH('Calculations'!HZ219,'Calculations'!$HE$13:$HE$512,0)),""))))</x:f>
      </x:c>
      <x:c r="IB219" t="str">
        <x:f>IF('Calculations'!IA219="","",IF('Calculations'!IA219="!AMBIG","!AMBIG",IF(COUNTIF('Calculations'!$HE$13:$HE$512,"="&amp;SUBSTITUTE(SUBSTITUTE(SUBSTITUTE('Calculations'!IA219,"~","~~"),"*","~*"),"?","~?"))&gt;1,"!AMBIG",IFERROR(INDEX('Calculations'!$HF$13:$HF$512,MATCH('Calculations'!IA219,'Calculations'!$HE$13:$HE$512,0)),""))))</x:f>
      </x:c>
      <x:c r="IC219" t="str">
        <x:f>IF('Calculations'!IB219="","",IF('Calculations'!IB219="!AMBIG","!AMBIG",IF(COUNTIF('Calculations'!$HE$13:$HE$512,"="&amp;SUBSTITUTE(SUBSTITUTE(SUBSTITUTE('Calculations'!IB219,"~","~~"),"*","~*"),"?","~?"))&gt;1,"!AMBIG",IFERROR(INDEX('Calculations'!$HF$13:$HF$512,MATCH('Calculations'!IB219,'Calculations'!$HE$13:$HE$512,0)),""))))</x:f>
      </x:c>
      <x:c r="ID219" t="str">
        <x:f>IF('Calculations'!IC219="","",IF('Calculations'!IC219="!AMBIG","!AMBIG",IF(COUNTIF('Calculations'!$HE$13:$HE$512,"="&amp;SUBSTITUTE(SUBSTITUTE(SUBSTITUTE('Calculations'!IC219,"~","~~"),"*","~*"),"?","~?"))&gt;1,"!AMBIG",IFERROR(INDEX('Calculations'!$HF$13:$HF$512,MATCH('Calculations'!IC219,'Calculations'!$HE$13:$HE$512,0)),""))))</x:f>
      </x:c>
      <x:c r="IE219" t="str">
        <x:f>IF('Calculations'!ID219="","",IF('Calculations'!ID219="!AMBIG","!AMBIG",IF(COUNTIF('Calculations'!$HE$13:$HE$512,"="&amp;SUBSTITUTE(SUBSTITUTE(SUBSTITUTE('Calculations'!ID219,"~","~~"),"*","~*"),"?","~?"))&gt;1,"!AMBIG",IFERROR(INDEX('Calculations'!$HF$13:$HF$512,MATCH('Calculations'!ID219,'Calculations'!$HE$13:$HE$512,0)),""))))</x:f>
      </x:c>
      <x:c r="IF219" t="str">
        <x:f>IF('Calculations'!IE219="","",IF('Calculations'!IE219="!AMBIG","!AMBIG",IF(COUNTIF('Calculations'!$HE$13:$HE$512,"="&amp;SUBSTITUTE(SUBSTITUTE(SUBSTITUTE('Calculations'!IE219,"~","~~"),"*","~*"),"?","~?"))&gt;1,"!AMBIG",IFERROR(INDEX('Calculations'!$HF$13:$HF$512,MATCH('Calculations'!IE219,'Calculations'!$HE$13:$HE$512,0)),""))))</x:f>
      </x:c>
      <x:c r="IG219" t="str">
        <x:f>IF('Calculations'!IF219="","",IF('Calculations'!IF219="!AMBIG","!AMBIG",IF(COUNTIF('Calculations'!$HE$13:$HE$512,"="&amp;SUBSTITUTE(SUBSTITUTE(SUBSTITUTE('Calculations'!IF219,"~","~~"),"*","~*"),"?","~?"))&gt;1,"!AMBIG",IFERROR(INDEX('Calculations'!$HF$13:$HF$512,MATCH('Calculations'!IF219,'Calculations'!$HE$13:$HE$512,0)),""))))</x:f>
      </x:c>
      <x:c r="IH219" t="str">
        <x:f>IF('Calculations'!IG219="","",IF('Calculations'!IG219="!AMBIG","!AMBIG",IF(COUNTIF('Calculations'!$HE$13:$HE$512,"="&amp;SUBSTITUTE(SUBSTITUTE(SUBSTITUTE('Calculations'!IG219,"~","~~"),"*","~*"),"?","~?"))&gt;1,"!AMBIG",IFERROR(INDEX('Calculations'!$HF$13:$HF$512,MATCH('Calculations'!IG219,'Calculations'!$HE$13:$HE$512,0)),""))))</x:f>
      </x:c>
      <x:c r="II219" t="str">
        <x:f>IF('Calculations'!IH219="","",IF('Calculations'!IH219="!AMBIG","!AMBIG",IF(COUNTIF('Calculations'!$HE$13:$HE$512,"="&amp;SUBSTITUTE(SUBSTITUTE(SUBSTITUTE('Calculations'!IH219,"~","~~"),"*","~*"),"?","~?"))&gt;1,"!AMBIG",IFERROR(INDEX('Calculations'!$HF$13:$HF$512,MATCH('Calculations'!IH219,'Calculations'!$HE$13:$HE$512,0)),""))))</x:f>
      </x:c>
      <x:c r="IJ219" t="str">
        <x:f>IF('Calculations'!EM219="","",IF('Calculations'!$EF$2="All",'Calculations'!HM219,IF('Calculations'!HL219=1,"",IFERROR(IF(MATCH('Calculations'!$EF$2,'Calculations'!HO219:II219,0)=1,'Calculations'!HE219,INDEX('Calculations'!HO219:II219,1,MATCH('Calculations'!$EF$2,'Calculations'!HO219:II219,0)-1)),""))))</x:f>
      </x:c>
      <x:c r="IK219" t="n">
        <x:f>IF(AND('Calculations'!EM219&lt;&gt;"",'Calculations'!$EF$2&lt;&gt;"All",'Calculations'!HF219='Calculations'!$EF$2,'Calculations'!HL219=0,'Calculations'!JD219&gt;0),MAX('Calculations'!$IK$12:IK218)+1,0)</x:f>
        <x:v>0</x:v>
      </x:c>
      <x:c r="JA219" t="n">
        <x:f>IF(OR(IFERROR(INDIRECT("'WCM Calibration Final'!$A$219")&lt;&gt;"",FALSE),IFERROR(INDIRECT("'WCM Calibration Final'!$B$219")&lt;&gt;"",FALSE),IFERROR(INDIRECT("'WCM Calibration Final'!$C$219")&lt;&gt;"",FALSE)),219,0)</x:f>
        <x:v>0</x:v>
      </x:c>
      <x:c r="JB219" t="n">
        <x:f>'Calculations'!JB218+IF('Calculations'!JA219&gt;0,1,0)</x:f>
        <x:v>0</x:v>
      </x:c>
      <x:c r="JC219" t="n">
        <x:f>IF(OR('Calculations'!HF219="",'Calculations'!HF219="!AMBIG"),0,IF('Dashboard'!$B$7="All",1,COUNTIFS('Calculations'!$HO$13:$HO$512,"="&amp;SUBSTITUTE(SUBSTITUTE(SUBSTITUTE('Calculations'!HF219,"~","~~"),"*","~*"),"?","~?"),'Calculations'!$HN$13:$HN$512,"="&amp;SUBSTITUTE(SUBSTITUTE(SUBSTITUTE('Dashboard'!$B$7,"~","~~"),"*","~*"),"?","~?"))+COUNTIFS('Calculations'!$HP$13:$HP$512,"="&amp;SUBSTITUTE(SUBSTITUTE(SUBSTITUTE('Calculations'!HF219,"~","~~"),"*","~*"),"?","~?"),'Calculations'!$HN$13:$HN$512,"="&amp;SUBSTITUTE(SUBSTITUTE(SUBSTITUTE('Dashboard'!$B$7,"~","~~"),"*","~*"),"?","~?"))+COUNTIFS('Calculations'!$HQ$13:$HQ$512,"="&amp;SUBSTITUTE(SUBSTITUTE(SUBSTITUTE('Calculations'!HF219,"~","~~"),"*","~*"),"?","~?"),'Calculations'!$HN$13:$HN$512,"="&amp;SUBSTITUTE(SUBSTITUTE(SUBSTITUTE('Dashboard'!$B$7,"~","~~"),"*","~*"),"?","~?"))+COUNTIFS('Calculations'!$HR$13:$HR$512,"="&amp;SUBSTITUTE(SUBSTITUTE(SUBSTITUTE('Calculations'!HF219,"~","~~"),"*","~*"),"?","~?"),'Calculations'!$HN$13:$HN$512,"="&amp;SUBSTITUTE(SUBSTITUTE(SUBSTITUTE('Dashboard'!$B$7,"~","~~"),"*","~*"),"?","~?"))+COUNTIFS('Calculations'!$HS$13:$HS$512,"="&amp;SUBSTITUTE(SUBSTITUTE(SUBSTITUTE('Calculations'!HF219,"~","~~"),"*","~*"),"?","~?"),'Calculations'!$HN$13:$HN$512,"="&amp;SUBSTITUTE(SUBSTITUTE(SUBSTITUTE('Dashboard'!$B$7,"~","~~"),"*","~*"),"?","~?"))+COUNTIFS('Calculations'!$HT$13:$HT$512,"="&amp;SUBSTITUTE(SUBSTITUTE(SUBSTITUTE('Calculations'!HF219,"~","~~"),"*","~*"),"?","~?"),'Calculations'!$HN$13:$HN$512,"="&amp;SUBSTITUTE(SUBSTITUTE(SUBSTITUTE('Dashboard'!$B$7,"~","~~"),"*","~*"),"?","~?"))+COUNTIFS('Calculations'!$HU$13:$HU$512,"="&amp;SUBSTITUTE(SUBSTITUTE(SUBSTITUTE('Calculations'!HF219,"~","~~"),"*","~*"),"?","~?"),'Calculations'!$HN$13:$HN$512,"="&amp;SUBSTITUTE(SUBSTITUTE(SUBSTITUTE('Dashboard'!$B$7,"~","~~"),"*","~*"),"?","~?"))+COUNTIFS('Calculations'!$HV$13:$HV$512,"="&amp;SUBSTITUTE(SUBSTITUTE(SUBSTITUTE('Calculations'!HF219,"~","~~"),"*","~*"),"?","~?"),'Calculations'!$HN$13:$HN$512,"="&amp;SUBSTITUTE(SUBSTITUTE(SUBSTITUTE('Dashboard'!$B$7,"~","~~"),"*","~*"),"?","~?"))+COUNTIFS('Calculations'!$HW$13:$HW$512,"="&amp;SUBSTITUTE(SUBSTITUTE(SUBSTITUTE('Calculations'!HF219,"~","~~"),"*","~*"),"?","~?"),'Calculations'!$HN$13:$HN$512,"="&amp;SUBSTITUTE(SUBSTITUTE(SUBSTITUTE('Dashboard'!$B$7,"~","~~"),"*","~*"),"?","~?"))+COUNTIFS('Calculations'!$HX$13:$HX$512,"="&amp;SUBSTITUTE(SUBSTITUTE(SUBSTITUTE('Calculations'!HF219,"~","~~"),"*","~*"),"?","~?"),'Calculations'!$HN$13:$HN$512,"="&amp;SUBSTITUTE(SUBSTITUTE(SUBSTITUTE('Dashboard'!$B$7,"~","~~"),"*","~*"),"?","~?"))+COUNTIFS('Calculations'!$HY$13:$HY$512,"="&amp;SUBSTITUTE(SUBSTITUTE(SUBSTITUTE('Calculations'!HF219,"~","~~"),"*","~*"),"?","~?"),'Calculations'!$HN$13:$HN$512,"="&amp;SUBSTITUTE(SUBSTITUTE(SUBSTITUTE('Dashboard'!$B$7,"~","~~"),"*","~*"),"?","~?"))+COUNTIFS('Calculations'!$HZ$13:$HZ$512,"="&amp;SUBSTITUTE(SUBSTITUTE(SUBSTITUTE('Calculations'!HF219,"~","~~"),"*","~*"),"?","~?"),'Calculations'!$HN$13:$HN$512,"="&amp;SUBSTITUTE(SUBSTITUTE(SUBSTITUTE('Dashboard'!$B$7,"~","~~"),"*","~*"),"?","~?"))+COUNTIFS('Calculations'!$IA$13:$IA$512,"="&amp;SUBSTITUTE(SUBSTITUTE(SUBSTITUTE('Calculations'!HF219,"~","~~"),"*","~*"),"?","~?"),'Calculations'!$HN$13:$HN$512,"="&amp;SUBSTITUTE(SUBSTITUTE(SUBSTITUTE('Dashboard'!$B$7,"~","~~"),"*","~*"),"?","~?"))+COUNTIFS('Calculations'!$IB$13:$IB$512,"="&amp;SUBSTITUTE(SUBSTITUTE(SUBSTITUTE('Calculations'!HF219,"~","~~"),"*","~*"),"?","~?"),'Calculations'!$HN$13:$HN$512,"="&amp;SUBSTITUTE(SUBSTITUTE(SUBSTITUTE('Dashboard'!$B$7,"~","~~"),"*","~*"),"?","~?"))+COUNTIFS('Calculations'!$IC$13:$IC$512,"="&amp;SUBSTITUTE(SUBSTITUTE(SUBSTITUTE('Calculations'!HF219,"~","~~"),"*","~*"),"?","~?"),'Calculations'!$HN$13:$HN$512,"="&amp;SUBSTITUTE(SUBSTITUTE(SUBSTITUTE('Dashboard'!$B$7,"~","~~"),"*","~*"),"?","~?"))+COUNTIFS('Calculations'!$ID$13:$ID$512,"="&amp;SUBSTITUTE(SUBSTITUTE(SUBSTITUTE('Calculations'!HF219,"~","~~"),"*","~*"),"?","~?"),'Calculations'!$HN$13:$HN$512,"="&amp;SUBSTITUTE(SUBSTITUTE(SUBSTITUTE('Dashboard'!$B$7,"~","~~"),"*","~*"),"?","~?"))+COUNTIFS('Calculations'!$IE$13:$IE$512,"="&amp;SUBSTITUTE(SUBSTITUTE(SUBSTITUTE('Calculations'!HF219,"~","~~"),"*","~*"),"?","~?"),'Calculations'!$HN$13:$HN$512,"="&amp;SUBSTITUTE(SUBSTITUTE(SUBSTITUTE('Dashboard'!$B$7,"~","~~"),"*","~*"),"?","~?"))+COUNTIFS('Calculations'!$IF$13:$IF$512,"="&amp;SUBSTITUTE(SUBSTITUTE(SUBSTITUTE('Calculations'!HF219,"~","~~"),"*","~*"),"?","~?"),'Calculations'!$HN$13:$HN$512,"="&amp;SUBSTITUTE(SUBSTITUTE(SUBSTITUTE('Dashboard'!$B$7,"~","~~"),"*","~*"),"?","~?"))+COUNTIFS('Calculations'!$IG$13:$IG$512,"="&amp;SUBSTITUTE(SUBSTITUTE(SUBSTITUTE('Calculations'!HF219,"~","~~"),"*","~*"),"?","~?"),'Calculations'!$HN$13:$HN$512,"="&amp;SUBSTITUTE(SUBSTITUTE(SUBSTITUTE('Dashboard'!$B$7,"~","~~"),"*","~*"),"?","~?"))+COUNTIFS('Calculations'!$IH$13:$IH$512,"="&amp;SUBSTITUTE(SUBSTITUTE(SUBSTITUTE('Calculations'!HF219,"~","~~"),"*","~*"),"?","~?"),'Calculations'!$HN$13:$HN$512,"="&amp;SUBSTITUTE(SUBSTITUTE(SUBSTITUTE('Dashboard'!$B$7,"~","~~"),"*","~*"),"?","~?"))))</x:f>
        <x:v>0</x:v>
      </x:c>
      <x:c r="JD219" t="n">
        <x:f>IF('Calculations'!EM219="",0,IF('Dashboard'!$B$7="All",1,IF('Calculations'!HN219='Dashboard'!$B$7,1,0)+IFERROR(INDEX('Calculations'!$JC$13:$JC$512,MATCH('Calculations'!HE219,'Calculations'!$HF$13:$HF$512,0)),0)))</x:f>
        <x:v>0</x:v>
      </x:c>
      <x:c r="JE219" t="n">
        <x:f>IF(AND('Calculations'!EM219&lt;&gt;"",'Calculations'!$JJ$2&lt;&gt;"All",'Calculations'!$JJ$2&lt;&gt;"",'Calculations'!HF219='Calculations'!$JJ$2,'Calculations'!HL219=0,'Calculations'!JD219&gt;0),MAX('Calculations'!$JE$12:JE218)+1,0)</x:f>
        <x:v>0</x:v>
      </x:c>
      <x:c r="JF219" t="str">
        <x:f>IF('Calculations'!EM219="","",IFERROR(IF(INDEX(INDIRECT("'WCM Calibration Final'!$G$1:$G$2000"),'Calculations'!$EM219)="","",TRIM(INDEX(INDIRECT("'WCM Calibration Final'!$G$1:$G$2000"),'Calculations'!$EM219)&amp;"")),""))</x:f>
      </x:c>
      <x:c r="JQ219" t="n">
        <x:f>IF(OR('Calculations'!BM219=0,NOT('Calculations'!$AG$2),'Calculations'!$AG$8&gt;0),0,IF(OR('Dashboard'!$B$7="All",'Calculations'!HN219='Dashboard'!$B$7),IF('Calculations'!$JJ$2="All",1,IF(AND('Calculations'!HF219='Calculations'!$JJ$2,'Calculations'!HL219=0),1,0)),0))</x:f>
        <x:v>0</x:v>
      </x:c>
    </x:row>
    <x:row r="220">
      <x:c r="AF220" s="4" t="str">
        <x:v>Officer</x:v>
      </x:c>
      <x:c r="AG220" s="4" t="str">
        <x:v>Population</x:v>
      </x:c>
      <x:c r="AH220" s="4" t="str">
        <x:v>Valid</x:v>
      </x:c>
      <x:c r="AI220" s="4" t="str">
        <x:v>Pending</x:v>
      </x:c>
      <x:c r="AJ220" s="4" t="str">
        <x:v>Count 1</x:v>
      </x:c>
      <x:c r="AK220" s="4" t="str">
        <x:v>Count 2</x:v>
      </x:c>
      <x:c r="AL220" s="4" t="str">
        <x:v>Count 3</x:v>
      </x:c>
      <x:c r="AM220" s="4" t="str">
        <x:v>Count 4</x:v>
      </x:c>
      <x:c r="AN220" s="4" t="str"/>
      <x:c r="AO220" s="4" t="str">
        <x:v>Rating 1</x:v>
      </x:c>
      <x:c r="AP220" s="4" t="str">
        <x:v>Rating 2</x:v>
      </x:c>
      <x:c r="AQ220" s="4" t="str">
        <x:v>Rating 3</x:v>
      </x:c>
      <x:c r="AR220" s="4" t="str">
        <x:v>Rating 4</x:v>
      </x:c>
      <x:c r="AS220" s="4"/>
      <x:c r="AT220" s="4"/>
      <x:c r="AU220" s="4"/>
      <x:c r="AV220" s="4"/>
      <x:c r="AW220" s="4"/>
      <x:c r="AX220" s="4"/>
      <x:c r="AY220" s="4"/>
      <x:c r="AZ220" s="4"/>
      <x:c r="BA220" s="4"/>
      <x:c r="BB220" s="4"/>
      <x:c r="BC220" s="4"/>
      <x:c r="BD220" s="4"/>
      <x:c r="BE220" s="4"/>
      <x:c r="BF220" s="4"/>
      <x:c r="BG220" s="4"/>
      <x:c r="BH220" s="4"/>
      <x:c r="BI220" s="4"/>
      <x:c r="BJ220" s="4"/>
      <x:c r="BK220" s="4"/>
      <x:c r="BL220" s="4"/>
      <x:c r="BM220" s="4" t="n">
        <x:f>IF('Calculations'!$EM220="",0,IF(OR(IFERROR(INDEX(INDIRECT("'WCM Calibration Final'!$A$1:$A$2000"),'Calculations'!$EM220)&lt;&gt;"",FALSE),IFERROR(INDEX(INDIRECT("'WCM Calibration Final'!$B$1:$B$2000"),'Calculations'!$EM220)&lt;&gt;"",FALSE),IFERROR(INDEX(INDIRECT("'WCM Calibration Final'!$C$1:$C$2000"),'Calculations'!$EM220)&lt;&gt;"",FALSE)),1,0))</x:f>
        <x:v>0</x:v>
      </x:c>
      <x:c r="BN220" s="4" t="n">
        <x:f>IF(AND('Calculations'!BM220=1,'Calculations'!$AG$2,'Calculations'!$EN220=1),1,0)</x:f>
        <x:v>0</x:v>
      </x:c>
      <x:c r="BO220" s="4" t="str">
        <x:f>IF('Calculations'!BM220=0,"",IFERROR(IF(AND(VALUE(INDEX(INDIRECT("'WCM Calibration Final'!$K$1:$K$2000"),'Calculations'!$EM220))&gt;=1,VALUE(INDEX(INDIRECT("'WCM Calibration Final'!$K$1:$K$2000"),'Calculations'!$EM220))&lt;=4,MOD(VALUE(INDEX(INDIRECT("'WCM Calibration Final'!$K$1:$K$2000"),'Calculations'!$EM220)),1)=0),VALUE(INDEX(INDIRECT("'WCM Calibration Final'!$K$1:$K$2000"),'Calculations'!$EM220)),""),""))</x:f>
      </x:c>
      <x:c r="BP220" s="4" t="str">
        <x:f>IF('Calculations'!BM220=0,"",IFERROR(IF(AND(VALUE(INDEX(INDIRECT("'WCM Calibration Final'!$L$1:$L$2000"),'Calculations'!$EM220))&gt;=1,VALUE(INDEX(INDIRECT("'WCM Calibration Final'!$L$1:$L$2000"),'Calculations'!$EM220))&lt;=4,MOD(VALUE(INDEX(INDIRECT("'WCM Calibration Final'!$L$1:$L$2000"),'Calculations'!$EM220)),1)=0),VALUE(INDEX(INDIRECT("'WCM Calibration Final'!$L$1:$L$2000"),'Calculations'!$EM220)),""),""))</x:f>
      </x:c>
      <x:c r="BQ220" s="4"/>
      <x:c r="BR220" s="4"/>
      <x:c r="BS220" s="4"/>
      <x:c r="BT220" s="4" t="n">
        <x:f>IF(AND('Calculations'!BM220=1,ISNUMBER('Calculations'!BO220),ISNUMBER('Calculations'!BP220)),1,0)</x:f>
        <x:v>0</x:v>
      </x:c>
      <x:c r="BU220" s="4" t="str">
        <x:f>IF('Calculations'!BM220=0,"",'Calculations'!$EO220)</x:f>
      </x:c>
      <x:c r="BV220" s="4" t="str">
        <x:f>IF('Calculations'!BM220=0,"",IFERROR(IF(OR(INDEX(INDIRECT("'WCM Calibration Final'!$H$1:$H$2000"),'Calculations'!$EM220)="MANAGING DIRECTOR",INDEX(INDIRECT("'WCM Calibration Final'!$H$1:$H$2000"),'Calculations'!$EM220)="DIRECTOR",INDEX(INDIRECT("'WCM Calibration Final'!$H$1:$H$2000"),'Calculations'!$EM220)="SENIOR VICE PRESIDENT",INDEX(INDIRECT("'WCM Calibration Final'!$H$1:$H$2000"),'Calculations'!$EM220)="VICE PRESIDENT",INDEX(INDIRECT("'WCM Calibration Final'!$H$1:$H$2000"),'Calculations'!$EM220)="ASSISTANT VICE PRESIDENT",INDEX(INDIRECT("'WCM Calibration Final'!$H$1:$H$2000"),'Calculations'!$EM220)="OFFICER"),UPPER(INDEX(INDIRECT("'WCM Calibration Final'!$H$1:$H$2000"),'Calculations'!$EM220)),"Other"),"Other"))</x:f>
      </x:c>
      <x:c r="BW220" s="4"/>
      <x:c r="BX220" s="4"/>
      <x:c r="BY220" s="4" t="n">
        <x:f>IF(AND('Calculations'!BM220=1,'Calculations'!BU220&lt;&gt;"",COUNTIF('Calculations'!$BU$12:BU220,'Calculations'!BU220)=1),MAX('Calculations'!$BY$11:BY219)+1,0)</x:f>
        <x:v>0</x:v>
      </x:c>
      <x:c r="BZ220" s="4" t="str">
        <x:f>IF('Dashboard'!$E$67="What",'Calculations'!BO220,'Calculations'!BP220)</x:f>
      </x:c>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t="str">
        <x:f>IF(209&gt;MAX('Calculations'!$HI$13:$HI$512),"",INDEX('Calculations'!$HN$13:$HN$512,MATCH(209,'Calculations'!$HI$13:$HI$512,0)))</x:f>
      </x:c>
      <x:c r="DB220" s="4" t="str">
        <x:f>IF(209&gt;MAX('Calculations'!$HH$13:$HH$512),"",INDEX('Calculations'!$HJ$13:$HJ$512,MATCH(209,'Calculations'!$HH$13:$HH$512,0)))</x:f>
      </x:c>
      <x:c r="DC220" s="4" t="str">
        <x:f>IF(ROW()-11&gt;MAX('Calculations'!$BY$13:$BY$512),"",INDEX('Calculations'!$BU$13:$BU$512,MATCH(ROW()-11,'Calculations'!$BY$13:$BY$512,0)))</x:f>
      </x:c>
      <x:c r="DD220" s="4" t="str">
        <x:f>IF(209&gt;MAX('Calculations'!$IK$13:$IK$512),"",INDEX('Calculations'!$HK$13:$HK$512,MATCH(209,'Calculations'!$IK$13:$IK$512,0)))</x:f>
      </x:c>
      <x:c r="DE220" s="4" t="str">
        <x:f>'Calculations'!DC220</x:f>
      </x:c>
      <x:c r="DF220" s="4" t="str">
        <x:f>IF('Calculations'!DE220="","",COUNTIFS('Calculations'!$BN$13:$BN$512,1,'Calculations'!$BU$13:$BU$512,'Calculations'!DE220))</x:f>
      </x:c>
      <x:c r="DG220" s="4" t="str">
        <x:f>IF('Calculations'!DE220="","",COUNTIFS('Calculations'!$BN$13:$BN$512,1,'Calculations'!$BU$13:$BU$512,'Calculations'!DE220,'Calculations'!$BT$13:$BT$512,1))</x:f>
      </x:c>
      <x:c r="DH220" s="4" t="str">
        <x:f>IF('Calculations'!DE220="","",'Calculations'!DF220-'Calculations'!DG220)</x:f>
      </x:c>
      <x:c r="DI220" s="4" t="str">
        <x:f>IF(OR('Calculations'!DE220="",'Calculations'!DF220=0),"",'Calculations'!DG220/'Calculations'!DF220)</x:f>
      </x:c>
      <x:c r="DJ220" s="4" t="str">
        <x:f>IF('Calculations'!DE220="","",COUNTIFS('Calculations'!$BN$13:$BN$512,1,'Calculations'!$BU$13:$BU$512,'Calculations'!DE220,'Calculations'!$BT$13:$BT$512,1,'Calculations'!$EE$13:$EE$512,"High"))</x:f>
      </x:c>
      <x:c r="DK220" s="4" t="str">
        <x:f>IF('Calculations'!DE220="","",COUNTIFS('Calculations'!$BN$13:$BN$512,1,'Calculations'!$BU$13:$BU$512,'Calculations'!DE220,'Calculations'!$BT$13:$BT$512,1,'Calculations'!$EE$13:$EE$512,"Strong"))</x:f>
      </x:c>
      <x:c r="DL220" s="4" t="str">
        <x:f>IF('Calculations'!DE220="","",COUNTIFS('Calculations'!$BN$13:$BN$512,1,'Calculations'!$BU$13:$BU$512,'Calculations'!DE220,'Calculations'!$BT$13:$BT$512,1,'Calculations'!$EE$13:$EE$512,"Solid"))</x:f>
      </x:c>
      <x:c r="DM220" s="4" t="str">
        <x:f>IF('Calculations'!DE220="","",COUNTIFS('Calculations'!$BN$13:$BN$512,1,'Calculations'!$BU$13:$BU$512,'Calculations'!DE220,'Calculations'!$BT$13:$BT$512,1,'Calculations'!$EE$13:$EE$512,"Low"))</x:f>
      </x:c>
      <x:c r="DN220" s="4" t="str">
        <x:f>IF('Calculations'!DE220="","",COUNTIFS('Calculations'!$BN$13:$BN$512,1,'Calculations'!$BU$13:$BU$512,'Calculations'!DE220,'Calculations'!$EP$13:$EP$512,1))</x:f>
      </x:c>
      <x:c r="DO220" s="4" t="str">
        <x:f>IF(OR('Calculations'!DE220="",'Calculations'!DG220=0),"",('Calculations'!DJ220+'Calculations'!DK220)/'Calculations'!DG220)</x:f>
      </x:c>
      <x:c r="DP220" s="4" t="n">
        <x:f>IF(AND('Calculations'!DE220&lt;&gt;"",'Calculations'!DF220&gt;0),COUNTIF('Calculations'!$DF$12:DF220,"&gt;0"),0)</x:f>
        <x:v>0</x:v>
      </x:c>
      <x:c r="DQ220" s="4" t="str">
        <x:f>IF(209&gt;MAX('Calculations'!$HH$13:$HH$512),"",INDEX('Calculations'!$HF$13:$HF$512,MATCH(209,'Calculations'!$HH$13:$HH$512,0)))</x:f>
      </x:c>
      <x:c r="DR220" s="4" t="str">
        <x:f>IF(209&gt;MAX('Calculations'!$IK$13:$IK$512),"",INDEX('Calculations'!$HE$13:$HE$512,MATCH(209,'Calculations'!$IK$13:$IK$512,0)))</x:f>
      </x:c>
      <x:c r="DS220" s="4"/>
      <x:c r="DT220" s="4"/>
      <x:c r="DU220" s="4"/>
      <x:c r="DV220" s="4"/>
      <x:c r="DW220" s="4"/>
      <x:c r="DX220" s="4"/>
      <x:c r="DY220" s="4"/>
      <x:c r="DZ220" s="4"/>
      <x:c r="EA220" s="4"/>
      <x:c r="EB220" s="4"/>
      <x:c r="EC220" s="4"/>
      <x:c r="ED220" s="4"/>
      <x:c r="EE220" s="4" t="str">
        <x:f>IF('Calculations'!BT220=0,"Not Rated",IF(OR('Calculations'!BO220&gt;=4,'Calculations'!BP220&gt;=4),"Low",IF('Calculations'!BO220+'Calculations'!BP220&lt;=3,"High",IF('Calculations'!BO220+'Calculations'!BP220&lt;=4,"Strong","Solid"))))</x:f>
        <x:v>Not Rated</x:v>
      </x:c>
      <x:c r="EF220" s="4"/>
      <x:c r="EG220" s="4"/>
      <x:c r="EH220" s="4"/>
      <x:c r="EI220" s="4"/>
      <x:c r="EJ220" s="4"/>
      <x:c r="EK220" s="4"/>
      <x:c r="EL220" s="4"/>
      <x:c r="EM220" s="4" t="str">
        <x:f>IF(208&gt;'Calculations'!$JB$2000,"",INDEX('Calculations'!$JA$12:$JA$2000,MATCH(208,'Calculations'!$JB$12:$JB$2000,0)))</x:f>
      </x:c>
      <x:c r="EN220" s="4" t="n">
        <x:f>IF(OR('Calculations'!EM220="",'Calculations'!$AG$8&gt;0,AND('Calculations'!$EF$2&lt;&gt;"All",'Calculations'!HE220='Calculations'!$EF$2),AND('Calculations'!$EF$3&lt;&gt;"All",'Calculations'!HE220='Calculations'!$EF$3)),0,IF(OR('Dashboard'!$B$7="All",'Calculations'!HN220='Dashboard'!$B$7),IF('Calculations'!$EF$2="All",1,IF('Calculations'!HL220&gt;0,0,IF(COUNTIF('Calculations'!HO220:II220,"="&amp;SUBSTITUTE(SUBSTITUTE(SUBSTITUTE('Calculations'!$EF$2,"~","~~"),"*","~*"),"?","~?"))=0,0,IF('Calculations'!$EF$3="All",1,IF(COUNTIF('Calculations'!HO220:II220,"="&amp;SUBSTITUTE(SUBSTITUTE(SUBSTITUTE('Calculations'!$EF$3,"~","~~"),"*","~*"),"?","~?"))&gt;0,1,0))))),0))</x:f>
        <x:v>0</x:v>
      </x:c>
      <x:c r="EO220" s="4" t="str">
        <x:f>IF('Calculations'!IJ220="","",IF('Calculations'!IJ220="!UNRESOLVED","Unresolved hierarchy",IFERROR(INDEX('Calculations'!$HK$13:$HK$512,MATCH('Calculations'!IJ220,'Calculations'!$HE$13:$HE$512,0)),IFERROR(INDEX('Calculations'!$HJ$13:$HJ$512,MATCH('Calculations'!IJ220,'Calculations'!$HF$13:$HF$512,0)),'Calculations'!IJ220))))</x:f>
      </x:c>
      <x:c r="EP220" s="4" t="n">
        <x:f>IF(AND('Calculations'!EM220&lt;&gt;"",'Calculations'!HF220='Calculations'!IJ220),1,0)</x:f>
        <x:v>0</x:v>
      </x:c>
      <x:c r="EQ220" s="4"/>
      <x:c r="ER220" s="4"/>
      <x:c r="ES220" s="4"/>
      <x:c r="ET220" s="4"/>
      <x:c r="EU220" s="4"/>
      <x:c r="EV220" s="4"/>
      <x:c r="EW220" s="4"/>
      <x:c r="EX220" s="4"/>
      <x:c r="EY220" s="4"/>
      <x:c r="EZ220" s="4"/>
      <x:c r="FA220" s="4"/>
      <x:c r="FB220" s="4"/>
      <x:c r="FC220" s="4"/>
      <x:c r="FD220" s="4"/>
      <x:c r="FE220" s="4"/>
      <x:c r="FF220" s="4"/>
      <x:c r="FG220" s="4"/>
      <x:c r="FH220" s="4"/>
      <x:c r="FI220" s="4"/>
      <x:c r="FJ220" s="4"/>
      <x:c r="FK220" s="4"/>
      <x:c r="FL220" s="4"/>
      <x:c r="FM220" s="4"/>
      <x:c r="FN220" s="4"/>
      <x:c r="FO220" s="4"/>
      <x:c r="HE220" t="str">
        <x:f>IF('Calculations'!EM220="","",IF(IFERROR(IF(INDEX(INDIRECT("'WCM Calibration Final'!$A$1:$A$2000"),'Calculations'!$EM220)="","",TRIM(INDEX(INDIRECT("'WCM Calibration Final'!$A$1:$A$2000"),'Calculations'!$EM220)&amp;"")),"")&lt;&gt;"","G:"&amp;IFERROR(TEXT(1*INDEX(INDIRECT("'WCM Calibration Final'!$A$1:$A$2000"),'Calculations'!$EM220),"0"),UPPER(IFERROR(IF(INDEX(INDIRECT("'WCM Calibration Final'!$A$1:$A$2000"),'Calculations'!$EM220)="","",TRIM(INDEX(INDIRECT("'WCM Calibration Final'!$A$1:$A$2000"),'Calculations'!$EM220)&amp;"")),""))),IF(IFERROR(IF(INDEX(INDIRECT("'WCM Calibration Final'!$C$1:$C$2000"),'Calculations'!$EM220)="","",TRIM(INDEX(INDIRECT("'WCM Calibration Final'!$C$1:$C$2000"),'Calculations'!$EM220)&amp;"")),"")&lt;&gt;"","S:"&amp;UPPER(IFERROR(IF(INDEX(INDIRECT("'WCM Calibration Final'!$C$1:$C$2000"),'Calculations'!$EM220)="","",TRIM(INDEX(INDIRECT("'WCM Calibration Final'!$C$1:$C$2000"),'Calculations'!$EM220)&amp;"")),"")),"R:"&amp;'Calculations'!EM220)))</x:f>
      </x:c>
      <x:c r="HF220" t="str">
        <x:f>IF('Calculations'!EM220="","",IF(IFERROR(IF(INDEX(INDIRECT("'WCM Calibration Final'!$D$1:$D$2000"),'Calculations'!$EM220)="","",TRIM(INDEX(INDIRECT("'WCM Calibration Final'!$D$1:$D$2000"),'Calculations'!$EM220)&amp;"")),"")&lt;&gt;"","G:"&amp;IFERROR(TEXT(1*INDEX(INDIRECT("'WCM Calibration Final'!$D$1:$D$2000"),'Calculations'!$EM220),"0"),UPPER(IFERROR(IF(INDEX(INDIRECT("'WCM Calibration Final'!$D$1:$D$2000"),'Calculations'!$EM220)="","",TRIM(INDEX(INDIRECT("'WCM Calibration Final'!$D$1:$D$2000"),'Calculations'!$EM220)&amp;"")),""))),IF(IFERROR(IF(INDEX(INDIRECT("'WCM Calibration Final'!$E$1:$E$2000"),'Calculations'!$EM220)="","",TRIM(INDEX(INDIRECT("'WCM Calibration Final'!$E$1:$E$2000"),'Calculations'!$EM220)&amp;"")),"")="","",IF(COUNTIF('Calculations'!$HG$13:$HG$512,"="&amp;SUBSTITUTE(SUBSTITUTE(SUBSTITUTE(IFERROR(IF(INDEX(INDIRECT("'WCM Calibration Final'!$E$1:$E$2000"),'Calculations'!$EM220)="","",TRIM(INDEX(INDIRECT("'WCM Calibration Final'!$E$1:$E$2000"),'Calculations'!$EM220)&amp;"")),""),"~","~~"),"*","~*"),"?","~?"))=1,INDEX('Calculations'!$HE$13:$HE$512,MATCH(IFERROR(IF(INDEX(INDIRECT("'WCM Calibration Final'!$E$1:$E$2000"),'Calculations'!$EM220)="","",TRIM(INDEX(INDIRECT("'WCM Calibration Final'!$E$1:$E$2000"),'Calculations'!$EM220)&amp;"")),""),'Calculations'!$HG$13:$HG$512,0)),IF(COUNTIF('Calculations'!$HG$13:$HG$512,"="&amp;SUBSTITUTE(SUBSTITUTE(SUBSTITUTE(IFERROR(IF(INDEX(INDIRECT("'WCM Calibration Final'!$E$1:$E$2000"),'Calculations'!$EM220)="","",TRIM(INDEX(INDIRECT("'WCM Calibration Final'!$E$1:$E$2000"),'Calculations'!$EM220)&amp;"")),""),"~","~~"),"*","~*"),"?","~?"))&gt;1,"!AMBIG","X:"&amp;IFERROR(IF(INDEX(INDIRECT("'WCM Calibration Final'!$E$1:$E$2000"),'Calculations'!$EM220)="","",TRIM(INDEX(INDIRECT("'WCM Calibration Final'!$E$1:$E$2000"),'Calculations'!$EM220)&amp;"")),""))))))</x:f>
      </x:c>
      <x:c r="HG220" t="str">
        <x:f>IF('Calculations'!EM220="","",IFERROR(IF(INDEX(INDIRECT("'WCM Calibration Final'!$B$1:$B$2000"),'Calculations'!$EM220)="","",TRIM(INDEX(INDIRECT("'WCM Calibration Final'!$B$1:$B$2000"),'Calculations'!$EM220)&amp;"")),""))</x:f>
      </x:c>
      <x:c r="HH220" t="n">
        <x:f>IF(AND('Calculations'!JC220&gt;0,COUNTIF('Calculations'!$HF$12:HF220,"="&amp;SUBSTITUTE(SUBSTITUTE(SUBSTITUTE('Calculations'!HF220,"~","~~"),"*","~*"),"?","~?"))=1),MAX('Calculations'!$HH$12:HH219)+1,0)</x:f>
        <x:v>0</x:v>
      </x:c>
      <x:c r="HI220" t="n">
        <x:f>IF(AND('Calculations'!HN220&lt;&gt;"",COUNTIF('Calculations'!$HN$12:HN220,"="&amp;SUBSTITUTE(SUBSTITUTE(SUBSTITUTE('Calculations'!HN220,"~","~~"),"*","~*"),"?","~?"))=1),MAX('Calculations'!$HI$12:HI219)+1,0)</x:f>
        <x:v>0</x:v>
      </x:c>
      <x:c r="HJ220" t="str">
        <x:f>IF('Calculations'!HF220="","",IF(COUNTIF('Calculations'!$HE$13:$HE$512,"="&amp;SUBSTITUTE(SUBSTITUTE(SUBSTITUTE('Calculations'!HF220,"~","~~"),"*","~*"),"?","~?"))=1,INDEX('Calculations'!$HK$13:$HK$512,MATCH('Calculations'!HF220,'Calculations'!$HE$13:$HE$512,0)),IFERROR(IF(INDEX(INDIRECT("'WCM Calibration Final'!$E$1:$E$2000"),'Calculations'!$EM220)="","",TRIM(INDEX(INDIRECT("'WCM Calibration Final'!$E$1:$E$2000"),'Calculations'!$EM220)&amp;"")),"")&amp;" ["&amp;'Calculations'!HF220&amp;"]"))</x:f>
      </x:c>
      <x:c r="HK220" t="str">
        <x:f>IF('Calculations'!EM220="","",'Calculations'!HG220&amp;" ["&amp;'Calculations'!HE220&amp;"]")</x:f>
      </x:c>
      <x:c r="HL220" t="n">
        <x:f>IF('Calculations'!EM220="",0,IF(OR('Calculations'!II220&lt;&gt;"",COUNTIF('Calculations'!$HE$13:$HE$512,"="&amp;SUBSTITUTE(SUBSTITUTE(SUBSTITUTE('Calculations'!HE220,"~","~~"),"*","~*"),"?","~?"))&gt;1),1,0))</x:f>
        <x:v>0</x:v>
      </x:c>
      <x:c r="HM220" t="str">
        <x:f>IF('Calculations'!EM220="","",IF('Calculations'!HL220=1,"!UNRESOLVED",IF('Calculations'!IH220&lt;&gt;"",'Calculations'!IH220,IF('Calculations'!IG220&lt;&gt;"",'Calculations'!IG220,IF('Calculations'!IF220&lt;&gt;"",'Calculations'!IF220,IF('Calculations'!IE220&lt;&gt;"",'Calculations'!IE220,IF('Calculations'!ID220&lt;&gt;"",'Calculations'!ID220,IF('Calculations'!IC220&lt;&gt;"",'Calculations'!IC220,IF('Calculations'!IB220&lt;&gt;"",'Calculations'!IB220,IF('Calculations'!IA220&lt;&gt;"",'Calculations'!IA220,IF('Calculations'!HZ220&lt;&gt;"",'Calculations'!HZ220,IF('Calculations'!HY220&lt;&gt;"",'Calculations'!HY220,IF('Calculations'!HX220&lt;&gt;"",'Calculations'!HX220,IF('Calculations'!HW220&lt;&gt;"",'Calculations'!HW220,IF('Calculations'!HV220&lt;&gt;"",'Calculations'!HV220,IF('Calculations'!HU220&lt;&gt;"",'Calculations'!HU220,IF('Calculations'!HT220&lt;&gt;"",'Calculations'!HT220,IF('Calculations'!HS220&lt;&gt;"",'Calculations'!HS220,IF('Calculations'!HR220&lt;&gt;"",'Calculations'!HR220,IF('Calculations'!HQ220&lt;&gt;"",'Calculations'!HQ220,IF('Calculations'!HP220&lt;&gt;"",'Calculations'!HP220,IF('Calculations'!HO220&lt;&gt;"",'Calculations'!HO220,'Calculations'!HE220))))))))))))))))))))))</x:f>
      </x:c>
      <x:c r="HN220" t="str">
        <x:f>IF('Calculations'!EM220="","",IF(IFERROR(IF(INDEX(INDIRECT("'WCM Calibration Final'!$F$1:$F$2000"),'Calculations'!$EM220)="","",TRIM(INDEX(INDIRECT("'WCM Calibration Final'!$F$1:$F$2000"),'Calculations'!$EM220)&amp;"")),"")="","(Blank)",IFERROR(IF(INDEX(INDIRECT("'WCM Calibration Final'!$F$1:$F$2000"),'Calculations'!$EM220)="","",TRIM(INDEX(INDIRECT("'WCM Calibration Final'!$F$1:$F$2000"),'Calculations'!$EM220)&amp;"")),"")))</x:f>
      </x:c>
      <x:c r="HO220" t="str">
        <x:f>'Calculations'!HF220</x:f>
      </x:c>
      <x:c r="HP220" t="str">
        <x:f>IF('Calculations'!HO220="","",IF('Calculations'!HO220="!AMBIG","!AMBIG",IF(COUNTIF('Calculations'!$HE$13:$HE$512,"="&amp;SUBSTITUTE(SUBSTITUTE(SUBSTITUTE('Calculations'!HO220,"~","~~"),"*","~*"),"?","~?"))&gt;1,"!AMBIG",IFERROR(INDEX('Calculations'!$HF$13:$HF$512,MATCH('Calculations'!HO220,'Calculations'!$HE$13:$HE$512,0)),""))))</x:f>
      </x:c>
      <x:c r="HQ220" t="str">
        <x:f>IF('Calculations'!HP220="","",IF('Calculations'!HP220="!AMBIG","!AMBIG",IF(COUNTIF('Calculations'!$HE$13:$HE$512,"="&amp;SUBSTITUTE(SUBSTITUTE(SUBSTITUTE('Calculations'!HP220,"~","~~"),"*","~*"),"?","~?"))&gt;1,"!AMBIG",IFERROR(INDEX('Calculations'!$HF$13:$HF$512,MATCH('Calculations'!HP220,'Calculations'!$HE$13:$HE$512,0)),""))))</x:f>
      </x:c>
      <x:c r="HR220" t="str">
        <x:f>IF('Calculations'!HQ220="","",IF('Calculations'!HQ220="!AMBIG","!AMBIG",IF(COUNTIF('Calculations'!$HE$13:$HE$512,"="&amp;SUBSTITUTE(SUBSTITUTE(SUBSTITUTE('Calculations'!HQ220,"~","~~"),"*","~*"),"?","~?"))&gt;1,"!AMBIG",IFERROR(INDEX('Calculations'!$HF$13:$HF$512,MATCH('Calculations'!HQ220,'Calculations'!$HE$13:$HE$512,0)),""))))</x:f>
      </x:c>
      <x:c r="HS220" t="str">
        <x:f>IF('Calculations'!HR220="","",IF('Calculations'!HR220="!AMBIG","!AMBIG",IF(COUNTIF('Calculations'!$HE$13:$HE$512,"="&amp;SUBSTITUTE(SUBSTITUTE(SUBSTITUTE('Calculations'!HR220,"~","~~"),"*","~*"),"?","~?"))&gt;1,"!AMBIG",IFERROR(INDEX('Calculations'!$HF$13:$HF$512,MATCH('Calculations'!HR220,'Calculations'!$HE$13:$HE$512,0)),""))))</x:f>
      </x:c>
      <x:c r="HT220" t="str">
        <x:f>IF('Calculations'!HS220="","",IF('Calculations'!HS220="!AMBIG","!AMBIG",IF(COUNTIF('Calculations'!$HE$13:$HE$512,"="&amp;SUBSTITUTE(SUBSTITUTE(SUBSTITUTE('Calculations'!HS220,"~","~~"),"*","~*"),"?","~?"))&gt;1,"!AMBIG",IFERROR(INDEX('Calculations'!$HF$13:$HF$512,MATCH('Calculations'!HS220,'Calculations'!$HE$13:$HE$512,0)),""))))</x:f>
      </x:c>
      <x:c r="HU220" t="str">
        <x:f>IF('Calculations'!HT220="","",IF('Calculations'!HT220="!AMBIG","!AMBIG",IF(COUNTIF('Calculations'!$HE$13:$HE$512,"="&amp;SUBSTITUTE(SUBSTITUTE(SUBSTITUTE('Calculations'!HT220,"~","~~"),"*","~*"),"?","~?"))&gt;1,"!AMBIG",IFERROR(INDEX('Calculations'!$HF$13:$HF$512,MATCH('Calculations'!HT220,'Calculations'!$HE$13:$HE$512,0)),""))))</x:f>
      </x:c>
      <x:c r="HV220" t="str">
        <x:f>IF('Calculations'!HU220="","",IF('Calculations'!HU220="!AMBIG","!AMBIG",IF(COUNTIF('Calculations'!$HE$13:$HE$512,"="&amp;SUBSTITUTE(SUBSTITUTE(SUBSTITUTE('Calculations'!HU220,"~","~~"),"*","~*"),"?","~?"))&gt;1,"!AMBIG",IFERROR(INDEX('Calculations'!$HF$13:$HF$512,MATCH('Calculations'!HU220,'Calculations'!$HE$13:$HE$512,0)),""))))</x:f>
      </x:c>
      <x:c r="HW220" t="str">
        <x:f>IF('Calculations'!HV220="","",IF('Calculations'!HV220="!AMBIG","!AMBIG",IF(COUNTIF('Calculations'!$HE$13:$HE$512,"="&amp;SUBSTITUTE(SUBSTITUTE(SUBSTITUTE('Calculations'!HV220,"~","~~"),"*","~*"),"?","~?"))&gt;1,"!AMBIG",IFERROR(INDEX('Calculations'!$HF$13:$HF$512,MATCH('Calculations'!HV220,'Calculations'!$HE$13:$HE$512,0)),""))))</x:f>
      </x:c>
      <x:c r="HX220" t="str">
        <x:f>IF('Calculations'!HW220="","",IF('Calculations'!HW220="!AMBIG","!AMBIG",IF(COUNTIF('Calculations'!$HE$13:$HE$512,"="&amp;SUBSTITUTE(SUBSTITUTE(SUBSTITUTE('Calculations'!HW220,"~","~~"),"*","~*"),"?","~?"))&gt;1,"!AMBIG",IFERROR(INDEX('Calculations'!$HF$13:$HF$512,MATCH('Calculations'!HW220,'Calculations'!$HE$13:$HE$512,0)),""))))</x:f>
      </x:c>
      <x:c r="HY220" t="str">
        <x:f>IF('Calculations'!HX220="","",IF('Calculations'!HX220="!AMBIG","!AMBIG",IF(COUNTIF('Calculations'!$HE$13:$HE$512,"="&amp;SUBSTITUTE(SUBSTITUTE(SUBSTITUTE('Calculations'!HX220,"~","~~"),"*","~*"),"?","~?"))&gt;1,"!AMBIG",IFERROR(INDEX('Calculations'!$HF$13:$HF$512,MATCH('Calculations'!HX220,'Calculations'!$HE$13:$HE$512,0)),""))))</x:f>
      </x:c>
      <x:c r="HZ220" t="str">
        <x:f>IF('Calculations'!HY220="","",IF('Calculations'!HY220="!AMBIG","!AMBIG",IF(COUNTIF('Calculations'!$HE$13:$HE$512,"="&amp;SUBSTITUTE(SUBSTITUTE(SUBSTITUTE('Calculations'!HY220,"~","~~"),"*","~*"),"?","~?"))&gt;1,"!AMBIG",IFERROR(INDEX('Calculations'!$HF$13:$HF$512,MATCH('Calculations'!HY220,'Calculations'!$HE$13:$HE$512,0)),""))))</x:f>
      </x:c>
      <x:c r="IA220" t="str">
        <x:f>IF('Calculations'!HZ220="","",IF('Calculations'!HZ220="!AMBIG","!AMBIG",IF(COUNTIF('Calculations'!$HE$13:$HE$512,"="&amp;SUBSTITUTE(SUBSTITUTE(SUBSTITUTE('Calculations'!HZ220,"~","~~"),"*","~*"),"?","~?"))&gt;1,"!AMBIG",IFERROR(INDEX('Calculations'!$HF$13:$HF$512,MATCH('Calculations'!HZ220,'Calculations'!$HE$13:$HE$512,0)),""))))</x:f>
      </x:c>
      <x:c r="IB220" t="str">
        <x:f>IF('Calculations'!IA220="","",IF('Calculations'!IA220="!AMBIG","!AMBIG",IF(COUNTIF('Calculations'!$HE$13:$HE$512,"="&amp;SUBSTITUTE(SUBSTITUTE(SUBSTITUTE('Calculations'!IA220,"~","~~"),"*","~*"),"?","~?"))&gt;1,"!AMBIG",IFERROR(INDEX('Calculations'!$HF$13:$HF$512,MATCH('Calculations'!IA220,'Calculations'!$HE$13:$HE$512,0)),""))))</x:f>
      </x:c>
      <x:c r="IC220" t="str">
        <x:f>IF('Calculations'!IB220="","",IF('Calculations'!IB220="!AMBIG","!AMBIG",IF(COUNTIF('Calculations'!$HE$13:$HE$512,"="&amp;SUBSTITUTE(SUBSTITUTE(SUBSTITUTE('Calculations'!IB220,"~","~~"),"*","~*"),"?","~?"))&gt;1,"!AMBIG",IFERROR(INDEX('Calculations'!$HF$13:$HF$512,MATCH('Calculations'!IB220,'Calculations'!$HE$13:$HE$512,0)),""))))</x:f>
      </x:c>
      <x:c r="ID220" t="str">
        <x:f>IF('Calculations'!IC220="","",IF('Calculations'!IC220="!AMBIG","!AMBIG",IF(COUNTIF('Calculations'!$HE$13:$HE$512,"="&amp;SUBSTITUTE(SUBSTITUTE(SUBSTITUTE('Calculations'!IC220,"~","~~"),"*","~*"),"?","~?"))&gt;1,"!AMBIG",IFERROR(INDEX('Calculations'!$HF$13:$HF$512,MATCH('Calculations'!IC220,'Calculations'!$HE$13:$HE$512,0)),""))))</x:f>
      </x:c>
      <x:c r="IE220" t="str">
        <x:f>IF('Calculations'!ID220="","",IF('Calculations'!ID220="!AMBIG","!AMBIG",IF(COUNTIF('Calculations'!$HE$13:$HE$512,"="&amp;SUBSTITUTE(SUBSTITUTE(SUBSTITUTE('Calculations'!ID220,"~","~~"),"*","~*"),"?","~?"))&gt;1,"!AMBIG",IFERROR(INDEX('Calculations'!$HF$13:$HF$512,MATCH('Calculations'!ID220,'Calculations'!$HE$13:$HE$512,0)),""))))</x:f>
      </x:c>
      <x:c r="IF220" t="str">
        <x:f>IF('Calculations'!IE220="","",IF('Calculations'!IE220="!AMBIG","!AMBIG",IF(COUNTIF('Calculations'!$HE$13:$HE$512,"="&amp;SUBSTITUTE(SUBSTITUTE(SUBSTITUTE('Calculations'!IE220,"~","~~"),"*","~*"),"?","~?"))&gt;1,"!AMBIG",IFERROR(INDEX('Calculations'!$HF$13:$HF$512,MATCH('Calculations'!IE220,'Calculations'!$HE$13:$HE$512,0)),""))))</x:f>
      </x:c>
      <x:c r="IG220" t="str">
        <x:f>IF('Calculations'!IF220="","",IF('Calculations'!IF220="!AMBIG","!AMBIG",IF(COUNTIF('Calculations'!$HE$13:$HE$512,"="&amp;SUBSTITUTE(SUBSTITUTE(SUBSTITUTE('Calculations'!IF220,"~","~~"),"*","~*"),"?","~?"))&gt;1,"!AMBIG",IFERROR(INDEX('Calculations'!$HF$13:$HF$512,MATCH('Calculations'!IF220,'Calculations'!$HE$13:$HE$512,0)),""))))</x:f>
      </x:c>
      <x:c r="IH220" t="str">
        <x:f>IF('Calculations'!IG220="","",IF('Calculations'!IG220="!AMBIG","!AMBIG",IF(COUNTIF('Calculations'!$HE$13:$HE$512,"="&amp;SUBSTITUTE(SUBSTITUTE(SUBSTITUTE('Calculations'!IG220,"~","~~"),"*","~*"),"?","~?"))&gt;1,"!AMBIG",IFERROR(INDEX('Calculations'!$HF$13:$HF$512,MATCH('Calculations'!IG220,'Calculations'!$HE$13:$HE$512,0)),""))))</x:f>
      </x:c>
      <x:c r="II220" t="str">
        <x:f>IF('Calculations'!IH220="","",IF('Calculations'!IH220="!AMBIG","!AMBIG",IF(COUNTIF('Calculations'!$HE$13:$HE$512,"="&amp;SUBSTITUTE(SUBSTITUTE(SUBSTITUTE('Calculations'!IH220,"~","~~"),"*","~*"),"?","~?"))&gt;1,"!AMBIG",IFERROR(INDEX('Calculations'!$HF$13:$HF$512,MATCH('Calculations'!IH220,'Calculations'!$HE$13:$HE$512,0)),""))))</x:f>
      </x:c>
      <x:c r="IJ220" t="str">
        <x:f>IF('Calculations'!EM220="","",IF('Calculations'!$EF$2="All",'Calculations'!HM220,IF('Calculations'!HL220=1,"",IFERROR(IF(MATCH('Calculations'!$EF$2,'Calculations'!HO220:II220,0)=1,'Calculations'!HE220,INDEX('Calculations'!HO220:II220,1,MATCH('Calculations'!$EF$2,'Calculations'!HO220:II220,0)-1)),""))))</x:f>
      </x:c>
      <x:c r="IK220" t="n">
        <x:f>IF(AND('Calculations'!EM220&lt;&gt;"",'Calculations'!$EF$2&lt;&gt;"All",'Calculations'!HF220='Calculations'!$EF$2,'Calculations'!HL220=0,'Calculations'!JD220&gt;0),MAX('Calculations'!$IK$12:IK219)+1,0)</x:f>
        <x:v>0</x:v>
      </x:c>
      <x:c r="JA220" t="n">
        <x:f>IF(OR(IFERROR(INDIRECT("'WCM Calibration Final'!$A$220")&lt;&gt;"",FALSE),IFERROR(INDIRECT("'WCM Calibration Final'!$B$220")&lt;&gt;"",FALSE),IFERROR(INDIRECT("'WCM Calibration Final'!$C$220")&lt;&gt;"",FALSE)),220,0)</x:f>
        <x:v>0</x:v>
      </x:c>
      <x:c r="JB220" t="n">
        <x:f>'Calculations'!JB219+IF('Calculations'!JA220&gt;0,1,0)</x:f>
        <x:v>0</x:v>
      </x:c>
      <x:c r="JC220" t="n">
        <x:f>IF(OR('Calculations'!HF220="",'Calculations'!HF220="!AMBIG"),0,IF('Dashboard'!$B$7="All",1,COUNTIFS('Calculations'!$HO$13:$HO$512,"="&amp;SUBSTITUTE(SUBSTITUTE(SUBSTITUTE('Calculations'!HF220,"~","~~"),"*","~*"),"?","~?"),'Calculations'!$HN$13:$HN$512,"="&amp;SUBSTITUTE(SUBSTITUTE(SUBSTITUTE('Dashboard'!$B$7,"~","~~"),"*","~*"),"?","~?"))+COUNTIFS('Calculations'!$HP$13:$HP$512,"="&amp;SUBSTITUTE(SUBSTITUTE(SUBSTITUTE('Calculations'!HF220,"~","~~"),"*","~*"),"?","~?"),'Calculations'!$HN$13:$HN$512,"="&amp;SUBSTITUTE(SUBSTITUTE(SUBSTITUTE('Dashboard'!$B$7,"~","~~"),"*","~*"),"?","~?"))+COUNTIFS('Calculations'!$HQ$13:$HQ$512,"="&amp;SUBSTITUTE(SUBSTITUTE(SUBSTITUTE('Calculations'!HF220,"~","~~"),"*","~*"),"?","~?"),'Calculations'!$HN$13:$HN$512,"="&amp;SUBSTITUTE(SUBSTITUTE(SUBSTITUTE('Dashboard'!$B$7,"~","~~"),"*","~*"),"?","~?"))+COUNTIFS('Calculations'!$HR$13:$HR$512,"="&amp;SUBSTITUTE(SUBSTITUTE(SUBSTITUTE('Calculations'!HF220,"~","~~"),"*","~*"),"?","~?"),'Calculations'!$HN$13:$HN$512,"="&amp;SUBSTITUTE(SUBSTITUTE(SUBSTITUTE('Dashboard'!$B$7,"~","~~"),"*","~*"),"?","~?"))+COUNTIFS('Calculations'!$HS$13:$HS$512,"="&amp;SUBSTITUTE(SUBSTITUTE(SUBSTITUTE('Calculations'!HF220,"~","~~"),"*","~*"),"?","~?"),'Calculations'!$HN$13:$HN$512,"="&amp;SUBSTITUTE(SUBSTITUTE(SUBSTITUTE('Dashboard'!$B$7,"~","~~"),"*","~*"),"?","~?"))+COUNTIFS('Calculations'!$HT$13:$HT$512,"="&amp;SUBSTITUTE(SUBSTITUTE(SUBSTITUTE('Calculations'!HF220,"~","~~"),"*","~*"),"?","~?"),'Calculations'!$HN$13:$HN$512,"="&amp;SUBSTITUTE(SUBSTITUTE(SUBSTITUTE('Dashboard'!$B$7,"~","~~"),"*","~*"),"?","~?"))+COUNTIFS('Calculations'!$HU$13:$HU$512,"="&amp;SUBSTITUTE(SUBSTITUTE(SUBSTITUTE('Calculations'!HF220,"~","~~"),"*","~*"),"?","~?"),'Calculations'!$HN$13:$HN$512,"="&amp;SUBSTITUTE(SUBSTITUTE(SUBSTITUTE('Dashboard'!$B$7,"~","~~"),"*","~*"),"?","~?"))+COUNTIFS('Calculations'!$HV$13:$HV$512,"="&amp;SUBSTITUTE(SUBSTITUTE(SUBSTITUTE('Calculations'!HF220,"~","~~"),"*","~*"),"?","~?"),'Calculations'!$HN$13:$HN$512,"="&amp;SUBSTITUTE(SUBSTITUTE(SUBSTITUTE('Dashboard'!$B$7,"~","~~"),"*","~*"),"?","~?"))+COUNTIFS('Calculations'!$HW$13:$HW$512,"="&amp;SUBSTITUTE(SUBSTITUTE(SUBSTITUTE('Calculations'!HF220,"~","~~"),"*","~*"),"?","~?"),'Calculations'!$HN$13:$HN$512,"="&amp;SUBSTITUTE(SUBSTITUTE(SUBSTITUTE('Dashboard'!$B$7,"~","~~"),"*","~*"),"?","~?"))+COUNTIFS('Calculations'!$HX$13:$HX$512,"="&amp;SUBSTITUTE(SUBSTITUTE(SUBSTITUTE('Calculations'!HF220,"~","~~"),"*","~*"),"?","~?"),'Calculations'!$HN$13:$HN$512,"="&amp;SUBSTITUTE(SUBSTITUTE(SUBSTITUTE('Dashboard'!$B$7,"~","~~"),"*","~*"),"?","~?"))+COUNTIFS('Calculations'!$HY$13:$HY$512,"="&amp;SUBSTITUTE(SUBSTITUTE(SUBSTITUTE('Calculations'!HF220,"~","~~"),"*","~*"),"?","~?"),'Calculations'!$HN$13:$HN$512,"="&amp;SUBSTITUTE(SUBSTITUTE(SUBSTITUTE('Dashboard'!$B$7,"~","~~"),"*","~*"),"?","~?"))+COUNTIFS('Calculations'!$HZ$13:$HZ$512,"="&amp;SUBSTITUTE(SUBSTITUTE(SUBSTITUTE('Calculations'!HF220,"~","~~"),"*","~*"),"?","~?"),'Calculations'!$HN$13:$HN$512,"="&amp;SUBSTITUTE(SUBSTITUTE(SUBSTITUTE('Dashboard'!$B$7,"~","~~"),"*","~*"),"?","~?"))+COUNTIFS('Calculations'!$IA$13:$IA$512,"="&amp;SUBSTITUTE(SUBSTITUTE(SUBSTITUTE('Calculations'!HF220,"~","~~"),"*","~*"),"?","~?"),'Calculations'!$HN$13:$HN$512,"="&amp;SUBSTITUTE(SUBSTITUTE(SUBSTITUTE('Dashboard'!$B$7,"~","~~"),"*","~*"),"?","~?"))+COUNTIFS('Calculations'!$IB$13:$IB$512,"="&amp;SUBSTITUTE(SUBSTITUTE(SUBSTITUTE('Calculations'!HF220,"~","~~"),"*","~*"),"?","~?"),'Calculations'!$HN$13:$HN$512,"="&amp;SUBSTITUTE(SUBSTITUTE(SUBSTITUTE('Dashboard'!$B$7,"~","~~"),"*","~*"),"?","~?"))+COUNTIFS('Calculations'!$IC$13:$IC$512,"="&amp;SUBSTITUTE(SUBSTITUTE(SUBSTITUTE('Calculations'!HF220,"~","~~"),"*","~*"),"?","~?"),'Calculations'!$HN$13:$HN$512,"="&amp;SUBSTITUTE(SUBSTITUTE(SUBSTITUTE('Dashboard'!$B$7,"~","~~"),"*","~*"),"?","~?"))+COUNTIFS('Calculations'!$ID$13:$ID$512,"="&amp;SUBSTITUTE(SUBSTITUTE(SUBSTITUTE('Calculations'!HF220,"~","~~"),"*","~*"),"?","~?"),'Calculations'!$HN$13:$HN$512,"="&amp;SUBSTITUTE(SUBSTITUTE(SUBSTITUTE('Dashboard'!$B$7,"~","~~"),"*","~*"),"?","~?"))+COUNTIFS('Calculations'!$IE$13:$IE$512,"="&amp;SUBSTITUTE(SUBSTITUTE(SUBSTITUTE('Calculations'!HF220,"~","~~"),"*","~*"),"?","~?"),'Calculations'!$HN$13:$HN$512,"="&amp;SUBSTITUTE(SUBSTITUTE(SUBSTITUTE('Dashboard'!$B$7,"~","~~"),"*","~*"),"?","~?"))+COUNTIFS('Calculations'!$IF$13:$IF$512,"="&amp;SUBSTITUTE(SUBSTITUTE(SUBSTITUTE('Calculations'!HF220,"~","~~"),"*","~*"),"?","~?"),'Calculations'!$HN$13:$HN$512,"="&amp;SUBSTITUTE(SUBSTITUTE(SUBSTITUTE('Dashboard'!$B$7,"~","~~"),"*","~*"),"?","~?"))+COUNTIFS('Calculations'!$IG$13:$IG$512,"="&amp;SUBSTITUTE(SUBSTITUTE(SUBSTITUTE('Calculations'!HF220,"~","~~"),"*","~*"),"?","~?"),'Calculations'!$HN$13:$HN$512,"="&amp;SUBSTITUTE(SUBSTITUTE(SUBSTITUTE('Dashboard'!$B$7,"~","~~"),"*","~*"),"?","~?"))+COUNTIFS('Calculations'!$IH$13:$IH$512,"="&amp;SUBSTITUTE(SUBSTITUTE(SUBSTITUTE('Calculations'!HF220,"~","~~"),"*","~*"),"?","~?"),'Calculations'!$HN$13:$HN$512,"="&amp;SUBSTITUTE(SUBSTITUTE(SUBSTITUTE('Dashboard'!$B$7,"~","~~"),"*","~*"),"?","~?"))))</x:f>
        <x:v>0</x:v>
      </x:c>
      <x:c r="JD220" t="n">
        <x:f>IF('Calculations'!EM220="",0,IF('Dashboard'!$B$7="All",1,IF('Calculations'!HN220='Dashboard'!$B$7,1,0)+IFERROR(INDEX('Calculations'!$JC$13:$JC$512,MATCH('Calculations'!HE220,'Calculations'!$HF$13:$HF$512,0)),0)))</x:f>
        <x:v>0</x:v>
      </x:c>
      <x:c r="JE220" t="n">
        <x:f>IF(AND('Calculations'!EM220&lt;&gt;"",'Calculations'!$JJ$2&lt;&gt;"All",'Calculations'!$JJ$2&lt;&gt;"",'Calculations'!HF220='Calculations'!$JJ$2,'Calculations'!HL220=0,'Calculations'!JD220&gt;0),MAX('Calculations'!$JE$12:JE219)+1,0)</x:f>
        <x:v>0</x:v>
      </x:c>
      <x:c r="JF220" t="str">
        <x:f>IF('Calculations'!EM220="","",IFERROR(IF(INDEX(INDIRECT("'WCM Calibration Final'!$G$1:$G$2000"),'Calculations'!$EM220)="","",TRIM(INDEX(INDIRECT("'WCM Calibration Final'!$G$1:$G$2000"),'Calculations'!$EM220)&amp;"")),""))</x:f>
      </x:c>
      <x:c r="JQ220" t="n">
        <x:f>IF(OR('Calculations'!BM220=0,NOT('Calculations'!$AG$2),'Calculations'!$AG$8&gt;0),0,IF(OR('Dashboard'!$B$7="All",'Calculations'!HN220='Dashboard'!$B$7),IF('Calculations'!$JJ$2="All",1,IF(AND('Calculations'!HF220='Calculations'!$JJ$2,'Calculations'!HL220=0),1,0)),0))</x:f>
        <x:v>0</x:v>
      </x:c>
    </x:row>
    <x:row r="221">
      <x:c r="AF221" s="4" t="str">
        <x:f>IF('Calculations'!AH221=0,"","MD (n="&amp;'Calculations'!AH221&amp;")")</x:f>
      </x:c>
      <x:c r="AG221" s="4" t="n">
        <x:f>COUNTIFS('Calculations'!$BN$13:$BN$512,1,'Calculations'!$BV$13:$BV$512,'Calculations'!AT221)</x:f>
        <x:v>0</x:v>
      </x:c>
      <x:c r="AH221" s="4" t="n">
        <x:f>SUM('Calculations'!AJ221:AM221)</x:f>
        <x:v>0</x:v>
      </x:c>
      <x:c r="AI221" s="4" t="n">
        <x:f>'Calculations'!AG221-'Calculations'!AH221</x:f>
        <x:v>0</x:v>
      </x:c>
      <x:c r="AJ221" s="4" t="n">
        <x:f>COUNTIFS('Calculations'!$BN$13:$BN$512,1,'Calculations'!$BV$13:$BV$512,'Calculations'!AT221,'Calculations'!$BO$13:$BO$512,1)</x:f>
        <x:v>0</x:v>
      </x:c>
      <x:c r="AK221" s="4" t="n">
        <x:f>COUNTIFS('Calculations'!$BN$13:$BN$512,1,'Calculations'!$BV$13:$BV$512,'Calculations'!AT221,'Calculations'!$BO$13:$BO$512,2)</x:f>
        <x:v>0</x:v>
      </x:c>
      <x:c r="AL221" s="4" t="n">
        <x:f>COUNTIFS('Calculations'!$BN$13:$BN$512,1,'Calculations'!$BV$13:$BV$512,'Calculations'!AT221,'Calculations'!$BO$13:$BO$512,3)</x:f>
        <x:v>0</x:v>
      </x:c>
      <x:c r="AM221" s="4" t="n">
        <x:f>COUNTIFS('Calculations'!$BN$13:$BN$512,1,'Calculations'!$BV$13:$BV$512,'Calculations'!AT221,'Calculations'!$BO$13:$BO$512,4)</x:f>
        <x:v>0</x:v>
      </x:c>
      <x:c r="AN221" s="4"/>
      <x:c r="AO221" s="4" t="n">
        <x:f>IF('Calculations'!AH221=0,0,'Calculations'!AJ221/'Calculations'!AH221)</x:f>
        <x:v>0</x:v>
      </x:c>
      <x:c r="AP221" s="4" t="n">
        <x:f>IF('Calculations'!AH221=0,0,'Calculations'!AK221/'Calculations'!AH221)</x:f>
        <x:v>0</x:v>
      </x:c>
      <x:c r="AQ221" s="4" t="n">
        <x:f>IF('Calculations'!AH221=0,0,'Calculations'!AL221/'Calculations'!AH221)</x:f>
        <x:v>0</x:v>
      </x:c>
      <x:c r="AR221" s="4" t="n">
        <x:f>IF('Calculations'!AH221=0,0,'Calculations'!AM221/'Calculations'!AH221)</x:f>
        <x:v>0</x:v>
      </x:c>
      <x:c r="AS221" s="4"/>
      <x:c r="AT221" s="4" t="str">
        <x:v>MANAGING DIRECTOR</x:v>
      </x:c>
      <x:c r="AU221" s="4"/>
      <x:c r="AV221" s="4"/>
      <x:c r="AW221" s="4"/>
      <x:c r="AX221" s="4"/>
      <x:c r="AY221" s="4"/>
      <x:c r="AZ221" s="4"/>
      <x:c r="BA221" s="4"/>
      <x:c r="BB221" s="4"/>
      <x:c r="BC221" s="4"/>
      <x:c r="BD221" s="4"/>
      <x:c r="BE221" s="4"/>
      <x:c r="BF221" s="4"/>
      <x:c r="BG221" s="4"/>
      <x:c r="BH221" s="4"/>
      <x:c r="BI221" s="4"/>
      <x:c r="BJ221" s="4"/>
      <x:c r="BK221" s="4"/>
      <x:c r="BL221" s="4"/>
      <x:c r="BM221" s="4" t="n">
        <x:f>IF('Calculations'!$EM221="",0,IF(OR(IFERROR(INDEX(INDIRECT("'WCM Calibration Final'!$A$1:$A$2000"),'Calculations'!$EM221)&lt;&gt;"",FALSE),IFERROR(INDEX(INDIRECT("'WCM Calibration Final'!$B$1:$B$2000"),'Calculations'!$EM221)&lt;&gt;"",FALSE),IFERROR(INDEX(INDIRECT("'WCM Calibration Final'!$C$1:$C$2000"),'Calculations'!$EM221)&lt;&gt;"",FALSE)),1,0))</x:f>
        <x:v>0</x:v>
      </x:c>
      <x:c r="BN221" s="4" t="n">
        <x:f>IF(AND('Calculations'!BM221=1,'Calculations'!$AG$2,'Calculations'!$EN221=1),1,0)</x:f>
        <x:v>0</x:v>
      </x:c>
      <x:c r="BO221" s="4" t="str">
        <x:f>IF('Calculations'!BM221=0,"",IFERROR(IF(AND(VALUE(INDEX(INDIRECT("'WCM Calibration Final'!$K$1:$K$2000"),'Calculations'!$EM221))&gt;=1,VALUE(INDEX(INDIRECT("'WCM Calibration Final'!$K$1:$K$2000"),'Calculations'!$EM221))&lt;=4,MOD(VALUE(INDEX(INDIRECT("'WCM Calibration Final'!$K$1:$K$2000"),'Calculations'!$EM221)),1)=0),VALUE(INDEX(INDIRECT("'WCM Calibration Final'!$K$1:$K$2000"),'Calculations'!$EM221)),""),""))</x:f>
      </x:c>
      <x:c r="BP221" s="4" t="str">
        <x:f>IF('Calculations'!BM221=0,"",IFERROR(IF(AND(VALUE(INDEX(INDIRECT("'WCM Calibration Final'!$L$1:$L$2000"),'Calculations'!$EM221))&gt;=1,VALUE(INDEX(INDIRECT("'WCM Calibration Final'!$L$1:$L$2000"),'Calculations'!$EM221))&lt;=4,MOD(VALUE(INDEX(INDIRECT("'WCM Calibration Final'!$L$1:$L$2000"),'Calculations'!$EM221)),1)=0),VALUE(INDEX(INDIRECT("'WCM Calibration Final'!$L$1:$L$2000"),'Calculations'!$EM221)),""),""))</x:f>
      </x:c>
      <x:c r="BQ221" s="4"/>
      <x:c r="BR221" s="4"/>
      <x:c r="BS221" s="4"/>
      <x:c r="BT221" s="4" t="n">
        <x:f>IF(AND('Calculations'!BM221=1,ISNUMBER('Calculations'!BO221),ISNUMBER('Calculations'!BP221)),1,0)</x:f>
        <x:v>0</x:v>
      </x:c>
      <x:c r="BU221" s="4" t="str">
        <x:f>IF('Calculations'!BM221=0,"",'Calculations'!$EO221)</x:f>
      </x:c>
      <x:c r="BV221" s="4" t="str">
        <x:f>IF('Calculations'!BM221=0,"",IFERROR(IF(OR(INDEX(INDIRECT("'WCM Calibration Final'!$H$1:$H$2000"),'Calculations'!$EM221)="MANAGING DIRECTOR",INDEX(INDIRECT("'WCM Calibration Final'!$H$1:$H$2000"),'Calculations'!$EM221)="DIRECTOR",INDEX(INDIRECT("'WCM Calibration Final'!$H$1:$H$2000"),'Calculations'!$EM221)="SENIOR VICE PRESIDENT",INDEX(INDIRECT("'WCM Calibration Final'!$H$1:$H$2000"),'Calculations'!$EM221)="VICE PRESIDENT",INDEX(INDIRECT("'WCM Calibration Final'!$H$1:$H$2000"),'Calculations'!$EM221)="ASSISTANT VICE PRESIDENT",INDEX(INDIRECT("'WCM Calibration Final'!$H$1:$H$2000"),'Calculations'!$EM221)="OFFICER"),UPPER(INDEX(INDIRECT("'WCM Calibration Final'!$H$1:$H$2000"),'Calculations'!$EM221)),"Other"),"Other"))</x:f>
      </x:c>
      <x:c r="BW221" s="4"/>
      <x:c r="BX221" s="4"/>
      <x:c r="BY221" s="4" t="n">
        <x:f>IF(AND('Calculations'!BM221=1,'Calculations'!BU221&lt;&gt;"",COUNTIF('Calculations'!$BU$12:BU221,'Calculations'!BU221)=1),MAX('Calculations'!$BY$11:BY220)+1,0)</x:f>
        <x:v>0</x:v>
      </x:c>
      <x:c r="BZ221" s="4" t="str">
        <x:f>IF('Dashboard'!$E$67="What",'Calculations'!BO221,'Calculations'!BP221)</x:f>
      </x:c>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t="str">
        <x:f>IF(210&gt;MAX('Calculations'!$HI$13:$HI$512),"",INDEX('Calculations'!$HN$13:$HN$512,MATCH(210,'Calculations'!$HI$13:$HI$512,0)))</x:f>
      </x:c>
      <x:c r="DB221" s="4" t="str">
        <x:f>IF(210&gt;MAX('Calculations'!$HH$13:$HH$512),"",INDEX('Calculations'!$HJ$13:$HJ$512,MATCH(210,'Calculations'!$HH$13:$HH$512,0)))</x:f>
      </x:c>
      <x:c r="DC221" s="4" t="str">
        <x:f>IF(ROW()-11&gt;MAX('Calculations'!$BY$13:$BY$512),"",INDEX('Calculations'!$BU$13:$BU$512,MATCH(ROW()-11,'Calculations'!$BY$13:$BY$512,0)))</x:f>
      </x:c>
      <x:c r="DD221" s="4" t="str">
        <x:f>IF(210&gt;MAX('Calculations'!$IK$13:$IK$512),"",INDEX('Calculations'!$HK$13:$HK$512,MATCH(210,'Calculations'!$IK$13:$IK$512,0)))</x:f>
      </x:c>
      <x:c r="DE221" s="4" t="str">
        <x:f>'Calculations'!DC221</x:f>
      </x:c>
      <x:c r="DF221" s="4" t="str">
        <x:f>IF('Calculations'!DE221="","",COUNTIFS('Calculations'!$BN$13:$BN$512,1,'Calculations'!$BU$13:$BU$512,'Calculations'!DE221))</x:f>
      </x:c>
      <x:c r="DG221" s="4" t="str">
        <x:f>IF('Calculations'!DE221="","",COUNTIFS('Calculations'!$BN$13:$BN$512,1,'Calculations'!$BU$13:$BU$512,'Calculations'!DE221,'Calculations'!$BT$13:$BT$512,1))</x:f>
      </x:c>
      <x:c r="DH221" s="4" t="str">
        <x:f>IF('Calculations'!DE221="","",'Calculations'!DF221-'Calculations'!DG221)</x:f>
      </x:c>
      <x:c r="DI221" s="4" t="str">
        <x:f>IF(OR('Calculations'!DE221="",'Calculations'!DF221=0),"",'Calculations'!DG221/'Calculations'!DF221)</x:f>
      </x:c>
      <x:c r="DJ221" s="4" t="str">
        <x:f>IF('Calculations'!DE221="","",COUNTIFS('Calculations'!$BN$13:$BN$512,1,'Calculations'!$BU$13:$BU$512,'Calculations'!DE221,'Calculations'!$BT$13:$BT$512,1,'Calculations'!$EE$13:$EE$512,"High"))</x:f>
      </x:c>
      <x:c r="DK221" s="4" t="str">
        <x:f>IF('Calculations'!DE221="","",COUNTIFS('Calculations'!$BN$13:$BN$512,1,'Calculations'!$BU$13:$BU$512,'Calculations'!DE221,'Calculations'!$BT$13:$BT$512,1,'Calculations'!$EE$13:$EE$512,"Strong"))</x:f>
      </x:c>
      <x:c r="DL221" s="4" t="str">
        <x:f>IF('Calculations'!DE221="","",COUNTIFS('Calculations'!$BN$13:$BN$512,1,'Calculations'!$BU$13:$BU$512,'Calculations'!DE221,'Calculations'!$BT$13:$BT$512,1,'Calculations'!$EE$13:$EE$512,"Solid"))</x:f>
      </x:c>
      <x:c r="DM221" s="4" t="str">
        <x:f>IF('Calculations'!DE221="","",COUNTIFS('Calculations'!$BN$13:$BN$512,1,'Calculations'!$BU$13:$BU$512,'Calculations'!DE221,'Calculations'!$BT$13:$BT$512,1,'Calculations'!$EE$13:$EE$512,"Low"))</x:f>
      </x:c>
      <x:c r="DN221" s="4" t="str">
        <x:f>IF('Calculations'!DE221="","",COUNTIFS('Calculations'!$BN$13:$BN$512,1,'Calculations'!$BU$13:$BU$512,'Calculations'!DE221,'Calculations'!$EP$13:$EP$512,1))</x:f>
      </x:c>
      <x:c r="DO221" s="4" t="str">
        <x:f>IF(OR('Calculations'!DE221="",'Calculations'!DG221=0),"",('Calculations'!DJ221+'Calculations'!DK221)/'Calculations'!DG221)</x:f>
      </x:c>
      <x:c r="DP221" s="4" t="n">
        <x:f>IF(AND('Calculations'!DE221&lt;&gt;"",'Calculations'!DF221&gt;0),COUNTIF('Calculations'!$DF$12:DF221,"&gt;0"),0)</x:f>
        <x:v>0</x:v>
      </x:c>
      <x:c r="DQ221" s="4" t="str">
        <x:f>IF(210&gt;MAX('Calculations'!$HH$13:$HH$512),"",INDEX('Calculations'!$HF$13:$HF$512,MATCH(210,'Calculations'!$HH$13:$HH$512,0)))</x:f>
      </x:c>
      <x:c r="DR221" s="4" t="str">
        <x:f>IF(210&gt;MAX('Calculations'!$IK$13:$IK$512),"",INDEX('Calculations'!$HE$13:$HE$512,MATCH(210,'Calculations'!$IK$13:$IK$512,0)))</x:f>
      </x:c>
      <x:c r="DS221" s="4"/>
      <x:c r="DT221" s="4"/>
      <x:c r="DU221" s="4"/>
      <x:c r="DV221" s="4"/>
      <x:c r="DW221" s="4"/>
      <x:c r="DX221" s="4"/>
      <x:c r="DY221" s="4"/>
      <x:c r="DZ221" s="4"/>
      <x:c r="EA221" s="4"/>
      <x:c r="EB221" s="4"/>
      <x:c r="EC221" s="4"/>
      <x:c r="ED221" s="4"/>
      <x:c r="EE221" s="4" t="str">
        <x:f>IF('Calculations'!BT221=0,"Not Rated",IF(OR('Calculations'!BO221&gt;=4,'Calculations'!BP221&gt;=4),"Low",IF('Calculations'!BO221+'Calculations'!BP221&lt;=3,"High",IF('Calculations'!BO221+'Calculations'!BP221&lt;=4,"Strong","Solid"))))</x:f>
        <x:v>Not Rated</x:v>
      </x:c>
      <x:c r="EF221" s="4"/>
      <x:c r="EG221" s="4"/>
      <x:c r="EH221" s="4"/>
      <x:c r="EI221" s="4"/>
      <x:c r="EJ221" s="4"/>
      <x:c r="EK221" s="4"/>
      <x:c r="EL221" s="4"/>
      <x:c r="EM221" s="4" t="str">
        <x:f>IF(209&gt;'Calculations'!$JB$2000,"",INDEX('Calculations'!$JA$12:$JA$2000,MATCH(209,'Calculations'!$JB$12:$JB$2000,0)))</x:f>
      </x:c>
      <x:c r="EN221" s="4" t="n">
        <x:f>IF(OR('Calculations'!EM221="",'Calculations'!$AG$8&gt;0,AND('Calculations'!$EF$2&lt;&gt;"All",'Calculations'!HE221='Calculations'!$EF$2),AND('Calculations'!$EF$3&lt;&gt;"All",'Calculations'!HE221='Calculations'!$EF$3)),0,IF(OR('Dashboard'!$B$7="All",'Calculations'!HN221='Dashboard'!$B$7),IF('Calculations'!$EF$2="All",1,IF('Calculations'!HL221&gt;0,0,IF(COUNTIF('Calculations'!HO221:II221,"="&amp;SUBSTITUTE(SUBSTITUTE(SUBSTITUTE('Calculations'!$EF$2,"~","~~"),"*","~*"),"?","~?"))=0,0,IF('Calculations'!$EF$3="All",1,IF(COUNTIF('Calculations'!HO221:II221,"="&amp;SUBSTITUTE(SUBSTITUTE(SUBSTITUTE('Calculations'!$EF$3,"~","~~"),"*","~*"),"?","~?"))&gt;0,1,0))))),0))</x:f>
        <x:v>0</x:v>
      </x:c>
      <x:c r="EO221" s="4" t="str">
        <x:f>IF('Calculations'!IJ221="","",IF('Calculations'!IJ221="!UNRESOLVED","Unresolved hierarchy",IFERROR(INDEX('Calculations'!$HK$13:$HK$512,MATCH('Calculations'!IJ221,'Calculations'!$HE$13:$HE$512,0)),IFERROR(INDEX('Calculations'!$HJ$13:$HJ$512,MATCH('Calculations'!IJ221,'Calculations'!$HF$13:$HF$512,0)),'Calculations'!IJ221))))</x:f>
      </x:c>
      <x:c r="EP221" s="4" t="n">
        <x:f>IF(AND('Calculations'!EM221&lt;&gt;"",'Calculations'!HF221='Calculations'!IJ221),1,0)</x:f>
        <x:v>0</x:v>
      </x:c>
      <x:c r="EQ221" s="4"/>
      <x:c r="ER221" s="4"/>
      <x:c r="ES221" s="4"/>
      <x:c r="ET221" s="4"/>
      <x:c r="EU221" s="4"/>
      <x:c r="EV221" s="4"/>
      <x:c r="EW221" s="4"/>
      <x:c r="EX221" s="4"/>
      <x:c r="EY221" s="4"/>
      <x:c r="EZ221" s="4"/>
      <x:c r="FA221" s="4"/>
      <x:c r="FB221" s="4"/>
      <x:c r="FC221" s="4"/>
      <x:c r="FD221" s="4"/>
      <x:c r="FE221" s="4"/>
      <x:c r="FF221" s="4"/>
      <x:c r="FG221" s="4"/>
      <x:c r="FH221" s="4"/>
      <x:c r="FI221" s="4"/>
      <x:c r="FJ221" s="4"/>
      <x:c r="FK221" s="4"/>
      <x:c r="FL221" s="4"/>
      <x:c r="FM221" s="4"/>
      <x:c r="FN221" s="4"/>
      <x:c r="FO221" s="4"/>
      <x:c r="HE221" t="str">
        <x:f>IF('Calculations'!EM221="","",IF(IFERROR(IF(INDEX(INDIRECT("'WCM Calibration Final'!$A$1:$A$2000"),'Calculations'!$EM221)="","",TRIM(INDEX(INDIRECT("'WCM Calibration Final'!$A$1:$A$2000"),'Calculations'!$EM221)&amp;"")),"")&lt;&gt;"","G:"&amp;IFERROR(TEXT(1*INDEX(INDIRECT("'WCM Calibration Final'!$A$1:$A$2000"),'Calculations'!$EM221),"0"),UPPER(IFERROR(IF(INDEX(INDIRECT("'WCM Calibration Final'!$A$1:$A$2000"),'Calculations'!$EM221)="","",TRIM(INDEX(INDIRECT("'WCM Calibration Final'!$A$1:$A$2000"),'Calculations'!$EM221)&amp;"")),""))),IF(IFERROR(IF(INDEX(INDIRECT("'WCM Calibration Final'!$C$1:$C$2000"),'Calculations'!$EM221)="","",TRIM(INDEX(INDIRECT("'WCM Calibration Final'!$C$1:$C$2000"),'Calculations'!$EM221)&amp;"")),"")&lt;&gt;"","S:"&amp;UPPER(IFERROR(IF(INDEX(INDIRECT("'WCM Calibration Final'!$C$1:$C$2000"),'Calculations'!$EM221)="","",TRIM(INDEX(INDIRECT("'WCM Calibration Final'!$C$1:$C$2000"),'Calculations'!$EM221)&amp;"")),"")),"R:"&amp;'Calculations'!EM221)))</x:f>
      </x:c>
      <x:c r="HF221" t="str">
        <x:f>IF('Calculations'!EM221="","",IF(IFERROR(IF(INDEX(INDIRECT("'WCM Calibration Final'!$D$1:$D$2000"),'Calculations'!$EM221)="","",TRIM(INDEX(INDIRECT("'WCM Calibration Final'!$D$1:$D$2000"),'Calculations'!$EM221)&amp;"")),"")&lt;&gt;"","G:"&amp;IFERROR(TEXT(1*INDEX(INDIRECT("'WCM Calibration Final'!$D$1:$D$2000"),'Calculations'!$EM221),"0"),UPPER(IFERROR(IF(INDEX(INDIRECT("'WCM Calibration Final'!$D$1:$D$2000"),'Calculations'!$EM221)="","",TRIM(INDEX(INDIRECT("'WCM Calibration Final'!$D$1:$D$2000"),'Calculations'!$EM221)&amp;"")),""))),IF(IFERROR(IF(INDEX(INDIRECT("'WCM Calibration Final'!$E$1:$E$2000"),'Calculations'!$EM221)="","",TRIM(INDEX(INDIRECT("'WCM Calibration Final'!$E$1:$E$2000"),'Calculations'!$EM221)&amp;"")),"")="","",IF(COUNTIF('Calculations'!$HG$13:$HG$512,"="&amp;SUBSTITUTE(SUBSTITUTE(SUBSTITUTE(IFERROR(IF(INDEX(INDIRECT("'WCM Calibration Final'!$E$1:$E$2000"),'Calculations'!$EM221)="","",TRIM(INDEX(INDIRECT("'WCM Calibration Final'!$E$1:$E$2000"),'Calculations'!$EM221)&amp;"")),""),"~","~~"),"*","~*"),"?","~?"))=1,INDEX('Calculations'!$HE$13:$HE$512,MATCH(IFERROR(IF(INDEX(INDIRECT("'WCM Calibration Final'!$E$1:$E$2000"),'Calculations'!$EM221)="","",TRIM(INDEX(INDIRECT("'WCM Calibration Final'!$E$1:$E$2000"),'Calculations'!$EM221)&amp;"")),""),'Calculations'!$HG$13:$HG$512,0)),IF(COUNTIF('Calculations'!$HG$13:$HG$512,"="&amp;SUBSTITUTE(SUBSTITUTE(SUBSTITUTE(IFERROR(IF(INDEX(INDIRECT("'WCM Calibration Final'!$E$1:$E$2000"),'Calculations'!$EM221)="","",TRIM(INDEX(INDIRECT("'WCM Calibration Final'!$E$1:$E$2000"),'Calculations'!$EM221)&amp;"")),""),"~","~~"),"*","~*"),"?","~?"))&gt;1,"!AMBIG","X:"&amp;IFERROR(IF(INDEX(INDIRECT("'WCM Calibration Final'!$E$1:$E$2000"),'Calculations'!$EM221)="","",TRIM(INDEX(INDIRECT("'WCM Calibration Final'!$E$1:$E$2000"),'Calculations'!$EM221)&amp;"")),""))))))</x:f>
      </x:c>
      <x:c r="HG221" t="str">
        <x:f>IF('Calculations'!EM221="","",IFERROR(IF(INDEX(INDIRECT("'WCM Calibration Final'!$B$1:$B$2000"),'Calculations'!$EM221)="","",TRIM(INDEX(INDIRECT("'WCM Calibration Final'!$B$1:$B$2000"),'Calculations'!$EM221)&amp;"")),""))</x:f>
      </x:c>
      <x:c r="HH221" t="n">
        <x:f>IF(AND('Calculations'!JC221&gt;0,COUNTIF('Calculations'!$HF$12:HF221,"="&amp;SUBSTITUTE(SUBSTITUTE(SUBSTITUTE('Calculations'!HF221,"~","~~"),"*","~*"),"?","~?"))=1),MAX('Calculations'!$HH$12:HH220)+1,0)</x:f>
        <x:v>0</x:v>
      </x:c>
      <x:c r="HI221" t="n">
        <x:f>IF(AND('Calculations'!HN221&lt;&gt;"",COUNTIF('Calculations'!$HN$12:HN221,"="&amp;SUBSTITUTE(SUBSTITUTE(SUBSTITUTE('Calculations'!HN221,"~","~~"),"*","~*"),"?","~?"))=1),MAX('Calculations'!$HI$12:HI220)+1,0)</x:f>
        <x:v>0</x:v>
      </x:c>
      <x:c r="HJ221" t="str">
        <x:f>IF('Calculations'!HF221="","",IF(COUNTIF('Calculations'!$HE$13:$HE$512,"="&amp;SUBSTITUTE(SUBSTITUTE(SUBSTITUTE('Calculations'!HF221,"~","~~"),"*","~*"),"?","~?"))=1,INDEX('Calculations'!$HK$13:$HK$512,MATCH('Calculations'!HF221,'Calculations'!$HE$13:$HE$512,0)),IFERROR(IF(INDEX(INDIRECT("'WCM Calibration Final'!$E$1:$E$2000"),'Calculations'!$EM221)="","",TRIM(INDEX(INDIRECT("'WCM Calibration Final'!$E$1:$E$2000"),'Calculations'!$EM221)&amp;"")),"")&amp;" ["&amp;'Calculations'!HF221&amp;"]"))</x:f>
      </x:c>
      <x:c r="HK221" t="str">
        <x:f>IF('Calculations'!EM221="","",'Calculations'!HG221&amp;" ["&amp;'Calculations'!HE221&amp;"]")</x:f>
      </x:c>
      <x:c r="HL221" t="n">
        <x:f>IF('Calculations'!EM221="",0,IF(OR('Calculations'!II221&lt;&gt;"",COUNTIF('Calculations'!$HE$13:$HE$512,"="&amp;SUBSTITUTE(SUBSTITUTE(SUBSTITUTE('Calculations'!HE221,"~","~~"),"*","~*"),"?","~?"))&gt;1),1,0))</x:f>
        <x:v>0</x:v>
      </x:c>
      <x:c r="HM221" t="str">
        <x:f>IF('Calculations'!EM221="","",IF('Calculations'!HL221=1,"!UNRESOLVED",IF('Calculations'!IH221&lt;&gt;"",'Calculations'!IH221,IF('Calculations'!IG221&lt;&gt;"",'Calculations'!IG221,IF('Calculations'!IF221&lt;&gt;"",'Calculations'!IF221,IF('Calculations'!IE221&lt;&gt;"",'Calculations'!IE221,IF('Calculations'!ID221&lt;&gt;"",'Calculations'!ID221,IF('Calculations'!IC221&lt;&gt;"",'Calculations'!IC221,IF('Calculations'!IB221&lt;&gt;"",'Calculations'!IB221,IF('Calculations'!IA221&lt;&gt;"",'Calculations'!IA221,IF('Calculations'!HZ221&lt;&gt;"",'Calculations'!HZ221,IF('Calculations'!HY221&lt;&gt;"",'Calculations'!HY221,IF('Calculations'!HX221&lt;&gt;"",'Calculations'!HX221,IF('Calculations'!HW221&lt;&gt;"",'Calculations'!HW221,IF('Calculations'!HV221&lt;&gt;"",'Calculations'!HV221,IF('Calculations'!HU221&lt;&gt;"",'Calculations'!HU221,IF('Calculations'!HT221&lt;&gt;"",'Calculations'!HT221,IF('Calculations'!HS221&lt;&gt;"",'Calculations'!HS221,IF('Calculations'!HR221&lt;&gt;"",'Calculations'!HR221,IF('Calculations'!HQ221&lt;&gt;"",'Calculations'!HQ221,IF('Calculations'!HP221&lt;&gt;"",'Calculations'!HP221,IF('Calculations'!HO221&lt;&gt;"",'Calculations'!HO221,'Calculations'!HE221))))))))))))))))))))))</x:f>
      </x:c>
      <x:c r="HN221" t="str">
        <x:f>IF('Calculations'!EM221="","",IF(IFERROR(IF(INDEX(INDIRECT("'WCM Calibration Final'!$F$1:$F$2000"),'Calculations'!$EM221)="","",TRIM(INDEX(INDIRECT("'WCM Calibration Final'!$F$1:$F$2000"),'Calculations'!$EM221)&amp;"")),"")="","(Blank)",IFERROR(IF(INDEX(INDIRECT("'WCM Calibration Final'!$F$1:$F$2000"),'Calculations'!$EM221)="","",TRIM(INDEX(INDIRECT("'WCM Calibration Final'!$F$1:$F$2000"),'Calculations'!$EM221)&amp;"")),"")))</x:f>
      </x:c>
      <x:c r="HO221" t="str">
        <x:f>'Calculations'!HF221</x:f>
      </x:c>
      <x:c r="HP221" t="str">
        <x:f>IF('Calculations'!HO221="","",IF('Calculations'!HO221="!AMBIG","!AMBIG",IF(COUNTIF('Calculations'!$HE$13:$HE$512,"="&amp;SUBSTITUTE(SUBSTITUTE(SUBSTITUTE('Calculations'!HO221,"~","~~"),"*","~*"),"?","~?"))&gt;1,"!AMBIG",IFERROR(INDEX('Calculations'!$HF$13:$HF$512,MATCH('Calculations'!HO221,'Calculations'!$HE$13:$HE$512,0)),""))))</x:f>
      </x:c>
      <x:c r="HQ221" t="str">
        <x:f>IF('Calculations'!HP221="","",IF('Calculations'!HP221="!AMBIG","!AMBIG",IF(COUNTIF('Calculations'!$HE$13:$HE$512,"="&amp;SUBSTITUTE(SUBSTITUTE(SUBSTITUTE('Calculations'!HP221,"~","~~"),"*","~*"),"?","~?"))&gt;1,"!AMBIG",IFERROR(INDEX('Calculations'!$HF$13:$HF$512,MATCH('Calculations'!HP221,'Calculations'!$HE$13:$HE$512,0)),""))))</x:f>
      </x:c>
      <x:c r="HR221" t="str">
        <x:f>IF('Calculations'!HQ221="","",IF('Calculations'!HQ221="!AMBIG","!AMBIG",IF(COUNTIF('Calculations'!$HE$13:$HE$512,"="&amp;SUBSTITUTE(SUBSTITUTE(SUBSTITUTE('Calculations'!HQ221,"~","~~"),"*","~*"),"?","~?"))&gt;1,"!AMBIG",IFERROR(INDEX('Calculations'!$HF$13:$HF$512,MATCH('Calculations'!HQ221,'Calculations'!$HE$13:$HE$512,0)),""))))</x:f>
      </x:c>
      <x:c r="HS221" t="str">
        <x:f>IF('Calculations'!HR221="","",IF('Calculations'!HR221="!AMBIG","!AMBIG",IF(COUNTIF('Calculations'!$HE$13:$HE$512,"="&amp;SUBSTITUTE(SUBSTITUTE(SUBSTITUTE('Calculations'!HR221,"~","~~"),"*","~*"),"?","~?"))&gt;1,"!AMBIG",IFERROR(INDEX('Calculations'!$HF$13:$HF$512,MATCH('Calculations'!HR221,'Calculations'!$HE$13:$HE$512,0)),""))))</x:f>
      </x:c>
      <x:c r="HT221" t="str">
        <x:f>IF('Calculations'!HS221="","",IF('Calculations'!HS221="!AMBIG","!AMBIG",IF(COUNTIF('Calculations'!$HE$13:$HE$512,"="&amp;SUBSTITUTE(SUBSTITUTE(SUBSTITUTE('Calculations'!HS221,"~","~~"),"*","~*"),"?","~?"))&gt;1,"!AMBIG",IFERROR(INDEX('Calculations'!$HF$13:$HF$512,MATCH('Calculations'!HS221,'Calculations'!$HE$13:$HE$512,0)),""))))</x:f>
      </x:c>
      <x:c r="HU221" t="str">
        <x:f>IF('Calculations'!HT221="","",IF('Calculations'!HT221="!AMBIG","!AMBIG",IF(COUNTIF('Calculations'!$HE$13:$HE$512,"="&amp;SUBSTITUTE(SUBSTITUTE(SUBSTITUTE('Calculations'!HT221,"~","~~"),"*","~*"),"?","~?"))&gt;1,"!AMBIG",IFERROR(INDEX('Calculations'!$HF$13:$HF$512,MATCH('Calculations'!HT221,'Calculations'!$HE$13:$HE$512,0)),""))))</x:f>
      </x:c>
      <x:c r="HV221" t="str">
        <x:f>IF('Calculations'!HU221="","",IF('Calculations'!HU221="!AMBIG","!AMBIG",IF(COUNTIF('Calculations'!$HE$13:$HE$512,"="&amp;SUBSTITUTE(SUBSTITUTE(SUBSTITUTE('Calculations'!HU221,"~","~~"),"*","~*"),"?","~?"))&gt;1,"!AMBIG",IFERROR(INDEX('Calculations'!$HF$13:$HF$512,MATCH('Calculations'!HU221,'Calculations'!$HE$13:$HE$512,0)),""))))</x:f>
      </x:c>
      <x:c r="HW221" t="str">
        <x:f>IF('Calculations'!HV221="","",IF('Calculations'!HV221="!AMBIG","!AMBIG",IF(COUNTIF('Calculations'!$HE$13:$HE$512,"="&amp;SUBSTITUTE(SUBSTITUTE(SUBSTITUTE('Calculations'!HV221,"~","~~"),"*","~*"),"?","~?"))&gt;1,"!AMBIG",IFERROR(INDEX('Calculations'!$HF$13:$HF$512,MATCH('Calculations'!HV221,'Calculations'!$HE$13:$HE$512,0)),""))))</x:f>
      </x:c>
      <x:c r="HX221" t="str">
        <x:f>IF('Calculations'!HW221="","",IF('Calculations'!HW221="!AMBIG","!AMBIG",IF(COUNTIF('Calculations'!$HE$13:$HE$512,"="&amp;SUBSTITUTE(SUBSTITUTE(SUBSTITUTE('Calculations'!HW221,"~","~~"),"*","~*"),"?","~?"))&gt;1,"!AMBIG",IFERROR(INDEX('Calculations'!$HF$13:$HF$512,MATCH('Calculations'!HW221,'Calculations'!$HE$13:$HE$512,0)),""))))</x:f>
      </x:c>
      <x:c r="HY221" t="str">
        <x:f>IF('Calculations'!HX221="","",IF('Calculations'!HX221="!AMBIG","!AMBIG",IF(COUNTIF('Calculations'!$HE$13:$HE$512,"="&amp;SUBSTITUTE(SUBSTITUTE(SUBSTITUTE('Calculations'!HX221,"~","~~"),"*","~*"),"?","~?"))&gt;1,"!AMBIG",IFERROR(INDEX('Calculations'!$HF$13:$HF$512,MATCH('Calculations'!HX221,'Calculations'!$HE$13:$HE$512,0)),""))))</x:f>
      </x:c>
      <x:c r="HZ221" t="str">
        <x:f>IF('Calculations'!HY221="","",IF('Calculations'!HY221="!AMBIG","!AMBIG",IF(COUNTIF('Calculations'!$HE$13:$HE$512,"="&amp;SUBSTITUTE(SUBSTITUTE(SUBSTITUTE('Calculations'!HY221,"~","~~"),"*","~*"),"?","~?"))&gt;1,"!AMBIG",IFERROR(INDEX('Calculations'!$HF$13:$HF$512,MATCH('Calculations'!HY221,'Calculations'!$HE$13:$HE$512,0)),""))))</x:f>
      </x:c>
      <x:c r="IA221" t="str">
        <x:f>IF('Calculations'!HZ221="","",IF('Calculations'!HZ221="!AMBIG","!AMBIG",IF(COUNTIF('Calculations'!$HE$13:$HE$512,"="&amp;SUBSTITUTE(SUBSTITUTE(SUBSTITUTE('Calculations'!HZ221,"~","~~"),"*","~*"),"?","~?"))&gt;1,"!AMBIG",IFERROR(INDEX('Calculations'!$HF$13:$HF$512,MATCH('Calculations'!HZ221,'Calculations'!$HE$13:$HE$512,0)),""))))</x:f>
      </x:c>
      <x:c r="IB221" t="str">
        <x:f>IF('Calculations'!IA221="","",IF('Calculations'!IA221="!AMBIG","!AMBIG",IF(COUNTIF('Calculations'!$HE$13:$HE$512,"="&amp;SUBSTITUTE(SUBSTITUTE(SUBSTITUTE('Calculations'!IA221,"~","~~"),"*","~*"),"?","~?"))&gt;1,"!AMBIG",IFERROR(INDEX('Calculations'!$HF$13:$HF$512,MATCH('Calculations'!IA221,'Calculations'!$HE$13:$HE$512,0)),""))))</x:f>
      </x:c>
      <x:c r="IC221" t="str">
        <x:f>IF('Calculations'!IB221="","",IF('Calculations'!IB221="!AMBIG","!AMBIG",IF(COUNTIF('Calculations'!$HE$13:$HE$512,"="&amp;SUBSTITUTE(SUBSTITUTE(SUBSTITUTE('Calculations'!IB221,"~","~~"),"*","~*"),"?","~?"))&gt;1,"!AMBIG",IFERROR(INDEX('Calculations'!$HF$13:$HF$512,MATCH('Calculations'!IB221,'Calculations'!$HE$13:$HE$512,0)),""))))</x:f>
      </x:c>
      <x:c r="ID221" t="str">
        <x:f>IF('Calculations'!IC221="","",IF('Calculations'!IC221="!AMBIG","!AMBIG",IF(COUNTIF('Calculations'!$HE$13:$HE$512,"="&amp;SUBSTITUTE(SUBSTITUTE(SUBSTITUTE('Calculations'!IC221,"~","~~"),"*","~*"),"?","~?"))&gt;1,"!AMBIG",IFERROR(INDEX('Calculations'!$HF$13:$HF$512,MATCH('Calculations'!IC221,'Calculations'!$HE$13:$HE$512,0)),""))))</x:f>
      </x:c>
      <x:c r="IE221" t="str">
        <x:f>IF('Calculations'!ID221="","",IF('Calculations'!ID221="!AMBIG","!AMBIG",IF(COUNTIF('Calculations'!$HE$13:$HE$512,"="&amp;SUBSTITUTE(SUBSTITUTE(SUBSTITUTE('Calculations'!ID221,"~","~~"),"*","~*"),"?","~?"))&gt;1,"!AMBIG",IFERROR(INDEX('Calculations'!$HF$13:$HF$512,MATCH('Calculations'!ID221,'Calculations'!$HE$13:$HE$512,0)),""))))</x:f>
      </x:c>
      <x:c r="IF221" t="str">
        <x:f>IF('Calculations'!IE221="","",IF('Calculations'!IE221="!AMBIG","!AMBIG",IF(COUNTIF('Calculations'!$HE$13:$HE$512,"="&amp;SUBSTITUTE(SUBSTITUTE(SUBSTITUTE('Calculations'!IE221,"~","~~"),"*","~*"),"?","~?"))&gt;1,"!AMBIG",IFERROR(INDEX('Calculations'!$HF$13:$HF$512,MATCH('Calculations'!IE221,'Calculations'!$HE$13:$HE$512,0)),""))))</x:f>
      </x:c>
      <x:c r="IG221" t="str">
        <x:f>IF('Calculations'!IF221="","",IF('Calculations'!IF221="!AMBIG","!AMBIG",IF(COUNTIF('Calculations'!$HE$13:$HE$512,"="&amp;SUBSTITUTE(SUBSTITUTE(SUBSTITUTE('Calculations'!IF221,"~","~~"),"*","~*"),"?","~?"))&gt;1,"!AMBIG",IFERROR(INDEX('Calculations'!$HF$13:$HF$512,MATCH('Calculations'!IF221,'Calculations'!$HE$13:$HE$512,0)),""))))</x:f>
      </x:c>
      <x:c r="IH221" t="str">
        <x:f>IF('Calculations'!IG221="","",IF('Calculations'!IG221="!AMBIG","!AMBIG",IF(COUNTIF('Calculations'!$HE$13:$HE$512,"="&amp;SUBSTITUTE(SUBSTITUTE(SUBSTITUTE('Calculations'!IG221,"~","~~"),"*","~*"),"?","~?"))&gt;1,"!AMBIG",IFERROR(INDEX('Calculations'!$HF$13:$HF$512,MATCH('Calculations'!IG221,'Calculations'!$HE$13:$HE$512,0)),""))))</x:f>
      </x:c>
      <x:c r="II221" t="str">
        <x:f>IF('Calculations'!IH221="","",IF('Calculations'!IH221="!AMBIG","!AMBIG",IF(COUNTIF('Calculations'!$HE$13:$HE$512,"="&amp;SUBSTITUTE(SUBSTITUTE(SUBSTITUTE('Calculations'!IH221,"~","~~"),"*","~*"),"?","~?"))&gt;1,"!AMBIG",IFERROR(INDEX('Calculations'!$HF$13:$HF$512,MATCH('Calculations'!IH221,'Calculations'!$HE$13:$HE$512,0)),""))))</x:f>
      </x:c>
      <x:c r="IJ221" t="str">
        <x:f>IF('Calculations'!EM221="","",IF('Calculations'!$EF$2="All",'Calculations'!HM221,IF('Calculations'!HL221=1,"",IFERROR(IF(MATCH('Calculations'!$EF$2,'Calculations'!HO221:II221,0)=1,'Calculations'!HE221,INDEX('Calculations'!HO221:II221,1,MATCH('Calculations'!$EF$2,'Calculations'!HO221:II221,0)-1)),""))))</x:f>
      </x:c>
      <x:c r="IK221" t="n">
        <x:f>IF(AND('Calculations'!EM221&lt;&gt;"",'Calculations'!$EF$2&lt;&gt;"All",'Calculations'!HF221='Calculations'!$EF$2,'Calculations'!HL221=0,'Calculations'!JD221&gt;0),MAX('Calculations'!$IK$12:IK220)+1,0)</x:f>
        <x:v>0</x:v>
      </x:c>
      <x:c r="JA221" t="n">
        <x:f>IF(OR(IFERROR(INDIRECT("'WCM Calibration Final'!$A$221")&lt;&gt;"",FALSE),IFERROR(INDIRECT("'WCM Calibration Final'!$B$221")&lt;&gt;"",FALSE),IFERROR(INDIRECT("'WCM Calibration Final'!$C$221")&lt;&gt;"",FALSE)),221,0)</x:f>
        <x:v>0</x:v>
      </x:c>
      <x:c r="JB221" t="n">
        <x:f>'Calculations'!JB220+IF('Calculations'!JA221&gt;0,1,0)</x:f>
        <x:v>0</x:v>
      </x:c>
      <x:c r="JC221" t="n">
        <x:f>IF(OR('Calculations'!HF221="",'Calculations'!HF221="!AMBIG"),0,IF('Dashboard'!$B$7="All",1,COUNTIFS('Calculations'!$HO$13:$HO$512,"="&amp;SUBSTITUTE(SUBSTITUTE(SUBSTITUTE('Calculations'!HF221,"~","~~"),"*","~*"),"?","~?"),'Calculations'!$HN$13:$HN$512,"="&amp;SUBSTITUTE(SUBSTITUTE(SUBSTITUTE('Dashboard'!$B$7,"~","~~"),"*","~*"),"?","~?"))+COUNTIFS('Calculations'!$HP$13:$HP$512,"="&amp;SUBSTITUTE(SUBSTITUTE(SUBSTITUTE('Calculations'!HF221,"~","~~"),"*","~*"),"?","~?"),'Calculations'!$HN$13:$HN$512,"="&amp;SUBSTITUTE(SUBSTITUTE(SUBSTITUTE('Dashboard'!$B$7,"~","~~"),"*","~*"),"?","~?"))+COUNTIFS('Calculations'!$HQ$13:$HQ$512,"="&amp;SUBSTITUTE(SUBSTITUTE(SUBSTITUTE('Calculations'!HF221,"~","~~"),"*","~*"),"?","~?"),'Calculations'!$HN$13:$HN$512,"="&amp;SUBSTITUTE(SUBSTITUTE(SUBSTITUTE('Dashboard'!$B$7,"~","~~"),"*","~*"),"?","~?"))+COUNTIFS('Calculations'!$HR$13:$HR$512,"="&amp;SUBSTITUTE(SUBSTITUTE(SUBSTITUTE('Calculations'!HF221,"~","~~"),"*","~*"),"?","~?"),'Calculations'!$HN$13:$HN$512,"="&amp;SUBSTITUTE(SUBSTITUTE(SUBSTITUTE('Dashboard'!$B$7,"~","~~"),"*","~*"),"?","~?"))+COUNTIFS('Calculations'!$HS$13:$HS$512,"="&amp;SUBSTITUTE(SUBSTITUTE(SUBSTITUTE('Calculations'!HF221,"~","~~"),"*","~*"),"?","~?"),'Calculations'!$HN$13:$HN$512,"="&amp;SUBSTITUTE(SUBSTITUTE(SUBSTITUTE('Dashboard'!$B$7,"~","~~"),"*","~*"),"?","~?"))+COUNTIFS('Calculations'!$HT$13:$HT$512,"="&amp;SUBSTITUTE(SUBSTITUTE(SUBSTITUTE('Calculations'!HF221,"~","~~"),"*","~*"),"?","~?"),'Calculations'!$HN$13:$HN$512,"="&amp;SUBSTITUTE(SUBSTITUTE(SUBSTITUTE('Dashboard'!$B$7,"~","~~"),"*","~*"),"?","~?"))+COUNTIFS('Calculations'!$HU$13:$HU$512,"="&amp;SUBSTITUTE(SUBSTITUTE(SUBSTITUTE('Calculations'!HF221,"~","~~"),"*","~*"),"?","~?"),'Calculations'!$HN$13:$HN$512,"="&amp;SUBSTITUTE(SUBSTITUTE(SUBSTITUTE('Dashboard'!$B$7,"~","~~"),"*","~*"),"?","~?"))+COUNTIFS('Calculations'!$HV$13:$HV$512,"="&amp;SUBSTITUTE(SUBSTITUTE(SUBSTITUTE('Calculations'!HF221,"~","~~"),"*","~*"),"?","~?"),'Calculations'!$HN$13:$HN$512,"="&amp;SUBSTITUTE(SUBSTITUTE(SUBSTITUTE('Dashboard'!$B$7,"~","~~"),"*","~*"),"?","~?"))+COUNTIFS('Calculations'!$HW$13:$HW$512,"="&amp;SUBSTITUTE(SUBSTITUTE(SUBSTITUTE('Calculations'!HF221,"~","~~"),"*","~*"),"?","~?"),'Calculations'!$HN$13:$HN$512,"="&amp;SUBSTITUTE(SUBSTITUTE(SUBSTITUTE('Dashboard'!$B$7,"~","~~"),"*","~*"),"?","~?"))+COUNTIFS('Calculations'!$HX$13:$HX$512,"="&amp;SUBSTITUTE(SUBSTITUTE(SUBSTITUTE('Calculations'!HF221,"~","~~"),"*","~*"),"?","~?"),'Calculations'!$HN$13:$HN$512,"="&amp;SUBSTITUTE(SUBSTITUTE(SUBSTITUTE('Dashboard'!$B$7,"~","~~"),"*","~*"),"?","~?"))+COUNTIFS('Calculations'!$HY$13:$HY$512,"="&amp;SUBSTITUTE(SUBSTITUTE(SUBSTITUTE('Calculations'!HF221,"~","~~"),"*","~*"),"?","~?"),'Calculations'!$HN$13:$HN$512,"="&amp;SUBSTITUTE(SUBSTITUTE(SUBSTITUTE('Dashboard'!$B$7,"~","~~"),"*","~*"),"?","~?"))+COUNTIFS('Calculations'!$HZ$13:$HZ$512,"="&amp;SUBSTITUTE(SUBSTITUTE(SUBSTITUTE('Calculations'!HF221,"~","~~"),"*","~*"),"?","~?"),'Calculations'!$HN$13:$HN$512,"="&amp;SUBSTITUTE(SUBSTITUTE(SUBSTITUTE('Dashboard'!$B$7,"~","~~"),"*","~*"),"?","~?"))+COUNTIFS('Calculations'!$IA$13:$IA$512,"="&amp;SUBSTITUTE(SUBSTITUTE(SUBSTITUTE('Calculations'!HF221,"~","~~"),"*","~*"),"?","~?"),'Calculations'!$HN$13:$HN$512,"="&amp;SUBSTITUTE(SUBSTITUTE(SUBSTITUTE('Dashboard'!$B$7,"~","~~"),"*","~*"),"?","~?"))+COUNTIFS('Calculations'!$IB$13:$IB$512,"="&amp;SUBSTITUTE(SUBSTITUTE(SUBSTITUTE('Calculations'!HF221,"~","~~"),"*","~*"),"?","~?"),'Calculations'!$HN$13:$HN$512,"="&amp;SUBSTITUTE(SUBSTITUTE(SUBSTITUTE('Dashboard'!$B$7,"~","~~"),"*","~*"),"?","~?"))+COUNTIFS('Calculations'!$IC$13:$IC$512,"="&amp;SUBSTITUTE(SUBSTITUTE(SUBSTITUTE('Calculations'!HF221,"~","~~"),"*","~*"),"?","~?"),'Calculations'!$HN$13:$HN$512,"="&amp;SUBSTITUTE(SUBSTITUTE(SUBSTITUTE('Dashboard'!$B$7,"~","~~"),"*","~*"),"?","~?"))+COUNTIFS('Calculations'!$ID$13:$ID$512,"="&amp;SUBSTITUTE(SUBSTITUTE(SUBSTITUTE('Calculations'!HF221,"~","~~"),"*","~*"),"?","~?"),'Calculations'!$HN$13:$HN$512,"="&amp;SUBSTITUTE(SUBSTITUTE(SUBSTITUTE('Dashboard'!$B$7,"~","~~"),"*","~*"),"?","~?"))+COUNTIFS('Calculations'!$IE$13:$IE$512,"="&amp;SUBSTITUTE(SUBSTITUTE(SUBSTITUTE('Calculations'!HF221,"~","~~"),"*","~*"),"?","~?"),'Calculations'!$HN$13:$HN$512,"="&amp;SUBSTITUTE(SUBSTITUTE(SUBSTITUTE('Dashboard'!$B$7,"~","~~"),"*","~*"),"?","~?"))+COUNTIFS('Calculations'!$IF$13:$IF$512,"="&amp;SUBSTITUTE(SUBSTITUTE(SUBSTITUTE('Calculations'!HF221,"~","~~"),"*","~*"),"?","~?"),'Calculations'!$HN$13:$HN$512,"="&amp;SUBSTITUTE(SUBSTITUTE(SUBSTITUTE('Dashboard'!$B$7,"~","~~"),"*","~*"),"?","~?"))+COUNTIFS('Calculations'!$IG$13:$IG$512,"="&amp;SUBSTITUTE(SUBSTITUTE(SUBSTITUTE('Calculations'!HF221,"~","~~"),"*","~*"),"?","~?"),'Calculations'!$HN$13:$HN$512,"="&amp;SUBSTITUTE(SUBSTITUTE(SUBSTITUTE('Dashboard'!$B$7,"~","~~"),"*","~*"),"?","~?"))+COUNTIFS('Calculations'!$IH$13:$IH$512,"="&amp;SUBSTITUTE(SUBSTITUTE(SUBSTITUTE('Calculations'!HF221,"~","~~"),"*","~*"),"?","~?"),'Calculations'!$HN$13:$HN$512,"="&amp;SUBSTITUTE(SUBSTITUTE(SUBSTITUTE('Dashboard'!$B$7,"~","~~"),"*","~*"),"?","~?"))))</x:f>
        <x:v>0</x:v>
      </x:c>
      <x:c r="JD221" t="n">
        <x:f>IF('Calculations'!EM221="",0,IF('Dashboard'!$B$7="All",1,IF('Calculations'!HN221='Dashboard'!$B$7,1,0)+IFERROR(INDEX('Calculations'!$JC$13:$JC$512,MATCH('Calculations'!HE221,'Calculations'!$HF$13:$HF$512,0)),0)))</x:f>
        <x:v>0</x:v>
      </x:c>
      <x:c r="JE221" t="n">
        <x:f>IF(AND('Calculations'!EM221&lt;&gt;"",'Calculations'!$JJ$2&lt;&gt;"All",'Calculations'!$JJ$2&lt;&gt;"",'Calculations'!HF221='Calculations'!$JJ$2,'Calculations'!HL221=0,'Calculations'!JD221&gt;0),MAX('Calculations'!$JE$12:JE220)+1,0)</x:f>
        <x:v>0</x:v>
      </x:c>
      <x:c r="JF221" t="str">
        <x:f>IF('Calculations'!EM221="","",IFERROR(IF(INDEX(INDIRECT("'WCM Calibration Final'!$G$1:$G$2000"),'Calculations'!$EM221)="","",TRIM(INDEX(INDIRECT("'WCM Calibration Final'!$G$1:$G$2000"),'Calculations'!$EM221)&amp;"")),""))</x:f>
      </x:c>
      <x:c r="JQ221" t="n">
        <x:f>IF(OR('Calculations'!BM221=0,NOT('Calculations'!$AG$2),'Calculations'!$AG$8&gt;0),0,IF(OR('Dashboard'!$B$7="All",'Calculations'!HN221='Dashboard'!$B$7),IF('Calculations'!$JJ$2="All",1,IF(AND('Calculations'!HF221='Calculations'!$JJ$2,'Calculations'!HL221=0),1,0)),0))</x:f>
        <x:v>0</x:v>
      </x:c>
    </x:row>
    <x:row r="222">
      <x:c r="AF222" s="4" t="str">
        <x:f>IF('Calculations'!AH222=0,"","Director (n="&amp;'Calculations'!AH222&amp;")")</x:f>
      </x:c>
      <x:c r="AG222" s="4" t="n">
        <x:f>COUNTIFS('Calculations'!$BN$13:$BN$512,1,'Calculations'!$BV$13:$BV$512,'Calculations'!AT222)</x:f>
        <x:v>0</x:v>
      </x:c>
      <x:c r="AH222" s="4" t="n">
        <x:f>SUM('Calculations'!AJ222:AM222)</x:f>
        <x:v>0</x:v>
      </x:c>
      <x:c r="AI222" s="4" t="n">
        <x:f>'Calculations'!AG222-'Calculations'!AH222</x:f>
        <x:v>0</x:v>
      </x:c>
      <x:c r="AJ222" s="4" t="n">
        <x:f>COUNTIFS('Calculations'!$BN$13:$BN$512,1,'Calculations'!$BV$13:$BV$512,'Calculations'!AT222,'Calculations'!$BO$13:$BO$512,1)</x:f>
        <x:v>0</x:v>
      </x:c>
      <x:c r="AK222" s="4" t="n">
        <x:f>COUNTIFS('Calculations'!$BN$13:$BN$512,1,'Calculations'!$BV$13:$BV$512,'Calculations'!AT222,'Calculations'!$BO$13:$BO$512,2)</x:f>
        <x:v>0</x:v>
      </x:c>
      <x:c r="AL222" s="4" t="n">
        <x:f>COUNTIFS('Calculations'!$BN$13:$BN$512,1,'Calculations'!$BV$13:$BV$512,'Calculations'!AT222,'Calculations'!$BO$13:$BO$512,3)</x:f>
        <x:v>0</x:v>
      </x:c>
      <x:c r="AM222" s="4" t="n">
        <x:f>COUNTIFS('Calculations'!$BN$13:$BN$512,1,'Calculations'!$BV$13:$BV$512,'Calculations'!AT222,'Calculations'!$BO$13:$BO$512,4)</x:f>
        <x:v>0</x:v>
      </x:c>
      <x:c r="AN222" s="4"/>
      <x:c r="AO222" s="4" t="n">
        <x:f>IF('Calculations'!AH222=0,0,'Calculations'!AJ222/'Calculations'!AH222)</x:f>
        <x:v>0</x:v>
      </x:c>
      <x:c r="AP222" s="4" t="n">
        <x:f>IF('Calculations'!AH222=0,0,'Calculations'!AK222/'Calculations'!AH222)</x:f>
        <x:v>0</x:v>
      </x:c>
      <x:c r="AQ222" s="4" t="n">
        <x:f>IF('Calculations'!AH222=0,0,'Calculations'!AL222/'Calculations'!AH222)</x:f>
        <x:v>0</x:v>
      </x:c>
      <x:c r="AR222" s="4" t="n">
        <x:f>IF('Calculations'!AH222=0,0,'Calculations'!AM222/'Calculations'!AH222)</x:f>
        <x:v>0</x:v>
      </x:c>
      <x:c r="AS222" s="4"/>
      <x:c r="AT222" s="4" t="str">
        <x:v>DIRECTOR</x:v>
      </x:c>
      <x:c r="AU222" s="4"/>
      <x:c r="AV222" s="4"/>
      <x:c r="AW222" s="4"/>
      <x:c r="AX222" s="4"/>
      <x:c r="AY222" s="4"/>
      <x:c r="AZ222" s="4"/>
      <x:c r="BA222" s="4"/>
      <x:c r="BB222" s="4"/>
      <x:c r="BC222" s="4"/>
      <x:c r="BD222" s="4"/>
      <x:c r="BE222" s="4"/>
      <x:c r="BF222" s="4"/>
      <x:c r="BG222" s="4"/>
      <x:c r="BH222" s="4"/>
      <x:c r="BI222" s="4"/>
      <x:c r="BJ222" s="4"/>
      <x:c r="BK222" s="4"/>
      <x:c r="BL222" s="4"/>
      <x:c r="BM222" s="4" t="n">
        <x:f>IF('Calculations'!$EM222="",0,IF(OR(IFERROR(INDEX(INDIRECT("'WCM Calibration Final'!$A$1:$A$2000"),'Calculations'!$EM222)&lt;&gt;"",FALSE),IFERROR(INDEX(INDIRECT("'WCM Calibration Final'!$B$1:$B$2000"),'Calculations'!$EM222)&lt;&gt;"",FALSE),IFERROR(INDEX(INDIRECT("'WCM Calibration Final'!$C$1:$C$2000"),'Calculations'!$EM222)&lt;&gt;"",FALSE)),1,0))</x:f>
        <x:v>0</x:v>
      </x:c>
      <x:c r="BN222" s="4" t="n">
        <x:f>IF(AND('Calculations'!BM222=1,'Calculations'!$AG$2,'Calculations'!$EN222=1),1,0)</x:f>
        <x:v>0</x:v>
      </x:c>
      <x:c r="BO222" s="4" t="str">
        <x:f>IF('Calculations'!BM222=0,"",IFERROR(IF(AND(VALUE(INDEX(INDIRECT("'WCM Calibration Final'!$K$1:$K$2000"),'Calculations'!$EM222))&gt;=1,VALUE(INDEX(INDIRECT("'WCM Calibration Final'!$K$1:$K$2000"),'Calculations'!$EM222))&lt;=4,MOD(VALUE(INDEX(INDIRECT("'WCM Calibration Final'!$K$1:$K$2000"),'Calculations'!$EM222)),1)=0),VALUE(INDEX(INDIRECT("'WCM Calibration Final'!$K$1:$K$2000"),'Calculations'!$EM222)),""),""))</x:f>
      </x:c>
      <x:c r="BP222" s="4" t="str">
        <x:f>IF('Calculations'!BM222=0,"",IFERROR(IF(AND(VALUE(INDEX(INDIRECT("'WCM Calibration Final'!$L$1:$L$2000"),'Calculations'!$EM222))&gt;=1,VALUE(INDEX(INDIRECT("'WCM Calibration Final'!$L$1:$L$2000"),'Calculations'!$EM222))&lt;=4,MOD(VALUE(INDEX(INDIRECT("'WCM Calibration Final'!$L$1:$L$2000"),'Calculations'!$EM222)),1)=0),VALUE(INDEX(INDIRECT("'WCM Calibration Final'!$L$1:$L$2000"),'Calculations'!$EM222)),""),""))</x:f>
      </x:c>
      <x:c r="BQ222" s="4"/>
      <x:c r="BR222" s="4"/>
      <x:c r="BS222" s="4"/>
      <x:c r="BT222" s="4" t="n">
        <x:f>IF(AND('Calculations'!BM222=1,ISNUMBER('Calculations'!BO222),ISNUMBER('Calculations'!BP222)),1,0)</x:f>
        <x:v>0</x:v>
      </x:c>
      <x:c r="BU222" s="4" t="str">
        <x:f>IF('Calculations'!BM222=0,"",'Calculations'!$EO222)</x:f>
      </x:c>
      <x:c r="BV222" s="4" t="str">
        <x:f>IF('Calculations'!BM222=0,"",IFERROR(IF(OR(INDEX(INDIRECT("'WCM Calibration Final'!$H$1:$H$2000"),'Calculations'!$EM222)="MANAGING DIRECTOR",INDEX(INDIRECT("'WCM Calibration Final'!$H$1:$H$2000"),'Calculations'!$EM222)="DIRECTOR",INDEX(INDIRECT("'WCM Calibration Final'!$H$1:$H$2000"),'Calculations'!$EM222)="SENIOR VICE PRESIDENT",INDEX(INDIRECT("'WCM Calibration Final'!$H$1:$H$2000"),'Calculations'!$EM222)="VICE PRESIDENT",INDEX(INDIRECT("'WCM Calibration Final'!$H$1:$H$2000"),'Calculations'!$EM222)="ASSISTANT VICE PRESIDENT",INDEX(INDIRECT("'WCM Calibration Final'!$H$1:$H$2000"),'Calculations'!$EM222)="OFFICER"),UPPER(INDEX(INDIRECT("'WCM Calibration Final'!$H$1:$H$2000"),'Calculations'!$EM222)),"Other"),"Other"))</x:f>
      </x:c>
      <x:c r="BW222" s="4"/>
      <x:c r="BX222" s="4"/>
      <x:c r="BY222" s="4" t="n">
        <x:f>IF(AND('Calculations'!BM222=1,'Calculations'!BU222&lt;&gt;"",COUNTIF('Calculations'!$BU$12:BU222,'Calculations'!BU222)=1),MAX('Calculations'!$BY$11:BY221)+1,0)</x:f>
        <x:v>0</x:v>
      </x:c>
      <x:c r="BZ222" s="4" t="str">
        <x:f>IF('Dashboard'!$E$67="What",'Calculations'!BO222,'Calculations'!BP222)</x:f>
      </x:c>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t="str">
        <x:f>IF(211&gt;MAX('Calculations'!$HI$13:$HI$512),"",INDEX('Calculations'!$HN$13:$HN$512,MATCH(211,'Calculations'!$HI$13:$HI$512,0)))</x:f>
      </x:c>
      <x:c r="DB222" s="4" t="str">
        <x:f>IF(211&gt;MAX('Calculations'!$HH$13:$HH$512),"",INDEX('Calculations'!$HJ$13:$HJ$512,MATCH(211,'Calculations'!$HH$13:$HH$512,0)))</x:f>
      </x:c>
      <x:c r="DC222" s="4" t="str">
        <x:f>IF(ROW()-11&gt;MAX('Calculations'!$BY$13:$BY$512),"",INDEX('Calculations'!$BU$13:$BU$512,MATCH(ROW()-11,'Calculations'!$BY$13:$BY$512,0)))</x:f>
      </x:c>
      <x:c r="DD222" s="4" t="str">
        <x:f>IF(211&gt;MAX('Calculations'!$IK$13:$IK$512),"",INDEX('Calculations'!$HK$13:$HK$512,MATCH(211,'Calculations'!$IK$13:$IK$512,0)))</x:f>
      </x:c>
      <x:c r="DE222" s="4" t="str">
        <x:f>'Calculations'!DC222</x:f>
      </x:c>
      <x:c r="DF222" s="4" t="str">
        <x:f>IF('Calculations'!DE222="","",COUNTIFS('Calculations'!$BN$13:$BN$512,1,'Calculations'!$BU$13:$BU$512,'Calculations'!DE222))</x:f>
      </x:c>
      <x:c r="DG222" s="4" t="str">
        <x:f>IF('Calculations'!DE222="","",COUNTIFS('Calculations'!$BN$13:$BN$512,1,'Calculations'!$BU$13:$BU$512,'Calculations'!DE222,'Calculations'!$BT$13:$BT$512,1))</x:f>
      </x:c>
      <x:c r="DH222" s="4" t="str">
        <x:f>IF('Calculations'!DE222="","",'Calculations'!DF222-'Calculations'!DG222)</x:f>
      </x:c>
      <x:c r="DI222" s="4" t="str">
        <x:f>IF(OR('Calculations'!DE222="",'Calculations'!DF222=0),"",'Calculations'!DG222/'Calculations'!DF222)</x:f>
      </x:c>
      <x:c r="DJ222" s="4" t="str">
        <x:f>IF('Calculations'!DE222="","",COUNTIFS('Calculations'!$BN$13:$BN$512,1,'Calculations'!$BU$13:$BU$512,'Calculations'!DE222,'Calculations'!$BT$13:$BT$512,1,'Calculations'!$EE$13:$EE$512,"High"))</x:f>
      </x:c>
      <x:c r="DK222" s="4" t="str">
        <x:f>IF('Calculations'!DE222="","",COUNTIFS('Calculations'!$BN$13:$BN$512,1,'Calculations'!$BU$13:$BU$512,'Calculations'!DE222,'Calculations'!$BT$13:$BT$512,1,'Calculations'!$EE$13:$EE$512,"Strong"))</x:f>
      </x:c>
      <x:c r="DL222" s="4" t="str">
        <x:f>IF('Calculations'!DE222="","",COUNTIFS('Calculations'!$BN$13:$BN$512,1,'Calculations'!$BU$13:$BU$512,'Calculations'!DE222,'Calculations'!$BT$13:$BT$512,1,'Calculations'!$EE$13:$EE$512,"Solid"))</x:f>
      </x:c>
      <x:c r="DM222" s="4" t="str">
        <x:f>IF('Calculations'!DE222="","",COUNTIFS('Calculations'!$BN$13:$BN$512,1,'Calculations'!$BU$13:$BU$512,'Calculations'!DE222,'Calculations'!$BT$13:$BT$512,1,'Calculations'!$EE$13:$EE$512,"Low"))</x:f>
      </x:c>
      <x:c r="DN222" s="4" t="str">
        <x:f>IF('Calculations'!DE222="","",COUNTIFS('Calculations'!$BN$13:$BN$512,1,'Calculations'!$BU$13:$BU$512,'Calculations'!DE222,'Calculations'!$EP$13:$EP$512,1))</x:f>
      </x:c>
      <x:c r="DO222" s="4" t="str">
        <x:f>IF(OR('Calculations'!DE222="",'Calculations'!DG222=0),"",('Calculations'!DJ222+'Calculations'!DK222)/'Calculations'!DG222)</x:f>
      </x:c>
      <x:c r="DP222" s="4" t="n">
        <x:f>IF(AND('Calculations'!DE222&lt;&gt;"",'Calculations'!DF222&gt;0),COUNTIF('Calculations'!$DF$12:DF222,"&gt;0"),0)</x:f>
        <x:v>0</x:v>
      </x:c>
      <x:c r="DQ222" s="4" t="str">
        <x:f>IF(211&gt;MAX('Calculations'!$HH$13:$HH$512),"",INDEX('Calculations'!$HF$13:$HF$512,MATCH(211,'Calculations'!$HH$13:$HH$512,0)))</x:f>
      </x:c>
      <x:c r="DR222" s="4" t="str">
        <x:f>IF(211&gt;MAX('Calculations'!$IK$13:$IK$512),"",INDEX('Calculations'!$HE$13:$HE$512,MATCH(211,'Calculations'!$IK$13:$IK$512,0)))</x:f>
      </x:c>
      <x:c r="DS222" s="4"/>
      <x:c r="DT222" s="4"/>
      <x:c r="DU222" s="4"/>
      <x:c r="DV222" s="4"/>
      <x:c r="DW222" s="4"/>
      <x:c r="DX222" s="4"/>
      <x:c r="DY222" s="4"/>
      <x:c r="DZ222" s="4"/>
      <x:c r="EA222" s="4"/>
      <x:c r="EB222" s="4"/>
      <x:c r="EC222" s="4"/>
      <x:c r="ED222" s="4"/>
      <x:c r="EE222" s="4" t="str">
        <x:f>IF('Calculations'!BT222=0,"Not Rated",IF(OR('Calculations'!BO222&gt;=4,'Calculations'!BP222&gt;=4),"Low",IF('Calculations'!BO222+'Calculations'!BP222&lt;=3,"High",IF('Calculations'!BO222+'Calculations'!BP222&lt;=4,"Strong","Solid"))))</x:f>
        <x:v>Not Rated</x:v>
      </x:c>
      <x:c r="EF222" s="4"/>
      <x:c r="EG222" s="4"/>
      <x:c r="EH222" s="4"/>
      <x:c r="EI222" s="4"/>
      <x:c r="EJ222" s="4"/>
      <x:c r="EK222" s="4"/>
      <x:c r="EL222" s="4"/>
      <x:c r="EM222" s="4" t="str">
        <x:f>IF(210&gt;'Calculations'!$JB$2000,"",INDEX('Calculations'!$JA$12:$JA$2000,MATCH(210,'Calculations'!$JB$12:$JB$2000,0)))</x:f>
      </x:c>
      <x:c r="EN222" s="4" t="n">
        <x:f>IF(OR('Calculations'!EM222="",'Calculations'!$AG$8&gt;0,AND('Calculations'!$EF$2&lt;&gt;"All",'Calculations'!HE222='Calculations'!$EF$2),AND('Calculations'!$EF$3&lt;&gt;"All",'Calculations'!HE222='Calculations'!$EF$3)),0,IF(OR('Dashboard'!$B$7="All",'Calculations'!HN222='Dashboard'!$B$7),IF('Calculations'!$EF$2="All",1,IF('Calculations'!HL222&gt;0,0,IF(COUNTIF('Calculations'!HO222:II222,"="&amp;SUBSTITUTE(SUBSTITUTE(SUBSTITUTE('Calculations'!$EF$2,"~","~~"),"*","~*"),"?","~?"))=0,0,IF('Calculations'!$EF$3="All",1,IF(COUNTIF('Calculations'!HO222:II222,"="&amp;SUBSTITUTE(SUBSTITUTE(SUBSTITUTE('Calculations'!$EF$3,"~","~~"),"*","~*"),"?","~?"))&gt;0,1,0))))),0))</x:f>
        <x:v>0</x:v>
      </x:c>
      <x:c r="EO222" s="4" t="str">
        <x:f>IF('Calculations'!IJ222="","",IF('Calculations'!IJ222="!UNRESOLVED","Unresolved hierarchy",IFERROR(INDEX('Calculations'!$HK$13:$HK$512,MATCH('Calculations'!IJ222,'Calculations'!$HE$13:$HE$512,0)),IFERROR(INDEX('Calculations'!$HJ$13:$HJ$512,MATCH('Calculations'!IJ222,'Calculations'!$HF$13:$HF$512,0)),'Calculations'!IJ222))))</x:f>
      </x:c>
      <x:c r="EP222" s="4" t="n">
        <x:f>IF(AND('Calculations'!EM222&lt;&gt;"",'Calculations'!HF222='Calculations'!IJ222),1,0)</x:f>
        <x:v>0</x:v>
      </x:c>
      <x:c r="EQ222" s="4"/>
      <x:c r="ER222" s="4"/>
      <x:c r="ES222" s="4"/>
      <x:c r="ET222" s="4"/>
      <x:c r="EU222" s="4"/>
      <x:c r="EV222" s="4"/>
      <x:c r="EW222" s="4"/>
      <x:c r="EX222" s="4"/>
      <x:c r="EY222" s="4"/>
      <x:c r="EZ222" s="4"/>
      <x:c r="FA222" s="4"/>
      <x:c r="FB222" s="4"/>
      <x:c r="FC222" s="4"/>
      <x:c r="FD222" s="4"/>
      <x:c r="FE222" s="4"/>
      <x:c r="FF222" s="4"/>
      <x:c r="FG222" s="4"/>
      <x:c r="FH222" s="4"/>
      <x:c r="FI222" s="4"/>
      <x:c r="FJ222" s="4"/>
      <x:c r="FK222" s="4"/>
      <x:c r="FL222" s="4"/>
      <x:c r="FM222" s="4"/>
      <x:c r="FN222" s="4"/>
      <x:c r="FO222" s="4"/>
      <x:c r="HE222" t="str">
        <x:f>IF('Calculations'!EM222="","",IF(IFERROR(IF(INDEX(INDIRECT("'WCM Calibration Final'!$A$1:$A$2000"),'Calculations'!$EM222)="","",TRIM(INDEX(INDIRECT("'WCM Calibration Final'!$A$1:$A$2000"),'Calculations'!$EM222)&amp;"")),"")&lt;&gt;"","G:"&amp;IFERROR(TEXT(1*INDEX(INDIRECT("'WCM Calibration Final'!$A$1:$A$2000"),'Calculations'!$EM222),"0"),UPPER(IFERROR(IF(INDEX(INDIRECT("'WCM Calibration Final'!$A$1:$A$2000"),'Calculations'!$EM222)="","",TRIM(INDEX(INDIRECT("'WCM Calibration Final'!$A$1:$A$2000"),'Calculations'!$EM222)&amp;"")),""))),IF(IFERROR(IF(INDEX(INDIRECT("'WCM Calibration Final'!$C$1:$C$2000"),'Calculations'!$EM222)="","",TRIM(INDEX(INDIRECT("'WCM Calibration Final'!$C$1:$C$2000"),'Calculations'!$EM222)&amp;"")),"")&lt;&gt;"","S:"&amp;UPPER(IFERROR(IF(INDEX(INDIRECT("'WCM Calibration Final'!$C$1:$C$2000"),'Calculations'!$EM222)="","",TRIM(INDEX(INDIRECT("'WCM Calibration Final'!$C$1:$C$2000"),'Calculations'!$EM222)&amp;"")),"")),"R:"&amp;'Calculations'!EM222)))</x:f>
      </x:c>
      <x:c r="HF222" t="str">
        <x:f>IF('Calculations'!EM222="","",IF(IFERROR(IF(INDEX(INDIRECT("'WCM Calibration Final'!$D$1:$D$2000"),'Calculations'!$EM222)="","",TRIM(INDEX(INDIRECT("'WCM Calibration Final'!$D$1:$D$2000"),'Calculations'!$EM222)&amp;"")),"")&lt;&gt;"","G:"&amp;IFERROR(TEXT(1*INDEX(INDIRECT("'WCM Calibration Final'!$D$1:$D$2000"),'Calculations'!$EM222),"0"),UPPER(IFERROR(IF(INDEX(INDIRECT("'WCM Calibration Final'!$D$1:$D$2000"),'Calculations'!$EM222)="","",TRIM(INDEX(INDIRECT("'WCM Calibration Final'!$D$1:$D$2000"),'Calculations'!$EM222)&amp;"")),""))),IF(IFERROR(IF(INDEX(INDIRECT("'WCM Calibration Final'!$E$1:$E$2000"),'Calculations'!$EM222)="","",TRIM(INDEX(INDIRECT("'WCM Calibration Final'!$E$1:$E$2000"),'Calculations'!$EM222)&amp;"")),"")="","",IF(COUNTIF('Calculations'!$HG$13:$HG$512,"="&amp;SUBSTITUTE(SUBSTITUTE(SUBSTITUTE(IFERROR(IF(INDEX(INDIRECT("'WCM Calibration Final'!$E$1:$E$2000"),'Calculations'!$EM222)="","",TRIM(INDEX(INDIRECT("'WCM Calibration Final'!$E$1:$E$2000"),'Calculations'!$EM222)&amp;"")),""),"~","~~"),"*","~*"),"?","~?"))=1,INDEX('Calculations'!$HE$13:$HE$512,MATCH(IFERROR(IF(INDEX(INDIRECT("'WCM Calibration Final'!$E$1:$E$2000"),'Calculations'!$EM222)="","",TRIM(INDEX(INDIRECT("'WCM Calibration Final'!$E$1:$E$2000"),'Calculations'!$EM222)&amp;"")),""),'Calculations'!$HG$13:$HG$512,0)),IF(COUNTIF('Calculations'!$HG$13:$HG$512,"="&amp;SUBSTITUTE(SUBSTITUTE(SUBSTITUTE(IFERROR(IF(INDEX(INDIRECT("'WCM Calibration Final'!$E$1:$E$2000"),'Calculations'!$EM222)="","",TRIM(INDEX(INDIRECT("'WCM Calibration Final'!$E$1:$E$2000"),'Calculations'!$EM222)&amp;"")),""),"~","~~"),"*","~*"),"?","~?"))&gt;1,"!AMBIG","X:"&amp;IFERROR(IF(INDEX(INDIRECT("'WCM Calibration Final'!$E$1:$E$2000"),'Calculations'!$EM222)="","",TRIM(INDEX(INDIRECT("'WCM Calibration Final'!$E$1:$E$2000"),'Calculations'!$EM222)&amp;"")),""))))))</x:f>
      </x:c>
      <x:c r="HG222" t="str">
        <x:f>IF('Calculations'!EM222="","",IFERROR(IF(INDEX(INDIRECT("'WCM Calibration Final'!$B$1:$B$2000"),'Calculations'!$EM222)="","",TRIM(INDEX(INDIRECT("'WCM Calibration Final'!$B$1:$B$2000"),'Calculations'!$EM222)&amp;"")),""))</x:f>
      </x:c>
      <x:c r="HH222" t="n">
        <x:f>IF(AND('Calculations'!JC222&gt;0,COUNTIF('Calculations'!$HF$12:HF222,"="&amp;SUBSTITUTE(SUBSTITUTE(SUBSTITUTE('Calculations'!HF222,"~","~~"),"*","~*"),"?","~?"))=1),MAX('Calculations'!$HH$12:HH221)+1,0)</x:f>
        <x:v>0</x:v>
      </x:c>
      <x:c r="HI222" t="n">
        <x:f>IF(AND('Calculations'!HN222&lt;&gt;"",COUNTIF('Calculations'!$HN$12:HN222,"="&amp;SUBSTITUTE(SUBSTITUTE(SUBSTITUTE('Calculations'!HN222,"~","~~"),"*","~*"),"?","~?"))=1),MAX('Calculations'!$HI$12:HI221)+1,0)</x:f>
        <x:v>0</x:v>
      </x:c>
      <x:c r="HJ222" t="str">
        <x:f>IF('Calculations'!HF222="","",IF(COUNTIF('Calculations'!$HE$13:$HE$512,"="&amp;SUBSTITUTE(SUBSTITUTE(SUBSTITUTE('Calculations'!HF222,"~","~~"),"*","~*"),"?","~?"))=1,INDEX('Calculations'!$HK$13:$HK$512,MATCH('Calculations'!HF222,'Calculations'!$HE$13:$HE$512,0)),IFERROR(IF(INDEX(INDIRECT("'WCM Calibration Final'!$E$1:$E$2000"),'Calculations'!$EM222)="","",TRIM(INDEX(INDIRECT("'WCM Calibration Final'!$E$1:$E$2000"),'Calculations'!$EM222)&amp;"")),"")&amp;" ["&amp;'Calculations'!HF222&amp;"]"))</x:f>
      </x:c>
      <x:c r="HK222" t="str">
        <x:f>IF('Calculations'!EM222="","",'Calculations'!HG222&amp;" ["&amp;'Calculations'!HE222&amp;"]")</x:f>
      </x:c>
      <x:c r="HL222" t="n">
        <x:f>IF('Calculations'!EM222="",0,IF(OR('Calculations'!II222&lt;&gt;"",COUNTIF('Calculations'!$HE$13:$HE$512,"="&amp;SUBSTITUTE(SUBSTITUTE(SUBSTITUTE('Calculations'!HE222,"~","~~"),"*","~*"),"?","~?"))&gt;1),1,0))</x:f>
        <x:v>0</x:v>
      </x:c>
      <x:c r="HM222" t="str">
        <x:f>IF('Calculations'!EM222="","",IF('Calculations'!HL222=1,"!UNRESOLVED",IF('Calculations'!IH222&lt;&gt;"",'Calculations'!IH222,IF('Calculations'!IG222&lt;&gt;"",'Calculations'!IG222,IF('Calculations'!IF222&lt;&gt;"",'Calculations'!IF222,IF('Calculations'!IE222&lt;&gt;"",'Calculations'!IE222,IF('Calculations'!ID222&lt;&gt;"",'Calculations'!ID222,IF('Calculations'!IC222&lt;&gt;"",'Calculations'!IC222,IF('Calculations'!IB222&lt;&gt;"",'Calculations'!IB222,IF('Calculations'!IA222&lt;&gt;"",'Calculations'!IA222,IF('Calculations'!HZ222&lt;&gt;"",'Calculations'!HZ222,IF('Calculations'!HY222&lt;&gt;"",'Calculations'!HY222,IF('Calculations'!HX222&lt;&gt;"",'Calculations'!HX222,IF('Calculations'!HW222&lt;&gt;"",'Calculations'!HW222,IF('Calculations'!HV222&lt;&gt;"",'Calculations'!HV222,IF('Calculations'!HU222&lt;&gt;"",'Calculations'!HU222,IF('Calculations'!HT222&lt;&gt;"",'Calculations'!HT222,IF('Calculations'!HS222&lt;&gt;"",'Calculations'!HS222,IF('Calculations'!HR222&lt;&gt;"",'Calculations'!HR222,IF('Calculations'!HQ222&lt;&gt;"",'Calculations'!HQ222,IF('Calculations'!HP222&lt;&gt;"",'Calculations'!HP222,IF('Calculations'!HO222&lt;&gt;"",'Calculations'!HO222,'Calculations'!HE222))))))))))))))))))))))</x:f>
      </x:c>
      <x:c r="HN222" t="str">
        <x:f>IF('Calculations'!EM222="","",IF(IFERROR(IF(INDEX(INDIRECT("'WCM Calibration Final'!$F$1:$F$2000"),'Calculations'!$EM222)="","",TRIM(INDEX(INDIRECT("'WCM Calibration Final'!$F$1:$F$2000"),'Calculations'!$EM222)&amp;"")),"")="","(Blank)",IFERROR(IF(INDEX(INDIRECT("'WCM Calibration Final'!$F$1:$F$2000"),'Calculations'!$EM222)="","",TRIM(INDEX(INDIRECT("'WCM Calibration Final'!$F$1:$F$2000"),'Calculations'!$EM222)&amp;"")),"")))</x:f>
      </x:c>
      <x:c r="HO222" t="str">
        <x:f>'Calculations'!HF222</x:f>
      </x:c>
      <x:c r="HP222" t="str">
        <x:f>IF('Calculations'!HO222="","",IF('Calculations'!HO222="!AMBIG","!AMBIG",IF(COUNTIF('Calculations'!$HE$13:$HE$512,"="&amp;SUBSTITUTE(SUBSTITUTE(SUBSTITUTE('Calculations'!HO222,"~","~~"),"*","~*"),"?","~?"))&gt;1,"!AMBIG",IFERROR(INDEX('Calculations'!$HF$13:$HF$512,MATCH('Calculations'!HO222,'Calculations'!$HE$13:$HE$512,0)),""))))</x:f>
      </x:c>
      <x:c r="HQ222" t="str">
        <x:f>IF('Calculations'!HP222="","",IF('Calculations'!HP222="!AMBIG","!AMBIG",IF(COUNTIF('Calculations'!$HE$13:$HE$512,"="&amp;SUBSTITUTE(SUBSTITUTE(SUBSTITUTE('Calculations'!HP222,"~","~~"),"*","~*"),"?","~?"))&gt;1,"!AMBIG",IFERROR(INDEX('Calculations'!$HF$13:$HF$512,MATCH('Calculations'!HP222,'Calculations'!$HE$13:$HE$512,0)),""))))</x:f>
      </x:c>
      <x:c r="HR222" t="str">
        <x:f>IF('Calculations'!HQ222="","",IF('Calculations'!HQ222="!AMBIG","!AMBIG",IF(COUNTIF('Calculations'!$HE$13:$HE$512,"="&amp;SUBSTITUTE(SUBSTITUTE(SUBSTITUTE('Calculations'!HQ222,"~","~~"),"*","~*"),"?","~?"))&gt;1,"!AMBIG",IFERROR(INDEX('Calculations'!$HF$13:$HF$512,MATCH('Calculations'!HQ222,'Calculations'!$HE$13:$HE$512,0)),""))))</x:f>
      </x:c>
      <x:c r="HS222" t="str">
        <x:f>IF('Calculations'!HR222="","",IF('Calculations'!HR222="!AMBIG","!AMBIG",IF(COUNTIF('Calculations'!$HE$13:$HE$512,"="&amp;SUBSTITUTE(SUBSTITUTE(SUBSTITUTE('Calculations'!HR222,"~","~~"),"*","~*"),"?","~?"))&gt;1,"!AMBIG",IFERROR(INDEX('Calculations'!$HF$13:$HF$512,MATCH('Calculations'!HR222,'Calculations'!$HE$13:$HE$512,0)),""))))</x:f>
      </x:c>
      <x:c r="HT222" t="str">
        <x:f>IF('Calculations'!HS222="","",IF('Calculations'!HS222="!AMBIG","!AMBIG",IF(COUNTIF('Calculations'!$HE$13:$HE$512,"="&amp;SUBSTITUTE(SUBSTITUTE(SUBSTITUTE('Calculations'!HS222,"~","~~"),"*","~*"),"?","~?"))&gt;1,"!AMBIG",IFERROR(INDEX('Calculations'!$HF$13:$HF$512,MATCH('Calculations'!HS222,'Calculations'!$HE$13:$HE$512,0)),""))))</x:f>
      </x:c>
      <x:c r="HU222" t="str">
        <x:f>IF('Calculations'!HT222="","",IF('Calculations'!HT222="!AMBIG","!AMBIG",IF(COUNTIF('Calculations'!$HE$13:$HE$512,"="&amp;SUBSTITUTE(SUBSTITUTE(SUBSTITUTE('Calculations'!HT222,"~","~~"),"*","~*"),"?","~?"))&gt;1,"!AMBIG",IFERROR(INDEX('Calculations'!$HF$13:$HF$512,MATCH('Calculations'!HT222,'Calculations'!$HE$13:$HE$512,0)),""))))</x:f>
      </x:c>
      <x:c r="HV222" t="str">
        <x:f>IF('Calculations'!HU222="","",IF('Calculations'!HU222="!AMBIG","!AMBIG",IF(COUNTIF('Calculations'!$HE$13:$HE$512,"="&amp;SUBSTITUTE(SUBSTITUTE(SUBSTITUTE('Calculations'!HU222,"~","~~"),"*","~*"),"?","~?"))&gt;1,"!AMBIG",IFERROR(INDEX('Calculations'!$HF$13:$HF$512,MATCH('Calculations'!HU222,'Calculations'!$HE$13:$HE$512,0)),""))))</x:f>
      </x:c>
      <x:c r="HW222" t="str">
        <x:f>IF('Calculations'!HV222="","",IF('Calculations'!HV222="!AMBIG","!AMBIG",IF(COUNTIF('Calculations'!$HE$13:$HE$512,"="&amp;SUBSTITUTE(SUBSTITUTE(SUBSTITUTE('Calculations'!HV222,"~","~~"),"*","~*"),"?","~?"))&gt;1,"!AMBIG",IFERROR(INDEX('Calculations'!$HF$13:$HF$512,MATCH('Calculations'!HV222,'Calculations'!$HE$13:$HE$512,0)),""))))</x:f>
      </x:c>
      <x:c r="HX222" t="str">
        <x:f>IF('Calculations'!HW222="","",IF('Calculations'!HW222="!AMBIG","!AMBIG",IF(COUNTIF('Calculations'!$HE$13:$HE$512,"="&amp;SUBSTITUTE(SUBSTITUTE(SUBSTITUTE('Calculations'!HW222,"~","~~"),"*","~*"),"?","~?"))&gt;1,"!AMBIG",IFERROR(INDEX('Calculations'!$HF$13:$HF$512,MATCH('Calculations'!HW222,'Calculations'!$HE$13:$HE$512,0)),""))))</x:f>
      </x:c>
      <x:c r="HY222" t="str">
        <x:f>IF('Calculations'!HX222="","",IF('Calculations'!HX222="!AMBIG","!AMBIG",IF(COUNTIF('Calculations'!$HE$13:$HE$512,"="&amp;SUBSTITUTE(SUBSTITUTE(SUBSTITUTE('Calculations'!HX222,"~","~~"),"*","~*"),"?","~?"))&gt;1,"!AMBIG",IFERROR(INDEX('Calculations'!$HF$13:$HF$512,MATCH('Calculations'!HX222,'Calculations'!$HE$13:$HE$512,0)),""))))</x:f>
      </x:c>
      <x:c r="HZ222" t="str">
        <x:f>IF('Calculations'!HY222="","",IF('Calculations'!HY222="!AMBIG","!AMBIG",IF(COUNTIF('Calculations'!$HE$13:$HE$512,"="&amp;SUBSTITUTE(SUBSTITUTE(SUBSTITUTE('Calculations'!HY222,"~","~~"),"*","~*"),"?","~?"))&gt;1,"!AMBIG",IFERROR(INDEX('Calculations'!$HF$13:$HF$512,MATCH('Calculations'!HY222,'Calculations'!$HE$13:$HE$512,0)),""))))</x:f>
      </x:c>
      <x:c r="IA222" t="str">
        <x:f>IF('Calculations'!HZ222="","",IF('Calculations'!HZ222="!AMBIG","!AMBIG",IF(COUNTIF('Calculations'!$HE$13:$HE$512,"="&amp;SUBSTITUTE(SUBSTITUTE(SUBSTITUTE('Calculations'!HZ222,"~","~~"),"*","~*"),"?","~?"))&gt;1,"!AMBIG",IFERROR(INDEX('Calculations'!$HF$13:$HF$512,MATCH('Calculations'!HZ222,'Calculations'!$HE$13:$HE$512,0)),""))))</x:f>
      </x:c>
      <x:c r="IB222" t="str">
        <x:f>IF('Calculations'!IA222="","",IF('Calculations'!IA222="!AMBIG","!AMBIG",IF(COUNTIF('Calculations'!$HE$13:$HE$512,"="&amp;SUBSTITUTE(SUBSTITUTE(SUBSTITUTE('Calculations'!IA222,"~","~~"),"*","~*"),"?","~?"))&gt;1,"!AMBIG",IFERROR(INDEX('Calculations'!$HF$13:$HF$512,MATCH('Calculations'!IA222,'Calculations'!$HE$13:$HE$512,0)),""))))</x:f>
      </x:c>
      <x:c r="IC222" t="str">
        <x:f>IF('Calculations'!IB222="","",IF('Calculations'!IB222="!AMBIG","!AMBIG",IF(COUNTIF('Calculations'!$HE$13:$HE$512,"="&amp;SUBSTITUTE(SUBSTITUTE(SUBSTITUTE('Calculations'!IB222,"~","~~"),"*","~*"),"?","~?"))&gt;1,"!AMBIG",IFERROR(INDEX('Calculations'!$HF$13:$HF$512,MATCH('Calculations'!IB222,'Calculations'!$HE$13:$HE$512,0)),""))))</x:f>
      </x:c>
      <x:c r="ID222" t="str">
        <x:f>IF('Calculations'!IC222="","",IF('Calculations'!IC222="!AMBIG","!AMBIG",IF(COUNTIF('Calculations'!$HE$13:$HE$512,"="&amp;SUBSTITUTE(SUBSTITUTE(SUBSTITUTE('Calculations'!IC222,"~","~~"),"*","~*"),"?","~?"))&gt;1,"!AMBIG",IFERROR(INDEX('Calculations'!$HF$13:$HF$512,MATCH('Calculations'!IC222,'Calculations'!$HE$13:$HE$512,0)),""))))</x:f>
      </x:c>
      <x:c r="IE222" t="str">
        <x:f>IF('Calculations'!ID222="","",IF('Calculations'!ID222="!AMBIG","!AMBIG",IF(COUNTIF('Calculations'!$HE$13:$HE$512,"="&amp;SUBSTITUTE(SUBSTITUTE(SUBSTITUTE('Calculations'!ID222,"~","~~"),"*","~*"),"?","~?"))&gt;1,"!AMBIG",IFERROR(INDEX('Calculations'!$HF$13:$HF$512,MATCH('Calculations'!ID222,'Calculations'!$HE$13:$HE$512,0)),""))))</x:f>
      </x:c>
      <x:c r="IF222" t="str">
        <x:f>IF('Calculations'!IE222="","",IF('Calculations'!IE222="!AMBIG","!AMBIG",IF(COUNTIF('Calculations'!$HE$13:$HE$512,"="&amp;SUBSTITUTE(SUBSTITUTE(SUBSTITUTE('Calculations'!IE222,"~","~~"),"*","~*"),"?","~?"))&gt;1,"!AMBIG",IFERROR(INDEX('Calculations'!$HF$13:$HF$512,MATCH('Calculations'!IE222,'Calculations'!$HE$13:$HE$512,0)),""))))</x:f>
      </x:c>
      <x:c r="IG222" t="str">
        <x:f>IF('Calculations'!IF222="","",IF('Calculations'!IF222="!AMBIG","!AMBIG",IF(COUNTIF('Calculations'!$HE$13:$HE$512,"="&amp;SUBSTITUTE(SUBSTITUTE(SUBSTITUTE('Calculations'!IF222,"~","~~"),"*","~*"),"?","~?"))&gt;1,"!AMBIG",IFERROR(INDEX('Calculations'!$HF$13:$HF$512,MATCH('Calculations'!IF222,'Calculations'!$HE$13:$HE$512,0)),""))))</x:f>
      </x:c>
      <x:c r="IH222" t="str">
        <x:f>IF('Calculations'!IG222="","",IF('Calculations'!IG222="!AMBIG","!AMBIG",IF(COUNTIF('Calculations'!$HE$13:$HE$512,"="&amp;SUBSTITUTE(SUBSTITUTE(SUBSTITUTE('Calculations'!IG222,"~","~~"),"*","~*"),"?","~?"))&gt;1,"!AMBIG",IFERROR(INDEX('Calculations'!$HF$13:$HF$512,MATCH('Calculations'!IG222,'Calculations'!$HE$13:$HE$512,0)),""))))</x:f>
      </x:c>
      <x:c r="II222" t="str">
        <x:f>IF('Calculations'!IH222="","",IF('Calculations'!IH222="!AMBIG","!AMBIG",IF(COUNTIF('Calculations'!$HE$13:$HE$512,"="&amp;SUBSTITUTE(SUBSTITUTE(SUBSTITUTE('Calculations'!IH222,"~","~~"),"*","~*"),"?","~?"))&gt;1,"!AMBIG",IFERROR(INDEX('Calculations'!$HF$13:$HF$512,MATCH('Calculations'!IH222,'Calculations'!$HE$13:$HE$512,0)),""))))</x:f>
      </x:c>
      <x:c r="IJ222" t="str">
        <x:f>IF('Calculations'!EM222="","",IF('Calculations'!$EF$2="All",'Calculations'!HM222,IF('Calculations'!HL222=1,"",IFERROR(IF(MATCH('Calculations'!$EF$2,'Calculations'!HO222:II222,0)=1,'Calculations'!HE222,INDEX('Calculations'!HO222:II222,1,MATCH('Calculations'!$EF$2,'Calculations'!HO222:II222,0)-1)),""))))</x:f>
      </x:c>
      <x:c r="IK222" t="n">
        <x:f>IF(AND('Calculations'!EM222&lt;&gt;"",'Calculations'!$EF$2&lt;&gt;"All",'Calculations'!HF222='Calculations'!$EF$2,'Calculations'!HL222=0,'Calculations'!JD222&gt;0),MAX('Calculations'!$IK$12:IK221)+1,0)</x:f>
        <x:v>0</x:v>
      </x:c>
      <x:c r="JA222" t="n">
        <x:f>IF(OR(IFERROR(INDIRECT("'WCM Calibration Final'!$A$222")&lt;&gt;"",FALSE),IFERROR(INDIRECT("'WCM Calibration Final'!$B$222")&lt;&gt;"",FALSE),IFERROR(INDIRECT("'WCM Calibration Final'!$C$222")&lt;&gt;"",FALSE)),222,0)</x:f>
        <x:v>0</x:v>
      </x:c>
      <x:c r="JB222" t="n">
        <x:f>'Calculations'!JB221+IF('Calculations'!JA222&gt;0,1,0)</x:f>
        <x:v>0</x:v>
      </x:c>
      <x:c r="JC222" t="n">
        <x:f>IF(OR('Calculations'!HF222="",'Calculations'!HF222="!AMBIG"),0,IF('Dashboard'!$B$7="All",1,COUNTIFS('Calculations'!$HO$13:$HO$512,"="&amp;SUBSTITUTE(SUBSTITUTE(SUBSTITUTE('Calculations'!HF222,"~","~~"),"*","~*"),"?","~?"),'Calculations'!$HN$13:$HN$512,"="&amp;SUBSTITUTE(SUBSTITUTE(SUBSTITUTE('Dashboard'!$B$7,"~","~~"),"*","~*"),"?","~?"))+COUNTIFS('Calculations'!$HP$13:$HP$512,"="&amp;SUBSTITUTE(SUBSTITUTE(SUBSTITUTE('Calculations'!HF222,"~","~~"),"*","~*"),"?","~?"),'Calculations'!$HN$13:$HN$512,"="&amp;SUBSTITUTE(SUBSTITUTE(SUBSTITUTE('Dashboard'!$B$7,"~","~~"),"*","~*"),"?","~?"))+COUNTIFS('Calculations'!$HQ$13:$HQ$512,"="&amp;SUBSTITUTE(SUBSTITUTE(SUBSTITUTE('Calculations'!HF222,"~","~~"),"*","~*"),"?","~?"),'Calculations'!$HN$13:$HN$512,"="&amp;SUBSTITUTE(SUBSTITUTE(SUBSTITUTE('Dashboard'!$B$7,"~","~~"),"*","~*"),"?","~?"))+COUNTIFS('Calculations'!$HR$13:$HR$512,"="&amp;SUBSTITUTE(SUBSTITUTE(SUBSTITUTE('Calculations'!HF222,"~","~~"),"*","~*"),"?","~?"),'Calculations'!$HN$13:$HN$512,"="&amp;SUBSTITUTE(SUBSTITUTE(SUBSTITUTE('Dashboard'!$B$7,"~","~~"),"*","~*"),"?","~?"))+COUNTIFS('Calculations'!$HS$13:$HS$512,"="&amp;SUBSTITUTE(SUBSTITUTE(SUBSTITUTE('Calculations'!HF222,"~","~~"),"*","~*"),"?","~?"),'Calculations'!$HN$13:$HN$512,"="&amp;SUBSTITUTE(SUBSTITUTE(SUBSTITUTE('Dashboard'!$B$7,"~","~~"),"*","~*"),"?","~?"))+COUNTIFS('Calculations'!$HT$13:$HT$512,"="&amp;SUBSTITUTE(SUBSTITUTE(SUBSTITUTE('Calculations'!HF222,"~","~~"),"*","~*"),"?","~?"),'Calculations'!$HN$13:$HN$512,"="&amp;SUBSTITUTE(SUBSTITUTE(SUBSTITUTE('Dashboard'!$B$7,"~","~~"),"*","~*"),"?","~?"))+COUNTIFS('Calculations'!$HU$13:$HU$512,"="&amp;SUBSTITUTE(SUBSTITUTE(SUBSTITUTE('Calculations'!HF222,"~","~~"),"*","~*"),"?","~?"),'Calculations'!$HN$13:$HN$512,"="&amp;SUBSTITUTE(SUBSTITUTE(SUBSTITUTE('Dashboard'!$B$7,"~","~~"),"*","~*"),"?","~?"))+COUNTIFS('Calculations'!$HV$13:$HV$512,"="&amp;SUBSTITUTE(SUBSTITUTE(SUBSTITUTE('Calculations'!HF222,"~","~~"),"*","~*"),"?","~?"),'Calculations'!$HN$13:$HN$512,"="&amp;SUBSTITUTE(SUBSTITUTE(SUBSTITUTE('Dashboard'!$B$7,"~","~~"),"*","~*"),"?","~?"))+COUNTIFS('Calculations'!$HW$13:$HW$512,"="&amp;SUBSTITUTE(SUBSTITUTE(SUBSTITUTE('Calculations'!HF222,"~","~~"),"*","~*"),"?","~?"),'Calculations'!$HN$13:$HN$512,"="&amp;SUBSTITUTE(SUBSTITUTE(SUBSTITUTE('Dashboard'!$B$7,"~","~~"),"*","~*"),"?","~?"))+COUNTIFS('Calculations'!$HX$13:$HX$512,"="&amp;SUBSTITUTE(SUBSTITUTE(SUBSTITUTE('Calculations'!HF222,"~","~~"),"*","~*"),"?","~?"),'Calculations'!$HN$13:$HN$512,"="&amp;SUBSTITUTE(SUBSTITUTE(SUBSTITUTE('Dashboard'!$B$7,"~","~~"),"*","~*"),"?","~?"))+COUNTIFS('Calculations'!$HY$13:$HY$512,"="&amp;SUBSTITUTE(SUBSTITUTE(SUBSTITUTE('Calculations'!HF222,"~","~~"),"*","~*"),"?","~?"),'Calculations'!$HN$13:$HN$512,"="&amp;SUBSTITUTE(SUBSTITUTE(SUBSTITUTE('Dashboard'!$B$7,"~","~~"),"*","~*"),"?","~?"))+COUNTIFS('Calculations'!$HZ$13:$HZ$512,"="&amp;SUBSTITUTE(SUBSTITUTE(SUBSTITUTE('Calculations'!HF222,"~","~~"),"*","~*"),"?","~?"),'Calculations'!$HN$13:$HN$512,"="&amp;SUBSTITUTE(SUBSTITUTE(SUBSTITUTE('Dashboard'!$B$7,"~","~~"),"*","~*"),"?","~?"))+COUNTIFS('Calculations'!$IA$13:$IA$512,"="&amp;SUBSTITUTE(SUBSTITUTE(SUBSTITUTE('Calculations'!HF222,"~","~~"),"*","~*"),"?","~?"),'Calculations'!$HN$13:$HN$512,"="&amp;SUBSTITUTE(SUBSTITUTE(SUBSTITUTE('Dashboard'!$B$7,"~","~~"),"*","~*"),"?","~?"))+COUNTIFS('Calculations'!$IB$13:$IB$512,"="&amp;SUBSTITUTE(SUBSTITUTE(SUBSTITUTE('Calculations'!HF222,"~","~~"),"*","~*"),"?","~?"),'Calculations'!$HN$13:$HN$512,"="&amp;SUBSTITUTE(SUBSTITUTE(SUBSTITUTE('Dashboard'!$B$7,"~","~~"),"*","~*"),"?","~?"))+COUNTIFS('Calculations'!$IC$13:$IC$512,"="&amp;SUBSTITUTE(SUBSTITUTE(SUBSTITUTE('Calculations'!HF222,"~","~~"),"*","~*"),"?","~?"),'Calculations'!$HN$13:$HN$512,"="&amp;SUBSTITUTE(SUBSTITUTE(SUBSTITUTE('Dashboard'!$B$7,"~","~~"),"*","~*"),"?","~?"))+COUNTIFS('Calculations'!$ID$13:$ID$512,"="&amp;SUBSTITUTE(SUBSTITUTE(SUBSTITUTE('Calculations'!HF222,"~","~~"),"*","~*"),"?","~?"),'Calculations'!$HN$13:$HN$512,"="&amp;SUBSTITUTE(SUBSTITUTE(SUBSTITUTE('Dashboard'!$B$7,"~","~~"),"*","~*"),"?","~?"))+COUNTIFS('Calculations'!$IE$13:$IE$512,"="&amp;SUBSTITUTE(SUBSTITUTE(SUBSTITUTE('Calculations'!HF222,"~","~~"),"*","~*"),"?","~?"),'Calculations'!$HN$13:$HN$512,"="&amp;SUBSTITUTE(SUBSTITUTE(SUBSTITUTE('Dashboard'!$B$7,"~","~~"),"*","~*"),"?","~?"))+COUNTIFS('Calculations'!$IF$13:$IF$512,"="&amp;SUBSTITUTE(SUBSTITUTE(SUBSTITUTE('Calculations'!HF222,"~","~~"),"*","~*"),"?","~?"),'Calculations'!$HN$13:$HN$512,"="&amp;SUBSTITUTE(SUBSTITUTE(SUBSTITUTE('Dashboard'!$B$7,"~","~~"),"*","~*"),"?","~?"))+COUNTIFS('Calculations'!$IG$13:$IG$512,"="&amp;SUBSTITUTE(SUBSTITUTE(SUBSTITUTE('Calculations'!HF222,"~","~~"),"*","~*"),"?","~?"),'Calculations'!$HN$13:$HN$512,"="&amp;SUBSTITUTE(SUBSTITUTE(SUBSTITUTE('Dashboard'!$B$7,"~","~~"),"*","~*"),"?","~?"))+COUNTIFS('Calculations'!$IH$13:$IH$512,"="&amp;SUBSTITUTE(SUBSTITUTE(SUBSTITUTE('Calculations'!HF222,"~","~~"),"*","~*"),"?","~?"),'Calculations'!$HN$13:$HN$512,"="&amp;SUBSTITUTE(SUBSTITUTE(SUBSTITUTE('Dashboard'!$B$7,"~","~~"),"*","~*"),"?","~?"))))</x:f>
        <x:v>0</x:v>
      </x:c>
      <x:c r="JD222" t="n">
        <x:f>IF('Calculations'!EM222="",0,IF('Dashboard'!$B$7="All",1,IF('Calculations'!HN222='Dashboard'!$B$7,1,0)+IFERROR(INDEX('Calculations'!$JC$13:$JC$512,MATCH('Calculations'!HE222,'Calculations'!$HF$13:$HF$512,0)),0)))</x:f>
        <x:v>0</x:v>
      </x:c>
      <x:c r="JE222" t="n">
        <x:f>IF(AND('Calculations'!EM222&lt;&gt;"",'Calculations'!$JJ$2&lt;&gt;"All",'Calculations'!$JJ$2&lt;&gt;"",'Calculations'!HF222='Calculations'!$JJ$2,'Calculations'!HL222=0,'Calculations'!JD222&gt;0),MAX('Calculations'!$JE$12:JE221)+1,0)</x:f>
        <x:v>0</x:v>
      </x:c>
      <x:c r="JF222" t="str">
        <x:f>IF('Calculations'!EM222="","",IFERROR(IF(INDEX(INDIRECT("'WCM Calibration Final'!$G$1:$G$2000"),'Calculations'!$EM222)="","",TRIM(INDEX(INDIRECT("'WCM Calibration Final'!$G$1:$G$2000"),'Calculations'!$EM222)&amp;"")),""))</x:f>
      </x:c>
      <x:c r="JQ222" t="n">
        <x:f>IF(OR('Calculations'!BM222=0,NOT('Calculations'!$AG$2),'Calculations'!$AG$8&gt;0),0,IF(OR('Dashboard'!$B$7="All",'Calculations'!HN222='Dashboard'!$B$7),IF('Calculations'!$JJ$2="All",1,IF(AND('Calculations'!HF222='Calculations'!$JJ$2,'Calculations'!HL222=0),1,0)),0))</x:f>
        <x:v>0</x:v>
      </x:c>
    </x:row>
    <x:row r="223">
      <x:c r="AF223" s="4" t="str">
        <x:f>IF('Calculations'!AH223=0,"","SVP (n="&amp;'Calculations'!AH223&amp;")")</x:f>
      </x:c>
      <x:c r="AG223" s="4" t="n">
        <x:f>COUNTIFS('Calculations'!$BN$13:$BN$512,1,'Calculations'!$BV$13:$BV$512,'Calculations'!AT223)</x:f>
        <x:v>0</x:v>
      </x:c>
      <x:c r="AH223" s="4" t="n">
        <x:f>SUM('Calculations'!AJ223:AM223)</x:f>
        <x:v>0</x:v>
      </x:c>
      <x:c r="AI223" s="4" t="n">
        <x:f>'Calculations'!AG223-'Calculations'!AH223</x:f>
        <x:v>0</x:v>
      </x:c>
      <x:c r="AJ223" s="4" t="n">
        <x:f>COUNTIFS('Calculations'!$BN$13:$BN$512,1,'Calculations'!$BV$13:$BV$512,'Calculations'!AT223,'Calculations'!$BO$13:$BO$512,1)</x:f>
        <x:v>0</x:v>
      </x:c>
      <x:c r="AK223" s="4" t="n">
        <x:f>COUNTIFS('Calculations'!$BN$13:$BN$512,1,'Calculations'!$BV$13:$BV$512,'Calculations'!AT223,'Calculations'!$BO$13:$BO$512,2)</x:f>
        <x:v>0</x:v>
      </x:c>
      <x:c r="AL223" s="4" t="n">
        <x:f>COUNTIFS('Calculations'!$BN$13:$BN$512,1,'Calculations'!$BV$13:$BV$512,'Calculations'!AT223,'Calculations'!$BO$13:$BO$512,3)</x:f>
        <x:v>0</x:v>
      </x:c>
      <x:c r="AM223" s="4" t="n">
        <x:f>COUNTIFS('Calculations'!$BN$13:$BN$512,1,'Calculations'!$BV$13:$BV$512,'Calculations'!AT223,'Calculations'!$BO$13:$BO$512,4)</x:f>
        <x:v>0</x:v>
      </x:c>
      <x:c r="AN223" s="4"/>
      <x:c r="AO223" s="4" t="n">
        <x:f>IF('Calculations'!AH223=0,0,'Calculations'!AJ223/'Calculations'!AH223)</x:f>
        <x:v>0</x:v>
      </x:c>
      <x:c r="AP223" s="4" t="n">
        <x:f>IF('Calculations'!AH223=0,0,'Calculations'!AK223/'Calculations'!AH223)</x:f>
        <x:v>0</x:v>
      </x:c>
      <x:c r="AQ223" s="4" t="n">
        <x:f>IF('Calculations'!AH223=0,0,'Calculations'!AL223/'Calculations'!AH223)</x:f>
        <x:v>0</x:v>
      </x:c>
      <x:c r="AR223" s="4" t="n">
        <x:f>IF('Calculations'!AH223=0,0,'Calculations'!AM223/'Calculations'!AH223)</x:f>
        <x:v>0</x:v>
      </x:c>
      <x:c r="AS223" s="4"/>
      <x:c r="AT223" s="4" t="str">
        <x:v>SENIOR VICE PRESIDENT</x:v>
      </x:c>
      <x:c r="AU223" s="4"/>
      <x:c r="AV223" s="4"/>
      <x:c r="AW223" s="4"/>
      <x:c r="AX223" s="4"/>
      <x:c r="AY223" s="4"/>
      <x:c r="AZ223" s="4"/>
      <x:c r="BA223" s="4"/>
      <x:c r="BB223" s="4"/>
      <x:c r="BC223" s="4"/>
      <x:c r="BD223" s="4"/>
      <x:c r="BE223" s="4"/>
      <x:c r="BF223" s="4"/>
      <x:c r="BG223" s="4"/>
      <x:c r="BH223" s="4"/>
      <x:c r="BI223" s="4"/>
      <x:c r="BJ223" s="4"/>
      <x:c r="BK223" s="4"/>
      <x:c r="BL223" s="4"/>
      <x:c r="BM223" s="4" t="n">
        <x:f>IF('Calculations'!$EM223="",0,IF(OR(IFERROR(INDEX(INDIRECT("'WCM Calibration Final'!$A$1:$A$2000"),'Calculations'!$EM223)&lt;&gt;"",FALSE),IFERROR(INDEX(INDIRECT("'WCM Calibration Final'!$B$1:$B$2000"),'Calculations'!$EM223)&lt;&gt;"",FALSE),IFERROR(INDEX(INDIRECT("'WCM Calibration Final'!$C$1:$C$2000"),'Calculations'!$EM223)&lt;&gt;"",FALSE)),1,0))</x:f>
        <x:v>0</x:v>
      </x:c>
      <x:c r="BN223" s="4" t="n">
        <x:f>IF(AND('Calculations'!BM223=1,'Calculations'!$AG$2,'Calculations'!$EN223=1),1,0)</x:f>
        <x:v>0</x:v>
      </x:c>
      <x:c r="BO223" s="4" t="str">
        <x:f>IF('Calculations'!BM223=0,"",IFERROR(IF(AND(VALUE(INDEX(INDIRECT("'WCM Calibration Final'!$K$1:$K$2000"),'Calculations'!$EM223))&gt;=1,VALUE(INDEX(INDIRECT("'WCM Calibration Final'!$K$1:$K$2000"),'Calculations'!$EM223))&lt;=4,MOD(VALUE(INDEX(INDIRECT("'WCM Calibration Final'!$K$1:$K$2000"),'Calculations'!$EM223)),1)=0),VALUE(INDEX(INDIRECT("'WCM Calibration Final'!$K$1:$K$2000"),'Calculations'!$EM223)),""),""))</x:f>
      </x:c>
      <x:c r="BP223" s="4" t="str">
        <x:f>IF('Calculations'!BM223=0,"",IFERROR(IF(AND(VALUE(INDEX(INDIRECT("'WCM Calibration Final'!$L$1:$L$2000"),'Calculations'!$EM223))&gt;=1,VALUE(INDEX(INDIRECT("'WCM Calibration Final'!$L$1:$L$2000"),'Calculations'!$EM223))&lt;=4,MOD(VALUE(INDEX(INDIRECT("'WCM Calibration Final'!$L$1:$L$2000"),'Calculations'!$EM223)),1)=0),VALUE(INDEX(INDIRECT("'WCM Calibration Final'!$L$1:$L$2000"),'Calculations'!$EM223)),""),""))</x:f>
      </x:c>
      <x:c r="BQ223" s="4"/>
      <x:c r="BR223" s="4"/>
      <x:c r="BS223" s="4"/>
      <x:c r="BT223" s="4" t="n">
        <x:f>IF(AND('Calculations'!BM223=1,ISNUMBER('Calculations'!BO223),ISNUMBER('Calculations'!BP223)),1,0)</x:f>
        <x:v>0</x:v>
      </x:c>
      <x:c r="BU223" s="4" t="str">
        <x:f>IF('Calculations'!BM223=0,"",'Calculations'!$EO223)</x:f>
      </x:c>
      <x:c r="BV223" s="4" t="str">
        <x:f>IF('Calculations'!BM223=0,"",IFERROR(IF(OR(INDEX(INDIRECT("'WCM Calibration Final'!$H$1:$H$2000"),'Calculations'!$EM223)="MANAGING DIRECTOR",INDEX(INDIRECT("'WCM Calibration Final'!$H$1:$H$2000"),'Calculations'!$EM223)="DIRECTOR",INDEX(INDIRECT("'WCM Calibration Final'!$H$1:$H$2000"),'Calculations'!$EM223)="SENIOR VICE PRESIDENT",INDEX(INDIRECT("'WCM Calibration Final'!$H$1:$H$2000"),'Calculations'!$EM223)="VICE PRESIDENT",INDEX(INDIRECT("'WCM Calibration Final'!$H$1:$H$2000"),'Calculations'!$EM223)="ASSISTANT VICE PRESIDENT",INDEX(INDIRECT("'WCM Calibration Final'!$H$1:$H$2000"),'Calculations'!$EM223)="OFFICER"),UPPER(INDEX(INDIRECT("'WCM Calibration Final'!$H$1:$H$2000"),'Calculations'!$EM223)),"Other"),"Other"))</x:f>
      </x:c>
      <x:c r="BW223" s="4"/>
      <x:c r="BX223" s="4"/>
      <x:c r="BY223" s="4" t="n">
        <x:f>IF(AND('Calculations'!BM223=1,'Calculations'!BU223&lt;&gt;"",COUNTIF('Calculations'!$BU$12:BU223,'Calculations'!BU223)=1),MAX('Calculations'!$BY$11:BY222)+1,0)</x:f>
        <x:v>0</x:v>
      </x:c>
      <x:c r="BZ223" s="4" t="str">
        <x:f>IF('Dashboard'!$E$67="What",'Calculations'!BO223,'Calculations'!BP223)</x:f>
      </x:c>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t="str">
        <x:f>IF(212&gt;MAX('Calculations'!$HI$13:$HI$512),"",INDEX('Calculations'!$HN$13:$HN$512,MATCH(212,'Calculations'!$HI$13:$HI$512,0)))</x:f>
      </x:c>
      <x:c r="DB223" s="4" t="str">
        <x:f>IF(212&gt;MAX('Calculations'!$HH$13:$HH$512),"",INDEX('Calculations'!$HJ$13:$HJ$512,MATCH(212,'Calculations'!$HH$13:$HH$512,0)))</x:f>
      </x:c>
      <x:c r="DC223" s="4" t="str">
        <x:f>IF(ROW()-11&gt;MAX('Calculations'!$BY$13:$BY$512),"",INDEX('Calculations'!$BU$13:$BU$512,MATCH(ROW()-11,'Calculations'!$BY$13:$BY$512,0)))</x:f>
      </x:c>
      <x:c r="DD223" s="4" t="str">
        <x:f>IF(212&gt;MAX('Calculations'!$IK$13:$IK$512),"",INDEX('Calculations'!$HK$13:$HK$512,MATCH(212,'Calculations'!$IK$13:$IK$512,0)))</x:f>
      </x:c>
      <x:c r="DE223" s="4" t="str">
        <x:f>'Calculations'!DC223</x:f>
      </x:c>
      <x:c r="DF223" s="4" t="str">
        <x:f>IF('Calculations'!DE223="","",COUNTIFS('Calculations'!$BN$13:$BN$512,1,'Calculations'!$BU$13:$BU$512,'Calculations'!DE223))</x:f>
      </x:c>
      <x:c r="DG223" s="4" t="str">
        <x:f>IF('Calculations'!DE223="","",COUNTIFS('Calculations'!$BN$13:$BN$512,1,'Calculations'!$BU$13:$BU$512,'Calculations'!DE223,'Calculations'!$BT$13:$BT$512,1))</x:f>
      </x:c>
      <x:c r="DH223" s="4" t="str">
        <x:f>IF('Calculations'!DE223="","",'Calculations'!DF223-'Calculations'!DG223)</x:f>
      </x:c>
      <x:c r="DI223" s="4" t="str">
        <x:f>IF(OR('Calculations'!DE223="",'Calculations'!DF223=0),"",'Calculations'!DG223/'Calculations'!DF223)</x:f>
      </x:c>
      <x:c r="DJ223" s="4" t="str">
        <x:f>IF('Calculations'!DE223="","",COUNTIFS('Calculations'!$BN$13:$BN$512,1,'Calculations'!$BU$13:$BU$512,'Calculations'!DE223,'Calculations'!$BT$13:$BT$512,1,'Calculations'!$EE$13:$EE$512,"High"))</x:f>
      </x:c>
      <x:c r="DK223" s="4" t="str">
        <x:f>IF('Calculations'!DE223="","",COUNTIFS('Calculations'!$BN$13:$BN$512,1,'Calculations'!$BU$13:$BU$512,'Calculations'!DE223,'Calculations'!$BT$13:$BT$512,1,'Calculations'!$EE$13:$EE$512,"Strong"))</x:f>
      </x:c>
      <x:c r="DL223" s="4" t="str">
        <x:f>IF('Calculations'!DE223="","",COUNTIFS('Calculations'!$BN$13:$BN$512,1,'Calculations'!$BU$13:$BU$512,'Calculations'!DE223,'Calculations'!$BT$13:$BT$512,1,'Calculations'!$EE$13:$EE$512,"Solid"))</x:f>
      </x:c>
      <x:c r="DM223" s="4" t="str">
        <x:f>IF('Calculations'!DE223="","",COUNTIFS('Calculations'!$BN$13:$BN$512,1,'Calculations'!$BU$13:$BU$512,'Calculations'!DE223,'Calculations'!$BT$13:$BT$512,1,'Calculations'!$EE$13:$EE$512,"Low"))</x:f>
      </x:c>
      <x:c r="DN223" s="4" t="str">
        <x:f>IF('Calculations'!DE223="","",COUNTIFS('Calculations'!$BN$13:$BN$512,1,'Calculations'!$BU$13:$BU$512,'Calculations'!DE223,'Calculations'!$EP$13:$EP$512,1))</x:f>
      </x:c>
      <x:c r="DO223" s="4" t="str">
        <x:f>IF(OR('Calculations'!DE223="",'Calculations'!DG223=0),"",('Calculations'!DJ223+'Calculations'!DK223)/'Calculations'!DG223)</x:f>
      </x:c>
      <x:c r="DP223" s="4" t="n">
        <x:f>IF(AND('Calculations'!DE223&lt;&gt;"",'Calculations'!DF223&gt;0),COUNTIF('Calculations'!$DF$12:DF223,"&gt;0"),0)</x:f>
        <x:v>0</x:v>
      </x:c>
      <x:c r="DQ223" s="4" t="str">
        <x:f>IF(212&gt;MAX('Calculations'!$HH$13:$HH$512),"",INDEX('Calculations'!$HF$13:$HF$512,MATCH(212,'Calculations'!$HH$13:$HH$512,0)))</x:f>
      </x:c>
      <x:c r="DR223" s="4" t="str">
        <x:f>IF(212&gt;MAX('Calculations'!$IK$13:$IK$512),"",INDEX('Calculations'!$HE$13:$HE$512,MATCH(212,'Calculations'!$IK$13:$IK$512,0)))</x:f>
      </x:c>
      <x:c r="DS223" s="4"/>
      <x:c r="DT223" s="4"/>
      <x:c r="DU223" s="4"/>
      <x:c r="DV223" s="4"/>
      <x:c r="DW223" s="4"/>
      <x:c r="DX223" s="4"/>
      <x:c r="DY223" s="4"/>
      <x:c r="DZ223" s="4"/>
      <x:c r="EA223" s="4"/>
      <x:c r="EB223" s="4"/>
      <x:c r="EC223" s="4"/>
      <x:c r="ED223" s="4"/>
      <x:c r="EE223" s="4" t="str">
        <x:f>IF('Calculations'!BT223=0,"Not Rated",IF(OR('Calculations'!BO223&gt;=4,'Calculations'!BP223&gt;=4),"Low",IF('Calculations'!BO223+'Calculations'!BP223&lt;=3,"High",IF('Calculations'!BO223+'Calculations'!BP223&lt;=4,"Strong","Solid"))))</x:f>
        <x:v>Not Rated</x:v>
      </x:c>
      <x:c r="EF223" s="4"/>
      <x:c r="EG223" s="4"/>
      <x:c r="EH223" s="4"/>
      <x:c r="EI223" s="4"/>
      <x:c r="EJ223" s="4"/>
      <x:c r="EK223" s="4"/>
      <x:c r="EL223" s="4"/>
      <x:c r="EM223" s="4" t="str">
        <x:f>IF(211&gt;'Calculations'!$JB$2000,"",INDEX('Calculations'!$JA$12:$JA$2000,MATCH(211,'Calculations'!$JB$12:$JB$2000,0)))</x:f>
      </x:c>
      <x:c r="EN223" s="4" t="n">
        <x:f>IF(OR('Calculations'!EM223="",'Calculations'!$AG$8&gt;0,AND('Calculations'!$EF$2&lt;&gt;"All",'Calculations'!HE223='Calculations'!$EF$2),AND('Calculations'!$EF$3&lt;&gt;"All",'Calculations'!HE223='Calculations'!$EF$3)),0,IF(OR('Dashboard'!$B$7="All",'Calculations'!HN223='Dashboard'!$B$7),IF('Calculations'!$EF$2="All",1,IF('Calculations'!HL223&gt;0,0,IF(COUNTIF('Calculations'!HO223:II223,"="&amp;SUBSTITUTE(SUBSTITUTE(SUBSTITUTE('Calculations'!$EF$2,"~","~~"),"*","~*"),"?","~?"))=0,0,IF('Calculations'!$EF$3="All",1,IF(COUNTIF('Calculations'!HO223:II223,"="&amp;SUBSTITUTE(SUBSTITUTE(SUBSTITUTE('Calculations'!$EF$3,"~","~~"),"*","~*"),"?","~?"))&gt;0,1,0))))),0))</x:f>
        <x:v>0</x:v>
      </x:c>
      <x:c r="EO223" s="4" t="str">
        <x:f>IF('Calculations'!IJ223="","",IF('Calculations'!IJ223="!UNRESOLVED","Unresolved hierarchy",IFERROR(INDEX('Calculations'!$HK$13:$HK$512,MATCH('Calculations'!IJ223,'Calculations'!$HE$13:$HE$512,0)),IFERROR(INDEX('Calculations'!$HJ$13:$HJ$512,MATCH('Calculations'!IJ223,'Calculations'!$HF$13:$HF$512,0)),'Calculations'!IJ223))))</x:f>
      </x:c>
      <x:c r="EP223" s="4" t="n">
        <x:f>IF(AND('Calculations'!EM223&lt;&gt;"",'Calculations'!HF223='Calculations'!IJ223),1,0)</x:f>
        <x:v>0</x:v>
      </x:c>
      <x:c r="EQ223" s="4"/>
      <x:c r="ER223" s="4"/>
      <x:c r="ES223" s="4"/>
      <x:c r="ET223" s="4"/>
      <x:c r="EU223" s="4"/>
      <x:c r="EV223" s="4"/>
      <x:c r="EW223" s="4"/>
      <x:c r="EX223" s="4"/>
      <x:c r="EY223" s="4"/>
      <x:c r="EZ223" s="4"/>
      <x:c r="FA223" s="4"/>
      <x:c r="FB223" s="4"/>
      <x:c r="FC223" s="4"/>
      <x:c r="FD223" s="4"/>
      <x:c r="FE223" s="4"/>
      <x:c r="FF223" s="4"/>
      <x:c r="FG223" s="4"/>
      <x:c r="FH223" s="4"/>
      <x:c r="FI223" s="4"/>
      <x:c r="FJ223" s="4"/>
      <x:c r="FK223" s="4"/>
      <x:c r="FL223" s="4"/>
      <x:c r="FM223" s="4"/>
      <x:c r="FN223" s="4"/>
      <x:c r="FO223" s="4"/>
      <x:c r="HE223" t="str">
        <x:f>IF('Calculations'!EM223="","",IF(IFERROR(IF(INDEX(INDIRECT("'WCM Calibration Final'!$A$1:$A$2000"),'Calculations'!$EM223)="","",TRIM(INDEX(INDIRECT("'WCM Calibration Final'!$A$1:$A$2000"),'Calculations'!$EM223)&amp;"")),"")&lt;&gt;"","G:"&amp;IFERROR(TEXT(1*INDEX(INDIRECT("'WCM Calibration Final'!$A$1:$A$2000"),'Calculations'!$EM223),"0"),UPPER(IFERROR(IF(INDEX(INDIRECT("'WCM Calibration Final'!$A$1:$A$2000"),'Calculations'!$EM223)="","",TRIM(INDEX(INDIRECT("'WCM Calibration Final'!$A$1:$A$2000"),'Calculations'!$EM223)&amp;"")),""))),IF(IFERROR(IF(INDEX(INDIRECT("'WCM Calibration Final'!$C$1:$C$2000"),'Calculations'!$EM223)="","",TRIM(INDEX(INDIRECT("'WCM Calibration Final'!$C$1:$C$2000"),'Calculations'!$EM223)&amp;"")),"")&lt;&gt;"","S:"&amp;UPPER(IFERROR(IF(INDEX(INDIRECT("'WCM Calibration Final'!$C$1:$C$2000"),'Calculations'!$EM223)="","",TRIM(INDEX(INDIRECT("'WCM Calibration Final'!$C$1:$C$2000"),'Calculations'!$EM223)&amp;"")),"")),"R:"&amp;'Calculations'!EM223)))</x:f>
      </x:c>
      <x:c r="HF223" t="str">
        <x:f>IF('Calculations'!EM223="","",IF(IFERROR(IF(INDEX(INDIRECT("'WCM Calibration Final'!$D$1:$D$2000"),'Calculations'!$EM223)="","",TRIM(INDEX(INDIRECT("'WCM Calibration Final'!$D$1:$D$2000"),'Calculations'!$EM223)&amp;"")),"")&lt;&gt;"","G:"&amp;IFERROR(TEXT(1*INDEX(INDIRECT("'WCM Calibration Final'!$D$1:$D$2000"),'Calculations'!$EM223),"0"),UPPER(IFERROR(IF(INDEX(INDIRECT("'WCM Calibration Final'!$D$1:$D$2000"),'Calculations'!$EM223)="","",TRIM(INDEX(INDIRECT("'WCM Calibration Final'!$D$1:$D$2000"),'Calculations'!$EM223)&amp;"")),""))),IF(IFERROR(IF(INDEX(INDIRECT("'WCM Calibration Final'!$E$1:$E$2000"),'Calculations'!$EM223)="","",TRIM(INDEX(INDIRECT("'WCM Calibration Final'!$E$1:$E$2000"),'Calculations'!$EM223)&amp;"")),"")="","",IF(COUNTIF('Calculations'!$HG$13:$HG$512,"="&amp;SUBSTITUTE(SUBSTITUTE(SUBSTITUTE(IFERROR(IF(INDEX(INDIRECT("'WCM Calibration Final'!$E$1:$E$2000"),'Calculations'!$EM223)="","",TRIM(INDEX(INDIRECT("'WCM Calibration Final'!$E$1:$E$2000"),'Calculations'!$EM223)&amp;"")),""),"~","~~"),"*","~*"),"?","~?"))=1,INDEX('Calculations'!$HE$13:$HE$512,MATCH(IFERROR(IF(INDEX(INDIRECT("'WCM Calibration Final'!$E$1:$E$2000"),'Calculations'!$EM223)="","",TRIM(INDEX(INDIRECT("'WCM Calibration Final'!$E$1:$E$2000"),'Calculations'!$EM223)&amp;"")),""),'Calculations'!$HG$13:$HG$512,0)),IF(COUNTIF('Calculations'!$HG$13:$HG$512,"="&amp;SUBSTITUTE(SUBSTITUTE(SUBSTITUTE(IFERROR(IF(INDEX(INDIRECT("'WCM Calibration Final'!$E$1:$E$2000"),'Calculations'!$EM223)="","",TRIM(INDEX(INDIRECT("'WCM Calibration Final'!$E$1:$E$2000"),'Calculations'!$EM223)&amp;"")),""),"~","~~"),"*","~*"),"?","~?"))&gt;1,"!AMBIG","X:"&amp;IFERROR(IF(INDEX(INDIRECT("'WCM Calibration Final'!$E$1:$E$2000"),'Calculations'!$EM223)="","",TRIM(INDEX(INDIRECT("'WCM Calibration Final'!$E$1:$E$2000"),'Calculations'!$EM223)&amp;"")),""))))))</x:f>
      </x:c>
      <x:c r="HG223" t="str">
        <x:f>IF('Calculations'!EM223="","",IFERROR(IF(INDEX(INDIRECT("'WCM Calibration Final'!$B$1:$B$2000"),'Calculations'!$EM223)="","",TRIM(INDEX(INDIRECT("'WCM Calibration Final'!$B$1:$B$2000"),'Calculations'!$EM223)&amp;"")),""))</x:f>
      </x:c>
      <x:c r="HH223" t="n">
        <x:f>IF(AND('Calculations'!JC223&gt;0,COUNTIF('Calculations'!$HF$12:HF223,"="&amp;SUBSTITUTE(SUBSTITUTE(SUBSTITUTE('Calculations'!HF223,"~","~~"),"*","~*"),"?","~?"))=1),MAX('Calculations'!$HH$12:HH222)+1,0)</x:f>
        <x:v>0</x:v>
      </x:c>
      <x:c r="HI223" t="n">
        <x:f>IF(AND('Calculations'!HN223&lt;&gt;"",COUNTIF('Calculations'!$HN$12:HN223,"="&amp;SUBSTITUTE(SUBSTITUTE(SUBSTITUTE('Calculations'!HN223,"~","~~"),"*","~*"),"?","~?"))=1),MAX('Calculations'!$HI$12:HI222)+1,0)</x:f>
        <x:v>0</x:v>
      </x:c>
      <x:c r="HJ223" t="str">
        <x:f>IF('Calculations'!HF223="","",IF(COUNTIF('Calculations'!$HE$13:$HE$512,"="&amp;SUBSTITUTE(SUBSTITUTE(SUBSTITUTE('Calculations'!HF223,"~","~~"),"*","~*"),"?","~?"))=1,INDEX('Calculations'!$HK$13:$HK$512,MATCH('Calculations'!HF223,'Calculations'!$HE$13:$HE$512,0)),IFERROR(IF(INDEX(INDIRECT("'WCM Calibration Final'!$E$1:$E$2000"),'Calculations'!$EM223)="","",TRIM(INDEX(INDIRECT("'WCM Calibration Final'!$E$1:$E$2000"),'Calculations'!$EM223)&amp;"")),"")&amp;" ["&amp;'Calculations'!HF223&amp;"]"))</x:f>
      </x:c>
      <x:c r="HK223" t="str">
        <x:f>IF('Calculations'!EM223="","",'Calculations'!HG223&amp;" ["&amp;'Calculations'!HE223&amp;"]")</x:f>
      </x:c>
      <x:c r="HL223" t="n">
        <x:f>IF('Calculations'!EM223="",0,IF(OR('Calculations'!II223&lt;&gt;"",COUNTIF('Calculations'!$HE$13:$HE$512,"="&amp;SUBSTITUTE(SUBSTITUTE(SUBSTITUTE('Calculations'!HE223,"~","~~"),"*","~*"),"?","~?"))&gt;1),1,0))</x:f>
        <x:v>0</x:v>
      </x:c>
      <x:c r="HM223" t="str">
        <x:f>IF('Calculations'!EM223="","",IF('Calculations'!HL223=1,"!UNRESOLVED",IF('Calculations'!IH223&lt;&gt;"",'Calculations'!IH223,IF('Calculations'!IG223&lt;&gt;"",'Calculations'!IG223,IF('Calculations'!IF223&lt;&gt;"",'Calculations'!IF223,IF('Calculations'!IE223&lt;&gt;"",'Calculations'!IE223,IF('Calculations'!ID223&lt;&gt;"",'Calculations'!ID223,IF('Calculations'!IC223&lt;&gt;"",'Calculations'!IC223,IF('Calculations'!IB223&lt;&gt;"",'Calculations'!IB223,IF('Calculations'!IA223&lt;&gt;"",'Calculations'!IA223,IF('Calculations'!HZ223&lt;&gt;"",'Calculations'!HZ223,IF('Calculations'!HY223&lt;&gt;"",'Calculations'!HY223,IF('Calculations'!HX223&lt;&gt;"",'Calculations'!HX223,IF('Calculations'!HW223&lt;&gt;"",'Calculations'!HW223,IF('Calculations'!HV223&lt;&gt;"",'Calculations'!HV223,IF('Calculations'!HU223&lt;&gt;"",'Calculations'!HU223,IF('Calculations'!HT223&lt;&gt;"",'Calculations'!HT223,IF('Calculations'!HS223&lt;&gt;"",'Calculations'!HS223,IF('Calculations'!HR223&lt;&gt;"",'Calculations'!HR223,IF('Calculations'!HQ223&lt;&gt;"",'Calculations'!HQ223,IF('Calculations'!HP223&lt;&gt;"",'Calculations'!HP223,IF('Calculations'!HO223&lt;&gt;"",'Calculations'!HO223,'Calculations'!HE223))))))))))))))))))))))</x:f>
      </x:c>
      <x:c r="HN223" t="str">
        <x:f>IF('Calculations'!EM223="","",IF(IFERROR(IF(INDEX(INDIRECT("'WCM Calibration Final'!$F$1:$F$2000"),'Calculations'!$EM223)="","",TRIM(INDEX(INDIRECT("'WCM Calibration Final'!$F$1:$F$2000"),'Calculations'!$EM223)&amp;"")),"")="","(Blank)",IFERROR(IF(INDEX(INDIRECT("'WCM Calibration Final'!$F$1:$F$2000"),'Calculations'!$EM223)="","",TRIM(INDEX(INDIRECT("'WCM Calibration Final'!$F$1:$F$2000"),'Calculations'!$EM223)&amp;"")),"")))</x:f>
      </x:c>
      <x:c r="HO223" t="str">
        <x:f>'Calculations'!HF223</x:f>
      </x:c>
      <x:c r="HP223" t="str">
        <x:f>IF('Calculations'!HO223="","",IF('Calculations'!HO223="!AMBIG","!AMBIG",IF(COUNTIF('Calculations'!$HE$13:$HE$512,"="&amp;SUBSTITUTE(SUBSTITUTE(SUBSTITUTE('Calculations'!HO223,"~","~~"),"*","~*"),"?","~?"))&gt;1,"!AMBIG",IFERROR(INDEX('Calculations'!$HF$13:$HF$512,MATCH('Calculations'!HO223,'Calculations'!$HE$13:$HE$512,0)),""))))</x:f>
      </x:c>
      <x:c r="HQ223" t="str">
        <x:f>IF('Calculations'!HP223="","",IF('Calculations'!HP223="!AMBIG","!AMBIG",IF(COUNTIF('Calculations'!$HE$13:$HE$512,"="&amp;SUBSTITUTE(SUBSTITUTE(SUBSTITUTE('Calculations'!HP223,"~","~~"),"*","~*"),"?","~?"))&gt;1,"!AMBIG",IFERROR(INDEX('Calculations'!$HF$13:$HF$512,MATCH('Calculations'!HP223,'Calculations'!$HE$13:$HE$512,0)),""))))</x:f>
      </x:c>
      <x:c r="HR223" t="str">
        <x:f>IF('Calculations'!HQ223="","",IF('Calculations'!HQ223="!AMBIG","!AMBIG",IF(COUNTIF('Calculations'!$HE$13:$HE$512,"="&amp;SUBSTITUTE(SUBSTITUTE(SUBSTITUTE('Calculations'!HQ223,"~","~~"),"*","~*"),"?","~?"))&gt;1,"!AMBIG",IFERROR(INDEX('Calculations'!$HF$13:$HF$512,MATCH('Calculations'!HQ223,'Calculations'!$HE$13:$HE$512,0)),""))))</x:f>
      </x:c>
      <x:c r="HS223" t="str">
        <x:f>IF('Calculations'!HR223="","",IF('Calculations'!HR223="!AMBIG","!AMBIG",IF(COUNTIF('Calculations'!$HE$13:$HE$512,"="&amp;SUBSTITUTE(SUBSTITUTE(SUBSTITUTE('Calculations'!HR223,"~","~~"),"*","~*"),"?","~?"))&gt;1,"!AMBIG",IFERROR(INDEX('Calculations'!$HF$13:$HF$512,MATCH('Calculations'!HR223,'Calculations'!$HE$13:$HE$512,0)),""))))</x:f>
      </x:c>
      <x:c r="HT223" t="str">
        <x:f>IF('Calculations'!HS223="","",IF('Calculations'!HS223="!AMBIG","!AMBIG",IF(COUNTIF('Calculations'!$HE$13:$HE$512,"="&amp;SUBSTITUTE(SUBSTITUTE(SUBSTITUTE('Calculations'!HS223,"~","~~"),"*","~*"),"?","~?"))&gt;1,"!AMBIG",IFERROR(INDEX('Calculations'!$HF$13:$HF$512,MATCH('Calculations'!HS223,'Calculations'!$HE$13:$HE$512,0)),""))))</x:f>
      </x:c>
      <x:c r="HU223" t="str">
        <x:f>IF('Calculations'!HT223="","",IF('Calculations'!HT223="!AMBIG","!AMBIG",IF(COUNTIF('Calculations'!$HE$13:$HE$512,"="&amp;SUBSTITUTE(SUBSTITUTE(SUBSTITUTE('Calculations'!HT223,"~","~~"),"*","~*"),"?","~?"))&gt;1,"!AMBIG",IFERROR(INDEX('Calculations'!$HF$13:$HF$512,MATCH('Calculations'!HT223,'Calculations'!$HE$13:$HE$512,0)),""))))</x:f>
      </x:c>
      <x:c r="HV223" t="str">
        <x:f>IF('Calculations'!HU223="","",IF('Calculations'!HU223="!AMBIG","!AMBIG",IF(COUNTIF('Calculations'!$HE$13:$HE$512,"="&amp;SUBSTITUTE(SUBSTITUTE(SUBSTITUTE('Calculations'!HU223,"~","~~"),"*","~*"),"?","~?"))&gt;1,"!AMBIG",IFERROR(INDEX('Calculations'!$HF$13:$HF$512,MATCH('Calculations'!HU223,'Calculations'!$HE$13:$HE$512,0)),""))))</x:f>
      </x:c>
      <x:c r="HW223" t="str">
        <x:f>IF('Calculations'!HV223="","",IF('Calculations'!HV223="!AMBIG","!AMBIG",IF(COUNTIF('Calculations'!$HE$13:$HE$512,"="&amp;SUBSTITUTE(SUBSTITUTE(SUBSTITUTE('Calculations'!HV223,"~","~~"),"*","~*"),"?","~?"))&gt;1,"!AMBIG",IFERROR(INDEX('Calculations'!$HF$13:$HF$512,MATCH('Calculations'!HV223,'Calculations'!$HE$13:$HE$512,0)),""))))</x:f>
      </x:c>
      <x:c r="HX223" t="str">
        <x:f>IF('Calculations'!HW223="","",IF('Calculations'!HW223="!AMBIG","!AMBIG",IF(COUNTIF('Calculations'!$HE$13:$HE$512,"="&amp;SUBSTITUTE(SUBSTITUTE(SUBSTITUTE('Calculations'!HW223,"~","~~"),"*","~*"),"?","~?"))&gt;1,"!AMBIG",IFERROR(INDEX('Calculations'!$HF$13:$HF$512,MATCH('Calculations'!HW223,'Calculations'!$HE$13:$HE$512,0)),""))))</x:f>
      </x:c>
      <x:c r="HY223" t="str">
        <x:f>IF('Calculations'!HX223="","",IF('Calculations'!HX223="!AMBIG","!AMBIG",IF(COUNTIF('Calculations'!$HE$13:$HE$512,"="&amp;SUBSTITUTE(SUBSTITUTE(SUBSTITUTE('Calculations'!HX223,"~","~~"),"*","~*"),"?","~?"))&gt;1,"!AMBIG",IFERROR(INDEX('Calculations'!$HF$13:$HF$512,MATCH('Calculations'!HX223,'Calculations'!$HE$13:$HE$512,0)),""))))</x:f>
      </x:c>
      <x:c r="HZ223" t="str">
        <x:f>IF('Calculations'!HY223="","",IF('Calculations'!HY223="!AMBIG","!AMBIG",IF(COUNTIF('Calculations'!$HE$13:$HE$512,"="&amp;SUBSTITUTE(SUBSTITUTE(SUBSTITUTE('Calculations'!HY223,"~","~~"),"*","~*"),"?","~?"))&gt;1,"!AMBIG",IFERROR(INDEX('Calculations'!$HF$13:$HF$512,MATCH('Calculations'!HY223,'Calculations'!$HE$13:$HE$512,0)),""))))</x:f>
      </x:c>
      <x:c r="IA223" t="str">
        <x:f>IF('Calculations'!HZ223="","",IF('Calculations'!HZ223="!AMBIG","!AMBIG",IF(COUNTIF('Calculations'!$HE$13:$HE$512,"="&amp;SUBSTITUTE(SUBSTITUTE(SUBSTITUTE('Calculations'!HZ223,"~","~~"),"*","~*"),"?","~?"))&gt;1,"!AMBIG",IFERROR(INDEX('Calculations'!$HF$13:$HF$512,MATCH('Calculations'!HZ223,'Calculations'!$HE$13:$HE$512,0)),""))))</x:f>
      </x:c>
      <x:c r="IB223" t="str">
        <x:f>IF('Calculations'!IA223="","",IF('Calculations'!IA223="!AMBIG","!AMBIG",IF(COUNTIF('Calculations'!$HE$13:$HE$512,"="&amp;SUBSTITUTE(SUBSTITUTE(SUBSTITUTE('Calculations'!IA223,"~","~~"),"*","~*"),"?","~?"))&gt;1,"!AMBIG",IFERROR(INDEX('Calculations'!$HF$13:$HF$512,MATCH('Calculations'!IA223,'Calculations'!$HE$13:$HE$512,0)),""))))</x:f>
      </x:c>
      <x:c r="IC223" t="str">
        <x:f>IF('Calculations'!IB223="","",IF('Calculations'!IB223="!AMBIG","!AMBIG",IF(COUNTIF('Calculations'!$HE$13:$HE$512,"="&amp;SUBSTITUTE(SUBSTITUTE(SUBSTITUTE('Calculations'!IB223,"~","~~"),"*","~*"),"?","~?"))&gt;1,"!AMBIG",IFERROR(INDEX('Calculations'!$HF$13:$HF$512,MATCH('Calculations'!IB223,'Calculations'!$HE$13:$HE$512,0)),""))))</x:f>
      </x:c>
      <x:c r="ID223" t="str">
        <x:f>IF('Calculations'!IC223="","",IF('Calculations'!IC223="!AMBIG","!AMBIG",IF(COUNTIF('Calculations'!$HE$13:$HE$512,"="&amp;SUBSTITUTE(SUBSTITUTE(SUBSTITUTE('Calculations'!IC223,"~","~~"),"*","~*"),"?","~?"))&gt;1,"!AMBIG",IFERROR(INDEX('Calculations'!$HF$13:$HF$512,MATCH('Calculations'!IC223,'Calculations'!$HE$13:$HE$512,0)),""))))</x:f>
      </x:c>
      <x:c r="IE223" t="str">
        <x:f>IF('Calculations'!ID223="","",IF('Calculations'!ID223="!AMBIG","!AMBIG",IF(COUNTIF('Calculations'!$HE$13:$HE$512,"="&amp;SUBSTITUTE(SUBSTITUTE(SUBSTITUTE('Calculations'!ID223,"~","~~"),"*","~*"),"?","~?"))&gt;1,"!AMBIG",IFERROR(INDEX('Calculations'!$HF$13:$HF$512,MATCH('Calculations'!ID223,'Calculations'!$HE$13:$HE$512,0)),""))))</x:f>
      </x:c>
      <x:c r="IF223" t="str">
        <x:f>IF('Calculations'!IE223="","",IF('Calculations'!IE223="!AMBIG","!AMBIG",IF(COUNTIF('Calculations'!$HE$13:$HE$512,"="&amp;SUBSTITUTE(SUBSTITUTE(SUBSTITUTE('Calculations'!IE223,"~","~~"),"*","~*"),"?","~?"))&gt;1,"!AMBIG",IFERROR(INDEX('Calculations'!$HF$13:$HF$512,MATCH('Calculations'!IE223,'Calculations'!$HE$13:$HE$512,0)),""))))</x:f>
      </x:c>
      <x:c r="IG223" t="str">
        <x:f>IF('Calculations'!IF223="","",IF('Calculations'!IF223="!AMBIG","!AMBIG",IF(COUNTIF('Calculations'!$HE$13:$HE$512,"="&amp;SUBSTITUTE(SUBSTITUTE(SUBSTITUTE('Calculations'!IF223,"~","~~"),"*","~*"),"?","~?"))&gt;1,"!AMBIG",IFERROR(INDEX('Calculations'!$HF$13:$HF$512,MATCH('Calculations'!IF223,'Calculations'!$HE$13:$HE$512,0)),""))))</x:f>
      </x:c>
      <x:c r="IH223" t="str">
        <x:f>IF('Calculations'!IG223="","",IF('Calculations'!IG223="!AMBIG","!AMBIG",IF(COUNTIF('Calculations'!$HE$13:$HE$512,"="&amp;SUBSTITUTE(SUBSTITUTE(SUBSTITUTE('Calculations'!IG223,"~","~~"),"*","~*"),"?","~?"))&gt;1,"!AMBIG",IFERROR(INDEX('Calculations'!$HF$13:$HF$512,MATCH('Calculations'!IG223,'Calculations'!$HE$13:$HE$512,0)),""))))</x:f>
      </x:c>
      <x:c r="II223" t="str">
        <x:f>IF('Calculations'!IH223="","",IF('Calculations'!IH223="!AMBIG","!AMBIG",IF(COUNTIF('Calculations'!$HE$13:$HE$512,"="&amp;SUBSTITUTE(SUBSTITUTE(SUBSTITUTE('Calculations'!IH223,"~","~~"),"*","~*"),"?","~?"))&gt;1,"!AMBIG",IFERROR(INDEX('Calculations'!$HF$13:$HF$512,MATCH('Calculations'!IH223,'Calculations'!$HE$13:$HE$512,0)),""))))</x:f>
      </x:c>
      <x:c r="IJ223" t="str">
        <x:f>IF('Calculations'!EM223="","",IF('Calculations'!$EF$2="All",'Calculations'!HM223,IF('Calculations'!HL223=1,"",IFERROR(IF(MATCH('Calculations'!$EF$2,'Calculations'!HO223:II223,0)=1,'Calculations'!HE223,INDEX('Calculations'!HO223:II223,1,MATCH('Calculations'!$EF$2,'Calculations'!HO223:II223,0)-1)),""))))</x:f>
      </x:c>
      <x:c r="IK223" t="n">
        <x:f>IF(AND('Calculations'!EM223&lt;&gt;"",'Calculations'!$EF$2&lt;&gt;"All",'Calculations'!HF223='Calculations'!$EF$2,'Calculations'!HL223=0,'Calculations'!JD223&gt;0),MAX('Calculations'!$IK$12:IK222)+1,0)</x:f>
        <x:v>0</x:v>
      </x:c>
      <x:c r="JA223" t="n">
        <x:f>IF(OR(IFERROR(INDIRECT("'WCM Calibration Final'!$A$223")&lt;&gt;"",FALSE),IFERROR(INDIRECT("'WCM Calibration Final'!$B$223")&lt;&gt;"",FALSE),IFERROR(INDIRECT("'WCM Calibration Final'!$C$223")&lt;&gt;"",FALSE)),223,0)</x:f>
        <x:v>0</x:v>
      </x:c>
      <x:c r="JB223" t="n">
        <x:f>'Calculations'!JB222+IF('Calculations'!JA223&gt;0,1,0)</x:f>
        <x:v>0</x:v>
      </x:c>
      <x:c r="JC223" t="n">
        <x:f>IF(OR('Calculations'!HF223="",'Calculations'!HF223="!AMBIG"),0,IF('Dashboard'!$B$7="All",1,COUNTIFS('Calculations'!$HO$13:$HO$512,"="&amp;SUBSTITUTE(SUBSTITUTE(SUBSTITUTE('Calculations'!HF223,"~","~~"),"*","~*"),"?","~?"),'Calculations'!$HN$13:$HN$512,"="&amp;SUBSTITUTE(SUBSTITUTE(SUBSTITUTE('Dashboard'!$B$7,"~","~~"),"*","~*"),"?","~?"))+COUNTIFS('Calculations'!$HP$13:$HP$512,"="&amp;SUBSTITUTE(SUBSTITUTE(SUBSTITUTE('Calculations'!HF223,"~","~~"),"*","~*"),"?","~?"),'Calculations'!$HN$13:$HN$512,"="&amp;SUBSTITUTE(SUBSTITUTE(SUBSTITUTE('Dashboard'!$B$7,"~","~~"),"*","~*"),"?","~?"))+COUNTIFS('Calculations'!$HQ$13:$HQ$512,"="&amp;SUBSTITUTE(SUBSTITUTE(SUBSTITUTE('Calculations'!HF223,"~","~~"),"*","~*"),"?","~?"),'Calculations'!$HN$13:$HN$512,"="&amp;SUBSTITUTE(SUBSTITUTE(SUBSTITUTE('Dashboard'!$B$7,"~","~~"),"*","~*"),"?","~?"))+COUNTIFS('Calculations'!$HR$13:$HR$512,"="&amp;SUBSTITUTE(SUBSTITUTE(SUBSTITUTE('Calculations'!HF223,"~","~~"),"*","~*"),"?","~?"),'Calculations'!$HN$13:$HN$512,"="&amp;SUBSTITUTE(SUBSTITUTE(SUBSTITUTE('Dashboard'!$B$7,"~","~~"),"*","~*"),"?","~?"))+COUNTIFS('Calculations'!$HS$13:$HS$512,"="&amp;SUBSTITUTE(SUBSTITUTE(SUBSTITUTE('Calculations'!HF223,"~","~~"),"*","~*"),"?","~?"),'Calculations'!$HN$13:$HN$512,"="&amp;SUBSTITUTE(SUBSTITUTE(SUBSTITUTE('Dashboard'!$B$7,"~","~~"),"*","~*"),"?","~?"))+COUNTIFS('Calculations'!$HT$13:$HT$512,"="&amp;SUBSTITUTE(SUBSTITUTE(SUBSTITUTE('Calculations'!HF223,"~","~~"),"*","~*"),"?","~?"),'Calculations'!$HN$13:$HN$512,"="&amp;SUBSTITUTE(SUBSTITUTE(SUBSTITUTE('Dashboard'!$B$7,"~","~~"),"*","~*"),"?","~?"))+COUNTIFS('Calculations'!$HU$13:$HU$512,"="&amp;SUBSTITUTE(SUBSTITUTE(SUBSTITUTE('Calculations'!HF223,"~","~~"),"*","~*"),"?","~?"),'Calculations'!$HN$13:$HN$512,"="&amp;SUBSTITUTE(SUBSTITUTE(SUBSTITUTE('Dashboard'!$B$7,"~","~~"),"*","~*"),"?","~?"))+COUNTIFS('Calculations'!$HV$13:$HV$512,"="&amp;SUBSTITUTE(SUBSTITUTE(SUBSTITUTE('Calculations'!HF223,"~","~~"),"*","~*"),"?","~?"),'Calculations'!$HN$13:$HN$512,"="&amp;SUBSTITUTE(SUBSTITUTE(SUBSTITUTE('Dashboard'!$B$7,"~","~~"),"*","~*"),"?","~?"))+COUNTIFS('Calculations'!$HW$13:$HW$512,"="&amp;SUBSTITUTE(SUBSTITUTE(SUBSTITUTE('Calculations'!HF223,"~","~~"),"*","~*"),"?","~?"),'Calculations'!$HN$13:$HN$512,"="&amp;SUBSTITUTE(SUBSTITUTE(SUBSTITUTE('Dashboard'!$B$7,"~","~~"),"*","~*"),"?","~?"))+COUNTIFS('Calculations'!$HX$13:$HX$512,"="&amp;SUBSTITUTE(SUBSTITUTE(SUBSTITUTE('Calculations'!HF223,"~","~~"),"*","~*"),"?","~?"),'Calculations'!$HN$13:$HN$512,"="&amp;SUBSTITUTE(SUBSTITUTE(SUBSTITUTE('Dashboard'!$B$7,"~","~~"),"*","~*"),"?","~?"))+COUNTIFS('Calculations'!$HY$13:$HY$512,"="&amp;SUBSTITUTE(SUBSTITUTE(SUBSTITUTE('Calculations'!HF223,"~","~~"),"*","~*"),"?","~?"),'Calculations'!$HN$13:$HN$512,"="&amp;SUBSTITUTE(SUBSTITUTE(SUBSTITUTE('Dashboard'!$B$7,"~","~~"),"*","~*"),"?","~?"))+COUNTIFS('Calculations'!$HZ$13:$HZ$512,"="&amp;SUBSTITUTE(SUBSTITUTE(SUBSTITUTE('Calculations'!HF223,"~","~~"),"*","~*"),"?","~?"),'Calculations'!$HN$13:$HN$512,"="&amp;SUBSTITUTE(SUBSTITUTE(SUBSTITUTE('Dashboard'!$B$7,"~","~~"),"*","~*"),"?","~?"))+COUNTIFS('Calculations'!$IA$13:$IA$512,"="&amp;SUBSTITUTE(SUBSTITUTE(SUBSTITUTE('Calculations'!HF223,"~","~~"),"*","~*"),"?","~?"),'Calculations'!$HN$13:$HN$512,"="&amp;SUBSTITUTE(SUBSTITUTE(SUBSTITUTE('Dashboard'!$B$7,"~","~~"),"*","~*"),"?","~?"))+COUNTIFS('Calculations'!$IB$13:$IB$512,"="&amp;SUBSTITUTE(SUBSTITUTE(SUBSTITUTE('Calculations'!HF223,"~","~~"),"*","~*"),"?","~?"),'Calculations'!$HN$13:$HN$512,"="&amp;SUBSTITUTE(SUBSTITUTE(SUBSTITUTE('Dashboard'!$B$7,"~","~~"),"*","~*"),"?","~?"))+COUNTIFS('Calculations'!$IC$13:$IC$512,"="&amp;SUBSTITUTE(SUBSTITUTE(SUBSTITUTE('Calculations'!HF223,"~","~~"),"*","~*"),"?","~?"),'Calculations'!$HN$13:$HN$512,"="&amp;SUBSTITUTE(SUBSTITUTE(SUBSTITUTE('Dashboard'!$B$7,"~","~~"),"*","~*"),"?","~?"))+COUNTIFS('Calculations'!$ID$13:$ID$512,"="&amp;SUBSTITUTE(SUBSTITUTE(SUBSTITUTE('Calculations'!HF223,"~","~~"),"*","~*"),"?","~?"),'Calculations'!$HN$13:$HN$512,"="&amp;SUBSTITUTE(SUBSTITUTE(SUBSTITUTE('Dashboard'!$B$7,"~","~~"),"*","~*"),"?","~?"))+COUNTIFS('Calculations'!$IE$13:$IE$512,"="&amp;SUBSTITUTE(SUBSTITUTE(SUBSTITUTE('Calculations'!HF223,"~","~~"),"*","~*"),"?","~?"),'Calculations'!$HN$13:$HN$512,"="&amp;SUBSTITUTE(SUBSTITUTE(SUBSTITUTE('Dashboard'!$B$7,"~","~~"),"*","~*"),"?","~?"))+COUNTIFS('Calculations'!$IF$13:$IF$512,"="&amp;SUBSTITUTE(SUBSTITUTE(SUBSTITUTE('Calculations'!HF223,"~","~~"),"*","~*"),"?","~?"),'Calculations'!$HN$13:$HN$512,"="&amp;SUBSTITUTE(SUBSTITUTE(SUBSTITUTE('Dashboard'!$B$7,"~","~~"),"*","~*"),"?","~?"))+COUNTIFS('Calculations'!$IG$13:$IG$512,"="&amp;SUBSTITUTE(SUBSTITUTE(SUBSTITUTE('Calculations'!HF223,"~","~~"),"*","~*"),"?","~?"),'Calculations'!$HN$13:$HN$512,"="&amp;SUBSTITUTE(SUBSTITUTE(SUBSTITUTE('Dashboard'!$B$7,"~","~~"),"*","~*"),"?","~?"))+COUNTIFS('Calculations'!$IH$13:$IH$512,"="&amp;SUBSTITUTE(SUBSTITUTE(SUBSTITUTE('Calculations'!HF223,"~","~~"),"*","~*"),"?","~?"),'Calculations'!$HN$13:$HN$512,"="&amp;SUBSTITUTE(SUBSTITUTE(SUBSTITUTE('Dashboard'!$B$7,"~","~~"),"*","~*"),"?","~?"))))</x:f>
        <x:v>0</x:v>
      </x:c>
      <x:c r="JD223" t="n">
        <x:f>IF('Calculations'!EM223="",0,IF('Dashboard'!$B$7="All",1,IF('Calculations'!HN223='Dashboard'!$B$7,1,0)+IFERROR(INDEX('Calculations'!$JC$13:$JC$512,MATCH('Calculations'!HE223,'Calculations'!$HF$13:$HF$512,0)),0)))</x:f>
        <x:v>0</x:v>
      </x:c>
      <x:c r="JE223" t="n">
        <x:f>IF(AND('Calculations'!EM223&lt;&gt;"",'Calculations'!$JJ$2&lt;&gt;"All",'Calculations'!$JJ$2&lt;&gt;"",'Calculations'!HF223='Calculations'!$JJ$2,'Calculations'!HL223=0,'Calculations'!JD223&gt;0),MAX('Calculations'!$JE$12:JE222)+1,0)</x:f>
        <x:v>0</x:v>
      </x:c>
      <x:c r="JF223" t="str">
        <x:f>IF('Calculations'!EM223="","",IFERROR(IF(INDEX(INDIRECT("'WCM Calibration Final'!$G$1:$G$2000"),'Calculations'!$EM223)="","",TRIM(INDEX(INDIRECT("'WCM Calibration Final'!$G$1:$G$2000"),'Calculations'!$EM223)&amp;"")),""))</x:f>
      </x:c>
      <x:c r="JQ223" t="n">
        <x:f>IF(OR('Calculations'!BM223=0,NOT('Calculations'!$AG$2),'Calculations'!$AG$8&gt;0),0,IF(OR('Dashboard'!$B$7="All",'Calculations'!HN223='Dashboard'!$B$7),IF('Calculations'!$JJ$2="All",1,IF(AND('Calculations'!HF223='Calculations'!$JJ$2,'Calculations'!HL223=0),1,0)),0))</x:f>
        <x:v>0</x:v>
      </x:c>
    </x:row>
    <x:row r="224">
      <x:c r="AF224" s="4" t="str">
        <x:f>IF('Calculations'!AH224=0,"","VP (n="&amp;'Calculations'!AH224&amp;")")</x:f>
      </x:c>
      <x:c r="AG224" s="4" t="n">
        <x:f>COUNTIFS('Calculations'!$BN$13:$BN$512,1,'Calculations'!$BV$13:$BV$512,'Calculations'!AT224)</x:f>
        <x:v>0</x:v>
      </x:c>
      <x:c r="AH224" s="4" t="n">
        <x:f>SUM('Calculations'!AJ224:AM224)</x:f>
        <x:v>0</x:v>
      </x:c>
      <x:c r="AI224" s="4" t="n">
        <x:f>'Calculations'!AG224-'Calculations'!AH224</x:f>
        <x:v>0</x:v>
      </x:c>
      <x:c r="AJ224" s="4" t="n">
        <x:f>COUNTIFS('Calculations'!$BN$13:$BN$512,1,'Calculations'!$BV$13:$BV$512,'Calculations'!AT224,'Calculations'!$BO$13:$BO$512,1)</x:f>
        <x:v>0</x:v>
      </x:c>
      <x:c r="AK224" s="4" t="n">
        <x:f>COUNTIFS('Calculations'!$BN$13:$BN$512,1,'Calculations'!$BV$13:$BV$512,'Calculations'!AT224,'Calculations'!$BO$13:$BO$512,2)</x:f>
        <x:v>0</x:v>
      </x:c>
      <x:c r="AL224" s="4" t="n">
        <x:f>COUNTIFS('Calculations'!$BN$13:$BN$512,1,'Calculations'!$BV$13:$BV$512,'Calculations'!AT224,'Calculations'!$BO$13:$BO$512,3)</x:f>
        <x:v>0</x:v>
      </x:c>
      <x:c r="AM224" s="4" t="n">
        <x:f>COUNTIFS('Calculations'!$BN$13:$BN$512,1,'Calculations'!$BV$13:$BV$512,'Calculations'!AT224,'Calculations'!$BO$13:$BO$512,4)</x:f>
        <x:v>0</x:v>
      </x:c>
      <x:c r="AN224" s="4"/>
      <x:c r="AO224" s="4" t="n">
        <x:f>IF('Calculations'!AH224=0,0,'Calculations'!AJ224/'Calculations'!AH224)</x:f>
        <x:v>0</x:v>
      </x:c>
      <x:c r="AP224" s="4" t="n">
        <x:f>IF('Calculations'!AH224=0,0,'Calculations'!AK224/'Calculations'!AH224)</x:f>
        <x:v>0</x:v>
      </x:c>
      <x:c r="AQ224" s="4" t="n">
        <x:f>IF('Calculations'!AH224=0,0,'Calculations'!AL224/'Calculations'!AH224)</x:f>
        <x:v>0</x:v>
      </x:c>
      <x:c r="AR224" s="4" t="n">
        <x:f>IF('Calculations'!AH224=0,0,'Calculations'!AM224/'Calculations'!AH224)</x:f>
        <x:v>0</x:v>
      </x:c>
      <x:c r="AS224" s="4"/>
      <x:c r="AT224" s="4" t="str">
        <x:v>VICE PRESIDENT</x:v>
      </x:c>
      <x:c r="AU224" s="4"/>
      <x:c r="AV224" s="4"/>
      <x:c r="AW224" s="4"/>
      <x:c r="AX224" s="4"/>
      <x:c r="AY224" s="4"/>
      <x:c r="AZ224" s="4"/>
      <x:c r="BA224" s="4"/>
      <x:c r="BB224" s="4"/>
      <x:c r="BC224" s="4"/>
      <x:c r="BD224" s="4"/>
      <x:c r="BE224" s="4"/>
      <x:c r="BF224" s="4"/>
      <x:c r="BG224" s="4"/>
      <x:c r="BH224" s="4"/>
      <x:c r="BI224" s="4"/>
      <x:c r="BJ224" s="4"/>
      <x:c r="BK224" s="4"/>
      <x:c r="BL224" s="4"/>
      <x:c r="BM224" s="4" t="n">
        <x:f>IF('Calculations'!$EM224="",0,IF(OR(IFERROR(INDEX(INDIRECT("'WCM Calibration Final'!$A$1:$A$2000"),'Calculations'!$EM224)&lt;&gt;"",FALSE),IFERROR(INDEX(INDIRECT("'WCM Calibration Final'!$B$1:$B$2000"),'Calculations'!$EM224)&lt;&gt;"",FALSE),IFERROR(INDEX(INDIRECT("'WCM Calibration Final'!$C$1:$C$2000"),'Calculations'!$EM224)&lt;&gt;"",FALSE)),1,0))</x:f>
        <x:v>0</x:v>
      </x:c>
      <x:c r="BN224" s="4" t="n">
        <x:f>IF(AND('Calculations'!BM224=1,'Calculations'!$AG$2,'Calculations'!$EN224=1),1,0)</x:f>
        <x:v>0</x:v>
      </x:c>
      <x:c r="BO224" s="4" t="str">
        <x:f>IF('Calculations'!BM224=0,"",IFERROR(IF(AND(VALUE(INDEX(INDIRECT("'WCM Calibration Final'!$K$1:$K$2000"),'Calculations'!$EM224))&gt;=1,VALUE(INDEX(INDIRECT("'WCM Calibration Final'!$K$1:$K$2000"),'Calculations'!$EM224))&lt;=4,MOD(VALUE(INDEX(INDIRECT("'WCM Calibration Final'!$K$1:$K$2000"),'Calculations'!$EM224)),1)=0),VALUE(INDEX(INDIRECT("'WCM Calibration Final'!$K$1:$K$2000"),'Calculations'!$EM224)),""),""))</x:f>
      </x:c>
      <x:c r="BP224" s="4" t="str">
        <x:f>IF('Calculations'!BM224=0,"",IFERROR(IF(AND(VALUE(INDEX(INDIRECT("'WCM Calibration Final'!$L$1:$L$2000"),'Calculations'!$EM224))&gt;=1,VALUE(INDEX(INDIRECT("'WCM Calibration Final'!$L$1:$L$2000"),'Calculations'!$EM224))&lt;=4,MOD(VALUE(INDEX(INDIRECT("'WCM Calibration Final'!$L$1:$L$2000"),'Calculations'!$EM224)),1)=0),VALUE(INDEX(INDIRECT("'WCM Calibration Final'!$L$1:$L$2000"),'Calculations'!$EM224)),""),""))</x:f>
      </x:c>
      <x:c r="BQ224" s="4"/>
      <x:c r="BR224" s="4"/>
      <x:c r="BS224" s="4"/>
      <x:c r="BT224" s="4" t="n">
        <x:f>IF(AND('Calculations'!BM224=1,ISNUMBER('Calculations'!BO224),ISNUMBER('Calculations'!BP224)),1,0)</x:f>
        <x:v>0</x:v>
      </x:c>
      <x:c r="BU224" s="4" t="str">
        <x:f>IF('Calculations'!BM224=0,"",'Calculations'!$EO224)</x:f>
      </x:c>
      <x:c r="BV224" s="4" t="str">
        <x:f>IF('Calculations'!BM224=0,"",IFERROR(IF(OR(INDEX(INDIRECT("'WCM Calibration Final'!$H$1:$H$2000"),'Calculations'!$EM224)="MANAGING DIRECTOR",INDEX(INDIRECT("'WCM Calibration Final'!$H$1:$H$2000"),'Calculations'!$EM224)="DIRECTOR",INDEX(INDIRECT("'WCM Calibration Final'!$H$1:$H$2000"),'Calculations'!$EM224)="SENIOR VICE PRESIDENT",INDEX(INDIRECT("'WCM Calibration Final'!$H$1:$H$2000"),'Calculations'!$EM224)="VICE PRESIDENT",INDEX(INDIRECT("'WCM Calibration Final'!$H$1:$H$2000"),'Calculations'!$EM224)="ASSISTANT VICE PRESIDENT",INDEX(INDIRECT("'WCM Calibration Final'!$H$1:$H$2000"),'Calculations'!$EM224)="OFFICER"),UPPER(INDEX(INDIRECT("'WCM Calibration Final'!$H$1:$H$2000"),'Calculations'!$EM224)),"Other"),"Other"))</x:f>
      </x:c>
      <x:c r="BW224" s="4"/>
      <x:c r="BX224" s="4"/>
      <x:c r="BY224" s="4" t="n">
        <x:f>IF(AND('Calculations'!BM224=1,'Calculations'!BU224&lt;&gt;"",COUNTIF('Calculations'!$BU$12:BU224,'Calculations'!BU224)=1),MAX('Calculations'!$BY$11:BY223)+1,0)</x:f>
        <x:v>0</x:v>
      </x:c>
      <x:c r="BZ224" s="4" t="str">
        <x:f>IF('Dashboard'!$E$67="What",'Calculations'!BO224,'Calculations'!BP224)</x:f>
      </x:c>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t="str">
        <x:f>IF(213&gt;MAX('Calculations'!$HI$13:$HI$512),"",INDEX('Calculations'!$HN$13:$HN$512,MATCH(213,'Calculations'!$HI$13:$HI$512,0)))</x:f>
      </x:c>
      <x:c r="DB224" s="4" t="str">
        <x:f>IF(213&gt;MAX('Calculations'!$HH$13:$HH$512),"",INDEX('Calculations'!$HJ$13:$HJ$512,MATCH(213,'Calculations'!$HH$13:$HH$512,0)))</x:f>
      </x:c>
      <x:c r="DC224" s="4" t="str">
        <x:f>IF(ROW()-11&gt;MAX('Calculations'!$BY$13:$BY$512),"",INDEX('Calculations'!$BU$13:$BU$512,MATCH(ROW()-11,'Calculations'!$BY$13:$BY$512,0)))</x:f>
      </x:c>
      <x:c r="DD224" s="4" t="str">
        <x:f>IF(213&gt;MAX('Calculations'!$IK$13:$IK$512),"",INDEX('Calculations'!$HK$13:$HK$512,MATCH(213,'Calculations'!$IK$13:$IK$512,0)))</x:f>
      </x:c>
      <x:c r="DE224" s="4" t="str">
        <x:f>'Calculations'!DC224</x:f>
      </x:c>
      <x:c r="DF224" s="4" t="str">
        <x:f>IF('Calculations'!DE224="","",COUNTIFS('Calculations'!$BN$13:$BN$512,1,'Calculations'!$BU$13:$BU$512,'Calculations'!DE224))</x:f>
      </x:c>
      <x:c r="DG224" s="4" t="str">
        <x:f>IF('Calculations'!DE224="","",COUNTIFS('Calculations'!$BN$13:$BN$512,1,'Calculations'!$BU$13:$BU$512,'Calculations'!DE224,'Calculations'!$BT$13:$BT$512,1))</x:f>
      </x:c>
      <x:c r="DH224" s="4" t="str">
        <x:f>IF('Calculations'!DE224="","",'Calculations'!DF224-'Calculations'!DG224)</x:f>
      </x:c>
      <x:c r="DI224" s="4" t="str">
        <x:f>IF(OR('Calculations'!DE224="",'Calculations'!DF224=0),"",'Calculations'!DG224/'Calculations'!DF224)</x:f>
      </x:c>
      <x:c r="DJ224" s="4" t="str">
        <x:f>IF('Calculations'!DE224="","",COUNTIFS('Calculations'!$BN$13:$BN$512,1,'Calculations'!$BU$13:$BU$512,'Calculations'!DE224,'Calculations'!$BT$13:$BT$512,1,'Calculations'!$EE$13:$EE$512,"High"))</x:f>
      </x:c>
      <x:c r="DK224" s="4" t="str">
        <x:f>IF('Calculations'!DE224="","",COUNTIFS('Calculations'!$BN$13:$BN$512,1,'Calculations'!$BU$13:$BU$512,'Calculations'!DE224,'Calculations'!$BT$13:$BT$512,1,'Calculations'!$EE$13:$EE$512,"Strong"))</x:f>
      </x:c>
      <x:c r="DL224" s="4" t="str">
        <x:f>IF('Calculations'!DE224="","",COUNTIFS('Calculations'!$BN$13:$BN$512,1,'Calculations'!$BU$13:$BU$512,'Calculations'!DE224,'Calculations'!$BT$13:$BT$512,1,'Calculations'!$EE$13:$EE$512,"Solid"))</x:f>
      </x:c>
      <x:c r="DM224" s="4" t="str">
        <x:f>IF('Calculations'!DE224="","",COUNTIFS('Calculations'!$BN$13:$BN$512,1,'Calculations'!$BU$13:$BU$512,'Calculations'!DE224,'Calculations'!$BT$13:$BT$512,1,'Calculations'!$EE$13:$EE$512,"Low"))</x:f>
      </x:c>
      <x:c r="DN224" s="4" t="str">
        <x:f>IF('Calculations'!DE224="","",COUNTIFS('Calculations'!$BN$13:$BN$512,1,'Calculations'!$BU$13:$BU$512,'Calculations'!DE224,'Calculations'!$EP$13:$EP$512,1))</x:f>
      </x:c>
      <x:c r="DO224" s="4" t="str">
        <x:f>IF(OR('Calculations'!DE224="",'Calculations'!DG224=0),"",('Calculations'!DJ224+'Calculations'!DK224)/'Calculations'!DG224)</x:f>
      </x:c>
      <x:c r="DP224" s="4" t="n">
        <x:f>IF(AND('Calculations'!DE224&lt;&gt;"",'Calculations'!DF224&gt;0),COUNTIF('Calculations'!$DF$12:DF224,"&gt;0"),0)</x:f>
        <x:v>0</x:v>
      </x:c>
      <x:c r="DQ224" s="4" t="str">
        <x:f>IF(213&gt;MAX('Calculations'!$HH$13:$HH$512),"",INDEX('Calculations'!$HF$13:$HF$512,MATCH(213,'Calculations'!$HH$13:$HH$512,0)))</x:f>
      </x:c>
      <x:c r="DR224" s="4" t="str">
        <x:f>IF(213&gt;MAX('Calculations'!$IK$13:$IK$512),"",INDEX('Calculations'!$HE$13:$HE$512,MATCH(213,'Calculations'!$IK$13:$IK$512,0)))</x:f>
      </x:c>
      <x:c r="DS224" s="4"/>
      <x:c r="DT224" s="4"/>
      <x:c r="DU224" s="4"/>
      <x:c r="DV224" s="4"/>
      <x:c r="DW224" s="4"/>
      <x:c r="DX224" s="4"/>
      <x:c r="DY224" s="4"/>
      <x:c r="DZ224" s="4"/>
      <x:c r="EA224" s="4"/>
      <x:c r="EB224" s="4"/>
      <x:c r="EC224" s="4"/>
      <x:c r="ED224" s="4"/>
      <x:c r="EE224" s="4" t="str">
        <x:f>IF('Calculations'!BT224=0,"Not Rated",IF(OR('Calculations'!BO224&gt;=4,'Calculations'!BP224&gt;=4),"Low",IF('Calculations'!BO224+'Calculations'!BP224&lt;=3,"High",IF('Calculations'!BO224+'Calculations'!BP224&lt;=4,"Strong","Solid"))))</x:f>
        <x:v>Not Rated</x:v>
      </x:c>
      <x:c r="EF224" s="4"/>
      <x:c r="EG224" s="4"/>
      <x:c r="EH224" s="4"/>
      <x:c r="EI224" s="4"/>
      <x:c r="EJ224" s="4"/>
      <x:c r="EK224" s="4"/>
      <x:c r="EL224" s="4"/>
      <x:c r="EM224" s="4" t="str">
        <x:f>IF(212&gt;'Calculations'!$JB$2000,"",INDEX('Calculations'!$JA$12:$JA$2000,MATCH(212,'Calculations'!$JB$12:$JB$2000,0)))</x:f>
      </x:c>
      <x:c r="EN224" s="4" t="n">
        <x:f>IF(OR('Calculations'!EM224="",'Calculations'!$AG$8&gt;0,AND('Calculations'!$EF$2&lt;&gt;"All",'Calculations'!HE224='Calculations'!$EF$2),AND('Calculations'!$EF$3&lt;&gt;"All",'Calculations'!HE224='Calculations'!$EF$3)),0,IF(OR('Dashboard'!$B$7="All",'Calculations'!HN224='Dashboard'!$B$7),IF('Calculations'!$EF$2="All",1,IF('Calculations'!HL224&gt;0,0,IF(COUNTIF('Calculations'!HO224:II224,"="&amp;SUBSTITUTE(SUBSTITUTE(SUBSTITUTE('Calculations'!$EF$2,"~","~~"),"*","~*"),"?","~?"))=0,0,IF('Calculations'!$EF$3="All",1,IF(COUNTIF('Calculations'!HO224:II224,"="&amp;SUBSTITUTE(SUBSTITUTE(SUBSTITUTE('Calculations'!$EF$3,"~","~~"),"*","~*"),"?","~?"))&gt;0,1,0))))),0))</x:f>
        <x:v>0</x:v>
      </x:c>
      <x:c r="EO224" s="4" t="str">
        <x:f>IF('Calculations'!IJ224="","",IF('Calculations'!IJ224="!UNRESOLVED","Unresolved hierarchy",IFERROR(INDEX('Calculations'!$HK$13:$HK$512,MATCH('Calculations'!IJ224,'Calculations'!$HE$13:$HE$512,0)),IFERROR(INDEX('Calculations'!$HJ$13:$HJ$512,MATCH('Calculations'!IJ224,'Calculations'!$HF$13:$HF$512,0)),'Calculations'!IJ224))))</x:f>
      </x:c>
      <x:c r="EP224" s="4" t="n">
        <x:f>IF(AND('Calculations'!EM224&lt;&gt;"",'Calculations'!HF224='Calculations'!IJ224),1,0)</x:f>
        <x:v>0</x:v>
      </x:c>
      <x:c r="EQ224" s="4"/>
      <x:c r="ER224" s="4"/>
      <x:c r="ES224" s="4"/>
      <x:c r="ET224" s="4"/>
      <x:c r="EU224" s="4"/>
      <x:c r="EV224" s="4"/>
      <x:c r="EW224" s="4"/>
      <x:c r="EX224" s="4"/>
      <x:c r="EY224" s="4"/>
      <x:c r="EZ224" s="4"/>
      <x:c r="FA224" s="4"/>
      <x:c r="FB224" s="4"/>
      <x:c r="FC224" s="4"/>
      <x:c r="FD224" s="4"/>
      <x:c r="FE224" s="4"/>
      <x:c r="FF224" s="4"/>
      <x:c r="FG224" s="4"/>
      <x:c r="FH224" s="4"/>
      <x:c r="FI224" s="4"/>
      <x:c r="FJ224" s="4"/>
      <x:c r="FK224" s="4"/>
      <x:c r="FL224" s="4"/>
      <x:c r="FM224" s="4"/>
      <x:c r="FN224" s="4"/>
      <x:c r="FO224" s="4"/>
      <x:c r="HE224" t="str">
        <x:f>IF('Calculations'!EM224="","",IF(IFERROR(IF(INDEX(INDIRECT("'WCM Calibration Final'!$A$1:$A$2000"),'Calculations'!$EM224)="","",TRIM(INDEX(INDIRECT("'WCM Calibration Final'!$A$1:$A$2000"),'Calculations'!$EM224)&amp;"")),"")&lt;&gt;"","G:"&amp;IFERROR(TEXT(1*INDEX(INDIRECT("'WCM Calibration Final'!$A$1:$A$2000"),'Calculations'!$EM224),"0"),UPPER(IFERROR(IF(INDEX(INDIRECT("'WCM Calibration Final'!$A$1:$A$2000"),'Calculations'!$EM224)="","",TRIM(INDEX(INDIRECT("'WCM Calibration Final'!$A$1:$A$2000"),'Calculations'!$EM224)&amp;"")),""))),IF(IFERROR(IF(INDEX(INDIRECT("'WCM Calibration Final'!$C$1:$C$2000"),'Calculations'!$EM224)="","",TRIM(INDEX(INDIRECT("'WCM Calibration Final'!$C$1:$C$2000"),'Calculations'!$EM224)&amp;"")),"")&lt;&gt;"","S:"&amp;UPPER(IFERROR(IF(INDEX(INDIRECT("'WCM Calibration Final'!$C$1:$C$2000"),'Calculations'!$EM224)="","",TRIM(INDEX(INDIRECT("'WCM Calibration Final'!$C$1:$C$2000"),'Calculations'!$EM224)&amp;"")),"")),"R:"&amp;'Calculations'!EM224)))</x:f>
      </x:c>
      <x:c r="HF224" t="str">
        <x:f>IF('Calculations'!EM224="","",IF(IFERROR(IF(INDEX(INDIRECT("'WCM Calibration Final'!$D$1:$D$2000"),'Calculations'!$EM224)="","",TRIM(INDEX(INDIRECT("'WCM Calibration Final'!$D$1:$D$2000"),'Calculations'!$EM224)&amp;"")),"")&lt;&gt;"","G:"&amp;IFERROR(TEXT(1*INDEX(INDIRECT("'WCM Calibration Final'!$D$1:$D$2000"),'Calculations'!$EM224),"0"),UPPER(IFERROR(IF(INDEX(INDIRECT("'WCM Calibration Final'!$D$1:$D$2000"),'Calculations'!$EM224)="","",TRIM(INDEX(INDIRECT("'WCM Calibration Final'!$D$1:$D$2000"),'Calculations'!$EM224)&amp;"")),""))),IF(IFERROR(IF(INDEX(INDIRECT("'WCM Calibration Final'!$E$1:$E$2000"),'Calculations'!$EM224)="","",TRIM(INDEX(INDIRECT("'WCM Calibration Final'!$E$1:$E$2000"),'Calculations'!$EM224)&amp;"")),"")="","",IF(COUNTIF('Calculations'!$HG$13:$HG$512,"="&amp;SUBSTITUTE(SUBSTITUTE(SUBSTITUTE(IFERROR(IF(INDEX(INDIRECT("'WCM Calibration Final'!$E$1:$E$2000"),'Calculations'!$EM224)="","",TRIM(INDEX(INDIRECT("'WCM Calibration Final'!$E$1:$E$2000"),'Calculations'!$EM224)&amp;"")),""),"~","~~"),"*","~*"),"?","~?"))=1,INDEX('Calculations'!$HE$13:$HE$512,MATCH(IFERROR(IF(INDEX(INDIRECT("'WCM Calibration Final'!$E$1:$E$2000"),'Calculations'!$EM224)="","",TRIM(INDEX(INDIRECT("'WCM Calibration Final'!$E$1:$E$2000"),'Calculations'!$EM224)&amp;"")),""),'Calculations'!$HG$13:$HG$512,0)),IF(COUNTIF('Calculations'!$HG$13:$HG$512,"="&amp;SUBSTITUTE(SUBSTITUTE(SUBSTITUTE(IFERROR(IF(INDEX(INDIRECT("'WCM Calibration Final'!$E$1:$E$2000"),'Calculations'!$EM224)="","",TRIM(INDEX(INDIRECT("'WCM Calibration Final'!$E$1:$E$2000"),'Calculations'!$EM224)&amp;"")),""),"~","~~"),"*","~*"),"?","~?"))&gt;1,"!AMBIG","X:"&amp;IFERROR(IF(INDEX(INDIRECT("'WCM Calibration Final'!$E$1:$E$2000"),'Calculations'!$EM224)="","",TRIM(INDEX(INDIRECT("'WCM Calibration Final'!$E$1:$E$2000"),'Calculations'!$EM224)&amp;"")),""))))))</x:f>
      </x:c>
      <x:c r="HG224" t="str">
        <x:f>IF('Calculations'!EM224="","",IFERROR(IF(INDEX(INDIRECT("'WCM Calibration Final'!$B$1:$B$2000"),'Calculations'!$EM224)="","",TRIM(INDEX(INDIRECT("'WCM Calibration Final'!$B$1:$B$2000"),'Calculations'!$EM224)&amp;"")),""))</x:f>
      </x:c>
      <x:c r="HH224" t="n">
        <x:f>IF(AND('Calculations'!JC224&gt;0,COUNTIF('Calculations'!$HF$12:HF224,"="&amp;SUBSTITUTE(SUBSTITUTE(SUBSTITUTE('Calculations'!HF224,"~","~~"),"*","~*"),"?","~?"))=1),MAX('Calculations'!$HH$12:HH223)+1,0)</x:f>
        <x:v>0</x:v>
      </x:c>
      <x:c r="HI224" t="n">
        <x:f>IF(AND('Calculations'!HN224&lt;&gt;"",COUNTIF('Calculations'!$HN$12:HN224,"="&amp;SUBSTITUTE(SUBSTITUTE(SUBSTITUTE('Calculations'!HN224,"~","~~"),"*","~*"),"?","~?"))=1),MAX('Calculations'!$HI$12:HI223)+1,0)</x:f>
        <x:v>0</x:v>
      </x:c>
      <x:c r="HJ224" t="str">
        <x:f>IF('Calculations'!HF224="","",IF(COUNTIF('Calculations'!$HE$13:$HE$512,"="&amp;SUBSTITUTE(SUBSTITUTE(SUBSTITUTE('Calculations'!HF224,"~","~~"),"*","~*"),"?","~?"))=1,INDEX('Calculations'!$HK$13:$HK$512,MATCH('Calculations'!HF224,'Calculations'!$HE$13:$HE$512,0)),IFERROR(IF(INDEX(INDIRECT("'WCM Calibration Final'!$E$1:$E$2000"),'Calculations'!$EM224)="","",TRIM(INDEX(INDIRECT("'WCM Calibration Final'!$E$1:$E$2000"),'Calculations'!$EM224)&amp;"")),"")&amp;" ["&amp;'Calculations'!HF224&amp;"]"))</x:f>
      </x:c>
      <x:c r="HK224" t="str">
        <x:f>IF('Calculations'!EM224="","",'Calculations'!HG224&amp;" ["&amp;'Calculations'!HE224&amp;"]")</x:f>
      </x:c>
      <x:c r="HL224" t="n">
        <x:f>IF('Calculations'!EM224="",0,IF(OR('Calculations'!II224&lt;&gt;"",COUNTIF('Calculations'!$HE$13:$HE$512,"="&amp;SUBSTITUTE(SUBSTITUTE(SUBSTITUTE('Calculations'!HE224,"~","~~"),"*","~*"),"?","~?"))&gt;1),1,0))</x:f>
        <x:v>0</x:v>
      </x:c>
      <x:c r="HM224" t="str">
        <x:f>IF('Calculations'!EM224="","",IF('Calculations'!HL224=1,"!UNRESOLVED",IF('Calculations'!IH224&lt;&gt;"",'Calculations'!IH224,IF('Calculations'!IG224&lt;&gt;"",'Calculations'!IG224,IF('Calculations'!IF224&lt;&gt;"",'Calculations'!IF224,IF('Calculations'!IE224&lt;&gt;"",'Calculations'!IE224,IF('Calculations'!ID224&lt;&gt;"",'Calculations'!ID224,IF('Calculations'!IC224&lt;&gt;"",'Calculations'!IC224,IF('Calculations'!IB224&lt;&gt;"",'Calculations'!IB224,IF('Calculations'!IA224&lt;&gt;"",'Calculations'!IA224,IF('Calculations'!HZ224&lt;&gt;"",'Calculations'!HZ224,IF('Calculations'!HY224&lt;&gt;"",'Calculations'!HY224,IF('Calculations'!HX224&lt;&gt;"",'Calculations'!HX224,IF('Calculations'!HW224&lt;&gt;"",'Calculations'!HW224,IF('Calculations'!HV224&lt;&gt;"",'Calculations'!HV224,IF('Calculations'!HU224&lt;&gt;"",'Calculations'!HU224,IF('Calculations'!HT224&lt;&gt;"",'Calculations'!HT224,IF('Calculations'!HS224&lt;&gt;"",'Calculations'!HS224,IF('Calculations'!HR224&lt;&gt;"",'Calculations'!HR224,IF('Calculations'!HQ224&lt;&gt;"",'Calculations'!HQ224,IF('Calculations'!HP224&lt;&gt;"",'Calculations'!HP224,IF('Calculations'!HO224&lt;&gt;"",'Calculations'!HO224,'Calculations'!HE224))))))))))))))))))))))</x:f>
      </x:c>
      <x:c r="HN224" t="str">
        <x:f>IF('Calculations'!EM224="","",IF(IFERROR(IF(INDEX(INDIRECT("'WCM Calibration Final'!$F$1:$F$2000"),'Calculations'!$EM224)="","",TRIM(INDEX(INDIRECT("'WCM Calibration Final'!$F$1:$F$2000"),'Calculations'!$EM224)&amp;"")),"")="","(Blank)",IFERROR(IF(INDEX(INDIRECT("'WCM Calibration Final'!$F$1:$F$2000"),'Calculations'!$EM224)="","",TRIM(INDEX(INDIRECT("'WCM Calibration Final'!$F$1:$F$2000"),'Calculations'!$EM224)&amp;"")),"")))</x:f>
      </x:c>
      <x:c r="HO224" t="str">
        <x:f>'Calculations'!HF224</x:f>
      </x:c>
      <x:c r="HP224" t="str">
        <x:f>IF('Calculations'!HO224="","",IF('Calculations'!HO224="!AMBIG","!AMBIG",IF(COUNTIF('Calculations'!$HE$13:$HE$512,"="&amp;SUBSTITUTE(SUBSTITUTE(SUBSTITUTE('Calculations'!HO224,"~","~~"),"*","~*"),"?","~?"))&gt;1,"!AMBIG",IFERROR(INDEX('Calculations'!$HF$13:$HF$512,MATCH('Calculations'!HO224,'Calculations'!$HE$13:$HE$512,0)),""))))</x:f>
      </x:c>
      <x:c r="HQ224" t="str">
        <x:f>IF('Calculations'!HP224="","",IF('Calculations'!HP224="!AMBIG","!AMBIG",IF(COUNTIF('Calculations'!$HE$13:$HE$512,"="&amp;SUBSTITUTE(SUBSTITUTE(SUBSTITUTE('Calculations'!HP224,"~","~~"),"*","~*"),"?","~?"))&gt;1,"!AMBIG",IFERROR(INDEX('Calculations'!$HF$13:$HF$512,MATCH('Calculations'!HP224,'Calculations'!$HE$13:$HE$512,0)),""))))</x:f>
      </x:c>
      <x:c r="HR224" t="str">
        <x:f>IF('Calculations'!HQ224="","",IF('Calculations'!HQ224="!AMBIG","!AMBIG",IF(COUNTIF('Calculations'!$HE$13:$HE$512,"="&amp;SUBSTITUTE(SUBSTITUTE(SUBSTITUTE('Calculations'!HQ224,"~","~~"),"*","~*"),"?","~?"))&gt;1,"!AMBIG",IFERROR(INDEX('Calculations'!$HF$13:$HF$512,MATCH('Calculations'!HQ224,'Calculations'!$HE$13:$HE$512,0)),""))))</x:f>
      </x:c>
      <x:c r="HS224" t="str">
        <x:f>IF('Calculations'!HR224="","",IF('Calculations'!HR224="!AMBIG","!AMBIG",IF(COUNTIF('Calculations'!$HE$13:$HE$512,"="&amp;SUBSTITUTE(SUBSTITUTE(SUBSTITUTE('Calculations'!HR224,"~","~~"),"*","~*"),"?","~?"))&gt;1,"!AMBIG",IFERROR(INDEX('Calculations'!$HF$13:$HF$512,MATCH('Calculations'!HR224,'Calculations'!$HE$13:$HE$512,0)),""))))</x:f>
      </x:c>
      <x:c r="HT224" t="str">
        <x:f>IF('Calculations'!HS224="","",IF('Calculations'!HS224="!AMBIG","!AMBIG",IF(COUNTIF('Calculations'!$HE$13:$HE$512,"="&amp;SUBSTITUTE(SUBSTITUTE(SUBSTITUTE('Calculations'!HS224,"~","~~"),"*","~*"),"?","~?"))&gt;1,"!AMBIG",IFERROR(INDEX('Calculations'!$HF$13:$HF$512,MATCH('Calculations'!HS224,'Calculations'!$HE$13:$HE$512,0)),""))))</x:f>
      </x:c>
      <x:c r="HU224" t="str">
        <x:f>IF('Calculations'!HT224="","",IF('Calculations'!HT224="!AMBIG","!AMBIG",IF(COUNTIF('Calculations'!$HE$13:$HE$512,"="&amp;SUBSTITUTE(SUBSTITUTE(SUBSTITUTE('Calculations'!HT224,"~","~~"),"*","~*"),"?","~?"))&gt;1,"!AMBIG",IFERROR(INDEX('Calculations'!$HF$13:$HF$512,MATCH('Calculations'!HT224,'Calculations'!$HE$13:$HE$512,0)),""))))</x:f>
      </x:c>
      <x:c r="HV224" t="str">
        <x:f>IF('Calculations'!HU224="","",IF('Calculations'!HU224="!AMBIG","!AMBIG",IF(COUNTIF('Calculations'!$HE$13:$HE$512,"="&amp;SUBSTITUTE(SUBSTITUTE(SUBSTITUTE('Calculations'!HU224,"~","~~"),"*","~*"),"?","~?"))&gt;1,"!AMBIG",IFERROR(INDEX('Calculations'!$HF$13:$HF$512,MATCH('Calculations'!HU224,'Calculations'!$HE$13:$HE$512,0)),""))))</x:f>
      </x:c>
      <x:c r="HW224" t="str">
        <x:f>IF('Calculations'!HV224="","",IF('Calculations'!HV224="!AMBIG","!AMBIG",IF(COUNTIF('Calculations'!$HE$13:$HE$512,"="&amp;SUBSTITUTE(SUBSTITUTE(SUBSTITUTE('Calculations'!HV224,"~","~~"),"*","~*"),"?","~?"))&gt;1,"!AMBIG",IFERROR(INDEX('Calculations'!$HF$13:$HF$512,MATCH('Calculations'!HV224,'Calculations'!$HE$13:$HE$512,0)),""))))</x:f>
      </x:c>
      <x:c r="HX224" t="str">
        <x:f>IF('Calculations'!HW224="","",IF('Calculations'!HW224="!AMBIG","!AMBIG",IF(COUNTIF('Calculations'!$HE$13:$HE$512,"="&amp;SUBSTITUTE(SUBSTITUTE(SUBSTITUTE('Calculations'!HW224,"~","~~"),"*","~*"),"?","~?"))&gt;1,"!AMBIG",IFERROR(INDEX('Calculations'!$HF$13:$HF$512,MATCH('Calculations'!HW224,'Calculations'!$HE$13:$HE$512,0)),""))))</x:f>
      </x:c>
      <x:c r="HY224" t="str">
        <x:f>IF('Calculations'!HX224="","",IF('Calculations'!HX224="!AMBIG","!AMBIG",IF(COUNTIF('Calculations'!$HE$13:$HE$512,"="&amp;SUBSTITUTE(SUBSTITUTE(SUBSTITUTE('Calculations'!HX224,"~","~~"),"*","~*"),"?","~?"))&gt;1,"!AMBIG",IFERROR(INDEX('Calculations'!$HF$13:$HF$512,MATCH('Calculations'!HX224,'Calculations'!$HE$13:$HE$512,0)),""))))</x:f>
      </x:c>
      <x:c r="HZ224" t="str">
        <x:f>IF('Calculations'!HY224="","",IF('Calculations'!HY224="!AMBIG","!AMBIG",IF(COUNTIF('Calculations'!$HE$13:$HE$512,"="&amp;SUBSTITUTE(SUBSTITUTE(SUBSTITUTE('Calculations'!HY224,"~","~~"),"*","~*"),"?","~?"))&gt;1,"!AMBIG",IFERROR(INDEX('Calculations'!$HF$13:$HF$512,MATCH('Calculations'!HY224,'Calculations'!$HE$13:$HE$512,0)),""))))</x:f>
      </x:c>
      <x:c r="IA224" t="str">
        <x:f>IF('Calculations'!HZ224="","",IF('Calculations'!HZ224="!AMBIG","!AMBIG",IF(COUNTIF('Calculations'!$HE$13:$HE$512,"="&amp;SUBSTITUTE(SUBSTITUTE(SUBSTITUTE('Calculations'!HZ224,"~","~~"),"*","~*"),"?","~?"))&gt;1,"!AMBIG",IFERROR(INDEX('Calculations'!$HF$13:$HF$512,MATCH('Calculations'!HZ224,'Calculations'!$HE$13:$HE$512,0)),""))))</x:f>
      </x:c>
      <x:c r="IB224" t="str">
        <x:f>IF('Calculations'!IA224="","",IF('Calculations'!IA224="!AMBIG","!AMBIG",IF(COUNTIF('Calculations'!$HE$13:$HE$512,"="&amp;SUBSTITUTE(SUBSTITUTE(SUBSTITUTE('Calculations'!IA224,"~","~~"),"*","~*"),"?","~?"))&gt;1,"!AMBIG",IFERROR(INDEX('Calculations'!$HF$13:$HF$512,MATCH('Calculations'!IA224,'Calculations'!$HE$13:$HE$512,0)),""))))</x:f>
      </x:c>
      <x:c r="IC224" t="str">
        <x:f>IF('Calculations'!IB224="","",IF('Calculations'!IB224="!AMBIG","!AMBIG",IF(COUNTIF('Calculations'!$HE$13:$HE$512,"="&amp;SUBSTITUTE(SUBSTITUTE(SUBSTITUTE('Calculations'!IB224,"~","~~"),"*","~*"),"?","~?"))&gt;1,"!AMBIG",IFERROR(INDEX('Calculations'!$HF$13:$HF$512,MATCH('Calculations'!IB224,'Calculations'!$HE$13:$HE$512,0)),""))))</x:f>
      </x:c>
      <x:c r="ID224" t="str">
        <x:f>IF('Calculations'!IC224="","",IF('Calculations'!IC224="!AMBIG","!AMBIG",IF(COUNTIF('Calculations'!$HE$13:$HE$512,"="&amp;SUBSTITUTE(SUBSTITUTE(SUBSTITUTE('Calculations'!IC224,"~","~~"),"*","~*"),"?","~?"))&gt;1,"!AMBIG",IFERROR(INDEX('Calculations'!$HF$13:$HF$512,MATCH('Calculations'!IC224,'Calculations'!$HE$13:$HE$512,0)),""))))</x:f>
      </x:c>
      <x:c r="IE224" t="str">
        <x:f>IF('Calculations'!ID224="","",IF('Calculations'!ID224="!AMBIG","!AMBIG",IF(COUNTIF('Calculations'!$HE$13:$HE$512,"="&amp;SUBSTITUTE(SUBSTITUTE(SUBSTITUTE('Calculations'!ID224,"~","~~"),"*","~*"),"?","~?"))&gt;1,"!AMBIG",IFERROR(INDEX('Calculations'!$HF$13:$HF$512,MATCH('Calculations'!ID224,'Calculations'!$HE$13:$HE$512,0)),""))))</x:f>
      </x:c>
      <x:c r="IF224" t="str">
        <x:f>IF('Calculations'!IE224="","",IF('Calculations'!IE224="!AMBIG","!AMBIG",IF(COUNTIF('Calculations'!$HE$13:$HE$512,"="&amp;SUBSTITUTE(SUBSTITUTE(SUBSTITUTE('Calculations'!IE224,"~","~~"),"*","~*"),"?","~?"))&gt;1,"!AMBIG",IFERROR(INDEX('Calculations'!$HF$13:$HF$512,MATCH('Calculations'!IE224,'Calculations'!$HE$13:$HE$512,0)),""))))</x:f>
      </x:c>
      <x:c r="IG224" t="str">
        <x:f>IF('Calculations'!IF224="","",IF('Calculations'!IF224="!AMBIG","!AMBIG",IF(COUNTIF('Calculations'!$HE$13:$HE$512,"="&amp;SUBSTITUTE(SUBSTITUTE(SUBSTITUTE('Calculations'!IF224,"~","~~"),"*","~*"),"?","~?"))&gt;1,"!AMBIG",IFERROR(INDEX('Calculations'!$HF$13:$HF$512,MATCH('Calculations'!IF224,'Calculations'!$HE$13:$HE$512,0)),""))))</x:f>
      </x:c>
      <x:c r="IH224" t="str">
        <x:f>IF('Calculations'!IG224="","",IF('Calculations'!IG224="!AMBIG","!AMBIG",IF(COUNTIF('Calculations'!$HE$13:$HE$512,"="&amp;SUBSTITUTE(SUBSTITUTE(SUBSTITUTE('Calculations'!IG224,"~","~~"),"*","~*"),"?","~?"))&gt;1,"!AMBIG",IFERROR(INDEX('Calculations'!$HF$13:$HF$512,MATCH('Calculations'!IG224,'Calculations'!$HE$13:$HE$512,0)),""))))</x:f>
      </x:c>
      <x:c r="II224" t="str">
        <x:f>IF('Calculations'!IH224="","",IF('Calculations'!IH224="!AMBIG","!AMBIG",IF(COUNTIF('Calculations'!$HE$13:$HE$512,"="&amp;SUBSTITUTE(SUBSTITUTE(SUBSTITUTE('Calculations'!IH224,"~","~~"),"*","~*"),"?","~?"))&gt;1,"!AMBIG",IFERROR(INDEX('Calculations'!$HF$13:$HF$512,MATCH('Calculations'!IH224,'Calculations'!$HE$13:$HE$512,0)),""))))</x:f>
      </x:c>
      <x:c r="IJ224" t="str">
        <x:f>IF('Calculations'!EM224="","",IF('Calculations'!$EF$2="All",'Calculations'!HM224,IF('Calculations'!HL224=1,"",IFERROR(IF(MATCH('Calculations'!$EF$2,'Calculations'!HO224:II224,0)=1,'Calculations'!HE224,INDEX('Calculations'!HO224:II224,1,MATCH('Calculations'!$EF$2,'Calculations'!HO224:II224,0)-1)),""))))</x:f>
      </x:c>
      <x:c r="IK224" t="n">
        <x:f>IF(AND('Calculations'!EM224&lt;&gt;"",'Calculations'!$EF$2&lt;&gt;"All",'Calculations'!HF224='Calculations'!$EF$2,'Calculations'!HL224=0,'Calculations'!JD224&gt;0),MAX('Calculations'!$IK$12:IK223)+1,0)</x:f>
        <x:v>0</x:v>
      </x:c>
      <x:c r="JA224" t="n">
        <x:f>IF(OR(IFERROR(INDIRECT("'WCM Calibration Final'!$A$224")&lt;&gt;"",FALSE),IFERROR(INDIRECT("'WCM Calibration Final'!$B$224")&lt;&gt;"",FALSE),IFERROR(INDIRECT("'WCM Calibration Final'!$C$224")&lt;&gt;"",FALSE)),224,0)</x:f>
        <x:v>0</x:v>
      </x:c>
      <x:c r="JB224" t="n">
        <x:f>'Calculations'!JB223+IF('Calculations'!JA224&gt;0,1,0)</x:f>
        <x:v>0</x:v>
      </x:c>
      <x:c r="JC224" t="n">
        <x:f>IF(OR('Calculations'!HF224="",'Calculations'!HF224="!AMBIG"),0,IF('Dashboard'!$B$7="All",1,COUNTIFS('Calculations'!$HO$13:$HO$512,"="&amp;SUBSTITUTE(SUBSTITUTE(SUBSTITUTE('Calculations'!HF224,"~","~~"),"*","~*"),"?","~?"),'Calculations'!$HN$13:$HN$512,"="&amp;SUBSTITUTE(SUBSTITUTE(SUBSTITUTE('Dashboard'!$B$7,"~","~~"),"*","~*"),"?","~?"))+COUNTIFS('Calculations'!$HP$13:$HP$512,"="&amp;SUBSTITUTE(SUBSTITUTE(SUBSTITUTE('Calculations'!HF224,"~","~~"),"*","~*"),"?","~?"),'Calculations'!$HN$13:$HN$512,"="&amp;SUBSTITUTE(SUBSTITUTE(SUBSTITUTE('Dashboard'!$B$7,"~","~~"),"*","~*"),"?","~?"))+COUNTIFS('Calculations'!$HQ$13:$HQ$512,"="&amp;SUBSTITUTE(SUBSTITUTE(SUBSTITUTE('Calculations'!HF224,"~","~~"),"*","~*"),"?","~?"),'Calculations'!$HN$13:$HN$512,"="&amp;SUBSTITUTE(SUBSTITUTE(SUBSTITUTE('Dashboard'!$B$7,"~","~~"),"*","~*"),"?","~?"))+COUNTIFS('Calculations'!$HR$13:$HR$512,"="&amp;SUBSTITUTE(SUBSTITUTE(SUBSTITUTE('Calculations'!HF224,"~","~~"),"*","~*"),"?","~?"),'Calculations'!$HN$13:$HN$512,"="&amp;SUBSTITUTE(SUBSTITUTE(SUBSTITUTE('Dashboard'!$B$7,"~","~~"),"*","~*"),"?","~?"))+COUNTIFS('Calculations'!$HS$13:$HS$512,"="&amp;SUBSTITUTE(SUBSTITUTE(SUBSTITUTE('Calculations'!HF224,"~","~~"),"*","~*"),"?","~?"),'Calculations'!$HN$13:$HN$512,"="&amp;SUBSTITUTE(SUBSTITUTE(SUBSTITUTE('Dashboard'!$B$7,"~","~~"),"*","~*"),"?","~?"))+COUNTIFS('Calculations'!$HT$13:$HT$512,"="&amp;SUBSTITUTE(SUBSTITUTE(SUBSTITUTE('Calculations'!HF224,"~","~~"),"*","~*"),"?","~?"),'Calculations'!$HN$13:$HN$512,"="&amp;SUBSTITUTE(SUBSTITUTE(SUBSTITUTE('Dashboard'!$B$7,"~","~~"),"*","~*"),"?","~?"))+COUNTIFS('Calculations'!$HU$13:$HU$512,"="&amp;SUBSTITUTE(SUBSTITUTE(SUBSTITUTE('Calculations'!HF224,"~","~~"),"*","~*"),"?","~?"),'Calculations'!$HN$13:$HN$512,"="&amp;SUBSTITUTE(SUBSTITUTE(SUBSTITUTE('Dashboard'!$B$7,"~","~~"),"*","~*"),"?","~?"))+COUNTIFS('Calculations'!$HV$13:$HV$512,"="&amp;SUBSTITUTE(SUBSTITUTE(SUBSTITUTE('Calculations'!HF224,"~","~~"),"*","~*"),"?","~?"),'Calculations'!$HN$13:$HN$512,"="&amp;SUBSTITUTE(SUBSTITUTE(SUBSTITUTE('Dashboard'!$B$7,"~","~~"),"*","~*"),"?","~?"))+COUNTIFS('Calculations'!$HW$13:$HW$512,"="&amp;SUBSTITUTE(SUBSTITUTE(SUBSTITUTE('Calculations'!HF224,"~","~~"),"*","~*"),"?","~?"),'Calculations'!$HN$13:$HN$512,"="&amp;SUBSTITUTE(SUBSTITUTE(SUBSTITUTE('Dashboard'!$B$7,"~","~~"),"*","~*"),"?","~?"))+COUNTIFS('Calculations'!$HX$13:$HX$512,"="&amp;SUBSTITUTE(SUBSTITUTE(SUBSTITUTE('Calculations'!HF224,"~","~~"),"*","~*"),"?","~?"),'Calculations'!$HN$13:$HN$512,"="&amp;SUBSTITUTE(SUBSTITUTE(SUBSTITUTE('Dashboard'!$B$7,"~","~~"),"*","~*"),"?","~?"))+COUNTIFS('Calculations'!$HY$13:$HY$512,"="&amp;SUBSTITUTE(SUBSTITUTE(SUBSTITUTE('Calculations'!HF224,"~","~~"),"*","~*"),"?","~?"),'Calculations'!$HN$13:$HN$512,"="&amp;SUBSTITUTE(SUBSTITUTE(SUBSTITUTE('Dashboard'!$B$7,"~","~~"),"*","~*"),"?","~?"))+COUNTIFS('Calculations'!$HZ$13:$HZ$512,"="&amp;SUBSTITUTE(SUBSTITUTE(SUBSTITUTE('Calculations'!HF224,"~","~~"),"*","~*"),"?","~?"),'Calculations'!$HN$13:$HN$512,"="&amp;SUBSTITUTE(SUBSTITUTE(SUBSTITUTE('Dashboard'!$B$7,"~","~~"),"*","~*"),"?","~?"))+COUNTIFS('Calculations'!$IA$13:$IA$512,"="&amp;SUBSTITUTE(SUBSTITUTE(SUBSTITUTE('Calculations'!HF224,"~","~~"),"*","~*"),"?","~?"),'Calculations'!$HN$13:$HN$512,"="&amp;SUBSTITUTE(SUBSTITUTE(SUBSTITUTE('Dashboard'!$B$7,"~","~~"),"*","~*"),"?","~?"))+COUNTIFS('Calculations'!$IB$13:$IB$512,"="&amp;SUBSTITUTE(SUBSTITUTE(SUBSTITUTE('Calculations'!HF224,"~","~~"),"*","~*"),"?","~?"),'Calculations'!$HN$13:$HN$512,"="&amp;SUBSTITUTE(SUBSTITUTE(SUBSTITUTE('Dashboard'!$B$7,"~","~~"),"*","~*"),"?","~?"))+COUNTIFS('Calculations'!$IC$13:$IC$512,"="&amp;SUBSTITUTE(SUBSTITUTE(SUBSTITUTE('Calculations'!HF224,"~","~~"),"*","~*"),"?","~?"),'Calculations'!$HN$13:$HN$512,"="&amp;SUBSTITUTE(SUBSTITUTE(SUBSTITUTE('Dashboard'!$B$7,"~","~~"),"*","~*"),"?","~?"))+COUNTIFS('Calculations'!$ID$13:$ID$512,"="&amp;SUBSTITUTE(SUBSTITUTE(SUBSTITUTE('Calculations'!HF224,"~","~~"),"*","~*"),"?","~?"),'Calculations'!$HN$13:$HN$512,"="&amp;SUBSTITUTE(SUBSTITUTE(SUBSTITUTE('Dashboard'!$B$7,"~","~~"),"*","~*"),"?","~?"))+COUNTIFS('Calculations'!$IE$13:$IE$512,"="&amp;SUBSTITUTE(SUBSTITUTE(SUBSTITUTE('Calculations'!HF224,"~","~~"),"*","~*"),"?","~?"),'Calculations'!$HN$13:$HN$512,"="&amp;SUBSTITUTE(SUBSTITUTE(SUBSTITUTE('Dashboard'!$B$7,"~","~~"),"*","~*"),"?","~?"))+COUNTIFS('Calculations'!$IF$13:$IF$512,"="&amp;SUBSTITUTE(SUBSTITUTE(SUBSTITUTE('Calculations'!HF224,"~","~~"),"*","~*"),"?","~?"),'Calculations'!$HN$13:$HN$512,"="&amp;SUBSTITUTE(SUBSTITUTE(SUBSTITUTE('Dashboard'!$B$7,"~","~~"),"*","~*"),"?","~?"))+COUNTIFS('Calculations'!$IG$13:$IG$512,"="&amp;SUBSTITUTE(SUBSTITUTE(SUBSTITUTE('Calculations'!HF224,"~","~~"),"*","~*"),"?","~?"),'Calculations'!$HN$13:$HN$512,"="&amp;SUBSTITUTE(SUBSTITUTE(SUBSTITUTE('Dashboard'!$B$7,"~","~~"),"*","~*"),"?","~?"))+COUNTIFS('Calculations'!$IH$13:$IH$512,"="&amp;SUBSTITUTE(SUBSTITUTE(SUBSTITUTE('Calculations'!HF224,"~","~~"),"*","~*"),"?","~?"),'Calculations'!$HN$13:$HN$512,"="&amp;SUBSTITUTE(SUBSTITUTE(SUBSTITUTE('Dashboard'!$B$7,"~","~~"),"*","~*"),"?","~?"))))</x:f>
        <x:v>0</x:v>
      </x:c>
      <x:c r="JD224" t="n">
        <x:f>IF('Calculations'!EM224="",0,IF('Dashboard'!$B$7="All",1,IF('Calculations'!HN224='Dashboard'!$B$7,1,0)+IFERROR(INDEX('Calculations'!$JC$13:$JC$512,MATCH('Calculations'!HE224,'Calculations'!$HF$13:$HF$512,0)),0)))</x:f>
        <x:v>0</x:v>
      </x:c>
      <x:c r="JE224" t="n">
        <x:f>IF(AND('Calculations'!EM224&lt;&gt;"",'Calculations'!$JJ$2&lt;&gt;"All",'Calculations'!$JJ$2&lt;&gt;"",'Calculations'!HF224='Calculations'!$JJ$2,'Calculations'!HL224=0,'Calculations'!JD224&gt;0),MAX('Calculations'!$JE$12:JE223)+1,0)</x:f>
        <x:v>0</x:v>
      </x:c>
      <x:c r="JF224" t="str">
        <x:f>IF('Calculations'!EM224="","",IFERROR(IF(INDEX(INDIRECT("'WCM Calibration Final'!$G$1:$G$2000"),'Calculations'!$EM224)="","",TRIM(INDEX(INDIRECT("'WCM Calibration Final'!$G$1:$G$2000"),'Calculations'!$EM224)&amp;"")),""))</x:f>
      </x:c>
      <x:c r="JQ224" t="n">
        <x:f>IF(OR('Calculations'!BM224=0,NOT('Calculations'!$AG$2),'Calculations'!$AG$8&gt;0),0,IF(OR('Dashboard'!$B$7="All",'Calculations'!HN224='Dashboard'!$B$7),IF('Calculations'!$JJ$2="All",1,IF(AND('Calculations'!HF224='Calculations'!$JJ$2,'Calculations'!HL224=0),1,0)),0))</x:f>
        <x:v>0</x:v>
      </x:c>
    </x:row>
    <x:row r="225">
      <x:c r="AF225" s="4" t="str">
        <x:f>IF('Calculations'!AH225=0,"","AVP (n="&amp;'Calculations'!AH225&amp;")")</x:f>
      </x:c>
      <x:c r="AG225" s="4" t="n">
        <x:f>COUNTIFS('Calculations'!$BN$13:$BN$512,1,'Calculations'!$BV$13:$BV$512,'Calculations'!AT225)</x:f>
        <x:v>0</x:v>
      </x:c>
      <x:c r="AH225" s="4" t="n">
        <x:f>SUM('Calculations'!AJ225:AM225)</x:f>
        <x:v>0</x:v>
      </x:c>
      <x:c r="AI225" s="4" t="n">
        <x:f>'Calculations'!AG225-'Calculations'!AH225</x:f>
        <x:v>0</x:v>
      </x:c>
      <x:c r="AJ225" s="4" t="n">
        <x:f>COUNTIFS('Calculations'!$BN$13:$BN$512,1,'Calculations'!$BV$13:$BV$512,'Calculations'!AT225,'Calculations'!$BO$13:$BO$512,1)</x:f>
        <x:v>0</x:v>
      </x:c>
      <x:c r="AK225" s="4" t="n">
        <x:f>COUNTIFS('Calculations'!$BN$13:$BN$512,1,'Calculations'!$BV$13:$BV$512,'Calculations'!AT225,'Calculations'!$BO$13:$BO$512,2)</x:f>
        <x:v>0</x:v>
      </x:c>
      <x:c r="AL225" s="4" t="n">
        <x:f>COUNTIFS('Calculations'!$BN$13:$BN$512,1,'Calculations'!$BV$13:$BV$512,'Calculations'!AT225,'Calculations'!$BO$13:$BO$512,3)</x:f>
        <x:v>0</x:v>
      </x:c>
      <x:c r="AM225" s="4" t="n">
        <x:f>COUNTIFS('Calculations'!$BN$13:$BN$512,1,'Calculations'!$BV$13:$BV$512,'Calculations'!AT225,'Calculations'!$BO$13:$BO$512,4)</x:f>
        <x:v>0</x:v>
      </x:c>
      <x:c r="AN225" s="4"/>
      <x:c r="AO225" s="4" t="n">
        <x:f>IF('Calculations'!AH225=0,0,'Calculations'!AJ225/'Calculations'!AH225)</x:f>
        <x:v>0</x:v>
      </x:c>
      <x:c r="AP225" s="4" t="n">
        <x:f>IF('Calculations'!AH225=0,0,'Calculations'!AK225/'Calculations'!AH225)</x:f>
        <x:v>0</x:v>
      </x:c>
      <x:c r="AQ225" s="4" t="n">
        <x:f>IF('Calculations'!AH225=0,0,'Calculations'!AL225/'Calculations'!AH225)</x:f>
        <x:v>0</x:v>
      </x:c>
      <x:c r="AR225" s="4" t="n">
        <x:f>IF('Calculations'!AH225=0,0,'Calculations'!AM225/'Calculations'!AH225)</x:f>
        <x:v>0</x:v>
      </x:c>
      <x:c r="AS225" s="4"/>
      <x:c r="AT225" s="4" t="str">
        <x:v>ASSISTANT VICE PRESIDENT</x:v>
      </x:c>
      <x:c r="AU225" s="4"/>
      <x:c r="AV225" s="4"/>
      <x:c r="AW225" s="4"/>
      <x:c r="AX225" s="4"/>
      <x:c r="AY225" s="4"/>
      <x:c r="AZ225" s="4"/>
      <x:c r="BA225" s="4"/>
      <x:c r="BB225" s="4"/>
      <x:c r="BC225" s="4"/>
      <x:c r="BD225" s="4"/>
      <x:c r="BE225" s="4"/>
      <x:c r="BF225" s="4"/>
      <x:c r="BG225" s="4"/>
      <x:c r="BH225" s="4"/>
      <x:c r="BI225" s="4"/>
      <x:c r="BJ225" s="4"/>
      <x:c r="BK225" s="4"/>
      <x:c r="BL225" s="4"/>
      <x:c r="BM225" s="4" t="n">
        <x:f>IF('Calculations'!$EM225="",0,IF(OR(IFERROR(INDEX(INDIRECT("'WCM Calibration Final'!$A$1:$A$2000"),'Calculations'!$EM225)&lt;&gt;"",FALSE),IFERROR(INDEX(INDIRECT("'WCM Calibration Final'!$B$1:$B$2000"),'Calculations'!$EM225)&lt;&gt;"",FALSE),IFERROR(INDEX(INDIRECT("'WCM Calibration Final'!$C$1:$C$2000"),'Calculations'!$EM225)&lt;&gt;"",FALSE)),1,0))</x:f>
        <x:v>0</x:v>
      </x:c>
      <x:c r="BN225" s="4" t="n">
        <x:f>IF(AND('Calculations'!BM225=1,'Calculations'!$AG$2,'Calculations'!$EN225=1),1,0)</x:f>
        <x:v>0</x:v>
      </x:c>
      <x:c r="BO225" s="4" t="str">
        <x:f>IF('Calculations'!BM225=0,"",IFERROR(IF(AND(VALUE(INDEX(INDIRECT("'WCM Calibration Final'!$K$1:$K$2000"),'Calculations'!$EM225))&gt;=1,VALUE(INDEX(INDIRECT("'WCM Calibration Final'!$K$1:$K$2000"),'Calculations'!$EM225))&lt;=4,MOD(VALUE(INDEX(INDIRECT("'WCM Calibration Final'!$K$1:$K$2000"),'Calculations'!$EM225)),1)=0),VALUE(INDEX(INDIRECT("'WCM Calibration Final'!$K$1:$K$2000"),'Calculations'!$EM225)),""),""))</x:f>
      </x:c>
      <x:c r="BP225" s="4" t="str">
        <x:f>IF('Calculations'!BM225=0,"",IFERROR(IF(AND(VALUE(INDEX(INDIRECT("'WCM Calibration Final'!$L$1:$L$2000"),'Calculations'!$EM225))&gt;=1,VALUE(INDEX(INDIRECT("'WCM Calibration Final'!$L$1:$L$2000"),'Calculations'!$EM225))&lt;=4,MOD(VALUE(INDEX(INDIRECT("'WCM Calibration Final'!$L$1:$L$2000"),'Calculations'!$EM225)),1)=0),VALUE(INDEX(INDIRECT("'WCM Calibration Final'!$L$1:$L$2000"),'Calculations'!$EM225)),""),""))</x:f>
      </x:c>
      <x:c r="BQ225" s="4"/>
      <x:c r="BR225" s="4"/>
      <x:c r="BS225" s="4"/>
      <x:c r="BT225" s="4" t="n">
        <x:f>IF(AND('Calculations'!BM225=1,ISNUMBER('Calculations'!BO225),ISNUMBER('Calculations'!BP225)),1,0)</x:f>
        <x:v>0</x:v>
      </x:c>
      <x:c r="BU225" s="4" t="str">
        <x:f>IF('Calculations'!BM225=0,"",'Calculations'!$EO225)</x:f>
      </x:c>
      <x:c r="BV225" s="4" t="str">
        <x:f>IF('Calculations'!BM225=0,"",IFERROR(IF(OR(INDEX(INDIRECT("'WCM Calibration Final'!$H$1:$H$2000"),'Calculations'!$EM225)="MANAGING DIRECTOR",INDEX(INDIRECT("'WCM Calibration Final'!$H$1:$H$2000"),'Calculations'!$EM225)="DIRECTOR",INDEX(INDIRECT("'WCM Calibration Final'!$H$1:$H$2000"),'Calculations'!$EM225)="SENIOR VICE PRESIDENT",INDEX(INDIRECT("'WCM Calibration Final'!$H$1:$H$2000"),'Calculations'!$EM225)="VICE PRESIDENT",INDEX(INDIRECT("'WCM Calibration Final'!$H$1:$H$2000"),'Calculations'!$EM225)="ASSISTANT VICE PRESIDENT",INDEX(INDIRECT("'WCM Calibration Final'!$H$1:$H$2000"),'Calculations'!$EM225)="OFFICER"),UPPER(INDEX(INDIRECT("'WCM Calibration Final'!$H$1:$H$2000"),'Calculations'!$EM225)),"Other"),"Other"))</x:f>
      </x:c>
      <x:c r="BW225" s="4"/>
      <x:c r="BX225" s="4"/>
      <x:c r="BY225" s="4" t="n">
        <x:f>IF(AND('Calculations'!BM225=1,'Calculations'!BU225&lt;&gt;"",COUNTIF('Calculations'!$BU$12:BU225,'Calculations'!BU225)=1),MAX('Calculations'!$BY$11:BY224)+1,0)</x:f>
        <x:v>0</x:v>
      </x:c>
      <x:c r="BZ225" s="4" t="str">
        <x:f>IF('Dashboard'!$E$67="What",'Calculations'!BO225,'Calculations'!BP225)</x:f>
      </x:c>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t="str">
        <x:f>IF(214&gt;MAX('Calculations'!$HI$13:$HI$512),"",INDEX('Calculations'!$HN$13:$HN$512,MATCH(214,'Calculations'!$HI$13:$HI$512,0)))</x:f>
      </x:c>
      <x:c r="DB225" s="4" t="str">
        <x:f>IF(214&gt;MAX('Calculations'!$HH$13:$HH$512),"",INDEX('Calculations'!$HJ$13:$HJ$512,MATCH(214,'Calculations'!$HH$13:$HH$512,0)))</x:f>
      </x:c>
      <x:c r="DC225" s="4" t="str">
        <x:f>IF(ROW()-11&gt;MAX('Calculations'!$BY$13:$BY$512),"",INDEX('Calculations'!$BU$13:$BU$512,MATCH(ROW()-11,'Calculations'!$BY$13:$BY$512,0)))</x:f>
      </x:c>
      <x:c r="DD225" s="4" t="str">
        <x:f>IF(214&gt;MAX('Calculations'!$IK$13:$IK$512),"",INDEX('Calculations'!$HK$13:$HK$512,MATCH(214,'Calculations'!$IK$13:$IK$512,0)))</x:f>
      </x:c>
      <x:c r="DE225" s="4" t="str">
        <x:f>'Calculations'!DC225</x:f>
      </x:c>
      <x:c r="DF225" s="4" t="str">
        <x:f>IF('Calculations'!DE225="","",COUNTIFS('Calculations'!$BN$13:$BN$512,1,'Calculations'!$BU$13:$BU$512,'Calculations'!DE225))</x:f>
      </x:c>
      <x:c r="DG225" s="4" t="str">
        <x:f>IF('Calculations'!DE225="","",COUNTIFS('Calculations'!$BN$13:$BN$512,1,'Calculations'!$BU$13:$BU$512,'Calculations'!DE225,'Calculations'!$BT$13:$BT$512,1))</x:f>
      </x:c>
      <x:c r="DH225" s="4" t="str">
        <x:f>IF('Calculations'!DE225="","",'Calculations'!DF225-'Calculations'!DG225)</x:f>
      </x:c>
      <x:c r="DI225" s="4" t="str">
        <x:f>IF(OR('Calculations'!DE225="",'Calculations'!DF225=0),"",'Calculations'!DG225/'Calculations'!DF225)</x:f>
      </x:c>
      <x:c r="DJ225" s="4" t="str">
        <x:f>IF('Calculations'!DE225="","",COUNTIFS('Calculations'!$BN$13:$BN$512,1,'Calculations'!$BU$13:$BU$512,'Calculations'!DE225,'Calculations'!$BT$13:$BT$512,1,'Calculations'!$EE$13:$EE$512,"High"))</x:f>
      </x:c>
      <x:c r="DK225" s="4" t="str">
        <x:f>IF('Calculations'!DE225="","",COUNTIFS('Calculations'!$BN$13:$BN$512,1,'Calculations'!$BU$13:$BU$512,'Calculations'!DE225,'Calculations'!$BT$13:$BT$512,1,'Calculations'!$EE$13:$EE$512,"Strong"))</x:f>
      </x:c>
      <x:c r="DL225" s="4" t="str">
        <x:f>IF('Calculations'!DE225="","",COUNTIFS('Calculations'!$BN$13:$BN$512,1,'Calculations'!$BU$13:$BU$512,'Calculations'!DE225,'Calculations'!$BT$13:$BT$512,1,'Calculations'!$EE$13:$EE$512,"Solid"))</x:f>
      </x:c>
      <x:c r="DM225" s="4" t="str">
        <x:f>IF('Calculations'!DE225="","",COUNTIFS('Calculations'!$BN$13:$BN$512,1,'Calculations'!$BU$13:$BU$512,'Calculations'!DE225,'Calculations'!$BT$13:$BT$512,1,'Calculations'!$EE$13:$EE$512,"Low"))</x:f>
      </x:c>
      <x:c r="DN225" s="4" t="str">
        <x:f>IF('Calculations'!DE225="","",COUNTIFS('Calculations'!$BN$13:$BN$512,1,'Calculations'!$BU$13:$BU$512,'Calculations'!DE225,'Calculations'!$EP$13:$EP$512,1))</x:f>
      </x:c>
      <x:c r="DO225" s="4" t="str">
        <x:f>IF(OR('Calculations'!DE225="",'Calculations'!DG225=0),"",('Calculations'!DJ225+'Calculations'!DK225)/'Calculations'!DG225)</x:f>
      </x:c>
      <x:c r="DP225" s="4" t="n">
        <x:f>IF(AND('Calculations'!DE225&lt;&gt;"",'Calculations'!DF225&gt;0),COUNTIF('Calculations'!$DF$12:DF225,"&gt;0"),0)</x:f>
        <x:v>0</x:v>
      </x:c>
      <x:c r="DQ225" s="4" t="str">
        <x:f>IF(214&gt;MAX('Calculations'!$HH$13:$HH$512),"",INDEX('Calculations'!$HF$13:$HF$512,MATCH(214,'Calculations'!$HH$13:$HH$512,0)))</x:f>
      </x:c>
      <x:c r="DR225" s="4" t="str">
        <x:f>IF(214&gt;MAX('Calculations'!$IK$13:$IK$512),"",INDEX('Calculations'!$HE$13:$HE$512,MATCH(214,'Calculations'!$IK$13:$IK$512,0)))</x:f>
      </x:c>
      <x:c r="DS225" s="4"/>
      <x:c r="DT225" s="4"/>
      <x:c r="DU225" s="4"/>
      <x:c r="DV225" s="4"/>
      <x:c r="DW225" s="4"/>
      <x:c r="DX225" s="4"/>
      <x:c r="DY225" s="4"/>
      <x:c r="DZ225" s="4"/>
      <x:c r="EA225" s="4"/>
      <x:c r="EB225" s="4"/>
      <x:c r="EC225" s="4"/>
      <x:c r="ED225" s="4"/>
      <x:c r="EE225" s="4" t="str">
        <x:f>IF('Calculations'!BT225=0,"Not Rated",IF(OR('Calculations'!BO225&gt;=4,'Calculations'!BP225&gt;=4),"Low",IF('Calculations'!BO225+'Calculations'!BP225&lt;=3,"High",IF('Calculations'!BO225+'Calculations'!BP225&lt;=4,"Strong","Solid"))))</x:f>
        <x:v>Not Rated</x:v>
      </x:c>
      <x:c r="EF225" s="4"/>
      <x:c r="EG225" s="4"/>
      <x:c r="EH225" s="4"/>
      <x:c r="EI225" s="4"/>
      <x:c r="EJ225" s="4"/>
      <x:c r="EK225" s="4"/>
      <x:c r="EL225" s="4"/>
      <x:c r="EM225" s="4" t="str">
        <x:f>IF(213&gt;'Calculations'!$JB$2000,"",INDEX('Calculations'!$JA$12:$JA$2000,MATCH(213,'Calculations'!$JB$12:$JB$2000,0)))</x:f>
      </x:c>
      <x:c r="EN225" s="4" t="n">
        <x:f>IF(OR('Calculations'!EM225="",'Calculations'!$AG$8&gt;0,AND('Calculations'!$EF$2&lt;&gt;"All",'Calculations'!HE225='Calculations'!$EF$2),AND('Calculations'!$EF$3&lt;&gt;"All",'Calculations'!HE225='Calculations'!$EF$3)),0,IF(OR('Dashboard'!$B$7="All",'Calculations'!HN225='Dashboard'!$B$7),IF('Calculations'!$EF$2="All",1,IF('Calculations'!HL225&gt;0,0,IF(COUNTIF('Calculations'!HO225:II225,"="&amp;SUBSTITUTE(SUBSTITUTE(SUBSTITUTE('Calculations'!$EF$2,"~","~~"),"*","~*"),"?","~?"))=0,0,IF('Calculations'!$EF$3="All",1,IF(COUNTIF('Calculations'!HO225:II225,"="&amp;SUBSTITUTE(SUBSTITUTE(SUBSTITUTE('Calculations'!$EF$3,"~","~~"),"*","~*"),"?","~?"))&gt;0,1,0))))),0))</x:f>
        <x:v>0</x:v>
      </x:c>
      <x:c r="EO225" s="4" t="str">
        <x:f>IF('Calculations'!IJ225="","",IF('Calculations'!IJ225="!UNRESOLVED","Unresolved hierarchy",IFERROR(INDEX('Calculations'!$HK$13:$HK$512,MATCH('Calculations'!IJ225,'Calculations'!$HE$13:$HE$512,0)),IFERROR(INDEX('Calculations'!$HJ$13:$HJ$512,MATCH('Calculations'!IJ225,'Calculations'!$HF$13:$HF$512,0)),'Calculations'!IJ225))))</x:f>
      </x:c>
      <x:c r="EP225" s="4" t="n">
        <x:f>IF(AND('Calculations'!EM225&lt;&gt;"",'Calculations'!HF225='Calculations'!IJ225),1,0)</x:f>
        <x:v>0</x:v>
      </x:c>
      <x:c r="EQ225" s="4"/>
      <x:c r="ER225" s="4"/>
      <x:c r="ES225" s="4"/>
      <x:c r="ET225" s="4"/>
      <x:c r="EU225" s="4"/>
      <x:c r="EV225" s="4"/>
      <x:c r="EW225" s="4"/>
      <x:c r="EX225" s="4"/>
      <x:c r="EY225" s="4"/>
      <x:c r="EZ225" s="4"/>
      <x:c r="FA225" s="4"/>
      <x:c r="FB225" s="4"/>
      <x:c r="FC225" s="4"/>
      <x:c r="FD225" s="4"/>
      <x:c r="FE225" s="4"/>
      <x:c r="FF225" s="4"/>
      <x:c r="FG225" s="4"/>
      <x:c r="FH225" s="4"/>
      <x:c r="FI225" s="4"/>
      <x:c r="FJ225" s="4"/>
      <x:c r="FK225" s="4"/>
      <x:c r="FL225" s="4"/>
      <x:c r="FM225" s="4"/>
      <x:c r="FN225" s="4"/>
      <x:c r="FO225" s="4"/>
      <x:c r="HE225" t="str">
        <x:f>IF('Calculations'!EM225="","",IF(IFERROR(IF(INDEX(INDIRECT("'WCM Calibration Final'!$A$1:$A$2000"),'Calculations'!$EM225)="","",TRIM(INDEX(INDIRECT("'WCM Calibration Final'!$A$1:$A$2000"),'Calculations'!$EM225)&amp;"")),"")&lt;&gt;"","G:"&amp;IFERROR(TEXT(1*INDEX(INDIRECT("'WCM Calibration Final'!$A$1:$A$2000"),'Calculations'!$EM225),"0"),UPPER(IFERROR(IF(INDEX(INDIRECT("'WCM Calibration Final'!$A$1:$A$2000"),'Calculations'!$EM225)="","",TRIM(INDEX(INDIRECT("'WCM Calibration Final'!$A$1:$A$2000"),'Calculations'!$EM225)&amp;"")),""))),IF(IFERROR(IF(INDEX(INDIRECT("'WCM Calibration Final'!$C$1:$C$2000"),'Calculations'!$EM225)="","",TRIM(INDEX(INDIRECT("'WCM Calibration Final'!$C$1:$C$2000"),'Calculations'!$EM225)&amp;"")),"")&lt;&gt;"","S:"&amp;UPPER(IFERROR(IF(INDEX(INDIRECT("'WCM Calibration Final'!$C$1:$C$2000"),'Calculations'!$EM225)="","",TRIM(INDEX(INDIRECT("'WCM Calibration Final'!$C$1:$C$2000"),'Calculations'!$EM225)&amp;"")),"")),"R:"&amp;'Calculations'!EM225)))</x:f>
      </x:c>
      <x:c r="HF225" t="str">
        <x:f>IF('Calculations'!EM225="","",IF(IFERROR(IF(INDEX(INDIRECT("'WCM Calibration Final'!$D$1:$D$2000"),'Calculations'!$EM225)="","",TRIM(INDEX(INDIRECT("'WCM Calibration Final'!$D$1:$D$2000"),'Calculations'!$EM225)&amp;"")),"")&lt;&gt;"","G:"&amp;IFERROR(TEXT(1*INDEX(INDIRECT("'WCM Calibration Final'!$D$1:$D$2000"),'Calculations'!$EM225),"0"),UPPER(IFERROR(IF(INDEX(INDIRECT("'WCM Calibration Final'!$D$1:$D$2000"),'Calculations'!$EM225)="","",TRIM(INDEX(INDIRECT("'WCM Calibration Final'!$D$1:$D$2000"),'Calculations'!$EM225)&amp;"")),""))),IF(IFERROR(IF(INDEX(INDIRECT("'WCM Calibration Final'!$E$1:$E$2000"),'Calculations'!$EM225)="","",TRIM(INDEX(INDIRECT("'WCM Calibration Final'!$E$1:$E$2000"),'Calculations'!$EM225)&amp;"")),"")="","",IF(COUNTIF('Calculations'!$HG$13:$HG$512,"="&amp;SUBSTITUTE(SUBSTITUTE(SUBSTITUTE(IFERROR(IF(INDEX(INDIRECT("'WCM Calibration Final'!$E$1:$E$2000"),'Calculations'!$EM225)="","",TRIM(INDEX(INDIRECT("'WCM Calibration Final'!$E$1:$E$2000"),'Calculations'!$EM225)&amp;"")),""),"~","~~"),"*","~*"),"?","~?"))=1,INDEX('Calculations'!$HE$13:$HE$512,MATCH(IFERROR(IF(INDEX(INDIRECT("'WCM Calibration Final'!$E$1:$E$2000"),'Calculations'!$EM225)="","",TRIM(INDEX(INDIRECT("'WCM Calibration Final'!$E$1:$E$2000"),'Calculations'!$EM225)&amp;"")),""),'Calculations'!$HG$13:$HG$512,0)),IF(COUNTIF('Calculations'!$HG$13:$HG$512,"="&amp;SUBSTITUTE(SUBSTITUTE(SUBSTITUTE(IFERROR(IF(INDEX(INDIRECT("'WCM Calibration Final'!$E$1:$E$2000"),'Calculations'!$EM225)="","",TRIM(INDEX(INDIRECT("'WCM Calibration Final'!$E$1:$E$2000"),'Calculations'!$EM225)&amp;"")),""),"~","~~"),"*","~*"),"?","~?"))&gt;1,"!AMBIG","X:"&amp;IFERROR(IF(INDEX(INDIRECT("'WCM Calibration Final'!$E$1:$E$2000"),'Calculations'!$EM225)="","",TRIM(INDEX(INDIRECT("'WCM Calibration Final'!$E$1:$E$2000"),'Calculations'!$EM225)&amp;"")),""))))))</x:f>
      </x:c>
      <x:c r="HG225" t="str">
        <x:f>IF('Calculations'!EM225="","",IFERROR(IF(INDEX(INDIRECT("'WCM Calibration Final'!$B$1:$B$2000"),'Calculations'!$EM225)="","",TRIM(INDEX(INDIRECT("'WCM Calibration Final'!$B$1:$B$2000"),'Calculations'!$EM225)&amp;"")),""))</x:f>
      </x:c>
      <x:c r="HH225" t="n">
        <x:f>IF(AND('Calculations'!JC225&gt;0,COUNTIF('Calculations'!$HF$12:HF225,"="&amp;SUBSTITUTE(SUBSTITUTE(SUBSTITUTE('Calculations'!HF225,"~","~~"),"*","~*"),"?","~?"))=1),MAX('Calculations'!$HH$12:HH224)+1,0)</x:f>
        <x:v>0</x:v>
      </x:c>
      <x:c r="HI225" t="n">
        <x:f>IF(AND('Calculations'!HN225&lt;&gt;"",COUNTIF('Calculations'!$HN$12:HN225,"="&amp;SUBSTITUTE(SUBSTITUTE(SUBSTITUTE('Calculations'!HN225,"~","~~"),"*","~*"),"?","~?"))=1),MAX('Calculations'!$HI$12:HI224)+1,0)</x:f>
        <x:v>0</x:v>
      </x:c>
      <x:c r="HJ225" t="str">
        <x:f>IF('Calculations'!HF225="","",IF(COUNTIF('Calculations'!$HE$13:$HE$512,"="&amp;SUBSTITUTE(SUBSTITUTE(SUBSTITUTE('Calculations'!HF225,"~","~~"),"*","~*"),"?","~?"))=1,INDEX('Calculations'!$HK$13:$HK$512,MATCH('Calculations'!HF225,'Calculations'!$HE$13:$HE$512,0)),IFERROR(IF(INDEX(INDIRECT("'WCM Calibration Final'!$E$1:$E$2000"),'Calculations'!$EM225)="","",TRIM(INDEX(INDIRECT("'WCM Calibration Final'!$E$1:$E$2000"),'Calculations'!$EM225)&amp;"")),"")&amp;" ["&amp;'Calculations'!HF225&amp;"]"))</x:f>
      </x:c>
      <x:c r="HK225" t="str">
        <x:f>IF('Calculations'!EM225="","",'Calculations'!HG225&amp;" ["&amp;'Calculations'!HE225&amp;"]")</x:f>
      </x:c>
      <x:c r="HL225" t="n">
        <x:f>IF('Calculations'!EM225="",0,IF(OR('Calculations'!II225&lt;&gt;"",COUNTIF('Calculations'!$HE$13:$HE$512,"="&amp;SUBSTITUTE(SUBSTITUTE(SUBSTITUTE('Calculations'!HE225,"~","~~"),"*","~*"),"?","~?"))&gt;1),1,0))</x:f>
        <x:v>0</x:v>
      </x:c>
      <x:c r="HM225" t="str">
        <x:f>IF('Calculations'!EM225="","",IF('Calculations'!HL225=1,"!UNRESOLVED",IF('Calculations'!IH225&lt;&gt;"",'Calculations'!IH225,IF('Calculations'!IG225&lt;&gt;"",'Calculations'!IG225,IF('Calculations'!IF225&lt;&gt;"",'Calculations'!IF225,IF('Calculations'!IE225&lt;&gt;"",'Calculations'!IE225,IF('Calculations'!ID225&lt;&gt;"",'Calculations'!ID225,IF('Calculations'!IC225&lt;&gt;"",'Calculations'!IC225,IF('Calculations'!IB225&lt;&gt;"",'Calculations'!IB225,IF('Calculations'!IA225&lt;&gt;"",'Calculations'!IA225,IF('Calculations'!HZ225&lt;&gt;"",'Calculations'!HZ225,IF('Calculations'!HY225&lt;&gt;"",'Calculations'!HY225,IF('Calculations'!HX225&lt;&gt;"",'Calculations'!HX225,IF('Calculations'!HW225&lt;&gt;"",'Calculations'!HW225,IF('Calculations'!HV225&lt;&gt;"",'Calculations'!HV225,IF('Calculations'!HU225&lt;&gt;"",'Calculations'!HU225,IF('Calculations'!HT225&lt;&gt;"",'Calculations'!HT225,IF('Calculations'!HS225&lt;&gt;"",'Calculations'!HS225,IF('Calculations'!HR225&lt;&gt;"",'Calculations'!HR225,IF('Calculations'!HQ225&lt;&gt;"",'Calculations'!HQ225,IF('Calculations'!HP225&lt;&gt;"",'Calculations'!HP225,IF('Calculations'!HO225&lt;&gt;"",'Calculations'!HO225,'Calculations'!HE225))))))))))))))))))))))</x:f>
      </x:c>
      <x:c r="HN225" t="str">
        <x:f>IF('Calculations'!EM225="","",IF(IFERROR(IF(INDEX(INDIRECT("'WCM Calibration Final'!$F$1:$F$2000"),'Calculations'!$EM225)="","",TRIM(INDEX(INDIRECT("'WCM Calibration Final'!$F$1:$F$2000"),'Calculations'!$EM225)&amp;"")),"")="","(Blank)",IFERROR(IF(INDEX(INDIRECT("'WCM Calibration Final'!$F$1:$F$2000"),'Calculations'!$EM225)="","",TRIM(INDEX(INDIRECT("'WCM Calibration Final'!$F$1:$F$2000"),'Calculations'!$EM225)&amp;"")),"")))</x:f>
      </x:c>
      <x:c r="HO225" t="str">
        <x:f>'Calculations'!HF225</x:f>
      </x:c>
      <x:c r="HP225" t="str">
        <x:f>IF('Calculations'!HO225="","",IF('Calculations'!HO225="!AMBIG","!AMBIG",IF(COUNTIF('Calculations'!$HE$13:$HE$512,"="&amp;SUBSTITUTE(SUBSTITUTE(SUBSTITUTE('Calculations'!HO225,"~","~~"),"*","~*"),"?","~?"))&gt;1,"!AMBIG",IFERROR(INDEX('Calculations'!$HF$13:$HF$512,MATCH('Calculations'!HO225,'Calculations'!$HE$13:$HE$512,0)),""))))</x:f>
      </x:c>
      <x:c r="HQ225" t="str">
        <x:f>IF('Calculations'!HP225="","",IF('Calculations'!HP225="!AMBIG","!AMBIG",IF(COUNTIF('Calculations'!$HE$13:$HE$512,"="&amp;SUBSTITUTE(SUBSTITUTE(SUBSTITUTE('Calculations'!HP225,"~","~~"),"*","~*"),"?","~?"))&gt;1,"!AMBIG",IFERROR(INDEX('Calculations'!$HF$13:$HF$512,MATCH('Calculations'!HP225,'Calculations'!$HE$13:$HE$512,0)),""))))</x:f>
      </x:c>
      <x:c r="HR225" t="str">
        <x:f>IF('Calculations'!HQ225="","",IF('Calculations'!HQ225="!AMBIG","!AMBIG",IF(COUNTIF('Calculations'!$HE$13:$HE$512,"="&amp;SUBSTITUTE(SUBSTITUTE(SUBSTITUTE('Calculations'!HQ225,"~","~~"),"*","~*"),"?","~?"))&gt;1,"!AMBIG",IFERROR(INDEX('Calculations'!$HF$13:$HF$512,MATCH('Calculations'!HQ225,'Calculations'!$HE$13:$HE$512,0)),""))))</x:f>
      </x:c>
      <x:c r="HS225" t="str">
        <x:f>IF('Calculations'!HR225="","",IF('Calculations'!HR225="!AMBIG","!AMBIG",IF(COUNTIF('Calculations'!$HE$13:$HE$512,"="&amp;SUBSTITUTE(SUBSTITUTE(SUBSTITUTE('Calculations'!HR225,"~","~~"),"*","~*"),"?","~?"))&gt;1,"!AMBIG",IFERROR(INDEX('Calculations'!$HF$13:$HF$512,MATCH('Calculations'!HR225,'Calculations'!$HE$13:$HE$512,0)),""))))</x:f>
      </x:c>
      <x:c r="HT225" t="str">
        <x:f>IF('Calculations'!HS225="","",IF('Calculations'!HS225="!AMBIG","!AMBIG",IF(COUNTIF('Calculations'!$HE$13:$HE$512,"="&amp;SUBSTITUTE(SUBSTITUTE(SUBSTITUTE('Calculations'!HS225,"~","~~"),"*","~*"),"?","~?"))&gt;1,"!AMBIG",IFERROR(INDEX('Calculations'!$HF$13:$HF$512,MATCH('Calculations'!HS225,'Calculations'!$HE$13:$HE$512,0)),""))))</x:f>
      </x:c>
      <x:c r="HU225" t="str">
        <x:f>IF('Calculations'!HT225="","",IF('Calculations'!HT225="!AMBIG","!AMBIG",IF(COUNTIF('Calculations'!$HE$13:$HE$512,"="&amp;SUBSTITUTE(SUBSTITUTE(SUBSTITUTE('Calculations'!HT225,"~","~~"),"*","~*"),"?","~?"))&gt;1,"!AMBIG",IFERROR(INDEX('Calculations'!$HF$13:$HF$512,MATCH('Calculations'!HT225,'Calculations'!$HE$13:$HE$512,0)),""))))</x:f>
      </x:c>
      <x:c r="HV225" t="str">
        <x:f>IF('Calculations'!HU225="","",IF('Calculations'!HU225="!AMBIG","!AMBIG",IF(COUNTIF('Calculations'!$HE$13:$HE$512,"="&amp;SUBSTITUTE(SUBSTITUTE(SUBSTITUTE('Calculations'!HU225,"~","~~"),"*","~*"),"?","~?"))&gt;1,"!AMBIG",IFERROR(INDEX('Calculations'!$HF$13:$HF$512,MATCH('Calculations'!HU225,'Calculations'!$HE$13:$HE$512,0)),""))))</x:f>
      </x:c>
      <x:c r="HW225" t="str">
        <x:f>IF('Calculations'!HV225="","",IF('Calculations'!HV225="!AMBIG","!AMBIG",IF(COUNTIF('Calculations'!$HE$13:$HE$512,"="&amp;SUBSTITUTE(SUBSTITUTE(SUBSTITUTE('Calculations'!HV225,"~","~~"),"*","~*"),"?","~?"))&gt;1,"!AMBIG",IFERROR(INDEX('Calculations'!$HF$13:$HF$512,MATCH('Calculations'!HV225,'Calculations'!$HE$13:$HE$512,0)),""))))</x:f>
      </x:c>
      <x:c r="HX225" t="str">
        <x:f>IF('Calculations'!HW225="","",IF('Calculations'!HW225="!AMBIG","!AMBIG",IF(COUNTIF('Calculations'!$HE$13:$HE$512,"="&amp;SUBSTITUTE(SUBSTITUTE(SUBSTITUTE('Calculations'!HW225,"~","~~"),"*","~*"),"?","~?"))&gt;1,"!AMBIG",IFERROR(INDEX('Calculations'!$HF$13:$HF$512,MATCH('Calculations'!HW225,'Calculations'!$HE$13:$HE$512,0)),""))))</x:f>
      </x:c>
      <x:c r="HY225" t="str">
        <x:f>IF('Calculations'!HX225="","",IF('Calculations'!HX225="!AMBIG","!AMBIG",IF(COUNTIF('Calculations'!$HE$13:$HE$512,"="&amp;SUBSTITUTE(SUBSTITUTE(SUBSTITUTE('Calculations'!HX225,"~","~~"),"*","~*"),"?","~?"))&gt;1,"!AMBIG",IFERROR(INDEX('Calculations'!$HF$13:$HF$512,MATCH('Calculations'!HX225,'Calculations'!$HE$13:$HE$512,0)),""))))</x:f>
      </x:c>
      <x:c r="HZ225" t="str">
        <x:f>IF('Calculations'!HY225="","",IF('Calculations'!HY225="!AMBIG","!AMBIG",IF(COUNTIF('Calculations'!$HE$13:$HE$512,"="&amp;SUBSTITUTE(SUBSTITUTE(SUBSTITUTE('Calculations'!HY225,"~","~~"),"*","~*"),"?","~?"))&gt;1,"!AMBIG",IFERROR(INDEX('Calculations'!$HF$13:$HF$512,MATCH('Calculations'!HY225,'Calculations'!$HE$13:$HE$512,0)),""))))</x:f>
      </x:c>
      <x:c r="IA225" t="str">
        <x:f>IF('Calculations'!HZ225="","",IF('Calculations'!HZ225="!AMBIG","!AMBIG",IF(COUNTIF('Calculations'!$HE$13:$HE$512,"="&amp;SUBSTITUTE(SUBSTITUTE(SUBSTITUTE('Calculations'!HZ225,"~","~~"),"*","~*"),"?","~?"))&gt;1,"!AMBIG",IFERROR(INDEX('Calculations'!$HF$13:$HF$512,MATCH('Calculations'!HZ225,'Calculations'!$HE$13:$HE$512,0)),""))))</x:f>
      </x:c>
      <x:c r="IB225" t="str">
        <x:f>IF('Calculations'!IA225="","",IF('Calculations'!IA225="!AMBIG","!AMBIG",IF(COUNTIF('Calculations'!$HE$13:$HE$512,"="&amp;SUBSTITUTE(SUBSTITUTE(SUBSTITUTE('Calculations'!IA225,"~","~~"),"*","~*"),"?","~?"))&gt;1,"!AMBIG",IFERROR(INDEX('Calculations'!$HF$13:$HF$512,MATCH('Calculations'!IA225,'Calculations'!$HE$13:$HE$512,0)),""))))</x:f>
      </x:c>
      <x:c r="IC225" t="str">
        <x:f>IF('Calculations'!IB225="","",IF('Calculations'!IB225="!AMBIG","!AMBIG",IF(COUNTIF('Calculations'!$HE$13:$HE$512,"="&amp;SUBSTITUTE(SUBSTITUTE(SUBSTITUTE('Calculations'!IB225,"~","~~"),"*","~*"),"?","~?"))&gt;1,"!AMBIG",IFERROR(INDEX('Calculations'!$HF$13:$HF$512,MATCH('Calculations'!IB225,'Calculations'!$HE$13:$HE$512,0)),""))))</x:f>
      </x:c>
      <x:c r="ID225" t="str">
        <x:f>IF('Calculations'!IC225="","",IF('Calculations'!IC225="!AMBIG","!AMBIG",IF(COUNTIF('Calculations'!$HE$13:$HE$512,"="&amp;SUBSTITUTE(SUBSTITUTE(SUBSTITUTE('Calculations'!IC225,"~","~~"),"*","~*"),"?","~?"))&gt;1,"!AMBIG",IFERROR(INDEX('Calculations'!$HF$13:$HF$512,MATCH('Calculations'!IC225,'Calculations'!$HE$13:$HE$512,0)),""))))</x:f>
      </x:c>
      <x:c r="IE225" t="str">
        <x:f>IF('Calculations'!ID225="","",IF('Calculations'!ID225="!AMBIG","!AMBIG",IF(COUNTIF('Calculations'!$HE$13:$HE$512,"="&amp;SUBSTITUTE(SUBSTITUTE(SUBSTITUTE('Calculations'!ID225,"~","~~"),"*","~*"),"?","~?"))&gt;1,"!AMBIG",IFERROR(INDEX('Calculations'!$HF$13:$HF$512,MATCH('Calculations'!ID225,'Calculations'!$HE$13:$HE$512,0)),""))))</x:f>
      </x:c>
      <x:c r="IF225" t="str">
        <x:f>IF('Calculations'!IE225="","",IF('Calculations'!IE225="!AMBIG","!AMBIG",IF(COUNTIF('Calculations'!$HE$13:$HE$512,"="&amp;SUBSTITUTE(SUBSTITUTE(SUBSTITUTE('Calculations'!IE225,"~","~~"),"*","~*"),"?","~?"))&gt;1,"!AMBIG",IFERROR(INDEX('Calculations'!$HF$13:$HF$512,MATCH('Calculations'!IE225,'Calculations'!$HE$13:$HE$512,0)),""))))</x:f>
      </x:c>
      <x:c r="IG225" t="str">
        <x:f>IF('Calculations'!IF225="","",IF('Calculations'!IF225="!AMBIG","!AMBIG",IF(COUNTIF('Calculations'!$HE$13:$HE$512,"="&amp;SUBSTITUTE(SUBSTITUTE(SUBSTITUTE('Calculations'!IF225,"~","~~"),"*","~*"),"?","~?"))&gt;1,"!AMBIG",IFERROR(INDEX('Calculations'!$HF$13:$HF$512,MATCH('Calculations'!IF225,'Calculations'!$HE$13:$HE$512,0)),""))))</x:f>
      </x:c>
      <x:c r="IH225" t="str">
        <x:f>IF('Calculations'!IG225="","",IF('Calculations'!IG225="!AMBIG","!AMBIG",IF(COUNTIF('Calculations'!$HE$13:$HE$512,"="&amp;SUBSTITUTE(SUBSTITUTE(SUBSTITUTE('Calculations'!IG225,"~","~~"),"*","~*"),"?","~?"))&gt;1,"!AMBIG",IFERROR(INDEX('Calculations'!$HF$13:$HF$512,MATCH('Calculations'!IG225,'Calculations'!$HE$13:$HE$512,0)),""))))</x:f>
      </x:c>
      <x:c r="II225" t="str">
        <x:f>IF('Calculations'!IH225="","",IF('Calculations'!IH225="!AMBIG","!AMBIG",IF(COUNTIF('Calculations'!$HE$13:$HE$512,"="&amp;SUBSTITUTE(SUBSTITUTE(SUBSTITUTE('Calculations'!IH225,"~","~~"),"*","~*"),"?","~?"))&gt;1,"!AMBIG",IFERROR(INDEX('Calculations'!$HF$13:$HF$512,MATCH('Calculations'!IH225,'Calculations'!$HE$13:$HE$512,0)),""))))</x:f>
      </x:c>
      <x:c r="IJ225" t="str">
        <x:f>IF('Calculations'!EM225="","",IF('Calculations'!$EF$2="All",'Calculations'!HM225,IF('Calculations'!HL225=1,"",IFERROR(IF(MATCH('Calculations'!$EF$2,'Calculations'!HO225:II225,0)=1,'Calculations'!HE225,INDEX('Calculations'!HO225:II225,1,MATCH('Calculations'!$EF$2,'Calculations'!HO225:II225,0)-1)),""))))</x:f>
      </x:c>
      <x:c r="IK225" t="n">
        <x:f>IF(AND('Calculations'!EM225&lt;&gt;"",'Calculations'!$EF$2&lt;&gt;"All",'Calculations'!HF225='Calculations'!$EF$2,'Calculations'!HL225=0,'Calculations'!JD225&gt;0),MAX('Calculations'!$IK$12:IK224)+1,0)</x:f>
        <x:v>0</x:v>
      </x:c>
      <x:c r="JA225" t="n">
        <x:f>IF(OR(IFERROR(INDIRECT("'WCM Calibration Final'!$A$225")&lt;&gt;"",FALSE),IFERROR(INDIRECT("'WCM Calibration Final'!$B$225")&lt;&gt;"",FALSE),IFERROR(INDIRECT("'WCM Calibration Final'!$C$225")&lt;&gt;"",FALSE)),225,0)</x:f>
        <x:v>0</x:v>
      </x:c>
      <x:c r="JB225" t="n">
        <x:f>'Calculations'!JB224+IF('Calculations'!JA225&gt;0,1,0)</x:f>
        <x:v>0</x:v>
      </x:c>
      <x:c r="JC225" t="n">
        <x:f>IF(OR('Calculations'!HF225="",'Calculations'!HF225="!AMBIG"),0,IF('Dashboard'!$B$7="All",1,COUNTIFS('Calculations'!$HO$13:$HO$512,"="&amp;SUBSTITUTE(SUBSTITUTE(SUBSTITUTE('Calculations'!HF225,"~","~~"),"*","~*"),"?","~?"),'Calculations'!$HN$13:$HN$512,"="&amp;SUBSTITUTE(SUBSTITUTE(SUBSTITUTE('Dashboard'!$B$7,"~","~~"),"*","~*"),"?","~?"))+COUNTIFS('Calculations'!$HP$13:$HP$512,"="&amp;SUBSTITUTE(SUBSTITUTE(SUBSTITUTE('Calculations'!HF225,"~","~~"),"*","~*"),"?","~?"),'Calculations'!$HN$13:$HN$512,"="&amp;SUBSTITUTE(SUBSTITUTE(SUBSTITUTE('Dashboard'!$B$7,"~","~~"),"*","~*"),"?","~?"))+COUNTIFS('Calculations'!$HQ$13:$HQ$512,"="&amp;SUBSTITUTE(SUBSTITUTE(SUBSTITUTE('Calculations'!HF225,"~","~~"),"*","~*"),"?","~?"),'Calculations'!$HN$13:$HN$512,"="&amp;SUBSTITUTE(SUBSTITUTE(SUBSTITUTE('Dashboard'!$B$7,"~","~~"),"*","~*"),"?","~?"))+COUNTIFS('Calculations'!$HR$13:$HR$512,"="&amp;SUBSTITUTE(SUBSTITUTE(SUBSTITUTE('Calculations'!HF225,"~","~~"),"*","~*"),"?","~?"),'Calculations'!$HN$13:$HN$512,"="&amp;SUBSTITUTE(SUBSTITUTE(SUBSTITUTE('Dashboard'!$B$7,"~","~~"),"*","~*"),"?","~?"))+COUNTIFS('Calculations'!$HS$13:$HS$512,"="&amp;SUBSTITUTE(SUBSTITUTE(SUBSTITUTE('Calculations'!HF225,"~","~~"),"*","~*"),"?","~?"),'Calculations'!$HN$13:$HN$512,"="&amp;SUBSTITUTE(SUBSTITUTE(SUBSTITUTE('Dashboard'!$B$7,"~","~~"),"*","~*"),"?","~?"))+COUNTIFS('Calculations'!$HT$13:$HT$512,"="&amp;SUBSTITUTE(SUBSTITUTE(SUBSTITUTE('Calculations'!HF225,"~","~~"),"*","~*"),"?","~?"),'Calculations'!$HN$13:$HN$512,"="&amp;SUBSTITUTE(SUBSTITUTE(SUBSTITUTE('Dashboard'!$B$7,"~","~~"),"*","~*"),"?","~?"))+COUNTIFS('Calculations'!$HU$13:$HU$512,"="&amp;SUBSTITUTE(SUBSTITUTE(SUBSTITUTE('Calculations'!HF225,"~","~~"),"*","~*"),"?","~?"),'Calculations'!$HN$13:$HN$512,"="&amp;SUBSTITUTE(SUBSTITUTE(SUBSTITUTE('Dashboard'!$B$7,"~","~~"),"*","~*"),"?","~?"))+COUNTIFS('Calculations'!$HV$13:$HV$512,"="&amp;SUBSTITUTE(SUBSTITUTE(SUBSTITUTE('Calculations'!HF225,"~","~~"),"*","~*"),"?","~?"),'Calculations'!$HN$13:$HN$512,"="&amp;SUBSTITUTE(SUBSTITUTE(SUBSTITUTE('Dashboard'!$B$7,"~","~~"),"*","~*"),"?","~?"))+COUNTIFS('Calculations'!$HW$13:$HW$512,"="&amp;SUBSTITUTE(SUBSTITUTE(SUBSTITUTE('Calculations'!HF225,"~","~~"),"*","~*"),"?","~?"),'Calculations'!$HN$13:$HN$512,"="&amp;SUBSTITUTE(SUBSTITUTE(SUBSTITUTE('Dashboard'!$B$7,"~","~~"),"*","~*"),"?","~?"))+COUNTIFS('Calculations'!$HX$13:$HX$512,"="&amp;SUBSTITUTE(SUBSTITUTE(SUBSTITUTE('Calculations'!HF225,"~","~~"),"*","~*"),"?","~?"),'Calculations'!$HN$13:$HN$512,"="&amp;SUBSTITUTE(SUBSTITUTE(SUBSTITUTE('Dashboard'!$B$7,"~","~~"),"*","~*"),"?","~?"))+COUNTIFS('Calculations'!$HY$13:$HY$512,"="&amp;SUBSTITUTE(SUBSTITUTE(SUBSTITUTE('Calculations'!HF225,"~","~~"),"*","~*"),"?","~?"),'Calculations'!$HN$13:$HN$512,"="&amp;SUBSTITUTE(SUBSTITUTE(SUBSTITUTE('Dashboard'!$B$7,"~","~~"),"*","~*"),"?","~?"))+COUNTIFS('Calculations'!$HZ$13:$HZ$512,"="&amp;SUBSTITUTE(SUBSTITUTE(SUBSTITUTE('Calculations'!HF225,"~","~~"),"*","~*"),"?","~?"),'Calculations'!$HN$13:$HN$512,"="&amp;SUBSTITUTE(SUBSTITUTE(SUBSTITUTE('Dashboard'!$B$7,"~","~~"),"*","~*"),"?","~?"))+COUNTIFS('Calculations'!$IA$13:$IA$512,"="&amp;SUBSTITUTE(SUBSTITUTE(SUBSTITUTE('Calculations'!HF225,"~","~~"),"*","~*"),"?","~?"),'Calculations'!$HN$13:$HN$512,"="&amp;SUBSTITUTE(SUBSTITUTE(SUBSTITUTE('Dashboard'!$B$7,"~","~~"),"*","~*"),"?","~?"))+COUNTIFS('Calculations'!$IB$13:$IB$512,"="&amp;SUBSTITUTE(SUBSTITUTE(SUBSTITUTE('Calculations'!HF225,"~","~~"),"*","~*"),"?","~?"),'Calculations'!$HN$13:$HN$512,"="&amp;SUBSTITUTE(SUBSTITUTE(SUBSTITUTE('Dashboard'!$B$7,"~","~~"),"*","~*"),"?","~?"))+COUNTIFS('Calculations'!$IC$13:$IC$512,"="&amp;SUBSTITUTE(SUBSTITUTE(SUBSTITUTE('Calculations'!HF225,"~","~~"),"*","~*"),"?","~?"),'Calculations'!$HN$13:$HN$512,"="&amp;SUBSTITUTE(SUBSTITUTE(SUBSTITUTE('Dashboard'!$B$7,"~","~~"),"*","~*"),"?","~?"))+COUNTIFS('Calculations'!$ID$13:$ID$512,"="&amp;SUBSTITUTE(SUBSTITUTE(SUBSTITUTE('Calculations'!HF225,"~","~~"),"*","~*"),"?","~?"),'Calculations'!$HN$13:$HN$512,"="&amp;SUBSTITUTE(SUBSTITUTE(SUBSTITUTE('Dashboard'!$B$7,"~","~~"),"*","~*"),"?","~?"))+COUNTIFS('Calculations'!$IE$13:$IE$512,"="&amp;SUBSTITUTE(SUBSTITUTE(SUBSTITUTE('Calculations'!HF225,"~","~~"),"*","~*"),"?","~?"),'Calculations'!$HN$13:$HN$512,"="&amp;SUBSTITUTE(SUBSTITUTE(SUBSTITUTE('Dashboard'!$B$7,"~","~~"),"*","~*"),"?","~?"))+COUNTIFS('Calculations'!$IF$13:$IF$512,"="&amp;SUBSTITUTE(SUBSTITUTE(SUBSTITUTE('Calculations'!HF225,"~","~~"),"*","~*"),"?","~?"),'Calculations'!$HN$13:$HN$512,"="&amp;SUBSTITUTE(SUBSTITUTE(SUBSTITUTE('Dashboard'!$B$7,"~","~~"),"*","~*"),"?","~?"))+COUNTIFS('Calculations'!$IG$13:$IG$512,"="&amp;SUBSTITUTE(SUBSTITUTE(SUBSTITUTE('Calculations'!HF225,"~","~~"),"*","~*"),"?","~?"),'Calculations'!$HN$13:$HN$512,"="&amp;SUBSTITUTE(SUBSTITUTE(SUBSTITUTE('Dashboard'!$B$7,"~","~~"),"*","~*"),"?","~?"))+COUNTIFS('Calculations'!$IH$13:$IH$512,"="&amp;SUBSTITUTE(SUBSTITUTE(SUBSTITUTE('Calculations'!HF225,"~","~~"),"*","~*"),"?","~?"),'Calculations'!$HN$13:$HN$512,"="&amp;SUBSTITUTE(SUBSTITUTE(SUBSTITUTE('Dashboard'!$B$7,"~","~~"),"*","~*"),"?","~?"))))</x:f>
        <x:v>0</x:v>
      </x:c>
      <x:c r="JD225" t="n">
        <x:f>IF('Calculations'!EM225="",0,IF('Dashboard'!$B$7="All",1,IF('Calculations'!HN225='Dashboard'!$B$7,1,0)+IFERROR(INDEX('Calculations'!$JC$13:$JC$512,MATCH('Calculations'!HE225,'Calculations'!$HF$13:$HF$512,0)),0)))</x:f>
        <x:v>0</x:v>
      </x:c>
      <x:c r="JE225" t="n">
        <x:f>IF(AND('Calculations'!EM225&lt;&gt;"",'Calculations'!$JJ$2&lt;&gt;"All",'Calculations'!$JJ$2&lt;&gt;"",'Calculations'!HF225='Calculations'!$JJ$2,'Calculations'!HL225=0,'Calculations'!JD225&gt;0),MAX('Calculations'!$JE$12:JE224)+1,0)</x:f>
        <x:v>0</x:v>
      </x:c>
      <x:c r="JF225" t="str">
        <x:f>IF('Calculations'!EM225="","",IFERROR(IF(INDEX(INDIRECT("'WCM Calibration Final'!$G$1:$G$2000"),'Calculations'!$EM225)="","",TRIM(INDEX(INDIRECT("'WCM Calibration Final'!$G$1:$G$2000"),'Calculations'!$EM225)&amp;"")),""))</x:f>
      </x:c>
      <x:c r="JQ225" t="n">
        <x:f>IF(OR('Calculations'!BM225=0,NOT('Calculations'!$AG$2),'Calculations'!$AG$8&gt;0),0,IF(OR('Dashboard'!$B$7="All",'Calculations'!HN225='Dashboard'!$B$7),IF('Calculations'!$JJ$2="All",1,IF(AND('Calculations'!HF225='Calculations'!$JJ$2,'Calculations'!HL225=0),1,0)),0))</x:f>
        <x:v>0</x:v>
      </x:c>
    </x:row>
    <x:row r="226">
      <x:c r="AF226" s="4" t="str">
        <x:f>IF('Calculations'!AH226=0,"","Officer (n="&amp;'Calculations'!AH226&amp;")")</x:f>
      </x:c>
      <x:c r="AG226" s="4" t="n">
        <x:f>COUNTIFS('Calculations'!$BN$13:$BN$512,1,'Calculations'!$BV$13:$BV$512,'Calculations'!AT226)</x:f>
        <x:v>0</x:v>
      </x:c>
      <x:c r="AH226" s="4" t="n">
        <x:f>SUM('Calculations'!AJ226:AM226)</x:f>
        <x:v>0</x:v>
      </x:c>
      <x:c r="AI226" s="4" t="n">
        <x:f>'Calculations'!AG226-'Calculations'!AH226</x:f>
        <x:v>0</x:v>
      </x:c>
      <x:c r="AJ226" s="4" t="n">
        <x:f>COUNTIFS('Calculations'!$BN$13:$BN$512,1,'Calculations'!$BV$13:$BV$512,'Calculations'!AT226,'Calculations'!$BO$13:$BO$512,1)</x:f>
        <x:v>0</x:v>
      </x:c>
      <x:c r="AK226" s="4" t="n">
        <x:f>COUNTIFS('Calculations'!$BN$13:$BN$512,1,'Calculations'!$BV$13:$BV$512,'Calculations'!AT226,'Calculations'!$BO$13:$BO$512,2)</x:f>
        <x:v>0</x:v>
      </x:c>
      <x:c r="AL226" s="4" t="n">
        <x:f>COUNTIFS('Calculations'!$BN$13:$BN$512,1,'Calculations'!$BV$13:$BV$512,'Calculations'!AT226,'Calculations'!$BO$13:$BO$512,3)</x:f>
        <x:v>0</x:v>
      </x:c>
      <x:c r="AM226" s="4" t="n">
        <x:f>COUNTIFS('Calculations'!$BN$13:$BN$512,1,'Calculations'!$BV$13:$BV$512,'Calculations'!AT226,'Calculations'!$BO$13:$BO$512,4)</x:f>
        <x:v>0</x:v>
      </x:c>
      <x:c r="AN226" s="4"/>
      <x:c r="AO226" s="4" t="n">
        <x:f>IF('Calculations'!AH226=0,0,'Calculations'!AJ226/'Calculations'!AH226)</x:f>
        <x:v>0</x:v>
      </x:c>
      <x:c r="AP226" s="4" t="n">
        <x:f>IF('Calculations'!AH226=0,0,'Calculations'!AK226/'Calculations'!AH226)</x:f>
        <x:v>0</x:v>
      </x:c>
      <x:c r="AQ226" s="4" t="n">
        <x:f>IF('Calculations'!AH226=0,0,'Calculations'!AL226/'Calculations'!AH226)</x:f>
        <x:v>0</x:v>
      </x:c>
      <x:c r="AR226" s="4" t="n">
        <x:f>IF('Calculations'!AH226=0,0,'Calculations'!AM226/'Calculations'!AH226)</x:f>
        <x:v>0</x:v>
      </x:c>
      <x:c r="AS226" s="4"/>
      <x:c r="AT226" s="4" t="str">
        <x:v>OFFICER</x:v>
      </x:c>
      <x:c r="AU226" s="4"/>
      <x:c r="AV226" s="4"/>
      <x:c r="AW226" s="4"/>
      <x:c r="AX226" s="4"/>
      <x:c r="AY226" s="4"/>
      <x:c r="AZ226" s="4"/>
      <x:c r="BA226" s="4"/>
      <x:c r="BB226" s="4"/>
      <x:c r="BC226" s="4"/>
      <x:c r="BD226" s="4"/>
      <x:c r="BE226" s="4"/>
      <x:c r="BF226" s="4"/>
      <x:c r="BG226" s="4"/>
      <x:c r="BH226" s="4"/>
      <x:c r="BI226" s="4"/>
      <x:c r="BJ226" s="4"/>
      <x:c r="BK226" s="4"/>
      <x:c r="BL226" s="4"/>
      <x:c r="BM226" s="4" t="n">
        <x:f>IF('Calculations'!$EM226="",0,IF(OR(IFERROR(INDEX(INDIRECT("'WCM Calibration Final'!$A$1:$A$2000"),'Calculations'!$EM226)&lt;&gt;"",FALSE),IFERROR(INDEX(INDIRECT("'WCM Calibration Final'!$B$1:$B$2000"),'Calculations'!$EM226)&lt;&gt;"",FALSE),IFERROR(INDEX(INDIRECT("'WCM Calibration Final'!$C$1:$C$2000"),'Calculations'!$EM226)&lt;&gt;"",FALSE)),1,0))</x:f>
        <x:v>0</x:v>
      </x:c>
      <x:c r="BN226" s="4" t="n">
        <x:f>IF(AND('Calculations'!BM226=1,'Calculations'!$AG$2,'Calculations'!$EN226=1),1,0)</x:f>
        <x:v>0</x:v>
      </x:c>
      <x:c r="BO226" s="4" t="str">
        <x:f>IF('Calculations'!BM226=0,"",IFERROR(IF(AND(VALUE(INDEX(INDIRECT("'WCM Calibration Final'!$K$1:$K$2000"),'Calculations'!$EM226))&gt;=1,VALUE(INDEX(INDIRECT("'WCM Calibration Final'!$K$1:$K$2000"),'Calculations'!$EM226))&lt;=4,MOD(VALUE(INDEX(INDIRECT("'WCM Calibration Final'!$K$1:$K$2000"),'Calculations'!$EM226)),1)=0),VALUE(INDEX(INDIRECT("'WCM Calibration Final'!$K$1:$K$2000"),'Calculations'!$EM226)),""),""))</x:f>
      </x:c>
      <x:c r="BP226" s="4" t="str">
        <x:f>IF('Calculations'!BM226=0,"",IFERROR(IF(AND(VALUE(INDEX(INDIRECT("'WCM Calibration Final'!$L$1:$L$2000"),'Calculations'!$EM226))&gt;=1,VALUE(INDEX(INDIRECT("'WCM Calibration Final'!$L$1:$L$2000"),'Calculations'!$EM226))&lt;=4,MOD(VALUE(INDEX(INDIRECT("'WCM Calibration Final'!$L$1:$L$2000"),'Calculations'!$EM226)),1)=0),VALUE(INDEX(INDIRECT("'WCM Calibration Final'!$L$1:$L$2000"),'Calculations'!$EM226)),""),""))</x:f>
      </x:c>
      <x:c r="BQ226" s="4"/>
      <x:c r="BR226" s="4"/>
      <x:c r="BS226" s="4"/>
      <x:c r="BT226" s="4" t="n">
        <x:f>IF(AND('Calculations'!BM226=1,ISNUMBER('Calculations'!BO226),ISNUMBER('Calculations'!BP226)),1,0)</x:f>
        <x:v>0</x:v>
      </x:c>
      <x:c r="BU226" s="4" t="str">
        <x:f>IF('Calculations'!BM226=0,"",'Calculations'!$EO226)</x:f>
      </x:c>
      <x:c r="BV226" s="4" t="str">
        <x:f>IF('Calculations'!BM226=0,"",IFERROR(IF(OR(INDEX(INDIRECT("'WCM Calibration Final'!$H$1:$H$2000"),'Calculations'!$EM226)="MANAGING DIRECTOR",INDEX(INDIRECT("'WCM Calibration Final'!$H$1:$H$2000"),'Calculations'!$EM226)="DIRECTOR",INDEX(INDIRECT("'WCM Calibration Final'!$H$1:$H$2000"),'Calculations'!$EM226)="SENIOR VICE PRESIDENT",INDEX(INDIRECT("'WCM Calibration Final'!$H$1:$H$2000"),'Calculations'!$EM226)="VICE PRESIDENT",INDEX(INDIRECT("'WCM Calibration Final'!$H$1:$H$2000"),'Calculations'!$EM226)="ASSISTANT VICE PRESIDENT",INDEX(INDIRECT("'WCM Calibration Final'!$H$1:$H$2000"),'Calculations'!$EM226)="OFFICER"),UPPER(INDEX(INDIRECT("'WCM Calibration Final'!$H$1:$H$2000"),'Calculations'!$EM226)),"Other"),"Other"))</x:f>
      </x:c>
      <x:c r="BW226" s="4"/>
      <x:c r="BX226" s="4"/>
      <x:c r="BY226" s="4" t="n">
        <x:f>IF(AND('Calculations'!BM226=1,'Calculations'!BU226&lt;&gt;"",COUNTIF('Calculations'!$BU$12:BU226,'Calculations'!BU226)=1),MAX('Calculations'!$BY$11:BY225)+1,0)</x:f>
        <x:v>0</x:v>
      </x:c>
      <x:c r="BZ226" s="4" t="str">
        <x:f>IF('Dashboard'!$E$67="What",'Calculations'!BO226,'Calculations'!BP226)</x:f>
      </x:c>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t="str">
        <x:f>IF(215&gt;MAX('Calculations'!$HI$13:$HI$512),"",INDEX('Calculations'!$HN$13:$HN$512,MATCH(215,'Calculations'!$HI$13:$HI$512,0)))</x:f>
      </x:c>
      <x:c r="DB226" s="4" t="str">
        <x:f>IF(215&gt;MAX('Calculations'!$HH$13:$HH$512),"",INDEX('Calculations'!$HJ$13:$HJ$512,MATCH(215,'Calculations'!$HH$13:$HH$512,0)))</x:f>
      </x:c>
      <x:c r="DC226" s="4" t="str">
        <x:f>IF(ROW()-11&gt;MAX('Calculations'!$BY$13:$BY$512),"",INDEX('Calculations'!$BU$13:$BU$512,MATCH(ROW()-11,'Calculations'!$BY$13:$BY$512,0)))</x:f>
      </x:c>
      <x:c r="DD226" s="4" t="str">
        <x:f>IF(215&gt;MAX('Calculations'!$IK$13:$IK$512),"",INDEX('Calculations'!$HK$13:$HK$512,MATCH(215,'Calculations'!$IK$13:$IK$512,0)))</x:f>
      </x:c>
      <x:c r="DE226" s="4" t="str">
        <x:f>'Calculations'!DC226</x:f>
      </x:c>
      <x:c r="DF226" s="4" t="str">
        <x:f>IF('Calculations'!DE226="","",COUNTIFS('Calculations'!$BN$13:$BN$512,1,'Calculations'!$BU$13:$BU$512,'Calculations'!DE226))</x:f>
      </x:c>
      <x:c r="DG226" s="4" t="str">
        <x:f>IF('Calculations'!DE226="","",COUNTIFS('Calculations'!$BN$13:$BN$512,1,'Calculations'!$BU$13:$BU$512,'Calculations'!DE226,'Calculations'!$BT$13:$BT$512,1))</x:f>
      </x:c>
      <x:c r="DH226" s="4" t="str">
        <x:f>IF('Calculations'!DE226="","",'Calculations'!DF226-'Calculations'!DG226)</x:f>
      </x:c>
      <x:c r="DI226" s="4" t="str">
        <x:f>IF(OR('Calculations'!DE226="",'Calculations'!DF226=0),"",'Calculations'!DG226/'Calculations'!DF226)</x:f>
      </x:c>
      <x:c r="DJ226" s="4" t="str">
        <x:f>IF('Calculations'!DE226="","",COUNTIFS('Calculations'!$BN$13:$BN$512,1,'Calculations'!$BU$13:$BU$512,'Calculations'!DE226,'Calculations'!$BT$13:$BT$512,1,'Calculations'!$EE$13:$EE$512,"High"))</x:f>
      </x:c>
      <x:c r="DK226" s="4" t="str">
        <x:f>IF('Calculations'!DE226="","",COUNTIFS('Calculations'!$BN$13:$BN$512,1,'Calculations'!$BU$13:$BU$512,'Calculations'!DE226,'Calculations'!$BT$13:$BT$512,1,'Calculations'!$EE$13:$EE$512,"Strong"))</x:f>
      </x:c>
      <x:c r="DL226" s="4" t="str">
        <x:f>IF('Calculations'!DE226="","",COUNTIFS('Calculations'!$BN$13:$BN$512,1,'Calculations'!$BU$13:$BU$512,'Calculations'!DE226,'Calculations'!$BT$13:$BT$512,1,'Calculations'!$EE$13:$EE$512,"Solid"))</x:f>
      </x:c>
      <x:c r="DM226" s="4" t="str">
        <x:f>IF('Calculations'!DE226="","",COUNTIFS('Calculations'!$BN$13:$BN$512,1,'Calculations'!$BU$13:$BU$512,'Calculations'!DE226,'Calculations'!$BT$13:$BT$512,1,'Calculations'!$EE$13:$EE$512,"Low"))</x:f>
      </x:c>
      <x:c r="DN226" s="4" t="str">
        <x:f>IF('Calculations'!DE226="","",COUNTIFS('Calculations'!$BN$13:$BN$512,1,'Calculations'!$BU$13:$BU$512,'Calculations'!DE226,'Calculations'!$EP$13:$EP$512,1))</x:f>
      </x:c>
      <x:c r="DO226" s="4" t="str">
        <x:f>IF(OR('Calculations'!DE226="",'Calculations'!DG226=0),"",('Calculations'!DJ226+'Calculations'!DK226)/'Calculations'!DG226)</x:f>
      </x:c>
      <x:c r="DP226" s="4" t="n">
        <x:f>IF(AND('Calculations'!DE226&lt;&gt;"",'Calculations'!DF226&gt;0),COUNTIF('Calculations'!$DF$12:DF226,"&gt;0"),0)</x:f>
        <x:v>0</x:v>
      </x:c>
      <x:c r="DQ226" s="4" t="str">
        <x:f>IF(215&gt;MAX('Calculations'!$HH$13:$HH$512),"",INDEX('Calculations'!$HF$13:$HF$512,MATCH(215,'Calculations'!$HH$13:$HH$512,0)))</x:f>
      </x:c>
      <x:c r="DR226" s="4" t="str">
        <x:f>IF(215&gt;MAX('Calculations'!$IK$13:$IK$512),"",INDEX('Calculations'!$HE$13:$HE$512,MATCH(215,'Calculations'!$IK$13:$IK$512,0)))</x:f>
      </x:c>
      <x:c r="DS226" s="4"/>
      <x:c r="DT226" s="4"/>
      <x:c r="DU226" s="4"/>
      <x:c r="DV226" s="4"/>
      <x:c r="DW226" s="4"/>
      <x:c r="DX226" s="4"/>
      <x:c r="DY226" s="4"/>
      <x:c r="DZ226" s="4"/>
      <x:c r="EA226" s="4"/>
      <x:c r="EB226" s="4"/>
      <x:c r="EC226" s="4"/>
      <x:c r="ED226" s="4"/>
      <x:c r="EE226" s="4" t="str">
        <x:f>IF('Calculations'!BT226=0,"Not Rated",IF(OR('Calculations'!BO226&gt;=4,'Calculations'!BP226&gt;=4),"Low",IF('Calculations'!BO226+'Calculations'!BP226&lt;=3,"High",IF('Calculations'!BO226+'Calculations'!BP226&lt;=4,"Strong","Solid"))))</x:f>
        <x:v>Not Rated</x:v>
      </x:c>
      <x:c r="EF226" s="4"/>
      <x:c r="EG226" s="4"/>
      <x:c r="EH226" s="4"/>
      <x:c r="EI226" s="4"/>
      <x:c r="EJ226" s="4"/>
      <x:c r="EK226" s="4"/>
      <x:c r="EL226" s="4"/>
      <x:c r="EM226" s="4" t="str">
        <x:f>IF(214&gt;'Calculations'!$JB$2000,"",INDEX('Calculations'!$JA$12:$JA$2000,MATCH(214,'Calculations'!$JB$12:$JB$2000,0)))</x:f>
      </x:c>
      <x:c r="EN226" s="4" t="n">
        <x:f>IF(OR('Calculations'!EM226="",'Calculations'!$AG$8&gt;0,AND('Calculations'!$EF$2&lt;&gt;"All",'Calculations'!HE226='Calculations'!$EF$2),AND('Calculations'!$EF$3&lt;&gt;"All",'Calculations'!HE226='Calculations'!$EF$3)),0,IF(OR('Dashboard'!$B$7="All",'Calculations'!HN226='Dashboard'!$B$7),IF('Calculations'!$EF$2="All",1,IF('Calculations'!HL226&gt;0,0,IF(COUNTIF('Calculations'!HO226:II226,"="&amp;SUBSTITUTE(SUBSTITUTE(SUBSTITUTE('Calculations'!$EF$2,"~","~~"),"*","~*"),"?","~?"))=0,0,IF('Calculations'!$EF$3="All",1,IF(COUNTIF('Calculations'!HO226:II226,"="&amp;SUBSTITUTE(SUBSTITUTE(SUBSTITUTE('Calculations'!$EF$3,"~","~~"),"*","~*"),"?","~?"))&gt;0,1,0))))),0))</x:f>
        <x:v>0</x:v>
      </x:c>
      <x:c r="EO226" s="4" t="str">
        <x:f>IF('Calculations'!IJ226="","",IF('Calculations'!IJ226="!UNRESOLVED","Unresolved hierarchy",IFERROR(INDEX('Calculations'!$HK$13:$HK$512,MATCH('Calculations'!IJ226,'Calculations'!$HE$13:$HE$512,0)),IFERROR(INDEX('Calculations'!$HJ$13:$HJ$512,MATCH('Calculations'!IJ226,'Calculations'!$HF$13:$HF$512,0)),'Calculations'!IJ226))))</x:f>
      </x:c>
      <x:c r="EP226" s="4" t="n">
        <x:f>IF(AND('Calculations'!EM226&lt;&gt;"",'Calculations'!HF226='Calculations'!IJ226),1,0)</x:f>
        <x:v>0</x:v>
      </x:c>
      <x:c r="EQ226" s="4"/>
      <x:c r="ER226" s="4"/>
      <x:c r="ES226" s="4"/>
      <x:c r="ET226" s="4"/>
      <x:c r="EU226" s="4"/>
      <x:c r="EV226" s="4"/>
      <x:c r="EW226" s="4"/>
      <x:c r="EX226" s="4"/>
      <x:c r="EY226" s="4"/>
      <x:c r="EZ226" s="4"/>
      <x:c r="FA226" s="4"/>
      <x:c r="FB226" s="4"/>
      <x:c r="FC226" s="4"/>
      <x:c r="FD226" s="4"/>
      <x:c r="FE226" s="4"/>
      <x:c r="FF226" s="4"/>
      <x:c r="FG226" s="4"/>
      <x:c r="FH226" s="4"/>
      <x:c r="FI226" s="4"/>
      <x:c r="FJ226" s="4"/>
      <x:c r="FK226" s="4"/>
      <x:c r="FL226" s="4"/>
      <x:c r="FM226" s="4"/>
      <x:c r="FN226" s="4"/>
      <x:c r="FO226" s="4"/>
      <x:c r="HE226" t="str">
        <x:f>IF('Calculations'!EM226="","",IF(IFERROR(IF(INDEX(INDIRECT("'WCM Calibration Final'!$A$1:$A$2000"),'Calculations'!$EM226)="","",TRIM(INDEX(INDIRECT("'WCM Calibration Final'!$A$1:$A$2000"),'Calculations'!$EM226)&amp;"")),"")&lt;&gt;"","G:"&amp;IFERROR(TEXT(1*INDEX(INDIRECT("'WCM Calibration Final'!$A$1:$A$2000"),'Calculations'!$EM226),"0"),UPPER(IFERROR(IF(INDEX(INDIRECT("'WCM Calibration Final'!$A$1:$A$2000"),'Calculations'!$EM226)="","",TRIM(INDEX(INDIRECT("'WCM Calibration Final'!$A$1:$A$2000"),'Calculations'!$EM226)&amp;"")),""))),IF(IFERROR(IF(INDEX(INDIRECT("'WCM Calibration Final'!$C$1:$C$2000"),'Calculations'!$EM226)="","",TRIM(INDEX(INDIRECT("'WCM Calibration Final'!$C$1:$C$2000"),'Calculations'!$EM226)&amp;"")),"")&lt;&gt;"","S:"&amp;UPPER(IFERROR(IF(INDEX(INDIRECT("'WCM Calibration Final'!$C$1:$C$2000"),'Calculations'!$EM226)="","",TRIM(INDEX(INDIRECT("'WCM Calibration Final'!$C$1:$C$2000"),'Calculations'!$EM226)&amp;"")),"")),"R:"&amp;'Calculations'!EM226)))</x:f>
      </x:c>
      <x:c r="HF226" t="str">
        <x:f>IF('Calculations'!EM226="","",IF(IFERROR(IF(INDEX(INDIRECT("'WCM Calibration Final'!$D$1:$D$2000"),'Calculations'!$EM226)="","",TRIM(INDEX(INDIRECT("'WCM Calibration Final'!$D$1:$D$2000"),'Calculations'!$EM226)&amp;"")),"")&lt;&gt;"","G:"&amp;IFERROR(TEXT(1*INDEX(INDIRECT("'WCM Calibration Final'!$D$1:$D$2000"),'Calculations'!$EM226),"0"),UPPER(IFERROR(IF(INDEX(INDIRECT("'WCM Calibration Final'!$D$1:$D$2000"),'Calculations'!$EM226)="","",TRIM(INDEX(INDIRECT("'WCM Calibration Final'!$D$1:$D$2000"),'Calculations'!$EM226)&amp;"")),""))),IF(IFERROR(IF(INDEX(INDIRECT("'WCM Calibration Final'!$E$1:$E$2000"),'Calculations'!$EM226)="","",TRIM(INDEX(INDIRECT("'WCM Calibration Final'!$E$1:$E$2000"),'Calculations'!$EM226)&amp;"")),"")="","",IF(COUNTIF('Calculations'!$HG$13:$HG$512,"="&amp;SUBSTITUTE(SUBSTITUTE(SUBSTITUTE(IFERROR(IF(INDEX(INDIRECT("'WCM Calibration Final'!$E$1:$E$2000"),'Calculations'!$EM226)="","",TRIM(INDEX(INDIRECT("'WCM Calibration Final'!$E$1:$E$2000"),'Calculations'!$EM226)&amp;"")),""),"~","~~"),"*","~*"),"?","~?"))=1,INDEX('Calculations'!$HE$13:$HE$512,MATCH(IFERROR(IF(INDEX(INDIRECT("'WCM Calibration Final'!$E$1:$E$2000"),'Calculations'!$EM226)="","",TRIM(INDEX(INDIRECT("'WCM Calibration Final'!$E$1:$E$2000"),'Calculations'!$EM226)&amp;"")),""),'Calculations'!$HG$13:$HG$512,0)),IF(COUNTIF('Calculations'!$HG$13:$HG$512,"="&amp;SUBSTITUTE(SUBSTITUTE(SUBSTITUTE(IFERROR(IF(INDEX(INDIRECT("'WCM Calibration Final'!$E$1:$E$2000"),'Calculations'!$EM226)="","",TRIM(INDEX(INDIRECT("'WCM Calibration Final'!$E$1:$E$2000"),'Calculations'!$EM226)&amp;"")),""),"~","~~"),"*","~*"),"?","~?"))&gt;1,"!AMBIG","X:"&amp;IFERROR(IF(INDEX(INDIRECT("'WCM Calibration Final'!$E$1:$E$2000"),'Calculations'!$EM226)="","",TRIM(INDEX(INDIRECT("'WCM Calibration Final'!$E$1:$E$2000"),'Calculations'!$EM226)&amp;"")),""))))))</x:f>
      </x:c>
      <x:c r="HG226" t="str">
        <x:f>IF('Calculations'!EM226="","",IFERROR(IF(INDEX(INDIRECT("'WCM Calibration Final'!$B$1:$B$2000"),'Calculations'!$EM226)="","",TRIM(INDEX(INDIRECT("'WCM Calibration Final'!$B$1:$B$2000"),'Calculations'!$EM226)&amp;"")),""))</x:f>
      </x:c>
      <x:c r="HH226" t="n">
        <x:f>IF(AND('Calculations'!JC226&gt;0,COUNTIF('Calculations'!$HF$12:HF226,"="&amp;SUBSTITUTE(SUBSTITUTE(SUBSTITUTE('Calculations'!HF226,"~","~~"),"*","~*"),"?","~?"))=1),MAX('Calculations'!$HH$12:HH225)+1,0)</x:f>
        <x:v>0</x:v>
      </x:c>
      <x:c r="HI226" t="n">
        <x:f>IF(AND('Calculations'!HN226&lt;&gt;"",COUNTIF('Calculations'!$HN$12:HN226,"="&amp;SUBSTITUTE(SUBSTITUTE(SUBSTITUTE('Calculations'!HN226,"~","~~"),"*","~*"),"?","~?"))=1),MAX('Calculations'!$HI$12:HI225)+1,0)</x:f>
        <x:v>0</x:v>
      </x:c>
      <x:c r="HJ226" t="str">
        <x:f>IF('Calculations'!HF226="","",IF(COUNTIF('Calculations'!$HE$13:$HE$512,"="&amp;SUBSTITUTE(SUBSTITUTE(SUBSTITUTE('Calculations'!HF226,"~","~~"),"*","~*"),"?","~?"))=1,INDEX('Calculations'!$HK$13:$HK$512,MATCH('Calculations'!HF226,'Calculations'!$HE$13:$HE$512,0)),IFERROR(IF(INDEX(INDIRECT("'WCM Calibration Final'!$E$1:$E$2000"),'Calculations'!$EM226)="","",TRIM(INDEX(INDIRECT("'WCM Calibration Final'!$E$1:$E$2000"),'Calculations'!$EM226)&amp;"")),"")&amp;" ["&amp;'Calculations'!HF226&amp;"]"))</x:f>
      </x:c>
      <x:c r="HK226" t="str">
        <x:f>IF('Calculations'!EM226="","",'Calculations'!HG226&amp;" ["&amp;'Calculations'!HE226&amp;"]")</x:f>
      </x:c>
      <x:c r="HL226" t="n">
        <x:f>IF('Calculations'!EM226="",0,IF(OR('Calculations'!II226&lt;&gt;"",COUNTIF('Calculations'!$HE$13:$HE$512,"="&amp;SUBSTITUTE(SUBSTITUTE(SUBSTITUTE('Calculations'!HE226,"~","~~"),"*","~*"),"?","~?"))&gt;1),1,0))</x:f>
        <x:v>0</x:v>
      </x:c>
      <x:c r="HM226" t="str">
        <x:f>IF('Calculations'!EM226="","",IF('Calculations'!HL226=1,"!UNRESOLVED",IF('Calculations'!IH226&lt;&gt;"",'Calculations'!IH226,IF('Calculations'!IG226&lt;&gt;"",'Calculations'!IG226,IF('Calculations'!IF226&lt;&gt;"",'Calculations'!IF226,IF('Calculations'!IE226&lt;&gt;"",'Calculations'!IE226,IF('Calculations'!ID226&lt;&gt;"",'Calculations'!ID226,IF('Calculations'!IC226&lt;&gt;"",'Calculations'!IC226,IF('Calculations'!IB226&lt;&gt;"",'Calculations'!IB226,IF('Calculations'!IA226&lt;&gt;"",'Calculations'!IA226,IF('Calculations'!HZ226&lt;&gt;"",'Calculations'!HZ226,IF('Calculations'!HY226&lt;&gt;"",'Calculations'!HY226,IF('Calculations'!HX226&lt;&gt;"",'Calculations'!HX226,IF('Calculations'!HW226&lt;&gt;"",'Calculations'!HW226,IF('Calculations'!HV226&lt;&gt;"",'Calculations'!HV226,IF('Calculations'!HU226&lt;&gt;"",'Calculations'!HU226,IF('Calculations'!HT226&lt;&gt;"",'Calculations'!HT226,IF('Calculations'!HS226&lt;&gt;"",'Calculations'!HS226,IF('Calculations'!HR226&lt;&gt;"",'Calculations'!HR226,IF('Calculations'!HQ226&lt;&gt;"",'Calculations'!HQ226,IF('Calculations'!HP226&lt;&gt;"",'Calculations'!HP226,IF('Calculations'!HO226&lt;&gt;"",'Calculations'!HO226,'Calculations'!HE226))))))))))))))))))))))</x:f>
      </x:c>
      <x:c r="HN226" t="str">
        <x:f>IF('Calculations'!EM226="","",IF(IFERROR(IF(INDEX(INDIRECT("'WCM Calibration Final'!$F$1:$F$2000"),'Calculations'!$EM226)="","",TRIM(INDEX(INDIRECT("'WCM Calibration Final'!$F$1:$F$2000"),'Calculations'!$EM226)&amp;"")),"")="","(Blank)",IFERROR(IF(INDEX(INDIRECT("'WCM Calibration Final'!$F$1:$F$2000"),'Calculations'!$EM226)="","",TRIM(INDEX(INDIRECT("'WCM Calibration Final'!$F$1:$F$2000"),'Calculations'!$EM226)&amp;"")),"")))</x:f>
      </x:c>
      <x:c r="HO226" t="str">
        <x:f>'Calculations'!HF226</x:f>
      </x:c>
      <x:c r="HP226" t="str">
        <x:f>IF('Calculations'!HO226="","",IF('Calculations'!HO226="!AMBIG","!AMBIG",IF(COUNTIF('Calculations'!$HE$13:$HE$512,"="&amp;SUBSTITUTE(SUBSTITUTE(SUBSTITUTE('Calculations'!HO226,"~","~~"),"*","~*"),"?","~?"))&gt;1,"!AMBIG",IFERROR(INDEX('Calculations'!$HF$13:$HF$512,MATCH('Calculations'!HO226,'Calculations'!$HE$13:$HE$512,0)),""))))</x:f>
      </x:c>
      <x:c r="HQ226" t="str">
        <x:f>IF('Calculations'!HP226="","",IF('Calculations'!HP226="!AMBIG","!AMBIG",IF(COUNTIF('Calculations'!$HE$13:$HE$512,"="&amp;SUBSTITUTE(SUBSTITUTE(SUBSTITUTE('Calculations'!HP226,"~","~~"),"*","~*"),"?","~?"))&gt;1,"!AMBIG",IFERROR(INDEX('Calculations'!$HF$13:$HF$512,MATCH('Calculations'!HP226,'Calculations'!$HE$13:$HE$512,0)),""))))</x:f>
      </x:c>
      <x:c r="HR226" t="str">
        <x:f>IF('Calculations'!HQ226="","",IF('Calculations'!HQ226="!AMBIG","!AMBIG",IF(COUNTIF('Calculations'!$HE$13:$HE$512,"="&amp;SUBSTITUTE(SUBSTITUTE(SUBSTITUTE('Calculations'!HQ226,"~","~~"),"*","~*"),"?","~?"))&gt;1,"!AMBIG",IFERROR(INDEX('Calculations'!$HF$13:$HF$512,MATCH('Calculations'!HQ226,'Calculations'!$HE$13:$HE$512,0)),""))))</x:f>
      </x:c>
      <x:c r="HS226" t="str">
        <x:f>IF('Calculations'!HR226="","",IF('Calculations'!HR226="!AMBIG","!AMBIG",IF(COUNTIF('Calculations'!$HE$13:$HE$512,"="&amp;SUBSTITUTE(SUBSTITUTE(SUBSTITUTE('Calculations'!HR226,"~","~~"),"*","~*"),"?","~?"))&gt;1,"!AMBIG",IFERROR(INDEX('Calculations'!$HF$13:$HF$512,MATCH('Calculations'!HR226,'Calculations'!$HE$13:$HE$512,0)),""))))</x:f>
      </x:c>
      <x:c r="HT226" t="str">
        <x:f>IF('Calculations'!HS226="","",IF('Calculations'!HS226="!AMBIG","!AMBIG",IF(COUNTIF('Calculations'!$HE$13:$HE$512,"="&amp;SUBSTITUTE(SUBSTITUTE(SUBSTITUTE('Calculations'!HS226,"~","~~"),"*","~*"),"?","~?"))&gt;1,"!AMBIG",IFERROR(INDEX('Calculations'!$HF$13:$HF$512,MATCH('Calculations'!HS226,'Calculations'!$HE$13:$HE$512,0)),""))))</x:f>
      </x:c>
      <x:c r="HU226" t="str">
        <x:f>IF('Calculations'!HT226="","",IF('Calculations'!HT226="!AMBIG","!AMBIG",IF(COUNTIF('Calculations'!$HE$13:$HE$512,"="&amp;SUBSTITUTE(SUBSTITUTE(SUBSTITUTE('Calculations'!HT226,"~","~~"),"*","~*"),"?","~?"))&gt;1,"!AMBIG",IFERROR(INDEX('Calculations'!$HF$13:$HF$512,MATCH('Calculations'!HT226,'Calculations'!$HE$13:$HE$512,0)),""))))</x:f>
      </x:c>
      <x:c r="HV226" t="str">
        <x:f>IF('Calculations'!HU226="","",IF('Calculations'!HU226="!AMBIG","!AMBIG",IF(COUNTIF('Calculations'!$HE$13:$HE$512,"="&amp;SUBSTITUTE(SUBSTITUTE(SUBSTITUTE('Calculations'!HU226,"~","~~"),"*","~*"),"?","~?"))&gt;1,"!AMBIG",IFERROR(INDEX('Calculations'!$HF$13:$HF$512,MATCH('Calculations'!HU226,'Calculations'!$HE$13:$HE$512,0)),""))))</x:f>
      </x:c>
      <x:c r="HW226" t="str">
        <x:f>IF('Calculations'!HV226="","",IF('Calculations'!HV226="!AMBIG","!AMBIG",IF(COUNTIF('Calculations'!$HE$13:$HE$512,"="&amp;SUBSTITUTE(SUBSTITUTE(SUBSTITUTE('Calculations'!HV226,"~","~~"),"*","~*"),"?","~?"))&gt;1,"!AMBIG",IFERROR(INDEX('Calculations'!$HF$13:$HF$512,MATCH('Calculations'!HV226,'Calculations'!$HE$13:$HE$512,0)),""))))</x:f>
      </x:c>
      <x:c r="HX226" t="str">
        <x:f>IF('Calculations'!HW226="","",IF('Calculations'!HW226="!AMBIG","!AMBIG",IF(COUNTIF('Calculations'!$HE$13:$HE$512,"="&amp;SUBSTITUTE(SUBSTITUTE(SUBSTITUTE('Calculations'!HW226,"~","~~"),"*","~*"),"?","~?"))&gt;1,"!AMBIG",IFERROR(INDEX('Calculations'!$HF$13:$HF$512,MATCH('Calculations'!HW226,'Calculations'!$HE$13:$HE$512,0)),""))))</x:f>
      </x:c>
      <x:c r="HY226" t="str">
        <x:f>IF('Calculations'!HX226="","",IF('Calculations'!HX226="!AMBIG","!AMBIG",IF(COUNTIF('Calculations'!$HE$13:$HE$512,"="&amp;SUBSTITUTE(SUBSTITUTE(SUBSTITUTE('Calculations'!HX226,"~","~~"),"*","~*"),"?","~?"))&gt;1,"!AMBIG",IFERROR(INDEX('Calculations'!$HF$13:$HF$512,MATCH('Calculations'!HX226,'Calculations'!$HE$13:$HE$512,0)),""))))</x:f>
      </x:c>
      <x:c r="HZ226" t="str">
        <x:f>IF('Calculations'!HY226="","",IF('Calculations'!HY226="!AMBIG","!AMBIG",IF(COUNTIF('Calculations'!$HE$13:$HE$512,"="&amp;SUBSTITUTE(SUBSTITUTE(SUBSTITUTE('Calculations'!HY226,"~","~~"),"*","~*"),"?","~?"))&gt;1,"!AMBIG",IFERROR(INDEX('Calculations'!$HF$13:$HF$512,MATCH('Calculations'!HY226,'Calculations'!$HE$13:$HE$512,0)),""))))</x:f>
      </x:c>
      <x:c r="IA226" t="str">
        <x:f>IF('Calculations'!HZ226="","",IF('Calculations'!HZ226="!AMBIG","!AMBIG",IF(COUNTIF('Calculations'!$HE$13:$HE$512,"="&amp;SUBSTITUTE(SUBSTITUTE(SUBSTITUTE('Calculations'!HZ226,"~","~~"),"*","~*"),"?","~?"))&gt;1,"!AMBIG",IFERROR(INDEX('Calculations'!$HF$13:$HF$512,MATCH('Calculations'!HZ226,'Calculations'!$HE$13:$HE$512,0)),""))))</x:f>
      </x:c>
      <x:c r="IB226" t="str">
        <x:f>IF('Calculations'!IA226="","",IF('Calculations'!IA226="!AMBIG","!AMBIG",IF(COUNTIF('Calculations'!$HE$13:$HE$512,"="&amp;SUBSTITUTE(SUBSTITUTE(SUBSTITUTE('Calculations'!IA226,"~","~~"),"*","~*"),"?","~?"))&gt;1,"!AMBIG",IFERROR(INDEX('Calculations'!$HF$13:$HF$512,MATCH('Calculations'!IA226,'Calculations'!$HE$13:$HE$512,0)),""))))</x:f>
      </x:c>
      <x:c r="IC226" t="str">
        <x:f>IF('Calculations'!IB226="","",IF('Calculations'!IB226="!AMBIG","!AMBIG",IF(COUNTIF('Calculations'!$HE$13:$HE$512,"="&amp;SUBSTITUTE(SUBSTITUTE(SUBSTITUTE('Calculations'!IB226,"~","~~"),"*","~*"),"?","~?"))&gt;1,"!AMBIG",IFERROR(INDEX('Calculations'!$HF$13:$HF$512,MATCH('Calculations'!IB226,'Calculations'!$HE$13:$HE$512,0)),""))))</x:f>
      </x:c>
      <x:c r="ID226" t="str">
        <x:f>IF('Calculations'!IC226="","",IF('Calculations'!IC226="!AMBIG","!AMBIG",IF(COUNTIF('Calculations'!$HE$13:$HE$512,"="&amp;SUBSTITUTE(SUBSTITUTE(SUBSTITUTE('Calculations'!IC226,"~","~~"),"*","~*"),"?","~?"))&gt;1,"!AMBIG",IFERROR(INDEX('Calculations'!$HF$13:$HF$512,MATCH('Calculations'!IC226,'Calculations'!$HE$13:$HE$512,0)),""))))</x:f>
      </x:c>
      <x:c r="IE226" t="str">
        <x:f>IF('Calculations'!ID226="","",IF('Calculations'!ID226="!AMBIG","!AMBIG",IF(COUNTIF('Calculations'!$HE$13:$HE$512,"="&amp;SUBSTITUTE(SUBSTITUTE(SUBSTITUTE('Calculations'!ID226,"~","~~"),"*","~*"),"?","~?"))&gt;1,"!AMBIG",IFERROR(INDEX('Calculations'!$HF$13:$HF$512,MATCH('Calculations'!ID226,'Calculations'!$HE$13:$HE$512,0)),""))))</x:f>
      </x:c>
      <x:c r="IF226" t="str">
        <x:f>IF('Calculations'!IE226="","",IF('Calculations'!IE226="!AMBIG","!AMBIG",IF(COUNTIF('Calculations'!$HE$13:$HE$512,"="&amp;SUBSTITUTE(SUBSTITUTE(SUBSTITUTE('Calculations'!IE226,"~","~~"),"*","~*"),"?","~?"))&gt;1,"!AMBIG",IFERROR(INDEX('Calculations'!$HF$13:$HF$512,MATCH('Calculations'!IE226,'Calculations'!$HE$13:$HE$512,0)),""))))</x:f>
      </x:c>
      <x:c r="IG226" t="str">
        <x:f>IF('Calculations'!IF226="","",IF('Calculations'!IF226="!AMBIG","!AMBIG",IF(COUNTIF('Calculations'!$HE$13:$HE$512,"="&amp;SUBSTITUTE(SUBSTITUTE(SUBSTITUTE('Calculations'!IF226,"~","~~"),"*","~*"),"?","~?"))&gt;1,"!AMBIG",IFERROR(INDEX('Calculations'!$HF$13:$HF$512,MATCH('Calculations'!IF226,'Calculations'!$HE$13:$HE$512,0)),""))))</x:f>
      </x:c>
      <x:c r="IH226" t="str">
        <x:f>IF('Calculations'!IG226="","",IF('Calculations'!IG226="!AMBIG","!AMBIG",IF(COUNTIF('Calculations'!$HE$13:$HE$512,"="&amp;SUBSTITUTE(SUBSTITUTE(SUBSTITUTE('Calculations'!IG226,"~","~~"),"*","~*"),"?","~?"))&gt;1,"!AMBIG",IFERROR(INDEX('Calculations'!$HF$13:$HF$512,MATCH('Calculations'!IG226,'Calculations'!$HE$13:$HE$512,0)),""))))</x:f>
      </x:c>
      <x:c r="II226" t="str">
        <x:f>IF('Calculations'!IH226="","",IF('Calculations'!IH226="!AMBIG","!AMBIG",IF(COUNTIF('Calculations'!$HE$13:$HE$512,"="&amp;SUBSTITUTE(SUBSTITUTE(SUBSTITUTE('Calculations'!IH226,"~","~~"),"*","~*"),"?","~?"))&gt;1,"!AMBIG",IFERROR(INDEX('Calculations'!$HF$13:$HF$512,MATCH('Calculations'!IH226,'Calculations'!$HE$13:$HE$512,0)),""))))</x:f>
      </x:c>
      <x:c r="IJ226" t="str">
        <x:f>IF('Calculations'!EM226="","",IF('Calculations'!$EF$2="All",'Calculations'!HM226,IF('Calculations'!HL226=1,"",IFERROR(IF(MATCH('Calculations'!$EF$2,'Calculations'!HO226:II226,0)=1,'Calculations'!HE226,INDEX('Calculations'!HO226:II226,1,MATCH('Calculations'!$EF$2,'Calculations'!HO226:II226,0)-1)),""))))</x:f>
      </x:c>
      <x:c r="IK226" t="n">
        <x:f>IF(AND('Calculations'!EM226&lt;&gt;"",'Calculations'!$EF$2&lt;&gt;"All",'Calculations'!HF226='Calculations'!$EF$2,'Calculations'!HL226=0,'Calculations'!JD226&gt;0),MAX('Calculations'!$IK$12:IK225)+1,0)</x:f>
        <x:v>0</x:v>
      </x:c>
      <x:c r="JA226" t="n">
        <x:f>IF(OR(IFERROR(INDIRECT("'WCM Calibration Final'!$A$226")&lt;&gt;"",FALSE),IFERROR(INDIRECT("'WCM Calibration Final'!$B$226")&lt;&gt;"",FALSE),IFERROR(INDIRECT("'WCM Calibration Final'!$C$226")&lt;&gt;"",FALSE)),226,0)</x:f>
        <x:v>0</x:v>
      </x:c>
      <x:c r="JB226" t="n">
        <x:f>'Calculations'!JB225+IF('Calculations'!JA226&gt;0,1,0)</x:f>
        <x:v>0</x:v>
      </x:c>
      <x:c r="JC226" t="n">
        <x:f>IF(OR('Calculations'!HF226="",'Calculations'!HF226="!AMBIG"),0,IF('Dashboard'!$B$7="All",1,COUNTIFS('Calculations'!$HO$13:$HO$512,"="&amp;SUBSTITUTE(SUBSTITUTE(SUBSTITUTE('Calculations'!HF226,"~","~~"),"*","~*"),"?","~?"),'Calculations'!$HN$13:$HN$512,"="&amp;SUBSTITUTE(SUBSTITUTE(SUBSTITUTE('Dashboard'!$B$7,"~","~~"),"*","~*"),"?","~?"))+COUNTIFS('Calculations'!$HP$13:$HP$512,"="&amp;SUBSTITUTE(SUBSTITUTE(SUBSTITUTE('Calculations'!HF226,"~","~~"),"*","~*"),"?","~?"),'Calculations'!$HN$13:$HN$512,"="&amp;SUBSTITUTE(SUBSTITUTE(SUBSTITUTE('Dashboard'!$B$7,"~","~~"),"*","~*"),"?","~?"))+COUNTIFS('Calculations'!$HQ$13:$HQ$512,"="&amp;SUBSTITUTE(SUBSTITUTE(SUBSTITUTE('Calculations'!HF226,"~","~~"),"*","~*"),"?","~?"),'Calculations'!$HN$13:$HN$512,"="&amp;SUBSTITUTE(SUBSTITUTE(SUBSTITUTE('Dashboard'!$B$7,"~","~~"),"*","~*"),"?","~?"))+COUNTIFS('Calculations'!$HR$13:$HR$512,"="&amp;SUBSTITUTE(SUBSTITUTE(SUBSTITUTE('Calculations'!HF226,"~","~~"),"*","~*"),"?","~?"),'Calculations'!$HN$13:$HN$512,"="&amp;SUBSTITUTE(SUBSTITUTE(SUBSTITUTE('Dashboard'!$B$7,"~","~~"),"*","~*"),"?","~?"))+COUNTIFS('Calculations'!$HS$13:$HS$512,"="&amp;SUBSTITUTE(SUBSTITUTE(SUBSTITUTE('Calculations'!HF226,"~","~~"),"*","~*"),"?","~?"),'Calculations'!$HN$13:$HN$512,"="&amp;SUBSTITUTE(SUBSTITUTE(SUBSTITUTE('Dashboard'!$B$7,"~","~~"),"*","~*"),"?","~?"))+COUNTIFS('Calculations'!$HT$13:$HT$512,"="&amp;SUBSTITUTE(SUBSTITUTE(SUBSTITUTE('Calculations'!HF226,"~","~~"),"*","~*"),"?","~?"),'Calculations'!$HN$13:$HN$512,"="&amp;SUBSTITUTE(SUBSTITUTE(SUBSTITUTE('Dashboard'!$B$7,"~","~~"),"*","~*"),"?","~?"))+COUNTIFS('Calculations'!$HU$13:$HU$512,"="&amp;SUBSTITUTE(SUBSTITUTE(SUBSTITUTE('Calculations'!HF226,"~","~~"),"*","~*"),"?","~?"),'Calculations'!$HN$13:$HN$512,"="&amp;SUBSTITUTE(SUBSTITUTE(SUBSTITUTE('Dashboard'!$B$7,"~","~~"),"*","~*"),"?","~?"))+COUNTIFS('Calculations'!$HV$13:$HV$512,"="&amp;SUBSTITUTE(SUBSTITUTE(SUBSTITUTE('Calculations'!HF226,"~","~~"),"*","~*"),"?","~?"),'Calculations'!$HN$13:$HN$512,"="&amp;SUBSTITUTE(SUBSTITUTE(SUBSTITUTE('Dashboard'!$B$7,"~","~~"),"*","~*"),"?","~?"))+COUNTIFS('Calculations'!$HW$13:$HW$512,"="&amp;SUBSTITUTE(SUBSTITUTE(SUBSTITUTE('Calculations'!HF226,"~","~~"),"*","~*"),"?","~?"),'Calculations'!$HN$13:$HN$512,"="&amp;SUBSTITUTE(SUBSTITUTE(SUBSTITUTE('Dashboard'!$B$7,"~","~~"),"*","~*"),"?","~?"))+COUNTIFS('Calculations'!$HX$13:$HX$512,"="&amp;SUBSTITUTE(SUBSTITUTE(SUBSTITUTE('Calculations'!HF226,"~","~~"),"*","~*"),"?","~?"),'Calculations'!$HN$13:$HN$512,"="&amp;SUBSTITUTE(SUBSTITUTE(SUBSTITUTE('Dashboard'!$B$7,"~","~~"),"*","~*"),"?","~?"))+COUNTIFS('Calculations'!$HY$13:$HY$512,"="&amp;SUBSTITUTE(SUBSTITUTE(SUBSTITUTE('Calculations'!HF226,"~","~~"),"*","~*"),"?","~?"),'Calculations'!$HN$13:$HN$512,"="&amp;SUBSTITUTE(SUBSTITUTE(SUBSTITUTE('Dashboard'!$B$7,"~","~~"),"*","~*"),"?","~?"))+COUNTIFS('Calculations'!$HZ$13:$HZ$512,"="&amp;SUBSTITUTE(SUBSTITUTE(SUBSTITUTE('Calculations'!HF226,"~","~~"),"*","~*"),"?","~?"),'Calculations'!$HN$13:$HN$512,"="&amp;SUBSTITUTE(SUBSTITUTE(SUBSTITUTE('Dashboard'!$B$7,"~","~~"),"*","~*"),"?","~?"))+COUNTIFS('Calculations'!$IA$13:$IA$512,"="&amp;SUBSTITUTE(SUBSTITUTE(SUBSTITUTE('Calculations'!HF226,"~","~~"),"*","~*"),"?","~?"),'Calculations'!$HN$13:$HN$512,"="&amp;SUBSTITUTE(SUBSTITUTE(SUBSTITUTE('Dashboard'!$B$7,"~","~~"),"*","~*"),"?","~?"))+COUNTIFS('Calculations'!$IB$13:$IB$512,"="&amp;SUBSTITUTE(SUBSTITUTE(SUBSTITUTE('Calculations'!HF226,"~","~~"),"*","~*"),"?","~?"),'Calculations'!$HN$13:$HN$512,"="&amp;SUBSTITUTE(SUBSTITUTE(SUBSTITUTE('Dashboard'!$B$7,"~","~~"),"*","~*"),"?","~?"))+COUNTIFS('Calculations'!$IC$13:$IC$512,"="&amp;SUBSTITUTE(SUBSTITUTE(SUBSTITUTE('Calculations'!HF226,"~","~~"),"*","~*"),"?","~?"),'Calculations'!$HN$13:$HN$512,"="&amp;SUBSTITUTE(SUBSTITUTE(SUBSTITUTE('Dashboard'!$B$7,"~","~~"),"*","~*"),"?","~?"))+COUNTIFS('Calculations'!$ID$13:$ID$512,"="&amp;SUBSTITUTE(SUBSTITUTE(SUBSTITUTE('Calculations'!HF226,"~","~~"),"*","~*"),"?","~?"),'Calculations'!$HN$13:$HN$512,"="&amp;SUBSTITUTE(SUBSTITUTE(SUBSTITUTE('Dashboard'!$B$7,"~","~~"),"*","~*"),"?","~?"))+COUNTIFS('Calculations'!$IE$13:$IE$512,"="&amp;SUBSTITUTE(SUBSTITUTE(SUBSTITUTE('Calculations'!HF226,"~","~~"),"*","~*"),"?","~?"),'Calculations'!$HN$13:$HN$512,"="&amp;SUBSTITUTE(SUBSTITUTE(SUBSTITUTE('Dashboard'!$B$7,"~","~~"),"*","~*"),"?","~?"))+COUNTIFS('Calculations'!$IF$13:$IF$512,"="&amp;SUBSTITUTE(SUBSTITUTE(SUBSTITUTE('Calculations'!HF226,"~","~~"),"*","~*"),"?","~?"),'Calculations'!$HN$13:$HN$512,"="&amp;SUBSTITUTE(SUBSTITUTE(SUBSTITUTE('Dashboard'!$B$7,"~","~~"),"*","~*"),"?","~?"))+COUNTIFS('Calculations'!$IG$13:$IG$512,"="&amp;SUBSTITUTE(SUBSTITUTE(SUBSTITUTE('Calculations'!HF226,"~","~~"),"*","~*"),"?","~?"),'Calculations'!$HN$13:$HN$512,"="&amp;SUBSTITUTE(SUBSTITUTE(SUBSTITUTE('Dashboard'!$B$7,"~","~~"),"*","~*"),"?","~?"))+COUNTIFS('Calculations'!$IH$13:$IH$512,"="&amp;SUBSTITUTE(SUBSTITUTE(SUBSTITUTE('Calculations'!HF226,"~","~~"),"*","~*"),"?","~?"),'Calculations'!$HN$13:$HN$512,"="&amp;SUBSTITUTE(SUBSTITUTE(SUBSTITUTE('Dashboard'!$B$7,"~","~~"),"*","~*"),"?","~?"))))</x:f>
        <x:v>0</x:v>
      </x:c>
      <x:c r="JD226" t="n">
        <x:f>IF('Calculations'!EM226="",0,IF('Dashboard'!$B$7="All",1,IF('Calculations'!HN226='Dashboard'!$B$7,1,0)+IFERROR(INDEX('Calculations'!$JC$13:$JC$512,MATCH('Calculations'!HE226,'Calculations'!$HF$13:$HF$512,0)),0)))</x:f>
        <x:v>0</x:v>
      </x:c>
      <x:c r="JE226" t="n">
        <x:f>IF(AND('Calculations'!EM226&lt;&gt;"",'Calculations'!$JJ$2&lt;&gt;"All",'Calculations'!$JJ$2&lt;&gt;"",'Calculations'!HF226='Calculations'!$JJ$2,'Calculations'!HL226=0,'Calculations'!JD226&gt;0),MAX('Calculations'!$JE$12:JE225)+1,0)</x:f>
        <x:v>0</x:v>
      </x:c>
      <x:c r="JF226" t="str">
        <x:f>IF('Calculations'!EM226="","",IFERROR(IF(INDEX(INDIRECT("'WCM Calibration Final'!$G$1:$G$2000"),'Calculations'!$EM226)="","",TRIM(INDEX(INDIRECT("'WCM Calibration Final'!$G$1:$G$2000"),'Calculations'!$EM226)&amp;"")),""))</x:f>
      </x:c>
      <x:c r="JQ226" t="n">
        <x:f>IF(OR('Calculations'!BM226=0,NOT('Calculations'!$AG$2),'Calculations'!$AG$8&gt;0),0,IF(OR('Dashboard'!$B$7="All",'Calculations'!HN226='Dashboard'!$B$7),IF('Calculations'!$JJ$2="All",1,IF(AND('Calculations'!HF226='Calculations'!$JJ$2,'Calculations'!HL226=0),1,0)),0))</x:f>
        <x:v>0</x:v>
      </x:c>
    </x:row>
    <x:row r="227">
      <x:c r="AF227" s="4" t="str">
        <x:f>IF('Calculations'!AH227=0,"","Other (n="&amp;'Calculations'!AH227&amp;")")</x:f>
      </x:c>
      <x:c r="AG227" s="4" t="n">
        <x:f>COUNTIFS('Calculations'!$BN$13:$BN$512,1,'Calculations'!$BV$13:$BV$512,'Calculations'!AT227)</x:f>
        <x:v>0</x:v>
      </x:c>
      <x:c r="AH227" s="4" t="n">
        <x:f>SUM('Calculations'!AJ227:AM227)</x:f>
        <x:v>0</x:v>
      </x:c>
      <x:c r="AI227" s="4" t="n">
        <x:f>'Calculations'!AG227-'Calculations'!AH227</x:f>
        <x:v>0</x:v>
      </x:c>
      <x:c r="AJ227" s="4" t="n">
        <x:f>COUNTIFS('Calculations'!$BN$13:$BN$512,1,'Calculations'!$BV$13:$BV$512,'Calculations'!AT227,'Calculations'!$BO$13:$BO$512,1)</x:f>
        <x:v>0</x:v>
      </x:c>
      <x:c r="AK227" s="4" t="n">
        <x:f>COUNTIFS('Calculations'!$BN$13:$BN$512,1,'Calculations'!$BV$13:$BV$512,'Calculations'!AT227,'Calculations'!$BO$13:$BO$512,2)</x:f>
        <x:v>0</x:v>
      </x:c>
      <x:c r="AL227" s="4" t="n">
        <x:f>COUNTIFS('Calculations'!$BN$13:$BN$512,1,'Calculations'!$BV$13:$BV$512,'Calculations'!AT227,'Calculations'!$BO$13:$BO$512,3)</x:f>
        <x:v>0</x:v>
      </x:c>
      <x:c r="AM227" s="4" t="n">
        <x:f>COUNTIFS('Calculations'!$BN$13:$BN$512,1,'Calculations'!$BV$13:$BV$512,'Calculations'!AT227,'Calculations'!$BO$13:$BO$512,4)</x:f>
        <x:v>0</x:v>
      </x:c>
      <x:c r="AN227" s="4"/>
      <x:c r="AO227" s="4" t="n">
        <x:f>IF('Calculations'!AH227=0,0,'Calculations'!AJ227/'Calculations'!AH227)</x:f>
        <x:v>0</x:v>
      </x:c>
      <x:c r="AP227" s="4" t="n">
        <x:f>IF('Calculations'!AH227=0,0,'Calculations'!AK227/'Calculations'!AH227)</x:f>
        <x:v>0</x:v>
      </x:c>
      <x:c r="AQ227" s="4" t="n">
        <x:f>IF('Calculations'!AH227=0,0,'Calculations'!AL227/'Calculations'!AH227)</x:f>
        <x:v>0</x:v>
      </x:c>
      <x:c r="AR227" s="4" t="n">
        <x:f>IF('Calculations'!AH227=0,0,'Calculations'!AM227/'Calculations'!AH227)</x:f>
        <x:v>0</x:v>
      </x:c>
      <x:c r="AS227" s="4"/>
      <x:c r="AT227" s="4" t="str">
        <x:v>Other</x:v>
      </x:c>
      <x:c r="AU227" s="4"/>
      <x:c r="AV227" s="4"/>
      <x:c r="AW227" s="4"/>
      <x:c r="AX227" s="4"/>
      <x:c r="AY227" s="4"/>
      <x:c r="AZ227" s="4"/>
      <x:c r="BA227" s="4"/>
      <x:c r="BB227" s="4"/>
      <x:c r="BC227" s="4"/>
      <x:c r="BD227" s="4"/>
      <x:c r="BE227" s="4"/>
      <x:c r="BF227" s="4"/>
      <x:c r="BG227" s="4"/>
      <x:c r="BH227" s="4"/>
      <x:c r="BI227" s="4"/>
      <x:c r="BJ227" s="4"/>
      <x:c r="BK227" s="4"/>
      <x:c r="BL227" s="4"/>
      <x:c r="BM227" s="4" t="n">
        <x:f>IF('Calculations'!$EM227="",0,IF(OR(IFERROR(INDEX(INDIRECT("'WCM Calibration Final'!$A$1:$A$2000"),'Calculations'!$EM227)&lt;&gt;"",FALSE),IFERROR(INDEX(INDIRECT("'WCM Calibration Final'!$B$1:$B$2000"),'Calculations'!$EM227)&lt;&gt;"",FALSE),IFERROR(INDEX(INDIRECT("'WCM Calibration Final'!$C$1:$C$2000"),'Calculations'!$EM227)&lt;&gt;"",FALSE)),1,0))</x:f>
        <x:v>0</x:v>
      </x:c>
      <x:c r="BN227" s="4" t="n">
        <x:f>IF(AND('Calculations'!BM227=1,'Calculations'!$AG$2,'Calculations'!$EN227=1),1,0)</x:f>
        <x:v>0</x:v>
      </x:c>
      <x:c r="BO227" s="4" t="str">
        <x:f>IF('Calculations'!BM227=0,"",IFERROR(IF(AND(VALUE(INDEX(INDIRECT("'WCM Calibration Final'!$K$1:$K$2000"),'Calculations'!$EM227))&gt;=1,VALUE(INDEX(INDIRECT("'WCM Calibration Final'!$K$1:$K$2000"),'Calculations'!$EM227))&lt;=4,MOD(VALUE(INDEX(INDIRECT("'WCM Calibration Final'!$K$1:$K$2000"),'Calculations'!$EM227)),1)=0),VALUE(INDEX(INDIRECT("'WCM Calibration Final'!$K$1:$K$2000"),'Calculations'!$EM227)),""),""))</x:f>
      </x:c>
      <x:c r="BP227" s="4" t="str">
        <x:f>IF('Calculations'!BM227=0,"",IFERROR(IF(AND(VALUE(INDEX(INDIRECT("'WCM Calibration Final'!$L$1:$L$2000"),'Calculations'!$EM227))&gt;=1,VALUE(INDEX(INDIRECT("'WCM Calibration Final'!$L$1:$L$2000"),'Calculations'!$EM227))&lt;=4,MOD(VALUE(INDEX(INDIRECT("'WCM Calibration Final'!$L$1:$L$2000"),'Calculations'!$EM227)),1)=0),VALUE(INDEX(INDIRECT("'WCM Calibration Final'!$L$1:$L$2000"),'Calculations'!$EM227)),""),""))</x:f>
      </x:c>
      <x:c r="BQ227" s="4"/>
      <x:c r="BR227" s="4"/>
      <x:c r="BS227" s="4"/>
      <x:c r="BT227" s="4" t="n">
        <x:f>IF(AND('Calculations'!BM227=1,ISNUMBER('Calculations'!BO227),ISNUMBER('Calculations'!BP227)),1,0)</x:f>
        <x:v>0</x:v>
      </x:c>
      <x:c r="BU227" s="4" t="str">
        <x:f>IF('Calculations'!BM227=0,"",'Calculations'!$EO227)</x:f>
      </x:c>
      <x:c r="BV227" s="4" t="str">
        <x:f>IF('Calculations'!BM227=0,"",IFERROR(IF(OR(INDEX(INDIRECT("'WCM Calibration Final'!$H$1:$H$2000"),'Calculations'!$EM227)="MANAGING DIRECTOR",INDEX(INDIRECT("'WCM Calibration Final'!$H$1:$H$2000"),'Calculations'!$EM227)="DIRECTOR",INDEX(INDIRECT("'WCM Calibration Final'!$H$1:$H$2000"),'Calculations'!$EM227)="SENIOR VICE PRESIDENT",INDEX(INDIRECT("'WCM Calibration Final'!$H$1:$H$2000"),'Calculations'!$EM227)="VICE PRESIDENT",INDEX(INDIRECT("'WCM Calibration Final'!$H$1:$H$2000"),'Calculations'!$EM227)="ASSISTANT VICE PRESIDENT",INDEX(INDIRECT("'WCM Calibration Final'!$H$1:$H$2000"),'Calculations'!$EM227)="OFFICER"),UPPER(INDEX(INDIRECT("'WCM Calibration Final'!$H$1:$H$2000"),'Calculations'!$EM227)),"Other"),"Other"))</x:f>
      </x:c>
      <x:c r="BW227" s="4"/>
      <x:c r="BX227" s="4"/>
      <x:c r="BY227" s="4" t="n">
        <x:f>IF(AND('Calculations'!BM227=1,'Calculations'!BU227&lt;&gt;"",COUNTIF('Calculations'!$BU$12:BU227,'Calculations'!BU227)=1),MAX('Calculations'!$BY$11:BY226)+1,0)</x:f>
        <x:v>0</x:v>
      </x:c>
      <x:c r="BZ227" s="4" t="str">
        <x:f>IF('Dashboard'!$E$67="What",'Calculations'!BO227,'Calculations'!BP227)</x:f>
      </x:c>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t="str">
        <x:f>IF(216&gt;MAX('Calculations'!$HI$13:$HI$512),"",INDEX('Calculations'!$HN$13:$HN$512,MATCH(216,'Calculations'!$HI$13:$HI$512,0)))</x:f>
      </x:c>
      <x:c r="DB227" s="4" t="str">
        <x:f>IF(216&gt;MAX('Calculations'!$HH$13:$HH$512),"",INDEX('Calculations'!$HJ$13:$HJ$512,MATCH(216,'Calculations'!$HH$13:$HH$512,0)))</x:f>
      </x:c>
      <x:c r="DC227" s="4" t="str">
        <x:f>IF(ROW()-11&gt;MAX('Calculations'!$BY$13:$BY$512),"",INDEX('Calculations'!$BU$13:$BU$512,MATCH(ROW()-11,'Calculations'!$BY$13:$BY$512,0)))</x:f>
      </x:c>
      <x:c r="DD227" s="4" t="str">
        <x:f>IF(216&gt;MAX('Calculations'!$IK$13:$IK$512),"",INDEX('Calculations'!$HK$13:$HK$512,MATCH(216,'Calculations'!$IK$13:$IK$512,0)))</x:f>
      </x:c>
      <x:c r="DE227" s="4" t="str">
        <x:f>'Calculations'!DC227</x:f>
      </x:c>
      <x:c r="DF227" s="4" t="str">
        <x:f>IF('Calculations'!DE227="","",COUNTIFS('Calculations'!$BN$13:$BN$512,1,'Calculations'!$BU$13:$BU$512,'Calculations'!DE227))</x:f>
      </x:c>
      <x:c r="DG227" s="4" t="str">
        <x:f>IF('Calculations'!DE227="","",COUNTIFS('Calculations'!$BN$13:$BN$512,1,'Calculations'!$BU$13:$BU$512,'Calculations'!DE227,'Calculations'!$BT$13:$BT$512,1))</x:f>
      </x:c>
      <x:c r="DH227" s="4" t="str">
        <x:f>IF('Calculations'!DE227="","",'Calculations'!DF227-'Calculations'!DG227)</x:f>
      </x:c>
      <x:c r="DI227" s="4" t="str">
        <x:f>IF(OR('Calculations'!DE227="",'Calculations'!DF227=0),"",'Calculations'!DG227/'Calculations'!DF227)</x:f>
      </x:c>
      <x:c r="DJ227" s="4" t="str">
        <x:f>IF('Calculations'!DE227="","",COUNTIFS('Calculations'!$BN$13:$BN$512,1,'Calculations'!$BU$13:$BU$512,'Calculations'!DE227,'Calculations'!$BT$13:$BT$512,1,'Calculations'!$EE$13:$EE$512,"High"))</x:f>
      </x:c>
      <x:c r="DK227" s="4" t="str">
        <x:f>IF('Calculations'!DE227="","",COUNTIFS('Calculations'!$BN$13:$BN$512,1,'Calculations'!$BU$13:$BU$512,'Calculations'!DE227,'Calculations'!$BT$13:$BT$512,1,'Calculations'!$EE$13:$EE$512,"Strong"))</x:f>
      </x:c>
      <x:c r="DL227" s="4" t="str">
        <x:f>IF('Calculations'!DE227="","",COUNTIFS('Calculations'!$BN$13:$BN$512,1,'Calculations'!$BU$13:$BU$512,'Calculations'!DE227,'Calculations'!$BT$13:$BT$512,1,'Calculations'!$EE$13:$EE$512,"Solid"))</x:f>
      </x:c>
      <x:c r="DM227" s="4" t="str">
        <x:f>IF('Calculations'!DE227="","",COUNTIFS('Calculations'!$BN$13:$BN$512,1,'Calculations'!$BU$13:$BU$512,'Calculations'!DE227,'Calculations'!$BT$13:$BT$512,1,'Calculations'!$EE$13:$EE$512,"Low"))</x:f>
      </x:c>
      <x:c r="DN227" s="4" t="str">
        <x:f>IF('Calculations'!DE227="","",COUNTIFS('Calculations'!$BN$13:$BN$512,1,'Calculations'!$BU$13:$BU$512,'Calculations'!DE227,'Calculations'!$EP$13:$EP$512,1))</x:f>
      </x:c>
      <x:c r="DO227" s="4" t="str">
        <x:f>IF(OR('Calculations'!DE227="",'Calculations'!DG227=0),"",('Calculations'!DJ227+'Calculations'!DK227)/'Calculations'!DG227)</x:f>
      </x:c>
      <x:c r="DP227" s="4" t="n">
        <x:f>IF(AND('Calculations'!DE227&lt;&gt;"",'Calculations'!DF227&gt;0),COUNTIF('Calculations'!$DF$12:DF227,"&gt;0"),0)</x:f>
        <x:v>0</x:v>
      </x:c>
      <x:c r="DQ227" s="4" t="str">
        <x:f>IF(216&gt;MAX('Calculations'!$HH$13:$HH$512),"",INDEX('Calculations'!$HF$13:$HF$512,MATCH(216,'Calculations'!$HH$13:$HH$512,0)))</x:f>
      </x:c>
      <x:c r="DR227" s="4" t="str">
        <x:f>IF(216&gt;MAX('Calculations'!$IK$13:$IK$512),"",INDEX('Calculations'!$HE$13:$HE$512,MATCH(216,'Calculations'!$IK$13:$IK$512,0)))</x:f>
      </x:c>
      <x:c r="DS227" s="4"/>
      <x:c r="DT227" s="4"/>
      <x:c r="DU227" s="4"/>
      <x:c r="DV227" s="4"/>
      <x:c r="DW227" s="4"/>
      <x:c r="DX227" s="4"/>
      <x:c r="DY227" s="4"/>
      <x:c r="DZ227" s="4"/>
      <x:c r="EA227" s="4"/>
      <x:c r="EB227" s="4"/>
      <x:c r="EC227" s="4"/>
      <x:c r="ED227" s="4"/>
      <x:c r="EE227" s="4" t="str">
        <x:f>IF('Calculations'!BT227=0,"Not Rated",IF(OR('Calculations'!BO227&gt;=4,'Calculations'!BP227&gt;=4),"Low",IF('Calculations'!BO227+'Calculations'!BP227&lt;=3,"High",IF('Calculations'!BO227+'Calculations'!BP227&lt;=4,"Strong","Solid"))))</x:f>
        <x:v>Not Rated</x:v>
      </x:c>
      <x:c r="EF227" s="4"/>
      <x:c r="EG227" s="4"/>
      <x:c r="EH227" s="4"/>
      <x:c r="EI227" s="4"/>
      <x:c r="EJ227" s="4"/>
      <x:c r="EK227" s="4"/>
      <x:c r="EL227" s="4"/>
      <x:c r="EM227" s="4" t="str">
        <x:f>IF(215&gt;'Calculations'!$JB$2000,"",INDEX('Calculations'!$JA$12:$JA$2000,MATCH(215,'Calculations'!$JB$12:$JB$2000,0)))</x:f>
      </x:c>
      <x:c r="EN227" s="4" t="n">
        <x:f>IF(OR('Calculations'!EM227="",'Calculations'!$AG$8&gt;0,AND('Calculations'!$EF$2&lt;&gt;"All",'Calculations'!HE227='Calculations'!$EF$2),AND('Calculations'!$EF$3&lt;&gt;"All",'Calculations'!HE227='Calculations'!$EF$3)),0,IF(OR('Dashboard'!$B$7="All",'Calculations'!HN227='Dashboard'!$B$7),IF('Calculations'!$EF$2="All",1,IF('Calculations'!HL227&gt;0,0,IF(COUNTIF('Calculations'!HO227:II227,"="&amp;SUBSTITUTE(SUBSTITUTE(SUBSTITUTE('Calculations'!$EF$2,"~","~~"),"*","~*"),"?","~?"))=0,0,IF('Calculations'!$EF$3="All",1,IF(COUNTIF('Calculations'!HO227:II227,"="&amp;SUBSTITUTE(SUBSTITUTE(SUBSTITUTE('Calculations'!$EF$3,"~","~~"),"*","~*"),"?","~?"))&gt;0,1,0))))),0))</x:f>
        <x:v>0</x:v>
      </x:c>
      <x:c r="EO227" s="4" t="str">
        <x:f>IF('Calculations'!IJ227="","",IF('Calculations'!IJ227="!UNRESOLVED","Unresolved hierarchy",IFERROR(INDEX('Calculations'!$HK$13:$HK$512,MATCH('Calculations'!IJ227,'Calculations'!$HE$13:$HE$512,0)),IFERROR(INDEX('Calculations'!$HJ$13:$HJ$512,MATCH('Calculations'!IJ227,'Calculations'!$HF$13:$HF$512,0)),'Calculations'!IJ227))))</x:f>
      </x:c>
      <x:c r="EP227" s="4" t="n">
        <x:f>IF(AND('Calculations'!EM227&lt;&gt;"",'Calculations'!HF227='Calculations'!IJ227),1,0)</x:f>
        <x:v>0</x:v>
      </x:c>
      <x:c r="EQ227" s="4"/>
      <x:c r="ER227" s="4"/>
      <x:c r="ES227" s="4"/>
      <x:c r="ET227" s="4"/>
      <x:c r="EU227" s="4"/>
      <x:c r="EV227" s="4"/>
      <x:c r="EW227" s="4"/>
      <x:c r="EX227" s="4"/>
      <x:c r="EY227" s="4"/>
      <x:c r="EZ227" s="4"/>
      <x:c r="FA227" s="4"/>
      <x:c r="FB227" s="4"/>
      <x:c r="FC227" s="4"/>
      <x:c r="FD227" s="4"/>
      <x:c r="FE227" s="4"/>
      <x:c r="FF227" s="4"/>
      <x:c r="FG227" s="4"/>
      <x:c r="FH227" s="4"/>
      <x:c r="FI227" s="4"/>
      <x:c r="FJ227" s="4"/>
      <x:c r="FK227" s="4"/>
      <x:c r="FL227" s="4"/>
      <x:c r="FM227" s="4"/>
      <x:c r="FN227" s="4"/>
      <x:c r="FO227" s="4"/>
      <x:c r="HE227" t="str">
        <x:f>IF('Calculations'!EM227="","",IF(IFERROR(IF(INDEX(INDIRECT("'WCM Calibration Final'!$A$1:$A$2000"),'Calculations'!$EM227)="","",TRIM(INDEX(INDIRECT("'WCM Calibration Final'!$A$1:$A$2000"),'Calculations'!$EM227)&amp;"")),"")&lt;&gt;"","G:"&amp;IFERROR(TEXT(1*INDEX(INDIRECT("'WCM Calibration Final'!$A$1:$A$2000"),'Calculations'!$EM227),"0"),UPPER(IFERROR(IF(INDEX(INDIRECT("'WCM Calibration Final'!$A$1:$A$2000"),'Calculations'!$EM227)="","",TRIM(INDEX(INDIRECT("'WCM Calibration Final'!$A$1:$A$2000"),'Calculations'!$EM227)&amp;"")),""))),IF(IFERROR(IF(INDEX(INDIRECT("'WCM Calibration Final'!$C$1:$C$2000"),'Calculations'!$EM227)="","",TRIM(INDEX(INDIRECT("'WCM Calibration Final'!$C$1:$C$2000"),'Calculations'!$EM227)&amp;"")),"")&lt;&gt;"","S:"&amp;UPPER(IFERROR(IF(INDEX(INDIRECT("'WCM Calibration Final'!$C$1:$C$2000"),'Calculations'!$EM227)="","",TRIM(INDEX(INDIRECT("'WCM Calibration Final'!$C$1:$C$2000"),'Calculations'!$EM227)&amp;"")),"")),"R:"&amp;'Calculations'!EM227)))</x:f>
      </x:c>
      <x:c r="HF227" t="str">
        <x:f>IF('Calculations'!EM227="","",IF(IFERROR(IF(INDEX(INDIRECT("'WCM Calibration Final'!$D$1:$D$2000"),'Calculations'!$EM227)="","",TRIM(INDEX(INDIRECT("'WCM Calibration Final'!$D$1:$D$2000"),'Calculations'!$EM227)&amp;"")),"")&lt;&gt;"","G:"&amp;IFERROR(TEXT(1*INDEX(INDIRECT("'WCM Calibration Final'!$D$1:$D$2000"),'Calculations'!$EM227),"0"),UPPER(IFERROR(IF(INDEX(INDIRECT("'WCM Calibration Final'!$D$1:$D$2000"),'Calculations'!$EM227)="","",TRIM(INDEX(INDIRECT("'WCM Calibration Final'!$D$1:$D$2000"),'Calculations'!$EM227)&amp;"")),""))),IF(IFERROR(IF(INDEX(INDIRECT("'WCM Calibration Final'!$E$1:$E$2000"),'Calculations'!$EM227)="","",TRIM(INDEX(INDIRECT("'WCM Calibration Final'!$E$1:$E$2000"),'Calculations'!$EM227)&amp;"")),"")="","",IF(COUNTIF('Calculations'!$HG$13:$HG$512,"="&amp;SUBSTITUTE(SUBSTITUTE(SUBSTITUTE(IFERROR(IF(INDEX(INDIRECT("'WCM Calibration Final'!$E$1:$E$2000"),'Calculations'!$EM227)="","",TRIM(INDEX(INDIRECT("'WCM Calibration Final'!$E$1:$E$2000"),'Calculations'!$EM227)&amp;"")),""),"~","~~"),"*","~*"),"?","~?"))=1,INDEX('Calculations'!$HE$13:$HE$512,MATCH(IFERROR(IF(INDEX(INDIRECT("'WCM Calibration Final'!$E$1:$E$2000"),'Calculations'!$EM227)="","",TRIM(INDEX(INDIRECT("'WCM Calibration Final'!$E$1:$E$2000"),'Calculations'!$EM227)&amp;"")),""),'Calculations'!$HG$13:$HG$512,0)),IF(COUNTIF('Calculations'!$HG$13:$HG$512,"="&amp;SUBSTITUTE(SUBSTITUTE(SUBSTITUTE(IFERROR(IF(INDEX(INDIRECT("'WCM Calibration Final'!$E$1:$E$2000"),'Calculations'!$EM227)="","",TRIM(INDEX(INDIRECT("'WCM Calibration Final'!$E$1:$E$2000"),'Calculations'!$EM227)&amp;"")),""),"~","~~"),"*","~*"),"?","~?"))&gt;1,"!AMBIG","X:"&amp;IFERROR(IF(INDEX(INDIRECT("'WCM Calibration Final'!$E$1:$E$2000"),'Calculations'!$EM227)="","",TRIM(INDEX(INDIRECT("'WCM Calibration Final'!$E$1:$E$2000"),'Calculations'!$EM227)&amp;"")),""))))))</x:f>
      </x:c>
      <x:c r="HG227" t="str">
        <x:f>IF('Calculations'!EM227="","",IFERROR(IF(INDEX(INDIRECT("'WCM Calibration Final'!$B$1:$B$2000"),'Calculations'!$EM227)="","",TRIM(INDEX(INDIRECT("'WCM Calibration Final'!$B$1:$B$2000"),'Calculations'!$EM227)&amp;"")),""))</x:f>
      </x:c>
      <x:c r="HH227" t="n">
        <x:f>IF(AND('Calculations'!JC227&gt;0,COUNTIF('Calculations'!$HF$12:HF227,"="&amp;SUBSTITUTE(SUBSTITUTE(SUBSTITUTE('Calculations'!HF227,"~","~~"),"*","~*"),"?","~?"))=1),MAX('Calculations'!$HH$12:HH226)+1,0)</x:f>
        <x:v>0</x:v>
      </x:c>
      <x:c r="HI227" t="n">
        <x:f>IF(AND('Calculations'!HN227&lt;&gt;"",COUNTIF('Calculations'!$HN$12:HN227,"="&amp;SUBSTITUTE(SUBSTITUTE(SUBSTITUTE('Calculations'!HN227,"~","~~"),"*","~*"),"?","~?"))=1),MAX('Calculations'!$HI$12:HI226)+1,0)</x:f>
        <x:v>0</x:v>
      </x:c>
      <x:c r="HJ227" t="str">
        <x:f>IF('Calculations'!HF227="","",IF(COUNTIF('Calculations'!$HE$13:$HE$512,"="&amp;SUBSTITUTE(SUBSTITUTE(SUBSTITUTE('Calculations'!HF227,"~","~~"),"*","~*"),"?","~?"))=1,INDEX('Calculations'!$HK$13:$HK$512,MATCH('Calculations'!HF227,'Calculations'!$HE$13:$HE$512,0)),IFERROR(IF(INDEX(INDIRECT("'WCM Calibration Final'!$E$1:$E$2000"),'Calculations'!$EM227)="","",TRIM(INDEX(INDIRECT("'WCM Calibration Final'!$E$1:$E$2000"),'Calculations'!$EM227)&amp;"")),"")&amp;" ["&amp;'Calculations'!HF227&amp;"]"))</x:f>
      </x:c>
      <x:c r="HK227" t="str">
        <x:f>IF('Calculations'!EM227="","",'Calculations'!HG227&amp;" ["&amp;'Calculations'!HE227&amp;"]")</x:f>
      </x:c>
      <x:c r="HL227" t="n">
        <x:f>IF('Calculations'!EM227="",0,IF(OR('Calculations'!II227&lt;&gt;"",COUNTIF('Calculations'!$HE$13:$HE$512,"="&amp;SUBSTITUTE(SUBSTITUTE(SUBSTITUTE('Calculations'!HE227,"~","~~"),"*","~*"),"?","~?"))&gt;1),1,0))</x:f>
        <x:v>0</x:v>
      </x:c>
      <x:c r="HM227" t="str">
        <x:f>IF('Calculations'!EM227="","",IF('Calculations'!HL227=1,"!UNRESOLVED",IF('Calculations'!IH227&lt;&gt;"",'Calculations'!IH227,IF('Calculations'!IG227&lt;&gt;"",'Calculations'!IG227,IF('Calculations'!IF227&lt;&gt;"",'Calculations'!IF227,IF('Calculations'!IE227&lt;&gt;"",'Calculations'!IE227,IF('Calculations'!ID227&lt;&gt;"",'Calculations'!ID227,IF('Calculations'!IC227&lt;&gt;"",'Calculations'!IC227,IF('Calculations'!IB227&lt;&gt;"",'Calculations'!IB227,IF('Calculations'!IA227&lt;&gt;"",'Calculations'!IA227,IF('Calculations'!HZ227&lt;&gt;"",'Calculations'!HZ227,IF('Calculations'!HY227&lt;&gt;"",'Calculations'!HY227,IF('Calculations'!HX227&lt;&gt;"",'Calculations'!HX227,IF('Calculations'!HW227&lt;&gt;"",'Calculations'!HW227,IF('Calculations'!HV227&lt;&gt;"",'Calculations'!HV227,IF('Calculations'!HU227&lt;&gt;"",'Calculations'!HU227,IF('Calculations'!HT227&lt;&gt;"",'Calculations'!HT227,IF('Calculations'!HS227&lt;&gt;"",'Calculations'!HS227,IF('Calculations'!HR227&lt;&gt;"",'Calculations'!HR227,IF('Calculations'!HQ227&lt;&gt;"",'Calculations'!HQ227,IF('Calculations'!HP227&lt;&gt;"",'Calculations'!HP227,IF('Calculations'!HO227&lt;&gt;"",'Calculations'!HO227,'Calculations'!HE227))))))))))))))))))))))</x:f>
      </x:c>
      <x:c r="HN227" t="str">
        <x:f>IF('Calculations'!EM227="","",IF(IFERROR(IF(INDEX(INDIRECT("'WCM Calibration Final'!$F$1:$F$2000"),'Calculations'!$EM227)="","",TRIM(INDEX(INDIRECT("'WCM Calibration Final'!$F$1:$F$2000"),'Calculations'!$EM227)&amp;"")),"")="","(Blank)",IFERROR(IF(INDEX(INDIRECT("'WCM Calibration Final'!$F$1:$F$2000"),'Calculations'!$EM227)="","",TRIM(INDEX(INDIRECT("'WCM Calibration Final'!$F$1:$F$2000"),'Calculations'!$EM227)&amp;"")),"")))</x:f>
      </x:c>
      <x:c r="HO227" t="str">
        <x:f>'Calculations'!HF227</x:f>
      </x:c>
      <x:c r="HP227" t="str">
        <x:f>IF('Calculations'!HO227="","",IF('Calculations'!HO227="!AMBIG","!AMBIG",IF(COUNTIF('Calculations'!$HE$13:$HE$512,"="&amp;SUBSTITUTE(SUBSTITUTE(SUBSTITUTE('Calculations'!HO227,"~","~~"),"*","~*"),"?","~?"))&gt;1,"!AMBIG",IFERROR(INDEX('Calculations'!$HF$13:$HF$512,MATCH('Calculations'!HO227,'Calculations'!$HE$13:$HE$512,0)),""))))</x:f>
      </x:c>
      <x:c r="HQ227" t="str">
        <x:f>IF('Calculations'!HP227="","",IF('Calculations'!HP227="!AMBIG","!AMBIG",IF(COUNTIF('Calculations'!$HE$13:$HE$512,"="&amp;SUBSTITUTE(SUBSTITUTE(SUBSTITUTE('Calculations'!HP227,"~","~~"),"*","~*"),"?","~?"))&gt;1,"!AMBIG",IFERROR(INDEX('Calculations'!$HF$13:$HF$512,MATCH('Calculations'!HP227,'Calculations'!$HE$13:$HE$512,0)),""))))</x:f>
      </x:c>
      <x:c r="HR227" t="str">
        <x:f>IF('Calculations'!HQ227="","",IF('Calculations'!HQ227="!AMBIG","!AMBIG",IF(COUNTIF('Calculations'!$HE$13:$HE$512,"="&amp;SUBSTITUTE(SUBSTITUTE(SUBSTITUTE('Calculations'!HQ227,"~","~~"),"*","~*"),"?","~?"))&gt;1,"!AMBIG",IFERROR(INDEX('Calculations'!$HF$13:$HF$512,MATCH('Calculations'!HQ227,'Calculations'!$HE$13:$HE$512,0)),""))))</x:f>
      </x:c>
      <x:c r="HS227" t="str">
        <x:f>IF('Calculations'!HR227="","",IF('Calculations'!HR227="!AMBIG","!AMBIG",IF(COUNTIF('Calculations'!$HE$13:$HE$512,"="&amp;SUBSTITUTE(SUBSTITUTE(SUBSTITUTE('Calculations'!HR227,"~","~~"),"*","~*"),"?","~?"))&gt;1,"!AMBIG",IFERROR(INDEX('Calculations'!$HF$13:$HF$512,MATCH('Calculations'!HR227,'Calculations'!$HE$13:$HE$512,0)),""))))</x:f>
      </x:c>
      <x:c r="HT227" t="str">
        <x:f>IF('Calculations'!HS227="","",IF('Calculations'!HS227="!AMBIG","!AMBIG",IF(COUNTIF('Calculations'!$HE$13:$HE$512,"="&amp;SUBSTITUTE(SUBSTITUTE(SUBSTITUTE('Calculations'!HS227,"~","~~"),"*","~*"),"?","~?"))&gt;1,"!AMBIG",IFERROR(INDEX('Calculations'!$HF$13:$HF$512,MATCH('Calculations'!HS227,'Calculations'!$HE$13:$HE$512,0)),""))))</x:f>
      </x:c>
      <x:c r="HU227" t="str">
        <x:f>IF('Calculations'!HT227="","",IF('Calculations'!HT227="!AMBIG","!AMBIG",IF(COUNTIF('Calculations'!$HE$13:$HE$512,"="&amp;SUBSTITUTE(SUBSTITUTE(SUBSTITUTE('Calculations'!HT227,"~","~~"),"*","~*"),"?","~?"))&gt;1,"!AMBIG",IFERROR(INDEX('Calculations'!$HF$13:$HF$512,MATCH('Calculations'!HT227,'Calculations'!$HE$13:$HE$512,0)),""))))</x:f>
      </x:c>
      <x:c r="HV227" t="str">
        <x:f>IF('Calculations'!HU227="","",IF('Calculations'!HU227="!AMBIG","!AMBIG",IF(COUNTIF('Calculations'!$HE$13:$HE$512,"="&amp;SUBSTITUTE(SUBSTITUTE(SUBSTITUTE('Calculations'!HU227,"~","~~"),"*","~*"),"?","~?"))&gt;1,"!AMBIG",IFERROR(INDEX('Calculations'!$HF$13:$HF$512,MATCH('Calculations'!HU227,'Calculations'!$HE$13:$HE$512,0)),""))))</x:f>
      </x:c>
      <x:c r="HW227" t="str">
        <x:f>IF('Calculations'!HV227="","",IF('Calculations'!HV227="!AMBIG","!AMBIG",IF(COUNTIF('Calculations'!$HE$13:$HE$512,"="&amp;SUBSTITUTE(SUBSTITUTE(SUBSTITUTE('Calculations'!HV227,"~","~~"),"*","~*"),"?","~?"))&gt;1,"!AMBIG",IFERROR(INDEX('Calculations'!$HF$13:$HF$512,MATCH('Calculations'!HV227,'Calculations'!$HE$13:$HE$512,0)),""))))</x:f>
      </x:c>
      <x:c r="HX227" t="str">
        <x:f>IF('Calculations'!HW227="","",IF('Calculations'!HW227="!AMBIG","!AMBIG",IF(COUNTIF('Calculations'!$HE$13:$HE$512,"="&amp;SUBSTITUTE(SUBSTITUTE(SUBSTITUTE('Calculations'!HW227,"~","~~"),"*","~*"),"?","~?"))&gt;1,"!AMBIG",IFERROR(INDEX('Calculations'!$HF$13:$HF$512,MATCH('Calculations'!HW227,'Calculations'!$HE$13:$HE$512,0)),""))))</x:f>
      </x:c>
      <x:c r="HY227" t="str">
        <x:f>IF('Calculations'!HX227="","",IF('Calculations'!HX227="!AMBIG","!AMBIG",IF(COUNTIF('Calculations'!$HE$13:$HE$512,"="&amp;SUBSTITUTE(SUBSTITUTE(SUBSTITUTE('Calculations'!HX227,"~","~~"),"*","~*"),"?","~?"))&gt;1,"!AMBIG",IFERROR(INDEX('Calculations'!$HF$13:$HF$512,MATCH('Calculations'!HX227,'Calculations'!$HE$13:$HE$512,0)),""))))</x:f>
      </x:c>
      <x:c r="HZ227" t="str">
        <x:f>IF('Calculations'!HY227="","",IF('Calculations'!HY227="!AMBIG","!AMBIG",IF(COUNTIF('Calculations'!$HE$13:$HE$512,"="&amp;SUBSTITUTE(SUBSTITUTE(SUBSTITUTE('Calculations'!HY227,"~","~~"),"*","~*"),"?","~?"))&gt;1,"!AMBIG",IFERROR(INDEX('Calculations'!$HF$13:$HF$512,MATCH('Calculations'!HY227,'Calculations'!$HE$13:$HE$512,0)),""))))</x:f>
      </x:c>
      <x:c r="IA227" t="str">
        <x:f>IF('Calculations'!HZ227="","",IF('Calculations'!HZ227="!AMBIG","!AMBIG",IF(COUNTIF('Calculations'!$HE$13:$HE$512,"="&amp;SUBSTITUTE(SUBSTITUTE(SUBSTITUTE('Calculations'!HZ227,"~","~~"),"*","~*"),"?","~?"))&gt;1,"!AMBIG",IFERROR(INDEX('Calculations'!$HF$13:$HF$512,MATCH('Calculations'!HZ227,'Calculations'!$HE$13:$HE$512,0)),""))))</x:f>
      </x:c>
      <x:c r="IB227" t="str">
        <x:f>IF('Calculations'!IA227="","",IF('Calculations'!IA227="!AMBIG","!AMBIG",IF(COUNTIF('Calculations'!$HE$13:$HE$512,"="&amp;SUBSTITUTE(SUBSTITUTE(SUBSTITUTE('Calculations'!IA227,"~","~~"),"*","~*"),"?","~?"))&gt;1,"!AMBIG",IFERROR(INDEX('Calculations'!$HF$13:$HF$512,MATCH('Calculations'!IA227,'Calculations'!$HE$13:$HE$512,0)),""))))</x:f>
      </x:c>
      <x:c r="IC227" t="str">
        <x:f>IF('Calculations'!IB227="","",IF('Calculations'!IB227="!AMBIG","!AMBIG",IF(COUNTIF('Calculations'!$HE$13:$HE$512,"="&amp;SUBSTITUTE(SUBSTITUTE(SUBSTITUTE('Calculations'!IB227,"~","~~"),"*","~*"),"?","~?"))&gt;1,"!AMBIG",IFERROR(INDEX('Calculations'!$HF$13:$HF$512,MATCH('Calculations'!IB227,'Calculations'!$HE$13:$HE$512,0)),""))))</x:f>
      </x:c>
      <x:c r="ID227" t="str">
        <x:f>IF('Calculations'!IC227="","",IF('Calculations'!IC227="!AMBIG","!AMBIG",IF(COUNTIF('Calculations'!$HE$13:$HE$512,"="&amp;SUBSTITUTE(SUBSTITUTE(SUBSTITUTE('Calculations'!IC227,"~","~~"),"*","~*"),"?","~?"))&gt;1,"!AMBIG",IFERROR(INDEX('Calculations'!$HF$13:$HF$512,MATCH('Calculations'!IC227,'Calculations'!$HE$13:$HE$512,0)),""))))</x:f>
      </x:c>
      <x:c r="IE227" t="str">
        <x:f>IF('Calculations'!ID227="","",IF('Calculations'!ID227="!AMBIG","!AMBIG",IF(COUNTIF('Calculations'!$HE$13:$HE$512,"="&amp;SUBSTITUTE(SUBSTITUTE(SUBSTITUTE('Calculations'!ID227,"~","~~"),"*","~*"),"?","~?"))&gt;1,"!AMBIG",IFERROR(INDEX('Calculations'!$HF$13:$HF$512,MATCH('Calculations'!ID227,'Calculations'!$HE$13:$HE$512,0)),""))))</x:f>
      </x:c>
      <x:c r="IF227" t="str">
        <x:f>IF('Calculations'!IE227="","",IF('Calculations'!IE227="!AMBIG","!AMBIG",IF(COUNTIF('Calculations'!$HE$13:$HE$512,"="&amp;SUBSTITUTE(SUBSTITUTE(SUBSTITUTE('Calculations'!IE227,"~","~~"),"*","~*"),"?","~?"))&gt;1,"!AMBIG",IFERROR(INDEX('Calculations'!$HF$13:$HF$512,MATCH('Calculations'!IE227,'Calculations'!$HE$13:$HE$512,0)),""))))</x:f>
      </x:c>
      <x:c r="IG227" t="str">
        <x:f>IF('Calculations'!IF227="","",IF('Calculations'!IF227="!AMBIG","!AMBIG",IF(COUNTIF('Calculations'!$HE$13:$HE$512,"="&amp;SUBSTITUTE(SUBSTITUTE(SUBSTITUTE('Calculations'!IF227,"~","~~"),"*","~*"),"?","~?"))&gt;1,"!AMBIG",IFERROR(INDEX('Calculations'!$HF$13:$HF$512,MATCH('Calculations'!IF227,'Calculations'!$HE$13:$HE$512,0)),""))))</x:f>
      </x:c>
      <x:c r="IH227" t="str">
        <x:f>IF('Calculations'!IG227="","",IF('Calculations'!IG227="!AMBIG","!AMBIG",IF(COUNTIF('Calculations'!$HE$13:$HE$512,"="&amp;SUBSTITUTE(SUBSTITUTE(SUBSTITUTE('Calculations'!IG227,"~","~~"),"*","~*"),"?","~?"))&gt;1,"!AMBIG",IFERROR(INDEX('Calculations'!$HF$13:$HF$512,MATCH('Calculations'!IG227,'Calculations'!$HE$13:$HE$512,0)),""))))</x:f>
      </x:c>
      <x:c r="II227" t="str">
        <x:f>IF('Calculations'!IH227="","",IF('Calculations'!IH227="!AMBIG","!AMBIG",IF(COUNTIF('Calculations'!$HE$13:$HE$512,"="&amp;SUBSTITUTE(SUBSTITUTE(SUBSTITUTE('Calculations'!IH227,"~","~~"),"*","~*"),"?","~?"))&gt;1,"!AMBIG",IFERROR(INDEX('Calculations'!$HF$13:$HF$512,MATCH('Calculations'!IH227,'Calculations'!$HE$13:$HE$512,0)),""))))</x:f>
      </x:c>
      <x:c r="IJ227" t="str">
        <x:f>IF('Calculations'!EM227="","",IF('Calculations'!$EF$2="All",'Calculations'!HM227,IF('Calculations'!HL227=1,"",IFERROR(IF(MATCH('Calculations'!$EF$2,'Calculations'!HO227:II227,0)=1,'Calculations'!HE227,INDEX('Calculations'!HO227:II227,1,MATCH('Calculations'!$EF$2,'Calculations'!HO227:II227,0)-1)),""))))</x:f>
      </x:c>
      <x:c r="IK227" t="n">
        <x:f>IF(AND('Calculations'!EM227&lt;&gt;"",'Calculations'!$EF$2&lt;&gt;"All",'Calculations'!HF227='Calculations'!$EF$2,'Calculations'!HL227=0,'Calculations'!JD227&gt;0),MAX('Calculations'!$IK$12:IK226)+1,0)</x:f>
        <x:v>0</x:v>
      </x:c>
      <x:c r="JA227" t="n">
        <x:f>IF(OR(IFERROR(INDIRECT("'WCM Calibration Final'!$A$227")&lt;&gt;"",FALSE),IFERROR(INDIRECT("'WCM Calibration Final'!$B$227")&lt;&gt;"",FALSE),IFERROR(INDIRECT("'WCM Calibration Final'!$C$227")&lt;&gt;"",FALSE)),227,0)</x:f>
        <x:v>0</x:v>
      </x:c>
      <x:c r="JB227" t="n">
        <x:f>'Calculations'!JB226+IF('Calculations'!JA227&gt;0,1,0)</x:f>
        <x:v>0</x:v>
      </x:c>
      <x:c r="JC227" t="n">
        <x:f>IF(OR('Calculations'!HF227="",'Calculations'!HF227="!AMBIG"),0,IF('Dashboard'!$B$7="All",1,COUNTIFS('Calculations'!$HO$13:$HO$512,"="&amp;SUBSTITUTE(SUBSTITUTE(SUBSTITUTE('Calculations'!HF227,"~","~~"),"*","~*"),"?","~?"),'Calculations'!$HN$13:$HN$512,"="&amp;SUBSTITUTE(SUBSTITUTE(SUBSTITUTE('Dashboard'!$B$7,"~","~~"),"*","~*"),"?","~?"))+COUNTIFS('Calculations'!$HP$13:$HP$512,"="&amp;SUBSTITUTE(SUBSTITUTE(SUBSTITUTE('Calculations'!HF227,"~","~~"),"*","~*"),"?","~?"),'Calculations'!$HN$13:$HN$512,"="&amp;SUBSTITUTE(SUBSTITUTE(SUBSTITUTE('Dashboard'!$B$7,"~","~~"),"*","~*"),"?","~?"))+COUNTIFS('Calculations'!$HQ$13:$HQ$512,"="&amp;SUBSTITUTE(SUBSTITUTE(SUBSTITUTE('Calculations'!HF227,"~","~~"),"*","~*"),"?","~?"),'Calculations'!$HN$13:$HN$512,"="&amp;SUBSTITUTE(SUBSTITUTE(SUBSTITUTE('Dashboard'!$B$7,"~","~~"),"*","~*"),"?","~?"))+COUNTIFS('Calculations'!$HR$13:$HR$512,"="&amp;SUBSTITUTE(SUBSTITUTE(SUBSTITUTE('Calculations'!HF227,"~","~~"),"*","~*"),"?","~?"),'Calculations'!$HN$13:$HN$512,"="&amp;SUBSTITUTE(SUBSTITUTE(SUBSTITUTE('Dashboard'!$B$7,"~","~~"),"*","~*"),"?","~?"))+COUNTIFS('Calculations'!$HS$13:$HS$512,"="&amp;SUBSTITUTE(SUBSTITUTE(SUBSTITUTE('Calculations'!HF227,"~","~~"),"*","~*"),"?","~?"),'Calculations'!$HN$13:$HN$512,"="&amp;SUBSTITUTE(SUBSTITUTE(SUBSTITUTE('Dashboard'!$B$7,"~","~~"),"*","~*"),"?","~?"))+COUNTIFS('Calculations'!$HT$13:$HT$512,"="&amp;SUBSTITUTE(SUBSTITUTE(SUBSTITUTE('Calculations'!HF227,"~","~~"),"*","~*"),"?","~?"),'Calculations'!$HN$13:$HN$512,"="&amp;SUBSTITUTE(SUBSTITUTE(SUBSTITUTE('Dashboard'!$B$7,"~","~~"),"*","~*"),"?","~?"))+COUNTIFS('Calculations'!$HU$13:$HU$512,"="&amp;SUBSTITUTE(SUBSTITUTE(SUBSTITUTE('Calculations'!HF227,"~","~~"),"*","~*"),"?","~?"),'Calculations'!$HN$13:$HN$512,"="&amp;SUBSTITUTE(SUBSTITUTE(SUBSTITUTE('Dashboard'!$B$7,"~","~~"),"*","~*"),"?","~?"))+COUNTIFS('Calculations'!$HV$13:$HV$512,"="&amp;SUBSTITUTE(SUBSTITUTE(SUBSTITUTE('Calculations'!HF227,"~","~~"),"*","~*"),"?","~?"),'Calculations'!$HN$13:$HN$512,"="&amp;SUBSTITUTE(SUBSTITUTE(SUBSTITUTE('Dashboard'!$B$7,"~","~~"),"*","~*"),"?","~?"))+COUNTIFS('Calculations'!$HW$13:$HW$512,"="&amp;SUBSTITUTE(SUBSTITUTE(SUBSTITUTE('Calculations'!HF227,"~","~~"),"*","~*"),"?","~?"),'Calculations'!$HN$13:$HN$512,"="&amp;SUBSTITUTE(SUBSTITUTE(SUBSTITUTE('Dashboard'!$B$7,"~","~~"),"*","~*"),"?","~?"))+COUNTIFS('Calculations'!$HX$13:$HX$512,"="&amp;SUBSTITUTE(SUBSTITUTE(SUBSTITUTE('Calculations'!HF227,"~","~~"),"*","~*"),"?","~?"),'Calculations'!$HN$13:$HN$512,"="&amp;SUBSTITUTE(SUBSTITUTE(SUBSTITUTE('Dashboard'!$B$7,"~","~~"),"*","~*"),"?","~?"))+COUNTIFS('Calculations'!$HY$13:$HY$512,"="&amp;SUBSTITUTE(SUBSTITUTE(SUBSTITUTE('Calculations'!HF227,"~","~~"),"*","~*"),"?","~?"),'Calculations'!$HN$13:$HN$512,"="&amp;SUBSTITUTE(SUBSTITUTE(SUBSTITUTE('Dashboard'!$B$7,"~","~~"),"*","~*"),"?","~?"))+COUNTIFS('Calculations'!$HZ$13:$HZ$512,"="&amp;SUBSTITUTE(SUBSTITUTE(SUBSTITUTE('Calculations'!HF227,"~","~~"),"*","~*"),"?","~?"),'Calculations'!$HN$13:$HN$512,"="&amp;SUBSTITUTE(SUBSTITUTE(SUBSTITUTE('Dashboard'!$B$7,"~","~~"),"*","~*"),"?","~?"))+COUNTIFS('Calculations'!$IA$13:$IA$512,"="&amp;SUBSTITUTE(SUBSTITUTE(SUBSTITUTE('Calculations'!HF227,"~","~~"),"*","~*"),"?","~?"),'Calculations'!$HN$13:$HN$512,"="&amp;SUBSTITUTE(SUBSTITUTE(SUBSTITUTE('Dashboard'!$B$7,"~","~~"),"*","~*"),"?","~?"))+COUNTIFS('Calculations'!$IB$13:$IB$512,"="&amp;SUBSTITUTE(SUBSTITUTE(SUBSTITUTE('Calculations'!HF227,"~","~~"),"*","~*"),"?","~?"),'Calculations'!$HN$13:$HN$512,"="&amp;SUBSTITUTE(SUBSTITUTE(SUBSTITUTE('Dashboard'!$B$7,"~","~~"),"*","~*"),"?","~?"))+COUNTIFS('Calculations'!$IC$13:$IC$512,"="&amp;SUBSTITUTE(SUBSTITUTE(SUBSTITUTE('Calculations'!HF227,"~","~~"),"*","~*"),"?","~?"),'Calculations'!$HN$13:$HN$512,"="&amp;SUBSTITUTE(SUBSTITUTE(SUBSTITUTE('Dashboard'!$B$7,"~","~~"),"*","~*"),"?","~?"))+COUNTIFS('Calculations'!$ID$13:$ID$512,"="&amp;SUBSTITUTE(SUBSTITUTE(SUBSTITUTE('Calculations'!HF227,"~","~~"),"*","~*"),"?","~?"),'Calculations'!$HN$13:$HN$512,"="&amp;SUBSTITUTE(SUBSTITUTE(SUBSTITUTE('Dashboard'!$B$7,"~","~~"),"*","~*"),"?","~?"))+COUNTIFS('Calculations'!$IE$13:$IE$512,"="&amp;SUBSTITUTE(SUBSTITUTE(SUBSTITUTE('Calculations'!HF227,"~","~~"),"*","~*"),"?","~?"),'Calculations'!$HN$13:$HN$512,"="&amp;SUBSTITUTE(SUBSTITUTE(SUBSTITUTE('Dashboard'!$B$7,"~","~~"),"*","~*"),"?","~?"))+COUNTIFS('Calculations'!$IF$13:$IF$512,"="&amp;SUBSTITUTE(SUBSTITUTE(SUBSTITUTE('Calculations'!HF227,"~","~~"),"*","~*"),"?","~?"),'Calculations'!$HN$13:$HN$512,"="&amp;SUBSTITUTE(SUBSTITUTE(SUBSTITUTE('Dashboard'!$B$7,"~","~~"),"*","~*"),"?","~?"))+COUNTIFS('Calculations'!$IG$13:$IG$512,"="&amp;SUBSTITUTE(SUBSTITUTE(SUBSTITUTE('Calculations'!HF227,"~","~~"),"*","~*"),"?","~?"),'Calculations'!$HN$13:$HN$512,"="&amp;SUBSTITUTE(SUBSTITUTE(SUBSTITUTE('Dashboard'!$B$7,"~","~~"),"*","~*"),"?","~?"))+COUNTIFS('Calculations'!$IH$13:$IH$512,"="&amp;SUBSTITUTE(SUBSTITUTE(SUBSTITUTE('Calculations'!HF227,"~","~~"),"*","~*"),"?","~?"),'Calculations'!$HN$13:$HN$512,"="&amp;SUBSTITUTE(SUBSTITUTE(SUBSTITUTE('Dashboard'!$B$7,"~","~~"),"*","~*"),"?","~?"))))</x:f>
        <x:v>0</x:v>
      </x:c>
      <x:c r="JD227" t="n">
        <x:f>IF('Calculations'!EM227="",0,IF('Dashboard'!$B$7="All",1,IF('Calculations'!HN227='Dashboard'!$B$7,1,0)+IFERROR(INDEX('Calculations'!$JC$13:$JC$512,MATCH('Calculations'!HE227,'Calculations'!$HF$13:$HF$512,0)),0)))</x:f>
        <x:v>0</x:v>
      </x:c>
      <x:c r="JE227" t="n">
        <x:f>IF(AND('Calculations'!EM227&lt;&gt;"",'Calculations'!$JJ$2&lt;&gt;"All",'Calculations'!$JJ$2&lt;&gt;"",'Calculations'!HF227='Calculations'!$JJ$2,'Calculations'!HL227=0,'Calculations'!JD227&gt;0),MAX('Calculations'!$JE$12:JE226)+1,0)</x:f>
        <x:v>0</x:v>
      </x:c>
      <x:c r="JF227" t="str">
        <x:f>IF('Calculations'!EM227="","",IFERROR(IF(INDEX(INDIRECT("'WCM Calibration Final'!$G$1:$G$2000"),'Calculations'!$EM227)="","",TRIM(INDEX(INDIRECT("'WCM Calibration Final'!$G$1:$G$2000"),'Calculations'!$EM227)&amp;"")),""))</x:f>
      </x:c>
      <x:c r="JQ227" t="n">
        <x:f>IF(OR('Calculations'!BM227=0,NOT('Calculations'!$AG$2),'Calculations'!$AG$8&gt;0),0,IF(OR('Dashboard'!$B$7="All",'Calculations'!HN227='Dashboard'!$B$7),IF('Calculations'!$JJ$2="All",1,IF(AND('Calculations'!HF227='Calculations'!$JJ$2,'Calculations'!HL227=0),1,0)),0))</x:f>
        <x:v>0</x:v>
      </x:c>
    </x:row>
    <x:row r="228">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t="n">
        <x:f>IF('Calculations'!$EM228="",0,IF(OR(IFERROR(INDEX(INDIRECT("'WCM Calibration Final'!$A$1:$A$2000"),'Calculations'!$EM228)&lt;&gt;"",FALSE),IFERROR(INDEX(INDIRECT("'WCM Calibration Final'!$B$1:$B$2000"),'Calculations'!$EM228)&lt;&gt;"",FALSE),IFERROR(INDEX(INDIRECT("'WCM Calibration Final'!$C$1:$C$2000"),'Calculations'!$EM228)&lt;&gt;"",FALSE)),1,0))</x:f>
        <x:v>0</x:v>
      </x:c>
      <x:c r="BN228" s="4" t="n">
        <x:f>IF(AND('Calculations'!BM228=1,'Calculations'!$AG$2,'Calculations'!$EN228=1),1,0)</x:f>
        <x:v>0</x:v>
      </x:c>
      <x:c r="BO228" s="4" t="str">
        <x:f>IF('Calculations'!BM228=0,"",IFERROR(IF(AND(VALUE(INDEX(INDIRECT("'WCM Calibration Final'!$K$1:$K$2000"),'Calculations'!$EM228))&gt;=1,VALUE(INDEX(INDIRECT("'WCM Calibration Final'!$K$1:$K$2000"),'Calculations'!$EM228))&lt;=4,MOD(VALUE(INDEX(INDIRECT("'WCM Calibration Final'!$K$1:$K$2000"),'Calculations'!$EM228)),1)=0),VALUE(INDEX(INDIRECT("'WCM Calibration Final'!$K$1:$K$2000"),'Calculations'!$EM228)),""),""))</x:f>
      </x:c>
      <x:c r="BP228" s="4" t="str">
        <x:f>IF('Calculations'!BM228=0,"",IFERROR(IF(AND(VALUE(INDEX(INDIRECT("'WCM Calibration Final'!$L$1:$L$2000"),'Calculations'!$EM228))&gt;=1,VALUE(INDEX(INDIRECT("'WCM Calibration Final'!$L$1:$L$2000"),'Calculations'!$EM228))&lt;=4,MOD(VALUE(INDEX(INDIRECT("'WCM Calibration Final'!$L$1:$L$2000"),'Calculations'!$EM228)),1)=0),VALUE(INDEX(INDIRECT("'WCM Calibration Final'!$L$1:$L$2000"),'Calculations'!$EM228)),""),""))</x:f>
      </x:c>
      <x:c r="BQ228" s="4"/>
      <x:c r="BR228" s="4"/>
      <x:c r="BS228" s="4"/>
      <x:c r="BT228" s="4" t="n">
        <x:f>IF(AND('Calculations'!BM228=1,ISNUMBER('Calculations'!BO228),ISNUMBER('Calculations'!BP228)),1,0)</x:f>
        <x:v>0</x:v>
      </x:c>
      <x:c r="BU228" s="4" t="str">
        <x:f>IF('Calculations'!BM228=0,"",'Calculations'!$EO228)</x:f>
      </x:c>
      <x:c r="BV228" s="4" t="str">
        <x:f>IF('Calculations'!BM228=0,"",IFERROR(IF(OR(INDEX(INDIRECT("'WCM Calibration Final'!$H$1:$H$2000"),'Calculations'!$EM228)="MANAGING DIRECTOR",INDEX(INDIRECT("'WCM Calibration Final'!$H$1:$H$2000"),'Calculations'!$EM228)="DIRECTOR",INDEX(INDIRECT("'WCM Calibration Final'!$H$1:$H$2000"),'Calculations'!$EM228)="SENIOR VICE PRESIDENT",INDEX(INDIRECT("'WCM Calibration Final'!$H$1:$H$2000"),'Calculations'!$EM228)="VICE PRESIDENT",INDEX(INDIRECT("'WCM Calibration Final'!$H$1:$H$2000"),'Calculations'!$EM228)="ASSISTANT VICE PRESIDENT",INDEX(INDIRECT("'WCM Calibration Final'!$H$1:$H$2000"),'Calculations'!$EM228)="OFFICER"),UPPER(INDEX(INDIRECT("'WCM Calibration Final'!$H$1:$H$2000"),'Calculations'!$EM228)),"Other"),"Other"))</x:f>
      </x:c>
      <x:c r="BW228" s="4"/>
      <x:c r="BX228" s="4"/>
      <x:c r="BY228" s="4" t="n">
        <x:f>IF(AND('Calculations'!BM228=1,'Calculations'!BU228&lt;&gt;"",COUNTIF('Calculations'!$BU$12:BU228,'Calculations'!BU228)=1),MAX('Calculations'!$BY$11:BY227)+1,0)</x:f>
        <x:v>0</x:v>
      </x:c>
      <x:c r="BZ228" s="4" t="str">
        <x:f>IF('Dashboard'!$E$67="What",'Calculations'!BO228,'Calculations'!BP228)</x:f>
      </x:c>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t="str">
        <x:f>IF(217&gt;MAX('Calculations'!$HI$13:$HI$512),"",INDEX('Calculations'!$HN$13:$HN$512,MATCH(217,'Calculations'!$HI$13:$HI$512,0)))</x:f>
      </x:c>
      <x:c r="DB228" s="4" t="str">
        <x:f>IF(217&gt;MAX('Calculations'!$HH$13:$HH$512),"",INDEX('Calculations'!$HJ$13:$HJ$512,MATCH(217,'Calculations'!$HH$13:$HH$512,0)))</x:f>
      </x:c>
      <x:c r="DC228" s="4" t="str">
        <x:f>IF(ROW()-11&gt;MAX('Calculations'!$BY$13:$BY$512),"",INDEX('Calculations'!$BU$13:$BU$512,MATCH(ROW()-11,'Calculations'!$BY$13:$BY$512,0)))</x:f>
      </x:c>
      <x:c r="DD228" s="4" t="str">
        <x:f>IF(217&gt;MAX('Calculations'!$IK$13:$IK$512),"",INDEX('Calculations'!$HK$13:$HK$512,MATCH(217,'Calculations'!$IK$13:$IK$512,0)))</x:f>
      </x:c>
      <x:c r="DE228" s="4" t="str">
        <x:f>'Calculations'!DC228</x:f>
      </x:c>
      <x:c r="DF228" s="4" t="str">
        <x:f>IF('Calculations'!DE228="","",COUNTIFS('Calculations'!$BN$13:$BN$512,1,'Calculations'!$BU$13:$BU$512,'Calculations'!DE228))</x:f>
      </x:c>
      <x:c r="DG228" s="4" t="str">
        <x:f>IF('Calculations'!DE228="","",COUNTIFS('Calculations'!$BN$13:$BN$512,1,'Calculations'!$BU$13:$BU$512,'Calculations'!DE228,'Calculations'!$BT$13:$BT$512,1))</x:f>
      </x:c>
      <x:c r="DH228" s="4" t="str">
        <x:f>IF('Calculations'!DE228="","",'Calculations'!DF228-'Calculations'!DG228)</x:f>
      </x:c>
      <x:c r="DI228" s="4" t="str">
        <x:f>IF(OR('Calculations'!DE228="",'Calculations'!DF228=0),"",'Calculations'!DG228/'Calculations'!DF228)</x:f>
      </x:c>
      <x:c r="DJ228" s="4" t="str">
        <x:f>IF('Calculations'!DE228="","",COUNTIFS('Calculations'!$BN$13:$BN$512,1,'Calculations'!$BU$13:$BU$512,'Calculations'!DE228,'Calculations'!$BT$13:$BT$512,1,'Calculations'!$EE$13:$EE$512,"High"))</x:f>
      </x:c>
      <x:c r="DK228" s="4" t="str">
        <x:f>IF('Calculations'!DE228="","",COUNTIFS('Calculations'!$BN$13:$BN$512,1,'Calculations'!$BU$13:$BU$512,'Calculations'!DE228,'Calculations'!$BT$13:$BT$512,1,'Calculations'!$EE$13:$EE$512,"Strong"))</x:f>
      </x:c>
      <x:c r="DL228" s="4" t="str">
        <x:f>IF('Calculations'!DE228="","",COUNTIFS('Calculations'!$BN$13:$BN$512,1,'Calculations'!$BU$13:$BU$512,'Calculations'!DE228,'Calculations'!$BT$13:$BT$512,1,'Calculations'!$EE$13:$EE$512,"Solid"))</x:f>
      </x:c>
      <x:c r="DM228" s="4" t="str">
        <x:f>IF('Calculations'!DE228="","",COUNTIFS('Calculations'!$BN$13:$BN$512,1,'Calculations'!$BU$13:$BU$512,'Calculations'!DE228,'Calculations'!$BT$13:$BT$512,1,'Calculations'!$EE$13:$EE$512,"Low"))</x:f>
      </x:c>
      <x:c r="DN228" s="4" t="str">
        <x:f>IF('Calculations'!DE228="","",COUNTIFS('Calculations'!$BN$13:$BN$512,1,'Calculations'!$BU$13:$BU$512,'Calculations'!DE228,'Calculations'!$EP$13:$EP$512,1))</x:f>
      </x:c>
      <x:c r="DO228" s="4" t="str">
        <x:f>IF(OR('Calculations'!DE228="",'Calculations'!DG228=0),"",('Calculations'!DJ228+'Calculations'!DK228)/'Calculations'!DG228)</x:f>
      </x:c>
      <x:c r="DP228" s="4" t="n">
        <x:f>IF(AND('Calculations'!DE228&lt;&gt;"",'Calculations'!DF228&gt;0),COUNTIF('Calculations'!$DF$12:DF228,"&gt;0"),0)</x:f>
        <x:v>0</x:v>
      </x:c>
      <x:c r="DQ228" s="4" t="str">
        <x:f>IF(217&gt;MAX('Calculations'!$HH$13:$HH$512),"",INDEX('Calculations'!$HF$13:$HF$512,MATCH(217,'Calculations'!$HH$13:$HH$512,0)))</x:f>
      </x:c>
      <x:c r="DR228" s="4" t="str">
        <x:f>IF(217&gt;MAX('Calculations'!$IK$13:$IK$512),"",INDEX('Calculations'!$HE$13:$HE$512,MATCH(217,'Calculations'!$IK$13:$IK$512,0)))</x:f>
      </x:c>
      <x:c r="DS228" s="4"/>
      <x:c r="DT228" s="4"/>
      <x:c r="DU228" s="4"/>
      <x:c r="DV228" s="4"/>
      <x:c r="DW228" s="4"/>
      <x:c r="DX228" s="4"/>
      <x:c r="DY228" s="4"/>
      <x:c r="DZ228" s="4"/>
      <x:c r="EA228" s="4"/>
      <x:c r="EB228" s="4"/>
      <x:c r="EC228" s="4"/>
      <x:c r="ED228" s="4"/>
      <x:c r="EE228" s="4" t="str">
        <x:f>IF('Calculations'!BT228=0,"Not Rated",IF(OR('Calculations'!BO228&gt;=4,'Calculations'!BP228&gt;=4),"Low",IF('Calculations'!BO228+'Calculations'!BP228&lt;=3,"High",IF('Calculations'!BO228+'Calculations'!BP228&lt;=4,"Strong","Solid"))))</x:f>
        <x:v>Not Rated</x:v>
      </x:c>
      <x:c r="EF228" s="4"/>
      <x:c r="EG228" s="4"/>
      <x:c r="EH228" s="4"/>
      <x:c r="EI228" s="4"/>
      <x:c r="EJ228" s="4"/>
      <x:c r="EK228" s="4"/>
      <x:c r="EL228" s="4"/>
      <x:c r="EM228" s="4" t="str">
        <x:f>IF(216&gt;'Calculations'!$JB$2000,"",INDEX('Calculations'!$JA$12:$JA$2000,MATCH(216,'Calculations'!$JB$12:$JB$2000,0)))</x:f>
      </x:c>
      <x:c r="EN228" s="4" t="n">
        <x:f>IF(OR('Calculations'!EM228="",'Calculations'!$AG$8&gt;0,AND('Calculations'!$EF$2&lt;&gt;"All",'Calculations'!HE228='Calculations'!$EF$2),AND('Calculations'!$EF$3&lt;&gt;"All",'Calculations'!HE228='Calculations'!$EF$3)),0,IF(OR('Dashboard'!$B$7="All",'Calculations'!HN228='Dashboard'!$B$7),IF('Calculations'!$EF$2="All",1,IF('Calculations'!HL228&gt;0,0,IF(COUNTIF('Calculations'!HO228:II228,"="&amp;SUBSTITUTE(SUBSTITUTE(SUBSTITUTE('Calculations'!$EF$2,"~","~~"),"*","~*"),"?","~?"))=0,0,IF('Calculations'!$EF$3="All",1,IF(COUNTIF('Calculations'!HO228:II228,"="&amp;SUBSTITUTE(SUBSTITUTE(SUBSTITUTE('Calculations'!$EF$3,"~","~~"),"*","~*"),"?","~?"))&gt;0,1,0))))),0))</x:f>
        <x:v>0</x:v>
      </x:c>
      <x:c r="EO228" s="4" t="str">
        <x:f>IF('Calculations'!IJ228="","",IF('Calculations'!IJ228="!UNRESOLVED","Unresolved hierarchy",IFERROR(INDEX('Calculations'!$HK$13:$HK$512,MATCH('Calculations'!IJ228,'Calculations'!$HE$13:$HE$512,0)),IFERROR(INDEX('Calculations'!$HJ$13:$HJ$512,MATCH('Calculations'!IJ228,'Calculations'!$HF$13:$HF$512,0)),'Calculations'!IJ228))))</x:f>
      </x:c>
      <x:c r="EP228" s="4" t="n">
        <x:f>IF(AND('Calculations'!EM228&lt;&gt;"",'Calculations'!HF228='Calculations'!IJ228),1,0)</x:f>
        <x:v>0</x:v>
      </x:c>
      <x:c r="EQ228" s="4"/>
      <x:c r="ER228" s="4"/>
      <x:c r="ES228" s="4"/>
      <x:c r="ET228" s="4"/>
      <x:c r="EU228" s="4"/>
      <x:c r="EV228" s="4"/>
      <x:c r="EW228" s="4"/>
      <x:c r="EX228" s="4"/>
      <x:c r="EY228" s="4"/>
      <x:c r="EZ228" s="4"/>
      <x:c r="FA228" s="4"/>
      <x:c r="FB228" s="4"/>
      <x:c r="FC228" s="4"/>
      <x:c r="FD228" s="4"/>
      <x:c r="FE228" s="4"/>
      <x:c r="FF228" s="4"/>
      <x:c r="FG228" s="4"/>
      <x:c r="FH228" s="4"/>
      <x:c r="FI228" s="4"/>
      <x:c r="FJ228" s="4"/>
      <x:c r="FK228" s="4"/>
      <x:c r="FL228" s="4"/>
      <x:c r="FM228" s="4"/>
      <x:c r="FN228" s="4"/>
      <x:c r="FO228" s="4"/>
      <x:c r="HE228" t="str">
        <x:f>IF('Calculations'!EM228="","",IF(IFERROR(IF(INDEX(INDIRECT("'WCM Calibration Final'!$A$1:$A$2000"),'Calculations'!$EM228)="","",TRIM(INDEX(INDIRECT("'WCM Calibration Final'!$A$1:$A$2000"),'Calculations'!$EM228)&amp;"")),"")&lt;&gt;"","G:"&amp;IFERROR(TEXT(1*INDEX(INDIRECT("'WCM Calibration Final'!$A$1:$A$2000"),'Calculations'!$EM228),"0"),UPPER(IFERROR(IF(INDEX(INDIRECT("'WCM Calibration Final'!$A$1:$A$2000"),'Calculations'!$EM228)="","",TRIM(INDEX(INDIRECT("'WCM Calibration Final'!$A$1:$A$2000"),'Calculations'!$EM228)&amp;"")),""))),IF(IFERROR(IF(INDEX(INDIRECT("'WCM Calibration Final'!$C$1:$C$2000"),'Calculations'!$EM228)="","",TRIM(INDEX(INDIRECT("'WCM Calibration Final'!$C$1:$C$2000"),'Calculations'!$EM228)&amp;"")),"")&lt;&gt;"","S:"&amp;UPPER(IFERROR(IF(INDEX(INDIRECT("'WCM Calibration Final'!$C$1:$C$2000"),'Calculations'!$EM228)="","",TRIM(INDEX(INDIRECT("'WCM Calibration Final'!$C$1:$C$2000"),'Calculations'!$EM228)&amp;"")),"")),"R:"&amp;'Calculations'!EM228)))</x:f>
      </x:c>
      <x:c r="HF228" t="str">
        <x:f>IF('Calculations'!EM228="","",IF(IFERROR(IF(INDEX(INDIRECT("'WCM Calibration Final'!$D$1:$D$2000"),'Calculations'!$EM228)="","",TRIM(INDEX(INDIRECT("'WCM Calibration Final'!$D$1:$D$2000"),'Calculations'!$EM228)&amp;"")),"")&lt;&gt;"","G:"&amp;IFERROR(TEXT(1*INDEX(INDIRECT("'WCM Calibration Final'!$D$1:$D$2000"),'Calculations'!$EM228),"0"),UPPER(IFERROR(IF(INDEX(INDIRECT("'WCM Calibration Final'!$D$1:$D$2000"),'Calculations'!$EM228)="","",TRIM(INDEX(INDIRECT("'WCM Calibration Final'!$D$1:$D$2000"),'Calculations'!$EM228)&amp;"")),""))),IF(IFERROR(IF(INDEX(INDIRECT("'WCM Calibration Final'!$E$1:$E$2000"),'Calculations'!$EM228)="","",TRIM(INDEX(INDIRECT("'WCM Calibration Final'!$E$1:$E$2000"),'Calculations'!$EM228)&amp;"")),"")="","",IF(COUNTIF('Calculations'!$HG$13:$HG$512,"="&amp;SUBSTITUTE(SUBSTITUTE(SUBSTITUTE(IFERROR(IF(INDEX(INDIRECT("'WCM Calibration Final'!$E$1:$E$2000"),'Calculations'!$EM228)="","",TRIM(INDEX(INDIRECT("'WCM Calibration Final'!$E$1:$E$2000"),'Calculations'!$EM228)&amp;"")),""),"~","~~"),"*","~*"),"?","~?"))=1,INDEX('Calculations'!$HE$13:$HE$512,MATCH(IFERROR(IF(INDEX(INDIRECT("'WCM Calibration Final'!$E$1:$E$2000"),'Calculations'!$EM228)="","",TRIM(INDEX(INDIRECT("'WCM Calibration Final'!$E$1:$E$2000"),'Calculations'!$EM228)&amp;"")),""),'Calculations'!$HG$13:$HG$512,0)),IF(COUNTIF('Calculations'!$HG$13:$HG$512,"="&amp;SUBSTITUTE(SUBSTITUTE(SUBSTITUTE(IFERROR(IF(INDEX(INDIRECT("'WCM Calibration Final'!$E$1:$E$2000"),'Calculations'!$EM228)="","",TRIM(INDEX(INDIRECT("'WCM Calibration Final'!$E$1:$E$2000"),'Calculations'!$EM228)&amp;"")),""),"~","~~"),"*","~*"),"?","~?"))&gt;1,"!AMBIG","X:"&amp;IFERROR(IF(INDEX(INDIRECT("'WCM Calibration Final'!$E$1:$E$2000"),'Calculations'!$EM228)="","",TRIM(INDEX(INDIRECT("'WCM Calibration Final'!$E$1:$E$2000"),'Calculations'!$EM228)&amp;"")),""))))))</x:f>
      </x:c>
      <x:c r="HG228" t="str">
        <x:f>IF('Calculations'!EM228="","",IFERROR(IF(INDEX(INDIRECT("'WCM Calibration Final'!$B$1:$B$2000"),'Calculations'!$EM228)="","",TRIM(INDEX(INDIRECT("'WCM Calibration Final'!$B$1:$B$2000"),'Calculations'!$EM228)&amp;"")),""))</x:f>
      </x:c>
      <x:c r="HH228" t="n">
        <x:f>IF(AND('Calculations'!JC228&gt;0,COUNTIF('Calculations'!$HF$12:HF228,"="&amp;SUBSTITUTE(SUBSTITUTE(SUBSTITUTE('Calculations'!HF228,"~","~~"),"*","~*"),"?","~?"))=1),MAX('Calculations'!$HH$12:HH227)+1,0)</x:f>
        <x:v>0</x:v>
      </x:c>
      <x:c r="HI228" t="n">
        <x:f>IF(AND('Calculations'!HN228&lt;&gt;"",COUNTIF('Calculations'!$HN$12:HN228,"="&amp;SUBSTITUTE(SUBSTITUTE(SUBSTITUTE('Calculations'!HN228,"~","~~"),"*","~*"),"?","~?"))=1),MAX('Calculations'!$HI$12:HI227)+1,0)</x:f>
        <x:v>0</x:v>
      </x:c>
      <x:c r="HJ228" t="str">
        <x:f>IF('Calculations'!HF228="","",IF(COUNTIF('Calculations'!$HE$13:$HE$512,"="&amp;SUBSTITUTE(SUBSTITUTE(SUBSTITUTE('Calculations'!HF228,"~","~~"),"*","~*"),"?","~?"))=1,INDEX('Calculations'!$HK$13:$HK$512,MATCH('Calculations'!HF228,'Calculations'!$HE$13:$HE$512,0)),IFERROR(IF(INDEX(INDIRECT("'WCM Calibration Final'!$E$1:$E$2000"),'Calculations'!$EM228)="","",TRIM(INDEX(INDIRECT("'WCM Calibration Final'!$E$1:$E$2000"),'Calculations'!$EM228)&amp;"")),"")&amp;" ["&amp;'Calculations'!HF228&amp;"]"))</x:f>
      </x:c>
      <x:c r="HK228" t="str">
        <x:f>IF('Calculations'!EM228="","",'Calculations'!HG228&amp;" ["&amp;'Calculations'!HE228&amp;"]")</x:f>
      </x:c>
      <x:c r="HL228" t="n">
        <x:f>IF('Calculations'!EM228="",0,IF(OR('Calculations'!II228&lt;&gt;"",COUNTIF('Calculations'!$HE$13:$HE$512,"="&amp;SUBSTITUTE(SUBSTITUTE(SUBSTITUTE('Calculations'!HE228,"~","~~"),"*","~*"),"?","~?"))&gt;1),1,0))</x:f>
        <x:v>0</x:v>
      </x:c>
      <x:c r="HM228" t="str">
        <x:f>IF('Calculations'!EM228="","",IF('Calculations'!HL228=1,"!UNRESOLVED",IF('Calculations'!IH228&lt;&gt;"",'Calculations'!IH228,IF('Calculations'!IG228&lt;&gt;"",'Calculations'!IG228,IF('Calculations'!IF228&lt;&gt;"",'Calculations'!IF228,IF('Calculations'!IE228&lt;&gt;"",'Calculations'!IE228,IF('Calculations'!ID228&lt;&gt;"",'Calculations'!ID228,IF('Calculations'!IC228&lt;&gt;"",'Calculations'!IC228,IF('Calculations'!IB228&lt;&gt;"",'Calculations'!IB228,IF('Calculations'!IA228&lt;&gt;"",'Calculations'!IA228,IF('Calculations'!HZ228&lt;&gt;"",'Calculations'!HZ228,IF('Calculations'!HY228&lt;&gt;"",'Calculations'!HY228,IF('Calculations'!HX228&lt;&gt;"",'Calculations'!HX228,IF('Calculations'!HW228&lt;&gt;"",'Calculations'!HW228,IF('Calculations'!HV228&lt;&gt;"",'Calculations'!HV228,IF('Calculations'!HU228&lt;&gt;"",'Calculations'!HU228,IF('Calculations'!HT228&lt;&gt;"",'Calculations'!HT228,IF('Calculations'!HS228&lt;&gt;"",'Calculations'!HS228,IF('Calculations'!HR228&lt;&gt;"",'Calculations'!HR228,IF('Calculations'!HQ228&lt;&gt;"",'Calculations'!HQ228,IF('Calculations'!HP228&lt;&gt;"",'Calculations'!HP228,IF('Calculations'!HO228&lt;&gt;"",'Calculations'!HO228,'Calculations'!HE228))))))))))))))))))))))</x:f>
      </x:c>
      <x:c r="HN228" t="str">
        <x:f>IF('Calculations'!EM228="","",IF(IFERROR(IF(INDEX(INDIRECT("'WCM Calibration Final'!$F$1:$F$2000"),'Calculations'!$EM228)="","",TRIM(INDEX(INDIRECT("'WCM Calibration Final'!$F$1:$F$2000"),'Calculations'!$EM228)&amp;"")),"")="","(Blank)",IFERROR(IF(INDEX(INDIRECT("'WCM Calibration Final'!$F$1:$F$2000"),'Calculations'!$EM228)="","",TRIM(INDEX(INDIRECT("'WCM Calibration Final'!$F$1:$F$2000"),'Calculations'!$EM228)&amp;"")),"")))</x:f>
      </x:c>
      <x:c r="HO228" t="str">
        <x:f>'Calculations'!HF228</x:f>
      </x:c>
      <x:c r="HP228" t="str">
        <x:f>IF('Calculations'!HO228="","",IF('Calculations'!HO228="!AMBIG","!AMBIG",IF(COUNTIF('Calculations'!$HE$13:$HE$512,"="&amp;SUBSTITUTE(SUBSTITUTE(SUBSTITUTE('Calculations'!HO228,"~","~~"),"*","~*"),"?","~?"))&gt;1,"!AMBIG",IFERROR(INDEX('Calculations'!$HF$13:$HF$512,MATCH('Calculations'!HO228,'Calculations'!$HE$13:$HE$512,0)),""))))</x:f>
      </x:c>
      <x:c r="HQ228" t="str">
        <x:f>IF('Calculations'!HP228="","",IF('Calculations'!HP228="!AMBIG","!AMBIG",IF(COUNTIF('Calculations'!$HE$13:$HE$512,"="&amp;SUBSTITUTE(SUBSTITUTE(SUBSTITUTE('Calculations'!HP228,"~","~~"),"*","~*"),"?","~?"))&gt;1,"!AMBIG",IFERROR(INDEX('Calculations'!$HF$13:$HF$512,MATCH('Calculations'!HP228,'Calculations'!$HE$13:$HE$512,0)),""))))</x:f>
      </x:c>
      <x:c r="HR228" t="str">
        <x:f>IF('Calculations'!HQ228="","",IF('Calculations'!HQ228="!AMBIG","!AMBIG",IF(COUNTIF('Calculations'!$HE$13:$HE$512,"="&amp;SUBSTITUTE(SUBSTITUTE(SUBSTITUTE('Calculations'!HQ228,"~","~~"),"*","~*"),"?","~?"))&gt;1,"!AMBIG",IFERROR(INDEX('Calculations'!$HF$13:$HF$512,MATCH('Calculations'!HQ228,'Calculations'!$HE$13:$HE$512,0)),""))))</x:f>
      </x:c>
      <x:c r="HS228" t="str">
        <x:f>IF('Calculations'!HR228="","",IF('Calculations'!HR228="!AMBIG","!AMBIG",IF(COUNTIF('Calculations'!$HE$13:$HE$512,"="&amp;SUBSTITUTE(SUBSTITUTE(SUBSTITUTE('Calculations'!HR228,"~","~~"),"*","~*"),"?","~?"))&gt;1,"!AMBIG",IFERROR(INDEX('Calculations'!$HF$13:$HF$512,MATCH('Calculations'!HR228,'Calculations'!$HE$13:$HE$512,0)),""))))</x:f>
      </x:c>
      <x:c r="HT228" t="str">
        <x:f>IF('Calculations'!HS228="","",IF('Calculations'!HS228="!AMBIG","!AMBIG",IF(COUNTIF('Calculations'!$HE$13:$HE$512,"="&amp;SUBSTITUTE(SUBSTITUTE(SUBSTITUTE('Calculations'!HS228,"~","~~"),"*","~*"),"?","~?"))&gt;1,"!AMBIG",IFERROR(INDEX('Calculations'!$HF$13:$HF$512,MATCH('Calculations'!HS228,'Calculations'!$HE$13:$HE$512,0)),""))))</x:f>
      </x:c>
      <x:c r="HU228" t="str">
        <x:f>IF('Calculations'!HT228="","",IF('Calculations'!HT228="!AMBIG","!AMBIG",IF(COUNTIF('Calculations'!$HE$13:$HE$512,"="&amp;SUBSTITUTE(SUBSTITUTE(SUBSTITUTE('Calculations'!HT228,"~","~~"),"*","~*"),"?","~?"))&gt;1,"!AMBIG",IFERROR(INDEX('Calculations'!$HF$13:$HF$512,MATCH('Calculations'!HT228,'Calculations'!$HE$13:$HE$512,0)),""))))</x:f>
      </x:c>
      <x:c r="HV228" t="str">
        <x:f>IF('Calculations'!HU228="","",IF('Calculations'!HU228="!AMBIG","!AMBIG",IF(COUNTIF('Calculations'!$HE$13:$HE$512,"="&amp;SUBSTITUTE(SUBSTITUTE(SUBSTITUTE('Calculations'!HU228,"~","~~"),"*","~*"),"?","~?"))&gt;1,"!AMBIG",IFERROR(INDEX('Calculations'!$HF$13:$HF$512,MATCH('Calculations'!HU228,'Calculations'!$HE$13:$HE$512,0)),""))))</x:f>
      </x:c>
      <x:c r="HW228" t="str">
        <x:f>IF('Calculations'!HV228="","",IF('Calculations'!HV228="!AMBIG","!AMBIG",IF(COUNTIF('Calculations'!$HE$13:$HE$512,"="&amp;SUBSTITUTE(SUBSTITUTE(SUBSTITUTE('Calculations'!HV228,"~","~~"),"*","~*"),"?","~?"))&gt;1,"!AMBIG",IFERROR(INDEX('Calculations'!$HF$13:$HF$512,MATCH('Calculations'!HV228,'Calculations'!$HE$13:$HE$512,0)),""))))</x:f>
      </x:c>
      <x:c r="HX228" t="str">
        <x:f>IF('Calculations'!HW228="","",IF('Calculations'!HW228="!AMBIG","!AMBIG",IF(COUNTIF('Calculations'!$HE$13:$HE$512,"="&amp;SUBSTITUTE(SUBSTITUTE(SUBSTITUTE('Calculations'!HW228,"~","~~"),"*","~*"),"?","~?"))&gt;1,"!AMBIG",IFERROR(INDEX('Calculations'!$HF$13:$HF$512,MATCH('Calculations'!HW228,'Calculations'!$HE$13:$HE$512,0)),""))))</x:f>
      </x:c>
      <x:c r="HY228" t="str">
        <x:f>IF('Calculations'!HX228="","",IF('Calculations'!HX228="!AMBIG","!AMBIG",IF(COUNTIF('Calculations'!$HE$13:$HE$512,"="&amp;SUBSTITUTE(SUBSTITUTE(SUBSTITUTE('Calculations'!HX228,"~","~~"),"*","~*"),"?","~?"))&gt;1,"!AMBIG",IFERROR(INDEX('Calculations'!$HF$13:$HF$512,MATCH('Calculations'!HX228,'Calculations'!$HE$13:$HE$512,0)),""))))</x:f>
      </x:c>
      <x:c r="HZ228" t="str">
        <x:f>IF('Calculations'!HY228="","",IF('Calculations'!HY228="!AMBIG","!AMBIG",IF(COUNTIF('Calculations'!$HE$13:$HE$512,"="&amp;SUBSTITUTE(SUBSTITUTE(SUBSTITUTE('Calculations'!HY228,"~","~~"),"*","~*"),"?","~?"))&gt;1,"!AMBIG",IFERROR(INDEX('Calculations'!$HF$13:$HF$512,MATCH('Calculations'!HY228,'Calculations'!$HE$13:$HE$512,0)),""))))</x:f>
      </x:c>
      <x:c r="IA228" t="str">
        <x:f>IF('Calculations'!HZ228="","",IF('Calculations'!HZ228="!AMBIG","!AMBIG",IF(COUNTIF('Calculations'!$HE$13:$HE$512,"="&amp;SUBSTITUTE(SUBSTITUTE(SUBSTITUTE('Calculations'!HZ228,"~","~~"),"*","~*"),"?","~?"))&gt;1,"!AMBIG",IFERROR(INDEX('Calculations'!$HF$13:$HF$512,MATCH('Calculations'!HZ228,'Calculations'!$HE$13:$HE$512,0)),""))))</x:f>
      </x:c>
      <x:c r="IB228" t="str">
        <x:f>IF('Calculations'!IA228="","",IF('Calculations'!IA228="!AMBIG","!AMBIG",IF(COUNTIF('Calculations'!$HE$13:$HE$512,"="&amp;SUBSTITUTE(SUBSTITUTE(SUBSTITUTE('Calculations'!IA228,"~","~~"),"*","~*"),"?","~?"))&gt;1,"!AMBIG",IFERROR(INDEX('Calculations'!$HF$13:$HF$512,MATCH('Calculations'!IA228,'Calculations'!$HE$13:$HE$512,0)),""))))</x:f>
      </x:c>
      <x:c r="IC228" t="str">
        <x:f>IF('Calculations'!IB228="","",IF('Calculations'!IB228="!AMBIG","!AMBIG",IF(COUNTIF('Calculations'!$HE$13:$HE$512,"="&amp;SUBSTITUTE(SUBSTITUTE(SUBSTITUTE('Calculations'!IB228,"~","~~"),"*","~*"),"?","~?"))&gt;1,"!AMBIG",IFERROR(INDEX('Calculations'!$HF$13:$HF$512,MATCH('Calculations'!IB228,'Calculations'!$HE$13:$HE$512,0)),""))))</x:f>
      </x:c>
      <x:c r="ID228" t="str">
        <x:f>IF('Calculations'!IC228="","",IF('Calculations'!IC228="!AMBIG","!AMBIG",IF(COUNTIF('Calculations'!$HE$13:$HE$512,"="&amp;SUBSTITUTE(SUBSTITUTE(SUBSTITUTE('Calculations'!IC228,"~","~~"),"*","~*"),"?","~?"))&gt;1,"!AMBIG",IFERROR(INDEX('Calculations'!$HF$13:$HF$512,MATCH('Calculations'!IC228,'Calculations'!$HE$13:$HE$512,0)),""))))</x:f>
      </x:c>
      <x:c r="IE228" t="str">
        <x:f>IF('Calculations'!ID228="","",IF('Calculations'!ID228="!AMBIG","!AMBIG",IF(COUNTIF('Calculations'!$HE$13:$HE$512,"="&amp;SUBSTITUTE(SUBSTITUTE(SUBSTITUTE('Calculations'!ID228,"~","~~"),"*","~*"),"?","~?"))&gt;1,"!AMBIG",IFERROR(INDEX('Calculations'!$HF$13:$HF$512,MATCH('Calculations'!ID228,'Calculations'!$HE$13:$HE$512,0)),""))))</x:f>
      </x:c>
      <x:c r="IF228" t="str">
        <x:f>IF('Calculations'!IE228="","",IF('Calculations'!IE228="!AMBIG","!AMBIG",IF(COUNTIF('Calculations'!$HE$13:$HE$512,"="&amp;SUBSTITUTE(SUBSTITUTE(SUBSTITUTE('Calculations'!IE228,"~","~~"),"*","~*"),"?","~?"))&gt;1,"!AMBIG",IFERROR(INDEX('Calculations'!$HF$13:$HF$512,MATCH('Calculations'!IE228,'Calculations'!$HE$13:$HE$512,0)),""))))</x:f>
      </x:c>
      <x:c r="IG228" t="str">
        <x:f>IF('Calculations'!IF228="","",IF('Calculations'!IF228="!AMBIG","!AMBIG",IF(COUNTIF('Calculations'!$HE$13:$HE$512,"="&amp;SUBSTITUTE(SUBSTITUTE(SUBSTITUTE('Calculations'!IF228,"~","~~"),"*","~*"),"?","~?"))&gt;1,"!AMBIG",IFERROR(INDEX('Calculations'!$HF$13:$HF$512,MATCH('Calculations'!IF228,'Calculations'!$HE$13:$HE$512,0)),""))))</x:f>
      </x:c>
      <x:c r="IH228" t="str">
        <x:f>IF('Calculations'!IG228="","",IF('Calculations'!IG228="!AMBIG","!AMBIG",IF(COUNTIF('Calculations'!$HE$13:$HE$512,"="&amp;SUBSTITUTE(SUBSTITUTE(SUBSTITUTE('Calculations'!IG228,"~","~~"),"*","~*"),"?","~?"))&gt;1,"!AMBIG",IFERROR(INDEX('Calculations'!$HF$13:$HF$512,MATCH('Calculations'!IG228,'Calculations'!$HE$13:$HE$512,0)),""))))</x:f>
      </x:c>
      <x:c r="II228" t="str">
        <x:f>IF('Calculations'!IH228="","",IF('Calculations'!IH228="!AMBIG","!AMBIG",IF(COUNTIF('Calculations'!$HE$13:$HE$512,"="&amp;SUBSTITUTE(SUBSTITUTE(SUBSTITUTE('Calculations'!IH228,"~","~~"),"*","~*"),"?","~?"))&gt;1,"!AMBIG",IFERROR(INDEX('Calculations'!$HF$13:$HF$512,MATCH('Calculations'!IH228,'Calculations'!$HE$13:$HE$512,0)),""))))</x:f>
      </x:c>
      <x:c r="IJ228" t="str">
        <x:f>IF('Calculations'!EM228="","",IF('Calculations'!$EF$2="All",'Calculations'!HM228,IF('Calculations'!HL228=1,"",IFERROR(IF(MATCH('Calculations'!$EF$2,'Calculations'!HO228:II228,0)=1,'Calculations'!HE228,INDEX('Calculations'!HO228:II228,1,MATCH('Calculations'!$EF$2,'Calculations'!HO228:II228,0)-1)),""))))</x:f>
      </x:c>
      <x:c r="IK228" t="n">
        <x:f>IF(AND('Calculations'!EM228&lt;&gt;"",'Calculations'!$EF$2&lt;&gt;"All",'Calculations'!HF228='Calculations'!$EF$2,'Calculations'!HL228=0,'Calculations'!JD228&gt;0),MAX('Calculations'!$IK$12:IK227)+1,0)</x:f>
        <x:v>0</x:v>
      </x:c>
      <x:c r="JA228" t="n">
        <x:f>IF(OR(IFERROR(INDIRECT("'WCM Calibration Final'!$A$228")&lt;&gt;"",FALSE),IFERROR(INDIRECT("'WCM Calibration Final'!$B$228")&lt;&gt;"",FALSE),IFERROR(INDIRECT("'WCM Calibration Final'!$C$228")&lt;&gt;"",FALSE)),228,0)</x:f>
        <x:v>0</x:v>
      </x:c>
      <x:c r="JB228" t="n">
        <x:f>'Calculations'!JB227+IF('Calculations'!JA228&gt;0,1,0)</x:f>
        <x:v>0</x:v>
      </x:c>
      <x:c r="JC228" t="n">
        <x:f>IF(OR('Calculations'!HF228="",'Calculations'!HF228="!AMBIG"),0,IF('Dashboard'!$B$7="All",1,COUNTIFS('Calculations'!$HO$13:$HO$512,"="&amp;SUBSTITUTE(SUBSTITUTE(SUBSTITUTE('Calculations'!HF228,"~","~~"),"*","~*"),"?","~?"),'Calculations'!$HN$13:$HN$512,"="&amp;SUBSTITUTE(SUBSTITUTE(SUBSTITUTE('Dashboard'!$B$7,"~","~~"),"*","~*"),"?","~?"))+COUNTIFS('Calculations'!$HP$13:$HP$512,"="&amp;SUBSTITUTE(SUBSTITUTE(SUBSTITUTE('Calculations'!HF228,"~","~~"),"*","~*"),"?","~?"),'Calculations'!$HN$13:$HN$512,"="&amp;SUBSTITUTE(SUBSTITUTE(SUBSTITUTE('Dashboard'!$B$7,"~","~~"),"*","~*"),"?","~?"))+COUNTIFS('Calculations'!$HQ$13:$HQ$512,"="&amp;SUBSTITUTE(SUBSTITUTE(SUBSTITUTE('Calculations'!HF228,"~","~~"),"*","~*"),"?","~?"),'Calculations'!$HN$13:$HN$512,"="&amp;SUBSTITUTE(SUBSTITUTE(SUBSTITUTE('Dashboard'!$B$7,"~","~~"),"*","~*"),"?","~?"))+COUNTIFS('Calculations'!$HR$13:$HR$512,"="&amp;SUBSTITUTE(SUBSTITUTE(SUBSTITUTE('Calculations'!HF228,"~","~~"),"*","~*"),"?","~?"),'Calculations'!$HN$13:$HN$512,"="&amp;SUBSTITUTE(SUBSTITUTE(SUBSTITUTE('Dashboard'!$B$7,"~","~~"),"*","~*"),"?","~?"))+COUNTIFS('Calculations'!$HS$13:$HS$512,"="&amp;SUBSTITUTE(SUBSTITUTE(SUBSTITUTE('Calculations'!HF228,"~","~~"),"*","~*"),"?","~?"),'Calculations'!$HN$13:$HN$512,"="&amp;SUBSTITUTE(SUBSTITUTE(SUBSTITUTE('Dashboard'!$B$7,"~","~~"),"*","~*"),"?","~?"))+COUNTIFS('Calculations'!$HT$13:$HT$512,"="&amp;SUBSTITUTE(SUBSTITUTE(SUBSTITUTE('Calculations'!HF228,"~","~~"),"*","~*"),"?","~?"),'Calculations'!$HN$13:$HN$512,"="&amp;SUBSTITUTE(SUBSTITUTE(SUBSTITUTE('Dashboard'!$B$7,"~","~~"),"*","~*"),"?","~?"))+COUNTIFS('Calculations'!$HU$13:$HU$512,"="&amp;SUBSTITUTE(SUBSTITUTE(SUBSTITUTE('Calculations'!HF228,"~","~~"),"*","~*"),"?","~?"),'Calculations'!$HN$13:$HN$512,"="&amp;SUBSTITUTE(SUBSTITUTE(SUBSTITUTE('Dashboard'!$B$7,"~","~~"),"*","~*"),"?","~?"))+COUNTIFS('Calculations'!$HV$13:$HV$512,"="&amp;SUBSTITUTE(SUBSTITUTE(SUBSTITUTE('Calculations'!HF228,"~","~~"),"*","~*"),"?","~?"),'Calculations'!$HN$13:$HN$512,"="&amp;SUBSTITUTE(SUBSTITUTE(SUBSTITUTE('Dashboard'!$B$7,"~","~~"),"*","~*"),"?","~?"))+COUNTIFS('Calculations'!$HW$13:$HW$512,"="&amp;SUBSTITUTE(SUBSTITUTE(SUBSTITUTE('Calculations'!HF228,"~","~~"),"*","~*"),"?","~?"),'Calculations'!$HN$13:$HN$512,"="&amp;SUBSTITUTE(SUBSTITUTE(SUBSTITUTE('Dashboard'!$B$7,"~","~~"),"*","~*"),"?","~?"))+COUNTIFS('Calculations'!$HX$13:$HX$512,"="&amp;SUBSTITUTE(SUBSTITUTE(SUBSTITUTE('Calculations'!HF228,"~","~~"),"*","~*"),"?","~?"),'Calculations'!$HN$13:$HN$512,"="&amp;SUBSTITUTE(SUBSTITUTE(SUBSTITUTE('Dashboard'!$B$7,"~","~~"),"*","~*"),"?","~?"))+COUNTIFS('Calculations'!$HY$13:$HY$512,"="&amp;SUBSTITUTE(SUBSTITUTE(SUBSTITUTE('Calculations'!HF228,"~","~~"),"*","~*"),"?","~?"),'Calculations'!$HN$13:$HN$512,"="&amp;SUBSTITUTE(SUBSTITUTE(SUBSTITUTE('Dashboard'!$B$7,"~","~~"),"*","~*"),"?","~?"))+COUNTIFS('Calculations'!$HZ$13:$HZ$512,"="&amp;SUBSTITUTE(SUBSTITUTE(SUBSTITUTE('Calculations'!HF228,"~","~~"),"*","~*"),"?","~?"),'Calculations'!$HN$13:$HN$512,"="&amp;SUBSTITUTE(SUBSTITUTE(SUBSTITUTE('Dashboard'!$B$7,"~","~~"),"*","~*"),"?","~?"))+COUNTIFS('Calculations'!$IA$13:$IA$512,"="&amp;SUBSTITUTE(SUBSTITUTE(SUBSTITUTE('Calculations'!HF228,"~","~~"),"*","~*"),"?","~?"),'Calculations'!$HN$13:$HN$512,"="&amp;SUBSTITUTE(SUBSTITUTE(SUBSTITUTE('Dashboard'!$B$7,"~","~~"),"*","~*"),"?","~?"))+COUNTIFS('Calculations'!$IB$13:$IB$512,"="&amp;SUBSTITUTE(SUBSTITUTE(SUBSTITUTE('Calculations'!HF228,"~","~~"),"*","~*"),"?","~?"),'Calculations'!$HN$13:$HN$512,"="&amp;SUBSTITUTE(SUBSTITUTE(SUBSTITUTE('Dashboard'!$B$7,"~","~~"),"*","~*"),"?","~?"))+COUNTIFS('Calculations'!$IC$13:$IC$512,"="&amp;SUBSTITUTE(SUBSTITUTE(SUBSTITUTE('Calculations'!HF228,"~","~~"),"*","~*"),"?","~?"),'Calculations'!$HN$13:$HN$512,"="&amp;SUBSTITUTE(SUBSTITUTE(SUBSTITUTE('Dashboard'!$B$7,"~","~~"),"*","~*"),"?","~?"))+COUNTIFS('Calculations'!$ID$13:$ID$512,"="&amp;SUBSTITUTE(SUBSTITUTE(SUBSTITUTE('Calculations'!HF228,"~","~~"),"*","~*"),"?","~?"),'Calculations'!$HN$13:$HN$512,"="&amp;SUBSTITUTE(SUBSTITUTE(SUBSTITUTE('Dashboard'!$B$7,"~","~~"),"*","~*"),"?","~?"))+COUNTIFS('Calculations'!$IE$13:$IE$512,"="&amp;SUBSTITUTE(SUBSTITUTE(SUBSTITUTE('Calculations'!HF228,"~","~~"),"*","~*"),"?","~?"),'Calculations'!$HN$13:$HN$512,"="&amp;SUBSTITUTE(SUBSTITUTE(SUBSTITUTE('Dashboard'!$B$7,"~","~~"),"*","~*"),"?","~?"))+COUNTIFS('Calculations'!$IF$13:$IF$512,"="&amp;SUBSTITUTE(SUBSTITUTE(SUBSTITUTE('Calculations'!HF228,"~","~~"),"*","~*"),"?","~?"),'Calculations'!$HN$13:$HN$512,"="&amp;SUBSTITUTE(SUBSTITUTE(SUBSTITUTE('Dashboard'!$B$7,"~","~~"),"*","~*"),"?","~?"))+COUNTIFS('Calculations'!$IG$13:$IG$512,"="&amp;SUBSTITUTE(SUBSTITUTE(SUBSTITUTE('Calculations'!HF228,"~","~~"),"*","~*"),"?","~?"),'Calculations'!$HN$13:$HN$512,"="&amp;SUBSTITUTE(SUBSTITUTE(SUBSTITUTE('Dashboard'!$B$7,"~","~~"),"*","~*"),"?","~?"))+COUNTIFS('Calculations'!$IH$13:$IH$512,"="&amp;SUBSTITUTE(SUBSTITUTE(SUBSTITUTE('Calculations'!HF228,"~","~~"),"*","~*"),"?","~?"),'Calculations'!$HN$13:$HN$512,"="&amp;SUBSTITUTE(SUBSTITUTE(SUBSTITUTE('Dashboard'!$B$7,"~","~~"),"*","~*"),"?","~?"))))</x:f>
        <x:v>0</x:v>
      </x:c>
      <x:c r="JD228" t="n">
        <x:f>IF('Calculations'!EM228="",0,IF('Dashboard'!$B$7="All",1,IF('Calculations'!HN228='Dashboard'!$B$7,1,0)+IFERROR(INDEX('Calculations'!$JC$13:$JC$512,MATCH('Calculations'!HE228,'Calculations'!$HF$13:$HF$512,0)),0)))</x:f>
        <x:v>0</x:v>
      </x:c>
      <x:c r="JE228" t="n">
        <x:f>IF(AND('Calculations'!EM228&lt;&gt;"",'Calculations'!$JJ$2&lt;&gt;"All",'Calculations'!$JJ$2&lt;&gt;"",'Calculations'!HF228='Calculations'!$JJ$2,'Calculations'!HL228=0,'Calculations'!JD228&gt;0),MAX('Calculations'!$JE$12:JE227)+1,0)</x:f>
        <x:v>0</x:v>
      </x:c>
      <x:c r="JF228" t="str">
        <x:f>IF('Calculations'!EM228="","",IFERROR(IF(INDEX(INDIRECT("'WCM Calibration Final'!$G$1:$G$2000"),'Calculations'!$EM228)="","",TRIM(INDEX(INDIRECT("'WCM Calibration Final'!$G$1:$G$2000"),'Calculations'!$EM228)&amp;"")),""))</x:f>
      </x:c>
      <x:c r="JQ228" t="n">
        <x:f>IF(OR('Calculations'!BM228=0,NOT('Calculations'!$AG$2),'Calculations'!$AG$8&gt;0),0,IF(OR('Dashboard'!$B$7="All",'Calculations'!HN228='Dashboard'!$B$7),IF('Calculations'!$JJ$2="All",1,IF(AND('Calculations'!HF228='Calculations'!$JJ$2,'Calculations'!HL228=0),1,0)),0))</x:f>
        <x:v>0</x:v>
      </x:c>
    </x:row>
    <x:row r="229">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t="n">
        <x:f>IF('Calculations'!$EM229="",0,IF(OR(IFERROR(INDEX(INDIRECT("'WCM Calibration Final'!$A$1:$A$2000"),'Calculations'!$EM229)&lt;&gt;"",FALSE),IFERROR(INDEX(INDIRECT("'WCM Calibration Final'!$B$1:$B$2000"),'Calculations'!$EM229)&lt;&gt;"",FALSE),IFERROR(INDEX(INDIRECT("'WCM Calibration Final'!$C$1:$C$2000"),'Calculations'!$EM229)&lt;&gt;"",FALSE)),1,0))</x:f>
        <x:v>0</x:v>
      </x:c>
      <x:c r="BN229" s="4" t="n">
        <x:f>IF(AND('Calculations'!BM229=1,'Calculations'!$AG$2,'Calculations'!$EN229=1),1,0)</x:f>
        <x:v>0</x:v>
      </x:c>
      <x:c r="BO229" s="4" t="str">
        <x:f>IF('Calculations'!BM229=0,"",IFERROR(IF(AND(VALUE(INDEX(INDIRECT("'WCM Calibration Final'!$K$1:$K$2000"),'Calculations'!$EM229))&gt;=1,VALUE(INDEX(INDIRECT("'WCM Calibration Final'!$K$1:$K$2000"),'Calculations'!$EM229))&lt;=4,MOD(VALUE(INDEX(INDIRECT("'WCM Calibration Final'!$K$1:$K$2000"),'Calculations'!$EM229)),1)=0),VALUE(INDEX(INDIRECT("'WCM Calibration Final'!$K$1:$K$2000"),'Calculations'!$EM229)),""),""))</x:f>
      </x:c>
      <x:c r="BP229" s="4" t="str">
        <x:f>IF('Calculations'!BM229=0,"",IFERROR(IF(AND(VALUE(INDEX(INDIRECT("'WCM Calibration Final'!$L$1:$L$2000"),'Calculations'!$EM229))&gt;=1,VALUE(INDEX(INDIRECT("'WCM Calibration Final'!$L$1:$L$2000"),'Calculations'!$EM229))&lt;=4,MOD(VALUE(INDEX(INDIRECT("'WCM Calibration Final'!$L$1:$L$2000"),'Calculations'!$EM229)),1)=0),VALUE(INDEX(INDIRECT("'WCM Calibration Final'!$L$1:$L$2000"),'Calculations'!$EM229)),""),""))</x:f>
      </x:c>
      <x:c r="BQ229" s="4"/>
      <x:c r="BR229" s="4"/>
      <x:c r="BS229" s="4"/>
      <x:c r="BT229" s="4" t="n">
        <x:f>IF(AND('Calculations'!BM229=1,ISNUMBER('Calculations'!BO229),ISNUMBER('Calculations'!BP229)),1,0)</x:f>
        <x:v>0</x:v>
      </x:c>
      <x:c r="BU229" s="4" t="str">
        <x:f>IF('Calculations'!BM229=0,"",'Calculations'!$EO229)</x:f>
      </x:c>
      <x:c r="BV229" s="4" t="str">
        <x:f>IF('Calculations'!BM229=0,"",IFERROR(IF(OR(INDEX(INDIRECT("'WCM Calibration Final'!$H$1:$H$2000"),'Calculations'!$EM229)="MANAGING DIRECTOR",INDEX(INDIRECT("'WCM Calibration Final'!$H$1:$H$2000"),'Calculations'!$EM229)="DIRECTOR",INDEX(INDIRECT("'WCM Calibration Final'!$H$1:$H$2000"),'Calculations'!$EM229)="SENIOR VICE PRESIDENT",INDEX(INDIRECT("'WCM Calibration Final'!$H$1:$H$2000"),'Calculations'!$EM229)="VICE PRESIDENT",INDEX(INDIRECT("'WCM Calibration Final'!$H$1:$H$2000"),'Calculations'!$EM229)="ASSISTANT VICE PRESIDENT",INDEX(INDIRECT("'WCM Calibration Final'!$H$1:$H$2000"),'Calculations'!$EM229)="OFFICER"),UPPER(INDEX(INDIRECT("'WCM Calibration Final'!$H$1:$H$2000"),'Calculations'!$EM229)),"Other"),"Other"))</x:f>
      </x:c>
      <x:c r="BW229" s="4"/>
      <x:c r="BX229" s="4"/>
      <x:c r="BY229" s="4" t="n">
        <x:f>IF(AND('Calculations'!BM229=1,'Calculations'!BU229&lt;&gt;"",COUNTIF('Calculations'!$BU$12:BU229,'Calculations'!BU229)=1),MAX('Calculations'!$BY$11:BY228)+1,0)</x:f>
        <x:v>0</x:v>
      </x:c>
      <x:c r="BZ229" s="4" t="str">
        <x:f>IF('Dashboard'!$E$67="What",'Calculations'!BO229,'Calculations'!BP229)</x:f>
      </x:c>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t="str">
        <x:f>IF(218&gt;MAX('Calculations'!$HI$13:$HI$512),"",INDEX('Calculations'!$HN$13:$HN$512,MATCH(218,'Calculations'!$HI$13:$HI$512,0)))</x:f>
      </x:c>
      <x:c r="DB229" s="4" t="str">
        <x:f>IF(218&gt;MAX('Calculations'!$HH$13:$HH$512),"",INDEX('Calculations'!$HJ$13:$HJ$512,MATCH(218,'Calculations'!$HH$13:$HH$512,0)))</x:f>
      </x:c>
      <x:c r="DC229" s="4" t="str">
        <x:f>IF(ROW()-11&gt;MAX('Calculations'!$BY$13:$BY$512),"",INDEX('Calculations'!$BU$13:$BU$512,MATCH(ROW()-11,'Calculations'!$BY$13:$BY$512,0)))</x:f>
      </x:c>
      <x:c r="DD229" s="4" t="str">
        <x:f>IF(218&gt;MAX('Calculations'!$IK$13:$IK$512),"",INDEX('Calculations'!$HK$13:$HK$512,MATCH(218,'Calculations'!$IK$13:$IK$512,0)))</x:f>
      </x:c>
      <x:c r="DE229" s="4" t="str">
        <x:f>'Calculations'!DC229</x:f>
      </x:c>
      <x:c r="DF229" s="4" t="str">
        <x:f>IF('Calculations'!DE229="","",COUNTIFS('Calculations'!$BN$13:$BN$512,1,'Calculations'!$BU$13:$BU$512,'Calculations'!DE229))</x:f>
      </x:c>
      <x:c r="DG229" s="4" t="str">
        <x:f>IF('Calculations'!DE229="","",COUNTIFS('Calculations'!$BN$13:$BN$512,1,'Calculations'!$BU$13:$BU$512,'Calculations'!DE229,'Calculations'!$BT$13:$BT$512,1))</x:f>
      </x:c>
      <x:c r="DH229" s="4" t="str">
        <x:f>IF('Calculations'!DE229="","",'Calculations'!DF229-'Calculations'!DG229)</x:f>
      </x:c>
      <x:c r="DI229" s="4" t="str">
        <x:f>IF(OR('Calculations'!DE229="",'Calculations'!DF229=0),"",'Calculations'!DG229/'Calculations'!DF229)</x:f>
      </x:c>
      <x:c r="DJ229" s="4" t="str">
        <x:f>IF('Calculations'!DE229="","",COUNTIFS('Calculations'!$BN$13:$BN$512,1,'Calculations'!$BU$13:$BU$512,'Calculations'!DE229,'Calculations'!$BT$13:$BT$512,1,'Calculations'!$EE$13:$EE$512,"High"))</x:f>
      </x:c>
      <x:c r="DK229" s="4" t="str">
        <x:f>IF('Calculations'!DE229="","",COUNTIFS('Calculations'!$BN$13:$BN$512,1,'Calculations'!$BU$13:$BU$512,'Calculations'!DE229,'Calculations'!$BT$13:$BT$512,1,'Calculations'!$EE$13:$EE$512,"Strong"))</x:f>
      </x:c>
      <x:c r="DL229" s="4" t="str">
        <x:f>IF('Calculations'!DE229="","",COUNTIFS('Calculations'!$BN$13:$BN$512,1,'Calculations'!$BU$13:$BU$512,'Calculations'!DE229,'Calculations'!$BT$13:$BT$512,1,'Calculations'!$EE$13:$EE$512,"Solid"))</x:f>
      </x:c>
      <x:c r="DM229" s="4" t="str">
        <x:f>IF('Calculations'!DE229="","",COUNTIFS('Calculations'!$BN$13:$BN$512,1,'Calculations'!$BU$13:$BU$512,'Calculations'!DE229,'Calculations'!$BT$13:$BT$512,1,'Calculations'!$EE$13:$EE$512,"Low"))</x:f>
      </x:c>
      <x:c r="DN229" s="4" t="str">
        <x:f>IF('Calculations'!DE229="","",COUNTIFS('Calculations'!$BN$13:$BN$512,1,'Calculations'!$BU$13:$BU$512,'Calculations'!DE229,'Calculations'!$EP$13:$EP$512,1))</x:f>
      </x:c>
      <x:c r="DO229" s="4" t="str">
        <x:f>IF(OR('Calculations'!DE229="",'Calculations'!DG229=0),"",('Calculations'!DJ229+'Calculations'!DK229)/'Calculations'!DG229)</x:f>
      </x:c>
      <x:c r="DP229" s="4" t="n">
        <x:f>IF(AND('Calculations'!DE229&lt;&gt;"",'Calculations'!DF229&gt;0),COUNTIF('Calculations'!$DF$12:DF229,"&gt;0"),0)</x:f>
        <x:v>0</x:v>
      </x:c>
      <x:c r="DQ229" s="4" t="str">
        <x:f>IF(218&gt;MAX('Calculations'!$HH$13:$HH$512),"",INDEX('Calculations'!$HF$13:$HF$512,MATCH(218,'Calculations'!$HH$13:$HH$512,0)))</x:f>
      </x:c>
      <x:c r="DR229" s="4" t="str">
        <x:f>IF(218&gt;MAX('Calculations'!$IK$13:$IK$512),"",INDEX('Calculations'!$HE$13:$HE$512,MATCH(218,'Calculations'!$IK$13:$IK$512,0)))</x:f>
      </x:c>
      <x:c r="DS229" s="4"/>
      <x:c r="DT229" s="4"/>
      <x:c r="DU229" s="4"/>
      <x:c r="DV229" s="4"/>
      <x:c r="DW229" s="4"/>
      <x:c r="DX229" s="4"/>
      <x:c r="DY229" s="4"/>
      <x:c r="DZ229" s="4"/>
      <x:c r="EA229" s="4"/>
      <x:c r="EB229" s="4"/>
      <x:c r="EC229" s="4"/>
      <x:c r="ED229" s="4"/>
      <x:c r="EE229" s="4" t="str">
        <x:f>IF('Calculations'!BT229=0,"Not Rated",IF(OR('Calculations'!BO229&gt;=4,'Calculations'!BP229&gt;=4),"Low",IF('Calculations'!BO229+'Calculations'!BP229&lt;=3,"High",IF('Calculations'!BO229+'Calculations'!BP229&lt;=4,"Strong","Solid"))))</x:f>
        <x:v>Not Rated</x:v>
      </x:c>
      <x:c r="EF229" s="4"/>
      <x:c r="EG229" s="4"/>
      <x:c r="EH229" s="4"/>
      <x:c r="EI229" s="4"/>
      <x:c r="EJ229" s="4"/>
      <x:c r="EK229" s="4"/>
      <x:c r="EL229" s="4"/>
      <x:c r="EM229" s="4" t="str">
        <x:f>IF(217&gt;'Calculations'!$JB$2000,"",INDEX('Calculations'!$JA$12:$JA$2000,MATCH(217,'Calculations'!$JB$12:$JB$2000,0)))</x:f>
      </x:c>
      <x:c r="EN229" s="4" t="n">
        <x:f>IF(OR('Calculations'!EM229="",'Calculations'!$AG$8&gt;0,AND('Calculations'!$EF$2&lt;&gt;"All",'Calculations'!HE229='Calculations'!$EF$2),AND('Calculations'!$EF$3&lt;&gt;"All",'Calculations'!HE229='Calculations'!$EF$3)),0,IF(OR('Dashboard'!$B$7="All",'Calculations'!HN229='Dashboard'!$B$7),IF('Calculations'!$EF$2="All",1,IF('Calculations'!HL229&gt;0,0,IF(COUNTIF('Calculations'!HO229:II229,"="&amp;SUBSTITUTE(SUBSTITUTE(SUBSTITUTE('Calculations'!$EF$2,"~","~~"),"*","~*"),"?","~?"))=0,0,IF('Calculations'!$EF$3="All",1,IF(COUNTIF('Calculations'!HO229:II229,"="&amp;SUBSTITUTE(SUBSTITUTE(SUBSTITUTE('Calculations'!$EF$3,"~","~~"),"*","~*"),"?","~?"))&gt;0,1,0))))),0))</x:f>
        <x:v>0</x:v>
      </x:c>
      <x:c r="EO229" s="4" t="str">
        <x:f>IF('Calculations'!IJ229="","",IF('Calculations'!IJ229="!UNRESOLVED","Unresolved hierarchy",IFERROR(INDEX('Calculations'!$HK$13:$HK$512,MATCH('Calculations'!IJ229,'Calculations'!$HE$13:$HE$512,0)),IFERROR(INDEX('Calculations'!$HJ$13:$HJ$512,MATCH('Calculations'!IJ229,'Calculations'!$HF$13:$HF$512,0)),'Calculations'!IJ229))))</x:f>
      </x:c>
      <x:c r="EP229" s="4" t="n">
        <x:f>IF(AND('Calculations'!EM229&lt;&gt;"",'Calculations'!HF229='Calculations'!IJ229),1,0)</x:f>
        <x:v>0</x:v>
      </x:c>
      <x:c r="EQ229" s="4"/>
      <x:c r="ER229" s="4"/>
      <x:c r="ES229" s="4"/>
      <x:c r="ET229" s="4"/>
      <x:c r="EU229" s="4"/>
      <x:c r="EV229" s="4"/>
      <x:c r="EW229" s="4"/>
      <x:c r="EX229" s="4"/>
      <x:c r="EY229" s="4"/>
      <x:c r="EZ229" s="4"/>
      <x:c r="FA229" s="4"/>
      <x:c r="FB229" s="4"/>
      <x:c r="FC229" s="4"/>
      <x:c r="FD229" s="4"/>
      <x:c r="FE229" s="4"/>
      <x:c r="FF229" s="4"/>
      <x:c r="FG229" s="4"/>
      <x:c r="FH229" s="4"/>
      <x:c r="FI229" s="4"/>
      <x:c r="FJ229" s="4"/>
      <x:c r="FK229" s="4"/>
      <x:c r="FL229" s="4"/>
      <x:c r="FM229" s="4"/>
      <x:c r="FN229" s="4"/>
      <x:c r="FO229" s="4"/>
      <x:c r="HE229" t="str">
        <x:f>IF('Calculations'!EM229="","",IF(IFERROR(IF(INDEX(INDIRECT("'WCM Calibration Final'!$A$1:$A$2000"),'Calculations'!$EM229)="","",TRIM(INDEX(INDIRECT("'WCM Calibration Final'!$A$1:$A$2000"),'Calculations'!$EM229)&amp;"")),"")&lt;&gt;"","G:"&amp;IFERROR(TEXT(1*INDEX(INDIRECT("'WCM Calibration Final'!$A$1:$A$2000"),'Calculations'!$EM229),"0"),UPPER(IFERROR(IF(INDEX(INDIRECT("'WCM Calibration Final'!$A$1:$A$2000"),'Calculations'!$EM229)="","",TRIM(INDEX(INDIRECT("'WCM Calibration Final'!$A$1:$A$2000"),'Calculations'!$EM229)&amp;"")),""))),IF(IFERROR(IF(INDEX(INDIRECT("'WCM Calibration Final'!$C$1:$C$2000"),'Calculations'!$EM229)="","",TRIM(INDEX(INDIRECT("'WCM Calibration Final'!$C$1:$C$2000"),'Calculations'!$EM229)&amp;"")),"")&lt;&gt;"","S:"&amp;UPPER(IFERROR(IF(INDEX(INDIRECT("'WCM Calibration Final'!$C$1:$C$2000"),'Calculations'!$EM229)="","",TRIM(INDEX(INDIRECT("'WCM Calibration Final'!$C$1:$C$2000"),'Calculations'!$EM229)&amp;"")),"")),"R:"&amp;'Calculations'!EM229)))</x:f>
      </x:c>
      <x:c r="HF229" t="str">
        <x:f>IF('Calculations'!EM229="","",IF(IFERROR(IF(INDEX(INDIRECT("'WCM Calibration Final'!$D$1:$D$2000"),'Calculations'!$EM229)="","",TRIM(INDEX(INDIRECT("'WCM Calibration Final'!$D$1:$D$2000"),'Calculations'!$EM229)&amp;"")),"")&lt;&gt;"","G:"&amp;IFERROR(TEXT(1*INDEX(INDIRECT("'WCM Calibration Final'!$D$1:$D$2000"),'Calculations'!$EM229),"0"),UPPER(IFERROR(IF(INDEX(INDIRECT("'WCM Calibration Final'!$D$1:$D$2000"),'Calculations'!$EM229)="","",TRIM(INDEX(INDIRECT("'WCM Calibration Final'!$D$1:$D$2000"),'Calculations'!$EM229)&amp;"")),""))),IF(IFERROR(IF(INDEX(INDIRECT("'WCM Calibration Final'!$E$1:$E$2000"),'Calculations'!$EM229)="","",TRIM(INDEX(INDIRECT("'WCM Calibration Final'!$E$1:$E$2000"),'Calculations'!$EM229)&amp;"")),"")="","",IF(COUNTIF('Calculations'!$HG$13:$HG$512,"="&amp;SUBSTITUTE(SUBSTITUTE(SUBSTITUTE(IFERROR(IF(INDEX(INDIRECT("'WCM Calibration Final'!$E$1:$E$2000"),'Calculations'!$EM229)="","",TRIM(INDEX(INDIRECT("'WCM Calibration Final'!$E$1:$E$2000"),'Calculations'!$EM229)&amp;"")),""),"~","~~"),"*","~*"),"?","~?"))=1,INDEX('Calculations'!$HE$13:$HE$512,MATCH(IFERROR(IF(INDEX(INDIRECT("'WCM Calibration Final'!$E$1:$E$2000"),'Calculations'!$EM229)="","",TRIM(INDEX(INDIRECT("'WCM Calibration Final'!$E$1:$E$2000"),'Calculations'!$EM229)&amp;"")),""),'Calculations'!$HG$13:$HG$512,0)),IF(COUNTIF('Calculations'!$HG$13:$HG$512,"="&amp;SUBSTITUTE(SUBSTITUTE(SUBSTITUTE(IFERROR(IF(INDEX(INDIRECT("'WCM Calibration Final'!$E$1:$E$2000"),'Calculations'!$EM229)="","",TRIM(INDEX(INDIRECT("'WCM Calibration Final'!$E$1:$E$2000"),'Calculations'!$EM229)&amp;"")),""),"~","~~"),"*","~*"),"?","~?"))&gt;1,"!AMBIG","X:"&amp;IFERROR(IF(INDEX(INDIRECT("'WCM Calibration Final'!$E$1:$E$2000"),'Calculations'!$EM229)="","",TRIM(INDEX(INDIRECT("'WCM Calibration Final'!$E$1:$E$2000"),'Calculations'!$EM229)&amp;"")),""))))))</x:f>
      </x:c>
      <x:c r="HG229" t="str">
        <x:f>IF('Calculations'!EM229="","",IFERROR(IF(INDEX(INDIRECT("'WCM Calibration Final'!$B$1:$B$2000"),'Calculations'!$EM229)="","",TRIM(INDEX(INDIRECT("'WCM Calibration Final'!$B$1:$B$2000"),'Calculations'!$EM229)&amp;"")),""))</x:f>
      </x:c>
      <x:c r="HH229" t="n">
        <x:f>IF(AND('Calculations'!JC229&gt;0,COUNTIF('Calculations'!$HF$12:HF229,"="&amp;SUBSTITUTE(SUBSTITUTE(SUBSTITUTE('Calculations'!HF229,"~","~~"),"*","~*"),"?","~?"))=1),MAX('Calculations'!$HH$12:HH228)+1,0)</x:f>
        <x:v>0</x:v>
      </x:c>
      <x:c r="HI229" t="n">
        <x:f>IF(AND('Calculations'!HN229&lt;&gt;"",COUNTIF('Calculations'!$HN$12:HN229,"="&amp;SUBSTITUTE(SUBSTITUTE(SUBSTITUTE('Calculations'!HN229,"~","~~"),"*","~*"),"?","~?"))=1),MAX('Calculations'!$HI$12:HI228)+1,0)</x:f>
        <x:v>0</x:v>
      </x:c>
      <x:c r="HJ229" t="str">
        <x:f>IF('Calculations'!HF229="","",IF(COUNTIF('Calculations'!$HE$13:$HE$512,"="&amp;SUBSTITUTE(SUBSTITUTE(SUBSTITUTE('Calculations'!HF229,"~","~~"),"*","~*"),"?","~?"))=1,INDEX('Calculations'!$HK$13:$HK$512,MATCH('Calculations'!HF229,'Calculations'!$HE$13:$HE$512,0)),IFERROR(IF(INDEX(INDIRECT("'WCM Calibration Final'!$E$1:$E$2000"),'Calculations'!$EM229)="","",TRIM(INDEX(INDIRECT("'WCM Calibration Final'!$E$1:$E$2000"),'Calculations'!$EM229)&amp;"")),"")&amp;" ["&amp;'Calculations'!HF229&amp;"]"))</x:f>
      </x:c>
      <x:c r="HK229" t="str">
        <x:f>IF('Calculations'!EM229="","",'Calculations'!HG229&amp;" ["&amp;'Calculations'!HE229&amp;"]")</x:f>
      </x:c>
      <x:c r="HL229" t="n">
        <x:f>IF('Calculations'!EM229="",0,IF(OR('Calculations'!II229&lt;&gt;"",COUNTIF('Calculations'!$HE$13:$HE$512,"="&amp;SUBSTITUTE(SUBSTITUTE(SUBSTITUTE('Calculations'!HE229,"~","~~"),"*","~*"),"?","~?"))&gt;1),1,0))</x:f>
        <x:v>0</x:v>
      </x:c>
      <x:c r="HM229" t="str">
        <x:f>IF('Calculations'!EM229="","",IF('Calculations'!HL229=1,"!UNRESOLVED",IF('Calculations'!IH229&lt;&gt;"",'Calculations'!IH229,IF('Calculations'!IG229&lt;&gt;"",'Calculations'!IG229,IF('Calculations'!IF229&lt;&gt;"",'Calculations'!IF229,IF('Calculations'!IE229&lt;&gt;"",'Calculations'!IE229,IF('Calculations'!ID229&lt;&gt;"",'Calculations'!ID229,IF('Calculations'!IC229&lt;&gt;"",'Calculations'!IC229,IF('Calculations'!IB229&lt;&gt;"",'Calculations'!IB229,IF('Calculations'!IA229&lt;&gt;"",'Calculations'!IA229,IF('Calculations'!HZ229&lt;&gt;"",'Calculations'!HZ229,IF('Calculations'!HY229&lt;&gt;"",'Calculations'!HY229,IF('Calculations'!HX229&lt;&gt;"",'Calculations'!HX229,IF('Calculations'!HW229&lt;&gt;"",'Calculations'!HW229,IF('Calculations'!HV229&lt;&gt;"",'Calculations'!HV229,IF('Calculations'!HU229&lt;&gt;"",'Calculations'!HU229,IF('Calculations'!HT229&lt;&gt;"",'Calculations'!HT229,IF('Calculations'!HS229&lt;&gt;"",'Calculations'!HS229,IF('Calculations'!HR229&lt;&gt;"",'Calculations'!HR229,IF('Calculations'!HQ229&lt;&gt;"",'Calculations'!HQ229,IF('Calculations'!HP229&lt;&gt;"",'Calculations'!HP229,IF('Calculations'!HO229&lt;&gt;"",'Calculations'!HO229,'Calculations'!HE229))))))))))))))))))))))</x:f>
      </x:c>
      <x:c r="HN229" t="str">
        <x:f>IF('Calculations'!EM229="","",IF(IFERROR(IF(INDEX(INDIRECT("'WCM Calibration Final'!$F$1:$F$2000"),'Calculations'!$EM229)="","",TRIM(INDEX(INDIRECT("'WCM Calibration Final'!$F$1:$F$2000"),'Calculations'!$EM229)&amp;"")),"")="","(Blank)",IFERROR(IF(INDEX(INDIRECT("'WCM Calibration Final'!$F$1:$F$2000"),'Calculations'!$EM229)="","",TRIM(INDEX(INDIRECT("'WCM Calibration Final'!$F$1:$F$2000"),'Calculations'!$EM229)&amp;"")),"")))</x:f>
      </x:c>
      <x:c r="HO229" t="str">
        <x:f>'Calculations'!HF229</x:f>
      </x:c>
      <x:c r="HP229" t="str">
        <x:f>IF('Calculations'!HO229="","",IF('Calculations'!HO229="!AMBIG","!AMBIG",IF(COUNTIF('Calculations'!$HE$13:$HE$512,"="&amp;SUBSTITUTE(SUBSTITUTE(SUBSTITUTE('Calculations'!HO229,"~","~~"),"*","~*"),"?","~?"))&gt;1,"!AMBIG",IFERROR(INDEX('Calculations'!$HF$13:$HF$512,MATCH('Calculations'!HO229,'Calculations'!$HE$13:$HE$512,0)),""))))</x:f>
      </x:c>
      <x:c r="HQ229" t="str">
        <x:f>IF('Calculations'!HP229="","",IF('Calculations'!HP229="!AMBIG","!AMBIG",IF(COUNTIF('Calculations'!$HE$13:$HE$512,"="&amp;SUBSTITUTE(SUBSTITUTE(SUBSTITUTE('Calculations'!HP229,"~","~~"),"*","~*"),"?","~?"))&gt;1,"!AMBIG",IFERROR(INDEX('Calculations'!$HF$13:$HF$512,MATCH('Calculations'!HP229,'Calculations'!$HE$13:$HE$512,0)),""))))</x:f>
      </x:c>
      <x:c r="HR229" t="str">
        <x:f>IF('Calculations'!HQ229="","",IF('Calculations'!HQ229="!AMBIG","!AMBIG",IF(COUNTIF('Calculations'!$HE$13:$HE$512,"="&amp;SUBSTITUTE(SUBSTITUTE(SUBSTITUTE('Calculations'!HQ229,"~","~~"),"*","~*"),"?","~?"))&gt;1,"!AMBIG",IFERROR(INDEX('Calculations'!$HF$13:$HF$512,MATCH('Calculations'!HQ229,'Calculations'!$HE$13:$HE$512,0)),""))))</x:f>
      </x:c>
      <x:c r="HS229" t="str">
        <x:f>IF('Calculations'!HR229="","",IF('Calculations'!HR229="!AMBIG","!AMBIG",IF(COUNTIF('Calculations'!$HE$13:$HE$512,"="&amp;SUBSTITUTE(SUBSTITUTE(SUBSTITUTE('Calculations'!HR229,"~","~~"),"*","~*"),"?","~?"))&gt;1,"!AMBIG",IFERROR(INDEX('Calculations'!$HF$13:$HF$512,MATCH('Calculations'!HR229,'Calculations'!$HE$13:$HE$512,0)),""))))</x:f>
      </x:c>
      <x:c r="HT229" t="str">
        <x:f>IF('Calculations'!HS229="","",IF('Calculations'!HS229="!AMBIG","!AMBIG",IF(COUNTIF('Calculations'!$HE$13:$HE$512,"="&amp;SUBSTITUTE(SUBSTITUTE(SUBSTITUTE('Calculations'!HS229,"~","~~"),"*","~*"),"?","~?"))&gt;1,"!AMBIG",IFERROR(INDEX('Calculations'!$HF$13:$HF$512,MATCH('Calculations'!HS229,'Calculations'!$HE$13:$HE$512,0)),""))))</x:f>
      </x:c>
      <x:c r="HU229" t="str">
        <x:f>IF('Calculations'!HT229="","",IF('Calculations'!HT229="!AMBIG","!AMBIG",IF(COUNTIF('Calculations'!$HE$13:$HE$512,"="&amp;SUBSTITUTE(SUBSTITUTE(SUBSTITUTE('Calculations'!HT229,"~","~~"),"*","~*"),"?","~?"))&gt;1,"!AMBIG",IFERROR(INDEX('Calculations'!$HF$13:$HF$512,MATCH('Calculations'!HT229,'Calculations'!$HE$13:$HE$512,0)),""))))</x:f>
      </x:c>
      <x:c r="HV229" t="str">
        <x:f>IF('Calculations'!HU229="","",IF('Calculations'!HU229="!AMBIG","!AMBIG",IF(COUNTIF('Calculations'!$HE$13:$HE$512,"="&amp;SUBSTITUTE(SUBSTITUTE(SUBSTITUTE('Calculations'!HU229,"~","~~"),"*","~*"),"?","~?"))&gt;1,"!AMBIG",IFERROR(INDEX('Calculations'!$HF$13:$HF$512,MATCH('Calculations'!HU229,'Calculations'!$HE$13:$HE$512,0)),""))))</x:f>
      </x:c>
      <x:c r="HW229" t="str">
        <x:f>IF('Calculations'!HV229="","",IF('Calculations'!HV229="!AMBIG","!AMBIG",IF(COUNTIF('Calculations'!$HE$13:$HE$512,"="&amp;SUBSTITUTE(SUBSTITUTE(SUBSTITUTE('Calculations'!HV229,"~","~~"),"*","~*"),"?","~?"))&gt;1,"!AMBIG",IFERROR(INDEX('Calculations'!$HF$13:$HF$512,MATCH('Calculations'!HV229,'Calculations'!$HE$13:$HE$512,0)),""))))</x:f>
      </x:c>
      <x:c r="HX229" t="str">
        <x:f>IF('Calculations'!HW229="","",IF('Calculations'!HW229="!AMBIG","!AMBIG",IF(COUNTIF('Calculations'!$HE$13:$HE$512,"="&amp;SUBSTITUTE(SUBSTITUTE(SUBSTITUTE('Calculations'!HW229,"~","~~"),"*","~*"),"?","~?"))&gt;1,"!AMBIG",IFERROR(INDEX('Calculations'!$HF$13:$HF$512,MATCH('Calculations'!HW229,'Calculations'!$HE$13:$HE$512,0)),""))))</x:f>
      </x:c>
      <x:c r="HY229" t="str">
        <x:f>IF('Calculations'!HX229="","",IF('Calculations'!HX229="!AMBIG","!AMBIG",IF(COUNTIF('Calculations'!$HE$13:$HE$512,"="&amp;SUBSTITUTE(SUBSTITUTE(SUBSTITUTE('Calculations'!HX229,"~","~~"),"*","~*"),"?","~?"))&gt;1,"!AMBIG",IFERROR(INDEX('Calculations'!$HF$13:$HF$512,MATCH('Calculations'!HX229,'Calculations'!$HE$13:$HE$512,0)),""))))</x:f>
      </x:c>
      <x:c r="HZ229" t="str">
        <x:f>IF('Calculations'!HY229="","",IF('Calculations'!HY229="!AMBIG","!AMBIG",IF(COUNTIF('Calculations'!$HE$13:$HE$512,"="&amp;SUBSTITUTE(SUBSTITUTE(SUBSTITUTE('Calculations'!HY229,"~","~~"),"*","~*"),"?","~?"))&gt;1,"!AMBIG",IFERROR(INDEX('Calculations'!$HF$13:$HF$512,MATCH('Calculations'!HY229,'Calculations'!$HE$13:$HE$512,0)),""))))</x:f>
      </x:c>
      <x:c r="IA229" t="str">
        <x:f>IF('Calculations'!HZ229="","",IF('Calculations'!HZ229="!AMBIG","!AMBIG",IF(COUNTIF('Calculations'!$HE$13:$HE$512,"="&amp;SUBSTITUTE(SUBSTITUTE(SUBSTITUTE('Calculations'!HZ229,"~","~~"),"*","~*"),"?","~?"))&gt;1,"!AMBIG",IFERROR(INDEX('Calculations'!$HF$13:$HF$512,MATCH('Calculations'!HZ229,'Calculations'!$HE$13:$HE$512,0)),""))))</x:f>
      </x:c>
      <x:c r="IB229" t="str">
        <x:f>IF('Calculations'!IA229="","",IF('Calculations'!IA229="!AMBIG","!AMBIG",IF(COUNTIF('Calculations'!$HE$13:$HE$512,"="&amp;SUBSTITUTE(SUBSTITUTE(SUBSTITUTE('Calculations'!IA229,"~","~~"),"*","~*"),"?","~?"))&gt;1,"!AMBIG",IFERROR(INDEX('Calculations'!$HF$13:$HF$512,MATCH('Calculations'!IA229,'Calculations'!$HE$13:$HE$512,0)),""))))</x:f>
      </x:c>
      <x:c r="IC229" t="str">
        <x:f>IF('Calculations'!IB229="","",IF('Calculations'!IB229="!AMBIG","!AMBIG",IF(COUNTIF('Calculations'!$HE$13:$HE$512,"="&amp;SUBSTITUTE(SUBSTITUTE(SUBSTITUTE('Calculations'!IB229,"~","~~"),"*","~*"),"?","~?"))&gt;1,"!AMBIG",IFERROR(INDEX('Calculations'!$HF$13:$HF$512,MATCH('Calculations'!IB229,'Calculations'!$HE$13:$HE$512,0)),""))))</x:f>
      </x:c>
      <x:c r="ID229" t="str">
        <x:f>IF('Calculations'!IC229="","",IF('Calculations'!IC229="!AMBIG","!AMBIG",IF(COUNTIF('Calculations'!$HE$13:$HE$512,"="&amp;SUBSTITUTE(SUBSTITUTE(SUBSTITUTE('Calculations'!IC229,"~","~~"),"*","~*"),"?","~?"))&gt;1,"!AMBIG",IFERROR(INDEX('Calculations'!$HF$13:$HF$512,MATCH('Calculations'!IC229,'Calculations'!$HE$13:$HE$512,0)),""))))</x:f>
      </x:c>
      <x:c r="IE229" t="str">
        <x:f>IF('Calculations'!ID229="","",IF('Calculations'!ID229="!AMBIG","!AMBIG",IF(COUNTIF('Calculations'!$HE$13:$HE$512,"="&amp;SUBSTITUTE(SUBSTITUTE(SUBSTITUTE('Calculations'!ID229,"~","~~"),"*","~*"),"?","~?"))&gt;1,"!AMBIG",IFERROR(INDEX('Calculations'!$HF$13:$HF$512,MATCH('Calculations'!ID229,'Calculations'!$HE$13:$HE$512,0)),""))))</x:f>
      </x:c>
      <x:c r="IF229" t="str">
        <x:f>IF('Calculations'!IE229="","",IF('Calculations'!IE229="!AMBIG","!AMBIG",IF(COUNTIF('Calculations'!$HE$13:$HE$512,"="&amp;SUBSTITUTE(SUBSTITUTE(SUBSTITUTE('Calculations'!IE229,"~","~~"),"*","~*"),"?","~?"))&gt;1,"!AMBIG",IFERROR(INDEX('Calculations'!$HF$13:$HF$512,MATCH('Calculations'!IE229,'Calculations'!$HE$13:$HE$512,0)),""))))</x:f>
      </x:c>
      <x:c r="IG229" t="str">
        <x:f>IF('Calculations'!IF229="","",IF('Calculations'!IF229="!AMBIG","!AMBIG",IF(COUNTIF('Calculations'!$HE$13:$HE$512,"="&amp;SUBSTITUTE(SUBSTITUTE(SUBSTITUTE('Calculations'!IF229,"~","~~"),"*","~*"),"?","~?"))&gt;1,"!AMBIG",IFERROR(INDEX('Calculations'!$HF$13:$HF$512,MATCH('Calculations'!IF229,'Calculations'!$HE$13:$HE$512,0)),""))))</x:f>
      </x:c>
      <x:c r="IH229" t="str">
        <x:f>IF('Calculations'!IG229="","",IF('Calculations'!IG229="!AMBIG","!AMBIG",IF(COUNTIF('Calculations'!$HE$13:$HE$512,"="&amp;SUBSTITUTE(SUBSTITUTE(SUBSTITUTE('Calculations'!IG229,"~","~~"),"*","~*"),"?","~?"))&gt;1,"!AMBIG",IFERROR(INDEX('Calculations'!$HF$13:$HF$512,MATCH('Calculations'!IG229,'Calculations'!$HE$13:$HE$512,0)),""))))</x:f>
      </x:c>
      <x:c r="II229" t="str">
        <x:f>IF('Calculations'!IH229="","",IF('Calculations'!IH229="!AMBIG","!AMBIG",IF(COUNTIF('Calculations'!$HE$13:$HE$512,"="&amp;SUBSTITUTE(SUBSTITUTE(SUBSTITUTE('Calculations'!IH229,"~","~~"),"*","~*"),"?","~?"))&gt;1,"!AMBIG",IFERROR(INDEX('Calculations'!$HF$13:$HF$512,MATCH('Calculations'!IH229,'Calculations'!$HE$13:$HE$512,0)),""))))</x:f>
      </x:c>
      <x:c r="IJ229" t="str">
        <x:f>IF('Calculations'!EM229="","",IF('Calculations'!$EF$2="All",'Calculations'!HM229,IF('Calculations'!HL229=1,"",IFERROR(IF(MATCH('Calculations'!$EF$2,'Calculations'!HO229:II229,0)=1,'Calculations'!HE229,INDEX('Calculations'!HO229:II229,1,MATCH('Calculations'!$EF$2,'Calculations'!HO229:II229,0)-1)),""))))</x:f>
      </x:c>
      <x:c r="IK229" t="n">
        <x:f>IF(AND('Calculations'!EM229&lt;&gt;"",'Calculations'!$EF$2&lt;&gt;"All",'Calculations'!HF229='Calculations'!$EF$2,'Calculations'!HL229=0,'Calculations'!JD229&gt;0),MAX('Calculations'!$IK$12:IK228)+1,0)</x:f>
        <x:v>0</x:v>
      </x:c>
      <x:c r="JA229" t="n">
        <x:f>IF(OR(IFERROR(INDIRECT("'WCM Calibration Final'!$A$229")&lt;&gt;"",FALSE),IFERROR(INDIRECT("'WCM Calibration Final'!$B$229")&lt;&gt;"",FALSE),IFERROR(INDIRECT("'WCM Calibration Final'!$C$229")&lt;&gt;"",FALSE)),229,0)</x:f>
        <x:v>0</x:v>
      </x:c>
      <x:c r="JB229" t="n">
        <x:f>'Calculations'!JB228+IF('Calculations'!JA229&gt;0,1,0)</x:f>
        <x:v>0</x:v>
      </x:c>
      <x:c r="JC229" t="n">
        <x:f>IF(OR('Calculations'!HF229="",'Calculations'!HF229="!AMBIG"),0,IF('Dashboard'!$B$7="All",1,COUNTIFS('Calculations'!$HO$13:$HO$512,"="&amp;SUBSTITUTE(SUBSTITUTE(SUBSTITUTE('Calculations'!HF229,"~","~~"),"*","~*"),"?","~?"),'Calculations'!$HN$13:$HN$512,"="&amp;SUBSTITUTE(SUBSTITUTE(SUBSTITUTE('Dashboard'!$B$7,"~","~~"),"*","~*"),"?","~?"))+COUNTIFS('Calculations'!$HP$13:$HP$512,"="&amp;SUBSTITUTE(SUBSTITUTE(SUBSTITUTE('Calculations'!HF229,"~","~~"),"*","~*"),"?","~?"),'Calculations'!$HN$13:$HN$512,"="&amp;SUBSTITUTE(SUBSTITUTE(SUBSTITUTE('Dashboard'!$B$7,"~","~~"),"*","~*"),"?","~?"))+COUNTIFS('Calculations'!$HQ$13:$HQ$512,"="&amp;SUBSTITUTE(SUBSTITUTE(SUBSTITUTE('Calculations'!HF229,"~","~~"),"*","~*"),"?","~?"),'Calculations'!$HN$13:$HN$512,"="&amp;SUBSTITUTE(SUBSTITUTE(SUBSTITUTE('Dashboard'!$B$7,"~","~~"),"*","~*"),"?","~?"))+COUNTIFS('Calculations'!$HR$13:$HR$512,"="&amp;SUBSTITUTE(SUBSTITUTE(SUBSTITUTE('Calculations'!HF229,"~","~~"),"*","~*"),"?","~?"),'Calculations'!$HN$13:$HN$512,"="&amp;SUBSTITUTE(SUBSTITUTE(SUBSTITUTE('Dashboard'!$B$7,"~","~~"),"*","~*"),"?","~?"))+COUNTIFS('Calculations'!$HS$13:$HS$512,"="&amp;SUBSTITUTE(SUBSTITUTE(SUBSTITUTE('Calculations'!HF229,"~","~~"),"*","~*"),"?","~?"),'Calculations'!$HN$13:$HN$512,"="&amp;SUBSTITUTE(SUBSTITUTE(SUBSTITUTE('Dashboard'!$B$7,"~","~~"),"*","~*"),"?","~?"))+COUNTIFS('Calculations'!$HT$13:$HT$512,"="&amp;SUBSTITUTE(SUBSTITUTE(SUBSTITUTE('Calculations'!HF229,"~","~~"),"*","~*"),"?","~?"),'Calculations'!$HN$13:$HN$512,"="&amp;SUBSTITUTE(SUBSTITUTE(SUBSTITUTE('Dashboard'!$B$7,"~","~~"),"*","~*"),"?","~?"))+COUNTIFS('Calculations'!$HU$13:$HU$512,"="&amp;SUBSTITUTE(SUBSTITUTE(SUBSTITUTE('Calculations'!HF229,"~","~~"),"*","~*"),"?","~?"),'Calculations'!$HN$13:$HN$512,"="&amp;SUBSTITUTE(SUBSTITUTE(SUBSTITUTE('Dashboard'!$B$7,"~","~~"),"*","~*"),"?","~?"))+COUNTIFS('Calculations'!$HV$13:$HV$512,"="&amp;SUBSTITUTE(SUBSTITUTE(SUBSTITUTE('Calculations'!HF229,"~","~~"),"*","~*"),"?","~?"),'Calculations'!$HN$13:$HN$512,"="&amp;SUBSTITUTE(SUBSTITUTE(SUBSTITUTE('Dashboard'!$B$7,"~","~~"),"*","~*"),"?","~?"))+COUNTIFS('Calculations'!$HW$13:$HW$512,"="&amp;SUBSTITUTE(SUBSTITUTE(SUBSTITUTE('Calculations'!HF229,"~","~~"),"*","~*"),"?","~?"),'Calculations'!$HN$13:$HN$512,"="&amp;SUBSTITUTE(SUBSTITUTE(SUBSTITUTE('Dashboard'!$B$7,"~","~~"),"*","~*"),"?","~?"))+COUNTIFS('Calculations'!$HX$13:$HX$512,"="&amp;SUBSTITUTE(SUBSTITUTE(SUBSTITUTE('Calculations'!HF229,"~","~~"),"*","~*"),"?","~?"),'Calculations'!$HN$13:$HN$512,"="&amp;SUBSTITUTE(SUBSTITUTE(SUBSTITUTE('Dashboard'!$B$7,"~","~~"),"*","~*"),"?","~?"))+COUNTIFS('Calculations'!$HY$13:$HY$512,"="&amp;SUBSTITUTE(SUBSTITUTE(SUBSTITUTE('Calculations'!HF229,"~","~~"),"*","~*"),"?","~?"),'Calculations'!$HN$13:$HN$512,"="&amp;SUBSTITUTE(SUBSTITUTE(SUBSTITUTE('Dashboard'!$B$7,"~","~~"),"*","~*"),"?","~?"))+COUNTIFS('Calculations'!$HZ$13:$HZ$512,"="&amp;SUBSTITUTE(SUBSTITUTE(SUBSTITUTE('Calculations'!HF229,"~","~~"),"*","~*"),"?","~?"),'Calculations'!$HN$13:$HN$512,"="&amp;SUBSTITUTE(SUBSTITUTE(SUBSTITUTE('Dashboard'!$B$7,"~","~~"),"*","~*"),"?","~?"))+COUNTIFS('Calculations'!$IA$13:$IA$512,"="&amp;SUBSTITUTE(SUBSTITUTE(SUBSTITUTE('Calculations'!HF229,"~","~~"),"*","~*"),"?","~?"),'Calculations'!$HN$13:$HN$512,"="&amp;SUBSTITUTE(SUBSTITUTE(SUBSTITUTE('Dashboard'!$B$7,"~","~~"),"*","~*"),"?","~?"))+COUNTIFS('Calculations'!$IB$13:$IB$512,"="&amp;SUBSTITUTE(SUBSTITUTE(SUBSTITUTE('Calculations'!HF229,"~","~~"),"*","~*"),"?","~?"),'Calculations'!$HN$13:$HN$512,"="&amp;SUBSTITUTE(SUBSTITUTE(SUBSTITUTE('Dashboard'!$B$7,"~","~~"),"*","~*"),"?","~?"))+COUNTIFS('Calculations'!$IC$13:$IC$512,"="&amp;SUBSTITUTE(SUBSTITUTE(SUBSTITUTE('Calculations'!HF229,"~","~~"),"*","~*"),"?","~?"),'Calculations'!$HN$13:$HN$512,"="&amp;SUBSTITUTE(SUBSTITUTE(SUBSTITUTE('Dashboard'!$B$7,"~","~~"),"*","~*"),"?","~?"))+COUNTIFS('Calculations'!$ID$13:$ID$512,"="&amp;SUBSTITUTE(SUBSTITUTE(SUBSTITUTE('Calculations'!HF229,"~","~~"),"*","~*"),"?","~?"),'Calculations'!$HN$13:$HN$512,"="&amp;SUBSTITUTE(SUBSTITUTE(SUBSTITUTE('Dashboard'!$B$7,"~","~~"),"*","~*"),"?","~?"))+COUNTIFS('Calculations'!$IE$13:$IE$512,"="&amp;SUBSTITUTE(SUBSTITUTE(SUBSTITUTE('Calculations'!HF229,"~","~~"),"*","~*"),"?","~?"),'Calculations'!$HN$13:$HN$512,"="&amp;SUBSTITUTE(SUBSTITUTE(SUBSTITUTE('Dashboard'!$B$7,"~","~~"),"*","~*"),"?","~?"))+COUNTIFS('Calculations'!$IF$13:$IF$512,"="&amp;SUBSTITUTE(SUBSTITUTE(SUBSTITUTE('Calculations'!HF229,"~","~~"),"*","~*"),"?","~?"),'Calculations'!$HN$13:$HN$512,"="&amp;SUBSTITUTE(SUBSTITUTE(SUBSTITUTE('Dashboard'!$B$7,"~","~~"),"*","~*"),"?","~?"))+COUNTIFS('Calculations'!$IG$13:$IG$512,"="&amp;SUBSTITUTE(SUBSTITUTE(SUBSTITUTE('Calculations'!HF229,"~","~~"),"*","~*"),"?","~?"),'Calculations'!$HN$13:$HN$512,"="&amp;SUBSTITUTE(SUBSTITUTE(SUBSTITUTE('Dashboard'!$B$7,"~","~~"),"*","~*"),"?","~?"))+COUNTIFS('Calculations'!$IH$13:$IH$512,"="&amp;SUBSTITUTE(SUBSTITUTE(SUBSTITUTE('Calculations'!HF229,"~","~~"),"*","~*"),"?","~?"),'Calculations'!$HN$13:$HN$512,"="&amp;SUBSTITUTE(SUBSTITUTE(SUBSTITUTE('Dashboard'!$B$7,"~","~~"),"*","~*"),"?","~?"))))</x:f>
        <x:v>0</x:v>
      </x:c>
      <x:c r="JD229" t="n">
        <x:f>IF('Calculations'!EM229="",0,IF('Dashboard'!$B$7="All",1,IF('Calculations'!HN229='Dashboard'!$B$7,1,0)+IFERROR(INDEX('Calculations'!$JC$13:$JC$512,MATCH('Calculations'!HE229,'Calculations'!$HF$13:$HF$512,0)),0)))</x:f>
        <x:v>0</x:v>
      </x:c>
      <x:c r="JE229" t="n">
        <x:f>IF(AND('Calculations'!EM229&lt;&gt;"",'Calculations'!$JJ$2&lt;&gt;"All",'Calculations'!$JJ$2&lt;&gt;"",'Calculations'!HF229='Calculations'!$JJ$2,'Calculations'!HL229=0,'Calculations'!JD229&gt;0),MAX('Calculations'!$JE$12:JE228)+1,0)</x:f>
        <x:v>0</x:v>
      </x:c>
      <x:c r="JF229" t="str">
        <x:f>IF('Calculations'!EM229="","",IFERROR(IF(INDEX(INDIRECT("'WCM Calibration Final'!$G$1:$G$2000"),'Calculations'!$EM229)="","",TRIM(INDEX(INDIRECT("'WCM Calibration Final'!$G$1:$G$2000"),'Calculations'!$EM229)&amp;"")),""))</x:f>
      </x:c>
      <x:c r="JQ229" t="n">
        <x:f>IF(OR('Calculations'!BM229=0,NOT('Calculations'!$AG$2),'Calculations'!$AG$8&gt;0),0,IF(OR('Dashboard'!$B$7="All",'Calculations'!HN229='Dashboard'!$B$7),IF('Calculations'!$JJ$2="All",1,IF(AND('Calculations'!HF229='Calculations'!$JJ$2,'Calculations'!HL229=0),1,0)),0))</x:f>
        <x:v>0</x:v>
      </x:c>
    </x:row>
    <x:row r="230">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t="n">
        <x:f>IF('Calculations'!$EM230="",0,IF(OR(IFERROR(INDEX(INDIRECT("'WCM Calibration Final'!$A$1:$A$2000"),'Calculations'!$EM230)&lt;&gt;"",FALSE),IFERROR(INDEX(INDIRECT("'WCM Calibration Final'!$B$1:$B$2000"),'Calculations'!$EM230)&lt;&gt;"",FALSE),IFERROR(INDEX(INDIRECT("'WCM Calibration Final'!$C$1:$C$2000"),'Calculations'!$EM230)&lt;&gt;"",FALSE)),1,0))</x:f>
        <x:v>0</x:v>
      </x:c>
      <x:c r="BN230" s="4" t="n">
        <x:f>IF(AND('Calculations'!BM230=1,'Calculations'!$AG$2,'Calculations'!$EN230=1),1,0)</x:f>
        <x:v>0</x:v>
      </x:c>
      <x:c r="BO230" s="4" t="str">
        <x:f>IF('Calculations'!BM230=0,"",IFERROR(IF(AND(VALUE(INDEX(INDIRECT("'WCM Calibration Final'!$K$1:$K$2000"),'Calculations'!$EM230))&gt;=1,VALUE(INDEX(INDIRECT("'WCM Calibration Final'!$K$1:$K$2000"),'Calculations'!$EM230))&lt;=4,MOD(VALUE(INDEX(INDIRECT("'WCM Calibration Final'!$K$1:$K$2000"),'Calculations'!$EM230)),1)=0),VALUE(INDEX(INDIRECT("'WCM Calibration Final'!$K$1:$K$2000"),'Calculations'!$EM230)),""),""))</x:f>
      </x:c>
      <x:c r="BP230" s="4" t="str">
        <x:f>IF('Calculations'!BM230=0,"",IFERROR(IF(AND(VALUE(INDEX(INDIRECT("'WCM Calibration Final'!$L$1:$L$2000"),'Calculations'!$EM230))&gt;=1,VALUE(INDEX(INDIRECT("'WCM Calibration Final'!$L$1:$L$2000"),'Calculations'!$EM230))&lt;=4,MOD(VALUE(INDEX(INDIRECT("'WCM Calibration Final'!$L$1:$L$2000"),'Calculations'!$EM230)),1)=0),VALUE(INDEX(INDIRECT("'WCM Calibration Final'!$L$1:$L$2000"),'Calculations'!$EM230)),""),""))</x:f>
      </x:c>
      <x:c r="BQ230" s="4"/>
      <x:c r="BR230" s="4"/>
      <x:c r="BS230" s="4"/>
      <x:c r="BT230" s="4" t="n">
        <x:f>IF(AND('Calculations'!BM230=1,ISNUMBER('Calculations'!BO230),ISNUMBER('Calculations'!BP230)),1,0)</x:f>
        <x:v>0</x:v>
      </x:c>
      <x:c r="BU230" s="4" t="str">
        <x:f>IF('Calculations'!BM230=0,"",'Calculations'!$EO230)</x:f>
      </x:c>
      <x:c r="BV230" s="4" t="str">
        <x:f>IF('Calculations'!BM230=0,"",IFERROR(IF(OR(INDEX(INDIRECT("'WCM Calibration Final'!$H$1:$H$2000"),'Calculations'!$EM230)="MANAGING DIRECTOR",INDEX(INDIRECT("'WCM Calibration Final'!$H$1:$H$2000"),'Calculations'!$EM230)="DIRECTOR",INDEX(INDIRECT("'WCM Calibration Final'!$H$1:$H$2000"),'Calculations'!$EM230)="SENIOR VICE PRESIDENT",INDEX(INDIRECT("'WCM Calibration Final'!$H$1:$H$2000"),'Calculations'!$EM230)="VICE PRESIDENT",INDEX(INDIRECT("'WCM Calibration Final'!$H$1:$H$2000"),'Calculations'!$EM230)="ASSISTANT VICE PRESIDENT",INDEX(INDIRECT("'WCM Calibration Final'!$H$1:$H$2000"),'Calculations'!$EM230)="OFFICER"),UPPER(INDEX(INDIRECT("'WCM Calibration Final'!$H$1:$H$2000"),'Calculations'!$EM230)),"Other"),"Other"))</x:f>
      </x:c>
      <x:c r="BW230" s="4"/>
      <x:c r="BX230" s="4"/>
      <x:c r="BY230" s="4" t="n">
        <x:f>IF(AND('Calculations'!BM230=1,'Calculations'!BU230&lt;&gt;"",COUNTIF('Calculations'!$BU$12:BU230,'Calculations'!BU230)=1),MAX('Calculations'!$BY$11:BY229)+1,0)</x:f>
        <x:v>0</x:v>
      </x:c>
      <x:c r="BZ230" s="4" t="str">
        <x:f>IF('Dashboard'!$E$67="What",'Calculations'!BO230,'Calculations'!BP230)</x:f>
      </x:c>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t="str">
        <x:f>IF(219&gt;MAX('Calculations'!$HI$13:$HI$512),"",INDEX('Calculations'!$HN$13:$HN$512,MATCH(219,'Calculations'!$HI$13:$HI$512,0)))</x:f>
      </x:c>
      <x:c r="DB230" s="4" t="str">
        <x:f>IF(219&gt;MAX('Calculations'!$HH$13:$HH$512),"",INDEX('Calculations'!$HJ$13:$HJ$512,MATCH(219,'Calculations'!$HH$13:$HH$512,0)))</x:f>
      </x:c>
      <x:c r="DC230" s="4" t="str">
        <x:f>IF(ROW()-11&gt;MAX('Calculations'!$BY$13:$BY$512),"",INDEX('Calculations'!$BU$13:$BU$512,MATCH(ROW()-11,'Calculations'!$BY$13:$BY$512,0)))</x:f>
      </x:c>
      <x:c r="DD230" s="4" t="str">
        <x:f>IF(219&gt;MAX('Calculations'!$IK$13:$IK$512),"",INDEX('Calculations'!$HK$13:$HK$512,MATCH(219,'Calculations'!$IK$13:$IK$512,0)))</x:f>
      </x:c>
      <x:c r="DE230" s="4" t="str">
        <x:f>'Calculations'!DC230</x:f>
      </x:c>
      <x:c r="DF230" s="4" t="str">
        <x:f>IF('Calculations'!DE230="","",COUNTIFS('Calculations'!$BN$13:$BN$512,1,'Calculations'!$BU$13:$BU$512,'Calculations'!DE230))</x:f>
      </x:c>
      <x:c r="DG230" s="4" t="str">
        <x:f>IF('Calculations'!DE230="","",COUNTIFS('Calculations'!$BN$13:$BN$512,1,'Calculations'!$BU$13:$BU$512,'Calculations'!DE230,'Calculations'!$BT$13:$BT$512,1))</x:f>
      </x:c>
      <x:c r="DH230" s="4" t="str">
        <x:f>IF('Calculations'!DE230="","",'Calculations'!DF230-'Calculations'!DG230)</x:f>
      </x:c>
      <x:c r="DI230" s="4" t="str">
        <x:f>IF(OR('Calculations'!DE230="",'Calculations'!DF230=0),"",'Calculations'!DG230/'Calculations'!DF230)</x:f>
      </x:c>
      <x:c r="DJ230" s="4" t="str">
        <x:f>IF('Calculations'!DE230="","",COUNTIFS('Calculations'!$BN$13:$BN$512,1,'Calculations'!$BU$13:$BU$512,'Calculations'!DE230,'Calculations'!$BT$13:$BT$512,1,'Calculations'!$EE$13:$EE$512,"High"))</x:f>
      </x:c>
      <x:c r="DK230" s="4" t="str">
        <x:f>IF('Calculations'!DE230="","",COUNTIFS('Calculations'!$BN$13:$BN$512,1,'Calculations'!$BU$13:$BU$512,'Calculations'!DE230,'Calculations'!$BT$13:$BT$512,1,'Calculations'!$EE$13:$EE$512,"Strong"))</x:f>
      </x:c>
      <x:c r="DL230" s="4" t="str">
        <x:f>IF('Calculations'!DE230="","",COUNTIFS('Calculations'!$BN$13:$BN$512,1,'Calculations'!$BU$13:$BU$512,'Calculations'!DE230,'Calculations'!$BT$13:$BT$512,1,'Calculations'!$EE$13:$EE$512,"Solid"))</x:f>
      </x:c>
      <x:c r="DM230" s="4" t="str">
        <x:f>IF('Calculations'!DE230="","",COUNTIFS('Calculations'!$BN$13:$BN$512,1,'Calculations'!$BU$13:$BU$512,'Calculations'!DE230,'Calculations'!$BT$13:$BT$512,1,'Calculations'!$EE$13:$EE$512,"Low"))</x:f>
      </x:c>
      <x:c r="DN230" s="4" t="str">
        <x:f>IF('Calculations'!DE230="","",COUNTIFS('Calculations'!$BN$13:$BN$512,1,'Calculations'!$BU$13:$BU$512,'Calculations'!DE230,'Calculations'!$EP$13:$EP$512,1))</x:f>
      </x:c>
      <x:c r="DO230" s="4" t="str">
        <x:f>IF(OR('Calculations'!DE230="",'Calculations'!DG230=0),"",('Calculations'!DJ230+'Calculations'!DK230)/'Calculations'!DG230)</x:f>
      </x:c>
      <x:c r="DP230" s="4" t="n">
        <x:f>IF(AND('Calculations'!DE230&lt;&gt;"",'Calculations'!DF230&gt;0),COUNTIF('Calculations'!$DF$12:DF230,"&gt;0"),0)</x:f>
        <x:v>0</x:v>
      </x:c>
      <x:c r="DQ230" s="4" t="str">
        <x:f>IF(219&gt;MAX('Calculations'!$HH$13:$HH$512),"",INDEX('Calculations'!$HF$13:$HF$512,MATCH(219,'Calculations'!$HH$13:$HH$512,0)))</x:f>
      </x:c>
      <x:c r="DR230" s="4" t="str">
        <x:f>IF(219&gt;MAX('Calculations'!$IK$13:$IK$512),"",INDEX('Calculations'!$HE$13:$HE$512,MATCH(219,'Calculations'!$IK$13:$IK$512,0)))</x:f>
      </x:c>
      <x:c r="DS230" s="4"/>
      <x:c r="DT230" s="4"/>
      <x:c r="DU230" s="4"/>
      <x:c r="DV230" s="4"/>
      <x:c r="DW230" s="4"/>
      <x:c r="DX230" s="4"/>
      <x:c r="DY230" s="4"/>
      <x:c r="DZ230" s="4"/>
      <x:c r="EA230" s="4"/>
      <x:c r="EB230" s="4"/>
      <x:c r="EC230" s="4"/>
      <x:c r="ED230" s="4"/>
      <x:c r="EE230" s="4" t="str">
        <x:f>IF('Calculations'!BT230=0,"Not Rated",IF(OR('Calculations'!BO230&gt;=4,'Calculations'!BP230&gt;=4),"Low",IF('Calculations'!BO230+'Calculations'!BP230&lt;=3,"High",IF('Calculations'!BO230+'Calculations'!BP230&lt;=4,"Strong","Solid"))))</x:f>
        <x:v>Not Rated</x:v>
      </x:c>
      <x:c r="EF230" s="4"/>
      <x:c r="EG230" s="4"/>
      <x:c r="EH230" s="4"/>
      <x:c r="EI230" s="4"/>
      <x:c r="EJ230" s="4"/>
      <x:c r="EK230" s="4"/>
      <x:c r="EL230" s="4"/>
      <x:c r="EM230" s="4" t="str">
        <x:f>IF(218&gt;'Calculations'!$JB$2000,"",INDEX('Calculations'!$JA$12:$JA$2000,MATCH(218,'Calculations'!$JB$12:$JB$2000,0)))</x:f>
      </x:c>
      <x:c r="EN230" s="4" t="n">
        <x:f>IF(OR('Calculations'!EM230="",'Calculations'!$AG$8&gt;0,AND('Calculations'!$EF$2&lt;&gt;"All",'Calculations'!HE230='Calculations'!$EF$2),AND('Calculations'!$EF$3&lt;&gt;"All",'Calculations'!HE230='Calculations'!$EF$3)),0,IF(OR('Dashboard'!$B$7="All",'Calculations'!HN230='Dashboard'!$B$7),IF('Calculations'!$EF$2="All",1,IF('Calculations'!HL230&gt;0,0,IF(COUNTIF('Calculations'!HO230:II230,"="&amp;SUBSTITUTE(SUBSTITUTE(SUBSTITUTE('Calculations'!$EF$2,"~","~~"),"*","~*"),"?","~?"))=0,0,IF('Calculations'!$EF$3="All",1,IF(COUNTIF('Calculations'!HO230:II230,"="&amp;SUBSTITUTE(SUBSTITUTE(SUBSTITUTE('Calculations'!$EF$3,"~","~~"),"*","~*"),"?","~?"))&gt;0,1,0))))),0))</x:f>
        <x:v>0</x:v>
      </x:c>
      <x:c r="EO230" s="4" t="str">
        <x:f>IF('Calculations'!IJ230="","",IF('Calculations'!IJ230="!UNRESOLVED","Unresolved hierarchy",IFERROR(INDEX('Calculations'!$HK$13:$HK$512,MATCH('Calculations'!IJ230,'Calculations'!$HE$13:$HE$512,0)),IFERROR(INDEX('Calculations'!$HJ$13:$HJ$512,MATCH('Calculations'!IJ230,'Calculations'!$HF$13:$HF$512,0)),'Calculations'!IJ230))))</x:f>
      </x:c>
      <x:c r="EP230" s="4" t="n">
        <x:f>IF(AND('Calculations'!EM230&lt;&gt;"",'Calculations'!HF230='Calculations'!IJ230),1,0)</x:f>
        <x:v>0</x:v>
      </x:c>
      <x:c r="EQ230" s="4"/>
      <x:c r="ER230" s="4"/>
      <x:c r="ES230" s="4"/>
      <x:c r="ET230" s="4"/>
      <x:c r="EU230" s="4"/>
      <x:c r="EV230" s="4"/>
      <x:c r="EW230" s="4"/>
      <x:c r="EX230" s="4"/>
      <x:c r="EY230" s="4"/>
      <x:c r="EZ230" s="4"/>
      <x:c r="FA230" s="4"/>
      <x:c r="FB230" s="4"/>
      <x:c r="FC230" s="4"/>
      <x:c r="FD230" s="4"/>
      <x:c r="FE230" s="4"/>
      <x:c r="FF230" s="4"/>
      <x:c r="FG230" s="4"/>
      <x:c r="FH230" s="4"/>
      <x:c r="FI230" s="4"/>
      <x:c r="FJ230" s="4"/>
      <x:c r="FK230" s="4"/>
      <x:c r="FL230" s="4"/>
      <x:c r="FM230" s="4"/>
      <x:c r="FN230" s="4"/>
      <x:c r="FO230" s="4"/>
      <x:c r="HE230" t="str">
        <x:f>IF('Calculations'!EM230="","",IF(IFERROR(IF(INDEX(INDIRECT("'WCM Calibration Final'!$A$1:$A$2000"),'Calculations'!$EM230)="","",TRIM(INDEX(INDIRECT("'WCM Calibration Final'!$A$1:$A$2000"),'Calculations'!$EM230)&amp;"")),"")&lt;&gt;"","G:"&amp;IFERROR(TEXT(1*INDEX(INDIRECT("'WCM Calibration Final'!$A$1:$A$2000"),'Calculations'!$EM230),"0"),UPPER(IFERROR(IF(INDEX(INDIRECT("'WCM Calibration Final'!$A$1:$A$2000"),'Calculations'!$EM230)="","",TRIM(INDEX(INDIRECT("'WCM Calibration Final'!$A$1:$A$2000"),'Calculations'!$EM230)&amp;"")),""))),IF(IFERROR(IF(INDEX(INDIRECT("'WCM Calibration Final'!$C$1:$C$2000"),'Calculations'!$EM230)="","",TRIM(INDEX(INDIRECT("'WCM Calibration Final'!$C$1:$C$2000"),'Calculations'!$EM230)&amp;"")),"")&lt;&gt;"","S:"&amp;UPPER(IFERROR(IF(INDEX(INDIRECT("'WCM Calibration Final'!$C$1:$C$2000"),'Calculations'!$EM230)="","",TRIM(INDEX(INDIRECT("'WCM Calibration Final'!$C$1:$C$2000"),'Calculations'!$EM230)&amp;"")),"")),"R:"&amp;'Calculations'!EM230)))</x:f>
      </x:c>
      <x:c r="HF230" t="str">
        <x:f>IF('Calculations'!EM230="","",IF(IFERROR(IF(INDEX(INDIRECT("'WCM Calibration Final'!$D$1:$D$2000"),'Calculations'!$EM230)="","",TRIM(INDEX(INDIRECT("'WCM Calibration Final'!$D$1:$D$2000"),'Calculations'!$EM230)&amp;"")),"")&lt;&gt;"","G:"&amp;IFERROR(TEXT(1*INDEX(INDIRECT("'WCM Calibration Final'!$D$1:$D$2000"),'Calculations'!$EM230),"0"),UPPER(IFERROR(IF(INDEX(INDIRECT("'WCM Calibration Final'!$D$1:$D$2000"),'Calculations'!$EM230)="","",TRIM(INDEX(INDIRECT("'WCM Calibration Final'!$D$1:$D$2000"),'Calculations'!$EM230)&amp;"")),""))),IF(IFERROR(IF(INDEX(INDIRECT("'WCM Calibration Final'!$E$1:$E$2000"),'Calculations'!$EM230)="","",TRIM(INDEX(INDIRECT("'WCM Calibration Final'!$E$1:$E$2000"),'Calculations'!$EM230)&amp;"")),"")="","",IF(COUNTIF('Calculations'!$HG$13:$HG$512,"="&amp;SUBSTITUTE(SUBSTITUTE(SUBSTITUTE(IFERROR(IF(INDEX(INDIRECT("'WCM Calibration Final'!$E$1:$E$2000"),'Calculations'!$EM230)="","",TRIM(INDEX(INDIRECT("'WCM Calibration Final'!$E$1:$E$2000"),'Calculations'!$EM230)&amp;"")),""),"~","~~"),"*","~*"),"?","~?"))=1,INDEX('Calculations'!$HE$13:$HE$512,MATCH(IFERROR(IF(INDEX(INDIRECT("'WCM Calibration Final'!$E$1:$E$2000"),'Calculations'!$EM230)="","",TRIM(INDEX(INDIRECT("'WCM Calibration Final'!$E$1:$E$2000"),'Calculations'!$EM230)&amp;"")),""),'Calculations'!$HG$13:$HG$512,0)),IF(COUNTIF('Calculations'!$HG$13:$HG$512,"="&amp;SUBSTITUTE(SUBSTITUTE(SUBSTITUTE(IFERROR(IF(INDEX(INDIRECT("'WCM Calibration Final'!$E$1:$E$2000"),'Calculations'!$EM230)="","",TRIM(INDEX(INDIRECT("'WCM Calibration Final'!$E$1:$E$2000"),'Calculations'!$EM230)&amp;"")),""),"~","~~"),"*","~*"),"?","~?"))&gt;1,"!AMBIG","X:"&amp;IFERROR(IF(INDEX(INDIRECT("'WCM Calibration Final'!$E$1:$E$2000"),'Calculations'!$EM230)="","",TRIM(INDEX(INDIRECT("'WCM Calibration Final'!$E$1:$E$2000"),'Calculations'!$EM230)&amp;"")),""))))))</x:f>
      </x:c>
      <x:c r="HG230" t="str">
        <x:f>IF('Calculations'!EM230="","",IFERROR(IF(INDEX(INDIRECT("'WCM Calibration Final'!$B$1:$B$2000"),'Calculations'!$EM230)="","",TRIM(INDEX(INDIRECT("'WCM Calibration Final'!$B$1:$B$2000"),'Calculations'!$EM230)&amp;"")),""))</x:f>
      </x:c>
      <x:c r="HH230" t="n">
        <x:f>IF(AND('Calculations'!JC230&gt;0,COUNTIF('Calculations'!$HF$12:HF230,"="&amp;SUBSTITUTE(SUBSTITUTE(SUBSTITUTE('Calculations'!HF230,"~","~~"),"*","~*"),"?","~?"))=1),MAX('Calculations'!$HH$12:HH229)+1,0)</x:f>
        <x:v>0</x:v>
      </x:c>
      <x:c r="HI230" t="n">
        <x:f>IF(AND('Calculations'!HN230&lt;&gt;"",COUNTIF('Calculations'!$HN$12:HN230,"="&amp;SUBSTITUTE(SUBSTITUTE(SUBSTITUTE('Calculations'!HN230,"~","~~"),"*","~*"),"?","~?"))=1),MAX('Calculations'!$HI$12:HI229)+1,0)</x:f>
        <x:v>0</x:v>
      </x:c>
      <x:c r="HJ230" t="str">
        <x:f>IF('Calculations'!HF230="","",IF(COUNTIF('Calculations'!$HE$13:$HE$512,"="&amp;SUBSTITUTE(SUBSTITUTE(SUBSTITUTE('Calculations'!HF230,"~","~~"),"*","~*"),"?","~?"))=1,INDEX('Calculations'!$HK$13:$HK$512,MATCH('Calculations'!HF230,'Calculations'!$HE$13:$HE$512,0)),IFERROR(IF(INDEX(INDIRECT("'WCM Calibration Final'!$E$1:$E$2000"),'Calculations'!$EM230)="","",TRIM(INDEX(INDIRECT("'WCM Calibration Final'!$E$1:$E$2000"),'Calculations'!$EM230)&amp;"")),"")&amp;" ["&amp;'Calculations'!HF230&amp;"]"))</x:f>
      </x:c>
      <x:c r="HK230" t="str">
        <x:f>IF('Calculations'!EM230="","",'Calculations'!HG230&amp;" ["&amp;'Calculations'!HE230&amp;"]")</x:f>
      </x:c>
      <x:c r="HL230" t="n">
        <x:f>IF('Calculations'!EM230="",0,IF(OR('Calculations'!II230&lt;&gt;"",COUNTIF('Calculations'!$HE$13:$HE$512,"="&amp;SUBSTITUTE(SUBSTITUTE(SUBSTITUTE('Calculations'!HE230,"~","~~"),"*","~*"),"?","~?"))&gt;1),1,0))</x:f>
        <x:v>0</x:v>
      </x:c>
      <x:c r="HM230" t="str">
        <x:f>IF('Calculations'!EM230="","",IF('Calculations'!HL230=1,"!UNRESOLVED",IF('Calculations'!IH230&lt;&gt;"",'Calculations'!IH230,IF('Calculations'!IG230&lt;&gt;"",'Calculations'!IG230,IF('Calculations'!IF230&lt;&gt;"",'Calculations'!IF230,IF('Calculations'!IE230&lt;&gt;"",'Calculations'!IE230,IF('Calculations'!ID230&lt;&gt;"",'Calculations'!ID230,IF('Calculations'!IC230&lt;&gt;"",'Calculations'!IC230,IF('Calculations'!IB230&lt;&gt;"",'Calculations'!IB230,IF('Calculations'!IA230&lt;&gt;"",'Calculations'!IA230,IF('Calculations'!HZ230&lt;&gt;"",'Calculations'!HZ230,IF('Calculations'!HY230&lt;&gt;"",'Calculations'!HY230,IF('Calculations'!HX230&lt;&gt;"",'Calculations'!HX230,IF('Calculations'!HW230&lt;&gt;"",'Calculations'!HW230,IF('Calculations'!HV230&lt;&gt;"",'Calculations'!HV230,IF('Calculations'!HU230&lt;&gt;"",'Calculations'!HU230,IF('Calculations'!HT230&lt;&gt;"",'Calculations'!HT230,IF('Calculations'!HS230&lt;&gt;"",'Calculations'!HS230,IF('Calculations'!HR230&lt;&gt;"",'Calculations'!HR230,IF('Calculations'!HQ230&lt;&gt;"",'Calculations'!HQ230,IF('Calculations'!HP230&lt;&gt;"",'Calculations'!HP230,IF('Calculations'!HO230&lt;&gt;"",'Calculations'!HO230,'Calculations'!HE230))))))))))))))))))))))</x:f>
      </x:c>
      <x:c r="HN230" t="str">
        <x:f>IF('Calculations'!EM230="","",IF(IFERROR(IF(INDEX(INDIRECT("'WCM Calibration Final'!$F$1:$F$2000"),'Calculations'!$EM230)="","",TRIM(INDEX(INDIRECT("'WCM Calibration Final'!$F$1:$F$2000"),'Calculations'!$EM230)&amp;"")),"")="","(Blank)",IFERROR(IF(INDEX(INDIRECT("'WCM Calibration Final'!$F$1:$F$2000"),'Calculations'!$EM230)="","",TRIM(INDEX(INDIRECT("'WCM Calibration Final'!$F$1:$F$2000"),'Calculations'!$EM230)&amp;"")),"")))</x:f>
      </x:c>
      <x:c r="HO230" t="str">
        <x:f>'Calculations'!HF230</x:f>
      </x:c>
      <x:c r="HP230" t="str">
        <x:f>IF('Calculations'!HO230="","",IF('Calculations'!HO230="!AMBIG","!AMBIG",IF(COUNTIF('Calculations'!$HE$13:$HE$512,"="&amp;SUBSTITUTE(SUBSTITUTE(SUBSTITUTE('Calculations'!HO230,"~","~~"),"*","~*"),"?","~?"))&gt;1,"!AMBIG",IFERROR(INDEX('Calculations'!$HF$13:$HF$512,MATCH('Calculations'!HO230,'Calculations'!$HE$13:$HE$512,0)),""))))</x:f>
      </x:c>
      <x:c r="HQ230" t="str">
        <x:f>IF('Calculations'!HP230="","",IF('Calculations'!HP230="!AMBIG","!AMBIG",IF(COUNTIF('Calculations'!$HE$13:$HE$512,"="&amp;SUBSTITUTE(SUBSTITUTE(SUBSTITUTE('Calculations'!HP230,"~","~~"),"*","~*"),"?","~?"))&gt;1,"!AMBIG",IFERROR(INDEX('Calculations'!$HF$13:$HF$512,MATCH('Calculations'!HP230,'Calculations'!$HE$13:$HE$512,0)),""))))</x:f>
      </x:c>
      <x:c r="HR230" t="str">
        <x:f>IF('Calculations'!HQ230="","",IF('Calculations'!HQ230="!AMBIG","!AMBIG",IF(COUNTIF('Calculations'!$HE$13:$HE$512,"="&amp;SUBSTITUTE(SUBSTITUTE(SUBSTITUTE('Calculations'!HQ230,"~","~~"),"*","~*"),"?","~?"))&gt;1,"!AMBIG",IFERROR(INDEX('Calculations'!$HF$13:$HF$512,MATCH('Calculations'!HQ230,'Calculations'!$HE$13:$HE$512,0)),""))))</x:f>
      </x:c>
      <x:c r="HS230" t="str">
        <x:f>IF('Calculations'!HR230="","",IF('Calculations'!HR230="!AMBIG","!AMBIG",IF(COUNTIF('Calculations'!$HE$13:$HE$512,"="&amp;SUBSTITUTE(SUBSTITUTE(SUBSTITUTE('Calculations'!HR230,"~","~~"),"*","~*"),"?","~?"))&gt;1,"!AMBIG",IFERROR(INDEX('Calculations'!$HF$13:$HF$512,MATCH('Calculations'!HR230,'Calculations'!$HE$13:$HE$512,0)),""))))</x:f>
      </x:c>
      <x:c r="HT230" t="str">
        <x:f>IF('Calculations'!HS230="","",IF('Calculations'!HS230="!AMBIG","!AMBIG",IF(COUNTIF('Calculations'!$HE$13:$HE$512,"="&amp;SUBSTITUTE(SUBSTITUTE(SUBSTITUTE('Calculations'!HS230,"~","~~"),"*","~*"),"?","~?"))&gt;1,"!AMBIG",IFERROR(INDEX('Calculations'!$HF$13:$HF$512,MATCH('Calculations'!HS230,'Calculations'!$HE$13:$HE$512,0)),""))))</x:f>
      </x:c>
      <x:c r="HU230" t="str">
        <x:f>IF('Calculations'!HT230="","",IF('Calculations'!HT230="!AMBIG","!AMBIG",IF(COUNTIF('Calculations'!$HE$13:$HE$512,"="&amp;SUBSTITUTE(SUBSTITUTE(SUBSTITUTE('Calculations'!HT230,"~","~~"),"*","~*"),"?","~?"))&gt;1,"!AMBIG",IFERROR(INDEX('Calculations'!$HF$13:$HF$512,MATCH('Calculations'!HT230,'Calculations'!$HE$13:$HE$512,0)),""))))</x:f>
      </x:c>
      <x:c r="HV230" t="str">
        <x:f>IF('Calculations'!HU230="","",IF('Calculations'!HU230="!AMBIG","!AMBIG",IF(COUNTIF('Calculations'!$HE$13:$HE$512,"="&amp;SUBSTITUTE(SUBSTITUTE(SUBSTITUTE('Calculations'!HU230,"~","~~"),"*","~*"),"?","~?"))&gt;1,"!AMBIG",IFERROR(INDEX('Calculations'!$HF$13:$HF$512,MATCH('Calculations'!HU230,'Calculations'!$HE$13:$HE$512,0)),""))))</x:f>
      </x:c>
      <x:c r="HW230" t="str">
        <x:f>IF('Calculations'!HV230="","",IF('Calculations'!HV230="!AMBIG","!AMBIG",IF(COUNTIF('Calculations'!$HE$13:$HE$512,"="&amp;SUBSTITUTE(SUBSTITUTE(SUBSTITUTE('Calculations'!HV230,"~","~~"),"*","~*"),"?","~?"))&gt;1,"!AMBIG",IFERROR(INDEX('Calculations'!$HF$13:$HF$512,MATCH('Calculations'!HV230,'Calculations'!$HE$13:$HE$512,0)),""))))</x:f>
      </x:c>
      <x:c r="HX230" t="str">
        <x:f>IF('Calculations'!HW230="","",IF('Calculations'!HW230="!AMBIG","!AMBIG",IF(COUNTIF('Calculations'!$HE$13:$HE$512,"="&amp;SUBSTITUTE(SUBSTITUTE(SUBSTITUTE('Calculations'!HW230,"~","~~"),"*","~*"),"?","~?"))&gt;1,"!AMBIG",IFERROR(INDEX('Calculations'!$HF$13:$HF$512,MATCH('Calculations'!HW230,'Calculations'!$HE$13:$HE$512,0)),""))))</x:f>
      </x:c>
      <x:c r="HY230" t="str">
        <x:f>IF('Calculations'!HX230="","",IF('Calculations'!HX230="!AMBIG","!AMBIG",IF(COUNTIF('Calculations'!$HE$13:$HE$512,"="&amp;SUBSTITUTE(SUBSTITUTE(SUBSTITUTE('Calculations'!HX230,"~","~~"),"*","~*"),"?","~?"))&gt;1,"!AMBIG",IFERROR(INDEX('Calculations'!$HF$13:$HF$512,MATCH('Calculations'!HX230,'Calculations'!$HE$13:$HE$512,0)),""))))</x:f>
      </x:c>
      <x:c r="HZ230" t="str">
        <x:f>IF('Calculations'!HY230="","",IF('Calculations'!HY230="!AMBIG","!AMBIG",IF(COUNTIF('Calculations'!$HE$13:$HE$512,"="&amp;SUBSTITUTE(SUBSTITUTE(SUBSTITUTE('Calculations'!HY230,"~","~~"),"*","~*"),"?","~?"))&gt;1,"!AMBIG",IFERROR(INDEX('Calculations'!$HF$13:$HF$512,MATCH('Calculations'!HY230,'Calculations'!$HE$13:$HE$512,0)),""))))</x:f>
      </x:c>
      <x:c r="IA230" t="str">
        <x:f>IF('Calculations'!HZ230="","",IF('Calculations'!HZ230="!AMBIG","!AMBIG",IF(COUNTIF('Calculations'!$HE$13:$HE$512,"="&amp;SUBSTITUTE(SUBSTITUTE(SUBSTITUTE('Calculations'!HZ230,"~","~~"),"*","~*"),"?","~?"))&gt;1,"!AMBIG",IFERROR(INDEX('Calculations'!$HF$13:$HF$512,MATCH('Calculations'!HZ230,'Calculations'!$HE$13:$HE$512,0)),""))))</x:f>
      </x:c>
      <x:c r="IB230" t="str">
        <x:f>IF('Calculations'!IA230="","",IF('Calculations'!IA230="!AMBIG","!AMBIG",IF(COUNTIF('Calculations'!$HE$13:$HE$512,"="&amp;SUBSTITUTE(SUBSTITUTE(SUBSTITUTE('Calculations'!IA230,"~","~~"),"*","~*"),"?","~?"))&gt;1,"!AMBIG",IFERROR(INDEX('Calculations'!$HF$13:$HF$512,MATCH('Calculations'!IA230,'Calculations'!$HE$13:$HE$512,0)),""))))</x:f>
      </x:c>
      <x:c r="IC230" t="str">
        <x:f>IF('Calculations'!IB230="","",IF('Calculations'!IB230="!AMBIG","!AMBIG",IF(COUNTIF('Calculations'!$HE$13:$HE$512,"="&amp;SUBSTITUTE(SUBSTITUTE(SUBSTITUTE('Calculations'!IB230,"~","~~"),"*","~*"),"?","~?"))&gt;1,"!AMBIG",IFERROR(INDEX('Calculations'!$HF$13:$HF$512,MATCH('Calculations'!IB230,'Calculations'!$HE$13:$HE$512,0)),""))))</x:f>
      </x:c>
      <x:c r="ID230" t="str">
        <x:f>IF('Calculations'!IC230="","",IF('Calculations'!IC230="!AMBIG","!AMBIG",IF(COUNTIF('Calculations'!$HE$13:$HE$512,"="&amp;SUBSTITUTE(SUBSTITUTE(SUBSTITUTE('Calculations'!IC230,"~","~~"),"*","~*"),"?","~?"))&gt;1,"!AMBIG",IFERROR(INDEX('Calculations'!$HF$13:$HF$512,MATCH('Calculations'!IC230,'Calculations'!$HE$13:$HE$512,0)),""))))</x:f>
      </x:c>
      <x:c r="IE230" t="str">
        <x:f>IF('Calculations'!ID230="","",IF('Calculations'!ID230="!AMBIG","!AMBIG",IF(COUNTIF('Calculations'!$HE$13:$HE$512,"="&amp;SUBSTITUTE(SUBSTITUTE(SUBSTITUTE('Calculations'!ID230,"~","~~"),"*","~*"),"?","~?"))&gt;1,"!AMBIG",IFERROR(INDEX('Calculations'!$HF$13:$HF$512,MATCH('Calculations'!ID230,'Calculations'!$HE$13:$HE$512,0)),""))))</x:f>
      </x:c>
      <x:c r="IF230" t="str">
        <x:f>IF('Calculations'!IE230="","",IF('Calculations'!IE230="!AMBIG","!AMBIG",IF(COUNTIF('Calculations'!$HE$13:$HE$512,"="&amp;SUBSTITUTE(SUBSTITUTE(SUBSTITUTE('Calculations'!IE230,"~","~~"),"*","~*"),"?","~?"))&gt;1,"!AMBIG",IFERROR(INDEX('Calculations'!$HF$13:$HF$512,MATCH('Calculations'!IE230,'Calculations'!$HE$13:$HE$512,0)),""))))</x:f>
      </x:c>
      <x:c r="IG230" t="str">
        <x:f>IF('Calculations'!IF230="","",IF('Calculations'!IF230="!AMBIG","!AMBIG",IF(COUNTIF('Calculations'!$HE$13:$HE$512,"="&amp;SUBSTITUTE(SUBSTITUTE(SUBSTITUTE('Calculations'!IF230,"~","~~"),"*","~*"),"?","~?"))&gt;1,"!AMBIG",IFERROR(INDEX('Calculations'!$HF$13:$HF$512,MATCH('Calculations'!IF230,'Calculations'!$HE$13:$HE$512,0)),""))))</x:f>
      </x:c>
      <x:c r="IH230" t="str">
        <x:f>IF('Calculations'!IG230="","",IF('Calculations'!IG230="!AMBIG","!AMBIG",IF(COUNTIF('Calculations'!$HE$13:$HE$512,"="&amp;SUBSTITUTE(SUBSTITUTE(SUBSTITUTE('Calculations'!IG230,"~","~~"),"*","~*"),"?","~?"))&gt;1,"!AMBIG",IFERROR(INDEX('Calculations'!$HF$13:$HF$512,MATCH('Calculations'!IG230,'Calculations'!$HE$13:$HE$512,0)),""))))</x:f>
      </x:c>
      <x:c r="II230" t="str">
        <x:f>IF('Calculations'!IH230="","",IF('Calculations'!IH230="!AMBIG","!AMBIG",IF(COUNTIF('Calculations'!$HE$13:$HE$512,"="&amp;SUBSTITUTE(SUBSTITUTE(SUBSTITUTE('Calculations'!IH230,"~","~~"),"*","~*"),"?","~?"))&gt;1,"!AMBIG",IFERROR(INDEX('Calculations'!$HF$13:$HF$512,MATCH('Calculations'!IH230,'Calculations'!$HE$13:$HE$512,0)),""))))</x:f>
      </x:c>
      <x:c r="IJ230" t="str">
        <x:f>IF('Calculations'!EM230="","",IF('Calculations'!$EF$2="All",'Calculations'!HM230,IF('Calculations'!HL230=1,"",IFERROR(IF(MATCH('Calculations'!$EF$2,'Calculations'!HO230:II230,0)=1,'Calculations'!HE230,INDEX('Calculations'!HO230:II230,1,MATCH('Calculations'!$EF$2,'Calculations'!HO230:II230,0)-1)),""))))</x:f>
      </x:c>
      <x:c r="IK230" t="n">
        <x:f>IF(AND('Calculations'!EM230&lt;&gt;"",'Calculations'!$EF$2&lt;&gt;"All",'Calculations'!HF230='Calculations'!$EF$2,'Calculations'!HL230=0,'Calculations'!JD230&gt;0),MAX('Calculations'!$IK$12:IK229)+1,0)</x:f>
        <x:v>0</x:v>
      </x:c>
      <x:c r="JA230" t="n">
        <x:f>IF(OR(IFERROR(INDIRECT("'WCM Calibration Final'!$A$230")&lt;&gt;"",FALSE),IFERROR(INDIRECT("'WCM Calibration Final'!$B$230")&lt;&gt;"",FALSE),IFERROR(INDIRECT("'WCM Calibration Final'!$C$230")&lt;&gt;"",FALSE)),230,0)</x:f>
        <x:v>0</x:v>
      </x:c>
      <x:c r="JB230" t="n">
        <x:f>'Calculations'!JB229+IF('Calculations'!JA230&gt;0,1,0)</x:f>
        <x:v>0</x:v>
      </x:c>
      <x:c r="JC230" t="n">
        <x:f>IF(OR('Calculations'!HF230="",'Calculations'!HF230="!AMBIG"),0,IF('Dashboard'!$B$7="All",1,COUNTIFS('Calculations'!$HO$13:$HO$512,"="&amp;SUBSTITUTE(SUBSTITUTE(SUBSTITUTE('Calculations'!HF230,"~","~~"),"*","~*"),"?","~?"),'Calculations'!$HN$13:$HN$512,"="&amp;SUBSTITUTE(SUBSTITUTE(SUBSTITUTE('Dashboard'!$B$7,"~","~~"),"*","~*"),"?","~?"))+COUNTIFS('Calculations'!$HP$13:$HP$512,"="&amp;SUBSTITUTE(SUBSTITUTE(SUBSTITUTE('Calculations'!HF230,"~","~~"),"*","~*"),"?","~?"),'Calculations'!$HN$13:$HN$512,"="&amp;SUBSTITUTE(SUBSTITUTE(SUBSTITUTE('Dashboard'!$B$7,"~","~~"),"*","~*"),"?","~?"))+COUNTIFS('Calculations'!$HQ$13:$HQ$512,"="&amp;SUBSTITUTE(SUBSTITUTE(SUBSTITUTE('Calculations'!HF230,"~","~~"),"*","~*"),"?","~?"),'Calculations'!$HN$13:$HN$512,"="&amp;SUBSTITUTE(SUBSTITUTE(SUBSTITUTE('Dashboard'!$B$7,"~","~~"),"*","~*"),"?","~?"))+COUNTIFS('Calculations'!$HR$13:$HR$512,"="&amp;SUBSTITUTE(SUBSTITUTE(SUBSTITUTE('Calculations'!HF230,"~","~~"),"*","~*"),"?","~?"),'Calculations'!$HN$13:$HN$512,"="&amp;SUBSTITUTE(SUBSTITUTE(SUBSTITUTE('Dashboard'!$B$7,"~","~~"),"*","~*"),"?","~?"))+COUNTIFS('Calculations'!$HS$13:$HS$512,"="&amp;SUBSTITUTE(SUBSTITUTE(SUBSTITUTE('Calculations'!HF230,"~","~~"),"*","~*"),"?","~?"),'Calculations'!$HN$13:$HN$512,"="&amp;SUBSTITUTE(SUBSTITUTE(SUBSTITUTE('Dashboard'!$B$7,"~","~~"),"*","~*"),"?","~?"))+COUNTIFS('Calculations'!$HT$13:$HT$512,"="&amp;SUBSTITUTE(SUBSTITUTE(SUBSTITUTE('Calculations'!HF230,"~","~~"),"*","~*"),"?","~?"),'Calculations'!$HN$13:$HN$512,"="&amp;SUBSTITUTE(SUBSTITUTE(SUBSTITUTE('Dashboard'!$B$7,"~","~~"),"*","~*"),"?","~?"))+COUNTIFS('Calculations'!$HU$13:$HU$512,"="&amp;SUBSTITUTE(SUBSTITUTE(SUBSTITUTE('Calculations'!HF230,"~","~~"),"*","~*"),"?","~?"),'Calculations'!$HN$13:$HN$512,"="&amp;SUBSTITUTE(SUBSTITUTE(SUBSTITUTE('Dashboard'!$B$7,"~","~~"),"*","~*"),"?","~?"))+COUNTIFS('Calculations'!$HV$13:$HV$512,"="&amp;SUBSTITUTE(SUBSTITUTE(SUBSTITUTE('Calculations'!HF230,"~","~~"),"*","~*"),"?","~?"),'Calculations'!$HN$13:$HN$512,"="&amp;SUBSTITUTE(SUBSTITUTE(SUBSTITUTE('Dashboard'!$B$7,"~","~~"),"*","~*"),"?","~?"))+COUNTIFS('Calculations'!$HW$13:$HW$512,"="&amp;SUBSTITUTE(SUBSTITUTE(SUBSTITUTE('Calculations'!HF230,"~","~~"),"*","~*"),"?","~?"),'Calculations'!$HN$13:$HN$512,"="&amp;SUBSTITUTE(SUBSTITUTE(SUBSTITUTE('Dashboard'!$B$7,"~","~~"),"*","~*"),"?","~?"))+COUNTIFS('Calculations'!$HX$13:$HX$512,"="&amp;SUBSTITUTE(SUBSTITUTE(SUBSTITUTE('Calculations'!HF230,"~","~~"),"*","~*"),"?","~?"),'Calculations'!$HN$13:$HN$512,"="&amp;SUBSTITUTE(SUBSTITUTE(SUBSTITUTE('Dashboard'!$B$7,"~","~~"),"*","~*"),"?","~?"))+COUNTIFS('Calculations'!$HY$13:$HY$512,"="&amp;SUBSTITUTE(SUBSTITUTE(SUBSTITUTE('Calculations'!HF230,"~","~~"),"*","~*"),"?","~?"),'Calculations'!$HN$13:$HN$512,"="&amp;SUBSTITUTE(SUBSTITUTE(SUBSTITUTE('Dashboard'!$B$7,"~","~~"),"*","~*"),"?","~?"))+COUNTIFS('Calculations'!$HZ$13:$HZ$512,"="&amp;SUBSTITUTE(SUBSTITUTE(SUBSTITUTE('Calculations'!HF230,"~","~~"),"*","~*"),"?","~?"),'Calculations'!$HN$13:$HN$512,"="&amp;SUBSTITUTE(SUBSTITUTE(SUBSTITUTE('Dashboard'!$B$7,"~","~~"),"*","~*"),"?","~?"))+COUNTIFS('Calculations'!$IA$13:$IA$512,"="&amp;SUBSTITUTE(SUBSTITUTE(SUBSTITUTE('Calculations'!HF230,"~","~~"),"*","~*"),"?","~?"),'Calculations'!$HN$13:$HN$512,"="&amp;SUBSTITUTE(SUBSTITUTE(SUBSTITUTE('Dashboard'!$B$7,"~","~~"),"*","~*"),"?","~?"))+COUNTIFS('Calculations'!$IB$13:$IB$512,"="&amp;SUBSTITUTE(SUBSTITUTE(SUBSTITUTE('Calculations'!HF230,"~","~~"),"*","~*"),"?","~?"),'Calculations'!$HN$13:$HN$512,"="&amp;SUBSTITUTE(SUBSTITUTE(SUBSTITUTE('Dashboard'!$B$7,"~","~~"),"*","~*"),"?","~?"))+COUNTIFS('Calculations'!$IC$13:$IC$512,"="&amp;SUBSTITUTE(SUBSTITUTE(SUBSTITUTE('Calculations'!HF230,"~","~~"),"*","~*"),"?","~?"),'Calculations'!$HN$13:$HN$512,"="&amp;SUBSTITUTE(SUBSTITUTE(SUBSTITUTE('Dashboard'!$B$7,"~","~~"),"*","~*"),"?","~?"))+COUNTIFS('Calculations'!$ID$13:$ID$512,"="&amp;SUBSTITUTE(SUBSTITUTE(SUBSTITUTE('Calculations'!HF230,"~","~~"),"*","~*"),"?","~?"),'Calculations'!$HN$13:$HN$512,"="&amp;SUBSTITUTE(SUBSTITUTE(SUBSTITUTE('Dashboard'!$B$7,"~","~~"),"*","~*"),"?","~?"))+COUNTIFS('Calculations'!$IE$13:$IE$512,"="&amp;SUBSTITUTE(SUBSTITUTE(SUBSTITUTE('Calculations'!HF230,"~","~~"),"*","~*"),"?","~?"),'Calculations'!$HN$13:$HN$512,"="&amp;SUBSTITUTE(SUBSTITUTE(SUBSTITUTE('Dashboard'!$B$7,"~","~~"),"*","~*"),"?","~?"))+COUNTIFS('Calculations'!$IF$13:$IF$512,"="&amp;SUBSTITUTE(SUBSTITUTE(SUBSTITUTE('Calculations'!HF230,"~","~~"),"*","~*"),"?","~?"),'Calculations'!$HN$13:$HN$512,"="&amp;SUBSTITUTE(SUBSTITUTE(SUBSTITUTE('Dashboard'!$B$7,"~","~~"),"*","~*"),"?","~?"))+COUNTIFS('Calculations'!$IG$13:$IG$512,"="&amp;SUBSTITUTE(SUBSTITUTE(SUBSTITUTE('Calculations'!HF230,"~","~~"),"*","~*"),"?","~?"),'Calculations'!$HN$13:$HN$512,"="&amp;SUBSTITUTE(SUBSTITUTE(SUBSTITUTE('Dashboard'!$B$7,"~","~~"),"*","~*"),"?","~?"))+COUNTIFS('Calculations'!$IH$13:$IH$512,"="&amp;SUBSTITUTE(SUBSTITUTE(SUBSTITUTE('Calculations'!HF230,"~","~~"),"*","~*"),"?","~?"),'Calculations'!$HN$13:$HN$512,"="&amp;SUBSTITUTE(SUBSTITUTE(SUBSTITUTE('Dashboard'!$B$7,"~","~~"),"*","~*"),"?","~?"))))</x:f>
        <x:v>0</x:v>
      </x:c>
      <x:c r="JD230" t="n">
        <x:f>IF('Calculations'!EM230="",0,IF('Dashboard'!$B$7="All",1,IF('Calculations'!HN230='Dashboard'!$B$7,1,0)+IFERROR(INDEX('Calculations'!$JC$13:$JC$512,MATCH('Calculations'!HE230,'Calculations'!$HF$13:$HF$512,0)),0)))</x:f>
        <x:v>0</x:v>
      </x:c>
      <x:c r="JE230" t="n">
        <x:f>IF(AND('Calculations'!EM230&lt;&gt;"",'Calculations'!$JJ$2&lt;&gt;"All",'Calculations'!$JJ$2&lt;&gt;"",'Calculations'!HF230='Calculations'!$JJ$2,'Calculations'!HL230=0,'Calculations'!JD230&gt;0),MAX('Calculations'!$JE$12:JE229)+1,0)</x:f>
        <x:v>0</x:v>
      </x:c>
      <x:c r="JF230" t="str">
        <x:f>IF('Calculations'!EM230="","",IFERROR(IF(INDEX(INDIRECT("'WCM Calibration Final'!$G$1:$G$2000"),'Calculations'!$EM230)="","",TRIM(INDEX(INDIRECT("'WCM Calibration Final'!$G$1:$G$2000"),'Calculations'!$EM230)&amp;"")),""))</x:f>
      </x:c>
      <x:c r="JQ230" t="n">
        <x:f>IF(OR('Calculations'!BM230=0,NOT('Calculations'!$AG$2),'Calculations'!$AG$8&gt;0),0,IF(OR('Dashboard'!$B$7="All",'Calculations'!HN230='Dashboard'!$B$7),IF('Calculations'!$JJ$2="All",1,IF(AND('Calculations'!HF230='Calculations'!$JJ$2,'Calculations'!HL230=0),1,0)),0))</x:f>
        <x:v>0</x:v>
      </x:c>
    </x:row>
    <x:row r="231">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t="n">
        <x:f>IF('Calculations'!$EM231="",0,IF(OR(IFERROR(INDEX(INDIRECT("'WCM Calibration Final'!$A$1:$A$2000"),'Calculations'!$EM231)&lt;&gt;"",FALSE),IFERROR(INDEX(INDIRECT("'WCM Calibration Final'!$B$1:$B$2000"),'Calculations'!$EM231)&lt;&gt;"",FALSE),IFERROR(INDEX(INDIRECT("'WCM Calibration Final'!$C$1:$C$2000"),'Calculations'!$EM231)&lt;&gt;"",FALSE)),1,0))</x:f>
        <x:v>0</x:v>
      </x:c>
      <x:c r="BN231" s="4" t="n">
        <x:f>IF(AND('Calculations'!BM231=1,'Calculations'!$AG$2,'Calculations'!$EN231=1),1,0)</x:f>
        <x:v>0</x:v>
      </x:c>
      <x:c r="BO231" s="4" t="str">
        <x:f>IF('Calculations'!BM231=0,"",IFERROR(IF(AND(VALUE(INDEX(INDIRECT("'WCM Calibration Final'!$K$1:$K$2000"),'Calculations'!$EM231))&gt;=1,VALUE(INDEX(INDIRECT("'WCM Calibration Final'!$K$1:$K$2000"),'Calculations'!$EM231))&lt;=4,MOD(VALUE(INDEX(INDIRECT("'WCM Calibration Final'!$K$1:$K$2000"),'Calculations'!$EM231)),1)=0),VALUE(INDEX(INDIRECT("'WCM Calibration Final'!$K$1:$K$2000"),'Calculations'!$EM231)),""),""))</x:f>
      </x:c>
      <x:c r="BP231" s="4" t="str">
        <x:f>IF('Calculations'!BM231=0,"",IFERROR(IF(AND(VALUE(INDEX(INDIRECT("'WCM Calibration Final'!$L$1:$L$2000"),'Calculations'!$EM231))&gt;=1,VALUE(INDEX(INDIRECT("'WCM Calibration Final'!$L$1:$L$2000"),'Calculations'!$EM231))&lt;=4,MOD(VALUE(INDEX(INDIRECT("'WCM Calibration Final'!$L$1:$L$2000"),'Calculations'!$EM231)),1)=0),VALUE(INDEX(INDIRECT("'WCM Calibration Final'!$L$1:$L$2000"),'Calculations'!$EM231)),""),""))</x:f>
      </x:c>
      <x:c r="BQ231" s="4"/>
      <x:c r="BR231" s="4"/>
      <x:c r="BS231" s="4"/>
      <x:c r="BT231" s="4" t="n">
        <x:f>IF(AND('Calculations'!BM231=1,ISNUMBER('Calculations'!BO231),ISNUMBER('Calculations'!BP231)),1,0)</x:f>
        <x:v>0</x:v>
      </x:c>
      <x:c r="BU231" s="4" t="str">
        <x:f>IF('Calculations'!BM231=0,"",'Calculations'!$EO231)</x:f>
      </x:c>
      <x:c r="BV231" s="4" t="str">
        <x:f>IF('Calculations'!BM231=0,"",IFERROR(IF(OR(INDEX(INDIRECT("'WCM Calibration Final'!$H$1:$H$2000"),'Calculations'!$EM231)="MANAGING DIRECTOR",INDEX(INDIRECT("'WCM Calibration Final'!$H$1:$H$2000"),'Calculations'!$EM231)="DIRECTOR",INDEX(INDIRECT("'WCM Calibration Final'!$H$1:$H$2000"),'Calculations'!$EM231)="SENIOR VICE PRESIDENT",INDEX(INDIRECT("'WCM Calibration Final'!$H$1:$H$2000"),'Calculations'!$EM231)="VICE PRESIDENT",INDEX(INDIRECT("'WCM Calibration Final'!$H$1:$H$2000"),'Calculations'!$EM231)="ASSISTANT VICE PRESIDENT",INDEX(INDIRECT("'WCM Calibration Final'!$H$1:$H$2000"),'Calculations'!$EM231)="OFFICER"),UPPER(INDEX(INDIRECT("'WCM Calibration Final'!$H$1:$H$2000"),'Calculations'!$EM231)),"Other"),"Other"))</x:f>
      </x:c>
      <x:c r="BW231" s="4"/>
      <x:c r="BX231" s="4"/>
      <x:c r="BY231" s="4" t="n">
        <x:f>IF(AND('Calculations'!BM231=1,'Calculations'!BU231&lt;&gt;"",COUNTIF('Calculations'!$BU$12:BU231,'Calculations'!BU231)=1),MAX('Calculations'!$BY$11:BY230)+1,0)</x:f>
        <x:v>0</x:v>
      </x:c>
      <x:c r="BZ231" s="4" t="str">
        <x:f>IF('Dashboard'!$E$67="What",'Calculations'!BO231,'Calculations'!BP231)</x:f>
      </x:c>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t="str">
        <x:f>IF(220&gt;MAX('Calculations'!$HI$13:$HI$512),"",INDEX('Calculations'!$HN$13:$HN$512,MATCH(220,'Calculations'!$HI$13:$HI$512,0)))</x:f>
      </x:c>
      <x:c r="DB231" s="4" t="str">
        <x:f>IF(220&gt;MAX('Calculations'!$HH$13:$HH$512),"",INDEX('Calculations'!$HJ$13:$HJ$512,MATCH(220,'Calculations'!$HH$13:$HH$512,0)))</x:f>
      </x:c>
      <x:c r="DC231" s="4" t="str">
        <x:f>IF(ROW()-11&gt;MAX('Calculations'!$BY$13:$BY$512),"",INDEX('Calculations'!$BU$13:$BU$512,MATCH(ROW()-11,'Calculations'!$BY$13:$BY$512,0)))</x:f>
      </x:c>
      <x:c r="DD231" s="4" t="str">
        <x:f>IF(220&gt;MAX('Calculations'!$IK$13:$IK$512),"",INDEX('Calculations'!$HK$13:$HK$512,MATCH(220,'Calculations'!$IK$13:$IK$512,0)))</x:f>
      </x:c>
      <x:c r="DE231" s="4" t="str">
        <x:f>'Calculations'!DC231</x:f>
      </x:c>
      <x:c r="DF231" s="4" t="str">
        <x:f>IF('Calculations'!DE231="","",COUNTIFS('Calculations'!$BN$13:$BN$512,1,'Calculations'!$BU$13:$BU$512,'Calculations'!DE231))</x:f>
      </x:c>
      <x:c r="DG231" s="4" t="str">
        <x:f>IF('Calculations'!DE231="","",COUNTIFS('Calculations'!$BN$13:$BN$512,1,'Calculations'!$BU$13:$BU$512,'Calculations'!DE231,'Calculations'!$BT$13:$BT$512,1))</x:f>
      </x:c>
      <x:c r="DH231" s="4" t="str">
        <x:f>IF('Calculations'!DE231="","",'Calculations'!DF231-'Calculations'!DG231)</x:f>
      </x:c>
      <x:c r="DI231" s="4" t="str">
        <x:f>IF(OR('Calculations'!DE231="",'Calculations'!DF231=0),"",'Calculations'!DG231/'Calculations'!DF231)</x:f>
      </x:c>
      <x:c r="DJ231" s="4" t="str">
        <x:f>IF('Calculations'!DE231="","",COUNTIFS('Calculations'!$BN$13:$BN$512,1,'Calculations'!$BU$13:$BU$512,'Calculations'!DE231,'Calculations'!$BT$13:$BT$512,1,'Calculations'!$EE$13:$EE$512,"High"))</x:f>
      </x:c>
      <x:c r="DK231" s="4" t="str">
        <x:f>IF('Calculations'!DE231="","",COUNTIFS('Calculations'!$BN$13:$BN$512,1,'Calculations'!$BU$13:$BU$512,'Calculations'!DE231,'Calculations'!$BT$13:$BT$512,1,'Calculations'!$EE$13:$EE$512,"Strong"))</x:f>
      </x:c>
      <x:c r="DL231" s="4" t="str">
        <x:f>IF('Calculations'!DE231="","",COUNTIFS('Calculations'!$BN$13:$BN$512,1,'Calculations'!$BU$13:$BU$512,'Calculations'!DE231,'Calculations'!$BT$13:$BT$512,1,'Calculations'!$EE$13:$EE$512,"Solid"))</x:f>
      </x:c>
      <x:c r="DM231" s="4" t="str">
        <x:f>IF('Calculations'!DE231="","",COUNTIFS('Calculations'!$BN$13:$BN$512,1,'Calculations'!$BU$13:$BU$512,'Calculations'!DE231,'Calculations'!$BT$13:$BT$512,1,'Calculations'!$EE$13:$EE$512,"Low"))</x:f>
      </x:c>
      <x:c r="DN231" s="4" t="str">
        <x:f>IF('Calculations'!DE231="","",COUNTIFS('Calculations'!$BN$13:$BN$512,1,'Calculations'!$BU$13:$BU$512,'Calculations'!DE231,'Calculations'!$EP$13:$EP$512,1))</x:f>
      </x:c>
      <x:c r="DO231" s="4" t="str">
        <x:f>IF(OR('Calculations'!DE231="",'Calculations'!DG231=0),"",('Calculations'!DJ231+'Calculations'!DK231)/'Calculations'!DG231)</x:f>
      </x:c>
      <x:c r="DP231" s="4" t="n">
        <x:f>IF(AND('Calculations'!DE231&lt;&gt;"",'Calculations'!DF231&gt;0),COUNTIF('Calculations'!$DF$12:DF231,"&gt;0"),0)</x:f>
        <x:v>0</x:v>
      </x:c>
      <x:c r="DQ231" s="4" t="str">
        <x:f>IF(220&gt;MAX('Calculations'!$HH$13:$HH$512),"",INDEX('Calculations'!$HF$13:$HF$512,MATCH(220,'Calculations'!$HH$13:$HH$512,0)))</x:f>
      </x:c>
      <x:c r="DR231" s="4" t="str">
        <x:f>IF(220&gt;MAX('Calculations'!$IK$13:$IK$512),"",INDEX('Calculations'!$HE$13:$HE$512,MATCH(220,'Calculations'!$IK$13:$IK$512,0)))</x:f>
      </x:c>
      <x:c r="DS231" s="4"/>
      <x:c r="DT231" s="4"/>
      <x:c r="DU231" s="4"/>
      <x:c r="DV231" s="4"/>
      <x:c r="DW231" s="4"/>
      <x:c r="DX231" s="4"/>
      <x:c r="DY231" s="4"/>
      <x:c r="DZ231" s="4"/>
      <x:c r="EA231" s="4"/>
      <x:c r="EB231" s="4"/>
      <x:c r="EC231" s="4"/>
      <x:c r="ED231" s="4"/>
      <x:c r="EE231" s="4" t="str">
        <x:f>IF('Calculations'!BT231=0,"Not Rated",IF(OR('Calculations'!BO231&gt;=4,'Calculations'!BP231&gt;=4),"Low",IF('Calculations'!BO231+'Calculations'!BP231&lt;=3,"High",IF('Calculations'!BO231+'Calculations'!BP231&lt;=4,"Strong","Solid"))))</x:f>
        <x:v>Not Rated</x:v>
      </x:c>
      <x:c r="EF231" s="4"/>
      <x:c r="EG231" s="4"/>
      <x:c r="EH231" s="4"/>
      <x:c r="EI231" s="4"/>
      <x:c r="EJ231" s="4"/>
      <x:c r="EK231" s="4"/>
      <x:c r="EL231" s="4"/>
      <x:c r="EM231" s="4" t="str">
        <x:f>IF(219&gt;'Calculations'!$JB$2000,"",INDEX('Calculations'!$JA$12:$JA$2000,MATCH(219,'Calculations'!$JB$12:$JB$2000,0)))</x:f>
      </x:c>
      <x:c r="EN231" s="4" t="n">
        <x:f>IF(OR('Calculations'!EM231="",'Calculations'!$AG$8&gt;0,AND('Calculations'!$EF$2&lt;&gt;"All",'Calculations'!HE231='Calculations'!$EF$2),AND('Calculations'!$EF$3&lt;&gt;"All",'Calculations'!HE231='Calculations'!$EF$3)),0,IF(OR('Dashboard'!$B$7="All",'Calculations'!HN231='Dashboard'!$B$7),IF('Calculations'!$EF$2="All",1,IF('Calculations'!HL231&gt;0,0,IF(COUNTIF('Calculations'!HO231:II231,"="&amp;SUBSTITUTE(SUBSTITUTE(SUBSTITUTE('Calculations'!$EF$2,"~","~~"),"*","~*"),"?","~?"))=0,0,IF('Calculations'!$EF$3="All",1,IF(COUNTIF('Calculations'!HO231:II231,"="&amp;SUBSTITUTE(SUBSTITUTE(SUBSTITUTE('Calculations'!$EF$3,"~","~~"),"*","~*"),"?","~?"))&gt;0,1,0))))),0))</x:f>
        <x:v>0</x:v>
      </x:c>
      <x:c r="EO231" s="4" t="str">
        <x:f>IF('Calculations'!IJ231="","",IF('Calculations'!IJ231="!UNRESOLVED","Unresolved hierarchy",IFERROR(INDEX('Calculations'!$HK$13:$HK$512,MATCH('Calculations'!IJ231,'Calculations'!$HE$13:$HE$512,0)),IFERROR(INDEX('Calculations'!$HJ$13:$HJ$512,MATCH('Calculations'!IJ231,'Calculations'!$HF$13:$HF$512,0)),'Calculations'!IJ231))))</x:f>
      </x:c>
      <x:c r="EP231" s="4" t="n">
        <x:f>IF(AND('Calculations'!EM231&lt;&gt;"",'Calculations'!HF231='Calculations'!IJ231),1,0)</x:f>
        <x:v>0</x:v>
      </x:c>
      <x:c r="EQ231" s="4"/>
      <x:c r="ER231" s="4"/>
      <x:c r="ES231" s="4"/>
      <x:c r="ET231" s="4"/>
      <x:c r="EU231" s="4"/>
      <x:c r="EV231" s="4"/>
      <x:c r="EW231" s="4"/>
      <x:c r="EX231" s="4"/>
      <x:c r="EY231" s="4"/>
      <x:c r="EZ231" s="4"/>
      <x:c r="FA231" s="4"/>
      <x:c r="FB231" s="4"/>
      <x:c r="FC231" s="4"/>
      <x:c r="FD231" s="4"/>
      <x:c r="FE231" s="4"/>
      <x:c r="FF231" s="4"/>
      <x:c r="FG231" s="4"/>
      <x:c r="FH231" s="4"/>
      <x:c r="FI231" s="4"/>
      <x:c r="FJ231" s="4"/>
      <x:c r="FK231" s="4"/>
      <x:c r="FL231" s="4"/>
      <x:c r="FM231" s="4"/>
      <x:c r="FN231" s="4"/>
      <x:c r="FO231" s="4"/>
      <x:c r="HE231" t="str">
        <x:f>IF('Calculations'!EM231="","",IF(IFERROR(IF(INDEX(INDIRECT("'WCM Calibration Final'!$A$1:$A$2000"),'Calculations'!$EM231)="","",TRIM(INDEX(INDIRECT("'WCM Calibration Final'!$A$1:$A$2000"),'Calculations'!$EM231)&amp;"")),"")&lt;&gt;"","G:"&amp;IFERROR(TEXT(1*INDEX(INDIRECT("'WCM Calibration Final'!$A$1:$A$2000"),'Calculations'!$EM231),"0"),UPPER(IFERROR(IF(INDEX(INDIRECT("'WCM Calibration Final'!$A$1:$A$2000"),'Calculations'!$EM231)="","",TRIM(INDEX(INDIRECT("'WCM Calibration Final'!$A$1:$A$2000"),'Calculations'!$EM231)&amp;"")),""))),IF(IFERROR(IF(INDEX(INDIRECT("'WCM Calibration Final'!$C$1:$C$2000"),'Calculations'!$EM231)="","",TRIM(INDEX(INDIRECT("'WCM Calibration Final'!$C$1:$C$2000"),'Calculations'!$EM231)&amp;"")),"")&lt;&gt;"","S:"&amp;UPPER(IFERROR(IF(INDEX(INDIRECT("'WCM Calibration Final'!$C$1:$C$2000"),'Calculations'!$EM231)="","",TRIM(INDEX(INDIRECT("'WCM Calibration Final'!$C$1:$C$2000"),'Calculations'!$EM231)&amp;"")),"")),"R:"&amp;'Calculations'!EM231)))</x:f>
      </x:c>
      <x:c r="HF231" t="str">
        <x:f>IF('Calculations'!EM231="","",IF(IFERROR(IF(INDEX(INDIRECT("'WCM Calibration Final'!$D$1:$D$2000"),'Calculations'!$EM231)="","",TRIM(INDEX(INDIRECT("'WCM Calibration Final'!$D$1:$D$2000"),'Calculations'!$EM231)&amp;"")),"")&lt;&gt;"","G:"&amp;IFERROR(TEXT(1*INDEX(INDIRECT("'WCM Calibration Final'!$D$1:$D$2000"),'Calculations'!$EM231),"0"),UPPER(IFERROR(IF(INDEX(INDIRECT("'WCM Calibration Final'!$D$1:$D$2000"),'Calculations'!$EM231)="","",TRIM(INDEX(INDIRECT("'WCM Calibration Final'!$D$1:$D$2000"),'Calculations'!$EM231)&amp;"")),""))),IF(IFERROR(IF(INDEX(INDIRECT("'WCM Calibration Final'!$E$1:$E$2000"),'Calculations'!$EM231)="","",TRIM(INDEX(INDIRECT("'WCM Calibration Final'!$E$1:$E$2000"),'Calculations'!$EM231)&amp;"")),"")="","",IF(COUNTIF('Calculations'!$HG$13:$HG$512,"="&amp;SUBSTITUTE(SUBSTITUTE(SUBSTITUTE(IFERROR(IF(INDEX(INDIRECT("'WCM Calibration Final'!$E$1:$E$2000"),'Calculations'!$EM231)="","",TRIM(INDEX(INDIRECT("'WCM Calibration Final'!$E$1:$E$2000"),'Calculations'!$EM231)&amp;"")),""),"~","~~"),"*","~*"),"?","~?"))=1,INDEX('Calculations'!$HE$13:$HE$512,MATCH(IFERROR(IF(INDEX(INDIRECT("'WCM Calibration Final'!$E$1:$E$2000"),'Calculations'!$EM231)="","",TRIM(INDEX(INDIRECT("'WCM Calibration Final'!$E$1:$E$2000"),'Calculations'!$EM231)&amp;"")),""),'Calculations'!$HG$13:$HG$512,0)),IF(COUNTIF('Calculations'!$HG$13:$HG$512,"="&amp;SUBSTITUTE(SUBSTITUTE(SUBSTITUTE(IFERROR(IF(INDEX(INDIRECT("'WCM Calibration Final'!$E$1:$E$2000"),'Calculations'!$EM231)="","",TRIM(INDEX(INDIRECT("'WCM Calibration Final'!$E$1:$E$2000"),'Calculations'!$EM231)&amp;"")),""),"~","~~"),"*","~*"),"?","~?"))&gt;1,"!AMBIG","X:"&amp;IFERROR(IF(INDEX(INDIRECT("'WCM Calibration Final'!$E$1:$E$2000"),'Calculations'!$EM231)="","",TRIM(INDEX(INDIRECT("'WCM Calibration Final'!$E$1:$E$2000"),'Calculations'!$EM231)&amp;"")),""))))))</x:f>
      </x:c>
      <x:c r="HG231" t="str">
        <x:f>IF('Calculations'!EM231="","",IFERROR(IF(INDEX(INDIRECT("'WCM Calibration Final'!$B$1:$B$2000"),'Calculations'!$EM231)="","",TRIM(INDEX(INDIRECT("'WCM Calibration Final'!$B$1:$B$2000"),'Calculations'!$EM231)&amp;"")),""))</x:f>
      </x:c>
      <x:c r="HH231" t="n">
        <x:f>IF(AND('Calculations'!JC231&gt;0,COUNTIF('Calculations'!$HF$12:HF231,"="&amp;SUBSTITUTE(SUBSTITUTE(SUBSTITUTE('Calculations'!HF231,"~","~~"),"*","~*"),"?","~?"))=1),MAX('Calculations'!$HH$12:HH230)+1,0)</x:f>
        <x:v>0</x:v>
      </x:c>
      <x:c r="HI231" t="n">
        <x:f>IF(AND('Calculations'!HN231&lt;&gt;"",COUNTIF('Calculations'!$HN$12:HN231,"="&amp;SUBSTITUTE(SUBSTITUTE(SUBSTITUTE('Calculations'!HN231,"~","~~"),"*","~*"),"?","~?"))=1),MAX('Calculations'!$HI$12:HI230)+1,0)</x:f>
        <x:v>0</x:v>
      </x:c>
      <x:c r="HJ231" t="str">
        <x:f>IF('Calculations'!HF231="","",IF(COUNTIF('Calculations'!$HE$13:$HE$512,"="&amp;SUBSTITUTE(SUBSTITUTE(SUBSTITUTE('Calculations'!HF231,"~","~~"),"*","~*"),"?","~?"))=1,INDEX('Calculations'!$HK$13:$HK$512,MATCH('Calculations'!HF231,'Calculations'!$HE$13:$HE$512,0)),IFERROR(IF(INDEX(INDIRECT("'WCM Calibration Final'!$E$1:$E$2000"),'Calculations'!$EM231)="","",TRIM(INDEX(INDIRECT("'WCM Calibration Final'!$E$1:$E$2000"),'Calculations'!$EM231)&amp;"")),"")&amp;" ["&amp;'Calculations'!HF231&amp;"]"))</x:f>
      </x:c>
      <x:c r="HK231" t="str">
        <x:f>IF('Calculations'!EM231="","",'Calculations'!HG231&amp;" ["&amp;'Calculations'!HE231&amp;"]")</x:f>
      </x:c>
      <x:c r="HL231" t="n">
        <x:f>IF('Calculations'!EM231="",0,IF(OR('Calculations'!II231&lt;&gt;"",COUNTIF('Calculations'!$HE$13:$HE$512,"="&amp;SUBSTITUTE(SUBSTITUTE(SUBSTITUTE('Calculations'!HE231,"~","~~"),"*","~*"),"?","~?"))&gt;1),1,0))</x:f>
        <x:v>0</x:v>
      </x:c>
      <x:c r="HM231" t="str">
        <x:f>IF('Calculations'!EM231="","",IF('Calculations'!HL231=1,"!UNRESOLVED",IF('Calculations'!IH231&lt;&gt;"",'Calculations'!IH231,IF('Calculations'!IG231&lt;&gt;"",'Calculations'!IG231,IF('Calculations'!IF231&lt;&gt;"",'Calculations'!IF231,IF('Calculations'!IE231&lt;&gt;"",'Calculations'!IE231,IF('Calculations'!ID231&lt;&gt;"",'Calculations'!ID231,IF('Calculations'!IC231&lt;&gt;"",'Calculations'!IC231,IF('Calculations'!IB231&lt;&gt;"",'Calculations'!IB231,IF('Calculations'!IA231&lt;&gt;"",'Calculations'!IA231,IF('Calculations'!HZ231&lt;&gt;"",'Calculations'!HZ231,IF('Calculations'!HY231&lt;&gt;"",'Calculations'!HY231,IF('Calculations'!HX231&lt;&gt;"",'Calculations'!HX231,IF('Calculations'!HW231&lt;&gt;"",'Calculations'!HW231,IF('Calculations'!HV231&lt;&gt;"",'Calculations'!HV231,IF('Calculations'!HU231&lt;&gt;"",'Calculations'!HU231,IF('Calculations'!HT231&lt;&gt;"",'Calculations'!HT231,IF('Calculations'!HS231&lt;&gt;"",'Calculations'!HS231,IF('Calculations'!HR231&lt;&gt;"",'Calculations'!HR231,IF('Calculations'!HQ231&lt;&gt;"",'Calculations'!HQ231,IF('Calculations'!HP231&lt;&gt;"",'Calculations'!HP231,IF('Calculations'!HO231&lt;&gt;"",'Calculations'!HO231,'Calculations'!HE231))))))))))))))))))))))</x:f>
      </x:c>
      <x:c r="HN231" t="str">
        <x:f>IF('Calculations'!EM231="","",IF(IFERROR(IF(INDEX(INDIRECT("'WCM Calibration Final'!$F$1:$F$2000"),'Calculations'!$EM231)="","",TRIM(INDEX(INDIRECT("'WCM Calibration Final'!$F$1:$F$2000"),'Calculations'!$EM231)&amp;"")),"")="","(Blank)",IFERROR(IF(INDEX(INDIRECT("'WCM Calibration Final'!$F$1:$F$2000"),'Calculations'!$EM231)="","",TRIM(INDEX(INDIRECT("'WCM Calibration Final'!$F$1:$F$2000"),'Calculations'!$EM231)&amp;"")),"")))</x:f>
      </x:c>
      <x:c r="HO231" t="str">
        <x:f>'Calculations'!HF231</x:f>
      </x:c>
      <x:c r="HP231" t="str">
        <x:f>IF('Calculations'!HO231="","",IF('Calculations'!HO231="!AMBIG","!AMBIG",IF(COUNTIF('Calculations'!$HE$13:$HE$512,"="&amp;SUBSTITUTE(SUBSTITUTE(SUBSTITUTE('Calculations'!HO231,"~","~~"),"*","~*"),"?","~?"))&gt;1,"!AMBIG",IFERROR(INDEX('Calculations'!$HF$13:$HF$512,MATCH('Calculations'!HO231,'Calculations'!$HE$13:$HE$512,0)),""))))</x:f>
      </x:c>
      <x:c r="HQ231" t="str">
        <x:f>IF('Calculations'!HP231="","",IF('Calculations'!HP231="!AMBIG","!AMBIG",IF(COUNTIF('Calculations'!$HE$13:$HE$512,"="&amp;SUBSTITUTE(SUBSTITUTE(SUBSTITUTE('Calculations'!HP231,"~","~~"),"*","~*"),"?","~?"))&gt;1,"!AMBIG",IFERROR(INDEX('Calculations'!$HF$13:$HF$512,MATCH('Calculations'!HP231,'Calculations'!$HE$13:$HE$512,0)),""))))</x:f>
      </x:c>
      <x:c r="HR231" t="str">
        <x:f>IF('Calculations'!HQ231="","",IF('Calculations'!HQ231="!AMBIG","!AMBIG",IF(COUNTIF('Calculations'!$HE$13:$HE$512,"="&amp;SUBSTITUTE(SUBSTITUTE(SUBSTITUTE('Calculations'!HQ231,"~","~~"),"*","~*"),"?","~?"))&gt;1,"!AMBIG",IFERROR(INDEX('Calculations'!$HF$13:$HF$512,MATCH('Calculations'!HQ231,'Calculations'!$HE$13:$HE$512,0)),""))))</x:f>
      </x:c>
      <x:c r="HS231" t="str">
        <x:f>IF('Calculations'!HR231="","",IF('Calculations'!HR231="!AMBIG","!AMBIG",IF(COUNTIF('Calculations'!$HE$13:$HE$512,"="&amp;SUBSTITUTE(SUBSTITUTE(SUBSTITUTE('Calculations'!HR231,"~","~~"),"*","~*"),"?","~?"))&gt;1,"!AMBIG",IFERROR(INDEX('Calculations'!$HF$13:$HF$512,MATCH('Calculations'!HR231,'Calculations'!$HE$13:$HE$512,0)),""))))</x:f>
      </x:c>
      <x:c r="HT231" t="str">
        <x:f>IF('Calculations'!HS231="","",IF('Calculations'!HS231="!AMBIG","!AMBIG",IF(COUNTIF('Calculations'!$HE$13:$HE$512,"="&amp;SUBSTITUTE(SUBSTITUTE(SUBSTITUTE('Calculations'!HS231,"~","~~"),"*","~*"),"?","~?"))&gt;1,"!AMBIG",IFERROR(INDEX('Calculations'!$HF$13:$HF$512,MATCH('Calculations'!HS231,'Calculations'!$HE$13:$HE$512,0)),""))))</x:f>
      </x:c>
      <x:c r="HU231" t="str">
        <x:f>IF('Calculations'!HT231="","",IF('Calculations'!HT231="!AMBIG","!AMBIG",IF(COUNTIF('Calculations'!$HE$13:$HE$512,"="&amp;SUBSTITUTE(SUBSTITUTE(SUBSTITUTE('Calculations'!HT231,"~","~~"),"*","~*"),"?","~?"))&gt;1,"!AMBIG",IFERROR(INDEX('Calculations'!$HF$13:$HF$512,MATCH('Calculations'!HT231,'Calculations'!$HE$13:$HE$512,0)),""))))</x:f>
      </x:c>
      <x:c r="HV231" t="str">
        <x:f>IF('Calculations'!HU231="","",IF('Calculations'!HU231="!AMBIG","!AMBIG",IF(COUNTIF('Calculations'!$HE$13:$HE$512,"="&amp;SUBSTITUTE(SUBSTITUTE(SUBSTITUTE('Calculations'!HU231,"~","~~"),"*","~*"),"?","~?"))&gt;1,"!AMBIG",IFERROR(INDEX('Calculations'!$HF$13:$HF$512,MATCH('Calculations'!HU231,'Calculations'!$HE$13:$HE$512,0)),""))))</x:f>
      </x:c>
      <x:c r="HW231" t="str">
        <x:f>IF('Calculations'!HV231="","",IF('Calculations'!HV231="!AMBIG","!AMBIG",IF(COUNTIF('Calculations'!$HE$13:$HE$512,"="&amp;SUBSTITUTE(SUBSTITUTE(SUBSTITUTE('Calculations'!HV231,"~","~~"),"*","~*"),"?","~?"))&gt;1,"!AMBIG",IFERROR(INDEX('Calculations'!$HF$13:$HF$512,MATCH('Calculations'!HV231,'Calculations'!$HE$13:$HE$512,0)),""))))</x:f>
      </x:c>
      <x:c r="HX231" t="str">
        <x:f>IF('Calculations'!HW231="","",IF('Calculations'!HW231="!AMBIG","!AMBIG",IF(COUNTIF('Calculations'!$HE$13:$HE$512,"="&amp;SUBSTITUTE(SUBSTITUTE(SUBSTITUTE('Calculations'!HW231,"~","~~"),"*","~*"),"?","~?"))&gt;1,"!AMBIG",IFERROR(INDEX('Calculations'!$HF$13:$HF$512,MATCH('Calculations'!HW231,'Calculations'!$HE$13:$HE$512,0)),""))))</x:f>
      </x:c>
      <x:c r="HY231" t="str">
        <x:f>IF('Calculations'!HX231="","",IF('Calculations'!HX231="!AMBIG","!AMBIG",IF(COUNTIF('Calculations'!$HE$13:$HE$512,"="&amp;SUBSTITUTE(SUBSTITUTE(SUBSTITUTE('Calculations'!HX231,"~","~~"),"*","~*"),"?","~?"))&gt;1,"!AMBIG",IFERROR(INDEX('Calculations'!$HF$13:$HF$512,MATCH('Calculations'!HX231,'Calculations'!$HE$13:$HE$512,0)),""))))</x:f>
      </x:c>
      <x:c r="HZ231" t="str">
        <x:f>IF('Calculations'!HY231="","",IF('Calculations'!HY231="!AMBIG","!AMBIG",IF(COUNTIF('Calculations'!$HE$13:$HE$512,"="&amp;SUBSTITUTE(SUBSTITUTE(SUBSTITUTE('Calculations'!HY231,"~","~~"),"*","~*"),"?","~?"))&gt;1,"!AMBIG",IFERROR(INDEX('Calculations'!$HF$13:$HF$512,MATCH('Calculations'!HY231,'Calculations'!$HE$13:$HE$512,0)),""))))</x:f>
      </x:c>
      <x:c r="IA231" t="str">
        <x:f>IF('Calculations'!HZ231="","",IF('Calculations'!HZ231="!AMBIG","!AMBIG",IF(COUNTIF('Calculations'!$HE$13:$HE$512,"="&amp;SUBSTITUTE(SUBSTITUTE(SUBSTITUTE('Calculations'!HZ231,"~","~~"),"*","~*"),"?","~?"))&gt;1,"!AMBIG",IFERROR(INDEX('Calculations'!$HF$13:$HF$512,MATCH('Calculations'!HZ231,'Calculations'!$HE$13:$HE$512,0)),""))))</x:f>
      </x:c>
      <x:c r="IB231" t="str">
        <x:f>IF('Calculations'!IA231="","",IF('Calculations'!IA231="!AMBIG","!AMBIG",IF(COUNTIF('Calculations'!$HE$13:$HE$512,"="&amp;SUBSTITUTE(SUBSTITUTE(SUBSTITUTE('Calculations'!IA231,"~","~~"),"*","~*"),"?","~?"))&gt;1,"!AMBIG",IFERROR(INDEX('Calculations'!$HF$13:$HF$512,MATCH('Calculations'!IA231,'Calculations'!$HE$13:$HE$512,0)),""))))</x:f>
      </x:c>
      <x:c r="IC231" t="str">
        <x:f>IF('Calculations'!IB231="","",IF('Calculations'!IB231="!AMBIG","!AMBIG",IF(COUNTIF('Calculations'!$HE$13:$HE$512,"="&amp;SUBSTITUTE(SUBSTITUTE(SUBSTITUTE('Calculations'!IB231,"~","~~"),"*","~*"),"?","~?"))&gt;1,"!AMBIG",IFERROR(INDEX('Calculations'!$HF$13:$HF$512,MATCH('Calculations'!IB231,'Calculations'!$HE$13:$HE$512,0)),""))))</x:f>
      </x:c>
      <x:c r="ID231" t="str">
        <x:f>IF('Calculations'!IC231="","",IF('Calculations'!IC231="!AMBIG","!AMBIG",IF(COUNTIF('Calculations'!$HE$13:$HE$512,"="&amp;SUBSTITUTE(SUBSTITUTE(SUBSTITUTE('Calculations'!IC231,"~","~~"),"*","~*"),"?","~?"))&gt;1,"!AMBIG",IFERROR(INDEX('Calculations'!$HF$13:$HF$512,MATCH('Calculations'!IC231,'Calculations'!$HE$13:$HE$512,0)),""))))</x:f>
      </x:c>
      <x:c r="IE231" t="str">
        <x:f>IF('Calculations'!ID231="","",IF('Calculations'!ID231="!AMBIG","!AMBIG",IF(COUNTIF('Calculations'!$HE$13:$HE$512,"="&amp;SUBSTITUTE(SUBSTITUTE(SUBSTITUTE('Calculations'!ID231,"~","~~"),"*","~*"),"?","~?"))&gt;1,"!AMBIG",IFERROR(INDEX('Calculations'!$HF$13:$HF$512,MATCH('Calculations'!ID231,'Calculations'!$HE$13:$HE$512,0)),""))))</x:f>
      </x:c>
      <x:c r="IF231" t="str">
        <x:f>IF('Calculations'!IE231="","",IF('Calculations'!IE231="!AMBIG","!AMBIG",IF(COUNTIF('Calculations'!$HE$13:$HE$512,"="&amp;SUBSTITUTE(SUBSTITUTE(SUBSTITUTE('Calculations'!IE231,"~","~~"),"*","~*"),"?","~?"))&gt;1,"!AMBIG",IFERROR(INDEX('Calculations'!$HF$13:$HF$512,MATCH('Calculations'!IE231,'Calculations'!$HE$13:$HE$512,0)),""))))</x:f>
      </x:c>
      <x:c r="IG231" t="str">
        <x:f>IF('Calculations'!IF231="","",IF('Calculations'!IF231="!AMBIG","!AMBIG",IF(COUNTIF('Calculations'!$HE$13:$HE$512,"="&amp;SUBSTITUTE(SUBSTITUTE(SUBSTITUTE('Calculations'!IF231,"~","~~"),"*","~*"),"?","~?"))&gt;1,"!AMBIG",IFERROR(INDEX('Calculations'!$HF$13:$HF$512,MATCH('Calculations'!IF231,'Calculations'!$HE$13:$HE$512,0)),""))))</x:f>
      </x:c>
      <x:c r="IH231" t="str">
        <x:f>IF('Calculations'!IG231="","",IF('Calculations'!IG231="!AMBIG","!AMBIG",IF(COUNTIF('Calculations'!$HE$13:$HE$512,"="&amp;SUBSTITUTE(SUBSTITUTE(SUBSTITUTE('Calculations'!IG231,"~","~~"),"*","~*"),"?","~?"))&gt;1,"!AMBIG",IFERROR(INDEX('Calculations'!$HF$13:$HF$512,MATCH('Calculations'!IG231,'Calculations'!$HE$13:$HE$512,0)),""))))</x:f>
      </x:c>
      <x:c r="II231" t="str">
        <x:f>IF('Calculations'!IH231="","",IF('Calculations'!IH231="!AMBIG","!AMBIG",IF(COUNTIF('Calculations'!$HE$13:$HE$512,"="&amp;SUBSTITUTE(SUBSTITUTE(SUBSTITUTE('Calculations'!IH231,"~","~~"),"*","~*"),"?","~?"))&gt;1,"!AMBIG",IFERROR(INDEX('Calculations'!$HF$13:$HF$512,MATCH('Calculations'!IH231,'Calculations'!$HE$13:$HE$512,0)),""))))</x:f>
      </x:c>
      <x:c r="IJ231" t="str">
        <x:f>IF('Calculations'!EM231="","",IF('Calculations'!$EF$2="All",'Calculations'!HM231,IF('Calculations'!HL231=1,"",IFERROR(IF(MATCH('Calculations'!$EF$2,'Calculations'!HO231:II231,0)=1,'Calculations'!HE231,INDEX('Calculations'!HO231:II231,1,MATCH('Calculations'!$EF$2,'Calculations'!HO231:II231,0)-1)),""))))</x:f>
      </x:c>
      <x:c r="IK231" t="n">
        <x:f>IF(AND('Calculations'!EM231&lt;&gt;"",'Calculations'!$EF$2&lt;&gt;"All",'Calculations'!HF231='Calculations'!$EF$2,'Calculations'!HL231=0,'Calculations'!JD231&gt;0),MAX('Calculations'!$IK$12:IK230)+1,0)</x:f>
        <x:v>0</x:v>
      </x:c>
      <x:c r="JA231" t="n">
        <x:f>IF(OR(IFERROR(INDIRECT("'WCM Calibration Final'!$A$231")&lt;&gt;"",FALSE),IFERROR(INDIRECT("'WCM Calibration Final'!$B$231")&lt;&gt;"",FALSE),IFERROR(INDIRECT("'WCM Calibration Final'!$C$231")&lt;&gt;"",FALSE)),231,0)</x:f>
        <x:v>0</x:v>
      </x:c>
      <x:c r="JB231" t="n">
        <x:f>'Calculations'!JB230+IF('Calculations'!JA231&gt;0,1,0)</x:f>
        <x:v>0</x:v>
      </x:c>
      <x:c r="JC231" t="n">
        <x:f>IF(OR('Calculations'!HF231="",'Calculations'!HF231="!AMBIG"),0,IF('Dashboard'!$B$7="All",1,COUNTIFS('Calculations'!$HO$13:$HO$512,"="&amp;SUBSTITUTE(SUBSTITUTE(SUBSTITUTE('Calculations'!HF231,"~","~~"),"*","~*"),"?","~?"),'Calculations'!$HN$13:$HN$512,"="&amp;SUBSTITUTE(SUBSTITUTE(SUBSTITUTE('Dashboard'!$B$7,"~","~~"),"*","~*"),"?","~?"))+COUNTIFS('Calculations'!$HP$13:$HP$512,"="&amp;SUBSTITUTE(SUBSTITUTE(SUBSTITUTE('Calculations'!HF231,"~","~~"),"*","~*"),"?","~?"),'Calculations'!$HN$13:$HN$512,"="&amp;SUBSTITUTE(SUBSTITUTE(SUBSTITUTE('Dashboard'!$B$7,"~","~~"),"*","~*"),"?","~?"))+COUNTIFS('Calculations'!$HQ$13:$HQ$512,"="&amp;SUBSTITUTE(SUBSTITUTE(SUBSTITUTE('Calculations'!HF231,"~","~~"),"*","~*"),"?","~?"),'Calculations'!$HN$13:$HN$512,"="&amp;SUBSTITUTE(SUBSTITUTE(SUBSTITUTE('Dashboard'!$B$7,"~","~~"),"*","~*"),"?","~?"))+COUNTIFS('Calculations'!$HR$13:$HR$512,"="&amp;SUBSTITUTE(SUBSTITUTE(SUBSTITUTE('Calculations'!HF231,"~","~~"),"*","~*"),"?","~?"),'Calculations'!$HN$13:$HN$512,"="&amp;SUBSTITUTE(SUBSTITUTE(SUBSTITUTE('Dashboard'!$B$7,"~","~~"),"*","~*"),"?","~?"))+COUNTIFS('Calculations'!$HS$13:$HS$512,"="&amp;SUBSTITUTE(SUBSTITUTE(SUBSTITUTE('Calculations'!HF231,"~","~~"),"*","~*"),"?","~?"),'Calculations'!$HN$13:$HN$512,"="&amp;SUBSTITUTE(SUBSTITUTE(SUBSTITUTE('Dashboard'!$B$7,"~","~~"),"*","~*"),"?","~?"))+COUNTIFS('Calculations'!$HT$13:$HT$512,"="&amp;SUBSTITUTE(SUBSTITUTE(SUBSTITUTE('Calculations'!HF231,"~","~~"),"*","~*"),"?","~?"),'Calculations'!$HN$13:$HN$512,"="&amp;SUBSTITUTE(SUBSTITUTE(SUBSTITUTE('Dashboard'!$B$7,"~","~~"),"*","~*"),"?","~?"))+COUNTIFS('Calculations'!$HU$13:$HU$512,"="&amp;SUBSTITUTE(SUBSTITUTE(SUBSTITUTE('Calculations'!HF231,"~","~~"),"*","~*"),"?","~?"),'Calculations'!$HN$13:$HN$512,"="&amp;SUBSTITUTE(SUBSTITUTE(SUBSTITUTE('Dashboard'!$B$7,"~","~~"),"*","~*"),"?","~?"))+COUNTIFS('Calculations'!$HV$13:$HV$512,"="&amp;SUBSTITUTE(SUBSTITUTE(SUBSTITUTE('Calculations'!HF231,"~","~~"),"*","~*"),"?","~?"),'Calculations'!$HN$13:$HN$512,"="&amp;SUBSTITUTE(SUBSTITUTE(SUBSTITUTE('Dashboard'!$B$7,"~","~~"),"*","~*"),"?","~?"))+COUNTIFS('Calculations'!$HW$13:$HW$512,"="&amp;SUBSTITUTE(SUBSTITUTE(SUBSTITUTE('Calculations'!HF231,"~","~~"),"*","~*"),"?","~?"),'Calculations'!$HN$13:$HN$512,"="&amp;SUBSTITUTE(SUBSTITUTE(SUBSTITUTE('Dashboard'!$B$7,"~","~~"),"*","~*"),"?","~?"))+COUNTIFS('Calculations'!$HX$13:$HX$512,"="&amp;SUBSTITUTE(SUBSTITUTE(SUBSTITUTE('Calculations'!HF231,"~","~~"),"*","~*"),"?","~?"),'Calculations'!$HN$13:$HN$512,"="&amp;SUBSTITUTE(SUBSTITUTE(SUBSTITUTE('Dashboard'!$B$7,"~","~~"),"*","~*"),"?","~?"))+COUNTIFS('Calculations'!$HY$13:$HY$512,"="&amp;SUBSTITUTE(SUBSTITUTE(SUBSTITUTE('Calculations'!HF231,"~","~~"),"*","~*"),"?","~?"),'Calculations'!$HN$13:$HN$512,"="&amp;SUBSTITUTE(SUBSTITUTE(SUBSTITUTE('Dashboard'!$B$7,"~","~~"),"*","~*"),"?","~?"))+COUNTIFS('Calculations'!$HZ$13:$HZ$512,"="&amp;SUBSTITUTE(SUBSTITUTE(SUBSTITUTE('Calculations'!HF231,"~","~~"),"*","~*"),"?","~?"),'Calculations'!$HN$13:$HN$512,"="&amp;SUBSTITUTE(SUBSTITUTE(SUBSTITUTE('Dashboard'!$B$7,"~","~~"),"*","~*"),"?","~?"))+COUNTIFS('Calculations'!$IA$13:$IA$512,"="&amp;SUBSTITUTE(SUBSTITUTE(SUBSTITUTE('Calculations'!HF231,"~","~~"),"*","~*"),"?","~?"),'Calculations'!$HN$13:$HN$512,"="&amp;SUBSTITUTE(SUBSTITUTE(SUBSTITUTE('Dashboard'!$B$7,"~","~~"),"*","~*"),"?","~?"))+COUNTIFS('Calculations'!$IB$13:$IB$512,"="&amp;SUBSTITUTE(SUBSTITUTE(SUBSTITUTE('Calculations'!HF231,"~","~~"),"*","~*"),"?","~?"),'Calculations'!$HN$13:$HN$512,"="&amp;SUBSTITUTE(SUBSTITUTE(SUBSTITUTE('Dashboard'!$B$7,"~","~~"),"*","~*"),"?","~?"))+COUNTIFS('Calculations'!$IC$13:$IC$512,"="&amp;SUBSTITUTE(SUBSTITUTE(SUBSTITUTE('Calculations'!HF231,"~","~~"),"*","~*"),"?","~?"),'Calculations'!$HN$13:$HN$512,"="&amp;SUBSTITUTE(SUBSTITUTE(SUBSTITUTE('Dashboard'!$B$7,"~","~~"),"*","~*"),"?","~?"))+COUNTIFS('Calculations'!$ID$13:$ID$512,"="&amp;SUBSTITUTE(SUBSTITUTE(SUBSTITUTE('Calculations'!HF231,"~","~~"),"*","~*"),"?","~?"),'Calculations'!$HN$13:$HN$512,"="&amp;SUBSTITUTE(SUBSTITUTE(SUBSTITUTE('Dashboard'!$B$7,"~","~~"),"*","~*"),"?","~?"))+COUNTIFS('Calculations'!$IE$13:$IE$512,"="&amp;SUBSTITUTE(SUBSTITUTE(SUBSTITUTE('Calculations'!HF231,"~","~~"),"*","~*"),"?","~?"),'Calculations'!$HN$13:$HN$512,"="&amp;SUBSTITUTE(SUBSTITUTE(SUBSTITUTE('Dashboard'!$B$7,"~","~~"),"*","~*"),"?","~?"))+COUNTIFS('Calculations'!$IF$13:$IF$512,"="&amp;SUBSTITUTE(SUBSTITUTE(SUBSTITUTE('Calculations'!HF231,"~","~~"),"*","~*"),"?","~?"),'Calculations'!$HN$13:$HN$512,"="&amp;SUBSTITUTE(SUBSTITUTE(SUBSTITUTE('Dashboard'!$B$7,"~","~~"),"*","~*"),"?","~?"))+COUNTIFS('Calculations'!$IG$13:$IG$512,"="&amp;SUBSTITUTE(SUBSTITUTE(SUBSTITUTE('Calculations'!HF231,"~","~~"),"*","~*"),"?","~?"),'Calculations'!$HN$13:$HN$512,"="&amp;SUBSTITUTE(SUBSTITUTE(SUBSTITUTE('Dashboard'!$B$7,"~","~~"),"*","~*"),"?","~?"))+COUNTIFS('Calculations'!$IH$13:$IH$512,"="&amp;SUBSTITUTE(SUBSTITUTE(SUBSTITUTE('Calculations'!HF231,"~","~~"),"*","~*"),"?","~?"),'Calculations'!$HN$13:$HN$512,"="&amp;SUBSTITUTE(SUBSTITUTE(SUBSTITUTE('Dashboard'!$B$7,"~","~~"),"*","~*"),"?","~?"))))</x:f>
        <x:v>0</x:v>
      </x:c>
      <x:c r="JD231" t="n">
        <x:f>IF('Calculations'!EM231="",0,IF('Dashboard'!$B$7="All",1,IF('Calculations'!HN231='Dashboard'!$B$7,1,0)+IFERROR(INDEX('Calculations'!$JC$13:$JC$512,MATCH('Calculations'!HE231,'Calculations'!$HF$13:$HF$512,0)),0)))</x:f>
        <x:v>0</x:v>
      </x:c>
      <x:c r="JE231" t="n">
        <x:f>IF(AND('Calculations'!EM231&lt;&gt;"",'Calculations'!$JJ$2&lt;&gt;"All",'Calculations'!$JJ$2&lt;&gt;"",'Calculations'!HF231='Calculations'!$JJ$2,'Calculations'!HL231=0,'Calculations'!JD231&gt;0),MAX('Calculations'!$JE$12:JE230)+1,0)</x:f>
        <x:v>0</x:v>
      </x:c>
      <x:c r="JF231" t="str">
        <x:f>IF('Calculations'!EM231="","",IFERROR(IF(INDEX(INDIRECT("'WCM Calibration Final'!$G$1:$G$2000"),'Calculations'!$EM231)="","",TRIM(INDEX(INDIRECT("'WCM Calibration Final'!$G$1:$G$2000"),'Calculations'!$EM231)&amp;"")),""))</x:f>
      </x:c>
      <x:c r="JQ231" t="n">
        <x:f>IF(OR('Calculations'!BM231=0,NOT('Calculations'!$AG$2),'Calculations'!$AG$8&gt;0),0,IF(OR('Dashboard'!$B$7="All",'Calculations'!HN231='Dashboard'!$B$7),IF('Calculations'!$JJ$2="All",1,IF(AND('Calculations'!HF231='Calculations'!$JJ$2,'Calculations'!HL231=0),1,0)),0))</x:f>
        <x:v>0</x:v>
      </x:c>
    </x:row>
    <x:row r="232">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t="n">
        <x:f>IF('Calculations'!$EM232="",0,IF(OR(IFERROR(INDEX(INDIRECT("'WCM Calibration Final'!$A$1:$A$2000"),'Calculations'!$EM232)&lt;&gt;"",FALSE),IFERROR(INDEX(INDIRECT("'WCM Calibration Final'!$B$1:$B$2000"),'Calculations'!$EM232)&lt;&gt;"",FALSE),IFERROR(INDEX(INDIRECT("'WCM Calibration Final'!$C$1:$C$2000"),'Calculations'!$EM232)&lt;&gt;"",FALSE)),1,0))</x:f>
        <x:v>0</x:v>
      </x:c>
      <x:c r="BN232" s="4" t="n">
        <x:f>IF(AND('Calculations'!BM232=1,'Calculations'!$AG$2,'Calculations'!$EN232=1),1,0)</x:f>
        <x:v>0</x:v>
      </x:c>
      <x:c r="BO232" s="4" t="str">
        <x:f>IF('Calculations'!BM232=0,"",IFERROR(IF(AND(VALUE(INDEX(INDIRECT("'WCM Calibration Final'!$K$1:$K$2000"),'Calculations'!$EM232))&gt;=1,VALUE(INDEX(INDIRECT("'WCM Calibration Final'!$K$1:$K$2000"),'Calculations'!$EM232))&lt;=4,MOD(VALUE(INDEX(INDIRECT("'WCM Calibration Final'!$K$1:$K$2000"),'Calculations'!$EM232)),1)=0),VALUE(INDEX(INDIRECT("'WCM Calibration Final'!$K$1:$K$2000"),'Calculations'!$EM232)),""),""))</x:f>
      </x:c>
      <x:c r="BP232" s="4" t="str">
        <x:f>IF('Calculations'!BM232=0,"",IFERROR(IF(AND(VALUE(INDEX(INDIRECT("'WCM Calibration Final'!$L$1:$L$2000"),'Calculations'!$EM232))&gt;=1,VALUE(INDEX(INDIRECT("'WCM Calibration Final'!$L$1:$L$2000"),'Calculations'!$EM232))&lt;=4,MOD(VALUE(INDEX(INDIRECT("'WCM Calibration Final'!$L$1:$L$2000"),'Calculations'!$EM232)),1)=0),VALUE(INDEX(INDIRECT("'WCM Calibration Final'!$L$1:$L$2000"),'Calculations'!$EM232)),""),""))</x:f>
      </x:c>
      <x:c r="BQ232" s="4"/>
      <x:c r="BR232" s="4"/>
      <x:c r="BS232" s="4"/>
      <x:c r="BT232" s="4" t="n">
        <x:f>IF(AND('Calculations'!BM232=1,ISNUMBER('Calculations'!BO232),ISNUMBER('Calculations'!BP232)),1,0)</x:f>
        <x:v>0</x:v>
      </x:c>
      <x:c r="BU232" s="4" t="str">
        <x:f>IF('Calculations'!BM232=0,"",'Calculations'!$EO232)</x:f>
      </x:c>
      <x:c r="BV232" s="4" t="str">
        <x:f>IF('Calculations'!BM232=0,"",IFERROR(IF(OR(INDEX(INDIRECT("'WCM Calibration Final'!$H$1:$H$2000"),'Calculations'!$EM232)="MANAGING DIRECTOR",INDEX(INDIRECT("'WCM Calibration Final'!$H$1:$H$2000"),'Calculations'!$EM232)="DIRECTOR",INDEX(INDIRECT("'WCM Calibration Final'!$H$1:$H$2000"),'Calculations'!$EM232)="SENIOR VICE PRESIDENT",INDEX(INDIRECT("'WCM Calibration Final'!$H$1:$H$2000"),'Calculations'!$EM232)="VICE PRESIDENT",INDEX(INDIRECT("'WCM Calibration Final'!$H$1:$H$2000"),'Calculations'!$EM232)="ASSISTANT VICE PRESIDENT",INDEX(INDIRECT("'WCM Calibration Final'!$H$1:$H$2000"),'Calculations'!$EM232)="OFFICER"),UPPER(INDEX(INDIRECT("'WCM Calibration Final'!$H$1:$H$2000"),'Calculations'!$EM232)),"Other"),"Other"))</x:f>
      </x:c>
      <x:c r="BW232" s="4"/>
      <x:c r="BX232" s="4"/>
      <x:c r="BY232" s="4" t="n">
        <x:f>IF(AND('Calculations'!BM232=1,'Calculations'!BU232&lt;&gt;"",COUNTIF('Calculations'!$BU$12:BU232,'Calculations'!BU232)=1),MAX('Calculations'!$BY$11:BY231)+1,0)</x:f>
        <x:v>0</x:v>
      </x:c>
      <x:c r="BZ232" s="4" t="str">
        <x:f>IF('Dashboard'!$E$67="What",'Calculations'!BO232,'Calculations'!BP232)</x:f>
      </x:c>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t="str">
        <x:f>IF(221&gt;MAX('Calculations'!$HI$13:$HI$512),"",INDEX('Calculations'!$HN$13:$HN$512,MATCH(221,'Calculations'!$HI$13:$HI$512,0)))</x:f>
      </x:c>
      <x:c r="DB232" s="4" t="str">
        <x:f>IF(221&gt;MAX('Calculations'!$HH$13:$HH$512),"",INDEX('Calculations'!$HJ$13:$HJ$512,MATCH(221,'Calculations'!$HH$13:$HH$512,0)))</x:f>
      </x:c>
      <x:c r="DC232" s="4" t="str">
        <x:f>IF(ROW()-11&gt;MAX('Calculations'!$BY$13:$BY$512),"",INDEX('Calculations'!$BU$13:$BU$512,MATCH(ROW()-11,'Calculations'!$BY$13:$BY$512,0)))</x:f>
      </x:c>
      <x:c r="DD232" s="4" t="str">
        <x:f>IF(221&gt;MAX('Calculations'!$IK$13:$IK$512),"",INDEX('Calculations'!$HK$13:$HK$512,MATCH(221,'Calculations'!$IK$13:$IK$512,0)))</x:f>
      </x:c>
      <x:c r="DE232" s="4" t="str">
        <x:f>'Calculations'!DC232</x:f>
      </x:c>
      <x:c r="DF232" s="4" t="str">
        <x:f>IF('Calculations'!DE232="","",COUNTIFS('Calculations'!$BN$13:$BN$512,1,'Calculations'!$BU$13:$BU$512,'Calculations'!DE232))</x:f>
      </x:c>
      <x:c r="DG232" s="4" t="str">
        <x:f>IF('Calculations'!DE232="","",COUNTIFS('Calculations'!$BN$13:$BN$512,1,'Calculations'!$BU$13:$BU$512,'Calculations'!DE232,'Calculations'!$BT$13:$BT$512,1))</x:f>
      </x:c>
      <x:c r="DH232" s="4" t="str">
        <x:f>IF('Calculations'!DE232="","",'Calculations'!DF232-'Calculations'!DG232)</x:f>
      </x:c>
      <x:c r="DI232" s="4" t="str">
        <x:f>IF(OR('Calculations'!DE232="",'Calculations'!DF232=0),"",'Calculations'!DG232/'Calculations'!DF232)</x:f>
      </x:c>
      <x:c r="DJ232" s="4" t="str">
        <x:f>IF('Calculations'!DE232="","",COUNTIFS('Calculations'!$BN$13:$BN$512,1,'Calculations'!$BU$13:$BU$512,'Calculations'!DE232,'Calculations'!$BT$13:$BT$512,1,'Calculations'!$EE$13:$EE$512,"High"))</x:f>
      </x:c>
      <x:c r="DK232" s="4" t="str">
        <x:f>IF('Calculations'!DE232="","",COUNTIFS('Calculations'!$BN$13:$BN$512,1,'Calculations'!$BU$13:$BU$512,'Calculations'!DE232,'Calculations'!$BT$13:$BT$512,1,'Calculations'!$EE$13:$EE$512,"Strong"))</x:f>
      </x:c>
      <x:c r="DL232" s="4" t="str">
        <x:f>IF('Calculations'!DE232="","",COUNTIFS('Calculations'!$BN$13:$BN$512,1,'Calculations'!$BU$13:$BU$512,'Calculations'!DE232,'Calculations'!$BT$13:$BT$512,1,'Calculations'!$EE$13:$EE$512,"Solid"))</x:f>
      </x:c>
      <x:c r="DM232" s="4" t="str">
        <x:f>IF('Calculations'!DE232="","",COUNTIFS('Calculations'!$BN$13:$BN$512,1,'Calculations'!$BU$13:$BU$512,'Calculations'!DE232,'Calculations'!$BT$13:$BT$512,1,'Calculations'!$EE$13:$EE$512,"Low"))</x:f>
      </x:c>
      <x:c r="DN232" s="4" t="str">
        <x:f>IF('Calculations'!DE232="","",COUNTIFS('Calculations'!$BN$13:$BN$512,1,'Calculations'!$BU$13:$BU$512,'Calculations'!DE232,'Calculations'!$EP$13:$EP$512,1))</x:f>
      </x:c>
      <x:c r="DO232" s="4" t="str">
        <x:f>IF(OR('Calculations'!DE232="",'Calculations'!DG232=0),"",('Calculations'!DJ232+'Calculations'!DK232)/'Calculations'!DG232)</x:f>
      </x:c>
      <x:c r="DP232" s="4" t="n">
        <x:f>IF(AND('Calculations'!DE232&lt;&gt;"",'Calculations'!DF232&gt;0),COUNTIF('Calculations'!$DF$12:DF232,"&gt;0"),0)</x:f>
        <x:v>0</x:v>
      </x:c>
      <x:c r="DQ232" s="4" t="str">
        <x:f>IF(221&gt;MAX('Calculations'!$HH$13:$HH$512),"",INDEX('Calculations'!$HF$13:$HF$512,MATCH(221,'Calculations'!$HH$13:$HH$512,0)))</x:f>
      </x:c>
      <x:c r="DR232" s="4" t="str">
        <x:f>IF(221&gt;MAX('Calculations'!$IK$13:$IK$512),"",INDEX('Calculations'!$HE$13:$HE$512,MATCH(221,'Calculations'!$IK$13:$IK$512,0)))</x:f>
      </x:c>
      <x:c r="DS232" s="4"/>
      <x:c r="DT232" s="4"/>
      <x:c r="DU232" s="4"/>
      <x:c r="DV232" s="4"/>
      <x:c r="DW232" s="4"/>
      <x:c r="DX232" s="4"/>
      <x:c r="DY232" s="4"/>
      <x:c r="DZ232" s="4"/>
      <x:c r="EA232" s="4"/>
      <x:c r="EB232" s="4"/>
      <x:c r="EC232" s="4"/>
      <x:c r="ED232" s="4"/>
      <x:c r="EE232" s="4" t="str">
        <x:f>IF('Calculations'!BT232=0,"Not Rated",IF(OR('Calculations'!BO232&gt;=4,'Calculations'!BP232&gt;=4),"Low",IF('Calculations'!BO232+'Calculations'!BP232&lt;=3,"High",IF('Calculations'!BO232+'Calculations'!BP232&lt;=4,"Strong","Solid"))))</x:f>
        <x:v>Not Rated</x:v>
      </x:c>
      <x:c r="EF232" s="4"/>
      <x:c r="EG232" s="4"/>
      <x:c r="EH232" s="4"/>
      <x:c r="EI232" s="4"/>
      <x:c r="EJ232" s="4"/>
      <x:c r="EK232" s="4"/>
      <x:c r="EL232" s="4"/>
      <x:c r="EM232" s="4" t="str">
        <x:f>IF(220&gt;'Calculations'!$JB$2000,"",INDEX('Calculations'!$JA$12:$JA$2000,MATCH(220,'Calculations'!$JB$12:$JB$2000,0)))</x:f>
      </x:c>
      <x:c r="EN232" s="4" t="n">
        <x:f>IF(OR('Calculations'!EM232="",'Calculations'!$AG$8&gt;0,AND('Calculations'!$EF$2&lt;&gt;"All",'Calculations'!HE232='Calculations'!$EF$2),AND('Calculations'!$EF$3&lt;&gt;"All",'Calculations'!HE232='Calculations'!$EF$3)),0,IF(OR('Dashboard'!$B$7="All",'Calculations'!HN232='Dashboard'!$B$7),IF('Calculations'!$EF$2="All",1,IF('Calculations'!HL232&gt;0,0,IF(COUNTIF('Calculations'!HO232:II232,"="&amp;SUBSTITUTE(SUBSTITUTE(SUBSTITUTE('Calculations'!$EF$2,"~","~~"),"*","~*"),"?","~?"))=0,0,IF('Calculations'!$EF$3="All",1,IF(COUNTIF('Calculations'!HO232:II232,"="&amp;SUBSTITUTE(SUBSTITUTE(SUBSTITUTE('Calculations'!$EF$3,"~","~~"),"*","~*"),"?","~?"))&gt;0,1,0))))),0))</x:f>
        <x:v>0</x:v>
      </x:c>
      <x:c r="EO232" s="4" t="str">
        <x:f>IF('Calculations'!IJ232="","",IF('Calculations'!IJ232="!UNRESOLVED","Unresolved hierarchy",IFERROR(INDEX('Calculations'!$HK$13:$HK$512,MATCH('Calculations'!IJ232,'Calculations'!$HE$13:$HE$512,0)),IFERROR(INDEX('Calculations'!$HJ$13:$HJ$512,MATCH('Calculations'!IJ232,'Calculations'!$HF$13:$HF$512,0)),'Calculations'!IJ232))))</x:f>
      </x:c>
      <x:c r="EP232" s="4" t="n">
        <x:f>IF(AND('Calculations'!EM232&lt;&gt;"",'Calculations'!HF232='Calculations'!IJ232),1,0)</x:f>
        <x:v>0</x:v>
      </x:c>
      <x:c r="EQ232" s="4"/>
      <x:c r="ER232" s="4"/>
      <x:c r="ES232" s="4"/>
      <x:c r="ET232" s="4"/>
      <x:c r="EU232" s="4"/>
      <x:c r="EV232" s="4"/>
      <x:c r="EW232" s="4"/>
      <x:c r="EX232" s="4"/>
      <x:c r="EY232" s="4"/>
      <x:c r="EZ232" s="4"/>
      <x:c r="FA232" s="4"/>
      <x:c r="FB232" s="4"/>
      <x:c r="FC232" s="4"/>
      <x:c r="FD232" s="4"/>
      <x:c r="FE232" s="4"/>
      <x:c r="FF232" s="4"/>
      <x:c r="FG232" s="4"/>
      <x:c r="FH232" s="4"/>
      <x:c r="FI232" s="4"/>
      <x:c r="FJ232" s="4"/>
      <x:c r="FK232" s="4"/>
      <x:c r="FL232" s="4"/>
      <x:c r="FM232" s="4"/>
      <x:c r="FN232" s="4"/>
      <x:c r="FO232" s="4"/>
      <x:c r="HE232" t="str">
        <x:f>IF('Calculations'!EM232="","",IF(IFERROR(IF(INDEX(INDIRECT("'WCM Calibration Final'!$A$1:$A$2000"),'Calculations'!$EM232)="","",TRIM(INDEX(INDIRECT("'WCM Calibration Final'!$A$1:$A$2000"),'Calculations'!$EM232)&amp;"")),"")&lt;&gt;"","G:"&amp;IFERROR(TEXT(1*INDEX(INDIRECT("'WCM Calibration Final'!$A$1:$A$2000"),'Calculations'!$EM232),"0"),UPPER(IFERROR(IF(INDEX(INDIRECT("'WCM Calibration Final'!$A$1:$A$2000"),'Calculations'!$EM232)="","",TRIM(INDEX(INDIRECT("'WCM Calibration Final'!$A$1:$A$2000"),'Calculations'!$EM232)&amp;"")),""))),IF(IFERROR(IF(INDEX(INDIRECT("'WCM Calibration Final'!$C$1:$C$2000"),'Calculations'!$EM232)="","",TRIM(INDEX(INDIRECT("'WCM Calibration Final'!$C$1:$C$2000"),'Calculations'!$EM232)&amp;"")),"")&lt;&gt;"","S:"&amp;UPPER(IFERROR(IF(INDEX(INDIRECT("'WCM Calibration Final'!$C$1:$C$2000"),'Calculations'!$EM232)="","",TRIM(INDEX(INDIRECT("'WCM Calibration Final'!$C$1:$C$2000"),'Calculations'!$EM232)&amp;"")),"")),"R:"&amp;'Calculations'!EM232)))</x:f>
      </x:c>
      <x:c r="HF232" t="str">
        <x:f>IF('Calculations'!EM232="","",IF(IFERROR(IF(INDEX(INDIRECT("'WCM Calibration Final'!$D$1:$D$2000"),'Calculations'!$EM232)="","",TRIM(INDEX(INDIRECT("'WCM Calibration Final'!$D$1:$D$2000"),'Calculations'!$EM232)&amp;"")),"")&lt;&gt;"","G:"&amp;IFERROR(TEXT(1*INDEX(INDIRECT("'WCM Calibration Final'!$D$1:$D$2000"),'Calculations'!$EM232),"0"),UPPER(IFERROR(IF(INDEX(INDIRECT("'WCM Calibration Final'!$D$1:$D$2000"),'Calculations'!$EM232)="","",TRIM(INDEX(INDIRECT("'WCM Calibration Final'!$D$1:$D$2000"),'Calculations'!$EM232)&amp;"")),""))),IF(IFERROR(IF(INDEX(INDIRECT("'WCM Calibration Final'!$E$1:$E$2000"),'Calculations'!$EM232)="","",TRIM(INDEX(INDIRECT("'WCM Calibration Final'!$E$1:$E$2000"),'Calculations'!$EM232)&amp;"")),"")="","",IF(COUNTIF('Calculations'!$HG$13:$HG$512,"="&amp;SUBSTITUTE(SUBSTITUTE(SUBSTITUTE(IFERROR(IF(INDEX(INDIRECT("'WCM Calibration Final'!$E$1:$E$2000"),'Calculations'!$EM232)="","",TRIM(INDEX(INDIRECT("'WCM Calibration Final'!$E$1:$E$2000"),'Calculations'!$EM232)&amp;"")),""),"~","~~"),"*","~*"),"?","~?"))=1,INDEX('Calculations'!$HE$13:$HE$512,MATCH(IFERROR(IF(INDEX(INDIRECT("'WCM Calibration Final'!$E$1:$E$2000"),'Calculations'!$EM232)="","",TRIM(INDEX(INDIRECT("'WCM Calibration Final'!$E$1:$E$2000"),'Calculations'!$EM232)&amp;"")),""),'Calculations'!$HG$13:$HG$512,0)),IF(COUNTIF('Calculations'!$HG$13:$HG$512,"="&amp;SUBSTITUTE(SUBSTITUTE(SUBSTITUTE(IFERROR(IF(INDEX(INDIRECT("'WCM Calibration Final'!$E$1:$E$2000"),'Calculations'!$EM232)="","",TRIM(INDEX(INDIRECT("'WCM Calibration Final'!$E$1:$E$2000"),'Calculations'!$EM232)&amp;"")),""),"~","~~"),"*","~*"),"?","~?"))&gt;1,"!AMBIG","X:"&amp;IFERROR(IF(INDEX(INDIRECT("'WCM Calibration Final'!$E$1:$E$2000"),'Calculations'!$EM232)="","",TRIM(INDEX(INDIRECT("'WCM Calibration Final'!$E$1:$E$2000"),'Calculations'!$EM232)&amp;"")),""))))))</x:f>
      </x:c>
      <x:c r="HG232" t="str">
        <x:f>IF('Calculations'!EM232="","",IFERROR(IF(INDEX(INDIRECT("'WCM Calibration Final'!$B$1:$B$2000"),'Calculations'!$EM232)="","",TRIM(INDEX(INDIRECT("'WCM Calibration Final'!$B$1:$B$2000"),'Calculations'!$EM232)&amp;"")),""))</x:f>
      </x:c>
      <x:c r="HH232" t="n">
        <x:f>IF(AND('Calculations'!JC232&gt;0,COUNTIF('Calculations'!$HF$12:HF232,"="&amp;SUBSTITUTE(SUBSTITUTE(SUBSTITUTE('Calculations'!HF232,"~","~~"),"*","~*"),"?","~?"))=1),MAX('Calculations'!$HH$12:HH231)+1,0)</x:f>
        <x:v>0</x:v>
      </x:c>
      <x:c r="HI232" t="n">
        <x:f>IF(AND('Calculations'!HN232&lt;&gt;"",COUNTIF('Calculations'!$HN$12:HN232,"="&amp;SUBSTITUTE(SUBSTITUTE(SUBSTITUTE('Calculations'!HN232,"~","~~"),"*","~*"),"?","~?"))=1),MAX('Calculations'!$HI$12:HI231)+1,0)</x:f>
        <x:v>0</x:v>
      </x:c>
      <x:c r="HJ232" t="str">
        <x:f>IF('Calculations'!HF232="","",IF(COUNTIF('Calculations'!$HE$13:$HE$512,"="&amp;SUBSTITUTE(SUBSTITUTE(SUBSTITUTE('Calculations'!HF232,"~","~~"),"*","~*"),"?","~?"))=1,INDEX('Calculations'!$HK$13:$HK$512,MATCH('Calculations'!HF232,'Calculations'!$HE$13:$HE$512,0)),IFERROR(IF(INDEX(INDIRECT("'WCM Calibration Final'!$E$1:$E$2000"),'Calculations'!$EM232)="","",TRIM(INDEX(INDIRECT("'WCM Calibration Final'!$E$1:$E$2000"),'Calculations'!$EM232)&amp;"")),"")&amp;" ["&amp;'Calculations'!HF232&amp;"]"))</x:f>
      </x:c>
      <x:c r="HK232" t="str">
        <x:f>IF('Calculations'!EM232="","",'Calculations'!HG232&amp;" ["&amp;'Calculations'!HE232&amp;"]")</x:f>
      </x:c>
      <x:c r="HL232" t="n">
        <x:f>IF('Calculations'!EM232="",0,IF(OR('Calculations'!II232&lt;&gt;"",COUNTIF('Calculations'!$HE$13:$HE$512,"="&amp;SUBSTITUTE(SUBSTITUTE(SUBSTITUTE('Calculations'!HE232,"~","~~"),"*","~*"),"?","~?"))&gt;1),1,0))</x:f>
        <x:v>0</x:v>
      </x:c>
      <x:c r="HM232" t="str">
        <x:f>IF('Calculations'!EM232="","",IF('Calculations'!HL232=1,"!UNRESOLVED",IF('Calculations'!IH232&lt;&gt;"",'Calculations'!IH232,IF('Calculations'!IG232&lt;&gt;"",'Calculations'!IG232,IF('Calculations'!IF232&lt;&gt;"",'Calculations'!IF232,IF('Calculations'!IE232&lt;&gt;"",'Calculations'!IE232,IF('Calculations'!ID232&lt;&gt;"",'Calculations'!ID232,IF('Calculations'!IC232&lt;&gt;"",'Calculations'!IC232,IF('Calculations'!IB232&lt;&gt;"",'Calculations'!IB232,IF('Calculations'!IA232&lt;&gt;"",'Calculations'!IA232,IF('Calculations'!HZ232&lt;&gt;"",'Calculations'!HZ232,IF('Calculations'!HY232&lt;&gt;"",'Calculations'!HY232,IF('Calculations'!HX232&lt;&gt;"",'Calculations'!HX232,IF('Calculations'!HW232&lt;&gt;"",'Calculations'!HW232,IF('Calculations'!HV232&lt;&gt;"",'Calculations'!HV232,IF('Calculations'!HU232&lt;&gt;"",'Calculations'!HU232,IF('Calculations'!HT232&lt;&gt;"",'Calculations'!HT232,IF('Calculations'!HS232&lt;&gt;"",'Calculations'!HS232,IF('Calculations'!HR232&lt;&gt;"",'Calculations'!HR232,IF('Calculations'!HQ232&lt;&gt;"",'Calculations'!HQ232,IF('Calculations'!HP232&lt;&gt;"",'Calculations'!HP232,IF('Calculations'!HO232&lt;&gt;"",'Calculations'!HO232,'Calculations'!HE232))))))))))))))))))))))</x:f>
      </x:c>
      <x:c r="HN232" t="str">
        <x:f>IF('Calculations'!EM232="","",IF(IFERROR(IF(INDEX(INDIRECT("'WCM Calibration Final'!$F$1:$F$2000"),'Calculations'!$EM232)="","",TRIM(INDEX(INDIRECT("'WCM Calibration Final'!$F$1:$F$2000"),'Calculations'!$EM232)&amp;"")),"")="","(Blank)",IFERROR(IF(INDEX(INDIRECT("'WCM Calibration Final'!$F$1:$F$2000"),'Calculations'!$EM232)="","",TRIM(INDEX(INDIRECT("'WCM Calibration Final'!$F$1:$F$2000"),'Calculations'!$EM232)&amp;"")),"")))</x:f>
      </x:c>
      <x:c r="HO232" t="str">
        <x:f>'Calculations'!HF232</x:f>
      </x:c>
      <x:c r="HP232" t="str">
        <x:f>IF('Calculations'!HO232="","",IF('Calculations'!HO232="!AMBIG","!AMBIG",IF(COUNTIF('Calculations'!$HE$13:$HE$512,"="&amp;SUBSTITUTE(SUBSTITUTE(SUBSTITUTE('Calculations'!HO232,"~","~~"),"*","~*"),"?","~?"))&gt;1,"!AMBIG",IFERROR(INDEX('Calculations'!$HF$13:$HF$512,MATCH('Calculations'!HO232,'Calculations'!$HE$13:$HE$512,0)),""))))</x:f>
      </x:c>
      <x:c r="HQ232" t="str">
        <x:f>IF('Calculations'!HP232="","",IF('Calculations'!HP232="!AMBIG","!AMBIG",IF(COUNTIF('Calculations'!$HE$13:$HE$512,"="&amp;SUBSTITUTE(SUBSTITUTE(SUBSTITUTE('Calculations'!HP232,"~","~~"),"*","~*"),"?","~?"))&gt;1,"!AMBIG",IFERROR(INDEX('Calculations'!$HF$13:$HF$512,MATCH('Calculations'!HP232,'Calculations'!$HE$13:$HE$512,0)),""))))</x:f>
      </x:c>
      <x:c r="HR232" t="str">
        <x:f>IF('Calculations'!HQ232="","",IF('Calculations'!HQ232="!AMBIG","!AMBIG",IF(COUNTIF('Calculations'!$HE$13:$HE$512,"="&amp;SUBSTITUTE(SUBSTITUTE(SUBSTITUTE('Calculations'!HQ232,"~","~~"),"*","~*"),"?","~?"))&gt;1,"!AMBIG",IFERROR(INDEX('Calculations'!$HF$13:$HF$512,MATCH('Calculations'!HQ232,'Calculations'!$HE$13:$HE$512,0)),""))))</x:f>
      </x:c>
      <x:c r="HS232" t="str">
        <x:f>IF('Calculations'!HR232="","",IF('Calculations'!HR232="!AMBIG","!AMBIG",IF(COUNTIF('Calculations'!$HE$13:$HE$512,"="&amp;SUBSTITUTE(SUBSTITUTE(SUBSTITUTE('Calculations'!HR232,"~","~~"),"*","~*"),"?","~?"))&gt;1,"!AMBIG",IFERROR(INDEX('Calculations'!$HF$13:$HF$512,MATCH('Calculations'!HR232,'Calculations'!$HE$13:$HE$512,0)),""))))</x:f>
      </x:c>
      <x:c r="HT232" t="str">
        <x:f>IF('Calculations'!HS232="","",IF('Calculations'!HS232="!AMBIG","!AMBIG",IF(COUNTIF('Calculations'!$HE$13:$HE$512,"="&amp;SUBSTITUTE(SUBSTITUTE(SUBSTITUTE('Calculations'!HS232,"~","~~"),"*","~*"),"?","~?"))&gt;1,"!AMBIG",IFERROR(INDEX('Calculations'!$HF$13:$HF$512,MATCH('Calculations'!HS232,'Calculations'!$HE$13:$HE$512,0)),""))))</x:f>
      </x:c>
      <x:c r="HU232" t="str">
        <x:f>IF('Calculations'!HT232="","",IF('Calculations'!HT232="!AMBIG","!AMBIG",IF(COUNTIF('Calculations'!$HE$13:$HE$512,"="&amp;SUBSTITUTE(SUBSTITUTE(SUBSTITUTE('Calculations'!HT232,"~","~~"),"*","~*"),"?","~?"))&gt;1,"!AMBIG",IFERROR(INDEX('Calculations'!$HF$13:$HF$512,MATCH('Calculations'!HT232,'Calculations'!$HE$13:$HE$512,0)),""))))</x:f>
      </x:c>
      <x:c r="HV232" t="str">
        <x:f>IF('Calculations'!HU232="","",IF('Calculations'!HU232="!AMBIG","!AMBIG",IF(COUNTIF('Calculations'!$HE$13:$HE$512,"="&amp;SUBSTITUTE(SUBSTITUTE(SUBSTITUTE('Calculations'!HU232,"~","~~"),"*","~*"),"?","~?"))&gt;1,"!AMBIG",IFERROR(INDEX('Calculations'!$HF$13:$HF$512,MATCH('Calculations'!HU232,'Calculations'!$HE$13:$HE$512,0)),""))))</x:f>
      </x:c>
      <x:c r="HW232" t="str">
        <x:f>IF('Calculations'!HV232="","",IF('Calculations'!HV232="!AMBIG","!AMBIG",IF(COUNTIF('Calculations'!$HE$13:$HE$512,"="&amp;SUBSTITUTE(SUBSTITUTE(SUBSTITUTE('Calculations'!HV232,"~","~~"),"*","~*"),"?","~?"))&gt;1,"!AMBIG",IFERROR(INDEX('Calculations'!$HF$13:$HF$512,MATCH('Calculations'!HV232,'Calculations'!$HE$13:$HE$512,0)),""))))</x:f>
      </x:c>
      <x:c r="HX232" t="str">
        <x:f>IF('Calculations'!HW232="","",IF('Calculations'!HW232="!AMBIG","!AMBIG",IF(COUNTIF('Calculations'!$HE$13:$HE$512,"="&amp;SUBSTITUTE(SUBSTITUTE(SUBSTITUTE('Calculations'!HW232,"~","~~"),"*","~*"),"?","~?"))&gt;1,"!AMBIG",IFERROR(INDEX('Calculations'!$HF$13:$HF$512,MATCH('Calculations'!HW232,'Calculations'!$HE$13:$HE$512,0)),""))))</x:f>
      </x:c>
      <x:c r="HY232" t="str">
        <x:f>IF('Calculations'!HX232="","",IF('Calculations'!HX232="!AMBIG","!AMBIG",IF(COUNTIF('Calculations'!$HE$13:$HE$512,"="&amp;SUBSTITUTE(SUBSTITUTE(SUBSTITUTE('Calculations'!HX232,"~","~~"),"*","~*"),"?","~?"))&gt;1,"!AMBIG",IFERROR(INDEX('Calculations'!$HF$13:$HF$512,MATCH('Calculations'!HX232,'Calculations'!$HE$13:$HE$512,0)),""))))</x:f>
      </x:c>
      <x:c r="HZ232" t="str">
        <x:f>IF('Calculations'!HY232="","",IF('Calculations'!HY232="!AMBIG","!AMBIG",IF(COUNTIF('Calculations'!$HE$13:$HE$512,"="&amp;SUBSTITUTE(SUBSTITUTE(SUBSTITUTE('Calculations'!HY232,"~","~~"),"*","~*"),"?","~?"))&gt;1,"!AMBIG",IFERROR(INDEX('Calculations'!$HF$13:$HF$512,MATCH('Calculations'!HY232,'Calculations'!$HE$13:$HE$512,0)),""))))</x:f>
      </x:c>
      <x:c r="IA232" t="str">
        <x:f>IF('Calculations'!HZ232="","",IF('Calculations'!HZ232="!AMBIG","!AMBIG",IF(COUNTIF('Calculations'!$HE$13:$HE$512,"="&amp;SUBSTITUTE(SUBSTITUTE(SUBSTITUTE('Calculations'!HZ232,"~","~~"),"*","~*"),"?","~?"))&gt;1,"!AMBIG",IFERROR(INDEX('Calculations'!$HF$13:$HF$512,MATCH('Calculations'!HZ232,'Calculations'!$HE$13:$HE$512,0)),""))))</x:f>
      </x:c>
      <x:c r="IB232" t="str">
        <x:f>IF('Calculations'!IA232="","",IF('Calculations'!IA232="!AMBIG","!AMBIG",IF(COUNTIF('Calculations'!$HE$13:$HE$512,"="&amp;SUBSTITUTE(SUBSTITUTE(SUBSTITUTE('Calculations'!IA232,"~","~~"),"*","~*"),"?","~?"))&gt;1,"!AMBIG",IFERROR(INDEX('Calculations'!$HF$13:$HF$512,MATCH('Calculations'!IA232,'Calculations'!$HE$13:$HE$512,0)),""))))</x:f>
      </x:c>
      <x:c r="IC232" t="str">
        <x:f>IF('Calculations'!IB232="","",IF('Calculations'!IB232="!AMBIG","!AMBIG",IF(COUNTIF('Calculations'!$HE$13:$HE$512,"="&amp;SUBSTITUTE(SUBSTITUTE(SUBSTITUTE('Calculations'!IB232,"~","~~"),"*","~*"),"?","~?"))&gt;1,"!AMBIG",IFERROR(INDEX('Calculations'!$HF$13:$HF$512,MATCH('Calculations'!IB232,'Calculations'!$HE$13:$HE$512,0)),""))))</x:f>
      </x:c>
      <x:c r="ID232" t="str">
        <x:f>IF('Calculations'!IC232="","",IF('Calculations'!IC232="!AMBIG","!AMBIG",IF(COUNTIF('Calculations'!$HE$13:$HE$512,"="&amp;SUBSTITUTE(SUBSTITUTE(SUBSTITUTE('Calculations'!IC232,"~","~~"),"*","~*"),"?","~?"))&gt;1,"!AMBIG",IFERROR(INDEX('Calculations'!$HF$13:$HF$512,MATCH('Calculations'!IC232,'Calculations'!$HE$13:$HE$512,0)),""))))</x:f>
      </x:c>
      <x:c r="IE232" t="str">
        <x:f>IF('Calculations'!ID232="","",IF('Calculations'!ID232="!AMBIG","!AMBIG",IF(COUNTIF('Calculations'!$HE$13:$HE$512,"="&amp;SUBSTITUTE(SUBSTITUTE(SUBSTITUTE('Calculations'!ID232,"~","~~"),"*","~*"),"?","~?"))&gt;1,"!AMBIG",IFERROR(INDEX('Calculations'!$HF$13:$HF$512,MATCH('Calculations'!ID232,'Calculations'!$HE$13:$HE$512,0)),""))))</x:f>
      </x:c>
      <x:c r="IF232" t="str">
        <x:f>IF('Calculations'!IE232="","",IF('Calculations'!IE232="!AMBIG","!AMBIG",IF(COUNTIF('Calculations'!$HE$13:$HE$512,"="&amp;SUBSTITUTE(SUBSTITUTE(SUBSTITUTE('Calculations'!IE232,"~","~~"),"*","~*"),"?","~?"))&gt;1,"!AMBIG",IFERROR(INDEX('Calculations'!$HF$13:$HF$512,MATCH('Calculations'!IE232,'Calculations'!$HE$13:$HE$512,0)),""))))</x:f>
      </x:c>
      <x:c r="IG232" t="str">
        <x:f>IF('Calculations'!IF232="","",IF('Calculations'!IF232="!AMBIG","!AMBIG",IF(COUNTIF('Calculations'!$HE$13:$HE$512,"="&amp;SUBSTITUTE(SUBSTITUTE(SUBSTITUTE('Calculations'!IF232,"~","~~"),"*","~*"),"?","~?"))&gt;1,"!AMBIG",IFERROR(INDEX('Calculations'!$HF$13:$HF$512,MATCH('Calculations'!IF232,'Calculations'!$HE$13:$HE$512,0)),""))))</x:f>
      </x:c>
      <x:c r="IH232" t="str">
        <x:f>IF('Calculations'!IG232="","",IF('Calculations'!IG232="!AMBIG","!AMBIG",IF(COUNTIF('Calculations'!$HE$13:$HE$512,"="&amp;SUBSTITUTE(SUBSTITUTE(SUBSTITUTE('Calculations'!IG232,"~","~~"),"*","~*"),"?","~?"))&gt;1,"!AMBIG",IFERROR(INDEX('Calculations'!$HF$13:$HF$512,MATCH('Calculations'!IG232,'Calculations'!$HE$13:$HE$512,0)),""))))</x:f>
      </x:c>
      <x:c r="II232" t="str">
        <x:f>IF('Calculations'!IH232="","",IF('Calculations'!IH232="!AMBIG","!AMBIG",IF(COUNTIF('Calculations'!$HE$13:$HE$512,"="&amp;SUBSTITUTE(SUBSTITUTE(SUBSTITUTE('Calculations'!IH232,"~","~~"),"*","~*"),"?","~?"))&gt;1,"!AMBIG",IFERROR(INDEX('Calculations'!$HF$13:$HF$512,MATCH('Calculations'!IH232,'Calculations'!$HE$13:$HE$512,0)),""))))</x:f>
      </x:c>
      <x:c r="IJ232" t="str">
        <x:f>IF('Calculations'!EM232="","",IF('Calculations'!$EF$2="All",'Calculations'!HM232,IF('Calculations'!HL232=1,"",IFERROR(IF(MATCH('Calculations'!$EF$2,'Calculations'!HO232:II232,0)=1,'Calculations'!HE232,INDEX('Calculations'!HO232:II232,1,MATCH('Calculations'!$EF$2,'Calculations'!HO232:II232,0)-1)),""))))</x:f>
      </x:c>
      <x:c r="IK232" t="n">
        <x:f>IF(AND('Calculations'!EM232&lt;&gt;"",'Calculations'!$EF$2&lt;&gt;"All",'Calculations'!HF232='Calculations'!$EF$2,'Calculations'!HL232=0,'Calculations'!JD232&gt;0),MAX('Calculations'!$IK$12:IK231)+1,0)</x:f>
        <x:v>0</x:v>
      </x:c>
      <x:c r="JA232" t="n">
        <x:f>IF(OR(IFERROR(INDIRECT("'WCM Calibration Final'!$A$232")&lt;&gt;"",FALSE),IFERROR(INDIRECT("'WCM Calibration Final'!$B$232")&lt;&gt;"",FALSE),IFERROR(INDIRECT("'WCM Calibration Final'!$C$232")&lt;&gt;"",FALSE)),232,0)</x:f>
        <x:v>0</x:v>
      </x:c>
      <x:c r="JB232" t="n">
        <x:f>'Calculations'!JB231+IF('Calculations'!JA232&gt;0,1,0)</x:f>
        <x:v>0</x:v>
      </x:c>
      <x:c r="JC232" t="n">
        <x:f>IF(OR('Calculations'!HF232="",'Calculations'!HF232="!AMBIG"),0,IF('Dashboard'!$B$7="All",1,COUNTIFS('Calculations'!$HO$13:$HO$512,"="&amp;SUBSTITUTE(SUBSTITUTE(SUBSTITUTE('Calculations'!HF232,"~","~~"),"*","~*"),"?","~?"),'Calculations'!$HN$13:$HN$512,"="&amp;SUBSTITUTE(SUBSTITUTE(SUBSTITUTE('Dashboard'!$B$7,"~","~~"),"*","~*"),"?","~?"))+COUNTIFS('Calculations'!$HP$13:$HP$512,"="&amp;SUBSTITUTE(SUBSTITUTE(SUBSTITUTE('Calculations'!HF232,"~","~~"),"*","~*"),"?","~?"),'Calculations'!$HN$13:$HN$512,"="&amp;SUBSTITUTE(SUBSTITUTE(SUBSTITUTE('Dashboard'!$B$7,"~","~~"),"*","~*"),"?","~?"))+COUNTIFS('Calculations'!$HQ$13:$HQ$512,"="&amp;SUBSTITUTE(SUBSTITUTE(SUBSTITUTE('Calculations'!HF232,"~","~~"),"*","~*"),"?","~?"),'Calculations'!$HN$13:$HN$512,"="&amp;SUBSTITUTE(SUBSTITUTE(SUBSTITUTE('Dashboard'!$B$7,"~","~~"),"*","~*"),"?","~?"))+COUNTIFS('Calculations'!$HR$13:$HR$512,"="&amp;SUBSTITUTE(SUBSTITUTE(SUBSTITUTE('Calculations'!HF232,"~","~~"),"*","~*"),"?","~?"),'Calculations'!$HN$13:$HN$512,"="&amp;SUBSTITUTE(SUBSTITUTE(SUBSTITUTE('Dashboard'!$B$7,"~","~~"),"*","~*"),"?","~?"))+COUNTIFS('Calculations'!$HS$13:$HS$512,"="&amp;SUBSTITUTE(SUBSTITUTE(SUBSTITUTE('Calculations'!HF232,"~","~~"),"*","~*"),"?","~?"),'Calculations'!$HN$13:$HN$512,"="&amp;SUBSTITUTE(SUBSTITUTE(SUBSTITUTE('Dashboard'!$B$7,"~","~~"),"*","~*"),"?","~?"))+COUNTIFS('Calculations'!$HT$13:$HT$512,"="&amp;SUBSTITUTE(SUBSTITUTE(SUBSTITUTE('Calculations'!HF232,"~","~~"),"*","~*"),"?","~?"),'Calculations'!$HN$13:$HN$512,"="&amp;SUBSTITUTE(SUBSTITUTE(SUBSTITUTE('Dashboard'!$B$7,"~","~~"),"*","~*"),"?","~?"))+COUNTIFS('Calculations'!$HU$13:$HU$512,"="&amp;SUBSTITUTE(SUBSTITUTE(SUBSTITUTE('Calculations'!HF232,"~","~~"),"*","~*"),"?","~?"),'Calculations'!$HN$13:$HN$512,"="&amp;SUBSTITUTE(SUBSTITUTE(SUBSTITUTE('Dashboard'!$B$7,"~","~~"),"*","~*"),"?","~?"))+COUNTIFS('Calculations'!$HV$13:$HV$512,"="&amp;SUBSTITUTE(SUBSTITUTE(SUBSTITUTE('Calculations'!HF232,"~","~~"),"*","~*"),"?","~?"),'Calculations'!$HN$13:$HN$512,"="&amp;SUBSTITUTE(SUBSTITUTE(SUBSTITUTE('Dashboard'!$B$7,"~","~~"),"*","~*"),"?","~?"))+COUNTIFS('Calculations'!$HW$13:$HW$512,"="&amp;SUBSTITUTE(SUBSTITUTE(SUBSTITUTE('Calculations'!HF232,"~","~~"),"*","~*"),"?","~?"),'Calculations'!$HN$13:$HN$512,"="&amp;SUBSTITUTE(SUBSTITUTE(SUBSTITUTE('Dashboard'!$B$7,"~","~~"),"*","~*"),"?","~?"))+COUNTIFS('Calculations'!$HX$13:$HX$512,"="&amp;SUBSTITUTE(SUBSTITUTE(SUBSTITUTE('Calculations'!HF232,"~","~~"),"*","~*"),"?","~?"),'Calculations'!$HN$13:$HN$512,"="&amp;SUBSTITUTE(SUBSTITUTE(SUBSTITUTE('Dashboard'!$B$7,"~","~~"),"*","~*"),"?","~?"))+COUNTIFS('Calculations'!$HY$13:$HY$512,"="&amp;SUBSTITUTE(SUBSTITUTE(SUBSTITUTE('Calculations'!HF232,"~","~~"),"*","~*"),"?","~?"),'Calculations'!$HN$13:$HN$512,"="&amp;SUBSTITUTE(SUBSTITUTE(SUBSTITUTE('Dashboard'!$B$7,"~","~~"),"*","~*"),"?","~?"))+COUNTIFS('Calculations'!$HZ$13:$HZ$512,"="&amp;SUBSTITUTE(SUBSTITUTE(SUBSTITUTE('Calculations'!HF232,"~","~~"),"*","~*"),"?","~?"),'Calculations'!$HN$13:$HN$512,"="&amp;SUBSTITUTE(SUBSTITUTE(SUBSTITUTE('Dashboard'!$B$7,"~","~~"),"*","~*"),"?","~?"))+COUNTIFS('Calculations'!$IA$13:$IA$512,"="&amp;SUBSTITUTE(SUBSTITUTE(SUBSTITUTE('Calculations'!HF232,"~","~~"),"*","~*"),"?","~?"),'Calculations'!$HN$13:$HN$512,"="&amp;SUBSTITUTE(SUBSTITUTE(SUBSTITUTE('Dashboard'!$B$7,"~","~~"),"*","~*"),"?","~?"))+COUNTIFS('Calculations'!$IB$13:$IB$512,"="&amp;SUBSTITUTE(SUBSTITUTE(SUBSTITUTE('Calculations'!HF232,"~","~~"),"*","~*"),"?","~?"),'Calculations'!$HN$13:$HN$512,"="&amp;SUBSTITUTE(SUBSTITUTE(SUBSTITUTE('Dashboard'!$B$7,"~","~~"),"*","~*"),"?","~?"))+COUNTIFS('Calculations'!$IC$13:$IC$512,"="&amp;SUBSTITUTE(SUBSTITUTE(SUBSTITUTE('Calculations'!HF232,"~","~~"),"*","~*"),"?","~?"),'Calculations'!$HN$13:$HN$512,"="&amp;SUBSTITUTE(SUBSTITUTE(SUBSTITUTE('Dashboard'!$B$7,"~","~~"),"*","~*"),"?","~?"))+COUNTIFS('Calculations'!$ID$13:$ID$512,"="&amp;SUBSTITUTE(SUBSTITUTE(SUBSTITUTE('Calculations'!HF232,"~","~~"),"*","~*"),"?","~?"),'Calculations'!$HN$13:$HN$512,"="&amp;SUBSTITUTE(SUBSTITUTE(SUBSTITUTE('Dashboard'!$B$7,"~","~~"),"*","~*"),"?","~?"))+COUNTIFS('Calculations'!$IE$13:$IE$512,"="&amp;SUBSTITUTE(SUBSTITUTE(SUBSTITUTE('Calculations'!HF232,"~","~~"),"*","~*"),"?","~?"),'Calculations'!$HN$13:$HN$512,"="&amp;SUBSTITUTE(SUBSTITUTE(SUBSTITUTE('Dashboard'!$B$7,"~","~~"),"*","~*"),"?","~?"))+COUNTIFS('Calculations'!$IF$13:$IF$512,"="&amp;SUBSTITUTE(SUBSTITUTE(SUBSTITUTE('Calculations'!HF232,"~","~~"),"*","~*"),"?","~?"),'Calculations'!$HN$13:$HN$512,"="&amp;SUBSTITUTE(SUBSTITUTE(SUBSTITUTE('Dashboard'!$B$7,"~","~~"),"*","~*"),"?","~?"))+COUNTIFS('Calculations'!$IG$13:$IG$512,"="&amp;SUBSTITUTE(SUBSTITUTE(SUBSTITUTE('Calculations'!HF232,"~","~~"),"*","~*"),"?","~?"),'Calculations'!$HN$13:$HN$512,"="&amp;SUBSTITUTE(SUBSTITUTE(SUBSTITUTE('Dashboard'!$B$7,"~","~~"),"*","~*"),"?","~?"))+COUNTIFS('Calculations'!$IH$13:$IH$512,"="&amp;SUBSTITUTE(SUBSTITUTE(SUBSTITUTE('Calculations'!HF232,"~","~~"),"*","~*"),"?","~?"),'Calculations'!$HN$13:$HN$512,"="&amp;SUBSTITUTE(SUBSTITUTE(SUBSTITUTE('Dashboard'!$B$7,"~","~~"),"*","~*"),"?","~?"))))</x:f>
        <x:v>0</x:v>
      </x:c>
      <x:c r="JD232" t="n">
        <x:f>IF('Calculations'!EM232="",0,IF('Dashboard'!$B$7="All",1,IF('Calculations'!HN232='Dashboard'!$B$7,1,0)+IFERROR(INDEX('Calculations'!$JC$13:$JC$512,MATCH('Calculations'!HE232,'Calculations'!$HF$13:$HF$512,0)),0)))</x:f>
        <x:v>0</x:v>
      </x:c>
      <x:c r="JE232" t="n">
        <x:f>IF(AND('Calculations'!EM232&lt;&gt;"",'Calculations'!$JJ$2&lt;&gt;"All",'Calculations'!$JJ$2&lt;&gt;"",'Calculations'!HF232='Calculations'!$JJ$2,'Calculations'!HL232=0,'Calculations'!JD232&gt;0),MAX('Calculations'!$JE$12:JE231)+1,0)</x:f>
        <x:v>0</x:v>
      </x:c>
      <x:c r="JF232" t="str">
        <x:f>IF('Calculations'!EM232="","",IFERROR(IF(INDEX(INDIRECT("'WCM Calibration Final'!$G$1:$G$2000"),'Calculations'!$EM232)="","",TRIM(INDEX(INDIRECT("'WCM Calibration Final'!$G$1:$G$2000"),'Calculations'!$EM232)&amp;"")),""))</x:f>
      </x:c>
      <x:c r="JQ232" t="n">
        <x:f>IF(OR('Calculations'!BM232=0,NOT('Calculations'!$AG$2),'Calculations'!$AG$8&gt;0),0,IF(OR('Dashboard'!$B$7="All",'Calculations'!HN232='Dashboard'!$B$7),IF('Calculations'!$JJ$2="All",1,IF(AND('Calculations'!HF232='Calculations'!$JJ$2,'Calculations'!HL232=0),1,0)),0))</x:f>
        <x:v>0</x:v>
      </x:c>
    </x:row>
    <x:row r="233">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t="n">
        <x:f>IF('Calculations'!$EM233="",0,IF(OR(IFERROR(INDEX(INDIRECT("'WCM Calibration Final'!$A$1:$A$2000"),'Calculations'!$EM233)&lt;&gt;"",FALSE),IFERROR(INDEX(INDIRECT("'WCM Calibration Final'!$B$1:$B$2000"),'Calculations'!$EM233)&lt;&gt;"",FALSE),IFERROR(INDEX(INDIRECT("'WCM Calibration Final'!$C$1:$C$2000"),'Calculations'!$EM233)&lt;&gt;"",FALSE)),1,0))</x:f>
        <x:v>0</x:v>
      </x:c>
      <x:c r="BN233" s="4" t="n">
        <x:f>IF(AND('Calculations'!BM233=1,'Calculations'!$AG$2,'Calculations'!$EN233=1),1,0)</x:f>
        <x:v>0</x:v>
      </x:c>
      <x:c r="BO233" s="4" t="str">
        <x:f>IF('Calculations'!BM233=0,"",IFERROR(IF(AND(VALUE(INDEX(INDIRECT("'WCM Calibration Final'!$K$1:$K$2000"),'Calculations'!$EM233))&gt;=1,VALUE(INDEX(INDIRECT("'WCM Calibration Final'!$K$1:$K$2000"),'Calculations'!$EM233))&lt;=4,MOD(VALUE(INDEX(INDIRECT("'WCM Calibration Final'!$K$1:$K$2000"),'Calculations'!$EM233)),1)=0),VALUE(INDEX(INDIRECT("'WCM Calibration Final'!$K$1:$K$2000"),'Calculations'!$EM233)),""),""))</x:f>
      </x:c>
      <x:c r="BP233" s="4" t="str">
        <x:f>IF('Calculations'!BM233=0,"",IFERROR(IF(AND(VALUE(INDEX(INDIRECT("'WCM Calibration Final'!$L$1:$L$2000"),'Calculations'!$EM233))&gt;=1,VALUE(INDEX(INDIRECT("'WCM Calibration Final'!$L$1:$L$2000"),'Calculations'!$EM233))&lt;=4,MOD(VALUE(INDEX(INDIRECT("'WCM Calibration Final'!$L$1:$L$2000"),'Calculations'!$EM233)),1)=0),VALUE(INDEX(INDIRECT("'WCM Calibration Final'!$L$1:$L$2000"),'Calculations'!$EM233)),""),""))</x:f>
      </x:c>
      <x:c r="BQ233" s="4"/>
      <x:c r="BR233" s="4"/>
      <x:c r="BS233" s="4"/>
      <x:c r="BT233" s="4" t="n">
        <x:f>IF(AND('Calculations'!BM233=1,ISNUMBER('Calculations'!BO233),ISNUMBER('Calculations'!BP233)),1,0)</x:f>
        <x:v>0</x:v>
      </x:c>
      <x:c r="BU233" s="4" t="str">
        <x:f>IF('Calculations'!BM233=0,"",'Calculations'!$EO233)</x:f>
      </x:c>
      <x:c r="BV233" s="4" t="str">
        <x:f>IF('Calculations'!BM233=0,"",IFERROR(IF(OR(INDEX(INDIRECT("'WCM Calibration Final'!$H$1:$H$2000"),'Calculations'!$EM233)="MANAGING DIRECTOR",INDEX(INDIRECT("'WCM Calibration Final'!$H$1:$H$2000"),'Calculations'!$EM233)="DIRECTOR",INDEX(INDIRECT("'WCM Calibration Final'!$H$1:$H$2000"),'Calculations'!$EM233)="SENIOR VICE PRESIDENT",INDEX(INDIRECT("'WCM Calibration Final'!$H$1:$H$2000"),'Calculations'!$EM233)="VICE PRESIDENT",INDEX(INDIRECT("'WCM Calibration Final'!$H$1:$H$2000"),'Calculations'!$EM233)="ASSISTANT VICE PRESIDENT",INDEX(INDIRECT("'WCM Calibration Final'!$H$1:$H$2000"),'Calculations'!$EM233)="OFFICER"),UPPER(INDEX(INDIRECT("'WCM Calibration Final'!$H$1:$H$2000"),'Calculations'!$EM233)),"Other"),"Other"))</x:f>
      </x:c>
      <x:c r="BW233" s="4"/>
      <x:c r="BX233" s="4"/>
      <x:c r="BY233" s="4" t="n">
        <x:f>IF(AND('Calculations'!BM233=1,'Calculations'!BU233&lt;&gt;"",COUNTIF('Calculations'!$BU$12:BU233,'Calculations'!BU233)=1),MAX('Calculations'!$BY$11:BY232)+1,0)</x:f>
        <x:v>0</x:v>
      </x:c>
      <x:c r="BZ233" s="4" t="str">
        <x:f>IF('Dashboard'!$E$67="What",'Calculations'!BO233,'Calculations'!BP233)</x:f>
      </x:c>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t="str">
        <x:f>IF(222&gt;MAX('Calculations'!$HI$13:$HI$512),"",INDEX('Calculations'!$HN$13:$HN$512,MATCH(222,'Calculations'!$HI$13:$HI$512,0)))</x:f>
      </x:c>
      <x:c r="DB233" s="4" t="str">
        <x:f>IF(222&gt;MAX('Calculations'!$HH$13:$HH$512),"",INDEX('Calculations'!$HJ$13:$HJ$512,MATCH(222,'Calculations'!$HH$13:$HH$512,0)))</x:f>
      </x:c>
      <x:c r="DC233" s="4" t="str">
        <x:f>IF(ROW()-11&gt;MAX('Calculations'!$BY$13:$BY$512),"",INDEX('Calculations'!$BU$13:$BU$512,MATCH(ROW()-11,'Calculations'!$BY$13:$BY$512,0)))</x:f>
      </x:c>
      <x:c r="DD233" s="4" t="str">
        <x:f>IF(222&gt;MAX('Calculations'!$IK$13:$IK$512),"",INDEX('Calculations'!$HK$13:$HK$512,MATCH(222,'Calculations'!$IK$13:$IK$512,0)))</x:f>
      </x:c>
      <x:c r="DE233" s="4" t="str">
        <x:f>'Calculations'!DC233</x:f>
      </x:c>
      <x:c r="DF233" s="4" t="str">
        <x:f>IF('Calculations'!DE233="","",COUNTIFS('Calculations'!$BN$13:$BN$512,1,'Calculations'!$BU$13:$BU$512,'Calculations'!DE233))</x:f>
      </x:c>
      <x:c r="DG233" s="4" t="str">
        <x:f>IF('Calculations'!DE233="","",COUNTIFS('Calculations'!$BN$13:$BN$512,1,'Calculations'!$BU$13:$BU$512,'Calculations'!DE233,'Calculations'!$BT$13:$BT$512,1))</x:f>
      </x:c>
      <x:c r="DH233" s="4" t="str">
        <x:f>IF('Calculations'!DE233="","",'Calculations'!DF233-'Calculations'!DG233)</x:f>
      </x:c>
      <x:c r="DI233" s="4" t="str">
        <x:f>IF(OR('Calculations'!DE233="",'Calculations'!DF233=0),"",'Calculations'!DG233/'Calculations'!DF233)</x:f>
      </x:c>
      <x:c r="DJ233" s="4" t="str">
        <x:f>IF('Calculations'!DE233="","",COUNTIFS('Calculations'!$BN$13:$BN$512,1,'Calculations'!$BU$13:$BU$512,'Calculations'!DE233,'Calculations'!$BT$13:$BT$512,1,'Calculations'!$EE$13:$EE$512,"High"))</x:f>
      </x:c>
      <x:c r="DK233" s="4" t="str">
        <x:f>IF('Calculations'!DE233="","",COUNTIFS('Calculations'!$BN$13:$BN$512,1,'Calculations'!$BU$13:$BU$512,'Calculations'!DE233,'Calculations'!$BT$13:$BT$512,1,'Calculations'!$EE$13:$EE$512,"Strong"))</x:f>
      </x:c>
      <x:c r="DL233" s="4" t="str">
        <x:f>IF('Calculations'!DE233="","",COUNTIFS('Calculations'!$BN$13:$BN$512,1,'Calculations'!$BU$13:$BU$512,'Calculations'!DE233,'Calculations'!$BT$13:$BT$512,1,'Calculations'!$EE$13:$EE$512,"Solid"))</x:f>
      </x:c>
      <x:c r="DM233" s="4" t="str">
        <x:f>IF('Calculations'!DE233="","",COUNTIFS('Calculations'!$BN$13:$BN$512,1,'Calculations'!$BU$13:$BU$512,'Calculations'!DE233,'Calculations'!$BT$13:$BT$512,1,'Calculations'!$EE$13:$EE$512,"Low"))</x:f>
      </x:c>
      <x:c r="DN233" s="4" t="str">
        <x:f>IF('Calculations'!DE233="","",COUNTIFS('Calculations'!$BN$13:$BN$512,1,'Calculations'!$BU$13:$BU$512,'Calculations'!DE233,'Calculations'!$EP$13:$EP$512,1))</x:f>
      </x:c>
      <x:c r="DO233" s="4" t="str">
        <x:f>IF(OR('Calculations'!DE233="",'Calculations'!DG233=0),"",('Calculations'!DJ233+'Calculations'!DK233)/'Calculations'!DG233)</x:f>
      </x:c>
      <x:c r="DP233" s="4" t="n">
        <x:f>IF(AND('Calculations'!DE233&lt;&gt;"",'Calculations'!DF233&gt;0),COUNTIF('Calculations'!$DF$12:DF233,"&gt;0"),0)</x:f>
        <x:v>0</x:v>
      </x:c>
      <x:c r="DQ233" s="4" t="str">
        <x:f>IF(222&gt;MAX('Calculations'!$HH$13:$HH$512),"",INDEX('Calculations'!$HF$13:$HF$512,MATCH(222,'Calculations'!$HH$13:$HH$512,0)))</x:f>
      </x:c>
      <x:c r="DR233" s="4" t="str">
        <x:f>IF(222&gt;MAX('Calculations'!$IK$13:$IK$512),"",INDEX('Calculations'!$HE$13:$HE$512,MATCH(222,'Calculations'!$IK$13:$IK$512,0)))</x:f>
      </x:c>
      <x:c r="DS233" s="4"/>
      <x:c r="DT233" s="4"/>
      <x:c r="DU233" s="4"/>
      <x:c r="DV233" s="4"/>
      <x:c r="DW233" s="4"/>
      <x:c r="DX233" s="4"/>
      <x:c r="DY233" s="4"/>
      <x:c r="DZ233" s="4"/>
      <x:c r="EA233" s="4"/>
      <x:c r="EB233" s="4"/>
      <x:c r="EC233" s="4"/>
      <x:c r="ED233" s="4"/>
      <x:c r="EE233" s="4" t="str">
        <x:f>IF('Calculations'!BT233=0,"Not Rated",IF(OR('Calculations'!BO233&gt;=4,'Calculations'!BP233&gt;=4),"Low",IF('Calculations'!BO233+'Calculations'!BP233&lt;=3,"High",IF('Calculations'!BO233+'Calculations'!BP233&lt;=4,"Strong","Solid"))))</x:f>
        <x:v>Not Rated</x:v>
      </x:c>
      <x:c r="EF233" s="4"/>
      <x:c r="EG233" s="4"/>
      <x:c r="EH233" s="4"/>
      <x:c r="EI233" s="4"/>
      <x:c r="EJ233" s="4"/>
      <x:c r="EK233" s="4"/>
      <x:c r="EL233" s="4"/>
      <x:c r="EM233" s="4" t="str">
        <x:f>IF(221&gt;'Calculations'!$JB$2000,"",INDEX('Calculations'!$JA$12:$JA$2000,MATCH(221,'Calculations'!$JB$12:$JB$2000,0)))</x:f>
      </x:c>
      <x:c r="EN233" s="4" t="n">
        <x:f>IF(OR('Calculations'!EM233="",'Calculations'!$AG$8&gt;0,AND('Calculations'!$EF$2&lt;&gt;"All",'Calculations'!HE233='Calculations'!$EF$2),AND('Calculations'!$EF$3&lt;&gt;"All",'Calculations'!HE233='Calculations'!$EF$3)),0,IF(OR('Dashboard'!$B$7="All",'Calculations'!HN233='Dashboard'!$B$7),IF('Calculations'!$EF$2="All",1,IF('Calculations'!HL233&gt;0,0,IF(COUNTIF('Calculations'!HO233:II233,"="&amp;SUBSTITUTE(SUBSTITUTE(SUBSTITUTE('Calculations'!$EF$2,"~","~~"),"*","~*"),"?","~?"))=0,0,IF('Calculations'!$EF$3="All",1,IF(COUNTIF('Calculations'!HO233:II233,"="&amp;SUBSTITUTE(SUBSTITUTE(SUBSTITUTE('Calculations'!$EF$3,"~","~~"),"*","~*"),"?","~?"))&gt;0,1,0))))),0))</x:f>
        <x:v>0</x:v>
      </x:c>
      <x:c r="EO233" s="4" t="str">
        <x:f>IF('Calculations'!IJ233="","",IF('Calculations'!IJ233="!UNRESOLVED","Unresolved hierarchy",IFERROR(INDEX('Calculations'!$HK$13:$HK$512,MATCH('Calculations'!IJ233,'Calculations'!$HE$13:$HE$512,0)),IFERROR(INDEX('Calculations'!$HJ$13:$HJ$512,MATCH('Calculations'!IJ233,'Calculations'!$HF$13:$HF$512,0)),'Calculations'!IJ233))))</x:f>
      </x:c>
      <x:c r="EP233" s="4" t="n">
        <x:f>IF(AND('Calculations'!EM233&lt;&gt;"",'Calculations'!HF233='Calculations'!IJ233),1,0)</x:f>
        <x:v>0</x:v>
      </x:c>
      <x:c r="EQ233" s="4"/>
      <x:c r="ER233" s="4"/>
      <x:c r="ES233" s="4"/>
      <x:c r="ET233" s="4"/>
      <x:c r="EU233" s="4"/>
      <x:c r="EV233" s="4"/>
      <x:c r="EW233" s="4"/>
      <x:c r="EX233" s="4"/>
      <x:c r="EY233" s="4"/>
      <x:c r="EZ233" s="4"/>
      <x:c r="FA233" s="4"/>
      <x:c r="FB233" s="4"/>
      <x:c r="FC233" s="4"/>
      <x:c r="FD233" s="4"/>
      <x:c r="FE233" s="4"/>
      <x:c r="FF233" s="4"/>
      <x:c r="FG233" s="4"/>
      <x:c r="FH233" s="4"/>
      <x:c r="FI233" s="4"/>
      <x:c r="FJ233" s="4"/>
      <x:c r="FK233" s="4"/>
      <x:c r="FL233" s="4"/>
      <x:c r="FM233" s="4"/>
      <x:c r="FN233" s="4"/>
      <x:c r="FO233" s="4"/>
      <x:c r="HE233" t="str">
        <x:f>IF('Calculations'!EM233="","",IF(IFERROR(IF(INDEX(INDIRECT("'WCM Calibration Final'!$A$1:$A$2000"),'Calculations'!$EM233)="","",TRIM(INDEX(INDIRECT("'WCM Calibration Final'!$A$1:$A$2000"),'Calculations'!$EM233)&amp;"")),"")&lt;&gt;"","G:"&amp;IFERROR(TEXT(1*INDEX(INDIRECT("'WCM Calibration Final'!$A$1:$A$2000"),'Calculations'!$EM233),"0"),UPPER(IFERROR(IF(INDEX(INDIRECT("'WCM Calibration Final'!$A$1:$A$2000"),'Calculations'!$EM233)="","",TRIM(INDEX(INDIRECT("'WCM Calibration Final'!$A$1:$A$2000"),'Calculations'!$EM233)&amp;"")),""))),IF(IFERROR(IF(INDEX(INDIRECT("'WCM Calibration Final'!$C$1:$C$2000"),'Calculations'!$EM233)="","",TRIM(INDEX(INDIRECT("'WCM Calibration Final'!$C$1:$C$2000"),'Calculations'!$EM233)&amp;"")),"")&lt;&gt;"","S:"&amp;UPPER(IFERROR(IF(INDEX(INDIRECT("'WCM Calibration Final'!$C$1:$C$2000"),'Calculations'!$EM233)="","",TRIM(INDEX(INDIRECT("'WCM Calibration Final'!$C$1:$C$2000"),'Calculations'!$EM233)&amp;"")),"")),"R:"&amp;'Calculations'!EM233)))</x:f>
      </x:c>
      <x:c r="HF233" t="str">
        <x:f>IF('Calculations'!EM233="","",IF(IFERROR(IF(INDEX(INDIRECT("'WCM Calibration Final'!$D$1:$D$2000"),'Calculations'!$EM233)="","",TRIM(INDEX(INDIRECT("'WCM Calibration Final'!$D$1:$D$2000"),'Calculations'!$EM233)&amp;"")),"")&lt;&gt;"","G:"&amp;IFERROR(TEXT(1*INDEX(INDIRECT("'WCM Calibration Final'!$D$1:$D$2000"),'Calculations'!$EM233),"0"),UPPER(IFERROR(IF(INDEX(INDIRECT("'WCM Calibration Final'!$D$1:$D$2000"),'Calculations'!$EM233)="","",TRIM(INDEX(INDIRECT("'WCM Calibration Final'!$D$1:$D$2000"),'Calculations'!$EM233)&amp;"")),""))),IF(IFERROR(IF(INDEX(INDIRECT("'WCM Calibration Final'!$E$1:$E$2000"),'Calculations'!$EM233)="","",TRIM(INDEX(INDIRECT("'WCM Calibration Final'!$E$1:$E$2000"),'Calculations'!$EM233)&amp;"")),"")="","",IF(COUNTIF('Calculations'!$HG$13:$HG$512,"="&amp;SUBSTITUTE(SUBSTITUTE(SUBSTITUTE(IFERROR(IF(INDEX(INDIRECT("'WCM Calibration Final'!$E$1:$E$2000"),'Calculations'!$EM233)="","",TRIM(INDEX(INDIRECT("'WCM Calibration Final'!$E$1:$E$2000"),'Calculations'!$EM233)&amp;"")),""),"~","~~"),"*","~*"),"?","~?"))=1,INDEX('Calculations'!$HE$13:$HE$512,MATCH(IFERROR(IF(INDEX(INDIRECT("'WCM Calibration Final'!$E$1:$E$2000"),'Calculations'!$EM233)="","",TRIM(INDEX(INDIRECT("'WCM Calibration Final'!$E$1:$E$2000"),'Calculations'!$EM233)&amp;"")),""),'Calculations'!$HG$13:$HG$512,0)),IF(COUNTIF('Calculations'!$HG$13:$HG$512,"="&amp;SUBSTITUTE(SUBSTITUTE(SUBSTITUTE(IFERROR(IF(INDEX(INDIRECT("'WCM Calibration Final'!$E$1:$E$2000"),'Calculations'!$EM233)="","",TRIM(INDEX(INDIRECT("'WCM Calibration Final'!$E$1:$E$2000"),'Calculations'!$EM233)&amp;"")),""),"~","~~"),"*","~*"),"?","~?"))&gt;1,"!AMBIG","X:"&amp;IFERROR(IF(INDEX(INDIRECT("'WCM Calibration Final'!$E$1:$E$2000"),'Calculations'!$EM233)="","",TRIM(INDEX(INDIRECT("'WCM Calibration Final'!$E$1:$E$2000"),'Calculations'!$EM233)&amp;"")),""))))))</x:f>
      </x:c>
      <x:c r="HG233" t="str">
        <x:f>IF('Calculations'!EM233="","",IFERROR(IF(INDEX(INDIRECT("'WCM Calibration Final'!$B$1:$B$2000"),'Calculations'!$EM233)="","",TRIM(INDEX(INDIRECT("'WCM Calibration Final'!$B$1:$B$2000"),'Calculations'!$EM233)&amp;"")),""))</x:f>
      </x:c>
      <x:c r="HH233" t="n">
        <x:f>IF(AND('Calculations'!JC233&gt;0,COUNTIF('Calculations'!$HF$12:HF233,"="&amp;SUBSTITUTE(SUBSTITUTE(SUBSTITUTE('Calculations'!HF233,"~","~~"),"*","~*"),"?","~?"))=1),MAX('Calculations'!$HH$12:HH232)+1,0)</x:f>
        <x:v>0</x:v>
      </x:c>
      <x:c r="HI233" t="n">
        <x:f>IF(AND('Calculations'!HN233&lt;&gt;"",COUNTIF('Calculations'!$HN$12:HN233,"="&amp;SUBSTITUTE(SUBSTITUTE(SUBSTITUTE('Calculations'!HN233,"~","~~"),"*","~*"),"?","~?"))=1),MAX('Calculations'!$HI$12:HI232)+1,0)</x:f>
        <x:v>0</x:v>
      </x:c>
      <x:c r="HJ233" t="str">
        <x:f>IF('Calculations'!HF233="","",IF(COUNTIF('Calculations'!$HE$13:$HE$512,"="&amp;SUBSTITUTE(SUBSTITUTE(SUBSTITUTE('Calculations'!HF233,"~","~~"),"*","~*"),"?","~?"))=1,INDEX('Calculations'!$HK$13:$HK$512,MATCH('Calculations'!HF233,'Calculations'!$HE$13:$HE$512,0)),IFERROR(IF(INDEX(INDIRECT("'WCM Calibration Final'!$E$1:$E$2000"),'Calculations'!$EM233)="","",TRIM(INDEX(INDIRECT("'WCM Calibration Final'!$E$1:$E$2000"),'Calculations'!$EM233)&amp;"")),"")&amp;" ["&amp;'Calculations'!HF233&amp;"]"))</x:f>
      </x:c>
      <x:c r="HK233" t="str">
        <x:f>IF('Calculations'!EM233="","",'Calculations'!HG233&amp;" ["&amp;'Calculations'!HE233&amp;"]")</x:f>
      </x:c>
      <x:c r="HL233" t="n">
        <x:f>IF('Calculations'!EM233="",0,IF(OR('Calculations'!II233&lt;&gt;"",COUNTIF('Calculations'!$HE$13:$HE$512,"="&amp;SUBSTITUTE(SUBSTITUTE(SUBSTITUTE('Calculations'!HE233,"~","~~"),"*","~*"),"?","~?"))&gt;1),1,0))</x:f>
        <x:v>0</x:v>
      </x:c>
      <x:c r="HM233" t="str">
        <x:f>IF('Calculations'!EM233="","",IF('Calculations'!HL233=1,"!UNRESOLVED",IF('Calculations'!IH233&lt;&gt;"",'Calculations'!IH233,IF('Calculations'!IG233&lt;&gt;"",'Calculations'!IG233,IF('Calculations'!IF233&lt;&gt;"",'Calculations'!IF233,IF('Calculations'!IE233&lt;&gt;"",'Calculations'!IE233,IF('Calculations'!ID233&lt;&gt;"",'Calculations'!ID233,IF('Calculations'!IC233&lt;&gt;"",'Calculations'!IC233,IF('Calculations'!IB233&lt;&gt;"",'Calculations'!IB233,IF('Calculations'!IA233&lt;&gt;"",'Calculations'!IA233,IF('Calculations'!HZ233&lt;&gt;"",'Calculations'!HZ233,IF('Calculations'!HY233&lt;&gt;"",'Calculations'!HY233,IF('Calculations'!HX233&lt;&gt;"",'Calculations'!HX233,IF('Calculations'!HW233&lt;&gt;"",'Calculations'!HW233,IF('Calculations'!HV233&lt;&gt;"",'Calculations'!HV233,IF('Calculations'!HU233&lt;&gt;"",'Calculations'!HU233,IF('Calculations'!HT233&lt;&gt;"",'Calculations'!HT233,IF('Calculations'!HS233&lt;&gt;"",'Calculations'!HS233,IF('Calculations'!HR233&lt;&gt;"",'Calculations'!HR233,IF('Calculations'!HQ233&lt;&gt;"",'Calculations'!HQ233,IF('Calculations'!HP233&lt;&gt;"",'Calculations'!HP233,IF('Calculations'!HO233&lt;&gt;"",'Calculations'!HO233,'Calculations'!HE233))))))))))))))))))))))</x:f>
      </x:c>
      <x:c r="HN233" t="str">
        <x:f>IF('Calculations'!EM233="","",IF(IFERROR(IF(INDEX(INDIRECT("'WCM Calibration Final'!$F$1:$F$2000"),'Calculations'!$EM233)="","",TRIM(INDEX(INDIRECT("'WCM Calibration Final'!$F$1:$F$2000"),'Calculations'!$EM233)&amp;"")),"")="","(Blank)",IFERROR(IF(INDEX(INDIRECT("'WCM Calibration Final'!$F$1:$F$2000"),'Calculations'!$EM233)="","",TRIM(INDEX(INDIRECT("'WCM Calibration Final'!$F$1:$F$2000"),'Calculations'!$EM233)&amp;"")),"")))</x:f>
      </x:c>
      <x:c r="HO233" t="str">
        <x:f>'Calculations'!HF233</x:f>
      </x:c>
      <x:c r="HP233" t="str">
        <x:f>IF('Calculations'!HO233="","",IF('Calculations'!HO233="!AMBIG","!AMBIG",IF(COUNTIF('Calculations'!$HE$13:$HE$512,"="&amp;SUBSTITUTE(SUBSTITUTE(SUBSTITUTE('Calculations'!HO233,"~","~~"),"*","~*"),"?","~?"))&gt;1,"!AMBIG",IFERROR(INDEX('Calculations'!$HF$13:$HF$512,MATCH('Calculations'!HO233,'Calculations'!$HE$13:$HE$512,0)),""))))</x:f>
      </x:c>
      <x:c r="HQ233" t="str">
        <x:f>IF('Calculations'!HP233="","",IF('Calculations'!HP233="!AMBIG","!AMBIG",IF(COUNTIF('Calculations'!$HE$13:$HE$512,"="&amp;SUBSTITUTE(SUBSTITUTE(SUBSTITUTE('Calculations'!HP233,"~","~~"),"*","~*"),"?","~?"))&gt;1,"!AMBIG",IFERROR(INDEX('Calculations'!$HF$13:$HF$512,MATCH('Calculations'!HP233,'Calculations'!$HE$13:$HE$512,0)),""))))</x:f>
      </x:c>
      <x:c r="HR233" t="str">
        <x:f>IF('Calculations'!HQ233="","",IF('Calculations'!HQ233="!AMBIG","!AMBIG",IF(COUNTIF('Calculations'!$HE$13:$HE$512,"="&amp;SUBSTITUTE(SUBSTITUTE(SUBSTITUTE('Calculations'!HQ233,"~","~~"),"*","~*"),"?","~?"))&gt;1,"!AMBIG",IFERROR(INDEX('Calculations'!$HF$13:$HF$512,MATCH('Calculations'!HQ233,'Calculations'!$HE$13:$HE$512,0)),""))))</x:f>
      </x:c>
      <x:c r="HS233" t="str">
        <x:f>IF('Calculations'!HR233="","",IF('Calculations'!HR233="!AMBIG","!AMBIG",IF(COUNTIF('Calculations'!$HE$13:$HE$512,"="&amp;SUBSTITUTE(SUBSTITUTE(SUBSTITUTE('Calculations'!HR233,"~","~~"),"*","~*"),"?","~?"))&gt;1,"!AMBIG",IFERROR(INDEX('Calculations'!$HF$13:$HF$512,MATCH('Calculations'!HR233,'Calculations'!$HE$13:$HE$512,0)),""))))</x:f>
      </x:c>
      <x:c r="HT233" t="str">
        <x:f>IF('Calculations'!HS233="","",IF('Calculations'!HS233="!AMBIG","!AMBIG",IF(COUNTIF('Calculations'!$HE$13:$HE$512,"="&amp;SUBSTITUTE(SUBSTITUTE(SUBSTITUTE('Calculations'!HS233,"~","~~"),"*","~*"),"?","~?"))&gt;1,"!AMBIG",IFERROR(INDEX('Calculations'!$HF$13:$HF$512,MATCH('Calculations'!HS233,'Calculations'!$HE$13:$HE$512,0)),""))))</x:f>
      </x:c>
      <x:c r="HU233" t="str">
        <x:f>IF('Calculations'!HT233="","",IF('Calculations'!HT233="!AMBIG","!AMBIG",IF(COUNTIF('Calculations'!$HE$13:$HE$512,"="&amp;SUBSTITUTE(SUBSTITUTE(SUBSTITUTE('Calculations'!HT233,"~","~~"),"*","~*"),"?","~?"))&gt;1,"!AMBIG",IFERROR(INDEX('Calculations'!$HF$13:$HF$512,MATCH('Calculations'!HT233,'Calculations'!$HE$13:$HE$512,0)),""))))</x:f>
      </x:c>
      <x:c r="HV233" t="str">
        <x:f>IF('Calculations'!HU233="","",IF('Calculations'!HU233="!AMBIG","!AMBIG",IF(COUNTIF('Calculations'!$HE$13:$HE$512,"="&amp;SUBSTITUTE(SUBSTITUTE(SUBSTITUTE('Calculations'!HU233,"~","~~"),"*","~*"),"?","~?"))&gt;1,"!AMBIG",IFERROR(INDEX('Calculations'!$HF$13:$HF$512,MATCH('Calculations'!HU233,'Calculations'!$HE$13:$HE$512,0)),""))))</x:f>
      </x:c>
      <x:c r="HW233" t="str">
        <x:f>IF('Calculations'!HV233="","",IF('Calculations'!HV233="!AMBIG","!AMBIG",IF(COUNTIF('Calculations'!$HE$13:$HE$512,"="&amp;SUBSTITUTE(SUBSTITUTE(SUBSTITUTE('Calculations'!HV233,"~","~~"),"*","~*"),"?","~?"))&gt;1,"!AMBIG",IFERROR(INDEX('Calculations'!$HF$13:$HF$512,MATCH('Calculations'!HV233,'Calculations'!$HE$13:$HE$512,0)),""))))</x:f>
      </x:c>
      <x:c r="HX233" t="str">
        <x:f>IF('Calculations'!HW233="","",IF('Calculations'!HW233="!AMBIG","!AMBIG",IF(COUNTIF('Calculations'!$HE$13:$HE$512,"="&amp;SUBSTITUTE(SUBSTITUTE(SUBSTITUTE('Calculations'!HW233,"~","~~"),"*","~*"),"?","~?"))&gt;1,"!AMBIG",IFERROR(INDEX('Calculations'!$HF$13:$HF$512,MATCH('Calculations'!HW233,'Calculations'!$HE$13:$HE$512,0)),""))))</x:f>
      </x:c>
      <x:c r="HY233" t="str">
        <x:f>IF('Calculations'!HX233="","",IF('Calculations'!HX233="!AMBIG","!AMBIG",IF(COUNTIF('Calculations'!$HE$13:$HE$512,"="&amp;SUBSTITUTE(SUBSTITUTE(SUBSTITUTE('Calculations'!HX233,"~","~~"),"*","~*"),"?","~?"))&gt;1,"!AMBIG",IFERROR(INDEX('Calculations'!$HF$13:$HF$512,MATCH('Calculations'!HX233,'Calculations'!$HE$13:$HE$512,0)),""))))</x:f>
      </x:c>
      <x:c r="HZ233" t="str">
        <x:f>IF('Calculations'!HY233="","",IF('Calculations'!HY233="!AMBIG","!AMBIG",IF(COUNTIF('Calculations'!$HE$13:$HE$512,"="&amp;SUBSTITUTE(SUBSTITUTE(SUBSTITUTE('Calculations'!HY233,"~","~~"),"*","~*"),"?","~?"))&gt;1,"!AMBIG",IFERROR(INDEX('Calculations'!$HF$13:$HF$512,MATCH('Calculations'!HY233,'Calculations'!$HE$13:$HE$512,0)),""))))</x:f>
      </x:c>
      <x:c r="IA233" t="str">
        <x:f>IF('Calculations'!HZ233="","",IF('Calculations'!HZ233="!AMBIG","!AMBIG",IF(COUNTIF('Calculations'!$HE$13:$HE$512,"="&amp;SUBSTITUTE(SUBSTITUTE(SUBSTITUTE('Calculations'!HZ233,"~","~~"),"*","~*"),"?","~?"))&gt;1,"!AMBIG",IFERROR(INDEX('Calculations'!$HF$13:$HF$512,MATCH('Calculations'!HZ233,'Calculations'!$HE$13:$HE$512,0)),""))))</x:f>
      </x:c>
      <x:c r="IB233" t="str">
        <x:f>IF('Calculations'!IA233="","",IF('Calculations'!IA233="!AMBIG","!AMBIG",IF(COUNTIF('Calculations'!$HE$13:$HE$512,"="&amp;SUBSTITUTE(SUBSTITUTE(SUBSTITUTE('Calculations'!IA233,"~","~~"),"*","~*"),"?","~?"))&gt;1,"!AMBIG",IFERROR(INDEX('Calculations'!$HF$13:$HF$512,MATCH('Calculations'!IA233,'Calculations'!$HE$13:$HE$512,0)),""))))</x:f>
      </x:c>
      <x:c r="IC233" t="str">
        <x:f>IF('Calculations'!IB233="","",IF('Calculations'!IB233="!AMBIG","!AMBIG",IF(COUNTIF('Calculations'!$HE$13:$HE$512,"="&amp;SUBSTITUTE(SUBSTITUTE(SUBSTITUTE('Calculations'!IB233,"~","~~"),"*","~*"),"?","~?"))&gt;1,"!AMBIG",IFERROR(INDEX('Calculations'!$HF$13:$HF$512,MATCH('Calculations'!IB233,'Calculations'!$HE$13:$HE$512,0)),""))))</x:f>
      </x:c>
      <x:c r="ID233" t="str">
        <x:f>IF('Calculations'!IC233="","",IF('Calculations'!IC233="!AMBIG","!AMBIG",IF(COUNTIF('Calculations'!$HE$13:$HE$512,"="&amp;SUBSTITUTE(SUBSTITUTE(SUBSTITUTE('Calculations'!IC233,"~","~~"),"*","~*"),"?","~?"))&gt;1,"!AMBIG",IFERROR(INDEX('Calculations'!$HF$13:$HF$512,MATCH('Calculations'!IC233,'Calculations'!$HE$13:$HE$512,0)),""))))</x:f>
      </x:c>
      <x:c r="IE233" t="str">
        <x:f>IF('Calculations'!ID233="","",IF('Calculations'!ID233="!AMBIG","!AMBIG",IF(COUNTIF('Calculations'!$HE$13:$HE$512,"="&amp;SUBSTITUTE(SUBSTITUTE(SUBSTITUTE('Calculations'!ID233,"~","~~"),"*","~*"),"?","~?"))&gt;1,"!AMBIG",IFERROR(INDEX('Calculations'!$HF$13:$HF$512,MATCH('Calculations'!ID233,'Calculations'!$HE$13:$HE$512,0)),""))))</x:f>
      </x:c>
      <x:c r="IF233" t="str">
        <x:f>IF('Calculations'!IE233="","",IF('Calculations'!IE233="!AMBIG","!AMBIG",IF(COUNTIF('Calculations'!$HE$13:$HE$512,"="&amp;SUBSTITUTE(SUBSTITUTE(SUBSTITUTE('Calculations'!IE233,"~","~~"),"*","~*"),"?","~?"))&gt;1,"!AMBIG",IFERROR(INDEX('Calculations'!$HF$13:$HF$512,MATCH('Calculations'!IE233,'Calculations'!$HE$13:$HE$512,0)),""))))</x:f>
      </x:c>
      <x:c r="IG233" t="str">
        <x:f>IF('Calculations'!IF233="","",IF('Calculations'!IF233="!AMBIG","!AMBIG",IF(COUNTIF('Calculations'!$HE$13:$HE$512,"="&amp;SUBSTITUTE(SUBSTITUTE(SUBSTITUTE('Calculations'!IF233,"~","~~"),"*","~*"),"?","~?"))&gt;1,"!AMBIG",IFERROR(INDEX('Calculations'!$HF$13:$HF$512,MATCH('Calculations'!IF233,'Calculations'!$HE$13:$HE$512,0)),""))))</x:f>
      </x:c>
      <x:c r="IH233" t="str">
        <x:f>IF('Calculations'!IG233="","",IF('Calculations'!IG233="!AMBIG","!AMBIG",IF(COUNTIF('Calculations'!$HE$13:$HE$512,"="&amp;SUBSTITUTE(SUBSTITUTE(SUBSTITUTE('Calculations'!IG233,"~","~~"),"*","~*"),"?","~?"))&gt;1,"!AMBIG",IFERROR(INDEX('Calculations'!$HF$13:$HF$512,MATCH('Calculations'!IG233,'Calculations'!$HE$13:$HE$512,0)),""))))</x:f>
      </x:c>
      <x:c r="II233" t="str">
        <x:f>IF('Calculations'!IH233="","",IF('Calculations'!IH233="!AMBIG","!AMBIG",IF(COUNTIF('Calculations'!$HE$13:$HE$512,"="&amp;SUBSTITUTE(SUBSTITUTE(SUBSTITUTE('Calculations'!IH233,"~","~~"),"*","~*"),"?","~?"))&gt;1,"!AMBIG",IFERROR(INDEX('Calculations'!$HF$13:$HF$512,MATCH('Calculations'!IH233,'Calculations'!$HE$13:$HE$512,0)),""))))</x:f>
      </x:c>
      <x:c r="IJ233" t="str">
        <x:f>IF('Calculations'!EM233="","",IF('Calculations'!$EF$2="All",'Calculations'!HM233,IF('Calculations'!HL233=1,"",IFERROR(IF(MATCH('Calculations'!$EF$2,'Calculations'!HO233:II233,0)=1,'Calculations'!HE233,INDEX('Calculations'!HO233:II233,1,MATCH('Calculations'!$EF$2,'Calculations'!HO233:II233,0)-1)),""))))</x:f>
      </x:c>
      <x:c r="IK233" t="n">
        <x:f>IF(AND('Calculations'!EM233&lt;&gt;"",'Calculations'!$EF$2&lt;&gt;"All",'Calculations'!HF233='Calculations'!$EF$2,'Calculations'!HL233=0,'Calculations'!JD233&gt;0),MAX('Calculations'!$IK$12:IK232)+1,0)</x:f>
        <x:v>0</x:v>
      </x:c>
      <x:c r="JA233" t="n">
        <x:f>IF(OR(IFERROR(INDIRECT("'WCM Calibration Final'!$A$233")&lt;&gt;"",FALSE),IFERROR(INDIRECT("'WCM Calibration Final'!$B$233")&lt;&gt;"",FALSE),IFERROR(INDIRECT("'WCM Calibration Final'!$C$233")&lt;&gt;"",FALSE)),233,0)</x:f>
        <x:v>0</x:v>
      </x:c>
      <x:c r="JB233" t="n">
        <x:f>'Calculations'!JB232+IF('Calculations'!JA233&gt;0,1,0)</x:f>
        <x:v>0</x:v>
      </x:c>
      <x:c r="JC233" t="n">
        <x:f>IF(OR('Calculations'!HF233="",'Calculations'!HF233="!AMBIG"),0,IF('Dashboard'!$B$7="All",1,COUNTIFS('Calculations'!$HO$13:$HO$512,"="&amp;SUBSTITUTE(SUBSTITUTE(SUBSTITUTE('Calculations'!HF233,"~","~~"),"*","~*"),"?","~?"),'Calculations'!$HN$13:$HN$512,"="&amp;SUBSTITUTE(SUBSTITUTE(SUBSTITUTE('Dashboard'!$B$7,"~","~~"),"*","~*"),"?","~?"))+COUNTIFS('Calculations'!$HP$13:$HP$512,"="&amp;SUBSTITUTE(SUBSTITUTE(SUBSTITUTE('Calculations'!HF233,"~","~~"),"*","~*"),"?","~?"),'Calculations'!$HN$13:$HN$512,"="&amp;SUBSTITUTE(SUBSTITUTE(SUBSTITUTE('Dashboard'!$B$7,"~","~~"),"*","~*"),"?","~?"))+COUNTIFS('Calculations'!$HQ$13:$HQ$512,"="&amp;SUBSTITUTE(SUBSTITUTE(SUBSTITUTE('Calculations'!HF233,"~","~~"),"*","~*"),"?","~?"),'Calculations'!$HN$13:$HN$512,"="&amp;SUBSTITUTE(SUBSTITUTE(SUBSTITUTE('Dashboard'!$B$7,"~","~~"),"*","~*"),"?","~?"))+COUNTIFS('Calculations'!$HR$13:$HR$512,"="&amp;SUBSTITUTE(SUBSTITUTE(SUBSTITUTE('Calculations'!HF233,"~","~~"),"*","~*"),"?","~?"),'Calculations'!$HN$13:$HN$512,"="&amp;SUBSTITUTE(SUBSTITUTE(SUBSTITUTE('Dashboard'!$B$7,"~","~~"),"*","~*"),"?","~?"))+COUNTIFS('Calculations'!$HS$13:$HS$512,"="&amp;SUBSTITUTE(SUBSTITUTE(SUBSTITUTE('Calculations'!HF233,"~","~~"),"*","~*"),"?","~?"),'Calculations'!$HN$13:$HN$512,"="&amp;SUBSTITUTE(SUBSTITUTE(SUBSTITUTE('Dashboard'!$B$7,"~","~~"),"*","~*"),"?","~?"))+COUNTIFS('Calculations'!$HT$13:$HT$512,"="&amp;SUBSTITUTE(SUBSTITUTE(SUBSTITUTE('Calculations'!HF233,"~","~~"),"*","~*"),"?","~?"),'Calculations'!$HN$13:$HN$512,"="&amp;SUBSTITUTE(SUBSTITUTE(SUBSTITUTE('Dashboard'!$B$7,"~","~~"),"*","~*"),"?","~?"))+COUNTIFS('Calculations'!$HU$13:$HU$512,"="&amp;SUBSTITUTE(SUBSTITUTE(SUBSTITUTE('Calculations'!HF233,"~","~~"),"*","~*"),"?","~?"),'Calculations'!$HN$13:$HN$512,"="&amp;SUBSTITUTE(SUBSTITUTE(SUBSTITUTE('Dashboard'!$B$7,"~","~~"),"*","~*"),"?","~?"))+COUNTIFS('Calculations'!$HV$13:$HV$512,"="&amp;SUBSTITUTE(SUBSTITUTE(SUBSTITUTE('Calculations'!HF233,"~","~~"),"*","~*"),"?","~?"),'Calculations'!$HN$13:$HN$512,"="&amp;SUBSTITUTE(SUBSTITUTE(SUBSTITUTE('Dashboard'!$B$7,"~","~~"),"*","~*"),"?","~?"))+COUNTIFS('Calculations'!$HW$13:$HW$512,"="&amp;SUBSTITUTE(SUBSTITUTE(SUBSTITUTE('Calculations'!HF233,"~","~~"),"*","~*"),"?","~?"),'Calculations'!$HN$13:$HN$512,"="&amp;SUBSTITUTE(SUBSTITUTE(SUBSTITUTE('Dashboard'!$B$7,"~","~~"),"*","~*"),"?","~?"))+COUNTIFS('Calculations'!$HX$13:$HX$512,"="&amp;SUBSTITUTE(SUBSTITUTE(SUBSTITUTE('Calculations'!HF233,"~","~~"),"*","~*"),"?","~?"),'Calculations'!$HN$13:$HN$512,"="&amp;SUBSTITUTE(SUBSTITUTE(SUBSTITUTE('Dashboard'!$B$7,"~","~~"),"*","~*"),"?","~?"))+COUNTIFS('Calculations'!$HY$13:$HY$512,"="&amp;SUBSTITUTE(SUBSTITUTE(SUBSTITUTE('Calculations'!HF233,"~","~~"),"*","~*"),"?","~?"),'Calculations'!$HN$13:$HN$512,"="&amp;SUBSTITUTE(SUBSTITUTE(SUBSTITUTE('Dashboard'!$B$7,"~","~~"),"*","~*"),"?","~?"))+COUNTIFS('Calculations'!$HZ$13:$HZ$512,"="&amp;SUBSTITUTE(SUBSTITUTE(SUBSTITUTE('Calculations'!HF233,"~","~~"),"*","~*"),"?","~?"),'Calculations'!$HN$13:$HN$512,"="&amp;SUBSTITUTE(SUBSTITUTE(SUBSTITUTE('Dashboard'!$B$7,"~","~~"),"*","~*"),"?","~?"))+COUNTIFS('Calculations'!$IA$13:$IA$512,"="&amp;SUBSTITUTE(SUBSTITUTE(SUBSTITUTE('Calculations'!HF233,"~","~~"),"*","~*"),"?","~?"),'Calculations'!$HN$13:$HN$512,"="&amp;SUBSTITUTE(SUBSTITUTE(SUBSTITUTE('Dashboard'!$B$7,"~","~~"),"*","~*"),"?","~?"))+COUNTIFS('Calculations'!$IB$13:$IB$512,"="&amp;SUBSTITUTE(SUBSTITUTE(SUBSTITUTE('Calculations'!HF233,"~","~~"),"*","~*"),"?","~?"),'Calculations'!$HN$13:$HN$512,"="&amp;SUBSTITUTE(SUBSTITUTE(SUBSTITUTE('Dashboard'!$B$7,"~","~~"),"*","~*"),"?","~?"))+COUNTIFS('Calculations'!$IC$13:$IC$512,"="&amp;SUBSTITUTE(SUBSTITUTE(SUBSTITUTE('Calculations'!HF233,"~","~~"),"*","~*"),"?","~?"),'Calculations'!$HN$13:$HN$512,"="&amp;SUBSTITUTE(SUBSTITUTE(SUBSTITUTE('Dashboard'!$B$7,"~","~~"),"*","~*"),"?","~?"))+COUNTIFS('Calculations'!$ID$13:$ID$512,"="&amp;SUBSTITUTE(SUBSTITUTE(SUBSTITUTE('Calculations'!HF233,"~","~~"),"*","~*"),"?","~?"),'Calculations'!$HN$13:$HN$512,"="&amp;SUBSTITUTE(SUBSTITUTE(SUBSTITUTE('Dashboard'!$B$7,"~","~~"),"*","~*"),"?","~?"))+COUNTIFS('Calculations'!$IE$13:$IE$512,"="&amp;SUBSTITUTE(SUBSTITUTE(SUBSTITUTE('Calculations'!HF233,"~","~~"),"*","~*"),"?","~?"),'Calculations'!$HN$13:$HN$512,"="&amp;SUBSTITUTE(SUBSTITUTE(SUBSTITUTE('Dashboard'!$B$7,"~","~~"),"*","~*"),"?","~?"))+COUNTIFS('Calculations'!$IF$13:$IF$512,"="&amp;SUBSTITUTE(SUBSTITUTE(SUBSTITUTE('Calculations'!HF233,"~","~~"),"*","~*"),"?","~?"),'Calculations'!$HN$13:$HN$512,"="&amp;SUBSTITUTE(SUBSTITUTE(SUBSTITUTE('Dashboard'!$B$7,"~","~~"),"*","~*"),"?","~?"))+COUNTIFS('Calculations'!$IG$13:$IG$512,"="&amp;SUBSTITUTE(SUBSTITUTE(SUBSTITUTE('Calculations'!HF233,"~","~~"),"*","~*"),"?","~?"),'Calculations'!$HN$13:$HN$512,"="&amp;SUBSTITUTE(SUBSTITUTE(SUBSTITUTE('Dashboard'!$B$7,"~","~~"),"*","~*"),"?","~?"))+COUNTIFS('Calculations'!$IH$13:$IH$512,"="&amp;SUBSTITUTE(SUBSTITUTE(SUBSTITUTE('Calculations'!HF233,"~","~~"),"*","~*"),"?","~?"),'Calculations'!$HN$13:$HN$512,"="&amp;SUBSTITUTE(SUBSTITUTE(SUBSTITUTE('Dashboard'!$B$7,"~","~~"),"*","~*"),"?","~?"))))</x:f>
        <x:v>0</x:v>
      </x:c>
      <x:c r="JD233" t="n">
        <x:f>IF('Calculations'!EM233="",0,IF('Dashboard'!$B$7="All",1,IF('Calculations'!HN233='Dashboard'!$B$7,1,0)+IFERROR(INDEX('Calculations'!$JC$13:$JC$512,MATCH('Calculations'!HE233,'Calculations'!$HF$13:$HF$512,0)),0)))</x:f>
        <x:v>0</x:v>
      </x:c>
      <x:c r="JE233" t="n">
        <x:f>IF(AND('Calculations'!EM233&lt;&gt;"",'Calculations'!$JJ$2&lt;&gt;"All",'Calculations'!$JJ$2&lt;&gt;"",'Calculations'!HF233='Calculations'!$JJ$2,'Calculations'!HL233=0,'Calculations'!JD233&gt;0),MAX('Calculations'!$JE$12:JE232)+1,0)</x:f>
        <x:v>0</x:v>
      </x:c>
      <x:c r="JF233" t="str">
        <x:f>IF('Calculations'!EM233="","",IFERROR(IF(INDEX(INDIRECT("'WCM Calibration Final'!$G$1:$G$2000"),'Calculations'!$EM233)="","",TRIM(INDEX(INDIRECT("'WCM Calibration Final'!$G$1:$G$2000"),'Calculations'!$EM233)&amp;"")),""))</x:f>
      </x:c>
      <x:c r="JQ233" t="n">
        <x:f>IF(OR('Calculations'!BM233=0,NOT('Calculations'!$AG$2),'Calculations'!$AG$8&gt;0),0,IF(OR('Dashboard'!$B$7="All",'Calculations'!HN233='Dashboard'!$B$7),IF('Calculations'!$JJ$2="All",1,IF(AND('Calculations'!HF233='Calculations'!$JJ$2,'Calculations'!HL233=0),1,0)),0))</x:f>
        <x:v>0</x:v>
      </x:c>
    </x:row>
    <x:row r="234">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t="n">
        <x:f>IF('Calculations'!$EM234="",0,IF(OR(IFERROR(INDEX(INDIRECT("'WCM Calibration Final'!$A$1:$A$2000"),'Calculations'!$EM234)&lt;&gt;"",FALSE),IFERROR(INDEX(INDIRECT("'WCM Calibration Final'!$B$1:$B$2000"),'Calculations'!$EM234)&lt;&gt;"",FALSE),IFERROR(INDEX(INDIRECT("'WCM Calibration Final'!$C$1:$C$2000"),'Calculations'!$EM234)&lt;&gt;"",FALSE)),1,0))</x:f>
        <x:v>0</x:v>
      </x:c>
      <x:c r="BN234" s="4" t="n">
        <x:f>IF(AND('Calculations'!BM234=1,'Calculations'!$AG$2,'Calculations'!$EN234=1),1,0)</x:f>
        <x:v>0</x:v>
      </x:c>
      <x:c r="BO234" s="4" t="str">
        <x:f>IF('Calculations'!BM234=0,"",IFERROR(IF(AND(VALUE(INDEX(INDIRECT("'WCM Calibration Final'!$K$1:$K$2000"),'Calculations'!$EM234))&gt;=1,VALUE(INDEX(INDIRECT("'WCM Calibration Final'!$K$1:$K$2000"),'Calculations'!$EM234))&lt;=4,MOD(VALUE(INDEX(INDIRECT("'WCM Calibration Final'!$K$1:$K$2000"),'Calculations'!$EM234)),1)=0),VALUE(INDEX(INDIRECT("'WCM Calibration Final'!$K$1:$K$2000"),'Calculations'!$EM234)),""),""))</x:f>
      </x:c>
      <x:c r="BP234" s="4" t="str">
        <x:f>IF('Calculations'!BM234=0,"",IFERROR(IF(AND(VALUE(INDEX(INDIRECT("'WCM Calibration Final'!$L$1:$L$2000"),'Calculations'!$EM234))&gt;=1,VALUE(INDEX(INDIRECT("'WCM Calibration Final'!$L$1:$L$2000"),'Calculations'!$EM234))&lt;=4,MOD(VALUE(INDEX(INDIRECT("'WCM Calibration Final'!$L$1:$L$2000"),'Calculations'!$EM234)),1)=0),VALUE(INDEX(INDIRECT("'WCM Calibration Final'!$L$1:$L$2000"),'Calculations'!$EM234)),""),""))</x:f>
      </x:c>
      <x:c r="BQ234" s="4"/>
      <x:c r="BR234" s="4"/>
      <x:c r="BS234" s="4"/>
      <x:c r="BT234" s="4" t="n">
        <x:f>IF(AND('Calculations'!BM234=1,ISNUMBER('Calculations'!BO234),ISNUMBER('Calculations'!BP234)),1,0)</x:f>
        <x:v>0</x:v>
      </x:c>
      <x:c r="BU234" s="4" t="str">
        <x:f>IF('Calculations'!BM234=0,"",'Calculations'!$EO234)</x:f>
      </x:c>
      <x:c r="BV234" s="4" t="str">
        <x:f>IF('Calculations'!BM234=0,"",IFERROR(IF(OR(INDEX(INDIRECT("'WCM Calibration Final'!$H$1:$H$2000"),'Calculations'!$EM234)="MANAGING DIRECTOR",INDEX(INDIRECT("'WCM Calibration Final'!$H$1:$H$2000"),'Calculations'!$EM234)="DIRECTOR",INDEX(INDIRECT("'WCM Calibration Final'!$H$1:$H$2000"),'Calculations'!$EM234)="SENIOR VICE PRESIDENT",INDEX(INDIRECT("'WCM Calibration Final'!$H$1:$H$2000"),'Calculations'!$EM234)="VICE PRESIDENT",INDEX(INDIRECT("'WCM Calibration Final'!$H$1:$H$2000"),'Calculations'!$EM234)="ASSISTANT VICE PRESIDENT",INDEX(INDIRECT("'WCM Calibration Final'!$H$1:$H$2000"),'Calculations'!$EM234)="OFFICER"),UPPER(INDEX(INDIRECT("'WCM Calibration Final'!$H$1:$H$2000"),'Calculations'!$EM234)),"Other"),"Other"))</x:f>
      </x:c>
      <x:c r="BW234" s="4"/>
      <x:c r="BX234" s="4"/>
      <x:c r="BY234" s="4" t="n">
        <x:f>IF(AND('Calculations'!BM234=1,'Calculations'!BU234&lt;&gt;"",COUNTIF('Calculations'!$BU$12:BU234,'Calculations'!BU234)=1),MAX('Calculations'!$BY$11:BY233)+1,0)</x:f>
        <x:v>0</x:v>
      </x:c>
      <x:c r="BZ234" s="4" t="str">
        <x:f>IF('Dashboard'!$E$67="What",'Calculations'!BO234,'Calculations'!BP234)</x:f>
      </x:c>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t="str">
        <x:f>IF(223&gt;MAX('Calculations'!$HI$13:$HI$512),"",INDEX('Calculations'!$HN$13:$HN$512,MATCH(223,'Calculations'!$HI$13:$HI$512,0)))</x:f>
      </x:c>
      <x:c r="DB234" s="4" t="str">
        <x:f>IF(223&gt;MAX('Calculations'!$HH$13:$HH$512),"",INDEX('Calculations'!$HJ$13:$HJ$512,MATCH(223,'Calculations'!$HH$13:$HH$512,0)))</x:f>
      </x:c>
      <x:c r="DC234" s="4" t="str">
        <x:f>IF(ROW()-11&gt;MAX('Calculations'!$BY$13:$BY$512),"",INDEX('Calculations'!$BU$13:$BU$512,MATCH(ROW()-11,'Calculations'!$BY$13:$BY$512,0)))</x:f>
      </x:c>
      <x:c r="DD234" s="4" t="str">
        <x:f>IF(223&gt;MAX('Calculations'!$IK$13:$IK$512),"",INDEX('Calculations'!$HK$13:$HK$512,MATCH(223,'Calculations'!$IK$13:$IK$512,0)))</x:f>
      </x:c>
      <x:c r="DE234" s="4" t="str">
        <x:f>'Calculations'!DC234</x:f>
      </x:c>
      <x:c r="DF234" s="4" t="str">
        <x:f>IF('Calculations'!DE234="","",COUNTIFS('Calculations'!$BN$13:$BN$512,1,'Calculations'!$BU$13:$BU$512,'Calculations'!DE234))</x:f>
      </x:c>
      <x:c r="DG234" s="4" t="str">
        <x:f>IF('Calculations'!DE234="","",COUNTIFS('Calculations'!$BN$13:$BN$512,1,'Calculations'!$BU$13:$BU$512,'Calculations'!DE234,'Calculations'!$BT$13:$BT$512,1))</x:f>
      </x:c>
      <x:c r="DH234" s="4" t="str">
        <x:f>IF('Calculations'!DE234="","",'Calculations'!DF234-'Calculations'!DG234)</x:f>
      </x:c>
      <x:c r="DI234" s="4" t="str">
        <x:f>IF(OR('Calculations'!DE234="",'Calculations'!DF234=0),"",'Calculations'!DG234/'Calculations'!DF234)</x:f>
      </x:c>
      <x:c r="DJ234" s="4" t="str">
        <x:f>IF('Calculations'!DE234="","",COUNTIFS('Calculations'!$BN$13:$BN$512,1,'Calculations'!$BU$13:$BU$512,'Calculations'!DE234,'Calculations'!$BT$13:$BT$512,1,'Calculations'!$EE$13:$EE$512,"High"))</x:f>
      </x:c>
      <x:c r="DK234" s="4" t="str">
        <x:f>IF('Calculations'!DE234="","",COUNTIFS('Calculations'!$BN$13:$BN$512,1,'Calculations'!$BU$13:$BU$512,'Calculations'!DE234,'Calculations'!$BT$13:$BT$512,1,'Calculations'!$EE$13:$EE$512,"Strong"))</x:f>
      </x:c>
      <x:c r="DL234" s="4" t="str">
        <x:f>IF('Calculations'!DE234="","",COUNTIFS('Calculations'!$BN$13:$BN$512,1,'Calculations'!$BU$13:$BU$512,'Calculations'!DE234,'Calculations'!$BT$13:$BT$512,1,'Calculations'!$EE$13:$EE$512,"Solid"))</x:f>
      </x:c>
      <x:c r="DM234" s="4" t="str">
        <x:f>IF('Calculations'!DE234="","",COUNTIFS('Calculations'!$BN$13:$BN$512,1,'Calculations'!$BU$13:$BU$512,'Calculations'!DE234,'Calculations'!$BT$13:$BT$512,1,'Calculations'!$EE$13:$EE$512,"Low"))</x:f>
      </x:c>
      <x:c r="DN234" s="4" t="str">
        <x:f>IF('Calculations'!DE234="","",COUNTIFS('Calculations'!$BN$13:$BN$512,1,'Calculations'!$BU$13:$BU$512,'Calculations'!DE234,'Calculations'!$EP$13:$EP$512,1))</x:f>
      </x:c>
      <x:c r="DO234" s="4" t="str">
        <x:f>IF(OR('Calculations'!DE234="",'Calculations'!DG234=0),"",('Calculations'!DJ234+'Calculations'!DK234)/'Calculations'!DG234)</x:f>
      </x:c>
      <x:c r="DP234" s="4" t="n">
        <x:f>IF(AND('Calculations'!DE234&lt;&gt;"",'Calculations'!DF234&gt;0),COUNTIF('Calculations'!$DF$12:DF234,"&gt;0"),0)</x:f>
        <x:v>0</x:v>
      </x:c>
      <x:c r="DQ234" s="4" t="str">
        <x:f>IF(223&gt;MAX('Calculations'!$HH$13:$HH$512),"",INDEX('Calculations'!$HF$13:$HF$512,MATCH(223,'Calculations'!$HH$13:$HH$512,0)))</x:f>
      </x:c>
      <x:c r="DR234" s="4" t="str">
        <x:f>IF(223&gt;MAX('Calculations'!$IK$13:$IK$512),"",INDEX('Calculations'!$HE$13:$HE$512,MATCH(223,'Calculations'!$IK$13:$IK$512,0)))</x:f>
      </x:c>
      <x:c r="DS234" s="4"/>
      <x:c r="DT234" s="4"/>
      <x:c r="DU234" s="4"/>
      <x:c r="DV234" s="4"/>
      <x:c r="DW234" s="4"/>
      <x:c r="DX234" s="4"/>
      <x:c r="DY234" s="4"/>
      <x:c r="DZ234" s="4"/>
      <x:c r="EA234" s="4"/>
      <x:c r="EB234" s="4"/>
      <x:c r="EC234" s="4"/>
      <x:c r="ED234" s="4"/>
      <x:c r="EE234" s="4" t="str">
        <x:f>IF('Calculations'!BT234=0,"Not Rated",IF(OR('Calculations'!BO234&gt;=4,'Calculations'!BP234&gt;=4),"Low",IF('Calculations'!BO234+'Calculations'!BP234&lt;=3,"High",IF('Calculations'!BO234+'Calculations'!BP234&lt;=4,"Strong","Solid"))))</x:f>
        <x:v>Not Rated</x:v>
      </x:c>
      <x:c r="EF234" s="4"/>
      <x:c r="EG234" s="4"/>
      <x:c r="EH234" s="4"/>
      <x:c r="EI234" s="4"/>
      <x:c r="EJ234" s="4"/>
      <x:c r="EK234" s="4"/>
      <x:c r="EL234" s="4"/>
      <x:c r="EM234" s="4" t="str">
        <x:f>IF(222&gt;'Calculations'!$JB$2000,"",INDEX('Calculations'!$JA$12:$JA$2000,MATCH(222,'Calculations'!$JB$12:$JB$2000,0)))</x:f>
      </x:c>
      <x:c r="EN234" s="4" t="n">
        <x:f>IF(OR('Calculations'!EM234="",'Calculations'!$AG$8&gt;0,AND('Calculations'!$EF$2&lt;&gt;"All",'Calculations'!HE234='Calculations'!$EF$2),AND('Calculations'!$EF$3&lt;&gt;"All",'Calculations'!HE234='Calculations'!$EF$3)),0,IF(OR('Dashboard'!$B$7="All",'Calculations'!HN234='Dashboard'!$B$7),IF('Calculations'!$EF$2="All",1,IF('Calculations'!HL234&gt;0,0,IF(COUNTIF('Calculations'!HO234:II234,"="&amp;SUBSTITUTE(SUBSTITUTE(SUBSTITUTE('Calculations'!$EF$2,"~","~~"),"*","~*"),"?","~?"))=0,0,IF('Calculations'!$EF$3="All",1,IF(COUNTIF('Calculations'!HO234:II234,"="&amp;SUBSTITUTE(SUBSTITUTE(SUBSTITUTE('Calculations'!$EF$3,"~","~~"),"*","~*"),"?","~?"))&gt;0,1,0))))),0))</x:f>
        <x:v>0</x:v>
      </x:c>
      <x:c r="EO234" s="4" t="str">
        <x:f>IF('Calculations'!IJ234="","",IF('Calculations'!IJ234="!UNRESOLVED","Unresolved hierarchy",IFERROR(INDEX('Calculations'!$HK$13:$HK$512,MATCH('Calculations'!IJ234,'Calculations'!$HE$13:$HE$512,0)),IFERROR(INDEX('Calculations'!$HJ$13:$HJ$512,MATCH('Calculations'!IJ234,'Calculations'!$HF$13:$HF$512,0)),'Calculations'!IJ234))))</x:f>
      </x:c>
      <x:c r="EP234" s="4" t="n">
        <x:f>IF(AND('Calculations'!EM234&lt;&gt;"",'Calculations'!HF234='Calculations'!IJ234),1,0)</x:f>
        <x:v>0</x:v>
      </x:c>
      <x:c r="EQ234" s="4"/>
      <x:c r="ER234" s="4"/>
      <x:c r="ES234" s="4"/>
      <x:c r="ET234" s="4"/>
      <x:c r="EU234" s="4"/>
      <x:c r="EV234" s="4"/>
      <x:c r="EW234" s="4"/>
      <x:c r="EX234" s="4"/>
      <x:c r="EY234" s="4"/>
      <x:c r="EZ234" s="4"/>
      <x:c r="FA234" s="4"/>
      <x:c r="FB234" s="4"/>
      <x:c r="FC234" s="4"/>
      <x:c r="FD234" s="4"/>
      <x:c r="FE234" s="4"/>
      <x:c r="FF234" s="4"/>
      <x:c r="FG234" s="4"/>
      <x:c r="FH234" s="4"/>
      <x:c r="FI234" s="4"/>
      <x:c r="FJ234" s="4"/>
      <x:c r="FK234" s="4"/>
      <x:c r="FL234" s="4"/>
      <x:c r="FM234" s="4"/>
      <x:c r="FN234" s="4"/>
      <x:c r="FO234" s="4"/>
      <x:c r="HE234" t="str">
        <x:f>IF('Calculations'!EM234="","",IF(IFERROR(IF(INDEX(INDIRECT("'WCM Calibration Final'!$A$1:$A$2000"),'Calculations'!$EM234)="","",TRIM(INDEX(INDIRECT("'WCM Calibration Final'!$A$1:$A$2000"),'Calculations'!$EM234)&amp;"")),"")&lt;&gt;"","G:"&amp;IFERROR(TEXT(1*INDEX(INDIRECT("'WCM Calibration Final'!$A$1:$A$2000"),'Calculations'!$EM234),"0"),UPPER(IFERROR(IF(INDEX(INDIRECT("'WCM Calibration Final'!$A$1:$A$2000"),'Calculations'!$EM234)="","",TRIM(INDEX(INDIRECT("'WCM Calibration Final'!$A$1:$A$2000"),'Calculations'!$EM234)&amp;"")),""))),IF(IFERROR(IF(INDEX(INDIRECT("'WCM Calibration Final'!$C$1:$C$2000"),'Calculations'!$EM234)="","",TRIM(INDEX(INDIRECT("'WCM Calibration Final'!$C$1:$C$2000"),'Calculations'!$EM234)&amp;"")),"")&lt;&gt;"","S:"&amp;UPPER(IFERROR(IF(INDEX(INDIRECT("'WCM Calibration Final'!$C$1:$C$2000"),'Calculations'!$EM234)="","",TRIM(INDEX(INDIRECT("'WCM Calibration Final'!$C$1:$C$2000"),'Calculations'!$EM234)&amp;"")),"")),"R:"&amp;'Calculations'!EM234)))</x:f>
      </x:c>
      <x:c r="HF234" t="str">
        <x:f>IF('Calculations'!EM234="","",IF(IFERROR(IF(INDEX(INDIRECT("'WCM Calibration Final'!$D$1:$D$2000"),'Calculations'!$EM234)="","",TRIM(INDEX(INDIRECT("'WCM Calibration Final'!$D$1:$D$2000"),'Calculations'!$EM234)&amp;"")),"")&lt;&gt;"","G:"&amp;IFERROR(TEXT(1*INDEX(INDIRECT("'WCM Calibration Final'!$D$1:$D$2000"),'Calculations'!$EM234),"0"),UPPER(IFERROR(IF(INDEX(INDIRECT("'WCM Calibration Final'!$D$1:$D$2000"),'Calculations'!$EM234)="","",TRIM(INDEX(INDIRECT("'WCM Calibration Final'!$D$1:$D$2000"),'Calculations'!$EM234)&amp;"")),""))),IF(IFERROR(IF(INDEX(INDIRECT("'WCM Calibration Final'!$E$1:$E$2000"),'Calculations'!$EM234)="","",TRIM(INDEX(INDIRECT("'WCM Calibration Final'!$E$1:$E$2000"),'Calculations'!$EM234)&amp;"")),"")="","",IF(COUNTIF('Calculations'!$HG$13:$HG$512,"="&amp;SUBSTITUTE(SUBSTITUTE(SUBSTITUTE(IFERROR(IF(INDEX(INDIRECT("'WCM Calibration Final'!$E$1:$E$2000"),'Calculations'!$EM234)="","",TRIM(INDEX(INDIRECT("'WCM Calibration Final'!$E$1:$E$2000"),'Calculations'!$EM234)&amp;"")),""),"~","~~"),"*","~*"),"?","~?"))=1,INDEX('Calculations'!$HE$13:$HE$512,MATCH(IFERROR(IF(INDEX(INDIRECT("'WCM Calibration Final'!$E$1:$E$2000"),'Calculations'!$EM234)="","",TRIM(INDEX(INDIRECT("'WCM Calibration Final'!$E$1:$E$2000"),'Calculations'!$EM234)&amp;"")),""),'Calculations'!$HG$13:$HG$512,0)),IF(COUNTIF('Calculations'!$HG$13:$HG$512,"="&amp;SUBSTITUTE(SUBSTITUTE(SUBSTITUTE(IFERROR(IF(INDEX(INDIRECT("'WCM Calibration Final'!$E$1:$E$2000"),'Calculations'!$EM234)="","",TRIM(INDEX(INDIRECT("'WCM Calibration Final'!$E$1:$E$2000"),'Calculations'!$EM234)&amp;"")),""),"~","~~"),"*","~*"),"?","~?"))&gt;1,"!AMBIG","X:"&amp;IFERROR(IF(INDEX(INDIRECT("'WCM Calibration Final'!$E$1:$E$2000"),'Calculations'!$EM234)="","",TRIM(INDEX(INDIRECT("'WCM Calibration Final'!$E$1:$E$2000"),'Calculations'!$EM234)&amp;"")),""))))))</x:f>
      </x:c>
      <x:c r="HG234" t="str">
        <x:f>IF('Calculations'!EM234="","",IFERROR(IF(INDEX(INDIRECT("'WCM Calibration Final'!$B$1:$B$2000"),'Calculations'!$EM234)="","",TRIM(INDEX(INDIRECT("'WCM Calibration Final'!$B$1:$B$2000"),'Calculations'!$EM234)&amp;"")),""))</x:f>
      </x:c>
      <x:c r="HH234" t="n">
        <x:f>IF(AND('Calculations'!JC234&gt;0,COUNTIF('Calculations'!$HF$12:HF234,"="&amp;SUBSTITUTE(SUBSTITUTE(SUBSTITUTE('Calculations'!HF234,"~","~~"),"*","~*"),"?","~?"))=1),MAX('Calculations'!$HH$12:HH233)+1,0)</x:f>
        <x:v>0</x:v>
      </x:c>
      <x:c r="HI234" t="n">
        <x:f>IF(AND('Calculations'!HN234&lt;&gt;"",COUNTIF('Calculations'!$HN$12:HN234,"="&amp;SUBSTITUTE(SUBSTITUTE(SUBSTITUTE('Calculations'!HN234,"~","~~"),"*","~*"),"?","~?"))=1),MAX('Calculations'!$HI$12:HI233)+1,0)</x:f>
        <x:v>0</x:v>
      </x:c>
      <x:c r="HJ234" t="str">
        <x:f>IF('Calculations'!HF234="","",IF(COUNTIF('Calculations'!$HE$13:$HE$512,"="&amp;SUBSTITUTE(SUBSTITUTE(SUBSTITUTE('Calculations'!HF234,"~","~~"),"*","~*"),"?","~?"))=1,INDEX('Calculations'!$HK$13:$HK$512,MATCH('Calculations'!HF234,'Calculations'!$HE$13:$HE$512,0)),IFERROR(IF(INDEX(INDIRECT("'WCM Calibration Final'!$E$1:$E$2000"),'Calculations'!$EM234)="","",TRIM(INDEX(INDIRECT("'WCM Calibration Final'!$E$1:$E$2000"),'Calculations'!$EM234)&amp;"")),"")&amp;" ["&amp;'Calculations'!HF234&amp;"]"))</x:f>
      </x:c>
      <x:c r="HK234" t="str">
        <x:f>IF('Calculations'!EM234="","",'Calculations'!HG234&amp;" ["&amp;'Calculations'!HE234&amp;"]")</x:f>
      </x:c>
      <x:c r="HL234" t="n">
        <x:f>IF('Calculations'!EM234="",0,IF(OR('Calculations'!II234&lt;&gt;"",COUNTIF('Calculations'!$HE$13:$HE$512,"="&amp;SUBSTITUTE(SUBSTITUTE(SUBSTITUTE('Calculations'!HE234,"~","~~"),"*","~*"),"?","~?"))&gt;1),1,0))</x:f>
        <x:v>0</x:v>
      </x:c>
      <x:c r="HM234" t="str">
        <x:f>IF('Calculations'!EM234="","",IF('Calculations'!HL234=1,"!UNRESOLVED",IF('Calculations'!IH234&lt;&gt;"",'Calculations'!IH234,IF('Calculations'!IG234&lt;&gt;"",'Calculations'!IG234,IF('Calculations'!IF234&lt;&gt;"",'Calculations'!IF234,IF('Calculations'!IE234&lt;&gt;"",'Calculations'!IE234,IF('Calculations'!ID234&lt;&gt;"",'Calculations'!ID234,IF('Calculations'!IC234&lt;&gt;"",'Calculations'!IC234,IF('Calculations'!IB234&lt;&gt;"",'Calculations'!IB234,IF('Calculations'!IA234&lt;&gt;"",'Calculations'!IA234,IF('Calculations'!HZ234&lt;&gt;"",'Calculations'!HZ234,IF('Calculations'!HY234&lt;&gt;"",'Calculations'!HY234,IF('Calculations'!HX234&lt;&gt;"",'Calculations'!HX234,IF('Calculations'!HW234&lt;&gt;"",'Calculations'!HW234,IF('Calculations'!HV234&lt;&gt;"",'Calculations'!HV234,IF('Calculations'!HU234&lt;&gt;"",'Calculations'!HU234,IF('Calculations'!HT234&lt;&gt;"",'Calculations'!HT234,IF('Calculations'!HS234&lt;&gt;"",'Calculations'!HS234,IF('Calculations'!HR234&lt;&gt;"",'Calculations'!HR234,IF('Calculations'!HQ234&lt;&gt;"",'Calculations'!HQ234,IF('Calculations'!HP234&lt;&gt;"",'Calculations'!HP234,IF('Calculations'!HO234&lt;&gt;"",'Calculations'!HO234,'Calculations'!HE234))))))))))))))))))))))</x:f>
      </x:c>
      <x:c r="HN234" t="str">
        <x:f>IF('Calculations'!EM234="","",IF(IFERROR(IF(INDEX(INDIRECT("'WCM Calibration Final'!$F$1:$F$2000"),'Calculations'!$EM234)="","",TRIM(INDEX(INDIRECT("'WCM Calibration Final'!$F$1:$F$2000"),'Calculations'!$EM234)&amp;"")),"")="","(Blank)",IFERROR(IF(INDEX(INDIRECT("'WCM Calibration Final'!$F$1:$F$2000"),'Calculations'!$EM234)="","",TRIM(INDEX(INDIRECT("'WCM Calibration Final'!$F$1:$F$2000"),'Calculations'!$EM234)&amp;"")),"")))</x:f>
      </x:c>
      <x:c r="HO234" t="str">
        <x:f>'Calculations'!HF234</x:f>
      </x:c>
      <x:c r="HP234" t="str">
        <x:f>IF('Calculations'!HO234="","",IF('Calculations'!HO234="!AMBIG","!AMBIG",IF(COUNTIF('Calculations'!$HE$13:$HE$512,"="&amp;SUBSTITUTE(SUBSTITUTE(SUBSTITUTE('Calculations'!HO234,"~","~~"),"*","~*"),"?","~?"))&gt;1,"!AMBIG",IFERROR(INDEX('Calculations'!$HF$13:$HF$512,MATCH('Calculations'!HO234,'Calculations'!$HE$13:$HE$512,0)),""))))</x:f>
      </x:c>
      <x:c r="HQ234" t="str">
        <x:f>IF('Calculations'!HP234="","",IF('Calculations'!HP234="!AMBIG","!AMBIG",IF(COUNTIF('Calculations'!$HE$13:$HE$512,"="&amp;SUBSTITUTE(SUBSTITUTE(SUBSTITUTE('Calculations'!HP234,"~","~~"),"*","~*"),"?","~?"))&gt;1,"!AMBIG",IFERROR(INDEX('Calculations'!$HF$13:$HF$512,MATCH('Calculations'!HP234,'Calculations'!$HE$13:$HE$512,0)),""))))</x:f>
      </x:c>
      <x:c r="HR234" t="str">
        <x:f>IF('Calculations'!HQ234="","",IF('Calculations'!HQ234="!AMBIG","!AMBIG",IF(COUNTIF('Calculations'!$HE$13:$HE$512,"="&amp;SUBSTITUTE(SUBSTITUTE(SUBSTITUTE('Calculations'!HQ234,"~","~~"),"*","~*"),"?","~?"))&gt;1,"!AMBIG",IFERROR(INDEX('Calculations'!$HF$13:$HF$512,MATCH('Calculations'!HQ234,'Calculations'!$HE$13:$HE$512,0)),""))))</x:f>
      </x:c>
      <x:c r="HS234" t="str">
        <x:f>IF('Calculations'!HR234="","",IF('Calculations'!HR234="!AMBIG","!AMBIG",IF(COUNTIF('Calculations'!$HE$13:$HE$512,"="&amp;SUBSTITUTE(SUBSTITUTE(SUBSTITUTE('Calculations'!HR234,"~","~~"),"*","~*"),"?","~?"))&gt;1,"!AMBIG",IFERROR(INDEX('Calculations'!$HF$13:$HF$512,MATCH('Calculations'!HR234,'Calculations'!$HE$13:$HE$512,0)),""))))</x:f>
      </x:c>
      <x:c r="HT234" t="str">
        <x:f>IF('Calculations'!HS234="","",IF('Calculations'!HS234="!AMBIG","!AMBIG",IF(COUNTIF('Calculations'!$HE$13:$HE$512,"="&amp;SUBSTITUTE(SUBSTITUTE(SUBSTITUTE('Calculations'!HS234,"~","~~"),"*","~*"),"?","~?"))&gt;1,"!AMBIG",IFERROR(INDEX('Calculations'!$HF$13:$HF$512,MATCH('Calculations'!HS234,'Calculations'!$HE$13:$HE$512,0)),""))))</x:f>
      </x:c>
      <x:c r="HU234" t="str">
        <x:f>IF('Calculations'!HT234="","",IF('Calculations'!HT234="!AMBIG","!AMBIG",IF(COUNTIF('Calculations'!$HE$13:$HE$512,"="&amp;SUBSTITUTE(SUBSTITUTE(SUBSTITUTE('Calculations'!HT234,"~","~~"),"*","~*"),"?","~?"))&gt;1,"!AMBIG",IFERROR(INDEX('Calculations'!$HF$13:$HF$512,MATCH('Calculations'!HT234,'Calculations'!$HE$13:$HE$512,0)),""))))</x:f>
      </x:c>
      <x:c r="HV234" t="str">
        <x:f>IF('Calculations'!HU234="","",IF('Calculations'!HU234="!AMBIG","!AMBIG",IF(COUNTIF('Calculations'!$HE$13:$HE$512,"="&amp;SUBSTITUTE(SUBSTITUTE(SUBSTITUTE('Calculations'!HU234,"~","~~"),"*","~*"),"?","~?"))&gt;1,"!AMBIG",IFERROR(INDEX('Calculations'!$HF$13:$HF$512,MATCH('Calculations'!HU234,'Calculations'!$HE$13:$HE$512,0)),""))))</x:f>
      </x:c>
      <x:c r="HW234" t="str">
        <x:f>IF('Calculations'!HV234="","",IF('Calculations'!HV234="!AMBIG","!AMBIG",IF(COUNTIF('Calculations'!$HE$13:$HE$512,"="&amp;SUBSTITUTE(SUBSTITUTE(SUBSTITUTE('Calculations'!HV234,"~","~~"),"*","~*"),"?","~?"))&gt;1,"!AMBIG",IFERROR(INDEX('Calculations'!$HF$13:$HF$512,MATCH('Calculations'!HV234,'Calculations'!$HE$13:$HE$512,0)),""))))</x:f>
      </x:c>
      <x:c r="HX234" t="str">
        <x:f>IF('Calculations'!HW234="","",IF('Calculations'!HW234="!AMBIG","!AMBIG",IF(COUNTIF('Calculations'!$HE$13:$HE$512,"="&amp;SUBSTITUTE(SUBSTITUTE(SUBSTITUTE('Calculations'!HW234,"~","~~"),"*","~*"),"?","~?"))&gt;1,"!AMBIG",IFERROR(INDEX('Calculations'!$HF$13:$HF$512,MATCH('Calculations'!HW234,'Calculations'!$HE$13:$HE$512,0)),""))))</x:f>
      </x:c>
      <x:c r="HY234" t="str">
        <x:f>IF('Calculations'!HX234="","",IF('Calculations'!HX234="!AMBIG","!AMBIG",IF(COUNTIF('Calculations'!$HE$13:$HE$512,"="&amp;SUBSTITUTE(SUBSTITUTE(SUBSTITUTE('Calculations'!HX234,"~","~~"),"*","~*"),"?","~?"))&gt;1,"!AMBIG",IFERROR(INDEX('Calculations'!$HF$13:$HF$512,MATCH('Calculations'!HX234,'Calculations'!$HE$13:$HE$512,0)),""))))</x:f>
      </x:c>
      <x:c r="HZ234" t="str">
        <x:f>IF('Calculations'!HY234="","",IF('Calculations'!HY234="!AMBIG","!AMBIG",IF(COUNTIF('Calculations'!$HE$13:$HE$512,"="&amp;SUBSTITUTE(SUBSTITUTE(SUBSTITUTE('Calculations'!HY234,"~","~~"),"*","~*"),"?","~?"))&gt;1,"!AMBIG",IFERROR(INDEX('Calculations'!$HF$13:$HF$512,MATCH('Calculations'!HY234,'Calculations'!$HE$13:$HE$512,0)),""))))</x:f>
      </x:c>
      <x:c r="IA234" t="str">
        <x:f>IF('Calculations'!HZ234="","",IF('Calculations'!HZ234="!AMBIG","!AMBIG",IF(COUNTIF('Calculations'!$HE$13:$HE$512,"="&amp;SUBSTITUTE(SUBSTITUTE(SUBSTITUTE('Calculations'!HZ234,"~","~~"),"*","~*"),"?","~?"))&gt;1,"!AMBIG",IFERROR(INDEX('Calculations'!$HF$13:$HF$512,MATCH('Calculations'!HZ234,'Calculations'!$HE$13:$HE$512,0)),""))))</x:f>
      </x:c>
      <x:c r="IB234" t="str">
        <x:f>IF('Calculations'!IA234="","",IF('Calculations'!IA234="!AMBIG","!AMBIG",IF(COUNTIF('Calculations'!$HE$13:$HE$512,"="&amp;SUBSTITUTE(SUBSTITUTE(SUBSTITUTE('Calculations'!IA234,"~","~~"),"*","~*"),"?","~?"))&gt;1,"!AMBIG",IFERROR(INDEX('Calculations'!$HF$13:$HF$512,MATCH('Calculations'!IA234,'Calculations'!$HE$13:$HE$512,0)),""))))</x:f>
      </x:c>
      <x:c r="IC234" t="str">
        <x:f>IF('Calculations'!IB234="","",IF('Calculations'!IB234="!AMBIG","!AMBIG",IF(COUNTIF('Calculations'!$HE$13:$HE$512,"="&amp;SUBSTITUTE(SUBSTITUTE(SUBSTITUTE('Calculations'!IB234,"~","~~"),"*","~*"),"?","~?"))&gt;1,"!AMBIG",IFERROR(INDEX('Calculations'!$HF$13:$HF$512,MATCH('Calculations'!IB234,'Calculations'!$HE$13:$HE$512,0)),""))))</x:f>
      </x:c>
      <x:c r="ID234" t="str">
        <x:f>IF('Calculations'!IC234="","",IF('Calculations'!IC234="!AMBIG","!AMBIG",IF(COUNTIF('Calculations'!$HE$13:$HE$512,"="&amp;SUBSTITUTE(SUBSTITUTE(SUBSTITUTE('Calculations'!IC234,"~","~~"),"*","~*"),"?","~?"))&gt;1,"!AMBIG",IFERROR(INDEX('Calculations'!$HF$13:$HF$512,MATCH('Calculations'!IC234,'Calculations'!$HE$13:$HE$512,0)),""))))</x:f>
      </x:c>
      <x:c r="IE234" t="str">
        <x:f>IF('Calculations'!ID234="","",IF('Calculations'!ID234="!AMBIG","!AMBIG",IF(COUNTIF('Calculations'!$HE$13:$HE$512,"="&amp;SUBSTITUTE(SUBSTITUTE(SUBSTITUTE('Calculations'!ID234,"~","~~"),"*","~*"),"?","~?"))&gt;1,"!AMBIG",IFERROR(INDEX('Calculations'!$HF$13:$HF$512,MATCH('Calculations'!ID234,'Calculations'!$HE$13:$HE$512,0)),""))))</x:f>
      </x:c>
      <x:c r="IF234" t="str">
        <x:f>IF('Calculations'!IE234="","",IF('Calculations'!IE234="!AMBIG","!AMBIG",IF(COUNTIF('Calculations'!$HE$13:$HE$512,"="&amp;SUBSTITUTE(SUBSTITUTE(SUBSTITUTE('Calculations'!IE234,"~","~~"),"*","~*"),"?","~?"))&gt;1,"!AMBIG",IFERROR(INDEX('Calculations'!$HF$13:$HF$512,MATCH('Calculations'!IE234,'Calculations'!$HE$13:$HE$512,0)),""))))</x:f>
      </x:c>
      <x:c r="IG234" t="str">
        <x:f>IF('Calculations'!IF234="","",IF('Calculations'!IF234="!AMBIG","!AMBIG",IF(COUNTIF('Calculations'!$HE$13:$HE$512,"="&amp;SUBSTITUTE(SUBSTITUTE(SUBSTITUTE('Calculations'!IF234,"~","~~"),"*","~*"),"?","~?"))&gt;1,"!AMBIG",IFERROR(INDEX('Calculations'!$HF$13:$HF$512,MATCH('Calculations'!IF234,'Calculations'!$HE$13:$HE$512,0)),""))))</x:f>
      </x:c>
      <x:c r="IH234" t="str">
        <x:f>IF('Calculations'!IG234="","",IF('Calculations'!IG234="!AMBIG","!AMBIG",IF(COUNTIF('Calculations'!$HE$13:$HE$512,"="&amp;SUBSTITUTE(SUBSTITUTE(SUBSTITUTE('Calculations'!IG234,"~","~~"),"*","~*"),"?","~?"))&gt;1,"!AMBIG",IFERROR(INDEX('Calculations'!$HF$13:$HF$512,MATCH('Calculations'!IG234,'Calculations'!$HE$13:$HE$512,0)),""))))</x:f>
      </x:c>
      <x:c r="II234" t="str">
        <x:f>IF('Calculations'!IH234="","",IF('Calculations'!IH234="!AMBIG","!AMBIG",IF(COUNTIF('Calculations'!$HE$13:$HE$512,"="&amp;SUBSTITUTE(SUBSTITUTE(SUBSTITUTE('Calculations'!IH234,"~","~~"),"*","~*"),"?","~?"))&gt;1,"!AMBIG",IFERROR(INDEX('Calculations'!$HF$13:$HF$512,MATCH('Calculations'!IH234,'Calculations'!$HE$13:$HE$512,0)),""))))</x:f>
      </x:c>
      <x:c r="IJ234" t="str">
        <x:f>IF('Calculations'!EM234="","",IF('Calculations'!$EF$2="All",'Calculations'!HM234,IF('Calculations'!HL234=1,"",IFERROR(IF(MATCH('Calculations'!$EF$2,'Calculations'!HO234:II234,0)=1,'Calculations'!HE234,INDEX('Calculations'!HO234:II234,1,MATCH('Calculations'!$EF$2,'Calculations'!HO234:II234,0)-1)),""))))</x:f>
      </x:c>
      <x:c r="IK234" t="n">
        <x:f>IF(AND('Calculations'!EM234&lt;&gt;"",'Calculations'!$EF$2&lt;&gt;"All",'Calculations'!HF234='Calculations'!$EF$2,'Calculations'!HL234=0,'Calculations'!JD234&gt;0),MAX('Calculations'!$IK$12:IK233)+1,0)</x:f>
        <x:v>0</x:v>
      </x:c>
      <x:c r="JA234" t="n">
        <x:f>IF(OR(IFERROR(INDIRECT("'WCM Calibration Final'!$A$234")&lt;&gt;"",FALSE),IFERROR(INDIRECT("'WCM Calibration Final'!$B$234")&lt;&gt;"",FALSE),IFERROR(INDIRECT("'WCM Calibration Final'!$C$234")&lt;&gt;"",FALSE)),234,0)</x:f>
        <x:v>0</x:v>
      </x:c>
      <x:c r="JB234" t="n">
        <x:f>'Calculations'!JB233+IF('Calculations'!JA234&gt;0,1,0)</x:f>
        <x:v>0</x:v>
      </x:c>
      <x:c r="JC234" t="n">
        <x:f>IF(OR('Calculations'!HF234="",'Calculations'!HF234="!AMBIG"),0,IF('Dashboard'!$B$7="All",1,COUNTIFS('Calculations'!$HO$13:$HO$512,"="&amp;SUBSTITUTE(SUBSTITUTE(SUBSTITUTE('Calculations'!HF234,"~","~~"),"*","~*"),"?","~?"),'Calculations'!$HN$13:$HN$512,"="&amp;SUBSTITUTE(SUBSTITUTE(SUBSTITUTE('Dashboard'!$B$7,"~","~~"),"*","~*"),"?","~?"))+COUNTIFS('Calculations'!$HP$13:$HP$512,"="&amp;SUBSTITUTE(SUBSTITUTE(SUBSTITUTE('Calculations'!HF234,"~","~~"),"*","~*"),"?","~?"),'Calculations'!$HN$13:$HN$512,"="&amp;SUBSTITUTE(SUBSTITUTE(SUBSTITUTE('Dashboard'!$B$7,"~","~~"),"*","~*"),"?","~?"))+COUNTIFS('Calculations'!$HQ$13:$HQ$512,"="&amp;SUBSTITUTE(SUBSTITUTE(SUBSTITUTE('Calculations'!HF234,"~","~~"),"*","~*"),"?","~?"),'Calculations'!$HN$13:$HN$512,"="&amp;SUBSTITUTE(SUBSTITUTE(SUBSTITUTE('Dashboard'!$B$7,"~","~~"),"*","~*"),"?","~?"))+COUNTIFS('Calculations'!$HR$13:$HR$512,"="&amp;SUBSTITUTE(SUBSTITUTE(SUBSTITUTE('Calculations'!HF234,"~","~~"),"*","~*"),"?","~?"),'Calculations'!$HN$13:$HN$512,"="&amp;SUBSTITUTE(SUBSTITUTE(SUBSTITUTE('Dashboard'!$B$7,"~","~~"),"*","~*"),"?","~?"))+COUNTIFS('Calculations'!$HS$13:$HS$512,"="&amp;SUBSTITUTE(SUBSTITUTE(SUBSTITUTE('Calculations'!HF234,"~","~~"),"*","~*"),"?","~?"),'Calculations'!$HN$13:$HN$512,"="&amp;SUBSTITUTE(SUBSTITUTE(SUBSTITUTE('Dashboard'!$B$7,"~","~~"),"*","~*"),"?","~?"))+COUNTIFS('Calculations'!$HT$13:$HT$512,"="&amp;SUBSTITUTE(SUBSTITUTE(SUBSTITUTE('Calculations'!HF234,"~","~~"),"*","~*"),"?","~?"),'Calculations'!$HN$13:$HN$512,"="&amp;SUBSTITUTE(SUBSTITUTE(SUBSTITUTE('Dashboard'!$B$7,"~","~~"),"*","~*"),"?","~?"))+COUNTIFS('Calculations'!$HU$13:$HU$512,"="&amp;SUBSTITUTE(SUBSTITUTE(SUBSTITUTE('Calculations'!HF234,"~","~~"),"*","~*"),"?","~?"),'Calculations'!$HN$13:$HN$512,"="&amp;SUBSTITUTE(SUBSTITUTE(SUBSTITUTE('Dashboard'!$B$7,"~","~~"),"*","~*"),"?","~?"))+COUNTIFS('Calculations'!$HV$13:$HV$512,"="&amp;SUBSTITUTE(SUBSTITUTE(SUBSTITUTE('Calculations'!HF234,"~","~~"),"*","~*"),"?","~?"),'Calculations'!$HN$13:$HN$512,"="&amp;SUBSTITUTE(SUBSTITUTE(SUBSTITUTE('Dashboard'!$B$7,"~","~~"),"*","~*"),"?","~?"))+COUNTIFS('Calculations'!$HW$13:$HW$512,"="&amp;SUBSTITUTE(SUBSTITUTE(SUBSTITUTE('Calculations'!HF234,"~","~~"),"*","~*"),"?","~?"),'Calculations'!$HN$13:$HN$512,"="&amp;SUBSTITUTE(SUBSTITUTE(SUBSTITUTE('Dashboard'!$B$7,"~","~~"),"*","~*"),"?","~?"))+COUNTIFS('Calculations'!$HX$13:$HX$512,"="&amp;SUBSTITUTE(SUBSTITUTE(SUBSTITUTE('Calculations'!HF234,"~","~~"),"*","~*"),"?","~?"),'Calculations'!$HN$13:$HN$512,"="&amp;SUBSTITUTE(SUBSTITUTE(SUBSTITUTE('Dashboard'!$B$7,"~","~~"),"*","~*"),"?","~?"))+COUNTIFS('Calculations'!$HY$13:$HY$512,"="&amp;SUBSTITUTE(SUBSTITUTE(SUBSTITUTE('Calculations'!HF234,"~","~~"),"*","~*"),"?","~?"),'Calculations'!$HN$13:$HN$512,"="&amp;SUBSTITUTE(SUBSTITUTE(SUBSTITUTE('Dashboard'!$B$7,"~","~~"),"*","~*"),"?","~?"))+COUNTIFS('Calculations'!$HZ$13:$HZ$512,"="&amp;SUBSTITUTE(SUBSTITUTE(SUBSTITUTE('Calculations'!HF234,"~","~~"),"*","~*"),"?","~?"),'Calculations'!$HN$13:$HN$512,"="&amp;SUBSTITUTE(SUBSTITUTE(SUBSTITUTE('Dashboard'!$B$7,"~","~~"),"*","~*"),"?","~?"))+COUNTIFS('Calculations'!$IA$13:$IA$512,"="&amp;SUBSTITUTE(SUBSTITUTE(SUBSTITUTE('Calculations'!HF234,"~","~~"),"*","~*"),"?","~?"),'Calculations'!$HN$13:$HN$512,"="&amp;SUBSTITUTE(SUBSTITUTE(SUBSTITUTE('Dashboard'!$B$7,"~","~~"),"*","~*"),"?","~?"))+COUNTIFS('Calculations'!$IB$13:$IB$512,"="&amp;SUBSTITUTE(SUBSTITUTE(SUBSTITUTE('Calculations'!HF234,"~","~~"),"*","~*"),"?","~?"),'Calculations'!$HN$13:$HN$512,"="&amp;SUBSTITUTE(SUBSTITUTE(SUBSTITUTE('Dashboard'!$B$7,"~","~~"),"*","~*"),"?","~?"))+COUNTIFS('Calculations'!$IC$13:$IC$512,"="&amp;SUBSTITUTE(SUBSTITUTE(SUBSTITUTE('Calculations'!HF234,"~","~~"),"*","~*"),"?","~?"),'Calculations'!$HN$13:$HN$512,"="&amp;SUBSTITUTE(SUBSTITUTE(SUBSTITUTE('Dashboard'!$B$7,"~","~~"),"*","~*"),"?","~?"))+COUNTIFS('Calculations'!$ID$13:$ID$512,"="&amp;SUBSTITUTE(SUBSTITUTE(SUBSTITUTE('Calculations'!HF234,"~","~~"),"*","~*"),"?","~?"),'Calculations'!$HN$13:$HN$512,"="&amp;SUBSTITUTE(SUBSTITUTE(SUBSTITUTE('Dashboard'!$B$7,"~","~~"),"*","~*"),"?","~?"))+COUNTIFS('Calculations'!$IE$13:$IE$512,"="&amp;SUBSTITUTE(SUBSTITUTE(SUBSTITUTE('Calculations'!HF234,"~","~~"),"*","~*"),"?","~?"),'Calculations'!$HN$13:$HN$512,"="&amp;SUBSTITUTE(SUBSTITUTE(SUBSTITUTE('Dashboard'!$B$7,"~","~~"),"*","~*"),"?","~?"))+COUNTIFS('Calculations'!$IF$13:$IF$512,"="&amp;SUBSTITUTE(SUBSTITUTE(SUBSTITUTE('Calculations'!HF234,"~","~~"),"*","~*"),"?","~?"),'Calculations'!$HN$13:$HN$512,"="&amp;SUBSTITUTE(SUBSTITUTE(SUBSTITUTE('Dashboard'!$B$7,"~","~~"),"*","~*"),"?","~?"))+COUNTIFS('Calculations'!$IG$13:$IG$512,"="&amp;SUBSTITUTE(SUBSTITUTE(SUBSTITUTE('Calculations'!HF234,"~","~~"),"*","~*"),"?","~?"),'Calculations'!$HN$13:$HN$512,"="&amp;SUBSTITUTE(SUBSTITUTE(SUBSTITUTE('Dashboard'!$B$7,"~","~~"),"*","~*"),"?","~?"))+COUNTIFS('Calculations'!$IH$13:$IH$512,"="&amp;SUBSTITUTE(SUBSTITUTE(SUBSTITUTE('Calculations'!HF234,"~","~~"),"*","~*"),"?","~?"),'Calculations'!$HN$13:$HN$512,"="&amp;SUBSTITUTE(SUBSTITUTE(SUBSTITUTE('Dashboard'!$B$7,"~","~~"),"*","~*"),"?","~?"))))</x:f>
        <x:v>0</x:v>
      </x:c>
      <x:c r="JD234" t="n">
        <x:f>IF('Calculations'!EM234="",0,IF('Dashboard'!$B$7="All",1,IF('Calculations'!HN234='Dashboard'!$B$7,1,0)+IFERROR(INDEX('Calculations'!$JC$13:$JC$512,MATCH('Calculations'!HE234,'Calculations'!$HF$13:$HF$512,0)),0)))</x:f>
        <x:v>0</x:v>
      </x:c>
      <x:c r="JE234" t="n">
        <x:f>IF(AND('Calculations'!EM234&lt;&gt;"",'Calculations'!$JJ$2&lt;&gt;"All",'Calculations'!$JJ$2&lt;&gt;"",'Calculations'!HF234='Calculations'!$JJ$2,'Calculations'!HL234=0,'Calculations'!JD234&gt;0),MAX('Calculations'!$JE$12:JE233)+1,0)</x:f>
        <x:v>0</x:v>
      </x:c>
      <x:c r="JF234" t="str">
        <x:f>IF('Calculations'!EM234="","",IFERROR(IF(INDEX(INDIRECT("'WCM Calibration Final'!$G$1:$G$2000"),'Calculations'!$EM234)="","",TRIM(INDEX(INDIRECT("'WCM Calibration Final'!$G$1:$G$2000"),'Calculations'!$EM234)&amp;"")),""))</x:f>
      </x:c>
      <x:c r="JQ234" t="n">
        <x:f>IF(OR('Calculations'!BM234=0,NOT('Calculations'!$AG$2),'Calculations'!$AG$8&gt;0),0,IF(OR('Dashboard'!$B$7="All",'Calculations'!HN234='Dashboard'!$B$7),IF('Calculations'!$JJ$2="All",1,IF(AND('Calculations'!HF234='Calculations'!$JJ$2,'Calculations'!HL234=0),1,0)),0))</x:f>
        <x:v>0</x:v>
      </x:c>
    </x:row>
    <x:row r="235">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t="n">
        <x:f>IF('Calculations'!$EM235="",0,IF(OR(IFERROR(INDEX(INDIRECT("'WCM Calibration Final'!$A$1:$A$2000"),'Calculations'!$EM235)&lt;&gt;"",FALSE),IFERROR(INDEX(INDIRECT("'WCM Calibration Final'!$B$1:$B$2000"),'Calculations'!$EM235)&lt;&gt;"",FALSE),IFERROR(INDEX(INDIRECT("'WCM Calibration Final'!$C$1:$C$2000"),'Calculations'!$EM235)&lt;&gt;"",FALSE)),1,0))</x:f>
        <x:v>0</x:v>
      </x:c>
      <x:c r="BN235" s="4" t="n">
        <x:f>IF(AND('Calculations'!BM235=1,'Calculations'!$AG$2,'Calculations'!$EN235=1),1,0)</x:f>
        <x:v>0</x:v>
      </x:c>
      <x:c r="BO235" s="4" t="str">
        <x:f>IF('Calculations'!BM235=0,"",IFERROR(IF(AND(VALUE(INDEX(INDIRECT("'WCM Calibration Final'!$K$1:$K$2000"),'Calculations'!$EM235))&gt;=1,VALUE(INDEX(INDIRECT("'WCM Calibration Final'!$K$1:$K$2000"),'Calculations'!$EM235))&lt;=4,MOD(VALUE(INDEX(INDIRECT("'WCM Calibration Final'!$K$1:$K$2000"),'Calculations'!$EM235)),1)=0),VALUE(INDEX(INDIRECT("'WCM Calibration Final'!$K$1:$K$2000"),'Calculations'!$EM235)),""),""))</x:f>
      </x:c>
      <x:c r="BP235" s="4" t="str">
        <x:f>IF('Calculations'!BM235=0,"",IFERROR(IF(AND(VALUE(INDEX(INDIRECT("'WCM Calibration Final'!$L$1:$L$2000"),'Calculations'!$EM235))&gt;=1,VALUE(INDEX(INDIRECT("'WCM Calibration Final'!$L$1:$L$2000"),'Calculations'!$EM235))&lt;=4,MOD(VALUE(INDEX(INDIRECT("'WCM Calibration Final'!$L$1:$L$2000"),'Calculations'!$EM235)),1)=0),VALUE(INDEX(INDIRECT("'WCM Calibration Final'!$L$1:$L$2000"),'Calculations'!$EM235)),""),""))</x:f>
      </x:c>
      <x:c r="BQ235" s="4"/>
      <x:c r="BR235" s="4"/>
      <x:c r="BS235" s="4"/>
      <x:c r="BT235" s="4" t="n">
        <x:f>IF(AND('Calculations'!BM235=1,ISNUMBER('Calculations'!BO235),ISNUMBER('Calculations'!BP235)),1,0)</x:f>
        <x:v>0</x:v>
      </x:c>
      <x:c r="BU235" s="4" t="str">
        <x:f>IF('Calculations'!BM235=0,"",'Calculations'!$EO235)</x:f>
      </x:c>
      <x:c r="BV235" s="4" t="str">
        <x:f>IF('Calculations'!BM235=0,"",IFERROR(IF(OR(INDEX(INDIRECT("'WCM Calibration Final'!$H$1:$H$2000"),'Calculations'!$EM235)="MANAGING DIRECTOR",INDEX(INDIRECT("'WCM Calibration Final'!$H$1:$H$2000"),'Calculations'!$EM235)="DIRECTOR",INDEX(INDIRECT("'WCM Calibration Final'!$H$1:$H$2000"),'Calculations'!$EM235)="SENIOR VICE PRESIDENT",INDEX(INDIRECT("'WCM Calibration Final'!$H$1:$H$2000"),'Calculations'!$EM235)="VICE PRESIDENT",INDEX(INDIRECT("'WCM Calibration Final'!$H$1:$H$2000"),'Calculations'!$EM235)="ASSISTANT VICE PRESIDENT",INDEX(INDIRECT("'WCM Calibration Final'!$H$1:$H$2000"),'Calculations'!$EM235)="OFFICER"),UPPER(INDEX(INDIRECT("'WCM Calibration Final'!$H$1:$H$2000"),'Calculations'!$EM235)),"Other"),"Other"))</x:f>
      </x:c>
      <x:c r="BW235" s="4"/>
      <x:c r="BX235" s="4"/>
      <x:c r="BY235" s="4" t="n">
        <x:f>IF(AND('Calculations'!BM235=1,'Calculations'!BU235&lt;&gt;"",COUNTIF('Calculations'!$BU$12:BU235,'Calculations'!BU235)=1),MAX('Calculations'!$BY$11:BY234)+1,0)</x:f>
        <x:v>0</x:v>
      </x:c>
      <x:c r="BZ235" s="4" t="str">
        <x:f>IF('Dashboard'!$E$67="What",'Calculations'!BO235,'Calculations'!BP235)</x:f>
      </x:c>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t="str">
        <x:f>IF(224&gt;MAX('Calculations'!$HI$13:$HI$512),"",INDEX('Calculations'!$HN$13:$HN$512,MATCH(224,'Calculations'!$HI$13:$HI$512,0)))</x:f>
      </x:c>
      <x:c r="DB235" s="4" t="str">
        <x:f>IF(224&gt;MAX('Calculations'!$HH$13:$HH$512),"",INDEX('Calculations'!$HJ$13:$HJ$512,MATCH(224,'Calculations'!$HH$13:$HH$512,0)))</x:f>
      </x:c>
      <x:c r="DC235" s="4" t="str">
        <x:f>IF(ROW()-11&gt;MAX('Calculations'!$BY$13:$BY$512),"",INDEX('Calculations'!$BU$13:$BU$512,MATCH(ROW()-11,'Calculations'!$BY$13:$BY$512,0)))</x:f>
      </x:c>
      <x:c r="DD235" s="4" t="str">
        <x:f>IF(224&gt;MAX('Calculations'!$IK$13:$IK$512),"",INDEX('Calculations'!$HK$13:$HK$512,MATCH(224,'Calculations'!$IK$13:$IK$512,0)))</x:f>
      </x:c>
      <x:c r="DE235" s="4" t="str">
        <x:f>'Calculations'!DC235</x:f>
      </x:c>
      <x:c r="DF235" s="4" t="str">
        <x:f>IF('Calculations'!DE235="","",COUNTIFS('Calculations'!$BN$13:$BN$512,1,'Calculations'!$BU$13:$BU$512,'Calculations'!DE235))</x:f>
      </x:c>
      <x:c r="DG235" s="4" t="str">
        <x:f>IF('Calculations'!DE235="","",COUNTIFS('Calculations'!$BN$13:$BN$512,1,'Calculations'!$BU$13:$BU$512,'Calculations'!DE235,'Calculations'!$BT$13:$BT$512,1))</x:f>
      </x:c>
      <x:c r="DH235" s="4" t="str">
        <x:f>IF('Calculations'!DE235="","",'Calculations'!DF235-'Calculations'!DG235)</x:f>
      </x:c>
      <x:c r="DI235" s="4" t="str">
        <x:f>IF(OR('Calculations'!DE235="",'Calculations'!DF235=0),"",'Calculations'!DG235/'Calculations'!DF235)</x:f>
      </x:c>
      <x:c r="DJ235" s="4" t="str">
        <x:f>IF('Calculations'!DE235="","",COUNTIFS('Calculations'!$BN$13:$BN$512,1,'Calculations'!$BU$13:$BU$512,'Calculations'!DE235,'Calculations'!$BT$13:$BT$512,1,'Calculations'!$EE$13:$EE$512,"High"))</x:f>
      </x:c>
      <x:c r="DK235" s="4" t="str">
        <x:f>IF('Calculations'!DE235="","",COUNTIFS('Calculations'!$BN$13:$BN$512,1,'Calculations'!$BU$13:$BU$512,'Calculations'!DE235,'Calculations'!$BT$13:$BT$512,1,'Calculations'!$EE$13:$EE$512,"Strong"))</x:f>
      </x:c>
      <x:c r="DL235" s="4" t="str">
        <x:f>IF('Calculations'!DE235="","",COUNTIFS('Calculations'!$BN$13:$BN$512,1,'Calculations'!$BU$13:$BU$512,'Calculations'!DE235,'Calculations'!$BT$13:$BT$512,1,'Calculations'!$EE$13:$EE$512,"Solid"))</x:f>
      </x:c>
      <x:c r="DM235" s="4" t="str">
        <x:f>IF('Calculations'!DE235="","",COUNTIFS('Calculations'!$BN$13:$BN$512,1,'Calculations'!$BU$13:$BU$512,'Calculations'!DE235,'Calculations'!$BT$13:$BT$512,1,'Calculations'!$EE$13:$EE$512,"Low"))</x:f>
      </x:c>
      <x:c r="DN235" s="4" t="str">
        <x:f>IF('Calculations'!DE235="","",COUNTIFS('Calculations'!$BN$13:$BN$512,1,'Calculations'!$BU$13:$BU$512,'Calculations'!DE235,'Calculations'!$EP$13:$EP$512,1))</x:f>
      </x:c>
      <x:c r="DO235" s="4" t="str">
        <x:f>IF(OR('Calculations'!DE235="",'Calculations'!DG235=0),"",('Calculations'!DJ235+'Calculations'!DK235)/'Calculations'!DG235)</x:f>
      </x:c>
      <x:c r="DP235" s="4" t="n">
        <x:f>IF(AND('Calculations'!DE235&lt;&gt;"",'Calculations'!DF235&gt;0),COUNTIF('Calculations'!$DF$12:DF235,"&gt;0"),0)</x:f>
        <x:v>0</x:v>
      </x:c>
      <x:c r="DQ235" s="4" t="str">
        <x:f>IF(224&gt;MAX('Calculations'!$HH$13:$HH$512),"",INDEX('Calculations'!$HF$13:$HF$512,MATCH(224,'Calculations'!$HH$13:$HH$512,0)))</x:f>
      </x:c>
      <x:c r="DR235" s="4" t="str">
        <x:f>IF(224&gt;MAX('Calculations'!$IK$13:$IK$512),"",INDEX('Calculations'!$HE$13:$HE$512,MATCH(224,'Calculations'!$IK$13:$IK$512,0)))</x:f>
      </x:c>
      <x:c r="DS235" s="4"/>
      <x:c r="DT235" s="4"/>
      <x:c r="DU235" s="4"/>
      <x:c r="DV235" s="4"/>
      <x:c r="DW235" s="4"/>
      <x:c r="DX235" s="4"/>
      <x:c r="DY235" s="4"/>
      <x:c r="DZ235" s="4"/>
      <x:c r="EA235" s="4"/>
      <x:c r="EB235" s="4"/>
      <x:c r="EC235" s="4"/>
      <x:c r="ED235" s="4"/>
      <x:c r="EE235" s="4" t="str">
        <x:f>IF('Calculations'!BT235=0,"Not Rated",IF(OR('Calculations'!BO235&gt;=4,'Calculations'!BP235&gt;=4),"Low",IF('Calculations'!BO235+'Calculations'!BP235&lt;=3,"High",IF('Calculations'!BO235+'Calculations'!BP235&lt;=4,"Strong","Solid"))))</x:f>
        <x:v>Not Rated</x:v>
      </x:c>
      <x:c r="EF235" s="4"/>
      <x:c r="EG235" s="4"/>
      <x:c r="EH235" s="4"/>
      <x:c r="EI235" s="4"/>
      <x:c r="EJ235" s="4"/>
      <x:c r="EK235" s="4"/>
      <x:c r="EL235" s="4"/>
      <x:c r="EM235" s="4" t="str">
        <x:f>IF(223&gt;'Calculations'!$JB$2000,"",INDEX('Calculations'!$JA$12:$JA$2000,MATCH(223,'Calculations'!$JB$12:$JB$2000,0)))</x:f>
      </x:c>
      <x:c r="EN235" s="4" t="n">
        <x:f>IF(OR('Calculations'!EM235="",'Calculations'!$AG$8&gt;0,AND('Calculations'!$EF$2&lt;&gt;"All",'Calculations'!HE235='Calculations'!$EF$2),AND('Calculations'!$EF$3&lt;&gt;"All",'Calculations'!HE235='Calculations'!$EF$3)),0,IF(OR('Dashboard'!$B$7="All",'Calculations'!HN235='Dashboard'!$B$7),IF('Calculations'!$EF$2="All",1,IF('Calculations'!HL235&gt;0,0,IF(COUNTIF('Calculations'!HO235:II235,"="&amp;SUBSTITUTE(SUBSTITUTE(SUBSTITUTE('Calculations'!$EF$2,"~","~~"),"*","~*"),"?","~?"))=0,0,IF('Calculations'!$EF$3="All",1,IF(COUNTIF('Calculations'!HO235:II235,"="&amp;SUBSTITUTE(SUBSTITUTE(SUBSTITUTE('Calculations'!$EF$3,"~","~~"),"*","~*"),"?","~?"))&gt;0,1,0))))),0))</x:f>
        <x:v>0</x:v>
      </x:c>
      <x:c r="EO235" s="4" t="str">
        <x:f>IF('Calculations'!IJ235="","",IF('Calculations'!IJ235="!UNRESOLVED","Unresolved hierarchy",IFERROR(INDEX('Calculations'!$HK$13:$HK$512,MATCH('Calculations'!IJ235,'Calculations'!$HE$13:$HE$512,0)),IFERROR(INDEX('Calculations'!$HJ$13:$HJ$512,MATCH('Calculations'!IJ235,'Calculations'!$HF$13:$HF$512,0)),'Calculations'!IJ235))))</x:f>
      </x:c>
      <x:c r="EP235" s="4" t="n">
        <x:f>IF(AND('Calculations'!EM235&lt;&gt;"",'Calculations'!HF235='Calculations'!IJ235),1,0)</x:f>
        <x:v>0</x:v>
      </x:c>
      <x:c r="EQ235" s="4"/>
      <x:c r="ER235" s="4"/>
      <x:c r="ES235" s="4"/>
      <x:c r="ET235" s="4"/>
      <x:c r="EU235" s="4"/>
      <x:c r="EV235" s="4"/>
      <x:c r="EW235" s="4"/>
      <x:c r="EX235" s="4"/>
      <x:c r="EY235" s="4"/>
      <x:c r="EZ235" s="4"/>
      <x:c r="FA235" s="4"/>
      <x:c r="FB235" s="4"/>
      <x:c r="FC235" s="4"/>
      <x:c r="FD235" s="4"/>
      <x:c r="FE235" s="4"/>
      <x:c r="FF235" s="4"/>
      <x:c r="FG235" s="4"/>
      <x:c r="FH235" s="4"/>
      <x:c r="FI235" s="4"/>
      <x:c r="FJ235" s="4"/>
      <x:c r="FK235" s="4"/>
      <x:c r="FL235" s="4"/>
      <x:c r="FM235" s="4"/>
      <x:c r="FN235" s="4"/>
      <x:c r="FO235" s="4"/>
      <x:c r="HE235" t="str">
        <x:f>IF('Calculations'!EM235="","",IF(IFERROR(IF(INDEX(INDIRECT("'WCM Calibration Final'!$A$1:$A$2000"),'Calculations'!$EM235)="","",TRIM(INDEX(INDIRECT("'WCM Calibration Final'!$A$1:$A$2000"),'Calculations'!$EM235)&amp;"")),"")&lt;&gt;"","G:"&amp;IFERROR(TEXT(1*INDEX(INDIRECT("'WCM Calibration Final'!$A$1:$A$2000"),'Calculations'!$EM235),"0"),UPPER(IFERROR(IF(INDEX(INDIRECT("'WCM Calibration Final'!$A$1:$A$2000"),'Calculations'!$EM235)="","",TRIM(INDEX(INDIRECT("'WCM Calibration Final'!$A$1:$A$2000"),'Calculations'!$EM235)&amp;"")),""))),IF(IFERROR(IF(INDEX(INDIRECT("'WCM Calibration Final'!$C$1:$C$2000"),'Calculations'!$EM235)="","",TRIM(INDEX(INDIRECT("'WCM Calibration Final'!$C$1:$C$2000"),'Calculations'!$EM235)&amp;"")),"")&lt;&gt;"","S:"&amp;UPPER(IFERROR(IF(INDEX(INDIRECT("'WCM Calibration Final'!$C$1:$C$2000"),'Calculations'!$EM235)="","",TRIM(INDEX(INDIRECT("'WCM Calibration Final'!$C$1:$C$2000"),'Calculations'!$EM235)&amp;"")),"")),"R:"&amp;'Calculations'!EM235)))</x:f>
      </x:c>
      <x:c r="HF235" t="str">
        <x:f>IF('Calculations'!EM235="","",IF(IFERROR(IF(INDEX(INDIRECT("'WCM Calibration Final'!$D$1:$D$2000"),'Calculations'!$EM235)="","",TRIM(INDEX(INDIRECT("'WCM Calibration Final'!$D$1:$D$2000"),'Calculations'!$EM235)&amp;"")),"")&lt;&gt;"","G:"&amp;IFERROR(TEXT(1*INDEX(INDIRECT("'WCM Calibration Final'!$D$1:$D$2000"),'Calculations'!$EM235),"0"),UPPER(IFERROR(IF(INDEX(INDIRECT("'WCM Calibration Final'!$D$1:$D$2000"),'Calculations'!$EM235)="","",TRIM(INDEX(INDIRECT("'WCM Calibration Final'!$D$1:$D$2000"),'Calculations'!$EM235)&amp;"")),""))),IF(IFERROR(IF(INDEX(INDIRECT("'WCM Calibration Final'!$E$1:$E$2000"),'Calculations'!$EM235)="","",TRIM(INDEX(INDIRECT("'WCM Calibration Final'!$E$1:$E$2000"),'Calculations'!$EM235)&amp;"")),"")="","",IF(COUNTIF('Calculations'!$HG$13:$HG$512,"="&amp;SUBSTITUTE(SUBSTITUTE(SUBSTITUTE(IFERROR(IF(INDEX(INDIRECT("'WCM Calibration Final'!$E$1:$E$2000"),'Calculations'!$EM235)="","",TRIM(INDEX(INDIRECT("'WCM Calibration Final'!$E$1:$E$2000"),'Calculations'!$EM235)&amp;"")),""),"~","~~"),"*","~*"),"?","~?"))=1,INDEX('Calculations'!$HE$13:$HE$512,MATCH(IFERROR(IF(INDEX(INDIRECT("'WCM Calibration Final'!$E$1:$E$2000"),'Calculations'!$EM235)="","",TRIM(INDEX(INDIRECT("'WCM Calibration Final'!$E$1:$E$2000"),'Calculations'!$EM235)&amp;"")),""),'Calculations'!$HG$13:$HG$512,0)),IF(COUNTIF('Calculations'!$HG$13:$HG$512,"="&amp;SUBSTITUTE(SUBSTITUTE(SUBSTITUTE(IFERROR(IF(INDEX(INDIRECT("'WCM Calibration Final'!$E$1:$E$2000"),'Calculations'!$EM235)="","",TRIM(INDEX(INDIRECT("'WCM Calibration Final'!$E$1:$E$2000"),'Calculations'!$EM235)&amp;"")),""),"~","~~"),"*","~*"),"?","~?"))&gt;1,"!AMBIG","X:"&amp;IFERROR(IF(INDEX(INDIRECT("'WCM Calibration Final'!$E$1:$E$2000"),'Calculations'!$EM235)="","",TRIM(INDEX(INDIRECT("'WCM Calibration Final'!$E$1:$E$2000"),'Calculations'!$EM235)&amp;"")),""))))))</x:f>
      </x:c>
      <x:c r="HG235" t="str">
        <x:f>IF('Calculations'!EM235="","",IFERROR(IF(INDEX(INDIRECT("'WCM Calibration Final'!$B$1:$B$2000"),'Calculations'!$EM235)="","",TRIM(INDEX(INDIRECT("'WCM Calibration Final'!$B$1:$B$2000"),'Calculations'!$EM235)&amp;"")),""))</x:f>
      </x:c>
      <x:c r="HH235" t="n">
        <x:f>IF(AND('Calculations'!JC235&gt;0,COUNTIF('Calculations'!$HF$12:HF235,"="&amp;SUBSTITUTE(SUBSTITUTE(SUBSTITUTE('Calculations'!HF235,"~","~~"),"*","~*"),"?","~?"))=1),MAX('Calculations'!$HH$12:HH234)+1,0)</x:f>
        <x:v>0</x:v>
      </x:c>
      <x:c r="HI235" t="n">
        <x:f>IF(AND('Calculations'!HN235&lt;&gt;"",COUNTIF('Calculations'!$HN$12:HN235,"="&amp;SUBSTITUTE(SUBSTITUTE(SUBSTITUTE('Calculations'!HN235,"~","~~"),"*","~*"),"?","~?"))=1),MAX('Calculations'!$HI$12:HI234)+1,0)</x:f>
        <x:v>0</x:v>
      </x:c>
      <x:c r="HJ235" t="str">
        <x:f>IF('Calculations'!HF235="","",IF(COUNTIF('Calculations'!$HE$13:$HE$512,"="&amp;SUBSTITUTE(SUBSTITUTE(SUBSTITUTE('Calculations'!HF235,"~","~~"),"*","~*"),"?","~?"))=1,INDEX('Calculations'!$HK$13:$HK$512,MATCH('Calculations'!HF235,'Calculations'!$HE$13:$HE$512,0)),IFERROR(IF(INDEX(INDIRECT("'WCM Calibration Final'!$E$1:$E$2000"),'Calculations'!$EM235)="","",TRIM(INDEX(INDIRECT("'WCM Calibration Final'!$E$1:$E$2000"),'Calculations'!$EM235)&amp;"")),"")&amp;" ["&amp;'Calculations'!HF235&amp;"]"))</x:f>
      </x:c>
      <x:c r="HK235" t="str">
        <x:f>IF('Calculations'!EM235="","",'Calculations'!HG235&amp;" ["&amp;'Calculations'!HE235&amp;"]")</x:f>
      </x:c>
      <x:c r="HL235" t="n">
        <x:f>IF('Calculations'!EM235="",0,IF(OR('Calculations'!II235&lt;&gt;"",COUNTIF('Calculations'!$HE$13:$HE$512,"="&amp;SUBSTITUTE(SUBSTITUTE(SUBSTITUTE('Calculations'!HE235,"~","~~"),"*","~*"),"?","~?"))&gt;1),1,0))</x:f>
        <x:v>0</x:v>
      </x:c>
      <x:c r="HM235" t="str">
        <x:f>IF('Calculations'!EM235="","",IF('Calculations'!HL235=1,"!UNRESOLVED",IF('Calculations'!IH235&lt;&gt;"",'Calculations'!IH235,IF('Calculations'!IG235&lt;&gt;"",'Calculations'!IG235,IF('Calculations'!IF235&lt;&gt;"",'Calculations'!IF235,IF('Calculations'!IE235&lt;&gt;"",'Calculations'!IE235,IF('Calculations'!ID235&lt;&gt;"",'Calculations'!ID235,IF('Calculations'!IC235&lt;&gt;"",'Calculations'!IC235,IF('Calculations'!IB235&lt;&gt;"",'Calculations'!IB235,IF('Calculations'!IA235&lt;&gt;"",'Calculations'!IA235,IF('Calculations'!HZ235&lt;&gt;"",'Calculations'!HZ235,IF('Calculations'!HY235&lt;&gt;"",'Calculations'!HY235,IF('Calculations'!HX235&lt;&gt;"",'Calculations'!HX235,IF('Calculations'!HW235&lt;&gt;"",'Calculations'!HW235,IF('Calculations'!HV235&lt;&gt;"",'Calculations'!HV235,IF('Calculations'!HU235&lt;&gt;"",'Calculations'!HU235,IF('Calculations'!HT235&lt;&gt;"",'Calculations'!HT235,IF('Calculations'!HS235&lt;&gt;"",'Calculations'!HS235,IF('Calculations'!HR235&lt;&gt;"",'Calculations'!HR235,IF('Calculations'!HQ235&lt;&gt;"",'Calculations'!HQ235,IF('Calculations'!HP235&lt;&gt;"",'Calculations'!HP235,IF('Calculations'!HO235&lt;&gt;"",'Calculations'!HO235,'Calculations'!HE235))))))))))))))))))))))</x:f>
      </x:c>
      <x:c r="HN235" t="str">
        <x:f>IF('Calculations'!EM235="","",IF(IFERROR(IF(INDEX(INDIRECT("'WCM Calibration Final'!$F$1:$F$2000"),'Calculations'!$EM235)="","",TRIM(INDEX(INDIRECT("'WCM Calibration Final'!$F$1:$F$2000"),'Calculations'!$EM235)&amp;"")),"")="","(Blank)",IFERROR(IF(INDEX(INDIRECT("'WCM Calibration Final'!$F$1:$F$2000"),'Calculations'!$EM235)="","",TRIM(INDEX(INDIRECT("'WCM Calibration Final'!$F$1:$F$2000"),'Calculations'!$EM235)&amp;"")),"")))</x:f>
      </x:c>
      <x:c r="HO235" t="str">
        <x:f>'Calculations'!HF235</x:f>
      </x:c>
      <x:c r="HP235" t="str">
        <x:f>IF('Calculations'!HO235="","",IF('Calculations'!HO235="!AMBIG","!AMBIG",IF(COUNTIF('Calculations'!$HE$13:$HE$512,"="&amp;SUBSTITUTE(SUBSTITUTE(SUBSTITUTE('Calculations'!HO235,"~","~~"),"*","~*"),"?","~?"))&gt;1,"!AMBIG",IFERROR(INDEX('Calculations'!$HF$13:$HF$512,MATCH('Calculations'!HO235,'Calculations'!$HE$13:$HE$512,0)),""))))</x:f>
      </x:c>
      <x:c r="HQ235" t="str">
        <x:f>IF('Calculations'!HP235="","",IF('Calculations'!HP235="!AMBIG","!AMBIG",IF(COUNTIF('Calculations'!$HE$13:$HE$512,"="&amp;SUBSTITUTE(SUBSTITUTE(SUBSTITUTE('Calculations'!HP235,"~","~~"),"*","~*"),"?","~?"))&gt;1,"!AMBIG",IFERROR(INDEX('Calculations'!$HF$13:$HF$512,MATCH('Calculations'!HP235,'Calculations'!$HE$13:$HE$512,0)),""))))</x:f>
      </x:c>
      <x:c r="HR235" t="str">
        <x:f>IF('Calculations'!HQ235="","",IF('Calculations'!HQ235="!AMBIG","!AMBIG",IF(COUNTIF('Calculations'!$HE$13:$HE$512,"="&amp;SUBSTITUTE(SUBSTITUTE(SUBSTITUTE('Calculations'!HQ235,"~","~~"),"*","~*"),"?","~?"))&gt;1,"!AMBIG",IFERROR(INDEX('Calculations'!$HF$13:$HF$512,MATCH('Calculations'!HQ235,'Calculations'!$HE$13:$HE$512,0)),""))))</x:f>
      </x:c>
      <x:c r="HS235" t="str">
        <x:f>IF('Calculations'!HR235="","",IF('Calculations'!HR235="!AMBIG","!AMBIG",IF(COUNTIF('Calculations'!$HE$13:$HE$512,"="&amp;SUBSTITUTE(SUBSTITUTE(SUBSTITUTE('Calculations'!HR235,"~","~~"),"*","~*"),"?","~?"))&gt;1,"!AMBIG",IFERROR(INDEX('Calculations'!$HF$13:$HF$512,MATCH('Calculations'!HR235,'Calculations'!$HE$13:$HE$512,0)),""))))</x:f>
      </x:c>
      <x:c r="HT235" t="str">
        <x:f>IF('Calculations'!HS235="","",IF('Calculations'!HS235="!AMBIG","!AMBIG",IF(COUNTIF('Calculations'!$HE$13:$HE$512,"="&amp;SUBSTITUTE(SUBSTITUTE(SUBSTITUTE('Calculations'!HS235,"~","~~"),"*","~*"),"?","~?"))&gt;1,"!AMBIG",IFERROR(INDEX('Calculations'!$HF$13:$HF$512,MATCH('Calculations'!HS235,'Calculations'!$HE$13:$HE$512,0)),""))))</x:f>
      </x:c>
      <x:c r="HU235" t="str">
        <x:f>IF('Calculations'!HT235="","",IF('Calculations'!HT235="!AMBIG","!AMBIG",IF(COUNTIF('Calculations'!$HE$13:$HE$512,"="&amp;SUBSTITUTE(SUBSTITUTE(SUBSTITUTE('Calculations'!HT235,"~","~~"),"*","~*"),"?","~?"))&gt;1,"!AMBIG",IFERROR(INDEX('Calculations'!$HF$13:$HF$512,MATCH('Calculations'!HT235,'Calculations'!$HE$13:$HE$512,0)),""))))</x:f>
      </x:c>
      <x:c r="HV235" t="str">
        <x:f>IF('Calculations'!HU235="","",IF('Calculations'!HU235="!AMBIG","!AMBIG",IF(COUNTIF('Calculations'!$HE$13:$HE$512,"="&amp;SUBSTITUTE(SUBSTITUTE(SUBSTITUTE('Calculations'!HU235,"~","~~"),"*","~*"),"?","~?"))&gt;1,"!AMBIG",IFERROR(INDEX('Calculations'!$HF$13:$HF$512,MATCH('Calculations'!HU235,'Calculations'!$HE$13:$HE$512,0)),""))))</x:f>
      </x:c>
      <x:c r="HW235" t="str">
        <x:f>IF('Calculations'!HV235="","",IF('Calculations'!HV235="!AMBIG","!AMBIG",IF(COUNTIF('Calculations'!$HE$13:$HE$512,"="&amp;SUBSTITUTE(SUBSTITUTE(SUBSTITUTE('Calculations'!HV235,"~","~~"),"*","~*"),"?","~?"))&gt;1,"!AMBIG",IFERROR(INDEX('Calculations'!$HF$13:$HF$512,MATCH('Calculations'!HV235,'Calculations'!$HE$13:$HE$512,0)),""))))</x:f>
      </x:c>
      <x:c r="HX235" t="str">
        <x:f>IF('Calculations'!HW235="","",IF('Calculations'!HW235="!AMBIG","!AMBIG",IF(COUNTIF('Calculations'!$HE$13:$HE$512,"="&amp;SUBSTITUTE(SUBSTITUTE(SUBSTITUTE('Calculations'!HW235,"~","~~"),"*","~*"),"?","~?"))&gt;1,"!AMBIG",IFERROR(INDEX('Calculations'!$HF$13:$HF$512,MATCH('Calculations'!HW235,'Calculations'!$HE$13:$HE$512,0)),""))))</x:f>
      </x:c>
      <x:c r="HY235" t="str">
        <x:f>IF('Calculations'!HX235="","",IF('Calculations'!HX235="!AMBIG","!AMBIG",IF(COUNTIF('Calculations'!$HE$13:$HE$512,"="&amp;SUBSTITUTE(SUBSTITUTE(SUBSTITUTE('Calculations'!HX235,"~","~~"),"*","~*"),"?","~?"))&gt;1,"!AMBIG",IFERROR(INDEX('Calculations'!$HF$13:$HF$512,MATCH('Calculations'!HX235,'Calculations'!$HE$13:$HE$512,0)),""))))</x:f>
      </x:c>
      <x:c r="HZ235" t="str">
        <x:f>IF('Calculations'!HY235="","",IF('Calculations'!HY235="!AMBIG","!AMBIG",IF(COUNTIF('Calculations'!$HE$13:$HE$512,"="&amp;SUBSTITUTE(SUBSTITUTE(SUBSTITUTE('Calculations'!HY235,"~","~~"),"*","~*"),"?","~?"))&gt;1,"!AMBIG",IFERROR(INDEX('Calculations'!$HF$13:$HF$512,MATCH('Calculations'!HY235,'Calculations'!$HE$13:$HE$512,0)),""))))</x:f>
      </x:c>
      <x:c r="IA235" t="str">
        <x:f>IF('Calculations'!HZ235="","",IF('Calculations'!HZ235="!AMBIG","!AMBIG",IF(COUNTIF('Calculations'!$HE$13:$HE$512,"="&amp;SUBSTITUTE(SUBSTITUTE(SUBSTITUTE('Calculations'!HZ235,"~","~~"),"*","~*"),"?","~?"))&gt;1,"!AMBIG",IFERROR(INDEX('Calculations'!$HF$13:$HF$512,MATCH('Calculations'!HZ235,'Calculations'!$HE$13:$HE$512,0)),""))))</x:f>
      </x:c>
      <x:c r="IB235" t="str">
        <x:f>IF('Calculations'!IA235="","",IF('Calculations'!IA235="!AMBIG","!AMBIG",IF(COUNTIF('Calculations'!$HE$13:$HE$512,"="&amp;SUBSTITUTE(SUBSTITUTE(SUBSTITUTE('Calculations'!IA235,"~","~~"),"*","~*"),"?","~?"))&gt;1,"!AMBIG",IFERROR(INDEX('Calculations'!$HF$13:$HF$512,MATCH('Calculations'!IA235,'Calculations'!$HE$13:$HE$512,0)),""))))</x:f>
      </x:c>
      <x:c r="IC235" t="str">
        <x:f>IF('Calculations'!IB235="","",IF('Calculations'!IB235="!AMBIG","!AMBIG",IF(COUNTIF('Calculations'!$HE$13:$HE$512,"="&amp;SUBSTITUTE(SUBSTITUTE(SUBSTITUTE('Calculations'!IB235,"~","~~"),"*","~*"),"?","~?"))&gt;1,"!AMBIG",IFERROR(INDEX('Calculations'!$HF$13:$HF$512,MATCH('Calculations'!IB235,'Calculations'!$HE$13:$HE$512,0)),""))))</x:f>
      </x:c>
      <x:c r="ID235" t="str">
        <x:f>IF('Calculations'!IC235="","",IF('Calculations'!IC235="!AMBIG","!AMBIG",IF(COUNTIF('Calculations'!$HE$13:$HE$512,"="&amp;SUBSTITUTE(SUBSTITUTE(SUBSTITUTE('Calculations'!IC235,"~","~~"),"*","~*"),"?","~?"))&gt;1,"!AMBIG",IFERROR(INDEX('Calculations'!$HF$13:$HF$512,MATCH('Calculations'!IC235,'Calculations'!$HE$13:$HE$512,0)),""))))</x:f>
      </x:c>
      <x:c r="IE235" t="str">
        <x:f>IF('Calculations'!ID235="","",IF('Calculations'!ID235="!AMBIG","!AMBIG",IF(COUNTIF('Calculations'!$HE$13:$HE$512,"="&amp;SUBSTITUTE(SUBSTITUTE(SUBSTITUTE('Calculations'!ID235,"~","~~"),"*","~*"),"?","~?"))&gt;1,"!AMBIG",IFERROR(INDEX('Calculations'!$HF$13:$HF$512,MATCH('Calculations'!ID235,'Calculations'!$HE$13:$HE$512,0)),""))))</x:f>
      </x:c>
      <x:c r="IF235" t="str">
        <x:f>IF('Calculations'!IE235="","",IF('Calculations'!IE235="!AMBIG","!AMBIG",IF(COUNTIF('Calculations'!$HE$13:$HE$512,"="&amp;SUBSTITUTE(SUBSTITUTE(SUBSTITUTE('Calculations'!IE235,"~","~~"),"*","~*"),"?","~?"))&gt;1,"!AMBIG",IFERROR(INDEX('Calculations'!$HF$13:$HF$512,MATCH('Calculations'!IE235,'Calculations'!$HE$13:$HE$512,0)),""))))</x:f>
      </x:c>
      <x:c r="IG235" t="str">
        <x:f>IF('Calculations'!IF235="","",IF('Calculations'!IF235="!AMBIG","!AMBIG",IF(COUNTIF('Calculations'!$HE$13:$HE$512,"="&amp;SUBSTITUTE(SUBSTITUTE(SUBSTITUTE('Calculations'!IF235,"~","~~"),"*","~*"),"?","~?"))&gt;1,"!AMBIG",IFERROR(INDEX('Calculations'!$HF$13:$HF$512,MATCH('Calculations'!IF235,'Calculations'!$HE$13:$HE$512,0)),""))))</x:f>
      </x:c>
      <x:c r="IH235" t="str">
        <x:f>IF('Calculations'!IG235="","",IF('Calculations'!IG235="!AMBIG","!AMBIG",IF(COUNTIF('Calculations'!$HE$13:$HE$512,"="&amp;SUBSTITUTE(SUBSTITUTE(SUBSTITUTE('Calculations'!IG235,"~","~~"),"*","~*"),"?","~?"))&gt;1,"!AMBIG",IFERROR(INDEX('Calculations'!$HF$13:$HF$512,MATCH('Calculations'!IG235,'Calculations'!$HE$13:$HE$512,0)),""))))</x:f>
      </x:c>
      <x:c r="II235" t="str">
        <x:f>IF('Calculations'!IH235="","",IF('Calculations'!IH235="!AMBIG","!AMBIG",IF(COUNTIF('Calculations'!$HE$13:$HE$512,"="&amp;SUBSTITUTE(SUBSTITUTE(SUBSTITUTE('Calculations'!IH235,"~","~~"),"*","~*"),"?","~?"))&gt;1,"!AMBIG",IFERROR(INDEX('Calculations'!$HF$13:$HF$512,MATCH('Calculations'!IH235,'Calculations'!$HE$13:$HE$512,0)),""))))</x:f>
      </x:c>
      <x:c r="IJ235" t="str">
        <x:f>IF('Calculations'!EM235="","",IF('Calculations'!$EF$2="All",'Calculations'!HM235,IF('Calculations'!HL235=1,"",IFERROR(IF(MATCH('Calculations'!$EF$2,'Calculations'!HO235:II235,0)=1,'Calculations'!HE235,INDEX('Calculations'!HO235:II235,1,MATCH('Calculations'!$EF$2,'Calculations'!HO235:II235,0)-1)),""))))</x:f>
      </x:c>
      <x:c r="IK235" t="n">
        <x:f>IF(AND('Calculations'!EM235&lt;&gt;"",'Calculations'!$EF$2&lt;&gt;"All",'Calculations'!HF235='Calculations'!$EF$2,'Calculations'!HL235=0,'Calculations'!JD235&gt;0),MAX('Calculations'!$IK$12:IK234)+1,0)</x:f>
        <x:v>0</x:v>
      </x:c>
      <x:c r="JA235" t="n">
        <x:f>IF(OR(IFERROR(INDIRECT("'WCM Calibration Final'!$A$235")&lt;&gt;"",FALSE),IFERROR(INDIRECT("'WCM Calibration Final'!$B$235")&lt;&gt;"",FALSE),IFERROR(INDIRECT("'WCM Calibration Final'!$C$235")&lt;&gt;"",FALSE)),235,0)</x:f>
        <x:v>0</x:v>
      </x:c>
      <x:c r="JB235" t="n">
        <x:f>'Calculations'!JB234+IF('Calculations'!JA235&gt;0,1,0)</x:f>
        <x:v>0</x:v>
      </x:c>
      <x:c r="JC235" t="n">
        <x:f>IF(OR('Calculations'!HF235="",'Calculations'!HF235="!AMBIG"),0,IF('Dashboard'!$B$7="All",1,COUNTIFS('Calculations'!$HO$13:$HO$512,"="&amp;SUBSTITUTE(SUBSTITUTE(SUBSTITUTE('Calculations'!HF235,"~","~~"),"*","~*"),"?","~?"),'Calculations'!$HN$13:$HN$512,"="&amp;SUBSTITUTE(SUBSTITUTE(SUBSTITUTE('Dashboard'!$B$7,"~","~~"),"*","~*"),"?","~?"))+COUNTIFS('Calculations'!$HP$13:$HP$512,"="&amp;SUBSTITUTE(SUBSTITUTE(SUBSTITUTE('Calculations'!HF235,"~","~~"),"*","~*"),"?","~?"),'Calculations'!$HN$13:$HN$512,"="&amp;SUBSTITUTE(SUBSTITUTE(SUBSTITUTE('Dashboard'!$B$7,"~","~~"),"*","~*"),"?","~?"))+COUNTIFS('Calculations'!$HQ$13:$HQ$512,"="&amp;SUBSTITUTE(SUBSTITUTE(SUBSTITUTE('Calculations'!HF235,"~","~~"),"*","~*"),"?","~?"),'Calculations'!$HN$13:$HN$512,"="&amp;SUBSTITUTE(SUBSTITUTE(SUBSTITUTE('Dashboard'!$B$7,"~","~~"),"*","~*"),"?","~?"))+COUNTIFS('Calculations'!$HR$13:$HR$512,"="&amp;SUBSTITUTE(SUBSTITUTE(SUBSTITUTE('Calculations'!HF235,"~","~~"),"*","~*"),"?","~?"),'Calculations'!$HN$13:$HN$512,"="&amp;SUBSTITUTE(SUBSTITUTE(SUBSTITUTE('Dashboard'!$B$7,"~","~~"),"*","~*"),"?","~?"))+COUNTIFS('Calculations'!$HS$13:$HS$512,"="&amp;SUBSTITUTE(SUBSTITUTE(SUBSTITUTE('Calculations'!HF235,"~","~~"),"*","~*"),"?","~?"),'Calculations'!$HN$13:$HN$512,"="&amp;SUBSTITUTE(SUBSTITUTE(SUBSTITUTE('Dashboard'!$B$7,"~","~~"),"*","~*"),"?","~?"))+COUNTIFS('Calculations'!$HT$13:$HT$512,"="&amp;SUBSTITUTE(SUBSTITUTE(SUBSTITUTE('Calculations'!HF235,"~","~~"),"*","~*"),"?","~?"),'Calculations'!$HN$13:$HN$512,"="&amp;SUBSTITUTE(SUBSTITUTE(SUBSTITUTE('Dashboard'!$B$7,"~","~~"),"*","~*"),"?","~?"))+COUNTIFS('Calculations'!$HU$13:$HU$512,"="&amp;SUBSTITUTE(SUBSTITUTE(SUBSTITUTE('Calculations'!HF235,"~","~~"),"*","~*"),"?","~?"),'Calculations'!$HN$13:$HN$512,"="&amp;SUBSTITUTE(SUBSTITUTE(SUBSTITUTE('Dashboard'!$B$7,"~","~~"),"*","~*"),"?","~?"))+COUNTIFS('Calculations'!$HV$13:$HV$512,"="&amp;SUBSTITUTE(SUBSTITUTE(SUBSTITUTE('Calculations'!HF235,"~","~~"),"*","~*"),"?","~?"),'Calculations'!$HN$13:$HN$512,"="&amp;SUBSTITUTE(SUBSTITUTE(SUBSTITUTE('Dashboard'!$B$7,"~","~~"),"*","~*"),"?","~?"))+COUNTIFS('Calculations'!$HW$13:$HW$512,"="&amp;SUBSTITUTE(SUBSTITUTE(SUBSTITUTE('Calculations'!HF235,"~","~~"),"*","~*"),"?","~?"),'Calculations'!$HN$13:$HN$512,"="&amp;SUBSTITUTE(SUBSTITUTE(SUBSTITUTE('Dashboard'!$B$7,"~","~~"),"*","~*"),"?","~?"))+COUNTIFS('Calculations'!$HX$13:$HX$512,"="&amp;SUBSTITUTE(SUBSTITUTE(SUBSTITUTE('Calculations'!HF235,"~","~~"),"*","~*"),"?","~?"),'Calculations'!$HN$13:$HN$512,"="&amp;SUBSTITUTE(SUBSTITUTE(SUBSTITUTE('Dashboard'!$B$7,"~","~~"),"*","~*"),"?","~?"))+COUNTIFS('Calculations'!$HY$13:$HY$512,"="&amp;SUBSTITUTE(SUBSTITUTE(SUBSTITUTE('Calculations'!HF235,"~","~~"),"*","~*"),"?","~?"),'Calculations'!$HN$13:$HN$512,"="&amp;SUBSTITUTE(SUBSTITUTE(SUBSTITUTE('Dashboard'!$B$7,"~","~~"),"*","~*"),"?","~?"))+COUNTIFS('Calculations'!$HZ$13:$HZ$512,"="&amp;SUBSTITUTE(SUBSTITUTE(SUBSTITUTE('Calculations'!HF235,"~","~~"),"*","~*"),"?","~?"),'Calculations'!$HN$13:$HN$512,"="&amp;SUBSTITUTE(SUBSTITUTE(SUBSTITUTE('Dashboard'!$B$7,"~","~~"),"*","~*"),"?","~?"))+COUNTIFS('Calculations'!$IA$13:$IA$512,"="&amp;SUBSTITUTE(SUBSTITUTE(SUBSTITUTE('Calculations'!HF235,"~","~~"),"*","~*"),"?","~?"),'Calculations'!$HN$13:$HN$512,"="&amp;SUBSTITUTE(SUBSTITUTE(SUBSTITUTE('Dashboard'!$B$7,"~","~~"),"*","~*"),"?","~?"))+COUNTIFS('Calculations'!$IB$13:$IB$512,"="&amp;SUBSTITUTE(SUBSTITUTE(SUBSTITUTE('Calculations'!HF235,"~","~~"),"*","~*"),"?","~?"),'Calculations'!$HN$13:$HN$512,"="&amp;SUBSTITUTE(SUBSTITUTE(SUBSTITUTE('Dashboard'!$B$7,"~","~~"),"*","~*"),"?","~?"))+COUNTIFS('Calculations'!$IC$13:$IC$512,"="&amp;SUBSTITUTE(SUBSTITUTE(SUBSTITUTE('Calculations'!HF235,"~","~~"),"*","~*"),"?","~?"),'Calculations'!$HN$13:$HN$512,"="&amp;SUBSTITUTE(SUBSTITUTE(SUBSTITUTE('Dashboard'!$B$7,"~","~~"),"*","~*"),"?","~?"))+COUNTIFS('Calculations'!$ID$13:$ID$512,"="&amp;SUBSTITUTE(SUBSTITUTE(SUBSTITUTE('Calculations'!HF235,"~","~~"),"*","~*"),"?","~?"),'Calculations'!$HN$13:$HN$512,"="&amp;SUBSTITUTE(SUBSTITUTE(SUBSTITUTE('Dashboard'!$B$7,"~","~~"),"*","~*"),"?","~?"))+COUNTIFS('Calculations'!$IE$13:$IE$512,"="&amp;SUBSTITUTE(SUBSTITUTE(SUBSTITUTE('Calculations'!HF235,"~","~~"),"*","~*"),"?","~?"),'Calculations'!$HN$13:$HN$512,"="&amp;SUBSTITUTE(SUBSTITUTE(SUBSTITUTE('Dashboard'!$B$7,"~","~~"),"*","~*"),"?","~?"))+COUNTIFS('Calculations'!$IF$13:$IF$512,"="&amp;SUBSTITUTE(SUBSTITUTE(SUBSTITUTE('Calculations'!HF235,"~","~~"),"*","~*"),"?","~?"),'Calculations'!$HN$13:$HN$512,"="&amp;SUBSTITUTE(SUBSTITUTE(SUBSTITUTE('Dashboard'!$B$7,"~","~~"),"*","~*"),"?","~?"))+COUNTIFS('Calculations'!$IG$13:$IG$512,"="&amp;SUBSTITUTE(SUBSTITUTE(SUBSTITUTE('Calculations'!HF235,"~","~~"),"*","~*"),"?","~?"),'Calculations'!$HN$13:$HN$512,"="&amp;SUBSTITUTE(SUBSTITUTE(SUBSTITUTE('Dashboard'!$B$7,"~","~~"),"*","~*"),"?","~?"))+COUNTIFS('Calculations'!$IH$13:$IH$512,"="&amp;SUBSTITUTE(SUBSTITUTE(SUBSTITUTE('Calculations'!HF235,"~","~~"),"*","~*"),"?","~?"),'Calculations'!$HN$13:$HN$512,"="&amp;SUBSTITUTE(SUBSTITUTE(SUBSTITUTE('Dashboard'!$B$7,"~","~~"),"*","~*"),"?","~?"))))</x:f>
        <x:v>0</x:v>
      </x:c>
      <x:c r="JD235" t="n">
        <x:f>IF('Calculations'!EM235="",0,IF('Dashboard'!$B$7="All",1,IF('Calculations'!HN235='Dashboard'!$B$7,1,0)+IFERROR(INDEX('Calculations'!$JC$13:$JC$512,MATCH('Calculations'!HE235,'Calculations'!$HF$13:$HF$512,0)),0)))</x:f>
        <x:v>0</x:v>
      </x:c>
      <x:c r="JE235" t="n">
        <x:f>IF(AND('Calculations'!EM235&lt;&gt;"",'Calculations'!$JJ$2&lt;&gt;"All",'Calculations'!$JJ$2&lt;&gt;"",'Calculations'!HF235='Calculations'!$JJ$2,'Calculations'!HL235=0,'Calculations'!JD235&gt;0),MAX('Calculations'!$JE$12:JE234)+1,0)</x:f>
        <x:v>0</x:v>
      </x:c>
      <x:c r="JF235" t="str">
        <x:f>IF('Calculations'!EM235="","",IFERROR(IF(INDEX(INDIRECT("'WCM Calibration Final'!$G$1:$G$2000"),'Calculations'!$EM235)="","",TRIM(INDEX(INDIRECT("'WCM Calibration Final'!$G$1:$G$2000"),'Calculations'!$EM235)&amp;"")),""))</x:f>
      </x:c>
      <x:c r="JQ235" t="n">
        <x:f>IF(OR('Calculations'!BM235=0,NOT('Calculations'!$AG$2),'Calculations'!$AG$8&gt;0),0,IF(OR('Dashboard'!$B$7="All",'Calculations'!HN235='Dashboard'!$B$7),IF('Calculations'!$JJ$2="All",1,IF(AND('Calculations'!HF235='Calculations'!$JJ$2,'Calculations'!HL235=0),1,0)),0))</x:f>
        <x:v>0</x:v>
      </x:c>
    </x:row>
    <x:row r="236">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t="n">
        <x:f>IF('Calculations'!$EM236="",0,IF(OR(IFERROR(INDEX(INDIRECT("'WCM Calibration Final'!$A$1:$A$2000"),'Calculations'!$EM236)&lt;&gt;"",FALSE),IFERROR(INDEX(INDIRECT("'WCM Calibration Final'!$B$1:$B$2000"),'Calculations'!$EM236)&lt;&gt;"",FALSE),IFERROR(INDEX(INDIRECT("'WCM Calibration Final'!$C$1:$C$2000"),'Calculations'!$EM236)&lt;&gt;"",FALSE)),1,0))</x:f>
        <x:v>0</x:v>
      </x:c>
      <x:c r="BN236" s="4" t="n">
        <x:f>IF(AND('Calculations'!BM236=1,'Calculations'!$AG$2,'Calculations'!$EN236=1),1,0)</x:f>
        <x:v>0</x:v>
      </x:c>
      <x:c r="BO236" s="4" t="str">
        <x:f>IF('Calculations'!BM236=0,"",IFERROR(IF(AND(VALUE(INDEX(INDIRECT("'WCM Calibration Final'!$K$1:$K$2000"),'Calculations'!$EM236))&gt;=1,VALUE(INDEX(INDIRECT("'WCM Calibration Final'!$K$1:$K$2000"),'Calculations'!$EM236))&lt;=4,MOD(VALUE(INDEX(INDIRECT("'WCM Calibration Final'!$K$1:$K$2000"),'Calculations'!$EM236)),1)=0),VALUE(INDEX(INDIRECT("'WCM Calibration Final'!$K$1:$K$2000"),'Calculations'!$EM236)),""),""))</x:f>
      </x:c>
      <x:c r="BP236" s="4" t="str">
        <x:f>IF('Calculations'!BM236=0,"",IFERROR(IF(AND(VALUE(INDEX(INDIRECT("'WCM Calibration Final'!$L$1:$L$2000"),'Calculations'!$EM236))&gt;=1,VALUE(INDEX(INDIRECT("'WCM Calibration Final'!$L$1:$L$2000"),'Calculations'!$EM236))&lt;=4,MOD(VALUE(INDEX(INDIRECT("'WCM Calibration Final'!$L$1:$L$2000"),'Calculations'!$EM236)),1)=0),VALUE(INDEX(INDIRECT("'WCM Calibration Final'!$L$1:$L$2000"),'Calculations'!$EM236)),""),""))</x:f>
      </x:c>
      <x:c r="BQ236" s="4"/>
      <x:c r="BR236" s="4"/>
      <x:c r="BS236" s="4"/>
      <x:c r="BT236" s="4" t="n">
        <x:f>IF(AND('Calculations'!BM236=1,ISNUMBER('Calculations'!BO236),ISNUMBER('Calculations'!BP236)),1,0)</x:f>
        <x:v>0</x:v>
      </x:c>
      <x:c r="BU236" s="4" t="str">
        <x:f>IF('Calculations'!BM236=0,"",'Calculations'!$EO236)</x:f>
      </x:c>
      <x:c r="BV236" s="4" t="str">
        <x:f>IF('Calculations'!BM236=0,"",IFERROR(IF(OR(INDEX(INDIRECT("'WCM Calibration Final'!$H$1:$H$2000"),'Calculations'!$EM236)="MANAGING DIRECTOR",INDEX(INDIRECT("'WCM Calibration Final'!$H$1:$H$2000"),'Calculations'!$EM236)="DIRECTOR",INDEX(INDIRECT("'WCM Calibration Final'!$H$1:$H$2000"),'Calculations'!$EM236)="SENIOR VICE PRESIDENT",INDEX(INDIRECT("'WCM Calibration Final'!$H$1:$H$2000"),'Calculations'!$EM236)="VICE PRESIDENT",INDEX(INDIRECT("'WCM Calibration Final'!$H$1:$H$2000"),'Calculations'!$EM236)="ASSISTANT VICE PRESIDENT",INDEX(INDIRECT("'WCM Calibration Final'!$H$1:$H$2000"),'Calculations'!$EM236)="OFFICER"),UPPER(INDEX(INDIRECT("'WCM Calibration Final'!$H$1:$H$2000"),'Calculations'!$EM236)),"Other"),"Other"))</x:f>
      </x:c>
      <x:c r="BW236" s="4"/>
      <x:c r="BX236" s="4"/>
      <x:c r="BY236" s="4" t="n">
        <x:f>IF(AND('Calculations'!BM236=1,'Calculations'!BU236&lt;&gt;"",COUNTIF('Calculations'!$BU$12:BU236,'Calculations'!BU236)=1),MAX('Calculations'!$BY$11:BY235)+1,0)</x:f>
        <x:v>0</x:v>
      </x:c>
      <x:c r="BZ236" s="4" t="str">
        <x:f>IF('Dashboard'!$E$67="What",'Calculations'!BO236,'Calculations'!BP236)</x:f>
      </x:c>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t="str">
        <x:f>IF(225&gt;MAX('Calculations'!$HI$13:$HI$512),"",INDEX('Calculations'!$HN$13:$HN$512,MATCH(225,'Calculations'!$HI$13:$HI$512,0)))</x:f>
      </x:c>
      <x:c r="DB236" s="4" t="str">
        <x:f>IF(225&gt;MAX('Calculations'!$HH$13:$HH$512),"",INDEX('Calculations'!$HJ$13:$HJ$512,MATCH(225,'Calculations'!$HH$13:$HH$512,0)))</x:f>
      </x:c>
      <x:c r="DC236" s="4" t="str">
        <x:f>IF(ROW()-11&gt;MAX('Calculations'!$BY$13:$BY$512),"",INDEX('Calculations'!$BU$13:$BU$512,MATCH(ROW()-11,'Calculations'!$BY$13:$BY$512,0)))</x:f>
      </x:c>
      <x:c r="DD236" s="4" t="str">
        <x:f>IF(225&gt;MAX('Calculations'!$IK$13:$IK$512),"",INDEX('Calculations'!$HK$13:$HK$512,MATCH(225,'Calculations'!$IK$13:$IK$512,0)))</x:f>
      </x:c>
      <x:c r="DE236" s="4" t="str">
        <x:f>'Calculations'!DC236</x:f>
      </x:c>
      <x:c r="DF236" s="4" t="str">
        <x:f>IF('Calculations'!DE236="","",COUNTIFS('Calculations'!$BN$13:$BN$512,1,'Calculations'!$BU$13:$BU$512,'Calculations'!DE236))</x:f>
      </x:c>
      <x:c r="DG236" s="4" t="str">
        <x:f>IF('Calculations'!DE236="","",COUNTIFS('Calculations'!$BN$13:$BN$512,1,'Calculations'!$BU$13:$BU$512,'Calculations'!DE236,'Calculations'!$BT$13:$BT$512,1))</x:f>
      </x:c>
      <x:c r="DH236" s="4" t="str">
        <x:f>IF('Calculations'!DE236="","",'Calculations'!DF236-'Calculations'!DG236)</x:f>
      </x:c>
      <x:c r="DI236" s="4" t="str">
        <x:f>IF(OR('Calculations'!DE236="",'Calculations'!DF236=0),"",'Calculations'!DG236/'Calculations'!DF236)</x:f>
      </x:c>
      <x:c r="DJ236" s="4" t="str">
        <x:f>IF('Calculations'!DE236="","",COUNTIFS('Calculations'!$BN$13:$BN$512,1,'Calculations'!$BU$13:$BU$512,'Calculations'!DE236,'Calculations'!$BT$13:$BT$512,1,'Calculations'!$EE$13:$EE$512,"High"))</x:f>
      </x:c>
      <x:c r="DK236" s="4" t="str">
        <x:f>IF('Calculations'!DE236="","",COUNTIFS('Calculations'!$BN$13:$BN$512,1,'Calculations'!$BU$13:$BU$512,'Calculations'!DE236,'Calculations'!$BT$13:$BT$512,1,'Calculations'!$EE$13:$EE$512,"Strong"))</x:f>
      </x:c>
      <x:c r="DL236" s="4" t="str">
        <x:f>IF('Calculations'!DE236="","",COUNTIFS('Calculations'!$BN$13:$BN$512,1,'Calculations'!$BU$13:$BU$512,'Calculations'!DE236,'Calculations'!$BT$13:$BT$512,1,'Calculations'!$EE$13:$EE$512,"Solid"))</x:f>
      </x:c>
      <x:c r="DM236" s="4" t="str">
        <x:f>IF('Calculations'!DE236="","",COUNTIFS('Calculations'!$BN$13:$BN$512,1,'Calculations'!$BU$13:$BU$512,'Calculations'!DE236,'Calculations'!$BT$13:$BT$512,1,'Calculations'!$EE$13:$EE$512,"Low"))</x:f>
      </x:c>
      <x:c r="DN236" s="4" t="str">
        <x:f>IF('Calculations'!DE236="","",COUNTIFS('Calculations'!$BN$13:$BN$512,1,'Calculations'!$BU$13:$BU$512,'Calculations'!DE236,'Calculations'!$EP$13:$EP$512,1))</x:f>
      </x:c>
      <x:c r="DO236" s="4" t="str">
        <x:f>IF(OR('Calculations'!DE236="",'Calculations'!DG236=0),"",('Calculations'!DJ236+'Calculations'!DK236)/'Calculations'!DG236)</x:f>
      </x:c>
      <x:c r="DP236" s="4" t="n">
        <x:f>IF(AND('Calculations'!DE236&lt;&gt;"",'Calculations'!DF236&gt;0),COUNTIF('Calculations'!$DF$12:DF236,"&gt;0"),0)</x:f>
        <x:v>0</x:v>
      </x:c>
      <x:c r="DQ236" s="4" t="str">
        <x:f>IF(225&gt;MAX('Calculations'!$HH$13:$HH$512),"",INDEX('Calculations'!$HF$13:$HF$512,MATCH(225,'Calculations'!$HH$13:$HH$512,0)))</x:f>
      </x:c>
      <x:c r="DR236" s="4" t="str">
        <x:f>IF(225&gt;MAX('Calculations'!$IK$13:$IK$512),"",INDEX('Calculations'!$HE$13:$HE$512,MATCH(225,'Calculations'!$IK$13:$IK$512,0)))</x:f>
      </x:c>
      <x:c r="DS236" s="4"/>
      <x:c r="DT236" s="4"/>
      <x:c r="DU236" s="4"/>
      <x:c r="DV236" s="4"/>
      <x:c r="DW236" s="4"/>
      <x:c r="DX236" s="4"/>
      <x:c r="DY236" s="4"/>
      <x:c r="DZ236" s="4"/>
      <x:c r="EA236" s="4"/>
      <x:c r="EB236" s="4"/>
      <x:c r="EC236" s="4"/>
      <x:c r="ED236" s="4"/>
      <x:c r="EE236" s="4" t="str">
        <x:f>IF('Calculations'!BT236=0,"Not Rated",IF(OR('Calculations'!BO236&gt;=4,'Calculations'!BP236&gt;=4),"Low",IF('Calculations'!BO236+'Calculations'!BP236&lt;=3,"High",IF('Calculations'!BO236+'Calculations'!BP236&lt;=4,"Strong","Solid"))))</x:f>
        <x:v>Not Rated</x:v>
      </x:c>
      <x:c r="EF236" s="4"/>
      <x:c r="EG236" s="4"/>
      <x:c r="EH236" s="4"/>
      <x:c r="EI236" s="4"/>
      <x:c r="EJ236" s="4"/>
      <x:c r="EK236" s="4"/>
      <x:c r="EL236" s="4"/>
      <x:c r="EM236" s="4" t="str">
        <x:f>IF(224&gt;'Calculations'!$JB$2000,"",INDEX('Calculations'!$JA$12:$JA$2000,MATCH(224,'Calculations'!$JB$12:$JB$2000,0)))</x:f>
      </x:c>
      <x:c r="EN236" s="4" t="n">
        <x:f>IF(OR('Calculations'!EM236="",'Calculations'!$AG$8&gt;0,AND('Calculations'!$EF$2&lt;&gt;"All",'Calculations'!HE236='Calculations'!$EF$2),AND('Calculations'!$EF$3&lt;&gt;"All",'Calculations'!HE236='Calculations'!$EF$3)),0,IF(OR('Dashboard'!$B$7="All",'Calculations'!HN236='Dashboard'!$B$7),IF('Calculations'!$EF$2="All",1,IF('Calculations'!HL236&gt;0,0,IF(COUNTIF('Calculations'!HO236:II236,"="&amp;SUBSTITUTE(SUBSTITUTE(SUBSTITUTE('Calculations'!$EF$2,"~","~~"),"*","~*"),"?","~?"))=0,0,IF('Calculations'!$EF$3="All",1,IF(COUNTIF('Calculations'!HO236:II236,"="&amp;SUBSTITUTE(SUBSTITUTE(SUBSTITUTE('Calculations'!$EF$3,"~","~~"),"*","~*"),"?","~?"))&gt;0,1,0))))),0))</x:f>
        <x:v>0</x:v>
      </x:c>
      <x:c r="EO236" s="4" t="str">
        <x:f>IF('Calculations'!IJ236="","",IF('Calculations'!IJ236="!UNRESOLVED","Unresolved hierarchy",IFERROR(INDEX('Calculations'!$HK$13:$HK$512,MATCH('Calculations'!IJ236,'Calculations'!$HE$13:$HE$512,0)),IFERROR(INDEX('Calculations'!$HJ$13:$HJ$512,MATCH('Calculations'!IJ236,'Calculations'!$HF$13:$HF$512,0)),'Calculations'!IJ236))))</x:f>
      </x:c>
      <x:c r="EP236" s="4" t="n">
        <x:f>IF(AND('Calculations'!EM236&lt;&gt;"",'Calculations'!HF236='Calculations'!IJ236),1,0)</x:f>
        <x:v>0</x:v>
      </x:c>
      <x:c r="EQ236" s="4"/>
      <x:c r="ER236" s="4"/>
      <x:c r="ES236" s="4"/>
      <x:c r="ET236" s="4"/>
      <x:c r="EU236" s="4"/>
      <x:c r="EV236" s="4"/>
      <x:c r="EW236" s="4"/>
      <x:c r="EX236" s="4"/>
      <x:c r="EY236" s="4"/>
      <x:c r="EZ236" s="4"/>
      <x:c r="FA236" s="4"/>
      <x:c r="FB236" s="4"/>
      <x:c r="FC236" s="4"/>
      <x:c r="FD236" s="4"/>
      <x:c r="FE236" s="4"/>
      <x:c r="FF236" s="4"/>
      <x:c r="FG236" s="4"/>
      <x:c r="FH236" s="4"/>
      <x:c r="FI236" s="4"/>
      <x:c r="FJ236" s="4"/>
      <x:c r="FK236" s="4"/>
      <x:c r="FL236" s="4"/>
      <x:c r="FM236" s="4"/>
      <x:c r="FN236" s="4"/>
      <x:c r="FO236" s="4"/>
      <x:c r="HE236" t="str">
        <x:f>IF('Calculations'!EM236="","",IF(IFERROR(IF(INDEX(INDIRECT("'WCM Calibration Final'!$A$1:$A$2000"),'Calculations'!$EM236)="","",TRIM(INDEX(INDIRECT("'WCM Calibration Final'!$A$1:$A$2000"),'Calculations'!$EM236)&amp;"")),"")&lt;&gt;"","G:"&amp;IFERROR(TEXT(1*INDEX(INDIRECT("'WCM Calibration Final'!$A$1:$A$2000"),'Calculations'!$EM236),"0"),UPPER(IFERROR(IF(INDEX(INDIRECT("'WCM Calibration Final'!$A$1:$A$2000"),'Calculations'!$EM236)="","",TRIM(INDEX(INDIRECT("'WCM Calibration Final'!$A$1:$A$2000"),'Calculations'!$EM236)&amp;"")),""))),IF(IFERROR(IF(INDEX(INDIRECT("'WCM Calibration Final'!$C$1:$C$2000"),'Calculations'!$EM236)="","",TRIM(INDEX(INDIRECT("'WCM Calibration Final'!$C$1:$C$2000"),'Calculations'!$EM236)&amp;"")),"")&lt;&gt;"","S:"&amp;UPPER(IFERROR(IF(INDEX(INDIRECT("'WCM Calibration Final'!$C$1:$C$2000"),'Calculations'!$EM236)="","",TRIM(INDEX(INDIRECT("'WCM Calibration Final'!$C$1:$C$2000"),'Calculations'!$EM236)&amp;"")),"")),"R:"&amp;'Calculations'!EM236)))</x:f>
      </x:c>
      <x:c r="HF236" t="str">
        <x:f>IF('Calculations'!EM236="","",IF(IFERROR(IF(INDEX(INDIRECT("'WCM Calibration Final'!$D$1:$D$2000"),'Calculations'!$EM236)="","",TRIM(INDEX(INDIRECT("'WCM Calibration Final'!$D$1:$D$2000"),'Calculations'!$EM236)&amp;"")),"")&lt;&gt;"","G:"&amp;IFERROR(TEXT(1*INDEX(INDIRECT("'WCM Calibration Final'!$D$1:$D$2000"),'Calculations'!$EM236),"0"),UPPER(IFERROR(IF(INDEX(INDIRECT("'WCM Calibration Final'!$D$1:$D$2000"),'Calculations'!$EM236)="","",TRIM(INDEX(INDIRECT("'WCM Calibration Final'!$D$1:$D$2000"),'Calculations'!$EM236)&amp;"")),""))),IF(IFERROR(IF(INDEX(INDIRECT("'WCM Calibration Final'!$E$1:$E$2000"),'Calculations'!$EM236)="","",TRIM(INDEX(INDIRECT("'WCM Calibration Final'!$E$1:$E$2000"),'Calculations'!$EM236)&amp;"")),"")="","",IF(COUNTIF('Calculations'!$HG$13:$HG$512,"="&amp;SUBSTITUTE(SUBSTITUTE(SUBSTITUTE(IFERROR(IF(INDEX(INDIRECT("'WCM Calibration Final'!$E$1:$E$2000"),'Calculations'!$EM236)="","",TRIM(INDEX(INDIRECT("'WCM Calibration Final'!$E$1:$E$2000"),'Calculations'!$EM236)&amp;"")),""),"~","~~"),"*","~*"),"?","~?"))=1,INDEX('Calculations'!$HE$13:$HE$512,MATCH(IFERROR(IF(INDEX(INDIRECT("'WCM Calibration Final'!$E$1:$E$2000"),'Calculations'!$EM236)="","",TRIM(INDEX(INDIRECT("'WCM Calibration Final'!$E$1:$E$2000"),'Calculations'!$EM236)&amp;"")),""),'Calculations'!$HG$13:$HG$512,0)),IF(COUNTIF('Calculations'!$HG$13:$HG$512,"="&amp;SUBSTITUTE(SUBSTITUTE(SUBSTITUTE(IFERROR(IF(INDEX(INDIRECT("'WCM Calibration Final'!$E$1:$E$2000"),'Calculations'!$EM236)="","",TRIM(INDEX(INDIRECT("'WCM Calibration Final'!$E$1:$E$2000"),'Calculations'!$EM236)&amp;"")),""),"~","~~"),"*","~*"),"?","~?"))&gt;1,"!AMBIG","X:"&amp;IFERROR(IF(INDEX(INDIRECT("'WCM Calibration Final'!$E$1:$E$2000"),'Calculations'!$EM236)="","",TRIM(INDEX(INDIRECT("'WCM Calibration Final'!$E$1:$E$2000"),'Calculations'!$EM236)&amp;"")),""))))))</x:f>
      </x:c>
      <x:c r="HG236" t="str">
        <x:f>IF('Calculations'!EM236="","",IFERROR(IF(INDEX(INDIRECT("'WCM Calibration Final'!$B$1:$B$2000"),'Calculations'!$EM236)="","",TRIM(INDEX(INDIRECT("'WCM Calibration Final'!$B$1:$B$2000"),'Calculations'!$EM236)&amp;"")),""))</x:f>
      </x:c>
      <x:c r="HH236" t="n">
        <x:f>IF(AND('Calculations'!JC236&gt;0,COUNTIF('Calculations'!$HF$12:HF236,"="&amp;SUBSTITUTE(SUBSTITUTE(SUBSTITUTE('Calculations'!HF236,"~","~~"),"*","~*"),"?","~?"))=1),MAX('Calculations'!$HH$12:HH235)+1,0)</x:f>
        <x:v>0</x:v>
      </x:c>
      <x:c r="HI236" t="n">
        <x:f>IF(AND('Calculations'!HN236&lt;&gt;"",COUNTIF('Calculations'!$HN$12:HN236,"="&amp;SUBSTITUTE(SUBSTITUTE(SUBSTITUTE('Calculations'!HN236,"~","~~"),"*","~*"),"?","~?"))=1),MAX('Calculations'!$HI$12:HI235)+1,0)</x:f>
        <x:v>0</x:v>
      </x:c>
      <x:c r="HJ236" t="str">
        <x:f>IF('Calculations'!HF236="","",IF(COUNTIF('Calculations'!$HE$13:$HE$512,"="&amp;SUBSTITUTE(SUBSTITUTE(SUBSTITUTE('Calculations'!HF236,"~","~~"),"*","~*"),"?","~?"))=1,INDEX('Calculations'!$HK$13:$HK$512,MATCH('Calculations'!HF236,'Calculations'!$HE$13:$HE$512,0)),IFERROR(IF(INDEX(INDIRECT("'WCM Calibration Final'!$E$1:$E$2000"),'Calculations'!$EM236)="","",TRIM(INDEX(INDIRECT("'WCM Calibration Final'!$E$1:$E$2000"),'Calculations'!$EM236)&amp;"")),"")&amp;" ["&amp;'Calculations'!HF236&amp;"]"))</x:f>
      </x:c>
      <x:c r="HK236" t="str">
        <x:f>IF('Calculations'!EM236="","",'Calculations'!HG236&amp;" ["&amp;'Calculations'!HE236&amp;"]")</x:f>
      </x:c>
      <x:c r="HL236" t="n">
        <x:f>IF('Calculations'!EM236="",0,IF(OR('Calculations'!II236&lt;&gt;"",COUNTIF('Calculations'!$HE$13:$HE$512,"="&amp;SUBSTITUTE(SUBSTITUTE(SUBSTITUTE('Calculations'!HE236,"~","~~"),"*","~*"),"?","~?"))&gt;1),1,0))</x:f>
        <x:v>0</x:v>
      </x:c>
      <x:c r="HM236" t="str">
        <x:f>IF('Calculations'!EM236="","",IF('Calculations'!HL236=1,"!UNRESOLVED",IF('Calculations'!IH236&lt;&gt;"",'Calculations'!IH236,IF('Calculations'!IG236&lt;&gt;"",'Calculations'!IG236,IF('Calculations'!IF236&lt;&gt;"",'Calculations'!IF236,IF('Calculations'!IE236&lt;&gt;"",'Calculations'!IE236,IF('Calculations'!ID236&lt;&gt;"",'Calculations'!ID236,IF('Calculations'!IC236&lt;&gt;"",'Calculations'!IC236,IF('Calculations'!IB236&lt;&gt;"",'Calculations'!IB236,IF('Calculations'!IA236&lt;&gt;"",'Calculations'!IA236,IF('Calculations'!HZ236&lt;&gt;"",'Calculations'!HZ236,IF('Calculations'!HY236&lt;&gt;"",'Calculations'!HY236,IF('Calculations'!HX236&lt;&gt;"",'Calculations'!HX236,IF('Calculations'!HW236&lt;&gt;"",'Calculations'!HW236,IF('Calculations'!HV236&lt;&gt;"",'Calculations'!HV236,IF('Calculations'!HU236&lt;&gt;"",'Calculations'!HU236,IF('Calculations'!HT236&lt;&gt;"",'Calculations'!HT236,IF('Calculations'!HS236&lt;&gt;"",'Calculations'!HS236,IF('Calculations'!HR236&lt;&gt;"",'Calculations'!HR236,IF('Calculations'!HQ236&lt;&gt;"",'Calculations'!HQ236,IF('Calculations'!HP236&lt;&gt;"",'Calculations'!HP236,IF('Calculations'!HO236&lt;&gt;"",'Calculations'!HO236,'Calculations'!HE236))))))))))))))))))))))</x:f>
      </x:c>
      <x:c r="HN236" t="str">
        <x:f>IF('Calculations'!EM236="","",IF(IFERROR(IF(INDEX(INDIRECT("'WCM Calibration Final'!$F$1:$F$2000"),'Calculations'!$EM236)="","",TRIM(INDEX(INDIRECT("'WCM Calibration Final'!$F$1:$F$2000"),'Calculations'!$EM236)&amp;"")),"")="","(Blank)",IFERROR(IF(INDEX(INDIRECT("'WCM Calibration Final'!$F$1:$F$2000"),'Calculations'!$EM236)="","",TRIM(INDEX(INDIRECT("'WCM Calibration Final'!$F$1:$F$2000"),'Calculations'!$EM236)&amp;"")),"")))</x:f>
      </x:c>
      <x:c r="HO236" t="str">
        <x:f>'Calculations'!HF236</x:f>
      </x:c>
      <x:c r="HP236" t="str">
        <x:f>IF('Calculations'!HO236="","",IF('Calculations'!HO236="!AMBIG","!AMBIG",IF(COUNTIF('Calculations'!$HE$13:$HE$512,"="&amp;SUBSTITUTE(SUBSTITUTE(SUBSTITUTE('Calculations'!HO236,"~","~~"),"*","~*"),"?","~?"))&gt;1,"!AMBIG",IFERROR(INDEX('Calculations'!$HF$13:$HF$512,MATCH('Calculations'!HO236,'Calculations'!$HE$13:$HE$512,0)),""))))</x:f>
      </x:c>
      <x:c r="HQ236" t="str">
        <x:f>IF('Calculations'!HP236="","",IF('Calculations'!HP236="!AMBIG","!AMBIG",IF(COUNTIF('Calculations'!$HE$13:$HE$512,"="&amp;SUBSTITUTE(SUBSTITUTE(SUBSTITUTE('Calculations'!HP236,"~","~~"),"*","~*"),"?","~?"))&gt;1,"!AMBIG",IFERROR(INDEX('Calculations'!$HF$13:$HF$512,MATCH('Calculations'!HP236,'Calculations'!$HE$13:$HE$512,0)),""))))</x:f>
      </x:c>
      <x:c r="HR236" t="str">
        <x:f>IF('Calculations'!HQ236="","",IF('Calculations'!HQ236="!AMBIG","!AMBIG",IF(COUNTIF('Calculations'!$HE$13:$HE$512,"="&amp;SUBSTITUTE(SUBSTITUTE(SUBSTITUTE('Calculations'!HQ236,"~","~~"),"*","~*"),"?","~?"))&gt;1,"!AMBIG",IFERROR(INDEX('Calculations'!$HF$13:$HF$512,MATCH('Calculations'!HQ236,'Calculations'!$HE$13:$HE$512,0)),""))))</x:f>
      </x:c>
      <x:c r="HS236" t="str">
        <x:f>IF('Calculations'!HR236="","",IF('Calculations'!HR236="!AMBIG","!AMBIG",IF(COUNTIF('Calculations'!$HE$13:$HE$512,"="&amp;SUBSTITUTE(SUBSTITUTE(SUBSTITUTE('Calculations'!HR236,"~","~~"),"*","~*"),"?","~?"))&gt;1,"!AMBIG",IFERROR(INDEX('Calculations'!$HF$13:$HF$512,MATCH('Calculations'!HR236,'Calculations'!$HE$13:$HE$512,0)),""))))</x:f>
      </x:c>
      <x:c r="HT236" t="str">
        <x:f>IF('Calculations'!HS236="","",IF('Calculations'!HS236="!AMBIG","!AMBIG",IF(COUNTIF('Calculations'!$HE$13:$HE$512,"="&amp;SUBSTITUTE(SUBSTITUTE(SUBSTITUTE('Calculations'!HS236,"~","~~"),"*","~*"),"?","~?"))&gt;1,"!AMBIG",IFERROR(INDEX('Calculations'!$HF$13:$HF$512,MATCH('Calculations'!HS236,'Calculations'!$HE$13:$HE$512,0)),""))))</x:f>
      </x:c>
      <x:c r="HU236" t="str">
        <x:f>IF('Calculations'!HT236="","",IF('Calculations'!HT236="!AMBIG","!AMBIG",IF(COUNTIF('Calculations'!$HE$13:$HE$512,"="&amp;SUBSTITUTE(SUBSTITUTE(SUBSTITUTE('Calculations'!HT236,"~","~~"),"*","~*"),"?","~?"))&gt;1,"!AMBIG",IFERROR(INDEX('Calculations'!$HF$13:$HF$512,MATCH('Calculations'!HT236,'Calculations'!$HE$13:$HE$512,0)),""))))</x:f>
      </x:c>
      <x:c r="HV236" t="str">
        <x:f>IF('Calculations'!HU236="","",IF('Calculations'!HU236="!AMBIG","!AMBIG",IF(COUNTIF('Calculations'!$HE$13:$HE$512,"="&amp;SUBSTITUTE(SUBSTITUTE(SUBSTITUTE('Calculations'!HU236,"~","~~"),"*","~*"),"?","~?"))&gt;1,"!AMBIG",IFERROR(INDEX('Calculations'!$HF$13:$HF$512,MATCH('Calculations'!HU236,'Calculations'!$HE$13:$HE$512,0)),""))))</x:f>
      </x:c>
      <x:c r="HW236" t="str">
        <x:f>IF('Calculations'!HV236="","",IF('Calculations'!HV236="!AMBIG","!AMBIG",IF(COUNTIF('Calculations'!$HE$13:$HE$512,"="&amp;SUBSTITUTE(SUBSTITUTE(SUBSTITUTE('Calculations'!HV236,"~","~~"),"*","~*"),"?","~?"))&gt;1,"!AMBIG",IFERROR(INDEX('Calculations'!$HF$13:$HF$512,MATCH('Calculations'!HV236,'Calculations'!$HE$13:$HE$512,0)),""))))</x:f>
      </x:c>
      <x:c r="HX236" t="str">
        <x:f>IF('Calculations'!HW236="","",IF('Calculations'!HW236="!AMBIG","!AMBIG",IF(COUNTIF('Calculations'!$HE$13:$HE$512,"="&amp;SUBSTITUTE(SUBSTITUTE(SUBSTITUTE('Calculations'!HW236,"~","~~"),"*","~*"),"?","~?"))&gt;1,"!AMBIG",IFERROR(INDEX('Calculations'!$HF$13:$HF$512,MATCH('Calculations'!HW236,'Calculations'!$HE$13:$HE$512,0)),""))))</x:f>
      </x:c>
      <x:c r="HY236" t="str">
        <x:f>IF('Calculations'!HX236="","",IF('Calculations'!HX236="!AMBIG","!AMBIG",IF(COUNTIF('Calculations'!$HE$13:$HE$512,"="&amp;SUBSTITUTE(SUBSTITUTE(SUBSTITUTE('Calculations'!HX236,"~","~~"),"*","~*"),"?","~?"))&gt;1,"!AMBIG",IFERROR(INDEX('Calculations'!$HF$13:$HF$512,MATCH('Calculations'!HX236,'Calculations'!$HE$13:$HE$512,0)),""))))</x:f>
      </x:c>
      <x:c r="HZ236" t="str">
        <x:f>IF('Calculations'!HY236="","",IF('Calculations'!HY236="!AMBIG","!AMBIG",IF(COUNTIF('Calculations'!$HE$13:$HE$512,"="&amp;SUBSTITUTE(SUBSTITUTE(SUBSTITUTE('Calculations'!HY236,"~","~~"),"*","~*"),"?","~?"))&gt;1,"!AMBIG",IFERROR(INDEX('Calculations'!$HF$13:$HF$512,MATCH('Calculations'!HY236,'Calculations'!$HE$13:$HE$512,0)),""))))</x:f>
      </x:c>
      <x:c r="IA236" t="str">
        <x:f>IF('Calculations'!HZ236="","",IF('Calculations'!HZ236="!AMBIG","!AMBIG",IF(COUNTIF('Calculations'!$HE$13:$HE$512,"="&amp;SUBSTITUTE(SUBSTITUTE(SUBSTITUTE('Calculations'!HZ236,"~","~~"),"*","~*"),"?","~?"))&gt;1,"!AMBIG",IFERROR(INDEX('Calculations'!$HF$13:$HF$512,MATCH('Calculations'!HZ236,'Calculations'!$HE$13:$HE$512,0)),""))))</x:f>
      </x:c>
      <x:c r="IB236" t="str">
        <x:f>IF('Calculations'!IA236="","",IF('Calculations'!IA236="!AMBIG","!AMBIG",IF(COUNTIF('Calculations'!$HE$13:$HE$512,"="&amp;SUBSTITUTE(SUBSTITUTE(SUBSTITUTE('Calculations'!IA236,"~","~~"),"*","~*"),"?","~?"))&gt;1,"!AMBIG",IFERROR(INDEX('Calculations'!$HF$13:$HF$512,MATCH('Calculations'!IA236,'Calculations'!$HE$13:$HE$512,0)),""))))</x:f>
      </x:c>
      <x:c r="IC236" t="str">
        <x:f>IF('Calculations'!IB236="","",IF('Calculations'!IB236="!AMBIG","!AMBIG",IF(COUNTIF('Calculations'!$HE$13:$HE$512,"="&amp;SUBSTITUTE(SUBSTITUTE(SUBSTITUTE('Calculations'!IB236,"~","~~"),"*","~*"),"?","~?"))&gt;1,"!AMBIG",IFERROR(INDEX('Calculations'!$HF$13:$HF$512,MATCH('Calculations'!IB236,'Calculations'!$HE$13:$HE$512,0)),""))))</x:f>
      </x:c>
      <x:c r="ID236" t="str">
        <x:f>IF('Calculations'!IC236="","",IF('Calculations'!IC236="!AMBIG","!AMBIG",IF(COUNTIF('Calculations'!$HE$13:$HE$512,"="&amp;SUBSTITUTE(SUBSTITUTE(SUBSTITUTE('Calculations'!IC236,"~","~~"),"*","~*"),"?","~?"))&gt;1,"!AMBIG",IFERROR(INDEX('Calculations'!$HF$13:$HF$512,MATCH('Calculations'!IC236,'Calculations'!$HE$13:$HE$512,0)),""))))</x:f>
      </x:c>
      <x:c r="IE236" t="str">
        <x:f>IF('Calculations'!ID236="","",IF('Calculations'!ID236="!AMBIG","!AMBIG",IF(COUNTIF('Calculations'!$HE$13:$HE$512,"="&amp;SUBSTITUTE(SUBSTITUTE(SUBSTITUTE('Calculations'!ID236,"~","~~"),"*","~*"),"?","~?"))&gt;1,"!AMBIG",IFERROR(INDEX('Calculations'!$HF$13:$HF$512,MATCH('Calculations'!ID236,'Calculations'!$HE$13:$HE$512,0)),""))))</x:f>
      </x:c>
      <x:c r="IF236" t="str">
        <x:f>IF('Calculations'!IE236="","",IF('Calculations'!IE236="!AMBIG","!AMBIG",IF(COUNTIF('Calculations'!$HE$13:$HE$512,"="&amp;SUBSTITUTE(SUBSTITUTE(SUBSTITUTE('Calculations'!IE236,"~","~~"),"*","~*"),"?","~?"))&gt;1,"!AMBIG",IFERROR(INDEX('Calculations'!$HF$13:$HF$512,MATCH('Calculations'!IE236,'Calculations'!$HE$13:$HE$512,0)),""))))</x:f>
      </x:c>
      <x:c r="IG236" t="str">
        <x:f>IF('Calculations'!IF236="","",IF('Calculations'!IF236="!AMBIG","!AMBIG",IF(COUNTIF('Calculations'!$HE$13:$HE$512,"="&amp;SUBSTITUTE(SUBSTITUTE(SUBSTITUTE('Calculations'!IF236,"~","~~"),"*","~*"),"?","~?"))&gt;1,"!AMBIG",IFERROR(INDEX('Calculations'!$HF$13:$HF$512,MATCH('Calculations'!IF236,'Calculations'!$HE$13:$HE$512,0)),""))))</x:f>
      </x:c>
      <x:c r="IH236" t="str">
        <x:f>IF('Calculations'!IG236="","",IF('Calculations'!IG236="!AMBIG","!AMBIG",IF(COUNTIF('Calculations'!$HE$13:$HE$512,"="&amp;SUBSTITUTE(SUBSTITUTE(SUBSTITUTE('Calculations'!IG236,"~","~~"),"*","~*"),"?","~?"))&gt;1,"!AMBIG",IFERROR(INDEX('Calculations'!$HF$13:$HF$512,MATCH('Calculations'!IG236,'Calculations'!$HE$13:$HE$512,0)),""))))</x:f>
      </x:c>
      <x:c r="II236" t="str">
        <x:f>IF('Calculations'!IH236="","",IF('Calculations'!IH236="!AMBIG","!AMBIG",IF(COUNTIF('Calculations'!$HE$13:$HE$512,"="&amp;SUBSTITUTE(SUBSTITUTE(SUBSTITUTE('Calculations'!IH236,"~","~~"),"*","~*"),"?","~?"))&gt;1,"!AMBIG",IFERROR(INDEX('Calculations'!$HF$13:$HF$512,MATCH('Calculations'!IH236,'Calculations'!$HE$13:$HE$512,0)),""))))</x:f>
      </x:c>
      <x:c r="IJ236" t="str">
        <x:f>IF('Calculations'!EM236="","",IF('Calculations'!$EF$2="All",'Calculations'!HM236,IF('Calculations'!HL236=1,"",IFERROR(IF(MATCH('Calculations'!$EF$2,'Calculations'!HO236:II236,0)=1,'Calculations'!HE236,INDEX('Calculations'!HO236:II236,1,MATCH('Calculations'!$EF$2,'Calculations'!HO236:II236,0)-1)),""))))</x:f>
      </x:c>
      <x:c r="IK236" t="n">
        <x:f>IF(AND('Calculations'!EM236&lt;&gt;"",'Calculations'!$EF$2&lt;&gt;"All",'Calculations'!HF236='Calculations'!$EF$2,'Calculations'!HL236=0,'Calculations'!JD236&gt;0),MAX('Calculations'!$IK$12:IK235)+1,0)</x:f>
        <x:v>0</x:v>
      </x:c>
      <x:c r="JA236" t="n">
        <x:f>IF(OR(IFERROR(INDIRECT("'WCM Calibration Final'!$A$236")&lt;&gt;"",FALSE),IFERROR(INDIRECT("'WCM Calibration Final'!$B$236")&lt;&gt;"",FALSE),IFERROR(INDIRECT("'WCM Calibration Final'!$C$236")&lt;&gt;"",FALSE)),236,0)</x:f>
        <x:v>0</x:v>
      </x:c>
      <x:c r="JB236" t="n">
        <x:f>'Calculations'!JB235+IF('Calculations'!JA236&gt;0,1,0)</x:f>
        <x:v>0</x:v>
      </x:c>
      <x:c r="JC236" t="n">
        <x:f>IF(OR('Calculations'!HF236="",'Calculations'!HF236="!AMBIG"),0,IF('Dashboard'!$B$7="All",1,COUNTIFS('Calculations'!$HO$13:$HO$512,"="&amp;SUBSTITUTE(SUBSTITUTE(SUBSTITUTE('Calculations'!HF236,"~","~~"),"*","~*"),"?","~?"),'Calculations'!$HN$13:$HN$512,"="&amp;SUBSTITUTE(SUBSTITUTE(SUBSTITUTE('Dashboard'!$B$7,"~","~~"),"*","~*"),"?","~?"))+COUNTIFS('Calculations'!$HP$13:$HP$512,"="&amp;SUBSTITUTE(SUBSTITUTE(SUBSTITUTE('Calculations'!HF236,"~","~~"),"*","~*"),"?","~?"),'Calculations'!$HN$13:$HN$512,"="&amp;SUBSTITUTE(SUBSTITUTE(SUBSTITUTE('Dashboard'!$B$7,"~","~~"),"*","~*"),"?","~?"))+COUNTIFS('Calculations'!$HQ$13:$HQ$512,"="&amp;SUBSTITUTE(SUBSTITUTE(SUBSTITUTE('Calculations'!HF236,"~","~~"),"*","~*"),"?","~?"),'Calculations'!$HN$13:$HN$512,"="&amp;SUBSTITUTE(SUBSTITUTE(SUBSTITUTE('Dashboard'!$B$7,"~","~~"),"*","~*"),"?","~?"))+COUNTIFS('Calculations'!$HR$13:$HR$512,"="&amp;SUBSTITUTE(SUBSTITUTE(SUBSTITUTE('Calculations'!HF236,"~","~~"),"*","~*"),"?","~?"),'Calculations'!$HN$13:$HN$512,"="&amp;SUBSTITUTE(SUBSTITUTE(SUBSTITUTE('Dashboard'!$B$7,"~","~~"),"*","~*"),"?","~?"))+COUNTIFS('Calculations'!$HS$13:$HS$512,"="&amp;SUBSTITUTE(SUBSTITUTE(SUBSTITUTE('Calculations'!HF236,"~","~~"),"*","~*"),"?","~?"),'Calculations'!$HN$13:$HN$512,"="&amp;SUBSTITUTE(SUBSTITUTE(SUBSTITUTE('Dashboard'!$B$7,"~","~~"),"*","~*"),"?","~?"))+COUNTIFS('Calculations'!$HT$13:$HT$512,"="&amp;SUBSTITUTE(SUBSTITUTE(SUBSTITUTE('Calculations'!HF236,"~","~~"),"*","~*"),"?","~?"),'Calculations'!$HN$13:$HN$512,"="&amp;SUBSTITUTE(SUBSTITUTE(SUBSTITUTE('Dashboard'!$B$7,"~","~~"),"*","~*"),"?","~?"))+COUNTIFS('Calculations'!$HU$13:$HU$512,"="&amp;SUBSTITUTE(SUBSTITUTE(SUBSTITUTE('Calculations'!HF236,"~","~~"),"*","~*"),"?","~?"),'Calculations'!$HN$13:$HN$512,"="&amp;SUBSTITUTE(SUBSTITUTE(SUBSTITUTE('Dashboard'!$B$7,"~","~~"),"*","~*"),"?","~?"))+COUNTIFS('Calculations'!$HV$13:$HV$512,"="&amp;SUBSTITUTE(SUBSTITUTE(SUBSTITUTE('Calculations'!HF236,"~","~~"),"*","~*"),"?","~?"),'Calculations'!$HN$13:$HN$512,"="&amp;SUBSTITUTE(SUBSTITUTE(SUBSTITUTE('Dashboard'!$B$7,"~","~~"),"*","~*"),"?","~?"))+COUNTIFS('Calculations'!$HW$13:$HW$512,"="&amp;SUBSTITUTE(SUBSTITUTE(SUBSTITUTE('Calculations'!HF236,"~","~~"),"*","~*"),"?","~?"),'Calculations'!$HN$13:$HN$512,"="&amp;SUBSTITUTE(SUBSTITUTE(SUBSTITUTE('Dashboard'!$B$7,"~","~~"),"*","~*"),"?","~?"))+COUNTIFS('Calculations'!$HX$13:$HX$512,"="&amp;SUBSTITUTE(SUBSTITUTE(SUBSTITUTE('Calculations'!HF236,"~","~~"),"*","~*"),"?","~?"),'Calculations'!$HN$13:$HN$512,"="&amp;SUBSTITUTE(SUBSTITUTE(SUBSTITUTE('Dashboard'!$B$7,"~","~~"),"*","~*"),"?","~?"))+COUNTIFS('Calculations'!$HY$13:$HY$512,"="&amp;SUBSTITUTE(SUBSTITUTE(SUBSTITUTE('Calculations'!HF236,"~","~~"),"*","~*"),"?","~?"),'Calculations'!$HN$13:$HN$512,"="&amp;SUBSTITUTE(SUBSTITUTE(SUBSTITUTE('Dashboard'!$B$7,"~","~~"),"*","~*"),"?","~?"))+COUNTIFS('Calculations'!$HZ$13:$HZ$512,"="&amp;SUBSTITUTE(SUBSTITUTE(SUBSTITUTE('Calculations'!HF236,"~","~~"),"*","~*"),"?","~?"),'Calculations'!$HN$13:$HN$512,"="&amp;SUBSTITUTE(SUBSTITUTE(SUBSTITUTE('Dashboard'!$B$7,"~","~~"),"*","~*"),"?","~?"))+COUNTIFS('Calculations'!$IA$13:$IA$512,"="&amp;SUBSTITUTE(SUBSTITUTE(SUBSTITUTE('Calculations'!HF236,"~","~~"),"*","~*"),"?","~?"),'Calculations'!$HN$13:$HN$512,"="&amp;SUBSTITUTE(SUBSTITUTE(SUBSTITUTE('Dashboard'!$B$7,"~","~~"),"*","~*"),"?","~?"))+COUNTIFS('Calculations'!$IB$13:$IB$512,"="&amp;SUBSTITUTE(SUBSTITUTE(SUBSTITUTE('Calculations'!HF236,"~","~~"),"*","~*"),"?","~?"),'Calculations'!$HN$13:$HN$512,"="&amp;SUBSTITUTE(SUBSTITUTE(SUBSTITUTE('Dashboard'!$B$7,"~","~~"),"*","~*"),"?","~?"))+COUNTIFS('Calculations'!$IC$13:$IC$512,"="&amp;SUBSTITUTE(SUBSTITUTE(SUBSTITUTE('Calculations'!HF236,"~","~~"),"*","~*"),"?","~?"),'Calculations'!$HN$13:$HN$512,"="&amp;SUBSTITUTE(SUBSTITUTE(SUBSTITUTE('Dashboard'!$B$7,"~","~~"),"*","~*"),"?","~?"))+COUNTIFS('Calculations'!$ID$13:$ID$512,"="&amp;SUBSTITUTE(SUBSTITUTE(SUBSTITUTE('Calculations'!HF236,"~","~~"),"*","~*"),"?","~?"),'Calculations'!$HN$13:$HN$512,"="&amp;SUBSTITUTE(SUBSTITUTE(SUBSTITUTE('Dashboard'!$B$7,"~","~~"),"*","~*"),"?","~?"))+COUNTIFS('Calculations'!$IE$13:$IE$512,"="&amp;SUBSTITUTE(SUBSTITUTE(SUBSTITUTE('Calculations'!HF236,"~","~~"),"*","~*"),"?","~?"),'Calculations'!$HN$13:$HN$512,"="&amp;SUBSTITUTE(SUBSTITUTE(SUBSTITUTE('Dashboard'!$B$7,"~","~~"),"*","~*"),"?","~?"))+COUNTIFS('Calculations'!$IF$13:$IF$512,"="&amp;SUBSTITUTE(SUBSTITUTE(SUBSTITUTE('Calculations'!HF236,"~","~~"),"*","~*"),"?","~?"),'Calculations'!$HN$13:$HN$512,"="&amp;SUBSTITUTE(SUBSTITUTE(SUBSTITUTE('Dashboard'!$B$7,"~","~~"),"*","~*"),"?","~?"))+COUNTIFS('Calculations'!$IG$13:$IG$512,"="&amp;SUBSTITUTE(SUBSTITUTE(SUBSTITUTE('Calculations'!HF236,"~","~~"),"*","~*"),"?","~?"),'Calculations'!$HN$13:$HN$512,"="&amp;SUBSTITUTE(SUBSTITUTE(SUBSTITUTE('Dashboard'!$B$7,"~","~~"),"*","~*"),"?","~?"))+COUNTIFS('Calculations'!$IH$13:$IH$512,"="&amp;SUBSTITUTE(SUBSTITUTE(SUBSTITUTE('Calculations'!HF236,"~","~~"),"*","~*"),"?","~?"),'Calculations'!$HN$13:$HN$512,"="&amp;SUBSTITUTE(SUBSTITUTE(SUBSTITUTE('Dashboard'!$B$7,"~","~~"),"*","~*"),"?","~?"))))</x:f>
        <x:v>0</x:v>
      </x:c>
      <x:c r="JD236" t="n">
        <x:f>IF('Calculations'!EM236="",0,IF('Dashboard'!$B$7="All",1,IF('Calculations'!HN236='Dashboard'!$B$7,1,0)+IFERROR(INDEX('Calculations'!$JC$13:$JC$512,MATCH('Calculations'!HE236,'Calculations'!$HF$13:$HF$512,0)),0)))</x:f>
        <x:v>0</x:v>
      </x:c>
      <x:c r="JE236" t="n">
        <x:f>IF(AND('Calculations'!EM236&lt;&gt;"",'Calculations'!$JJ$2&lt;&gt;"All",'Calculations'!$JJ$2&lt;&gt;"",'Calculations'!HF236='Calculations'!$JJ$2,'Calculations'!HL236=0,'Calculations'!JD236&gt;0),MAX('Calculations'!$JE$12:JE235)+1,0)</x:f>
        <x:v>0</x:v>
      </x:c>
      <x:c r="JF236" t="str">
        <x:f>IF('Calculations'!EM236="","",IFERROR(IF(INDEX(INDIRECT("'WCM Calibration Final'!$G$1:$G$2000"),'Calculations'!$EM236)="","",TRIM(INDEX(INDIRECT("'WCM Calibration Final'!$G$1:$G$2000"),'Calculations'!$EM236)&amp;"")),""))</x:f>
      </x:c>
      <x:c r="JQ236" t="n">
        <x:f>IF(OR('Calculations'!BM236=0,NOT('Calculations'!$AG$2),'Calculations'!$AG$8&gt;0),0,IF(OR('Dashboard'!$B$7="All",'Calculations'!HN236='Dashboard'!$B$7),IF('Calculations'!$JJ$2="All",1,IF(AND('Calculations'!HF236='Calculations'!$JJ$2,'Calculations'!HL236=0),1,0)),0))</x:f>
        <x:v>0</x:v>
      </x:c>
    </x:row>
    <x:row r="237">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t="n">
        <x:f>IF('Calculations'!$EM237="",0,IF(OR(IFERROR(INDEX(INDIRECT("'WCM Calibration Final'!$A$1:$A$2000"),'Calculations'!$EM237)&lt;&gt;"",FALSE),IFERROR(INDEX(INDIRECT("'WCM Calibration Final'!$B$1:$B$2000"),'Calculations'!$EM237)&lt;&gt;"",FALSE),IFERROR(INDEX(INDIRECT("'WCM Calibration Final'!$C$1:$C$2000"),'Calculations'!$EM237)&lt;&gt;"",FALSE)),1,0))</x:f>
        <x:v>0</x:v>
      </x:c>
      <x:c r="BN237" s="4" t="n">
        <x:f>IF(AND('Calculations'!BM237=1,'Calculations'!$AG$2,'Calculations'!$EN237=1),1,0)</x:f>
        <x:v>0</x:v>
      </x:c>
      <x:c r="BO237" s="4" t="str">
        <x:f>IF('Calculations'!BM237=0,"",IFERROR(IF(AND(VALUE(INDEX(INDIRECT("'WCM Calibration Final'!$K$1:$K$2000"),'Calculations'!$EM237))&gt;=1,VALUE(INDEX(INDIRECT("'WCM Calibration Final'!$K$1:$K$2000"),'Calculations'!$EM237))&lt;=4,MOD(VALUE(INDEX(INDIRECT("'WCM Calibration Final'!$K$1:$K$2000"),'Calculations'!$EM237)),1)=0),VALUE(INDEX(INDIRECT("'WCM Calibration Final'!$K$1:$K$2000"),'Calculations'!$EM237)),""),""))</x:f>
      </x:c>
      <x:c r="BP237" s="4" t="str">
        <x:f>IF('Calculations'!BM237=0,"",IFERROR(IF(AND(VALUE(INDEX(INDIRECT("'WCM Calibration Final'!$L$1:$L$2000"),'Calculations'!$EM237))&gt;=1,VALUE(INDEX(INDIRECT("'WCM Calibration Final'!$L$1:$L$2000"),'Calculations'!$EM237))&lt;=4,MOD(VALUE(INDEX(INDIRECT("'WCM Calibration Final'!$L$1:$L$2000"),'Calculations'!$EM237)),1)=0),VALUE(INDEX(INDIRECT("'WCM Calibration Final'!$L$1:$L$2000"),'Calculations'!$EM237)),""),""))</x:f>
      </x:c>
      <x:c r="BQ237" s="4"/>
      <x:c r="BR237" s="4"/>
      <x:c r="BS237" s="4"/>
      <x:c r="BT237" s="4" t="n">
        <x:f>IF(AND('Calculations'!BM237=1,ISNUMBER('Calculations'!BO237),ISNUMBER('Calculations'!BP237)),1,0)</x:f>
        <x:v>0</x:v>
      </x:c>
      <x:c r="BU237" s="4" t="str">
        <x:f>IF('Calculations'!BM237=0,"",'Calculations'!$EO237)</x:f>
      </x:c>
      <x:c r="BV237" s="4" t="str">
        <x:f>IF('Calculations'!BM237=0,"",IFERROR(IF(OR(INDEX(INDIRECT("'WCM Calibration Final'!$H$1:$H$2000"),'Calculations'!$EM237)="MANAGING DIRECTOR",INDEX(INDIRECT("'WCM Calibration Final'!$H$1:$H$2000"),'Calculations'!$EM237)="DIRECTOR",INDEX(INDIRECT("'WCM Calibration Final'!$H$1:$H$2000"),'Calculations'!$EM237)="SENIOR VICE PRESIDENT",INDEX(INDIRECT("'WCM Calibration Final'!$H$1:$H$2000"),'Calculations'!$EM237)="VICE PRESIDENT",INDEX(INDIRECT("'WCM Calibration Final'!$H$1:$H$2000"),'Calculations'!$EM237)="ASSISTANT VICE PRESIDENT",INDEX(INDIRECT("'WCM Calibration Final'!$H$1:$H$2000"),'Calculations'!$EM237)="OFFICER"),UPPER(INDEX(INDIRECT("'WCM Calibration Final'!$H$1:$H$2000"),'Calculations'!$EM237)),"Other"),"Other"))</x:f>
      </x:c>
      <x:c r="BW237" s="4"/>
      <x:c r="BX237" s="4"/>
      <x:c r="BY237" s="4" t="n">
        <x:f>IF(AND('Calculations'!BM237=1,'Calculations'!BU237&lt;&gt;"",COUNTIF('Calculations'!$BU$12:BU237,'Calculations'!BU237)=1),MAX('Calculations'!$BY$11:BY236)+1,0)</x:f>
        <x:v>0</x:v>
      </x:c>
      <x:c r="BZ237" s="4" t="str">
        <x:f>IF('Dashboard'!$E$67="What",'Calculations'!BO237,'Calculations'!BP237)</x:f>
      </x:c>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t="str">
        <x:f>IF(226&gt;MAX('Calculations'!$HI$13:$HI$512),"",INDEX('Calculations'!$HN$13:$HN$512,MATCH(226,'Calculations'!$HI$13:$HI$512,0)))</x:f>
      </x:c>
      <x:c r="DB237" s="4" t="str">
        <x:f>IF(226&gt;MAX('Calculations'!$HH$13:$HH$512),"",INDEX('Calculations'!$HJ$13:$HJ$512,MATCH(226,'Calculations'!$HH$13:$HH$512,0)))</x:f>
      </x:c>
      <x:c r="DC237" s="4" t="str">
        <x:f>IF(ROW()-11&gt;MAX('Calculations'!$BY$13:$BY$512),"",INDEX('Calculations'!$BU$13:$BU$512,MATCH(ROW()-11,'Calculations'!$BY$13:$BY$512,0)))</x:f>
      </x:c>
      <x:c r="DD237" s="4" t="str">
        <x:f>IF(226&gt;MAX('Calculations'!$IK$13:$IK$512),"",INDEX('Calculations'!$HK$13:$HK$512,MATCH(226,'Calculations'!$IK$13:$IK$512,0)))</x:f>
      </x:c>
      <x:c r="DE237" s="4" t="str">
        <x:f>'Calculations'!DC237</x:f>
      </x:c>
      <x:c r="DF237" s="4" t="str">
        <x:f>IF('Calculations'!DE237="","",COUNTIFS('Calculations'!$BN$13:$BN$512,1,'Calculations'!$BU$13:$BU$512,'Calculations'!DE237))</x:f>
      </x:c>
      <x:c r="DG237" s="4" t="str">
        <x:f>IF('Calculations'!DE237="","",COUNTIFS('Calculations'!$BN$13:$BN$512,1,'Calculations'!$BU$13:$BU$512,'Calculations'!DE237,'Calculations'!$BT$13:$BT$512,1))</x:f>
      </x:c>
      <x:c r="DH237" s="4" t="str">
        <x:f>IF('Calculations'!DE237="","",'Calculations'!DF237-'Calculations'!DG237)</x:f>
      </x:c>
      <x:c r="DI237" s="4" t="str">
        <x:f>IF(OR('Calculations'!DE237="",'Calculations'!DF237=0),"",'Calculations'!DG237/'Calculations'!DF237)</x:f>
      </x:c>
      <x:c r="DJ237" s="4" t="str">
        <x:f>IF('Calculations'!DE237="","",COUNTIFS('Calculations'!$BN$13:$BN$512,1,'Calculations'!$BU$13:$BU$512,'Calculations'!DE237,'Calculations'!$BT$13:$BT$512,1,'Calculations'!$EE$13:$EE$512,"High"))</x:f>
      </x:c>
      <x:c r="DK237" s="4" t="str">
        <x:f>IF('Calculations'!DE237="","",COUNTIFS('Calculations'!$BN$13:$BN$512,1,'Calculations'!$BU$13:$BU$512,'Calculations'!DE237,'Calculations'!$BT$13:$BT$512,1,'Calculations'!$EE$13:$EE$512,"Strong"))</x:f>
      </x:c>
      <x:c r="DL237" s="4" t="str">
        <x:f>IF('Calculations'!DE237="","",COUNTIFS('Calculations'!$BN$13:$BN$512,1,'Calculations'!$BU$13:$BU$512,'Calculations'!DE237,'Calculations'!$BT$13:$BT$512,1,'Calculations'!$EE$13:$EE$512,"Solid"))</x:f>
      </x:c>
      <x:c r="DM237" s="4" t="str">
        <x:f>IF('Calculations'!DE237="","",COUNTIFS('Calculations'!$BN$13:$BN$512,1,'Calculations'!$BU$13:$BU$512,'Calculations'!DE237,'Calculations'!$BT$13:$BT$512,1,'Calculations'!$EE$13:$EE$512,"Low"))</x:f>
      </x:c>
      <x:c r="DN237" s="4" t="str">
        <x:f>IF('Calculations'!DE237="","",COUNTIFS('Calculations'!$BN$13:$BN$512,1,'Calculations'!$BU$13:$BU$512,'Calculations'!DE237,'Calculations'!$EP$13:$EP$512,1))</x:f>
      </x:c>
      <x:c r="DO237" s="4" t="str">
        <x:f>IF(OR('Calculations'!DE237="",'Calculations'!DG237=0),"",('Calculations'!DJ237+'Calculations'!DK237)/'Calculations'!DG237)</x:f>
      </x:c>
      <x:c r="DP237" s="4" t="n">
        <x:f>IF(AND('Calculations'!DE237&lt;&gt;"",'Calculations'!DF237&gt;0),COUNTIF('Calculations'!$DF$12:DF237,"&gt;0"),0)</x:f>
        <x:v>0</x:v>
      </x:c>
      <x:c r="DQ237" s="4" t="str">
        <x:f>IF(226&gt;MAX('Calculations'!$HH$13:$HH$512),"",INDEX('Calculations'!$HF$13:$HF$512,MATCH(226,'Calculations'!$HH$13:$HH$512,0)))</x:f>
      </x:c>
      <x:c r="DR237" s="4" t="str">
        <x:f>IF(226&gt;MAX('Calculations'!$IK$13:$IK$512),"",INDEX('Calculations'!$HE$13:$HE$512,MATCH(226,'Calculations'!$IK$13:$IK$512,0)))</x:f>
      </x:c>
      <x:c r="DS237" s="4"/>
      <x:c r="DT237" s="4"/>
      <x:c r="DU237" s="4"/>
      <x:c r="DV237" s="4"/>
      <x:c r="DW237" s="4"/>
      <x:c r="DX237" s="4"/>
      <x:c r="DY237" s="4"/>
      <x:c r="DZ237" s="4"/>
      <x:c r="EA237" s="4"/>
      <x:c r="EB237" s="4"/>
      <x:c r="EC237" s="4"/>
      <x:c r="ED237" s="4"/>
      <x:c r="EE237" s="4" t="str">
        <x:f>IF('Calculations'!BT237=0,"Not Rated",IF(OR('Calculations'!BO237&gt;=4,'Calculations'!BP237&gt;=4),"Low",IF('Calculations'!BO237+'Calculations'!BP237&lt;=3,"High",IF('Calculations'!BO237+'Calculations'!BP237&lt;=4,"Strong","Solid"))))</x:f>
        <x:v>Not Rated</x:v>
      </x:c>
      <x:c r="EF237" s="4"/>
      <x:c r="EG237" s="4"/>
      <x:c r="EH237" s="4"/>
      <x:c r="EI237" s="4"/>
      <x:c r="EJ237" s="4"/>
      <x:c r="EK237" s="4"/>
      <x:c r="EL237" s="4"/>
      <x:c r="EM237" s="4" t="str">
        <x:f>IF(225&gt;'Calculations'!$JB$2000,"",INDEX('Calculations'!$JA$12:$JA$2000,MATCH(225,'Calculations'!$JB$12:$JB$2000,0)))</x:f>
      </x:c>
      <x:c r="EN237" s="4" t="n">
        <x:f>IF(OR('Calculations'!EM237="",'Calculations'!$AG$8&gt;0,AND('Calculations'!$EF$2&lt;&gt;"All",'Calculations'!HE237='Calculations'!$EF$2),AND('Calculations'!$EF$3&lt;&gt;"All",'Calculations'!HE237='Calculations'!$EF$3)),0,IF(OR('Dashboard'!$B$7="All",'Calculations'!HN237='Dashboard'!$B$7),IF('Calculations'!$EF$2="All",1,IF('Calculations'!HL237&gt;0,0,IF(COUNTIF('Calculations'!HO237:II237,"="&amp;SUBSTITUTE(SUBSTITUTE(SUBSTITUTE('Calculations'!$EF$2,"~","~~"),"*","~*"),"?","~?"))=0,0,IF('Calculations'!$EF$3="All",1,IF(COUNTIF('Calculations'!HO237:II237,"="&amp;SUBSTITUTE(SUBSTITUTE(SUBSTITUTE('Calculations'!$EF$3,"~","~~"),"*","~*"),"?","~?"))&gt;0,1,0))))),0))</x:f>
        <x:v>0</x:v>
      </x:c>
      <x:c r="EO237" s="4" t="str">
        <x:f>IF('Calculations'!IJ237="","",IF('Calculations'!IJ237="!UNRESOLVED","Unresolved hierarchy",IFERROR(INDEX('Calculations'!$HK$13:$HK$512,MATCH('Calculations'!IJ237,'Calculations'!$HE$13:$HE$512,0)),IFERROR(INDEX('Calculations'!$HJ$13:$HJ$512,MATCH('Calculations'!IJ237,'Calculations'!$HF$13:$HF$512,0)),'Calculations'!IJ237))))</x:f>
      </x:c>
      <x:c r="EP237" s="4" t="n">
        <x:f>IF(AND('Calculations'!EM237&lt;&gt;"",'Calculations'!HF237='Calculations'!IJ237),1,0)</x:f>
        <x:v>0</x:v>
      </x:c>
      <x:c r="EQ237" s="4"/>
      <x:c r="ER237" s="4"/>
      <x:c r="ES237" s="4"/>
      <x:c r="ET237" s="4"/>
      <x:c r="EU237" s="4"/>
      <x:c r="EV237" s="4"/>
      <x:c r="EW237" s="4"/>
      <x:c r="EX237" s="4"/>
      <x:c r="EY237" s="4"/>
      <x:c r="EZ237" s="4"/>
      <x:c r="FA237" s="4"/>
      <x:c r="FB237" s="4"/>
      <x:c r="FC237" s="4"/>
      <x:c r="FD237" s="4"/>
      <x:c r="FE237" s="4"/>
      <x:c r="FF237" s="4"/>
      <x:c r="FG237" s="4"/>
      <x:c r="FH237" s="4"/>
      <x:c r="FI237" s="4"/>
      <x:c r="FJ237" s="4"/>
      <x:c r="FK237" s="4"/>
      <x:c r="FL237" s="4"/>
      <x:c r="FM237" s="4"/>
      <x:c r="FN237" s="4"/>
      <x:c r="FO237" s="4"/>
      <x:c r="HE237" t="str">
        <x:f>IF('Calculations'!EM237="","",IF(IFERROR(IF(INDEX(INDIRECT("'WCM Calibration Final'!$A$1:$A$2000"),'Calculations'!$EM237)="","",TRIM(INDEX(INDIRECT("'WCM Calibration Final'!$A$1:$A$2000"),'Calculations'!$EM237)&amp;"")),"")&lt;&gt;"","G:"&amp;IFERROR(TEXT(1*INDEX(INDIRECT("'WCM Calibration Final'!$A$1:$A$2000"),'Calculations'!$EM237),"0"),UPPER(IFERROR(IF(INDEX(INDIRECT("'WCM Calibration Final'!$A$1:$A$2000"),'Calculations'!$EM237)="","",TRIM(INDEX(INDIRECT("'WCM Calibration Final'!$A$1:$A$2000"),'Calculations'!$EM237)&amp;"")),""))),IF(IFERROR(IF(INDEX(INDIRECT("'WCM Calibration Final'!$C$1:$C$2000"),'Calculations'!$EM237)="","",TRIM(INDEX(INDIRECT("'WCM Calibration Final'!$C$1:$C$2000"),'Calculations'!$EM237)&amp;"")),"")&lt;&gt;"","S:"&amp;UPPER(IFERROR(IF(INDEX(INDIRECT("'WCM Calibration Final'!$C$1:$C$2000"),'Calculations'!$EM237)="","",TRIM(INDEX(INDIRECT("'WCM Calibration Final'!$C$1:$C$2000"),'Calculations'!$EM237)&amp;"")),"")),"R:"&amp;'Calculations'!EM237)))</x:f>
      </x:c>
      <x:c r="HF237" t="str">
        <x:f>IF('Calculations'!EM237="","",IF(IFERROR(IF(INDEX(INDIRECT("'WCM Calibration Final'!$D$1:$D$2000"),'Calculations'!$EM237)="","",TRIM(INDEX(INDIRECT("'WCM Calibration Final'!$D$1:$D$2000"),'Calculations'!$EM237)&amp;"")),"")&lt;&gt;"","G:"&amp;IFERROR(TEXT(1*INDEX(INDIRECT("'WCM Calibration Final'!$D$1:$D$2000"),'Calculations'!$EM237),"0"),UPPER(IFERROR(IF(INDEX(INDIRECT("'WCM Calibration Final'!$D$1:$D$2000"),'Calculations'!$EM237)="","",TRIM(INDEX(INDIRECT("'WCM Calibration Final'!$D$1:$D$2000"),'Calculations'!$EM237)&amp;"")),""))),IF(IFERROR(IF(INDEX(INDIRECT("'WCM Calibration Final'!$E$1:$E$2000"),'Calculations'!$EM237)="","",TRIM(INDEX(INDIRECT("'WCM Calibration Final'!$E$1:$E$2000"),'Calculations'!$EM237)&amp;"")),"")="","",IF(COUNTIF('Calculations'!$HG$13:$HG$512,"="&amp;SUBSTITUTE(SUBSTITUTE(SUBSTITUTE(IFERROR(IF(INDEX(INDIRECT("'WCM Calibration Final'!$E$1:$E$2000"),'Calculations'!$EM237)="","",TRIM(INDEX(INDIRECT("'WCM Calibration Final'!$E$1:$E$2000"),'Calculations'!$EM237)&amp;"")),""),"~","~~"),"*","~*"),"?","~?"))=1,INDEX('Calculations'!$HE$13:$HE$512,MATCH(IFERROR(IF(INDEX(INDIRECT("'WCM Calibration Final'!$E$1:$E$2000"),'Calculations'!$EM237)="","",TRIM(INDEX(INDIRECT("'WCM Calibration Final'!$E$1:$E$2000"),'Calculations'!$EM237)&amp;"")),""),'Calculations'!$HG$13:$HG$512,0)),IF(COUNTIF('Calculations'!$HG$13:$HG$512,"="&amp;SUBSTITUTE(SUBSTITUTE(SUBSTITUTE(IFERROR(IF(INDEX(INDIRECT("'WCM Calibration Final'!$E$1:$E$2000"),'Calculations'!$EM237)="","",TRIM(INDEX(INDIRECT("'WCM Calibration Final'!$E$1:$E$2000"),'Calculations'!$EM237)&amp;"")),""),"~","~~"),"*","~*"),"?","~?"))&gt;1,"!AMBIG","X:"&amp;IFERROR(IF(INDEX(INDIRECT("'WCM Calibration Final'!$E$1:$E$2000"),'Calculations'!$EM237)="","",TRIM(INDEX(INDIRECT("'WCM Calibration Final'!$E$1:$E$2000"),'Calculations'!$EM237)&amp;"")),""))))))</x:f>
      </x:c>
      <x:c r="HG237" t="str">
        <x:f>IF('Calculations'!EM237="","",IFERROR(IF(INDEX(INDIRECT("'WCM Calibration Final'!$B$1:$B$2000"),'Calculations'!$EM237)="","",TRIM(INDEX(INDIRECT("'WCM Calibration Final'!$B$1:$B$2000"),'Calculations'!$EM237)&amp;"")),""))</x:f>
      </x:c>
      <x:c r="HH237" t="n">
        <x:f>IF(AND('Calculations'!JC237&gt;0,COUNTIF('Calculations'!$HF$12:HF237,"="&amp;SUBSTITUTE(SUBSTITUTE(SUBSTITUTE('Calculations'!HF237,"~","~~"),"*","~*"),"?","~?"))=1),MAX('Calculations'!$HH$12:HH236)+1,0)</x:f>
        <x:v>0</x:v>
      </x:c>
      <x:c r="HI237" t="n">
        <x:f>IF(AND('Calculations'!HN237&lt;&gt;"",COUNTIF('Calculations'!$HN$12:HN237,"="&amp;SUBSTITUTE(SUBSTITUTE(SUBSTITUTE('Calculations'!HN237,"~","~~"),"*","~*"),"?","~?"))=1),MAX('Calculations'!$HI$12:HI236)+1,0)</x:f>
        <x:v>0</x:v>
      </x:c>
      <x:c r="HJ237" t="str">
        <x:f>IF('Calculations'!HF237="","",IF(COUNTIF('Calculations'!$HE$13:$HE$512,"="&amp;SUBSTITUTE(SUBSTITUTE(SUBSTITUTE('Calculations'!HF237,"~","~~"),"*","~*"),"?","~?"))=1,INDEX('Calculations'!$HK$13:$HK$512,MATCH('Calculations'!HF237,'Calculations'!$HE$13:$HE$512,0)),IFERROR(IF(INDEX(INDIRECT("'WCM Calibration Final'!$E$1:$E$2000"),'Calculations'!$EM237)="","",TRIM(INDEX(INDIRECT("'WCM Calibration Final'!$E$1:$E$2000"),'Calculations'!$EM237)&amp;"")),"")&amp;" ["&amp;'Calculations'!HF237&amp;"]"))</x:f>
      </x:c>
      <x:c r="HK237" t="str">
        <x:f>IF('Calculations'!EM237="","",'Calculations'!HG237&amp;" ["&amp;'Calculations'!HE237&amp;"]")</x:f>
      </x:c>
      <x:c r="HL237" t="n">
        <x:f>IF('Calculations'!EM237="",0,IF(OR('Calculations'!II237&lt;&gt;"",COUNTIF('Calculations'!$HE$13:$HE$512,"="&amp;SUBSTITUTE(SUBSTITUTE(SUBSTITUTE('Calculations'!HE237,"~","~~"),"*","~*"),"?","~?"))&gt;1),1,0))</x:f>
        <x:v>0</x:v>
      </x:c>
      <x:c r="HM237" t="str">
        <x:f>IF('Calculations'!EM237="","",IF('Calculations'!HL237=1,"!UNRESOLVED",IF('Calculations'!IH237&lt;&gt;"",'Calculations'!IH237,IF('Calculations'!IG237&lt;&gt;"",'Calculations'!IG237,IF('Calculations'!IF237&lt;&gt;"",'Calculations'!IF237,IF('Calculations'!IE237&lt;&gt;"",'Calculations'!IE237,IF('Calculations'!ID237&lt;&gt;"",'Calculations'!ID237,IF('Calculations'!IC237&lt;&gt;"",'Calculations'!IC237,IF('Calculations'!IB237&lt;&gt;"",'Calculations'!IB237,IF('Calculations'!IA237&lt;&gt;"",'Calculations'!IA237,IF('Calculations'!HZ237&lt;&gt;"",'Calculations'!HZ237,IF('Calculations'!HY237&lt;&gt;"",'Calculations'!HY237,IF('Calculations'!HX237&lt;&gt;"",'Calculations'!HX237,IF('Calculations'!HW237&lt;&gt;"",'Calculations'!HW237,IF('Calculations'!HV237&lt;&gt;"",'Calculations'!HV237,IF('Calculations'!HU237&lt;&gt;"",'Calculations'!HU237,IF('Calculations'!HT237&lt;&gt;"",'Calculations'!HT237,IF('Calculations'!HS237&lt;&gt;"",'Calculations'!HS237,IF('Calculations'!HR237&lt;&gt;"",'Calculations'!HR237,IF('Calculations'!HQ237&lt;&gt;"",'Calculations'!HQ237,IF('Calculations'!HP237&lt;&gt;"",'Calculations'!HP237,IF('Calculations'!HO237&lt;&gt;"",'Calculations'!HO237,'Calculations'!HE237))))))))))))))))))))))</x:f>
      </x:c>
      <x:c r="HN237" t="str">
        <x:f>IF('Calculations'!EM237="","",IF(IFERROR(IF(INDEX(INDIRECT("'WCM Calibration Final'!$F$1:$F$2000"),'Calculations'!$EM237)="","",TRIM(INDEX(INDIRECT("'WCM Calibration Final'!$F$1:$F$2000"),'Calculations'!$EM237)&amp;"")),"")="","(Blank)",IFERROR(IF(INDEX(INDIRECT("'WCM Calibration Final'!$F$1:$F$2000"),'Calculations'!$EM237)="","",TRIM(INDEX(INDIRECT("'WCM Calibration Final'!$F$1:$F$2000"),'Calculations'!$EM237)&amp;"")),"")))</x:f>
      </x:c>
      <x:c r="HO237" t="str">
        <x:f>'Calculations'!HF237</x:f>
      </x:c>
      <x:c r="HP237" t="str">
        <x:f>IF('Calculations'!HO237="","",IF('Calculations'!HO237="!AMBIG","!AMBIG",IF(COUNTIF('Calculations'!$HE$13:$HE$512,"="&amp;SUBSTITUTE(SUBSTITUTE(SUBSTITUTE('Calculations'!HO237,"~","~~"),"*","~*"),"?","~?"))&gt;1,"!AMBIG",IFERROR(INDEX('Calculations'!$HF$13:$HF$512,MATCH('Calculations'!HO237,'Calculations'!$HE$13:$HE$512,0)),""))))</x:f>
      </x:c>
      <x:c r="HQ237" t="str">
        <x:f>IF('Calculations'!HP237="","",IF('Calculations'!HP237="!AMBIG","!AMBIG",IF(COUNTIF('Calculations'!$HE$13:$HE$512,"="&amp;SUBSTITUTE(SUBSTITUTE(SUBSTITUTE('Calculations'!HP237,"~","~~"),"*","~*"),"?","~?"))&gt;1,"!AMBIG",IFERROR(INDEX('Calculations'!$HF$13:$HF$512,MATCH('Calculations'!HP237,'Calculations'!$HE$13:$HE$512,0)),""))))</x:f>
      </x:c>
      <x:c r="HR237" t="str">
        <x:f>IF('Calculations'!HQ237="","",IF('Calculations'!HQ237="!AMBIG","!AMBIG",IF(COUNTIF('Calculations'!$HE$13:$HE$512,"="&amp;SUBSTITUTE(SUBSTITUTE(SUBSTITUTE('Calculations'!HQ237,"~","~~"),"*","~*"),"?","~?"))&gt;1,"!AMBIG",IFERROR(INDEX('Calculations'!$HF$13:$HF$512,MATCH('Calculations'!HQ237,'Calculations'!$HE$13:$HE$512,0)),""))))</x:f>
      </x:c>
      <x:c r="HS237" t="str">
        <x:f>IF('Calculations'!HR237="","",IF('Calculations'!HR237="!AMBIG","!AMBIG",IF(COUNTIF('Calculations'!$HE$13:$HE$512,"="&amp;SUBSTITUTE(SUBSTITUTE(SUBSTITUTE('Calculations'!HR237,"~","~~"),"*","~*"),"?","~?"))&gt;1,"!AMBIG",IFERROR(INDEX('Calculations'!$HF$13:$HF$512,MATCH('Calculations'!HR237,'Calculations'!$HE$13:$HE$512,0)),""))))</x:f>
      </x:c>
      <x:c r="HT237" t="str">
        <x:f>IF('Calculations'!HS237="","",IF('Calculations'!HS237="!AMBIG","!AMBIG",IF(COUNTIF('Calculations'!$HE$13:$HE$512,"="&amp;SUBSTITUTE(SUBSTITUTE(SUBSTITUTE('Calculations'!HS237,"~","~~"),"*","~*"),"?","~?"))&gt;1,"!AMBIG",IFERROR(INDEX('Calculations'!$HF$13:$HF$512,MATCH('Calculations'!HS237,'Calculations'!$HE$13:$HE$512,0)),""))))</x:f>
      </x:c>
      <x:c r="HU237" t="str">
        <x:f>IF('Calculations'!HT237="","",IF('Calculations'!HT237="!AMBIG","!AMBIG",IF(COUNTIF('Calculations'!$HE$13:$HE$512,"="&amp;SUBSTITUTE(SUBSTITUTE(SUBSTITUTE('Calculations'!HT237,"~","~~"),"*","~*"),"?","~?"))&gt;1,"!AMBIG",IFERROR(INDEX('Calculations'!$HF$13:$HF$512,MATCH('Calculations'!HT237,'Calculations'!$HE$13:$HE$512,0)),""))))</x:f>
      </x:c>
      <x:c r="HV237" t="str">
        <x:f>IF('Calculations'!HU237="","",IF('Calculations'!HU237="!AMBIG","!AMBIG",IF(COUNTIF('Calculations'!$HE$13:$HE$512,"="&amp;SUBSTITUTE(SUBSTITUTE(SUBSTITUTE('Calculations'!HU237,"~","~~"),"*","~*"),"?","~?"))&gt;1,"!AMBIG",IFERROR(INDEX('Calculations'!$HF$13:$HF$512,MATCH('Calculations'!HU237,'Calculations'!$HE$13:$HE$512,0)),""))))</x:f>
      </x:c>
      <x:c r="HW237" t="str">
        <x:f>IF('Calculations'!HV237="","",IF('Calculations'!HV237="!AMBIG","!AMBIG",IF(COUNTIF('Calculations'!$HE$13:$HE$512,"="&amp;SUBSTITUTE(SUBSTITUTE(SUBSTITUTE('Calculations'!HV237,"~","~~"),"*","~*"),"?","~?"))&gt;1,"!AMBIG",IFERROR(INDEX('Calculations'!$HF$13:$HF$512,MATCH('Calculations'!HV237,'Calculations'!$HE$13:$HE$512,0)),""))))</x:f>
      </x:c>
      <x:c r="HX237" t="str">
        <x:f>IF('Calculations'!HW237="","",IF('Calculations'!HW237="!AMBIG","!AMBIG",IF(COUNTIF('Calculations'!$HE$13:$HE$512,"="&amp;SUBSTITUTE(SUBSTITUTE(SUBSTITUTE('Calculations'!HW237,"~","~~"),"*","~*"),"?","~?"))&gt;1,"!AMBIG",IFERROR(INDEX('Calculations'!$HF$13:$HF$512,MATCH('Calculations'!HW237,'Calculations'!$HE$13:$HE$512,0)),""))))</x:f>
      </x:c>
      <x:c r="HY237" t="str">
        <x:f>IF('Calculations'!HX237="","",IF('Calculations'!HX237="!AMBIG","!AMBIG",IF(COUNTIF('Calculations'!$HE$13:$HE$512,"="&amp;SUBSTITUTE(SUBSTITUTE(SUBSTITUTE('Calculations'!HX237,"~","~~"),"*","~*"),"?","~?"))&gt;1,"!AMBIG",IFERROR(INDEX('Calculations'!$HF$13:$HF$512,MATCH('Calculations'!HX237,'Calculations'!$HE$13:$HE$512,0)),""))))</x:f>
      </x:c>
      <x:c r="HZ237" t="str">
        <x:f>IF('Calculations'!HY237="","",IF('Calculations'!HY237="!AMBIG","!AMBIG",IF(COUNTIF('Calculations'!$HE$13:$HE$512,"="&amp;SUBSTITUTE(SUBSTITUTE(SUBSTITUTE('Calculations'!HY237,"~","~~"),"*","~*"),"?","~?"))&gt;1,"!AMBIG",IFERROR(INDEX('Calculations'!$HF$13:$HF$512,MATCH('Calculations'!HY237,'Calculations'!$HE$13:$HE$512,0)),""))))</x:f>
      </x:c>
      <x:c r="IA237" t="str">
        <x:f>IF('Calculations'!HZ237="","",IF('Calculations'!HZ237="!AMBIG","!AMBIG",IF(COUNTIF('Calculations'!$HE$13:$HE$512,"="&amp;SUBSTITUTE(SUBSTITUTE(SUBSTITUTE('Calculations'!HZ237,"~","~~"),"*","~*"),"?","~?"))&gt;1,"!AMBIG",IFERROR(INDEX('Calculations'!$HF$13:$HF$512,MATCH('Calculations'!HZ237,'Calculations'!$HE$13:$HE$512,0)),""))))</x:f>
      </x:c>
      <x:c r="IB237" t="str">
        <x:f>IF('Calculations'!IA237="","",IF('Calculations'!IA237="!AMBIG","!AMBIG",IF(COUNTIF('Calculations'!$HE$13:$HE$512,"="&amp;SUBSTITUTE(SUBSTITUTE(SUBSTITUTE('Calculations'!IA237,"~","~~"),"*","~*"),"?","~?"))&gt;1,"!AMBIG",IFERROR(INDEX('Calculations'!$HF$13:$HF$512,MATCH('Calculations'!IA237,'Calculations'!$HE$13:$HE$512,0)),""))))</x:f>
      </x:c>
      <x:c r="IC237" t="str">
        <x:f>IF('Calculations'!IB237="","",IF('Calculations'!IB237="!AMBIG","!AMBIG",IF(COUNTIF('Calculations'!$HE$13:$HE$512,"="&amp;SUBSTITUTE(SUBSTITUTE(SUBSTITUTE('Calculations'!IB237,"~","~~"),"*","~*"),"?","~?"))&gt;1,"!AMBIG",IFERROR(INDEX('Calculations'!$HF$13:$HF$512,MATCH('Calculations'!IB237,'Calculations'!$HE$13:$HE$512,0)),""))))</x:f>
      </x:c>
      <x:c r="ID237" t="str">
        <x:f>IF('Calculations'!IC237="","",IF('Calculations'!IC237="!AMBIG","!AMBIG",IF(COUNTIF('Calculations'!$HE$13:$HE$512,"="&amp;SUBSTITUTE(SUBSTITUTE(SUBSTITUTE('Calculations'!IC237,"~","~~"),"*","~*"),"?","~?"))&gt;1,"!AMBIG",IFERROR(INDEX('Calculations'!$HF$13:$HF$512,MATCH('Calculations'!IC237,'Calculations'!$HE$13:$HE$512,0)),""))))</x:f>
      </x:c>
      <x:c r="IE237" t="str">
        <x:f>IF('Calculations'!ID237="","",IF('Calculations'!ID237="!AMBIG","!AMBIG",IF(COUNTIF('Calculations'!$HE$13:$HE$512,"="&amp;SUBSTITUTE(SUBSTITUTE(SUBSTITUTE('Calculations'!ID237,"~","~~"),"*","~*"),"?","~?"))&gt;1,"!AMBIG",IFERROR(INDEX('Calculations'!$HF$13:$HF$512,MATCH('Calculations'!ID237,'Calculations'!$HE$13:$HE$512,0)),""))))</x:f>
      </x:c>
      <x:c r="IF237" t="str">
        <x:f>IF('Calculations'!IE237="","",IF('Calculations'!IE237="!AMBIG","!AMBIG",IF(COUNTIF('Calculations'!$HE$13:$HE$512,"="&amp;SUBSTITUTE(SUBSTITUTE(SUBSTITUTE('Calculations'!IE237,"~","~~"),"*","~*"),"?","~?"))&gt;1,"!AMBIG",IFERROR(INDEX('Calculations'!$HF$13:$HF$512,MATCH('Calculations'!IE237,'Calculations'!$HE$13:$HE$512,0)),""))))</x:f>
      </x:c>
      <x:c r="IG237" t="str">
        <x:f>IF('Calculations'!IF237="","",IF('Calculations'!IF237="!AMBIG","!AMBIG",IF(COUNTIF('Calculations'!$HE$13:$HE$512,"="&amp;SUBSTITUTE(SUBSTITUTE(SUBSTITUTE('Calculations'!IF237,"~","~~"),"*","~*"),"?","~?"))&gt;1,"!AMBIG",IFERROR(INDEX('Calculations'!$HF$13:$HF$512,MATCH('Calculations'!IF237,'Calculations'!$HE$13:$HE$512,0)),""))))</x:f>
      </x:c>
      <x:c r="IH237" t="str">
        <x:f>IF('Calculations'!IG237="","",IF('Calculations'!IG237="!AMBIG","!AMBIG",IF(COUNTIF('Calculations'!$HE$13:$HE$512,"="&amp;SUBSTITUTE(SUBSTITUTE(SUBSTITUTE('Calculations'!IG237,"~","~~"),"*","~*"),"?","~?"))&gt;1,"!AMBIG",IFERROR(INDEX('Calculations'!$HF$13:$HF$512,MATCH('Calculations'!IG237,'Calculations'!$HE$13:$HE$512,0)),""))))</x:f>
      </x:c>
      <x:c r="II237" t="str">
        <x:f>IF('Calculations'!IH237="","",IF('Calculations'!IH237="!AMBIG","!AMBIG",IF(COUNTIF('Calculations'!$HE$13:$HE$512,"="&amp;SUBSTITUTE(SUBSTITUTE(SUBSTITUTE('Calculations'!IH237,"~","~~"),"*","~*"),"?","~?"))&gt;1,"!AMBIG",IFERROR(INDEX('Calculations'!$HF$13:$HF$512,MATCH('Calculations'!IH237,'Calculations'!$HE$13:$HE$512,0)),""))))</x:f>
      </x:c>
      <x:c r="IJ237" t="str">
        <x:f>IF('Calculations'!EM237="","",IF('Calculations'!$EF$2="All",'Calculations'!HM237,IF('Calculations'!HL237=1,"",IFERROR(IF(MATCH('Calculations'!$EF$2,'Calculations'!HO237:II237,0)=1,'Calculations'!HE237,INDEX('Calculations'!HO237:II237,1,MATCH('Calculations'!$EF$2,'Calculations'!HO237:II237,0)-1)),""))))</x:f>
      </x:c>
      <x:c r="IK237" t="n">
        <x:f>IF(AND('Calculations'!EM237&lt;&gt;"",'Calculations'!$EF$2&lt;&gt;"All",'Calculations'!HF237='Calculations'!$EF$2,'Calculations'!HL237=0,'Calculations'!JD237&gt;0),MAX('Calculations'!$IK$12:IK236)+1,0)</x:f>
        <x:v>0</x:v>
      </x:c>
      <x:c r="JA237" t="n">
        <x:f>IF(OR(IFERROR(INDIRECT("'WCM Calibration Final'!$A$237")&lt;&gt;"",FALSE),IFERROR(INDIRECT("'WCM Calibration Final'!$B$237")&lt;&gt;"",FALSE),IFERROR(INDIRECT("'WCM Calibration Final'!$C$237")&lt;&gt;"",FALSE)),237,0)</x:f>
        <x:v>0</x:v>
      </x:c>
      <x:c r="JB237" t="n">
        <x:f>'Calculations'!JB236+IF('Calculations'!JA237&gt;0,1,0)</x:f>
        <x:v>0</x:v>
      </x:c>
      <x:c r="JC237" t="n">
        <x:f>IF(OR('Calculations'!HF237="",'Calculations'!HF237="!AMBIG"),0,IF('Dashboard'!$B$7="All",1,COUNTIFS('Calculations'!$HO$13:$HO$512,"="&amp;SUBSTITUTE(SUBSTITUTE(SUBSTITUTE('Calculations'!HF237,"~","~~"),"*","~*"),"?","~?"),'Calculations'!$HN$13:$HN$512,"="&amp;SUBSTITUTE(SUBSTITUTE(SUBSTITUTE('Dashboard'!$B$7,"~","~~"),"*","~*"),"?","~?"))+COUNTIFS('Calculations'!$HP$13:$HP$512,"="&amp;SUBSTITUTE(SUBSTITUTE(SUBSTITUTE('Calculations'!HF237,"~","~~"),"*","~*"),"?","~?"),'Calculations'!$HN$13:$HN$512,"="&amp;SUBSTITUTE(SUBSTITUTE(SUBSTITUTE('Dashboard'!$B$7,"~","~~"),"*","~*"),"?","~?"))+COUNTIFS('Calculations'!$HQ$13:$HQ$512,"="&amp;SUBSTITUTE(SUBSTITUTE(SUBSTITUTE('Calculations'!HF237,"~","~~"),"*","~*"),"?","~?"),'Calculations'!$HN$13:$HN$512,"="&amp;SUBSTITUTE(SUBSTITUTE(SUBSTITUTE('Dashboard'!$B$7,"~","~~"),"*","~*"),"?","~?"))+COUNTIFS('Calculations'!$HR$13:$HR$512,"="&amp;SUBSTITUTE(SUBSTITUTE(SUBSTITUTE('Calculations'!HF237,"~","~~"),"*","~*"),"?","~?"),'Calculations'!$HN$13:$HN$512,"="&amp;SUBSTITUTE(SUBSTITUTE(SUBSTITUTE('Dashboard'!$B$7,"~","~~"),"*","~*"),"?","~?"))+COUNTIFS('Calculations'!$HS$13:$HS$512,"="&amp;SUBSTITUTE(SUBSTITUTE(SUBSTITUTE('Calculations'!HF237,"~","~~"),"*","~*"),"?","~?"),'Calculations'!$HN$13:$HN$512,"="&amp;SUBSTITUTE(SUBSTITUTE(SUBSTITUTE('Dashboard'!$B$7,"~","~~"),"*","~*"),"?","~?"))+COUNTIFS('Calculations'!$HT$13:$HT$512,"="&amp;SUBSTITUTE(SUBSTITUTE(SUBSTITUTE('Calculations'!HF237,"~","~~"),"*","~*"),"?","~?"),'Calculations'!$HN$13:$HN$512,"="&amp;SUBSTITUTE(SUBSTITUTE(SUBSTITUTE('Dashboard'!$B$7,"~","~~"),"*","~*"),"?","~?"))+COUNTIFS('Calculations'!$HU$13:$HU$512,"="&amp;SUBSTITUTE(SUBSTITUTE(SUBSTITUTE('Calculations'!HF237,"~","~~"),"*","~*"),"?","~?"),'Calculations'!$HN$13:$HN$512,"="&amp;SUBSTITUTE(SUBSTITUTE(SUBSTITUTE('Dashboard'!$B$7,"~","~~"),"*","~*"),"?","~?"))+COUNTIFS('Calculations'!$HV$13:$HV$512,"="&amp;SUBSTITUTE(SUBSTITUTE(SUBSTITUTE('Calculations'!HF237,"~","~~"),"*","~*"),"?","~?"),'Calculations'!$HN$13:$HN$512,"="&amp;SUBSTITUTE(SUBSTITUTE(SUBSTITUTE('Dashboard'!$B$7,"~","~~"),"*","~*"),"?","~?"))+COUNTIFS('Calculations'!$HW$13:$HW$512,"="&amp;SUBSTITUTE(SUBSTITUTE(SUBSTITUTE('Calculations'!HF237,"~","~~"),"*","~*"),"?","~?"),'Calculations'!$HN$13:$HN$512,"="&amp;SUBSTITUTE(SUBSTITUTE(SUBSTITUTE('Dashboard'!$B$7,"~","~~"),"*","~*"),"?","~?"))+COUNTIFS('Calculations'!$HX$13:$HX$512,"="&amp;SUBSTITUTE(SUBSTITUTE(SUBSTITUTE('Calculations'!HF237,"~","~~"),"*","~*"),"?","~?"),'Calculations'!$HN$13:$HN$512,"="&amp;SUBSTITUTE(SUBSTITUTE(SUBSTITUTE('Dashboard'!$B$7,"~","~~"),"*","~*"),"?","~?"))+COUNTIFS('Calculations'!$HY$13:$HY$512,"="&amp;SUBSTITUTE(SUBSTITUTE(SUBSTITUTE('Calculations'!HF237,"~","~~"),"*","~*"),"?","~?"),'Calculations'!$HN$13:$HN$512,"="&amp;SUBSTITUTE(SUBSTITUTE(SUBSTITUTE('Dashboard'!$B$7,"~","~~"),"*","~*"),"?","~?"))+COUNTIFS('Calculations'!$HZ$13:$HZ$512,"="&amp;SUBSTITUTE(SUBSTITUTE(SUBSTITUTE('Calculations'!HF237,"~","~~"),"*","~*"),"?","~?"),'Calculations'!$HN$13:$HN$512,"="&amp;SUBSTITUTE(SUBSTITUTE(SUBSTITUTE('Dashboard'!$B$7,"~","~~"),"*","~*"),"?","~?"))+COUNTIFS('Calculations'!$IA$13:$IA$512,"="&amp;SUBSTITUTE(SUBSTITUTE(SUBSTITUTE('Calculations'!HF237,"~","~~"),"*","~*"),"?","~?"),'Calculations'!$HN$13:$HN$512,"="&amp;SUBSTITUTE(SUBSTITUTE(SUBSTITUTE('Dashboard'!$B$7,"~","~~"),"*","~*"),"?","~?"))+COUNTIFS('Calculations'!$IB$13:$IB$512,"="&amp;SUBSTITUTE(SUBSTITUTE(SUBSTITUTE('Calculations'!HF237,"~","~~"),"*","~*"),"?","~?"),'Calculations'!$HN$13:$HN$512,"="&amp;SUBSTITUTE(SUBSTITUTE(SUBSTITUTE('Dashboard'!$B$7,"~","~~"),"*","~*"),"?","~?"))+COUNTIFS('Calculations'!$IC$13:$IC$512,"="&amp;SUBSTITUTE(SUBSTITUTE(SUBSTITUTE('Calculations'!HF237,"~","~~"),"*","~*"),"?","~?"),'Calculations'!$HN$13:$HN$512,"="&amp;SUBSTITUTE(SUBSTITUTE(SUBSTITUTE('Dashboard'!$B$7,"~","~~"),"*","~*"),"?","~?"))+COUNTIFS('Calculations'!$ID$13:$ID$512,"="&amp;SUBSTITUTE(SUBSTITUTE(SUBSTITUTE('Calculations'!HF237,"~","~~"),"*","~*"),"?","~?"),'Calculations'!$HN$13:$HN$512,"="&amp;SUBSTITUTE(SUBSTITUTE(SUBSTITUTE('Dashboard'!$B$7,"~","~~"),"*","~*"),"?","~?"))+COUNTIFS('Calculations'!$IE$13:$IE$512,"="&amp;SUBSTITUTE(SUBSTITUTE(SUBSTITUTE('Calculations'!HF237,"~","~~"),"*","~*"),"?","~?"),'Calculations'!$HN$13:$HN$512,"="&amp;SUBSTITUTE(SUBSTITUTE(SUBSTITUTE('Dashboard'!$B$7,"~","~~"),"*","~*"),"?","~?"))+COUNTIFS('Calculations'!$IF$13:$IF$512,"="&amp;SUBSTITUTE(SUBSTITUTE(SUBSTITUTE('Calculations'!HF237,"~","~~"),"*","~*"),"?","~?"),'Calculations'!$HN$13:$HN$512,"="&amp;SUBSTITUTE(SUBSTITUTE(SUBSTITUTE('Dashboard'!$B$7,"~","~~"),"*","~*"),"?","~?"))+COUNTIFS('Calculations'!$IG$13:$IG$512,"="&amp;SUBSTITUTE(SUBSTITUTE(SUBSTITUTE('Calculations'!HF237,"~","~~"),"*","~*"),"?","~?"),'Calculations'!$HN$13:$HN$512,"="&amp;SUBSTITUTE(SUBSTITUTE(SUBSTITUTE('Dashboard'!$B$7,"~","~~"),"*","~*"),"?","~?"))+COUNTIFS('Calculations'!$IH$13:$IH$512,"="&amp;SUBSTITUTE(SUBSTITUTE(SUBSTITUTE('Calculations'!HF237,"~","~~"),"*","~*"),"?","~?"),'Calculations'!$HN$13:$HN$512,"="&amp;SUBSTITUTE(SUBSTITUTE(SUBSTITUTE('Dashboard'!$B$7,"~","~~"),"*","~*"),"?","~?"))))</x:f>
        <x:v>0</x:v>
      </x:c>
      <x:c r="JD237" t="n">
        <x:f>IF('Calculations'!EM237="",0,IF('Dashboard'!$B$7="All",1,IF('Calculations'!HN237='Dashboard'!$B$7,1,0)+IFERROR(INDEX('Calculations'!$JC$13:$JC$512,MATCH('Calculations'!HE237,'Calculations'!$HF$13:$HF$512,0)),0)))</x:f>
        <x:v>0</x:v>
      </x:c>
      <x:c r="JE237" t="n">
        <x:f>IF(AND('Calculations'!EM237&lt;&gt;"",'Calculations'!$JJ$2&lt;&gt;"All",'Calculations'!$JJ$2&lt;&gt;"",'Calculations'!HF237='Calculations'!$JJ$2,'Calculations'!HL237=0,'Calculations'!JD237&gt;0),MAX('Calculations'!$JE$12:JE236)+1,0)</x:f>
        <x:v>0</x:v>
      </x:c>
      <x:c r="JF237" t="str">
        <x:f>IF('Calculations'!EM237="","",IFERROR(IF(INDEX(INDIRECT("'WCM Calibration Final'!$G$1:$G$2000"),'Calculations'!$EM237)="","",TRIM(INDEX(INDIRECT("'WCM Calibration Final'!$G$1:$G$2000"),'Calculations'!$EM237)&amp;"")),""))</x:f>
      </x:c>
      <x:c r="JQ237" t="n">
        <x:f>IF(OR('Calculations'!BM237=0,NOT('Calculations'!$AG$2),'Calculations'!$AG$8&gt;0),0,IF(OR('Dashboard'!$B$7="All",'Calculations'!HN237='Dashboard'!$B$7),IF('Calculations'!$JJ$2="All",1,IF(AND('Calculations'!HF237='Calculations'!$JJ$2,'Calculations'!HL237=0),1,0)),0))</x:f>
        <x:v>0</x:v>
      </x:c>
    </x:row>
    <x:row r="238">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t="n">
        <x:f>IF('Calculations'!$EM238="",0,IF(OR(IFERROR(INDEX(INDIRECT("'WCM Calibration Final'!$A$1:$A$2000"),'Calculations'!$EM238)&lt;&gt;"",FALSE),IFERROR(INDEX(INDIRECT("'WCM Calibration Final'!$B$1:$B$2000"),'Calculations'!$EM238)&lt;&gt;"",FALSE),IFERROR(INDEX(INDIRECT("'WCM Calibration Final'!$C$1:$C$2000"),'Calculations'!$EM238)&lt;&gt;"",FALSE)),1,0))</x:f>
        <x:v>0</x:v>
      </x:c>
      <x:c r="BN238" s="4" t="n">
        <x:f>IF(AND('Calculations'!BM238=1,'Calculations'!$AG$2,'Calculations'!$EN238=1),1,0)</x:f>
        <x:v>0</x:v>
      </x:c>
      <x:c r="BO238" s="4" t="str">
        <x:f>IF('Calculations'!BM238=0,"",IFERROR(IF(AND(VALUE(INDEX(INDIRECT("'WCM Calibration Final'!$K$1:$K$2000"),'Calculations'!$EM238))&gt;=1,VALUE(INDEX(INDIRECT("'WCM Calibration Final'!$K$1:$K$2000"),'Calculations'!$EM238))&lt;=4,MOD(VALUE(INDEX(INDIRECT("'WCM Calibration Final'!$K$1:$K$2000"),'Calculations'!$EM238)),1)=0),VALUE(INDEX(INDIRECT("'WCM Calibration Final'!$K$1:$K$2000"),'Calculations'!$EM238)),""),""))</x:f>
      </x:c>
      <x:c r="BP238" s="4" t="str">
        <x:f>IF('Calculations'!BM238=0,"",IFERROR(IF(AND(VALUE(INDEX(INDIRECT("'WCM Calibration Final'!$L$1:$L$2000"),'Calculations'!$EM238))&gt;=1,VALUE(INDEX(INDIRECT("'WCM Calibration Final'!$L$1:$L$2000"),'Calculations'!$EM238))&lt;=4,MOD(VALUE(INDEX(INDIRECT("'WCM Calibration Final'!$L$1:$L$2000"),'Calculations'!$EM238)),1)=0),VALUE(INDEX(INDIRECT("'WCM Calibration Final'!$L$1:$L$2000"),'Calculations'!$EM238)),""),""))</x:f>
      </x:c>
      <x:c r="BQ238" s="4"/>
      <x:c r="BR238" s="4"/>
      <x:c r="BS238" s="4"/>
      <x:c r="BT238" s="4" t="n">
        <x:f>IF(AND('Calculations'!BM238=1,ISNUMBER('Calculations'!BO238),ISNUMBER('Calculations'!BP238)),1,0)</x:f>
        <x:v>0</x:v>
      </x:c>
      <x:c r="BU238" s="4" t="str">
        <x:f>IF('Calculations'!BM238=0,"",'Calculations'!$EO238)</x:f>
      </x:c>
      <x:c r="BV238" s="4" t="str">
        <x:f>IF('Calculations'!BM238=0,"",IFERROR(IF(OR(INDEX(INDIRECT("'WCM Calibration Final'!$H$1:$H$2000"),'Calculations'!$EM238)="MANAGING DIRECTOR",INDEX(INDIRECT("'WCM Calibration Final'!$H$1:$H$2000"),'Calculations'!$EM238)="DIRECTOR",INDEX(INDIRECT("'WCM Calibration Final'!$H$1:$H$2000"),'Calculations'!$EM238)="SENIOR VICE PRESIDENT",INDEX(INDIRECT("'WCM Calibration Final'!$H$1:$H$2000"),'Calculations'!$EM238)="VICE PRESIDENT",INDEX(INDIRECT("'WCM Calibration Final'!$H$1:$H$2000"),'Calculations'!$EM238)="ASSISTANT VICE PRESIDENT",INDEX(INDIRECT("'WCM Calibration Final'!$H$1:$H$2000"),'Calculations'!$EM238)="OFFICER"),UPPER(INDEX(INDIRECT("'WCM Calibration Final'!$H$1:$H$2000"),'Calculations'!$EM238)),"Other"),"Other"))</x:f>
      </x:c>
      <x:c r="BW238" s="4"/>
      <x:c r="BX238" s="4"/>
      <x:c r="BY238" s="4" t="n">
        <x:f>IF(AND('Calculations'!BM238=1,'Calculations'!BU238&lt;&gt;"",COUNTIF('Calculations'!$BU$12:BU238,'Calculations'!BU238)=1),MAX('Calculations'!$BY$11:BY237)+1,0)</x:f>
        <x:v>0</x:v>
      </x:c>
      <x:c r="BZ238" s="4" t="str">
        <x:f>IF('Dashboard'!$E$67="What",'Calculations'!BO238,'Calculations'!BP238)</x:f>
      </x:c>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t="str">
        <x:f>IF(227&gt;MAX('Calculations'!$HI$13:$HI$512),"",INDEX('Calculations'!$HN$13:$HN$512,MATCH(227,'Calculations'!$HI$13:$HI$512,0)))</x:f>
      </x:c>
      <x:c r="DB238" s="4" t="str">
        <x:f>IF(227&gt;MAX('Calculations'!$HH$13:$HH$512),"",INDEX('Calculations'!$HJ$13:$HJ$512,MATCH(227,'Calculations'!$HH$13:$HH$512,0)))</x:f>
      </x:c>
      <x:c r="DC238" s="4" t="str">
        <x:f>IF(ROW()-11&gt;MAX('Calculations'!$BY$13:$BY$512),"",INDEX('Calculations'!$BU$13:$BU$512,MATCH(ROW()-11,'Calculations'!$BY$13:$BY$512,0)))</x:f>
      </x:c>
      <x:c r="DD238" s="4" t="str">
        <x:f>IF(227&gt;MAX('Calculations'!$IK$13:$IK$512),"",INDEX('Calculations'!$HK$13:$HK$512,MATCH(227,'Calculations'!$IK$13:$IK$512,0)))</x:f>
      </x:c>
      <x:c r="DE238" s="4" t="str">
        <x:f>'Calculations'!DC238</x:f>
      </x:c>
      <x:c r="DF238" s="4" t="str">
        <x:f>IF('Calculations'!DE238="","",COUNTIFS('Calculations'!$BN$13:$BN$512,1,'Calculations'!$BU$13:$BU$512,'Calculations'!DE238))</x:f>
      </x:c>
      <x:c r="DG238" s="4" t="str">
        <x:f>IF('Calculations'!DE238="","",COUNTIFS('Calculations'!$BN$13:$BN$512,1,'Calculations'!$BU$13:$BU$512,'Calculations'!DE238,'Calculations'!$BT$13:$BT$512,1))</x:f>
      </x:c>
      <x:c r="DH238" s="4" t="str">
        <x:f>IF('Calculations'!DE238="","",'Calculations'!DF238-'Calculations'!DG238)</x:f>
      </x:c>
      <x:c r="DI238" s="4" t="str">
        <x:f>IF(OR('Calculations'!DE238="",'Calculations'!DF238=0),"",'Calculations'!DG238/'Calculations'!DF238)</x:f>
      </x:c>
      <x:c r="DJ238" s="4" t="str">
        <x:f>IF('Calculations'!DE238="","",COUNTIFS('Calculations'!$BN$13:$BN$512,1,'Calculations'!$BU$13:$BU$512,'Calculations'!DE238,'Calculations'!$BT$13:$BT$512,1,'Calculations'!$EE$13:$EE$512,"High"))</x:f>
      </x:c>
      <x:c r="DK238" s="4" t="str">
        <x:f>IF('Calculations'!DE238="","",COUNTIFS('Calculations'!$BN$13:$BN$512,1,'Calculations'!$BU$13:$BU$512,'Calculations'!DE238,'Calculations'!$BT$13:$BT$512,1,'Calculations'!$EE$13:$EE$512,"Strong"))</x:f>
      </x:c>
      <x:c r="DL238" s="4" t="str">
        <x:f>IF('Calculations'!DE238="","",COUNTIFS('Calculations'!$BN$13:$BN$512,1,'Calculations'!$BU$13:$BU$512,'Calculations'!DE238,'Calculations'!$BT$13:$BT$512,1,'Calculations'!$EE$13:$EE$512,"Solid"))</x:f>
      </x:c>
      <x:c r="DM238" s="4" t="str">
        <x:f>IF('Calculations'!DE238="","",COUNTIFS('Calculations'!$BN$13:$BN$512,1,'Calculations'!$BU$13:$BU$512,'Calculations'!DE238,'Calculations'!$BT$13:$BT$512,1,'Calculations'!$EE$13:$EE$512,"Low"))</x:f>
      </x:c>
      <x:c r="DN238" s="4" t="str">
        <x:f>IF('Calculations'!DE238="","",COUNTIFS('Calculations'!$BN$13:$BN$512,1,'Calculations'!$BU$13:$BU$512,'Calculations'!DE238,'Calculations'!$EP$13:$EP$512,1))</x:f>
      </x:c>
      <x:c r="DO238" s="4" t="str">
        <x:f>IF(OR('Calculations'!DE238="",'Calculations'!DG238=0),"",('Calculations'!DJ238+'Calculations'!DK238)/'Calculations'!DG238)</x:f>
      </x:c>
      <x:c r="DP238" s="4" t="n">
        <x:f>IF(AND('Calculations'!DE238&lt;&gt;"",'Calculations'!DF238&gt;0),COUNTIF('Calculations'!$DF$12:DF238,"&gt;0"),0)</x:f>
        <x:v>0</x:v>
      </x:c>
      <x:c r="DQ238" s="4" t="str">
        <x:f>IF(227&gt;MAX('Calculations'!$HH$13:$HH$512),"",INDEX('Calculations'!$HF$13:$HF$512,MATCH(227,'Calculations'!$HH$13:$HH$512,0)))</x:f>
      </x:c>
      <x:c r="DR238" s="4" t="str">
        <x:f>IF(227&gt;MAX('Calculations'!$IK$13:$IK$512),"",INDEX('Calculations'!$HE$13:$HE$512,MATCH(227,'Calculations'!$IK$13:$IK$512,0)))</x:f>
      </x:c>
      <x:c r="DS238" s="4"/>
      <x:c r="DT238" s="4"/>
      <x:c r="DU238" s="4"/>
      <x:c r="DV238" s="4"/>
      <x:c r="DW238" s="4"/>
      <x:c r="DX238" s="4"/>
      <x:c r="DY238" s="4"/>
      <x:c r="DZ238" s="4"/>
      <x:c r="EA238" s="4"/>
      <x:c r="EB238" s="4"/>
      <x:c r="EC238" s="4"/>
      <x:c r="ED238" s="4"/>
      <x:c r="EE238" s="4" t="str">
        <x:f>IF('Calculations'!BT238=0,"Not Rated",IF(OR('Calculations'!BO238&gt;=4,'Calculations'!BP238&gt;=4),"Low",IF('Calculations'!BO238+'Calculations'!BP238&lt;=3,"High",IF('Calculations'!BO238+'Calculations'!BP238&lt;=4,"Strong","Solid"))))</x:f>
        <x:v>Not Rated</x:v>
      </x:c>
      <x:c r="EF238" s="4"/>
      <x:c r="EG238" s="4"/>
      <x:c r="EH238" s="4"/>
      <x:c r="EI238" s="4"/>
      <x:c r="EJ238" s="4"/>
      <x:c r="EK238" s="4"/>
      <x:c r="EL238" s="4"/>
      <x:c r="EM238" s="4" t="str">
        <x:f>IF(226&gt;'Calculations'!$JB$2000,"",INDEX('Calculations'!$JA$12:$JA$2000,MATCH(226,'Calculations'!$JB$12:$JB$2000,0)))</x:f>
      </x:c>
      <x:c r="EN238" s="4" t="n">
        <x:f>IF(OR('Calculations'!EM238="",'Calculations'!$AG$8&gt;0,AND('Calculations'!$EF$2&lt;&gt;"All",'Calculations'!HE238='Calculations'!$EF$2),AND('Calculations'!$EF$3&lt;&gt;"All",'Calculations'!HE238='Calculations'!$EF$3)),0,IF(OR('Dashboard'!$B$7="All",'Calculations'!HN238='Dashboard'!$B$7),IF('Calculations'!$EF$2="All",1,IF('Calculations'!HL238&gt;0,0,IF(COUNTIF('Calculations'!HO238:II238,"="&amp;SUBSTITUTE(SUBSTITUTE(SUBSTITUTE('Calculations'!$EF$2,"~","~~"),"*","~*"),"?","~?"))=0,0,IF('Calculations'!$EF$3="All",1,IF(COUNTIF('Calculations'!HO238:II238,"="&amp;SUBSTITUTE(SUBSTITUTE(SUBSTITUTE('Calculations'!$EF$3,"~","~~"),"*","~*"),"?","~?"))&gt;0,1,0))))),0))</x:f>
        <x:v>0</x:v>
      </x:c>
      <x:c r="EO238" s="4" t="str">
        <x:f>IF('Calculations'!IJ238="","",IF('Calculations'!IJ238="!UNRESOLVED","Unresolved hierarchy",IFERROR(INDEX('Calculations'!$HK$13:$HK$512,MATCH('Calculations'!IJ238,'Calculations'!$HE$13:$HE$512,0)),IFERROR(INDEX('Calculations'!$HJ$13:$HJ$512,MATCH('Calculations'!IJ238,'Calculations'!$HF$13:$HF$512,0)),'Calculations'!IJ238))))</x:f>
      </x:c>
      <x:c r="EP238" s="4" t="n">
        <x:f>IF(AND('Calculations'!EM238&lt;&gt;"",'Calculations'!HF238='Calculations'!IJ238),1,0)</x:f>
        <x:v>0</x:v>
      </x:c>
      <x:c r="EQ238" s="4"/>
      <x:c r="ER238" s="4"/>
      <x:c r="ES238" s="4"/>
      <x:c r="ET238" s="4"/>
      <x:c r="EU238" s="4"/>
      <x:c r="EV238" s="4"/>
      <x:c r="EW238" s="4"/>
      <x:c r="EX238" s="4"/>
      <x:c r="EY238" s="4"/>
      <x:c r="EZ238" s="4"/>
      <x:c r="FA238" s="4"/>
      <x:c r="FB238" s="4"/>
      <x:c r="FC238" s="4"/>
      <x:c r="FD238" s="4"/>
      <x:c r="FE238" s="4"/>
      <x:c r="FF238" s="4"/>
      <x:c r="FG238" s="4"/>
      <x:c r="FH238" s="4"/>
      <x:c r="FI238" s="4"/>
      <x:c r="FJ238" s="4"/>
      <x:c r="FK238" s="4"/>
      <x:c r="FL238" s="4"/>
      <x:c r="FM238" s="4"/>
      <x:c r="FN238" s="4"/>
      <x:c r="FO238" s="4"/>
      <x:c r="HE238" t="str">
        <x:f>IF('Calculations'!EM238="","",IF(IFERROR(IF(INDEX(INDIRECT("'WCM Calibration Final'!$A$1:$A$2000"),'Calculations'!$EM238)="","",TRIM(INDEX(INDIRECT("'WCM Calibration Final'!$A$1:$A$2000"),'Calculations'!$EM238)&amp;"")),"")&lt;&gt;"","G:"&amp;IFERROR(TEXT(1*INDEX(INDIRECT("'WCM Calibration Final'!$A$1:$A$2000"),'Calculations'!$EM238),"0"),UPPER(IFERROR(IF(INDEX(INDIRECT("'WCM Calibration Final'!$A$1:$A$2000"),'Calculations'!$EM238)="","",TRIM(INDEX(INDIRECT("'WCM Calibration Final'!$A$1:$A$2000"),'Calculations'!$EM238)&amp;"")),""))),IF(IFERROR(IF(INDEX(INDIRECT("'WCM Calibration Final'!$C$1:$C$2000"),'Calculations'!$EM238)="","",TRIM(INDEX(INDIRECT("'WCM Calibration Final'!$C$1:$C$2000"),'Calculations'!$EM238)&amp;"")),"")&lt;&gt;"","S:"&amp;UPPER(IFERROR(IF(INDEX(INDIRECT("'WCM Calibration Final'!$C$1:$C$2000"),'Calculations'!$EM238)="","",TRIM(INDEX(INDIRECT("'WCM Calibration Final'!$C$1:$C$2000"),'Calculations'!$EM238)&amp;"")),"")),"R:"&amp;'Calculations'!EM238)))</x:f>
      </x:c>
      <x:c r="HF238" t="str">
        <x:f>IF('Calculations'!EM238="","",IF(IFERROR(IF(INDEX(INDIRECT("'WCM Calibration Final'!$D$1:$D$2000"),'Calculations'!$EM238)="","",TRIM(INDEX(INDIRECT("'WCM Calibration Final'!$D$1:$D$2000"),'Calculations'!$EM238)&amp;"")),"")&lt;&gt;"","G:"&amp;IFERROR(TEXT(1*INDEX(INDIRECT("'WCM Calibration Final'!$D$1:$D$2000"),'Calculations'!$EM238),"0"),UPPER(IFERROR(IF(INDEX(INDIRECT("'WCM Calibration Final'!$D$1:$D$2000"),'Calculations'!$EM238)="","",TRIM(INDEX(INDIRECT("'WCM Calibration Final'!$D$1:$D$2000"),'Calculations'!$EM238)&amp;"")),""))),IF(IFERROR(IF(INDEX(INDIRECT("'WCM Calibration Final'!$E$1:$E$2000"),'Calculations'!$EM238)="","",TRIM(INDEX(INDIRECT("'WCM Calibration Final'!$E$1:$E$2000"),'Calculations'!$EM238)&amp;"")),"")="","",IF(COUNTIF('Calculations'!$HG$13:$HG$512,"="&amp;SUBSTITUTE(SUBSTITUTE(SUBSTITUTE(IFERROR(IF(INDEX(INDIRECT("'WCM Calibration Final'!$E$1:$E$2000"),'Calculations'!$EM238)="","",TRIM(INDEX(INDIRECT("'WCM Calibration Final'!$E$1:$E$2000"),'Calculations'!$EM238)&amp;"")),""),"~","~~"),"*","~*"),"?","~?"))=1,INDEX('Calculations'!$HE$13:$HE$512,MATCH(IFERROR(IF(INDEX(INDIRECT("'WCM Calibration Final'!$E$1:$E$2000"),'Calculations'!$EM238)="","",TRIM(INDEX(INDIRECT("'WCM Calibration Final'!$E$1:$E$2000"),'Calculations'!$EM238)&amp;"")),""),'Calculations'!$HG$13:$HG$512,0)),IF(COUNTIF('Calculations'!$HG$13:$HG$512,"="&amp;SUBSTITUTE(SUBSTITUTE(SUBSTITUTE(IFERROR(IF(INDEX(INDIRECT("'WCM Calibration Final'!$E$1:$E$2000"),'Calculations'!$EM238)="","",TRIM(INDEX(INDIRECT("'WCM Calibration Final'!$E$1:$E$2000"),'Calculations'!$EM238)&amp;"")),""),"~","~~"),"*","~*"),"?","~?"))&gt;1,"!AMBIG","X:"&amp;IFERROR(IF(INDEX(INDIRECT("'WCM Calibration Final'!$E$1:$E$2000"),'Calculations'!$EM238)="","",TRIM(INDEX(INDIRECT("'WCM Calibration Final'!$E$1:$E$2000"),'Calculations'!$EM238)&amp;"")),""))))))</x:f>
      </x:c>
      <x:c r="HG238" t="str">
        <x:f>IF('Calculations'!EM238="","",IFERROR(IF(INDEX(INDIRECT("'WCM Calibration Final'!$B$1:$B$2000"),'Calculations'!$EM238)="","",TRIM(INDEX(INDIRECT("'WCM Calibration Final'!$B$1:$B$2000"),'Calculations'!$EM238)&amp;"")),""))</x:f>
      </x:c>
      <x:c r="HH238" t="n">
        <x:f>IF(AND('Calculations'!JC238&gt;0,COUNTIF('Calculations'!$HF$12:HF238,"="&amp;SUBSTITUTE(SUBSTITUTE(SUBSTITUTE('Calculations'!HF238,"~","~~"),"*","~*"),"?","~?"))=1),MAX('Calculations'!$HH$12:HH237)+1,0)</x:f>
        <x:v>0</x:v>
      </x:c>
      <x:c r="HI238" t="n">
        <x:f>IF(AND('Calculations'!HN238&lt;&gt;"",COUNTIF('Calculations'!$HN$12:HN238,"="&amp;SUBSTITUTE(SUBSTITUTE(SUBSTITUTE('Calculations'!HN238,"~","~~"),"*","~*"),"?","~?"))=1),MAX('Calculations'!$HI$12:HI237)+1,0)</x:f>
        <x:v>0</x:v>
      </x:c>
      <x:c r="HJ238" t="str">
        <x:f>IF('Calculations'!HF238="","",IF(COUNTIF('Calculations'!$HE$13:$HE$512,"="&amp;SUBSTITUTE(SUBSTITUTE(SUBSTITUTE('Calculations'!HF238,"~","~~"),"*","~*"),"?","~?"))=1,INDEX('Calculations'!$HK$13:$HK$512,MATCH('Calculations'!HF238,'Calculations'!$HE$13:$HE$512,0)),IFERROR(IF(INDEX(INDIRECT("'WCM Calibration Final'!$E$1:$E$2000"),'Calculations'!$EM238)="","",TRIM(INDEX(INDIRECT("'WCM Calibration Final'!$E$1:$E$2000"),'Calculations'!$EM238)&amp;"")),"")&amp;" ["&amp;'Calculations'!HF238&amp;"]"))</x:f>
      </x:c>
      <x:c r="HK238" t="str">
        <x:f>IF('Calculations'!EM238="","",'Calculations'!HG238&amp;" ["&amp;'Calculations'!HE238&amp;"]")</x:f>
      </x:c>
      <x:c r="HL238" t="n">
        <x:f>IF('Calculations'!EM238="",0,IF(OR('Calculations'!II238&lt;&gt;"",COUNTIF('Calculations'!$HE$13:$HE$512,"="&amp;SUBSTITUTE(SUBSTITUTE(SUBSTITUTE('Calculations'!HE238,"~","~~"),"*","~*"),"?","~?"))&gt;1),1,0))</x:f>
        <x:v>0</x:v>
      </x:c>
      <x:c r="HM238" t="str">
        <x:f>IF('Calculations'!EM238="","",IF('Calculations'!HL238=1,"!UNRESOLVED",IF('Calculations'!IH238&lt;&gt;"",'Calculations'!IH238,IF('Calculations'!IG238&lt;&gt;"",'Calculations'!IG238,IF('Calculations'!IF238&lt;&gt;"",'Calculations'!IF238,IF('Calculations'!IE238&lt;&gt;"",'Calculations'!IE238,IF('Calculations'!ID238&lt;&gt;"",'Calculations'!ID238,IF('Calculations'!IC238&lt;&gt;"",'Calculations'!IC238,IF('Calculations'!IB238&lt;&gt;"",'Calculations'!IB238,IF('Calculations'!IA238&lt;&gt;"",'Calculations'!IA238,IF('Calculations'!HZ238&lt;&gt;"",'Calculations'!HZ238,IF('Calculations'!HY238&lt;&gt;"",'Calculations'!HY238,IF('Calculations'!HX238&lt;&gt;"",'Calculations'!HX238,IF('Calculations'!HW238&lt;&gt;"",'Calculations'!HW238,IF('Calculations'!HV238&lt;&gt;"",'Calculations'!HV238,IF('Calculations'!HU238&lt;&gt;"",'Calculations'!HU238,IF('Calculations'!HT238&lt;&gt;"",'Calculations'!HT238,IF('Calculations'!HS238&lt;&gt;"",'Calculations'!HS238,IF('Calculations'!HR238&lt;&gt;"",'Calculations'!HR238,IF('Calculations'!HQ238&lt;&gt;"",'Calculations'!HQ238,IF('Calculations'!HP238&lt;&gt;"",'Calculations'!HP238,IF('Calculations'!HO238&lt;&gt;"",'Calculations'!HO238,'Calculations'!HE238))))))))))))))))))))))</x:f>
      </x:c>
      <x:c r="HN238" t="str">
        <x:f>IF('Calculations'!EM238="","",IF(IFERROR(IF(INDEX(INDIRECT("'WCM Calibration Final'!$F$1:$F$2000"),'Calculations'!$EM238)="","",TRIM(INDEX(INDIRECT("'WCM Calibration Final'!$F$1:$F$2000"),'Calculations'!$EM238)&amp;"")),"")="","(Blank)",IFERROR(IF(INDEX(INDIRECT("'WCM Calibration Final'!$F$1:$F$2000"),'Calculations'!$EM238)="","",TRIM(INDEX(INDIRECT("'WCM Calibration Final'!$F$1:$F$2000"),'Calculations'!$EM238)&amp;"")),"")))</x:f>
      </x:c>
      <x:c r="HO238" t="str">
        <x:f>'Calculations'!HF238</x:f>
      </x:c>
      <x:c r="HP238" t="str">
        <x:f>IF('Calculations'!HO238="","",IF('Calculations'!HO238="!AMBIG","!AMBIG",IF(COUNTIF('Calculations'!$HE$13:$HE$512,"="&amp;SUBSTITUTE(SUBSTITUTE(SUBSTITUTE('Calculations'!HO238,"~","~~"),"*","~*"),"?","~?"))&gt;1,"!AMBIG",IFERROR(INDEX('Calculations'!$HF$13:$HF$512,MATCH('Calculations'!HO238,'Calculations'!$HE$13:$HE$512,0)),""))))</x:f>
      </x:c>
      <x:c r="HQ238" t="str">
        <x:f>IF('Calculations'!HP238="","",IF('Calculations'!HP238="!AMBIG","!AMBIG",IF(COUNTIF('Calculations'!$HE$13:$HE$512,"="&amp;SUBSTITUTE(SUBSTITUTE(SUBSTITUTE('Calculations'!HP238,"~","~~"),"*","~*"),"?","~?"))&gt;1,"!AMBIG",IFERROR(INDEX('Calculations'!$HF$13:$HF$512,MATCH('Calculations'!HP238,'Calculations'!$HE$13:$HE$512,0)),""))))</x:f>
      </x:c>
      <x:c r="HR238" t="str">
        <x:f>IF('Calculations'!HQ238="","",IF('Calculations'!HQ238="!AMBIG","!AMBIG",IF(COUNTIF('Calculations'!$HE$13:$HE$512,"="&amp;SUBSTITUTE(SUBSTITUTE(SUBSTITUTE('Calculations'!HQ238,"~","~~"),"*","~*"),"?","~?"))&gt;1,"!AMBIG",IFERROR(INDEX('Calculations'!$HF$13:$HF$512,MATCH('Calculations'!HQ238,'Calculations'!$HE$13:$HE$512,0)),""))))</x:f>
      </x:c>
      <x:c r="HS238" t="str">
        <x:f>IF('Calculations'!HR238="","",IF('Calculations'!HR238="!AMBIG","!AMBIG",IF(COUNTIF('Calculations'!$HE$13:$HE$512,"="&amp;SUBSTITUTE(SUBSTITUTE(SUBSTITUTE('Calculations'!HR238,"~","~~"),"*","~*"),"?","~?"))&gt;1,"!AMBIG",IFERROR(INDEX('Calculations'!$HF$13:$HF$512,MATCH('Calculations'!HR238,'Calculations'!$HE$13:$HE$512,0)),""))))</x:f>
      </x:c>
      <x:c r="HT238" t="str">
        <x:f>IF('Calculations'!HS238="","",IF('Calculations'!HS238="!AMBIG","!AMBIG",IF(COUNTIF('Calculations'!$HE$13:$HE$512,"="&amp;SUBSTITUTE(SUBSTITUTE(SUBSTITUTE('Calculations'!HS238,"~","~~"),"*","~*"),"?","~?"))&gt;1,"!AMBIG",IFERROR(INDEX('Calculations'!$HF$13:$HF$512,MATCH('Calculations'!HS238,'Calculations'!$HE$13:$HE$512,0)),""))))</x:f>
      </x:c>
      <x:c r="HU238" t="str">
        <x:f>IF('Calculations'!HT238="","",IF('Calculations'!HT238="!AMBIG","!AMBIG",IF(COUNTIF('Calculations'!$HE$13:$HE$512,"="&amp;SUBSTITUTE(SUBSTITUTE(SUBSTITUTE('Calculations'!HT238,"~","~~"),"*","~*"),"?","~?"))&gt;1,"!AMBIG",IFERROR(INDEX('Calculations'!$HF$13:$HF$512,MATCH('Calculations'!HT238,'Calculations'!$HE$13:$HE$512,0)),""))))</x:f>
      </x:c>
      <x:c r="HV238" t="str">
        <x:f>IF('Calculations'!HU238="","",IF('Calculations'!HU238="!AMBIG","!AMBIG",IF(COUNTIF('Calculations'!$HE$13:$HE$512,"="&amp;SUBSTITUTE(SUBSTITUTE(SUBSTITUTE('Calculations'!HU238,"~","~~"),"*","~*"),"?","~?"))&gt;1,"!AMBIG",IFERROR(INDEX('Calculations'!$HF$13:$HF$512,MATCH('Calculations'!HU238,'Calculations'!$HE$13:$HE$512,0)),""))))</x:f>
      </x:c>
      <x:c r="HW238" t="str">
        <x:f>IF('Calculations'!HV238="","",IF('Calculations'!HV238="!AMBIG","!AMBIG",IF(COUNTIF('Calculations'!$HE$13:$HE$512,"="&amp;SUBSTITUTE(SUBSTITUTE(SUBSTITUTE('Calculations'!HV238,"~","~~"),"*","~*"),"?","~?"))&gt;1,"!AMBIG",IFERROR(INDEX('Calculations'!$HF$13:$HF$512,MATCH('Calculations'!HV238,'Calculations'!$HE$13:$HE$512,0)),""))))</x:f>
      </x:c>
      <x:c r="HX238" t="str">
        <x:f>IF('Calculations'!HW238="","",IF('Calculations'!HW238="!AMBIG","!AMBIG",IF(COUNTIF('Calculations'!$HE$13:$HE$512,"="&amp;SUBSTITUTE(SUBSTITUTE(SUBSTITUTE('Calculations'!HW238,"~","~~"),"*","~*"),"?","~?"))&gt;1,"!AMBIG",IFERROR(INDEX('Calculations'!$HF$13:$HF$512,MATCH('Calculations'!HW238,'Calculations'!$HE$13:$HE$512,0)),""))))</x:f>
      </x:c>
      <x:c r="HY238" t="str">
        <x:f>IF('Calculations'!HX238="","",IF('Calculations'!HX238="!AMBIG","!AMBIG",IF(COUNTIF('Calculations'!$HE$13:$HE$512,"="&amp;SUBSTITUTE(SUBSTITUTE(SUBSTITUTE('Calculations'!HX238,"~","~~"),"*","~*"),"?","~?"))&gt;1,"!AMBIG",IFERROR(INDEX('Calculations'!$HF$13:$HF$512,MATCH('Calculations'!HX238,'Calculations'!$HE$13:$HE$512,0)),""))))</x:f>
      </x:c>
      <x:c r="HZ238" t="str">
        <x:f>IF('Calculations'!HY238="","",IF('Calculations'!HY238="!AMBIG","!AMBIG",IF(COUNTIF('Calculations'!$HE$13:$HE$512,"="&amp;SUBSTITUTE(SUBSTITUTE(SUBSTITUTE('Calculations'!HY238,"~","~~"),"*","~*"),"?","~?"))&gt;1,"!AMBIG",IFERROR(INDEX('Calculations'!$HF$13:$HF$512,MATCH('Calculations'!HY238,'Calculations'!$HE$13:$HE$512,0)),""))))</x:f>
      </x:c>
      <x:c r="IA238" t="str">
        <x:f>IF('Calculations'!HZ238="","",IF('Calculations'!HZ238="!AMBIG","!AMBIG",IF(COUNTIF('Calculations'!$HE$13:$HE$512,"="&amp;SUBSTITUTE(SUBSTITUTE(SUBSTITUTE('Calculations'!HZ238,"~","~~"),"*","~*"),"?","~?"))&gt;1,"!AMBIG",IFERROR(INDEX('Calculations'!$HF$13:$HF$512,MATCH('Calculations'!HZ238,'Calculations'!$HE$13:$HE$512,0)),""))))</x:f>
      </x:c>
      <x:c r="IB238" t="str">
        <x:f>IF('Calculations'!IA238="","",IF('Calculations'!IA238="!AMBIG","!AMBIG",IF(COUNTIF('Calculations'!$HE$13:$HE$512,"="&amp;SUBSTITUTE(SUBSTITUTE(SUBSTITUTE('Calculations'!IA238,"~","~~"),"*","~*"),"?","~?"))&gt;1,"!AMBIG",IFERROR(INDEX('Calculations'!$HF$13:$HF$512,MATCH('Calculations'!IA238,'Calculations'!$HE$13:$HE$512,0)),""))))</x:f>
      </x:c>
      <x:c r="IC238" t="str">
        <x:f>IF('Calculations'!IB238="","",IF('Calculations'!IB238="!AMBIG","!AMBIG",IF(COUNTIF('Calculations'!$HE$13:$HE$512,"="&amp;SUBSTITUTE(SUBSTITUTE(SUBSTITUTE('Calculations'!IB238,"~","~~"),"*","~*"),"?","~?"))&gt;1,"!AMBIG",IFERROR(INDEX('Calculations'!$HF$13:$HF$512,MATCH('Calculations'!IB238,'Calculations'!$HE$13:$HE$512,0)),""))))</x:f>
      </x:c>
      <x:c r="ID238" t="str">
        <x:f>IF('Calculations'!IC238="","",IF('Calculations'!IC238="!AMBIG","!AMBIG",IF(COUNTIF('Calculations'!$HE$13:$HE$512,"="&amp;SUBSTITUTE(SUBSTITUTE(SUBSTITUTE('Calculations'!IC238,"~","~~"),"*","~*"),"?","~?"))&gt;1,"!AMBIG",IFERROR(INDEX('Calculations'!$HF$13:$HF$512,MATCH('Calculations'!IC238,'Calculations'!$HE$13:$HE$512,0)),""))))</x:f>
      </x:c>
      <x:c r="IE238" t="str">
        <x:f>IF('Calculations'!ID238="","",IF('Calculations'!ID238="!AMBIG","!AMBIG",IF(COUNTIF('Calculations'!$HE$13:$HE$512,"="&amp;SUBSTITUTE(SUBSTITUTE(SUBSTITUTE('Calculations'!ID238,"~","~~"),"*","~*"),"?","~?"))&gt;1,"!AMBIG",IFERROR(INDEX('Calculations'!$HF$13:$HF$512,MATCH('Calculations'!ID238,'Calculations'!$HE$13:$HE$512,0)),""))))</x:f>
      </x:c>
      <x:c r="IF238" t="str">
        <x:f>IF('Calculations'!IE238="","",IF('Calculations'!IE238="!AMBIG","!AMBIG",IF(COUNTIF('Calculations'!$HE$13:$HE$512,"="&amp;SUBSTITUTE(SUBSTITUTE(SUBSTITUTE('Calculations'!IE238,"~","~~"),"*","~*"),"?","~?"))&gt;1,"!AMBIG",IFERROR(INDEX('Calculations'!$HF$13:$HF$512,MATCH('Calculations'!IE238,'Calculations'!$HE$13:$HE$512,0)),""))))</x:f>
      </x:c>
      <x:c r="IG238" t="str">
        <x:f>IF('Calculations'!IF238="","",IF('Calculations'!IF238="!AMBIG","!AMBIG",IF(COUNTIF('Calculations'!$HE$13:$HE$512,"="&amp;SUBSTITUTE(SUBSTITUTE(SUBSTITUTE('Calculations'!IF238,"~","~~"),"*","~*"),"?","~?"))&gt;1,"!AMBIG",IFERROR(INDEX('Calculations'!$HF$13:$HF$512,MATCH('Calculations'!IF238,'Calculations'!$HE$13:$HE$512,0)),""))))</x:f>
      </x:c>
      <x:c r="IH238" t="str">
        <x:f>IF('Calculations'!IG238="","",IF('Calculations'!IG238="!AMBIG","!AMBIG",IF(COUNTIF('Calculations'!$HE$13:$HE$512,"="&amp;SUBSTITUTE(SUBSTITUTE(SUBSTITUTE('Calculations'!IG238,"~","~~"),"*","~*"),"?","~?"))&gt;1,"!AMBIG",IFERROR(INDEX('Calculations'!$HF$13:$HF$512,MATCH('Calculations'!IG238,'Calculations'!$HE$13:$HE$512,0)),""))))</x:f>
      </x:c>
      <x:c r="II238" t="str">
        <x:f>IF('Calculations'!IH238="","",IF('Calculations'!IH238="!AMBIG","!AMBIG",IF(COUNTIF('Calculations'!$HE$13:$HE$512,"="&amp;SUBSTITUTE(SUBSTITUTE(SUBSTITUTE('Calculations'!IH238,"~","~~"),"*","~*"),"?","~?"))&gt;1,"!AMBIG",IFERROR(INDEX('Calculations'!$HF$13:$HF$512,MATCH('Calculations'!IH238,'Calculations'!$HE$13:$HE$512,0)),""))))</x:f>
      </x:c>
      <x:c r="IJ238" t="str">
        <x:f>IF('Calculations'!EM238="","",IF('Calculations'!$EF$2="All",'Calculations'!HM238,IF('Calculations'!HL238=1,"",IFERROR(IF(MATCH('Calculations'!$EF$2,'Calculations'!HO238:II238,0)=1,'Calculations'!HE238,INDEX('Calculations'!HO238:II238,1,MATCH('Calculations'!$EF$2,'Calculations'!HO238:II238,0)-1)),""))))</x:f>
      </x:c>
      <x:c r="IK238" t="n">
        <x:f>IF(AND('Calculations'!EM238&lt;&gt;"",'Calculations'!$EF$2&lt;&gt;"All",'Calculations'!HF238='Calculations'!$EF$2,'Calculations'!HL238=0,'Calculations'!JD238&gt;0),MAX('Calculations'!$IK$12:IK237)+1,0)</x:f>
        <x:v>0</x:v>
      </x:c>
      <x:c r="JA238" t="n">
        <x:f>IF(OR(IFERROR(INDIRECT("'WCM Calibration Final'!$A$238")&lt;&gt;"",FALSE),IFERROR(INDIRECT("'WCM Calibration Final'!$B$238")&lt;&gt;"",FALSE),IFERROR(INDIRECT("'WCM Calibration Final'!$C$238")&lt;&gt;"",FALSE)),238,0)</x:f>
        <x:v>0</x:v>
      </x:c>
      <x:c r="JB238" t="n">
        <x:f>'Calculations'!JB237+IF('Calculations'!JA238&gt;0,1,0)</x:f>
        <x:v>0</x:v>
      </x:c>
      <x:c r="JC238" t="n">
        <x:f>IF(OR('Calculations'!HF238="",'Calculations'!HF238="!AMBIG"),0,IF('Dashboard'!$B$7="All",1,COUNTIFS('Calculations'!$HO$13:$HO$512,"="&amp;SUBSTITUTE(SUBSTITUTE(SUBSTITUTE('Calculations'!HF238,"~","~~"),"*","~*"),"?","~?"),'Calculations'!$HN$13:$HN$512,"="&amp;SUBSTITUTE(SUBSTITUTE(SUBSTITUTE('Dashboard'!$B$7,"~","~~"),"*","~*"),"?","~?"))+COUNTIFS('Calculations'!$HP$13:$HP$512,"="&amp;SUBSTITUTE(SUBSTITUTE(SUBSTITUTE('Calculations'!HF238,"~","~~"),"*","~*"),"?","~?"),'Calculations'!$HN$13:$HN$512,"="&amp;SUBSTITUTE(SUBSTITUTE(SUBSTITUTE('Dashboard'!$B$7,"~","~~"),"*","~*"),"?","~?"))+COUNTIFS('Calculations'!$HQ$13:$HQ$512,"="&amp;SUBSTITUTE(SUBSTITUTE(SUBSTITUTE('Calculations'!HF238,"~","~~"),"*","~*"),"?","~?"),'Calculations'!$HN$13:$HN$512,"="&amp;SUBSTITUTE(SUBSTITUTE(SUBSTITUTE('Dashboard'!$B$7,"~","~~"),"*","~*"),"?","~?"))+COUNTIFS('Calculations'!$HR$13:$HR$512,"="&amp;SUBSTITUTE(SUBSTITUTE(SUBSTITUTE('Calculations'!HF238,"~","~~"),"*","~*"),"?","~?"),'Calculations'!$HN$13:$HN$512,"="&amp;SUBSTITUTE(SUBSTITUTE(SUBSTITUTE('Dashboard'!$B$7,"~","~~"),"*","~*"),"?","~?"))+COUNTIFS('Calculations'!$HS$13:$HS$512,"="&amp;SUBSTITUTE(SUBSTITUTE(SUBSTITUTE('Calculations'!HF238,"~","~~"),"*","~*"),"?","~?"),'Calculations'!$HN$13:$HN$512,"="&amp;SUBSTITUTE(SUBSTITUTE(SUBSTITUTE('Dashboard'!$B$7,"~","~~"),"*","~*"),"?","~?"))+COUNTIFS('Calculations'!$HT$13:$HT$512,"="&amp;SUBSTITUTE(SUBSTITUTE(SUBSTITUTE('Calculations'!HF238,"~","~~"),"*","~*"),"?","~?"),'Calculations'!$HN$13:$HN$512,"="&amp;SUBSTITUTE(SUBSTITUTE(SUBSTITUTE('Dashboard'!$B$7,"~","~~"),"*","~*"),"?","~?"))+COUNTIFS('Calculations'!$HU$13:$HU$512,"="&amp;SUBSTITUTE(SUBSTITUTE(SUBSTITUTE('Calculations'!HF238,"~","~~"),"*","~*"),"?","~?"),'Calculations'!$HN$13:$HN$512,"="&amp;SUBSTITUTE(SUBSTITUTE(SUBSTITUTE('Dashboard'!$B$7,"~","~~"),"*","~*"),"?","~?"))+COUNTIFS('Calculations'!$HV$13:$HV$512,"="&amp;SUBSTITUTE(SUBSTITUTE(SUBSTITUTE('Calculations'!HF238,"~","~~"),"*","~*"),"?","~?"),'Calculations'!$HN$13:$HN$512,"="&amp;SUBSTITUTE(SUBSTITUTE(SUBSTITUTE('Dashboard'!$B$7,"~","~~"),"*","~*"),"?","~?"))+COUNTIFS('Calculations'!$HW$13:$HW$512,"="&amp;SUBSTITUTE(SUBSTITUTE(SUBSTITUTE('Calculations'!HF238,"~","~~"),"*","~*"),"?","~?"),'Calculations'!$HN$13:$HN$512,"="&amp;SUBSTITUTE(SUBSTITUTE(SUBSTITUTE('Dashboard'!$B$7,"~","~~"),"*","~*"),"?","~?"))+COUNTIFS('Calculations'!$HX$13:$HX$512,"="&amp;SUBSTITUTE(SUBSTITUTE(SUBSTITUTE('Calculations'!HF238,"~","~~"),"*","~*"),"?","~?"),'Calculations'!$HN$13:$HN$512,"="&amp;SUBSTITUTE(SUBSTITUTE(SUBSTITUTE('Dashboard'!$B$7,"~","~~"),"*","~*"),"?","~?"))+COUNTIFS('Calculations'!$HY$13:$HY$512,"="&amp;SUBSTITUTE(SUBSTITUTE(SUBSTITUTE('Calculations'!HF238,"~","~~"),"*","~*"),"?","~?"),'Calculations'!$HN$13:$HN$512,"="&amp;SUBSTITUTE(SUBSTITUTE(SUBSTITUTE('Dashboard'!$B$7,"~","~~"),"*","~*"),"?","~?"))+COUNTIFS('Calculations'!$HZ$13:$HZ$512,"="&amp;SUBSTITUTE(SUBSTITUTE(SUBSTITUTE('Calculations'!HF238,"~","~~"),"*","~*"),"?","~?"),'Calculations'!$HN$13:$HN$512,"="&amp;SUBSTITUTE(SUBSTITUTE(SUBSTITUTE('Dashboard'!$B$7,"~","~~"),"*","~*"),"?","~?"))+COUNTIFS('Calculations'!$IA$13:$IA$512,"="&amp;SUBSTITUTE(SUBSTITUTE(SUBSTITUTE('Calculations'!HF238,"~","~~"),"*","~*"),"?","~?"),'Calculations'!$HN$13:$HN$512,"="&amp;SUBSTITUTE(SUBSTITUTE(SUBSTITUTE('Dashboard'!$B$7,"~","~~"),"*","~*"),"?","~?"))+COUNTIFS('Calculations'!$IB$13:$IB$512,"="&amp;SUBSTITUTE(SUBSTITUTE(SUBSTITUTE('Calculations'!HF238,"~","~~"),"*","~*"),"?","~?"),'Calculations'!$HN$13:$HN$512,"="&amp;SUBSTITUTE(SUBSTITUTE(SUBSTITUTE('Dashboard'!$B$7,"~","~~"),"*","~*"),"?","~?"))+COUNTIFS('Calculations'!$IC$13:$IC$512,"="&amp;SUBSTITUTE(SUBSTITUTE(SUBSTITUTE('Calculations'!HF238,"~","~~"),"*","~*"),"?","~?"),'Calculations'!$HN$13:$HN$512,"="&amp;SUBSTITUTE(SUBSTITUTE(SUBSTITUTE('Dashboard'!$B$7,"~","~~"),"*","~*"),"?","~?"))+COUNTIFS('Calculations'!$ID$13:$ID$512,"="&amp;SUBSTITUTE(SUBSTITUTE(SUBSTITUTE('Calculations'!HF238,"~","~~"),"*","~*"),"?","~?"),'Calculations'!$HN$13:$HN$512,"="&amp;SUBSTITUTE(SUBSTITUTE(SUBSTITUTE('Dashboard'!$B$7,"~","~~"),"*","~*"),"?","~?"))+COUNTIFS('Calculations'!$IE$13:$IE$512,"="&amp;SUBSTITUTE(SUBSTITUTE(SUBSTITUTE('Calculations'!HF238,"~","~~"),"*","~*"),"?","~?"),'Calculations'!$HN$13:$HN$512,"="&amp;SUBSTITUTE(SUBSTITUTE(SUBSTITUTE('Dashboard'!$B$7,"~","~~"),"*","~*"),"?","~?"))+COUNTIFS('Calculations'!$IF$13:$IF$512,"="&amp;SUBSTITUTE(SUBSTITUTE(SUBSTITUTE('Calculations'!HF238,"~","~~"),"*","~*"),"?","~?"),'Calculations'!$HN$13:$HN$512,"="&amp;SUBSTITUTE(SUBSTITUTE(SUBSTITUTE('Dashboard'!$B$7,"~","~~"),"*","~*"),"?","~?"))+COUNTIFS('Calculations'!$IG$13:$IG$512,"="&amp;SUBSTITUTE(SUBSTITUTE(SUBSTITUTE('Calculations'!HF238,"~","~~"),"*","~*"),"?","~?"),'Calculations'!$HN$13:$HN$512,"="&amp;SUBSTITUTE(SUBSTITUTE(SUBSTITUTE('Dashboard'!$B$7,"~","~~"),"*","~*"),"?","~?"))+COUNTIFS('Calculations'!$IH$13:$IH$512,"="&amp;SUBSTITUTE(SUBSTITUTE(SUBSTITUTE('Calculations'!HF238,"~","~~"),"*","~*"),"?","~?"),'Calculations'!$HN$13:$HN$512,"="&amp;SUBSTITUTE(SUBSTITUTE(SUBSTITUTE('Dashboard'!$B$7,"~","~~"),"*","~*"),"?","~?"))))</x:f>
        <x:v>0</x:v>
      </x:c>
      <x:c r="JD238" t="n">
        <x:f>IF('Calculations'!EM238="",0,IF('Dashboard'!$B$7="All",1,IF('Calculations'!HN238='Dashboard'!$B$7,1,0)+IFERROR(INDEX('Calculations'!$JC$13:$JC$512,MATCH('Calculations'!HE238,'Calculations'!$HF$13:$HF$512,0)),0)))</x:f>
        <x:v>0</x:v>
      </x:c>
      <x:c r="JE238" t="n">
        <x:f>IF(AND('Calculations'!EM238&lt;&gt;"",'Calculations'!$JJ$2&lt;&gt;"All",'Calculations'!$JJ$2&lt;&gt;"",'Calculations'!HF238='Calculations'!$JJ$2,'Calculations'!HL238=0,'Calculations'!JD238&gt;0),MAX('Calculations'!$JE$12:JE237)+1,0)</x:f>
        <x:v>0</x:v>
      </x:c>
      <x:c r="JF238" t="str">
        <x:f>IF('Calculations'!EM238="","",IFERROR(IF(INDEX(INDIRECT("'WCM Calibration Final'!$G$1:$G$2000"),'Calculations'!$EM238)="","",TRIM(INDEX(INDIRECT("'WCM Calibration Final'!$G$1:$G$2000"),'Calculations'!$EM238)&amp;"")),""))</x:f>
      </x:c>
      <x:c r="JQ238" t="n">
        <x:f>IF(OR('Calculations'!BM238=0,NOT('Calculations'!$AG$2),'Calculations'!$AG$8&gt;0),0,IF(OR('Dashboard'!$B$7="All",'Calculations'!HN238='Dashboard'!$B$7),IF('Calculations'!$JJ$2="All",1,IF(AND('Calculations'!HF238='Calculations'!$JJ$2,'Calculations'!HL238=0),1,0)),0))</x:f>
        <x:v>0</x:v>
      </x:c>
    </x:row>
    <x:row r="239">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t="n">
        <x:f>IF('Calculations'!$EM239="",0,IF(OR(IFERROR(INDEX(INDIRECT("'WCM Calibration Final'!$A$1:$A$2000"),'Calculations'!$EM239)&lt;&gt;"",FALSE),IFERROR(INDEX(INDIRECT("'WCM Calibration Final'!$B$1:$B$2000"),'Calculations'!$EM239)&lt;&gt;"",FALSE),IFERROR(INDEX(INDIRECT("'WCM Calibration Final'!$C$1:$C$2000"),'Calculations'!$EM239)&lt;&gt;"",FALSE)),1,0))</x:f>
        <x:v>0</x:v>
      </x:c>
      <x:c r="BN239" s="4" t="n">
        <x:f>IF(AND('Calculations'!BM239=1,'Calculations'!$AG$2,'Calculations'!$EN239=1),1,0)</x:f>
        <x:v>0</x:v>
      </x:c>
      <x:c r="BO239" s="4" t="str">
        <x:f>IF('Calculations'!BM239=0,"",IFERROR(IF(AND(VALUE(INDEX(INDIRECT("'WCM Calibration Final'!$K$1:$K$2000"),'Calculations'!$EM239))&gt;=1,VALUE(INDEX(INDIRECT("'WCM Calibration Final'!$K$1:$K$2000"),'Calculations'!$EM239))&lt;=4,MOD(VALUE(INDEX(INDIRECT("'WCM Calibration Final'!$K$1:$K$2000"),'Calculations'!$EM239)),1)=0),VALUE(INDEX(INDIRECT("'WCM Calibration Final'!$K$1:$K$2000"),'Calculations'!$EM239)),""),""))</x:f>
      </x:c>
      <x:c r="BP239" s="4" t="str">
        <x:f>IF('Calculations'!BM239=0,"",IFERROR(IF(AND(VALUE(INDEX(INDIRECT("'WCM Calibration Final'!$L$1:$L$2000"),'Calculations'!$EM239))&gt;=1,VALUE(INDEX(INDIRECT("'WCM Calibration Final'!$L$1:$L$2000"),'Calculations'!$EM239))&lt;=4,MOD(VALUE(INDEX(INDIRECT("'WCM Calibration Final'!$L$1:$L$2000"),'Calculations'!$EM239)),1)=0),VALUE(INDEX(INDIRECT("'WCM Calibration Final'!$L$1:$L$2000"),'Calculations'!$EM239)),""),""))</x:f>
      </x:c>
      <x:c r="BQ239" s="4"/>
      <x:c r="BR239" s="4"/>
      <x:c r="BS239" s="4"/>
      <x:c r="BT239" s="4" t="n">
        <x:f>IF(AND('Calculations'!BM239=1,ISNUMBER('Calculations'!BO239),ISNUMBER('Calculations'!BP239)),1,0)</x:f>
        <x:v>0</x:v>
      </x:c>
      <x:c r="BU239" s="4" t="str">
        <x:f>IF('Calculations'!BM239=0,"",'Calculations'!$EO239)</x:f>
      </x:c>
      <x:c r="BV239" s="4" t="str">
        <x:f>IF('Calculations'!BM239=0,"",IFERROR(IF(OR(INDEX(INDIRECT("'WCM Calibration Final'!$H$1:$H$2000"),'Calculations'!$EM239)="MANAGING DIRECTOR",INDEX(INDIRECT("'WCM Calibration Final'!$H$1:$H$2000"),'Calculations'!$EM239)="DIRECTOR",INDEX(INDIRECT("'WCM Calibration Final'!$H$1:$H$2000"),'Calculations'!$EM239)="SENIOR VICE PRESIDENT",INDEX(INDIRECT("'WCM Calibration Final'!$H$1:$H$2000"),'Calculations'!$EM239)="VICE PRESIDENT",INDEX(INDIRECT("'WCM Calibration Final'!$H$1:$H$2000"),'Calculations'!$EM239)="ASSISTANT VICE PRESIDENT",INDEX(INDIRECT("'WCM Calibration Final'!$H$1:$H$2000"),'Calculations'!$EM239)="OFFICER"),UPPER(INDEX(INDIRECT("'WCM Calibration Final'!$H$1:$H$2000"),'Calculations'!$EM239)),"Other"),"Other"))</x:f>
      </x:c>
      <x:c r="BW239" s="4"/>
      <x:c r="BX239" s="4"/>
      <x:c r="BY239" s="4" t="n">
        <x:f>IF(AND('Calculations'!BM239=1,'Calculations'!BU239&lt;&gt;"",COUNTIF('Calculations'!$BU$12:BU239,'Calculations'!BU239)=1),MAX('Calculations'!$BY$11:BY238)+1,0)</x:f>
        <x:v>0</x:v>
      </x:c>
      <x:c r="BZ239" s="4" t="str">
        <x:f>IF('Dashboard'!$E$67="What",'Calculations'!BO239,'Calculations'!BP239)</x:f>
      </x:c>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t="str">
        <x:f>IF(228&gt;MAX('Calculations'!$HI$13:$HI$512),"",INDEX('Calculations'!$HN$13:$HN$512,MATCH(228,'Calculations'!$HI$13:$HI$512,0)))</x:f>
      </x:c>
      <x:c r="DB239" s="4" t="str">
        <x:f>IF(228&gt;MAX('Calculations'!$HH$13:$HH$512),"",INDEX('Calculations'!$HJ$13:$HJ$512,MATCH(228,'Calculations'!$HH$13:$HH$512,0)))</x:f>
      </x:c>
      <x:c r="DC239" s="4" t="str">
        <x:f>IF(ROW()-11&gt;MAX('Calculations'!$BY$13:$BY$512),"",INDEX('Calculations'!$BU$13:$BU$512,MATCH(ROW()-11,'Calculations'!$BY$13:$BY$512,0)))</x:f>
      </x:c>
      <x:c r="DD239" s="4" t="str">
        <x:f>IF(228&gt;MAX('Calculations'!$IK$13:$IK$512),"",INDEX('Calculations'!$HK$13:$HK$512,MATCH(228,'Calculations'!$IK$13:$IK$512,0)))</x:f>
      </x:c>
      <x:c r="DE239" s="4" t="str">
        <x:f>'Calculations'!DC239</x:f>
      </x:c>
      <x:c r="DF239" s="4" t="str">
        <x:f>IF('Calculations'!DE239="","",COUNTIFS('Calculations'!$BN$13:$BN$512,1,'Calculations'!$BU$13:$BU$512,'Calculations'!DE239))</x:f>
      </x:c>
      <x:c r="DG239" s="4" t="str">
        <x:f>IF('Calculations'!DE239="","",COUNTIFS('Calculations'!$BN$13:$BN$512,1,'Calculations'!$BU$13:$BU$512,'Calculations'!DE239,'Calculations'!$BT$13:$BT$512,1))</x:f>
      </x:c>
      <x:c r="DH239" s="4" t="str">
        <x:f>IF('Calculations'!DE239="","",'Calculations'!DF239-'Calculations'!DG239)</x:f>
      </x:c>
      <x:c r="DI239" s="4" t="str">
        <x:f>IF(OR('Calculations'!DE239="",'Calculations'!DF239=0),"",'Calculations'!DG239/'Calculations'!DF239)</x:f>
      </x:c>
      <x:c r="DJ239" s="4" t="str">
        <x:f>IF('Calculations'!DE239="","",COUNTIFS('Calculations'!$BN$13:$BN$512,1,'Calculations'!$BU$13:$BU$512,'Calculations'!DE239,'Calculations'!$BT$13:$BT$512,1,'Calculations'!$EE$13:$EE$512,"High"))</x:f>
      </x:c>
      <x:c r="DK239" s="4" t="str">
        <x:f>IF('Calculations'!DE239="","",COUNTIFS('Calculations'!$BN$13:$BN$512,1,'Calculations'!$BU$13:$BU$512,'Calculations'!DE239,'Calculations'!$BT$13:$BT$512,1,'Calculations'!$EE$13:$EE$512,"Strong"))</x:f>
      </x:c>
      <x:c r="DL239" s="4" t="str">
        <x:f>IF('Calculations'!DE239="","",COUNTIFS('Calculations'!$BN$13:$BN$512,1,'Calculations'!$BU$13:$BU$512,'Calculations'!DE239,'Calculations'!$BT$13:$BT$512,1,'Calculations'!$EE$13:$EE$512,"Solid"))</x:f>
      </x:c>
      <x:c r="DM239" s="4" t="str">
        <x:f>IF('Calculations'!DE239="","",COUNTIFS('Calculations'!$BN$13:$BN$512,1,'Calculations'!$BU$13:$BU$512,'Calculations'!DE239,'Calculations'!$BT$13:$BT$512,1,'Calculations'!$EE$13:$EE$512,"Low"))</x:f>
      </x:c>
      <x:c r="DN239" s="4" t="str">
        <x:f>IF('Calculations'!DE239="","",COUNTIFS('Calculations'!$BN$13:$BN$512,1,'Calculations'!$BU$13:$BU$512,'Calculations'!DE239,'Calculations'!$EP$13:$EP$512,1))</x:f>
      </x:c>
      <x:c r="DO239" s="4" t="str">
        <x:f>IF(OR('Calculations'!DE239="",'Calculations'!DG239=0),"",('Calculations'!DJ239+'Calculations'!DK239)/'Calculations'!DG239)</x:f>
      </x:c>
      <x:c r="DP239" s="4" t="n">
        <x:f>IF(AND('Calculations'!DE239&lt;&gt;"",'Calculations'!DF239&gt;0),COUNTIF('Calculations'!$DF$12:DF239,"&gt;0"),0)</x:f>
        <x:v>0</x:v>
      </x:c>
      <x:c r="DQ239" s="4" t="str">
        <x:f>IF(228&gt;MAX('Calculations'!$HH$13:$HH$512),"",INDEX('Calculations'!$HF$13:$HF$512,MATCH(228,'Calculations'!$HH$13:$HH$512,0)))</x:f>
      </x:c>
      <x:c r="DR239" s="4" t="str">
        <x:f>IF(228&gt;MAX('Calculations'!$IK$13:$IK$512),"",INDEX('Calculations'!$HE$13:$HE$512,MATCH(228,'Calculations'!$IK$13:$IK$512,0)))</x:f>
      </x:c>
      <x:c r="DS239" s="4"/>
      <x:c r="DT239" s="4"/>
      <x:c r="DU239" s="4"/>
      <x:c r="DV239" s="4"/>
      <x:c r="DW239" s="4"/>
      <x:c r="DX239" s="4"/>
      <x:c r="DY239" s="4"/>
      <x:c r="DZ239" s="4"/>
      <x:c r="EA239" s="4"/>
      <x:c r="EB239" s="4"/>
      <x:c r="EC239" s="4"/>
      <x:c r="ED239" s="4"/>
      <x:c r="EE239" s="4" t="str">
        <x:f>IF('Calculations'!BT239=0,"Not Rated",IF(OR('Calculations'!BO239&gt;=4,'Calculations'!BP239&gt;=4),"Low",IF('Calculations'!BO239+'Calculations'!BP239&lt;=3,"High",IF('Calculations'!BO239+'Calculations'!BP239&lt;=4,"Strong","Solid"))))</x:f>
        <x:v>Not Rated</x:v>
      </x:c>
      <x:c r="EF239" s="4"/>
      <x:c r="EG239" s="4"/>
      <x:c r="EH239" s="4"/>
      <x:c r="EI239" s="4"/>
      <x:c r="EJ239" s="4"/>
      <x:c r="EK239" s="4"/>
      <x:c r="EL239" s="4"/>
      <x:c r="EM239" s="4" t="str">
        <x:f>IF(227&gt;'Calculations'!$JB$2000,"",INDEX('Calculations'!$JA$12:$JA$2000,MATCH(227,'Calculations'!$JB$12:$JB$2000,0)))</x:f>
      </x:c>
      <x:c r="EN239" s="4" t="n">
        <x:f>IF(OR('Calculations'!EM239="",'Calculations'!$AG$8&gt;0,AND('Calculations'!$EF$2&lt;&gt;"All",'Calculations'!HE239='Calculations'!$EF$2),AND('Calculations'!$EF$3&lt;&gt;"All",'Calculations'!HE239='Calculations'!$EF$3)),0,IF(OR('Dashboard'!$B$7="All",'Calculations'!HN239='Dashboard'!$B$7),IF('Calculations'!$EF$2="All",1,IF('Calculations'!HL239&gt;0,0,IF(COUNTIF('Calculations'!HO239:II239,"="&amp;SUBSTITUTE(SUBSTITUTE(SUBSTITUTE('Calculations'!$EF$2,"~","~~"),"*","~*"),"?","~?"))=0,0,IF('Calculations'!$EF$3="All",1,IF(COUNTIF('Calculations'!HO239:II239,"="&amp;SUBSTITUTE(SUBSTITUTE(SUBSTITUTE('Calculations'!$EF$3,"~","~~"),"*","~*"),"?","~?"))&gt;0,1,0))))),0))</x:f>
        <x:v>0</x:v>
      </x:c>
      <x:c r="EO239" s="4" t="str">
        <x:f>IF('Calculations'!IJ239="","",IF('Calculations'!IJ239="!UNRESOLVED","Unresolved hierarchy",IFERROR(INDEX('Calculations'!$HK$13:$HK$512,MATCH('Calculations'!IJ239,'Calculations'!$HE$13:$HE$512,0)),IFERROR(INDEX('Calculations'!$HJ$13:$HJ$512,MATCH('Calculations'!IJ239,'Calculations'!$HF$13:$HF$512,0)),'Calculations'!IJ239))))</x:f>
      </x:c>
      <x:c r="EP239" s="4" t="n">
        <x:f>IF(AND('Calculations'!EM239&lt;&gt;"",'Calculations'!HF239='Calculations'!IJ239),1,0)</x:f>
        <x:v>0</x:v>
      </x:c>
      <x:c r="EQ239" s="4"/>
      <x:c r="ER239" s="4"/>
      <x:c r="ES239" s="4"/>
      <x:c r="ET239" s="4"/>
      <x:c r="EU239" s="4"/>
      <x:c r="EV239" s="4"/>
      <x:c r="EW239" s="4"/>
      <x:c r="EX239" s="4"/>
      <x:c r="EY239" s="4"/>
      <x:c r="EZ239" s="4"/>
      <x:c r="FA239" s="4"/>
      <x:c r="FB239" s="4"/>
      <x:c r="FC239" s="4"/>
      <x:c r="FD239" s="4"/>
      <x:c r="FE239" s="4"/>
      <x:c r="FF239" s="4"/>
      <x:c r="FG239" s="4"/>
      <x:c r="FH239" s="4"/>
      <x:c r="FI239" s="4"/>
      <x:c r="FJ239" s="4"/>
      <x:c r="FK239" s="4"/>
      <x:c r="FL239" s="4"/>
      <x:c r="FM239" s="4"/>
      <x:c r="FN239" s="4"/>
      <x:c r="FO239" s="4"/>
      <x:c r="HE239" t="str">
        <x:f>IF('Calculations'!EM239="","",IF(IFERROR(IF(INDEX(INDIRECT("'WCM Calibration Final'!$A$1:$A$2000"),'Calculations'!$EM239)="","",TRIM(INDEX(INDIRECT("'WCM Calibration Final'!$A$1:$A$2000"),'Calculations'!$EM239)&amp;"")),"")&lt;&gt;"","G:"&amp;IFERROR(TEXT(1*INDEX(INDIRECT("'WCM Calibration Final'!$A$1:$A$2000"),'Calculations'!$EM239),"0"),UPPER(IFERROR(IF(INDEX(INDIRECT("'WCM Calibration Final'!$A$1:$A$2000"),'Calculations'!$EM239)="","",TRIM(INDEX(INDIRECT("'WCM Calibration Final'!$A$1:$A$2000"),'Calculations'!$EM239)&amp;"")),""))),IF(IFERROR(IF(INDEX(INDIRECT("'WCM Calibration Final'!$C$1:$C$2000"),'Calculations'!$EM239)="","",TRIM(INDEX(INDIRECT("'WCM Calibration Final'!$C$1:$C$2000"),'Calculations'!$EM239)&amp;"")),"")&lt;&gt;"","S:"&amp;UPPER(IFERROR(IF(INDEX(INDIRECT("'WCM Calibration Final'!$C$1:$C$2000"),'Calculations'!$EM239)="","",TRIM(INDEX(INDIRECT("'WCM Calibration Final'!$C$1:$C$2000"),'Calculations'!$EM239)&amp;"")),"")),"R:"&amp;'Calculations'!EM239)))</x:f>
      </x:c>
      <x:c r="HF239" t="str">
        <x:f>IF('Calculations'!EM239="","",IF(IFERROR(IF(INDEX(INDIRECT("'WCM Calibration Final'!$D$1:$D$2000"),'Calculations'!$EM239)="","",TRIM(INDEX(INDIRECT("'WCM Calibration Final'!$D$1:$D$2000"),'Calculations'!$EM239)&amp;"")),"")&lt;&gt;"","G:"&amp;IFERROR(TEXT(1*INDEX(INDIRECT("'WCM Calibration Final'!$D$1:$D$2000"),'Calculations'!$EM239),"0"),UPPER(IFERROR(IF(INDEX(INDIRECT("'WCM Calibration Final'!$D$1:$D$2000"),'Calculations'!$EM239)="","",TRIM(INDEX(INDIRECT("'WCM Calibration Final'!$D$1:$D$2000"),'Calculations'!$EM239)&amp;"")),""))),IF(IFERROR(IF(INDEX(INDIRECT("'WCM Calibration Final'!$E$1:$E$2000"),'Calculations'!$EM239)="","",TRIM(INDEX(INDIRECT("'WCM Calibration Final'!$E$1:$E$2000"),'Calculations'!$EM239)&amp;"")),"")="","",IF(COUNTIF('Calculations'!$HG$13:$HG$512,"="&amp;SUBSTITUTE(SUBSTITUTE(SUBSTITUTE(IFERROR(IF(INDEX(INDIRECT("'WCM Calibration Final'!$E$1:$E$2000"),'Calculations'!$EM239)="","",TRIM(INDEX(INDIRECT("'WCM Calibration Final'!$E$1:$E$2000"),'Calculations'!$EM239)&amp;"")),""),"~","~~"),"*","~*"),"?","~?"))=1,INDEX('Calculations'!$HE$13:$HE$512,MATCH(IFERROR(IF(INDEX(INDIRECT("'WCM Calibration Final'!$E$1:$E$2000"),'Calculations'!$EM239)="","",TRIM(INDEX(INDIRECT("'WCM Calibration Final'!$E$1:$E$2000"),'Calculations'!$EM239)&amp;"")),""),'Calculations'!$HG$13:$HG$512,0)),IF(COUNTIF('Calculations'!$HG$13:$HG$512,"="&amp;SUBSTITUTE(SUBSTITUTE(SUBSTITUTE(IFERROR(IF(INDEX(INDIRECT("'WCM Calibration Final'!$E$1:$E$2000"),'Calculations'!$EM239)="","",TRIM(INDEX(INDIRECT("'WCM Calibration Final'!$E$1:$E$2000"),'Calculations'!$EM239)&amp;"")),""),"~","~~"),"*","~*"),"?","~?"))&gt;1,"!AMBIG","X:"&amp;IFERROR(IF(INDEX(INDIRECT("'WCM Calibration Final'!$E$1:$E$2000"),'Calculations'!$EM239)="","",TRIM(INDEX(INDIRECT("'WCM Calibration Final'!$E$1:$E$2000"),'Calculations'!$EM239)&amp;"")),""))))))</x:f>
      </x:c>
      <x:c r="HG239" t="str">
        <x:f>IF('Calculations'!EM239="","",IFERROR(IF(INDEX(INDIRECT("'WCM Calibration Final'!$B$1:$B$2000"),'Calculations'!$EM239)="","",TRIM(INDEX(INDIRECT("'WCM Calibration Final'!$B$1:$B$2000"),'Calculations'!$EM239)&amp;"")),""))</x:f>
      </x:c>
      <x:c r="HH239" t="n">
        <x:f>IF(AND('Calculations'!JC239&gt;0,COUNTIF('Calculations'!$HF$12:HF239,"="&amp;SUBSTITUTE(SUBSTITUTE(SUBSTITUTE('Calculations'!HF239,"~","~~"),"*","~*"),"?","~?"))=1),MAX('Calculations'!$HH$12:HH238)+1,0)</x:f>
        <x:v>0</x:v>
      </x:c>
      <x:c r="HI239" t="n">
        <x:f>IF(AND('Calculations'!HN239&lt;&gt;"",COUNTIF('Calculations'!$HN$12:HN239,"="&amp;SUBSTITUTE(SUBSTITUTE(SUBSTITUTE('Calculations'!HN239,"~","~~"),"*","~*"),"?","~?"))=1),MAX('Calculations'!$HI$12:HI238)+1,0)</x:f>
        <x:v>0</x:v>
      </x:c>
      <x:c r="HJ239" t="str">
        <x:f>IF('Calculations'!HF239="","",IF(COUNTIF('Calculations'!$HE$13:$HE$512,"="&amp;SUBSTITUTE(SUBSTITUTE(SUBSTITUTE('Calculations'!HF239,"~","~~"),"*","~*"),"?","~?"))=1,INDEX('Calculations'!$HK$13:$HK$512,MATCH('Calculations'!HF239,'Calculations'!$HE$13:$HE$512,0)),IFERROR(IF(INDEX(INDIRECT("'WCM Calibration Final'!$E$1:$E$2000"),'Calculations'!$EM239)="","",TRIM(INDEX(INDIRECT("'WCM Calibration Final'!$E$1:$E$2000"),'Calculations'!$EM239)&amp;"")),"")&amp;" ["&amp;'Calculations'!HF239&amp;"]"))</x:f>
      </x:c>
      <x:c r="HK239" t="str">
        <x:f>IF('Calculations'!EM239="","",'Calculations'!HG239&amp;" ["&amp;'Calculations'!HE239&amp;"]")</x:f>
      </x:c>
      <x:c r="HL239" t="n">
        <x:f>IF('Calculations'!EM239="",0,IF(OR('Calculations'!II239&lt;&gt;"",COUNTIF('Calculations'!$HE$13:$HE$512,"="&amp;SUBSTITUTE(SUBSTITUTE(SUBSTITUTE('Calculations'!HE239,"~","~~"),"*","~*"),"?","~?"))&gt;1),1,0))</x:f>
        <x:v>0</x:v>
      </x:c>
      <x:c r="HM239" t="str">
        <x:f>IF('Calculations'!EM239="","",IF('Calculations'!HL239=1,"!UNRESOLVED",IF('Calculations'!IH239&lt;&gt;"",'Calculations'!IH239,IF('Calculations'!IG239&lt;&gt;"",'Calculations'!IG239,IF('Calculations'!IF239&lt;&gt;"",'Calculations'!IF239,IF('Calculations'!IE239&lt;&gt;"",'Calculations'!IE239,IF('Calculations'!ID239&lt;&gt;"",'Calculations'!ID239,IF('Calculations'!IC239&lt;&gt;"",'Calculations'!IC239,IF('Calculations'!IB239&lt;&gt;"",'Calculations'!IB239,IF('Calculations'!IA239&lt;&gt;"",'Calculations'!IA239,IF('Calculations'!HZ239&lt;&gt;"",'Calculations'!HZ239,IF('Calculations'!HY239&lt;&gt;"",'Calculations'!HY239,IF('Calculations'!HX239&lt;&gt;"",'Calculations'!HX239,IF('Calculations'!HW239&lt;&gt;"",'Calculations'!HW239,IF('Calculations'!HV239&lt;&gt;"",'Calculations'!HV239,IF('Calculations'!HU239&lt;&gt;"",'Calculations'!HU239,IF('Calculations'!HT239&lt;&gt;"",'Calculations'!HT239,IF('Calculations'!HS239&lt;&gt;"",'Calculations'!HS239,IF('Calculations'!HR239&lt;&gt;"",'Calculations'!HR239,IF('Calculations'!HQ239&lt;&gt;"",'Calculations'!HQ239,IF('Calculations'!HP239&lt;&gt;"",'Calculations'!HP239,IF('Calculations'!HO239&lt;&gt;"",'Calculations'!HO239,'Calculations'!HE239))))))))))))))))))))))</x:f>
      </x:c>
      <x:c r="HN239" t="str">
        <x:f>IF('Calculations'!EM239="","",IF(IFERROR(IF(INDEX(INDIRECT("'WCM Calibration Final'!$F$1:$F$2000"),'Calculations'!$EM239)="","",TRIM(INDEX(INDIRECT("'WCM Calibration Final'!$F$1:$F$2000"),'Calculations'!$EM239)&amp;"")),"")="","(Blank)",IFERROR(IF(INDEX(INDIRECT("'WCM Calibration Final'!$F$1:$F$2000"),'Calculations'!$EM239)="","",TRIM(INDEX(INDIRECT("'WCM Calibration Final'!$F$1:$F$2000"),'Calculations'!$EM239)&amp;"")),"")))</x:f>
      </x:c>
      <x:c r="HO239" t="str">
        <x:f>'Calculations'!HF239</x:f>
      </x:c>
      <x:c r="HP239" t="str">
        <x:f>IF('Calculations'!HO239="","",IF('Calculations'!HO239="!AMBIG","!AMBIG",IF(COUNTIF('Calculations'!$HE$13:$HE$512,"="&amp;SUBSTITUTE(SUBSTITUTE(SUBSTITUTE('Calculations'!HO239,"~","~~"),"*","~*"),"?","~?"))&gt;1,"!AMBIG",IFERROR(INDEX('Calculations'!$HF$13:$HF$512,MATCH('Calculations'!HO239,'Calculations'!$HE$13:$HE$512,0)),""))))</x:f>
      </x:c>
      <x:c r="HQ239" t="str">
        <x:f>IF('Calculations'!HP239="","",IF('Calculations'!HP239="!AMBIG","!AMBIG",IF(COUNTIF('Calculations'!$HE$13:$HE$512,"="&amp;SUBSTITUTE(SUBSTITUTE(SUBSTITUTE('Calculations'!HP239,"~","~~"),"*","~*"),"?","~?"))&gt;1,"!AMBIG",IFERROR(INDEX('Calculations'!$HF$13:$HF$512,MATCH('Calculations'!HP239,'Calculations'!$HE$13:$HE$512,0)),""))))</x:f>
      </x:c>
      <x:c r="HR239" t="str">
        <x:f>IF('Calculations'!HQ239="","",IF('Calculations'!HQ239="!AMBIG","!AMBIG",IF(COUNTIF('Calculations'!$HE$13:$HE$512,"="&amp;SUBSTITUTE(SUBSTITUTE(SUBSTITUTE('Calculations'!HQ239,"~","~~"),"*","~*"),"?","~?"))&gt;1,"!AMBIG",IFERROR(INDEX('Calculations'!$HF$13:$HF$512,MATCH('Calculations'!HQ239,'Calculations'!$HE$13:$HE$512,0)),""))))</x:f>
      </x:c>
      <x:c r="HS239" t="str">
        <x:f>IF('Calculations'!HR239="","",IF('Calculations'!HR239="!AMBIG","!AMBIG",IF(COUNTIF('Calculations'!$HE$13:$HE$512,"="&amp;SUBSTITUTE(SUBSTITUTE(SUBSTITUTE('Calculations'!HR239,"~","~~"),"*","~*"),"?","~?"))&gt;1,"!AMBIG",IFERROR(INDEX('Calculations'!$HF$13:$HF$512,MATCH('Calculations'!HR239,'Calculations'!$HE$13:$HE$512,0)),""))))</x:f>
      </x:c>
      <x:c r="HT239" t="str">
        <x:f>IF('Calculations'!HS239="","",IF('Calculations'!HS239="!AMBIG","!AMBIG",IF(COUNTIF('Calculations'!$HE$13:$HE$512,"="&amp;SUBSTITUTE(SUBSTITUTE(SUBSTITUTE('Calculations'!HS239,"~","~~"),"*","~*"),"?","~?"))&gt;1,"!AMBIG",IFERROR(INDEX('Calculations'!$HF$13:$HF$512,MATCH('Calculations'!HS239,'Calculations'!$HE$13:$HE$512,0)),""))))</x:f>
      </x:c>
      <x:c r="HU239" t="str">
        <x:f>IF('Calculations'!HT239="","",IF('Calculations'!HT239="!AMBIG","!AMBIG",IF(COUNTIF('Calculations'!$HE$13:$HE$512,"="&amp;SUBSTITUTE(SUBSTITUTE(SUBSTITUTE('Calculations'!HT239,"~","~~"),"*","~*"),"?","~?"))&gt;1,"!AMBIG",IFERROR(INDEX('Calculations'!$HF$13:$HF$512,MATCH('Calculations'!HT239,'Calculations'!$HE$13:$HE$512,0)),""))))</x:f>
      </x:c>
      <x:c r="HV239" t="str">
        <x:f>IF('Calculations'!HU239="","",IF('Calculations'!HU239="!AMBIG","!AMBIG",IF(COUNTIF('Calculations'!$HE$13:$HE$512,"="&amp;SUBSTITUTE(SUBSTITUTE(SUBSTITUTE('Calculations'!HU239,"~","~~"),"*","~*"),"?","~?"))&gt;1,"!AMBIG",IFERROR(INDEX('Calculations'!$HF$13:$HF$512,MATCH('Calculations'!HU239,'Calculations'!$HE$13:$HE$512,0)),""))))</x:f>
      </x:c>
      <x:c r="HW239" t="str">
        <x:f>IF('Calculations'!HV239="","",IF('Calculations'!HV239="!AMBIG","!AMBIG",IF(COUNTIF('Calculations'!$HE$13:$HE$512,"="&amp;SUBSTITUTE(SUBSTITUTE(SUBSTITUTE('Calculations'!HV239,"~","~~"),"*","~*"),"?","~?"))&gt;1,"!AMBIG",IFERROR(INDEX('Calculations'!$HF$13:$HF$512,MATCH('Calculations'!HV239,'Calculations'!$HE$13:$HE$512,0)),""))))</x:f>
      </x:c>
      <x:c r="HX239" t="str">
        <x:f>IF('Calculations'!HW239="","",IF('Calculations'!HW239="!AMBIG","!AMBIG",IF(COUNTIF('Calculations'!$HE$13:$HE$512,"="&amp;SUBSTITUTE(SUBSTITUTE(SUBSTITUTE('Calculations'!HW239,"~","~~"),"*","~*"),"?","~?"))&gt;1,"!AMBIG",IFERROR(INDEX('Calculations'!$HF$13:$HF$512,MATCH('Calculations'!HW239,'Calculations'!$HE$13:$HE$512,0)),""))))</x:f>
      </x:c>
      <x:c r="HY239" t="str">
        <x:f>IF('Calculations'!HX239="","",IF('Calculations'!HX239="!AMBIG","!AMBIG",IF(COUNTIF('Calculations'!$HE$13:$HE$512,"="&amp;SUBSTITUTE(SUBSTITUTE(SUBSTITUTE('Calculations'!HX239,"~","~~"),"*","~*"),"?","~?"))&gt;1,"!AMBIG",IFERROR(INDEX('Calculations'!$HF$13:$HF$512,MATCH('Calculations'!HX239,'Calculations'!$HE$13:$HE$512,0)),""))))</x:f>
      </x:c>
      <x:c r="HZ239" t="str">
        <x:f>IF('Calculations'!HY239="","",IF('Calculations'!HY239="!AMBIG","!AMBIG",IF(COUNTIF('Calculations'!$HE$13:$HE$512,"="&amp;SUBSTITUTE(SUBSTITUTE(SUBSTITUTE('Calculations'!HY239,"~","~~"),"*","~*"),"?","~?"))&gt;1,"!AMBIG",IFERROR(INDEX('Calculations'!$HF$13:$HF$512,MATCH('Calculations'!HY239,'Calculations'!$HE$13:$HE$512,0)),""))))</x:f>
      </x:c>
      <x:c r="IA239" t="str">
        <x:f>IF('Calculations'!HZ239="","",IF('Calculations'!HZ239="!AMBIG","!AMBIG",IF(COUNTIF('Calculations'!$HE$13:$HE$512,"="&amp;SUBSTITUTE(SUBSTITUTE(SUBSTITUTE('Calculations'!HZ239,"~","~~"),"*","~*"),"?","~?"))&gt;1,"!AMBIG",IFERROR(INDEX('Calculations'!$HF$13:$HF$512,MATCH('Calculations'!HZ239,'Calculations'!$HE$13:$HE$512,0)),""))))</x:f>
      </x:c>
      <x:c r="IB239" t="str">
        <x:f>IF('Calculations'!IA239="","",IF('Calculations'!IA239="!AMBIG","!AMBIG",IF(COUNTIF('Calculations'!$HE$13:$HE$512,"="&amp;SUBSTITUTE(SUBSTITUTE(SUBSTITUTE('Calculations'!IA239,"~","~~"),"*","~*"),"?","~?"))&gt;1,"!AMBIG",IFERROR(INDEX('Calculations'!$HF$13:$HF$512,MATCH('Calculations'!IA239,'Calculations'!$HE$13:$HE$512,0)),""))))</x:f>
      </x:c>
      <x:c r="IC239" t="str">
        <x:f>IF('Calculations'!IB239="","",IF('Calculations'!IB239="!AMBIG","!AMBIG",IF(COUNTIF('Calculations'!$HE$13:$HE$512,"="&amp;SUBSTITUTE(SUBSTITUTE(SUBSTITUTE('Calculations'!IB239,"~","~~"),"*","~*"),"?","~?"))&gt;1,"!AMBIG",IFERROR(INDEX('Calculations'!$HF$13:$HF$512,MATCH('Calculations'!IB239,'Calculations'!$HE$13:$HE$512,0)),""))))</x:f>
      </x:c>
      <x:c r="ID239" t="str">
        <x:f>IF('Calculations'!IC239="","",IF('Calculations'!IC239="!AMBIG","!AMBIG",IF(COUNTIF('Calculations'!$HE$13:$HE$512,"="&amp;SUBSTITUTE(SUBSTITUTE(SUBSTITUTE('Calculations'!IC239,"~","~~"),"*","~*"),"?","~?"))&gt;1,"!AMBIG",IFERROR(INDEX('Calculations'!$HF$13:$HF$512,MATCH('Calculations'!IC239,'Calculations'!$HE$13:$HE$512,0)),""))))</x:f>
      </x:c>
      <x:c r="IE239" t="str">
        <x:f>IF('Calculations'!ID239="","",IF('Calculations'!ID239="!AMBIG","!AMBIG",IF(COUNTIF('Calculations'!$HE$13:$HE$512,"="&amp;SUBSTITUTE(SUBSTITUTE(SUBSTITUTE('Calculations'!ID239,"~","~~"),"*","~*"),"?","~?"))&gt;1,"!AMBIG",IFERROR(INDEX('Calculations'!$HF$13:$HF$512,MATCH('Calculations'!ID239,'Calculations'!$HE$13:$HE$512,0)),""))))</x:f>
      </x:c>
      <x:c r="IF239" t="str">
        <x:f>IF('Calculations'!IE239="","",IF('Calculations'!IE239="!AMBIG","!AMBIG",IF(COUNTIF('Calculations'!$HE$13:$HE$512,"="&amp;SUBSTITUTE(SUBSTITUTE(SUBSTITUTE('Calculations'!IE239,"~","~~"),"*","~*"),"?","~?"))&gt;1,"!AMBIG",IFERROR(INDEX('Calculations'!$HF$13:$HF$512,MATCH('Calculations'!IE239,'Calculations'!$HE$13:$HE$512,0)),""))))</x:f>
      </x:c>
      <x:c r="IG239" t="str">
        <x:f>IF('Calculations'!IF239="","",IF('Calculations'!IF239="!AMBIG","!AMBIG",IF(COUNTIF('Calculations'!$HE$13:$HE$512,"="&amp;SUBSTITUTE(SUBSTITUTE(SUBSTITUTE('Calculations'!IF239,"~","~~"),"*","~*"),"?","~?"))&gt;1,"!AMBIG",IFERROR(INDEX('Calculations'!$HF$13:$HF$512,MATCH('Calculations'!IF239,'Calculations'!$HE$13:$HE$512,0)),""))))</x:f>
      </x:c>
      <x:c r="IH239" t="str">
        <x:f>IF('Calculations'!IG239="","",IF('Calculations'!IG239="!AMBIG","!AMBIG",IF(COUNTIF('Calculations'!$HE$13:$HE$512,"="&amp;SUBSTITUTE(SUBSTITUTE(SUBSTITUTE('Calculations'!IG239,"~","~~"),"*","~*"),"?","~?"))&gt;1,"!AMBIG",IFERROR(INDEX('Calculations'!$HF$13:$HF$512,MATCH('Calculations'!IG239,'Calculations'!$HE$13:$HE$512,0)),""))))</x:f>
      </x:c>
      <x:c r="II239" t="str">
        <x:f>IF('Calculations'!IH239="","",IF('Calculations'!IH239="!AMBIG","!AMBIG",IF(COUNTIF('Calculations'!$HE$13:$HE$512,"="&amp;SUBSTITUTE(SUBSTITUTE(SUBSTITUTE('Calculations'!IH239,"~","~~"),"*","~*"),"?","~?"))&gt;1,"!AMBIG",IFERROR(INDEX('Calculations'!$HF$13:$HF$512,MATCH('Calculations'!IH239,'Calculations'!$HE$13:$HE$512,0)),""))))</x:f>
      </x:c>
      <x:c r="IJ239" t="str">
        <x:f>IF('Calculations'!EM239="","",IF('Calculations'!$EF$2="All",'Calculations'!HM239,IF('Calculations'!HL239=1,"",IFERROR(IF(MATCH('Calculations'!$EF$2,'Calculations'!HO239:II239,0)=1,'Calculations'!HE239,INDEX('Calculations'!HO239:II239,1,MATCH('Calculations'!$EF$2,'Calculations'!HO239:II239,0)-1)),""))))</x:f>
      </x:c>
      <x:c r="IK239" t="n">
        <x:f>IF(AND('Calculations'!EM239&lt;&gt;"",'Calculations'!$EF$2&lt;&gt;"All",'Calculations'!HF239='Calculations'!$EF$2,'Calculations'!HL239=0,'Calculations'!JD239&gt;0),MAX('Calculations'!$IK$12:IK238)+1,0)</x:f>
        <x:v>0</x:v>
      </x:c>
      <x:c r="JA239" t="n">
        <x:f>IF(OR(IFERROR(INDIRECT("'WCM Calibration Final'!$A$239")&lt;&gt;"",FALSE),IFERROR(INDIRECT("'WCM Calibration Final'!$B$239")&lt;&gt;"",FALSE),IFERROR(INDIRECT("'WCM Calibration Final'!$C$239")&lt;&gt;"",FALSE)),239,0)</x:f>
        <x:v>0</x:v>
      </x:c>
      <x:c r="JB239" t="n">
        <x:f>'Calculations'!JB238+IF('Calculations'!JA239&gt;0,1,0)</x:f>
        <x:v>0</x:v>
      </x:c>
      <x:c r="JC239" t="n">
        <x:f>IF(OR('Calculations'!HF239="",'Calculations'!HF239="!AMBIG"),0,IF('Dashboard'!$B$7="All",1,COUNTIFS('Calculations'!$HO$13:$HO$512,"="&amp;SUBSTITUTE(SUBSTITUTE(SUBSTITUTE('Calculations'!HF239,"~","~~"),"*","~*"),"?","~?"),'Calculations'!$HN$13:$HN$512,"="&amp;SUBSTITUTE(SUBSTITUTE(SUBSTITUTE('Dashboard'!$B$7,"~","~~"),"*","~*"),"?","~?"))+COUNTIFS('Calculations'!$HP$13:$HP$512,"="&amp;SUBSTITUTE(SUBSTITUTE(SUBSTITUTE('Calculations'!HF239,"~","~~"),"*","~*"),"?","~?"),'Calculations'!$HN$13:$HN$512,"="&amp;SUBSTITUTE(SUBSTITUTE(SUBSTITUTE('Dashboard'!$B$7,"~","~~"),"*","~*"),"?","~?"))+COUNTIFS('Calculations'!$HQ$13:$HQ$512,"="&amp;SUBSTITUTE(SUBSTITUTE(SUBSTITUTE('Calculations'!HF239,"~","~~"),"*","~*"),"?","~?"),'Calculations'!$HN$13:$HN$512,"="&amp;SUBSTITUTE(SUBSTITUTE(SUBSTITUTE('Dashboard'!$B$7,"~","~~"),"*","~*"),"?","~?"))+COUNTIFS('Calculations'!$HR$13:$HR$512,"="&amp;SUBSTITUTE(SUBSTITUTE(SUBSTITUTE('Calculations'!HF239,"~","~~"),"*","~*"),"?","~?"),'Calculations'!$HN$13:$HN$512,"="&amp;SUBSTITUTE(SUBSTITUTE(SUBSTITUTE('Dashboard'!$B$7,"~","~~"),"*","~*"),"?","~?"))+COUNTIFS('Calculations'!$HS$13:$HS$512,"="&amp;SUBSTITUTE(SUBSTITUTE(SUBSTITUTE('Calculations'!HF239,"~","~~"),"*","~*"),"?","~?"),'Calculations'!$HN$13:$HN$512,"="&amp;SUBSTITUTE(SUBSTITUTE(SUBSTITUTE('Dashboard'!$B$7,"~","~~"),"*","~*"),"?","~?"))+COUNTIFS('Calculations'!$HT$13:$HT$512,"="&amp;SUBSTITUTE(SUBSTITUTE(SUBSTITUTE('Calculations'!HF239,"~","~~"),"*","~*"),"?","~?"),'Calculations'!$HN$13:$HN$512,"="&amp;SUBSTITUTE(SUBSTITUTE(SUBSTITUTE('Dashboard'!$B$7,"~","~~"),"*","~*"),"?","~?"))+COUNTIFS('Calculations'!$HU$13:$HU$512,"="&amp;SUBSTITUTE(SUBSTITUTE(SUBSTITUTE('Calculations'!HF239,"~","~~"),"*","~*"),"?","~?"),'Calculations'!$HN$13:$HN$512,"="&amp;SUBSTITUTE(SUBSTITUTE(SUBSTITUTE('Dashboard'!$B$7,"~","~~"),"*","~*"),"?","~?"))+COUNTIFS('Calculations'!$HV$13:$HV$512,"="&amp;SUBSTITUTE(SUBSTITUTE(SUBSTITUTE('Calculations'!HF239,"~","~~"),"*","~*"),"?","~?"),'Calculations'!$HN$13:$HN$512,"="&amp;SUBSTITUTE(SUBSTITUTE(SUBSTITUTE('Dashboard'!$B$7,"~","~~"),"*","~*"),"?","~?"))+COUNTIFS('Calculations'!$HW$13:$HW$512,"="&amp;SUBSTITUTE(SUBSTITUTE(SUBSTITUTE('Calculations'!HF239,"~","~~"),"*","~*"),"?","~?"),'Calculations'!$HN$13:$HN$512,"="&amp;SUBSTITUTE(SUBSTITUTE(SUBSTITUTE('Dashboard'!$B$7,"~","~~"),"*","~*"),"?","~?"))+COUNTIFS('Calculations'!$HX$13:$HX$512,"="&amp;SUBSTITUTE(SUBSTITUTE(SUBSTITUTE('Calculations'!HF239,"~","~~"),"*","~*"),"?","~?"),'Calculations'!$HN$13:$HN$512,"="&amp;SUBSTITUTE(SUBSTITUTE(SUBSTITUTE('Dashboard'!$B$7,"~","~~"),"*","~*"),"?","~?"))+COUNTIFS('Calculations'!$HY$13:$HY$512,"="&amp;SUBSTITUTE(SUBSTITUTE(SUBSTITUTE('Calculations'!HF239,"~","~~"),"*","~*"),"?","~?"),'Calculations'!$HN$13:$HN$512,"="&amp;SUBSTITUTE(SUBSTITUTE(SUBSTITUTE('Dashboard'!$B$7,"~","~~"),"*","~*"),"?","~?"))+COUNTIFS('Calculations'!$HZ$13:$HZ$512,"="&amp;SUBSTITUTE(SUBSTITUTE(SUBSTITUTE('Calculations'!HF239,"~","~~"),"*","~*"),"?","~?"),'Calculations'!$HN$13:$HN$512,"="&amp;SUBSTITUTE(SUBSTITUTE(SUBSTITUTE('Dashboard'!$B$7,"~","~~"),"*","~*"),"?","~?"))+COUNTIFS('Calculations'!$IA$13:$IA$512,"="&amp;SUBSTITUTE(SUBSTITUTE(SUBSTITUTE('Calculations'!HF239,"~","~~"),"*","~*"),"?","~?"),'Calculations'!$HN$13:$HN$512,"="&amp;SUBSTITUTE(SUBSTITUTE(SUBSTITUTE('Dashboard'!$B$7,"~","~~"),"*","~*"),"?","~?"))+COUNTIFS('Calculations'!$IB$13:$IB$512,"="&amp;SUBSTITUTE(SUBSTITUTE(SUBSTITUTE('Calculations'!HF239,"~","~~"),"*","~*"),"?","~?"),'Calculations'!$HN$13:$HN$512,"="&amp;SUBSTITUTE(SUBSTITUTE(SUBSTITUTE('Dashboard'!$B$7,"~","~~"),"*","~*"),"?","~?"))+COUNTIFS('Calculations'!$IC$13:$IC$512,"="&amp;SUBSTITUTE(SUBSTITUTE(SUBSTITUTE('Calculations'!HF239,"~","~~"),"*","~*"),"?","~?"),'Calculations'!$HN$13:$HN$512,"="&amp;SUBSTITUTE(SUBSTITUTE(SUBSTITUTE('Dashboard'!$B$7,"~","~~"),"*","~*"),"?","~?"))+COUNTIFS('Calculations'!$ID$13:$ID$512,"="&amp;SUBSTITUTE(SUBSTITUTE(SUBSTITUTE('Calculations'!HF239,"~","~~"),"*","~*"),"?","~?"),'Calculations'!$HN$13:$HN$512,"="&amp;SUBSTITUTE(SUBSTITUTE(SUBSTITUTE('Dashboard'!$B$7,"~","~~"),"*","~*"),"?","~?"))+COUNTIFS('Calculations'!$IE$13:$IE$512,"="&amp;SUBSTITUTE(SUBSTITUTE(SUBSTITUTE('Calculations'!HF239,"~","~~"),"*","~*"),"?","~?"),'Calculations'!$HN$13:$HN$512,"="&amp;SUBSTITUTE(SUBSTITUTE(SUBSTITUTE('Dashboard'!$B$7,"~","~~"),"*","~*"),"?","~?"))+COUNTIFS('Calculations'!$IF$13:$IF$512,"="&amp;SUBSTITUTE(SUBSTITUTE(SUBSTITUTE('Calculations'!HF239,"~","~~"),"*","~*"),"?","~?"),'Calculations'!$HN$13:$HN$512,"="&amp;SUBSTITUTE(SUBSTITUTE(SUBSTITUTE('Dashboard'!$B$7,"~","~~"),"*","~*"),"?","~?"))+COUNTIFS('Calculations'!$IG$13:$IG$512,"="&amp;SUBSTITUTE(SUBSTITUTE(SUBSTITUTE('Calculations'!HF239,"~","~~"),"*","~*"),"?","~?"),'Calculations'!$HN$13:$HN$512,"="&amp;SUBSTITUTE(SUBSTITUTE(SUBSTITUTE('Dashboard'!$B$7,"~","~~"),"*","~*"),"?","~?"))+COUNTIFS('Calculations'!$IH$13:$IH$512,"="&amp;SUBSTITUTE(SUBSTITUTE(SUBSTITUTE('Calculations'!HF239,"~","~~"),"*","~*"),"?","~?"),'Calculations'!$HN$13:$HN$512,"="&amp;SUBSTITUTE(SUBSTITUTE(SUBSTITUTE('Dashboard'!$B$7,"~","~~"),"*","~*"),"?","~?"))))</x:f>
        <x:v>0</x:v>
      </x:c>
      <x:c r="JD239" t="n">
        <x:f>IF('Calculations'!EM239="",0,IF('Dashboard'!$B$7="All",1,IF('Calculations'!HN239='Dashboard'!$B$7,1,0)+IFERROR(INDEX('Calculations'!$JC$13:$JC$512,MATCH('Calculations'!HE239,'Calculations'!$HF$13:$HF$512,0)),0)))</x:f>
        <x:v>0</x:v>
      </x:c>
      <x:c r="JE239" t="n">
        <x:f>IF(AND('Calculations'!EM239&lt;&gt;"",'Calculations'!$JJ$2&lt;&gt;"All",'Calculations'!$JJ$2&lt;&gt;"",'Calculations'!HF239='Calculations'!$JJ$2,'Calculations'!HL239=0,'Calculations'!JD239&gt;0),MAX('Calculations'!$JE$12:JE238)+1,0)</x:f>
        <x:v>0</x:v>
      </x:c>
      <x:c r="JF239" t="str">
        <x:f>IF('Calculations'!EM239="","",IFERROR(IF(INDEX(INDIRECT("'WCM Calibration Final'!$G$1:$G$2000"),'Calculations'!$EM239)="","",TRIM(INDEX(INDIRECT("'WCM Calibration Final'!$G$1:$G$2000"),'Calculations'!$EM239)&amp;"")),""))</x:f>
      </x:c>
      <x:c r="JQ239" t="n">
        <x:f>IF(OR('Calculations'!BM239=0,NOT('Calculations'!$AG$2),'Calculations'!$AG$8&gt;0),0,IF(OR('Dashboard'!$B$7="All",'Calculations'!HN239='Dashboard'!$B$7),IF('Calculations'!$JJ$2="All",1,IF(AND('Calculations'!HF239='Calculations'!$JJ$2,'Calculations'!HL239=0),1,0)),0))</x:f>
        <x:v>0</x:v>
      </x:c>
    </x:row>
    <x:row r="240">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t="n">
        <x:f>IF('Calculations'!$EM240="",0,IF(OR(IFERROR(INDEX(INDIRECT("'WCM Calibration Final'!$A$1:$A$2000"),'Calculations'!$EM240)&lt;&gt;"",FALSE),IFERROR(INDEX(INDIRECT("'WCM Calibration Final'!$B$1:$B$2000"),'Calculations'!$EM240)&lt;&gt;"",FALSE),IFERROR(INDEX(INDIRECT("'WCM Calibration Final'!$C$1:$C$2000"),'Calculations'!$EM240)&lt;&gt;"",FALSE)),1,0))</x:f>
        <x:v>0</x:v>
      </x:c>
      <x:c r="BN240" s="4" t="n">
        <x:f>IF(AND('Calculations'!BM240=1,'Calculations'!$AG$2,'Calculations'!$EN240=1),1,0)</x:f>
        <x:v>0</x:v>
      </x:c>
      <x:c r="BO240" s="4" t="str">
        <x:f>IF('Calculations'!BM240=0,"",IFERROR(IF(AND(VALUE(INDEX(INDIRECT("'WCM Calibration Final'!$K$1:$K$2000"),'Calculations'!$EM240))&gt;=1,VALUE(INDEX(INDIRECT("'WCM Calibration Final'!$K$1:$K$2000"),'Calculations'!$EM240))&lt;=4,MOD(VALUE(INDEX(INDIRECT("'WCM Calibration Final'!$K$1:$K$2000"),'Calculations'!$EM240)),1)=0),VALUE(INDEX(INDIRECT("'WCM Calibration Final'!$K$1:$K$2000"),'Calculations'!$EM240)),""),""))</x:f>
      </x:c>
      <x:c r="BP240" s="4" t="str">
        <x:f>IF('Calculations'!BM240=0,"",IFERROR(IF(AND(VALUE(INDEX(INDIRECT("'WCM Calibration Final'!$L$1:$L$2000"),'Calculations'!$EM240))&gt;=1,VALUE(INDEX(INDIRECT("'WCM Calibration Final'!$L$1:$L$2000"),'Calculations'!$EM240))&lt;=4,MOD(VALUE(INDEX(INDIRECT("'WCM Calibration Final'!$L$1:$L$2000"),'Calculations'!$EM240)),1)=0),VALUE(INDEX(INDIRECT("'WCM Calibration Final'!$L$1:$L$2000"),'Calculations'!$EM240)),""),""))</x:f>
      </x:c>
      <x:c r="BQ240" s="4"/>
      <x:c r="BR240" s="4"/>
      <x:c r="BS240" s="4"/>
      <x:c r="BT240" s="4" t="n">
        <x:f>IF(AND('Calculations'!BM240=1,ISNUMBER('Calculations'!BO240),ISNUMBER('Calculations'!BP240)),1,0)</x:f>
        <x:v>0</x:v>
      </x:c>
      <x:c r="BU240" s="4" t="str">
        <x:f>IF('Calculations'!BM240=0,"",'Calculations'!$EO240)</x:f>
      </x:c>
      <x:c r="BV240" s="4" t="str">
        <x:f>IF('Calculations'!BM240=0,"",IFERROR(IF(OR(INDEX(INDIRECT("'WCM Calibration Final'!$H$1:$H$2000"),'Calculations'!$EM240)="MANAGING DIRECTOR",INDEX(INDIRECT("'WCM Calibration Final'!$H$1:$H$2000"),'Calculations'!$EM240)="DIRECTOR",INDEX(INDIRECT("'WCM Calibration Final'!$H$1:$H$2000"),'Calculations'!$EM240)="SENIOR VICE PRESIDENT",INDEX(INDIRECT("'WCM Calibration Final'!$H$1:$H$2000"),'Calculations'!$EM240)="VICE PRESIDENT",INDEX(INDIRECT("'WCM Calibration Final'!$H$1:$H$2000"),'Calculations'!$EM240)="ASSISTANT VICE PRESIDENT",INDEX(INDIRECT("'WCM Calibration Final'!$H$1:$H$2000"),'Calculations'!$EM240)="OFFICER"),UPPER(INDEX(INDIRECT("'WCM Calibration Final'!$H$1:$H$2000"),'Calculations'!$EM240)),"Other"),"Other"))</x:f>
      </x:c>
      <x:c r="BW240" s="4"/>
      <x:c r="BX240" s="4"/>
      <x:c r="BY240" s="4" t="n">
        <x:f>IF(AND('Calculations'!BM240=1,'Calculations'!BU240&lt;&gt;"",COUNTIF('Calculations'!$BU$12:BU240,'Calculations'!BU240)=1),MAX('Calculations'!$BY$11:BY239)+1,0)</x:f>
        <x:v>0</x:v>
      </x:c>
      <x:c r="BZ240" s="4" t="str">
        <x:f>IF('Dashboard'!$E$67="What",'Calculations'!BO240,'Calculations'!BP240)</x:f>
      </x:c>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t="str">
        <x:f>IF(229&gt;MAX('Calculations'!$HI$13:$HI$512),"",INDEX('Calculations'!$HN$13:$HN$512,MATCH(229,'Calculations'!$HI$13:$HI$512,0)))</x:f>
      </x:c>
      <x:c r="DB240" s="4" t="str">
        <x:f>IF(229&gt;MAX('Calculations'!$HH$13:$HH$512),"",INDEX('Calculations'!$HJ$13:$HJ$512,MATCH(229,'Calculations'!$HH$13:$HH$512,0)))</x:f>
      </x:c>
      <x:c r="DC240" s="4" t="str">
        <x:f>IF(ROW()-11&gt;MAX('Calculations'!$BY$13:$BY$512),"",INDEX('Calculations'!$BU$13:$BU$512,MATCH(ROW()-11,'Calculations'!$BY$13:$BY$512,0)))</x:f>
      </x:c>
      <x:c r="DD240" s="4" t="str">
        <x:f>IF(229&gt;MAX('Calculations'!$IK$13:$IK$512),"",INDEX('Calculations'!$HK$13:$HK$512,MATCH(229,'Calculations'!$IK$13:$IK$512,0)))</x:f>
      </x:c>
      <x:c r="DE240" s="4" t="str">
        <x:f>'Calculations'!DC240</x:f>
      </x:c>
      <x:c r="DF240" s="4" t="str">
        <x:f>IF('Calculations'!DE240="","",COUNTIFS('Calculations'!$BN$13:$BN$512,1,'Calculations'!$BU$13:$BU$512,'Calculations'!DE240))</x:f>
      </x:c>
      <x:c r="DG240" s="4" t="str">
        <x:f>IF('Calculations'!DE240="","",COUNTIFS('Calculations'!$BN$13:$BN$512,1,'Calculations'!$BU$13:$BU$512,'Calculations'!DE240,'Calculations'!$BT$13:$BT$512,1))</x:f>
      </x:c>
      <x:c r="DH240" s="4" t="str">
        <x:f>IF('Calculations'!DE240="","",'Calculations'!DF240-'Calculations'!DG240)</x:f>
      </x:c>
      <x:c r="DI240" s="4" t="str">
        <x:f>IF(OR('Calculations'!DE240="",'Calculations'!DF240=0),"",'Calculations'!DG240/'Calculations'!DF240)</x:f>
      </x:c>
      <x:c r="DJ240" s="4" t="str">
        <x:f>IF('Calculations'!DE240="","",COUNTIFS('Calculations'!$BN$13:$BN$512,1,'Calculations'!$BU$13:$BU$512,'Calculations'!DE240,'Calculations'!$BT$13:$BT$512,1,'Calculations'!$EE$13:$EE$512,"High"))</x:f>
      </x:c>
      <x:c r="DK240" s="4" t="str">
        <x:f>IF('Calculations'!DE240="","",COUNTIFS('Calculations'!$BN$13:$BN$512,1,'Calculations'!$BU$13:$BU$512,'Calculations'!DE240,'Calculations'!$BT$13:$BT$512,1,'Calculations'!$EE$13:$EE$512,"Strong"))</x:f>
      </x:c>
      <x:c r="DL240" s="4" t="str">
        <x:f>IF('Calculations'!DE240="","",COUNTIFS('Calculations'!$BN$13:$BN$512,1,'Calculations'!$BU$13:$BU$512,'Calculations'!DE240,'Calculations'!$BT$13:$BT$512,1,'Calculations'!$EE$13:$EE$512,"Solid"))</x:f>
      </x:c>
      <x:c r="DM240" s="4" t="str">
        <x:f>IF('Calculations'!DE240="","",COUNTIFS('Calculations'!$BN$13:$BN$512,1,'Calculations'!$BU$13:$BU$512,'Calculations'!DE240,'Calculations'!$BT$13:$BT$512,1,'Calculations'!$EE$13:$EE$512,"Low"))</x:f>
      </x:c>
      <x:c r="DN240" s="4" t="str">
        <x:f>IF('Calculations'!DE240="","",COUNTIFS('Calculations'!$BN$13:$BN$512,1,'Calculations'!$BU$13:$BU$512,'Calculations'!DE240,'Calculations'!$EP$13:$EP$512,1))</x:f>
      </x:c>
      <x:c r="DO240" s="4" t="str">
        <x:f>IF(OR('Calculations'!DE240="",'Calculations'!DG240=0),"",('Calculations'!DJ240+'Calculations'!DK240)/'Calculations'!DG240)</x:f>
      </x:c>
      <x:c r="DP240" s="4" t="n">
        <x:f>IF(AND('Calculations'!DE240&lt;&gt;"",'Calculations'!DF240&gt;0),COUNTIF('Calculations'!$DF$12:DF240,"&gt;0"),0)</x:f>
        <x:v>0</x:v>
      </x:c>
      <x:c r="DQ240" s="4" t="str">
        <x:f>IF(229&gt;MAX('Calculations'!$HH$13:$HH$512),"",INDEX('Calculations'!$HF$13:$HF$512,MATCH(229,'Calculations'!$HH$13:$HH$512,0)))</x:f>
      </x:c>
      <x:c r="DR240" s="4" t="str">
        <x:f>IF(229&gt;MAX('Calculations'!$IK$13:$IK$512),"",INDEX('Calculations'!$HE$13:$HE$512,MATCH(229,'Calculations'!$IK$13:$IK$512,0)))</x:f>
      </x:c>
      <x:c r="DS240" s="4"/>
      <x:c r="DT240" s="4"/>
      <x:c r="DU240" s="4"/>
      <x:c r="DV240" s="4"/>
      <x:c r="DW240" s="4"/>
      <x:c r="DX240" s="4"/>
      <x:c r="DY240" s="4"/>
      <x:c r="DZ240" s="4"/>
      <x:c r="EA240" s="4"/>
      <x:c r="EB240" s="4"/>
      <x:c r="EC240" s="4"/>
      <x:c r="ED240" s="4"/>
      <x:c r="EE240" s="4" t="str">
        <x:f>IF('Calculations'!BT240=0,"Not Rated",IF(OR('Calculations'!BO240&gt;=4,'Calculations'!BP240&gt;=4),"Low",IF('Calculations'!BO240+'Calculations'!BP240&lt;=3,"High",IF('Calculations'!BO240+'Calculations'!BP240&lt;=4,"Strong","Solid"))))</x:f>
        <x:v>Not Rated</x:v>
      </x:c>
      <x:c r="EF240" s="4"/>
      <x:c r="EG240" s="4"/>
      <x:c r="EH240" s="4"/>
      <x:c r="EI240" s="4"/>
      <x:c r="EJ240" s="4"/>
      <x:c r="EK240" s="4"/>
      <x:c r="EL240" s="4"/>
      <x:c r="EM240" s="4" t="str">
        <x:f>IF(228&gt;'Calculations'!$JB$2000,"",INDEX('Calculations'!$JA$12:$JA$2000,MATCH(228,'Calculations'!$JB$12:$JB$2000,0)))</x:f>
      </x:c>
      <x:c r="EN240" s="4" t="n">
        <x:f>IF(OR('Calculations'!EM240="",'Calculations'!$AG$8&gt;0,AND('Calculations'!$EF$2&lt;&gt;"All",'Calculations'!HE240='Calculations'!$EF$2),AND('Calculations'!$EF$3&lt;&gt;"All",'Calculations'!HE240='Calculations'!$EF$3)),0,IF(OR('Dashboard'!$B$7="All",'Calculations'!HN240='Dashboard'!$B$7),IF('Calculations'!$EF$2="All",1,IF('Calculations'!HL240&gt;0,0,IF(COUNTIF('Calculations'!HO240:II240,"="&amp;SUBSTITUTE(SUBSTITUTE(SUBSTITUTE('Calculations'!$EF$2,"~","~~"),"*","~*"),"?","~?"))=0,0,IF('Calculations'!$EF$3="All",1,IF(COUNTIF('Calculations'!HO240:II240,"="&amp;SUBSTITUTE(SUBSTITUTE(SUBSTITUTE('Calculations'!$EF$3,"~","~~"),"*","~*"),"?","~?"))&gt;0,1,0))))),0))</x:f>
        <x:v>0</x:v>
      </x:c>
      <x:c r="EO240" s="4" t="str">
        <x:f>IF('Calculations'!IJ240="","",IF('Calculations'!IJ240="!UNRESOLVED","Unresolved hierarchy",IFERROR(INDEX('Calculations'!$HK$13:$HK$512,MATCH('Calculations'!IJ240,'Calculations'!$HE$13:$HE$512,0)),IFERROR(INDEX('Calculations'!$HJ$13:$HJ$512,MATCH('Calculations'!IJ240,'Calculations'!$HF$13:$HF$512,0)),'Calculations'!IJ240))))</x:f>
      </x:c>
      <x:c r="EP240" s="4" t="n">
        <x:f>IF(AND('Calculations'!EM240&lt;&gt;"",'Calculations'!HF240='Calculations'!IJ240),1,0)</x:f>
        <x:v>0</x:v>
      </x:c>
      <x:c r="EQ240" s="4"/>
      <x:c r="ER240" s="4"/>
      <x:c r="ES240" s="4"/>
      <x:c r="ET240" s="4"/>
      <x:c r="EU240" s="4"/>
      <x:c r="EV240" s="4"/>
      <x:c r="EW240" s="4"/>
      <x:c r="EX240" s="4"/>
      <x:c r="EY240" s="4"/>
      <x:c r="EZ240" s="4"/>
      <x:c r="FA240" s="4"/>
      <x:c r="FB240" s="4"/>
      <x:c r="FC240" s="4"/>
      <x:c r="FD240" s="4"/>
      <x:c r="FE240" s="4"/>
      <x:c r="FF240" s="4"/>
      <x:c r="FG240" s="4"/>
      <x:c r="FH240" s="4"/>
      <x:c r="FI240" s="4"/>
      <x:c r="FJ240" s="4"/>
      <x:c r="FK240" s="4"/>
      <x:c r="FL240" s="4"/>
      <x:c r="FM240" s="4"/>
      <x:c r="FN240" s="4"/>
      <x:c r="FO240" s="4"/>
      <x:c r="HE240" t="str">
        <x:f>IF('Calculations'!EM240="","",IF(IFERROR(IF(INDEX(INDIRECT("'WCM Calibration Final'!$A$1:$A$2000"),'Calculations'!$EM240)="","",TRIM(INDEX(INDIRECT("'WCM Calibration Final'!$A$1:$A$2000"),'Calculations'!$EM240)&amp;"")),"")&lt;&gt;"","G:"&amp;IFERROR(TEXT(1*INDEX(INDIRECT("'WCM Calibration Final'!$A$1:$A$2000"),'Calculations'!$EM240),"0"),UPPER(IFERROR(IF(INDEX(INDIRECT("'WCM Calibration Final'!$A$1:$A$2000"),'Calculations'!$EM240)="","",TRIM(INDEX(INDIRECT("'WCM Calibration Final'!$A$1:$A$2000"),'Calculations'!$EM240)&amp;"")),""))),IF(IFERROR(IF(INDEX(INDIRECT("'WCM Calibration Final'!$C$1:$C$2000"),'Calculations'!$EM240)="","",TRIM(INDEX(INDIRECT("'WCM Calibration Final'!$C$1:$C$2000"),'Calculations'!$EM240)&amp;"")),"")&lt;&gt;"","S:"&amp;UPPER(IFERROR(IF(INDEX(INDIRECT("'WCM Calibration Final'!$C$1:$C$2000"),'Calculations'!$EM240)="","",TRIM(INDEX(INDIRECT("'WCM Calibration Final'!$C$1:$C$2000"),'Calculations'!$EM240)&amp;"")),"")),"R:"&amp;'Calculations'!EM240)))</x:f>
      </x:c>
      <x:c r="HF240" t="str">
        <x:f>IF('Calculations'!EM240="","",IF(IFERROR(IF(INDEX(INDIRECT("'WCM Calibration Final'!$D$1:$D$2000"),'Calculations'!$EM240)="","",TRIM(INDEX(INDIRECT("'WCM Calibration Final'!$D$1:$D$2000"),'Calculations'!$EM240)&amp;"")),"")&lt;&gt;"","G:"&amp;IFERROR(TEXT(1*INDEX(INDIRECT("'WCM Calibration Final'!$D$1:$D$2000"),'Calculations'!$EM240),"0"),UPPER(IFERROR(IF(INDEX(INDIRECT("'WCM Calibration Final'!$D$1:$D$2000"),'Calculations'!$EM240)="","",TRIM(INDEX(INDIRECT("'WCM Calibration Final'!$D$1:$D$2000"),'Calculations'!$EM240)&amp;"")),""))),IF(IFERROR(IF(INDEX(INDIRECT("'WCM Calibration Final'!$E$1:$E$2000"),'Calculations'!$EM240)="","",TRIM(INDEX(INDIRECT("'WCM Calibration Final'!$E$1:$E$2000"),'Calculations'!$EM240)&amp;"")),"")="","",IF(COUNTIF('Calculations'!$HG$13:$HG$512,"="&amp;SUBSTITUTE(SUBSTITUTE(SUBSTITUTE(IFERROR(IF(INDEX(INDIRECT("'WCM Calibration Final'!$E$1:$E$2000"),'Calculations'!$EM240)="","",TRIM(INDEX(INDIRECT("'WCM Calibration Final'!$E$1:$E$2000"),'Calculations'!$EM240)&amp;"")),""),"~","~~"),"*","~*"),"?","~?"))=1,INDEX('Calculations'!$HE$13:$HE$512,MATCH(IFERROR(IF(INDEX(INDIRECT("'WCM Calibration Final'!$E$1:$E$2000"),'Calculations'!$EM240)="","",TRIM(INDEX(INDIRECT("'WCM Calibration Final'!$E$1:$E$2000"),'Calculations'!$EM240)&amp;"")),""),'Calculations'!$HG$13:$HG$512,0)),IF(COUNTIF('Calculations'!$HG$13:$HG$512,"="&amp;SUBSTITUTE(SUBSTITUTE(SUBSTITUTE(IFERROR(IF(INDEX(INDIRECT("'WCM Calibration Final'!$E$1:$E$2000"),'Calculations'!$EM240)="","",TRIM(INDEX(INDIRECT("'WCM Calibration Final'!$E$1:$E$2000"),'Calculations'!$EM240)&amp;"")),""),"~","~~"),"*","~*"),"?","~?"))&gt;1,"!AMBIG","X:"&amp;IFERROR(IF(INDEX(INDIRECT("'WCM Calibration Final'!$E$1:$E$2000"),'Calculations'!$EM240)="","",TRIM(INDEX(INDIRECT("'WCM Calibration Final'!$E$1:$E$2000"),'Calculations'!$EM240)&amp;"")),""))))))</x:f>
      </x:c>
      <x:c r="HG240" t="str">
        <x:f>IF('Calculations'!EM240="","",IFERROR(IF(INDEX(INDIRECT("'WCM Calibration Final'!$B$1:$B$2000"),'Calculations'!$EM240)="","",TRIM(INDEX(INDIRECT("'WCM Calibration Final'!$B$1:$B$2000"),'Calculations'!$EM240)&amp;"")),""))</x:f>
      </x:c>
      <x:c r="HH240" t="n">
        <x:f>IF(AND('Calculations'!JC240&gt;0,COUNTIF('Calculations'!$HF$12:HF240,"="&amp;SUBSTITUTE(SUBSTITUTE(SUBSTITUTE('Calculations'!HF240,"~","~~"),"*","~*"),"?","~?"))=1),MAX('Calculations'!$HH$12:HH239)+1,0)</x:f>
        <x:v>0</x:v>
      </x:c>
      <x:c r="HI240" t="n">
        <x:f>IF(AND('Calculations'!HN240&lt;&gt;"",COUNTIF('Calculations'!$HN$12:HN240,"="&amp;SUBSTITUTE(SUBSTITUTE(SUBSTITUTE('Calculations'!HN240,"~","~~"),"*","~*"),"?","~?"))=1),MAX('Calculations'!$HI$12:HI239)+1,0)</x:f>
        <x:v>0</x:v>
      </x:c>
      <x:c r="HJ240" t="str">
        <x:f>IF('Calculations'!HF240="","",IF(COUNTIF('Calculations'!$HE$13:$HE$512,"="&amp;SUBSTITUTE(SUBSTITUTE(SUBSTITUTE('Calculations'!HF240,"~","~~"),"*","~*"),"?","~?"))=1,INDEX('Calculations'!$HK$13:$HK$512,MATCH('Calculations'!HF240,'Calculations'!$HE$13:$HE$512,0)),IFERROR(IF(INDEX(INDIRECT("'WCM Calibration Final'!$E$1:$E$2000"),'Calculations'!$EM240)="","",TRIM(INDEX(INDIRECT("'WCM Calibration Final'!$E$1:$E$2000"),'Calculations'!$EM240)&amp;"")),"")&amp;" ["&amp;'Calculations'!HF240&amp;"]"))</x:f>
      </x:c>
      <x:c r="HK240" t="str">
        <x:f>IF('Calculations'!EM240="","",'Calculations'!HG240&amp;" ["&amp;'Calculations'!HE240&amp;"]")</x:f>
      </x:c>
      <x:c r="HL240" t="n">
        <x:f>IF('Calculations'!EM240="",0,IF(OR('Calculations'!II240&lt;&gt;"",COUNTIF('Calculations'!$HE$13:$HE$512,"="&amp;SUBSTITUTE(SUBSTITUTE(SUBSTITUTE('Calculations'!HE240,"~","~~"),"*","~*"),"?","~?"))&gt;1),1,0))</x:f>
        <x:v>0</x:v>
      </x:c>
      <x:c r="HM240" t="str">
        <x:f>IF('Calculations'!EM240="","",IF('Calculations'!HL240=1,"!UNRESOLVED",IF('Calculations'!IH240&lt;&gt;"",'Calculations'!IH240,IF('Calculations'!IG240&lt;&gt;"",'Calculations'!IG240,IF('Calculations'!IF240&lt;&gt;"",'Calculations'!IF240,IF('Calculations'!IE240&lt;&gt;"",'Calculations'!IE240,IF('Calculations'!ID240&lt;&gt;"",'Calculations'!ID240,IF('Calculations'!IC240&lt;&gt;"",'Calculations'!IC240,IF('Calculations'!IB240&lt;&gt;"",'Calculations'!IB240,IF('Calculations'!IA240&lt;&gt;"",'Calculations'!IA240,IF('Calculations'!HZ240&lt;&gt;"",'Calculations'!HZ240,IF('Calculations'!HY240&lt;&gt;"",'Calculations'!HY240,IF('Calculations'!HX240&lt;&gt;"",'Calculations'!HX240,IF('Calculations'!HW240&lt;&gt;"",'Calculations'!HW240,IF('Calculations'!HV240&lt;&gt;"",'Calculations'!HV240,IF('Calculations'!HU240&lt;&gt;"",'Calculations'!HU240,IF('Calculations'!HT240&lt;&gt;"",'Calculations'!HT240,IF('Calculations'!HS240&lt;&gt;"",'Calculations'!HS240,IF('Calculations'!HR240&lt;&gt;"",'Calculations'!HR240,IF('Calculations'!HQ240&lt;&gt;"",'Calculations'!HQ240,IF('Calculations'!HP240&lt;&gt;"",'Calculations'!HP240,IF('Calculations'!HO240&lt;&gt;"",'Calculations'!HO240,'Calculations'!HE240))))))))))))))))))))))</x:f>
      </x:c>
      <x:c r="HN240" t="str">
        <x:f>IF('Calculations'!EM240="","",IF(IFERROR(IF(INDEX(INDIRECT("'WCM Calibration Final'!$F$1:$F$2000"),'Calculations'!$EM240)="","",TRIM(INDEX(INDIRECT("'WCM Calibration Final'!$F$1:$F$2000"),'Calculations'!$EM240)&amp;"")),"")="","(Blank)",IFERROR(IF(INDEX(INDIRECT("'WCM Calibration Final'!$F$1:$F$2000"),'Calculations'!$EM240)="","",TRIM(INDEX(INDIRECT("'WCM Calibration Final'!$F$1:$F$2000"),'Calculations'!$EM240)&amp;"")),"")))</x:f>
      </x:c>
      <x:c r="HO240" t="str">
        <x:f>'Calculations'!HF240</x:f>
      </x:c>
      <x:c r="HP240" t="str">
        <x:f>IF('Calculations'!HO240="","",IF('Calculations'!HO240="!AMBIG","!AMBIG",IF(COUNTIF('Calculations'!$HE$13:$HE$512,"="&amp;SUBSTITUTE(SUBSTITUTE(SUBSTITUTE('Calculations'!HO240,"~","~~"),"*","~*"),"?","~?"))&gt;1,"!AMBIG",IFERROR(INDEX('Calculations'!$HF$13:$HF$512,MATCH('Calculations'!HO240,'Calculations'!$HE$13:$HE$512,0)),""))))</x:f>
      </x:c>
      <x:c r="HQ240" t="str">
        <x:f>IF('Calculations'!HP240="","",IF('Calculations'!HP240="!AMBIG","!AMBIG",IF(COUNTIF('Calculations'!$HE$13:$HE$512,"="&amp;SUBSTITUTE(SUBSTITUTE(SUBSTITUTE('Calculations'!HP240,"~","~~"),"*","~*"),"?","~?"))&gt;1,"!AMBIG",IFERROR(INDEX('Calculations'!$HF$13:$HF$512,MATCH('Calculations'!HP240,'Calculations'!$HE$13:$HE$512,0)),""))))</x:f>
      </x:c>
      <x:c r="HR240" t="str">
        <x:f>IF('Calculations'!HQ240="","",IF('Calculations'!HQ240="!AMBIG","!AMBIG",IF(COUNTIF('Calculations'!$HE$13:$HE$512,"="&amp;SUBSTITUTE(SUBSTITUTE(SUBSTITUTE('Calculations'!HQ240,"~","~~"),"*","~*"),"?","~?"))&gt;1,"!AMBIG",IFERROR(INDEX('Calculations'!$HF$13:$HF$512,MATCH('Calculations'!HQ240,'Calculations'!$HE$13:$HE$512,0)),""))))</x:f>
      </x:c>
      <x:c r="HS240" t="str">
        <x:f>IF('Calculations'!HR240="","",IF('Calculations'!HR240="!AMBIG","!AMBIG",IF(COUNTIF('Calculations'!$HE$13:$HE$512,"="&amp;SUBSTITUTE(SUBSTITUTE(SUBSTITUTE('Calculations'!HR240,"~","~~"),"*","~*"),"?","~?"))&gt;1,"!AMBIG",IFERROR(INDEX('Calculations'!$HF$13:$HF$512,MATCH('Calculations'!HR240,'Calculations'!$HE$13:$HE$512,0)),""))))</x:f>
      </x:c>
      <x:c r="HT240" t="str">
        <x:f>IF('Calculations'!HS240="","",IF('Calculations'!HS240="!AMBIG","!AMBIG",IF(COUNTIF('Calculations'!$HE$13:$HE$512,"="&amp;SUBSTITUTE(SUBSTITUTE(SUBSTITUTE('Calculations'!HS240,"~","~~"),"*","~*"),"?","~?"))&gt;1,"!AMBIG",IFERROR(INDEX('Calculations'!$HF$13:$HF$512,MATCH('Calculations'!HS240,'Calculations'!$HE$13:$HE$512,0)),""))))</x:f>
      </x:c>
      <x:c r="HU240" t="str">
        <x:f>IF('Calculations'!HT240="","",IF('Calculations'!HT240="!AMBIG","!AMBIG",IF(COUNTIF('Calculations'!$HE$13:$HE$512,"="&amp;SUBSTITUTE(SUBSTITUTE(SUBSTITUTE('Calculations'!HT240,"~","~~"),"*","~*"),"?","~?"))&gt;1,"!AMBIG",IFERROR(INDEX('Calculations'!$HF$13:$HF$512,MATCH('Calculations'!HT240,'Calculations'!$HE$13:$HE$512,0)),""))))</x:f>
      </x:c>
      <x:c r="HV240" t="str">
        <x:f>IF('Calculations'!HU240="","",IF('Calculations'!HU240="!AMBIG","!AMBIG",IF(COUNTIF('Calculations'!$HE$13:$HE$512,"="&amp;SUBSTITUTE(SUBSTITUTE(SUBSTITUTE('Calculations'!HU240,"~","~~"),"*","~*"),"?","~?"))&gt;1,"!AMBIG",IFERROR(INDEX('Calculations'!$HF$13:$HF$512,MATCH('Calculations'!HU240,'Calculations'!$HE$13:$HE$512,0)),""))))</x:f>
      </x:c>
      <x:c r="HW240" t="str">
        <x:f>IF('Calculations'!HV240="","",IF('Calculations'!HV240="!AMBIG","!AMBIG",IF(COUNTIF('Calculations'!$HE$13:$HE$512,"="&amp;SUBSTITUTE(SUBSTITUTE(SUBSTITUTE('Calculations'!HV240,"~","~~"),"*","~*"),"?","~?"))&gt;1,"!AMBIG",IFERROR(INDEX('Calculations'!$HF$13:$HF$512,MATCH('Calculations'!HV240,'Calculations'!$HE$13:$HE$512,0)),""))))</x:f>
      </x:c>
      <x:c r="HX240" t="str">
        <x:f>IF('Calculations'!HW240="","",IF('Calculations'!HW240="!AMBIG","!AMBIG",IF(COUNTIF('Calculations'!$HE$13:$HE$512,"="&amp;SUBSTITUTE(SUBSTITUTE(SUBSTITUTE('Calculations'!HW240,"~","~~"),"*","~*"),"?","~?"))&gt;1,"!AMBIG",IFERROR(INDEX('Calculations'!$HF$13:$HF$512,MATCH('Calculations'!HW240,'Calculations'!$HE$13:$HE$512,0)),""))))</x:f>
      </x:c>
      <x:c r="HY240" t="str">
        <x:f>IF('Calculations'!HX240="","",IF('Calculations'!HX240="!AMBIG","!AMBIG",IF(COUNTIF('Calculations'!$HE$13:$HE$512,"="&amp;SUBSTITUTE(SUBSTITUTE(SUBSTITUTE('Calculations'!HX240,"~","~~"),"*","~*"),"?","~?"))&gt;1,"!AMBIG",IFERROR(INDEX('Calculations'!$HF$13:$HF$512,MATCH('Calculations'!HX240,'Calculations'!$HE$13:$HE$512,0)),""))))</x:f>
      </x:c>
      <x:c r="HZ240" t="str">
        <x:f>IF('Calculations'!HY240="","",IF('Calculations'!HY240="!AMBIG","!AMBIG",IF(COUNTIF('Calculations'!$HE$13:$HE$512,"="&amp;SUBSTITUTE(SUBSTITUTE(SUBSTITUTE('Calculations'!HY240,"~","~~"),"*","~*"),"?","~?"))&gt;1,"!AMBIG",IFERROR(INDEX('Calculations'!$HF$13:$HF$512,MATCH('Calculations'!HY240,'Calculations'!$HE$13:$HE$512,0)),""))))</x:f>
      </x:c>
      <x:c r="IA240" t="str">
        <x:f>IF('Calculations'!HZ240="","",IF('Calculations'!HZ240="!AMBIG","!AMBIG",IF(COUNTIF('Calculations'!$HE$13:$HE$512,"="&amp;SUBSTITUTE(SUBSTITUTE(SUBSTITUTE('Calculations'!HZ240,"~","~~"),"*","~*"),"?","~?"))&gt;1,"!AMBIG",IFERROR(INDEX('Calculations'!$HF$13:$HF$512,MATCH('Calculations'!HZ240,'Calculations'!$HE$13:$HE$512,0)),""))))</x:f>
      </x:c>
      <x:c r="IB240" t="str">
        <x:f>IF('Calculations'!IA240="","",IF('Calculations'!IA240="!AMBIG","!AMBIG",IF(COUNTIF('Calculations'!$HE$13:$HE$512,"="&amp;SUBSTITUTE(SUBSTITUTE(SUBSTITUTE('Calculations'!IA240,"~","~~"),"*","~*"),"?","~?"))&gt;1,"!AMBIG",IFERROR(INDEX('Calculations'!$HF$13:$HF$512,MATCH('Calculations'!IA240,'Calculations'!$HE$13:$HE$512,0)),""))))</x:f>
      </x:c>
      <x:c r="IC240" t="str">
        <x:f>IF('Calculations'!IB240="","",IF('Calculations'!IB240="!AMBIG","!AMBIG",IF(COUNTIF('Calculations'!$HE$13:$HE$512,"="&amp;SUBSTITUTE(SUBSTITUTE(SUBSTITUTE('Calculations'!IB240,"~","~~"),"*","~*"),"?","~?"))&gt;1,"!AMBIG",IFERROR(INDEX('Calculations'!$HF$13:$HF$512,MATCH('Calculations'!IB240,'Calculations'!$HE$13:$HE$512,0)),""))))</x:f>
      </x:c>
      <x:c r="ID240" t="str">
        <x:f>IF('Calculations'!IC240="","",IF('Calculations'!IC240="!AMBIG","!AMBIG",IF(COUNTIF('Calculations'!$HE$13:$HE$512,"="&amp;SUBSTITUTE(SUBSTITUTE(SUBSTITUTE('Calculations'!IC240,"~","~~"),"*","~*"),"?","~?"))&gt;1,"!AMBIG",IFERROR(INDEX('Calculations'!$HF$13:$HF$512,MATCH('Calculations'!IC240,'Calculations'!$HE$13:$HE$512,0)),""))))</x:f>
      </x:c>
      <x:c r="IE240" t="str">
        <x:f>IF('Calculations'!ID240="","",IF('Calculations'!ID240="!AMBIG","!AMBIG",IF(COUNTIF('Calculations'!$HE$13:$HE$512,"="&amp;SUBSTITUTE(SUBSTITUTE(SUBSTITUTE('Calculations'!ID240,"~","~~"),"*","~*"),"?","~?"))&gt;1,"!AMBIG",IFERROR(INDEX('Calculations'!$HF$13:$HF$512,MATCH('Calculations'!ID240,'Calculations'!$HE$13:$HE$512,0)),""))))</x:f>
      </x:c>
      <x:c r="IF240" t="str">
        <x:f>IF('Calculations'!IE240="","",IF('Calculations'!IE240="!AMBIG","!AMBIG",IF(COUNTIF('Calculations'!$HE$13:$HE$512,"="&amp;SUBSTITUTE(SUBSTITUTE(SUBSTITUTE('Calculations'!IE240,"~","~~"),"*","~*"),"?","~?"))&gt;1,"!AMBIG",IFERROR(INDEX('Calculations'!$HF$13:$HF$512,MATCH('Calculations'!IE240,'Calculations'!$HE$13:$HE$512,0)),""))))</x:f>
      </x:c>
      <x:c r="IG240" t="str">
        <x:f>IF('Calculations'!IF240="","",IF('Calculations'!IF240="!AMBIG","!AMBIG",IF(COUNTIF('Calculations'!$HE$13:$HE$512,"="&amp;SUBSTITUTE(SUBSTITUTE(SUBSTITUTE('Calculations'!IF240,"~","~~"),"*","~*"),"?","~?"))&gt;1,"!AMBIG",IFERROR(INDEX('Calculations'!$HF$13:$HF$512,MATCH('Calculations'!IF240,'Calculations'!$HE$13:$HE$512,0)),""))))</x:f>
      </x:c>
      <x:c r="IH240" t="str">
        <x:f>IF('Calculations'!IG240="","",IF('Calculations'!IG240="!AMBIG","!AMBIG",IF(COUNTIF('Calculations'!$HE$13:$HE$512,"="&amp;SUBSTITUTE(SUBSTITUTE(SUBSTITUTE('Calculations'!IG240,"~","~~"),"*","~*"),"?","~?"))&gt;1,"!AMBIG",IFERROR(INDEX('Calculations'!$HF$13:$HF$512,MATCH('Calculations'!IG240,'Calculations'!$HE$13:$HE$512,0)),""))))</x:f>
      </x:c>
      <x:c r="II240" t="str">
        <x:f>IF('Calculations'!IH240="","",IF('Calculations'!IH240="!AMBIG","!AMBIG",IF(COUNTIF('Calculations'!$HE$13:$HE$512,"="&amp;SUBSTITUTE(SUBSTITUTE(SUBSTITUTE('Calculations'!IH240,"~","~~"),"*","~*"),"?","~?"))&gt;1,"!AMBIG",IFERROR(INDEX('Calculations'!$HF$13:$HF$512,MATCH('Calculations'!IH240,'Calculations'!$HE$13:$HE$512,0)),""))))</x:f>
      </x:c>
      <x:c r="IJ240" t="str">
        <x:f>IF('Calculations'!EM240="","",IF('Calculations'!$EF$2="All",'Calculations'!HM240,IF('Calculations'!HL240=1,"",IFERROR(IF(MATCH('Calculations'!$EF$2,'Calculations'!HO240:II240,0)=1,'Calculations'!HE240,INDEX('Calculations'!HO240:II240,1,MATCH('Calculations'!$EF$2,'Calculations'!HO240:II240,0)-1)),""))))</x:f>
      </x:c>
      <x:c r="IK240" t="n">
        <x:f>IF(AND('Calculations'!EM240&lt;&gt;"",'Calculations'!$EF$2&lt;&gt;"All",'Calculations'!HF240='Calculations'!$EF$2,'Calculations'!HL240=0,'Calculations'!JD240&gt;0),MAX('Calculations'!$IK$12:IK239)+1,0)</x:f>
        <x:v>0</x:v>
      </x:c>
      <x:c r="JA240" t="n">
        <x:f>IF(OR(IFERROR(INDIRECT("'WCM Calibration Final'!$A$240")&lt;&gt;"",FALSE),IFERROR(INDIRECT("'WCM Calibration Final'!$B$240")&lt;&gt;"",FALSE),IFERROR(INDIRECT("'WCM Calibration Final'!$C$240")&lt;&gt;"",FALSE)),240,0)</x:f>
        <x:v>0</x:v>
      </x:c>
      <x:c r="JB240" t="n">
        <x:f>'Calculations'!JB239+IF('Calculations'!JA240&gt;0,1,0)</x:f>
        <x:v>0</x:v>
      </x:c>
      <x:c r="JC240" t="n">
        <x:f>IF(OR('Calculations'!HF240="",'Calculations'!HF240="!AMBIG"),0,IF('Dashboard'!$B$7="All",1,COUNTIFS('Calculations'!$HO$13:$HO$512,"="&amp;SUBSTITUTE(SUBSTITUTE(SUBSTITUTE('Calculations'!HF240,"~","~~"),"*","~*"),"?","~?"),'Calculations'!$HN$13:$HN$512,"="&amp;SUBSTITUTE(SUBSTITUTE(SUBSTITUTE('Dashboard'!$B$7,"~","~~"),"*","~*"),"?","~?"))+COUNTIFS('Calculations'!$HP$13:$HP$512,"="&amp;SUBSTITUTE(SUBSTITUTE(SUBSTITUTE('Calculations'!HF240,"~","~~"),"*","~*"),"?","~?"),'Calculations'!$HN$13:$HN$512,"="&amp;SUBSTITUTE(SUBSTITUTE(SUBSTITUTE('Dashboard'!$B$7,"~","~~"),"*","~*"),"?","~?"))+COUNTIFS('Calculations'!$HQ$13:$HQ$512,"="&amp;SUBSTITUTE(SUBSTITUTE(SUBSTITUTE('Calculations'!HF240,"~","~~"),"*","~*"),"?","~?"),'Calculations'!$HN$13:$HN$512,"="&amp;SUBSTITUTE(SUBSTITUTE(SUBSTITUTE('Dashboard'!$B$7,"~","~~"),"*","~*"),"?","~?"))+COUNTIFS('Calculations'!$HR$13:$HR$512,"="&amp;SUBSTITUTE(SUBSTITUTE(SUBSTITUTE('Calculations'!HF240,"~","~~"),"*","~*"),"?","~?"),'Calculations'!$HN$13:$HN$512,"="&amp;SUBSTITUTE(SUBSTITUTE(SUBSTITUTE('Dashboard'!$B$7,"~","~~"),"*","~*"),"?","~?"))+COUNTIFS('Calculations'!$HS$13:$HS$512,"="&amp;SUBSTITUTE(SUBSTITUTE(SUBSTITUTE('Calculations'!HF240,"~","~~"),"*","~*"),"?","~?"),'Calculations'!$HN$13:$HN$512,"="&amp;SUBSTITUTE(SUBSTITUTE(SUBSTITUTE('Dashboard'!$B$7,"~","~~"),"*","~*"),"?","~?"))+COUNTIFS('Calculations'!$HT$13:$HT$512,"="&amp;SUBSTITUTE(SUBSTITUTE(SUBSTITUTE('Calculations'!HF240,"~","~~"),"*","~*"),"?","~?"),'Calculations'!$HN$13:$HN$512,"="&amp;SUBSTITUTE(SUBSTITUTE(SUBSTITUTE('Dashboard'!$B$7,"~","~~"),"*","~*"),"?","~?"))+COUNTIFS('Calculations'!$HU$13:$HU$512,"="&amp;SUBSTITUTE(SUBSTITUTE(SUBSTITUTE('Calculations'!HF240,"~","~~"),"*","~*"),"?","~?"),'Calculations'!$HN$13:$HN$512,"="&amp;SUBSTITUTE(SUBSTITUTE(SUBSTITUTE('Dashboard'!$B$7,"~","~~"),"*","~*"),"?","~?"))+COUNTIFS('Calculations'!$HV$13:$HV$512,"="&amp;SUBSTITUTE(SUBSTITUTE(SUBSTITUTE('Calculations'!HF240,"~","~~"),"*","~*"),"?","~?"),'Calculations'!$HN$13:$HN$512,"="&amp;SUBSTITUTE(SUBSTITUTE(SUBSTITUTE('Dashboard'!$B$7,"~","~~"),"*","~*"),"?","~?"))+COUNTIFS('Calculations'!$HW$13:$HW$512,"="&amp;SUBSTITUTE(SUBSTITUTE(SUBSTITUTE('Calculations'!HF240,"~","~~"),"*","~*"),"?","~?"),'Calculations'!$HN$13:$HN$512,"="&amp;SUBSTITUTE(SUBSTITUTE(SUBSTITUTE('Dashboard'!$B$7,"~","~~"),"*","~*"),"?","~?"))+COUNTIFS('Calculations'!$HX$13:$HX$512,"="&amp;SUBSTITUTE(SUBSTITUTE(SUBSTITUTE('Calculations'!HF240,"~","~~"),"*","~*"),"?","~?"),'Calculations'!$HN$13:$HN$512,"="&amp;SUBSTITUTE(SUBSTITUTE(SUBSTITUTE('Dashboard'!$B$7,"~","~~"),"*","~*"),"?","~?"))+COUNTIFS('Calculations'!$HY$13:$HY$512,"="&amp;SUBSTITUTE(SUBSTITUTE(SUBSTITUTE('Calculations'!HF240,"~","~~"),"*","~*"),"?","~?"),'Calculations'!$HN$13:$HN$512,"="&amp;SUBSTITUTE(SUBSTITUTE(SUBSTITUTE('Dashboard'!$B$7,"~","~~"),"*","~*"),"?","~?"))+COUNTIFS('Calculations'!$HZ$13:$HZ$512,"="&amp;SUBSTITUTE(SUBSTITUTE(SUBSTITUTE('Calculations'!HF240,"~","~~"),"*","~*"),"?","~?"),'Calculations'!$HN$13:$HN$512,"="&amp;SUBSTITUTE(SUBSTITUTE(SUBSTITUTE('Dashboard'!$B$7,"~","~~"),"*","~*"),"?","~?"))+COUNTIFS('Calculations'!$IA$13:$IA$512,"="&amp;SUBSTITUTE(SUBSTITUTE(SUBSTITUTE('Calculations'!HF240,"~","~~"),"*","~*"),"?","~?"),'Calculations'!$HN$13:$HN$512,"="&amp;SUBSTITUTE(SUBSTITUTE(SUBSTITUTE('Dashboard'!$B$7,"~","~~"),"*","~*"),"?","~?"))+COUNTIFS('Calculations'!$IB$13:$IB$512,"="&amp;SUBSTITUTE(SUBSTITUTE(SUBSTITUTE('Calculations'!HF240,"~","~~"),"*","~*"),"?","~?"),'Calculations'!$HN$13:$HN$512,"="&amp;SUBSTITUTE(SUBSTITUTE(SUBSTITUTE('Dashboard'!$B$7,"~","~~"),"*","~*"),"?","~?"))+COUNTIFS('Calculations'!$IC$13:$IC$512,"="&amp;SUBSTITUTE(SUBSTITUTE(SUBSTITUTE('Calculations'!HF240,"~","~~"),"*","~*"),"?","~?"),'Calculations'!$HN$13:$HN$512,"="&amp;SUBSTITUTE(SUBSTITUTE(SUBSTITUTE('Dashboard'!$B$7,"~","~~"),"*","~*"),"?","~?"))+COUNTIFS('Calculations'!$ID$13:$ID$512,"="&amp;SUBSTITUTE(SUBSTITUTE(SUBSTITUTE('Calculations'!HF240,"~","~~"),"*","~*"),"?","~?"),'Calculations'!$HN$13:$HN$512,"="&amp;SUBSTITUTE(SUBSTITUTE(SUBSTITUTE('Dashboard'!$B$7,"~","~~"),"*","~*"),"?","~?"))+COUNTIFS('Calculations'!$IE$13:$IE$512,"="&amp;SUBSTITUTE(SUBSTITUTE(SUBSTITUTE('Calculations'!HF240,"~","~~"),"*","~*"),"?","~?"),'Calculations'!$HN$13:$HN$512,"="&amp;SUBSTITUTE(SUBSTITUTE(SUBSTITUTE('Dashboard'!$B$7,"~","~~"),"*","~*"),"?","~?"))+COUNTIFS('Calculations'!$IF$13:$IF$512,"="&amp;SUBSTITUTE(SUBSTITUTE(SUBSTITUTE('Calculations'!HF240,"~","~~"),"*","~*"),"?","~?"),'Calculations'!$HN$13:$HN$512,"="&amp;SUBSTITUTE(SUBSTITUTE(SUBSTITUTE('Dashboard'!$B$7,"~","~~"),"*","~*"),"?","~?"))+COUNTIFS('Calculations'!$IG$13:$IG$512,"="&amp;SUBSTITUTE(SUBSTITUTE(SUBSTITUTE('Calculations'!HF240,"~","~~"),"*","~*"),"?","~?"),'Calculations'!$HN$13:$HN$512,"="&amp;SUBSTITUTE(SUBSTITUTE(SUBSTITUTE('Dashboard'!$B$7,"~","~~"),"*","~*"),"?","~?"))+COUNTIFS('Calculations'!$IH$13:$IH$512,"="&amp;SUBSTITUTE(SUBSTITUTE(SUBSTITUTE('Calculations'!HF240,"~","~~"),"*","~*"),"?","~?"),'Calculations'!$HN$13:$HN$512,"="&amp;SUBSTITUTE(SUBSTITUTE(SUBSTITUTE('Dashboard'!$B$7,"~","~~"),"*","~*"),"?","~?"))))</x:f>
        <x:v>0</x:v>
      </x:c>
      <x:c r="JD240" t="n">
        <x:f>IF('Calculations'!EM240="",0,IF('Dashboard'!$B$7="All",1,IF('Calculations'!HN240='Dashboard'!$B$7,1,0)+IFERROR(INDEX('Calculations'!$JC$13:$JC$512,MATCH('Calculations'!HE240,'Calculations'!$HF$13:$HF$512,0)),0)))</x:f>
        <x:v>0</x:v>
      </x:c>
      <x:c r="JE240" t="n">
        <x:f>IF(AND('Calculations'!EM240&lt;&gt;"",'Calculations'!$JJ$2&lt;&gt;"All",'Calculations'!$JJ$2&lt;&gt;"",'Calculations'!HF240='Calculations'!$JJ$2,'Calculations'!HL240=0,'Calculations'!JD240&gt;0),MAX('Calculations'!$JE$12:JE239)+1,0)</x:f>
        <x:v>0</x:v>
      </x:c>
      <x:c r="JF240" t="str">
        <x:f>IF('Calculations'!EM240="","",IFERROR(IF(INDEX(INDIRECT("'WCM Calibration Final'!$G$1:$G$2000"),'Calculations'!$EM240)="","",TRIM(INDEX(INDIRECT("'WCM Calibration Final'!$G$1:$G$2000"),'Calculations'!$EM240)&amp;"")),""))</x:f>
      </x:c>
      <x:c r="JQ240" t="n">
        <x:f>IF(OR('Calculations'!BM240=0,NOT('Calculations'!$AG$2),'Calculations'!$AG$8&gt;0),0,IF(OR('Dashboard'!$B$7="All",'Calculations'!HN240='Dashboard'!$B$7),IF('Calculations'!$JJ$2="All",1,IF(AND('Calculations'!HF240='Calculations'!$JJ$2,'Calculations'!HL240=0),1,0)),0))</x:f>
        <x:v>0</x:v>
      </x:c>
    </x:row>
    <x:row r="241">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t="n">
        <x:f>IF('Calculations'!$EM241="",0,IF(OR(IFERROR(INDEX(INDIRECT("'WCM Calibration Final'!$A$1:$A$2000"),'Calculations'!$EM241)&lt;&gt;"",FALSE),IFERROR(INDEX(INDIRECT("'WCM Calibration Final'!$B$1:$B$2000"),'Calculations'!$EM241)&lt;&gt;"",FALSE),IFERROR(INDEX(INDIRECT("'WCM Calibration Final'!$C$1:$C$2000"),'Calculations'!$EM241)&lt;&gt;"",FALSE)),1,0))</x:f>
        <x:v>0</x:v>
      </x:c>
      <x:c r="BN241" s="4" t="n">
        <x:f>IF(AND('Calculations'!BM241=1,'Calculations'!$AG$2,'Calculations'!$EN241=1),1,0)</x:f>
        <x:v>0</x:v>
      </x:c>
      <x:c r="BO241" s="4" t="str">
        <x:f>IF('Calculations'!BM241=0,"",IFERROR(IF(AND(VALUE(INDEX(INDIRECT("'WCM Calibration Final'!$K$1:$K$2000"),'Calculations'!$EM241))&gt;=1,VALUE(INDEX(INDIRECT("'WCM Calibration Final'!$K$1:$K$2000"),'Calculations'!$EM241))&lt;=4,MOD(VALUE(INDEX(INDIRECT("'WCM Calibration Final'!$K$1:$K$2000"),'Calculations'!$EM241)),1)=0),VALUE(INDEX(INDIRECT("'WCM Calibration Final'!$K$1:$K$2000"),'Calculations'!$EM241)),""),""))</x:f>
      </x:c>
      <x:c r="BP241" s="4" t="str">
        <x:f>IF('Calculations'!BM241=0,"",IFERROR(IF(AND(VALUE(INDEX(INDIRECT("'WCM Calibration Final'!$L$1:$L$2000"),'Calculations'!$EM241))&gt;=1,VALUE(INDEX(INDIRECT("'WCM Calibration Final'!$L$1:$L$2000"),'Calculations'!$EM241))&lt;=4,MOD(VALUE(INDEX(INDIRECT("'WCM Calibration Final'!$L$1:$L$2000"),'Calculations'!$EM241)),1)=0),VALUE(INDEX(INDIRECT("'WCM Calibration Final'!$L$1:$L$2000"),'Calculations'!$EM241)),""),""))</x:f>
      </x:c>
      <x:c r="BQ241" s="4"/>
      <x:c r="BR241" s="4"/>
      <x:c r="BS241" s="4"/>
      <x:c r="BT241" s="4" t="n">
        <x:f>IF(AND('Calculations'!BM241=1,ISNUMBER('Calculations'!BO241),ISNUMBER('Calculations'!BP241)),1,0)</x:f>
        <x:v>0</x:v>
      </x:c>
      <x:c r="BU241" s="4" t="str">
        <x:f>IF('Calculations'!BM241=0,"",'Calculations'!$EO241)</x:f>
      </x:c>
      <x:c r="BV241" s="4" t="str">
        <x:f>IF('Calculations'!BM241=0,"",IFERROR(IF(OR(INDEX(INDIRECT("'WCM Calibration Final'!$H$1:$H$2000"),'Calculations'!$EM241)="MANAGING DIRECTOR",INDEX(INDIRECT("'WCM Calibration Final'!$H$1:$H$2000"),'Calculations'!$EM241)="DIRECTOR",INDEX(INDIRECT("'WCM Calibration Final'!$H$1:$H$2000"),'Calculations'!$EM241)="SENIOR VICE PRESIDENT",INDEX(INDIRECT("'WCM Calibration Final'!$H$1:$H$2000"),'Calculations'!$EM241)="VICE PRESIDENT",INDEX(INDIRECT("'WCM Calibration Final'!$H$1:$H$2000"),'Calculations'!$EM241)="ASSISTANT VICE PRESIDENT",INDEX(INDIRECT("'WCM Calibration Final'!$H$1:$H$2000"),'Calculations'!$EM241)="OFFICER"),UPPER(INDEX(INDIRECT("'WCM Calibration Final'!$H$1:$H$2000"),'Calculations'!$EM241)),"Other"),"Other"))</x:f>
      </x:c>
      <x:c r="BW241" s="4"/>
      <x:c r="BX241" s="4"/>
      <x:c r="BY241" s="4" t="n">
        <x:f>IF(AND('Calculations'!BM241=1,'Calculations'!BU241&lt;&gt;"",COUNTIF('Calculations'!$BU$12:BU241,'Calculations'!BU241)=1),MAX('Calculations'!$BY$11:BY240)+1,0)</x:f>
        <x:v>0</x:v>
      </x:c>
      <x:c r="BZ241" s="4" t="str">
        <x:f>IF('Dashboard'!$E$67="What",'Calculations'!BO241,'Calculations'!BP241)</x:f>
      </x:c>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t="str">
        <x:f>IF(230&gt;MAX('Calculations'!$HI$13:$HI$512),"",INDEX('Calculations'!$HN$13:$HN$512,MATCH(230,'Calculations'!$HI$13:$HI$512,0)))</x:f>
      </x:c>
      <x:c r="DB241" s="4" t="str">
        <x:f>IF(230&gt;MAX('Calculations'!$HH$13:$HH$512),"",INDEX('Calculations'!$HJ$13:$HJ$512,MATCH(230,'Calculations'!$HH$13:$HH$512,0)))</x:f>
      </x:c>
      <x:c r="DC241" s="4" t="str">
        <x:f>IF(ROW()-11&gt;MAX('Calculations'!$BY$13:$BY$512),"",INDEX('Calculations'!$BU$13:$BU$512,MATCH(ROW()-11,'Calculations'!$BY$13:$BY$512,0)))</x:f>
      </x:c>
      <x:c r="DD241" s="4" t="str">
        <x:f>IF(230&gt;MAX('Calculations'!$IK$13:$IK$512),"",INDEX('Calculations'!$HK$13:$HK$512,MATCH(230,'Calculations'!$IK$13:$IK$512,0)))</x:f>
      </x:c>
      <x:c r="DE241" s="4" t="str">
        <x:f>'Calculations'!DC241</x:f>
      </x:c>
      <x:c r="DF241" s="4" t="str">
        <x:f>IF('Calculations'!DE241="","",COUNTIFS('Calculations'!$BN$13:$BN$512,1,'Calculations'!$BU$13:$BU$512,'Calculations'!DE241))</x:f>
      </x:c>
      <x:c r="DG241" s="4" t="str">
        <x:f>IF('Calculations'!DE241="","",COUNTIFS('Calculations'!$BN$13:$BN$512,1,'Calculations'!$BU$13:$BU$512,'Calculations'!DE241,'Calculations'!$BT$13:$BT$512,1))</x:f>
      </x:c>
      <x:c r="DH241" s="4" t="str">
        <x:f>IF('Calculations'!DE241="","",'Calculations'!DF241-'Calculations'!DG241)</x:f>
      </x:c>
      <x:c r="DI241" s="4" t="str">
        <x:f>IF(OR('Calculations'!DE241="",'Calculations'!DF241=0),"",'Calculations'!DG241/'Calculations'!DF241)</x:f>
      </x:c>
      <x:c r="DJ241" s="4" t="str">
        <x:f>IF('Calculations'!DE241="","",COUNTIFS('Calculations'!$BN$13:$BN$512,1,'Calculations'!$BU$13:$BU$512,'Calculations'!DE241,'Calculations'!$BT$13:$BT$512,1,'Calculations'!$EE$13:$EE$512,"High"))</x:f>
      </x:c>
      <x:c r="DK241" s="4" t="str">
        <x:f>IF('Calculations'!DE241="","",COUNTIFS('Calculations'!$BN$13:$BN$512,1,'Calculations'!$BU$13:$BU$512,'Calculations'!DE241,'Calculations'!$BT$13:$BT$512,1,'Calculations'!$EE$13:$EE$512,"Strong"))</x:f>
      </x:c>
      <x:c r="DL241" s="4" t="str">
        <x:f>IF('Calculations'!DE241="","",COUNTIFS('Calculations'!$BN$13:$BN$512,1,'Calculations'!$BU$13:$BU$512,'Calculations'!DE241,'Calculations'!$BT$13:$BT$512,1,'Calculations'!$EE$13:$EE$512,"Solid"))</x:f>
      </x:c>
      <x:c r="DM241" s="4" t="str">
        <x:f>IF('Calculations'!DE241="","",COUNTIFS('Calculations'!$BN$13:$BN$512,1,'Calculations'!$BU$13:$BU$512,'Calculations'!DE241,'Calculations'!$BT$13:$BT$512,1,'Calculations'!$EE$13:$EE$512,"Low"))</x:f>
      </x:c>
      <x:c r="DN241" s="4" t="str">
        <x:f>IF('Calculations'!DE241="","",COUNTIFS('Calculations'!$BN$13:$BN$512,1,'Calculations'!$BU$13:$BU$512,'Calculations'!DE241,'Calculations'!$EP$13:$EP$512,1))</x:f>
      </x:c>
      <x:c r="DO241" s="4" t="str">
        <x:f>IF(OR('Calculations'!DE241="",'Calculations'!DG241=0),"",('Calculations'!DJ241+'Calculations'!DK241)/'Calculations'!DG241)</x:f>
      </x:c>
      <x:c r="DP241" s="4" t="n">
        <x:f>IF(AND('Calculations'!DE241&lt;&gt;"",'Calculations'!DF241&gt;0),COUNTIF('Calculations'!$DF$12:DF241,"&gt;0"),0)</x:f>
        <x:v>0</x:v>
      </x:c>
      <x:c r="DQ241" s="4" t="str">
        <x:f>IF(230&gt;MAX('Calculations'!$HH$13:$HH$512),"",INDEX('Calculations'!$HF$13:$HF$512,MATCH(230,'Calculations'!$HH$13:$HH$512,0)))</x:f>
      </x:c>
      <x:c r="DR241" s="4" t="str">
        <x:f>IF(230&gt;MAX('Calculations'!$IK$13:$IK$512),"",INDEX('Calculations'!$HE$13:$HE$512,MATCH(230,'Calculations'!$IK$13:$IK$512,0)))</x:f>
      </x:c>
      <x:c r="DS241" s="4"/>
      <x:c r="DT241" s="4"/>
      <x:c r="DU241" s="4"/>
      <x:c r="DV241" s="4"/>
      <x:c r="DW241" s="4"/>
      <x:c r="DX241" s="4"/>
      <x:c r="DY241" s="4"/>
      <x:c r="DZ241" s="4"/>
      <x:c r="EA241" s="4"/>
      <x:c r="EB241" s="4"/>
      <x:c r="EC241" s="4"/>
      <x:c r="ED241" s="4"/>
      <x:c r="EE241" s="4" t="str">
        <x:f>IF('Calculations'!BT241=0,"Not Rated",IF(OR('Calculations'!BO241&gt;=4,'Calculations'!BP241&gt;=4),"Low",IF('Calculations'!BO241+'Calculations'!BP241&lt;=3,"High",IF('Calculations'!BO241+'Calculations'!BP241&lt;=4,"Strong","Solid"))))</x:f>
        <x:v>Not Rated</x:v>
      </x:c>
      <x:c r="EF241" s="4"/>
      <x:c r="EG241" s="4"/>
      <x:c r="EH241" s="4"/>
      <x:c r="EI241" s="4"/>
      <x:c r="EJ241" s="4"/>
      <x:c r="EK241" s="4"/>
      <x:c r="EL241" s="4"/>
      <x:c r="EM241" s="4" t="str">
        <x:f>IF(229&gt;'Calculations'!$JB$2000,"",INDEX('Calculations'!$JA$12:$JA$2000,MATCH(229,'Calculations'!$JB$12:$JB$2000,0)))</x:f>
      </x:c>
      <x:c r="EN241" s="4" t="n">
        <x:f>IF(OR('Calculations'!EM241="",'Calculations'!$AG$8&gt;0,AND('Calculations'!$EF$2&lt;&gt;"All",'Calculations'!HE241='Calculations'!$EF$2),AND('Calculations'!$EF$3&lt;&gt;"All",'Calculations'!HE241='Calculations'!$EF$3)),0,IF(OR('Dashboard'!$B$7="All",'Calculations'!HN241='Dashboard'!$B$7),IF('Calculations'!$EF$2="All",1,IF('Calculations'!HL241&gt;0,0,IF(COUNTIF('Calculations'!HO241:II241,"="&amp;SUBSTITUTE(SUBSTITUTE(SUBSTITUTE('Calculations'!$EF$2,"~","~~"),"*","~*"),"?","~?"))=0,0,IF('Calculations'!$EF$3="All",1,IF(COUNTIF('Calculations'!HO241:II241,"="&amp;SUBSTITUTE(SUBSTITUTE(SUBSTITUTE('Calculations'!$EF$3,"~","~~"),"*","~*"),"?","~?"))&gt;0,1,0))))),0))</x:f>
        <x:v>0</x:v>
      </x:c>
      <x:c r="EO241" s="4" t="str">
        <x:f>IF('Calculations'!IJ241="","",IF('Calculations'!IJ241="!UNRESOLVED","Unresolved hierarchy",IFERROR(INDEX('Calculations'!$HK$13:$HK$512,MATCH('Calculations'!IJ241,'Calculations'!$HE$13:$HE$512,0)),IFERROR(INDEX('Calculations'!$HJ$13:$HJ$512,MATCH('Calculations'!IJ241,'Calculations'!$HF$13:$HF$512,0)),'Calculations'!IJ241))))</x:f>
      </x:c>
      <x:c r="EP241" s="4" t="n">
        <x:f>IF(AND('Calculations'!EM241&lt;&gt;"",'Calculations'!HF241='Calculations'!IJ241),1,0)</x:f>
        <x:v>0</x:v>
      </x:c>
      <x:c r="EQ241" s="4"/>
      <x:c r="ER241" s="4"/>
      <x:c r="ES241" s="4"/>
      <x:c r="ET241" s="4"/>
      <x:c r="EU241" s="4"/>
      <x:c r="EV241" s="4"/>
      <x:c r="EW241" s="4"/>
      <x:c r="EX241" s="4"/>
      <x:c r="EY241" s="4"/>
      <x:c r="EZ241" s="4"/>
      <x:c r="FA241" s="4"/>
      <x:c r="FB241" s="4"/>
      <x:c r="FC241" s="4"/>
      <x:c r="FD241" s="4"/>
      <x:c r="FE241" s="4"/>
      <x:c r="FF241" s="4"/>
      <x:c r="FG241" s="4"/>
      <x:c r="FH241" s="4"/>
      <x:c r="FI241" s="4"/>
      <x:c r="FJ241" s="4"/>
      <x:c r="FK241" s="4"/>
      <x:c r="FL241" s="4"/>
      <x:c r="FM241" s="4"/>
      <x:c r="FN241" s="4"/>
      <x:c r="FO241" s="4"/>
      <x:c r="HE241" t="str">
        <x:f>IF('Calculations'!EM241="","",IF(IFERROR(IF(INDEX(INDIRECT("'WCM Calibration Final'!$A$1:$A$2000"),'Calculations'!$EM241)="","",TRIM(INDEX(INDIRECT("'WCM Calibration Final'!$A$1:$A$2000"),'Calculations'!$EM241)&amp;"")),"")&lt;&gt;"","G:"&amp;IFERROR(TEXT(1*INDEX(INDIRECT("'WCM Calibration Final'!$A$1:$A$2000"),'Calculations'!$EM241),"0"),UPPER(IFERROR(IF(INDEX(INDIRECT("'WCM Calibration Final'!$A$1:$A$2000"),'Calculations'!$EM241)="","",TRIM(INDEX(INDIRECT("'WCM Calibration Final'!$A$1:$A$2000"),'Calculations'!$EM241)&amp;"")),""))),IF(IFERROR(IF(INDEX(INDIRECT("'WCM Calibration Final'!$C$1:$C$2000"),'Calculations'!$EM241)="","",TRIM(INDEX(INDIRECT("'WCM Calibration Final'!$C$1:$C$2000"),'Calculations'!$EM241)&amp;"")),"")&lt;&gt;"","S:"&amp;UPPER(IFERROR(IF(INDEX(INDIRECT("'WCM Calibration Final'!$C$1:$C$2000"),'Calculations'!$EM241)="","",TRIM(INDEX(INDIRECT("'WCM Calibration Final'!$C$1:$C$2000"),'Calculations'!$EM241)&amp;"")),"")),"R:"&amp;'Calculations'!EM241)))</x:f>
      </x:c>
      <x:c r="HF241" t="str">
        <x:f>IF('Calculations'!EM241="","",IF(IFERROR(IF(INDEX(INDIRECT("'WCM Calibration Final'!$D$1:$D$2000"),'Calculations'!$EM241)="","",TRIM(INDEX(INDIRECT("'WCM Calibration Final'!$D$1:$D$2000"),'Calculations'!$EM241)&amp;"")),"")&lt;&gt;"","G:"&amp;IFERROR(TEXT(1*INDEX(INDIRECT("'WCM Calibration Final'!$D$1:$D$2000"),'Calculations'!$EM241),"0"),UPPER(IFERROR(IF(INDEX(INDIRECT("'WCM Calibration Final'!$D$1:$D$2000"),'Calculations'!$EM241)="","",TRIM(INDEX(INDIRECT("'WCM Calibration Final'!$D$1:$D$2000"),'Calculations'!$EM241)&amp;"")),""))),IF(IFERROR(IF(INDEX(INDIRECT("'WCM Calibration Final'!$E$1:$E$2000"),'Calculations'!$EM241)="","",TRIM(INDEX(INDIRECT("'WCM Calibration Final'!$E$1:$E$2000"),'Calculations'!$EM241)&amp;"")),"")="","",IF(COUNTIF('Calculations'!$HG$13:$HG$512,"="&amp;SUBSTITUTE(SUBSTITUTE(SUBSTITUTE(IFERROR(IF(INDEX(INDIRECT("'WCM Calibration Final'!$E$1:$E$2000"),'Calculations'!$EM241)="","",TRIM(INDEX(INDIRECT("'WCM Calibration Final'!$E$1:$E$2000"),'Calculations'!$EM241)&amp;"")),""),"~","~~"),"*","~*"),"?","~?"))=1,INDEX('Calculations'!$HE$13:$HE$512,MATCH(IFERROR(IF(INDEX(INDIRECT("'WCM Calibration Final'!$E$1:$E$2000"),'Calculations'!$EM241)="","",TRIM(INDEX(INDIRECT("'WCM Calibration Final'!$E$1:$E$2000"),'Calculations'!$EM241)&amp;"")),""),'Calculations'!$HG$13:$HG$512,0)),IF(COUNTIF('Calculations'!$HG$13:$HG$512,"="&amp;SUBSTITUTE(SUBSTITUTE(SUBSTITUTE(IFERROR(IF(INDEX(INDIRECT("'WCM Calibration Final'!$E$1:$E$2000"),'Calculations'!$EM241)="","",TRIM(INDEX(INDIRECT("'WCM Calibration Final'!$E$1:$E$2000"),'Calculations'!$EM241)&amp;"")),""),"~","~~"),"*","~*"),"?","~?"))&gt;1,"!AMBIG","X:"&amp;IFERROR(IF(INDEX(INDIRECT("'WCM Calibration Final'!$E$1:$E$2000"),'Calculations'!$EM241)="","",TRIM(INDEX(INDIRECT("'WCM Calibration Final'!$E$1:$E$2000"),'Calculations'!$EM241)&amp;"")),""))))))</x:f>
      </x:c>
      <x:c r="HG241" t="str">
        <x:f>IF('Calculations'!EM241="","",IFERROR(IF(INDEX(INDIRECT("'WCM Calibration Final'!$B$1:$B$2000"),'Calculations'!$EM241)="","",TRIM(INDEX(INDIRECT("'WCM Calibration Final'!$B$1:$B$2000"),'Calculations'!$EM241)&amp;"")),""))</x:f>
      </x:c>
      <x:c r="HH241" t="n">
        <x:f>IF(AND('Calculations'!JC241&gt;0,COUNTIF('Calculations'!$HF$12:HF241,"="&amp;SUBSTITUTE(SUBSTITUTE(SUBSTITUTE('Calculations'!HF241,"~","~~"),"*","~*"),"?","~?"))=1),MAX('Calculations'!$HH$12:HH240)+1,0)</x:f>
        <x:v>0</x:v>
      </x:c>
      <x:c r="HI241" t="n">
        <x:f>IF(AND('Calculations'!HN241&lt;&gt;"",COUNTIF('Calculations'!$HN$12:HN241,"="&amp;SUBSTITUTE(SUBSTITUTE(SUBSTITUTE('Calculations'!HN241,"~","~~"),"*","~*"),"?","~?"))=1),MAX('Calculations'!$HI$12:HI240)+1,0)</x:f>
        <x:v>0</x:v>
      </x:c>
      <x:c r="HJ241" t="str">
        <x:f>IF('Calculations'!HF241="","",IF(COUNTIF('Calculations'!$HE$13:$HE$512,"="&amp;SUBSTITUTE(SUBSTITUTE(SUBSTITUTE('Calculations'!HF241,"~","~~"),"*","~*"),"?","~?"))=1,INDEX('Calculations'!$HK$13:$HK$512,MATCH('Calculations'!HF241,'Calculations'!$HE$13:$HE$512,0)),IFERROR(IF(INDEX(INDIRECT("'WCM Calibration Final'!$E$1:$E$2000"),'Calculations'!$EM241)="","",TRIM(INDEX(INDIRECT("'WCM Calibration Final'!$E$1:$E$2000"),'Calculations'!$EM241)&amp;"")),"")&amp;" ["&amp;'Calculations'!HF241&amp;"]"))</x:f>
      </x:c>
      <x:c r="HK241" t="str">
        <x:f>IF('Calculations'!EM241="","",'Calculations'!HG241&amp;" ["&amp;'Calculations'!HE241&amp;"]")</x:f>
      </x:c>
      <x:c r="HL241" t="n">
        <x:f>IF('Calculations'!EM241="",0,IF(OR('Calculations'!II241&lt;&gt;"",COUNTIF('Calculations'!$HE$13:$HE$512,"="&amp;SUBSTITUTE(SUBSTITUTE(SUBSTITUTE('Calculations'!HE241,"~","~~"),"*","~*"),"?","~?"))&gt;1),1,0))</x:f>
        <x:v>0</x:v>
      </x:c>
      <x:c r="HM241" t="str">
        <x:f>IF('Calculations'!EM241="","",IF('Calculations'!HL241=1,"!UNRESOLVED",IF('Calculations'!IH241&lt;&gt;"",'Calculations'!IH241,IF('Calculations'!IG241&lt;&gt;"",'Calculations'!IG241,IF('Calculations'!IF241&lt;&gt;"",'Calculations'!IF241,IF('Calculations'!IE241&lt;&gt;"",'Calculations'!IE241,IF('Calculations'!ID241&lt;&gt;"",'Calculations'!ID241,IF('Calculations'!IC241&lt;&gt;"",'Calculations'!IC241,IF('Calculations'!IB241&lt;&gt;"",'Calculations'!IB241,IF('Calculations'!IA241&lt;&gt;"",'Calculations'!IA241,IF('Calculations'!HZ241&lt;&gt;"",'Calculations'!HZ241,IF('Calculations'!HY241&lt;&gt;"",'Calculations'!HY241,IF('Calculations'!HX241&lt;&gt;"",'Calculations'!HX241,IF('Calculations'!HW241&lt;&gt;"",'Calculations'!HW241,IF('Calculations'!HV241&lt;&gt;"",'Calculations'!HV241,IF('Calculations'!HU241&lt;&gt;"",'Calculations'!HU241,IF('Calculations'!HT241&lt;&gt;"",'Calculations'!HT241,IF('Calculations'!HS241&lt;&gt;"",'Calculations'!HS241,IF('Calculations'!HR241&lt;&gt;"",'Calculations'!HR241,IF('Calculations'!HQ241&lt;&gt;"",'Calculations'!HQ241,IF('Calculations'!HP241&lt;&gt;"",'Calculations'!HP241,IF('Calculations'!HO241&lt;&gt;"",'Calculations'!HO241,'Calculations'!HE241))))))))))))))))))))))</x:f>
      </x:c>
      <x:c r="HN241" t="str">
        <x:f>IF('Calculations'!EM241="","",IF(IFERROR(IF(INDEX(INDIRECT("'WCM Calibration Final'!$F$1:$F$2000"),'Calculations'!$EM241)="","",TRIM(INDEX(INDIRECT("'WCM Calibration Final'!$F$1:$F$2000"),'Calculations'!$EM241)&amp;"")),"")="","(Blank)",IFERROR(IF(INDEX(INDIRECT("'WCM Calibration Final'!$F$1:$F$2000"),'Calculations'!$EM241)="","",TRIM(INDEX(INDIRECT("'WCM Calibration Final'!$F$1:$F$2000"),'Calculations'!$EM241)&amp;"")),"")))</x:f>
      </x:c>
      <x:c r="HO241" t="str">
        <x:f>'Calculations'!HF241</x:f>
      </x:c>
      <x:c r="HP241" t="str">
        <x:f>IF('Calculations'!HO241="","",IF('Calculations'!HO241="!AMBIG","!AMBIG",IF(COUNTIF('Calculations'!$HE$13:$HE$512,"="&amp;SUBSTITUTE(SUBSTITUTE(SUBSTITUTE('Calculations'!HO241,"~","~~"),"*","~*"),"?","~?"))&gt;1,"!AMBIG",IFERROR(INDEX('Calculations'!$HF$13:$HF$512,MATCH('Calculations'!HO241,'Calculations'!$HE$13:$HE$512,0)),""))))</x:f>
      </x:c>
      <x:c r="HQ241" t="str">
        <x:f>IF('Calculations'!HP241="","",IF('Calculations'!HP241="!AMBIG","!AMBIG",IF(COUNTIF('Calculations'!$HE$13:$HE$512,"="&amp;SUBSTITUTE(SUBSTITUTE(SUBSTITUTE('Calculations'!HP241,"~","~~"),"*","~*"),"?","~?"))&gt;1,"!AMBIG",IFERROR(INDEX('Calculations'!$HF$13:$HF$512,MATCH('Calculations'!HP241,'Calculations'!$HE$13:$HE$512,0)),""))))</x:f>
      </x:c>
      <x:c r="HR241" t="str">
        <x:f>IF('Calculations'!HQ241="","",IF('Calculations'!HQ241="!AMBIG","!AMBIG",IF(COUNTIF('Calculations'!$HE$13:$HE$512,"="&amp;SUBSTITUTE(SUBSTITUTE(SUBSTITUTE('Calculations'!HQ241,"~","~~"),"*","~*"),"?","~?"))&gt;1,"!AMBIG",IFERROR(INDEX('Calculations'!$HF$13:$HF$512,MATCH('Calculations'!HQ241,'Calculations'!$HE$13:$HE$512,0)),""))))</x:f>
      </x:c>
      <x:c r="HS241" t="str">
        <x:f>IF('Calculations'!HR241="","",IF('Calculations'!HR241="!AMBIG","!AMBIG",IF(COUNTIF('Calculations'!$HE$13:$HE$512,"="&amp;SUBSTITUTE(SUBSTITUTE(SUBSTITUTE('Calculations'!HR241,"~","~~"),"*","~*"),"?","~?"))&gt;1,"!AMBIG",IFERROR(INDEX('Calculations'!$HF$13:$HF$512,MATCH('Calculations'!HR241,'Calculations'!$HE$13:$HE$512,0)),""))))</x:f>
      </x:c>
      <x:c r="HT241" t="str">
        <x:f>IF('Calculations'!HS241="","",IF('Calculations'!HS241="!AMBIG","!AMBIG",IF(COUNTIF('Calculations'!$HE$13:$HE$512,"="&amp;SUBSTITUTE(SUBSTITUTE(SUBSTITUTE('Calculations'!HS241,"~","~~"),"*","~*"),"?","~?"))&gt;1,"!AMBIG",IFERROR(INDEX('Calculations'!$HF$13:$HF$512,MATCH('Calculations'!HS241,'Calculations'!$HE$13:$HE$512,0)),""))))</x:f>
      </x:c>
      <x:c r="HU241" t="str">
        <x:f>IF('Calculations'!HT241="","",IF('Calculations'!HT241="!AMBIG","!AMBIG",IF(COUNTIF('Calculations'!$HE$13:$HE$512,"="&amp;SUBSTITUTE(SUBSTITUTE(SUBSTITUTE('Calculations'!HT241,"~","~~"),"*","~*"),"?","~?"))&gt;1,"!AMBIG",IFERROR(INDEX('Calculations'!$HF$13:$HF$512,MATCH('Calculations'!HT241,'Calculations'!$HE$13:$HE$512,0)),""))))</x:f>
      </x:c>
      <x:c r="HV241" t="str">
        <x:f>IF('Calculations'!HU241="","",IF('Calculations'!HU241="!AMBIG","!AMBIG",IF(COUNTIF('Calculations'!$HE$13:$HE$512,"="&amp;SUBSTITUTE(SUBSTITUTE(SUBSTITUTE('Calculations'!HU241,"~","~~"),"*","~*"),"?","~?"))&gt;1,"!AMBIG",IFERROR(INDEX('Calculations'!$HF$13:$HF$512,MATCH('Calculations'!HU241,'Calculations'!$HE$13:$HE$512,0)),""))))</x:f>
      </x:c>
      <x:c r="HW241" t="str">
        <x:f>IF('Calculations'!HV241="","",IF('Calculations'!HV241="!AMBIG","!AMBIG",IF(COUNTIF('Calculations'!$HE$13:$HE$512,"="&amp;SUBSTITUTE(SUBSTITUTE(SUBSTITUTE('Calculations'!HV241,"~","~~"),"*","~*"),"?","~?"))&gt;1,"!AMBIG",IFERROR(INDEX('Calculations'!$HF$13:$HF$512,MATCH('Calculations'!HV241,'Calculations'!$HE$13:$HE$512,0)),""))))</x:f>
      </x:c>
      <x:c r="HX241" t="str">
        <x:f>IF('Calculations'!HW241="","",IF('Calculations'!HW241="!AMBIG","!AMBIG",IF(COUNTIF('Calculations'!$HE$13:$HE$512,"="&amp;SUBSTITUTE(SUBSTITUTE(SUBSTITUTE('Calculations'!HW241,"~","~~"),"*","~*"),"?","~?"))&gt;1,"!AMBIG",IFERROR(INDEX('Calculations'!$HF$13:$HF$512,MATCH('Calculations'!HW241,'Calculations'!$HE$13:$HE$512,0)),""))))</x:f>
      </x:c>
      <x:c r="HY241" t="str">
        <x:f>IF('Calculations'!HX241="","",IF('Calculations'!HX241="!AMBIG","!AMBIG",IF(COUNTIF('Calculations'!$HE$13:$HE$512,"="&amp;SUBSTITUTE(SUBSTITUTE(SUBSTITUTE('Calculations'!HX241,"~","~~"),"*","~*"),"?","~?"))&gt;1,"!AMBIG",IFERROR(INDEX('Calculations'!$HF$13:$HF$512,MATCH('Calculations'!HX241,'Calculations'!$HE$13:$HE$512,0)),""))))</x:f>
      </x:c>
      <x:c r="HZ241" t="str">
        <x:f>IF('Calculations'!HY241="","",IF('Calculations'!HY241="!AMBIG","!AMBIG",IF(COUNTIF('Calculations'!$HE$13:$HE$512,"="&amp;SUBSTITUTE(SUBSTITUTE(SUBSTITUTE('Calculations'!HY241,"~","~~"),"*","~*"),"?","~?"))&gt;1,"!AMBIG",IFERROR(INDEX('Calculations'!$HF$13:$HF$512,MATCH('Calculations'!HY241,'Calculations'!$HE$13:$HE$512,0)),""))))</x:f>
      </x:c>
      <x:c r="IA241" t="str">
        <x:f>IF('Calculations'!HZ241="","",IF('Calculations'!HZ241="!AMBIG","!AMBIG",IF(COUNTIF('Calculations'!$HE$13:$HE$512,"="&amp;SUBSTITUTE(SUBSTITUTE(SUBSTITUTE('Calculations'!HZ241,"~","~~"),"*","~*"),"?","~?"))&gt;1,"!AMBIG",IFERROR(INDEX('Calculations'!$HF$13:$HF$512,MATCH('Calculations'!HZ241,'Calculations'!$HE$13:$HE$512,0)),""))))</x:f>
      </x:c>
      <x:c r="IB241" t="str">
        <x:f>IF('Calculations'!IA241="","",IF('Calculations'!IA241="!AMBIG","!AMBIG",IF(COUNTIF('Calculations'!$HE$13:$HE$512,"="&amp;SUBSTITUTE(SUBSTITUTE(SUBSTITUTE('Calculations'!IA241,"~","~~"),"*","~*"),"?","~?"))&gt;1,"!AMBIG",IFERROR(INDEX('Calculations'!$HF$13:$HF$512,MATCH('Calculations'!IA241,'Calculations'!$HE$13:$HE$512,0)),""))))</x:f>
      </x:c>
      <x:c r="IC241" t="str">
        <x:f>IF('Calculations'!IB241="","",IF('Calculations'!IB241="!AMBIG","!AMBIG",IF(COUNTIF('Calculations'!$HE$13:$HE$512,"="&amp;SUBSTITUTE(SUBSTITUTE(SUBSTITUTE('Calculations'!IB241,"~","~~"),"*","~*"),"?","~?"))&gt;1,"!AMBIG",IFERROR(INDEX('Calculations'!$HF$13:$HF$512,MATCH('Calculations'!IB241,'Calculations'!$HE$13:$HE$512,0)),""))))</x:f>
      </x:c>
      <x:c r="ID241" t="str">
        <x:f>IF('Calculations'!IC241="","",IF('Calculations'!IC241="!AMBIG","!AMBIG",IF(COUNTIF('Calculations'!$HE$13:$HE$512,"="&amp;SUBSTITUTE(SUBSTITUTE(SUBSTITUTE('Calculations'!IC241,"~","~~"),"*","~*"),"?","~?"))&gt;1,"!AMBIG",IFERROR(INDEX('Calculations'!$HF$13:$HF$512,MATCH('Calculations'!IC241,'Calculations'!$HE$13:$HE$512,0)),""))))</x:f>
      </x:c>
      <x:c r="IE241" t="str">
        <x:f>IF('Calculations'!ID241="","",IF('Calculations'!ID241="!AMBIG","!AMBIG",IF(COUNTIF('Calculations'!$HE$13:$HE$512,"="&amp;SUBSTITUTE(SUBSTITUTE(SUBSTITUTE('Calculations'!ID241,"~","~~"),"*","~*"),"?","~?"))&gt;1,"!AMBIG",IFERROR(INDEX('Calculations'!$HF$13:$HF$512,MATCH('Calculations'!ID241,'Calculations'!$HE$13:$HE$512,0)),""))))</x:f>
      </x:c>
      <x:c r="IF241" t="str">
        <x:f>IF('Calculations'!IE241="","",IF('Calculations'!IE241="!AMBIG","!AMBIG",IF(COUNTIF('Calculations'!$HE$13:$HE$512,"="&amp;SUBSTITUTE(SUBSTITUTE(SUBSTITUTE('Calculations'!IE241,"~","~~"),"*","~*"),"?","~?"))&gt;1,"!AMBIG",IFERROR(INDEX('Calculations'!$HF$13:$HF$512,MATCH('Calculations'!IE241,'Calculations'!$HE$13:$HE$512,0)),""))))</x:f>
      </x:c>
      <x:c r="IG241" t="str">
        <x:f>IF('Calculations'!IF241="","",IF('Calculations'!IF241="!AMBIG","!AMBIG",IF(COUNTIF('Calculations'!$HE$13:$HE$512,"="&amp;SUBSTITUTE(SUBSTITUTE(SUBSTITUTE('Calculations'!IF241,"~","~~"),"*","~*"),"?","~?"))&gt;1,"!AMBIG",IFERROR(INDEX('Calculations'!$HF$13:$HF$512,MATCH('Calculations'!IF241,'Calculations'!$HE$13:$HE$512,0)),""))))</x:f>
      </x:c>
      <x:c r="IH241" t="str">
        <x:f>IF('Calculations'!IG241="","",IF('Calculations'!IG241="!AMBIG","!AMBIG",IF(COUNTIF('Calculations'!$HE$13:$HE$512,"="&amp;SUBSTITUTE(SUBSTITUTE(SUBSTITUTE('Calculations'!IG241,"~","~~"),"*","~*"),"?","~?"))&gt;1,"!AMBIG",IFERROR(INDEX('Calculations'!$HF$13:$HF$512,MATCH('Calculations'!IG241,'Calculations'!$HE$13:$HE$512,0)),""))))</x:f>
      </x:c>
      <x:c r="II241" t="str">
        <x:f>IF('Calculations'!IH241="","",IF('Calculations'!IH241="!AMBIG","!AMBIG",IF(COUNTIF('Calculations'!$HE$13:$HE$512,"="&amp;SUBSTITUTE(SUBSTITUTE(SUBSTITUTE('Calculations'!IH241,"~","~~"),"*","~*"),"?","~?"))&gt;1,"!AMBIG",IFERROR(INDEX('Calculations'!$HF$13:$HF$512,MATCH('Calculations'!IH241,'Calculations'!$HE$13:$HE$512,0)),""))))</x:f>
      </x:c>
      <x:c r="IJ241" t="str">
        <x:f>IF('Calculations'!EM241="","",IF('Calculations'!$EF$2="All",'Calculations'!HM241,IF('Calculations'!HL241=1,"",IFERROR(IF(MATCH('Calculations'!$EF$2,'Calculations'!HO241:II241,0)=1,'Calculations'!HE241,INDEX('Calculations'!HO241:II241,1,MATCH('Calculations'!$EF$2,'Calculations'!HO241:II241,0)-1)),""))))</x:f>
      </x:c>
      <x:c r="IK241" t="n">
        <x:f>IF(AND('Calculations'!EM241&lt;&gt;"",'Calculations'!$EF$2&lt;&gt;"All",'Calculations'!HF241='Calculations'!$EF$2,'Calculations'!HL241=0,'Calculations'!JD241&gt;0),MAX('Calculations'!$IK$12:IK240)+1,0)</x:f>
        <x:v>0</x:v>
      </x:c>
      <x:c r="JA241" t="n">
        <x:f>IF(OR(IFERROR(INDIRECT("'WCM Calibration Final'!$A$241")&lt;&gt;"",FALSE),IFERROR(INDIRECT("'WCM Calibration Final'!$B$241")&lt;&gt;"",FALSE),IFERROR(INDIRECT("'WCM Calibration Final'!$C$241")&lt;&gt;"",FALSE)),241,0)</x:f>
        <x:v>0</x:v>
      </x:c>
      <x:c r="JB241" t="n">
        <x:f>'Calculations'!JB240+IF('Calculations'!JA241&gt;0,1,0)</x:f>
        <x:v>0</x:v>
      </x:c>
      <x:c r="JC241" t="n">
        <x:f>IF(OR('Calculations'!HF241="",'Calculations'!HF241="!AMBIG"),0,IF('Dashboard'!$B$7="All",1,COUNTIFS('Calculations'!$HO$13:$HO$512,"="&amp;SUBSTITUTE(SUBSTITUTE(SUBSTITUTE('Calculations'!HF241,"~","~~"),"*","~*"),"?","~?"),'Calculations'!$HN$13:$HN$512,"="&amp;SUBSTITUTE(SUBSTITUTE(SUBSTITUTE('Dashboard'!$B$7,"~","~~"),"*","~*"),"?","~?"))+COUNTIFS('Calculations'!$HP$13:$HP$512,"="&amp;SUBSTITUTE(SUBSTITUTE(SUBSTITUTE('Calculations'!HF241,"~","~~"),"*","~*"),"?","~?"),'Calculations'!$HN$13:$HN$512,"="&amp;SUBSTITUTE(SUBSTITUTE(SUBSTITUTE('Dashboard'!$B$7,"~","~~"),"*","~*"),"?","~?"))+COUNTIFS('Calculations'!$HQ$13:$HQ$512,"="&amp;SUBSTITUTE(SUBSTITUTE(SUBSTITUTE('Calculations'!HF241,"~","~~"),"*","~*"),"?","~?"),'Calculations'!$HN$13:$HN$512,"="&amp;SUBSTITUTE(SUBSTITUTE(SUBSTITUTE('Dashboard'!$B$7,"~","~~"),"*","~*"),"?","~?"))+COUNTIFS('Calculations'!$HR$13:$HR$512,"="&amp;SUBSTITUTE(SUBSTITUTE(SUBSTITUTE('Calculations'!HF241,"~","~~"),"*","~*"),"?","~?"),'Calculations'!$HN$13:$HN$512,"="&amp;SUBSTITUTE(SUBSTITUTE(SUBSTITUTE('Dashboard'!$B$7,"~","~~"),"*","~*"),"?","~?"))+COUNTIFS('Calculations'!$HS$13:$HS$512,"="&amp;SUBSTITUTE(SUBSTITUTE(SUBSTITUTE('Calculations'!HF241,"~","~~"),"*","~*"),"?","~?"),'Calculations'!$HN$13:$HN$512,"="&amp;SUBSTITUTE(SUBSTITUTE(SUBSTITUTE('Dashboard'!$B$7,"~","~~"),"*","~*"),"?","~?"))+COUNTIFS('Calculations'!$HT$13:$HT$512,"="&amp;SUBSTITUTE(SUBSTITUTE(SUBSTITUTE('Calculations'!HF241,"~","~~"),"*","~*"),"?","~?"),'Calculations'!$HN$13:$HN$512,"="&amp;SUBSTITUTE(SUBSTITUTE(SUBSTITUTE('Dashboard'!$B$7,"~","~~"),"*","~*"),"?","~?"))+COUNTIFS('Calculations'!$HU$13:$HU$512,"="&amp;SUBSTITUTE(SUBSTITUTE(SUBSTITUTE('Calculations'!HF241,"~","~~"),"*","~*"),"?","~?"),'Calculations'!$HN$13:$HN$512,"="&amp;SUBSTITUTE(SUBSTITUTE(SUBSTITUTE('Dashboard'!$B$7,"~","~~"),"*","~*"),"?","~?"))+COUNTIFS('Calculations'!$HV$13:$HV$512,"="&amp;SUBSTITUTE(SUBSTITUTE(SUBSTITUTE('Calculations'!HF241,"~","~~"),"*","~*"),"?","~?"),'Calculations'!$HN$13:$HN$512,"="&amp;SUBSTITUTE(SUBSTITUTE(SUBSTITUTE('Dashboard'!$B$7,"~","~~"),"*","~*"),"?","~?"))+COUNTIFS('Calculations'!$HW$13:$HW$512,"="&amp;SUBSTITUTE(SUBSTITUTE(SUBSTITUTE('Calculations'!HF241,"~","~~"),"*","~*"),"?","~?"),'Calculations'!$HN$13:$HN$512,"="&amp;SUBSTITUTE(SUBSTITUTE(SUBSTITUTE('Dashboard'!$B$7,"~","~~"),"*","~*"),"?","~?"))+COUNTIFS('Calculations'!$HX$13:$HX$512,"="&amp;SUBSTITUTE(SUBSTITUTE(SUBSTITUTE('Calculations'!HF241,"~","~~"),"*","~*"),"?","~?"),'Calculations'!$HN$13:$HN$512,"="&amp;SUBSTITUTE(SUBSTITUTE(SUBSTITUTE('Dashboard'!$B$7,"~","~~"),"*","~*"),"?","~?"))+COUNTIFS('Calculations'!$HY$13:$HY$512,"="&amp;SUBSTITUTE(SUBSTITUTE(SUBSTITUTE('Calculations'!HF241,"~","~~"),"*","~*"),"?","~?"),'Calculations'!$HN$13:$HN$512,"="&amp;SUBSTITUTE(SUBSTITUTE(SUBSTITUTE('Dashboard'!$B$7,"~","~~"),"*","~*"),"?","~?"))+COUNTIFS('Calculations'!$HZ$13:$HZ$512,"="&amp;SUBSTITUTE(SUBSTITUTE(SUBSTITUTE('Calculations'!HF241,"~","~~"),"*","~*"),"?","~?"),'Calculations'!$HN$13:$HN$512,"="&amp;SUBSTITUTE(SUBSTITUTE(SUBSTITUTE('Dashboard'!$B$7,"~","~~"),"*","~*"),"?","~?"))+COUNTIFS('Calculations'!$IA$13:$IA$512,"="&amp;SUBSTITUTE(SUBSTITUTE(SUBSTITUTE('Calculations'!HF241,"~","~~"),"*","~*"),"?","~?"),'Calculations'!$HN$13:$HN$512,"="&amp;SUBSTITUTE(SUBSTITUTE(SUBSTITUTE('Dashboard'!$B$7,"~","~~"),"*","~*"),"?","~?"))+COUNTIFS('Calculations'!$IB$13:$IB$512,"="&amp;SUBSTITUTE(SUBSTITUTE(SUBSTITUTE('Calculations'!HF241,"~","~~"),"*","~*"),"?","~?"),'Calculations'!$HN$13:$HN$512,"="&amp;SUBSTITUTE(SUBSTITUTE(SUBSTITUTE('Dashboard'!$B$7,"~","~~"),"*","~*"),"?","~?"))+COUNTIFS('Calculations'!$IC$13:$IC$512,"="&amp;SUBSTITUTE(SUBSTITUTE(SUBSTITUTE('Calculations'!HF241,"~","~~"),"*","~*"),"?","~?"),'Calculations'!$HN$13:$HN$512,"="&amp;SUBSTITUTE(SUBSTITUTE(SUBSTITUTE('Dashboard'!$B$7,"~","~~"),"*","~*"),"?","~?"))+COUNTIFS('Calculations'!$ID$13:$ID$512,"="&amp;SUBSTITUTE(SUBSTITUTE(SUBSTITUTE('Calculations'!HF241,"~","~~"),"*","~*"),"?","~?"),'Calculations'!$HN$13:$HN$512,"="&amp;SUBSTITUTE(SUBSTITUTE(SUBSTITUTE('Dashboard'!$B$7,"~","~~"),"*","~*"),"?","~?"))+COUNTIFS('Calculations'!$IE$13:$IE$512,"="&amp;SUBSTITUTE(SUBSTITUTE(SUBSTITUTE('Calculations'!HF241,"~","~~"),"*","~*"),"?","~?"),'Calculations'!$HN$13:$HN$512,"="&amp;SUBSTITUTE(SUBSTITUTE(SUBSTITUTE('Dashboard'!$B$7,"~","~~"),"*","~*"),"?","~?"))+COUNTIFS('Calculations'!$IF$13:$IF$512,"="&amp;SUBSTITUTE(SUBSTITUTE(SUBSTITUTE('Calculations'!HF241,"~","~~"),"*","~*"),"?","~?"),'Calculations'!$HN$13:$HN$512,"="&amp;SUBSTITUTE(SUBSTITUTE(SUBSTITUTE('Dashboard'!$B$7,"~","~~"),"*","~*"),"?","~?"))+COUNTIFS('Calculations'!$IG$13:$IG$512,"="&amp;SUBSTITUTE(SUBSTITUTE(SUBSTITUTE('Calculations'!HF241,"~","~~"),"*","~*"),"?","~?"),'Calculations'!$HN$13:$HN$512,"="&amp;SUBSTITUTE(SUBSTITUTE(SUBSTITUTE('Dashboard'!$B$7,"~","~~"),"*","~*"),"?","~?"))+COUNTIFS('Calculations'!$IH$13:$IH$512,"="&amp;SUBSTITUTE(SUBSTITUTE(SUBSTITUTE('Calculations'!HF241,"~","~~"),"*","~*"),"?","~?"),'Calculations'!$HN$13:$HN$512,"="&amp;SUBSTITUTE(SUBSTITUTE(SUBSTITUTE('Dashboard'!$B$7,"~","~~"),"*","~*"),"?","~?"))))</x:f>
        <x:v>0</x:v>
      </x:c>
      <x:c r="JD241" t="n">
        <x:f>IF('Calculations'!EM241="",0,IF('Dashboard'!$B$7="All",1,IF('Calculations'!HN241='Dashboard'!$B$7,1,0)+IFERROR(INDEX('Calculations'!$JC$13:$JC$512,MATCH('Calculations'!HE241,'Calculations'!$HF$13:$HF$512,0)),0)))</x:f>
        <x:v>0</x:v>
      </x:c>
      <x:c r="JE241" t="n">
        <x:f>IF(AND('Calculations'!EM241&lt;&gt;"",'Calculations'!$JJ$2&lt;&gt;"All",'Calculations'!$JJ$2&lt;&gt;"",'Calculations'!HF241='Calculations'!$JJ$2,'Calculations'!HL241=0,'Calculations'!JD241&gt;0),MAX('Calculations'!$JE$12:JE240)+1,0)</x:f>
        <x:v>0</x:v>
      </x:c>
      <x:c r="JF241" t="str">
        <x:f>IF('Calculations'!EM241="","",IFERROR(IF(INDEX(INDIRECT("'WCM Calibration Final'!$G$1:$G$2000"),'Calculations'!$EM241)="","",TRIM(INDEX(INDIRECT("'WCM Calibration Final'!$G$1:$G$2000"),'Calculations'!$EM241)&amp;"")),""))</x:f>
      </x:c>
      <x:c r="JQ241" t="n">
        <x:f>IF(OR('Calculations'!BM241=0,NOT('Calculations'!$AG$2),'Calculations'!$AG$8&gt;0),0,IF(OR('Dashboard'!$B$7="All",'Calculations'!HN241='Dashboard'!$B$7),IF('Calculations'!$JJ$2="All",1,IF(AND('Calculations'!HF241='Calculations'!$JJ$2,'Calculations'!HL241=0),1,0)),0))</x:f>
        <x:v>0</x:v>
      </x:c>
    </x:row>
    <x:row r="242">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t="n">
        <x:f>IF('Calculations'!$EM242="",0,IF(OR(IFERROR(INDEX(INDIRECT("'WCM Calibration Final'!$A$1:$A$2000"),'Calculations'!$EM242)&lt;&gt;"",FALSE),IFERROR(INDEX(INDIRECT("'WCM Calibration Final'!$B$1:$B$2000"),'Calculations'!$EM242)&lt;&gt;"",FALSE),IFERROR(INDEX(INDIRECT("'WCM Calibration Final'!$C$1:$C$2000"),'Calculations'!$EM242)&lt;&gt;"",FALSE)),1,0))</x:f>
        <x:v>0</x:v>
      </x:c>
      <x:c r="BN242" s="4" t="n">
        <x:f>IF(AND('Calculations'!BM242=1,'Calculations'!$AG$2,'Calculations'!$EN242=1),1,0)</x:f>
        <x:v>0</x:v>
      </x:c>
      <x:c r="BO242" s="4" t="str">
        <x:f>IF('Calculations'!BM242=0,"",IFERROR(IF(AND(VALUE(INDEX(INDIRECT("'WCM Calibration Final'!$K$1:$K$2000"),'Calculations'!$EM242))&gt;=1,VALUE(INDEX(INDIRECT("'WCM Calibration Final'!$K$1:$K$2000"),'Calculations'!$EM242))&lt;=4,MOD(VALUE(INDEX(INDIRECT("'WCM Calibration Final'!$K$1:$K$2000"),'Calculations'!$EM242)),1)=0),VALUE(INDEX(INDIRECT("'WCM Calibration Final'!$K$1:$K$2000"),'Calculations'!$EM242)),""),""))</x:f>
      </x:c>
      <x:c r="BP242" s="4" t="str">
        <x:f>IF('Calculations'!BM242=0,"",IFERROR(IF(AND(VALUE(INDEX(INDIRECT("'WCM Calibration Final'!$L$1:$L$2000"),'Calculations'!$EM242))&gt;=1,VALUE(INDEX(INDIRECT("'WCM Calibration Final'!$L$1:$L$2000"),'Calculations'!$EM242))&lt;=4,MOD(VALUE(INDEX(INDIRECT("'WCM Calibration Final'!$L$1:$L$2000"),'Calculations'!$EM242)),1)=0),VALUE(INDEX(INDIRECT("'WCM Calibration Final'!$L$1:$L$2000"),'Calculations'!$EM242)),""),""))</x:f>
      </x:c>
      <x:c r="BQ242" s="4"/>
      <x:c r="BR242" s="4"/>
      <x:c r="BS242" s="4"/>
      <x:c r="BT242" s="4" t="n">
        <x:f>IF(AND('Calculations'!BM242=1,ISNUMBER('Calculations'!BO242),ISNUMBER('Calculations'!BP242)),1,0)</x:f>
        <x:v>0</x:v>
      </x:c>
      <x:c r="BU242" s="4" t="str">
        <x:f>IF('Calculations'!BM242=0,"",'Calculations'!$EO242)</x:f>
      </x:c>
      <x:c r="BV242" s="4" t="str">
        <x:f>IF('Calculations'!BM242=0,"",IFERROR(IF(OR(INDEX(INDIRECT("'WCM Calibration Final'!$H$1:$H$2000"),'Calculations'!$EM242)="MANAGING DIRECTOR",INDEX(INDIRECT("'WCM Calibration Final'!$H$1:$H$2000"),'Calculations'!$EM242)="DIRECTOR",INDEX(INDIRECT("'WCM Calibration Final'!$H$1:$H$2000"),'Calculations'!$EM242)="SENIOR VICE PRESIDENT",INDEX(INDIRECT("'WCM Calibration Final'!$H$1:$H$2000"),'Calculations'!$EM242)="VICE PRESIDENT",INDEX(INDIRECT("'WCM Calibration Final'!$H$1:$H$2000"),'Calculations'!$EM242)="ASSISTANT VICE PRESIDENT",INDEX(INDIRECT("'WCM Calibration Final'!$H$1:$H$2000"),'Calculations'!$EM242)="OFFICER"),UPPER(INDEX(INDIRECT("'WCM Calibration Final'!$H$1:$H$2000"),'Calculations'!$EM242)),"Other"),"Other"))</x:f>
      </x:c>
      <x:c r="BW242" s="4"/>
      <x:c r="BX242" s="4"/>
      <x:c r="BY242" s="4" t="n">
        <x:f>IF(AND('Calculations'!BM242=1,'Calculations'!BU242&lt;&gt;"",COUNTIF('Calculations'!$BU$12:BU242,'Calculations'!BU242)=1),MAX('Calculations'!$BY$11:BY241)+1,0)</x:f>
        <x:v>0</x:v>
      </x:c>
      <x:c r="BZ242" s="4" t="str">
        <x:f>IF('Dashboard'!$E$67="What",'Calculations'!BO242,'Calculations'!BP242)</x:f>
      </x:c>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t="str">
        <x:f>IF(231&gt;MAX('Calculations'!$HI$13:$HI$512),"",INDEX('Calculations'!$HN$13:$HN$512,MATCH(231,'Calculations'!$HI$13:$HI$512,0)))</x:f>
      </x:c>
      <x:c r="DB242" s="4" t="str">
        <x:f>IF(231&gt;MAX('Calculations'!$HH$13:$HH$512),"",INDEX('Calculations'!$HJ$13:$HJ$512,MATCH(231,'Calculations'!$HH$13:$HH$512,0)))</x:f>
      </x:c>
      <x:c r="DC242" s="4" t="str">
        <x:f>IF(ROW()-11&gt;MAX('Calculations'!$BY$13:$BY$512),"",INDEX('Calculations'!$BU$13:$BU$512,MATCH(ROW()-11,'Calculations'!$BY$13:$BY$512,0)))</x:f>
      </x:c>
      <x:c r="DD242" s="4" t="str">
        <x:f>IF(231&gt;MAX('Calculations'!$IK$13:$IK$512),"",INDEX('Calculations'!$HK$13:$HK$512,MATCH(231,'Calculations'!$IK$13:$IK$512,0)))</x:f>
      </x:c>
      <x:c r="DE242" s="4" t="str">
        <x:f>'Calculations'!DC242</x:f>
      </x:c>
      <x:c r="DF242" s="4" t="str">
        <x:f>IF('Calculations'!DE242="","",COUNTIFS('Calculations'!$BN$13:$BN$512,1,'Calculations'!$BU$13:$BU$512,'Calculations'!DE242))</x:f>
      </x:c>
      <x:c r="DG242" s="4" t="str">
        <x:f>IF('Calculations'!DE242="","",COUNTIFS('Calculations'!$BN$13:$BN$512,1,'Calculations'!$BU$13:$BU$512,'Calculations'!DE242,'Calculations'!$BT$13:$BT$512,1))</x:f>
      </x:c>
      <x:c r="DH242" s="4" t="str">
        <x:f>IF('Calculations'!DE242="","",'Calculations'!DF242-'Calculations'!DG242)</x:f>
      </x:c>
      <x:c r="DI242" s="4" t="str">
        <x:f>IF(OR('Calculations'!DE242="",'Calculations'!DF242=0),"",'Calculations'!DG242/'Calculations'!DF242)</x:f>
      </x:c>
      <x:c r="DJ242" s="4" t="str">
        <x:f>IF('Calculations'!DE242="","",COUNTIFS('Calculations'!$BN$13:$BN$512,1,'Calculations'!$BU$13:$BU$512,'Calculations'!DE242,'Calculations'!$BT$13:$BT$512,1,'Calculations'!$EE$13:$EE$512,"High"))</x:f>
      </x:c>
      <x:c r="DK242" s="4" t="str">
        <x:f>IF('Calculations'!DE242="","",COUNTIFS('Calculations'!$BN$13:$BN$512,1,'Calculations'!$BU$13:$BU$512,'Calculations'!DE242,'Calculations'!$BT$13:$BT$512,1,'Calculations'!$EE$13:$EE$512,"Strong"))</x:f>
      </x:c>
      <x:c r="DL242" s="4" t="str">
        <x:f>IF('Calculations'!DE242="","",COUNTIFS('Calculations'!$BN$13:$BN$512,1,'Calculations'!$BU$13:$BU$512,'Calculations'!DE242,'Calculations'!$BT$13:$BT$512,1,'Calculations'!$EE$13:$EE$512,"Solid"))</x:f>
      </x:c>
      <x:c r="DM242" s="4" t="str">
        <x:f>IF('Calculations'!DE242="","",COUNTIFS('Calculations'!$BN$13:$BN$512,1,'Calculations'!$BU$13:$BU$512,'Calculations'!DE242,'Calculations'!$BT$13:$BT$512,1,'Calculations'!$EE$13:$EE$512,"Low"))</x:f>
      </x:c>
      <x:c r="DN242" s="4" t="str">
        <x:f>IF('Calculations'!DE242="","",COUNTIFS('Calculations'!$BN$13:$BN$512,1,'Calculations'!$BU$13:$BU$512,'Calculations'!DE242,'Calculations'!$EP$13:$EP$512,1))</x:f>
      </x:c>
      <x:c r="DO242" s="4" t="str">
        <x:f>IF(OR('Calculations'!DE242="",'Calculations'!DG242=0),"",('Calculations'!DJ242+'Calculations'!DK242)/'Calculations'!DG242)</x:f>
      </x:c>
      <x:c r="DP242" s="4" t="n">
        <x:f>IF(AND('Calculations'!DE242&lt;&gt;"",'Calculations'!DF242&gt;0),COUNTIF('Calculations'!$DF$12:DF242,"&gt;0"),0)</x:f>
        <x:v>0</x:v>
      </x:c>
      <x:c r="DQ242" s="4" t="str">
        <x:f>IF(231&gt;MAX('Calculations'!$HH$13:$HH$512),"",INDEX('Calculations'!$HF$13:$HF$512,MATCH(231,'Calculations'!$HH$13:$HH$512,0)))</x:f>
      </x:c>
      <x:c r="DR242" s="4" t="str">
        <x:f>IF(231&gt;MAX('Calculations'!$IK$13:$IK$512),"",INDEX('Calculations'!$HE$13:$HE$512,MATCH(231,'Calculations'!$IK$13:$IK$512,0)))</x:f>
      </x:c>
      <x:c r="DS242" s="4"/>
      <x:c r="DT242" s="4"/>
      <x:c r="DU242" s="4"/>
      <x:c r="DV242" s="4"/>
      <x:c r="DW242" s="4"/>
      <x:c r="DX242" s="4"/>
      <x:c r="DY242" s="4"/>
      <x:c r="DZ242" s="4"/>
      <x:c r="EA242" s="4"/>
      <x:c r="EB242" s="4"/>
      <x:c r="EC242" s="4"/>
      <x:c r="ED242" s="4"/>
      <x:c r="EE242" s="4" t="str">
        <x:f>IF('Calculations'!BT242=0,"Not Rated",IF(OR('Calculations'!BO242&gt;=4,'Calculations'!BP242&gt;=4),"Low",IF('Calculations'!BO242+'Calculations'!BP242&lt;=3,"High",IF('Calculations'!BO242+'Calculations'!BP242&lt;=4,"Strong","Solid"))))</x:f>
        <x:v>Not Rated</x:v>
      </x:c>
      <x:c r="EF242" s="4"/>
      <x:c r="EG242" s="4"/>
      <x:c r="EH242" s="4"/>
      <x:c r="EI242" s="4"/>
      <x:c r="EJ242" s="4"/>
      <x:c r="EK242" s="4"/>
      <x:c r="EL242" s="4"/>
      <x:c r="EM242" s="4" t="str">
        <x:f>IF(230&gt;'Calculations'!$JB$2000,"",INDEX('Calculations'!$JA$12:$JA$2000,MATCH(230,'Calculations'!$JB$12:$JB$2000,0)))</x:f>
      </x:c>
      <x:c r="EN242" s="4" t="n">
        <x:f>IF(OR('Calculations'!EM242="",'Calculations'!$AG$8&gt;0,AND('Calculations'!$EF$2&lt;&gt;"All",'Calculations'!HE242='Calculations'!$EF$2),AND('Calculations'!$EF$3&lt;&gt;"All",'Calculations'!HE242='Calculations'!$EF$3)),0,IF(OR('Dashboard'!$B$7="All",'Calculations'!HN242='Dashboard'!$B$7),IF('Calculations'!$EF$2="All",1,IF('Calculations'!HL242&gt;0,0,IF(COUNTIF('Calculations'!HO242:II242,"="&amp;SUBSTITUTE(SUBSTITUTE(SUBSTITUTE('Calculations'!$EF$2,"~","~~"),"*","~*"),"?","~?"))=0,0,IF('Calculations'!$EF$3="All",1,IF(COUNTIF('Calculations'!HO242:II242,"="&amp;SUBSTITUTE(SUBSTITUTE(SUBSTITUTE('Calculations'!$EF$3,"~","~~"),"*","~*"),"?","~?"))&gt;0,1,0))))),0))</x:f>
        <x:v>0</x:v>
      </x:c>
      <x:c r="EO242" s="4" t="str">
        <x:f>IF('Calculations'!IJ242="","",IF('Calculations'!IJ242="!UNRESOLVED","Unresolved hierarchy",IFERROR(INDEX('Calculations'!$HK$13:$HK$512,MATCH('Calculations'!IJ242,'Calculations'!$HE$13:$HE$512,0)),IFERROR(INDEX('Calculations'!$HJ$13:$HJ$512,MATCH('Calculations'!IJ242,'Calculations'!$HF$13:$HF$512,0)),'Calculations'!IJ242))))</x:f>
      </x:c>
      <x:c r="EP242" s="4" t="n">
        <x:f>IF(AND('Calculations'!EM242&lt;&gt;"",'Calculations'!HF242='Calculations'!IJ242),1,0)</x:f>
        <x:v>0</x:v>
      </x:c>
      <x:c r="EQ242" s="4"/>
      <x:c r="ER242" s="4"/>
      <x:c r="ES242" s="4"/>
      <x:c r="ET242" s="4"/>
      <x:c r="EU242" s="4"/>
      <x:c r="EV242" s="4"/>
      <x:c r="EW242" s="4"/>
      <x:c r="EX242" s="4"/>
      <x:c r="EY242" s="4"/>
      <x:c r="EZ242" s="4"/>
      <x:c r="FA242" s="4"/>
      <x:c r="FB242" s="4"/>
      <x:c r="FC242" s="4"/>
      <x:c r="FD242" s="4"/>
      <x:c r="FE242" s="4"/>
      <x:c r="FF242" s="4"/>
      <x:c r="FG242" s="4"/>
      <x:c r="FH242" s="4"/>
      <x:c r="FI242" s="4"/>
      <x:c r="FJ242" s="4"/>
      <x:c r="FK242" s="4"/>
      <x:c r="FL242" s="4"/>
      <x:c r="FM242" s="4"/>
      <x:c r="FN242" s="4"/>
      <x:c r="FO242" s="4"/>
      <x:c r="HE242" t="str">
        <x:f>IF('Calculations'!EM242="","",IF(IFERROR(IF(INDEX(INDIRECT("'WCM Calibration Final'!$A$1:$A$2000"),'Calculations'!$EM242)="","",TRIM(INDEX(INDIRECT("'WCM Calibration Final'!$A$1:$A$2000"),'Calculations'!$EM242)&amp;"")),"")&lt;&gt;"","G:"&amp;IFERROR(TEXT(1*INDEX(INDIRECT("'WCM Calibration Final'!$A$1:$A$2000"),'Calculations'!$EM242),"0"),UPPER(IFERROR(IF(INDEX(INDIRECT("'WCM Calibration Final'!$A$1:$A$2000"),'Calculations'!$EM242)="","",TRIM(INDEX(INDIRECT("'WCM Calibration Final'!$A$1:$A$2000"),'Calculations'!$EM242)&amp;"")),""))),IF(IFERROR(IF(INDEX(INDIRECT("'WCM Calibration Final'!$C$1:$C$2000"),'Calculations'!$EM242)="","",TRIM(INDEX(INDIRECT("'WCM Calibration Final'!$C$1:$C$2000"),'Calculations'!$EM242)&amp;"")),"")&lt;&gt;"","S:"&amp;UPPER(IFERROR(IF(INDEX(INDIRECT("'WCM Calibration Final'!$C$1:$C$2000"),'Calculations'!$EM242)="","",TRIM(INDEX(INDIRECT("'WCM Calibration Final'!$C$1:$C$2000"),'Calculations'!$EM242)&amp;"")),"")),"R:"&amp;'Calculations'!EM242)))</x:f>
      </x:c>
      <x:c r="HF242" t="str">
        <x:f>IF('Calculations'!EM242="","",IF(IFERROR(IF(INDEX(INDIRECT("'WCM Calibration Final'!$D$1:$D$2000"),'Calculations'!$EM242)="","",TRIM(INDEX(INDIRECT("'WCM Calibration Final'!$D$1:$D$2000"),'Calculations'!$EM242)&amp;"")),"")&lt;&gt;"","G:"&amp;IFERROR(TEXT(1*INDEX(INDIRECT("'WCM Calibration Final'!$D$1:$D$2000"),'Calculations'!$EM242),"0"),UPPER(IFERROR(IF(INDEX(INDIRECT("'WCM Calibration Final'!$D$1:$D$2000"),'Calculations'!$EM242)="","",TRIM(INDEX(INDIRECT("'WCM Calibration Final'!$D$1:$D$2000"),'Calculations'!$EM242)&amp;"")),""))),IF(IFERROR(IF(INDEX(INDIRECT("'WCM Calibration Final'!$E$1:$E$2000"),'Calculations'!$EM242)="","",TRIM(INDEX(INDIRECT("'WCM Calibration Final'!$E$1:$E$2000"),'Calculations'!$EM242)&amp;"")),"")="","",IF(COUNTIF('Calculations'!$HG$13:$HG$512,"="&amp;SUBSTITUTE(SUBSTITUTE(SUBSTITUTE(IFERROR(IF(INDEX(INDIRECT("'WCM Calibration Final'!$E$1:$E$2000"),'Calculations'!$EM242)="","",TRIM(INDEX(INDIRECT("'WCM Calibration Final'!$E$1:$E$2000"),'Calculations'!$EM242)&amp;"")),""),"~","~~"),"*","~*"),"?","~?"))=1,INDEX('Calculations'!$HE$13:$HE$512,MATCH(IFERROR(IF(INDEX(INDIRECT("'WCM Calibration Final'!$E$1:$E$2000"),'Calculations'!$EM242)="","",TRIM(INDEX(INDIRECT("'WCM Calibration Final'!$E$1:$E$2000"),'Calculations'!$EM242)&amp;"")),""),'Calculations'!$HG$13:$HG$512,0)),IF(COUNTIF('Calculations'!$HG$13:$HG$512,"="&amp;SUBSTITUTE(SUBSTITUTE(SUBSTITUTE(IFERROR(IF(INDEX(INDIRECT("'WCM Calibration Final'!$E$1:$E$2000"),'Calculations'!$EM242)="","",TRIM(INDEX(INDIRECT("'WCM Calibration Final'!$E$1:$E$2000"),'Calculations'!$EM242)&amp;"")),""),"~","~~"),"*","~*"),"?","~?"))&gt;1,"!AMBIG","X:"&amp;IFERROR(IF(INDEX(INDIRECT("'WCM Calibration Final'!$E$1:$E$2000"),'Calculations'!$EM242)="","",TRIM(INDEX(INDIRECT("'WCM Calibration Final'!$E$1:$E$2000"),'Calculations'!$EM242)&amp;"")),""))))))</x:f>
      </x:c>
      <x:c r="HG242" t="str">
        <x:f>IF('Calculations'!EM242="","",IFERROR(IF(INDEX(INDIRECT("'WCM Calibration Final'!$B$1:$B$2000"),'Calculations'!$EM242)="","",TRIM(INDEX(INDIRECT("'WCM Calibration Final'!$B$1:$B$2000"),'Calculations'!$EM242)&amp;"")),""))</x:f>
      </x:c>
      <x:c r="HH242" t="n">
        <x:f>IF(AND('Calculations'!JC242&gt;0,COUNTIF('Calculations'!$HF$12:HF242,"="&amp;SUBSTITUTE(SUBSTITUTE(SUBSTITUTE('Calculations'!HF242,"~","~~"),"*","~*"),"?","~?"))=1),MAX('Calculations'!$HH$12:HH241)+1,0)</x:f>
        <x:v>0</x:v>
      </x:c>
      <x:c r="HI242" t="n">
        <x:f>IF(AND('Calculations'!HN242&lt;&gt;"",COUNTIF('Calculations'!$HN$12:HN242,"="&amp;SUBSTITUTE(SUBSTITUTE(SUBSTITUTE('Calculations'!HN242,"~","~~"),"*","~*"),"?","~?"))=1),MAX('Calculations'!$HI$12:HI241)+1,0)</x:f>
        <x:v>0</x:v>
      </x:c>
      <x:c r="HJ242" t="str">
        <x:f>IF('Calculations'!HF242="","",IF(COUNTIF('Calculations'!$HE$13:$HE$512,"="&amp;SUBSTITUTE(SUBSTITUTE(SUBSTITUTE('Calculations'!HF242,"~","~~"),"*","~*"),"?","~?"))=1,INDEX('Calculations'!$HK$13:$HK$512,MATCH('Calculations'!HF242,'Calculations'!$HE$13:$HE$512,0)),IFERROR(IF(INDEX(INDIRECT("'WCM Calibration Final'!$E$1:$E$2000"),'Calculations'!$EM242)="","",TRIM(INDEX(INDIRECT("'WCM Calibration Final'!$E$1:$E$2000"),'Calculations'!$EM242)&amp;"")),"")&amp;" ["&amp;'Calculations'!HF242&amp;"]"))</x:f>
      </x:c>
      <x:c r="HK242" t="str">
        <x:f>IF('Calculations'!EM242="","",'Calculations'!HG242&amp;" ["&amp;'Calculations'!HE242&amp;"]")</x:f>
      </x:c>
      <x:c r="HL242" t="n">
        <x:f>IF('Calculations'!EM242="",0,IF(OR('Calculations'!II242&lt;&gt;"",COUNTIF('Calculations'!$HE$13:$HE$512,"="&amp;SUBSTITUTE(SUBSTITUTE(SUBSTITUTE('Calculations'!HE242,"~","~~"),"*","~*"),"?","~?"))&gt;1),1,0))</x:f>
        <x:v>0</x:v>
      </x:c>
      <x:c r="HM242" t="str">
        <x:f>IF('Calculations'!EM242="","",IF('Calculations'!HL242=1,"!UNRESOLVED",IF('Calculations'!IH242&lt;&gt;"",'Calculations'!IH242,IF('Calculations'!IG242&lt;&gt;"",'Calculations'!IG242,IF('Calculations'!IF242&lt;&gt;"",'Calculations'!IF242,IF('Calculations'!IE242&lt;&gt;"",'Calculations'!IE242,IF('Calculations'!ID242&lt;&gt;"",'Calculations'!ID242,IF('Calculations'!IC242&lt;&gt;"",'Calculations'!IC242,IF('Calculations'!IB242&lt;&gt;"",'Calculations'!IB242,IF('Calculations'!IA242&lt;&gt;"",'Calculations'!IA242,IF('Calculations'!HZ242&lt;&gt;"",'Calculations'!HZ242,IF('Calculations'!HY242&lt;&gt;"",'Calculations'!HY242,IF('Calculations'!HX242&lt;&gt;"",'Calculations'!HX242,IF('Calculations'!HW242&lt;&gt;"",'Calculations'!HW242,IF('Calculations'!HV242&lt;&gt;"",'Calculations'!HV242,IF('Calculations'!HU242&lt;&gt;"",'Calculations'!HU242,IF('Calculations'!HT242&lt;&gt;"",'Calculations'!HT242,IF('Calculations'!HS242&lt;&gt;"",'Calculations'!HS242,IF('Calculations'!HR242&lt;&gt;"",'Calculations'!HR242,IF('Calculations'!HQ242&lt;&gt;"",'Calculations'!HQ242,IF('Calculations'!HP242&lt;&gt;"",'Calculations'!HP242,IF('Calculations'!HO242&lt;&gt;"",'Calculations'!HO242,'Calculations'!HE242))))))))))))))))))))))</x:f>
      </x:c>
      <x:c r="HN242" t="str">
        <x:f>IF('Calculations'!EM242="","",IF(IFERROR(IF(INDEX(INDIRECT("'WCM Calibration Final'!$F$1:$F$2000"),'Calculations'!$EM242)="","",TRIM(INDEX(INDIRECT("'WCM Calibration Final'!$F$1:$F$2000"),'Calculations'!$EM242)&amp;"")),"")="","(Blank)",IFERROR(IF(INDEX(INDIRECT("'WCM Calibration Final'!$F$1:$F$2000"),'Calculations'!$EM242)="","",TRIM(INDEX(INDIRECT("'WCM Calibration Final'!$F$1:$F$2000"),'Calculations'!$EM242)&amp;"")),"")))</x:f>
      </x:c>
      <x:c r="HO242" t="str">
        <x:f>'Calculations'!HF242</x:f>
      </x:c>
      <x:c r="HP242" t="str">
        <x:f>IF('Calculations'!HO242="","",IF('Calculations'!HO242="!AMBIG","!AMBIG",IF(COUNTIF('Calculations'!$HE$13:$HE$512,"="&amp;SUBSTITUTE(SUBSTITUTE(SUBSTITUTE('Calculations'!HO242,"~","~~"),"*","~*"),"?","~?"))&gt;1,"!AMBIG",IFERROR(INDEX('Calculations'!$HF$13:$HF$512,MATCH('Calculations'!HO242,'Calculations'!$HE$13:$HE$512,0)),""))))</x:f>
      </x:c>
      <x:c r="HQ242" t="str">
        <x:f>IF('Calculations'!HP242="","",IF('Calculations'!HP242="!AMBIG","!AMBIG",IF(COUNTIF('Calculations'!$HE$13:$HE$512,"="&amp;SUBSTITUTE(SUBSTITUTE(SUBSTITUTE('Calculations'!HP242,"~","~~"),"*","~*"),"?","~?"))&gt;1,"!AMBIG",IFERROR(INDEX('Calculations'!$HF$13:$HF$512,MATCH('Calculations'!HP242,'Calculations'!$HE$13:$HE$512,0)),""))))</x:f>
      </x:c>
      <x:c r="HR242" t="str">
        <x:f>IF('Calculations'!HQ242="","",IF('Calculations'!HQ242="!AMBIG","!AMBIG",IF(COUNTIF('Calculations'!$HE$13:$HE$512,"="&amp;SUBSTITUTE(SUBSTITUTE(SUBSTITUTE('Calculations'!HQ242,"~","~~"),"*","~*"),"?","~?"))&gt;1,"!AMBIG",IFERROR(INDEX('Calculations'!$HF$13:$HF$512,MATCH('Calculations'!HQ242,'Calculations'!$HE$13:$HE$512,0)),""))))</x:f>
      </x:c>
      <x:c r="HS242" t="str">
        <x:f>IF('Calculations'!HR242="","",IF('Calculations'!HR242="!AMBIG","!AMBIG",IF(COUNTIF('Calculations'!$HE$13:$HE$512,"="&amp;SUBSTITUTE(SUBSTITUTE(SUBSTITUTE('Calculations'!HR242,"~","~~"),"*","~*"),"?","~?"))&gt;1,"!AMBIG",IFERROR(INDEX('Calculations'!$HF$13:$HF$512,MATCH('Calculations'!HR242,'Calculations'!$HE$13:$HE$512,0)),""))))</x:f>
      </x:c>
      <x:c r="HT242" t="str">
        <x:f>IF('Calculations'!HS242="","",IF('Calculations'!HS242="!AMBIG","!AMBIG",IF(COUNTIF('Calculations'!$HE$13:$HE$512,"="&amp;SUBSTITUTE(SUBSTITUTE(SUBSTITUTE('Calculations'!HS242,"~","~~"),"*","~*"),"?","~?"))&gt;1,"!AMBIG",IFERROR(INDEX('Calculations'!$HF$13:$HF$512,MATCH('Calculations'!HS242,'Calculations'!$HE$13:$HE$512,0)),""))))</x:f>
      </x:c>
      <x:c r="HU242" t="str">
        <x:f>IF('Calculations'!HT242="","",IF('Calculations'!HT242="!AMBIG","!AMBIG",IF(COUNTIF('Calculations'!$HE$13:$HE$512,"="&amp;SUBSTITUTE(SUBSTITUTE(SUBSTITUTE('Calculations'!HT242,"~","~~"),"*","~*"),"?","~?"))&gt;1,"!AMBIG",IFERROR(INDEX('Calculations'!$HF$13:$HF$512,MATCH('Calculations'!HT242,'Calculations'!$HE$13:$HE$512,0)),""))))</x:f>
      </x:c>
      <x:c r="HV242" t="str">
        <x:f>IF('Calculations'!HU242="","",IF('Calculations'!HU242="!AMBIG","!AMBIG",IF(COUNTIF('Calculations'!$HE$13:$HE$512,"="&amp;SUBSTITUTE(SUBSTITUTE(SUBSTITUTE('Calculations'!HU242,"~","~~"),"*","~*"),"?","~?"))&gt;1,"!AMBIG",IFERROR(INDEX('Calculations'!$HF$13:$HF$512,MATCH('Calculations'!HU242,'Calculations'!$HE$13:$HE$512,0)),""))))</x:f>
      </x:c>
      <x:c r="HW242" t="str">
        <x:f>IF('Calculations'!HV242="","",IF('Calculations'!HV242="!AMBIG","!AMBIG",IF(COUNTIF('Calculations'!$HE$13:$HE$512,"="&amp;SUBSTITUTE(SUBSTITUTE(SUBSTITUTE('Calculations'!HV242,"~","~~"),"*","~*"),"?","~?"))&gt;1,"!AMBIG",IFERROR(INDEX('Calculations'!$HF$13:$HF$512,MATCH('Calculations'!HV242,'Calculations'!$HE$13:$HE$512,0)),""))))</x:f>
      </x:c>
      <x:c r="HX242" t="str">
        <x:f>IF('Calculations'!HW242="","",IF('Calculations'!HW242="!AMBIG","!AMBIG",IF(COUNTIF('Calculations'!$HE$13:$HE$512,"="&amp;SUBSTITUTE(SUBSTITUTE(SUBSTITUTE('Calculations'!HW242,"~","~~"),"*","~*"),"?","~?"))&gt;1,"!AMBIG",IFERROR(INDEX('Calculations'!$HF$13:$HF$512,MATCH('Calculations'!HW242,'Calculations'!$HE$13:$HE$512,0)),""))))</x:f>
      </x:c>
      <x:c r="HY242" t="str">
        <x:f>IF('Calculations'!HX242="","",IF('Calculations'!HX242="!AMBIG","!AMBIG",IF(COUNTIF('Calculations'!$HE$13:$HE$512,"="&amp;SUBSTITUTE(SUBSTITUTE(SUBSTITUTE('Calculations'!HX242,"~","~~"),"*","~*"),"?","~?"))&gt;1,"!AMBIG",IFERROR(INDEX('Calculations'!$HF$13:$HF$512,MATCH('Calculations'!HX242,'Calculations'!$HE$13:$HE$512,0)),""))))</x:f>
      </x:c>
      <x:c r="HZ242" t="str">
        <x:f>IF('Calculations'!HY242="","",IF('Calculations'!HY242="!AMBIG","!AMBIG",IF(COUNTIF('Calculations'!$HE$13:$HE$512,"="&amp;SUBSTITUTE(SUBSTITUTE(SUBSTITUTE('Calculations'!HY242,"~","~~"),"*","~*"),"?","~?"))&gt;1,"!AMBIG",IFERROR(INDEX('Calculations'!$HF$13:$HF$512,MATCH('Calculations'!HY242,'Calculations'!$HE$13:$HE$512,0)),""))))</x:f>
      </x:c>
      <x:c r="IA242" t="str">
        <x:f>IF('Calculations'!HZ242="","",IF('Calculations'!HZ242="!AMBIG","!AMBIG",IF(COUNTIF('Calculations'!$HE$13:$HE$512,"="&amp;SUBSTITUTE(SUBSTITUTE(SUBSTITUTE('Calculations'!HZ242,"~","~~"),"*","~*"),"?","~?"))&gt;1,"!AMBIG",IFERROR(INDEX('Calculations'!$HF$13:$HF$512,MATCH('Calculations'!HZ242,'Calculations'!$HE$13:$HE$512,0)),""))))</x:f>
      </x:c>
      <x:c r="IB242" t="str">
        <x:f>IF('Calculations'!IA242="","",IF('Calculations'!IA242="!AMBIG","!AMBIG",IF(COUNTIF('Calculations'!$HE$13:$HE$512,"="&amp;SUBSTITUTE(SUBSTITUTE(SUBSTITUTE('Calculations'!IA242,"~","~~"),"*","~*"),"?","~?"))&gt;1,"!AMBIG",IFERROR(INDEX('Calculations'!$HF$13:$HF$512,MATCH('Calculations'!IA242,'Calculations'!$HE$13:$HE$512,0)),""))))</x:f>
      </x:c>
      <x:c r="IC242" t="str">
        <x:f>IF('Calculations'!IB242="","",IF('Calculations'!IB242="!AMBIG","!AMBIG",IF(COUNTIF('Calculations'!$HE$13:$HE$512,"="&amp;SUBSTITUTE(SUBSTITUTE(SUBSTITUTE('Calculations'!IB242,"~","~~"),"*","~*"),"?","~?"))&gt;1,"!AMBIG",IFERROR(INDEX('Calculations'!$HF$13:$HF$512,MATCH('Calculations'!IB242,'Calculations'!$HE$13:$HE$512,0)),""))))</x:f>
      </x:c>
      <x:c r="ID242" t="str">
        <x:f>IF('Calculations'!IC242="","",IF('Calculations'!IC242="!AMBIG","!AMBIG",IF(COUNTIF('Calculations'!$HE$13:$HE$512,"="&amp;SUBSTITUTE(SUBSTITUTE(SUBSTITUTE('Calculations'!IC242,"~","~~"),"*","~*"),"?","~?"))&gt;1,"!AMBIG",IFERROR(INDEX('Calculations'!$HF$13:$HF$512,MATCH('Calculations'!IC242,'Calculations'!$HE$13:$HE$512,0)),""))))</x:f>
      </x:c>
      <x:c r="IE242" t="str">
        <x:f>IF('Calculations'!ID242="","",IF('Calculations'!ID242="!AMBIG","!AMBIG",IF(COUNTIF('Calculations'!$HE$13:$HE$512,"="&amp;SUBSTITUTE(SUBSTITUTE(SUBSTITUTE('Calculations'!ID242,"~","~~"),"*","~*"),"?","~?"))&gt;1,"!AMBIG",IFERROR(INDEX('Calculations'!$HF$13:$HF$512,MATCH('Calculations'!ID242,'Calculations'!$HE$13:$HE$512,0)),""))))</x:f>
      </x:c>
      <x:c r="IF242" t="str">
        <x:f>IF('Calculations'!IE242="","",IF('Calculations'!IE242="!AMBIG","!AMBIG",IF(COUNTIF('Calculations'!$HE$13:$HE$512,"="&amp;SUBSTITUTE(SUBSTITUTE(SUBSTITUTE('Calculations'!IE242,"~","~~"),"*","~*"),"?","~?"))&gt;1,"!AMBIG",IFERROR(INDEX('Calculations'!$HF$13:$HF$512,MATCH('Calculations'!IE242,'Calculations'!$HE$13:$HE$512,0)),""))))</x:f>
      </x:c>
      <x:c r="IG242" t="str">
        <x:f>IF('Calculations'!IF242="","",IF('Calculations'!IF242="!AMBIG","!AMBIG",IF(COUNTIF('Calculations'!$HE$13:$HE$512,"="&amp;SUBSTITUTE(SUBSTITUTE(SUBSTITUTE('Calculations'!IF242,"~","~~"),"*","~*"),"?","~?"))&gt;1,"!AMBIG",IFERROR(INDEX('Calculations'!$HF$13:$HF$512,MATCH('Calculations'!IF242,'Calculations'!$HE$13:$HE$512,0)),""))))</x:f>
      </x:c>
      <x:c r="IH242" t="str">
        <x:f>IF('Calculations'!IG242="","",IF('Calculations'!IG242="!AMBIG","!AMBIG",IF(COUNTIF('Calculations'!$HE$13:$HE$512,"="&amp;SUBSTITUTE(SUBSTITUTE(SUBSTITUTE('Calculations'!IG242,"~","~~"),"*","~*"),"?","~?"))&gt;1,"!AMBIG",IFERROR(INDEX('Calculations'!$HF$13:$HF$512,MATCH('Calculations'!IG242,'Calculations'!$HE$13:$HE$512,0)),""))))</x:f>
      </x:c>
      <x:c r="II242" t="str">
        <x:f>IF('Calculations'!IH242="","",IF('Calculations'!IH242="!AMBIG","!AMBIG",IF(COUNTIF('Calculations'!$HE$13:$HE$512,"="&amp;SUBSTITUTE(SUBSTITUTE(SUBSTITUTE('Calculations'!IH242,"~","~~"),"*","~*"),"?","~?"))&gt;1,"!AMBIG",IFERROR(INDEX('Calculations'!$HF$13:$HF$512,MATCH('Calculations'!IH242,'Calculations'!$HE$13:$HE$512,0)),""))))</x:f>
      </x:c>
      <x:c r="IJ242" t="str">
        <x:f>IF('Calculations'!EM242="","",IF('Calculations'!$EF$2="All",'Calculations'!HM242,IF('Calculations'!HL242=1,"",IFERROR(IF(MATCH('Calculations'!$EF$2,'Calculations'!HO242:II242,0)=1,'Calculations'!HE242,INDEX('Calculations'!HO242:II242,1,MATCH('Calculations'!$EF$2,'Calculations'!HO242:II242,0)-1)),""))))</x:f>
      </x:c>
      <x:c r="IK242" t="n">
        <x:f>IF(AND('Calculations'!EM242&lt;&gt;"",'Calculations'!$EF$2&lt;&gt;"All",'Calculations'!HF242='Calculations'!$EF$2,'Calculations'!HL242=0,'Calculations'!JD242&gt;0),MAX('Calculations'!$IK$12:IK241)+1,0)</x:f>
        <x:v>0</x:v>
      </x:c>
      <x:c r="JA242" t="n">
        <x:f>IF(OR(IFERROR(INDIRECT("'WCM Calibration Final'!$A$242")&lt;&gt;"",FALSE),IFERROR(INDIRECT("'WCM Calibration Final'!$B$242")&lt;&gt;"",FALSE),IFERROR(INDIRECT("'WCM Calibration Final'!$C$242")&lt;&gt;"",FALSE)),242,0)</x:f>
        <x:v>0</x:v>
      </x:c>
      <x:c r="JB242" t="n">
        <x:f>'Calculations'!JB241+IF('Calculations'!JA242&gt;0,1,0)</x:f>
        <x:v>0</x:v>
      </x:c>
      <x:c r="JC242" t="n">
        <x:f>IF(OR('Calculations'!HF242="",'Calculations'!HF242="!AMBIG"),0,IF('Dashboard'!$B$7="All",1,COUNTIFS('Calculations'!$HO$13:$HO$512,"="&amp;SUBSTITUTE(SUBSTITUTE(SUBSTITUTE('Calculations'!HF242,"~","~~"),"*","~*"),"?","~?"),'Calculations'!$HN$13:$HN$512,"="&amp;SUBSTITUTE(SUBSTITUTE(SUBSTITUTE('Dashboard'!$B$7,"~","~~"),"*","~*"),"?","~?"))+COUNTIFS('Calculations'!$HP$13:$HP$512,"="&amp;SUBSTITUTE(SUBSTITUTE(SUBSTITUTE('Calculations'!HF242,"~","~~"),"*","~*"),"?","~?"),'Calculations'!$HN$13:$HN$512,"="&amp;SUBSTITUTE(SUBSTITUTE(SUBSTITUTE('Dashboard'!$B$7,"~","~~"),"*","~*"),"?","~?"))+COUNTIFS('Calculations'!$HQ$13:$HQ$512,"="&amp;SUBSTITUTE(SUBSTITUTE(SUBSTITUTE('Calculations'!HF242,"~","~~"),"*","~*"),"?","~?"),'Calculations'!$HN$13:$HN$512,"="&amp;SUBSTITUTE(SUBSTITUTE(SUBSTITUTE('Dashboard'!$B$7,"~","~~"),"*","~*"),"?","~?"))+COUNTIFS('Calculations'!$HR$13:$HR$512,"="&amp;SUBSTITUTE(SUBSTITUTE(SUBSTITUTE('Calculations'!HF242,"~","~~"),"*","~*"),"?","~?"),'Calculations'!$HN$13:$HN$512,"="&amp;SUBSTITUTE(SUBSTITUTE(SUBSTITUTE('Dashboard'!$B$7,"~","~~"),"*","~*"),"?","~?"))+COUNTIFS('Calculations'!$HS$13:$HS$512,"="&amp;SUBSTITUTE(SUBSTITUTE(SUBSTITUTE('Calculations'!HF242,"~","~~"),"*","~*"),"?","~?"),'Calculations'!$HN$13:$HN$512,"="&amp;SUBSTITUTE(SUBSTITUTE(SUBSTITUTE('Dashboard'!$B$7,"~","~~"),"*","~*"),"?","~?"))+COUNTIFS('Calculations'!$HT$13:$HT$512,"="&amp;SUBSTITUTE(SUBSTITUTE(SUBSTITUTE('Calculations'!HF242,"~","~~"),"*","~*"),"?","~?"),'Calculations'!$HN$13:$HN$512,"="&amp;SUBSTITUTE(SUBSTITUTE(SUBSTITUTE('Dashboard'!$B$7,"~","~~"),"*","~*"),"?","~?"))+COUNTIFS('Calculations'!$HU$13:$HU$512,"="&amp;SUBSTITUTE(SUBSTITUTE(SUBSTITUTE('Calculations'!HF242,"~","~~"),"*","~*"),"?","~?"),'Calculations'!$HN$13:$HN$512,"="&amp;SUBSTITUTE(SUBSTITUTE(SUBSTITUTE('Dashboard'!$B$7,"~","~~"),"*","~*"),"?","~?"))+COUNTIFS('Calculations'!$HV$13:$HV$512,"="&amp;SUBSTITUTE(SUBSTITUTE(SUBSTITUTE('Calculations'!HF242,"~","~~"),"*","~*"),"?","~?"),'Calculations'!$HN$13:$HN$512,"="&amp;SUBSTITUTE(SUBSTITUTE(SUBSTITUTE('Dashboard'!$B$7,"~","~~"),"*","~*"),"?","~?"))+COUNTIFS('Calculations'!$HW$13:$HW$512,"="&amp;SUBSTITUTE(SUBSTITUTE(SUBSTITUTE('Calculations'!HF242,"~","~~"),"*","~*"),"?","~?"),'Calculations'!$HN$13:$HN$512,"="&amp;SUBSTITUTE(SUBSTITUTE(SUBSTITUTE('Dashboard'!$B$7,"~","~~"),"*","~*"),"?","~?"))+COUNTIFS('Calculations'!$HX$13:$HX$512,"="&amp;SUBSTITUTE(SUBSTITUTE(SUBSTITUTE('Calculations'!HF242,"~","~~"),"*","~*"),"?","~?"),'Calculations'!$HN$13:$HN$512,"="&amp;SUBSTITUTE(SUBSTITUTE(SUBSTITUTE('Dashboard'!$B$7,"~","~~"),"*","~*"),"?","~?"))+COUNTIFS('Calculations'!$HY$13:$HY$512,"="&amp;SUBSTITUTE(SUBSTITUTE(SUBSTITUTE('Calculations'!HF242,"~","~~"),"*","~*"),"?","~?"),'Calculations'!$HN$13:$HN$512,"="&amp;SUBSTITUTE(SUBSTITUTE(SUBSTITUTE('Dashboard'!$B$7,"~","~~"),"*","~*"),"?","~?"))+COUNTIFS('Calculations'!$HZ$13:$HZ$512,"="&amp;SUBSTITUTE(SUBSTITUTE(SUBSTITUTE('Calculations'!HF242,"~","~~"),"*","~*"),"?","~?"),'Calculations'!$HN$13:$HN$512,"="&amp;SUBSTITUTE(SUBSTITUTE(SUBSTITUTE('Dashboard'!$B$7,"~","~~"),"*","~*"),"?","~?"))+COUNTIFS('Calculations'!$IA$13:$IA$512,"="&amp;SUBSTITUTE(SUBSTITUTE(SUBSTITUTE('Calculations'!HF242,"~","~~"),"*","~*"),"?","~?"),'Calculations'!$HN$13:$HN$512,"="&amp;SUBSTITUTE(SUBSTITUTE(SUBSTITUTE('Dashboard'!$B$7,"~","~~"),"*","~*"),"?","~?"))+COUNTIFS('Calculations'!$IB$13:$IB$512,"="&amp;SUBSTITUTE(SUBSTITUTE(SUBSTITUTE('Calculations'!HF242,"~","~~"),"*","~*"),"?","~?"),'Calculations'!$HN$13:$HN$512,"="&amp;SUBSTITUTE(SUBSTITUTE(SUBSTITUTE('Dashboard'!$B$7,"~","~~"),"*","~*"),"?","~?"))+COUNTIFS('Calculations'!$IC$13:$IC$512,"="&amp;SUBSTITUTE(SUBSTITUTE(SUBSTITUTE('Calculations'!HF242,"~","~~"),"*","~*"),"?","~?"),'Calculations'!$HN$13:$HN$512,"="&amp;SUBSTITUTE(SUBSTITUTE(SUBSTITUTE('Dashboard'!$B$7,"~","~~"),"*","~*"),"?","~?"))+COUNTIFS('Calculations'!$ID$13:$ID$512,"="&amp;SUBSTITUTE(SUBSTITUTE(SUBSTITUTE('Calculations'!HF242,"~","~~"),"*","~*"),"?","~?"),'Calculations'!$HN$13:$HN$512,"="&amp;SUBSTITUTE(SUBSTITUTE(SUBSTITUTE('Dashboard'!$B$7,"~","~~"),"*","~*"),"?","~?"))+COUNTIFS('Calculations'!$IE$13:$IE$512,"="&amp;SUBSTITUTE(SUBSTITUTE(SUBSTITUTE('Calculations'!HF242,"~","~~"),"*","~*"),"?","~?"),'Calculations'!$HN$13:$HN$512,"="&amp;SUBSTITUTE(SUBSTITUTE(SUBSTITUTE('Dashboard'!$B$7,"~","~~"),"*","~*"),"?","~?"))+COUNTIFS('Calculations'!$IF$13:$IF$512,"="&amp;SUBSTITUTE(SUBSTITUTE(SUBSTITUTE('Calculations'!HF242,"~","~~"),"*","~*"),"?","~?"),'Calculations'!$HN$13:$HN$512,"="&amp;SUBSTITUTE(SUBSTITUTE(SUBSTITUTE('Dashboard'!$B$7,"~","~~"),"*","~*"),"?","~?"))+COUNTIFS('Calculations'!$IG$13:$IG$512,"="&amp;SUBSTITUTE(SUBSTITUTE(SUBSTITUTE('Calculations'!HF242,"~","~~"),"*","~*"),"?","~?"),'Calculations'!$HN$13:$HN$512,"="&amp;SUBSTITUTE(SUBSTITUTE(SUBSTITUTE('Dashboard'!$B$7,"~","~~"),"*","~*"),"?","~?"))+COUNTIFS('Calculations'!$IH$13:$IH$512,"="&amp;SUBSTITUTE(SUBSTITUTE(SUBSTITUTE('Calculations'!HF242,"~","~~"),"*","~*"),"?","~?"),'Calculations'!$HN$13:$HN$512,"="&amp;SUBSTITUTE(SUBSTITUTE(SUBSTITUTE('Dashboard'!$B$7,"~","~~"),"*","~*"),"?","~?"))))</x:f>
        <x:v>0</x:v>
      </x:c>
      <x:c r="JD242" t="n">
        <x:f>IF('Calculations'!EM242="",0,IF('Dashboard'!$B$7="All",1,IF('Calculations'!HN242='Dashboard'!$B$7,1,0)+IFERROR(INDEX('Calculations'!$JC$13:$JC$512,MATCH('Calculations'!HE242,'Calculations'!$HF$13:$HF$512,0)),0)))</x:f>
        <x:v>0</x:v>
      </x:c>
      <x:c r="JE242" t="n">
        <x:f>IF(AND('Calculations'!EM242&lt;&gt;"",'Calculations'!$JJ$2&lt;&gt;"All",'Calculations'!$JJ$2&lt;&gt;"",'Calculations'!HF242='Calculations'!$JJ$2,'Calculations'!HL242=0,'Calculations'!JD242&gt;0),MAX('Calculations'!$JE$12:JE241)+1,0)</x:f>
        <x:v>0</x:v>
      </x:c>
      <x:c r="JF242" t="str">
        <x:f>IF('Calculations'!EM242="","",IFERROR(IF(INDEX(INDIRECT("'WCM Calibration Final'!$G$1:$G$2000"),'Calculations'!$EM242)="","",TRIM(INDEX(INDIRECT("'WCM Calibration Final'!$G$1:$G$2000"),'Calculations'!$EM242)&amp;"")),""))</x:f>
      </x:c>
      <x:c r="JQ242" t="n">
        <x:f>IF(OR('Calculations'!BM242=0,NOT('Calculations'!$AG$2),'Calculations'!$AG$8&gt;0),0,IF(OR('Dashboard'!$B$7="All",'Calculations'!HN242='Dashboard'!$B$7),IF('Calculations'!$JJ$2="All",1,IF(AND('Calculations'!HF242='Calculations'!$JJ$2,'Calculations'!HL242=0),1,0)),0))</x:f>
        <x:v>0</x:v>
      </x:c>
    </x:row>
    <x:row r="243">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t="n">
        <x:f>IF('Calculations'!$EM243="",0,IF(OR(IFERROR(INDEX(INDIRECT("'WCM Calibration Final'!$A$1:$A$2000"),'Calculations'!$EM243)&lt;&gt;"",FALSE),IFERROR(INDEX(INDIRECT("'WCM Calibration Final'!$B$1:$B$2000"),'Calculations'!$EM243)&lt;&gt;"",FALSE),IFERROR(INDEX(INDIRECT("'WCM Calibration Final'!$C$1:$C$2000"),'Calculations'!$EM243)&lt;&gt;"",FALSE)),1,0))</x:f>
        <x:v>0</x:v>
      </x:c>
      <x:c r="BN243" s="4" t="n">
        <x:f>IF(AND('Calculations'!BM243=1,'Calculations'!$AG$2,'Calculations'!$EN243=1),1,0)</x:f>
        <x:v>0</x:v>
      </x:c>
      <x:c r="BO243" s="4" t="str">
        <x:f>IF('Calculations'!BM243=0,"",IFERROR(IF(AND(VALUE(INDEX(INDIRECT("'WCM Calibration Final'!$K$1:$K$2000"),'Calculations'!$EM243))&gt;=1,VALUE(INDEX(INDIRECT("'WCM Calibration Final'!$K$1:$K$2000"),'Calculations'!$EM243))&lt;=4,MOD(VALUE(INDEX(INDIRECT("'WCM Calibration Final'!$K$1:$K$2000"),'Calculations'!$EM243)),1)=0),VALUE(INDEX(INDIRECT("'WCM Calibration Final'!$K$1:$K$2000"),'Calculations'!$EM243)),""),""))</x:f>
      </x:c>
      <x:c r="BP243" s="4" t="str">
        <x:f>IF('Calculations'!BM243=0,"",IFERROR(IF(AND(VALUE(INDEX(INDIRECT("'WCM Calibration Final'!$L$1:$L$2000"),'Calculations'!$EM243))&gt;=1,VALUE(INDEX(INDIRECT("'WCM Calibration Final'!$L$1:$L$2000"),'Calculations'!$EM243))&lt;=4,MOD(VALUE(INDEX(INDIRECT("'WCM Calibration Final'!$L$1:$L$2000"),'Calculations'!$EM243)),1)=0),VALUE(INDEX(INDIRECT("'WCM Calibration Final'!$L$1:$L$2000"),'Calculations'!$EM243)),""),""))</x:f>
      </x:c>
      <x:c r="BQ243" s="4"/>
      <x:c r="BR243" s="4"/>
      <x:c r="BS243" s="4"/>
      <x:c r="BT243" s="4" t="n">
        <x:f>IF(AND('Calculations'!BM243=1,ISNUMBER('Calculations'!BO243),ISNUMBER('Calculations'!BP243)),1,0)</x:f>
        <x:v>0</x:v>
      </x:c>
      <x:c r="BU243" s="4" t="str">
        <x:f>IF('Calculations'!BM243=0,"",'Calculations'!$EO243)</x:f>
      </x:c>
      <x:c r="BV243" s="4" t="str">
        <x:f>IF('Calculations'!BM243=0,"",IFERROR(IF(OR(INDEX(INDIRECT("'WCM Calibration Final'!$H$1:$H$2000"),'Calculations'!$EM243)="MANAGING DIRECTOR",INDEX(INDIRECT("'WCM Calibration Final'!$H$1:$H$2000"),'Calculations'!$EM243)="DIRECTOR",INDEX(INDIRECT("'WCM Calibration Final'!$H$1:$H$2000"),'Calculations'!$EM243)="SENIOR VICE PRESIDENT",INDEX(INDIRECT("'WCM Calibration Final'!$H$1:$H$2000"),'Calculations'!$EM243)="VICE PRESIDENT",INDEX(INDIRECT("'WCM Calibration Final'!$H$1:$H$2000"),'Calculations'!$EM243)="ASSISTANT VICE PRESIDENT",INDEX(INDIRECT("'WCM Calibration Final'!$H$1:$H$2000"),'Calculations'!$EM243)="OFFICER"),UPPER(INDEX(INDIRECT("'WCM Calibration Final'!$H$1:$H$2000"),'Calculations'!$EM243)),"Other"),"Other"))</x:f>
      </x:c>
      <x:c r="BW243" s="4"/>
      <x:c r="BX243" s="4"/>
      <x:c r="BY243" s="4" t="n">
        <x:f>IF(AND('Calculations'!BM243=1,'Calculations'!BU243&lt;&gt;"",COUNTIF('Calculations'!$BU$12:BU243,'Calculations'!BU243)=1),MAX('Calculations'!$BY$11:BY242)+1,0)</x:f>
        <x:v>0</x:v>
      </x:c>
      <x:c r="BZ243" s="4" t="str">
        <x:f>IF('Dashboard'!$E$67="What",'Calculations'!BO243,'Calculations'!BP243)</x:f>
      </x:c>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t="str">
        <x:f>IF(232&gt;MAX('Calculations'!$HI$13:$HI$512),"",INDEX('Calculations'!$HN$13:$HN$512,MATCH(232,'Calculations'!$HI$13:$HI$512,0)))</x:f>
      </x:c>
      <x:c r="DB243" s="4" t="str">
        <x:f>IF(232&gt;MAX('Calculations'!$HH$13:$HH$512),"",INDEX('Calculations'!$HJ$13:$HJ$512,MATCH(232,'Calculations'!$HH$13:$HH$512,0)))</x:f>
      </x:c>
      <x:c r="DC243" s="4" t="str">
        <x:f>IF(ROW()-11&gt;MAX('Calculations'!$BY$13:$BY$512),"",INDEX('Calculations'!$BU$13:$BU$512,MATCH(ROW()-11,'Calculations'!$BY$13:$BY$512,0)))</x:f>
      </x:c>
      <x:c r="DD243" s="4" t="str">
        <x:f>IF(232&gt;MAX('Calculations'!$IK$13:$IK$512),"",INDEX('Calculations'!$HK$13:$HK$512,MATCH(232,'Calculations'!$IK$13:$IK$512,0)))</x:f>
      </x:c>
      <x:c r="DE243" s="4" t="str">
        <x:f>'Calculations'!DC243</x:f>
      </x:c>
      <x:c r="DF243" s="4" t="str">
        <x:f>IF('Calculations'!DE243="","",COUNTIFS('Calculations'!$BN$13:$BN$512,1,'Calculations'!$BU$13:$BU$512,'Calculations'!DE243))</x:f>
      </x:c>
      <x:c r="DG243" s="4" t="str">
        <x:f>IF('Calculations'!DE243="","",COUNTIFS('Calculations'!$BN$13:$BN$512,1,'Calculations'!$BU$13:$BU$512,'Calculations'!DE243,'Calculations'!$BT$13:$BT$512,1))</x:f>
      </x:c>
      <x:c r="DH243" s="4" t="str">
        <x:f>IF('Calculations'!DE243="","",'Calculations'!DF243-'Calculations'!DG243)</x:f>
      </x:c>
      <x:c r="DI243" s="4" t="str">
        <x:f>IF(OR('Calculations'!DE243="",'Calculations'!DF243=0),"",'Calculations'!DG243/'Calculations'!DF243)</x:f>
      </x:c>
      <x:c r="DJ243" s="4" t="str">
        <x:f>IF('Calculations'!DE243="","",COUNTIFS('Calculations'!$BN$13:$BN$512,1,'Calculations'!$BU$13:$BU$512,'Calculations'!DE243,'Calculations'!$BT$13:$BT$512,1,'Calculations'!$EE$13:$EE$512,"High"))</x:f>
      </x:c>
      <x:c r="DK243" s="4" t="str">
        <x:f>IF('Calculations'!DE243="","",COUNTIFS('Calculations'!$BN$13:$BN$512,1,'Calculations'!$BU$13:$BU$512,'Calculations'!DE243,'Calculations'!$BT$13:$BT$512,1,'Calculations'!$EE$13:$EE$512,"Strong"))</x:f>
      </x:c>
      <x:c r="DL243" s="4" t="str">
        <x:f>IF('Calculations'!DE243="","",COUNTIFS('Calculations'!$BN$13:$BN$512,1,'Calculations'!$BU$13:$BU$512,'Calculations'!DE243,'Calculations'!$BT$13:$BT$512,1,'Calculations'!$EE$13:$EE$512,"Solid"))</x:f>
      </x:c>
      <x:c r="DM243" s="4" t="str">
        <x:f>IF('Calculations'!DE243="","",COUNTIFS('Calculations'!$BN$13:$BN$512,1,'Calculations'!$BU$13:$BU$512,'Calculations'!DE243,'Calculations'!$BT$13:$BT$512,1,'Calculations'!$EE$13:$EE$512,"Low"))</x:f>
      </x:c>
      <x:c r="DN243" s="4" t="str">
        <x:f>IF('Calculations'!DE243="","",COUNTIFS('Calculations'!$BN$13:$BN$512,1,'Calculations'!$BU$13:$BU$512,'Calculations'!DE243,'Calculations'!$EP$13:$EP$512,1))</x:f>
      </x:c>
      <x:c r="DO243" s="4" t="str">
        <x:f>IF(OR('Calculations'!DE243="",'Calculations'!DG243=0),"",('Calculations'!DJ243+'Calculations'!DK243)/'Calculations'!DG243)</x:f>
      </x:c>
      <x:c r="DP243" s="4" t="n">
        <x:f>IF(AND('Calculations'!DE243&lt;&gt;"",'Calculations'!DF243&gt;0),COUNTIF('Calculations'!$DF$12:DF243,"&gt;0"),0)</x:f>
        <x:v>0</x:v>
      </x:c>
      <x:c r="DQ243" s="4" t="str">
        <x:f>IF(232&gt;MAX('Calculations'!$HH$13:$HH$512),"",INDEX('Calculations'!$HF$13:$HF$512,MATCH(232,'Calculations'!$HH$13:$HH$512,0)))</x:f>
      </x:c>
      <x:c r="DR243" s="4" t="str">
        <x:f>IF(232&gt;MAX('Calculations'!$IK$13:$IK$512),"",INDEX('Calculations'!$HE$13:$HE$512,MATCH(232,'Calculations'!$IK$13:$IK$512,0)))</x:f>
      </x:c>
      <x:c r="DS243" s="4"/>
      <x:c r="DT243" s="4"/>
      <x:c r="DU243" s="4"/>
      <x:c r="DV243" s="4"/>
      <x:c r="DW243" s="4"/>
      <x:c r="DX243" s="4"/>
      <x:c r="DY243" s="4"/>
      <x:c r="DZ243" s="4"/>
      <x:c r="EA243" s="4"/>
      <x:c r="EB243" s="4"/>
      <x:c r="EC243" s="4"/>
      <x:c r="ED243" s="4"/>
      <x:c r="EE243" s="4" t="str">
        <x:f>IF('Calculations'!BT243=0,"Not Rated",IF(OR('Calculations'!BO243&gt;=4,'Calculations'!BP243&gt;=4),"Low",IF('Calculations'!BO243+'Calculations'!BP243&lt;=3,"High",IF('Calculations'!BO243+'Calculations'!BP243&lt;=4,"Strong","Solid"))))</x:f>
        <x:v>Not Rated</x:v>
      </x:c>
      <x:c r="EF243" s="4"/>
      <x:c r="EG243" s="4"/>
      <x:c r="EH243" s="4"/>
      <x:c r="EI243" s="4"/>
      <x:c r="EJ243" s="4"/>
      <x:c r="EK243" s="4"/>
      <x:c r="EL243" s="4"/>
      <x:c r="EM243" s="4" t="str">
        <x:f>IF(231&gt;'Calculations'!$JB$2000,"",INDEX('Calculations'!$JA$12:$JA$2000,MATCH(231,'Calculations'!$JB$12:$JB$2000,0)))</x:f>
      </x:c>
      <x:c r="EN243" s="4" t="n">
        <x:f>IF(OR('Calculations'!EM243="",'Calculations'!$AG$8&gt;0,AND('Calculations'!$EF$2&lt;&gt;"All",'Calculations'!HE243='Calculations'!$EF$2),AND('Calculations'!$EF$3&lt;&gt;"All",'Calculations'!HE243='Calculations'!$EF$3)),0,IF(OR('Dashboard'!$B$7="All",'Calculations'!HN243='Dashboard'!$B$7),IF('Calculations'!$EF$2="All",1,IF('Calculations'!HL243&gt;0,0,IF(COUNTIF('Calculations'!HO243:II243,"="&amp;SUBSTITUTE(SUBSTITUTE(SUBSTITUTE('Calculations'!$EF$2,"~","~~"),"*","~*"),"?","~?"))=0,0,IF('Calculations'!$EF$3="All",1,IF(COUNTIF('Calculations'!HO243:II243,"="&amp;SUBSTITUTE(SUBSTITUTE(SUBSTITUTE('Calculations'!$EF$3,"~","~~"),"*","~*"),"?","~?"))&gt;0,1,0))))),0))</x:f>
        <x:v>0</x:v>
      </x:c>
      <x:c r="EO243" s="4" t="str">
        <x:f>IF('Calculations'!IJ243="","",IF('Calculations'!IJ243="!UNRESOLVED","Unresolved hierarchy",IFERROR(INDEX('Calculations'!$HK$13:$HK$512,MATCH('Calculations'!IJ243,'Calculations'!$HE$13:$HE$512,0)),IFERROR(INDEX('Calculations'!$HJ$13:$HJ$512,MATCH('Calculations'!IJ243,'Calculations'!$HF$13:$HF$512,0)),'Calculations'!IJ243))))</x:f>
      </x:c>
      <x:c r="EP243" s="4" t="n">
        <x:f>IF(AND('Calculations'!EM243&lt;&gt;"",'Calculations'!HF243='Calculations'!IJ243),1,0)</x:f>
        <x:v>0</x:v>
      </x:c>
      <x:c r="EQ243" s="4"/>
      <x:c r="ER243" s="4"/>
      <x:c r="ES243" s="4"/>
      <x:c r="ET243" s="4"/>
      <x:c r="EU243" s="4"/>
      <x:c r="EV243" s="4"/>
      <x:c r="EW243" s="4"/>
      <x:c r="EX243" s="4"/>
      <x:c r="EY243" s="4"/>
      <x:c r="EZ243" s="4"/>
      <x:c r="FA243" s="4"/>
      <x:c r="FB243" s="4"/>
      <x:c r="FC243" s="4"/>
      <x:c r="FD243" s="4"/>
      <x:c r="FE243" s="4"/>
      <x:c r="FF243" s="4"/>
      <x:c r="FG243" s="4"/>
      <x:c r="FH243" s="4"/>
      <x:c r="FI243" s="4"/>
      <x:c r="FJ243" s="4"/>
      <x:c r="FK243" s="4"/>
      <x:c r="FL243" s="4"/>
      <x:c r="FM243" s="4"/>
      <x:c r="FN243" s="4"/>
      <x:c r="FO243" s="4"/>
      <x:c r="HE243" t="str">
        <x:f>IF('Calculations'!EM243="","",IF(IFERROR(IF(INDEX(INDIRECT("'WCM Calibration Final'!$A$1:$A$2000"),'Calculations'!$EM243)="","",TRIM(INDEX(INDIRECT("'WCM Calibration Final'!$A$1:$A$2000"),'Calculations'!$EM243)&amp;"")),"")&lt;&gt;"","G:"&amp;IFERROR(TEXT(1*INDEX(INDIRECT("'WCM Calibration Final'!$A$1:$A$2000"),'Calculations'!$EM243),"0"),UPPER(IFERROR(IF(INDEX(INDIRECT("'WCM Calibration Final'!$A$1:$A$2000"),'Calculations'!$EM243)="","",TRIM(INDEX(INDIRECT("'WCM Calibration Final'!$A$1:$A$2000"),'Calculations'!$EM243)&amp;"")),""))),IF(IFERROR(IF(INDEX(INDIRECT("'WCM Calibration Final'!$C$1:$C$2000"),'Calculations'!$EM243)="","",TRIM(INDEX(INDIRECT("'WCM Calibration Final'!$C$1:$C$2000"),'Calculations'!$EM243)&amp;"")),"")&lt;&gt;"","S:"&amp;UPPER(IFERROR(IF(INDEX(INDIRECT("'WCM Calibration Final'!$C$1:$C$2000"),'Calculations'!$EM243)="","",TRIM(INDEX(INDIRECT("'WCM Calibration Final'!$C$1:$C$2000"),'Calculations'!$EM243)&amp;"")),"")),"R:"&amp;'Calculations'!EM243)))</x:f>
      </x:c>
      <x:c r="HF243" t="str">
        <x:f>IF('Calculations'!EM243="","",IF(IFERROR(IF(INDEX(INDIRECT("'WCM Calibration Final'!$D$1:$D$2000"),'Calculations'!$EM243)="","",TRIM(INDEX(INDIRECT("'WCM Calibration Final'!$D$1:$D$2000"),'Calculations'!$EM243)&amp;"")),"")&lt;&gt;"","G:"&amp;IFERROR(TEXT(1*INDEX(INDIRECT("'WCM Calibration Final'!$D$1:$D$2000"),'Calculations'!$EM243),"0"),UPPER(IFERROR(IF(INDEX(INDIRECT("'WCM Calibration Final'!$D$1:$D$2000"),'Calculations'!$EM243)="","",TRIM(INDEX(INDIRECT("'WCM Calibration Final'!$D$1:$D$2000"),'Calculations'!$EM243)&amp;"")),""))),IF(IFERROR(IF(INDEX(INDIRECT("'WCM Calibration Final'!$E$1:$E$2000"),'Calculations'!$EM243)="","",TRIM(INDEX(INDIRECT("'WCM Calibration Final'!$E$1:$E$2000"),'Calculations'!$EM243)&amp;"")),"")="","",IF(COUNTIF('Calculations'!$HG$13:$HG$512,"="&amp;SUBSTITUTE(SUBSTITUTE(SUBSTITUTE(IFERROR(IF(INDEX(INDIRECT("'WCM Calibration Final'!$E$1:$E$2000"),'Calculations'!$EM243)="","",TRIM(INDEX(INDIRECT("'WCM Calibration Final'!$E$1:$E$2000"),'Calculations'!$EM243)&amp;"")),""),"~","~~"),"*","~*"),"?","~?"))=1,INDEX('Calculations'!$HE$13:$HE$512,MATCH(IFERROR(IF(INDEX(INDIRECT("'WCM Calibration Final'!$E$1:$E$2000"),'Calculations'!$EM243)="","",TRIM(INDEX(INDIRECT("'WCM Calibration Final'!$E$1:$E$2000"),'Calculations'!$EM243)&amp;"")),""),'Calculations'!$HG$13:$HG$512,0)),IF(COUNTIF('Calculations'!$HG$13:$HG$512,"="&amp;SUBSTITUTE(SUBSTITUTE(SUBSTITUTE(IFERROR(IF(INDEX(INDIRECT("'WCM Calibration Final'!$E$1:$E$2000"),'Calculations'!$EM243)="","",TRIM(INDEX(INDIRECT("'WCM Calibration Final'!$E$1:$E$2000"),'Calculations'!$EM243)&amp;"")),""),"~","~~"),"*","~*"),"?","~?"))&gt;1,"!AMBIG","X:"&amp;IFERROR(IF(INDEX(INDIRECT("'WCM Calibration Final'!$E$1:$E$2000"),'Calculations'!$EM243)="","",TRIM(INDEX(INDIRECT("'WCM Calibration Final'!$E$1:$E$2000"),'Calculations'!$EM243)&amp;"")),""))))))</x:f>
      </x:c>
      <x:c r="HG243" t="str">
        <x:f>IF('Calculations'!EM243="","",IFERROR(IF(INDEX(INDIRECT("'WCM Calibration Final'!$B$1:$B$2000"),'Calculations'!$EM243)="","",TRIM(INDEX(INDIRECT("'WCM Calibration Final'!$B$1:$B$2000"),'Calculations'!$EM243)&amp;"")),""))</x:f>
      </x:c>
      <x:c r="HH243" t="n">
        <x:f>IF(AND('Calculations'!JC243&gt;0,COUNTIF('Calculations'!$HF$12:HF243,"="&amp;SUBSTITUTE(SUBSTITUTE(SUBSTITUTE('Calculations'!HF243,"~","~~"),"*","~*"),"?","~?"))=1),MAX('Calculations'!$HH$12:HH242)+1,0)</x:f>
        <x:v>0</x:v>
      </x:c>
      <x:c r="HI243" t="n">
        <x:f>IF(AND('Calculations'!HN243&lt;&gt;"",COUNTIF('Calculations'!$HN$12:HN243,"="&amp;SUBSTITUTE(SUBSTITUTE(SUBSTITUTE('Calculations'!HN243,"~","~~"),"*","~*"),"?","~?"))=1),MAX('Calculations'!$HI$12:HI242)+1,0)</x:f>
        <x:v>0</x:v>
      </x:c>
      <x:c r="HJ243" t="str">
        <x:f>IF('Calculations'!HF243="","",IF(COUNTIF('Calculations'!$HE$13:$HE$512,"="&amp;SUBSTITUTE(SUBSTITUTE(SUBSTITUTE('Calculations'!HF243,"~","~~"),"*","~*"),"?","~?"))=1,INDEX('Calculations'!$HK$13:$HK$512,MATCH('Calculations'!HF243,'Calculations'!$HE$13:$HE$512,0)),IFERROR(IF(INDEX(INDIRECT("'WCM Calibration Final'!$E$1:$E$2000"),'Calculations'!$EM243)="","",TRIM(INDEX(INDIRECT("'WCM Calibration Final'!$E$1:$E$2000"),'Calculations'!$EM243)&amp;"")),"")&amp;" ["&amp;'Calculations'!HF243&amp;"]"))</x:f>
      </x:c>
      <x:c r="HK243" t="str">
        <x:f>IF('Calculations'!EM243="","",'Calculations'!HG243&amp;" ["&amp;'Calculations'!HE243&amp;"]")</x:f>
      </x:c>
      <x:c r="HL243" t="n">
        <x:f>IF('Calculations'!EM243="",0,IF(OR('Calculations'!II243&lt;&gt;"",COUNTIF('Calculations'!$HE$13:$HE$512,"="&amp;SUBSTITUTE(SUBSTITUTE(SUBSTITUTE('Calculations'!HE243,"~","~~"),"*","~*"),"?","~?"))&gt;1),1,0))</x:f>
        <x:v>0</x:v>
      </x:c>
      <x:c r="HM243" t="str">
        <x:f>IF('Calculations'!EM243="","",IF('Calculations'!HL243=1,"!UNRESOLVED",IF('Calculations'!IH243&lt;&gt;"",'Calculations'!IH243,IF('Calculations'!IG243&lt;&gt;"",'Calculations'!IG243,IF('Calculations'!IF243&lt;&gt;"",'Calculations'!IF243,IF('Calculations'!IE243&lt;&gt;"",'Calculations'!IE243,IF('Calculations'!ID243&lt;&gt;"",'Calculations'!ID243,IF('Calculations'!IC243&lt;&gt;"",'Calculations'!IC243,IF('Calculations'!IB243&lt;&gt;"",'Calculations'!IB243,IF('Calculations'!IA243&lt;&gt;"",'Calculations'!IA243,IF('Calculations'!HZ243&lt;&gt;"",'Calculations'!HZ243,IF('Calculations'!HY243&lt;&gt;"",'Calculations'!HY243,IF('Calculations'!HX243&lt;&gt;"",'Calculations'!HX243,IF('Calculations'!HW243&lt;&gt;"",'Calculations'!HW243,IF('Calculations'!HV243&lt;&gt;"",'Calculations'!HV243,IF('Calculations'!HU243&lt;&gt;"",'Calculations'!HU243,IF('Calculations'!HT243&lt;&gt;"",'Calculations'!HT243,IF('Calculations'!HS243&lt;&gt;"",'Calculations'!HS243,IF('Calculations'!HR243&lt;&gt;"",'Calculations'!HR243,IF('Calculations'!HQ243&lt;&gt;"",'Calculations'!HQ243,IF('Calculations'!HP243&lt;&gt;"",'Calculations'!HP243,IF('Calculations'!HO243&lt;&gt;"",'Calculations'!HO243,'Calculations'!HE243))))))))))))))))))))))</x:f>
      </x:c>
      <x:c r="HN243" t="str">
        <x:f>IF('Calculations'!EM243="","",IF(IFERROR(IF(INDEX(INDIRECT("'WCM Calibration Final'!$F$1:$F$2000"),'Calculations'!$EM243)="","",TRIM(INDEX(INDIRECT("'WCM Calibration Final'!$F$1:$F$2000"),'Calculations'!$EM243)&amp;"")),"")="","(Blank)",IFERROR(IF(INDEX(INDIRECT("'WCM Calibration Final'!$F$1:$F$2000"),'Calculations'!$EM243)="","",TRIM(INDEX(INDIRECT("'WCM Calibration Final'!$F$1:$F$2000"),'Calculations'!$EM243)&amp;"")),"")))</x:f>
      </x:c>
      <x:c r="HO243" t="str">
        <x:f>'Calculations'!HF243</x:f>
      </x:c>
      <x:c r="HP243" t="str">
        <x:f>IF('Calculations'!HO243="","",IF('Calculations'!HO243="!AMBIG","!AMBIG",IF(COUNTIF('Calculations'!$HE$13:$HE$512,"="&amp;SUBSTITUTE(SUBSTITUTE(SUBSTITUTE('Calculations'!HO243,"~","~~"),"*","~*"),"?","~?"))&gt;1,"!AMBIG",IFERROR(INDEX('Calculations'!$HF$13:$HF$512,MATCH('Calculations'!HO243,'Calculations'!$HE$13:$HE$512,0)),""))))</x:f>
      </x:c>
      <x:c r="HQ243" t="str">
        <x:f>IF('Calculations'!HP243="","",IF('Calculations'!HP243="!AMBIG","!AMBIG",IF(COUNTIF('Calculations'!$HE$13:$HE$512,"="&amp;SUBSTITUTE(SUBSTITUTE(SUBSTITUTE('Calculations'!HP243,"~","~~"),"*","~*"),"?","~?"))&gt;1,"!AMBIG",IFERROR(INDEX('Calculations'!$HF$13:$HF$512,MATCH('Calculations'!HP243,'Calculations'!$HE$13:$HE$512,0)),""))))</x:f>
      </x:c>
      <x:c r="HR243" t="str">
        <x:f>IF('Calculations'!HQ243="","",IF('Calculations'!HQ243="!AMBIG","!AMBIG",IF(COUNTIF('Calculations'!$HE$13:$HE$512,"="&amp;SUBSTITUTE(SUBSTITUTE(SUBSTITUTE('Calculations'!HQ243,"~","~~"),"*","~*"),"?","~?"))&gt;1,"!AMBIG",IFERROR(INDEX('Calculations'!$HF$13:$HF$512,MATCH('Calculations'!HQ243,'Calculations'!$HE$13:$HE$512,0)),""))))</x:f>
      </x:c>
      <x:c r="HS243" t="str">
        <x:f>IF('Calculations'!HR243="","",IF('Calculations'!HR243="!AMBIG","!AMBIG",IF(COUNTIF('Calculations'!$HE$13:$HE$512,"="&amp;SUBSTITUTE(SUBSTITUTE(SUBSTITUTE('Calculations'!HR243,"~","~~"),"*","~*"),"?","~?"))&gt;1,"!AMBIG",IFERROR(INDEX('Calculations'!$HF$13:$HF$512,MATCH('Calculations'!HR243,'Calculations'!$HE$13:$HE$512,0)),""))))</x:f>
      </x:c>
      <x:c r="HT243" t="str">
        <x:f>IF('Calculations'!HS243="","",IF('Calculations'!HS243="!AMBIG","!AMBIG",IF(COUNTIF('Calculations'!$HE$13:$HE$512,"="&amp;SUBSTITUTE(SUBSTITUTE(SUBSTITUTE('Calculations'!HS243,"~","~~"),"*","~*"),"?","~?"))&gt;1,"!AMBIG",IFERROR(INDEX('Calculations'!$HF$13:$HF$512,MATCH('Calculations'!HS243,'Calculations'!$HE$13:$HE$512,0)),""))))</x:f>
      </x:c>
      <x:c r="HU243" t="str">
        <x:f>IF('Calculations'!HT243="","",IF('Calculations'!HT243="!AMBIG","!AMBIG",IF(COUNTIF('Calculations'!$HE$13:$HE$512,"="&amp;SUBSTITUTE(SUBSTITUTE(SUBSTITUTE('Calculations'!HT243,"~","~~"),"*","~*"),"?","~?"))&gt;1,"!AMBIG",IFERROR(INDEX('Calculations'!$HF$13:$HF$512,MATCH('Calculations'!HT243,'Calculations'!$HE$13:$HE$512,0)),""))))</x:f>
      </x:c>
      <x:c r="HV243" t="str">
        <x:f>IF('Calculations'!HU243="","",IF('Calculations'!HU243="!AMBIG","!AMBIG",IF(COUNTIF('Calculations'!$HE$13:$HE$512,"="&amp;SUBSTITUTE(SUBSTITUTE(SUBSTITUTE('Calculations'!HU243,"~","~~"),"*","~*"),"?","~?"))&gt;1,"!AMBIG",IFERROR(INDEX('Calculations'!$HF$13:$HF$512,MATCH('Calculations'!HU243,'Calculations'!$HE$13:$HE$512,0)),""))))</x:f>
      </x:c>
      <x:c r="HW243" t="str">
        <x:f>IF('Calculations'!HV243="","",IF('Calculations'!HV243="!AMBIG","!AMBIG",IF(COUNTIF('Calculations'!$HE$13:$HE$512,"="&amp;SUBSTITUTE(SUBSTITUTE(SUBSTITUTE('Calculations'!HV243,"~","~~"),"*","~*"),"?","~?"))&gt;1,"!AMBIG",IFERROR(INDEX('Calculations'!$HF$13:$HF$512,MATCH('Calculations'!HV243,'Calculations'!$HE$13:$HE$512,0)),""))))</x:f>
      </x:c>
      <x:c r="HX243" t="str">
        <x:f>IF('Calculations'!HW243="","",IF('Calculations'!HW243="!AMBIG","!AMBIG",IF(COUNTIF('Calculations'!$HE$13:$HE$512,"="&amp;SUBSTITUTE(SUBSTITUTE(SUBSTITUTE('Calculations'!HW243,"~","~~"),"*","~*"),"?","~?"))&gt;1,"!AMBIG",IFERROR(INDEX('Calculations'!$HF$13:$HF$512,MATCH('Calculations'!HW243,'Calculations'!$HE$13:$HE$512,0)),""))))</x:f>
      </x:c>
      <x:c r="HY243" t="str">
        <x:f>IF('Calculations'!HX243="","",IF('Calculations'!HX243="!AMBIG","!AMBIG",IF(COUNTIF('Calculations'!$HE$13:$HE$512,"="&amp;SUBSTITUTE(SUBSTITUTE(SUBSTITUTE('Calculations'!HX243,"~","~~"),"*","~*"),"?","~?"))&gt;1,"!AMBIG",IFERROR(INDEX('Calculations'!$HF$13:$HF$512,MATCH('Calculations'!HX243,'Calculations'!$HE$13:$HE$512,0)),""))))</x:f>
      </x:c>
      <x:c r="HZ243" t="str">
        <x:f>IF('Calculations'!HY243="","",IF('Calculations'!HY243="!AMBIG","!AMBIG",IF(COUNTIF('Calculations'!$HE$13:$HE$512,"="&amp;SUBSTITUTE(SUBSTITUTE(SUBSTITUTE('Calculations'!HY243,"~","~~"),"*","~*"),"?","~?"))&gt;1,"!AMBIG",IFERROR(INDEX('Calculations'!$HF$13:$HF$512,MATCH('Calculations'!HY243,'Calculations'!$HE$13:$HE$512,0)),""))))</x:f>
      </x:c>
      <x:c r="IA243" t="str">
        <x:f>IF('Calculations'!HZ243="","",IF('Calculations'!HZ243="!AMBIG","!AMBIG",IF(COUNTIF('Calculations'!$HE$13:$HE$512,"="&amp;SUBSTITUTE(SUBSTITUTE(SUBSTITUTE('Calculations'!HZ243,"~","~~"),"*","~*"),"?","~?"))&gt;1,"!AMBIG",IFERROR(INDEX('Calculations'!$HF$13:$HF$512,MATCH('Calculations'!HZ243,'Calculations'!$HE$13:$HE$512,0)),""))))</x:f>
      </x:c>
      <x:c r="IB243" t="str">
        <x:f>IF('Calculations'!IA243="","",IF('Calculations'!IA243="!AMBIG","!AMBIG",IF(COUNTIF('Calculations'!$HE$13:$HE$512,"="&amp;SUBSTITUTE(SUBSTITUTE(SUBSTITUTE('Calculations'!IA243,"~","~~"),"*","~*"),"?","~?"))&gt;1,"!AMBIG",IFERROR(INDEX('Calculations'!$HF$13:$HF$512,MATCH('Calculations'!IA243,'Calculations'!$HE$13:$HE$512,0)),""))))</x:f>
      </x:c>
      <x:c r="IC243" t="str">
        <x:f>IF('Calculations'!IB243="","",IF('Calculations'!IB243="!AMBIG","!AMBIG",IF(COUNTIF('Calculations'!$HE$13:$HE$512,"="&amp;SUBSTITUTE(SUBSTITUTE(SUBSTITUTE('Calculations'!IB243,"~","~~"),"*","~*"),"?","~?"))&gt;1,"!AMBIG",IFERROR(INDEX('Calculations'!$HF$13:$HF$512,MATCH('Calculations'!IB243,'Calculations'!$HE$13:$HE$512,0)),""))))</x:f>
      </x:c>
      <x:c r="ID243" t="str">
        <x:f>IF('Calculations'!IC243="","",IF('Calculations'!IC243="!AMBIG","!AMBIG",IF(COUNTIF('Calculations'!$HE$13:$HE$512,"="&amp;SUBSTITUTE(SUBSTITUTE(SUBSTITUTE('Calculations'!IC243,"~","~~"),"*","~*"),"?","~?"))&gt;1,"!AMBIG",IFERROR(INDEX('Calculations'!$HF$13:$HF$512,MATCH('Calculations'!IC243,'Calculations'!$HE$13:$HE$512,0)),""))))</x:f>
      </x:c>
      <x:c r="IE243" t="str">
        <x:f>IF('Calculations'!ID243="","",IF('Calculations'!ID243="!AMBIG","!AMBIG",IF(COUNTIF('Calculations'!$HE$13:$HE$512,"="&amp;SUBSTITUTE(SUBSTITUTE(SUBSTITUTE('Calculations'!ID243,"~","~~"),"*","~*"),"?","~?"))&gt;1,"!AMBIG",IFERROR(INDEX('Calculations'!$HF$13:$HF$512,MATCH('Calculations'!ID243,'Calculations'!$HE$13:$HE$512,0)),""))))</x:f>
      </x:c>
      <x:c r="IF243" t="str">
        <x:f>IF('Calculations'!IE243="","",IF('Calculations'!IE243="!AMBIG","!AMBIG",IF(COUNTIF('Calculations'!$HE$13:$HE$512,"="&amp;SUBSTITUTE(SUBSTITUTE(SUBSTITUTE('Calculations'!IE243,"~","~~"),"*","~*"),"?","~?"))&gt;1,"!AMBIG",IFERROR(INDEX('Calculations'!$HF$13:$HF$512,MATCH('Calculations'!IE243,'Calculations'!$HE$13:$HE$512,0)),""))))</x:f>
      </x:c>
      <x:c r="IG243" t="str">
        <x:f>IF('Calculations'!IF243="","",IF('Calculations'!IF243="!AMBIG","!AMBIG",IF(COUNTIF('Calculations'!$HE$13:$HE$512,"="&amp;SUBSTITUTE(SUBSTITUTE(SUBSTITUTE('Calculations'!IF243,"~","~~"),"*","~*"),"?","~?"))&gt;1,"!AMBIG",IFERROR(INDEX('Calculations'!$HF$13:$HF$512,MATCH('Calculations'!IF243,'Calculations'!$HE$13:$HE$512,0)),""))))</x:f>
      </x:c>
      <x:c r="IH243" t="str">
        <x:f>IF('Calculations'!IG243="","",IF('Calculations'!IG243="!AMBIG","!AMBIG",IF(COUNTIF('Calculations'!$HE$13:$HE$512,"="&amp;SUBSTITUTE(SUBSTITUTE(SUBSTITUTE('Calculations'!IG243,"~","~~"),"*","~*"),"?","~?"))&gt;1,"!AMBIG",IFERROR(INDEX('Calculations'!$HF$13:$HF$512,MATCH('Calculations'!IG243,'Calculations'!$HE$13:$HE$512,0)),""))))</x:f>
      </x:c>
      <x:c r="II243" t="str">
        <x:f>IF('Calculations'!IH243="","",IF('Calculations'!IH243="!AMBIG","!AMBIG",IF(COUNTIF('Calculations'!$HE$13:$HE$512,"="&amp;SUBSTITUTE(SUBSTITUTE(SUBSTITUTE('Calculations'!IH243,"~","~~"),"*","~*"),"?","~?"))&gt;1,"!AMBIG",IFERROR(INDEX('Calculations'!$HF$13:$HF$512,MATCH('Calculations'!IH243,'Calculations'!$HE$13:$HE$512,0)),""))))</x:f>
      </x:c>
      <x:c r="IJ243" t="str">
        <x:f>IF('Calculations'!EM243="","",IF('Calculations'!$EF$2="All",'Calculations'!HM243,IF('Calculations'!HL243=1,"",IFERROR(IF(MATCH('Calculations'!$EF$2,'Calculations'!HO243:II243,0)=1,'Calculations'!HE243,INDEX('Calculations'!HO243:II243,1,MATCH('Calculations'!$EF$2,'Calculations'!HO243:II243,0)-1)),""))))</x:f>
      </x:c>
      <x:c r="IK243" t="n">
        <x:f>IF(AND('Calculations'!EM243&lt;&gt;"",'Calculations'!$EF$2&lt;&gt;"All",'Calculations'!HF243='Calculations'!$EF$2,'Calculations'!HL243=0,'Calculations'!JD243&gt;0),MAX('Calculations'!$IK$12:IK242)+1,0)</x:f>
        <x:v>0</x:v>
      </x:c>
      <x:c r="JA243" t="n">
        <x:f>IF(OR(IFERROR(INDIRECT("'WCM Calibration Final'!$A$243")&lt;&gt;"",FALSE),IFERROR(INDIRECT("'WCM Calibration Final'!$B$243")&lt;&gt;"",FALSE),IFERROR(INDIRECT("'WCM Calibration Final'!$C$243")&lt;&gt;"",FALSE)),243,0)</x:f>
        <x:v>0</x:v>
      </x:c>
      <x:c r="JB243" t="n">
        <x:f>'Calculations'!JB242+IF('Calculations'!JA243&gt;0,1,0)</x:f>
        <x:v>0</x:v>
      </x:c>
      <x:c r="JC243" t="n">
        <x:f>IF(OR('Calculations'!HF243="",'Calculations'!HF243="!AMBIG"),0,IF('Dashboard'!$B$7="All",1,COUNTIFS('Calculations'!$HO$13:$HO$512,"="&amp;SUBSTITUTE(SUBSTITUTE(SUBSTITUTE('Calculations'!HF243,"~","~~"),"*","~*"),"?","~?"),'Calculations'!$HN$13:$HN$512,"="&amp;SUBSTITUTE(SUBSTITUTE(SUBSTITUTE('Dashboard'!$B$7,"~","~~"),"*","~*"),"?","~?"))+COUNTIFS('Calculations'!$HP$13:$HP$512,"="&amp;SUBSTITUTE(SUBSTITUTE(SUBSTITUTE('Calculations'!HF243,"~","~~"),"*","~*"),"?","~?"),'Calculations'!$HN$13:$HN$512,"="&amp;SUBSTITUTE(SUBSTITUTE(SUBSTITUTE('Dashboard'!$B$7,"~","~~"),"*","~*"),"?","~?"))+COUNTIFS('Calculations'!$HQ$13:$HQ$512,"="&amp;SUBSTITUTE(SUBSTITUTE(SUBSTITUTE('Calculations'!HF243,"~","~~"),"*","~*"),"?","~?"),'Calculations'!$HN$13:$HN$512,"="&amp;SUBSTITUTE(SUBSTITUTE(SUBSTITUTE('Dashboard'!$B$7,"~","~~"),"*","~*"),"?","~?"))+COUNTIFS('Calculations'!$HR$13:$HR$512,"="&amp;SUBSTITUTE(SUBSTITUTE(SUBSTITUTE('Calculations'!HF243,"~","~~"),"*","~*"),"?","~?"),'Calculations'!$HN$13:$HN$512,"="&amp;SUBSTITUTE(SUBSTITUTE(SUBSTITUTE('Dashboard'!$B$7,"~","~~"),"*","~*"),"?","~?"))+COUNTIFS('Calculations'!$HS$13:$HS$512,"="&amp;SUBSTITUTE(SUBSTITUTE(SUBSTITUTE('Calculations'!HF243,"~","~~"),"*","~*"),"?","~?"),'Calculations'!$HN$13:$HN$512,"="&amp;SUBSTITUTE(SUBSTITUTE(SUBSTITUTE('Dashboard'!$B$7,"~","~~"),"*","~*"),"?","~?"))+COUNTIFS('Calculations'!$HT$13:$HT$512,"="&amp;SUBSTITUTE(SUBSTITUTE(SUBSTITUTE('Calculations'!HF243,"~","~~"),"*","~*"),"?","~?"),'Calculations'!$HN$13:$HN$512,"="&amp;SUBSTITUTE(SUBSTITUTE(SUBSTITUTE('Dashboard'!$B$7,"~","~~"),"*","~*"),"?","~?"))+COUNTIFS('Calculations'!$HU$13:$HU$512,"="&amp;SUBSTITUTE(SUBSTITUTE(SUBSTITUTE('Calculations'!HF243,"~","~~"),"*","~*"),"?","~?"),'Calculations'!$HN$13:$HN$512,"="&amp;SUBSTITUTE(SUBSTITUTE(SUBSTITUTE('Dashboard'!$B$7,"~","~~"),"*","~*"),"?","~?"))+COUNTIFS('Calculations'!$HV$13:$HV$512,"="&amp;SUBSTITUTE(SUBSTITUTE(SUBSTITUTE('Calculations'!HF243,"~","~~"),"*","~*"),"?","~?"),'Calculations'!$HN$13:$HN$512,"="&amp;SUBSTITUTE(SUBSTITUTE(SUBSTITUTE('Dashboard'!$B$7,"~","~~"),"*","~*"),"?","~?"))+COUNTIFS('Calculations'!$HW$13:$HW$512,"="&amp;SUBSTITUTE(SUBSTITUTE(SUBSTITUTE('Calculations'!HF243,"~","~~"),"*","~*"),"?","~?"),'Calculations'!$HN$13:$HN$512,"="&amp;SUBSTITUTE(SUBSTITUTE(SUBSTITUTE('Dashboard'!$B$7,"~","~~"),"*","~*"),"?","~?"))+COUNTIFS('Calculations'!$HX$13:$HX$512,"="&amp;SUBSTITUTE(SUBSTITUTE(SUBSTITUTE('Calculations'!HF243,"~","~~"),"*","~*"),"?","~?"),'Calculations'!$HN$13:$HN$512,"="&amp;SUBSTITUTE(SUBSTITUTE(SUBSTITUTE('Dashboard'!$B$7,"~","~~"),"*","~*"),"?","~?"))+COUNTIFS('Calculations'!$HY$13:$HY$512,"="&amp;SUBSTITUTE(SUBSTITUTE(SUBSTITUTE('Calculations'!HF243,"~","~~"),"*","~*"),"?","~?"),'Calculations'!$HN$13:$HN$512,"="&amp;SUBSTITUTE(SUBSTITUTE(SUBSTITUTE('Dashboard'!$B$7,"~","~~"),"*","~*"),"?","~?"))+COUNTIFS('Calculations'!$HZ$13:$HZ$512,"="&amp;SUBSTITUTE(SUBSTITUTE(SUBSTITUTE('Calculations'!HF243,"~","~~"),"*","~*"),"?","~?"),'Calculations'!$HN$13:$HN$512,"="&amp;SUBSTITUTE(SUBSTITUTE(SUBSTITUTE('Dashboard'!$B$7,"~","~~"),"*","~*"),"?","~?"))+COUNTIFS('Calculations'!$IA$13:$IA$512,"="&amp;SUBSTITUTE(SUBSTITUTE(SUBSTITUTE('Calculations'!HF243,"~","~~"),"*","~*"),"?","~?"),'Calculations'!$HN$13:$HN$512,"="&amp;SUBSTITUTE(SUBSTITUTE(SUBSTITUTE('Dashboard'!$B$7,"~","~~"),"*","~*"),"?","~?"))+COUNTIFS('Calculations'!$IB$13:$IB$512,"="&amp;SUBSTITUTE(SUBSTITUTE(SUBSTITUTE('Calculations'!HF243,"~","~~"),"*","~*"),"?","~?"),'Calculations'!$HN$13:$HN$512,"="&amp;SUBSTITUTE(SUBSTITUTE(SUBSTITUTE('Dashboard'!$B$7,"~","~~"),"*","~*"),"?","~?"))+COUNTIFS('Calculations'!$IC$13:$IC$512,"="&amp;SUBSTITUTE(SUBSTITUTE(SUBSTITUTE('Calculations'!HF243,"~","~~"),"*","~*"),"?","~?"),'Calculations'!$HN$13:$HN$512,"="&amp;SUBSTITUTE(SUBSTITUTE(SUBSTITUTE('Dashboard'!$B$7,"~","~~"),"*","~*"),"?","~?"))+COUNTIFS('Calculations'!$ID$13:$ID$512,"="&amp;SUBSTITUTE(SUBSTITUTE(SUBSTITUTE('Calculations'!HF243,"~","~~"),"*","~*"),"?","~?"),'Calculations'!$HN$13:$HN$512,"="&amp;SUBSTITUTE(SUBSTITUTE(SUBSTITUTE('Dashboard'!$B$7,"~","~~"),"*","~*"),"?","~?"))+COUNTIFS('Calculations'!$IE$13:$IE$512,"="&amp;SUBSTITUTE(SUBSTITUTE(SUBSTITUTE('Calculations'!HF243,"~","~~"),"*","~*"),"?","~?"),'Calculations'!$HN$13:$HN$512,"="&amp;SUBSTITUTE(SUBSTITUTE(SUBSTITUTE('Dashboard'!$B$7,"~","~~"),"*","~*"),"?","~?"))+COUNTIFS('Calculations'!$IF$13:$IF$512,"="&amp;SUBSTITUTE(SUBSTITUTE(SUBSTITUTE('Calculations'!HF243,"~","~~"),"*","~*"),"?","~?"),'Calculations'!$HN$13:$HN$512,"="&amp;SUBSTITUTE(SUBSTITUTE(SUBSTITUTE('Dashboard'!$B$7,"~","~~"),"*","~*"),"?","~?"))+COUNTIFS('Calculations'!$IG$13:$IG$512,"="&amp;SUBSTITUTE(SUBSTITUTE(SUBSTITUTE('Calculations'!HF243,"~","~~"),"*","~*"),"?","~?"),'Calculations'!$HN$13:$HN$512,"="&amp;SUBSTITUTE(SUBSTITUTE(SUBSTITUTE('Dashboard'!$B$7,"~","~~"),"*","~*"),"?","~?"))+COUNTIFS('Calculations'!$IH$13:$IH$512,"="&amp;SUBSTITUTE(SUBSTITUTE(SUBSTITUTE('Calculations'!HF243,"~","~~"),"*","~*"),"?","~?"),'Calculations'!$HN$13:$HN$512,"="&amp;SUBSTITUTE(SUBSTITUTE(SUBSTITUTE('Dashboard'!$B$7,"~","~~"),"*","~*"),"?","~?"))))</x:f>
        <x:v>0</x:v>
      </x:c>
      <x:c r="JD243" t="n">
        <x:f>IF('Calculations'!EM243="",0,IF('Dashboard'!$B$7="All",1,IF('Calculations'!HN243='Dashboard'!$B$7,1,0)+IFERROR(INDEX('Calculations'!$JC$13:$JC$512,MATCH('Calculations'!HE243,'Calculations'!$HF$13:$HF$512,0)),0)))</x:f>
        <x:v>0</x:v>
      </x:c>
      <x:c r="JE243" t="n">
        <x:f>IF(AND('Calculations'!EM243&lt;&gt;"",'Calculations'!$JJ$2&lt;&gt;"All",'Calculations'!$JJ$2&lt;&gt;"",'Calculations'!HF243='Calculations'!$JJ$2,'Calculations'!HL243=0,'Calculations'!JD243&gt;0),MAX('Calculations'!$JE$12:JE242)+1,0)</x:f>
        <x:v>0</x:v>
      </x:c>
      <x:c r="JF243" t="str">
        <x:f>IF('Calculations'!EM243="","",IFERROR(IF(INDEX(INDIRECT("'WCM Calibration Final'!$G$1:$G$2000"),'Calculations'!$EM243)="","",TRIM(INDEX(INDIRECT("'WCM Calibration Final'!$G$1:$G$2000"),'Calculations'!$EM243)&amp;"")),""))</x:f>
      </x:c>
      <x:c r="JQ243" t="n">
        <x:f>IF(OR('Calculations'!BM243=0,NOT('Calculations'!$AG$2),'Calculations'!$AG$8&gt;0),0,IF(OR('Dashboard'!$B$7="All",'Calculations'!HN243='Dashboard'!$B$7),IF('Calculations'!$JJ$2="All",1,IF(AND('Calculations'!HF243='Calculations'!$JJ$2,'Calculations'!HL243=0),1,0)),0))</x:f>
        <x:v>0</x:v>
      </x:c>
    </x:row>
    <x:row r="244">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t="n">
        <x:f>IF('Calculations'!$EM244="",0,IF(OR(IFERROR(INDEX(INDIRECT("'WCM Calibration Final'!$A$1:$A$2000"),'Calculations'!$EM244)&lt;&gt;"",FALSE),IFERROR(INDEX(INDIRECT("'WCM Calibration Final'!$B$1:$B$2000"),'Calculations'!$EM244)&lt;&gt;"",FALSE),IFERROR(INDEX(INDIRECT("'WCM Calibration Final'!$C$1:$C$2000"),'Calculations'!$EM244)&lt;&gt;"",FALSE)),1,0))</x:f>
        <x:v>0</x:v>
      </x:c>
      <x:c r="BN244" s="4" t="n">
        <x:f>IF(AND('Calculations'!BM244=1,'Calculations'!$AG$2,'Calculations'!$EN244=1),1,0)</x:f>
        <x:v>0</x:v>
      </x:c>
      <x:c r="BO244" s="4" t="str">
        <x:f>IF('Calculations'!BM244=0,"",IFERROR(IF(AND(VALUE(INDEX(INDIRECT("'WCM Calibration Final'!$K$1:$K$2000"),'Calculations'!$EM244))&gt;=1,VALUE(INDEX(INDIRECT("'WCM Calibration Final'!$K$1:$K$2000"),'Calculations'!$EM244))&lt;=4,MOD(VALUE(INDEX(INDIRECT("'WCM Calibration Final'!$K$1:$K$2000"),'Calculations'!$EM244)),1)=0),VALUE(INDEX(INDIRECT("'WCM Calibration Final'!$K$1:$K$2000"),'Calculations'!$EM244)),""),""))</x:f>
      </x:c>
      <x:c r="BP244" s="4" t="str">
        <x:f>IF('Calculations'!BM244=0,"",IFERROR(IF(AND(VALUE(INDEX(INDIRECT("'WCM Calibration Final'!$L$1:$L$2000"),'Calculations'!$EM244))&gt;=1,VALUE(INDEX(INDIRECT("'WCM Calibration Final'!$L$1:$L$2000"),'Calculations'!$EM244))&lt;=4,MOD(VALUE(INDEX(INDIRECT("'WCM Calibration Final'!$L$1:$L$2000"),'Calculations'!$EM244)),1)=0),VALUE(INDEX(INDIRECT("'WCM Calibration Final'!$L$1:$L$2000"),'Calculations'!$EM244)),""),""))</x:f>
      </x:c>
      <x:c r="BQ244" s="4"/>
      <x:c r="BR244" s="4"/>
      <x:c r="BS244" s="4"/>
      <x:c r="BT244" s="4" t="n">
        <x:f>IF(AND('Calculations'!BM244=1,ISNUMBER('Calculations'!BO244),ISNUMBER('Calculations'!BP244)),1,0)</x:f>
        <x:v>0</x:v>
      </x:c>
      <x:c r="BU244" s="4" t="str">
        <x:f>IF('Calculations'!BM244=0,"",'Calculations'!$EO244)</x:f>
      </x:c>
      <x:c r="BV244" s="4" t="str">
        <x:f>IF('Calculations'!BM244=0,"",IFERROR(IF(OR(INDEX(INDIRECT("'WCM Calibration Final'!$H$1:$H$2000"),'Calculations'!$EM244)="MANAGING DIRECTOR",INDEX(INDIRECT("'WCM Calibration Final'!$H$1:$H$2000"),'Calculations'!$EM244)="DIRECTOR",INDEX(INDIRECT("'WCM Calibration Final'!$H$1:$H$2000"),'Calculations'!$EM244)="SENIOR VICE PRESIDENT",INDEX(INDIRECT("'WCM Calibration Final'!$H$1:$H$2000"),'Calculations'!$EM244)="VICE PRESIDENT",INDEX(INDIRECT("'WCM Calibration Final'!$H$1:$H$2000"),'Calculations'!$EM244)="ASSISTANT VICE PRESIDENT",INDEX(INDIRECT("'WCM Calibration Final'!$H$1:$H$2000"),'Calculations'!$EM244)="OFFICER"),UPPER(INDEX(INDIRECT("'WCM Calibration Final'!$H$1:$H$2000"),'Calculations'!$EM244)),"Other"),"Other"))</x:f>
      </x:c>
      <x:c r="BW244" s="4"/>
      <x:c r="BX244" s="4"/>
      <x:c r="BY244" s="4" t="n">
        <x:f>IF(AND('Calculations'!BM244=1,'Calculations'!BU244&lt;&gt;"",COUNTIF('Calculations'!$BU$12:BU244,'Calculations'!BU244)=1),MAX('Calculations'!$BY$11:BY243)+1,0)</x:f>
        <x:v>0</x:v>
      </x:c>
      <x:c r="BZ244" s="4" t="str">
        <x:f>IF('Dashboard'!$E$67="What",'Calculations'!BO244,'Calculations'!BP244)</x:f>
      </x:c>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t="str">
        <x:f>IF(233&gt;MAX('Calculations'!$HI$13:$HI$512),"",INDEX('Calculations'!$HN$13:$HN$512,MATCH(233,'Calculations'!$HI$13:$HI$512,0)))</x:f>
      </x:c>
      <x:c r="DB244" s="4" t="str">
        <x:f>IF(233&gt;MAX('Calculations'!$HH$13:$HH$512),"",INDEX('Calculations'!$HJ$13:$HJ$512,MATCH(233,'Calculations'!$HH$13:$HH$512,0)))</x:f>
      </x:c>
      <x:c r="DC244" s="4" t="str">
        <x:f>IF(ROW()-11&gt;MAX('Calculations'!$BY$13:$BY$512),"",INDEX('Calculations'!$BU$13:$BU$512,MATCH(ROW()-11,'Calculations'!$BY$13:$BY$512,0)))</x:f>
      </x:c>
      <x:c r="DD244" s="4" t="str">
        <x:f>IF(233&gt;MAX('Calculations'!$IK$13:$IK$512),"",INDEX('Calculations'!$HK$13:$HK$512,MATCH(233,'Calculations'!$IK$13:$IK$512,0)))</x:f>
      </x:c>
      <x:c r="DE244" s="4" t="str">
        <x:f>'Calculations'!DC244</x:f>
      </x:c>
      <x:c r="DF244" s="4" t="str">
        <x:f>IF('Calculations'!DE244="","",COUNTIFS('Calculations'!$BN$13:$BN$512,1,'Calculations'!$BU$13:$BU$512,'Calculations'!DE244))</x:f>
      </x:c>
      <x:c r="DG244" s="4" t="str">
        <x:f>IF('Calculations'!DE244="","",COUNTIFS('Calculations'!$BN$13:$BN$512,1,'Calculations'!$BU$13:$BU$512,'Calculations'!DE244,'Calculations'!$BT$13:$BT$512,1))</x:f>
      </x:c>
      <x:c r="DH244" s="4" t="str">
        <x:f>IF('Calculations'!DE244="","",'Calculations'!DF244-'Calculations'!DG244)</x:f>
      </x:c>
      <x:c r="DI244" s="4" t="str">
        <x:f>IF(OR('Calculations'!DE244="",'Calculations'!DF244=0),"",'Calculations'!DG244/'Calculations'!DF244)</x:f>
      </x:c>
      <x:c r="DJ244" s="4" t="str">
        <x:f>IF('Calculations'!DE244="","",COUNTIFS('Calculations'!$BN$13:$BN$512,1,'Calculations'!$BU$13:$BU$512,'Calculations'!DE244,'Calculations'!$BT$13:$BT$512,1,'Calculations'!$EE$13:$EE$512,"High"))</x:f>
      </x:c>
      <x:c r="DK244" s="4" t="str">
        <x:f>IF('Calculations'!DE244="","",COUNTIFS('Calculations'!$BN$13:$BN$512,1,'Calculations'!$BU$13:$BU$512,'Calculations'!DE244,'Calculations'!$BT$13:$BT$512,1,'Calculations'!$EE$13:$EE$512,"Strong"))</x:f>
      </x:c>
      <x:c r="DL244" s="4" t="str">
        <x:f>IF('Calculations'!DE244="","",COUNTIFS('Calculations'!$BN$13:$BN$512,1,'Calculations'!$BU$13:$BU$512,'Calculations'!DE244,'Calculations'!$BT$13:$BT$512,1,'Calculations'!$EE$13:$EE$512,"Solid"))</x:f>
      </x:c>
      <x:c r="DM244" s="4" t="str">
        <x:f>IF('Calculations'!DE244="","",COUNTIFS('Calculations'!$BN$13:$BN$512,1,'Calculations'!$BU$13:$BU$512,'Calculations'!DE244,'Calculations'!$BT$13:$BT$512,1,'Calculations'!$EE$13:$EE$512,"Low"))</x:f>
      </x:c>
      <x:c r="DN244" s="4" t="str">
        <x:f>IF('Calculations'!DE244="","",COUNTIFS('Calculations'!$BN$13:$BN$512,1,'Calculations'!$BU$13:$BU$512,'Calculations'!DE244,'Calculations'!$EP$13:$EP$512,1))</x:f>
      </x:c>
      <x:c r="DO244" s="4" t="str">
        <x:f>IF(OR('Calculations'!DE244="",'Calculations'!DG244=0),"",('Calculations'!DJ244+'Calculations'!DK244)/'Calculations'!DG244)</x:f>
      </x:c>
      <x:c r="DP244" s="4" t="n">
        <x:f>IF(AND('Calculations'!DE244&lt;&gt;"",'Calculations'!DF244&gt;0),COUNTIF('Calculations'!$DF$12:DF244,"&gt;0"),0)</x:f>
        <x:v>0</x:v>
      </x:c>
      <x:c r="DQ244" s="4" t="str">
        <x:f>IF(233&gt;MAX('Calculations'!$HH$13:$HH$512),"",INDEX('Calculations'!$HF$13:$HF$512,MATCH(233,'Calculations'!$HH$13:$HH$512,0)))</x:f>
      </x:c>
      <x:c r="DR244" s="4" t="str">
        <x:f>IF(233&gt;MAX('Calculations'!$IK$13:$IK$512),"",INDEX('Calculations'!$HE$13:$HE$512,MATCH(233,'Calculations'!$IK$13:$IK$512,0)))</x:f>
      </x:c>
      <x:c r="DS244" s="4"/>
      <x:c r="DT244" s="4"/>
      <x:c r="DU244" s="4"/>
      <x:c r="DV244" s="4"/>
      <x:c r="DW244" s="4"/>
      <x:c r="DX244" s="4"/>
      <x:c r="DY244" s="4"/>
      <x:c r="DZ244" s="4"/>
      <x:c r="EA244" s="4"/>
      <x:c r="EB244" s="4"/>
      <x:c r="EC244" s="4"/>
      <x:c r="ED244" s="4"/>
      <x:c r="EE244" s="4" t="str">
        <x:f>IF('Calculations'!BT244=0,"Not Rated",IF(OR('Calculations'!BO244&gt;=4,'Calculations'!BP244&gt;=4),"Low",IF('Calculations'!BO244+'Calculations'!BP244&lt;=3,"High",IF('Calculations'!BO244+'Calculations'!BP244&lt;=4,"Strong","Solid"))))</x:f>
        <x:v>Not Rated</x:v>
      </x:c>
      <x:c r="EF244" s="4"/>
      <x:c r="EG244" s="4"/>
      <x:c r="EH244" s="4"/>
      <x:c r="EI244" s="4"/>
      <x:c r="EJ244" s="4"/>
      <x:c r="EK244" s="4"/>
      <x:c r="EL244" s="4"/>
      <x:c r="EM244" s="4" t="str">
        <x:f>IF(232&gt;'Calculations'!$JB$2000,"",INDEX('Calculations'!$JA$12:$JA$2000,MATCH(232,'Calculations'!$JB$12:$JB$2000,0)))</x:f>
      </x:c>
      <x:c r="EN244" s="4" t="n">
        <x:f>IF(OR('Calculations'!EM244="",'Calculations'!$AG$8&gt;0,AND('Calculations'!$EF$2&lt;&gt;"All",'Calculations'!HE244='Calculations'!$EF$2),AND('Calculations'!$EF$3&lt;&gt;"All",'Calculations'!HE244='Calculations'!$EF$3)),0,IF(OR('Dashboard'!$B$7="All",'Calculations'!HN244='Dashboard'!$B$7),IF('Calculations'!$EF$2="All",1,IF('Calculations'!HL244&gt;0,0,IF(COUNTIF('Calculations'!HO244:II244,"="&amp;SUBSTITUTE(SUBSTITUTE(SUBSTITUTE('Calculations'!$EF$2,"~","~~"),"*","~*"),"?","~?"))=0,0,IF('Calculations'!$EF$3="All",1,IF(COUNTIF('Calculations'!HO244:II244,"="&amp;SUBSTITUTE(SUBSTITUTE(SUBSTITUTE('Calculations'!$EF$3,"~","~~"),"*","~*"),"?","~?"))&gt;0,1,0))))),0))</x:f>
        <x:v>0</x:v>
      </x:c>
      <x:c r="EO244" s="4" t="str">
        <x:f>IF('Calculations'!IJ244="","",IF('Calculations'!IJ244="!UNRESOLVED","Unresolved hierarchy",IFERROR(INDEX('Calculations'!$HK$13:$HK$512,MATCH('Calculations'!IJ244,'Calculations'!$HE$13:$HE$512,0)),IFERROR(INDEX('Calculations'!$HJ$13:$HJ$512,MATCH('Calculations'!IJ244,'Calculations'!$HF$13:$HF$512,0)),'Calculations'!IJ244))))</x:f>
      </x:c>
      <x:c r="EP244" s="4" t="n">
        <x:f>IF(AND('Calculations'!EM244&lt;&gt;"",'Calculations'!HF244='Calculations'!IJ244),1,0)</x:f>
        <x:v>0</x:v>
      </x:c>
      <x:c r="EQ244" s="4"/>
      <x:c r="ER244" s="4"/>
      <x:c r="ES244" s="4"/>
      <x:c r="ET244" s="4"/>
      <x:c r="EU244" s="4"/>
      <x:c r="EV244" s="4"/>
      <x:c r="EW244" s="4"/>
      <x:c r="EX244" s="4"/>
      <x:c r="EY244" s="4"/>
      <x:c r="EZ244" s="4"/>
      <x:c r="FA244" s="4"/>
      <x:c r="FB244" s="4"/>
      <x:c r="FC244" s="4"/>
      <x:c r="FD244" s="4"/>
      <x:c r="FE244" s="4"/>
      <x:c r="FF244" s="4"/>
      <x:c r="FG244" s="4"/>
      <x:c r="FH244" s="4"/>
      <x:c r="FI244" s="4"/>
      <x:c r="FJ244" s="4"/>
      <x:c r="FK244" s="4"/>
      <x:c r="FL244" s="4"/>
      <x:c r="FM244" s="4"/>
      <x:c r="FN244" s="4"/>
      <x:c r="FO244" s="4"/>
      <x:c r="HE244" t="str">
        <x:f>IF('Calculations'!EM244="","",IF(IFERROR(IF(INDEX(INDIRECT("'WCM Calibration Final'!$A$1:$A$2000"),'Calculations'!$EM244)="","",TRIM(INDEX(INDIRECT("'WCM Calibration Final'!$A$1:$A$2000"),'Calculations'!$EM244)&amp;"")),"")&lt;&gt;"","G:"&amp;IFERROR(TEXT(1*INDEX(INDIRECT("'WCM Calibration Final'!$A$1:$A$2000"),'Calculations'!$EM244),"0"),UPPER(IFERROR(IF(INDEX(INDIRECT("'WCM Calibration Final'!$A$1:$A$2000"),'Calculations'!$EM244)="","",TRIM(INDEX(INDIRECT("'WCM Calibration Final'!$A$1:$A$2000"),'Calculations'!$EM244)&amp;"")),""))),IF(IFERROR(IF(INDEX(INDIRECT("'WCM Calibration Final'!$C$1:$C$2000"),'Calculations'!$EM244)="","",TRIM(INDEX(INDIRECT("'WCM Calibration Final'!$C$1:$C$2000"),'Calculations'!$EM244)&amp;"")),"")&lt;&gt;"","S:"&amp;UPPER(IFERROR(IF(INDEX(INDIRECT("'WCM Calibration Final'!$C$1:$C$2000"),'Calculations'!$EM244)="","",TRIM(INDEX(INDIRECT("'WCM Calibration Final'!$C$1:$C$2000"),'Calculations'!$EM244)&amp;"")),"")),"R:"&amp;'Calculations'!EM244)))</x:f>
      </x:c>
      <x:c r="HF244" t="str">
        <x:f>IF('Calculations'!EM244="","",IF(IFERROR(IF(INDEX(INDIRECT("'WCM Calibration Final'!$D$1:$D$2000"),'Calculations'!$EM244)="","",TRIM(INDEX(INDIRECT("'WCM Calibration Final'!$D$1:$D$2000"),'Calculations'!$EM244)&amp;"")),"")&lt;&gt;"","G:"&amp;IFERROR(TEXT(1*INDEX(INDIRECT("'WCM Calibration Final'!$D$1:$D$2000"),'Calculations'!$EM244),"0"),UPPER(IFERROR(IF(INDEX(INDIRECT("'WCM Calibration Final'!$D$1:$D$2000"),'Calculations'!$EM244)="","",TRIM(INDEX(INDIRECT("'WCM Calibration Final'!$D$1:$D$2000"),'Calculations'!$EM244)&amp;"")),""))),IF(IFERROR(IF(INDEX(INDIRECT("'WCM Calibration Final'!$E$1:$E$2000"),'Calculations'!$EM244)="","",TRIM(INDEX(INDIRECT("'WCM Calibration Final'!$E$1:$E$2000"),'Calculations'!$EM244)&amp;"")),"")="","",IF(COUNTIF('Calculations'!$HG$13:$HG$512,"="&amp;SUBSTITUTE(SUBSTITUTE(SUBSTITUTE(IFERROR(IF(INDEX(INDIRECT("'WCM Calibration Final'!$E$1:$E$2000"),'Calculations'!$EM244)="","",TRIM(INDEX(INDIRECT("'WCM Calibration Final'!$E$1:$E$2000"),'Calculations'!$EM244)&amp;"")),""),"~","~~"),"*","~*"),"?","~?"))=1,INDEX('Calculations'!$HE$13:$HE$512,MATCH(IFERROR(IF(INDEX(INDIRECT("'WCM Calibration Final'!$E$1:$E$2000"),'Calculations'!$EM244)="","",TRIM(INDEX(INDIRECT("'WCM Calibration Final'!$E$1:$E$2000"),'Calculations'!$EM244)&amp;"")),""),'Calculations'!$HG$13:$HG$512,0)),IF(COUNTIF('Calculations'!$HG$13:$HG$512,"="&amp;SUBSTITUTE(SUBSTITUTE(SUBSTITUTE(IFERROR(IF(INDEX(INDIRECT("'WCM Calibration Final'!$E$1:$E$2000"),'Calculations'!$EM244)="","",TRIM(INDEX(INDIRECT("'WCM Calibration Final'!$E$1:$E$2000"),'Calculations'!$EM244)&amp;"")),""),"~","~~"),"*","~*"),"?","~?"))&gt;1,"!AMBIG","X:"&amp;IFERROR(IF(INDEX(INDIRECT("'WCM Calibration Final'!$E$1:$E$2000"),'Calculations'!$EM244)="","",TRIM(INDEX(INDIRECT("'WCM Calibration Final'!$E$1:$E$2000"),'Calculations'!$EM244)&amp;"")),""))))))</x:f>
      </x:c>
      <x:c r="HG244" t="str">
        <x:f>IF('Calculations'!EM244="","",IFERROR(IF(INDEX(INDIRECT("'WCM Calibration Final'!$B$1:$B$2000"),'Calculations'!$EM244)="","",TRIM(INDEX(INDIRECT("'WCM Calibration Final'!$B$1:$B$2000"),'Calculations'!$EM244)&amp;"")),""))</x:f>
      </x:c>
      <x:c r="HH244" t="n">
        <x:f>IF(AND('Calculations'!JC244&gt;0,COUNTIF('Calculations'!$HF$12:HF244,"="&amp;SUBSTITUTE(SUBSTITUTE(SUBSTITUTE('Calculations'!HF244,"~","~~"),"*","~*"),"?","~?"))=1),MAX('Calculations'!$HH$12:HH243)+1,0)</x:f>
        <x:v>0</x:v>
      </x:c>
      <x:c r="HI244" t="n">
        <x:f>IF(AND('Calculations'!HN244&lt;&gt;"",COUNTIF('Calculations'!$HN$12:HN244,"="&amp;SUBSTITUTE(SUBSTITUTE(SUBSTITUTE('Calculations'!HN244,"~","~~"),"*","~*"),"?","~?"))=1),MAX('Calculations'!$HI$12:HI243)+1,0)</x:f>
        <x:v>0</x:v>
      </x:c>
      <x:c r="HJ244" t="str">
        <x:f>IF('Calculations'!HF244="","",IF(COUNTIF('Calculations'!$HE$13:$HE$512,"="&amp;SUBSTITUTE(SUBSTITUTE(SUBSTITUTE('Calculations'!HF244,"~","~~"),"*","~*"),"?","~?"))=1,INDEX('Calculations'!$HK$13:$HK$512,MATCH('Calculations'!HF244,'Calculations'!$HE$13:$HE$512,0)),IFERROR(IF(INDEX(INDIRECT("'WCM Calibration Final'!$E$1:$E$2000"),'Calculations'!$EM244)="","",TRIM(INDEX(INDIRECT("'WCM Calibration Final'!$E$1:$E$2000"),'Calculations'!$EM244)&amp;"")),"")&amp;" ["&amp;'Calculations'!HF244&amp;"]"))</x:f>
      </x:c>
      <x:c r="HK244" t="str">
        <x:f>IF('Calculations'!EM244="","",'Calculations'!HG244&amp;" ["&amp;'Calculations'!HE244&amp;"]")</x:f>
      </x:c>
      <x:c r="HL244" t="n">
        <x:f>IF('Calculations'!EM244="",0,IF(OR('Calculations'!II244&lt;&gt;"",COUNTIF('Calculations'!$HE$13:$HE$512,"="&amp;SUBSTITUTE(SUBSTITUTE(SUBSTITUTE('Calculations'!HE244,"~","~~"),"*","~*"),"?","~?"))&gt;1),1,0))</x:f>
        <x:v>0</x:v>
      </x:c>
      <x:c r="HM244" t="str">
        <x:f>IF('Calculations'!EM244="","",IF('Calculations'!HL244=1,"!UNRESOLVED",IF('Calculations'!IH244&lt;&gt;"",'Calculations'!IH244,IF('Calculations'!IG244&lt;&gt;"",'Calculations'!IG244,IF('Calculations'!IF244&lt;&gt;"",'Calculations'!IF244,IF('Calculations'!IE244&lt;&gt;"",'Calculations'!IE244,IF('Calculations'!ID244&lt;&gt;"",'Calculations'!ID244,IF('Calculations'!IC244&lt;&gt;"",'Calculations'!IC244,IF('Calculations'!IB244&lt;&gt;"",'Calculations'!IB244,IF('Calculations'!IA244&lt;&gt;"",'Calculations'!IA244,IF('Calculations'!HZ244&lt;&gt;"",'Calculations'!HZ244,IF('Calculations'!HY244&lt;&gt;"",'Calculations'!HY244,IF('Calculations'!HX244&lt;&gt;"",'Calculations'!HX244,IF('Calculations'!HW244&lt;&gt;"",'Calculations'!HW244,IF('Calculations'!HV244&lt;&gt;"",'Calculations'!HV244,IF('Calculations'!HU244&lt;&gt;"",'Calculations'!HU244,IF('Calculations'!HT244&lt;&gt;"",'Calculations'!HT244,IF('Calculations'!HS244&lt;&gt;"",'Calculations'!HS244,IF('Calculations'!HR244&lt;&gt;"",'Calculations'!HR244,IF('Calculations'!HQ244&lt;&gt;"",'Calculations'!HQ244,IF('Calculations'!HP244&lt;&gt;"",'Calculations'!HP244,IF('Calculations'!HO244&lt;&gt;"",'Calculations'!HO244,'Calculations'!HE244))))))))))))))))))))))</x:f>
      </x:c>
      <x:c r="HN244" t="str">
        <x:f>IF('Calculations'!EM244="","",IF(IFERROR(IF(INDEX(INDIRECT("'WCM Calibration Final'!$F$1:$F$2000"),'Calculations'!$EM244)="","",TRIM(INDEX(INDIRECT("'WCM Calibration Final'!$F$1:$F$2000"),'Calculations'!$EM244)&amp;"")),"")="","(Blank)",IFERROR(IF(INDEX(INDIRECT("'WCM Calibration Final'!$F$1:$F$2000"),'Calculations'!$EM244)="","",TRIM(INDEX(INDIRECT("'WCM Calibration Final'!$F$1:$F$2000"),'Calculations'!$EM244)&amp;"")),"")))</x:f>
      </x:c>
      <x:c r="HO244" t="str">
        <x:f>'Calculations'!HF244</x:f>
      </x:c>
      <x:c r="HP244" t="str">
        <x:f>IF('Calculations'!HO244="","",IF('Calculations'!HO244="!AMBIG","!AMBIG",IF(COUNTIF('Calculations'!$HE$13:$HE$512,"="&amp;SUBSTITUTE(SUBSTITUTE(SUBSTITUTE('Calculations'!HO244,"~","~~"),"*","~*"),"?","~?"))&gt;1,"!AMBIG",IFERROR(INDEX('Calculations'!$HF$13:$HF$512,MATCH('Calculations'!HO244,'Calculations'!$HE$13:$HE$512,0)),""))))</x:f>
      </x:c>
      <x:c r="HQ244" t="str">
        <x:f>IF('Calculations'!HP244="","",IF('Calculations'!HP244="!AMBIG","!AMBIG",IF(COUNTIF('Calculations'!$HE$13:$HE$512,"="&amp;SUBSTITUTE(SUBSTITUTE(SUBSTITUTE('Calculations'!HP244,"~","~~"),"*","~*"),"?","~?"))&gt;1,"!AMBIG",IFERROR(INDEX('Calculations'!$HF$13:$HF$512,MATCH('Calculations'!HP244,'Calculations'!$HE$13:$HE$512,0)),""))))</x:f>
      </x:c>
      <x:c r="HR244" t="str">
        <x:f>IF('Calculations'!HQ244="","",IF('Calculations'!HQ244="!AMBIG","!AMBIG",IF(COUNTIF('Calculations'!$HE$13:$HE$512,"="&amp;SUBSTITUTE(SUBSTITUTE(SUBSTITUTE('Calculations'!HQ244,"~","~~"),"*","~*"),"?","~?"))&gt;1,"!AMBIG",IFERROR(INDEX('Calculations'!$HF$13:$HF$512,MATCH('Calculations'!HQ244,'Calculations'!$HE$13:$HE$512,0)),""))))</x:f>
      </x:c>
      <x:c r="HS244" t="str">
        <x:f>IF('Calculations'!HR244="","",IF('Calculations'!HR244="!AMBIG","!AMBIG",IF(COUNTIF('Calculations'!$HE$13:$HE$512,"="&amp;SUBSTITUTE(SUBSTITUTE(SUBSTITUTE('Calculations'!HR244,"~","~~"),"*","~*"),"?","~?"))&gt;1,"!AMBIG",IFERROR(INDEX('Calculations'!$HF$13:$HF$512,MATCH('Calculations'!HR244,'Calculations'!$HE$13:$HE$512,0)),""))))</x:f>
      </x:c>
      <x:c r="HT244" t="str">
        <x:f>IF('Calculations'!HS244="","",IF('Calculations'!HS244="!AMBIG","!AMBIG",IF(COUNTIF('Calculations'!$HE$13:$HE$512,"="&amp;SUBSTITUTE(SUBSTITUTE(SUBSTITUTE('Calculations'!HS244,"~","~~"),"*","~*"),"?","~?"))&gt;1,"!AMBIG",IFERROR(INDEX('Calculations'!$HF$13:$HF$512,MATCH('Calculations'!HS244,'Calculations'!$HE$13:$HE$512,0)),""))))</x:f>
      </x:c>
      <x:c r="HU244" t="str">
        <x:f>IF('Calculations'!HT244="","",IF('Calculations'!HT244="!AMBIG","!AMBIG",IF(COUNTIF('Calculations'!$HE$13:$HE$512,"="&amp;SUBSTITUTE(SUBSTITUTE(SUBSTITUTE('Calculations'!HT244,"~","~~"),"*","~*"),"?","~?"))&gt;1,"!AMBIG",IFERROR(INDEX('Calculations'!$HF$13:$HF$512,MATCH('Calculations'!HT244,'Calculations'!$HE$13:$HE$512,0)),""))))</x:f>
      </x:c>
      <x:c r="HV244" t="str">
        <x:f>IF('Calculations'!HU244="","",IF('Calculations'!HU244="!AMBIG","!AMBIG",IF(COUNTIF('Calculations'!$HE$13:$HE$512,"="&amp;SUBSTITUTE(SUBSTITUTE(SUBSTITUTE('Calculations'!HU244,"~","~~"),"*","~*"),"?","~?"))&gt;1,"!AMBIG",IFERROR(INDEX('Calculations'!$HF$13:$HF$512,MATCH('Calculations'!HU244,'Calculations'!$HE$13:$HE$512,0)),""))))</x:f>
      </x:c>
      <x:c r="HW244" t="str">
        <x:f>IF('Calculations'!HV244="","",IF('Calculations'!HV244="!AMBIG","!AMBIG",IF(COUNTIF('Calculations'!$HE$13:$HE$512,"="&amp;SUBSTITUTE(SUBSTITUTE(SUBSTITUTE('Calculations'!HV244,"~","~~"),"*","~*"),"?","~?"))&gt;1,"!AMBIG",IFERROR(INDEX('Calculations'!$HF$13:$HF$512,MATCH('Calculations'!HV244,'Calculations'!$HE$13:$HE$512,0)),""))))</x:f>
      </x:c>
      <x:c r="HX244" t="str">
        <x:f>IF('Calculations'!HW244="","",IF('Calculations'!HW244="!AMBIG","!AMBIG",IF(COUNTIF('Calculations'!$HE$13:$HE$512,"="&amp;SUBSTITUTE(SUBSTITUTE(SUBSTITUTE('Calculations'!HW244,"~","~~"),"*","~*"),"?","~?"))&gt;1,"!AMBIG",IFERROR(INDEX('Calculations'!$HF$13:$HF$512,MATCH('Calculations'!HW244,'Calculations'!$HE$13:$HE$512,0)),""))))</x:f>
      </x:c>
      <x:c r="HY244" t="str">
        <x:f>IF('Calculations'!HX244="","",IF('Calculations'!HX244="!AMBIG","!AMBIG",IF(COUNTIF('Calculations'!$HE$13:$HE$512,"="&amp;SUBSTITUTE(SUBSTITUTE(SUBSTITUTE('Calculations'!HX244,"~","~~"),"*","~*"),"?","~?"))&gt;1,"!AMBIG",IFERROR(INDEX('Calculations'!$HF$13:$HF$512,MATCH('Calculations'!HX244,'Calculations'!$HE$13:$HE$512,0)),""))))</x:f>
      </x:c>
      <x:c r="HZ244" t="str">
        <x:f>IF('Calculations'!HY244="","",IF('Calculations'!HY244="!AMBIG","!AMBIG",IF(COUNTIF('Calculations'!$HE$13:$HE$512,"="&amp;SUBSTITUTE(SUBSTITUTE(SUBSTITUTE('Calculations'!HY244,"~","~~"),"*","~*"),"?","~?"))&gt;1,"!AMBIG",IFERROR(INDEX('Calculations'!$HF$13:$HF$512,MATCH('Calculations'!HY244,'Calculations'!$HE$13:$HE$512,0)),""))))</x:f>
      </x:c>
      <x:c r="IA244" t="str">
        <x:f>IF('Calculations'!HZ244="","",IF('Calculations'!HZ244="!AMBIG","!AMBIG",IF(COUNTIF('Calculations'!$HE$13:$HE$512,"="&amp;SUBSTITUTE(SUBSTITUTE(SUBSTITUTE('Calculations'!HZ244,"~","~~"),"*","~*"),"?","~?"))&gt;1,"!AMBIG",IFERROR(INDEX('Calculations'!$HF$13:$HF$512,MATCH('Calculations'!HZ244,'Calculations'!$HE$13:$HE$512,0)),""))))</x:f>
      </x:c>
      <x:c r="IB244" t="str">
        <x:f>IF('Calculations'!IA244="","",IF('Calculations'!IA244="!AMBIG","!AMBIG",IF(COUNTIF('Calculations'!$HE$13:$HE$512,"="&amp;SUBSTITUTE(SUBSTITUTE(SUBSTITUTE('Calculations'!IA244,"~","~~"),"*","~*"),"?","~?"))&gt;1,"!AMBIG",IFERROR(INDEX('Calculations'!$HF$13:$HF$512,MATCH('Calculations'!IA244,'Calculations'!$HE$13:$HE$512,0)),""))))</x:f>
      </x:c>
      <x:c r="IC244" t="str">
        <x:f>IF('Calculations'!IB244="","",IF('Calculations'!IB244="!AMBIG","!AMBIG",IF(COUNTIF('Calculations'!$HE$13:$HE$512,"="&amp;SUBSTITUTE(SUBSTITUTE(SUBSTITUTE('Calculations'!IB244,"~","~~"),"*","~*"),"?","~?"))&gt;1,"!AMBIG",IFERROR(INDEX('Calculations'!$HF$13:$HF$512,MATCH('Calculations'!IB244,'Calculations'!$HE$13:$HE$512,0)),""))))</x:f>
      </x:c>
      <x:c r="ID244" t="str">
        <x:f>IF('Calculations'!IC244="","",IF('Calculations'!IC244="!AMBIG","!AMBIG",IF(COUNTIF('Calculations'!$HE$13:$HE$512,"="&amp;SUBSTITUTE(SUBSTITUTE(SUBSTITUTE('Calculations'!IC244,"~","~~"),"*","~*"),"?","~?"))&gt;1,"!AMBIG",IFERROR(INDEX('Calculations'!$HF$13:$HF$512,MATCH('Calculations'!IC244,'Calculations'!$HE$13:$HE$512,0)),""))))</x:f>
      </x:c>
      <x:c r="IE244" t="str">
        <x:f>IF('Calculations'!ID244="","",IF('Calculations'!ID244="!AMBIG","!AMBIG",IF(COUNTIF('Calculations'!$HE$13:$HE$512,"="&amp;SUBSTITUTE(SUBSTITUTE(SUBSTITUTE('Calculations'!ID244,"~","~~"),"*","~*"),"?","~?"))&gt;1,"!AMBIG",IFERROR(INDEX('Calculations'!$HF$13:$HF$512,MATCH('Calculations'!ID244,'Calculations'!$HE$13:$HE$512,0)),""))))</x:f>
      </x:c>
      <x:c r="IF244" t="str">
        <x:f>IF('Calculations'!IE244="","",IF('Calculations'!IE244="!AMBIG","!AMBIG",IF(COUNTIF('Calculations'!$HE$13:$HE$512,"="&amp;SUBSTITUTE(SUBSTITUTE(SUBSTITUTE('Calculations'!IE244,"~","~~"),"*","~*"),"?","~?"))&gt;1,"!AMBIG",IFERROR(INDEX('Calculations'!$HF$13:$HF$512,MATCH('Calculations'!IE244,'Calculations'!$HE$13:$HE$512,0)),""))))</x:f>
      </x:c>
      <x:c r="IG244" t="str">
        <x:f>IF('Calculations'!IF244="","",IF('Calculations'!IF244="!AMBIG","!AMBIG",IF(COUNTIF('Calculations'!$HE$13:$HE$512,"="&amp;SUBSTITUTE(SUBSTITUTE(SUBSTITUTE('Calculations'!IF244,"~","~~"),"*","~*"),"?","~?"))&gt;1,"!AMBIG",IFERROR(INDEX('Calculations'!$HF$13:$HF$512,MATCH('Calculations'!IF244,'Calculations'!$HE$13:$HE$512,0)),""))))</x:f>
      </x:c>
      <x:c r="IH244" t="str">
        <x:f>IF('Calculations'!IG244="","",IF('Calculations'!IG244="!AMBIG","!AMBIG",IF(COUNTIF('Calculations'!$HE$13:$HE$512,"="&amp;SUBSTITUTE(SUBSTITUTE(SUBSTITUTE('Calculations'!IG244,"~","~~"),"*","~*"),"?","~?"))&gt;1,"!AMBIG",IFERROR(INDEX('Calculations'!$HF$13:$HF$512,MATCH('Calculations'!IG244,'Calculations'!$HE$13:$HE$512,0)),""))))</x:f>
      </x:c>
      <x:c r="II244" t="str">
        <x:f>IF('Calculations'!IH244="","",IF('Calculations'!IH244="!AMBIG","!AMBIG",IF(COUNTIF('Calculations'!$HE$13:$HE$512,"="&amp;SUBSTITUTE(SUBSTITUTE(SUBSTITUTE('Calculations'!IH244,"~","~~"),"*","~*"),"?","~?"))&gt;1,"!AMBIG",IFERROR(INDEX('Calculations'!$HF$13:$HF$512,MATCH('Calculations'!IH244,'Calculations'!$HE$13:$HE$512,0)),""))))</x:f>
      </x:c>
      <x:c r="IJ244" t="str">
        <x:f>IF('Calculations'!EM244="","",IF('Calculations'!$EF$2="All",'Calculations'!HM244,IF('Calculations'!HL244=1,"",IFERROR(IF(MATCH('Calculations'!$EF$2,'Calculations'!HO244:II244,0)=1,'Calculations'!HE244,INDEX('Calculations'!HO244:II244,1,MATCH('Calculations'!$EF$2,'Calculations'!HO244:II244,0)-1)),""))))</x:f>
      </x:c>
      <x:c r="IK244" t="n">
        <x:f>IF(AND('Calculations'!EM244&lt;&gt;"",'Calculations'!$EF$2&lt;&gt;"All",'Calculations'!HF244='Calculations'!$EF$2,'Calculations'!HL244=0,'Calculations'!JD244&gt;0),MAX('Calculations'!$IK$12:IK243)+1,0)</x:f>
        <x:v>0</x:v>
      </x:c>
      <x:c r="JA244" t="n">
        <x:f>IF(OR(IFERROR(INDIRECT("'WCM Calibration Final'!$A$244")&lt;&gt;"",FALSE),IFERROR(INDIRECT("'WCM Calibration Final'!$B$244")&lt;&gt;"",FALSE),IFERROR(INDIRECT("'WCM Calibration Final'!$C$244")&lt;&gt;"",FALSE)),244,0)</x:f>
        <x:v>0</x:v>
      </x:c>
      <x:c r="JB244" t="n">
        <x:f>'Calculations'!JB243+IF('Calculations'!JA244&gt;0,1,0)</x:f>
        <x:v>0</x:v>
      </x:c>
      <x:c r="JC244" t="n">
        <x:f>IF(OR('Calculations'!HF244="",'Calculations'!HF244="!AMBIG"),0,IF('Dashboard'!$B$7="All",1,COUNTIFS('Calculations'!$HO$13:$HO$512,"="&amp;SUBSTITUTE(SUBSTITUTE(SUBSTITUTE('Calculations'!HF244,"~","~~"),"*","~*"),"?","~?"),'Calculations'!$HN$13:$HN$512,"="&amp;SUBSTITUTE(SUBSTITUTE(SUBSTITUTE('Dashboard'!$B$7,"~","~~"),"*","~*"),"?","~?"))+COUNTIFS('Calculations'!$HP$13:$HP$512,"="&amp;SUBSTITUTE(SUBSTITUTE(SUBSTITUTE('Calculations'!HF244,"~","~~"),"*","~*"),"?","~?"),'Calculations'!$HN$13:$HN$512,"="&amp;SUBSTITUTE(SUBSTITUTE(SUBSTITUTE('Dashboard'!$B$7,"~","~~"),"*","~*"),"?","~?"))+COUNTIFS('Calculations'!$HQ$13:$HQ$512,"="&amp;SUBSTITUTE(SUBSTITUTE(SUBSTITUTE('Calculations'!HF244,"~","~~"),"*","~*"),"?","~?"),'Calculations'!$HN$13:$HN$512,"="&amp;SUBSTITUTE(SUBSTITUTE(SUBSTITUTE('Dashboard'!$B$7,"~","~~"),"*","~*"),"?","~?"))+COUNTIFS('Calculations'!$HR$13:$HR$512,"="&amp;SUBSTITUTE(SUBSTITUTE(SUBSTITUTE('Calculations'!HF244,"~","~~"),"*","~*"),"?","~?"),'Calculations'!$HN$13:$HN$512,"="&amp;SUBSTITUTE(SUBSTITUTE(SUBSTITUTE('Dashboard'!$B$7,"~","~~"),"*","~*"),"?","~?"))+COUNTIFS('Calculations'!$HS$13:$HS$512,"="&amp;SUBSTITUTE(SUBSTITUTE(SUBSTITUTE('Calculations'!HF244,"~","~~"),"*","~*"),"?","~?"),'Calculations'!$HN$13:$HN$512,"="&amp;SUBSTITUTE(SUBSTITUTE(SUBSTITUTE('Dashboard'!$B$7,"~","~~"),"*","~*"),"?","~?"))+COUNTIFS('Calculations'!$HT$13:$HT$512,"="&amp;SUBSTITUTE(SUBSTITUTE(SUBSTITUTE('Calculations'!HF244,"~","~~"),"*","~*"),"?","~?"),'Calculations'!$HN$13:$HN$512,"="&amp;SUBSTITUTE(SUBSTITUTE(SUBSTITUTE('Dashboard'!$B$7,"~","~~"),"*","~*"),"?","~?"))+COUNTIFS('Calculations'!$HU$13:$HU$512,"="&amp;SUBSTITUTE(SUBSTITUTE(SUBSTITUTE('Calculations'!HF244,"~","~~"),"*","~*"),"?","~?"),'Calculations'!$HN$13:$HN$512,"="&amp;SUBSTITUTE(SUBSTITUTE(SUBSTITUTE('Dashboard'!$B$7,"~","~~"),"*","~*"),"?","~?"))+COUNTIFS('Calculations'!$HV$13:$HV$512,"="&amp;SUBSTITUTE(SUBSTITUTE(SUBSTITUTE('Calculations'!HF244,"~","~~"),"*","~*"),"?","~?"),'Calculations'!$HN$13:$HN$512,"="&amp;SUBSTITUTE(SUBSTITUTE(SUBSTITUTE('Dashboard'!$B$7,"~","~~"),"*","~*"),"?","~?"))+COUNTIFS('Calculations'!$HW$13:$HW$512,"="&amp;SUBSTITUTE(SUBSTITUTE(SUBSTITUTE('Calculations'!HF244,"~","~~"),"*","~*"),"?","~?"),'Calculations'!$HN$13:$HN$512,"="&amp;SUBSTITUTE(SUBSTITUTE(SUBSTITUTE('Dashboard'!$B$7,"~","~~"),"*","~*"),"?","~?"))+COUNTIFS('Calculations'!$HX$13:$HX$512,"="&amp;SUBSTITUTE(SUBSTITUTE(SUBSTITUTE('Calculations'!HF244,"~","~~"),"*","~*"),"?","~?"),'Calculations'!$HN$13:$HN$512,"="&amp;SUBSTITUTE(SUBSTITUTE(SUBSTITUTE('Dashboard'!$B$7,"~","~~"),"*","~*"),"?","~?"))+COUNTIFS('Calculations'!$HY$13:$HY$512,"="&amp;SUBSTITUTE(SUBSTITUTE(SUBSTITUTE('Calculations'!HF244,"~","~~"),"*","~*"),"?","~?"),'Calculations'!$HN$13:$HN$512,"="&amp;SUBSTITUTE(SUBSTITUTE(SUBSTITUTE('Dashboard'!$B$7,"~","~~"),"*","~*"),"?","~?"))+COUNTIFS('Calculations'!$HZ$13:$HZ$512,"="&amp;SUBSTITUTE(SUBSTITUTE(SUBSTITUTE('Calculations'!HF244,"~","~~"),"*","~*"),"?","~?"),'Calculations'!$HN$13:$HN$512,"="&amp;SUBSTITUTE(SUBSTITUTE(SUBSTITUTE('Dashboard'!$B$7,"~","~~"),"*","~*"),"?","~?"))+COUNTIFS('Calculations'!$IA$13:$IA$512,"="&amp;SUBSTITUTE(SUBSTITUTE(SUBSTITUTE('Calculations'!HF244,"~","~~"),"*","~*"),"?","~?"),'Calculations'!$HN$13:$HN$512,"="&amp;SUBSTITUTE(SUBSTITUTE(SUBSTITUTE('Dashboard'!$B$7,"~","~~"),"*","~*"),"?","~?"))+COUNTIFS('Calculations'!$IB$13:$IB$512,"="&amp;SUBSTITUTE(SUBSTITUTE(SUBSTITUTE('Calculations'!HF244,"~","~~"),"*","~*"),"?","~?"),'Calculations'!$HN$13:$HN$512,"="&amp;SUBSTITUTE(SUBSTITUTE(SUBSTITUTE('Dashboard'!$B$7,"~","~~"),"*","~*"),"?","~?"))+COUNTIFS('Calculations'!$IC$13:$IC$512,"="&amp;SUBSTITUTE(SUBSTITUTE(SUBSTITUTE('Calculations'!HF244,"~","~~"),"*","~*"),"?","~?"),'Calculations'!$HN$13:$HN$512,"="&amp;SUBSTITUTE(SUBSTITUTE(SUBSTITUTE('Dashboard'!$B$7,"~","~~"),"*","~*"),"?","~?"))+COUNTIFS('Calculations'!$ID$13:$ID$512,"="&amp;SUBSTITUTE(SUBSTITUTE(SUBSTITUTE('Calculations'!HF244,"~","~~"),"*","~*"),"?","~?"),'Calculations'!$HN$13:$HN$512,"="&amp;SUBSTITUTE(SUBSTITUTE(SUBSTITUTE('Dashboard'!$B$7,"~","~~"),"*","~*"),"?","~?"))+COUNTIFS('Calculations'!$IE$13:$IE$512,"="&amp;SUBSTITUTE(SUBSTITUTE(SUBSTITUTE('Calculations'!HF244,"~","~~"),"*","~*"),"?","~?"),'Calculations'!$HN$13:$HN$512,"="&amp;SUBSTITUTE(SUBSTITUTE(SUBSTITUTE('Dashboard'!$B$7,"~","~~"),"*","~*"),"?","~?"))+COUNTIFS('Calculations'!$IF$13:$IF$512,"="&amp;SUBSTITUTE(SUBSTITUTE(SUBSTITUTE('Calculations'!HF244,"~","~~"),"*","~*"),"?","~?"),'Calculations'!$HN$13:$HN$512,"="&amp;SUBSTITUTE(SUBSTITUTE(SUBSTITUTE('Dashboard'!$B$7,"~","~~"),"*","~*"),"?","~?"))+COUNTIFS('Calculations'!$IG$13:$IG$512,"="&amp;SUBSTITUTE(SUBSTITUTE(SUBSTITUTE('Calculations'!HF244,"~","~~"),"*","~*"),"?","~?"),'Calculations'!$HN$13:$HN$512,"="&amp;SUBSTITUTE(SUBSTITUTE(SUBSTITUTE('Dashboard'!$B$7,"~","~~"),"*","~*"),"?","~?"))+COUNTIFS('Calculations'!$IH$13:$IH$512,"="&amp;SUBSTITUTE(SUBSTITUTE(SUBSTITUTE('Calculations'!HF244,"~","~~"),"*","~*"),"?","~?"),'Calculations'!$HN$13:$HN$512,"="&amp;SUBSTITUTE(SUBSTITUTE(SUBSTITUTE('Dashboard'!$B$7,"~","~~"),"*","~*"),"?","~?"))))</x:f>
        <x:v>0</x:v>
      </x:c>
      <x:c r="JD244" t="n">
        <x:f>IF('Calculations'!EM244="",0,IF('Dashboard'!$B$7="All",1,IF('Calculations'!HN244='Dashboard'!$B$7,1,0)+IFERROR(INDEX('Calculations'!$JC$13:$JC$512,MATCH('Calculations'!HE244,'Calculations'!$HF$13:$HF$512,0)),0)))</x:f>
        <x:v>0</x:v>
      </x:c>
      <x:c r="JE244" t="n">
        <x:f>IF(AND('Calculations'!EM244&lt;&gt;"",'Calculations'!$JJ$2&lt;&gt;"All",'Calculations'!$JJ$2&lt;&gt;"",'Calculations'!HF244='Calculations'!$JJ$2,'Calculations'!HL244=0,'Calculations'!JD244&gt;0),MAX('Calculations'!$JE$12:JE243)+1,0)</x:f>
        <x:v>0</x:v>
      </x:c>
      <x:c r="JF244" t="str">
        <x:f>IF('Calculations'!EM244="","",IFERROR(IF(INDEX(INDIRECT("'WCM Calibration Final'!$G$1:$G$2000"),'Calculations'!$EM244)="","",TRIM(INDEX(INDIRECT("'WCM Calibration Final'!$G$1:$G$2000"),'Calculations'!$EM244)&amp;"")),""))</x:f>
      </x:c>
      <x:c r="JQ244" t="n">
        <x:f>IF(OR('Calculations'!BM244=0,NOT('Calculations'!$AG$2),'Calculations'!$AG$8&gt;0),0,IF(OR('Dashboard'!$B$7="All",'Calculations'!HN244='Dashboard'!$B$7),IF('Calculations'!$JJ$2="All",1,IF(AND('Calculations'!HF244='Calculations'!$JJ$2,'Calculations'!HL244=0),1,0)),0))</x:f>
        <x:v>0</x:v>
      </x:c>
    </x:row>
    <x:row r="245">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t="n">
        <x:f>IF('Calculations'!$EM245="",0,IF(OR(IFERROR(INDEX(INDIRECT("'WCM Calibration Final'!$A$1:$A$2000"),'Calculations'!$EM245)&lt;&gt;"",FALSE),IFERROR(INDEX(INDIRECT("'WCM Calibration Final'!$B$1:$B$2000"),'Calculations'!$EM245)&lt;&gt;"",FALSE),IFERROR(INDEX(INDIRECT("'WCM Calibration Final'!$C$1:$C$2000"),'Calculations'!$EM245)&lt;&gt;"",FALSE)),1,0))</x:f>
        <x:v>0</x:v>
      </x:c>
      <x:c r="BN245" s="4" t="n">
        <x:f>IF(AND('Calculations'!BM245=1,'Calculations'!$AG$2,'Calculations'!$EN245=1),1,0)</x:f>
        <x:v>0</x:v>
      </x:c>
      <x:c r="BO245" s="4" t="str">
        <x:f>IF('Calculations'!BM245=0,"",IFERROR(IF(AND(VALUE(INDEX(INDIRECT("'WCM Calibration Final'!$K$1:$K$2000"),'Calculations'!$EM245))&gt;=1,VALUE(INDEX(INDIRECT("'WCM Calibration Final'!$K$1:$K$2000"),'Calculations'!$EM245))&lt;=4,MOD(VALUE(INDEX(INDIRECT("'WCM Calibration Final'!$K$1:$K$2000"),'Calculations'!$EM245)),1)=0),VALUE(INDEX(INDIRECT("'WCM Calibration Final'!$K$1:$K$2000"),'Calculations'!$EM245)),""),""))</x:f>
      </x:c>
      <x:c r="BP245" s="4" t="str">
        <x:f>IF('Calculations'!BM245=0,"",IFERROR(IF(AND(VALUE(INDEX(INDIRECT("'WCM Calibration Final'!$L$1:$L$2000"),'Calculations'!$EM245))&gt;=1,VALUE(INDEX(INDIRECT("'WCM Calibration Final'!$L$1:$L$2000"),'Calculations'!$EM245))&lt;=4,MOD(VALUE(INDEX(INDIRECT("'WCM Calibration Final'!$L$1:$L$2000"),'Calculations'!$EM245)),1)=0),VALUE(INDEX(INDIRECT("'WCM Calibration Final'!$L$1:$L$2000"),'Calculations'!$EM245)),""),""))</x:f>
      </x:c>
      <x:c r="BQ245" s="4"/>
      <x:c r="BR245" s="4"/>
      <x:c r="BS245" s="4"/>
      <x:c r="BT245" s="4" t="n">
        <x:f>IF(AND('Calculations'!BM245=1,ISNUMBER('Calculations'!BO245),ISNUMBER('Calculations'!BP245)),1,0)</x:f>
        <x:v>0</x:v>
      </x:c>
      <x:c r="BU245" s="4" t="str">
        <x:f>IF('Calculations'!BM245=0,"",'Calculations'!$EO245)</x:f>
      </x:c>
      <x:c r="BV245" s="4" t="str">
        <x:f>IF('Calculations'!BM245=0,"",IFERROR(IF(OR(INDEX(INDIRECT("'WCM Calibration Final'!$H$1:$H$2000"),'Calculations'!$EM245)="MANAGING DIRECTOR",INDEX(INDIRECT("'WCM Calibration Final'!$H$1:$H$2000"),'Calculations'!$EM245)="DIRECTOR",INDEX(INDIRECT("'WCM Calibration Final'!$H$1:$H$2000"),'Calculations'!$EM245)="SENIOR VICE PRESIDENT",INDEX(INDIRECT("'WCM Calibration Final'!$H$1:$H$2000"),'Calculations'!$EM245)="VICE PRESIDENT",INDEX(INDIRECT("'WCM Calibration Final'!$H$1:$H$2000"),'Calculations'!$EM245)="ASSISTANT VICE PRESIDENT",INDEX(INDIRECT("'WCM Calibration Final'!$H$1:$H$2000"),'Calculations'!$EM245)="OFFICER"),UPPER(INDEX(INDIRECT("'WCM Calibration Final'!$H$1:$H$2000"),'Calculations'!$EM245)),"Other"),"Other"))</x:f>
      </x:c>
      <x:c r="BW245" s="4"/>
      <x:c r="BX245" s="4"/>
      <x:c r="BY245" s="4" t="n">
        <x:f>IF(AND('Calculations'!BM245=1,'Calculations'!BU245&lt;&gt;"",COUNTIF('Calculations'!$BU$12:BU245,'Calculations'!BU245)=1),MAX('Calculations'!$BY$11:BY244)+1,0)</x:f>
        <x:v>0</x:v>
      </x:c>
      <x:c r="BZ245" s="4" t="str">
        <x:f>IF('Dashboard'!$E$67="What",'Calculations'!BO245,'Calculations'!BP245)</x:f>
      </x:c>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t="str">
        <x:f>IF(234&gt;MAX('Calculations'!$HI$13:$HI$512),"",INDEX('Calculations'!$HN$13:$HN$512,MATCH(234,'Calculations'!$HI$13:$HI$512,0)))</x:f>
      </x:c>
      <x:c r="DB245" s="4" t="str">
        <x:f>IF(234&gt;MAX('Calculations'!$HH$13:$HH$512),"",INDEX('Calculations'!$HJ$13:$HJ$512,MATCH(234,'Calculations'!$HH$13:$HH$512,0)))</x:f>
      </x:c>
      <x:c r="DC245" s="4" t="str">
        <x:f>IF(ROW()-11&gt;MAX('Calculations'!$BY$13:$BY$512),"",INDEX('Calculations'!$BU$13:$BU$512,MATCH(ROW()-11,'Calculations'!$BY$13:$BY$512,0)))</x:f>
      </x:c>
      <x:c r="DD245" s="4" t="str">
        <x:f>IF(234&gt;MAX('Calculations'!$IK$13:$IK$512),"",INDEX('Calculations'!$HK$13:$HK$512,MATCH(234,'Calculations'!$IK$13:$IK$512,0)))</x:f>
      </x:c>
      <x:c r="DE245" s="4" t="str">
        <x:f>'Calculations'!DC245</x:f>
      </x:c>
      <x:c r="DF245" s="4" t="str">
        <x:f>IF('Calculations'!DE245="","",COUNTIFS('Calculations'!$BN$13:$BN$512,1,'Calculations'!$BU$13:$BU$512,'Calculations'!DE245))</x:f>
      </x:c>
      <x:c r="DG245" s="4" t="str">
        <x:f>IF('Calculations'!DE245="","",COUNTIFS('Calculations'!$BN$13:$BN$512,1,'Calculations'!$BU$13:$BU$512,'Calculations'!DE245,'Calculations'!$BT$13:$BT$512,1))</x:f>
      </x:c>
      <x:c r="DH245" s="4" t="str">
        <x:f>IF('Calculations'!DE245="","",'Calculations'!DF245-'Calculations'!DG245)</x:f>
      </x:c>
      <x:c r="DI245" s="4" t="str">
        <x:f>IF(OR('Calculations'!DE245="",'Calculations'!DF245=0),"",'Calculations'!DG245/'Calculations'!DF245)</x:f>
      </x:c>
      <x:c r="DJ245" s="4" t="str">
        <x:f>IF('Calculations'!DE245="","",COUNTIFS('Calculations'!$BN$13:$BN$512,1,'Calculations'!$BU$13:$BU$512,'Calculations'!DE245,'Calculations'!$BT$13:$BT$512,1,'Calculations'!$EE$13:$EE$512,"High"))</x:f>
      </x:c>
      <x:c r="DK245" s="4" t="str">
        <x:f>IF('Calculations'!DE245="","",COUNTIFS('Calculations'!$BN$13:$BN$512,1,'Calculations'!$BU$13:$BU$512,'Calculations'!DE245,'Calculations'!$BT$13:$BT$512,1,'Calculations'!$EE$13:$EE$512,"Strong"))</x:f>
      </x:c>
      <x:c r="DL245" s="4" t="str">
        <x:f>IF('Calculations'!DE245="","",COUNTIFS('Calculations'!$BN$13:$BN$512,1,'Calculations'!$BU$13:$BU$512,'Calculations'!DE245,'Calculations'!$BT$13:$BT$512,1,'Calculations'!$EE$13:$EE$512,"Solid"))</x:f>
      </x:c>
      <x:c r="DM245" s="4" t="str">
        <x:f>IF('Calculations'!DE245="","",COUNTIFS('Calculations'!$BN$13:$BN$512,1,'Calculations'!$BU$13:$BU$512,'Calculations'!DE245,'Calculations'!$BT$13:$BT$512,1,'Calculations'!$EE$13:$EE$512,"Low"))</x:f>
      </x:c>
      <x:c r="DN245" s="4" t="str">
        <x:f>IF('Calculations'!DE245="","",COUNTIFS('Calculations'!$BN$13:$BN$512,1,'Calculations'!$BU$13:$BU$512,'Calculations'!DE245,'Calculations'!$EP$13:$EP$512,1))</x:f>
      </x:c>
      <x:c r="DO245" s="4" t="str">
        <x:f>IF(OR('Calculations'!DE245="",'Calculations'!DG245=0),"",('Calculations'!DJ245+'Calculations'!DK245)/'Calculations'!DG245)</x:f>
      </x:c>
      <x:c r="DP245" s="4" t="n">
        <x:f>IF(AND('Calculations'!DE245&lt;&gt;"",'Calculations'!DF245&gt;0),COUNTIF('Calculations'!$DF$12:DF245,"&gt;0"),0)</x:f>
        <x:v>0</x:v>
      </x:c>
      <x:c r="DQ245" s="4" t="str">
        <x:f>IF(234&gt;MAX('Calculations'!$HH$13:$HH$512),"",INDEX('Calculations'!$HF$13:$HF$512,MATCH(234,'Calculations'!$HH$13:$HH$512,0)))</x:f>
      </x:c>
      <x:c r="DR245" s="4" t="str">
        <x:f>IF(234&gt;MAX('Calculations'!$IK$13:$IK$512),"",INDEX('Calculations'!$HE$13:$HE$512,MATCH(234,'Calculations'!$IK$13:$IK$512,0)))</x:f>
      </x:c>
      <x:c r="DS245" s="4"/>
      <x:c r="DT245" s="4"/>
      <x:c r="DU245" s="4"/>
      <x:c r="DV245" s="4"/>
      <x:c r="DW245" s="4"/>
      <x:c r="DX245" s="4"/>
      <x:c r="DY245" s="4"/>
      <x:c r="DZ245" s="4"/>
      <x:c r="EA245" s="4"/>
      <x:c r="EB245" s="4"/>
      <x:c r="EC245" s="4"/>
      <x:c r="ED245" s="4"/>
      <x:c r="EE245" s="4" t="str">
        <x:f>IF('Calculations'!BT245=0,"Not Rated",IF(OR('Calculations'!BO245&gt;=4,'Calculations'!BP245&gt;=4),"Low",IF('Calculations'!BO245+'Calculations'!BP245&lt;=3,"High",IF('Calculations'!BO245+'Calculations'!BP245&lt;=4,"Strong","Solid"))))</x:f>
        <x:v>Not Rated</x:v>
      </x:c>
      <x:c r="EF245" s="4"/>
      <x:c r="EG245" s="4"/>
      <x:c r="EH245" s="4"/>
      <x:c r="EI245" s="4"/>
      <x:c r="EJ245" s="4"/>
      <x:c r="EK245" s="4"/>
      <x:c r="EL245" s="4"/>
      <x:c r="EM245" s="4" t="str">
        <x:f>IF(233&gt;'Calculations'!$JB$2000,"",INDEX('Calculations'!$JA$12:$JA$2000,MATCH(233,'Calculations'!$JB$12:$JB$2000,0)))</x:f>
      </x:c>
      <x:c r="EN245" s="4" t="n">
        <x:f>IF(OR('Calculations'!EM245="",'Calculations'!$AG$8&gt;0,AND('Calculations'!$EF$2&lt;&gt;"All",'Calculations'!HE245='Calculations'!$EF$2),AND('Calculations'!$EF$3&lt;&gt;"All",'Calculations'!HE245='Calculations'!$EF$3)),0,IF(OR('Dashboard'!$B$7="All",'Calculations'!HN245='Dashboard'!$B$7),IF('Calculations'!$EF$2="All",1,IF('Calculations'!HL245&gt;0,0,IF(COUNTIF('Calculations'!HO245:II245,"="&amp;SUBSTITUTE(SUBSTITUTE(SUBSTITUTE('Calculations'!$EF$2,"~","~~"),"*","~*"),"?","~?"))=0,0,IF('Calculations'!$EF$3="All",1,IF(COUNTIF('Calculations'!HO245:II245,"="&amp;SUBSTITUTE(SUBSTITUTE(SUBSTITUTE('Calculations'!$EF$3,"~","~~"),"*","~*"),"?","~?"))&gt;0,1,0))))),0))</x:f>
        <x:v>0</x:v>
      </x:c>
      <x:c r="EO245" s="4" t="str">
        <x:f>IF('Calculations'!IJ245="","",IF('Calculations'!IJ245="!UNRESOLVED","Unresolved hierarchy",IFERROR(INDEX('Calculations'!$HK$13:$HK$512,MATCH('Calculations'!IJ245,'Calculations'!$HE$13:$HE$512,0)),IFERROR(INDEX('Calculations'!$HJ$13:$HJ$512,MATCH('Calculations'!IJ245,'Calculations'!$HF$13:$HF$512,0)),'Calculations'!IJ245))))</x:f>
      </x:c>
      <x:c r="EP245" s="4" t="n">
        <x:f>IF(AND('Calculations'!EM245&lt;&gt;"",'Calculations'!HF245='Calculations'!IJ245),1,0)</x:f>
        <x:v>0</x:v>
      </x:c>
      <x:c r="EQ245" s="4"/>
      <x:c r="ER245" s="4"/>
      <x:c r="ES245" s="4"/>
      <x:c r="ET245" s="4"/>
      <x:c r="EU245" s="4"/>
      <x:c r="EV245" s="4"/>
      <x:c r="EW245" s="4"/>
      <x:c r="EX245" s="4"/>
      <x:c r="EY245" s="4"/>
      <x:c r="EZ245" s="4"/>
      <x:c r="FA245" s="4"/>
      <x:c r="FB245" s="4"/>
      <x:c r="FC245" s="4"/>
      <x:c r="FD245" s="4"/>
      <x:c r="FE245" s="4"/>
      <x:c r="FF245" s="4"/>
      <x:c r="FG245" s="4"/>
      <x:c r="FH245" s="4"/>
      <x:c r="FI245" s="4"/>
      <x:c r="FJ245" s="4"/>
      <x:c r="FK245" s="4"/>
      <x:c r="FL245" s="4"/>
      <x:c r="FM245" s="4"/>
      <x:c r="FN245" s="4"/>
      <x:c r="FO245" s="4"/>
      <x:c r="HE245" t="str">
        <x:f>IF('Calculations'!EM245="","",IF(IFERROR(IF(INDEX(INDIRECT("'WCM Calibration Final'!$A$1:$A$2000"),'Calculations'!$EM245)="","",TRIM(INDEX(INDIRECT("'WCM Calibration Final'!$A$1:$A$2000"),'Calculations'!$EM245)&amp;"")),"")&lt;&gt;"","G:"&amp;IFERROR(TEXT(1*INDEX(INDIRECT("'WCM Calibration Final'!$A$1:$A$2000"),'Calculations'!$EM245),"0"),UPPER(IFERROR(IF(INDEX(INDIRECT("'WCM Calibration Final'!$A$1:$A$2000"),'Calculations'!$EM245)="","",TRIM(INDEX(INDIRECT("'WCM Calibration Final'!$A$1:$A$2000"),'Calculations'!$EM245)&amp;"")),""))),IF(IFERROR(IF(INDEX(INDIRECT("'WCM Calibration Final'!$C$1:$C$2000"),'Calculations'!$EM245)="","",TRIM(INDEX(INDIRECT("'WCM Calibration Final'!$C$1:$C$2000"),'Calculations'!$EM245)&amp;"")),"")&lt;&gt;"","S:"&amp;UPPER(IFERROR(IF(INDEX(INDIRECT("'WCM Calibration Final'!$C$1:$C$2000"),'Calculations'!$EM245)="","",TRIM(INDEX(INDIRECT("'WCM Calibration Final'!$C$1:$C$2000"),'Calculations'!$EM245)&amp;"")),"")),"R:"&amp;'Calculations'!EM245)))</x:f>
      </x:c>
      <x:c r="HF245" t="str">
        <x:f>IF('Calculations'!EM245="","",IF(IFERROR(IF(INDEX(INDIRECT("'WCM Calibration Final'!$D$1:$D$2000"),'Calculations'!$EM245)="","",TRIM(INDEX(INDIRECT("'WCM Calibration Final'!$D$1:$D$2000"),'Calculations'!$EM245)&amp;"")),"")&lt;&gt;"","G:"&amp;IFERROR(TEXT(1*INDEX(INDIRECT("'WCM Calibration Final'!$D$1:$D$2000"),'Calculations'!$EM245),"0"),UPPER(IFERROR(IF(INDEX(INDIRECT("'WCM Calibration Final'!$D$1:$D$2000"),'Calculations'!$EM245)="","",TRIM(INDEX(INDIRECT("'WCM Calibration Final'!$D$1:$D$2000"),'Calculations'!$EM245)&amp;"")),""))),IF(IFERROR(IF(INDEX(INDIRECT("'WCM Calibration Final'!$E$1:$E$2000"),'Calculations'!$EM245)="","",TRIM(INDEX(INDIRECT("'WCM Calibration Final'!$E$1:$E$2000"),'Calculations'!$EM245)&amp;"")),"")="","",IF(COUNTIF('Calculations'!$HG$13:$HG$512,"="&amp;SUBSTITUTE(SUBSTITUTE(SUBSTITUTE(IFERROR(IF(INDEX(INDIRECT("'WCM Calibration Final'!$E$1:$E$2000"),'Calculations'!$EM245)="","",TRIM(INDEX(INDIRECT("'WCM Calibration Final'!$E$1:$E$2000"),'Calculations'!$EM245)&amp;"")),""),"~","~~"),"*","~*"),"?","~?"))=1,INDEX('Calculations'!$HE$13:$HE$512,MATCH(IFERROR(IF(INDEX(INDIRECT("'WCM Calibration Final'!$E$1:$E$2000"),'Calculations'!$EM245)="","",TRIM(INDEX(INDIRECT("'WCM Calibration Final'!$E$1:$E$2000"),'Calculations'!$EM245)&amp;"")),""),'Calculations'!$HG$13:$HG$512,0)),IF(COUNTIF('Calculations'!$HG$13:$HG$512,"="&amp;SUBSTITUTE(SUBSTITUTE(SUBSTITUTE(IFERROR(IF(INDEX(INDIRECT("'WCM Calibration Final'!$E$1:$E$2000"),'Calculations'!$EM245)="","",TRIM(INDEX(INDIRECT("'WCM Calibration Final'!$E$1:$E$2000"),'Calculations'!$EM245)&amp;"")),""),"~","~~"),"*","~*"),"?","~?"))&gt;1,"!AMBIG","X:"&amp;IFERROR(IF(INDEX(INDIRECT("'WCM Calibration Final'!$E$1:$E$2000"),'Calculations'!$EM245)="","",TRIM(INDEX(INDIRECT("'WCM Calibration Final'!$E$1:$E$2000"),'Calculations'!$EM245)&amp;"")),""))))))</x:f>
      </x:c>
      <x:c r="HG245" t="str">
        <x:f>IF('Calculations'!EM245="","",IFERROR(IF(INDEX(INDIRECT("'WCM Calibration Final'!$B$1:$B$2000"),'Calculations'!$EM245)="","",TRIM(INDEX(INDIRECT("'WCM Calibration Final'!$B$1:$B$2000"),'Calculations'!$EM245)&amp;"")),""))</x:f>
      </x:c>
      <x:c r="HH245" t="n">
        <x:f>IF(AND('Calculations'!JC245&gt;0,COUNTIF('Calculations'!$HF$12:HF245,"="&amp;SUBSTITUTE(SUBSTITUTE(SUBSTITUTE('Calculations'!HF245,"~","~~"),"*","~*"),"?","~?"))=1),MAX('Calculations'!$HH$12:HH244)+1,0)</x:f>
        <x:v>0</x:v>
      </x:c>
      <x:c r="HI245" t="n">
        <x:f>IF(AND('Calculations'!HN245&lt;&gt;"",COUNTIF('Calculations'!$HN$12:HN245,"="&amp;SUBSTITUTE(SUBSTITUTE(SUBSTITUTE('Calculations'!HN245,"~","~~"),"*","~*"),"?","~?"))=1),MAX('Calculations'!$HI$12:HI244)+1,0)</x:f>
        <x:v>0</x:v>
      </x:c>
      <x:c r="HJ245" t="str">
        <x:f>IF('Calculations'!HF245="","",IF(COUNTIF('Calculations'!$HE$13:$HE$512,"="&amp;SUBSTITUTE(SUBSTITUTE(SUBSTITUTE('Calculations'!HF245,"~","~~"),"*","~*"),"?","~?"))=1,INDEX('Calculations'!$HK$13:$HK$512,MATCH('Calculations'!HF245,'Calculations'!$HE$13:$HE$512,0)),IFERROR(IF(INDEX(INDIRECT("'WCM Calibration Final'!$E$1:$E$2000"),'Calculations'!$EM245)="","",TRIM(INDEX(INDIRECT("'WCM Calibration Final'!$E$1:$E$2000"),'Calculations'!$EM245)&amp;"")),"")&amp;" ["&amp;'Calculations'!HF245&amp;"]"))</x:f>
      </x:c>
      <x:c r="HK245" t="str">
        <x:f>IF('Calculations'!EM245="","",'Calculations'!HG245&amp;" ["&amp;'Calculations'!HE245&amp;"]")</x:f>
      </x:c>
      <x:c r="HL245" t="n">
        <x:f>IF('Calculations'!EM245="",0,IF(OR('Calculations'!II245&lt;&gt;"",COUNTIF('Calculations'!$HE$13:$HE$512,"="&amp;SUBSTITUTE(SUBSTITUTE(SUBSTITUTE('Calculations'!HE245,"~","~~"),"*","~*"),"?","~?"))&gt;1),1,0))</x:f>
        <x:v>0</x:v>
      </x:c>
      <x:c r="HM245" t="str">
        <x:f>IF('Calculations'!EM245="","",IF('Calculations'!HL245=1,"!UNRESOLVED",IF('Calculations'!IH245&lt;&gt;"",'Calculations'!IH245,IF('Calculations'!IG245&lt;&gt;"",'Calculations'!IG245,IF('Calculations'!IF245&lt;&gt;"",'Calculations'!IF245,IF('Calculations'!IE245&lt;&gt;"",'Calculations'!IE245,IF('Calculations'!ID245&lt;&gt;"",'Calculations'!ID245,IF('Calculations'!IC245&lt;&gt;"",'Calculations'!IC245,IF('Calculations'!IB245&lt;&gt;"",'Calculations'!IB245,IF('Calculations'!IA245&lt;&gt;"",'Calculations'!IA245,IF('Calculations'!HZ245&lt;&gt;"",'Calculations'!HZ245,IF('Calculations'!HY245&lt;&gt;"",'Calculations'!HY245,IF('Calculations'!HX245&lt;&gt;"",'Calculations'!HX245,IF('Calculations'!HW245&lt;&gt;"",'Calculations'!HW245,IF('Calculations'!HV245&lt;&gt;"",'Calculations'!HV245,IF('Calculations'!HU245&lt;&gt;"",'Calculations'!HU245,IF('Calculations'!HT245&lt;&gt;"",'Calculations'!HT245,IF('Calculations'!HS245&lt;&gt;"",'Calculations'!HS245,IF('Calculations'!HR245&lt;&gt;"",'Calculations'!HR245,IF('Calculations'!HQ245&lt;&gt;"",'Calculations'!HQ245,IF('Calculations'!HP245&lt;&gt;"",'Calculations'!HP245,IF('Calculations'!HO245&lt;&gt;"",'Calculations'!HO245,'Calculations'!HE245))))))))))))))))))))))</x:f>
      </x:c>
      <x:c r="HN245" t="str">
        <x:f>IF('Calculations'!EM245="","",IF(IFERROR(IF(INDEX(INDIRECT("'WCM Calibration Final'!$F$1:$F$2000"),'Calculations'!$EM245)="","",TRIM(INDEX(INDIRECT("'WCM Calibration Final'!$F$1:$F$2000"),'Calculations'!$EM245)&amp;"")),"")="","(Blank)",IFERROR(IF(INDEX(INDIRECT("'WCM Calibration Final'!$F$1:$F$2000"),'Calculations'!$EM245)="","",TRIM(INDEX(INDIRECT("'WCM Calibration Final'!$F$1:$F$2000"),'Calculations'!$EM245)&amp;"")),"")))</x:f>
      </x:c>
      <x:c r="HO245" t="str">
        <x:f>'Calculations'!HF245</x:f>
      </x:c>
      <x:c r="HP245" t="str">
        <x:f>IF('Calculations'!HO245="","",IF('Calculations'!HO245="!AMBIG","!AMBIG",IF(COUNTIF('Calculations'!$HE$13:$HE$512,"="&amp;SUBSTITUTE(SUBSTITUTE(SUBSTITUTE('Calculations'!HO245,"~","~~"),"*","~*"),"?","~?"))&gt;1,"!AMBIG",IFERROR(INDEX('Calculations'!$HF$13:$HF$512,MATCH('Calculations'!HO245,'Calculations'!$HE$13:$HE$512,0)),""))))</x:f>
      </x:c>
      <x:c r="HQ245" t="str">
        <x:f>IF('Calculations'!HP245="","",IF('Calculations'!HP245="!AMBIG","!AMBIG",IF(COUNTIF('Calculations'!$HE$13:$HE$512,"="&amp;SUBSTITUTE(SUBSTITUTE(SUBSTITUTE('Calculations'!HP245,"~","~~"),"*","~*"),"?","~?"))&gt;1,"!AMBIG",IFERROR(INDEX('Calculations'!$HF$13:$HF$512,MATCH('Calculations'!HP245,'Calculations'!$HE$13:$HE$512,0)),""))))</x:f>
      </x:c>
      <x:c r="HR245" t="str">
        <x:f>IF('Calculations'!HQ245="","",IF('Calculations'!HQ245="!AMBIG","!AMBIG",IF(COUNTIF('Calculations'!$HE$13:$HE$512,"="&amp;SUBSTITUTE(SUBSTITUTE(SUBSTITUTE('Calculations'!HQ245,"~","~~"),"*","~*"),"?","~?"))&gt;1,"!AMBIG",IFERROR(INDEX('Calculations'!$HF$13:$HF$512,MATCH('Calculations'!HQ245,'Calculations'!$HE$13:$HE$512,0)),""))))</x:f>
      </x:c>
      <x:c r="HS245" t="str">
        <x:f>IF('Calculations'!HR245="","",IF('Calculations'!HR245="!AMBIG","!AMBIG",IF(COUNTIF('Calculations'!$HE$13:$HE$512,"="&amp;SUBSTITUTE(SUBSTITUTE(SUBSTITUTE('Calculations'!HR245,"~","~~"),"*","~*"),"?","~?"))&gt;1,"!AMBIG",IFERROR(INDEX('Calculations'!$HF$13:$HF$512,MATCH('Calculations'!HR245,'Calculations'!$HE$13:$HE$512,0)),""))))</x:f>
      </x:c>
      <x:c r="HT245" t="str">
        <x:f>IF('Calculations'!HS245="","",IF('Calculations'!HS245="!AMBIG","!AMBIG",IF(COUNTIF('Calculations'!$HE$13:$HE$512,"="&amp;SUBSTITUTE(SUBSTITUTE(SUBSTITUTE('Calculations'!HS245,"~","~~"),"*","~*"),"?","~?"))&gt;1,"!AMBIG",IFERROR(INDEX('Calculations'!$HF$13:$HF$512,MATCH('Calculations'!HS245,'Calculations'!$HE$13:$HE$512,0)),""))))</x:f>
      </x:c>
      <x:c r="HU245" t="str">
        <x:f>IF('Calculations'!HT245="","",IF('Calculations'!HT245="!AMBIG","!AMBIG",IF(COUNTIF('Calculations'!$HE$13:$HE$512,"="&amp;SUBSTITUTE(SUBSTITUTE(SUBSTITUTE('Calculations'!HT245,"~","~~"),"*","~*"),"?","~?"))&gt;1,"!AMBIG",IFERROR(INDEX('Calculations'!$HF$13:$HF$512,MATCH('Calculations'!HT245,'Calculations'!$HE$13:$HE$512,0)),""))))</x:f>
      </x:c>
      <x:c r="HV245" t="str">
        <x:f>IF('Calculations'!HU245="","",IF('Calculations'!HU245="!AMBIG","!AMBIG",IF(COUNTIF('Calculations'!$HE$13:$HE$512,"="&amp;SUBSTITUTE(SUBSTITUTE(SUBSTITUTE('Calculations'!HU245,"~","~~"),"*","~*"),"?","~?"))&gt;1,"!AMBIG",IFERROR(INDEX('Calculations'!$HF$13:$HF$512,MATCH('Calculations'!HU245,'Calculations'!$HE$13:$HE$512,0)),""))))</x:f>
      </x:c>
      <x:c r="HW245" t="str">
        <x:f>IF('Calculations'!HV245="","",IF('Calculations'!HV245="!AMBIG","!AMBIG",IF(COUNTIF('Calculations'!$HE$13:$HE$512,"="&amp;SUBSTITUTE(SUBSTITUTE(SUBSTITUTE('Calculations'!HV245,"~","~~"),"*","~*"),"?","~?"))&gt;1,"!AMBIG",IFERROR(INDEX('Calculations'!$HF$13:$HF$512,MATCH('Calculations'!HV245,'Calculations'!$HE$13:$HE$512,0)),""))))</x:f>
      </x:c>
      <x:c r="HX245" t="str">
        <x:f>IF('Calculations'!HW245="","",IF('Calculations'!HW245="!AMBIG","!AMBIG",IF(COUNTIF('Calculations'!$HE$13:$HE$512,"="&amp;SUBSTITUTE(SUBSTITUTE(SUBSTITUTE('Calculations'!HW245,"~","~~"),"*","~*"),"?","~?"))&gt;1,"!AMBIG",IFERROR(INDEX('Calculations'!$HF$13:$HF$512,MATCH('Calculations'!HW245,'Calculations'!$HE$13:$HE$512,0)),""))))</x:f>
      </x:c>
      <x:c r="HY245" t="str">
        <x:f>IF('Calculations'!HX245="","",IF('Calculations'!HX245="!AMBIG","!AMBIG",IF(COUNTIF('Calculations'!$HE$13:$HE$512,"="&amp;SUBSTITUTE(SUBSTITUTE(SUBSTITUTE('Calculations'!HX245,"~","~~"),"*","~*"),"?","~?"))&gt;1,"!AMBIG",IFERROR(INDEX('Calculations'!$HF$13:$HF$512,MATCH('Calculations'!HX245,'Calculations'!$HE$13:$HE$512,0)),""))))</x:f>
      </x:c>
      <x:c r="HZ245" t="str">
        <x:f>IF('Calculations'!HY245="","",IF('Calculations'!HY245="!AMBIG","!AMBIG",IF(COUNTIF('Calculations'!$HE$13:$HE$512,"="&amp;SUBSTITUTE(SUBSTITUTE(SUBSTITUTE('Calculations'!HY245,"~","~~"),"*","~*"),"?","~?"))&gt;1,"!AMBIG",IFERROR(INDEX('Calculations'!$HF$13:$HF$512,MATCH('Calculations'!HY245,'Calculations'!$HE$13:$HE$512,0)),""))))</x:f>
      </x:c>
      <x:c r="IA245" t="str">
        <x:f>IF('Calculations'!HZ245="","",IF('Calculations'!HZ245="!AMBIG","!AMBIG",IF(COUNTIF('Calculations'!$HE$13:$HE$512,"="&amp;SUBSTITUTE(SUBSTITUTE(SUBSTITUTE('Calculations'!HZ245,"~","~~"),"*","~*"),"?","~?"))&gt;1,"!AMBIG",IFERROR(INDEX('Calculations'!$HF$13:$HF$512,MATCH('Calculations'!HZ245,'Calculations'!$HE$13:$HE$512,0)),""))))</x:f>
      </x:c>
      <x:c r="IB245" t="str">
        <x:f>IF('Calculations'!IA245="","",IF('Calculations'!IA245="!AMBIG","!AMBIG",IF(COUNTIF('Calculations'!$HE$13:$HE$512,"="&amp;SUBSTITUTE(SUBSTITUTE(SUBSTITUTE('Calculations'!IA245,"~","~~"),"*","~*"),"?","~?"))&gt;1,"!AMBIG",IFERROR(INDEX('Calculations'!$HF$13:$HF$512,MATCH('Calculations'!IA245,'Calculations'!$HE$13:$HE$512,0)),""))))</x:f>
      </x:c>
      <x:c r="IC245" t="str">
        <x:f>IF('Calculations'!IB245="","",IF('Calculations'!IB245="!AMBIG","!AMBIG",IF(COUNTIF('Calculations'!$HE$13:$HE$512,"="&amp;SUBSTITUTE(SUBSTITUTE(SUBSTITUTE('Calculations'!IB245,"~","~~"),"*","~*"),"?","~?"))&gt;1,"!AMBIG",IFERROR(INDEX('Calculations'!$HF$13:$HF$512,MATCH('Calculations'!IB245,'Calculations'!$HE$13:$HE$512,0)),""))))</x:f>
      </x:c>
      <x:c r="ID245" t="str">
        <x:f>IF('Calculations'!IC245="","",IF('Calculations'!IC245="!AMBIG","!AMBIG",IF(COUNTIF('Calculations'!$HE$13:$HE$512,"="&amp;SUBSTITUTE(SUBSTITUTE(SUBSTITUTE('Calculations'!IC245,"~","~~"),"*","~*"),"?","~?"))&gt;1,"!AMBIG",IFERROR(INDEX('Calculations'!$HF$13:$HF$512,MATCH('Calculations'!IC245,'Calculations'!$HE$13:$HE$512,0)),""))))</x:f>
      </x:c>
      <x:c r="IE245" t="str">
        <x:f>IF('Calculations'!ID245="","",IF('Calculations'!ID245="!AMBIG","!AMBIG",IF(COUNTIF('Calculations'!$HE$13:$HE$512,"="&amp;SUBSTITUTE(SUBSTITUTE(SUBSTITUTE('Calculations'!ID245,"~","~~"),"*","~*"),"?","~?"))&gt;1,"!AMBIG",IFERROR(INDEX('Calculations'!$HF$13:$HF$512,MATCH('Calculations'!ID245,'Calculations'!$HE$13:$HE$512,0)),""))))</x:f>
      </x:c>
      <x:c r="IF245" t="str">
        <x:f>IF('Calculations'!IE245="","",IF('Calculations'!IE245="!AMBIG","!AMBIG",IF(COUNTIF('Calculations'!$HE$13:$HE$512,"="&amp;SUBSTITUTE(SUBSTITUTE(SUBSTITUTE('Calculations'!IE245,"~","~~"),"*","~*"),"?","~?"))&gt;1,"!AMBIG",IFERROR(INDEX('Calculations'!$HF$13:$HF$512,MATCH('Calculations'!IE245,'Calculations'!$HE$13:$HE$512,0)),""))))</x:f>
      </x:c>
      <x:c r="IG245" t="str">
        <x:f>IF('Calculations'!IF245="","",IF('Calculations'!IF245="!AMBIG","!AMBIG",IF(COUNTIF('Calculations'!$HE$13:$HE$512,"="&amp;SUBSTITUTE(SUBSTITUTE(SUBSTITUTE('Calculations'!IF245,"~","~~"),"*","~*"),"?","~?"))&gt;1,"!AMBIG",IFERROR(INDEX('Calculations'!$HF$13:$HF$512,MATCH('Calculations'!IF245,'Calculations'!$HE$13:$HE$512,0)),""))))</x:f>
      </x:c>
      <x:c r="IH245" t="str">
        <x:f>IF('Calculations'!IG245="","",IF('Calculations'!IG245="!AMBIG","!AMBIG",IF(COUNTIF('Calculations'!$HE$13:$HE$512,"="&amp;SUBSTITUTE(SUBSTITUTE(SUBSTITUTE('Calculations'!IG245,"~","~~"),"*","~*"),"?","~?"))&gt;1,"!AMBIG",IFERROR(INDEX('Calculations'!$HF$13:$HF$512,MATCH('Calculations'!IG245,'Calculations'!$HE$13:$HE$512,0)),""))))</x:f>
      </x:c>
      <x:c r="II245" t="str">
        <x:f>IF('Calculations'!IH245="","",IF('Calculations'!IH245="!AMBIG","!AMBIG",IF(COUNTIF('Calculations'!$HE$13:$HE$512,"="&amp;SUBSTITUTE(SUBSTITUTE(SUBSTITUTE('Calculations'!IH245,"~","~~"),"*","~*"),"?","~?"))&gt;1,"!AMBIG",IFERROR(INDEX('Calculations'!$HF$13:$HF$512,MATCH('Calculations'!IH245,'Calculations'!$HE$13:$HE$512,0)),""))))</x:f>
      </x:c>
      <x:c r="IJ245" t="str">
        <x:f>IF('Calculations'!EM245="","",IF('Calculations'!$EF$2="All",'Calculations'!HM245,IF('Calculations'!HL245=1,"",IFERROR(IF(MATCH('Calculations'!$EF$2,'Calculations'!HO245:II245,0)=1,'Calculations'!HE245,INDEX('Calculations'!HO245:II245,1,MATCH('Calculations'!$EF$2,'Calculations'!HO245:II245,0)-1)),""))))</x:f>
      </x:c>
      <x:c r="IK245" t="n">
        <x:f>IF(AND('Calculations'!EM245&lt;&gt;"",'Calculations'!$EF$2&lt;&gt;"All",'Calculations'!HF245='Calculations'!$EF$2,'Calculations'!HL245=0,'Calculations'!JD245&gt;0),MAX('Calculations'!$IK$12:IK244)+1,0)</x:f>
        <x:v>0</x:v>
      </x:c>
      <x:c r="JA245" t="n">
        <x:f>IF(OR(IFERROR(INDIRECT("'WCM Calibration Final'!$A$245")&lt;&gt;"",FALSE),IFERROR(INDIRECT("'WCM Calibration Final'!$B$245")&lt;&gt;"",FALSE),IFERROR(INDIRECT("'WCM Calibration Final'!$C$245")&lt;&gt;"",FALSE)),245,0)</x:f>
        <x:v>0</x:v>
      </x:c>
      <x:c r="JB245" t="n">
        <x:f>'Calculations'!JB244+IF('Calculations'!JA245&gt;0,1,0)</x:f>
        <x:v>0</x:v>
      </x:c>
      <x:c r="JC245" t="n">
        <x:f>IF(OR('Calculations'!HF245="",'Calculations'!HF245="!AMBIG"),0,IF('Dashboard'!$B$7="All",1,COUNTIFS('Calculations'!$HO$13:$HO$512,"="&amp;SUBSTITUTE(SUBSTITUTE(SUBSTITUTE('Calculations'!HF245,"~","~~"),"*","~*"),"?","~?"),'Calculations'!$HN$13:$HN$512,"="&amp;SUBSTITUTE(SUBSTITUTE(SUBSTITUTE('Dashboard'!$B$7,"~","~~"),"*","~*"),"?","~?"))+COUNTIFS('Calculations'!$HP$13:$HP$512,"="&amp;SUBSTITUTE(SUBSTITUTE(SUBSTITUTE('Calculations'!HF245,"~","~~"),"*","~*"),"?","~?"),'Calculations'!$HN$13:$HN$512,"="&amp;SUBSTITUTE(SUBSTITUTE(SUBSTITUTE('Dashboard'!$B$7,"~","~~"),"*","~*"),"?","~?"))+COUNTIFS('Calculations'!$HQ$13:$HQ$512,"="&amp;SUBSTITUTE(SUBSTITUTE(SUBSTITUTE('Calculations'!HF245,"~","~~"),"*","~*"),"?","~?"),'Calculations'!$HN$13:$HN$512,"="&amp;SUBSTITUTE(SUBSTITUTE(SUBSTITUTE('Dashboard'!$B$7,"~","~~"),"*","~*"),"?","~?"))+COUNTIFS('Calculations'!$HR$13:$HR$512,"="&amp;SUBSTITUTE(SUBSTITUTE(SUBSTITUTE('Calculations'!HF245,"~","~~"),"*","~*"),"?","~?"),'Calculations'!$HN$13:$HN$512,"="&amp;SUBSTITUTE(SUBSTITUTE(SUBSTITUTE('Dashboard'!$B$7,"~","~~"),"*","~*"),"?","~?"))+COUNTIFS('Calculations'!$HS$13:$HS$512,"="&amp;SUBSTITUTE(SUBSTITUTE(SUBSTITUTE('Calculations'!HF245,"~","~~"),"*","~*"),"?","~?"),'Calculations'!$HN$13:$HN$512,"="&amp;SUBSTITUTE(SUBSTITUTE(SUBSTITUTE('Dashboard'!$B$7,"~","~~"),"*","~*"),"?","~?"))+COUNTIFS('Calculations'!$HT$13:$HT$512,"="&amp;SUBSTITUTE(SUBSTITUTE(SUBSTITUTE('Calculations'!HF245,"~","~~"),"*","~*"),"?","~?"),'Calculations'!$HN$13:$HN$512,"="&amp;SUBSTITUTE(SUBSTITUTE(SUBSTITUTE('Dashboard'!$B$7,"~","~~"),"*","~*"),"?","~?"))+COUNTIFS('Calculations'!$HU$13:$HU$512,"="&amp;SUBSTITUTE(SUBSTITUTE(SUBSTITUTE('Calculations'!HF245,"~","~~"),"*","~*"),"?","~?"),'Calculations'!$HN$13:$HN$512,"="&amp;SUBSTITUTE(SUBSTITUTE(SUBSTITUTE('Dashboard'!$B$7,"~","~~"),"*","~*"),"?","~?"))+COUNTIFS('Calculations'!$HV$13:$HV$512,"="&amp;SUBSTITUTE(SUBSTITUTE(SUBSTITUTE('Calculations'!HF245,"~","~~"),"*","~*"),"?","~?"),'Calculations'!$HN$13:$HN$512,"="&amp;SUBSTITUTE(SUBSTITUTE(SUBSTITUTE('Dashboard'!$B$7,"~","~~"),"*","~*"),"?","~?"))+COUNTIFS('Calculations'!$HW$13:$HW$512,"="&amp;SUBSTITUTE(SUBSTITUTE(SUBSTITUTE('Calculations'!HF245,"~","~~"),"*","~*"),"?","~?"),'Calculations'!$HN$13:$HN$512,"="&amp;SUBSTITUTE(SUBSTITUTE(SUBSTITUTE('Dashboard'!$B$7,"~","~~"),"*","~*"),"?","~?"))+COUNTIFS('Calculations'!$HX$13:$HX$512,"="&amp;SUBSTITUTE(SUBSTITUTE(SUBSTITUTE('Calculations'!HF245,"~","~~"),"*","~*"),"?","~?"),'Calculations'!$HN$13:$HN$512,"="&amp;SUBSTITUTE(SUBSTITUTE(SUBSTITUTE('Dashboard'!$B$7,"~","~~"),"*","~*"),"?","~?"))+COUNTIFS('Calculations'!$HY$13:$HY$512,"="&amp;SUBSTITUTE(SUBSTITUTE(SUBSTITUTE('Calculations'!HF245,"~","~~"),"*","~*"),"?","~?"),'Calculations'!$HN$13:$HN$512,"="&amp;SUBSTITUTE(SUBSTITUTE(SUBSTITUTE('Dashboard'!$B$7,"~","~~"),"*","~*"),"?","~?"))+COUNTIFS('Calculations'!$HZ$13:$HZ$512,"="&amp;SUBSTITUTE(SUBSTITUTE(SUBSTITUTE('Calculations'!HF245,"~","~~"),"*","~*"),"?","~?"),'Calculations'!$HN$13:$HN$512,"="&amp;SUBSTITUTE(SUBSTITUTE(SUBSTITUTE('Dashboard'!$B$7,"~","~~"),"*","~*"),"?","~?"))+COUNTIFS('Calculations'!$IA$13:$IA$512,"="&amp;SUBSTITUTE(SUBSTITUTE(SUBSTITUTE('Calculations'!HF245,"~","~~"),"*","~*"),"?","~?"),'Calculations'!$HN$13:$HN$512,"="&amp;SUBSTITUTE(SUBSTITUTE(SUBSTITUTE('Dashboard'!$B$7,"~","~~"),"*","~*"),"?","~?"))+COUNTIFS('Calculations'!$IB$13:$IB$512,"="&amp;SUBSTITUTE(SUBSTITUTE(SUBSTITUTE('Calculations'!HF245,"~","~~"),"*","~*"),"?","~?"),'Calculations'!$HN$13:$HN$512,"="&amp;SUBSTITUTE(SUBSTITUTE(SUBSTITUTE('Dashboard'!$B$7,"~","~~"),"*","~*"),"?","~?"))+COUNTIFS('Calculations'!$IC$13:$IC$512,"="&amp;SUBSTITUTE(SUBSTITUTE(SUBSTITUTE('Calculations'!HF245,"~","~~"),"*","~*"),"?","~?"),'Calculations'!$HN$13:$HN$512,"="&amp;SUBSTITUTE(SUBSTITUTE(SUBSTITUTE('Dashboard'!$B$7,"~","~~"),"*","~*"),"?","~?"))+COUNTIFS('Calculations'!$ID$13:$ID$512,"="&amp;SUBSTITUTE(SUBSTITUTE(SUBSTITUTE('Calculations'!HF245,"~","~~"),"*","~*"),"?","~?"),'Calculations'!$HN$13:$HN$512,"="&amp;SUBSTITUTE(SUBSTITUTE(SUBSTITUTE('Dashboard'!$B$7,"~","~~"),"*","~*"),"?","~?"))+COUNTIFS('Calculations'!$IE$13:$IE$512,"="&amp;SUBSTITUTE(SUBSTITUTE(SUBSTITUTE('Calculations'!HF245,"~","~~"),"*","~*"),"?","~?"),'Calculations'!$HN$13:$HN$512,"="&amp;SUBSTITUTE(SUBSTITUTE(SUBSTITUTE('Dashboard'!$B$7,"~","~~"),"*","~*"),"?","~?"))+COUNTIFS('Calculations'!$IF$13:$IF$512,"="&amp;SUBSTITUTE(SUBSTITUTE(SUBSTITUTE('Calculations'!HF245,"~","~~"),"*","~*"),"?","~?"),'Calculations'!$HN$13:$HN$512,"="&amp;SUBSTITUTE(SUBSTITUTE(SUBSTITUTE('Dashboard'!$B$7,"~","~~"),"*","~*"),"?","~?"))+COUNTIFS('Calculations'!$IG$13:$IG$512,"="&amp;SUBSTITUTE(SUBSTITUTE(SUBSTITUTE('Calculations'!HF245,"~","~~"),"*","~*"),"?","~?"),'Calculations'!$HN$13:$HN$512,"="&amp;SUBSTITUTE(SUBSTITUTE(SUBSTITUTE('Dashboard'!$B$7,"~","~~"),"*","~*"),"?","~?"))+COUNTIFS('Calculations'!$IH$13:$IH$512,"="&amp;SUBSTITUTE(SUBSTITUTE(SUBSTITUTE('Calculations'!HF245,"~","~~"),"*","~*"),"?","~?"),'Calculations'!$HN$13:$HN$512,"="&amp;SUBSTITUTE(SUBSTITUTE(SUBSTITUTE('Dashboard'!$B$7,"~","~~"),"*","~*"),"?","~?"))))</x:f>
        <x:v>0</x:v>
      </x:c>
      <x:c r="JD245" t="n">
        <x:f>IF('Calculations'!EM245="",0,IF('Dashboard'!$B$7="All",1,IF('Calculations'!HN245='Dashboard'!$B$7,1,0)+IFERROR(INDEX('Calculations'!$JC$13:$JC$512,MATCH('Calculations'!HE245,'Calculations'!$HF$13:$HF$512,0)),0)))</x:f>
        <x:v>0</x:v>
      </x:c>
      <x:c r="JE245" t="n">
        <x:f>IF(AND('Calculations'!EM245&lt;&gt;"",'Calculations'!$JJ$2&lt;&gt;"All",'Calculations'!$JJ$2&lt;&gt;"",'Calculations'!HF245='Calculations'!$JJ$2,'Calculations'!HL245=0,'Calculations'!JD245&gt;0),MAX('Calculations'!$JE$12:JE244)+1,0)</x:f>
        <x:v>0</x:v>
      </x:c>
      <x:c r="JF245" t="str">
        <x:f>IF('Calculations'!EM245="","",IFERROR(IF(INDEX(INDIRECT("'WCM Calibration Final'!$G$1:$G$2000"),'Calculations'!$EM245)="","",TRIM(INDEX(INDIRECT("'WCM Calibration Final'!$G$1:$G$2000"),'Calculations'!$EM245)&amp;"")),""))</x:f>
      </x:c>
      <x:c r="JQ245" t="n">
        <x:f>IF(OR('Calculations'!BM245=0,NOT('Calculations'!$AG$2),'Calculations'!$AG$8&gt;0),0,IF(OR('Dashboard'!$B$7="All",'Calculations'!HN245='Dashboard'!$B$7),IF('Calculations'!$JJ$2="All",1,IF(AND('Calculations'!HF245='Calculations'!$JJ$2,'Calculations'!HL245=0),1,0)),0))</x:f>
        <x:v>0</x:v>
      </x:c>
    </x:row>
    <x:row r="246">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t="n">
        <x:f>IF('Calculations'!$EM246="",0,IF(OR(IFERROR(INDEX(INDIRECT("'WCM Calibration Final'!$A$1:$A$2000"),'Calculations'!$EM246)&lt;&gt;"",FALSE),IFERROR(INDEX(INDIRECT("'WCM Calibration Final'!$B$1:$B$2000"),'Calculations'!$EM246)&lt;&gt;"",FALSE),IFERROR(INDEX(INDIRECT("'WCM Calibration Final'!$C$1:$C$2000"),'Calculations'!$EM246)&lt;&gt;"",FALSE)),1,0))</x:f>
        <x:v>0</x:v>
      </x:c>
      <x:c r="BN246" s="4" t="n">
        <x:f>IF(AND('Calculations'!BM246=1,'Calculations'!$AG$2,'Calculations'!$EN246=1),1,0)</x:f>
        <x:v>0</x:v>
      </x:c>
      <x:c r="BO246" s="4" t="str">
        <x:f>IF('Calculations'!BM246=0,"",IFERROR(IF(AND(VALUE(INDEX(INDIRECT("'WCM Calibration Final'!$K$1:$K$2000"),'Calculations'!$EM246))&gt;=1,VALUE(INDEX(INDIRECT("'WCM Calibration Final'!$K$1:$K$2000"),'Calculations'!$EM246))&lt;=4,MOD(VALUE(INDEX(INDIRECT("'WCM Calibration Final'!$K$1:$K$2000"),'Calculations'!$EM246)),1)=0),VALUE(INDEX(INDIRECT("'WCM Calibration Final'!$K$1:$K$2000"),'Calculations'!$EM246)),""),""))</x:f>
      </x:c>
      <x:c r="BP246" s="4" t="str">
        <x:f>IF('Calculations'!BM246=0,"",IFERROR(IF(AND(VALUE(INDEX(INDIRECT("'WCM Calibration Final'!$L$1:$L$2000"),'Calculations'!$EM246))&gt;=1,VALUE(INDEX(INDIRECT("'WCM Calibration Final'!$L$1:$L$2000"),'Calculations'!$EM246))&lt;=4,MOD(VALUE(INDEX(INDIRECT("'WCM Calibration Final'!$L$1:$L$2000"),'Calculations'!$EM246)),1)=0),VALUE(INDEX(INDIRECT("'WCM Calibration Final'!$L$1:$L$2000"),'Calculations'!$EM246)),""),""))</x:f>
      </x:c>
      <x:c r="BQ246" s="4"/>
      <x:c r="BR246" s="4"/>
      <x:c r="BS246" s="4"/>
      <x:c r="BT246" s="4" t="n">
        <x:f>IF(AND('Calculations'!BM246=1,ISNUMBER('Calculations'!BO246),ISNUMBER('Calculations'!BP246)),1,0)</x:f>
        <x:v>0</x:v>
      </x:c>
      <x:c r="BU246" s="4" t="str">
        <x:f>IF('Calculations'!BM246=0,"",'Calculations'!$EO246)</x:f>
      </x:c>
      <x:c r="BV246" s="4" t="str">
        <x:f>IF('Calculations'!BM246=0,"",IFERROR(IF(OR(INDEX(INDIRECT("'WCM Calibration Final'!$H$1:$H$2000"),'Calculations'!$EM246)="MANAGING DIRECTOR",INDEX(INDIRECT("'WCM Calibration Final'!$H$1:$H$2000"),'Calculations'!$EM246)="DIRECTOR",INDEX(INDIRECT("'WCM Calibration Final'!$H$1:$H$2000"),'Calculations'!$EM246)="SENIOR VICE PRESIDENT",INDEX(INDIRECT("'WCM Calibration Final'!$H$1:$H$2000"),'Calculations'!$EM246)="VICE PRESIDENT",INDEX(INDIRECT("'WCM Calibration Final'!$H$1:$H$2000"),'Calculations'!$EM246)="ASSISTANT VICE PRESIDENT",INDEX(INDIRECT("'WCM Calibration Final'!$H$1:$H$2000"),'Calculations'!$EM246)="OFFICER"),UPPER(INDEX(INDIRECT("'WCM Calibration Final'!$H$1:$H$2000"),'Calculations'!$EM246)),"Other"),"Other"))</x:f>
      </x:c>
      <x:c r="BW246" s="4"/>
      <x:c r="BX246" s="4"/>
      <x:c r="BY246" s="4" t="n">
        <x:f>IF(AND('Calculations'!BM246=1,'Calculations'!BU246&lt;&gt;"",COUNTIF('Calculations'!$BU$12:BU246,'Calculations'!BU246)=1),MAX('Calculations'!$BY$11:BY245)+1,0)</x:f>
        <x:v>0</x:v>
      </x:c>
      <x:c r="BZ246" s="4" t="str">
        <x:f>IF('Dashboard'!$E$67="What",'Calculations'!BO246,'Calculations'!BP246)</x:f>
      </x:c>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t="str">
        <x:f>IF(235&gt;MAX('Calculations'!$HI$13:$HI$512),"",INDEX('Calculations'!$HN$13:$HN$512,MATCH(235,'Calculations'!$HI$13:$HI$512,0)))</x:f>
      </x:c>
      <x:c r="DB246" s="4" t="str">
        <x:f>IF(235&gt;MAX('Calculations'!$HH$13:$HH$512),"",INDEX('Calculations'!$HJ$13:$HJ$512,MATCH(235,'Calculations'!$HH$13:$HH$512,0)))</x:f>
      </x:c>
      <x:c r="DC246" s="4" t="str">
        <x:f>IF(ROW()-11&gt;MAX('Calculations'!$BY$13:$BY$512),"",INDEX('Calculations'!$BU$13:$BU$512,MATCH(ROW()-11,'Calculations'!$BY$13:$BY$512,0)))</x:f>
      </x:c>
      <x:c r="DD246" s="4" t="str">
        <x:f>IF(235&gt;MAX('Calculations'!$IK$13:$IK$512),"",INDEX('Calculations'!$HK$13:$HK$512,MATCH(235,'Calculations'!$IK$13:$IK$512,0)))</x:f>
      </x:c>
      <x:c r="DE246" s="4" t="str">
        <x:f>'Calculations'!DC246</x:f>
      </x:c>
      <x:c r="DF246" s="4" t="str">
        <x:f>IF('Calculations'!DE246="","",COUNTIFS('Calculations'!$BN$13:$BN$512,1,'Calculations'!$BU$13:$BU$512,'Calculations'!DE246))</x:f>
      </x:c>
      <x:c r="DG246" s="4" t="str">
        <x:f>IF('Calculations'!DE246="","",COUNTIFS('Calculations'!$BN$13:$BN$512,1,'Calculations'!$BU$13:$BU$512,'Calculations'!DE246,'Calculations'!$BT$13:$BT$512,1))</x:f>
      </x:c>
      <x:c r="DH246" s="4" t="str">
        <x:f>IF('Calculations'!DE246="","",'Calculations'!DF246-'Calculations'!DG246)</x:f>
      </x:c>
      <x:c r="DI246" s="4" t="str">
        <x:f>IF(OR('Calculations'!DE246="",'Calculations'!DF246=0),"",'Calculations'!DG246/'Calculations'!DF246)</x:f>
      </x:c>
      <x:c r="DJ246" s="4" t="str">
        <x:f>IF('Calculations'!DE246="","",COUNTIFS('Calculations'!$BN$13:$BN$512,1,'Calculations'!$BU$13:$BU$512,'Calculations'!DE246,'Calculations'!$BT$13:$BT$512,1,'Calculations'!$EE$13:$EE$512,"High"))</x:f>
      </x:c>
      <x:c r="DK246" s="4" t="str">
        <x:f>IF('Calculations'!DE246="","",COUNTIFS('Calculations'!$BN$13:$BN$512,1,'Calculations'!$BU$13:$BU$512,'Calculations'!DE246,'Calculations'!$BT$13:$BT$512,1,'Calculations'!$EE$13:$EE$512,"Strong"))</x:f>
      </x:c>
      <x:c r="DL246" s="4" t="str">
        <x:f>IF('Calculations'!DE246="","",COUNTIFS('Calculations'!$BN$13:$BN$512,1,'Calculations'!$BU$13:$BU$512,'Calculations'!DE246,'Calculations'!$BT$13:$BT$512,1,'Calculations'!$EE$13:$EE$512,"Solid"))</x:f>
      </x:c>
      <x:c r="DM246" s="4" t="str">
        <x:f>IF('Calculations'!DE246="","",COUNTIFS('Calculations'!$BN$13:$BN$512,1,'Calculations'!$BU$13:$BU$512,'Calculations'!DE246,'Calculations'!$BT$13:$BT$512,1,'Calculations'!$EE$13:$EE$512,"Low"))</x:f>
      </x:c>
      <x:c r="DN246" s="4" t="str">
        <x:f>IF('Calculations'!DE246="","",COUNTIFS('Calculations'!$BN$13:$BN$512,1,'Calculations'!$BU$13:$BU$512,'Calculations'!DE246,'Calculations'!$EP$13:$EP$512,1))</x:f>
      </x:c>
      <x:c r="DO246" s="4" t="str">
        <x:f>IF(OR('Calculations'!DE246="",'Calculations'!DG246=0),"",('Calculations'!DJ246+'Calculations'!DK246)/'Calculations'!DG246)</x:f>
      </x:c>
      <x:c r="DP246" s="4" t="n">
        <x:f>IF(AND('Calculations'!DE246&lt;&gt;"",'Calculations'!DF246&gt;0),COUNTIF('Calculations'!$DF$12:DF246,"&gt;0"),0)</x:f>
        <x:v>0</x:v>
      </x:c>
      <x:c r="DQ246" s="4" t="str">
        <x:f>IF(235&gt;MAX('Calculations'!$HH$13:$HH$512),"",INDEX('Calculations'!$HF$13:$HF$512,MATCH(235,'Calculations'!$HH$13:$HH$512,0)))</x:f>
      </x:c>
      <x:c r="DR246" s="4" t="str">
        <x:f>IF(235&gt;MAX('Calculations'!$IK$13:$IK$512),"",INDEX('Calculations'!$HE$13:$HE$512,MATCH(235,'Calculations'!$IK$13:$IK$512,0)))</x:f>
      </x:c>
      <x:c r="DS246" s="4"/>
      <x:c r="DT246" s="4"/>
      <x:c r="DU246" s="4"/>
      <x:c r="DV246" s="4"/>
      <x:c r="DW246" s="4"/>
      <x:c r="DX246" s="4"/>
      <x:c r="DY246" s="4"/>
      <x:c r="DZ246" s="4"/>
      <x:c r="EA246" s="4"/>
      <x:c r="EB246" s="4"/>
      <x:c r="EC246" s="4"/>
      <x:c r="ED246" s="4"/>
      <x:c r="EE246" s="4" t="str">
        <x:f>IF('Calculations'!BT246=0,"Not Rated",IF(OR('Calculations'!BO246&gt;=4,'Calculations'!BP246&gt;=4),"Low",IF('Calculations'!BO246+'Calculations'!BP246&lt;=3,"High",IF('Calculations'!BO246+'Calculations'!BP246&lt;=4,"Strong","Solid"))))</x:f>
        <x:v>Not Rated</x:v>
      </x:c>
      <x:c r="EF246" s="4"/>
      <x:c r="EG246" s="4"/>
      <x:c r="EH246" s="4"/>
      <x:c r="EI246" s="4"/>
      <x:c r="EJ246" s="4"/>
      <x:c r="EK246" s="4"/>
      <x:c r="EL246" s="4"/>
      <x:c r="EM246" s="4" t="str">
        <x:f>IF(234&gt;'Calculations'!$JB$2000,"",INDEX('Calculations'!$JA$12:$JA$2000,MATCH(234,'Calculations'!$JB$12:$JB$2000,0)))</x:f>
      </x:c>
      <x:c r="EN246" s="4" t="n">
        <x:f>IF(OR('Calculations'!EM246="",'Calculations'!$AG$8&gt;0,AND('Calculations'!$EF$2&lt;&gt;"All",'Calculations'!HE246='Calculations'!$EF$2),AND('Calculations'!$EF$3&lt;&gt;"All",'Calculations'!HE246='Calculations'!$EF$3)),0,IF(OR('Dashboard'!$B$7="All",'Calculations'!HN246='Dashboard'!$B$7),IF('Calculations'!$EF$2="All",1,IF('Calculations'!HL246&gt;0,0,IF(COUNTIF('Calculations'!HO246:II246,"="&amp;SUBSTITUTE(SUBSTITUTE(SUBSTITUTE('Calculations'!$EF$2,"~","~~"),"*","~*"),"?","~?"))=0,0,IF('Calculations'!$EF$3="All",1,IF(COUNTIF('Calculations'!HO246:II246,"="&amp;SUBSTITUTE(SUBSTITUTE(SUBSTITUTE('Calculations'!$EF$3,"~","~~"),"*","~*"),"?","~?"))&gt;0,1,0))))),0))</x:f>
        <x:v>0</x:v>
      </x:c>
      <x:c r="EO246" s="4" t="str">
        <x:f>IF('Calculations'!IJ246="","",IF('Calculations'!IJ246="!UNRESOLVED","Unresolved hierarchy",IFERROR(INDEX('Calculations'!$HK$13:$HK$512,MATCH('Calculations'!IJ246,'Calculations'!$HE$13:$HE$512,0)),IFERROR(INDEX('Calculations'!$HJ$13:$HJ$512,MATCH('Calculations'!IJ246,'Calculations'!$HF$13:$HF$512,0)),'Calculations'!IJ246))))</x:f>
      </x:c>
      <x:c r="EP246" s="4" t="n">
        <x:f>IF(AND('Calculations'!EM246&lt;&gt;"",'Calculations'!HF246='Calculations'!IJ246),1,0)</x:f>
        <x:v>0</x:v>
      </x:c>
      <x:c r="EQ246" s="4"/>
      <x:c r="ER246" s="4"/>
      <x:c r="ES246" s="4"/>
      <x:c r="ET246" s="4"/>
      <x:c r="EU246" s="4"/>
      <x:c r="EV246" s="4"/>
      <x:c r="EW246" s="4"/>
      <x:c r="EX246" s="4"/>
      <x:c r="EY246" s="4"/>
      <x:c r="EZ246" s="4"/>
      <x:c r="FA246" s="4"/>
      <x:c r="FB246" s="4"/>
      <x:c r="FC246" s="4"/>
      <x:c r="FD246" s="4"/>
      <x:c r="FE246" s="4"/>
      <x:c r="FF246" s="4"/>
      <x:c r="FG246" s="4"/>
      <x:c r="FH246" s="4"/>
      <x:c r="FI246" s="4"/>
      <x:c r="FJ246" s="4"/>
      <x:c r="FK246" s="4"/>
      <x:c r="FL246" s="4"/>
      <x:c r="FM246" s="4"/>
      <x:c r="FN246" s="4"/>
      <x:c r="FO246" s="4"/>
      <x:c r="HE246" t="str">
        <x:f>IF('Calculations'!EM246="","",IF(IFERROR(IF(INDEX(INDIRECT("'WCM Calibration Final'!$A$1:$A$2000"),'Calculations'!$EM246)="","",TRIM(INDEX(INDIRECT("'WCM Calibration Final'!$A$1:$A$2000"),'Calculations'!$EM246)&amp;"")),"")&lt;&gt;"","G:"&amp;IFERROR(TEXT(1*INDEX(INDIRECT("'WCM Calibration Final'!$A$1:$A$2000"),'Calculations'!$EM246),"0"),UPPER(IFERROR(IF(INDEX(INDIRECT("'WCM Calibration Final'!$A$1:$A$2000"),'Calculations'!$EM246)="","",TRIM(INDEX(INDIRECT("'WCM Calibration Final'!$A$1:$A$2000"),'Calculations'!$EM246)&amp;"")),""))),IF(IFERROR(IF(INDEX(INDIRECT("'WCM Calibration Final'!$C$1:$C$2000"),'Calculations'!$EM246)="","",TRIM(INDEX(INDIRECT("'WCM Calibration Final'!$C$1:$C$2000"),'Calculations'!$EM246)&amp;"")),"")&lt;&gt;"","S:"&amp;UPPER(IFERROR(IF(INDEX(INDIRECT("'WCM Calibration Final'!$C$1:$C$2000"),'Calculations'!$EM246)="","",TRIM(INDEX(INDIRECT("'WCM Calibration Final'!$C$1:$C$2000"),'Calculations'!$EM246)&amp;"")),"")),"R:"&amp;'Calculations'!EM246)))</x:f>
      </x:c>
      <x:c r="HF246" t="str">
        <x:f>IF('Calculations'!EM246="","",IF(IFERROR(IF(INDEX(INDIRECT("'WCM Calibration Final'!$D$1:$D$2000"),'Calculations'!$EM246)="","",TRIM(INDEX(INDIRECT("'WCM Calibration Final'!$D$1:$D$2000"),'Calculations'!$EM246)&amp;"")),"")&lt;&gt;"","G:"&amp;IFERROR(TEXT(1*INDEX(INDIRECT("'WCM Calibration Final'!$D$1:$D$2000"),'Calculations'!$EM246),"0"),UPPER(IFERROR(IF(INDEX(INDIRECT("'WCM Calibration Final'!$D$1:$D$2000"),'Calculations'!$EM246)="","",TRIM(INDEX(INDIRECT("'WCM Calibration Final'!$D$1:$D$2000"),'Calculations'!$EM246)&amp;"")),""))),IF(IFERROR(IF(INDEX(INDIRECT("'WCM Calibration Final'!$E$1:$E$2000"),'Calculations'!$EM246)="","",TRIM(INDEX(INDIRECT("'WCM Calibration Final'!$E$1:$E$2000"),'Calculations'!$EM246)&amp;"")),"")="","",IF(COUNTIF('Calculations'!$HG$13:$HG$512,"="&amp;SUBSTITUTE(SUBSTITUTE(SUBSTITUTE(IFERROR(IF(INDEX(INDIRECT("'WCM Calibration Final'!$E$1:$E$2000"),'Calculations'!$EM246)="","",TRIM(INDEX(INDIRECT("'WCM Calibration Final'!$E$1:$E$2000"),'Calculations'!$EM246)&amp;"")),""),"~","~~"),"*","~*"),"?","~?"))=1,INDEX('Calculations'!$HE$13:$HE$512,MATCH(IFERROR(IF(INDEX(INDIRECT("'WCM Calibration Final'!$E$1:$E$2000"),'Calculations'!$EM246)="","",TRIM(INDEX(INDIRECT("'WCM Calibration Final'!$E$1:$E$2000"),'Calculations'!$EM246)&amp;"")),""),'Calculations'!$HG$13:$HG$512,0)),IF(COUNTIF('Calculations'!$HG$13:$HG$512,"="&amp;SUBSTITUTE(SUBSTITUTE(SUBSTITUTE(IFERROR(IF(INDEX(INDIRECT("'WCM Calibration Final'!$E$1:$E$2000"),'Calculations'!$EM246)="","",TRIM(INDEX(INDIRECT("'WCM Calibration Final'!$E$1:$E$2000"),'Calculations'!$EM246)&amp;"")),""),"~","~~"),"*","~*"),"?","~?"))&gt;1,"!AMBIG","X:"&amp;IFERROR(IF(INDEX(INDIRECT("'WCM Calibration Final'!$E$1:$E$2000"),'Calculations'!$EM246)="","",TRIM(INDEX(INDIRECT("'WCM Calibration Final'!$E$1:$E$2000"),'Calculations'!$EM246)&amp;"")),""))))))</x:f>
      </x:c>
      <x:c r="HG246" t="str">
        <x:f>IF('Calculations'!EM246="","",IFERROR(IF(INDEX(INDIRECT("'WCM Calibration Final'!$B$1:$B$2000"),'Calculations'!$EM246)="","",TRIM(INDEX(INDIRECT("'WCM Calibration Final'!$B$1:$B$2000"),'Calculations'!$EM246)&amp;"")),""))</x:f>
      </x:c>
      <x:c r="HH246" t="n">
        <x:f>IF(AND('Calculations'!JC246&gt;0,COUNTIF('Calculations'!$HF$12:HF246,"="&amp;SUBSTITUTE(SUBSTITUTE(SUBSTITUTE('Calculations'!HF246,"~","~~"),"*","~*"),"?","~?"))=1),MAX('Calculations'!$HH$12:HH245)+1,0)</x:f>
        <x:v>0</x:v>
      </x:c>
      <x:c r="HI246" t="n">
        <x:f>IF(AND('Calculations'!HN246&lt;&gt;"",COUNTIF('Calculations'!$HN$12:HN246,"="&amp;SUBSTITUTE(SUBSTITUTE(SUBSTITUTE('Calculations'!HN246,"~","~~"),"*","~*"),"?","~?"))=1),MAX('Calculations'!$HI$12:HI245)+1,0)</x:f>
        <x:v>0</x:v>
      </x:c>
      <x:c r="HJ246" t="str">
        <x:f>IF('Calculations'!HF246="","",IF(COUNTIF('Calculations'!$HE$13:$HE$512,"="&amp;SUBSTITUTE(SUBSTITUTE(SUBSTITUTE('Calculations'!HF246,"~","~~"),"*","~*"),"?","~?"))=1,INDEX('Calculations'!$HK$13:$HK$512,MATCH('Calculations'!HF246,'Calculations'!$HE$13:$HE$512,0)),IFERROR(IF(INDEX(INDIRECT("'WCM Calibration Final'!$E$1:$E$2000"),'Calculations'!$EM246)="","",TRIM(INDEX(INDIRECT("'WCM Calibration Final'!$E$1:$E$2000"),'Calculations'!$EM246)&amp;"")),"")&amp;" ["&amp;'Calculations'!HF246&amp;"]"))</x:f>
      </x:c>
      <x:c r="HK246" t="str">
        <x:f>IF('Calculations'!EM246="","",'Calculations'!HG246&amp;" ["&amp;'Calculations'!HE246&amp;"]")</x:f>
      </x:c>
      <x:c r="HL246" t="n">
        <x:f>IF('Calculations'!EM246="",0,IF(OR('Calculations'!II246&lt;&gt;"",COUNTIF('Calculations'!$HE$13:$HE$512,"="&amp;SUBSTITUTE(SUBSTITUTE(SUBSTITUTE('Calculations'!HE246,"~","~~"),"*","~*"),"?","~?"))&gt;1),1,0))</x:f>
        <x:v>0</x:v>
      </x:c>
      <x:c r="HM246" t="str">
        <x:f>IF('Calculations'!EM246="","",IF('Calculations'!HL246=1,"!UNRESOLVED",IF('Calculations'!IH246&lt;&gt;"",'Calculations'!IH246,IF('Calculations'!IG246&lt;&gt;"",'Calculations'!IG246,IF('Calculations'!IF246&lt;&gt;"",'Calculations'!IF246,IF('Calculations'!IE246&lt;&gt;"",'Calculations'!IE246,IF('Calculations'!ID246&lt;&gt;"",'Calculations'!ID246,IF('Calculations'!IC246&lt;&gt;"",'Calculations'!IC246,IF('Calculations'!IB246&lt;&gt;"",'Calculations'!IB246,IF('Calculations'!IA246&lt;&gt;"",'Calculations'!IA246,IF('Calculations'!HZ246&lt;&gt;"",'Calculations'!HZ246,IF('Calculations'!HY246&lt;&gt;"",'Calculations'!HY246,IF('Calculations'!HX246&lt;&gt;"",'Calculations'!HX246,IF('Calculations'!HW246&lt;&gt;"",'Calculations'!HW246,IF('Calculations'!HV246&lt;&gt;"",'Calculations'!HV246,IF('Calculations'!HU246&lt;&gt;"",'Calculations'!HU246,IF('Calculations'!HT246&lt;&gt;"",'Calculations'!HT246,IF('Calculations'!HS246&lt;&gt;"",'Calculations'!HS246,IF('Calculations'!HR246&lt;&gt;"",'Calculations'!HR246,IF('Calculations'!HQ246&lt;&gt;"",'Calculations'!HQ246,IF('Calculations'!HP246&lt;&gt;"",'Calculations'!HP246,IF('Calculations'!HO246&lt;&gt;"",'Calculations'!HO246,'Calculations'!HE246))))))))))))))))))))))</x:f>
      </x:c>
      <x:c r="HN246" t="str">
        <x:f>IF('Calculations'!EM246="","",IF(IFERROR(IF(INDEX(INDIRECT("'WCM Calibration Final'!$F$1:$F$2000"),'Calculations'!$EM246)="","",TRIM(INDEX(INDIRECT("'WCM Calibration Final'!$F$1:$F$2000"),'Calculations'!$EM246)&amp;"")),"")="","(Blank)",IFERROR(IF(INDEX(INDIRECT("'WCM Calibration Final'!$F$1:$F$2000"),'Calculations'!$EM246)="","",TRIM(INDEX(INDIRECT("'WCM Calibration Final'!$F$1:$F$2000"),'Calculations'!$EM246)&amp;"")),"")))</x:f>
      </x:c>
      <x:c r="HO246" t="str">
        <x:f>'Calculations'!HF246</x:f>
      </x:c>
      <x:c r="HP246" t="str">
        <x:f>IF('Calculations'!HO246="","",IF('Calculations'!HO246="!AMBIG","!AMBIG",IF(COUNTIF('Calculations'!$HE$13:$HE$512,"="&amp;SUBSTITUTE(SUBSTITUTE(SUBSTITUTE('Calculations'!HO246,"~","~~"),"*","~*"),"?","~?"))&gt;1,"!AMBIG",IFERROR(INDEX('Calculations'!$HF$13:$HF$512,MATCH('Calculations'!HO246,'Calculations'!$HE$13:$HE$512,0)),""))))</x:f>
      </x:c>
      <x:c r="HQ246" t="str">
        <x:f>IF('Calculations'!HP246="","",IF('Calculations'!HP246="!AMBIG","!AMBIG",IF(COUNTIF('Calculations'!$HE$13:$HE$512,"="&amp;SUBSTITUTE(SUBSTITUTE(SUBSTITUTE('Calculations'!HP246,"~","~~"),"*","~*"),"?","~?"))&gt;1,"!AMBIG",IFERROR(INDEX('Calculations'!$HF$13:$HF$512,MATCH('Calculations'!HP246,'Calculations'!$HE$13:$HE$512,0)),""))))</x:f>
      </x:c>
      <x:c r="HR246" t="str">
        <x:f>IF('Calculations'!HQ246="","",IF('Calculations'!HQ246="!AMBIG","!AMBIG",IF(COUNTIF('Calculations'!$HE$13:$HE$512,"="&amp;SUBSTITUTE(SUBSTITUTE(SUBSTITUTE('Calculations'!HQ246,"~","~~"),"*","~*"),"?","~?"))&gt;1,"!AMBIG",IFERROR(INDEX('Calculations'!$HF$13:$HF$512,MATCH('Calculations'!HQ246,'Calculations'!$HE$13:$HE$512,0)),""))))</x:f>
      </x:c>
      <x:c r="HS246" t="str">
        <x:f>IF('Calculations'!HR246="","",IF('Calculations'!HR246="!AMBIG","!AMBIG",IF(COUNTIF('Calculations'!$HE$13:$HE$512,"="&amp;SUBSTITUTE(SUBSTITUTE(SUBSTITUTE('Calculations'!HR246,"~","~~"),"*","~*"),"?","~?"))&gt;1,"!AMBIG",IFERROR(INDEX('Calculations'!$HF$13:$HF$512,MATCH('Calculations'!HR246,'Calculations'!$HE$13:$HE$512,0)),""))))</x:f>
      </x:c>
      <x:c r="HT246" t="str">
        <x:f>IF('Calculations'!HS246="","",IF('Calculations'!HS246="!AMBIG","!AMBIG",IF(COUNTIF('Calculations'!$HE$13:$HE$512,"="&amp;SUBSTITUTE(SUBSTITUTE(SUBSTITUTE('Calculations'!HS246,"~","~~"),"*","~*"),"?","~?"))&gt;1,"!AMBIG",IFERROR(INDEX('Calculations'!$HF$13:$HF$512,MATCH('Calculations'!HS246,'Calculations'!$HE$13:$HE$512,0)),""))))</x:f>
      </x:c>
      <x:c r="HU246" t="str">
        <x:f>IF('Calculations'!HT246="","",IF('Calculations'!HT246="!AMBIG","!AMBIG",IF(COUNTIF('Calculations'!$HE$13:$HE$512,"="&amp;SUBSTITUTE(SUBSTITUTE(SUBSTITUTE('Calculations'!HT246,"~","~~"),"*","~*"),"?","~?"))&gt;1,"!AMBIG",IFERROR(INDEX('Calculations'!$HF$13:$HF$512,MATCH('Calculations'!HT246,'Calculations'!$HE$13:$HE$512,0)),""))))</x:f>
      </x:c>
      <x:c r="HV246" t="str">
        <x:f>IF('Calculations'!HU246="","",IF('Calculations'!HU246="!AMBIG","!AMBIG",IF(COUNTIF('Calculations'!$HE$13:$HE$512,"="&amp;SUBSTITUTE(SUBSTITUTE(SUBSTITUTE('Calculations'!HU246,"~","~~"),"*","~*"),"?","~?"))&gt;1,"!AMBIG",IFERROR(INDEX('Calculations'!$HF$13:$HF$512,MATCH('Calculations'!HU246,'Calculations'!$HE$13:$HE$512,0)),""))))</x:f>
      </x:c>
      <x:c r="HW246" t="str">
        <x:f>IF('Calculations'!HV246="","",IF('Calculations'!HV246="!AMBIG","!AMBIG",IF(COUNTIF('Calculations'!$HE$13:$HE$512,"="&amp;SUBSTITUTE(SUBSTITUTE(SUBSTITUTE('Calculations'!HV246,"~","~~"),"*","~*"),"?","~?"))&gt;1,"!AMBIG",IFERROR(INDEX('Calculations'!$HF$13:$HF$512,MATCH('Calculations'!HV246,'Calculations'!$HE$13:$HE$512,0)),""))))</x:f>
      </x:c>
      <x:c r="HX246" t="str">
        <x:f>IF('Calculations'!HW246="","",IF('Calculations'!HW246="!AMBIG","!AMBIG",IF(COUNTIF('Calculations'!$HE$13:$HE$512,"="&amp;SUBSTITUTE(SUBSTITUTE(SUBSTITUTE('Calculations'!HW246,"~","~~"),"*","~*"),"?","~?"))&gt;1,"!AMBIG",IFERROR(INDEX('Calculations'!$HF$13:$HF$512,MATCH('Calculations'!HW246,'Calculations'!$HE$13:$HE$512,0)),""))))</x:f>
      </x:c>
      <x:c r="HY246" t="str">
        <x:f>IF('Calculations'!HX246="","",IF('Calculations'!HX246="!AMBIG","!AMBIG",IF(COUNTIF('Calculations'!$HE$13:$HE$512,"="&amp;SUBSTITUTE(SUBSTITUTE(SUBSTITUTE('Calculations'!HX246,"~","~~"),"*","~*"),"?","~?"))&gt;1,"!AMBIG",IFERROR(INDEX('Calculations'!$HF$13:$HF$512,MATCH('Calculations'!HX246,'Calculations'!$HE$13:$HE$512,0)),""))))</x:f>
      </x:c>
      <x:c r="HZ246" t="str">
        <x:f>IF('Calculations'!HY246="","",IF('Calculations'!HY246="!AMBIG","!AMBIG",IF(COUNTIF('Calculations'!$HE$13:$HE$512,"="&amp;SUBSTITUTE(SUBSTITUTE(SUBSTITUTE('Calculations'!HY246,"~","~~"),"*","~*"),"?","~?"))&gt;1,"!AMBIG",IFERROR(INDEX('Calculations'!$HF$13:$HF$512,MATCH('Calculations'!HY246,'Calculations'!$HE$13:$HE$512,0)),""))))</x:f>
      </x:c>
      <x:c r="IA246" t="str">
        <x:f>IF('Calculations'!HZ246="","",IF('Calculations'!HZ246="!AMBIG","!AMBIG",IF(COUNTIF('Calculations'!$HE$13:$HE$512,"="&amp;SUBSTITUTE(SUBSTITUTE(SUBSTITUTE('Calculations'!HZ246,"~","~~"),"*","~*"),"?","~?"))&gt;1,"!AMBIG",IFERROR(INDEX('Calculations'!$HF$13:$HF$512,MATCH('Calculations'!HZ246,'Calculations'!$HE$13:$HE$512,0)),""))))</x:f>
      </x:c>
      <x:c r="IB246" t="str">
        <x:f>IF('Calculations'!IA246="","",IF('Calculations'!IA246="!AMBIG","!AMBIG",IF(COUNTIF('Calculations'!$HE$13:$HE$512,"="&amp;SUBSTITUTE(SUBSTITUTE(SUBSTITUTE('Calculations'!IA246,"~","~~"),"*","~*"),"?","~?"))&gt;1,"!AMBIG",IFERROR(INDEX('Calculations'!$HF$13:$HF$512,MATCH('Calculations'!IA246,'Calculations'!$HE$13:$HE$512,0)),""))))</x:f>
      </x:c>
      <x:c r="IC246" t="str">
        <x:f>IF('Calculations'!IB246="","",IF('Calculations'!IB246="!AMBIG","!AMBIG",IF(COUNTIF('Calculations'!$HE$13:$HE$512,"="&amp;SUBSTITUTE(SUBSTITUTE(SUBSTITUTE('Calculations'!IB246,"~","~~"),"*","~*"),"?","~?"))&gt;1,"!AMBIG",IFERROR(INDEX('Calculations'!$HF$13:$HF$512,MATCH('Calculations'!IB246,'Calculations'!$HE$13:$HE$512,0)),""))))</x:f>
      </x:c>
      <x:c r="ID246" t="str">
        <x:f>IF('Calculations'!IC246="","",IF('Calculations'!IC246="!AMBIG","!AMBIG",IF(COUNTIF('Calculations'!$HE$13:$HE$512,"="&amp;SUBSTITUTE(SUBSTITUTE(SUBSTITUTE('Calculations'!IC246,"~","~~"),"*","~*"),"?","~?"))&gt;1,"!AMBIG",IFERROR(INDEX('Calculations'!$HF$13:$HF$512,MATCH('Calculations'!IC246,'Calculations'!$HE$13:$HE$512,0)),""))))</x:f>
      </x:c>
      <x:c r="IE246" t="str">
        <x:f>IF('Calculations'!ID246="","",IF('Calculations'!ID246="!AMBIG","!AMBIG",IF(COUNTIF('Calculations'!$HE$13:$HE$512,"="&amp;SUBSTITUTE(SUBSTITUTE(SUBSTITUTE('Calculations'!ID246,"~","~~"),"*","~*"),"?","~?"))&gt;1,"!AMBIG",IFERROR(INDEX('Calculations'!$HF$13:$HF$512,MATCH('Calculations'!ID246,'Calculations'!$HE$13:$HE$512,0)),""))))</x:f>
      </x:c>
      <x:c r="IF246" t="str">
        <x:f>IF('Calculations'!IE246="","",IF('Calculations'!IE246="!AMBIG","!AMBIG",IF(COUNTIF('Calculations'!$HE$13:$HE$512,"="&amp;SUBSTITUTE(SUBSTITUTE(SUBSTITUTE('Calculations'!IE246,"~","~~"),"*","~*"),"?","~?"))&gt;1,"!AMBIG",IFERROR(INDEX('Calculations'!$HF$13:$HF$512,MATCH('Calculations'!IE246,'Calculations'!$HE$13:$HE$512,0)),""))))</x:f>
      </x:c>
      <x:c r="IG246" t="str">
        <x:f>IF('Calculations'!IF246="","",IF('Calculations'!IF246="!AMBIG","!AMBIG",IF(COUNTIF('Calculations'!$HE$13:$HE$512,"="&amp;SUBSTITUTE(SUBSTITUTE(SUBSTITUTE('Calculations'!IF246,"~","~~"),"*","~*"),"?","~?"))&gt;1,"!AMBIG",IFERROR(INDEX('Calculations'!$HF$13:$HF$512,MATCH('Calculations'!IF246,'Calculations'!$HE$13:$HE$512,0)),""))))</x:f>
      </x:c>
      <x:c r="IH246" t="str">
        <x:f>IF('Calculations'!IG246="","",IF('Calculations'!IG246="!AMBIG","!AMBIG",IF(COUNTIF('Calculations'!$HE$13:$HE$512,"="&amp;SUBSTITUTE(SUBSTITUTE(SUBSTITUTE('Calculations'!IG246,"~","~~"),"*","~*"),"?","~?"))&gt;1,"!AMBIG",IFERROR(INDEX('Calculations'!$HF$13:$HF$512,MATCH('Calculations'!IG246,'Calculations'!$HE$13:$HE$512,0)),""))))</x:f>
      </x:c>
      <x:c r="II246" t="str">
        <x:f>IF('Calculations'!IH246="","",IF('Calculations'!IH246="!AMBIG","!AMBIG",IF(COUNTIF('Calculations'!$HE$13:$HE$512,"="&amp;SUBSTITUTE(SUBSTITUTE(SUBSTITUTE('Calculations'!IH246,"~","~~"),"*","~*"),"?","~?"))&gt;1,"!AMBIG",IFERROR(INDEX('Calculations'!$HF$13:$HF$512,MATCH('Calculations'!IH246,'Calculations'!$HE$13:$HE$512,0)),""))))</x:f>
      </x:c>
      <x:c r="IJ246" t="str">
        <x:f>IF('Calculations'!EM246="","",IF('Calculations'!$EF$2="All",'Calculations'!HM246,IF('Calculations'!HL246=1,"",IFERROR(IF(MATCH('Calculations'!$EF$2,'Calculations'!HO246:II246,0)=1,'Calculations'!HE246,INDEX('Calculations'!HO246:II246,1,MATCH('Calculations'!$EF$2,'Calculations'!HO246:II246,0)-1)),""))))</x:f>
      </x:c>
      <x:c r="IK246" t="n">
        <x:f>IF(AND('Calculations'!EM246&lt;&gt;"",'Calculations'!$EF$2&lt;&gt;"All",'Calculations'!HF246='Calculations'!$EF$2,'Calculations'!HL246=0,'Calculations'!JD246&gt;0),MAX('Calculations'!$IK$12:IK245)+1,0)</x:f>
        <x:v>0</x:v>
      </x:c>
      <x:c r="JA246" t="n">
        <x:f>IF(OR(IFERROR(INDIRECT("'WCM Calibration Final'!$A$246")&lt;&gt;"",FALSE),IFERROR(INDIRECT("'WCM Calibration Final'!$B$246")&lt;&gt;"",FALSE),IFERROR(INDIRECT("'WCM Calibration Final'!$C$246")&lt;&gt;"",FALSE)),246,0)</x:f>
        <x:v>0</x:v>
      </x:c>
      <x:c r="JB246" t="n">
        <x:f>'Calculations'!JB245+IF('Calculations'!JA246&gt;0,1,0)</x:f>
        <x:v>0</x:v>
      </x:c>
      <x:c r="JC246" t="n">
        <x:f>IF(OR('Calculations'!HF246="",'Calculations'!HF246="!AMBIG"),0,IF('Dashboard'!$B$7="All",1,COUNTIFS('Calculations'!$HO$13:$HO$512,"="&amp;SUBSTITUTE(SUBSTITUTE(SUBSTITUTE('Calculations'!HF246,"~","~~"),"*","~*"),"?","~?"),'Calculations'!$HN$13:$HN$512,"="&amp;SUBSTITUTE(SUBSTITUTE(SUBSTITUTE('Dashboard'!$B$7,"~","~~"),"*","~*"),"?","~?"))+COUNTIFS('Calculations'!$HP$13:$HP$512,"="&amp;SUBSTITUTE(SUBSTITUTE(SUBSTITUTE('Calculations'!HF246,"~","~~"),"*","~*"),"?","~?"),'Calculations'!$HN$13:$HN$512,"="&amp;SUBSTITUTE(SUBSTITUTE(SUBSTITUTE('Dashboard'!$B$7,"~","~~"),"*","~*"),"?","~?"))+COUNTIFS('Calculations'!$HQ$13:$HQ$512,"="&amp;SUBSTITUTE(SUBSTITUTE(SUBSTITUTE('Calculations'!HF246,"~","~~"),"*","~*"),"?","~?"),'Calculations'!$HN$13:$HN$512,"="&amp;SUBSTITUTE(SUBSTITUTE(SUBSTITUTE('Dashboard'!$B$7,"~","~~"),"*","~*"),"?","~?"))+COUNTIFS('Calculations'!$HR$13:$HR$512,"="&amp;SUBSTITUTE(SUBSTITUTE(SUBSTITUTE('Calculations'!HF246,"~","~~"),"*","~*"),"?","~?"),'Calculations'!$HN$13:$HN$512,"="&amp;SUBSTITUTE(SUBSTITUTE(SUBSTITUTE('Dashboard'!$B$7,"~","~~"),"*","~*"),"?","~?"))+COUNTIFS('Calculations'!$HS$13:$HS$512,"="&amp;SUBSTITUTE(SUBSTITUTE(SUBSTITUTE('Calculations'!HF246,"~","~~"),"*","~*"),"?","~?"),'Calculations'!$HN$13:$HN$512,"="&amp;SUBSTITUTE(SUBSTITUTE(SUBSTITUTE('Dashboard'!$B$7,"~","~~"),"*","~*"),"?","~?"))+COUNTIFS('Calculations'!$HT$13:$HT$512,"="&amp;SUBSTITUTE(SUBSTITUTE(SUBSTITUTE('Calculations'!HF246,"~","~~"),"*","~*"),"?","~?"),'Calculations'!$HN$13:$HN$512,"="&amp;SUBSTITUTE(SUBSTITUTE(SUBSTITUTE('Dashboard'!$B$7,"~","~~"),"*","~*"),"?","~?"))+COUNTIFS('Calculations'!$HU$13:$HU$512,"="&amp;SUBSTITUTE(SUBSTITUTE(SUBSTITUTE('Calculations'!HF246,"~","~~"),"*","~*"),"?","~?"),'Calculations'!$HN$13:$HN$512,"="&amp;SUBSTITUTE(SUBSTITUTE(SUBSTITUTE('Dashboard'!$B$7,"~","~~"),"*","~*"),"?","~?"))+COUNTIFS('Calculations'!$HV$13:$HV$512,"="&amp;SUBSTITUTE(SUBSTITUTE(SUBSTITUTE('Calculations'!HF246,"~","~~"),"*","~*"),"?","~?"),'Calculations'!$HN$13:$HN$512,"="&amp;SUBSTITUTE(SUBSTITUTE(SUBSTITUTE('Dashboard'!$B$7,"~","~~"),"*","~*"),"?","~?"))+COUNTIFS('Calculations'!$HW$13:$HW$512,"="&amp;SUBSTITUTE(SUBSTITUTE(SUBSTITUTE('Calculations'!HF246,"~","~~"),"*","~*"),"?","~?"),'Calculations'!$HN$13:$HN$512,"="&amp;SUBSTITUTE(SUBSTITUTE(SUBSTITUTE('Dashboard'!$B$7,"~","~~"),"*","~*"),"?","~?"))+COUNTIFS('Calculations'!$HX$13:$HX$512,"="&amp;SUBSTITUTE(SUBSTITUTE(SUBSTITUTE('Calculations'!HF246,"~","~~"),"*","~*"),"?","~?"),'Calculations'!$HN$13:$HN$512,"="&amp;SUBSTITUTE(SUBSTITUTE(SUBSTITUTE('Dashboard'!$B$7,"~","~~"),"*","~*"),"?","~?"))+COUNTIFS('Calculations'!$HY$13:$HY$512,"="&amp;SUBSTITUTE(SUBSTITUTE(SUBSTITUTE('Calculations'!HF246,"~","~~"),"*","~*"),"?","~?"),'Calculations'!$HN$13:$HN$512,"="&amp;SUBSTITUTE(SUBSTITUTE(SUBSTITUTE('Dashboard'!$B$7,"~","~~"),"*","~*"),"?","~?"))+COUNTIFS('Calculations'!$HZ$13:$HZ$512,"="&amp;SUBSTITUTE(SUBSTITUTE(SUBSTITUTE('Calculations'!HF246,"~","~~"),"*","~*"),"?","~?"),'Calculations'!$HN$13:$HN$512,"="&amp;SUBSTITUTE(SUBSTITUTE(SUBSTITUTE('Dashboard'!$B$7,"~","~~"),"*","~*"),"?","~?"))+COUNTIFS('Calculations'!$IA$13:$IA$512,"="&amp;SUBSTITUTE(SUBSTITUTE(SUBSTITUTE('Calculations'!HF246,"~","~~"),"*","~*"),"?","~?"),'Calculations'!$HN$13:$HN$512,"="&amp;SUBSTITUTE(SUBSTITUTE(SUBSTITUTE('Dashboard'!$B$7,"~","~~"),"*","~*"),"?","~?"))+COUNTIFS('Calculations'!$IB$13:$IB$512,"="&amp;SUBSTITUTE(SUBSTITUTE(SUBSTITUTE('Calculations'!HF246,"~","~~"),"*","~*"),"?","~?"),'Calculations'!$HN$13:$HN$512,"="&amp;SUBSTITUTE(SUBSTITUTE(SUBSTITUTE('Dashboard'!$B$7,"~","~~"),"*","~*"),"?","~?"))+COUNTIFS('Calculations'!$IC$13:$IC$512,"="&amp;SUBSTITUTE(SUBSTITUTE(SUBSTITUTE('Calculations'!HF246,"~","~~"),"*","~*"),"?","~?"),'Calculations'!$HN$13:$HN$512,"="&amp;SUBSTITUTE(SUBSTITUTE(SUBSTITUTE('Dashboard'!$B$7,"~","~~"),"*","~*"),"?","~?"))+COUNTIFS('Calculations'!$ID$13:$ID$512,"="&amp;SUBSTITUTE(SUBSTITUTE(SUBSTITUTE('Calculations'!HF246,"~","~~"),"*","~*"),"?","~?"),'Calculations'!$HN$13:$HN$512,"="&amp;SUBSTITUTE(SUBSTITUTE(SUBSTITUTE('Dashboard'!$B$7,"~","~~"),"*","~*"),"?","~?"))+COUNTIFS('Calculations'!$IE$13:$IE$512,"="&amp;SUBSTITUTE(SUBSTITUTE(SUBSTITUTE('Calculations'!HF246,"~","~~"),"*","~*"),"?","~?"),'Calculations'!$HN$13:$HN$512,"="&amp;SUBSTITUTE(SUBSTITUTE(SUBSTITUTE('Dashboard'!$B$7,"~","~~"),"*","~*"),"?","~?"))+COUNTIFS('Calculations'!$IF$13:$IF$512,"="&amp;SUBSTITUTE(SUBSTITUTE(SUBSTITUTE('Calculations'!HF246,"~","~~"),"*","~*"),"?","~?"),'Calculations'!$HN$13:$HN$512,"="&amp;SUBSTITUTE(SUBSTITUTE(SUBSTITUTE('Dashboard'!$B$7,"~","~~"),"*","~*"),"?","~?"))+COUNTIFS('Calculations'!$IG$13:$IG$512,"="&amp;SUBSTITUTE(SUBSTITUTE(SUBSTITUTE('Calculations'!HF246,"~","~~"),"*","~*"),"?","~?"),'Calculations'!$HN$13:$HN$512,"="&amp;SUBSTITUTE(SUBSTITUTE(SUBSTITUTE('Dashboard'!$B$7,"~","~~"),"*","~*"),"?","~?"))+COUNTIFS('Calculations'!$IH$13:$IH$512,"="&amp;SUBSTITUTE(SUBSTITUTE(SUBSTITUTE('Calculations'!HF246,"~","~~"),"*","~*"),"?","~?"),'Calculations'!$HN$13:$HN$512,"="&amp;SUBSTITUTE(SUBSTITUTE(SUBSTITUTE('Dashboard'!$B$7,"~","~~"),"*","~*"),"?","~?"))))</x:f>
        <x:v>0</x:v>
      </x:c>
      <x:c r="JD246" t="n">
        <x:f>IF('Calculations'!EM246="",0,IF('Dashboard'!$B$7="All",1,IF('Calculations'!HN246='Dashboard'!$B$7,1,0)+IFERROR(INDEX('Calculations'!$JC$13:$JC$512,MATCH('Calculations'!HE246,'Calculations'!$HF$13:$HF$512,0)),0)))</x:f>
        <x:v>0</x:v>
      </x:c>
      <x:c r="JE246" t="n">
        <x:f>IF(AND('Calculations'!EM246&lt;&gt;"",'Calculations'!$JJ$2&lt;&gt;"All",'Calculations'!$JJ$2&lt;&gt;"",'Calculations'!HF246='Calculations'!$JJ$2,'Calculations'!HL246=0,'Calculations'!JD246&gt;0),MAX('Calculations'!$JE$12:JE245)+1,0)</x:f>
        <x:v>0</x:v>
      </x:c>
      <x:c r="JF246" t="str">
        <x:f>IF('Calculations'!EM246="","",IFERROR(IF(INDEX(INDIRECT("'WCM Calibration Final'!$G$1:$G$2000"),'Calculations'!$EM246)="","",TRIM(INDEX(INDIRECT("'WCM Calibration Final'!$G$1:$G$2000"),'Calculations'!$EM246)&amp;"")),""))</x:f>
      </x:c>
      <x:c r="JQ246" t="n">
        <x:f>IF(OR('Calculations'!BM246=0,NOT('Calculations'!$AG$2),'Calculations'!$AG$8&gt;0),0,IF(OR('Dashboard'!$B$7="All",'Calculations'!HN246='Dashboard'!$B$7),IF('Calculations'!$JJ$2="All",1,IF(AND('Calculations'!HF246='Calculations'!$JJ$2,'Calculations'!HL246=0),1,0)),0))</x:f>
        <x:v>0</x:v>
      </x:c>
    </x:row>
    <x:row r="247">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t="n">
        <x:f>IF('Calculations'!$EM247="",0,IF(OR(IFERROR(INDEX(INDIRECT("'WCM Calibration Final'!$A$1:$A$2000"),'Calculations'!$EM247)&lt;&gt;"",FALSE),IFERROR(INDEX(INDIRECT("'WCM Calibration Final'!$B$1:$B$2000"),'Calculations'!$EM247)&lt;&gt;"",FALSE),IFERROR(INDEX(INDIRECT("'WCM Calibration Final'!$C$1:$C$2000"),'Calculations'!$EM247)&lt;&gt;"",FALSE)),1,0))</x:f>
        <x:v>0</x:v>
      </x:c>
      <x:c r="BN247" s="4" t="n">
        <x:f>IF(AND('Calculations'!BM247=1,'Calculations'!$AG$2,'Calculations'!$EN247=1),1,0)</x:f>
        <x:v>0</x:v>
      </x:c>
      <x:c r="BO247" s="4" t="str">
        <x:f>IF('Calculations'!BM247=0,"",IFERROR(IF(AND(VALUE(INDEX(INDIRECT("'WCM Calibration Final'!$K$1:$K$2000"),'Calculations'!$EM247))&gt;=1,VALUE(INDEX(INDIRECT("'WCM Calibration Final'!$K$1:$K$2000"),'Calculations'!$EM247))&lt;=4,MOD(VALUE(INDEX(INDIRECT("'WCM Calibration Final'!$K$1:$K$2000"),'Calculations'!$EM247)),1)=0),VALUE(INDEX(INDIRECT("'WCM Calibration Final'!$K$1:$K$2000"),'Calculations'!$EM247)),""),""))</x:f>
      </x:c>
      <x:c r="BP247" s="4" t="str">
        <x:f>IF('Calculations'!BM247=0,"",IFERROR(IF(AND(VALUE(INDEX(INDIRECT("'WCM Calibration Final'!$L$1:$L$2000"),'Calculations'!$EM247))&gt;=1,VALUE(INDEX(INDIRECT("'WCM Calibration Final'!$L$1:$L$2000"),'Calculations'!$EM247))&lt;=4,MOD(VALUE(INDEX(INDIRECT("'WCM Calibration Final'!$L$1:$L$2000"),'Calculations'!$EM247)),1)=0),VALUE(INDEX(INDIRECT("'WCM Calibration Final'!$L$1:$L$2000"),'Calculations'!$EM247)),""),""))</x:f>
      </x:c>
      <x:c r="BQ247" s="4"/>
      <x:c r="BR247" s="4"/>
      <x:c r="BS247" s="4"/>
      <x:c r="BT247" s="4" t="n">
        <x:f>IF(AND('Calculations'!BM247=1,ISNUMBER('Calculations'!BO247),ISNUMBER('Calculations'!BP247)),1,0)</x:f>
        <x:v>0</x:v>
      </x:c>
      <x:c r="BU247" s="4" t="str">
        <x:f>IF('Calculations'!BM247=0,"",'Calculations'!$EO247)</x:f>
      </x:c>
      <x:c r="BV247" s="4" t="str">
        <x:f>IF('Calculations'!BM247=0,"",IFERROR(IF(OR(INDEX(INDIRECT("'WCM Calibration Final'!$H$1:$H$2000"),'Calculations'!$EM247)="MANAGING DIRECTOR",INDEX(INDIRECT("'WCM Calibration Final'!$H$1:$H$2000"),'Calculations'!$EM247)="DIRECTOR",INDEX(INDIRECT("'WCM Calibration Final'!$H$1:$H$2000"),'Calculations'!$EM247)="SENIOR VICE PRESIDENT",INDEX(INDIRECT("'WCM Calibration Final'!$H$1:$H$2000"),'Calculations'!$EM247)="VICE PRESIDENT",INDEX(INDIRECT("'WCM Calibration Final'!$H$1:$H$2000"),'Calculations'!$EM247)="ASSISTANT VICE PRESIDENT",INDEX(INDIRECT("'WCM Calibration Final'!$H$1:$H$2000"),'Calculations'!$EM247)="OFFICER"),UPPER(INDEX(INDIRECT("'WCM Calibration Final'!$H$1:$H$2000"),'Calculations'!$EM247)),"Other"),"Other"))</x:f>
      </x:c>
      <x:c r="BW247" s="4"/>
      <x:c r="BX247" s="4"/>
      <x:c r="BY247" s="4" t="n">
        <x:f>IF(AND('Calculations'!BM247=1,'Calculations'!BU247&lt;&gt;"",COUNTIF('Calculations'!$BU$12:BU247,'Calculations'!BU247)=1),MAX('Calculations'!$BY$11:BY246)+1,0)</x:f>
        <x:v>0</x:v>
      </x:c>
      <x:c r="BZ247" s="4" t="str">
        <x:f>IF('Dashboard'!$E$67="What",'Calculations'!BO247,'Calculations'!BP247)</x:f>
      </x:c>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t="str">
        <x:f>IF(236&gt;MAX('Calculations'!$HI$13:$HI$512),"",INDEX('Calculations'!$HN$13:$HN$512,MATCH(236,'Calculations'!$HI$13:$HI$512,0)))</x:f>
      </x:c>
      <x:c r="DB247" s="4" t="str">
        <x:f>IF(236&gt;MAX('Calculations'!$HH$13:$HH$512),"",INDEX('Calculations'!$HJ$13:$HJ$512,MATCH(236,'Calculations'!$HH$13:$HH$512,0)))</x:f>
      </x:c>
      <x:c r="DC247" s="4" t="str">
        <x:f>IF(ROW()-11&gt;MAX('Calculations'!$BY$13:$BY$512),"",INDEX('Calculations'!$BU$13:$BU$512,MATCH(ROW()-11,'Calculations'!$BY$13:$BY$512,0)))</x:f>
      </x:c>
      <x:c r="DD247" s="4" t="str">
        <x:f>IF(236&gt;MAX('Calculations'!$IK$13:$IK$512),"",INDEX('Calculations'!$HK$13:$HK$512,MATCH(236,'Calculations'!$IK$13:$IK$512,0)))</x:f>
      </x:c>
      <x:c r="DE247" s="4" t="str">
        <x:f>'Calculations'!DC247</x:f>
      </x:c>
      <x:c r="DF247" s="4" t="str">
        <x:f>IF('Calculations'!DE247="","",COUNTIFS('Calculations'!$BN$13:$BN$512,1,'Calculations'!$BU$13:$BU$512,'Calculations'!DE247))</x:f>
      </x:c>
      <x:c r="DG247" s="4" t="str">
        <x:f>IF('Calculations'!DE247="","",COUNTIFS('Calculations'!$BN$13:$BN$512,1,'Calculations'!$BU$13:$BU$512,'Calculations'!DE247,'Calculations'!$BT$13:$BT$512,1))</x:f>
      </x:c>
      <x:c r="DH247" s="4" t="str">
        <x:f>IF('Calculations'!DE247="","",'Calculations'!DF247-'Calculations'!DG247)</x:f>
      </x:c>
      <x:c r="DI247" s="4" t="str">
        <x:f>IF(OR('Calculations'!DE247="",'Calculations'!DF247=0),"",'Calculations'!DG247/'Calculations'!DF247)</x:f>
      </x:c>
      <x:c r="DJ247" s="4" t="str">
        <x:f>IF('Calculations'!DE247="","",COUNTIFS('Calculations'!$BN$13:$BN$512,1,'Calculations'!$BU$13:$BU$512,'Calculations'!DE247,'Calculations'!$BT$13:$BT$512,1,'Calculations'!$EE$13:$EE$512,"High"))</x:f>
      </x:c>
      <x:c r="DK247" s="4" t="str">
        <x:f>IF('Calculations'!DE247="","",COUNTIFS('Calculations'!$BN$13:$BN$512,1,'Calculations'!$BU$13:$BU$512,'Calculations'!DE247,'Calculations'!$BT$13:$BT$512,1,'Calculations'!$EE$13:$EE$512,"Strong"))</x:f>
      </x:c>
      <x:c r="DL247" s="4" t="str">
        <x:f>IF('Calculations'!DE247="","",COUNTIFS('Calculations'!$BN$13:$BN$512,1,'Calculations'!$BU$13:$BU$512,'Calculations'!DE247,'Calculations'!$BT$13:$BT$512,1,'Calculations'!$EE$13:$EE$512,"Solid"))</x:f>
      </x:c>
      <x:c r="DM247" s="4" t="str">
        <x:f>IF('Calculations'!DE247="","",COUNTIFS('Calculations'!$BN$13:$BN$512,1,'Calculations'!$BU$13:$BU$512,'Calculations'!DE247,'Calculations'!$BT$13:$BT$512,1,'Calculations'!$EE$13:$EE$512,"Low"))</x:f>
      </x:c>
      <x:c r="DN247" s="4" t="str">
        <x:f>IF('Calculations'!DE247="","",COUNTIFS('Calculations'!$BN$13:$BN$512,1,'Calculations'!$BU$13:$BU$512,'Calculations'!DE247,'Calculations'!$EP$13:$EP$512,1))</x:f>
      </x:c>
      <x:c r="DO247" s="4" t="str">
        <x:f>IF(OR('Calculations'!DE247="",'Calculations'!DG247=0),"",('Calculations'!DJ247+'Calculations'!DK247)/'Calculations'!DG247)</x:f>
      </x:c>
      <x:c r="DP247" s="4" t="n">
        <x:f>IF(AND('Calculations'!DE247&lt;&gt;"",'Calculations'!DF247&gt;0),COUNTIF('Calculations'!$DF$12:DF247,"&gt;0"),0)</x:f>
        <x:v>0</x:v>
      </x:c>
      <x:c r="DQ247" s="4" t="str">
        <x:f>IF(236&gt;MAX('Calculations'!$HH$13:$HH$512),"",INDEX('Calculations'!$HF$13:$HF$512,MATCH(236,'Calculations'!$HH$13:$HH$512,0)))</x:f>
      </x:c>
      <x:c r="DR247" s="4" t="str">
        <x:f>IF(236&gt;MAX('Calculations'!$IK$13:$IK$512),"",INDEX('Calculations'!$HE$13:$HE$512,MATCH(236,'Calculations'!$IK$13:$IK$512,0)))</x:f>
      </x:c>
      <x:c r="DS247" s="4"/>
      <x:c r="DT247" s="4"/>
      <x:c r="DU247" s="4"/>
      <x:c r="DV247" s="4"/>
      <x:c r="DW247" s="4"/>
      <x:c r="DX247" s="4"/>
      <x:c r="DY247" s="4"/>
      <x:c r="DZ247" s="4"/>
      <x:c r="EA247" s="4"/>
      <x:c r="EB247" s="4"/>
      <x:c r="EC247" s="4"/>
      <x:c r="ED247" s="4"/>
      <x:c r="EE247" s="4" t="str">
        <x:f>IF('Calculations'!BT247=0,"Not Rated",IF(OR('Calculations'!BO247&gt;=4,'Calculations'!BP247&gt;=4),"Low",IF('Calculations'!BO247+'Calculations'!BP247&lt;=3,"High",IF('Calculations'!BO247+'Calculations'!BP247&lt;=4,"Strong","Solid"))))</x:f>
        <x:v>Not Rated</x:v>
      </x:c>
      <x:c r="EF247" s="4"/>
      <x:c r="EG247" s="4"/>
      <x:c r="EH247" s="4"/>
      <x:c r="EI247" s="4"/>
      <x:c r="EJ247" s="4"/>
      <x:c r="EK247" s="4"/>
      <x:c r="EL247" s="4"/>
      <x:c r="EM247" s="4" t="str">
        <x:f>IF(235&gt;'Calculations'!$JB$2000,"",INDEX('Calculations'!$JA$12:$JA$2000,MATCH(235,'Calculations'!$JB$12:$JB$2000,0)))</x:f>
      </x:c>
      <x:c r="EN247" s="4" t="n">
        <x:f>IF(OR('Calculations'!EM247="",'Calculations'!$AG$8&gt;0,AND('Calculations'!$EF$2&lt;&gt;"All",'Calculations'!HE247='Calculations'!$EF$2),AND('Calculations'!$EF$3&lt;&gt;"All",'Calculations'!HE247='Calculations'!$EF$3)),0,IF(OR('Dashboard'!$B$7="All",'Calculations'!HN247='Dashboard'!$B$7),IF('Calculations'!$EF$2="All",1,IF('Calculations'!HL247&gt;0,0,IF(COUNTIF('Calculations'!HO247:II247,"="&amp;SUBSTITUTE(SUBSTITUTE(SUBSTITUTE('Calculations'!$EF$2,"~","~~"),"*","~*"),"?","~?"))=0,0,IF('Calculations'!$EF$3="All",1,IF(COUNTIF('Calculations'!HO247:II247,"="&amp;SUBSTITUTE(SUBSTITUTE(SUBSTITUTE('Calculations'!$EF$3,"~","~~"),"*","~*"),"?","~?"))&gt;0,1,0))))),0))</x:f>
        <x:v>0</x:v>
      </x:c>
      <x:c r="EO247" s="4" t="str">
        <x:f>IF('Calculations'!IJ247="","",IF('Calculations'!IJ247="!UNRESOLVED","Unresolved hierarchy",IFERROR(INDEX('Calculations'!$HK$13:$HK$512,MATCH('Calculations'!IJ247,'Calculations'!$HE$13:$HE$512,0)),IFERROR(INDEX('Calculations'!$HJ$13:$HJ$512,MATCH('Calculations'!IJ247,'Calculations'!$HF$13:$HF$512,0)),'Calculations'!IJ247))))</x:f>
      </x:c>
      <x:c r="EP247" s="4" t="n">
        <x:f>IF(AND('Calculations'!EM247&lt;&gt;"",'Calculations'!HF247='Calculations'!IJ247),1,0)</x:f>
        <x:v>0</x:v>
      </x:c>
      <x:c r="EQ247" s="4"/>
      <x:c r="ER247" s="4"/>
      <x:c r="ES247" s="4"/>
      <x:c r="ET247" s="4"/>
      <x:c r="EU247" s="4"/>
      <x:c r="EV247" s="4"/>
      <x:c r="EW247" s="4"/>
      <x:c r="EX247" s="4"/>
      <x:c r="EY247" s="4"/>
      <x:c r="EZ247" s="4"/>
      <x:c r="FA247" s="4"/>
      <x:c r="FB247" s="4"/>
      <x:c r="FC247" s="4"/>
      <x:c r="FD247" s="4"/>
      <x:c r="FE247" s="4"/>
      <x:c r="FF247" s="4"/>
      <x:c r="FG247" s="4"/>
      <x:c r="FH247" s="4"/>
      <x:c r="FI247" s="4"/>
      <x:c r="FJ247" s="4"/>
      <x:c r="FK247" s="4"/>
      <x:c r="FL247" s="4"/>
      <x:c r="FM247" s="4"/>
      <x:c r="FN247" s="4"/>
      <x:c r="FO247" s="4"/>
      <x:c r="HE247" t="str">
        <x:f>IF('Calculations'!EM247="","",IF(IFERROR(IF(INDEX(INDIRECT("'WCM Calibration Final'!$A$1:$A$2000"),'Calculations'!$EM247)="","",TRIM(INDEX(INDIRECT("'WCM Calibration Final'!$A$1:$A$2000"),'Calculations'!$EM247)&amp;"")),"")&lt;&gt;"","G:"&amp;IFERROR(TEXT(1*INDEX(INDIRECT("'WCM Calibration Final'!$A$1:$A$2000"),'Calculations'!$EM247),"0"),UPPER(IFERROR(IF(INDEX(INDIRECT("'WCM Calibration Final'!$A$1:$A$2000"),'Calculations'!$EM247)="","",TRIM(INDEX(INDIRECT("'WCM Calibration Final'!$A$1:$A$2000"),'Calculations'!$EM247)&amp;"")),""))),IF(IFERROR(IF(INDEX(INDIRECT("'WCM Calibration Final'!$C$1:$C$2000"),'Calculations'!$EM247)="","",TRIM(INDEX(INDIRECT("'WCM Calibration Final'!$C$1:$C$2000"),'Calculations'!$EM247)&amp;"")),"")&lt;&gt;"","S:"&amp;UPPER(IFERROR(IF(INDEX(INDIRECT("'WCM Calibration Final'!$C$1:$C$2000"),'Calculations'!$EM247)="","",TRIM(INDEX(INDIRECT("'WCM Calibration Final'!$C$1:$C$2000"),'Calculations'!$EM247)&amp;"")),"")),"R:"&amp;'Calculations'!EM247)))</x:f>
      </x:c>
      <x:c r="HF247" t="str">
        <x:f>IF('Calculations'!EM247="","",IF(IFERROR(IF(INDEX(INDIRECT("'WCM Calibration Final'!$D$1:$D$2000"),'Calculations'!$EM247)="","",TRIM(INDEX(INDIRECT("'WCM Calibration Final'!$D$1:$D$2000"),'Calculations'!$EM247)&amp;"")),"")&lt;&gt;"","G:"&amp;IFERROR(TEXT(1*INDEX(INDIRECT("'WCM Calibration Final'!$D$1:$D$2000"),'Calculations'!$EM247),"0"),UPPER(IFERROR(IF(INDEX(INDIRECT("'WCM Calibration Final'!$D$1:$D$2000"),'Calculations'!$EM247)="","",TRIM(INDEX(INDIRECT("'WCM Calibration Final'!$D$1:$D$2000"),'Calculations'!$EM247)&amp;"")),""))),IF(IFERROR(IF(INDEX(INDIRECT("'WCM Calibration Final'!$E$1:$E$2000"),'Calculations'!$EM247)="","",TRIM(INDEX(INDIRECT("'WCM Calibration Final'!$E$1:$E$2000"),'Calculations'!$EM247)&amp;"")),"")="","",IF(COUNTIF('Calculations'!$HG$13:$HG$512,"="&amp;SUBSTITUTE(SUBSTITUTE(SUBSTITUTE(IFERROR(IF(INDEX(INDIRECT("'WCM Calibration Final'!$E$1:$E$2000"),'Calculations'!$EM247)="","",TRIM(INDEX(INDIRECT("'WCM Calibration Final'!$E$1:$E$2000"),'Calculations'!$EM247)&amp;"")),""),"~","~~"),"*","~*"),"?","~?"))=1,INDEX('Calculations'!$HE$13:$HE$512,MATCH(IFERROR(IF(INDEX(INDIRECT("'WCM Calibration Final'!$E$1:$E$2000"),'Calculations'!$EM247)="","",TRIM(INDEX(INDIRECT("'WCM Calibration Final'!$E$1:$E$2000"),'Calculations'!$EM247)&amp;"")),""),'Calculations'!$HG$13:$HG$512,0)),IF(COUNTIF('Calculations'!$HG$13:$HG$512,"="&amp;SUBSTITUTE(SUBSTITUTE(SUBSTITUTE(IFERROR(IF(INDEX(INDIRECT("'WCM Calibration Final'!$E$1:$E$2000"),'Calculations'!$EM247)="","",TRIM(INDEX(INDIRECT("'WCM Calibration Final'!$E$1:$E$2000"),'Calculations'!$EM247)&amp;"")),""),"~","~~"),"*","~*"),"?","~?"))&gt;1,"!AMBIG","X:"&amp;IFERROR(IF(INDEX(INDIRECT("'WCM Calibration Final'!$E$1:$E$2000"),'Calculations'!$EM247)="","",TRIM(INDEX(INDIRECT("'WCM Calibration Final'!$E$1:$E$2000"),'Calculations'!$EM247)&amp;"")),""))))))</x:f>
      </x:c>
      <x:c r="HG247" t="str">
        <x:f>IF('Calculations'!EM247="","",IFERROR(IF(INDEX(INDIRECT("'WCM Calibration Final'!$B$1:$B$2000"),'Calculations'!$EM247)="","",TRIM(INDEX(INDIRECT("'WCM Calibration Final'!$B$1:$B$2000"),'Calculations'!$EM247)&amp;"")),""))</x:f>
      </x:c>
      <x:c r="HH247" t="n">
        <x:f>IF(AND('Calculations'!JC247&gt;0,COUNTIF('Calculations'!$HF$12:HF247,"="&amp;SUBSTITUTE(SUBSTITUTE(SUBSTITUTE('Calculations'!HF247,"~","~~"),"*","~*"),"?","~?"))=1),MAX('Calculations'!$HH$12:HH246)+1,0)</x:f>
        <x:v>0</x:v>
      </x:c>
      <x:c r="HI247" t="n">
        <x:f>IF(AND('Calculations'!HN247&lt;&gt;"",COUNTIF('Calculations'!$HN$12:HN247,"="&amp;SUBSTITUTE(SUBSTITUTE(SUBSTITUTE('Calculations'!HN247,"~","~~"),"*","~*"),"?","~?"))=1),MAX('Calculations'!$HI$12:HI246)+1,0)</x:f>
        <x:v>0</x:v>
      </x:c>
      <x:c r="HJ247" t="str">
        <x:f>IF('Calculations'!HF247="","",IF(COUNTIF('Calculations'!$HE$13:$HE$512,"="&amp;SUBSTITUTE(SUBSTITUTE(SUBSTITUTE('Calculations'!HF247,"~","~~"),"*","~*"),"?","~?"))=1,INDEX('Calculations'!$HK$13:$HK$512,MATCH('Calculations'!HF247,'Calculations'!$HE$13:$HE$512,0)),IFERROR(IF(INDEX(INDIRECT("'WCM Calibration Final'!$E$1:$E$2000"),'Calculations'!$EM247)="","",TRIM(INDEX(INDIRECT("'WCM Calibration Final'!$E$1:$E$2000"),'Calculations'!$EM247)&amp;"")),"")&amp;" ["&amp;'Calculations'!HF247&amp;"]"))</x:f>
      </x:c>
      <x:c r="HK247" t="str">
        <x:f>IF('Calculations'!EM247="","",'Calculations'!HG247&amp;" ["&amp;'Calculations'!HE247&amp;"]")</x:f>
      </x:c>
      <x:c r="HL247" t="n">
        <x:f>IF('Calculations'!EM247="",0,IF(OR('Calculations'!II247&lt;&gt;"",COUNTIF('Calculations'!$HE$13:$HE$512,"="&amp;SUBSTITUTE(SUBSTITUTE(SUBSTITUTE('Calculations'!HE247,"~","~~"),"*","~*"),"?","~?"))&gt;1),1,0))</x:f>
        <x:v>0</x:v>
      </x:c>
      <x:c r="HM247" t="str">
        <x:f>IF('Calculations'!EM247="","",IF('Calculations'!HL247=1,"!UNRESOLVED",IF('Calculations'!IH247&lt;&gt;"",'Calculations'!IH247,IF('Calculations'!IG247&lt;&gt;"",'Calculations'!IG247,IF('Calculations'!IF247&lt;&gt;"",'Calculations'!IF247,IF('Calculations'!IE247&lt;&gt;"",'Calculations'!IE247,IF('Calculations'!ID247&lt;&gt;"",'Calculations'!ID247,IF('Calculations'!IC247&lt;&gt;"",'Calculations'!IC247,IF('Calculations'!IB247&lt;&gt;"",'Calculations'!IB247,IF('Calculations'!IA247&lt;&gt;"",'Calculations'!IA247,IF('Calculations'!HZ247&lt;&gt;"",'Calculations'!HZ247,IF('Calculations'!HY247&lt;&gt;"",'Calculations'!HY247,IF('Calculations'!HX247&lt;&gt;"",'Calculations'!HX247,IF('Calculations'!HW247&lt;&gt;"",'Calculations'!HW247,IF('Calculations'!HV247&lt;&gt;"",'Calculations'!HV247,IF('Calculations'!HU247&lt;&gt;"",'Calculations'!HU247,IF('Calculations'!HT247&lt;&gt;"",'Calculations'!HT247,IF('Calculations'!HS247&lt;&gt;"",'Calculations'!HS247,IF('Calculations'!HR247&lt;&gt;"",'Calculations'!HR247,IF('Calculations'!HQ247&lt;&gt;"",'Calculations'!HQ247,IF('Calculations'!HP247&lt;&gt;"",'Calculations'!HP247,IF('Calculations'!HO247&lt;&gt;"",'Calculations'!HO247,'Calculations'!HE247))))))))))))))))))))))</x:f>
      </x:c>
      <x:c r="HN247" t="str">
        <x:f>IF('Calculations'!EM247="","",IF(IFERROR(IF(INDEX(INDIRECT("'WCM Calibration Final'!$F$1:$F$2000"),'Calculations'!$EM247)="","",TRIM(INDEX(INDIRECT("'WCM Calibration Final'!$F$1:$F$2000"),'Calculations'!$EM247)&amp;"")),"")="","(Blank)",IFERROR(IF(INDEX(INDIRECT("'WCM Calibration Final'!$F$1:$F$2000"),'Calculations'!$EM247)="","",TRIM(INDEX(INDIRECT("'WCM Calibration Final'!$F$1:$F$2000"),'Calculations'!$EM247)&amp;"")),"")))</x:f>
      </x:c>
      <x:c r="HO247" t="str">
        <x:f>'Calculations'!HF247</x:f>
      </x:c>
      <x:c r="HP247" t="str">
        <x:f>IF('Calculations'!HO247="","",IF('Calculations'!HO247="!AMBIG","!AMBIG",IF(COUNTIF('Calculations'!$HE$13:$HE$512,"="&amp;SUBSTITUTE(SUBSTITUTE(SUBSTITUTE('Calculations'!HO247,"~","~~"),"*","~*"),"?","~?"))&gt;1,"!AMBIG",IFERROR(INDEX('Calculations'!$HF$13:$HF$512,MATCH('Calculations'!HO247,'Calculations'!$HE$13:$HE$512,0)),""))))</x:f>
      </x:c>
      <x:c r="HQ247" t="str">
        <x:f>IF('Calculations'!HP247="","",IF('Calculations'!HP247="!AMBIG","!AMBIG",IF(COUNTIF('Calculations'!$HE$13:$HE$512,"="&amp;SUBSTITUTE(SUBSTITUTE(SUBSTITUTE('Calculations'!HP247,"~","~~"),"*","~*"),"?","~?"))&gt;1,"!AMBIG",IFERROR(INDEX('Calculations'!$HF$13:$HF$512,MATCH('Calculations'!HP247,'Calculations'!$HE$13:$HE$512,0)),""))))</x:f>
      </x:c>
      <x:c r="HR247" t="str">
        <x:f>IF('Calculations'!HQ247="","",IF('Calculations'!HQ247="!AMBIG","!AMBIG",IF(COUNTIF('Calculations'!$HE$13:$HE$512,"="&amp;SUBSTITUTE(SUBSTITUTE(SUBSTITUTE('Calculations'!HQ247,"~","~~"),"*","~*"),"?","~?"))&gt;1,"!AMBIG",IFERROR(INDEX('Calculations'!$HF$13:$HF$512,MATCH('Calculations'!HQ247,'Calculations'!$HE$13:$HE$512,0)),""))))</x:f>
      </x:c>
      <x:c r="HS247" t="str">
        <x:f>IF('Calculations'!HR247="","",IF('Calculations'!HR247="!AMBIG","!AMBIG",IF(COUNTIF('Calculations'!$HE$13:$HE$512,"="&amp;SUBSTITUTE(SUBSTITUTE(SUBSTITUTE('Calculations'!HR247,"~","~~"),"*","~*"),"?","~?"))&gt;1,"!AMBIG",IFERROR(INDEX('Calculations'!$HF$13:$HF$512,MATCH('Calculations'!HR247,'Calculations'!$HE$13:$HE$512,0)),""))))</x:f>
      </x:c>
      <x:c r="HT247" t="str">
        <x:f>IF('Calculations'!HS247="","",IF('Calculations'!HS247="!AMBIG","!AMBIG",IF(COUNTIF('Calculations'!$HE$13:$HE$512,"="&amp;SUBSTITUTE(SUBSTITUTE(SUBSTITUTE('Calculations'!HS247,"~","~~"),"*","~*"),"?","~?"))&gt;1,"!AMBIG",IFERROR(INDEX('Calculations'!$HF$13:$HF$512,MATCH('Calculations'!HS247,'Calculations'!$HE$13:$HE$512,0)),""))))</x:f>
      </x:c>
      <x:c r="HU247" t="str">
        <x:f>IF('Calculations'!HT247="","",IF('Calculations'!HT247="!AMBIG","!AMBIG",IF(COUNTIF('Calculations'!$HE$13:$HE$512,"="&amp;SUBSTITUTE(SUBSTITUTE(SUBSTITUTE('Calculations'!HT247,"~","~~"),"*","~*"),"?","~?"))&gt;1,"!AMBIG",IFERROR(INDEX('Calculations'!$HF$13:$HF$512,MATCH('Calculations'!HT247,'Calculations'!$HE$13:$HE$512,0)),""))))</x:f>
      </x:c>
      <x:c r="HV247" t="str">
        <x:f>IF('Calculations'!HU247="","",IF('Calculations'!HU247="!AMBIG","!AMBIG",IF(COUNTIF('Calculations'!$HE$13:$HE$512,"="&amp;SUBSTITUTE(SUBSTITUTE(SUBSTITUTE('Calculations'!HU247,"~","~~"),"*","~*"),"?","~?"))&gt;1,"!AMBIG",IFERROR(INDEX('Calculations'!$HF$13:$HF$512,MATCH('Calculations'!HU247,'Calculations'!$HE$13:$HE$512,0)),""))))</x:f>
      </x:c>
      <x:c r="HW247" t="str">
        <x:f>IF('Calculations'!HV247="","",IF('Calculations'!HV247="!AMBIG","!AMBIG",IF(COUNTIF('Calculations'!$HE$13:$HE$512,"="&amp;SUBSTITUTE(SUBSTITUTE(SUBSTITUTE('Calculations'!HV247,"~","~~"),"*","~*"),"?","~?"))&gt;1,"!AMBIG",IFERROR(INDEX('Calculations'!$HF$13:$HF$512,MATCH('Calculations'!HV247,'Calculations'!$HE$13:$HE$512,0)),""))))</x:f>
      </x:c>
      <x:c r="HX247" t="str">
        <x:f>IF('Calculations'!HW247="","",IF('Calculations'!HW247="!AMBIG","!AMBIG",IF(COUNTIF('Calculations'!$HE$13:$HE$512,"="&amp;SUBSTITUTE(SUBSTITUTE(SUBSTITUTE('Calculations'!HW247,"~","~~"),"*","~*"),"?","~?"))&gt;1,"!AMBIG",IFERROR(INDEX('Calculations'!$HF$13:$HF$512,MATCH('Calculations'!HW247,'Calculations'!$HE$13:$HE$512,0)),""))))</x:f>
      </x:c>
      <x:c r="HY247" t="str">
        <x:f>IF('Calculations'!HX247="","",IF('Calculations'!HX247="!AMBIG","!AMBIG",IF(COUNTIF('Calculations'!$HE$13:$HE$512,"="&amp;SUBSTITUTE(SUBSTITUTE(SUBSTITUTE('Calculations'!HX247,"~","~~"),"*","~*"),"?","~?"))&gt;1,"!AMBIG",IFERROR(INDEX('Calculations'!$HF$13:$HF$512,MATCH('Calculations'!HX247,'Calculations'!$HE$13:$HE$512,0)),""))))</x:f>
      </x:c>
      <x:c r="HZ247" t="str">
        <x:f>IF('Calculations'!HY247="","",IF('Calculations'!HY247="!AMBIG","!AMBIG",IF(COUNTIF('Calculations'!$HE$13:$HE$512,"="&amp;SUBSTITUTE(SUBSTITUTE(SUBSTITUTE('Calculations'!HY247,"~","~~"),"*","~*"),"?","~?"))&gt;1,"!AMBIG",IFERROR(INDEX('Calculations'!$HF$13:$HF$512,MATCH('Calculations'!HY247,'Calculations'!$HE$13:$HE$512,0)),""))))</x:f>
      </x:c>
      <x:c r="IA247" t="str">
        <x:f>IF('Calculations'!HZ247="","",IF('Calculations'!HZ247="!AMBIG","!AMBIG",IF(COUNTIF('Calculations'!$HE$13:$HE$512,"="&amp;SUBSTITUTE(SUBSTITUTE(SUBSTITUTE('Calculations'!HZ247,"~","~~"),"*","~*"),"?","~?"))&gt;1,"!AMBIG",IFERROR(INDEX('Calculations'!$HF$13:$HF$512,MATCH('Calculations'!HZ247,'Calculations'!$HE$13:$HE$512,0)),""))))</x:f>
      </x:c>
      <x:c r="IB247" t="str">
        <x:f>IF('Calculations'!IA247="","",IF('Calculations'!IA247="!AMBIG","!AMBIG",IF(COUNTIF('Calculations'!$HE$13:$HE$512,"="&amp;SUBSTITUTE(SUBSTITUTE(SUBSTITUTE('Calculations'!IA247,"~","~~"),"*","~*"),"?","~?"))&gt;1,"!AMBIG",IFERROR(INDEX('Calculations'!$HF$13:$HF$512,MATCH('Calculations'!IA247,'Calculations'!$HE$13:$HE$512,0)),""))))</x:f>
      </x:c>
      <x:c r="IC247" t="str">
        <x:f>IF('Calculations'!IB247="","",IF('Calculations'!IB247="!AMBIG","!AMBIG",IF(COUNTIF('Calculations'!$HE$13:$HE$512,"="&amp;SUBSTITUTE(SUBSTITUTE(SUBSTITUTE('Calculations'!IB247,"~","~~"),"*","~*"),"?","~?"))&gt;1,"!AMBIG",IFERROR(INDEX('Calculations'!$HF$13:$HF$512,MATCH('Calculations'!IB247,'Calculations'!$HE$13:$HE$512,0)),""))))</x:f>
      </x:c>
      <x:c r="ID247" t="str">
        <x:f>IF('Calculations'!IC247="","",IF('Calculations'!IC247="!AMBIG","!AMBIG",IF(COUNTIF('Calculations'!$HE$13:$HE$512,"="&amp;SUBSTITUTE(SUBSTITUTE(SUBSTITUTE('Calculations'!IC247,"~","~~"),"*","~*"),"?","~?"))&gt;1,"!AMBIG",IFERROR(INDEX('Calculations'!$HF$13:$HF$512,MATCH('Calculations'!IC247,'Calculations'!$HE$13:$HE$512,0)),""))))</x:f>
      </x:c>
      <x:c r="IE247" t="str">
        <x:f>IF('Calculations'!ID247="","",IF('Calculations'!ID247="!AMBIG","!AMBIG",IF(COUNTIF('Calculations'!$HE$13:$HE$512,"="&amp;SUBSTITUTE(SUBSTITUTE(SUBSTITUTE('Calculations'!ID247,"~","~~"),"*","~*"),"?","~?"))&gt;1,"!AMBIG",IFERROR(INDEX('Calculations'!$HF$13:$HF$512,MATCH('Calculations'!ID247,'Calculations'!$HE$13:$HE$512,0)),""))))</x:f>
      </x:c>
      <x:c r="IF247" t="str">
        <x:f>IF('Calculations'!IE247="","",IF('Calculations'!IE247="!AMBIG","!AMBIG",IF(COUNTIF('Calculations'!$HE$13:$HE$512,"="&amp;SUBSTITUTE(SUBSTITUTE(SUBSTITUTE('Calculations'!IE247,"~","~~"),"*","~*"),"?","~?"))&gt;1,"!AMBIG",IFERROR(INDEX('Calculations'!$HF$13:$HF$512,MATCH('Calculations'!IE247,'Calculations'!$HE$13:$HE$512,0)),""))))</x:f>
      </x:c>
      <x:c r="IG247" t="str">
        <x:f>IF('Calculations'!IF247="","",IF('Calculations'!IF247="!AMBIG","!AMBIG",IF(COUNTIF('Calculations'!$HE$13:$HE$512,"="&amp;SUBSTITUTE(SUBSTITUTE(SUBSTITUTE('Calculations'!IF247,"~","~~"),"*","~*"),"?","~?"))&gt;1,"!AMBIG",IFERROR(INDEX('Calculations'!$HF$13:$HF$512,MATCH('Calculations'!IF247,'Calculations'!$HE$13:$HE$512,0)),""))))</x:f>
      </x:c>
      <x:c r="IH247" t="str">
        <x:f>IF('Calculations'!IG247="","",IF('Calculations'!IG247="!AMBIG","!AMBIG",IF(COUNTIF('Calculations'!$HE$13:$HE$512,"="&amp;SUBSTITUTE(SUBSTITUTE(SUBSTITUTE('Calculations'!IG247,"~","~~"),"*","~*"),"?","~?"))&gt;1,"!AMBIG",IFERROR(INDEX('Calculations'!$HF$13:$HF$512,MATCH('Calculations'!IG247,'Calculations'!$HE$13:$HE$512,0)),""))))</x:f>
      </x:c>
      <x:c r="II247" t="str">
        <x:f>IF('Calculations'!IH247="","",IF('Calculations'!IH247="!AMBIG","!AMBIG",IF(COUNTIF('Calculations'!$HE$13:$HE$512,"="&amp;SUBSTITUTE(SUBSTITUTE(SUBSTITUTE('Calculations'!IH247,"~","~~"),"*","~*"),"?","~?"))&gt;1,"!AMBIG",IFERROR(INDEX('Calculations'!$HF$13:$HF$512,MATCH('Calculations'!IH247,'Calculations'!$HE$13:$HE$512,0)),""))))</x:f>
      </x:c>
      <x:c r="IJ247" t="str">
        <x:f>IF('Calculations'!EM247="","",IF('Calculations'!$EF$2="All",'Calculations'!HM247,IF('Calculations'!HL247=1,"",IFERROR(IF(MATCH('Calculations'!$EF$2,'Calculations'!HO247:II247,0)=1,'Calculations'!HE247,INDEX('Calculations'!HO247:II247,1,MATCH('Calculations'!$EF$2,'Calculations'!HO247:II247,0)-1)),""))))</x:f>
      </x:c>
      <x:c r="IK247" t="n">
        <x:f>IF(AND('Calculations'!EM247&lt;&gt;"",'Calculations'!$EF$2&lt;&gt;"All",'Calculations'!HF247='Calculations'!$EF$2,'Calculations'!HL247=0,'Calculations'!JD247&gt;0),MAX('Calculations'!$IK$12:IK246)+1,0)</x:f>
        <x:v>0</x:v>
      </x:c>
      <x:c r="JA247" t="n">
        <x:f>IF(OR(IFERROR(INDIRECT("'WCM Calibration Final'!$A$247")&lt;&gt;"",FALSE),IFERROR(INDIRECT("'WCM Calibration Final'!$B$247")&lt;&gt;"",FALSE),IFERROR(INDIRECT("'WCM Calibration Final'!$C$247")&lt;&gt;"",FALSE)),247,0)</x:f>
        <x:v>0</x:v>
      </x:c>
      <x:c r="JB247" t="n">
        <x:f>'Calculations'!JB246+IF('Calculations'!JA247&gt;0,1,0)</x:f>
        <x:v>0</x:v>
      </x:c>
      <x:c r="JC247" t="n">
        <x:f>IF(OR('Calculations'!HF247="",'Calculations'!HF247="!AMBIG"),0,IF('Dashboard'!$B$7="All",1,COUNTIFS('Calculations'!$HO$13:$HO$512,"="&amp;SUBSTITUTE(SUBSTITUTE(SUBSTITUTE('Calculations'!HF247,"~","~~"),"*","~*"),"?","~?"),'Calculations'!$HN$13:$HN$512,"="&amp;SUBSTITUTE(SUBSTITUTE(SUBSTITUTE('Dashboard'!$B$7,"~","~~"),"*","~*"),"?","~?"))+COUNTIFS('Calculations'!$HP$13:$HP$512,"="&amp;SUBSTITUTE(SUBSTITUTE(SUBSTITUTE('Calculations'!HF247,"~","~~"),"*","~*"),"?","~?"),'Calculations'!$HN$13:$HN$512,"="&amp;SUBSTITUTE(SUBSTITUTE(SUBSTITUTE('Dashboard'!$B$7,"~","~~"),"*","~*"),"?","~?"))+COUNTIFS('Calculations'!$HQ$13:$HQ$512,"="&amp;SUBSTITUTE(SUBSTITUTE(SUBSTITUTE('Calculations'!HF247,"~","~~"),"*","~*"),"?","~?"),'Calculations'!$HN$13:$HN$512,"="&amp;SUBSTITUTE(SUBSTITUTE(SUBSTITUTE('Dashboard'!$B$7,"~","~~"),"*","~*"),"?","~?"))+COUNTIFS('Calculations'!$HR$13:$HR$512,"="&amp;SUBSTITUTE(SUBSTITUTE(SUBSTITUTE('Calculations'!HF247,"~","~~"),"*","~*"),"?","~?"),'Calculations'!$HN$13:$HN$512,"="&amp;SUBSTITUTE(SUBSTITUTE(SUBSTITUTE('Dashboard'!$B$7,"~","~~"),"*","~*"),"?","~?"))+COUNTIFS('Calculations'!$HS$13:$HS$512,"="&amp;SUBSTITUTE(SUBSTITUTE(SUBSTITUTE('Calculations'!HF247,"~","~~"),"*","~*"),"?","~?"),'Calculations'!$HN$13:$HN$512,"="&amp;SUBSTITUTE(SUBSTITUTE(SUBSTITUTE('Dashboard'!$B$7,"~","~~"),"*","~*"),"?","~?"))+COUNTIFS('Calculations'!$HT$13:$HT$512,"="&amp;SUBSTITUTE(SUBSTITUTE(SUBSTITUTE('Calculations'!HF247,"~","~~"),"*","~*"),"?","~?"),'Calculations'!$HN$13:$HN$512,"="&amp;SUBSTITUTE(SUBSTITUTE(SUBSTITUTE('Dashboard'!$B$7,"~","~~"),"*","~*"),"?","~?"))+COUNTIFS('Calculations'!$HU$13:$HU$512,"="&amp;SUBSTITUTE(SUBSTITUTE(SUBSTITUTE('Calculations'!HF247,"~","~~"),"*","~*"),"?","~?"),'Calculations'!$HN$13:$HN$512,"="&amp;SUBSTITUTE(SUBSTITUTE(SUBSTITUTE('Dashboard'!$B$7,"~","~~"),"*","~*"),"?","~?"))+COUNTIFS('Calculations'!$HV$13:$HV$512,"="&amp;SUBSTITUTE(SUBSTITUTE(SUBSTITUTE('Calculations'!HF247,"~","~~"),"*","~*"),"?","~?"),'Calculations'!$HN$13:$HN$512,"="&amp;SUBSTITUTE(SUBSTITUTE(SUBSTITUTE('Dashboard'!$B$7,"~","~~"),"*","~*"),"?","~?"))+COUNTIFS('Calculations'!$HW$13:$HW$512,"="&amp;SUBSTITUTE(SUBSTITUTE(SUBSTITUTE('Calculations'!HF247,"~","~~"),"*","~*"),"?","~?"),'Calculations'!$HN$13:$HN$512,"="&amp;SUBSTITUTE(SUBSTITUTE(SUBSTITUTE('Dashboard'!$B$7,"~","~~"),"*","~*"),"?","~?"))+COUNTIFS('Calculations'!$HX$13:$HX$512,"="&amp;SUBSTITUTE(SUBSTITUTE(SUBSTITUTE('Calculations'!HF247,"~","~~"),"*","~*"),"?","~?"),'Calculations'!$HN$13:$HN$512,"="&amp;SUBSTITUTE(SUBSTITUTE(SUBSTITUTE('Dashboard'!$B$7,"~","~~"),"*","~*"),"?","~?"))+COUNTIFS('Calculations'!$HY$13:$HY$512,"="&amp;SUBSTITUTE(SUBSTITUTE(SUBSTITUTE('Calculations'!HF247,"~","~~"),"*","~*"),"?","~?"),'Calculations'!$HN$13:$HN$512,"="&amp;SUBSTITUTE(SUBSTITUTE(SUBSTITUTE('Dashboard'!$B$7,"~","~~"),"*","~*"),"?","~?"))+COUNTIFS('Calculations'!$HZ$13:$HZ$512,"="&amp;SUBSTITUTE(SUBSTITUTE(SUBSTITUTE('Calculations'!HF247,"~","~~"),"*","~*"),"?","~?"),'Calculations'!$HN$13:$HN$512,"="&amp;SUBSTITUTE(SUBSTITUTE(SUBSTITUTE('Dashboard'!$B$7,"~","~~"),"*","~*"),"?","~?"))+COUNTIFS('Calculations'!$IA$13:$IA$512,"="&amp;SUBSTITUTE(SUBSTITUTE(SUBSTITUTE('Calculations'!HF247,"~","~~"),"*","~*"),"?","~?"),'Calculations'!$HN$13:$HN$512,"="&amp;SUBSTITUTE(SUBSTITUTE(SUBSTITUTE('Dashboard'!$B$7,"~","~~"),"*","~*"),"?","~?"))+COUNTIFS('Calculations'!$IB$13:$IB$512,"="&amp;SUBSTITUTE(SUBSTITUTE(SUBSTITUTE('Calculations'!HF247,"~","~~"),"*","~*"),"?","~?"),'Calculations'!$HN$13:$HN$512,"="&amp;SUBSTITUTE(SUBSTITUTE(SUBSTITUTE('Dashboard'!$B$7,"~","~~"),"*","~*"),"?","~?"))+COUNTIFS('Calculations'!$IC$13:$IC$512,"="&amp;SUBSTITUTE(SUBSTITUTE(SUBSTITUTE('Calculations'!HF247,"~","~~"),"*","~*"),"?","~?"),'Calculations'!$HN$13:$HN$512,"="&amp;SUBSTITUTE(SUBSTITUTE(SUBSTITUTE('Dashboard'!$B$7,"~","~~"),"*","~*"),"?","~?"))+COUNTIFS('Calculations'!$ID$13:$ID$512,"="&amp;SUBSTITUTE(SUBSTITUTE(SUBSTITUTE('Calculations'!HF247,"~","~~"),"*","~*"),"?","~?"),'Calculations'!$HN$13:$HN$512,"="&amp;SUBSTITUTE(SUBSTITUTE(SUBSTITUTE('Dashboard'!$B$7,"~","~~"),"*","~*"),"?","~?"))+COUNTIFS('Calculations'!$IE$13:$IE$512,"="&amp;SUBSTITUTE(SUBSTITUTE(SUBSTITUTE('Calculations'!HF247,"~","~~"),"*","~*"),"?","~?"),'Calculations'!$HN$13:$HN$512,"="&amp;SUBSTITUTE(SUBSTITUTE(SUBSTITUTE('Dashboard'!$B$7,"~","~~"),"*","~*"),"?","~?"))+COUNTIFS('Calculations'!$IF$13:$IF$512,"="&amp;SUBSTITUTE(SUBSTITUTE(SUBSTITUTE('Calculations'!HF247,"~","~~"),"*","~*"),"?","~?"),'Calculations'!$HN$13:$HN$512,"="&amp;SUBSTITUTE(SUBSTITUTE(SUBSTITUTE('Dashboard'!$B$7,"~","~~"),"*","~*"),"?","~?"))+COUNTIFS('Calculations'!$IG$13:$IG$512,"="&amp;SUBSTITUTE(SUBSTITUTE(SUBSTITUTE('Calculations'!HF247,"~","~~"),"*","~*"),"?","~?"),'Calculations'!$HN$13:$HN$512,"="&amp;SUBSTITUTE(SUBSTITUTE(SUBSTITUTE('Dashboard'!$B$7,"~","~~"),"*","~*"),"?","~?"))+COUNTIFS('Calculations'!$IH$13:$IH$512,"="&amp;SUBSTITUTE(SUBSTITUTE(SUBSTITUTE('Calculations'!HF247,"~","~~"),"*","~*"),"?","~?"),'Calculations'!$HN$13:$HN$512,"="&amp;SUBSTITUTE(SUBSTITUTE(SUBSTITUTE('Dashboard'!$B$7,"~","~~"),"*","~*"),"?","~?"))))</x:f>
        <x:v>0</x:v>
      </x:c>
      <x:c r="JD247" t="n">
        <x:f>IF('Calculations'!EM247="",0,IF('Dashboard'!$B$7="All",1,IF('Calculations'!HN247='Dashboard'!$B$7,1,0)+IFERROR(INDEX('Calculations'!$JC$13:$JC$512,MATCH('Calculations'!HE247,'Calculations'!$HF$13:$HF$512,0)),0)))</x:f>
        <x:v>0</x:v>
      </x:c>
      <x:c r="JE247" t="n">
        <x:f>IF(AND('Calculations'!EM247&lt;&gt;"",'Calculations'!$JJ$2&lt;&gt;"All",'Calculations'!$JJ$2&lt;&gt;"",'Calculations'!HF247='Calculations'!$JJ$2,'Calculations'!HL247=0,'Calculations'!JD247&gt;0),MAX('Calculations'!$JE$12:JE246)+1,0)</x:f>
        <x:v>0</x:v>
      </x:c>
      <x:c r="JF247" t="str">
        <x:f>IF('Calculations'!EM247="","",IFERROR(IF(INDEX(INDIRECT("'WCM Calibration Final'!$G$1:$G$2000"),'Calculations'!$EM247)="","",TRIM(INDEX(INDIRECT("'WCM Calibration Final'!$G$1:$G$2000"),'Calculations'!$EM247)&amp;"")),""))</x:f>
      </x:c>
      <x:c r="JQ247" t="n">
        <x:f>IF(OR('Calculations'!BM247=0,NOT('Calculations'!$AG$2),'Calculations'!$AG$8&gt;0),0,IF(OR('Dashboard'!$B$7="All",'Calculations'!HN247='Dashboard'!$B$7),IF('Calculations'!$JJ$2="All",1,IF(AND('Calculations'!HF247='Calculations'!$JJ$2,'Calculations'!HL247=0),1,0)),0))</x:f>
        <x:v>0</x:v>
      </x:c>
    </x:row>
    <x:row r="248">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t="n">
        <x:f>IF('Calculations'!$EM248="",0,IF(OR(IFERROR(INDEX(INDIRECT("'WCM Calibration Final'!$A$1:$A$2000"),'Calculations'!$EM248)&lt;&gt;"",FALSE),IFERROR(INDEX(INDIRECT("'WCM Calibration Final'!$B$1:$B$2000"),'Calculations'!$EM248)&lt;&gt;"",FALSE),IFERROR(INDEX(INDIRECT("'WCM Calibration Final'!$C$1:$C$2000"),'Calculations'!$EM248)&lt;&gt;"",FALSE)),1,0))</x:f>
        <x:v>0</x:v>
      </x:c>
      <x:c r="BN248" s="4" t="n">
        <x:f>IF(AND('Calculations'!BM248=1,'Calculations'!$AG$2,'Calculations'!$EN248=1),1,0)</x:f>
        <x:v>0</x:v>
      </x:c>
      <x:c r="BO248" s="4" t="str">
        <x:f>IF('Calculations'!BM248=0,"",IFERROR(IF(AND(VALUE(INDEX(INDIRECT("'WCM Calibration Final'!$K$1:$K$2000"),'Calculations'!$EM248))&gt;=1,VALUE(INDEX(INDIRECT("'WCM Calibration Final'!$K$1:$K$2000"),'Calculations'!$EM248))&lt;=4,MOD(VALUE(INDEX(INDIRECT("'WCM Calibration Final'!$K$1:$K$2000"),'Calculations'!$EM248)),1)=0),VALUE(INDEX(INDIRECT("'WCM Calibration Final'!$K$1:$K$2000"),'Calculations'!$EM248)),""),""))</x:f>
      </x:c>
      <x:c r="BP248" s="4" t="str">
        <x:f>IF('Calculations'!BM248=0,"",IFERROR(IF(AND(VALUE(INDEX(INDIRECT("'WCM Calibration Final'!$L$1:$L$2000"),'Calculations'!$EM248))&gt;=1,VALUE(INDEX(INDIRECT("'WCM Calibration Final'!$L$1:$L$2000"),'Calculations'!$EM248))&lt;=4,MOD(VALUE(INDEX(INDIRECT("'WCM Calibration Final'!$L$1:$L$2000"),'Calculations'!$EM248)),1)=0),VALUE(INDEX(INDIRECT("'WCM Calibration Final'!$L$1:$L$2000"),'Calculations'!$EM248)),""),""))</x:f>
      </x:c>
      <x:c r="BQ248" s="4"/>
      <x:c r="BR248" s="4"/>
      <x:c r="BS248" s="4"/>
      <x:c r="BT248" s="4" t="n">
        <x:f>IF(AND('Calculations'!BM248=1,ISNUMBER('Calculations'!BO248),ISNUMBER('Calculations'!BP248)),1,0)</x:f>
        <x:v>0</x:v>
      </x:c>
      <x:c r="BU248" s="4" t="str">
        <x:f>IF('Calculations'!BM248=0,"",'Calculations'!$EO248)</x:f>
      </x:c>
      <x:c r="BV248" s="4" t="str">
        <x:f>IF('Calculations'!BM248=0,"",IFERROR(IF(OR(INDEX(INDIRECT("'WCM Calibration Final'!$H$1:$H$2000"),'Calculations'!$EM248)="MANAGING DIRECTOR",INDEX(INDIRECT("'WCM Calibration Final'!$H$1:$H$2000"),'Calculations'!$EM248)="DIRECTOR",INDEX(INDIRECT("'WCM Calibration Final'!$H$1:$H$2000"),'Calculations'!$EM248)="SENIOR VICE PRESIDENT",INDEX(INDIRECT("'WCM Calibration Final'!$H$1:$H$2000"),'Calculations'!$EM248)="VICE PRESIDENT",INDEX(INDIRECT("'WCM Calibration Final'!$H$1:$H$2000"),'Calculations'!$EM248)="ASSISTANT VICE PRESIDENT",INDEX(INDIRECT("'WCM Calibration Final'!$H$1:$H$2000"),'Calculations'!$EM248)="OFFICER"),UPPER(INDEX(INDIRECT("'WCM Calibration Final'!$H$1:$H$2000"),'Calculations'!$EM248)),"Other"),"Other"))</x:f>
      </x:c>
      <x:c r="BW248" s="4"/>
      <x:c r="BX248" s="4"/>
      <x:c r="BY248" s="4" t="n">
        <x:f>IF(AND('Calculations'!BM248=1,'Calculations'!BU248&lt;&gt;"",COUNTIF('Calculations'!$BU$12:BU248,'Calculations'!BU248)=1),MAX('Calculations'!$BY$11:BY247)+1,0)</x:f>
        <x:v>0</x:v>
      </x:c>
      <x:c r="BZ248" s="4" t="str">
        <x:f>IF('Dashboard'!$E$67="What",'Calculations'!BO248,'Calculations'!BP248)</x:f>
      </x:c>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t="str">
        <x:f>IF(237&gt;MAX('Calculations'!$HI$13:$HI$512),"",INDEX('Calculations'!$HN$13:$HN$512,MATCH(237,'Calculations'!$HI$13:$HI$512,0)))</x:f>
      </x:c>
      <x:c r="DB248" s="4" t="str">
        <x:f>IF(237&gt;MAX('Calculations'!$HH$13:$HH$512),"",INDEX('Calculations'!$HJ$13:$HJ$512,MATCH(237,'Calculations'!$HH$13:$HH$512,0)))</x:f>
      </x:c>
      <x:c r="DC248" s="4" t="str">
        <x:f>IF(ROW()-11&gt;MAX('Calculations'!$BY$13:$BY$512),"",INDEX('Calculations'!$BU$13:$BU$512,MATCH(ROW()-11,'Calculations'!$BY$13:$BY$512,0)))</x:f>
      </x:c>
      <x:c r="DD248" s="4" t="str">
        <x:f>IF(237&gt;MAX('Calculations'!$IK$13:$IK$512),"",INDEX('Calculations'!$HK$13:$HK$512,MATCH(237,'Calculations'!$IK$13:$IK$512,0)))</x:f>
      </x:c>
      <x:c r="DE248" s="4" t="str">
        <x:f>'Calculations'!DC248</x:f>
      </x:c>
      <x:c r="DF248" s="4" t="str">
        <x:f>IF('Calculations'!DE248="","",COUNTIFS('Calculations'!$BN$13:$BN$512,1,'Calculations'!$BU$13:$BU$512,'Calculations'!DE248))</x:f>
      </x:c>
      <x:c r="DG248" s="4" t="str">
        <x:f>IF('Calculations'!DE248="","",COUNTIFS('Calculations'!$BN$13:$BN$512,1,'Calculations'!$BU$13:$BU$512,'Calculations'!DE248,'Calculations'!$BT$13:$BT$512,1))</x:f>
      </x:c>
      <x:c r="DH248" s="4" t="str">
        <x:f>IF('Calculations'!DE248="","",'Calculations'!DF248-'Calculations'!DG248)</x:f>
      </x:c>
      <x:c r="DI248" s="4" t="str">
        <x:f>IF(OR('Calculations'!DE248="",'Calculations'!DF248=0),"",'Calculations'!DG248/'Calculations'!DF248)</x:f>
      </x:c>
      <x:c r="DJ248" s="4" t="str">
        <x:f>IF('Calculations'!DE248="","",COUNTIFS('Calculations'!$BN$13:$BN$512,1,'Calculations'!$BU$13:$BU$512,'Calculations'!DE248,'Calculations'!$BT$13:$BT$512,1,'Calculations'!$EE$13:$EE$512,"High"))</x:f>
      </x:c>
      <x:c r="DK248" s="4" t="str">
        <x:f>IF('Calculations'!DE248="","",COUNTIFS('Calculations'!$BN$13:$BN$512,1,'Calculations'!$BU$13:$BU$512,'Calculations'!DE248,'Calculations'!$BT$13:$BT$512,1,'Calculations'!$EE$13:$EE$512,"Strong"))</x:f>
      </x:c>
      <x:c r="DL248" s="4" t="str">
        <x:f>IF('Calculations'!DE248="","",COUNTIFS('Calculations'!$BN$13:$BN$512,1,'Calculations'!$BU$13:$BU$512,'Calculations'!DE248,'Calculations'!$BT$13:$BT$512,1,'Calculations'!$EE$13:$EE$512,"Solid"))</x:f>
      </x:c>
      <x:c r="DM248" s="4" t="str">
        <x:f>IF('Calculations'!DE248="","",COUNTIFS('Calculations'!$BN$13:$BN$512,1,'Calculations'!$BU$13:$BU$512,'Calculations'!DE248,'Calculations'!$BT$13:$BT$512,1,'Calculations'!$EE$13:$EE$512,"Low"))</x:f>
      </x:c>
      <x:c r="DN248" s="4" t="str">
        <x:f>IF('Calculations'!DE248="","",COUNTIFS('Calculations'!$BN$13:$BN$512,1,'Calculations'!$BU$13:$BU$512,'Calculations'!DE248,'Calculations'!$EP$13:$EP$512,1))</x:f>
      </x:c>
      <x:c r="DO248" s="4" t="str">
        <x:f>IF(OR('Calculations'!DE248="",'Calculations'!DG248=0),"",('Calculations'!DJ248+'Calculations'!DK248)/'Calculations'!DG248)</x:f>
      </x:c>
      <x:c r="DP248" s="4" t="n">
        <x:f>IF(AND('Calculations'!DE248&lt;&gt;"",'Calculations'!DF248&gt;0),COUNTIF('Calculations'!$DF$12:DF248,"&gt;0"),0)</x:f>
        <x:v>0</x:v>
      </x:c>
      <x:c r="DQ248" s="4" t="str">
        <x:f>IF(237&gt;MAX('Calculations'!$HH$13:$HH$512),"",INDEX('Calculations'!$HF$13:$HF$512,MATCH(237,'Calculations'!$HH$13:$HH$512,0)))</x:f>
      </x:c>
      <x:c r="DR248" s="4" t="str">
        <x:f>IF(237&gt;MAX('Calculations'!$IK$13:$IK$512),"",INDEX('Calculations'!$HE$13:$HE$512,MATCH(237,'Calculations'!$IK$13:$IK$512,0)))</x:f>
      </x:c>
      <x:c r="DS248" s="4"/>
      <x:c r="DT248" s="4"/>
      <x:c r="DU248" s="4"/>
      <x:c r="DV248" s="4"/>
      <x:c r="DW248" s="4"/>
      <x:c r="DX248" s="4"/>
      <x:c r="DY248" s="4"/>
      <x:c r="DZ248" s="4"/>
      <x:c r="EA248" s="4"/>
      <x:c r="EB248" s="4"/>
      <x:c r="EC248" s="4"/>
      <x:c r="ED248" s="4"/>
      <x:c r="EE248" s="4" t="str">
        <x:f>IF('Calculations'!BT248=0,"Not Rated",IF(OR('Calculations'!BO248&gt;=4,'Calculations'!BP248&gt;=4),"Low",IF('Calculations'!BO248+'Calculations'!BP248&lt;=3,"High",IF('Calculations'!BO248+'Calculations'!BP248&lt;=4,"Strong","Solid"))))</x:f>
        <x:v>Not Rated</x:v>
      </x:c>
      <x:c r="EF248" s="4"/>
      <x:c r="EG248" s="4"/>
      <x:c r="EH248" s="4"/>
      <x:c r="EI248" s="4"/>
      <x:c r="EJ248" s="4"/>
      <x:c r="EK248" s="4"/>
      <x:c r="EL248" s="4"/>
      <x:c r="EM248" s="4" t="str">
        <x:f>IF(236&gt;'Calculations'!$JB$2000,"",INDEX('Calculations'!$JA$12:$JA$2000,MATCH(236,'Calculations'!$JB$12:$JB$2000,0)))</x:f>
      </x:c>
      <x:c r="EN248" s="4" t="n">
        <x:f>IF(OR('Calculations'!EM248="",'Calculations'!$AG$8&gt;0,AND('Calculations'!$EF$2&lt;&gt;"All",'Calculations'!HE248='Calculations'!$EF$2),AND('Calculations'!$EF$3&lt;&gt;"All",'Calculations'!HE248='Calculations'!$EF$3)),0,IF(OR('Dashboard'!$B$7="All",'Calculations'!HN248='Dashboard'!$B$7),IF('Calculations'!$EF$2="All",1,IF('Calculations'!HL248&gt;0,0,IF(COUNTIF('Calculations'!HO248:II248,"="&amp;SUBSTITUTE(SUBSTITUTE(SUBSTITUTE('Calculations'!$EF$2,"~","~~"),"*","~*"),"?","~?"))=0,0,IF('Calculations'!$EF$3="All",1,IF(COUNTIF('Calculations'!HO248:II248,"="&amp;SUBSTITUTE(SUBSTITUTE(SUBSTITUTE('Calculations'!$EF$3,"~","~~"),"*","~*"),"?","~?"))&gt;0,1,0))))),0))</x:f>
        <x:v>0</x:v>
      </x:c>
      <x:c r="EO248" s="4" t="str">
        <x:f>IF('Calculations'!IJ248="","",IF('Calculations'!IJ248="!UNRESOLVED","Unresolved hierarchy",IFERROR(INDEX('Calculations'!$HK$13:$HK$512,MATCH('Calculations'!IJ248,'Calculations'!$HE$13:$HE$512,0)),IFERROR(INDEX('Calculations'!$HJ$13:$HJ$512,MATCH('Calculations'!IJ248,'Calculations'!$HF$13:$HF$512,0)),'Calculations'!IJ248))))</x:f>
      </x:c>
      <x:c r="EP248" s="4" t="n">
        <x:f>IF(AND('Calculations'!EM248&lt;&gt;"",'Calculations'!HF248='Calculations'!IJ248),1,0)</x:f>
        <x:v>0</x:v>
      </x:c>
      <x:c r="EQ248" s="4"/>
      <x:c r="ER248" s="4"/>
      <x:c r="ES248" s="4"/>
      <x:c r="ET248" s="4"/>
      <x:c r="EU248" s="4"/>
      <x:c r="EV248" s="4"/>
      <x:c r="EW248" s="4"/>
      <x:c r="EX248" s="4"/>
      <x:c r="EY248" s="4"/>
      <x:c r="EZ248" s="4"/>
      <x:c r="FA248" s="4"/>
      <x:c r="FB248" s="4"/>
      <x:c r="FC248" s="4"/>
      <x:c r="FD248" s="4"/>
      <x:c r="FE248" s="4"/>
      <x:c r="FF248" s="4"/>
      <x:c r="FG248" s="4"/>
      <x:c r="FH248" s="4"/>
      <x:c r="FI248" s="4"/>
      <x:c r="FJ248" s="4"/>
      <x:c r="FK248" s="4"/>
      <x:c r="FL248" s="4"/>
      <x:c r="FM248" s="4"/>
      <x:c r="FN248" s="4"/>
      <x:c r="FO248" s="4"/>
      <x:c r="HE248" t="str">
        <x:f>IF('Calculations'!EM248="","",IF(IFERROR(IF(INDEX(INDIRECT("'WCM Calibration Final'!$A$1:$A$2000"),'Calculations'!$EM248)="","",TRIM(INDEX(INDIRECT("'WCM Calibration Final'!$A$1:$A$2000"),'Calculations'!$EM248)&amp;"")),"")&lt;&gt;"","G:"&amp;IFERROR(TEXT(1*INDEX(INDIRECT("'WCM Calibration Final'!$A$1:$A$2000"),'Calculations'!$EM248),"0"),UPPER(IFERROR(IF(INDEX(INDIRECT("'WCM Calibration Final'!$A$1:$A$2000"),'Calculations'!$EM248)="","",TRIM(INDEX(INDIRECT("'WCM Calibration Final'!$A$1:$A$2000"),'Calculations'!$EM248)&amp;"")),""))),IF(IFERROR(IF(INDEX(INDIRECT("'WCM Calibration Final'!$C$1:$C$2000"),'Calculations'!$EM248)="","",TRIM(INDEX(INDIRECT("'WCM Calibration Final'!$C$1:$C$2000"),'Calculations'!$EM248)&amp;"")),"")&lt;&gt;"","S:"&amp;UPPER(IFERROR(IF(INDEX(INDIRECT("'WCM Calibration Final'!$C$1:$C$2000"),'Calculations'!$EM248)="","",TRIM(INDEX(INDIRECT("'WCM Calibration Final'!$C$1:$C$2000"),'Calculations'!$EM248)&amp;"")),"")),"R:"&amp;'Calculations'!EM248)))</x:f>
      </x:c>
      <x:c r="HF248" t="str">
        <x:f>IF('Calculations'!EM248="","",IF(IFERROR(IF(INDEX(INDIRECT("'WCM Calibration Final'!$D$1:$D$2000"),'Calculations'!$EM248)="","",TRIM(INDEX(INDIRECT("'WCM Calibration Final'!$D$1:$D$2000"),'Calculations'!$EM248)&amp;"")),"")&lt;&gt;"","G:"&amp;IFERROR(TEXT(1*INDEX(INDIRECT("'WCM Calibration Final'!$D$1:$D$2000"),'Calculations'!$EM248),"0"),UPPER(IFERROR(IF(INDEX(INDIRECT("'WCM Calibration Final'!$D$1:$D$2000"),'Calculations'!$EM248)="","",TRIM(INDEX(INDIRECT("'WCM Calibration Final'!$D$1:$D$2000"),'Calculations'!$EM248)&amp;"")),""))),IF(IFERROR(IF(INDEX(INDIRECT("'WCM Calibration Final'!$E$1:$E$2000"),'Calculations'!$EM248)="","",TRIM(INDEX(INDIRECT("'WCM Calibration Final'!$E$1:$E$2000"),'Calculations'!$EM248)&amp;"")),"")="","",IF(COUNTIF('Calculations'!$HG$13:$HG$512,"="&amp;SUBSTITUTE(SUBSTITUTE(SUBSTITUTE(IFERROR(IF(INDEX(INDIRECT("'WCM Calibration Final'!$E$1:$E$2000"),'Calculations'!$EM248)="","",TRIM(INDEX(INDIRECT("'WCM Calibration Final'!$E$1:$E$2000"),'Calculations'!$EM248)&amp;"")),""),"~","~~"),"*","~*"),"?","~?"))=1,INDEX('Calculations'!$HE$13:$HE$512,MATCH(IFERROR(IF(INDEX(INDIRECT("'WCM Calibration Final'!$E$1:$E$2000"),'Calculations'!$EM248)="","",TRIM(INDEX(INDIRECT("'WCM Calibration Final'!$E$1:$E$2000"),'Calculations'!$EM248)&amp;"")),""),'Calculations'!$HG$13:$HG$512,0)),IF(COUNTIF('Calculations'!$HG$13:$HG$512,"="&amp;SUBSTITUTE(SUBSTITUTE(SUBSTITUTE(IFERROR(IF(INDEX(INDIRECT("'WCM Calibration Final'!$E$1:$E$2000"),'Calculations'!$EM248)="","",TRIM(INDEX(INDIRECT("'WCM Calibration Final'!$E$1:$E$2000"),'Calculations'!$EM248)&amp;"")),""),"~","~~"),"*","~*"),"?","~?"))&gt;1,"!AMBIG","X:"&amp;IFERROR(IF(INDEX(INDIRECT("'WCM Calibration Final'!$E$1:$E$2000"),'Calculations'!$EM248)="","",TRIM(INDEX(INDIRECT("'WCM Calibration Final'!$E$1:$E$2000"),'Calculations'!$EM248)&amp;"")),""))))))</x:f>
      </x:c>
      <x:c r="HG248" t="str">
        <x:f>IF('Calculations'!EM248="","",IFERROR(IF(INDEX(INDIRECT("'WCM Calibration Final'!$B$1:$B$2000"),'Calculations'!$EM248)="","",TRIM(INDEX(INDIRECT("'WCM Calibration Final'!$B$1:$B$2000"),'Calculations'!$EM248)&amp;"")),""))</x:f>
      </x:c>
      <x:c r="HH248" t="n">
        <x:f>IF(AND('Calculations'!JC248&gt;0,COUNTIF('Calculations'!$HF$12:HF248,"="&amp;SUBSTITUTE(SUBSTITUTE(SUBSTITUTE('Calculations'!HF248,"~","~~"),"*","~*"),"?","~?"))=1),MAX('Calculations'!$HH$12:HH247)+1,0)</x:f>
        <x:v>0</x:v>
      </x:c>
      <x:c r="HI248" t="n">
        <x:f>IF(AND('Calculations'!HN248&lt;&gt;"",COUNTIF('Calculations'!$HN$12:HN248,"="&amp;SUBSTITUTE(SUBSTITUTE(SUBSTITUTE('Calculations'!HN248,"~","~~"),"*","~*"),"?","~?"))=1),MAX('Calculations'!$HI$12:HI247)+1,0)</x:f>
        <x:v>0</x:v>
      </x:c>
      <x:c r="HJ248" t="str">
        <x:f>IF('Calculations'!HF248="","",IF(COUNTIF('Calculations'!$HE$13:$HE$512,"="&amp;SUBSTITUTE(SUBSTITUTE(SUBSTITUTE('Calculations'!HF248,"~","~~"),"*","~*"),"?","~?"))=1,INDEX('Calculations'!$HK$13:$HK$512,MATCH('Calculations'!HF248,'Calculations'!$HE$13:$HE$512,0)),IFERROR(IF(INDEX(INDIRECT("'WCM Calibration Final'!$E$1:$E$2000"),'Calculations'!$EM248)="","",TRIM(INDEX(INDIRECT("'WCM Calibration Final'!$E$1:$E$2000"),'Calculations'!$EM248)&amp;"")),"")&amp;" ["&amp;'Calculations'!HF248&amp;"]"))</x:f>
      </x:c>
      <x:c r="HK248" t="str">
        <x:f>IF('Calculations'!EM248="","",'Calculations'!HG248&amp;" ["&amp;'Calculations'!HE248&amp;"]")</x:f>
      </x:c>
      <x:c r="HL248" t="n">
        <x:f>IF('Calculations'!EM248="",0,IF(OR('Calculations'!II248&lt;&gt;"",COUNTIF('Calculations'!$HE$13:$HE$512,"="&amp;SUBSTITUTE(SUBSTITUTE(SUBSTITUTE('Calculations'!HE248,"~","~~"),"*","~*"),"?","~?"))&gt;1),1,0))</x:f>
        <x:v>0</x:v>
      </x:c>
      <x:c r="HM248" t="str">
        <x:f>IF('Calculations'!EM248="","",IF('Calculations'!HL248=1,"!UNRESOLVED",IF('Calculations'!IH248&lt;&gt;"",'Calculations'!IH248,IF('Calculations'!IG248&lt;&gt;"",'Calculations'!IG248,IF('Calculations'!IF248&lt;&gt;"",'Calculations'!IF248,IF('Calculations'!IE248&lt;&gt;"",'Calculations'!IE248,IF('Calculations'!ID248&lt;&gt;"",'Calculations'!ID248,IF('Calculations'!IC248&lt;&gt;"",'Calculations'!IC248,IF('Calculations'!IB248&lt;&gt;"",'Calculations'!IB248,IF('Calculations'!IA248&lt;&gt;"",'Calculations'!IA248,IF('Calculations'!HZ248&lt;&gt;"",'Calculations'!HZ248,IF('Calculations'!HY248&lt;&gt;"",'Calculations'!HY248,IF('Calculations'!HX248&lt;&gt;"",'Calculations'!HX248,IF('Calculations'!HW248&lt;&gt;"",'Calculations'!HW248,IF('Calculations'!HV248&lt;&gt;"",'Calculations'!HV248,IF('Calculations'!HU248&lt;&gt;"",'Calculations'!HU248,IF('Calculations'!HT248&lt;&gt;"",'Calculations'!HT248,IF('Calculations'!HS248&lt;&gt;"",'Calculations'!HS248,IF('Calculations'!HR248&lt;&gt;"",'Calculations'!HR248,IF('Calculations'!HQ248&lt;&gt;"",'Calculations'!HQ248,IF('Calculations'!HP248&lt;&gt;"",'Calculations'!HP248,IF('Calculations'!HO248&lt;&gt;"",'Calculations'!HO248,'Calculations'!HE248))))))))))))))))))))))</x:f>
      </x:c>
      <x:c r="HN248" t="str">
        <x:f>IF('Calculations'!EM248="","",IF(IFERROR(IF(INDEX(INDIRECT("'WCM Calibration Final'!$F$1:$F$2000"),'Calculations'!$EM248)="","",TRIM(INDEX(INDIRECT("'WCM Calibration Final'!$F$1:$F$2000"),'Calculations'!$EM248)&amp;"")),"")="","(Blank)",IFERROR(IF(INDEX(INDIRECT("'WCM Calibration Final'!$F$1:$F$2000"),'Calculations'!$EM248)="","",TRIM(INDEX(INDIRECT("'WCM Calibration Final'!$F$1:$F$2000"),'Calculations'!$EM248)&amp;"")),"")))</x:f>
      </x:c>
      <x:c r="HO248" t="str">
        <x:f>'Calculations'!HF248</x:f>
      </x:c>
      <x:c r="HP248" t="str">
        <x:f>IF('Calculations'!HO248="","",IF('Calculations'!HO248="!AMBIG","!AMBIG",IF(COUNTIF('Calculations'!$HE$13:$HE$512,"="&amp;SUBSTITUTE(SUBSTITUTE(SUBSTITUTE('Calculations'!HO248,"~","~~"),"*","~*"),"?","~?"))&gt;1,"!AMBIG",IFERROR(INDEX('Calculations'!$HF$13:$HF$512,MATCH('Calculations'!HO248,'Calculations'!$HE$13:$HE$512,0)),""))))</x:f>
      </x:c>
      <x:c r="HQ248" t="str">
        <x:f>IF('Calculations'!HP248="","",IF('Calculations'!HP248="!AMBIG","!AMBIG",IF(COUNTIF('Calculations'!$HE$13:$HE$512,"="&amp;SUBSTITUTE(SUBSTITUTE(SUBSTITUTE('Calculations'!HP248,"~","~~"),"*","~*"),"?","~?"))&gt;1,"!AMBIG",IFERROR(INDEX('Calculations'!$HF$13:$HF$512,MATCH('Calculations'!HP248,'Calculations'!$HE$13:$HE$512,0)),""))))</x:f>
      </x:c>
      <x:c r="HR248" t="str">
        <x:f>IF('Calculations'!HQ248="","",IF('Calculations'!HQ248="!AMBIG","!AMBIG",IF(COUNTIF('Calculations'!$HE$13:$HE$512,"="&amp;SUBSTITUTE(SUBSTITUTE(SUBSTITUTE('Calculations'!HQ248,"~","~~"),"*","~*"),"?","~?"))&gt;1,"!AMBIG",IFERROR(INDEX('Calculations'!$HF$13:$HF$512,MATCH('Calculations'!HQ248,'Calculations'!$HE$13:$HE$512,0)),""))))</x:f>
      </x:c>
      <x:c r="HS248" t="str">
        <x:f>IF('Calculations'!HR248="","",IF('Calculations'!HR248="!AMBIG","!AMBIG",IF(COUNTIF('Calculations'!$HE$13:$HE$512,"="&amp;SUBSTITUTE(SUBSTITUTE(SUBSTITUTE('Calculations'!HR248,"~","~~"),"*","~*"),"?","~?"))&gt;1,"!AMBIG",IFERROR(INDEX('Calculations'!$HF$13:$HF$512,MATCH('Calculations'!HR248,'Calculations'!$HE$13:$HE$512,0)),""))))</x:f>
      </x:c>
      <x:c r="HT248" t="str">
        <x:f>IF('Calculations'!HS248="","",IF('Calculations'!HS248="!AMBIG","!AMBIG",IF(COUNTIF('Calculations'!$HE$13:$HE$512,"="&amp;SUBSTITUTE(SUBSTITUTE(SUBSTITUTE('Calculations'!HS248,"~","~~"),"*","~*"),"?","~?"))&gt;1,"!AMBIG",IFERROR(INDEX('Calculations'!$HF$13:$HF$512,MATCH('Calculations'!HS248,'Calculations'!$HE$13:$HE$512,0)),""))))</x:f>
      </x:c>
      <x:c r="HU248" t="str">
        <x:f>IF('Calculations'!HT248="","",IF('Calculations'!HT248="!AMBIG","!AMBIG",IF(COUNTIF('Calculations'!$HE$13:$HE$512,"="&amp;SUBSTITUTE(SUBSTITUTE(SUBSTITUTE('Calculations'!HT248,"~","~~"),"*","~*"),"?","~?"))&gt;1,"!AMBIG",IFERROR(INDEX('Calculations'!$HF$13:$HF$512,MATCH('Calculations'!HT248,'Calculations'!$HE$13:$HE$512,0)),""))))</x:f>
      </x:c>
      <x:c r="HV248" t="str">
        <x:f>IF('Calculations'!HU248="","",IF('Calculations'!HU248="!AMBIG","!AMBIG",IF(COUNTIF('Calculations'!$HE$13:$HE$512,"="&amp;SUBSTITUTE(SUBSTITUTE(SUBSTITUTE('Calculations'!HU248,"~","~~"),"*","~*"),"?","~?"))&gt;1,"!AMBIG",IFERROR(INDEX('Calculations'!$HF$13:$HF$512,MATCH('Calculations'!HU248,'Calculations'!$HE$13:$HE$512,0)),""))))</x:f>
      </x:c>
      <x:c r="HW248" t="str">
        <x:f>IF('Calculations'!HV248="","",IF('Calculations'!HV248="!AMBIG","!AMBIG",IF(COUNTIF('Calculations'!$HE$13:$HE$512,"="&amp;SUBSTITUTE(SUBSTITUTE(SUBSTITUTE('Calculations'!HV248,"~","~~"),"*","~*"),"?","~?"))&gt;1,"!AMBIG",IFERROR(INDEX('Calculations'!$HF$13:$HF$512,MATCH('Calculations'!HV248,'Calculations'!$HE$13:$HE$512,0)),""))))</x:f>
      </x:c>
      <x:c r="HX248" t="str">
        <x:f>IF('Calculations'!HW248="","",IF('Calculations'!HW248="!AMBIG","!AMBIG",IF(COUNTIF('Calculations'!$HE$13:$HE$512,"="&amp;SUBSTITUTE(SUBSTITUTE(SUBSTITUTE('Calculations'!HW248,"~","~~"),"*","~*"),"?","~?"))&gt;1,"!AMBIG",IFERROR(INDEX('Calculations'!$HF$13:$HF$512,MATCH('Calculations'!HW248,'Calculations'!$HE$13:$HE$512,0)),""))))</x:f>
      </x:c>
      <x:c r="HY248" t="str">
        <x:f>IF('Calculations'!HX248="","",IF('Calculations'!HX248="!AMBIG","!AMBIG",IF(COUNTIF('Calculations'!$HE$13:$HE$512,"="&amp;SUBSTITUTE(SUBSTITUTE(SUBSTITUTE('Calculations'!HX248,"~","~~"),"*","~*"),"?","~?"))&gt;1,"!AMBIG",IFERROR(INDEX('Calculations'!$HF$13:$HF$512,MATCH('Calculations'!HX248,'Calculations'!$HE$13:$HE$512,0)),""))))</x:f>
      </x:c>
      <x:c r="HZ248" t="str">
        <x:f>IF('Calculations'!HY248="","",IF('Calculations'!HY248="!AMBIG","!AMBIG",IF(COUNTIF('Calculations'!$HE$13:$HE$512,"="&amp;SUBSTITUTE(SUBSTITUTE(SUBSTITUTE('Calculations'!HY248,"~","~~"),"*","~*"),"?","~?"))&gt;1,"!AMBIG",IFERROR(INDEX('Calculations'!$HF$13:$HF$512,MATCH('Calculations'!HY248,'Calculations'!$HE$13:$HE$512,0)),""))))</x:f>
      </x:c>
      <x:c r="IA248" t="str">
        <x:f>IF('Calculations'!HZ248="","",IF('Calculations'!HZ248="!AMBIG","!AMBIG",IF(COUNTIF('Calculations'!$HE$13:$HE$512,"="&amp;SUBSTITUTE(SUBSTITUTE(SUBSTITUTE('Calculations'!HZ248,"~","~~"),"*","~*"),"?","~?"))&gt;1,"!AMBIG",IFERROR(INDEX('Calculations'!$HF$13:$HF$512,MATCH('Calculations'!HZ248,'Calculations'!$HE$13:$HE$512,0)),""))))</x:f>
      </x:c>
      <x:c r="IB248" t="str">
        <x:f>IF('Calculations'!IA248="","",IF('Calculations'!IA248="!AMBIG","!AMBIG",IF(COUNTIF('Calculations'!$HE$13:$HE$512,"="&amp;SUBSTITUTE(SUBSTITUTE(SUBSTITUTE('Calculations'!IA248,"~","~~"),"*","~*"),"?","~?"))&gt;1,"!AMBIG",IFERROR(INDEX('Calculations'!$HF$13:$HF$512,MATCH('Calculations'!IA248,'Calculations'!$HE$13:$HE$512,0)),""))))</x:f>
      </x:c>
      <x:c r="IC248" t="str">
        <x:f>IF('Calculations'!IB248="","",IF('Calculations'!IB248="!AMBIG","!AMBIG",IF(COUNTIF('Calculations'!$HE$13:$HE$512,"="&amp;SUBSTITUTE(SUBSTITUTE(SUBSTITUTE('Calculations'!IB248,"~","~~"),"*","~*"),"?","~?"))&gt;1,"!AMBIG",IFERROR(INDEX('Calculations'!$HF$13:$HF$512,MATCH('Calculations'!IB248,'Calculations'!$HE$13:$HE$512,0)),""))))</x:f>
      </x:c>
      <x:c r="ID248" t="str">
        <x:f>IF('Calculations'!IC248="","",IF('Calculations'!IC248="!AMBIG","!AMBIG",IF(COUNTIF('Calculations'!$HE$13:$HE$512,"="&amp;SUBSTITUTE(SUBSTITUTE(SUBSTITUTE('Calculations'!IC248,"~","~~"),"*","~*"),"?","~?"))&gt;1,"!AMBIG",IFERROR(INDEX('Calculations'!$HF$13:$HF$512,MATCH('Calculations'!IC248,'Calculations'!$HE$13:$HE$512,0)),""))))</x:f>
      </x:c>
      <x:c r="IE248" t="str">
        <x:f>IF('Calculations'!ID248="","",IF('Calculations'!ID248="!AMBIG","!AMBIG",IF(COUNTIF('Calculations'!$HE$13:$HE$512,"="&amp;SUBSTITUTE(SUBSTITUTE(SUBSTITUTE('Calculations'!ID248,"~","~~"),"*","~*"),"?","~?"))&gt;1,"!AMBIG",IFERROR(INDEX('Calculations'!$HF$13:$HF$512,MATCH('Calculations'!ID248,'Calculations'!$HE$13:$HE$512,0)),""))))</x:f>
      </x:c>
      <x:c r="IF248" t="str">
        <x:f>IF('Calculations'!IE248="","",IF('Calculations'!IE248="!AMBIG","!AMBIG",IF(COUNTIF('Calculations'!$HE$13:$HE$512,"="&amp;SUBSTITUTE(SUBSTITUTE(SUBSTITUTE('Calculations'!IE248,"~","~~"),"*","~*"),"?","~?"))&gt;1,"!AMBIG",IFERROR(INDEX('Calculations'!$HF$13:$HF$512,MATCH('Calculations'!IE248,'Calculations'!$HE$13:$HE$512,0)),""))))</x:f>
      </x:c>
      <x:c r="IG248" t="str">
        <x:f>IF('Calculations'!IF248="","",IF('Calculations'!IF248="!AMBIG","!AMBIG",IF(COUNTIF('Calculations'!$HE$13:$HE$512,"="&amp;SUBSTITUTE(SUBSTITUTE(SUBSTITUTE('Calculations'!IF248,"~","~~"),"*","~*"),"?","~?"))&gt;1,"!AMBIG",IFERROR(INDEX('Calculations'!$HF$13:$HF$512,MATCH('Calculations'!IF248,'Calculations'!$HE$13:$HE$512,0)),""))))</x:f>
      </x:c>
      <x:c r="IH248" t="str">
        <x:f>IF('Calculations'!IG248="","",IF('Calculations'!IG248="!AMBIG","!AMBIG",IF(COUNTIF('Calculations'!$HE$13:$HE$512,"="&amp;SUBSTITUTE(SUBSTITUTE(SUBSTITUTE('Calculations'!IG248,"~","~~"),"*","~*"),"?","~?"))&gt;1,"!AMBIG",IFERROR(INDEX('Calculations'!$HF$13:$HF$512,MATCH('Calculations'!IG248,'Calculations'!$HE$13:$HE$512,0)),""))))</x:f>
      </x:c>
      <x:c r="II248" t="str">
        <x:f>IF('Calculations'!IH248="","",IF('Calculations'!IH248="!AMBIG","!AMBIG",IF(COUNTIF('Calculations'!$HE$13:$HE$512,"="&amp;SUBSTITUTE(SUBSTITUTE(SUBSTITUTE('Calculations'!IH248,"~","~~"),"*","~*"),"?","~?"))&gt;1,"!AMBIG",IFERROR(INDEX('Calculations'!$HF$13:$HF$512,MATCH('Calculations'!IH248,'Calculations'!$HE$13:$HE$512,0)),""))))</x:f>
      </x:c>
      <x:c r="IJ248" t="str">
        <x:f>IF('Calculations'!EM248="","",IF('Calculations'!$EF$2="All",'Calculations'!HM248,IF('Calculations'!HL248=1,"",IFERROR(IF(MATCH('Calculations'!$EF$2,'Calculations'!HO248:II248,0)=1,'Calculations'!HE248,INDEX('Calculations'!HO248:II248,1,MATCH('Calculations'!$EF$2,'Calculations'!HO248:II248,0)-1)),""))))</x:f>
      </x:c>
      <x:c r="IK248" t="n">
        <x:f>IF(AND('Calculations'!EM248&lt;&gt;"",'Calculations'!$EF$2&lt;&gt;"All",'Calculations'!HF248='Calculations'!$EF$2,'Calculations'!HL248=0,'Calculations'!JD248&gt;0),MAX('Calculations'!$IK$12:IK247)+1,0)</x:f>
        <x:v>0</x:v>
      </x:c>
      <x:c r="JA248" t="n">
        <x:f>IF(OR(IFERROR(INDIRECT("'WCM Calibration Final'!$A$248")&lt;&gt;"",FALSE),IFERROR(INDIRECT("'WCM Calibration Final'!$B$248")&lt;&gt;"",FALSE),IFERROR(INDIRECT("'WCM Calibration Final'!$C$248")&lt;&gt;"",FALSE)),248,0)</x:f>
        <x:v>0</x:v>
      </x:c>
      <x:c r="JB248" t="n">
        <x:f>'Calculations'!JB247+IF('Calculations'!JA248&gt;0,1,0)</x:f>
        <x:v>0</x:v>
      </x:c>
      <x:c r="JC248" t="n">
        <x:f>IF(OR('Calculations'!HF248="",'Calculations'!HF248="!AMBIG"),0,IF('Dashboard'!$B$7="All",1,COUNTIFS('Calculations'!$HO$13:$HO$512,"="&amp;SUBSTITUTE(SUBSTITUTE(SUBSTITUTE('Calculations'!HF248,"~","~~"),"*","~*"),"?","~?"),'Calculations'!$HN$13:$HN$512,"="&amp;SUBSTITUTE(SUBSTITUTE(SUBSTITUTE('Dashboard'!$B$7,"~","~~"),"*","~*"),"?","~?"))+COUNTIFS('Calculations'!$HP$13:$HP$512,"="&amp;SUBSTITUTE(SUBSTITUTE(SUBSTITUTE('Calculations'!HF248,"~","~~"),"*","~*"),"?","~?"),'Calculations'!$HN$13:$HN$512,"="&amp;SUBSTITUTE(SUBSTITUTE(SUBSTITUTE('Dashboard'!$B$7,"~","~~"),"*","~*"),"?","~?"))+COUNTIFS('Calculations'!$HQ$13:$HQ$512,"="&amp;SUBSTITUTE(SUBSTITUTE(SUBSTITUTE('Calculations'!HF248,"~","~~"),"*","~*"),"?","~?"),'Calculations'!$HN$13:$HN$512,"="&amp;SUBSTITUTE(SUBSTITUTE(SUBSTITUTE('Dashboard'!$B$7,"~","~~"),"*","~*"),"?","~?"))+COUNTIFS('Calculations'!$HR$13:$HR$512,"="&amp;SUBSTITUTE(SUBSTITUTE(SUBSTITUTE('Calculations'!HF248,"~","~~"),"*","~*"),"?","~?"),'Calculations'!$HN$13:$HN$512,"="&amp;SUBSTITUTE(SUBSTITUTE(SUBSTITUTE('Dashboard'!$B$7,"~","~~"),"*","~*"),"?","~?"))+COUNTIFS('Calculations'!$HS$13:$HS$512,"="&amp;SUBSTITUTE(SUBSTITUTE(SUBSTITUTE('Calculations'!HF248,"~","~~"),"*","~*"),"?","~?"),'Calculations'!$HN$13:$HN$512,"="&amp;SUBSTITUTE(SUBSTITUTE(SUBSTITUTE('Dashboard'!$B$7,"~","~~"),"*","~*"),"?","~?"))+COUNTIFS('Calculations'!$HT$13:$HT$512,"="&amp;SUBSTITUTE(SUBSTITUTE(SUBSTITUTE('Calculations'!HF248,"~","~~"),"*","~*"),"?","~?"),'Calculations'!$HN$13:$HN$512,"="&amp;SUBSTITUTE(SUBSTITUTE(SUBSTITUTE('Dashboard'!$B$7,"~","~~"),"*","~*"),"?","~?"))+COUNTIFS('Calculations'!$HU$13:$HU$512,"="&amp;SUBSTITUTE(SUBSTITUTE(SUBSTITUTE('Calculations'!HF248,"~","~~"),"*","~*"),"?","~?"),'Calculations'!$HN$13:$HN$512,"="&amp;SUBSTITUTE(SUBSTITUTE(SUBSTITUTE('Dashboard'!$B$7,"~","~~"),"*","~*"),"?","~?"))+COUNTIFS('Calculations'!$HV$13:$HV$512,"="&amp;SUBSTITUTE(SUBSTITUTE(SUBSTITUTE('Calculations'!HF248,"~","~~"),"*","~*"),"?","~?"),'Calculations'!$HN$13:$HN$512,"="&amp;SUBSTITUTE(SUBSTITUTE(SUBSTITUTE('Dashboard'!$B$7,"~","~~"),"*","~*"),"?","~?"))+COUNTIFS('Calculations'!$HW$13:$HW$512,"="&amp;SUBSTITUTE(SUBSTITUTE(SUBSTITUTE('Calculations'!HF248,"~","~~"),"*","~*"),"?","~?"),'Calculations'!$HN$13:$HN$512,"="&amp;SUBSTITUTE(SUBSTITUTE(SUBSTITUTE('Dashboard'!$B$7,"~","~~"),"*","~*"),"?","~?"))+COUNTIFS('Calculations'!$HX$13:$HX$512,"="&amp;SUBSTITUTE(SUBSTITUTE(SUBSTITUTE('Calculations'!HF248,"~","~~"),"*","~*"),"?","~?"),'Calculations'!$HN$13:$HN$512,"="&amp;SUBSTITUTE(SUBSTITUTE(SUBSTITUTE('Dashboard'!$B$7,"~","~~"),"*","~*"),"?","~?"))+COUNTIFS('Calculations'!$HY$13:$HY$512,"="&amp;SUBSTITUTE(SUBSTITUTE(SUBSTITUTE('Calculations'!HF248,"~","~~"),"*","~*"),"?","~?"),'Calculations'!$HN$13:$HN$512,"="&amp;SUBSTITUTE(SUBSTITUTE(SUBSTITUTE('Dashboard'!$B$7,"~","~~"),"*","~*"),"?","~?"))+COUNTIFS('Calculations'!$HZ$13:$HZ$512,"="&amp;SUBSTITUTE(SUBSTITUTE(SUBSTITUTE('Calculations'!HF248,"~","~~"),"*","~*"),"?","~?"),'Calculations'!$HN$13:$HN$512,"="&amp;SUBSTITUTE(SUBSTITUTE(SUBSTITUTE('Dashboard'!$B$7,"~","~~"),"*","~*"),"?","~?"))+COUNTIFS('Calculations'!$IA$13:$IA$512,"="&amp;SUBSTITUTE(SUBSTITUTE(SUBSTITUTE('Calculations'!HF248,"~","~~"),"*","~*"),"?","~?"),'Calculations'!$HN$13:$HN$512,"="&amp;SUBSTITUTE(SUBSTITUTE(SUBSTITUTE('Dashboard'!$B$7,"~","~~"),"*","~*"),"?","~?"))+COUNTIFS('Calculations'!$IB$13:$IB$512,"="&amp;SUBSTITUTE(SUBSTITUTE(SUBSTITUTE('Calculations'!HF248,"~","~~"),"*","~*"),"?","~?"),'Calculations'!$HN$13:$HN$512,"="&amp;SUBSTITUTE(SUBSTITUTE(SUBSTITUTE('Dashboard'!$B$7,"~","~~"),"*","~*"),"?","~?"))+COUNTIFS('Calculations'!$IC$13:$IC$512,"="&amp;SUBSTITUTE(SUBSTITUTE(SUBSTITUTE('Calculations'!HF248,"~","~~"),"*","~*"),"?","~?"),'Calculations'!$HN$13:$HN$512,"="&amp;SUBSTITUTE(SUBSTITUTE(SUBSTITUTE('Dashboard'!$B$7,"~","~~"),"*","~*"),"?","~?"))+COUNTIFS('Calculations'!$ID$13:$ID$512,"="&amp;SUBSTITUTE(SUBSTITUTE(SUBSTITUTE('Calculations'!HF248,"~","~~"),"*","~*"),"?","~?"),'Calculations'!$HN$13:$HN$512,"="&amp;SUBSTITUTE(SUBSTITUTE(SUBSTITUTE('Dashboard'!$B$7,"~","~~"),"*","~*"),"?","~?"))+COUNTIFS('Calculations'!$IE$13:$IE$512,"="&amp;SUBSTITUTE(SUBSTITUTE(SUBSTITUTE('Calculations'!HF248,"~","~~"),"*","~*"),"?","~?"),'Calculations'!$HN$13:$HN$512,"="&amp;SUBSTITUTE(SUBSTITUTE(SUBSTITUTE('Dashboard'!$B$7,"~","~~"),"*","~*"),"?","~?"))+COUNTIFS('Calculations'!$IF$13:$IF$512,"="&amp;SUBSTITUTE(SUBSTITUTE(SUBSTITUTE('Calculations'!HF248,"~","~~"),"*","~*"),"?","~?"),'Calculations'!$HN$13:$HN$512,"="&amp;SUBSTITUTE(SUBSTITUTE(SUBSTITUTE('Dashboard'!$B$7,"~","~~"),"*","~*"),"?","~?"))+COUNTIFS('Calculations'!$IG$13:$IG$512,"="&amp;SUBSTITUTE(SUBSTITUTE(SUBSTITUTE('Calculations'!HF248,"~","~~"),"*","~*"),"?","~?"),'Calculations'!$HN$13:$HN$512,"="&amp;SUBSTITUTE(SUBSTITUTE(SUBSTITUTE('Dashboard'!$B$7,"~","~~"),"*","~*"),"?","~?"))+COUNTIFS('Calculations'!$IH$13:$IH$512,"="&amp;SUBSTITUTE(SUBSTITUTE(SUBSTITUTE('Calculations'!HF248,"~","~~"),"*","~*"),"?","~?"),'Calculations'!$HN$13:$HN$512,"="&amp;SUBSTITUTE(SUBSTITUTE(SUBSTITUTE('Dashboard'!$B$7,"~","~~"),"*","~*"),"?","~?"))))</x:f>
        <x:v>0</x:v>
      </x:c>
      <x:c r="JD248" t="n">
        <x:f>IF('Calculations'!EM248="",0,IF('Dashboard'!$B$7="All",1,IF('Calculations'!HN248='Dashboard'!$B$7,1,0)+IFERROR(INDEX('Calculations'!$JC$13:$JC$512,MATCH('Calculations'!HE248,'Calculations'!$HF$13:$HF$512,0)),0)))</x:f>
        <x:v>0</x:v>
      </x:c>
      <x:c r="JE248" t="n">
        <x:f>IF(AND('Calculations'!EM248&lt;&gt;"",'Calculations'!$JJ$2&lt;&gt;"All",'Calculations'!$JJ$2&lt;&gt;"",'Calculations'!HF248='Calculations'!$JJ$2,'Calculations'!HL248=0,'Calculations'!JD248&gt;0),MAX('Calculations'!$JE$12:JE247)+1,0)</x:f>
        <x:v>0</x:v>
      </x:c>
      <x:c r="JF248" t="str">
        <x:f>IF('Calculations'!EM248="","",IFERROR(IF(INDEX(INDIRECT("'WCM Calibration Final'!$G$1:$G$2000"),'Calculations'!$EM248)="","",TRIM(INDEX(INDIRECT("'WCM Calibration Final'!$G$1:$G$2000"),'Calculations'!$EM248)&amp;"")),""))</x:f>
      </x:c>
      <x:c r="JQ248" t="n">
        <x:f>IF(OR('Calculations'!BM248=0,NOT('Calculations'!$AG$2),'Calculations'!$AG$8&gt;0),0,IF(OR('Dashboard'!$B$7="All",'Calculations'!HN248='Dashboard'!$B$7),IF('Calculations'!$JJ$2="All",1,IF(AND('Calculations'!HF248='Calculations'!$JJ$2,'Calculations'!HL248=0),1,0)),0))</x:f>
        <x:v>0</x:v>
      </x:c>
    </x:row>
    <x:row r="249">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t="n">
        <x:f>IF('Calculations'!$EM249="",0,IF(OR(IFERROR(INDEX(INDIRECT("'WCM Calibration Final'!$A$1:$A$2000"),'Calculations'!$EM249)&lt;&gt;"",FALSE),IFERROR(INDEX(INDIRECT("'WCM Calibration Final'!$B$1:$B$2000"),'Calculations'!$EM249)&lt;&gt;"",FALSE),IFERROR(INDEX(INDIRECT("'WCM Calibration Final'!$C$1:$C$2000"),'Calculations'!$EM249)&lt;&gt;"",FALSE)),1,0))</x:f>
        <x:v>0</x:v>
      </x:c>
      <x:c r="BN249" s="4" t="n">
        <x:f>IF(AND('Calculations'!BM249=1,'Calculations'!$AG$2,'Calculations'!$EN249=1),1,0)</x:f>
        <x:v>0</x:v>
      </x:c>
      <x:c r="BO249" s="4" t="str">
        <x:f>IF('Calculations'!BM249=0,"",IFERROR(IF(AND(VALUE(INDEX(INDIRECT("'WCM Calibration Final'!$K$1:$K$2000"),'Calculations'!$EM249))&gt;=1,VALUE(INDEX(INDIRECT("'WCM Calibration Final'!$K$1:$K$2000"),'Calculations'!$EM249))&lt;=4,MOD(VALUE(INDEX(INDIRECT("'WCM Calibration Final'!$K$1:$K$2000"),'Calculations'!$EM249)),1)=0),VALUE(INDEX(INDIRECT("'WCM Calibration Final'!$K$1:$K$2000"),'Calculations'!$EM249)),""),""))</x:f>
      </x:c>
      <x:c r="BP249" s="4" t="str">
        <x:f>IF('Calculations'!BM249=0,"",IFERROR(IF(AND(VALUE(INDEX(INDIRECT("'WCM Calibration Final'!$L$1:$L$2000"),'Calculations'!$EM249))&gt;=1,VALUE(INDEX(INDIRECT("'WCM Calibration Final'!$L$1:$L$2000"),'Calculations'!$EM249))&lt;=4,MOD(VALUE(INDEX(INDIRECT("'WCM Calibration Final'!$L$1:$L$2000"),'Calculations'!$EM249)),1)=0),VALUE(INDEX(INDIRECT("'WCM Calibration Final'!$L$1:$L$2000"),'Calculations'!$EM249)),""),""))</x:f>
      </x:c>
      <x:c r="BQ249" s="4"/>
      <x:c r="BR249" s="4"/>
      <x:c r="BS249" s="4"/>
      <x:c r="BT249" s="4" t="n">
        <x:f>IF(AND('Calculations'!BM249=1,ISNUMBER('Calculations'!BO249),ISNUMBER('Calculations'!BP249)),1,0)</x:f>
        <x:v>0</x:v>
      </x:c>
      <x:c r="BU249" s="4" t="str">
        <x:f>IF('Calculations'!BM249=0,"",'Calculations'!$EO249)</x:f>
      </x:c>
      <x:c r="BV249" s="4" t="str">
        <x:f>IF('Calculations'!BM249=0,"",IFERROR(IF(OR(INDEX(INDIRECT("'WCM Calibration Final'!$H$1:$H$2000"),'Calculations'!$EM249)="MANAGING DIRECTOR",INDEX(INDIRECT("'WCM Calibration Final'!$H$1:$H$2000"),'Calculations'!$EM249)="DIRECTOR",INDEX(INDIRECT("'WCM Calibration Final'!$H$1:$H$2000"),'Calculations'!$EM249)="SENIOR VICE PRESIDENT",INDEX(INDIRECT("'WCM Calibration Final'!$H$1:$H$2000"),'Calculations'!$EM249)="VICE PRESIDENT",INDEX(INDIRECT("'WCM Calibration Final'!$H$1:$H$2000"),'Calculations'!$EM249)="ASSISTANT VICE PRESIDENT",INDEX(INDIRECT("'WCM Calibration Final'!$H$1:$H$2000"),'Calculations'!$EM249)="OFFICER"),UPPER(INDEX(INDIRECT("'WCM Calibration Final'!$H$1:$H$2000"),'Calculations'!$EM249)),"Other"),"Other"))</x:f>
      </x:c>
      <x:c r="BW249" s="4"/>
      <x:c r="BX249" s="4"/>
      <x:c r="BY249" s="4" t="n">
        <x:f>IF(AND('Calculations'!BM249=1,'Calculations'!BU249&lt;&gt;"",COUNTIF('Calculations'!$BU$12:BU249,'Calculations'!BU249)=1),MAX('Calculations'!$BY$11:BY248)+1,0)</x:f>
        <x:v>0</x:v>
      </x:c>
      <x:c r="BZ249" s="4" t="str">
        <x:f>IF('Dashboard'!$E$67="What",'Calculations'!BO249,'Calculations'!BP249)</x:f>
      </x:c>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t="str">
        <x:f>IF(238&gt;MAX('Calculations'!$HI$13:$HI$512),"",INDEX('Calculations'!$HN$13:$HN$512,MATCH(238,'Calculations'!$HI$13:$HI$512,0)))</x:f>
      </x:c>
      <x:c r="DB249" s="4" t="str">
        <x:f>IF(238&gt;MAX('Calculations'!$HH$13:$HH$512),"",INDEX('Calculations'!$HJ$13:$HJ$512,MATCH(238,'Calculations'!$HH$13:$HH$512,0)))</x:f>
      </x:c>
      <x:c r="DC249" s="4" t="str">
        <x:f>IF(ROW()-11&gt;MAX('Calculations'!$BY$13:$BY$512),"",INDEX('Calculations'!$BU$13:$BU$512,MATCH(ROW()-11,'Calculations'!$BY$13:$BY$512,0)))</x:f>
      </x:c>
      <x:c r="DD249" s="4" t="str">
        <x:f>IF(238&gt;MAX('Calculations'!$IK$13:$IK$512),"",INDEX('Calculations'!$HK$13:$HK$512,MATCH(238,'Calculations'!$IK$13:$IK$512,0)))</x:f>
      </x:c>
      <x:c r="DE249" s="4" t="str">
        <x:f>'Calculations'!DC249</x:f>
      </x:c>
      <x:c r="DF249" s="4" t="str">
        <x:f>IF('Calculations'!DE249="","",COUNTIFS('Calculations'!$BN$13:$BN$512,1,'Calculations'!$BU$13:$BU$512,'Calculations'!DE249))</x:f>
      </x:c>
      <x:c r="DG249" s="4" t="str">
        <x:f>IF('Calculations'!DE249="","",COUNTIFS('Calculations'!$BN$13:$BN$512,1,'Calculations'!$BU$13:$BU$512,'Calculations'!DE249,'Calculations'!$BT$13:$BT$512,1))</x:f>
      </x:c>
      <x:c r="DH249" s="4" t="str">
        <x:f>IF('Calculations'!DE249="","",'Calculations'!DF249-'Calculations'!DG249)</x:f>
      </x:c>
      <x:c r="DI249" s="4" t="str">
        <x:f>IF(OR('Calculations'!DE249="",'Calculations'!DF249=0),"",'Calculations'!DG249/'Calculations'!DF249)</x:f>
      </x:c>
      <x:c r="DJ249" s="4" t="str">
        <x:f>IF('Calculations'!DE249="","",COUNTIFS('Calculations'!$BN$13:$BN$512,1,'Calculations'!$BU$13:$BU$512,'Calculations'!DE249,'Calculations'!$BT$13:$BT$512,1,'Calculations'!$EE$13:$EE$512,"High"))</x:f>
      </x:c>
      <x:c r="DK249" s="4" t="str">
        <x:f>IF('Calculations'!DE249="","",COUNTIFS('Calculations'!$BN$13:$BN$512,1,'Calculations'!$BU$13:$BU$512,'Calculations'!DE249,'Calculations'!$BT$13:$BT$512,1,'Calculations'!$EE$13:$EE$512,"Strong"))</x:f>
      </x:c>
      <x:c r="DL249" s="4" t="str">
        <x:f>IF('Calculations'!DE249="","",COUNTIFS('Calculations'!$BN$13:$BN$512,1,'Calculations'!$BU$13:$BU$512,'Calculations'!DE249,'Calculations'!$BT$13:$BT$512,1,'Calculations'!$EE$13:$EE$512,"Solid"))</x:f>
      </x:c>
      <x:c r="DM249" s="4" t="str">
        <x:f>IF('Calculations'!DE249="","",COUNTIFS('Calculations'!$BN$13:$BN$512,1,'Calculations'!$BU$13:$BU$512,'Calculations'!DE249,'Calculations'!$BT$13:$BT$512,1,'Calculations'!$EE$13:$EE$512,"Low"))</x:f>
      </x:c>
      <x:c r="DN249" s="4" t="str">
        <x:f>IF('Calculations'!DE249="","",COUNTIFS('Calculations'!$BN$13:$BN$512,1,'Calculations'!$BU$13:$BU$512,'Calculations'!DE249,'Calculations'!$EP$13:$EP$512,1))</x:f>
      </x:c>
      <x:c r="DO249" s="4" t="str">
        <x:f>IF(OR('Calculations'!DE249="",'Calculations'!DG249=0),"",('Calculations'!DJ249+'Calculations'!DK249)/'Calculations'!DG249)</x:f>
      </x:c>
      <x:c r="DP249" s="4" t="n">
        <x:f>IF(AND('Calculations'!DE249&lt;&gt;"",'Calculations'!DF249&gt;0),COUNTIF('Calculations'!$DF$12:DF249,"&gt;0"),0)</x:f>
        <x:v>0</x:v>
      </x:c>
      <x:c r="DQ249" s="4" t="str">
        <x:f>IF(238&gt;MAX('Calculations'!$HH$13:$HH$512),"",INDEX('Calculations'!$HF$13:$HF$512,MATCH(238,'Calculations'!$HH$13:$HH$512,0)))</x:f>
      </x:c>
      <x:c r="DR249" s="4" t="str">
        <x:f>IF(238&gt;MAX('Calculations'!$IK$13:$IK$512),"",INDEX('Calculations'!$HE$13:$HE$512,MATCH(238,'Calculations'!$IK$13:$IK$512,0)))</x:f>
      </x:c>
      <x:c r="DS249" s="4"/>
      <x:c r="DT249" s="4"/>
      <x:c r="DU249" s="4"/>
      <x:c r="DV249" s="4"/>
      <x:c r="DW249" s="4"/>
      <x:c r="DX249" s="4"/>
      <x:c r="DY249" s="4"/>
      <x:c r="DZ249" s="4"/>
      <x:c r="EA249" s="4"/>
      <x:c r="EB249" s="4"/>
      <x:c r="EC249" s="4"/>
      <x:c r="ED249" s="4"/>
      <x:c r="EE249" s="4" t="str">
        <x:f>IF('Calculations'!BT249=0,"Not Rated",IF(OR('Calculations'!BO249&gt;=4,'Calculations'!BP249&gt;=4),"Low",IF('Calculations'!BO249+'Calculations'!BP249&lt;=3,"High",IF('Calculations'!BO249+'Calculations'!BP249&lt;=4,"Strong","Solid"))))</x:f>
        <x:v>Not Rated</x:v>
      </x:c>
      <x:c r="EF249" s="4"/>
      <x:c r="EG249" s="4"/>
      <x:c r="EH249" s="4"/>
      <x:c r="EI249" s="4"/>
      <x:c r="EJ249" s="4"/>
      <x:c r="EK249" s="4"/>
      <x:c r="EL249" s="4"/>
      <x:c r="EM249" s="4" t="str">
        <x:f>IF(237&gt;'Calculations'!$JB$2000,"",INDEX('Calculations'!$JA$12:$JA$2000,MATCH(237,'Calculations'!$JB$12:$JB$2000,0)))</x:f>
      </x:c>
      <x:c r="EN249" s="4" t="n">
        <x:f>IF(OR('Calculations'!EM249="",'Calculations'!$AG$8&gt;0,AND('Calculations'!$EF$2&lt;&gt;"All",'Calculations'!HE249='Calculations'!$EF$2),AND('Calculations'!$EF$3&lt;&gt;"All",'Calculations'!HE249='Calculations'!$EF$3)),0,IF(OR('Dashboard'!$B$7="All",'Calculations'!HN249='Dashboard'!$B$7),IF('Calculations'!$EF$2="All",1,IF('Calculations'!HL249&gt;0,0,IF(COUNTIF('Calculations'!HO249:II249,"="&amp;SUBSTITUTE(SUBSTITUTE(SUBSTITUTE('Calculations'!$EF$2,"~","~~"),"*","~*"),"?","~?"))=0,0,IF('Calculations'!$EF$3="All",1,IF(COUNTIF('Calculations'!HO249:II249,"="&amp;SUBSTITUTE(SUBSTITUTE(SUBSTITUTE('Calculations'!$EF$3,"~","~~"),"*","~*"),"?","~?"))&gt;0,1,0))))),0))</x:f>
        <x:v>0</x:v>
      </x:c>
      <x:c r="EO249" s="4" t="str">
        <x:f>IF('Calculations'!IJ249="","",IF('Calculations'!IJ249="!UNRESOLVED","Unresolved hierarchy",IFERROR(INDEX('Calculations'!$HK$13:$HK$512,MATCH('Calculations'!IJ249,'Calculations'!$HE$13:$HE$512,0)),IFERROR(INDEX('Calculations'!$HJ$13:$HJ$512,MATCH('Calculations'!IJ249,'Calculations'!$HF$13:$HF$512,0)),'Calculations'!IJ249))))</x:f>
      </x:c>
      <x:c r="EP249" s="4" t="n">
        <x:f>IF(AND('Calculations'!EM249&lt;&gt;"",'Calculations'!HF249='Calculations'!IJ249),1,0)</x:f>
        <x:v>0</x:v>
      </x:c>
      <x:c r="EQ249" s="4"/>
      <x:c r="ER249" s="4"/>
      <x:c r="ES249" s="4"/>
      <x:c r="ET249" s="4"/>
      <x:c r="EU249" s="4"/>
      <x:c r="EV249" s="4"/>
      <x:c r="EW249" s="4"/>
      <x:c r="EX249" s="4"/>
      <x:c r="EY249" s="4"/>
      <x:c r="EZ249" s="4"/>
      <x:c r="FA249" s="4"/>
      <x:c r="FB249" s="4"/>
      <x:c r="FC249" s="4"/>
      <x:c r="FD249" s="4"/>
      <x:c r="FE249" s="4"/>
      <x:c r="FF249" s="4"/>
      <x:c r="FG249" s="4"/>
      <x:c r="FH249" s="4"/>
      <x:c r="FI249" s="4"/>
      <x:c r="FJ249" s="4"/>
      <x:c r="FK249" s="4"/>
      <x:c r="FL249" s="4"/>
      <x:c r="FM249" s="4"/>
      <x:c r="FN249" s="4"/>
      <x:c r="FO249" s="4"/>
      <x:c r="HE249" t="str">
        <x:f>IF('Calculations'!EM249="","",IF(IFERROR(IF(INDEX(INDIRECT("'WCM Calibration Final'!$A$1:$A$2000"),'Calculations'!$EM249)="","",TRIM(INDEX(INDIRECT("'WCM Calibration Final'!$A$1:$A$2000"),'Calculations'!$EM249)&amp;"")),"")&lt;&gt;"","G:"&amp;IFERROR(TEXT(1*INDEX(INDIRECT("'WCM Calibration Final'!$A$1:$A$2000"),'Calculations'!$EM249),"0"),UPPER(IFERROR(IF(INDEX(INDIRECT("'WCM Calibration Final'!$A$1:$A$2000"),'Calculations'!$EM249)="","",TRIM(INDEX(INDIRECT("'WCM Calibration Final'!$A$1:$A$2000"),'Calculations'!$EM249)&amp;"")),""))),IF(IFERROR(IF(INDEX(INDIRECT("'WCM Calibration Final'!$C$1:$C$2000"),'Calculations'!$EM249)="","",TRIM(INDEX(INDIRECT("'WCM Calibration Final'!$C$1:$C$2000"),'Calculations'!$EM249)&amp;"")),"")&lt;&gt;"","S:"&amp;UPPER(IFERROR(IF(INDEX(INDIRECT("'WCM Calibration Final'!$C$1:$C$2000"),'Calculations'!$EM249)="","",TRIM(INDEX(INDIRECT("'WCM Calibration Final'!$C$1:$C$2000"),'Calculations'!$EM249)&amp;"")),"")),"R:"&amp;'Calculations'!EM249)))</x:f>
      </x:c>
      <x:c r="HF249" t="str">
        <x:f>IF('Calculations'!EM249="","",IF(IFERROR(IF(INDEX(INDIRECT("'WCM Calibration Final'!$D$1:$D$2000"),'Calculations'!$EM249)="","",TRIM(INDEX(INDIRECT("'WCM Calibration Final'!$D$1:$D$2000"),'Calculations'!$EM249)&amp;"")),"")&lt;&gt;"","G:"&amp;IFERROR(TEXT(1*INDEX(INDIRECT("'WCM Calibration Final'!$D$1:$D$2000"),'Calculations'!$EM249),"0"),UPPER(IFERROR(IF(INDEX(INDIRECT("'WCM Calibration Final'!$D$1:$D$2000"),'Calculations'!$EM249)="","",TRIM(INDEX(INDIRECT("'WCM Calibration Final'!$D$1:$D$2000"),'Calculations'!$EM249)&amp;"")),""))),IF(IFERROR(IF(INDEX(INDIRECT("'WCM Calibration Final'!$E$1:$E$2000"),'Calculations'!$EM249)="","",TRIM(INDEX(INDIRECT("'WCM Calibration Final'!$E$1:$E$2000"),'Calculations'!$EM249)&amp;"")),"")="","",IF(COUNTIF('Calculations'!$HG$13:$HG$512,"="&amp;SUBSTITUTE(SUBSTITUTE(SUBSTITUTE(IFERROR(IF(INDEX(INDIRECT("'WCM Calibration Final'!$E$1:$E$2000"),'Calculations'!$EM249)="","",TRIM(INDEX(INDIRECT("'WCM Calibration Final'!$E$1:$E$2000"),'Calculations'!$EM249)&amp;"")),""),"~","~~"),"*","~*"),"?","~?"))=1,INDEX('Calculations'!$HE$13:$HE$512,MATCH(IFERROR(IF(INDEX(INDIRECT("'WCM Calibration Final'!$E$1:$E$2000"),'Calculations'!$EM249)="","",TRIM(INDEX(INDIRECT("'WCM Calibration Final'!$E$1:$E$2000"),'Calculations'!$EM249)&amp;"")),""),'Calculations'!$HG$13:$HG$512,0)),IF(COUNTIF('Calculations'!$HG$13:$HG$512,"="&amp;SUBSTITUTE(SUBSTITUTE(SUBSTITUTE(IFERROR(IF(INDEX(INDIRECT("'WCM Calibration Final'!$E$1:$E$2000"),'Calculations'!$EM249)="","",TRIM(INDEX(INDIRECT("'WCM Calibration Final'!$E$1:$E$2000"),'Calculations'!$EM249)&amp;"")),""),"~","~~"),"*","~*"),"?","~?"))&gt;1,"!AMBIG","X:"&amp;IFERROR(IF(INDEX(INDIRECT("'WCM Calibration Final'!$E$1:$E$2000"),'Calculations'!$EM249)="","",TRIM(INDEX(INDIRECT("'WCM Calibration Final'!$E$1:$E$2000"),'Calculations'!$EM249)&amp;"")),""))))))</x:f>
      </x:c>
      <x:c r="HG249" t="str">
        <x:f>IF('Calculations'!EM249="","",IFERROR(IF(INDEX(INDIRECT("'WCM Calibration Final'!$B$1:$B$2000"),'Calculations'!$EM249)="","",TRIM(INDEX(INDIRECT("'WCM Calibration Final'!$B$1:$B$2000"),'Calculations'!$EM249)&amp;"")),""))</x:f>
      </x:c>
      <x:c r="HH249" t="n">
        <x:f>IF(AND('Calculations'!JC249&gt;0,COUNTIF('Calculations'!$HF$12:HF249,"="&amp;SUBSTITUTE(SUBSTITUTE(SUBSTITUTE('Calculations'!HF249,"~","~~"),"*","~*"),"?","~?"))=1),MAX('Calculations'!$HH$12:HH248)+1,0)</x:f>
        <x:v>0</x:v>
      </x:c>
      <x:c r="HI249" t="n">
        <x:f>IF(AND('Calculations'!HN249&lt;&gt;"",COUNTIF('Calculations'!$HN$12:HN249,"="&amp;SUBSTITUTE(SUBSTITUTE(SUBSTITUTE('Calculations'!HN249,"~","~~"),"*","~*"),"?","~?"))=1),MAX('Calculations'!$HI$12:HI248)+1,0)</x:f>
        <x:v>0</x:v>
      </x:c>
      <x:c r="HJ249" t="str">
        <x:f>IF('Calculations'!HF249="","",IF(COUNTIF('Calculations'!$HE$13:$HE$512,"="&amp;SUBSTITUTE(SUBSTITUTE(SUBSTITUTE('Calculations'!HF249,"~","~~"),"*","~*"),"?","~?"))=1,INDEX('Calculations'!$HK$13:$HK$512,MATCH('Calculations'!HF249,'Calculations'!$HE$13:$HE$512,0)),IFERROR(IF(INDEX(INDIRECT("'WCM Calibration Final'!$E$1:$E$2000"),'Calculations'!$EM249)="","",TRIM(INDEX(INDIRECT("'WCM Calibration Final'!$E$1:$E$2000"),'Calculations'!$EM249)&amp;"")),"")&amp;" ["&amp;'Calculations'!HF249&amp;"]"))</x:f>
      </x:c>
      <x:c r="HK249" t="str">
        <x:f>IF('Calculations'!EM249="","",'Calculations'!HG249&amp;" ["&amp;'Calculations'!HE249&amp;"]")</x:f>
      </x:c>
      <x:c r="HL249" t="n">
        <x:f>IF('Calculations'!EM249="",0,IF(OR('Calculations'!II249&lt;&gt;"",COUNTIF('Calculations'!$HE$13:$HE$512,"="&amp;SUBSTITUTE(SUBSTITUTE(SUBSTITUTE('Calculations'!HE249,"~","~~"),"*","~*"),"?","~?"))&gt;1),1,0))</x:f>
        <x:v>0</x:v>
      </x:c>
      <x:c r="HM249" t="str">
        <x:f>IF('Calculations'!EM249="","",IF('Calculations'!HL249=1,"!UNRESOLVED",IF('Calculations'!IH249&lt;&gt;"",'Calculations'!IH249,IF('Calculations'!IG249&lt;&gt;"",'Calculations'!IG249,IF('Calculations'!IF249&lt;&gt;"",'Calculations'!IF249,IF('Calculations'!IE249&lt;&gt;"",'Calculations'!IE249,IF('Calculations'!ID249&lt;&gt;"",'Calculations'!ID249,IF('Calculations'!IC249&lt;&gt;"",'Calculations'!IC249,IF('Calculations'!IB249&lt;&gt;"",'Calculations'!IB249,IF('Calculations'!IA249&lt;&gt;"",'Calculations'!IA249,IF('Calculations'!HZ249&lt;&gt;"",'Calculations'!HZ249,IF('Calculations'!HY249&lt;&gt;"",'Calculations'!HY249,IF('Calculations'!HX249&lt;&gt;"",'Calculations'!HX249,IF('Calculations'!HW249&lt;&gt;"",'Calculations'!HW249,IF('Calculations'!HV249&lt;&gt;"",'Calculations'!HV249,IF('Calculations'!HU249&lt;&gt;"",'Calculations'!HU249,IF('Calculations'!HT249&lt;&gt;"",'Calculations'!HT249,IF('Calculations'!HS249&lt;&gt;"",'Calculations'!HS249,IF('Calculations'!HR249&lt;&gt;"",'Calculations'!HR249,IF('Calculations'!HQ249&lt;&gt;"",'Calculations'!HQ249,IF('Calculations'!HP249&lt;&gt;"",'Calculations'!HP249,IF('Calculations'!HO249&lt;&gt;"",'Calculations'!HO249,'Calculations'!HE249))))))))))))))))))))))</x:f>
      </x:c>
      <x:c r="HN249" t="str">
        <x:f>IF('Calculations'!EM249="","",IF(IFERROR(IF(INDEX(INDIRECT("'WCM Calibration Final'!$F$1:$F$2000"),'Calculations'!$EM249)="","",TRIM(INDEX(INDIRECT("'WCM Calibration Final'!$F$1:$F$2000"),'Calculations'!$EM249)&amp;"")),"")="","(Blank)",IFERROR(IF(INDEX(INDIRECT("'WCM Calibration Final'!$F$1:$F$2000"),'Calculations'!$EM249)="","",TRIM(INDEX(INDIRECT("'WCM Calibration Final'!$F$1:$F$2000"),'Calculations'!$EM249)&amp;"")),"")))</x:f>
      </x:c>
      <x:c r="HO249" t="str">
        <x:f>'Calculations'!HF249</x:f>
      </x:c>
      <x:c r="HP249" t="str">
        <x:f>IF('Calculations'!HO249="","",IF('Calculations'!HO249="!AMBIG","!AMBIG",IF(COUNTIF('Calculations'!$HE$13:$HE$512,"="&amp;SUBSTITUTE(SUBSTITUTE(SUBSTITUTE('Calculations'!HO249,"~","~~"),"*","~*"),"?","~?"))&gt;1,"!AMBIG",IFERROR(INDEX('Calculations'!$HF$13:$HF$512,MATCH('Calculations'!HO249,'Calculations'!$HE$13:$HE$512,0)),""))))</x:f>
      </x:c>
      <x:c r="HQ249" t="str">
        <x:f>IF('Calculations'!HP249="","",IF('Calculations'!HP249="!AMBIG","!AMBIG",IF(COUNTIF('Calculations'!$HE$13:$HE$512,"="&amp;SUBSTITUTE(SUBSTITUTE(SUBSTITUTE('Calculations'!HP249,"~","~~"),"*","~*"),"?","~?"))&gt;1,"!AMBIG",IFERROR(INDEX('Calculations'!$HF$13:$HF$512,MATCH('Calculations'!HP249,'Calculations'!$HE$13:$HE$512,0)),""))))</x:f>
      </x:c>
      <x:c r="HR249" t="str">
        <x:f>IF('Calculations'!HQ249="","",IF('Calculations'!HQ249="!AMBIG","!AMBIG",IF(COUNTIF('Calculations'!$HE$13:$HE$512,"="&amp;SUBSTITUTE(SUBSTITUTE(SUBSTITUTE('Calculations'!HQ249,"~","~~"),"*","~*"),"?","~?"))&gt;1,"!AMBIG",IFERROR(INDEX('Calculations'!$HF$13:$HF$512,MATCH('Calculations'!HQ249,'Calculations'!$HE$13:$HE$512,0)),""))))</x:f>
      </x:c>
      <x:c r="HS249" t="str">
        <x:f>IF('Calculations'!HR249="","",IF('Calculations'!HR249="!AMBIG","!AMBIG",IF(COUNTIF('Calculations'!$HE$13:$HE$512,"="&amp;SUBSTITUTE(SUBSTITUTE(SUBSTITUTE('Calculations'!HR249,"~","~~"),"*","~*"),"?","~?"))&gt;1,"!AMBIG",IFERROR(INDEX('Calculations'!$HF$13:$HF$512,MATCH('Calculations'!HR249,'Calculations'!$HE$13:$HE$512,0)),""))))</x:f>
      </x:c>
      <x:c r="HT249" t="str">
        <x:f>IF('Calculations'!HS249="","",IF('Calculations'!HS249="!AMBIG","!AMBIG",IF(COUNTIF('Calculations'!$HE$13:$HE$512,"="&amp;SUBSTITUTE(SUBSTITUTE(SUBSTITUTE('Calculations'!HS249,"~","~~"),"*","~*"),"?","~?"))&gt;1,"!AMBIG",IFERROR(INDEX('Calculations'!$HF$13:$HF$512,MATCH('Calculations'!HS249,'Calculations'!$HE$13:$HE$512,0)),""))))</x:f>
      </x:c>
      <x:c r="HU249" t="str">
        <x:f>IF('Calculations'!HT249="","",IF('Calculations'!HT249="!AMBIG","!AMBIG",IF(COUNTIF('Calculations'!$HE$13:$HE$512,"="&amp;SUBSTITUTE(SUBSTITUTE(SUBSTITUTE('Calculations'!HT249,"~","~~"),"*","~*"),"?","~?"))&gt;1,"!AMBIG",IFERROR(INDEX('Calculations'!$HF$13:$HF$512,MATCH('Calculations'!HT249,'Calculations'!$HE$13:$HE$512,0)),""))))</x:f>
      </x:c>
      <x:c r="HV249" t="str">
        <x:f>IF('Calculations'!HU249="","",IF('Calculations'!HU249="!AMBIG","!AMBIG",IF(COUNTIF('Calculations'!$HE$13:$HE$512,"="&amp;SUBSTITUTE(SUBSTITUTE(SUBSTITUTE('Calculations'!HU249,"~","~~"),"*","~*"),"?","~?"))&gt;1,"!AMBIG",IFERROR(INDEX('Calculations'!$HF$13:$HF$512,MATCH('Calculations'!HU249,'Calculations'!$HE$13:$HE$512,0)),""))))</x:f>
      </x:c>
      <x:c r="HW249" t="str">
        <x:f>IF('Calculations'!HV249="","",IF('Calculations'!HV249="!AMBIG","!AMBIG",IF(COUNTIF('Calculations'!$HE$13:$HE$512,"="&amp;SUBSTITUTE(SUBSTITUTE(SUBSTITUTE('Calculations'!HV249,"~","~~"),"*","~*"),"?","~?"))&gt;1,"!AMBIG",IFERROR(INDEX('Calculations'!$HF$13:$HF$512,MATCH('Calculations'!HV249,'Calculations'!$HE$13:$HE$512,0)),""))))</x:f>
      </x:c>
      <x:c r="HX249" t="str">
        <x:f>IF('Calculations'!HW249="","",IF('Calculations'!HW249="!AMBIG","!AMBIG",IF(COUNTIF('Calculations'!$HE$13:$HE$512,"="&amp;SUBSTITUTE(SUBSTITUTE(SUBSTITUTE('Calculations'!HW249,"~","~~"),"*","~*"),"?","~?"))&gt;1,"!AMBIG",IFERROR(INDEX('Calculations'!$HF$13:$HF$512,MATCH('Calculations'!HW249,'Calculations'!$HE$13:$HE$512,0)),""))))</x:f>
      </x:c>
      <x:c r="HY249" t="str">
        <x:f>IF('Calculations'!HX249="","",IF('Calculations'!HX249="!AMBIG","!AMBIG",IF(COUNTIF('Calculations'!$HE$13:$HE$512,"="&amp;SUBSTITUTE(SUBSTITUTE(SUBSTITUTE('Calculations'!HX249,"~","~~"),"*","~*"),"?","~?"))&gt;1,"!AMBIG",IFERROR(INDEX('Calculations'!$HF$13:$HF$512,MATCH('Calculations'!HX249,'Calculations'!$HE$13:$HE$512,0)),""))))</x:f>
      </x:c>
      <x:c r="HZ249" t="str">
        <x:f>IF('Calculations'!HY249="","",IF('Calculations'!HY249="!AMBIG","!AMBIG",IF(COUNTIF('Calculations'!$HE$13:$HE$512,"="&amp;SUBSTITUTE(SUBSTITUTE(SUBSTITUTE('Calculations'!HY249,"~","~~"),"*","~*"),"?","~?"))&gt;1,"!AMBIG",IFERROR(INDEX('Calculations'!$HF$13:$HF$512,MATCH('Calculations'!HY249,'Calculations'!$HE$13:$HE$512,0)),""))))</x:f>
      </x:c>
      <x:c r="IA249" t="str">
        <x:f>IF('Calculations'!HZ249="","",IF('Calculations'!HZ249="!AMBIG","!AMBIG",IF(COUNTIF('Calculations'!$HE$13:$HE$512,"="&amp;SUBSTITUTE(SUBSTITUTE(SUBSTITUTE('Calculations'!HZ249,"~","~~"),"*","~*"),"?","~?"))&gt;1,"!AMBIG",IFERROR(INDEX('Calculations'!$HF$13:$HF$512,MATCH('Calculations'!HZ249,'Calculations'!$HE$13:$HE$512,0)),""))))</x:f>
      </x:c>
      <x:c r="IB249" t="str">
        <x:f>IF('Calculations'!IA249="","",IF('Calculations'!IA249="!AMBIG","!AMBIG",IF(COUNTIF('Calculations'!$HE$13:$HE$512,"="&amp;SUBSTITUTE(SUBSTITUTE(SUBSTITUTE('Calculations'!IA249,"~","~~"),"*","~*"),"?","~?"))&gt;1,"!AMBIG",IFERROR(INDEX('Calculations'!$HF$13:$HF$512,MATCH('Calculations'!IA249,'Calculations'!$HE$13:$HE$512,0)),""))))</x:f>
      </x:c>
      <x:c r="IC249" t="str">
        <x:f>IF('Calculations'!IB249="","",IF('Calculations'!IB249="!AMBIG","!AMBIG",IF(COUNTIF('Calculations'!$HE$13:$HE$512,"="&amp;SUBSTITUTE(SUBSTITUTE(SUBSTITUTE('Calculations'!IB249,"~","~~"),"*","~*"),"?","~?"))&gt;1,"!AMBIG",IFERROR(INDEX('Calculations'!$HF$13:$HF$512,MATCH('Calculations'!IB249,'Calculations'!$HE$13:$HE$512,0)),""))))</x:f>
      </x:c>
      <x:c r="ID249" t="str">
        <x:f>IF('Calculations'!IC249="","",IF('Calculations'!IC249="!AMBIG","!AMBIG",IF(COUNTIF('Calculations'!$HE$13:$HE$512,"="&amp;SUBSTITUTE(SUBSTITUTE(SUBSTITUTE('Calculations'!IC249,"~","~~"),"*","~*"),"?","~?"))&gt;1,"!AMBIG",IFERROR(INDEX('Calculations'!$HF$13:$HF$512,MATCH('Calculations'!IC249,'Calculations'!$HE$13:$HE$512,0)),""))))</x:f>
      </x:c>
      <x:c r="IE249" t="str">
        <x:f>IF('Calculations'!ID249="","",IF('Calculations'!ID249="!AMBIG","!AMBIG",IF(COUNTIF('Calculations'!$HE$13:$HE$512,"="&amp;SUBSTITUTE(SUBSTITUTE(SUBSTITUTE('Calculations'!ID249,"~","~~"),"*","~*"),"?","~?"))&gt;1,"!AMBIG",IFERROR(INDEX('Calculations'!$HF$13:$HF$512,MATCH('Calculations'!ID249,'Calculations'!$HE$13:$HE$512,0)),""))))</x:f>
      </x:c>
      <x:c r="IF249" t="str">
        <x:f>IF('Calculations'!IE249="","",IF('Calculations'!IE249="!AMBIG","!AMBIG",IF(COUNTIF('Calculations'!$HE$13:$HE$512,"="&amp;SUBSTITUTE(SUBSTITUTE(SUBSTITUTE('Calculations'!IE249,"~","~~"),"*","~*"),"?","~?"))&gt;1,"!AMBIG",IFERROR(INDEX('Calculations'!$HF$13:$HF$512,MATCH('Calculations'!IE249,'Calculations'!$HE$13:$HE$512,0)),""))))</x:f>
      </x:c>
      <x:c r="IG249" t="str">
        <x:f>IF('Calculations'!IF249="","",IF('Calculations'!IF249="!AMBIG","!AMBIG",IF(COUNTIF('Calculations'!$HE$13:$HE$512,"="&amp;SUBSTITUTE(SUBSTITUTE(SUBSTITUTE('Calculations'!IF249,"~","~~"),"*","~*"),"?","~?"))&gt;1,"!AMBIG",IFERROR(INDEX('Calculations'!$HF$13:$HF$512,MATCH('Calculations'!IF249,'Calculations'!$HE$13:$HE$512,0)),""))))</x:f>
      </x:c>
      <x:c r="IH249" t="str">
        <x:f>IF('Calculations'!IG249="","",IF('Calculations'!IG249="!AMBIG","!AMBIG",IF(COUNTIF('Calculations'!$HE$13:$HE$512,"="&amp;SUBSTITUTE(SUBSTITUTE(SUBSTITUTE('Calculations'!IG249,"~","~~"),"*","~*"),"?","~?"))&gt;1,"!AMBIG",IFERROR(INDEX('Calculations'!$HF$13:$HF$512,MATCH('Calculations'!IG249,'Calculations'!$HE$13:$HE$512,0)),""))))</x:f>
      </x:c>
      <x:c r="II249" t="str">
        <x:f>IF('Calculations'!IH249="","",IF('Calculations'!IH249="!AMBIG","!AMBIG",IF(COUNTIF('Calculations'!$HE$13:$HE$512,"="&amp;SUBSTITUTE(SUBSTITUTE(SUBSTITUTE('Calculations'!IH249,"~","~~"),"*","~*"),"?","~?"))&gt;1,"!AMBIG",IFERROR(INDEX('Calculations'!$HF$13:$HF$512,MATCH('Calculations'!IH249,'Calculations'!$HE$13:$HE$512,0)),""))))</x:f>
      </x:c>
      <x:c r="IJ249" t="str">
        <x:f>IF('Calculations'!EM249="","",IF('Calculations'!$EF$2="All",'Calculations'!HM249,IF('Calculations'!HL249=1,"",IFERROR(IF(MATCH('Calculations'!$EF$2,'Calculations'!HO249:II249,0)=1,'Calculations'!HE249,INDEX('Calculations'!HO249:II249,1,MATCH('Calculations'!$EF$2,'Calculations'!HO249:II249,0)-1)),""))))</x:f>
      </x:c>
      <x:c r="IK249" t="n">
        <x:f>IF(AND('Calculations'!EM249&lt;&gt;"",'Calculations'!$EF$2&lt;&gt;"All",'Calculations'!HF249='Calculations'!$EF$2,'Calculations'!HL249=0,'Calculations'!JD249&gt;0),MAX('Calculations'!$IK$12:IK248)+1,0)</x:f>
        <x:v>0</x:v>
      </x:c>
      <x:c r="JA249" t="n">
        <x:f>IF(OR(IFERROR(INDIRECT("'WCM Calibration Final'!$A$249")&lt;&gt;"",FALSE),IFERROR(INDIRECT("'WCM Calibration Final'!$B$249")&lt;&gt;"",FALSE),IFERROR(INDIRECT("'WCM Calibration Final'!$C$249")&lt;&gt;"",FALSE)),249,0)</x:f>
        <x:v>0</x:v>
      </x:c>
      <x:c r="JB249" t="n">
        <x:f>'Calculations'!JB248+IF('Calculations'!JA249&gt;0,1,0)</x:f>
        <x:v>0</x:v>
      </x:c>
      <x:c r="JC249" t="n">
        <x:f>IF(OR('Calculations'!HF249="",'Calculations'!HF249="!AMBIG"),0,IF('Dashboard'!$B$7="All",1,COUNTIFS('Calculations'!$HO$13:$HO$512,"="&amp;SUBSTITUTE(SUBSTITUTE(SUBSTITUTE('Calculations'!HF249,"~","~~"),"*","~*"),"?","~?"),'Calculations'!$HN$13:$HN$512,"="&amp;SUBSTITUTE(SUBSTITUTE(SUBSTITUTE('Dashboard'!$B$7,"~","~~"),"*","~*"),"?","~?"))+COUNTIFS('Calculations'!$HP$13:$HP$512,"="&amp;SUBSTITUTE(SUBSTITUTE(SUBSTITUTE('Calculations'!HF249,"~","~~"),"*","~*"),"?","~?"),'Calculations'!$HN$13:$HN$512,"="&amp;SUBSTITUTE(SUBSTITUTE(SUBSTITUTE('Dashboard'!$B$7,"~","~~"),"*","~*"),"?","~?"))+COUNTIFS('Calculations'!$HQ$13:$HQ$512,"="&amp;SUBSTITUTE(SUBSTITUTE(SUBSTITUTE('Calculations'!HF249,"~","~~"),"*","~*"),"?","~?"),'Calculations'!$HN$13:$HN$512,"="&amp;SUBSTITUTE(SUBSTITUTE(SUBSTITUTE('Dashboard'!$B$7,"~","~~"),"*","~*"),"?","~?"))+COUNTIFS('Calculations'!$HR$13:$HR$512,"="&amp;SUBSTITUTE(SUBSTITUTE(SUBSTITUTE('Calculations'!HF249,"~","~~"),"*","~*"),"?","~?"),'Calculations'!$HN$13:$HN$512,"="&amp;SUBSTITUTE(SUBSTITUTE(SUBSTITUTE('Dashboard'!$B$7,"~","~~"),"*","~*"),"?","~?"))+COUNTIFS('Calculations'!$HS$13:$HS$512,"="&amp;SUBSTITUTE(SUBSTITUTE(SUBSTITUTE('Calculations'!HF249,"~","~~"),"*","~*"),"?","~?"),'Calculations'!$HN$13:$HN$512,"="&amp;SUBSTITUTE(SUBSTITUTE(SUBSTITUTE('Dashboard'!$B$7,"~","~~"),"*","~*"),"?","~?"))+COUNTIFS('Calculations'!$HT$13:$HT$512,"="&amp;SUBSTITUTE(SUBSTITUTE(SUBSTITUTE('Calculations'!HF249,"~","~~"),"*","~*"),"?","~?"),'Calculations'!$HN$13:$HN$512,"="&amp;SUBSTITUTE(SUBSTITUTE(SUBSTITUTE('Dashboard'!$B$7,"~","~~"),"*","~*"),"?","~?"))+COUNTIFS('Calculations'!$HU$13:$HU$512,"="&amp;SUBSTITUTE(SUBSTITUTE(SUBSTITUTE('Calculations'!HF249,"~","~~"),"*","~*"),"?","~?"),'Calculations'!$HN$13:$HN$512,"="&amp;SUBSTITUTE(SUBSTITUTE(SUBSTITUTE('Dashboard'!$B$7,"~","~~"),"*","~*"),"?","~?"))+COUNTIFS('Calculations'!$HV$13:$HV$512,"="&amp;SUBSTITUTE(SUBSTITUTE(SUBSTITUTE('Calculations'!HF249,"~","~~"),"*","~*"),"?","~?"),'Calculations'!$HN$13:$HN$512,"="&amp;SUBSTITUTE(SUBSTITUTE(SUBSTITUTE('Dashboard'!$B$7,"~","~~"),"*","~*"),"?","~?"))+COUNTIFS('Calculations'!$HW$13:$HW$512,"="&amp;SUBSTITUTE(SUBSTITUTE(SUBSTITUTE('Calculations'!HF249,"~","~~"),"*","~*"),"?","~?"),'Calculations'!$HN$13:$HN$512,"="&amp;SUBSTITUTE(SUBSTITUTE(SUBSTITUTE('Dashboard'!$B$7,"~","~~"),"*","~*"),"?","~?"))+COUNTIFS('Calculations'!$HX$13:$HX$512,"="&amp;SUBSTITUTE(SUBSTITUTE(SUBSTITUTE('Calculations'!HF249,"~","~~"),"*","~*"),"?","~?"),'Calculations'!$HN$13:$HN$512,"="&amp;SUBSTITUTE(SUBSTITUTE(SUBSTITUTE('Dashboard'!$B$7,"~","~~"),"*","~*"),"?","~?"))+COUNTIFS('Calculations'!$HY$13:$HY$512,"="&amp;SUBSTITUTE(SUBSTITUTE(SUBSTITUTE('Calculations'!HF249,"~","~~"),"*","~*"),"?","~?"),'Calculations'!$HN$13:$HN$512,"="&amp;SUBSTITUTE(SUBSTITUTE(SUBSTITUTE('Dashboard'!$B$7,"~","~~"),"*","~*"),"?","~?"))+COUNTIFS('Calculations'!$HZ$13:$HZ$512,"="&amp;SUBSTITUTE(SUBSTITUTE(SUBSTITUTE('Calculations'!HF249,"~","~~"),"*","~*"),"?","~?"),'Calculations'!$HN$13:$HN$512,"="&amp;SUBSTITUTE(SUBSTITUTE(SUBSTITUTE('Dashboard'!$B$7,"~","~~"),"*","~*"),"?","~?"))+COUNTIFS('Calculations'!$IA$13:$IA$512,"="&amp;SUBSTITUTE(SUBSTITUTE(SUBSTITUTE('Calculations'!HF249,"~","~~"),"*","~*"),"?","~?"),'Calculations'!$HN$13:$HN$512,"="&amp;SUBSTITUTE(SUBSTITUTE(SUBSTITUTE('Dashboard'!$B$7,"~","~~"),"*","~*"),"?","~?"))+COUNTIFS('Calculations'!$IB$13:$IB$512,"="&amp;SUBSTITUTE(SUBSTITUTE(SUBSTITUTE('Calculations'!HF249,"~","~~"),"*","~*"),"?","~?"),'Calculations'!$HN$13:$HN$512,"="&amp;SUBSTITUTE(SUBSTITUTE(SUBSTITUTE('Dashboard'!$B$7,"~","~~"),"*","~*"),"?","~?"))+COUNTIFS('Calculations'!$IC$13:$IC$512,"="&amp;SUBSTITUTE(SUBSTITUTE(SUBSTITUTE('Calculations'!HF249,"~","~~"),"*","~*"),"?","~?"),'Calculations'!$HN$13:$HN$512,"="&amp;SUBSTITUTE(SUBSTITUTE(SUBSTITUTE('Dashboard'!$B$7,"~","~~"),"*","~*"),"?","~?"))+COUNTIFS('Calculations'!$ID$13:$ID$512,"="&amp;SUBSTITUTE(SUBSTITUTE(SUBSTITUTE('Calculations'!HF249,"~","~~"),"*","~*"),"?","~?"),'Calculations'!$HN$13:$HN$512,"="&amp;SUBSTITUTE(SUBSTITUTE(SUBSTITUTE('Dashboard'!$B$7,"~","~~"),"*","~*"),"?","~?"))+COUNTIFS('Calculations'!$IE$13:$IE$512,"="&amp;SUBSTITUTE(SUBSTITUTE(SUBSTITUTE('Calculations'!HF249,"~","~~"),"*","~*"),"?","~?"),'Calculations'!$HN$13:$HN$512,"="&amp;SUBSTITUTE(SUBSTITUTE(SUBSTITUTE('Dashboard'!$B$7,"~","~~"),"*","~*"),"?","~?"))+COUNTIFS('Calculations'!$IF$13:$IF$512,"="&amp;SUBSTITUTE(SUBSTITUTE(SUBSTITUTE('Calculations'!HF249,"~","~~"),"*","~*"),"?","~?"),'Calculations'!$HN$13:$HN$512,"="&amp;SUBSTITUTE(SUBSTITUTE(SUBSTITUTE('Dashboard'!$B$7,"~","~~"),"*","~*"),"?","~?"))+COUNTIFS('Calculations'!$IG$13:$IG$512,"="&amp;SUBSTITUTE(SUBSTITUTE(SUBSTITUTE('Calculations'!HF249,"~","~~"),"*","~*"),"?","~?"),'Calculations'!$HN$13:$HN$512,"="&amp;SUBSTITUTE(SUBSTITUTE(SUBSTITUTE('Dashboard'!$B$7,"~","~~"),"*","~*"),"?","~?"))+COUNTIFS('Calculations'!$IH$13:$IH$512,"="&amp;SUBSTITUTE(SUBSTITUTE(SUBSTITUTE('Calculations'!HF249,"~","~~"),"*","~*"),"?","~?"),'Calculations'!$HN$13:$HN$512,"="&amp;SUBSTITUTE(SUBSTITUTE(SUBSTITUTE('Dashboard'!$B$7,"~","~~"),"*","~*"),"?","~?"))))</x:f>
        <x:v>0</x:v>
      </x:c>
      <x:c r="JD249" t="n">
        <x:f>IF('Calculations'!EM249="",0,IF('Dashboard'!$B$7="All",1,IF('Calculations'!HN249='Dashboard'!$B$7,1,0)+IFERROR(INDEX('Calculations'!$JC$13:$JC$512,MATCH('Calculations'!HE249,'Calculations'!$HF$13:$HF$512,0)),0)))</x:f>
        <x:v>0</x:v>
      </x:c>
      <x:c r="JE249" t="n">
        <x:f>IF(AND('Calculations'!EM249&lt;&gt;"",'Calculations'!$JJ$2&lt;&gt;"All",'Calculations'!$JJ$2&lt;&gt;"",'Calculations'!HF249='Calculations'!$JJ$2,'Calculations'!HL249=0,'Calculations'!JD249&gt;0),MAX('Calculations'!$JE$12:JE248)+1,0)</x:f>
        <x:v>0</x:v>
      </x:c>
      <x:c r="JF249" t="str">
        <x:f>IF('Calculations'!EM249="","",IFERROR(IF(INDEX(INDIRECT("'WCM Calibration Final'!$G$1:$G$2000"),'Calculations'!$EM249)="","",TRIM(INDEX(INDIRECT("'WCM Calibration Final'!$G$1:$G$2000"),'Calculations'!$EM249)&amp;"")),""))</x:f>
      </x:c>
      <x:c r="JQ249" t="n">
        <x:f>IF(OR('Calculations'!BM249=0,NOT('Calculations'!$AG$2),'Calculations'!$AG$8&gt;0),0,IF(OR('Dashboard'!$B$7="All",'Calculations'!HN249='Dashboard'!$B$7),IF('Calculations'!$JJ$2="All",1,IF(AND('Calculations'!HF249='Calculations'!$JJ$2,'Calculations'!HL249=0),1,0)),0))</x:f>
        <x:v>0</x:v>
      </x:c>
    </x:row>
    <x:row r="250">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t="n">
        <x:f>IF('Calculations'!$EM250="",0,IF(OR(IFERROR(INDEX(INDIRECT("'WCM Calibration Final'!$A$1:$A$2000"),'Calculations'!$EM250)&lt;&gt;"",FALSE),IFERROR(INDEX(INDIRECT("'WCM Calibration Final'!$B$1:$B$2000"),'Calculations'!$EM250)&lt;&gt;"",FALSE),IFERROR(INDEX(INDIRECT("'WCM Calibration Final'!$C$1:$C$2000"),'Calculations'!$EM250)&lt;&gt;"",FALSE)),1,0))</x:f>
        <x:v>0</x:v>
      </x:c>
      <x:c r="BN250" s="4" t="n">
        <x:f>IF(AND('Calculations'!BM250=1,'Calculations'!$AG$2,'Calculations'!$EN250=1),1,0)</x:f>
        <x:v>0</x:v>
      </x:c>
      <x:c r="BO250" s="4" t="str">
        <x:f>IF('Calculations'!BM250=0,"",IFERROR(IF(AND(VALUE(INDEX(INDIRECT("'WCM Calibration Final'!$K$1:$K$2000"),'Calculations'!$EM250))&gt;=1,VALUE(INDEX(INDIRECT("'WCM Calibration Final'!$K$1:$K$2000"),'Calculations'!$EM250))&lt;=4,MOD(VALUE(INDEX(INDIRECT("'WCM Calibration Final'!$K$1:$K$2000"),'Calculations'!$EM250)),1)=0),VALUE(INDEX(INDIRECT("'WCM Calibration Final'!$K$1:$K$2000"),'Calculations'!$EM250)),""),""))</x:f>
      </x:c>
      <x:c r="BP250" s="4" t="str">
        <x:f>IF('Calculations'!BM250=0,"",IFERROR(IF(AND(VALUE(INDEX(INDIRECT("'WCM Calibration Final'!$L$1:$L$2000"),'Calculations'!$EM250))&gt;=1,VALUE(INDEX(INDIRECT("'WCM Calibration Final'!$L$1:$L$2000"),'Calculations'!$EM250))&lt;=4,MOD(VALUE(INDEX(INDIRECT("'WCM Calibration Final'!$L$1:$L$2000"),'Calculations'!$EM250)),1)=0),VALUE(INDEX(INDIRECT("'WCM Calibration Final'!$L$1:$L$2000"),'Calculations'!$EM250)),""),""))</x:f>
      </x:c>
      <x:c r="BQ250" s="4"/>
      <x:c r="BR250" s="4"/>
      <x:c r="BS250" s="4"/>
      <x:c r="BT250" s="4" t="n">
        <x:f>IF(AND('Calculations'!BM250=1,ISNUMBER('Calculations'!BO250),ISNUMBER('Calculations'!BP250)),1,0)</x:f>
        <x:v>0</x:v>
      </x:c>
      <x:c r="BU250" s="4" t="str">
        <x:f>IF('Calculations'!BM250=0,"",'Calculations'!$EO250)</x:f>
      </x:c>
      <x:c r="BV250" s="4" t="str">
        <x:f>IF('Calculations'!BM250=0,"",IFERROR(IF(OR(INDEX(INDIRECT("'WCM Calibration Final'!$H$1:$H$2000"),'Calculations'!$EM250)="MANAGING DIRECTOR",INDEX(INDIRECT("'WCM Calibration Final'!$H$1:$H$2000"),'Calculations'!$EM250)="DIRECTOR",INDEX(INDIRECT("'WCM Calibration Final'!$H$1:$H$2000"),'Calculations'!$EM250)="SENIOR VICE PRESIDENT",INDEX(INDIRECT("'WCM Calibration Final'!$H$1:$H$2000"),'Calculations'!$EM250)="VICE PRESIDENT",INDEX(INDIRECT("'WCM Calibration Final'!$H$1:$H$2000"),'Calculations'!$EM250)="ASSISTANT VICE PRESIDENT",INDEX(INDIRECT("'WCM Calibration Final'!$H$1:$H$2000"),'Calculations'!$EM250)="OFFICER"),UPPER(INDEX(INDIRECT("'WCM Calibration Final'!$H$1:$H$2000"),'Calculations'!$EM250)),"Other"),"Other"))</x:f>
      </x:c>
      <x:c r="BW250" s="4"/>
      <x:c r="BX250" s="4"/>
      <x:c r="BY250" s="4" t="n">
        <x:f>IF(AND('Calculations'!BM250=1,'Calculations'!BU250&lt;&gt;"",COUNTIF('Calculations'!$BU$12:BU250,'Calculations'!BU250)=1),MAX('Calculations'!$BY$11:BY249)+1,0)</x:f>
        <x:v>0</x:v>
      </x:c>
      <x:c r="BZ250" s="4" t="str">
        <x:f>IF('Dashboard'!$E$67="What",'Calculations'!BO250,'Calculations'!BP250)</x:f>
      </x:c>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t="str">
        <x:f>IF(239&gt;MAX('Calculations'!$HI$13:$HI$512),"",INDEX('Calculations'!$HN$13:$HN$512,MATCH(239,'Calculations'!$HI$13:$HI$512,0)))</x:f>
      </x:c>
      <x:c r="DB250" s="4" t="str">
        <x:f>IF(239&gt;MAX('Calculations'!$HH$13:$HH$512),"",INDEX('Calculations'!$HJ$13:$HJ$512,MATCH(239,'Calculations'!$HH$13:$HH$512,0)))</x:f>
      </x:c>
      <x:c r="DC250" s="4" t="str">
        <x:f>IF(ROW()-11&gt;MAX('Calculations'!$BY$13:$BY$512),"",INDEX('Calculations'!$BU$13:$BU$512,MATCH(ROW()-11,'Calculations'!$BY$13:$BY$512,0)))</x:f>
      </x:c>
      <x:c r="DD250" s="4" t="str">
        <x:f>IF(239&gt;MAX('Calculations'!$IK$13:$IK$512),"",INDEX('Calculations'!$HK$13:$HK$512,MATCH(239,'Calculations'!$IK$13:$IK$512,0)))</x:f>
      </x:c>
      <x:c r="DE250" s="4" t="str">
        <x:f>'Calculations'!DC250</x:f>
      </x:c>
      <x:c r="DF250" s="4" t="str">
        <x:f>IF('Calculations'!DE250="","",COUNTIFS('Calculations'!$BN$13:$BN$512,1,'Calculations'!$BU$13:$BU$512,'Calculations'!DE250))</x:f>
      </x:c>
      <x:c r="DG250" s="4" t="str">
        <x:f>IF('Calculations'!DE250="","",COUNTIFS('Calculations'!$BN$13:$BN$512,1,'Calculations'!$BU$13:$BU$512,'Calculations'!DE250,'Calculations'!$BT$13:$BT$512,1))</x:f>
      </x:c>
      <x:c r="DH250" s="4" t="str">
        <x:f>IF('Calculations'!DE250="","",'Calculations'!DF250-'Calculations'!DG250)</x:f>
      </x:c>
      <x:c r="DI250" s="4" t="str">
        <x:f>IF(OR('Calculations'!DE250="",'Calculations'!DF250=0),"",'Calculations'!DG250/'Calculations'!DF250)</x:f>
      </x:c>
      <x:c r="DJ250" s="4" t="str">
        <x:f>IF('Calculations'!DE250="","",COUNTIFS('Calculations'!$BN$13:$BN$512,1,'Calculations'!$BU$13:$BU$512,'Calculations'!DE250,'Calculations'!$BT$13:$BT$512,1,'Calculations'!$EE$13:$EE$512,"High"))</x:f>
      </x:c>
      <x:c r="DK250" s="4" t="str">
        <x:f>IF('Calculations'!DE250="","",COUNTIFS('Calculations'!$BN$13:$BN$512,1,'Calculations'!$BU$13:$BU$512,'Calculations'!DE250,'Calculations'!$BT$13:$BT$512,1,'Calculations'!$EE$13:$EE$512,"Strong"))</x:f>
      </x:c>
      <x:c r="DL250" s="4" t="str">
        <x:f>IF('Calculations'!DE250="","",COUNTIFS('Calculations'!$BN$13:$BN$512,1,'Calculations'!$BU$13:$BU$512,'Calculations'!DE250,'Calculations'!$BT$13:$BT$512,1,'Calculations'!$EE$13:$EE$512,"Solid"))</x:f>
      </x:c>
      <x:c r="DM250" s="4" t="str">
        <x:f>IF('Calculations'!DE250="","",COUNTIFS('Calculations'!$BN$13:$BN$512,1,'Calculations'!$BU$13:$BU$512,'Calculations'!DE250,'Calculations'!$BT$13:$BT$512,1,'Calculations'!$EE$13:$EE$512,"Low"))</x:f>
      </x:c>
      <x:c r="DN250" s="4" t="str">
        <x:f>IF('Calculations'!DE250="","",COUNTIFS('Calculations'!$BN$13:$BN$512,1,'Calculations'!$BU$13:$BU$512,'Calculations'!DE250,'Calculations'!$EP$13:$EP$512,1))</x:f>
      </x:c>
      <x:c r="DO250" s="4" t="str">
        <x:f>IF(OR('Calculations'!DE250="",'Calculations'!DG250=0),"",('Calculations'!DJ250+'Calculations'!DK250)/'Calculations'!DG250)</x:f>
      </x:c>
      <x:c r="DP250" s="4" t="n">
        <x:f>IF(AND('Calculations'!DE250&lt;&gt;"",'Calculations'!DF250&gt;0),COUNTIF('Calculations'!$DF$12:DF250,"&gt;0"),0)</x:f>
        <x:v>0</x:v>
      </x:c>
      <x:c r="DQ250" s="4" t="str">
        <x:f>IF(239&gt;MAX('Calculations'!$HH$13:$HH$512),"",INDEX('Calculations'!$HF$13:$HF$512,MATCH(239,'Calculations'!$HH$13:$HH$512,0)))</x:f>
      </x:c>
      <x:c r="DR250" s="4" t="str">
        <x:f>IF(239&gt;MAX('Calculations'!$IK$13:$IK$512),"",INDEX('Calculations'!$HE$13:$HE$512,MATCH(239,'Calculations'!$IK$13:$IK$512,0)))</x:f>
      </x:c>
      <x:c r="DS250" s="4"/>
      <x:c r="DT250" s="4"/>
      <x:c r="DU250" s="4"/>
      <x:c r="DV250" s="4"/>
      <x:c r="DW250" s="4"/>
      <x:c r="DX250" s="4"/>
      <x:c r="DY250" s="4"/>
      <x:c r="DZ250" s="4"/>
      <x:c r="EA250" s="4"/>
      <x:c r="EB250" s="4"/>
      <x:c r="EC250" s="4"/>
      <x:c r="ED250" s="4"/>
      <x:c r="EE250" s="4" t="str">
        <x:f>IF('Calculations'!BT250=0,"Not Rated",IF(OR('Calculations'!BO250&gt;=4,'Calculations'!BP250&gt;=4),"Low",IF('Calculations'!BO250+'Calculations'!BP250&lt;=3,"High",IF('Calculations'!BO250+'Calculations'!BP250&lt;=4,"Strong","Solid"))))</x:f>
        <x:v>Not Rated</x:v>
      </x:c>
      <x:c r="EF250" s="4"/>
      <x:c r="EG250" s="4"/>
      <x:c r="EH250" s="4"/>
      <x:c r="EI250" s="4"/>
      <x:c r="EJ250" s="4"/>
      <x:c r="EK250" s="4"/>
      <x:c r="EL250" s="4"/>
      <x:c r="EM250" s="4" t="str">
        <x:f>IF(238&gt;'Calculations'!$JB$2000,"",INDEX('Calculations'!$JA$12:$JA$2000,MATCH(238,'Calculations'!$JB$12:$JB$2000,0)))</x:f>
      </x:c>
      <x:c r="EN250" s="4" t="n">
        <x:f>IF(OR('Calculations'!EM250="",'Calculations'!$AG$8&gt;0,AND('Calculations'!$EF$2&lt;&gt;"All",'Calculations'!HE250='Calculations'!$EF$2),AND('Calculations'!$EF$3&lt;&gt;"All",'Calculations'!HE250='Calculations'!$EF$3)),0,IF(OR('Dashboard'!$B$7="All",'Calculations'!HN250='Dashboard'!$B$7),IF('Calculations'!$EF$2="All",1,IF('Calculations'!HL250&gt;0,0,IF(COUNTIF('Calculations'!HO250:II250,"="&amp;SUBSTITUTE(SUBSTITUTE(SUBSTITUTE('Calculations'!$EF$2,"~","~~"),"*","~*"),"?","~?"))=0,0,IF('Calculations'!$EF$3="All",1,IF(COUNTIF('Calculations'!HO250:II250,"="&amp;SUBSTITUTE(SUBSTITUTE(SUBSTITUTE('Calculations'!$EF$3,"~","~~"),"*","~*"),"?","~?"))&gt;0,1,0))))),0))</x:f>
        <x:v>0</x:v>
      </x:c>
      <x:c r="EO250" s="4" t="str">
        <x:f>IF('Calculations'!IJ250="","",IF('Calculations'!IJ250="!UNRESOLVED","Unresolved hierarchy",IFERROR(INDEX('Calculations'!$HK$13:$HK$512,MATCH('Calculations'!IJ250,'Calculations'!$HE$13:$HE$512,0)),IFERROR(INDEX('Calculations'!$HJ$13:$HJ$512,MATCH('Calculations'!IJ250,'Calculations'!$HF$13:$HF$512,0)),'Calculations'!IJ250))))</x:f>
      </x:c>
      <x:c r="EP250" s="4" t="n">
        <x:f>IF(AND('Calculations'!EM250&lt;&gt;"",'Calculations'!HF250='Calculations'!IJ250),1,0)</x:f>
        <x:v>0</x:v>
      </x:c>
      <x:c r="EQ250" s="4"/>
      <x:c r="ER250" s="4"/>
      <x:c r="ES250" s="4"/>
      <x:c r="ET250" s="4"/>
      <x:c r="EU250" s="4"/>
      <x:c r="EV250" s="4"/>
      <x:c r="EW250" s="4"/>
      <x:c r="EX250" s="4"/>
      <x:c r="EY250" s="4"/>
      <x:c r="EZ250" s="4"/>
      <x:c r="FA250" s="4"/>
      <x:c r="FB250" s="4"/>
      <x:c r="FC250" s="4"/>
      <x:c r="FD250" s="4"/>
      <x:c r="FE250" s="4"/>
      <x:c r="FF250" s="4"/>
      <x:c r="FG250" s="4"/>
      <x:c r="FH250" s="4"/>
      <x:c r="FI250" s="4"/>
      <x:c r="FJ250" s="4"/>
      <x:c r="FK250" s="4"/>
      <x:c r="FL250" s="4"/>
      <x:c r="FM250" s="4"/>
      <x:c r="FN250" s="4"/>
      <x:c r="FO250" s="4"/>
      <x:c r="HE250" t="str">
        <x:f>IF('Calculations'!EM250="","",IF(IFERROR(IF(INDEX(INDIRECT("'WCM Calibration Final'!$A$1:$A$2000"),'Calculations'!$EM250)="","",TRIM(INDEX(INDIRECT("'WCM Calibration Final'!$A$1:$A$2000"),'Calculations'!$EM250)&amp;"")),"")&lt;&gt;"","G:"&amp;IFERROR(TEXT(1*INDEX(INDIRECT("'WCM Calibration Final'!$A$1:$A$2000"),'Calculations'!$EM250),"0"),UPPER(IFERROR(IF(INDEX(INDIRECT("'WCM Calibration Final'!$A$1:$A$2000"),'Calculations'!$EM250)="","",TRIM(INDEX(INDIRECT("'WCM Calibration Final'!$A$1:$A$2000"),'Calculations'!$EM250)&amp;"")),""))),IF(IFERROR(IF(INDEX(INDIRECT("'WCM Calibration Final'!$C$1:$C$2000"),'Calculations'!$EM250)="","",TRIM(INDEX(INDIRECT("'WCM Calibration Final'!$C$1:$C$2000"),'Calculations'!$EM250)&amp;"")),"")&lt;&gt;"","S:"&amp;UPPER(IFERROR(IF(INDEX(INDIRECT("'WCM Calibration Final'!$C$1:$C$2000"),'Calculations'!$EM250)="","",TRIM(INDEX(INDIRECT("'WCM Calibration Final'!$C$1:$C$2000"),'Calculations'!$EM250)&amp;"")),"")),"R:"&amp;'Calculations'!EM250)))</x:f>
      </x:c>
      <x:c r="HF250" t="str">
        <x:f>IF('Calculations'!EM250="","",IF(IFERROR(IF(INDEX(INDIRECT("'WCM Calibration Final'!$D$1:$D$2000"),'Calculations'!$EM250)="","",TRIM(INDEX(INDIRECT("'WCM Calibration Final'!$D$1:$D$2000"),'Calculations'!$EM250)&amp;"")),"")&lt;&gt;"","G:"&amp;IFERROR(TEXT(1*INDEX(INDIRECT("'WCM Calibration Final'!$D$1:$D$2000"),'Calculations'!$EM250),"0"),UPPER(IFERROR(IF(INDEX(INDIRECT("'WCM Calibration Final'!$D$1:$D$2000"),'Calculations'!$EM250)="","",TRIM(INDEX(INDIRECT("'WCM Calibration Final'!$D$1:$D$2000"),'Calculations'!$EM250)&amp;"")),""))),IF(IFERROR(IF(INDEX(INDIRECT("'WCM Calibration Final'!$E$1:$E$2000"),'Calculations'!$EM250)="","",TRIM(INDEX(INDIRECT("'WCM Calibration Final'!$E$1:$E$2000"),'Calculations'!$EM250)&amp;"")),"")="","",IF(COUNTIF('Calculations'!$HG$13:$HG$512,"="&amp;SUBSTITUTE(SUBSTITUTE(SUBSTITUTE(IFERROR(IF(INDEX(INDIRECT("'WCM Calibration Final'!$E$1:$E$2000"),'Calculations'!$EM250)="","",TRIM(INDEX(INDIRECT("'WCM Calibration Final'!$E$1:$E$2000"),'Calculations'!$EM250)&amp;"")),""),"~","~~"),"*","~*"),"?","~?"))=1,INDEX('Calculations'!$HE$13:$HE$512,MATCH(IFERROR(IF(INDEX(INDIRECT("'WCM Calibration Final'!$E$1:$E$2000"),'Calculations'!$EM250)="","",TRIM(INDEX(INDIRECT("'WCM Calibration Final'!$E$1:$E$2000"),'Calculations'!$EM250)&amp;"")),""),'Calculations'!$HG$13:$HG$512,0)),IF(COUNTIF('Calculations'!$HG$13:$HG$512,"="&amp;SUBSTITUTE(SUBSTITUTE(SUBSTITUTE(IFERROR(IF(INDEX(INDIRECT("'WCM Calibration Final'!$E$1:$E$2000"),'Calculations'!$EM250)="","",TRIM(INDEX(INDIRECT("'WCM Calibration Final'!$E$1:$E$2000"),'Calculations'!$EM250)&amp;"")),""),"~","~~"),"*","~*"),"?","~?"))&gt;1,"!AMBIG","X:"&amp;IFERROR(IF(INDEX(INDIRECT("'WCM Calibration Final'!$E$1:$E$2000"),'Calculations'!$EM250)="","",TRIM(INDEX(INDIRECT("'WCM Calibration Final'!$E$1:$E$2000"),'Calculations'!$EM250)&amp;"")),""))))))</x:f>
      </x:c>
      <x:c r="HG250" t="str">
        <x:f>IF('Calculations'!EM250="","",IFERROR(IF(INDEX(INDIRECT("'WCM Calibration Final'!$B$1:$B$2000"),'Calculations'!$EM250)="","",TRIM(INDEX(INDIRECT("'WCM Calibration Final'!$B$1:$B$2000"),'Calculations'!$EM250)&amp;"")),""))</x:f>
      </x:c>
      <x:c r="HH250" t="n">
        <x:f>IF(AND('Calculations'!JC250&gt;0,COUNTIF('Calculations'!$HF$12:HF250,"="&amp;SUBSTITUTE(SUBSTITUTE(SUBSTITUTE('Calculations'!HF250,"~","~~"),"*","~*"),"?","~?"))=1),MAX('Calculations'!$HH$12:HH249)+1,0)</x:f>
        <x:v>0</x:v>
      </x:c>
      <x:c r="HI250" t="n">
        <x:f>IF(AND('Calculations'!HN250&lt;&gt;"",COUNTIF('Calculations'!$HN$12:HN250,"="&amp;SUBSTITUTE(SUBSTITUTE(SUBSTITUTE('Calculations'!HN250,"~","~~"),"*","~*"),"?","~?"))=1),MAX('Calculations'!$HI$12:HI249)+1,0)</x:f>
        <x:v>0</x:v>
      </x:c>
      <x:c r="HJ250" t="str">
        <x:f>IF('Calculations'!HF250="","",IF(COUNTIF('Calculations'!$HE$13:$HE$512,"="&amp;SUBSTITUTE(SUBSTITUTE(SUBSTITUTE('Calculations'!HF250,"~","~~"),"*","~*"),"?","~?"))=1,INDEX('Calculations'!$HK$13:$HK$512,MATCH('Calculations'!HF250,'Calculations'!$HE$13:$HE$512,0)),IFERROR(IF(INDEX(INDIRECT("'WCM Calibration Final'!$E$1:$E$2000"),'Calculations'!$EM250)="","",TRIM(INDEX(INDIRECT("'WCM Calibration Final'!$E$1:$E$2000"),'Calculations'!$EM250)&amp;"")),"")&amp;" ["&amp;'Calculations'!HF250&amp;"]"))</x:f>
      </x:c>
      <x:c r="HK250" t="str">
        <x:f>IF('Calculations'!EM250="","",'Calculations'!HG250&amp;" ["&amp;'Calculations'!HE250&amp;"]")</x:f>
      </x:c>
      <x:c r="HL250" t="n">
        <x:f>IF('Calculations'!EM250="",0,IF(OR('Calculations'!II250&lt;&gt;"",COUNTIF('Calculations'!$HE$13:$HE$512,"="&amp;SUBSTITUTE(SUBSTITUTE(SUBSTITUTE('Calculations'!HE250,"~","~~"),"*","~*"),"?","~?"))&gt;1),1,0))</x:f>
        <x:v>0</x:v>
      </x:c>
      <x:c r="HM250" t="str">
        <x:f>IF('Calculations'!EM250="","",IF('Calculations'!HL250=1,"!UNRESOLVED",IF('Calculations'!IH250&lt;&gt;"",'Calculations'!IH250,IF('Calculations'!IG250&lt;&gt;"",'Calculations'!IG250,IF('Calculations'!IF250&lt;&gt;"",'Calculations'!IF250,IF('Calculations'!IE250&lt;&gt;"",'Calculations'!IE250,IF('Calculations'!ID250&lt;&gt;"",'Calculations'!ID250,IF('Calculations'!IC250&lt;&gt;"",'Calculations'!IC250,IF('Calculations'!IB250&lt;&gt;"",'Calculations'!IB250,IF('Calculations'!IA250&lt;&gt;"",'Calculations'!IA250,IF('Calculations'!HZ250&lt;&gt;"",'Calculations'!HZ250,IF('Calculations'!HY250&lt;&gt;"",'Calculations'!HY250,IF('Calculations'!HX250&lt;&gt;"",'Calculations'!HX250,IF('Calculations'!HW250&lt;&gt;"",'Calculations'!HW250,IF('Calculations'!HV250&lt;&gt;"",'Calculations'!HV250,IF('Calculations'!HU250&lt;&gt;"",'Calculations'!HU250,IF('Calculations'!HT250&lt;&gt;"",'Calculations'!HT250,IF('Calculations'!HS250&lt;&gt;"",'Calculations'!HS250,IF('Calculations'!HR250&lt;&gt;"",'Calculations'!HR250,IF('Calculations'!HQ250&lt;&gt;"",'Calculations'!HQ250,IF('Calculations'!HP250&lt;&gt;"",'Calculations'!HP250,IF('Calculations'!HO250&lt;&gt;"",'Calculations'!HO250,'Calculations'!HE250))))))))))))))))))))))</x:f>
      </x:c>
      <x:c r="HN250" t="str">
        <x:f>IF('Calculations'!EM250="","",IF(IFERROR(IF(INDEX(INDIRECT("'WCM Calibration Final'!$F$1:$F$2000"),'Calculations'!$EM250)="","",TRIM(INDEX(INDIRECT("'WCM Calibration Final'!$F$1:$F$2000"),'Calculations'!$EM250)&amp;"")),"")="","(Blank)",IFERROR(IF(INDEX(INDIRECT("'WCM Calibration Final'!$F$1:$F$2000"),'Calculations'!$EM250)="","",TRIM(INDEX(INDIRECT("'WCM Calibration Final'!$F$1:$F$2000"),'Calculations'!$EM250)&amp;"")),"")))</x:f>
      </x:c>
      <x:c r="HO250" t="str">
        <x:f>'Calculations'!HF250</x:f>
      </x:c>
      <x:c r="HP250" t="str">
        <x:f>IF('Calculations'!HO250="","",IF('Calculations'!HO250="!AMBIG","!AMBIG",IF(COUNTIF('Calculations'!$HE$13:$HE$512,"="&amp;SUBSTITUTE(SUBSTITUTE(SUBSTITUTE('Calculations'!HO250,"~","~~"),"*","~*"),"?","~?"))&gt;1,"!AMBIG",IFERROR(INDEX('Calculations'!$HF$13:$HF$512,MATCH('Calculations'!HO250,'Calculations'!$HE$13:$HE$512,0)),""))))</x:f>
      </x:c>
      <x:c r="HQ250" t="str">
        <x:f>IF('Calculations'!HP250="","",IF('Calculations'!HP250="!AMBIG","!AMBIG",IF(COUNTIF('Calculations'!$HE$13:$HE$512,"="&amp;SUBSTITUTE(SUBSTITUTE(SUBSTITUTE('Calculations'!HP250,"~","~~"),"*","~*"),"?","~?"))&gt;1,"!AMBIG",IFERROR(INDEX('Calculations'!$HF$13:$HF$512,MATCH('Calculations'!HP250,'Calculations'!$HE$13:$HE$512,0)),""))))</x:f>
      </x:c>
      <x:c r="HR250" t="str">
        <x:f>IF('Calculations'!HQ250="","",IF('Calculations'!HQ250="!AMBIG","!AMBIG",IF(COUNTIF('Calculations'!$HE$13:$HE$512,"="&amp;SUBSTITUTE(SUBSTITUTE(SUBSTITUTE('Calculations'!HQ250,"~","~~"),"*","~*"),"?","~?"))&gt;1,"!AMBIG",IFERROR(INDEX('Calculations'!$HF$13:$HF$512,MATCH('Calculations'!HQ250,'Calculations'!$HE$13:$HE$512,0)),""))))</x:f>
      </x:c>
      <x:c r="HS250" t="str">
        <x:f>IF('Calculations'!HR250="","",IF('Calculations'!HR250="!AMBIG","!AMBIG",IF(COUNTIF('Calculations'!$HE$13:$HE$512,"="&amp;SUBSTITUTE(SUBSTITUTE(SUBSTITUTE('Calculations'!HR250,"~","~~"),"*","~*"),"?","~?"))&gt;1,"!AMBIG",IFERROR(INDEX('Calculations'!$HF$13:$HF$512,MATCH('Calculations'!HR250,'Calculations'!$HE$13:$HE$512,0)),""))))</x:f>
      </x:c>
      <x:c r="HT250" t="str">
        <x:f>IF('Calculations'!HS250="","",IF('Calculations'!HS250="!AMBIG","!AMBIG",IF(COUNTIF('Calculations'!$HE$13:$HE$512,"="&amp;SUBSTITUTE(SUBSTITUTE(SUBSTITUTE('Calculations'!HS250,"~","~~"),"*","~*"),"?","~?"))&gt;1,"!AMBIG",IFERROR(INDEX('Calculations'!$HF$13:$HF$512,MATCH('Calculations'!HS250,'Calculations'!$HE$13:$HE$512,0)),""))))</x:f>
      </x:c>
      <x:c r="HU250" t="str">
        <x:f>IF('Calculations'!HT250="","",IF('Calculations'!HT250="!AMBIG","!AMBIG",IF(COUNTIF('Calculations'!$HE$13:$HE$512,"="&amp;SUBSTITUTE(SUBSTITUTE(SUBSTITUTE('Calculations'!HT250,"~","~~"),"*","~*"),"?","~?"))&gt;1,"!AMBIG",IFERROR(INDEX('Calculations'!$HF$13:$HF$512,MATCH('Calculations'!HT250,'Calculations'!$HE$13:$HE$512,0)),""))))</x:f>
      </x:c>
      <x:c r="HV250" t="str">
        <x:f>IF('Calculations'!HU250="","",IF('Calculations'!HU250="!AMBIG","!AMBIG",IF(COUNTIF('Calculations'!$HE$13:$HE$512,"="&amp;SUBSTITUTE(SUBSTITUTE(SUBSTITUTE('Calculations'!HU250,"~","~~"),"*","~*"),"?","~?"))&gt;1,"!AMBIG",IFERROR(INDEX('Calculations'!$HF$13:$HF$512,MATCH('Calculations'!HU250,'Calculations'!$HE$13:$HE$512,0)),""))))</x:f>
      </x:c>
      <x:c r="HW250" t="str">
        <x:f>IF('Calculations'!HV250="","",IF('Calculations'!HV250="!AMBIG","!AMBIG",IF(COUNTIF('Calculations'!$HE$13:$HE$512,"="&amp;SUBSTITUTE(SUBSTITUTE(SUBSTITUTE('Calculations'!HV250,"~","~~"),"*","~*"),"?","~?"))&gt;1,"!AMBIG",IFERROR(INDEX('Calculations'!$HF$13:$HF$512,MATCH('Calculations'!HV250,'Calculations'!$HE$13:$HE$512,0)),""))))</x:f>
      </x:c>
      <x:c r="HX250" t="str">
        <x:f>IF('Calculations'!HW250="","",IF('Calculations'!HW250="!AMBIG","!AMBIG",IF(COUNTIF('Calculations'!$HE$13:$HE$512,"="&amp;SUBSTITUTE(SUBSTITUTE(SUBSTITUTE('Calculations'!HW250,"~","~~"),"*","~*"),"?","~?"))&gt;1,"!AMBIG",IFERROR(INDEX('Calculations'!$HF$13:$HF$512,MATCH('Calculations'!HW250,'Calculations'!$HE$13:$HE$512,0)),""))))</x:f>
      </x:c>
      <x:c r="HY250" t="str">
        <x:f>IF('Calculations'!HX250="","",IF('Calculations'!HX250="!AMBIG","!AMBIG",IF(COUNTIF('Calculations'!$HE$13:$HE$512,"="&amp;SUBSTITUTE(SUBSTITUTE(SUBSTITUTE('Calculations'!HX250,"~","~~"),"*","~*"),"?","~?"))&gt;1,"!AMBIG",IFERROR(INDEX('Calculations'!$HF$13:$HF$512,MATCH('Calculations'!HX250,'Calculations'!$HE$13:$HE$512,0)),""))))</x:f>
      </x:c>
      <x:c r="HZ250" t="str">
        <x:f>IF('Calculations'!HY250="","",IF('Calculations'!HY250="!AMBIG","!AMBIG",IF(COUNTIF('Calculations'!$HE$13:$HE$512,"="&amp;SUBSTITUTE(SUBSTITUTE(SUBSTITUTE('Calculations'!HY250,"~","~~"),"*","~*"),"?","~?"))&gt;1,"!AMBIG",IFERROR(INDEX('Calculations'!$HF$13:$HF$512,MATCH('Calculations'!HY250,'Calculations'!$HE$13:$HE$512,0)),""))))</x:f>
      </x:c>
      <x:c r="IA250" t="str">
        <x:f>IF('Calculations'!HZ250="","",IF('Calculations'!HZ250="!AMBIG","!AMBIG",IF(COUNTIF('Calculations'!$HE$13:$HE$512,"="&amp;SUBSTITUTE(SUBSTITUTE(SUBSTITUTE('Calculations'!HZ250,"~","~~"),"*","~*"),"?","~?"))&gt;1,"!AMBIG",IFERROR(INDEX('Calculations'!$HF$13:$HF$512,MATCH('Calculations'!HZ250,'Calculations'!$HE$13:$HE$512,0)),""))))</x:f>
      </x:c>
      <x:c r="IB250" t="str">
        <x:f>IF('Calculations'!IA250="","",IF('Calculations'!IA250="!AMBIG","!AMBIG",IF(COUNTIF('Calculations'!$HE$13:$HE$512,"="&amp;SUBSTITUTE(SUBSTITUTE(SUBSTITUTE('Calculations'!IA250,"~","~~"),"*","~*"),"?","~?"))&gt;1,"!AMBIG",IFERROR(INDEX('Calculations'!$HF$13:$HF$512,MATCH('Calculations'!IA250,'Calculations'!$HE$13:$HE$512,0)),""))))</x:f>
      </x:c>
      <x:c r="IC250" t="str">
        <x:f>IF('Calculations'!IB250="","",IF('Calculations'!IB250="!AMBIG","!AMBIG",IF(COUNTIF('Calculations'!$HE$13:$HE$512,"="&amp;SUBSTITUTE(SUBSTITUTE(SUBSTITUTE('Calculations'!IB250,"~","~~"),"*","~*"),"?","~?"))&gt;1,"!AMBIG",IFERROR(INDEX('Calculations'!$HF$13:$HF$512,MATCH('Calculations'!IB250,'Calculations'!$HE$13:$HE$512,0)),""))))</x:f>
      </x:c>
      <x:c r="ID250" t="str">
        <x:f>IF('Calculations'!IC250="","",IF('Calculations'!IC250="!AMBIG","!AMBIG",IF(COUNTIF('Calculations'!$HE$13:$HE$512,"="&amp;SUBSTITUTE(SUBSTITUTE(SUBSTITUTE('Calculations'!IC250,"~","~~"),"*","~*"),"?","~?"))&gt;1,"!AMBIG",IFERROR(INDEX('Calculations'!$HF$13:$HF$512,MATCH('Calculations'!IC250,'Calculations'!$HE$13:$HE$512,0)),""))))</x:f>
      </x:c>
      <x:c r="IE250" t="str">
        <x:f>IF('Calculations'!ID250="","",IF('Calculations'!ID250="!AMBIG","!AMBIG",IF(COUNTIF('Calculations'!$HE$13:$HE$512,"="&amp;SUBSTITUTE(SUBSTITUTE(SUBSTITUTE('Calculations'!ID250,"~","~~"),"*","~*"),"?","~?"))&gt;1,"!AMBIG",IFERROR(INDEX('Calculations'!$HF$13:$HF$512,MATCH('Calculations'!ID250,'Calculations'!$HE$13:$HE$512,0)),""))))</x:f>
      </x:c>
      <x:c r="IF250" t="str">
        <x:f>IF('Calculations'!IE250="","",IF('Calculations'!IE250="!AMBIG","!AMBIG",IF(COUNTIF('Calculations'!$HE$13:$HE$512,"="&amp;SUBSTITUTE(SUBSTITUTE(SUBSTITUTE('Calculations'!IE250,"~","~~"),"*","~*"),"?","~?"))&gt;1,"!AMBIG",IFERROR(INDEX('Calculations'!$HF$13:$HF$512,MATCH('Calculations'!IE250,'Calculations'!$HE$13:$HE$512,0)),""))))</x:f>
      </x:c>
      <x:c r="IG250" t="str">
        <x:f>IF('Calculations'!IF250="","",IF('Calculations'!IF250="!AMBIG","!AMBIG",IF(COUNTIF('Calculations'!$HE$13:$HE$512,"="&amp;SUBSTITUTE(SUBSTITUTE(SUBSTITUTE('Calculations'!IF250,"~","~~"),"*","~*"),"?","~?"))&gt;1,"!AMBIG",IFERROR(INDEX('Calculations'!$HF$13:$HF$512,MATCH('Calculations'!IF250,'Calculations'!$HE$13:$HE$512,0)),""))))</x:f>
      </x:c>
      <x:c r="IH250" t="str">
        <x:f>IF('Calculations'!IG250="","",IF('Calculations'!IG250="!AMBIG","!AMBIG",IF(COUNTIF('Calculations'!$HE$13:$HE$512,"="&amp;SUBSTITUTE(SUBSTITUTE(SUBSTITUTE('Calculations'!IG250,"~","~~"),"*","~*"),"?","~?"))&gt;1,"!AMBIG",IFERROR(INDEX('Calculations'!$HF$13:$HF$512,MATCH('Calculations'!IG250,'Calculations'!$HE$13:$HE$512,0)),""))))</x:f>
      </x:c>
      <x:c r="II250" t="str">
        <x:f>IF('Calculations'!IH250="","",IF('Calculations'!IH250="!AMBIG","!AMBIG",IF(COUNTIF('Calculations'!$HE$13:$HE$512,"="&amp;SUBSTITUTE(SUBSTITUTE(SUBSTITUTE('Calculations'!IH250,"~","~~"),"*","~*"),"?","~?"))&gt;1,"!AMBIG",IFERROR(INDEX('Calculations'!$HF$13:$HF$512,MATCH('Calculations'!IH250,'Calculations'!$HE$13:$HE$512,0)),""))))</x:f>
      </x:c>
      <x:c r="IJ250" t="str">
        <x:f>IF('Calculations'!EM250="","",IF('Calculations'!$EF$2="All",'Calculations'!HM250,IF('Calculations'!HL250=1,"",IFERROR(IF(MATCH('Calculations'!$EF$2,'Calculations'!HO250:II250,0)=1,'Calculations'!HE250,INDEX('Calculations'!HO250:II250,1,MATCH('Calculations'!$EF$2,'Calculations'!HO250:II250,0)-1)),""))))</x:f>
      </x:c>
      <x:c r="IK250" t="n">
        <x:f>IF(AND('Calculations'!EM250&lt;&gt;"",'Calculations'!$EF$2&lt;&gt;"All",'Calculations'!HF250='Calculations'!$EF$2,'Calculations'!HL250=0,'Calculations'!JD250&gt;0),MAX('Calculations'!$IK$12:IK249)+1,0)</x:f>
        <x:v>0</x:v>
      </x:c>
      <x:c r="JA250" t="n">
        <x:f>IF(OR(IFERROR(INDIRECT("'WCM Calibration Final'!$A$250")&lt;&gt;"",FALSE),IFERROR(INDIRECT("'WCM Calibration Final'!$B$250")&lt;&gt;"",FALSE),IFERROR(INDIRECT("'WCM Calibration Final'!$C$250")&lt;&gt;"",FALSE)),250,0)</x:f>
        <x:v>0</x:v>
      </x:c>
      <x:c r="JB250" t="n">
        <x:f>'Calculations'!JB249+IF('Calculations'!JA250&gt;0,1,0)</x:f>
        <x:v>0</x:v>
      </x:c>
      <x:c r="JC250" t="n">
        <x:f>IF(OR('Calculations'!HF250="",'Calculations'!HF250="!AMBIG"),0,IF('Dashboard'!$B$7="All",1,COUNTIFS('Calculations'!$HO$13:$HO$512,"="&amp;SUBSTITUTE(SUBSTITUTE(SUBSTITUTE('Calculations'!HF250,"~","~~"),"*","~*"),"?","~?"),'Calculations'!$HN$13:$HN$512,"="&amp;SUBSTITUTE(SUBSTITUTE(SUBSTITUTE('Dashboard'!$B$7,"~","~~"),"*","~*"),"?","~?"))+COUNTIFS('Calculations'!$HP$13:$HP$512,"="&amp;SUBSTITUTE(SUBSTITUTE(SUBSTITUTE('Calculations'!HF250,"~","~~"),"*","~*"),"?","~?"),'Calculations'!$HN$13:$HN$512,"="&amp;SUBSTITUTE(SUBSTITUTE(SUBSTITUTE('Dashboard'!$B$7,"~","~~"),"*","~*"),"?","~?"))+COUNTIFS('Calculations'!$HQ$13:$HQ$512,"="&amp;SUBSTITUTE(SUBSTITUTE(SUBSTITUTE('Calculations'!HF250,"~","~~"),"*","~*"),"?","~?"),'Calculations'!$HN$13:$HN$512,"="&amp;SUBSTITUTE(SUBSTITUTE(SUBSTITUTE('Dashboard'!$B$7,"~","~~"),"*","~*"),"?","~?"))+COUNTIFS('Calculations'!$HR$13:$HR$512,"="&amp;SUBSTITUTE(SUBSTITUTE(SUBSTITUTE('Calculations'!HF250,"~","~~"),"*","~*"),"?","~?"),'Calculations'!$HN$13:$HN$512,"="&amp;SUBSTITUTE(SUBSTITUTE(SUBSTITUTE('Dashboard'!$B$7,"~","~~"),"*","~*"),"?","~?"))+COUNTIFS('Calculations'!$HS$13:$HS$512,"="&amp;SUBSTITUTE(SUBSTITUTE(SUBSTITUTE('Calculations'!HF250,"~","~~"),"*","~*"),"?","~?"),'Calculations'!$HN$13:$HN$512,"="&amp;SUBSTITUTE(SUBSTITUTE(SUBSTITUTE('Dashboard'!$B$7,"~","~~"),"*","~*"),"?","~?"))+COUNTIFS('Calculations'!$HT$13:$HT$512,"="&amp;SUBSTITUTE(SUBSTITUTE(SUBSTITUTE('Calculations'!HF250,"~","~~"),"*","~*"),"?","~?"),'Calculations'!$HN$13:$HN$512,"="&amp;SUBSTITUTE(SUBSTITUTE(SUBSTITUTE('Dashboard'!$B$7,"~","~~"),"*","~*"),"?","~?"))+COUNTIFS('Calculations'!$HU$13:$HU$512,"="&amp;SUBSTITUTE(SUBSTITUTE(SUBSTITUTE('Calculations'!HF250,"~","~~"),"*","~*"),"?","~?"),'Calculations'!$HN$13:$HN$512,"="&amp;SUBSTITUTE(SUBSTITUTE(SUBSTITUTE('Dashboard'!$B$7,"~","~~"),"*","~*"),"?","~?"))+COUNTIFS('Calculations'!$HV$13:$HV$512,"="&amp;SUBSTITUTE(SUBSTITUTE(SUBSTITUTE('Calculations'!HF250,"~","~~"),"*","~*"),"?","~?"),'Calculations'!$HN$13:$HN$512,"="&amp;SUBSTITUTE(SUBSTITUTE(SUBSTITUTE('Dashboard'!$B$7,"~","~~"),"*","~*"),"?","~?"))+COUNTIFS('Calculations'!$HW$13:$HW$512,"="&amp;SUBSTITUTE(SUBSTITUTE(SUBSTITUTE('Calculations'!HF250,"~","~~"),"*","~*"),"?","~?"),'Calculations'!$HN$13:$HN$512,"="&amp;SUBSTITUTE(SUBSTITUTE(SUBSTITUTE('Dashboard'!$B$7,"~","~~"),"*","~*"),"?","~?"))+COUNTIFS('Calculations'!$HX$13:$HX$512,"="&amp;SUBSTITUTE(SUBSTITUTE(SUBSTITUTE('Calculations'!HF250,"~","~~"),"*","~*"),"?","~?"),'Calculations'!$HN$13:$HN$512,"="&amp;SUBSTITUTE(SUBSTITUTE(SUBSTITUTE('Dashboard'!$B$7,"~","~~"),"*","~*"),"?","~?"))+COUNTIFS('Calculations'!$HY$13:$HY$512,"="&amp;SUBSTITUTE(SUBSTITUTE(SUBSTITUTE('Calculations'!HF250,"~","~~"),"*","~*"),"?","~?"),'Calculations'!$HN$13:$HN$512,"="&amp;SUBSTITUTE(SUBSTITUTE(SUBSTITUTE('Dashboard'!$B$7,"~","~~"),"*","~*"),"?","~?"))+COUNTIFS('Calculations'!$HZ$13:$HZ$512,"="&amp;SUBSTITUTE(SUBSTITUTE(SUBSTITUTE('Calculations'!HF250,"~","~~"),"*","~*"),"?","~?"),'Calculations'!$HN$13:$HN$512,"="&amp;SUBSTITUTE(SUBSTITUTE(SUBSTITUTE('Dashboard'!$B$7,"~","~~"),"*","~*"),"?","~?"))+COUNTIFS('Calculations'!$IA$13:$IA$512,"="&amp;SUBSTITUTE(SUBSTITUTE(SUBSTITUTE('Calculations'!HF250,"~","~~"),"*","~*"),"?","~?"),'Calculations'!$HN$13:$HN$512,"="&amp;SUBSTITUTE(SUBSTITUTE(SUBSTITUTE('Dashboard'!$B$7,"~","~~"),"*","~*"),"?","~?"))+COUNTIFS('Calculations'!$IB$13:$IB$512,"="&amp;SUBSTITUTE(SUBSTITUTE(SUBSTITUTE('Calculations'!HF250,"~","~~"),"*","~*"),"?","~?"),'Calculations'!$HN$13:$HN$512,"="&amp;SUBSTITUTE(SUBSTITUTE(SUBSTITUTE('Dashboard'!$B$7,"~","~~"),"*","~*"),"?","~?"))+COUNTIFS('Calculations'!$IC$13:$IC$512,"="&amp;SUBSTITUTE(SUBSTITUTE(SUBSTITUTE('Calculations'!HF250,"~","~~"),"*","~*"),"?","~?"),'Calculations'!$HN$13:$HN$512,"="&amp;SUBSTITUTE(SUBSTITUTE(SUBSTITUTE('Dashboard'!$B$7,"~","~~"),"*","~*"),"?","~?"))+COUNTIFS('Calculations'!$ID$13:$ID$512,"="&amp;SUBSTITUTE(SUBSTITUTE(SUBSTITUTE('Calculations'!HF250,"~","~~"),"*","~*"),"?","~?"),'Calculations'!$HN$13:$HN$512,"="&amp;SUBSTITUTE(SUBSTITUTE(SUBSTITUTE('Dashboard'!$B$7,"~","~~"),"*","~*"),"?","~?"))+COUNTIFS('Calculations'!$IE$13:$IE$512,"="&amp;SUBSTITUTE(SUBSTITUTE(SUBSTITUTE('Calculations'!HF250,"~","~~"),"*","~*"),"?","~?"),'Calculations'!$HN$13:$HN$512,"="&amp;SUBSTITUTE(SUBSTITUTE(SUBSTITUTE('Dashboard'!$B$7,"~","~~"),"*","~*"),"?","~?"))+COUNTIFS('Calculations'!$IF$13:$IF$512,"="&amp;SUBSTITUTE(SUBSTITUTE(SUBSTITUTE('Calculations'!HF250,"~","~~"),"*","~*"),"?","~?"),'Calculations'!$HN$13:$HN$512,"="&amp;SUBSTITUTE(SUBSTITUTE(SUBSTITUTE('Dashboard'!$B$7,"~","~~"),"*","~*"),"?","~?"))+COUNTIFS('Calculations'!$IG$13:$IG$512,"="&amp;SUBSTITUTE(SUBSTITUTE(SUBSTITUTE('Calculations'!HF250,"~","~~"),"*","~*"),"?","~?"),'Calculations'!$HN$13:$HN$512,"="&amp;SUBSTITUTE(SUBSTITUTE(SUBSTITUTE('Dashboard'!$B$7,"~","~~"),"*","~*"),"?","~?"))+COUNTIFS('Calculations'!$IH$13:$IH$512,"="&amp;SUBSTITUTE(SUBSTITUTE(SUBSTITUTE('Calculations'!HF250,"~","~~"),"*","~*"),"?","~?"),'Calculations'!$HN$13:$HN$512,"="&amp;SUBSTITUTE(SUBSTITUTE(SUBSTITUTE('Dashboard'!$B$7,"~","~~"),"*","~*"),"?","~?"))))</x:f>
        <x:v>0</x:v>
      </x:c>
      <x:c r="JD250" t="n">
        <x:f>IF('Calculations'!EM250="",0,IF('Dashboard'!$B$7="All",1,IF('Calculations'!HN250='Dashboard'!$B$7,1,0)+IFERROR(INDEX('Calculations'!$JC$13:$JC$512,MATCH('Calculations'!HE250,'Calculations'!$HF$13:$HF$512,0)),0)))</x:f>
        <x:v>0</x:v>
      </x:c>
      <x:c r="JE250" t="n">
        <x:f>IF(AND('Calculations'!EM250&lt;&gt;"",'Calculations'!$JJ$2&lt;&gt;"All",'Calculations'!$JJ$2&lt;&gt;"",'Calculations'!HF250='Calculations'!$JJ$2,'Calculations'!HL250=0,'Calculations'!JD250&gt;0),MAX('Calculations'!$JE$12:JE249)+1,0)</x:f>
        <x:v>0</x:v>
      </x:c>
      <x:c r="JF250" t="str">
        <x:f>IF('Calculations'!EM250="","",IFERROR(IF(INDEX(INDIRECT("'WCM Calibration Final'!$G$1:$G$2000"),'Calculations'!$EM250)="","",TRIM(INDEX(INDIRECT("'WCM Calibration Final'!$G$1:$G$2000"),'Calculations'!$EM250)&amp;"")),""))</x:f>
      </x:c>
      <x:c r="JQ250" t="n">
        <x:f>IF(OR('Calculations'!BM250=0,NOT('Calculations'!$AG$2),'Calculations'!$AG$8&gt;0),0,IF(OR('Dashboard'!$B$7="All",'Calculations'!HN250='Dashboard'!$B$7),IF('Calculations'!$JJ$2="All",1,IF(AND('Calculations'!HF250='Calculations'!$JJ$2,'Calculations'!HL250=0),1,0)),0))</x:f>
        <x:v>0</x:v>
      </x:c>
    </x:row>
    <x:row r="251">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t="n">
        <x:f>IF('Calculations'!$EM251="",0,IF(OR(IFERROR(INDEX(INDIRECT("'WCM Calibration Final'!$A$1:$A$2000"),'Calculations'!$EM251)&lt;&gt;"",FALSE),IFERROR(INDEX(INDIRECT("'WCM Calibration Final'!$B$1:$B$2000"),'Calculations'!$EM251)&lt;&gt;"",FALSE),IFERROR(INDEX(INDIRECT("'WCM Calibration Final'!$C$1:$C$2000"),'Calculations'!$EM251)&lt;&gt;"",FALSE)),1,0))</x:f>
        <x:v>0</x:v>
      </x:c>
      <x:c r="BN251" s="4" t="n">
        <x:f>IF(AND('Calculations'!BM251=1,'Calculations'!$AG$2,'Calculations'!$EN251=1),1,0)</x:f>
        <x:v>0</x:v>
      </x:c>
      <x:c r="BO251" s="4" t="str">
        <x:f>IF('Calculations'!BM251=0,"",IFERROR(IF(AND(VALUE(INDEX(INDIRECT("'WCM Calibration Final'!$K$1:$K$2000"),'Calculations'!$EM251))&gt;=1,VALUE(INDEX(INDIRECT("'WCM Calibration Final'!$K$1:$K$2000"),'Calculations'!$EM251))&lt;=4,MOD(VALUE(INDEX(INDIRECT("'WCM Calibration Final'!$K$1:$K$2000"),'Calculations'!$EM251)),1)=0),VALUE(INDEX(INDIRECT("'WCM Calibration Final'!$K$1:$K$2000"),'Calculations'!$EM251)),""),""))</x:f>
      </x:c>
      <x:c r="BP251" s="4" t="str">
        <x:f>IF('Calculations'!BM251=0,"",IFERROR(IF(AND(VALUE(INDEX(INDIRECT("'WCM Calibration Final'!$L$1:$L$2000"),'Calculations'!$EM251))&gt;=1,VALUE(INDEX(INDIRECT("'WCM Calibration Final'!$L$1:$L$2000"),'Calculations'!$EM251))&lt;=4,MOD(VALUE(INDEX(INDIRECT("'WCM Calibration Final'!$L$1:$L$2000"),'Calculations'!$EM251)),1)=0),VALUE(INDEX(INDIRECT("'WCM Calibration Final'!$L$1:$L$2000"),'Calculations'!$EM251)),""),""))</x:f>
      </x:c>
      <x:c r="BQ251" s="4"/>
      <x:c r="BR251" s="4"/>
      <x:c r="BS251" s="4"/>
      <x:c r="BT251" s="4" t="n">
        <x:f>IF(AND('Calculations'!BM251=1,ISNUMBER('Calculations'!BO251),ISNUMBER('Calculations'!BP251)),1,0)</x:f>
        <x:v>0</x:v>
      </x:c>
      <x:c r="BU251" s="4" t="str">
        <x:f>IF('Calculations'!BM251=0,"",'Calculations'!$EO251)</x:f>
      </x:c>
      <x:c r="BV251" s="4" t="str">
        <x:f>IF('Calculations'!BM251=0,"",IFERROR(IF(OR(INDEX(INDIRECT("'WCM Calibration Final'!$H$1:$H$2000"),'Calculations'!$EM251)="MANAGING DIRECTOR",INDEX(INDIRECT("'WCM Calibration Final'!$H$1:$H$2000"),'Calculations'!$EM251)="DIRECTOR",INDEX(INDIRECT("'WCM Calibration Final'!$H$1:$H$2000"),'Calculations'!$EM251)="SENIOR VICE PRESIDENT",INDEX(INDIRECT("'WCM Calibration Final'!$H$1:$H$2000"),'Calculations'!$EM251)="VICE PRESIDENT",INDEX(INDIRECT("'WCM Calibration Final'!$H$1:$H$2000"),'Calculations'!$EM251)="ASSISTANT VICE PRESIDENT",INDEX(INDIRECT("'WCM Calibration Final'!$H$1:$H$2000"),'Calculations'!$EM251)="OFFICER"),UPPER(INDEX(INDIRECT("'WCM Calibration Final'!$H$1:$H$2000"),'Calculations'!$EM251)),"Other"),"Other"))</x:f>
      </x:c>
      <x:c r="BW251" s="4"/>
      <x:c r="BX251" s="4"/>
      <x:c r="BY251" s="4" t="n">
        <x:f>IF(AND('Calculations'!BM251=1,'Calculations'!BU251&lt;&gt;"",COUNTIF('Calculations'!$BU$12:BU251,'Calculations'!BU251)=1),MAX('Calculations'!$BY$11:BY250)+1,0)</x:f>
        <x:v>0</x:v>
      </x:c>
      <x:c r="BZ251" s="4" t="str">
        <x:f>IF('Dashboard'!$E$67="What",'Calculations'!BO251,'Calculations'!BP251)</x:f>
      </x:c>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t="str">
        <x:f>IF(240&gt;MAX('Calculations'!$HI$13:$HI$512),"",INDEX('Calculations'!$HN$13:$HN$512,MATCH(240,'Calculations'!$HI$13:$HI$512,0)))</x:f>
      </x:c>
      <x:c r="DB251" s="4" t="str">
        <x:f>IF(240&gt;MAX('Calculations'!$HH$13:$HH$512),"",INDEX('Calculations'!$HJ$13:$HJ$512,MATCH(240,'Calculations'!$HH$13:$HH$512,0)))</x:f>
      </x:c>
      <x:c r="DC251" s="4" t="str">
        <x:f>IF(ROW()-11&gt;MAX('Calculations'!$BY$13:$BY$512),"",INDEX('Calculations'!$BU$13:$BU$512,MATCH(ROW()-11,'Calculations'!$BY$13:$BY$512,0)))</x:f>
      </x:c>
      <x:c r="DD251" s="4" t="str">
        <x:f>IF(240&gt;MAX('Calculations'!$IK$13:$IK$512),"",INDEX('Calculations'!$HK$13:$HK$512,MATCH(240,'Calculations'!$IK$13:$IK$512,0)))</x:f>
      </x:c>
      <x:c r="DE251" s="4" t="str">
        <x:f>'Calculations'!DC251</x:f>
      </x:c>
      <x:c r="DF251" s="4" t="str">
        <x:f>IF('Calculations'!DE251="","",COUNTIFS('Calculations'!$BN$13:$BN$512,1,'Calculations'!$BU$13:$BU$512,'Calculations'!DE251))</x:f>
      </x:c>
      <x:c r="DG251" s="4" t="str">
        <x:f>IF('Calculations'!DE251="","",COUNTIFS('Calculations'!$BN$13:$BN$512,1,'Calculations'!$BU$13:$BU$512,'Calculations'!DE251,'Calculations'!$BT$13:$BT$512,1))</x:f>
      </x:c>
      <x:c r="DH251" s="4" t="str">
        <x:f>IF('Calculations'!DE251="","",'Calculations'!DF251-'Calculations'!DG251)</x:f>
      </x:c>
      <x:c r="DI251" s="4" t="str">
        <x:f>IF(OR('Calculations'!DE251="",'Calculations'!DF251=0),"",'Calculations'!DG251/'Calculations'!DF251)</x:f>
      </x:c>
      <x:c r="DJ251" s="4" t="str">
        <x:f>IF('Calculations'!DE251="","",COUNTIFS('Calculations'!$BN$13:$BN$512,1,'Calculations'!$BU$13:$BU$512,'Calculations'!DE251,'Calculations'!$BT$13:$BT$512,1,'Calculations'!$EE$13:$EE$512,"High"))</x:f>
      </x:c>
      <x:c r="DK251" s="4" t="str">
        <x:f>IF('Calculations'!DE251="","",COUNTIFS('Calculations'!$BN$13:$BN$512,1,'Calculations'!$BU$13:$BU$512,'Calculations'!DE251,'Calculations'!$BT$13:$BT$512,1,'Calculations'!$EE$13:$EE$512,"Strong"))</x:f>
      </x:c>
      <x:c r="DL251" s="4" t="str">
        <x:f>IF('Calculations'!DE251="","",COUNTIFS('Calculations'!$BN$13:$BN$512,1,'Calculations'!$BU$13:$BU$512,'Calculations'!DE251,'Calculations'!$BT$13:$BT$512,1,'Calculations'!$EE$13:$EE$512,"Solid"))</x:f>
      </x:c>
      <x:c r="DM251" s="4" t="str">
        <x:f>IF('Calculations'!DE251="","",COUNTIFS('Calculations'!$BN$13:$BN$512,1,'Calculations'!$BU$13:$BU$512,'Calculations'!DE251,'Calculations'!$BT$13:$BT$512,1,'Calculations'!$EE$13:$EE$512,"Low"))</x:f>
      </x:c>
      <x:c r="DN251" s="4" t="str">
        <x:f>IF('Calculations'!DE251="","",COUNTIFS('Calculations'!$BN$13:$BN$512,1,'Calculations'!$BU$13:$BU$512,'Calculations'!DE251,'Calculations'!$EP$13:$EP$512,1))</x:f>
      </x:c>
      <x:c r="DO251" s="4" t="str">
        <x:f>IF(OR('Calculations'!DE251="",'Calculations'!DG251=0),"",('Calculations'!DJ251+'Calculations'!DK251)/'Calculations'!DG251)</x:f>
      </x:c>
      <x:c r="DP251" s="4" t="n">
        <x:f>IF(AND('Calculations'!DE251&lt;&gt;"",'Calculations'!DF251&gt;0),COUNTIF('Calculations'!$DF$12:DF251,"&gt;0"),0)</x:f>
        <x:v>0</x:v>
      </x:c>
      <x:c r="DQ251" s="4" t="str">
        <x:f>IF(240&gt;MAX('Calculations'!$HH$13:$HH$512),"",INDEX('Calculations'!$HF$13:$HF$512,MATCH(240,'Calculations'!$HH$13:$HH$512,0)))</x:f>
      </x:c>
      <x:c r="DR251" s="4" t="str">
        <x:f>IF(240&gt;MAX('Calculations'!$IK$13:$IK$512),"",INDEX('Calculations'!$HE$13:$HE$512,MATCH(240,'Calculations'!$IK$13:$IK$512,0)))</x:f>
      </x:c>
      <x:c r="DS251" s="4"/>
      <x:c r="DT251" s="4"/>
      <x:c r="DU251" s="4"/>
      <x:c r="DV251" s="4"/>
      <x:c r="DW251" s="4"/>
      <x:c r="DX251" s="4"/>
      <x:c r="DY251" s="4"/>
      <x:c r="DZ251" s="4"/>
      <x:c r="EA251" s="4"/>
      <x:c r="EB251" s="4"/>
      <x:c r="EC251" s="4"/>
      <x:c r="ED251" s="4"/>
      <x:c r="EE251" s="4" t="str">
        <x:f>IF('Calculations'!BT251=0,"Not Rated",IF(OR('Calculations'!BO251&gt;=4,'Calculations'!BP251&gt;=4),"Low",IF('Calculations'!BO251+'Calculations'!BP251&lt;=3,"High",IF('Calculations'!BO251+'Calculations'!BP251&lt;=4,"Strong","Solid"))))</x:f>
        <x:v>Not Rated</x:v>
      </x:c>
      <x:c r="EF251" s="4"/>
      <x:c r="EG251" s="4"/>
      <x:c r="EH251" s="4"/>
      <x:c r="EI251" s="4"/>
      <x:c r="EJ251" s="4"/>
      <x:c r="EK251" s="4"/>
      <x:c r="EL251" s="4"/>
      <x:c r="EM251" s="4" t="str">
        <x:f>IF(239&gt;'Calculations'!$JB$2000,"",INDEX('Calculations'!$JA$12:$JA$2000,MATCH(239,'Calculations'!$JB$12:$JB$2000,0)))</x:f>
      </x:c>
      <x:c r="EN251" s="4" t="n">
        <x:f>IF(OR('Calculations'!EM251="",'Calculations'!$AG$8&gt;0,AND('Calculations'!$EF$2&lt;&gt;"All",'Calculations'!HE251='Calculations'!$EF$2),AND('Calculations'!$EF$3&lt;&gt;"All",'Calculations'!HE251='Calculations'!$EF$3)),0,IF(OR('Dashboard'!$B$7="All",'Calculations'!HN251='Dashboard'!$B$7),IF('Calculations'!$EF$2="All",1,IF('Calculations'!HL251&gt;0,0,IF(COUNTIF('Calculations'!HO251:II251,"="&amp;SUBSTITUTE(SUBSTITUTE(SUBSTITUTE('Calculations'!$EF$2,"~","~~"),"*","~*"),"?","~?"))=0,0,IF('Calculations'!$EF$3="All",1,IF(COUNTIF('Calculations'!HO251:II251,"="&amp;SUBSTITUTE(SUBSTITUTE(SUBSTITUTE('Calculations'!$EF$3,"~","~~"),"*","~*"),"?","~?"))&gt;0,1,0))))),0))</x:f>
        <x:v>0</x:v>
      </x:c>
      <x:c r="EO251" s="4" t="str">
        <x:f>IF('Calculations'!IJ251="","",IF('Calculations'!IJ251="!UNRESOLVED","Unresolved hierarchy",IFERROR(INDEX('Calculations'!$HK$13:$HK$512,MATCH('Calculations'!IJ251,'Calculations'!$HE$13:$HE$512,0)),IFERROR(INDEX('Calculations'!$HJ$13:$HJ$512,MATCH('Calculations'!IJ251,'Calculations'!$HF$13:$HF$512,0)),'Calculations'!IJ251))))</x:f>
      </x:c>
      <x:c r="EP251" s="4" t="n">
        <x:f>IF(AND('Calculations'!EM251&lt;&gt;"",'Calculations'!HF251='Calculations'!IJ251),1,0)</x:f>
        <x:v>0</x:v>
      </x:c>
      <x:c r="EQ251" s="4"/>
      <x:c r="ER251" s="4"/>
      <x:c r="ES251" s="4"/>
      <x:c r="ET251" s="4"/>
      <x:c r="EU251" s="4"/>
      <x:c r="EV251" s="4"/>
      <x:c r="EW251" s="4"/>
      <x:c r="EX251" s="4"/>
      <x:c r="EY251" s="4"/>
      <x:c r="EZ251" s="4"/>
      <x:c r="FA251" s="4"/>
      <x:c r="FB251" s="4"/>
      <x:c r="FC251" s="4"/>
      <x:c r="FD251" s="4"/>
      <x:c r="FE251" s="4"/>
      <x:c r="FF251" s="4"/>
      <x:c r="FG251" s="4"/>
      <x:c r="FH251" s="4"/>
      <x:c r="FI251" s="4"/>
      <x:c r="FJ251" s="4"/>
      <x:c r="FK251" s="4"/>
      <x:c r="FL251" s="4"/>
      <x:c r="FM251" s="4"/>
      <x:c r="FN251" s="4"/>
      <x:c r="FO251" s="4"/>
      <x:c r="HE251" t="str">
        <x:f>IF('Calculations'!EM251="","",IF(IFERROR(IF(INDEX(INDIRECT("'WCM Calibration Final'!$A$1:$A$2000"),'Calculations'!$EM251)="","",TRIM(INDEX(INDIRECT("'WCM Calibration Final'!$A$1:$A$2000"),'Calculations'!$EM251)&amp;"")),"")&lt;&gt;"","G:"&amp;IFERROR(TEXT(1*INDEX(INDIRECT("'WCM Calibration Final'!$A$1:$A$2000"),'Calculations'!$EM251),"0"),UPPER(IFERROR(IF(INDEX(INDIRECT("'WCM Calibration Final'!$A$1:$A$2000"),'Calculations'!$EM251)="","",TRIM(INDEX(INDIRECT("'WCM Calibration Final'!$A$1:$A$2000"),'Calculations'!$EM251)&amp;"")),""))),IF(IFERROR(IF(INDEX(INDIRECT("'WCM Calibration Final'!$C$1:$C$2000"),'Calculations'!$EM251)="","",TRIM(INDEX(INDIRECT("'WCM Calibration Final'!$C$1:$C$2000"),'Calculations'!$EM251)&amp;"")),"")&lt;&gt;"","S:"&amp;UPPER(IFERROR(IF(INDEX(INDIRECT("'WCM Calibration Final'!$C$1:$C$2000"),'Calculations'!$EM251)="","",TRIM(INDEX(INDIRECT("'WCM Calibration Final'!$C$1:$C$2000"),'Calculations'!$EM251)&amp;"")),"")),"R:"&amp;'Calculations'!EM251)))</x:f>
      </x:c>
      <x:c r="HF251" t="str">
        <x:f>IF('Calculations'!EM251="","",IF(IFERROR(IF(INDEX(INDIRECT("'WCM Calibration Final'!$D$1:$D$2000"),'Calculations'!$EM251)="","",TRIM(INDEX(INDIRECT("'WCM Calibration Final'!$D$1:$D$2000"),'Calculations'!$EM251)&amp;"")),"")&lt;&gt;"","G:"&amp;IFERROR(TEXT(1*INDEX(INDIRECT("'WCM Calibration Final'!$D$1:$D$2000"),'Calculations'!$EM251),"0"),UPPER(IFERROR(IF(INDEX(INDIRECT("'WCM Calibration Final'!$D$1:$D$2000"),'Calculations'!$EM251)="","",TRIM(INDEX(INDIRECT("'WCM Calibration Final'!$D$1:$D$2000"),'Calculations'!$EM251)&amp;"")),""))),IF(IFERROR(IF(INDEX(INDIRECT("'WCM Calibration Final'!$E$1:$E$2000"),'Calculations'!$EM251)="","",TRIM(INDEX(INDIRECT("'WCM Calibration Final'!$E$1:$E$2000"),'Calculations'!$EM251)&amp;"")),"")="","",IF(COUNTIF('Calculations'!$HG$13:$HG$512,"="&amp;SUBSTITUTE(SUBSTITUTE(SUBSTITUTE(IFERROR(IF(INDEX(INDIRECT("'WCM Calibration Final'!$E$1:$E$2000"),'Calculations'!$EM251)="","",TRIM(INDEX(INDIRECT("'WCM Calibration Final'!$E$1:$E$2000"),'Calculations'!$EM251)&amp;"")),""),"~","~~"),"*","~*"),"?","~?"))=1,INDEX('Calculations'!$HE$13:$HE$512,MATCH(IFERROR(IF(INDEX(INDIRECT("'WCM Calibration Final'!$E$1:$E$2000"),'Calculations'!$EM251)="","",TRIM(INDEX(INDIRECT("'WCM Calibration Final'!$E$1:$E$2000"),'Calculations'!$EM251)&amp;"")),""),'Calculations'!$HG$13:$HG$512,0)),IF(COUNTIF('Calculations'!$HG$13:$HG$512,"="&amp;SUBSTITUTE(SUBSTITUTE(SUBSTITUTE(IFERROR(IF(INDEX(INDIRECT("'WCM Calibration Final'!$E$1:$E$2000"),'Calculations'!$EM251)="","",TRIM(INDEX(INDIRECT("'WCM Calibration Final'!$E$1:$E$2000"),'Calculations'!$EM251)&amp;"")),""),"~","~~"),"*","~*"),"?","~?"))&gt;1,"!AMBIG","X:"&amp;IFERROR(IF(INDEX(INDIRECT("'WCM Calibration Final'!$E$1:$E$2000"),'Calculations'!$EM251)="","",TRIM(INDEX(INDIRECT("'WCM Calibration Final'!$E$1:$E$2000"),'Calculations'!$EM251)&amp;"")),""))))))</x:f>
      </x:c>
      <x:c r="HG251" t="str">
        <x:f>IF('Calculations'!EM251="","",IFERROR(IF(INDEX(INDIRECT("'WCM Calibration Final'!$B$1:$B$2000"),'Calculations'!$EM251)="","",TRIM(INDEX(INDIRECT("'WCM Calibration Final'!$B$1:$B$2000"),'Calculations'!$EM251)&amp;"")),""))</x:f>
      </x:c>
      <x:c r="HH251" t="n">
        <x:f>IF(AND('Calculations'!JC251&gt;0,COUNTIF('Calculations'!$HF$12:HF251,"="&amp;SUBSTITUTE(SUBSTITUTE(SUBSTITUTE('Calculations'!HF251,"~","~~"),"*","~*"),"?","~?"))=1),MAX('Calculations'!$HH$12:HH250)+1,0)</x:f>
        <x:v>0</x:v>
      </x:c>
      <x:c r="HI251" t="n">
        <x:f>IF(AND('Calculations'!HN251&lt;&gt;"",COUNTIF('Calculations'!$HN$12:HN251,"="&amp;SUBSTITUTE(SUBSTITUTE(SUBSTITUTE('Calculations'!HN251,"~","~~"),"*","~*"),"?","~?"))=1),MAX('Calculations'!$HI$12:HI250)+1,0)</x:f>
        <x:v>0</x:v>
      </x:c>
      <x:c r="HJ251" t="str">
        <x:f>IF('Calculations'!HF251="","",IF(COUNTIF('Calculations'!$HE$13:$HE$512,"="&amp;SUBSTITUTE(SUBSTITUTE(SUBSTITUTE('Calculations'!HF251,"~","~~"),"*","~*"),"?","~?"))=1,INDEX('Calculations'!$HK$13:$HK$512,MATCH('Calculations'!HF251,'Calculations'!$HE$13:$HE$512,0)),IFERROR(IF(INDEX(INDIRECT("'WCM Calibration Final'!$E$1:$E$2000"),'Calculations'!$EM251)="","",TRIM(INDEX(INDIRECT("'WCM Calibration Final'!$E$1:$E$2000"),'Calculations'!$EM251)&amp;"")),"")&amp;" ["&amp;'Calculations'!HF251&amp;"]"))</x:f>
      </x:c>
      <x:c r="HK251" t="str">
        <x:f>IF('Calculations'!EM251="","",'Calculations'!HG251&amp;" ["&amp;'Calculations'!HE251&amp;"]")</x:f>
      </x:c>
      <x:c r="HL251" t="n">
        <x:f>IF('Calculations'!EM251="",0,IF(OR('Calculations'!II251&lt;&gt;"",COUNTIF('Calculations'!$HE$13:$HE$512,"="&amp;SUBSTITUTE(SUBSTITUTE(SUBSTITUTE('Calculations'!HE251,"~","~~"),"*","~*"),"?","~?"))&gt;1),1,0))</x:f>
        <x:v>0</x:v>
      </x:c>
      <x:c r="HM251" t="str">
        <x:f>IF('Calculations'!EM251="","",IF('Calculations'!HL251=1,"!UNRESOLVED",IF('Calculations'!IH251&lt;&gt;"",'Calculations'!IH251,IF('Calculations'!IG251&lt;&gt;"",'Calculations'!IG251,IF('Calculations'!IF251&lt;&gt;"",'Calculations'!IF251,IF('Calculations'!IE251&lt;&gt;"",'Calculations'!IE251,IF('Calculations'!ID251&lt;&gt;"",'Calculations'!ID251,IF('Calculations'!IC251&lt;&gt;"",'Calculations'!IC251,IF('Calculations'!IB251&lt;&gt;"",'Calculations'!IB251,IF('Calculations'!IA251&lt;&gt;"",'Calculations'!IA251,IF('Calculations'!HZ251&lt;&gt;"",'Calculations'!HZ251,IF('Calculations'!HY251&lt;&gt;"",'Calculations'!HY251,IF('Calculations'!HX251&lt;&gt;"",'Calculations'!HX251,IF('Calculations'!HW251&lt;&gt;"",'Calculations'!HW251,IF('Calculations'!HV251&lt;&gt;"",'Calculations'!HV251,IF('Calculations'!HU251&lt;&gt;"",'Calculations'!HU251,IF('Calculations'!HT251&lt;&gt;"",'Calculations'!HT251,IF('Calculations'!HS251&lt;&gt;"",'Calculations'!HS251,IF('Calculations'!HR251&lt;&gt;"",'Calculations'!HR251,IF('Calculations'!HQ251&lt;&gt;"",'Calculations'!HQ251,IF('Calculations'!HP251&lt;&gt;"",'Calculations'!HP251,IF('Calculations'!HO251&lt;&gt;"",'Calculations'!HO251,'Calculations'!HE251))))))))))))))))))))))</x:f>
      </x:c>
      <x:c r="HN251" t="str">
        <x:f>IF('Calculations'!EM251="","",IF(IFERROR(IF(INDEX(INDIRECT("'WCM Calibration Final'!$F$1:$F$2000"),'Calculations'!$EM251)="","",TRIM(INDEX(INDIRECT("'WCM Calibration Final'!$F$1:$F$2000"),'Calculations'!$EM251)&amp;"")),"")="","(Blank)",IFERROR(IF(INDEX(INDIRECT("'WCM Calibration Final'!$F$1:$F$2000"),'Calculations'!$EM251)="","",TRIM(INDEX(INDIRECT("'WCM Calibration Final'!$F$1:$F$2000"),'Calculations'!$EM251)&amp;"")),"")))</x:f>
      </x:c>
      <x:c r="HO251" t="str">
        <x:f>'Calculations'!HF251</x:f>
      </x:c>
      <x:c r="HP251" t="str">
        <x:f>IF('Calculations'!HO251="","",IF('Calculations'!HO251="!AMBIG","!AMBIG",IF(COUNTIF('Calculations'!$HE$13:$HE$512,"="&amp;SUBSTITUTE(SUBSTITUTE(SUBSTITUTE('Calculations'!HO251,"~","~~"),"*","~*"),"?","~?"))&gt;1,"!AMBIG",IFERROR(INDEX('Calculations'!$HF$13:$HF$512,MATCH('Calculations'!HO251,'Calculations'!$HE$13:$HE$512,0)),""))))</x:f>
      </x:c>
      <x:c r="HQ251" t="str">
        <x:f>IF('Calculations'!HP251="","",IF('Calculations'!HP251="!AMBIG","!AMBIG",IF(COUNTIF('Calculations'!$HE$13:$HE$512,"="&amp;SUBSTITUTE(SUBSTITUTE(SUBSTITUTE('Calculations'!HP251,"~","~~"),"*","~*"),"?","~?"))&gt;1,"!AMBIG",IFERROR(INDEX('Calculations'!$HF$13:$HF$512,MATCH('Calculations'!HP251,'Calculations'!$HE$13:$HE$512,0)),""))))</x:f>
      </x:c>
      <x:c r="HR251" t="str">
        <x:f>IF('Calculations'!HQ251="","",IF('Calculations'!HQ251="!AMBIG","!AMBIG",IF(COUNTIF('Calculations'!$HE$13:$HE$512,"="&amp;SUBSTITUTE(SUBSTITUTE(SUBSTITUTE('Calculations'!HQ251,"~","~~"),"*","~*"),"?","~?"))&gt;1,"!AMBIG",IFERROR(INDEX('Calculations'!$HF$13:$HF$512,MATCH('Calculations'!HQ251,'Calculations'!$HE$13:$HE$512,0)),""))))</x:f>
      </x:c>
      <x:c r="HS251" t="str">
        <x:f>IF('Calculations'!HR251="","",IF('Calculations'!HR251="!AMBIG","!AMBIG",IF(COUNTIF('Calculations'!$HE$13:$HE$512,"="&amp;SUBSTITUTE(SUBSTITUTE(SUBSTITUTE('Calculations'!HR251,"~","~~"),"*","~*"),"?","~?"))&gt;1,"!AMBIG",IFERROR(INDEX('Calculations'!$HF$13:$HF$512,MATCH('Calculations'!HR251,'Calculations'!$HE$13:$HE$512,0)),""))))</x:f>
      </x:c>
      <x:c r="HT251" t="str">
        <x:f>IF('Calculations'!HS251="","",IF('Calculations'!HS251="!AMBIG","!AMBIG",IF(COUNTIF('Calculations'!$HE$13:$HE$512,"="&amp;SUBSTITUTE(SUBSTITUTE(SUBSTITUTE('Calculations'!HS251,"~","~~"),"*","~*"),"?","~?"))&gt;1,"!AMBIG",IFERROR(INDEX('Calculations'!$HF$13:$HF$512,MATCH('Calculations'!HS251,'Calculations'!$HE$13:$HE$512,0)),""))))</x:f>
      </x:c>
      <x:c r="HU251" t="str">
        <x:f>IF('Calculations'!HT251="","",IF('Calculations'!HT251="!AMBIG","!AMBIG",IF(COUNTIF('Calculations'!$HE$13:$HE$512,"="&amp;SUBSTITUTE(SUBSTITUTE(SUBSTITUTE('Calculations'!HT251,"~","~~"),"*","~*"),"?","~?"))&gt;1,"!AMBIG",IFERROR(INDEX('Calculations'!$HF$13:$HF$512,MATCH('Calculations'!HT251,'Calculations'!$HE$13:$HE$512,0)),""))))</x:f>
      </x:c>
      <x:c r="HV251" t="str">
        <x:f>IF('Calculations'!HU251="","",IF('Calculations'!HU251="!AMBIG","!AMBIG",IF(COUNTIF('Calculations'!$HE$13:$HE$512,"="&amp;SUBSTITUTE(SUBSTITUTE(SUBSTITUTE('Calculations'!HU251,"~","~~"),"*","~*"),"?","~?"))&gt;1,"!AMBIG",IFERROR(INDEX('Calculations'!$HF$13:$HF$512,MATCH('Calculations'!HU251,'Calculations'!$HE$13:$HE$512,0)),""))))</x:f>
      </x:c>
      <x:c r="HW251" t="str">
        <x:f>IF('Calculations'!HV251="","",IF('Calculations'!HV251="!AMBIG","!AMBIG",IF(COUNTIF('Calculations'!$HE$13:$HE$512,"="&amp;SUBSTITUTE(SUBSTITUTE(SUBSTITUTE('Calculations'!HV251,"~","~~"),"*","~*"),"?","~?"))&gt;1,"!AMBIG",IFERROR(INDEX('Calculations'!$HF$13:$HF$512,MATCH('Calculations'!HV251,'Calculations'!$HE$13:$HE$512,0)),""))))</x:f>
      </x:c>
      <x:c r="HX251" t="str">
        <x:f>IF('Calculations'!HW251="","",IF('Calculations'!HW251="!AMBIG","!AMBIG",IF(COUNTIF('Calculations'!$HE$13:$HE$512,"="&amp;SUBSTITUTE(SUBSTITUTE(SUBSTITUTE('Calculations'!HW251,"~","~~"),"*","~*"),"?","~?"))&gt;1,"!AMBIG",IFERROR(INDEX('Calculations'!$HF$13:$HF$512,MATCH('Calculations'!HW251,'Calculations'!$HE$13:$HE$512,0)),""))))</x:f>
      </x:c>
      <x:c r="HY251" t="str">
        <x:f>IF('Calculations'!HX251="","",IF('Calculations'!HX251="!AMBIG","!AMBIG",IF(COUNTIF('Calculations'!$HE$13:$HE$512,"="&amp;SUBSTITUTE(SUBSTITUTE(SUBSTITUTE('Calculations'!HX251,"~","~~"),"*","~*"),"?","~?"))&gt;1,"!AMBIG",IFERROR(INDEX('Calculations'!$HF$13:$HF$512,MATCH('Calculations'!HX251,'Calculations'!$HE$13:$HE$512,0)),""))))</x:f>
      </x:c>
      <x:c r="HZ251" t="str">
        <x:f>IF('Calculations'!HY251="","",IF('Calculations'!HY251="!AMBIG","!AMBIG",IF(COUNTIF('Calculations'!$HE$13:$HE$512,"="&amp;SUBSTITUTE(SUBSTITUTE(SUBSTITUTE('Calculations'!HY251,"~","~~"),"*","~*"),"?","~?"))&gt;1,"!AMBIG",IFERROR(INDEX('Calculations'!$HF$13:$HF$512,MATCH('Calculations'!HY251,'Calculations'!$HE$13:$HE$512,0)),""))))</x:f>
      </x:c>
      <x:c r="IA251" t="str">
        <x:f>IF('Calculations'!HZ251="","",IF('Calculations'!HZ251="!AMBIG","!AMBIG",IF(COUNTIF('Calculations'!$HE$13:$HE$512,"="&amp;SUBSTITUTE(SUBSTITUTE(SUBSTITUTE('Calculations'!HZ251,"~","~~"),"*","~*"),"?","~?"))&gt;1,"!AMBIG",IFERROR(INDEX('Calculations'!$HF$13:$HF$512,MATCH('Calculations'!HZ251,'Calculations'!$HE$13:$HE$512,0)),""))))</x:f>
      </x:c>
      <x:c r="IB251" t="str">
        <x:f>IF('Calculations'!IA251="","",IF('Calculations'!IA251="!AMBIG","!AMBIG",IF(COUNTIF('Calculations'!$HE$13:$HE$512,"="&amp;SUBSTITUTE(SUBSTITUTE(SUBSTITUTE('Calculations'!IA251,"~","~~"),"*","~*"),"?","~?"))&gt;1,"!AMBIG",IFERROR(INDEX('Calculations'!$HF$13:$HF$512,MATCH('Calculations'!IA251,'Calculations'!$HE$13:$HE$512,0)),""))))</x:f>
      </x:c>
      <x:c r="IC251" t="str">
        <x:f>IF('Calculations'!IB251="","",IF('Calculations'!IB251="!AMBIG","!AMBIG",IF(COUNTIF('Calculations'!$HE$13:$HE$512,"="&amp;SUBSTITUTE(SUBSTITUTE(SUBSTITUTE('Calculations'!IB251,"~","~~"),"*","~*"),"?","~?"))&gt;1,"!AMBIG",IFERROR(INDEX('Calculations'!$HF$13:$HF$512,MATCH('Calculations'!IB251,'Calculations'!$HE$13:$HE$512,0)),""))))</x:f>
      </x:c>
      <x:c r="ID251" t="str">
        <x:f>IF('Calculations'!IC251="","",IF('Calculations'!IC251="!AMBIG","!AMBIG",IF(COUNTIF('Calculations'!$HE$13:$HE$512,"="&amp;SUBSTITUTE(SUBSTITUTE(SUBSTITUTE('Calculations'!IC251,"~","~~"),"*","~*"),"?","~?"))&gt;1,"!AMBIG",IFERROR(INDEX('Calculations'!$HF$13:$HF$512,MATCH('Calculations'!IC251,'Calculations'!$HE$13:$HE$512,0)),""))))</x:f>
      </x:c>
      <x:c r="IE251" t="str">
        <x:f>IF('Calculations'!ID251="","",IF('Calculations'!ID251="!AMBIG","!AMBIG",IF(COUNTIF('Calculations'!$HE$13:$HE$512,"="&amp;SUBSTITUTE(SUBSTITUTE(SUBSTITUTE('Calculations'!ID251,"~","~~"),"*","~*"),"?","~?"))&gt;1,"!AMBIG",IFERROR(INDEX('Calculations'!$HF$13:$HF$512,MATCH('Calculations'!ID251,'Calculations'!$HE$13:$HE$512,0)),""))))</x:f>
      </x:c>
      <x:c r="IF251" t="str">
        <x:f>IF('Calculations'!IE251="","",IF('Calculations'!IE251="!AMBIG","!AMBIG",IF(COUNTIF('Calculations'!$HE$13:$HE$512,"="&amp;SUBSTITUTE(SUBSTITUTE(SUBSTITUTE('Calculations'!IE251,"~","~~"),"*","~*"),"?","~?"))&gt;1,"!AMBIG",IFERROR(INDEX('Calculations'!$HF$13:$HF$512,MATCH('Calculations'!IE251,'Calculations'!$HE$13:$HE$512,0)),""))))</x:f>
      </x:c>
      <x:c r="IG251" t="str">
        <x:f>IF('Calculations'!IF251="","",IF('Calculations'!IF251="!AMBIG","!AMBIG",IF(COUNTIF('Calculations'!$HE$13:$HE$512,"="&amp;SUBSTITUTE(SUBSTITUTE(SUBSTITUTE('Calculations'!IF251,"~","~~"),"*","~*"),"?","~?"))&gt;1,"!AMBIG",IFERROR(INDEX('Calculations'!$HF$13:$HF$512,MATCH('Calculations'!IF251,'Calculations'!$HE$13:$HE$512,0)),""))))</x:f>
      </x:c>
      <x:c r="IH251" t="str">
        <x:f>IF('Calculations'!IG251="","",IF('Calculations'!IG251="!AMBIG","!AMBIG",IF(COUNTIF('Calculations'!$HE$13:$HE$512,"="&amp;SUBSTITUTE(SUBSTITUTE(SUBSTITUTE('Calculations'!IG251,"~","~~"),"*","~*"),"?","~?"))&gt;1,"!AMBIG",IFERROR(INDEX('Calculations'!$HF$13:$HF$512,MATCH('Calculations'!IG251,'Calculations'!$HE$13:$HE$512,0)),""))))</x:f>
      </x:c>
      <x:c r="II251" t="str">
        <x:f>IF('Calculations'!IH251="","",IF('Calculations'!IH251="!AMBIG","!AMBIG",IF(COUNTIF('Calculations'!$HE$13:$HE$512,"="&amp;SUBSTITUTE(SUBSTITUTE(SUBSTITUTE('Calculations'!IH251,"~","~~"),"*","~*"),"?","~?"))&gt;1,"!AMBIG",IFERROR(INDEX('Calculations'!$HF$13:$HF$512,MATCH('Calculations'!IH251,'Calculations'!$HE$13:$HE$512,0)),""))))</x:f>
      </x:c>
      <x:c r="IJ251" t="str">
        <x:f>IF('Calculations'!EM251="","",IF('Calculations'!$EF$2="All",'Calculations'!HM251,IF('Calculations'!HL251=1,"",IFERROR(IF(MATCH('Calculations'!$EF$2,'Calculations'!HO251:II251,0)=1,'Calculations'!HE251,INDEX('Calculations'!HO251:II251,1,MATCH('Calculations'!$EF$2,'Calculations'!HO251:II251,0)-1)),""))))</x:f>
      </x:c>
      <x:c r="IK251" t="n">
        <x:f>IF(AND('Calculations'!EM251&lt;&gt;"",'Calculations'!$EF$2&lt;&gt;"All",'Calculations'!HF251='Calculations'!$EF$2,'Calculations'!HL251=0,'Calculations'!JD251&gt;0),MAX('Calculations'!$IK$12:IK250)+1,0)</x:f>
        <x:v>0</x:v>
      </x:c>
      <x:c r="JA251" t="n">
        <x:f>IF(OR(IFERROR(INDIRECT("'WCM Calibration Final'!$A$251")&lt;&gt;"",FALSE),IFERROR(INDIRECT("'WCM Calibration Final'!$B$251")&lt;&gt;"",FALSE),IFERROR(INDIRECT("'WCM Calibration Final'!$C$251")&lt;&gt;"",FALSE)),251,0)</x:f>
        <x:v>0</x:v>
      </x:c>
      <x:c r="JB251" t="n">
        <x:f>'Calculations'!JB250+IF('Calculations'!JA251&gt;0,1,0)</x:f>
        <x:v>0</x:v>
      </x:c>
      <x:c r="JC251" t="n">
        <x:f>IF(OR('Calculations'!HF251="",'Calculations'!HF251="!AMBIG"),0,IF('Dashboard'!$B$7="All",1,COUNTIFS('Calculations'!$HO$13:$HO$512,"="&amp;SUBSTITUTE(SUBSTITUTE(SUBSTITUTE('Calculations'!HF251,"~","~~"),"*","~*"),"?","~?"),'Calculations'!$HN$13:$HN$512,"="&amp;SUBSTITUTE(SUBSTITUTE(SUBSTITUTE('Dashboard'!$B$7,"~","~~"),"*","~*"),"?","~?"))+COUNTIFS('Calculations'!$HP$13:$HP$512,"="&amp;SUBSTITUTE(SUBSTITUTE(SUBSTITUTE('Calculations'!HF251,"~","~~"),"*","~*"),"?","~?"),'Calculations'!$HN$13:$HN$512,"="&amp;SUBSTITUTE(SUBSTITUTE(SUBSTITUTE('Dashboard'!$B$7,"~","~~"),"*","~*"),"?","~?"))+COUNTIFS('Calculations'!$HQ$13:$HQ$512,"="&amp;SUBSTITUTE(SUBSTITUTE(SUBSTITUTE('Calculations'!HF251,"~","~~"),"*","~*"),"?","~?"),'Calculations'!$HN$13:$HN$512,"="&amp;SUBSTITUTE(SUBSTITUTE(SUBSTITUTE('Dashboard'!$B$7,"~","~~"),"*","~*"),"?","~?"))+COUNTIFS('Calculations'!$HR$13:$HR$512,"="&amp;SUBSTITUTE(SUBSTITUTE(SUBSTITUTE('Calculations'!HF251,"~","~~"),"*","~*"),"?","~?"),'Calculations'!$HN$13:$HN$512,"="&amp;SUBSTITUTE(SUBSTITUTE(SUBSTITUTE('Dashboard'!$B$7,"~","~~"),"*","~*"),"?","~?"))+COUNTIFS('Calculations'!$HS$13:$HS$512,"="&amp;SUBSTITUTE(SUBSTITUTE(SUBSTITUTE('Calculations'!HF251,"~","~~"),"*","~*"),"?","~?"),'Calculations'!$HN$13:$HN$512,"="&amp;SUBSTITUTE(SUBSTITUTE(SUBSTITUTE('Dashboard'!$B$7,"~","~~"),"*","~*"),"?","~?"))+COUNTIFS('Calculations'!$HT$13:$HT$512,"="&amp;SUBSTITUTE(SUBSTITUTE(SUBSTITUTE('Calculations'!HF251,"~","~~"),"*","~*"),"?","~?"),'Calculations'!$HN$13:$HN$512,"="&amp;SUBSTITUTE(SUBSTITUTE(SUBSTITUTE('Dashboard'!$B$7,"~","~~"),"*","~*"),"?","~?"))+COUNTIFS('Calculations'!$HU$13:$HU$512,"="&amp;SUBSTITUTE(SUBSTITUTE(SUBSTITUTE('Calculations'!HF251,"~","~~"),"*","~*"),"?","~?"),'Calculations'!$HN$13:$HN$512,"="&amp;SUBSTITUTE(SUBSTITUTE(SUBSTITUTE('Dashboard'!$B$7,"~","~~"),"*","~*"),"?","~?"))+COUNTIFS('Calculations'!$HV$13:$HV$512,"="&amp;SUBSTITUTE(SUBSTITUTE(SUBSTITUTE('Calculations'!HF251,"~","~~"),"*","~*"),"?","~?"),'Calculations'!$HN$13:$HN$512,"="&amp;SUBSTITUTE(SUBSTITUTE(SUBSTITUTE('Dashboard'!$B$7,"~","~~"),"*","~*"),"?","~?"))+COUNTIFS('Calculations'!$HW$13:$HW$512,"="&amp;SUBSTITUTE(SUBSTITUTE(SUBSTITUTE('Calculations'!HF251,"~","~~"),"*","~*"),"?","~?"),'Calculations'!$HN$13:$HN$512,"="&amp;SUBSTITUTE(SUBSTITUTE(SUBSTITUTE('Dashboard'!$B$7,"~","~~"),"*","~*"),"?","~?"))+COUNTIFS('Calculations'!$HX$13:$HX$512,"="&amp;SUBSTITUTE(SUBSTITUTE(SUBSTITUTE('Calculations'!HF251,"~","~~"),"*","~*"),"?","~?"),'Calculations'!$HN$13:$HN$512,"="&amp;SUBSTITUTE(SUBSTITUTE(SUBSTITUTE('Dashboard'!$B$7,"~","~~"),"*","~*"),"?","~?"))+COUNTIFS('Calculations'!$HY$13:$HY$512,"="&amp;SUBSTITUTE(SUBSTITUTE(SUBSTITUTE('Calculations'!HF251,"~","~~"),"*","~*"),"?","~?"),'Calculations'!$HN$13:$HN$512,"="&amp;SUBSTITUTE(SUBSTITUTE(SUBSTITUTE('Dashboard'!$B$7,"~","~~"),"*","~*"),"?","~?"))+COUNTIFS('Calculations'!$HZ$13:$HZ$512,"="&amp;SUBSTITUTE(SUBSTITUTE(SUBSTITUTE('Calculations'!HF251,"~","~~"),"*","~*"),"?","~?"),'Calculations'!$HN$13:$HN$512,"="&amp;SUBSTITUTE(SUBSTITUTE(SUBSTITUTE('Dashboard'!$B$7,"~","~~"),"*","~*"),"?","~?"))+COUNTIFS('Calculations'!$IA$13:$IA$512,"="&amp;SUBSTITUTE(SUBSTITUTE(SUBSTITUTE('Calculations'!HF251,"~","~~"),"*","~*"),"?","~?"),'Calculations'!$HN$13:$HN$512,"="&amp;SUBSTITUTE(SUBSTITUTE(SUBSTITUTE('Dashboard'!$B$7,"~","~~"),"*","~*"),"?","~?"))+COUNTIFS('Calculations'!$IB$13:$IB$512,"="&amp;SUBSTITUTE(SUBSTITUTE(SUBSTITUTE('Calculations'!HF251,"~","~~"),"*","~*"),"?","~?"),'Calculations'!$HN$13:$HN$512,"="&amp;SUBSTITUTE(SUBSTITUTE(SUBSTITUTE('Dashboard'!$B$7,"~","~~"),"*","~*"),"?","~?"))+COUNTIFS('Calculations'!$IC$13:$IC$512,"="&amp;SUBSTITUTE(SUBSTITUTE(SUBSTITUTE('Calculations'!HF251,"~","~~"),"*","~*"),"?","~?"),'Calculations'!$HN$13:$HN$512,"="&amp;SUBSTITUTE(SUBSTITUTE(SUBSTITUTE('Dashboard'!$B$7,"~","~~"),"*","~*"),"?","~?"))+COUNTIFS('Calculations'!$ID$13:$ID$512,"="&amp;SUBSTITUTE(SUBSTITUTE(SUBSTITUTE('Calculations'!HF251,"~","~~"),"*","~*"),"?","~?"),'Calculations'!$HN$13:$HN$512,"="&amp;SUBSTITUTE(SUBSTITUTE(SUBSTITUTE('Dashboard'!$B$7,"~","~~"),"*","~*"),"?","~?"))+COUNTIFS('Calculations'!$IE$13:$IE$512,"="&amp;SUBSTITUTE(SUBSTITUTE(SUBSTITUTE('Calculations'!HF251,"~","~~"),"*","~*"),"?","~?"),'Calculations'!$HN$13:$HN$512,"="&amp;SUBSTITUTE(SUBSTITUTE(SUBSTITUTE('Dashboard'!$B$7,"~","~~"),"*","~*"),"?","~?"))+COUNTIFS('Calculations'!$IF$13:$IF$512,"="&amp;SUBSTITUTE(SUBSTITUTE(SUBSTITUTE('Calculations'!HF251,"~","~~"),"*","~*"),"?","~?"),'Calculations'!$HN$13:$HN$512,"="&amp;SUBSTITUTE(SUBSTITUTE(SUBSTITUTE('Dashboard'!$B$7,"~","~~"),"*","~*"),"?","~?"))+COUNTIFS('Calculations'!$IG$13:$IG$512,"="&amp;SUBSTITUTE(SUBSTITUTE(SUBSTITUTE('Calculations'!HF251,"~","~~"),"*","~*"),"?","~?"),'Calculations'!$HN$13:$HN$512,"="&amp;SUBSTITUTE(SUBSTITUTE(SUBSTITUTE('Dashboard'!$B$7,"~","~~"),"*","~*"),"?","~?"))+COUNTIFS('Calculations'!$IH$13:$IH$512,"="&amp;SUBSTITUTE(SUBSTITUTE(SUBSTITUTE('Calculations'!HF251,"~","~~"),"*","~*"),"?","~?"),'Calculations'!$HN$13:$HN$512,"="&amp;SUBSTITUTE(SUBSTITUTE(SUBSTITUTE('Dashboard'!$B$7,"~","~~"),"*","~*"),"?","~?"))))</x:f>
        <x:v>0</x:v>
      </x:c>
      <x:c r="JD251" t="n">
        <x:f>IF('Calculations'!EM251="",0,IF('Dashboard'!$B$7="All",1,IF('Calculations'!HN251='Dashboard'!$B$7,1,0)+IFERROR(INDEX('Calculations'!$JC$13:$JC$512,MATCH('Calculations'!HE251,'Calculations'!$HF$13:$HF$512,0)),0)))</x:f>
        <x:v>0</x:v>
      </x:c>
      <x:c r="JE251" t="n">
        <x:f>IF(AND('Calculations'!EM251&lt;&gt;"",'Calculations'!$JJ$2&lt;&gt;"All",'Calculations'!$JJ$2&lt;&gt;"",'Calculations'!HF251='Calculations'!$JJ$2,'Calculations'!HL251=0,'Calculations'!JD251&gt;0),MAX('Calculations'!$JE$12:JE250)+1,0)</x:f>
        <x:v>0</x:v>
      </x:c>
      <x:c r="JF251" t="str">
        <x:f>IF('Calculations'!EM251="","",IFERROR(IF(INDEX(INDIRECT("'WCM Calibration Final'!$G$1:$G$2000"),'Calculations'!$EM251)="","",TRIM(INDEX(INDIRECT("'WCM Calibration Final'!$G$1:$G$2000"),'Calculations'!$EM251)&amp;"")),""))</x:f>
      </x:c>
      <x:c r="JQ251" t="n">
        <x:f>IF(OR('Calculations'!BM251=0,NOT('Calculations'!$AG$2),'Calculations'!$AG$8&gt;0),0,IF(OR('Dashboard'!$B$7="All",'Calculations'!HN251='Dashboard'!$B$7),IF('Calculations'!$JJ$2="All",1,IF(AND('Calculations'!HF251='Calculations'!$JJ$2,'Calculations'!HL251=0),1,0)),0))</x:f>
        <x:v>0</x:v>
      </x:c>
    </x:row>
    <x:row r="252">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t="n">
        <x:f>IF('Calculations'!$EM252="",0,IF(OR(IFERROR(INDEX(INDIRECT("'WCM Calibration Final'!$A$1:$A$2000"),'Calculations'!$EM252)&lt;&gt;"",FALSE),IFERROR(INDEX(INDIRECT("'WCM Calibration Final'!$B$1:$B$2000"),'Calculations'!$EM252)&lt;&gt;"",FALSE),IFERROR(INDEX(INDIRECT("'WCM Calibration Final'!$C$1:$C$2000"),'Calculations'!$EM252)&lt;&gt;"",FALSE)),1,0))</x:f>
        <x:v>0</x:v>
      </x:c>
      <x:c r="BN252" s="4" t="n">
        <x:f>IF(AND('Calculations'!BM252=1,'Calculations'!$AG$2,'Calculations'!$EN252=1),1,0)</x:f>
        <x:v>0</x:v>
      </x:c>
      <x:c r="BO252" s="4" t="str">
        <x:f>IF('Calculations'!BM252=0,"",IFERROR(IF(AND(VALUE(INDEX(INDIRECT("'WCM Calibration Final'!$K$1:$K$2000"),'Calculations'!$EM252))&gt;=1,VALUE(INDEX(INDIRECT("'WCM Calibration Final'!$K$1:$K$2000"),'Calculations'!$EM252))&lt;=4,MOD(VALUE(INDEX(INDIRECT("'WCM Calibration Final'!$K$1:$K$2000"),'Calculations'!$EM252)),1)=0),VALUE(INDEX(INDIRECT("'WCM Calibration Final'!$K$1:$K$2000"),'Calculations'!$EM252)),""),""))</x:f>
      </x:c>
      <x:c r="BP252" s="4" t="str">
        <x:f>IF('Calculations'!BM252=0,"",IFERROR(IF(AND(VALUE(INDEX(INDIRECT("'WCM Calibration Final'!$L$1:$L$2000"),'Calculations'!$EM252))&gt;=1,VALUE(INDEX(INDIRECT("'WCM Calibration Final'!$L$1:$L$2000"),'Calculations'!$EM252))&lt;=4,MOD(VALUE(INDEX(INDIRECT("'WCM Calibration Final'!$L$1:$L$2000"),'Calculations'!$EM252)),1)=0),VALUE(INDEX(INDIRECT("'WCM Calibration Final'!$L$1:$L$2000"),'Calculations'!$EM252)),""),""))</x:f>
      </x:c>
      <x:c r="BQ252" s="4"/>
      <x:c r="BR252" s="4"/>
      <x:c r="BS252" s="4"/>
      <x:c r="BT252" s="4" t="n">
        <x:f>IF(AND('Calculations'!BM252=1,ISNUMBER('Calculations'!BO252),ISNUMBER('Calculations'!BP252)),1,0)</x:f>
        <x:v>0</x:v>
      </x:c>
      <x:c r="BU252" s="4" t="str">
        <x:f>IF('Calculations'!BM252=0,"",'Calculations'!$EO252)</x:f>
      </x:c>
      <x:c r="BV252" s="4" t="str">
        <x:f>IF('Calculations'!BM252=0,"",IFERROR(IF(OR(INDEX(INDIRECT("'WCM Calibration Final'!$H$1:$H$2000"),'Calculations'!$EM252)="MANAGING DIRECTOR",INDEX(INDIRECT("'WCM Calibration Final'!$H$1:$H$2000"),'Calculations'!$EM252)="DIRECTOR",INDEX(INDIRECT("'WCM Calibration Final'!$H$1:$H$2000"),'Calculations'!$EM252)="SENIOR VICE PRESIDENT",INDEX(INDIRECT("'WCM Calibration Final'!$H$1:$H$2000"),'Calculations'!$EM252)="VICE PRESIDENT",INDEX(INDIRECT("'WCM Calibration Final'!$H$1:$H$2000"),'Calculations'!$EM252)="ASSISTANT VICE PRESIDENT",INDEX(INDIRECT("'WCM Calibration Final'!$H$1:$H$2000"),'Calculations'!$EM252)="OFFICER"),UPPER(INDEX(INDIRECT("'WCM Calibration Final'!$H$1:$H$2000"),'Calculations'!$EM252)),"Other"),"Other"))</x:f>
      </x:c>
      <x:c r="BW252" s="4"/>
      <x:c r="BX252" s="4"/>
      <x:c r="BY252" s="4" t="n">
        <x:f>IF(AND('Calculations'!BM252=1,'Calculations'!BU252&lt;&gt;"",COUNTIF('Calculations'!$BU$12:BU252,'Calculations'!BU252)=1),MAX('Calculations'!$BY$11:BY251)+1,0)</x:f>
        <x:v>0</x:v>
      </x:c>
      <x:c r="BZ252" s="4" t="str">
        <x:f>IF('Dashboard'!$E$67="What",'Calculations'!BO252,'Calculations'!BP252)</x:f>
      </x:c>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t="str">
        <x:f>IF(241&gt;MAX('Calculations'!$HI$13:$HI$512),"",INDEX('Calculations'!$HN$13:$HN$512,MATCH(241,'Calculations'!$HI$13:$HI$512,0)))</x:f>
      </x:c>
      <x:c r="DB252" s="4" t="str">
        <x:f>IF(241&gt;MAX('Calculations'!$HH$13:$HH$512),"",INDEX('Calculations'!$HJ$13:$HJ$512,MATCH(241,'Calculations'!$HH$13:$HH$512,0)))</x:f>
      </x:c>
      <x:c r="DC252" s="4" t="str">
        <x:f>IF(ROW()-11&gt;MAX('Calculations'!$BY$13:$BY$512),"",INDEX('Calculations'!$BU$13:$BU$512,MATCH(ROW()-11,'Calculations'!$BY$13:$BY$512,0)))</x:f>
      </x:c>
      <x:c r="DD252" s="4" t="str">
        <x:f>IF(241&gt;MAX('Calculations'!$IK$13:$IK$512),"",INDEX('Calculations'!$HK$13:$HK$512,MATCH(241,'Calculations'!$IK$13:$IK$512,0)))</x:f>
      </x:c>
      <x:c r="DE252" s="4" t="str">
        <x:f>'Calculations'!DC252</x:f>
      </x:c>
      <x:c r="DF252" s="4" t="str">
        <x:f>IF('Calculations'!DE252="","",COUNTIFS('Calculations'!$BN$13:$BN$512,1,'Calculations'!$BU$13:$BU$512,'Calculations'!DE252))</x:f>
      </x:c>
      <x:c r="DG252" s="4" t="str">
        <x:f>IF('Calculations'!DE252="","",COUNTIFS('Calculations'!$BN$13:$BN$512,1,'Calculations'!$BU$13:$BU$512,'Calculations'!DE252,'Calculations'!$BT$13:$BT$512,1))</x:f>
      </x:c>
      <x:c r="DH252" s="4" t="str">
        <x:f>IF('Calculations'!DE252="","",'Calculations'!DF252-'Calculations'!DG252)</x:f>
      </x:c>
      <x:c r="DI252" s="4" t="str">
        <x:f>IF(OR('Calculations'!DE252="",'Calculations'!DF252=0),"",'Calculations'!DG252/'Calculations'!DF252)</x:f>
      </x:c>
      <x:c r="DJ252" s="4" t="str">
        <x:f>IF('Calculations'!DE252="","",COUNTIFS('Calculations'!$BN$13:$BN$512,1,'Calculations'!$BU$13:$BU$512,'Calculations'!DE252,'Calculations'!$BT$13:$BT$512,1,'Calculations'!$EE$13:$EE$512,"High"))</x:f>
      </x:c>
      <x:c r="DK252" s="4" t="str">
        <x:f>IF('Calculations'!DE252="","",COUNTIFS('Calculations'!$BN$13:$BN$512,1,'Calculations'!$BU$13:$BU$512,'Calculations'!DE252,'Calculations'!$BT$13:$BT$512,1,'Calculations'!$EE$13:$EE$512,"Strong"))</x:f>
      </x:c>
      <x:c r="DL252" s="4" t="str">
        <x:f>IF('Calculations'!DE252="","",COUNTIFS('Calculations'!$BN$13:$BN$512,1,'Calculations'!$BU$13:$BU$512,'Calculations'!DE252,'Calculations'!$BT$13:$BT$512,1,'Calculations'!$EE$13:$EE$512,"Solid"))</x:f>
      </x:c>
      <x:c r="DM252" s="4" t="str">
        <x:f>IF('Calculations'!DE252="","",COUNTIFS('Calculations'!$BN$13:$BN$512,1,'Calculations'!$BU$13:$BU$512,'Calculations'!DE252,'Calculations'!$BT$13:$BT$512,1,'Calculations'!$EE$13:$EE$512,"Low"))</x:f>
      </x:c>
      <x:c r="DN252" s="4" t="str">
        <x:f>IF('Calculations'!DE252="","",COUNTIFS('Calculations'!$BN$13:$BN$512,1,'Calculations'!$BU$13:$BU$512,'Calculations'!DE252,'Calculations'!$EP$13:$EP$512,1))</x:f>
      </x:c>
      <x:c r="DO252" s="4" t="str">
        <x:f>IF(OR('Calculations'!DE252="",'Calculations'!DG252=0),"",('Calculations'!DJ252+'Calculations'!DK252)/'Calculations'!DG252)</x:f>
      </x:c>
      <x:c r="DP252" s="4" t="n">
        <x:f>IF(AND('Calculations'!DE252&lt;&gt;"",'Calculations'!DF252&gt;0),COUNTIF('Calculations'!$DF$12:DF252,"&gt;0"),0)</x:f>
        <x:v>0</x:v>
      </x:c>
      <x:c r="DQ252" s="4" t="str">
        <x:f>IF(241&gt;MAX('Calculations'!$HH$13:$HH$512),"",INDEX('Calculations'!$HF$13:$HF$512,MATCH(241,'Calculations'!$HH$13:$HH$512,0)))</x:f>
      </x:c>
      <x:c r="DR252" s="4" t="str">
        <x:f>IF(241&gt;MAX('Calculations'!$IK$13:$IK$512),"",INDEX('Calculations'!$HE$13:$HE$512,MATCH(241,'Calculations'!$IK$13:$IK$512,0)))</x:f>
      </x:c>
      <x:c r="DS252" s="4"/>
      <x:c r="DT252" s="4"/>
      <x:c r="DU252" s="4"/>
      <x:c r="DV252" s="4"/>
      <x:c r="DW252" s="4"/>
      <x:c r="DX252" s="4"/>
      <x:c r="DY252" s="4"/>
      <x:c r="DZ252" s="4"/>
      <x:c r="EA252" s="4"/>
      <x:c r="EB252" s="4"/>
      <x:c r="EC252" s="4"/>
      <x:c r="ED252" s="4"/>
      <x:c r="EE252" s="4" t="str">
        <x:f>IF('Calculations'!BT252=0,"Not Rated",IF(OR('Calculations'!BO252&gt;=4,'Calculations'!BP252&gt;=4),"Low",IF('Calculations'!BO252+'Calculations'!BP252&lt;=3,"High",IF('Calculations'!BO252+'Calculations'!BP252&lt;=4,"Strong","Solid"))))</x:f>
        <x:v>Not Rated</x:v>
      </x:c>
      <x:c r="EF252" s="4"/>
      <x:c r="EG252" s="4"/>
      <x:c r="EH252" s="4"/>
      <x:c r="EI252" s="4"/>
      <x:c r="EJ252" s="4"/>
      <x:c r="EK252" s="4"/>
      <x:c r="EL252" s="4"/>
      <x:c r="EM252" s="4" t="str">
        <x:f>IF(240&gt;'Calculations'!$JB$2000,"",INDEX('Calculations'!$JA$12:$JA$2000,MATCH(240,'Calculations'!$JB$12:$JB$2000,0)))</x:f>
      </x:c>
      <x:c r="EN252" s="4" t="n">
        <x:f>IF(OR('Calculations'!EM252="",'Calculations'!$AG$8&gt;0,AND('Calculations'!$EF$2&lt;&gt;"All",'Calculations'!HE252='Calculations'!$EF$2),AND('Calculations'!$EF$3&lt;&gt;"All",'Calculations'!HE252='Calculations'!$EF$3)),0,IF(OR('Dashboard'!$B$7="All",'Calculations'!HN252='Dashboard'!$B$7),IF('Calculations'!$EF$2="All",1,IF('Calculations'!HL252&gt;0,0,IF(COUNTIF('Calculations'!HO252:II252,"="&amp;SUBSTITUTE(SUBSTITUTE(SUBSTITUTE('Calculations'!$EF$2,"~","~~"),"*","~*"),"?","~?"))=0,0,IF('Calculations'!$EF$3="All",1,IF(COUNTIF('Calculations'!HO252:II252,"="&amp;SUBSTITUTE(SUBSTITUTE(SUBSTITUTE('Calculations'!$EF$3,"~","~~"),"*","~*"),"?","~?"))&gt;0,1,0))))),0))</x:f>
        <x:v>0</x:v>
      </x:c>
      <x:c r="EO252" s="4" t="str">
        <x:f>IF('Calculations'!IJ252="","",IF('Calculations'!IJ252="!UNRESOLVED","Unresolved hierarchy",IFERROR(INDEX('Calculations'!$HK$13:$HK$512,MATCH('Calculations'!IJ252,'Calculations'!$HE$13:$HE$512,0)),IFERROR(INDEX('Calculations'!$HJ$13:$HJ$512,MATCH('Calculations'!IJ252,'Calculations'!$HF$13:$HF$512,0)),'Calculations'!IJ252))))</x:f>
      </x:c>
      <x:c r="EP252" s="4" t="n">
        <x:f>IF(AND('Calculations'!EM252&lt;&gt;"",'Calculations'!HF252='Calculations'!IJ252),1,0)</x:f>
        <x:v>0</x:v>
      </x:c>
      <x:c r="EQ252" s="4"/>
      <x:c r="ER252" s="4"/>
      <x:c r="ES252" s="4"/>
      <x:c r="ET252" s="4"/>
      <x:c r="EU252" s="4"/>
      <x:c r="EV252" s="4"/>
      <x:c r="EW252" s="4"/>
      <x:c r="EX252" s="4"/>
      <x:c r="EY252" s="4"/>
      <x:c r="EZ252" s="4"/>
      <x:c r="FA252" s="4"/>
      <x:c r="FB252" s="4"/>
      <x:c r="FC252" s="4"/>
      <x:c r="FD252" s="4"/>
      <x:c r="FE252" s="4"/>
      <x:c r="FF252" s="4"/>
      <x:c r="FG252" s="4"/>
      <x:c r="FH252" s="4"/>
      <x:c r="FI252" s="4"/>
      <x:c r="FJ252" s="4"/>
      <x:c r="FK252" s="4"/>
      <x:c r="FL252" s="4"/>
      <x:c r="FM252" s="4"/>
      <x:c r="FN252" s="4"/>
      <x:c r="FO252" s="4"/>
      <x:c r="HE252" t="str">
        <x:f>IF('Calculations'!EM252="","",IF(IFERROR(IF(INDEX(INDIRECT("'WCM Calibration Final'!$A$1:$A$2000"),'Calculations'!$EM252)="","",TRIM(INDEX(INDIRECT("'WCM Calibration Final'!$A$1:$A$2000"),'Calculations'!$EM252)&amp;"")),"")&lt;&gt;"","G:"&amp;IFERROR(TEXT(1*INDEX(INDIRECT("'WCM Calibration Final'!$A$1:$A$2000"),'Calculations'!$EM252),"0"),UPPER(IFERROR(IF(INDEX(INDIRECT("'WCM Calibration Final'!$A$1:$A$2000"),'Calculations'!$EM252)="","",TRIM(INDEX(INDIRECT("'WCM Calibration Final'!$A$1:$A$2000"),'Calculations'!$EM252)&amp;"")),""))),IF(IFERROR(IF(INDEX(INDIRECT("'WCM Calibration Final'!$C$1:$C$2000"),'Calculations'!$EM252)="","",TRIM(INDEX(INDIRECT("'WCM Calibration Final'!$C$1:$C$2000"),'Calculations'!$EM252)&amp;"")),"")&lt;&gt;"","S:"&amp;UPPER(IFERROR(IF(INDEX(INDIRECT("'WCM Calibration Final'!$C$1:$C$2000"),'Calculations'!$EM252)="","",TRIM(INDEX(INDIRECT("'WCM Calibration Final'!$C$1:$C$2000"),'Calculations'!$EM252)&amp;"")),"")),"R:"&amp;'Calculations'!EM252)))</x:f>
      </x:c>
      <x:c r="HF252" t="str">
        <x:f>IF('Calculations'!EM252="","",IF(IFERROR(IF(INDEX(INDIRECT("'WCM Calibration Final'!$D$1:$D$2000"),'Calculations'!$EM252)="","",TRIM(INDEX(INDIRECT("'WCM Calibration Final'!$D$1:$D$2000"),'Calculations'!$EM252)&amp;"")),"")&lt;&gt;"","G:"&amp;IFERROR(TEXT(1*INDEX(INDIRECT("'WCM Calibration Final'!$D$1:$D$2000"),'Calculations'!$EM252),"0"),UPPER(IFERROR(IF(INDEX(INDIRECT("'WCM Calibration Final'!$D$1:$D$2000"),'Calculations'!$EM252)="","",TRIM(INDEX(INDIRECT("'WCM Calibration Final'!$D$1:$D$2000"),'Calculations'!$EM252)&amp;"")),""))),IF(IFERROR(IF(INDEX(INDIRECT("'WCM Calibration Final'!$E$1:$E$2000"),'Calculations'!$EM252)="","",TRIM(INDEX(INDIRECT("'WCM Calibration Final'!$E$1:$E$2000"),'Calculations'!$EM252)&amp;"")),"")="","",IF(COUNTIF('Calculations'!$HG$13:$HG$512,"="&amp;SUBSTITUTE(SUBSTITUTE(SUBSTITUTE(IFERROR(IF(INDEX(INDIRECT("'WCM Calibration Final'!$E$1:$E$2000"),'Calculations'!$EM252)="","",TRIM(INDEX(INDIRECT("'WCM Calibration Final'!$E$1:$E$2000"),'Calculations'!$EM252)&amp;"")),""),"~","~~"),"*","~*"),"?","~?"))=1,INDEX('Calculations'!$HE$13:$HE$512,MATCH(IFERROR(IF(INDEX(INDIRECT("'WCM Calibration Final'!$E$1:$E$2000"),'Calculations'!$EM252)="","",TRIM(INDEX(INDIRECT("'WCM Calibration Final'!$E$1:$E$2000"),'Calculations'!$EM252)&amp;"")),""),'Calculations'!$HG$13:$HG$512,0)),IF(COUNTIF('Calculations'!$HG$13:$HG$512,"="&amp;SUBSTITUTE(SUBSTITUTE(SUBSTITUTE(IFERROR(IF(INDEX(INDIRECT("'WCM Calibration Final'!$E$1:$E$2000"),'Calculations'!$EM252)="","",TRIM(INDEX(INDIRECT("'WCM Calibration Final'!$E$1:$E$2000"),'Calculations'!$EM252)&amp;"")),""),"~","~~"),"*","~*"),"?","~?"))&gt;1,"!AMBIG","X:"&amp;IFERROR(IF(INDEX(INDIRECT("'WCM Calibration Final'!$E$1:$E$2000"),'Calculations'!$EM252)="","",TRIM(INDEX(INDIRECT("'WCM Calibration Final'!$E$1:$E$2000"),'Calculations'!$EM252)&amp;"")),""))))))</x:f>
      </x:c>
      <x:c r="HG252" t="str">
        <x:f>IF('Calculations'!EM252="","",IFERROR(IF(INDEX(INDIRECT("'WCM Calibration Final'!$B$1:$B$2000"),'Calculations'!$EM252)="","",TRIM(INDEX(INDIRECT("'WCM Calibration Final'!$B$1:$B$2000"),'Calculations'!$EM252)&amp;"")),""))</x:f>
      </x:c>
      <x:c r="HH252" t="n">
        <x:f>IF(AND('Calculations'!JC252&gt;0,COUNTIF('Calculations'!$HF$12:HF252,"="&amp;SUBSTITUTE(SUBSTITUTE(SUBSTITUTE('Calculations'!HF252,"~","~~"),"*","~*"),"?","~?"))=1),MAX('Calculations'!$HH$12:HH251)+1,0)</x:f>
        <x:v>0</x:v>
      </x:c>
      <x:c r="HI252" t="n">
        <x:f>IF(AND('Calculations'!HN252&lt;&gt;"",COUNTIF('Calculations'!$HN$12:HN252,"="&amp;SUBSTITUTE(SUBSTITUTE(SUBSTITUTE('Calculations'!HN252,"~","~~"),"*","~*"),"?","~?"))=1),MAX('Calculations'!$HI$12:HI251)+1,0)</x:f>
        <x:v>0</x:v>
      </x:c>
      <x:c r="HJ252" t="str">
        <x:f>IF('Calculations'!HF252="","",IF(COUNTIF('Calculations'!$HE$13:$HE$512,"="&amp;SUBSTITUTE(SUBSTITUTE(SUBSTITUTE('Calculations'!HF252,"~","~~"),"*","~*"),"?","~?"))=1,INDEX('Calculations'!$HK$13:$HK$512,MATCH('Calculations'!HF252,'Calculations'!$HE$13:$HE$512,0)),IFERROR(IF(INDEX(INDIRECT("'WCM Calibration Final'!$E$1:$E$2000"),'Calculations'!$EM252)="","",TRIM(INDEX(INDIRECT("'WCM Calibration Final'!$E$1:$E$2000"),'Calculations'!$EM252)&amp;"")),"")&amp;" ["&amp;'Calculations'!HF252&amp;"]"))</x:f>
      </x:c>
      <x:c r="HK252" t="str">
        <x:f>IF('Calculations'!EM252="","",'Calculations'!HG252&amp;" ["&amp;'Calculations'!HE252&amp;"]")</x:f>
      </x:c>
      <x:c r="HL252" t="n">
        <x:f>IF('Calculations'!EM252="",0,IF(OR('Calculations'!II252&lt;&gt;"",COUNTIF('Calculations'!$HE$13:$HE$512,"="&amp;SUBSTITUTE(SUBSTITUTE(SUBSTITUTE('Calculations'!HE252,"~","~~"),"*","~*"),"?","~?"))&gt;1),1,0))</x:f>
        <x:v>0</x:v>
      </x:c>
      <x:c r="HM252" t="str">
        <x:f>IF('Calculations'!EM252="","",IF('Calculations'!HL252=1,"!UNRESOLVED",IF('Calculations'!IH252&lt;&gt;"",'Calculations'!IH252,IF('Calculations'!IG252&lt;&gt;"",'Calculations'!IG252,IF('Calculations'!IF252&lt;&gt;"",'Calculations'!IF252,IF('Calculations'!IE252&lt;&gt;"",'Calculations'!IE252,IF('Calculations'!ID252&lt;&gt;"",'Calculations'!ID252,IF('Calculations'!IC252&lt;&gt;"",'Calculations'!IC252,IF('Calculations'!IB252&lt;&gt;"",'Calculations'!IB252,IF('Calculations'!IA252&lt;&gt;"",'Calculations'!IA252,IF('Calculations'!HZ252&lt;&gt;"",'Calculations'!HZ252,IF('Calculations'!HY252&lt;&gt;"",'Calculations'!HY252,IF('Calculations'!HX252&lt;&gt;"",'Calculations'!HX252,IF('Calculations'!HW252&lt;&gt;"",'Calculations'!HW252,IF('Calculations'!HV252&lt;&gt;"",'Calculations'!HV252,IF('Calculations'!HU252&lt;&gt;"",'Calculations'!HU252,IF('Calculations'!HT252&lt;&gt;"",'Calculations'!HT252,IF('Calculations'!HS252&lt;&gt;"",'Calculations'!HS252,IF('Calculations'!HR252&lt;&gt;"",'Calculations'!HR252,IF('Calculations'!HQ252&lt;&gt;"",'Calculations'!HQ252,IF('Calculations'!HP252&lt;&gt;"",'Calculations'!HP252,IF('Calculations'!HO252&lt;&gt;"",'Calculations'!HO252,'Calculations'!HE252))))))))))))))))))))))</x:f>
      </x:c>
      <x:c r="HN252" t="str">
        <x:f>IF('Calculations'!EM252="","",IF(IFERROR(IF(INDEX(INDIRECT("'WCM Calibration Final'!$F$1:$F$2000"),'Calculations'!$EM252)="","",TRIM(INDEX(INDIRECT("'WCM Calibration Final'!$F$1:$F$2000"),'Calculations'!$EM252)&amp;"")),"")="","(Blank)",IFERROR(IF(INDEX(INDIRECT("'WCM Calibration Final'!$F$1:$F$2000"),'Calculations'!$EM252)="","",TRIM(INDEX(INDIRECT("'WCM Calibration Final'!$F$1:$F$2000"),'Calculations'!$EM252)&amp;"")),"")))</x:f>
      </x:c>
      <x:c r="HO252" t="str">
        <x:f>'Calculations'!HF252</x:f>
      </x:c>
      <x:c r="HP252" t="str">
        <x:f>IF('Calculations'!HO252="","",IF('Calculations'!HO252="!AMBIG","!AMBIG",IF(COUNTIF('Calculations'!$HE$13:$HE$512,"="&amp;SUBSTITUTE(SUBSTITUTE(SUBSTITUTE('Calculations'!HO252,"~","~~"),"*","~*"),"?","~?"))&gt;1,"!AMBIG",IFERROR(INDEX('Calculations'!$HF$13:$HF$512,MATCH('Calculations'!HO252,'Calculations'!$HE$13:$HE$512,0)),""))))</x:f>
      </x:c>
      <x:c r="HQ252" t="str">
        <x:f>IF('Calculations'!HP252="","",IF('Calculations'!HP252="!AMBIG","!AMBIG",IF(COUNTIF('Calculations'!$HE$13:$HE$512,"="&amp;SUBSTITUTE(SUBSTITUTE(SUBSTITUTE('Calculations'!HP252,"~","~~"),"*","~*"),"?","~?"))&gt;1,"!AMBIG",IFERROR(INDEX('Calculations'!$HF$13:$HF$512,MATCH('Calculations'!HP252,'Calculations'!$HE$13:$HE$512,0)),""))))</x:f>
      </x:c>
      <x:c r="HR252" t="str">
        <x:f>IF('Calculations'!HQ252="","",IF('Calculations'!HQ252="!AMBIG","!AMBIG",IF(COUNTIF('Calculations'!$HE$13:$HE$512,"="&amp;SUBSTITUTE(SUBSTITUTE(SUBSTITUTE('Calculations'!HQ252,"~","~~"),"*","~*"),"?","~?"))&gt;1,"!AMBIG",IFERROR(INDEX('Calculations'!$HF$13:$HF$512,MATCH('Calculations'!HQ252,'Calculations'!$HE$13:$HE$512,0)),""))))</x:f>
      </x:c>
      <x:c r="HS252" t="str">
        <x:f>IF('Calculations'!HR252="","",IF('Calculations'!HR252="!AMBIG","!AMBIG",IF(COUNTIF('Calculations'!$HE$13:$HE$512,"="&amp;SUBSTITUTE(SUBSTITUTE(SUBSTITUTE('Calculations'!HR252,"~","~~"),"*","~*"),"?","~?"))&gt;1,"!AMBIG",IFERROR(INDEX('Calculations'!$HF$13:$HF$512,MATCH('Calculations'!HR252,'Calculations'!$HE$13:$HE$512,0)),""))))</x:f>
      </x:c>
      <x:c r="HT252" t="str">
        <x:f>IF('Calculations'!HS252="","",IF('Calculations'!HS252="!AMBIG","!AMBIG",IF(COUNTIF('Calculations'!$HE$13:$HE$512,"="&amp;SUBSTITUTE(SUBSTITUTE(SUBSTITUTE('Calculations'!HS252,"~","~~"),"*","~*"),"?","~?"))&gt;1,"!AMBIG",IFERROR(INDEX('Calculations'!$HF$13:$HF$512,MATCH('Calculations'!HS252,'Calculations'!$HE$13:$HE$512,0)),""))))</x:f>
      </x:c>
      <x:c r="HU252" t="str">
        <x:f>IF('Calculations'!HT252="","",IF('Calculations'!HT252="!AMBIG","!AMBIG",IF(COUNTIF('Calculations'!$HE$13:$HE$512,"="&amp;SUBSTITUTE(SUBSTITUTE(SUBSTITUTE('Calculations'!HT252,"~","~~"),"*","~*"),"?","~?"))&gt;1,"!AMBIG",IFERROR(INDEX('Calculations'!$HF$13:$HF$512,MATCH('Calculations'!HT252,'Calculations'!$HE$13:$HE$512,0)),""))))</x:f>
      </x:c>
      <x:c r="HV252" t="str">
        <x:f>IF('Calculations'!HU252="","",IF('Calculations'!HU252="!AMBIG","!AMBIG",IF(COUNTIF('Calculations'!$HE$13:$HE$512,"="&amp;SUBSTITUTE(SUBSTITUTE(SUBSTITUTE('Calculations'!HU252,"~","~~"),"*","~*"),"?","~?"))&gt;1,"!AMBIG",IFERROR(INDEX('Calculations'!$HF$13:$HF$512,MATCH('Calculations'!HU252,'Calculations'!$HE$13:$HE$512,0)),""))))</x:f>
      </x:c>
      <x:c r="HW252" t="str">
        <x:f>IF('Calculations'!HV252="","",IF('Calculations'!HV252="!AMBIG","!AMBIG",IF(COUNTIF('Calculations'!$HE$13:$HE$512,"="&amp;SUBSTITUTE(SUBSTITUTE(SUBSTITUTE('Calculations'!HV252,"~","~~"),"*","~*"),"?","~?"))&gt;1,"!AMBIG",IFERROR(INDEX('Calculations'!$HF$13:$HF$512,MATCH('Calculations'!HV252,'Calculations'!$HE$13:$HE$512,0)),""))))</x:f>
      </x:c>
      <x:c r="HX252" t="str">
        <x:f>IF('Calculations'!HW252="","",IF('Calculations'!HW252="!AMBIG","!AMBIG",IF(COUNTIF('Calculations'!$HE$13:$HE$512,"="&amp;SUBSTITUTE(SUBSTITUTE(SUBSTITUTE('Calculations'!HW252,"~","~~"),"*","~*"),"?","~?"))&gt;1,"!AMBIG",IFERROR(INDEX('Calculations'!$HF$13:$HF$512,MATCH('Calculations'!HW252,'Calculations'!$HE$13:$HE$512,0)),""))))</x:f>
      </x:c>
      <x:c r="HY252" t="str">
        <x:f>IF('Calculations'!HX252="","",IF('Calculations'!HX252="!AMBIG","!AMBIG",IF(COUNTIF('Calculations'!$HE$13:$HE$512,"="&amp;SUBSTITUTE(SUBSTITUTE(SUBSTITUTE('Calculations'!HX252,"~","~~"),"*","~*"),"?","~?"))&gt;1,"!AMBIG",IFERROR(INDEX('Calculations'!$HF$13:$HF$512,MATCH('Calculations'!HX252,'Calculations'!$HE$13:$HE$512,0)),""))))</x:f>
      </x:c>
      <x:c r="HZ252" t="str">
        <x:f>IF('Calculations'!HY252="","",IF('Calculations'!HY252="!AMBIG","!AMBIG",IF(COUNTIF('Calculations'!$HE$13:$HE$512,"="&amp;SUBSTITUTE(SUBSTITUTE(SUBSTITUTE('Calculations'!HY252,"~","~~"),"*","~*"),"?","~?"))&gt;1,"!AMBIG",IFERROR(INDEX('Calculations'!$HF$13:$HF$512,MATCH('Calculations'!HY252,'Calculations'!$HE$13:$HE$512,0)),""))))</x:f>
      </x:c>
      <x:c r="IA252" t="str">
        <x:f>IF('Calculations'!HZ252="","",IF('Calculations'!HZ252="!AMBIG","!AMBIG",IF(COUNTIF('Calculations'!$HE$13:$HE$512,"="&amp;SUBSTITUTE(SUBSTITUTE(SUBSTITUTE('Calculations'!HZ252,"~","~~"),"*","~*"),"?","~?"))&gt;1,"!AMBIG",IFERROR(INDEX('Calculations'!$HF$13:$HF$512,MATCH('Calculations'!HZ252,'Calculations'!$HE$13:$HE$512,0)),""))))</x:f>
      </x:c>
      <x:c r="IB252" t="str">
        <x:f>IF('Calculations'!IA252="","",IF('Calculations'!IA252="!AMBIG","!AMBIG",IF(COUNTIF('Calculations'!$HE$13:$HE$512,"="&amp;SUBSTITUTE(SUBSTITUTE(SUBSTITUTE('Calculations'!IA252,"~","~~"),"*","~*"),"?","~?"))&gt;1,"!AMBIG",IFERROR(INDEX('Calculations'!$HF$13:$HF$512,MATCH('Calculations'!IA252,'Calculations'!$HE$13:$HE$512,0)),""))))</x:f>
      </x:c>
      <x:c r="IC252" t="str">
        <x:f>IF('Calculations'!IB252="","",IF('Calculations'!IB252="!AMBIG","!AMBIG",IF(COUNTIF('Calculations'!$HE$13:$HE$512,"="&amp;SUBSTITUTE(SUBSTITUTE(SUBSTITUTE('Calculations'!IB252,"~","~~"),"*","~*"),"?","~?"))&gt;1,"!AMBIG",IFERROR(INDEX('Calculations'!$HF$13:$HF$512,MATCH('Calculations'!IB252,'Calculations'!$HE$13:$HE$512,0)),""))))</x:f>
      </x:c>
      <x:c r="ID252" t="str">
        <x:f>IF('Calculations'!IC252="","",IF('Calculations'!IC252="!AMBIG","!AMBIG",IF(COUNTIF('Calculations'!$HE$13:$HE$512,"="&amp;SUBSTITUTE(SUBSTITUTE(SUBSTITUTE('Calculations'!IC252,"~","~~"),"*","~*"),"?","~?"))&gt;1,"!AMBIG",IFERROR(INDEX('Calculations'!$HF$13:$HF$512,MATCH('Calculations'!IC252,'Calculations'!$HE$13:$HE$512,0)),""))))</x:f>
      </x:c>
      <x:c r="IE252" t="str">
        <x:f>IF('Calculations'!ID252="","",IF('Calculations'!ID252="!AMBIG","!AMBIG",IF(COUNTIF('Calculations'!$HE$13:$HE$512,"="&amp;SUBSTITUTE(SUBSTITUTE(SUBSTITUTE('Calculations'!ID252,"~","~~"),"*","~*"),"?","~?"))&gt;1,"!AMBIG",IFERROR(INDEX('Calculations'!$HF$13:$HF$512,MATCH('Calculations'!ID252,'Calculations'!$HE$13:$HE$512,0)),""))))</x:f>
      </x:c>
      <x:c r="IF252" t="str">
        <x:f>IF('Calculations'!IE252="","",IF('Calculations'!IE252="!AMBIG","!AMBIG",IF(COUNTIF('Calculations'!$HE$13:$HE$512,"="&amp;SUBSTITUTE(SUBSTITUTE(SUBSTITUTE('Calculations'!IE252,"~","~~"),"*","~*"),"?","~?"))&gt;1,"!AMBIG",IFERROR(INDEX('Calculations'!$HF$13:$HF$512,MATCH('Calculations'!IE252,'Calculations'!$HE$13:$HE$512,0)),""))))</x:f>
      </x:c>
      <x:c r="IG252" t="str">
        <x:f>IF('Calculations'!IF252="","",IF('Calculations'!IF252="!AMBIG","!AMBIG",IF(COUNTIF('Calculations'!$HE$13:$HE$512,"="&amp;SUBSTITUTE(SUBSTITUTE(SUBSTITUTE('Calculations'!IF252,"~","~~"),"*","~*"),"?","~?"))&gt;1,"!AMBIG",IFERROR(INDEX('Calculations'!$HF$13:$HF$512,MATCH('Calculations'!IF252,'Calculations'!$HE$13:$HE$512,0)),""))))</x:f>
      </x:c>
      <x:c r="IH252" t="str">
        <x:f>IF('Calculations'!IG252="","",IF('Calculations'!IG252="!AMBIG","!AMBIG",IF(COUNTIF('Calculations'!$HE$13:$HE$512,"="&amp;SUBSTITUTE(SUBSTITUTE(SUBSTITUTE('Calculations'!IG252,"~","~~"),"*","~*"),"?","~?"))&gt;1,"!AMBIG",IFERROR(INDEX('Calculations'!$HF$13:$HF$512,MATCH('Calculations'!IG252,'Calculations'!$HE$13:$HE$512,0)),""))))</x:f>
      </x:c>
      <x:c r="II252" t="str">
        <x:f>IF('Calculations'!IH252="","",IF('Calculations'!IH252="!AMBIG","!AMBIG",IF(COUNTIF('Calculations'!$HE$13:$HE$512,"="&amp;SUBSTITUTE(SUBSTITUTE(SUBSTITUTE('Calculations'!IH252,"~","~~"),"*","~*"),"?","~?"))&gt;1,"!AMBIG",IFERROR(INDEX('Calculations'!$HF$13:$HF$512,MATCH('Calculations'!IH252,'Calculations'!$HE$13:$HE$512,0)),""))))</x:f>
      </x:c>
      <x:c r="IJ252" t="str">
        <x:f>IF('Calculations'!EM252="","",IF('Calculations'!$EF$2="All",'Calculations'!HM252,IF('Calculations'!HL252=1,"",IFERROR(IF(MATCH('Calculations'!$EF$2,'Calculations'!HO252:II252,0)=1,'Calculations'!HE252,INDEX('Calculations'!HO252:II252,1,MATCH('Calculations'!$EF$2,'Calculations'!HO252:II252,0)-1)),""))))</x:f>
      </x:c>
      <x:c r="IK252" t="n">
        <x:f>IF(AND('Calculations'!EM252&lt;&gt;"",'Calculations'!$EF$2&lt;&gt;"All",'Calculations'!HF252='Calculations'!$EF$2,'Calculations'!HL252=0,'Calculations'!JD252&gt;0),MAX('Calculations'!$IK$12:IK251)+1,0)</x:f>
        <x:v>0</x:v>
      </x:c>
      <x:c r="JA252" t="n">
        <x:f>IF(OR(IFERROR(INDIRECT("'WCM Calibration Final'!$A$252")&lt;&gt;"",FALSE),IFERROR(INDIRECT("'WCM Calibration Final'!$B$252")&lt;&gt;"",FALSE),IFERROR(INDIRECT("'WCM Calibration Final'!$C$252")&lt;&gt;"",FALSE)),252,0)</x:f>
        <x:v>0</x:v>
      </x:c>
      <x:c r="JB252" t="n">
        <x:f>'Calculations'!JB251+IF('Calculations'!JA252&gt;0,1,0)</x:f>
        <x:v>0</x:v>
      </x:c>
      <x:c r="JC252" t="n">
        <x:f>IF(OR('Calculations'!HF252="",'Calculations'!HF252="!AMBIG"),0,IF('Dashboard'!$B$7="All",1,COUNTIFS('Calculations'!$HO$13:$HO$512,"="&amp;SUBSTITUTE(SUBSTITUTE(SUBSTITUTE('Calculations'!HF252,"~","~~"),"*","~*"),"?","~?"),'Calculations'!$HN$13:$HN$512,"="&amp;SUBSTITUTE(SUBSTITUTE(SUBSTITUTE('Dashboard'!$B$7,"~","~~"),"*","~*"),"?","~?"))+COUNTIFS('Calculations'!$HP$13:$HP$512,"="&amp;SUBSTITUTE(SUBSTITUTE(SUBSTITUTE('Calculations'!HF252,"~","~~"),"*","~*"),"?","~?"),'Calculations'!$HN$13:$HN$512,"="&amp;SUBSTITUTE(SUBSTITUTE(SUBSTITUTE('Dashboard'!$B$7,"~","~~"),"*","~*"),"?","~?"))+COUNTIFS('Calculations'!$HQ$13:$HQ$512,"="&amp;SUBSTITUTE(SUBSTITUTE(SUBSTITUTE('Calculations'!HF252,"~","~~"),"*","~*"),"?","~?"),'Calculations'!$HN$13:$HN$512,"="&amp;SUBSTITUTE(SUBSTITUTE(SUBSTITUTE('Dashboard'!$B$7,"~","~~"),"*","~*"),"?","~?"))+COUNTIFS('Calculations'!$HR$13:$HR$512,"="&amp;SUBSTITUTE(SUBSTITUTE(SUBSTITUTE('Calculations'!HF252,"~","~~"),"*","~*"),"?","~?"),'Calculations'!$HN$13:$HN$512,"="&amp;SUBSTITUTE(SUBSTITUTE(SUBSTITUTE('Dashboard'!$B$7,"~","~~"),"*","~*"),"?","~?"))+COUNTIFS('Calculations'!$HS$13:$HS$512,"="&amp;SUBSTITUTE(SUBSTITUTE(SUBSTITUTE('Calculations'!HF252,"~","~~"),"*","~*"),"?","~?"),'Calculations'!$HN$13:$HN$512,"="&amp;SUBSTITUTE(SUBSTITUTE(SUBSTITUTE('Dashboard'!$B$7,"~","~~"),"*","~*"),"?","~?"))+COUNTIFS('Calculations'!$HT$13:$HT$512,"="&amp;SUBSTITUTE(SUBSTITUTE(SUBSTITUTE('Calculations'!HF252,"~","~~"),"*","~*"),"?","~?"),'Calculations'!$HN$13:$HN$512,"="&amp;SUBSTITUTE(SUBSTITUTE(SUBSTITUTE('Dashboard'!$B$7,"~","~~"),"*","~*"),"?","~?"))+COUNTIFS('Calculations'!$HU$13:$HU$512,"="&amp;SUBSTITUTE(SUBSTITUTE(SUBSTITUTE('Calculations'!HF252,"~","~~"),"*","~*"),"?","~?"),'Calculations'!$HN$13:$HN$512,"="&amp;SUBSTITUTE(SUBSTITUTE(SUBSTITUTE('Dashboard'!$B$7,"~","~~"),"*","~*"),"?","~?"))+COUNTIFS('Calculations'!$HV$13:$HV$512,"="&amp;SUBSTITUTE(SUBSTITUTE(SUBSTITUTE('Calculations'!HF252,"~","~~"),"*","~*"),"?","~?"),'Calculations'!$HN$13:$HN$512,"="&amp;SUBSTITUTE(SUBSTITUTE(SUBSTITUTE('Dashboard'!$B$7,"~","~~"),"*","~*"),"?","~?"))+COUNTIFS('Calculations'!$HW$13:$HW$512,"="&amp;SUBSTITUTE(SUBSTITUTE(SUBSTITUTE('Calculations'!HF252,"~","~~"),"*","~*"),"?","~?"),'Calculations'!$HN$13:$HN$512,"="&amp;SUBSTITUTE(SUBSTITUTE(SUBSTITUTE('Dashboard'!$B$7,"~","~~"),"*","~*"),"?","~?"))+COUNTIFS('Calculations'!$HX$13:$HX$512,"="&amp;SUBSTITUTE(SUBSTITUTE(SUBSTITUTE('Calculations'!HF252,"~","~~"),"*","~*"),"?","~?"),'Calculations'!$HN$13:$HN$512,"="&amp;SUBSTITUTE(SUBSTITUTE(SUBSTITUTE('Dashboard'!$B$7,"~","~~"),"*","~*"),"?","~?"))+COUNTIFS('Calculations'!$HY$13:$HY$512,"="&amp;SUBSTITUTE(SUBSTITUTE(SUBSTITUTE('Calculations'!HF252,"~","~~"),"*","~*"),"?","~?"),'Calculations'!$HN$13:$HN$512,"="&amp;SUBSTITUTE(SUBSTITUTE(SUBSTITUTE('Dashboard'!$B$7,"~","~~"),"*","~*"),"?","~?"))+COUNTIFS('Calculations'!$HZ$13:$HZ$512,"="&amp;SUBSTITUTE(SUBSTITUTE(SUBSTITUTE('Calculations'!HF252,"~","~~"),"*","~*"),"?","~?"),'Calculations'!$HN$13:$HN$512,"="&amp;SUBSTITUTE(SUBSTITUTE(SUBSTITUTE('Dashboard'!$B$7,"~","~~"),"*","~*"),"?","~?"))+COUNTIFS('Calculations'!$IA$13:$IA$512,"="&amp;SUBSTITUTE(SUBSTITUTE(SUBSTITUTE('Calculations'!HF252,"~","~~"),"*","~*"),"?","~?"),'Calculations'!$HN$13:$HN$512,"="&amp;SUBSTITUTE(SUBSTITUTE(SUBSTITUTE('Dashboard'!$B$7,"~","~~"),"*","~*"),"?","~?"))+COUNTIFS('Calculations'!$IB$13:$IB$512,"="&amp;SUBSTITUTE(SUBSTITUTE(SUBSTITUTE('Calculations'!HF252,"~","~~"),"*","~*"),"?","~?"),'Calculations'!$HN$13:$HN$512,"="&amp;SUBSTITUTE(SUBSTITUTE(SUBSTITUTE('Dashboard'!$B$7,"~","~~"),"*","~*"),"?","~?"))+COUNTIFS('Calculations'!$IC$13:$IC$512,"="&amp;SUBSTITUTE(SUBSTITUTE(SUBSTITUTE('Calculations'!HF252,"~","~~"),"*","~*"),"?","~?"),'Calculations'!$HN$13:$HN$512,"="&amp;SUBSTITUTE(SUBSTITUTE(SUBSTITUTE('Dashboard'!$B$7,"~","~~"),"*","~*"),"?","~?"))+COUNTIFS('Calculations'!$ID$13:$ID$512,"="&amp;SUBSTITUTE(SUBSTITUTE(SUBSTITUTE('Calculations'!HF252,"~","~~"),"*","~*"),"?","~?"),'Calculations'!$HN$13:$HN$512,"="&amp;SUBSTITUTE(SUBSTITUTE(SUBSTITUTE('Dashboard'!$B$7,"~","~~"),"*","~*"),"?","~?"))+COUNTIFS('Calculations'!$IE$13:$IE$512,"="&amp;SUBSTITUTE(SUBSTITUTE(SUBSTITUTE('Calculations'!HF252,"~","~~"),"*","~*"),"?","~?"),'Calculations'!$HN$13:$HN$512,"="&amp;SUBSTITUTE(SUBSTITUTE(SUBSTITUTE('Dashboard'!$B$7,"~","~~"),"*","~*"),"?","~?"))+COUNTIFS('Calculations'!$IF$13:$IF$512,"="&amp;SUBSTITUTE(SUBSTITUTE(SUBSTITUTE('Calculations'!HF252,"~","~~"),"*","~*"),"?","~?"),'Calculations'!$HN$13:$HN$512,"="&amp;SUBSTITUTE(SUBSTITUTE(SUBSTITUTE('Dashboard'!$B$7,"~","~~"),"*","~*"),"?","~?"))+COUNTIFS('Calculations'!$IG$13:$IG$512,"="&amp;SUBSTITUTE(SUBSTITUTE(SUBSTITUTE('Calculations'!HF252,"~","~~"),"*","~*"),"?","~?"),'Calculations'!$HN$13:$HN$512,"="&amp;SUBSTITUTE(SUBSTITUTE(SUBSTITUTE('Dashboard'!$B$7,"~","~~"),"*","~*"),"?","~?"))+COUNTIFS('Calculations'!$IH$13:$IH$512,"="&amp;SUBSTITUTE(SUBSTITUTE(SUBSTITUTE('Calculations'!HF252,"~","~~"),"*","~*"),"?","~?"),'Calculations'!$HN$13:$HN$512,"="&amp;SUBSTITUTE(SUBSTITUTE(SUBSTITUTE('Dashboard'!$B$7,"~","~~"),"*","~*"),"?","~?"))))</x:f>
        <x:v>0</x:v>
      </x:c>
      <x:c r="JD252" t="n">
        <x:f>IF('Calculations'!EM252="",0,IF('Dashboard'!$B$7="All",1,IF('Calculations'!HN252='Dashboard'!$B$7,1,0)+IFERROR(INDEX('Calculations'!$JC$13:$JC$512,MATCH('Calculations'!HE252,'Calculations'!$HF$13:$HF$512,0)),0)))</x:f>
        <x:v>0</x:v>
      </x:c>
      <x:c r="JE252" t="n">
        <x:f>IF(AND('Calculations'!EM252&lt;&gt;"",'Calculations'!$JJ$2&lt;&gt;"All",'Calculations'!$JJ$2&lt;&gt;"",'Calculations'!HF252='Calculations'!$JJ$2,'Calculations'!HL252=0,'Calculations'!JD252&gt;0),MAX('Calculations'!$JE$12:JE251)+1,0)</x:f>
        <x:v>0</x:v>
      </x:c>
      <x:c r="JF252" t="str">
        <x:f>IF('Calculations'!EM252="","",IFERROR(IF(INDEX(INDIRECT("'WCM Calibration Final'!$G$1:$G$2000"),'Calculations'!$EM252)="","",TRIM(INDEX(INDIRECT("'WCM Calibration Final'!$G$1:$G$2000"),'Calculations'!$EM252)&amp;"")),""))</x:f>
      </x:c>
      <x:c r="JQ252" t="n">
        <x:f>IF(OR('Calculations'!BM252=0,NOT('Calculations'!$AG$2),'Calculations'!$AG$8&gt;0),0,IF(OR('Dashboard'!$B$7="All",'Calculations'!HN252='Dashboard'!$B$7),IF('Calculations'!$JJ$2="All",1,IF(AND('Calculations'!HF252='Calculations'!$JJ$2,'Calculations'!HL252=0),1,0)),0))</x:f>
        <x:v>0</x:v>
      </x:c>
    </x:row>
    <x:row r="253">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t="n">
        <x:f>IF('Calculations'!$EM253="",0,IF(OR(IFERROR(INDEX(INDIRECT("'WCM Calibration Final'!$A$1:$A$2000"),'Calculations'!$EM253)&lt;&gt;"",FALSE),IFERROR(INDEX(INDIRECT("'WCM Calibration Final'!$B$1:$B$2000"),'Calculations'!$EM253)&lt;&gt;"",FALSE),IFERROR(INDEX(INDIRECT("'WCM Calibration Final'!$C$1:$C$2000"),'Calculations'!$EM253)&lt;&gt;"",FALSE)),1,0))</x:f>
        <x:v>0</x:v>
      </x:c>
      <x:c r="BN253" s="4" t="n">
        <x:f>IF(AND('Calculations'!BM253=1,'Calculations'!$AG$2,'Calculations'!$EN253=1),1,0)</x:f>
        <x:v>0</x:v>
      </x:c>
      <x:c r="BO253" s="4" t="str">
        <x:f>IF('Calculations'!BM253=0,"",IFERROR(IF(AND(VALUE(INDEX(INDIRECT("'WCM Calibration Final'!$K$1:$K$2000"),'Calculations'!$EM253))&gt;=1,VALUE(INDEX(INDIRECT("'WCM Calibration Final'!$K$1:$K$2000"),'Calculations'!$EM253))&lt;=4,MOD(VALUE(INDEX(INDIRECT("'WCM Calibration Final'!$K$1:$K$2000"),'Calculations'!$EM253)),1)=0),VALUE(INDEX(INDIRECT("'WCM Calibration Final'!$K$1:$K$2000"),'Calculations'!$EM253)),""),""))</x:f>
      </x:c>
      <x:c r="BP253" s="4" t="str">
        <x:f>IF('Calculations'!BM253=0,"",IFERROR(IF(AND(VALUE(INDEX(INDIRECT("'WCM Calibration Final'!$L$1:$L$2000"),'Calculations'!$EM253))&gt;=1,VALUE(INDEX(INDIRECT("'WCM Calibration Final'!$L$1:$L$2000"),'Calculations'!$EM253))&lt;=4,MOD(VALUE(INDEX(INDIRECT("'WCM Calibration Final'!$L$1:$L$2000"),'Calculations'!$EM253)),1)=0),VALUE(INDEX(INDIRECT("'WCM Calibration Final'!$L$1:$L$2000"),'Calculations'!$EM253)),""),""))</x:f>
      </x:c>
      <x:c r="BQ253" s="4"/>
      <x:c r="BR253" s="4"/>
      <x:c r="BS253" s="4"/>
      <x:c r="BT253" s="4" t="n">
        <x:f>IF(AND('Calculations'!BM253=1,ISNUMBER('Calculations'!BO253),ISNUMBER('Calculations'!BP253)),1,0)</x:f>
        <x:v>0</x:v>
      </x:c>
      <x:c r="BU253" s="4" t="str">
        <x:f>IF('Calculations'!BM253=0,"",'Calculations'!$EO253)</x:f>
      </x:c>
      <x:c r="BV253" s="4" t="str">
        <x:f>IF('Calculations'!BM253=0,"",IFERROR(IF(OR(INDEX(INDIRECT("'WCM Calibration Final'!$H$1:$H$2000"),'Calculations'!$EM253)="MANAGING DIRECTOR",INDEX(INDIRECT("'WCM Calibration Final'!$H$1:$H$2000"),'Calculations'!$EM253)="DIRECTOR",INDEX(INDIRECT("'WCM Calibration Final'!$H$1:$H$2000"),'Calculations'!$EM253)="SENIOR VICE PRESIDENT",INDEX(INDIRECT("'WCM Calibration Final'!$H$1:$H$2000"),'Calculations'!$EM253)="VICE PRESIDENT",INDEX(INDIRECT("'WCM Calibration Final'!$H$1:$H$2000"),'Calculations'!$EM253)="ASSISTANT VICE PRESIDENT",INDEX(INDIRECT("'WCM Calibration Final'!$H$1:$H$2000"),'Calculations'!$EM253)="OFFICER"),UPPER(INDEX(INDIRECT("'WCM Calibration Final'!$H$1:$H$2000"),'Calculations'!$EM253)),"Other"),"Other"))</x:f>
      </x:c>
      <x:c r="BW253" s="4"/>
      <x:c r="BX253" s="4"/>
      <x:c r="BY253" s="4" t="n">
        <x:f>IF(AND('Calculations'!BM253=1,'Calculations'!BU253&lt;&gt;"",COUNTIF('Calculations'!$BU$12:BU253,'Calculations'!BU253)=1),MAX('Calculations'!$BY$11:BY252)+1,0)</x:f>
        <x:v>0</x:v>
      </x:c>
      <x:c r="BZ253" s="4" t="str">
        <x:f>IF('Dashboard'!$E$67="What",'Calculations'!BO253,'Calculations'!BP253)</x:f>
      </x:c>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t="str">
        <x:f>IF(242&gt;MAX('Calculations'!$HI$13:$HI$512),"",INDEX('Calculations'!$HN$13:$HN$512,MATCH(242,'Calculations'!$HI$13:$HI$512,0)))</x:f>
      </x:c>
      <x:c r="DB253" s="4" t="str">
        <x:f>IF(242&gt;MAX('Calculations'!$HH$13:$HH$512),"",INDEX('Calculations'!$HJ$13:$HJ$512,MATCH(242,'Calculations'!$HH$13:$HH$512,0)))</x:f>
      </x:c>
      <x:c r="DC253" s="4" t="str">
        <x:f>IF(ROW()-11&gt;MAX('Calculations'!$BY$13:$BY$512),"",INDEX('Calculations'!$BU$13:$BU$512,MATCH(ROW()-11,'Calculations'!$BY$13:$BY$512,0)))</x:f>
      </x:c>
      <x:c r="DD253" s="4" t="str">
        <x:f>IF(242&gt;MAX('Calculations'!$IK$13:$IK$512),"",INDEX('Calculations'!$HK$13:$HK$512,MATCH(242,'Calculations'!$IK$13:$IK$512,0)))</x:f>
      </x:c>
      <x:c r="DE253" s="4" t="str">
        <x:f>'Calculations'!DC253</x:f>
      </x:c>
      <x:c r="DF253" s="4" t="str">
        <x:f>IF('Calculations'!DE253="","",COUNTIFS('Calculations'!$BN$13:$BN$512,1,'Calculations'!$BU$13:$BU$512,'Calculations'!DE253))</x:f>
      </x:c>
      <x:c r="DG253" s="4" t="str">
        <x:f>IF('Calculations'!DE253="","",COUNTIFS('Calculations'!$BN$13:$BN$512,1,'Calculations'!$BU$13:$BU$512,'Calculations'!DE253,'Calculations'!$BT$13:$BT$512,1))</x:f>
      </x:c>
      <x:c r="DH253" s="4" t="str">
        <x:f>IF('Calculations'!DE253="","",'Calculations'!DF253-'Calculations'!DG253)</x:f>
      </x:c>
      <x:c r="DI253" s="4" t="str">
        <x:f>IF(OR('Calculations'!DE253="",'Calculations'!DF253=0),"",'Calculations'!DG253/'Calculations'!DF253)</x:f>
      </x:c>
      <x:c r="DJ253" s="4" t="str">
        <x:f>IF('Calculations'!DE253="","",COUNTIFS('Calculations'!$BN$13:$BN$512,1,'Calculations'!$BU$13:$BU$512,'Calculations'!DE253,'Calculations'!$BT$13:$BT$512,1,'Calculations'!$EE$13:$EE$512,"High"))</x:f>
      </x:c>
      <x:c r="DK253" s="4" t="str">
        <x:f>IF('Calculations'!DE253="","",COUNTIFS('Calculations'!$BN$13:$BN$512,1,'Calculations'!$BU$13:$BU$512,'Calculations'!DE253,'Calculations'!$BT$13:$BT$512,1,'Calculations'!$EE$13:$EE$512,"Strong"))</x:f>
      </x:c>
      <x:c r="DL253" s="4" t="str">
        <x:f>IF('Calculations'!DE253="","",COUNTIFS('Calculations'!$BN$13:$BN$512,1,'Calculations'!$BU$13:$BU$512,'Calculations'!DE253,'Calculations'!$BT$13:$BT$512,1,'Calculations'!$EE$13:$EE$512,"Solid"))</x:f>
      </x:c>
      <x:c r="DM253" s="4" t="str">
        <x:f>IF('Calculations'!DE253="","",COUNTIFS('Calculations'!$BN$13:$BN$512,1,'Calculations'!$BU$13:$BU$512,'Calculations'!DE253,'Calculations'!$BT$13:$BT$512,1,'Calculations'!$EE$13:$EE$512,"Low"))</x:f>
      </x:c>
      <x:c r="DN253" s="4" t="str">
        <x:f>IF('Calculations'!DE253="","",COUNTIFS('Calculations'!$BN$13:$BN$512,1,'Calculations'!$BU$13:$BU$512,'Calculations'!DE253,'Calculations'!$EP$13:$EP$512,1))</x:f>
      </x:c>
      <x:c r="DO253" s="4" t="str">
        <x:f>IF(OR('Calculations'!DE253="",'Calculations'!DG253=0),"",('Calculations'!DJ253+'Calculations'!DK253)/'Calculations'!DG253)</x:f>
      </x:c>
      <x:c r="DP253" s="4" t="n">
        <x:f>IF(AND('Calculations'!DE253&lt;&gt;"",'Calculations'!DF253&gt;0),COUNTIF('Calculations'!$DF$12:DF253,"&gt;0"),0)</x:f>
        <x:v>0</x:v>
      </x:c>
      <x:c r="DQ253" s="4" t="str">
        <x:f>IF(242&gt;MAX('Calculations'!$HH$13:$HH$512),"",INDEX('Calculations'!$HF$13:$HF$512,MATCH(242,'Calculations'!$HH$13:$HH$512,0)))</x:f>
      </x:c>
      <x:c r="DR253" s="4" t="str">
        <x:f>IF(242&gt;MAX('Calculations'!$IK$13:$IK$512),"",INDEX('Calculations'!$HE$13:$HE$512,MATCH(242,'Calculations'!$IK$13:$IK$512,0)))</x:f>
      </x:c>
      <x:c r="DS253" s="4"/>
      <x:c r="DT253" s="4"/>
      <x:c r="DU253" s="4"/>
      <x:c r="DV253" s="4"/>
      <x:c r="DW253" s="4"/>
      <x:c r="DX253" s="4"/>
      <x:c r="DY253" s="4"/>
      <x:c r="DZ253" s="4"/>
      <x:c r="EA253" s="4"/>
      <x:c r="EB253" s="4"/>
      <x:c r="EC253" s="4"/>
      <x:c r="ED253" s="4"/>
      <x:c r="EE253" s="4" t="str">
        <x:f>IF('Calculations'!BT253=0,"Not Rated",IF(OR('Calculations'!BO253&gt;=4,'Calculations'!BP253&gt;=4),"Low",IF('Calculations'!BO253+'Calculations'!BP253&lt;=3,"High",IF('Calculations'!BO253+'Calculations'!BP253&lt;=4,"Strong","Solid"))))</x:f>
        <x:v>Not Rated</x:v>
      </x:c>
      <x:c r="EF253" s="4"/>
      <x:c r="EG253" s="4"/>
      <x:c r="EH253" s="4"/>
      <x:c r="EI253" s="4"/>
      <x:c r="EJ253" s="4"/>
      <x:c r="EK253" s="4"/>
      <x:c r="EL253" s="4"/>
      <x:c r="EM253" s="4" t="str">
        <x:f>IF(241&gt;'Calculations'!$JB$2000,"",INDEX('Calculations'!$JA$12:$JA$2000,MATCH(241,'Calculations'!$JB$12:$JB$2000,0)))</x:f>
      </x:c>
      <x:c r="EN253" s="4" t="n">
        <x:f>IF(OR('Calculations'!EM253="",'Calculations'!$AG$8&gt;0,AND('Calculations'!$EF$2&lt;&gt;"All",'Calculations'!HE253='Calculations'!$EF$2),AND('Calculations'!$EF$3&lt;&gt;"All",'Calculations'!HE253='Calculations'!$EF$3)),0,IF(OR('Dashboard'!$B$7="All",'Calculations'!HN253='Dashboard'!$B$7),IF('Calculations'!$EF$2="All",1,IF('Calculations'!HL253&gt;0,0,IF(COUNTIF('Calculations'!HO253:II253,"="&amp;SUBSTITUTE(SUBSTITUTE(SUBSTITUTE('Calculations'!$EF$2,"~","~~"),"*","~*"),"?","~?"))=0,0,IF('Calculations'!$EF$3="All",1,IF(COUNTIF('Calculations'!HO253:II253,"="&amp;SUBSTITUTE(SUBSTITUTE(SUBSTITUTE('Calculations'!$EF$3,"~","~~"),"*","~*"),"?","~?"))&gt;0,1,0))))),0))</x:f>
        <x:v>0</x:v>
      </x:c>
      <x:c r="EO253" s="4" t="str">
        <x:f>IF('Calculations'!IJ253="","",IF('Calculations'!IJ253="!UNRESOLVED","Unresolved hierarchy",IFERROR(INDEX('Calculations'!$HK$13:$HK$512,MATCH('Calculations'!IJ253,'Calculations'!$HE$13:$HE$512,0)),IFERROR(INDEX('Calculations'!$HJ$13:$HJ$512,MATCH('Calculations'!IJ253,'Calculations'!$HF$13:$HF$512,0)),'Calculations'!IJ253))))</x:f>
      </x:c>
      <x:c r="EP253" s="4" t="n">
        <x:f>IF(AND('Calculations'!EM253&lt;&gt;"",'Calculations'!HF253='Calculations'!IJ253),1,0)</x:f>
        <x:v>0</x:v>
      </x:c>
      <x:c r="EQ253" s="4"/>
      <x:c r="ER253" s="4"/>
      <x:c r="ES253" s="4"/>
      <x:c r="ET253" s="4"/>
      <x:c r="EU253" s="4"/>
      <x:c r="EV253" s="4"/>
      <x:c r="EW253" s="4"/>
      <x:c r="EX253" s="4"/>
      <x:c r="EY253" s="4"/>
      <x:c r="EZ253" s="4"/>
      <x:c r="FA253" s="4"/>
      <x:c r="FB253" s="4"/>
      <x:c r="FC253" s="4"/>
      <x:c r="FD253" s="4"/>
      <x:c r="FE253" s="4"/>
      <x:c r="FF253" s="4"/>
      <x:c r="FG253" s="4"/>
      <x:c r="FH253" s="4"/>
      <x:c r="FI253" s="4"/>
      <x:c r="FJ253" s="4"/>
      <x:c r="FK253" s="4"/>
      <x:c r="FL253" s="4"/>
      <x:c r="FM253" s="4"/>
      <x:c r="FN253" s="4"/>
      <x:c r="FO253" s="4"/>
      <x:c r="HE253" t="str">
        <x:f>IF('Calculations'!EM253="","",IF(IFERROR(IF(INDEX(INDIRECT("'WCM Calibration Final'!$A$1:$A$2000"),'Calculations'!$EM253)="","",TRIM(INDEX(INDIRECT("'WCM Calibration Final'!$A$1:$A$2000"),'Calculations'!$EM253)&amp;"")),"")&lt;&gt;"","G:"&amp;IFERROR(TEXT(1*INDEX(INDIRECT("'WCM Calibration Final'!$A$1:$A$2000"),'Calculations'!$EM253),"0"),UPPER(IFERROR(IF(INDEX(INDIRECT("'WCM Calibration Final'!$A$1:$A$2000"),'Calculations'!$EM253)="","",TRIM(INDEX(INDIRECT("'WCM Calibration Final'!$A$1:$A$2000"),'Calculations'!$EM253)&amp;"")),""))),IF(IFERROR(IF(INDEX(INDIRECT("'WCM Calibration Final'!$C$1:$C$2000"),'Calculations'!$EM253)="","",TRIM(INDEX(INDIRECT("'WCM Calibration Final'!$C$1:$C$2000"),'Calculations'!$EM253)&amp;"")),"")&lt;&gt;"","S:"&amp;UPPER(IFERROR(IF(INDEX(INDIRECT("'WCM Calibration Final'!$C$1:$C$2000"),'Calculations'!$EM253)="","",TRIM(INDEX(INDIRECT("'WCM Calibration Final'!$C$1:$C$2000"),'Calculations'!$EM253)&amp;"")),"")),"R:"&amp;'Calculations'!EM253)))</x:f>
      </x:c>
      <x:c r="HF253" t="str">
        <x:f>IF('Calculations'!EM253="","",IF(IFERROR(IF(INDEX(INDIRECT("'WCM Calibration Final'!$D$1:$D$2000"),'Calculations'!$EM253)="","",TRIM(INDEX(INDIRECT("'WCM Calibration Final'!$D$1:$D$2000"),'Calculations'!$EM253)&amp;"")),"")&lt;&gt;"","G:"&amp;IFERROR(TEXT(1*INDEX(INDIRECT("'WCM Calibration Final'!$D$1:$D$2000"),'Calculations'!$EM253),"0"),UPPER(IFERROR(IF(INDEX(INDIRECT("'WCM Calibration Final'!$D$1:$D$2000"),'Calculations'!$EM253)="","",TRIM(INDEX(INDIRECT("'WCM Calibration Final'!$D$1:$D$2000"),'Calculations'!$EM253)&amp;"")),""))),IF(IFERROR(IF(INDEX(INDIRECT("'WCM Calibration Final'!$E$1:$E$2000"),'Calculations'!$EM253)="","",TRIM(INDEX(INDIRECT("'WCM Calibration Final'!$E$1:$E$2000"),'Calculations'!$EM253)&amp;"")),"")="","",IF(COUNTIF('Calculations'!$HG$13:$HG$512,"="&amp;SUBSTITUTE(SUBSTITUTE(SUBSTITUTE(IFERROR(IF(INDEX(INDIRECT("'WCM Calibration Final'!$E$1:$E$2000"),'Calculations'!$EM253)="","",TRIM(INDEX(INDIRECT("'WCM Calibration Final'!$E$1:$E$2000"),'Calculations'!$EM253)&amp;"")),""),"~","~~"),"*","~*"),"?","~?"))=1,INDEX('Calculations'!$HE$13:$HE$512,MATCH(IFERROR(IF(INDEX(INDIRECT("'WCM Calibration Final'!$E$1:$E$2000"),'Calculations'!$EM253)="","",TRIM(INDEX(INDIRECT("'WCM Calibration Final'!$E$1:$E$2000"),'Calculations'!$EM253)&amp;"")),""),'Calculations'!$HG$13:$HG$512,0)),IF(COUNTIF('Calculations'!$HG$13:$HG$512,"="&amp;SUBSTITUTE(SUBSTITUTE(SUBSTITUTE(IFERROR(IF(INDEX(INDIRECT("'WCM Calibration Final'!$E$1:$E$2000"),'Calculations'!$EM253)="","",TRIM(INDEX(INDIRECT("'WCM Calibration Final'!$E$1:$E$2000"),'Calculations'!$EM253)&amp;"")),""),"~","~~"),"*","~*"),"?","~?"))&gt;1,"!AMBIG","X:"&amp;IFERROR(IF(INDEX(INDIRECT("'WCM Calibration Final'!$E$1:$E$2000"),'Calculations'!$EM253)="","",TRIM(INDEX(INDIRECT("'WCM Calibration Final'!$E$1:$E$2000"),'Calculations'!$EM253)&amp;"")),""))))))</x:f>
      </x:c>
      <x:c r="HG253" t="str">
        <x:f>IF('Calculations'!EM253="","",IFERROR(IF(INDEX(INDIRECT("'WCM Calibration Final'!$B$1:$B$2000"),'Calculations'!$EM253)="","",TRIM(INDEX(INDIRECT("'WCM Calibration Final'!$B$1:$B$2000"),'Calculations'!$EM253)&amp;"")),""))</x:f>
      </x:c>
      <x:c r="HH253" t="n">
        <x:f>IF(AND('Calculations'!JC253&gt;0,COUNTIF('Calculations'!$HF$12:HF253,"="&amp;SUBSTITUTE(SUBSTITUTE(SUBSTITUTE('Calculations'!HF253,"~","~~"),"*","~*"),"?","~?"))=1),MAX('Calculations'!$HH$12:HH252)+1,0)</x:f>
        <x:v>0</x:v>
      </x:c>
      <x:c r="HI253" t="n">
        <x:f>IF(AND('Calculations'!HN253&lt;&gt;"",COUNTIF('Calculations'!$HN$12:HN253,"="&amp;SUBSTITUTE(SUBSTITUTE(SUBSTITUTE('Calculations'!HN253,"~","~~"),"*","~*"),"?","~?"))=1),MAX('Calculations'!$HI$12:HI252)+1,0)</x:f>
        <x:v>0</x:v>
      </x:c>
      <x:c r="HJ253" t="str">
        <x:f>IF('Calculations'!HF253="","",IF(COUNTIF('Calculations'!$HE$13:$HE$512,"="&amp;SUBSTITUTE(SUBSTITUTE(SUBSTITUTE('Calculations'!HF253,"~","~~"),"*","~*"),"?","~?"))=1,INDEX('Calculations'!$HK$13:$HK$512,MATCH('Calculations'!HF253,'Calculations'!$HE$13:$HE$512,0)),IFERROR(IF(INDEX(INDIRECT("'WCM Calibration Final'!$E$1:$E$2000"),'Calculations'!$EM253)="","",TRIM(INDEX(INDIRECT("'WCM Calibration Final'!$E$1:$E$2000"),'Calculations'!$EM253)&amp;"")),"")&amp;" ["&amp;'Calculations'!HF253&amp;"]"))</x:f>
      </x:c>
      <x:c r="HK253" t="str">
        <x:f>IF('Calculations'!EM253="","",'Calculations'!HG253&amp;" ["&amp;'Calculations'!HE253&amp;"]")</x:f>
      </x:c>
      <x:c r="HL253" t="n">
        <x:f>IF('Calculations'!EM253="",0,IF(OR('Calculations'!II253&lt;&gt;"",COUNTIF('Calculations'!$HE$13:$HE$512,"="&amp;SUBSTITUTE(SUBSTITUTE(SUBSTITUTE('Calculations'!HE253,"~","~~"),"*","~*"),"?","~?"))&gt;1),1,0))</x:f>
        <x:v>0</x:v>
      </x:c>
      <x:c r="HM253" t="str">
        <x:f>IF('Calculations'!EM253="","",IF('Calculations'!HL253=1,"!UNRESOLVED",IF('Calculations'!IH253&lt;&gt;"",'Calculations'!IH253,IF('Calculations'!IG253&lt;&gt;"",'Calculations'!IG253,IF('Calculations'!IF253&lt;&gt;"",'Calculations'!IF253,IF('Calculations'!IE253&lt;&gt;"",'Calculations'!IE253,IF('Calculations'!ID253&lt;&gt;"",'Calculations'!ID253,IF('Calculations'!IC253&lt;&gt;"",'Calculations'!IC253,IF('Calculations'!IB253&lt;&gt;"",'Calculations'!IB253,IF('Calculations'!IA253&lt;&gt;"",'Calculations'!IA253,IF('Calculations'!HZ253&lt;&gt;"",'Calculations'!HZ253,IF('Calculations'!HY253&lt;&gt;"",'Calculations'!HY253,IF('Calculations'!HX253&lt;&gt;"",'Calculations'!HX253,IF('Calculations'!HW253&lt;&gt;"",'Calculations'!HW253,IF('Calculations'!HV253&lt;&gt;"",'Calculations'!HV253,IF('Calculations'!HU253&lt;&gt;"",'Calculations'!HU253,IF('Calculations'!HT253&lt;&gt;"",'Calculations'!HT253,IF('Calculations'!HS253&lt;&gt;"",'Calculations'!HS253,IF('Calculations'!HR253&lt;&gt;"",'Calculations'!HR253,IF('Calculations'!HQ253&lt;&gt;"",'Calculations'!HQ253,IF('Calculations'!HP253&lt;&gt;"",'Calculations'!HP253,IF('Calculations'!HO253&lt;&gt;"",'Calculations'!HO253,'Calculations'!HE253))))))))))))))))))))))</x:f>
      </x:c>
      <x:c r="HN253" t="str">
        <x:f>IF('Calculations'!EM253="","",IF(IFERROR(IF(INDEX(INDIRECT("'WCM Calibration Final'!$F$1:$F$2000"),'Calculations'!$EM253)="","",TRIM(INDEX(INDIRECT("'WCM Calibration Final'!$F$1:$F$2000"),'Calculations'!$EM253)&amp;"")),"")="","(Blank)",IFERROR(IF(INDEX(INDIRECT("'WCM Calibration Final'!$F$1:$F$2000"),'Calculations'!$EM253)="","",TRIM(INDEX(INDIRECT("'WCM Calibration Final'!$F$1:$F$2000"),'Calculations'!$EM253)&amp;"")),"")))</x:f>
      </x:c>
      <x:c r="HO253" t="str">
        <x:f>'Calculations'!HF253</x:f>
      </x:c>
      <x:c r="HP253" t="str">
        <x:f>IF('Calculations'!HO253="","",IF('Calculations'!HO253="!AMBIG","!AMBIG",IF(COUNTIF('Calculations'!$HE$13:$HE$512,"="&amp;SUBSTITUTE(SUBSTITUTE(SUBSTITUTE('Calculations'!HO253,"~","~~"),"*","~*"),"?","~?"))&gt;1,"!AMBIG",IFERROR(INDEX('Calculations'!$HF$13:$HF$512,MATCH('Calculations'!HO253,'Calculations'!$HE$13:$HE$512,0)),""))))</x:f>
      </x:c>
      <x:c r="HQ253" t="str">
        <x:f>IF('Calculations'!HP253="","",IF('Calculations'!HP253="!AMBIG","!AMBIG",IF(COUNTIF('Calculations'!$HE$13:$HE$512,"="&amp;SUBSTITUTE(SUBSTITUTE(SUBSTITUTE('Calculations'!HP253,"~","~~"),"*","~*"),"?","~?"))&gt;1,"!AMBIG",IFERROR(INDEX('Calculations'!$HF$13:$HF$512,MATCH('Calculations'!HP253,'Calculations'!$HE$13:$HE$512,0)),""))))</x:f>
      </x:c>
      <x:c r="HR253" t="str">
        <x:f>IF('Calculations'!HQ253="","",IF('Calculations'!HQ253="!AMBIG","!AMBIG",IF(COUNTIF('Calculations'!$HE$13:$HE$512,"="&amp;SUBSTITUTE(SUBSTITUTE(SUBSTITUTE('Calculations'!HQ253,"~","~~"),"*","~*"),"?","~?"))&gt;1,"!AMBIG",IFERROR(INDEX('Calculations'!$HF$13:$HF$512,MATCH('Calculations'!HQ253,'Calculations'!$HE$13:$HE$512,0)),""))))</x:f>
      </x:c>
      <x:c r="HS253" t="str">
        <x:f>IF('Calculations'!HR253="","",IF('Calculations'!HR253="!AMBIG","!AMBIG",IF(COUNTIF('Calculations'!$HE$13:$HE$512,"="&amp;SUBSTITUTE(SUBSTITUTE(SUBSTITUTE('Calculations'!HR253,"~","~~"),"*","~*"),"?","~?"))&gt;1,"!AMBIG",IFERROR(INDEX('Calculations'!$HF$13:$HF$512,MATCH('Calculations'!HR253,'Calculations'!$HE$13:$HE$512,0)),""))))</x:f>
      </x:c>
      <x:c r="HT253" t="str">
        <x:f>IF('Calculations'!HS253="","",IF('Calculations'!HS253="!AMBIG","!AMBIG",IF(COUNTIF('Calculations'!$HE$13:$HE$512,"="&amp;SUBSTITUTE(SUBSTITUTE(SUBSTITUTE('Calculations'!HS253,"~","~~"),"*","~*"),"?","~?"))&gt;1,"!AMBIG",IFERROR(INDEX('Calculations'!$HF$13:$HF$512,MATCH('Calculations'!HS253,'Calculations'!$HE$13:$HE$512,0)),""))))</x:f>
      </x:c>
      <x:c r="HU253" t="str">
        <x:f>IF('Calculations'!HT253="","",IF('Calculations'!HT253="!AMBIG","!AMBIG",IF(COUNTIF('Calculations'!$HE$13:$HE$512,"="&amp;SUBSTITUTE(SUBSTITUTE(SUBSTITUTE('Calculations'!HT253,"~","~~"),"*","~*"),"?","~?"))&gt;1,"!AMBIG",IFERROR(INDEX('Calculations'!$HF$13:$HF$512,MATCH('Calculations'!HT253,'Calculations'!$HE$13:$HE$512,0)),""))))</x:f>
      </x:c>
      <x:c r="HV253" t="str">
        <x:f>IF('Calculations'!HU253="","",IF('Calculations'!HU253="!AMBIG","!AMBIG",IF(COUNTIF('Calculations'!$HE$13:$HE$512,"="&amp;SUBSTITUTE(SUBSTITUTE(SUBSTITUTE('Calculations'!HU253,"~","~~"),"*","~*"),"?","~?"))&gt;1,"!AMBIG",IFERROR(INDEX('Calculations'!$HF$13:$HF$512,MATCH('Calculations'!HU253,'Calculations'!$HE$13:$HE$512,0)),""))))</x:f>
      </x:c>
      <x:c r="HW253" t="str">
        <x:f>IF('Calculations'!HV253="","",IF('Calculations'!HV253="!AMBIG","!AMBIG",IF(COUNTIF('Calculations'!$HE$13:$HE$512,"="&amp;SUBSTITUTE(SUBSTITUTE(SUBSTITUTE('Calculations'!HV253,"~","~~"),"*","~*"),"?","~?"))&gt;1,"!AMBIG",IFERROR(INDEX('Calculations'!$HF$13:$HF$512,MATCH('Calculations'!HV253,'Calculations'!$HE$13:$HE$512,0)),""))))</x:f>
      </x:c>
      <x:c r="HX253" t="str">
        <x:f>IF('Calculations'!HW253="","",IF('Calculations'!HW253="!AMBIG","!AMBIG",IF(COUNTIF('Calculations'!$HE$13:$HE$512,"="&amp;SUBSTITUTE(SUBSTITUTE(SUBSTITUTE('Calculations'!HW253,"~","~~"),"*","~*"),"?","~?"))&gt;1,"!AMBIG",IFERROR(INDEX('Calculations'!$HF$13:$HF$512,MATCH('Calculations'!HW253,'Calculations'!$HE$13:$HE$512,0)),""))))</x:f>
      </x:c>
      <x:c r="HY253" t="str">
        <x:f>IF('Calculations'!HX253="","",IF('Calculations'!HX253="!AMBIG","!AMBIG",IF(COUNTIF('Calculations'!$HE$13:$HE$512,"="&amp;SUBSTITUTE(SUBSTITUTE(SUBSTITUTE('Calculations'!HX253,"~","~~"),"*","~*"),"?","~?"))&gt;1,"!AMBIG",IFERROR(INDEX('Calculations'!$HF$13:$HF$512,MATCH('Calculations'!HX253,'Calculations'!$HE$13:$HE$512,0)),""))))</x:f>
      </x:c>
      <x:c r="HZ253" t="str">
        <x:f>IF('Calculations'!HY253="","",IF('Calculations'!HY253="!AMBIG","!AMBIG",IF(COUNTIF('Calculations'!$HE$13:$HE$512,"="&amp;SUBSTITUTE(SUBSTITUTE(SUBSTITUTE('Calculations'!HY253,"~","~~"),"*","~*"),"?","~?"))&gt;1,"!AMBIG",IFERROR(INDEX('Calculations'!$HF$13:$HF$512,MATCH('Calculations'!HY253,'Calculations'!$HE$13:$HE$512,0)),""))))</x:f>
      </x:c>
      <x:c r="IA253" t="str">
        <x:f>IF('Calculations'!HZ253="","",IF('Calculations'!HZ253="!AMBIG","!AMBIG",IF(COUNTIF('Calculations'!$HE$13:$HE$512,"="&amp;SUBSTITUTE(SUBSTITUTE(SUBSTITUTE('Calculations'!HZ253,"~","~~"),"*","~*"),"?","~?"))&gt;1,"!AMBIG",IFERROR(INDEX('Calculations'!$HF$13:$HF$512,MATCH('Calculations'!HZ253,'Calculations'!$HE$13:$HE$512,0)),""))))</x:f>
      </x:c>
      <x:c r="IB253" t="str">
        <x:f>IF('Calculations'!IA253="","",IF('Calculations'!IA253="!AMBIG","!AMBIG",IF(COUNTIF('Calculations'!$HE$13:$HE$512,"="&amp;SUBSTITUTE(SUBSTITUTE(SUBSTITUTE('Calculations'!IA253,"~","~~"),"*","~*"),"?","~?"))&gt;1,"!AMBIG",IFERROR(INDEX('Calculations'!$HF$13:$HF$512,MATCH('Calculations'!IA253,'Calculations'!$HE$13:$HE$512,0)),""))))</x:f>
      </x:c>
      <x:c r="IC253" t="str">
        <x:f>IF('Calculations'!IB253="","",IF('Calculations'!IB253="!AMBIG","!AMBIG",IF(COUNTIF('Calculations'!$HE$13:$HE$512,"="&amp;SUBSTITUTE(SUBSTITUTE(SUBSTITUTE('Calculations'!IB253,"~","~~"),"*","~*"),"?","~?"))&gt;1,"!AMBIG",IFERROR(INDEX('Calculations'!$HF$13:$HF$512,MATCH('Calculations'!IB253,'Calculations'!$HE$13:$HE$512,0)),""))))</x:f>
      </x:c>
      <x:c r="ID253" t="str">
        <x:f>IF('Calculations'!IC253="","",IF('Calculations'!IC253="!AMBIG","!AMBIG",IF(COUNTIF('Calculations'!$HE$13:$HE$512,"="&amp;SUBSTITUTE(SUBSTITUTE(SUBSTITUTE('Calculations'!IC253,"~","~~"),"*","~*"),"?","~?"))&gt;1,"!AMBIG",IFERROR(INDEX('Calculations'!$HF$13:$HF$512,MATCH('Calculations'!IC253,'Calculations'!$HE$13:$HE$512,0)),""))))</x:f>
      </x:c>
      <x:c r="IE253" t="str">
        <x:f>IF('Calculations'!ID253="","",IF('Calculations'!ID253="!AMBIG","!AMBIG",IF(COUNTIF('Calculations'!$HE$13:$HE$512,"="&amp;SUBSTITUTE(SUBSTITUTE(SUBSTITUTE('Calculations'!ID253,"~","~~"),"*","~*"),"?","~?"))&gt;1,"!AMBIG",IFERROR(INDEX('Calculations'!$HF$13:$HF$512,MATCH('Calculations'!ID253,'Calculations'!$HE$13:$HE$512,0)),""))))</x:f>
      </x:c>
      <x:c r="IF253" t="str">
        <x:f>IF('Calculations'!IE253="","",IF('Calculations'!IE253="!AMBIG","!AMBIG",IF(COUNTIF('Calculations'!$HE$13:$HE$512,"="&amp;SUBSTITUTE(SUBSTITUTE(SUBSTITUTE('Calculations'!IE253,"~","~~"),"*","~*"),"?","~?"))&gt;1,"!AMBIG",IFERROR(INDEX('Calculations'!$HF$13:$HF$512,MATCH('Calculations'!IE253,'Calculations'!$HE$13:$HE$512,0)),""))))</x:f>
      </x:c>
      <x:c r="IG253" t="str">
        <x:f>IF('Calculations'!IF253="","",IF('Calculations'!IF253="!AMBIG","!AMBIG",IF(COUNTIF('Calculations'!$HE$13:$HE$512,"="&amp;SUBSTITUTE(SUBSTITUTE(SUBSTITUTE('Calculations'!IF253,"~","~~"),"*","~*"),"?","~?"))&gt;1,"!AMBIG",IFERROR(INDEX('Calculations'!$HF$13:$HF$512,MATCH('Calculations'!IF253,'Calculations'!$HE$13:$HE$512,0)),""))))</x:f>
      </x:c>
      <x:c r="IH253" t="str">
        <x:f>IF('Calculations'!IG253="","",IF('Calculations'!IG253="!AMBIG","!AMBIG",IF(COUNTIF('Calculations'!$HE$13:$HE$512,"="&amp;SUBSTITUTE(SUBSTITUTE(SUBSTITUTE('Calculations'!IG253,"~","~~"),"*","~*"),"?","~?"))&gt;1,"!AMBIG",IFERROR(INDEX('Calculations'!$HF$13:$HF$512,MATCH('Calculations'!IG253,'Calculations'!$HE$13:$HE$512,0)),""))))</x:f>
      </x:c>
      <x:c r="II253" t="str">
        <x:f>IF('Calculations'!IH253="","",IF('Calculations'!IH253="!AMBIG","!AMBIG",IF(COUNTIF('Calculations'!$HE$13:$HE$512,"="&amp;SUBSTITUTE(SUBSTITUTE(SUBSTITUTE('Calculations'!IH253,"~","~~"),"*","~*"),"?","~?"))&gt;1,"!AMBIG",IFERROR(INDEX('Calculations'!$HF$13:$HF$512,MATCH('Calculations'!IH253,'Calculations'!$HE$13:$HE$512,0)),""))))</x:f>
      </x:c>
      <x:c r="IJ253" t="str">
        <x:f>IF('Calculations'!EM253="","",IF('Calculations'!$EF$2="All",'Calculations'!HM253,IF('Calculations'!HL253=1,"",IFERROR(IF(MATCH('Calculations'!$EF$2,'Calculations'!HO253:II253,0)=1,'Calculations'!HE253,INDEX('Calculations'!HO253:II253,1,MATCH('Calculations'!$EF$2,'Calculations'!HO253:II253,0)-1)),""))))</x:f>
      </x:c>
      <x:c r="IK253" t="n">
        <x:f>IF(AND('Calculations'!EM253&lt;&gt;"",'Calculations'!$EF$2&lt;&gt;"All",'Calculations'!HF253='Calculations'!$EF$2,'Calculations'!HL253=0,'Calculations'!JD253&gt;0),MAX('Calculations'!$IK$12:IK252)+1,0)</x:f>
        <x:v>0</x:v>
      </x:c>
      <x:c r="JA253" t="n">
        <x:f>IF(OR(IFERROR(INDIRECT("'WCM Calibration Final'!$A$253")&lt;&gt;"",FALSE),IFERROR(INDIRECT("'WCM Calibration Final'!$B$253")&lt;&gt;"",FALSE),IFERROR(INDIRECT("'WCM Calibration Final'!$C$253")&lt;&gt;"",FALSE)),253,0)</x:f>
        <x:v>0</x:v>
      </x:c>
      <x:c r="JB253" t="n">
        <x:f>'Calculations'!JB252+IF('Calculations'!JA253&gt;0,1,0)</x:f>
        <x:v>0</x:v>
      </x:c>
      <x:c r="JC253" t="n">
        <x:f>IF(OR('Calculations'!HF253="",'Calculations'!HF253="!AMBIG"),0,IF('Dashboard'!$B$7="All",1,COUNTIFS('Calculations'!$HO$13:$HO$512,"="&amp;SUBSTITUTE(SUBSTITUTE(SUBSTITUTE('Calculations'!HF253,"~","~~"),"*","~*"),"?","~?"),'Calculations'!$HN$13:$HN$512,"="&amp;SUBSTITUTE(SUBSTITUTE(SUBSTITUTE('Dashboard'!$B$7,"~","~~"),"*","~*"),"?","~?"))+COUNTIFS('Calculations'!$HP$13:$HP$512,"="&amp;SUBSTITUTE(SUBSTITUTE(SUBSTITUTE('Calculations'!HF253,"~","~~"),"*","~*"),"?","~?"),'Calculations'!$HN$13:$HN$512,"="&amp;SUBSTITUTE(SUBSTITUTE(SUBSTITUTE('Dashboard'!$B$7,"~","~~"),"*","~*"),"?","~?"))+COUNTIFS('Calculations'!$HQ$13:$HQ$512,"="&amp;SUBSTITUTE(SUBSTITUTE(SUBSTITUTE('Calculations'!HF253,"~","~~"),"*","~*"),"?","~?"),'Calculations'!$HN$13:$HN$512,"="&amp;SUBSTITUTE(SUBSTITUTE(SUBSTITUTE('Dashboard'!$B$7,"~","~~"),"*","~*"),"?","~?"))+COUNTIFS('Calculations'!$HR$13:$HR$512,"="&amp;SUBSTITUTE(SUBSTITUTE(SUBSTITUTE('Calculations'!HF253,"~","~~"),"*","~*"),"?","~?"),'Calculations'!$HN$13:$HN$512,"="&amp;SUBSTITUTE(SUBSTITUTE(SUBSTITUTE('Dashboard'!$B$7,"~","~~"),"*","~*"),"?","~?"))+COUNTIFS('Calculations'!$HS$13:$HS$512,"="&amp;SUBSTITUTE(SUBSTITUTE(SUBSTITUTE('Calculations'!HF253,"~","~~"),"*","~*"),"?","~?"),'Calculations'!$HN$13:$HN$512,"="&amp;SUBSTITUTE(SUBSTITUTE(SUBSTITUTE('Dashboard'!$B$7,"~","~~"),"*","~*"),"?","~?"))+COUNTIFS('Calculations'!$HT$13:$HT$512,"="&amp;SUBSTITUTE(SUBSTITUTE(SUBSTITUTE('Calculations'!HF253,"~","~~"),"*","~*"),"?","~?"),'Calculations'!$HN$13:$HN$512,"="&amp;SUBSTITUTE(SUBSTITUTE(SUBSTITUTE('Dashboard'!$B$7,"~","~~"),"*","~*"),"?","~?"))+COUNTIFS('Calculations'!$HU$13:$HU$512,"="&amp;SUBSTITUTE(SUBSTITUTE(SUBSTITUTE('Calculations'!HF253,"~","~~"),"*","~*"),"?","~?"),'Calculations'!$HN$13:$HN$512,"="&amp;SUBSTITUTE(SUBSTITUTE(SUBSTITUTE('Dashboard'!$B$7,"~","~~"),"*","~*"),"?","~?"))+COUNTIFS('Calculations'!$HV$13:$HV$512,"="&amp;SUBSTITUTE(SUBSTITUTE(SUBSTITUTE('Calculations'!HF253,"~","~~"),"*","~*"),"?","~?"),'Calculations'!$HN$13:$HN$512,"="&amp;SUBSTITUTE(SUBSTITUTE(SUBSTITUTE('Dashboard'!$B$7,"~","~~"),"*","~*"),"?","~?"))+COUNTIFS('Calculations'!$HW$13:$HW$512,"="&amp;SUBSTITUTE(SUBSTITUTE(SUBSTITUTE('Calculations'!HF253,"~","~~"),"*","~*"),"?","~?"),'Calculations'!$HN$13:$HN$512,"="&amp;SUBSTITUTE(SUBSTITUTE(SUBSTITUTE('Dashboard'!$B$7,"~","~~"),"*","~*"),"?","~?"))+COUNTIFS('Calculations'!$HX$13:$HX$512,"="&amp;SUBSTITUTE(SUBSTITUTE(SUBSTITUTE('Calculations'!HF253,"~","~~"),"*","~*"),"?","~?"),'Calculations'!$HN$13:$HN$512,"="&amp;SUBSTITUTE(SUBSTITUTE(SUBSTITUTE('Dashboard'!$B$7,"~","~~"),"*","~*"),"?","~?"))+COUNTIFS('Calculations'!$HY$13:$HY$512,"="&amp;SUBSTITUTE(SUBSTITUTE(SUBSTITUTE('Calculations'!HF253,"~","~~"),"*","~*"),"?","~?"),'Calculations'!$HN$13:$HN$512,"="&amp;SUBSTITUTE(SUBSTITUTE(SUBSTITUTE('Dashboard'!$B$7,"~","~~"),"*","~*"),"?","~?"))+COUNTIFS('Calculations'!$HZ$13:$HZ$512,"="&amp;SUBSTITUTE(SUBSTITUTE(SUBSTITUTE('Calculations'!HF253,"~","~~"),"*","~*"),"?","~?"),'Calculations'!$HN$13:$HN$512,"="&amp;SUBSTITUTE(SUBSTITUTE(SUBSTITUTE('Dashboard'!$B$7,"~","~~"),"*","~*"),"?","~?"))+COUNTIFS('Calculations'!$IA$13:$IA$512,"="&amp;SUBSTITUTE(SUBSTITUTE(SUBSTITUTE('Calculations'!HF253,"~","~~"),"*","~*"),"?","~?"),'Calculations'!$HN$13:$HN$512,"="&amp;SUBSTITUTE(SUBSTITUTE(SUBSTITUTE('Dashboard'!$B$7,"~","~~"),"*","~*"),"?","~?"))+COUNTIFS('Calculations'!$IB$13:$IB$512,"="&amp;SUBSTITUTE(SUBSTITUTE(SUBSTITUTE('Calculations'!HF253,"~","~~"),"*","~*"),"?","~?"),'Calculations'!$HN$13:$HN$512,"="&amp;SUBSTITUTE(SUBSTITUTE(SUBSTITUTE('Dashboard'!$B$7,"~","~~"),"*","~*"),"?","~?"))+COUNTIFS('Calculations'!$IC$13:$IC$512,"="&amp;SUBSTITUTE(SUBSTITUTE(SUBSTITUTE('Calculations'!HF253,"~","~~"),"*","~*"),"?","~?"),'Calculations'!$HN$13:$HN$512,"="&amp;SUBSTITUTE(SUBSTITUTE(SUBSTITUTE('Dashboard'!$B$7,"~","~~"),"*","~*"),"?","~?"))+COUNTIFS('Calculations'!$ID$13:$ID$512,"="&amp;SUBSTITUTE(SUBSTITUTE(SUBSTITUTE('Calculations'!HF253,"~","~~"),"*","~*"),"?","~?"),'Calculations'!$HN$13:$HN$512,"="&amp;SUBSTITUTE(SUBSTITUTE(SUBSTITUTE('Dashboard'!$B$7,"~","~~"),"*","~*"),"?","~?"))+COUNTIFS('Calculations'!$IE$13:$IE$512,"="&amp;SUBSTITUTE(SUBSTITUTE(SUBSTITUTE('Calculations'!HF253,"~","~~"),"*","~*"),"?","~?"),'Calculations'!$HN$13:$HN$512,"="&amp;SUBSTITUTE(SUBSTITUTE(SUBSTITUTE('Dashboard'!$B$7,"~","~~"),"*","~*"),"?","~?"))+COUNTIFS('Calculations'!$IF$13:$IF$512,"="&amp;SUBSTITUTE(SUBSTITUTE(SUBSTITUTE('Calculations'!HF253,"~","~~"),"*","~*"),"?","~?"),'Calculations'!$HN$13:$HN$512,"="&amp;SUBSTITUTE(SUBSTITUTE(SUBSTITUTE('Dashboard'!$B$7,"~","~~"),"*","~*"),"?","~?"))+COUNTIFS('Calculations'!$IG$13:$IG$512,"="&amp;SUBSTITUTE(SUBSTITUTE(SUBSTITUTE('Calculations'!HF253,"~","~~"),"*","~*"),"?","~?"),'Calculations'!$HN$13:$HN$512,"="&amp;SUBSTITUTE(SUBSTITUTE(SUBSTITUTE('Dashboard'!$B$7,"~","~~"),"*","~*"),"?","~?"))+COUNTIFS('Calculations'!$IH$13:$IH$512,"="&amp;SUBSTITUTE(SUBSTITUTE(SUBSTITUTE('Calculations'!HF253,"~","~~"),"*","~*"),"?","~?"),'Calculations'!$HN$13:$HN$512,"="&amp;SUBSTITUTE(SUBSTITUTE(SUBSTITUTE('Dashboard'!$B$7,"~","~~"),"*","~*"),"?","~?"))))</x:f>
        <x:v>0</x:v>
      </x:c>
      <x:c r="JD253" t="n">
        <x:f>IF('Calculations'!EM253="",0,IF('Dashboard'!$B$7="All",1,IF('Calculations'!HN253='Dashboard'!$B$7,1,0)+IFERROR(INDEX('Calculations'!$JC$13:$JC$512,MATCH('Calculations'!HE253,'Calculations'!$HF$13:$HF$512,0)),0)))</x:f>
        <x:v>0</x:v>
      </x:c>
      <x:c r="JE253" t="n">
        <x:f>IF(AND('Calculations'!EM253&lt;&gt;"",'Calculations'!$JJ$2&lt;&gt;"All",'Calculations'!$JJ$2&lt;&gt;"",'Calculations'!HF253='Calculations'!$JJ$2,'Calculations'!HL253=0,'Calculations'!JD253&gt;0),MAX('Calculations'!$JE$12:JE252)+1,0)</x:f>
        <x:v>0</x:v>
      </x:c>
      <x:c r="JF253" t="str">
        <x:f>IF('Calculations'!EM253="","",IFERROR(IF(INDEX(INDIRECT("'WCM Calibration Final'!$G$1:$G$2000"),'Calculations'!$EM253)="","",TRIM(INDEX(INDIRECT("'WCM Calibration Final'!$G$1:$G$2000"),'Calculations'!$EM253)&amp;"")),""))</x:f>
      </x:c>
      <x:c r="JQ253" t="n">
        <x:f>IF(OR('Calculations'!BM253=0,NOT('Calculations'!$AG$2),'Calculations'!$AG$8&gt;0),0,IF(OR('Dashboard'!$B$7="All",'Calculations'!HN253='Dashboard'!$B$7),IF('Calculations'!$JJ$2="All",1,IF(AND('Calculations'!HF253='Calculations'!$JJ$2,'Calculations'!HL253=0),1,0)),0))</x:f>
        <x:v>0</x:v>
      </x:c>
    </x:row>
    <x:row r="254">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t="n">
        <x:f>IF('Calculations'!$EM254="",0,IF(OR(IFERROR(INDEX(INDIRECT("'WCM Calibration Final'!$A$1:$A$2000"),'Calculations'!$EM254)&lt;&gt;"",FALSE),IFERROR(INDEX(INDIRECT("'WCM Calibration Final'!$B$1:$B$2000"),'Calculations'!$EM254)&lt;&gt;"",FALSE),IFERROR(INDEX(INDIRECT("'WCM Calibration Final'!$C$1:$C$2000"),'Calculations'!$EM254)&lt;&gt;"",FALSE)),1,0))</x:f>
        <x:v>0</x:v>
      </x:c>
      <x:c r="BN254" s="4" t="n">
        <x:f>IF(AND('Calculations'!BM254=1,'Calculations'!$AG$2,'Calculations'!$EN254=1),1,0)</x:f>
        <x:v>0</x:v>
      </x:c>
      <x:c r="BO254" s="4" t="str">
        <x:f>IF('Calculations'!BM254=0,"",IFERROR(IF(AND(VALUE(INDEX(INDIRECT("'WCM Calibration Final'!$K$1:$K$2000"),'Calculations'!$EM254))&gt;=1,VALUE(INDEX(INDIRECT("'WCM Calibration Final'!$K$1:$K$2000"),'Calculations'!$EM254))&lt;=4,MOD(VALUE(INDEX(INDIRECT("'WCM Calibration Final'!$K$1:$K$2000"),'Calculations'!$EM254)),1)=0),VALUE(INDEX(INDIRECT("'WCM Calibration Final'!$K$1:$K$2000"),'Calculations'!$EM254)),""),""))</x:f>
      </x:c>
      <x:c r="BP254" s="4" t="str">
        <x:f>IF('Calculations'!BM254=0,"",IFERROR(IF(AND(VALUE(INDEX(INDIRECT("'WCM Calibration Final'!$L$1:$L$2000"),'Calculations'!$EM254))&gt;=1,VALUE(INDEX(INDIRECT("'WCM Calibration Final'!$L$1:$L$2000"),'Calculations'!$EM254))&lt;=4,MOD(VALUE(INDEX(INDIRECT("'WCM Calibration Final'!$L$1:$L$2000"),'Calculations'!$EM254)),1)=0),VALUE(INDEX(INDIRECT("'WCM Calibration Final'!$L$1:$L$2000"),'Calculations'!$EM254)),""),""))</x:f>
      </x:c>
      <x:c r="BQ254" s="4"/>
      <x:c r="BR254" s="4"/>
      <x:c r="BS254" s="4"/>
      <x:c r="BT254" s="4" t="n">
        <x:f>IF(AND('Calculations'!BM254=1,ISNUMBER('Calculations'!BO254),ISNUMBER('Calculations'!BP254)),1,0)</x:f>
        <x:v>0</x:v>
      </x:c>
      <x:c r="BU254" s="4" t="str">
        <x:f>IF('Calculations'!BM254=0,"",'Calculations'!$EO254)</x:f>
      </x:c>
      <x:c r="BV254" s="4" t="str">
        <x:f>IF('Calculations'!BM254=0,"",IFERROR(IF(OR(INDEX(INDIRECT("'WCM Calibration Final'!$H$1:$H$2000"),'Calculations'!$EM254)="MANAGING DIRECTOR",INDEX(INDIRECT("'WCM Calibration Final'!$H$1:$H$2000"),'Calculations'!$EM254)="DIRECTOR",INDEX(INDIRECT("'WCM Calibration Final'!$H$1:$H$2000"),'Calculations'!$EM254)="SENIOR VICE PRESIDENT",INDEX(INDIRECT("'WCM Calibration Final'!$H$1:$H$2000"),'Calculations'!$EM254)="VICE PRESIDENT",INDEX(INDIRECT("'WCM Calibration Final'!$H$1:$H$2000"),'Calculations'!$EM254)="ASSISTANT VICE PRESIDENT",INDEX(INDIRECT("'WCM Calibration Final'!$H$1:$H$2000"),'Calculations'!$EM254)="OFFICER"),UPPER(INDEX(INDIRECT("'WCM Calibration Final'!$H$1:$H$2000"),'Calculations'!$EM254)),"Other"),"Other"))</x:f>
      </x:c>
      <x:c r="BW254" s="4"/>
      <x:c r="BX254" s="4"/>
      <x:c r="BY254" s="4" t="n">
        <x:f>IF(AND('Calculations'!BM254=1,'Calculations'!BU254&lt;&gt;"",COUNTIF('Calculations'!$BU$12:BU254,'Calculations'!BU254)=1),MAX('Calculations'!$BY$11:BY253)+1,0)</x:f>
        <x:v>0</x:v>
      </x:c>
      <x:c r="BZ254" s="4" t="str">
        <x:f>IF('Dashboard'!$E$67="What",'Calculations'!BO254,'Calculations'!BP254)</x:f>
      </x:c>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t="str">
        <x:f>IF(243&gt;MAX('Calculations'!$HI$13:$HI$512),"",INDEX('Calculations'!$HN$13:$HN$512,MATCH(243,'Calculations'!$HI$13:$HI$512,0)))</x:f>
      </x:c>
      <x:c r="DB254" s="4" t="str">
        <x:f>IF(243&gt;MAX('Calculations'!$HH$13:$HH$512),"",INDEX('Calculations'!$HJ$13:$HJ$512,MATCH(243,'Calculations'!$HH$13:$HH$512,0)))</x:f>
      </x:c>
      <x:c r="DC254" s="4" t="str">
        <x:f>IF(ROW()-11&gt;MAX('Calculations'!$BY$13:$BY$512),"",INDEX('Calculations'!$BU$13:$BU$512,MATCH(ROW()-11,'Calculations'!$BY$13:$BY$512,0)))</x:f>
      </x:c>
      <x:c r="DD254" s="4" t="str">
        <x:f>IF(243&gt;MAX('Calculations'!$IK$13:$IK$512),"",INDEX('Calculations'!$HK$13:$HK$512,MATCH(243,'Calculations'!$IK$13:$IK$512,0)))</x:f>
      </x:c>
      <x:c r="DE254" s="4" t="str">
        <x:f>'Calculations'!DC254</x:f>
      </x:c>
      <x:c r="DF254" s="4" t="str">
        <x:f>IF('Calculations'!DE254="","",COUNTIFS('Calculations'!$BN$13:$BN$512,1,'Calculations'!$BU$13:$BU$512,'Calculations'!DE254))</x:f>
      </x:c>
      <x:c r="DG254" s="4" t="str">
        <x:f>IF('Calculations'!DE254="","",COUNTIFS('Calculations'!$BN$13:$BN$512,1,'Calculations'!$BU$13:$BU$512,'Calculations'!DE254,'Calculations'!$BT$13:$BT$512,1))</x:f>
      </x:c>
      <x:c r="DH254" s="4" t="str">
        <x:f>IF('Calculations'!DE254="","",'Calculations'!DF254-'Calculations'!DG254)</x:f>
      </x:c>
      <x:c r="DI254" s="4" t="str">
        <x:f>IF(OR('Calculations'!DE254="",'Calculations'!DF254=0),"",'Calculations'!DG254/'Calculations'!DF254)</x:f>
      </x:c>
      <x:c r="DJ254" s="4" t="str">
        <x:f>IF('Calculations'!DE254="","",COUNTIFS('Calculations'!$BN$13:$BN$512,1,'Calculations'!$BU$13:$BU$512,'Calculations'!DE254,'Calculations'!$BT$13:$BT$512,1,'Calculations'!$EE$13:$EE$512,"High"))</x:f>
      </x:c>
      <x:c r="DK254" s="4" t="str">
        <x:f>IF('Calculations'!DE254="","",COUNTIFS('Calculations'!$BN$13:$BN$512,1,'Calculations'!$BU$13:$BU$512,'Calculations'!DE254,'Calculations'!$BT$13:$BT$512,1,'Calculations'!$EE$13:$EE$512,"Strong"))</x:f>
      </x:c>
      <x:c r="DL254" s="4" t="str">
        <x:f>IF('Calculations'!DE254="","",COUNTIFS('Calculations'!$BN$13:$BN$512,1,'Calculations'!$BU$13:$BU$512,'Calculations'!DE254,'Calculations'!$BT$13:$BT$512,1,'Calculations'!$EE$13:$EE$512,"Solid"))</x:f>
      </x:c>
      <x:c r="DM254" s="4" t="str">
        <x:f>IF('Calculations'!DE254="","",COUNTIFS('Calculations'!$BN$13:$BN$512,1,'Calculations'!$BU$13:$BU$512,'Calculations'!DE254,'Calculations'!$BT$13:$BT$512,1,'Calculations'!$EE$13:$EE$512,"Low"))</x:f>
      </x:c>
      <x:c r="DN254" s="4" t="str">
        <x:f>IF('Calculations'!DE254="","",COUNTIFS('Calculations'!$BN$13:$BN$512,1,'Calculations'!$BU$13:$BU$512,'Calculations'!DE254,'Calculations'!$EP$13:$EP$512,1))</x:f>
      </x:c>
      <x:c r="DO254" s="4" t="str">
        <x:f>IF(OR('Calculations'!DE254="",'Calculations'!DG254=0),"",('Calculations'!DJ254+'Calculations'!DK254)/'Calculations'!DG254)</x:f>
      </x:c>
      <x:c r="DP254" s="4" t="n">
        <x:f>IF(AND('Calculations'!DE254&lt;&gt;"",'Calculations'!DF254&gt;0),COUNTIF('Calculations'!$DF$12:DF254,"&gt;0"),0)</x:f>
        <x:v>0</x:v>
      </x:c>
      <x:c r="DQ254" s="4" t="str">
        <x:f>IF(243&gt;MAX('Calculations'!$HH$13:$HH$512),"",INDEX('Calculations'!$HF$13:$HF$512,MATCH(243,'Calculations'!$HH$13:$HH$512,0)))</x:f>
      </x:c>
      <x:c r="DR254" s="4" t="str">
        <x:f>IF(243&gt;MAX('Calculations'!$IK$13:$IK$512),"",INDEX('Calculations'!$HE$13:$HE$512,MATCH(243,'Calculations'!$IK$13:$IK$512,0)))</x:f>
      </x:c>
      <x:c r="DS254" s="4"/>
      <x:c r="DT254" s="4"/>
      <x:c r="DU254" s="4"/>
      <x:c r="DV254" s="4"/>
      <x:c r="DW254" s="4"/>
      <x:c r="DX254" s="4"/>
      <x:c r="DY254" s="4"/>
      <x:c r="DZ254" s="4"/>
      <x:c r="EA254" s="4"/>
      <x:c r="EB254" s="4"/>
      <x:c r="EC254" s="4"/>
      <x:c r="ED254" s="4"/>
      <x:c r="EE254" s="4" t="str">
        <x:f>IF('Calculations'!BT254=0,"Not Rated",IF(OR('Calculations'!BO254&gt;=4,'Calculations'!BP254&gt;=4),"Low",IF('Calculations'!BO254+'Calculations'!BP254&lt;=3,"High",IF('Calculations'!BO254+'Calculations'!BP254&lt;=4,"Strong","Solid"))))</x:f>
        <x:v>Not Rated</x:v>
      </x:c>
      <x:c r="EF254" s="4"/>
      <x:c r="EG254" s="4"/>
      <x:c r="EH254" s="4"/>
      <x:c r="EI254" s="4"/>
      <x:c r="EJ254" s="4"/>
      <x:c r="EK254" s="4"/>
      <x:c r="EL254" s="4"/>
      <x:c r="EM254" s="4" t="str">
        <x:f>IF(242&gt;'Calculations'!$JB$2000,"",INDEX('Calculations'!$JA$12:$JA$2000,MATCH(242,'Calculations'!$JB$12:$JB$2000,0)))</x:f>
      </x:c>
      <x:c r="EN254" s="4" t="n">
        <x:f>IF(OR('Calculations'!EM254="",'Calculations'!$AG$8&gt;0,AND('Calculations'!$EF$2&lt;&gt;"All",'Calculations'!HE254='Calculations'!$EF$2),AND('Calculations'!$EF$3&lt;&gt;"All",'Calculations'!HE254='Calculations'!$EF$3)),0,IF(OR('Dashboard'!$B$7="All",'Calculations'!HN254='Dashboard'!$B$7),IF('Calculations'!$EF$2="All",1,IF('Calculations'!HL254&gt;0,0,IF(COUNTIF('Calculations'!HO254:II254,"="&amp;SUBSTITUTE(SUBSTITUTE(SUBSTITUTE('Calculations'!$EF$2,"~","~~"),"*","~*"),"?","~?"))=0,0,IF('Calculations'!$EF$3="All",1,IF(COUNTIF('Calculations'!HO254:II254,"="&amp;SUBSTITUTE(SUBSTITUTE(SUBSTITUTE('Calculations'!$EF$3,"~","~~"),"*","~*"),"?","~?"))&gt;0,1,0))))),0))</x:f>
        <x:v>0</x:v>
      </x:c>
      <x:c r="EO254" s="4" t="str">
        <x:f>IF('Calculations'!IJ254="","",IF('Calculations'!IJ254="!UNRESOLVED","Unresolved hierarchy",IFERROR(INDEX('Calculations'!$HK$13:$HK$512,MATCH('Calculations'!IJ254,'Calculations'!$HE$13:$HE$512,0)),IFERROR(INDEX('Calculations'!$HJ$13:$HJ$512,MATCH('Calculations'!IJ254,'Calculations'!$HF$13:$HF$512,0)),'Calculations'!IJ254))))</x:f>
      </x:c>
      <x:c r="EP254" s="4" t="n">
        <x:f>IF(AND('Calculations'!EM254&lt;&gt;"",'Calculations'!HF254='Calculations'!IJ254),1,0)</x:f>
        <x:v>0</x:v>
      </x:c>
      <x:c r="EQ254" s="4"/>
      <x:c r="ER254" s="4"/>
      <x:c r="ES254" s="4"/>
      <x:c r="ET254" s="4"/>
      <x:c r="EU254" s="4"/>
      <x:c r="EV254" s="4"/>
      <x:c r="EW254" s="4"/>
      <x:c r="EX254" s="4"/>
      <x:c r="EY254" s="4"/>
      <x:c r="EZ254" s="4"/>
      <x:c r="FA254" s="4"/>
      <x:c r="FB254" s="4"/>
      <x:c r="FC254" s="4"/>
      <x:c r="FD254" s="4"/>
      <x:c r="FE254" s="4"/>
      <x:c r="FF254" s="4"/>
      <x:c r="FG254" s="4"/>
      <x:c r="FH254" s="4"/>
      <x:c r="FI254" s="4"/>
      <x:c r="FJ254" s="4"/>
      <x:c r="FK254" s="4"/>
      <x:c r="FL254" s="4"/>
      <x:c r="FM254" s="4"/>
      <x:c r="FN254" s="4"/>
      <x:c r="FO254" s="4"/>
      <x:c r="HE254" t="str">
        <x:f>IF('Calculations'!EM254="","",IF(IFERROR(IF(INDEX(INDIRECT("'WCM Calibration Final'!$A$1:$A$2000"),'Calculations'!$EM254)="","",TRIM(INDEX(INDIRECT("'WCM Calibration Final'!$A$1:$A$2000"),'Calculations'!$EM254)&amp;"")),"")&lt;&gt;"","G:"&amp;IFERROR(TEXT(1*INDEX(INDIRECT("'WCM Calibration Final'!$A$1:$A$2000"),'Calculations'!$EM254),"0"),UPPER(IFERROR(IF(INDEX(INDIRECT("'WCM Calibration Final'!$A$1:$A$2000"),'Calculations'!$EM254)="","",TRIM(INDEX(INDIRECT("'WCM Calibration Final'!$A$1:$A$2000"),'Calculations'!$EM254)&amp;"")),""))),IF(IFERROR(IF(INDEX(INDIRECT("'WCM Calibration Final'!$C$1:$C$2000"),'Calculations'!$EM254)="","",TRIM(INDEX(INDIRECT("'WCM Calibration Final'!$C$1:$C$2000"),'Calculations'!$EM254)&amp;"")),"")&lt;&gt;"","S:"&amp;UPPER(IFERROR(IF(INDEX(INDIRECT("'WCM Calibration Final'!$C$1:$C$2000"),'Calculations'!$EM254)="","",TRIM(INDEX(INDIRECT("'WCM Calibration Final'!$C$1:$C$2000"),'Calculations'!$EM254)&amp;"")),"")),"R:"&amp;'Calculations'!EM254)))</x:f>
      </x:c>
      <x:c r="HF254" t="str">
        <x:f>IF('Calculations'!EM254="","",IF(IFERROR(IF(INDEX(INDIRECT("'WCM Calibration Final'!$D$1:$D$2000"),'Calculations'!$EM254)="","",TRIM(INDEX(INDIRECT("'WCM Calibration Final'!$D$1:$D$2000"),'Calculations'!$EM254)&amp;"")),"")&lt;&gt;"","G:"&amp;IFERROR(TEXT(1*INDEX(INDIRECT("'WCM Calibration Final'!$D$1:$D$2000"),'Calculations'!$EM254),"0"),UPPER(IFERROR(IF(INDEX(INDIRECT("'WCM Calibration Final'!$D$1:$D$2000"),'Calculations'!$EM254)="","",TRIM(INDEX(INDIRECT("'WCM Calibration Final'!$D$1:$D$2000"),'Calculations'!$EM254)&amp;"")),""))),IF(IFERROR(IF(INDEX(INDIRECT("'WCM Calibration Final'!$E$1:$E$2000"),'Calculations'!$EM254)="","",TRIM(INDEX(INDIRECT("'WCM Calibration Final'!$E$1:$E$2000"),'Calculations'!$EM254)&amp;"")),"")="","",IF(COUNTIF('Calculations'!$HG$13:$HG$512,"="&amp;SUBSTITUTE(SUBSTITUTE(SUBSTITUTE(IFERROR(IF(INDEX(INDIRECT("'WCM Calibration Final'!$E$1:$E$2000"),'Calculations'!$EM254)="","",TRIM(INDEX(INDIRECT("'WCM Calibration Final'!$E$1:$E$2000"),'Calculations'!$EM254)&amp;"")),""),"~","~~"),"*","~*"),"?","~?"))=1,INDEX('Calculations'!$HE$13:$HE$512,MATCH(IFERROR(IF(INDEX(INDIRECT("'WCM Calibration Final'!$E$1:$E$2000"),'Calculations'!$EM254)="","",TRIM(INDEX(INDIRECT("'WCM Calibration Final'!$E$1:$E$2000"),'Calculations'!$EM254)&amp;"")),""),'Calculations'!$HG$13:$HG$512,0)),IF(COUNTIF('Calculations'!$HG$13:$HG$512,"="&amp;SUBSTITUTE(SUBSTITUTE(SUBSTITUTE(IFERROR(IF(INDEX(INDIRECT("'WCM Calibration Final'!$E$1:$E$2000"),'Calculations'!$EM254)="","",TRIM(INDEX(INDIRECT("'WCM Calibration Final'!$E$1:$E$2000"),'Calculations'!$EM254)&amp;"")),""),"~","~~"),"*","~*"),"?","~?"))&gt;1,"!AMBIG","X:"&amp;IFERROR(IF(INDEX(INDIRECT("'WCM Calibration Final'!$E$1:$E$2000"),'Calculations'!$EM254)="","",TRIM(INDEX(INDIRECT("'WCM Calibration Final'!$E$1:$E$2000"),'Calculations'!$EM254)&amp;"")),""))))))</x:f>
      </x:c>
      <x:c r="HG254" t="str">
        <x:f>IF('Calculations'!EM254="","",IFERROR(IF(INDEX(INDIRECT("'WCM Calibration Final'!$B$1:$B$2000"),'Calculations'!$EM254)="","",TRIM(INDEX(INDIRECT("'WCM Calibration Final'!$B$1:$B$2000"),'Calculations'!$EM254)&amp;"")),""))</x:f>
      </x:c>
      <x:c r="HH254" t="n">
        <x:f>IF(AND('Calculations'!JC254&gt;0,COUNTIF('Calculations'!$HF$12:HF254,"="&amp;SUBSTITUTE(SUBSTITUTE(SUBSTITUTE('Calculations'!HF254,"~","~~"),"*","~*"),"?","~?"))=1),MAX('Calculations'!$HH$12:HH253)+1,0)</x:f>
        <x:v>0</x:v>
      </x:c>
      <x:c r="HI254" t="n">
        <x:f>IF(AND('Calculations'!HN254&lt;&gt;"",COUNTIF('Calculations'!$HN$12:HN254,"="&amp;SUBSTITUTE(SUBSTITUTE(SUBSTITUTE('Calculations'!HN254,"~","~~"),"*","~*"),"?","~?"))=1),MAX('Calculations'!$HI$12:HI253)+1,0)</x:f>
        <x:v>0</x:v>
      </x:c>
      <x:c r="HJ254" t="str">
        <x:f>IF('Calculations'!HF254="","",IF(COUNTIF('Calculations'!$HE$13:$HE$512,"="&amp;SUBSTITUTE(SUBSTITUTE(SUBSTITUTE('Calculations'!HF254,"~","~~"),"*","~*"),"?","~?"))=1,INDEX('Calculations'!$HK$13:$HK$512,MATCH('Calculations'!HF254,'Calculations'!$HE$13:$HE$512,0)),IFERROR(IF(INDEX(INDIRECT("'WCM Calibration Final'!$E$1:$E$2000"),'Calculations'!$EM254)="","",TRIM(INDEX(INDIRECT("'WCM Calibration Final'!$E$1:$E$2000"),'Calculations'!$EM254)&amp;"")),"")&amp;" ["&amp;'Calculations'!HF254&amp;"]"))</x:f>
      </x:c>
      <x:c r="HK254" t="str">
        <x:f>IF('Calculations'!EM254="","",'Calculations'!HG254&amp;" ["&amp;'Calculations'!HE254&amp;"]")</x:f>
      </x:c>
      <x:c r="HL254" t="n">
        <x:f>IF('Calculations'!EM254="",0,IF(OR('Calculations'!II254&lt;&gt;"",COUNTIF('Calculations'!$HE$13:$HE$512,"="&amp;SUBSTITUTE(SUBSTITUTE(SUBSTITUTE('Calculations'!HE254,"~","~~"),"*","~*"),"?","~?"))&gt;1),1,0))</x:f>
        <x:v>0</x:v>
      </x:c>
      <x:c r="HM254" t="str">
        <x:f>IF('Calculations'!EM254="","",IF('Calculations'!HL254=1,"!UNRESOLVED",IF('Calculations'!IH254&lt;&gt;"",'Calculations'!IH254,IF('Calculations'!IG254&lt;&gt;"",'Calculations'!IG254,IF('Calculations'!IF254&lt;&gt;"",'Calculations'!IF254,IF('Calculations'!IE254&lt;&gt;"",'Calculations'!IE254,IF('Calculations'!ID254&lt;&gt;"",'Calculations'!ID254,IF('Calculations'!IC254&lt;&gt;"",'Calculations'!IC254,IF('Calculations'!IB254&lt;&gt;"",'Calculations'!IB254,IF('Calculations'!IA254&lt;&gt;"",'Calculations'!IA254,IF('Calculations'!HZ254&lt;&gt;"",'Calculations'!HZ254,IF('Calculations'!HY254&lt;&gt;"",'Calculations'!HY254,IF('Calculations'!HX254&lt;&gt;"",'Calculations'!HX254,IF('Calculations'!HW254&lt;&gt;"",'Calculations'!HW254,IF('Calculations'!HV254&lt;&gt;"",'Calculations'!HV254,IF('Calculations'!HU254&lt;&gt;"",'Calculations'!HU254,IF('Calculations'!HT254&lt;&gt;"",'Calculations'!HT254,IF('Calculations'!HS254&lt;&gt;"",'Calculations'!HS254,IF('Calculations'!HR254&lt;&gt;"",'Calculations'!HR254,IF('Calculations'!HQ254&lt;&gt;"",'Calculations'!HQ254,IF('Calculations'!HP254&lt;&gt;"",'Calculations'!HP254,IF('Calculations'!HO254&lt;&gt;"",'Calculations'!HO254,'Calculations'!HE254))))))))))))))))))))))</x:f>
      </x:c>
      <x:c r="HN254" t="str">
        <x:f>IF('Calculations'!EM254="","",IF(IFERROR(IF(INDEX(INDIRECT("'WCM Calibration Final'!$F$1:$F$2000"),'Calculations'!$EM254)="","",TRIM(INDEX(INDIRECT("'WCM Calibration Final'!$F$1:$F$2000"),'Calculations'!$EM254)&amp;"")),"")="","(Blank)",IFERROR(IF(INDEX(INDIRECT("'WCM Calibration Final'!$F$1:$F$2000"),'Calculations'!$EM254)="","",TRIM(INDEX(INDIRECT("'WCM Calibration Final'!$F$1:$F$2000"),'Calculations'!$EM254)&amp;"")),"")))</x:f>
      </x:c>
      <x:c r="HO254" t="str">
        <x:f>'Calculations'!HF254</x:f>
      </x:c>
      <x:c r="HP254" t="str">
        <x:f>IF('Calculations'!HO254="","",IF('Calculations'!HO254="!AMBIG","!AMBIG",IF(COUNTIF('Calculations'!$HE$13:$HE$512,"="&amp;SUBSTITUTE(SUBSTITUTE(SUBSTITUTE('Calculations'!HO254,"~","~~"),"*","~*"),"?","~?"))&gt;1,"!AMBIG",IFERROR(INDEX('Calculations'!$HF$13:$HF$512,MATCH('Calculations'!HO254,'Calculations'!$HE$13:$HE$512,0)),""))))</x:f>
      </x:c>
      <x:c r="HQ254" t="str">
        <x:f>IF('Calculations'!HP254="","",IF('Calculations'!HP254="!AMBIG","!AMBIG",IF(COUNTIF('Calculations'!$HE$13:$HE$512,"="&amp;SUBSTITUTE(SUBSTITUTE(SUBSTITUTE('Calculations'!HP254,"~","~~"),"*","~*"),"?","~?"))&gt;1,"!AMBIG",IFERROR(INDEX('Calculations'!$HF$13:$HF$512,MATCH('Calculations'!HP254,'Calculations'!$HE$13:$HE$512,0)),""))))</x:f>
      </x:c>
      <x:c r="HR254" t="str">
        <x:f>IF('Calculations'!HQ254="","",IF('Calculations'!HQ254="!AMBIG","!AMBIG",IF(COUNTIF('Calculations'!$HE$13:$HE$512,"="&amp;SUBSTITUTE(SUBSTITUTE(SUBSTITUTE('Calculations'!HQ254,"~","~~"),"*","~*"),"?","~?"))&gt;1,"!AMBIG",IFERROR(INDEX('Calculations'!$HF$13:$HF$512,MATCH('Calculations'!HQ254,'Calculations'!$HE$13:$HE$512,0)),""))))</x:f>
      </x:c>
      <x:c r="HS254" t="str">
        <x:f>IF('Calculations'!HR254="","",IF('Calculations'!HR254="!AMBIG","!AMBIG",IF(COUNTIF('Calculations'!$HE$13:$HE$512,"="&amp;SUBSTITUTE(SUBSTITUTE(SUBSTITUTE('Calculations'!HR254,"~","~~"),"*","~*"),"?","~?"))&gt;1,"!AMBIG",IFERROR(INDEX('Calculations'!$HF$13:$HF$512,MATCH('Calculations'!HR254,'Calculations'!$HE$13:$HE$512,0)),""))))</x:f>
      </x:c>
      <x:c r="HT254" t="str">
        <x:f>IF('Calculations'!HS254="","",IF('Calculations'!HS254="!AMBIG","!AMBIG",IF(COUNTIF('Calculations'!$HE$13:$HE$512,"="&amp;SUBSTITUTE(SUBSTITUTE(SUBSTITUTE('Calculations'!HS254,"~","~~"),"*","~*"),"?","~?"))&gt;1,"!AMBIG",IFERROR(INDEX('Calculations'!$HF$13:$HF$512,MATCH('Calculations'!HS254,'Calculations'!$HE$13:$HE$512,0)),""))))</x:f>
      </x:c>
      <x:c r="HU254" t="str">
        <x:f>IF('Calculations'!HT254="","",IF('Calculations'!HT254="!AMBIG","!AMBIG",IF(COUNTIF('Calculations'!$HE$13:$HE$512,"="&amp;SUBSTITUTE(SUBSTITUTE(SUBSTITUTE('Calculations'!HT254,"~","~~"),"*","~*"),"?","~?"))&gt;1,"!AMBIG",IFERROR(INDEX('Calculations'!$HF$13:$HF$512,MATCH('Calculations'!HT254,'Calculations'!$HE$13:$HE$512,0)),""))))</x:f>
      </x:c>
      <x:c r="HV254" t="str">
        <x:f>IF('Calculations'!HU254="","",IF('Calculations'!HU254="!AMBIG","!AMBIG",IF(COUNTIF('Calculations'!$HE$13:$HE$512,"="&amp;SUBSTITUTE(SUBSTITUTE(SUBSTITUTE('Calculations'!HU254,"~","~~"),"*","~*"),"?","~?"))&gt;1,"!AMBIG",IFERROR(INDEX('Calculations'!$HF$13:$HF$512,MATCH('Calculations'!HU254,'Calculations'!$HE$13:$HE$512,0)),""))))</x:f>
      </x:c>
      <x:c r="HW254" t="str">
        <x:f>IF('Calculations'!HV254="","",IF('Calculations'!HV254="!AMBIG","!AMBIG",IF(COUNTIF('Calculations'!$HE$13:$HE$512,"="&amp;SUBSTITUTE(SUBSTITUTE(SUBSTITUTE('Calculations'!HV254,"~","~~"),"*","~*"),"?","~?"))&gt;1,"!AMBIG",IFERROR(INDEX('Calculations'!$HF$13:$HF$512,MATCH('Calculations'!HV254,'Calculations'!$HE$13:$HE$512,0)),""))))</x:f>
      </x:c>
      <x:c r="HX254" t="str">
        <x:f>IF('Calculations'!HW254="","",IF('Calculations'!HW254="!AMBIG","!AMBIG",IF(COUNTIF('Calculations'!$HE$13:$HE$512,"="&amp;SUBSTITUTE(SUBSTITUTE(SUBSTITUTE('Calculations'!HW254,"~","~~"),"*","~*"),"?","~?"))&gt;1,"!AMBIG",IFERROR(INDEX('Calculations'!$HF$13:$HF$512,MATCH('Calculations'!HW254,'Calculations'!$HE$13:$HE$512,0)),""))))</x:f>
      </x:c>
      <x:c r="HY254" t="str">
        <x:f>IF('Calculations'!HX254="","",IF('Calculations'!HX254="!AMBIG","!AMBIG",IF(COUNTIF('Calculations'!$HE$13:$HE$512,"="&amp;SUBSTITUTE(SUBSTITUTE(SUBSTITUTE('Calculations'!HX254,"~","~~"),"*","~*"),"?","~?"))&gt;1,"!AMBIG",IFERROR(INDEX('Calculations'!$HF$13:$HF$512,MATCH('Calculations'!HX254,'Calculations'!$HE$13:$HE$512,0)),""))))</x:f>
      </x:c>
      <x:c r="HZ254" t="str">
        <x:f>IF('Calculations'!HY254="","",IF('Calculations'!HY254="!AMBIG","!AMBIG",IF(COUNTIF('Calculations'!$HE$13:$HE$512,"="&amp;SUBSTITUTE(SUBSTITUTE(SUBSTITUTE('Calculations'!HY254,"~","~~"),"*","~*"),"?","~?"))&gt;1,"!AMBIG",IFERROR(INDEX('Calculations'!$HF$13:$HF$512,MATCH('Calculations'!HY254,'Calculations'!$HE$13:$HE$512,0)),""))))</x:f>
      </x:c>
      <x:c r="IA254" t="str">
        <x:f>IF('Calculations'!HZ254="","",IF('Calculations'!HZ254="!AMBIG","!AMBIG",IF(COUNTIF('Calculations'!$HE$13:$HE$512,"="&amp;SUBSTITUTE(SUBSTITUTE(SUBSTITUTE('Calculations'!HZ254,"~","~~"),"*","~*"),"?","~?"))&gt;1,"!AMBIG",IFERROR(INDEX('Calculations'!$HF$13:$HF$512,MATCH('Calculations'!HZ254,'Calculations'!$HE$13:$HE$512,0)),""))))</x:f>
      </x:c>
      <x:c r="IB254" t="str">
        <x:f>IF('Calculations'!IA254="","",IF('Calculations'!IA254="!AMBIG","!AMBIG",IF(COUNTIF('Calculations'!$HE$13:$HE$512,"="&amp;SUBSTITUTE(SUBSTITUTE(SUBSTITUTE('Calculations'!IA254,"~","~~"),"*","~*"),"?","~?"))&gt;1,"!AMBIG",IFERROR(INDEX('Calculations'!$HF$13:$HF$512,MATCH('Calculations'!IA254,'Calculations'!$HE$13:$HE$512,0)),""))))</x:f>
      </x:c>
      <x:c r="IC254" t="str">
        <x:f>IF('Calculations'!IB254="","",IF('Calculations'!IB254="!AMBIG","!AMBIG",IF(COUNTIF('Calculations'!$HE$13:$HE$512,"="&amp;SUBSTITUTE(SUBSTITUTE(SUBSTITUTE('Calculations'!IB254,"~","~~"),"*","~*"),"?","~?"))&gt;1,"!AMBIG",IFERROR(INDEX('Calculations'!$HF$13:$HF$512,MATCH('Calculations'!IB254,'Calculations'!$HE$13:$HE$512,0)),""))))</x:f>
      </x:c>
      <x:c r="ID254" t="str">
        <x:f>IF('Calculations'!IC254="","",IF('Calculations'!IC254="!AMBIG","!AMBIG",IF(COUNTIF('Calculations'!$HE$13:$HE$512,"="&amp;SUBSTITUTE(SUBSTITUTE(SUBSTITUTE('Calculations'!IC254,"~","~~"),"*","~*"),"?","~?"))&gt;1,"!AMBIG",IFERROR(INDEX('Calculations'!$HF$13:$HF$512,MATCH('Calculations'!IC254,'Calculations'!$HE$13:$HE$512,0)),""))))</x:f>
      </x:c>
      <x:c r="IE254" t="str">
        <x:f>IF('Calculations'!ID254="","",IF('Calculations'!ID254="!AMBIG","!AMBIG",IF(COUNTIF('Calculations'!$HE$13:$HE$512,"="&amp;SUBSTITUTE(SUBSTITUTE(SUBSTITUTE('Calculations'!ID254,"~","~~"),"*","~*"),"?","~?"))&gt;1,"!AMBIG",IFERROR(INDEX('Calculations'!$HF$13:$HF$512,MATCH('Calculations'!ID254,'Calculations'!$HE$13:$HE$512,0)),""))))</x:f>
      </x:c>
      <x:c r="IF254" t="str">
        <x:f>IF('Calculations'!IE254="","",IF('Calculations'!IE254="!AMBIG","!AMBIG",IF(COUNTIF('Calculations'!$HE$13:$HE$512,"="&amp;SUBSTITUTE(SUBSTITUTE(SUBSTITUTE('Calculations'!IE254,"~","~~"),"*","~*"),"?","~?"))&gt;1,"!AMBIG",IFERROR(INDEX('Calculations'!$HF$13:$HF$512,MATCH('Calculations'!IE254,'Calculations'!$HE$13:$HE$512,0)),""))))</x:f>
      </x:c>
      <x:c r="IG254" t="str">
        <x:f>IF('Calculations'!IF254="","",IF('Calculations'!IF254="!AMBIG","!AMBIG",IF(COUNTIF('Calculations'!$HE$13:$HE$512,"="&amp;SUBSTITUTE(SUBSTITUTE(SUBSTITUTE('Calculations'!IF254,"~","~~"),"*","~*"),"?","~?"))&gt;1,"!AMBIG",IFERROR(INDEX('Calculations'!$HF$13:$HF$512,MATCH('Calculations'!IF254,'Calculations'!$HE$13:$HE$512,0)),""))))</x:f>
      </x:c>
      <x:c r="IH254" t="str">
        <x:f>IF('Calculations'!IG254="","",IF('Calculations'!IG254="!AMBIG","!AMBIG",IF(COUNTIF('Calculations'!$HE$13:$HE$512,"="&amp;SUBSTITUTE(SUBSTITUTE(SUBSTITUTE('Calculations'!IG254,"~","~~"),"*","~*"),"?","~?"))&gt;1,"!AMBIG",IFERROR(INDEX('Calculations'!$HF$13:$HF$512,MATCH('Calculations'!IG254,'Calculations'!$HE$13:$HE$512,0)),""))))</x:f>
      </x:c>
      <x:c r="II254" t="str">
        <x:f>IF('Calculations'!IH254="","",IF('Calculations'!IH254="!AMBIG","!AMBIG",IF(COUNTIF('Calculations'!$HE$13:$HE$512,"="&amp;SUBSTITUTE(SUBSTITUTE(SUBSTITUTE('Calculations'!IH254,"~","~~"),"*","~*"),"?","~?"))&gt;1,"!AMBIG",IFERROR(INDEX('Calculations'!$HF$13:$HF$512,MATCH('Calculations'!IH254,'Calculations'!$HE$13:$HE$512,0)),""))))</x:f>
      </x:c>
      <x:c r="IJ254" t="str">
        <x:f>IF('Calculations'!EM254="","",IF('Calculations'!$EF$2="All",'Calculations'!HM254,IF('Calculations'!HL254=1,"",IFERROR(IF(MATCH('Calculations'!$EF$2,'Calculations'!HO254:II254,0)=1,'Calculations'!HE254,INDEX('Calculations'!HO254:II254,1,MATCH('Calculations'!$EF$2,'Calculations'!HO254:II254,0)-1)),""))))</x:f>
      </x:c>
      <x:c r="IK254" t="n">
        <x:f>IF(AND('Calculations'!EM254&lt;&gt;"",'Calculations'!$EF$2&lt;&gt;"All",'Calculations'!HF254='Calculations'!$EF$2,'Calculations'!HL254=0,'Calculations'!JD254&gt;0),MAX('Calculations'!$IK$12:IK253)+1,0)</x:f>
        <x:v>0</x:v>
      </x:c>
      <x:c r="JA254" t="n">
        <x:f>IF(OR(IFERROR(INDIRECT("'WCM Calibration Final'!$A$254")&lt;&gt;"",FALSE),IFERROR(INDIRECT("'WCM Calibration Final'!$B$254")&lt;&gt;"",FALSE),IFERROR(INDIRECT("'WCM Calibration Final'!$C$254")&lt;&gt;"",FALSE)),254,0)</x:f>
        <x:v>0</x:v>
      </x:c>
      <x:c r="JB254" t="n">
        <x:f>'Calculations'!JB253+IF('Calculations'!JA254&gt;0,1,0)</x:f>
        <x:v>0</x:v>
      </x:c>
      <x:c r="JC254" t="n">
        <x:f>IF(OR('Calculations'!HF254="",'Calculations'!HF254="!AMBIG"),0,IF('Dashboard'!$B$7="All",1,COUNTIFS('Calculations'!$HO$13:$HO$512,"="&amp;SUBSTITUTE(SUBSTITUTE(SUBSTITUTE('Calculations'!HF254,"~","~~"),"*","~*"),"?","~?"),'Calculations'!$HN$13:$HN$512,"="&amp;SUBSTITUTE(SUBSTITUTE(SUBSTITUTE('Dashboard'!$B$7,"~","~~"),"*","~*"),"?","~?"))+COUNTIFS('Calculations'!$HP$13:$HP$512,"="&amp;SUBSTITUTE(SUBSTITUTE(SUBSTITUTE('Calculations'!HF254,"~","~~"),"*","~*"),"?","~?"),'Calculations'!$HN$13:$HN$512,"="&amp;SUBSTITUTE(SUBSTITUTE(SUBSTITUTE('Dashboard'!$B$7,"~","~~"),"*","~*"),"?","~?"))+COUNTIFS('Calculations'!$HQ$13:$HQ$512,"="&amp;SUBSTITUTE(SUBSTITUTE(SUBSTITUTE('Calculations'!HF254,"~","~~"),"*","~*"),"?","~?"),'Calculations'!$HN$13:$HN$512,"="&amp;SUBSTITUTE(SUBSTITUTE(SUBSTITUTE('Dashboard'!$B$7,"~","~~"),"*","~*"),"?","~?"))+COUNTIFS('Calculations'!$HR$13:$HR$512,"="&amp;SUBSTITUTE(SUBSTITUTE(SUBSTITUTE('Calculations'!HF254,"~","~~"),"*","~*"),"?","~?"),'Calculations'!$HN$13:$HN$512,"="&amp;SUBSTITUTE(SUBSTITUTE(SUBSTITUTE('Dashboard'!$B$7,"~","~~"),"*","~*"),"?","~?"))+COUNTIFS('Calculations'!$HS$13:$HS$512,"="&amp;SUBSTITUTE(SUBSTITUTE(SUBSTITUTE('Calculations'!HF254,"~","~~"),"*","~*"),"?","~?"),'Calculations'!$HN$13:$HN$512,"="&amp;SUBSTITUTE(SUBSTITUTE(SUBSTITUTE('Dashboard'!$B$7,"~","~~"),"*","~*"),"?","~?"))+COUNTIFS('Calculations'!$HT$13:$HT$512,"="&amp;SUBSTITUTE(SUBSTITUTE(SUBSTITUTE('Calculations'!HF254,"~","~~"),"*","~*"),"?","~?"),'Calculations'!$HN$13:$HN$512,"="&amp;SUBSTITUTE(SUBSTITUTE(SUBSTITUTE('Dashboard'!$B$7,"~","~~"),"*","~*"),"?","~?"))+COUNTIFS('Calculations'!$HU$13:$HU$512,"="&amp;SUBSTITUTE(SUBSTITUTE(SUBSTITUTE('Calculations'!HF254,"~","~~"),"*","~*"),"?","~?"),'Calculations'!$HN$13:$HN$512,"="&amp;SUBSTITUTE(SUBSTITUTE(SUBSTITUTE('Dashboard'!$B$7,"~","~~"),"*","~*"),"?","~?"))+COUNTIFS('Calculations'!$HV$13:$HV$512,"="&amp;SUBSTITUTE(SUBSTITUTE(SUBSTITUTE('Calculations'!HF254,"~","~~"),"*","~*"),"?","~?"),'Calculations'!$HN$13:$HN$512,"="&amp;SUBSTITUTE(SUBSTITUTE(SUBSTITUTE('Dashboard'!$B$7,"~","~~"),"*","~*"),"?","~?"))+COUNTIFS('Calculations'!$HW$13:$HW$512,"="&amp;SUBSTITUTE(SUBSTITUTE(SUBSTITUTE('Calculations'!HF254,"~","~~"),"*","~*"),"?","~?"),'Calculations'!$HN$13:$HN$512,"="&amp;SUBSTITUTE(SUBSTITUTE(SUBSTITUTE('Dashboard'!$B$7,"~","~~"),"*","~*"),"?","~?"))+COUNTIFS('Calculations'!$HX$13:$HX$512,"="&amp;SUBSTITUTE(SUBSTITUTE(SUBSTITUTE('Calculations'!HF254,"~","~~"),"*","~*"),"?","~?"),'Calculations'!$HN$13:$HN$512,"="&amp;SUBSTITUTE(SUBSTITUTE(SUBSTITUTE('Dashboard'!$B$7,"~","~~"),"*","~*"),"?","~?"))+COUNTIFS('Calculations'!$HY$13:$HY$512,"="&amp;SUBSTITUTE(SUBSTITUTE(SUBSTITUTE('Calculations'!HF254,"~","~~"),"*","~*"),"?","~?"),'Calculations'!$HN$13:$HN$512,"="&amp;SUBSTITUTE(SUBSTITUTE(SUBSTITUTE('Dashboard'!$B$7,"~","~~"),"*","~*"),"?","~?"))+COUNTIFS('Calculations'!$HZ$13:$HZ$512,"="&amp;SUBSTITUTE(SUBSTITUTE(SUBSTITUTE('Calculations'!HF254,"~","~~"),"*","~*"),"?","~?"),'Calculations'!$HN$13:$HN$512,"="&amp;SUBSTITUTE(SUBSTITUTE(SUBSTITUTE('Dashboard'!$B$7,"~","~~"),"*","~*"),"?","~?"))+COUNTIFS('Calculations'!$IA$13:$IA$512,"="&amp;SUBSTITUTE(SUBSTITUTE(SUBSTITUTE('Calculations'!HF254,"~","~~"),"*","~*"),"?","~?"),'Calculations'!$HN$13:$HN$512,"="&amp;SUBSTITUTE(SUBSTITUTE(SUBSTITUTE('Dashboard'!$B$7,"~","~~"),"*","~*"),"?","~?"))+COUNTIFS('Calculations'!$IB$13:$IB$512,"="&amp;SUBSTITUTE(SUBSTITUTE(SUBSTITUTE('Calculations'!HF254,"~","~~"),"*","~*"),"?","~?"),'Calculations'!$HN$13:$HN$512,"="&amp;SUBSTITUTE(SUBSTITUTE(SUBSTITUTE('Dashboard'!$B$7,"~","~~"),"*","~*"),"?","~?"))+COUNTIFS('Calculations'!$IC$13:$IC$512,"="&amp;SUBSTITUTE(SUBSTITUTE(SUBSTITUTE('Calculations'!HF254,"~","~~"),"*","~*"),"?","~?"),'Calculations'!$HN$13:$HN$512,"="&amp;SUBSTITUTE(SUBSTITUTE(SUBSTITUTE('Dashboard'!$B$7,"~","~~"),"*","~*"),"?","~?"))+COUNTIFS('Calculations'!$ID$13:$ID$512,"="&amp;SUBSTITUTE(SUBSTITUTE(SUBSTITUTE('Calculations'!HF254,"~","~~"),"*","~*"),"?","~?"),'Calculations'!$HN$13:$HN$512,"="&amp;SUBSTITUTE(SUBSTITUTE(SUBSTITUTE('Dashboard'!$B$7,"~","~~"),"*","~*"),"?","~?"))+COUNTIFS('Calculations'!$IE$13:$IE$512,"="&amp;SUBSTITUTE(SUBSTITUTE(SUBSTITUTE('Calculations'!HF254,"~","~~"),"*","~*"),"?","~?"),'Calculations'!$HN$13:$HN$512,"="&amp;SUBSTITUTE(SUBSTITUTE(SUBSTITUTE('Dashboard'!$B$7,"~","~~"),"*","~*"),"?","~?"))+COUNTIFS('Calculations'!$IF$13:$IF$512,"="&amp;SUBSTITUTE(SUBSTITUTE(SUBSTITUTE('Calculations'!HF254,"~","~~"),"*","~*"),"?","~?"),'Calculations'!$HN$13:$HN$512,"="&amp;SUBSTITUTE(SUBSTITUTE(SUBSTITUTE('Dashboard'!$B$7,"~","~~"),"*","~*"),"?","~?"))+COUNTIFS('Calculations'!$IG$13:$IG$512,"="&amp;SUBSTITUTE(SUBSTITUTE(SUBSTITUTE('Calculations'!HF254,"~","~~"),"*","~*"),"?","~?"),'Calculations'!$HN$13:$HN$512,"="&amp;SUBSTITUTE(SUBSTITUTE(SUBSTITUTE('Dashboard'!$B$7,"~","~~"),"*","~*"),"?","~?"))+COUNTIFS('Calculations'!$IH$13:$IH$512,"="&amp;SUBSTITUTE(SUBSTITUTE(SUBSTITUTE('Calculations'!HF254,"~","~~"),"*","~*"),"?","~?"),'Calculations'!$HN$13:$HN$512,"="&amp;SUBSTITUTE(SUBSTITUTE(SUBSTITUTE('Dashboard'!$B$7,"~","~~"),"*","~*"),"?","~?"))))</x:f>
        <x:v>0</x:v>
      </x:c>
      <x:c r="JD254" t="n">
        <x:f>IF('Calculations'!EM254="",0,IF('Dashboard'!$B$7="All",1,IF('Calculations'!HN254='Dashboard'!$B$7,1,0)+IFERROR(INDEX('Calculations'!$JC$13:$JC$512,MATCH('Calculations'!HE254,'Calculations'!$HF$13:$HF$512,0)),0)))</x:f>
        <x:v>0</x:v>
      </x:c>
      <x:c r="JE254" t="n">
        <x:f>IF(AND('Calculations'!EM254&lt;&gt;"",'Calculations'!$JJ$2&lt;&gt;"All",'Calculations'!$JJ$2&lt;&gt;"",'Calculations'!HF254='Calculations'!$JJ$2,'Calculations'!HL254=0,'Calculations'!JD254&gt;0),MAX('Calculations'!$JE$12:JE253)+1,0)</x:f>
        <x:v>0</x:v>
      </x:c>
      <x:c r="JF254" t="str">
        <x:f>IF('Calculations'!EM254="","",IFERROR(IF(INDEX(INDIRECT("'WCM Calibration Final'!$G$1:$G$2000"),'Calculations'!$EM254)="","",TRIM(INDEX(INDIRECT("'WCM Calibration Final'!$G$1:$G$2000"),'Calculations'!$EM254)&amp;"")),""))</x:f>
      </x:c>
      <x:c r="JQ254" t="n">
        <x:f>IF(OR('Calculations'!BM254=0,NOT('Calculations'!$AG$2),'Calculations'!$AG$8&gt;0),0,IF(OR('Dashboard'!$B$7="All",'Calculations'!HN254='Dashboard'!$B$7),IF('Calculations'!$JJ$2="All",1,IF(AND('Calculations'!HF254='Calculations'!$JJ$2,'Calculations'!HL254=0),1,0)),0))</x:f>
        <x:v>0</x:v>
      </x:c>
    </x:row>
    <x:row r="255">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t="n">
        <x:f>IF('Calculations'!$EM255="",0,IF(OR(IFERROR(INDEX(INDIRECT("'WCM Calibration Final'!$A$1:$A$2000"),'Calculations'!$EM255)&lt;&gt;"",FALSE),IFERROR(INDEX(INDIRECT("'WCM Calibration Final'!$B$1:$B$2000"),'Calculations'!$EM255)&lt;&gt;"",FALSE),IFERROR(INDEX(INDIRECT("'WCM Calibration Final'!$C$1:$C$2000"),'Calculations'!$EM255)&lt;&gt;"",FALSE)),1,0))</x:f>
        <x:v>0</x:v>
      </x:c>
      <x:c r="BN255" s="4" t="n">
        <x:f>IF(AND('Calculations'!BM255=1,'Calculations'!$AG$2,'Calculations'!$EN255=1),1,0)</x:f>
        <x:v>0</x:v>
      </x:c>
      <x:c r="BO255" s="4" t="str">
        <x:f>IF('Calculations'!BM255=0,"",IFERROR(IF(AND(VALUE(INDEX(INDIRECT("'WCM Calibration Final'!$K$1:$K$2000"),'Calculations'!$EM255))&gt;=1,VALUE(INDEX(INDIRECT("'WCM Calibration Final'!$K$1:$K$2000"),'Calculations'!$EM255))&lt;=4,MOD(VALUE(INDEX(INDIRECT("'WCM Calibration Final'!$K$1:$K$2000"),'Calculations'!$EM255)),1)=0),VALUE(INDEX(INDIRECT("'WCM Calibration Final'!$K$1:$K$2000"),'Calculations'!$EM255)),""),""))</x:f>
      </x:c>
      <x:c r="BP255" s="4" t="str">
        <x:f>IF('Calculations'!BM255=0,"",IFERROR(IF(AND(VALUE(INDEX(INDIRECT("'WCM Calibration Final'!$L$1:$L$2000"),'Calculations'!$EM255))&gt;=1,VALUE(INDEX(INDIRECT("'WCM Calibration Final'!$L$1:$L$2000"),'Calculations'!$EM255))&lt;=4,MOD(VALUE(INDEX(INDIRECT("'WCM Calibration Final'!$L$1:$L$2000"),'Calculations'!$EM255)),1)=0),VALUE(INDEX(INDIRECT("'WCM Calibration Final'!$L$1:$L$2000"),'Calculations'!$EM255)),""),""))</x:f>
      </x:c>
      <x:c r="BQ255" s="4"/>
      <x:c r="BR255" s="4"/>
      <x:c r="BS255" s="4"/>
      <x:c r="BT255" s="4" t="n">
        <x:f>IF(AND('Calculations'!BM255=1,ISNUMBER('Calculations'!BO255),ISNUMBER('Calculations'!BP255)),1,0)</x:f>
        <x:v>0</x:v>
      </x:c>
      <x:c r="BU255" s="4" t="str">
        <x:f>IF('Calculations'!BM255=0,"",'Calculations'!$EO255)</x:f>
      </x:c>
      <x:c r="BV255" s="4" t="str">
        <x:f>IF('Calculations'!BM255=0,"",IFERROR(IF(OR(INDEX(INDIRECT("'WCM Calibration Final'!$H$1:$H$2000"),'Calculations'!$EM255)="MANAGING DIRECTOR",INDEX(INDIRECT("'WCM Calibration Final'!$H$1:$H$2000"),'Calculations'!$EM255)="DIRECTOR",INDEX(INDIRECT("'WCM Calibration Final'!$H$1:$H$2000"),'Calculations'!$EM255)="SENIOR VICE PRESIDENT",INDEX(INDIRECT("'WCM Calibration Final'!$H$1:$H$2000"),'Calculations'!$EM255)="VICE PRESIDENT",INDEX(INDIRECT("'WCM Calibration Final'!$H$1:$H$2000"),'Calculations'!$EM255)="ASSISTANT VICE PRESIDENT",INDEX(INDIRECT("'WCM Calibration Final'!$H$1:$H$2000"),'Calculations'!$EM255)="OFFICER"),UPPER(INDEX(INDIRECT("'WCM Calibration Final'!$H$1:$H$2000"),'Calculations'!$EM255)),"Other"),"Other"))</x:f>
      </x:c>
      <x:c r="BW255" s="4"/>
      <x:c r="BX255" s="4"/>
      <x:c r="BY255" s="4" t="n">
        <x:f>IF(AND('Calculations'!BM255=1,'Calculations'!BU255&lt;&gt;"",COUNTIF('Calculations'!$BU$12:BU255,'Calculations'!BU255)=1),MAX('Calculations'!$BY$11:BY254)+1,0)</x:f>
        <x:v>0</x:v>
      </x:c>
      <x:c r="BZ255" s="4" t="str">
        <x:f>IF('Dashboard'!$E$67="What",'Calculations'!BO255,'Calculations'!BP255)</x:f>
      </x:c>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t="str">
        <x:f>IF(244&gt;MAX('Calculations'!$HI$13:$HI$512),"",INDEX('Calculations'!$HN$13:$HN$512,MATCH(244,'Calculations'!$HI$13:$HI$512,0)))</x:f>
      </x:c>
      <x:c r="DB255" s="4" t="str">
        <x:f>IF(244&gt;MAX('Calculations'!$HH$13:$HH$512),"",INDEX('Calculations'!$HJ$13:$HJ$512,MATCH(244,'Calculations'!$HH$13:$HH$512,0)))</x:f>
      </x:c>
      <x:c r="DC255" s="4" t="str">
        <x:f>IF(ROW()-11&gt;MAX('Calculations'!$BY$13:$BY$512),"",INDEX('Calculations'!$BU$13:$BU$512,MATCH(ROW()-11,'Calculations'!$BY$13:$BY$512,0)))</x:f>
      </x:c>
      <x:c r="DD255" s="4" t="str">
        <x:f>IF(244&gt;MAX('Calculations'!$IK$13:$IK$512),"",INDEX('Calculations'!$HK$13:$HK$512,MATCH(244,'Calculations'!$IK$13:$IK$512,0)))</x:f>
      </x:c>
      <x:c r="DE255" s="4" t="str">
        <x:f>'Calculations'!DC255</x:f>
      </x:c>
      <x:c r="DF255" s="4" t="str">
        <x:f>IF('Calculations'!DE255="","",COUNTIFS('Calculations'!$BN$13:$BN$512,1,'Calculations'!$BU$13:$BU$512,'Calculations'!DE255))</x:f>
      </x:c>
      <x:c r="DG255" s="4" t="str">
        <x:f>IF('Calculations'!DE255="","",COUNTIFS('Calculations'!$BN$13:$BN$512,1,'Calculations'!$BU$13:$BU$512,'Calculations'!DE255,'Calculations'!$BT$13:$BT$512,1))</x:f>
      </x:c>
      <x:c r="DH255" s="4" t="str">
        <x:f>IF('Calculations'!DE255="","",'Calculations'!DF255-'Calculations'!DG255)</x:f>
      </x:c>
      <x:c r="DI255" s="4" t="str">
        <x:f>IF(OR('Calculations'!DE255="",'Calculations'!DF255=0),"",'Calculations'!DG255/'Calculations'!DF255)</x:f>
      </x:c>
      <x:c r="DJ255" s="4" t="str">
        <x:f>IF('Calculations'!DE255="","",COUNTIFS('Calculations'!$BN$13:$BN$512,1,'Calculations'!$BU$13:$BU$512,'Calculations'!DE255,'Calculations'!$BT$13:$BT$512,1,'Calculations'!$EE$13:$EE$512,"High"))</x:f>
      </x:c>
      <x:c r="DK255" s="4" t="str">
        <x:f>IF('Calculations'!DE255="","",COUNTIFS('Calculations'!$BN$13:$BN$512,1,'Calculations'!$BU$13:$BU$512,'Calculations'!DE255,'Calculations'!$BT$13:$BT$512,1,'Calculations'!$EE$13:$EE$512,"Strong"))</x:f>
      </x:c>
      <x:c r="DL255" s="4" t="str">
        <x:f>IF('Calculations'!DE255="","",COUNTIFS('Calculations'!$BN$13:$BN$512,1,'Calculations'!$BU$13:$BU$512,'Calculations'!DE255,'Calculations'!$BT$13:$BT$512,1,'Calculations'!$EE$13:$EE$512,"Solid"))</x:f>
      </x:c>
      <x:c r="DM255" s="4" t="str">
        <x:f>IF('Calculations'!DE255="","",COUNTIFS('Calculations'!$BN$13:$BN$512,1,'Calculations'!$BU$13:$BU$512,'Calculations'!DE255,'Calculations'!$BT$13:$BT$512,1,'Calculations'!$EE$13:$EE$512,"Low"))</x:f>
      </x:c>
      <x:c r="DN255" s="4" t="str">
        <x:f>IF('Calculations'!DE255="","",COUNTIFS('Calculations'!$BN$13:$BN$512,1,'Calculations'!$BU$13:$BU$512,'Calculations'!DE255,'Calculations'!$EP$13:$EP$512,1))</x:f>
      </x:c>
      <x:c r="DO255" s="4" t="str">
        <x:f>IF(OR('Calculations'!DE255="",'Calculations'!DG255=0),"",('Calculations'!DJ255+'Calculations'!DK255)/'Calculations'!DG255)</x:f>
      </x:c>
      <x:c r="DP255" s="4" t="n">
        <x:f>IF(AND('Calculations'!DE255&lt;&gt;"",'Calculations'!DF255&gt;0),COUNTIF('Calculations'!$DF$12:DF255,"&gt;0"),0)</x:f>
        <x:v>0</x:v>
      </x:c>
      <x:c r="DQ255" s="4" t="str">
        <x:f>IF(244&gt;MAX('Calculations'!$HH$13:$HH$512),"",INDEX('Calculations'!$HF$13:$HF$512,MATCH(244,'Calculations'!$HH$13:$HH$512,0)))</x:f>
      </x:c>
      <x:c r="DR255" s="4" t="str">
        <x:f>IF(244&gt;MAX('Calculations'!$IK$13:$IK$512),"",INDEX('Calculations'!$HE$13:$HE$512,MATCH(244,'Calculations'!$IK$13:$IK$512,0)))</x:f>
      </x:c>
      <x:c r="DS255" s="4"/>
      <x:c r="DT255" s="4"/>
      <x:c r="DU255" s="4"/>
      <x:c r="DV255" s="4"/>
      <x:c r="DW255" s="4"/>
      <x:c r="DX255" s="4"/>
      <x:c r="DY255" s="4"/>
      <x:c r="DZ255" s="4"/>
      <x:c r="EA255" s="4"/>
      <x:c r="EB255" s="4"/>
      <x:c r="EC255" s="4"/>
      <x:c r="ED255" s="4"/>
      <x:c r="EE255" s="4" t="str">
        <x:f>IF('Calculations'!BT255=0,"Not Rated",IF(OR('Calculations'!BO255&gt;=4,'Calculations'!BP255&gt;=4),"Low",IF('Calculations'!BO255+'Calculations'!BP255&lt;=3,"High",IF('Calculations'!BO255+'Calculations'!BP255&lt;=4,"Strong","Solid"))))</x:f>
        <x:v>Not Rated</x:v>
      </x:c>
      <x:c r="EF255" s="4"/>
      <x:c r="EG255" s="4"/>
      <x:c r="EH255" s="4"/>
      <x:c r="EI255" s="4"/>
      <x:c r="EJ255" s="4"/>
      <x:c r="EK255" s="4"/>
      <x:c r="EL255" s="4"/>
      <x:c r="EM255" s="4" t="str">
        <x:f>IF(243&gt;'Calculations'!$JB$2000,"",INDEX('Calculations'!$JA$12:$JA$2000,MATCH(243,'Calculations'!$JB$12:$JB$2000,0)))</x:f>
      </x:c>
      <x:c r="EN255" s="4" t="n">
        <x:f>IF(OR('Calculations'!EM255="",'Calculations'!$AG$8&gt;0,AND('Calculations'!$EF$2&lt;&gt;"All",'Calculations'!HE255='Calculations'!$EF$2),AND('Calculations'!$EF$3&lt;&gt;"All",'Calculations'!HE255='Calculations'!$EF$3)),0,IF(OR('Dashboard'!$B$7="All",'Calculations'!HN255='Dashboard'!$B$7),IF('Calculations'!$EF$2="All",1,IF('Calculations'!HL255&gt;0,0,IF(COUNTIF('Calculations'!HO255:II255,"="&amp;SUBSTITUTE(SUBSTITUTE(SUBSTITUTE('Calculations'!$EF$2,"~","~~"),"*","~*"),"?","~?"))=0,0,IF('Calculations'!$EF$3="All",1,IF(COUNTIF('Calculations'!HO255:II255,"="&amp;SUBSTITUTE(SUBSTITUTE(SUBSTITUTE('Calculations'!$EF$3,"~","~~"),"*","~*"),"?","~?"))&gt;0,1,0))))),0))</x:f>
        <x:v>0</x:v>
      </x:c>
      <x:c r="EO255" s="4" t="str">
        <x:f>IF('Calculations'!IJ255="","",IF('Calculations'!IJ255="!UNRESOLVED","Unresolved hierarchy",IFERROR(INDEX('Calculations'!$HK$13:$HK$512,MATCH('Calculations'!IJ255,'Calculations'!$HE$13:$HE$512,0)),IFERROR(INDEX('Calculations'!$HJ$13:$HJ$512,MATCH('Calculations'!IJ255,'Calculations'!$HF$13:$HF$512,0)),'Calculations'!IJ255))))</x:f>
      </x:c>
      <x:c r="EP255" s="4" t="n">
        <x:f>IF(AND('Calculations'!EM255&lt;&gt;"",'Calculations'!HF255='Calculations'!IJ255),1,0)</x:f>
        <x:v>0</x:v>
      </x:c>
      <x:c r="EQ255" s="4"/>
      <x:c r="ER255" s="4"/>
      <x:c r="ES255" s="4"/>
      <x:c r="ET255" s="4"/>
      <x:c r="EU255" s="4"/>
      <x:c r="EV255" s="4"/>
      <x:c r="EW255" s="4"/>
      <x:c r="EX255" s="4"/>
      <x:c r="EY255" s="4"/>
      <x:c r="EZ255" s="4"/>
      <x:c r="FA255" s="4"/>
      <x:c r="FB255" s="4"/>
      <x:c r="FC255" s="4"/>
      <x:c r="FD255" s="4"/>
      <x:c r="FE255" s="4"/>
      <x:c r="FF255" s="4"/>
      <x:c r="FG255" s="4"/>
      <x:c r="FH255" s="4"/>
      <x:c r="FI255" s="4"/>
      <x:c r="FJ255" s="4"/>
      <x:c r="FK255" s="4"/>
      <x:c r="FL255" s="4"/>
      <x:c r="FM255" s="4"/>
      <x:c r="FN255" s="4"/>
      <x:c r="FO255" s="4"/>
      <x:c r="HE255" t="str">
        <x:f>IF('Calculations'!EM255="","",IF(IFERROR(IF(INDEX(INDIRECT("'WCM Calibration Final'!$A$1:$A$2000"),'Calculations'!$EM255)="","",TRIM(INDEX(INDIRECT("'WCM Calibration Final'!$A$1:$A$2000"),'Calculations'!$EM255)&amp;"")),"")&lt;&gt;"","G:"&amp;IFERROR(TEXT(1*INDEX(INDIRECT("'WCM Calibration Final'!$A$1:$A$2000"),'Calculations'!$EM255),"0"),UPPER(IFERROR(IF(INDEX(INDIRECT("'WCM Calibration Final'!$A$1:$A$2000"),'Calculations'!$EM255)="","",TRIM(INDEX(INDIRECT("'WCM Calibration Final'!$A$1:$A$2000"),'Calculations'!$EM255)&amp;"")),""))),IF(IFERROR(IF(INDEX(INDIRECT("'WCM Calibration Final'!$C$1:$C$2000"),'Calculations'!$EM255)="","",TRIM(INDEX(INDIRECT("'WCM Calibration Final'!$C$1:$C$2000"),'Calculations'!$EM255)&amp;"")),"")&lt;&gt;"","S:"&amp;UPPER(IFERROR(IF(INDEX(INDIRECT("'WCM Calibration Final'!$C$1:$C$2000"),'Calculations'!$EM255)="","",TRIM(INDEX(INDIRECT("'WCM Calibration Final'!$C$1:$C$2000"),'Calculations'!$EM255)&amp;"")),"")),"R:"&amp;'Calculations'!EM255)))</x:f>
      </x:c>
      <x:c r="HF255" t="str">
        <x:f>IF('Calculations'!EM255="","",IF(IFERROR(IF(INDEX(INDIRECT("'WCM Calibration Final'!$D$1:$D$2000"),'Calculations'!$EM255)="","",TRIM(INDEX(INDIRECT("'WCM Calibration Final'!$D$1:$D$2000"),'Calculations'!$EM255)&amp;"")),"")&lt;&gt;"","G:"&amp;IFERROR(TEXT(1*INDEX(INDIRECT("'WCM Calibration Final'!$D$1:$D$2000"),'Calculations'!$EM255),"0"),UPPER(IFERROR(IF(INDEX(INDIRECT("'WCM Calibration Final'!$D$1:$D$2000"),'Calculations'!$EM255)="","",TRIM(INDEX(INDIRECT("'WCM Calibration Final'!$D$1:$D$2000"),'Calculations'!$EM255)&amp;"")),""))),IF(IFERROR(IF(INDEX(INDIRECT("'WCM Calibration Final'!$E$1:$E$2000"),'Calculations'!$EM255)="","",TRIM(INDEX(INDIRECT("'WCM Calibration Final'!$E$1:$E$2000"),'Calculations'!$EM255)&amp;"")),"")="","",IF(COUNTIF('Calculations'!$HG$13:$HG$512,"="&amp;SUBSTITUTE(SUBSTITUTE(SUBSTITUTE(IFERROR(IF(INDEX(INDIRECT("'WCM Calibration Final'!$E$1:$E$2000"),'Calculations'!$EM255)="","",TRIM(INDEX(INDIRECT("'WCM Calibration Final'!$E$1:$E$2000"),'Calculations'!$EM255)&amp;"")),""),"~","~~"),"*","~*"),"?","~?"))=1,INDEX('Calculations'!$HE$13:$HE$512,MATCH(IFERROR(IF(INDEX(INDIRECT("'WCM Calibration Final'!$E$1:$E$2000"),'Calculations'!$EM255)="","",TRIM(INDEX(INDIRECT("'WCM Calibration Final'!$E$1:$E$2000"),'Calculations'!$EM255)&amp;"")),""),'Calculations'!$HG$13:$HG$512,0)),IF(COUNTIF('Calculations'!$HG$13:$HG$512,"="&amp;SUBSTITUTE(SUBSTITUTE(SUBSTITUTE(IFERROR(IF(INDEX(INDIRECT("'WCM Calibration Final'!$E$1:$E$2000"),'Calculations'!$EM255)="","",TRIM(INDEX(INDIRECT("'WCM Calibration Final'!$E$1:$E$2000"),'Calculations'!$EM255)&amp;"")),""),"~","~~"),"*","~*"),"?","~?"))&gt;1,"!AMBIG","X:"&amp;IFERROR(IF(INDEX(INDIRECT("'WCM Calibration Final'!$E$1:$E$2000"),'Calculations'!$EM255)="","",TRIM(INDEX(INDIRECT("'WCM Calibration Final'!$E$1:$E$2000"),'Calculations'!$EM255)&amp;"")),""))))))</x:f>
      </x:c>
      <x:c r="HG255" t="str">
        <x:f>IF('Calculations'!EM255="","",IFERROR(IF(INDEX(INDIRECT("'WCM Calibration Final'!$B$1:$B$2000"),'Calculations'!$EM255)="","",TRIM(INDEX(INDIRECT("'WCM Calibration Final'!$B$1:$B$2000"),'Calculations'!$EM255)&amp;"")),""))</x:f>
      </x:c>
      <x:c r="HH255" t="n">
        <x:f>IF(AND('Calculations'!JC255&gt;0,COUNTIF('Calculations'!$HF$12:HF255,"="&amp;SUBSTITUTE(SUBSTITUTE(SUBSTITUTE('Calculations'!HF255,"~","~~"),"*","~*"),"?","~?"))=1),MAX('Calculations'!$HH$12:HH254)+1,0)</x:f>
        <x:v>0</x:v>
      </x:c>
      <x:c r="HI255" t="n">
        <x:f>IF(AND('Calculations'!HN255&lt;&gt;"",COUNTIF('Calculations'!$HN$12:HN255,"="&amp;SUBSTITUTE(SUBSTITUTE(SUBSTITUTE('Calculations'!HN255,"~","~~"),"*","~*"),"?","~?"))=1),MAX('Calculations'!$HI$12:HI254)+1,0)</x:f>
        <x:v>0</x:v>
      </x:c>
      <x:c r="HJ255" t="str">
        <x:f>IF('Calculations'!HF255="","",IF(COUNTIF('Calculations'!$HE$13:$HE$512,"="&amp;SUBSTITUTE(SUBSTITUTE(SUBSTITUTE('Calculations'!HF255,"~","~~"),"*","~*"),"?","~?"))=1,INDEX('Calculations'!$HK$13:$HK$512,MATCH('Calculations'!HF255,'Calculations'!$HE$13:$HE$512,0)),IFERROR(IF(INDEX(INDIRECT("'WCM Calibration Final'!$E$1:$E$2000"),'Calculations'!$EM255)="","",TRIM(INDEX(INDIRECT("'WCM Calibration Final'!$E$1:$E$2000"),'Calculations'!$EM255)&amp;"")),"")&amp;" ["&amp;'Calculations'!HF255&amp;"]"))</x:f>
      </x:c>
      <x:c r="HK255" t="str">
        <x:f>IF('Calculations'!EM255="","",'Calculations'!HG255&amp;" ["&amp;'Calculations'!HE255&amp;"]")</x:f>
      </x:c>
      <x:c r="HL255" t="n">
        <x:f>IF('Calculations'!EM255="",0,IF(OR('Calculations'!II255&lt;&gt;"",COUNTIF('Calculations'!$HE$13:$HE$512,"="&amp;SUBSTITUTE(SUBSTITUTE(SUBSTITUTE('Calculations'!HE255,"~","~~"),"*","~*"),"?","~?"))&gt;1),1,0))</x:f>
        <x:v>0</x:v>
      </x:c>
      <x:c r="HM255" t="str">
        <x:f>IF('Calculations'!EM255="","",IF('Calculations'!HL255=1,"!UNRESOLVED",IF('Calculations'!IH255&lt;&gt;"",'Calculations'!IH255,IF('Calculations'!IG255&lt;&gt;"",'Calculations'!IG255,IF('Calculations'!IF255&lt;&gt;"",'Calculations'!IF255,IF('Calculations'!IE255&lt;&gt;"",'Calculations'!IE255,IF('Calculations'!ID255&lt;&gt;"",'Calculations'!ID255,IF('Calculations'!IC255&lt;&gt;"",'Calculations'!IC255,IF('Calculations'!IB255&lt;&gt;"",'Calculations'!IB255,IF('Calculations'!IA255&lt;&gt;"",'Calculations'!IA255,IF('Calculations'!HZ255&lt;&gt;"",'Calculations'!HZ255,IF('Calculations'!HY255&lt;&gt;"",'Calculations'!HY255,IF('Calculations'!HX255&lt;&gt;"",'Calculations'!HX255,IF('Calculations'!HW255&lt;&gt;"",'Calculations'!HW255,IF('Calculations'!HV255&lt;&gt;"",'Calculations'!HV255,IF('Calculations'!HU255&lt;&gt;"",'Calculations'!HU255,IF('Calculations'!HT255&lt;&gt;"",'Calculations'!HT255,IF('Calculations'!HS255&lt;&gt;"",'Calculations'!HS255,IF('Calculations'!HR255&lt;&gt;"",'Calculations'!HR255,IF('Calculations'!HQ255&lt;&gt;"",'Calculations'!HQ255,IF('Calculations'!HP255&lt;&gt;"",'Calculations'!HP255,IF('Calculations'!HO255&lt;&gt;"",'Calculations'!HO255,'Calculations'!HE255))))))))))))))))))))))</x:f>
      </x:c>
      <x:c r="HN255" t="str">
        <x:f>IF('Calculations'!EM255="","",IF(IFERROR(IF(INDEX(INDIRECT("'WCM Calibration Final'!$F$1:$F$2000"),'Calculations'!$EM255)="","",TRIM(INDEX(INDIRECT("'WCM Calibration Final'!$F$1:$F$2000"),'Calculations'!$EM255)&amp;"")),"")="","(Blank)",IFERROR(IF(INDEX(INDIRECT("'WCM Calibration Final'!$F$1:$F$2000"),'Calculations'!$EM255)="","",TRIM(INDEX(INDIRECT("'WCM Calibration Final'!$F$1:$F$2000"),'Calculations'!$EM255)&amp;"")),"")))</x:f>
      </x:c>
      <x:c r="HO255" t="str">
        <x:f>'Calculations'!HF255</x:f>
      </x:c>
      <x:c r="HP255" t="str">
        <x:f>IF('Calculations'!HO255="","",IF('Calculations'!HO255="!AMBIG","!AMBIG",IF(COUNTIF('Calculations'!$HE$13:$HE$512,"="&amp;SUBSTITUTE(SUBSTITUTE(SUBSTITUTE('Calculations'!HO255,"~","~~"),"*","~*"),"?","~?"))&gt;1,"!AMBIG",IFERROR(INDEX('Calculations'!$HF$13:$HF$512,MATCH('Calculations'!HO255,'Calculations'!$HE$13:$HE$512,0)),""))))</x:f>
      </x:c>
      <x:c r="HQ255" t="str">
        <x:f>IF('Calculations'!HP255="","",IF('Calculations'!HP255="!AMBIG","!AMBIG",IF(COUNTIF('Calculations'!$HE$13:$HE$512,"="&amp;SUBSTITUTE(SUBSTITUTE(SUBSTITUTE('Calculations'!HP255,"~","~~"),"*","~*"),"?","~?"))&gt;1,"!AMBIG",IFERROR(INDEX('Calculations'!$HF$13:$HF$512,MATCH('Calculations'!HP255,'Calculations'!$HE$13:$HE$512,0)),""))))</x:f>
      </x:c>
      <x:c r="HR255" t="str">
        <x:f>IF('Calculations'!HQ255="","",IF('Calculations'!HQ255="!AMBIG","!AMBIG",IF(COUNTIF('Calculations'!$HE$13:$HE$512,"="&amp;SUBSTITUTE(SUBSTITUTE(SUBSTITUTE('Calculations'!HQ255,"~","~~"),"*","~*"),"?","~?"))&gt;1,"!AMBIG",IFERROR(INDEX('Calculations'!$HF$13:$HF$512,MATCH('Calculations'!HQ255,'Calculations'!$HE$13:$HE$512,0)),""))))</x:f>
      </x:c>
      <x:c r="HS255" t="str">
        <x:f>IF('Calculations'!HR255="","",IF('Calculations'!HR255="!AMBIG","!AMBIG",IF(COUNTIF('Calculations'!$HE$13:$HE$512,"="&amp;SUBSTITUTE(SUBSTITUTE(SUBSTITUTE('Calculations'!HR255,"~","~~"),"*","~*"),"?","~?"))&gt;1,"!AMBIG",IFERROR(INDEX('Calculations'!$HF$13:$HF$512,MATCH('Calculations'!HR255,'Calculations'!$HE$13:$HE$512,0)),""))))</x:f>
      </x:c>
      <x:c r="HT255" t="str">
        <x:f>IF('Calculations'!HS255="","",IF('Calculations'!HS255="!AMBIG","!AMBIG",IF(COUNTIF('Calculations'!$HE$13:$HE$512,"="&amp;SUBSTITUTE(SUBSTITUTE(SUBSTITUTE('Calculations'!HS255,"~","~~"),"*","~*"),"?","~?"))&gt;1,"!AMBIG",IFERROR(INDEX('Calculations'!$HF$13:$HF$512,MATCH('Calculations'!HS255,'Calculations'!$HE$13:$HE$512,0)),""))))</x:f>
      </x:c>
      <x:c r="HU255" t="str">
        <x:f>IF('Calculations'!HT255="","",IF('Calculations'!HT255="!AMBIG","!AMBIG",IF(COUNTIF('Calculations'!$HE$13:$HE$512,"="&amp;SUBSTITUTE(SUBSTITUTE(SUBSTITUTE('Calculations'!HT255,"~","~~"),"*","~*"),"?","~?"))&gt;1,"!AMBIG",IFERROR(INDEX('Calculations'!$HF$13:$HF$512,MATCH('Calculations'!HT255,'Calculations'!$HE$13:$HE$512,0)),""))))</x:f>
      </x:c>
      <x:c r="HV255" t="str">
        <x:f>IF('Calculations'!HU255="","",IF('Calculations'!HU255="!AMBIG","!AMBIG",IF(COUNTIF('Calculations'!$HE$13:$HE$512,"="&amp;SUBSTITUTE(SUBSTITUTE(SUBSTITUTE('Calculations'!HU255,"~","~~"),"*","~*"),"?","~?"))&gt;1,"!AMBIG",IFERROR(INDEX('Calculations'!$HF$13:$HF$512,MATCH('Calculations'!HU255,'Calculations'!$HE$13:$HE$512,0)),""))))</x:f>
      </x:c>
      <x:c r="HW255" t="str">
        <x:f>IF('Calculations'!HV255="","",IF('Calculations'!HV255="!AMBIG","!AMBIG",IF(COUNTIF('Calculations'!$HE$13:$HE$512,"="&amp;SUBSTITUTE(SUBSTITUTE(SUBSTITUTE('Calculations'!HV255,"~","~~"),"*","~*"),"?","~?"))&gt;1,"!AMBIG",IFERROR(INDEX('Calculations'!$HF$13:$HF$512,MATCH('Calculations'!HV255,'Calculations'!$HE$13:$HE$512,0)),""))))</x:f>
      </x:c>
      <x:c r="HX255" t="str">
        <x:f>IF('Calculations'!HW255="","",IF('Calculations'!HW255="!AMBIG","!AMBIG",IF(COUNTIF('Calculations'!$HE$13:$HE$512,"="&amp;SUBSTITUTE(SUBSTITUTE(SUBSTITUTE('Calculations'!HW255,"~","~~"),"*","~*"),"?","~?"))&gt;1,"!AMBIG",IFERROR(INDEX('Calculations'!$HF$13:$HF$512,MATCH('Calculations'!HW255,'Calculations'!$HE$13:$HE$512,0)),""))))</x:f>
      </x:c>
      <x:c r="HY255" t="str">
        <x:f>IF('Calculations'!HX255="","",IF('Calculations'!HX255="!AMBIG","!AMBIG",IF(COUNTIF('Calculations'!$HE$13:$HE$512,"="&amp;SUBSTITUTE(SUBSTITUTE(SUBSTITUTE('Calculations'!HX255,"~","~~"),"*","~*"),"?","~?"))&gt;1,"!AMBIG",IFERROR(INDEX('Calculations'!$HF$13:$HF$512,MATCH('Calculations'!HX255,'Calculations'!$HE$13:$HE$512,0)),""))))</x:f>
      </x:c>
      <x:c r="HZ255" t="str">
        <x:f>IF('Calculations'!HY255="","",IF('Calculations'!HY255="!AMBIG","!AMBIG",IF(COUNTIF('Calculations'!$HE$13:$HE$512,"="&amp;SUBSTITUTE(SUBSTITUTE(SUBSTITUTE('Calculations'!HY255,"~","~~"),"*","~*"),"?","~?"))&gt;1,"!AMBIG",IFERROR(INDEX('Calculations'!$HF$13:$HF$512,MATCH('Calculations'!HY255,'Calculations'!$HE$13:$HE$512,0)),""))))</x:f>
      </x:c>
      <x:c r="IA255" t="str">
        <x:f>IF('Calculations'!HZ255="","",IF('Calculations'!HZ255="!AMBIG","!AMBIG",IF(COUNTIF('Calculations'!$HE$13:$HE$512,"="&amp;SUBSTITUTE(SUBSTITUTE(SUBSTITUTE('Calculations'!HZ255,"~","~~"),"*","~*"),"?","~?"))&gt;1,"!AMBIG",IFERROR(INDEX('Calculations'!$HF$13:$HF$512,MATCH('Calculations'!HZ255,'Calculations'!$HE$13:$HE$512,0)),""))))</x:f>
      </x:c>
      <x:c r="IB255" t="str">
        <x:f>IF('Calculations'!IA255="","",IF('Calculations'!IA255="!AMBIG","!AMBIG",IF(COUNTIF('Calculations'!$HE$13:$HE$512,"="&amp;SUBSTITUTE(SUBSTITUTE(SUBSTITUTE('Calculations'!IA255,"~","~~"),"*","~*"),"?","~?"))&gt;1,"!AMBIG",IFERROR(INDEX('Calculations'!$HF$13:$HF$512,MATCH('Calculations'!IA255,'Calculations'!$HE$13:$HE$512,0)),""))))</x:f>
      </x:c>
      <x:c r="IC255" t="str">
        <x:f>IF('Calculations'!IB255="","",IF('Calculations'!IB255="!AMBIG","!AMBIG",IF(COUNTIF('Calculations'!$HE$13:$HE$512,"="&amp;SUBSTITUTE(SUBSTITUTE(SUBSTITUTE('Calculations'!IB255,"~","~~"),"*","~*"),"?","~?"))&gt;1,"!AMBIG",IFERROR(INDEX('Calculations'!$HF$13:$HF$512,MATCH('Calculations'!IB255,'Calculations'!$HE$13:$HE$512,0)),""))))</x:f>
      </x:c>
      <x:c r="ID255" t="str">
        <x:f>IF('Calculations'!IC255="","",IF('Calculations'!IC255="!AMBIG","!AMBIG",IF(COUNTIF('Calculations'!$HE$13:$HE$512,"="&amp;SUBSTITUTE(SUBSTITUTE(SUBSTITUTE('Calculations'!IC255,"~","~~"),"*","~*"),"?","~?"))&gt;1,"!AMBIG",IFERROR(INDEX('Calculations'!$HF$13:$HF$512,MATCH('Calculations'!IC255,'Calculations'!$HE$13:$HE$512,0)),""))))</x:f>
      </x:c>
      <x:c r="IE255" t="str">
        <x:f>IF('Calculations'!ID255="","",IF('Calculations'!ID255="!AMBIG","!AMBIG",IF(COUNTIF('Calculations'!$HE$13:$HE$512,"="&amp;SUBSTITUTE(SUBSTITUTE(SUBSTITUTE('Calculations'!ID255,"~","~~"),"*","~*"),"?","~?"))&gt;1,"!AMBIG",IFERROR(INDEX('Calculations'!$HF$13:$HF$512,MATCH('Calculations'!ID255,'Calculations'!$HE$13:$HE$512,0)),""))))</x:f>
      </x:c>
      <x:c r="IF255" t="str">
        <x:f>IF('Calculations'!IE255="","",IF('Calculations'!IE255="!AMBIG","!AMBIG",IF(COUNTIF('Calculations'!$HE$13:$HE$512,"="&amp;SUBSTITUTE(SUBSTITUTE(SUBSTITUTE('Calculations'!IE255,"~","~~"),"*","~*"),"?","~?"))&gt;1,"!AMBIG",IFERROR(INDEX('Calculations'!$HF$13:$HF$512,MATCH('Calculations'!IE255,'Calculations'!$HE$13:$HE$512,0)),""))))</x:f>
      </x:c>
      <x:c r="IG255" t="str">
        <x:f>IF('Calculations'!IF255="","",IF('Calculations'!IF255="!AMBIG","!AMBIG",IF(COUNTIF('Calculations'!$HE$13:$HE$512,"="&amp;SUBSTITUTE(SUBSTITUTE(SUBSTITUTE('Calculations'!IF255,"~","~~"),"*","~*"),"?","~?"))&gt;1,"!AMBIG",IFERROR(INDEX('Calculations'!$HF$13:$HF$512,MATCH('Calculations'!IF255,'Calculations'!$HE$13:$HE$512,0)),""))))</x:f>
      </x:c>
      <x:c r="IH255" t="str">
        <x:f>IF('Calculations'!IG255="","",IF('Calculations'!IG255="!AMBIG","!AMBIG",IF(COUNTIF('Calculations'!$HE$13:$HE$512,"="&amp;SUBSTITUTE(SUBSTITUTE(SUBSTITUTE('Calculations'!IG255,"~","~~"),"*","~*"),"?","~?"))&gt;1,"!AMBIG",IFERROR(INDEX('Calculations'!$HF$13:$HF$512,MATCH('Calculations'!IG255,'Calculations'!$HE$13:$HE$512,0)),""))))</x:f>
      </x:c>
      <x:c r="II255" t="str">
        <x:f>IF('Calculations'!IH255="","",IF('Calculations'!IH255="!AMBIG","!AMBIG",IF(COUNTIF('Calculations'!$HE$13:$HE$512,"="&amp;SUBSTITUTE(SUBSTITUTE(SUBSTITUTE('Calculations'!IH255,"~","~~"),"*","~*"),"?","~?"))&gt;1,"!AMBIG",IFERROR(INDEX('Calculations'!$HF$13:$HF$512,MATCH('Calculations'!IH255,'Calculations'!$HE$13:$HE$512,0)),""))))</x:f>
      </x:c>
      <x:c r="IJ255" t="str">
        <x:f>IF('Calculations'!EM255="","",IF('Calculations'!$EF$2="All",'Calculations'!HM255,IF('Calculations'!HL255=1,"",IFERROR(IF(MATCH('Calculations'!$EF$2,'Calculations'!HO255:II255,0)=1,'Calculations'!HE255,INDEX('Calculations'!HO255:II255,1,MATCH('Calculations'!$EF$2,'Calculations'!HO255:II255,0)-1)),""))))</x:f>
      </x:c>
      <x:c r="IK255" t="n">
        <x:f>IF(AND('Calculations'!EM255&lt;&gt;"",'Calculations'!$EF$2&lt;&gt;"All",'Calculations'!HF255='Calculations'!$EF$2,'Calculations'!HL255=0,'Calculations'!JD255&gt;0),MAX('Calculations'!$IK$12:IK254)+1,0)</x:f>
        <x:v>0</x:v>
      </x:c>
      <x:c r="JA255" t="n">
        <x:f>IF(OR(IFERROR(INDIRECT("'WCM Calibration Final'!$A$255")&lt;&gt;"",FALSE),IFERROR(INDIRECT("'WCM Calibration Final'!$B$255")&lt;&gt;"",FALSE),IFERROR(INDIRECT("'WCM Calibration Final'!$C$255")&lt;&gt;"",FALSE)),255,0)</x:f>
        <x:v>0</x:v>
      </x:c>
      <x:c r="JB255" t="n">
        <x:f>'Calculations'!JB254+IF('Calculations'!JA255&gt;0,1,0)</x:f>
        <x:v>0</x:v>
      </x:c>
      <x:c r="JC255" t="n">
        <x:f>IF(OR('Calculations'!HF255="",'Calculations'!HF255="!AMBIG"),0,IF('Dashboard'!$B$7="All",1,COUNTIFS('Calculations'!$HO$13:$HO$512,"="&amp;SUBSTITUTE(SUBSTITUTE(SUBSTITUTE('Calculations'!HF255,"~","~~"),"*","~*"),"?","~?"),'Calculations'!$HN$13:$HN$512,"="&amp;SUBSTITUTE(SUBSTITUTE(SUBSTITUTE('Dashboard'!$B$7,"~","~~"),"*","~*"),"?","~?"))+COUNTIFS('Calculations'!$HP$13:$HP$512,"="&amp;SUBSTITUTE(SUBSTITUTE(SUBSTITUTE('Calculations'!HF255,"~","~~"),"*","~*"),"?","~?"),'Calculations'!$HN$13:$HN$512,"="&amp;SUBSTITUTE(SUBSTITUTE(SUBSTITUTE('Dashboard'!$B$7,"~","~~"),"*","~*"),"?","~?"))+COUNTIFS('Calculations'!$HQ$13:$HQ$512,"="&amp;SUBSTITUTE(SUBSTITUTE(SUBSTITUTE('Calculations'!HF255,"~","~~"),"*","~*"),"?","~?"),'Calculations'!$HN$13:$HN$512,"="&amp;SUBSTITUTE(SUBSTITUTE(SUBSTITUTE('Dashboard'!$B$7,"~","~~"),"*","~*"),"?","~?"))+COUNTIFS('Calculations'!$HR$13:$HR$512,"="&amp;SUBSTITUTE(SUBSTITUTE(SUBSTITUTE('Calculations'!HF255,"~","~~"),"*","~*"),"?","~?"),'Calculations'!$HN$13:$HN$512,"="&amp;SUBSTITUTE(SUBSTITUTE(SUBSTITUTE('Dashboard'!$B$7,"~","~~"),"*","~*"),"?","~?"))+COUNTIFS('Calculations'!$HS$13:$HS$512,"="&amp;SUBSTITUTE(SUBSTITUTE(SUBSTITUTE('Calculations'!HF255,"~","~~"),"*","~*"),"?","~?"),'Calculations'!$HN$13:$HN$512,"="&amp;SUBSTITUTE(SUBSTITUTE(SUBSTITUTE('Dashboard'!$B$7,"~","~~"),"*","~*"),"?","~?"))+COUNTIFS('Calculations'!$HT$13:$HT$512,"="&amp;SUBSTITUTE(SUBSTITUTE(SUBSTITUTE('Calculations'!HF255,"~","~~"),"*","~*"),"?","~?"),'Calculations'!$HN$13:$HN$512,"="&amp;SUBSTITUTE(SUBSTITUTE(SUBSTITUTE('Dashboard'!$B$7,"~","~~"),"*","~*"),"?","~?"))+COUNTIFS('Calculations'!$HU$13:$HU$512,"="&amp;SUBSTITUTE(SUBSTITUTE(SUBSTITUTE('Calculations'!HF255,"~","~~"),"*","~*"),"?","~?"),'Calculations'!$HN$13:$HN$512,"="&amp;SUBSTITUTE(SUBSTITUTE(SUBSTITUTE('Dashboard'!$B$7,"~","~~"),"*","~*"),"?","~?"))+COUNTIFS('Calculations'!$HV$13:$HV$512,"="&amp;SUBSTITUTE(SUBSTITUTE(SUBSTITUTE('Calculations'!HF255,"~","~~"),"*","~*"),"?","~?"),'Calculations'!$HN$13:$HN$512,"="&amp;SUBSTITUTE(SUBSTITUTE(SUBSTITUTE('Dashboard'!$B$7,"~","~~"),"*","~*"),"?","~?"))+COUNTIFS('Calculations'!$HW$13:$HW$512,"="&amp;SUBSTITUTE(SUBSTITUTE(SUBSTITUTE('Calculations'!HF255,"~","~~"),"*","~*"),"?","~?"),'Calculations'!$HN$13:$HN$512,"="&amp;SUBSTITUTE(SUBSTITUTE(SUBSTITUTE('Dashboard'!$B$7,"~","~~"),"*","~*"),"?","~?"))+COUNTIFS('Calculations'!$HX$13:$HX$512,"="&amp;SUBSTITUTE(SUBSTITUTE(SUBSTITUTE('Calculations'!HF255,"~","~~"),"*","~*"),"?","~?"),'Calculations'!$HN$13:$HN$512,"="&amp;SUBSTITUTE(SUBSTITUTE(SUBSTITUTE('Dashboard'!$B$7,"~","~~"),"*","~*"),"?","~?"))+COUNTIFS('Calculations'!$HY$13:$HY$512,"="&amp;SUBSTITUTE(SUBSTITUTE(SUBSTITUTE('Calculations'!HF255,"~","~~"),"*","~*"),"?","~?"),'Calculations'!$HN$13:$HN$512,"="&amp;SUBSTITUTE(SUBSTITUTE(SUBSTITUTE('Dashboard'!$B$7,"~","~~"),"*","~*"),"?","~?"))+COUNTIFS('Calculations'!$HZ$13:$HZ$512,"="&amp;SUBSTITUTE(SUBSTITUTE(SUBSTITUTE('Calculations'!HF255,"~","~~"),"*","~*"),"?","~?"),'Calculations'!$HN$13:$HN$512,"="&amp;SUBSTITUTE(SUBSTITUTE(SUBSTITUTE('Dashboard'!$B$7,"~","~~"),"*","~*"),"?","~?"))+COUNTIFS('Calculations'!$IA$13:$IA$512,"="&amp;SUBSTITUTE(SUBSTITUTE(SUBSTITUTE('Calculations'!HF255,"~","~~"),"*","~*"),"?","~?"),'Calculations'!$HN$13:$HN$512,"="&amp;SUBSTITUTE(SUBSTITUTE(SUBSTITUTE('Dashboard'!$B$7,"~","~~"),"*","~*"),"?","~?"))+COUNTIFS('Calculations'!$IB$13:$IB$512,"="&amp;SUBSTITUTE(SUBSTITUTE(SUBSTITUTE('Calculations'!HF255,"~","~~"),"*","~*"),"?","~?"),'Calculations'!$HN$13:$HN$512,"="&amp;SUBSTITUTE(SUBSTITUTE(SUBSTITUTE('Dashboard'!$B$7,"~","~~"),"*","~*"),"?","~?"))+COUNTIFS('Calculations'!$IC$13:$IC$512,"="&amp;SUBSTITUTE(SUBSTITUTE(SUBSTITUTE('Calculations'!HF255,"~","~~"),"*","~*"),"?","~?"),'Calculations'!$HN$13:$HN$512,"="&amp;SUBSTITUTE(SUBSTITUTE(SUBSTITUTE('Dashboard'!$B$7,"~","~~"),"*","~*"),"?","~?"))+COUNTIFS('Calculations'!$ID$13:$ID$512,"="&amp;SUBSTITUTE(SUBSTITUTE(SUBSTITUTE('Calculations'!HF255,"~","~~"),"*","~*"),"?","~?"),'Calculations'!$HN$13:$HN$512,"="&amp;SUBSTITUTE(SUBSTITUTE(SUBSTITUTE('Dashboard'!$B$7,"~","~~"),"*","~*"),"?","~?"))+COUNTIFS('Calculations'!$IE$13:$IE$512,"="&amp;SUBSTITUTE(SUBSTITUTE(SUBSTITUTE('Calculations'!HF255,"~","~~"),"*","~*"),"?","~?"),'Calculations'!$HN$13:$HN$512,"="&amp;SUBSTITUTE(SUBSTITUTE(SUBSTITUTE('Dashboard'!$B$7,"~","~~"),"*","~*"),"?","~?"))+COUNTIFS('Calculations'!$IF$13:$IF$512,"="&amp;SUBSTITUTE(SUBSTITUTE(SUBSTITUTE('Calculations'!HF255,"~","~~"),"*","~*"),"?","~?"),'Calculations'!$HN$13:$HN$512,"="&amp;SUBSTITUTE(SUBSTITUTE(SUBSTITUTE('Dashboard'!$B$7,"~","~~"),"*","~*"),"?","~?"))+COUNTIFS('Calculations'!$IG$13:$IG$512,"="&amp;SUBSTITUTE(SUBSTITUTE(SUBSTITUTE('Calculations'!HF255,"~","~~"),"*","~*"),"?","~?"),'Calculations'!$HN$13:$HN$512,"="&amp;SUBSTITUTE(SUBSTITUTE(SUBSTITUTE('Dashboard'!$B$7,"~","~~"),"*","~*"),"?","~?"))+COUNTIFS('Calculations'!$IH$13:$IH$512,"="&amp;SUBSTITUTE(SUBSTITUTE(SUBSTITUTE('Calculations'!HF255,"~","~~"),"*","~*"),"?","~?"),'Calculations'!$HN$13:$HN$512,"="&amp;SUBSTITUTE(SUBSTITUTE(SUBSTITUTE('Dashboard'!$B$7,"~","~~"),"*","~*"),"?","~?"))))</x:f>
        <x:v>0</x:v>
      </x:c>
      <x:c r="JD255" t="n">
        <x:f>IF('Calculations'!EM255="",0,IF('Dashboard'!$B$7="All",1,IF('Calculations'!HN255='Dashboard'!$B$7,1,0)+IFERROR(INDEX('Calculations'!$JC$13:$JC$512,MATCH('Calculations'!HE255,'Calculations'!$HF$13:$HF$512,0)),0)))</x:f>
        <x:v>0</x:v>
      </x:c>
      <x:c r="JE255" t="n">
        <x:f>IF(AND('Calculations'!EM255&lt;&gt;"",'Calculations'!$JJ$2&lt;&gt;"All",'Calculations'!$JJ$2&lt;&gt;"",'Calculations'!HF255='Calculations'!$JJ$2,'Calculations'!HL255=0,'Calculations'!JD255&gt;0),MAX('Calculations'!$JE$12:JE254)+1,0)</x:f>
        <x:v>0</x:v>
      </x:c>
      <x:c r="JF255" t="str">
        <x:f>IF('Calculations'!EM255="","",IFERROR(IF(INDEX(INDIRECT("'WCM Calibration Final'!$G$1:$G$2000"),'Calculations'!$EM255)="","",TRIM(INDEX(INDIRECT("'WCM Calibration Final'!$G$1:$G$2000"),'Calculations'!$EM255)&amp;"")),""))</x:f>
      </x:c>
      <x:c r="JQ255" t="n">
        <x:f>IF(OR('Calculations'!BM255=0,NOT('Calculations'!$AG$2),'Calculations'!$AG$8&gt;0),0,IF(OR('Dashboard'!$B$7="All",'Calculations'!HN255='Dashboard'!$B$7),IF('Calculations'!$JJ$2="All",1,IF(AND('Calculations'!HF255='Calculations'!$JJ$2,'Calculations'!HL255=0),1,0)),0))</x:f>
        <x:v>0</x:v>
      </x:c>
    </x:row>
    <x:row r="256">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t="n">
        <x:f>IF('Calculations'!$EM256="",0,IF(OR(IFERROR(INDEX(INDIRECT("'WCM Calibration Final'!$A$1:$A$2000"),'Calculations'!$EM256)&lt;&gt;"",FALSE),IFERROR(INDEX(INDIRECT("'WCM Calibration Final'!$B$1:$B$2000"),'Calculations'!$EM256)&lt;&gt;"",FALSE),IFERROR(INDEX(INDIRECT("'WCM Calibration Final'!$C$1:$C$2000"),'Calculations'!$EM256)&lt;&gt;"",FALSE)),1,0))</x:f>
        <x:v>0</x:v>
      </x:c>
      <x:c r="BN256" s="4" t="n">
        <x:f>IF(AND('Calculations'!BM256=1,'Calculations'!$AG$2,'Calculations'!$EN256=1),1,0)</x:f>
        <x:v>0</x:v>
      </x:c>
      <x:c r="BO256" s="4" t="str">
        <x:f>IF('Calculations'!BM256=0,"",IFERROR(IF(AND(VALUE(INDEX(INDIRECT("'WCM Calibration Final'!$K$1:$K$2000"),'Calculations'!$EM256))&gt;=1,VALUE(INDEX(INDIRECT("'WCM Calibration Final'!$K$1:$K$2000"),'Calculations'!$EM256))&lt;=4,MOD(VALUE(INDEX(INDIRECT("'WCM Calibration Final'!$K$1:$K$2000"),'Calculations'!$EM256)),1)=0),VALUE(INDEX(INDIRECT("'WCM Calibration Final'!$K$1:$K$2000"),'Calculations'!$EM256)),""),""))</x:f>
      </x:c>
      <x:c r="BP256" s="4" t="str">
        <x:f>IF('Calculations'!BM256=0,"",IFERROR(IF(AND(VALUE(INDEX(INDIRECT("'WCM Calibration Final'!$L$1:$L$2000"),'Calculations'!$EM256))&gt;=1,VALUE(INDEX(INDIRECT("'WCM Calibration Final'!$L$1:$L$2000"),'Calculations'!$EM256))&lt;=4,MOD(VALUE(INDEX(INDIRECT("'WCM Calibration Final'!$L$1:$L$2000"),'Calculations'!$EM256)),1)=0),VALUE(INDEX(INDIRECT("'WCM Calibration Final'!$L$1:$L$2000"),'Calculations'!$EM256)),""),""))</x:f>
      </x:c>
      <x:c r="BQ256" s="4"/>
      <x:c r="BR256" s="4"/>
      <x:c r="BS256" s="4"/>
      <x:c r="BT256" s="4" t="n">
        <x:f>IF(AND('Calculations'!BM256=1,ISNUMBER('Calculations'!BO256),ISNUMBER('Calculations'!BP256)),1,0)</x:f>
        <x:v>0</x:v>
      </x:c>
      <x:c r="BU256" s="4" t="str">
        <x:f>IF('Calculations'!BM256=0,"",'Calculations'!$EO256)</x:f>
      </x:c>
      <x:c r="BV256" s="4" t="str">
        <x:f>IF('Calculations'!BM256=0,"",IFERROR(IF(OR(INDEX(INDIRECT("'WCM Calibration Final'!$H$1:$H$2000"),'Calculations'!$EM256)="MANAGING DIRECTOR",INDEX(INDIRECT("'WCM Calibration Final'!$H$1:$H$2000"),'Calculations'!$EM256)="DIRECTOR",INDEX(INDIRECT("'WCM Calibration Final'!$H$1:$H$2000"),'Calculations'!$EM256)="SENIOR VICE PRESIDENT",INDEX(INDIRECT("'WCM Calibration Final'!$H$1:$H$2000"),'Calculations'!$EM256)="VICE PRESIDENT",INDEX(INDIRECT("'WCM Calibration Final'!$H$1:$H$2000"),'Calculations'!$EM256)="ASSISTANT VICE PRESIDENT",INDEX(INDIRECT("'WCM Calibration Final'!$H$1:$H$2000"),'Calculations'!$EM256)="OFFICER"),UPPER(INDEX(INDIRECT("'WCM Calibration Final'!$H$1:$H$2000"),'Calculations'!$EM256)),"Other"),"Other"))</x:f>
      </x:c>
      <x:c r="BW256" s="4"/>
      <x:c r="BX256" s="4"/>
      <x:c r="BY256" s="4" t="n">
        <x:f>IF(AND('Calculations'!BM256=1,'Calculations'!BU256&lt;&gt;"",COUNTIF('Calculations'!$BU$12:BU256,'Calculations'!BU256)=1),MAX('Calculations'!$BY$11:BY255)+1,0)</x:f>
        <x:v>0</x:v>
      </x:c>
      <x:c r="BZ256" s="4" t="str">
        <x:f>IF('Dashboard'!$E$67="What",'Calculations'!BO256,'Calculations'!BP256)</x:f>
      </x:c>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t="str">
        <x:f>IF(245&gt;MAX('Calculations'!$HI$13:$HI$512),"",INDEX('Calculations'!$HN$13:$HN$512,MATCH(245,'Calculations'!$HI$13:$HI$512,0)))</x:f>
      </x:c>
      <x:c r="DB256" s="4" t="str">
        <x:f>IF(245&gt;MAX('Calculations'!$HH$13:$HH$512),"",INDEX('Calculations'!$HJ$13:$HJ$512,MATCH(245,'Calculations'!$HH$13:$HH$512,0)))</x:f>
      </x:c>
      <x:c r="DC256" s="4" t="str">
        <x:f>IF(ROW()-11&gt;MAX('Calculations'!$BY$13:$BY$512),"",INDEX('Calculations'!$BU$13:$BU$512,MATCH(ROW()-11,'Calculations'!$BY$13:$BY$512,0)))</x:f>
      </x:c>
      <x:c r="DD256" s="4" t="str">
        <x:f>IF(245&gt;MAX('Calculations'!$IK$13:$IK$512),"",INDEX('Calculations'!$HK$13:$HK$512,MATCH(245,'Calculations'!$IK$13:$IK$512,0)))</x:f>
      </x:c>
      <x:c r="DE256" s="4" t="str">
        <x:f>'Calculations'!DC256</x:f>
      </x:c>
      <x:c r="DF256" s="4" t="str">
        <x:f>IF('Calculations'!DE256="","",COUNTIFS('Calculations'!$BN$13:$BN$512,1,'Calculations'!$BU$13:$BU$512,'Calculations'!DE256))</x:f>
      </x:c>
      <x:c r="DG256" s="4" t="str">
        <x:f>IF('Calculations'!DE256="","",COUNTIFS('Calculations'!$BN$13:$BN$512,1,'Calculations'!$BU$13:$BU$512,'Calculations'!DE256,'Calculations'!$BT$13:$BT$512,1))</x:f>
      </x:c>
      <x:c r="DH256" s="4" t="str">
        <x:f>IF('Calculations'!DE256="","",'Calculations'!DF256-'Calculations'!DG256)</x:f>
      </x:c>
      <x:c r="DI256" s="4" t="str">
        <x:f>IF(OR('Calculations'!DE256="",'Calculations'!DF256=0),"",'Calculations'!DG256/'Calculations'!DF256)</x:f>
      </x:c>
      <x:c r="DJ256" s="4" t="str">
        <x:f>IF('Calculations'!DE256="","",COUNTIFS('Calculations'!$BN$13:$BN$512,1,'Calculations'!$BU$13:$BU$512,'Calculations'!DE256,'Calculations'!$BT$13:$BT$512,1,'Calculations'!$EE$13:$EE$512,"High"))</x:f>
      </x:c>
      <x:c r="DK256" s="4" t="str">
        <x:f>IF('Calculations'!DE256="","",COUNTIFS('Calculations'!$BN$13:$BN$512,1,'Calculations'!$BU$13:$BU$512,'Calculations'!DE256,'Calculations'!$BT$13:$BT$512,1,'Calculations'!$EE$13:$EE$512,"Strong"))</x:f>
      </x:c>
      <x:c r="DL256" s="4" t="str">
        <x:f>IF('Calculations'!DE256="","",COUNTIFS('Calculations'!$BN$13:$BN$512,1,'Calculations'!$BU$13:$BU$512,'Calculations'!DE256,'Calculations'!$BT$13:$BT$512,1,'Calculations'!$EE$13:$EE$512,"Solid"))</x:f>
      </x:c>
      <x:c r="DM256" s="4" t="str">
        <x:f>IF('Calculations'!DE256="","",COUNTIFS('Calculations'!$BN$13:$BN$512,1,'Calculations'!$BU$13:$BU$512,'Calculations'!DE256,'Calculations'!$BT$13:$BT$512,1,'Calculations'!$EE$13:$EE$512,"Low"))</x:f>
      </x:c>
      <x:c r="DN256" s="4" t="str">
        <x:f>IF('Calculations'!DE256="","",COUNTIFS('Calculations'!$BN$13:$BN$512,1,'Calculations'!$BU$13:$BU$512,'Calculations'!DE256,'Calculations'!$EP$13:$EP$512,1))</x:f>
      </x:c>
      <x:c r="DO256" s="4" t="str">
        <x:f>IF(OR('Calculations'!DE256="",'Calculations'!DG256=0),"",('Calculations'!DJ256+'Calculations'!DK256)/'Calculations'!DG256)</x:f>
      </x:c>
      <x:c r="DP256" s="4" t="n">
        <x:f>IF(AND('Calculations'!DE256&lt;&gt;"",'Calculations'!DF256&gt;0),COUNTIF('Calculations'!$DF$12:DF256,"&gt;0"),0)</x:f>
        <x:v>0</x:v>
      </x:c>
      <x:c r="DQ256" s="4" t="str">
        <x:f>IF(245&gt;MAX('Calculations'!$HH$13:$HH$512),"",INDEX('Calculations'!$HF$13:$HF$512,MATCH(245,'Calculations'!$HH$13:$HH$512,0)))</x:f>
      </x:c>
      <x:c r="DR256" s="4" t="str">
        <x:f>IF(245&gt;MAX('Calculations'!$IK$13:$IK$512),"",INDEX('Calculations'!$HE$13:$HE$512,MATCH(245,'Calculations'!$IK$13:$IK$512,0)))</x:f>
      </x:c>
      <x:c r="DS256" s="4"/>
      <x:c r="DT256" s="4"/>
      <x:c r="DU256" s="4"/>
      <x:c r="DV256" s="4"/>
      <x:c r="DW256" s="4"/>
      <x:c r="DX256" s="4"/>
      <x:c r="DY256" s="4"/>
      <x:c r="DZ256" s="4"/>
      <x:c r="EA256" s="4"/>
      <x:c r="EB256" s="4"/>
      <x:c r="EC256" s="4"/>
      <x:c r="ED256" s="4"/>
      <x:c r="EE256" s="4" t="str">
        <x:f>IF('Calculations'!BT256=0,"Not Rated",IF(OR('Calculations'!BO256&gt;=4,'Calculations'!BP256&gt;=4),"Low",IF('Calculations'!BO256+'Calculations'!BP256&lt;=3,"High",IF('Calculations'!BO256+'Calculations'!BP256&lt;=4,"Strong","Solid"))))</x:f>
        <x:v>Not Rated</x:v>
      </x:c>
      <x:c r="EF256" s="4"/>
      <x:c r="EG256" s="4"/>
      <x:c r="EH256" s="4"/>
      <x:c r="EI256" s="4"/>
      <x:c r="EJ256" s="4"/>
      <x:c r="EK256" s="4"/>
      <x:c r="EL256" s="4"/>
      <x:c r="EM256" s="4" t="str">
        <x:f>IF(244&gt;'Calculations'!$JB$2000,"",INDEX('Calculations'!$JA$12:$JA$2000,MATCH(244,'Calculations'!$JB$12:$JB$2000,0)))</x:f>
      </x:c>
      <x:c r="EN256" s="4" t="n">
        <x:f>IF(OR('Calculations'!EM256="",'Calculations'!$AG$8&gt;0,AND('Calculations'!$EF$2&lt;&gt;"All",'Calculations'!HE256='Calculations'!$EF$2),AND('Calculations'!$EF$3&lt;&gt;"All",'Calculations'!HE256='Calculations'!$EF$3)),0,IF(OR('Dashboard'!$B$7="All",'Calculations'!HN256='Dashboard'!$B$7),IF('Calculations'!$EF$2="All",1,IF('Calculations'!HL256&gt;0,0,IF(COUNTIF('Calculations'!HO256:II256,"="&amp;SUBSTITUTE(SUBSTITUTE(SUBSTITUTE('Calculations'!$EF$2,"~","~~"),"*","~*"),"?","~?"))=0,0,IF('Calculations'!$EF$3="All",1,IF(COUNTIF('Calculations'!HO256:II256,"="&amp;SUBSTITUTE(SUBSTITUTE(SUBSTITUTE('Calculations'!$EF$3,"~","~~"),"*","~*"),"?","~?"))&gt;0,1,0))))),0))</x:f>
        <x:v>0</x:v>
      </x:c>
      <x:c r="EO256" s="4" t="str">
        <x:f>IF('Calculations'!IJ256="","",IF('Calculations'!IJ256="!UNRESOLVED","Unresolved hierarchy",IFERROR(INDEX('Calculations'!$HK$13:$HK$512,MATCH('Calculations'!IJ256,'Calculations'!$HE$13:$HE$512,0)),IFERROR(INDEX('Calculations'!$HJ$13:$HJ$512,MATCH('Calculations'!IJ256,'Calculations'!$HF$13:$HF$512,0)),'Calculations'!IJ256))))</x:f>
      </x:c>
      <x:c r="EP256" s="4" t="n">
        <x:f>IF(AND('Calculations'!EM256&lt;&gt;"",'Calculations'!HF256='Calculations'!IJ256),1,0)</x:f>
        <x:v>0</x:v>
      </x:c>
      <x:c r="EQ256" s="4"/>
      <x:c r="ER256" s="4"/>
      <x:c r="ES256" s="4"/>
      <x:c r="ET256" s="4"/>
      <x:c r="EU256" s="4"/>
      <x:c r="EV256" s="4"/>
      <x:c r="EW256" s="4"/>
      <x:c r="EX256" s="4"/>
      <x:c r="EY256" s="4"/>
      <x:c r="EZ256" s="4"/>
      <x:c r="FA256" s="4"/>
      <x:c r="FB256" s="4"/>
      <x:c r="FC256" s="4"/>
      <x:c r="FD256" s="4"/>
      <x:c r="FE256" s="4"/>
      <x:c r="FF256" s="4"/>
      <x:c r="FG256" s="4"/>
      <x:c r="FH256" s="4"/>
      <x:c r="FI256" s="4"/>
      <x:c r="FJ256" s="4"/>
      <x:c r="FK256" s="4"/>
      <x:c r="FL256" s="4"/>
      <x:c r="FM256" s="4"/>
      <x:c r="FN256" s="4"/>
      <x:c r="FO256" s="4"/>
      <x:c r="HE256" t="str">
        <x:f>IF('Calculations'!EM256="","",IF(IFERROR(IF(INDEX(INDIRECT("'WCM Calibration Final'!$A$1:$A$2000"),'Calculations'!$EM256)="","",TRIM(INDEX(INDIRECT("'WCM Calibration Final'!$A$1:$A$2000"),'Calculations'!$EM256)&amp;"")),"")&lt;&gt;"","G:"&amp;IFERROR(TEXT(1*INDEX(INDIRECT("'WCM Calibration Final'!$A$1:$A$2000"),'Calculations'!$EM256),"0"),UPPER(IFERROR(IF(INDEX(INDIRECT("'WCM Calibration Final'!$A$1:$A$2000"),'Calculations'!$EM256)="","",TRIM(INDEX(INDIRECT("'WCM Calibration Final'!$A$1:$A$2000"),'Calculations'!$EM256)&amp;"")),""))),IF(IFERROR(IF(INDEX(INDIRECT("'WCM Calibration Final'!$C$1:$C$2000"),'Calculations'!$EM256)="","",TRIM(INDEX(INDIRECT("'WCM Calibration Final'!$C$1:$C$2000"),'Calculations'!$EM256)&amp;"")),"")&lt;&gt;"","S:"&amp;UPPER(IFERROR(IF(INDEX(INDIRECT("'WCM Calibration Final'!$C$1:$C$2000"),'Calculations'!$EM256)="","",TRIM(INDEX(INDIRECT("'WCM Calibration Final'!$C$1:$C$2000"),'Calculations'!$EM256)&amp;"")),"")),"R:"&amp;'Calculations'!EM256)))</x:f>
      </x:c>
      <x:c r="HF256" t="str">
        <x:f>IF('Calculations'!EM256="","",IF(IFERROR(IF(INDEX(INDIRECT("'WCM Calibration Final'!$D$1:$D$2000"),'Calculations'!$EM256)="","",TRIM(INDEX(INDIRECT("'WCM Calibration Final'!$D$1:$D$2000"),'Calculations'!$EM256)&amp;"")),"")&lt;&gt;"","G:"&amp;IFERROR(TEXT(1*INDEX(INDIRECT("'WCM Calibration Final'!$D$1:$D$2000"),'Calculations'!$EM256),"0"),UPPER(IFERROR(IF(INDEX(INDIRECT("'WCM Calibration Final'!$D$1:$D$2000"),'Calculations'!$EM256)="","",TRIM(INDEX(INDIRECT("'WCM Calibration Final'!$D$1:$D$2000"),'Calculations'!$EM256)&amp;"")),""))),IF(IFERROR(IF(INDEX(INDIRECT("'WCM Calibration Final'!$E$1:$E$2000"),'Calculations'!$EM256)="","",TRIM(INDEX(INDIRECT("'WCM Calibration Final'!$E$1:$E$2000"),'Calculations'!$EM256)&amp;"")),"")="","",IF(COUNTIF('Calculations'!$HG$13:$HG$512,"="&amp;SUBSTITUTE(SUBSTITUTE(SUBSTITUTE(IFERROR(IF(INDEX(INDIRECT("'WCM Calibration Final'!$E$1:$E$2000"),'Calculations'!$EM256)="","",TRIM(INDEX(INDIRECT("'WCM Calibration Final'!$E$1:$E$2000"),'Calculations'!$EM256)&amp;"")),""),"~","~~"),"*","~*"),"?","~?"))=1,INDEX('Calculations'!$HE$13:$HE$512,MATCH(IFERROR(IF(INDEX(INDIRECT("'WCM Calibration Final'!$E$1:$E$2000"),'Calculations'!$EM256)="","",TRIM(INDEX(INDIRECT("'WCM Calibration Final'!$E$1:$E$2000"),'Calculations'!$EM256)&amp;"")),""),'Calculations'!$HG$13:$HG$512,0)),IF(COUNTIF('Calculations'!$HG$13:$HG$512,"="&amp;SUBSTITUTE(SUBSTITUTE(SUBSTITUTE(IFERROR(IF(INDEX(INDIRECT("'WCM Calibration Final'!$E$1:$E$2000"),'Calculations'!$EM256)="","",TRIM(INDEX(INDIRECT("'WCM Calibration Final'!$E$1:$E$2000"),'Calculations'!$EM256)&amp;"")),""),"~","~~"),"*","~*"),"?","~?"))&gt;1,"!AMBIG","X:"&amp;IFERROR(IF(INDEX(INDIRECT("'WCM Calibration Final'!$E$1:$E$2000"),'Calculations'!$EM256)="","",TRIM(INDEX(INDIRECT("'WCM Calibration Final'!$E$1:$E$2000"),'Calculations'!$EM256)&amp;"")),""))))))</x:f>
      </x:c>
      <x:c r="HG256" t="str">
        <x:f>IF('Calculations'!EM256="","",IFERROR(IF(INDEX(INDIRECT("'WCM Calibration Final'!$B$1:$B$2000"),'Calculations'!$EM256)="","",TRIM(INDEX(INDIRECT("'WCM Calibration Final'!$B$1:$B$2000"),'Calculations'!$EM256)&amp;"")),""))</x:f>
      </x:c>
      <x:c r="HH256" t="n">
        <x:f>IF(AND('Calculations'!JC256&gt;0,COUNTIF('Calculations'!$HF$12:HF256,"="&amp;SUBSTITUTE(SUBSTITUTE(SUBSTITUTE('Calculations'!HF256,"~","~~"),"*","~*"),"?","~?"))=1),MAX('Calculations'!$HH$12:HH255)+1,0)</x:f>
        <x:v>0</x:v>
      </x:c>
      <x:c r="HI256" t="n">
        <x:f>IF(AND('Calculations'!HN256&lt;&gt;"",COUNTIF('Calculations'!$HN$12:HN256,"="&amp;SUBSTITUTE(SUBSTITUTE(SUBSTITUTE('Calculations'!HN256,"~","~~"),"*","~*"),"?","~?"))=1),MAX('Calculations'!$HI$12:HI255)+1,0)</x:f>
        <x:v>0</x:v>
      </x:c>
      <x:c r="HJ256" t="str">
        <x:f>IF('Calculations'!HF256="","",IF(COUNTIF('Calculations'!$HE$13:$HE$512,"="&amp;SUBSTITUTE(SUBSTITUTE(SUBSTITUTE('Calculations'!HF256,"~","~~"),"*","~*"),"?","~?"))=1,INDEX('Calculations'!$HK$13:$HK$512,MATCH('Calculations'!HF256,'Calculations'!$HE$13:$HE$512,0)),IFERROR(IF(INDEX(INDIRECT("'WCM Calibration Final'!$E$1:$E$2000"),'Calculations'!$EM256)="","",TRIM(INDEX(INDIRECT("'WCM Calibration Final'!$E$1:$E$2000"),'Calculations'!$EM256)&amp;"")),"")&amp;" ["&amp;'Calculations'!HF256&amp;"]"))</x:f>
      </x:c>
      <x:c r="HK256" t="str">
        <x:f>IF('Calculations'!EM256="","",'Calculations'!HG256&amp;" ["&amp;'Calculations'!HE256&amp;"]")</x:f>
      </x:c>
      <x:c r="HL256" t="n">
        <x:f>IF('Calculations'!EM256="",0,IF(OR('Calculations'!II256&lt;&gt;"",COUNTIF('Calculations'!$HE$13:$HE$512,"="&amp;SUBSTITUTE(SUBSTITUTE(SUBSTITUTE('Calculations'!HE256,"~","~~"),"*","~*"),"?","~?"))&gt;1),1,0))</x:f>
        <x:v>0</x:v>
      </x:c>
      <x:c r="HM256" t="str">
        <x:f>IF('Calculations'!EM256="","",IF('Calculations'!HL256=1,"!UNRESOLVED",IF('Calculations'!IH256&lt;&gt;"",'Calculations'!IH256,IF('Calculations'!IG256&lt;&gt;"",'Calculations'!IG256,IF('Calculations'!IF256&lt;&gt;"",'Calculations'!IF256,IF('Calculations'!IE256&lt;&gt;"",'Calculations'!IE256,IF('Calculations'!ID256&lt;&gt;"",'Calculations'!ID256,IF('Calculations'!IC256&lt;&gt;"",'Calculations'!IC256,IF('Calculations'!IB256&lt;&gt;"",'Calculations'!IB256,IF('Calculations'!IA256&lt;&gt;"",'Calculations'!IA256,IF('Calculations'!HZ256&lt;&gt;"",'Calculations'!HZ256,IF('Calculations'!HY256&lt;&gt;"",'Calculations'!HY256,IF('Calculations'!HX256&lt;&gt;"",'Calculations'!HX256,IF('Calculations'!HW256&lt;&gt;"",'Calculations'!HW256,IF('Calculations'!HV256&lt;&gt;"",'Calculations'!HV256,IF('Calculations'!HU256&lt;&gt;"",'Calculations'!HU256,IF('Calculations'!HT256&lt;&gt;"",'Calculations'!HT256,IF('Calculations'!HS256&lt;&gt;"",'Calculations'!HS256,IF('Calculations'!HR256&lt;&gt;"",'Calculations'!HR256,IF('Calculations'!HQ256&lt;&gt;"",'Calculations'!HQ256,IF('Calculations'!HP256&lt;&gt;"",'Calculations'!HP256,IF('Calculations'!HO256&lt;&gt;"",'Calculations'!HO256,'Calculations'!HE256))))))))))))))))))))))</x:f>
      </x:c>
      <x:c r="HN256" t="str">
        <x:f>IF('Calculations'!EM256="","",IF(IFERROR(IF(INDEX(INDIRECT("'WCM Calibration Final'!$F$1:$F$2000"),'Calculations'!$EM256)="","",TRIM(INDEX(INDIRECT("'WCM Calibration Final'!$F$1:$F$2000"),'Calculations'!$EM256)&amp;"")),"")="","(Blank)",IFERROR(IF(INDEX(INDIRECT("'WCM Calibration Final'!$F$1:$F$2000"),'Calculations'!$EM256)="","",TRIM(INDEX(INDIRECT("'WCM Calibration Final'!$F$1:$F$2000"),'Calculations'!$EM256)&amp;"")),"")))</x:f>
      </x:c>
      <x:c r="HO256" t="str">
        <x:f>'Calculations'!HF256</x:f>
      </x:c>
      <x:c r="HP256" t="str">
        <x:f>IF('Calculations'!HO256="","",IF('Calculations'!HO256="!AMBIG","!AMBIG",IF(COUNTIF('Calculations'!$HE$13:$HE$512,"="&amp;SUBSTITUTE(SUBSTITUTE(SUBSTITUTE('Calculations'!HO256,"~","~~"),"*","~*"),"?","~?"))&gt;1,"!AMBIG",IFERROR(INDEX('Calculations'!$HF$13:$HF$512,MATCH('Calculations'!HO256,'Calculations'!$HE$13:$HE$512,0)),""))))</x:f>
      </x:c>
      <x:c r="HQ256" t="str">
        <x:f>IF('Calculations'!HP256="","",IF('Calculations'!HP256="!AMBIG","!AMBIG",IF(COUNTIF('Calculations'!$HE$13:$HE$512,"="&amp;SUBSTITUTE(SUBSTITUTE(SUBSTITUTE('Calculations'!HP256,"~","~~"),"*","~*"),"?","~?"))&gt;1,"!AMBIG",IFERROR(INDEX('Calculations'!$HF$13:$HF$512,MATCH('Calculations'!HP256,'Calculations'!$HE$13:$HE$512,0)),""))))</x:f>
      </x:c>
      <x:c r="HR256" t="str">
        <x:f>IF('Calculations'!HQ256="","",IF('Calculations'!HQ256="!AMBIG","!AMBIG",IF(COUNTIF('Calculations'!$HE$13:$HE$512,"="&amp;SUBSTITUTE(SUBSTITUTE(SUBSTITUTE('Calculations'!HQ256,"~","~~"),"*","~*"),"?","~?"))&gt;1,"!AMBIG",IFERROR(INDEX('Calculations'!$HF$13:$HF$512,MATCH('Calculations'!HQ256,'Calculations'!$HE$13:$HE$512,0)),""))))</x:f>
      </x:c>
      <x:c r="HS256" t="str">
        <x:f>IF('Calculations'!HR256="","",IF('Calculations'!HR256="!AMBIG","!AMBIG",IF(COUNTIF('Calculations'!$HE$13:$HE$512,"="&amp;SUBSTITUTE(SUBSTITUTE(SUBSTITUTE('Calculations'!HR256,"~","~~"),"*","~*"),"?","~?"))&gt;1,"!AMBIG",IFERROR(INDEX('Calculations'!$HF$13:$HF$512,MATCH('Calculations'!HR256,'Calculations'!$HE$13:$HE$512,0)),""))))</x:f>
      </x:c>
      <x:c r="HT256" t="str">
        <x:f>IF('Calculations'!HS256="","",IF('Calculations'!HS256="!AMBIG","!AMBIG",IF(COUNTIF('Calculations'!$HE$13:$HE$512,"="&amp;SUBSTITUTE(SUBSTITUTE(SUBSTITUTE('Calculations'!HS256,"~","~~"),"*","~*"),"?","~?"))&gt;1,"!AMBIG",IFERROR(INDEX('Calculations'!$HF$13:$HF$512,MATCH('Calculations'!HS256,'Calculations'!$HE$13:$HE$512,0)),""))))</x:f>
      </x:c>
      <x:c r="HU256" t="str">
        <x:f>IF('Calculations'!HT256="","",IF('Calculations'!HT256="!AMBIG","!AMBIG",IF(COUNTIF('Calculations'!$HE$13:$HE$512,"="&amp;SUBSTITUTE(SUBSTITUTE(SUBSTITUTE('Calculations'!HT256,"~","~~"),"*","~*"),"?","~?"))&gt;1,"!AMBIG",IFERROR(INDEX('Calculations'!$HF$13:$HF$512,MATCH('Calculations'!HT256,'Calculations'!$HE$13:$HE$512,0)),""))))</x:f>
      </x:c>
      <x:c r="HV256" t="str">
        <x:f>IF('Calculations'!HU256="","",IF('Calculations'!HU256="!AMBIG","!AMBIG",IF(COUNTIF('Calculations'!$HE$13:$HE$512,"="&amp;SUBSTITUTE(SUBSTITUTE(SUBSTITUTE('Calculations'!HU256,"~","~~"),"*","~*"),"?","~?"))&gt;1,"!AMBIG",IFERROR(INDEX('Calculations'!$HF$13:$HF$512,MATCH('Calculations'!HU256,'Calculations'!$HE$13:$HE$512,0)),""))))</x:f>
      </x:c>
      <x:c r="HW256" t="str">
        <x:f>IF('Calculations'!HV256="","",IF('Calculations'!HV256="!AMBIG","!AMBIG",IF(COUNTIF('Calculations'!$HE$13:$HE$512,"="&amp;SUBSTITUTE(SUBSTITUTE(SUBSTITUTE('Calculations'!HV256,"~","~~"),"*","~*"),"?","~?"))&gt;1,"!AMBIG",IFERROR(INDEX('Calculations'!$HF$13:$HF$512,MATCH('Calculations'!HV256,'Calculations'!$HE$13:$HE$512,0)),""))))</x:f>
      </x:c>
      <x:c r="HX256" t="str">
        <x:f>IF('Calculations'!HW256="","",IF('Calculations'!HW256="!AMBIG","!AMBIG",IF(COUNTIF('Calculations'!$HE$13:$HE$512,"="&amp;SUBSTITUTE(SUBSTITUTE(SUBSTITUTE('Calculations'!HW256,"~","~~"),"*","~*"),"?","~?"))&gt;1,"!AMBIG",IFERROR(INDEX('Calculations'!$HF$13:$HF$512,MATCH('Calculations'!HW256,'Calculations'!$HE$13:$HE$512,0)),""))))</x:f>
      </x:c>
      <x:c r="HY256" t="str">
        <x:f>IF('Calculations'!HX256="","",IF('Calculations'!HX256="!AMBIG","!AMBIG",IF(COUNTIF('Calculations'!$HE$13:$HE$512,"="&amp;SUBSTITUTE(SUBSTITUTE(SUBSTITUTE('Calculations'!HX256,"~","~~"),"*","~*"),"?","~?"))&gt;1,"!AMBIG",IFERROR(INDEX('Calculations'!$HF$13:$HF$512,MATCH('Calculations'!HX256,'Calculations'!$HE$13:$HE$512,0)),""))))</x:f>
      </x:c>
      <x:c r="HZ256" t="str">
        <x:f>IF('Calculations'!HY256="","",IF('Calculations'!HY256="!AMBIG","!AMBIG",IF(COUNTIF('Calculations'!$HE$13:$HE$512,"="&amp;SUBSTITUTE(SUBSTITUTE(SUBSTITUTE('Calculations'!HY256,"~","~~"),"*","~*"),"?","~?"))&gt;1,"!AMBIG",IFERROR(INDEX('Calculations'!$HF$13:$HF$512,MATCH('Calculations'!HY256,'Calculations'!$HE$13:$HE$512,0)),""))))</x:f>
      </x:c>
      <x:c r="IA256" t="str">
        <x:f>IF('Calculations'!HZ256="","",IF('Calculations'!HZ256="!AMBIG","!AMBIG",IF(COUNTIF('Calculations'!$HE$13:$HE$512,"="&amp;SUBSTITUTE(SUBSTITUTE(SUBSTITUTE('Calculations'!HZ256,"~","~~"),"*","~*"),"?","~?"))&gt;1,"!AMBIG",IFERROR(INDEX('Calculations'!$HF$13:$HF$512,MATCH('Calculations'!HZ256,'Calculations'!$HE$13:$HE$512,0)),""))))</x:f>
      </x:c>
      <x:c r="IB256" t="str">
        <x:f>IF('Calculations'!IA256="","",IF('Calculations'!IA256="!AMBIG","!AMBIG",IF(COUNTIF('Calculations'!$HE$13:$HE$512,"="&amp;SUBSTITUTE(SUBSTITUTE(SUBSTITUTE('Calculations'!IA256,"~","~~"),"*","~*"),"?","~?"))&gt;1,"!AMBIG",IFERROR(INDEX('Calculations'!$HF$13:$HF$512,MATCH('Calculations'!IA256,'Calculations'!$HE$13:$HE$512,0)),""))))</x:f>
      </x:c>
      <x:c r="IC256" t="str">
        <x:f>IF('Calculations'!IB256="","",IF('Calculations'!IB256="!AMBIG","!AMBIG",IF(COUNTIF('Calculations'!$HE$13:$HE$512,"="&amp;SUBSTITUTE(SUBSTITUTE(SUBSTITUTE('Calculations'!IB256,"~","~~"),"*","~*"),"?","~?"))&gt;1,"!AMBIG",IFERROR(INDEX('Calculations'!$HF$13:$HF$512,MATCH('Calculations'!IB256,'Calculations'!$HE$13:$HE$512,0)),""))))</x:f>
      </x:c>
      <x:c r="ID256" t="str">
        <x:f>IF('Calculations'!IC256="","",IF('Calculations'!IC256="!AMBIG","!AMBIG",IF(COUNTIF('Calculations'!$HE$13:$HE$512,"="&amp;SUBSTITUTE(SUBSTITUTE(SUBSTITUTE('Calculations'!IC256,"~","~~"),"*","~*"),"?","~?"))&gt;1,"!AMBIG",IFERROR(INDEX('Calculations'!$HF$13:$HF$512,MATCH('Calculations'!IC256,'Calculations'!$HE$13:$HE$512,0)),""))))</x:f>
      </x:c>
      <x:c r="IE256" t="str">
        <x:f>IF('Calculations'!ID256="","",IF('Calculations'!ID256="!AMBIG","!AMBIG",IF(COUNTIF('Calculations'!$HE$13:$HE$512,"="&amp;SUBSTITUTE(SUBSTITUTE(SUBSTITUTE('Calculations'!ID256,"~","~~"),"*","~*"),"?","~?"))&gt;1,"!AMBIG",IFERROR(INDEX('Calculations'!$HF$13:$HF$512,MATCH('Calculations'!ID256,'Calculations'!$HE$13:$HE$512,0)),""))))</x:f>
      </x:c>
      <x:c r="IF256" t="str">
        <x:f>IF('Calculations'!IE256="","",IF('Calculations'!IE256="!AMBIG","!AMBIG",IF(COUNTIF('Calculations'!$HE$13:$HE$512,"="&amp;SUBSTITUTE(SUBSTITUTE(SUBSTITUTE('Calculations'!IE256,"~","~~"),"*","~*"),"?","~?"))&gt;1,"!AMBIG",IFERROR(INDEX('Calculations'!$HF$13:$HF$512,MATCH('Calculations'!IE256,'Calculations'!$HE$13:$HE$512,0)),""))))</x:f>
      </x:c>
      <x:c r="IG256" t="str">
        <x:f>IF('Calculations'!IF256="","",IF('Calculations'!IF256="!AMBIG","!AMBIG",IF(COUNTIF('Calculations'!$HE$13:$HE$512,"="&amp;SUBSTITUTE(SUBSTITUTE(SUBSTITUTE('Calculations'!IF256,"~","~~"),"*","~*"),"?","~?"))&gt;1,"!AMBIG",IFERROR(INDEX('Calculations'!$HF$13:$HF$512,MATCH('Calculations'!IF256,'Calculations'!$HE$13:$HE$512,0)),""))))</x:f>
      </x:c>
      <x:c r="IH256" t="str">
        <x:f>IF('Calculations'!IG256="","",IF('Calculations'!IG256="!AMBIG","!AMBIG",IF(COUNTIF('Calculations'!$HE$13:$HE$512,"="&amp;SUBSTITUTE(SUBSTITUTE(SUBSTITUTE('Calculations'!IG256,"~","~~"),"*","~*"),"?","~?"))&gt;1,"!AMBIG",IFERROR(INDEX('Calculations'!$HF$13:$HF$512,MATCH('Calculations'!IG256,'Calculations'!$HE$13:$HE$512,0)),""))))</x:f>
      </x:c>
      <x:c r="II256" t="str">
        <x:f>IF('Calculations'!IH256="","",IF('Calculations'!IH256="!AMBIG","!AMBIG",IF(COUNTIF('Calculations'!$HE$13:$HE$512,"="&amp;SUBSTITUTE(SUBSTITUTE(SUBSTITUTE('Calculations'!IH256,"~","~~"),"*","~*"),"?","~?"))&gt;1,"!AMBIG",IFERROR(INDEX('Calculations'!$HF$13:$HF$512,MATCH('Calculations'!IH256,'Calculations'!$HE$13:$HE$512,0)),""))))</x:f>
      </x:c>
      <x:c r="IJ256" t="str">
        <x:f>IF('Calculations'!EM256="","",IF('Calculations'!$EF$2="All",'Calculations'!HM256,IF('Calculations'!HL256=1,"",IFERROR(IF(MATCH('Calculations'!$EF$2,'Calculations'!HO256:II256,0)=1,'Calculations'!HE256,INDEX('Calculations'!HO256:II256,1,MATCH('Calculations'!$EF$2,'Calculations'!HO256:II256,0)-1)),""))))</x:f>
      </x:c>
      <x:c r="IK256" t="n">
        <x:f>IF(AND('Calculations'!EM256&lt;&gt;"",'Calculations'!$EF$2&lt;&gt;"All",'Calculations'!HF256='Calculations'!$EF$2,'Calculations'!HL256=0,'Calculations'!JD256&gt;0),MAX('Calculations'!$IK$12:IK255)+1,0)</x:f>
        <x:v>0</x:v>
      </x:c>
      <x:c r="JA256" t="n">
        <x:f>IF(OR(IFERROR(INDIRECT("'WCM Calibration Final'!$A$256")&lt;&gt;"",FALSE),IFERROR(INDIRECT("'WCM Calibration Final'!$B$256")&lt;&gt;"",FALSE),IFERROR(INDIRECT("'WCM Calibration Final'!$C$256")&lt;&gt;"",FALSE)),256,0)</x:f>
        <x:v>0</x:v>
      </x:c>
      <x:c r="JB256" t="n">
        <x:f>'Calculations'!JB255+IF('Calculations'!JA256&gt;0,1,0)</x:f>
        <x:v>0</x:v>
      </x:c>
      <x:c r="JC256" t="n">
        <x:f>IF(OR('Calculations'!HF256="",'Calculations'!HF256="!AMBIG"),0,IF('Dashboard'!$B$7="All",1,COUNTIFS('Calculations'!$HO$13:$HO$512,"="&amp;SUBSTITUTE(SUBSTITUTE(SUBSTITUTE('Calculations'!HF256,"~","~~"),"*","~*"),"?","~?"),'Calculations'!$HN$13:$HN$512,"="&amp;SUBSTITUTE(SUBSTITUTE(SUBSTITUTE('Dashboard'!$B$7,"~","~~"),"*","~*"),"?","~?"))+COUNTIFS('Calculations'!$HP$13:$HP$512,"="&amp;SUBSTITUTE(SUBSTITUTE(SUBSTITUTE('Calculations'!HF256,"~","~~"),"*","~*"),"?","~?"),'Calculations'!$HN$13:$HN$512,"="&amp;SUBSTITUTE(SUBSTITUTE(SUBSTITUTE('Dashboard'!$B$7,"~","~~"),"*","~*"),"?","~?"))+COUNTIFS('Calculations'!$HQ$13:$HQ$512,"="&amp;SUBSTITUTE(SUBSTITUTE(SUBSTITUTE('Calculations'!HF256,"~","~~"),"*","~*"),"?","~?"),'Calculations'!$HN$13:$HN$512,"="&amp;SUBSTITUTE(SUBSTITUTE(SUBSTITUTE('Dashboard'!$B$7,"~","~~"),"*","~*"),"?","~?"))+COUNTIFS('Calculations'!$HR$13:$HR$512,"="&amp;SUBSTITUTE(SUBSTITUTE(SUBSTITUTE('Calculations'!HF256,"~","~~"),"*","~*"),"?","~?"),'Calculations'!$HN$13:$HN$512,"="&amp;SUBSTITUTE(SUBSTITUTE(SUBSTITUTE('Dashboard'!$B$7,"~","~~"),"*","~*"),"?","~?"))+COUNTIFS('Calculations'!$HS$13:$HS$512,"="&amp;SUBSTITUTE(SUBSTITUTE(SUBSTITUTE('Calculations'!HF256,"~","~~"),"*","~*"),"?","~?"),'Calculations'!$HN$13:$HN$512,"="&amp;SUBSTITUTE(SUBSTITUTE(SUBSTITUTE('Dashboard'!$B$7,"~","~~"),"*","~*"),"?","~?"))+COUNTIFS('Calculations'!$HT$13:$HT$512,"="&amp;SUBSTITUTE(SUBSTITUTE(SUBSTITUTE('Calculations'!HF256,"~","~~"),"*","~*"),"?","~?"),'Calculations'!$HN$13:$HN$512,"="&amp;SUBSTITUTE(SUBSTITUTE(SUBSTITUTE('Dashboard'!$B$7,"~","~~"),"*","~*"),"?","~?"))+COUNTIFS('Calculations'!$HU$13:$HU$512,"="&amp;SUBSTITUTE(SUBSTITUTE(SUBSTITUTE('Calculations'!HF256,"~","~~"),"*","~*"),"?","~?"),'Calculations'!$HN$13:$HN$512,"="&amp;SUBSTITUTE(SUBSTITUTE(SUBSTITUTE('Dashboard'!$B$7,"~","~~"),"*","~*"),"?","~?"))+COUNTIFS('Calculations'!$HV$13:$HV$512,"="&amp;SUBSTITUTE(SUBSTITUTE(SUBSTITUTE('Calculations'!HF256,"~","~~"),"*","~*"),"?","~?"),'Calculations'!$HN$13:$HN$512,"="&amp;SUBSTITUTE(SUBSTITUTE(SUBSTITUTE('Dashboard'!$B$7,"~","~~"),"*","~*"),"?","~?"))+COUNTIFS('Calculations'!$HW$13:$HW$512,"="&amp;SUBSTITUTE(SUBSTITUTE(SUBSTITUTE('Calculations'!HF256,"~","~~"),"*","~*"),"?","~?"),'Calculations'!$HN$13:$HN$512,"="&amp;SUBSTITUTE(SUBSTITUTE(SUBSTITUTE('Dashboard'!$B$7,"~","~~"),"*","~*"),"?","~?"))+COUNTIFS('Calculations'!$HX$13:$HX$512,"="&amp;SUBSTITUTE(SUBSTITUTE(SUBSTITUTE('Calculations'!HF256,"~","~~"),"*","~*"),"?","~?"),'Calculations'!$HN$13:$HN$512,"="&amp;SUBSTITUTE(SUBSTITUTE(SUBSTITUTE('Dashboard'!$B$7,"~","~~"),"*","~*"),"?","~?"))+COUNTIFS('Calculations'!$HY$13:$HY$512,"="&amp;SUBSTITUTE(SUBSTITUTE(SUBSTITUTE('Calculations'!HF256,"~","~~"),"*","~*"),"?","~?"),'Calculations'!$HN$13:$HN$512,"="&amp;SUBSTITUTE(SUBSTITUTE(SUBSTITUTE('Dashboard'!$B$7,"~","~~"),"*","~*"),"?","~?"))+COUNTIFS('Calculations'!$HZ$13:$HZ$512,"="&amp;SUBSTITUTE(SUBSTITUTE(SUBSTITUTE('Calculations'!HF256,"~","~~"),"*","~*"),"?","~?"),'Calculations'!$HN$13:$HN$512,"="&amp;SUBSTITUTE(SUBSTITUTE(SUBSTITUTE('Dashboard'!$B$7,"~","~~"),"*","~*"),"?","~?"))+COUNTIFS('Calculations'!$IA$13:$IA$512,"="&amp;SUBSTITUTE(SUBSTITUTE(SUBSTITUTE('Calculations'!HF256,"~","~~"),"*","~*"),"?","~?"),'Calculations'!$HN$13:$HN$512,"="&amp;SUBSTITUTE(SUBSTITUTE(SUBSTITUTE('Dashboard'!$B$7,"~","~~"),"*","~*"),"?","~?"))+COUNTIFS('Calculations'!$IB$13:$IB$512,"="&amp;SUBSTITUTE(SUBSTITUTE(SUBSTITUTE('Calculations'!HF256,"~","~~"),"*","~*"),"?","~?"),'Calculations'!$HN$13:$HN$512,"="&amp;SUBSTITUTE(SUBSTITUTE(SUBSTITUTE('Dashboard'!$B$7,"~","~~"),"*","~*"),"?","~?"))+COUNTIFS('Calculations'!$IC$13:$IC$512,"="&amp;SUBSTITUTE(SUBSTITUTE(SUBSTITUTE('Calculations'!HF256,"~","~~"),"*","~*"),"?","~?"),'Calculations'!$HN$13:$HN$512,"="&amp;SUBSTITUTE(SUBSTITUTE(SUBSTITUTE('Dashboard'!$B$7,"~","~~"),"*","~*"),"?","~?"))+COUNTIFS('Calculations'!$ID$13:$ID$512,"="&amp;SUBSTITUTE(SUBSTITUTE(SUBSTITUTE('Calculations'!HF256,"~","~~"),"*","~*"),"?","~?"),'Calculations'!$HN$13:$HN$512,"="&amp;SUBSTITUTE(SUBSTITUTE(SUBSTITUTE('Dashboard'!$B$7,"~","~~"),"*","~*"),"?","~?"))+COUNTIFS('Calculations'!$IE$13:$IE$512,"="&amp;SUBSTITUTE(SUBSTITUTE(SUBSTITUTE('Calculations'!HF256,"~","~~"),"*","~*"),"?","~?"),'Calculations'!$HN$13:$HN$512,"="&amp;SUBSTITUTE(SUBSTITUTE(SUBSTITUTE('Dashboard'!$B$7,"~","~~"),"*","~*"),"?","~?"))+COUNTIFS('Calculations'!$IF$13:$IF$512,"="&amp;SUBSTITUTE(SUBSTITUTE(SUBSTITUTE('Calculations'!HF256,"~","~~"),"*","~*"),"?","~?"),'Calculations'!$HN$13:$HN$512,"="&amp;SUBSTITUTE(SUBSTITUTE(SUBSTITUTE('Dashboard'!$B$7,"~","~~"),"*","~*"),"?","~?"))+COUNTIFS('Calculations'!$IG$13:$IG$512,"="&amp;SUBSTITUTE(SUBSTITUTE(SUBSTITUTE('Calculations'!HF256,"~","~~"),"*","~*"),"?","~?"),'Calculations'!$HN$13:$HN$512,"="&amp;SUBSTITUTE(SUBSTITUTE(SUBSTITUTE('Dashboard'!$B$7,"~","~~"),"*","~*"),"?","~?"))+COUNTIFS('Calculations'!$IH$13:$IH$512,"="&amp;SUBSTITUTE(SUBSTITUTE(SUBSTITUTE('Calculations'!HF256,"~","~~"),"*","~*"),"?","~?"),'Calculations'!$HN$13:$HN$512,"="&amp;SUBSTITUTE(SUBSTITUTE(SUBSTITUTE('Dashboard'!$B$7,"~","~~"),"*","~*"),"?","~?"))))</x:f>
        <x:v>0</x:v>
      </x:c>
      <x:c r="JD256" t="n">
        <x:f>IF('Calculations'!EM256="",0,IF('Dashboard'!$B$7="All",1,IF('Calculations'!HN256='Dashboard'!$B$7,1,0)+IFERROR(INDEX('Calculations'!$JC$13:$JC$512,MATCH('Calculations'!HE256,'Calculations'!$HF$13:$HF$512,0)),0)))</x:f>
        <x:v>0</x:v>
      </x:c>
      <x:c r="JE256" t="n">
        <x:f>IF(AND('Calculations'!EM256&lt;&gt;"",'Calculations'!$JJ$2&lt;&gt;"All",'Calculations'!$JJ$2&lt;&gt;"",'Calculations'!HF256='Calculations'!$JJ$2,'Calculations'!HL256=0,'Calculations'!JD256&gt;0),MAX('Calculations'!$JE$12:JE255)+1,0)</x:f>
        <x:v>0</x:v>
      </x:c>
      <x:c r="JF256" t="str">
        <x:f>IF('Calculations'!EM256="","",IFERROR(IF(INDEX(INDIRECT("'WCM Calibration Final'!$G$1:$G$2000"),'Calculations'!$EM256)="","",TRIM(INDEX(INDIRECT("'WCM Calibration Final'!$G$1:$G$2000"),'Calculations'!$EM256)&amp;"")),""))</x:f>
      </x:c>
      <x:c r="JQ256" t="n">
        <x:f>IF(OR('Calculations'!BM256=0,NOT('Calculations'!$AG$2),'Calculations'!$AG$8&gt;0),0,IF(OR('Dashboard'!$B$7="All",'Calculations'!HN256='Dashboard'!$B$7),IF('Calculations'!$JJ$2="All",1,IF(AND('Calculations'!HF256='Calculations'!$JJ$2,'Calculations'!HL256=0),1,0)),0))</x:f>
        <x:v>0</x:v>
      </x:c>
    </x:row>
    <x:row r="257">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t="n">
        <x:f>IF('Calculations'!$EM257="",0,IF(OR(IFERROR(INDEX(INDIRECT("'WCM Calibration Final'!$A$1:$A$2000"),'Calculations'!$EM257)&lt;&gt;"",FALSE),IFERROR(INDEX(INDIRECT("'WCM Calibration Final'!$B$1:$B$2000"),'Calculations'!$EM257)&lt;&gt;"",FALSE),IFERROR(INDEX(INDIRECT("'WCM Calibration Final'!$C$1:$C$2000"),'Calculations'!$EM257)&lt;&gt;"",FALSE)),1,0))</x:f>
        <x:v>0</x:v>
      </x:c>
      <x:c r="BN257" s="4" t="n">
        <x:f>IF(AND('Calculations'!BM257=1,'Calculations'!$AG$2,'Calculations'!$EN257=1),1,0)</x:f>
        <x:v>0</x:v>
      </x:c>
      <x:c r="BO257" s="4" t="str">
        <x:f>IF('Calculations'!BM257=0,"",IFERROR(IF(AND(VALUE(INDEX(INDIRECT("'WCM Calibration Final'!$K$1:$K$2000"),'Calculations'!$EM257))&gt;=1,VALUE(INDEX(INDIRECT("'WCM Calibration Final'!$K$1:$K$2000"),'Calculations'!$EM257))&lt;=4,MOD(VALUE(INDEX(INDIRECT("'WCM Calibration Final'!$K$1:$K$2000"),'Calculations'!$EM257)),1)=0),VALUE(INDEX(INDIRECT("'WCM Calibration Final'!$K$1:$K$2000"),'Calculations'!$EM257)),""),""))</x:f>
      </x:c>
      <x:c r="BP257" s="4" t="str">
        <x:f>IF('Calculations'!BM257=0,"",IFERROR(IF(AND(VALUE(INDEX(INDIRECT("'WCM Calibration Final'!$L$1:$L$2000"),'Calculations'!$EM257))&gt;=1,VALUE(INDEX(INDIRECT("'WCM Calibration Final'!$L$1:$L$2000"),'Calculations'!$EM257))&lt;=4,MOD(VALUE(INDEX(INDIRECT("'WCM Calibration Final'!$L$1:$L$2000"),'Calculations'!$EM257)),1)=0),VALUE(INDEX(INDIRECT("'WCM Calibration Final'!$L$1:$L$2000"),'Calculations'!$EM257)),""),""))</x:f>
      </x:c>
      <x:c r="BQ257" s="4"/>
      <x:c r="BR257" s="4"/>
      <x:c r="BS257" s="4"/>
      <x:c r="BT257" s="4" t="n">
        <x:f>IF(AND('Calculations'!BM257=1,ISNUMBER('Calculations'!BO257),ISNUMBER('Calculations'!BP257)),1,0)</x:f>
        <x:v>0</x:v>
      </x:c>
      <x:c r="BU257" s="4" t="str">
        <x:f>IF('Calculations'!BM257=0,"",'Calculations'!$EO257)</x:f>
      </x:c>
      <x:c r="BV257" s="4" t="str">
        <x:f>IF('Calculations'!BM257=0,"",IFERROR(IF(OR(INDEX(INDIRECT("'WCM Calibration Final'!$H$1:$H$2000"),'Calculations'!$EM257)="MANAGING DIRECTOR",INDEX(INDIRECT("'WCM Calibration Final'!$H$1:$H$2000"),'Calculations'!$EM257)="DIRECTOR",INDEX(INDIRECT("'WCM Calibration Final'!$H$1:$H$2000"),'Calculations'!$EM257)="SENIOR VICE PRESIDENT",INDEX(INDIRECT("'WCM Calibration Final'!$H$1:$H$2000"),'Calculations'!$EM257)="VICE PRESIDENT",INDEX(INDIRECT("'WCM Calibration Final'!$H$1:$H$2000"),'Calculations'!$EM257)="ASSISTANT VICE PRESIDENT",INDEX(INDIRECT("'WCM Calibration Final'!$H$1:$H$2000"),'Calculations'!$EM257)="OFFICER"),UPPER(INDEX(INDIRECT("'WCM Calibration Final'!$H$1:$H$2000"),'Calculations'!$EM257)),"Other"),"Other"))</x:f>
      </x:c>
      <x:c r="BW257" s="4"/>
      <x:c r="BX257" s="4"/>
      <x:c r="BY257" s="4" t="n">
        <x:f>IF(AND('Calculations'!BM257=1,'Calculations'!BU257&lt;&gt;"",COUNTIF('Calculations'!$BU$12:BU257,'Calculations'!BU257)=1),MAX('Calculations'!$BY$11:BY256)+1,0)</x:f>
        <x:v>0</x:v>
      </x:c>
      <x:c r="BZ257" s="4" t="str">
        <x:f>IF('Dashboard'!$E$67="What",'Calculations'!BO257,'Calculations'!BP257)</x:f>
      </x:c>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t="str">
        <x:f>IF(246&gt;MAX('Calculations'!$HI$13:$HI$512),"",INDEX('Calculations'!$HN$13:$HN$512,MATCH(246,'Calculations'!$HI$13:$HI$512,0)))</x:f>
      </x:c>
      <x:c r="DB257" s="4" t="str">
        <x:f>IF(246&gt;MAX('Calculations'!$HH$13:$HH$512),"",INDEX('Calculations'!$HJ$13:$HJ$512,MATCH(246,'Calculations'!$HH$13:$HH$512,0)))</x:f>
      </x:c>
      <x:c r="DC257" s="4" t="str">
        <x:f>IF(ROW()-11&gt;MAX('Calculations'!$BY$13:$BY$512),"",INDEX('Calculations'!$BU$13:$BU$512,MATCH(ROW()-11,'Calculations'!$BY$13:$BY$512,0)))</x:f>
      </x:c>
      <x:c r="DD257" s="4" t="str">
        <x:f>IF(246&gt;MAX('Calculations'!$IK$13:$IK$512),"",INDEX('Calculations'!$HK$13:$HK$512,MATCH(246,'Calculations'!$IK$13:$IK$512,0)))</x:f>
      </x:c>
      <x:c r="DE257" s="4" t="str">
        <x:f>'Calculations'!DC257</x:f>
      </x:c>
      <x:c r="DF257" s="4" t="str">
        <x:f>IF('Calculations'!DE257="","",COUNTIFS('Calculations'!$BN$13:$BN$512,1,'Calculations'!$BU$13:$BU$512,'Calculations'!DE257))</x:f>
      </x:c>
      <x:c r="DG257" s="4" t="str">
        <x:f>IF('Calculations'!DE257="","",COUNTIFS('Calculations'!$BN$13:$BN$512,1,'Calculations'!$BU$13:$BU$512,'Calculations'!DE257,'Calculations'!$BT$13:$BT$512,1))</x:f>
      </x:c>
      <x:c r="DH257" s="4" t="str">
        <x:f>IF('Calculations'!DE257="","",'Calculations'!DF257-'Calculations'!DG257)</x:f>
      </x:c>
      <x:c r="DI257" s="4" t="str">
        <x:f>IF(OR('Calculations'!DE257="",'Calculations'!DF257=0),"",'Calculations'!DG257/'Calculations'!DF257)</x:f>
      </x:c>
      <x:c r="DJ257" s="4" t="str">
        <x:f>IF('Calculations'!DE257="","",COUNTIFS('Calculations'!$BN$13:$BN$512,1,'Calculations'!$BU$13:$BU$512,'Calculations'!DE257,'Calculations'!$BT$13:$BT$512,1,'Calculations'!$EE$13:$EE$512,"High"))</x:f>
      </x:c>
      <x:c r="DK257" s="4" t="str">
        <x:f>IF('Calculations'!DE257="","",COUNTIFS('Calculations'!$BN$13:$BN$512,1,'Calculations'!$BU$13:$BU$512,'Calculations'!DE257,'Calculations'!$BT$13:$BT$512,1,'Calculations'!$EE$13:$EE$512,"Strong"))</x:f>
      </x:c>
      <x:c r="DL257" s="4" t="str">
        <x:f>IF('Calculations'!DE257="","",COUNTIFS('Calculations'!$BN$13:$BN$512,1,'Calculations'!$BU$13:$BU$512,'Calculations'!DE257,'Calculations'!$BT$13:$BT$512,1,'Calculations'!$EE$13:$EE$512,"Solid"))</x:f>
      </x:c>
      <x:c r="DM257" s="4" t="str">
        <x:f>IF('Calculations'!DE257="","",COUNTIFS('Calculations'!$BN$13:$BN$512,1,'Calculations'!$BU$13:$BU$512,'Calculations'!DE257,'Calculations'!$BT$13:$BT$512,1,'Calculations'!$EE$13:$EE$512,"Low"))</x:f>
      </x:c>
      <x:c r="DN257" s="4" t="str">
        <x:f>IF('Calculations'!DE257="","",COUNTIFS('Calculations'!$BN$13:$BN$512,1,'Calculations'!$BU$13:$BU$512,'Calculations'!DE257,'Calculations'!$EP$13:$EP$512,1))</x:f>
      </x:c>
      <x:c r="DO257" s="4" t="str">
        <x:f>IF(OR('Calculations'!DE257="",'Calculations'!DG257=0),"",('Calculations'!DJ257+'Calculations'!DK257)/'Calculations'!DG257)</x:f>
      </x:c>
      <x:c r="DP257" s="4" t="n">
        <x:f>IF(AND('Calculations'!DE257&lt;&gt;"",'Calculations'!DF257&gt;0),COUNTIF('Calculations'!$DF$12:DF257,"&gt;0"),0)</x:f>
        <x:v>0</x:v>
      </x:c>
      <x:c r="DQ257" s="4" t="str">
        <x:f>IF(246&gt;MAX('Calculations'!$HH$13:$HH$512),"",INDEX('Calculations'!$HF$13:$HF$512,MATCH(246,'Calculations'!$HH$13:$HH$512,0)))</x:f>
      </x:c>
      <x:c r="DR257" s="4" t="str">
        <x:f>IF(246&gt;MAX('Calculations'!$IK$13:$IK$512),"",INDEX('Calculations'!$HE$13:$HE$512,MATCH(246,'Calculations'!$IK$13:$IK$512,0)))</x:f>
      </x:c>
      <x:c r="DS257" s="4"/>
      <x:c r="DT257" s="4"/>
      <x:c r="DU257" s="4"/>
      <x:c r="DV257" s="4"/>
      <x:c r="DW257" s="4"/>
      <x:c r="DX257" s="4"/>
      <x:c r="DY257" s="4"/>
      <x:c r="DZ257" s="4"/>
      <x:c r="EA257" s="4"/>
      <x:c r="EB257" s="4"/>
      <x:c r="EC257" s="4"/>
      <x:c r="ED257" s="4"/>
      <x:c r="EE257" s="4" t="str">
        <x:f>IF('Calculations'!BT257=0,"Not Rated",IF(OR('Calculations'!BO257&gt;=4,'Calculations'!BP257&gt;=4),"Low",IF('Calculations'!BO257+'Calculations'!BP257&lt;=3,"High",IF('Calculations'!BO257+'Calculations'!BP257&lt;=4,"Strong","Solid"))))</x:f>
        <x:v>Not Rated</x:v>
      </x:c>
      <x:c r="EF257" s="4"/>
      <x:c r="EG257" s="4"/>
      <x:c r="EH257" s="4"/>
      <x:c r="EI257" s="4"/>
      <x:c r="EJ257" s="4"/>
      <x:c r="EK257" s="4"/>
      <x:c r="EL257" s="4"/>
      <x:c r="EM257" s="4" t="str">
        <x:f>IF(245&gt;'Calculations'!$JB$2000,"",INDEX('Calculations'!$JA$12:$JA$2000,MATCH(245,'Calculations'!$JB$12:$JB$2000,0)))</x:f>
      </x:c>
      <x:c r="EN257" s="4" t="n">
        <x:f>IF(OR('Calculations'!EM257="",'Calculations'!$AG$8&gt;0,AND('Calculations'!$EF$2&lt;&gt;"All",'Calculations'!HE257='Calculations'!$EF$2),AND('Calculations'!$EF$3&lt;&gt;"All",'Calculations'!HE257='Calculations'!$EF$3)),0,IF(OR('Dashboard'!$B$7="All",'Calculations'!HN257='Dashboard'!$B$7),IF('Calculations'!$EF$2="All",1,IF('Calculations'!HL257&gt;0,0,IF(COUNTIF('Calculations'!HO257:II257,"="&amp;SUBSTITUTE(SUBSTITUTE(SUBSTITUTE('Calculations'!$EF$2,"~","~~"),"*","~*"),"?","~?"))=0,0,IF('Calculations'!$EF$3="All",1,IF(COUNTIF('Calculations'!HO257:II257,"="&amp;SUBSTITUTE(SUBSTITUTE(SUBSTITUTE('Calculations'!$EF$3,"~","~~"),"*","~*"),"?","~?"))&gt;0,1,0))))),0))</x:f>
        <x:v>0</x:v>
      </x:c>
      <x:c r="EO257" s="4" t="str">
        <x:f>IF('Calculations'!IJ257="","",IF('Calculations'!IJ257="!UNRESOLVED","Unresolved hierarchy",IFERROR(INDEX('Calculations'!$HK$13:$HK$512,MATCH('Calculations'!IJ257,'Calculations'!$HE$13:$HE$512,0)),IFERROR(INDEX('Calculations'!$HJ$13:$HJ$512,MATCH('Calculations'!IJ257,'Calculations'!$HF$13:$HF$512,0)),'Calculations'!IJ257))))</x:f>
      </x:c>
      <x:c r="EP257" s="4" t="n">
        <x:f>IF(AND('Calculations'!EM257&lt;&gt;"",'Calculations'!HF257='Calculations'!IJ257),1,0)</x:f>
        <x:v>0</x:v>
      </x:c>
      <x:c r="EQ257" s="4"/>
      <x:c r="ER257" s="4"/>
      <x:c r="ES257" s="4"/>
      <x:c r="ET257" s="4"/>
      <x:c r="EU257" s="4"/>
      <x:c r="EV257" s="4"/>
      <x:c r="EW257" s="4"/>
      <x:c r="EX257" s="4"/>
      <x:c r="EY257" s="4"/>
      <x:c r="EZ257" s="4"/>
      <x:c r="FA257" s="4"/>
      <x:c r="FB257" s="4"/>
      <x:c r="FC257" s="4"/>
      <x:c r="FD257" s="4"/>
      <x:c r="FE257" s="4"/>
      <x:c r="FF257" s="4"/>
      <x:c r="FG257" s="4"/>
      <x:c r="FH257" s="4"/>
      <x:c r="FI257" s="4"/>
      <x:c r="FJ257" s="4"/>
      <x:c r="FK257" s="4"/>
      <x:c r="FL257" s="4"/>
      <x:c r="FM257" s="4"/>
      <x:c r="FN257" s="4"/>
      <x:c r="FO257" s="4"/>
      <x:c r="HE257" t="str">
        <x:f>IF('Calculations'!EM257="","",IF(IFERROR(IF(INDEX(INDIRECT("'WCM Calibration Final'!$A$1:$A$2000"),'Calculations'!$EM257)="","",TRIM(INDEX(INDIRECT("'WCM Calibration Final'!$A$1:$A$2000"),'Calculations'!$EM257)&amp;"")),"")&lt;&gt;"","G:"&amp;IFERROR(TEXT(1*INDEX(INDIRECT("'WCM Calibration Final'!$A$1:$A$2000"),'Calculations'!$EM257),"0"),UPPER(IFERROR(IF(INDEX(INDIRECT("'WCM Calibration Final'!$A$1:$A$2000"),'Calculations'!$EM257)="","",TRIM(INDEX(INDIRECT("'WCM Calibration Final'!$A$1:$A$2000"),'Calculations'!$EM257)&amp;"")),""))),IF(IFERROR(IF(INDEX(INDIRECT("'WCM Calibration Final'!$C$1:$C$2000"),'Calculations'!$EM257)="","",TRIM(INDEX(INDIRECT("'WCM Calibration Final'!$C$1:$C$2000"),'Calculations'!$EM257)&amp;"")),"")&lt;&gt;"","S:"&amp;UPPER(IFERROR(IF(INDEX(INDIRECT("'WCM Calibration Final'!$C$1:$C$2000"),'Calculations'!$EM257)="","",TRIM(INDEX(INDIRECT("'WCM Calibration Final'!$C$1:$C$2000"),'Calculations'!$EM257)&amp;"")),"")),"R:"&amp;'Calculations'!EM257)))</x:f>
      </x:c>
      <x:c r="HF257" t="str">
        <x:f>IF('Calculations'!EM257="","",IF(IFERROR(IF(INDEX(INDIRECT("'WCM Calibration Final'!$D$1:$D$2000"),'Calculations'!$EM257)="","",TRIM(INDEX(INDIRECT("'WCM Calibration Final'!$D$1:$D$2000"),'Calculations'!$EM257)&amp;"")),"")&lt;&gt;"","G:"&amp;IFERROR(TEXT(1*INDEX(INDIRECT("'WCM Calibration Final'!$D$1:$D$2000"),'Calculations'!$EM257),"0"),UPPER(IFERROR(IF(INDEX(INDIRECT("'WCM Calibration Final'!$D$1:$D$2000"),'Calculations'!$EM257)="","",TRIM(INDEX(INDIRECT("'WCM Calibration Final'!$D$1:$D$2000"),'Calculations'!$EM257)&amp;"")),""))),IF(IFERROR(IF(INDEX(INDIRECT("'WCM Calibration Final'!$E$1:$E$2000"),'Calculations'!$EM257)="","",TRIM(INDEX(INDIRECT("'WCM Calibration Final'!$E$1:$E$2000"),'Calculations'!$EM257)&amp;"")),"")="","",IF(COUNTIF('Calculations'!$HG$13:$HG$512,"="&amp;SUBSTITUTE(SUBSTITUTE(SUBSTITUTE(IFERROR(IF(INDEX(INDIRECT("'WCM Calibration Final'!$E$1:$E$2000"),'Calculations'!$EM257)="","",TRIM(INDEX(INDIRECT("'WCM Calibration Final'!$E$1:$E$2000"),'Calculations'!$EM257)&amp;"")),""),"~","~~"),"*","~*"),"?","~?"))=1,INDEX('Calculations'!$HE$13:$HE$512,MATCH(IFERROR(IF(INDEX(INDIRECT("'WCM Calibration Final'!$E$1:$E$2000"),'Calculations'!$EM257)="","",TRIM(INDEX(INDIRECT("'WCM Calibration Final'!$E$1:$E$2000"),'Calculations'!$EM257)&amp;"")),""),'Calculations'!$HG$13:$HG$512,0)),IF(COUNTIF('Calculations'!$HG$13:$HG$512,"="&amp;SUBSTITUTE(SUBSTITUTE(SUBSTITUTE(IFERROR(IF(INDEX(INDIRECT("'WCM Calibration Final'!$E$1:$E$2000"),'Calculations'!$EM257)="","",TRIM(INDEX(INDIRECT("'WCM Calibration Final'!$E$1:$E$2000"),'Calculations'!$EM257)&amp;"")),""),"~","~~"),"*","~*"),"?","~?"))&gt;1,"!AMBIG","X:"&amp;IFERROR(IF(INDEX(INDIRECT("'WCM Calibration Final'!$E$1:$E$2000"),'Calculations'!$EM257)="","",TRIM(INDEX(INDIRECT("'WCM Calibration Final'!$E$1:$E$2000"),'Calculations'!$EM257)&amp;"")),""))))))</x:f>
      </x:c>
      <x:c r="HG257" t="str">
        <x:f>IF('Calculations'!EM257="","",IFERROR(IF(INDEX(INDIRECT("'WCM Calibration Final'!$B$1:$B$2000"),'Calculations'!$EM257)="","",TRIM(INDEX(INDIRECT("'WCM Calibration Final'!$B$1:$B$2000"),'Calculations'!$EM257)&amp;"")),""))</x:f>
      </x:c>
      <x:c r="HH257" t="n">
        <x:f>IF(AND('Calculations'!JC257&gt;0,COUNTIF('Calculations'!$HF$12:HF257,"="&amp;SUBSTITUTE(SUBSTITUTE(SUBSTITUTE('Calculations'!HF257,"~","~~"),"*","~*"),"?","~?"))=1),MAX('Calculations'!$HH$12:HH256)+1,0)</x:f>
        <x:v>0</x:v>
      </x:c>
      <x:c r="HI257" t="n">
        <x:f>IF(AND('Calculations'!HN257&lt;&gt;"",COUNTIF('Calculations'!$HN$12:HN257,"="&amp;SUBSTITUTE(SUBSTITUTE(SUBSTITUTE('Calculations'!HN257,"~","~~"),"*","~*"),"?","~?"))=1),MAX('Calculations'!$HI$12:HI256)+1,0)</x:f>
        <x:v>0</x:v>
      </x:c>
      <x:c r="HJ257" t="str">
        <x:f>IF('Calculations'!HF257="","",IF(COUNTIF('Calculations'!$HE$13:$HE$512,"="&amp;SUBSTITUTE(SUBSTITUTE(SUBSTITUTE('Calculations'!HF257,"~","~~"),"*","~*"),"?","~?"))=1,INDEX('Calculations'!$HK$13:$HK$512,MATCH('Calculations'!HF257,'Calculations'!$HE$13:$HE$512,0)),IFERROR(IF(INDEX(INDIRECT("'WCM Calibration Final'!$E$1:$E$2000"),'Calculations'!$EM257)="","",TRIM(INDEX(INDIRECT("'WCM Calibration Final'!$E$1:$E$2000"),'Calculations'!$EM257)&amp;"")),"")&amp;" ["&amp;'Calculations'!HF257&amp;"]"))</x:f>
      </x:c>
      <x:c r="HK257" t="str">
        <x:f>IF('Calculations'!EM257="","",'Calculations'!HG257&amp;" ["&amp;'Calculations'!HE257&amp;"]")</x:f>
      </x:c>
      <x:c r="HL257" t="n">
        <x:f>IF('Calculations'!EM257="",0,IF(OR('Calculations'!II257&lt;&gt;"",COUNTIF('Calculations'!$HE$13:$HE$512,"="&amp;SUBSTITUTE(SUBSTITUTE(SUBSTITUTE('Calculations'!HE257,"~","~~"),"*","~*"),"?","~?"))&gt;1),1,0))</x:f>
        <x:v>0</x:v>
      </x:c>
      <x:c r="HM257" t="str">
        <x:f>IF('Calculations'!EM257="","",IF('Calculations'!HL257=1,"!UNRESOLVED",IF('Calculations'!IH257&lt;&gt;"",'Calculations'!IH257,IF('Calculations'!IG257&lt;&gt;"",'Calculations'!IG257,IF('Calculations'!IF257&lt;&gt;"",'Calculations'!IF257,IF('Calculations'!IE257&lt;&gt;"",'Calculations'!IE257,IF('Calculations'!ID257&lt;&gt;"",'Calculations'!ID257,IF('Calculations'!IC257&lt;&gt;"",'Calculations'!IC257,IF('Calculations'!IB257&lt;&gt;"",'Calculations'!IB257,IF('Calculations'!IA257&lt;&gt;"",'Calculations'!IA257,IF('Calculations'!HZ257&lt;&gt;"",'Calculations'!HZ257,IF('Calculations'!HY257&lt;&gt;"",'Calculations'!HY257,IF('Calculations'!HX257&lt;&gt;"",'Calculations'!HX257,IF('Calculations'!HW257&lt;&gt;"",'Calculations'!HW257,IF('Calculations'!HV257&lt;&gt;"",'Calculations'!HV257,IF('Calculations'!HU257&lt;&gt;"",'Calculations'!HU257,IF('Calculations'!HT257&lt;&gt;"",'Calculations'!HT257,IF('Calculations'!HS257&lt;&gt;"",'Calculations'!HS257,IF('Calculations'!HR257&lt;&gt;"",'Calculations'!HR257,IF('Calculations'!HQ257&lt;&gt;"",'Calculations'!HQ257,IF('Calculations'!HP257&lt;&gt;"",'Calculations'!HP257,IF('Calculations'!HO257&lt;&gt;"",'Calculations'!HO257,'Calculations'!HE257))))))))))))))))))))))</x:f>
      </x:c>
      <x:c r="HN257" t="str">
        <x:f>IF('Calculations'!EM257="","",IF(IFERROR(IF(INDEX(INDIRECT("'WCM Calibration Final'!$F$1:$F$2000"),'Calculations'!$EM257)="","",TRIM(INDEX(INDIRECT("'WCM Calibration Final'!$F$1:$F$2000"),'Calculations'!$EM257)&amp;"")),"")="","(Blank)",IFERROR(IF(INDEX(INDIRECT("'WCM Calibration Final'!$F$1:$F$2000"),'Calculations'!$EM257)="","",TRIM(INDEX(INDIRECT("'WCM Calibration Final'!$F$1:$F$2000"),'Calculations'!$EM257)&amp;"")),"")))</x:f>
      </x:c>
      <x:c r="HO257" t="str">
        <x:f>'Calculations'!HF257</x:f>
      </x:c>
      <x:c r="HP257" t="str">
        <x:f>IF('Calculations'!HO257="","",IF('Calculations'!HO257="!AMBIG","!AMBIG",IF(COUNTIF('Calculations'!$HE$13:$HE$512,"="&amp;SUBSTITUTE(SUBSTITUTE(SUBSTITUTE('Calculations'!HO257,"~","~~"),"*","~*"),"?","~?"))&gt;1,"!AMBIG",IFERROR(INDEX('Calculations'!$HF$13:$HF$512,MATCH('Calculations'!HO257,'Calculations'!$HE$13:$HE$512,0)),""))))</x:f>
      </x:c>
      <x:c r="HQ257" t="str">
        <x:f>IF('Calculations'!HP257="","",IF('Calculations'!HP257="!AMBIG","!AMBIG",IF(COUNTIF('Calculations'!$HE$13:$HE$512,"="&amp;SUBSTITUTE(SUBSTITUTE(SUBSTITUTE('Calculations'!HP257,"~","~~"),"*","~*"),"?","~?"))&gt;1,"!AMBIG",IFERROR(INDEX('Calculations'!$HF$13:$HF$512,MATCH('Calculations'!HP257,'Calculations'!$HE$13:$HE$512,0)),""))))</x:f>
      </x:c>
      <x:c r="HR257" t="str">
        <x:f>IF('Calculations'!HQ257="","",IF('Calculations'!HQ257="!AMBIG","!AMBIG",IF(COUNTIF('Calculations'!$HE$13:$HE$512,"="&amp;SUBSTITUTE(SUBSTITUTE(SUBSTITUTE('Calculations'!HQ257,"~","~~"),"*","~*"),"?","~?"))&gt;1,"!AMBIG",IFERROR(INDEX('Calculations'!$HF$13:$HF$512,MATCH('Calculations'!HQ257,'Calculations'!$HE$13:$HE$512,0)),""))))</x:f>
      </x:c>
      <x:c r="HS257" t="str">
        <x:f>IF('Calculations'!HR257="","",IF('Calculations'!HR257="!AMBIG","!AMBIG",IF(COUNTIF('Calculations'!$HE$13:$HE$512,"="&amp;SUBSTITUTE(SUBSTITUTE(SUBSTITUTE('Calculations'!HR257,"~","~~"),"*","~*"),"?","~?"))&gt;1,"!AMBIG",IFERROR(INDEX('Calculations'!$HF$13:$HF$512,MATCH('Calculations'!HR257,'Calculations'!$HE$13:$HE$512,0)),""))))</x:f>
      </x:c>
      <x:c r="HT257" t="str">
        <x:f>IF('Calculations'!HS257="","",IF('Calculations'!HS257="!AMBIG","!AMBIG",IF(COUNTIF('Calculations'!$HE$13:$HE$512,"="&amp;SUBSTITUTE(SUBSTITUTE(SUBSTITUTE('Calculations'!HS257,"~","~~"),"*","~*"),"?","~?"))&gt;1,"!AMBIG",IFERROR(INDEX('Calculations'!$HF$13:$HF$512,MATCH('Calculations'!HS257,'Calculations'!$HE$13:$HE$512,0)),""))))</x:f>
      </x:c>
      <x:c r="HU257" t="str">
        <x:f>IF('Calculations'!HT257="","",IF('Calculations'!HT257="!AMBIG","!AMBIG",IF(COUNTIF('Calculations'!$HE$13:$HE$512,"="&amp;SUBSTITUTE(SUBSTITUTE(SUBSTITUTE('Calculations'!HT257,"~","~~"),"*","~*"),"?","~?"))&gt;1,"!AMBIG",IFERROR(INDEX('Calculations'!$HF$13:$HF$512,MATCH('Calculations'!HT257,'Calculations'!$HE$13:$HE$512,0)),""))))</x:f>
      </x:c>
      <x:c r="HV257" t="str">
        <x:f>IF('Calculations'!HU257="","",IF('Calculations'!HU257="!AMBIG","!AMBIG",IF(COUNTIF('Calculations'!$HE$13:$HE$512,"="&amp;SUBSTITUTE(SUBSTITUTE(SUBSTITUTE('Calculations'!HU257,"~","~~"),"*","~*"),"?","~?"))&gt;1,"!AMBIG",IFERROR(INDEX('Calculations'!$HF$13:$HF$512,MATCH('Calculations'!HU257,'Calculations'!$HE$13:$HE$512,0)),""))))</x:f>
      </x:c>
      <x:c r="HW257" t="str">
        <x:f>IF('Calculations'!HV257="","",IF('Calculations'!HV257="!AMBIG","!AMBIG",IF(COUNTIF('Calculations'!$HE$13:$HE$512,"="&amp;SUBSTITUTE(SUBSTITUTE(SUBSTITUTE('Calculations'!HV257,"~","~~"),"*","~*"),"?","~?"))&gt;1,"!AMBIG",IFERROR(INDEX('Calculations'!$HF$13:$HF$512,MATCH('Calculations'!HV257,'Calculations'!$HE$13:$HE$512,0)),""))))</x:f>
      </x:c>
      <x:c r="HX257" t="str">
        <x:f>IF('Calculations'!HW257="","",IF('Calculations'!HW257="!AMBIG","!AMBIG",IF(COUNTIF('Calculations'!$HE$13:$HE$512,"="&amp;SUBSTITUTE(SUBSTITUTE(SUBSTITUTE('Calculations'!HW257,"~","~~"),"*","~*"),"?","~?"))&gt;1,"!AMBIG",IFERROR(INDEX('Calculations'!$HF$13:$HF$512,MATCH('Calculations'!HW257,'Calculations'!$HE$13:$HE$512,0)),""))))</x:f>
      </x:c>
      <x:c r="HY257" t="str">
        <x:f>IF('Calculations'!HX257="","",IF('Calculations'!HX257="!AMBIG","!AMBIG",IF(COUNTIF('Calculations'!$HE$13:$HE$512,"="&amp;SUBSTITUTE(SUBSTITUTE(SUBSTITUTE('Calculations'!HX257,"~","~~"),"*","~*"),"?","~?"))&gt;1,"!AMBIG",IFERROR(INDEX('Calculations'!$HF$13:$HF$512,MATCH('Calculations'!HX257,'Calculations'!$HE$13:$HE$512,0)),""))))</x:f>
      </x:c>
      <x:c r="HZ257" t="str">
        <x:f>IF('Calculations'!HY257="","",IF('Calculations'!HY257="!AMBIG","!AMBIG",IF(COUNTIF('Calculations'!$HE$13:$HE$512,"="&amp;SUBSTITUTE(SUBSTITUTE(SUBSTITUTE('Calculations'!HY257,"~","~~"),"*","~*"),"?","~?"))&gt;1,"!AMBIG",IFERROR(INDEX('Calculations'!$HF$13:$HF$512,MATCH('Calculations'!HY257,'Calculations'!$HE$13:$HE$512,0)),""))))</x:f>
      </x:c>
      <x:c r="IA257" t="str">
        <x:f>IF('Calculations'!HZ257="","",IF('Calculations'!HZ257="!AMBIG","!AMBIG",IF(COUNTIF('Calculations'!$HE$13:$HE$512,"="&amp;SUBSTITUTE(SUBSTITUTE(SUBSTITUTE('Calculations'!HZ257,"~","~~"),"*","~*"),"?","~?"))&gt;1,"!AMBIG",IFERROR(INDEX('Calculations'!$HF$13:$HF$512,MATCH('Calculations'!HZ257,'Calculations'!$HE$13:$HE$512,0)),""))))</x:f>
      </x:c>
      <x:c r="IB257" t="str">
        <x:f>IF('Calculations'!IA257="","",IF('Calculations'!IA257="!AMBIG","!AMBIG",IF(COUNTIF('Calculations'!$HE$13:$HE$512,"="&amp;SUBSTITUTE(SUBSTITUTE(SUBSTITUTE('Calculations'!IA257,"~","~~"),"*","~*"),"?","~?"))&gt;1,"!AMBIG",IFERROR(INDEX('Calculations'!$HF$13:$HF$512,MATCH('Calculations'!IA257,'Calculations'!$HE$13:$HE$512,0)),""))))</x:f>
      </x:c>
      <x:c r="IC257" t="str">
        <x:f>IF('Calculations'!IB257="","",IF('Calculations'!IB257="!AMBIG","!AMBIG",IF(COUNTIF('Calculations'!$HE$13:$HE$512,"="&amp;SUBSTITUTE(SUBSTITUTE(SUBSTITUTE('Calculations'!IB257,"~","~~"),"*","~*"),"?","~?"))&gt;1,"!AMBIG",IFERROR(INDEX('Calculations'!$HF$13:$HF$512,MATCH('Calculations'!IB257,'Calculations'!$HE$13:$HE$512,0)),""))))</x:f>
      </x:c>
      <x:c r="ID257" t="str">
        <x:f>IF('Calculations'!IC257="","",IF('Calculations'!IC257="!AMBIG","!AMBIG",IF(COUNTIF('Calculations'!$HE$13:$HE$512,"="&amp;SUBSTITUTE(SUBSTITUTE(SUBSTITUTE('Calculations'!IC257,"~","~~"),"*","~*"),"?","~?"))&gt;1,"!AMBIG",IFERROR(INDEX('Calculations'!$HF$13:$HF$512,MATCH('Calculations'!IC257,'Calculations'!$HE$13:$HE$512,0)),""))))</x:f>
      </x:c>
      <x:c r="IE257" t="str">
        <x:f>IF('Calculations'!ID257="","",IF('Calculations'!ID257="!AMBIG","!AMBIG",IF(COUNTIF('Calculations'!$HE$13:$HE$512,"="&amp;SUBSTITUTE(SUBSTITUTE(SUBSTITUTE('Calculations'!ID257,"~","~~"),"*","~*"),"?","~?"))&gt;1,"!AMBIG",IFERROR(INDEX('Calculations'!$HF$13:$HF$512,MATCH('Calculations'!ID257,'Calculations'!$HE$13:$HE$512,0)),""))))</x:f>
      </x:c>
      <x:c r="IF257" t="str">
        <x:f>IF('Calculations'!IE257="","",IF('Calculations'!IE257="!AMBIG","!AMBIG",IF(COUNTIF('Calculations'!$HE$13:$HE$512,"="&amp;SUBSTITUTE(SUBSTITUTE(SUBSTITUTE('Calculations'!IE257,"~","~~"),"*","~*"),"?","~?"))&gt;1,"!AMBIG",IFERROR(INDEX('Calculations'!$HF$13:$HF$512,MATCH('Calculations'!IE257,'Calculations'!$HE$13:$HE$512,0)),""))))</x:f>
      </x:c>
      <x:c r="IG257" t="str">
        <x:f>IF('Calculations'!IF257="","",IF('Calculations'!IF257="!AMBIG","!AMBIG",IF(COUNTIF('Calculations'!$HE$13:$HE$512,"="&amp;SUBSTITUTE(SUBSTITUTE(SUBSTITUTE('Calculations'!IF257,"~","~~"),"*","~*"),"?","~?"))&gt;1,"!AMBIG",IFERROR(INDEX('Calculations'!$HF$13:$HF$512,MATCH('Calculations'!IF257,'Calculations'!$HE$13:$HE$512,0)),""))))</x:f>
      </x:c>
      <x:c r="IH257" t="str">
        <x:f>IF('Calculations'!IG257="","",IF('Calculations'!IG257="!AMBIG","!AMBIG",IF(COUNTIF('Calculations'!$HE$13:$HE$512,"="&amp;SUBSTITUTE(SUBSTITUTE(SUBSTITUTE('Calculations'!IG257,"~","~~"),"*","~*"),"?","~?"))&gt;1,"!AMBIG",IFERROR(INDEX('Calculations'!$HF$13:$HF$512,MATCH('Calculations'!IG257,'Calculations'!$HE$13:$HE$512,0)),""))))</x:f>
      </x:c>
      <x:c r="II257" t="str">
        <x:f>IF('Calculations'!IH257="","",IF('Calculations'!IH257="!AMBIG","!AMBIG",IF(COUNTIF('Calculations'!$HE$13:$HE$512,"="&amp;SUBSTITUTE(SUBSTITUTE(SUBSTITUTE('Calculations'!IH257,"~","~~"),"*","~*"),"?","~?"))&gt;1,"!AMBIG",IFERROR(INDEX('Calculations'!$HF$13:$HF$512,MATCH('Calculations'!IH257,'Calculations'!$HE$13:$HE$512,0)),""))))</x:f>
      </x:c>
      <x:c r="IJ257" t="str">
        <x:f>IF('Calculations'!EM257="","",IF('Calculations'!$EF$2="All",'Calculations'!HM257,IF('Calculations'!HL257=1,"",IFERROR(IF(MATCH('Calculations'!$EF$2,'Calculations'!HO257:II257,0)=1,'Calculations'!HE257,INDEX('Calculations'!HO257:II257,1,MATCH('Calculations'!$EF$2,'Calculations'!HO257:II257,0)-1)),""))))</x:f>
      </x:c>
      <x:c r="IK257" t="n">
        <x:f>IF(AND('Calculations'!EM257&lt;&gt;"",'Calculations'!$EF$2&lt;&gt;"All",'Calculations'!HF257='Calculations'!$EF$2,'Calculations'!HL257=0,'Calculations'!JD257&gt;0),MAX('Calculations'!$IK$12:IK256)+1,0)</x:f>
        <x:v>0</x:v>
      </x:c>
      <x:c r="JA257" t="n">
        <x:f>IF(OR(IFERROR(INDIRECT("'WCM Calibration Final'!$A$257")&lt;&gt;"",FALSE),IFERROR(INDIRECT("'WCM Calibration Final'!$B$257")&lt;&gt;"",FALSE),IFERROR(INDIRECT("'WCM Calibration Final'!$C$257")&lt;&gt;"",FALSE)),257,0)</x:f>
        <x:v>0</x:v>
      </x:c>
      <x:c r="JB257" t="n">
        <x:f>'Calculations'!JB256+IF('Calculations'!JA257&gt;0,1,0)</x:f>
        <x:v>0</x:v>
      </x:c>
      <x:c r="JC257" t="n">
        <x:f>IF(OR('Calculations'!HF257="",'Calculations'!HF257="!AMBIG"),0,IF('Dashboard'!$B$7="All",1,COUNTIFS('Calculations'!$HO$13:$HO$512,"="&amp;SUBSTITUTE(SUBSTITUTE(SUBSTITUTE('Calculations'!HF257,"~","~~"),"*","~*"),"?","~?"),'Calculations'!$HN$13:$HN$512,"="&amp;SUBSTITUTE(SUBSTITUTE(SUBSTITUTE('Dashboard'!$B$7,"~","~~"),"*","~*"),"?","~?"))+COUNTIFS('Calculations'!$HP$13:$HP$512,"="&amp;SUBSTITUTE(SUBSTITUTE(SUBSTITUTE('Calculations'!HF257,"~","~~"),"*","~*"),"?","~?"),'Calculations'!$HN$13:$HN$512,"="&amp;SUBSTITUTE(SUBSTITUTE(SUBSTITUTE('Dashboard'!$B$7,"~","~~"),"*","~*"),"?","~?"))+COUNTIFS('Calculations'!$HQ$13:$HQ$512,"="&amp;SUBSTITUTE(SUBSTITUTE(SUBSTITUTE('Calculations'!HF257,"~","~~"),"*","~*"),"?","~?"),'Calculations'!$HN$13:$HN$512,"="&amp;SUBSTITUTE(SUBSTITUTE(SUBSTITUTE('Dashboard'!$B$7,"~","~~"),"*","~*"),"?","~?"))+COUNTIFS('Calculations'!$HR$13:$HR$512,"="&amp;SUBSTITUTE(SUBSTITUTE(SUBSTITUTE('Calculations'!HF257,"~","~~"),"*","~*"),"?","~?"),'Calculations'!$HN$13:$HN$512,"="&amp;SUBSTITUTE(SUBSTITUTE(SUBSTITUTE('Dashboard'!$B$7,"~","~~"),"*","~*"),"?","~?"))+COUNTIFS('Calculations'!$HS$13:$HS$512,"="&amp;SUBSTITUTE(SUBSTITUTE(SUBSTITUTE('Calculations'!HF257,"~","~~"),"*","~*"),"?","~?"),'Calculations'!$HN$13:$HN$512,"="&amp;SUBSTITUTE(SUBSTITUTE(SUBSTITUTE('Dashboard'!$B$7,"~","~~"),"*","~*"),"?","~?"))+COUNTIFS('Calculations'!$HT$13:$HT$512,"="&amp;SUBSTITUTE(SUBSTITUTE(SUBSTITUTE('Calculations'!HF257,"~","~~"),"*","~*"),"?","~?"),'Calculations'!$HN$13:$HN$512,"="&amp;SUBSTITUTE(SUBSTITUTE(SUBSTITUTE('Dashboard'!$B$7,"~","~~"),"*","~*"),"?","~?"))+COUNTIFS('Calculations'!$HU$13:$HU$512,"="&amp;SUBSTITUTE(SUBSTITUTE(SUBSTITUTE('Calculations'!HF257,"~","~~"),"*","~*"),"?","~?"),'Calculations'!$HN$13:$HN$512,"="&amp;SUBSTITUTE(SUBSTITUTE(SUBSTITUTE('Dashboard'!$B$7,"~","~~"),"*","~*"),"?","~?"))+COUNTIFS('Calculations'!$HV$13:$HV$512,"="&amp;SUBSTITUTE(SUBSTITUTE(SUBSTITUTE('Calculations'!HF257,"~","~~"),"*","~*"),"?","~?"),'Calculations'!$HN$13:$HN$512,"="&amp;SUBSTITUTE(SUBSTITUTE(SUBSTITUTE('Dashboard'!$B$7,"~","~~"),"*","~*"),"?","~?"))+COUNTIFS('Calculations'!$HW$13:$HW$512,"="&amp;SUBSTITUTE(SUBSTITUTE(SUBSTITUTE('Calculations'!HF257,"~","~~"),"*","~*"),"?","~?"),'Calculations'!$HN$13:$HN$512,"="&amp;SUBSTITUTE(SUBSTITUTE(SUBSTITUTE('Dashboard'!$B$7,"~","~~"),"*","~*"),"?","~?"))+COUNTIFS('Calculations'!$HX$13:$HX$512,"="&amp;SUBSTITUTE(SUBSTITUTE(SUBSTITUTE('Calculations'!HF257,"~","~~"),"*","~*"),"?","~?"),'Calculations'!$HN$13:$HN$512,"="&amp;SUBSTITUTE(SUBSTITUTE(SUBSTITUTE('Dashboard'!$B$7,"~","~~"),"*","~*"),"?","~?"))+COUNTIFS('Calculations'!$HY$13:$HY$512,"="&amp;SUBSTITUTE(SUBSTITUTE(SUBSTITUTE('Calculations'!HF257,"~","~~"),"*","~*"),"?","~?"),'Calculations'!$HN$13:$HN$512,"="&amp;SUBSTITUTE(SUBSTITUTE(SUBSTITUTE('Dashboard'!$B$7,"~","~~"),"*","~*"),"?","~?"))+COUNTIFS('Calculations'!$HZ$13:$HZ$512,"="&amp;SUBSTITUTE(SUBSTITUTE(SUBSTITUTE('Calculations'!HF257,"~","~~"),"*","~*"),"?","~?"),'Calculations'!$HN$13:$HN$512,"="&amp;SUBSTITUTE(SUBSTITUTE(SUBSTITUTE('Dashboard'!$B$7,"~","~~"),"*","~*"),"?","~?"))+COUNTIFS('Calculations'!$IA$13:$IA$512,"="&amp;SUBSTITUTE(SUBSTITUTE(SUBSTITUTE('Calculations'!HF257,"~","~~"),"*","~*"),"?","~?"),'Calculations'!$HN$13:$HN$512,"="&amp;SUBSTITUTE(SUBSTITUTE(SUBSTITUTE('Dashboard'!$B$7,"~","~~"),"*","~*"),"?","~?"))+COUNTIFS('Calculations'!$IB$13:$IB$512,"="&amp;SUBSTITUTE(SUBSTITUTE(SUBSTITUTE('Calculations'!HF257,"~","~~"),"*","~*"),"?","~?"),'Calculations'!$HN$13:$HN$512,"="&amp;SUBSTITUTE(SUBSTITUTE(SUBSTITUTE('Dashboard'!$B$7,"~","~~"),"*","~*"),"?","~?"))+COUNTIFS('Calculations'!$IC$13:$IC$512,"="&amp;SUBSTITUTE(SUBSTITUTE(SUBSTITUTE('Calculations'!HF257,"~","~~"),"*","~*"),"?","~?"),'Calculations'!$HN$13:$HN$512,"="&amp;SUBSTITUTE(SUBSTITUTE(SUBSTITUTE('Dashboard'!$B$7,"~","~~"),"*","~*"),"?","~?"))+COUNTIFS('Calculations'!$ID$13:$ID$512,"="&amp;SUBSTITUTE(SUBSTITUTE(SUBSTITUTE('Calculations'!HF257,"~","~~"),"*","~*"),"?","~?"),'Calculations'!$HN$13:$HN$512,"="&amp;SUBSTITUTE(SUBSTITUTE(SUBSTITUTE('Dashboard'!$B$7,"~","~~"),"*","~*"),"?","~?"))+COUNTIFS('Calculations'!$IE$13:$IE$512,"="&amp;SUBSTITUTE(SUBSTITUTE(SUBSTITUTE('Calculations'!HF257,"~","~~"),"*","~*"),"?","~?"),'Calculations'!$HN$13:$HN$512,"="&amp;SUBSTITUTE(SUBSTITUTE(SUBSTITUTE('Dashboard'!$B$7,"~","~~"),"*","~*"),"?","~?"))+COUNTIFS('Calculations'!$IF$13:$IF$512,"="&amp;SUBSTITUTE(SUBSTITUTE(SUBSTITUTE('Calculations'!HF257,"~","~~"),"*","~*"),"?","~?"),'Calculations'!$HN$13:$HN$512,"="&amp;SUBSTITUTE(SUBSTITUTE(SUBSTITUTE('Dashboard'!$B$7,"~","~~"),"*","~*"),"?","~?"))+COUNTIFS('Calculations'!$IG$13:$IG$512,"="&amp;SUBSTITUTE(SUBSTITUTE(SUBSTITUTE('Calculations'!HF257,"~","~~"),"*","~*"),"?","~?"),'Calculations'!$HN$13:$HN$512,"="&amp;SUBSTITUTE(SUBSTITUTE(SUBSTITUTE('Dashboard'!$B$7,"~","~~"),"*","~*"),"?","~?"))+COUNTIFS('Calculations'!$IH$13:$IH$512,"="&amp;SUBSTITUTE(SUBSTITUTE(SUBSTITUTE('Calculations'!HF257,"~","~~"),"*","~*"),"?","~?"),'Calculations'!$HN$13:$HN$512,"="&amp;SUBSTITUTE(SUBSTITUTE(SUBSTITUTE('Dashboard'!$B$7,"~","~~"),"*","~*"),"?","~?"))))</x:f>
        <x:v>0</x:v>
      </x:c>
      <x:c r="JD257" t="n">
        <x:f>IF('Calculations'!EM257="",0,IF('Dashboard'!$B$7="All",1,IF('Calculations'!HN257='Dashboard'!$B$7,1,0)+IFERROR(INDEX('Calculations'!$JC$13:$JC$512,MATCH('Calculations'!HE257,'Calculations'!$HF$13:$HF$512,0)),0)))</x:f>
        <x:v>0</x:v>
      </x:c>
      <x:c r="JE257" t="n">
        <x:f>IF(AND('Calculations'!EM257&lt;&gt;"",'Calculations'!$JJ$2&lt;&gt;"All",'Calculations'!$JJ$2&lt;&gt;"",'Calculations'!HF257='Calculations'!$JJ$2,'Calculations'!HL257=0,'Calculations'!JD257&gt;0),MAX('Calculations'!$JE$12:JE256)+1,0)</x:f>
        <x:v>0</x:v>
      </x:c>
      <x:c r="JF257" t="str">
        <x:f>IF('Calculations'!EM257="","",IFERROR(IF(INDEX(INDIRECT("'WCM Calibration Final'!$G$1:$G$2000"),'Calculations'!$EM257)="","",TRIM(INDEX(INDIRECT("'WCM Calibration Final'!$G$1:$G$2000"),'Calculations'!$EM257)&amp;"")),""))</x:f>
      </x:c>
      <x:c r="JQ257" t="n">
        <x:f>IF(OR('Calculations'!BM257=0,NOT('Calculations'!$AG$2),'Calculations'!$AG$8&gt;0),0,IF(OR('Dashboard'!$B$7="All",'Calculations'!HN257='Dashboard'!$B$7),IF('Calculations'!$JJ$2="All",1,IF(AND('Calculations'!HF257='Calculations'!$JJ$2,'Calculations'!HL257=0),1,0)),0))</x:f>
        <x:v>0</x:v>
      </x:c>
    </x:row>
    <x:row r="258">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t="n">
        <x:f>IF('Calculations'!$EM258="",0,IF(OR(IFERROR(INDEX(INDIRECT("'WCM Calibration Final'!$A$1:$A$2000"),'Calculations'!$EM258)&lt;&gt;"",FALSE),IFERROR(INDEX(INDIRECT("'WCM Calibration Final'!$B$1:$B$2000"),'Calculations'!$EM258)&lt;&gt;"",FALSE),IFERROR(INDEX(INDIRECT("'WCM Calibration Final'!$C$1:$C$2000"),'Calculations'!$EM258)&lt;&gt;"",FALSE)),1,0))</x:f>
        <x:v>0</x:v>
      </x:c>
      <x:c r="BN258" s="4" t="n">
        <x:f>IF(AND('Calculations'!BM258=1,'Calculations'!$AG$2,'Calculations'!$EN258=1),1,0)</x:f>
        <x:v>0</x:v>
      </x:c>
      <x:c r="BO258" s="4" t="str">
        <x:f>IF('Calculations'!BM258=0,"",IFERROR(IF(AND(VALUE(INDEX(INDIRECT("'WCM Calibration Final'!$K$1:$K$2000"),'Calculations'!$EM258))&gt;=1,VALUE(INDEX(INDIRECT("'WCM Calibration Final'!$K$1:$K$2000"),'Calculations'!$EM258))&lt;=4,MOD(VALUE(INDEX(INDIRECT("'WCM Calibration Final'!$K$1:$K$2000"),'Calculations'!$EM258)),1)=0),VALUE(INDEX(INDIRECT("'WCM Calibration Final'!$K$1:$K$2000"),'Calculations'!$EM258)),""),""))</x:f>
      </x:c>
      <x:c r="BP258" s="4" t="str">
        <x:f>IF('Calculations'!BM258=0,"",IFERROR(IF(AND(VALUE(INDEX(INDIRECT("'WCM Calibration Final'!$L$1:$L$2000"),'Calculations'!$EM258))&gt;=1,VALUE(INDEX(INDIRECT("'WCM Calibration Final'!$L$1:$L$2000"),'Calculations'!$EM258))&lt;=4,MOD(VALUE(INDEX(INDIRECT("'WCM Calibration Final'!$L$1:$L$2000"),'Calculations'!$EM258)),1)=0),VALUE(INDEX(INDIRECT("'WCM Calibration Final'!$L$1:$L$2000"),'Calculations'!$EM258)),""),""))</x:f>
      </x:c>
      <x:c r="BQ258" s="4"/>
      <x:c r="BR258" s="4"/>
      <x:c r="BS258" s="4"/>
      <x:c r="BT258" s="4" t="n">
        <x:f>IF(AND('Calculations'!BM258=1,ISNUMBER('Calculations'!BO258),ISNUMBER('Calculations'!BP258)),1,0)</x:f>
        <x:v>0</x:v>
      </x:c>
      <x:c r="BU258" s="4" t="str">
        <x:f>IF('Calculations'!BM258=0,"",'Calculations'!$EO258)</x:f>
      </x:c>
      <x:c r="BV258" s="4" t="str">
        <x:f>IF('Calculations'!BM258=0,"",IFERROR(IF(OR(INDEX(INDIRECT("'WCM Calibration Final'!$H$1:$H$2000"),'Calculations'!$EM258)="MANAGING DIRECTOR",INDEX(INDIRECT("'WCM Calibration Final'!$H$1:$H$2000"),'Calculations'!$EM258)="DIRECTOR",INDEX(INDIRECT("'WCM Calibration Final'!$H$1:$H$2000"),'Calculations'!$EM258)="SENIOR VICE PRESIDENT",INDEX(INDIRECT("'WCM Calibration Final'!$H$1:$H$2000"),'Calculations'!$EM258)="VICE PRESIDENT",INDEX(INDIRECT("'WCM Calibration Final'!$H$1:$H$2000"),'Calculations'!$EM258)="ASSISTANT VICE PRESIDENT",INDEX(INDIRECT("'WCM Calibration Final'!$H$1:$H$2000"),'Calculations'!$EM258)="OFFICER"),UPPER(INDEX(INDIRECT("'WCM Calibration Final'!$H$1:$H$2000"),'Calculations'!$EM258)),"Other"),"Other"))</x:f>
      </x:c>
      <x:c r="BW258" s="4"/>
      <x:c r="BX258" s="4"/>
      <x:c r="BY258" s="4" t="n">
        <x:f>IF(AND('Calculations'!BM258=1,'Calculations'!BU258&lt;&gt;"",COUNTIF('Calculations'!$BU$12:BU258,'Calculations'!BU258)=1),MAX('Calculations'!$BY$11:BY257)+1,0)</x:f>
        <x:v>0</x:v>
      </x:c>
      <x:c r="BZ258" s="4" t="str">
        <x:f>IF('Dashboard'!$E$67="What",'Calculations'!BO258,'Calculations'!BP258)</x:f>
      </x:c>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t="str">
        <x:f>IF(247&gt;MAX('Calculations'!$HI$13:$HI$512),"",INDEX('Calculations'!$HN$13:$HN$512,MATCH(247,'Calculations'!$HI$13:$HI$512,0)))</x:f>
      </x:c>
      <x:c r="DB258" s="4" t="str">
        <x:f>IF(247&gt;MAX('Calculations'!$HH$13:$HH$512),"",INDEX('Calculations'!$HJ$13:$HJ$512,MATCH(247,'Calculations'!$HH$13:$HH$512,0)))</x:f>
      </x:c>
      <x:c r="DC258" s="4" t="str">
        <x:f>IF(ROW()-11&gt;MAX('Calculations'!$BY$13:$BY$512),"",INDEX('Calculations'!$BU$13:$BU$512,MATCH(ROW()-11,'Calculations'!$BY$13:$BY$512,0)))</x:f>
      </x:c>
      <x:c r="DD258" s="4" t="str">
        <x:f>IF(247&gt;MAX('Calculations'!$IK$13:$IK$512),"",INDEX('Calculations'!$HK$13:$HK$512,MATCH(247,'Calculations'!$IK$13:$IK$512,0)))</x:f>
      </x:c>
      <x:c r="DE258" s="4" t="str">
        <x:f>'Calculations'!DC258</x:f>
      </x:c>
      <x:c r="DF258" s="4" t="str">
        <x:f>IF('Calculations'!DE258="","",COUNTIFS('Calculations'!$BN$13:$BN$512,1,'Calculations'!$BU$13:$BU$512,'Calculations'!DE258))</x:f>
      </x:c>
      <x:c r="DG258" s="4" t="str">
        <x:f>IF('Calculations'!DE258="","",COUNTIFS('Calculations'!$BN$13:$BN$512,1,'Calculations'!$BU$13:$BU$512,'Calculations'!DE258,'Calculations'!$BT$13:$BT$512,1))</x:f>
      </x:c>
      <x:c r="DH258" s="4" t="str">
        <x:f>IF('Calculations'!DE258="","",'Calculations'!DF258-'Calculations'!DG258)</x:f>
      </x:c>
      <x:c r="DI258" s="4" t="str">
        <x:f>IF(OR('Calculations'!DE258="",'Calculations'!DF258=0),"",'Calculations'!DG258/'Calculations'!DF258)</x:f>
      </x:c>
      <x:c r="DJ258" s="4" t="str">
        <x:f>IF('Calculations'!DE258="","",COUNTIFS('Calculations'!$BN$13:$BN$512,1,'Calculations'!$BU$13:$BU$512,'Calculations'!DE258,'Calculations'!$BT$13:$BT$512,1,'Calculations'!$EE$13:$EE$512,"High"))</x:f>
      </x:c>
      <x:c r="DK258" s="4" t="str">
        <x:f>IF('Calculations'!DE258="","",COUNTIFS('Calculations'!$BN$13:$BN$512,1,'Calculations'!$BU$13:$BU$512,'Calculations'!DE258,'Calculations'!$BT$13:$BT$512,1,'Calculations'!$EE$13:$EE$512,"Strong"))</x:f>
      </x:c>
      <x:c r="DL258" s="4" t="str">
        <x:f>IF('Calculations'!DE258="","",COUNTIFS('Calculations'!$BN$13:$BN$512,1,'Calculations'!$BU$13:$BU$512,'Calculations'!DE258,'Calculations'!$BT$13:$BT$512,1,'Calculations'!$EE$13:$EE$512,"Solid"))</x:f>
      </x:c>
      <x:c r="DM258" s="4" t="str">
        <x:f>IF('Calculations'!DE258="","",COUNTIFS('Calculations'!$BN$13:$BN$512,1,'Calculations'!$BU$13:$BU$512,'Calculations'!DE258,'Calculations'!$BT$13:$BT$512,1,'Calculations'!$EE$13:$EE$512,"Low"))</x:f>
      </x:c>
      <x:c r="DN258" s="4" t="str">
        <x:f>IF('Calculations'!DE258="","",COUNTIFS('Calculations'!$BN$13:$BN$512,1,'Calculations'!$BU$13:$BU$512,'Calculations'!DE258,'Calculations'!$EP$13:$EP$512,1))</x:f>
      </x:c>
      <x:c r="DO258" s="4" t="str">
        <x:f>IF(OR('Calculations'!DE258="",'Calculations'!DG258=0),"",('Calculations'!DJ258+'Calculations'!DK258)/'Calculations'!DG258)</x:f>
      </x:c>
      <x:c r="DP258" s="4" t="n">
        <x:f>IF(AND('Calculations'!DE258&lt;&gt;"",'Calculations'!DF258&gt;0),COUNTIF('Calculations'!$DF$12:DF258,"&gt;0"),0)</x:f>
        <x:v>0</x:v>
      </x:c>
      <x:c r="DQ258" s="4" t="str">
        <x:f>IF(247&gt;MAX('Calculations'!$HH$13:$HH$512),"",INDEX('Calculations'!$HF$13:$HF$512,MATCH(247,'Calculations'!$HH$13:$HH$512,0)))</x:f>
      </x:c>
      <x:c r="DR258" s="4" t="str">
        <x:f>IF(247&gt;MAX('Calculations'!$IK$13:$IK$512),"",INDEX('Calculations'!$HE$13:$HE$512,MATCH(247,'Calculations'!$IK$13:$IK$512,0)))</x:f>
      </x:c>
      <x:c r="DS258" s="4"/>
      <x:c r="DT258" s="4"/>
      <x:c r="DU258" s="4"/>
      <x:c r="DV258" s="4"/>
      <x:c r="DW258" s="4"/>
      <x:c r="DX258" s="4"/>
      <x:c r="DY258" s="4"/>
      <x:c r="DZ258" s="4"/>
      <x:c r="EA258" s="4"/>
      <x:c r="EB258" s="4"/>
      <x:c r="EC258" s="4"/>
      <x:c r="ED258" s="4"/>
      <x:c r="EE258" s="4" t="str">
        <x:f>IF('Calculations'!BT258=0,"Not Rated",IF(OR('Calculations'!BO258&gt;=4,'Calculations'!BP258&gt;=4),"Low",IF('Calculations'!BO258+'Calculations'!BP258&lt;=3,"High",IF('Calculations'!BO258+'Calculations'!BP258&lt;=4,"Strong","Solid"))))</x:f>
        <x:v>Not Rated</x:v>
      </x:c>
      <x:c r="EF258" s="4"/>
      <x:c r="EG258" s="4"/>
      <x:c r="EH258" s="4"/>
      <x:c r="EI258" s="4"/>
      <x:c r="EJ258" s="4"/>
      <x:c r="EK258" s="4"/>
      <x:c r="EL258" s="4"/>
      <x:c r="EM258" s="4" t="str">
        <x:f>IF(246&gt;'Calculations'!$JB$2000,"",INDEX('Calculations'!$JA$12:$JA$2000,MATCH(246,'Calculations'!$JB$12:$JB$2000,0)))</x:f>
      </x:c>
      <x:c r="EN258" s="4" t="n">
        <x:f>IF(OR('Calculations'!EM258="",'Calculations'!$AG$8&gt;0,AND('Calculations'!$EF$2&lt;&gt;"All",'Calculations'!HE258='Calculations'!$EF$2),AND('Calculations'!$EF$3&lt;&gt;"All",'Calculations'!HE258='Calculations'!$EF$3)),0,IF(OR('Dashboard'!$B$7="All",'Calculations'!HN258='Dashboard'!$B$7),IF('Calculations'!$EF$2="All",1,IF('Calculations'!HL258&gt;0,0,IF(COUNTIF('Calculations'!HO258:II258,"="&amp;SUBSTITUTE(SUBSTITUTE(SUBSTITUTE('Calculations'!$EF$2,"~","~~"),"*","~*"),"?","~?"))=0,0,IF('Calculations'!$EF$3="All",1,IF(COUNTIF('Calculations'!HO258:II258,"="&amp;SUBSTITUTE(SUBSTITUTE(SUBSTITUTE('Calculations'!$EF$3,"~","~~"),"*","~*"),"?","~?"))&gt;0,1,0))))),0))</x:f>
        <x:v>0</x:v>
      </x:c>
      <x:c r="EO258" s="4" t="str">
        <x:f>IF('Calculations'!IJ258="","",IF('Calculations'!IJ258="!UNRESOLVED","Unresolved hierarchy",IFERROR(INDEX('Calculations'!$HK$13:$HK$512,MATCH('Calculations'!IJ258,'Calculations'!$HE$13:$HE$512,0)),IFERROR(INDEX('Calculations'!$HJ$13:$HJ$512,MATCH('Calculations'!IJ258,'Calculations'!$HF$13:$HF$512,0)),'Calculations'!IJ258))))</x:f>
      </x:c>
      <x:c r="EP258" s="4" t="n">
        <x:f>IF(AND('Calculations'!EM258&lt;&gt;"",'Calculations'!HF258='Calculations'!IJ258),1,0)</x:f>
        <x:v>0</x:v>
      </x:c>
      <x:c r="EQ258" s="4"/>
      <x:c r="ER258" s="4"/>
      <x:c r="ES258" s="4"/>
      <x:c r="ET258" s="4"/>
      <x:c r="EU258" s="4"/>
      <x:c r="EV258" s="4"/>
      <x:c r="EW258" s="4"/>
      <x:c r="EX258" s="4"/>
      <x:c r="EY258" s="4"/>
      <x:c r="EZ258" s="4"/>
      <x:c r="FA258" s="4"/>
      <x:c r="FB258" s="4"/>
      <x:c r="FC258" s="4"/>
      <x:c r="FD258" s="4"/>
      <x:c r="FE258" s="4"/>
      <x:c r="FF258" s="4"/>
      <x:c r="FG258" s="4"/>
      <x:c r="FH258" s="4"/>
      <x:c r="FI258" s="4"/>
      <x:c r="FJ258" s="4"/>
      <x:c r="FK258" s="4"/>
      <x:c r="FL258" s="4"/>
      <x:c r="FM258" s="4"/>
      <x:c r="FN258" s="4"/>
      <x:c r="FO258" s="4"/>
      <x:c r="HE258" t="str">
        <x:f>IF('Calculations'!EM258="","",IF(IFERROR(IF(INDEX(INDIRECT("'WCM Calibration Final'!$A$1:$A$2000"),'Calculations'!$EM258)="","",TRIM(INDEX(INDIRECT("'WCM Calibration Final'!$A$1:$A$2000"),'Calculations'!$EM258)&amp;"")),"")&lt;&gt;"","G:"&amp;IFERROR(TEXT(1*INDEX(INDIRECT("'WCM Calibration Final'!$A$1:$A$2000"),'Calculations'!$EM258),"0"),UPPER(IFERROR(IF(INDEX(INDIRECT("'WCM Calibration Final'!$A$1:$A$2000"),'Calculations'!$EM258)="","",TRIM(INDEX(INDIRECT("'WCM Calibration Final'!$A$1:$A$2000"),'Calculations'!$EM258)&amp;"")),""))),IF(IFERROR(IF(INDEX(INDIRECT("'WCM Calibration Final'!$C$1:$C$2000"),'Calculations'!$EM258)="","",TRIM(INDEX(INDIRECT("'WCM Calibration Final'!$C$1:$C$2000"),'Calculations'!$EM258)&amp;"")),"")&lt;&gt;"","S:"&amp;UPPER(IFERROR(IF(INDEX(INDIRECT("'WCM Calibration Final'!$C$1:$C$2000"),'Calculations'!$EM258)="","",TRIM(INDEX(INDIRECT("'WCM Calibration Final'!$C$1:$C$2000"),'Calculations'!$EM258)&amp;"")),"")),"R:"&amp;'Calculations'!EM258)))</x:f>
      </x:c>
      <x:c r="HF258" t="str">
        <x:f>IF('Calculations'!EM258="","",IF(IFERROR(IF(INDEX(INDIRECT("'WCM Calibration Final'!$D$1:$D$2000"),'Calculations'!$EM258)="","",TRIM(INDEX(INDIRECT("'WCM Calibration Final'!$D$1:$D$2000"),'Calculations'!$EM258)&amp;"")),"")&lt;&gt;"","G:"&amp;IFERROR(TEXT(1*INDEX(INDIRECT("'WCM Calibration Final'!$D$1:$D$2000"),'Calculations'!$EM258),"0"),UPPER(IFERROR(IF(INDEX(INDIRECT("'WCM Calibration Final'!$D$1:$D$2000"),'Calculations'!$EM258)="","",TRIM(INDEX(INDIRECT("'WCM Calibration Final'!$D$1:$D$2000"),'Calculations'!$EM258)&amp;"")),""))),IF(IFERROR(IF(INDEX(INDIRECT("'WCM Calibration Final'!$E$1:$E$2000"),'Calculations'!$EM258)="","",TRIM(INDEX(INDIRECT("'WCM Calibration Final'!$E$1:$E$2000"),'Calculations'!$EM258)&amp;"")),"")="","",IF(COUNTIF('Calculations'!$HG$13:$HG$512,"="&amp;SUBSTITUTE(SUBSTITUTE(SUBSTITUTE(IFERROR(IF(INDEX(INDIRECT("'WCM Calibration Final'!$E$1:$E$2000"),'Calculations'!$EM258)="","",TRIM(INDEX(INDIRECT("'WCM Calibration Final'!$E$1:$E$2000"),'Calculations'!$EM258)&amp;"")),""),"~","~~"),"*","~*"),"?","~?"))=1,INDEX('Calculations'!$HE$13:$HE$512,MATCH(IFERROR(IF(INDEX(INDIRECT("'WCM Calibration Final'!$E$1:$E$2000"),'Calculations'!$EM258)="","",TRIM(INDEX(INDIRECT("'WCM Calibration Final'!$E$1:$E$2000"),'Calculations'!$EM258)&amp;"")),""),'Calculations'!$HG$13:$HG$512,0)),IF(COUNTIF('Calculations'!$HG$13:$HG$512,"="&amp;SUBSTITUTE(SUBSTITUTE(SUBSTITUTE(IFERROR(IF(INDEX(INDIRECT("'WCM Calibration Final'!$E$1:$E$2000"),'Calculations'!$EM258)="","",TRIM(INDEX(INDIRECT("'WCM Calibration Final'!$E$1:$E$2000"),'Calculations'!$EM258)&amp;"")),""),"~","~~"),"*","~*"),"?","~?"))&gt;1,"!AMBIG","X:"&amp;IFERROR(IF(INDEX(INDIRECT("'WCM Calibration Final'!$E$1:$E$2000"),'Calculations'!$EM258)="","",TRIM(INDEX(INDIRECT("'WCM Calibration Final'!$E$1:$E$2000"),'Calculations'!$EM258)&amp;"")),""))))))</x:f>
      </x:c>
      <x:c r="HG258" t="str">
        <x:f>IF('Calculations'!EM258="","",IFERROR(IF(INDEX(INDIRECT("'WCM Calibration Final'!$B$1:$B$2000"),'Calculations'!$EM258)="","",TRIM(INDEX(INDIRECT("'WCM Calibration Final'!$B$1:$B$2000"),'Calculations'!$EM258)&amp;"")),""))</x:f>
      </x:c>
      <x:c r="HH258" t="n">
        <x:f>IF(AND('Calculations'!JC258&gt;0,COUNTIF('Calculations'!$HF$12:HF258,"="&amp;SUBSTITUTE(SUBSTITUTE(SUBSTITUTE('Calculations'!HF258,"~","~~"),"*","~*"),"?","~?"))=1),MAX('Calculations'!$HH$12:HH257)+1,0)</x:f>
        <x:v>0</x:v>
      </x:c>
      <x:c r="HI258" t="n">
        <x:f>IF(AND('Calculations'!HN258&lt;&gt;"",COUNTIF('Calculations'!$HN$12:HN258,"="&amp;SUBSTITUTE(SUBSTITUTE(SUBSTITUTE('Calculations'!HN258,"~","~~"),"*","~*"),"?","~?"))=1),MAX('Calculations'!$HI$12:HI257)+1,0)</x:f>
        <x:v>0</x:v>
      </x:c>
      <x:c r="HJ258" t="str">
        <x:f>IF('Calculations'!HF258="","",IF(COUNTIF('Calculations'!$HE$13:$HE$512,"="&amp;SUBSTITUTE(SUBSTITUTE(SUBSTITUTE('Calculations'!HF258,"~","~~"),"*","~*"),"?","~?"))=1,INDEX('Calculations'!$HK$13:$HK$512,MATCH('Calculations'!HF258,'Calculations'!$HE$13:$HE$512,0)),IFERROR(IF(INDEX(INDIRECT("'WCM Calibration Final'!$E$1:$E$2000"),'Calculations'!$EM258)="","",TRIM(INDEX(INDIRECT("'WCM Calibration Final'!$E$1:$E$2000"),'Calculations'!$EM258)&amp;"")),"")&amp;" ["&amp;'Calculations'!HF258&amp;"]"))</x:f>
      </x:c>
      <x:c r="HK258" t="str">
        <x:f>IF('Calculations'!EM258="","",'Calculations'!HG258&amp;" ["&amp;'Calculations'!HE258&amp;"]")</x:f>
      </x:c>
      <x:c r="HL258" t="n">
        <x:f>IF('Calculations'!EM258="",0,IF(OR('Calculations'!II258&lt;&gt;"",COUNTIF('Calculations'!$HE$13:$HE$512,"="&amp;SUBSTITUTE(SUBSTITUTE(SUBSTITUTE('Calculations'!HE258,"~","~~"),"*","~*"),"?","~?"))&gt;1),1,0))</x:f>
        <x:v>0</x:v>
      </x:c>
      <x:c r="HM258" t="str">
        <x:f>IF('Calculations'!EM258="","",IF('Calculations'!HL258=1,"!UNRESOLVED",IF('Calculations'!IH258&lt;&gt;"",'Calculations'!IH258,IF('Calculations'!IG258&lt;&gt;"",'Calculations'!IG258,IF('Calculations'!IF258&lt;&gt;"",'Calculations'!IF258,IF('Calculations'!IE258&lt;&gt;"",'Calculations'!IE258,IF('Calculations'!ID258&lt;&gt;"",'Calculations'!ID258,IF('Calculations'!IC258&lt;&gt;"",'Calculations'!IC258,IF('Calculations'!IB258&lt;&gt;"",'Calculations'!IB258,IF('Calculations'!IA258&lt;&gt;"",'Calculations'!IA258,IF('Calculations'!HZ258&lt;&gt;"",'Calculations'!HZ258,IF('Calculations'!HY258&lt;&gt;"",'Calculations'!HY258,IF('Calculations'!HX258&lt;&gt;"",'Calculations'!HX258,IF('Calculations'!HW258&lt;&gt;"",'Calculations'!HW258,IF('Calculations'!HV258&lt;&gt;"",'Calculations'!HV258,IF('Calculations'!HU258&lt;&gt;"",'Calculations'!HU258,IF('Calculations'!HT258&lt;&gt;"",'Calculations'!HT258,IF('Calculations'!HS258&lt;&gt;"",'Calculations'!HS258,IF('Calculations'!HR258&lt;&gt;"",'Calculations'!HR258,IF('Calculations'!HQ258&lt;&gt;"",'Calculations'!HQ258,IF('Calculations'!HP258&lt;&gt;"",'Calculations'!HP258,IF('Calculations'!HO258&lt;&gt;"",'Calculations'!HO258,'Calculations'!HE258))))))))))))))))))))))</x:f>
      </x:c>
      <x:c r="HN258" t="str">
        <x:f>IF('Calculations'!EM258="","",IF(IFERROR(IF(INDEX(INDIRECT("'WCM Calibration Final'!$F$1:$F$2000"),'Calculations'!$EM258)="","",TRIM(INDEX(INDIRECT("'WCM Calibration Final'!$F$1:$F$2000"),'Calculations'!$EM258)&amp;"")),"")="","(Blank)",IFERROR(IF(INDEX(INDIRECT("'WCM Calibration Final'!$F$1:$F$2000"),'Calculations'!$EM258)="","",TRIM(INDEX(INDIRECT("'WCM Calibration Final'!$F$1:$F$2000"),'Calculations'!$EM258)&amp;"")),"")))</x:f>
      </x:c>
      <x:c r="HO258" t="str">
        <x:f>'Calculations'!HF258</x:f>
      </x:c>
      <x:c r="HP258" t="str">
        <x:f>IF('Calculations'!HO258="","",IF('Calculations'!HO258="!AMBIG","!AMBIG",IF(COUNTIF('Calculations'!$HE$13:$HE$512,"="&amp;SUBSTITUTE(SUBSTITUTE(SUBSTITUTE('Calculations'!HO258,"~","~~"),"*","~*"),"?","~?"))&gt;1,"!AMBIG",IFERROR(INDEX('Calculations'!$HF$13:$HF$512,MATCH('Calculations'!HO258,'Calculations'!$HE$13:$HE$512,0)),""))))</x:f>
      </x:c>
      <x:c r="HQ258" t="str">
        <x:f>IF('Calculations'!HP258="","",IF('Calculations'!HP258="!AMBIG","!AMBIG",IF(COUNTIF('Calculations'!$HE$13:$HE$512,"="&amp;SUBSTITUTE(SUBSTITUTE(SUBSTITUTE('Calculations'!HP258,"~","~~"),"*","~*"),"?","~?"))&gt;1,"!AMBIG",IFERROR(INDEX('Calculations'!$HF$13:$HF$512,MATCH('Calculations'!HP258,'Calculations'!$HE$13:$HE$512,0)),""))))</x:f>
      </x:c>
      <x:c r="HR258" t="str">
        <x:f>IF('Calculations'!HQ258="","",IF('Calculations'!HQ258="!AMBIG","!AMBIG",IF(COUNTIF('Calculations'!$HE$13:$HE$512,"="&amp;SUBSTITUTE(SUBSTITUTE(SUBSTITUTE('Calculations'!HQ258,"~","~~"),"*","~*"),"?","~?"))&gt;1,"!AMBIG",IFERROR(INDEX('Calculations'!$HF$13:$HF$512,MATCH('Calculations'!HQ258,'Calculations'!$HE$13:$HE$512,0)),""))))</x:f>
      </x:c>
      <x:c r="HS258" t="str">
        <x:f>IF('Calculations'!HR258="","",IF('Calculations'!HR258="!AMBIG","!AMBIG",IF(COUNTIF('Calculations'!$HE$13:$HE$512,"="&amp;SUBSTITUTE(SUBSTITUTE(SUBSTITUTE('Calculations'!HR258,"~","~~"),"*","~*"),"?","~?"))&gt;1,"!AMBIG",IFERROR(INDEX('Calculations'!$HF$13:$HF$512,MATCH('Calculations'!HR258,'Calculations'!$HE$13:$HE$512,0)),""))))</x:f>
      </x:c>
      <x:c r="HT258" t="str">
        <x:f>IF('Calculations'!HS258="","",IF('Calculations'!HS258="!AMBIG","!AMBIG",IF(COUNTIF('Calculations'!$HE$13:$HE$512,"="&amp;SUBSTITUTE(SUBSTITUTE(SUBSTITUTE('Calculations'!HS258,"~","~~"),"*","~*"),"?","~?"))&gt;1,"!AMBIG",IFERROR(INDEX('Calculations'!$HF$13:$HF$512,MATCH('Calculations'!HS258,'Calculations'!$HE$13:$HE$512,0)),""))))</x:f>
      </x:c>
      <x:c r="HU258" t="str">
        <x:f>IF('Calculations'!HT258="","",IF('Calculations'!HT258="!AMBIG","!AMBIG",IF(COUNTIF('Calculations'!$HE$13:$HE$512,"="&amp;SUBSTITUTE(SUBSTITUTE(SUBSTITUTE('Calculations'!HT258,"~","~~"),"*","~*"),"?","~?"))&gt;1,"!AMBIG",IFERROR(INDEX('Calculations'!$HF$13:$HF$512,MATCH('Calculations'!HT258,'Calculations'!$HE$13:$HE$512,0)),""))))</x:f>
      </x:c>
      <x:c r="HV258" t="str">
        <x:f>IF('Calculations'!HU258="","",IF('Calculations'!HU258="!AMBIG","!AMBIG",IF(COUNTIF('Calculations'!$HE$13:$HE$512,"="&amp;SUBSTITUTE(SUBSTITUTE(SUBSTITUTE('Calculations'!HU258,"~","~~"),"*","~*"),"?","~?"))&gt;1,"!AMBIG",IFERROR(INDEX('Calculations'!$HF$13:$HF$512,MATCH('Calculations'!HU258,'Calculations'!$HE$13:$HE$512,0)),""))))</x:f>
      </x:c>
      <x:c r="HW258" t="str">
        <x:f>IF('Calculations'!HV258="","",IF('Calculations'!HV258="!AMBIG","!AMBIG",IF(COUNTIF('Calculations'!$HE$13:$HE$512,"="&amp;SUBSTITUTE(SUBSTITUTE(SUBSTITUTE('Calculations'!HV258,"~","~~"),"*","~*"),"?","~?"))&gt;1,"!AMBIG",IFERROR(INDEX('Calculations'!$HF$13:$HF$512,MATCH('Calculations'!HV258,'Calculations'!$HE$13:$HE$512,0)),""))))</x:f>
      </x:c>
      <x:c r="HX258" t="str">
        <x:f>IF('Calculations'!HW258="","",IF('Calculations'!HW258="!AMBIG","!AMBIG",IF(COUNTIF('Calculations'!$HE$13:$HE$512,"="&amp;SUBSTITUTE(SUBSTITUTE(SUBSTITUTE('Calculations'!HW258,"~","~~"),"*","~*"),"?","~?"))&gt;1,"!AMBIG",IFERROR(INDEX('Calculations'!$HF$13:$HF$512,MATCH('Calculations'!HW258,'Calculations'!$HE$13:$HE$512,0)),""))))</x:f>
      </x:c>
      <x:c r="HY258" t="str">
        <x:f>IF('Calculations'!HX258="","",IF('Calculations'!HX258="!AMBIG","!AMBIG",IF(COUNTIF('Calculations'!$HE$13:$HE$512,"="&amp;SUBSTITUTE(SUBSTITUTE(SUBSTITUTE('Calculations'!HX258,"~","~~"),"*","~*"),"?","~?"))&gt;1,"!AMBIG",IFERROR(INDEX('Calculations'!$HF$13:$HF$512,MATCH('Calculations'!HX258,'Calculations'!$HE$13:$HE$512,0)),""))))</x:f>
      </x:c>
      <x:c r="HZ258" t="str">
        <x:f>IF('Calculations'!HY258="","",IF('Calculations'!HY258="!AMBIG","!AMBIG",IF(COUNTIF('Calculations'!$HE$13:$HE$512,"="&amp;SUBSTITUTE(SUBSTITUTE(SUBSTITUTE('Calculations'!HY258,"~","~~"),"*","~*"),"?","~?"))&gt;1,"!AMBIG",IFERROR(INDEX('Calculations'!$HF$13:$HF$512,MATCH('Calculations'!HY258,'Calculations'!$HE$13:$HE$512,0)),""))))</x:f>
      </x:c>
      <x:c r="IA258" t="str">
        <x:f>IF('Calculations'!HZ258="","",IF('Calculations'!HZ258="!AMBIG","!AMBIG",IF(COUNTIF('Calculations'!$HE$13:$HE$512,"="&amp;SUBSTITUTE(SUBSTITUTE(SUBSTITUTE('Calculations'!HZ258,"~","~~"),"*","~*"),"?","~?"))&gt;1,"!AMBIG",IFERROR(INDEX('Calculations'!$HF$13:$HF$512,MATCH('Calculations'!HZ258,'Calculations'!$HE$13:$HE$512,0)),""))))</x:f>
      </x:c>
      <x:c r="IB258" t="str">
        <x:f>IF('Calculations'!IA258="","",IF('Calculations'!IA258="!AMBIG","!AMBIG",IF(COUNTIF('Calculations'!$HE$13:$HE$512,"="&amp;SUBSTITUTE(SUBSTITUTE(SUBSTITUTE('Calculations'!IA258,"~","~~"),"*","~*"),"?","~?"))&gt;1,"!AMBIG",IFERROR(INDEX('Calculations'!$HF$13:$HF$512,MATCH('Calculations'!IA258,'Calculations'!$HE$13:$HE$512,0)),""))))</x:f>
      </x:c>
      <x:c r="IC258" t="str">
        <x:f>IF('Calculations'!IB258="","",IF('Calculations'!IB258="!AMBIG","!AMBIG",IF(COUNTIF('Calculations'!$HE$13:$HE$512,"="&amp;SUBSTITUTE(SUBSTITUTE(SUBSTITUTE('Calculations'!IB258,"~","~~"),"*","~*"),"?","~?"))&gt;1,"!AMBIG",IFERROR(INDEX('Calculations'!$HF$13:$HF$512,MATCH('Calculations'!IB258,'Calculations'!$HE$13:$HE$512,0)),""))))</x:f>
      </x:c>
      <x:c r="ID258" t="str">
        <x:f>IF('Calculations'!IC258="","",IF('Calculations'!IC258="!AMBIG","!AMBIG",IF(COUNTIF('Calculations'!$HE$13:$HE$512,"="&amp;SUBSTITUTE(SUBSTITUTE(SUBSTITUTE('Calculations'!IC258,"~","~~"),"*","~*"),"?","~?"))&gt;1,"!AMBIG",IFERROR(INDEX('Calculations'!$HF$13:$HF$512,MATCH('Calculations'!IC258,'Calculations'!$HE$13:$HE$512,0)),""))))</x:f>
      </x:c>
      <x:c r="IE258" t="str">
        <x:f>IF('Calculations'!ID258="","",IF('Calculations'!ID258="!AMBIG","!AMBIG",IF(COUNTIF('Calculations'!$HE$13:$HE$512,"="&amp;SUBSTITUTE(SUBSTITUTE(SUBSTITUTE('Calculations'!ID258,"~","~~"),"*","~*"),"?","~?"))&gt;1,"!AMBIG",IFERROR(INDEX('Calculations'!$HF$13:$HF$512,MATCH('Calculations'!ID258,'Calculations'!$HE$13:$HE$512,0)),""))))</x:f>
      </x:c>
      <x:c r="IF258" t="str">
        <x:f>IF('Calculations'!IE258="","",IF('Calculations'!IE258="!AMBIG","!AMBIG",IF(COUNTIF('Calculations'!$HE$13:$HE$512,"="&amp;SUBSTITUTE(SUBSTITUTE(SUBSTITUTE('Calculations'!IE258,"~","~~"),"*","~*"),"?","~?"))&gt;1,"!AMBIG",IFERROR(INDEX('Calculations'!$HF$13:$HF$512,MATCH('Calculations'!IE258,'Calculations'!$HE$13:$HE$512,0)),""))))</x:f>
      </x:c>
      <x:c r="IG258" t="str">
        <x:f>IF('Calculations'!IF258="","",IF('Calculations'!IF258="!AMBIG","!AMBIG",IF(COUNTIF('Calculations'!$HE$13:$HE$512,"="&amp;SUBSTITUTE(SUBSTITUTE(SUBSTITUTE('Calculations'!IF258,"~","~~"),"*","~*"),"?","~?"))&gt;1,"!AMBIG",IFERROR(INDEX('Calculations'!$HF$13:$HF$512,MATCH('Calculations'!IF258,'Calculations'!$HE$13:$HE$512,0)),""))))</x:f>
      </x:c>
      <x:c r="IH258" t="str">
        <x:f>IF('Calculations'!IG258="","",IF('Calculations'!IG258="!AMBIG","!AMBIG",IF(COUNTIF('Calculations'!$HE$13:$HE$512,"="&amp;SUBSTITUTE(SUBSTITUTE(SUBSTITUTE('Calculations'!IG258,"~","~~"),"*","~*"),"?","~?"))&gt;1,"!AMBIG",IFERROR(INDEX('Calculations'!$HF$13:$HF$512,MATCH('Calculations'!IG258,'Calculations'!$HE$13:$HE$512,0)),""))))</x:f>
      </x:c>
      <x:c r="II258" t="str">
        <x:f>IF('Calculations'!IH258="","",IF('Calculations'!IH258="!AMBIG","!AMBIG",IF(COUNTIF('Calculations'!$HE$13:$HE$512,"="&amp;SUBSTITUTE(SUBSTITUTE(SUBSTITUTE('Calculations'!IH258,"~","~~"),"*","~*"),"?","~?"))&gt;1,"!AMBIG",IFERROR(INDEX('Calculations'!$HF$13:$HF$512,MATCH('Calculations'!IH258,'Calculations'!$HE$13:$HE$512,0)),""))))</x:f>
      </x:c>
      <x:c r="IJ258" t="str">
        <x:f>IF('Calculations'!EM258="","",IF('Calculations'!$EF$2="All",'Calculations'!HM258,IF('Calculations'!HL258=1,"",IFERROR(IF(MATCH('Calculations'!$EF$2,'Calculations'!HO258:II258,0)=1,'Calculations'!HE258,INDEX('Calculations'!HO258:II258,1,MATCH('Calculations'!$EF$2,'Calculations'!HO258:II258,0)-1)),""))))</x:f>
      </x:c>
      <x:c r="IK258" t="n">
        <x:f>IF(AND('Calculations'!EM258&lt;&gt;"",'Calculations'!$EF$2&lt;&gt;"All",'Calculations'!HF258='Calculations'!$EF$2,'Calculations'!HL258=0,'Calculations'!JD258&gt;0),MAX('Calculations'!$IK$12:IK257)+1,0)</x:f>
        <x:v>0</x:v>
      </x:c>
      <x:c r="JA258" t="n">
        <x:f>IF(OR(IFERROR(INDIRECT("'WCM Calibration Final'!$A$258")&lt;&gt;"",FALSE),IFERROR(INDIRECT("'WCM Calibration Final'!$B$258")&lt;&gt;"",FALSE),IFERROR(INDIRECT("'WCM Calibration Final'!$C$258")&lt;&gt;"",FALSE)),258,0)</x:f>
        <x:v>0</x:v>
      </x:c>
      <x:c r="JB258" t="n">
        <x:f>'Calculations'!JB257+IF('Calculations'!JA258&gt;0,1,0)</x:f>
        <x:v>0</x:v>
      </x:c>
      <x:c r="JC258" t="n">
        <x:f>IF(OR('Calculations'!HF258="",'Calculations'!HF258="!AMBIG"),0,IF('Dashboard'!$B$7="All",1,COUNTIFS('Calculations'!$HO$13:$HO$512,"="&amp;SUBSTITUTE(SUBSTITUTE(SUBSTITUTE('Calculations'!HF258,"~","~~"),"*","~*"),"?","~?"),'Calculations'!$HN$13:$HN$512,"="&amp;SUBSTITUTE(SUBSTITUTE(SUBSTITUTE('Dashboard'!$B$7,"~","~~"),"*","~*"),"?","~?"))+COUNTIFS('Calculations'!$HP$13:$HP$512,"="&amp;SUBSTITUTE(SUBSTITUTE(SUBSTITUTE('Calculations'!HF258,"~","~~"),"*","~*"),"?","~?"),'Calculations'!$HN$13:$HN$512,"="&amp;SUBSTITUTE(SUBSTITUTE(SUBSTITUTE('Dashboard'!$B$7,"~","~~"),"*","~*"),"?","~?"))+COUNTIFS('Calculations'!$HQ$13:$HQ$512,"="&amp;SUBSTITUTE(SUBSTITUTE(SUBSTITUTE('Calculations'!HF258,"~","~~"),"*","~*"),"?","~?"),'Calculations'!$HN$13:$HN$512,"="&amp;SUBSTITUTE(SUBSTITUTE(SUBSTITUTE('Dashboard'!$B$7,"~","~~"),"*","~*"),"?","~?"))+COUNTIFS('Calculations'!$HR$13:$HR$512,"="&amp;SUBSTITUTE(SUBSTITUTE(SUBSTITUTE('Calculations'!HF258,"~","~~"),"*","~*"),"?","~?"),'Calculations'!$HN$13:$HN$512,"="&amp;SUBSTITUTE(SUBSTITUTE(SUBSTITUTE('Dashboard'!$B$7,"~","~~"),"*","~*"),"?","~?"))+COUNTIFS('Calculations'!$HS$13:$HS$512,"="&amp;SUBSTITUTE(SUBSTITUTE(SUBSTITUTE('Calculations'!HF258,"~","~~"),"*","~*"),"?","~?"),'Calculations'!$HN$13:$HN$512,"="&amp;SUBSTITUTE(SUBSTITUTE(SUBSTITUTE('Dashboard'!$B$7,"~","~~"),"*","~*"),"?","~?"))+COUNTIFS('Calculations'!$HT$13:$HT$512,"="&amp;SUBSTITUTE(SUBSTITUTE(SUBSTITUTE('Calculations'!HF258,"~","~~"),"*","~*"),"?","~?"),'Calculations'!$HN$13:$HN$512,"="&amp;SUBSTITUTE(SUBSTITUTE(SUBSTITUTE('Dashboard'!$B$7,"~","~~"),"*","~*"),"?","~?"))+COUNTIFS('Calculations'!$HU$13:$HU$512,"="&amp;SUBSTITUTE(SUBSTITUTE(SUBSTITUTE('Calculations'!HF258,"~","~~"),"*","~*"),"?","~?"),'Calculations'!$HN$13:$HN$512,"="&amp;SUBSTITUTE(SUBSTITUTE(SUBSTITUTE('Dashboard'!$B$7,"~","~~"),"*","~*"),"?","~?"))+COUNTIFS('Calculations'!$HV$13:$HV$512,"="&amp;SUBSTITUTE(SUBSTITUTE(SUBSTITUTE('Calculations'!HF258,"~","~~"),"*","~*"),"?","~?"),'Calculations'!$HN$13:$HN$512,"="&amp;SUBSTITUTE(SUBSTITUTE(SUBSTITUTE('Dashboard'!$B$7,"~","~~"),"*","~*"),"?","~?"))+COUNTIFS('Calculations'!$HW$13:$HW$512,"="&amp;SUBSTITUTE(SUBSTITUTE(SUBSTITUTE('Calculations'!HF258,"~","~~"),"*","~*"),"?","~?"),'Calculations'!$HN$13:$HN$512,"="&amp;SUBSTITUTE(SUBSTITUTE(SUBSTITUTE('Dashboard'!$B$7,"~","~~"),"*","~*"),"?","~?"))+COUNTIFS('Calculations'!$HX$13:$HX$512,"="&amp;SUBSTITUTE(SUBSTITUTE(SUBSTITUTE('Calculations'!HF258,"~","~~"),"*","~*"),"?","~?"),'Calculations'!$HN$13:$HN$512,"="&amp;SUBSTITUTE(SUBSTITUTE(SUBSTITUTE('Dashboard'!$B$7,"~","~~"),"*","~*"),"?","~?"))+COUNTIFS('Calculations'!$HY$13:$HY$512,"="&amp;SUBSTITUTE(SUBSTITUTE(SUBSTITUTE('Calculations'!HF258,"~","~~"),"*","~*"),"?","~?"),'Calculations'!$HN$13:$HN$512,"="&amp;SUBSTITUTE(SUBSTITUTE(SUBSTITUTE('Dashboard'!$B$7,"~","~~"),"*","~*"),"?","~?"))+COUNTIFS('Calculations'!$HZ$13:$HZ$512,"="&amp;SUBSTITUTE(SUBSTITUTE(SUBSTITUTE('Calculations'!HF258,"~","~~"),"*","~*"),"?","~?"),'Calculations'!$HN$13:$HN$512,"="&amp;SUBSTITUTE(SUBSTITUTE(SUBSTITUTE('Dashboard'!$B$7,"~","~~"),"*","~*"),"?","~?"))+COUNTIFS('Calculations'!$IA$13:$IA$512,"="&amp;SUBSTITUTE(SUBSTITUTE(SUBSTITUTE('Calculations'!HF258,"~","~~"),"*","~*"),"?","~?"),'Calculations'!$HN$13:$HN$512,"="&amp;SUBSTITUTE(SUBSTITUTE(SUBSTITUTE('Dashboard'!$B$7,"~","~~"),"*","~*"),"?","~?"))+COUNTIFS('Calculations'!$IB$13:$IB$512,"="&amp;SUBSTITUTE(SUBSTITUTE(SUBSTITUTE('Calculations'!HF258,"~","~~"),"*","~*"),"?","~?"),'Calculations'!$HN$13:$HN$512,"="&amp;SUBSTITUTE(SUBSTITUTE(SUBSTITUTE('Dashboard'!$B$7,"~","~~"),"*","~*"),"?","~?"))+COUNTIFS('Calculations'!$IC$13:$IC$512,"="&amp;SUBSTITUTE(SUBSTITUTE(SUBSTITUTE('Calculations'!HF258,"~","~~"),"*","~*"),"?","~?"),'Calculations'!$HN$13:$HN$512,"="&amp;SUBSTITUTE(SUBSTITUTE(SUBSTITUTE('Dashboard'!$B$7,"~","~~"),"*","~*"),"?","~?"))+COUNTIFS('Calculations'!$ID$13:$ID$512,"="&amp;SUBSTITUTE(SUBSTITUTE(SUBSTITUTE('Calculations'!HF258,"~","~~"),"*","~*"),"?","~?"),'Calculations'!$HN$13:$HN$512,"="&amp;SUBSTITUTE(SUBSTITUTE(SUBSTITUTE('Dashboard'!$B$7,"~","~~"),"*","~*"),"?","~?"))+COUNTIFS('Calculations'!$IE$13:$IE$512,"="&amp;SUBSTITUTE(SUBSTITUTE(SUBSTITUTE('Calculations'!HF258,"~","~~"),"*","~*"),"?","~?"),'Calculations'!$HN$13:$HN$512,"="&amp;SUBSTITUTE(SUBSTITUTE(SUBSTITUTE('Dashboard'!$B$7,"~","~~"),"*","~*"),"?","~?"))+COUNTIFS('Calculations'!$IF$13:$IF$512,"="&amp;SUBSTITUTE(SUBSTITUTE(SUBSTITUTE('Calculations'!HF258,"~","~~"),"*","~*"),"?","~?"),'Calculations'!$HN$13:$HN$512,"="&amp;SUBSTITUTE(SUBSTITUTE(SUBSTITUTE('Dashboard'!$B$7,"~","~~"),"*","~*"),"?","~?"))+COUNTIFS('Calculations'!$IG$13:$IG$512,"="&amp;SUBSTITUTE(SUBSTITUTE(SUBSTITUTE('Calculations'!HF258,"~","~~"),"*","~*"),"?","~?"),'Calculations'!$HN$13:$HN$512,"="&amp;SUBSTITUTE(SUBSTITUTE(SUBSTITUTE('Dashboard'!$B$7,"~","~~"),"*","~*"),"?","~?"))+COUNTIFS('Calculations'!$IH$13:$IH$512,"="&amp;SUBSTITUTE(SUBSTITUTE(SUBSTITUTE('Calculations'!HF258,"~","~~"),"*","~*"),"?","~?"),'Calculations'!$HN$13:$HN$512,"="&amp;SUBSTITUTE(SUBSTITUTE(SUBSTITUTE('Dashboard'!$B$7,"~","~~"),"*","~*"),"?","~?"))))</x:f>
        <x:v>0</x:v>
      </x:c>
      <x:c r="JD258" t="n">
        <x:f>IF('Calculations'!EM258="",0,IF('Dashboard'!$B$7="All",1,IF('Calculations'!HN258='Dashboard'!$B$7,1,0)+IFERROR(INDEX('Calculations'!$JC$13:$JC$512,MATCH('Calculations'!HE258,'Calculations'!$HF$13:$HF$512,0)),0)))</x:f>
        <x:v>0</x:v>
      </x:c>
      <x:c r="JE258" t="n">
        <x:f>IF(AND('Calculations'!EM258&lt;&gt;"",'Calculations'!$JJ$2&lt;&gt;"All",'Calculations'!$JJ$2&lt;&gt;"",'Calculations'!HF258='Calculations'!$JJ$2,'Calculations'!HL258=0,'Calculations'!JD258&gt;0),MAX('Calculations'!$JE$12:JE257)+1,0)</x:f>
        <x:v>0</x:v>
      </x:c>
      <x:c r="JF258" t="str">
        <x:f>IF('Calculations'!EM258="","",IFERROR(IF(INDEX(INDIRECT("'WCM Calibration Final'!$G$1:$G$2000"),'Calculations'!$EM258)="","",TRIM(INDEX(INDIRECT("'WCM Calibration Final'!$G$1:$G$2000"),'Calculations'!$EM258)&amp;"")),""))</x:f>
      </x:c>
      <x:c r="JQ258" t="n">
        <x:f>IF(OR('Calculations'!BM258=0,NOT('Calculations'!$AG$2),'Calculations'!$AG$8&gt;0),0,IF(OR('Dashboard'!$B$7="All",'Calculations'!HN258='Dashboard'!$B$7),IF('Calculations'!$JJ$2="All",1,IF(AND('Calculations'!HF258='Calculations'!$JJ$2,'Calculations'!HL258=0),1,0)),0))</x:f>
        <x:v>0</x:v>
      </x:c>
    </x:row>
    <x:row r="259">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t="n">
        <x:f>IF('Calculations'!$EM259="",0,IF(OR(IFERROR(INDEX(INDIRECT("'WCM Calibration Final'!$A$1:$A$2000"),'Calculations'!$EM259)&lt;&gt;"",FALSE),IFERROR(INDEX(INDIRECT("'WCM Calibration Final'!$B$1:$B$2000"),'Calculations'!$EM259)&lt;&gt;"",FALSE),IFERROR(INDEX(INDIRECT("'WCM Calibration Final'!$C$1:$C$2000"),'Calculations'!$EM259)&lt;&gt;"",FALSE)),1,0))</x:f>
        <x:v>0</x:v>
      </x:c>
      <x:c r="BN259" s="4" t="n">
        <x:f>IF(AND('Calculations'!BM259=1,'Calculations'!$AG$2,'Calculations'!$EN259=1),1,0)</x:f>
        <x:v>0</x:v>
      </x:c>
      <x:c r="BO259" s="4" t="str">
        <x:f>IF('Calculations'!BM259=0,"",IFERROR(IF(AND(VALUE(INDEX(INDIRECT("'WCM Calibration Final'!$K$1:$K$2000"),'Calculations'!$EM259))&gt;=1,VALUE(INDEX(INDIRECT("'WCM Calibration Final'!$K$1:$K$2000"),'Calculations'!$EM259))&lt;=4,MOD(VALUE(INDEX(INDIRECT("'WCM Calibration Final'!$K$1:$K$2000"),'Calculations'!$EM259)),1)=0),VALUE(INDEX(INDIRECT("'WCM Calibration Final'!$K$1:$K$2000"),'Calculations'!$EM259)),""),""))</x:f>
      </x:c>
      <x:c r="BP259" s="4" t="str">
        <x:f>IF('Calculations'!BM259=0,"",IFERROR(IF(AND(VALUE(INDEX(INDIRECT("'WCM Calibration Final'!$L$1:$L$2000"),'Calculations'!$EM259))&gt;=1,VALUE(INDEX(INDIRECT("'WCM Calibration Final'!$L$1:$L$2000"),'Calculations'!$EM259))&lt;=4,MOD(VALUE(INDEX(INDIRECT("'WCM Calibration Final'!$L$1:$L$2000"),'Calculations'!$EM259)),1)=0),VALUE(INDEX(INDIRECT("'WCM Calibration Final'!$L$1:$L$2000"),'Calculations'!$EM259)),""),""))</x:f>
      </x:c>
      <x:c r="BQ259" s="4"/>
      <x:c r="BR259" s="4"/>
      <x:c r="BS259" s="4"/>
      <x:c r="BT259" s="4" t="n">
        <x:f>IF(AND('Calculations'!BM259=1,ISNUMBER('Calculations'!BO259),ISNUMBER('Calculations'!BP259)),1,0)</x:f>
        <x:v>0</x:v>
      </x:c>
      <x:c r="BU259" s="4" t="str">
        <x:f>IF('Calculations'!BM259=0,"",'Calculations'!$EO259)</x:f>
      </x:c>
      <x:c r="BV259" s="4" t="str">
        <x:f>IF('Calculations'!BM259=0,"",IFERROR(IF(OR(INDEX(INDIRECT("'WCM Calibration Final'!$H$1:$H$2000"),'Calculations'!$EM259)="MANAGING DIRECTOR",INDEX(INDIRECT("'WCM Calibration Final'!$H$1:$H$2000"),'Calculations'!$EM259)="DIRECTOR",INDEX(INDIRECT("'WCM Calibration Final'!$H$1:$H$2000"),'Calculations'!$EM259)="SENIOR VICE PRESIDENT",INDEX(INDIRECT("'WCM Calibration Final'!$H$1:$H$2000"),'Calculations'!$EM259)="VICE PRESIDENT",INDEX(INDIRECT("'WCM Calibration Final'!$H$1:$H$2000"),'Calculations'!$EM259)="ASSISTANT VICE PRESIDENT",INDEX(INDIRECT("'WCM Calibration Final'!$H$1:$H$2000"),'Calculations'!$EM259)="OFFICER"),UPPER(INDEX(INDIRECT("'WCM Calibration Final'!$H$1:$H$2000"),'Calculations'!$EM259)),"Other"),"Other"))</x:f>
      </x:c>
      <x:c r="BW259" s="4"/>
      <x:c r="BX259" s="4"/>
      <x:c r="BY259" s="4" t="n">
        <x:f>IF(AND('Calculations'!BM259=1,'Calculations'!BU259&lt;&gt;"",COUNTIF('Calculations'!$BU$12:BU259,'Calculations'!BU259)=1),MAX('Calculations'!$BY$11:BY258)+1,0)</x:f>
        <x:v>0</x:v>
      </x:c>
      <x:c r="BZ259" s="4" t="str">
        <x:f>IF('Dashboard'!$E$67="What",'Calculations'!BO259,'Calculations'!BP259)</x:f>
      </x:c>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t="str">
        <x:f>IF(248&gt;MAX('Calculations'!$HI$13:$HI$512),"",INDEX('Calculations'!$HN$13:$HN$512,MATCH(248,'Calculations'!$HI$13:$HI$512,0)))</x:f>
      </x:c>
      <x:c r="DB259" s="4" t="str">
        <x:f>IF(248&gt;MAX('Calculations'!$HH$13:$HH$512),"",INDEX('Calculations'!$HJ$13:$HJ$512,MATCH(248,'Calculations'!$HH$13:$HH$512,0)))</x:f>
      </x:c>
      <x:c r="DC259" s="4" t="str">
        <x:f>IF(ROW()-11&gt;MAX('Calculations'!$BY$13:$BY$512),"",INDEX('Calculations'!$BU$13:$BU$512,MATCH(ROW()-11,'Calculations'!$BY$13:$BY$512,0)))</x:f>
      </x:c>
      <x:c r="DD259" s="4" t="str">
        <x:f>IF(248&gt;MAX('Calculations'!$IK$13:$IK$512),"",INDEX('Calculations'!$HK$13:$HK$512,MATCH(248,'Calculations'!$IK$13:$IK$512,0)))</x:f>
      </x:c>
      <x:c r="DE259" s="4" t="str">
        <x:f>'Calculations'!DC259</x:f>
      </x:c>
      <x:c r="DF259" s="4" t="str">
        <x:f>IF('Calculations'!DE259="","",COUNTIFS('Calculations'!$BN$13:$BN$512,1,'Calculations'!$BU$13:$BU$512,'Calculations'!DE259))</x:f>
      </x:c>
      <x:c r="DG259" s="4" t="str">
        <x:f>IF('Calculations'!DE259="","",COUNTIFS('Calculations'!$BN$13:$BN$512,1,'Calculations'!$BU$13:$BU$512,'Calculations'!DE259,'Calculations'!$BT$13:$BT$512,1))</x:f>
      </x:c>
      <x:c r="DH259" s="4" t="str">
        <x:f>IF('Calculations'!DE259="","",'Calculations'!DF259-'Calculations'!DG259)</x:f>
      </x:c>
      <x:c r="DI259" s="4" t="str">
        <x:f>IF(OR('Calculations'!DE259="",'Calculations'!DF259=0),"",'Calculations'!DG259/'Calculations'!DF259)</x:f>
      </x:c>
      <x:c r="DJ259" s="4" t="str">
        <x:f>IF('Calculations'!DE259="","",COUNTIFS('Calculations'!$BN$13:$BN$512,1,'Calculations'!$BU$13:$BU$512,'Calculations'!DE259,'Calculations'!$BT$13:$BT$512,1,'Calculations'!$EE$13:$EE$512,"High"))</x:f>
      </x:c>
      <x:c r="DK259" s="4" t="str">
        <x:f>IF('Calculations'!DE259="","",COUNTIFS('Calculations'!$BN$13:$BN$512,1,'Calculations'!$BU$13:$BU$512,'Calculations'!DE259,'Calculations'!$BT$13:$BT$512,1,'Calculations'!$EE$13:$EE$512,"Strong"))</x:f>
      </x:c>
      <x:c r="DL259" s="4" t="str">
        <x:f>IF('Calculations'!DE259="","",COUNTIFS('Calculations'!$BN$13:$BN$512,1,'Calculations'!$BU$13:$BU$512,'Calculations'!DE259,'Calculations'!$BT$13:$BT$512,1,'Calculations'!$EE$13:$EE$512,"Solid"))</x:f>
      </x:c>
      <x:c r="DM259" s="4" t="str">
        <x:f>IF('Calculations'!DE259="","",COUNTIFS('Calculations'!$BN$13:$BN$512,1,'Calculations'!$BU$13:$BU$512,'Calculations'!DE259,'Calculations'!$BT$13:$BT$512,1,'Calculations'!$EE$13:$EE$512,"Low"))</x:f>
      </x:c>
      <x:c r="DN259" s="4" t="str">
        <x:f>IF('Calculations'!DE259="","",COUNTIFS('Calculations'!$BN$13:$BN$512,1,'Calculations'!$BU$13:$BU$512,'Calculations'!DE259,'Calculations'!$EP$13:$EP$512,1))</x:f>
      </x:c>
      <x:c r="DO259" s="4" t="str">
        <x:f>IF(OR('Calculations'!DE259="",'Calculations'!DG259=0),"",('Calculations'!DJ259+'Calculations'!DK259)/'Calculations'!DG259)</x:f>
      </x:c>
      <x:c r="DP259" s="4" t="n">
        <x:f>IF(AND('Calculations'!DE259&lt;&gt;"",'Calculations'!DF259&gt;0),COUNTIF('Calculations'!$DF$12:DF259,"&gt;0"),0)</x:f>
        <x:v>0</x:v>
      </x:c>
      <x:c r="DQ259" s="4" t="str">
        <x:f>IF(248&gt;MAX('Calculations'!$HH$13:$HH$512),"",INDEX('Calculations'!$HF$13:$HF$512,MATCH(248,'Calculations'!$HH$13:$HH$512,0)))</x:f>
      </x:c>
      <x:c r="DR259" s="4" t="str">
        <x:f>IF(248&gt;MAX('Calculations'!$IK$13:$IK$512),"",INDEX('Calculations'!$HE$13:$HE$512,MATCH(248,'Calculations'!$IK$13:$IK$512,0)))</x:f>
      </x:c>
      <x:c r="DS259" s="4"/>
      <x:c r="DT259" s="4"/>
      <x:c r="DU259" s="4"/>
      <x:c r="DV259" s="4"/>
      <x:c r="DW259" s="4"/>
      <x:c r="DX259" s="4"/>
      <x:c r="DY259" s="4"/>
      <x:c r="DZ259" s="4"/>
      <x:c r="EA259" s="4"/>
      <x:c r="EB259" s="4"/>
      <x:c r="EC259" s="4"/>
      <x:c r="ED259" s="4"/>
      <x:c r="EE259" s="4" t="str">
        <x:f>IF('Calculations'!BT259=0,"Not Rated",IF(OR('Calculations'!BO259&gt;=4,'Calculations'!BP259&gt;=4),"Low",IF('Calculations'!BO259+'Calculations'!BP259&lt;=3,"High",IF('Calculations'!BO259+'Calculations'!BP259&lt;=4,"Strong","Solid"))))</x:f>
        <x:v>Not Rated</x:v>
      </x:c>
      <x:c r="EF259" s="4"/>
      <x:c r="EG259" s="4"/>
      <x:c r="EH259" s="4"/>
      <x:c r="EI259" s="4"/>
      <x:c r="EJ259" s="4"/>
      <x:c r="EK259" s="4"/>
      <x:c r="EL259" s="4"/>
      <x:c r="EM259" s="4" t="str">
        <x:f>IF(247&gt;'Calculations'!$JB$2000,"",INDEX('Calculations'!$JA$12:$JA$2000,MATCH(247,'Calculations'!$JB$12:$JB$2000,0)))</x:f>
      </x:c>
      <x:c r="EN259" s="4" t="n">
        <x:f>IF(OR('Calculations'!EM259="",'Calculations'!$AG$8&gt;0,AND('Calculations'!$EF$2&lt;&gt;"All",'Calculations'!HE259='Calculations'!$EF$2),AND('Calculations'!$EF$3&lt;&gt;"All",'Calculations'!HE259='Calculations'!$EF$3)),0,IF(OR('Dashboard'!$B$7="All",'Calculations'!HN259='Dashboard'!$B$7),IF('Calculations'!$EF$2="All",1,IF('Calculations'!HL259&gt;0,0,IF(COUNTIF('Calculations'!HO259:II259,"="&amp;SUBSTITUTE(SUBSTITUTE(SUBSTITUTE('Calculations'!$EF$2,"~","~~"),"*","~*"),"?","~?"))=0,0,IF('Calculations'!$EF$3="All",1,IF(COUNTIF('Calculations'!HO259:II259,"="&amp;SUBSTITUTE(SUBSTITUTE(SUBSTITUTE('Calculations'!$EF$3,"~","~~"),"*","~*"),"?","~?"))&gt;0,1,0))))),0))</x:f>
        <x:v>0</x:v>
      </x:c>
      <x:c r="EO259" s="4" t="str">
        <x:f>IF('Calculations'!IJ259="","",IF('Calculations'!IJ259="!UNRESOLVED","Unresolved hierarchy",IFERROR(INDEX('Calculations'!$HK$13:$HK$512,MATCH('Calculations'!IJ259,'Calculations'!$HE$13:$HE$512,0)),IFERROR(INDEX('Calculations'!$HJ$13:$HJ$512,MATCH('Calculations'!IJ259,'Calculations'!$HF$13:$HF$512,0)),'Calculations'!IJ259))))</x:f>
      </x:c>
      <x:c r="EP259" s="4" t="n">
        <x:f>IF(AND('Calculations'!EM259&lt;&gt;"",'Calculations'!HF259='Calculations'!IJ259),1,0)</x:f>
        <x:v>0</x:v>
      </x:c>
      <x:c r="EQ259" s="4"/>
      <x:c r="ER259" s="4"/>
      <x:c r="ES259" s="4"/>
      <x:c r="ET259" s="4"/>
      <x:c r="EU259" s="4"/>
      <x:c r="EV259" s="4"/>
      <x:c r="EW259" s="4"/>
      <x:c r="EX259" s="4"/>
      <x:c r="EY259" s="4"/>
      <x:c r="EZ259" s="4"/>
      <x:c r="FA259" s="4"/>
      <x:c r="FB259" s="4"/>
      <x:c r="FC259" s="4"/>
      <x:c r="FD259" s="4"/>
      <x:c r="FE259" s="4"/>
      <x:c r="FF259" s="4"/>
      <x:c r="FG259" s="4"/>
      <x:c r="FH259" s="4"/>
      <x:c r="FI259" s="4"/>
      <x:c r="FJ259" s="4"/>
      <x:c r="FK259" s="4"/>
      <x:c r="FL259" s="4"/>
      <x:c r="FM259" s="4"/>
      <x:c r="FN259" s="4"/>
      <x:c r="FO259" s="4"/>
      <x:c r="HE259" t="str">
        <x:f>IF('Calculations'!EM259="","",IF(IFERROR(IF(INDEX(INDIRECT("'WCM Calibration Final'!$A$1:$A$2000"),'Calculations'!$EM259)="","",TRIM(INDEX(INDIRECT("'WCM Calibration Final'!$A$1:$A$2000"),'Calculations'!$EM259)&amp;"")),"")&lt;&gt;"","G:"&amp;IFERROR(TEXT(1*INDEX(INDIRECT("'WCM Calibration Final'!$A$1:$A$2000"),'Calculations'!$EM259),"0"),UPPER(IFERROR(IF(INDEX(INDIRECT("'WCM Calibration Final'!$A$1:$A$2000"),'Calculations'!$EM259)="","",TRIM(INDEX(INDIRECT("'WCM Calibration Final'!$A$1:$A$2000"),'Calculations'!$EM259)&amp;"")),""))),IF(IFERROR(IF(INDEX(INDIRECT("'WCM Calibration Final'!$C$1:$C$2000"),'Calculations'!$EM259)="","",TRIM(INDEX(INDIRECT("'WCM Calibration Final'!$C$1:$C$2000"),'Calculations'!$EM259)&amp;"")),"")&lt;&gt;"","S:"&amp;UPPER(IFERROR(IF(INDEX(INDIRECT("'WCM Calibration Final'!$C$1:$C$2000"),'Calculations'!$EM259)="","",TRIM(INDEX(INDIRECT("'WCM Calibration Final'!$C$1:$C$2000"),'Calculations'!$EM259)&amp;"")),"")),"R:"&amp;'Calculations'!EM259)))</x:f>
      </x:c>
      <x:c r="HF259" t="str">
        <x:f>IF('Calculations'!EM259="","",IF(IFERROR(IF(INDEX(INDIRECT("'WCM Calibration Final'!$D$1:$D$2000"),'Calculations'!$EM259)="","",TRIM(INDEX(INDIRECT("'WCM Calibration Final'!$D$1:$D$2000"),'Calculations'!$EM259)&amp;"")),"")&lt;&gt;"","G:"&amp;IFERROR(TEXT(1*INDEX(INDIRECT("'WCM Calibration Final'!$D$1:$D$2000"),'Calculations'!$EM259),"0"),UPPER(IFERROR(IF(INDEX(INDIRECT("'WCM Calibration Final'!$D$1:$D$2000"),'Calculations'!$EM259)="","",TRIM(INDEX(INDIRECT("'WCM Calibration Final'!$D$1:$D$2000"),'Calculations'!$EM259)&amp;"")),""))),IF(IFERROR(IF(INDEX(INDIRECT("'WCM Calibration Final'!$E$1:$E$2000"),'Calculations'!$EM259)="","",TRIM(INDEX(INDIRECT("'WCM Calibration Final'!$E$1:$E$2000"),'Calculations'!$EM259)&amp;"")),"")="","",IF(COUNTIF('Calculations'!$HG$13:$HG$512,"="&amp;SUBSTITUTE(SUBSTITUTE(SUBSTITUTE(IFERROR(IF(INDEX(INDIRECT("'WCM Calibration Final'!$E$1:$E$2000"),'Calculations'!$EM259)="","",TRIM(INDEX(INDIRECT("'WCM Calibration Final'!$E$1:$E$2000"),'Calculations'!$EM259)&amp;"")),""),"~","~~"),"*","~*"),"?","~?"))=1,INDEX('Calculations'!$HE$13:$HE$512,MATCH(IFERROR(IF(INDEX(INDIRECT("'WCM Calibration Final'!$E$1:$E$2000"),'Calculations'!$EM259)="","",TRIM(INDEX(INDIRECT("'WCM Calibration Final'!$E$1:$E$2000"),'Calculations'!$EM259)&amp;"")),""),'Calculations'!$HG$13:$HG$512,0)),IF(COUNTIF('Calculations'!$HG$13:$HG$512,"="&amp;SUBSTITUTE(SUBSTITUTE(SUBSTITUTE(IFERROR(IF(INDEX(INDIRECT("'WCM Calibration Final'!$E$1:$E$2000"),'Calculations'!$EM259)="","",TRIM(INDEX(INDIRECT("'WCM Calibration Final'!$E$1:$E$2000"),'Calculations'!$EM259)&amp;"")),""),"~","~~"),"*","~*"),"?","~?"))&gt;1,"!AMBIG","X:"&amp;IFERROR(IF(INDEX(INDIRECT("'WCM Calibration Final'!$E$1:$E$2000"),'Calculations'!$EM259)="","",TRIM(INDEX(INDIRECT("'WCM Calibration Final'!$E$1:$E$2000"),'Calculations'!$EM259)&amp;"")),""))))))</x:f>
      </x:c>
      <x:c r="HG259" t="str">
        <x:f>IF('Calculations'!EM259="","",IFERROR(IF(INDEX(INDIRECT("'WCM Calibration Final'!$B$1:$B$2000"),'Calculations'!$EM259)="","",TRIM(INDEX(INDIRECT("'WCM Calibration Final'!$B$1:$B$2000"),'Calculations'!$EM259)&amp;"")),""))</x:f>
      </x:c>
      <x:c r="HH259" t="n">
        <x:f>IF(AND('Calculations'!JC259&gt;0,COUNTIF('Calculations'!$HF$12:HF259,"="&amp;SUBSTITUTE(SUBSTITUTE(SUBSTITUTE('Calculations'!HF259,"~","~~"),"*","~*"),"?","~?"))=1),MAX('Calculations'!$HH$12:HH258)+1,0)</x:f>
        <x:v>0</x:v>
      </x:c>
      <x:c r="HI259" t="n">
        <x:f>IF(AND('Calculations'!HN259&lt;&gt;"",COUNTIF('Calculations'!$HN$12:HN259,"="&amp;SUBSTITUTE(SUBSTITUTE(SUBSTITUTE('Calculations'!HN259,"~","~~"),"*","~*"),"?","~?"))=1),MAX('Calculations'!$HI$12:HI258)+1,0)</x:f>
        <x:v>0</x:v>
      </x:c>
      <x:c r="HJ259" t="str">
        <x:f>IF('Calculations'!HF259="","",IF(COUNTIF('Calculations'!$HE$13:$HE$512,"="&amp;SUBSTITUTE(SUBSTITUTE(SUBSTITUTE('Calculations'!HF259,"~","~~"),"*","~*"),"?","~?"))=1,INDEX('Calculations'!$HK$13:$HK$512,MATCH('Calculations'!HF259,'Calculations'!$HE$13:$HE$512,0)),IFERROR(IF(INDEX(INDIRECT("'WCM Calibration Final'!$E$1:$E$2000"),'Calculations'!$EM259)="","",TRIM(INDEX(INDIRECT("'WCM Calibration Final'!$E$1:$E$2000"),'Calculations'!$EM259)&amp;"")),"")&amp;" ["&amp;'Calculations'!HF259&amp;"]"))</x:f>
      </x:c>
      <x:c r="HK259" t="str">
        <x:f>IF('Calculations'!EM259="","",'Calculations'!HG259&amp;" ["&amp;'Calculations'!HE259&amp;"]")</x:f>
      </x:c>
      <x:c r="HL259" t="n">
        <x:f>IF('Calculations'!EM259="",0,IF(OR('Calculations'!II259&lt;&gt;"",COUNTIF('Calculations'!$HE$13:$HE$512,"="&amp;SUBSTITUTE(SUBSTITUTE(SUBSTITUTE('Calculations'!HE259,"~","~~"),"*","~*"),"?","~?"))&gt;1),1,0))</x:f>
        <x:v>0</x:v>
      </x:c>
      <x:c r="HM259" t="str">
        <x:f>IF('Calculations'!EM259="","",IF('Calculations'!HL259=1,"!UNRESOLVED",IF('Calculations'!IH259&lt;&gt;"",'Calculations'!IH259,IF('Calculations'!IG259&lt;&gt;"",'Calculations'!IG259,IF('Calculations'!IF259&lt;&gt;"",'Calculations'!IF259,IF('Calculations'!IE259&lt;&gt;"",'Calculations'!IE259,IF('Calculations'!ID259&lt;&gt;"",'Calculations'!ID259,IF('Calculations'!IC259&lt;&gt;"",'Calculations'!IC259,IF('Calculations'!IB259&lt;&gt;"",'Calculations'!IB259,IF('Calculations'!IA259&lt;&gt;"",'Calculations'!IA259,IF('Calculations'!HZ259&lt;&gt;"",'Calculations'!HZ259,IF('Calculations'!HY259&lt;&gt;"",'Calculations'!HY259,IF('Calculations'!HX259&lt;&gt;"",'Calculations'!HX259,IF('Calculations'!HW259&lt;&gt;"",'Calculations'!HW259,IF('Calculations'!HV259&lt;&gt;"",'Calculations'!HV259,IF('Calculations'!HU259&lt;&gt;"",'Calculations'!HU259,IF('Calculations'!HT259&lt;&gt;"",'Calculations'!HT259,IF('Calculations'!HS259&lt;&gt;"",'Calculations'!HS259,IF('Calculations'!HR259&lt;&gt;"",'Calculations'!HR259,IF('Calculations'!HQ259&lt;&gt;"",'Calculations'!HQ259,IF('Calculations'!HP259&lt;&gt;"",'Calculations'!HP259,IF('Calculations'!HO259&lt;&gt;"",'Calculations'!HO259,'Calculations'!HE259))))))))))))))))))))))</x:f>
      </x:c>
      <x:c r="HN259" t="str">
        <x:f>IF('Calculations'!EM259="","",IF(IFERROR(IF(INDEX(INDIRECT("'WCM Calibration Final'!$F$1:$F$2000"),'Calculations'!$EM259)="","",TRIM(INDEX(INDIRECT("'WCM Calibration Final'!$F$1:$F$2000"),'Calculations'!$EM259)&amp;"")),"")="","(Blank)",IFERROR(IF(INDEX(INDIRECT("'WCM Calibration Final'!$F$1:$F$2000"),'Calculations'!$EM259)="","",TRIM(INDEX(INDIRECT("'WCM Calibration Final'!$F$1:$F$2000"),'Calculations'!$EM259)&amp;"")),"")))</x:f>
      </x:c>
      <x:c r="HO259" t="str">
        <x:f>'Calculations'!HF259</x:f>
      </x:c>
      <x:c r="HP259" t="str">
        <x:f>IF('Calculations'!HO259="","",IF('Calculations'!HO259="!AMBIG","!AMBIG",IF(COUNTIF('Calculations'!$HE$13:$HE$512,"="&amp;SUBSTITUTE(SUBSTITUTE(SUBSTITUTE('Calculations'!HO259,"~","~~"),"*","~*"),"?","~?"))&gt;1,"!AMBIG",IFERROR(INDEX('Calculations'!$HF$13:$HF$512,MATCH('Calculations'!HO259,'Calculations'!$HE$13:$HE$512,0)),""))))</x:f>
      </x:c>
      <x:c r="HQ259" t="str">
        <x:f>IF('Calculations'!HP259="","",IF('Calculations'!HP259="!AMBIG","!AMBIG",IF(COUNTIF('Calculations'!$HE$13:$HE$512,"="&amp;SUBSTITUTE(SUBSTITUTE(SUBSTITUTE('Calculations'!HP259,"~","~~"),"*","~*"),"?","~?"))&gt;1,"!AMBIG",IFERROR(INDEX('Calculations'!$HF$13:$HF$512,MATCH('Calculations'!HP259,'Calculations'!$HE$13:$HE$512,0)),""))))</x:f>
      </x:c>
      <x:c r="HR259" t="str">
        <x:f>IF('Calculations'!HQ259="","",IF('Calculations'!HQ259="!AMBIG","!AMBIG",IF(COUNTIF('Calculations'!$HE$13:$HE$512,"="&amp;SUBSTITUTE(SUBSTITUTE(SUBSTITUTE('Calculations'!HQ259,"~","~~"),"*","~*"),"?","~?"))&gt;1,"!AMBIG",IFERROR(INDEX('Calculations'!$HF$13:$HF$512,MATCH('Calculations'!HQ259,'Calculations'!$HE$13:$HE$512,0)),""))))</x:f>
      </x:c>
      <x:c r="HS259" t="str">
        <x:f>IF('Calculations'!HR259="","",IF('Calculations'!HR259="!AMBIG","!AMBIG",IF(COUNTIF('Calculations'!$HE$13:$HE$512,"="&amp;SUBSTITUTE(SUBSTITUTE(SUBSTITUTE('Calculations'!HR259,"~","~~"),"*","~*"),"?","~?"))&gt;1,"!AMBIG",IFERROR(INDEX('Calculations'!$HF$13:$HF$512,MATCH('Calculations'!HR259,'Calculations'!$HE$13:$HE$512,0)),""))))</x:f>
      </x:c>
      <x:c r="HT259" t="str">
        <x:f>IF('Calculations'!HS259="","",IF('Calculations'!HS259="!AMBIG","!AMBIG",IF(COUNTIF('Calculations'!$HE$13:$HE$512,"="&amp;SUBSTITUTE(SUBSTITUTE(SUBSTITUTE('Calculations'!HS259,"~","~~"),"*","~*"),"?","~?"))&gt;1,"!AMBIG",IFERROR(INDEX('Calculations'!$HF$13:$HF$512,MATCH('Calculations'!HS259,'Calculations'!$HE$13:$HE$512,0)),""))))</x:f>
      </x:c>
      <x:c r="HU259" t="str">
        <x:f>IF('Calculations'!HT259="","",IF('Calculations'!HT259="!AMBIG","!AMBIG",IF(COUNTIF('Calculations'!$HE$13:$HE$512,"="&amp;SUBSTITUTE(SUBSTITUTE(SUBSTITUTE('Calculations'!HT259,"~","~~"),"*","~*"),"?","~?"))&gt;1,"!AMBIG",IFERROR(INDEX('Calculations'!$HF$13:$HF$512,MATCH('Calculations'!HT259,'Calculations'!$HE$13:$HE$512,0)),""))))</x:f>
      </x:c>
      <x:c r="HV259" t="str">
        <x:f>IF('Calculations'!HU259="","",IF('Calculations'!HU259="!AMBIG","!AMBIG",IF(COUNTIF('Calculations'!$HE$13:$HE$512,"="&amp;SUBSTITUTE(SUBSTITUTE(SUBSTITUTE('Calculations'!HU259,"~","~~"),"*","~*"),"?","~?"))&gt;1,"!AMBIG",IFERROR(INDEX('Calculations'!$HF$13:$HF$512,MATCH('Calculations'!HU259,'Calculations'!$HE$13:$HE$512,0)),""))))</x:f>
      </x:c>
      <x:c r="HW259" t="str">
        <x:f>IF('Calculations'!HV259="","",IF('Calculations'!HV259="!AMBIG","!AMBIG",IF(COUNTIF('Calculations'!$HE$13:$HE$512,"="&amp;SUBSTITUTE(SUBSTITUTE(SUBSTITUTE('Calculations'!HV259,"~","~~"),"*","~*"),"?","~?"))&gt;1,"!AMBIG",IFERROR(INDEX('Calculations'!$HF$13:$HF$512,MATCH('Calculations'!HV259,'Calculations'!$HE$13:$HE$512,0)),""))))</x:f>
      </x:c>
      <x:c r="HX259" t="str">
        <x:f>IF('Calculations'!HW259="","",IF('Calculations'!HW259="!AMBIG","!AMBIG",IF(COUNTIF('Calculations'!$HE$13:$HE$512,"="&amp;SUBSTITUTE(SUBSTITUTE(SUBSTITUTE('Calculations'!HW259,"~","~~"),"*","~*"),"?","~?"))&gt;1,"!AMBIG",IFERROR(INDEX('Calculations'!$HF$13:$HF$512,MATCH('Calculations'!HW259,'Calculations'!$HE$13:$HE$512,0)),""))))</x:f>
      </x:c>
      <x:c r="HY259" t="str">
        <x:f>IF('Calculations'!HX259="","",IF('Calculations'!HX259="!AMBIG","!AMBIG",IF(COUNTIF('Calculations'!$HE$13:$HE$512,"="&amp;SUBSTITUTE(SUBSTITUTE(SUBSTITUTE('Calculations'!HX259,"~","~~"),"*","~*"),"?","~?"))&gt;1,"!AMBIG",IFERROR(INDEX('Calculations'!$HF$13:$HF$512,MATCH('Calculations'!HX259,'Calculations'!$HE$13:$HE$512,0)),""))))</x:f>
      </x:c>
      <x:c r="HZ259" t="str">
        <x:f>IF('Calculations'!HY259="","",IF('Calculations'!HY259="!AMBIG","!AMBIG",IF(COUNTIF('Calculations'!$HE$13:$HE$512,"="&amp;SUBSTITUTE(SUBSTITUTE(SUBSTITUTE('Calculations'!HY259,"~","~~"),"*","~*"),"?","~?"))&gt;1,"!AMBIG",IFERROR(INDEX('Calculations'!$HF$13:$HF$512,MATCH('Calculations'!HY259,'Calculations'!$HE$13:$HE$512,0)),""))))</x:f>
      </x:c>
      <x:c r="IA259" t="str">
        <x:f>IF('Calculations'!HZ259="","",IF('Calculations'!HZ259="!AMBIG","!AMBIG",IF(COUNTIF('Calculations'!$HE$13:$HE$512,"="&amp;SUBSTITUTE(SUBSTITUTE(SUBSTITUTE('Calculations'!HZ259,"~","~~"),"*","~*"),"?","~?"))&gt;1,"!AMBIG",IFERROR(INDEX('Calculations'!$HF$13:$HF$512,MATCH('Calculations'!HZ259,'Calculations'!$HE$13:$HE$512,0)),""))))</x:f>
      </x:c>
      <x:c r="IB259" t="str">
        <x:f>IF('Calculations'!IA259="","",IF('Calculations'!IA259="!AMBIG","!AMBIG",IF(COUNTIF('Calculations'!$HE$13:$HE$512,"="&amp;SUBSTITUTE(SUBSTITUTE(SUBSTITUTE('Calculations'!IA259,"~","~~"),"*","~*"),"?","~?"))&gt;1,"!AMBIG",IFERROR(INDEX('Calculations'!$HF$13:$HF$512,MATCH('Calculations'!IA259,'Calculations'!$HE$13:$HE$512,0)),""))))</x:f>
      </x:c>
      <x:c r="IC259" t="str">
        <x:f>IF('Calculations'!IB259="","",IF('Calculations'!IB259="!AMBIG","!AMBIG",IF(COUNTIF('Calculations'!$HE$13:$HE$512,"="&amp;SUBSTITUTE(SUBSTITUTE(SUBSTITUTE('Calculations'!IB259,"~","~~"),"*","~*"),"?","~?"))&gt;1,"!AMBIG",IFERROR(INDEX('Calculations'!$HF$13:$HF$512,MATCH('Calculations'!IB259,'Calculations'!$HE$13:$HE$512,0)),""))))</x:f>
      </x:c>
      <x:c r="ID259" t="str">
        <x:f>IF('Calculations'!IC259="","",IF('Calculations'!IC259="!AMBIG","!AMBIG",IF(COUNTIF('Calculations'!$HE$13:$HE$512,"="&amp;SUBSTITUTE(SUBSTITUTE(SUBSTITUTE('Calculations'!IC259,"~","~~"),"*","~*"),"?","~?"))&gt;1,"!AMBIG",IFERROR(INDEX('Calculations'!$HF$13:$HF$512,MATCH('Calculations'!IC259,'Calculations'!$HE$13:$HE$512,0)),""))))</x:f>
      </x:c>
      <x:c r="IE259" t="str">
        <x:f>IF('Calculations'!ID259="","",IF('Calculations'!ID259="!AMBIG","!AMBIG",IF(COUNTIF('Calculations'!$HE$13:$HE$512,"="&amp;SUBSTITUTE(SUBSTITUTE(SUBSTITUTE('Calculations'!ID259,"~","~~"),"*","~*"),"?","~?"))&gt;1,"!AMBIG",IFERROR(INDEX('Calculations'!$HF$13:$HF$512,MATCH('Calculations'!ID259,'Calculations'!$HE$13:$HE$512,0)),""))))</x:f>
      </x:c>
      <x:c r="IF259" t="str">
        <x:f>IF('Calculations'!IE259="","",IF('Calculations'!IE259="!AMBIG","!AMBIG",IF(COUNTIF('Calculations'!$HE$13:$HE$512,"="&amp;SUBSTITUTE(SUBSTITUTE(SUBSTITUTE('Calculations'!IE259,"~","~~"),"*","~*"),"?","~?"))&gt;1,"!AMBIG",IFERROR(INDEX('Calculations'!$HF$13:$HF$512,MATCH('Calculations'!IE259,'Calculations'!$HE$13:$HE$512,0)),""))))</x:f>
      </x:c>
      <x:c r="IG259" t="str">
        <x:f>IF('Calculations'!IF259="","",IF('Calculations'!IF259="!AMBIG","!AMBIG",IF(COUNTIF('Calculations'!$HE$13:$HE$512,"="&amp;SUBSTITUTE(SUBSTITUTE(SUBSTITUTE('Calculations'!IF259,"~","~~"),"*","~*"),"?","~?"))&gt;1,"!AMBIG",IFERROR(INDEX('Calculations'!$HF$13:$HF$512,MATCH('Calculations'!IF259,'Calculations'!$HE$13:$HE$512,0)),""))))</x:f>
      </x:c>
      <x:c r="IH259" t="str">
        <x:f>IF('Calculations'!IG259="","",IF('Calculations'!IG259="!AMBIG","!AMBIG",IF(COUNTIF('Calculations'!$HE$13:$HE$512,"="&amp;SUBSTITUTE(SUBSTITUTE(SUBSTITUTE('Calculations'!IG259,"~","~~"),"*","~*"),"?","~?"))&gt;1,"!AMBIG",IFERROR(INDEX('Calculations'!$HF$13:$HF$512,MATCH('Calculations'!IG259,'Calculations'!$HE$13:$HE$512,0)),""))))</x:f>
      </x:c>
      <x:c r="II259" t="str">
        <x:f>IF('Calculations'!IH259="","",IF('Calculations'!IH259="!AMBIG","!AMBIG",IF(COUNTIF('Calculations'!$HE$13:$HE$512,"="&amp;SUBSTITUTE(SUBSTITUTE(SUBSTITUTE('Calculations'!IH259,"~","~~"),"*","~*"),"?","~?"))&gt;1,"!AMBIG",IFERROR(INDEX('Calculations'!$HF$13:$HF$512,MATCH('Calculations'!IH259,'Calculations'!$HE$13:$HE$512,0)),""))))</x:f>
      </x:c>
      <x:c r="IJ259" t="str">
        <x:f>IF('Calculations'!EM259="","",IF('Calculations'!$EF$2="All",'Calculations'!HM259,IF('Calculations'!HL259=1,"",IFERROR(IF(MATCH('Calculations'!$EF$2,'Calculations'!HO259:II259,0)=1,'Calculations'!HE259,INDEX('Calculations'!HO259:II259,1,MATCH('Calculations'!$EF$2,'Calculations'!HO259:II259,0)-1)),""))))</x:f>
      </x:c>
      <x:c r="IK259" t="n">
        <x:f>IF(AND('Calculations'!EM259&lt;&gt;"",'Calculations'!$EF$2&lt;&gt;"All",'Calculations'!HF259='Calculations'!$EF$2,'Calculations'!HL259=0,'Calculations'!JD259&gt;0),MAX('Calculations'!$IK$12:IK258)+1,0)</x:f>
        <x:v>0</x:v>
      </x:c>
      <x:c r="JA259" t="n">
        <x:f>IF(OR(IFERROR(INDIRECT("'WCM Calibration Final'!$A$259")&lt;&gt;"",FALSE),IFERROR(INDIRECT("'WCM Calibration Final'!$B$259")&lt;&gt;"",FALSE),IFERROR(INDIRECT("'WCM Calibration Final'!$C$259")&lt;&gt;"",FALSE)),259,0)</x:f>
        <x:v>0</x:v>
      </x:c>
      <x:c r="JB259" t="n">
        <x:f>'Calculations'!JB258+IF('Calculations'!JA259&gt;0,1,0)</x:f>
        <x:v>0</x:v>
      </x:c>
      <x:c r="JC259" t="n">
        <x:f>IF(OR('Calculations'!HF259="",'Calculations'!HF259="!AMBIG"),0,IF('Dashboard'!$B$7="All",1,COUNTIFS('Calculations'!$HO$13:$HO$512,"="&amp;SUBSTITUTE(SUBSTITUTE(SUBSTITUTE('Calculations'!HF259,"~","~~"),"*","~*"),"?","~?"),'Calculations'!$HN$13:$HN$512,"="&amp;SUBSTITUTE(SUBSTITUTE(SUBSTITUTE('Dashboard'!$B$7,"~","~~"),"*","~*"),"?","~?"))+COUNTIFS('Calculations'!$HP$13:$HP$512,"="&amp;SUBSTITUTE(SUBSTITUTE(SUBSTITUTE('Calculations'!HF259,"~","~~"),"*","~*"),"?","~?"),'Calculations'!$HN$13:$HN$512,"="&amp;SUBSTITUTE(SUBSTITUTE(SUBSTITUTE('Dashboard'!$B$7,"~","~~"),"*","~*"),"?","~?"))+COUNTIFS('Calculations'!$HQ$13:$HQ$512,"="&amp;SUBSTITUTE(SUBSTITUTE(SUBSTITUTE('Calculations'!HF259,"~","~~"),"*","~*"),"?","~?"),'Calculations'!$HN$13:$HN$512,"="&amp;SUBSTITUTE(SUBSTITUTE(SUBSTITUTE('Dashboard'!$B$7,"~","~~"),"*","~*"),"?","~?"))+COUNTIFS('Calculations'!$HR$13:$HR$512,"="&amp;SUBSTITUTE(SUBSTITUTE(SUBSTITUTE('Calculations'!HF259,"~","~~"),"*","~*"),"?","~?"),'Calculations'!$HN$13:$HN$512,"="&amp;SUBSTITUTE(SUBSTITUTE(SUBSTITUTE('Dashboard'!$B$7,"~","~~"),"*","~*"),"?","~?"))+COUNTIFS('Calculations'!$HS$13:$HS$512,"="&amp;SUBSTITUTE(SUBSTITUTE(SUBSTITUTE('Calculations'!HF259,"~","~~"),"*","~*"),"?","~?"),'Calculations'!$HN$13:$HN$512,"="&amp;SUBSTITUTE(SUBSTITUTE(SUBSTITUTE('Dashboard'!$B$7,"~","~~"),"*","~*"),"?","~?"))+COUNTIFS('Calculations'!$HT$13:$HT$512,"="&amp;SUBSTITUTE(SUBSTITUTE(SUBSTITUTE('Calculations'!HF259,"~","~~"),"*","~*"),"?","~?"),'Calculations'!$HN$13:$HN$512,"="&amp;SUBSTITUTE(SUBSTITUTE(SUBSTITUTE('Dashboard'!$B$7,"~","~~"),"*","~*"),"?","~?"))+COUNTIFS('Calculations'!$HU$13:$HU$512,"="&amp;SUBSTITUTE(SUBSTITUTE(SUBSTITUTE('Calculations'!HF259,"~","~~"),"*","~*"),"?","~?"),'Calculations'!$HN$13:$HN$512,"="&amp;SUBSTITUTE(SUBSTITUTE(SUBSTITUTE('Dashboard'!$B$7,"~","~~"),"*","~*"),"?","~?"))+COUNTIFS('Calculations'!$HV$13:$HV$512,"="&amp;SUBSTITUTE(SUBSTITUTE(SUBSTITUTE('Calculations'!HF259,"~","~~"),"*","~*"),"?","~?"),'Calculations'!$HN$13:$HN$512,"="&amp;SUBSTITUTE(SUBSTITUTE(SUBSTITUTE('Dashboard'!$B$7,"~","~~"),"*","~*"),"?","~?"))+COUNTIFS('Calculations'!$HW$13:$HW$512,"="&amp;SUBSTITUTE(SUBSTITUTE(SUBSTITUTE('Calculations'!HF259,"~","~~"),"*","~*"),"?","~?"),'Calculations'!$HN$13:$HN$512,"="&amp;SUBSTITUTE(SUBSTITUTE(SUBSTITUTE('Dashboard'!$B$7,"~","~~"),"*","~*"),"?","~?"))+COUNTIFS('Calculations'!$HX$13:$HX$512,"="&amp;SUBSTITUTE(SUBSTITUTE(SUBSTITUTE('Calculations'!HF259,"~","~~"),"*","~*"),"?","~?"),'Calculations'!$HN$13:$HN$512,"="&amp;SUBSTITUTE(SUBSTITUTE(SUBSTITUTE('Dashboard'!$B$7,"~","~~"),"*","~*"),"?","~?"))+COUNTIFS('Calculations'!$HY$13:$HY$512,"="&amp;SUBSTITUTE(SUBSTITUTE(SUBSTITUTE('Calculations'!HF259,"~","~~"),"*","~*"),"?","~?"),'Calculations'!$HN$13:$HN$512,"="&amp;SUBSTITUTE(SUBSTITUTE(SUBSTITUTE('Dashboard'!$B$7,"~","~~"),"*","~*"),"?","~?"))+COUNTIFS('Calculations'!$HZ$13:$HZ$512,"="&amp;SUBSTITUTE(SUBSTITUTE(SUBSTITUTE('Calculations'!HF259,"~","~~"),"*","~*"),"?","~?"),'Calculations'!$HN$13:$HN$512,"="&amp;SUBSTITUTE(SUBSTITUTE(SUBSTITUTE('Dashboard'!$B$7,"~","~~"),"*","~*"),"?","~?"))+COUNTIFS('Calculations'!$IA$13:$IA$512,"="&amp;SUBSTITUTE(SUBSTITUTE(SUBSTITUTE('Calculations'!HF259,"~","~~"),"*","~*"),"?","~?"),'Calculations'!$HN$13:$HN$512,"="&amp;SUBSTITUTE(SUBSTITUTE(SUBSTITUTE('Dashboard'!$B$7,"~","~~"),"*","~*"),"?","~?"))+COUNTIFS('Calculations'!$IB$13:$IB$512,"="&amp;SUBSTITUTE(SUBSTITUTE(SUBSTITUTE('Calculations'!HF259,"~","~~"),"*","~*"),"?","~?"),'Calculations'!$HN$13:$HN$512,"="&amp;SUBSTITUTE(SUBSTITUTE(SUBSTITUTE('Dashboard'!$B$7,"~","~~"),"*","~*"),"?","~?"))+COUNTIFS('Calculations'!$IC$13:$IC$512,"="&amp;SUBSTITUTE(SUBSTITUTE(SUBSTITUTE('Calculations'!HF259,"~","~~"),"*","~*"),"?","~?"),'Calculations'!$HN$13:$HN$512,"="&amp;SUBSTITUTE(SUBSTITUTE(SUBSTITUTE('Dashboard'!$B$7,"~","~~"),"*","~*"),"?","~?"))+COUNTIFS('Calculations'!$ID$13:$ID$512,"="&amp;SUBSTITUTE(SUBSTITUTE(SUBSTITUTE('Calculations'!HF259,"~","~~"),"*","~*"),"?","~?"),'Calculations'!$HN$13:$HN$512,"="&amp;SUBSTITUTE(SUBSTITUTE(SUBSTITUTE('Dashboard'!$B$7,"~","~~"),"*","~*"),"?","~?"))+COUNTIFS('Calculations'!$IE$13:$IE$512,"="&amp;SUBSTITUTE(SUBSTITUTE(SUBSTITUTE('Calculations'!HF259,"~","~~"),"*","~*"),"?","~?"),'Calculations'!$HN$13:$HN$512,"="&amp;SUBSTITUTE(SUBSTITUTE(SUBSTITUTE('Dashboard'!$B$7,"~","~~"),"*","~*"),"?","~?"))+COUNTIFS('Calculations'!$IF$13:$IF$512,"="&amp;SUBSTITUTE(SUBSTITUTE(SUBSTITUTE('Calculations'!HF259,"~","~~"),"*","~*"),"?","~?"),'Calculations'!$HN$13:$HN$512,"="&amp;SUBSTITUTE(SUBSTITUTE(SUBSTITUTE('Dashboard'!$B$7,"~","~~"),"*","~*"),"?","~?"))+COUNTIFS('Calculations'!$IG$13:$IG$512,"="&amp;SUBSTITUTE(SUBSTITUTE(SUBSTITUTE('Calculations'!HF259,"~","~~"),"*","~*"),"?","~?"),'Calculations'!$HN$13:$HN$512,"="&amp;SUBSTITUTE(SUBSTITUTE(SUBSTITUTE('Dashboard'!$B$7,"~","~~"),"*","~*"),"?","~?"))+COUNTIFS('Calculations'!$IH$13:$IH$512,"="&amp;SUBSTITUTE(SUBSTITUTE(SUBSTITUTE('Calculations'!HF259,"~","~~"),"*","~*"),"?","~?"),'Calculations'!$HN$13:$HN$512,"="&amp;SUBSTITUTE(SUBSTITUTE(SUBSTITUTE('Dashboard'!$B$7,"~","~~"),"*","~*"),"?","~?"))))</x:f>
        <x:v>0</x:v>
      </x:c>
      <x:c r="JD259" t="n">
        <x:f>IF('Calculations'!EM259="",0,IF('Dashboard'!$B$7="All",1,IF('Calculations'!HN259='Dashboard'!$B$7,1,0)+IFERROR(INDEX('Calculations'!$JC$13:$JC$512,MATCH('Calculations'!HE259,'Calculations'!$HF$13:$HF$512,0)),0)))</x:f>
        <x:v>0</x:v>
      </x:c>
      <x:c r="JE259" t="n">
        <x:f>IF(AND('Calculations'!EM259&lt;&gt;"",'Calculations'!$JJ$2&lt;&gt;"All",'Calculations'!$JJ$2&lt;&gt;"",'Calculations'!HF259='Calculations'!$JJ$2,'Calculations'!HL259=0,'Calculations'!JD259&gt;0),MAX('Calculations'!$JE$12:JE258)+1,0)</x:f>
        <x:v>0</x:v>
      </x:c>
      <x:c r="JF259" t="str">
        <x:f>IF('Calculations'!EM259="","",IFERROR(IF(INDEX(INDIRECT("'WCM Calibration Final'!$G$1:$G$2000"),'Calculations'!$EM259)="","",TRIM(INDEX(INDIRECT("'WCM Calibration Final'!$G$1:$G$2000"),'Calculations'!$EM259)&amp;"")),""))</x:f>
      </x:c>
      <x:c r="JQ259" t="n">
        <x:f>IF(OR('Calculations'!BM259=0,NOT('Calculations'!$AG$2),'Calculations'!$AG$8&gt;0),0,IF(OR('Dashboard'!$B$7="All",'Calculations'!HN259='Dashboard'!$B$7),IF('Calculations'!$JJ$2="All",1,IF(AND('Calculations'!HF259='Calculations'!$JJ$2,'Calculations'!HL259=0),1,0)),0))</x:f>
        <x:v>0</x:v>
      </x:c>
    </x:row>
    <x:row r="260">
      <x:c r="AF260" s="4" t="str">
        <x:v>Rating</x:v>
      </x:c>
      <x:c r="AG260" s="4" t="str">
        <x:v>Count</x:v>
      </x:c>
      <x:c r="AH260" s="4" t="str">
        <x:v>Actual</x:v>
      </x:c>
      <x:c r="AI260" s="4" t="str">
        <x:v>Threshold</x:v>
      </x:c>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t="n">
        <x:f>IF('Calculations'!$EM260="",0,IF(OR(IFERROR(INDEX(INDIRECT("'WCM Calibration Final'!$A$1:$A$2000"),'Calculations'!$EM260)&lt;&gt;"",FALSE),IFERROR(INDEX(INDIRECT("'WCM Calibration Final'!$B$1:$B$2000"),'Calculations'!$EM260)&lt;&gt;"",FALSE),IFERROR(INDEX(INDIRECT("'WCM Calibration Final'!$C$1:$C$2000"),'Calculations'!$EM260)&lt;&gt;"",FALSE)),1,0))</x:f>
        <x:v>0</x:v>
      </x:c>
      <x:c r="BN260" s="4" t="n">
        <x:f>IF(AND('Calculations'!BM260=1,'Calculations'!$AG$2,'Calculations'!$EN260=1),1,0)</x:f>
        <x:v>0</x:v>
      </x:c>
      <x:c r="BO260" s="4" t="str">
        <x:f>IF('Calculations'!BM260=0,"",IFERROR(IF(AND(VALUE(INDEX(INDIRECT("'WCM Calibration Final'!$K$1:$K$2000"),'Calculations'!$EM260))&gt;=1,VALUE(INDEX(INDIRECT("'WCM Calibration Final'!$K$1:$K$2000"),'Calculations'!$EM260))&lt;=4,MOD(VALUE(INDEX(INDIRECT("'WCM Calibration Final'!$K$1:$K$2000"),'Calculations'!$EM260)),1)=0),VALUE(INDEX(INDIRECT("'WCM Calibration Final'!$K$1:$K$2000"),'Calculations'!$EM260)),""),""))</x:f>
      </x:c>
      <x:c r="BP260" s="4" t="str">
        <x:f>IF('Calculations'!BM260=0,"",IFERROR(IF(AND(VALUE(INDEX(INDIRECT("'WCM Calibration Final'!$L$1:$L$2000"),'Calculations'!$EM260))&gt;=1,VALUE(INDEX(INDIRECT("'WCM Calibration Final'!$L$1:$L$2000"),'Calculations'!$EM260))&lt;=4,MOD(VALUE(INDEX(INDIRECT("'WCM Calibration Final'!$L$1:$L$2000"),'Calculations'!$EM260)),1)=0),VALUE(INDEX(INDIRECT("'WCM Calibration Final'!$L$1:$L$2000"),'Calculations'!$EM260)),""),""))</x:f>
      </x:c>
      <x:c r="BQ260" s="4"/>
      <x:c r="BR260" s="4"/>
      <x:c r="BS260" s="4"/>
      <x:c r="BT260" s="4" t="n">
        <x:f>IF(AND('Calculations'!BM260=1,ISNUMBER('Calculations'!BO260),ISNUMBER('Calculations'!BP260)),1,0)</x:f>
        <x:v>0</x:v>
      </x:c>
      <x:c r="BU260" s="4" t="str">
        <x:f>IF('Calculations'!BM260=0,"",'Calculations'!$EO260)</x:f>
      </x:c>
      <x:c r="BV260" s="4" t="str">
        <x:f>IF('Calculations'!BM260=0,"",IFERROR(IF(OR(INDEX(INDIRECT("'WCM Calibration Final'!$H$1:$H$2000"),'Calculations'!$EM260)="MANAGING DIRECTOR",INDEX(INDIRECT("'WCM Calibration Final'!$H$1:$H$2000"),'Calculations'!$EM260)="DIRECTOR",INDEX(INDIRECT("'WCM Calibration Final'!$H$1:$H$2000"),'Calculations'!$EM260)="SENIOR VICE PRESIDENT",INDEX(INDIRECT("'WCM Calibration Final'!$H$1:$H$2000"),'Calculations'!$EM260)="VICE PRESIDENT",INDEX(INDIRECT("'WCM Calibration Final'!$H$1:$H$2000"),'Calculations'!$EM260)="ASSISTANT VICE PRESIDENT",INDEX(INDIRECT("'WCM Calibration Final'!$H$1:$H$2000"),'Calculations'!$EM260)="OFFICER"),UPPER(INDEX(INDIRECT("'WCM Calibration Final'!$H$1:$H$2000"),'Calculations'!$EM260)),"Other"),"Other"))</x:f>
      </x:c>
      <x:c r="BW260" s="4"/>
      <x:c r="BX260" s="4"/>
      <x:c r="BY260" s="4" t="n">
        <x:f>IF(AND('Calculations'!BM260=1,'Calculations'!BU260&lt;&gt;"",COUNTIF('Calculations'!$BU$12:BU260,'Calculations'!BU260)=1),MAX('Calculations'!$BY$11:BY259)+1,0)</x:f>
        <x:v>0</x:v>
      </x:c>
      <x:c r="BZ260" s="4" t="str">
        <x:f>IF('Dashboard'!$E$67="What",'Calculations'!BO260,'Calculations'!BP260)</x:f>
      </x:c>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t="str">
        <x:f>IF(249&gt;MAX('Calculations'!$HI$13:$HI$512),"",INDEX('Calculations'!$HN$13:$HN$512,MATCH(249,'Calculations'!$HI$13:$HI$512,0)))</x:f>
      </x:c>
      <x:c r="DB260" s="4" t="str">
        <x:f>IF(249&gt;MAX('Calculations'!$HH$13:$HH$512),"",INDEX('Calculations'!$HJ$13:$HJ$512,MATCH(249,'Calculations'!$HH$13:$HH$512,0)))</x:f>
      </x:c>
      <x:c r="DC260" s="4" t="str">
        <x:f>IF(ROW()-11&gt;MAX('Calculations'!$BY$13:$BY$512),"",INDEX('Calculations'!$BU$13:$BU$512,MATCH(ROW()-11,'Calculations'!$BY$13:$BY$512,0)))</x:f>
      </x:c>
      <x:c r="DD260" s="4" t="str">
        <x:f>IF(249&gt;MAX('Calculations'!$IK$13:$IK$512),"",INDEX('Calculations'!$HK$13:$HK$512,MATCH(249,'Calculations'!$IK$13:$IK$512,0)))</x:f>
      </x:c>
      <x:c r="DE260" s="4" t="str">
        <x:f>'Calculations'!DC260</x:f>
      </x:c>
      <x:c r="DF260" s="4" t="str">
        <x:f>IF('Calculations'!DE260="","",COUNTIFS('Calculations'!$BN$13:$BN$512,1,'Calculations'!$BU$13:$BU$512,'Calculations'!DE260))</x:f>
      </x:c>
      <x:c r="DG260" s="4" t="str">
        <x:f>IF('Calculations'!DE260="","",COUNTIFS('Calculations'!$BN$13:$BN$512,1,'Calculations'!$BU$13:$BU$512,'Calculations'!DE260,'Calculations'!$BT$13:$BT$512,1))</x:f>
      </x:c>
      <x:c r="DH260" s="4" t="str">
        <x:f>IF('Calculations'!DE260="","",'Calculations'!DF260-'Calculations'!DG260)</x:f>
      </x:c>
      <x:c r="DI260" s="4" t="str">
        <x:f>IF(OR('Calculations'!DE260="",'Calculations'!DF260=0),"",'Calculations'!DG260/'Calculations'!DF260)</x:f>
      </x:c>
      <x:c r="DJ260" s="4" t="str">
        <x:f>IF('Calculations'!DE260="","",COUNTIFS('Calculations'!$BN$13:$BN$512,1,'Calculations'!$BU$13:$BU$512,'Calculations'!DE260,'Calculations'!$BT$13:$BT$512,1,'Calculations'!$EE$13:$EE$512,"High"))</x:f>
      </x:c>
      <x:c r="DK260" s="4" t="str">
        <x:f>IF('Calculations'!DE260="","",COUNTIFS('Calculations'!$BN$13:$BN$512,1,'Calculations'!$BU$13:$BU$512,'Calculations'!DE260,'Calculations'!$BT$13:$BT$512,1,'Calculations'!$EE$13:$EE$512,"Strong"))</x:f>
      </x:c>
      <x:c r="DL260" s="4" t="str">
        <x:f>IF('Calculations'!DE260="","",COUNTIFS('Calculations'!$BN$13:$BN$512,1,'Calculations'!$BU$13:$BU$512,'Calculations'!DE260,'Calculations'!$BT$13:$BT$512,1,'Calculations'!$EE$13:$EE$512,"Solid"))</x:f>
      </x:c>
      <x:c r="DM260" s="4" t="str">
        <x:f>IF('Calculations'!DE260="","",COUNTIFS('Calculations'!$BN$13:$BN$512,1,'Calculations'!$BU$13:$BU$512,'Calculations'!DE260,'Calculations'!$BT$13:$BT$512,1,'Calculations'!$EE$13:$EE$512,"Low"))</x:f>
      </x:c>
      <x:c r="DN260" s="4" t="str">
        <x:f>IF('Calculations'!DE260="","",COUNTIFS('Calculations'!$BN$13:$BN$512,1,'Calculations'!$BU$13:$BU$512,'Calculations'!DE260,'Calculations'!$EP$13:$EP$512,1))</x:f>
      </x:c>
      <x:c r="DO260" s="4" t="str">
        <x:f>IF(OR('Calculations'!DE260="",'Calculations'!DG260=0),"",('Calculations'!DJ260+'Calculations'!DK260)/'Calculations'!DG260)</x:f>
      </x:c>
      <x:c r="DP260" s="4" t="n">
        <x:f>IF(AND('Calculations'!DE260&lt;&gt;"",'Calculations'!DF260&gt;0),COUNTIF('Calculations'!$DF$12:DF260,"&gt;0"),0)</x:f>
        <x:v>0</x:v>
      </x:c>
      <x:c r="DQ260" s="4" t="str">
        <x:f>IF(249&gt;MAX('Calculations'!$HH$13:$HH$512),"",INDEX('Calculations'!$HF$13:$HF$512,MATCH(249,'Calculations'!$HH$13:$HH$512,0)))</x:f>
      </x:c>
      <x:c r="DR260" s="4" t="str">
        <x:f>IF(249&gt;MAX('Calculations'!$IK$13:$IK$512),"",INDEX('Calculations'!$HE$13:$HE$512,MATCH(249,'Calculations'!$IK$13:$IK$512,0)))</x:f>
      </x:c>
      <x:c r="DS260" s="4"/>
      <x:c r="DT260" s="4"/>
      <x:c r="DU260" s="4"/>
      <x:c r="DV260" s="4"/>
      <x:c r="DW260" s="4"/>
      <x:c r="DX260" s="4"/>
      <x:c r="DY260" s="4"/>
      <x:c r="DZ260" s="4"/>
      <x:c r="EA260" s="4"/>
      <x:c r="EB260" s="4"/>
      <x:c r="EC260" s="4"/>
      <x:c r="ED260" s="4"/>
      <x:c r="EE260" s="4" t="str">
        <x:f>IF('Calculations'!BT260=0,"Not Rated",IF(OR('Calculations'!BO260&gt;=4,'Calculations'!BP260&gt;=4),"Low",IF('Calculations'!BO260+'Calculations'!BP260&lt;=3,"High",IF('Calculations'!BO260+'Calculations'!BP260&lt;=4,"Strong","Solid"))))</x:f>
        <x:v>Not Rated</x:v>
      </x:c>
      <x:c r="EF260" s="4"/>
      <x:c r="EG260" s="4"/>
      <x:c r="EH260" s="4"/>
      <x:c r="EI260" s="4"/>
      <x:c r="EJ260" s="4"/>
      <x:c r="EK260" s="4"/>
      <x:c r="EL260" s="4"/>
      <x:c r="EM260" s="4" t="str">
        <x:f>IF(248&gt;'Calculations'!$JB$2000,"",INDEX('Calculations'!$JA$12:$JA$2000,MATCH(248,'Calculations'!$JB$12:$JB$2000,0)))</x:f>
      </x:c>
      <x:c r="EN260" s="4" t="n">
        <x:f>IF(OR('Calculations'!EM260="",'Calculations'!$AG$8&gt;0,AND('Calculations'!$EF$2&lt;&gt;"All",'Calculations'!HE260='Calculations'!$EF$2),AND('Calculations'!$EF$3&lt;&gt;"All",'Calculations'!HE260='Calculations'!$EF$3)),0,IF(OR('Dashboard'!$B$7="All",'Calculations'!HN260='Dashboard'!$B$7),IF('Calculations'!$EF$2="All",1,IF('Calculations'!HL260&gt;0,0,IF(COUNTIF('Calculations'!HO260:II260,"="&amp;SUBSTITUTE(SUBSTITUTE(SUBSTITUTE('Calculations'!$EF$2,"~","~~"),"*","~*"),"?","~?"))=0,0,IF('Calculations'!$EF$3="All",1,IF(COUNTIF('Calculations'!HO260:II260,"="&amp;SUBSTITUTE(SUBSTITUTE(SUBSTITUTE('Calculations'!$EF$3,"~","~~"),"*","~*"),"?","~?"))&gt;0,1,0))))),0))</x:f>
        <x:v>0</x:v>
      </x:c>
      <x:c r="EO260" s="4" t="str">
        <x:f>IF('Calculations'!IJ260="","",IF('Calculations'!IJ260="!UNRESOLVED","Unresolved hierarchy",IFERROR(INDEX('Calculations'!$HK$13:$HK$512,MATCH('Calculations'!IJ260,'Calculations'!$HE$13:$HE$512,0)),IFERROR(INDEX('Calculations'!$HJ$13:$HJ$512,MATCH('Calculations'!IJ260,'Calculations'!$HF$13:$HF$512,0)),'Calculations'!IJ260))))</x:f>
      </x:c>
      <x:c r="EP260" s="4" t="n">
        <x:f>IF(AND('Calculations'!EM260&lt;&gt;"",'Calculations'!HF260='Calculations'!IJ260),1,0)</x:f>
        <x:v>0</x:v>
      </x:c>
      <x:c r="EQ260" s="4"/>
      <x:c r="ER260" s="4"/>
      <x:c r="ES260" s="4"/>
      <x:c r="ET260" s="4"/>
      <x:c r="EU260" s="4"/>
      <x:c r="EV260" s="4"/>
      <x:c r="EW260" s="4"/>
      <x:c r="EX260" s="4"/>
      <x:c r="EY260" s="4"/>
      <x:c r="EZ260" s="4"/>
      <x:c r="FA260" s="4"/>
      <x:c r="FB260" s="4"/>
      <x:c r="FC260" s="4"/>
      <x:c r="FD260" s="4"/>
      <x:c r="FE260" s="4"/>
      <x:c r="FF260" s="4"/>
      <x:c r="FG260" s="4"/>
      <x:c r="FH260" s="4"/>
      <x:c r="FI260" s="4"/>
      <x:c r="FJ260" s="4"/>
      <x:c r="FK260" s="4"/>
      <x:c r="FL260" s="4"/>
      <x:c r="FM260" s="4"/>
      <x:c r="FN260" s="4"/>
      <x:c r="FO260" s="4"/>
      <x:c r="HE260" t="str">
        <x:f>IF('Calculations'!EM260="","",IF(IFERROR(IF(INDEX(INDIRECT("'WCM Calibration Final'!$A$1:$A$2000"),'Calculations'!$EM260)="","",TRIM(INDEX(INDIRECT("'WCM Calibration Final'!$A$1:$A$2000"),'Calculations'!$EM260)&amp;"")),"")&lt;&gt;"","G:"&amp;IFERROR(TEXT(1*INDEX(INDIRECT("'WCM Calibration Final'!$A$1:$A$2000"),'Calculations'!$EM260),"0"),UPPER(IFERROR(IF(INDEX(INDIRECT("'WCM Calibration Final'!$A$1:$A$2000"),'Calculations'!$EM260)="","",TRIM(INDEX(INDIRECT("'WCM Calibration Final'!$A$1:$A$2000"),'Calculations'!$EM260)&amp;"")),""))),IF(IFERROR(IF(INDEX(INDIRECT("'WCM Calibration Final'!$C$1:$C$2000"),'Calculations'!$EM260)="","",TRIM(INDEX(INDIRECT("'WCM Calibration Final'!$C$1:$C$2000"),'Calculations'!$EM260)&amp;"")),"")&lt;&gt;"","S:"&amp;UPPER(IFERROR(IF(INDEX(INDIRECT("'WCM Calibration Final'!$C$1:$C$2000"),'Calculations'!$EM260)="","",TRIM(INDEX(INDIRECT("'WCM Calibration Final'!$C$1:$C$2000"),'Calculations'!$EM260)&amp;"")),"")),"R:"&amp;'Calculations'!EM260)))</x:f>
      </x:c>
      <x:c r="HF260" t="str">
        <x:f>IF('Calculations'!EM260="","",IF(IFERROR(IF(INDEX(INDIRECT("'WCM Calibration Final'!$D$1:$D$2000"),'Calculations'!$EM260)="","",TRIM(INDEX(INDIRECT("'WCM Calibration Final'!$D$1:$D$2000"),'Calculations'!$EM260)&amp;"")),"")&lt;&gt;"","G:"&amp;IFERROR(TEXT(1*INDEX(INDIRECT("'WCM Calibration Final'!$D$1:$D$2000"),'Calculations'!$EM260),"0"),UPPER(IFERROR(IF(INDEX(INDIRECT("'WCM Calibration Final'!$D$1:$D$2000"),'Calculations'!$EM260)="","",TRIM(INDEX(INDIRECT("'WCM Calibration Final'!$D$1:$D$2000"),'Calculations'!$EM260)&amp;"")),""))),IF(IFERROR(IF(INDEX(INDIRECT("'WCM Calibration Final'!$E$1:$E$2000"),'Calculations'!$EM260)="","",TRIM(INDEX(INDIRECT("'WCM Calibration Final'!$E$1:$E$2000"),'Calculations'!$EM260)&amp;"")),"")="","",IF(COUNTIF('Calculations'!$HG$13:$HG$512,"="&amp;SUBSTITUTE(SUBSTITUTE(SUBSTITUTE(IFERROR(IF(INDEX(INDIRECT("'WCM Calibration Final'!$E$1:$E$2000"),'Calculations'!$EM260)="","",TRIM(INDEX(INDIRECT("'WCM Calibration Final'!$E$1:$E$2000"),'Calculations'!$EM260)&amp;"")),""),"~","~~"),"*","~*"),"?","~?"))=1,INDEX('Calculations'!$HE$13:$HE$512,MATCH(IFERROR(IF(INDEX(INDIRECT("'WCM Calibration Final'!$E$1:$E$2000"),'Calculations'!$EM260)="","",TRIM(INDEX(INDIRECT("'WCM Calibration Final'!$E$1:$E$2000"),'Calculations'!$EM260)&amp;"")),""),'Calculations'!$HG$13:$HG$512,0)),IF(COUNTIF('Calculations'!$HG$13:$HG$512,"="&amp;SUBSTITUTE(SUBSTITUTE(SUBSTITUTE(IFERROR(IF(INDEX(INDIRECT("'WCM Calibration Final'!$E$1:$E$2000"),'Calculations'!$EM260)="","",TRIM(INDEX(INDIRECT("'WCM Calibration Final'!$E$1:$E$2000"),'Calculations'!$EM260)&amp;"")),""),"~","~~"),"*","~*"),"?","~?"))&gt;1,"!AMBIG","X:"&amp;IFERROR(IF(INDEX(INDIRECT("'WCM Calibration Final'!$E$1:$E$2000"),'Calculations'!$EM260)="","",TRIM(INDEX(INDIRECT("'WCM Calibration Final'!$E$1:$E$2000"),'Calculations'!$EM260)&amp;"")),""))))))</x:f>
      </x:c>
      <x:c r="HG260" t="str">
        <x:f>IF('Calculations'!EM260="","",IFERROR(IF(INDEX(INDIRECT("'WCM Calibration Final'!$B$1:$B$2000"),'Calculations'!$EM260)="","",TRIM(INDEX(INDIRECT("'WCM Calibration Final'!$B$1:$B$2000"),'Calculations'!$EM260)&amp;"")),""))</x:f>
      </x:c>
      <x:c r="HH260" t="n">
        <x:f>IF(AND('Calculations'!JC260&gt;0,COUNTIF('Calculations'!$HF$12:HF260,"="&amp;SUBSTITUTE(SUBSTITUTE(SUBSTITUTE('Calculations'!HF260,"~","~~"),"*","~*"),"?","~?"))=1),MAX('Calculations'!$HH$12:HH259)+1,0)</x:f>
        <x:v>0</x:v>
      </x:c>
      <x:c r="HI260" t="n">
        <x:f>IF(AND('Calculations'!HN260&lt;&gt;"",COUNTIF('Calculations'!$HN$12:HN260,"="&amp;SUBSTITUTE(SUBSTITUTE(SUBSTITUTE('Calculations'!HN260,"~","~~"),"*","~*"),"?","~?"))=1),MAX('Calculations'!$HI$12:HI259)+1,0)</x:f>
        <x:v>0</x:v>
      </x:c>
      <x:c r="HJ260" t="str">
        <x:f>IF('Calculations'!HF260="","",IF(COUNTIF('Calculations'!$HE$13:$HE$512,"="&amp;SUBSTITUTE(SUBSTITUTE(SUBSTITUTE('Calculations'!HF260,"~","~~"),"*","~*"),"?","~?"))=1,INDEX('Calculations'!$HK$13:$HK$512,MATCH('Calculations'!HF260,'Calculations'!$HE$13:$HE$512,0)),IFERROR(IF(INDEX(INDIRECT("'WCM Calibration Final'!$E$1:$E$2000"),'Calculations'!$EM260)="","",TRIM(INDEX(INDIRECT("'WCM Calibration Final'!$E$1:$E$2000"),'Calculations'!$EM260)&amp;"")),"")&amp;" ["&amp;'Calculations'!HF260&amp;"]"))</x:f>
      </x:c>
      <x:c r="HK260" t="str">
        <x:f>IF('Calculations'!EM260="","",'Calculations'!HG260&amp;" ["&amp;'Calculations'!HE260&amp;"]")</x:f>
      </x:c>
      <x:c r="HL260" t="n">
        <x:f>IF('Calculations'!EM260="",0,IF(OR('Calculations'!II260&lt;&gt;"",COUNTIF('Calculations'!$HE$13:$HE$512,"="&amp;SUBSTITUTE(SUBSTITUTE(SUBSTITUTE('Calculations'!HE260,"~","~~"),"*","~*"),"?","~?"))&gt;1),1,0))</x:f>
        <x:v>0</x:v>
      </x:c>
      <x:c r="HM260" t="str">
        <x:f>IF('Calculations'!EM260="","",IF('Calculations'!HL260=1,"!UNRESOLVED",IF('Calculations'!IH260&lt;&gt;"",'Calculations'!IH260,IF('Calculations'!IG260&lt;&gt;"",'Calculations'!IG260,IF('Calculations'!IF260&lt;&gt;"",'Calculations'!IF260,IF('Calculations'!IE260&lt;&gt;"",'Calculations'!IE260,IF('Calculations'!ID260&lt;&gt;"",'Calculations'!ID260,IF('Calculations'!IC260&lt;&gt;"",'Calculations'!IC260,IF('Calculations'!IB260&lt;&gt;"",'Calculations'!IB260,IF('Calculations'!IA260&lt;&gt;"",'Calculations'!IA260,IF('Calculations'!HZ260&lt;&gt;"",'Calculations'!HZ260,IF('Calculations'!HY260&lt;&gt;"",'Calculations'!HY260,IF('Calculations'!HX260&lt;&gt;"",'Calculations'!HX260,IF('Calculations'!HW260&lt;&gt;"",'Calculations'!HW260,IF('Calculations'!HV260&lt;&gt;"",'Calculations'!HV260,IF('Calculations'!HU260&lt;&gt;"",'Calculations'!HU260,IF('Calculations'!HT260&lt;&gt;"",'Calculations'!HT260,IF('Calculations'!HS260&lt;&gt;"",'Calculations'!HS260,IF('Calculations'!HR260&lt;&gt;"",'Calculations'!HR260,IF('Calculations'!HQ260&lt;&gt;"",'Calculations'!HQ260,IF('Calculations'!HP260&lt;&gt;"",'Calculations'!HP260,IF('Calculations'!HO260&lt;&gt;"",'Calculations'!HO260,'Calculations'!HE260))))))))))))))))))))))</x:f>
      </x:c>
      <x:c r="HN260" t="str">
        <x:f>IF('Calculations'!EM260="","",IF(IFERROR(IF(INDEX(INDIRECT("'WCM Calibration Final'!$F$1:$F$2000"),'Calculations'!$EM260)="","",TRIM(INDEX(INDIRECT("'WCM Calibration Final'!$F$1:$F$2000"),'Calculations'!$EM260)&amp;"")),"")="","(Blank)",IFERROR(IF(INDEX(INDIRECT("'WCM Calibration Final'!$F$1:$F$2000"),'Calculations'!$EM260)="","",TRIM(INDEX(INDIRECT("'WCM Calibration Final'!$F$1:$F$2000"),'Calculations'!$EM260)&amp;"")),"")))</x:f>
      </x:c>
      <x:c r="HO260" t="str">
        <x:f>'Calculations'!HF260</x:f>
      </x:c>
      <x:c r="HP260" t="str">
        <x:f>IF('Calculations'!HO260="","",IF('Calculations'!HO260="!AMBIG","!AMBIG",IF(COUNTIF('Calculations'!$HE$13:$HE$512,"="&amp;SUBSTITUTE(SUBSTITUTE(SUBSTITUTE('Calculations'!HO260,"~","~~"),"*","~*"),"?","~?"))&gt;1,"!AMBIG",IFERROR(INDEX('Calculations'!$HF$13:$HF$512,MATCH('Calculations'!HO260,'Calculations'!$HE$13:$HE$512,0)),""))))</x:f>
      </x:c>
      <x:c r="HQ260" t="str">
        <x:f>IF('Calculations'!HP260="","",IF('Calculations'!HP260="!AMBIG","!AMBIG",IF(COUNTIF('Calculations'!$HE$13:$HE$512,"="&amp;SUBSTITUTE(SUBSTITUTE(SUBSTITUTE('Calculations'!HP260,"~","~~"),"*","~*"),"?","~?"))&gt;1,"!AMBIG",IFERROR(INDEX('Calculations'!$HF$13:$HF$512,MATCH('Calculations'!HP260,'Calculations'!$HE$13:$HE$512,0)),""))))</x:f>
      </x:c>
      <x:c r="HR260" t="str">
        <x:f>IF('Calculations'!HQ260="","",IF('Calculations'!HQ260="!AMBIG","!AMBIG",IF(COUNTIF('Calculations'!$HE$13:$HE$512,"="&amp;SUBSTITUTE(SUBSTITUTE(SUBSTITUTE('Calculations'!HQ260,"~","~~"),"*","~*"),"?","~?"))&gt;1,"!AMBIG",IFERROR(INDEX('Calculations'!$HF$13:$HF$512,MATCH('Calculations'!HQ260,'Calculations'!$HE$13:$HE$512,0)),""))))</x:f>
      </x:c>
      <x:c r="HS260" t="str">
        <x:f>IF('Calculations'!HR260="","",IF('Calculations'!HR260="!AMBIG","!AMBIG",IF(COUNTIF('Calculations'!$HE$13:$HE$512,"="&amp;SUBSTITUTE(SUBSTITUTE(SUBSTITUTE('Calculations'!HR260,"~","~~"),"*","~*"),"?","~?"))&gt;1,"!AMBIG",IFERROR(INDEX('Calculations'!$HF$13:$HF$512,MATCH('Calculations'!HR260,'Calculations'!$HE$13:$HE$512,0)),""))))</x:f>
      </x:c>
      <x:c r="HT260" t="str">
        <x:f>IF('Calculations'!HS260="","",IF('Calculations'!HS260="!AMBIG","!AMBIG",IF(COUNTIF('Calculations'!$HE$13:$HE$512,"="&amp;SUBSTITUTE(SUBSTITUTE(SUBSTITUTE('Calculations'!HS260,"~","~~"),"*","~*"),"?","~?"))&gt;1,"!AMBIG",IFERROR(INDEX('Calculations'!$HF$13:$HF$512,MATCH('Calculations'!HS260,'Calculations'!$HE$13:$HE$512,0)),""))))</x:f>
      </x:c>
      <x:c r="HU260" t="str">
        <x:f>IF('Calculations'!HT260="","",IF('Calculations'!HT260="!AMBIG","!AMBIG",IF(COUNTIF('Calculations'!$HE$13:$HE$512,"="&amp;SUBSTITUTE(SUBSTITUTE(SUBSTITUTE('Calculations'!HT260,"~","~~"),"*","~*"),"?","~?"))&gt;1,"!AMBIG",IFERROR(INDEX('Calculations'!$HF$13:$HF$512,MATCH('Calculations'!HT260,'Calculations'!$HE$13:$HE$512,0)),""))))</x:f>
      </x:c>
      <x:c r="HV260" t="str">
        <x:f>IF('Calculations'!HU260="","",IF('Calculations'!HU260="!AMBIG","!AMBIG",IF(COUNTIF('Calculations'!$HE$13:$HE$512,"="&amp;SUBSTITUTE(SUBSTITUTE(SUBSTITUTE('Calculations'!HU260,"~","~~"),"*","~*"),"?","~?"))&gt;1,"!AMBIG",IFERROR(INDEX('Calculations'!$HF$13:$HF$512,MATCH('Calculations'!HU260,'Calculations'!$HE$13:$HE$512,0)),""))))</x:f>
      </x:c>
      <x:c r="HW260" t="str">
        <x:f>IF('Calculations'!HV260="","",IF('Calculations'!HV260="!AMBIG","!AMBIG",IF(COUNTIF('Calculations'!$HE$13:$HE$512,"="&amp;SUBSTITUTE(SUBSTITUTE(SUBSTITUTE('Calculations'!HV260,"~","~~"),"*","~*"),"?","~?"))&gt;1,"!AMBIG",IFERROR(INDEX('Calculations'!$HF$13:$HF$512,MATCH('Calculations'!HV260,'Calculations'!$HE$13:$HE$512,0)),""))))</x:f>
      </x:c>
      <x:c r="HX260" t="str">
        <x:f>IF('Calculations'!HW260="","",IF('Calculations'!HW260="!AMBIG","!AMBIG",IF(COUNTIF('Calculations'!$HE$13:$HE$512,"="&amp;SUBSTITUTE(SUBSTITUTE(SUBSTITUTE('Calculations'!HW260,"~","~~"),"*","~*"),"?","~?"))&gt;1,"!AMBIG",IFERROR(INDEX('Calculations'!$HF$13:$HF$512,MATCH('Calculations'!HW260,'Calculations'!$HE$13:$HE$512,0)),""))))</x:f>
      </x:c>
      <x:c r="HY260" t="str">
        <x:f>IF('Calculations'!HX260="","",IF('Calculations'!HX260="!AMBIG","!AMBIG",IF(COUNTIF('Calculations'!$HE$13:$HE$512,"="&amp;SUBSTITUTE(SUBSTITUTE(SUBSTITUTE('Calculations'!HX260,"~","~~"),"*","~*"),"?","~?"))&gt;1,"!AMBIG",IFERROR(INDEX('Calculations'!$HF$13:$HF$512,MATCH('Calculations'!HX260,'Calculations'!$HE$13:$HE$512,0)),""))))</x:f>
      </x:c>
      <x:c r="HZ260" t="str">
        <x:f>IF('Calculations'!HY260="","",IF('Calculations'!HY260="!AMBIG","!AMBIG",IF(COUNTIF('Calculations'!$HE$13:$HE$512,"="&amp;SUBSTITUTE(SUBSTITUTE(SUBSTITUTE('Calculations'!HY260,"~","~~"),"*","~*"),"?","~?"))&gt;1,"!AMBIG",IFERROR(INDEX('Calculations'!$HF$13:$HF$512,MATCH('Calculations'!HY260,'Calculations'!$HE$13:$HE$512,0)),""))))</x:f>
      </x:c>
      <x:c r="IA260" t="str">
        <x:f>IF('Calculations'!HZ260="","",IF('Calculations'!HZ260="!AMBIG","!AMBIG",IF(COUNTIF('Calculations'!$HE$13:$HE$512,"="&amp;SUBSTITUTE(SUBSTITUTE(SUBSTITUTE('Calculations'!HZ260,"~","~~"),"*","~*"),"?","~?"))&gt;1,"!AMBIG",IFERROR(INDEX('Calculations'!$HF$13:$HF$512,MATCH('Calculations'!HZ260,'Calculations'!$HE$13:$HE$512,0)),""))))</x:f>
      </x:c>
      <x:c r="IB260" t="str">
        <x:f>IF('Calculations'!IA260="","",IF('Calculations'!IA260="!AMBIG","!AMBIG",IF(COUNTIF('Calculations'!$HE$13:$HE$512,"="&amp;SUBSTITUTE(SUBSTITUTE(SUBSTITUTE('Calculations'!IA260,"~","~~"),"*","~*"),"?","~?"))&gt;1,"!AMBIG",IFERROR(INDEX('Calculations'!$HF$13:$HF$512,MATCH('Calculations'!IA260,'Calculations'!$HE$13:$HE$512,0)),""))))</x:f>
      </x:c>
      <x:c r="IC260" t="str">
        <x:f>IF('Calculations'!IB260="","",IF('Calculations'!IB260="!AMBIG","!AMBIG",IF(COUNTIF('Calculations'!$HE$13:$HE$512,"="&amp;SUBSTITUTE(SUBSTITUTE(SUBSTITUTE('Calculations'!IB260,"~","~~"),"*","~*"),"?","~?"))&gt;1,"!AMBIG",IFERROR(INDEX('Calculations'!$HF$13:$HF$512,MATCH('Calculations'!IB260,'Calculations'!$HE$13:$HE$512,0)),""))))</x:f>
      </x:c>
      <x:c r="ID260" t="str">
        <x:f>IF('Calculations'!IC260="","",IF('Calculations'!IC260="!AMBIG","!AMBIG",IF(COUNTIF('Calculations'!$HE$13:$HE$512,"="&amp;SUBSTITUTE(SUBSTITUTE(SUBSTITUTE('Calculations'!IC260,"~","~~"),"*","~*"),"?","~?"))&gt;1,"!AMBIG",IFERROR(INDEX('Calculations'!$HF$13:$HF$512,MATCH('Calculations'!IC260,'Calculations'!$HE$13:$HE$512,0)),""))))</x:f>
      </x:c>
      <x:c r="IE260" t="str">
        <x:f>IF('Calculations'!ID260="","",IF('Calculations'!ID260="!AMBIG","!AMBIG",IF(COUNTIF('Calculations'!$HE$13:$HE$512,"="&amp;SUBSTITUTE(SUBSTITUTE(SUBSTITUTE('Calculations'!ID260,"~","~~"),"*","~*"),"?","~?"))&gt;1,"!AMBIG",IFERROR(INDEX('Calculations'!$HF$13:$HF$512,MATCH('Calculations'!ID260,'Calculations'!$HE$13:$HE$512,0)),""))))</x:f>
      </x:c>
      <x:c r="IF260" t="str">
        <x:f>IF('Calculations'!IE260="","",IF('Calculations'!IE260="!AMBIG","!AMBIG",IF(COUNTIF('Calculations'!$HE$13:$HE$512,"="&amp;SUBSTITUTE(SUBSTITUTE(SUBSTITUTE('Calculations'!IE260,"~","~~"),"*","~*"),"?","~?"))&gt;1,"!AMBIG",IFERROR(INDEX('Calculations'!$HF$13:$HF$512,MATCH('Calculations'!IE260,'Calculations'!$HE$13:$HE$512,0)),""))))</x:f>
      </x:c>
      <x:c r="IG260" t="str">
        <x:f>IF('Calculations'!IF260="","",IF('Calculations'!IF260="!AMBIG","!AMBIG",IF(COUNTIF('Calculations'!$HE$13:$HE$512,"="&amp;SUBSTITUTE(SUBSTITUTE(SUBSTITUTE('Calculations'!IF260,"~","~~"),"*","~*"),"?","~?"))&gt;1,"!AMBIG",IFERROR(INDEX('Calculations'!$HF$13:$HF$512,MATCH('Calculations'!IF260,'Calculations'!$HE$13:$HE$512,0)),""))))</x:f>
      </x:c>
      <x:c r="IH260" t="str">
        <x:f>IF('Calculations'!IG260="","",IF('Calculations'!IG260="!AMBIG","!AMBIG",IF(COUNTIF('Calculations'!$HE$13:$HE$512,"="&amp;SUBSTITUTE(SUBSTITUTE(SUBSTITUTE('Calculations'!IG260,"~","~~"),"*","~*"),"?","~?"))&gt;1,"!AMBIG",IFERROR(INDEX('Calculations'!$HF$13:$HF$512,MATCH('Calculations'!IG260,'Calculations'!$HE$13:$HE$512,0)),""))))</x:f>
      </x:c>
      <x:c r="II260" t="str">
        <x:f>IF('Calculations'!IH260="","",IF('Calculations'!IH260="!AMBIG","!AMBIG",IF(COUNTIF('Calculations'!$HE$13:$HE$512,"="&amp;SUBSTITUTE(SUBSTITUTE(SUBSTITUTE('Calculations'!IH260,"~","~~"),"*","~*"),"?","~?"))&gt;1,"!AMBIG",IFERROR(INDEX('Calculations'!$HF$13:$HF$512,MATCH('Calculations'!IH260,'Calculations'!$HE$13:$HE$512,0)),""))))</x:f>
      </x:c>
      <x:c r="IJ260" t="str">
        <x:f>IF('Calculations'!EM260="","",IF('Calculations'!$EF$2="All",'Calculations'!HM260,IF('Calculations'!HL260=1,"",IFERROR(IF(MATCH('Calculations'!$EF$2,'Calculations'!HO260:II260,0)=1,'Calculations'!HE260,INDEX('Calculations'!HO260:II260,1,MATCH('Calculations'!$EF$2,'Calculations'!HO260:II260,0)-1)),""))))</x:f>
      </x:c>
      <x:c r="IK260" t="n">
        <x:f>IF(AND('Calculations'!EM260&lt;&gt;"",'Calculations'!$EF$2&lt;&gt;"All",'Calculations'!HF260='Calculations'!$EF$2,'Calculations'!HL260=0,'Calculations'!JD260&gt;0),MAX('Calculations'!$IK$12:IK259)+1,0)</x:f>
        <x:v>0</x:v>
      </x:c>
      <x:c r="JA260" t="n">
        <x:f>IF(OR(IFERROR(INDIRECT("'WCM Calibration Final'!$A$260")&lt;&gt;"",FALSE),IFERROR(INDIRECT("'WCM Calibration Final'!$B$260")&lt;&gt;"",FALSE),IFERROR(INDIRECT("'WCM Calibration Final'!$C$260")&lt;&gt;"",FALSE)),260,0)</x:f>
        <x:v>0</x:v>
      </x:c>
      <x:c r="JB260" t="n">
        <x:f>'Calculations'!JB259+IF('Calculations'!JA260&gt;0,1,0)</x:f>
        <x:v>0</x:v>
      </x:c>
      <x:c r="JC260" t="n">
        <x:f>IF(OR('Calculations'!HF260="",'Calculations'!HF260="!AMBIG"),0,IF('Dashboard'!$B$7="All",1,COUNTIFS('Calculations'!$HO$13:$HO$512,"="&amp;SUBSTITUTE(SUBSTITUTE(SUBSTITUTE('Calculations'!HF260,"~","~~"),"*","~*"),"?","~?"),'Calculations'!$HN$13:$HN$512,"="&amp;SUBSTITUTE(SUBSTITUTE(SUBSTITUTE('Dashboard'!$B$7,"~","~~"),"*","~*"),"?","~?"))+COUNTIFS('Calculations'!$HP$13:$HP$512,"="&amp;SUBSTITUTE(SUBSTITUTE(SUBSTITUTE('Calculations'!HF260,"~","~~"),"*","~*"),"?","~?"),'Calculations'!$HN$13:$HN$512,"="&amp;SUBSTITUTE(SUBSTITUTE(SUBSTITUTE('Dashboard'!$B$7,"~","~~"),"*","~*"),"?","~?"))+COUNTIFS('Calculations'!$HQ$13:$HQ$512,"="&amp;SUBSTITUTE(SUBSTITUTE(SUBSTITUTE('Calculations'!HF260,"~","~~"),"*","~*"),"?","~?"),'Calculations'!$HN$13:$HN$512,"="&amp;SUBSTITUTE(SUBSTITUTE(SUBSTITUTE('Dashboard'!$B$7,"~","~~"),"*","~*"),"?","~?"))+COUNTIFS('Calculations'!$HR$13:$HR$512,"="&amp;SUBSTITUTE(SUBSTITUTE(SUBSTITUTE('Calculations'!HF260,"~","~~"),"*","~*"),"?","~?"),'Calculations'!$HN$13:$HN$512,"="&amp;SUBSTITUTE(SUBSTITUTE(SUBSTITUTE('Dashboard'!$B$7,"~","~~"),"*","~*"),"?","~?"))+COUNTIFS('Calculations'!$HS$13:$HS$512,"="&amp;SUBSTITUTE(SUBSTITUTE(SUBSTITUTE('Calculations'!HF260,"~","~~"),"*","~*"),"?","~?"),'Calculations'!$HN$13:$HN$512,"="&amp;SUBSTITUTE(SUBSTITUTE(SUBSTITUTE('Dashboard'!$B$7,"~","~~"),"*","~*"),"?","~?"))+COUNTIFS('Calculations'!$HT$13:$HT$512,"="&amp;SUBSTITUTE(SUBSTITUTE(SUBSTITUTE('Calculations'!HF260,"~","~~"),"*","~*"),"?","~?"),'Calculations'!$HN$13:$HN$512,"="&amp;SUBSTITUTE(SUBSTITUTE(SUBSTITUTE('Dashboard'!$B$7,"~","~~"),"*","~*"),"?","~?"))+COUNTIFS('Calculations'!$HU$13:$HU$512,"="&amp;SUBSTITUTE(SUBSTITUTE(SUBSTITUTE('Calculations'!HF260,"~","~~"),"*","~*"),"?","~?"),'Calculations'!$HN$13:$HN$512,"="&amp;SUBSTITUTE(SUBSTITUTE(SUBSTITUTE('Dashboard'!$B$7,"~","~~"),"*","~*"),"?","~?"))+COUNTIFS('Calculations'!$HV$13:$HV$512,"="&amp;SUBSTITUTE(SUBSTITUTE(SUBSTITUTE('Calculations'!HF260,"~","~~"),"*","~*"),"?","~?"),'Calculations'!$HN$13:$HN$512,"="&amp;SUBSTITUTE(SUBSTITUTE(SUBSTITUTE('Dashboard'!$B$7,"~","~~"),"*","~*"),"?","~?"))+COUNTIFS('Calculations'!$HW$13:$HW$512,"="&amp;SUBSTITUTE(SUBSTITUTE(SUBSTITUTE('Calculations'!HF260,"~","~~"),"*","~*"),"?","~?"),'Calculations'!$HN$13:$HN$512,"="&amp;SUBSTITUTE(SUBSTITUTE(SUBSTITUTE('Dashboard'!$B$7,"~","~~"),"*","~*"),"?","~?"))+COUNTIFS('Calculations'!$HX$13:$HX$512,"="&amp;SUBSTITUTE(SUBSTITUTE(SUBSTITUTE('Calculations'!HF260,"~","~~"),"*","~*"),"?","~?"),'Calculations'!$HN$13:$HN$512,"="&amp;SUBSTITUTE(SUBSTITUTE(SUBSTITUTE('Dashboard'!$B$7,"~","~~"),"*","~*"),"?","~?"))+COUNTIFS('Calculations'!$HY$13:$HY$512,"="&amp;SUBSTITUTE(SUBSTITUTE(SUBSTITUTE('Calculations'!HF260,"~","~~"),"*","~*"),"?","~?"),'Calculations'!$HN$13:$HN$512,"="&amp;SUBSTITUTE(SUBSTITUTE(SUBSTITUTE('Dashboard'!$B$7,"~","~~"),"*","~*"),"?","~?"))+COUNTIFS('Calculations'!$HZ$13:$HZ$512,"="&amp;SUBSTITUTE(SUBSTITUTE(SUBSTITUTE('Calculations'!HF260,"~","~~"),"*","~*"),"?","~?"),'Calculations'!$HN$13:$HN$512,"="&amp;SUBSTITUTE(SUBSTITUTE(SUBSTITUTE('Dashboard'!$B$7,"~","~~"),"*","~*"),"?","~?"))+COUNTIFS('Calculations'!$IA$13:$IA$512,"="&amp;SUBSTITUTE(SUBSTITUTE(SUBSTITUTE('Calculations'!HF260,"~","~~"),"*","~*"),"?","~?"),'Calculations'!$HN$13:$HN$512,"="&amp;SUBSTITUTE(SUBSTITUTE(SUBSTITUTE('Dashboard'!$B$7,"~","~~"),"*","~*"),"?","~?"))+COUNTIFS('Calculations'!$IB$13:$IB$512,"="&amp;SUBSTITUTE(SUBSTITUTE(SUBSTITUTE('Calculations'!HF260,"~","~~"),"*","~*"),"?","~?"),'Calculations'!$HN$13:$HN$512,"="&amp;SUBSTITUTE(SUBSTITUTE(SUBSTITUTE('Dashboard'!$B$7,"~","~~"),"*","~*"),"?","~?"))+COUNTIFS('Calculations'!$IC$13:$IC$512,"="&amp;SUBSTITUTE(SUBSTITUTE(SUBSTITUTE('Calculations'!HF260,"~","~~"),"*","~*"),"?","~?"),'Calculations'!$HN$13:$HN$512,"="&amp;SUBSTITUTE(SUBSTITUTE(SUBSTITUTE('Dashboard'!$B$7,"~","~~"),"*","~*"),"?","~?"))+COUNTIFS('Calculations'!$ID$13:$ID$512,"="&amp;SUBSTITUTE(SUBSTITUTE(SUBSTITUTE('Calculations'!HF260,"~","~~"),"*","~*"),"?","~?"),'Calculations'!$HN$13:$HN$512,"="&amp;SUBSTITUTE(SUBSTITUTE(SUBSTITUTE('Dashboard'!$B$7,"~","~~"),"*","~*"),"?","~?"))+COUNTIFS('Calculations'!$IE$13:$IE$512,"="&amp;SUBSTITUTE(SUBSTITUTE(SUBSTITUTE('Calculations'!HF260,"~","~~"),"*","~*"),"?","~?"),'Calculations'!$HN$13:$HN$512,"="&amp;SUBSTITUTE(SUBSTITUTE(SUBSTITUTE('Dashboard'!$B$7,"~","~~"),"*","~*"),"?","~?"))+COUNTIFS('Calculations'!$IF$13:$IF$512,"="&amp;SUBSTITUTE(SUBSTITUTE(SUBSTITUTE('Calculations'!HF260,"~","~~"),"*","~*"),"?","~?"),'Calculations'!$HN$13:$HN$512,"="&amp;SUBSTITUTE(SUBSTITUTE(SUBSTITUTE('Dashboard'!$B$7,"~","~~"),"*","~*"),"?","~?"))+COUNTIFS('Calculations'!$IG$13:$IG$512,"="&amp;SUBSTITUTE(SUBSTITUTE(SUBSTITUTE('Calculations'!HF260,"~","~~"),"*","~*"),"?","~?"),'Calculations'!$HN$13:$HN$512,"="&amp;SUBSTITUTE(SUBSTITUTE(SUBSTITUTE('Dashboard'!$B$7,"~","~~"),"*","~*"),"?","~?"))+COUNTIFS('Calculations'!$IH$13:$IH$512,"="&amp;SUBSTITUTE(SUBSTITUTE(SUBSTITUTE('Calculations'!HF260,"~","~~"),"*","~*"),"?","~?"),'Calculations'!$HN$13:$HN$512,"="&amp;SUBSTITUTE(SUBSTITUTE(SUBSTITUTE('Dashboard'!$B$7,"~","~~"),"*","~*"),"?","~?"))))</x:f>
        <x:v>0</x:v>
      </x:c>
      <x:c r="JD260" t="n">
        <x:f>IF('Calculations'!EM260="",0,IF('Dashboard'!$B$7="All",1,IF('Calculations'!HN260='Dashboard'!$B$7,1,0)+IFERROR(INDEX('Calculations'!$JC$13:$JC$512,MATCH('Calculations'!HE260,'Calculations'!$HF$13:$HF$512,0)),0)))</x:f>
        <x:v>0</x:v>
      </x:c>
      <x:c r="JE260" t="n">
        <x:f>IF(AND('Calculations'!EM260&lt;&gt;"",'Calculations'!$JJ$2&lt;&gt;"All",'Calculations'!$JJ$2&lt;&gt;"",'Calculations'!HF260='Calculations'!$JJ$2,'Calculations'!HL260=0,'Calculations'!JD260&gt;0),MAX('Calculations'!$JE$12:JE259)+1,0)</x:f>
        <x:v>0</x:v>
      </x:c>
      <x:c r="JF260" t="str">
        <x:f>IF('Calculations'!EM260="","",IFERROR(IF(INDEX(INDIRECT("'WCM Calibration Final'!$G$1:$G$2000"),'Calculations'!$EM260)="","",TRIM(INDEX(INDIRECT("'WCM Calibration Final'!$G$1:$G$2000"),'Calculations'!$EM260)&amp;"")),""))</x:f>
      </x:c>
      <x:c r="JQ260" t="n">
        <x:f>IF(OR('Calculations'!BM260=0,NOT('Calculations'!$AG$2),'Calculations'!$AG$8&gt;0),0,IF(OR('Dashboard'!$B$7="All",'Calculations'!HN260='Dashboard'!$B$7),IF('Calculations'!$JJ$2="All",1,IF(AND('Calculations'!HF260='Calculations'!$JJ$2,'Calculations'!HL260=0),1,0)),0))</x:f>
        <x:v>0</x:v>
      </x:c>
    </x:row>
    <x:row r="261">
      <x:c r="AF261" s="4" t="str">
        <x:v>1 Exemplary</x:v>
      </x:c>
      <x:c r="AG261" s="4" t="n">
        <x:f>COUNTIFS('Calculations'!$BN$13:$BN$512,1,'Calculations'!$BP$13:$BP$512,1)</x:f>
        <x:v>0</x:v>
      </x:c>
      <x:c r="AH261" s="4" t="e">
        <x:f>IF(SUM('Calculations'!$AG$261:$AG$264)=0,NA(),'Calculations'!AG261/SUM('Calculations'!$AG$261:$AG$264))</x:f>
        <x:v>#N/A</x:v>
      </x:c>
      <x:c r="AI261" s="4" t="n">
        <x:f>IF(COUNT('Dashboard'!N144)=0,NA(),IF(AND('Dashboard'!N144&gt;=0,'Dashboard'!N144&lt;=1),'Dashboard'!N144,NA()))</x:f>
        <x:v>0.1</x:v>
      </x:c>
      <x:c r="AJ261" s="4"/>
      <x:c r="AK261" s="4"/>
      <x:c r="AL261" s="4"/>
      <x:c r="AM261" s="4"/>
      <x:c r="AN261" s="4"/>
      <x:c r="AO261" s="4"/>
      <x:c r="AP261" s="4"/>
      <x:c r="AQ261" s="4"/>
      <x:c r="AR261" s="4"/>
      <x:c r="AS261" s="4"/>
      <x:c r="AT261" s="4" t="str">
        <x:f>IFERROR('Calculations'!AG261&amp;" · "&amp;TEXT('Calculations'!AH261,"0.0%"),"")</x:f>
      </x:c>
      <x:c r="AU261" s="4"/>
      <x:c r="AV261" s="4"/>
      <x:c r="AW261" s="4"/>
      <x:c r="AX261" s="4"/>
      <x:c r="AY261" s="4"/>
      <x:c r="AZ261" s="4"/>
      <x:c r="BA261" s="4"/>
      <x:c r="BB261" s="4"/>
      <x:c r="BC261" s="4"/>
      <x:c r="BD261" s="4"/>
      <x:c r="BE261" s="4"/>
      <x:c r="BF261" s="4"/>
      <x:c r="BG261" s="4"/>
      <x:c r="BH261" s="4"/>
      <x:c r="BI261" s="4"/>
      <x:c r="BJ261" s="4"/>
      <x:c r="BK261" s="4"/>
      <x:c r="BL261" s="4"/>
      <x:c r="BM261" s="4" t="n">
        <x:f>IF('Calculations'!$EM261="",0,IF(OR(IFERROR(INDEX(INDIRECT("'WCM Calibration Final'!$A$1:$A$2000"),'Calculations'!$EM261)&lt;&gt;"",FALSE),IFERROR(INDEX(INDIRECT("'WCM Calibration Final'!$B$1:$B$2000"),'Calculations'!$EM261)&lt;&gt;"",FALSE),IFERROR(INDEX(INDIRECT("'WCM Calibration Final'!$C$1:$C$2000"),'Calculations'!$EM261)&lt;&gt;"",FALSE)),1,0))</x:f>
        <x:v>0</x:v>
      </x:c>
      <x:c r="BN261" s="4" t="n">
        <x:f>IF(AND('Calculations'!BM261=1,'Calculations'!$AG$2,'Calculations'!$EN261=1),1,0)</x:f>
        <x:v>0</x:v>
      </x:c>
      <x:c r="BO261" s="4" t="str">
        <x:f>IF('Calculations'!BM261=0,"",IFERROR(IF(AND(VALUE(INDEX(INDIRECT("'WCM Calibration Final'!$K$1:$K$2000"),'Calculations'!$EM261))&gt;=1,VALUE(INDEX(INDIRECT("'WCM Calibration Final'!$K$1:$K$2000"),'Calculations'!$EM261))&lt;=4,MOD(VALUE(INDEX(INDIRECT("'WCM Calibration Final'!$K$1:$K$2000"),'Calculations'!$EM261)),1)=0),VALUE(INDEX(INDIRECT("'WCM Calibration Final'!$K$1:$K$2000"),'Calculations'!$EM261)),""),""))</x:f>
      </x:c>
      <x:c r="BP261" s="4" t="str">
        <x:f>IF('Calculations'!BM261=0,"",IFERROR(IF(AND(VALUE(INDEX(INDIRECT("'WCM Calibration Final'!$L$1:$L$2000"),'Calculations'!$EM261))&gt;=1,VALUE(INDEX(INDIRECT("'WCM Calibration Final'!$L$1:$L$2000"),'Calculations'!$EM261))&lt;=4,MOD(VALUE(INDEX(INDIRECT("'WCM Calibration Final'!$L$1:$L$2000"),'Calculations'!$EM261)),1)=0),VALUE(INDEX(INDIRECT("'WCM Calibration Final'!$L$1:$L$2000"),'Calculations'!$EM261)),""),""))</x:f>
      </x:c>
      <x:c r="BQ261" s="4"/>
      <x:c r="BR261" s="4"/>
      <x:c r="BS261" s="4"/>
      <x:c r="BT261" s="4" t="n">
        <x:f>IF(AND('Calculations'!BM261=1,ISNUMBER('Calculations'!BO261),ISNUMBER('Calculations'!BP261)),1,0)</x:f>
        <x:v>0</x:v>
      </x:c>
      <x:c r="BU261" s="4" t="str">
        <x:f>IF('Calculations'!BM261=0,"",'Calculations'!$EO261)</x:f>
      </x:c>
      <x:c r="BV261" s="4" t="str">
        <x:f>IF('Calculations'!BM261=0,"",IFERROR(IF(OR(INDEX(INDIRECT("'WCM Calibration Final'!$H$1:$H$2000"),'Calculations'!$EM261)="MANAGING DIRECTOR",INDEX(INDIRECT("'WCM Calibration Final'!$H$1:$H$2000"),'Calculations'!$EM261)="DIRECTOR",INDEX(INDIRECT("'WCM Calibration Final'!$H$1:$H$2000"),'Calculations'!$EM261)="SENIOR VICE PRESIDENT",INDEX(INDIRECT("'WCM Calibration Final'!$H$1:$H$2000"),'Calculations'!$EM261)="VICE PRESIDENT",INDEX(INDIRECT("'WCM Calibration Final'!$H$1:$H$2000"),'Calculations'!$EM261)="ASSISTANT VICE PRESIDENT",INDEX(INDIRECT("'WCM Calibration Final'!$H$1:$H$2000"),'Calculations'!$EM261)="OFFICER"),UPPER(INDEX(INDIRECT("'WCM Calibration Final'!$H$1:$H$2000"),'Calculations'!$EM261)),"Other"),"Other"))</x:f>
      </x:c>
      <x:c r="BW261" s="4"/>
      <x:c r="BX261" s="4"/>
      <x:c r="BY261" s="4" t="n">
        <x:f>IF(AND('Calculations'!BM261=1,'Calculations'!BU261&lt;&gt;"",COUNTIF('Calculations'!$BU$12:BU261,'Calculations'!BU261)=1),MAX('Calculations'!$BY$11:BY260)+1,0)</x:f>
        <x:v>0</x:v>
      </x:c>
      <x:c r="BZ261" s="4" t="str">
        <x:f>IF('Dashboard'!$E$67="What",'Calculations'!BO261,'Calculations'!BP261)</x:f>
      </x:c>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t="str">
        <x:f>IF(250&gt;MAX('Calculations'!$HI$13:$HI$512),"",INDEX('Calculations'!$HN$13:$HN$512,MATCH(250,'Calculations'!$HI$13:$HI$512,0)))</x:f>
      </x:c>
      <x:c r="DB261" s="4" t="str">
        <x:f>IF(250&gt;MAX('Calculations'!$HH$13:$HH$512),"",INDEX('Calculations'!$HJ$13:$HJ$512,MATCH(250,'Calculations'!$HH$13:$HH$512,0)))</x:f>
      </x:c>
      <x:c r="DC261" s="4" t="str">
        <x:f>IF(ROW()-11&gt;MAX('Calculations'!$BY$13:$BY$512),"",INDEX('Calculations'!$BU$13:$BU$512,MATCH(ROW()-11,'Calculations'!$BY$13:$BY$512,0)))</x:f>
      </x:c>
      <x:c r="DD261" s="4" t="str">
        <x:f>IF(250&gt;MAX('Calculations'!$IK$13:$IK$512),"",INDEX('Calculations'!$HK$13:$HK$512,MATCH(250,'Calculations'!$IK$13:$IK$512,0)))</x:f>
      </x:c>
      <x:c r="DE261" s="4" t="str">
        <x:f>'Calculations'!DC261</x:f>
      </x:c>
      <x:c r="DF261" s="4" t="str">
        <x:f>IF('Calculations'!DE261="","",COUNTIFS('Calculations'!$BN$13:$BN$512,1,'Calculations'!$BU$13:$BU$512,'Calculations'!DE261))</x:f>
      </x:c>
      <x:c r="DG261" s="4" t="str">
        <x:f>IF('Calculations'!DE261="","",COUNTIFS('Calculations'!$BN$13:$BN$512,1,'Calculations'!$BU$13:$BU$512,'Calculations'!DE261,'Calculations'!$BT$13:$BT$512,1))</x:f>
      </x:c>
      <x:c r="DH261" s="4" t="str">
        <x:f>IF('Calculations'!DE261="","",'Calculations'!DF261-'Calculations'!DG261)</x:f>
      </x:c>
      <x:c r="DI261" s="4" t="str">
        <x:f>IF(OR('Calculations'!DE261="",'Calculations'!DF261=0),"",'Calculations'!DG261/'Calculations'!DF261)</x:f>
      </x:c>
      <x:c r="DJ261" s="4" t="str">
        <x:f>IF('Calculations'!DE261="","",COUNTIFS('Calculations'!$BN$13:$BN$512,1,'Calculations'!$BU$13:$BU$512,'Calculations'!DE261,'Calculations'!$BT$13:$BT$512,1,'Calculations'!$EE$13:$EE$512,"High"))</x:f>
      </x:c>
      <x:c r="DK261" s="4" t="str">
        <x:f>IF('Calculations'!DE261="","",COUNTIFS('Calculations'!$BN$13:$BN$512,1,'Calculations'!$BU$13:$BU$512,'Calculations'!DE261,'Calculations'!$BT$13:$BT$512,1,'Calculations'!$EE$13:$EE$512,"Strong"))</x:f>
      </x:c>
      <x:c r="DL261" s="4" t="str">
        <x:f>IF('Calculations'!DE261="","",COUNTIFS('Calculations'!$BN$13:$BN$512,1,'Calculations'!$BU$13:$BU$512,'Calculations'!DE261,'Calculations'!$BT$13:$BT$512,1,'Calculations'!$EE$13:$EE$512,"Solid"))</x:f>
      </x:c>
      <x:c r="DM261" s="4" t="str">
        <x:f>IF('Calculations'!DE261="","",COUNTIFS('Calculations'!$BN$13:$BN$512,1,'Calculations'!$BU$13:$BU$512,'Calculations'!DE261,'Calculations'!$BT$13:$BT$512,1,'Calculations'!$EE$13:$EE$512,"Low"))</x:f>
      </x:c>
      <x:c r="DN261" s="4" t="str">
        <x:f>IF('Calculations'!DE261="","",COUNTIFS('Calculations'!$BN$13:$BN$512,1,'Calculations'!$BU$13:$BU$512,'Calculations'!DE261,'Calculations'!$EP$13:$EP$512,1))</x:f>
      </x:c>
      <x:c r="DO261" s="4" t="str">
        <x:f>IF(OR('Calculations'!DE261="",'Calculations'!DG261=0),"",('Calculations'!DJ261+'Calculations'!DK261)/'Calculations'!DG261)</x:f>
      </x:c>
      <x:c r="DP261" s="4" t="n">
        <x:f>IF(AND('Calculations'!DE261&lt;&gt;"",'Calculations'!DF261&gt;0),COUNTIF('Calculations'!$DF$12:DF261,"&gt;0"),0)</x:f>
        <x:v>0</x:v>
      </x:c>
      <x:c r="DQ261" s="4" t="str">
        <x:f>IF(250&gt;MAX('Calculations'!$HH$13:$HH$512),"",INDEX('Calculations'!$HF$13:$HF$512,MATCH(250,'Calculations'!$HH$13:$HH$512,0)))</x:f>
      </x:c>
      <x:c r="DR261" s="4" t="str">
        <x:f>IF(250&gt;MAX('Calculations'!$IK$13:$IK$512),"",INDEX('Calculations'!$HE$13:$HE$512,MATCH(250,'Calculations'!$IK$13:$IK$512,0)))</x:f>
      </x:c>
      <x:c r="DS261" s="4"/>
      <x:c r="DT261" s="4"/>
      <x:c r="DU261" s="4"/>
      <x:c r="DV261" s="4"/>
      <x:c r="DW261" s="4"/>
      <x:c r="DX261" s="4"/>
      <x:c r="DY261" s="4"/>
      <x:c r="DZ261" s="4"/>
      <x:c r="EA261" s="4"/>
      <x:c r="EB261" s="4"/>
      <x:c r="EC261" s="4"/>
      <x:c r="ED261" s="4"/>
      <x:c r="EE261" s="4" t="str">
        <x:f>IF('Calculations'!BT261=0,"Not Rated",IF(OR('Calculations'!BO261&gt;=4,'Calculations'!BP261&gt;=4),"Low",IF('Calculations'!BO261+'Calculations'!BP261&lt;=3,"High",IF('Calculations'!BO261+'Calculations'!BP261&lt;=4,"Strong","Solid"))))</x:f>
        <x:v>Not Rated</x:v>
      </x:c>
      <x:c r="EF261" s="4"/>
      <x:c r="EG261" s="4"/>
      <x:c r="EH261" s="4"/>
      <x:c r="EI261" s="4"/>
      <x:c r="EJ261" s="4"/>
      <x:c r="EK261" s="4"/>
      <x:c r="EL261" s="4"/>
      <x:c r="EM261" s="4" t="str">
        <x:f>IF(249&gt;'Calculations'!$JB$2000,"",INDEX('Calculations'!$JA$12:$JA$2000,MATCH(249,'Calculations'!$JB$12:$JB$2000,0)))</x:f>
      </x:c>
      <x:c r="EN261" s="4" t="n">
        <x:f>IF(OR('Calculations'!EM261="",'Calculations'!$AG$8&gt;0,AND('Calculations'!$EF$2&lt;&gt;"All",'Calculations'!HE261='Calculations'!$EF$2),AND('Calculations'!$EF$3&lt;&gt;"All",'Calculations'!HE261='Calculations'!$EF$3)),0,IF(OR('Dashboard'!$B$7="All",'Calculations'!HN261='Dashboard'!$B$7),IF('Calculations'!$EF$2="All",1,IF('Calculations'!HL261&gt;0,0,IF(COUNTIF('Calculations'!HO261:II261,"="&amp;SUBSTITUTE(SUBSTITUTE(SUBSTITUTE('Calculations'!$EF$2,"~","~~"),"*","~*"),"?","~?"))=0,0,IF('Calculations'!$EF$3="All",1,IF(COUNTIF('Calculations'!HO261:II261,"="&amp;SUBSTITUTE(SUBSTITUTE(SUBSTITUTE('Calculations'!$EF$3,"~","~~"),"*","~*"),"?","~?"))&gt;0,1,0))))),0))</x:f>
        <x:v>0</x:v>
      </x:c>
      <x:c r="EO261" s="4" t="str">
        <x:f>IF('Calculations'!IJ261="","",IF('Calculations'!IJ261="!UNRESOLVED","Unresolved hierarchy",IFERROR(INDEX('Calculations'!$HK$13:$HK$512,MATCH('Calculations'!IJ261,'Calculations'!$HE$13:$HE$512,0)),IFERROR(INDEX('Calculations'!$HJ$13:$HJ$512,MATCH('Calculations'!IJ261,'Calculations'!$HF$13:$HF$512,0)),'Calculations'!IJ261))))</x:f>
      </x:c>
      <x:c r="EP261" s="4" t="n">
        <x:f>IF(AND('Calculations'!EM261&lt;&gt;"",'Calculations'!HF261='Calculations'!IJ261),1,0)</x:f>
        <x:v>0</x:v>
      </x:c>
      <x:c r="EQ261" s="4"/>
      <x:c r="ER261" s="4"/>
      <x:c r="ES261" s="4"/>
      <x:c r="ET261" s="4"/>
      <x:c r="EU261" s="4"/>
      <x:c r="EV261" s="4"/>
      <x:c r="EW261" s="4"/>
      <x:c r="EX261" s="4"/>
      <x:c r="EY261" s="4"/>
      <x:c r="EZ261" s="4"/>
      <x:c r="FA261" s="4"/>
      <x:c r="FB261" s="4"/>
      <x:c r="FC261" s="4"/>
      <x:c r="FD261" s="4"/>
      <x:c r="FE261" s="4"/>
      <x:c r="FF261" s="4"/>
      <x:c r="FG261" s="4"/>
      <x:c r="FH261" s="4"/>
      <x:c r="FI261" s="4"/>
      <x:c r="FJ261" s="4"/>
      <x:c r="FK261" s="4"/>
      <x:c r="FL261" s="4"/>
      <x:c r="FM261" s="4"/>
      <x:c r="FN261" s="4"/>
      <x:c r="FO261" s="4"/>
      <x:c r="HE261" t="str">
        <x:f>IF('Calculations'!EM261="","",IF(IFERROR(IF(INDEX(INDIRECT("'WCM Calibration Final'!$A$1:$A$2000"),'Calculations'!$EM261)="","",TRIM(INDEX(INDIRECT("'WCM Calibration Final'!$A$1:$A$2000"),'Calculations'!$EM261)&amp;"")),"")&lt;&gt;"","G:"&amp;IFERROR(TEXT(1*INDEX(INDIRECT("'WCM Calibration Final'!$A$1:$A$2000"),'Calculations'!$EM261),"0"),UPPER(IFERROR(IF(INDEX(INDIRECT("'WCM Calibration Final'!$A$1:$A$2000"),'Calculations'!$EM261)="","",TRIM(INDEX(INDIRECT("'WCM Calibration Final'!$A$1:$A$2000"),'Calculations'!$EM261)&amp;"")),""))),IF(IFERROR(IF(INDEX(INDIRECT("'WCM Calibration Final'!$C$1:$C$2000"),'Calculations'!$EM261)="","",TRIM(INDEX(INDIRECT("'WCM Calibration Final'!$C$1:$C$2000"),'Calculations'!$EM261)&amp;"")),"")&lt;&gt;"","S:"&amp;UPPER(IFERROR(IF(INDEX(INDIRECT("'WCM Calibration Final'!$C$1:$C$2000"),'Calculations'!$EM261)="","",TRIM(INDEX(INDIRECT("'WCM Calibration Final'!$C$1:$C$2000"),'Calculations'!$EM261)&amp;"")),"")),"R:"&amp;'Calculations'!EM261)))</x:f>
      </x:c>
      <x:c r="HF261" t="str">
        <x:f>IF('Calculations'!EM261="","",IF(IFERROR(IF(INDEX(INDIRECT("'WCM Calibration Final'!$D$1:$D$2000"),'Calculations'!$EM261)="","",TRIM(INDEX(INDIRECT("'WCM Calibration Final'!$D$1:$D$2000"),'Calculations'!$EM261)&amp;"")),"")&lt;&gt;"","G:"&amp;IFERROR(TEXT(1*INDEX(INDIRECT("'WCM Calibration Final'!$D$1:$D$2000"),'Calculations'!$EM261),"0"),UPPER(IFERROR(IF(INDEX(INDIRECT("'WCM Calibration Final'!$D$1:$D$2000"),'Calculations'!$EM261)="","",TRIM(INDEX(INDIRECT("'WCM Calibration Final'!$D$1:$D$2000"),'Calculations'!$EM261)&amp;"")),""))),IF(IFERROR(IF(INDEX(INDIRECT("'WCM Calibration Final'!$E$1:$E$2000"),'Calculations'!$EM261)="","",TRIM(INDEX(INDIRECT("'WCM Calibration Final'!$E$1:$E$2000"),'Calculations'!$EM261)&amp;"")),"")="","",IF(COUNTIF('Calculations'!$HG$13:$HG$512,"="&amp;SUBSTITUTE(SUBSTITUTE(SUBSTITUTE(IFERROR(IF(INDEX(INDIRECT("'WCM Calibration Final'!$E$1:$E$2000"),'Calculations'!$EM261)="","",TRIM(INDEX(INDIRECT("'WCM Calibration Final'!$E$1:$E$2000"),'Calculations'!$EM261)&amp;"")),""),"~","~~"),"*","~*"),"?","~?"))=1,INDEX('Calculations'!$HE$13:$HE$512,MATCH(IFERROR(IF(INDEX(INDIRECT("'WCM Calibration Final'!$E$1:$E$2000"),'Calculations'!$EM261)="","",TRIM(INDEX(INDIRECT("'WCM Calibration Final'!$E$1:$E$2000"),'Calculations'!$EM261)&amp;"")),""),'Calculations'!$HG$13:$HG$512,0)),IF(COUNTIF('Calculations'!$HG$13:$HG$512,"="&amp;SUBSTITUTE(SUBSTITUTE(SUBSTITUTE(IFERROR(IF(INDEX(INDIRECT("'WCM Calibration Final'!$E$1:$E$2000"),'Calculations'!$EM261)="","",TRIM(INDEX(INDIRECT("'WCM Calibration Final'!$E$1:$E$2000"),'Calculations'!$EM261)&amp;"")),""),"~","~~"),"*","~*"),"?","~?"))&gt;1,"!AMBIG","X:"&amp;IFERROR(IF(INDEX(INDIRECT("'WCM Calibration Final'!$E$1:$E$2000"),'Calculations'!$EM261)="","",TRIM(INDEX(INDIRECT("'WCM Calibration Final'!$E$1:$E$2000"),'Calculations'!$EM261)&amp;"")),""))))))</x:f>
      </x:c>
      <x:c r="HG261" t="str">
        <x:f>IF('Calculations'!EM261="","",IFERROR(IF(INDEX(INDIRECT("'WCM Calibration Final'!$B$1:$B$2000"),'Calculations'!$EM261)="","",TRIM(INDEX(INDIRECT("'WCM Calibration Final'!$B$1:$B$2000"),'Calculations'!$EM261)&amp;"")),""))</x:f>
      </x:c>
      <x:c r="HH261" t="n">
        <x:f>IF(AND('Calculations'!JC261&gt;0,COUNTIF('Calculations'!$HF$12:HF261,"="&amp;SUBSTITUTE(SUBSTITUTE(SUBSTITUTE('Calculations'!HF261,"~","~~"),"*","~*"),"?","~?"))=1),MAX('Calculations'!$HH$12:HH260)+1,0)</x:f>
        <x:v>0</x:v>
      </x:c>
      <x:c r="HI261" t="n">
        <x:f>IF(AND('Calculations'!HN261&lt;&gt;"",COUNTIF('Calculations'!$HN$12:HN261,"="&amp;SUBSTITUTE(SUBSTITUTE(SUBSTITUTE('Calculations'!HN261,"~","~~"),"*","~*"),"?","~?"))=1),MAX('Calculations'!$HI$12:HI260)+1,0)</x:f>
        <x:v>0</x:v>
      </x:c>
      <x:c r="HJ261" t="str">
        <x:f>IF('Calculations'!HF261="","",IF(COUNTIF('Calculations'!$HE$13:$HE$512,"="&amp;SUBSTITUTE(SUBSTITUTE(SUBSTITUTE('Calculations'!HF261,"~","~~"),"*","~*"),"?","~?"))=1,INDEX('Calculations'!$HK$13:$HK$512,MATCH('Calculations'!HF261,'Calculations'!$HE$13:$HE$512,0)),IFERROR(IF(INDEX(INDIRECT("'WCM Calibration Final'!$E$1:$E$2000"),'Calculations'!$EM261)="","",TRIM(INDEX(INDIRECT("'WCM Calibration Final'!$E$1:$E$2000"),'Calculations'!$EM261)&amp;"")),"")&amp;" ["&amp;'Calculations'!HF261&amp;"]"))</x:f>
      </x:c>
      <x:c r="HK261" t="str">
        <x:f>IF('Calculations'!EM261="","",'Calculations'!HG261&amp;" ["&amp;'Calculations'!HE261&amp;"]")</x:f>
      </x:c>
      <x:c r="HL261" t="n">
        <x:f>IF('Calculations'!EM261="",0,IF(OR('Calculations'!II261&lt;&gt;"",COUNTIF('Calculations'!$HE$13:$HE$512,"="&amp;SUBSTITUTE(SUBSTITUTE(SUBSTITUTE('Calculations'!HE261,"~","~~"),"*","~*"),"?","~?"))&gt;1),1,0))</x:f>
        <x:v>0</x:v>
      </x:c>
      <x:c r="HM261" t="str">
        <x:f>IF('Calculations'!EM261="","",IF('Calculations'!HL261=1,"!UNRESOLVED",IF('Calculations'!IH261&lt;&gt;"",'Calculations'!IH261,IF('Calculations'!IG261&lt;&gt;"",'Calculations'!IG261,IF('Calculations'!IF261&lt;&gt;"",'Calculations'!IF261,IF('Calculations'!IE261&lt;&gt;"",'Calculations'!IE261,IF('Calculations'!ID261&lt;&gt;"",'Calculations'!ID261,IF('Calculations'!IC261&lt;&gt;"",'Calculations'!IC261,IF('Calculations'!IB261&lt;&gt;"",'Calculations'!IB261,IF('Calculations'!IA261&lt;&gt;"",'Calculations'!IA261,IF('Calculations'!HZ261&lt;&gt;"",'Calculations'!HZ261,IF('Calculations'!HY261&lt;&gt;"",'Calculations'!HY261,IF('Calculations'!HX261&lt;&gt;"",'Calculations'!HX261,IF('Calculations'!HW261&lt;&gt;"",'Calculations'!HW261,IF('Calculations'!HV261&lt;&gt;"",'Calculations'!HV261,IF('Calculations'!HU261&lt;&gt;"",'Calculations'!HU261,IF('Calculations'!HT261&lt;&gt;"",'Calculations'!HT261,IF('Calculations'!HS261&lt;&gt;"",'Calculations'!HS261,IF('Calculations'!HR261&lt;&gt;"",'Calculations'!HR261,IF('Calculations'!HQ261&lt;&gt;"",'Calculations'!HQ261,IF('Calculations'!HP261&lt;&gt;"",'Calculations'!HP261,IF('Calculations'!HO261&lt;&gt;"",'Calculations'!HO261,'Calculations'!HE261))))))))))))))))))))))</x:f>
      </x:c>
      <x:c r="HN261" t="str">
        <x:f>IF('Calculations'!EM261="","",IF(IFERROR(IF(INDEX(INDIRECT("'WCM Calibration Final'!$F$1:$F$2000"),'Calculations'!$EM261)="","",TRIM(INDEX(INDIRECT("'WCM Calibration Final'!$F$1:$F$2000"),'Calculations'!$EM261)&amp;"")),"")="","(Blank)",IFERROR(IF(INDEX(INDIRECT("'WCM Calibration Final'!$F$1:$F$2000"),'Calculations'!$EM261)="","",TRIM(INDEX(INDIRECT("'WCM Calibration Final'!$F$1:$F$2000"),'Calculations'!$EM261)&amp;"")),"")))</x:f>
      </x:c>
      <x:c r="HO261" t="str">
        <x:f>'Calculations'!HF261</x:f>
      </x:c>
      <x:c r="HP261" t="str">
        <x:f>IF('Calculations'!HO261="","",IF('Calculations'!HO261="!AMBIG","!AMBIG",IF(COUNTIF('Calculations'!$HE$13:$HE$512,"="&amp;SUBSTITUTE(SUBSTITUTE(SUBSTITUTE('Calculations'!HO261,"~","~~"),"*","~*"),"?","~?"))&gt;1,"!AMBIG",IFERROR(INDEX('Calculations'!$HF$13:$HF$512,MATCH('Calculations'!HO261,'Calculations'!$HE$13:$HE$512,0)),""))))</x:f>
      </x:c>
      <x:c r="HQ261" t="str">
        <x:f>IF('Calculations'!HP261="","",IF('Calculations'!HP261="!AMBIG","!AMBIG",IF(COUNTIF('Calculations'!$HE$13:$HE$512,"="&amp;SUBSTITUTE(SUBSTITUTE(SUBSTITUTE('Calculations'!HP261,"~","~~"),"*","~*"),"?","~?"))&gt;1,"!AMBIG",IFERROR(INDEX('Calculations'!$HF$13:$HF$512,MATCH('Calculations'!HP261,'Calculations'!$HE$13:$HE$512,0)),""))))</x:f>
      </x:c>
      <x:c r="HR261" t="str">
        <x:f>IF('Calculations'!HQ261="","",IF('Calculations'!HQ261="!AMBIG","!AMBIG",IF(COUNTIF('Calculations'!$HE$13:$HE$512,"="&amp;SUBSTITUTE(SUBSTITUTE(SUBSTITUTE('Calculations'!HQ261,"~","~~"),"*","~*"),"?","~?"))&gt;1,"!AMBIG",IFERROR(INDEX('Calculations'!$HF$13:$HF$512,MATCH('Calculations'!HQ261,'Calculations'!$HE$13:$HE$512,0)),""))))</x:f>
      </x:c>
      <x:c r="HS261" t="str">
        <x:f>IF('Calculations'!HR261="","",IF('Calculations'!HR261="!AMBIG","!AMBIG",IF(COUNTIF('Calculations'!$HE$13:$HE$512,"="&amp;SUBSTITUTE(SUBSTITUTE(SUBSTITUTE('Calculations'!HR261,"~","~~"),"*","~*"),"?","~?"))&gt;1,"!AMBIG",IFERROR(INDEX('Calculations'!$HF$13:$HF$512,MATCH('Calculations'!HR261,'Calculations'!$HE$13:$HE$512,0)),""))))</x:f>
      </x:c>
      <x:c r="HT261" t="str">
        <x:f>IF('Calculations'!HS261="","",IF('Calculations'!HS261="!AMBIG","!AMBIG",IF(COUNTIF('Calculations'!$HE$13:$HE$512,"="&amp;SUBSTITUTE(SUBSTITUTE(SUBSTITUTE('Calculations'!HS261,"~","~~"),"*","~*"),"?","~?"))&gt;1,"!AMBIG",IFERROR(INDEX('Calculations'!$HF$13:$HF$512,MATCH('Calculations'!HS261,'Calculations'!$HE$13:$HE$512,0)),""))))</x:f>
      </x:c>
      <x:c r="HU261" t="str">
        <x:f>IF('Calculations'!HT261="","",IF('Calculations'!HT261="!AMBIG","!AMBIG",IF(COUNTIF('Calculations'!$HE$13:$HE$512,"="&amp;SUBSTITUTE(SUBSTITUTE(SUBSTITUTE('Calculations'!HT261,"~","~~"),"*","~*"),"?","~?"))&gt;1,"!AMBIG",IFERROR(INDEX('Calculations'!$HF$13:$HF$512,MATCH('Calculations'!HT261,'Calculations'!$HE$13:$HE$512,0)),""))))</x:f>
      </x:c>
      <x:c r="HV261" t="str">
        <x:f>IF('Calculations'!HU261="","",IF('Calculations'!HU261="!AMBIG","!AMBIG",IF(COUNTIF('Calculations'!$HE$13:$HE$512,"="&amp;SUBSTITUTE(SUBSTITUTE(SUBSTITUTE('Calculations'!HU261,"~","~~"),"*","~*"),"?","~?"))&gt;1,"!AMBIG",IFERROR(INDEX('Calculations'!$HF$13:$HF$512,MATCH('Calculations'!HU261,'Calculations'!$HE$13:$HE$512,0)),""))))</x:f>
      </x:c>
      <x:c r="HW261" t="str">
        <x:f>IF('Calculations'!HV261="","",IF('Calculations'!HV261="!AMBIG","!AMBIG",IF(COUNTIF('Calculations'!$HE$13:$HE$512,"="&amp;SUBSTITUTE(SUBSTITUTE(SUBSTITUTE('Calculations'!HV261,"~","~~"),"*","~*"),"?","~?"))&gt;1,"!AMBIG",IFERROR(INDEX('Calculations'!$HF$13:$HF$512,MATCH('Calculations'!HV261,'Calculations'!$HE$13:$HE$512,0)),""))))</x:f>
      </x:c>
      <x:c r="HX261" t="str">
        <x:f>IF('Calculations'!HW261="","",IF('Calculations'!HW261="!AMBIG","!AMBIG",IF(COUNTIF('Calculations'!$HE$13:$HE$512,"="&amp;SUBSTITUTE(SUBSTITUTE(SUBSTITUTE('Calculations'!HW261,"~","~~"),"*","~*"),"?","~?"))&gt;1,"!AMBIG",IFERROR(INDEX('Calculations'!$HF$13:$HF$512,MATCH('Calculations'!HW261,'Calculations'!$HE$13:$HE$512,0)),""))))</x:f>
      </x:c>
      <x:c r="HY261" t="str">
        <x:f>IF('Calculations'!HX261="","",IF('Calculations'!HX261="!AMBIG","!AMBIG",IF(COUNTIF('Calculations'!$HE$13:$HE$512,"="&amp;SUBSTITUTE(SUBSTITUTE(SUBSTITUTE('Calculations'!HX261,"~","~~"),"*","~*"),"?","~?"))&gt;1,"!AMBIG",IFERROR(INDEX('Calculations'!$HF$13:$HF$512,MATCH('Calculations'!HX261,'Calculations'!$HE$13:$HE$512,0)),""))))</x:f>
      </x:c>
      <x:c r="HZ261" t="str">
        <x:f>IF('Calculations'!HY261="","",IF('Calculations'!HY261="!AMBIG","!AMBIG",IF(COUNTIF('Calculations'!$HE$13:$HE$512,"="&amp;SUBSTITUTE(SUBSTITUTE(SUBSTITUTE('Calculations'!HY261,"~","~~"),"*","~*"),"?","~?"))&gt;1,"!AMBIG",IFERROR(INDEX('Calculations'!$HF$13:$HF$512,MATCH('Calculations'!HY261,'Calculations'!$HE$13:$HE$512,0)),""))))</x:f>
      </x:c>
      <x:c r="IA261" t="str">
        <x:f>IF('Calculations'!HZ261="","",IF('Calculations'!HZ261="!AMBIG","!AMBIG",IF(COUNTIF('Calculations'!$HE$13:$HE$512,"="&amp;SUBSTITUTE(SUBSTITUTE(SUBSTITUTE('Calculations'!HZ261,"~","~~"),"*","~*"),"?","~?"))&gt;1,"!AMBIG",IFERROR(INDEX('Calculations'!$HF$13:$HF$512,MATCH('Calculations'!HZ261,'Calculations'!$HE$13:$HE$512,0)),""))))</x:f>
      </x:c>
      <x:c r="IB261" t="str">
        <x:f>IF('Calculations'!IA261="","",IF('Calculations'!IA261="!AMBIG","!AMBIG",IF(COUNTIF('Calculations'!$HE$13:$HE$512,"="&amp;SUBSTITUTE(SUBSTITUTE(SUBSTITUTE('Calculations'!IA261,"~","~~"),"*","~*"),"?","~?"))&gt;1,"!AMBIG",IFERROR(INDEX('Calculations'!$HF$13:$HF$512,MATCH('Calculations'!IA261,'Calculations'!$HE$13:$HE$512,0)),""))))</x:f>
      </x:c>
      <x:c r="IC261" t="str">
        <x:f>IF('Calculations'!IB261="","",IF('Calculations'!IB261="!AMBIG","!AMBIG",IF(COUNTIF('Calculations'!$HE$13:$HE$512,"="&amp;SUBSTITUTE(SUBSTITUTE(SUBSTITUTE('Calculations'!IB261,"~","~~"),"*","~*"),"?","~?"))&gt;1,"!AMBIG",IFERROR(INDEX('Calculations'!$HF$13:$HF$512,MATCH('Calculations'!IB261,'Calculations'!$HE$13:$HE$512,0)),""))))</x:f>
      </x:c>
      <x:c r="ID261" t="str">
        <x:f>IF('Calculations'!IC261="","",IF('Calculations'!IC261="!AMBIG","!AMBIG",IF(COUNTIF('Calculations'!$HE$13:$HE$512,"="&amp;SUBSTITUTE(SUBSTITUTE(SUBSTITUTE('Calculations'!IC261,"~","~~"),"*","~*"),"?","~?"))&gt;1,"!AMBIG",IFERROR(INDEX('Calculations'!$HF$13:$HF$512,MATCH('Calculations'!IC261,'Calculations'!$HE$13:$HE$512,0)),""))))</x:f>
      </x:c>
      <x:c r="IE261" t="str">
        <x:f>IF('Calculations'!ID261="","",IF('Calculations'!ID261="!AMBIG","!AMBIG",IF(COUNTIF('Calculations'!$HE$13:$HE$512,"="&amp;SUBSTITUTE(SUBSTITUTE(SUBSTITUTE('Calculations'!ID261,"~","~~"),"*","~*"),"?","~?"))&gt;1,"!AMBIG",IFERROR(INDEX('Calculations'!$HF$13:$HF$512,MATCH('Calculations'!ID261,'Calculations'!$HE$13:$HE$512,0)),""))))</x:f>
      </x:c>
      <x:c r="IF261" t="str">
        <x:f>IF('Calculations'!IE261="","",IF('Calculations'!IE261="!AMBIG","!AMBIG",IF(COUNTIF('Calculations'!$HE$13:$HE$512,"="&amp;SUBSTITUTE(SUBSTITUTE(SUBSTITUTE('Calculations'!IE261,"~","~~"),"*","~*"),"?","~?"))&gt;1,"!AMBIG",IFERROR(INDEX('Calculations'!$HF$13:$HF$512,MATCH('Calculations'!IE261,'Calculations'!$HE$13:$HE$512,0)),""))))</x:f>
      </x:c>
      <x:c r="IG261" t="str">
        <x:f>IF('Calculations'!IF261="","",IF('Calculations'!IF261="!AMBIG","!AMBIG",IF(COUNTIF('Calculations'!$HE$13:$HE$512,"="&amp;SUBSTITUTE(SUBSTITUTE(SUBSTITUTE('Calculations'!IF261,"~","~~"),"*","~*"),"?","~?"))&gt;1,"!AMBIG",IFERROR(INDEX('Calculations'!$HF$13:$HF$512,MATCH('Calculations'!IF261,'Calculations'!$HE$13:$HE$512,0)),""))))</x:f>
      </x:c>
      <x:c r="IH261" t="str">
        <x:f>IF('Calculations'!IG261="","",IF('Calculations'!IG261="!AMBIG","!AMBIG",IF(COUNTIF('Calculations'!$HE$13:$HE$512,"="&amp;SUBSTITUTE(SUBSTITUTE(SUBSTITUTE('Calculations'!IG261,"~","~~"),"*","~*"),"?","~?"))&gt;1,"!AMBIG",IFERROR(INDEX('Calculations'!$HF$13:$HF$512,MATCH('Calculations'!IG261,'Calculations'!$HE$13:$HE$512,0)),""))))</x:f>
      </x:c>
      <x:c r="II261" t="str">
        <x:f>IF('Calculations'!IH261="","",IF('Calculations'!IH261="!AMBIG","!AMBIG",IF(COUNTIF('Calculations'!$HE$13:$HE$512,"="&amp;SUBSTITUTE(SUBSTITUTE(SUBSTITUTE('Calculations'!IH261,"~","~~"),"*","~*"),"?","~?"))&gt;1,"!AMBIG",IFERROR(INDEX('Calculations'!$HF$13:$HF$512,MATCH('Calculations'!IH261,'Calculations'!$HE$13:$HE$512,0)),""))))</x:f>
      </x:c>
      <x:c r="IJ261" t="str">
        <x:f>IF('Calculations'!EM261="","",IF('Calculations'!$EF$2="All",'Calculations'!HM261,IF('Calculations'!HL261=1,"",IFERROR(IF(MATCH('Calculations'!$EF$2,'Calculations'!HO261:II261,0)=1,'Calculations'!HE261,INDEX('Calculations'!HO261:II261,1,MATCH('Calculations'!$EF$2,'Calculations'!HO261:II261,0)-1)),""))))</x:f>
      </x:c>
      <x:c r="IK261" t="n">
        <x:f>IF(AND('Calculations'!EM261&lt;&gt;"",'Calculations'!$EF$2&lt;&gt;"All",'Calculations'!HF261='Calculations'!$EF$2,'Calculations'!HL261=0,'Calculations'!JD261&gt;0),MAX('Calculations'!$IK$12:IK260)+1,0)</x:f>
        <x:v>0</x:v>
      </x:c>
      <x:c r="JA261" t="n">
        <x:f>IF(OR(IFERROR(INDIRECT("'WCM Calibration Final'!$A$261")&lt;&gt;"",FALSE),IFERROR(INDIRECT("'WCM Calibration Final'!$B$261")&lt;&gt;"",FALSE),IFERROR(INDIRECT("'WCM Calibration Final'!$C$261")&lt;&gt;"",FALSE)),261,0)</x:f>
        <x:v>0</x:v>
      </x:c>
      <x:c r="JB261" t="n">
        <x:f>'Calculations'!JB260+IF('Calculations'!JA261&gt;0,1,0)</x:f>
        <x:v>0</x:v>
      </x:c>
      <x:c r="JC261" t="n">
        <x:f>IF(OR('Calculations'!HF261="",'Calculations'!HF261="!AMBIG"),0,IF('Dashboard'!$B$7="All",1,COUNTIFS('Calculations'!$HO$13:$HO$512,"="&amp;SUBSTITUTE(SUBSTITUTE(SUBSTITUTE('Calculations'!HF261,"~","~~"),"*","~*"),"?","~?"),'Calculations'!$HN$13:$HN$512,"="&amp;SUBSTITUTE(SUBSTITUTE(SUBSTITUTE('Dashboard'!$B$7,"~","~~"),"*","~*"),"?","~?"))+COUNTIFS('Calculations'!$HP$13:$HP$512,"="&amp;SUBSTITUTE(SUBSTITUTE(SUBSTITUTE('Calculations'!HF261,"~","~~"),"*","~*"),"?","~?"),'Calculations'!$HN$13:$HN$512,"="&amp;SUBSTITUTE(SUBSTITUTE(SUBSTITUTE('Dashboard'!$B$7,"~","~~"),"*","~*"),"?","~?"))+COUNTIFS('Calculations'!$HQ$13:$HQ$512,"="&amp;SUBSTITUTE(SUBSTITUTE(SUBSTITUTE('Calculations'!HF261,"~","~~"),"*","~*"),"?","~?"),'Calculations'!$HN$13:$HN$512,"="&amp;SUBSTITUTE(SUBSTITUTE(SUBSTITUTE('Dashboard'!$B$7,"~","~~"),"*","~*"),"?","~?"))+COUNTIFS('Calculations'!$HR$13:$HR$512,"="&amp;SUBSTITUTE(SUBSTITUTE(SUBSTITUTE('Calculations'!HF261,"~","~~"),"*","~*"),"?","~?"),'Calculations'!$HN$13:$HN$512,"="&amp;SUBSTITUTE(SUBSTITUTE(SUBSTITUTE('Dashboard'!$B$7,"~","~~"),"*","~*"),"?","~?"))+COUNTIFS('Calculations'!$HS$13:$HS$512,"="&amp;SUBSTITUTE(SUBSTITUTE(SUBSTITUTE('Calculations'!HF261,"~","~~"),"*","~*"),"?","~?"),'Calculations'!$HN$13:$HN$512,"="&amp;SUBSTITUTE(SUBSTITUTE(SUBSTITUTE('Dashboard'!$B$7,"~","~~"),"*","~*"),"?","~?"))+COUNTIFS('Calculations'!$HT$13:$HT$512,"="&amp;SUBSTITUTE(SUBSTITUTE(SUBSTITUTE('Calculations'!HF261,"~","~~"),"*","~*"),"?","~?"),'Calculations'!$HN$13:$HN$512,"="&amp;SUBSTITUTE(SUBSTITUTE(SUBSTITUTE('Dashboard'!$B$7,"~","~~"),"*","~*"),"?","~?"))+COUNTIFS('Calculations'!$HU$13:$HU$512,"="&amp;SUBSTITUTE(SUBSTITUTE(SUBSTITUTE('Calculations'!HF261,"~","~~"),"*","~*"),"?","~?"),'Calculations'!$HN$13:$HN$512,"="&amp;SUBSTITUTE(SUBSTITUTE(SUBSTITUTE('Dashboard'!$B$7,"~","~~"),"*","~*"),"?","~?"))+COUNTIFS('Calculations'!$HV$13:$HV$512,"="&amp;SUBSTITUTE(SUBSTITUTE(SUBSTITUTE('Calculations'!HF261,"~","~~"),"*","~*"),"?","~?"),'Calculations'!$HN$13:$HN$512,"="&amp;SUBSTITUTE(SUBSTITUTE(SUBSTITUTE('Dashboard'!$B$7,"~","~~"),"*","~*"),"?","~?"))+COUNTIFS('Calculations'!$HW$13:$HW$512,"="&amp;SUBSTITUTE(SUBSTITUTE(SUBSTITUTE('Calculations'!HF261,"~","~~"),"*","~*"),"?","~?"),'Calculations'!$HN$13:$HN$512,"="&amp;SUBSTITUTE(SUBSTITUTE(SUBSTITUTE('Dashboard'!$B$7,"~","~~"),"*","~*"),"?","~?"))+COUNTIFS('Calculations'!$HX$13:$HX$512,"="&amp;SUBSTITUTE(SUBSTITUTE(SUBSTITUTE('Calculations'!HF261,"~","~~"),"*","~*"),"?","~?"),'Calculations'!$HN$13:$HN$512,"="&amp;SUBSTITUTE(SUBSTITUTE(SUBSTITUTE('Dashboard'!$B$7,"~","~~"),"*","~*"),"?","~?"))+COUNTIFS('Calculations'!$HY$13:$HY$512,"="&amp;SUBSTITUTE(SUBSTITUTE(SUBSTITUTE('Calculations'!HF261,"~","~~"),"*","~*"),"?","~?"),'Calculations'!$HN$13:$HN$512,"="&amp;SUBSTITUTE(SUBSTITUTE(SUBSTITUTE('Dashboard'!$B$7,"~","~~"),"*","~*"),"?","~?"))+COUNTIFS('Calculations'!$HZ$13:$HZ$512,"="&amp;SUBSTITUTE(SUBSTITUTE(SUBSTITUTE('Calculations'!HF261,"~","~~"),"*","~*"),"?","~?"),'Calculations'!$HN$13:$HN$512,"="&amp;SUBSTITUTE(SUBSTITUTE(SUBSTITUTE('Dashboard'!$B$7,"~","~~"),"*","~*"),"?","~?"))+COUNTIFS('Calculations'!$IA$13:$IA$512,"="&amp;SUBSTITUTE(SUBSTITUTE(SUBSTITUTE('Calculations'!HF261,"~","~~"),"*","~*"),"?","~?"),'Calculations'!$HN$13:$HN$512,"="&amp;SUBSTITUTE(SUBSTITUTE(SUBSTITUTE('Dashboard'!$B$7,"~","~~"),"*","~*"),"?","~?"))+COUNTIFS('Calculations'!$IB$13:$IB$512,"="&amp;SUBSTITUTE(SUBSTITUTE(SUBSTITUTE('Calculations'!HF261,"~","~~"),"*","~*"),"?","~?"),'Calculations'!$HN$13:$HN$512,"="&amp;SUBSTITUTE(SUBSTITUTE(SUBSTITUTE('Dashboard'!$B$7,"~","~~"),"*","~*"),"?","~?"))+COUNTIFS('Calculations'!$IC$13:$IC$512,"="&amp;SUBSTITUTE(SUBSTITUTE(SUBSTITUTE('Calculations'!HF261,"~","~~"),"*","~*"),"?","~?"),'Calculations'!$HN$13:$HN$512,"="&amp;SUBSTITUTE(SUBSTITUTE(SUBSTITUTE('Dashboard'!$B$7,"~","~~"),"*","~*"),"?","~?"))+COUNTIFS('Calculations'!$ID$13:$ID$512,"="&amp;SUBSTITUTE(SUBSTITUTE(SUBSTITUTE('Calculations'!HF261,"~","~~"),"*","~*"),"?","~?"),'Calculations'!$HN$13:$HN$512,"="&amp;SUBSTITUTE(SUBSTITUTE(SUBSTITUTE('Dashboard'!$B$7,"~","~~"),"*","~*"),"?","~?"))+COUNTIFS('Calculations'!$IE$13:$IE$512,"="&amp;SUBSTITUTE(SUBSTITUTE(SUBSTITUTE('Calculations'!HF261,"~","~~"),"*","~*"),"?","~?"),'Calculations'!$HN$13:$HN$512,"="&amp;SUBSTITUTE(SUBSTITUTE(SUBSTITUTE('Dashboard'!$B$7,"~","~~"),"*","~*"),"?","~?"))+COUNTIFS('Calculations'!$IF$13:$IF$512,"="&amp;SUBSTITUTE(SUBSTITUTE(SUBSTITUTE('Calculations'!HF261,"~","~~"),"*","~*"),"?","~?"),'Calculations'!$HN$13:$HN$512,"="&amp;SUBSTITUTE(SUBSTITUTE(SUBSTITUTE('Dashboard'!$B$7,"~","~~"),"*","~*"),"?","~?"))+COUNTIFS('Calculations'!$IG$13:$IG$512,"="&amp;SUBSTITUTE(SUBSTITUTE(SUBSTITUTE('Calculations'!HF261,"~","~~"),"*","~*"),"?","~?"),'Calculations'!$HN$13:$HN$512,"="&amp;SUBSTITUTE(SUBSTITUTE(SUBSTITUTE('Dashboard'!$B$7,"~","~~"),"*","~*"),"?","~?"))+COUNTIFS('Calculations'!$IH$13:$IH$512,"="&amp;SUBSTITUTE(SUBSTITUTE(SUBSTITUTE('Calculations'!HF261,"~","~~"),"*","~*"),"?","~?"),'Calculations'!$HN$13:$HN$512,"="&amp;SUBSTITUTE(SUBSTITUTE(SUBSTITUTE('Dashboard'!$B$7,"~","~~"),"*","~*"),"?","~?"))))</x:f>
        <x:v>0</x:v>
      </x:c>
      <x:c r="JD261" t="n">
        <x:f>IF('Calculations'!EM261="",0,IF('Dashboard'!$B$7="All",1,IF('Calculations'!HN261='Dashboard'!$B$7,1,0)+IFERROR(INDEX('Calculations'!$JC$13:$JC$512,MATCH('Calculations'!HE261,'Calculations'!$HF$13:$HF$512,0)),0)))</x:f>
        <x:v>0</x:v>
      </x:c>
      <x:c r="JE261" t="n">
        <x:f>IF(AND('Calculations'!EM261&lt;&gt;"",'Calculations'!$JJ$2&lt;&gt;"All",'Calculations'!$JJ$2&lt;&gt;"",'Calculations'!HF261='Calculations'!$JJ$2,'Calculations'!HL261=0,'Calculations'!JD261&gt;0),MAX('Calculations'!$JE$12:JE260)+1,0)</x:f>
        <x:v>0</x:v>
      </x:c>
      <x:c r="JF261" t="str">
        <x:f>IF('Calculations'!EM261="","",IFERROR(IF(INDEX(INDIRECT("'WCM Calibration Final'!$G$1:$G$2000"),'Calculations'!$EM261)="","",TRIM(INDEX(INDIRECT("'WCM Calibration Final'!$G$1:$G$2000"),'Calculations'!$EM261)&amp;"")),""))</x:f>
      </x:c>
      <x:c r="JQ261" t="n">
        <x:f>IF(OR('Calculations'!BM261=0,NOT('Calculations'!$AG$2),'Calculations'!$AG$8&gt;0),0,IF(OR('Dashboard'!$B$7="All",'Calculations'!HN261='Dashboard'!$B$7),IF('Calculations'!$JJ$2="All",1,IF(AND('Calculations'!HF261='Calculations'!$JJ$2,'Calculations'!HL261=0),1,0)),0))</x:f>
        <x:v>0</x:v>
      </x:c>
    </x:row>
    <x:row r="262">
      <x:c r="AF262" s="4" t="str">
        <x:v>2 Exceeds</x:v>
      </x:c>
      <x:c r="AG262" s="4" t="n">
        <x:f>COUNTIFS('Calculations'!$BN$13:$BN$512,1,'Calculations'!$BP$13:$BP$512,2)</x:f>
        <x:v>0</x:v>
      </x:c>
      <x:c r="AH262" s="4" t="e">
        <x:f>IF(SUM('Calculations'!$AG$261:$AG$264)=0,NA(),'Calculations'!AG262/SUM('Calculations'!$AG$261:$AG$264))</x:f>
        <x:v>#N/A</x:v>
      </x:c>
      <x:c r="AI262" s="4" t="n">
        <x:f>IF(COUNT('Dashboard'!P144)=0,NA(),IF(AND('Dashboard'!P144&gt;=0,'Dashboard'!P144&lt;=1),'Dashboard'!P144,NA()))</x:f>
        <x:v>0.3</x:v>
      </x:c>
      <x:c r="AJ262" s="4"/>
      <x:c r="AK262" s="4"/>
      <x:c r="AL262" s="4"/>
      <x:c r="AM262" s="4"/>
      <x:c r="AN262" s="4"/>
      <x:c r="AO262" s="4"/>
      <x:c r="AP262" s="4"/>
      <x:c r="AQ262" s="4"/>
      <x:c r="AR262" s="4"/>
      <x:c r="AS262" s="4"/>
      <x:c r="AT262" s="4" t="str">
        <x:f>IFERROR('Calculations'!AG262&amp;" · "&amp;TEXT('Calculations'!AH262,"0.0%"),"")</x:f>
      </x:c>
      <x:c r="AU262" s="4"/>
      <x:c r="AV262" s="4"/>
      <x:c r="AW262" s="4"/>
      <x:c r="AX262" s="4"/>
      <x:c r="AY262" s="4"/>
      <x:c r="AZ262" s="4"/>
      <x:c r="BA262" s="4"/>
      <x:c r="BB262" s="4"/>
      <x:c r="BC262" s="4"/>
      <x:c r="BD262" s="4"/>
      <x:c r="BE262" s="4"/>
      <x:c r="BF262" s="4"/>
      <x:c r="BG262" s="4"/>
      <x:c r="BH262" s="4"/>
      <x:c r="BI262" s="4"/>
      <x:c r="BJ262" s="4"/>
      <x:c r="BK262" s="4"/>
      <x:c r="BL262" s="4"/>
      <x:c r="BM262" s="4" t="n">
        <x:f>IF('Calculations'!$EM262="",0,IF(OR(IFERROR(INDEX(INDIRECT("'WCM Calibration Final'!$A$1:$A$2000"),'Calculations'!$EM262)&lt;&gt;"",FALSE),IFERROR(INDEX(INDIRECT("'WCM Calibration Final'!$B$1:$B$2000"),'Calculations'!$EM262)&lt;&gt;"",FALSE),IFERROR(INDEX(INDIRECT("'WCM Calibration Final'!$C$1:$C$2000"),'Calculations'!$EM262)&lt;&gt;"",FALSE)),1,0))</x:f>
        <x:v>0</x:v>
      </x:c>
      <x:c r="BN262" s="4" t="n">
        <x:f>IF(AND('Calculations'!BM262=1,'Calculations'!$AG$2,'Calculations'!$EN262=1),1,0)</x:f>
        <x:v>0</x:v>
      </x:c>
      <x:c r="BO262" s="4" t="str">
        <x:f>IF('Calculations'!BM262=0,"",IFERROR(IF(AND(VALUE(INDEX(INDIRECT("'WCM Calibration Final'!$K$1:$K$2000"),'Calculations'!$EM262))&gt;=1,VALUE(INDEX(INDIRECT("'WCM Calibration Final'!$K$1:$K$2000"),'Calculations'!$EM262))&lt;=4,MOD(VALUE(INDEX(INDIRECT("'WCM Calibration Final'!$K$1:$K$2000"),'Calculations'!$EM262)),1)=0),VALUE(INDEX(INDIRECT("'WCM Calibration Final'!$K$1:$K$2000"),'Calculations'!$EM262)),""),""))</x:f>
      </x:c>
      <x:c r="BP262" s="4" t="str">
        <x:f>IF('Calculations'!BM262=0,"",IFERROR(IF(AND(VALUE(INDEX(INDIRECT("'WCM Calibration Final'!$L$1:$L$2000"),'Calculations'!$EM262))&gt;=1,VALUE(INDEX(INDIRECT("'WCM Calibration Final'!$L$1:$L$2000"),'Calculations'!$EM262))&lt;=4,MOD(VALUE(INDEX(INDIRECT("'WCM Calibration Final'!$L$1:$L$2000"),'Calculations'!$EM262)),1)=0),VALUE(INDEX(INDIRECT("'WCM Calibration Final'!$L$1:$L$2000"),'Calculations'!$EM262)),""),""))</x:f>
      </x:c>
      <x:c r="BQ262" s="4"/>
      <x:c r="BR262" s="4"/>
      <x:c r="BS262" s="4"/>
      <x:c r="BT262" s="4" t="n">
        <x:f>IF(AND('Calculations'!BM262=1,ISNUMBER('Calculations'!BO262),ISNUMBER('Calculations'!BP262)),1,0)</x:f>
        <x:v>0</x:v>
      </x:c>
      <x:c r="BU262" s="4" t="str">
        <x:f>IF('Calculations'!BM262=0,"",'Calculations'!$EO262)</x:f>
      </x:c>
      <x:c r="BV262" s="4" t="str">
        <x:f>IF('Calculations'!BM262=0,"",IFERROR(IF(OR(INDEX(INDIRECT("'WCM Calibration Final'!$H$1:$H$2000"),'Calculations'!$EM262)="MANAGING DIRECTOR",INDEX(INDIRECT("'WCM Calibration Final'!$H$1:$H$2000"),'Calculations'!$EM262)="DIRECTOR",INDEX(INDIRECT("'WCM Calibration Final'!$H$1:$H$2000"),'Calculations'!$EM262)="SENIOR VICE PRESIDENT",INDEX(INDIRECT("'WCM Calibration Final'!$H$1:$H$2000"),'Calculations'!$EM262)="VICE PRESIDENT",INDEX(INDIRECT("'WCM Calibration Final'!$H$1:$H$2000"),'Calculations'!$EM262)="ASSISTANT VICE PRESIDENT",INDEX(INDIRECT("'WCM Calibration Final'!$H$1:$H$2000"),'Calculations'!$EM262)="OFFICER"),UPPER(INDEX(INDIRECT("'WCM Calibration Final'!$H$1:$H$2000"),'Calculations'!$EM262)),"Other"),"Other"))</x:f>
      </x:c>
      <x:c r="BW262" s="4"/>
      <x:c r="BX262" s="4"/>
      <x:c r="BY262" s="4" t="n">
        <x:f>IF(AND('Calculations'!BM262=1,'Calculations'!BU262&lt;&gt;"",COUNTIF('Calculations'!$BU$12:BU262,'Calculations'!BU262)=1),MAX('Calculations'!$BY$11:BY261)+1,0)</x:f>
        <x:v>0</x:v>
      </x:c>
      <x:c r="BZ262" s="4" t="str">
        <x:f>IF('Dashboard'!$E$67="What",'Calculations'!BO262,'Calculations'!BP262)</x:f>
      </x:c>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t="str">
        <x:f>IF(251&gt;MAX('Calculations'!$HI$13:$HI$512),"",INDEX('Calculations'!$HN$13:$HN$512,MATCH(251,'Calculations'!$HI$13:$HI$512,0)))</x:f>
      </x:c>
      <x:c r="DB262" s="4" t="str">
        <x:f>IF(251&gt;MAX('Calculations'!$HH$13:$HH$512),"",INDEX('Calculations'!$HJ$13:$HJ$512,MATCH(251,'Calculations'!$HH$13:$HH$512,0)))</x:f>
      </x:c>
      <x:c r="DC262" s="4" t="str">
        <x:f>IF(ROW()-11&gt;MAX('Calculations'!$BY$13:$BY$512),"",INDEX('Calculations'!$BU$13:$BU$512,MATCH(ROW()-11,'Calculations'!$BY$13:$BY$512,0)))</x:f>
      </x:c>
      <x:c r="DD262" s="4" t="str">
        <x:f>IF(251&gt;MAX('Calculations'!$IK$13:$IK$512),"",INDEX('Calculations'!$HK$13:$HK$512,MATCH(251,'Calculations'!$IK$13:$IK$512,0)))</x:f>
      </x:c>
      <x:c r="DE262" s="4" t="str">
        <x:f>'Calculations'!DC262</x:f>
      </x:c>
      <x:c r="DF262" s="4" t="str">
        <x:f>IF('Calculations'!DE262="","",COUNTIFS('Calculations'!$BN$13:$BN$512,1,'Calculations'!$BU$13:$BU$512,'Calculations'!DE262))</x:f>
      </x:c>
      <x:c r="DG262" s="4" t="str">
        <x:f>IF('Calculations'!DE262="","",COUNTIFS('Calculations'!$BN$13:$BN$512,1,'Calculations'!$BU$13:$BU$512,'Calculations'!DE262,'Calculations'!$BT$13:$BT$512,1))</x:f>
      </x:c>
      <x:c r="DH262" s="4" t="str">
        <x:f>IF('Calculations'!DE262="","",'Calculations'!DF262-'Calculations'!DG262)</x:f>
      </x:c>
      <x:c r="DI262" s="4" t="str">
        <x:f>IF(OR('Calculations'!DE262="",'Calculations'!DF262=0),"",'Calculations'!DG262/'Calculations'!DF262)</x:f>
      </x:c>
      <x:c r="DJ262" s="4" t="str">
        <x:f>IF('Calculations'!DE262="","",COUNTIFS('Calculations'!$BN$13:$BN$512,1,'Calculations'!$BU$13:$BU$512,'Calculations'!DE262,'Calculations'!$BT$13:$BT$512,1,'Calculations'!$EE$13:$EE$512,"High"))</x:f>
      </x:c>
      <x:c r="DK262" s="4" t="str">
        <x:f>IF('Calculations'!DE262="","",COUNTIFS('Calculations'!$BN$13:$BN$512,1,'Calculations'!$BU$13:$BU$512,'Calculations'!DE262,'Calculations'!$BT$13:$BT$512,1,'Calculations'!$EE$13:$EE$512,"Strong"))</x:f>
      </x:c>
      <x:c r="DL262" s="4" t="str">
        <x:f>IF('Calculations'!DE262="","",COUNTIFS('Calculations'!$BN$13:$BN$512,1,'Calculations'!$BU$13:$BU$512,'Calculations'!DE262,'Calculations'!$BT$13:$BT$512,1,'Calculations'!$EE$13:$EE$512,"Solid"))</x:f>
      </x:c>
      <x:c r="DM262" s="4" t="str">
        <x:f>IF('Calculations'!DE262="","",COUNTIFS('Calculations'!$BN$13:$BN$512,1,'Calculations'!$BU$13:$BU$512,'Calculations'!DE262,'Calculations'!$BT$13:$BT$512,1,'Calculations'!$EE$13:$EE$512,"Low"))</x:f>
      </x:c>
      <x:c r="DN262" s="4" t="str">
        <x:f>IF('Calculations'!DE262="","",COUNTIFS('Calculations'!$BN$13:$BN$512,1,'Calculations'!$BU$13:$BU$512,'Calculations'!DE262,'Calculations'!$EP$13:$EP$512,1))</x:f>
      </x:c>
      <x:c r="DO262" s="4" t="str">
        <x:f>IF(OR('Calculations'!DE262="",'Calculations'!DG262=0),"",('Calculations'!DJ262+'Calculations'!DK262)/'Calculations'!DG262)</x:f>
      </x:c>
      <x:c r="DP262" s="4" t="n">
        <x:f>IF(AND('Calculations'!DE262&lt;&gt;"",'Calculations'!DF262&gt;0),COUNTIF('Calculations'!$DF$12:DF262,"&gt;0"),0)</x:f>
        <x:v>0</x:v>
      </x:c>
      <x:c r="DQ262" s="4" t="str">
        <x:f>IF(251&gt;MAX('Calculations'!$HH$13:$HH$512),"",INDEX('Calculations'!$HF$13:$HF$512,MATCH(251,'Calculations'!$HH$13:$HH$512,0)))</x:f>
      </x:c>
      <x:c r="DR262" s="4" t="str">
        <x:f>IF(251&gt;MAX('Calculations'!$IK$13:$IK$512),"",INDEX('Calculations'!$HE$13:$HE$512,MATCH(251,'Calculations'!$IK$13:$IK$512,0)))</x:f>
      </x:c>
      <x:c r="DS262" s="4"/>
      <x:c r="DT262" s="4"/>
      <x:c r="DU262" s="4"/>
      <x:c r="DV262" s="4"/>
      <x:c r="DW262" s="4"/>
      <x:c r="DX262" s="4"/>
      <x:c r="DY262" s="4"/>
      <x:c r="DZ262" s="4"/>
      <x:c r="EA262" s="4"/>
      <x:c r="EB262" s="4"/>
      <x:c r="EC262" s="4"/>
      <x:c r="ED262" s="4"/>
      <x:c r="EE262" s="4" t="str">
        <x:f>IF('Calculations'!BT262=0,"Not Rated",IF(OR('Calculations'!BO262&gt;=4,'Calculations'!BP262&gt;=4),"Low",IF('Calculations'!BO262+'Calculations'!BP262&lt;=3,"High",IF('Calculations'!BO262+'Calculations'!BP262&lt;=4,"Strong","Solid"))))</x:f>
        <x:v>Not Rated</x:v>
      </x:c>
      <x:c r="EF262" s="4"/>
      <x:c r="EG262" s="4"/>
      <x:c r="EH262" s="4"/>
      <x:c r="EI262" s="4"/>
      <x:c r="EJ262" s="4"/>
      <x:c r="EK262" s="4"/>
      <x:c r="EL262" s="4"/>
      <x:c r="EM262" s="4" t="str">
        <x:f>IF(250&gt;'Calculations'!$JB$2000,"",INDEX('Calculations'!$JA$12:$JA$2000,MATCH(250,'Calculations'!$JB$12:$JB$2000,0)))</x:f>
      </x:c>
      <x:c r="EN262" s="4" t="n">
        <x:f>IF(OR('Calculations'!EM262="",'Calculations'!$AG$8&gt;0,AND('Calculations'!$EF$2&lt;&gt;"All",'Calculations'!HE262='Calculations'!$EF$2),AND('Calculations'!$EF$3&lt;&gt;"All",'Calculations'!HE262='Calculations'!$EF$3)),0,IF(OR('Dashboard'!$B$7="All",'Calculations'!HN262='Dashboard'!$B$7),IF('Calculations'!$EF$2="All",1,IF('Calculations'!HL262&gt;0,0,IF(COUNTIF('Calculations'!HO262:II262,"="&amp;SUBSTITUTE(SUBSTITUTE(SUBSTITUTE('Calculations'!$EF$2,"~","~~"),"*","~*"),"?","~?"))=0,0,IF('Calculations'!$EF$3="All",1,IF(COUNTIF('Calculations'!HO262:II262,"="&amp;SUBSTITUTE(SUBSTITUTE(SUBSTITUTE('Calculations'!$EF$3,"~","~~"),"*","~*"),"?","~?"))&gt;0,1,0))))),0))</x:f>
        <x:v>0</x:v>
      </x:c>
      <x:c r="EO262" s="4" t="str">
        <x:f>IF('Calculations'!IJ262="","",IF('Calculations'!IJ262="!UNRESOLVED","Unresolved hierarchy",IFERROR(INDEX('Calculations'!$HK$13:$HK$512,MATCH('Calculations'!IJ262,'Calculations'!$HE$13:$HE$512,0)),IFERROR(INDEX('Calculations'!$HJ$13:$HJ$512,MATCH('Calculations'!IJ262,'Calculations'!$HF$13:$HF$512,0)),'Calculations'!IJ262))))</x:f>
      </x:c>
      <x:c r="EP262" s="4" t="n">
        <x:f>IF(AND('Calculations'!EM262&lt;&gt;"",'Calculations'!HF262='Calculations'!IJ262),1,0)</x:f>
        <x:v>0</x:v>
      </x:c>
      <x:c r="EQ262" s="4"/>
      <x:c r="ER262" s="4"/>
      <x:c r="ES262" s="4"/>
      <x:c r="ET262" s="4"/>
      <x:c r="EU262" s="4"/>
      <x:c r="EV262" s="4"/>
      <x:c r="EW262" s="4"/>
      <x:c r="EX262" s="4"/>
      <x:c r="EY262" s="4"/>
      <x:c r="EZ262" s="4"/>
      <x:c r="FA262" s="4"/>
      <x:c r="FB262" s="4"/>
      <x:c r="FC262" s="4"/>
      <x:c r="FD262" s="4"/>
      <x:c r="FE262" s="4"/>
      <x:c r="FF262" s="4"/>
      <x:c r="FG262" s="4"/>
      <x:c r="FH262" s="4"/>
      <x:c r="FI262" s="4"/>
      <x:c r="FJ262" s="4"/>
      <x:c r="FK262" s="4"/>
      <x:c r="FL262" s="4"/>
      <x:c r="FM262" s="4"/>
      <x:c r="FN262" s="4"/>
      <x:c r="FO262" s="4"/>
      <x:c r="HE262" t="str">
        <x:f>IF('Calculations'!EM262="","",IF(IFERROR(IF(INDEX(INDIRECT("'WCM Calibration Final'!$A$1:$A$2000"),'Calculations'!$EM262)="","",TRIM(INDEX(INDIRECT("'WCM Calibration Final'!$A$1:$A$2000"),'Calculations'!$EM262)&amp;"")),"")&lt;&gt;"","G:"&amp;IFERROR(TEXT(1*INDEX(INDIRECT("'WCM Calibration Final'!$A$1:$A$2000"),'Calculations'!$EM262),"0"),UPPER(IFERROR(IF(INDEX(INDIRECT("'WCM Calibration Final'!$A$1:$A$2000"),'Calculations'!$EM262)="","",TRIM(INDEX(INDIRECT("'WCM Calibration Final'!$A$1:$A$2000"),'Calculations'!$EM262)&amp;"")),""))),IF(IFERROR(IF(INDEX(INDIRECT("'WCM Calibration Final'!$C$1:$C$2000"),'Calculations'!$EM262)="","",TRIM(INDEX(INDIRECT("'WCM Calibration Final'!$C$1:$C$2000"),'Calculations'!$EM262)&amp;"")),"")&lt;&gt;"","S:"&amp;UPPER(IFERROR(IF(INDEX(INDIRECT("'WCM Calibration Final'!$C$1:$C$2000"),'Calculations'!$EM262)="","",TRIM(INDEX(INDIRECT("'WCM Calibration Final'!$C$1:$C$2000"),'Calculations'!$EM262)&amp;"")),"")),"R:"&amp;'Calculations'!EM262)))</x:f>
      </x:c>
      <x:c r="HF262" t="str">
        <x:f>IF('Calculations'!EM262="","",IF(IFERROR(IF(INDEX(INDIRECT("'WCM Calibration Final'!$D$1:$D$2000"),'Calculations'!$EM262)="","",TRIM(INDEX(INDIRECT("'WCM Calibration Final'!$D$1:$D$2000"),'Calculations'!$EM262)&amp;"")),"")&lt;&gt;"","G:"&amp;IFERROR(TEXT(1*INDEX(INDIRECT("'WCM Calibration Final'!$D$1:$D$2000"),'Calculations'!$EM262),"0"),UPPER(IFERROR(IF(INDEX(INDIRECT("'WCM Calibration Final'!$D$1:$D$2000"),'Calculations'!$EM262)="","",TRIM(INDEX(INDIRECT("'WCM Calibration Final'!$D$1:$D$2000"),'Calculations'!$EM262)&amp;"")),""))),IF(IFERROR(IF(INDEX(INDIRECT("'WCM Calibration Final'!$E$1:$E$2000"),'Calculations'!$EM262)="","",TRIM(INDEX(INDIRECT("'WCM Calibration Final'!$E$1:$E$2000"),'Calculations'!$EM262)&amp;"")),"")="","",IF(COUNTIF('Calculations'!$HG$13:$HG$512,"="&amp;SUBSTITUTE(SUBSTITUTE(SUBSTITUTE(IFERROR(IF(INDEX(INDIRECT("'WCM Calibration Final'!$E$1:$E$2000"),'Calculations'!$EM262)="","",TRIM(INDEX(INDIRECT("'WCM Calibration Final'!$E$1:$E$2000"),'Calculations'!$EM262)&amp;"")),""),"~","~~"),"*","~*"),"?","~?"))=1,INDEX('Calculations'!$HE$13:$HE$512,MATCH(IFERROR(IF(INDEX(INDIRECT("'WCM Calibration Final'!$E$1:$E$2000"),'Calculations'!$EM262)="","",TRIM(INDEX(INDIRECT("'WCM Calibration Final'!$E$1:$E$2000"),'Calculations'!$EM262)&amp;"")),""),'Calculations'!$HG$13:$HG$512,0)),IF(COUNTIF('Calculations'!$HG$13:$HG$512,"="&amp;SUBSTITUTE(SUBSTITUTE(SUBSTITUTE(IFERROR(IF(INDEX(INDIRECT("'WCM Calibration Final'!$E$1:$E$2000"),'Calculations'!$EM262)="","",TRIM(INDEX(INDIRECT("'WCM Calibration Final'!$E$1:$E$2000"),'Calculations'!$EM262)&amp;"")),""),"~","~~"),"*","~*"),"?","~?"))&gt;1,"!AMBIG","X:"&amp;IFERROR(IF(INDEX(INDIRECT("'WCM Calibration Final'!$E$1:$E$2000"),'Calculations'!$EM262)="","",TRIM(INDEX(INDIRECT("'WCM Calibration Final'!$E$1:$E$2000"),'Calculations'!$EM262)&amp;"")),""))))))</x:f>
      </x:c>
      <x:c r="HG262" t="str">
        <x:f>IF('Calculations'!EM262="","",IFERROR(IF(INDEX(INDIRECT("'WCM Calibration Final'!$B$1:$B$2000"),'Calculations'!$EM262)="","",TRIM(INDEX(INDIRECT("'WCM Calibration Final'!$B$1:$B$2000"),'Calculations'!$EM262)&amp;"")),""))</x:f>
      </x:c>
      <x:c r="HH262" t="n">
        <x:f>IF(AND('Calculations'!JC262&gt;0,COUNTIF('Calculations'!$HF$12:HF262,"="&amp;SUBSTITUTE(SUBSTITUTE(SUBSTITUTE('Calculations'!HF262,"~","~~"),"*","~*"),"?","~?"))=1),MAX('Calculations'!$HH$12:HH261)+1,0)</x:f>
        <x:v>0</x:v>
      </x:c>
      <x:c r="HI262" t="n">
        <x:f>IF(AND('Calculations'!HN262&lt;&gt;"",COUNTIF('Calculations'!$HN$12:HN262,"="&amp;SUBSTITUTE(SUBSTITUTE(SUBSTITUTE('Calculations'!HN262,"~","~~"),"*","~*"),"?","~?"))=1),MAX('Calculations'!$HI$12:HI261)+1,0)</x:f>
        <x:v>0</x:v>
      </x:c>
      <x:c r="HJ262" t="str">
        <x:f>IF('Calculations'!HF262="","",IF(COUNTIF('Calculations'!$HE$13:$HE$512,"="&amp;SUBSTITUTE(SUBSTITUTE(SUBSTITUTE('Calculations'!HF262,"~","~~"),"*","~*"),"?","~?"))=1,INDEX('Calculations'!$HK$13:$HK$512,MATCH('Calculations'!HF262,'Calculations'!$HE$13:$HE$512,0)),IFERROR(IF(INDEX(INDIRECT("'WCM Calibration Final'!$E$1:$E$2000"),'Calculations'!$EM262)="","",TRIM(INDEX(INDIRECT("'WCM Calibration Final'!$E$1:$E$2000"),'Calculations'!$EM262)&amp;"")),"")&amp;" ["&amp;'Calculations'!HF262&amp;"]"))</x:f>
      </x:c>
      <x:c r="HK262" t="str">
        <x:f>IF('Calculations'!EM262="","",'Calculations'!HG262&amp;" ["&amp;'Calculations'!HE262&amp;"]")</x:f>
      </x:c>
      <x:c r="HL262" t="n">
        <x:f>IF('Calculations'!EM262="",0,IF(OR('Calculations'!II262&lt;&gt;"",COUNTIF('Calculations'!$HE$13:$HE$512,"="&amp;SUBSTITUTE(SUBSTITUTE(SUBSTITUTE('Calculations'!HE262,"~","~~"),"*","~*"),"?","~?"))&gt;1),1,0))</x:f>
        <x:v>0</x:v>
      </x:c>
      <x:c r="HM262" t="str">
        <x:f>IF('Calculations'!EM262="","",IF('Calculations'!HL262=1,"!UNRESOLVED",IF('Calculations'!IH262&lt;&gt;"",'Calculations'!IH262,IF('Calculations'!IG262&lt;&gt;"",'Calculations'!IG262,IF('Calculations'!IF262&lt;&gt;"",'Calculations'!IF262,IF('Calculations'!IE262&lt;&gt;"",'Calculations'!IE262,IF('Calculations'!ID262&lt;&gt;"",'Calculations'!ID262,IF('Calculations'!IC262&lt;&gt;"",'Calculations'!IC262,IF('Calculations'!IB262&lt;&gt;"",'Calculations'!IB262,IF('Calculations'!IA262&lt;&gt;"",'Calculations'!IA262,IF('Calculations'!HZ262&lt;&gt;"",'Calculations'!HZ262,IF('Calculations'!HY262&lt;&gt;"",'Calculations'!HY262,IF('Calculations'!HX262&lt;&gt;"",'Calculations'!HX262,IF('Calculations'!HW262&lt;&gt;"",'Calculations'!HW262,IF('Calculations'!HV262&lt;&gt;"",'Calculations'!HV262,IF('Calculations'!HU262&lt;&gt;"",'Calculations'!HU262,IF('Calculations'!HT262&lt;&gt;"",'Calculations'!HT262,IF('Calculations'!HS262&lt;&gt;"",'Calculations'!HS262,IF('Calculations'!HR262&lt;&gt;"",'Calculations'!HR262,IF('Calculations'!HQ262&lt;&gt;"",'Calculations'!HQ262,IF('Calculations'!HP262&lt;&gt;"",'Calculations'!HP262,IF('Calculations'!HO262&lt;&gt;"",'Calculations'!HO262,'Calculations'!HE262))))))))))))))))))))))</x:f>
      </x:c>
      <x:c r="HN262" t="str">
        <x:f>IF('Calculations'!EM262="","",IF(IFERROR(IF(INDEX(INDIRECT("'WCM Calibration Final'!$F$1:$F$2000"),'Calculations'!$EM262)="","",TRIM(INDEX(INDIRECT("'WCM Calibration Final'!$F$1:$F$2000"),'Calculations'!$EM262)&amp;"")),"")="","(Blank)",IFERROR(IF(INDEX(INDIRECT("'WCM Calibration Final'!$F$1:$F$2000"),'Calculations'!$EM262)="","",TRIM(INDEX(INDIRECT("'WCM Calibration Final'!$F$1:$F$2000"),'Calculations'!$EM262)&amp;"")),"")))</x:f>
      </x:c>
      <x:c r="HO262" t="str">
        <x:f>'Calculations'!HF262</x:f>
      </x:c>
      <x:c r="HP262" t="str">
        <x:f>IF('Calculations'!HO262="","",IF('Calculations'!HO262="!AMBIG","!AMBIG",IF(COUNTIF('Calculations'!$HE$13:$HE$512,"="&amp;SUBSTITUTE(SUBSTITUTE(SUBSTITUTE('Calculations'!HO262,"~","~~"),"*","~*"),"?","~?"))&gt;1,"!AMBIG",IFERROR(INDEX('Calculations'!$HF$13:$HF$512,MATCH('Calculations'!HO262,'Calculations'!$HE$13:$HE$512,0)),""))))</x:f>
      </x:c>
      <x:c r="HQ262" t="str">
        <x:f>IF('Calculations'!HP262="","",IF('Calculations'!HP262="!AMBIG","!AMBIG",IF(COUNTIF('Calculations'!$HE$13:$HE$512,"="&amp;SUBSTITUTE(SUBSTITUTE(SUBSTITUTE('Calculations'!HP262,"~","~~"),"*","~*"),"?","~?"))&gt;1,"!AMBIG",IFERROR(INDEX('Calculations'!$HF$13:$HF$512,MATCH('Calculations'!HP262,'Calculations'!$HE$13:$HE$512,0)),""))))</x:f>
      </x:c>
      <x:c r="HR262" t="str">
        <x:f>IF('Calculations'!HQ262="","",IF('Calculations'!HQ262="!AMBIG","!AMBIG",IF(COUNTIF('Calculations'!$HE$13:$HE$512,"="&amp;SUBSTITUTE(SUBSTITUTE(SUBSTITUTE('Calculations'!HQ262,"~","~~"),"*","~*"),"?","~?"))&gt;1,"!AMBIG",IFERROR(INDEX('Calculations'!$HF$13:$HF$512,MATCH('Calculations'!HQ262,'Calculations'!$HE$13:$HE$512,0)),""))))</x:f>
      </x:c>
      <x:c r="HS262" t="str">
        <x:f>IF('Calculations'!HR262="","",IF('Calculations'!HR262="!AMBIG","!AMBIG",IF(COUNTIF('Calculations'!$HE$13:$HE$512,"="&amp;SUBSTITUTE(SUBSTITUTE(SUBSTITUTE('Calculations'!HR262,"~","~~"),"*","~*"),"?","~?"))&gt;1,"!AMBIG",IFERROR(INDEX('Calculations'!$HF$13:$HF$512,MATCH('Calculations'!HR262,'Calculations'!$HE$13:$HE$512,0)),""))))</x:f>
      </x:c>
      <x:c r="HT262" t="str">
        <x:f>IF('Calculations'!HS262="","",IF('Calculations'!HS262="!AMBIG","!AMBIG",IF(COUNTIF('Calculations'!$HE$13:$HE$512,"="&amp;SUBSTITUTE(SUBSTITUTE(SUBSTITUTE('Calculations'!HS262,"~","~~"),"*","~*"),"?","~?"))&gt;1,"!AMBIG",IFERROR(INDEX('Calculations'!$HF$13:$HF$512,MATCH('Calculations'!HS262,'Calculations'!$HE$13:$HE$512,0)),""))))</x:f>
      </x:c>
      <x:c r="HU262" t="str">
        <x:f>IF('Calculations'!HT262="","",IF('Calculations'!HT262="!AMBIG","!AMBIG",IF(COUNTIF('Calculations'!$HE$13:$HE$512,"="&amp;SUBSTITUTE(SUBSTITUTE(SUBSTITUTE('Calculations'!HT262,"~","~~"),"*","~*"),"?","~?"))&gt;1,"!AMBIG",IFERROR(INDEX('Calculations'!$HF$13:$HF$512,MATCH('Calculations'!HT262,'Calculations'!$HE$13:$HE$512,0)),""))))</x:f>
      </x:c>
      <x:c r="HV262" t="str">
        <x:f>IF('Calculations'!HU262="","",IF('Calculations'!HU262="!AMBIG","!AMBIG",IF(COUNTIF('Calculations'!$HE$13:$HE$512,"="&amp;SUBSTITUTE(SUBSTITUTE(SUBSTITUTE('Calculations'!HU262,"~","~~"),"*","~*"),"?","~?"))&gt;1,"!AMBIG",IFERROR(INDEX('Calculations'!$HF$13:$HF$512,MATCH('Calculations'!HU262,'Calculations'!$HE$13:$HE$512,0)),""))))</x:f>
      </x:c>
      <x:c r="HW262" t="str">
        <x:f>IF('Calculations'!HV262="","",IF('Calculations'!HV262="!AMBIG","!AMBIG",IF(COUNTIF('Calculations'!$HE$13:$HE$512,"="&amp;SUBSTITUTE(SUBSTITUTE(SUBSTITUTE('Calculations'!HV262,"~","~~"),"*","~*"),"?","~?"))&gt;1,"!AMBIG",IFERROR(INDEX('Calculations'!$HF$13:$HF$512,MATCH('Calculations'!HV262,'Calculations'!$HE$13:$HE$512,0)),""))))</x:f>
      </x:c>
      <x:c r="HX262" t="str">
        <x:f>IF('Calculations'!HW262="","",IF('Calculations'!HW262="!AMBIG","!AMBIG",IF(COUNTIF('Calculations'!$HE$13:$HE$512,"="&amp;SUBSTITUTE(SUBSTITUTE(SUBSTITUTE('Calculations'!HW262,"~","~~"),"*","~*"),"?","~?"))&gt;1,"!AMBIG",IFERROR(INDEX('Calculations'!$HF$13:$HF$512,MATCH('Calculations'!HW262,'Calculations'!$HE$13:$HE$512,0)),""))))</x:f>
      </x:c>
      <x:c r="HY262" t="str">
        <x:f>IF('Calculations'!HX262="","",IF('Calculations'!HX262="!AMBIG","!AMBIG",IF(COUNTIF('Calculations'!$HE$13:$HE$512,"="&amp;SUBSTITUTE(SUBSTITUTE(SUBSTITUTE('Calculations'!HX262,"~","~~"),"*","~*"),"?","~?"))&gt;1,"!AMBIG",IFERROR(INDEX('Calculations'!$HF$13:$HF$512,MATCH('Calculations'!HX262,'Calculations'!$HE$13:$HE$512,0)),""))))</x:f>
      </x:c>
      <x:c r="HZ262" t="str">
        <x:f>IF('Calculations'!HY262="","",IF('Calculations'!HY262="!AMBIG","!AMBIG",IF(COUNTIF('Calculations'!$HE$13:$HE$512,"="&amp;SUBSTITUTE(SUBSTITUTE(SUBSTITUTE('Calculations'!HY262,"~","~~"),"*","~*"),"?","~?"))&gt;1,"!AMBIG",IFERROR(INDEX('Calculations'!$HF$13:$HF$512,MATCH('Calculations'!HY262,'Calculations'!$HE$13:$HE$512,0)),""))))</x:f>
      </x:c>
      <x:c r="IA262" t="str">
        <x:f>IF('Calculations'!HZ262="","",IF('Calculations'!HZ262="!AMBIG","!AMBIG",IF(COUNTIF('Calculations'!$HE$13:$HE$512,"="&amp;SUBSTITUTE(SUBSTITUTE(SUBSTITUTE('Calculations'!HZ262,"~","~~"),"*","~*"),"?","~?"))&gt;1,"!AMBIG",IFERROR(INDEX('Calculations'!$HF$13:$HF$512,MATCH('Calculations'!HZ262,'Calculations'!$HE$13:$HE$512,0)),""))))</x:f>
      </x:c>
      <x:c r="IB262" t="str">
        <x:f>IF('Calculations'!IA262="","",IF('Calculations'!IA262="!AMBIG","!AMBIG",IF(COUNTIF('Calculations'!$HE$13:$HE$512,"="&amp;SUBSTITUTE(SUBSTITUTE(SUBSTITUTE('Calculations'!IA262,"~","~~"),"*","~*"),"?","~?"))&gt;1,"!AMBIG",IFERROR(INDEX('Calculations'!$HF$13:$HF$512,MATCH('Calculations'!IA262,'Calculations'!$HE$13:$HE$512,0)),""))))</x:f>
      </x:c>
      <x:c r="IC262" t="str">
        <x:f>IF('Calculations'!IB262="","",IF('Calculations'!IB262="!AMBIG","!AMBIG",IF(COUNTIF('Calculations'!$HE$13:$HE$512,"="&amp;SUBSTITUTE(SUBSTITUTE(SUBSTITUTE('Calculations'!IB262,"~","~~"),"*","~*"),"?","~?"))&gt;1,"!AMBIG",IFERROR(INDEX('Calculations'!$HF$13:$HF$512,MATCH('Calculations'!IB262,'Calculations'!$HE$13:$HE$512,0)),""))))</x:f>
      </x:c>
      <x:c r="ID262" t="str">
        <x:f>IF('Calculations'!IC262="","",IF('Calculations'!IC262="!AMBIG","!AMBIG",IF(COUNTIF('Calculations'!$HE$13:$HE$512,"="&amp;SUBSTITUTE(SUBSTITUTE(SUBSTITUTE('Calculations'!IC262,"~","~~"),"*","~*"),"?","~?"))&gt;1,"!AMBIG",IFERROR(INDEX('Calculations'!$HF$13:$HF$512,MATCH('Calculations'!IC262,'Calculations'!$HE$13:$HE$512,0)),""))))</x:f>
      </x:c>
      <x:c r="IE262" t="str">
        <x:f>IF('Calculations'!ID262="","",IF('Calculations'!ID262="!AMBIG","!AMBIG",IF(COUNTIF('Calculations'!$HE$13:$HE$512,"="&amp;SUBSTITUTE(SUBSTITUTE(SUBSTITUTE('Calculations'!ID262,"~","~~"),"*","~*"),"?","~?"))&gt;1,"!AMBIG",IFERROR(INDEX('Calculations'!$HF$13:$HF$512,MATCH('Calculations'!ID262,'Calculations'!$HE$13:$HE$512,0)),""))))</x:f>
      </x:c>
      <x:c r="IF262" t="str">
        <x:f>IF('Calculations'!IE262="","",IF('Calculations'!IE262="!AMBIG","!AMBIG",IF(COUNTIF('Calculations'!$HE$13:$HE$512,"="&amp;SUBSTITUTE(SUBSTITUTE(SUBSTITUTE('Calculations'!IE262,"~","~~"),"*","~*"),"?","~?"))&gt;1,"!AMBIG",IFERROR(INDEX('Calculations'!$HF$13:$HF$512,MATCH('Calculations'!IE262,'Calculations'!$HE$13:$HE$512,0)),""))))</x:f>
      </x:c>
      <x:c r="IG262" t="str">
        <x:f>IF('Calculations'!IF262="","",IF('Calculations'!IF262="!AMBIG","!AMBIG",IF(COUNTIF('Calculations'!$HE$13:$HE$512,"="&amp;SUBSTITUTE(SUBSTITUTE(SUBSTITUTE('Calculations'!IF262,"~","~~"),"*","~*"),"?","~?"))&gt;1,"!AMBIG",IFERROR(INDEX('Calculations'!$HF$13:$HF$512,MATCH('Calculations'!IF262,'Calculations'!$HE$13:$HE$512,0)),""))))</x:f>
      </x:c>
      <x:c r="IH262" t="str">
        <x:f>IF('Calculations'!IG262="","",IF('Calculations'!IG262="!AMBIG","!AMBIG",IF(COUNTIF('Calculations'!$HE$13:$HE$512,"="&amp;SUBSTITUTE(SUBSTITUTE(SUBSTITUTE('Calculations'!IG262,"~","~~"),"*","~*"),"?","~?"))&gt;1,"!AMBIG",IFERROR(INDEX('Calculations'!$HF$13:$HF$512,MATCH('Calculations'!IG262,'Calculations'!$HE$13:$HE$512,0)),""))))</x:f>
      </x:c>
      <x:c r="II262" t="str">
        <x:f>IF('Calculations'!IH262="","",IF('Calculations'!IH262="!AMBIG","!AMBIG",IF(COUNTIF('Calculations'!$HE$13:$HE$512,"="&amp;SUBSTITUTE(SUBSTITUTE(SUBSTITUTE('Calculations'!IH262,"~","~~"),"*","~*"),"?","~?"))&gt;1,"!AMBIG",IFERROR(INDEX('Calculations'!$HF$13:$HF$512,MATCH('Calculations'!IH262,'Calculations'!$HE$13:$HE$512,0)),""))))</x:f>
      </x:c>
      <x:c r="IJ262" t="str">
        <x:f>IF('Calculations'!EM262="","",IF('Calculations'!$EF$2="All",'Calculations'!HM262,IF('Calculations'!HL262=1,"",IFERROR(IF(MATCH('Calculations'!$EF$2,'Calculations'!HO262:II262,0)=1,'Calculations'!HE262,INDEX('Calculations'!HO262:II262,1,MATCH('Calculations'!$EF$2,'Calculations'!HO262:II262,0)-1)),""))))</x:f>
      </x:c>
      <x:c r="IK262" t="n">
        <x:f>IF(AND('Calculations'!EM262&lt;&gt;"",'Calculations'!$EF$2&lt;&gt;"All",'Calculations'!HF262='Calculations'!$EF$2,'Calculations'!HL262=0,'Calculations'!JD262&gt;0),MAX('Calculations'!$IK$12:IK261)+1,0)</x:f>
        <x:v>0</x:v>
      </x:c>
      <x:c r="JA262" t="n">
        <x:f>IF(OR(IFERROR(INDIRECT("'WCM Calibration Final'!$A$262")&lt;&gt;"",FALSE),IFERROR(INDIRECT("'WCM Calibration Final'!$B$262")&lt;&gt;"",FALSE),IFERROR(INDIRECT("'WCM Calibration Final'!$C$262")&lt;&gt;"",FALSE)),262,0)</x:f>
        <x:v>0</x:v>
      </x:c>
      <x:c r="JB262" t="n">
        <x:f>'Calculations'!JB261+IF('Calculations'!JA262&gt;0,1,0)</x:f>
        <x:v>0</x:v>
      </x:c>
      <x:c r="JC262" t="n">
        <x:f>IF(OR('Calculations'!HF262="",'Calculations'!HF262="!AMBIG"),0,IF('Dashboard'!$B$7="All",1,COUNTIFS('Calculations'!$HO$13:$HO$512,"="&amp;SUBSTITUTE(SUBSTITUTE(SUBSTITUTE('Calculations'!HF262,"~","~~"),"*","~*"),"?","~?"),'Calculations'!$HN$13:$HN$512,"="&amp;SUBSTITUTE(SUBSTITUTE(SUBSTITUTE('Dashboard'!$B$7,"~","~~"),"*","~*"),"?","~?"))+COUNTIFS('Calculations'!$HP$13:$HP$512,"="&amp;SUBSTITUTE(SUBSTITUTE(SUBSTITUTE('Calculations'!HF262,"~","~~"),"*","~*"),"?","~?"),'Calculations'!$HN$13:$HN$512,"="&amp;SUBSTITUTE(SUBSTITUTE(SUBSTITUTE('Dashboard'!$B$7,"~","~~"),"*","~*"),"?","~?"))+COUNTIFS('Calculations'!$HQ$13:$HQ$512,"="&amp;SUBSTITUTE(SUBSTITUTE(SUBSTITUTE('Calculations'!HF262,"~","~~"),"*","~*"),"?","~?"),'Calculations'!$HN$13:$HN$512,"="&amp;SUBSTITUTE(SUBSTITUTE(SUBSTITUTE('Dashboard'!$B$7,"~","~~"),"*","~*"),"?","~?"))+COUNTIFS('Calculations'!$HR$13:$HR$512,"="&amp;SUBSTITUTE(SUBSTITUTE(SUBSTITUTE('Calculations'!HF262,"~","~~"),"*","~*"),"?","~?"),'Calculations'!$HN$13:$HN$512,"="&amp;SUBSTITUTE(SUBSTITUTE(SUBSTITUTE('Dashboard'!$B$7,"~","~~"),"*","~*"),"?","~?"))+COUNTIFS('Calculations'!$HS$13:$HS$512,"="&amp;SUBSTITUTE(SUBSTITUTE(SUBSTITUTE('Calculations'!HF262,"~","~~"),"*","~*"),"?","~?"),'Calculations'!$HN$13:$HN$512,"="&amp;SUBSTITUTE(SUBSTITUTE(SUBSTITUTE('Dashboard'!$B$7,"~","~~"),"*","~*"),"?","~?"))+COUNTIFS('Calculations'!$HT$13:$HT$512,"="&amp;SUBSTITUTE(SUBSTITUTE(SUBSTITUTE('Calculations'!HF262,"~","~~"),"*","~*"),"?","~?"),'Calculations'!$HN$13:$HN$512,"="&amp;SUBSTITUTE(SUBSTITUTE(SUBSTITUTE('Dashboard'!$B$7,"~","~~"),"*","~*"),"?","~?"))+COUNTIFS('Calculations'!$HU$13:$HU$512,"="&amp;SUBSTITUTE(SUBSTITUTE(SUBSTITUTE('Calculations'!HF262,"~","~~"),"*","~*"),"?","~?"),'Calculations'!$HN$13:$HN$512,"="&amp;SUBSTITUTE(SUBSTITUTE(SUBSTITUTE('Dashboard'!$B$7,"~","~~"),"*","~*"),"?","~?"))+COUNTIFS('Calculations'!$HV$13:$HV$512,"="&amp;SUBSTITUTE(SUBSTITUTE(SUBSTITUTE('Calculations'!HF262,"~","~~"),"*","~*"),"?","~?"),'Calculations'!$HN$13:$HN$512,"="&amp;SUBSTITUTE(SUBSTITUTE(SUBSTITUTE('Dashboard'!$B$7,"~","~~"),"*","~*"),"?","~?"))+COUNTIFS('Calculations'!$HW$13:$HW$512,"="&amp;SUBSTITUTE(SUBSTITUTE(SUBSTITUTE('Calculations'!HF262,"~","~~"),"*","~*"),"?","~?"),'Calculations'!$HN$13:$HN$512,"="&amp;SUBSTITUTE(SUBSTITUTE(SUBSTITUTE('Dashboard'!$B$7,"~","~~"),"*","~*"),"?","~?"))+COUNTIFS('Calculations'!$HX$13:$HX$512,"="&amp;SUBSTITUTE(SUBSTITUTE(SUBSTITUTE('Calculations'!HF262,"~","~~"),"*","~*"),"?","~?"),'Calculations'!$HN$13:$HN$512,"="&amp;SUBSTITUTE(SUBSTITUTE(SUBSTITUTE('Dashboard'!$B$7,"~","~~"),"*","~*"),"?","~?"))+COUNTIFS('Calculations'!$HY$13:$HY$512,"="&amp;SUBSTITUTE(SUBSTITUTE(SUBSTITUTE('Calculations'!HF262,"~","~~"),"*","~*"),"?","~?"),'Calculations'!$HN$13:$HN$512,"="&amp;SUBSTITUTE(SUBSTITUTE(SUBSTITUTE('Dashboard'!$B$7,"~","~~"),"*","~*"),"?","~?"))+COUNTIFS('Calculations'!$HZ$13:$HZ$512,"="&amp;SUBSTITUTE(SUBSTITUTE(SUBSTITUTE('Calculations'!HF262,"~","~~"),"*","~*"),"?","~?"),'Calculations'!$HN$13:$HN$512,"="&amp;SUBSTITUTE(SUBSTITUTE(SUBSTITUTE('Dashboard'!$B$7,"~","~~"),"*","~*"),"?","~?"))+COUNTIFS('Calculations'!$IA$13:$IA$512,"="&amp;SUBSTITUTE(SUBSTITUTE(SUBSTITUTE('Calculations'!HF262,"~","~~"),"*","~*"),"?","~?"),'Calculations'!$HN$13:$HN$512,"="&amp;SUBSTITUTE(SUBSTITUTE(SUBSTITUTE('Dashboard'!$B$7,"~","~~"),"*","~*"),"?","~?"))+COUNTIFS('Calculations'!$IB$13:$IB$512,"="&amp;SUBSTITUTE(SUBSTITUTE(SUBSTITUTE('Calculations'!HF262,"~","~~"),"*","~*"),"?","~?"),'Calculations'!$HN$13:$HN$512,"="&amp;SUBSTITUTE(SUBSTITUTE(SUBSTITUTE('Dashboard'!$B$7,"~","~~"),"*","~*"),"?","~?"))+COUNTIFS('Calculations'!$IC$13:$IC$512,"="&amp;SUBSTITUTE(SUBSTITUTE(SUBSTITUTE('Calculations'!HF262,"~","~~"),"*","~*"),"?","~?"),'Calculations'!$HN$13:$HN$512,"="&amp;SUBSTITUTE(SUBSTITUTE(SUBSTITUTE('Dashboard'!$B$7,"~","~~"),"*","~*"),"?","~?"))+COUNTIFS('Calculations'!$ID$13:$ID$512,"="&amp;SUBSTITUTE(SUBSTITUTE(SUBSTITUTE('Calculations'!HF262,"~","~~"),"*","~*"),"?","~?"),'Calculations'!$HN$13:$HN$512,"="&amp;SUBSTITUTE(SUBSTITUTE(SUBSTITUTE('Dashboard'!$B$7,"~","~~"),"*","~*"),"?","~?"))+COUNTIFS('Calculations'!$IE$13:$IE$512,"="&amp;SUBSTITUTE(SUBSTITUTE(SUBSTITUTE('Calculations'!HF262,"~","~~"),"*","~*"),"?","~?"),'Calculations'!$HN$13:$HN$512,"="&amp;SUBSTITUTE(SUBSTITUTE(SUBSTITUTE('Dashboard'!$B$7,"~","~~"),"*","~*"),"?","~?"))+COUNTIFS('Calculations'!$IF$13:$IF$512,"="&amp;SUBSTITUTE(SUBSTITUTE(SUBSTITUTE('Calculations'!HF262,"~","~~"),"*","~*"),"?","~?"),'Calculations'!$HN$13:$HN$512,"="&amp;SUBSTITUTE(SUBSTITUTE(SUBSTITUTE('Dashboard'!$B$7,"~","~~"),"*","~*"),"?","~?"))+COUNTIFS('Calculations'!$IG$13:$IG$512,"="&amp;SUBSTITUTE(SUBSTITUTE(SUBSTITUTE('Calculations'!HF262,"~","~~"),"*","~*"),"?","~?"),'Calculations'!$HN$13:$HN$512,"="&amp;SUBSTITUTE(SUBSTITUTE(SUBSTITUTE('Dashboard'!$B$7,"~","~~"),"*","~*"),"?","~?"))+COUNTIFS('Calculations'!$IH$13:$IH$512,"="&amp;SUBSTITUTE(SUBSTITUTE(SUBSTITUTE('Calculations'!HF262,"~","~~"),"*","~*"),"?","~?"),'Calculations'!$HN$13:$HN$512,"="&amp;SUBSTITUTE(SUBSTITUTE(SUBSTITUTE('Dashboard'!$B$7,"~","~~"),"*","~*"),"?","~?"))))</x:f>
        <x:v>0</x:v>
      </x:c>
      <x:c r="JD262" t="n">
        <x:f>IF('Calculations'!EM262="",0,IF('Dashboard'!$B$7="All",1,IF('Calculations'!HN262='Dashboard'!$B$7,1,0)+IFERROR(INDEX('Calculations'!$JC$13:$JC$512,MATCH('Calculations'!HE262,'Calculations'!$HF$13:$HF$512,0)),0)))</x:f>
        <x:v>0</x:v>
      </x:c>
      <x:c r="JE262" t="n">
        <x:f>IF(AND('Calculations'!EM262&lt;&gt;"",'Calculations'!$JJ$2&lt;&gt;"All",'Calculations'!$JJ$2&lt;&gt;"",'Calculations'!HF262='Calculations'!$JJ$2,'Calculations'!HL262=0,'Calculations'!JD262&gt;0),MAX('Calculations'!$JE$12:JE261)+1,0)</x:f>
        <x:v>0</x:v>
      </x:c>
      <x:c r="JF262" t="str">
        <x:f>IF('Calculations'!EM262="","",IFERROR(IF(INDEX(INDIRECT("'WCM Calibration Final'!$G$1:$G$2000"),'Calculations'!$EM262)="","",TRIM(INDEX(INDIRECT("'WCM Calibration Final'!$G$1:$G$2000"),'Calculations'!$EM262)&amp;"")),""))</x:f>
      </x:c>
      <x:c r="JQ262" t="n">
        <x:f>IF(OR('Calculations'!BM262=0,NOT('Calculations'!$AG$2),'Calculations'!$AG$8&gt;0),0,IF(OR('Dashboard'!$B$7="All",'Calculations'!HN262='Dashboard'!$B$7),IF('Calculations'!$JJ$2="All",1,IF(AND('Calculations'!HF262='Calculations'!$JJ$2,'Calculations'!HL262=0),1,0)),0))</x:f>
        <x:v>0</x:v>
      </x:c>
    </x:row>
    <x:row r="263">
      <x:c r="AF263" s="4" t="str">
        <x:v>3 Valued</x:v>
      </x:c>
      <x:c r="AG263" s="4" t="n">
        <x:f>COUNTIFS('Calculations'!$BN$13:$BN$512,1,'Calculations'!$BP$13:$BP$512,3)</x:f>
        <x:v>0</x:v>
      </x:c>
      <x:c r="AH263" s="4" t="e">
        <x:f>IF(SUM('Calculations'!$AG$261:$AG$264)=0,NA(),'Calculations'!AG263/SUM('Calculations'!$AG$261:$AG$264))</x:f>
        <x:v>#N/A</x:v>
      </x:c>
      <x:c r="AI263" s="4" t="n">
        <x:f>IF(COUNT('Dashboard'!R144)=0,NA(),IF(AND('Dashboard'!R144&gt;=0,'Dashboard'!R144&lt;=1),'Dashboard'!R144,NA()))</x:f>
        <x:v>0.65</x:v>
      </x:c>
      <x:c r="AJ263" s="4"/>
      <x:c r="AK263" s="4"/>
      <x:c r="AL263" s="4"/>
      <x:c r="AM263" s="4"/>
      <x:c r="AN263" s="4"/>
      <x:c r="AO263" s="4"/>
      <x:c r="AP263" s="4"/>
      <x:c r="AQ263" s="4"/>
      <x:c r="AR263" s="4"/>
      <x:c r="AS263" s="4"/>
      <x:c r="AT263" s="4" t="str">
        <x:f>IFERROR('Calculations'!AG263&amp;" · "&amp;TEXT('Calculations'!AH263,"0.0%"),"")</x:f>
      </x:c>
      <x:c r="AU263" s="4"/>
      <x:c r="AV263" s="4"/>
      <x:c r="AW263" s="4"/>
      <x:c r="AX263" s="4"/>
      <x:c r="AY263" s="4"/>
      <x:c r="AZ263" s="4"/>
      <x:c r="BA263" s="4"/>
      <x:c r="BB263" s="4"/>
      <x:c r="BC263" s="4"/>
      <x:c r="BD263" s="4"/>
      <x:c r="BE263" s="4"/>
      <x:c r="BF263" s="4"/>
      <x:c r="BG263" s="4"/>
      <x:c r="BH263" s="4"/>
      <x:c r="BI263" s="4"/>
      <x:c r="BJ263" s="4"/>
      <x:c r="BK263" s="4"/>
      <x:c r="BL263" s="4"/>
      <x:c r="BM263" s="4" t="n">
        <x:f>IF('Calculations'!$EM263="",0,IF(OR(IFERROR(INDEX(INDIRECT("'WCM Calibration Final'!$A$1:$A$2000"),'Calculations'!$EM263)&lt;&gt;"",FALSE),IFERROR(INDEX(INDIRECT("'WCM Calibration Final'!$B$1:$B$2000"),'Calculations'!$EM263)&lt;&gt;"",FALSE),IFERROR(INDEX(INDIRECT("'WCM Calibration Final'!$C$1:$C$2000"),'Calculations'!$EM263)&lt;&gt;"",FALSE)),1,0))</x:f>
        <x:v>0</x:v>
      </x:c>
      <x:c r="BN263" s="4" t="n">
        <x:f>IF(AND('Calculations'!BM263=1,'Calculations'!$AG$2,'Calculations'!$EN263=1),1,0)</x:f>
        <x:v>0</x:v>
      </x:c>
      <x:c r="BO263" s="4" t="str">
        <x:f>IF('Calculations'!BM263=0,"",IFERROR(IF(AND(VALUE(INDEX(INDIRECT("'WCM Calibration Final'!$K$1:$K$2000"),'Calculations'!$EM263))&gt;=1,VALUE(INDEX(INDIRECT("'WCM Calibration Final'!$K$1:$K$2000"),'Calculations'!$EM263))&lt;=4,MOD(VALUE(INDEX(INDIRECT("'WCM Calibration Final'!$K$1:$K$2000"),'Calculations'!$EM263)),1)=0),VALUE(INDEX(INDIRECT("'WCM Calibration Final'!$K$1:$K$2000"),'Calculations'!$EM263)),""),""))</x:f>
      </x:c>
      <x:c r="BP263" s="4" t="str">
        <x:f>IF('Calculations'!BM263=0,"",IFERROR(IF(AND(VALUE(INDEX(INDIRECT("'WCM Calibration Final'!$L$1:$L$2000"),'Calculations'!$EM263))&gt;=1,VALUE(INDEX(INDIRECT("'WCM Calibration Final'!$L$1:$L$2000"),'Calculations'!$EM263))&lt;=4,MOD(VALUE(INDEX(INDIRECT("'WCM Calibration Final'!$L$1:$L$2000"),'Calculations'!$EM263)),1)=0),VALUE(INDEX(INDIRECT("'WCM Calibration Final'!$L$1:$L$2000"),'Calculations'!$EM263)),""),""))</x:f>
      </x:c>
      <x:c r="BQ263" s="4"/>
      <x:c r="BR263" s="4"/>
      <x:c r="BS263" s="4"/>
      <x:c r="BT263" s="4" t="n">
        <x:f>IF(AND('Calculations'!BM263=1,ISNUMBER('Calculations'!BO263),ISNUMBER('Calculations'!BP263)),1,0)</x:f>
        <x:v>0</x:v>
      </x:c>
      <x:c r="BU263" s="4" t="str">
        <x:f>IF('Calculations'!BM263=0,"",'Calculations'!$EO263)</x:f>
      </x:c>
      <x:c r="BV263" s="4" t="str">
        <x:f>IF('Calculations'!BM263=0,"",IFERROR(IF(OR(INDEX(INDIRECT("'WCM Calibration Final'!$H$1:$H$2000"),'Calculations'!$EM263)="MANAGING DIRECTOR",INDEX(INDIRECT("'WCM Calibration Final'!$H$1:$H$2000"),'Calculations'!$EM263)="DIRECTOR",INDEX(INDIRECT("'WCM Calibration Final'!$H$1:$H$2000"),'Calculations'!$EM263)="SENIOR VICE PRESIDENT",INDEX(INDIRECT("'WCM Calibration Final'!$H$1:$H$2000"),'Calculations'!$EM263)="VICE PRESIDENT",INDEX(INDIRECT("'WCM Calibration Final'!$H$1:$H$2000"),'Calculations'!$EM263)="ASSISTANT VICE PRESIDENT",INDEX(INDIRECT("'WCM Calibration Final'!$H$1:$H$2000"),'Calculations'!$EM263)="OFFICER"),UPPER(INDEX(INDIRECT("'WCM Calibration Final'!$H$1:$H$2000"),'Calculations'!$EM263)),"Other"),"Other"))</x:f>
      </x:c>
      <x:c r="BW263" s="4"/>
      <x:c r="BX263" s="4"/>
      <x:c r="BY263" s="4" t="n">
        <x:f>IF(AND('Calculations'!BM263=1,'Calculations'!BU263&lt;&gt;"",COUNTIF('Calculations'!$BU$12:BU263,'Calculations'!BU263)=1),MAX('Calculations'!$BY$11:BY262)+1,0)</x:f>
        <x:v>0</x:v>
      </x:c>
      <x:c r="BZ263" s="4" t="str">
        <x:f>IF('Dashboard'!$E$67="What",'Calculations'!BO263,'Calculations'!BP263)</x:f>
      </x:c>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t="str">
        <x:f>IF(252&gt;MAX('Calculations'!$HI$13:$HI$512),"",INDEX('Calculations'!$HN$13:$HN$512,MATCH(252,'Calculations'!$HI$13:$HI$512,0)))</x:f>
      </x:c>
      <x:c r="DB263" s="4" t="str">
        <x:f>IF(252&gt;MAX('Calculations'!$HH$13:$HH$512),"",INDEX('Calculations'!$HJ$13:$HJ$512,MATCH(252,'Calculations'!$HH$13:$HH$512,0)))</x:f>
      </x:c>
      <x:c r="DC263" s="4" t="str">
        <x:f>IF(ROW()-11&gt;MAX('Calculations'!$BY$13:$BY$512),"",INDEX('Calculations'!$BU$13:$BU$512,MATCH(ROW()-11,'Calculations'!$BY$13:$BY$512,0)))</x:f>
      </x:c>
      <x:c r="DD263" s="4" t="str">
        <x:f>IF(252&gt;MAX('Calculations'!$IK$13:$IK$512),"",INDEX('Calculations'!$HK$13:$HK$512,MATCH(252,'Calculations'!$IK$13:$IK$512,0)))</x:f>
      </x:c>
      <x:c r="DE263" s="4" t="str">
        <x:f>'Calculations'!DC263</x:f>
      </x:c>
      <x:c r="DF263" s="4" t="str">
        <x:f>IF('Calculations'!DE263="","",COUNTIFS('Calculations'!$BN$13:$BN$512,1,'Calculations'!$BU$13:$BU$512,'Calculations'!DE263))</x:f>
      </x:c>
      <x:c r="DG263" s="4" t="str">
        <x:f>IF('Calculations'!DE263="","",COUNTIFS('Calculations'!$BN$13:$BN$512,1,'Calculations'!$BU$13:$BU$512,'Calculations'!DE263,'Calculations'!$BT$13:$BT$512,1))</x:f>
      </x:c>
      <x:c r="DH263" s="4" t="str">
        <x:f>IF('Calculations'!DE263="","",'Calculations'!DF263-'Calculations'!DG263)</x:f>
      </x:c>
      <x:c r="DI263" s="4" t="str">
        <x:f>IF(OR('Calculations'!DE263="",'Calculations'!DF263=0),"",'Calculations'!DG263/'Calculations'!DF263)</x:f>
      </x:c>
      <x:c r="DJ263" s="4" t="str">
        <x:f>IF('Calculations'!DE263="","",COUNTIFS('Calculations'!$BN$13:$BN$512,1,'Calculations'!$BU$13:$BU$512,'Calculations'!DE263,'Calculations'!$BT$13:$BT$512,1,'Calculations'!$EE$13:$EE$512,"High"))</x:f>
      </x:c>
      <x:c r="DK263" s="4" t="str">
        <x:f>IF('Calculations'!DE263="","",COUNTIFS('Calculations'!$BN$13:$BN$512,1,'Calculations'!$BU$13:$BU$512,'Calculations'!DE263,'Calculations'!$BT$13:$BT$512,1,'Calculations'!$EE$13:$EE$512,"Strong"))</x:f>
      </x:c>
      <x:c r="DL263" s="4" t="str">
        <x:f>IF('Calculations'!DE263="","",COUNTIFS('Calculations'!$BN$13:$BN$512,1,'Calculations'!$BU$13:$BU$512,'Calculations'!DE263,'Calculations'!$BT$13:$BT$512,1,'Calculations'!$EE$13:$EE$512,"Solid"))</x:f>
      </x:c>
      <x:c r="DM263" s="4" t="str">
        <x:f>IF('Calculations'!DE263="","",COUNTIFS('Calculations'!$BN$13:$BN$512,1,'Calculations'!$BU$13:$BU$512,'Calculations'!DE263,'Calculations'!$BT$13:$BT$512,1,'Calculations'!$EE$13:$EE$512,"Low"))</x:f>
      </x:c>
      <x:c r="DN263" s="4" t="str">
        <x:f>IF('Calculations'!DE263="","",COUNTIFS('Calculations'!$BN$13:$BN$512,1,'Calculations'!$BU$13:$BU$512,'Calculations'!DE263,'Calculations'!$EP$13:$EP$512,1))</x:f>
      </x:c>
      <x:c r="DO263" s="4" t="str">
        <x:f>IF(OR('Calculations'!DE263="",'Calculations'!DG263=0),"",('Calculations'!DJ263+'Calculations'!DK263)/'Calculations'!DG263)</x:f>
      </x:c>
      <x:c r="DP263" s="4" t="n">
        <x:f>IF(AND('Calculations'!DE263&lt;&gt;"",'Calculations'!DF263&gt;0),COUNTIF('Calculations'!$DF$12:DF263,"&gt;0"),0)</x:f>
        <x:v>0</x:v>
      </x:c>
      <x:c r="DQ263" s="4" t="str">
        <x:f>IF(252&gt;MAX('Calculations'!$HH$13:$HH$512),"",INDEX('Calculations'!$HF$13:$HF$512,MATCH(252,'Calculations'!$HH$13:$HH$512,0)))</x:f>
      </x:c>
      <x:c r="DR263" s="4" t="str">
        <x:f>IF(252&gt;MAX('Calculations'!$IK$13:$IK$512),"",INDEX('Calculations'!$HE$13:$HE$512,MATCH(252,'Calculations'!$IK$13:$IK$512,0)))</x:f>
      </x:c>
      <x:c r="DS263" s="4"/>
      <x:c r="DT263" s="4"/>
      <x:c r="DU263" s="4"/>
      <x:c r="DV263" s="4"/>
      <x:c r="DW263" s="4"/>
      <x:c r="DX263" s="4"/>
      <x:c r="DY263" s="4"/>
      <x:c r="DZ263" s="4"/>
      <x:c r="EA263" s="4"/>
      <x:c r="EB263" s="4"/>
      <x:c r="EC263" s="4"/>
      <x:c r="ED263" s="4"/>
      <x:c r="EE263" s="4" t="str">
        <x:f>IF('Calculations'!BT263=0,"Not Rated",IF(OR('Calculations'!BO263&gt;=4,'Calculations'!BP263&gt;=4),"Low",IF('Calculations'!BO263+'Calculations'!BP263&lt;=3,"High",IF('Calculations'!BO263+'Calculations'!BP263&lt;=4,"Strong","Solid"))))</x:f>
        <x:v>Not Rated</x:v>
      </x:c>
      <x:c r="EF263" s="4"/>
      <x:c r="EG263" s="4"/>
      <x:c r="EH263" s="4"/>
      <x:c r="EI263" s="4"/>
      <x:c r="EJ263" s="4"/>
      <x:c r="EK263" s="4"/>
      <x:c r="EL263" s="4"/>
      <x:c r="EM263" s="4" t="str">
        <x:f>IF(251&gt;'Calculations'!$JB$2000,"",INDEX('Calculations'!$JA$12:$JA$2000,MATCH(251,'Calculations'!$JB$12:$JB$2000,0)))</x:f>
      </x:c>
      <x:c r="EN263" s="4" t="n">
        <x:f>IF(OR('Calculations'!EM263="",'Calculations'!$AG$8&gt;0,AND('Calculations'!$EF$2&lt;&gt;"All",'Calculations'!HE263='Calculations'!$EF$2),AND('Calculations'!$EF$3&lt;&gt;"All",'Calculations'!HE263='Calculations'!$EF$3)),0,IF(OR('Dashboard'!$B$7="All",'Calculations'!HN263='Dashboard'!$B$7),IF('Calculations'!$EF$2="All",1,IF('Calculations'!HL263&gt;0,0,IF(COUNTIF('Calculations'!HO263:II263,"="&amp;SUBSTITUTE(SUBSTITUTE(SUBSTITUTE('Calculations'!$EF$2,"~","~~"),"*","~*"),"?","~?"))=0,0,IF('Calculations'!$EF$3="All",1,IF(COUNTIF('Calculations'!HO263:II263,"="&amp;SUBSTITUTE(SUBSTITUTE(SUBSTITUTE('Calculations'!$EF$3,"~","~~"),"*","~*"),"?","~?"))&gt;0,1,0))))),0))</x:f>
        <x:v>0</x:v>
      </x:c>
      <x:c r="EO263" s="4" t="str">
        <x:f>IF('Calculations'!IJ263="","",IF('Calculations'!IJ263="!UNRESOLVED","Unresolved hierarchy",IFERROR(INDEX('Calculations'!$HK$13:$HK$512,MATCH('Calculations'!IJ263,'Calculations'!$HE$13:$HE$512,0)),IFERROR(INDEX('Calculations'!$HJ$13:$HJ$512,MATCH('Calculations'!IJ263,'Calculations'!$HF$13:$HF$512,0)),'Calculations'!IJ263))))</x:f>
      </x:c>
      <x:c r="EP263" s="4" t="n">
        <x:f>IF(AND('Calculations'!EM263&lt;&gt;"",'Calculations'!HF263='Calculations'!IJ263),1,0)</x:f>
        <x:v>0</x:v>
      </x:c>
      <x:c r="EQ263" s="4"/>
      <x:c r="ER263" s="4"/>
      <x:c r="ES263" s="4"/>
      <x:c r="ET263" s="4"/>
      <x:c r="EU263" s="4"/>
      <x:c r="EV263" s="4"/>
      <x:c r="EW263" s="4"/>
      <x:c r="EX263" s="4"/>
      <x:c r="EY263" s="4"/>
      <x:c r="EZ263" s="4"/>
      <x:c r="FA263" s="4"/>
      <x:c r="FB263" s="4"/>
      <x:c r="FC263" s="4"/>
      <x:c r="FD263" s="4"/>
      <x:c r="FE263" s="4"/>
      <x:c r="FF263" s="4"/>
      <x:c r="FG263" s="4"/>
      <x:c r="FH263" s="4"/>
      <x:c r="FI263" s="4"/>
      <x:c r="FJ263" s="4"/>
      <x:c r="FK263" s="4"/>
      <x:c r="FL263" s="4"/>
      <x:c r="FM263" s="4"/>
      <x:c r="FN263" s="4"/>
      <x:c r="FO263" s="4"/>
      <x:c r="HE263" t="str">
        <x:f>IF('Calculations'!EM263="","",IF(IFERROR(IF(INDEX(INDIRECT("'WCM Calibration Final'!$A$1:$A$2000"),'Calculations'!$EM263)="","",TRIM(INDEX(INDIRECT("'WCM Calibration Final'!$A$1:$A$2000"),'Calculations'!$EM263)&amp;"")),"")&lt;&gt;"","G:"&amp;IFERROR(TEXT(1*INDEX(INDIRECT("'WCM Calibration Final'!$A$1:$A$2000"),'Calculations'!$EM263),"0"),UPPER(IFERROR(IF(INDEX(INDIRECT("'WCM Calibration Final'!$A$1:$A$2000"),'Calculations'!$EM263)="","",TRIM(INDEX(INDIRECT("'WCM Calibration Final'!$A$1:$A$2000"),'Calculations'!$EM263)&amp;"")),""))),IF(IFERROR(IF(INDEX(INDIRECT("'WCM Calibration Final'!$C$1:$C$2000"),'Calculations'!$EM263)="","",TRIM(INDEX(INDIRECT("'WCM Calibration Final'!$C$1:$C$2000"),'Calculations'!$EM263)&amp;"")),"")&lt;&gt;"","S:"&amp;UPPER(IFERROR(IF(INDEX(INDIRECT("'WCM Calibration Final'!$C$1:$C$2000"),'Calculations'!$EM263)="","",TRIM(INDEX(INDIRECT("'WCM Calibration Final'!$C$1:$C$2000"),'Calculations'!$EM263)&amp;"")),"")),"R:"&amp;'Calculations'!EM263)))</x:f>
      </x:c>
      <x:c r="HF263" t="str">
        <x:f>IF('Calculations'!EM263="","",IF(IFERROR(IF(INDEX(INDIRECT("'WCM Calibration Final'!$D$1:$D$2000"),'Calculations'!$EM263)="","",TRIM(INDEX(INDIRECT("'WCM Calibration Final'!$D$1:$D$2000"),'Calculations'!$EM263)&amp;"")),"")&lt;&gt;"","G:"&amp;IFERROR(TEXT(1*INDEX(INDIRECT("'WCM Calibration Final'!$D$1:$D$2000"),'Calculations'!$EM263),"0"),UPPER(IFERROR(IF(INDEX(INDIRECT("'WCM Calibration Final'!$D$1:$D$2000"),'Calculations'!$EM263)="","",TRIM(INDEX(INDIRECT("'WCM Calibration Final'!$D$1:$D$2000"),'Calculations'!$EM263)&amp;"")),""))),IF(IFERROR(IF(INDEX(INDIRECT("'WCM Calibration Final'!$E$1:$E$2000"),'Calculations'!$EM263)="","",TRIM(INDEX(INDIRECT("'WCM Calibration Final'!$E$1:$E$2000"),'Calculations'!$EM263)&amp;"")),"")="","",IF(COUNTIF('Calculations'!$HG$13:$HG$512,"="&amp;SUBSTITUTE(SUBSTITUTE(SUBSTITUTE(IFERROR(IF(INDEX(INDIRECT("'WCM Calibration Final'!$E$1:$E$2000"),'Calculations'!$EM263)="","",TRIM(INDEX(INDIRECT("'WCM Calibration Final'!$E$1:$E$2000"),'Calculations'!$EM263)&amp;"")),""),"~","~~"),"*","~*"),"?","~?"))=1,INDEX('Calculations'!$HE$13:$HE$512,MATCH(IFERROR(IF(INDEX(INDIRECT("'WCM Calibration Final'!$E$1:$E$2000"),'Calculations'!$EM263)="","",TRIM(INDEX(INDIRECT("'WCM Calibration Final'!$E$1:$E$2000"),'Calculations'!$EM263)&amp;"")),""),'Calculations'!$HG$13:$HG$512,0)),IF(COUNTIF('Calculations'!$HG$13:$HG$512,"="&amp;SUBSTITUTE(SUBSTITUTE(SUBSTITUTE(IFERROR(IF(INDEX(INDIRECT("'WCM Calibration Final'!$E$1:$E$2000"),'Calculations'!$EM263)="","",TRIM(INDEX(INDIRECT("'WCM Calibration Final'!$E$1:$E$2000"),'Calculations'!$EM263)&amp;"")),""),"~","~~"),"*","~*"),"?","~?"))&gt;1,"!AMBIG","X:"&amp;IFERROR(IF(INDEX(INDIRECT("'WCM Calibration Final'!$E$1:$E$2000"),'Calculations'!$EM263)="","",TRIM(INDEX(INDIRECT("'WCM Calibration Final'!$E$1:$E$2000"),'Calculations'!$EM263)&amp;"")),""))))))</x:f>
      </x:c>
      <x:c r="HG263" t="str">
        <x:f>IF('Calculations'!EM263="","",IFERROR(IF(INDEX(INDIRECT("'WCM Calibration Final'!$B$1:$B$2000"),'Calculations'!$EM263)="","",TRIM(INDEX(INDIRECT("'WCM Calibration Final'!$B$1:$B$2000"),'Calculations'!$EM263)&amp;"")),""))</x:f>
      </x:c>
      <x:c r="HH263" t="n">
        <x:f>IF(AND('Calculations'!JC263&gt;0,COUNTIF('Calculations'!$HF$12:HF263,"="&amp;SUBSTITUTE(SUBSTITUTE(SUBSTITUTE('Calculations'!HF263,"~","~~"),"*","~*"),"?","~?"))=1),MAX('Calculations'!$HH$12:HH262)+1,0)</x:f>
        <x:v>0</x:v>
      </x:c>
      <x:c r="HI263" t="n">
        <x:f>IF(AND('Calculations'!HN263&lt;&gt;"",COUNTIF('Calculations'!$HN$12:HN263,"="&amp;SUBSTITUTE(SUBSTITUTE(SUBSTITUTE('Calculations'!HN263,"~","~~"),"*","~*"),"?","~?"))=1),MAX('Calculations'!$HI$12:HI262)+1,0)</x:f>
        <x:v>0</x:v>
      </x:c>
      <x:c r="HJ263" t="str">
        <x:f>IF('Calculations'!HF263="","",IF(COUNTIF('Calculations'!$HE$13:$HE$512,"="&amp;SUBSTITUTE(SUBSTITUTE(SUBSTITUTE('Calculations'!HF263,"~","~~"),"*","~*"),"?","~?"))=1,INDEX('Calculations'!$HK$13:$HK$512,MATCH('Calculations'!HF263,'Calculations'!$HE$13:$HE$512,0)),IFERROR(IF(INDEX(INDIRECT("'WCM Calibration Final'!$E$1:$E$2000"),'Calculations'!$EM263)="","",TRIM(INDEX(INDIRECT("'WCM Calibration Final'!$E$1:$E$2000"),'Calculations'!$EM263)&amp;"")),"")&amp;" ["&amp;'Calculations'!HF263&amp;"]"))</x:f>
      </x:c>
      <x:c r="HK263" t="str">
        <x:f>IF('Calculations'!EM263="","",'Calculations'!HG263&amp;" ["&amp;'Calculations'!HE263&amp;"]")</x:f>
      </x:c>
      <x:c r="HL263" t="n">
        <x:f>IF('Calculations'!EM263="",0,IF(OR('Calculations'!II263&lt;&gt;"",COUNTIF('Calculations'!$HE$13:$HE$512,"="&amp;SUBSTITUTE(SUBSTITUTE(SUBSTITUTE('Calculations'!HE263,"~","~~"),"*","~*"),"?","~?"))&gt;1),1,0))</x:f>
        <x:v>0</x:v>
      </x:c>
      <x:c r="HM263" t="str">
        <x:f>IF('Calculations'!EM263="","",IF('Calculations'!HL263=1,"!UNRESOLVED",IF('Calculations'!IH263&lt;&gt;"",'Calculations'!IH263,IF('Calculations'!IG263&lt;&gt;"",'Calculations'!IG263,IF('Calculations'!IF263&lt;&gt;"",'Calculations'!IF263,IF('Calculations'!IE263&lt;&gt;"",'Calculations'!IE263,IF('Calculations'!ID263&lt;&gt;"",'Calculations'!ID263,IF('Calculations'!IC263&lt;&gt;"",'Calculations'!IC263,IF('Calculations'!IB263&lt;&gt;"",'Calculations'!IB263,IF('Calculations'!IA263&lt;&gt;"",'Calculations'!IA263,IF('Calculations'!HZ263&lt;&gt;"",'Calculations'!HZ263,IF('Calculations'!HY263&lt;&gt;"",'Calculations'!HY263,IF('Calculations'!HX263&lt;&gt;"",'Calculations'!HX263,IF('Calculations'!HW263&lt;&gt;"",'Calculations'!HW263,IF('Calculations'!HV263&lt;&gt;"",'Calculations'!HV263,IF('Calculations'!HU263&lt;&gt;"",'Calculations'!HU263,IF('Calculations'!HT263&lt;&gt;"",'Calculations'!HT263,IF('Calculations'!HS263&lt;&gt;"",'Calculations'!HS263,IF('Calculations'!HR263&lt;&gt;"",'Calculations'!HR263,IF('Calculations'!HQ263&lt;&gt;"",'Calculations'!HQ263,IF('Calculations'!HP263&lt;&gt;"",'Calculations'!HP263,IF('Calculations'!HO263&lt;&gt;"",'Calculations'!HO263,'Calculations'!HE263))))))))))))))))))))))</x:f>
      </x:c>
      <x:c r="HN263" t="str">
        <x:f>IF('Calculations'!EM263="","",IF(IFERROR(IF(INDEX(INDIRECT("'WCM Calibration Final'!$F$1:$F$2000"),'Calculations'!$EM263)="","",TRIM(INDEX(INDIRECT("'WCM Calibration Final'!$F$1:$F$2000"),'Calculations'!$EM263)&amp;"")),"")="","(Blank)",IFERROR(IF(INDEX(INDIRECT("'WCM Calibration Final'!$F$1:$F$2000"),'Calculations'!$EM263)="","",TRIM(INDEX(INDIRECT("'WCM Calibration Final'!$F$1:$F$2000"),'Calculations'!$EM263)&amp;"")),"")))</x:f>
      </x:c>
      <x:c r="HO263" t="str">
        <x:f>'Calculations'!HF263</x:f>
      </x:c>
      <x:c r="HP263" t="str">
        <x:f>IF('Calculations'!HO263="","",IF('Calculations'!HO263="!AMBIG","!AMBIG",IF(COUNTIF('Calculations'!$HE$13:$HE$512,"="&amp;SUBSTITUTE(SUBSTITUTE(SUBSTITUTE('Calculations'!HO263,"~","~~"),"*","~*"),"?","~?"))&gt;1,"!AMBIG",IFERROR(INDEX('Calculations'!$HF$13:$HF$512,MATCH('Calculations'!HO263,'Calculations'!$HE$13:$HE$512,0)),""))))</x:f>
      </x:c>
      <x:c r="HQ263" t="str">
        <x:f>IF('Calculations'!HP263="","",IF('Calculations'!HP263="!AMBIG","!AMBIG",IF(COUNTIF('Calculations'!$HE$13:$HE$512,"="&amp;SUBSTITUTE(SUBSTITUTE(SUBSTITUTE('Calculations'!HP263,"~","~~"),"*","~*"),"?","~?"))&gt;1,"!AMBIG",IFERROR(INDEX('Calculations'!$HF$13:$HF$512,MATCH('Calculations'!HP263,'Calculations'!$HE$13:$HE$512,0)),""))))</x:f>
      </x:c>
      <x:c r="HR263" t="str">
        <x:f>IF('Calculations'!HQ263="","",IF('Calculations'!HQ263="!AMBIG","!AMBIG",IF(COUNTIF('Calculations'!$HE$13:$HE$512,"="&amp;SUBSTITUTE(SUBSTITUTE(SUBSTITUTE('Calculations'!HQ263,"~","~~"),"*","~*"),"?","~?"))&gt;1,"!AMBIG",IFERROR(INDEX('Calculations'!$HF$13:$HF$512,MATCH('Calculations'!HQ263,'Calculations'!$HE$13:$HE$512,0)),""))))</x:f>
      </x:c>
      <x:c r="HS263" t="str">
        <x:f>IF('Calculations'!HR263="","",IF('Calculations'!HR263="!AMBIG","!AMBIG",IF(COUNTIF('Calculations'!$HE$13:$HE$512,"="&amp;SUBSTITUTE(SUBSTITUTE(SUBSTITUTE('Calculations'!HR263,"~","~~"),"*","~*"),"?","~?"))&gt;1,"!AMBIG",IFERROR(INDEX('Calculations'!$HF$13:$HF$512,MATCH('Calculations'!HR263,'Calculations'!$HE$13:$HE$512,0)),""))))</x:f>
      </x:c>
      <x:c r="HT263" t="str">
        <x:f>IF('Calculations'!HS263="","",IF('Calculations'!HS263="!AMBIG","!AMBIG",IF(COUNTIF('Calculations'!$HE$13:$HE$512,"="&amp;SUBSTITUTE(SUBSTITUTE(SUBSTITUTE('Calculations'!HS263,"~","~~"),"*","~*"),"?","~?"))&gt;1,"!AMBIG",IFERROR(INDEX('Calculations'!$HF$13:$HF$512,MATCH('Calculations'!HS263,'Calculations'!$HE$13:$HE$512,0)),""))))</x:f>
      </x:c>
      <x:c r="HU263" t="str">
        <x:f>IF('Calculations'!HT263="","",IF('Calculations'!HT263="!AMBIG","!AMBIG",IF(COUNTIF('Calculations'!$HE$13:$HE$512,"="&amp;SUBSTITUTE(SUBSTITUTE(SUBSTITUTE('Calculations'!HT263,"~","~~"),"*","~*"),"?","~?"))&gt;1,"!AMBIG",IFERROR(INDEX('Calculations'!$HF$13:$HF$512,MATCH('Calculations'!HT263,'Calculations'!$HE$13:$HE$512,0)),""))))</x:f>
      </x:c>
      <x:c r="HV263" t="str">
        <x:f>IF('Calculations'!HU263="","",IF('Calculations'!HU263="!AMBIG","!AMBIG",IF(COUNTIF('Calculations'!$HE$13:$HE$512,"="&amp;SUBSTITUTE(SUBSTITUTE(SUBSTITUTE('Calculations'!HU263,"~","~~"),"*","~*"),"?","~?"))&gt;1,"!AMBIG",IFERROR(INDEX('Calculations'!$HF$13:$HF$512,MATCH('Calculations'!HU263,'Calculations'!$HE$13:$HE$512,0)),""))))</x:f>
      </x:c>
      <x:c r="HW263" t="str">
        <x:f>IF('Calculations'!HV263="","",IF('Calculations'!HV263="!AMBIG","!AMBIG",IF(COUNTIF('Calculations'!$HE$13:$HE$512,"="&amp;SUBSTITUTE(SUBSTITUTE(SUBSTITUTE('Calculations'!HV263,"~","~~"),"*","~*"),"?","~?"))&gt;1,"!AMBIG",IFERROR(INDEX('Calculations'!$HF$13:$HF$512,MATCH('Calculations'!HV263,'Calculations'!$HE$13:$HE$512,0)),""))))</x:f>
      </x:c>
      <x:c r="HX263" t="str">
        <x:f>IF('Calculations'!HW263="","",IF('Calculations'!HW263="!AMBIG","!AMBIG",IF(COUNTIF('Calculations'!$HE$13:$HE$512,"="&amp;SUBSTITUTE(SUBSTITUTE(SUBSTITUTE('Calculations'!HW263,"~","~~"),"*","~*"),"?","~?"))&gt;1,"!AMBIG",IFERROR(INDEX('Calculations'!$HF$13:$HF$512,MATCH('Calculations'!HW263,'Calculations'!$HE$13:$HE$512,0)),""))))</x:f>
      </x:c>
      <x:c r="HY263" t="str">
        <x:f>IF('Calculations'!HX263="","",IF('Calculations'!HX263="!AMBIG","!AMBIG",IF(COUNTIF('Calculations'!$HE$13:$HE$512,"="&amp;SUBSTITUTE(SUBSTITUTE(SUBSTITUTE('Calculations'!HX263,"~","~~"),"*","~*"),"?","~?"))&gt;1,"!AMBIG",IFERROR(INDEX('Calculations'!$HF$13:$HF$512,MATCH('Calculations'!HX263,'Calculations'!$HE$13:$HE$512,0)),""))))</x:f>
      </x:c>
      <x:c r="HZ263" t="str">
        <x:f>IF('Calculations'!HY263="","",IF('Calculations'!HY263="!AMBIG","!AMBIG",IF(COUNTIF('Calculations'!$HE$13:$HE$512,"="&amp;SUBSTITUTE(SUBSTITUTE(SUBSTITUTE('Calculations'!HY263,"~","~~"),"*","~*"),"?","~?"))&gt;1,"!AMBIG",IFERROR(INDEX('Calculations'!$HF$13:$HF$512,MATCH('Calculations'!HY263,'Calculations'!$HE$13:$HE$512,0)),""))))</x:f>
      </x:c>
      <x:c r="IA263" t="str">
        <x:f>IF('Calculations'!HZ263="","",IF('Calculations'!HZ263="!AMBIG","!AMBIG",IF(COUNTIF('Calculations'!$HE$13:$HE$512,"="&amp;SUBSTITUTE(SUBSTITUTE(SUBSTITUTE('Calculations'!HZ263,"~","~~"),"*","~*"),"?","~?"))&gt;1,"!AMBIG",IFERROR(INDEX('Calculations'!$HF$13:$HF$512,MATCH('Calculations'!HZ263,'Calculations'!$HE$13:$HE$512,0)),""))))</x:f>
      </x:c>
      <x:c r="IB263" t="str">
        <x:f>IF('Calculations'!IA263="","",IF('Calculations'!IA263="!AMBIG","!AMBIG",IF(COUNTIF('Calculations'!$HE$13:$HE$512,"="&amp;SUBSTITUTE(SUBSTITUTE(SUBSTITUTE('Calculations'!IA263,"~","~~"),"*","~*"),"?","~?"))&gt;1,"!AMBIG",IFERROR(INDEX('Calculations'!$HF$13:$HF$512,MATCH('Calculations'!IA263,'Calculations'!$HE$13:$HE$512,0)),""))))</x:f>
      </x:c>
      <x:c r="IC263" t="str">
        <x:f>IF('Calculations'!IB263="","",IF('Calculations'!IB263="!AMBIG","!AMBIG",IF(COUNTIF('Calculations'!$HE$13:$HE$512,"="&amp;SUBSTITUTE(SUBSTITUTE(SUBSTITUTE('Calculations'!IB263,"~","~~"),"*","~*"),"?","~?"))&gt;1,"!AMBIG",IFERROR(INDEX('Calculations'!$HF$13:$HF$512,MATCH('Calculations'!IB263,'Calculations'!$HE$13:$HE$512,0)),""))))</x:f>
      </x:c>
      <x:c r="ID263" t="str">
        <x:f>IF('Calculations'!IC263="","",IF('Calculations'!IC263="!AMBIG","!AMBIG",IF(COUNTIF('Calculations'!$HE$13:$HE$512,"="&amp;SUBSTITUTE(SUBSTITUTE(SUBSTITUTE('Calculations'!IC263,"~","~~"),"*","~*"),"?","~?"))&gt;1,"!AMBIG",IFERROR(INDEX('Calculations'!$HF$13:$HF$512,MATCH('Calculations'!IC263,'Calculations'!$HE$13:$HE$512,0)),""))))</x:f>
      </x:c>
      <x:c r="IE263" t="str">
        <x:f>IF('Calculations'!ID263="","",IF('Calculations'!ID263="!AMBIG","!AMBIG",IF(COUNTIF('Calculations'!$HE$13:$HE$512,"="&amp;SUBSTITUTE(SUBSTITUTE(SUBSTITUTE('Calculations'!ID263,"~","~~"),"*","~*"),"?","~?"))&gt;1,"!AMBIG",IFERROR(INDEX('Calculations'!$HF$13:$HF$512,MATCH('Calculations'!ID263,'Calculations'!$HE$13:$HE$512,0)),""))))</x:f>
      </x:c>
      <x:c r="IF263" t="str">
        <x:f>IF('Calculations'!IE263="","",IF('Calculations'!IE263="!AMBIG","!AMBIG",IF(COUNTIF('Calculations'!$HE$13:$HE$512,"="&amp;SUBSTITUTE(SUBSTITUTE(SUBSTITUTE('Calculations'!IE263,"~","~~"),"*","~*"),"?","~?"))&gt;1,"!AMBIG",IFERROR(INDEX('Calculations'!$HF$13:$HF$512,MATCH('Calculations'!IE263,'Calculations'!$HE$13:$HE$512,0)),""))))</x:f>
      </x:c>
      <x:c r="IG263" t="str">
        <x:f>IF('Calculations'!IF263="","",IF('Calculations'!IF263="!AMBIG","!AMBIG",IF(COUNTIF('Calculations'!$HE$13:$HE$512,"="&amp;SUBSTITUTE(SUBSTITUTE(SUBSTITUTE('Calculations'!IF263,"~","~~"),"*","~*"),"?","~?"))&gt;1,"!AMBIG",IFERROR(INDEX('Calculations'!$HF$13:$HF$512,MATCH('Calculations'!IF263,'Calculations'!$HE$13:$HE$512,0)),""))))</x:f>
      </x:c>
      <x:c r="IH263" t="str">
        <x:f>IF('Calculations'!IG263="","",IF('Calculations'!IG263="!AMBIG","!AMBIG",IF(COUNTIF('Calculations'!$HE$13:$HE$512,"="&amp;SUBSTITUTE(SUBSTITUTE(SUBSTITUTE('Calculations'!IG263,"~","~~"),"*","~*"),"?","~?"))&gt;1,"!AMBIG",IFERROR(INDEX('Calculations'!$HF$13:$HF$512,MATCH('Calculations'!IG263,'Calculations'!$HE$13:$HE$512,0)),""))))</x:f>
      </x:c>
      <x:c r="II263" t="str">
        <x:f>IF('Calculations'!IH263="","",IF('Calculations'!IH263="!AMBIG","!AMBIG",IF(COUNTIF('Calculations'!$HE$13:$HE$512,"="&amp;SUBSTITUTE(SUBSTITUTE(SUBSTITUTE('Calculations'!IH263,"~","~~"),"*","~*"),"?","~?"))&gt;1,"!AMBIG",IFERROR(INDEX('Calculations'!$HF$13:$HF$512,MATCH('Calculations'!IH263,'Calculations'!$HE$13:$HE$512,0)),""))))</x:f>
      </x:c>
      <x:c r="IJ263" t="str">
        <x:f>IF('Calculations'!EM263="","",IF('Calculations'!$EF$2="All",'Calculations'!HM263,IF('Calculations'!HL263=1,"",IFERROR(IF(MATCH('Calculations'!$EF$2,'Calculations'!HO263:II263,0)=1,'Calculations'!HE263,INDEX('Calculations'!HO263:II263,1,MATCH('Calculations'!$EF$2,'Calculations'!HO263:II263,0)-1)),""))))</x:f>
      </x:c>
      <x:c r="IK263" t="n">
        <x:f>IF(AND('Calculations'!EM263&lt;&gt;"",'Calculations'!$EF$2&lt;&gt;"All",'Calculations'!HF263='Calculations'!$EF$2,'Calculations'!HL263=0,'Calculations'!JD263&gt;0),MAX('Calculations'!$IK$12:IK262)+1,0)</x:f>
        <x:v>0</x:v>
      </x:c>
      <x:c r="JA263" t="n">
        <x:f>IF(OR(IFERROR(INDIRECT("'WCM Calibration Final'!$A$263")&lt;&gt;"",FALSE),IFERROR(INDIRECT("'WCM Calibration Final'!$B$263")&lt;&gt;"",FALSE),IFERROR(INDIRECT("'WCM Calibration Final'!$C$263")&lt;&gt;"",FALSE)),263,0)</x:f>
        <x:v>0</x:v>
      </x:c>
      <x:c r="JB263" t="n">
        <x:f>'Calculations'!JB262+IF('Calculations'!JA263&gt;0,1,0)</x:f>
        <x:v>0</x:v>
      </x:c>
      <x:c r="JC263" t="n">
        <x:f>IF(OR('Calculations'!HF263="",'Calculations'!HF263="!AMBIG"),0,IF('Dashboard'!$B$7="All",1,COUNTIFS('Calculations'!$HO$13:$HO$512,"="&amp;SUBSTITUTE(SUBSTITUTE(SUBSTITUTE('Calculations'!HF263,"~","~~"),"*","~*"),"?","~?"),'Calculations'!$HN$13:$HN$512,"="&amp;SUBSTITUTE(SUBSTITUTE(SUBSTITUTE('Dashboard'!$B$7,"~","~~"),"*","~*"),"?","~?"))+COUNTIFS('Calculations'!$HP$13:$HP$512,"="&amp;SUBSTITUTE(SUBSTITUTE(SUBSTITUTE('Calculations'!HF263,"~","~~"),"*","~*"),"?","~?"),'Calculations'!$HN$13:$HN$512,"="&amp;SUBSTITUTE(SUBSTITUTE(SUBSTITUTE('Dashboard'!$B$7,"~","~~"),"*","~*"),"?","~?"))+COUNTIFS('Calculations'!$HQ$13:$HQ$512,"="&amp;SUBSTITUTE(SUBSTITUTE(SUBSTITUTE('Calculations'!HF263,"~","~~"),"*","~*"),"?","~?"),'Calculations'!$HN$13:$HN$512,"="&amp;SUBSTITUTE(SUBSTITUTE(SUBSTITUTE('Dashboard'!$B$7,"~","~~"),"*","~*"),"?","~?"))+COUNTIFS('Calculations'!$HR$13:$HR$512,"="&amp;SUBSTITUTE(SUBSTITUTE(SUBSTITUTE('Calculations'!HF263,"~","~~"),"*","~*"),"?","~?"),'Calculations'!$HN$13:$HN$512,"="&amp;SUBSTITUTE(SUBSTITUTE(SUBSTITUTE('Dashboard'!$B$7,"~","~~"),"*","~*"),"?","~?"))+COUNTIFS('Calculations'!$HS$13:$HS$512,"="&amp;SUBSTITUTE(SUBSTITUTE(SUBSTITUTE('Calculations'!HF263,"~","~~"),"*","~*"),"?","~?"),'Calculations'!$HN$13:$HN$512,"="&amp;SUBSTITUTE(SUBSTITUTE(SUBSTITUTE('Dashboard'!$B$7,"~","~~"),"*","~*"),"?","~?"))+COUNTIFS('Calculations'!$HT$13:$HT$512,"="&amp;SUBSTITUTE(SUBSTITUTE(SUBSTITUTE('Calculations'!HF263,"~","~~"),"*","~*"),"?","~?"),'Calculations'!$HN$13:$HN$512,"="&amp;SUBSTITUTE(SUBSTITUTE(SUBSTITUTE('Dashboard'!$B$7,"~","~~"),"*","~*"),"?","~?"))+COUNTIFS('Calculations'!$HU$13:$HU$512,"="&amp;SUBSTITUTE(SUBSTITUTE(SUBSTITUTE('Calculations'!HF263,"~","~~"),"*","~*"),"?","~?"),'Calculations'!$HN$13:$HN$512,"="&amp;SUBSTITUTE(SUBSTITUTE(SUBSTITUTE('Dashboard'!$B$7,"~","~~"),"*","~*"),"?","~?"))+COUNTIFS('Calculations'!$HV$13:$HV$512,"="&amp;SUBSTITUTE(SUBSTITUTE(SUBSTITUTE('Calculations'!HF263,"~","~~"),"*","~*"),"?","~?"),'Calculations'!$HN$13:$HN$512,"="&amp;SUBSTITUTE(SUBSTITUTE(SUBSTITUTE('Dashboard'!$B$7,"~","~~"),"*","~*"),"?","~?"))+COUNTIFS('Calculations'!$HW$13:$HW$512,"="&amp;SUBSTITUTE(SUBSTITUTE(SUBSTITUTE('Calculations'!HF263,"~","~~"),"*","~*"),"?","~?"),'Calculations'!$HN$13:$HN$512,"="&amp;SUBSTITUTE(SUBSTITUTE(SUBSTITUTE('Dashboard'!$B$7,"~","~~"),"*","~*"),"?","~?"))+COUNTIFS('Calculations'!$HX$13:$HX$512,"="&amp;SUBSTITUTE(SUBSTITUTE(SUBSTITUTE('Calculations'!HF263,"~","~~"),"*","~*"),"?","~?"),'Calculations'!$HN$13:$HN$512,"="&amp;SUBSTITUTE(SUBSTITUTE(SUBSTITUTE('Dashboard'!$B$7,"~","~~"),"*","~*"),"?","~?"))+COUNTIFS('Calculations'!$HY$13:$HY$512,"="&amp;SUBSTITUTE(SUBSTITUTE(SUBSTITUTE('Calculations'!HF263,"~","~~"),"*","~*"),"?","~?"),'Calculations'!$HN$13:$HN$512,"="&amp;SUBSTITUTE(SUBSTITUTE(SUBSTITUTE('Dashboard'!$B$7,"~","~~"),"*","~*"),"?","~?"))+COUNTIFS('Calculations'!$HZ$13:$HZ$512,"="&amp;SUBSTITUTE(SUBSTITUTE(SUBSTITUTE('Calculations'!HF263,"~","~~"),"*","~*"),"?","~?"),'Calculations'!$HN$13:$HN$512,"="&amp;SUBSTITUTE(SUBSTITUTE(SUBSTITUTE('Dashboard'!$B$7,"~","~~"),"*","~*"),"?","~?"))+COUNTIFS('Calculations'!$IA$13:$IA$512,"="&amp;SUBSTITUTE(SUBSTITUTE(SUBSTITUTE('Calculations'!HF263,"~","~~"),"*","~*"),"?","~?"),'Calculations'!$HN$13:$HN$512,"="&amp;SUBSTITUTE(SUBSTITUTE(SUBSTITUTE('Dashboard'!$B$7,"~","~~"),"*","~*"),"?","~?"))+COUNTIFS('Calculations'!$IB$13:$IB$512,"="&amp;SUBSTITUTE(SUBSTITUTE(SUBSTITUTE('Calculations'!HF263,"~","~~"),"*","~*"),"?","~?"),'Calculations'!$HN$13:$HN$512,"="&amp;SUBSTITUTE(SUBSTITUTE(SUBSTITUTE('Dashboard'!$B$7,"~","~~"),"*","~*"),"?","~?"))+COUNTIFS('Calculations'!$IC$13:$IC$512,"="&amp;SUBSTITUTE(SUBSTITUTE(SUBSTITUTE('Calculations'!HF263,"~","~~"),"*","~*"),"?","~?"),'Calculations'!$HN$13:$HN$512,"="&amp;SUBSTITUTE(SUBSTITUTE(SUBSTITUTE('Dashboard'!$B$7,"~","~~"),"*","~*"),"?","~?"))+COUNTIFS('Calculations'!$ID$13:$ID$512,"="&amp;SUBSTITUTE(SUBSTITUTE(SUBSTITUTE('Calculations'!HF263,"~","~~"),"*","~*"),"?","~?"),'Calculations'!$HN$13:$HN$512,"="&amp;SUBSTITUTE(SUBSTITUTE(SUBSTITUTE('Dashboard'!$B$7,"~","~~"),"*","~*"),"?","~?"))+COUNTIFS('Calculations'!$IE$13:$IE$512,"="&amp;SUBSTITUTE(SUBSTITUTE(SUBSTITUTE('Calculations'!HF263,"~","~~"),"*","~*"),"?","~?"),'Calculations'!$HN$13:$HN$512,"="&amp;SUBSTITUTE(SUBSTITUTE(SUBSTITUTE('Dashboard'!$B$7,"~","~~"),"*","~*"),"?","~?"))+COUNTIFS('Calculations'!$IF$13:$IF$512,"="&amp;SUBSTITUTE(SUBSTITUTE(SUBSTITUTE('Calculations'!HF263,"~","~~"),"*","~*"),"?","~?"),'Calculations'!$HN$13:$HN$512,"="&amp;SUBSTITUTE(SUBSTITUTE(SUBSTITUTE('Dashboard'!$B$7,"~","~~"),"*","~*"),"?","~?"))+COUNTIFS('Calculations'!$IG$13:$IG$512,"="&amp;SUBSTITUTE(SUBSTITUTE(SUBSTITUTE('Calculations'!HF263,"~","~~"),"*","~*"),"?","~?"),'Calculations'!$HN$13:$HN$512,"="&amp;SUBSTITUTE(SUBSTITUTE(SUBSTITUTE('Dashboard'!$B$7,"~","~~"),"*","~*"),"?","~?"))+COUNTIFS('Calculations'!$IH$13:$IH$512,"="&amp;SUBSTITUTE(SUBSTITUTE(SUBSTITUTE('Calculations'!HF263,"~","~~"),"*","~*"),"?","~?"),'Calculations'!$HN$13:$HN$512,"="&amp;SUBSTITUTE(SUBSTITUTE(SUBSTITUTE('Dashboard'!$B$7,"~","~~"),"*","~*"),"?","~?"))))</x:f>
        <x:v>0</x:v>
      </x:c>
      <x:c r="JD263" t="n">
        <x:f>IF('Calculations'!EM263="",0,IF('Dashboard'!$B$7="All",1,IF('Calculations'!HN263='Dashboard'!$B$7,1,0)+IFERROR(INDEX('Calculations'!$JC$13:$JC$512,MATCH('Calculations'!HE263,'Calculations'!$HF$13:$HF$512,0)),0)))</x:f>
        <x:v>0</x:v>
      </x:c>
      <x:c r="JE263" t="n">
        <x:f>IF(AND('Calculations'!EM263&lt;&gt;"",'Calculations'!$JJ$2&lt;&gt;"All",'Calculations'!$JJ$2&lt;&gt;"",'Calculations'!HF263='Calculations'!$JJ$2,'Calculations'!HL263=0,'Calculations'!JD263&gt;0),MAX('Calculations'!$JE$12:JE262)+1,0)</x:f>
        <x:v>0</x:v>
      </x:c>
      <x:c r="JF263" t="str">
        <x:f>IF('Calculations'!EM263="","",IFERROR(IF(INDEX(INDIRECT("'WCM Calibration Final'!$G$1:$G$2000"),'Calculations'!$EM263)="","",TRIM(INDEX(INDIRECT("'WCM Calibration Final'!$G$1:$G$2000"),'Calculations'!$EM263)&amp;"")),""))</x:f>
      </x:c>
      <x:c r="JQ263" t="n">
        <x:f>IF(OR('Calculations'!BM263=0,NOT('Calculations'!$AG$2),'Calculations'!$AG$8&gt;0),0,IF(OR('Dashboard'!$B$7="All",'Calculations'!HN263='Dashboard'!$B$7),IF('Calculations'!$JJ$2="All",1,IF(AND('Calculations'!HF263='Calculations'!$JJ$2,'Calculations'!HL263=0),1,0)),0))</x:f>
        <x:v>0</x:v>
      </x:c>
    </x:row>
    <x:row r="264">
      <x:c r="AF264" s="4" t="str">
        <x:v>4 Needs impr.</x:v>
      </x:c>
      <x:c r="AG264" s="4" t="n">
        <x:f>COUNTIFS('Calculations'!$BN$13:$BN$512,1,'Calculations'!$BP$13:$BP$512,4)</x:f>
        <x:v>0</x:v>
      </x:c>
      <x:c r="AH264" s="4" t="e">
        <x:f>IF(SUM('Calculations'!$AG$261:$AG$264)=0,NA(),'Calculations'!AG264/SUM('Calculations'!$AG$261:$AG$264))</x:f>
        <x:v>#N/A</x:v>
      </x:c>
      <x:c r="AI264" s="4" t="n">
        <x:f>IF(COUNT('Dashboard'!T144)=0,NA(),IF(AND('Dashboard'!T144&gt;=0,'Dashboard'!T144&lt;=1),'Dashboard'!T144,NA()))</x:f>
        <x:v>0.07</x:v>
      </x:c>
      <x:c r="AJ264" s="4"/>
      <x:c r="AK264" s="4"/>
      <x:c r="AL264" s="4"/>
      <x:c r="AM264" s="4"/>
      <x:c r="AN264" s="4"/>
      <x:c r="AO264" s="4"/>
      <x:c r="AP264" s="4"/>
      <x:c r="AQ264" s="4"/>
      <x:c r="AR264" s="4"/>
      <x:c r="AS264" s="4"/>
      <x:c r="AT264" s="4" t="str">
        <x:f>IFERROR('Calculations'!AG264&amp;" · "&amp;TEXT('Calculations'!AH264,"0.0%"),"")</x:f>
      </x:c>
      <x:c r="AU264" s="4"/>
      <x:c r="AV264" s="4"/>
      <x:c r="AW264" s="4"/>
      <x:c r="AX264" s="4"/>
      <x:c r="AY264" s="4"/>
      <x:c r="AZ264" s="4"/>
      <x:c r="BA264" s="4"/>
      <x:c r="BB264" s="4"/>
      <x:c r="BC264" s="4"/>
      <x:c r="BD264" s="4"/>
      <x:c r="BE264" s="4"/>
      <x:c r="BF264" s="4"/>
      <x:c r="BG264" s="4"/>
      <x:c r="BH264" s="4"/>
      <x:c r="BI264" s="4"/>
      <x:c r="BJ264" s="4"/>
      <x:c r="BK264" s="4"/>
      <x:c r="BL264" s="4"/>
      <x:c r="BM264" s="4" t="n">
        <x:f>IF('Calculations'!$EM264="",0,IF(OR(IFERROR(INDEX(INDIRECT("'WCM Calibration Final'!$A$1:$A$2000"),'Calculations'!$EM264)&lt;&gt;"",FALSE),IFERROR(INDEX(INDIRECT("'WCM Calibration Final'!$B$1:$B$2000"),'Calculations'!$EM264)&lt;&gt;"",FALSE),IFERROR(INDEX(INDIRECT("'WCM Calibration Final'!$C$1:$C$2000"),'Calculations'!$EM264)&lt;&gt;"",FALSE)),1,0))</x:f>
        <x:v>0</x:v>
      </x:c>
      <x:c r="BN264" s="4" t="n">
        <x:f>IF(AND('Calculations'!BM264=1,'Calculations'!$AG$2,'Calculations'!$EN264=1),1,0)</x:f>
        <x:v>0</x:v>
      </x:c>
      <x:c r="BO264" s="4" t="str">
        <x:f>IF('Calculations'!BM264=0,"",IFERROR(IF(AND(VALUE(INDEX(INDIRECT("'WCM Calibration Final'!$K$1:$K$2000"),'Calculations'!$EM264))&gt;=1,VALUE(INDEX(INDIRECT("'WCM Calibration Final'!$K$1:$K$2000"),'Calculations'!$EM264))&lt;=4,MOD(VALUE(INDEX(INDIRECT("'WCM Calibration Final'!$K$1:$K$2000"),'Calculations'!$EM264)),1)=0),VALUE(INDEX(INDIRECT("'WCM Calibration Final'!$K$1:$K$2000"),'Calculations'!$EM264)),""),""))</x:f>
      </x:c>
      <x:c r="BP264" s="4" t="str">
        <x:f>IF('Calculations'!BM264=0,"",IFERROR(IF(AND(VALUE(INDEX(INDIRECT("'WCM Calibration Final'!$L$1:$L$2000"),'Calculations'!$EM264))&gt;=1,VALUE(INDEX(INDIRECT("'WCM Calibration Final'!$L$1:$L$2000"),'Calculations'!$EM264))&lt;=4,MOD(VALUE(INDEX(INDIRECT("'WCM Calibration Final'!$L$1:$L$2000"),'Calculations'!$EM264)),1)=0),VALUE(INDEX(INDIRECT("'WCM Calibration Final'!$L$1:$L$2000"),'Calculations'!$EM264)),""),""))</x:f>
      </x:c>
      <x:c r="BQ264" s="4"/>
      <x:c r="BR264" s="4"/>
      <x:c r="BS264" s="4"/>
      <x:c r="BT264" s="4" t="n">
        <x:f>IF(AND('Calculations'!BM264=1,ISNUMBER('Calculations'!BO264),ISNUMBER('Calculations'!BP264)),1,0)</x:f>
        <x:v>0</x:v>
      </x:c>
      <x:c r="BU264" s="4" t="str">
        <x:f>IF('Calculations'!BM264=0,"",'Calculations'!$EO264)</x:f>
      </x:c>
      <x:c r="BV264" s="4" t="str">
        <x:f>IF('Calculations'!BM264=0,"",IFERROR(IF(OR(INDEX(INDIRECT("'WCM Calibration Final'!$H$1:$H$2000"),'Calculations'!$EM264)="MANAGING DIRECTOR",INDEX(INDIRECT("'WCM Calibration Final'!$H$1:$H$2000"),'Calculations'!$EM264)="DIRECTOR",INDEX(INDIRECT("'WCM Calibration Final'!$H$1:$H$2000"),'Calculations'!$EM264)="SENIOR VICE PRESIDENT",INDEX(INDIRECT("'WCM Calibration Final'!$H$1:$H$2000"),'Calculations'!$EM264)="VICE PRESIDENT",INDEX(INDIRECT("'WCM Calibration Final'!$H$1:$H$2000"),'Calculations'!$EM264)="ASSISTANT VICE PRESIDENT",INDEX(INDIRECT("'WCM Calibration Final'!$H$1:$H$2000"),'Calculations'!$EM264)="OFFICER"),UPPER(INDEX(INDIRECT("'WCM Calibration Final'!$H$1:$H$2000"),'Calculations'!$EM264)),"Other"),"Other"))</x:f>
      </x:c>
      <x:c r="BW264" s="4"/>
      <x:c r="BX264" s="4"/>
      <x:c r="BY264" s="4" t="n">
        <x:f>IF(AND('Calculations'!BM264=1,'Calculations'!BU264&lt;&gt;"",COUNTIF('Calculations'!$BU$12:BU264,'Calculations'!BU264)=1),MAX('Calculations'!$BY$11:BY263)+1,0)</x:f>
        <x:v>0</x:v>
      </x:c>
      <x:c r="BZ264" s="4" t="str">
        <x:f>IF('Dashboard'!$E$67="What",'Calculations'!BO264,'Calculations'!BP264)</x:f>
      </x:c>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t="str">
        <x:f>IF(253&gt;MAX('Calculations'!$HI$13:$HI$512),"",INDEX('Calculations'!$HN$13:$HN$512,MATCH(253,'Calculations'!$HI$13:$HI$512,0)))</x:f>
      </x:c>
      <x:c r="DB264" s="4" t="str">
        <x:f>IF(253&gt;MAX('Calculations'!$HH$13:$HH$512),"",INDEX('Calculations'!$HJ$13:$HJ$512,MATCH(253,'Calculations'!$HH$13:$HH$512,0)))</x:f>
      </x:c>
      <x:c r="DC264" s="4" t="str">
        <x:f>IF(ROW()-11&gt;MAX('Calculations'!$BY$13:$BY$512),"",INDEX('Calculations'!$BU$13:$BU$512,MATCH(ROW()-11,'Calculations'!$BY$13:$BY$512,0)))</x:f>
      </x:c>
      <x:c r="DD264" s="4" t="str">
        <x:f>IF(253&gt;MAX('Calculations'!$IK$13:$IK$512),"",INDEX('Calculations'!$HK$13:$HK$512,MATCH(253,'Calculations'!$IK$13:$IK$512,0)))</x:f>
      </x:c>
      <x:c r="DE264" s="4" t="str">
        <x:f>'Calculations'!DC264</x:f>
      </x:c>
      <x:c r="DF264" s="4" t="str">
        <x:f>IF('Calculations'!DE264="","",COUNTIFS('Calculations'!$BN$13:$BN$512,1,'Calculations'!$BU$13:$BU$512,'Calculations'!DE264))</x:f>
      </x:c>
      <x:c r="DG264" s="4" t="str">
        <x:f>IF('Calculations'!DE264="","",COUNTIFS('Calculations'!$BN$13:$BN$512,1,'Calculations'!$BU$13:$BU$512,'Calculations'!DE264,'Calculations'!$BT$13:$BT$512,1))</x:f>
      </x:c>
      <x:c r="DH264" s="4" t="str">
        <x:f>IF('Calculations'!DE264="","",'Calculations'!DF264-'Calculations'!DG264)</x:f>
      </x:c>
      <x:c r="DI264" s="4" t="str">
        <x:f>IF(OR('Calculations'!DE264="",'Calculations'!DF264=0),"",'Calculations'!DG264/'Calculations'!DF264)</x:f>
      </x:c>
      <x:c r="DJ264" s="4" t="str">
        <x:f>IF('Calculations'!DE264="","",COUNTIFS('Calculations'!$BN$13:$BN$512,1,'Calculations'!$BU$13:$BU$512,'Calculations'!DE264,'Calculations'!$BT$13:$BT$512,1,'Calculations'!$EE$13:$EE$512,"High"))</x:f>
      </x:c>
      <x:c r="DK264" s="4" t="str">
        <x:f>IF('Calculations'!DE264="","",COUNTIFS('Calculations'!$BN$13:$BN$512,1,'Calculations'!$BU$13:$BU$512,'Calculations'!DE264,'Calculations'!$BT$13:$BT$512,1,'Calculations'!$EE$13:$EE$512,"Strong"))</x:f>
      </x:c>
      <x:c r="DL264" s="4" t="str">
        <x:f>IF('Calculations'!DE264="","",COUNTIFS('Calculations'!$BN$13:$BN$512,1,'Calculations'!$BU$13:$BU$512,'Calculations'!DE264,'Calculations'!$BT$13:$BT$512,1,'Calculations'!$EE$13:$EE$512,"Solid"))</x:f>
      </x:c>
      <x:c r="DM264" s="4" t="str">
        <x:f>IF('Calculations'!DE264="","",COUNTIFS('Calculations'!$BN$13:$BN$512,1,'Calculations'!$BU$13:$BU$512,'Calculations'!DE264,'Calculations'!$BT$13:$BT$512,1,'Calculations'!$EE$13:$EE$512,"Low"))</x:f>
      </x:c>
      <x:c r="DN264" s="4" t="str">
        <x:f>IF('Calculations'!DE264="","",COUNTIFS('Calculations'!$BN$13:$BN$512,1,'Calculations'!$BU$13:$BU$512,'Calculations'!DE264,'Calculations'!$EP$13:$EP$512,1))</x:f>
      </x:c>
      <x:c r="DO264" s="4" t="str">
        <x:f>IF(OR('Calculations'!DE264="",'Calculations'!DG264=0),"",('Calculations'!DJ264+'Calculations'!DK264)/'Calculations'!DG264)</x:f>
      </x:c>
      <x:c r="DP264" s="4" t="n">
        <x:f>IF(AND('Calculations'!DE264&lt;&gt;"",'Calculations'!DF264&gt;0),COUNTIF('Calculations'!$DF$12:DF264,"&gt;0"),0)</x:f>
        <x:v>0</x:v>
      </x:c>
      <x:c r="DQ264" s="4" t="str">
        <x:f>IF(253&gt;MAX('Calculations'!$HH$13:$HH$512),"",INDEX('Calculations'!$HF$13:$HF$512,MATCH(253,'Calculations'!$HH$13:$HH$512,0)))</x:f>
      </x:c>
      <x:c r="DR264" s="4" t="str">
        <x:f>IF(253&gt;MAX('Calculations'!$IK$13:$IK$512),"",INDEX('Calculations'!$HE$13:$HE$512,MATCH(253,'Calculations'!$IK$13:$IK$512,0)))</x:f>
      </x:c>
      <x:c r="DS264" s="4"/>
      <x:c r="DT264" s="4"/>
      <x:c r="DU264" s="4"/>
      <x:c r="DV264" s="4"/>
      <x:c r="DW264" s="4"/>
      <x:c r="DX264" s="4"/>
      <x:c r="DY264" s="4"/>
      <x:c r="DZ264" s="4"/>
      <x:c r="EA264" s="4"/>
      <x:c r="EB264" s="4"/>
      <x:c r="EC264" s="4"/>
      <x:c r="ED264" s="4"/>
      <x:c r="EE264" s="4" t="str">
        <x:f>IF('Calculations'!BT264=0,"Not Rated",IF(OR('Calculations'!BO264&gt;=4,'Calculations'!BP264&gt;=4),"Low",IF('Calculations'!BO264+'Calculations'!BP264&lt;=3,"High",IF('Calculations'!BO264+'Calculations'!BP264&lt;=4,"Strong","Solid"))))</x:f>
        <x:v>Not Rated</x:v>
      </x:c>
      <x:c r="EF264" s="4"/>
      <x:c r="EG264" s="4"/>
      <x:c r="EH264" s="4"/>
      <x:c r="EI264" s="4"/>
      <x:c r="EJ264" s="4"/>
      <x:c r="EK264" s="4"/>
      <x:c r="EL264" s="4"/>
      <x:c r="EM264" s="4" t="str">
        <x:f>IF(252&gt;'Calculations'!$JB$2000,"",INDEX('Calculations'!$JA$12:$JA$2000,MATCH(252,'Calculations'!$JB$12:$JB$2000,0)))</x:f>
      </x:c>
      <x:c r="EN264" s="4" t="n">
        <x:f>IF(OR('Calculations'!EM264="",'Calculations'!$AG$8&gt;0,AND('Calculations'!$EF$2&lt;&gt;"All",'Calculations'!HE264='Calculations'!$EF$2),AND('Calculations'!$EF$3&lt;&gt;"All",'Calculations'!HE264='Calculations'!$EF$3)),0,IF(OR('Dashboard'!$B$7="All",'Calculations'!HN264='Dashboard'!$B$7),IF('Calculations'!$EF$2="All",1,IF('Calculations'!HL264&gt;0,0,IF(COUNTIF('Calculations'!HO264:II264,"="&amp;SUBSTITUTE(SUBSTITUTE(SUBSTITUTE('Calculations'!$EF$2,"~","~~"),"*","~*"),"?","~?"))=0,0,IF('Calculations'!$EF$3="All",1,IF(COUNTIF('Calculations'!HO264:II264,"="&amp;SUBSTITUTE(SUBSTITUTE(SUBSTITUTE('Calculations'!$EF$3,"~","~~"),"*","~*"),"?","~?"))&gt;0,1,0))))),0))</x:f>
        <x:v>0</x:v>
      </x:c>
      <x:c r="EO264" s="4" t="str">
        <x:f>IF('Calculations'!IJ264="","",IF('Calculations'!IJ264="!UNRESOLVED","Unresolved hierarchy",IFERROR(INDEX('Calculations'!$HK$13:$HK$512,MATCH('Calculations'!IJ264,'Calculations'!$HE$13:$HE$512,0)),IFERROR(INDEX('Calculations'!$HJ$13:$HJ$512,MATCH('Calculations'!IJ264,'Calculations'!$HF$13:$HF$512,0)),'Calculations'!IJ264))))</x:f>
      </x:c>
      <x:c r="EP264" s="4" t="n">
        <x:f>IF(AND('Calculations'!EM264&lt;&gt;"",'Calculations'!HF264='Calculations'!IJ264),1,0)</x:f>
        <x:v>0</x:v>
      </x:c>
      <x:c r="EQ264" s="4"/>
      <x:c r="ER264" s="4"/>
      <x:c r="ES264" s="4"/>
      <x:c r="ET264" s="4"/>
      <x:c r="EU264" s="4"/>
      <x:c r="EV264" s="4"/>
      <x:c r="EW264" s="4"/>
      <x:c r="EX264" s="4"/>
      <x:c r="EY264" s="4"/>
      <x:c r="EZ264" s="4"/>
      <x:c r="FA264" s="4"/>
      <x:c r="FB264" s="4"/>
      <x:c r="FC264" s="4"/>
      <x:c r="FD264" s="4"/>
      <x:c r="FE264" s="4"/>
      <x:c r="FF264" s="4"/>
      <x:c r="FG264" s="4"/>
      <x:c r="FH264" s="4"/>
      <x:c r="FI264" s="4"/>
      <x:c r="FJ264" s="4"/>
      <x:c r="FK264" s="4"/>
      <x:c r="FL264" s="4"/>
      <x:c r="FM264" s="4"/>
      <x:c r="FN264" s="4"/>
      <x:c r="FO264" s="4"/>
      <x:c r="HE264" t="str">
        <x:f>IF('Calculations'!EM264="","",IF(IFERROR(IF(INDEX(INDIRECT("'WCM Calibration Final'!$A$1:$A$2000"),'Calculations'!$EM264)="","",TRIM(INDEX(INDIRECT("'WCM Calibration Final'!$A$1:$A$2000"),'Calculations'!$EM264)&amp;"")),"")&lt;&gt;"","G:"&amp;IFERROR(TEXT(1*INDEX(INDIRECT("'WCM Calibration Final'!$A$1:$A$2000"),'Calculations'!$EM264),"0"),UPPER(IFERROR(IF(INDEX(INDIRECT("'WCM Calibration Final'!$A$1:$A$2000"),'Calculations'!$EM264)="","",TRIM(INDEX(INDIRECT("'WCM Calibration Final'!$A$1:$A$2000"),'Calculations'!$EM264)&amp;"")),""))),IF(IFERROR(IF(INDEX(INDIRECT("'WCM Calibration Final'!$C$1:$C$2000"),'Calculations'!$EM264)="","",TRIM(INDEX(INDIRECT("'WCM Calibration Final'!$C$1:$C$2000"),'Calculations'!$EM264)&amp;"")),"")&lt;&gt;"","S:"&amp;UPPER(IFERROR(IF(INDEX(INDIRECT("'WCM Calibration Final'!$C$1:$C$2000"),'Calculations'!$EM264)="","",TRIM(INDEX(INDIRECT("'WCM Calibration Final'!$C$1:$C$2000"),'Calculations'!$EM264)&amp;"")),"")),"R:"&amp;'Calculations'!EM264)))</x:f>
      </x:c>
      <x:c r="HF264" t="str">
        <x:f>IF('Calculations'!EM264="","",IF(IFERROR(IF(INDEX(INDIRECT("'WCM Calibration Final'!$D$1:$D$2000"),'Calculations'!$EM264)="","",TRIM(INDEX(INDIRECT("'WCM Calibration Final'!$D$1:$D$2000"),'Calculations'!$EM264)&amp;"")),"")&lt;&gt;"","G:"&amp;IFERROR(TEXT(1*INDEX(INDIRECT("'WCM Calibration Final'!$D$1:$D$2000"),'Calculations'!$EM264),"0"),UPPER(IFERROR(IF(INDEX(INDIRECT("'WCM Calibration Final'!$D$1:$D$2000"),'Calculations'!$EM264)="","",TRIM(INDEX(INDIRECT("'WCM Calibration Final'!$D$1:$D$2000"),'Calculations'!$EM264)&amp;"")),""))),IF(IFERROR(IF(INDEX(INDIRECT("'WCM Calibration Final'!$E$1:$E$2000"),'Calculations'!$EM264)="","",TRIM(INDEX(INDIRECT("'WCM Calibration Final'!$E$1:$E$2000"),'Calculations'!$EM264)&amp;"")),"")="","",IF(COUNTIF('Calculations'!$HG$13:$HG$512,"="&amp;SUBSTITUTE(SUBSTITUTE(SUBSTITUTE(IFERROR(IF(INDEX(INDIRECT("'WCM Calibration Final'!$E$1:$E$2000"),'Calculations'!$EM264)="","",TRIM(INDEX(INDIRECT("'WCM Calibration Final'!$E$1:$E$2000"),'Calculations'!$EM264)&amp;"")),""),"~","~~"),"*","~*"),"?","~?"))=1,INDEX('Calculations'!$HE$13:$HE$512,MATCH(IFERROR(IF(INDEX(INDIRECT("'WCM Calibration Final'!$E$1:$E$2000"),'Calculations'!$EM264)="","",TRIM(INDEX(INDIRECT("'WCM Calibration Final'!$E$1:$E$2000"),'Calculations'!$EM264)&amp;"")),""),'Calculations'!$HG$13:$HG$512,0)),IF(COUNTIF('Calculations'!$HG$13:$HG$512,"="&amp;SUBSTITUTE(SUBSTITUTE(SUBSTITUTE(IFERROR(IF(INDEX(INDIRECT("'WCM Calibration Final'!$E$1:$E$2000"),'Calculations'!$EM264)="","",TRIM(INDEX(INDIRECT("'WCM Calibration Final'!$E$1:$E$2000"),'Calculations'!$EM264)&amp;"")),""),"~","~~"),"*","~*"),"?","~?"))&gt;1,"!AMBIG","X:"&amp;IFERROR(IF(INDEX(INDIRECT("'WCM Calibration Final'!$E$1:$E$2000"),'Calculations'!$EM264)="","",TRIM(INDEX(INDIRECT("'WCM Calibration Final'!$E$1:$E$2000"),'Calculations'!$EM264)&amp;"")),""))))))</x:f>
      </x:c>
      <x:c r="HG264" t="str">
        <x:f>IF('Calculations'!EM264="","",IFERROR(IF(INDEX(INDIRECT("'WCM Calibration Final'!$B$1:$B$2000"),'Calculations'!$EM264)="","",TRIM(INDEX(INDIRECT("'WCM Calibration Final'!$B$1:$B$2000"),'Calculations'!$EM264)&amp;"")),""))</x:f>
      </x:c>
      <x:c r="HH264" t="n">
        <x:f>IF(AND('Calculations'!JC264&gt;0,COUNTIF('Calculations'!$HF$12:HF264,"="&amp;SUBSTITUTE(SUBSTITUTE(SUBSTITUTE('Calculations'!HF264,"~","~~"),"*","~*"),"?","~?"))=1),MAX('Calculations'!$HH$12:HH263)+1,0)</x:f>
        <x:v>0</x:v>
      </x:c>
      <x:c r="HI264" t="n">
        <x:f>IF(AND('Calculations'!HN264&lt;&gt;"",COUNTIF('Calculations'!$HN$12:HN264,"="&amp;SUBSTITUTE(SUBSTITUTE(SUBSTITUTE('Calculations'!HN264,"~","~~"),"*","~*"),"?","~?"))=1),MAX('Calculations'!$HI$12:HI263)+1,0)</x:f>
        <x:v>0</x:v>
      </x:c>
      <x:c r="HJ264" t="str">
        <x:f>IF('Calculations'!HF264="","",IF(COUNTIF('Calculations'!$HE$13:$HE$512,"="&amp;SUBSTITUTE(SUBSTITUTE(SUBSTITUTE('Calculations'!HF264,"~","~~"),"*","~*"),"?","~?"))=1,INDEX('Calculations'!$HK$13:$HK$512,MATCH('Calculations'!HF264,'Calculations'!$HE$13:$HE$512,0)),IFERROR(IF(INDEX(INDIRECT("'WCM Calibration Final'!$E$1:$E$2000"),'Calculations'!$EM264)="","",TRIM(INDEX(INDIRECT("'WCM Calibration Final'!$E$1:$E$2000"),'Calculations'!$EM264)&amp;"")),"")&amp;" ["&amp;'Calculations'!HF264&amp;"]"))</x:f>
      </x:c>
      <x:c r="HK264" t="str">
        <x:f>IF('Calculations'!EM264="","",'Calculations'!HG264&amp;" ["&amp;'Calculations'!HE264&amp;"]")</x:f>
      </x:c>
      <x:c r="HL264" t="n">
        <x:f>IF('Calculations'!EM264="",0,IF(OR('Calculations'!II264&lt;&gt;"",COUNTIF('Calculations'!$HE$13:$HE$512,"="&amp;SUBSTITUTE(SUBSTITUTE(SUBSTITUTE('Calculations'!HE264,"~","~~"),"*","~*"),"?","~?"))&gt;1),1,0))</x:f>
        <x:v>0</x:v>
      </x:c>
      <x:c r="HM264" t="str">
        <x:f>IF('Calculations'!EM264="","",IF('Calculations'!HL264=1,"!UNRESOLVED",IF('Calculations'!IH264&lt;&gt;"",'Calculations'!IH264,IF('Calculations'!IG264&lt;&gt;"",'Calculations'!IG264,IF('Calculations'!IF264&lt;&gt;"",'Calculations'!IF264,IF('Calculations'!IE264&lt;&gt;"",'Calculations'!IE264,IF('Calculations'!ID264&lt;&gt;"",'Calculations'!ID264,IF('Calculations'!IC264&lt;&gt;"",'Calculations'!IC264,IF('Calculations'!IB264&lt;&gt;"",'Calculations'!IB264,IF('Calculations'!IA264&lt;&gt;"",'Calculations'!IA264,IF('Calculations'!HZ264&lt;&gt;"",'Calculations'!HZ264,IF('Calculations'!HY264&lt;&gt;"",'Calculations'!HY264,IF('Calculations'!HX264&lt;&gt;"",'Calculations'!HX264,IF('Calculations'!HW264&lt;&gt;"",'Calculations'!HW264,IF('Calculations'!HV264&lt;&gt;"",'Calculations'!HV264,IF('Calculations'!HU264&lt;&gt;"",'Calculations'!HU264,IF('Calculations'!HT264&lt;&gt;"",'Calculations'!HT264,IF('Calculations'!HS264&lt;&gt;"",'Calculations'!HS264,IF('Calculations'!HR264&lt;&gt;"",'Calculations'!HR264,IF('Calculations'!HQ264&lt;&gt;"",'Calculations'!HQ264,IF('Calculations'!HP264&lt;&gt;"",'Calculations'!HP264,IF('Calculations'!HO264&lt;&gt;"",'Calculations'!HO264,'Calculations'!HE264))))))))))))))))))))))</x:f>
      </x:c>
      <x:c r="HN264" t="str">
        <x:f>IF('Calculations'!EM264="","",IF(IFERROR(IF(INDEX(INDIRECT("'WCM Calibration Final'!$F$1:$F$2000"),'Calculations'!$EM264)="","",TRIM(INDEX(INDIRECT("'WCM Calibration Final'!$F$1:$F$2000"),'Calculations'!$EM264)&amp;"")),"")="","(Blank)",IFERROR(IF(INDEX(INDIRECT("'WCM Calibration Final'!$F$1:$F$2000"),'Calculations'!$EM264)="","",TRIM(INDEX(INDIRECT("'WCM Calibration Final'!$F$1:$F$2000"),'Calculations'!$EM264)&amp;"")),"")))</x:f>
      </x:c>
      <x:c r="HO264" t="str">
        <x:f>'Calculations'!HF264</x:f>
      </x:c>
      <x:c r="HP264" t="str">
        <x:f>IF('Calculations'!HO264="","",IF('Calculations'!HO264="!AMBIG","!AMBIG",IF(COUNTIF('Calculations'!$HE$13:$HE$512,"="&amp;SUBSTITUTE(SUBSTITUTE(SUBSTITUTE('Calculations'!HO264,"~","~~"),"*","~*"),"?","~?"))&gt;1,"!AMBIG",IFERROR(INDEX('Calculations'!$HF$13:$HF$512,MATCH('Calculations'!HO264,'Calculations'!$HE$13:$HE$512,0)),""))))</x:f>
      </x:c>
      <x:c r="HQ264" t="str">
        <x:f>IF('Calculations'!HP264="","",IF('Calculations'!HP264="!AMBIG","!AMBIG",IF(COUNTIF('Calculations'!$HE$13:$HE$512,"="&amp;SUBSTITUTE(SUBSTITUTE(SUBSTITUTE('Calculations'!HP264,"~","~~"),"*","~*"),"?","~?"))&gt;1,"!AMBIG",IFERROR(INDEX('Calculations'!$HF$13:$HF$512,MATCH('Calculations'!HP264,'Calculations'!$HE$13:$HE$512,0)),""))))</x:f>
      </x:c>
      <x:c r="HR264" t="str">
        <x:f>IF('Calculations'!HQ264="","",IF('Calculations'!HQ264="!AMBIG","!AMBIG",IF(COUNTIF('Calculations'!$HE$13:$HE$512,"="&amp;SUBSTITUTE(SUBSTITUTE(SUBSTITUTE('Calculations'!HQ264,"~","~~"),"*","~*"),"?","~?"))&gt;1,"!AMBIG",IFERROR(INDEX('Calculations'!$HF$13:$HF$512,MATCH('Calculations'!HQ264,'Calculations'!$HE$13:$HE$512,0)),""))))</x:f>
      </x:c>
      <x:c r="HS264" t="str">
        <x:f>IF('Calculations'!HR264="","",IF('Calculations'!HR264="!AMBIG","!AMBIG",IF(COUNTIF('Calculations'!$HE$13:$HE$512,"="&amp;SUBSTITUTE(SUBSTITUTE(SUBSTITUTE('Calculations'!HR264,"~","~~"),"*","~*"),"?","~?"))&gt;1,"!AMBIG",IFERROR(INDEX('Calculations'!$HF$13:$HF$512,MATCH('Calculations'!HR264,'Calculations'!$HE$13:$HE$512,0)),""))))</x:f>
      </x:c>
      <x:c r="HT264" t="str">
        <x:f>IF('Calculations'!HS264="","",IF('Calculations'!HS264="!AMBIG","!AMBIG",IF(COUNTIF('Calculations'!$HE$13:$HE$512,"="&amp;SUBSTITUTE(SUBSTITUTE(SUBSTITUTE('Calculations'!HS264,"~","~~"),"*","~*"),"?","~?"))&gt;1,"!AMBIG",IFERROR(INDEX('Calculations'!$HF$13:$HF$512,MATCH('Calculations'!HS264,'Calculations'!$HE$13:$HE$512,0)),""))))</x:f>
      </x:c>
      <x:c r="HU264" t="str">
        <x:f>IF('Calculations'!HT264="","",IF('Calculations'!HT264="!AMBIG","!AMBIG",IF(COUNTIF('Calculations'!$HE$13:$HE$512,"="&amp;SUBSTITUTE(SUBSTITUTE(SUBSTITUTE('Calculations'!HT264,"~","~~"),"*","~*"),"?","~?"))&gt;1,"!AMBIG",IFERROR(INDEX('Calculations'!$HF$13:$HF$512,MATCH('Calculations'!HT264,'Calculations'!$HE$13:$HE$512,0)),""))))</x:f>
      </x:c>
      <x:c r="HV264" t="str">
        <x:f>IF('Calculations'!HU264="","",IF('Calculations'!HU264="!AMBIG","!AMBIG",IF(COUNTIF('Calculations'!$HE$13:$HE$512,"="&amp;SUBSTITUTE(SUBSTITUTE(SUBSTITUTE('Calculations'!HU264,"~","~~"),"*","~*"),"?","~?"))&gt;1,"!AMBIG",IFERROR(INDEX('Calculations'!$HF$13:$HF$512,MATCH('Calculations'!HU264,'Calculations'!$HE$13:$HE$512,0)),""))))</x:f>
      </x:c>
      <x:c r="HW264" t="str">
        <x:f>IF('Calculations'!HV264="","",IF('Calculations'!HV264="!AMBIG","!AMBIG",IF(COUNTIF('Calculations'!$HE$13:$HE$512,"="&amp;SUBSTITUTE(SUBSTITUTE(SUBSTITUTE('Calculations'!HV264,"~","~~"),"*","~*"),"?","~?"))&gt;1,"!AMBIG",IFERROR(INDEX('Calculations'!$HF$13:$HF$512,MATCH('Calculations'!HV264,'Calculations'!$HE$13:$HE$512,0)),""))))</x:f>
      </x:c>
      <x:c r="HX264" t="str">
        <x:f>IF('Calculations'!HW264="","",IF('Calculations'!HW264="!AMBIG","!AMBIG",IF(COUNTIF('Calculations'!$HE$13:$HE$512,"="&amp;SUBSTITUTE(SUBSTITUTE(SUBSTITUTE('Calculations'!HW264,"~","~~"),"*","~*"),"?","~?"))&gt;1,"!AMBIG",IFERROR(INDEX('Calculations'!$HF$13:$HF$512,MATCH('Calculations'!HW264,'Calculations'!$HE$13:$HE$512,0)),""))))</x:f>
      </x:c>
      <x:c r="HY264" t="str">
        <x:f>IF('Calculations'!HX264="","",IF('Calculations'!HX264="!AMBIG","!AMBIG",IF(COUNTIF('Calculations'!$HE$13:$HE$512,"="&amp;SUBSTITUTE(SUBSTITUTE(SUBSTITUTE('Calculations'!HX264,"~","~~"),"*","~*"),"?","~?"))&gt;1,"!AMBIG",IFERROR(INDEX('Calculations'!$HF$13:$HF$512,MATCH('Calculations'!HX264,'Calculations'!$HE$13:$HE$512,0)),""))))</x:f>
      </x:c>
      <x:c r="HZ264" t="str">
        <x:f>IF('Calculations'!HY264="","",IF('Calculations'!HY264="!AMBIG","!AMBIG",IF(COUNTIF('Calculations'!$HE$13:$HE$512,"="&amp;SUBSTITUTE(SUBSTITUTE(SUBSTITUTE('Calculations'!HY264,"~","~~"),"*","~*"),"?","~?"))&gt;1,"!AMBIG",IFERROR(INDEX('Calculations'!$HF$13:$HF$512,MATCH('Calculations'!HY264,'Calculations'!$HE$13:$HE$512,0)),""))))</x:f>
      </x:c>
      <x:c r="IA264" t="str">
        <x:f>IF('Calculations'!HZ264="","",IF('Calculations'!HZ264="!AMBIG","!AMBIG",IF(COUNTIF('Calculations'!$HE$13:$HE$512,"="&amp;SUBSTITUTE(SUBSTITUTE(SUBSTITUTE('Calculations'!HZ264,"~","~~"),"*","~*"),"?","~?"))&gt;1,"!AMBIG",IFERROR(INDEX('Calculations'!$HF$13:$HF$512,MATCH('Calculations'!HZ264,'Calculations'!$HE$13:$HE$512,0)),""))))</x:f>
      </x:c>
      <x:c r="IB264" t="str">
        <x:f>IF('Calculations'!IA264="","",IF('Calculations'!IA264="!AMBIG","!AMBIG",IF(COUNTIF('Calculations'!$HE$13:$HE$512,"="&amp;SUBSTITUTE(SUBSTITUTE(SUBSTITUTE('Calculations'!IA264,"~","~~"),"*","~*"),"?","~?"))&gt;1,"!AMBIG",IFERROR(INDEX('Calculations'!$HF$13:$HF$512,MATCH('Calculations'!IA264,'Calculations'!$HE$13:$HE$512,0)),""))))</x:f>
      </x:c>
      <x:c r="IC264" t="str">
        <x:f>IF('Calculations'!IB264="","",IF('Calculations'!IB264="!AMBIG","!AMBIG",IF(COUNTIF('Calculations'!$HE$13:$HE$512,"="&amp;SUBSTITUTE(SUBSTITUTE(SUBSTITUTE('Calculations'!IB264,"~","~~"),"*","~*"),"?","~?"))&gt;1,"!AMBIG",IFERROR(INDEX('Calculations'!$HF$13:$HF$512,MATCH('Calculations'!IB264,'Calculations'!$HE$13:$HE$512,0)),""))))</x:f>
      </x:c>
      <x:c r="ID264" t="str">
        <x:f>IF('Calculations'!IC264="","",IF('Calculations'!IC264="!AMBIG","!AMBIG",IF(COUNTIF('Calculations'!$HE$13:$HE$512,"="&amp;SUBSTITUTE(SUBSTITUTE(SUBSTITUTE('Calculations'!IC264,"~","~~"),"*","~*"),"?","~?"))&gt;1,"!AMBIG",IFERROR(INDEX('Calculations'!$HF$13:$HF$512,MATCH('Calculations'!IC264,'Calculations'!$HE$13:$HE$512,0)),""))))</x:f>
      </x:c>
      <x:c r="IE264" t="str">
        <x:f>IF('Calculations'!ID264="","",IF('Calculations'!ID264="!AMBIG","!AMBIG",IF(COUNTIF('Calculations'!$HE$13:$HE$512,"="&amp;SUBSTITUTE(SUBSTITUTE(SUBSTITUTE('Calculations'!ID264,"~","~~"),"*","~*"),"?","~?"))&gt;1,"!AMBIG",IFERROR(INDEX('Calculations'!$HF$13:$HF$512,MATCH('Calculations'!ID264,'Calculations'!$HE$13:$HE$512,0)),""))))</x:f>
      </x:c>
      <x:c r="IF264" t="str">
        <x:f>IF('Calculations'!IE264="","",IF('Calculations'!IE264="!AMBIG","!AMBIG",IF(COUNTIF('Calculations'!$HE$13:$HE$512,"="&amp;SUBSTITUTE(SUBSTITUTE(SUBSTITUTE('Calculations'!IE264,"~","~~"),"*","~*"),"?","~?"))&gt;1,"!AMBIG",IFERROR(INDEX('Calculations'!$HF$13:$HF$512,MATCH('Calculations'!IE264,'Calculations'!$HE$13:$HE$512,0)),""))))</x:f>
      </x:c>
      <x:c r="IG264" t="str">
        <x:f>IF('Calculations'!IF264="","",IF('Calculations'!IF264="!AMBIG","!AMBIG",IF(COUNTIF('Calculations'!$HE$13:$HE$512,"="&amp;SUBSTITUTE(SUBSTITUTE(SUBSTITUTE('Calculations'!IF264,"~","~~"),"*","~*"),"?","~?"))&gt;1,"!AMBIG",IFERROR(INDEX('Calculations'!$HF$13:$HF$512,MATCH('Calculations'!IF264,'Calculations'!$HE$13:$HE$512,0)),""))))</x:f>
      </x:c>
      <x:c r="IH264" t="str">
        <x:f>IF('Calculations'!IG264="","",IF('Calculations'!IG264="!AMBIG","!AMBIG",IF(COUNTIF('Calculations'!$HE$13:$HE$512,"="&amp;SUBSTITUTE(SUBSTITUTE(SUBSTITUTE('Calculations'!IG264,"~","~~"),"*","~*"),"?","~?"))&gt;1,"!AMBIG",IFERROR(INDEX('Calculations'!$HF$13:$HF$512,MATCH('Calculations'!IG264,'Calculations'!$HE$13:$HE$512,0)),""))))</x:f>
      </x:c>
      <x:c r="II264" t="str">
        <x:f>IF('Calculations'!IH264="","",IF('Calculations'!IH264="!AMBIG","!AMBIG",IF(COUNTIF('Calculations'!$HE$13:$HE$512,"="&amp;SUBSTITUTE(SUBSTITUTE(SUBSTITUTE('Calculations'!IH264,"~","~~"),"*","~*"),"?","~?"))&gt;1,"!AMBIG",IFERROR(INDEX('Calculations'!$HF$13:$HF$512,MATCH('Calculations'!IH264,'Calculations'!$HE$13:$HE$512,0)),""))))</x:f>
      </x:c>
      <x:c r="IJ264" t="str">
        <x:f>IF('Calculations'!EM264="","",IF('Calculations'!$EF$2="All",'Calculations'!HM264,IF('Calculations'!HL264=1,"",IFERROR(IF(MATCH('Calculations'!$EF$2,'Calculations'!HO264:II264,0)=1,'Calculations'!HE264,INDEX('Calculations'!HO264:II264,1,MATCH('Calculations'!$EF$2,'Calculations'!HO264:II264,0)-1)),""))))</x:f>
      </x:c>
      <x:c r="IK264" t="n">
        <x:f>IF(AND('Calculations'!EM264&lt;&gt;"",'Calculations'!$EF$2&lt;&gt;"All",'Calculations'!HF264='Calculations'!$EF$2,'Calculations'!HL264=0,'Calculations'!JD264&gt;0),MAX('Calculations'!$IK$12:IK263)+1,0)</x:f>
        <x:v>0</x:v>
      </x:c>
      <x:c r="JA264" t="n">
        <x:f>IF(OR(IFERROR(INDIRECT("'WCM Calibration Final'!$A$264")&lt;&gt;"",FALSE),IFERROR(INDIRECT("'WCM Calibration Final'!$B$264")&lt;&gt;"",FALSE),IFERROR(INDIRECT("'WCM Calibration Final'!$C$264")&lt;&gt;"",FALSE)),264,0)</x:f>
        <x:v>0</x:v>
      </x:c>
      <x:c r="JB264" t="n">
        <x:f>'Calculations'!JB263+IF('Calculations'!JA264&gt;0,1,0)</x:f>
        <x:v>0</x:v>
      </x:c>
      <x:c r="JC264" t="n">
        <x:f>IF(OR('Calculations'!HF264="",'Calculations'!HF264="!AMBIG"),0,IF('Dashboard'!$B$7="All",1,COUNTIFS('Calculations'!$HO$13:$HO$512,"="&amp;SUBSTITUTE(SUBSTITUTE(SUBSTITUTE('Calculations'!HF264,"~","~~"),"*","~*"),"?","~?"),'Calculations'!$HN$13:$HN$512,"="&amp;SUBSTITUTE(SUBSTITUTE(SUBSTITUTE('Dashboard'!$B$7,"~","~~"),"*","~*"),"?","~?"))+COUNTIFS('Calculations'!$HP$13:$HP$512,"="&amp;SUBSTITUTE(SUBSTITUTE(SUBSTITUTE('Calculations'!HF264,"~","~~"),"*","~*"),"?","~?"),'Calculations'!$HN$13:$HN$512,"="&amp;SUBSTITUTE(SUBSTITUTE(SUBSTITUTE('Dashboard'!$B$7,"~","~~"),"*","~*"),"?","~?"))+COUNTIFS('Calculations'!$HQ$13:$HQ$512,"="&amp;SUBSTITUTE(SUBSTITUTE(SUBSTITUTE('Calculations'!HF264,"~","~~"),"*","~*"),"?","~?"),'Calculations'!$HN$13:$HN$512,"="&amp;SUBSTITUTE(SUBSTITUTE(SUBSTITUTE('Dashboard'!$B$7,"~","~~"),"*","~*"),"?","~?"))+COUNTIFS('Calculations'!$HR$13:$HR$512,"="&amp;SUBSTITUTE(SUBSTITUTE(SUBSTITUTE('Calculations'!HF264,"~","~~"),"*","~*"),"?","~?"),'Calculations'!$HN$13:$HN$512,"="&amp;SUBSTITUTE(SUBSTITUTE(SUBSTITUTE('Dashboard'!$B$7,"~","~~"),"*","~*"),"?","~?"))+COUNTIFS('Calculations'!$HS$13:$HS$512,"="&amp;SUBSTITUTE(SUBSTITUTE(SUBSTITUTE('Calculations'!HF264,"~","~~"),"*","~*"),"?","~?"),'Calculations'!$HN$13:$HN$512,"="&amp;SUBSTITUTE(SUBSTITUTE(SUBSTITUTE('Dashboard'!$B$7,"~","~~"),"*","~*"),"?","~?"))+COUNTIFS('Calculations'!$HT$13:$HT$512,"="&amp;SUBSTITUTE(SUBSTITUTE(SUBSTITUTE('Calculations'!HF264,"~","~~"),"*","~*"),"?","~?"),'Calculations'!$HN$13:$HN$512,"="&amp;SUBSTITUTE(SUBSTITUTE(SUBSTITUTE('Dashboard'!$B$7,"~","~~"),"*","~*"),"?","~?"))+COUNTIFS('Calculations'!$HU$13:$HU$512,"="&amp;SUBSTITUTE(SUBSTITUTE(SUBSTITUTE('Calculations'!HF264,"~","~~"),"*","~*"),"?","~?"),'Calculations'!$HN$13:$HN$512,"="&amp;SUBSTITUTE(SUBSTITUTE(SUBSTITUTE('Dashboard'!$B$7,"~","~~"),"*","~*"),"?","~?"))+COUNTIFS('Calculations'!$HV$13:$HV$512,"="&amp;SUBSTITUTE(SUBSTITUTE(SUBSTITUTE('Calculations'!HF264,"~","~~"),"*","~*"),"?","~?"),'Calculations'!$HN$13:$HN$512,"="&amp;SUBSTITUTE(SUBSTITUTE(SUBSTITUTE('Dashboard'!$B$7,"~","~~"),"*","~*"),"?","~?"))+COUNTIFS('Calculations'!$HW$13:$HW$512,"="&amp;SUBSTITUTE(SUBSTITUTE(SUBSTITUTE('Calculations'!HF264,"~","~~"),"*","~*"),"?","~?"),'Calculations'!$HN$13:$HN$512,"="&amp;SUBSTITUTE(SUBSTITUTE(SUBSTITUTE('Dashboard'!$B$7,"~","~~"),"*","~*"),"?","~?"))+COUNTIFS('Calculations'!$HX$13:$HX$512,"="&amp;SUBSTITUTE(SUBSTITUTE(SUBSTITUTE('Calculations'!HF264,"~","~~"),"*","~*"),"?","~?"),'Calculations'!$HN$13:$HN$512,"="&amp;SUBSTITUTE(SUBSTITUTE(SUBSTITUTE('Dashboard'!$B$7,"~","~~"),"*","~*"),"?","~?"))+COUNTIFS('Calculations'!$HY$13:$HY$512,"="&amp;SUBSTITUTE(SUBSTITUTE(SUBSTITUTE('Calculations'!HF264,"~","~~"),"*","~*"),"?","~?"),'Calculations'!$HN$13:$HN$512,"="&amp;SUBSTITUTE(SUBSTITUTE(SUBSTITUTE('Dashboard'!$B$7,"~","~~"),"*","~*"),"?","~?"))+COUNTIFS('Calculations'!$HZ$13:$HZ$512,"="&amp;SUBSTITUTE(SUBSTITUTE(SUBSTITUTE('Calculations'!HF264,"~","~~"),"*","~*"),"?","~?"),'Calculations'!$HN$13:$HN$512,"="&amp;SUBSTITUTE(SUBSTITUTE(SUBSTITUTE('Dashboard'!$B$7,"~","~~"),"*","~*"),"?","~?"))+COUNTIFS('Calculations'!$IA$13:$IA$512,"="&amp;SUBSTITUTE(SUBSTITUTE(SUBSTITUTE('Calculations'!HF264,"~","~~"),"*","~*"),"?","~?"),'Calculations'!$HN$13:$HN$512,"="&amp;SUBSTITUTE(SUBSTITUTE(SUBSTITUTE('Dashboard'!$B$7,"~","~~"),"*","~*"),"?","~?"))+COUNTIFS('Calculations'!$IB$13:$IB$512,"="&amp;SUBSTITUTE(SUBSTITUTE(SUBSTITUTE('Calculations'!HF264,"~","~~"),"*","~*"),"?","~?"),'Calculations'!$HN$13:$HN$512,"="&amp;SUBSTITUTE(SUBSTITUTE(SUBSTITUTE('Dashboard'!$B$7,"~","~~"),"*","~*"),"?","~?"))+COUNTIFS('Calculations'!$IC$13:$IC$512,"="&amp;SUBSTITUTE(SUBSTITUTE(SUBSTITUTE('Calculations'!HF264,"~","~~"),"*","~*"),"?","~?"),'Calculations'!$HN$13:$HN$512,"="&amp;SUBSTITUTE(SUBSTITUTE(SUBSTITUTE('Dashboard'!$B$7,"~","~~"),"*","~*"),"?","~?"))+COUNTIFS('Calculations'!$ID$13:$ID$512,"="&amp;SUBSTITUTE(SUBSTITUTE(SUBSTITUTE('Calculations'!HF264,"~","~~"),"*","~*"),"?","~?"),'Calculations'!$HN$13:$HN$512,"="&amp;SUBSTITUTE(SUBSTITUTE(SUBSTITUTE('Dashboard'!$B$7,"~","~~"),"*","~*"),"?","~?"))+COUNTIFS('Calculations'!$IE$13:$IE$512,"="&amp;SUBSTITUTE(SUBSTITUTE(SUBSTITUTE('Calculations'!HF264,"~","~~"),"*","~*"),"?","~?"),'Calculations'!$HN$13:$HN$512,"="&amp;SUBSTITUTE(SUBSTITUTE(SUBSTITUTE('Dashboard'!$B$7,"~","~~"),"*","~*"),"?","~?"))+COUNTIFS('Calculations'!$IF$13:$IF$512,"="&amp;SUBSTITUTE(SUBSTITUTE(SUBSTITUTE('Calculations'!HF264,"~","~~"),"*","~*"),"?","~?"),'Calculations'!$HN$13:$HN$512,"="&amp;SUBSTITUTE(SUBSTITUTE(SUBSTITUTE('Dashboard'!$B$7,"~","~~"),"*","~*"),"?","~?"))+COUNTIFS('Calculations'!$IG$13:$IG$512,"="&amp;SUBSTITUTE(SUBSTITUTE(SUBSTITUTE('Calculations'!HF264,"~","~~"),"*","~*"),"?","~?"),'Calculations'!$HN$13:$HN$512,"="&amp;SUBSTITUTE(SUBSTITUTE(SUBSTITUTE('Dashboard'!$B$7,"~","~~"),"*","~*"),"?","~?"))+COUNTIFS('Calculations'!$IH$13:$IH$512,"="&amp;SUBSTITUTE(SUBSTITUTE(SUBSTITUTE('Calculations'!HF264,"~","~~"),"*","~*"),"?","~?"),'Calculations'!$HN$13:$HN$512,"="&amp;SUBSTITUTE(SUBSTITUTE(SUBSTITUTE('Dashboard'!$B$7,"~","~~"),"*","~*"),"?","~?"))))</x:f>
        <x:v>0</x:v>
      </x:c>
      <x:c r="JD264" t="n">
        <x:f>IF('Calculations'!EM264="",0,IF('Dashboard'!$B$7="All",1,IF('Calculations'!HN264='Dashboard'!$B$7,1,0)+IFERROR(INDEX('Calculations'!$JC$13:$JC$512,MATCH('Calculations'!HE264,'Calculations'!$HF$13:$HF$512,0)),0)))</x:f>
        <x:v>0</x:v>
      </x:c>
      <x:c r="JE264" t="n">
        <x:f>IF(AND('Calculations'!EM264&lt;&gt;"",'Calculations'!$JJ$2&lt;&gt;"All",'Calculations'!$JJ$2&lt;&gt;"",'Calculations'!HF264='Calculations'!$JJ$2,'Calculations'!HL264=0,'Calculations'!JD264&gt;0),MAX('Calculations'!$JE$12:JE263)+1,0)</x:f>
        <x:v>0</x:v>
      </x:c>
      <x:c r="JF264" t="str">
        <x:f>IF('Calculations'!EM264="","",IFERROR(IF(INDEX(INDIRECT("'WCM Calibration Final'!$G$1:$G$2000"),'Calculations'!$EM264)="","",TRIM(INDEX(INDIRECT("'WCM Calibration Final'!$G$1:$G$2000"),'Calculations'!$EM264)&amp;"")),""))</x:f>
      </x:c>
      <x:c r="JQ264" t="n">
        <x:f>IF(OR('Calculations'!BM264=0,NOT('Calculations'!$AG$2),'Calculations'!$AG$8&gt;0),0,IF(OR('Dashboard'!$B$7="All",'Calculations'!HN264='Dashboard'!$B$7),IF('Calculations'!$JJ$2="All",1,IF(AND('Calculations'!HF264='Calculations'!$JJ$2,'Calculations'!HL264=0),1,0)),0))</x:f>
        <x:v>0</x:v>
      </x:c>
    </x:row>
    <x:row r="265">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t="n">
        <x:f>IF('Calculations'!$EM265="",0,IF(OR(IFERROR(INDEX(INDIRECT("'WCM Calibration Final'!$A$1:$A$2000"),'Calculations'!$EM265)&lt;&gt;"",FALSE),IFERROR(INDEX(INDIRECT("'WCM Calibration Final'!$B$1:$B$2000"),'Calculations'!$EM265)&lt;&gt;"",FALSE),IFERROR(INDEX(INDIRECT("'WCM Calibration Final'!$C$1:$C$2000"),'Calculations'!$EM265)&lt;&gt;"",FALSE)),1,0))</x:f>
        <x:v>0</x:v>
      </x:c>
      <x:c r="BN265" s="4" t="n">
        <x:f>IF(AND('Calculations'!BM265=1,'Calculations'!$AG$2,'Calculations'!$EN265=1),1,0)</x:f>
        <x:v>0</x:v>
      </x:c>
      <x:c r="BO265" s="4" t="str">
        <x:f>IF('Calculations'!BM265=0,"",IFERROR(IF(AND(VALUE(INDEX(INDIRECT("'WCM Calibration Final'!$K$1:$K$2000"),'Calculations'!$EM265))&gt;=1,VALUE(INDEX(INDIRECT("'WCM Calibration Final'!$K$1:$K$2000"),'Calculations'!$EM265))&lt;=4,MOD(VALUE(INDEX(INDIRECT("'WCM Calibration Final'!$K$1:$K$2000"),'Calculations'!$EM265)),1)=0),VALUE(INDEX(INDIRECT("'WCM Calibration Final'!$K$1:$K$2000"),'Calculations'!$EM265)),""),""))</x:f>
      </x:c>
      <x:c r="BP265" s="4" t="str">
        <x:f>IF('Calculations'!BM265=0,"",IFERROR(IF(AND(VALUE(INDEX(INDIRECT("'WCM Calibration Final'!$L$1:$L$2000"),'Calculations'!$EM265))&gt;=1,VALUE(INDEX(INDIRECT("'WCM Calibration Final'!$L$1:$L$2000"),'Calculations'!$EM265))&lt;=4,MOD(VALUE(INDEX(INDIRECT("'WCM Calibration Final'!$L$1:$L$2000"),'Calculations'!$EM265)),1)=0),VALUE(INDEX(INDIRECT("'WCM Calibration Final'!$L$1:$L$2000"),'Calculations'!$EM265)),""),""))</x:f>
      </x:c>
      <x:c r="BQ265" s="4"/>
      <x:c r="BR265" s="4"/>
      <x:c r="BS265" s="4"/>
      <x:c r="BT265" s="4" t="n">
        <x:f>IF(AND('Calculations'!BM265=1,ISNUMBER('Calculations'!BO265),ISNUMBER('Calculations'!BP265)),1,0)</x:f>
        <x:v>0</x:v>
      </x:c>
      <x:c r="BU265" s="4" t="str">
        <x:f>IF('Calculations'!BM265=0,"",'Calculations'!$EO265)</x:f>
      </x:c>
      <x:c r="BV265" s="4" t="str">
        <x:f>IF('Calculations'!BM265=0,"",IFERROR(IF(OR(INDEX(INDIRECT("'WCM Calibration Final'!$H$1:$H$2000"),'Calculations'!$EM265)="MANAGING DIRECTOR",INDEX(INDIRECT("'WCM Calibration Final'!$H$1:$H$2000"),'Calculations'!$EM265)="DIRECTOR",INDEX(INDIRECT("'WCM Calibration Final'!$H$1:$H$2000"),'Calculations'!$EM265)="SENIOR VICE PRESIDENT",INDEX(INDIRECT("'WCM Calibration Final'!$H$1:$H$2000"),'Calculations'!$EM265)="VICE PRESIDENT",INDEX(INDIRECT("'WCM Calibration Final'!$H$1:$H$2000"),'Calculations'!$EM265)="ASSISTANT VICE PRESIDENT",INDEX(INDIRECT("'WCM Calibration Final'!$H$1:$H$2000"),'Calculations'!$EM265)="OFFICER"),UPPER(INDEX(INDIRECT("'WCM Calibration Final'!$H$1:$H$2000"),'Calculations'!$EM265)),"Other"),"Other"))</x:f>
      </x:c>
      <x:c r="BW265" s="4"/>
      <x:c r="BX265" s="4"/>
      <x:c r="BY265" s="4" t="n">
        <x:f>IF(AND('Calculations'!BM265=1,'Calculations'!BU265&lt;&gt;"",COUNTIF('Calculations'!$BU$12:BU265,'Calculations'!BU265)=1),MAX('Calculations'!$BY$11:BY264)+1,0)</x:f>
        <x:v>0</x:v>
      </x:c>
      <x:c r="BZ265" s="4" t="str">
        <x:f>IF('Dashboard'!$E$67="What",'Calculations'!BO265,'Calculations'!BP265)</x:f>
      </x:c>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t="str">
        <x:f>IF(254&gt;MAX('Calculations'!$HI$13:$HI$512),"",INDEX('Calculations'!$HN$13:$HN$512,MATCH(254,'Calculations'!$HI$13:$HI$512,0)))</x:f>
      </x:c>
      <x:c r="DB265" s="4" t="str">
        <x:f>IF(254&gt;MAX('Calculations'!$HH$13:$HH$512),"",INDEX('Calculations'!$HJ$13:$HJ$512,MATCH(254,'Calculations'!$HH$13:$HH$512,0)))</x:f>
      </x:c>
      <x:c r="DC265" s="4" t="str">
        <x:f>IF(ROW()-11&gt;MAX('Calculations'!$BY$13:$BY$512),"",INDEX('Calculations'!$BU$13:$BU$512,MATCH(ROW()-11,'Calculations'!$BY$13:$BY$512,0)))</x:f>
      </x:c>
      <x:c r="DD265" s="4" t="str">
        <x:f>IF(254&gt;MAX('Calculations'!$IK$13:$IK$512),"",INDEX('Calculations'!$HK$13:$HK$512,MATCH(254,'Calculations'!$IK$13:$IK$512,0)))</x:f>
      </x:c>
      <x:c r="DE265" s="4" t="str">
        <x:f>'Calculations'!DC265</x:f>
      </x:c>
      <x:c r="DF265" s="4" t="str">
        <x:f>IF('Calculations'!DE265="","",COUNTIFS('Calculations'!$BN$13:$BN$512,1,'Calculations'!$BU$13:$BU$512,'Calculations'!DE265))</x:f>
      </x:c>
      <x:c r="DG265" s="4" t="str">
        <x:f>IF('Calculations'!DE265="","",COUNTIFS('Calculations'!$BN$13:$BN$512,1,'Calculations'!$BU$13:$BU$512,'Calculations'!DE265,'Calculations'!$BT$13:$BT$512,1))</x:f>
      </x:c>
      <x:c r="DH265" s="4" t="str">
        <x:f>IF('Calculations'!DE265="","",'Calculations'!DF265-'Calculations'!DG265)</x:f>
      </x:c>
      <x:c r="DI265" s="4" t="str">
        <x:f>IF(OR('Calculations'!DE265="",'Calculations'!DF265=0),"",'Calculations'!DG265/'Calculations'!DF265)</x:f>
      </x:c>
      <x:c r="DJ265" s="4" t="str">
        <x:f>IF('Calculations'!DE265="","",COUNTIFS('Calculations'!$BN$13:$BN$512,1,'Calculations'!$BU$13:$BU$512,'Calculations'!DE265,'Calculations'!$BT$13:$BT$512,1,'Calculations'!$EE$13:$EE$512,"High"))</x:f>
      </x:c>
      <x:c r="DK265" s="4" t="str">
        <x:f>IF('Calculations'!DE265="","",COUNTIFS('Calculations'!$BN$13:$BN$512,1,'Calculations'!$BU$13:$BU$512,'Calculations'!DE265,'Calculations'!$BT$13:$BT$512,1,'Calculations'!$EE$13:$EE$512,"Strong"))</x:f>
      </x:c>
      <x:c r="DL265" s="4" t="str">
        <x:f>IF('Calculations'!DE265="","",COUNTIFS('Calculations'!$BN$13:$BN$512,1,'Calculations'!$BU$13:$BU$512,'Calculations'!DE265,'Calculations'!$BT$13:$BT$512,1,'Calculations'!$EE$13:$EE$512,"Solid"))</x:f>
      </x:c>
      <x:c r="DM265" s="4" t="str">
        <x:f>IF('Calculations'!DE265="","",COUNTIFS('Calculations'!$BN$13:$BN$512,1,'Calculations'!$BU$13:$BU$512,'Calculations'!DE265,'Calculations'!$BT$13:$BT$512,1,'Calculations'!$EE$13:$EE$512,"Low"))</x:f>
      </x:c>
      <x:c r="DN265" s="4" t="str">
        <x:f>IF('Calculations'!DE265="","",COUNTIFS('Calculations'!$BN$13:$BN$512,1,'Calculations'!$BU$13:$BU$512,'Calculations'!DE265,'Calculations'!$EP$13:$EP$512,1))</x:f>
      </x:c>
      <x:c r="DO265" s="4" t="str">
        <x:f>IF(OR('Calculations'!DE265="",'Calculations'!DG265=0),"",('Calculations'!DJ265+'Calculations'!DK265)/'Calculations'!DG265)</x:f>
      </x:c>
      <x:c r="DP265" s="4" t="n">
        <x:f>IF(AND('Calculations'!DE265&lt;&gt;"",'Calculations'!DF265&gt;0),COUNTIF('Calculations'!$DF$12:DF265,"&gt;0"),0)</x:f>
        <x:v>0</x:v>
      </x:c>
      <x:c r="DQ265" s="4" t="str">
        <x:f>IF(254&gt;MAX('Calculations'!$HH$13:$HH$512),"",INDEX('Calculations'!$HF$13:$HF$512,MATCH(254,'Calculations'!$HH$13:$HH$512,0)))</x:f>
      </x:c>
      <x:c r="DR265" s="4" t="str">
        <x:f>IF(254&gt;MAX('Calculations'!$IK$13:$IK$512),"",INDEX('Calculations'!$HE$13:$HE$512,MATCH(254,'Calculations'!$IK$13:$IK$512,0)))</x:f>
      </x:c>
      <x:c r="DS265" s="4"/>
      <x:c r="DT265" s="4"/>
      <x:c r="DU265" s="4"/>
      <x:c r="DV265" s="4"/>
      <x:c r="DW265" s="4"/>
      <x:c r="DX265" s="4"/>
      <x:c r="DY265" s="4"/>
      <x:c r="DZ265" s="4"/>
      <x:c r="EA265" s="4"/>
      <x:c r="EB265" s="4"/>
      <x:c r="EC265" s="4"/>
      <x:c r="ED265" s="4"/>
      <x:c r="EE265" s="4" t="str">
        <x:f>IF('Calculations'!BT265=0,"Not Rated",IF(OR('Calculations'!BO265&gt;=4,'Calculations'!BP265&gt;=4),"Low",IF('Calculations'!BO265+'Calculations'!BP265&lt;=3,"High",IF('Calculations'!BO265+'Calculations'!BP265&lt;=4,"Strong","Solid"))))</x:f>
        <x:v>Not Rated</x:v>
      </x:c>
      <x:c r="EF265" s="4"/>
      <x:c r="EG265" s="4"/>
      <x:c r="EH265" s="4"/>
      <x:c r="EI265" s="4"/>
      <x:c r="EJ265" s="4"/>
      <x:c r="EK265" s="4"/>
      <x:c r="EL265" s="4"/>
      <x:c r="EM265" s="4" t="str">
        <x:f>IF(253&gt;'Calculations'!$JB$2000,"",INDEX('Calculations'!$JA$12:$JA$2000,MATCH(253,'Calculations'!$JB$12:$JB$2000,0)))</x:f>
      </x:c>
      <x:c r="EN265" s="4" t="n">
        <x:f>IF(OR('Calculations'!EM265="",'Calculations'!$AG$8&gt;0,AND('Calculations'!$EF$2&lt;&gt;"All",'Calculations'!HE265='Calculations'!$EF$2),AND('Calculations'!$EF$3&lt;&gt;"All",'Calculations'!HE265='Calculations'!$EF$3)),0,IF(OR('Dashboard'!$B$7="All",'Calculations'!HN265='Dashboard'!$B$7),IF('Calculations'!$EF$2="All",1,IF('Calculations'!HL265&gt;0,0,IF(COUNTIF('Calculations'!HO265:II265,"="&amp;SUBSTITUTE(SUBSTITUTE(SUBSTITUTE('Calculations'!$EF$2,"~","~~"),"*","~*"),"?","~?"))=0,0,IF('Calculations'!$EF$3="All",1,IF(COUNTIF('Calculations'!HO265:II265,"="&amp;SUBSTITUTE(SUBSTITUTE(SUBSTITUTE('Calculations'!$EF$3,"~","~~"),"*","~*"),"?","~?"))&gt;0,1,0))))),0))</x:f>
        <x:v>0</x:v>
      </x:c>
      <x:c r="EO265" s="4" t="str">
        <x:f>IF('Calculations'!IJ265="","",IF('Calculations'!IJ265="!UNRESOLVED","Unresolved hierarchy",IFERROR(INDEX('Calculations'!$HK$13:$HK$512,MATCH('Calculations'!IJ265,'Calculations'!$HE$13:$HE$512,0)),IFERROR(INDEX('Calculations'!$HJ$13:$HJ$512,MATCH('Calculations'!IJ265,'Calculations'!$HF$13:$HF$512,0)),'Calculations'!IJ265))))</x:f>
      </x:c>
      <x:c r="EP265" s="4" t="n">
        <x:f>IF(AND('Calculations'!EM265&lt;&gt;"",'Calculations'!HF265='Calculations'!IJ265),1,0)</x:f>
        <x:v>0</x:v>
      </x:c>
      <x:c r="EQ265" s="4"/>
      <x:c r="ER265" s="4"/>
      <x:c r="ES265" s="4"/>
      <x:c r="ET265" s="4"/>
      <x:c r="EU265" s="4"/>
      <x:c r="EV265" s="4"/>
      <x:c r="EW265" s="4"/>
      <x:c r="EX265" s="4"/>
      <x:c r="EY265" s="4"/>
      <x:c r="EZ265" s="4"/>
      <x:c r="FA265" s="4"/>
      <x:c r="FB265" s="4"/>
      <x:c r="FC265" s="4"/>
      <x:c r="FD265" s="4"/>
      <x:c r="FE265" s="4"/>
      <x:c r="FF265" s="4"/>
      <x:c r="FG265" s="4"/>
      <x:c r="FH265" s="4"/>
      <x:c r="FI265" s="4"/>
      <x:c r="FJ265" s="4"/>
      <x:c r="FK265" s="4"/>
      <x:c r="FL265" s="4"/>
      <x:c r="FM265" s="4"/>
      <x:c r="FN265" s="4"/>
      <x:c r="FO265" s="4"/>
      <x:c r="HE265" t="str">
        <x:f>IF('Calculations'!EM265="","",IF(IFERROR(IF(INDEX(INDIRECT("'WCM Calibration Final'!$A$1:$A$2000"),'Calculations'!$EM265)="","",TRIM(INDEX(INDIRECT("'WCM Calibration Final'!$A$1:$A$2000"),'Calculations'!$EM265)&amp;"")),"")&lt;&gt;"","G:"&amp;IFERROR(TEXT(1*INDEX(INDIRECT("'WCM Calibration Final'!$A$1:$A$2000"),'Calculations'!$EM265),"0"),UPPER(IFERROR(IF(INDEX(INDIRECT("'WCM Calibration Final'!$A$1:$A$2000"),'Calculations'!$EM265)="","",TRIM(INDEX(INDIRECT("'WCM Calibration Final'!$A$1:$A$2000"),'Calculations'!$EM265)&amp;"")),""))),IF(IFERROR(IF(INDEX(INDIRECT("'WCM Calibration Final'!$C$1:$C$2000"),'Calculations'!$EM265)="","",TRIM(INDEX(INDIRECT("'WCM Calibration Final'!$C$1:$C$2000"),'Calculations'!$EM265)&amp;"")),"")&lt;&gt;"","S:"&amp;UPPER(IFERROR(IF(INDEX(INDIRECT("'WCM Calibration Final'!$C$1:$C$2000"),'Calculations'!$EM265)="","",TRIM(INDEX(INDIRECT("'WCM Calibration Final'!$C$1:$C$2000"),'Calculations'!$EM265)&amp;"")),"")),"R:"&amp;'Calculations'!EM265)))</x:f>
      </x:c>
      <x:c r="HF265" t="str">
        <x:f>IF('Calculations'!EM265="","",IF(IFERROR(IF(INDEX(INDIRECT("'WCM Calibration Final'!$D$1:$D$2000"),'Calculations'!$EM265)="","",TRIM(INDEX(INDIRECT("'WCM Calibration Final'!$D$1:$D$2000"),'Calculations'!$EM265)&amp;"")),"")&lt;&gt;"","G:"&amp;IFERROR(TEXT(1*INDEX(INDIRECT("'WCM Calibration Final'!$D$1:$D$2000"),'Calculations'!$EM265),"0"),UPPER(IFERROR(IF(INDEX(INDIRECT("'WCM Calibration Final'!$D$1:$D$2000"),'Calculations'!$EM265)="","",TRIM(INDEX(INDIRECT("'WCM Calibration Final'!$D$1:$D$2000"),'Calculations'!$EM265)&amp;"")),""))),IF(IFERROR(IF(INDEX(INDIRECT("'WCM Calibration Final'!$E$1:$E$2000"),'Calculations'!$EM265)="","",TRIM(INDEX(INDIRECT("'WCM Calibration Final'!$E$1:$E$2000"),'Calculations'!$EM265)&amp;"")),"")="","",IF(COUNTIF('Calculations'!$HG$13:$HG$512,"="&amp;SUBSTITUTE(SUBSTITUTE(SUBSTITUTE(IFERROR(IF(INDEX(INDIRECT("'WCM Calibration Final'!$E$1:$E$2000"),'Calculations'!$EM265)="","",TRIM(INDEX(INDIRECT("'WCM Calibration Final'!$E$1:$E$2000"),'Calculations'!$EM265)&amp;"")),""),"~","~~"),"*","~*"),"?","~?"))=1,INDEX('Calculations'!$HE$13:$HE$512,MATCH(IFERROR(IF(INDEX(INDIRECT("'WCM Calibration Final'!$E$1:$E$2000"),'Calculations'!$EM265)="","",TRIM(INDEX(INDIRECT("'WCM Calibration Final'!$E$1:$E$2000"),'Calculations'!$EM265)&amp;"")),""),'Calculations'!$HG$13:$HG$512,0)),IF(COUNTIF('Calculations'!$HG$13:$HG$512,"="&amp;SUBSTITUTE(SUBSTITUTE(SUBSTITUTE(IFERROR(IF(INDEX(INDIRECT("'WCM Calibration Final'!$E$1:$E$2000"),'Calculations'!$EM265)="","",TRIM(INDEX(INDIRECT("'WCM Calibration Final'!$E$1:$E$2000"),'Calculations'!$EM265)&amp;"")),""),"~","~~"),"*","~*"),"?","~?"))&gt;1,"!AMBIG","X:"&amp;IFERROR(IF(INDEX(INDIRECT("'WCM Calibration Final'!$E$1:$E$2000"),'Calculations'!$EM265)="","",TRIM(INDEX(INDIRECT("'WCM Calibration Final'!$E$1:$E$2000"),'Calculations'!$EM265)&amp;"")),""))))))</x:f>
      </x:c>
      <x:c r="HG265" t="str">
        <x:f>IF('Calculations'!EM265="","",IFERROR(IF(INDEX(INDIRECT("'WCM Calibration Final'!$B$1:$B$2000"),'Calculations'!$EM265)="","",TRIM(INDEX(INDIRECT("'WCM Calibration Final'!$B$1:$B$2000"),'Calculations'!$EM265)&amp;"")),""))</x:f>
      </x:c>
      <x:c r="HH265" t="n">
        <x:f>IF(AND('Calculations'!JC265&gt;0,COUNTIF('Calculations'!$HF$12:HF265,"="&amp;SUBSTITUTE(SUBSTITUTE(SUBSTITUTE('Calculations'!HF265,"~","~~"),"*","~*"),"?","~?"))=1),MAX('Calculations'!$HH$12:HH264)+1,0)</x:f>
        <x:v>0</x:v>
      </x:c>
      <x:c r="HI265" t="n">
        <x:f>IF(AND('Calculations'!HN265&lt;&gt;"",COUNTIF('Calculations'!$HN$12:HN265,"="&amp;SUBSTITUTE(SUBSTITUTE(SUBSTITUTE('Calculations'!HN265,"~","~~"),"*","~*"),"?","~?"))=1),MAX('Calculations'!$HI$12:HI264)+1,0)</x:f>
        <x:v>0</x:v>
      </x:c>
      <x:c r="HJ265" t="str">
        <x:f>IF('Calculations'!HF265="","",IF(COUNTIF('Calculations'!$HE$13:$HE$512,"="&amp;SUBSTITUTE(SUBSTITUTE(SUBSTITUTE('Calculations'!HF265,"~","~~"),"*","~*"),"?","~?"))=1,INDEX('Calculations'!$HK$13:$HK$512,MATCH('Calculations'!HF265,'Calculations'!$HE$13:$HE$512,0)),IFERROR(IF(INDEX(INDIRECT("'WCM Calibration Final'!$E$1:$E$2000"),'Calculations'!$EM265)="","",TRIM(INDEX(INDIRECT("'WCM Calibration Final'!$E$1:$E$2000"),'Calculations'!$EM265)&amp;"")),"")&amp;" ["&amp;'Calculations'!HF265&amp;"]"))</x:f>
      </x:c>
      <x:c r="HK265" t="str">
        <x:f>IF('Calculations'!EM265="","",'Calculations'!HG265&amp;" ["&amp;'Calculations'!HE265&amp;"]")</x:f>
      </x:c>
      <x:c r="HL265" t="n">
        <x:f>IF('Calculations'!EM265="",0,IF(OR('Calculations'!II265&lt;&gt;"",COUNTIF('Calculations'!$HE$13:$HE$512,"="&amp;SUBSTITUTE(SUBSTITUTE(SUBSTITUTE('Calculations'!HE265,"~","~~"),"*","~*"),"?","~?"))&gt;1),1,0))</x:f>
        <x:v>0</x:v>
      </x:c>
      <x:c r="HM265" t="str">
        <x:f>IF('Calculations'!EM265="","",IF('Calculations'!HL265=1,"!UNRESOLVED",IF('Calculations'!IH265&lt;&gt;"",'Calculations'!IH265,IF('Calculations'!IG265&lt;&gt;"",'Calculations'!IG265,IF('Calculations'!IF265&lt;&gt;"",'Calculations'!IF265,IF('Calculations'!IE265&lt;&gt;"",'Calculations'!IE265,IF('Calculations'!ID265&lt;&gt;"",'Calculations'!ID265,IF('Calculations'!IC265&lt;&gt;"",'Calculations'!IC265,IF('Calculations'!IB265&lt;&gt;"",'Calculations'!IB265,IF('Calculations'!IA265&lt;&gt;"",'Calculations'!IA265,IF('Calculations'!HZ265&lt;&gt;"",'Calculations'!HZ265,IF('Calculations'!HY265&lt;&gt;"",'Calculations'!HY265,IF('Calculations'!HX265&lt;&gt;"",'Calculations'!HX265,IF('Calculations'!HW265&lt;&gt;"",'Calculations'!HW265,IF('Calculations'!HV265&lt;&gt;"",'Calculations'!HV265,IF('Calculations'!HU265&lt;&gt;"",'Calculations'!HU265,IF('Calculations'!HT265&lt;&gt;"",'Calculations'!HT265,IF('Calculations'!HS265&lt;&gt;"",'Calculations'!HS265,IF('Calculations'!HR265&lt;&gt;"",'Calculations'!HR265,IF('Calculations'!HQ265&lt;&gt;"",'Calculations'!HQ265,IF('Calculations'!HP265&lt;&gt;"",'Calculations'!HP265,IF('Calculations'!HO265&lt;&gt;"",'Calculations'!HO265,'Calculations'!HE265))))))))))))))))))))))</x:f>
      </x:c>
      <x:c r="HN265" t="str">
        <x:f>IF('Calculations'!EM265="","",IF(IFERROR(IF(INDEX(INDIRECT("'WCM Calibration Final'!$F$1:$F$2000"),'Calculations'!$EM265)="","",TRIM(INDEX(INDIRECT("'WCM Calibration Final'!$F$1:$F$2000"),'Calculations'!$EM265)&amp;"")),"")="","(Blank)",IFERROR(IF(INDEX(INDIRECT("'WCM Calibration Final'!$F$1:$F$2000"),'Calculations'!$EM265)="","",TRIM(INDEX(INDIRECT("'WCM Calibration Final'!$F$1:$F$2000"),'Calculations'!$EM265)&amp;"")),"")))</x:f>
      </x:c>
      <x:c r="HO265" t="str">
        <x:f>'Calculations'!HF265</x:f>
      </x:c>
      <x:c r="HP265" t="str">
        <x:f>IF('Calculations'!HO265="","",IF('Calculations'!HO265="!AMBIG","!AMBIG",IF(COUNTIF('Calculations'!$HE$13:$HE$512,"="&amp;SUBSTITUTE(SUBSTITUTE(SUBSTITUTE('Calculations'!HO265,"~","~~"),"*","~*"),"?","~?"))&gt;1,"!AMBIG",IFERROR(INDEX('Calculations'!$HF$13:$HF$512,MATCH('Calculations'!HO265,'Calculations'!$HE$13:$HE$512,0)),""))))</x:f>
      </x:c>
      <x:c r="HQ265" t="str">
        <x:f>IF('Calculations'!HP265="","",IF('Calculations'!HP265="!AMBIG","!AMBIG",IF(COUNTIF('Calculations'!$HE$13:$HE$512,"="&amp;SUBSTITUTE(SUBSTITUTE(SUBSTITUTE('Calculations'!HP265,"~","~~"),"*","~*"),"?","~?"))&gt;1,"!AMBIG",IFERROR(INDEX('Calculations'!$HF$13:$HF$512,MATCH('Calculations'!HP265,'Calculations'!$HE$13:$HE$512,0)),""))))</x:f>
      </x:c>
      <x:c r="HR265" t="str">
        <x:f>IF('Calculations'!HQ265="","",IF('Calculations'!HQ265="!AMBIG","!AMBIG",IF(COUNTIF('Calculations'!$HE$13:$HE$512,"="&amp;SUBSTITUTE(SUBSTITUTE(SUBSTITUTE('Calculations'!HQ265,"~","~~"),"*","~*"),"?","~?"))&gt;1,"!AMBIG",IFERROR(INDEX('Calculations'!$HF$13:$HF$512,MATCH('Calculations'!HQ265,'Calculations'!$HE$13:$HE$512,0)),""))))</x:f>
      </x:c>
      <x:c r="HS265" t="str">
        <x:f>IF('Calculations'!HR265="","",IF('Calculations'!HR265="!AMBIG","!AMBIG",IF(COUNTIF('Calculations'!$HE$13:$HE$512,"="&amp;SUBSTITUTE(SUBSTITUTE(SUBSTITUTE('Calculations'!HR265,"~","~~"),"*","~*"),"?","~?"))&gt;1,"!AMBIG",IFERROR(INDEX('Calculations'!$HF$13:$HF$512,MATCH('Calculations'!HR265,'Calculations'!$HE$13:$HE$512,0)),""))))</x:f>
      </x:c>
      <x:c r="HT265" t="str">
        <x:f>IF('Calculations'!HS265="","",IF('Calculations'!HS265="!AMBIG","!AMBIG",IF(COUNTIF('Calculations'!$HE$13:$HE$512,"="&amp;SUBSTITUTE(SUBSTITUTE(SUBSTITUTE('Calculations'!HS265,"~","~~"),"*","~*"),"?","~?"))&gt;1,"!AMBIG",IFERROR(INDEX('Calculations'!$HF$13:$HF$512,MATCH('Calculations'!HS265,'Calculations'!$HE$13:$HE$512,0)),""))))</x:f>
      </x:c>
      <x:c r="HU265" t="str">
        <x:f>IF('Calculations'!HT265="","",IF('Calculations'!HT265="!AMBIG","!AMBIG",IF(COUNTIF('Calculations'!$HE$13:$HE$512,"="&amp;SUBSTITUTE(SUBSTITUTE(SUBSTITUTE('Calculations'!HT265,"~","~~"),"*","~*"),"?","~?"))&gt;1,"!AMBIG",IFERROR(INDEX('Calculations'!$HF$13:$HF$512,MATCH('Calculations'!HT265,'Calculations'!$HE$13:$HE$512,0)),""))))</x:f>
      </x:c>
      <x:c r="HV265" t="str">
        <x:f>IF('Calculations'!HU265="","",IF('Calculations'!HU265="!AMBIG","!AMBIG",IF(COUNTIF('Calculations'!$HE$13:$HE$512,"="&amp;SUBSTITUTE(SUBSTITUTE(SUBSTITUTE('Calculations'!HU265,"~","~~"),"*","~*"),"?","~?"))&gt;1,"!AMBIG",IFERROR(INDEX('Calculations'!$HF$13:$HF$512,MATCH('Calculations'!HU265,'Calculations'!$HE$13:$HE$512,0)),""))))</x:f>
      </x:c>
      <x:c r="HW265" t="str">
        <x:f>IF('Calculations'!HV265="","",IF('Calculations'!HV265="!AMBIG","!AMBIG",IF(COUNTIF('Calculations'!$HE$13:$HE$512,"="&amp;SUBSTITUTE(SUBSTITUTE(SUBSTITUTE('Calculations'!HV265,"~","~~"),"*","~*"),"?","~?"))&gt;1,"!AMBIG",IFERROR(INDEX('Calculations'!$HF$13:$HF$512,MATCH('Calculations'!HV265,'Calculations'!$HE$13:$HE$512,0)),""))))</x:f>
      </x:c>
      <x:c r="HX265" t="str">
        <x:f>IF('Calculations'!HW265="","",IF('Calculations'!HW265="!AMBIG","!AMBIG",IF(COUNTIF('Calculations'!$HE$13:$HE$512,"="&amp;SUBSTITUTE(SUBSTITUTE(SUBSTITUTE('Calculations'!HW265,"~","~~"),"*","~*"),"?","~?"))&gt;1,"!AMBIG",IFERROR(INDEX('Calculations'!$HF$13:$HF$512,MATCH('Calculations'!HW265,'Calculations'!$HE$13:$HE$512,0)),""))))</x:f>
      </x:c>
      <x:c r="HY265" t="str">
        <x:f>IF('Calculations'!HX265="","",IF('Calculations'!HX265="!AMBIG","!AMBIG",IF(COUNTIF('Calculations'!$HE$13:$HE$512,"="&amp;SUBSTITUTE(SUBSTITUTE(SUBSTITUTE('Calculations'!HX265,"~","~~"),"*","~*"),"?","~?"))&gt;1,"!AMBIG",IFERROR(INDEX('Calculations'!$HF$13:$HF$512,MATCH('Calculations'!HX265,'Calculations'!$HE$13:$HE$512,0)),""))))</x:f>
      </x:c>
      <x:c r="HZ265" t="str">
        <x:f>IF('Calculations'!HY265="","",IF('Calculations'!HY265="!AMBIG","!AMBIG",IF(COUNTIF('Calculations'!$HE$13:$HE$512,"="&amp;SUBSTITUTE(SUBSTITUTE(SUBSTITUTE('Calculations'!HY265,"~","~~"),"*","~*"),"?","~?"))&gt;1,"!AMBIG",IFERROR(INDEX('Calculations'!$HF$13:$HF$512,MATCH('Calculations'!HY265,'Calculations'!$HE$13:$HE$512,0)),""))))</x:f>
      </x:c>
      <x:c r="IA265" t="str">
        <x:f>IF('Calculations'!HZ265="","",IF('Calculations'!HZ265="!AMBIG","!AMBIG",IF(COUNTIF('Calculations'!$HE$13:$HE$512,"="&amp;SUBSTITUTE(SUBSTITUTE(SUBSTITUTE('Calculations'!HZ265,"~","~~"),"*","~*"),"?","~?"))&gt;1,"!AMBIG",IFERROR(INDEX('Calculations'!$HF$13:$HF$512,MATCH('Calculations'!HZ265,'Calculations'!$HE$13:$HE$512,0)),""))))</x:f>
      </x:c>
      <x:c r="IB265" t="str">
        <x:f>IF('Calculations'!IA265="","",IF('Calculations'!IA265="!AMBIG","!AMBIG",IF(COUNTIF('Calculations'!$HE$13:$HE$512,"="&amp;SUBSTITUTE(SUBSTITUTE(SUBSTITUTE('Calculations'!IA265,"~","~~"),"*","~*"),"?","~?"))&gt;1,"!AMBIG",IFERROR(INDEX('Calculations'!$HF$13:$HF$512,MATCH('Calculations'!IA265,'Calculations'!$HE$13:$HE$512,0)),""))))</x:f>
      </x:c>
      <x:c r="IC265" t="str">
        <x:f>IF('Calculations'!IB265="","",IF('Calculations'!IB265="!AMBIG","!AMBIG",IF(COUNTIF('Calculations'!$HE$13:$HE$512,"="&amp;SUBSTITUTE(SUBSTITUTE(SUBSTITUTE('Calculations'!IB265,"~","~~"),"*","~*"),"?","~?"))&gt;1,"!AMBIG",IFERROR(INDEX('Calculations'!$HF$13:$HF$512,MATCH('Calculations'!IB265,'Calculations'!$HE$13:$HE$512,0)),""))))</x:f>
      </x:c>
      <x:c r="ID265" t="str">
        <x:f>IF('Calculations'!IC265="","",IF('Calculations'!IC265="!AMBIG","!AMBIG",IF(COUNTIF('Calculations'!$HE$13:$HE$512,"="&amp;SUBSTITUTE(SUBSTITUTE(SUBSTITUTE('Calculations'!IC265,"~","~~"),"*","~*"),"?","~?"))&gt;1,"!AMBIG",IFERROR(INDEX('Calculations'!$HF$13:$HF$512,MATCH('Calculations'!IC265,'Calculations'!$HE$13:$HE$512,0)),""))))</x:f>
      </x:c>
      <x:c r="IE265" t="str">
        <x:f>IF('Calculations'!ID265="","",IF('Calculations'!ID265="!AMBIG","!AMBIG",IF(COUNTIF('Calculations'!$HE$13:$HE$512,"="&amp;SUBSTITUTE(SUBSTITUTE(SUBSTITUTE('Calculations'!ID265,"~","~~"),"*","~*"),"?","~?"))&gt;1,"!AMBIG",IFERROR(INDEX('Calculations'!$HF$13:$HF$512,MATCH('Calculations'!ID265,'Calculations'!$HE$13:$HE$512,0)),""))))</x:f>
      </x:c>
      <x:c r="IF265" t="str">
        <x:f>IF('Calculations'!IE265="","",IF('Calculations'!IE265="!AMBIG","!AMBIG",IF(COUNTIF('Calculations'!$HE$13:$HE$512,"="&amp;SUBSTITUTE(SUBSTITUTE(SUBSTITUTE('Calculations'!IE265,"~","~~"),"*","~*"),"?","~?"))&gt;1,"!AMBIG",IFERROR(INDEX('Calculations'!$HF$13:$HF$512,MATCH('Calculations'!IE265,'Calculations'!$HE$13:$HE$512,0)),""))))</x:f>
      </x:c>
      <x:c r="IG265" t="str">
        <x:f>IF('Calculations'!IF265="","",IF('Calculations'!IF265="!AMBIG","!AMBIG",IF(COUNTIF('Calculations'!$HE$13:$HE$512,"="&amp;SUBSTITUTE(SUBSTITUTE(SUBSTITUTE('Calculations'!IF265,"~","~~"),"*","~*"),"?","~?"))&gt;1,"!AMBIG",IFERROR(INDEX('Calculations'!$HF$13:$HF$512,MATCH('Calculations'!IF265,'Calculations'!$HE$13:$HE$512,0)),""))))</x:f>
      </x:c>
      <x:c r="IH265" t="str">
        <x:f>IF('Calculations'!IG265="","",IF('Calculations'!IG265="!AMBIG","!AMBIG",IF(COUNTIF('Calculations'!$HE$13:$HE$512,"="&amp;SUBSTITUTE(SUBSTITUTE(SUBSTITUTE('Calculations'!IG265,"~","~~"),"*","~*"),"?","~?"))&gt;1,"!AMBIG",IFERROR(INDEX('Calculations'!$HF$13:$HF$512,MATCH('Calculations'!IG265,'Calculations'!$HE$13:$HE$512,0)),""))))</x:f>
      </x:c>
      <x:c r="II265" t="str">
        <x:f>IF('Calculations'!IH265="","",IF('Calculations'!IH265="!AMBIG","!AMBIG",IF(COUNTIF('Calculations'!$HE$13:$HE$512,"="&amp;SUBSTITUTE(SUBSTITUTE(SUBSTITUTE('Calculations'!IH265,"~","~~"),"*","~*"),"?","~?"))&gt;1,"!AMBIG",IFERROR(INDEX('Calculations'!$HF$13:$HF$512,MATCH('Calculations'!IH265,'Calculations'!$HE$13:$HE$512,0)),""))))</x:f>
      </x:c>
      <x:c r="IJ265" t="str">
        <x:f>IF('Calculations'!EM265="","",IF('Calculations'!$EF$2="All",'Calculations'!HM265,IF('Calculations'!HL265=1,"",IFERROR(IF(MATCH('Calculations'!$EF$2,'Calculations'!HO265:II265,0)=1,'Calculations'!HE265,INDEX('Calculations'!HO265:II265,1,MATCH('Calculations'!$EF$2,'Calculations'!HO265:II265,0)-1)),""))))</x:f>
      </x:c>
      <x:c r="IK265" t="n">
        <x:f>IF(AND('Calculations'!EM265&lt;&gt;"",'Calculations'!$EF$2&lt;&gt;"All",'Calculations'!HF265='Calculations'!$EF$2,'Calculations'!HL265=0,'Calculations'!JD265&gt;0),MAX('Calculations'!$IK$12:IK264)+1,0)</x:f>
        <x:v>0</x:v>
      </x:c>
      <x:c r="JA265" t="n">
        <x:f>IF(OR(IFERROR(INDIRECT("'WCM Calibration Final'!$A$265")&lt;&gt;"",FALSE),IFERROR(INDIRECT("'WCM Calibration Final'!$B$265")&lt;&gt;"",FALSE),IFERROR(INDIRECT("'WCM Calibration Final'!$C$265")&lt;&gt;"",FALSE)),265,0)</x:f>
        <x:v>0</x:v>
      </x:c>
      <x:c r="JB265" t="n">
        <x:f>'Calculations'!JB264+IF('Calculations'!JA265&gt;0,1,0)</x:f>
        <x:v>0</x:v>
      </x:c>
      <x:c r="JC265" t="n">
        <x:f>IF(OR('Calculations'!HF265="",'Calculations'!HF265="!AMBIG"),0,IF('Dashboard'!$B$7="All",1,COUNTIFS('Calculations'!$HO$13:$HO$512,"="&amp;SUBSTITUTE(SUBSTITUTE(SUBSTITUTE('Calculations'!HF265,"~","~~"),"*","~*"),"?","~?"),'Calculations'!$HN$13:$HN$512,"="&amp;SUBSTITUTE(SUBSTITUTE(SUBSTITUTE('Dashboard'!$B$7,"~","~~"),"*","~*"),"?","~?"))+COUNTIFS('Calculations'!$HP$13:$HP$512,"="&amp;SUBSTITUTE(SUBSTITUTE(SUBSTITUTE('Calculations'!HF265,"~","~~"),"*","~*"),"?","~?"),'Calculations'!$HN$13:$HN$512,"="&amp;SUBSTITUTE(SUBSTITUTE(SUBSTITUTE('Dashboard'!$B$7,"~","~~"),"*","~*"),"?","~?"))+COUNTIFS('Calculations'!$HQ$13:$HQ$512,"="&amp;SUBSTITUTE(SUBSTITUTE(SUBSTITUTE('Calculations'!HF265,"~","~~"),"*","~*"),"?","~?"),'Calculations'!$HN$13:$HN$512,"="&amp;SUBSTITUTE(SUBSTITUTE(SUBSTITUTE('Dashboard'!$B$7,"~","~~"),"*","~*"),"?","~?"))+COUNTIFS('Calculations'!$HR$13:$HR$512,"="&amp;SUBSTITUTE(SUBSTITUTE(SUBSTITUTE('Calculations'!HF265,"~","~~"),"*","~*"),"?","~?"),'Calculations'!$HN$13:$HN$512,"="&amp;SUBSTITUTE(SUBSTITUTE(SUBSTITUTE('Dashboard'!$B$7,"~","~~"),"*","~*"),"?","~?"))+COUNTIFS('Calculations'!$HS$13:$HS$512,"="&amp;SUBSTITUTE(SUBSTITUTE(SUBSTITUTE('Calculations'!HF265,"~","~~"),"*","~*"),"?","~?"),'Calculations'!$HN$13:$HN$512,"="&amp;SUBSTITUTE(SUBSTITUTE(SUBSTITUTE('Dashboard'!$B$7,"~","~~"),"*","~*"),"?","~?"))+COUNTIFS('Calculations'!$HT$13:$HT$512,"="&amp;SUBSTITUTE(SUBSTITUTE(SUBSTITUTE('Calculations'!HF265,"~","~~"),"*","~*"),"?","~?"),'Calculations'!$HN$13:$HN$512,"="&amp;SUBSTITUTE(SUBSTITUTE(SUBSTITUTE('Dashboard'!$B$7,"~","~~"),"*","~*"),"?","~?"))+COUNTIFS('Calculations'!$HU$13:$HU$512,"="&amp;SUBSTITUTE(SUBSTITUTE(SUBSTITUTE('Calculations'!HF265,"~","~~"),"*","~*"),"?","~?"),'Calculations'!$HN$13:$HN$512,"="&amp;SUBSTITUTE(SUBSTITUTE(SUBSTITUTE('Dashboard'!$B$7,"~","~~"),"*","~*"),"?","~?"))+COUNTIFS('Calculations'!$HV$13:$HV$512,"="&amp;SUBSTITUTE(SUBSTITUTE(SUBSTITUTE('Calculations'!HF265,"~","~~"),"*","~*"),"?","~?"),'Calculations'!$HN$13:$HN$512,"="&amp;SUBSTITUTE(SUBSTITUTE(SUBSTITUTE('Dashboard'!$B$7,"~","~~"),"*","~*"),"?","~?"))+COUNTIFS('Calculations'!$HW$13:$HW$512,"="&amp;SUBSTITUTE(SUBSTITUTE(SUBSTITUTE('Calculations'!HF265,"~","~~"),"*","~*"),"?","~?"),'Calculations'!$HN$13:$HN$512,"="&amp;SUBSTITUTE(SUBSTITUTE(SUBSTITUTE('Dashboard'!$B$7,"~","~~"),"*","~*"),"?","~?"))+COUNTIFS('Calculations'!$HX$13:$HX$512,"="&amp;SUBSTITUTE(SUBSTITUTE(SUBSTITUTE('Calculations'!HF265,"~","~~"),"*","~*"),"?","~?"),'Calculations'!$HN$13:$HN$512,"="&amp;SUBSTITUTE(SUBSTITUTE(SUBSTITUTE('Dashboard'!$B$7,"~","~~"),"*","~*"),"?","~?"))+COUNTIFS('Calculations'!$HY$13:$HY$512,"="&amp;SUBSTITUTE(SUBSTITUTE(SUBSTITUTE('Calculations'!HF265,"~","~~"),"*","~*"),"?","~?"),'Calculations'!$HN$13:$HN$512,"="&amp;SUBSTITUTE(SUBSTITUTE(SUBSTITUTE('Dashboard'!$B$7,"~","~~"),"*","~*"),"?","~?"))+COUNTIFS('Calculations'!$HZ$13:$HZ$512,"="&amp;SUBSTITUTE(SUBSTITUTE(SUBSTITUTE('Calculations'!HF265,"~","~~"),"*","~*"),"?","~?"),'Calculations'!$HN$13:$HN$512,"="&amp;SUBSTITUTE(SUBSTITUTE(SUBSTITUTE('Dashboard'!$B$7,"~","~~"),"*","~*"),"?","~?"))+COUNTIFS('Calculations'!$IA$13:$IA$512,"="&amp;SUBSTITUTE(SUBSTITUTE(SUBSTITUTE('Calculations'!HF265,"~","~~"),"*","~*"),"?","~?"),'Calculations'!$HN$13:$HN$512,"="&amp;SUBSTITUTE(SUBSTITUTE(SUBSTITUTE('Dashboard'!$B$7,"~","~~"),"*","~*"),"?","~?"))+COUNTIFS('Calculations'!$IB$13:$IB$512,"="&amp;SUBSTITUTE(SUBSTITUTE(SUBSTITUTE('Calculations'!HF265,"~","~~"),"*","~*"),"?","~?"),'Calculations'!$HN$13:$HN$512,"="&amp;SUBSTITUTE(SUBSTITUTE(SUBSTITUTE('Dashboard'!$B$7,"~","~~"),"*","~*"),"?","~?"))+COUNTIFS('Calculations'!$IC$13:$IC$512,"="&amp;SUBSTITUTE(SUBSTITUTE(SUBSTITUTE('Calculations'!HF265,"~","~~"),"*","~*"),"?","~?"),'Calculations'!$HN$13:$HN$512,"="&amp;SUBSTITUTE(SUBSTITUTE(SUBSTITUTE('Dashboard'!$B$7,"~","~~"),"*","~*"),"?","~?"))+COUNTIFS('Calculations'!$ID$13:$ID$512,"="&amp;SUBSTITUTE(SUBSTITUTE(SUBSTITUTE('Calculations'!HF265,"~","~~"),"*","~*"),"?","~?"),'Calculations'!$HN$13:$HN$512,"="&amp;SUBSTITUTE(SUBSTITUTE(SUBSTITUTE('Dashboard'!$B$7,"~","~~"),"*","~*"),"?","~?"))+COUNTIFS('Calculations'!$IE$13:$IE$512,"="&amp;SUBSTITUTE(SUBSTITUTE(SUBSTITUTE('Calculations'!HF265,"~","~~"),"*","~*"),"?","~?"),'Calculations'!$HN$13:$HN$512,"="&amp;SUBSTITUTE(SUBSTITUTE(SUBSTITUTE('Dashboard'!$B$7,"~","~~"),"*","~*"),"?","~?"))+COUNTIFS('Calculations'!$IF$13:$IF$512,"="&amp;SUBSTITUTE(SUBSTITUTE(SUBSTITUTE('Calculations'!HF265,"~","~~"),"*","~*"),"?","~?"),'Calculations'!$HN$13:$HN$512,"="&amp;SUBSTITUTE(SUBSTITUTE(SUBSTITUTE('Dashboard'!$B$7,"~","~~"),"*","~*"),"?","~?"))+COUNTIFS('Calculations'!$IG$13:$IG$512,"="&amp;SUBSTITUTE(SUBSTITUTE(SUBSTITUTE('Calculations'!HF265,"~","~~"),"*","~*"),"?","~?"),'Calculations'!$HN$13:$HN$512,"="&amp;SUBSTITUTE(SUBSTITUTE(SUBSTITUTE('Dashboard'!$B$7,"~","~~"),"*","~*"),"?","~?"))+COUNTIFS('Calculations'!$IH$13:$IH$512,"="&amp;SUBSTITUTE(SUBSTITUTE(SUBSTITUTE('Calculations'!HF265,"~","~~"),"*","~*"),"?","~?"),'Calculations'!$HN$13:$HN$512,"="&amp;SUBSTITUTE(SUBSTITUTE(SUBSTITUTE('Dashboard'!$B$7,"~","~~"),"*","~*"),"?","~?"))))</x:f>
        <x:v>0</x:v>
      </x:c>
      <x:c r="JD265" t="n">
        <x:f>IF('Calculations'!EM265="",0,IF('Dashboard'!$B$7="All",1,IF('Calculations'!HN265='Dashboard'!$B$7,1,0)+IFERROR(INDEX('Calculations'!$JC$13:$JC$512,MATCH('Calculations'!HE265,'Calculations'!$HF$13:$HF$512,0)),0)))</x:f>
        <x:v>0</x:v>
      </x:c>
      <x:c r="JE265" t="n">
        <x:f>IF(AND('Calculations'!EM265&lt;&gt;"",'Calculations'!$JJ$2&lt;&gt;"All",'Calculations'!$JJ$2&lt;&gt;"",'Calculations'!HF265='Calculations'!$JJ$2,'Calculations'!HL265=0,'Calculations'!JD265&gt;0),MAX('Calculations'!$JE$12:JE264)+1,0)</x:f>
        <x:v>0</x:v>
      </x:c>
      <x:c r="JF265" t="str">
        <x:f>IF('Calculations'!EM265="","",IFERROR(IF(INDEX(INDIRECT("'WCM Calibration Final'!$G$1:$G$2000"),'Calculations'!$EM265)="","",TRIM(INDEX(INDIRECT("'WCM Calibration Final'!$G$1:$G$2000"),'Calculations'!$EM265)&amp;"")),""))</x:f>
      </x:c>
      <x:c r="JQ265" t="n">
        <x:f>IF(OR('Calculations'!BM265=0,NOT('Calculations'!$AG$2),'Calculations'!$AG$8&gt;0),0,IF(OR('Dashboard'!$B$7="All",'Calculations'!HN265='Dashboard'!$B$7),IF('Calculations'!$JJ$2="All",1,IF(AND('Calculations'!HF265='Calculations'!$JJ$2,'Calculations'!HL265=0),1,0)),0))</x:f>
        <x:v>0</x:v>
      </x:c>
    </x:row>
    <x:row r="266">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t="n">
        <x:f>IF('Calculations'!$EM266="",0,IF(OR(IFERROR(INDEX(INDIRECT("'WCM Calibration Final'!$A$1:$A$2000"),'Calculations'!$EM266)&lt;&gt;"",FALSE),IFERROR(INDEX(INDIRECT("'WCM Calibration Final'!$B$1:$B$2000"),'Calculations'!$EM266)&lt;&gt;"",FALSE),IFERROR(INDEX(INDIRECT("'WCM Calibration Final'!$C$1:$C$2000"),'Calculations'!$EM266)&lt;&gt;"",FALSE)),1,0))</x:f>
        <x:v>0</x:v>
      </x:c>
      <x:c r="BN266" s="4" t="n">
        <x:f>IF(AND('Calculations'!BM266=1,'Calculations'!$AG$2,'Calculations'!$EN266=1),1,0)</x:f>
        <x:v>0</x:v>
      </x:c>
      <x:c r="BO266" s="4" t="str">
        <x:f>IF('Calculations'!BM266=0,"",IFERROR(IF(AND(VALUE(INDEX(INDIRECT("'WCM Calibration Final'!$K$1:$K$2000"),'Calculations'!$EM266))&gt;=1,VALUE(INDEX(INDIRECT("'WCM Calibration Final'!$K$1:$K$2000"),'Calculations'!$EM266))&lt;=4,MOD(VALUE(INDEX(INDIRECT("'WCM Calibration Final'!$K$1:$K$2000"),'Calculations'!$EM266)),1)=0),VALUE(INDEX(INDIRECT("'WCM Calibration Final'!$K$1:$K$2000"),'Calculations'!$EM266)),""),""))</x:f>
      </x:c>
      <x:c r="BP266" s="4" t="str">
        <x:f>IF('Calculations'!BM266=0,"",IFERROR(IF(AND(VALUE(INDEX(INDIRECT("'WCM Calibration Final'!$L$1:$L$2000"),'Calculations'!$EM266))&gt;=1,VALUE(INDEX(INDIRECT("'WCM Calibration Final'!$L$1:$L$2000"),'Calculations'!$EM266))&lt;=4,MOD(VALUE(INDEX(INDIRECT("'WCM Calibration Final'!$L$1:$L$2000"),'Calculations'!$EM266)),1)=0),VALUE(INDEX(INDIRECT("'WCM Calibration Final'!$L$1:$L$2000"),'Calculations'!$EM266)),""),""))</x:f>
      </x:c>
      <x:c r="BQ266" s="4"/>
      <x:c r="BR266" s="4"/>
      <x:c r="BS266" s="4"/>
      <x:c r="BT266" s="4" t="n">
        <x:f>IF(AND('Calculations'!BM266=1,ISNUMBER('Calculations'!BO266),ISNUMBER('Calculations'!BP266)),1,0)</x:f>
        <x:v>0</x:v>
      </x:c>
      <x:c r="BU266" s="4" t="str">
        <x:f>IF('Calculations'!BM266=0,"",'Calculations'!$EO266)</x:f>
      </x:c>
      <x:c r="BV266" s="4" t="str">
        <x:f>IF('Calculations'!BM266=0,"",IFERROR(IF(OR(INDEX(INDIRECT("'WCM Calibration Final'!$H$1:$H$2000"),'Calculations'!$EM266)="MANAGING DIRECTOR",INDEX(INDIRECT("'WCM Calibration Final'!$H$1:$H$2000"),'Calculations'!$EM266)="DIRECTOR",INDEX(INDIRECT("'WCM Calibration Final'!$H$1:$H$2000"),'Calculations'!$EM266)="SENIOR VICE PRESIDENT",INDEX(INDIRECT("'WCM Calibration Final'!$H$1:$H$2000"),'Calculations'!$EM266)="VICE PRESIDENT",INDEX(INDIRECT("'WCM Calibration Final'!$H$1:$H$2000"),'Calculations'!$EM266)="ASSISTANT VICE PRESIDENT",INDEX(INDIRECT("'WCM Calibration Final'!$H$1:$H$2000"),'Calculations'!$EM266)="OFFICER"),UPPER(INDEX(INDIRECT("'WCM Calibration Final'!$H$1:$H$2000"),'Calculations'!$EM266)),"Other"),"Other"))</x:f>
      </x:c>
      <x:c r="BW266" s="4"/>
      <x:c r="BX266" s="4"/>
      <x:c r="BY266" s="4" t="n">
        <x:f>IF(AND('Calculations'!BM266=1,'Calculations'!BU266&lt;&gt;"",COUNTIF('Calculations'!$BU$12:BU266,'Calculations'!BU266)=1),MAX('Calculations'!$BY$11:BY265)+1,0)</x:f>
        <x:v>0</x:v>
      </x:c>
      <x:c r="BZ266" s="4" t="str">
        <x:f>IF('Dashboard'!$E$67="What",'Calculations'!BO266,'Calculations'!BP266)</x:f>
      </x:c>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t="str">
        <x:f>IF(255&gt;MAX('Calculations'!$HI$13:$HI$512),"",INDEX('Calculations'!$HN$13:$HN$512,MATCH(255,'Calculations'!$HI$13:$HI$512,0)))</x:f>
      </x:c>
      <x:c r="DB266" s="4" t="str">
        <x:f>IF(255&gt;MAX('Calculations'!$HH$13:$HH$512),"",INDEX('Calculations'!$HJ$13:$HJ$512,MATCH(255,'Calculations'!$HH$13:$HH$512,0)))</x:f>
      </x:c>
      <x:c r="DC266" s="4" t="str">
        <x:f>IF(ROW()-11&gt;MAX('Calculations'!$BY$13:$BY$512),"",INDEX('Calculations'!$BU$13:$BU$512,MATCH(ROW()-11,'Calculations'!$BY$13:$BY$512,0)))</x:f>
      </x:c>
      <x:c r="DD266" s="4" t="str">
        <x:f>IF(255&gt;MAX('Calculations'!$IK$13:$IK$512),"",INDEX('Calculations'!$HK$13:$HK$512,MATCH(255,'Calculations'!$IK$13:$IK$512,0)))</x:f>
      </x:c>
      <x:c r="DE266" s="4" t="str">
        <x:f>'Calculations'!DC266</x:f>
      </x:c>
      <x:c r="DF266" s="4" t="str">
        <x:f>IF('Calculations'!DE266="","",COUNTIFS('Calculations'!$BN$13:$BN$512,1,'Calculations'!$BU$13:$BU$512,'Calculations'!DE266))</x:f>
      </x:c>
      <x:c r="DG266" s="4" t="str">
        <x:f>IF('Calculations'!DE266="","",COUNTIFS('Calculations'!$BN$13:$BN$512,1,'Calculations'!$BU$13:$BU$512,'Calculations'!DE266,'Calculations'!$BT$13:$BT$512,1))</x:f>
      </x:c>
      <x:c r="DH266" s="4" t="str">
        <x:f>IF('Calculations'!DE266="","",'Calculations'!DF266-'Calculations'!DG266)</x:f>
      </x:c>
      <x:c r="DI266" s="4" t="str">
        <x:f>IF(OR('Calculations'!DE266="",'Calculations'!DF266=0),"",'Calculations'!DG266/'Calculations'!DF266)</x:f>
      </x:c>
      <x:c r="DJ266" s="4" t="str">
        <x:f>IF('Calculations'!DE266="","",COUNTIFS('Calculations'!$BN$13:$BN$512,1,'Calculations'!$BU$13:$BU$512,'Calculations'!DE266,'Calculations'!$BT$13:$BT$512,1,'Calculations'!$EE$13:$EE$512,"High"))</x:f>
      </x:c>
      <x:c r="DK266" s="4" t="str">
        <x:f>IF('Calculations'!DE266="","",COUNTIFS('Calculations'!$BN$13:$BN$512,1,'Calculations'!$BU$13:$BU$512,'Calculations'!DE266,'Calculations'!$BT$13:$BT$512,1,'Calculations'!$EE$13:$EE$512,"Strong"))</x:f>
      </x:c>
      <x:c r="DL266" s="4" t="str">
        <x:f>IF('Calculations'!DE266="","",COUNTIFS('Calculations'!$BN$13:$BN$512,1,'Calculations'!$BU$13:$BU$512,'Calculations'!DE266,'Calculations'!$BT$13:$BT$512,1,'Calculations'!$EE$13:$EE$512,"Solid"))</x:f>
      </x:c>
      <x:c r="DM266" s="4" t="str">
        <x:f>IF('Calculations'!DE266="","",COUNTIFS('Calculations'!$BN$13:$BN$512,1,'Calculations'!$BU$13:$BU$512,'Calculations'!DE266,'Calculations'!$BT$13:$BT$512,1,'Calculations'!$EE$13:$EE$512,"Low"))</x:f>
      </x:c>
      <x:c r="DN266" s="4" t="str">
        <x:f>IF('Calculations'!DE266="","",COUNTIFS('Calculations'!$BN$13:$BN$512,1,'Calculations'!$BU$13:$BU$512,'Calculations'!DE266,'Calculations'!$EP$13:$EP$512,1))</x:f>
      </x:c>
      <x:c r="DO266" s="4" t="str">
        <x:f>IF(OR('Calculations'!DE266="",'Calculations'!DG266=0),"",('Calculations'!DJ266+'Calculations'!DK266)/'Calculations'!DG266)</x:f>
      </x:c>
      <x:c r="DP266" s="4" t="n">
        <x:f>IF(AND('Calculations'!DE266&lt;&gt;"",'Calculations'!DF266&gt;0),COUNTIF('Calculations'!$DF$12:DF266,"&gt;0"),0)</x:f>
        <x:v>0</x:v>
      </x:c>
      <x:c r="DQ266" s="4" t="str">
        <x:f>IF(255&gt;MAX('Calculations'!$HH$13:$HH$512),"",INDEX('Calculations'!$HF$13:$HF$512,MATCH(255,'Calculations'!$HH$13:$HH$512,0)))</x:f>
      </x:c>
      <x:c r="DR266" s="4" t="str">
        <x:f>IF(255&gt;MAX('Calculations'!$IK$13:$IK$512),"",INDEX('Calculations'!$HE$13:$HE$512,MATCH(255,'Calculations'!$IK$13:$IK$512,0)))</x:f>
      </x:c>
      <x:c r="DS266" s="4"/>
      <x:c r="DT266" s="4"/>
      <x:c r="DU266" s="4"/>
      <x:c r="DV266" s="4"/>
      <x:c r="DW266" s="4"/>
      <x:c r="DX266" s="4"/>
      <x:c r="DY266" s="4"/>
      <x:c r="DZ266" s="4"/>
      <x:c r="EA266" s="4"/>
      <x:c r="EB266" s="4"/>
      <x:c r="EC266" s="4"/>
      <x:c r="ED266" s="4"/>
      <x:c r="EE266" s="4" t="str">
        <x:f>IF('Calculations'!BT266=0,"Not Rated",IF(OR('Calculations'!BO266&gt;=4,'Calculations'!BP266&gt;=4),"Low",IF('Calculations'!BO266+'Calculations'!BP266&lt;=3,"High",IF('Calculations'!BO266+'Calculations'!BP266&lt;=4,"Strong","Solid"))))</x:f>
        <x:v>Not Rated</x:v>
      </x:c>
      <x:c r="EF266" s="4"/>
      <x:c r="EG266" s="4"/>
      <x:c r="EH266" s="4"/>
      <x:c r="EI266" s="4"/>
      <x:c r="EJ266" s="4"/>
      <x:c r="EK266" s="4"/>
      <x:c r="EL266" s="4"/>
      <x:c r="EM266" s="4" t="str">
        <x:f>IF(254&gt;'Calculations'!$JB$2000,"",INDEX('Calculations'!$JA$12:$JA$2000,MATCH(254,'Calculations'!$JB$12:$JB$2000,0)))</x:f>
      </x:c>
      <x:c r="EN266" s="4" t="n">
        <x:f>IF(OR('Calculations'!EM266="",'Calculations'!$AG$8&gt;0,AND('Calculations'!$EF$2&lt;&gt;"All",'Calculations'!HE266='Calculations'!$EF$2),AND('Calculations'!$EF$3&lt;&gt;"All",'Calculations'!HE266='Calculations'!$EF$3)),0,IF(OR('Dashboard'!$B$7="All",'Calculations'!HN266='Dashboard'!$B$7),IF('Calculations'!$EF$2="All",1,IF('Calculations'!HL266&gt;0,0,IF(COUNTIF('Calculations'!HO266:II266,"="&amp;SUBSTITUTE(SUBSTITUTE(SUBSTITUTE('Calculations'!$EF$2,"~","~~"),"*","~*"),"?","~?"))=0,0,IF('Calculations'!$EF$3="All",1,IF(COUNTIF('Calculations'!HO266:II266,"="&amp;SUBSTITUTE(SUBSTITUTE(SUBSTITUTE('Calculations'!$EF$3,"~","~~"),"*","~*"),"?","~?"))&gt;0,1,0))))),0))</x:f>
        <x:v>0</x:v>
      </x:c>
      <x:c r="EO266" s="4" t="str">
        <x:f>IF('Calculations'!IJ266="","",IF('Calculations'!IJ266="!UNRESOLVED","Unresolved hierarchy",IFERROR(INDEX('Calculations'!$HK$13:$HK$512,MATCH('Calculations'!IJ266,'Calculations'!$HE$13:$HE$512,0)),IFERROR(INDEX('Calculations'!$HJ$13:$HJ$512,MATCH('Calculations'!IJ266,'Calculations'!$HF$13:$HF$512,0)),'Calculations'!IJ266))))</x:f>
      </x:c>
      <x:c r="EP266" s="4" t="n">
        <x:f>IF(AND('Calculations'!EM266&lt;&gt;"",'Calculations'!HF266='Calculations'!IJ266),1,0)</x:f>
        <x:v>0</x:v>
      </x:c>
      <x:c r="EQ266" s="4"/>
      <x:c r="ER266" s="4"/>
      <x:c r="ES266" s="4"/>
      <x:c r="ET266" s="4"/>
      <x:c r="EU266" s="4"/>
      <x:c r="EV266" s="4"/>
      <x:c r="EW266" s="4"/>
      <x:c r="EX266" s="4"/>
      <x:c r="EY266" s="4"/>
      <x:c r="EZ266" s="4"/>
      <x:c r="FA266" s="4"/>
      <x:c r="FB266" s="4"/>
      <x:c r="FC266" s="4"/>
      <x:c r="FD266" s="4"/>
      <x:c r="FE266" s="4"/>
      <x:c r="FF266" s="4"/>
      <x:c r="FG266" s="4"/>
      <x:c r="FH266" s="4"/>
      <x:c r="FI266" s="4"/>
      <x:c r="FJ266" s="4"/>
      <x:c r="FK266" s="4"/>
      <x:c r="FL266" s="4"/>
      <x:c r="FM266" s="4"/>
      <x:c r="FN266" s="4"/>
      <x:c r="FO266" s="4"/>
      <x:c r="HE266" t="str">
        <x:f>IF('Calculations'!EM266="","",IF(IFERROR(IF(INDEX(INDIRECT("'WCM Calibration Final'!$A$1:$A$2000"),'Calculations'!$EM266)="","",TRIM(INDEX(INDIRECT("'WCM Calibration Final'!$A$1:$A$2000"),'Calculations'!$EM266)&amp;"")),"")&lt;&gt;"","G:"&amp;IFERROR(TEXT(1*INDEX(INDIRECT("'WCM Calibration Final'!$A$1:$A$2000"),'Calculations'!$EM266),"0"),UPPER(IFERROR(IF(INDEX(INDIRECT("'WCM Calibration Final'!$A$1:$A$2000"),'Calculations'!$EM266)="","",TRIM(INDEX(INDIRECT("'WCM Calibration Final'!$A$1:$A$2000"),'Calculations'!$EM266)&amp;"")),""))),IF(IFERROR(IF(INDEX(INDIRECT("'WCM Calibration Final'!$C$1:$C$2000"),'Calculations'!$EM266)="","",TRIM(INDEX(INDIRECT("'WCM Calibration Final'!$C$1:$C$2000"),'Calculations'!$EM266)&amp;"")),"")&lt;&gt;"","S:"&amp;UPPER(IFERROR(IF(INDEX(INDIRECT("'WCM Calibration Final'!$C$1:$C$2000"),'Calculations'!$EM266)="","",TRIM(INDEX(INDIRECT("'WCM Calibration Final'!$C$1:$C$2000"),'Calculations'!$EM266)&amp;"")),"")),"R:"&amp;'Calculations'!EM266)))</x:f>
      </x:c>
      <x:c r="HF266" t="str">
        <x:f>IF('Calculations'!EM266="","",IF(IFERROR(IF(INDEX(INDIRECT("'WCM Calibration Final'!$D$1:$D$2000"),'Calculations'!$EM266)="","",TRIM(INDEX(INDIRECT("'WCM Calibration Final'!$D$1:$D$2000"),'Calculations'!$EM266)&amp;"")),"")&lt;&gt;"","G:"&amp;IFERROR(TEXT(1*INDEX(INDIRECT("'WCM Calibration Final'!$D$1:$D$2000"),'Calculations'!$EM266),"0"),UPPER(IFERROR(IF(INDEX(INDIRECT("'WCM Calibration Final'!$D$1:$D$2000"),'Calculations'!$EM266)="","",TRIM(INDEX(INDIRECT("'WCM Calibration Final'!$D$1:$D$2000"),'Calculations'!$EM266)&amp;"")),""))),IF(IFERROR(IF(INDEX(INDIRECT("'WCM Calibration Final'!$E$1:$E$2000"),'Calculations'!$EM266)="","",TRIM(INDEX(INDIRECT("'WCM Calibration Final'!$E$1:$E$2000"),'Calculations'!$EM266)&amp;"")),"")="","",IF(COUNTIF('Calculations'!$HG$13:$HG$512,"="&amp;SUBSTITUTE(SUBSTITUTE(SUBSTITUTE(IFERROR(IF(INDEX(INDIRECT("'WCM Calibration Final'!$E$1:$E$2000"),'Calculations'!$EM266)="","",TRIM(INDEX(INDIRECT("'WCM Calibration Final'!$E$1:$E$2000"),'Calculations'!$EM266)&amp;"")),""),"~","~~"),"*","~*"),"?","~?"))=1,INDEX('Calculations'!$HE$13:$HE$512,MATCH(IFERROR(IF(INDEX(INDIRECT("'WCM Calibration Final'!$E$1:$E$2000"),'Calculations'!$EM266)="","",TRIM(INDEX(INDIRECT("'WCM Calibration Final'!$E$1:$E$2000"),'Calculations'!$EM266)&amp;"")),""),'Calculations'!$HG$13:$HG$512,0)),IF(COUNTIF('Calculations'!$HG$13:$HG$512,"="&amp;SUBSTITUTE(SUBSTITUTE(SUBSTITUTE(IFERROR(IF(INDEX(INDIRECT("'WCM Calibration Final'!$E$1:$E$2000"),'Calculations'!$EM266)="","",TRIM(INDEX(INDIRECT("'WCM Calibration Final'!$E$1:$E$2000"),'Calculations'!$EM266)&amp;"")),""),"~","~~"),"*","~*"),"?","~?"))&gt;1,"!AMBIG","X:"&amp;IFERROR(IF(INDEX(INDIRECT("'WCM Calibration Final'!$E$1:$E$2000"),'Calculations'!$EM266)="","",TRIM(INDEX(INDIRECT("'WCM Calibration Final'!$E$1:$E$2000"),'Calculations'!$EM266)&amp;"")),""))))))</x:f>
      </x:c>
      <x:c r="HG266" t="str">
        <x:f>IF('Calculations'!EM266="","",IFERROR(IF(INDEX(INDIRECT("'WCM Calibration Final'!$B$1:$B$2000"),'Calculations'!$EM266)="","",TRIM(INDEX(INDIRECT("'WCM Calibration Final'!$B$1:$B$2000"),'Calculations'!$EM266)&amp;"")),""))</x:f>
      </x:c>
      <x:c r="HH266" t="n">
        <x:f>IF(AND('Calculations'!JC266&gt;0,COUNTIF('Calculations'!$HF$12:HF266,"="&amp;SUBSTITUTE(SUBSTITUTE(SUBSTITUTE('Calculations'!HF266,"~","~~"),"*","~*"),"?","~?"))=1),MAX('Calculations'!$HH$12:HH265)+1,0)</x:f>
        <x:v>0</x:v>
      </x:c>
      <x:c r="HI266" t="n">
        <x:f>IF(AND('Calculations'!HN266&lt;&gt;"",COUNTIF('Calculations'!$HN$12:HN266,"="&amp;SUBSTITUTE(SUBSTITUTE(SUBSTITUTE('Calculations'!HN266,"~","~~"),"*","~*"),"?","~?"))=1),MAX('Calculations'!$HI$12:HI265)+1,0)</x:f>
        <x:v>0</x:v>
      </x:c>
      <x:c r="HJ266" t="str">
        <x:f>IF('Calculations'!HF266="","",IF(COUNTIF('Calculations'!$HE$13:$HE$512,"="&amp;SUBSTITUTE(SUBSTITUTE(SUBSTITUTE('Calculations'!HF266,"~","~~"),"*","~*"),"?","~?"))=1,INDEX('Calculations'!$HK$13:$HK$512,MATCH('Calculations'!HF266,'Calculations'!$HE$13:$HE$512,0)),IFERROR(IF(INDEX(INDIRECT("'WCM Calibration Final'!$E$1:$E$2000"),'Calculations'!$EM266)="","",TRIM(INDEX(INDIRECT("'WCM Calibration Final'!$E$1:$E$2000"),'Calculations'!$EM266)&amp;"")),"")&amp;" ["&amp;'Calculations'!HF266&amp;"]"))</x:f>
      </x:c>
      <x:c r="HK266" t="str">
        <x:f>IF('Calculations'!EM266="","",'Calculations'!HG266&amp;" ["&amp;'Calculations'!HE266&amp;"]")</x:f>
      </x:c>
      <x:c r="HL266" t="n">
        <x:f>IF('Calculations'!EM266="",0,IF(OR('Calculations'!II266&lt;&gt;"",COUNTIF('Calculations'!$HE$13:$HE$512,"="&amp;SUBSTITUTE(SUBSTITUTE(SUBSTITUTE('Calculations'!HE266,"~","~~"),"*","~*"),"?","~?"))&gt;1),1,0))</x:f>
        <x:v>0</x:v>
      </x:c>
      <x:c r="HM266" t="str">
        <x:f>IF('Calculations'!EM266="","",IF('Calculations'!HL266=1,"!UNRESOLVED",IF('Calculations'!IH266&lt;&gt;"",'Calculations'!IH266,IF('Calculations'!IG266&lt;&gt;"",'Calculations'!IG266,IF('Calculations'!IF266&lt;&gt;"",'Calculations'!IF266,IF('Calculations'!IE266&lt;&gt;"",'Calculations'!IE266,IF('Calculations'!ID266&lt;&gt;"",'Calculations'!ID266,IF('Calculations'!IC266&lt;&gt;"",'Calculations'!IC266,IF('Calculations'!IB266&lt;&gt;"",'Calculations'!IB266,IF('Calculations'!IA266&lt;&gt;"",'Calculations'!IA266,IF('Calculations'!HZ266&lt;&gt;"",'Calculations'!HZ266,IF('Calculations'!HY266&lt;&gt;"",'Calculations'!HY266,IF('Calculations'!HX266&lt;&gt;"",'Calculations'!HX266,IF('Calculations'!HW266&lt;&gt;"",'Calculations'!HW266,IF('Calculations'!HV266&lt;&gt;"",'Calculations'!HV266,IF('Calculations'!HU266&lt;&gt;"",'Calculations'!HU266,IF('Calculations'!HT266&lt;&gt;"",'Calculations'!HT266,IF('Calculations'!HS266&lt;&gt;"",'Calculations'!HS266,IF('Calculations'!HR266&lt;&gt;"",'Calculations'!HR266,IF('Calculations'!HQ266&lt;&gt;"",'Calculations'!HQ266,IF('Calculations'!HP266&lt;&gt;"",'Calculations'!HP266,IF('Calculations'!HO266&lt;&gt;"",'Calculations'!HO266,'Calculations'!HE266))))))))))))))))))))))</x:f>
      </x:c>
      <x:c r="HN266" t="str">
        <x:f>IF('Calculations'!EM266="","",IF(IFERROR(IF(INDEX(INDIRECT("'WCM Calibration Final'!$F$1:$F$2000"),'Calculations'!$EM266)="","",TRIM(INDEX(INDIRECT("'WCM Calibration Final'!$F$1:$F$2000"),'Calculations'!$EM266)&amp;"")),"")="","(Blank)",IFERROR(IF(INDEX(INDIRECT("'WCM Calibration Final'!$F$1:$F$2000"),'Calculations'!$EM266)="","",TRIM(INDEX(INDIRECT("'WCM Calibration Final'!$F$1:$F$2000"),'Calculations'!$EM266)&amp;"")),"")))</x:f>
      </x:c>
      <x:c r="HO266" t="str">
        <x:f>'Calculations'!HF266</x:f>
      </x:c>
      <x:c r="HP266" t="str">
        <x:f>IF('Calculations'!HO266="","",IF('Calculations'!HO266="!AMBIG","!AMBIG",IF(COUNTIF('Calculations'!$HE$13:$HE$512,"="&amp;SUBSTITUTE(SUBSTITUTE(SUBSTITUTE('Calculations'!HO266,"~","~~"),"*","~*"),"?","~?"))&gt;1,"!AMBIG",IFERROR(INDEX('Calculations'!$HF$13:$HF$512,MATCH('Calculations'!HO266,'Calculations'!$HE$13:$HE$512,0)),""))))</x:f>
      </x:c>
      <x:c r="HQ266" t="str">
        <x:f>IF('Calculations'!HP266="","",IF('Calculations'!HP266="!AMBIG","!AMBIG",IF(COUNTIF('Calculations'!$HE$13:$HE$512,"="&amp;SUBSTITUTE(SUBSTITUTE(SUBSTITUTE('Calculations'!HP266,"~","~~"),"*","~*"),"?","~?"))&gt;1,"!AMBIG",IFERROR(INDEX('Calculations'!$HF$13:$HF$512,MATCH('Calculations'!HP266,'Calculations'!$HE$13:$HE$512,0)),""))))</x:f>
      </x:c>
      <x:c r="HR266" t="str">
        <x:f>IF('Calculations'!HQ266="","",IF('Calculations'!HQ266="!AMBIG","!AMBIG",IF(COUNTIF('Calculations'!$HE$13:$HE$512,"="&amp;SUBSTITUTE(SUBSTITUTE(SUBSTITUTE('Calculations'!HQ266,"~","~~"),"*","~*"),"?","~?"))&gt;1,"!AMBIG",IFERROR(INDEX('Calculations'!$HF$13:$HF$512,MATCH('Calculations'!HQ266,'Calculations'!$HE$13:$HE$512,0)),""))))</x:f>
      </x:c>
      <x:c r="HS266" t="str">
        <x:f>IF('Calculations'!HR266="","",IF('Calculations'!HR266="!AMBIG","!AMBIG",IF(COUNTIF('Calculations'!$HE$13:$HE$512,"="&amp;SUBSTITUTE(SUBSTITUTE(SUBSTITUTE('Calculations'!HR266,"~","~~"),"*","~*"),"?","~?"))&gt;1,"!AMBIG",IFERROR(INDEX('Calculations'!$HF$13:$HF$512,MATCH('Calculations'!HR266,'Calculations'!$HE$13:$HE$512,0)),""))))</x:f>
      </x:c>
      <x:c r="HT266" t="str">
        <x:f>IF('Calculations'!HS266="","",IF('Calculations'!HS266="!AMBIG","!AMBIG",IF(COUNTIF('Calculations'!$HE$13:$HE$512,"="&amp;SUBSTITUTE(SUBSTITUTE(SUBSTITUTE('Calculations'!HS266,"~","~~"),"*","~*"),"?","~?"))&gt;1,"!AMBIG",IFERROR(INDEX('Calculations'!$HF$13:$HF$512,MATCH('Calculations'!HS266,'Calculations'!$HE$13:$HE$512,0)),""))))</x:f>
      </x:c>
      <x:c r="HU266" t="str">
        <x:f>IF('Calculations'!HT266="","",IF('Calculations'!HT266="!AMBIG","!AMBIG",IF(COUNTIF('Calculations'!$HE$13:$HE$512,"="&amp;SUBSTITUTE(SUBSTITUTE(SUBSTITUTE('Calculations'!HT266,"~","~~"),"*","~*"),"?","~?"))&gt;1,"!AMBIG",IFERROR(INDEX('Calculations'!$HF$13:$HF$512,MATCH('Calculations'!HT266,'Calculations'!$HE$13:$HE$512,0)),""))))</x:f>
      </x:c>
      <x:c r="HV266" t="str">
        <x:f>IF('Calculations'!HU266="","",IF('Calculations'!HU266="!AMBIG","!AMBIG",IF(COUNTIF('Calculations'!$HE$13:$HE$512,"="&amp;SUBSTITUTE(SUBSTITUTE(SUBSTITUTE('Calculations'!HU266,"~","~~"),"*","~*"),"?","~?"))&gt;1,"!AMBIG",IFERROR(INDEX('Calculations'!$HF$13:$HF$512,MATCH('Calculations'!HU266,'Calculations'!$HE$13:$HE$512,0)),""))))</x:f>
      </x:c>
      <x:c r="HW266" t="str">
        <x:f>IF('Calculations'!HV266="","",IF('Calculations'!HV266="!AMBIG","!AMBIG",IF(COUNTIF('Calculations'!$HE$13:$HE$512,"="&amp;SUBSTITUTE(SUBSTITUTE(SUBSTITUTE('Calculations'!HV266,"~","~~"),"*","~*"),"?","~?"))&gt;1,"!AMBIG",IFERROR(INDEX('Calculations'!$HF$13:$HF$512,MATCH('Calculations'!HV266,'Calculations'!$HE$13:$HE$512,0)),""))))</x:f>
      </x:c>
      <x:c r="HX266" t="str">
        <x:f>IF('Calculations'!HW266="","",IF('Calculations'!HW266="!AMBIG","!AMBIG",IF(COUNTIF('Calculations'!$HE$13:$HE$512,"="&amp;SUBSTITUTE(SUBSTITUTE(SUBSTITUTE('Calculations'!HW266,"~","~~"),"*","~*"),"?","~?"))&gt;1,"!AMBIG",IFERROR(INDEX('Calculations'!$HF$13:$HF$512,MATCH('Calculations'!HW266,'Calculations'!$HE$13:$HE$512,0)),""))))</x:f>
      </x:c>
      <x:c r="HY266" t="str">
        <x:f>IF('Calculations'!HX266="","",IF('Calculations'!HX266="!AMBIG","!AMBIG",IF(COUNTIF('Calculations'!$HE$13:$HE$512,"="&amp;SUBSTITUTE(SUBSTITUTE(SUBSTITUTE('Calculations'!HX266,"~","~~"),"*","~*"),"?","~?"))&gt;1,"!AMBIG",IFERROR(INDEX('Calculations'!$HF$13:$HF$512,MATCH('Calculations'!HX266,'Calculations'!$HE$13:$HE$512,0)),""))))</x:f>
      </x:c>
      <x:c r="HZ266" t="str">
        <x:f>IF('Calculations'!HY266="","",IF('Calculations'!HY266="!AMBIG","!AMBIG",IF(COUNTIF('Calculations'!$HE$13:$HE$512,"="&amp;SUBSTITUTE(SUBSTITUTE(SUBSTITUTE('Calculations'!HY266,"~","~~"),"*","~*"),"?","~?"))&gt;1,"!AMBIG",IFERROR(INDEX('Calculations'!$HF$13:$HF$512,MATCH('Calculations'!HY266,'Calculations'!$HE$13:$HE$512,0)),""))))</x:f>
      </x:c>
      <x:c r="IA266" t="str">
        <x:f>IF('Calculations'!HZ266="","",IF('Calculations'!HZ266="!AMBIG","!AMBIG",IF(COUNTIF('Calculations'!$HE$13:$HE$512,"="&amp;SUBSTITUTE(SUBSTITUTE(SUBSTITUTE('Calculations'!HZ266,"~","~~"),"*","~*"),"?","~?"))&gt;1,"!AMBIG",IFERROR(INDEX('Calculations'!$HF$13:$HF$512,MATCH('Calculations'!HZ266,'Calculations'!$HE$13:$HE$512,0)),""))))</x:f>
      </x:c>
      <x:c r="IB266" t="str">
        <x:f>IF('Calculations'!IA266="","",IF('Calculations'!IA266="!AMBIG","!AMBIG",IF(COUNTIF('Calculations'!$HE$13:$HE$512,"="&amp;SUBSTITUTE(SUBSTITUTE(SUBSTITUTE('Calculations'!IA266,"~","~~"),"*","~*"),"?","~?"))&gt;1,"!AMBIG",IFERROR(INDEX('Calculations'!$HF$13:$HF$512,MATCH('Calculations'!IA266,'Calculations'!$HE$13:$HE$512,0)),""))))</x:f>
      </x:c>
      <x:c r="IC266" t="str">
        <x:f>IF('Calculations'!IB266="","",IF('Calculations'!IB266="!AMBIG","!AMBIG",IF(COUNTIF('Calculations'!$HE$13:$HE$512,"="&amp;SUBSTITUTE(SUBSTITUTE(SUBSTITUTE('Calculations'!IB266,"~","~~"),"*","~*"),"?","~?"))&gt;1,"!AMBIG",IFERROR(INDEX('Calculations'!$HF$13:$HF$512,MATCH('Calculations'!IB266,'Calculations'!$HE$13:$HE$512,0)),""))))</x:f>
      </x:c>
      <x:c r="ID266" t="str">
        <x:f>IF('Calculations'!IC266="","",IF('Calculations'!IC266="!AMBIG","!AMBIG",IF(COUNTIF('Calculations'!$HE$13:$HE$512,"="&amp;SUBSTITUTE(SUBSTITUTE(SUBSTITUTE('Calculations'!IC266,"~","~~"),"*","~*"),"?","~?"))&gt;1,"!AMBIG",IFERROR(INDEX('Calculations'!$HF$13:$HF$512,MATCH('Calculations'!IC266,'Calculations'!$HE$13:$HE$512,0)),""))))</x:f>
      </x:c>
      <x:c r="IE266" t="str">
        <x:f>IF('Calculations'!ID266="","",IF('Calculations'!ID266="!AMBIG","!AMBIG",IF(COUNTIF('Calculations'!$HE$13:$HE$512,"="&amp;SUBSTITUTE(SUBSTITUTE(SUBSTITUTE('Calculations'!ID266,"~","~~"),"*","~*"),"?","~?"))&gt;1,"!AMBIG",IFERROR(INDEX('Calculations'!$HF$13:$HF$512,MATCH('Calculations'!ID266,'Calculations'!$HE$13:$HE$512,0)),""))))</x:f>
      </x:c>
      <x:c r="IF266" t="str">
        <x:f>IF('Calculations'!IE266="","",IF('Calculations'!IE266="!AMBIG","!AMBIG",IF(COUNTIF('Calculations'!$HE$13:$HE$512,"="&amp;SUBSTITUTE(SUBSTITUTE(SUBSTITUTE('Calculations'!IE266,"~","~~"),"*","~*"),"?","~?"))&gt;1,"!AMBIG",IFERROR(INDEX('Calculations'!$HF$13:$HF$512,MATCH('Calculations'!IE266,'Calculations'!$HE$13:$HE$512,0)),""))))</x:f>
      </x:c>
      <x:c r="IG266" t="str">
        <x:f>IF('Calculations'!IF266="","",IF('Calculations'!IF266="!AMBIG","!AMBIG",IF(COUNTIF('Calculations'!$HE$13:$HE$512,"="&amp;SUBSTITUTE(SUBSTITUTE(SUBSTITUTE('Calculations'!IF266,"~","~~"),"*","~*"),"?","~?"))&gt;1,"!AMBIG",IFERROR(INDEX('Calculations'!$HF$13:$HF$512,MATCH('Calculations'!IF266,'Calculations'!$HE$13:$HE$512,0)),""))))</x:f>
      </x:c>
      <x:c r="IH266" t="str">
        <x:f>IF('Calculations'!IG266="","",IF('Calculations'!IG266="!AMBIG","!AMBIG",IF(COUNTIF('Calculations'!$HE$13:$HE$512,"="&amp;SUBSTITUTE(SUBSTITUTE(SUBSTITUTE('Calculations'!IG266,"~","~~"),"*","~*"),"?","~?"))&gt;1,"!AMBIG",IFERROR(INDEX('Calculations'!$HF$13:$HF$512,MATCH('Calculations'!IG266,'Calculations'!$HE$13:$HE$512,0)),""))))</x:f>
      </x:c>
      <x:c r="II266" t="str">
        <x:f>IF('Calculations'!IH266="","",IF('Calculations'!IH266="!AMBIG","!AMBIG",IF(COUNTIF('Calculations'!$HE$13:$HE$512,"="&amp;SUBSTITUTE(SUBSTITUTE(SUBSTITUTE('Calculations'!IH266,"~","~~"),"*","~*"),"?","~?"))&gt;1,"!AMBIG",IFERROR(INDEX('Calculations'!$HF$13:$HF$512,MATCH('Calculations'!IH266,'Calculations'!$HE$13:$HE$512,0)),""))))</x:f>
      </x:c>
      <x:c r="IJ266" t="str">
        <x:f>IF('Calculations'!EM266="","",IF('Calculations'!$EF$2="All",'Calculations'!HM266,IF('Calculations'!HL266=1,"",IFERROR(IF(MATCH('Calculations'!$EF$2,'Calculations'!HO266:II266,0)=1,'Calculations'!HE266,INDEX('Calculations'!HO266:II266,1,MATCH('Calculations'!$EF$2,'Calculations'!HO266:II266,0)-1)),""))))</x:f>
      </x:c>
      <x:c r="IK266" t="n">
        <x:f>IF(AND('Calculations'!EM266&lt;&gt;"",'Calculations'!$EF$2&lt;&gt;"All",'Calculations'!HF266='Calculations'!$EF$2,'Calculations'!HL266=0,'Calculations'!JD266&gt;0),MAX('Calculations'!$IK$12:IK265)+1,0)</x:f>
        <x:v>0</x:v>
      </x:c>
      <x:c r="JA266" t="n">
        <x:f>IF(OR(IFERROR(INDIRECT("'WCM Calibration Final'!$A$266")&lt;&gt;"",FALSE),IFERROR(INDIRECT("'WCM Calibration Final'!$B$266")&lt;&gt;"",FALSE),IFERROR(INDIRECT("'WCM Calibration Final'!$C$266")&lt;&gt;"",FALSE)),266,0)</x:f>
        <x:v>0</x:v>
      </x:c>
      <x:c r="JB266" t="n">
        <x:f>'Calculations'!JB265+IF('Calculations'!JA266&gt;0,1,0)</x:f>
        <x:v>0</x:v>
      </x:c>
      <x:c r="JC266" t="n">
        <x:f>IF(OR('Calculations'!HF266="",'Calculations'!HF266="!AMBIG"),0,IF('Dashboard'!$B$7="All",1,COUNTIFS('Calculations'!$HO$13:$HO$512,"="&amp;SUBSTITUTE(SUBSTITUTE(SUBSTITUTE('Calculations'!HF266,"~","~~"),"*","~*"),"?","~?"),'Calculations'!$HN$13:$HN$512,"="&amp;SUBSTITUTE(SUBSTITUTE(SUBSTITUTE('Dashboard'!$B$7,"~","~~"),"*","~*"),"?","~?"))+COUNTIFS('Calculations'!$HP$13:$HP$512,"="&amp;SUBSTITUTE(SUBSTITUTE(SUBSTITUTE('Calculations'!HF266,"~","~~"),"*","~*"),"?","~?"),'Calculations'!$HN$13:$HN$512,"="&amp;SUBSTITUTE(SUBSTITUTE(SUBSTITUTE('Dashboard'!$B$7,"~","~~"),"*","~*"),"?","~?"))+COUNTIFS('Calculations'!$HQ$13:$HQ$512,"="&amp;SUBSTITUTE(SUBSTITUTE(SUBSTITUTE('Calculations'!HF266,"~","~~"),"*","~*"),"?","~?"),'Calculations'!$HN$13:$HN$512,"="&amp;SUBSTITUTE(SUBSTITUTE(SUBSTITUTE('Dashboard'!$B$7,"~","~~"),"*","~*"),"?","~?"))+COUNTIFS('Calculations'!$HR$13:$HR$512,"="&amp;SUBSTITUTE(SUBSTITUTE(SUBSTITUTE('Calculations'!HF266,"~","~~"),"*","~*"),"?","~?"),'Calculations'!$HN$13:$HN$512,"="&amp;SUBSTITUTE(SUBSTITUTE(SUBSTITUTE('Dashboard'!$B$7,"~","~~"),"*","~*"),"?","~?"))+COUNTIFS('Calculations'!$HS$13:$HS$512,"="&amp;SUBSTITUTE(SUBSTITUTE(SUBSTITUTE('Calculations'!HF266,"~","~~"),"*","~*"),"?","~?"),'Calculations'!$HN$13:$HN$512,"="&amp;SUBSTITUTE(SUBSTITUTE(SUBSTITUTE('Dashboard'!$B$7,"~","~~"),"*","~*"),"?","~?"))+COUNTIFS('Calculations'!$HT$13:$HT$512,"="&amp;SUBSTITUTE(SUBSTITUTE(SUBSTITUTE('Calculations'!HF266,"~","~~"),"*","~*"),"?","~?"),'Calculations'!$HN$13:$HN$512,"="&amp;SUBSTITUTE(SUBSTITUTE(SUBSTITUTE('Dashboard'!$B$7,"~","~~"),"*","~*"),"?","~?"))+COUNTIFS('Calculations'!$HU$13:$HU$512,"="&amp;SUBSTITUTE(SUBSTITUTE(SUBSTITUTE('Calculations'!HF266,"~","~~"),"*","~*"),"?","~?"),'Calculations'!$HN$13:$HN$512,"="&amp;SUBSTITUTE(SUBSTITUTE(SUBSTITUTE('Dashboard'!$B$7,"~","~~"),"*","~*"),"?","~?"))+COUNTIFS('Calculations'!$HV$13:$HV$512,"="&amp;SUBSTITUTE(SUBSTITUTE(SUBSTITUTE('Calculations'!HF266,"~","~~"),"*","~*"),"?","~?"),'Calculations'!$HN$13:$HN$512,"="&amp;SUBSTITUTE(SUBSTITUTE(SUBSTITUTE('Dashboard'!$B$7,"~","~~"),"*","~*"),"?","~?"))+COUNTIFS('Calculations'!$HW$13:$HW$512,"="&amp;SUBSTITUTE(SUBSTITUTE(SUBSTITUTE('Calculations'!HF266,"~","~~"),"*","~*"),"?","~?"),'Calculations'!$HN$13:$HN$512,"="&amp;SUBSTITUTE(SUBSTITUTE(SUBSTITUTE('Dashboard'!$B$7,"~","~~"),"*","~*"),"?","~?"))+COUNTIFS('Calculations'!$HX$13:$HX$512,"="&amp;SUBSTITUTE(SUBSTITUTE(SUBSTITUTE('Calculations'!HF266,"~","~~"),"*","~*"),"?","~?"),'Calculations'!$HN$13:$HN$512,"="&amp;SUBSTITUTE(SUBSTITUTE(SUBSTITUTE('Dashboard'!$B$7,"~","~~"),"*","~*"),"?","~?"))+COUNTIFS('Calculations'!$HY$13:$HY$512,"="&amp;SUBSTITUTE(SUBSTITUTE(SUBSTITUTE('Calculations'!HF266,"~","~~"),"*","~*"),"?","~?"),'Calculations'!$HN$13:$HN$512,"="&amp;SUBSTITUTE(SUBSTITUTE(SUBSTITUTE('Dashboard'!$B$7,"~","~~"),"*","~*"),"?","~?"))+COUNTIFS('Calculations'!$HZ$13:$HZ$512,"="&amp;SUBSTITUTE(SUBSTITUTE(SUBSTITUTE('Calculations'!HF266,"~","~~"),"*","~*"),"?","~?"),'Calculations'!$HN$13:$HN$512,"="&amp;SUBSTITUTE(SUBSTITUTE(SUBSTITUTE('Dashboard'!$B$7,"~","~~"),"*","~*"),"?","~?"))+COUNTIFS('Calculations'!$IA$13:$IA$512,"="&amp;SUBSTITUTE(SUBSTITUTE(SUBSTITUTE('Calculations'!HF266,"~","~~"),"*","~*"),"?","~?"),'Calculations'!$HN$13:$HN$512,"="&amp;SUBSTITUTE(SUBSTITUTE(SUBSTITUTE('Dashboard'!$B$7,"~","~~"),"*","~*"),"?","~?"))+COUNTIFS('Calculations'!$IB$13:$IB$512,"="&amp;SUBSTITUTE(SUBSTITUTE(SUBSTITUTE('Calculations'!HF266,"~","~~"),"*","~*"),"?","~?"),'Calculations'!$HN$13:$HN$512,"="&amp;SUBSTITUTE(SUBSTITUTE(SUBSTITUTE('Dashboard'!$B$7,"~","~~"),"*","~*"),"?","~?"))+COUNTIFS('Calculations'!$IC$13:$IC$512,"="&amp;SUBSTITUTE(SUBSTITUTE(SUBSTITUTE('Calculations'!HF266,"~","~~"),"*","~*"),"?","~?"),'Calculations'!$HN$13:$HN$512,"="&amp;SUBSTITUTE(SUBSTITUTE(SUBSTITUTE('Dashboard'!$B$7,"~","~~"),"*","~*"),"?","~?"))+COUNTIFS('Calculations'!$ID$13:$ID$512,"="&amp;SUBSTITUTE(SUBSTITUTE(SUBSTITUTE('Calculations'!HF266,"~","~~"),"*","~*"),"?","~?"),'Calculations'!$HN$13:$HN$512,"="&amp;SUBSTITUTE(SUBSTITUTE(SUBSTITUTE('Dashboard'!$B$7,"~","~~"),"*","~*"),"?","~?"))+COUNTIFS('Calculations'!$IE$13:$IE$512,"="&amp;SUBSTITUTE(SUBSTITUTE(SUBSTITUTE('Calculations'!HF266,"~","~~"),"*","~*"),"?","~?"),'Calculations'!$HN$13:$HN$512,"="&amp;SUBSTITUTE(SUBSTITUTE(SUBSTITUTE('Dashboard'!$B$7,"~","~~"),"*","~*"),"?","~?"))+COUNTIFS('Calculations'!$IF$13:$IF$512,"="&amp;SUBSTITUTE(SUBSTITUTE(SUBSTITUTE('Calculations'!HF266,"~","~~"),"*","~*"),"?","~?"),'Calculations'!$HN$13:$HN$512,"="&amp;SUBSTITUTE(SUBSTITUTE(SUBSTITUTE('Dashboard'!$B$7,"~","~~"),"*","~*"),"?","~?"))+COUNTIFS('Calculations'!$IG$13:$IG$512,"="&amp;SUBSTITUTE(SUBSTITUTE(SUBSTITUTE('Calculations'!HF266,"~","~~"),"*","~*"),"?","~?"),'Calculations'!$HN$13:$HN$512,"="&amp;SUBSTITUTE(SUBSTITUTE(SUBSTITUTE('Dashboard'!$B$7,"~","~~"),"*","~*"),"?","~?"))+COUNTIFS('Calculations'!$IH$13:$IH$512,"="&amp;SUBSTITUTE(SUBSTITUTE(SUBSTITUTE('Calculations'!HF266,"~","~~"),"*","~*"),"?","~?"),'Calculations'!$HN$13:$HN$512,"="&amp;SUBSTITUTE(SUBSTITUTE(SUBSTITUTE('Dashboard'!$B$7,"~","~~"),"*","~*"),"?","~?"))))</x:f>
        <x:v>0</x:v>
      </x:c>
      <x:c r="JD266" t="n">
        <x:f>IF('Calculations'!EM266="",0,IF('Dashboard'!$B$7="All",1,IF('Calculations'!HN266='Dashboard'!$B$7,1,0)+IFERROR(INDEX('Calculations'!$JC$13:$JC$512,MATCH('Calculations'!HE266,'Calculations'!$HF$13:$HF$512,0)),0)))</x:f>
        <x:v>0</x:v>
      </x:c>
      <x:c r="JE266" t="n">
        <x:f>IF(AND('Calculations'!EM266&lt;&gt;"",'Calculations'!$JJ$2&lt;&gt;"All",'Calculations'!$JJ$2&lt;&gt;"",'Calculations'!HF266='Calculations'!$JJ$2,'Calculations'!HL266=0,'Calculations'!JD266&gt;0),MAX('Calculations'!$JE$12:JE265)+1,0)</x:f>
        <x:v>0</x:v>
      </x:c>
      <x:c r="JF266" t="str">
        <x:f>IF('Calculations'!EM266="","",IFERROR(IF(INDEX(INDIRECT("'WCM Calibration Final'!$G$1:$G$2000"),'Calculations'!$EM266)="","",TRIM(INDEX(INDIRECT("'WCM Calibration Final'!$G$1:$G$2000"),'Calculations'!$EM266)&amp;"")),""))</x:f>
      </x:c>
      <x:c r="JQ266" t="n">
        <x:f>IF(OR('Calculations'!BM266=0,NOT('Calculations'!$AG$2),'Calculations'!$AG$8&gt;0),0,IF(OR('Dashboard'!$B$7="All",'Calculations'!HN266='Dashboard'!$B$7),IF('Calculations'!$JJ$2="All",1,IF(AND('Calculations'!HF266='Calculations'!$JJ$2,'Calculations'!HL266=0),1,0)),0))</x:f>
        <x:v>0</x:v>
      </x:c>
    </x:row>
    <x:row r="267">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t="n">
        <x:f>IF('Calculations'!$EM267="",0,IF(OR(IFERROR(INDEX(INDIRECT("'WCM Calibration Final'!$A$1:$A$2000"),'Calculations'!$EM267)&lt;&gt;"",FALSE),IFERROR(INDEX(INDIRECT("'WCM Calibration Final'!$B$1:$B$2000"),'Calculations'!$EM267)&lt;&gt;"",FALSE),IFERROR(INDEX(INDIRECT("'WCM Calibration Final'!$C$1:$C$2000"),'Calculations'!$EM267)&lt;&gt;"",FALSE)),1,0))</x:f>
        <x:v>0</x:v>
      </x:c>
      <x:c r="BN267" s="4" t="n">
        <x:f>IF(AND('Calculations'!BM267=1,'Calculations'!$AG$2,'Calculations'!$EN267=1),1,0)</x:f>
        <x:v>0</x:v>
      </x:c>
      <x:c r="BO267" s="4" t="str">
        <x:f>IF('Calculations'!BM267=0,"",IFERROR(IF(AND(VALUE(INDEX(INDIRECT("'WCM Calibration Final'!$K$1:$K$2000"),'Calculations'!$EM267))&gt;=1,VALUE(INDEX(INDIRECT("'WCM Calibration Final'!$K$1:$K$2000"),'Calculations'!$EM267))&lt;=4,MOD(VALUE(INDEX(INDIRECT("'WCM Calibration Final'!$K$1:$K$2000"),'Calculations'!$EM267)),1)=0),VALUE(INDEX(INDIRECT("'WCM Calibration Final'!$K$1:$K$2000"),'Calculations'!$EM267)),""),""))</x:f>
      </x:c>
      <x:c r="BP267" s="4" t="str">
        <x:f>IF('Calculations'!BM267=0,"",IFERROR(IF(AND(VALUE(INDEX(INDIRECT("'WCM Calibration Final'!$L$1:$L$2000"),'Calculations'!$EM267))&gt;=1,VALUE(INDEX(INDIRECT("'WCM Calibration Final'!$L$1:$L$2000"),'Calculations'!$EM267))&lt;=4,MOD(VALUE(INDEX(INDIRECT("'WCM Calibration Final'!$L$1:$L$2000"),'Calculations'!$EM267)),1)=0),VALUE(INDEX(INDIRECT("'WCM Calibration Final'!$L$1:$L$2000"),'Calculations'!$EM267)),""),""))</x:f>
      </x:c>
      <x:c r="BQ267" s="4"/>
      <x:c r="BR267" s="4"/>
      <x:c r="BS267" s="4"/>
      <x:c r="BT267" s="4" t="n">
        <x:f>IF(AND('Calculations'!BM267=1,ISNUMBER('Calculations'!BO267),ISNUMBER('Calculations'!BP267)),1,0)</x:f>
        <x:v>0</x:v>
      </x:c>
      <x:c r="BU267" s="4" t="str">
        <x:f>IF('Calculations'!BM267=0,"",'Calculations'!$EO267)</x:f>
      </x:c>
      <x:c r="BV267" s="4" t="str">
        <x:f>IF('Calculations'!BM267=0,"",IFERROR(IF(OR(INDEX(INDIRECT("'WCM Calibration Final'!$H$1:$H$2000"),'Calculations'!$EM267)="MANAGING DIRECTOR",INDEX(INDIRECT("'WCM Calibration Final'!$H$1:$H$2000"),'Calculations'!$EM267)="DIRECTOR",INDEX(INDIRECT("'WCM Calibration Final'!$H$1:$H$2000"),'Calculations'!$EM267)="SENIOR VICE PRESIDENT",INDEX(INDIRECT("'WCM Calibration Final'!$H$1:$H$2000"),'Calculations'!$EM267)="VICE PRESIDENT",INDEX(INDIRECT("'WCM Calibration Final'!$H$1:$H$2000"),'Calculations'!$EM267)="ASSISTANT VICE PRESIDENT",INDEX(INDIRECT("'WCM Calibration Final'!$H$1:$H$2000"),'Calculations'!$EM267)="OFFICER"),UPPER(INDEX(INDIRECT("'WCM Calibration Final'!$H$1:$H$2000"),'Calculations'!$EM267)),"Other"),"Other"))</x:f>
      </x:c>
      <x:c r="BW267" s="4"/>
      <x:c r="BX267" s="4"/>
      <x:c r="BY267" s="4" t="n">
        <x:f>IF(AND('Calculations'!BM267=1,'Calculations'!BU267&lt;&gt;"",COUNTIF('Calculations'!$BU$12:BU267,'Calculations'!BU267)=1),MAX('Calculations'!$BY$11:BY266)+1,0)</x:f>
        <x:v>0</x:v>
      </x:c>
      <x:c r="BZ267" s="4" t="str">
        <x:f>IF('Dashboard'!$E$67="What",'Calculations'!BO267,'Calculations'!BP267)</x:f>
      </x:c>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t="str">
        <x:f>IF(256&gt;MAX('Calculations'!$HI$13:$HI$512),"",INDEX('Calculations'!$HN$13:$HN$512,MATCH(256,'Calculations'!$HI$13:$HI$512,0)))</x:f>
      </x:c>
      <x:c r="DB267" s="4" t="str">
        <x:f>IF(256&gt;MAX('Calculations'!$HH$13:$HH$512),"",INDEX('Calculations'!$HJ$13:$HJ$512,MATCH(256,'Calculations'!$HH$13:$HH$512,0)))</x:f>
      </x:c>
      <x:c r="DC267" s="4" t="str">
        <x:f>IF(ROW()-11&gt;MAX('Calculations'!$BY$13:$BY$512),"",INDEX('Calculations'!$BU$13:$BU$512,MATCH(ROW()-11,'Calculations'!$BY$13:$BY$512,0)))</x:f>
      </x:c>
      <x:c r="DD267" s="4" t="str">
        <x:f>IF(256&gt;MAX('Calculations'!$IK$13:$IK$512),"",INDEX('Calculations'!$HK$13:$HK$512,MATCH(256,'Calculations'!$IK$13:$IK$512,0)))</x:f>
      </x:c>
      <x:c r="DE267" s="4" t="str">
        <x:f>'Calculations'!DC267</x:f>
      </x:c>
      <x:c r="DF267" s="4" t="str">
        <x:f>IF('Calculations'!DE267="","",COUNTIFS('Calculations'!$BN$13:$BN$512,1,'Calculations'!$BU$13:$BU$512,'Calculations'!DE267))</x:f>
      </x:c>
      <x:c r="DG267" s="4" t="str">
        <x:f>IF('Calculations'!DE267="","",COUNTIFS('Calculations'!$BN$13:$BN$512,1,'Calculations'!$BU$13:$BU$512,'Calculations'!DE267,'Calculations'!$BT$13:$BT$512,1))</x:f>
      </x:c>
      <x:c r="DH267" s="4" t="str">
        <x:f>IF('Calculations'!DE267="","",'Calculations'!DF267-'Calculations'!DG267)</x:f>
      </x:c>
      <x:c r="DI267" s="4" t="str">
        <x:f>IF(OR('Calculations'!DE267="",'Calculations'!DF267=0),"",'Calculations'!DG267/'Calculations'!DF267)</x:f>
      </x:c>
      <x:c r="DJ267" s="4" t="str">
        <x:f>IF('Calculations'!DE267="","",COUNTIFS('Calculations'!$BN$13:$BN$512,1,'Calculations'!$BU$13:$BU$512,'Calculations'!DE267,'Calculations'!$BT$13:$BT$512,1,'Calculations'!$EE$13:$EE$512,"High"))</x:f>
      </x:c>
      <x:c r="DK267" s="4" t="str">
        <x:f>IF('Calculations'!DE267="","",COUNTIFS('Calculations'!$BN$13:$BN$512,1,'Calculations'!$BU$13:$BU$512,'Calculations'!DE267,'Calculations'!$BT$13:$BT$512,1,'Calculations'!$EE$13:$EE$512,"Strong"))</x:f>
      </x:c>
      <x:c r="DL267" s="4" t="str">
        <x:f>IF('Calculations'!DE267="","",COUNTIFS('Calculations'!$BN$13:$BN$512,1,'Calculations'!$BU$13:$BU$512,'Calculations'!DE267,'Calculations'!$BT$13:$BT$512,1,'Calculations'!$EE$13:$EE$512,"Solid"))</x:f>
      </x:c>
      <x:c r="DM267" s="4" t="str">
        <x:f>IF('Calculations'!DE267="","",COUNTIFS('Calculations'!$BN$13:$BN$512,1,'Calculations'!$BU$13:$BU$512,'Calculations'!DE267,'Calculations'!$BT$13:$BT$512,1,'Calculations'!$EE$13:$EE$512,"Low"))</x:f>
      </x:c>
      <x:c r="DN267" s="4" t="str">
        <x:f>IF('Calculations'!DE267="","",COUNTIFS('Calculations'!$BN$13:$BN$512,1,'Calculations'!$BU$13:$BU$512,'Calculations'!DE267,'Calculations'!$EP$13:$EP$512,1))</x:f>
      </x:c>
      <x:c r="DO267" s="4" t="str">
        <x:f>IF(OR('Calculations'!DE267="",'Calculations'!DG267=0),"",('Calculations'!DJ267+'Calculations'!DK267)/'Calculations'!DG267)</x:f>
      </x:c>
      <x:c r="DP267" s="4" t="n">
        <x:f>IF(AND('Calculations'!DE267&lt;&gt;"",'Calculations'!DF267&gt;0),COUNTIF('Calculations'!$DF$12:DF267,"&gt;0"),0)</x:f>
        <x:v>0</x:v>
      </x:c>
      <x:c r="DQ267" s="4" t="str">
        <x:f>IF(256&gt;MAX('Calculations'!$HH$13:$HH$512),"",INDEX('Calculations'!$HF$13:$HF$512,MATCH(256,'Calculations'!$HH$13:$HH$512,0)))</x:f>
      </x:c>
      <x:c r="DR267" s="4" t="str">
        <x:f>IF(256&gt;MAX('Calculations'!$IK$13:$IK$512),"",INDEX('Calculations'!$HE$13:$HE$512,MATCH(256,'Calculations'!$IK$13:$IK$512,0)))</x:f>
      </x:c>
      <x:c r="DS267" s="4"/>
      <x:c r="DT267" s="4"/>
      <x:c r="DU267" s="4"/>
      <x:c r="DV267" s="4"/>
      <x:c r="DW267" s="4"/>
      <x:c r="DX267" s="4"/>
      <x:c r="DY267" s="4"/>
      <x:c r="DZ267" s="4"/>
      <x:c r="EA267" s="4"/>
      <x:c r="EB267" s="4"/>
      <x:c r="EC267" s="4"/>
      <x:c r="ED267" s="4"/>
      <x:c r="EE267" s="4" t="str">
        <x:f>IF('Calculations'!BT267=0,"Not Rated",IF(OR('Calculations'!BO267&gt;=4,'Calculations'!BP267&gt;=4),"Low",IF('Calculations'!BO267+'Calculations'!BP267&lt;=3,"High",IF('Calculations'!BO267+'Calculations'!BP267&lt;=4,"Strong","Solid"))))</x:f>
        <x:v>Not Rated</x:v>
      </x:c>
      <x:c r="EF267" s="4"/>
      <x:c r="EG267" s="4"/>
      <x:c r="EH267" s="4"/>
      <x:c r="EI267" s="4"/>
      <x:c r="EJ267" s="4"/>
      <x:c r="EK267" s="4"/>
      <x:c r="EL267" s="4"/>
      <x:c r="EM267" s="4" t="str">
        <x:f>IF(255&gt;'Calculations'!$JB$2000,"",INDEX('Calculations'!$JA$12:$JA$2000,MATCH(255,'Calculations'!$JB$12:$JB$2000,0)))</x:f>
      </x:c>
      <x:c r="EN267" s="4" t="n">
        <x:f>IF(OR('Calculations'!EM267="",'Calculations'!$AG$8&gt;0,AND('Calculations'!$EF$2&lt;&gt;"All",'Calculations'!HE267='Calculations'!$EF$2),AND('Calculations'!$EF$3&lt;&gt;"All",'Calculations'!HE267='Calculations'!$EF$3)),0,IF(OR('Dashboard'!$B$7="All",'Calculations'!HN267='Dashboard'!$B$7),IF('Calculations'!$EF$2="All",1,IF('Calculations'!HL267&gt;0,0,IF(COUNTIF('Calculations'!HO267:II267,"="&amp;SUBSTITUTE(SUBSTITUTE(SUBSTITUTE('Calculations'!$EF$2,"~","~~"),"*","~*"),"?","~?"))=0,0,IF('Calculations'!$EF$3="All",1,IF(COUNTIF('Calculations'!HO267:II267,"="&amp;SUBSTITUTE(SUBSTITUTE(SUBSTITUTE('Calculations'!$EF$3,"~","~~"),"*","~*"),"?","~?"))&gt;0,1,0))))),0))</x:f>
        <x:v>0</x:v>
      </x:c>
      <x:c r="EO267" s="4" t="str">
        <x:f>IF('Calculations'!IJ267="","",IF('Calculations'!IJ267="!UNRESOLVED","Unresolved hierarchy",IFERROR(INDEX('Calculations'!$HK$13:$HK$512,MATCH('Calculations'!IJ267,'Calculations'!$HE$13:$HE$512,0)),IFERROR(INDEX('Calculations'!$HJ$13:$HJ$512,MATCH('Calculations'!IJ267,'Calculations'!$HF$13:$HF$512,0)),'Calculations'!IJ267))))</x:f>
      </x:c>
      <x:c r="EP267" s="4" t="n">
        <x:f>IF(AND('Calculations'!EM267&lt;&gt;"",'Calculations'!HF267='Calculations'!IJ267),1,0)</x:f>
        <x:v>0</x:v>
      </x:c>
      <x:c r="EQ267" s="4"/>
      <x:c r="ER267" s="4"/>
      <x:c r="ES267" s="4"/>
      <x:c r="ET267" s="4"/>
      <x:c r="EU267" s="4"/>
      <x:c r="EV267" s="4"/>
      <x:c r="EW267" s="4"/>
      <x:c r="EX267" s="4"/>
      <x:c r="EY267" s="4"/>
      <x:c r="EZ267" s="4"/>
      <x:c r="FA267" s="4"/>
      <x:c r="FB267" s="4"/>
      <x:c r="FC267" s="4"/>
      <x:c r="FD267" s="4"/>
      <x:c r="FE267" s="4"/>
      <x:c r="FF267" s="4"/>
      <x:c r="FG267" s="4"/>
      <x:c r="FH267" s="4"/>
      <x:c r="FI267" s="4"/>
      <x:c r="FJ267" s="4"/>
      <x:c r="FK267" s="4"/>
      <x:c r="FL267" s="4"/>
      <x:c r="FM267" s="4"/>
      <x:c r="FN267" s="4"/>
      <x:c r="FO267" s="4"/>
      <x:c r="HE267" t="str">
        <x:f>IF('Calculations'!EM267="","",IF(IFERROR(IF(INDEX(INDIRECT("'WCM Calibration Final'!$A$1:$A$2000"),'Calculations'!$EM267)="","",TRIM(INDEX(INDIRECT("'WCM Calibration Final'!$A$1:$A$2000"),'Calculations'!$EM267)&amp;"")),"")&lt;&gt;"","G:"&amp;IFERROR(TEXT(1*INDEX(INDIRECT("'WCM Calibration Final'!$A$1:$A$2000"),'Calculations'!$EM267),"0"),UPPER(IFERROR(IF(INDEX(INDIRECT("'WCM Calibration Final'!$A$1:$A$2000"),'Calculations'!$EM267)="","",TRIM(INDEX(INDIRECT("'WCM Calibration Final'!$A$1:$A$2000"),'Calculations'!$EM267)&amp;"")),""))),IF(IFERROR(IF(INDEX(INDIRECT("'WCM Calibration Final'!$C$1:$C$2000"),'Calculations'!$EM267)="","",TRIM(INDEX(INDIRECT("'WCM Calibration Final'!$C$1:$C$2000"),'Calculations'!$EM267)&amp;"")),"")&lt;&gt;"","S:"&amp;UPPER(IFERROR(IF(INDEX(INDIRECT("'WCM Calibration Final'!$C$1:$C$2000"),'Calculations'!$EM267)="","",TRIM(INDEX(INDIRECT("'WCM Calibration Final'!$C$1:$C$2000"),'Calculations'!$EM267)&amp;"")),"")),"R:"&amp;'Calculations'!EM267)))</x:f>
      </x:c>
      <x:c r="HF267" t="str">
        <x:f>IF('Calculations'!EM267="","",IF(IFERROR(IF(INDEX(INDIRECT("'WCM Calibration Final'!$D$1:$D$2000"),'Calculations'!$EM267)="","",TRIM(INDEX(INDIRECT("'WCM Calibration Final'!$D$1:$D$2000"),'Calculations'!$EM267)&amp;"")),"")&lt;&gt;"","G:"&amp;IFERROR(TEXT(1*INDEX(INDIRECT("'WCM Calibration Final'!$D$1:$D$2000"),'Calculations'!$EM267),"0"),UPPER(IFERROR(IF(INDEX(INDIRECT("'WCM Calibration Final'!$D$1:$D$2000"),'Calculations'!$EM267)="","",TRIM(INDEX(INDIRECT("'WCM Calibration Final'!$D$1:$D$2000"),'Calculations'!$EM267)&amp;"")),""))),IF(IFERROR(IF(INDEX(INDIRECT("'WCM Calibration Final'!$E$1:$E$2000"),'Calculations'!$EM267)="","",TRIM(INDEX(INDIRECT("'WCM Calibration Final'!$E$1:$E$2000"),'Calculations'!$EM267)&amp;"")),"")="","",IF(COUNTIF('Calculations'!$HG$13:$HG$512,"="&amp;SUBSTITUTE(SUBSTITUTE(SUBSTITUTE(IFERROR(IF(INDEX(INDIRECT("'WCM Calibration Final'!$E$1:$E$2000"),'Calculations'!$EM267)="","",TRIM(INDEX(INDIRECT("'WCM Calibration Final'!$E$1:$E$2000"),'Calculations'!$EM267)&amp;"")),""),"~","~~"),"*","~*"),"?","~?"))=1,INDEX('Calculations'!$HE$13:$HE$512,MATCH(IFERROR(IF(INDEX(INDIRECT("'WCM Calibration Final'!$E$1:$E$2000"),'Calculations'!$EM267)="","",TRIM(INDEX(INDIRECT("'WCM Calibration Final'!$E$1:$E$2000"),'Calculations'!$EM267)&amp;"")),""),'Calculations'!$HG$13:$HG$512,0)),IF(COUNTIF('Calculations'!$HG$13:$HG$512,"="&amp;SUBSTITUTE(SUBSTITUTE(SUBSTITUTE(IFERROR(IF(INDEX(INDIRECT("'WCM Calibration Final'!$E$1:$E$2000"),'Calculations'!$EM267)="","",TRIM(INDEX(INDIRECT("'WCM Calibration Final'!$E$1:$E$2000"),'Calculations'!$EM267)&amp;"")),""),"~","~~"),"*","~*"),"?","~?"))&gt;1,"!AMBIG","X:"&amp;IFERROR(IF(INDEX(INDIRECT("'WCM Calibration Final'!$E$1:$E$2000"),'Calculations'!$EM267)="","",TRIM(INDEX(INDIRECT("'WCM Calibration Final'!$E$1:$E$2000"),'Calculations'!$EM267)&amp;"")),""))))))</x:f>
      </x:c>
      <x:c r="HG267" t="str">
        <x:f>IF('Calculations'!EM267="","",IFERROR(IF(INDEX(INDIRECT("'WCM Calibration Final'!$B$1:$B$2000"),'Calculations'!$EM267)="","",TRIM(INDEX(INDIRECT("'WCM Calibration Final'!$B$1:$B$2000"),'Calculations'!$EM267)&amp;"")),""))</x:f>
      </x:c>
      <x:c r="HH267" t="n">
        <x:f>IF(AND('Calculations'!JC267&gt;0,COUNTIF('Calculations'!$HF$12:HF267,"="&amp;SUBSTITUTE(SUBSTITUTE(SUBSTITUTE('Calculations'!HF267,"~","~~"),"*","~*"),"?","~?"))=1),MAX('Calculations'!$HH$12:HH266)+1,0)</x:f>
        <x:v>0</x:v>
      </x:c>
      <x:c r="HI267" t="n">
        <x:f>IF(AND('Calculations'!HN267&lt;&gt;"",COUNTIF('Calculations'!$HN$12:HN267,"="&amp;SUBSTITUTE(SUBSTITUTE(SUBSTITUTE('Calculations'!HN267,"~","~~"),"*","~*"),"?","~?"))=1),MAX('Calculations'!$HI$12:HI266)+1,0)</x:f>
        <x:v>0</x:v>
      </x:c>
      <x:c r="HJ267" t="str">
        <x:f>IF('Calculations'!HF267="","",IF(COUNTIF('Calculations'!$HE$13:$HE$512,"="&amp;SUBSTITUTE(SUBSTITUTE(SUBSTITUTE('Calculations'!HF267,"~","~~"),"*","~*"),"?","~?"))=1,INDEX('Calculations'!$HK$13:$HK$512,MATCH('Calculations'!HF267,'Calculations'!$HE$13:$HE$512,0)),IFERROR(IF(INDEX(INDIRECT("'WCM Calibration Final'!$E$1:$E$2000"),'Calculations'!$EM267)="","",TRIM(INDEX(INDIRECT("'WCM Calibration Final'!$E$1:$E$2000"),'Calculations'!$EM267)&amp;"")),"")&amp;" ["&amp;'Calculations'!HF267&amp;"]"))</x:f>
      </x:c>
      <x:c r="HK267" t="str">
        <x:f>IF('Calculations'!EM267="","",'Calculations'!HG267&amp;" ["&amp;'Calculations'!HE267&amp;"]")</x:f>
      </x:c>
      <x:c r="HL267" t="n">
        <x:f>IF('Calculations'!EM267="",0,IF(OR('Calculations'!II267&lt;&gt;"",COUNTIF('Calculations'!$HE$13:$HE$512,"="&amp;SUBSTITUTE(SUBSTITUTE(SUBSTITUTE('Calculations'!HE267,"~","~~"),"*","~*"),"?","~?"))&gt;1),1,0))</x:f>
        <x:v>0</x:v>
      </x:c>
      <x:c r="HM267" t="str">
        <x:f>IF('Calculations'!EM267="","",IF('Calculations'!HL267=1,"!UNRESOLVED",IF('Calculations'!IH267&lt;&gt;"",'Calculations'!IH267,IF('Calculations'!IG267&lt;&gt;"",'Calculations'!IG267,IF('Calculations'!IF267&lt;&gt;"",'Calculations'!IF267,IF('Calculations'!IE267&lt;&gt;"",'Calculations'!IE267,IF('Calculations'!ID267&lt;&gt;"",'Calculations'!ID267,IF('Calculations'!IC267&lt;&gt;"",'Calculations'!IC267,IF('Calculations'!IB267&lt;&gt;"",'Calculations'!IB267,IF('Calculations'!IA267&lt;&gt;"",'Calculations'!IA267,IF('Calculations'!HZ267&lt;&gt;"",'Calculations'!HZ267,IF('Calculations'!HY267&lt;&gt;"",'Calculations'!HY267,IF('Calculations'!HX267&lt;&gt;"",'Calculations'!HX267,IF('Calculations'!HW267&lt;&gt;"",'Calculations'!HW267,IF('Calculations'!HV267&lt;&gt;"",'Calculations'!HV267,IF('Calculations'!HU267&lt;&gt;"",'Calculations'!HU267,IF('Calculations'!HT267&lt;&gt;"",'Calculations'!HT267,IF('Calculations'!HS267&lt;&gt;"",'Calculations'!HS267,IF('Calculations'!HR267&lt;&gt;"",'Calculations'!HR267,IF('Calculations'!HQ267&lt;&gt;"",'Calculations'!HQ267,IF('Calculations'!HP267&lt;&gt;"",'Calculations'!HP267,IF('Calculations'!HO267&lt;&gt;"",'Calculations'!HO267,'Calculations'!HE267))))))))))))))))))))))</x:f>
      </x:c>
      <x:c r="HN267" t="str">
        <x:f>IF('Calculations'!EM267="","",IF(IFERROR(IF(INDEX(INDIRECT("'WCM Calibration Final'!$F$1:$F$2000"),'Calculations'!$EM267)="","",TRIM(INDEX(INDIRECT("'WCM Calibration Final'!$F$1:$F$2000"),'Calculations'!$EM267)&amp;"")),"")="","(Blank)",IFERROR(IF(INDEX(INDIRECT("'WCM Calibration Final'!$F$1:$F$2000"),'Calculations'!$EM267)="","",TRIM(INDEX(INDIRECT("'WCM Calibration Final'!$F$1:$F$2000"),'Calculations'!$EM267)&amp;"")),"")))</x:f>
      </x:c>
      <x:c r="HO267" t="str">
        <x:f>'Calculations'!HF267</x:f>
      </x:c>
      <x:c r="HP267" t="str">
        <x:f>IF('Calculations'!HO267="","",IF('Calculations'!HO267="!AMBIG","!AMBIG",IF(COUNTIF('Calculations'!$HE$13:$HE$512,"="&amp;SUBSTITUTE(SUBSTITUTE(SUBSTITUTE('Calculations'!HO267,"~","~~"),"*","~*"),"?","~?"))&gt;1,"!AMBIG",IFERROR(INDEX('Calculations'!$HF$13:$HF$512,MATCH('Calculations'!HO267,'Calculations'!$HE$13:$HE$512,0)),""))))</x:f>
      </x:c>
      <x:c r="HQ267" t="str">
        <x:f>IF('Calculations'!HP267="","",IF('Calculations'!HP267="!AMBIG","!AMBIG",IF(COUNTIF('Calculations'!$HE$13:$HE$512,"="&amp;SUBSTITUTE(SUBSTITUTE(SUBSTITUTE('Calculations'!HP267,"~","~~"),"*","~*"),"?","~?"))&gt;1,"!AMBIG",IFERROR(INDEX('Calculations'!$HF$13:$HF$512,MATCH('Calculations'!HP267,'Calculations'!$HE$13:$HE$512,0)),""))))</x:f>
      </x:c>
      <x:c r="HR267" t="str">
        <x:f>IF('Calculations'!HQ267="","",IF('Calculations'!HQ267="!AMBIG","!AMBIG",IF(COUNTIF('Calculations'!$HE$13:$HE$512,"="&amp;SUBSTITUTE(SUBSTITUTE(SUBSTITUTE('Calculations'!HQ267,"~","~~"),"*","~*"),"?","~?"))&gt;1,"!AMBIG",IFERROR(INDEX('Calculations'!$HF$13:$HF$512,MATCH('Calculations'!HQ267,'Calculations'!$HE$13:$HE$512,0)),""))))</x:f>
      </x:c>
      <x:c r="HS267" t="str">
        <x:f>IF('Calculations'!HR267="","",IF('Calculations'!HR267="!AMBIG","!AMBIG",IF(COUNTIF('Calculations'!$HE$13:$HE$512,"="&amp;SUBSTITUTE(SUBSTITUTE(SUBSTITUTE('Calculations'!HR267,"~","~~"),"*","~*"),"?","~?"))&gt;1,"!AMBIG",IFERROR(INDEX('Calculations'!$HF$13:$HF$512,MATCH('Calculations'!HR267,'Calculations'!$HE$13:$HE$512,0)),""))))</x:f>
      </x:c>
      <x:c r="HT267" t="str">
        <x:f>IF('Calculations'!HS267="","",IF('Calculations'!HS267="!AMBIG","!AMBIG",IF(COUNTIF('Calculations'!$HE$13:$HE$512,"="&amp;SUBSTITUTE(SUBSTITUTE(SUBSTITUTE('Calculations'!HS267,"~","~~"),"*","~*"),"?","~?"))&gt;1,"!AMBIG",IFERROR(INDEX('Calculations'!$HF$13:$HF$512,MATCH('Calculations'!HS267,'Calculations'!$HE$13:$HE$512,0)),""))))</x:f>
      </x:c>
      <x:c r="HU267" t="str">
        <x:f>IF('Calculations'!HT267="","",IF('Calculations'!HT267="!AMBIG","!AMBIG",IF(COUNTIF('Calculations'!$HE$13:$HE$512,"="&amp;SUBSTITUTE(SUBSTITUTE(SUBSTITUTE('Calculations'!HT267,"~","~~"),"*","~*"),"?","~?"))&gt;1,"!AMBIG",IFERROR(INDEX('Calculations'!$HF$13:$HF$512,MATCH('Calculations'!HT267,'Calculations'!$HE$13:$HE$512,0)),""))))</x:f>
      </x:c>
      <x:c r="HV267" t="str">
        <x:f>IF('Calculations'!HU267="","",IF('Calculations'!HU267="!AMBIG","!AMBIG",IF(COUNTIF('Calculations'!$HE$13:$HE$512,"="&amp;SUBSTITUTE(SUBSTITUTE(SUBSTITUTE('Calculations'!HU267,"~","~~"),"*","~*"),"?","~?"))&gt;1,"!AMBIG",IFERROR(INDEX('Calculations'!$HF$13:$HF$512,MATCH('Calculations'!HU267,'Calculations'!$HE$13:$HE$512,0)),""))))</x:f>
      </x:c>
      <x:c r="HW267" t="str">
        <x:f>IF('Calculations'!HV267="","",IF('Calculations'!HV267="!AMBIG","!AMBIG",IF(COUNTIF('Calculations'!$HE$13:$HE$512,"="&amp;SUBSTITUTE(SUBSTITUTE(SUBSTITUTE('Calculations'!HV267,"~","~~"),"*","~*"),"?","~?"))&gt;1,"!AMBIG",IFERROR(INDEX('Calculations'!$HF$13:$HF$512,MATCH('Calculations'!HV267,'Calculations'!$HE$13:$HE$512,0)),""))))</x:f>
      </x:c>
      <x:c r="HX267" t="str">
        <x:f>IF('Calculations'!HW267="","",IF('Calculations'!HW267="!AMBIG","!AMBIG",IF(COUNTIF('Calculations'!$HE$13:$HE$512,"="&amp;SUBSTITUTE(SUBSTITUTE(SUBSTITUTE('Calculations'!HW267,"~","~~"),"*","~*"),"?","~?"))&gt;1,"!AMBIG",IFERROR(INDEX('Calculations'!$HF$13:$HF$512,MATCH('Calculations'!HW267,'Calculations'!$HE$13:$HE$512,0)),""))))</x:f>
      </x:c>
      <x:c r="HY267" t="str">
        <x:f>IF('Calculations'!HX267="","",IF('Calculations'!HX267="!AMBIG","!AMBIG",IF(COUNTIF('Calculations'!$HE$13:$HE$512,"="&amp;SUBSTITUTE(SUBSTITUTE(SUBSTITUTE('Calculations'!HX267,"~","~~"),"*","~*"),"?","~?"))&gt;1,"!AMBIG",IFERROR(INDEX('Calculations'!$HF$13:$HF$512,MATCH('Calculations'!HX267,'Calculations'!$HE$13:$HE$512,0)),""))))</x:f>
      </x:c>
      <x:c r="HZ267" t="str">
        <x:f>IF('Calculations'!HY267="","",IF('Calculations'!HY267="!AMBIG","!AMBIG",IF(COUNTIF('Calculations'!$HE$13:$HE$512,"="&amp;SUBSTITUTE(SUBSTITUTE(SUBSTITUTE('Calculations'!HY267,"~","~~"),"*","~*"),"?","~?"))&gt;1,"!AMBIG",IFERROR(INDEX('Calculations'!$HF$13:$HF$512,MATCH('Calculations'!HY267,'Calculations'!$HE$13:$HE$512,0)),""))))</x:f>
      </x:c>
      <x:c r="IA267" t="str">
        <x:f>IF('Calculations'!HZ267="","",IF('Calculations'!HZ267="!AMBIG","!AMBIG",IF(COUNTIF('Calculations'!$HE$13:$HE$512,"="&amp;SUBSTITUTE(SUBSTITUTE(SUBSTITUTE('Calculations'!HZ267,"~","~~"),"*","~*"),"?","~?"))&gt;1,"!AMBIG",IFERROR(INDEX('Calculations'!$HF$13:$HF$512,MATCH('Calculations'!HZ267,'Calculations'!$HE$13:$HE$512,0)),""))))</x:f>
      </x:c>
      <x:c r="IB267" t="str">
        <x:f>IF('Calculations'!IA267="","",IF('Calculations'!IA267="!AMBIG","!AMBIG",IF(COUNTIF('Calculations'!$HE$13:$HE$512,"="&amp;SUBSTITUTE(SUBSTITUTE(SUBSTITUTE('Calculations'!IA267,"~","~~"),"*","~*"),"?","~?"))&gt;1,"!AMBIG",IFERROR(INDEX('Calculations'!$HF$13:$HF$512,MATCH('Calculations'!IA267,'Calculations'!$HE$13:$HE$512,0)),""))))</x:f>
      </x:c>
      <x:c r="IC267" t="str">
        <x:f>IF('Calculations'!IB267="","",IF('Calculations'!IB267="!AMBIG","!AMBIG",IF(COUNTIF('Calculations'!$HE$13:$HE$512,"="&amp;SUBSTITUTE(SUBSTITUTE(SUBSTITUTE('Calculations'!IB267,"~","~~"),"*","~*"),"?","~?"))&gt;1,"!AMBIG",IFERROR(INDEX('Calculations'!$HF$13:$HF$512,MATCH('Calculations'!IB267,'Calculations'!$HE$13:$HE$512,0)),""))))</x:f>
      </x:c>
      <x:c r="ID267" t="str">
        <x:f>IF('Calculations'!IC267="","",IF('Calculations'!IC267="!AMBIG","!AMBIG",IF(COUNTIF('Calculations'!$HE$13:$HE$512,"="&amp;SUBSTITUTE(SUBSTITUTE(SUBSTITUTE('Calculations'!IC267,"~","~~"),"*","~*"),"?","~?"))&gt;1,"!AMBIG",IFERROR(INDEX('Calculations'!$HF$13:$HF$512,MATCH('Calculations'!IC267,'Calculations'!$HE$13:$HE$512,0)),""))))</x:f>
      </x:c>
      <x:c r="IE267" t="str">
        <x:f>IF('Calculations'!ID267="","",IF('Calculations'!ID267="!AMBIG","!AMBIG",IF(COUNTIF('Calculations'!$HE$13:$HE$512,"="&amp;SUBSTITUTE(SUBSTITUTE(SUBSTITUTE('Calculations'!ID267,"~","~~"),"*","~*"),"?","~?"))&gt;1,"!AMBIG",IFERROR(INDEX('Calculations'!$HF$13:$HF$512,MATCH('Calculations'!ID267,'Calculations'!$HE$13:$HE$512,0)),""))))</x:f>
      </x:c>
      <x:c r="IF267" t="str">
        <x:f>IF('Calculations'!IE267="","",IF('Calculations'!IE267="!AMBIG","!AMBIG",IF(COUNTIF('Calculations'!$HE$13:$HE$512,"="&amp;SUBSTITUTE(SUBSTITUTE(SUBSTITUTE('Calculations'!IE267,"~","~~"),"*","~*"),"?","~?"))&gt;1,"!AMBIG",IFERROR(INDEX('Calculations'!$HF$13:$HF$512,MATCH('Calculations'!IE267,'Calculations'!$HE$13:$HE$512,0)),""))))</x:f>
      </x:c>
      <x:c r="IG267" t="str">
        <x:f>IF('Calculations'!IF267="","",IF('Calculations'!IF267="!AMBIG","!AMBIG",IF(COUNTIF('Calculations'!$HE$13:$HE$512,"="&amp;SUBSTITUTE(SUBSTITUTE(SUBSTITUTE('Calculations'!IF267,"~","~~"),"*","~*"),"?","~?"))&gt;1,"!AMBIG",IFERROR(INDEX('Calculations'!$HF$13:$HF$512,MATCH('Calculations'!IF267,'Calculations'!$HE$13:$HE$512,0)),""))))</x:f>
      </x:c>
      <x:c r="IH267" t="str">
        <x:f>IF('Calculations'!IG267="","",IF('Calculations'!IG267="!AMBIG","!AMBIG",IF(COUNTIF('Calculations'!$HE$13:$HE$512,"="&amp;SUBSTITUTE(SUBSTITUTE(SUBSTITUTE('Calculations'!IG267,"~","~~"),"*","~*"),"?","~?"))&gt;1,"!AMBIG",IFERROR(INDEX('Calculations'!$HF$13:$HF$512,MATCH('Calculations'!IG267,'Calculations'!$HE$13:$HE$512,0)),""))))</x:f>
      </x:c>
      <x:c r="II267" t="str">
        <x:f>IF('Calculations'!IH267="","",IF('Calculations'!IH267="!AMBIG","!AMBIG",IF(COUNTIF('Calculations'!$HE$13:$HE$512,"="&amp;SUBSTITUTE(SUBSTITUTE(SUBSTITUTE('Calculations'!IH267,"~","~~"),"*","~*"),"?","~?"))&gt;1,"!AMBIG",IFERROR(INDEX('Calculations'!$HF$13:$HF$512,MATCH('Calculations'!IH267,'Calculations'!$HE$13:$HE$512,0)),""))))</x:f>
      </x:c>
      <x:c r="IJ267" t="str">
        <x:f>IF('Calculations'!EM267="","",IF('Calculations'!$EF$2="All",'Calculations'!HM267,IF('Calculations'!HL267=1,"",IFERROR(IF(MATCH('Calculations'!$EF$2,'Calculations'!HO267:II267,0)=1,'Calculations'!HE267,INDEX('Calculations'!HO267:II267,1,MATCH('Calculations'!$EF$2,'Calculations'!HO267:II267,0)-1)),""))))</x:f>
      </x:c>
      <x:c r="IK267" t="n">
        <x:f>IF(AND('Calculations'!EM267&lt;&gt;"",'Calculations'!$EF$2&lt;&gt;"All",'Calculations'!HF267='Calculations'!$EF$2,'Calculations'!HL267=0,'Calculations'!JD267&gt;0),MAX('Calculations'!$IK$12:IK266)+1,0)</x:f>
        <x:v>0</x:v>
      </x:c>
      <x:c r="JA267" t="n">
        <x:f>IF(OR(IFERROR(INDIRECT("'WCM Calibration Final'!$A$267")&lt;&gt;"",FALSE),IFERROR(INDIRECT("'WCM Calibration Final'!$B$267")&lt;&gt;"",FALSE),IFERROR(INDIRECT("'WCM Calibration Final'!$C$267")&lt;&gt;"",FALSE)),267,0)</x:f>
        <x:v>0</x:v>
      </x:c>
      <x:c r="JB267" t="n">
        <x:f>'Calculations'!JB266+IF('Calculations'!JA267&gt;0,1,0)</x:f>
        <x:v>0</x:v>
      </x:c>
      <x:c r="JC267" t="n">
        <x:f>IF(OR('Calculations'!HF267="",'Calculations'!HF267="!AMBIG"),0,IF('Dashboard'!$B$7="All",1,COUNTIFS('Calculations'!$HO$13:$HO$512,"="&amp;SUBSTITUTE(SUBSTITUTE(SUBSTITUTE('Calculations'!HF267,"~","~~"),"*","~*"),"?","~?"),'Calculations'!$HN$13:$HN$512,"="&amp;SUBSTITUTE(SUBSTITUTE(SUBSTITUTE('Dashboard'!$B$7,"~","~~"),"*","~*"),"?","~?"))+COUNTIFS('Calculations'!$HP$13:$HP$512,"="&amp;SUBSTITUTE(SUBSTITUTE(SUBSTITUTE('Calculations'!HF267,"~","~~"),"*","~*"),"?","~?"),'Calculations'!$HN$13:$HN$512,"="&amp;SUBSTITUTE(SUBSTITUTE(SUBSTITUTE('Dashboard'!$B$7,"~","~~"),"*","~*"),"?","~?"))+COUNTIFS('Calculations'!$HQ$13:$HQ$512,"="&amp;SUBSTITUTE(SUBSTITUTE(SUBSTITUTE('Calculations'!HF267,"~","~~"),"*","~*"),"?","~?"),'Calculations'!$HN$13:$HN$512,"="&amp;SUBSTITUTE(SUBSTITUTE(SUBSTITUTE('Dashboard'!$B$7,"~","~~"),"*","~*"),"?","~?"))+COUNTIFS('Calculations'!$HR$13:$HR$512,"="&amp;SUBSTITUTE(SUBSTITUTE(SUBSTITUTE('Calculations'!HF267,"~","~~"),"*","~*"),"?","~?"),'Calculations'!$HN$13:$HN$512,"="&amp;SUBSTITUTE(SUBSTITUTE(SUBSTITUTE('Dashboard'!$B$7,"~","~~"),"*","~*"),"?","~?"))+COUNTIFS('Calculations'!$HS$13:$HS$512,"="&amp;SUBSTITUTE(SUBSTITUTE(SUBSTITUTE('Calculations'!HF267,"~","~~"),"*","~*"),"?","~?"),'Calculations'!$HN$13:$HN$512,"="&amp;SUBSTITUTE(SUBSTITUTE(SUBSTITUTE('Dashboard'!$B$7,"~","~~"),"*","~*"),"?","~?"))+COUNTIFS('Calculations'!$HT$13:$HT$512,"="&amp;SUBSTITUTE(SUBSTITUTE(SUBSTITUTE('Calculations'!HF267,"~","~~"),"*","~*"),"?","~?"),'Calculations'!$HN$13:$HN$512,"="&amp;SUBSTITUTE(SUBSTITUTE(SUBSTITUTE('Dashboard'!$B$7,"~","~~"),"*","~*"),"?","~?"))+COUNTIFS('Calculations'!$HU$13:$HU$512,"="&amp;SUBSTITUTE(SUBSTITUTE(SUBSTITUTE('Calculations'!HF267,"~","~~"),"*","~*"),"?","~?"),'Calculations'!$HN$13:$HN$512,"="&amp;SUBSTITUTE(SUBSTITUTE(SUBSTITUTE('Dashboard'!$B$7,"~","~~"),"*","~*"),"?","~?"))+COUNTIFS('Calculations'!$HV$13:$HV$512,"="&amp;SUBSTITUTE(SUBSTITUTE(SUBSTITUTE('Calculations'!HF267,"~","~~"),"*","~*"),"?","~?"),'Calculations'!$HN$13:$HN$512,"="&amp;SUBSTITUTE(SUBSTITUTE(SUBSTITUTE('Dashboard'!$B$7,"~","~~"),"*","~*"),"?","~?"))+COUNTIFS('Calculations'!$HW$13:$HW$512,"="&amp;SUBSTITUTE(SUBSTITUTE(SUBSTITUTE('Calculations'!HF267,"~","~~"),"*","~*"),"?","~?"),'Calculations'!$HN$13:$HN$512,"="&amp;SUBSTITUTE(SUBSTITUTE(SUBSTITUTE('Dashboard'!$B$7,"~","~~"),"*","~*"),"?","~?"))+COUNTIFS('Calculations'!$HX$13:$HX$512,"="&amp;SUBSTITUTE(SUBSTITUTE(SUBSTITUTE('Calculations'!HF267,"~","~~"),"*","~*"),"?","~?"),'Calculations'!$HN$13:$HN$512,"="&amp;SUBSTITUTE(SUBSTITUTE(SUBSTITUTE('Dashboard'!$B$7,"~","~~"),"*","~*"),"?","~?"))+COUNTIFS('Calculations'!$HY$13:$HY$512,"="&amp;SUBSTITUTE(SUBSTITUTE(SUBSTITUTE('Calculations'!HF267,"~","~~"),"*","~*"),"?","~?"),'Calculations'!$HN$13:$HN$512,"="&amp;SUBSTITUTE(SUBSTITUTE(SUBSTITUTE('Dashboard'!$B$7,"~","~~"),"*","~*"),"?","~?"))+COUNTIFS('Calculations'!$HZ$13:$HZ$512,"="&amp;SUBSTITUTE(SUBSTITUTE(SUBSTITUTE('Calculations'!HF267,"~","~~"),"*","~*"),"?","~?"),'Calculations'!$HN$13:$HN$512,"="&amp;SUBSTITUTE(SUBSTITUTE(SUBSTITUTE('Dashboard'!$B$7,"~","~~"),"*","~*"),"?","~?"))+COUNTIFS('Calculations'!$IA$13:$IA$512,"="&amp;SUBSTITUTE(SUBSTITUTE(SUBSTITUTE('Calculations'!HF267,"~","~~"),"*","~*"),"?","~?"),'Calculations'!$HN$13:$HN$512,"="&amp;SUBSTITUTE(SUBSTITUTE(SUBSTITUTE('Dashboard'!$B$7,"~","~~"),"*","~*"),"?","~?"))+COUNTIFS('Calculations'!$IB$13:$IB$512,"="&amp;SUBSTITUTE(SUBSTITUTE(SUBSTITUTE('Calculations'!HF267,"~","~~"),"*","~*"),"?","~?"),'Calculations'!$HN$13:$HN$512,"="&amp;SUBSTITUTE(SUBSTITUTE(SUBSTITUTE('Dashboard'!$B$7,"~","~~"),"*","~*"),"?","~?"))+COUNTIFS('Calculations'!$IC$13:$IC$512,"="&amp;SUBSTITUTE(SUBSTITUTE(SUBSTITUTE('Calculations'!HF267,"~","~~"),"*","~*"),"?","~?"),'Calculations'!$HN$13:$HN$512,"="&amp;SUBSTITUTE(SUBSTITUTE(SUBSTITUTE('Dashboard'!$B$7,"~","~~"),"*","~*"),"?","~?"))+COUNTIFS('Calculations'!$ID$13:$ID$512,"="&amp;SUBSTITUTE(SUBSTITUTE(SUBSTITUTE('Calculations'!HF267,"~","~~"),"*","~*"),"?","~?"),'Calculations'!$HN$13:$HN$512,"="&amp;SUBSTITUTE(SUBSTITUTE(SUBSTITUTE('Dashboard'!$B$7,"~","~~"),"*","~*"),"?","~?"))+COUNTIFS('Calculations'!$IE$13:$IE$512,"="&amp;SUBSTITUTE(SUBSTITUTE(SUBSTITUTE('Calculations'!HF267,"~","~~"),"*","~*"),"?","~?"),'Calculations'!$HN$13:$HN$512,"="&amp;SUBSTITUTE(SUBSTITUTE(SUBSTITUTE('Dashboard'!$B$7,"~","~~"),"*","~*"),"?","~?"))+COUNTIFS('Calculations'!$IF$13:$IF$512,"="&amp;SUBSTITUTE(SUBSTITUTE(SUBSTITUTE('Calculations'!HF267,"~","~~"),"*","~*"),"?","~?"),'Calculations'!$HN$13:$HN$512,"="&amp;SUBSTITUTE(SUBSTITUTE(SUBSTITUTE('Dashboard'!$B$7,"~","~~"),"*","~*"),"?","~?"))+COUNTIFS('Calculations'!$IG$13:$IG$512,"="&amp;SUBSTITUTE(SUBSTITUTE(SUBSTITUTE('Calculations'!HF267,"~","~~"),"*","~*"),"?","~?"),'Calculations'!$HN$13:$HN$512,"="&amp;SUBSTITUTE(SUBSTITUTE(SUBSTITUTE('Dashboard'!$B$7,"~","~~"),"*","~*"),"?","~?"))+COUNTIFS('Calculations'!$IH$13:$IH$512,"="&amp;SUBSTITUTE(SUBSTITUTE(SUBSTITUTE('Calculations'!HF267,"~","~~"),"*","~*"),"?","~?"),'Calculations'!$HN$13:$HN$512,"="&amp;SUBSTITUTE(SUBSTITUTE(SUBSTITUTE('Dashboard'!$B$7,"~","~~"),"*","~*"),"?","~?"))))</x:f>
        <x:v>0</x:v>
      </x:c>
      <x:c r="JD267" t="n">
        <x:f>IF('Calculations'!EM267="",0,IF('Dashboard'!$B$7="All",1,IF('Calculations'!HN267='Dashboard'!$B$7,1,0)+IFERROR(INDEX('Calculations'!$JC$13:$JC$512,MATCH('Calculations'!HE267,'Calculations'!$HF$13:$HF$512,0)),0)))</x:f>
        <x:v>0</x:v>
      </x:c>
      <x:c r="JE267" t="n">
        <x:f>IF(AND('Calculations'!EM267&lt;&gt;"",'Calculations'!$JJ$2&lt;&gt;"All",'Calculations'!$JJ$2&lt;&gt;"",'Calculations'!HF267='Calculations'!$JJ$2,'Calculations'!HL267=0,'Calculations'!JD267&gt;0),MAX('Calculations'!$JE$12:JE266)+1,0)</x:f>
        <x:v>0</x:v>
      </x:c>
      <x:c r="JF267" t="str">
        <x:f>IF('Calculations'!EM267="","",IFERROR(IF(INDEX(INDIRECT("'WCM Calibration Final'!$G$1:$G$2000"),'Calculations'!$EM267)="","",TRIM(INDEX(INDIRECT("'WCM Calibration Final'!$G$1:$G$2000"),'Calculations'!$EM267)&amp;"")),""))</x:f>
      </x:c>
      <x:c r="JQ267" t="n">
        <x:f>IF(OR('Calculations'!BM267=0,NOT('Calculations'!$AG$2),'Calculations'!$AG$8&gt;0),0,IF(OR('Dashboard'!$B$7="All",'Calculations'!HN267='Dashboard'!$B$7),IF('Calculations'!$JJ$2="All",1,IF(AND('Calculations'!HF267='Calculations'!$JJ$2,'Calculations'!HL267=0),1,0)),0))</x:f>
        <x:v>0</x:v>
      </x:c>
    </x:row>
    <x:row r="268">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t="n">
        <x:f>IF('Calculations'!$EM268="",0,IF(OR(IFERROR(INDEX(INDIRECT("'WCM Calibration Final'!$A$1:$A$2000"),'Calculations'!$EM268)&lt;&gt;"",FALSE),IFERROR(INDEX(INDIRECT("'WCM Calibration Final'!$B$1:$B$2000"),'Calculations'!$EM268)&lt;&gt;"",FALSE),IFERROR(INDEX(INDIRECT("'WCM Calibration Final'!$C$1:$C$2000"),'Calculations'!$EM268)&lt;&gt;"",FALSE)),1,0))</x:f>
        <x:v>0</x:v>
      </x:c>
      <x:c r="BN268" s="4" t="n">
        <x:f>IF(AND('Calculations'!BM268=1,'Calculations'!$AG$2,'Calculations'!$EN268=1),1,0)</x:f>
        <x:v>0</x:v>
      </x:c>
      <x:c r="BO268" s="4" t="str">
        <x:f>IF('Calculations'!BM268=0,"",IFERROR(IF(AND(VALUE(INDEX(INDIRECT("'WCM Calibration Final'!$K$1:$K$2000"),'Calculations'!$EM268))&gt;=1,VALUE(INDEX(INDIRECT("'WCM Calibration Final'!$K$1:$K$2000"),'Calculations'!$EM268))&lt;=4,MOD(VALUE(INDEX(INDIRECT("'WCM Calibration Final'!$K$1:$K$2000"),'Calculations'!$EM268)),1)=0),VALUE(INDEX(INDIRECT("'WCM Calibration Final'!$K$1:$K$2000"),'Calculations'!$EM268)),""),""))</x:f>
      </x:c>
      <x:c r="BP268" s="4" t="str">
        <x:f>IF('Calculations'!BM268=0,"",IFERROR(IF(AND(VALUE(INDEX(INDIRECT("'WCM Calibration Final'!$L$1:$L$2000"),'Calculations'!$EM268))&gt;=1,VALUE(INDEX(INDIRECT("'WCM Calibration Final'!$L$1:$L$2000"),'Calculations'!$EM268))&lt;=4,MOD(VALUE(INDEX(INDIRECT("'WCM Calibration Final'!$L$1:$L$2000"),'Calculations'!$EM268)),1)=0),VALUE(INDEX(INDIRECT("'WCM Calibration Final'!$L$1:$L$2000"),'Calculations'!$EM268)),""),""))</x:f>
      </x:c>
      <x:c r="BQ268" s="4"/>
      <x:c r="BR268" s="4"/>
      <x:c r="BS268" s="4"/>
      <x:c r="BT268" s="4" t="n">
        <x:f>IF(AND('Calculations'!BM268=1,ISNUMBER('Calculations'!BO268),ISNUMBER('Calculations'!BP268)),1,0)</x:f>
        <x:v>0</x:v>
      </x:c>
      <x:c r="BU268" s="4" t="str">
        <x:f>IF('Calculations'!BM268=0,"",'Calculations'!$EO268)</x:f>
      </x:c>
      <x:c r="BV268" s="4" t="str">
        <x:f>IF('Calculations'!BM268=0,"",IFERROR(IF(OR(INDEX(INDIRECT("'WCM Calibration Final'!$H$1:$H$2000"),'Calculations'!$EM268)="MANAGING DIRECTOR",INDEX(INDIRECT("'WCM Calibration Final'!$H$1:$H$2000"),'Calculations'!$EM268)="DIRECTOR",INDEX(INDIRECT("'WCM Calibration Final'!$H$1:$H$2000"),'Calculations'!$EM268)="SENIOR VICE PRESIDENT",INDEX(INDIRECT("'WCM Calibration Final'!$H$1:$H$2000"),'Calculations'!$EM268)="VICE PRESIDENT",INDEX(INDIRECT("'WCM Calibration Final'!$H$1:$H$2000"),'Calculations'!$EM268)="ASSISTANT VICE PRESIDENT",INDEX(INDIRECT("'WCM Calibration Final'!$H$1:$H$2000"),'Calculations'!$EM268)="OFFICER"),UPPER(INDEX(INDIRECT("'WCM Calibration Final'!$H$1:$H$2000"),'Calculations'!$EM268)),"Other"),"Other"))</x:f>
      </x:c>
      <x:c r="BW268" s="4"/>
      <x:c r="BX268" s="4"/>
      <x:c r="BY268" s="4" t="n">
        <x:f>IF(AND('Calculations'!BM268=1,'Calculations'!BU268&lt;&gt;"",COUNTIF('Calculations'!$BU$12:BU268,'Calculations'!BU268)=1),MAX('Calculations'!$BY$11:BY267)+1,0)</x:f>
        <x:v>0</x:v>
      </x:c>
      <x:c r="BZ268" s="4" t="str">
        <x:f>IF('Dashboard'!$E$67="What",'Calculations'!BO268,'Calculations'!BP268)</x:f>
      </x:c>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t="str">
        <x:f>IF(257&gt;MAX('Calculations'!$HI$13:$HI$512),"",INDEX('Calculations'!$HN$13:$HN$512,MATCH(257,'Calculations'!$HI$13:$HI$512,0)))</x:f>
      </x:c>
      <x:c r="DB268" s="4" t="str">
        <x:f>IF(257&gt;MAX('Calculations'!$HH$13:$HH$512),"",INDEX('Calculations'!$HJ$13:$HJ$512,MATCH(257,'Calculations'!$HH$13:$HH$512,0)))</x:f>
      </x:c>
      <x:c r="DC268" s="4" t="str">
        <x:f>IF(ROW()-11&gt;MAX('Calculations'!$BY$13:$BY$512),"",INDEX('Calculations'!$BU$13:$BU$512,MATCH(ROW()-11,'Calculations'!$BY$13:$BY$512,0)))</x:f>
      </x:c>
      <x:c r="DD268" s="4" t="str">
        <x:f>IF(257&gt;MAX('Calculations'!$IK$13:$IK$512),"",INDEX('Calculations'!$HK$13:$HK$512,MATCH(257,'Calculations'!$IK$13:$IK$512,0)))</x:f>
      </x:c>
      <x:c r="DE268" s="4" t="str">
        <x:f>'Calculations'!DC268</x:f>
      </x:c>
      <x:c r="DF268" s="4" t="str">
        <x:f>IF('Calculations'!DE268="","",COUNTIFS('Calculations'!$BN$13:$BN$512,1,'Calculations'!$BU$13:$BU$512,'Calculations'!DE268))</x:f>
      </x:c>
      <x:c r="DG268" s="4" t="str">
        <x:f>IF('Calculations'!DE268="","",COUNTIFS('Calculations'!$BN$13:$BN$512,1,'Calculations'!$BU$13:$BU$512,'Calculations'!DE268,'Calculations'!$BT$13:$BT$512,1))</x:f>
      </x:c>
      <x:c r="DH268" s="4" t="str">
        <x:f>IF('Calculations'!DE268="","",'Calculations'!DF268-'Calculations'!DG268)</x:f>
      </x:c>
      <x:c r="DI268" s="4" t="str">
        <x:f>IF(OR('Calculations'!DE268="",'Calculations'!DF268=0),"",'Calculations'!DG268/'Calculations'!DF268)</x:f>
      </x:c>
      <x:c r="DJ268" s="4" t="str">
        <x:f>IF('Calculations'!DE268="","",COUNTIFS('Calculations'!$BN$13:$BN$512,1,'Calculations'!$BU$13:$BU$512,'Calculations'!DE268,'Calculations'!$BT$13:$BT$512,1,'Calculations'!$EE$13:$EE$512,"High"))</x:f>
      </x:c>
      <x:c r="DK268" s="4" t="str">
        <x:f>IF('Calculations'!DE268="","",COUNTIFS('Calculations'!$BN$13:$BN$512,1,'Calculations'!$BU$13:$BU$512,'Calculations'!DE268,'Calculations'!$BT$13:$BT$512,1,'Calculations'!$EE$13:$EE$512,"Strong"))</x:f>
      </x:c>
      <x:c r="DL268" s="4" t="str">
        <x:f>IF('Calculations'!DE268="","",COUNTIFS('Calculations'!$BN$13:$BN$512,1,'Calculations'!$BU$13:$BU$512,'Calculations'!DE268,'Calculations'!$BT$13:$BT$512,1,'Calculations'!$EE$13:$EE$512,"Solid"))</x:f>
      </x:c>
      <x:c r="DM268" s="4" t="str">
        <x:f>IF('Calculations'!DE268="","",COUNTIFS('Calculations'!$BN$13:$BN$512,1,'Calculations'!$BU$13:$BU$512,'Calculations'!DE268,'Calculations'!$BT$13:$BT$512,1,'Calculations'!$EE$13:$EE$512,"Low"))</x:f>
      </x:c>
      <x:c r="DN268" s="4" t="str">
        <x:f>IF('Calculations'!DE268="","",COUNTIFS('Calculations'!$BN$13:$BN$512,1,'Calculations'!$BU$13:$BU$512,'Calculations'!DE268,'Calculations'!$EP$13:$EP$512,1))</x:f>
      </x:c>
      <x:c r="DO268" s="4" t="str">
        <x:f>IF(OR('Calculations'!DE268="",'Calculations'!DG268=0),"",('Calculations'!DJ268+'Calculations'!DK268)/'Calculations'!DG268)</x:f>
      </x:c>
      <x:c r="DP268" s="4" t="n">
        <x:f>IF(AND('Calculations'!DE268&lt;&gt;"",'Calculations'!DF268&gt;0),COUNTIF('Calculations'!$DF$12:DF268,"&gt;0"),0)</x:f>
        <x:v>0</x:v>
      </x:c>
      <x:c r="DQ268" s="4" t="str">
        <x:f>IF(257&gt;MAX('Calculations'!$HH$13:$HH$512),"",INDEX('Calculations'!$HF$13:$HF$512,MATCH(257,'Calculations'!$HH$13:$HH$512,0)))</x:f>
      </x:c>
      <x:c r="DR268" s="4" t="str">
        <x:f>IF(257&gt;MAX('Calculations'!$IK$13:$IK$512),"",INDEX('Calculations'!$HE$13:$HE$512,MATCH(257,'Calculations'!$IK$13:$IK$512,0)))</x:f>
      </x:c>
      <x:c r="DS268" s="4"/>
      <x:c r="DT268" s="4"/>
      <x:c r="DU268" s="4"/>
      <x:c r="DV268" s="4"/>
      <x:c r="DW268" s="4"/>
      <x:c r="DX268" s="4"/>
      <x:c r="DY268" s="4"/>
      <x:c r="DZ268" s="4"/>
      <x:c r="EA268" s="4"/>
      <x:c r="EB268" s="4"/>
      <x:c r="EC268" s="4"/>
      <x:c r="ED268" s="4"/>
      <x:c r="EE268" s="4" t="str">
        <x:f>IF('Calculations'!BT268=0,"Not Rated",IF(OR('Calculations'!BO268&gt;=4,'Calculations'!BP268&gt;=4),"Low",IF('Calculations'!BO268+'Calculations'!BP268&lt;=3,"High",IF('Calculations'!BO268+'Calculations'!BP268&lt;=4,"Strong","Solid"))))</x:f>
        <x:v>Not Rated</x:v>
      </x:c>
      <x:c r="EF268" s="4"/>
      <x:c r="EG268" s="4"/>
      <x:c r="EH268" s="4"/>
      <x:c r="EI268" s="4"/>
      <x:c r="EJ268" s="4"/>
      <x:c r="EK268" s="4"/>
      <x:c r="EL268" s="4"/>
      <x:c r="EM268" s="4" t="str">
        <x:f>IF(256&gt;'Calculations'!$JB$2000,"",INDEX('Calculations'!$JA$12:$JA$2000,MATCH(256,'Calculations'!$JB$12:$JB$2000,0)))</x:f>
      </x:c>
      <x:c r="EN268" s="4" t="n">
        <x:f>IF(OR('Calculations'!EM268="",'Calculations'!$AG$8&gt;0,AND('Calculations'!$EF$2&lt;&gt;"All",'Calculations'!HE268='Calculations'!$EF$2),AND('Calculations'!$EF$3&lt;&gt;"All",'Calculations'!HE268='Calculations'!$EF$3)),0,IF(OR('Dashboard'!$B$7="All",'Calculations'!HN268='Dashboard'!$B$7),IF('Calculations'!$EF$2="All",1,IF('Calculations'!HL268&gt;0,0,IF(COUNTIF('Calculations'!HO268:II268,"="&amp;SUBSTITUTE(SUBSTITUTE(SUBSTITUTE('Calculations'!$EF$2,"~","~~"),"*","~*"),"?","~?"))=0,0,IF('Calculations'!$EF$3="All",1,IF(COUNTIF('Calculations'!HO268:II268,"="&amp;SUBSTITUTE(SUBSTITUTE(SUBSTITUTE('Calculations'!$EF$3,"~","~~"),"*","~*"),"?","~?"))&gt;0,1,0))))),0))</x:f>
        <x:v>0</x:v>
      </x:c>
      <x:c r="EO268" s="4" t="str">
        <x:f>IF('Calculations'!IJ268="","",IF('Calculations'!IJ268="!UNRESOLVED","Unresolved hierarchy",IFERROR(INDEX('Calculations'!$HK$13:$HK$512,MATCH('Calculations'!IJ268,'Calculations'!$HE$13:$HE$512,0)),IFERROR(INDEX('Calculations'!$HJ$13:$HJ$512,MATCH('Calculations'!IJ268,'Calculations'!$HF$13:$HF$512,0)),'Calculations'!IJ268))))</x:f>
      </x:c>
      <x:c r="EP268" s="4" t="n">
        <x:f>IF(AND('Calculations'!EM268&lt;&gt;"",'Calculations'!HF268='Calculations'!IJ268),1,0)</x:f>
        <x:v>0</x:v>
      </x:c>
      <x:c r="EQ268" s="4"/>
      <x:c r="ER268" s="4"/>
      <x:c r="ES268" s="4"/>
      <x:c r="ET268" s="4"/>
      <x:c r="EU268" s="4"/>
      <x:c r="EV268" s="4"/>
      <x:c r="EW268" s="4"/>
      <x:c r="EX268" s="4"/>
      <x:c r="EY268" s="4"/>
      <x:c r="EZ268" s="4"/>
      <x:c r="FA268" s="4"/>
      <x:c r="FB268" s="4"/>
      <x:c r="FC268" s="4"/>
      <x:c r="FD268" s="4"/>
      <x:c r="FE268" s="4"/>
      <x:c r="FF268" s="4"/>
      <x:c r="FG268" s="4"/>
      <x:c r="FH268" s="4"/>
      <x:c r="FI268" s="4"/>
      <x:c r="FJ268" s="4"/>
      <x:c r="FK268" s="4"/>
      <x:c r="FL268" s="4"/>
      <x:c r="FM268" s="4"/>
      <x:c r="FN268" s="4"/>
      <x:c r="FO268" s="4"/>
      <x:c r="HE268" t="str">
        <x:f>IF('Calculations'!EM268="","",IF(IFERROR(IF(INDEX(INDIRECT("'WCM Calibration Final'!$A$1:$A$2000"),'Calculations'!$EM268)="","",TRIM(INDEX(INDIRECT("'WCM Calibration Final'!$A$1:$A$2000"),'Calculations'!$EM268)&amp;"")),"")&lt;&gt;"","G:"&amp;IFERROR(TEXT(1*INDEX(INDIRECT("'WCM Calibration Final'!$A$1:$A$2000"),'Calculations'!$EM268),"0"),UPPER(IFERROR(IF(INDEX(INDIRECT("'WCM Calibration Final'!$A$1:$A$2000"),'Calculations'!$EM268)="","",TRIM(INDEX(INDIRECT("'WCM Calibration Final'!$A$1:$A$2000"),'Calculations'!$EM268)&amp;"")),""))),IF(IFERROR(IF(INDEX(INDIRECT("'WCM Calibration Final'!$C$1:$C$2000"),'Calculations'!$EM268)="","",TRIM(INDEX(INDIRECT("'WCM Calibration Final'!$C$1:$C$2000"),'Calculations'!$EM268)&amp;"")),"")&lt;&gt;"","S:"&amp;UPPER(IFERROR(IF(INDEX(INDIRECT("'WCM Calibration Final'!$C$1:$C$2000"),'Calculations'!$EM268)="","",TRIM(INDEX(INDIRECT("'WCM Calibration Final'!$C$1:$C$2000"),'Calculations'!$EM268)&amp;"")),"")),"R:"&amp;'Calculations'!EM268)))</x:f>
      </x:c>
      <x:c r="HF268" t="str">
        <x:f>IF('Calculations'!EM268="","",IF(IFERROR(IF(INDEX(INDIRECT("'WCM Calibration Final'!$D$1:$D$2000"),'Calculations'!$EM268)="","",TRIM(INDEX(INDIRECT("'WCM Calibration Final'!$D$1:$D$2000"),'Calculations'!$EM268)&amp;"")),"")&lt;&gt;"","G:"&amp;IFERROR(TEXT(1*INDEX(INDIRECT("'WCM Calibration Final'!$D$1:$D$2000"),'Calculations'!$EM268),"0"),UPPER(IFERROR(IF(INDEX(INDIRECT("'WCM Calibration Final'!$D$1:$D$2000"),'Calculations'!$EM268)="","",TRIM(INDEX(INDIRECT("'WCM Calibration Final'!$D$1:$D$2000"),'Calculations'!$EM268)&amp;"")),""))),IF(IFERROR(IF(INDEX(INDIRECT("'WCM Calibration Final'!$E$1:$E$2000"),'Calculations'!$EM268)="","",TRIM(INDEX(INDIRECT("'WCM Calibration Final'!$E$1:$E$2000"),'Calculations'!$EM268)&amp;"")),"")="","",IF(COUNTIF('Calculations'!$HG$13:$HG$512,"="&amp;SUBSTITUTE(SUBSTITUTE(SUBSTITUTE(IFERROR(IF(INDEX(INDIRECT("'WCM Calibration Final'!$E$1:$E$2000"),'Calculations'!$EM268)="","",TRIM(INDEX(INDIRECT("'WCM Calibration Final'!$E$1:$E$2000"),'Calculations'!$EM268)&amp;"")),""),"~","~~"),"*","~*"),"?","~?"))=1,INDEX('Calculations'!$HE$13:$HE$512,MATCH(IFERROR(IF(INDEX(INDIRECT("'WCM Calibration Final'!$E$1:$E$2000"),'Calculations'!$EM268)="","",TRIM(INDEX(INDIRECT("'WCM Calibration Final'!$E$1:$E$2000"),'Calculations'!$EM268)&amp;"")),""),'Calculations'!$HG$13:$HG$512,0)),IF(COUNTIF('Calculations'!$HG$13:$HG$512,"="&amp;SUBSTITUTE(SUBSTITUTE(SUBSTITUTE(IFERROR(IF(INDEX(INDIRECT("'WCM Calibration Final'!$E$1:$E$2000"),'Calculations'!$EM268)="","",TRIM(INDEX(INDIRECT("'WCM Calibration Final'!$E$1:$E$2000"),'Calculations'!$EM268)&amp;"")),""),"~","~~"),"*","~*"),"?","~?"))&gt;1,"!AMBIG","X:"&amp;IFERROR(IF(INDEX(INDIRECT("'WCM Calibration Final'!$E$1:$E$2000"),'Calculations'!$EM268)="","",TRIM(INDEX(INDIRECT("'WCM Calibration Final'!$E$1:$E$2000"),'Calculations'!$EM268)&amp;"")),""))))))</x:f>
      </x:c>
      <x:c r="HG268" t="str">
        <x:f>IF('Calculations'!EM268="","",IFERROR(IF(INDEX(INDIRECT("'WCM Calibration Final'!$B$1:$B$2000"),'Calculations'!$EM268)="","",TRIM(INDEX(INDIRECT("'WCM Calibration Final'!$B$1:$B$2000"),'Calculations'!$EM268)&amp;"")),""))</x:f>
      </x:c>
      <x:c r="HH268" t="n">
        <x:f>IF(AND('Calculations'!JC268&gt;0,COUNTIF('Calculations'!$HF$12:HF268,"="&amp;SUBSTITUTE(SUBSTITUTE(SUBSTITUTE('Calculations'!HF268,"~","~~"),"*","~*"),"?","~?"))=1),MAX('Calculations'!$HH$12:HH267)+1,0)</x:f>
        <x:v>0</x:v>
      </x:c>
      <x:c r="HI268" t="n">
        <x:f>IF(AND('Calculations'!HN268&lt;&gt;"",COUNTIF('Calculations'!$HN$12:HN268,"="&amp;SUBSTITUTE(SUBSTITUTE(SUBSTITUTE('Calculations'!HN268,"~","~~"),"*","~*"),"?","~?"))=1),MAX('Calculations'!$HI$12:HI267)+1,0)</x:f>
        <x:v>0</x:v>
      </x:c>
      <x:c r="HJ268" t="str">
        <x:f>IF('Calculations'!HF268="","",IF(COUNTIF('Calculations'!$HE$13:$HE$512,"="&amp;SUBSTITUTE(SUBSTITUTE(SUBSTITUTE('Calculations'!HF268,"~","~~"),"*","~*"),"?","~?"))=1,INDEX('Calculations'!$HK$13:$HK$512,MATCH('Calculations'!HF268,'Calculations'!$HE$13:$HE$512,0)),IFERROR(IF(INDEX(INDIRECT("'WCM Calibration Final'!$E$1:$E$2000"),'Calculations'!$EM268)="","",TRIM(INDEX(INDIRECT("'WCM Calibration Final'!$E$1:$E$2000"),'Calculations'!$EM268)&amp;"")),"")&amp;" ["&amp;'Calculations'!HF268&amp;"]"))</x:f>
      </x:c>
      <x:c r="HK268" t="str">
        <x:f>IF('Calculations'!EM268="","",'Calculations'!HG268&amp;" ["&amp;'Calculations'!HE268&amp;"]")</x:f>
      </x:c>
      <x:c r="HL268" t="n">
        <x:f>IF('Calculations'!EM268="",0,IF(OR('Calculations'!II268&lt;&gt;"",COUNTIF('Calculations'!$HE$13:$HE$512,"="&amp;SUBSTITUTE(SUBSTITUTE(SUBSTITUTE('Calculations'!HE268,"~","~~"),"*","~*"),"?","~?"))&gt;1),1,0))</x:f>
        <x:v>0</x:v>
      </x:c>
      <x:c r="HM268" t="str">
        <x:f>IF('Calculations'!EM268="","",IF('Calculations'!HL268=1,"!UNRESOLVED",IF('Calculations'!IH268&lt;&gt;"",'Calculations'!IH268,IF('Calculations'!IG268&lt;&gt;"",'Calculations'!IG268,IF('Calculations'!IF268&lt;&gt;"",'Calculations'!IF268,IF('Calculations'!IE268&lt;&gt;"",'Calculations'!IE268,IF('Calculations'!ID268&lt;&gt;"",'Calculations'!ID268,IF('Calculations'!IC268&lt;&gt;"",'Calculations'!IC268,IF('Calculations'!IB268&lt;&gt;"",'Calculations'!IB268,IF('Calculations'!IA268&lt;&gt;"",'Calculations'!IA268,IF('Calculations'!HZ268&lt;&gt;"",'Calculations'!HZ268,IF('Calculations'!HY268&lt;&gt;"",'Calculations'!HY268,IF('Calculations'!HX268&lt;&gt;"",'Calculations'!HX268,IF('Calculations'!HW268&lt;&gt;"",'Calculations'!HW268,IF('Calculations'!HV268&lt;&gt;"",'Calculations'!HV268,IF('Calculations'!HU268&lt;&gt;"",'Calculations'!HU268,IF('Calculations'!HT268&lt;&gt;"",'Calculations'!HT268,IF('Calculations'!HS268&lt;&gt;"",'Calculations'!HS268,IF('Calculations'!HR268&lt;&gt;"",'Calculations'!HR268,IF('Calculations'!HQ268&lt;&gt;"",'Calculations'!HQ268,IF('Calculations'!HP268&lt;&gt;"",'Calculations'!HP268,IF('Calculations'!HO268&lt;&gt;"",'Calculations'!HO268,'Calculations'!HE268))))))))))))))))))))))</x:f>
      </x:c>
      <x:c r="HN268" t="str">
        <x:f>IF('Calculations'!EM268="","",IF(IFERROR(IF(INDEX(INDIRECT("'WCM Calibration Final'!$F$1:$F$2000"),'Calculations'!$EM268)="","",TRIM(INDEX(INDIRECT("'WCM Calibration Final'!$F$1:$F$2000"),'Calculations'!$EM268)&amp;"")),"")="","(Blank)",IFERROR(IF(INDEX(INDIRECT("'WCM Calibration Final'!$F$1:$F$2000"),'Calculations'!$EM268)="","",TRIM(INDEX(INDIRECT("'WCM Calibration Final'!$F$1:$F$2000"),'Calculations'!$EM268)&amp;"")),"")))</x:f>
      </x:c>
      <x:c r="HO268" t="str">
        <x:f>'Calculations'!HF268</x:f>
      </x:c>
      <x:c r="HP268" t="str">
        <x:f>IF('Calculations'!HO268="","",IF('Calculations'!HO268="!AMBIG","!AMBIG",IF(COUNTIF('Calculations'!$HE$13:$HE$512,"="&amp;SUBSTITUTE(SUBSTITUTE(SUBSTITUTE('Calculations'!HO268,"~","~~"),"*","~*"),"?","~?"))&gt;1,"!AMBIG",IFERROR(INDEX('Calculations'!$HF$13:$HF$512,MATCH('Calculations'!HO268,'Calculations'!$HE$13:$HE$512,0)),""))))</x:f>
      </x:c>
      <x:c r="HQ268" t="str">
        <x:f>IF('Calculations'!HP268="","",IF('Calculations'!HP268="!AMBIG","!AMBIG",IF(COUNTIF('Calculations'!$HE$13:$HE$512,"="&amp;SUBSTITUTE(SUBSTITUTE(SUBSTITUTE('Calculations'!HP268,"~","~~"),"*","~*"),"?","~?"))&gt;1,"!AMBIG",IFERROR(INDEX('Calculations'!$HF$13:$HF$512,MATCH('Calculations'!HP268,'Calculations'!$HE$13:$HE$512,0)),""))))</x:f>
      </x:c>
      <x:c r="HR268" t="str">
        <x:f>IF('Calculations'!HQ268="","",IF('Calculations'!HQ268="!AMBIG","!AMBIG",IF(COUNTIF('Calculations'!$HE$13:$HE$512,"="&amp;SUBSTITUTE(SUBSTITUTE(SUBSTITUTE('Calculations'!HQ268,"~","~~"),"*","~*"),"?","~?"))&gt;1,"!AMBIG",IFERROR(INDEX('Calculations'!$HF$13:$HF$512,MATCH('Calculations'!HQ268,'Calculations'!$HE$13:$HE$512,0)),""))))</x:f>
      </x:c>
      <x:c r="HS268" t="str">
        <x:f>IF('Calculations'!HR268="","",IF('Calculations'!HR268="!AMBIG","!AMBIG",IF(COUNTIF('Calculations'!$HE$13:$HE$512,"="&amp;SUBSTITUTE(SUBSTITUTE(SUBSTITUTE('Calculations'!HR268,"~","~~"),"*","~*"),"?","~?"))&gt;1,"!AMBIG",IFERROR(INDEX('Calculations'!$HF$13:$HF$512,MATCH('Calculations'!HR268,'Calculations'!$HE$13:$HE$512,0)),""))))</x:f>
      </x:c>
      <x:c r="HT268" t="str">
        <x:f>IF('Calculations'!HS268="","",IF('Calculations'!HS268="!AMBIG","!AMBIG",IF(COUNTIF('Calculations'!$HE$13:$HE$512,"="&amp;SUBSTITUTE(SUBSTITUTE(SUBSTITUTE('Calculations'!HS268,"~","~~"),"*","~*"),"?","~?"))&gt;1,"!AMBIG",IFERROR(INDEX('Calculations'!$HF$13:$HF$512,MATCH('Calculations'!HS268,'Calculations'!$HE$13:$HE$512,0)),""))))</x:f>
      </x:c>
      <x:c r="HU268" t="str">
        <x:f>IF('Calculations'!HT268="","",IF('Calculations'!HT268="!AMBIG","!AMBIG",IF(COUNTIF('Calculations'!$HE$13:$HE$512,"="&amp;SUBSTITUTE(SUBSTITUTE(SUBSTITUTE('Calculations'!HT268,"~","~~"),"*","~*"),"?","~?"))&gt;1,"!AMBIG",IFERROR(INDEX('Calculations'!$HF$13:$HF$512,MATCH('Calculations'!HT268,'Calculations'!$HE$13:$HE$512,0)),""))))</x:f>
      </x:c>
      <x:c r="HV268" t="str">
        <x:f>IF('Calculations'!HU268="","",IF('Calculations'!HU268="!AMBIG","!AMBIG",IF(COUNTIF('Calculations'!$HE$13:$HE$512,"="&amp;SUBSTITUTE(SUBSTITUTE(SUBSTITUTE('Calculations'!HU268,"~","~~"),"*","~*"),"?","~?"))&gt;1,"!AMBIG",IFERROR(INDEX('Calculations'!$HF$13:$HF$512,MATCH('Calculations'!HU268,'Calculations'!$HE$13:$HE$512,0)),""))))</x:f>
      </x:c>
      <x:c r="HW268" t="str">
        <x:f>IF('Calculations'!HV268="","",IF('Calculations'!HV268="!AMBIG","!AMBIG",IF(COUNTIF('Calculations'!$HE$13:$HE$512,"="&amp;SUBSTITUTE(SUBSTITUTE(SUBSTITUTE('Calculations'!HV268,"~","~~"),"*","~*"),"?","~?"))&gt;1,"!AMBIG",IFERROR(INDEX('Calculations'!$HF$13:$HF$512,MATCH('Calculations'!HV268,'Calculations'!$HE$13:$HE$512,0)),""))))</x:f>
      </x:c>
      <x:c r="HX268" t="str">
        <x:f>IF('Calculations'!HW268="","",IF('Calculations'!HW268="!AMBIG","!AMBIG",IF(COUNTIF('Calculations'!$HE$13:$HE$512,"="&amp;SUBSTITUTE(SUBSTITUTE(SUBSTITUTE('Calculations'!HW268,"~","~~"),"*","~*"),"?","~?"))&gt;1,"!AMBIG",IFERROR(INDEX('Calculations'!$HF$13:$HF$512,MATCH('Calculations'!HW268,'Calculations'!$HE$13:$HE$512,0)),""))))</x:f>
      </x:c>
      <x:c r="HY268" t="str">
        <x:f>IF('Calculations'!HX268="","",IF('Calculations'!HX268="!AMBIG","!AMBIG",IF(COUNTIF('Calculations'!$HE$13:$HE$512,"="&amp;SUBSTITUTE(SUBSTITUTE(SUBSTITUTE('Calculations'!HX268,"~","~~"),"*","~*"),"?","~?"))&gt;1,"!AMBIG",IFERROR(INDEX('Calculations'!$HF$13:$HF$512,MATCH('Calculations'!HX268,'Calculations'!$HE$13:$HE$512,0)),""))))</x:f>
      </x:c>
      <x:c r="HZ268" t="str">
        <x:f>IF('Calculations'!HY268="","",IF('Calculations'!HY268="!AMBIG","!AMBIG",IF(COUNTIF('Calculations'!$HE$13:$HE$512,"="&amp;SUBSTITUTE(SUBSTITUTE(SUBSTITUTE('Calculations'!HY268,"~","~~"),"*","~*"),"?","~?"))&gt;1,"!AMBIG",IFERROR(INDEX('Calculations'!$HF$13:$HF$512,MATCH('Calculations'!HY268,'Calculations'!$HE$13:$HE$512,0)),""))))</x:f>
      </x:c>
      <x:c r="IA268" t="str">
        <x:f>IF('Calculations'!HZ268="","",IF('Calculations'!HZ268="!AMBIG","!AMBIG",IF(COUNTIF('Calculations'!$HE$13:$HE$512,"="&amp;SUBSTITUTE(SUBSTITUTE(SUBSTITUTE('Calculations'!HZ268,"~","~~"),"*","~*"),"?","~?"))&gt;1,"!AMBIG",IFERROR(INDEX('Calculations'!$HF$13:$HF$512,MATCH('Calculations'!HZ268,'Calculations'!$HE$13:$HE$512,0)),""))))</x:f>
      </x:c>
      <x:c r="IB268" t="str">
        <x:f>IF('Calculations'!IA268="","",IF('Calculations'!IA268="!AMBIG","!AMBIG",IF(COUNTIF('Calculations'!$HE$13:$HE$512,"="&amp;SUBSTITUTE(SUBSTITUTE(SUBSTITUTE('Calculations'!IA268,"~","~~"),"*","~*"),"?","~?"))&gt;1,"!AMBIG",IFERROR(INDEX('Calculations'!$HF$13:$HF$512,MATCH('Calculations'!IA268,'Calculations'!$HE$13:$HE$512,0)),""))))</x:f>
      </x:c>
      <x:c r="IC268" t="str">
        <x:f>IF('Calculations'!IB268="","",IF('Calculations'!IB268="!AMBIG","!AMBIG",IF(COUNTIF('Calculations'!$HE$13:$HE$512,"="&amp;SUBSTITUTE(SUBSTITUTE(SUBSTITUTE('Calculations'!IB268,"~","~~"),"*","~*"),"?","~?"))&gt;1,"!AMBIG",IFERROR(INDEX('Calculations'!$HF$13:$HF$512,MATCH('Calculations'!IB268,'Calculations'!$HE$13:$HE$512,0)),""))))</x:f>
      </x:c>
      <x:c r="ID268" t="str">
        <x:f>IF('Calculations'!IC268="","",IF('Calculations'!IC268="!AMBIG","!AMBIG",IF(COUNTIF('Calculations'!$HE$13:$HE$512,"="&amp;SUBSTITUTE(SUBSTITUTE(SUBSTITUTE('Calculations'!IC268,"~","~~"),"*","~*"),"?","~?"))&gt;1,"!AMBIG",IFERROR(INDEX('Calculations'!$HF$13:$HF$512,MATCH('Calculations'!IC268,'Calculations'!$HE$13:$HE$512,0)),""))))</x:f>
      </x:c>
      <x:c r="IE268" t="str">
        <x:f>IF('Calculations'!ID268="","",IF('Calculations'!ID268="!AMBIG","!AMBIG",IF(COUNTIF('Calculations'!$HE$13:$HE$512,"="&amp;SUBSTITUTE(SUBSTITUTE(SUBSTITUTE('Calculations'!ID268,"~","~~"),"*","~*"),"?","~?"))&gt;1,"!AMBIG",IFERROR(INDEX('Calculations'!$HF$13:$HF$512,MATCH('Calculations'!ID268,'Calculations'!$HE$13:$HE$512,0)),""))))</x:f>
      </x:c>
      <x:c r="IF268" t="str">
        <x:f>IF('Calculations'!IE268="","",IF('Calculations'!IE268="!AMBIG","!AMBIG",IF(COUNTIF('Calculations'!$HE$13:$HE$512,"="&amp;SUBSTITUTE(SUBSTITUTE(SUBSTITUTE('Calculations'!IE268,"~","~~"),"*","~*"),"?","~?"))&gt;1,"!AMBIG",IFERROR(INDEX('Calculations'!$HF$13:$HF$512,MATCH('Calculations'!IE268,'Calculations'!$HE$13:$HE$512,0)),""))))</x:f>
      </x:c>
      <x:c r="IG268" t="str">
        <x:f>IF('Calculations'!IF268="","",IF('Calculations'!IF268="!AMBIG","!AMBIG",IF(COUNTIF('Calculations'!$HE$13:$HE$512,"="&amp;SUBSTITUTE(SUBSTITUTE(SUBSTITUTE('Calculations'!IF268,"~","~~"),"*","~*"),"?","~?"))&gt;1,"!AMBIG",IFERROR(INDEX('Calculations'!$HF$13:$HF$512,MATCH('Calculations'!IF268,'Calculations'!$HE$13:$HE$512,0)),""))))</x:f>
      </x:c>
      <x:c r="IH268" t="str">
        <x:f>IF('Calculations'!IG268="","",IF('Calculations'!IG268="!AMBIG","!AMBIG",IF(COUNTIF('Calculations'!$HE$13:$HE$512,"="&amp;SUBSTITUTE(SUBSTITUTE(SUBSTITUTE('Calculations'!IG268,"~","~~"),"*","~*"),"?","~?"))&gt;1,"!AMBIG",IFERROR(INDEX('Calculations'!$HF$13:$HF$512,MATCH('Calculations'!IG268,'Calculations'!$HE$13:$HE$512,0)),""))))</x:f>
      </x:c>
      <x:c r="II268" t="str">
        <x:f>IF('Calculations'!IH268="","",IF('Calculations'!IH268="!AMBIG","!AMBIG",IF(COUNTIF('Calculations'!$HE$13:$HE$512,"="&amp;SUBSTITUTE(SUBSTITUTE(SUBSTITUTE('Calculations'!IH268,"~","~~"),"*","~*"),"?","~?"))&gt;1,"!AMBIG",IFERROR(INDEX('Calculations'!$HF$13:$HF$512,MATCH('Calculations'!IH268,'Calculations'!$HE$13:$HE$512,0)),""))))</x:f>
      </x:c>
      <x:c r="IJ268" t="str">
        <x:f>IF('Calculations'!EM268="","",IF('Calculations'!$EF$2="All",'Calculations'!HM268,IF('Calculations'!HL268=1,"",IFERROR(IF(MATCH('Calculations'!$EF$2,'Calculations'!HO268:II268,0)=1,'Calculations'!HE268,INDEX('Calculations'!HO268:II268,1,MATCH('Calculations'!$EF$2,'Calculations'!HO268:II268,0)-1)),""))))</x:f>
      </x:c>
      <x:c r="IK268" t="n">
        <x:f>IF(AND('Calculations'!EM268&lt;&gt;"",'Calculations'!$EF$2&lt;&gt;"All",'Calculations'!HF268='Calculations'!$EF$2,'Calculations'!HL268=0,'Calculations'!JD268&gt;0),MAX('Calculations'!$IK$12:IK267)+1,0)</x:f>
        <x:v>0</x:v>
      </x:c>
      <x:c r="JA268" t="n">
        <x:f>IF(OR(IFERROR(INDIRECT("'WCM Calibration Final'!$A$268")&lt;&gt;"",FALSE),IFERROR(INDIRECT("'WCM Calibration Final'!$B$268")&lt;&gt;"",FALSE),IFERROR(INDIRECT("'WCM Calibration Final'!$C$268")&lt;&gt;"",FALSE)),268,0)</x:f>
        <x:v>0</x:v>
      </x:c>
      <x:c r="JB268" t="n">
        <x:f>'Calculations'!JB267+IF('Calculations'!JA268&gt;0,1,0)</x:f>
        <x:v>0</x:v>
      </x:c>
      <x:c r="JC268" t="n">
        <x:f>IF(OR('Calculations'!HF268="",'Calculations'!HF268="!AMBIG"),0,IF('Dashboard'!$B$7="All",1,COUNTIFS('Calculations'!$HO$13:$HO$512,"="&amp;SUBSTITUTE(SUBSTITUTE(SUBSTITUTE('Calculations'!HF268,"~","~~"),"*","~*"),"?","~?"),'Calculations'!$HN$13:$HN$512,"="&amp;SUBSTITUTE(SUBSTITUTE(SUBSTITUTE('Dashboard'!$B$7,"~","~~"),"*","~*"),"?","~?"))+COUNTIFS('Calculations'!$HP$13:$HP$512,"="&amp;SUBSTITUTE(SUBSTITUTE(SUBSTITUTE('Calculations'!HF268,"~","~~"),"*","~*"),"?","~?"),'Calculations'!$HN$13:$HN$512,"="&amp;SUBSTITUTE(SUBSTITUTE(SUBSTITUTE('Dashboard'!$B$7,"~","~~"),"*","~*"),"?","~?"))+COUNTIFS('Calculations'!$HQ$13:$HQ$512,"="&amp;SUBSTITUTE(SUBSTITUTE(SUBSTITUTE('Calculations'!HF268,"~","~~"),"*","~*"),"?","~?"),'Calculations'!$HN$13:$HN$512,"="&amp;SUBSTITUTE(SUBSTITUTE(SUBSTITUTE('Dashboard'!$B$7,"~","~~"),"*","~*"),"?","~?"))+COUNTIFS('Calculations'!$HR$13:$HR$512,"="&amp;SUBSTITUTE(SUBSTITUTE(SUBSTITUTE('Calculations'!HF268,"~","~~"),"*","~*"),"?","~?"),'Calculations'!$HN$13:$HN$512,"="&amp;SUBSTITUTE(SUBSTITUTE(SUBSTITUTE('Dashboard'!$B$7,"~","~~"),"*","~*"),"?","~?"))+COUNTIFS('Calculations'!$HS$13:$HS$512,"="&amp;SUBSTITUTE(SUBSTITUTE(SUBSTITUTE('Calculations'!HF268,"~","~~"),"*","~*"),"?","~?"),'Calculations'!$HN$13:$HN$512,"="&amp;SUBSTITUTE(SUBSTITUTE(SUBSTITUTE('Dashboard'!$B$7,"~","~~"),"*","~*"),"?","~?"))+COUNTIFS('Calculations'!$HT$13:$HT$512,"="&amp;SUBSTITUTE(SUBSTITUTE(SUBSTITUTE('Calculations'!HF268,"~","~~"),"*","~*"),"?","~?"),'Calculations'!$HN$13:$HN$512,"="&amp;SUBSTITUTE(SUBSTITUTE(SUBSTITUTE('Dashboard'!$B$7,"~","~~"),"*","~*"),"?","~?"))+COUNTIFS('Calculations'!$HU$13:$HU$512,"="&amp;SUBSTITUTE(SUBSTITUTE(SUBSTITUTE('Calculations'!HF268,"~","~~"),"*","~*"),"?","~?"),'Calculations'!$HN$13:$HN$512,"="&amp;SUBSTITUTE(SUBSTITUTE(SUBSTITUTE('Dashboard'!$B$7,"~","~~"),"*","~*"),"?","~?"))+COUNTIFS('Calculations'!$HV$13:$HV$512,"="&amp;SUBSTITUTE(SUBSTITUTE(SUBSTITUTE('Calculations'!HF268,"~","~~"),"*","~*"),"?","~?"),'Calculations'!$HN$13:$HN$512,"="&amp;SUBSTITUTE(SUBSTITUTE(SUBSTITUTE('Dashboard'!$B$7,"~","~~"),"*","~*"),"?","~?"))+COUNTIFS('Calculations'!$HW$13:$HW$512,"="&amp;SUBSTITUTE(SUBSTITUTE(SUBSTITUTE('Calculations'!HF268,"~","~~"),"*","~*"),"?","~?"),'Calculations'!$HN$13:$HN$512,"="&amp;SUBSTITUTE(SUBSTITUTE(SUBSTITUTE('Dashboard'!$B$7,"~","~~"),"*","~*"),"?","~?"))+COUNTIFS('Calculations'!$HX$13:$HX$512,"="&amp;SUBSTITUTE(SUBSTITUTE(SUBSTITUTE('Calculations'!HF268,"~","~~"),"*","~*"),"?","~?"),'Calculations'!$HN$13:$HN$512,"="&amp;SUBSTITUTE(SUBSTITUTE(SUBSTITUTE('Dashboard'!$B$7,"~","~~"),"*","~*"),"?","~?"))+COUNTIFS('Calculations'!$HY$13:$HY$512,"="&amp;SUBSTITUTE(SUBSTITUTE(SUBSTITUTE('Calculations'!HF268,"~","~~"),"*","~*"),"?","~?"),'Calculations'!$HN$13:$HN$512,"="&amp;SUBSTITUTE(SUBSTITUTE(SUBSTITUTE('Dashboard'!$B$7,"~","~~"),"*","~*"),"?","~?"))+COUNTIFS('Calculations'!$HZ$13:$HZ$512,"="&amp;SUBSTITUTE(SUBSTITUTE(SUBSTITUTE('Calculations'!HF268,"~","~~"),"*","~*"),"?","~?"),'Calculations'!$HN$13:$HN$512,"="&amp;SUBSTITUTE(SUBSTITUTE(SUBSTITUTE('Dashboard'!$B$7,"~","~~"),"*","~*"),"?","~?"))+COUNTIFS('Calculations'!$IA$13:$IA$512,"="&amp;SUBSTITUTE(SUBSTITUTE(SUBSTITUTE('Calculations'!HF268,"~","~~"),"*","~*"),"?","~?"),'Calculations'!$HN$13:$HN$512,"="&amp;SUBSTITUTE(SUBSTITUTE(SUBSTITUTE('Dashboard'!$B$7,"~","~~"),"*","~*"),"?","~?"))+COUNTIFS('Calculations'!$IB$13:$IB$512,"="&amp;SUBSTITUTE(SUBSTITUTE(SUBSTITUTE('Calculations'!HF268,"~","~~"),"*","~*"),"?","~?"),'Calculations'!$HN$13:$HN$512,"="&amp;SUBSTITUTE(SUBSTITUTE(SUBSTITUTE('Dashboard'!$B$7,"~","~~"),"*","~*"),"?","~?"))+COUNTIFS('Calculations'!$IC$13:$IC$512,"="&amp;SUBSTITUTE(SUBSTITUTE(SUBSTITUTE('Calculations'!HF268,"~","~~"),"*","~*"),"?","~?"),'Calculations'!$HN$13:$HN$512,"="&amp;SUBSTITUTE(SUBSTITUTE(SUBSTITUTE('Dashboard'!$B$7,"~","~~"),"*","~*"),"?","~?"))+COUNTIFS('Calculations'!$ID$13:$ID$512,"="&amp;SUBSTITUTE(SUBSTITUTE(SUBSTITUTE('Calculations'!HF268,"~","~~"),"*","~*"),"?","~?"),'Calculations'!$HN$13:$HN$512,"="&amp;SUBSTITUTE(SUBSTITUTE(SUBSTITUTE('Dashboard'!$B$7,"~","~~"),"*","~*"),"?","~?"))+COUNTIFS('Calculations'!$IE$13:$IE$512,"="&amp;SUBSTITUTE(SUBSTITUTE(SUBSTITUTE('Calculations'!HF268,"~","~~"),"*","~*"),"?","~?"),'Calculations'!$HN$13:$HN$512,"="&amp;SUBSTITUTE(SUBSTITUTE(SUBSTITUTE('Dashboard'!$B$7,"~","~~"),"*","~*"),"?","~?"))+COUNTIFS('Calculations'!$IF$13:$IF$512,"="&amp;SUBSTITUTE(SUBSTITUTE(SUBSTITUTE('Calculations'!HF268,"~","~~"),"*","~*"),"?","~?"),'Calculations'!$HN$13:$HN$512,"="&amp;SUBSTITUTE(SUBSTITUTE(SUBSTITUTE('Dashboard'!$B$7,"~","~~"),"*","~*"),"?","~?"))+COUNTIFS('Calculations'!$IG$13:$IG$512,"="&amp;SUBSTITUTE(SUBSTITUTE(SUBSTITUTE('Calculations'!HF268,"~","~~"),"*","~*"),"?","~?"),'Calculations'!$HN$13:$HN$512,"="&amp;SUBSTITUTE(SUBSTITUTE(SUBSTITUTE('Dashboard'!$B$7,"~","~~"),"*","~*"),"?","~?"))+COUNTIFS('Calculations'!$IH$13:$IH$512,"="&amp;SUBSTITUTE(SUBSTITUTE(SUBSTITUTE('Calculations'!HF268,"~","~~"),"*","~*"),"?","~?"),'Calculations'!$HN$13:$HN$512,"="&amp;SUBSTITUTE(SUBSTITUTE(SUBSTITUTE('Dashboard'!$B$7,"~","~~"),"*","~*"),"?","~?"))))</x:f>
        <x:v>0</x:v>
      </x:c>
      <x:c r="JD268" t="n">
        <x:f>IF('Calculations'!EM268="",0,IF('Dashboard'!$B$7="All",1,IF('Calculations'!HN268='Dashboard'!$B$7,1,0)+IFERROR(INDEX('Calculations'!$JC$13:$JC$512,MATCH('Calculations'!HE268,'Calculations'!$HF$13:$HF$512,0)),0)))</x:f>
        <x:v>0</x:v>
      </x:c>
      <x:c r="JE268" t="n">
        <x:f>IF(AND('Calculations'!EM268&lt;&gt;"",'Calculations'!$JJ$2&lt;&gt;"All",'Calculations'!$JJ$2&lt;&gt;"",'Calculations'!HF268='Calculations'!$JJ$2,'Calculations'!HL268=0,'Calculations'!JD268&gt;0),MAX('Calculations'!$JE$12:JE267)+1,0)</x:f>
        <x:v>0</x:v>
      </x:c>
      <x:c r="JF268" t="str">
        <x:f>IF('Calculations'!EM268="","",IFERROR(IF(INDEX(INDIRECT("'WCM Calibration Final'!$G$1:$G$2000"),'Calculations'!$EM268)="","",TRIM(INDEX(INDIRECT("'WCM Calibration Final'!$G$1:$G$2000"),'Calculations'!$EM268)&amp;"")),""))</x:f>
      </x:c>
      <x:c r="JQ268" t="n">
        <x:f>IF(OR('Calculations'!BM268=0,NOT('Calculations'!$AG$2),'Calculations'!$AG$8&gt;0),0,IF(OR('Dashboard'!$B$7="All",'Calculations'!HN268='Dashboard'!$B$7),IF('Calculations'!$JJ$2="All",1,IF(AND('Calculations'!HF268='Calculations'!$JJ$2,'Calculations'!HL268=0),1,0)),0))</x:f>
        <x:v>0</x:v>
      </x:c>
    </x:row>
    <x:row r="269">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t="n">
        <x:f>IF('Calculations'!$EM269="",0,IF(OR(IFERROR(INDEX(INDIRECT("'WCM Calibration Final'!$A$1:$A$2000"),'Calculations'!$EM269)&lt;&gt;"",FALSE),IFERROR(INDEX(INDIRECT("'WCM Calibration Final'!$B$1:$B$2000"),'Calculations'!$EM269)&lt;&gt;"",FALSE),IFERROR(INDEX(INDIRECT("'WCM Calibration Final'!$C$1:$C$2000"),'Calculations'!$EM269)&lt;&gt;"",FALSE)),1,0))</x:f>
        <x:v>0</x:v>
      </x:c>
      <x:c r="BN269" s="4" t="n">
        <x:f>IF(AND('Calculations'!BM269=1,'Calculations'!$AG$2,'Calculations'!$EN269=1),1,0)</x:f>
        <x:v>0</x:v>
      </x:c>
      <x:c r="BO269" s="4" t="str">
        <x:f>IF('Calculations'!BM269=0,"",IFERROR(IF(AND(VALUE(INDEX(INDIRECT("'WCM Calibration Final'!$K$1:$K$2000"),'Calculations'!$EM269))&gt;=1,VALUE(INDEX(INDIRECT("'WCM Calibration Final'!$K$1:$K$2000"),'Calculations'!$EM269))&lt;=4,MOD(VALUE(INDEX(INDIRECT("'WCM Calibration Final'!$K$1:$K$2000"),'Calculations'!$EM269)),1)=0),VALUE(INDEX(INDIRECT("'WCM Calibration Final'!$K$1:$K$2000"),'Calculations'!$EM269)),""),""))</x:f>
      </x:c>
      <x:c r="BP269" s="4" t="str">
        <x:f>IF('Calculations'!BM269=0,"",IFERROR(IF(AND(VALUE(INDEX(INDIRECT("'WCM Calibration Final'!$L$1:$L$2000"),'Calculations'!$EM269))&gt;=1,VALUE(INDEX(INDIRECT("'WCM Calibration Final'!$L$1:$L$2000"),'Calculations'!$EM269))&lt;=4,MOD(VALUE(INDEX(INDIRECT("'WCM Calibration Final'!$L$1:$L$2000"),'Calculations'!$EM269)),1)=0),VALUE(INDEX(INDIRECT("'WCM Calibration Final'!$L$1:$L$2000"),'Calculations'!$EM269)),""),""))</x:f>
      </x:c>
      <x:c r="BQ269" s="4"/>
      <x:c r="BR269" s="4"/>
      <x:c r="BS269" s="4"/>
      <x:c r="BT269" s="4" t="n">
        <x:f>IF(AND('Calculations'!BM269=1,ISNUMBER('Calculations'!BO269),ISNUMBER('Calculations'!BP269)),1,0)</x:f>
        <x:v>0</x:v>
      </x:c>
      <x:c r="BU269" s="4" t="str">
        <x:f>IF('Calculations'!BM269=0,"",'Calculations'!$EO269)</x:f>
      </x:c>
      <x:c r="BV269" s="4" t="str">
        <x:f>IF('Calculations'!BM269=0,"",IFERROR(IF(OR(INDEX(INDIRECT("'WCM Calibration Final'!$H$1:$H$2000"),'Calculations'!$EM269)="MANAGING DIRECTOR",INDEX(INDIRECT("'WCM Calibration Final'!$H$1:$H$2000"),'Calculations'!$EM269)="DIRECTOR",INDEX(INDIRECT("'WCM Calibration Final'!$H$1:$H$2000"),'Calculations'!$EM269)="SENIOR VICE PRESIDENT",INDEX(INDIRECT("'WCM Calibration Final'!$H$1:$H$2000"),'Calculations'!$EM269)="VICE PRESIDENT",INDEX(INDIRECT("'WCM Calibration Final'!$H$1:$H$2000"),'Calculations'!$EM269)="ASSISTANT VICE PRESIDENT",INDEX(INDIRECT("'WCM Calibration Final'!$H$1:$H$2000"),'Calculations'!$EM269)="OFFICER"),UPPER(INDEX(INDIRECT("'WCM Calibration Final'!$H$1:$H$2000"),'Calculations'!$EM269)),"Other"),"Other"))</x:f>
      </x:c>
      <x:c r="BW269" s="4"/>
      <x:c r="BX269" s="4"/>
      <x:c r="BY269" s="4" t="n">
        <x:f>IF(AND('Calculations'!BM269=1,'Calculations'!BU269&lt;&gt;"",COUNTIF('Calculations'!$BU$12:BU269,'Calculations'!BU269)=1),MAX('Calculations'!$BY$11:BY268)+1,0)</x:f>
        <x:v>0</x:v>
      </x:c>
      <x:c r="BZ269" s="4" t="str">
        <x:f>IF('Dashboard'!$E$67="What",'Calculations'!BO269,'Calculations'!BP269)</x:f>
      </x:c>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t="str">
        <x:f>IF(258&gt;MAX('Calculations'!$HI$13:$HI$512),"",INDEX('Calculations'!$HN$13:$HN$512,MATCH(258,'Calculations'!$HI$13:$HI$512,0)))</x:f>
      </x:c>
      <x:c r="DB269" s="4" t="str">
        <x:f>IF(258&gt;MAX('Calculations'!$HH$13:$HH$512),"",INDEX('Calculations'!$HJ$13:$HJ$512,MATCH(258,'Calculations'!$HH$13:$HH$512,0)))</x:f>
      </x:c>
      <x:c r="DC269" s="4" t="str">
        <x:f>IF(ROW()-11&gt;MAX('Calculations'!$BY$13:$BY$512),"",INDEX('Calculations'!$BU$13:$BU$512,MATCH(ROW()-11,'Calculations'!$BY$13:$BY$512,0)))</x:f>
      </x:c>
      <x:c r="DD269" s="4" t="str">
        <x:f>IF(258&gt;MAX('Calculations'!$IK$13:$IK$512),"",INDEX('Calculations'!$HK$13:$HK$512,MATCH(258,'Calculations'!$IK$13:$IK$512,0)))</x:f>
      </x:c>
      <x:c r="DE269" s="4" t="str">
        <x:f>'Calculations'!DC269</x:f>
      </x:c>
      <x:c r="DF269" s="4" t="str">
        <x:f>IF('Calculations'!DE269="","",COUNTIFS('Calculations'!$BN$13:$BN$512,1,'Calculations'!$BU$13:$BU$512,'Calculations'!DE269))</x:f>
      </x:c>
      <x:c r="DG269" s="4" t="str">
        <x:f>IF('Calculations'!DE269="","",COUNTIFS('Calculations'!$BN$13:$BN$512,1,'Calculations'!$BU$13:$BU$512,'Calculations'!DE269,'Calculations'!$BT$13:$BT$512,1))</x:f>
      </x:c>
      <x:c r="DH269" s="4" t="str">
        <x:f>IF('Calculations'!DE269="","",'Calculations'!DF269-'Calculations'!DG269)</x:f>
      </x:c>
      <x:c r="DI269" s="4" t="str">
        <x:f>IF(OR('Calculations'!DE269="",'Calculations'!DF269=0),"",'Calculations'!DG269/'Calculations'!DF269)</x:f>
      </x:c>
      <x:c r="DJ269" s="4" t="str">
        <x:f>IF('Calculations'!DE269="","",COUNTIFS('Calculations'!$BN$13:$BN$512,1,'Calculations'!$BU$13:$BU$512,'Calculations'!DE269,'Calculations'!$BT$13:$BT$512,1,'Calculations'!$EE$13:$EE$512,"High"))</x:f>
      </x:c>
      <x:c r="DK269" s="4" t="str">
        <x:f>IF('Calculations'!DE269="","",COUNTIFS('Calculations'!$BN$13:$BN$512,1,'Calculations'!$BU$13:$BU$512,'Calculations'!DE269,'Calculations'!$BT$13:$BT$512,1,'Calculations'!$EE$13:$EE$512,"Strong"))</x:f>
      </x:c>
      <x:c r="DL269" s="4" t="str">
        <x:f>IF('Calculations'!DE269="","",COUNTIFS('Calculations'!$BN$13:$BN$512,1,'Calculations'!$BU$13:$BU$512,'Calculations'!DE269,'Calculations'!$BT$13:$BT$512,1,'Calculations'!$EE$13:$EE$512,"Solid"))</x:f>
      </x:c>
      <x:c r="DM269" s="4" t="str">
        <x:f>IF('Calculations'!DE269="","",COUNTIFS('Calculations'!$BN$13:$BN$512,1,'Calculations'!$BU$13:$BU$512,'Calculations'!DE269,'Calculations'!$BT$13:$BT$512,1,'Calculations'!$EE$13:$EE$512,"Low"))</x:f>
      </x:c>
      <x:c r="DN269" s="4" t="str">
        <x:f>IF('Calculations'!DE269="","",COUNTIFS('Calculations'!$BN$13:$BN$512,1,'Calculations'!$BU$13:$BU$512,'Calculations'!DE269,'Calculations'!$EP$13:$EP$512,1))</x:f>
      </x:c>
      <x:c r="DO269" s="4" t="str">
        <x:f>IF(OR('Calculations'!DE269="",'Calculations'!DG269=0),"",('Calculations'!DJ269+'Calculations'!DK269)/'Calculations'!DG269)</x:f>
      </x:c>
      <x:c r="DP269" s="4" t="n">
        <x:f>IF(AND('Calculations'!DE269&lt;&gt;"",'Calculations'!DF269&gt;0),COUNTIF('Calculations'!$DF$12:DF269,"&gt;0"),0)</x:f>
        <x:v>0</x:v>
      </x:c>
      <x:c r="DQ269" s="4" t="str">
        <x:f>IF(258&gt;MAX('Calculations'!$HH$13:$HH$512),"",INDEX('Calculations'!$HF$13:$HF$512,MATCH(258,'Calculations'!$HH$13:$HH$512,0)))</x:f>
      </x:c>
      <x:c r="DR269" s="4" t="str">
        <x:f>IF(258&gt;MAX('Calculations'!$IK$13:$IK$512),"",INDEX('Calculations'!$HE$13:$HE$512,MATCH(258,'Calculations'!$IK$13:$IK$512,0)))</x:f>
      </x:c>
      <x:c r="DS269" s="4"/>
      <x:c r="DT269" s="4"/>
      <x:c r="DU269" s="4"/>
      <x:c r="DV269" s="4"/>
      <x:c r="DW269" s="4"/>
      <x:c r="DX269" s="4"/>
      <x:c r="DY269" s="4"/>
      <x:c r="DZ269" s="4"/>
      <x:c r="EA269" s="4"/>
      <x:c r="EB269" s="4"/>
      <x:c r="EC269" s="4"/>
      <x:c r="ED269" s="4"/>
      <x:c r="EE269" s="4" t="str">
        <x:f>IF('Calculations'!BT269=0,"Not Rated",IF(OR('Calculations'!BO269&gt;=4,'Calculations'!BP269&gt;=4),"Low",IF('Calculations'!BO269+'Calculations'!BP269&lt;=3,"High",IF('Calculations'!BO269+'Calculations'!BP269&lt;=4,"Strong","Solid"))))</x:f>
        <x:v>Not Rated</x:v>
      </x:c>
      <x:c r="EF269" s="4"/>
      <x:c r="EG269" s="4"/>
      <x:c r="EH269" s="4"/>
      <x:c r="EI269" s="4"/>
      <x:c r="EJ269" s="4"/>
      <x:c r="EK269" s="4"/>
      <x:c r="EL269" s="4"/>
      <x:c r="EM269" s="4" t="str">
        <x:f>IF(257&gt;'Calculations'!$JB$2000,"",INDEX('Calculations'!$JA$12:$JA$2000,MATCH(257,'Calculations'!$JB$12:$JB$2000,0)))</x:f>
      </x:c>
      <x:c r="EN269" s="4" t="n">
        <x:f>IF(OR('Calculations'!EM269="",'Calculations'!$AG$8&gt;0,AND('Calculations'!$EF$2&lt;&gt;"All",'Calculations'!HE269='Calculations'!$EF$2),AND('Calculations'!$EF$3&lt;&gt;"All",'Calculations'!HE269='Calculations'!$EF$3)),0,IF(OR('Dashboard'!$B$7="All",'Calculations'!HN269='Dashboard'!$B$7),IF('Calculations'!$EF$2="All",1,IF('Calculations'!HL269&gt;0,0,IF(COUNTIF('Calculations'!HO269:II269,"="&amp;SUBSTITUTE(SUBSTITUTE(SUBSTITUTE('Calculations'!$EF$2,"~","~~"),"*","~*"),"?","~?"))=0,0,IF('Calculations'!$EF$3="All",1,IF(COUNTIF('Calculations'!HO269:II269,"="&amp;SUBSTITUTE(SUBSTITUTE(SUBSTITUTE('Calculations'!$EF$3,"~","~~"),"*","~*"),"?","~?"))&gt;0,1,0))))),0))</x:f>
        <x:v>0</x:v>
      </x:c>
      <x:c r="EO269" s="4" t="str">
        <x:f>IF('Calculations'!IJ269="","",IF('Calculations'!IJ269="!UNRESOLVED","Unresolved hierarchy",IFERROR(INDEX('Calculations'!$HK$13:$HK$512,MATCH('Calculations'!IJ269,'Calculations'!$HE$13:$HE$512,0)),IFERROR(INDEX('Calculations'!$HJ$13:$HJ$512,MATCH('Calculations'!IJ269,'Calculations'!$HF$13:$HF$512,0)),'Calculations'!IJ269))))</x:f>
      </x:c>
      <x:c r="EP269" s="4" t="n">
        <x:f>IF(AND('Calculations'!EM269&lt;&gt;"",'Calculations'!HF269='Calculations'!IJ269),1,0)</x:f>
        <x:v>0</x:v>
      </x:c>
      <x:c r="EQ269" s="4"/>
      <x:c r="ER269" s="4"/>
      <x:c r="ES269" s="4"/>
      <x:c r="ET269" s="4"/>
      <x:c r="EU269" s="4"/>
      <x:c r="EV269" s="4"/>
      <x:c r="EW269" s="4"/>
      <x:c r="EX269" s="4"/>
      <x:c r="EY269" s="4"/>
      <x:c r="EZ269" s="4"/>
      <x:c r="FA269" s="4"/>
      <x:c r="FB269" s="4"/>
      <x:c r="FC269" s="4"/>
      <x:c r="FD269" s="4"/>
      <x:c r="FE269" s="4"/>
      <x:c r="FF269" s="4"/>
      <x:c r="FG269" s="4"/>
      <x:c r="FH269" s="4"/>
      <x:c r="FI269" s="4"/>
      <x:c r="FJ269" s="4"/>
      <x:c r="FK269" s="4"/>
      <x:c r="FL269" s="4"/>
      <x:c r="FM269" s="4"/>
      <x:c r="FN269" s="4"/>
      <x:c r="FO269" s="4"/>
      <x:c r="HE269" t="str">
        <x:f>IF('Calculations'!EM269="","",IF(IFERROR(IF(INDEX(INDIRECT("'WCM Calibration Final'!$A$1:$A$2000"),'Calculations'!$EM269)="","",TRIM(INDEX(INDIRECT("'WCM Calibration Final'!$A$1:$A$2000"),'Calculations'!$EM269)&amp;"")),"")&lt;&gt;"","G:"&amp;IFERROR(TEXT(1*INDEX(INDIRECT("'WCM Calibration Final'!$A$1:$A$2000"),'Calculations'!$EM269),"0"),UPPER(IFERROR(IF(INDEX(INDIRECT("'WCM Calibration Final'!$A$1:$A$2000"),'Calculations'!$EM269)="","",TRIM(INDEX(INDIRECT("'WCM Calibration Final'!$A$1:$A$2000"),'Calculations'!$EM269)&amp;"")),""))),IF(IFERROR(IF(INDEX(INDIRECT("'WCM Calibration Final'!$C$1:$C$2000"),'Calculations'!$EM269)="","",TRIM(INDEX(INDIRECT("'WCM Calibration Final'!$C$1:$C$2000"),'Calculations'!$EM269)&amp;"")),"")&lt;&gt;"","S:"&amp;UPPER(IFERROR(IF(INDEX(INDIRECT("'WCM Calibration Final'!$C$1:$C$2000"),'Calculations'!$EM269)="","",TRIM(INDEX(INDIRECT("'WCM Calibration Final'!$C$1:$C$2000"),'Calculations'!$EM269)&amp;"")),"")),"R:"&amp;'Calculations'!EM269)))</x:f>
      </x:c>
      <x:c r="HF269" t="str">
        <x:f>IF('Calculations'!EM269="","",IF(IFERROR(IF(INDEX(INDIRECT("'WCM Calibration Final'!$D$1:$D$2000"),'Calculations'!$EM269)="","",TRIM(INDEX(INDIRECT("'WCM Calibration Final'!$D$1:$D$2000"),'Calculations'!$EM269)&amp;"")),"")&lt;&gt;"","G:"&amp;IFERROR(TEXT(1*INDEX(INDIRECT("'WCM Calibration Final'!$D$1:$D$2000"),'Calculations'!$EM269),"0"),UPPER(IFERROR(IF(INDEX(INDIRECT("'WCM Calibration Final'!$D$1:$D$2000"),'Calculations'!$EM269)="","",TRIM(INDEX(INDIRECT("'WCM Calibration Final'!$D$1:$D$2000"),'Calculations'!$EM269)&amp;"")),""))),IF(IFERROR(IF(INDEX(INDIRECT("'WCM Calibration Final'!$E$1:$E$2000"),'Calculations'!$EM269)="","",TRIM(INDEX(INDIRECT("'WCM Calibration Final'!$E$1:$E$2000"),'Calculations'!$EM269)&amp;"")),"")="","",IF(COUNTIF('Calculations'!$HG$13:$HG$512,"="&amp;SUBSTITUTE(SUBSTITUTE(SUBSTITUTE(IFERROR(IF(INDEX(INDIRECT("'WCM Calibration Final'!$E$1:$E$2000"),'Calculations'!$EM269)="","",TRIM(INDEX(INDIRECT("'WCM Calibration Final'!$E$1:$E$2000"),'Calculations'!$EM269)&amp;"")),""),"~","~~"),"*","~*"),"?","~?"))=1,INDEX('Calculations'!$HE$13:$HE$512,MATCH(IFERROR(IF(INDEX(INDIRECT("'WCM Calibration Final'!$E$1:$E$2000"),'Calculations'!$EM269)="","",TRIM(INDEX(INDIRECT("'WCM Calibration Final'!$E$1:$E$2000"),'Calculations'!$EM269)&amp;"")),""),'Calculations'!$HG$13:$HG$512,0)),IF(COUNTIF('Calculations'!$HG$13:$HG$512,"="&amp;SUBSTITUTE(SUBSTITUTE(SUBSTITUTE(IFERROR(IF(INDEX(INDIRECT("'WCM Calibration Final'!$E$1:$E$2000"),'Calculations'!$EM269)="","",TRIM(INDEX(INDIRECT("'WCM Calibration Final'!$E$1:$E$2000"),'Calculations'!$EM269)&amp;"")),""),"~","~~"),"*","~*"),"?","~?"))&gt;1,"!AMBIG","X:"&amp;IFERROR(IF(INDEX(INDIRECT("'WCM Calibration Final'!$E$1:$E$2000"),'Calculations'!$EM269)="","",TRIM(INDEX(INDIRECT("'WCM Calibration Final'!$E$1:$E$2000"),'Calculations'!$EM269)&amp;"")),""))))))</x:f>
      </x:c>
      <x:c r="HG269" t="str">
        <x:f>IF('Calculations'!EM269="","",IFERROR(IF(INDEX(INDIRECT("'WCM Calibration Final'!$B$1:$B$2000"),'Calculations'!$EM269)="","",TRIM(INDEX(INDIRECT("'WCM Calibration Final'!$B$1:$B$2000"),'Calculations'!$EM269)&amp;"")),""))</x:f>
      </x:c>
      <x:c r="HH269" t="n">
        <x:f>IF(AND('Calculations'!JC269&gt;0,COUNTIF('Calculations'!$HF$12:HF269,"="&amp;SUBSTITUTE(SUBSTITUTE(SUBSTITUTE('Calculations'!HF269,"~","~~"),"*","~*"),"?","~?"))=1),MAX('Calculations'!$HH$12:HH268)+1,0)</x:f>
        <x:v>0</x:v>
      </x:c>
      <x:c r="HI269" t="n">
        <x:f>IF(AND('Calculations'!HN269&lt;&gt;"",COUNTIF('Calculations'!$HN$12:HN269,"="&amp;SUBSTITUTE(SUBSTITUTE(SUBSTITUTE('Calculations'!HN269,"~","~~"),"*","~*"),"?","~?"))=1),MAX('Calculations'!$HI$12:HI268)+1,0)</x:f>
        <x:v>0</x:v>
      </x:c>
      <x:c r="HJ269" t="str">
        <x:f>IF('Calculations'!HF269="","",IF(COUNTIF('Calculations'!$HE$13:$HE$512,"="&amp;SUBSTITUTE(SUBSTITUTE(SUBSTITUTE('Calculations'!HF269,"~","~~"),"*","~*"),"?","~?"))=1,INDEX('Calculations'!$HK$13:$HK$512,MATCH('Calculations'!HF269,'Calculations'!$HE$13:$HE$512,0)),IFERROR(IF(INDEX(INDIRECT("'WCM Calibration Final'!$E$1:$E$2000"),'Calculations'!$EM269)="","",TRIM(INDEX(INDIRECT("'WCM Calibration Final'!$E$1:$E$2000"),'Calculations'!$EM269)&amp;"")),"")&amp;" ["&amp;'Calculations'!HF269&amp;"]"))</x:f>
      </x:c>
      <x:c r="HK269" t="str">
        <x:f>IF('Calculations'!EM269="","",'Calculations'!HG269&amp;" ["&amp;'Calculations'!HE269&amp;"]")</x:f>
      </x:c>
      <x:c r="HL269" t="n">
        <x:f>IF('Calculations'!EM269="",0,IF(OR('Calculations'!II269&lt;&gt;"",COUNTIF('Calculations'!$HE$13:$HE$512,"="&amp;SUBSTITUTE(SUBSTITUTE(SUBSTITUTE('Calculations'!HE269,"~","~~"),"*","~*"),"?","~?"))&gt;1),1,0))</x:f>
        <x:v>0</x:v>
      </x:c>
      <x:c r="HM269" t="str">
        <x:f>IF('Calculations'!EM269="","",IF('Calculations'!HL269=1,"!UNRESOLVED",IF('Calculations'!IH269&lt;&gt;"",'Calculations'!IH269,IF('Calculations'!IG269&lt;&gt;"",'Calculations'!IG269,IF('Calculations'!IF269&lt;&gt;"",'Calculations'!IF269,IF('Calculations'!IE269&lt;&gt;"",'Calculations'!IE269,IF('Calculations'!ID269&lt;&gt;"",'Calculations'!ID269,IF('Calculations'!IC269&lt;&gt;"",'Calculations'!IC269,IF('Calculations'!IB269&lt;&gt;"",'Calculations'!IB269,IF('Calculations'!IA269&lt;&gt;"",'Calculations'!IA269,IF('Calculations'!HZ269&lt;&gt;"",'Calculations'!HZ269,IF('Calculations'!HY269&lt;&gt;"",'Calculations'!HY269,IF('Calculations'!HX269&lt;&gt;"",'Calculations'!HX269,IF('Calculations'!HW269&lt;&gt;"",'Calculations'!HW269,IF('Calculations'!HV269&lt;&gt;"",'Calculations'!HV269,IF('Calculations'!HU269&lt;&gt;"",'Calculations'!HU269,IF('Calculations'!HT269&lt;&gt;"",'Calculations'!HT269,IF('Calculations'!HS269&lt;&gt;"",'Calculations'!HS269,IF('Calculations'!HR269&lt;&gt;"",'Calculations'!HR269,IF('Calculations'!HQ269&lt;&gt;"",'Calculations'!HQ269,IF('Calculations'!HP269&lt;&gt;"",'Calculations'!HP269,IF('Calculations'!HO269&lt;&gt;"",'Calculations'!HO269,'Calculations'!HE269))))))))))))))))))))))</x:f>
      </x:c>
      <x:c r="HN269" t="str">
        <x:f>IF('Calculations'!EM269="","",IF(IFERROR(IF(INDEX(INDIRECT("'WCM Calibration Final'!$F$1:$F$2000"),'Calculations'!$EM269)="","",TRIM(INDEX(INDIRECT("'WCM Calibration Final'!$F$1:$F$2000"),'Calculations'!$EM269)&amp;"")),"")="","(Blank)",IFERROR(IF(INDEX(INDIRECT("'WCM Calibration Final'!$F$1:$F$2000"),'Calculations'!$EM269)="","",TRIM(INDEX(INDIRECT("'WCM Calibration Final'!$F$1:$F$2000"),'Calculations'!$EM269)&amp;"")),"")))</x:f>
      </x:c>
      <x:c r="HO269" t="str">
        <x:f>'Calculations'!HF269</x:f>
      </x:c>
      <x:c r="HP269" t="str">
        <x:f>IF('Calculations'!HO269="","",IF('Calculations'!HO269="!AMBIG","!AMBIG",IF(COUNTIF('Calculations'!$HE$13:$HE$512,"="&amp;SUBSTITUTE(SUBSTITUTE(SUBSTITUTE('Calculations'!HO269,"~","~~"),"*","~*"),"?","~?"))&gt;1,"!AMBIG",IFERROR(INDEX('Calculations'!$HF$13:$HF$512,MATCH('Calculations'!HO269,'Calculations'!$HE$13:$HE$512,0)),""))))</x:f>
      </x:c>
      <x:c r="HQ269" t="str">
        <x:f>IF('Calculations'!HP269="","",IF('Calculations'!HP269="!AMBIG","!AMBIG",IF(COUNTIF('Calculations'!$HE$13:$HE$512,"="&amp;SUBSTITUTE(SUBSTITUTE(SUBSTITUTE('Calculations'!HP269,"~","~~"),"*","~*"),"?","~?"))&gt;1,"!AMBIG",IFERROR(INDEX('Calculations'!$HF$13:$HF$512,MATCH('Calculations'!HP269,'Calculations'!$HE$13:$HE$512,0)),""))))</x:f>
      </x:c>
      <x:c r="HR269" t="str">
        <x:f>IF('Calculations'!HQ269="","",IF('Calculations'!HQ269="!AMBIG","!AMBIG",IF(COUNTIF('Calculations'!$HE$13:$HE$512,"="&amp;SUBSTITUTE(SUBSTITUTE(SUBSTITUTE('Calculations'!HQ269,"~","~~"),"*","~*"),"?","~?"))&gt;1,"!AMBIG",IFERROR(INDEX('Calculations'!$HF$13:$HF$512,MATCH('Calculations'!HQ269,'Calculations'!$HE$13:$HE$512,0)),""))))</x:f>
      </x:c>
      <x:c r="HS269" t="str">
        <x:f>IF('Calculations'!HR269="","",IF('Calculations'!HR269="!AMBIG","!AMBIG",IF(COUNTIF('Calculations'!$HE$13:$HE$512,"="&amp;SUBSTITUTE(SUBSTITUTE(SUBSTITUTE('Calculations'!HR269,"~","~~"),"*","~*"),"?","~?"))&gt;1,"!AMBIG",IFERROR(INDEX('Calculations'!$HF$13:$HF$512,MATCH('Calculations'!HR269,'Calculations'!$HE$13:$HE$512,0)),""))))</x:f>
      </x:c>
      <x:c r="HT269" t="str">
        <x:f>IF('Calculations'!HS269="","",IF('Calculations'!HS269="!AMBIG","!AMBIG",IF(COUNTIF('Calculations'!$HE$13:$HE$512,"="&amp;SUBSTITUTE(SUBSTITUTE(SUBSTITUTE('Calculations'!HS269,"~","~~"),"*","~*"),"?","~?"))&gt;1,"!AMBIG",IFERROR(INDEX('Calculations'!$HF$13:$HF$512,MATCH('Calculations'!HS269,'Calculations'!$HE$13:$HE$512,0)),""))))</x:f>
      </x:c>
      <x:c r="HU269" t="str">
        <x:f>IF('Calculations'!HT269="","",IF('Calculations'!HT269="!AMBIG","!AMBIG",IF(COUNTIF('Calculations'!$HE$13:$HE$512,"="&amp;SUBSTITUTE(SUBSTITUTE(SUBSTITUTE('Calculations'!HT269,"~","~~"),"*","~*"),"?","~?"))&gt;1,"!AMBIG",IFERROR(INDEX('Calculations'!$HF$13:$HF$512,MATCH('Calculations'!HT269,'Calculations'!$HE$13:$HE$512,0)),""))))</x:f>
      </x:c>
      <x:c r="HV269" t="str">
        <x:f>IF('Calculations'!HU269="","",IF('Calculations'!HU269="!AMBIG","!AMBIG",IF(COUNTIF('Calculations'!$HE$13:$HE$512,"="&amp;SUBSTITUTE(SUBSTITUTE(SUBSTITUTE('Calculations'!HU269,"~","~~"),"*","~*"),"?","~?"))&gt;1,"!AMBIG",IFERROR(INDEX('Calculations'!$HF$13:$HF$512,MATCH('Calculations'!HU269,'Calculations'!$HE$13:$HE$512,0)),""))))</x:f>
      </x:c>
      <x:c r="HW269" t="str">
        <x:f>IF('Calculations'!HV269="","",IF('Calculations'!HV269="!AMBIG","!AMBIG",IF(COUNTIF('Calculations'!$HE$13:$HE$512,"="&amp;SUBSTITUTE(SUBSTITUTE(SUBSTITUTE('Calculations'!HV269,"~","~~"),"*","~*"),"?","~?"))&gt;1,"!AMBIG",IFERROR(INDEX('Calculations'!$HF$13:$HF$512,MATCH('Calculations'!HV269,'Calculations'!$HE$13:$HE$512,0)),""))))</x:f>
      </x:c>
      <x:c r="HX269" t="str">
        <x:f>IF('Calculations'!HW269="","",IF('Calculations'!HW269="!AMBIG","!AMBIG",IF(COUNTIF('Calculations'!$HE$13:$HE$512,"="&amp;SUBSTITUTE(SUBSTITUTE(SUBSTITUTE('Calculations'!HW269,"~","~~"),"*","~*"),"?","~?"))&gt;1,"!AMBIG",IFERROR(INDEX('Calculations'!$HF$13:$HF$512,MATCH('Calculations'!HW269,'Calculations'!$HE$13:$HE$512,0)),""))))</x:f>
      </x:c>
      <x:c r="HY269" t="str">
        <x:f>IF('Calculations'!HX269="","",IF('Calculations'!HX269="!AMBIG","!AMBIG",IF(COUNTIF('Calculations'!$HE$13:$HE$512,"="&amp;SUBSTITUTE(SUBSTITUTE(SUBSTITUTE('Calculations'!HX269,"~","~~"),"*","~*"),"?","~?"))&gt;1,"!AMBIG",IFERROR(INDEX('Calculations'!$HF$13:$HF$512,MATCH('Calculations'!HX269,'Calculations'!$HE$13:$HE$512,0)),""))))</x:f>
      </x:c>
      <x:c r="HZ269" t="str">
        <x:f>IF('Calculations'!HY269="","",IF('Calculations'!HY269="!AMBIG","!AMBIG",IF(COUNTIF('Calculations'!$HE$13:$HE$512,"="&amp;SUBSTITUTE(SUBSTITUTE(SUBSTITUTE('Calculations'!HY269,"~","~~"),"*","~*"),"?","~?"))&gt;1,"!AMBIG",IFERROR(INDEX('Calculations'!$HF$13:$HF$512,MATCH('Calculations'!HY269,'Calculations'!$HE$13:$HE$512,0)),""))))</x:f>
      </x:c>
      <x:c r="IA269" t="str">
        <x:f>IF('Calculations'!HZ269="","",IF('Calculations'!HZ269="!AMBIG","!AMBIG",IF(COUNTIF('Calculations'!$HE$13:$HE$512,"="&amp;SUBSTITUTE(SUBSTITUTE(SUBSTITUTE('Calculations'!HZ269,"~","~~"),"*","~*"),"?","~?"))&gt;1,"!AMBIG",IFERROR(INDEX('Calculations'!$HF$13:$HF$512,MATCH('Calculations'!HZ269,'Calculations'!$HE$13:$HE$512,0)),""))))</x:f>
      </x:c>
      <x:c r="IB269" t="str">
        <x:f>IF('Calculations'!IA269="","",IF('Calculations'!IA269="!AMBIG","!AMBIG",IF(COUNTIF('Calculations'!$HE$13:$HE$512,"="&amp;SUBSTITUTE(SUBSTITUTE(SUBSTITUTE('Calculations'!IA269,"~","~~"),"*","~*"),"?","~?"))&gt;1,"!AMBIG",IFERROR(INDEX('Calculations'!$HF$13:$HF$512,MATCH('Calculations'!IA269,'Calculations'!$HE$13:$HE$512,0)),""))))</x:f>
      </x:c>
      <x:c r="IC269" t="str">
        <x:f>IF('Calculations'!IB269="","",IF('Calculations'!IB269="!AMBIG","!AMBIG",IF(COUNTIF('Calculations'!$HE$13:$HE$512,"="&amp;SUBSTITUTE(SUBSTITUTE(SUBSTITUTE('Calculations'!IB269,"~","~~"),"*","~*"),"?","~?"))&gt;1,"!AMBIG",IFERROR(INDEX('Calculations'!$HF$13:$HF$512,MATCH('Calculations'!IB269,'Calculations'!$HE$13:$HE$512,0)),""))))</x:f>
      </x:c>
      <x:c r="ID269" t="str">
        <x:f>IF('Calculations'!IC269="","",IF('Calculations'!IC269="!AMBIG","!AMBIG",IF(COUNTIF('Calculations'!$HE$13:$HE$512,"="&amp;SUBSTITUTE(SUBSTITUTE(SUBSTITUTE('Calculations'!IC269,"~","~~"),"*","~*"),"?","~?"))&gt;1,"!AMBIG",IFERROR(INDEX('Calculations'!$HF$13:$HF$512,MATCH('Calculations'!IC269,'Calculations'!$HE$13:$HE$512,0)),""))))</x:f>
      </x:c>
      <x:c r="IE269" t="str">
        <x:f>IF('Calculations'!ID269="","",IF('Calculations'!ID269="!AMBIG","!AMBIG",IF(COUNTIF('Calculations'!$HE$13:$HE$512,"="&amp;SUBSTITUTE(SUBSTITUTE(SUBSTITUTE('Calculations'!ID269,"~","~~"),"*","~*"),"?","~?"))&gt;1,"!AMBIG",IFERROR(INDEX('Calculations'!$HF$13:$HF$512,MATCH('Calculations'!ID269,'Calculations'!$HE$13:$HE$512,0)),""))))</x:f>
      </x:c>
      <x:c r="IF269" t="str">
        <x:f>IF('Calculations'!IE269="","",IF('Calculations'!IE269="!AMBIG","!AMBIG",IF(COUNTIF('Calculations'!$HE$13:$HE$512,"="&amp;SUBSTITUTE(SUBSTITUTE(SUBSTITUTE('Calculations'!IE269,"~","~~"),"*","~*"),"?","~?"))&gt;1,"!AMBIG",IFERROR(INDEX('Calculations'!$HF$13:$HF$512,MATCH('Calculations'!IE269,'Calculations'!$HE$13:$HE$512,0)),""))))</x:f>
      </x:c>
      <x:c r="IG269" t="str">
        <x:f>IF('Calculations'!IF269="","",IF('Calculations'!IF269="!AMBIG","!AMBIG",IF(COUNTIF('Calculations'!$HE$13:$HE$512,"="&amp;SUBSTITUTE(SUBSTITUTE(SUBSTITUTE('Calculations'!IF269,"~","~~"),"*","~*"),"?","~?"))&gt;1,"!AMBIG",IFERROR(INDEX('Calculations'!$HF$13:$HF$512,MATCH('Calculations'!IF269,'Calculations'!$HE$13:$HE$512,0)),""))))</x:f>
      </x:c>
      <x:c r="IH269" t="str">
        <x:f>IF('Calculations'!IG269="","",IF('Calculations'!IG269="!AMBIG","!AMBIG",IF(COUNTIF('Calculations'!$HE$13:$HE$512,"="&amp;SUBSTITUTE(SUBSTITUTE(SUBSTITUTE('Calculations'!IG269,"~","~~"),"*","~*"),"?","~?"))&gt;1,"!AMBIG",IFERROR(INDEX('Calculations'!$HF$13:$HF$512,MATCH('Calculations'!IG269,'Calculations'!$HE$13:$HE$512,0)),""))))</x:f>
      </x:c>
      <x:c r="II269" t="str">
        <x:f>IF('Calculations'!IH269="","",IF('Calculations'!IH269="!AMBIG","!AMBIG",IF(COUNTIF('Calculations'!$HE$13:$HE$512,"="&amp;SUBSTITUTE(SUBSTITUTE(SUBSTITUTE('Calculations'!IH269,"~","~~"),"*","~*"),"?","~?"))&gt;1,"!AMBIG",IFERROR(INDEX('Calculations'!$HF$13:$HF$512,MATCH('Calculations'!IH269,'Calculations'!$HE$13:$HE$512,0)),""))))</x:f>
      </x:c>
      <x:c r="IJ269" t="str">
        <x:f>IF('Calculations'!EM269="","",IF('Calculations'!$EF$2="All",'Calculations'!HM269,IF('Calculations'!HL269=1,"",IFERROR(IF(MATCH('Calculations'!$EF$2,'Calculations'!HO269:II269,0)=1,'Calculations'!HE269,INDEX('Calculations'!HO269:II269,1,MATCH('Calculations'!$EF$2,'Calculations'!HO269:II269,0)-1)),""))))</x:f>
      </x:c>
      <x:c r="IK269" t="n">
        <x:f>IF(AND('Calculations'!EM269&lt;&gt;"",'Calculations'!$EF$2&lt;&gt;"All",'Calculations'!HF269='Calculations'!$EF$2,'Calculations'!HL269=0,'Calculations'!JD269&gt;0),MAX('Calculations'!$IK$12:IK268)+1,0)</x:f>
        <x:v>0</x:v>
      </x:c>
      <x:c r="JA269" t="n">
        <x:f>IF(OR(IFERROR(INDIRECT("'WCM Calibration Final'!$A$269")&lt;&gt;"",FALSE),IFERROR(INDIRECT("'WCM Calibration Final'!$B$269")&lt;&gt;"",FALSE),IFERROR(INDIRECT("'WCM Calibration Final'!$C$269")&lt;&gt;"",FALSE)),269,0)</x:f>
        <x:v>0</x:v>
      </x:c>
      <x:c r="JB269" t="n">
        <x:f>'Calculations'!JB268+IF('Calculations'!JA269&gt;0,1,0)</x:f>
        <x:v>0</x:v>
      </x:c>
      <x:c r="JC269" t="n">
        <x:f>IF(OR('Calculations'!HF269="",'Calculations'!HF269="!AMBIG"),0,IF('Dashboard'!$B$7="All",1,COUNTIFS('Calculations'!$HO$13:$HO$512,"="&amp;SUBSTITUTE(SUBSTITUTE(SUBSTITUTE('Calculations'!HF269,"~","~~"),"*","~*"),"?","~?"),'Calculations'!$HN$13:$HN$512,"="&amp;SUBSTITUTE(SUBSTITUTE(SUBSTITUTE('Dashboard'!$B$7,"~","~~"),"*","~*"),"?","~?"))+COUNTIFS('Calculations'!$HP$13:$HP$512,"="&amp;SUBSTITUTE(SUBSTITUTE(SUBSTITUTE('Calculations'!HF269,"~","~~"),"*","~*"),"?","~?"),'Calculations'!$HN$13:$HN$512,"="&amp;SUBSTITUTE(SUBSTITUTE(SUBSTITUTE('Dashboard'!$B$7,"~","~~"),"*","~*"),"?","~?"))+COUNTIFS('Calculations'!$HQ$13:$HQ$512,"="&amp;SUBSTITUTE(SUBSTITUTE(SUBSTITUTE('Calculations'!HF269,"~","~~"),"*","~*"),"?","~?"),'Calculations'!$HN$13:$HN$512,"="&amp;SUBSTITUTE(SUBSTITUTE(SUBSTITUTE('Dashboard'!$B$7,"~","~~"),"*","~*"),"?","~?"))+COUNTIFS('Calculations'!$HR$13:$HR$512,"="&amp;SUBSTITUTE(SUBSTITUTE(SUBSTITUTE('Calculations'!HF269,"~","~~"),"*","~*"),"?","~?"),'Calculations'!$HN$13:$HN$512,"="&amp;SUBSTITUTE(SUBSTITUTE(SUBSTITUTE('Dashboard'!$B$7,"~","~~"),"*","~*"),"?","~?"))+COUNTIFS('Calculations'!$HS$13:$HS$512,"="&amp;SUBSTITUTE(SUBSTITUTE(SUBSTITUTE('Calculations'!HF269,"~","~~"),"*","~*"),"?","~?"),'Calculations'!$HN$13:$HN$512,"="&amp;SUBSTITUTE(SUBSTITUTE(SUBSTITUTE('Dashboard'!$B$7,"~","~~"),"*","~*"),"?","~?"))+COUNTIFS('Calculations'!$HT$13:$HT$512,"="&amp;SUBSTITUTE(SUBSTITUTE(SUBSTITUTE('Calculations'!HF269,"~","~~"),"*","~*"),"?","~?"),'Calculations'!$HN$13:$HN$512,"="&amp;SUBSTITUTE(SUBSTITUTE(SUBSTITUTE('Dashboard'!$B$7,"~","~~"),"*","~*"),"?","~?"))+COUNTIFS('Calculations'!$HU$13:$HU$512,"="&amp;SUBSTITUTE(SUBSTITUTE(SUBSTITUTE('Calculations'!HF269,"~","~~"),"*","~*"),"?","~?"),'Calculations'!$HN$13:$HN$512,"="&amp;SUBSTITUTE(SUBSTITUTE(SUBSTITUTE('Dashboard'!$B$7,"~","~~"),"*","~*"),"?","~?"))+COUNTIFS('Calculations'!$HV$13:$HV$512,"="&amp;SUBSTITUTE(SUBSTITUTE(SUBSTITUTE('Calculations'!HF269,"~","~~"),"*","~*"),"?","~?"),'Calculations'!$HN$13:$HN$512,"="&amp;SUBSTITUTE(SUBSTITUTE(SUBSTITUTE('Dashboard'!$B$7,"~","~~"),"*","~*"),"?","~?"))+COUNTIFS('Calculations'!$HW$13:$HW$512,"="&amp;SUBSTITUTE(SUBSTITUTE(SUBSTITUTE('Calculations'!HF269,"~","~~"),"*","~*"),"?","~?"),'Calculations'!$HN$13:$HN$512,"="&amp;SUBSTITUTE(SUBSTITUTE(SUBSTITUTE('Dashboard'!$B$7,"~","~~"),"*","~*"),"?","~?"))+COUNTIFS('Calculations'!$HX$13:$HX$512,"="&amp;SUBSTITUTE(SUBSTITUTE(SUBSTITUTE('Calculations'!HF269,"~","~~"),"*","~*"),"?","~?"),'Calculations'!$HN$13:$HN$512,"="&amp;SUBSTITUTE(SUBSTITUTE(SUBSTITUTE('Dashboard'!$B$7,"~","~~"),"*","~*"),"?","~?"))+COUNTIFS('Calculations'!$HY$13:$HY$512,"="&amp;SUBSTITUTE(SUBSTITUTE(SUBSTITUTE('Calculations'!HF269,"~","~~"),"*","~*"),"?","~?"),'Calculations'!$HN$13:$HN$512,"="&amp;SUBSTITUTE(SUBSTITUTE(SUBSTITUTE('Dashboard'!$B$7,"~","~~"),"*","~*"),"?","~?"))+COUNTIFS('Calculations'!$HZ$13:$HZ$512,"="&amp;SUBSTITUTE(SUBSTITUTE(SUBSTITUTE('Calculations'!HF269,"~","~~"),"*","~*"),"?","~?"),'Calculations'!$HN$13:$HN$512,"="&amp;SUBSTITUTE(SUBSTITUTE(SUBSTITUTE('Dashboard'!$B$7,"~","~~"),"*","~*"),"?","~?"))+COUNTIFS('Calculations'!$IA$13:$IA$512,"="&amp;SUBSTITUTE(SUBSTITUTE(SUBSTITUTE('Calculations'!HF269,"~","~~"),"*","~*"),"?","~?"),'Calculations'!$HN$13:$HN$512,"="&amp;SUBSTITUTE(SUBSTITUTE(SUBSTITUTE('Dashboard'!$B$7,"~","~~"),"*","~*"),"?","~?"))+COUNTIFS('Calculations'!$IB$13:$IB$512,"="&amp;SUBSTITUTE(SUBSTITUTE(SUBSTITUTE('Calculations'!HF269,"~","~~"),"*","~*"),"?","~?"),'Calculations'!$HN$13:$HN$512,"="&amp;SUBSTITUTE(SUBSTITUTE(SUBSTITUTE('Dashboard'!$B$7,"~","~~"),"*","~*"),"?","~?"))+COUNTIFS('Calculations'!$IC$13:$IC$512,"="&amp;SUBSTITUTE(SUBSTITUTE(SUBSTITUTE('Calculations'!HF269,"~","~~"),"*","~*"),"?","~?"),'Calculations'!$HN$13:$HN$512,"="&amp;SUBSTITUTE(SUBSTITUTE(SUBSTITUTE('Dashboard'!$B$7,"~","~~"),"*","~*"),"?","~?"))+COUNTIFS('Calculations'!$ID$13:$ID$512,"="&amp;SUBSTITUTE(SUBSTITUTE(SUBSTITUTE('Calculations'!HF269,"~","~~"),"*","~*"),"?","~?"),'Calculations'!$HN$13:$HN$512,"="&amp;SUBSTITUTE(SUBSTITUTE(SUBSTITUTE('Dashboard'!$B$7,"~","~~"),"*","~*"),"?","~?"))+COUNTIFS('Calculations'!$IE$13:$IE$512,"="&amp;SUBSTITUTE(SUBSTITUTE(SUBSTITUTE('Calculations'!HF269,"~","~~"),"*","~*"),"?","~?"),'Calculations'!$HN$13:$HN$512,"="&amp;SUBSTITUTE(SUBSTITUTE(SUBSTITUTE('Dashboard'!$B$7,"~","~~"),"*","~*"),"?","~?"))+COUNTIFS('Calculations'!$IF$13:$IF$512,"="&amp;SUBSTITUTE(SUBSTITUTE(SUBSTITUTE('Calculations'!HF269,"~","~~"),"*","~*"),"?","~?"),'Calculations'!$HN$13:$HN$512,"="&amp;SUBSTITUTE(SUBSTITUTE(SUBSTITUTE('Dashboard'!$B$7,"~","~~"),"*","~*"),"?","~?"))+COUNTIFS('Calculations'!$IG$13:$IG$512,"="&amp;SUBSTITUTE(SUBSTITUTE(SUBSTITUTE('Calculations'!HF269,"~","~~"),"*","~*"),"?","~?"),'Calculations'!$HN$13:$HN$512,"="&amp;SUBSTITUTE(SUBSTITUTE(SUBSTITUTE('Dashboard'!$B$7,"~","~~"),"*","~*"),"?","~?"))+COUNTIFS('Calculations'!$IH$13:$IH$512,"="&amp;SUBSTITUTE(SUBSTITUTE(SUBSTITUTE('Calculations'!HF269,"~","~~"),"*","~*"),"?","~?"),'Calculations'!$HN$13:$HN$512,"="&amp;SUBSTITUTE(SUBSTITUTE(SUBSTITUTE('Dashboard'!$B$7,"~","~~"),"*","~*"),"?","~?"))))</x:f>
        <x:v>0</x:v>
      </x:c>
      <x:c r="JD269" t="n">
        <x:f>IF('Calculations'!EM269="",0,IF('Dashboard'!$B$7="All",1,IF('Calculations'!HN269='Dashboard'!$B$7,1,0)+IFERROR(INDEX('Calculations'!$JC$13:$JC$512,MATCH('Calculations'!HE269,'Calculations'!$HF$13:$HF$512,0)),0)))</x:f>
        <x:v>0</x:v>
      </x:c>
      <x:c r="JE269" t="n">
        <x:f>IF(AND('Calculations'!EM269&lt;&gt;"",'Calculations'!$JJ$2&lt;&gt;"All",'Calculations'!$JJ$2&lt;&gt;"",'Calculations'!HF269='Calculations'!$JJ$2,'Calculations'!HL269=0,'Calculations'!JD269&gt;0),MAX('Calculations'!$JE$12:JE268)+1,0)</x:f>
        <x:v>0</x:v>
      </x:c>
      <x:c r="JF269" t="str">
        <x:f>IF('Calculations'!EM269="","",IFERROR(IF(INDEX(INDIRECT("'WCM Calibration Final'!$G$1:$G$2000"),'Calculations'!$EM269)="","",TRIM(INDEX(INDIRECT("'WCM Calibration Final'!$G$1:$G$2000"),'Calculations'!$EM269)&amp;"")),""))</x:f>
      </x:c>
      <x:c r="JQ269" t="n">
        <x:f>IF(OR('Calculations'!BM269=0,NOT('Calculations'!$AG$2),'Calculations'!$AG$8&gt;0),0,IF(OR('Dashboard'!$B$7="All",'Calculations'!HN269='Dashboard'!$B$7),IF('Calculations'!$JJ$2="All",1,IF(AND('Calculations'!HF269='Calculations'!$JJ$2,'Calculations'!HL269=0),1,0)),0))</x:f>
        <x:v>0</x:v>
      </x:c>
    </x:row>
    <x:row r="270">
      <x:c r="AF270" s="4" t="str">
        <x:v>Officer</x:v>
      </x:c>
      <x:c r="AG270" s="4" t="str">
        <x:v>Population</x:v>
      </x:c>
      <x:c r="AH270" s="4" t="str">
        <x:v>Valid</x:v>
      </x:c>
      <x:c r="AI270" s="4" t="str">
        <x:v>Pending</x:v>
      </x:c>
      <x:c r="AJ270" s="4" t="str">
        <x:v>Count 1</x:v>
      </x:c>
      <x:c r="AK270" s="4" t="str">
        <x:v>Count 2</x:v>
      </x:c>
      <x:c r="AL270" s="4" t="str">
        <x:v>Count 3</x:v>
      </x:c>
      <x:c r="AM270" s="4" t="str">
        <x:v>Count 4</x:v>
      </x:c>
      <x:c r="AN270" s="4" t="str"/>
      <x:c r="AO270" s="4" t="str">
        <x:v>Rating 1</x:v>
      </x:c>
      <x:c r="AP270" s="4" t="str">
        <x:v>Rating 2</x:v>
      </x:c>
      <x:c r="AQ270" s="4" t="str">
        <x:v>Rating 3</x:v>
      </x:c>
      <x:c r="AR270" s="4" t="str">
        <x:v>Rating 4</x:v>
      </x:c>
      <x:c r="AS270" s="4"/>
      <x:c r="AT270" s="4"/>
      <x:c r="AU270" s="4"/>
      <x:c r="AV270" s="4"/>
      <x:c r="AW270" s="4"/>
      <x:c r="AX270" s="4"/>
      <x:c r="AY270" s="4"/>
      <x:c r="AZ270" s="4"/>
      <x:c r="BA270" s="4"/>
      <x:c r="BB270" s="4"/>
      <x:c r="BC270" s="4"/>
      <x:c r="BD270" s="4"/>
      <x:c r="BE270" s="4"/>
      <x:c r="BF270" s="4"/>
      <x:c r="BG270" s="4"/>
      <x:c r="BH270" s="4"/>
      <x:c r="BI270" s="4"/>
      <x:c r="BJ270" s="4"/>
      <x:c r="BK270" s="4"/>
      <x:c r="BL270" s="4"/>
      <x:c r="BM270" s="4" t="n">
        <x:f>IF('Calculations'!$EM270="",0,IF(OR(IFERROR(INDEX(INDIRECT("'WCM Calibration Final'!$A$1:$A$2000"),'Calculations'!$EM270)&lt;&gt;"",FALSE),IFERROR(INDEX(INDIRECT("'WCM Calibration Final'!$B$1:$B$2000"),'Calculations'!$EM270)&lt;&gt;"",FALSE),IFERROR(INDEX(INDIRECT("'WCM Calibration Final'!$C$1:$C$2000"),'Calculations'!$EM270)&lt;&gt;"",FALSE)),1,0))</x:f>
        <x:v>0</x:v>
      </x:c>
      <x:c r="BN270" s="4" t="n">
        <x:f>IF(AND('Calculations'!BM270=1,'Calculations'!$AG$2,'Calculations'!$EN270=1),1,0)</x:f>
        <x:v>0</x:v>
      </x:c>
      <x:c r="BO270" s="4" t="str">
        <x:f>IF('Calculations'!BM270=0,"",IFERROR(IF(AND(VALUE(INDEX(INDIRECT("'WCM Calibration Final'!$K$1:$K$2000"),'Calculations'!$EM270))&gt;=1,VALUE(INDEX(INDIRECT("'WCM Calibration Final'!$K$1:$K$2000"),'Calculations'!$EM270))&lt;=4,MOD(VALUE(INDEX(INDIRECT("'WCM Calibration Final'!$K$1:$K$2000"),'Calculations'!$EM270)),1)=0),VALUE(INDEX(INDIRECT("'WCM Calibration Final'!$K$1:$K$2000"),'Calculations'!$EM270)),""),""))</x:f>
      </x:c>
      <x:c r="BP270" s="4" t="str">
        <x:f>IF('Calculations'!BM270=0,"",IFERROR(IF(AND(VALUE(INDEX(INDIRECT("'WCM Calibration Final'!$L$1:$L$2000"),'Calculations'!$EM270))&gt;=1,VALUE(INDEX(INDIRECT("'WCM Calibration Final'!$L$1:$L$2000"),'Calculations'!$EM270))&lt;=4,MOD(VALUE(INDEX(INDIRECT("'WCM Calibration Final'!$L$1:$L$2000"),'Calculations'!$EM270)),1)=0),VALUE(INDEX(INDIRECT("'WCM Calibration Final'!$L$1:$L$2000"),'Calculations'!$EM270)),""),""))</x:f>
      </x:c>
      <x:c r="BQ270" s="4"/>
      <x:c r="BR270" s="4"/>
      <x:c r="BS270" s="4"/>
      <x:c r="BT270" s="4" t="n">
        <x:f>IF(AND('Calculations'!BM270=1,ISNUMBER('Calculations'!BO270),ISNUMBER('Calculations'!BP270)),1,0)</x:f>
        <x:v>0</x:v>
      </x:c>
      <x:c r="BU270" s="4" t="str">
        <x:f>IF('Calculations'!BM270=0,"",'Calculations'!$EO270)</x:f>
      </x:c>
      <x:c r="BV270" s="4" t="str">
        <x:f>IF('Calculations'!BM270=0,"",IFERROR(IF(OR(INDEX(INDIRECT("'WCM Calibration Final'!$H$1:$H$2000"),'Calculations'!$EM270)="MANAGING DIRECTOR",INDEX(INDIRECT("'WCM Calibration Final'!$H$1:$H$2000"),'Calculations'!$EM270)="DIRECTOR",INDEX(INDIRECT("'WCM Calibration Final'!$H$1:$H$2000"),'Calculations'!$EM270)="SENIOR VICE PRESIDENT",INDEX(INDIRECT("'WCM Calibration Final'!$H$1:$H$2000"),'Calculations'!$EM270)="VICE PRESIDENT",INDEX(INDIRECT("'WCM Calibration Final'!$H$1:$H$2000"),'Calculations'!$EM270)="ASSISTANT VICE PRESIDENT",INDEX(INDIRECT("'WCM Calibration Final'!$H$1:$H$2000"),'Calculations'!$EM270)="OFFICER"),UPPER(INDEX(INDIRECT("'WCM Calibration Final'!$H$1:$H$2000"),'Calculations'!$EM270)),"Other"),"Other"))</x:f>
      </x:c>
      <x:c r="BW270" s="4"/>
      <x:c r="BX270" s="4"/>
      <x:c r="BY270" s="4" t="n">
        <x:f>IF(AND('Calculations'!BM270=1,'Calculations'!BU270&lt;&gt;"",COUNTIF('Calculations'!$BU$12:BU270,'Calculations'!BU270)=1),MAX('Calculations'!$BY$11:BY269)+1,0)</x:f>
        <x:v>0</x:v>
      </x:c>
      <x:c r="BZ270" s="4" t="str">
        <x:f>IF('Dashboard'!$E$67="What",'Calculations'!BO270,'Calculations'!BP270)</x:f>
      </x:c>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t="str">
        <x:f>IF(259&gt;MAX('Calculations'!$HI$13:$HI$512),"",INDEX('Calculations'!$HN$13:$HN$512,MATCH(259,'Calculations'!$HI$13:$HI$512,0)))</x:f>
      </x:c>
      <x:c r="DB270" s="4" t="str">
        <x:f>IF(259&gt;MAX('Calculations'!$HH$13:$HH$512),"",INDEX('Calculations'!$HJ$13:$HJ$512,MATCH(259,'Calculations'!$HH$13:$HH$512,0)))</x:f>
      </x:c>
      <x:c r="DC270" s="4" t="str">
        <x:f>IF(ROW()-11&gt;MAX('Calculations'!$BY$13:$BY$512),"",INDEX('Calculations'!$BU$13:$BU$512,MATCH(ROW()-11,'Calculations'!$BY$13:$BY$512,0)))</x:f>
      </x:c>
      <x:c r="DD270" s="4" t="str">
        <x:f>IF(259&gt;MAX('Calculations'!$IK$13:$IK$512),"",INDEX('Calculations'!$HK$13:$HK$512,MATCH(259,'Calculations'!$IK$13:$IK$512,0)))</x:f>
      </x:c>
      <x:c r="DE270" s="4" t="str">
        <x:f>'Calculations'!DC270</x:f>
      </x:c>
      <x:c r="DF270" s="4" t="str">
        <x:f>IF('Calculations'!DE270="","",COUNTIFS('Calculations'!$BN$13:$BN$512,1,'Calculations'!$BU$13:$BU$512,'Calculations'!DE270))</x:f>
      </x:c>
      <x:c r="DG270" s="4" t="str">
        <x:f>IF('Calculations'!DE270="","",COUNTIFS('Calculations'!$BN$13:$BN$512,1,'Calculations'!$BU$13:$BU$512,'Calculations'!DE270,'Calculations'!$BT$13:$BT$512,1))</x:f>
      </x:c>
      <x:c r="DH270" s="4" t="str">
        <x:f>IF('Calculations'!DE270="","",'Calculations'!DF270-'Calculations'!DG270)</x:f>
      </x:c>
      <x:c r="DI270" s="4" t="str">
        <x:f>IF(OR('Calculations'!DE270="",'Calculations'!DF270=0),"",'Calculations'!DG270/'Calculations'!DF270)</x:f>
      </x:c>
      <x:c r="DJ270" s="4" t="str">
        <x:f>IF('Calculations'!DE270="","",COUNTIFS('Calculations'!$BN$13:$BN$512,1,'Calculations'!$BU$13:$BU$512,'Calculations'!DE270,'Calculations'!$BT$13:$BT$512,1,'Calculations'!$EE$13:$EE$512,"High"))</x:f>
      </x:c>
      <x:c r="DK270" s="4" t="str">
        <x:f>IF('Calculations'!DE270="","",COUNTIFS('Calculations'!$BN$13:$BN$512,1,'Calculations'!$BU$13:$BU$512,'Calculations'!DE270,'Calculations'!$BT$13:$BT$512,1,'Calculations'!$EE$13:$EE$512,"Strong"))</x:f>
      </x:c>
      <x:c r="DL270" s="4" t="str">
        <x:f>IF('Calculations'!DE270="","",COUNTIFS('Calculations'!$BN$13:$BN$512,1,'Calculations'!$BU$13:$BU$512,'Calculations'!DE270,'Calculations'!$BT$13:$BT$512,1,'Calculations'!$EE$13:$EE$512,"Solid"))</x:f>
      </x:c>
      <x:c r="DM270" s="4" t="str">
        <x:f>IF('Calculations'!DE270="","",COUNTIFS('Calculations'!$BN$13:$BN$512,1,'Calculations'!$BU$13:$BU$512,'Calculations'!DE270,'Calculations'!$BT$13:$BT$512,1,'Calculations'!$EE$13:$EE$512,"Low"))</x:f>
      </x:c>
      <x:c r="DN270" s="4" t="str">
        <x:f>IF('Calculations'!DE270="","",COUNTIFS('Calculations'!$BN$13:$BN$512,1,'Calculations'!$BU$13:$BU$512,'Calculations'!DE270,'Calculations'!$EP$13:$EP$512,1))</x:f>
      </x:c>
      <x:c r="DO270" s="4" t="str">
        <x:f>IF(OR('Calculations'!DE270="",'Calculations'!DG270=0),"",('Calculations'!DJ270+'Calculations'!DK270)/'Calculations'!DG270)</x:f>
      </x:c>
      <x:c r="DP270" s="4" t="n">
        <x:f>IF(AND('Calculations'!DE270&lt;&gt;"",'Calculations'!DF270&gt;0),COUNTIF('Calculations'!$DF$12:DF270,"&gt;0"),0)</x:f>
        <x:v>0</x:v>
      </x:c>
      <x:c r="DQ270" s="4" t="str">
        <x:f>IF(259&gt;MAX('Calculations'!$HH$13:$HH$512),"",INDEX('Calculations'!$HF$13:$HF$512,MATCH(259,'Calculations'!$HH$13:$HH$512,0)))</x:f>
      </x:c>
      <x:c r="DR270" s="4" t="str">
        <x:f>IF(259&gt;MAX('Calculations'!$IK$13:$IK$512),"",INDEX('Calculations'!$HE$13:$HE$512,MATCH(259,'Calculations'!$IK$13:$IK$512,0)))</x:f>
      </x:c>
      <x:c r="DS270" s="4"/>
      <x:c r="DT270" s="4"/>
      <x:c r="DU270" s="4"/>
      <x:c r="DV270" s="4"/>
      <x:c r="DW270" s="4"/>
      <x:c r="DX270" s="4"/>
      <x:c r="DY270" s="4"/>
      <x:c r="DZ270" s="4"/>
      <x:c r="EA270" s="4"/>
      <x:c r="EB270" s="4"/>
      <x:c r="EC270" s="4"/>
      <x:c r="ED270" s="4"/>
      <x:c r="EE270" s="4" t="str">
        <x:f>IF('Calculations'!BT270=0,"Not Rated",IF(OR('Calculations'!BO270&gt;=4,'Calculations'!BP270&gt;=4),"Low",IF('Calculations'!BO270+'Calculations'!BP270&lt;=3,"High",IF('Calculations'!BO270+'Calculations'!BP270&lt;=4,"Strong","Solid"))))</x:f>
        <x:v>Not Rated</x:v>
      </x:c>
      <x:c r="EF270" s="4"/>
      <x:c r="EG270" s="4"/>
      <x:c r="EH270" s="4"/>
      <x:c r="EI270" s="4"/>
      <x:c r="EJ270" s="4"/>
      <x:c r="EK270" s="4"/>
      <x:c r="EL270" s="4"/>
      <x:c r="EM270" s="4" t="str">
        <x:f>IF(258&gt;'Calculations'!$JB$2000,"",INDEX('Calculations'!$JA$12:$JA$2000,MATCH(258,'Calculations'!$JB$12:$JB$2000,0)))</x:f>
      </x:c>
      <x:c r="EN270" s="4" t="n">
        <x:f>IF(OR('Calculations'!EM270="",'Calculations'!$AG$8&gt;0,AND('Calculations'!$EF$2&lt;&gt;"All",'Calculations'!HE270='Calculations'!$EF$2),AND('Calculations'!$EF$3&lt;&gt;"All",'Calculations'!HE270='Calculations'!$EF$3)),0,IF(OR('Dashboard'!$B$7="All",'Calculations'!HN270='Dashboard'!$B$7),IF('Calculations'!$EF$2="All",1,IF('Calculations'!HL270&gt;0,0,IF(COUNTIF('Calculations'!HO270:II270,"="&amp;SUBSTITUTE(SUBSTITUTE(SUBSTITUTE('Calculations'!$EF$2,"~","~~"),"*","~*"),"?","~?"))=0,0,IF('Calculations'!$EF$3="All",1,IF(COUNTIF('Calculations'!HO270:II270,"="&amp;SUBSTITUTE(SUBSTITUTE(SUBSTITUTE('Calculations'!$EF$3,"~","~~"),"*","~*"),"?","~?"))&gt;0,1,0))))),0))</x:f>
        <x:v>0</x:v>
      </x:c>
      <x:c r="EO270" s="4" t="str">
        <x:f>IF('Calculations'!IJ270="","",IF('Calculations'!IJ270="!UNRESOLVED","Unresolved hierarchy",IFERROR(INDEX('Calculations'!$HK$13:$HK$512,MATCH('Calculations'!IJ270,'Calculations'!$HE$13:$HE$512,0)),IFERROR(INDEX('Calculations'!$HJ$13:$HJ$512,MATCH('Calculations'!IJ270,'Calculations'!$HF$13:$HF$512,0)),'Calculations'!IJ270))))</x:f>
      </x:c>
      <x:c r="EP270" s="4" t="n">
        <x:f>IF(AND('Calculations'!EM270&lt;&gt;"",'Calculations'!HF270='Calculations'!IJ270),1,0)</x:f>
        <x:v>0</x:v>
      </x:c>
      <x:c r="EQ270" s="4"/>
      <x:c r="ER270" s="4"/>
      <x:c r="ES270" s="4"/>
      <x:c r="ET270" s="4"/>
      <x:c r="EU270" s="4"/>
      <x:c r="EV270" s="4"/>
      <x:c r="EW270" s="4"/>
      <x:c r="EX270" s="4"/>
      <x:c r="EY270" s="4"/>
      <x:c r="EZ270" s="4"/>
      <x:c r="FA270" s="4"/>
      <x:c r="FB270" s="4"/>
      <x:c r="FC270" s="4"/>
      <x:c r="FD270" s="4"/>
      <x:c r="FE270" s="4"/>
      <x:c r="FF270" s="4"/>
      <x:c r="FG270" s="4"/>
      <x:c r="FH270" s="4"/>
      <x:c r="FI270" s="4"/>
      <x:c r="FJ270" s="4"/>
      <x:c r="FK270" s="4"/>
      <x:c r="FL270" s="4"/>
      <x:c r="FM270" s="4"/>
      <x:c r="FN270" s="4"/>
      <x:c r="FO270" s="4"/>
      <x:c r="HE270" t="str">
        <x:f>IF('Calculations'!EM270="","",IF(IFERROR(IF(INDEX(INDIRECT("'WCM Calibration Final'!$A$1:$A$2000"),'Calculations'!$EM270)="","",TRIM(INDEX(INDIRECT("'WCM Calibration Final'!$A$1:$A$2000"),'Calculations'!$EM270)&amp;"")),"")&lt;&gt;"","G:"&amp;IFERROR(TEXT(1*INDEX(INDIRECT("'WCM Calibration Final'!$A$1:$A$2000"),'Calculations'!$EM270),"0"),UPPER(IFERROR(IF(INDEX(INDIRECT("'WCM Calibration Final'!$A$1:$A$2000"),'Calculations'!$EM270)="","",TRIM(INDEX(INDIRECT("'WCM Calibration Final'!$A$1:$A$2000"),'Calculations'!$EM270)&amp;"")),""))),IF(IFERROR(IF(INDEX(INDIRECT("'WCM Calibration Final'!$C$1:$C$2000"),'Calculations'!$EM270)="","",TRIM(INDEX(INDIRECT("'WCM Calibration Final'!$C$1:$C$2000"),'Calculations'!$EM270)&amp;"")),"")&lt;&gt;"","S:"&amp;UPPER(IFERROR(IF(INDEX(INDIRECT("'WCM Calibration Final'!$C$1:$C$2000"),'Calculations'!$EM270)="","",TRIM(INDEX(INDIRECT("'WCM Calibration Final'!$C$1:$C$2000"),'Calculations'!$EM270)&amp;"")),"")),"R:"&amp;'Calculations'!EM270)))</x:f>
      </x:c>
      <x:c r="HF270" t="str">
        <x:f>IF('Calculations'!EM270="","",IF(IFERROR(IF(INDEX(INDIRECT("'WCM Calibration Final'!$D$1:$D$2000"),'Calculations'!$EM270)="","",TRIM(INDEX(INDIRECT("'WCM Calibration Final'!$D$1:$D$2000"),'Calculations'!$EM270)&amp;"")),"")&lt;&gt;"","G:"&amp;IFERROR(TEXT(1*INDEX(INDIRECT("'WCM Calibration Final'!$D$1:$D$2000"),'Calculations'!$EM270),"0"),UPPER(IFERROR(IF(INDEX(INDIRECT("'WCM Calibration Final'!$D$1:$D$2000"),'Calculations'!$EM270)="","",TRIM(INDEX(INDIRECT("'WCM Calibration Final'!$D$1:$D$2000"),'Calculations'!$EM270)&amp;"")),""))),IF(IFERROR(IF(INDEX(INDIRECT("'WCM Calibration Final'!$E$1:$E$2000"),'Calculations'!$EM270)="","",TRIM(INDEX(INDIRECT("'WCM Calibration Final'!$E$1:$E$2000"),'Calculations'!$EM270)&amp;"")),"")="","",IF(COUNTIF('Calculations'!$HG$13:$HG$512,"="&amp;SUBSTITUTE(SUBSTITUTE(SUBSTITUTE(IFERROR(IF(INDEX(INDIRECT("'WCM Calibration Final'!$E$1:$E$2000"),'Calculations'!$EM270)="","",TRIM(INDEX(INDIRECT("'WCM Calibration Final'!$E$1:$E$2000"),'Calculations'!$EM270)&amp;"")),""),"~","~~"),"*","~*"),"?","~?"))=1,INDEX('Calculations'!$HE$13:$HE$512,MATCH(IFERROR(IF(INDEX(INDIRECT("'WCM Calibration Final'!$E$1:$E$2000"),'Calculations'!$EM270)="","",TRIM(INDEX(INDIRECT("'WCM Calibration Final'!$E$1:$E$2000"),'Calculations'!$EM270)&amp;"")),""),'Calculations'!$HG$13:$HG$512,0)),IF(COUNTIF('Calculations'!$HG$13:$HG$512,"="&amp;SUBSTITUTE(SUBSTITUTE(SUBSTITUTE(IFERROR(IF(INDEX(INDIRECT("'WCM Calibration Final'!$E$1:$E$2000"),'Calculations'!$EM270)="","",TRIM(INDEX(INDIRECT("'WCM Calibration Final'!$E$1:$E$2000"),'Calculations'!$EM270)&amp;"")),""),"~","~~"),"*","~*"),"?","~?"))&gt;1,"!AMBIG","X:"&amp;IFERROR(IF(INDEX(INDIRECT("'WCM Calibration Final'!$E$1:$E$2000"),'Calculations'!$EM270)="","",TRIM(INDEX(INDIRECT("'WCM Calibration Final'!$E$1:$E$2000"),'Calculations'!$EM270)&amp;"")),""))))))</x:f>
      </x:c>
      <x:c r="HG270" t="str">
        <x:f>IF('Calculations'!EM270="","",IFERROR(IF(INDEX(INDIRECT("'WCM Calibration Final'!$B$1:$B$2000"),'Calculations'!$EM270)="","",TRIM(INDEX(INDIRECT("'WCM Calibration Final'!$B$1:$B$2000"),'Calculations'!$EM270)&amp;"")),""))</x:f>
      </x:c>
      <x:c r="HH270" t="n">
        <x:f>IF(AND('Calculations'!JC270&gt;0,COUNTIF('Calculations'!$HF$12:HF270,"="&amp;SUBSTITUTE(SUBSTITUTE(SUBSTITUTE('Calculations'!HF270,"~","~~"),"*","~*"),"?","~?"))=1),MAX('Calculations'!$HH$12:HH269)+1,0)</x:f>
        <x:v>0</x:v>
      </x:c>
      <x:c r="HI270" t="n">
        <x:f>IF(AND('Calculations'!HN270&lt;&gt;"",COUNTIF('Calculations'!$HN$12:HN270,"="&amp;SUBSTITUTE(SUBSTITUTE(SUBSTITUTE('Calculations'!HN270,"~","~~"),"*","~*"),"?","~?"))=1),MAX('Calculations'!$HI$12:HI269)+1,0)</x:f>
        <x:v>0</x:v>
      </x:c>
      <x:c r="HJ270" t="str">
        <x:f>IF('Calculations'!HF270="","",IF(COUNTIF('Calculations'!$HE$13:$HE$512,"="&amp;SUBSTITUTE(SUBSTITUTE(SUBSTITUTE('Calculations'!HF270,"~","~~"),"*","~*"),"?","~?"))=1,INDEX('Calculations'!$HK$13:$HK$512,MATCH('Calculations'!HF270,'Calculations'!$HE$13:$HE$512,0)),IFERROR(IF(INDEX(INDIRECT("'WCM Calibration Final'!$E$1:$E$2000"),'Calculations'!$EM270)="","",TRIM(INDEX(INDIRECT("'WCM Calibration Final'!$E$1:$E$2000"),'Calculations'!$EM270)&amp;"")),"")&amp;" ["&amp;'Calculations'!HF270&amp;"]"))</x:f>
      </x:c>
      <x:c r="HK270" t="str">
        <x:f>IF('Calculations'!EM270="","",'Calculations'!HG270&amp;" ["&amp;'Calculations'!HE270&amp;"]")</x:f>
      </x:c>
      <x:c r="HL270" t="n">
        <x:f>IF('Calculations'!EM270="",0,IF(OR('Calculations'!II270&lt;&gt;"",COUNTIF('Calculations'!$HE$13:$HE$512,"="&amp;SUBSTITUTE(SUBSTITUTE(SUBSTITUTE('Calculations'!HE270,"~","~~"),"*","~*"),"?","~?"))&gt;1),1,0))</x:f>
        <x:v>0</x:v>
      </x:c>
      <x:c r="HM270" t="str">
        <x:f>IF('Calculations'!EM270="","",IF('Calculations'!HL270=1,"!UNRESOLVED",IF('Calculations'!IH270&lt;&gt;"",'Calculations'!IH270,IF('Calculations'!IG270&lt;&gt;"",'Calculations'!IG270,IF('Calculations'!IF270&lt;&gt;"",'Calculations'!IF270,IF('Calculations'!IE270&lt;&gt;"",'Calculations'!IE270,IF('Calculations'!ID270&lt;&gt;"",'Calculations'!ID270,IF('Calculations'!IC270&lt;&gt;"",'Calculations'!IC270,IF('Calculations'!IB270&lt;&gt;"",'Calculations'!IB270,IF('Calculations'!IA270&lt;&gt;"",'Calculations'!IA270,IF('Calculations'!HZ270&lt;&gt;"",'Calculations'!HZ270,IF('Calculations'!HY270&lt;&gt;"",'Calculations'!HY270,IF('Calculations'!HX270&lt;&gt;"",'Calculations'!HX270,IF('Calculations'!HW270&lt;&gt;"",'Calculations'!HW270,IF('Calculations'!HV270&lt;&gt;"",'Calculations'!HV270,IF('Calculations'!HU270&lt;&gt;"",'Calculations'!HU270,IF('Calculations'!HT270&lt;&gt;"",'Calculations'!HT270,IF('Calculations'!HS270&lt;&gt;"",'Calculations'!HS270,IF('Calculations'!HR270&lt;&gt;"",'Calculations'!HR270,IF('Calculations'!HQ270&lt;&gt;"",'Calculations'!HQ270,IF('Calculations'!HP270&lt;&gt;"",'Calculations'!HP270,IF('Calculations'!HO270&lt;&gt;"",'Calculations'!HO270,'Calculations'!HE270))))))))))))))))))))))</x:f>
      </x:c>
      <x:c r="HN270" t="str">
        <x:f>IF('Calculations'!EM270="","",IF(IFERROR(IF(INDEX(INDIRECT("'WCM Calibration Final'!$F$1:$F$2000"),'Calculations'!$EM270)="","",TRIM(INDEX(INDIRECT("'WCM Calibration Final'!$F$1:$F$2000"),'Calculations'!$EM270)&amp;"")),"")="","(Blank)",IFERROR(IF(INDEX(INDIRECT("'WCM Calibration Final'!$F$1:$F$2000"),'Calculations'!$EM270)="","",TRIM(INDEX(INDIRECT("'WCM Calibration Final'!$F$1:$F$2000"),'Calculations'!$EM270)&amp;"")),"")))</x:f>
      </x:c>
      <x:c r="HO270" t="str">
        <x:f>'Calculations'!HF270</x:f>
      </x:c>
      <x:c r="HP270" t="str">
        <x:f>IF('Calculations'!HO270="","",IF('Calculations'!HO270="!AMBIG","!AMBIG",IF(COUNTIF('Calculations'!$HE$13:$HE$512,"="&amp;SUBSTITUTE(SUBSTITUTE(SUBSTITUTE('Calculations'!HO270,"~","~~"),"*","~*"),"?","~?"))&gt;1,"!AMBIG",IFERROR(INDEX('Calculations'!$HF$13:$HF$512,MATCH('Calculations'!HO270,'Calculations'!$HE$13:$HE$512,0)),""))))</x:f>
      </x:c>
      <x:c r="HQ270" t="str">
        <x:f>IF('Calculations'!HP270="","",IF('Calculations'!HP270="!AMBIG","!AMBIG",IF(COUNTIF('Calculations'!$HE$13:$HE$512,"="&amp;SUBSTITUTE(SUBSTITUTE(SUBSTITUTE('Calculations'!HP270,"~","~~"),"*","~*"),"?","~?"))&gt;1,"!AMBIG",IFERROR(INDEX('Calculations'!$HF$13:$HF$512,MATCH('Calculations'!HP270,'Calculations'!$HE$13:$HE$512,0)),""))))</x:f>
      </x:c>
      <x:c r="HR270" t="str">
        <x:f>IF('Calculations'!HQ270="","",IF('Calculations'!HQ270="!AMBIG","!AMBIG",IF(COUNTIF('Calculations'!$HE$13:$HE$512,"="&amp;SUBSTITUTE(SUBSTITUTE(SUBSTITUTE('Calculations'!HQ270,"~","~~"),"*","~*"),"?","~?"))&gt;1,"!AMBIG",IFERROR(INDEX('Calculations'!$HF$13:$HF$512,MATCH('Calculations'!HQ270,'Calculations'!$HE$13:$HE$512,0)),""))))</x:f>
      </x:c>
      <x:c r="HS270" t="str">
        <x:f>IF('Calculations'!HR270="","",IF('Calculations'!HR270="!AMBIG","!AMBIG",IF(COUNTIF('Calculations'!$HE$13:$HE$512,"="&amp;SUBSTITUTE(SUBSTITUTE(SUBSTITUTE('Calculations'!HR270,"~","~~"),"*","~*"),"?","~?"))&gt;1,"!AMBIG",IFERROR(INDEX('Calculations'!$HF$13:$HF$512,MATCH('Calculations'!HR270,'Calculations'!$HE$13:$HE$512,0)),""))))</x:f>
      </x:c>
      <x:c r="HT270" t="str">
        <x:f>IF('Calculations'!HS270="","",IF('Calculations'!HS270="!AMBIG","!AMBIG",IF(COUNTIF('Calculations'!$HE$13:$HE$512,"="&amp;SUBSTITUTE(SUBSTITUTE(SUBSTITUTE('Calculations'!HS270,"~","~~"),"*","~*"),"?","~?"))&gt;1,"!AMBIG",IFERROR(INDEX('Calculations'!$HF$13:$HF$512,MATCH('Calculations'!HS270,'Calculations'!$HE$13:$HE$512,0)),""))))</x:f>
      </x:c>
      <x:c r="HU270" t="str">
        <x:f>IF('Calculations'!HT270="","",IF('Calculations'!HT270="!AMBIG","!AMBIG",IF(COUNTIF('Calculations'!$HE$13:$HE$512,"="&amp;SUBSTITUTE(SUBSTITUTE(SUBSTITUTE('Calculations'!HT270,"~","~~"),"*","~*"),"?","~?"))&gt;1,"!AMBIG",IFERROR(INDEX('Calculations'!$HF$13:$HF$512,MATCH('Calculations'!HT270,'Calculations'!$HE$13:$HE$512,0)),""))))</x:f>
      </x:c>
      <x:c r="HV270" t="str">
        <x:f>IF('Calculations'!HU270="","",IF('Calculations'!HU270="!AMBIG","!AMBIG",IF(COUNTIF('Calculations'!$HE$13:$HE$512,"="&amp;SUBSTITUTE(SUBSTITUTE(SUBSTITUTE('Calculations'!HU270,"~","~~"),"*","~*"),"?","~?"))&gt;1,"!AMBIG",IFERROR(INDEX('Calculations'!$HF$13:$HF$512,MATCH('Calculations'!HU270,'Calculations'!$HE$13:$HE$512,0)),""))))</x:f>
      </x:c>
      <x:c r="HW270" t="str">
        <x:f>IF('Calculations'!HV270="","",IF('Calculations'!HV270="!AMBIG","!AMBIG",IF(COUNTIF('Calculations'!$HE$13:$HE$512,"="&amp;SUBSTITUTE(SUBSTITUTE(SUBSTITUTE('Calculations'!HV270,"~","~~"),"*","~*"),"?","~?"))&gt;1,"!AMBIG",IFERROR(INDEX('Calculations'!$HF$13:$HF$512,MATCH('Calculations'!HV270,'Calculations'!$HE$13:$HE$512,0)),""))))</x:f>
      </x:c>
      <x:c r="HX270" t="str">
        <x:f>IF('Calculations'!HW270="","",IF('Calculations'!HW270="!AMBIG","!AMBIG",IF(COUNTIF('Calculations'!$HE$13:$HE$512,"="&amp;SUBSTITUTE(SUBSTITUTE(SUBSTITUTE('Calculations'!HW270,"~","~~"),"*","~*"),"?","~?"))&gt;1,"!AMBIG",IFERROR(INDEX('Calculations'!$HF$13:$HF$512,MATCH('Calculations'!HW270,'Calculations'!$HE$13:$HE$512,0)),""))))</x:f>
      </x:c>
      <x:c r="HY270" t="str">
        <x:f>IF('Calculations'!HX270="","",IF('Calculations'!HX270="!AMBIG","!AMBIG",IF(COUNTIF('Calculations'!$HE$13:$HE$512,"="&amp;SUBSTITUTE(SUBSTITUTE(SUBSTITUTE('Calculations'!HX270,"~","~~"),"*","~*"),"?","~?"))&gt;1,"!AMBIG",IFERROR(INDEX('Calculations'!$HF$13:$HF$512,MATCH('Calculations'!HX270,'Calculations'!$HE$13:$HE$512,0)),""))))</x:f>
      </x:c>
      <x:c r="HZ270" t="str">
        <x:f>IF('Calculations'!HY270="","",IF('Calculations'!HY270="!AMBIG","!AMBIG",IF(COUNTIF('Calculations'!$HE$13:$HE$512,"="&amp;SUBSTITUTE(SUBSTITUTE(SUBSTITUTE('Calculations'!HY270,"~","~~"),"*","~*"),"?","~?"))&gt;1,"!AMBIG",IFERROR(INDEX('Calculations'!$HF$13:$HF$512,MATCH('Calculations'!HY270,'Calculations'!$HE$13:$HE$512,0)),""))))</x:f>
      </x:c>
      <x:c r="IA270" t="str">
        <x:f>IF('Calculations'!HZ270="","",IF('Calculations'!HZ270="!AMBIG","!AMBIG",IF(COUNTIF('Calculations'!$HE$13:$HE$512,"="&amp;SUBSTITUTE(SUBSTITUTE(SUBSTITUTE('Calculations'!HZ270,"~","~~"),"*","~*"),"?","~?"))&gt;1,"!AMBIG",IFERROR(INDEX('Calculations'!$HF$13:$HF$512,MATCH('Calculations'!HZ270,'Calculations'!$HE$13:$HE$512,0)),""))))</x:f>
      </x:c>
      <x:c r="IB270" t="str">
        <x:f>IF('Calculations'!IA270="","",IF('Calculations'!IA270="!AMBIG","!AMBIG",IF(COUNTIF('Calculations'!$HE$13:$HE$512,"="&amp;SUBSTITUTE(SUBSTITUTE(SUBSTITUTE('Calculations'!IA270,"~","~~"),"*","~*"),"?","~?"))&gt;1,"!AMBIG",IFERROR(INDEX('Calculations'!$HF$13:$HF$512,MATCH('Calculations'!IA270,'Calculations'!$HE$13:$HE$512,0)),""))))</x:f>
      </x:c>
      <x:c r="IC270" t="str">
        <x:f>IF('Calculations'!IB270="","",IF('Calculations'!IB270="!AMBIG","!AMBIG",IF(COUNTIF('Calculations'!$HE$13:$HE$512,"="&amp;SUBSTITUTE(SUBSTITUTE(SUBSTITUTE('Calculations'!IB270,"~","~~"),"*","~*"),"?","~?"))&gt;1,"!AMBIG",IFERROR(INDEX('Calculations'!$HF$13:$HF$512,MATCH('Calculations'!IB270,'Calculations'!$HE$13:$HE$512,0)),""))))</x:f>
      </x:c>
      <x:c r="ID270" t="str">
        <x:f>IF('Calculations'!IC270="","",IF('Calculations'!IC270="!AMBIG","!AMBIG",IF(COUNTIF('Calculations'!$HE$13:$HE$512,"="&amp;SUBSTITUTE(SUBSTITUTE(SUBSTITUTE('Calculations'!IC270,"~","~~"),"*","~*"),"?","~?"))&gt;1,"!AMBIG",IFERROR(INDEX('Calculations'!$HF$13:$HF$512,MATCH('Calculations'!IC270,'Calculations'!$HE$13:$HE$512,0)),""))))</x:f>
      </x:c>
      <x:c r="IE270" t="str">
        <x:f>IF('Calculations'!ID270="","",IF('Calculations'!ID270="!AMBIG","!AMBIG",IF(COUNTIF('Calculations'!$HE$13:$HE$512,"="&amp;SUBSTITUTE(SUBSTITUTE(SUBSTITUTE('Calculations'!ID270,"~","~~"),"*","~*"),"?","~?"))&gt;1,"!AMBIG",IFERROR(INDEX('Calculations'!$HF$13:$HF$512,MATCH('Calculations'!ID270,'Calculations'!$HE$13:$HE$512,0)),""))))</x:f>
      </x:c>
      <x:c r="IF270" t="str">
        <x:f>IF('Calculations'!IE270="","",IF('Calculations'!IE270="!AMBIG","!AMBIG",IF(COUNTIF('Calculations'!$HE$13:$HE$512,"="&amp;SUBSTITUTE(SUBSTITUTE(SUBSTITUTE('Calculations'!IE270,"~","~~"),"*","~*"),"?","~?"))&gt;1,"!AMBIG",IFERROR(INDEX('Calculations'!$HF$13:$HF$512,MATCH('Calculations'!IE270,'Calculations'!$HE$13:$HE$512,0)),""))))</x:f>
      </x:c>
      <x:c r="IG270" t="str">
        <x:f>IF('Calculations'!IF270="","",IF('Calculations'!IF270="!AMBIG","!AMBIG",IF(COUNTIF('Calculations'!$HE$13:$HE$512,"="&amp;SUBSTITUTE(SUBSTITUTE(SUBSTITUTE('Calculations'!IF270,"~","~~"),"*","~*"),"?","~?"))&gt;1,"!AMBIG",IFERROR(INDEX('Calculations'!$HF$13:$HF$512,MATCH('Calculations'!IF270,'Calculations'!$HE$13:$HE$512,0)),""))))</x:f>
      </x:c>
      <x:c r="IH270" t="str">
        <x:f>IF('Calculations'!IG270="","",IF('Calculations'!IG270="!AMBIG","!AMBIG",IF(COUNTIF('Calculations'!$HE$13:$HE$512,"="&amp;SUBSTITUTE(SUBSTITUTE(SUBSTITUTE('Calculations'!IG270,"~","~~"),"*","~*"),"?","~?"))&gt;1,"!AMBIG",IFERROR(INDEX('Calculations'!$HF$13:$HF$512,MATCH('Calculations'!IG270,'Calculations'!$HE$13:$HE$512,0)),""))))</x:f>
      </x:c>
      <x:c r="II270" t="str">
        <x:f>IF('Calculations'!IH270="","",IF('Calculations'!IH270="!AMBIG","!AMBIG",IF(COUNTIF('Calculations'!$HE$13:$HE$512,"="&amp;SUBSTITUTE(SUBSTITUTE(SUBSTITUTE('Calculations'!IH270,"~","~~"),"*","~*"),"?","~?"))&gt;1,"!AMBIG",IFERROR(INDEX('Calculations'!$HF$13:$HF$512,MATCH('Calculations'!IH270,'Calculations'!$HE$13:$HE$512,0)),""))))</x:f>
      </x:c>
      <x:c r="IJ270" t="str">
        <x:f>IF('Calculations'!EM270="","",IF('Calculations'!$EF$2="All",'Calculations'!HM270,IF('Calculations'!HL270=1,"",IFERROR(IF(MATCH('Calculations'!$EF$2,'Calculations'!HO270:II270,0)=1,'Calculations'!HE270,INDEX('Calculations'!HO270:II270,1,MATCH('Calculations'!$EF$2,'Calculations'!HO270:II270,0)-1)),""))))</x:f>
      </x:c>
      <x:c r="IK270" t="n">
        <x:f>IF(AND('Calculations'!EM270&lt;&gt;"",'Calculations'!$EF$2&lt;&gt;"All",'Calculations'!HF270='Calculations'!$EF$2,'Calculations'!HL270=0,'Calculations'!JD270&gt;0),MAX('Calculations'!$IK$12:IK269)+1,0)</x:f>
        <x:v>0</x:v>
      </x:c>
      <x:c r="JA270" t="n">
        <x:f>IF(OR(IFERROR(INDIRECT("'WCM Calibration Final'!$A$270")&lt;&gt;"",FALSE),IFERROR(INDIRECT("'WCM Calibration Final'!$B$270")&lt;&gt;"",FALSE),IFERROR(INDIRECT("'WCM Calibration Final'!$C$270")&lt;&gt;"",FALSE)),270,0)</x:f>
        <x:v>0</x:v>
      </x:c>
      <x:c r="JB270" t="n">
        <x:f>'Calculations'!JB269+IF('Calculations'!JA270&gt;0,1,0)</x:f>
        <x:v>0</x:v>
      </x:c>
      <x:c r="JC270" t="n">
        <x:f>IF(OR('Calculations'!HF270="",'Calculations'!HF270="!AMBIG"),0,IF('Dashboard'!$B$7="All",1,COUNTIFS('Calculations'!$HO$13:$HO$512,"="&amp;SUBSTITUTE(SUBSTITUTE(SUBSTITUTE('Calculations'!HF270,"~","~~"),"*","~*"),"?","~?"),'Calculations'!$HN$13:$HN$512,"="&amp;SUBSTITUTE(SUBSTITUTE(SUBSTITUTE('Dashboard'!$B$7,"~","~~"),"*","~*"),"?","~?"))+COUNTIFS('Calculations'!$HP$13:$HP$512,"="&amp;SUBSTITUTE(SUBSTITUTE(SUBSTITUTE('Calculations'!HF270,"~","~~"),"*","~*"),"?","~?"),'Calculations'!$HN$13:$HN$512,"="&amp;SUBSTITUTE(SUBSTITUTE(SUBSTITUTE('Dashboard'!$B$7,"~","~~"),"*","~*"),"?","~?"))+COUNTIFS('Calculations'!$HQ$13:$HQ$512,"="&amp;SUBSTITUTE(SUBSTITUTE(SUBSTITUTE('Calculations'!HF270,"~","~~"),"*","~*"),"?","~?"),'Calculations'!$HN$13:$HN$512,"="&amp;SUBSTITUTE(SUBSTITUTE(SUBSTITUTE('Dashboard'!$B$7,"~","~~"),"*","~*"),"?","~?"))+COUNTIFS('Calculations'!$HR$13:$HR$512,"="&amp;SUBSTITUTE(SUBSTITUTE(SUBSTITUTE('Calculations'!HF270,"~","~~"),"*","~*"),"?","~?"),'Calculations'!$HN$13:$HN$512,"="&amp;SUBSTITUTE(SUBSTITUTE(SUBSTITUTE('Dashboard'!$B$7,"~","~~"),"*","~*"),"?","~?"))+COUNTIFS('Calculations'!$HS$13:$HS$512,"="&amp;SUBSTITUTE(SUBSTITUTE(SUBSTITUTE('Calculations'!HF270,"~","~~"),"*","~*"),"?","~?"),'Calculations'!$HN$13:$HN$512,"="&amp;SUBSTITUTE(SUBSTITUTE(SUBSTITUTE('Dashboard'!$B$7,"~","~~"),"*","~*"),"?","~?"))+COUNTIFS('Calculations'!$HT$13:$HT$512,"="&amp;SUBSTITUTE(SUBSTITUTE(SUBSTITUTE('Calculations'!HF270,"~","~~"),"*","~*"),"?","~?"),'Calculations'!$HN$13:$HN$512,"="&amp;SUBSTITUTE(SUBSTITUTE(SUBSTITUTE('Dashboard'!$B$7,"~","~~"),"*","~*"),"?","~?"))+COUNTIFS('Calculations'!$HU$13:$HU$512,"="&amp;SUBSTITUTE(SUBSTITUTE(SUBSTITUTE('Calculations'!HF270,"~","~~"),"*","~*"),"?","~?"),'Calculations'!$HN$13:$HN$512,"="&amp;SUBSTITUTE(SUBSTITUTE(SUBSTITUTE('Dashboard'!$B$7,"~","~~"),"*","~*"),"?","~?"))+COUNTIFS('Calculations'!$HV$13:$HV$512,"="&amp;SUBSTITUTE(SUBSTITUTE(SUBSTITUTE('Calculations'!HF270,"~","~~"),"*","~*"),"?","~?"),'Calculations'!$HN$13:$HN$512,"="&amp;SUBSTITUTE(SUBSTITUTE(SUBSTITUTE('Dashboard'!$B$7,"~","~~"),"*","~*"),"?","~?"))+COUNTIFS('Calculations'!$HW$13:$HW$512,"="&amp;SUBSTITUTE(SUBSTITUTE(SUBSTITUTE('Calculations'!HF270,"~","~~"),"*","~*"),"?","~?"),'Calculations'!$HN$13:$HN$512,"="&amp;SUBSTITUTE(SUBSTITUTE(SUBSTITUTE('Dashboard'!$B$7,"~","~~"),"*","~*"),"?","~?"))+COUNTIFS('Calculations'!$HX$13:$HX$512,"="&amp;SUBSTITUTE(SUBSTITUTE(SUBSTITUTE('Calculations'!HF270,"~","~~"),"*","~*"),"?","~?"),'Calculations'!$HN$13:$HN$512,"="&amp;SUBSTITUTE(SUBSTITUTE(SUBSTITUTE('Dashboard'!$B$7,"~","~~"),"*","~*"),"?","~?"))+COUNTIFS('Calculations'!$HY$13:$HY$512,"="&amp;SUBSTITUTE(SUBSTITUTE(SUBSTITUTE('Calculations'!HF270,"~","~~"),"*","~*"),"?","~?"),'Calculations'!$HN$13:$HN$512,"="&amp;SUBSTITUTE(SUBSTITUTE(SUBSTITUTE('Dashboard'!$B$7,"~","~~"),"*","~*"),"?","~?"))+COUNTIFS('Calculations'!$HZ$13:$HZ$512,"="&amp;SUBSTITUTE(SUBSTITUTE(SUBSTITUTE('Calculations'!HF270,"~","~~"),"*","~*"),"?","~?"),'Calculations'!$HN$13:$HN$512,"="&amp;SUBSTITUTE(SUBSTITUTE(SUBSTITUTE('Dashboard'!$B$7,"~","~~"),"*","~*"),"?","~?"))+COUNTIFS('Calculations'!$IA$13:$IA$512,"="&amp;SUBSTITUTE(SUBSTITUTE(SUBSTITUTE('Calculations'!HF270,"~","~~"),"*","~*"),"?","~?"),'Calculations'!$HN$13:$HN$512,"="&amp;SUBSTITUTE(SUBSTITUTE(SUBSTITUTE('Dashboard'!$B$7,"~","~~"),"*","~*"),"?","~?"))+COUNTIFS('Calculations'!$IB$13:$IB$512,"="&amp;SUBSTITUTE(SUBSTITUTE(SUBSTITUTE('Calculations'!HF270,"~","~~"),"*","~*"),"?","~?"),'Calculations'!$HN$13:$HN$512,"="&amp;SUBSTITUTE(SUBSTITUTE(SUBSTITUTE('Dashboard'!$B$7,"~","~~"),"*","~*"),"?","~?"))+COUNTIFS('Calculations'!$IC$13:$IC$512,"="&amp;SUBSTITUTE(SUBSTITUTE(SUBSTITUTE('Calculations'!HF270,"~","~~"),"*","~*"),"?","~?"),'Calculations'!$HN$13:$HN$512,"="&amp;SUBSTITUTE(SUBSTITUTE(SUBSTITUTE('Dashboard'!$B$7,"~","~~"),"*","~*"),"?","~?"))+COUNTIFS('Calculations'!$ID$13:$ID$512,"="&amp;SUBSTITUTE(SUBSTITUTE(SUBSTITUTE('Calculations'!HF270,"~","~~"),"*","~*"),"?","~?"),'Calculations'!$HN$13:$HN$512,"="&amp;SUBSTITUTE(SUBSTITUTE(SUBSTITUTE('Dashboard'!$B$7,"~","~~"),"*","~*"),"?","~?"))+COUNTIFS('Calculations'!$IE$13:$IE$512,"="&amp;SUBSTITUTE(SUBSTITUTE(SUBSTITUTE('Calculations'!HF270,"~","~~"),"*","~*"),"?","~?"),'Calculations'!$HN$13:$HN$512,"="&amp;SUBSTITUTE(SUBSTITUTE(SUBSTITUTE('Dashboard'!$B$7,"~","~~"),"*","~*"),"?","~?"))+COUNTIFS('Calculations'!$IF$13:$IF$512,"="&amp;SUBSTITUTE(SUBSTITUTE(SUBSTITUTE('Calculations'!HF270,"~","~~"),"*","~*"),"?","~?"),'Calculations'!$HN$13:$HN$512,"="&amp;SUBSTITUTE(SUBSTITUTE(SUBSTITUTE('Dashboard'!$B$7,"~","~~"),"*","~*"),"?","~?"))+COUNTIFS('Calculations'!$IG$13:$IG$512,"="&amp;SUBSTITUTE(SUBSTITUTE(SUBSTITUTE('Calculations'!HF270,"~","~~"),"*","~*"),"?","~?"),'Calculations'!$HN$13:$HN$512,"="&amp;SUBSTITUTE(SUBSTITUTE(SUBSTITUTE('Dashboard'!$B$7,"~","~~"),"*","~*"),"?","~?"))+COUNTIFS('Calculations'!$IH$13:$IH$512,"="&amp;SUBSTITUTE(SUBSTITUTE(SUBSTITUTE('Calculations'!HF270,"~","~~"),"*","~*"),"?","~?"),'Calculations'!$HN$13:$HN$512,"="&amp;SUBSTITUTE(SUBSTITUTE(SUBSTITUTE('Dashboard'!$B$7,"~","~~"),"*","~*"),"?","~?"))))</x:f>
        <x:v>0</x:v>
      </x:c>
      <x:c r="JD270" t="n">
        <x:f>IF('Calculations'!EM270="",0,IF('Dashboard'!$B$7="All",1,IF('Calculations'!HN270='Dashboard'!$B$7,1,0)+IFERROR(INDEX('Calculations'!$JC$13:$JC$512,MATCH('Calculations'!HE270,'Calculations'!$HF$13:$HF$512,0)),0)))</x:f>
        <x:v>0</x:v>
      </x:c>
      <x:c r="JE270" t="n">
        <x:f>IF(AND('Calculations'!EM270&lt;&gt;"",'Calculations'!$JJ$2&lt;&gt;"All",'Calculations'!$JJ$2&lt;&gt;"",'Calculations'!HF270='Calculations'!$JJ$2,'Calculations'!HL270=0,'Calculations'!JD270&gt;0),MAX('Calculations'!$JE$12:JE269)+1,0)</x:f>
        <x:v>0</x:v>
      </x:c>
      <x:c r="JF270" t="str">
        <x:f>IF('Calculations'!EM270="","",IFERROR(IF(INDEX(INDIRECT("'WCM Calibration Final'!$G$1:$G$2000"),'Calculations'!$EM270)="","",TRIM(INDEX(INDIRECT("'WCM Calibration Final'!$G$1:$G$2000"),'Calculations'!$EM270)&amp;"")),""))</x:f>
      </x:c>
      <x:c r="JQ270" t="n">
        <x:f>IF(OR('Calculations'!BM270=0,NOT('Calculations'!$AG$2),'Calculations'!$AG$8&gt;0),0,IF(OR('Dashboard'!$B$7="All",'Calculations'!HN270='Dashboard'!$B$7),IF('Calculations'!$JJ$2="All",1,IF(AND('Calculations'!HF270='Calculations'!$JJ$2,'Calculations'!HL270=0),1,0)),0))</x:f>
        <x:v>0</x:v>
      </x:c>
    </x:row>
    <x:row r="271">
      <x:c r="AF271" s="4" t="str">
        <x:f>IF('Calculations'!AH271=0,"","MD (n="&amp;'Calculations'!AH271&amp;")")</x:f>
      </x:c>
      <x:c r="AG271" s="4" t="n">
        <x:f>COUNTIFS('Calculations'!$BN$13:$BN$512,1,'Calculations'!$BV$13:$BV$512,'Calculations'!AT271)</x:f>
        <x:v>0</x:v>
      </x:c>
      <x:c r="AH271" s="4" t="n">
        <x:f>SUM('Calculations'!AJ271:AM271)</x:f>
        <x:v>0</x:v>
      </x:c>
      <x:c r="AI271" s="4" t="n">
        <x:f>'Calculations'!AG271-'Calculations'!AH271</x:f>
        <x:v>0</x:v>
      </x:c>
      <x:c r="AJ271" s="4" t="n">
        <x:f>COUNTIFS('Calculations'!$BN$13:$BN$512,1,'Calculations'!$BV$13:$BV$512,'Calculations'!AT271,'Calculations'!$BP$13:$BP$512,1)</x:f>
        <x:v>0</x:v>
      </x:c>
      <x:c r="AK271" s="4" t="n">
        <x:f>COUNTIFS('Calculations'!$BN$13:$BN$512,1,'Calculations'!$BV$13:$BV$512,'Calculations'!AT271,'Calculations'!$BP$13:$BP$512,2)</x:f>
        <x:v>0</x:v>
      </x:c>
      <x:c r="AL271" s="4" t="n">
        <x:f>COUNTIFS('Calculations'!$BN$13:$BN$512,1,'Calculations'!$BV$13:$BV$512,'Calculations'!AT271,'Calculations'!$BP$13:$BP$512,3)</x:f>
        <x:v>0</x:v>
      </x:c>
      <x:c r="AM271" s="4" t="n">
        <x:f>COUNTIFS('Calculations'!$BN$13:$BN$512,1,'Calculations'!$BV$13:$BV$512,'Calculations'!AT271,'Calculations'!$BP$13:$BP$512,4)</x:f>
        <x:v>0</x:v>
      </x:c>
      <x:c r="AN271" s="4"/>
      <x:c r="AO271" s="4" t="n">
        <x:f>IF('Calculations'!AH271=0,0,'Calculations'!AJ271/'Calculations'!AH271)</x:f>
        <x:v>0</x:v>
      </x:c>
      <x:c r="AP271" s="4" t="n">
        <x:f>IF('Calculations'!AH271=0,0,'Calculations'!AK271/'Calculations'!AH271)</x:f>
        <x:v>0</x:v>
      </x:c>
      <x:c r="AQ271" s="4" t="n">
        <x:f>IF('Calculations'!AH271=0,0,'Calculations'!AL271/'Calculations'!AH271)</x:f>
        <x:v>0</x:v>
      </x:c>
      <x:c r="AR271" s="4" t="n">
        <x:f>IF('Calculations'!AH271=0,0,'Calculations'!AM271/'Calculations'!AH271)</x:f>
        <x:v>0</x:v>
      </x:c>
      <x:c r="AS271" s="4"/>
      <x:c r="AT271" s="4" t="str">
        <x:v>MANAGING DIRECTOR</x:v>
      </x:c>
      <x:c r="AU271" s="4"/>
      <x:c r="AV271" s="4"/>
      <x:c r="AW271" s="4"/>
      <x:c r="AX271" s="4"/>
      <x:c r="AY271" s="4"/>
      <x:c r="AZ271" s="4"/>
      <x:c r="BA271" s="4"/>
      <x:c r="BB271" s="4"/>
      <x:c r="BC271" s="4"/>
      <x:c r="BD271" s="4"/>
      <x:c r="BE271" s="4"/>
      <x:c r="BF271" s="4"/>
      <x:c r="BG271" s="4"/>
      <x:c r="BH271" s="4"/>
      <x:c r="BI271" s="4"/>
      <x:c r="BJ271" s="4"/>
      <x:c r="BK271" s="4"/>
      <x:c r="BL271" s="4"/>
      <x:c r="BM271" s="4" t="n">
        <x:f>IF('Calculations'!$EM271="",0,IF(OR(IFERROR(INDEX(INDIRECT("'WCM Calibration Final'!$A$1:$A$2000"),'Calculations'!$EM271)&lt;&gt;"",FALSE),IFERROR(INDEX(INDIRECT("'WCM Calibration Final'!$B$1:$B$2000"),'Calculations'!$EM271)&lt;&gt;"",FALSE),IFERROR(INDEX(INDIRECT("'WCM Calibration Final'!$C$1:$C$2000"),'Calculations'!$EM271)&lt;&gt;"",FALSE)),1,0))</x:f>
        <x:v>0</x:v>
      </x:c>
      <x:c r="BN271" s="4" t="n">
        <x:f>IF(AND('Calculations'!BM271=1,'Calculations'!$AG$2,'Calculations'!$EN271=1),1,0)</x:f>
        <x:v>0</x:v>
      </x:c>
      <x:c r="BO271" s="4" t="str">
        <x:f>IF('Calculations'!BM271=0,"",IFERROR(IF(AND(VALUE(INDEX(INDIRECT("'WCM Calibration Final'!$K$1:$K$2000"),'Calculations'!$EM271))&gt;=1,VALUE(INDEX(INDIRECT("'WCM Calibration Final'!$K$1:$K$2000"),'Calculations'!$EM271))&lt;=4,MOD(VALUE(INDEX(INDIRECT("'WCM Calibration Final'!$K$1:$K$2000"),'Calculations'!$EM271)),1)=0),VALUE(INDEX(INDIRECT("'WCM Calibration Final'!$K$1:$K$2000"),'Calculations'!$EM271)),""),""))</x:f>
      </x:c>
      <x:c r="BP271" s="4" t="str">
        <x:f>IF('Calculations'!BM271=0,"",IFERROR(IF(AND(VALUE(INDEX(INDIRECT("'WCM Calibration Final'!$L$1:$L$2000"),'Calculations'!$EM271))&gt;=1,VALUE(INDEX(INDIRECT("'WCM Calibration Final'!$L$1:$L$2000"),'Calculations'!$EM271))&lt;=4,MOD(VALUE(INDEX(INDIRECT("'WCM Calibration Final'!$L$1:$L$2000"),'Calculations'!$EM271)),1)=0),VALUE(INDEX(INDIRECT("'WCM Calibration Final'!$L$1:$L$2000"),'Calculations'!$EM271)),""),""))</x:f>
      </x:c>
      <x:c r="BQ271" s="4"/>
      <x:c r="BR271" s="4"/>
      <x:c r="BS271" s="4"/>
      <x:c r="BT271" s="4" t="n">
        <x:f>IF(AND('Calculations'!BM271=1,ISNUMBER('Calculations'!BO271),ISNUMBER('Calculations'!BP271)),1,0)</x:f>
        <x:v>0</x:v>
      </x:c>
      <x:c r="BU271" s="4" t="str">
        <x:f>IF('Calculations'!BM271=0,"",'Calculations'!$EO271)</x:f>
      </x:c>
      <x:c r="BV271" s="4" t="str">
        <x:f>IF('Calculations'!BM271=0,"",IFERROR(IF(OR(INDEX(INDIRECT("'WCM Calibration Final'!$H$1:$H$2000"),'Calculations'!$EM271)="MANAGING DIRECTOR",INDEX(INDIRECT("'WCM Calibration Final'!$H$1:$H$2000"),'Calculations'!$EM271)="DIRECTOR",INDEX(INDIRECT("'WCM Calibration Final'!$H$1:$H$2000"),'Calculations'!$EM271)="SENIOR VICE PRESIDENT",INDEX(INDIRECT("'WCM Calibration Final'!$H$1:$H$2000"),'Calculations'!$EM271)="VICE PRESIDENT",INDEX(INDIRECT("'WCM Calibration Final'!$H$1:$H$2000"),'Calculations'!$EM271)="ASSISTANT VICE PRESIDENT",INDEX(INDIRECT("'WCM Calibration Final'!$H$1:$H$2000"),'Calculations'!$EM271)="OFFICER"),UPPER(INDEX(INDIRECT("'WCM Calibration Final'!$H$1:$H$2000"),'Calculations'!$EM271)),"Other"),"Other"))</x:f>
      </x:c>
      <x:c r="BW271" s="4"/>
      <x:c r="BX271" s="4"/>
      <x:c r="BY271" s="4" t="n">
        <x:f>IF(AND('Calculations'!BM271=1,'Calculations'!BU271&lt;&gt;"",COUNTIF('Calculations'!$BU$12:BU271,'Calculations'!BU271)=1),MAX('Calculations'!$BY$11:BY270)+1,0)</x:f>
        <x:v>0</x:v>
      </x:c>
      <x:c r="BZ271" s="4" t="str">
        <x:f>IF('Dashboard'!$E$67="What",'Calculations'!BO271,'Calculations'!BP271)</x:f>
      </x:c>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t="str">
        <x:f>IF(260&gt;MAX('Calculations'!$HI$13:$HI$512),"",INDEX('Calculations'!$HN$13:$HN$512,MATCH(260,'Calculations'!$HI$13:$HI$512,0)))</x:f>
      </x:c>
      <x:c r="DB271" s="4" t="str">
        <x:f>IF(260&gt;MAX('Calculations'!$HH$13:$HH$512),"",INDEX('Calculations'!$HJ$13:$HJ$512,MATCH(260,'Calculations'!$HH$13:$HH$512,0)))</x:f>
      </x:c>
      <x:c r="DC271" s="4" t="str">
        <x:f>IF(ROW()-11&gt;MAX('Calculations'!$BY$13:$BY$512),"",INDEX('Calculations'!$BU$13:$BU$512,MATCH(ROW()-11,'Calculations'!$BY$13:$BY$512,0)))</x:f>
      </x:c>
      <x:c r="DD271" s="4" t="str">
        <x:f>IF(260&gt;MAX('Calculations'!$IK$13:$IK$512),"",INDEX('Calculations'!$HK$13:$HK$512,MATCH(260,'Calculations'!$IK$13:$IK$512,0)))</x:f>
      </x:c>
      <x:c r="DE271" s="4" t="str">
        <x:f>'Calculations'!DC271</x:f>
      </x:c>
      <x:c r="DF271" s="4" t="str">
        <x:f>IF('Calculations'!DE271="","",COUNTIFS('Calculations'!$BN$13:$BN$512,1,'Calculations'!$BU$13:$BU$512,'Calculations'!DE271))</x:f>
      </x:c>
      <x:c r="DG271" s="4" t="str">
        <x:f>IF('Calculations'!DE271="","",COUNTIFS('Calculations'!$BN$13:$BN$512,1,'Calculations'!$BU$13:$BU$512,'Calculations'!DE271,'Calculations'!$BT$13:$BT$512,1))</x:f>
      </x:c>
      <x:c r="DH271" s="4" t="str">
        <x:f>IF('Calculations'!DE271="","",'Calculations'!DF271-'Calculations'!DG271)</x:f>
      </x:c>
      <x:c r="DI271" s="4" t="str">
        <x:f>IF(OR('Calculations'!DE271="",'Calculations'!DF271=0),"",'Calculations'!DG271/'Calculations'!DF271)</x:f>
      </x:c>
      <x:c r="DJ271" s="4" t="str">
        <x:f>IF('Calculations'!DE271="","",COUNTIFS('Calculations'!$BN$13:$BN$512,1,'Calculations'!$BU$13:$BU$512,'Calculations'!DE271,'Calculations'!$BT$13:$BT$512,1,'Calculations'!$EE$13:$EE$512,"High"))</x:f>
      </x:c>
      <x:c r="DK271" s="4" t="str">
        <x:f>IF('Calculations'!DE271="","",COUNTIFS('Calculations'!$BN$13:$BN$512,1,'Calculations'!$BU$13:$BU$512,'Calculations'!DE271,'Calculations'!$BT$13:$BT$512,1,'Calculations'!$EE$13:$EE$512,"Strong"))</x:f>
      </x:c>
      <x:c r="DL271" s="4" t="str">
        <x:f>IF('Calculations'!DE271="","",COUNTIFS('Calculations'!$BN$13:$BN$512,1,'Calculations'!$BU$13:$BU$512,'Calculations'!DE271,'Calculations'!$BT$13:$BT$512,1,'Calculations'!$EE$13:$EE$512,"Solid"))</x:f>
      </x:c>
      <x:c r="DM271" s="4" t="str">
        <x:f>IF('Calculations'!DE271="","",COUNTIFS('Calculations'!$BN$13:$BN$512,1,'Calculations'!$BU$13:$BU$512,'Calculations'!DE271,'Calculations'!$BT$13:$BT$512,1,'Calculations'!$EE$13:$EE$512,"Low"))</x:f>
      </x:c>
      <x:c r="DN271" s="4" t="str">
        <x:f>IF('Calculations'!DE271="","",COUNTIFS('Calculations'!$BN$13:$BN$512,1,'Calculations'!$BU$13:$BU$512,'Calculations'!DE271,'Calculations'!$EP$13:$EP$512,1))</x:f>
      </x:c>
      <x:c r="DO271" s="4" t="str">
        <x:f>IF(OR('Calculations'!DE271="",'Calculations'!DG271=0),"",('Calculations'!DJ271+'Calculations'!DK271)/'Calculations'!DG271)</x:f>
      </x:c>
      <x:c r="DP271" s="4" t="n">
        <x:f>IF(AND('Calculations'!DE271&lt;&gt;"",'Calculations'!DF271&gt;0),COUNTIF('Calculations'!$DF$12:DF271,"&gt;0"),0)</x:f>
        <x:v>0</x:v>
      </x:c>
      <x:c r="DQ271" s="4" t="str">
        <x:f>IF(260&gt;MAX('Calculations'!$HH$13:$HH$512),"",INDEX('Calculations'!$HF$13:$HF$512,MATCH(260,'Calculations'!$HH$13:$HH$512,0)))</x:f>
      </x:c>
      <x:c r="DR271" s="4" t="str">
        <x:f>IF(260&gt;MAX('Calculations'!$IK$13:$IK$512),"",INDEX('Calculations'!$HE$13:$HE$512,MATCH(260,'Calculations'!$IK$13:$IK$512,0)))</x:f>
      </x:c>
      <x:c r="DS271" s="4"/>
      <x:c r="DT271" s="4"/>
      <x:c r="DU271" s="4"/>
      <x:c r="DV271" s="4"/>
      <x:c r="DW271" s="4"/>
      <x:c r="DX271" s="4"/>
      <x:c r="DY271" s="4"/>
      <x:c r="DZ271" s="4"/>
      <x:c r="EA271" s="4"/>
      <x:c r="EB271" s="4"/>
      <x:c r="EC271" s="4"/>
      <x:c r="ED271" s="4"/>
      <x:c r="EE271" s="4" t="str">
        <x:f>IF('Calculations'!BT271=0,"Not Rated",IF(OR('Calculations'!BO271&gt;=4,'Calculations'!BP271&gt;=4),"Low",IF('Calculations'!BO271+'Calculations'!BP271&lt;=3,"High",IF('Calculations'!BO271+'Calculations'!BP271&lt;=4,"Strong","Solid"))))</x:f>
        <x:v>Not Rated</x:v>
      </x:c>
      <x:c r="EF271" s="4"/>
      <x:c r="EG271" s="4"/>
      <x:c r="EH271" s="4"/>
      <x:c r="EI271" s="4"/>
      <x:c r="EJ271" s="4"/>
      <x:c r="EK271" s="4"/>
      <x:c r="EL271" s="4"/>
      <x:c r="EM271" s="4" t="str">
        <x:f>IF(259&gt;'Calculations'!$JB$2000,"",INDEX('Calculations'!$JA$12:$JA$2000,MATCH(259,'Calculations'!$JB$12:$JB$2000,0)))</x:f>
      </x:c>
      <x:c r="EN271" s="4" t="n">
        <x:f>IF(OR('Calculations'!EM271="",'Calculations'!$AG$8&gt;0,AND('Calculations'!$EF$2&lt;&gt;"All",'Calculations'!HE271='Calculations'!$EF$2),AND('Calculations'!$EF$3&lt;&gt;"All",'Calculations'!HE271='Calculations'!$EF$3)),0,IF(OR('Dashboard'!$B$7="All",'Calculations'!HN271='Dashboard'!$B$7),IF('Calculations'!$EF$2="All",1,IF('Calculations'!HL271&gt;0,0,IF(COUNTIF('Calculations'!HO271:II271,"="&amp;SUBSTITUTE(SUBSTITUTE(SUBSTITUTE('Calculations'!$EF$2,"~","~~"),"*","~*"),"?","~?"))=0,0,IF('Calculations'!$EF$3="All",1,IF(COUNTIF('Calculations'!HO271:II271,"="&amp;SUBSTITUTE(SUBSTITUTE(SUBSTITUTE('Calculations'!$EF$3,"~","~~"),"*","~*"),"?","~?"))&gt;0,1,0))))),0))</x:f>
        <x:v>0</x:v>
      </x:c>
      <x:c r="EO271" s="4" t="str">
        <x:f>IF('Calculations'!IJ271="","",IF('Calculations'!IJ271="!UNRESOLVED","Unresolved hierarchy",IFERROR(INDEX('Calculations'!$HK$13:$HK$512,MATCH('Calculations'!IJ271,'Calculations'!$HE$13:$HE$512,0)),IFERROR(INDEX('Calculations'!$HJ$13:$HJ$512,MATCH('Calculations'!IJ271,'Calculations'!$HF$13:$HF$512,0)),'Calculations'!IJ271))))</x:f>
      </x:c>
      <x:c r="EP271" s="4" t="n">
        <x:f>IF(AND('Calculations'!EM271&lt;&gt;"",'Calculations'!HF271='Calculations'!IJ271),1,0)</x:f>
        <x:v>0</x:v>
      </x:c>
      <x:c r="EQ271" s="4"/>
      <x:c r="ER271" s="4"/>
      <x:c r="ES271" s="4"/>
      <x:c r="ET271" s="4"/>
      <x:c r="EU271" s="4"/>
      <x:c r="EV271" s="4"/>
      <x:c r="EW271" s="4"/>
      <x:c r="EX271" s="4"/>
      <x:c r="EY271" s="4"/>
      <x:c r="EZ271" s="4"/>
      <x:c r="FA271" s="4"/>
      <x:c r="FB271" s="4"/>
      <x:c r="FC271" s="4"/>
      <x:c r="FD271" s="4"/>
      <x:c r="FE271" s="4"/>
      <x:c r="FF271" s="4"/>
      <x:c r="FG271" s="4"/>
      <x:c r="FH271" s="4"/>
      <x:c r="FI271" s="4"/>
      <x:c r="FJ271" s="4"/>
      <x:c r="FK271" s="4"/>
      <x:c r="FL271" s="4"/>
      <x:c r="FM271" s="4"/>
      <x:c r="FN271" s="4"/>
      <x:c r="FO271" s="4"/>
      <x:c r="HE271" t="str">
        <x:f>IF('Calculations'!EM271="","",IF(IFERROR(IF(INDEX(INDIRECT("'WCM Calibration Final'!$A$1:$A$2000"),'Calculations'!$EM271)="","",TRIM(INDEX(INDIRECT("'WCM Calibration Final'!$A$1:$A$2000"),'Calculations'!$EM271)&amp;"")),"")&lt;&gt;"","G:"&amp;IFERROR(TEXT(1*INDEX(INDIRECT("'WCM Calibration Final'!$A$1:$A$2000"),'Calculations'!$EM271),"0"),UPPER(IFERROR(IF(INDEX(INDIRECT("'WCM Calibration Final'!$A$1:$A$2000"),'Calculations'!$EM271)="","",TRIM(INDEX(INDIRECT("'WCM Calibration Final'!$A$1:$A$2000"),'Calculations'!$EM271)&amp;"")),""))),IF(IFERROR(IF(INDEX(INDIRECT("'WCM Calibration Final'!$C$1:$C$2000"),'Calculations'!$EM271)="","",TRIM(INDEX(INDIRECT("'WCM Calibration Final'!$C$1:$C$2000"),'Calculations'!$EM271)&amp;"")),"")&lt;&gt;"","S:"&amp;UPPER(IFERROR(IF(INDEX(INDIRECT("'WCM Calibration Final'!$C$1:$C$2000"),'Calculations'!$EM271)="","",TRIM(INDEX(INDIRECT("'WCM Calibration Final'!$C$1:$C$2000"),'Calculations'!$EM271)&amp;"")),"")),"R:"&amp;'Calculations'!EM271)))</x:f>
      </x:c>
      <x:c r="HF271" t="str">
        <x:f>IF('Calculations'!EM271="","",IF(IFERROR(IF(INDEX(INDIRECT("'WCM Calibration Final'!$D$1:$D$2000"),'Calculations'!$EM271)="","",TRIM(INDEX(INDIRECT("'WCM Calibration Final'!$D$1:$D$2000"),'Calculations'!$EM271)&amp;"")),"")&lt;&gt;"","G:"&amp;IFERROR(TEXT(1*INDEX(INDIRECT("'WCM Calibration Final'!$D$1:$D$2000"),'Calculations'!$EM271),"0"),UPPER(IFERROR(IF(INDEX(INDIRECT("'WCM Calibration Final'!$D$1:$D$2000"),'Calculations'!$EM271)="","",TRIM(INDEX(INDIRECT("'WCM Calibration Final'!$D$1:$D$2000"),'Calculations'!$EM271)&amp;"")),""))),IF(IFERROR(IF(INDEX(INDIRECT("'WCM Calibration Final'!$E$1:$E$2000"),'Calculations'!$EM271)="","",TRIM(INDEX(INDIRECT("'WCM Calibration Final'!$E$1:$E$2000"),'Calculations'!$EM271)&amp;"")),"")="","",IF(COUNTIF('Calculations'!$HG$13:$HG$512,"="&amp;SUBSTITUTE(SUBSTITUTE(SUBSTITUTE(IFERROR(IF(INDEX(INDIRECT("'WCM Calibration Final'!$E$1:$E$2000"),'Calculations'!$EM271)="","",TRIM(INDEX(INDIRECT("'WCM Calibration Final'!$E$1:$E$2000"),'Calculations'!$EM271)&amp;"")),""),"~","~~"),"*","~*"),"?","~?"))=1,INDEX('Calculations'!$HE$13:$HE$512,MATCH(IFERROR(IF(INDEX(INDIRECT("'WCM Calibration Final'!$E$1:$E$2000"),'Calculations'!$EM271)="","",TRIM(INDEX(INDIRECT("'WCM Calibration Final'!$E$1:$E$2000"),'Calculations'!$EM271)&amp;"")),""),'Calculations'!$HG$13:$HG$512,0)),IF(COUNTIF('Calculations'!$HG$13:$HG$512,"="&amp;SUBSTITUTE(SUBSTITUTE(SUBSTITUTE(IFERROR(IF(INDEX(INDIRECT("'WCM Calibration Final'!$E$1:$E$2000"),'Calculations'!$EM271)="","",TRIM(INDEX(INDIRECT("'WCM Calibration Final'!$E$1:$E$2000"),'Calculations'!$EM271)&amp;"")),""),"~","~~"),"*","~*"),"?","~?"))&gt;1,"!AMBIG","X:"&amp;IFERROR(IF(INDEX(INDIRECT("'WCM Calibration Final'!$E$1:$E$2000"),'Calculations'!$EM271)="","",TRIM(INDEX(INDIRECT("'WCM Calibration Final'!$E$1:$E$2000"),'Calculations'!$EM271)&amp;"")),""))))))</x:f>
      </x:c>
      <x:c r="HG271" t="str">
        <x:f>IF('Calculations'!EM271="","",IFERROR(IF(INDEX(INDIRECT("'WCM Calibration Final'!$B$1:$B$2000"),'Calculations'!$EM271)="","",TRIM(INDEX(INDIRECT("'WCM Calibration Final'!$B$1:$B$2000"),'Calculations'!$EM271)&amp;"")),""))</x:f>
      </x:c>
      <x:c r="HH271" t="n">
        <x:f>IF(AND('Calculations'!JC271&gt;0,COUNTIF('Calculations'!$HF$12:HF271,"="&amp;SUBSTITUTE(SUBSTITUTE(SUBSTITUTE('Calculations'!HF271,"~","~~"),"*","~*"),"?","~?"))=1),MAX('Calculations'!$HH$12:HH270)+1,0)</x:f>
        <x:v>0</x:v>
      </x:c>
      <x:c r="HI271" t="n">
        <x:f>IF(AND('Calculations'!HN271&lt;&gt;"",COUNTIF('Calculations'!$HN$12:HN271,"="&amp;SUBSTITUTE(SUBSTITUTE(SUBSTITUTE('Calculations'!HN271,"~","~~"),"*","~*"),"?","~?"))=1),MAX('Calculations'!$HI$12:HI270)+1,0)</x:f>
        <x:v>0</x:v>
      </x:c>
      <x:c r="HJ271" t="str">
        <x:f>IF('Calculations'!HF271="","",IF(COUNTIF('Calculations'!$HE$13:$HE$512,"="&amp;SUBSTITUTE(SUBSTITUTE(SUBSTITUTE('Calculations'!HF271,"~","~~"),"*","~*"),"?","~?"))=1,INDEX('Calculations'!$HK$13:$HK$512,MATCH('Calculations'!HF271,'Calculations'!$HE$13:$HE$512,0)),IFERROR(IF(INDEX(INDIRECT("'WCM Calibration Final'!$E$1:$E$2000"),'Calculations'!$EM271)="","",TRIM(INDEX(INDIRECT("'WCM Calibration Final'!$E$1:$E$2000"),'Calculations'!$EM271)&amp;"")),"")&amp;" ["&amp;'Calculations'!HF271&amp;"]"))</x:f>
      </x:c>
      <x:c r="HK271" t="str">
        <x:f>IF('Calculations'!EM271="","",'Calculations'!HG271&amp;" ["&amp;'Calculations'!HE271&amp;"]")</x:f>
      </x:c>
      <x:c r="HL271" t="n">
        <x:f>IF('Calculations'!EM271="",0,IF(OR('Calculations'!II271&lt;&gt;"",COUNTIF('Calculations'!$HE$13:$HE$512,"="&amp;SUBSTITUTE(SUBSTITUTE(SUBSTITUTE('Calculations'!HE271,"~","~~"),"*","~*"),"?","~?"))&gt;1),1,0))</x:f>
        <x:v>0</x:v>
      </x:c>
      <x:c r="HM271" t="str">
        <x:f>IF('Calculations'!EM271="","",IF('Calculations'!HL271=1,"!UNRESOLVED",IF('Calculations'!IH271&lt;&gt;"",'Calculations'!IH271,IF('Calculations'!IG271&lt;&gt;"",'Calculations'!IG271,IF('Calculations'!IF271&lt;&gt;"",'Calculations'!IF271,IF('Calculations'!IE271&lt;&gt;"",'Calculations'!IE271,IF('Calculations'!ID271&lt;&gt;"",'Calculations'!ID271,IF('Calculations'!IC271&lt;&gt;"",'Calculations'!IC271,IF('Calculations'!IB271&lt;&gt;"",'Calculations'!IB271,IF('Calculations'!IA271&lt;&gt;"",'Calculations'!IA271,IF('Calculations'!HZ271&lt;&gt;"",'Calculations'!HZ271,IF('Calculations'!HY271&lt;&gt;"",'Calculations'!HY271,IF('Calculations'!HX271&lt;&gt;"",'Calculations'!HX271,IF('Calculations'!HW271&lt;&gt;"",'Calculations'!HW271,IF('Calculations'!HV271&lt;&gt;"",'Calculations'!HV271,IF('Calculations'!HU271&lt;&gt;"",'Calculations'!HU271,IF('Calculations'!HT271&lt;&gt;"",'Calculations'!HT271,IF('Calculations'!HS271&lt;&gt;"",'Calculations'!HS271,IF('Calculations'!HR271&lt;&gt;"",'Calculations'!HR271,IF('Calculations'!HQ271&lt;&gt;"",'Calculations'!HQ271,IF('Calculations'!HP271&lt;&gt;"",'Calculations'!HP271,IF('Calculations'!HO271&lt;&gt;"",'Calculations'!HO271,'Calculations'!HE271))))))))))))))))))))))</x:f>
      </x:c>
      <x:c r="HN271" t="str">
        <x:f>IF('Calculations'!EM271="","",IF(IFERROR(IF(INDEX(INDIRECT("'WCM Calibration Final'!$F$1:$F$2000"),'Calculations'!$EM271)="","",TRIM(INDEX(INDIRECT("'WCM Calibration Final'!$F$1:$F$2000"),'Calculations'!$EM271)&amp;"")),"")="","(Blank)",IFERROR(IF(INDEX(INDIRECT("'WCM Calibration Final'!$F$1:$F$2000"),'Calculations'!$EM271)="","",TRIM(INDEX(INDIRECT("'WCM Calibration Final'!$F$1:$F$2000"),'Calculations'!$EM271)&amp;"")),"")))</x:f>
      </x:c>
      <x:c r="HO271" t="str">
        <x:f>'Calculations'!HF271</x:f>
      </x:c>
      <x:c r="HP271" t="str">
        <x:f>IF('Calculations'!HO271="","",IF('Calculations'!HO271="!AMBIG","!AMBIG",IF(COUNTIF('Calculations'!$HE$13:$HE$512,"="&amp;SUBSTITUTE(SUBSTITUTE(SUBSTITUTE('Calculations'!HO271,"~","~~"),"*","~*"),"?","~?"))&gt;1,"!AMBIG",IFERROR(INDEX('Calculations'!$HF$13:$HF$512,MATCH('Calculations'!HO271,'Calculations'!$HE$13:$HE$512,0)),""))))</x:f>
      </x:c>
      <x:c r="HQ271" t="str">
        <x:f>IF('Calculations'!HP271="","",IF('Calculations'!HP271="!AMBIG","!AMBIG",IF(COUNTIF('Calculations'!$HE$13:$HE$512,"="&amp;SUBSTITUTE(SUBSTITUTE(SUBSTITUTE('Calculations'!HP271,"~","~~"),"*","~*"),"?","~?"))&gt;1,"!AMBIG",IFERROR(INDEX('Calculations'!$HF$13:$HF$512,MATCH('Calculations'!HP271,'Calculations'!$HE$13:$HE$512,0)),""))))</x:f>
      </x:c>
      <x:c r="HR271" t="str">
        <x:f>IF('Calculations'!HQ271="","",IF('Calculations'!HQ271="!AMBIG","!AMBIG",IF(COUNTIF('Calculations'!$HE$13:$HE$512,"="&amp;SUBSTITUTE(SUBSTITUTE(SUBSTITUTE('Calculations'!HQ271,"~","~~"),"*","~*"),"?","~?"))&gt;1,"!AMBIG",IFERROR(INDEX('Calculations'!$HF$13:$HF$512,MATCH('Calculations'!HQ271,'Calculations'!$HE$13:$HE$512,0)),""))))</x:f>
      </x:c>
      <x:c r="HS271" t="str">
        <x:f>IF('Calculations'!HR271="","",IF('Calculations'!HR271="!AMBIG","!AMBIG",IF(COUNTIF('Calculations'!$HE$13:$HE$512,"="&amp;SUBSTITUTE(SUBSTITUTE(SUBSTITUTE('Calculations'!HR271,"~","~~"),"*","~*"),"?","~?"))&gt;1,"!AMBIG",IFERROR(INDEX('Calculations'!$HF$13:$HF$512,MATCH('Calculations'!HR271,'Calculations'!$HE$13:$HE$512,0)),""))))</x:f>
      </x:c>
      <x:c r="HT271" t="str">
        <x:f>IF('Calculations'!HS271="","",IF('Calculations'!HS271="!AMBIG","!AMBIG",IF(COUNTIF('Calculations'!$HE$13:$HE$512,"="&amp;SUBSTITUTE(SUBSTITUTE(SUBSTITUTE('Calculations'!HS271,"~","~~"),"*","~*"),"?","~?"))&gt;1,"!AMBIG",IFERROR(INDEX('Calculations'!$HF$13:$HF$512,MATCH('Calculations'!HS271,'Calculations'!$HE$13:$HE$512,0)),""))))</x:f>
      </x:c>
      <x:c r="HU271" t="str">
        <x:f>IF('Calculations'!HT271="","",IF('Calculations'!HT271="!AMBIG","!AMBIG",IF(COUNTIF('Calculations'!$HE$13:$HE$512,"="&amp;SUBSTITUTE(SUBSTITUTE(SUBSTITUTE('Calculations'!HT271,"~","~~"),"*","~*"),"?","~?"))&gt;1,"!AMBIG",IFERROR(INDEX('Calculations'!$HF$13:$HF$512,MATCH('Calculations'!HT271,'Calculations'!$HE$13:$HE$512,0)),""))))</x:f>
      </x:c>
      <x:c r="HV271" t="str">
        <x:f>IF('Calculations'!HU271="","",IF('Calculations'!HU271="!AMBIG","!AMBIG",IF(COUNTIF('Calculations'!$HE$13:$HE$512,"="&amp;SUBSTITUTE(SUBSTITUTE(SUBSTITUTE('Calculations'!HU271,"~","~~"),"*","~*"),"?","~?"))&gt;1,"!AMBIG",IFERROR(INDEX('Calculations'!$HF$13:$HF$512,MATCH('Calculations'!HU271,'Calculations'!$HE$13:$HE$512,0)),""))))</x:f>
      </x:c>
      <x:c r="HW271" t="str">
        <x:f>IF('Calculations'!HV271="","",IF('Calculations'!HV271="!AMBIG","!AMBIG",IF(COUNTIF('Calculations'!$HE$13:$HE$512,"="&amp;SUBSTITUTE(SUBSTITUTE(SUBSTITUTE('Calculations'!HV271,"~","~~"),"*","~*"),"?","~?"))&gt;1,"!AMBIG",IFERROR(INDEX('Calculations'!$HF$13:$HF$512,MATCH('Calculations'!HV271,'Calculations'!$HE$13:$HE$512,0)),""))))</x:f>
      </x:c>
      <x:c r="HX271" t="str">
        <x:f>IF('Calculations'!HW271="","",IF('Calculations'!HW271="!AMBIG","!AMBIG",IF(COUNTIF('Calculations'!$HE$13:$HE$512,"="&amp;SUBSTITUTE(SUBSTITUTE(SUBSTITUTE('Calculations'!HW271,"~","~~"),"*","~*"),"?","~?"))&gt;1,"!AMBIG",IFERROR(INDEX('Calculations'!$HF$13:$HF$512,MATCH('Calculations'!HW271,'Calculations'!$HE$13:$HE$512,0)),""))))</x:f>
      </x:c>
      <x:c r="HY271" t="str">
        <x:f>IF('Calculations'!HX271="","",IF('Calculations'!HX271="!AMBIG","!AMBIG",IF(COUNTIF('Calculations'!$HE$13:$HE$512,"="&amp;SUBSTITUTE(SUBSTITUTE(SUBSTITUTE('Calculations'!HX271,"~","~~"),"*","~*"),"?","~?"))&gt;1,"!AMBIG",IFERROR(INDEX('Calculations'!$HF$13:$HF$512,MATCH('Calculations'!HX271,'Calculations'!$HE$13:$HE$512,0)),""))))</x:f>
      </x:c>
      <x:c r="HZ271" t="str">
        <x:f>IF('Calculations'!HY271="","",IF('Calculations'!HY271="!AMBIG","!AMBIG",IF(COUNTIF('Calculations'!$HE$13:$HE$512,"="&amp;SUBSTITUTE(SUBSTITUTE(SUBSTITUTE('Calculations'!HY271,"~","~~"),"*","~*"),"?","~?"))&gt;1,"!AMBIG",IFERROR(INDEX('Calculations'!$HF$13:$HF$512,MATCH('Calculations'!HY271,'Calculations'!$HE$13:$HE$512,0)),""))))</x:f>
      </x:c>
      <x:c r="IA271" t="str">
        <x:f>IF('Calculations'!HZ271="","",IF('Calculations'!HZ271="!AMBIG","!AMBIG",IF(COUNTIF('Calculations'!$HE$13:$HE$512,"="&amp;SUBSTITUTE(SUBSTITUTE(SUBSTITUTE('Calculations'!HZ271,"~","~~"),"*","~*"),"?","~?"))&gt;1,"!AMBIG",IFERROR(INDEX('Calculations'!$HF$13:$HF$512,MATCH('Calculations'!HZ271,'Calculations'!$HE$13:$HE$512,0)),""))))</x:f>
      </x:c>
      <x:c r="IB271" t="str">
        <x:f>IF('Calculations'!IA271="","",IF('Calculations'!IA271="!AMBIG","!AMBIG",IF(COUNTIF('Calculations'!$HE$13:$HE$512,"="&amp;SUBSTITUTE(SUBSTITUTE(SUBSTITUTE('Calculations'!IA271,"~","~~"),"*","~*"),"?","~?"))&gt;1,"!AMBIG",IFERROR(INDEX('Calculations'!$HF$13:$HF$512,MATCH('Calculations'!IA271,'Calculations'!$HE$13:$HE$512,0)),""))))</x:f>
      </x:c>
      <x:c r="IC271" t="str">
        <x:f>IF('Calculations'!IB271="","",IF('Calculations'!IB271="!AMBIG","!AMBIG",IF(COUNTIF('Calculations'!$HE$13:$HE$512,"="&amp;SUBSTITUTE(SUBSTITUTE(SUBSTITUTE('Calculations'!IB271,"~","~~"),"*","~*"),"?","~?"))&gt;1,"!AMBIG",IFERROR(INDEX('Calculations'!$HF$13:$HF$512,MATCH('Calculations'!IB271,'Calculations'!$HE$13:$HE$512,0)),""))))</x:f>
      </x:c>
      <x:c r="ID271" t="str">
        <x:f>IF('Calculations'!IC271="","",IF('Calculations'!IC271="!AMBIG","!AMBIG",IF(COUNTIF('Calculations'!$HE$13:$HE$512,"="&amp;SUBSTITUTE(SUBSTITUTE(SUBSTITUTE('Calculations'!IC271,"~","~~"),"*","~*"),"?","~?"))&gt;1,"!AMBIG",IFERROR(INDEX('Calculations'!$HF$13:$HF$512,MATCH('Calculations'!IC271,'Calculations'!$HE$13:$HE$512,0)),""))))</x:f>
      </x:c>
      <x:c r="IE271" t="str">
        <x:f>IF('Calculations'!ID271="","",IF('Calculations'!ID271="!AMBIG","!AMBIG",IF(COUNTIF('Calculations'!$HE$13:$HE$512,"="&amp;SUBSTITUTE(SUBSTITUTE(SUBSTITUTE('Calculations'!ID271,"~","~~"),"*","~*"),"?","~?"))&gt;1,"!AMBIG",IFERROR(INDEX('Calculations'!$HF$13:$HF$512,MATCH('Calculations'!ID271,'Calculations'!$HE$13:$HE$512,0)),""))))</x:f>
      </x:c>
      <x:c r="IF271" t="str">
        <x:f>IF('Calculations'!IE271="","",IF('Calculations'!IE271="!AMBIG","!AMBIG",IF(COUNTIF('Calculations'!$HE$13:$HE$512,"="&amp;SUBSTITUTE(SUBSTITUTE(SUBSTITUTE('Calculations'!IE271,"~","~~"),"*","~*"),"?","~?"))&gt;1,"!AMBIG",IFERROR(INDEX('Calculations'!$HF$13:$HF$512,MATCH('Calculations'!IE271,'Calculations'!$HE$13:$HE$512,0)),""))))</x:f>
      </x:c>
      <x:c r="IG271" t="str">
        <x:f>IF('Calculations'!IF271="","",IF('Calculations'!IF271="!AMBIG","!AMBIG",IF(COUNTIF('Calculations'!$HE$13:$HE$512,"="&amp;SUBSTITUTE(SUBSTITUTE(SUBSTITUTE('Calculations'!IF271,"~","~~"),"*","~*"),"?","~?"))&gt;1,"!AMBIG",IFERROR(INDEX('Calculations'!$HF$13:$HF$512,MATCH('Calculations'!IF271,'Calculations'!$HE$13:$HE$512,0)),""))))</x:f>
      </x:c>
      <x:c r="IH271" t="str">
        <x:f>IF('Calculations'!IG271="","",IF('Calculations'!IG271="!AMBIG","!AMBIG",IF(COUNTIF('Calculations'!$HE$13:$HE$512,"="&amp;SUBSTITUTE(SUBSTITUTE(SUBSTITUTE('Calculations'!IG271,"~","~~"),"*","~*"),"?","~?"))&gt;1,"!AMBIG",IFERROR(INDEX('Calculations'!$HF$13:$HF$512,MATCH('Calculations'!IG271,'Calculations'!$HE$13:$HE$512,0)),""))))</x:f>
      </x:c>
      <x:c r="II271" t="str">
        <x:f>IF('Calculations'!IH271="","",IF('Calculations'!IH271="!AMBIG","!AMBIG",IF(COUNTIF('Calculations'!$HE$13:$HE$512,"="&amp;SUBSTITUTE(SUBSTITUTE(SUBSTITUTE('Calculations'!IH271,"~","~~"),"*","~*"),"?","~?"))&gt;1,"!AMBIG",IFERROR(INDEX('Calculations'!$HF$13:$HF$512,MATCH('Calculations'!IH271,'Calculations'!$HE$13:$HE$512,0)),""))))</x:f>
      </x:c>
      <x:c r="IJ271" t="str">
        <x:f>IF('Calculations'!EM271="","",IF('Calculations'!$EF$2="All",'Calculations'!HM271,IF('Calculations'!HL271=1,"",IFERROR(IF(MATCH('Calculations'!$EF$2,'Calculations'!HO271:II271,0)=1,'Calculations'!HE271,INDEX('Calculations'!HO271:II271,1,MATCH('Calculations'!$EF$2,'Calculations'!HO271:II271,0)-1)),""))))</x:f>
      </x:c>
      <x:c r="IK271" t="n">
        <x:f>IF(AND('Calculations'!EM271&lt;&gt;"",'Calculations'!$EF$2&lt;&gt;"All",'Calculations'!HF271='Calculations'!$EF$2,'Calculations'!HL271=0,'Calculations'!JD271&gt;0),MAX('Calculations'!$IK$12:IK270)+1,0)</x:f>
        <x:v>0</x:v>
      </x:c>
      <x:c r="JA271" t="n">
        <x:f>IF(OR(IFERROR(INDIRECT("'WCM Calibration Final'!$A$271")&lt;&gt;"",FALSE),IFERROR(INDIRECT("'WCM Calibration Final'!$B$271")&lt;&gt;"",FALSE),IFERROR(INDIRECT("'WCM Calibration Final'!$C$271")&lt;&gt;"",FALSE)),271,0)</x:f>
        <x:v>0</x:v>
      </x:c>
      <x:c r="JB271" t="n">
        <x:f>'Calculations'!JB270+IF('Calculations'!JA271&gt;0,1,0)</x:f>
        <x:v>0</x:v>
      </x:c>
      <x:c r="JC271" t="n">
        <x:f>IF(OR('Calculations'!HF271="",'Calculations'!HF271="!AMBIG"),0,IF('Dashboard'!$B$7="All",1,COUNTIFS('Calculations'!$HO$13:$HO$512,"="&amp;SUBSTITUTE(SUBSTITUTE(SUBSTITUTE('Calculations'!HF271,"~","~~"),"*","~*"),"?","~?"),'Calculations'!$HN$13:$HN$512,"="&amp;SUBSTITUTE(SUBSTITUTE(SUBSTITUTE('Dashboard'!$B$7,"~","~~"),"*","~*"),"?","~?"))+COUNTIFS('Calculations'!$HP$13:$HP$512,"="&amp;SUBSTITUTE(SUBSTITUTE(SUBSTITUTE('Calculations'!HF271,"~","~~"),"*","~*"),"?","~?"),'Calculations'!$HN$13:$HN$512,"="&amp;SUBSTITUTE(SUBSTITUTE(SUBSTITUTE('Dashboard'!$B$7,"~","~~"),"*","~*"),"?","~?"))+COUNTIFS('Calculations'!$HQ$13:$HQ$512,"="&amp;SUBSTITUTE(SUBSTITUTE(SUBSTITUTE('Calculations'!HF271,"~","~~"),"*","~*"),"?","~?"),'Calculations'!$HN$13:$HN$512,"="&amp;SUBSTITUTE(SUBSTITUTE(SUBSTITUTE('Dashboard'!$B$7,"~","~~"),"*","~*"),"?","~?"))+COUNTIFS('Calculations'!$HR$13:$HR$512,"="&amp;SUBSTITUTE(SUBSTITUTE(SUBSTITUTE('Calculations'!HF271,"~","~~"),"*","~*"),"?","~?"),'Calculations'!$HN$13:$HN$512,"="&amp;SUBSTITUTE(SUBSTITUTE(SUBSTITUTE('Dashboard'!$B$7,"~","~~"),"*","~*"),"?","~?"))+COUNTIFS('Calculations'!$HS$13:$HS$512,"="&amp;SUBSTITUTE(SUBSTITUTE(SUBSTITUTE('Calculations'!HF271,"~","~~"),"*","~*"),"?","~?"),'Calculations'!$HN$13:$HN$512,"="&amp;SUBSTITUTE(SUBSTITUTE(SUBSTITUTE('Dashboard'!$B$7,"~","~~"),"*","~*"),"?","~?"))+COUNTIFS('Calculations'!$HT$13:$HT$512,"="&amp;SUBSTITUTE(SUBSTITUTE(SUBSTITUTE('Calculations'!HF271,"~","~~"),"*","~*"),"?","~?"),'Calculations'!$HN$13:$HN$512,"="&amp;SUBSTITUTE(SUBSTITUTE(SUBSTITUTE('Dashboard'!$B$7,"~","~~"),"*","~*"),"?","~?"))+COUNTIFS('Calculations'!$HU$13:$HU$512,"="&amp;SUBSTITUTE(SUBSTITUTE(SUBSTITUTE('Calculations'!HF271,"~","~~"),"*","~*"),"?","~?"),'Calculations'!$HN$13:$HN$512,"="&amp;SUBSTITUTE(SUBSTITUTE(SUBSTITUTE('Dashboard'!$B$7,"~","~~"),"*","~*"),"?","~?"))+COUNTIFS('Calculations'!$HV$13:$HV$512,"="&amp;SUBSTITUTE(SUBSTITUTE(SUBSTITUTE('Calculations'!HF271,"~","~~"),"*","~*"),"?","~?"),'Calculations'!$HN$13:$HN$512,"="&amp;SUBSTITUTE(SUBSTITUTE(SUBSTITUTE('Dashboard'!$B$7,"~","~~"),"*","~*"),"?","~?"))+COUNTIFS('Calculations'!$HW$13:$HW$512,"="&amp;SUBSTITUTE(SUBSTITUTE(SUBSTITUTE('Calculations'!HF271,"~","~~"),"*","~*"),"?","~?"),'Calculations'!$HN$13:$HN$512,"="&amp;SUBSTITUTE(SUBSTITUTE(SUBSTITUTE('Dashboard'!$B$7,"~","~~"),"*","~*"),"?","~?"))+COUNTIFS('Calculations'!$HX$13:$HX$512,"="&amp;SUBSTITUTE(SUBSTITUTE(SUBSTITUTE('Calculations'!HF271,"~","~~"),"*","~*"),"?","~?"),'Calculations'!$HN$13:$HN$512,"="&amp;SUBSTITUTE(SUBSTITUTE(SUBSTITUTE('Dashboard'!$B$7,"~","~~"),"*","~*"),"?","~?"))+COUNTIFS('Calculations'!$HY$13:$HY$512,"="&amp;SUBSTITUTE(SUBSTITUTE(SUBSTITUTE('Calculations'!HF271,"~","~~"),"*","~*"),"?","~?"),'Calculations'!$HN$13:$HN$512,"="&amp;SUBSTITUTE(SUBSTITUTE(SUBSTITUTE('Dashboard'!$B$7,"~","~~"),"*","~*"),"?","~?"))+COUNTIFS('Calculations'!$HZ$13:$HZ$512,"="&amp;SUBSTITUTE(SUBSTITUTE(SUBSTITUTE('Calculations'!HF271,"~","~~"),"*","~*"),"?","~?"),'Calculations'!$HN$13:$HN$512,"="&amp;SUBSTITUTE(SUBSTITUTE(SUBSTITUTE('Dashboard'!$B$7,"~","~~"),"*","~*"),"?","~?"))+COUNTIFS('Calculations'!$IA$13:$IA$512,"="&amp;SUBSTITUTE(SUBSTITUTE(SUBSTITUTE('Calculations'!HF271,"~","~~"),"*","~*"),"?","~?"),'Calculations'!$HN$13:$HN$512,"="&amp;SUBSTITUTE(SUBSTITUTE(SUBSTITUTE('Dashboard'!$B$7,"~","~~"),"*","~*"),"?","~?"))+COUNTIFS('Calculations'!$IB$13:$IB$512,"="&amp;SUBSTITUTE(SUBSTITUTE(SUBSTITUTE('Calculations'!HF271,"~","~~"),"*","~*"),"?","~?"),'Calculations'!$HN$13:$HN$512,"="&amp;SUBSTITUTE(SUBSTITUTE(SUBSTITUTE('Dashboard'!$B$7,"~","~~"),"*","~*"),"?","~?"))+COUNTIFS('Calculations'!$IC$13:$IC$512,"="&amp;SUBSTITUTE(SUBSTITUTE(SUBSTITUTE('Calculations'!HF271,"~","~~"),"*","~*"),"?","~?"),'Calculations'!$HN$13:$HN$512,"="&amp;SUBSTITUTE(SUBSTITUTE(SUBSTITUTE('Dashboard'!$B$7,"~","~~"),"*","~*"),"?","~?"))+COUNTIFS('Calculations'!$ID$13:$ID$512,"="&amp;SUBSTITUTE(SUBSTITUTE(SUBSTITUTE('Calculations'!HF271,"~","~~"),"*","~*"),"?","~?"),'Calculations'!$HN$13:$HN$512,"="&amp;SUBSTITUTE(SUBSTITUTE(SUBSTITUTE('Dashboard'!$B$7,"~","~~"),"*","~*"),"?","~?"))+COUNTIFS('Calculations'!$IE$13:$IE$512,"="&amp;SUBSTITUTE(SUBSTITUTE(SUBSTITUTE('Calculations'!HF271,"~","~~"),"*","~*"),"?","~?"),'Calculations'!$HN$13:$HN$512,"="&amp;SUBSTITUTE(SUBSTITUTE(SUBSTITUTE('Dashboard'!$B$7,"~","~~"),"*","~*"),"?","~?"))+COUNTIFS('Calculations'!$IF$13:$IF$512,"="&amp;SUBSTITUTE(SUBSTITUTE(SUBSTITUTE('Calculations'!HF271,"~","~~"),"*","~*"),"?","~?"),'Calculations'!$HN$13:$HN$512,"="&amp;SUBSTITUTE(SUBSTITUTE(SUBSTITUTE('Dashboard'!$B$7,"~","~~"),"*","~*"),"?","~?"))+COUNTIFS('Calculations'!$IG$13:$IG$512,"="&amp;SUBSTITUTE(SUBSTITUTE(SUBSTITUTE('Calculations'!HF271,"~","~~"),"*","~*"),"?","~?"),'Calculations'!$HN$13:$HN$512,"="&amp;SUBSTITUTE(SUBSTITUTE(SUBSTITUTE('Dashboard'!$B$7,"~","~~"),"*","~*"),"?","~?"))+COUNTIFS('Calculations'!$IH$13:$IH$512,"="&amp;SUBSTITUTE(SUBSTITUTE(SUBSTITUTE('Calculations'!HF271,"~","~~"),"*","~*"),"?","~?"),'Calculations'!$HN$13:$HN$512,"="&amp;SUBSTITUTE(SUBSTITUTE(SUBSTITUTE('Dashboard'!$B$7,"~","~~"),"*","~*"),"?","~?"))))</x:f>
        <x:v>0</x:v>
      </x:c>
      <x:c r="JD271" t="n">
        <x:f>IF('Calculations'!EM271="",0,IF('Dashboard'!$B$7="All",1,IF('Calculations'!HN271='Dashboard'!$B$7,1,0)+IFERROR(INDEX('Calculations'!$JC$13:$JC$512,MATCH('Calculations'!HE271,'Calculations'!$HF$13:$HF$512,0)),0)))</x:f>
        <x:v>0</x:v>
      </x:c>
      <x:c r="JE271" t="n">
        <x:f>IF(AND('Calculations'!EM271&lt;&gt;"",'Calculations'!$JJ$2&lt;&gt;"All",'Calculations'!$JJ$2&lt;&gt;"",'Calculations'!HF271='Calculations'!$JJ$2,'Calculations'!HL271=0,'Calculations'!JD271&gt;0),MAX('Calculations'!$JE$12:JE270)+1,0)</x:f>
        <x:v>0</x:v>
      </x:c>
      <x:c r="JF271" t="str">
        <x:f>IF('Calculations'!EM271="","",IFERROR(IF(INDEX(INDIRECT("'WCM Calibration Final'!$G$1:$G$2000"),'Calculations'!$EM271)="","",TRIM(INDEX(INDIRECT("'WCM Calibration Final'!$G$1:$G$2000"),'Calculations'!$EM271)&amp;"")),""))</x:f>
      </x:c>
      <x:c r="JQ271" t="n">
        <x:f>IF(OR('Calculations'!BM271=0,NOT('Calculations'!$AG$2),'Calculations'!$AG$8&gt;0),0,IF(OR('Dashboard'!$B$7="All",'Calculations'!HN271='Dashboard'!$B$7),IF('Calculations'!$JJ$2="All",1,IF(AND('Calculations'!HF271='Calculations'!$JJ$2,'Calculations'!HL271=0),1,0)),0))</x:f>
        <x:v>0</x:v>
      </x:c>
    </x:row>
    <x:row r="272">
      <x:c r="AF272" s="4" t="str">
        <x:f>IF('Calculations'!AH272=0,"","Director (n="&amp;'Calculations'!AH272&amp;")")</x:f>
      </x:c>
      <x:c r="AG272" s="4" t="n">
        <x:f>COUNTIFS('Calculations'!$BN$13:$BN$512,1,'Calculations'!$BV$13:$BV$512,'Calculations'!AT272)</x:f>
        <x:v>0</x:v>
      </x:c>
      <x:c r="AH272" s="4" t="n">
        <x:f>SUM('Calculations'!AJ272:AM272)</x:f>
        <x:v>0</x:v>
      </x:c>
      <x:c r="AI272" s="4" t="n">
        <x:f>'Calculations'!AG272-'Calculations'!AH272</x:f>
        <x:v>0</x:v>
      </x:c>
      <x:c r="AJ272" s="4" t="n">
        <x:f>COUNTIFS('Calculations'!$BN$13:$BN$512,1,'Calculations'!$BV$13:$BV$512,'Calculations'!AT272,'Calculations'!$BP$13:$BP$512,1)</x:f>
        <x:v>0</x:v>
      </x:c>
      <x:c r="AK272" s="4" t="n">
        <x:f>COUNTIFS('Calculations'!$BN$13:$BN$512,1,'Calculations'!$BV$13:$BV$512,'Calculations'!AT272,'Calculations'!$BP$13:$BP$512,2)</x:f>
        <x:v>0</x:v>
      </x:c>
      <x:c r="AL272" s="4" t="n">
        <x:f>COUNTIFS('Calculations'!$BN$13:$BN$512,1,'Calculations'!$BV$13:$BV$512,'Calculations'!AT272,'Calculations'!$BP$13:$BP$512,3)</x:f>
        <x:v>0</x:v>
      </x:c>
      <x:c r="AM272" s="4" t="n">
        <x:f>COUNTIFS('Calculations'!$BN$13:$BN$512,1,'Calculations'!$BV$13:$BV$512,'Calculations'!AT272,'Calculations'!$BP$13:$BP$512,4)</x:f>
        <x:v>0</x:v>
      </x:c>
      <x:c r="AN272" s="4"/>
      <x:c r="AO272" s="4" t="n">
        <x:f>IF('Calculations'!AH272=0,0,'Calculations'!AJ272/'Calculations'!AH272)</x:f>
        <x:v>0</x:v>
      </x:c>
      <x:c r="AP272" s="4" t="n">
        <x:f>IF('Calculations'!AH272=0,0,'Calculations'!AK272/'Calculations'!AH272)</x:f>
        <x:v>0</x:v>
      </x:c>
      <x:c r="AQ272" s="4" t="n">
        <x:f>IF('Calculations'!AH272=0,0,'Calculations'!AL272/'Calculations'!AH272)</x:f>
        <x:v>0</x:v>
      </x:c>
      <x:c r="AR272" s="4" t="n">
        <x:f>IF('Calculations'!AH272=0,0,'Calculations'!AM272/'Calculations'!AH272)</x:f>
        <x:v>0</x:v>
      </x:c>
      <x:c r="AS272" s="4"/>
      <x:c r="AT272" s="4" t="str">
        <x:v>DIRECTOR</x:v>
      </x:c>
      <x:c r="AU272" s="4"/>
      <x:c r="AV272" s="4"/>
      <x:c r="AW272" s="4"/>
      <x:c r="AX272" s="4"/>
      <x:c r="AY272" s="4"/>
      <x:c r="AZ272" s="4"/>
      <x:c r="BA272" s="4"/>
      <x:c r="BB272" s="4"/>
      <x:c r="BC272" s="4"/>
      <x:c r="BD272" s="4"/>
      <x:c r="BE272" s="4"/>
      <x:c r="BF272" s="4"/>
      <x:c r="BG272" s="4"/>
      <x:c r="BH272" s="4"/>
      <x:c r="BI272" s="4"/>
      <x:c r="BJ272" s="4"/>
      <x:c r="BK272" s="4"/>
      <x:c r="BL272" s="4"/>
      <x:c r="BM272" s="4" t="n">
        <x:f>IF('Calculations'!$EM272="",0,IF(OR(IFERROR(INDEX(INDIRECT("'WCM Calibration Final'!$A$1:$A$2000"),'Calculations'!$EM272)&lt;&gt;"",FALSE),IFERROR(INDEX(INDIRECT("'WCM Calibration Final'!$B$1:$B$2000"),'Calculations'!$EM272)&lt;&gt;"",FALSE),IFERROR(INDEX(INDIRECT("'WCM Calibration Final'!$C$1:$C$2000"),'Calculations'!$EM272)&lt;&gt;"",FALSE)),1,0))</x:f>
        <x:v>0</x:v>
      </x:c>
      <x:c r="BN272" s="4" t="n">
        <x:f>IF(AND('Calculations'!BM272=1,'Calculations'!$AG$2,'Calculations'!$EN272=1),1,0)</x:f>
        <x:v>0</x:v>
      </x:c>
      <x:c r="BO272" s="4" t="str">
        <x:f>IF('Calculations'!BM272=0,"",IFERROR(IF(AND(VALUE(INDEX(INDIRECT("'WCM Calibration Final'!$K$1:$K$2000"),'Calculations'!$EM272))&gt;=1,VALUE(INDEX(INDIRECT("'WCM Calibration Final'!$K$1:$K$2000"),'Calculations'!$EM272))&lt;=4,MOD(VALUE(INDEX(INDIRECT("'WCM Calibration Final'!$K$1:$K$2000"),'Calculations'!$EM272)),1)=0),VALUE(INDEX(INDIRECT("'WCM Calibration Final'!$K$1:$K$2000"),'Calculations'!$EM272)),""),""))</x:f>
      </x:c>
      <x:c r="BP272" s="4" t="str">
        <x:f>IF('Calculations'!BM272=0,"",IFERROR(IF(AND(VALUE(INDEX(INDIRECT("'WCM Calibration Final'!$L$1:$L$2000"),'Calculations'!$EM272))&gt;=1,VALUE(INDEX(INDIRECT("'WCM Calibration Final'!$L$1:$L$2000"),'Calculations'!$EM272))&lt;=4,MOD(VALUE(INDEX(INDIRECT("'WCM Calibration Final'!$L$1:$L$2000"),'Calculations'!$EM272)),1)=0),VALUE(INDEX(INDIRECT("'WCM Calibration Final'!$L$1:$L$2000"),'Calculations'!$EM272)),""),""))</x:f>
      </x:c>
      <x:c r="BQ272" s="4"/>
      <x:c r="BR272" s="4"/>
      <x:c r="BS272" s="4"/>
      <x:c r="BT272" s="4" t="n">
        <x:f>IF(AND('Calculations'!BM272=1,ISNUMBER('Calculations'!BO272),ISNUMBER('Calculations'!BP272)),1,0)</x:f>
        <x:v>0</x:v>
      </x:c>
      <x:c r="BU272" s="4" t="str">
        <x:f>IF('Calculations'!BM272=0,"",'Calculations'!$EO272)</x:f>
      </x:c>
      <x:c r="BV272" s="4" t="str">
        <x:f>IF('Calculations'!BM272=0,"",IFERROR(IF(OR(INDEX(INDIRECT("'WCM Calibration Final'!$H$1:$H$2000"),'Calculations'!$EM272)="MANAGING DIRECTOR",INDEX(INDIRECT("'WCM Calibration Final'!$H$1:$H$2000"),'Calculations'!$EM272)="DIRECTOR",INDEX(INDIRECT("'WCM Calibration Final'!$H$1:$H$2000"),'Calculations'!$EM272)="SENIOR VICE PRESIDENT",INDEX(INDIRECT("'WCM Calibration Final'!$H$1:$H$2000"),'Calculations'!$EM272)="VICE PRESIDENT",INDEX(INDIRECT("'WCM Calibration Final'!$H$1:$H$2000"),'Calculations'!$EM272)="ASSISTANT VICE PRESIDENT",INDEX(INDIRECT("'WCM Calibration Final'!$H$1:$H$2000"),'Calculations'!$EM272)="OFFICER"),UPPER(INDEX(INDIRECT("'WCM Calibration Final'!$H$1:$H$2000"),'Calculations'!$EM272)),"Other"),"Other"))</x:f>
      </x:c>
      <x:c r="BW272" s="4"/>
      <x:c r="BX272" s="4"/>
      <x:c r="BY272" s="4" t="n">
        <x:f>IF(AND('Calculations'!BM272=1,'Calculations'!BU272&lt;&gt;"",COUNTIF('Calculations'!$BU$12:BU272,'Calculations'!BU272)=1),MAX('Calculations'!$BY$11:BY271)+1,0)</x:f>
        <x:v>0</x:v>
      </x:c>
      <x:c r="BZ272" s="4" t="str">
        <x:f>IF('Dashboard'!$E$67="What",'Calculations'!BO272,'Calculations'!BP272)</x:f>
      </x:c>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t="str">
        <x:f>IF(261&gt;MAX('Calculations'!$HI$13:$HI$512),"",INDEX('Calculations'!$HN$13:$HN$512,MATCH(261,'Calculations'!$HI$13:$HI$512,0)))</x:f>
      </x:c>
      <x:c r="DB272" s="4" t="str">
        <x:f>IF(261&gt;MAX('Calculations'!$HH$13:$HH$512),"",INDEX('Calculations'!$HJ$13:$HJ$512,MATCH(261,'Calculations'!$HH$13:$HH$512,0)))</x:f>
      </x:c>
      <x:c r="DC272" s="4" t="str">
        <x:f>IF(ROW()-11&gt;MAX('Calculations'!$BY$13:$BY$512),"",INDEX('Calculations'!$BU$13:$BU$512,MATCH(ROW()-11,'Calculations'!$BY$13:$BY$512,0)))</x:f>
      </x:c>
      <x:c r="DD272" s="4" t="str">
        <x:f>IF(261&gt;MAX('Calculations'!$IK$13:$IK$512),"",INDEX('Calculations'!$HK$13:$HK$512,MATCH(261,'Calculations'!$IK$13:$IK$512,0)))</x:f>
      </x:c>
      <x:c r="DE272" s="4" t="str">
        <x:f>'Calculations'!DC272</x:f>
      </x:c>
      <x:c r="DF272" s="4" t="str">
        <x:f>IF('Calculations'!DE272="","",COUNTIFS('Calculations'!$BN$13:$BN$512,1,'Calculations'!$BU$13:$BU$512,'Calculations'!DE272))</x:f>
      </x:c>
      <x:c r="DG272" s="4" t="str">
        <x:f>IF('Calculations'!DE272="","",COUNTIFS('Calculations'!$BN$13:$BN$512,1,'Calculations'!$BU$13:$BU$512,'Calculations'!DE272,'Calculations'!$BT$13:$BT$512,1))</x:f>
      </x:c>
      <x:c r="DH272" s="4" t="str">
        <x:f>IF('Calculations'!DE272="","",'Calculations'!DF272-'Calculations'!DG272)</x:f>
      </x:c>
      <x:c r="DI272" s="4" t="str">
        <x:f>IF(OR('Calculations'!DE272="",'Calculations'!DF272=0),"",'Calculations'!DG272/'Calculations'!DF272)</x:f>
      </x:c>
      <x:c r="DJ272" s="4" t="str">
        <x:f>IF('Calculations'!DE272="","",COUNTIFS('Calculations'!$BN$13:$BN$512,1,'Calculations'!$BU$13:$BU$512,'Calculations'!DE272,'Calculations'!$BT$13:$BT$512,1,'Calculations'!$EE$13:$EE$512,"High"))</x:f>
      </x:c>
      <x:c r="DK272" s="4" t="str">
        <x:f>IF('Calculations'!DE272="","",COUNTIFS('Calculations'!$BN$13:$BN$512,1,'Calculations'!$BU$13:$BU$512,'Calculations'!DE272,'Calculations'!$BT$13:$BT$512,1,'Calculations'!$EE$13:$EE$512,"Strong"))</x:f>
      </x:c>
      <x:c r="DL272" s="4" t="str">
        <x:f>IF('Calculations'!DE272="","",COUNTIFS('Calculations'!$BN$13:$BN$512,1,'Calculations'!$BU$13:$BU$512,'Calculations'!DE272,'Calculations'!$BT$13:$BT$512,1,'Calculations'!$EE$13:$EE$512,"Solid"))</x:f>
      </x:c>
      <x:c r="DM272" s="4" t="str">
        <x:f>IF('Calculations'!DE272="","",COUNTIFS('Calculations'!$BN$13:$BN$512,1,'Calculations'!$BU$13:$BU$512,'Calculations'!DE272,'Calculations'!$BT$13:$BT$512,1,'Calculations'!$EE$13:$EE$512,"Low"))</x:f>
      </x:c>
      <x:c r="DN272" s="4" t="str">
        <x:f>IF('Calculations'!DE272="","",COUNTIFS('Calculations'!$BN$13:$BN$512,1,'Calculations'!$BU$13:$BU$512,'Calculations'!DE272,'Calculations'!$EP$13:$EP$512,1))</x:f>
      </x:c>
      <x:c r="DO272" s="4" t="str">
        <x:f>IF(OR('Calculations'!DE272="",'Calculations'!DG272=0),"",('Calculations'!DJ272+'Calculations'!DK272)/'Calculations'!DG272)</x:f>
      </x:c>
      <x:c r="DP272" s="4" t="n">
        <x:f>IF(AND('Calculations'!DE272&lt;&gt;"",'Calculations'!DF272&gt;0),COUNTIF('Calculations'!$DF$12:DF272,"&gt;0"),0)</x:f>
        <x:v>0</x:v>
      </x:c>
      <x:c r="DQ272" s="4" t="str">
        <x:f>IF(261&gt;MAX('Calculations'!$HH$13:$HH$512),"",INDEX('Calculations'!$HF$13:$HF$512,MATCH(261,'Calculations'!$HH$13:$HH$512,0)))</x:f>
      </x:c>
      <x:c r="DR272" s="4" t="str">
        <x:f>IF(261&gt;MAX('Calculations'!$IK$13:$IK$512),"",INDEX('Calculations'!$HE$13:$HE$512,MATCH(261,'Calculations'!$IK$13:$IK$512,0)))</x:f>
      </x:c>
      <x:c r="DS272" s="4"/>
      <x:c r="DT272" s="4"/>
      <x:c r="DU272" s="4"/>
      <x:c r="DV272" s="4"/>
      <x:c r="DW272" s="4"/>
      <x:c r="DX272" s="4"/>
      <x:c r="DY272" s="4"/>
      <x:c r="DZ272" s="4"/>
      <x:c r="EA272" s="4"/>
      <x:c r="EB272" s="4"/>
      <x:c r="EC272" s="4"/>
      <x:c r="ED272" s="4"/>
      <x:c r="EE272" s="4" t="str">
        <x:f>IF('Calculations'!BT272=0,"Not Rated",IF(OR('Calculations'!BO272&gt;=4,'Calculations'!BP272&gt;=4),"Low",IF('Calculations'!BO272+'Calculations'!BP272&lt;=3,"High",IF('Calculations'!BO272+'Calculations'!BP272&lt;=4,"Strong","Solid"))))</x:f>
        <x:v>Not Rated</x:v>
      </x:c>
      <x:c r="EF272" s="4"/>
      <x:c r="EG272" s="4"/>
      <x:c r="EH272" s="4"/>
      <x:c r="EI272" s="4"/>
      <x:c r="EJ272" s="4"/>
      <x:c r="EK272" s="4"/>
      <x:c r="EL272" s="4"/>
      <x:c r="EM272" s="4" t="str">
        <x:f>IF(260&gt;'Calculations'!$JB$2000,"",INDEX('Calculations'!$JA$12:$JA$2000,MATCH(260,'Calculations'!$JB$12:$JB$2000,0)))</x:f>
      </x:c>
      <x:c r="EN272" s="4" t="n">
        <x:f>IF(OR('Calculations'!EM272="",'Calculations'!$AG$8&gt;0,AND('Calculations'!$EF$2&lt;&gt;"All",'Calculations'!HE272='Calculations'!$EF$2),AND('Calculations'!$EF$3&lt;&gt;"All",'Calculations'!HE272='Calculations'!$EF$3)),0,IF(OR('Dashboard'!$B$7="All",'Calculations'!HN272='Dashboard'!$B$7),IF('Calculations'!$EF$2="All",1,IF('Calculations'!HL272&gt;0,0,IF(COUNTIF('Calculations'!HO272:II272,"="&amp;SUBSTITUTE(SUBSTITUTE(SUBSTITUTE('Calculations'!$EF$2,"~","~~"),"*","~*"),"?","~?"))=0,0,IF('Calculations'!$EF$3="All",1,IF(COUNTIF('Calculations'!HO272:II272,"="&amp;SUBSTITUTE(SUBSTITUTE(SUBSTITUTE('Calculations'!$EF$3,"~","~~"),"*","~*"),"?","~?"))&gt;0,1,0))))),0))</x:f>
        <x:v>0</x:v>
      </x:c>
      <x:c r="EO272" s="4" t="str">
        <x:f>IF('Calculations'!IJ272="","",IF('Calculations'!IJ272="!UNRESOLVED","Unresolved hierarchy",IFERROR(INDEX('Calculations'!$HK$13:$HK$512,MATCH('Calculations'!IJ272,'Calculations'!$HE$13:$HE$512,0)),IFERROR(INDEX('Calculations'!$HJ$13:$HJ$512,MATCH('Calculations'!IJ272,'Calculations'!$HF$13:$HF$512,0)),'Calculations'!IJ272))))</x:f>
      </x:c>
      <x:c r="EP272" s="4" t="n">
        <x:f>IF(AND('Calculations'!EM272&lt;&gt;"",'Calculations'!HF272='Calculations'!IJ272),1,0)</x:f>
        <x:v>0</x:v>
      </x:c>
      <x:c r="EQ272" s="4"/>
      <x:c r="ER272" s="4"/>
      <x:c r="ES272" s="4"/>
      <x:c r="ET272" s="4"/>
      <x:c r="EU272" s="4"/>
      <x:c r="EV272" s="4"/>
      <x:c r="EW272" s="4"/>
      <x:c r="EX272" s="4"/>
      <x:c r="EY272" s="4"/>
      <x:c r="EZ272" s="4"/>
      <x:c r="FA272" s="4"/>
      <x:c r="FB272" s="4"/>
      <x:c r="FC272" s="4"/>
      <x:c r="FD272" s="4"/>
      <x:c r="FE272" s="4"/>
      <x:c r="FF272" s="4"/>
      <x:c r="FG272" s="4"/>
      <x:c r="FH272" s="4"/>
      <x:c r="FI272" s="4"/>
      <x:c r="FJ272" s="4"/>
      <x:c r="FK272" s="4"/>
      <x:c r="FL272" s="4"/>
      <x:c r="FM272" s="4"/>
      <x:c r="FN272" s="4"/>
      <x:c r="FO272" s="4"/>
      <x:c r="HE272" t="str">
        <x:f>IF('Calculations'!EM272="","",IF(IFERROR(IF(INDEX(INDIRECT("'WCM Calibration Final'!$A$1:$A$2000"),'Calculations'!$EM272)="","",TRIM(INDEX(INDIRECT("'WCM Calibration Final'!$A$1:$A$2000"),'Calculations'!$EM272)&amp;"")),"")&lt;&gt;"","G:"&amp;IFERROR(TEXT(1*INDEX(INDIRECT("'WCM Calibration Final'!$A$1:$A$2000"),'Calculations'!$EM272),"0"),UPPER(IFERROR(IF(INDEX(INDIRECT("'WCM Calibration Final'!$A$1:$A$2000"),'Calculations'!$EM272)="","",TRIM(INDEX(INDIRECT("'WCM Calibration Final'!$A$1:$A$2000"),'Calculations'!$EM272)&amp;"")),""))),IF(IFERROR(IF(INDEX(INDIRECT("'WCM Calibration Final'!$C$1:$C$2000"),'Calculations'!$EM272)="","",TRIM(INDEX(INDIRECT("'WCM Calibration Final'!$C$1:$C$2000"),'Calculations'!$EM272)&amp;"")),"")&lt;&gt;"","S:"&amp;UPPER(IFERROR(IF(INDEX(INDIRECT("'WCM Calibration Final'!$C$1:$C$2000"),'Calculations'!$EM272)="","",TRIM(INDEX(INDIRECT("'WCM Calibration Final'!$C$1:$C$2000"),'Calculations'!$EM272)&amp;"")),"")),"R:"&amp;'Calculations'!EM272)))</x:f>
      </x:c>
      <x:c r="HF272" t="str">
        <x:f>IF('Calculations'!EM272="","",IF(IFERROR(IF(INDEX(INDIRECT("'WCM Calibration Final'!$D$1:$D$2000"),'Calculations'!$EM272)="","",TRIM(INDEX(INDIRECT("'WCM Calibration Final'!$D$1:$D$2000"),'Calculations'!$EM272)&amp;"")),"")&lt;&gt;"","G:"&amp;IFERROR(TEXT(1*INDEX(INDIRECT("'WCM Calibration Final'!$D$1:$D$2000"),'Calculations'!$EM272),"0"),UPPER(IFERROR(IF(INDEX(INDIRECT("'WCM Calibration Final'!$D$1:$D$2000"),'Calculations'!$EM272)="","",TRIM(INDEX(INDIRECT("'WCM Calibration Final'!$D$1:$D$2000"),'Calculations'!$EM272)&amp;"")),""))),IF(IFERROR(IF(INDEX(INDIRECT("'WCM Calibration Final'!$E$1:$E$2000"),'Calculations'!$EM272)="","",TRIM(INDEX(INDIRECT("'WCM Calibration Final'!$E$1:$E$2000"),'Calculations'!$EM272)&amp;"")),"")="","",IF(COUNTIF('Calculations'!$HG$13:$HG$512,"="&amp;SUBSTITUTE(SUBSTITUTE(SUBSTITUTE(IFERROR(IF(INDEX(INDIRECT("'WCM Calibration Final'!$E$1:$E$2000"),'Calculations'!$EM272)="","",TRIM(INDEX(INDIRECT("'WCM Calibration Final'!$E$1:$E$2000"),'Calculations'!$EM272)&amp;"")),""),"~","~~"),"*","~*"),"?","~?"))=1,INDEX('Calculations'!$HE$13:$HE$512,MATCH(IFERROR(IF(INDEX(INDIRECT("'WCM Calibration Final'!$E$1:$E$2000"),'Calculations'!$EM272)="","",TRIM(INDEX(INDIRECT("'WCM Calibration Final'!$E$1:$E$2000"),'Calculations'!$EM272)&amp;"")),""),'Calculations'!$HG$13:$HG$512,0)),IF(COUNTIF('Calculations'!$HG$13:$HG$512,"="&amp;SUBSTITUTE(SUBSTITUTE(SUBSTITUTE(IFERROR(IF(INDEX(INDIRECT("'WCM Calibration Final'!$E$1:$E$2000"),'Calculations'!$EM272)="","",TRIM(INDEX(INDIRECT("'WCM Calibration Final'!$E$1:$E$2000"),'Calculations'!$EM272)&amp;"")),""),"~","~~"),"*","~*"),"?","~?"))&gt;1,"!AMBIG","X:"&amp;IFERROR(IF(INDEX(INDIRECT("'WCM Calibration Final'!$E$1:$E$2000"),'Calculations'!$EM272)="","",TRIM(INDEX(INDIRECT("'WCM Calibration Final'!$E$1:$E$2000"),'Calculations'!$EM272)&amp;"")),""))))))</x:f>
      </x:c>
      <x:c r="HG272" t="str">
        <x:f>IF('Calculations'!EM272="","",IFERROR(IF(INDEX(INDIRECT("'WCM Calibration Final'!$B$1:$B$2000"),'Calculations'!$EM272)="","",TRIM(INDEX(INDIRECT("'WCM Calibration Final'!$B$1:$B$2000"),'Calculations'!$EM272)&amp;"")),""))</x:f>
      </x:c>
      <x:c r="HH272" t="n">
        <x:f>IF(AND('Calculations'!JC272&gt;0,COUNTIF('Calculations'!$HF$12:HF272,"="&amp;SUBSTITUTE(SUBSTITUTE(SUBSTITUTE('Calculations'!HF272,"~","~~"),"*","~*"),"?","~?"))=1),MAX('Calculations'!$HH$12:HH271)+1,0)</x:f>
        <x:v>0</x:v>
      </x:c>
      <x:c r="HI272" t="n">
        <x:f>IF(AND('Calculations'!HN272&lt;&gt;"",COUNTIF('Calculations'!$HN$12:HN272,"="&amp;SUBSTITUTE(SUBSTITUTE(SUBSTITUTE('Calculations'!HN272,"~","~~"),"*","~*"),"?","~?"))=1),MAX('Calculations'!$HI$12:HI271)+1,0)</x:f>
        <x:v>0</x:v>
      </x:c>
      <x:c r="HJ272" t="str">
        <x:f>IF('Calculations'!HF272="","",IF(COUNTIF('Calculations'!$HE$13:$HE$512,"="&amp;SUBSTITUTE(SUBSTITUTE(SUBSTITUTE('Calculations'!HF272,"~","~~"),"*","~*"),"?","~?"))=1,INDEX('Calculations'!$HK$13:$HK$512,MATCH('Calculations'!HF272,'Calculations'!$HE$13:$HE$512,0)),IFERROR(IF(INDEX(INDIRECT("'WCM Calibration Final'!$E$1:$E$2000"),'Calculations'!$EM272)="","",TRIM(INDEX(INDIRECT("'WCM Calibration Final'!$E$1:$E$2000"),'Calculations'!$EM272)&amp;"")),"")&amp;" ["&amp;'Calculations'!HF272&amp;"]"))</x:f>
      </x:c>
      <x:c r="HK272" t="str">
        <x:f>IF('Calculations'!EM272="","",'Calculations'!HG272&amp;" ["&amp;'Calculations'!HE272&amp;"]")</x:f>
      </x:c>
      <x:c r="HL272" t="n">
        <x:f>IF('Calculations'!EM272="",0,IF(OR('Calculations'!II272&lt;&gt;"",COUNTIF('Calculations'!$HE$13:$HE$512,"="&amp;SUBSTITUTE(SUBSTITUTE(SUBSTITUTE('Calculations'!HE272,"~","~~"),"*","~*"),"?","~?"))&gt;1),1,0))</x:f>
        <x:v>0</x:v>
      </x:c>
      <x:c r="HM272" t="str">
        <x:f>IF('Calculations'!EM272="","",IF('Calculations'!HL272=1,"!UNRESOLVED",IF('Calculations'!IH272&lt;&gt;"",'Calculations'!IH272,IF('Calculations'!IG272&lt;&gt;"",'Calculations'!IG272,IF('Calculations'!IF272&lt;&gt;"",'Calculations'!IF272,IF('Calculations'!IE272&lt;&gt;"",'Calculations'!IE272,IF('Calculations'!ID272&lt;&gt;"",'Calculations'!ID272,IF('Calculations'!IC272&lt;&gt;"",'Calculations'!IC272,IF('Calculations'!IB272&lt;&gt;"",'Calculations'!IB272,IF('Calculations'!IA272&lt;&gt;"",'Calculations'!IA272,IF('Calculations'!HZ272&lt;&gt;"",'Calculations'!HZ272,IF('Calculations'!HY272&lt;&gt;"",'Calculations'!HY272,IF('Calculations'!HX272&lt;&gt;"",'Calculations'!HX272,IF('Calculations'!HW272&lt;&gt;"",'Calculations'!HW272,IF('Calculations'!HV272&lt;&gt;"",'Calculations'!HV272,IF('Calculations'!HU272&lt;&gt;"",'Calculations'!HU272,IF('Calculations'!HT272&lt;&gt;"",'Calculations'!HT272,IF('Calculations'!HS272&lt;&gt;"",'Calculations'!HS272,IF('Calculations'!HR272&lt;&gt;"",'Calculations'!HR272,IF('Calculations'!HQ272&lt;&gt;"",'Calculations'!HQ272,IF('Calculations'!HP272&lt;&gt;"",'Calculations'!HP272,IF('Calculations'!HO272&lt;&gt;"",'Calculations'!HO272,'Calculations'!HE272))))))))))))))))))))))</x:f>
      </x:c>
      <x:c r="HN272" t="str">
        <x:f>IF('Calculations'!EM272="","",IF(IFERROR(IF(INDEX(INDIRECT("'WCM Calibration Final'!$F$1:$F$2000"),'Calculations'!$EM272)="","",TRIM(INDEX(INDIRECT("'WCM Calibration Final'!$F$1:$F$2000"),'Calculations'!$EM272)&amp;"")),"")="","(Blank)",IFERROR(IF(INDEX(INDIRECT("'WCM Calibration Final'!$F$1:$F$2000"),'Calculations'!$EM272)="","",TRIM(INDEX(INDIRECT("'WCM Calibration Final'!$F$1:$F$2000"),'Calculations'!$EM272)&amp;"")),"")))</x:f>
      </x:c>
      <x:c r="HO272" t="str">
        <x:f>'Calculations'!HF272</x:f>
      </x:c>
      <x:c r="HP272" t="str">
        <x:f>IF('Calculations'!HO272="","",IF('Calculations'!HO272="!AMBIG","!AMBIG",IF(COUNTIF('Calculations'!$HE$13:$HE$512,"="&amp;SUBSTITUTE(SUBSTITUTE(SUBSTITUTE('Calculations'!HO272,"~","~~"),"*","~*"),"?","~?"))&gt;1,"!AMBIG",IFERROR(INDEX('Calculations'!$HF$13:$HF$512,MATCH('Calculations'!HO272,'Calculations'!$HE$13:$HE$512,0)),""))))</x:f>
      </x:c>
      <x:c r="HQ272" t="str">
        <x:f>IF('Calculations'!HP272="","",IF('Calculations'!HP272="!AMBIG","!AMBIG",IF(COUNTIF('Calculations'!$HE$13:$HE$512,"="&amp;SUBSTITUTE(SUBSTITUTE(SUBSTITUTE('Calculations'!HP272,"~","~~"),"*","~*"),"?","~?"))&gt;1,"!AMBIG",IFERROR(INDEX('Calculations'!$HF$13:$HF$512,MATCH('Calculations'!HP272,'Calculations'!$HE$13:$HE$512,0)),""))))</x:f>
      </x:c>
      <x:c r="HR272" t="str">
        <x:f>IF('Calculations'!HQ272="","",IF('Calculations'!HQ272="!AMBIG","!AMBIG",IF(COUNTIF('Calculations'!$HE$13:$HE$512,"="&amp;SUBSTITUTE(SUBSTITUTE(SUBSTITUTE('Calculations'!HQ272,"~","~~"),"*","~*"),"?","~?"))&gt;1,"!AMBIG",IFERROR(INDEX('Calculations'!$HF$13:$HF$512,MATCH('Calculations'!HQ272,'Calculations'!$HE$13:$HE$512,0)),""))))</x:f>
      </x:c>
      <x:c r="HS272" t="str">
        <x:f>IF('Calculations'!HR272="","",IF('Calculations'!HR272="!AMBIG","!AMBIG",IF(COUNTIF('Calculations'!$HE$13:$HE$512,"="&amp;SUBSTITUTE(SUBSTITUTE(SUBSTITUTE('Calculations'!HR272,"~","~~"),"*","~*"),"?","~?"))&gt;1,"!AMBIG",IFERROR(INDEX('Calculations'!$HF$13:$HF$512,MATCH('Calculations'!HR272,'Calculations'!$HE$13:$HE$512,0)),""))))</x:f>
      </x:c>
      <x:c r="HT272" t="str">
        <x:f>IF('Calculations'!HS272="","",IF('Calculations'!HS272="!AMBIG","!AMBIG",IF(COUNTIF('Calculations'!$HE$13:$HE$512,"="&amp;SUBSTITUTE(SUBSTITUTE(SUBSTITUTE('Calculations'!HS272,"~","~~"),"*","~*"),"?","~?"))&gt;1,"!AMBIG",IFERROR(INDEX('Calculations'!$HF$13:$HF$512,MATCH('Calculations'!HS272,'Calculations'!$HE$13:$HE$512,0)),""))))</x:f>
      </x:c>
      <x:c r="HU272" t="str">
        <x:f>IF('Calculations'!HT272="","",IF('Calculations'!HT272="!AMBIG","!AMBIG",IF(COUNTIF('Calculations'!$HE$13:$HE$512,"="&amp;SUBSTITUTE(SUBSTITUTE(SUBSTITUTE('Calculations'!HT272,"~","~~"),"*","~*"),"?","~?"))&gt;1,"!AMBIG",IFERROR(INDEX('Calculations'!$HF$13:$HF$512,MATCH('Calculations'!HT272,'Calculations'!$HE$13:$HE$512,0)),""))))</x:f>
      </x:c>
      <x:c r="HV272" t="str">
        <x:f>IF('Calculations'!HU272="","",IF('Calculations'!HU272="!AMBIG","!AMBIG",IF(COUNTIF('Calculations'!$HE$13:$HE$512,"="&amp;SUBSTITUTE(SUBSTITUTE(SUBSTITUTE('Calculations'!HU272,"~","~~"),"*","~*"),"?","~?"))&gt;1,"!AMBIG",IFERROR(INDEX('Calculations'!$HF$13:$HF$512,MATCH('Calculations'!HU272,'Calculations'!$HE$13:$HE$512,0)),""))))</x:f>
      </x:c>
      <x:c r="HW272" t="str">
        <x:f>IF('Calculations'!HV272="","",IF('Calculations'!HV272="!AMBIG","!AMBIG",IF(COUNTIF('Calculations'!$HE$13:$HE$512,"="&amp;SUBSTITUTE(SUBSTITUTE(SUBSTITUTE('Calculations'!HV272,"~","~~"),"*","~*"),"?","~?"))&gt;1,"!AMBIG",IFERROR(INDEX('Calculations'!$HF$13:$HF$512,MATCH('Calculations'!HV272,'Calculations'!$HE$13:$HE$512,0)),""))))</x:f>
      </x:c>
      <x:c r="HX272" t="str">
        <x:f>IF('Calculations'!HW272="","",IF('Calculations'!HW272="!AMBIG","!AMBIG",IF(COUNTIF('Calculations'!$HE$13:$HE$512,"="&amp;SUBSTITUTE(SUBSTITUTE(SUBSTITUTE('Calculations'!HW272,"~","~~"),"*","~*"),"?","~?"))&gt;1,"!AMBIG",IFERROR(INDEX('Calculations'!$HF$13:$HF$512,MATCH('Calculations'!HW272,'Calculations'!$HE$13:$HE$512,0)),""))))</x:f>
      </x:c>
      <x:c r="HY272" t="str">
        <x:f>IF('Calculations'!HX272="","",IF('Calculations'!HX272="!AMBIG","!AMBIG",IF(COUNTIF('Calculations'!$HE$13:$HE$512,"="&amp;SUBSTITUTE(SUBSTITUTE(SUBSTITUTE('Calculations'!HX272,"~","~~"),"*","~*"),"?","~?"))&gt;1,"!AMBIG",IFERROR(INDEX('Calculations'!$HF$13:$HF$512,MATCH('Calculations'!HX272,'Calculations'!$HE$13:$HE$512,0)),""))))</x:f>
      </x:c>
      <x:c r="HZ272" t="str">
        <x:f>IF('Calculations'!HY272="","",IF('Calculations'!HY272="!AMBIG","!AMBIG",IF(COUNTIF('Calculations'!$HE$13:$HE$512,"="&amp;SUBSTITUTE(SUBSTITUTE(SUBSTITUTE('Calculations'!HY272,"~","~~"),"*","~*"),"?","~?"))&gt;1,"!AMBIG",IFERROR(INDEX('Calculations'!$HF$13:$HF$512,MATCH('Calculations'!HY272,'Calculations'!$HE$13:$HE$512,0)),""))))</x:f>
      </x:c>
      <x:c r="IA272" t="str">
        <x:f>IF('Calculations'!HZ272="","",IF('Calculations'!HZ272="!AMBIG","!AMBIG",IF(COUNTIF('Calculations'!$HE$13:$HE$512,"="&amp;SUBSTITUTE(SUBSTITUTE(SUBSTITUTE('Calculations'!HZ272,"~","~~"),"*","~*"),"?","~?"))&gt;1,"!AMBIG",IFERROR(INDEX('Calculations'!$HF$13:$HF$512,MATCH('Calculations'!HZ272,'Calculations'!$HE$13:$HE$512,0)),""))))</x:f>
      </x:c>
      <x:c r="IB272" t="str">
        <x:f>IF('Calculations'!IA272="","",IF('Calculations'!IA272="!AMBIG","!AMBIG",IF(COUNTIF('Calculations'!$HE$13:$HE$512,"="&amp;SUBSTITUTE(SUBSTITUTE(SUBSTITUTE('Calculations'!IA272,"~","~~"),"*","~*"),"?","~?"))&gt;1,"!AMBIG",IFERROR(INDEX('Calculations'!$HF$13:$HF$512,MATCH('Calculations'!IA272,'Calculations'!$HE$13:$HE$512,0)),""))))</x:f>
      </x:c>
      <x:c r="IC272" t="str">
        <x:f>IF('Calculations'!IB272="","",IF('Calculations'!IB272="!AMBIG","!AMBIG",IF(COUNTIF('Calculations'!$HE$13:$HE$512,"="&amp;SUBSTITUTE(SUBSTITUTE(SUBSTITUTE('Calculations'!IB272,"~","~~"),"*","~*"),"?","~?"))&gt;1,"!AMBIG",IFERROR(INDEX('Calculations'!$HF$13:$HF$512,MATCH('Calculations'!IB272,'Calculations'!$HE$13:$HE$512,0)),""))))</x:f>
      </x:c>
      <x:c r="ID272" t="str">
        <x:f>IF('Calculations'!IC272="","",IF('Calculations'!IC272="!AMBIG","!AMBIG",IF(COUNTIF('Calculations'!$HE$13:$HE$512,"="&amp;SUBSTITUTE(SUBSTITUTE(SUBSTITUTE('Calculations'!IC272,"~","~~"),"*","~*"),"?","~?"))&gt;1,"!AMBIG",IFERROR(INDEX('Calculations'!$HF$13:$HF$512,MATCH('Calculations'!IC272,'Calculations'!$HE$13:$HE$512,0)),""))))</x:f>
      </x:c>
      <x:c r="IE272" t="str">
        <x:f>IF('Calculations'!ID272="","",IF('Calculations'!ID272="!AMBIG","!AMBIG",IF(COUNTIF('Calculations'!$HE$13:$HE$512,"="&amp;SUBSTITUTE(SUBSTITUTE(SUBSTITUTE('Calculations'!ID272,"~","~~"),"*","~*"),"?","~?"))&gt;1,"!AMBIG",IFERROR(INDEX('Calculations'!$HF$13:$HF$512,MATCH('Calculations'!ID272,'Calculations'!$HE$13:$HE$512,0)),""))))</x:f>
      </x:c>
      <x:c r="IF272" t="str">
        <x:f>IF('Calculations'!IE272="","",IF('Calculations'!IE272="!AMBIG","!AMBIG",IF(COUNTIF('Calculations'!$HE$13:$HE$512,"="&amp;SUBSTITUTE(SUBSTITUTE(SUBSTITUTE('Calculations'!IE272,"~","~~"),"*","~*"),"?","~?"))&gt;1,"!AMBIG",IFERROR(INDEX('Calculations'!$HF$13:$HF$512,MATCH('Calculations'!IE272,'Calculations'!$HE$13:$HE$512,0)),""))))</x:f>
      </x:c>
      <x:c r="IG272" t="str">
        <x:f>IF('Calculations'!IF272="","",IF('Calculations'!IF272="!AMBIG","!AMBIG",IF(COUNTIF('Calculations'!$HE$13:$HE$512,"="&amp;SUBSTITUTE(SUBSTITUTE(SUBSTITUTE('Calculations'!IF272,"~","~~"),"*","~*"),"?","~?"))&gt;1,"!AMBIG",IFERROR(INDEX('Calculations'!$HF$13:$HF$512,MATCH('Calculations'!IF272,'Calculations'!$HE$13:$HE$512,0)),""))))</x:f>
      </x:c>
      <x:c r="IH272" t="str">
        <x:f>IF('Calculations'!IG272="","",IF('Calculations'!IG272="!AMBIG","!AMBIG",IF(COUNTIF('Calculations'!$HE$13:$HE$512,"="&amp;SUBSTITUTE(SUBSTITUTE(SUBSTITUTE('Calculations'!IG272,"~","~~"),"*","~*"),"?","~?"))&gt;1,"!AMBIG",IFERROR(INDEX('Calculations'!$HF$13:$HF$512,MATCH('Calculations'!IG272,'Calculations'!$HE$13:$HE$512,0)),""))))</x:f>
      </x:c>
      <x:c r="II272" t="str">
        <x:f>IF('Calculations'!IH272="","",IF('Calculations'!IH272="!AMBIG","!AMBIG",IF(COUNTIF('Calculations'!$HE$13:$HE$512,"="&amp;SUBSTITUTE(SUBSTITUTE(SUBSTITUTE('Calculations'!IH272,"~","~~"),"*","~*"),"?","~?"))&gt;1,"!AMBIG",IFERROR(INDEX('Calculations'!$HF$13:$HF$512,MATCH('Calculations'!IH272,'Calculations'!$HE$13:$HE$512,0)),""))))</x:f>
      </x:c>
      <x:c r="IJ272" t="str">
        <x:f>IF('Calculations'!EM272="","",IF('Calculations'!$EF$2="All",'Calculations'!HM272,IF('Calculations'!HL272=1,"",IFERROR(IF(MATCH('Calculations'!$EF$2,'Calculations'!HO272:II272,0)=1,'Calculations'!HE272,INDEX('Calculations'!HO272:II272,1,MATCH('Calculations'!$EF$2,'Calculations'!HO272:II272,0)-1)),""))))</x:f>
      </x:c>
      <x:c r="IK272" t="n">
        <x:f>IF(AND('Calculations'!EM272&lt;&gt;"",'Calculations'!$EF$2&lt;&gt;"All",'Calculations'!HF272='Calculations'!$EF$2,'Calculations'!HL272=0,'Calculations'!JD272&gt;0),MAX('Calculations'!$IK$12:IK271)+1,0)</x:f>
        <x:v>0</x:v>
      </x:c>
      <x:c r="JA272" t="n">
        <x:f>IF(OR(IFERROR(INDIRECT("'WCM Calibration Final'!$A$272")&lt;&gt;"",FALSE),IFERROR(INDIRECT("'WCM Calibration Final'!$B$272")&lt;&gt;"",FALSE),IFERROR(INDIRECT("'WCM Calibration Final'!$C$272")&lt;&gt;"",FALSE)),272,0)</x:f>
        <x:v>0</x:v>
      </x:c>
      <x:c r="JB272" t="n">
        <x:f>'Calculations'!JB271+IF('Calculations'!JA272&gt;0,1,0)</x:f>
        <x:v>0</x:v>
      </x:c>
      <x:c r="JC272" t="n">
        <x:f>IF(OR('Calculations'!HF272="",'Calculations'!HF272="!AMBIG"),0,IF('Dashboard'!$B$7="All",1,COUNTIFS('Calculations'!$HO$13:$HO$512,"="&amp;SUBSTITUTE(SUBSTITUTE(SUBSTITUTE('Calculations'!HF272,"~","~~"),"*","~*"),"?","~?"),'Calculations'!$HN$13:$HN$512,"="&amp;SUBSTITUTE(SUBSTITUTE(SUBSTITUTE('Dashboard'!$B$7,"~","~~"),"*","~*"),"?","~?"))+COUNTIFS('Calculations'!$HP$13:$HP$512,"="&amp;SUBSTITUTE(SUBSTITUTE(SUBSTITUTE('Calculations'!HF272,"~","~~"),"*","~*"),"?","~?"),'Calculations'!$HN$13:$HN$512,"="&amp;SUBSTITUTE(SUBSTITUTE(SUBSTITUTE('Dashboard'!$B$7,"~","~~"),"*","~*"),"?","~?"))+COUNTIFS('Calculations'!$HQ$13:$HQ$512,"="&amp;SUBSTITUTE(SUBSTITUTE(SUBSTITUTE('Calculations'!HF272,"~","~~"),"*","~*"),"?","~?"),'Calculations'!$HN$13:$HN$512,"="&amp;SUBSTITUTE(SUBSTITUTE(SUBSTITUTE('Dashboard'!$B$7,"~","~~"),"*","~*"),"?","~?"))+COUNTIFS('Calculations'!$HR$13:$HR$512,"="&amp;SUBSTITUTE(SUBSTITUTE(SUBSTITUTE('Calculations'!HF272,"~","~~"),"*","~*"),"?","~?"),'Calculations'!$HN$13:$HN$512,"="&amp;SUBSTITUTE(SUBSTITUTE(SUBSTITUTE('Dashboard'!$B$7,"~","~~"),"*","~*"),"?","~?"))+COUNTIFS('Calculations'!$HS$13:$HS$512,"="&amp;SUBSTITUTE(SUBSTITUTE(SUBSTITUTE('Calculations'!HF272,"~","~~"),"*","~*"),"?","~?"),'Calculations'!$HN$13:$HN$512,"="&amp;SUBSTITUTE(SUBSTITUTE(SUBSTITUTE('Dashboard'!$B$7,"~","~~"),"*","~*"),"?","~?"))+COUNTIFS('Calculations'!$HT$13:$HT$512,"="&amp;SUBSTITUTE(SUBSTITUTE(SUBSTITUTE('Calculations'!HF272,"~","~~"),"*","~*"),"?","~?"),'Calculations'!$HN$13:$HN$512,"="&amp;SUBSTITUTE(SUBSTITUTE(SUBSTITUTE('Dashboard'!$B$7,"~","~~"),"*","~*"),"?","~?"))+COUNTIFS('Calculations'!$HU$13:$HU$512,"="&amp;SUBSTITUTE(SUBSTITUTE(SUBSTITUTE('Calculations'!HF272,"~","~~"),"*","~*"),"?","~?"),'Calculations'!$HN$13:$HN$512,"="&amp;SUBSTITUTE(SUBSTITUTE(SUBSTITUTE('Dashboard'!$B$7,"~","~~"),"*","~*"),"?","~?"))+COUNTIFS('Calculations'!$HV$13:$HV$512,"="&amp;SUBSTITUTE(SUBSTITUTE(SUBSTITUTE('Calculations'!HF272,"~","~~"),"*","~*"),"?","~?"),'Calculations'!$HN$13:$HN$512,"="&amp;SUBSTITUTE(SUBSTITUTE(SUBSTITUTE('Dashboard'!$B$7,"~","~~"),"*","~*"),"?","~?"))+COUNTIFS('Calculations'!$HW$13:$HW$512,"="&amp;SUBSTITUTE(SUBSTITUTE(SUBSTITUTE('Calculations'!HF272,"~","~~"),"*","~*"),"?","~?"),'Calculations'!$HN$13:$HN$512,"="&amp;SUBSTITUTE(SUBSTITUTE(SUBSTITUTE('Dashboard'!$B$7,"~","~~"),"*","~*"),"?","~?"))+COUNTIFS('Calculations'!$HX$13:$HX$512,"="&amp;SUBSTITUTE(SUBSTITUTE(SUBSTITUTE('Calculations'!HF272,"~","~~"),"*","~*"),"?","~?"),'Calculations'!$HN$13:$HN$512,"="&amp;SUBSTITUTE(SUBSTITUTE(SUBSTITUTE('Dashboard'!$B$7,"~","~~"),"*","~*"),"?","~?"))+COUNTIFS('Calculations'!$HY$13:$HY$512,"="&amp;SUBSTITUTE(SUBSTITUTE(SUBSTITUTE('Calculations'!HF272,"~","~~"),"*","~*"),"?","~?"),'Calculations'!$HN$13:$HN$512,"="&amp;SUBSTITUTE(SUBSTITUTE(SUBSTITUTE('Dashboard'!$B$7,"~","~~"),"*","~*"),"?","~?"))+COUNTIFS('Calculations'!$HZ$13:$HZ$512,"="&amp;SUBSTITUTE(SUBSTITUTE(SUBSTITUTE('Calculations'!HF272,"~","~~"),"*","~*"),"?","~?"),'Calculations'!$HN$13:$HN$512,"="&amp;SUBSTITUTE(SUBSTITUTE(SUBSTITUTE('Dashboard'!$B$7,"~","~~"),"*","~*"),"?","~?"))+COUNTIFS('Calculations'!$IA$13:$IA$512,"="&amp;SUBSTITUTE(SUBSTITUTE(SUBSTITUTE('Calculations'!HF272,"~","~~"),"*","~*"),"?","~?"),'Calculations'!$HN$13:$HN$512,"="&amp;SUBSTITUTE(SUBSTITUTE(SUBSTITUTE('Dashboard'!$B$7,"~","~~"),"*","~*"),"?","~?"))+COUNTIFS('Calculations'!$IB$13:$IB$512,"="&amp;SUBSTITUTE(SUBSTITUTE(SUBSTITUTE('Calculations'!HF272,"~","~~"),"*","~*"),"?","~?"),'Calculations'!$HN$13:$HN$512,"="&amp;SUBSTITUTE(SUBSTITUTE(SUBSTITUTE('Dashboard'!$B$7,"~","~~"),"*","~*"),"?","~?"))+COUNTIFS('Calculations'!$IC$13:$IC$512,"="&amp;SUBSTITUTE(SUBSTITUTE(SUBSTITUTE('Calculations'!HF272,"~","~~"),"*","~*"),"?","~?"),'Calculations'!$HN$13:$HN$512,"="&amp;SUBSTITUTE(SUBSTITUTE(SUBSTITUTE('Dashboard'!$B$7,"~","~~"),"*","~*"),"?","~?"))+COUNTIFS('Calculations'!$ID$13:$ID$512,"="&amp;SUBSTITUTE(SUBSTITUTE(SUBSTITUTE('Calculations'!HF272,"~","~~"),"*","~*"),"?","~?"),'Calculations'!$HN$13:$HN$512,"="&amp;SUBSTITUTE(SUBSTITUTE(SUBSTITUTE('Dashboard'!$B$7,"~","~~"),"*","~*"),"?","~?"))+COUNTIFS('Calculations'!$IE$13:$IE$512,"="&amp;SUBSTITUTE(SUBSTITUTE(SUBSTITUTE('Calculations'!HF272,"~","~~"),"*","~*"),"?","~?"),'Calculations'!$HN$13:$HN$512,"="&amp;SUBSTITUTE(SUBSTITUTE(SUBSTITUTE('Dashboard'!$B$7,"~","~~"),"*","~*"),"?","~?"))+COUNTIFS('Calculations'!$IF$13:$IF$512,"="&amp;SUBSTITUTE(SUBSTITUTE(SUBSTITUTE('Calculations'!HF272,"~","~~"),"*","~*"),"?","~?"),'Calculations'!$HN$13:$HN$512,"="&amp;SUBSTITUTE(SUBSTITUTE(SUBSTITUTE('Dashboard'!$B$7,"~","~~"),"*","~*"),"?","~?"))+COUNTIFS('Calculations'!$IG$13:$IG$512,"="&amp;SUBSTITUTE(SUBSTITUTE(SUBSTITUTE('Calculations'!HF272,"~","~~"),"*","~*"),"?","~?"),'Calculations'!$HN$13:$HN$512,"="&amp;SUBSTITUTE(SUBSTITUTE(SUBSTITUTE('Dashboard'!$B$7,"~","~~"),"*","~*"),"?","~?"))+COUNTIFS('Calculations'!$IH$13:$IH$512,"="&amp;SUBSTITUTE(SUBSTITUTE(SUBSTITUTE('Calculations'!HF272,"~","~~"),"*","~*"),"?","~?"),'Calculations'!$HN$13:$HN$512,"="&amp;SUBSTITUTE(SUBSTITUTE(SUBSTITUTE('Dashboard'!$B$7,"~","~~"),"*","~*"),"?","~?"))))</x:f>
        <x:v>0</x:v>
      </x:c>
      <x:c r="JD272" t="n">
        <x:f>IF('Calculations'!EM272="",0,IF('Dashboard'!$B$7="All",1,IF('Calculations'!HN272='Dashboard'!$B$7,1,0)+IFERROR(INDEX('Calculations'!$JC$13:$JC$512,MATCH('Calculations'!HE272,'Calculations'!$HF$13:$HF$512,0)),0)))</x:f>
        <x:v>0</x:v>
      </x:c>
      <x:c r="JE272" t="n">
        <x:f>IF(AND('Calculations'!EM272&lt;&gt;"",'Calculations'!$JJ$2&lt;&gt;"All",'Calculations'!$JJ$2&lt;&gt;"",'Calculations'!HF272='Calculations'!$JJ$2,'Calculations'!HL272=0,'Calculations'!JD272&gt;0),MAX('Calculations'!$JE$12:JE271)+1,0)</x:f>
        <x:v>0</x:v>
      </x:c>
      <x:c r="JF272" t="str">
        <x:f>IF('Calculations'!EM272="","",IFERROR(IF(INDEX(INDIRECT("'WCM Calibration Final'!$G$1:$G$2000"),'Calculations'!$EM272)="","",TRIM(INDEX(INDIRECT("'WCM Calibration Final'!$G$1:$G$2000"),'Calculations'!$EM272)&amp;"")),""))</x:f>
      </x:c>
      <x:c r="JQ272" t="n">
        <x:f>IF(OR('Calculations'!BM272=0,NOT('Calculations'!$AG$2),'Calculations'!$AG$8&gt;0),0,IF(OR('Dashboard'!$B$7="All",'Calculations'!HN272='Dashboard'!$B$7),IF('Calculations'!$JJ$2="All",1,IF(AND('Calculations'!HF272='Calculations'!$JJ$2,'Calculations'!HL272=0),1,0)),0))</x:f>
        <x:v>0</x:v>
      </x:c>
    </x:row>
    <x:row r="273">
      <x:c r="AF273" s="4" t="str">
        <x:f>IF('Calculations'!AH273=0,"","SVP (n="&amp;'Calculations'!AH273&amp;")")</x:f>
      </x:c>
      <x:c r="AG273" s="4" t="n">
        <x:f>COUNTIFS('Calculations'!$BN$13:$BN$512,1,'Calculations'!$BV$13:$BV$512,'Calculations'!AT273)</x:f>
        <x:v>0</x:v>
      </x:c>
      <x:c r="AH273" s="4" t="n">
        <x:f>SUM('Calculations'!AJ273:AM273)</x:f>
        <x:v>0</x:v>
      </x:c>
      <x:c r="AI273" s="4" t="n">
        <x:f>'Calculations'!AG273-'Calculations'!AH273</x:f>
        <x:v>0</x:v>
      </x:c>
      <x:c r="AJ273" s="4" t="n">
        <x:f>COUNTIFS('Calculations'!$BN$13:$BN$512,1,'Calculations'!$BV$13:$BV$512,'Calculations'!AT273,'Calculations'!$BP$13:$BP$512,1)</x:f>
        <x:v>0</x:v>
      </x:c>
      <x:c r="AK273" s="4" t="n">
        <x:f>COUNTIFS('Calculations'!$BN$13:$BN$512,1,'Calculations'!$BV$13:$BV$512,'Calculations'!AT273,'Calculations'!$BP$13:$BP$512,2)</x:f>
        <x:v>0</x:v>
      </x:c>
      <x:c r="AL273" s="4" t="n">
        <x:f>COUNTIFS('Calculations'!$BN$13:$BN$512,1,'Calculations'!$BV$13:$BV$512,'Calculations'!AT273,'Calculations'!$BP$13:$BP$512,3)</x:f>
        <x:v>0</x:v>
      </x:c>
      <x:c r="AM273" s="4" t="n">
        <x:f>COUNTIFS('Calculations'!$BN$13:$BN$512,1,'Calculations'!$BV$13:$BV$512,'Calculations'!AT273,'Calculations'!$BP$13:$BP$512,4)</x:f>
        <x:v>0</x:v>
      </x:c>
      <x:c r="AN273" s="4"/>
      <x:c r="AO273" s="4" t="n">
        <x:f>IF('Calculations'!AH273=0,0,'Calculations'!AJ273/'Calculations'!AH273)</x:f>
        <x:v>0</x:v>
      </x:c>
      <x:c r="AP273" s="4" t="n">
        <x:f>IF('Calculations'!AH273=0,0,'Calculations'!AK273/'Calculations'!AH273)</x:f>
        <x:v>0</x:v>
      </x:c>
      <x:c r="AQ273" s="4" t="n">
        <x:f>IF('Calculations'!AH273=0,0,'Calculations'!AL273/'Calculations'!AH273)</x:f>
        <x:v>0</x:v>
      </x:c>
      <x:c r="AR273" s="4" t="n">
        <x:f>IF('Calculations'!AH273=0,0,'Calculations'!AM273/'Calculations'!AH273)</x:f>
        <x:v>0</x:v>
      </x:c>
      <x:c r="AS273" s="4"/>
      <x:c r="AT273" s="4" t="str">
        <x:v>SENIOR VICE PRESIDENT</x:v>
      </x:c>
      <x:c r="AU273" s="4"/>
      <x:c r="AV273" s="4"/>
      <x:c r="AW273" s="4"/>
      <x:c r="AX273" s="4"/>
      <x:c r="AY273" s="4"/>
      <x:c r="AZ273" s="4"/>
      <x:c r="BA273" s="4"/>
      <x:c r="BB273" s="4"/>
      <x:c r="BC273" s="4"/>
      <x:c r="BD273" s="4"/>
      <x:c r="BE273" s="4"/>
      <x:c r="BF273" s="4"/>
      <x:c r="BG273" s="4"/>
      <x:c r="BH273" s="4"/>
      <x:c r="BI273" s="4"/>
      <x:c r="BJ273" s="4"/>
      <x:c r="BK273" s="4"/>
      <x:c r="BL273" s="4"/>
      <x:c r="BM273" s="4" t="n">
        <x:f>IF('Calculations'!$EM273="",0,IF(OR(IFERROR(INDEX(INDIRECT("'WCM Calibration Final'!$A$1:$A$2000"),'Calculations'!$EM273)&lt;&gt;"",FALSE),IFERROR(INDEX(INDIRECT("'WCM Calibration Final'!$B$1:$B$2000"),'Calculations'!$EM273)&lt;&gt;"",FALSE),IFERROR(INDEX(INDIRECT("'WCM Calibration Final'!$C$1:$C$2000"),'Calculations'!$EM273)&lt;&gt;"",FALSE)),1,0))</x:f>
        <x:v>0</x:v>
      </x:c>
      <x:c r="BN273" s="4" t="n">
        <x:f>IF(AND('Calculations'!BM273=1,'Calculations'!$AG$2,'Calculations'!$EN273=1),1,0)</x:f>
        <x:v>0</x:v>
      </x:c>
      <x:c r="BO273" s="4" t="str">
        <x:f>IF('Calculations'!BM273=0,"",IFERROR(IF(AND(VALUE(INDEX(INDIRECT("'WCM Calibration Final'!$K$1:$K$2000"),'Calculations'!$EM273))&gt;=1,VALUE(INDEX(INDIRECT("'WCM Calibration Final'!$K$1:$K$2000"),'Calculations'!$EM273))&lt;=4,MOD(VALUE(INDEX(INDIRECT("'WCM Calibration Final'!$K$1:$K$2000"),'Calculations'!$EM273)),1)=0),VALUE(INDEX(INDIRECT("'WCM Calibration Final'!$K$1:$K$2000"),'Calculations'!$EM273)),""),""))</x:f>
      </x:c>
      <x:c r="BP273" s="4" t="str">
        <x:f>IF('Calculations'!BM273=0,"",IFERROR(IF(AND(VALUE(INDEX(INDIRECT("'WCM Calibration Final'!$L$1:$L$2000"),'Calculations'!$EM273))&gt;=1,VALUE(INDEX(INDIRECT("'WCM Calibration Final'!$L$1:$L$2000"),'Calculations'!$EM273))&lt;=4,MOD(VALUE(INDEX(INDIRECT("'WCM Calibration Final'!$L$1:$L$2000"),'Calculations'!$EM273)),1)=0),VALUE(INDEX(INDIRECT("'WCM Calibration Final'!$L$1:$L$2000"),'Calculations'!$EM273)),""),""))</x:f>
      </x:c>
      <x:c r="BQ273" s="4"/>
      <x:c r="BR273" s="4"/>
      <x:c r="BS273" s="4"/>
      <x:c r="BT273" s="4" t="n">
        <x:f>IF(AND('Calculations'!BM273=1,ISNUMBER('Calculations'!BO273),ISNUMBER('Calculations'!BP273)),1,0)</x:f>
        <x:v>0</x:v>
      </x:c>
      <x:c r="BU273" s="4" t="str">
        <x:f>IF('Calculations'!BM273=0,"",'Calculations'!$EO273)</x:f>
      </x:c>
      <x:c r="BV273" s="4" t="str">
        <x:f>IF('Calculations'!BM273=0,"",IFERROR(IF(OR(INDEX(INDIRECT("'WCM Calibration Final'!$H$1:$H$2000"),'Calculations'!$EM273)="MANAGING DIRECTOR",INDEX(INDIRECT("'WCM Calibration Final'!$H$1:$H$2000"),'Calculations'!$EM273)="DIRECTOR",INDEX(INDIRECT("'WCM Calibration Final'!$H$1:$H$2000"),'Calculations'!$EM273)="SENIOR VICE PRESIDENT",INDEX(INDIRECT("'WCM Calibration Final'!$H$1:$H$2000"),'Calculations'!$EM273)="VICE PRESIDENT",INDEX(INDIRECT("'WCM Calibration Final'!$H$1:$H$2000"),'Calculations'!$EM273)="ASSISTANT VICE PRESIDENT",INDEX(INDIRECT("'WCM Calibration Final'!$H$1:$H$2000"),'Calculations'!$EM273)="OFFICER"),UPPER(INDEX(INDIRECT("'WCM Calibration Final'!$H$1:$H$2000"),'Calculations'!$EM273)),"Other"),"Other"))</x:f>
      </x:c>
      <x:c r="BW273" s="4"/>
      <x:c r="BX273" s="4"/>
      <x:c r="BY273" s="4" t="n">
        <x:f>IF(AND('Calculations'!BM273=1,'Calculations'!BU273&lt;&gt;"",COUNTIF('Calculations'!$BU$12:BU273,'Calculations'!BU273)=1),MAX('Calculations'!$BY$11:BY272)+1,0)</x:f>
        <x:v>0</x:v>
      </x:c>
      <x:c r="BZ273" s="4" t="str">
        <x:f>IF('Dashboard'!$E$67="What",'Calculations'!BO273,'Calculations'!BP273)</x:f>
      </x:c>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t="str">
        <x:f>IF(262&gt;MAX('Calculations'!$HI$13:$HI$512),"",INDEX('Calculations'!$HN$13:$HN$512,MATCH(262,'Calculations'!$HI$13:$HI$512,0)))</x:f>
      </x:c>
      <x:c r="DB273" s="4" t="str">
        <x:f>IF(262&gt;MAX('Calculations'!$HH$13:$HH$512),"",INDEX('Calculations'!$HJ$13:$HJ$512,MATCH(262,'Calculations'!$HH$13:$HH$512,0)))</x:f>
      </x:c>
      <x:c r="DC273" s="4" t="str">
        <x:f>IF(ROW()-11&gt;MAX('Calculations'!$BY$13:$BY$512),"",INDEX('Calculations'!$BU$13:$BU$512,MATCH(ROW()-11,'Calculations'!$BY$13:$BY$512,0)))</x:f>
      </x:c>
      <x:c r="DD273" s="4" t="str">
        <x:f>IF(262&gt;MAX('Calculations'!$IK$13:$IK$512),"",INDEX('Calculations'!$HK$13:$HK$512,MATCH(262,'Calculations'!$IK$13:$IK$512,0)))</x:f>
      </x:c>
      <x:c r="DE273" s="4" t="str">
        <x:f>'Calculations'!DC273</x:f>
      </x:c>
      <x:c r="DF273" s="4" t="str">
        <x:f>IF('Calculations'!DE273="","",COUNTIFS('Calculations'!$BN$13:$BN$512,1,'Calculations'!$BU$13:$BU$512,'Calculations'!DE273))</x:f>
      </x:c>
      <x:c r="DG273" s="4" t="str">
        <x:f>IF('Calculations'!DE273="","",COUNTIFS('Calculations'!$BN$13:$BN$512,1,'Calculations'!$BU$13:$BU$512,'Calculations'!DE273,'Calculations'!$BT$13:$BT$512,1))</x:f>
      </x:c>
      <x:c r="DH273" s="4" t="str">
        <x:f>IF('Calculations'!DE273="","",'Calculations'!DF273-'Calculations'!DG273)</x:f>
      </x:c>
      <x:c r="DI273" s="4" t="str">
        <x:f>IF(OR('Calculations'!DE273="",'Calculations'!DF273=0),"",'Calculations'!DG273/'Calculations'!DF273)</x:f>
      </x:c>
      <x:c r="DJ273" s="4" t="str">
        <x:f>IF('Calculations'!DE273="","",COUNTIFS('Calculations'!$BN$13:$BN$512,1,'Calculations'!$BU$13:$BU$512,'Calculations'!DE273,'Calculations'!$BT$13:$BT$512,1,'Calculations'!$EE$13:$EE$512,"High"))</x:f>
      </x:c>
      <x:c r="DK273" s="4" t="str">
        <x:f>IF('Calculations'!DE273="","",COUNTIFS('Calculations'!$BN$13:$BN$512,1,'Calculations'!$BU$13:$BU$512,'Calculations'!DE273,'Calculations'!$BT$13:$BT$512,1,'Calculations'!$EE$13:$EE$512,"Strong"))</x:f>
      </x:c>
      <x:c r="DL273" s="4" t="str">
        <x:f>IF('Calculations'!DE273="","",COUNTIFS('Calculations'!$BN$13:$BN$512,1,'Calculations'!$BU$13:$BU$512,'Calculations'!DE273,'Calculations'!$BT$13:$BT$512,1,'Calculations'!$EE$13:$EE$512,"Solid"))</x:f>
      </x:c>
      <x:c r="DM273" s="4" t="str">
        <x:f>IF('Calculations'!DE273="","",COUNTIFS('Calculations'!$BN$13:$BN$512,1,'Calculations'!$BU$13:$BU$512,'Calculations'!DE273,'Calculations'!$BT$13:$BT$512,1,'Calculations'!$EE$13:$EE$512,"Low"))</x:f>
      </x:c>
      <x:c r="DN273" s="4" t="str">
        <x:f>IF('Calculations'!DE273="","",COUNTIFS('Calculations'!$BN$13:$BN$512,1,'Calculations'!$BU$13:$BU$512,'Calculations'!DE273,'Calculations'!$EP$13:$EP$512,1))</x:f>
      </x:c>
      <x:c r="DO273" s="4" t="str">
        <x:f>IF(OR('Calculations'!DE273="",'Calculations'!DG273=0),"",('Calculations'!DJ273+'Calculations'!DK273)/'Calculations'!DG273)</x:f>
      </x:c>
      <x:c r="DP273" s="4" t="n">
        <x:f>IF(AND('Calculations'!DE273&lt;&gt;"",'Calculations'!DF273&gt;0),COUNTIF('Calculations'!$DF$12:DF273,"&gt;0"),0)</x:f>
        <x:v>0</x:v>
      </x:c>
      <x:c r="DQ273" s="4" t="str">
        <x:f>IF(262&gt;MAX('Calculations'!$HH$13:$HH$512),"",INDEX('Calculations'!$HF$13:$HF$512,MATCH(262,'Calculations'!$HH$13:$HH$512,0)))</x:f>
      </x:c>
      <x:c r="DR273" s="4" t="str">
        <x:f>IF(262&gt;MAX('Calculations'!$IK$13:$IK$512),"",INDEX('Calculations'!$HE$13:$HE$512,MATCH(262,'Calculations'!$IK$13:$IK$512,0)))</x:f>
      </x:c>
      <x:c r="DS273" s="4"/>
      <x:c r="DT273" s="4"/>
      <x:c r="DU273" s="4"/>
      <x:c r="DV273" s="4"/>
      <x:c r="DW273" s="4"/>
      <x:c r="DX273" s="4"/>
      <x:c r="DY273" s="4"/>
      <x:c r="DZ273" s="4"/>
      <x:c r="EA273" s="4"/>
      <x:c r="EB273" s="4"/>
      <x:c r="EC273" s="4"/>
      <x:c r="ED273" s="4"/>
      <x:c r="EE273" s="4" t="str">
        <x:f>IF('Calculations'!BT273=0,"Not Rated",IF(OR('Calculations'!BO273&gt;=4,'Calculations'!BP273&gt;=4),"Low",IF('Calculations'!BO273+'Calculations'!BP273&lt;=3,"High",IF('Calculations'!BO273+'Calculations'!BP273&lt;=4,"Strong","Solid"))))</x:f>
        <x:v>Not Rated</x:v>
      </x:c>
      <x:c r="EF273" s="4"/>
      <x:c r="EG273" s="4"/>
      <x:c r="EH273" s="4"/>
      <x:c r="EI273" s="4"/>
      <x:c r="EJ273" s="4"/>
      <x:c r="EK273" s="4"/>
      <x:c r="EL273" s="4"/>
      <x:c r="EM273" s="4" t="str">
        <x:f>IF(261&gt;'Calculations'!$JB$2000,"",INDEX('Calculations'!$JA$12:$JA$2000,MATCH(261,'Calculations'!$JB$12:$JB$2000,0)))</x:f>
      </x:c>
      <x:c r="EN273" s="4" t="n">
        <x:f>IF(OR('Calculations'!EM273="",'Calculations'!$AG$8&gt;0,AND('Calculations'!$EF$2&lt;&gt;"All",'Calculations'!HE273='Calculations'!$EF$2),AND('Calculations'!$EF$3&lt;&gt;"All",'Calculations'!HE273='Calculations'!$EF$3)),0,IF(OR('Dashboard'!$B$7="All",'Calculations'!HN273='Dashboard'!$B$7),IF('Calculations'!$EF$2="All",1,IF('Calculations'!HL273&gt;0,0,IF(COUNTIF('Calculations'!HO273:II273,"="&amp;SUBSTITUTE(SUBSTITUTE(SUBSTITUTE('Calculations'!$EF$2,"~","~~"),"*","~*"),"?","~?"))=0,0,IF('Calculations'!$EF$3="All",1,IF(COUNTIF('Calculations'!HO273:II273,"="&amp;SUBSTITUTE(SUBSTITUTE(SUBSTITUTE('Calculations'!$EF$3,"~","~~"),"*","~*"),"?","~?"))&gt;0,1,0))))),0))</x:f>
        <x:v>0</x:v>
      </x:c>
      <x:c r="EO273" s="4" t="str">
        <x:f>IF('Calculations'!IJ273="","",IF('Calculations'!IJ273="!UNRESOLVED","Unresolved hierarchy",IFERROR(INDEX('Calculations'!$HK$13:$HK$512,MATCH('Calculations'!IJ273,'Calculations'!$HE$13:$HE$512,0)),IFERROR(INDEX('Calculations'!$HJ$13:$HJ$512,MATCH('Calculations'!IJ273,'Calculations'!$HF$13:$HF$512,0)),'Calculations'!IJ273))))</x:f>
      </x:c>
      <x:c r="EP273" s="4" t="n">
        <x:f>IF(AND('Calculations'!EM273&lt;&gt;"",'Calculations'!HF273='Calculations'!IJ273),1,0)</x:f>
        <x:v>0</x:v>
      </x:c>
      <x:c r="EQ273" s="4"/>
      <x:c r="ER273" s="4"/>
      <x:c r="ES273" s="4"/>
      <x:c r="ET273" s="4"/>
      <x:c r="EU273" s="4"/>
      <x:c r="EV273" s="4"/>
      <x:c r="EW273" s="4"/>
      <x:c r="EX273" s="4"/>
      <x:c r="EY273" s="4"/>
      <x:c r="EZ273" s="4"/>
      <x:c r="FA273" s="4"/>
      <x:c r="FB273" s="4"/>
      <x:c r="FC273" s="4"/>
      <x:c r="FD273" s="4"/>
      <x:c r="FE273" s="4"/>
      <x:c r="FF273" s="4"/>
      <x:c r="FG273" s="4"/>
      <x:c r="FH273" s="4"/>
      <x:c r="FI273" s="4"/>
      <x:c r="FJ273" s="4"/>
      <x:c r="FK273" s="4"/>
      <x:c r="FL273" s="4"/>
      <x:c r="FM273" s="4"/>
      <x:c r="FN273" s="4"/>
      <x:c r="FO273" s="4"/>
      <x:c r="HE273" t="str">
        <x:f>IF('Calculations'!EM273="","",IF(IFERROR(IF(INDEX(INDIRECT("'WCM Calibration Final'!$A$1:$A$2000"),'Calculations'!$EM273)="","",TRIM(INDEX(INDIRECT("'WCM Calibration Final'!$A$1:$A$2000"),'Calculations'!$EM273)&amp;"")),"")&lt;&gt;"","G:"&amp;IFERROR(TEXT(1*INDEX(INDIRECT("'WCM Calibration Final'!$A$1:$A$2000"),'Calculations'!$EM273),"0"),UPPER(IFERROR(IF(INDEX(INDIRECT("'WCM Calibration Final'!$A$1:$A$2000"),'Calculations'!$EM273)="","",TRIM(INDEX(INDIRECT("'WCM Calibration Final'!$A$1:$A$2000"),'Calculations'!$EM273)&amp;"")),""))),IF(IFERROR(IF(INDEX(INDIRECT("'WCM Calibration Final'!$C$1:$C$2000"),'Calculations'!$EM273)="","",TRIM(INDEX(INDIRECT("'WCM Calibration Final'!$C$1:$C$2000"),'Calculations'!$EM273)&amp;"")),"")&lt;&gt;"","S:"&amp;UPPER(IFERROR(IF(INDEX(INDIRECT("'WCM Calibration Final'!$C$1:$C$2000"),'Calculations'!$EM273)="","",TRIM(INDEX(INDIRECT("'WCM Calibration Final'!$C$1:$C$2000"),'Calculations'!$EM273)&amp;"")),"")),"R:"&amp;'Calculations'!EM273)))</x:f>
      </x:c>
      <x:c r="HF273" t="str">
        <x:f>IF('Calculations'!EM273="","",IF(IFERROR(IF(INDEX(INDIRECT("'WCM Calibration Final'!$D$1:$D$2000"),'Calculations'!$EM273)="","",TRIM(INDEX(INDIRECT("'WCM Calibration Final'!$D$1:$D$2000"),'Calculations'!$EM273)&amp;"")),"")&lt;&gt;"","G:"&amp;IFERROR(TEXT(1*INDEX(INDIRECT("'WCM Calibration Final'!$D$1:$D$2000"),'Calculations'!$EM273),"0"),UPPER(IFERROR(IF(INDEX(INDIRECT("'WCM Calibration Final'!$D$1:$D$2000"),'Calculations'!$EM273)="","",TRIM(INDEX(INDIRECT("'WCM Calibration Final'!$D$1:$D$2000"),'Calculations'!$EM273)&amp;"")),""))),IF(IFERROR(IF(INDEX(INDIRECT("'WCM Calibration Final'!$E$1:$E$2000"),'Calculations'!$EM273)="","",TRIM(INDEX(INDIRECT("'WCM Calibration Final'!$E$1:$E$2000"),'Calculations'!$EM273)&amp;"")),"")="","",IF(COUNTIF('Calculations'!$HG$13:$HG$512,"="&amp;SUBSTITUTE(SUBSTITUTE(SUBSTITUTE(IFERROR(IF(INDEX(INDIRECT("'WCM Calibration Final'!$E$1:$E$2000"),'Calculations'!$EM273)="","",TRIM(INDEX(INDIRECT("'WCM Calibration Final'!$E$1:$E$2000"),'Calculations'!$EM273)&amp;"")),""),"~","~~"),"*","~*"),"?","~?"))=1,INDEX('Calculations'!$HE$13:$HE$512,MATCH(IFERROR(IF(INDEX(INDIRECT("'WCM Calibration Final'!$E$1:$E$2000"),'Calculations'!$EM273)="","",TRIM(INDEX(INDIRECT("'WCM Calibration Final'!$E$1:$E$2000"),'Calculations'!$EM273)&amp;"")),""),'Calculations'!$HG$13:$HG$512,0)),IF(COUNTIF('Calculations'!$HG$13:$HG$512,"="&amp;SUBSTITUTE(SUBSTITUTE(SUBSTITUTE(IFERROR(IF(INDEX(INDIRECT("'WCM Calibration Final'!$E$1:$E$2000"),'Calculations'!$EM273)="","",TRIM(INDEX(INDIRECT("'WCM Calibration Final'!$E$1:$E$2000"),'Calculations'!$EM273)&amp;"")),""),"~","~~"),"*","~*"),"?","~?"))&gt;1,"!AMBIG","X:"&amp;IFERROR(IF(INDEX(INDIRECT("'WCM Calibration Final'!$E$1:$E$2000"),'Calculations'!$EM273)="","",TRIM(INDEX(INDIRECT("'WCM Calibration Final'!$E$1:$E$2000"),'Calculations'!$EM273)&amp;"")),""))))))</x:f>
      </x:c>
      <x:c r="HG273" t="str">
        <x:f>IF('Calculations'!EM273="","",IFERROR(IF(INDEX(INDIRECT("'WCM Calibration Final'!$B$1:$B$2000"),'Calculations'!$EM273)="","",TRIM(INDEX(INDIRECT("'WCM Calibration Final'!$B$1:$B$2000"),'Calculations'!$EM273)&amp;"")),""))</x:f>
      </x:c>
      <x:c r="HH273" t="n">
        <x:f>IF(AND('Calculations'!JC273&gt;0,COUNTIF('Calculations'!$HF$12:HF273,"="&amp;SUBSTITUTE(SUBSTITUTE(SUBSTITUTE('Calculations'!HF273,"~","~~"),"*","~*"),"?","~?"))=1),MAX('Calculations'!$HH$12:HH272)+1,0)</x:f>
        <x:v>0</x:v>
      </x:c>
      <x:c r="HI273" t="n">
        <x:f>IF(AND('Calculations'!HN273&lt;&gt;"",COUNTIF('Calculations'!$HN$12:HN273,"="&amp;SUBSTITUTE(SUBSTITUTE(SUBSTITUTE('Calculations'!HN273,"~","~~"),"*","~*"),"?","~?"))=1),MAX('Calculations'!$HI$12:HI272)+1,0)</x:f>
        <x:v>0</x:v>
      </x:c>
      <x:c r="HJ273" t="str">
        <x:f>IF('Calculations'!HF273="","",IF(COUNTIF('Calculations'!$HE$13:$HE$512,"="&amp;SUBSTITUTE(SUBSTITUTE(SUBSTITUTE('Calculations'!HF273,"~","~~"),"*","~*"),"?","~?"))=1,INDEX('Calculations'!$HK$13:$HK$512,MATCH('Calculations'!HF273,'Calculations'!$HE$13:$HE$512,0)),IFERROR(IF(INDEX(INDIRECT("'WCM Calibration Final'!$E$1:$E$2000"),'Calculations'!$EM273)="","",TRIM(INDEX(INDIRECT("'WCM Calibration Final'!$E$1:$E$2000"),'Calculations'!$EM273)&amp;"")),"")&amp;" ["&amp;'Calculations'!HF273&amp;"]"))</x:f>
      </x:c>
      <x:c r="HK273" t="str">
        <x:f>IF('Calculations'!EM273="","",'Calculations'!HG273&amp;" ["&amp;'Calculations'!HE273&amp;"]")</x:f>
      </x:c>
      <x:c r="HL273" t="n">
        <x:f>IF('Calculations'!EM273="",0,IF(OR('Calculations'!II273&lt;&gt;"",COUNTIF('Calculations'!$HE$13:$HE$512,"="&amp;SUBSTITUTE(SUBSTITUTE(SUBSTITUTE('Calculations'!HE273,"~","~~"),"*","~*"),"?","~?"))&gt;1),1,0))</x:f>
        <x:v>0</x:v>
      </x:c>
      <x:c r="HM273" t="str">
        <x:f>IF('Calculations'!EM273="","",IF('Calculations'!HL273=1,"!UNRESOLVED",IF('Calculations'!IH273&lt;&gt;"",'Calculations'!IH273,IF('Calculations'!IG273&lt;&gt;"",'Calculations'!IG273,IF('Calculations'!IF273&lt;&gt;"",'Calculations'!IF273,IF('Calculations'!IE273&lt;&gt;"",'Calculations'!IE273,IF('Calculations'!ID273&lt;&gt;"",'Calculations'!ID273,IF('Calculations'!IC273&lt;&gt;"",'Calculations'!IC273,IF('Calculations'!IB273&lt;&gt;"",'Calculations'!IB273,IF('Calculations'!IA273&lt;&gt;"",'Calculations'!IA273,IF('Calculations'!HZ273&lt;&gt;"",'Calculations'!HZ273,IF('Calculations'!HY273&lt;&gt;"",'Calculations'!HY273,IF('Calculations'!HX273&lt;&gt;"",'Calculations'!HX273,IF('Calculations'!HW273&lt;&gt;"",'Calculations'!HW273,IF('Calculations'!HV273&lt;&gt;"",'Calculations'!HV273,IF('Calculations'!HU273&lt;&gt;"",'Calculations'!HU273,IF('Calculations'!HT273&lt;&gt;"",'Calculations'!HT273,IF('Calculations'!HS273&lt;&gt;"",'Calculations'!HS273,IF('Calculations'!HR273&lt;&gt;"",'Calculations'!HR273,IF('Calculations'!HQ273&lt;&gt;"",'Calculations'!HQ273,IF('Calculations'!HP273&lt;&gt;"",'Calculations'!HP273,IF('Calculations'!HO273&lt;&gt;"",'Calculations'!HO273,'Calculations'!HE273))))))))))))))))))))))</x:f>
      </x:c>
      <x:c r="HN273" t="str">
        <x:f>IF('Calculations'!EM273="","",IF(IFERROR(IF(INDEX(INDIRECT("'WCM Calibration Final'!$F$1:$F$2000"),'Calculations'!$EM273)="","",TRIM(INDEX(INDIRECT("'WCM Calibration Final'!$F$1:$F$2000"),'Calculations'!$EM273)&amp;"")),"")="","(Blank)",IFERROR(IF(INDEX(INDIRECT("'WCM Calibration Final'!$F$1:$F$2000"),'Calculations'!$EM273)="","",TRIM(INDEX(INDIRECT("'WCM Calibration Final'!$F$1:$F$2000"),'Calculations'!$EM273)&amp;"")),"")))</x:f>
      </x:c>
      <x:c r="HO273" t="str">
        <x:f>'Calculations'!HF273</x:f>
      </x:c>
      <x:c r="HP273" t="str">
        <x:f>IF('Calculations'!HO273="","",IF('Calculations'!HO273="!AMBIG","!AMBIG",IF(COUNTIF('Calculations'!$HE$13:$HE$512,"="&amp;SUBSTITUTE(SUBSTITUTE(SUBSTITUTE('Calculations'!HO273,"~","~~"),"*","~*"),"?","~?"))&gt;1,"!AMBIG",IFERROR(INDEX('Calculations'!$HF$13:$HF$512,MATCH('Calculations'!HO273,'Calculations'!$HE$13:$HE$512,0)),""))))</x:f>
      </x:c>
      <x:c r="HQ273" t="str">
        <x:f>IF('Calculations'!HP273="","",IF('Calculations'!HP273="!AMBIG","!AMBIG",IF(COUNTIF('Calculations'!$HE$13:$HE$512,"="&amp;SUBSTITUTE(SUBSTITUTE(SUBSTITUTE('Calculations'!HP273,"~","~~"),"*","~*"),"?","~?"))&gt;1,"!AMBIG",IFERROR(INDEX('Calculations'!$HF$13:$HF$512,MATCH('Calculations'!HP273,'Calculations'!$HE$13:$HE$512,0)),""))))</x:f>
      </x:c>
      <x:c r="HR273" t="str">
        <x:f>IF('Calculations'!HQ273="","",IF('Calculations'!HQ273="!AMBIG","!AMBIG",IF(COUNTIF('Calculations'!$HE$13:$HE$512,"="&amp;SUBSTITUTE(SUBSTITUTE(SUBSTITUTE('Calculations'!HQ273,"~","~~"),"*","~*"),"?","~?"))&gt;1,"!AMBIG",IFERROR(INDEX('Calculations'!$HF$13:$HF$512,MATCH('Calculations'!HQ273,'Calculations'!$HE$13:$HE$512,0)),""))))</x:f>
      </x:c>
      <x:c r="HS273" t="str">
        <x:f>IF('Calculations'!HR273="","",IF('Calculations'!HR273="!AMBIG","!AMBIG",IF(COUNTIF('Calculations'!$HE$13:$HE$512,"="&amp;SUBSTITUTE(SUBSTITUTE(SUBSTITUTE('Calculations'!HR273,"~","~~"),"*","~*"),"?","~?"))&gt;1,"!AMBIG",IFERROR(INDEX('Calculations'!$HF$13:$HF$512,MATCH('Calculations'!HR273,'Calculations'!$HE$13:$HE$512,0)),""))))</x:f>
      </x:c>
      <x:c r="HT273" t="str">
        <x:f>IF('Calculations'!HS273="","",IF('Calculations'!HS273="!AMBIG","!AMBIG",IF(COUNTIF('Calculations'!$HE$13:$HE$512,"="&amp;SUBSTITUTE(SUBSTITUTE(SUBSTITUTE('Calculations'!HS273,"~","~~"),"*","~*"),"?","~?"))&gt;1,"!AMBIG",IFERROR(INDEX('Calculations'!$HF$13:$HF$512,MATCH('Calculations'!HS273,'Calculations'!$HE$13:$HE$512,0)),""))))</x:f>
      </x:c>
      <x:c r="HU273" t="str">
        <x:f>IF('Calculations'!HT273="","",IF('Calculations'!HT273="!AMBIG","!AMBIG",IF(COUNTIF('Calculations'!$HE$13:$HE$512,"="&amp;SUBSTITUTE(SUBSTITUTE(SUBSTITUTE('Calculations'!HT273,"~","~~"),"*","~*"),"?","~?"))&gt;1,"!AMBIG",IFERROR(INDEX('Calculations'!$HF$13:$HF$512,MATCH('Calculations'!HT273,'Calculations'!$HE$13:$HE$512,0)),""))))</x:f>
      </x:c>
      <x:c r="HV273" t="str">
        <x:f>IF('Calculations'!HU273="","",IF('Calculations'!HU273="!AMBIG","!AMBIG",IF(COUNTIF('Calculations'!$HE$13:$HE$512,"="&amp;SUBSTITUTE(SUBSTITUTE(SUBSTITUTE('Calculations'!HU273,"~","~~"),"*","~*"),"?","~?"))&gt;1,"!AMBIG",IFERROR(INDEX('Calculations'!$HF$13:$HF$512,MATCH('Calculations'!HU273,'Calculations'!$HE$13:$HE$512,0)),""))))</x:f>
      </x:c>
      <x:c r="HW273" t="str">
        <x:f>IF('Calculations'!HV273="","",IF('Calculations'!HV273="!AMBIG","!AMBIG",IF(COUNTIF('Calculations'!$HE$13:$HE$512,"="&amp;SUBSTITUTE(SUBSTITUTE(SUBSTITUTE('Calculations'!HV273,"~","~~"),"*","~*"),"?","~?"))&gt;1,"!AMBIG",IFERROR(INDEX('Calculations'!$HF$13:$HF$512,MATCH('Calculations'!HV273,'Calculations'!$HE$13:$HE$512,0)),""))))</x:f>
      </x:c>
      <x:c r="HX273" t="str">
        <x:f>IF('Calculations'!HW273="","",IF('Calculations'!HW273="!AMBIG","!AMBIG",IF(COUNTIF('Calculations'!$HE$13:$HE$512,"="&amp;SUBSTITUTE(SUBSTITUTE(SUBSTITUTE('Calculations'!HW273,"~","~~"),"*","~*"),"?","~?"))&gt;1,"!AMBIG",IFERROR(INDEX('Calculations'!$HF$13:$HF$512,MATCH('Calculations'!HW273,'Calculations'!$HE$13:$HE$512,0)),""))))</x:f>
      </x:c>
      <x:c r="HY273" t="str">
        <x:f>IF('Calculations'!HX273="","",IF('Calculations'!HX273="!AMBIG","!AMBIG",IF(COUNTIF('Calculations'!$HE$13:$HE$512,"="&amp;SUBSTITUTE(SUBSTITUTE(SUBSTITUTE('Calculations'!HX273,"~","~~"),"*","~*"),"?","~?"))&gt;1,"!AMBIG",IFERROR(INDEX('Calculations'!$HF$13:$HF$512,MATCH('Calculations'!HX273,'Calculations'!$HE$13:$HE$512,0)),""))))</x:f>
      </x:c>
      <x:c r="HZ273" t="str">
        <x:f>IF('Calculations'!HY273="","",IF('Calculations'!HY273="!AMBIG","!AMBIG",IF(COUNTIF('Calculations'!$HE$13:$HE$512,"="&amp;SUBSTITUTE(SUBSTITUTE(SUBSTITUTE('Calculations'!HY273,"~","~~"),"*","~*"),"?","~?"))&gt;1,"!AMBIG",IFERROR(INDEX('Calculations'!$HF$13:$HF$512,MATCH('Calculations'!HY273,'Calculations'!$HE$13:$HE$512,0)),""))))</x:f>
      </x:c>
      <x:c r="IA273" t="str">
        <x:f>IF('Calculations'!HZ273="","",IF('Calculations'!HZ273="!AMBIG","!AMBIG",IF(COUNTIF('Calculations'!$HE$13:$HE$512,"="&amp;SUBSTITUTE(SUBSTITUTE(SUBSTITUTE('Calculations'!HZ273,"~","~~"),"*","~*"),"?","~?"))&gt;1,"!AMBIG",IFERROR(INDEX('Calculations'!$HF$13:$HF$512,MATCH('Calculations'!HZ273,'Calculations'!$HE$13:$HE$512,0)),""))))</x:f>
      </x:c>
      <x:c r="IB273" t="str">
        <x:f>IF('Calculations'!IA273="","",IF('Calculations'!IA273="!AMBIG","!AMBIG",IF(COUNTIF('Calculations'!$HE$13:$HE$512,"="&amp;SUBSTITUTE(SUBSTITUTE(SUBSTITUTE('Calculations'!IA273,"~","~~"),"*","~*"),"?","~?"))&gt;1,"!AMBIG",IFERROR(INDEX('Calculations'!$HF$13:$HF$512,MATCH('Calculations'!IA273,'Calculations'!$HE$13:$HE$512,0)),""))))</x:f>
      </x:c>
      <x:c r="IC273" t="str">
        <x:f>IF('Calculations'!IB273="","",IF('Calculations'!IB273="!AMBIG","!AMBIG",IF(COUNTIF('Calculations'!$HE$13:$HE$512,"="&amp;SUBSTITUTE(SUBSTITUTE(SUBSTITUTE('Calculations'!IB273,"~","~~"),"*","~*"),"?","~?"))&gt;1,"!AMBIG",IFERROR(INDEX('Calculations'!$HF$13:$HF$512,MATCH('Calculations'!IB273,'Calculations'!$HE$13:$HE$512,0)),""))))</x:f>
      </x:c>
      <x:c r="ID273" t="str">
        <x:f>IF('Calculations'!IC273="","",IF('Calculations'!IC273="!AMBIG","!AMBIG",IF(COUNTIF('Calculations'!$HE$13:$HE$512,"="&amp;SUBSTITUTE(SUBSTITUTE(SUBSTITUTE('Calculations'!IC273,"~","~~"),"*","~*"),"?","~?"))&gt;1,"!AMBIG",IFERROR(INDEX('Calculations'!$HF$13:$HF$512,MATCH('Calculations'!IC273,'Calculations'!$HE$13:$HE$512,0)),""))))</x:f>
      </x:c>
      <x:c r="IE273" t="str">
        <x:f>IF('Calculations'!ID273="","",IF('Calculations'!ID273="!AMBIG","!AMBIG",IF(COUNTIF('Calculations'!$HE$13:$HE$512,"="&amp;SUBSTITUTE(SUBSTITUTE(SUBSTITUTE('Calculations'!ID273,"~","~~"),"*","~*"),"?","~?"))&gt;1,"!AMBIG",IFERROR(INDEX('Calculations'!$HF$13:$HF$512,MATCH('Calculations'!ID273,'Calculations'!$HE$13:$HE$512,0)),""))))</x:f>
      </x:c>
      <x:c r="IF273" t="str">
        <x:f>IF('Calculations'!IE273="","",IF('Calculations'!IE273="!AMBIG","!AMBIG",IF(COUNTIF('Calculations'!$HE$13:$HE$512,"="&amp;SUBSTITUTE(SUBSTITUTE(SUBSTITUTE('Calculations'!IE273,"~","~~"),"*","~*"),"?","~?"))&gt;1,"!AMBIG",IFERROR(INDEX('Calculations'!$HF$13:$HF$512,MATCH('Calculations'!IE273,'Calculations'!$HE$13:$HE$512,0)),""))))</x:f>
      </x:c>
      <x:c r="IG273" t="str">
        <x:f>IF('Calculations'!IF273="","",IF('Calculations'!IF273="!AMBIG","!AMBIG",IF(COUNTIF('Calculations'!$HE$13:$HE$512,"="&amp;SUBSTITUTE(SUBSTITUTE(SUBSTITUTE('Calculations'!IF273,"~","~~"),"*","~*"),"?","~?"))&gt;1,"!AMBIG",IFERROR(INDEX('Calculations'!$HF$13:$HF$512,MATCH('Calculations'!IF273,'Calculations'!$HE$13:$HE$512,0)),""))))</x:f>
      </x:c>
      <x:c r="IH273" t="str">
        <x:f>IF('Calculations'!IG273="","",IF('Calculations'!IG273="!AMBIG","!AMBIG",IF(COUNTIF('Calculations'!$HE$13:$HE$512,"="&amp;SUBSTITUTE(SUBSTITUTE(SUBSTITUTE('Calculations'!IG273,"~","~~"),"*","~*"),"?","~?"))&gt;1,"!AMBIG",IFERROR(INDEX('Calculations'!$HF$13:$HF$512,MATCH('Calculations'!IG273,'Calculations'!$HE$13:$HE$512,0)),""))))</x:f>
      </x:c>
      <x:c r="II273" t="str">
        <x:f>IF('Calculations'!IH273="","",IF('Calculations'!IH273="!AMBIG","!AMBIG",IF(COUNTIF('Calculations'!$HE$13:$HE$512,"="&amp;SUBSTITUTE(SUBSTITUTE(SUBSTITUTE('Calculations'!IH273,"~","~~"),"*","~*"),"?","~?"))&gt;1,"!AMBIG",IFERROR(INDEX('Calculations'!$HF$13:$HF$512,MATCH('Calculations'!IH273,'Calculations'!$HE$13:$HE$512,0)),""))))</x:f>
      </x:c>
      <x:c r="IJ273" t="str">
        <x:f>IF('Calculations'!EM273="","",IF('Calculations'!$EF$2="All",'Calculations'!HM273,IF('Calculations'!HL273=1,"",IFERROR(IF(MATCH('Calculations'!$EF$2,'Calculations'!HO273:II273,0)=1,'Calculations'!HE273,INDEX('Calculations'!HO273:II273,1,MATCH('Calculations'!$EF$2,'Calculations'!HO273:II273,0)-1)),""))))</x:f>
      </x:c>
      <x:c r="IK273" t="n">
        <x:f>IF(AND('Calculations'!EM273&lt;&gt;"",'Calculations'!$EF$2&lt;&gt;"All",'Calculations'!HF273='Calculations'!$EF$2,'Calculations'!HL273=0,'Calculations'!JD273&gt;0),MAX('Calculations'!$IK$12:IK272)+1,0)</x:f>
        <x:v>0</x:v>
      </x:c>
      <x:c r="JA273" t="n">
        <x:f>IF(OR(IFERROR(INDIRECT("'WCM Calibration Final'!$A$273")&lt;&gt;"",FALSE),IFERROR(INDIRECT("'WCM Calibration Final'!$B$273")&lt;&gt;"",FALSE),IFERROR(INDIRECT("'WCM Calibration Final'!$C$273")&lt;&gt;"",FALSE)),273,0)</x:f>
        <x:v>0</x:v>
      </x:c>
      <x:c r="JB273" t="n">
        <x:f>'Calculations'!JB272+IF('Calculations'!JA273&gt;0,1,0)</x:f>
        <x:v>0</x:v>
      </x:c>
      <x:c r="JC273" t="n">
        <x:f>IF(OR('Calculations'!HF273="",'Calculations'!HF273="!AMBIG"),0,IF('Dashboard'!$B$7="All",1,COUNTIFS('Calculations'!$HO$13:$HO$512,"="&amp;SUBSTITUTE(SUBSTITUTE(SUBSTITUTE('Calculations'!HF273,"~","~~"),"*","~*"),"?","~?"),'Calculations'!$HN$13:$HN$512,"="&amp;SUBSTITUTE(SUBSTITUTE(SUBSTITUTE('Dashboard'!$B$7,"~","~~"),"*","~*"),"?","~?"))+COUNTIFS('Calculations'!$HP$13:$HP$512,"="&amp;SUBSTITUTE(SUBSTITUTE(SUBSTITUTE('Calculations'!HF273,"~","~~"),"*","~*"),"?","~?"),'Calculations'!$HN$13:$HN$512,"="&amp;SUBSTITUTE(SUBSTITUTE(SUBSTITUTE('Dashboard'!$B$7,"~","~~"),"*","~*"),"?","~?"))+COUNTIFS('Calculations'!$HQ$13:$HQ$512,"="&amp;SUBSTITUTE(SUBSTITUTE(SUBSTITUTE('Calculations'!HF273,"~","~~"),"*","~*"),"?","~?"),'Calculations'!$HN$13:$HN$512,"="&amp;SUBSTITUTE(SUBSTITUTE(SUBSTITUTE('Dashboard'!$B$7,"~","~~"),"*","~*"),"?","~?"))+COUNTIFS('Calculations'!$HR$13:$HR$512,"="&amp;SUBSTITUTE(SUBSTITUTE(SUBSTITUTE('Calculations'!HF273,"~","~~"),"*","~*"),"?","~?"),'Calculations'!$HN$13:$HN$512,"="&amp;SUBSTITUTE(SUBSTITUTE(SUBSTITUTE('Dashboard'!$B$7,"~","~~"),"*","~*"),"?","~?"))+COUNTIFS('Calculations'!$HS$13:$HS$512,"="&amp;SUBSTITUTE(SUBSTITUTE(SUBSTITUTE('Calculations'!HF273,"~","~~"),"*","~*"),"?","~?"),'Calculations'!$HN$13:$HN$512,"="&amp;SUBSTITUTE(SUBSTITUTE(SUBSTITUTE('Dashboard'!$B$7,"~","~~"),"*","~*"),"?","~?"))+COUNTIFS('Calculations'!$HT$13:$HT$512,"="&amp;SUBSTITUTE(SUBSTITUTE(SUBSTITUTE('Calculations'!HF273,"~","~~"),"*","~*"),"?","~?"),'Calculations'!$HN$13:$HN$512,"="&amp;SUBSTITUTE(SUBSTITUTE(SUBSTITUTE('Dashboard'!$B$7,"~","~~"),"*","~*"),"?","~?"))+COUNTIFS('Calculations'!$HU$13:$HU$512,"="&amp;SUBSTITUTE(SUBSTITUTE(SUBSTITUTE('Calculations'!HF273,"~","~~"),"*","~*"),"?","~?"),'Calculations'!$HN$13:$HN$512,"="&amp;SUBSTITUTE(SUBSTITUTE(SUBSTITUTE('Dashboard'!$B$7,"~","~~"),"*","~*"),"?","~?"))+COUNTIFS('Calculations'!$HV$13:$HV$512,"="&amp;SUBSTITUTE(SUBSTITUTE(SUBSTITUTE('Calculations'!HF273,"~","~~"),"*","~*"),"?","~?"),'Calculations'!$HN$13:$HN$512,"="&amp;SUBSTITUTE(SUBSTITUTE(SUBSTITUTE('Dashboard'!$B$7,"~","~~"),"*","~*"),"?","~?"))+COUNTIFS('Calculations'!$HW$13:$HW$512,"="&amp;SUBSTITUTE(SUBSTITUTE(SUBSTITUTE('Calculations'!HF273,"~","~~"),"*","~*"),"?","~?"),'Calculations'!$HN$13:$HN$512,"="&amp;SUBSTITUTE(SUBSTITUTE(SUBSTITUTE('Dashboard'!$B$7,"~","~~"),"*","~*"),"?","~?"))+COUNTIFS('Calculations'!$HX$13:$HX$512,"="&amp;SUBSTITUTE(SUBSTITUTE(SUBSTITUTE('Calculations'!HF273,"~","~~"),"*","~*"),"?","~?"),'Calculations'!$HN$13:$HN$512,"="&amp;SUBSTITUTE(SUBSTITUTE(SUBSTITUTE('Dashboard'!$B$7,"~","~~"),"*","~*"),"?","~?"))+COUNTIFS('Calculations'!$HY$13:$HY$512,"="&amp;SUBSTITUTE(SUBSTITUTE(SUBSTITUTE('Calculations'!HF273,"~","~~"),"*","~*"),"?","~?"),'Calculations'!$HN$13:$HN$512,"="&amp;SUBSTITUTE(SUBSTITUTE(SUBSTITUTE('Dashboard'!$B$7,"~","~~"),"*","~*"),"?","~?"))+COUNTIFS('Calculations'!$HZ$13:$HZ$512,"="&amp;SUBSTITUTE(SUBSTITUTE(SUBSTITUTE('Calculations'!HF273,"~","~~"),"*","~*"),"?","~?"),'Calculations'!$HN$13:$HN$512,"="&amp;SUBSTITUTE(SUBSTITUTE(SUBSTITUTE('Dashboard'!$B$7,"~","~~"),"*","~*"),"?","~?"))+COUNTIFS('Calculations'!$IA$13:$IA$512,"="&amp;SUBSTITUTE(SUBSTITUTE(SUBSTITUTE('Calculations'!HF273,"~","~~"),"*","~*"),"?","~?"),'Calculations'!$HN$13:$HN$512,"="&amp;SUBSTITUTE(SUBSTITUTE(SUBSTITUTE('Dashboard'!$B$7,"~","~~"),"*","~*"),"?","~?"))+COUNTIFS('Calculations'!$IB$13:$IB$512,"="&amp;SUBSTITUTE(SUBSTITUTE(SUBSTITUTE('Calculations'!HF273,"~","~~"),"*","~*"),"?","~?"),'Calculations'!$HN$13:$HN$512,"="&amp;SUBSTITUTE(SUBSTITUTE(SUBSTITUTE('Dashboard'!$B$7,"~","~~"),"*","~*"),"?","~?"))+COUNTIFS('Calculations'!$IC$13:$IC$512,"="&amp;SUBSTITUTE(SUBSTITUTE(SUBSTITUTE('Calculations'!HF273,"~","~~"),"*","~*"),"?","~?"),'Calculations'!$HN$13:$HN$512,"="&amp;SUBSTITUTE(SUBSTITUTE(SUBSTITUTE('Dashboard'!$B$7,"~","~~"),"*","~*"),"?","~?"))+COUNTIFS('Calculations'!$ID$13:$ID$512,"="&amp;SUBSTITUTE(SUBSTITUTE(SUBSTITUTE('Calculations'!HF273,"~","~~"),"*","~*"),"?","~?"),'Calculations'!$HN$13:$HN$512,"="&amp;SUBSTITUTE(SUBSTITUTE(SUBSTITUTE('Dashboard'!$B$7,"~","~~"),"*","~*"),"?","~?"))+COUNTIFS('Calculations'!$IE$13:$IE$512,"="&amp;SUBSTITUTE(SUBSTITUTE(SUBSTITUTE('Calculations'!HF273,"~","~~"),"*","~*"),"?","~?"),'Calculations'!$HN$13:$HN$512,"="&amp;SUBSTITUTE(SUBSTITUTE(SUBSTITUTE('Dashboard'!$B$7,"~","~~"),"*","~*"),"?","~?"))+COUNTIFS('Calculations'!$IF$13:$IF$512,"="&amp;SUBSTITUTE(SUBSTITUTE(SUBSTITUTE('Calculations'!HF273,"~","~~"),"*","~*"),"?","~?"),'Calculations'!$HN$13:$HN$512,"="&amp;SUBSTITUTE(SUBSTITUTE(SUBSTITUTE('Dashboard'!$B$7,"~","~~"),"*","~*"),"?","~?"))+COUNTIFS('Calculations'!$IG$13:$IG$512,"="&amp;SUBSTITUTE(SUBSTITUTE(SUBSTITUTE('Calculations'!HF273,"~","~~"),"*","~*"),"?","~?"),'Calculations'!$HN$13:$HN$512,"="&amp;SUBSTITUTE(SUBSTITUTE(SUBSTITUTE('Dashboard'!$B$7,"~","~~"),"*","~*"),"?","~?"))+COUNTIFS('Calculations'!$IH$13:$IH$512,"="&amp;SUBSTITUTE(SUBSTITUTE(SUBSTITUTE('Calculations'!HF273,"~","~~"),"*","~*"),"?","~?"),'Calculations'!$HN$13:$HN$512,"="&amp;SUBSTITUTE(SUBSTITUTE(SUBSTITUTE('Dashboard'!$B$7,"~","~~"),"*","~*"),"?","~?"))))</x:f>
        <x:v>0</x:v>
      </x:c>
      <x:c r="JD273" t="n">
        <x:f>IF('Calculations'!EM273="",0,IF('Dashboard'!$B$7="All",1,IF('Calculations'!HN273='Dashboard'!$B$7,1,0)+IFERROR(INDEX('Calculations'!$JC$13:$JC$512,MATCH('Calculations'!HE273,'Calculations'!$HF$13:$HF$512,0)),0)))</x:f>
        <x:v>0</x:v>
      </x:c>
      <x:c r="JE273" t="n">
        <x:f>IF(AND('Calculations'!EM273&lt;&gt;"",'Calculations'!$JJ$2&lt;&gt;"All",'Calculations'!$JJ$2&lt;&gt;"",'Calculations'!HF273='Calculations'!$JJ$2,'Calculations'!HL273=0,'Calculations'!JD273&gt;0),MAX('Calculations'!$JE$12:JE272)+1,0)</x:f>
        <x:v>0</x:v>
      </x:c>
      <x:c r="JF273" t="str">
        <x:f>IF('Calculations'!EM273="","",IFERROR(IF(INDEX(INDIRECT("'WCM Calibration Final'!$G$1:$G$2000"),'Calculations'!$EM273)="","",TRIM(INDEX(INDIRECT("'WCM Calibration Final'!$G$1:$G$2000"),'Calculations'!$EM273)&amp;"")),""))</x:f>
      </x:c>
      <x:c r="JQ273" t="n">
        <x:f>IF(OR('Calculations'!BM273=0,NOT('Calculations'!$AG$2),'Calculations'!$AG$8&gt;0),0,IF(OR('Dashboard'!$B$7="All",'Calculations'!HN273='Dashboard'!$B$7),IF('Calculations'!$JJ$2="All",1,IF(AND('Calculations'!HF273='Calculations'!$JJ$2,'Calculations'!HL273=0),1,0)),0))</x:f>
        <x:v>0</x:v>
      </x:c>
    </x:row>
    <x:row r="274">
      <x:c r="AF274" s="4" t="str">
        <x:f>IF('Calculations'!AH274=0,"","VP (n="&amp;'Calculations'!AH274&amp;")")</x:f>
      </x:c>
      <x:c r="AG274" s="4" t="n">
        <x:f>COUNTIFS('Calculations'!$BN$13:$BN$512,1,'Calculations'!$BV$13:$BV$512,'Calculations'!AT274)</x:f>
        <x:v>0</x:v>
      </x:c>
      <x:c r="AH274" s="4" t="n">
        <x:f>SUM('Calculations'!AJ274:AM274)</x:f>
        <x:v>0</x:v>
      </x:c>
      <x:c r="AI274" s="4" t="n">
        <x:f>'Calculations'!AG274-'Calculations'!AH274</x:f>
        <x:v>0</x:v>
      </x:c>
      <x:c r="AJ274" s="4" t="n">
        <x:f>COUNTIFS('Calculations'!$BN$13:$BN$512,1,'Calculations'!$BV$13:$BV$512,'Calculations'!AT274,'Calculations'!$BP$13:$BP$512,1)</x:f>
        <x:v>0</x:v>
      </x:c>
      <x:c r="AK274" s="4" t="n">
        <x:f>COUNTIFS('Calculations'!$BN$13:$BN$512,1,'Calculations'!$BV$13:$BV$512,'Calculations'!AT274,'Calculations'!$BP$13:$BP$512,2)</x:f>
        <x:v>0</x:v>
      </x:c>
      <x:c r="AL274" s="4" t="n">
        <x:f>COUNTIFS('Calculations'!$BN$13:$BN$512,1,'Calculations'!$BV$13:$BV$512,'Calculations'!AT274,'Calculations'!$BP$13:$BP$512,3)</x:f>
        <x:v>0</x:v>
      </x:c>
      <x:c r="AM274" s="4" t="n">
        <x:f>COUNTIFS('Calculations'!$BN$13:$BN$512,1,'Calculations'!$BV$13:$BV$512,'Calculations'!AT274,'Calculations'!$BP$13:$BP$512,4)</x:f>
        <x:v>0</x:v>
      </x:c>
      <x:c r="AN274" s="4"/>
      <x:c r="AO274" s="4" t="n">
        <x:f>IF('Calculations'!AH274=0,0,'Calculations'!AJ274/'Calculations'!AH274)</x:f>
        <x:v>0</x:v>
      </x:c>
      <x:c r="AP274" s="4" t="n">
        <x:f>IF('Calculations'!AH274=0,0,'Calculations'!AK274/'Calculations'!AH274)</x:f>
        <x:v>0</x:v>
      </x:c>
      <x:c r="AQ274" s="4" t="n">
        <x:f>IF('Calculations'!AH274=0,0,'Calculations'!AL274/'Calculations'!AH274)</x:f>
        <x:v>0</x:v>
      </x:c>
      <x:c r="AR274" s="4" t="n">
        <x:f>IF('Calculations'!AH274=0,0,'Calculations'!AM274/'Calculations'!AH274)</x:f>
        <x:v>0</x:v>
      </x:c>
      <x:c r="AS274" s="4"/>
      <x:c r="AT274" s="4" t="str">
        <x:v>VICE PRESIDENT</x:v>
      </x:c>
      <x:c r="AU274" s="4"/>
      <x:c r="AV274" s="4"/>
      <x:c r="AW274" s="4"/>
      <x:c r="AX274" s="4"/>
      <x:c r="AY274" s="4"/>
      <x:c r="AZ274" s="4"/>
      <x:c r="BA274" s="4"/>
      <x:c r="BB274" s="4"/>
      <x:c r="BC274" s="4"/>
      <x:c r="BD274" s="4"/>
      <x:c r="BE274" s="4"/>
      <x:c r="BF274" s="4"/>
      <x:c r="BG274" s="4"/>
      <x:c r="BH274" s="4"/>
      <x:c r="BI274" s="4"/>
      <x:c r="BJ274" s="4"/>
      <x:c r="BK274" s="4"/>
      <x:c r="BL274" s="4"/>
      <x:c r="BM274" s="4" t="n">
        <x:f>IF('Calculations'!$EM274="",0,IF(OR(IFERROR(INDEX(INDIRECT("'WCM Calibration Final'!$A$1:$A$2000"),'Calculations'!$EM274)&lt;&gt;"",FALSE),IFERROR(INDEX(INDIRECT("'WCM Calibration Final'!$B$1:$B$2000"),'Calculations'!$EM274)&lt;&gt;"",FALSE),IFERROR(INDEX(INDIRECT("'WCM Calibration Final'!$C$1:$C$2000"),'Calculations'!$EM274)&lt;&gt;"",FALSE)),1,0))</x:f>
        <x:v>0</x:v>
      </x:c>
      <x:c r="BN274" s="4" t="n">
        <x:f>IF(AND('Calculations'!BM274=1,'Calculations'!$AG$2,'Calculations'!$EN274=1),1,0)</x:f>
        <x:v>0</x:v>
      </x:c>
      <x:c r="BO274" s="4" t="str">
        <x:f>IF('Calculations'!BM274=0,"",IFERROR(IF(AND(VALUE(INDEX(INDIRECT("'WCM Calibration Final'!$K$1:$K$2000"),'Calculations'!$EM274))&gt;=1,VALUE(INDEX(INDIRECT("'WCM Calibration Final'!$K$1:$K$2000"),'Calculations'!$EM274))&lt;=4,MOD(VALUE(INDEX(INDIRECT("'WCM Calibration Final'!$K$1:$K$2000"),'Calculations'!$EM274)),1)=0),VALUE(INDEX(INDIRECT("'WCM Calibration Final'!$K$1:$K$2000"),'Calculations'!$EM274)),""),""))</x:f>
      </x:c>
      <x:c r="BP274" s="4" t="str">
        <x:f>IF('Calculations'!BM274=0,"",IFERROR(IF(AND(VALUE(INDEX(INDIRECT("'WCM Calibration Final'!$L$1:$L$2000"),'Calculations'!$EM274))&gt;=1,VALUE(INDEX(INDIRECT("'WCM Calibration Final'!$L$1:$L$2000"),'Calculations'!$EM274))&lt;=4,MOD(VALUE(INDEX(INDIRECT("'WCM Calibration Final'!$L$1:$L$2000"),'Calculations'!$EM274)),1)=0),VALUE(INDEX(INDIRECT("'WCM Calibration Final'!$L$1:$L$2000"),'Calculations'!$EM274)),""),""))</x:f>
      </x:c>
      <x:c r="BQ274" s="4"/>
      <x:c r="BR274" s="4"/>
      <x:c r="BS274" s="4"/>
      <x:c r="BT274" s="4" t="n">
        <x:f>IF(AND('Calculations'!BM274=1,ISNUMBER('Calculations'!BO274),ISNUMBER('Calculations'!BP274)),1,0)</x:f>
        <x:v>0</x:v>
      </x:c>
      <x:c r="BU274" s="4" t="str">
        <x:f>IF('Calculations'!BM274=0,"",'Calculations'!$EO274)</x:f>
      </x:c>
      <x:c r="BV274" s="4" t="str">
        <x:f>IF('Calculations'!BM274=0,"",IFERROR(IF(OR(INDEX(INDIRECT("'WCM Calibration Final'!$H$1:$H$2000"),'Calculations'!$EM274)="MANAGING DIRECTOR",INDEX(INDIRECT("'WCM Calibration Final'!$H$1:$H$2000"),'Calculations'!$EM274)="DIRECTOR",INDEX(INDIRECT("'WCM Calibration Final'!$H$1:$H$2000"),'Calculations'!$EM274)="SENIOR VICE PRESIDENT",INDEX(INDIRECT("'WCM Calibration Final'!$H$1:$H$2000"),'Calculations'!$EM274)="VICE PRESIDENT",INDEX(INDIRECT("'WCM Calibration Final'!$H$1:$H$2000"),'Calculations'!$EM274)="ASSISTANT VICE PRESIDENT",INDEX(INDIRECT("'WCM Calibration Final'!$H$1:$H$2000"),'Calculations'!$EM274)="OFFICER"),UPPER(INDEX(INDIRECT("'WCM Calibration Final'!$H$1:$H$2000"),'Calculations'!$EM274)),"Other"),"Other"))</x:f>
      </x:c>
      <x:c r="BW274" s="4"/>
      <x:c r="BX274" s="4"/>
      <x:c r="BY274" s="4" t="n">
        <x:f>IF(AND('Calculations'!BM274=1,'Calculations'!BU274&lt;&gt;"",COUNTIF('Calculations'!$BU$12:BU274,'Calculations'!BU274)=1),MAX('Calculations'!$BY$11:BY273)+1,0)</x:f>
        <x:v>0</x:v>
      </x:c>
      <x:c r="BZ274" s="4" t="str">
        <x:f>IF('Dashboard'!$E$67="What",'Calculations'!BO274,'Calculations'!BP274)</x:f>
      </x:c>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t="str">
        <x:f>IF(263&gt;MAX('Calculations'!$HI$13:$HI$512),"",INDEX('Calculations'!$HN$13:$HN$512,MATCH(263,'Calculations'!$HI$13:$HI$512,0)))</x:f>
      </x:c>
      <x:c r="DB274" s="4" t="str">
        <x:f>IF(263&gt;MAX('Calculations'!$HH$13:$HH$512),"",INDEX('Calculations'!$HJ$13:$HJ$512,MATCH(263,'Calculations'!$HH$13:$HH$512,0)))</x:f>
      </x:c>
      <x:c r="DC274" s="4" t="str">
        <x:f>IF(ROW()-11&gt;MAX('Calculations'!$BY$13:$BY$512),"",INDEX('Calculations'!$BU$13:$BU$512,MATCH(ROW()-11,'Calculations'!$BY$13:$BY$512,0)))</x:f>
      </x:c>
      <x:c r="DD274" s="4" t="str">
        <x:f>IF(263&gt;MAX('Calculations'!$IK$13:$IK$512),"",INDEX('Calculations'!$HK$13:$HK$512,MATCH(263,'Calculations'!$IK$13:$IK$512,0)))</x:f>
      </x:c>
      <x:c r="DE274" s="4" t="str">
        <x:f>'Calculations'!DC274</x:f>
      </x:c>
      <x:c r="DF274" s="4" t="str">
        <x:f>IF('Calculations'!DE274="","",COUNTIFS('Calculations'!$BN$13:$BN$512,1,'Calculations'!$BU$13:$BU$512,'Calculations'!DE274))</x:f>
      </x:c>
      <x:c r="DG274" s="4" t="str">
        <x:f>IF('Calculations'!DE274="","",COUNTIFS('Calculations'!$BN$13:$BN$512,1,'Calculations'!$BU$13:$BU$512,'Calculations'!DE274,'Calculations'!$BT$13:$BT$512,1))</x:f>
      </x:c>
      <x:c r="DH274" s="4" t="str">
        <x:f>IF('Calculations'!DE274="","",'Calculations'!DF274-'Calculations'!DG274)</x:f>
      </x:c>
      <x:c r="DI274" s="4" t="str">
        <x:f>IF(OR('Calculations'!DE274="",'Calculations'!DF274=0),"",'Calculations'!DG274/'Calculations'!DF274)</x:f>
      </x:c>
      <x:c r="DJ274" s="4" t="str">
        <x:f>IF('Calculations'!DE274="","",COUNTIFS('Calculations'!$BN$13:$BN$512,1,'Calculations'!$BU$13:$BU$512,'Calculations'!DE274,'Calculations'!$BT$13:$BT$512,1,'Calculations'!$EE$13:$EE$512,"High"))</x:f>
      </x:c>
      <x:c r="DK274" s="4" t="str">
        <x:f>IF('Calculations'!DE274="","",COUNTIFS('Calculations'!$BN$13:$BN$512,1,'Calculations'!$BU$13:$BU$512,'Calculations'!DE274,'Calculations'!$BT$13:$BT$512,1,'Calculations'!$EE$13:$EE$512,"Strong"))</x:f>
      </x:c>
      <x:c r="DL274" s="4" t="str">
        <x:f>IF('Calculations'!DE274="","",COUNTIFS('Calculations'!$BN$13:$BN$512,1,'Calculations'!$BU$13:$BU$512,'Calculations'!DE274,'Calculations'!$BT$13:$BT$512,1,'Calculations'!$EE$13:$EE$512,"Solid"))</x:f>
      </x:c>
      <x:c r="DM274" s="4" t="str">
        <x:f>IF('Calculations'!DE274="","",COUNTIFS('Calculations'!$BN$13:$BN$512,1,'Calculations'!$BU$13:$BU$512,'Calculations'!DE274,'Calculations'!$BT$13:$BT$512,1,'Calculations'!$EE$13:$EE$512,"Low"))</x:f>
      </x:c>
      <x:c r="DN274" s="4" t="str">
        <x:f>IF('Calculations'!DE274="","",COUNTIFS('Calculations'!$BN$13:$BN$512,1,'Calculations'!$BU$13:$BU$512,'Calculations'!DE274,'Calculations'!$EP$13:$EP$512,1))</x:f>
      </x:c>
      <x:c r="DO274" s="4" t="str">
        <x:f>IF(OR('Calculations'!DE274="",'Calculations'!DG274=0),"",('Calculations'!DJ274+'Calculations'!DK274)/'Calculations'!DG274)</x:f>
      </x:c>
      <x:c r="DP274" s="4" t="n">
        <x:f>IF(AND('Calculations'!DE274&lt;&gt;"",'Calculations'!DF274&gt;0),COUNTIF('Calculations'!$DF$12:DF274,"&gt;0"),0)</x:f>
        <x:v>0</x:v>
      </x:c>
      <x:c r="DQ274" s="4" t="str">
        <x:f>IF(263&gt;MAX('Calculations'!$HH$13:$HH$512),"",INDEX('Calculations'!$HF$13:$HF$512,MATCH(263,'Calculations'!$HH$13:$HH$512,0)))</x:f>
      </x:c>
      <x:c r="DR274" s="4" t="str">
        <x:f>IF(263&gt;MAX('Calculations'!$IK$13:$IK$512),"",INDEX('Calculations'!$HE$13:$HE$512,MATCH(263,'Calculations'!$IK$13:$IK$512,0)))</x:f>
      </x:c>
      <x:c r="DS274" s="4"/>
      <x:c r="DT274" s="4"/>
      <x:c r="DU274" s="4"/>
      <x:c r="DV274" s="4"/>
      <x:c r="DW274" s="4"/>
      <x:c r="DX274" s="4"/>
      <x:c r="DY274" s="4"/>
      <x:c r="DZ274" s="4"/>
      <x:c r="EA274" s="4"/>
      <x:c r="EB274" s="4"/>
      <x:c r="EC274" s="4"/>
      <x:c r="ED274" s="4"/>
      <x:c r="EE274" s="4" t="str">
        <x:f>IF('Calculations'!BT274=0,"Not Rated",IF(OR('Calculations'!BO274&gt;=4,'Calculations'!BP274&gt;=4),"Low",IF('Calculations'!BO274+'Calculations'!BP274&lt;=3,"High",IF('Calculations'!BO274+'Calculations'!BP274&lt;=4,"Strong","Solid"))))</x:f>
        <x:v>Not Rated</x:v>
      </x:c>
      <x:c r="EF274" s="4"/>
      <x:c r="EG274" s="4"/>
      <x:c r="EH274" s="4"/>
      <x:c r="EI274" s="4"/>
      <x:c r="EJ274" s="4"/>
      <x:c r="EK274" s="4"/>
      <x:c r="EL274" s="4"/>
      <x:c r="EM274" s="4" t="str">
        <x:f>IF(262&gt;'Calculations'!$JB$2000,"",INDEX('Calculations'!$JA$12:$JA$2000,MATCH(262,'Calculations'!$JB$12:$JB$2000,0)))</x:f>
      </x:c>
      <x:c r="EN274" s="4" t="n">
        <x:f>IF(OR('Calculations'!EM274="",'Calculations'!$AG$8&gt;0,AND('Calculations'!$EF$2&lt;&gt;"All",'Calculations'!HE274='Calculations'!$EF$2),AND('Calculations'!$EF$3&lt;&gt;"All",'Calculations'!HE274='Calculations'!$EF$3)),0,IF(OR('Dashboard'!$B$7="All",'Calculations'!HN274='Dashboard'!$B$7),IF('Calculations'!$EF$2="All",1,IF('Calculations'!HL274&gt;0,0,IF(COUNTIF('Calculations'!HO274:II274,"="&amp;SUBSTITUTE(SUBSTITUTE(SUBSTITUTE('Calculations'!$EF$2,"~","~~"),"*","~*"),"?","~?"))=0,0,IF('Calculations'!$EF$3="All",1,IF(COUNTIF('Calculations'!HO274:II274,"="&amp;SUBSTITUTE(SUBSTITUTE(SUBSTITUTE('Calculations'!$EF$3,"~","~~"),"*","~*"),"?","~?"))&gt;0,1,0))))),0))</x:f>
        <x:v>0</x:v>
      </x:c>
      <x:c r="EO274" s="4" t="str">
        <x:f>IF('Calculations'!IJ274="","",IF('Calculations'!IJ274="!UNRESOLVED","Unresolved hierarchy",IFERROR(INDEX('Calculations'!$HK$13:$HK$512,MATCH('Calculations'!IJ274,'Calculations'!$HE$13:$HE$512,0)),IFERROR(INDEX('Calculations'!$HJ$13:$HJ$512,MATCH('Calculations'!IJ274,'Calculations'!$HF$13:$HF$512,0)),'Calculations'!IJ274))))</x:f>
      </x:c>
      <x:c r="EP274" s="4" t="n">
        <x:f>IF(AND('Calculations'!EM274&lt;&gt;"",'Calculations'!HF274='Calculations'!IJ274),1,0)</x:f>
        <x:v>0</x:v>
      </x:c>
      <x:c r="EQ274" s="4"/>
      <x:c r="ER274" s="4"/>
      <x:c r="ES274" s="4"/>
      <x:c r="ET274" s="4"/>
      <x:c r="EU274" s="4"/>
      <x:c r="EV274" s="4"/>
      <x:c r="EW274" s="4"/>
      <x:c r="EX274" s="4"/>
      <x:c r="EY274" s="4"/>
      <x:c r="EZ274" s="4"/>
      <x:c r="FA274" s="4"/>
      <x:c r="FB274" s="4"/>
      <x:c r="FC274" s="4"/>
      <x:c r="FD274" s="4"/>
      <x:c r="FE274" s="4"/>
      <x:c r="FF274" s="4"/>
      <x:c r="FG274" s="4"/>
      <x:c r="FH274" s="4"/>
      <x:c r="FI274" s="4"/>
      <x:c r="FJ274" s="4"/>
      <x:c r="FK274" s="4"/>
      <x:c r="FL274" s="4"/>
      <x:c r="FM274" s="4"/>
      <x:c r="FN274" s="4"/>
      <x:c r="FO274" s="4"/>
      <x:c r="HE274" t="str">
        <x:f>IF('Calculations'!EM274="","",IF(IFERROR(IF(INDEX(INDIRECT("'WCM Calibration Final'!$A$1:$A$2000"),'Calculations'!$EM274)="","",TRIM(INDEX(INDIRECT("'WCM Calibration Final'!$A$1:$A$2000"),'Calculations'!$EM274)&amp;"")),"")&lt;&gt;"","G:"&amp;IFERROR(TEXT(1*INDEX(INDIRECT("'WCM Calibration Final'!$A$1:$A$2000"),'Calculations'!$EM274),"0"),UPPER(IFERROR(IF(INDEX(INDIRECT("'WCM Calibration Final'!$A$1:$A$2000"),'Calculations'!$EM274)="","",TRIM(INDEX(INDIRECT("'WCM Calibration Final'!$A$1:$A$2000"),'Calculations'!$EM274)&amp;"")),""))),IF(IFERROR(IF(INDEX(INDIRECT("'WCM Calibration Final'!$C$1:$C$2000"),'Calculations'!$EM274)="","",TRIM(INDEX(INDIRECT("'WCM Calibration Final'!$C$1:$C$2000"),'Calculations'!$EM274)&amp;"")),"")&lt;&gt;"","S:"&amp;UPPER(IFERROR(IF(INDEX(INDIRECT("'WCM Calibration Final'!$C$1:$C$2000"),'Calculations'!$EM274)="","",TRIM(INDEX(INDIRECT("'WCM Calibration Final'!$C$1:$C$2000"),'Calculations'!$EM274)&amp;"")),"")),"R:"&amp;'Calculations'!EM274)))</x:f>
      </x:c>
      <x:c r="HF274" t="str">
        <x:f>IF('Calculations'!EM274="","",IF(IFERROR(IF(INDEX(INDIRECT("'WCM Calibration Final'!$D$1:$D$2000"),'Calculations'!$EM274)="","",TRIM(INDEX(INDIRECT("'WCM Calibration Final'!$D$1:$D$2000"),'Calculations'!$EM274)&amp;"")),"")&lt;&gt;"","G:"&amp;IFERROR(TEXT(1*INDEX(INDIRECT("'WCM Calibration Final'!$D$1:$D$2000"),'Calculations'!$EM274),"0"),UPPER(IFERROR(IF(INDEX(INDIRECT("'WCM Calibration Final'!$D$1:$D$2000"),'Calculations'!$EM274)="","",TRIM(INDEX(INDIRECT("'WCM Calibration Final'!$D$1:$D$2000"),'Calculations'!$EM274)&amp;"")),""))),IF(IFERROR(IF(INDEX(INDIRECT("'WCM Calibration Final'!$E$1:$E$2000"),'Calculations'!$EM274)="","",TRIM(INDEX(INDIRECT("'WCM Calibration Final'!$E$1:$E$2000"),'Calculations'!$EM274)&amp;"")),"")="","",IF(COUNTIF('Calculations'!$HG$13:$HG$512,"="&amp;SUBSTITUTE(SUBSTITUTE(SUBSTITUTE(IFERROR(IF(INDEX(INDIRECT("'WCM Calibration Final'!$E$1:$E$2000"),'Calculations'!$EM274)="","",TRIM(INDEX(INDIRECT("'WCM Calibration Final'!$E$1:$E$2000"),'Calculations'!$EM274)&amp;"")),""),"~","~~"),"*","~*"),"?","~?"))=1,INDEX('Calculations'!$HE$13:$HE$512,MATCH(IFERROR(IF(INDEX(INDIRECT("'WCM Calibration Final'!$E$1:$E$2000"),'Calculations'!$EM274)="","",TRIM(INDEX(INDIRECT("'WCM Calibration Final'!$E$1:$E$2000"),'Calculations'!$EM274)&amp;"")),""),'Calculations'!$HG$13:$HG$512,0)),IF(COUNTIF('Calculations'!$HG$13:$HG$512,"="&amp;SUBSTITUTE(SUBSTITUTE(SUBSTITUTE(IFERROR(IF(INDEX(INDIRECT("'WCM Calibration Final'!$E$1:$E$2000"),'Calculations'!$EM274)="","",TRIM(INDEX(INDIRECT("'WCM Calibration Final'!$E$1:$E$2000"),'Calculations'!$EM274)&amp;"")),""),"~","~~"),"*","~*"),"?","~?"))&gt;1,"!AMBIG","X:"&amp;IFERROR(IF(INDEX(INDIRECT("'WCM Calibration Final'!$E$1:$E$2000"),'Calculations'!$EM274)="","",TRIM(INDEX(INDIRECT("'WCM Calibration Final'!$E$1:$E$2000"),'Calculations'!$EM274)&amp;"")),""))))))</x:f>
      </x:c>
      <x:c r="HG274" t="str">
        <x:f>IF('Calculations'!EM274="","",IFERROR(IF(INDEX(INDIRECT("'WCM Calibration Final'!$B$1:$B$2000"),'Calculations'!$EM274)="","",TRIM(INDEX(INDIRECT("'WCM Calibration Final'!$B$1:$B$2000"),'Calculations'!$EM274)&amp;"")),""))</x:f>
      </x:c>
      <x:c r="HH274" t="n">
        <x:f>IF(AND('Calculations'!JC274&gt;0,COUNTIF('Calculations'!$HF$12:HF274,"="&amp;SUBSTITUTE(SUBSTITUTE(SUBSTITUTE('Calculations'!HF274,"~","~~"),"*","~*"),"?","~?"))=1),MAX('Calculations'!$HH$12:HH273)+1,0)</x:f>
        <x:v>0</x:v>
      </x:c>
      <x:c r="HI274" t="n">
        <x:f>IF(AND('Calculations'!HN274&lt;&gt;"",COUNTIF('Calculations'!$HN$12:HN274,"="&amp;SUBSTITUTE(SUBSTITUTE(SUBSTITUTE('Calculations'!HN274,"~","~~"),"*","~*"),"?","~?"))=1),MAX('Calculations'!$HI$12:HI273)+1,0)</x:f>
        <x:v>0</x:v>
      </x:c>
      <x:c r="HJ274" t="str">
        <x:f>IF('Calculations'!HF274="","",IF(COUNTIF('Calculations'!$HE$13:$HE$512,"="&amp;SUBSTITUTE(SUBSTITUTE(SUBSTITUTE('Calculations'!HF274,"~","~~"),"*","~*"),"?","~?"))=1,INDEX('Calculations'!$HK$13:$HK$512,MATCH('Calculations'!HF274,'Calculations'!$HE$13:$HE$512,0)),IFERROR(IF(INDEX(INDIRECT("'WCM Calibration Final'!$E$1:$E$2000"),'Calculations'!$EM274)="","",TRIM(INDEX(INDIRECT("'WCM Calibration Final'!$E$1:$E$2000"),'Calculations'!$EM274)&amp;"")),"")&amp;" ["&amp;'Calculations'!HF274&amp;"]"))</x:f>
      </x:c>
      <x:c r="HK274" t="str">
        <x:f>IF('Calculations'!EM274="","",'Calculations'!HG274&amp;" ["&amp;'Calculations'!HE274&amp;"]")</x:f>
      </x:c>
      <x:c r="HL274" t="n">
        <x:f>IF('Calculations'!EM274="",0,IF(OR('Calculations'!II274&lt;&gt;"",COUNTIF('Calculations'!$HE$13:$HE$512,"="&amp;SUBSTITUTE(SUBSTITUTE(SUBSTITUTE('Calculations'!HE274,"~","~~"),"*","~*"),"?","~?"))&gt;1),1,0))</x:f>
        <x:v>0</x:v>
      </x:c>
      <x:c r="HM274" t="str">
        <x:f>IF('Calculations'!EM274="","",IF('Calculations'!HL274=1,"!UNRESOLVED",IF('Calculations'!IH274&lt;&gt;"",'Calculations'!IH274,IF('Calculations'!IG274&lt;&gt;"",'Calculations'!IG274,IF('Calculations'!IF274&lt;&gt;"",'Calculations'!IF274,IF('Calculations'!IE274&lt;&gt;"",'Calculations'!IE274,IF('Calculations'!ID274&lt;&gt;"",'Calculations'!ID274,IF('Calculations'!IC274&lt;&gt;"",'Calculations'!IC274,IF('Calculations'!IB274&lt;&gt;"",'Calculations'!IB274,IF('Calculations'!IA274&lt;&gt;"",'Calculations'!IA274,IF('Calculations'!HZ274&lt;&gt;"",'Calculations'!HZ274,IF('Calculations'!HY274&lt;&gt;"",'Calculations'!HY274,IF('Calculations'!HX274&lt;&gt;"",'Calculations'!HX274,IF('Calculations'!HW274&lt;&gt;"",'Calculations'!HW274,IF('Calculations'!HV274&lt;&gt;"",'Calculations'!HV274,IF('Calculations'!HU274&lt;&gt;"",'Calculations'!HU274,IF('Calculations'!HT274&lt;&gt;"",'Calculations'!HT274,IF('Calculations'!HS274&lt;&gt;"",'Calculations'!HS274,IF('Calculations'!HR274&lt;&gt;"",'Calculations'!HR274,IF('Calculations'!HQ274&lt;&gt;"",'Calculations'!HQ274,IF('Calculations'!HP274&lt;&gt;"",'Calculations'!HP274,IF('Calculations'!HO274&lt;&gt;"",'Calculations'!HO274,'Calculations'!HE274))))))))))))))))))))))</x:f>
      </x:c>
      <x:c r="HN274" t="str">
        <x:f>IF('Calculations'!EM274="","",IF(IFERROR(IF(INDEX(INDIRECT("'WCM Calibration Final'!$F$1:$F$2000"),'Calculations'!$EM274)="","",TRIM(INDEX(INDIRECT("'WCM Calibration Final'!$F$1:$F$2000"),'Calculations'!$EM274)&amp;"")),"")="","(Blank)",IFERROR(IF(INDEX(INDIRECT("'WCM Calibration Final'!$F$1:$F$2000"),'Calculations'!$EM274)="","",TRIM(INDEX(INDIRECT("'WCM Calibration Final'!$F$1:$F$2000"),'Calculations'!$EM274)&amp;"")),"")))</x:f>
      </x:c>
      <x:c r="HO274" t="str">
        <x:f>'Calculations'!HF274</x:f>
      </x:c>
      <x:c r="HP274" t="str">
        <x:f>IF('Calculations'!HO274="","",IF('Calculations'!HO274="!AMBIG","!AMBIG",IF(COUNTIF('Calculations'!$HE$13:$HE$512,"="&amp;SUBSTITUTE(SUBSTITUTE(SUBSTITUTE('Calculations'!HO274,"~","~~"),"*","~*"),"?","~?"))&gt;1,"!AMBIG",IFERROR(INDEX('Calculations'!$HF$13:$HF$512,MATCH('Calculations'!HO274,'Calculations'!$HE$13:$HE$512,0)),""))))</x:f>
      </x:c>
      <x:c r="HQ274" t="str">
        <x:f>IF('Calculations'!HP274="","",IF('Calculations'!HP274="!AMBIG","!AMBIG",IF(COUNTIF('Calculations'!$HE$13:$HE$512,"="&amp;SUBSTITUTE(SUBSTITUTE(SUBSTITUTE('Calculations'!HP274,"~","~~"),"*","~*"),"?","~?"))&gt;1,"!AMBIG",IFERROR(INDEX('Calculations'!$HF$13:$HF$512,MATCH('Calculations'!HP274,'Calculations'!$HE$13:$HE$512,0)),""))))</x:f>
      </x:c>
      <x:c r="HR274" t="str">
        <x:f>IF('Calculations'!HQ274="","",IF('Calculations'!HQ274="!AMBIG","!AMBIG",IF(COUNTIF('Calculations'!$HE$13:$HE$512,"="&amp;SUBSTITUTE(SUBSTITUTE(SUBSTITUTE('Calculations'!HQ274,"~","~~"),"*","~*"),"?","~?"))&gt;1,"!AMBIG",IFERROR(INDEX('Calculations'!$HF$13:$HF$512,MATCH('Calculations'!HQ274,'Calculations'!$HE$13:$HE$512,0)),""))))</x:f>
      </x:c>
      <x:c r="HS274" t="str">
        <x:f>IF('Calculations'!HR274="","",IF('Calculations'!HR274="!AMBIG","!AMBIG",IF(COUNTIF('Calculations'!$HE$13:$HE$512,"="&amp;SUBSTITUTE(SUBSTITUTE(SUBSTITUTE('Calculations'!HR274,"~","~~"),"*","~*"),"?","~?"))&gt;1,"!AMBIG",IFERROR(INDEX('Calculations'!$HF$13:$HF$512,MATCH('Calculations'!HR274,'Calculations'!$HE$13:$HE$512,0)),""))))</x:f>
      </x:c>
      <x:c r="HT274" t="str">
        <x:f>IF('Calculations'!HS274="","",IF('Calculations'!HS274="!AMBIG","!AMBIG",IF(COUNTIF('Calculations'!$HE$13:$HE$512,"="&amp;SUBSTITUTE(SUBSTITUTE(SUBSTITUTE('Calculations'!HS274,"~","~~"),"*","~*"),"?","~?"))&gt;1,"!AMBIG",IFERROR(INDEX('Calculations'!$HF$13:$HF$512,MATCH('Calculations'!HS274,'Calculations'!$HE$13:$HE$512,0)),""))))</x:f>
      </x:c>
      <x:c r="HU274" t="str">
        <x:f>IF('Calculations'!HT274="","",IF('Calculations'!HT274="!AMBIG","!AMBIG",IF(COUNTIF('Calculations'!$HE$13:$HE$512,"="&amp;SUBSTITUTE(SUBSTITUTE(SUBSTITUTE('Calculations'!HT274,"~","~~"),"*","~*"),"?","~?"))&gt;1,"!AMBIG",IFERROR(INDEX('Calculations'!$HF$13:$HF$512,MATCH('Calculations'!HT274,'Calculations'!$HE$13:$HE$512,0)),""))))</x:f>
      </x:c>
      <x:c r="HV274" t="str">
        <x:f>IF('Calculations'!HU274="","",IF('Calculations'!HU274="!AMBIG","!AMBIG",IF(COUNTIF('Calculations'!$HE$13:$HE$512,"="&amp;SUBSTITUTE(SUBSTITUTE(SUBSTITUTE('Calculations'!HU274,"~","~~"),"*","~*"),"?","~?"))&gt;1,"!AMBIG",IFERROR(INDEX('Calculations'!$HF$13:$HF$512,MATCH('Calculations'!HU274,'Calculations'!$HE$13:$HE$512,0)),""))))</x:f>
      </x:c>
      <x:c r="HW274" t="str">
        <x:f>IF('Calculations'!HV274="","",IF('Calculations'!HV274="!AMBIG","!AMBIG",IF(COUNTIF('Calculations'!$HE$13:$HE$512,"="&amp;SUBSTITUTE(SUBSTITUTE(SUBSTITUTE('Calculations'!HV274,"~","~~"),"*","~*"),"?","~?"))&gt;1,"!AMBIG",IFERROR(INDEX('Calculations'!$HF$13:$HF$512,MATCH('Calculations'!HV274,'Calculations'!$HE$13:$HE$512,0)),""))))</x:f>
      </x:c>
      <x:c r="HX274" t="str">
        <x:f>IF('Calculations'!HW274="","",IF('Calculations'!HW274="!AMBIG","!AMBIG",IF(COUNTIF('Calculations'!$HE$13:$HE$512,"="&amp;SUBSTITUTE(SUBSTITUTE(SUBSTITUTE('Calculations'!HW274,"~","~~"),"*","~*"),"?","~?"))&gt;1,"!AMBIG",IFERROR(INDEX('Calculations'!$HF$13:$HF$512,MATCH('Calculations'!HW274,'Calculations'!$HE$13:$HE$512,0)),""))))</x:f>
      </x:c>
      <x:c r="HY274" t="str">
        <x:f>IF('Calculations'!HX274="","",IF('Calculations'!HX274="!AMBIG","!AMBIG",IF(COUNTIF('Calculations'!$HE$13:$HE$512,"="&amp;SUBSTITUTE(SUBSTITUTE(SUBSTITUTE('Calculations'!HX274,"~","~~"),"*","~*"),"?","~?"))&gt;1,"!AMBIG",IFERROR(INDEX('Calculations'!$HF$13:$HF$512,MATCH('Calculations'!HX274,'Calculations'!$HE$13:$HE$512,0)),""))))</x:f>
      </x:c>
      <x:c r="HZ274" t="str">
        <x:f>IF('Calculations'!HY274="","",IF('Calculations'!HY274="!AMBIG","!AMBIG",IF(COUNTIF('Calculations'!$HE$13:$HE$512,"="&amp;SUBSTITUTE(SUBSTITUTE(SUBSTITUTE('Calculations'!HY274,"~","~~"),"*","~*"),"?","~?"))&gt;1,"!AMBIG",IFERROR(INDEX('Calculations'!$HF$13:$HF$512,MATCH('Calculations'!HY274,'Calculations'!$HE$13:$HE$512,0)),""))))</x:f>
      </x:c>
      <x:c r="IA274" t="str">
        <x:f>IF('Calculations'!HZ274="","",IF('Calculations'!HZ274="!AMBIG","!AMBIG",IF(COUNTIF('Calculations'!$HE$13:$HE$512,"="&amp;SUBSTITUTE(SUBSTITUTE(SUBSTITUTE('Calculations'!HZ274,"~","~~"),"*","~*"),"?","~?"))&gt;1,"!AMBIG",IFERROR(INDEX('Calculations'!$HF$13:$HF$512,MATCH('Calculations'!HZ274,'Calculations'!$HE$13:$HE$512,0)),""))))</x:f>
      </x:c>
      <x:c r="IB274" t="str">
        <x:f>IF('Calculations'!IA274="","",IF('Calculations'!IA274="!AMBIG","!AMBIG",IF(COUNTIF('Calculations'!$HE$13:$HE$512,"="&amp;SUBSTITUTE(SUBSTITUTE(SUBSTITUTE('Calculations'!IA274,"~","~~"),"*","~*"),"?","~?"))&gt;1,"!AMBIG",IFERROR(INDEX('Calculations'!$HF$13:$HF$512,MATCH('Calculations'!IA274,'Calculations'!$HE$13:$HE$512,0)),""))))</x:f>
      </x:c>
      <x:c r="IC274" t="str">
        <x:f>IF('Calculations'!IB274="","",IF('Calculations'!IB274="!AMBIG","!AMBIG",IF(COUNTIF('Calculations'!$HE$13:$HE$512,"="&amp;SUBSTITUTE(SUBSTITUTE(SUBSTITUTE('Calculations'!IB274,"~","~~"),"*","~*"),"?","~?"))&gt;1,"!AMBIG",IFERROR(INDEX('Calculations'!$HF$13:$HF$512,MATCH('Calculations'!IB274,'Calculations'!$HE$13:$HE$512,0)),""))))</x:f>
      </x:c>
      <x:c r="ID274" t="str">
        <x:f>IF('Calculations'!IC274="","",IF('Calculations'!IC274="!AMBIG","!AMBIG",IF(COUNTIF('Calculations'!$HE$13:$HE$512,"="&amp;SUBSTITUTE(SUBSTITUTE(SUBSTITUTE('Calculations'!IC274,"~","~~"),"*","~*"),"?","~?"))&gt;1,"!AMBIG",IFERROR(INDEX('Calculations'!$HF$13:$HF$512,MATCH('Calculations'!IC274,'Calculations'!$HE$13:$HE$512,0)),""))))</x:f>
      </x:c>
      <x:c r="IE274" t="str">
        <x:f>IF('Calculations'!ID274="","",IF('Calculations'!ID274="!AMBIG","!AMBIG",IF(COUNTIF('Calculations'!$HE$13:$HE$512,"="&amp;SUBSTITUTE(SUBSTITUTE(SUBSTITUTE('Calculations'!ID274,"~","~~"),"*","~*"),"?","~?"))&gt;1,"!AMBIG",IFERROR(INDEX('Calculations'!$HF$13:$HF$512,MATCH('Calculations'!ID274,'Calculations'!$HE$13:$HE$512,0)),""))))</x:f>
      </x:c>
      <x:c r="IF274" t="str">
        <x:f>IF('Calculations'!IE274="","",IF('Calculations'!IE274="!AMBIG","!AMBIG",IF(COUNTIF('Calculations'!$HE$13:$HE$512,"="&amp;SUBSTITUTE(SUBSTITUTE(SUBSTITUTE('Calculations'!IE274,"~","~~"),"*","~*"),"?","~?"))&gt;1,"!AMBIG",IFERROR(INDEX('Calculations'!$HF$13:$HF$512,MATCH('Calculations'!IE274,'Calculations'!$HE$13:$HE$512,0)),""))))</x:f>
      </x:c>
      <x:c r="IG274" t="str">
        <x:f>IF('Calculations'!IF274="","",IF('Calculations'!IF274="!AMBIG","!AMBIG",IF(COUNTIF('Calculations'!$HE$13:$HE$512,"="&amp;SUBSTITUTE(SUBSTITUTE(SUBSTITUTE('Calculations'!IF274,"~","~~"),"*","~*"),"?","~?"))&gt;1,"!AMBIG",IFERROR(INDEX('Calculations'!$HF$13:$HF$512,MATCH('Calculations'!IF274,'Calculations'!$HE$13:$HE$512,0)),""))))</x:f>
      </x:c>
      <x:c r="IH274" t="str">
        <x:f>IF('Calculations'!IG274="","",IF('Calculations'!IG274="!AMBIG","!AMBIG",IF(COUNTIF('Calculations'!$HE$13:$HE$512,"="&amp;SUBSTITUTE(SUBSTITUTE(SUBSTITUTE('Calculations'!IG274,"~","~~"),"*","~*"),"?","~?"))&gt;1,"!AMBIG",IFERROR(INDEX('Calculations'!$HF$13:$HF$512,MATCH('Calculations'!IG274,'Calculations'!$HE$13:$HE$512,0)),""))))</x:f>
      </x:c>
      <x:c r="II274" t="str">
        <x:f>IF('Calculations'!IH274="","",IF('Calculations'!IH274="!AMBIG","!AMBIG",IF(COUNTIF('Calculations'!$HE$13:$HE$512,"="&amp;SUBSTITUTE(SUBSTITUTE(SUBSTITUTE('Calculations'!IH274,"~","~~"),"*","~*"),"?","~?"))&gt;1,"!AMBIG",IFERROR(INDEX('Calculations'!$HF$13:$HF$512,MATCH('Calculations'!IH274,'Calculations'!$HE$13:$HE$512,0)),""))))</x:f>
      </x:c>
      <x:c r="IJ274" t="str">
        <x:f>IF('Calculations'!EM274="","",IF('Calculations'!$EF$2="All",'Calculations'!HM274,IF('Calculations'!HL274=1,"",IFERROR(IF(MATCH('Calculations'!$EF$2,'Calculations'!HO274:II274,0)=1,'Calculations'!HE274,INDEX('Calculations'!HO274:II274,1,MATCH('Calculations'!$EF$2,'Calculations'!HO274:II274,0)-1)),""))))</x:f>
      </x:c>
      <x:c r="IK274" t="n">
        <x:f>IF(AND('Calculations'!EM274&lt;&gt;"",'Calculations'!$EF$2&lt;&gt;"All",'Calculations'!HF274='Calculations'!$EF$2,'Calculations'!HL274=0,'Calculations'!JD274&gt;0),MAX('Calculations'!$IK$12:IK273)+1,0)</x:f>
        <x:v>0</x:v>
      </x:c>
      <x:c r="JA274" t="n">
        <x:f>IF(OR(IFERROR(INDIRECT("'WCM Calibration Final'!$A$274")&lt;&gt;"",FALSE),IFERROR(INDIRECT("'WCM Calibration Final'!$B$274")&lt;&gt;"",FALSE),IFERROR(INDIRECT("'WCM Calibration Final'!$C$274")&lt;&gt;"",FALSE)),274,0)</x:f>
        <x:v>0</x:v>
      </x:c>
      <x:c r="JB274" t="n">
        <x:f>'Calculations'!JB273+IF('Calculations'!JA274&gt;0,1,0)</x:f>
        <x:v>0</x:v>
      </x:c>
      <x:c r="JC274" t="n">
        <x:f>IF(OR('Calculations'!HF274="",'Calculations'!HF274="!AMBIG"),0,IF('Dashboard'!$B$7="All",1,COUNTIFS('Calculations'!$HO$13:$HO$512,"="&amp;SUBSTITUTE(SUBSTITUTE(SUBSTITUTE('Calculations'!HF274,"~","~~"),"*","~*"),"?","~?"),'Calculations'!$HN$13:$HN$512,"="&amp;SUBSTITUTE(SUBSTITUTE(SUBSTITUTE('Dashboard'!$B$7,"~","~~"),"*","~*"),"?","~?"))+COUNTIFS('Calculations'!$HP$13:$HP$512,"="&amp;SUBSTITUTE(SUBSTITUTE(SUBSTITUTE('Calculations'!HF274,"~","~~"),"*","~*"),"?","~?"),'Calculations'!$HN$13:$HN$512,"="&amp;SUBSTITUTE(SUBSTITUTE(SUBSTITUTE('Dashboard'!$B$7,"~","~~"),"*","~*"),"?","~?"))+COUNTIFS('Calculations'!$HQ$13:$HQ$512,"="&amp;SUBSTITUTE(SUBSTITUTE(SUBSTITUTE('Calculations'!HF274,"~","~~"),"*","~*"),"?","~?"),'Calculations'!$HN$13:$HN$512,"="&amp;SUBSTITUTE(SUBSTITUTE(SUBSTITUTE('Dashboard'!$B$7,"~","~~"),"*","~*"),"?","~?"))+COUNTIFS('Calculations'!$HR$13:$HR$512,"="&amp;SUBSTITUTE(SUBSTITUTE(SUBSTITUTE('Calculations'!HF274,"~","~~"),"*","~*"),"?","~?"),'Calculations'!$HN$13:$HN$512,"="&amp;SUBSTITUTE(SUBSTITUTE(SUBSTITUTE('Dashboard'!$B$7,"~","~~"),"*","~*"),"?","~?"))+COUNTIFS('Calculations'!$HS$13:$HS$512,"="&amp;SUBSTITUTE(SUBSTITUTE(SUBSTITUTE('Calculations'!HF274,"~","~~"),"*","~*"),"?","~?"),'Calculations'!$HN$13:$HN$512,"="&amp;SUBSTITUTE(SUBSTITUTE(SUBSTITUTE('Dashboard'!$B$7,"~","~~"),"*","~*"),"?","~?"))+COUNTIFS('Calculations'!$HT$13:$HT$512,"="&amp;SUBSTITUTE(SUBSTITUTE(SUBSTITUTE('Calculations'!HF274,"~","~~"),"*","~*"),"?","~?"),'Calculations'!$HN$13:$HN$512,"="&amp;SUBSTITUTE(SUBSTITUTE(SUBSTITUTE('Dashboard'!$B$7,"~","~~"),"*","~*"),"?","~?"))+COUNTIFS('Calculations'!$HU$13:$HU$512,"="&amp;SUBSTITUTE(SUBSTITUTE(SUBSTITUTE('Calculations'!HF274,"~","~~"),"*","~*"),"?","~?"),'Calculations'!$HN$13:$HN$512,"="&amp;SUBSTITUTE(SUBSTITUTE(SUBSTITUTE('Dashboard'!$B$7,"~","~~"),"*","~*"),"?","~?"))+COUNTIFS('Calculations'!$HV$13:$HV$512,"="&amp;SUBSTITUTE(SUBSTITUTE(SUBSTITUTE('Calculations'!HF274,"~","~~"),"*","~*"),"?","~?"),'Calculations'!$HN$13:$HN$512,"="&amp;SUBSTITUTE(SUBSTITUTE(SUBSTITUTE('Dashboard'!$B$7,"~","~~"),"*","~*"),"?","~?"))+COUNTIFS('Calculations'!$HW$13:$HW$512,"="&amp;SUBSTITUTE(SUBSTITUTE(SUBSTITUTE('Calculations'!HF274,"~","~~"),"*","~*"),"?","~?"),'Calculations'!$HN$13:$HN$512,"="&amp;SUBSTITUTE(SUBSTITUTE(SUBSTITUTE('Dashboard'!$B$7,"~","~~"),"*","~*"),"?","~?"))+COUNTIFS('Calculations'!$HX$13:$HX$512,"="&amp;SUBSTITUTE(SUBSTITUTE(SUBSTITUTE('Calculations'!HF274,"~","~~"),"*","~*"),"?","~?"),'Calculations'!$HN$13:$HN$512,"="&amp;SUBSTITUTE(SUBSTITUTE(SUBSTITUTE('Dashboard'!$B$7,"~","~~"),"*","~*"),"?","~?"))+COUNTIFS('Calculations'!$HY$13:$HY$512,"="&amp;SUBSTITUTE(SUBSTITUTE(SUBSTITUTE('Calculations'!HF274,"~","~~"),"*","~*"),"?","~?"),'Calculations'!$HN$13:$HN$512,"="&amp;SUBSTITUTE(SUBSTITUTE(SUBSTITUTE('Dashboard'!$B$7,"~","~~"),"*","~*"),"?","~?"))+COUNTIFS('Calculations'!$HZ$13:$HZ$512,"="&amp;SUBSTITUTE(SUBSTITUTE(SUBSTITUTE('Calculations'!HF274,"~","~~"),"*","~*"),"?","~?"),'Calculations'!$HN$13:$HN$512,"="&amp;SUBSTITUTE(SUBSTITUTE(SUBSTITUTE('Dashboard'!$B$7,"~","~~"),"*","~*"),"?","~?"))+COUNTIFS('Calculations'!$IA$13:$IA$512,"="&amp;SUBSTITUTE(SUBSTITUTE(SUBSTITUTE('Calculations'!HF274,"~","~~"),"*","~*"),"?","~?"),'Calculations'!$HN$13:$HN$512,"="&amp;SUBSTITUTE(SUBSTITUTE(SUBSTITUTE('Dashboard'!$B$7,"~","~~"),"*","~*"),"?","~?"))+COUNTIFS('Calculations'!$IB$13:$IB$512,"="&amp;SUBSTITUTE(SUBSTITUTE(SUBSTITUTE('Calculations'!HF274,"~","~~"),"*","~*"),"?","~?"),'Calculations'!$HN$13:$HN$512,"="&amp;SUBSTITUTE(SUBSTITUTE(SUBSTITUTE('Dashboard'!$B$7,"~","~~"),"*","~*"),"?","~?"))+COUNTIFS('Calculations'!$IC$13:$IC$512,"="&amp;SUBSTITUTE(SUBSTITUTE(SUBSTITUTE('Calculations'!HF274,"~","~~"),"*","~*"),"?","~?"),'Calculations'!$HN$13:$HN$512,"="&amp;SUBSTITUTE(SUBSTITUTE(SUBSTITUTE('Dashboard'!$B$7,"~","~~"),"*","~*"),"?","~?"))+COUNTIFS('Calculations'!$ID$13:$ID$512,"="&amp;SUBSTITUTE(SUBSTITUTE(SUBSTITUTE('Calculations'!HF274,"~","~~"),"*","~*"),"?","~?"),'Calculations'!$HN$13:$HN$512,"="&amp;SUBSTITUTE(SUBSTITUTE(SUBSTITUTE('Dashboard'!$B$7,"~","~~"),"*","~*"),"?","~?"))+COUNTIFS('Calculations'!$IE$13:$IE$512,"="&amp;SUBSTITUTE(SUBSTITUTE(SUBSTITUTE('Calculations'!HF274,"~","~~"),"*","~*"),"?","~?"),'Calculations'!$HN$13:$HN$512,"="&amp;SUBSTITUTE(SUBSTITUTE(SUBSTITUTE('Dashboard'!$B$7,"~","~~"),"*","~*"),"?","~?"))+COUNTIFS('Calculations'!$IF$13:$IF$512,"="&amp;SUBSTITUTE(SUBSTITUTE(SUBSTITUTE('Calculations'!HF274,"~","~~"),"*","~*"),"?","~?"),'Calculations'!$HN$13:$HN$512,"="&amp;SUBSTITUTE(SUBSTITUTE(SUBSTITUTE('Dashboard'!$B$7,"~","~~"),"*","~*"),"?","~?"))+COUNTIFS('Calculations'!$IG$13:$IG$512,"="&amp;SUBSTITUTE(SUBSTITUTE(SUBSTITUTE('Calculations'!HF274,"~","~~"),"*","~*"),"?","~?"),'Calculations'!$HN$13:$HN$512,"="&amp;SUBSTITUTE(SUBSTITUTE(SUBSTITUTE('Dashboard'!$B$7,"~","~~"),"*","~*"),"?","~?"))+COUNTIFS('Calculations'!$IH$13:$IH$512,"="&amp;SUBSTITUTE(SUBSTITUTE(SUBSTITUTE('Calculations'!HF274,"~","~~"),"*","~*"),"?","~?"),'Calculations'!$HN$13:$HN$512,"="&amp;SUBSTITUTE(SUBSTITUTE(SUBSTITUTE('Dashboard'!$B$7,"~","~~"),"*","~*"),"?","~?"))))</x:f>
        <x:v>0</x:v>
      </x:c>
      <x:c r="JD274" t="n">
        <x:f>IF('Calculations'!EM274="",0,IF('Dashboard'!$B$7="All",1,IF('Calculations'!HN274='Dashboard'!$B$7,1,0)+IFERROR(INDEX('Calculations'!$JC$13:$JC$512,MATCH('Calculations'!HE274,'Calculations'!$HF$13:$HF$512,0)),0)))</x:f>
        <x:v>0</x:v>
      </x:c>
      <x:c r="JE274" t="n">
        <x:f>IF(AND('Calculations'!EM274&lt;&gt;"",'Calculations'!$JJ$2&lt;&gt;"All",'Calculations'!$JJ$2&lt;&gt;"",'Calculations'!HF274='Calculations'!$JJ$2,'Calculations'!HL274=0,'Calculations'!JD274&gt;0),MAX('Calculations'!$JE$12:JE273)+1,0)</x:f>
        <x:v>0</x:v>
      </x:c>
      <x:c r="JF274" t="str">
        <x:f>IF('Calculations'!EM274="","",IFERROR(IF(INDEX(INDIRECT("'WCM Calibration Final'!$G$1:$G$2000"),'Calculations'!$EM274)="","",TRIM(INDEX(INDIRECT("'WCM Calibration Final'!$G$1:$G$2000"),'Calculations'!$EM274)&amp;"")),""))</x:f>
      </x:c>
      <x:c r="JQ274" t="n">
        <x:f>IF(OR('Calculations'!BM274=0,NOT('Calculations'!$AG$2),'Calculations'!$AG$8&gt;0),0,IF(OR('Dashboard'!$B$7="All",'Calculations'!HN274='Dashboard'!$B$7),IF('Calculations'!$JJ$2="All",1,IF(AND('Calculations'!HF274='Calculations'!$JJ$2,'Calculations'!HL274=0),1,0)),0))</x:f>
        <x:v>0</x:v>
      </x:c>
    </x:row>
    <x:row r="275">
      <x:c r="AF275" s="4" t="str">
        <x:f>IF('Calculations'!AH275=0,"","AVP (n="&amp;'Calculations'!AH275&amp;")")</x:f>
      </x:c>
      <x:c r="AG275" s="4" t="n">
        <x:f>COUNTIFS('Calculations'!$BN$13:$BN$512,1,'Calculations'!$BV$13:$BV$512,'Calculations'!AT275)</x:f>
        <x:v>0</x:v>
      </x:c>
      <x:c r="AH275" s="4" t="n">
        <x:f>SUM('Calculations'!AJ275:AM275)</x:f>
        <x:v>0</x:v>
      </x:c>
      <x:c r="AI275" s="4" t="n">
        <x:f>'Calculations'!AG275-'Calculations'!AH275</x:f>
        <x:v>0</x:v>
      </x:c>
      <x:c r="AJ275" s="4" t="n">
        <x:f>COUNTIFS('Calculations'!$BN$13:$BN$512,1,'Calculations'!$BV$13:$BV$512,'Calculations'!AT275,'Calculations'!$BP$13:$BP$512,1)</x:f>
        <x:v>0</x:v>
      </x:c>
      <x:c r="AK275" s="4" t="n">
        <x:f>COUNTIFS('Calculations'!$BN$13:$BN$512,1,'Calculations'!$BV$13:$BV$512,'Calculations'!AT275,'Calculations'!$BP$13:$BP$512,2)</x:f>
        <x:v>0</x:v>
      </x:c>
      <x:c r="AL275" s="4" t="n">
        <x:f>COUNTIFS('Calculations'!$BN$13:$BN$512,1,'Calculations'!$BV$13:$BV$512,'Calculations'!AT275,'Calculations'!$BP$13:$BP$512,3)</x:f>
        <x:v>0</x:v>
      </x:c>
      <x:c r="AM275" s="4" t="n">
        <x:f>COUNTIFS('Calculations'!$BN$13:$BN$512,1,'Calculations'!$BV$13:$BV$512,'Calculations'!AT275,'Calculations'!$BP$13:$BP$512,4)</x:f>
        <x:v>0</x:v>
      </x:c>
      <x:c r="AN275" s="4"/>
      <x:c r="AO275" s="4" t="n">
        <x:f>IF('Calculations'!AH275=0,0,'Calculations'!AJ275/'Calculations'!AH275)</x:f>
        <x:v>0</x:v>
      </x:c>
      <x:c r="AP275" s="4" t="n">
        <x:f>IF('Calculations'!AH275=0,0,'Calculations'!AK275/'Calculations'!AH275)</x:f>
        <x:v>0</x:v>
      </x:c>
      <x:c r="AQ275" s="4" t="n">
        <x:f>IF('Calculations'!AH275=0,0,'Calculations'!AL275/'Calculations'!AH275)</x:f>
        <x:v>0</x:v>
      </x:c>
      <x:c r="AR275" s="4" t="n">
        <x:f>IF('Calculations'!AH275=0,0,'Calculations'!AM275/'Calculations'!AH275)</x:f>
        <x:v>0</x:v>
      </x:c>
      <x:c r="AS275" s="4"/>
      <x:c r="AT275" s="4" t="str">
        <x:v>ASSISTANT VICE PRESIDENT</x:v>
      </x:c>
      <x:c r="AU275" s="4"/>
      <x:c r="AV275" s="4"/>
      <x:c r="AW275" s="4"/>
      <x:c r="AX275" s="4"/>
      <x:c r="AY275" s="4"/>
      <x:c r="AZ275" s="4"/>
      <x:c r="BA275" s="4"/>
      <x:c r="BB275" s="4"/>
      <x:c r="BC275" s="4"/>
      <x:c r="BD275" s="4"/>
      <x:c r="BE275" s="4"/>
      <x:c r="BF275" s="4"/>
      <x:c r="BG275" s="4"/>
      <x:c r="BH275" s="4"/>
      <x:c r="BI275" s="4"/>
      <x:c r="BJ275" s="4"/>
      <x:c r="BK275" s="4"/>
      <x:c r="BL275" s="4"/>
      <x:c r="BM275" s="4" t="n">
        <x:f>IF('Calculations'!$EM275="",0,IF(OR(IFERROR(INDEX(INDIRECT("'WCM Calibration Final'!$A$1:$A$2000"),'Calculations'!$EM275)&lt;&gt;"",FALSE),IFERROR(INDEX(INDIRECT("'WCM Calibration Final'!$B$1:$B$2000"),'Calculations'!$EM275)&lt;&gt;"",FALSE),IFERROR(INDEX(INDIRECT("'WCM Calibration Final'!$C$1:$C$2000"),'Calculations'!$EM275)&lt;&gt;"",FALSE)),1,0))</x:f>
        <x:v>0</x:v>
      </x:c>
      <x:c r="BN275" s="4" t="n">
        <x:f>IF(AND('Calculations'!BM275=1,'Calculations'!$AG$2,'Calculations'!$EN275=1),1,0)</x:f>
        <x:v>0</x:v>
      </x:c>
      <x:c r="BO275" s="4" t="str">
        <x:f>IF('Calculations'!BM275=0,"",IFERROR(IF(AND(VALUE(INDEX(INDIRECT("'WCM Calibration Final'!$K$1:$K$2000"),'Calculations'!$EM275))&gt;=1,VALUE(INDEX(INDIRECT("'WCM Calibration Final'!$K$1:$K$2000"),'Calculations'!$EM275))&lt;=4,MOD(VALUE(INDEX(INDIRECT("'WCM Calibration Final'!$K$1:$K$2000"),'Calculations'!$EM275)),1)=0),VALUE(INDEX(INDIRECT("'WCM Calibration Final'!$K$1:$K$2000"),'Calculations'!$EM275)),""),""))</x:f>
      </x:c>
      <x:c r="BP275" s="4" t="str">
        <x:f>IF('Calculations'!BM275=0,"",IFERROR(IF(AND(VALUE(INDEX(INDIRECT("'WCM Calibration Final'!$L$1:$L$2000"),'Calculations'!$EM275))&gt;=1,VALUE(INDEX(INDIRECT("'WCM Calibration Final'!$L$1:$L$2000"),'Calculations'!$EM275))&lt;=4,MOD(VALUE(INDEX(INDIRECT("'WCM Calibration Final'!$L$1:$L$2000"),'Calculations'!$EM275)),1)=0),VALUE(INDEX(INDIRECT("'WCM Calibration Final'!$L$1:$L$2000"),'Calculations'!$EM275)),""),""))</x:f>
      </x:c>
      <x:c r="BQ275" s="4"/>
      <x:c r="BR275" s="4"/>
      <x:c r="BS275" s="4"/>
      <x:c r="BT275" s="4" t="n">
        <x:f>IF(AND('Calculations'!BM275=1,ISNUMBER('Calculations'!BO275),ISNUMBER('Calculations'!BP275)),1,0)</x:f>
        <x:v>0</x:v>
      </x:c>
      <x:c r="BU275" s="4" t="str">
        <x:f>IF('Calculations'!BM275=0,"",'Calculations'!$EO275)</x:f>
      </x:c>
      <x:c r="BV275" s="4" t="str">
        <x:f>IF('Calculations'!BM275=0,"",IFERROR(IF(OR(INDEX(INDIRECT("'WCM Calibration Final'!$H$1:$H$2000"),'Calculations'!$EM275)="MANAGING DIRECTOR",INDEX(INDIRECT("'WCM Calibration Final'!$H$1:$H$2000"),'Calculations'!$EM275)="DIRECTOR",INDEX(INDIRECT("'WCM Calibration Final'!$H$1:$H$2000"),'Calculations'!$EM275)="SENIOR VICE PRESIDENT",INDEX(INDIRECT("'WCM Calibration Final'!$H$1:$H$2000"),'Calculations'!$EM275)="VICE PRESIDENT",INDEX(INDIRECT("'WCM Calibration Final'!$H$1:$H$2000"),'Calculations'!$EM275)="ASSISTANT VICE PRESIDENT",INDEX(INDIRECT("'WCM Calibration Final'!$H$1:$H$2000"),'Calculations'!$EM275)="OFFICER"),UPPER(INDEX(INDIRECT("'WCM Calibration Final'!$H$1:$H$2000"),'Calculations'!$EM275)),"Other"),"Other"))</x:f>
      </x:c>
      <x:c r="BW275" s="4"/>
      <x:c r="BX275" s="4"/>
      <x:c r="BY275" s="4" t="n">
        <x:f>IF(AND('Calculations'!BM275=1,'Calculations'!BU275&lt;&gt;"",COUNTIF('Calculations'!$BU$12:BU275,'Calculations'!BU275)=1),MAX('Calculations'!$BY$11:BY274)+1,0)</x:f>
        <x:v>0</x:v>
      </x:c>
      <x:c r="BZ275" s="4" t="str">
        <x:f>IF('Dashboard'!$E$67="What",'Calculations'!BO275,'Calculations'!BP275)</x:f>
      </x:c>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t="str">
        <x:f>IF(264&gt;MAX('Calculations'!$HI$13:$HI$512),"",INDEX('Calculations'!$HN$13:$HN$512,MATCH(264,'Calculations'!$HI$13:$HI$512,0)))</x:f>
      </x:c>
      <x:c r="DB275" s="4" t="str">
        <x:f>IF(264&gt;MAX('Calculations'!$HH$13:$HH$512),"",INDEX('Calculations'!$HJ$13:$HJ$512,MATCH(264,'Calculations'!$HH$13:$HH$512,0)))</x:f>
      </x:c>
      <x:c r="DC275" s="4" t="str">
        <x:f>IF(ROW()-11&gt;MAX('Calculations'!$BY$13:$BY$512),"",INDEX('Calculations'!$BU$13:$BU$512,MATCH(ROW()-11,'Calculations'!$BY$13:$BY$512,0)))</x:f>
      </x:c>
      <x:c r="DD275" s="4" t="str">
        <x:f>IF(264&gt;MAX('Calculations'!$IK$13:$IK$512),"",INDEX('Calculations'!$HK$13:$HK$512,MATCH(264,'Calculations'!$IK$13:$IK$512,0)))</x:f>
      </x:c>
      <x:c r="DE275" s="4" t="str">
        <x:f>'Calculations'!DC275</x:f>
      </x:c>
      <x:c r="DF275" s="4" t="str">
        <x:f>IF('Calculations'!DE275="","",COUNTIFS('Calculations'!$BN$13:$BN$512,1,'Calculations'!$BU$13:$BU$512,'Calculations'!DE275))</x:f>
      </x:c>
      <x:c r="DG275" s="4" t="str">
        <x:f>IF('Calculations'!DE275="","",COUNTIFS('Calculations'!$BN$13:$BN$512,1,'Calculations'!$BU$13:$BU$512,'Calculations'!DE275,'Calculations'!$BT$13:$BT$512,1))</x:f>
      </x:c>
      <x:c r="DH275" s="4" t="str">
        <x:f>IF('Calculations'!DE275="","",'Calculations'!DF275-'Calculations'!DG275)</x:f>
      </x:c>
      <x:c r="DI275" s="4" t="str">
        <x:f>IF(OR('Calculations'!DE275="",'Calculations'!DF275=0),"",'Calculations'!DG275/'Calculations'!DF275)</x:f>
      </x:c>
      <x:c r="DJ275" s="4" t="str">
        <x:f>IF('Calculations'!DE275="","",COUNTIFS('Calculations'!$BN$13:$BN$512,1,'Calculations'!$BU$13:$BU$512,'Calculations'!DE275,'Calculations'!$BT$13:$BT$512,1,'Calculations'!$EE$13:$EE$512,"High"))</x:f>
      </x:c>
      <x:c r="DK275" s="4" t="str">
        <x:f>IF('Calculations'!DE275="","",COUNTIFS('Calculations'!$BN$13:$BN$512,1,'Calculations'!$BU$13:$BU$512,'Calculations'!DE275,'Calculations'!$BT$13:$BT$512,1,'Calculations'!$EE$13:$EE$512,"Strong"))</x:f>
      </x:c>
      <x:c r="DL275" s="4" t="str">
        <x:f>IF('Calculations'!DE275="","",COUNTIFS('Calculations'!$BN$13:$BN$512,1,'Calculations'!$BU$13:$BU$512,'Calculations'!DE275,'Calculations'!$BT$13:$BT$512,1,'Calculations'!$EE$13:$EE$512,"Solid"))</x:f>
      </x:c>
      <x:c r="DM275" s="4" t="str">
        <x:f>IF('Calculations'!DE275="","",COUNTIFS('Calculations'!$BN$13:$BN$512,1,'Calculations'!$BU$13:$BU$512,'Calculations'!DE275,'Calculations'!$BT$13:$BT$512,1,'Calculations'!$EE$13:$EE$512,"Low"))</x:f>
      </x:c>
      <x:c r="DN275" s="4" t="str">
        <x:f>IF('Calculations'!DE275="","",COUNTIFS('Calculations'!$BN$13:$BN$512,1,'Calculations'!$BU$13:$BU$512,'Calculations'!DE275,'Calculations'!$EP$13:$EP$512,1))</x:f>
      </x:c>
      <x:c r="DO275" s="4" t="str">
        <x:f>IF(OR('Calculations'!DE275="",'Calculations'!DG275=0),"",('Calculations'!DJ275+'Calculations'!DK275)/'Calculations'!DG275)</x:f>
      </x:c>
      <x:c r="DP275" s="4" t="n">
        <x:f>IF(AND('Calculations'!DE275&lt;&gt;"",'Calculations'!DF275&gt;0),COUNTIF('Calculations'!$DF$12:DF275,"&gt;0"),0)</x:f>
        <x:v>0</x:v>
      </x:c>
      <x:c r="DQ275" s="4" t="str">
        <x:f>IF(264&gt;MAX('Calculations'!$HH$13:$HH$512),"",INDEX('Calculations'!$HF$13:$HF$512,MATCH(264,'Calculations'!$HH$13:$HH$512,0)))</x:f>
      </x:c>
      <x:c r="DR275" s="4" t="str">
        <x:f>IF(264&gt;MAX('Calculations'!$IK$13:$IK$512),"",INDEX('Calculations'!$HE$13:$HE$512,MATCH(264,'Calculations'!$IK$13:$IK$512,0)))</x:f>
      </x:c>
      <x:c r="DS275" s="4"/>
      <x:c r="DT275" s="4"/>
      <x:c r="DU275" s="4"/>
      <x:c r="DV275" s="4"/>
      <x:c r="DW275" s="4"/>
      <x:c r="DX275" s="4"/>
      <x:c r="DY275" s="4"/>
      <x:c r="DZ275" s="4"/>
      <x:c r="EA275" s="4"/>
      <x:c r="EB275" s="4"/>
      <x:c r="EC275" s="4"/>
      <x:c r="ED275" s="4"/>
      <x:c r="EE275" s="4" t="str">
        <x:f>IF('Calculations'!BT275=0,"Not Rated",IF(OR('Calculations'!BO275&gt;=4,'Calculations'!BP275&gt;=4),"Low",IF('Calculations'!BO275+'Calculations'!BP275&lt;=3,"High",IF('Calculations'!BO275+'Calculations'!BP275&lt;=4,"Strong","Solid"))))</x:f>
        <x:v>Not Rated</x:v>
      </x:c>
      <x:c r="EF275" s="4"/>
      <x:c r="EG275" s="4"/>
      <x:c r="EH275" s="4"/>
      <x:c r="EI275" s="4"/>
      <x:c r="EJ275" s="4"/>
      <x:c r="EK275" s="4"/>
      <x:c r="EL275" s="4"/>
      <x:c r="EM275" s="4" t="str">
        <x:f>IF(263&gt;'Calculations'!$JB$2000,"",INDEX('Calculations'!$JA$12:$JA$2000,MATCH(263,'Calculations'!$JB$12:$JB$2000,0)))</x:f>
      </x:c>
      <x:c r="EN275" s="4" t="n">
        <x:f>IF(OR('Calculations'!EM275="",'Calculations'!$AG$8&gt;0,AND('Calculations'!$EF$2&lt;&gt;"All",'Calculations'!HE275='Calculations'!$EF$2),AND('Calculations'!$EF$3&lt;&gt;"All",'Calculations'!HE275='Calculations'!$EF$3)),0,IF(OR('Dashboard'!$B$7="All",'Calculations'!HN275='Dashboard'!$B$7),IF('Calculations'!$EF$2="All",1,IF('Calculations'!HL275&gt;0,0,IF(COUNTIF('Calculations'!HO275:II275,"="&amp;SUBSTITUTE(SUBSTITUTE(SUBSTITUTE('Calculations'!$EF$2,"~","~~"),"*","~*"),"?","~?"))=0,0,IF('Calculations'!$EF$3="All",1,IF(COUNTIF('Calculations'!HO275:II275,"="&amp;SUBSTITUTE(SUBSTITUTE(SUBSTITUTE('Calculations'!$EF$3,"~","~~"),"*","~*"),"?","~?"))&gt;0,1,0))))),0))</x:f>
        <x:v>0</x:v>
      </x:c>
      <x:c r="EO275" s="4" t="str">
        <x:f>IF('Calculations'!IJ275="","",IF('Calculations'!IJ275="!UNRESOLVED","Unresolved hierarchy",IFERROR(INDEX('Calculations'!$HK$13:$HK$512,MATCH('Calculations'!IJ275,'Calculations'!$HE$13:$HE$512,0)),IFERROR(INDEX('Calculations'!$HJ$13:$HJ$512,MATCH('Calculations'!IJ275,'Calculations'!$HF$13:$HF$512,0)),'Calculations'!IJ275))))</x:f>
      </x:c>
      <x:c r="EP275" s="4" t="n">
        <x:f>IF(AND('Calculations'!EM275&lt;&gt;"",'Calculations'!HF275='Calculations'!IJ275),1,0)</x:f>
        <x:v>0</x:v>
      </x:c>
      <x:c r="EQ275" s="4"/>
      <x:c r="ER275" s="4"/>
      <x:c r="ES275" s="4"/>
      <x:c r="ET275" s="4"/>
      <x:c r="EU275" s="4"/>
      <x:c r="EV275" s="4"/>
      <x:c r="EW275" s="4"/>
      <x:c r="EX275" s="4"/>
      <x:c r="EY275" s="4"/>
      <x:c r="EZ275" s="4"/>
      <x:c r="FA275" s="4"/>
      <x:c r="FB275" s="4"/>
      <x:c r="FC275" s="4"/>
      <x:c r="FD275" s="4"/>
      <x:c r="FE275" s="4"/>
      <x:c r="FF275" s="4"/>
      <x:c r="FG275" s="4"/>
      <x:c r="FH275" s="4"/>
      <x:c r="FI275" s="4"/>
      <x:c r="FJ275" s="4"/>
      <x:c r="FK275" s="4"/>
      <x:c r="FL275" s="4"/>
      <x:c r="FM275" s="4"/>
      <x:c r="FN275" s="4"/>
      <x:c r="FO275" s="4"/>
      <x:c r="HE275" t="str">
        <x:f>IF('Calculations'!EM275="","",IF(IFERROR(IF(INDEX(INDIRECT("'WCM Calibration Final'!$A$1:$A$2000"),'Calculations'!$EM275)="","",TRIM(INDEX(INDIRECT("'WCM Calibration Final'!$A$1:$A$2000"),'Calculations'!$EM275)&amp;"")),"")&lt;&gt;"","G:"&amp;IFERROR(TEXT(1*INDEX(INDIRECT("'WCM Calibration Final'!$A$1:$A$2000"),'Calculations'!$EM275),"0"),UPPER(IFERROR(IF(INDEX(INDIRECT("'WCM Calibration Final'!$A$1:$A$2000"),'Calculations'!$EM275)="","",TRIM(INDEX(INDIRECT("'WCM Calibration Final'!$A$1:$A$2000"),'Calculations'!$EM275)&amp;"")),""))),IF(IFERROR(IF(INDEX(INDIRECT("'WCM Calibration Final'!$C$1:$C$2000"),'Calculations'!$EM275)="","",TRIM(INDEX(INDIRECT("'WCM Calibration Final'!$C$1:$C$2000"),'Calculations'!$EM275)&amp;"")),"")&lt;&gt;"","S:"&amp;UPPER(IFERROR(IF(INDEX(INDIRECT("'WCM Calibration Final'!$C$1:$C$2000"),'Calculations'!$EM275)="","",TRIM(INDEX(INDIRECT("'WCM Calibration Final'!$C$1:$C$2000"),'Calculations'!$EM275)&amp;"")),"")),"R:"&amp;'Calculations'!EM275)))</x:f>
      </x:c>
      <x:c r="HF275" t="str">
        <x:f>IF('Calculations'!EM275="","",IF(IFERROR(IF(INDEX(INDIRECT("'WCM Calibration Final'!$D$1:$D$2000"),'Calculations'!$EM275)="","",TRIM(INDEX(INDIRECT("'WCM Calibration Final'!$D$1:$D$2000"),'Calculations'!$EM275)&amp;"")),"")&lt;&gt;"","G:"&amp;IFERROR(TEXT(1*INDEX(INDIRECT("'WCM Calibration Final'!$D$1:$D$2000"),'Calculations'!$EM275),"0"),UPPER(IFERROR(IF(INDEX(INDIRECT("'WCM Calibration Final'!$D$1:$D$2000"),'Calculations'!$EM275)="","",TRIM(INDEX(INDIRECT("'WCM Calibration Final'!$D$1:$D$2000"),'Calculations'!$EM275)&amp;"")),""))),IF(IFERROR(IF(INDEX(INDIRECT("'WCM Calibration Final'!$E$1:$E$2000"),'Calculations'!$EM275)="","",TRIM(INDEX(INDIRECT("'WCM Calibration Final'!$E$1:$E$2000"),'Calculations'!$EM275)&amp;"")),"")="","",IF(COUNTIF('Calculations'!$HG$13:$HG$512,"="&amp;SUBSTITUTE(SUBSTITUTE(SUBSTITUTE(IFERROR(IF(INDEX(INDIRECT("'WCM Calibration Final'!$E$1:$E$2000"),'Calculations'!$EM275)="","",TRIM(INDEX(INDIRECT("'WCM Calibration Final'!$E$1:$E$2000"),'Calculations'!$EM275)&amp;"")),""),"~","~~"),"*","~*"),"?","~?"))=1,INDEX('Calculations'!$HE$13:$HE$512,MATCH(IFERROR(IF(INDEX(INDIRECT("'WCM Calibration Final'!$E$1:$E$2000"),'Calculations'!$EM275)="","",TRIM(INDEX(INDIRECT("'WCM Calibration Final'!$E$1:$E$2000"),'Calculations'!$EM275)&amp;"")),""),'Calculations'!$HG$13:$HG$512,0)),IF(COUNTIF('Calculations'!$HG$13:$HG$512,"="&amp;SUBSTITUTE(SUBSTITUTE(SUBSTITUTE(IFERROR(IF(INDEX(INDIRECT("'WCM Calibration Final'!$E$1:$E$2000"),'Calculations'!$EM275)="","",TRIM(INDEX(INDIRECT("'WCM Calibration Final'!$E$1:$E$2000"),'Calculations'!$EM275)&amp;"")),""),"~","~~"),"*","~*"),"?","~?"))&gt;1,"!AMBIG","X:"&amp;IFERROR(IF(INDEX(INDIRECT("'WCM Calibration Final'!$E$1:$E$2000"),'Calculations'!$EM275)="","",TRIM(INDEX(INDIRECT("'WCM Calibration Final'!$E$1:$E$2000"),'Calculations'!$EM275)&amp;"")),""))))))</x:f>
      </x:c>
      <x:c r="HG275" t="str">
        <x:f>IF('Calculations'!EM275="","",IFERROR(IF(INDEX(INDIRECT("'WCM Calibration Final'!$B$1:$B$2000"),'Calculations'!$EM275)="","",TRIM(INDEX(INDIRECT("'WCM Calibration Final'!$B$1:$B$2000"),'Calculations'!$EM275)&amp;"")),""))</x:f>
      </x:c>
      <x:c r="HH275" t="n">
        <x:f>IF(AND('Calculations'!JC275&gt;0,COUNTIF('Calculations'!$HF$12:HF275,"="&amp;SUBSTITUTE(SUBSTITUTE(SUBSTITUTE('Calculations'!HF275,"~","~~"),"*","~*"),"?","~?"))=1),MAX('Calculations'!$HH$12:HH274)+1,0)</x:f>
        <x:v>0</x:v>
      </x:c>
      <x:c r="HI275" t="n">
        <x:f>IF(AND('Calculations'!HN275&lt;&gt;"",COUNTIF('Calculations'!$HN$12:HN275,"="&amp;SUBSTITUTE(SUBSTITUTE(SUBSTITUTE('Calculations'!HN275,"~","~~"),"*","~*"),"?","~?"))=1),MAX('Calculations'!$HI$12:HI274)+1,0)</x:f>
        <x:v>0</x:v>
      </x:c>
      <x:c r="HJ275" t="str">
        <x:f>IF('Calculations'!HF275="","",IF(COUNTIF('Calculations'!$HE$13:$HE$512,"="&amp;SUBSTITUTE(SUBSTITUTE(SUBSTITUTE('Calculations'!HF275,"~","~~"),"*","~*"),"?","~?"))=1,INDEX('Calculations'!$HK$13:$HK$512,MATCH('Calculations'!HF275,'Calculations'!$HE$13:$HE$512,0)),IFERROR(IF(INDEX(INDIRECT("'WCM Calibration Final'!$E$1:$E$2000"),'Calculations'!$EM275)="","",TRIM(INDEX(INDIRECT("'WCM Calibration Final'!$E$1:$E$2000"),'Calculations'!$EM275)&amp;"")),"")&amp;" ["&amp;'Calculations'!HF275&amp;"]"))</x:f>
      </x:c>
      <x:c r="HK275" t="str">
        <x:f>IF('Calculations'!EM275="","",'Calculations'!HG275&amp;" ["&amp;'Calculations'!HE275&amp;"]")</x:f>
      </x:c>
      <x:c r="HL275" t="n">
        <x:f>IF('Calculations'!EM275="",0,IF(OR('Calculations'!II275&lt;&gt;"",COUNTIF('Calculations'!$HE$13:$HE$512,"="&amp;SUBSTITUTE(SUBSTITUTE(SUBSTITUTE('Calculations'!HE275,"~","~~"),"*","~*"),"?","~?"))&gt;1),1,0))</x:f>
        <x:v>0</x:v>
      </x:c>
      <x:c r="HM275" t="str">
        <x:f>IF('Calculations'!EM275="","",IF('Calculations'!HL275=1,"!UNRESOLVED",IF('Calculations'!IH275&lt;&gt;"",'Calculations'!IH275,IF('Calculations'!IG275&lt;&gt;"",'Calculations'!IG275,IF('Calculations'!IF275&lt;&gt;"",'Calculations'!IF275,IF('Calculations'!IE275&lt;&gt;"",'Calculations'!IE275,IF('Calculations'!ID275&lt;&gt;"",'Calculations'!ID275,IF('Calculations'!IC275&lt;&gt;"",'Calculations'!IC275,IF('Calculations'!IB275&lt;&gt;"",'Calculations'!IB275,IF('Calculations'!IA275&lt;&gt;"",'Calculations'!IA275,IF('Calculations'!HZ275&lt;&gt;"",'Calculations'!HZ275,IF('Calculations'!HY275&lt;&gt;"",'Calculations'!HY275,IF('Calculations'!HX275&lt;&gt;"",'Calculations'!HX275,IF('Calculations'!HW275&lt;&gt;"",'Calculations'!HW275,IF('Calculations'!HV275&lt;&gt;"",'Calculations'!HV275,IF('Calculations'!HU275&lt;&gt;"",'Calculations'!HU275,IF('Calculations'!HT275&lt;&gt;"",'Calculations'!HT275,IF('Calculations'!HS275&lt;&gt;"",'Calculations'!HS275,IF('Calculations'!HR275&lt;&gt;"",'Calculations'!HR275,IF('Calculations'!HQ275&lt;&gt;"",'Calculations'!HQ275,IF('Calculations'!HP275&lt;&gt;"",'Calculations'!HP275,IF('Calculations'!HO275&lt;&gt;"",'Calculations'!HO275,'Calculations'!HE275))))))))))))))))))))))</x:f>
      </x:c>
      <x:c r="HN275" t="str">
        <x:f>IF('Calculations'!EM275="","",IF(IFERROR(IF(INDEX(INDIRECT("'WCM Calibration Final'!$F$1:$F$2000"),'Calculations'!$EM275)="","",TRIM(INDEX(INDIRECT("'WCM Calibration Final'!$F$1:$F$2000"),'Calculations'!$EM275)&amp;"")),"")="","(Blank)",IFERROR(IF(INDEX(INDIRECT("'WCM Calibration Final'!$F$1:$F$2000"),'Calculations'!$EM275)="","",TRIM(INDEX(INDIRECT("'WCM Calibration Final'!$F$1:$F$2000"),'Calculations'!$EM275)&amp;"")),"")))</x:f>
      </x:c>
      <x:c r="HO275" t="str">
        <x:f>'Calculations'!HF275</x:f>
      </x:c>
      <x:c r="HP275" t="str">
        <x:f>IF('Calculations'!HO275="","",IF('Calculations'!HO275="!AMBIG","!AMBIG",IF(COUNTIF('Calculations'!$HE$13:$HE$512,"="&amp;SUBSTITUTE(SUBSTITUTE(SUBSTITUTE('Calculations'!HO275,"~","~~"),"*","~*"),"?","~?"))&gt;1,"!AMBIG",IFERROR(INDEX('Calculations'!$HF$13:$HF$512,MATCH('Calculations'!HO275,'Calculations'!$HE$13:$HE$512,0)),""))))</x:f>
      </x:c>
      <x:c r="HQ275" t="str">
        <x:f>IF('Calculations'!HP275="","",IF('Calculations'!HP275="!AMBIG","!AMBIG",IF(COUNTIF('Calculations'!$HE$13:$HE$512,"="&amp;SUBSTITUTE(SUBSTITUTE(SUBSTITUTE('Calculations'!HP275,"~","~~"),"*","~*"),"?","~?"))&gt;1,"!AMBIG",IFERROR(INDEX('Calculations'!$HF$13:$HF$512,MATCH('Calculations'!HP275,'Calculations'!$HE$13:$HE$512,0)),""))))</x:f>
      </x:c>
      <x:c r="HR275" t="str">
        <x:f>IF('Calculations'!HQ275="","",IF('Calculations'!HQ275="!AMBIG","!AMBIG",IF(COUNTIF('Calculations'!$HE$13:$HE$512,"="&amp;SUBSTITUTE(SUBSTITUTE(SUBSTITUTE('Calculations'!HQ275,"~","~~"),"*","~*"),"?","~?"))&gt;1,"!AMBIG",IFERROR(INDEX('Calculations'!$HF$13:$HF$512,MATCH('Calculations'!HQ275,'Calculations'!$HE$13:$HE$512,0)),""))))</x:f>
      </x:c>
      <x:c r="HS275" t="str">
        <x:f>IF('Calculations'!HR275="","",IF('Calculations'!HR275="!AMBIG","!AMBIG",IF(COUNTIF('Calculations'!$HE$13:$HE$512,"="&amp;SUBSTITUTE(SUBSTITUTE(SUBSTITUTE('Calculations'!HR275,"~","~~"),"*","~*"),"?","~?"))&gt;1,"!AMBIG",IFERROR(INDEX('Calculations'!$HF$13:$HF$512,MATCH('Calculations'!HR275,'Calculations'!$HE$13:$HE$512,0)),""))))</x:f>
      </x:c>
      <x:c r="HT275" t="str">
        <x:f>IF('Calculations'!HS275="","",IF('Calculations'!HS275="!AMBIG","!AMBIG",IF(COUNTIF('Calculations'!$HE$13:$HE$512,"="&amp;SUBSTITUTE(SUBSTITUTE(SUBSTITUTE('Calculations'!HS275,"~","~~"),"*","~*"),"?","~?"))&gt;1,"!AMBIG",IFERROR(INDEX('Calculations'!$HF$13:$HF$512,MATCH('Calculations'!HS275,'Calculations'!$HE$13:$HE$512,0)),""))))</x:f>
      </x:c>
      <x:c r="HU275" t="str">
        <x:f>IF('Calculations'!HT275="","",IF('Calculations'!HT275="!AMBIG","!AMBIG",IF(COUNTIF('Calculations'!$HE$13:$HE$512,"="&amp;SUBSTITUTE(SUBSTITUTE(SUBSTITUTE('Calculations'!HT275,"~","~~"),"*","~*"),"?","~?"))&gt;1,"!AMBIG",IFERROR(INDEX('Calculations'!$HF$13:$HF$512,MATCH('Calculations'!HT275,'Calculations'!$HE$13:$HE$512,0)),""))))</x:f>
      </x:c>
      <x:c r="HV275" t="str">
        <x:f>IF('Calculations'!HU275="","",IF('Calculations'!HU275="!AMBIG","!AMBIG",IF(COUNTIF('Calculations'!$HE$13:$HE$512,"="&amp;SUBSTITUTE(SUBSTITUTE(SUBSTITUTE('Calculations'!HU275,"~","~~"),"*","~*"),"?","~?"))&gt;1,"!AMBIG",IFERROR(INDEX('Calculations'!$HF$13:$HF$512,MATCH('Calculations'!HU275,'Calculations'!$HE$13:$HE$512,0)),""))))</x:f>
      </x:c>
      <x:c r="HW275" t="str">
        <x:f>IF('Calculations'!HV275="","",IF('Calculations'!HV275="!AMBIG","!AMBIG",IF(COUNTIF('Calculations'!$HE$13:$HE$512,"="&amp;SUBSTITUTE(SUBSTITUTE(SUBSTITUTE('Calculations'!HV275,"~","~~"),"*","~*"),"?","~?"))&gt;1,"!AMBIG",IFERROR(INDEX('Calculations'!$HF$13:$HF$512,MATCH('Calculations'!HV275,'Calculations'!$HE$13:$HE$512,0)),""))))</x:f>
      </x:c>
      <x:c r="HX275" t="str">
        <x:f>IF('Calculations'!HW275="","",IF('Calculations'!HW275="!AMBIG","!AMBIG",IF(COUNTIF('Calculations'!$HE$13:$HE$512,"="&amp;SUBSTITUTE(SUBSTITUTE(SUBSTITUTE('Calculations'!HW275,"~","~~"),"*","~*"),"?","~?"))&gt;1,"!AMBIG",IFERROR(INDEX('Calculations'!$HF$13:$HF$512,MATCH('Calculations'!HW275,'Calculations'!$HE$13:$HE$512,0)),""))))</x:f>
      </x:c>
      <x:c r="HY275" t="str">
        <x:f>IF('Calculations'!HX275="","",IF('Calculations'!HX275="!AMBIG","!AMBIG",IF(COUNTIF('Calculations'!$HE$13:$HE$512,"="&amp;SUBSTITUTE(SUBSTITUTE(SUBSTITUTE('Calculations'!HX275,"~","~~"),"*","~*"),"?","~?"))&gt;1,"!AMBIG",IFERROR(INDEX('Calculations'!$HF$13:$HF$512,MATCH('Calculations'!HX275,'Calculations'!$HE$13:$HE$512,0)),""))))</x:f>
      </x:c>
      <x:c r="HZ275" t="str">
        <x:f>IF('Calculations'!HY275="","",IF('Calculations'!HY275="!AMBIG","!AMBIG",IF(COUNTIF('Calculations'!$HE$13:$HE$512,"="&amp;SUBSTITUTE(SUBSTITUTE(SUBSTITUTE('Calculations'!HY275,"~","~~"),"*","~*"),"?","~?"))&gt;1,"!AMBIG",IFERROR(INDEX('Calculations'!$HF$13:$HF$512,MATCH('Calculations'!HY275,'Calculations'!$HE$13:$HE$512,0)),""))))</x:f>
      </x:c>
      <x:c r="IA275" t="str">
        <x:f>IF('Calculations'!HZ275="","",IF('Calculations'!HZ275="!AMBIG","!AMBIG",IF(COUNTIF('Calculations'!$HE$13:$HE$512,"="&amp;SUBSTITUTE(SUBSTITUTE(SUBSTITUTE('Calculations'!HZ275,"~","~~"),"*","~*"),"?","~?"))&gt;1,"!AMBIG",IFERROR(INDEX('Calculations'!$HF$13:$HF$512,MATCH('Calculations'!HZ275,'Calculations'!$HE$13:$HE$512,0)),""))))</x:f>
      </x:c>
      <x:c r="IB275" t="str">
        <x:f>IF('Calculations'!IA275="","",IF('Calculations'!IA275="!AMBIG","!AMBIG",IF(COUNTIF('Calculations'!$HE$13:$HE$512,"="&amp;SUBSTITUTE(SUBSTITUTE(SUBSTITUTE('Calculations'!IA275,"~","~~"),"*","~*"),"?","~?"))&gt;1,"!AMBIG",IFERROR(INDEX('Calculations'!$HF$13:$HF$512,MATCH('Calculations'!IA275,'Calculations'!$HE$13:$HE$512,0)),""))))</x:f>
      </x:c>
      <x:c r="IC275" t="str">
        <x:f>IF('Calculations'!IB275="","",IF('Calculations'!IB275="!AMBIG","!AMBIG",IF(COUNTIF('Calculations'!$HE$13:$HE$512,"="&amp;SUBSTITUTE(SUBSTITUTE(SUBSTITUTE('Calculations'!IB275,"~","~~"),"*","~*"),"?","~?"))&gt;1,"!AMBIG",IFERROR(INDEX('Calculations'!$HF$13:$HF$512,MATCH('Calculations'!IB275,'Calculations'!$HE$13:$HE$512,0)),""))))</x:f>
      </x:c>
      <x:c r="ID275" t="str">
        <x:f>IF('Calculations'!IC275="","",IF('Calculations'!IC275="!AMBIG","!AMBIG",IF(COUNTIF('Calculations'!$HE$13:$HE$512,"="&amp;SUBSTITUTE(SUBSTITUTE(SUBSTITUTE('Calculations'!IC275,"~","~~"),"*","~*"),"?","~?"))&gt;1,"!AMBIG",IFERROR(INDEX('Calculations'!$HF$13:$HF$512,MATCH('Calculations'!IC275,'Calculations'!$HE$13:$HE$512,0)),""))))</x:f>
      </x:c>
      <x:c r="IE275" t="str">
        <x:f>IF('Calculations'!ID275="","",IF('Calculations'!ID275="!AMBIG","!AMBIG",IF(COUNTIF('Calculations'!$HE$13:$HE$512,"="&amp;SUBSTITUTE(SUBSTITUTE(SUBSTITUTE('Calculations'!ID275,"~","~~"),"*","~*"),"?","~?"))&gt;1,"!AMBIG",IFERROR(INDEX('Calculations'!$HF$13:$HF$512,MATCH('Calculations'!ID275,'Calculations'!$HE$13:$HE$512,0)),""))))</x:f>
      </x:c>
      <x:c r="IF275" t="str">
        <x:f>IF('Calculations'!IE275="","",IF('Calculations'!IE275="!AMBIG","!AMBIG",IF(COUNTIF('Calculations'!$HE$13:$HE$512,"="&amp;SUBSTITUTE(SUBSTITUTE(SUBSTITUTE('Calculations'!IE275,"~","~~"),"*","~*"),"?","~?"))&gt;1,"!AMBIG",IFERROR(INDEX('Calculations'!$HF$13:$HF$512,MATCH('Calculations'!IE275,'Calculations'!$HE$13:$HE$512,0)),""))))</x:f>
      </x:c>
      <x:c r="IG275" t="str">
        <x:f>IF('Calculations'!IF275="","",IF('Calculations'!IF275="!AMBIG","!AMBIG",IF(COUNTIF('Calculations'!$HE$13:$HE$512,"="&amp;SUBSTITUTE(SUBSTITUTE(SUBSTITUTE('Calculations'!IF275,"~","~~"),"*","~*"),"?","~?"))&gt;1,"!AMBIG",IFERROR(INDEX('Calculations'!$HF$13:$HF$512,MATCH('Calculations'!IF275,'Calculations'!$HE$13:$HE$512,0)),""))))</x:f>
      </x:c>
      <x:c r="IH275" t="str">
        <x:f>IF('Calculations'!IG275="","",IF('Calculations'!IG275="!AMBIG","!AMBIG",IF(COUNTIF('Calculations'!$HE$13:$HE$512,"="&amp;SUBSTITUTE(SUBSTITUTE(SUBSTITUTE('Calculations'!IG275,"~","~~"),"*","~*"),"?","~?"))&gt;1,"!AMBIG",IFERROR(INDEX('Calculations'!$HF$13:$HF$512,MATCH('Calculations'!IG275,'Calculations'!$HE$13:$HE$512,0)),""))))</x:f>
      </x:c>
      <x:c r="II275" t="str">
        <x:f>IF('Calculations'!IH275="","",IF('Calculations'!IH275="!AMBIG","!AMBIG",IF(COUNTIF('Calculations'!$HE$13:$HE$512,"="&amp;SUBSTITUTE(SUBSTITUTE(SUBSTITUTE('Calculations'!IH275,"~","~~"),"*","~*"),"?","~?"))&gt;1,"!AMBIG",IFERROR(INDEX('Calculations'!$HF$13:$HF$512,MATCH('Calculations'!IH275,'Calculations'!$HE$13:$HE$512,0)),""))))</x:f>
      </x:c>
      <x:c r="IJ275" t="str">
        <x:f>IF('Calculations'!EM275="","",IF('Calculations'!$EF$2="All",'Calculations'!HM275,IF('Calculations'!HL275=1,"",IFERROR(IF(MATCH('Calculations'!$EF$2,'Calculations'!HO275:II275,0)=1,'Calculations'!HE275,INDEX('Calculations'!HO275:II275,1,MATCH('Calculations'!$EF$2,'Calculations'!HO275:II275,0)-1)),""))))</x:f>
      </x:c>
      <x:c r="IK275" t="n">
        <x:f>IF(AND('Calculations'!EM275&lt;&gt;"",'Calculations'!$EF$2&lt;&gt;"All",'Calculations'!HF275='Calculations'!$EF$2,'Calculations'!HL275=0,'Calculations'!JD275&gt;0),MAX('Calculations'!$IK$12:IK274)+1,0)</x:f>
        <x:v>0</x:v>
      </x:c>
      <x:c r="JA275" t="n">
        <x:f>IF(OR(IFERROR(INDIRECT("'WCM Calibration Final'!$A$275")&lt;&gt;"",FALSE),IFERROR(INDIRECT("'WCM Calibration Final'!$B$275")&lt;&gt;"",FALSE),IFERROR(INDIRECT("'WCM Calibration Final'!$C$275")&lt;&gt;"",FALSE)),275,0)</x:f>
        <x:v>0</x:v>
      </x:c>
      <x:c r="JB275" t="n">
        <x:f>'Calculations'!JB274+IF('Calculations'!JA275&gt;0,1,0)</x:f>
        <x:v>0</x:v>
      </x:c>
      <x:c r="JC275" t="n">
        <x:f>IF(OR('Calculations'!HF275="",'Calculations'!HF275="!AMBIG"),0,IF('Dashboard'!$B$7="All",1,COUNTIFS('Calculations'!$HO$13:$HO$512,"="&amp;SUBSTITUTE(SUBSTITUTE(SUBSTITUTE('Calculations'!HF275,"~","~~"),"*","~*"),"?","~?"),'Calculations'!$HN$13:$HN$512,"="&amp;SUBSTITUTE(SUBSTITUTE(SUBSTITUTE('Dashboard'!$B$7,"~","~~"),"*","~*"),"?","~?"))+COUNTIFS('Calculations'!$HP$13:$HP$512,"="&amp;SUBSTITUTE(SUBSTITUTE(SUBSTITUTE('Calculations'!HF275,"~","~~"),"*","~*"),"?","~?"),'Calculations'!$HN$13:$HN$512,"="&amp;SUBSTITUTE(SUBSTITUTE(SUBSTITUTE('Dashboard'!$B$7,"~","~~"),"*","~*"),"?","~?"))+COUNTIFS('Calculations'!$HQ$13:$HQ$512,"="&amp;SUBSTITUTE(SUBSTITUTE(SUBSTITUTE('Calculations'!HF275,"~","~~"),"*","~*"),"?","~?"),'Calculations'!$HN$13:$HN$512,"="&amp;SUBSTITUTE(SUBSTITUTE(SUBSTITUTE('Dashboard'!$B$7,"~","~~"),"*","~*"),"?","~?"))+COUNTIFS('Calculations'!$HR$13:$HR$512,"="&amp;SUBSTITUTE(SUBSTITUTE(SUBSTITUTE('Calculations'!HF275,"~","~~"),"*","~*"),"?","~?"),'Calculations'!$HN$13:$HN$512,"="&amp;SUBSTITUTE(SUBSTITUTE(SUBSTITUTE('Dashboard'!$B$7,"~","~~"),"*","~*"),"?","~?"))+COUNTIFS('Calculations'!$HS$13:$HS$512,"="&amp;SUBSTITUTE(SUBSTITUTE(SUBSTITUTE('Calculations'!HF275,"~","~~"),"*","~*"),"?","~?"),'Calculations'!$HN$13:$HN$512,"="&amp;SUBSTITUTE(SUBSTITUTE(SUBSTITUTE('Dashboard'!$B$7,"~","~~"),"*","~*"),"?","~?"))+COUNTIFS('Calculations'!$HT$13:$HT$512,"="&amp;SUBSTITUTE(SUBSTITUTE(SUBSTITUTE('Calculations'!HF275,"~","~~"),"*","~*"),"?","~?"),'Calculations'!$HN$13:$HN$512,"="&amp;SUBSTITUTE(SUBSTITUTE(SUBSTITUTE('Dashboard'!$B$7,"~","~~"),"*","~*"),"?","~?"))+COUNTIFS('Calculations'!$HU$13:$HU$512,"="&amp;SUBSTITUTE(SUBSTITUTE(SUBSTITUTE('Calculations'!HF275,"~","~~"),"*","~*"),"?","~?"),'Calculations'!$HN$13:$HN$512,"="&amp;SUBSTITUTE(SUBSTITUTE(SUBSTITUTE('Dashboard'!$B$7,"~","~~"),"*","~*"),"?","~?"))+COUNTIFS('Calculations'!$HV$13:$HV$512,"="&amp;SUBSTITUTE(SUBSTITUTE(SUBSTITUTE('Calculations'!HF275,"~","~~"),"*","~*"),"?","~?"),'Calculations'!$HN$13:$HN$512,"="&amp;SUBSTITUTE(SUBSTITUTE(SUBSTITUTE('Dashboard'!$B$7,"~","~~"),"*","~*"),"?","~?"))+COUNTIFS('Calculations'!$HW$13:$HW$512,"="&amp;SUBSTITUTE(SUBSTITUTE(SUBSTITUTE('Calculations'!HF275,"~","~~"),"*","~*"),"?","~?"),'Calculations'!$HN$13:$HN$512,"="&amp;SUBSTITUTE(SUBSTITUTE(SUBSTITUTE('Dashboard'!$B$7,"~","~~"),"*","~*"),"?","~?"))+COUNTIFS('Calculations'!$HX$13:$HX$512,"="&amp;SUBSTITUTE(SUBSTITUTE(SUBSTITUTE('Calculations'!HF275,"~","~~"),"*","~*"),"?","~?"),'Calculations'!$HN$13:$HN$512,"="&amp;SUBSTITUTE(SUBSTITUTE(SUBSTITUTE('Dashboard'!$B$7,"~","~~"),"*","~*"),"?","~?"))+COUNTIFS('Calculations'!$HY$13:$HY$512,"="&amp;SUBSTITUTE(SUBSTITUTE(SUBSTITUTE('Calculations'!HF275,"~","~~"),"*","~*"),"?","~?"),'Calculations'!$HN$13:$HN$512,"="&amp;SUBSTITUTE(SUBSTITUTE(SUBSTITUTE('Dashboard'!$B$7,"~","~~"),"*","~*"),"?","~?"))+COUNTIFS('Calculations'!$HZ$13:$HZ$512,"="&amp;SUBSTITUTE(SUBSTITUTE(SUBSTITUTE('Calculations'!HF275,"~","~~"),"*","~*"),"?","~?"),'Calculations'!$HN$13:$HN$512,"="&amp;SUBSTITUTE(SUBSTITUTE(SUBSTITUTE('Dashboard'!$B$7,"~","~~"),"*","~*"),"?","~?"))+COUNTIFS('Calculations'!$IA$13:$IA$512,"="&amp;SUBSTITUTE(SUBSTITUTE(SUBSTITUTE('Calculations'!HF275,"~","~~"),"*","~*"),"?","~?"),'Calculations'!$HN$13:$HN$512,"="&amp;SUBSTITUTE(SUBSTITUTE(SUBSTITUTE('Dashboard'!$B$7,"~","~~"),"*","~*"),"?","~?"))+COUNTIFS('Calculations'!$IB$13:$IB$512,"="&amp;SUBSTITUTE(SUBSTITUTE(SUBSTITUTE('Calculations'!HF275,"~","~~"),"*","~*"),"?","~?"),'Calculations'!$HN$13:$HN$512,"="&amp;SUBSTITUTE(SUBSTITUTE(SUBSTITUTE('Dashboard'!$B$7,"~","~~"),"*","~*"),"?","~?"))+COUNTIFS('Calculations'!$IC$13:$IC$512,"="&amp;SUBSTITUTE(SUBSTITUTE(SUBSTITUTE('Calculations'!HF275,"~","~~"),"*","~*"),"?","~?"),'Calculations'!$HN$13:$HN$512,"="&amp;SUBSTITUTE(SUBSTITUTE(SUBSTITUTE('Dashboard'!$B$7,"~","~~"),"*","~*"),"?","~?"))+COUNTIFS('Calculations'!$ID$13:$ID$512,"="&amp;SUBSTITUTE(SUBSTITUTE(SUBSTITUTE('Calculations'!HF275,"~","~~"),"*","~*"),"?","~?"),'Calculations'!$HN$13:$HN$512,"="&amp;SUBSTITUTE(SUBSTITUTE(SUBSTITUTE('Dashboard'!$B$7,"~","~~"),"*","~*"),"?","~?"))+COUNTIFS('Calculations'!$IE$13:$IE$512,"="&amp;SUBSTITUTE(SUBSTITUTE(SUBSTITUTE('Calculations'!HF275,"~","~~"),"*","~*"),"?","~?"),'Calculations'!$HN$13:$HN$512,"="&amp;SUBSTITUTE(SUBSTITUTE(SUBSTITUTE('Dashboard'!$B$7,"~","~~"),"*","~*"),"?","~?"))+COUNTIFS('Calculations'!$IF$13:$IF$512,"="&amp;SUBSTITUTE(SUBSTITUTE(SUBSTITUTE('Calculations'!HF275,"~","~~"),"*","~*"),"?","~?"),'Calculations'!$HN$13:$HN$512,"="&amp;SUBSTITUTE(SUBSTITUTE(SUBSTITUTE('Dashboard'!$B$7,"~","~~"),"*","~*"),"?","~?"))+COUNTIFS('Calculations'!$IG$13:$IG$512,"="&amp;SUBSTITUTE(SUBSTITUTE(SUBSTITUTE('Calculations'!HF275,"~","~~"),"*","~*"),"?","~?"),'Calculations'!$HN$13:$HN$512,"="&amp;SUBSTITUTE(SUBSTITUTE(SUBSTITUTE('Dashboard'!$B$7,"~","~~"),"*","~*"),"?","~?"))+COUNTIFS('Calculations'!$IH$13:$IH$512,"="&amp;SUBSTITUTE(SUBSTITUTE(SUBSTITUTE('Calculations'!HF275,"~","~~"),"*","~*"),"?","~?"),'Calculations'!$HN$13:$HN$512,"="&amp;SUBSTITUTE(SUBSTITUTE(SUBSTITUTE('Dashboard'!$B$7,"~","~~"),"*","~*"),"?","~?"))))</x:f>
        <x:v>0</x:v>
      </x:c>
      <x:c r="JD275" t="n">
        <x:f>IF('Calculations'!EM275="",0,IF('Dashboard'!$B$7="All",1,IF('Calculations'!HN275='Dashboard'!$B$7,1,0)+IFERROR(INDEX('Calculations'!$JC$13:$JC$512,MATCH('Calculations'!HE275,'Calculations'!$HF$13:$HF$512,0)),0)))</x:f>
        <x:v>0</x:v>
      </x:c>
      <x:c r="JE275" t="n">
        <x:f>IF(AND('Calculations'!EM275&lt;&gt;"",'Calculations'!$JJ$2&lt;&gt;"All",'Calculations'!$JJ$2&lt;&gt;"",'Calculations'!HF275='Calculations'!$JJ$2,'Calculations'!HL275=0,'Calculations'!JD275&gt;0),MAX('Calculations'!$JE$12:JE274)+1,0)</x:f>
        <x:v>0</x:v>
      </x:c>
      <x:c r="JF275" t="str">
        <x:f>IF('Calculations'!EM275="","",IFERROR(IF(INDEX(INDIRECT("'WCM Calibration Final'!$G$1:$G$2000"),'Calculations'!$EM275)="","",TRIM(INDEX(INDIRECT("'WCM Calibration Final'!$G$1:$G$2000"),'Calculations'!$EM275)&amp;"")),""))</x:f>
      </x:c>
      <x:c r="JQ275" t="n">
        <x:f>IF(OR('Calculations'!BM275=0,NOT('Calculations'!$AG$2),'Calculations'!$AG$8&gt;0),0,IF(OR('Dashboard'!$B$7="All",'Calculations'!HN275='Dashboard'!$B$7),IF('Calculations'!$JJ$2="All",1,IF(AND('Calculations'!HF275='Calculations'!$JJ$2,'Calculations'!HL275=0),1,0)),0))</x:f>
        <x:v>0</x:v>
      </x:c>
    </x:row>
    <x:row r="276">
      <x:c r="AF276" s="4" t="str">
        <x:f>IF('Calculations'!AH276=0,"","Officer (n="&amp;'Calculations'!AH276&amp;")")</x:f>
      </x:c>
      <x:c r="AG276" s="4" t="n">
        <x:f>COUNTIFS('Calculations'!$BN$13:$BN$512,1,'Calculations'!$BV$13:$BV$512,'Calculations'!AT276)</x:f>
        <x:v>0</x:v>
      </x:c>
      <x:c r="AH276" s="4" t="n">
        <x:f>SUM('Calculations'!AJ276:AM276)</x:f>
        <x:v>0</x:v>
      </x:c>
      <x:c r="AI276" s="4" t="n">
        <x:f>'Calculations'!AG276-'Calculations'!AH276</x:f>
        <x:v>0</x:v>
      </x:c>
      <x:c r="AJ276" s="4" t="n">
        <x:f>COUNTIFS('Calculations'!$BN$13:$BN$512,1,'Calculations'!$BV$13:$BV$512,'Calculations'!AT276,'Calculations'!$BP$13:$BP$512,1)</x:f>
        <x:v>0</x:v>
      </x:c>
      <x:c r="AK276" s="4" t="n">
        <x:f>COUNTIFS('Calculations'!$BN$13:$BN$512,1,'Calculations'!$BV$13:$BV$512,'Calculations'!AT276,'Calculations'!$BP$13:$BP$512,2)</x:f>
        <x:v>0</x:v>
      </x:c>
      <x:c r="AL276" s="4" t="n">
        <x:f>COUNTIFS('Calculations'!$BN$13:$BN$512,1,'Calculations'!$BV$13:$BV$512,'Calculations'!AT276,'Calculations'!$BP$13:$BP$512,3)</x:f>
        <x:v>0</x:v>
      </x:c>
      <x:c r="AM276" s="4" t="n">
        <x:f>COUNTIFS('Calculations'!$BN$13:$BN$512,1,'Calculations'!$BV$13:$BV$512,'Calculations'!AT276,'Calculations'!$BP$13:$BP$512,4)</x:f>
        <x:v>0</x:v>
      </x:c>
      <x:c r="AN276" s="4"/>
      <x:c r="AO276" s="4" t="n">
        <x:f>IF('Calculations'!AH276=0,0,'Calculations'!AJ276/'Calculations'!AH276)</x:f>
        <x:v>0</x:v>
      </x:c>
      <x:c r="AP276" s="4" t="n">
        <x:f>IF('Calculations'!AH276=0,0,'Calculations'!AK276/'Calculations'!AH276)</x:f>
        <x:v>0</x:v>
      </x:c>
      <x:c r="AQ276" s="4" t="n">
        <x:f>IF('Calculations'!AH276=0,0,'Calculations'!AL276/'Calculations'!AH276)</x:f>
        <x:v>0</x:v>
      </x:c>
      <x:c r="AR276" s="4" t="n">
        <x:f>IF('Calculations'!AH276=0,0,'Calculations'!AM276/'Calculations'!AH276)</x:f>
        <x:v>0</x:v>
      </x:c>
      <x:c r="AS276" s="4"/>
      <x:c r="AT276" s="4" t="str">
        <x:v>OFFICER</x:v>
      </x:c>
      <x:c r="AU276" s="4"/>
      <x:c r="AV276" s="4"/>
      <x:c r="AW276" s="4"/>
      <x:c r="AX276" s="4"/>
      <x:c r="AY276" s="4"/>
      <x:c r="AZ276" s="4"/>
      <x:c r="BA276" s="4"/>
      <x:c r="BB276" s="4"/>
      <x:c r="BC276" s="4"/>
      <x:c r="BD276" s="4"/>
      <x:c r="BE276" s="4"/>
      <x:c r="BF276" s="4"/>
      <x:c r="BG276" s="4"/>
      <x:c r="BH276" s="4"/>
      <x:c r="BI276" s="4"/>
      <x:c r="BJ276" s="4"/>
      <x:c r="BK276" s="4"/>
      <x:c r="BL276" s="4"/>
      <x:c r="BM276" s="4" t="n">
        <x:f>IF('Calculations'!$EM276="",0,IF(OR(IFERROR(INDEX(INDIRECT("'WCM Calibration Final'!$A$1:$A$2000"),'Calculations'!$EM276)&lt;&gt;"",FALSE),IFERROR(INDEX(INDIRECT("'WCM Calibration Final'!$B$1:$B$2000"),'Calculations'!$EM276)&lt;&gt;"",FALSE),IFERROR(INDEX(INDIRECT("'WCM Calibration Final'!$C$1:$C$2000"),'Calculations'!$EM276)&lt;&gt;"",FALSE)),1,0))</x:f>
        <x:v>0</x:v>
      </x:c>
      <x:c r="BN276" s="4" t="n">
        <x:f>IF(AND('Calculations'!BM276=1,'Calculations'!$AG$2,'Calculations'!$EN276=1),1,0)</x:f>
        <x:v>0</x:v>
      </x:c>
      <x:c r="BO276" s="4" t="str">
        <x:f>IF('Calculations'!BM276=0,"",IFERROR(IF(AND(VALUE(INDEX(INDIRECT("'WCM Calibration Final'!$K$1:$K$2000"),'Calculations'!$EM276))&gt;=1,VALUE(INDEX(INDIRECT("'WCM Calibration Final'!$K$1:$K$2000"),'Calculations'!$EM276))&lt;=4,MOD(VALUE(INDEX(INDIRECT("'WCM Calibration Final'!$K$1:$K$2000"),'Calculations'!$EM276)),1)=0),VALUE(INDEX(INDIRECT("'WCM Calibration Final'!$K$1:$K$2000"),'Calculations'!$EM276)),""),""))</x:f>
      </x:c>
      <x:c r="BP276" s="4" t="str">
        <x:f>IF('Calculations'!BM276=0,"",IFERROR(IF(AND(VALUE(INDEX(INDIRECT("'WCM Calibration Final'!$L$1:$L$2000"),'Calculations'!$EM276))&gt;=1,VALUE(INDEX(INDIRECT("'WCM Calibration Final'!$L$1:$L$2000"),'Calculations'!$EM276))&lt;=4,MOD(VALUE(INDEX(INDIRECT("'WCM Calibration Final'!$L$1:$L$2000"),'Calculations'!$EM276)),1)=0),VALUE(INDEX(INDIRECT("'WCM Calibration Final'!$L$1:$L$2000"),'Calculations'!$EM276)),""),""))</x:f>
      </x:c>
      <x:c r="BQ276" s="4"/>
      <x:c r="BR276" s="4"/>
      <x:c r="BS276" s="4"/>
      <x:c r="BT276" s="4" t="n">
        <x:f>IF(AND('Calculations'!BM276=1,ISNUMBER('Calculations'!BO276),ISNUMBER('Calculations'!BP276)),1,0)</x:f>
        <x:v>0</x:v>
      </x:c>
      <x:c r="BU276" s="4" t="str">
        <x:f>IF('Calculations'!BM276=0,"",'Calculations'!$EO276)</x:f>
      </x:c>
      <x:c r="BV276" s="4" t="str">
        <x:f>IF('Calculations'!BM276=0,"",IFERROR(IF(OR(INDEX(INDIRECT("'WCM Calibration Final'!$H$1:$H$2000"),'Calculations'!$EM276)="MANAGING DIRECTOR",INDEX(INDIRECT("'WCM Calibration Final'!$H$1:$H$2000"),'Calculations'!$EM276)="DIRECTOR",INDEX(INDIRECT("'WCM Calibration Final'!$H$1:$H$2000"),'Calculations'!$EM276)="SENIOR VICE PRESIDENT",INDEX(INDIRECT("'WCM Calibration Final'!$H$1:$H$2000"),'Calculations'!$EM276)="VICE PRESIDENT",INDEX(INDIRECT("'WCM Calibration Final'!$H$1:$H$2000"),'Calculations'!$EM276)="ASSISTANT VICE PRESIDENT",INDEX(INDIRECT("'WCM Calibration Final'!$H$1:$H$2000"),'Calculations'!$EM276)="OFFICER"),UPPER(INDEX(INDIRECT("'WCM Calibration Final'!$H$1:$H$2000"),'Calculations'!$EM276)),"Other"),"Other"))</x:f>
      </x:c>
      <x:c r="BW276" s="4"/>
      <x:c r="BX276" s="4"/>
      <x:c r="BY276" s="4" t="n">
        <x:f>IF(AND('Calculations'!BM276=1,'Calculations'!BU276&lt;&gt;"",COUNTIF('Calculations'!$BU$12:BU276,'Calculations'!BU276)=1),MAX('Calculations'!$BY$11:BY275)+1,0)</x:f>
        <x:v>0</x:v>
      </x:c>
      <x:c r="BZ276" s="4" t="str">
        <x:f>IF('Dashboard'!$E$67="What",'Calculations'!BO276,'Calculations'!BP276)</x:f>
      </x:c>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t="str">
        <x:f>IF(265&gt;MAX('Calculations'!$HI$13:$HI$512),"",INDEX('Calculations'!$HN$13:$HN$512,MATCH(265,'Calculations'!$HI$13:$HI$512,0)))</x:f>
      </x:c>
      <x:c r="DB276" s="4" t="str">
        <x:f>IF(265&gt;MAX('Calculations'!$HH$13:$HH$512),"",INDEX('Calculations'!$HJ$13:$HJ$512,MATCH(265,'Calculations'!$HH$13:$HH$512,0)))</x:f>
      </x:c>
      <x:c r="DC276" s="4" t="str">
        <x:f>IF(ROW()-11&gt;MAX('Calculations'!$BY$13:$BY$512),"",INDEX('Calculations'!$BU$13:$BU$512,MATCH(ROW()-11,'Calculations'!$BY$13:$BY$512,0)))</x:f>
      </x:c>
      <x:c r="DD276" s="4" t="str">
        <x:f>IF(265&gt;MAX('Calculations'!$IK$13:$IK$512),"",INDEX('Calculations'!$HK$13:$HK$512,MATCH(265,'Calculations'!$IK$13:$IK$512,0)))</x:f>
      </x:c>
      <x:c r="DE276" s="4" t="str">
        <x:f>'Calculations'!DC276</x:f>
      </x:c>
      <x:c r="DF276" s="4" t="str">
        <x:f>IF('Calculations'!DE276="","",COUNTIFS('Calculations'!$BN$13:$BN$512,1,'Calculations'!$BU$13:$BU$512,'Calculations'!DE276))</x:f>
      </x:c>
      <x:c r="DG276" s="4" t="str">
        <x:f>IF('Calculations'!DE276="","",COUNTIFS('Calculations'!$BN$13:$BN$512,1,'Calculations'!$BU$13:$BU$512,'Calculations'!DE276,'Calculations'!$BT$13:$BT$512,1))</x:f>
      </x:c>
      <x:c r="DH276" s="4" t="str">
        <x:f>IF('Calculations'!DE276="","",'Calculations'!DF276-'Calculations'!DG276)</x:f>
      </x:c>
      <x:c r="DI276" s="4" t="str">
        <x:f>IF(OR('Calculations'!DE276="",'Calculations'!DF276=0),"",'Calculations'!DG276/'Calculations'!DF276)</x:f>
      </x:c>
      <x:c r="DJ276" s="4" t="str">
        <x:f>IF('Calculations'!DE276="","",COUNTIFS('Calculations'!$BN$13:$BN$512,1,'Calculations'!$BU$13:$BU$512,'Calculations'!DE276,'Calculations'!$BT$13:$BT$512,1,'Calculations'!$EE$13:$EE$512,"High"))</x:f>
      </x:c>
      <x:c r="DK276" s="4" t="str">
        <x:f>IF('Calculations'!DE276="","",COUNTIFS('Calculations'!$BN$13:$BN$512,1,'Calculations'!$BU$13:$BU$512,'Calculations'!DE276,'Calculations'!$BT$13:$BT$512,1,'Calculations'!$EE$13:$EE$512,"Strong"))</x:f>
      </x:c>
      <x:c r="DL276" s="4" t="str">
        <x:f>IF('Calculations'!DE276="","",COUNTIFS('Calculations'!$BN$13:$BN$512,1,'Calculations'!$BU$13:$BU$512,'Calculations'!DE276,'Calculations'!$BT$13:$BT$512,1,'Calculations'!$EE$13:$EE$512,"Solid"))</x:f>
      </x:c>
      <x:c r="DM276" s="4" t="str">
        <x:f>IF('Calculations'!DE276="","",COUNTIFS('Calculations'!$BN$13:$BN$512,1,'Calculations'!$BU$13:$BU$512,'Calculations'!DE276,'Calculations'!$BT$13:$BT$512,1,'Calculations'!$EE$13:$EE$512,"Low"))</x:f>
      </x:c>
      <x:c r="DN276" s="4" t="str">
        <x:f>IF('Calculations'!DE276="","",COUNTIFS('Calculations'!$BN$13:$BN$512,1,'Calculations'!$BU$13:$BU$512,'Calculations'!DE276,'Calculations'!$EP$13:$EP$512,1))</x:f>
      </x:c>
      <x:c r="DO276" s="4" t="str">
        <x:f>IF(OR('Calculations'!DE276="",'Calculations'!DG276=0),"",('Calculations'!DJ276+'Calculations'!DK276)/'Calculations'!DG276)</x:f>
      </x:c>
      <x:c r="DP276" s="4" t="n">
        <x:f>IF(AND('Calculations'!DE276&lt;&gt;"",'Calculations'!DF276&gt;0),COUNTIF('Calculations'!$DF$12:DF276,"&gt;0"),0)</x:f>
        <x:v>0</x:v>
      </x:c>
      <x:c r="DQ276" s="4" t="str">
        <x:f>IF(265&gt;MAX('Calculations'!$HH$13:$HH$512),"",INDEX('Calculations'!$HF$13:$HF$512,MATCH(265,'Calculations'!$HH$13:$HH$512,0)))</x:f>
      </x:c>
      <x:c r="DR276" s="4" t="str">
        <x:f>IF(265&gt;MAX('Calculations'!$IK$13:$IK$512),"",INDEX('Calculations'!$HE$13:$HE$512,MATCH(265,'Calculations'!$IK$13:$IK$512,0)))</x:f>
      </x:c>
      <x:c r="DS276" s="4"/>
      <x:c r="DT276" s="4"/>
      <x:c r="DU276" s="4"/>
      <x:c r="DV276" s="4"/>
      <x:c r="DW276" s="4"/>
      <x:c r="DX276" s="4"/>
      <x:c r="DY276" s="4"/>
      <x:c r="DZ276" s="4"/>
      <x:c r="EA276" s="4"/>
      <x:c r="EB276" s="4"/>
      <x:c r="EC276" s="4"/>
      <x:c r="ED276" s="4"/>
      <x:c r="EE276" s="4" t="str">
        <x:f>IF('Calculations'!BT276=0,"Not Rated",IF(OR('Calculations'!BO276&gt;=4,'Calculations'!BP276&gt;=4),"Low",IF('Calculations'!BO276+'Calculations'!BP276&lt;=3,"High",IF('Calculations'!BO276+'Calculations'!BP276&lt;=4,"Strong","Solid"))))</x:f>
        <x:v>Not Rated</x:v>
      </x:c>
      <x:c r="EF276" s="4"/>
      <x:c r="EG276" s="4"/>
      <x:c r="EH276" s="4"/>
      <x:c r="EI276" s="4"/>
      <x:c r="EJ276" s="4"/>
      <x:c r="EK276" s="4"/>
      <x:c r="EL276" s="4"/>
      <x:c r="EM276" s="4" t="str">
        <x:f>IF(264&gt;'Calculations'!$JB$2000,"",INDEX('Calculations'!$JA$12:$JA$2000,MATCH(264,'Calculations'!$JB$12:$JB$2000,0)))</x:f>
      </x:c>
      <x:c r="EN276" s="4" t="n">
        <x:f>IF(OR('Calculations'!EM276="",'Calculations'!$AG$8&gt;0,AND('Calculations'!$EF$2&lt;&gt;"All",'Calculations'!HE276='Calculations'!$EF$2),AND('Calculations'!$EF$3&lt;&gt;"All",'Calculations'!HE276='Calculations'!$EF$3)),0,IF(OR('Dashboard'!$B$7="All",'Calculations'!HN276='Dashboard'!$B$7),IF('Calculations'!$EF$2="All",1,IF('Calculations'!HL276&gt;0,0,IF(COUNTIF('Calculations'!HO276:II276,"="&amp;SUBSTITUTE(SUBSTITUTE(SUBSTITUTE('Calculations'!$EF$2,"~","~~"),"*","~*"),"?","~?"))=0,0,IF('Calculations'!$EF$3="All",1,IF(COUNTIF('Calculations'!HO276:II276,"="&amp;SUBSTITUTE(SUBSTITUTE(SUBSTITUTE('Calculations'!$EF$3,"~","~~"),"*","~*"),"?","~?"))&gt;0,1,0))))),0))</x:f>
        <x:v>0</x:v>
      </x:c>
      <x:c r="EO276" s="4" t="str">
        <x:f>IF('Calculations'!IJ276="","",IF('Calculations'!IJ276="!UNRESOLVED","Unresolved hierarchy",IFERROR(INDEX('Calculations'!$HK$13:$HK$512,MATCH('Calculations'!IJ276,'Calculations'!$HE$13:$HE$512,0)),IFERROR(INDEX('Calculations'!$HJ$13:$HJ$512,MATCH('Calculations'!IJ276,'Calculations'!$HF$13:$HF$512,0)),'Calculations'!IJ276))))</x:f>
      </x:c>
      <x:c r="EP276" s="4" t="n">
        <x:f>IF(AND('Calculations'!EM276&lt;&gt;"",'Calculations'!HF276='Calculations'!IJ276),1,0)</x:f>
        <x:v>0</x:v>
      </x:c>
      <x:c r="EQ276" s="4"/>
      <x:c r="ER276" s="4"/>
      <x:c r="ES276" s="4"/>
      <x:c r="ET276" s="4"/>
      <x:c r="EU276" s="4"/>
      <x:c r="EV276" s="4"/>
      <x:c r="EW276" s="4"/>
      <x:c r="EX276" s="4"/>
      <x:c r="EY276" s="4"/>
      <x:c r="EZ276" s="4"/>
      <x:c r="FA276" s="4"/>
      <x:c r="FB276" s="4"/>
      <x:c r="FC276" s="4"/>
      <x:c r="FD276" s="4"/>
      <x:c r="FE276" s="4"/>
      <x:c r="FF276" s="4"/>
      <x:c r="FG276" s="4"/>
      <x:c r="FH276" s="4"/>
      <x:c r="FI276" s="4"/>
      <x:c r="FJ276" s="4"/>
      <x:c r="FK276" s="4"/>
      <x:c r="FL276" s="4"/>
      <x:c r="FM276" s="4"/>
      <x:c r="FN276" s="4"/>
      <x:c r="FO276" s="4"/>
      <x:c r="HE276" t="str">
        <x:f>IF('Calculations'!EM276="","",IF(IFERROR(IF(INDEX(INDIRECT("'WCM Calibration Final'!$A$1:$A$2000"),'Calculations'!$EM276)="","",TRIM(INDEX(INDIRECT("'WCM Calibration Final'!$A$1:$A$2000"),'Calculations'!$EM276)&amp;"")),"")&lt;&gt;"","G:"&amp;IFERROR(TEXT(1*INDEX(INDIRECT("'WCM Calibration Final'!$A$1:$A$2000"),'Calculations'!$EM276),"0"),UPPER(IFERROR(IF(INDEX(INDIRECT("'WCM Calibration Final'!$A$1:$A$2000"),'Calculations'!$EM276)="","",TRIM(INDEX(INDIRECT("'WCM Calibration Final'!$A$1:$A$2000"),'Calculations'!$EM276)&amp;"")),""))),IF(IFERROR(IF(INDEX(INDIRECT("'WCM Calibration Final'!$C$1:$C$2000"),'Calculations'!$EM276)="","",TRIM(INDEX(INDIRECT("'WCM Calibration Final'!$C$1:$C$2000"),'Calculations'!$EM276)&amp;"")),"")&lt;&gt;"","S:"&amp;UPPER(IFERROR(IF(INDEX(INDIRECT("'WCM Calibration Final'!$C$1:$C$2000"),'Calculations'!$EM276)="","",TRIM(INDEX(INDIRECT("'WCM Calibration Final'!$C$1:$C$2000"),'Calculations'!$EM276)&amp;"")),"")),"R:"&amp;'Calculations'!EM276)))</x:f>
      </x:c>
      <x:c r="HF276" t="str">
        <x:f>IF('Calculations'!EM276="","",IF(IFERROR(IF(INDEX(INDIRECT("'WCM Calibration Final'!$D$1:$D$2000"),'Calculations'!$EM276)="","",TRIM(INDEX(INDIRECT("'WCM Calibration Final'!$D$1:$D$2000"),'Calculations'!$EM276)&amp;"")),"")&lt;&gt;"","G:"&amp;IFERROR(TEXT(1*INDEX(INDIRECT("'WCM Calibration Final'!$D$1:$D$2000"),'Calculations'!$EM276),"0"),UPPER(IFERROR(IF(INDEX(INDIRECT("'WCM Calibration Final'!$D$1:$D$2000"),'Calculations'!$EM276)="","",TRIM(INDEX(INDIRECT("'WCM Calibration Final'!$D$1:$D$2000"),'Calculations'!$EM276)&amp;"")),""))),IF(IFERROR(IF(INDEX(INDIRECT("'WCM Calibration Final'!$E$1:$E$2000"),'Calculations'!$EM276)="","",TRIM(INDEX(INDIRECT("'WCM Calibration Final'!$E$1:$E$2000"),'Calculations'!$EM276)&amp;"")),"")="","",IF(COUNTIF('Calculations'!$HG$13:$HG$512,"="&amp;SUBSTITUTE(SUBSTITUTE(SUBSTITUTE(IFERROR(IF(INDEX(INDIRECT("'WCM Calibration Final'!$E$1:$E$2000"),'Calculations'!$EM276)="","",TRIM(INDEX(INDIRECT("'WCM Calibration Final'!$E$1:$E$2000"),'Calculations'!$EM276)&amp;"")),""),"~","~~"),"*","~*"),"?","~?"))=1,INDEX('Calculations'!$HE$13:$HE$512,MATCH(IFERROR(IF(INDEX(INDIRECT("'WCM Calibration Final'!$E$1:$E$2000"),'Calculations'!$EM276)="","",TRIM(INDEX(INDIRECT("'WCM Calibration Final'!$E$1:$E$2000"),'Calculations'!$EM276)&amp;"")),""),'Calculations'!$HG$13:$HG$512,0)),IF(COUNTIF('Calculations'!$HG$13:$HG$512,"="&amp;SUBSTITUTE(SUBSTITUTE(SUBSTITUTE(IFERROR(IF(INDEX(INDIRECT("'WCM Calibration Final'!$E$1:$E$2000"),'Calculations'!$EM276)="","",TRIM(INDEX(INDIRECT("'WCM Calibration Final'!$E$1:$E$2000"),'Calculations'!$EM276)&amp;"")),""),"~","~~"),"*","~*"),"?","~?"))&gt;1,"!AMBIG","X:"&amp;IFERROR(IF(INDEX(INDIRECT("'WCM Calibration Final'!$E$1:$E$2000"),'Calculations'!$EM276)="","",TRIM(INDEX(INDIRECT("'WCM Calibration Final'!$E$1:$E$2000"),'Calculations'!$EM276)&amp;"")),""))))))</x:f>
      </x:c>
      <x:c r="HG276" t="str">
        <x:f>IF('Calculations'!EM276="","",IFERROR(IF(INDEX(INDIRECT("'WCM Calibration Final'!$B$1:$B$2000"),'Calculations'!$EM276)="","",TRIM(INDEX(INDIRECT("'WCM Calibration Final'!$B$1:$B$2000"),'Calculations'!$EM276)&amp;"")),""))</x:f>
      </x:c>
      <x:c r="HH276" t="n">
        <x:f>IF(AND('Calculations'!JC276&gt;0,COUNTIF('Calculations'!$HF$12:HF276,"="&amp;SUBSTITUTE(SUBSTITUTE(SUBSTITUTE('Calculations'!HF276,"~","~~"),"*","~*"),"?","~?"))=1),MAX('Calculations'!$HH$12:HH275)+1,0)</x:f>
        <x:v>0</x:v>
      </x:c>
      <x:c r="HI276" t="n">
        <x:f>IF(AND('Calculations'!HN276&lt;&gt;"",COUNTIF('Calculations'!$HN$12:HN276,"="&amp;SUBSTITUTE(SUBSTITUTE(SUBSTITUTE('Calculations'!HN276,"~","~~"),"*","~*"),"?","~?"))=1),MAX('Calculations'!$HI$12:HI275)+1,0)</x:f>
        <x:v>0</x:v>
      </x:c>
      <x:c r="HJ276" t="str">
        <x:f>IF('Calculations'!HF276="","",IF(COUNTIF('Calculations'!$HE$13:$HE$512,"="&amp;SUBSTITUTE(SUBSTITUTE(SUBSTITUTE('Calculations'!HF276,"~","~~"),"*","~*"),"?","~?"))=1,INDEX('Calculations'!$HK$13:$HK$512,MATCH('Calculations'!HF276,'Calculations'!$HE$13:$HE$512,0)),IFERROR(IF(INDEX(INDIRECT("'WCM Calibration Final'!$E$1:$E$2000"),'Calculations'!$EM276)="","",TRIM(INDEX(INDIRECT("'WCM Calibration Final'!$E$1:$E$2000"),'Calculations'!$EM276)&amp;"")),"")&amp;" ["&amp;'Calculations'!HF276&amp;"]"))</x:f>
      </x:c>
      <x:c r="HK276" t="str">
        <x:f>IF('Calculations'!EM276="","",'Calculations'!HG276&amp;" ["&amp;'Calculations'!HE276&amp;"]")</x:f>
      </x:c>
      <x:c r="HL276" t="n">
        <x:f>IF('Calculations'!EM276="",0,IF(OR('Calculations'!II276&lt;&gt;"",COUNTIF('Calculations'!$HE$13:$HE$512,"="&amp;SUBSTITUTE(SUBSTITUTE(SUBSTITUTE('Calculations'!HE276,"~","~~"),"*","~*"),"?","~?"))&gt;1),1,0))</x:f>
        <x:v>0</x:v>
      </x:c>
      <x:c r="HM276" t="str">
        <x:f>IF('Calculations'!EM276="","",IF('Calculations'!HL276=1,"!UNRESOLVED",IF('Calculations'!IH276&lt;&gt;"",'Calculations'!IH276,IF('Calculations'!IG276&lt;&gt;"",'Calculations'!IG276,IF('Calculations'!IF276&lt;&gt;"",'Calculations'!IF276,IF('Calculations'!IE276&lt;&gt;"",'Calculations'!IE276,IF('Calculations'!ID276&lt;&gt;"",'Calculations'!ID276,IF('Calculations'!IC276&lt;&gt;"",'Calculations'!IC276,IF('Calculations'!IB276&lt;&gt;"",'Calculations'!IB276,IF('Calculations'!IA276&lt;&gt;"",'Calculations'!IA276,IF('Calculations'!HZ276&lt;&gt;"",'Calculations'!HZ276,IF('Calculations'!HY276&lt;&gt;"",'Calculations'!HY276,IF('Calculations'!HX276&lt;&gt;"",'Calculations'!HX276,IF('Calculations'!HW276&lt;&gt;"",'Calculations'!HW276,IF('Calculations'!HV276&lt;&gt;"",'Calculations'!HV276,IF('Calculations'!HU276&lt;&gt;"",'Calculations'!HU276,IF('Calculations'!HT276&lt;&gt;"",'Calculations'!HT276,IF('Calculations'!HS276&lt;&gt;"",'Calculations'!HS276,IF('Calculations'!HR276&lt;&gt;"",'Calculations'!HR276,IF('Calculations'!HQ276&lt;&gt;"",'Calculations'!HQ276,IF('Calculations'!HP276&lt;&gt;"",'Calculations'!HP276,IF('Calculations'!HO276&lt;&gt;"",'Calculations'!HO276,'Calculations'!HE276))))))))))))))))))))))</x:f>
      </x:c>
      <x:c r="HN276" t="str">
        <x:f>IF('Calculations'!EM276="","",IF(IFERROR(IF(INDEX(INDIRECT("'WCM Calibration Final'!$F$1:$F$2000"),'Calculations'!$EM276)="","",TRIM(INDEX(INDIRECT("'WCM Calibration Final'!$F$1:$F$2000"),'Calculations'!$EM276)&amp;"")),"")="","(Blank)",IFERROR(IF(INDEX(INDIRECT("'WCM Calibration Final'!$F$1:$F$2000"),'Calculations'!$EM276)="","",TRIM(INDEX(INDIRECT("'WCM Calibration Final'!$F$1:$F$2000"),'Calculations'!$EM276)&amp;"")),"")))</x:f>
      </x:c>
      <x:c r="HO276" t="str">
        <x:f>'Calculations'!HF276</x:f>
      </x:c>
      <x:c r="HP276" t="str">
        <x:f>IF('Calculations'!HO276="","",IF('Calculations'!HO276="!AMBIG","!AMBIG",IF(COUNTIF('Calculations'!$HE$13:$HE$512,"="&amp;SUBSTITUTE(SUBSTITUTE(SUBSTITUTE('Calculations'!HO276,"~","~~"),"*","~*"),"?","~?"))&gt;1,"!AMBIG",IFERROR(INDEX('Calculations'!$HF$13:$HF$512,MATCH('Calculations'!HO276,'Calculations'!$HE$13:$HE$512,0)),""))))</x:f>
      </x:c>
      <x:c r="HQ276" t="str">
        <x:f>IF('Calculations'!HP276="","",IF('Calculations'!HP276="!AMBIG","!AMBIG",IF(COUNTIF('Calculations'!$HE$13:$HE$512,"="&amp;SUBSTITUTE(SUBSTITUTE(SUBSTITUTE('Calculations'!HP276,"~","~~"),"*","~*"),"?","~?"))&gt;1,"!AMBIG",IFERROR(INDEX('Calculations'!$HF$13:$HF$512,MATCH('Calculations'!HP276,'Calculations'!$HE$13:$HE$512,0)),""))))</x:f>
      </x:c>
      <x:c r="HR276" t="str">
        <x:f>IF('Calculations'!HQ276="","",IF('Calculations'!HQ276="!AMBIG","!AMBIG",IF(COUNTIF('Calculations'!$HE$13:$HE$512,"="&amp;SUBSTITUTE(SUBSTITUTE(SUBSTITUTE('Calculations'!HQ276,"~","~~"),"*","~*"),"?","~?"))&gt;1,"!AMBIG",IFERROR(INDEX('Calculations'!$HF$13:$HF$512,MATCH('Calculations'!HQ276,'Calculations'!$HE$13:$HE$512,0)),""))))</x:f>
      </x:c>
      <x:c r="HS276" t="str">
        <x:f>IF('Calculations'!HR276="","",IF('Calculations'!HR276="!AMBIG","!AMBIG",IF(COUNTIF('Calculations'!$HE$13:$HE$512,"="&amp;SUBSTITUTE(SUBSTITUTE(SUBSTITUTE('Calculations'!HR276,"~","~~"),"*","~*"),"?","~?"))&gt;1,"!AMBIG",IFERROR(INDEX('Calculations'!$HF$13:$HF$512,MATCH('Calculations'!HR276,'Calculations'!$HE$13:$HE$512,0)),""))))</x:f>
      </x:c>
      <x:c r="HT276" t="str">
        <x:f>IF('Calculations'!HS276="","",IF('Calculations'!HS276="!AMBIG","!AMBIG",IF(COUNTIF('Calculations'!$HE$13:$HE$512,"="&amp;SUBSTITUTE(SUBSTITUTE(SUBSTITUTE('Calculations'!HS276,"~","~~"),"*","~*"),"?","~?"))&gt;1,"!AMBIG",IFERROR(INDEX('Calculations'!$HF$13:$HF$512,MATCH('Calculations'!HS276,'Calculations'!$HE$13:$HE$512,0)),""))))</x:f>
      </x:c>
      <x:c r="HU276" t="str">
        <x:f>IF('Calculations'!HT276="","",IF('Calculations'!HT276="!AMBIG","!AMBIG",IF(COUNTIF('Calculations'!$HE$13:$HE$512,"="&amp;SUBSTITUTE(SUBSTITUTE(SUBSTITUTE('Calculations'!HT276,"~","~~"),"*","~*"),"?","~?"))&gt;1,"!AMBIG",IFERROR(INDEX('Calculations'!$HF$13:$HF$512,MATCH('Calculations'!HT276,'Calculations'!$HE$13:$HE$512,0)),""))))</x:f>
      </x:c>
      <x:c r="HV276" t="str">
        <x:f>IF('Calculations'!HU276="","",IF('Calculations'!HU276="!AMBIG","!AMBIG",IF(COUNTIF('Calculations'!$HE$13:$HE$512,"="&amp;SUBSTITUTE(SUBSTITUTE(SUBSTITUTE('Calculations'!HU276,"~","~~"),"*","~*"),"?","~?"))&gt;1,"!AMBIG",IFERROR(INDEX('Calculations'!$HF$13:$HF$512,MATCH('Calculations'!HU276,'Calculations'!$HE$13:$HE$512,0)),""))))</x:f>
      </x:c>
      <x:c r="HW276" t="str">
        <x:f>IF('Calculations'!HV276="","",IF('Calculations'!HV276="!AMBIG","!AMBIG",IF(COUNTIF('Calculations'!$HE$13:$HE$512,"="&amp;SUBSTITUTE(SUBSTITUTE(SUBSTITUTE('Calculations'!HV276,"~","~~"),"*","~*"),"?","~?"))&gt;1,"!AMBIG",IFERROR(INDEX('Calculations'!$HF$13:$HF$512,MATCH('Calculations'!HV276,'Calculations'!$HE$13:$HE$512,0)),""))))</x:f>
      </x:c>
      <x:c r="HX276" t="str">
        <x:f>IF('Calculations'!HW276="","",IF('Calculations'!HW276="!AMBIG","!AMBIG",IF(COUNTIF('Calculations'!$HE$13:$HE$512,"="&amp;SUBSTITUTE(SUBSTITUTE(SUBSTITUTE('Calculations'!HW276,"~","~~"),"*","~*"),"?","~?"))&gt;1,"!AMBIG",IFERROR(INDEX('Calculations'!$HF$13:$HF$512,MATCH('Calculations'!HW276,'Calculations'!$HE$13:$HE$512,0)),""))))</x:f>
      </x:c>
      <x:c r="HY276" t="str">
        <x:f>IF('Calculations'!HX276="","",IF('Calculations'!HX276="!AMBIG","!AMBIG",IF(COUNTIF('Calculations'!$HE$13:$HE$512,"="&amp;SUBSTITUTE(SUBSTITUTE(SUBSTITUTE('Calculations'!HX276,"~","~~"),"*","~*"),"?","~?"))&gt;1,"!AMBIG",IFERROR(INDEX('Calculations'!$HF$13:$HF$512,MATCH('Calculations'!HX276,'Calculations'!$HE$13:$HE$512,0)),""))))</x:f>
      </x:c>
      <x:c r="HZ276" t="str">
        <x:f>IF('Calculations'!HY276="","",IF('Calculations'!HY276="!AMBIG","!AMBIG",IF(COUNTIF('Calculations'!$HE$13:$HE$512,"="&amp;SUBSTITUTE(SUBSTITUTE(SUBSTITUTE('Calculations'!HY276,"~","~~"),"*","~*"),"?","~?"))&gt;1,"!AMBIG",IFERROR(INDEX('Calculations'!$HF$13:$HF$512,MATCH('Calculations'!HY276,'Calculations'!$HE$13:$HE$512,0)),""))))</x:f>
      </x:c>
      <x:c r="IA276" t="str">
        <x:f>IF('Calculations'!HZ276="","",IF('Calculations'!HZ276="!AMBIG","!AMBIG",IF(COUNTIF('Calculations'!$HE$13:$HE$512,"="&amp;SUBSTITUTE(SUBSTITUTE(SUBSTITUTE('Calculations'!HZ276,"~","~~"),"*","~*"),"?","~?"))&gt;1,"!AMBIG",IFERROR(INDEX('Calculations'!$HF$13:$HF$512,MATCH('Calculations'!HZ276,'Calculations'!$HE$13:$HE$512,0)),""))))</x:f>
      </x:c>
      <x:c r="IB276" t="str">
        <x:f>IF('Calculations'!IA276="","",IF('Calculations'!IA276="!AMBIG","!AMBIG",IF(COUNTIF('Calculations'!$HE$13:$HE$512,"="&amp;SUBSTITUTE(SUBSTITUTE(SUBSTITUTE('Calculations'!IA276,"~","~~"),"*","~*"),"?","~?"))&gt;1,"!AMBIG",IFERROR(INDEX('Calculations'!$HF$13:$HF$512,MATCH('Calculations'!IA276,'Calculations'!$HE$13:$HE$512,0)),""))))</x:f>
      </x:c>
      <x:c r="IC276" t="str">
        <x:f>IF('Calculations'!IB276="","",IF('Calculations'!IB276="!AMBIG","!AMBIG",IF(COUNTIF('Calculations'!$HE$13:$HE$512,"="&amp;SUBSTITUTE(SUBSTITUTE(SUBSTITUTE('Calculations'!IB276,"~","~~"),"*","~*"),"?","~?"))&gt;1,"!AMBIG",IFERROR(INDEX('Calculations'!$HF$13:$HF$512,MATCH('Calculations'!IB276,'Calculations'!$HE$13:$HE$512,0)),""))))</x:f>
      </x:c>
      <x:c r="ID276" t="str">
        <x:f>IF('Calculations'!IC276="","",IF('Calculations'!IC276="!AMBIG","!AMBIG",IF(COUNTIF('Calculations'!$HE$13:$HE$512,"="&amp;SUBSTITUTE(SUBSTITUTE(SUBSTITUTE('Calculations'!IC276,"~","~~"),"*","~*"),"?","~?"))&gt;1,"!AMBIG",IFERROR(INDEX('Calculations'!$HF$13:$HF$512,MATCH('Calculations'!IC276,'Calculations'!$HE$13:$HE$512,0)),""))))</x:f>
      </x:c>
      <x:c r="IE276" t="str">
        <x:f>IF('Calculations'!ID276="","",IF('Calculations'!ID276="!AMBIG","!AMBIG",IF(COUNTIF('Calculations'!$HE$13:$HE$512,"="&amp;SUBSTITUTE(SUBSTITUTE(SUBSTITUTE('Calculations'!ID276,"~","~~"),"*","~*"),"?","~?"))&gt;1,"!AMBIG",IFERROR(INDEX('Calculations'!$HF$13:$HF$512,MATCH('Calculations'!ID276,'Calculations'!$HE$13:$HE$512,0)),""))))</x:f>
      </x:c>
      <x:c r="IF276" t="str">
        <x:f>IF('Calculations'!IE276="","",IF('Calculations'!IE276="!AMBIG","!AMBIG",IF(COUNTIF('Calculations'!$HE$13:$HE$512,"="&amp;SUBSTITUTE(SUBSTITUTE(SUBSTITUTE('Calculations'!IE276,"~","~~"),"*","~*"),"?","~?"))&gt;1,"!AMBIG",IFERROR(INDEX('Calculations'!$HF$13:$HF$512,MATCH('Calculations'!IE276,'Calculations'!$HE$13:$HE$512,0)),""))))</x:f>
      </x:c>
      <x:c r="IG276" t="str">
        <x:f>IF('Calculations'!IF276="","",IF('Calculations'!IF276="!AMBIG","!AMBIG",IF(COUNTIF('Calculations'!$HE$13:$HE$512,"="&amp;SUBSTITUTE(SUBSTITUTE(SUBSTITUTE('Calculations'!IF276,"~","~~"),"*","~*"),"?","~?"))&gt;1,"!AMBIG",IFERROR(INDEX('Calculations'!$HF$13:$HF$512,MATCH('Calculations'!IF276,'Calculations'!$HE$13:$HE$512,0)),""))))</x:f>
      </x:c>
      <x:c r="IH276" t="str">
        <x:f>IF('Calculations'!IG276="","",IF('Calculations'!IG276="!AMBIG","!AMBIG",IF(COUNTIF('Calculations'!$HE$13:$HE$512,"="&amp;SUBSTITUTE(SUBSTITUTE(SUBSTITUTE('Calculations'!IG276,"~","~~"),"*","~*"),"?","~?"))&gt;1,"!AMBIG",IFERROR(INDEX('Calculations'!$HF$13:$HF$512,MATCH('Calculations'!IG276,'Calculations'!$HE$13:$HE$512,0)),""))))</x:f>
      </x:c>
      <x:c r="II276" t="str">
        <x:f>IF('Calculations'!IH276="","",IF('Calculations'!IH276="!AMBIG","!AMBIG",IF(COUNTIF('Calculations'!$HE$13:$HE$512,"="&amp;SUBSTITUTE(SUBSTITUTE(SUBSTITUTE('Calculations'!IH276,"~","~~"),"*","~*"),"?","~?"))&gt;1,"!AMBIG",IFERROR(INDEX('Calculations'!$HF$13:$HF$512,MATCH('Calculations'!IH276,'Calculations'!$HE$13:$HE$512,0)),""))))</x:f>
      </x:c>
      <x:c r="IJ276" t="str">
        <x:f>IF('Calculations'!EM276="","",IF('Calculations'!$EF$2="All",'Calculations'!HM276,IF('Calculations'!HL276=1,"",IFERROR(IF(MATCH('Calculations'!$EF$2,'Calculations'!HO276:II276,0)=1,'Calculations'!HE276,INDEX('Calculations'!HO276:II276,1,MATCH('Calculations'!$EF$2,'Calculations'!HO276:II276,0)-1)),""))))</x:f>
      </x:c>
      <x:c r="IK276" t="n">
        <x:f>IF(AND('Calculations'!EM276&lt;&gt;"",'Calculations'!$EF$2&lt;&gt;"All",'Calculations'!HF276='Calculations'!$EF$2,'Calculations'!HL276=0,'Calculations'!JD276&gt;0),MAX('Calculations'!$IK$12:IK275)+1,0)</x:f>
        <x:v>0</x:v>
      </x:c>
      <x:c r="JA276" t="n">
        <x:f>IF(OR(IFERROR(INDIRECT("'WCM Calibration Final'!$A$276")&lt;&gt;"",FALSE),IFERROR(INDIRECT("'WCM Calibration Final'!$B$276")&lt;&gt;"",FALSE),IFERROR(INDIRECT("'WCM Calibration Final'!$C$276")&lt;&gt;"",FALSE)),276,0)</x:f>
        <x:v>0</x:v>
      </x:c>
      <x:c r="JB276" t="n">
        <x:f>'Calculations'!JB275+IF('Calculations'!JA276&gt;0,1,0)</x:f>
        <x:v>0</x:v>
      </x:c>
      <x:c r="JC276" t="n">
        <x:f>IF(OR('Calculations'!HF276="",'Calculations'!HF276="!AMBIG"),0,IF('Dashboard'!$B$7="All",1,COUNTIFS('Calculations'!$HO$13:$HO$512,"="&amp;SUBSTITUTE(SUBSTITUTE(SUBSTITUTE('Calculations'!HF276,"~","~~"),"*","~*"),"?","~?"),'Calculations'!$HN$13:$HN$512,"="&amp;SUBSTITUTE(SUBSTITUTE(SUBSTITUTE('Dashboard'!$B$7,"~","~~"),"*","~*"),"?","~?"))+COUNTIFS('Calculations'!$HP$13:$HP$512,"="&amp;SUBSTITUTE(SUBSTITUTE(SUBSTITUTE('Calculations'!HF276,"~","~~"),"*","~*"),"?","~?"),'Calculations'!$HN$13:$HN$512,"="&amp;SUBSTITUTE(SUBSTITUTE(SUBSTITUTE('Dashboard'!$B$7,"~","~~"),"*","~*"),"?","~?"))+COUNTIFS('Calculations'!$HQ$13:$HQ$512,"="&amp;SUBSTITUTE(SUBSTITUTE(SUBSTITUTE('Calculations'!HF276,"~","~~"),"*","~*"),"?","~?"),'Calculations'!$HN$13:$HN$512,"="&amp;SUBSTITUTE(SUBSTITUTE(SUBSTITUTE('Dashboard'!$B$7,"~","~~"),"*","~*"),"?","~?"))+COUNTIFS('Calculations'!$HR$13:$HR$512,"="&amp;SUBSTITUTE(SUBSTITUTE(SUBSTITUTE('Calculations'!HF276,"~","~~"),"*","~*"),"?","~?"),'Calculations'!$HN$13:$HN$512,"="&amp;SUBSTITUTE(SUBSTITUTE(SUBSTITUTE('Dashboard'!$B$7,"~","~~"),"*","~*"),"?","~?"))+COUNTIFS('Calculations'!$HS$13:$HS$512,"="&amp;SUBSTITUTE(SUBSTITUTE(SUBSTITUTE('Calculations'!HF276,"~","~~"),"*","~*"),"?","~?"),'Calculations'!$HN$13:$HN$512,"="&amp;SUBSTITUTE(SUBSTITUTE(SUBSTITUTE('Dashboard'!$B$7,"~","~~"),"*","~*"),"?","~?"))+COUNTIFS('Calculations'!$HT$13:$HT$512,"="&amp;SUBSTITUTE(SUBSTITUTE(SUBSTITUTE('Calculations'!HF276,"~","~~"),"*","~*"),"?","~?"),'Calculations'!$HN$13:$HN$512,"="&amp;SUBSTITUTE(SUBSTITUTE(SUBSTITUTE('Dashboard'!$B$7,"~","~~"),"*","~*"),"?","~?"))+COUNTIFS('Calculations'!$HU$13:$HU$512,"="&amp;SUBSTITUTE(SUBSTITUTE(SUBSTITUTE('Calculations'!HF276,"~","~~"),"*","~*"),"?","~?"),'Calculations'!$HN$13:$HN$512,"="&amp;SUBSTITUTE(SUBSTITUTE(SUBSTITUTE('Dashboard'!$B$7,"~","~~"),"*","~*"),"?","~?"))+COUNTIFS('Calculations'!$HV$13:$HV$512,"="&amp;SUBSTITUTE(SUBSTITUTE(SUBSTITUTE('Calculations'!HF276,"~","~~"),"*","~*"),"?","~?"),'Calculations'!$HN$13:$HN$512,"="&amp;SUBSTITUTE(SUBSTITUTE(SUBSTITUTE('Dashboard'!$B$7,"~","~~"),"*","~*"),"?","~?"))+COUNTIFS('Calculations'!$HW$13:$HW$512,"="&amp;SUBSTITUTE(SUBSTITUTE(SUBSTITUTE('Calculations'!HF276,"~","~~"),"*","~*"),"?","~?"),'Calculations'!$HN$13:$HN$512,"="&amp;SUBSTITUTE(SUBSTITUTE(SUBSTITUTE('Dashboard'!$B$7,"~","~~"),"*","~*"),"?","~?"))+COUNTIFS('Calculations'!$HX$13:$HX$512,"="&amp;SUBSTITUTE(SUBSTITUTE(SUBSTITUTE('Calculations'!HF276,"~","~~"),"*","~*"),"?","~?"),'Calculations'!$HN$13:$HN$512,"="&amp;SUBSTITUTE(SUBSTITUTE(SUBSTITUTE('Dashboard'!$B$7,"~","~~"),"*","~*"),"?","~?"))+COUNTIFS('Calculations'!$HY$13:$HY$512,"="&amp;SUBSTITUTE(SUBSTITUTE(SUBSTITUTE('Calculations'!HF276,"~","~~"),"*","~*"),"?","~?"),'Calculations'!$HN$13:$HN$512,"="&amp;SUBSTITUTE(SUBSTITUTE(SUBSTITUTE('Dashboard'!$B$7,"~","~~"),"*","~*"),"?","~?"))+COUNTIFS('Calculations'!$HZ$13:$HZ$512,"="&amp;SUBSTITUTE(SUBSTITUTE(SUBSTITUTE('Calculations'!HF276,"~","~~"),"*","~*"),"?","~?"),'Calculations'!$HN$13:$HN$512,"="&amp;SUBSTITUTE(SUBSTITUTE(SUBSTITUTE('Dashboard'!$B$7,"~","~~"),"*","~*"),"?","~?"))+COUNTIFS('Calculations'!$IA$13:$IA$512,"="&amp;SUBSTITUTE(SUBSTITUTE(SUBSTITUTE('Calculations'!HF276,"~","~~"),"*","~*"),"?","~?"),'Calculations'!$HN$13:$HN$512,"="&amp;SUBSTITUTE(SUBSTITUTE(SUBSTITUTE('Dashboard'!$B$7,"~","~~"),"*","~*"),"?","~?"))+COUNTIFS('Calculations'!$IB$13:$IB$512,"="&amp;SUBSTITUTE(SUBSTITUTE(SUBSTITUTE('Calculations'!HF276,"~","~~"),"*","~*"),"?","~?"),'Calculations'!$HN$13:$HN$512,"="&amp;SUBSTITUTE(SUBSTITUTE(SUBSTITUTE('Dashboard'!$B$7,"~","~~"),"*","~*"),"?","~?"))+COUNTIFS('Calculations'!$IC$13:$IC$512,"="&amp;SUBSTITUTE(SUBSTITUTE(SUBSTITUTE('Calculations'!HF276,"~","~~"),"*","~*"),"?","~?"),'Calculations'!$HN$13:$HN$512,"="&amp;SUBSTITUTE(SUBSTITUTE(SUBSTITUTE('Dashboard'!$B$7,"~","~~"),"*","~*"),"?","~?"))+COUNTIFS('Calculations'!$ID$13:$ID$512,"="&amp;SUBSTITUTE(SUBSTITUTE(SUBSTITUTE('Calculations'!HF276,"~","~~"),"*","~*"),"?","~?"),'Calculations'!$HN$13:$HN$512,"="&amp;SUBSTITUTE(SUBSTITUTE(SUBSTITUTE('Dashboard'!$B$7,"~","~~"),"*","~*"),"?","~?"))+COUNTIFS('Calculations'!$IE$13:$IE$512,"="&amp;SUBSTITUTE(SUBSTITUTE(SUBSTITUTE('Calculations'!HF276,"~","~~"),"*","~*"),"?","~?"),'Calculations'!$HN$13:$HN$512,"="&amp;SUBSTITUTE(SUBSTITUTE(SUBSTITUTE('Dashboard'!$B$7,"~","~~"),"*","~*"),"?","~?"))+COUNTIFS('Calculations'!$IF$13:$IF$512,"="&amp;SUBSTITUTE(SUBSTITUTE(SUBSTITUTE('Calculations'!HF276,"~","~~"),"*","~*"),"?","~?"),'Calculations'!$HN$13:$HN$512,"="&amp;SUBSTITUTE(SUBSTITUTE(SUBSTITUTE('Dashboard'!$B$7,"~","~~"),"*","~*"),"?","~?"))+COUNTIFS('Calculations'!$IG$13:$IG$512,"="&amp;SUBSTITUTE(SUBSTITUTE(SUBSTITUTE('Calculations'!HF276,"~","~~"),"*","~*"),"?","~?"),'Calculations'!$HN$13:$HN$512,"="&amp;SUBSTITUTE(SUBSTITUTE(SUBSTITUTE('Dashboard'!$B$7,"~","~~"),"*","~*"),"?","~?"))+COUNTIFS('Calculations'!$IH$13:$IH$512,"="&amp;SUBSTITUTE(SUBSTITUTE(SUBSTITUTE('Calculations'!HF276,"~","~~"),"*","~*"),"?","~?"),'Calculations'!$HN$13:$HN$512,"="&amp;SUBSTITUTE(SUBSTITUTE(SUBSTITUTE('Dashboard'!$B$7,"~","~~"),"*","~*"),"?","~?"))))</x:f>
        <x:v>0</x:v>
      </x:c>
      <x:c r="JD276" t="n">
        <x:f>IF('Calculations'!EM276="",0,IF('Dashboard'!$B$7="All",1,IF('Calculations'!HN276='Dashboard'!$B$7,1,0)+IFERROR(INDEX('Calculations'!$JC$13:$JC$512,MATCH('Calculations'!HE276,'Calculations'!$HF$13:$HF$512,0)),0)))</x:f>
        <x:v>0</x:v>
      </x:c>
      <x:c r="JE276" t="n">
        <x:f>IF(AND('Calculations'!EM276&lt;&gt;"",'Calculations'!$JJ$2&lt;&gt;"All",'Calculations'!$JJ$2&lt;&gt;"",'Calculations'!HF276='Calculations'!$JJ$2,'Calculations'!HL276=0,'Calculations'!JD276&gt;0),MAX('Calculations'!$JE$12:JE275)+1,0)</x:f>
        <x:v>0</x:v>
      </x:c>
      <x:c r="JF276" t="str">
        <x:f>IF('Calculations'!EM276="","",IFERROR(IF(INDEX(INDIRECT("'WCM Calibration Final'!$G$1:$G$2000"),'Calculations'!$EM276)="","",TRIM(INDEX(INDIRECT("'WCM Calibration Final'!$G$1:$G$2000"),'Calculations'!$EM276)&amp;"")),""))</x:f>
      </x:c>
      <x:c r="JQ276" t="n">
        <x:f>IF(OR('Calculations'!BM276=0,NOT('Calculations'!$AG$2),'Calculations'!$AG$8&gt;0),0,IF(OR('Dashboard'!$B$7="All",'Calculations'!HN276='Dashboard'!$B$7),IF('Calculations'!$JJ$2="All",1,IF(AND('Calculations'!HF276='Calculations'!$JJ$2,'Calculations'!HL276=0),1,0)),0))</x:f>
        <x:v>0</x:v>
      </x:c>
    </x:row>
    <x:row r="277">
      <x:c r="AF277" s="4" t="str">
        <x:f>IF('Calculations'!AH277=0,"","Other (n="&amp;'Calculations'!AH277&amp;")")</x:f>
      </x:c>
      <x:c r="AG277" s="4" t="n">
        <x:f>COUNTIFS('Calculations'!$BN$13:$BN$512,1,'Calculations'!$BV$13:$BV$512,'Calculations'!AT277)</x:f>
        <x:v>0</x:v>
      </x:c>
      <x:c r="AH277" s="4" t="n">
        <x:f>SUM('Calculations'!AJ277:AM277)</x:f>
        <x:v>0</x:v>
      </x:c>
      <x:c r="AI277" s="4" t="n">
        <x:f>'Calculations'!AG277-'Calculations'!AH277</x:f>
        <x:v>0</x:v>
      </x:c>
      <x:c r="AJ277" s="4" t="n">
        <x:f>COUNTIFS('Calculations'!$BN$13:$BN$512,1,'Calculations'!$BV$13:$BV$512,'Calculations'!AT277,'Calculations'!$BP$13:$BP$512,1)</x:f>
        <x:v>0</x:v>
      </x:c>
      <x:c r="AK277" s="4" t="n">
        <x:f>COUNTIFS('Calculations'!$BN$13:$BN$512,1,'Calculations'!$BV$13:$BV$512,'Calculations'!AT277,'Calculations'!$BP$13:$BP$512,2)</x:f>
        <x:v>0</x:v>
      </x:c>
      <x:c r="AL277" s="4" t="n">
        <x:f>COUNTIFS('Calculations'!$BN$13:$BN$512,1,'Calculations'!$BV$13:$BV$512,'Calculations'!AT277,'Calculations'!$BP$13:$BP$512,3)</x:f>
        <x:v>0</x:v>
      </x:c>
      <x:c r="AM277" s="4" t="n">
        <x:f>COUNTIFS('Calculations'!$BN$13:$BN$512,1,'Calculations'!$BV$13:$BV$512,'Calculations'!AT277,'Calculations'!$BP$13:$BP$512,4)</x:f>
        <x:v>0</x:v>
      </x:c>
      <x:c r="AN277" s="4"/>
      <x:c r="AO277" s="4" t="n">
        <x:f>IF('Calculations'!AH277=0,0,'Calculations'!AJ277/'Calculations'!AH277)</x:f>
        <x:v>0</x:v>
      </x:c>
      <x:c r="AP277" s="4" t="n">
        <x:f>IF('Calculations'!AH277=0,0,'Calculations'!AK277/'Calculations'!AH277)</x:f>
        <x:v>0</x:v>
      </x:c>
      <x:c r="AQ277" s="4" t="n">
        <x:f>IF('Calculations'!AH277=0,0,'Calculations'!AL277/'Calculations'!AH277)</x:f>
        <x:v>0</x:v>
      </x:c>
      <x:c r="AR277" s="4" t="n">
        <x:f>IF('Calculations'!AH277=0,0,'Calculations'!AM277/'Calculations'!AH277)</x:f>
        <x:v>0</x:v>
      </x:c>
      <x:c r="AS277" s="4"/>
      <x:c r="AT277" s="4" t="str">
        <x:v>Other</x:v>
      </x:c>
      <x:c r="AU277" s="4"/>
      <x:c r="AV277" s="4"/>
      <x:c r="AW277" s="4"/>
      <x:c r="AX277" s="4"/>
      <x:c r="AY277" s="4"/>
      <x:c r="AZ277" s="4"/>
      <x:c r="BA277" s="4"/>
      <x:c r="BB277" s="4"/>
      <x:c r="BC277" s="4"/>
      <x:c r="BD277" s="4"/>
      <x:c r="BE277" s="4"/>
      <x:c r="BF277" s="4"/>
      <x:c r="BG277" s="4"/>
      <x:c r="BH277" s="4"/>
      <x:c r="BI277" s="4"/>
      <x:c r="BJ277" s="4"/>
      <x:c r="BK277" s="4"/>
      <x:c r="BL277" s="4"/>
      <x:c r="BM277" s="4" t="n">
        <x:f>IF('Calculations'!$EM277="",0,IF(OR(IFERROR(INDEX(INDIRECT("'WCM Calibration Final'!$A$1:$A$2000"),'Calculations'!$EM277)&lt;&gt;"",FALSE),IFERROR(INDEX(INDIRECT("'WCM Calibration Final'!$B$1:$B$2000"),'Calculations'!$EM277)&lt;&gt;"",FALSE),IFERROR(INDEX(INDIRECT("'WCM Calibration Final'!$C$1:$C$2000"),'Calculations'!$EM277)&lt;&gt;"",FALSE)),1,0))</x:f>
        <x:v>0</x:v>
      </x:c>
      <x:c r="BN277" s="4" t="n">
        <x:f>IF(AND('Calculations'!BM277=1,'Calculations'!$AG$2,'Calculations'!$EN277=1),1,0)</x:f>
        <x:v>0</x:v>
      </x:c>
      <x:c r="BO277" s="4" t="str">
        <x:f>IF('Calculations'!BM277=0,"",IFERROR(IF(AND(VALUE(INDEX(INDIRECT("'WCM Calibration Final'!$K$1:$K$2000"),'Calculations'!$EM277))&gt;=1,VALUE(INDEX(INDIRECT("'WCM Calibration Final'!$K$1:$K$2000"),'Calculations'!$EM277))&lt;=4,MOD(VALUE(INDEX(INDIRECT("'WCM Calibration Final'!$K$1:$K$2000"),'Calculations'!$EM277)),1)=0),VALUE(INDEX(INDIRECT("'WCM Calibration Final'!$K$1:$K$2000"),'Calculations'!$EM277)),""),""))</x:f>
      </x:c>
      <x:c r="BP277" s="4" t="str">
        <x:f>IF('Calculations'!BM277=0,"",IFERROR(IF(AND(VALUE(INDEX(INDIRECT("'WCM Calibration Final'!$L$1:$L$2000"),'Calculations'!$EM277))&gt;=1,VALUE(INDEX(INDIRECT("'WCM Calibration Final'!$L$1:$L$2000"),'Calculations'!$EM277))&lt;=4,MOD(VALUE(INDEX(INDIRECT("'WCM Calibration Final'!$L$1:$L$2000"),'Calculations'!$EM277)),1)=0),VALUE(INDEX(INDIRECT("'WCM Calibration Final'!$L$1:$L$2000"),'Calculations'!$EM277)),""),""))</x:f>
      </x:c>
      <x:c r="BQ277" s="4"/>
      <x:c r="BR277" s="4"/>
      <x:c r="BS277" s="4"/>
      <x:c r="BT277" s="4" t="n">
        <x:f>IF(AND('Calculations'!BM277=1,ISNUMBER('Calculations'!BO277),ISNUMBER('Calculations'!BP277)),1,0)</x:f>
        <x:v>0</x:v>
      </x:c>
      <x:c r="BU277" s="4" t="str">
        <x:f>IF('Calculations'!BM277=0,"",'Calculations'!$EO277)</x:f>
      </x:c>
      <x:c r="BV277" s="4" t="str">
        <x:f>IF('Calculations'!BM277=0,"",IFERROR(IF(OR(INDEX(INDIRECT("'WCM Calibration Final'!$H$1:$H$2000"),'Calculations'!$EM277)="MANAGING DIRECTOR",INDEX(INDIRECT("'WCM Calibration Final'!$H$1:$H$2000"),'Calculations'!$EM277)="DIRECTOR",INDEX(INDIRECT("'WCM Calibration Final'!$H$1:$H$2000"),'Calculations'!$EM277)="SENIOR VICE PRESIDENT",INDEX(INDIRECT("'WCM Calibration Final'!$H$1:$H$2000"),'Calculations'!$EM277)="VICE PRESIDENT",INDEX(INDIRECT("'WCM Calibration Final'!$H$1:$H$2000"),'Calculations'!$EM277)="ASSISTANT VICE PRESIDENT",INDEX(INDIRECT("'WCM Calibration Final'!$H$1:$H$2000"),'Calculations'!$EM277)="OFFICER"),UPPER(INDEX(INDIRECT("'WCM Calibration Final'!$H$1:$H$2000"),'Calculations'!$EM277)),"Other"),"Other"))</x:f>
      </x:c>
      <x:c r="BW277" s="4"/>
      <x:c r="BX277" s="4"/>
      <x:c r="BY277" s="4" t="n">
        <x:f>IF(AND('Calculations'!BM277=1,'Calculations'!BU277&lt;&gt;"",COUNTIF('Calculations'!$BU$12:BU277,'Calculations'!BU277)=1),MAX('Calculations'!$BY$11:BY276)+1,0)</x:f>
        <x:v>0</x:v>
      </x:c>
      <x:c r="BZ277" s="4" t="str">
        <x:f>IF('Dashboard'!$E$67="What",'Calculations'!BO277,'Calculations'!BP277)</x:f>
      </x:c>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t="str">
        <x:f>IF(266&gt;MAX('Calculations'!$HI$13:$HI$512),"",INDEX('Calculations'!$HN$13:$HN$512,MATCH(266,'Calculations'!$HI$13:$HI$512,0)))</x:f>
      </x:c>
      <x:c r="DB277" s="4" t="str">
        <x:f>IF(266&gt;MAX('Calculations'!$HH$13:$HH$512),"",INDEX('Calculations'!$HJ$13:$HJ$512,MATCH(266,'Calculations'!$HH$13:$HH$512,0)))</x:f>
      </x:c>
      <x:c r="DC277" s="4" t="str">
        <x:f>IF(ROW()-11&gt;MAX('Calculations'!$BY$13:$BY$512),"",INDEX('Calculations'!$BU$13:$BU$512,MATCH(ROW()-11,'Calculations'!$BY$13:$BY$512,0)))</x:f>
      </x:c>
      <x:c r="DD277" s="4" t="str">
        <x:f>IF(266&gt;MAX('Calculations'!$IK$13:$IK$512),"",INDEX('Calculations'!$HK$13:$HK$512,MATCH(266,'Calculations'!$IK$13:$IK$512,0)))</x:f>
      </x:c>
      <x:c r="DE277" s="4" t="str">
        <x:f>'Calculations'!DC277</x:f>
      </x:c>
      <x:c r="DF277" s="4" t="str">
        <x:f>IF('Calculations'!DE277="","",COUNTIFS('Calculations'!$BN$13:$BN$512,1,'Calculations'!$BU$13:$BU$512,'Calculations'!DE277))</x:f>
      </x:c>
      <x:c r="DG277" s="4" t="str">
        <x:f>IF('Calculations'!DE277="","",COUNTIFS('Calculations'!$BN$13:$BN$512,1,'Calculations'!$BU$13:$BU$512,'Calculations'!DE277,'Calculations'!$BT$13:$BT$512,1))</x:f>
      </x:c>
      <x:c r="DH277" s="4" t="str">
        <x:f>IF('Calculations'!DE277="","",'Calculations'!DF277-'Calculations'!DG277)</x:f>
      </x:c>
      <x:c r="DI277" s="4" t="str">
        <x:f>IF(OR('Calculations'!DE277="",'Calculations'!DF277=0),"",'Calculations'!DG277/'Calculations'!DF277)</x:f>
      </x:c>
      <x:c r="DJ277" s="4" t="str">
        <x:f>IF('Calculations'!DE277="","",COUNTIFS('Calculations'!$BN$13:$BN$512,1,'Calculations'!$BU$13:$BU$512,'Calculations'!DE277,'Calculations'!$BT$13:$BT$512,1,'Calculations'!$EE$13:$EE$512,"High"))</x:f>
      </x:c>
      <x:c r="DK277" s="4" t="str">
        <x:f>IF('Calculations'!DE277="","",COUNTIFS('Calculations'!$BN$13:$BN$512,1,'Calculations'!$BU$13:$BU$512,'Calculations'!DE277,'Calculations'!$BT$13:$BT$512,1,'Calculations'!$EE$13:$EE$512,"Strong"))</x:f>
      </x:c>
      <x:c r="DL277" s="4" t="str">
        <x:f>IF('Calculations'!DE277="","",COUNTIFS('Calculations'!$BN$13:$BN$512,1,'Calculations'!$BU$13:$BU$512,'Calculations'!DE277,'Calculations'!$BT$13:$BT$512,1,'Calculations'!$EE$13:$EE$512,"Solid"))</x:f>
      </x:c>
      <x:c r="DM277" s="4" t="str">
        <x:f>IF('Calculations'!DE277="","",COUNTIFS('Calculations'!$BN$13:$BN$512,1,'Calculations'!$BU$13:$BU$512,'Calculations'!DE277,'Calculations'!$BT$13:$BT$512,1,'Calculations'!$EE$13:$EE$512,"Low"))</x:f>
      </x:c>
      <x:c r="DN277" s="4" t="str">
        <x:f>IF('Calculations'!DE277="","",COUNTIFS('Calculations'!$BN$13:$BN$512,1,'Calculations'!$BU$13:$BU$512,'Calculations'!DE277,'Calculations'!$EP$13:$EP$512,1))</x:f>
      </x:c>
      <x:c r="DO277" s="4" t="str">
        <x:f>IF(OR('Calculations'!DE277="",'Calculations'!DG277=0),"",('Calculations'!DJ277+'Calculations'!DK277)/'Calculations'!DG277)</x:f>
      </x:c>
      <x:c r="DP277" s="4" t="n">
        <x:f>IF(AND('Calculations'!DE277&lt;&gt;"",'Calculations'!DF277&gt;0),COUNTIF('Calculations'!$DF$12:DF277,"&gt;0"),0)</x:f>
        <x:v>0</x:v>
      </x:c>
      <x:c r="DQ277" s="4" t="str">
        <x:f>IF(266&gt;MAX('Calculations'!$HH$13:$HH$512),"",INDEX('Calculations'!$HF$13:$HF$512,MATCH(266,'Calculations'!$HH$13:$HH$512,0)))</x:f>
      </x:c>
      <x:c r="DR277" s="4" t="str">
        <x:f>IF(266&gt;MAX('Calculations'!$IK$13:$IK$512),"",INDEX('Calculations'!$HE$13:$HE$512,MATCH(266,'Calculations'!$IK$13:$IK$512,0)))</x:f>
      </x:c>
      <x:c r="DS277" s="4"/>
      <x:c r="DT277" s="4"/>
      <x:c r="DU277" s="4"/>
      <x:c r="DV277" s="4"/>
      <x:c r="DW277" s="4"/>
      <x:c r="DX277" s="4"/>
      <x:c r="DY277" s="4"/>
      <x:c r="DZ277" s="4"/>
      <x:c r="EA277" s="4"/>
      <x:c r="EB277" s="4"/>
      <x:c r="EC277" s="4"/>
      <x:c r="ED277" s="4"/>
      <x:c r="EE277" s="4" t="str">
        <x:f>IF('Calculations'!BT277=0,"Not Rated",IF(OR('Calculations'!BO277&gt;=4,'Calculations'!BP277&gt;=4),"Low",IF('Calculations'!BO277+'Calculations'!BP277&lt;=3,"High",IF('Calculations'!BO277+'Calculations'!BP277&lt;=4,"Strong","Solid"))))</x:f>
        <x:v>Not Rated</x:v>
      </x:c>
      <x:c r="EF277" s="4"/>
      <x:c r="EG277" s="4"/>
      <x:c r="EH277" s="4"/>
      <x:c r="EI277" s="4"/>
      <x:c r="EJ277" s="4"/>
      <x:c r="EK277" s="4"/>
      <x:c r="EL277" s="4"/>
      <x:c r="EM277" s="4" t="str">
        <x:f>IF(265&gt;'Calculations'!$JB$2000,"",INDEX('Calculations'!$JA$12:$JA$2000,MATCH(265,'Calculations'!$JB$12:$JB$2000,0)))</x:f>
      </x:c>
      <x:c r="EN277" s="4" t="n">
        <x:f>IF(OR('Calculations'!EM277="",'Calculations'!$AG$8&gt;0,AND('Calculations'!$EF$2&lt;&gt;"All",'Calculations'!HE277='Calculations'!$EF$2),AND('Calculations'!$EF$3&lt;&gt;"All",'Calculations'!HE277='Calculations'!$EF$3)),0,IF(OR('Dashboard'!$B$7="All",'Calculations'!HN277='Dashboard'!$B$7),IF('Calculations'!$EF$2="All",1,IF('Calculations'!HL277&gt;0,0,IF(COUNTIF('Calculations'!HO277:II277,"="&amp;SUBSTITUTE(SUBSTITUTE(SUBSTITUTE('Calculations'!$EF$2,"~","~~"),"*","~*"),"?","~?"))=0,0,IF('Calculations'!$EF$3="All",1,IF(COUNTIF('Calculations'!HO277:II277,"="&amp;SUBSTITUTE(SUBSTITUTE(SUBSTITUTE('Calculations'!$EF$3,"~","~~"),"*","~*"),"?","~?"))&gt;0,1,0))))),0))</x:f>
        <x:v>0</x:v>
      </x:c>
      <x:c r="EO277" s="4" t="str">
        <x:f>IF('Calculations'!IJ277="","",IF('Calculations'!IJ277="!UNRESOLVED","Unresolved hierarchy",IFERROR(INDEX('Calculations'!$HK$13:$HK$512,MATCH('Calculations'!IJ277,'Calculations'!$HE$13:$HE$512,0)),IFERROR(INDEX('Calculations'!$HJ$13:$HJ$512,MATCH('Calculations'!IJ277,'Calculations'!$HF$13:$HF$512,0)),'Calculations'!IJ277))))</x:f>
      </x:c>
      <x:c r="EP277" s="4" t="n">
        <x:f>IF(AND('Calculations'!EM277&lt;&gt;"",'Calculations'!HF277='Calculations'!IJ277),1,0)</x:f>
        <x:v>0</x:v>
      </x:c>
      <x:c r="EQ277" s="4"/>
      <x:c r="ER277" s="4"/>
      <x:c r="ES277" s="4"/>
      <x:c r="ET277" s="4"/>
      <x:c r="EU277" s="4"/>
      <x:c r="EV277" s="4"/>
      <x:c r="EW277" s="4"/>
      <x:c r="EX277" s="4"/>
      <x:c r="EY277" s="4"/>
      <x:c r="EZ277" s="4"/>
      <x:c r="FA277" s="4"/>
      <x:c r="FB277" s="4"/>
      <x:c r="FC277" s="4"/>
      <x:c r="FD277" s="4"/>
      <x:c r="FE277" s="4"/>
      <x:c r="FF277" s="4"/>
      <x:c r="FG277" s="4"/>
      <x:c r="FH277" s="4"/>
      <x:c r="FI277" s="4"/>
      <x:c r="FJ277" s="4"/>
      <x:c r="FK277" s="4"/>
      <x:c r="FL277" s="4"/>
      <x:c r="FM277" s="4"/>
      <x:c r="FN277" s="4"/>
      <x:c r="FO277" s="4"/>
      <x:c r="HE277" t="str">
        <x:f>IF('Calculations'!EM277="","",IF(IFERROR(IF(INDEX(INDIRECT("'WCM Calibration Final'!$A$1:$A$2000"),'Calculations'!$EM277)="","",TRIM(INDEX(INDIRECT("'WCM Calibration Final'!$A$1:$A$2000"),'Calculations'!$EM277)&amp;"")),"")&lt;&gt;"","G:"&amp;IFERROR(TEXT(1*INDEX(INDIRECT("'WCM Calibration Final'!$A$1:$A$2000"),'Calculations'!$EM277),"0"),UPPER(IFERROR(IF(INDEX(INDIRECT("'WCM Calibration Final'!$A$1:$A$2000"),'Calculations'!$EM277)="","",TRIM(INDEX(INDIRECT("'WCM Calibration Final'!$A$1:$A$2000"),'Calculations'!$EM277)&amp;"")),""))),IF(IFERROR(IF(INDEX(INDIRECT("'WCM Calibration Final'!$C$1:$C$2000"),'Calculations'!$EM277)="","",TRIM(INDEX(INDIRECT("'WCM Calibration Final'!$C$1:$C$2000"),'Calculations'!$EM277)&amp;"")),"")&lt;&gt;"","S:"&amp;UPPER(IFERROR(IF(INDEX(INDIRECT("'WCM Calibration Final'!$C$1:$C$2000"),'Calculations'!$EM277)="","",TRIM(INDEX(INDIRECT("'WCM Calibration Final'!$C$1:$C$2000"),'Calculations'!$EM277)&amp;"")),"")),"R:"&amp;'Calculations'!EM277)))</x:f>
      </x:c>
      <x:c r="HF277" t="str">
        <x:f>IF('Calculations'!EM277="","",IF(IFERROR(IF(INDEX(INDIRECT("'WCM Calibration Final'!$D$1:$D$2000"),'Calculations'!$EM277)="","",TRIM(INDEX(INDIRECT("'WCM Calibration Final'!$D$1:$D$2000"),'Calculations'!$EM277)&amp;"")),"")&lt;&gt;"","G:"&amp;IFERROR(TEXT(1*INDEX(INDIRECT("'WCM Calibration Final'!$D$1:$D$2000"),'Calculations'!$EM277),"0"),UPPER(IFERROR(IF(INDEX(INDIRECT("'WCM Calibration Final'!$D$1:$D$2000"),'Calculations'!$EM277)="","",TRIM(INDEX(INDIRECT("'WCM Calibration Final'!$D$1:$D$2000"),'Calculations'!$EM277)&amp;"")),""))),IF(IFERROR(IF(INDEX(INDIRECT("'WCM Calibration Final'!$E$1:$E$2000"),'Calculations'!$EM277)="","",TRIM(INDEX(INDIRECT("'WCM Calibration Final'!$E$1:$E$2000"),'Calculations'!$EM277)&amp;"")),"")="","",IF(COUNTIF('Calculations'!$HG$13:$HG$512,"="&amp;SUBSTITUTE(SUBSTITUTE(SUBSTITUTE(IFERROR(IF(INDEX(INDIRECT("'WCM Calibration Final'!$E$1:$E$2000"),'Calculations'!$EM277)="","",TRIM(INDEX(INDIRECT("'WCM Calibration Final'!$E$1:$E$2000"),'Calculations'!$EM277)&amp;"")),""),"~","~~"),"*","~*"),"?","~?"))=1,INDEX('Calculations'!$HE$13:$HE$512,MATCH(IFERROR(IF(INDEX(INDIRECT("'WCM Calibration Final'!$E$1:$E$2000"),'Calculations'!$EM277)="","",TRIM(INDEX(INDIRECT("'WCM Calibration Final'!$E$1:$E$2000"),'Calculations'!$EM277)&amp;"")),""),'Calculations'!$HG$13:$HG$512,0)),IF(COUNTIF('Calculations'!$HG$13:$HG$512,"="&amp;SUBSTITUTE(SUBSTITUTE(SUBSTITUTE(IFERROR(IF(INDEX(INDIRECT("'WCM Calibration Final'!$E$1:$E$2000"),'Calculations'!$EM277)="","",TRIM(INDEX(INDIRECT("'WCM Calibration Final'!$E$1:$E$2000"),'Calculations'!$EM277)&amp;"")),""),"~","~~"),"*","~*"),"?","~?"))&gt;1,"!AMBIG","X:"&amp;IFERROR(IF(INDEX(INDIRECT("'WCM Calibration Final'!$E$1:$E$2000"),'Calculations'!$EM277)="","",TRIM(INDEX(INDIRECT("'WCM Calibration Final'!$E$1:$E$2000"),'Calculations'!$EM277)&amp;"")),""))))))</x:f>
      </x:c>
      <x:c r="HG277" t="str">
        <x:f>IF('Calculations'!EM277="","",IFERROR(IF(INDEX(INDIRECT("'WCM Calibration Final'!$B$1:$B$2000"),'Calculations'!$EM277)="","",TRIM(INDEX(INDIRECT("'WCM Calibration Final'!$B$1:$B$2000"),'Calculations'!$EM277)&amp;"")),""))</x:f>
      </x:c>
      <x:c r="HH277" t="n">
        <x:f>IF(AND('Calculations'!JC277&gt;0,COUNTIF('Calculations'!$HF$12:HF277,"="&amp;SUBSTITUTE(SUBSTITUTE(SUBSTITUTE('Calculations'!HF277,"~","~~"),"*","~*"),"?","~?"))=1),MAX('Calculations'!$HH$12:HH276)+1,0)</x:f>
        <x:v>0</x:v>
      </x:c>
      <x:c r="HI277" t="n">
        <x:f>IF(AND('Calculations'!HN277&lt;&gt;"",COUNTIF('Calculations'!$HN$12:HN277,"="&amp;SUBSTITUTE(SUBSTITUTE(SUBSTITUTE('Calculations'!HN277,"~","~~"),"*","~*"),"?","~?"))=1),MAX('Calculations'!$HI$12:HI276)+1,0)</x:f>
        <x:v>0</x:v>
      </x:c>
      <x:c r="HJ277" t="str">
        <x:f>IF('Calculations'!HF277="","",IF(COUNTIF('Calculations'!$HE$13:$HE$512,"="&amp;SUBSTITUTE(SUBSTITUTE(SUBSTITUTE('Calculations'!HF277,"~","~~"),"*","~*"),"?","~?"))=1,INDEX('Calculations'!$HK$13:$HK$512,MATCH('Calculations'!HF277,'Calculations'!$HE$13:$HE$512,0)),IFERROR(IF(INDEX(INDIRECT("'WCM Calibration Final'!$E$1:$E$2000"),'Calculations'!$EM277)="","",TRIM(INDEX(INDIRECT("'WCM Calibration Final'!$E$1:$E$2000"),'Calculations'!$EM277)&amp;"")),"")&amp;" ["&amp;'Calculations'!HF277&amp;"]"))</x:f>
      </x:c>
      <x:c r="HK277" t="str">
        <x:f>IF('Calculations'!EM277="","",'Calculations'!HG277&amp;" ["&amp;'Calculations'!HE277&amp;"]")</x:f>
      </x:c>
      <x:c r="HL277" t="n">
        <x:f>IF('Calculations'!EM277="",0,IF(OR('Calculations'!II277&lt;&gt;"",COUNTIF('Calculations'!$HE$13:$HE$512,"="&amp;SUBSTITUTE(SUBSTITUTE(SUBSTITUTE('Calculations'!HE277,"~","~~"),"*","~*"),"?","~?"))&gt;1),1,0))</x:f>
        <x:v>0</x:v>
      </x:c>
      <x:c r="HM277" t="str">
        <x:f>IF('Calculations'!EM277="","",IF('Calculations'!HL277=1,"!UNRESOLVED",IF('Calculations'!IH277&lt;&gt;"",'Calculations'!IH277,IF('Calculations'!IG277&lt;&gt;"",'Calculations'!IG277,IF('Calculations'!IF277&lt;&gt;"",'Calculations'!IF277,IF('Calculations'!IE277&lt;&gt;"",'Calculations'!IE277,IF('Calculations'!ID277&lt;&gt;"",'Calculations'!ID277,IF('Calculations'!IC277&lt;&gt;"",'Calculations'!IC277,IF('Calculations'!IB277&lt;&gt;"",'Calculations'!IB277,IF('Calculations'!IA277&lt;&gt;"",'Calculations'!IA277,IF('Calculations'!HZ277&lt;&gt;"",'Calculations'!HZ277,IF('Calculations'!HY277&lt;&gt;"",'Calculations'!HY277,IF('Calculations'!HX277&lt;&gt;"",'Calculations'!HX277,IF('Calculations'!HW277&lt;&gt;"",'Calculations'!HW277,IF('Calculations'!HV277&lt;&gt;"",'Calculations'!HV277,IF('Calculations'!HU277&lt;&gt;"",'Calculations'!HU277,IF('Calculations'!HT277&lt;&gt;"",'Calculations'!HT277,IF('Calculations'!HS277&lt;&gt;"",'Calculations'!HS277,IF('Calculations'!HR277&lt;&gt;"",'Calculations'!HR277,IF('Calculations'!HQ277&lt;&gt;"",'Calculations'!HQ277,IF('Calculations'!HP277&lt;&gt;"",'Calculations'!HP277,IF('Calculations'!HO277&lt;&gt;"",'Calculations'!HO277,'Calculations'!HE277))))))))))))))))))))))</x:f>
      </x:c>
      <x:c r="HN277" t="str">
        <x:f>IF('Calculations'!EM277="","",IF(IFERROR(IF(INDEX(INDIRECT("'WCM Calibration Final'!$F$1:$F$2000"),'Calculations'!$EM277)="","",TRIM(INDEX(INDIRECT("'WCM Calibration Final'!$F$1:$F$2000"),'Calculations'!$EM277)&amp;"")),"")="","(Blank)",IFERROR(IF(INDEX(INDIRECT("'WCM Calibration Final'!$F$1:$F$2000"),'Calculations'!$EM277)="","",TRIM(INDEX(INDIRECT("'WCM Calibration Final'!$F$1:$F$2000"),'Calculations'!$EM277)&amp;"")),"")))</x:f>
      </x:c>
      <x:c r="HO277" t="str">
        <x:f>'Calculations'!HF277</x:f>
      </x:c>
      <x:c r="HP277" t="str">
        <x:f>IF('Calculations'!HO277="","",IF('Calculations'!HO277="!AMBIG","!AMBIG",IF(COUNTIF('Calculations'!$HE$13:$HE$512,"="&amp;SUBSTITUTE(SUBSTITUTE(SUBSTITUTE('Calculations'!HO277,"~","~~"),"*","~*"),"?","~?"))&gt;1,"!AMBIG",IFERROR(INDEX('Calculations'!$HF$13:$HF$512,MATCH('Calculations'!HO277,'Calculations'!$HE$13:$HE$512,0)),""))))</x:f>
      </x:c>
      <x:c r="HQ277" t="str">
        <x:f>IF('Calculations'!HP277="","",IF('Calculations'!HP277="!AMBIG","!AMBIG",IF(COUNTIF('Calculations'!$HE$13:$HE$512,"="&amp;SUBSTITUTE(SUBSTITUTE(SUBSTITUTE('Calculations'!HP277,"~","~~"),"*","~*"),"?","~?"))&gt;1,"!AMBIG",IFERROR(INDEX('Calculations'!$HF$13:$HF$512,MATCH('Calculations'!HP277,'Calculations'!$HE$13:$HE$512,0)),""))))</x:f>
      </x:c>
      <x:c r="HR277" t="str">
        <x:f>IF('Calculations'!HQ277="","",IF('Calculations'!HQ277="!AMBIG","!AMBIG",IF(COUNTIF('Calculations'!$HE$13:$HE$512,"="&amp;SUBSTITUTE(SUBSTITUTE(SUBSTITUTE('Calculations'!HQ277,"~","~~"),"*","~*"),"?","~?"))&gt;1,"!AMBIG",IFERROR(INDEX('Calculations'!$HF$13:$HF$512,MATCH('Calculations'!HQ277,'Calculations'!$HE$13:$HE$512,0)),""))))</x:f>
      </x:c>
      <x:c r="HS277" t="str">
        <x:f>IF('Calculations'!HR277="","",IF('Calculations'!HR277="!AMBIG","!AMBIG",IF(COUNTIF('Calculations'!$HE$13:$HE$512,"="&amp;SUBSTITUTE(SUBSTITUTE(SUBSTITUTE('Calculations'!HR277,"~","~~"),"*","~*"),"?","~?"))&gt;1,"!AMBIG",IFERROR(INDEX('Calculations'!$HF$13:$HF$512,MATCH('Calculations'!HR277,'Calculations'!$HE$13:$HE$512,0)),""))))</x:f>
      </x:c>
      <x:c r="HT277" t="str">
        <x:f>IF('Calculations'!HS277="","",IF('Calculations'!HS277="!AMBIG","!AMBIG",IF(COUNTIF('Calculations'!$HE$13:$HE$512,"="&amp;SUBSTITUTE(SUBSTITUTE(SUBSTITUTE('Calculations'!HS277,"~","~~"),"*","~*"),"?","~?"))&gt;1,"!AMBIG",IFERROR(INDEX('Calculations'!$HF$13:$HF$512,MATCH('Calculations'!HS277,'Calculations'!$HE$13:$HE$512,0)),""))))</x:f>
      </x:c>
      <x:c r="HU277" t="str">
        <x:f>IF('Calculations'!HT277="","",IF('Calculations'!HT277="!AMBIG","!AMBIG",IF(COUNTIF('Calculations'!$HE$13:$HE$512,"="&amp;SUBSTITUTE(SUBSTITUTE(SUBSTITUTE('Calculations'!HT277,"~","~~"),"*","~*"),"?","~?"))&gt;1,"!AMBIG",IFERROR(INDEX('Calculations'!$HF$13:$HF$512,MATCH('Calculations'!HT277,'Calculations'!$HE$13:$HE$512,0)),""))))</x:f>
      </x:c>
      <x:c r="HV277" t="str">
        <x:f>IF('Calculations'!HU277="","",IF('Calculations'!HU277="!AMBIG","!AMBIG",IF(COUNTIF('Calculations'!$HE$13:$HE$512,"="&amp;SUBSTITUTE(SUBSTITUTE(SUBSTITUTE('Calculations'!HU277,"~","~~"),"*","~*"),"?","~?"))&gt;1,"!AMBIG",IFERROR(INDEX('Calculations'!$HF$13:$HF$512,MATCH('Calculations'!HU277,'Calculations'!$HE$13:$HE$512,0)),""))))</x:f>
      </x:c>
      <x:c r="HW277" t="str">
        <x:f>IF('Calculations'!HV277="","",IF('Calculations'!HV277="!AMBIG","!AMBIG",IF(COUNTIF('Calculations'!$HE$13:$HE$512,"="&amp;SUBSTITUTE(SUBSTITUTE(SUBSTITUTE('Calculations'!HV277,"~","~~"),"*","~*"),"?","~?"))&gt;1,"!AMBIG",IFERROR(INDEX('Calculations'!$HF$13:$HF$512,MATCH('Calculations'!HV277,'Calculations'!$HE$13:$HE$512,0)),""))))</x:f>
      </x:c>
      <x:c r="HX277" t="str">
        <x:f>IF('Calculations'!HW277="","",IF('Calculations'!HW277="!AMBIG","!AMBIG",IF(COUNTIF('Calculations'!$HE$13:$HE$512,"="&amp;SUBSTITUTE(SUBSTITUTE(SUBSTITUTE('Calculations'!HW277,"~","~~"),"*","~*"),"?","~?"))&gt;1,"!AMBIG",IFERROR(INDEX('Calculations'!$HF$13:$HF$512,MATCH('Calculations'!HW277,'Calculations'!$HE$13:$HE$512,0)),""))))</x:f>
      </x:c>
      <x:c r="HY277" t="str">
        <x:f>IF('Calculations'!HX277="","",IF('Calculations'!HX277="!AMBIG","!AMBIG",IF(COUNTIF('Calculations'!$HE$13:$HE$512,"="&amp;SUBSTITUTE(SUBSTITUTE(SUBSTITUTE('Calculations'!HX277,"~","~~"),"*","~*"),"?","~?"))&gt;1,"!AMBIG",IFERROR(INDEX('Calculations'!$HF$13:$HF$512,MATCH('Calculations'!HX277,'Calculations'!$HE$13:$HE$512,0)),""))))</x:f>
      </x:c>
      <x:c r="HZ277" t="str">
        <x:f>IF('Calculations'!HY277="","",IF('Calculations'!HY277="!AMBIG","!AMBIG",IF(COUNTIF('Calculations'!$HE$13:$HE$512,"="&amp;SUBSTITUTE(SUBSTITUTE(SUBSTITUTE('Calculations'!HY277,"~","~~"),"*","~*"),"?","~?"))&gt;1,"!AMBIG",IFERROR(INDEX('Calculations'!$HF$13:$HF$512,MATCH('Calculations'!HY277,'Calculations'!$HE$13:$HE$512,0)),""))))</x:f>
      </x:c>
      <x:c r="IA277" t="str">
        <x:f>IF('Calculations'!HZ277="","",IF('Calculations'!HZ277="!AMBIG","!AMBIG",IF(COUNTIF('Calculations'!$HE$13:$HE$512,"="&amp;SUBSTITUTE(SUBSTITUTE(SUBSTITUTE('Calculations'!HZ277,"~","~~"),"*","~*"),"?","~?"))&gt;1,"!AMBIG",IFERROR(INDEX('Calculations'!$HF$13:$HF$512,MATCH('Calculations'!HZ277,'Calculations'!$HE$13:$HE$512,0)),""))))</x:f>
      </x:c>
      <x:c r="IB277" t="str">
        <x:f>IF('Calculations'!IA277="","",IF('Calculations'!IA277="!AMBIG","!AMBIG",IF(COUNTIF('Calculations'!$HE$13:$HE$512,"="&amp;SUBSTITUTE(SUBSTITUTE(SUBSTITUTE('Calculations'!IA277,"~","~~"),"*","~*"),"?","~?"))&gt;1,"!AMBIG",IFERROR(INDEX('Calculations'!$HF$13:$HF$512,MATCH('Calculations'!IA277,'Calculations'!$HE$13:$HE$512,0)),""))))</x:f>
      </x:c>
      <x:c r="IC277" t="str">
        <x:f>IF('Calculations'!IB277="","",IF('Calculations'!IB277="!AMBIG","!AMBIG",IF(COUNTIF('Calculations'!$HE$13:$HE$512,"="&amp;SUBSTITUTE(SUBSTITUTE(SUBSTITUTE('Calculations'!IB277,"~","~~"),"*","~*"),"?","~?"))&gt;1,"!AMBIG",IFERROR(INDEX('Calculations'!$HF$13:$HF$512,MATCH('Calculations'!IB277,'Calculations'!$HE$13:$HE$512,0)),""))))</x:f>
      </x:c>
      <x:c r="ID277" t="str">
        <x:f>IF('Calculations'!IC277="","",IF('Calculations'!IC277="!AMBIG","!AMBIG",IF(COUNTIF('Calculations'!$HE$13:$HE$512,"="&amp;SUBSTITUTE(SUBSTITUTE(SUBSTITUTE('Calculations'!IC277,"~","~~"),"*","~*"),"?","~?"))&gt;1,"!AMBIG",IFERROR(INDEX('Calculations'!$HF$13:$HF$512,MATCH('Calculations'!IC277,'Calculations'!$HE$13:$HE$512,0)),""))))</x:f>
      </x:c>
      <x:c r="IE277" t="str">
        <x:f>IF('Calculations'!ID277="","",IF('Calculations'!ID277="!AMBIG","!AMBIG",IF(COUNTIF('Calculations'!$HE$13:$HE$512,"="&amp;SUBSTITUTE(SUBSTITUTE(SUBSTITUTE('Calculations'!ID277,"~","~~"),"*","~*"),"?","~?"))&gt;1,"!AMBIG",IFERROR(INDEX('Calculations'!$HF$13:$HF$512,MATCH('Calculations'!ID277,'Calculations'!$HE$13:$HE$512,0)),""))))</x:f>
      </x:c>
      <x:c r="IF277" t="str">
        <x:f>IF('Calculations'!IE277="","",IF('Calculations'!IE277="!AMBIG","!AMBIG",IF(COUNTIF('Calculations'!$HE$13:$HE$512,"="&amp;SUBSTITUTE(SUBSTITUTE(SUBSTITUTE('Calculations'!IE277,"~","~~"),"*","~*"),"?","~?"))&gt;1,"!AMBIG",IFERROR(INDEX('Calculations'!$HF$13:$HF$512,MATCH('Calculations'!IE277,'Calculations'!$HE$13:$HE$512,0)),""))))</x:f>
      </x:c>
      <x:c r="IG277" t="str">
        <x:f>IF('Calculations'!IF277="","",IF('Calculations'!IF277="!AMBIG","!AMBIG",IF(COUNTIF('Calculations'!$HE$13:$HE$512,"="&amp;SUBSTITUTE(SUBSTITUTE(SUBSTITUTE('Calculations'!IF277,"~","~~"),"*","~*"),"?","~?"))&gt;1,"!AMBIG",IFERROR(INDEX('Calculations'!$HF$13:$HF$512,MATCH('Calculations'!IF277,'Calculations'!$HE$13:$HE$512,0)),""))))</x:f>
      </x:c>
      <x:c r="IH277" t="str">
        <x:f>IF('Calculations'!IG277="","",IF('Calculations'!IG277="!AMBIG","!AMBIG",IF(COUNTIF('Calculations'!$HE$13:$HE$512,"="&amp;SUBSTITUTE(SUBSTITUTE(SUBSTITUTE('Calculations'!IG277,"~","~~"),"*","~*"),"?","~?"))&gt;1,"!AMBIG",IFERROR(INDEX('Calculations'!$HF$13:$HF$512,MATCH('Calculations'!IG277,'Calculations'!$HE$13:$HE$512,0)),""))))</x:f>
      </x:c>
      <x:c r="II277" t="str">
        <x:f>IF('Calculations'!IH277="","",IF('Calculations'!IH277="!AMBIG","!AMBIG",IF(COUNTIF('Calculations'!$HE$13:$HE$512,"="&amp;SUBSTITUTE(SUBSTITUTE(SUBSTITUTE('Calculations'!IH277,"~","~~"),"*","~*"),"?","~?"))&gt;1,"!AMBIG",IFERROR(INDEX('Calculations'!$HF$13:$HF$512,MATCH('Calculations'!IH277,'Calculations'!$HE$13:$HE$512,0)),""))))</x:f>
      </x:c>
      <x:c r="IJ277" t="str">
        <x:f>IF('Calculations'!EM277="","",IF('Calculations'!$EF$2="All",'Calculations'!HM277,IF('Calculations'!HL277=1,"",IFERROR(IF(MATCH('Calculations'!$EF$2,'Calculations'!HO277:II277,0)=1,'Calculations'!HE277,INDEX('Calculations'!HO277:II277,1,MATCH('Calculations'!$EF$2,'Calculations'!HO277:II277,0)-1)),""))))</x:f>
      </x:c>
      <x:c r="IK277" t="n">
        <x:f>IF(AND('Calculations'!EM277&lt;&gt;"",'Calculations'!$EF$2&lt;&gt;"All",'Calculations'!HF277='Calculations'!$EF$2,'Calculations'!HL277=0,'Calculations'!JD277&gt;0),MAX('Calculations'!$IK$12:IK276)+1,0)</x:f>
        <x:v>0</x:v>
      </x:c>
      <x:c r="JA277" t="n">
        <x:f>IF(OR(IFERROR(INDIRECT("'WCM Calibration Final'!$A$277")&lt;&gt;"",FALSE),IFERROR(INDIRECT("'WCM Calibration Final'!$B$277")&lt;&gt;"",FALSE),IFERROR(INDIRECT("'WCM Calibration Final'!$C$277")&lt;&gt;"",FALSE)),277,0)</x:f>
        <x:v>0</x:v>
      </x:c>
      <x:c r="JB277" t="n">
        <x:f>'Calculations'!JB276+IF('Calculations'!JA277&gt;0,1,0)</x:f>
        <x:v>0</x:v>
      </x:c>
      <x:c r="JC277" t="n">
        <x:f>IF(OR('Calculations'!HF277="",'Calculations'!HF277="!AMBIG"),0,IF('Dashboard'!$B$7="All",1,COUNTIFS('Calculations'!$HO$13:$HO$512,"="&amp;SUBSTITUTE(SUBSTITUTE(SUBSTITUTE('Calculations'!HF277,"~","~~"),"*","~*"),"?","~?"),'Calculations'!$HN$13:$HN$512,"="&amp;SUBSTITUTE(SUBSTITUTE(SUBSTITUTE('Dashboard'!$B$7,"~","~~"),"*","~*"),"?","~?"))+COUNTIFS('Calculations'!$HP$13:$HP$512,"="&amp;SUBSTITUTE(SUBSTITUTE(SUBSTITUTE('Calculations'!HF277,"~","~~"),"*","~*"),"?","~?"),'Calculations'!$HN$13:$HN$512,"="&amp;SUBSTITUTE(SUBSTITUTE(SUBSTITUTE('Dashboard'!$B$7,"~","~~"),"*","~*"),"?","~?"))+COUNTIFS('Calculations'!$HQ$13:$HQ$512,"="&amp;SUBSTITUTE(SUBSTITUTE(SUBSTITUTE('Calculations'!HF277,"~","~~"),"*","~*"),"?","~?"),'Calculations'!$HN$13:$HN$512,"="&amp;SUBSTITUTE(SUBSTITUTE(SUBSTITUTE('Dashboard'!$B$7,"~","~~"),"*","~*"),"?","~?"))+COUNTIFS('Calculations'!$HR$13:$HR$512,"="&amp;SUBSTITUTE(SUBSTITUTE(SUBSTITUTE('Calculations'!HF277,"~","~~"),"*","~*"),"?","~?"),'Calculations'!$HN$13:$HN$512,"="&amp;SUBSTITUTE(SUBSTITUTE(SUBSTITUTE('Dashboard'!$B$7,"~","~~"),"*","~*"),"?","~?"))+COUNTIFS('Calculations'!$HS$13:$HS$512,"="&amp;SUBSTITUTE(SUBSTITUTE(SUBSTITUTE('Calculations'!HF277,"~","~~"),"*","~*"),"?","~?"),'Calculations'!$HN$13:$HN$512,"="&amp;SUBSTITUTE(SUBSTITUTE(SUBSTITUTE('Dashboard'!$B$7,"~","~~"),"*","~*"),"?","~?"))+COUNTIFS('Calculations'!$HT$13:$HT$512,"="&amp;SUBSTITUTE(SUBSTITUTE(SUBSTITUTE('Calculations'!HF277,"~","~~"),"*","~*"),"?","~?"),'Calculations'!$HN$13:$HN$512,"="&amp;SUBSTITUTE(SUBSTITUTE(SUBSTITUTE('Dashboard'!$B$7,"~","~~"),"*","~*"),"?","~?"))+COUNTIFS('Calculations'!$HU$13:$HU$512,"="&amp;SUBSTITUTE(SUBSTITUTE(SUBSTITUTE('Calculations'!HF277,"~","~~"),"*","~*"),"?","~?"),'Calculations'!$HN$13:$HN$512,"="&amp;SUBSTITUTE(SUBSTITUTE(SUBSTITUTE('Dashboard'!$B$7,"~","~~"),"*","~*"),"?","~?"))+COUNTIFS('Calculations'!$HV$13:$HV$512,"="&amp;SUBSTITUTE(SUBSTITUTE(SUBSTITUTE('Calculations'!HF277,"~","~~"),"*","~*"),"?","~?"),'Calculations'!$HN$13:$HN$512,"="&amp;SUBSTITUTE(SUBSTITUTE(SUBSTITUTE('Dashboard'!$B$7,"~","~~"),"*","~*"),"?","~?"))+COUNTIFS('Calculations'!$HW$13:$HW$512,"="&amp;SUBSTITUTE(SUBSTITUTE(SUBSTITUTE('Calculations'!HF277,"~","~~"),"*","~*"),"?","~?"),'Calculations'!$HN$13:$HN$512,"="&amp;SUBSTITUTE(SUBSTITUTE(SUBSTITUTE('Dashboard'!$B$7,"~","~~"),"*","~*"),"?","~?"))+COUNTIFS('Calculations'!$HX$13:$HX$512,"="&amp;SUBSTITUTE(SUBSTITUTE(SUBSTITUTE('Calculations'!HF277,"~","~~"),"*","~*"),"?","~?"),'Calculations'!$HN$13:$HN$512,"="&amp;SUBSTITUTE(SUBSTITUTE(SUBSTITUTE('Dashboard'!$B$7,"~","~~"),"*","~*"),"?","~?"))+COUNTIFS('Calculations'!$HY$13:$HY$512,"="&amp;SUBSTITUTE(SUBSTITUTE(SUBSTITUTE('Calculations'!HF277,"~","~~"),"*","~*"),"?","~?"),'Calculations'!$HN$13:$HN$512,"="&amp;SUBSTITUTE(SUBSTITUTE(SUBSTITUTE('Dashboard'!$B$7,"~","~~"),"*","~*"),"?","~?"))+COUNTIFS('Calculations'!$HZ$13:$HZ$512,"="&amp;SUBSTITUTE(SUBSTITUTE(SUBSTITUTE('Calculations'!HF277,"~","~~"),"*","~*"),"?","~?"),'Calculations'!$HN$13:$HN$512,"="&amp;SUBSTITUTE(SUBSTITUTE(SUBSTITUTE('Dashboard'!$B$7,"~","~~"),"*","~*"),"?","~?"))+COUNTIFS('Calculations'!$IA$13:$IA$512,"="&amp;SUBSTITUTE(SUBSTITUTE(SUBSTITUTE('Calculations'!HF277,"~","~~"),"*","~*"),"?","~?"),'Calculations'!$HN$13:$HN$512,"="&amp;SUBSTITUTE(SUBSTITUTE(SUBSTITUTE('Dashboard'!$B$7,"~","~~"),"*","~*"),"?","~?"))+COUNTIFS('Calculations'!$IB$13:$IB$512,"="&amp;SUBSTITUTE(SUBSTITUTE(SUBSTITUTE('Calculations'!HF277,"~","~~"),"*","~*"),"?","~?"),'Calculations'!$HN$13:$HN$512,"="&amp;SUBSTITUTE(SUBSTITUTE(SUBSTITUTE('Dashboard'!$B$7,"~","~~"),"*","~*"),"?","~?"))+COUNTIFS('Calculations'!$IC$13:$IC$512,"="&amp;SUBSTITUTE(SUBSTITUTE(SUBSTITUTE('Calculations'!HF277,"~","~~"),"*","~*"),"?","~?"),'Calculations'!$HN$13:$HN$512,"="&amp;SUBSTITUTE(SUBSTITUTE(SUBSTITUTE('Dashboard'!$B$7,"~","~~"),"*","~*"),"?","~?"))+COUNTIFS('Calculations'!$ID$13:$ID$512,"="&amp;SUBSTITUTE(SUBSTITUTE(SUBSTITUTE('Calculations'!HF277,"~","~~"),"*","~*"),"?","~?"),'Calculations'!$HN$13:$HN$512,"="&amp;SUBSTITUTE(SUBSTITUTE(SUBSTITUTE('Dashboard'!$B$7,"~","~~"),"*","~*"),"?","~?"))+COUNTIFS('Calculations'!$IE$13:$IE$512,"="&amp;SUBSTITUTE(SUBSTITUTE(SUBSTITUTE('Calculations'!HF277,"~","~~"),"*","~*"),"?","~?"),'Calculations'!$HN$13:$HN$512,"="&amp;SUBSTITUTE(SUBSTITUTE(SUBSTITUTE('Dashboard'!$B$7,"~","~~"),"*","~*"),"?","~?"))+COUNTIFS('Calculations'!$IF$13:$IF$512,"="&amp;SUBSTITUTE(SUBSTITUTE(SUBSTITUTE('Calculations'!HF277,"~","~~"),"*","~*"),"?","~?"),'Calculations'!$HN$13:$HN$512,"="&amp;SUBSTITUTE(SUBSTITUTE(SUBSTITUTE('Dashboard'!$B$7,"~","~~"),"*","~*"),"?","~?"))+COUNTIFS('Calculations'!$IG$13:$IG$512,"="&amp;SUBSTITUTE(SUBSTITUTE(SUBSTITUTE('Calculations'!HF277,"~","~~"),"*","~*"),"?","~?"),'Calculations'!$HN$13:$HN$512,"="&amp;SUBSTITUTE(SUBSTITUTE(SUBSTITUTE('Dashboard'!$B$7,"~","~~"),"*","~*"),"?","~?"))+COUNTIFS('Calculations'!$IH$13:$IH$512,"="&amp;SUBSTITUTE(SUBSTITUTE(SUBSTITUTE('Calculations'!HF277,"~","~~"),"*","~*"),"?","~?"),'Calculations'!$HN$13:$HN$512,"="&amp;SUBSTITUTE(SUBSTITUTE(SUBSTITUTE('Dashboard'!$B$7,"~","~~"),"*","~*"),"?","~?"))))</x:f>
        <x:v>0</x:v>
      </x:c>
      <x:c r="JD277" t="n">
        <x:f>IF('Calculations'!EM277="",0,IF('Dashboard'!$B$7="All",1,IF('Calculations'!HN277='Dashboard'!$B$7,1,0)+IFERROR(INDEX('Calculations'!$JC$13:$JC$512,MATCH('Calculations'!HE277,'Calculations'!$HF$13:$HF$512,0)),0)))</x:f>
        <x:v>0</x:v>
      </x:c>
      <x:c r="JE277" t="n">
        <x:f>IF(AND('Calculations'!EM277&lt;&gt;"",'Calculations'!$JJ$2&lt;&gt;"All",'Calculations'!$JJ$2&lt;&gt;"",'Calculations'!HF277='Calculations'!$JJ$2,'Calculations'!HL277=0,'Calculations'!JD277&gt;0),MAX('Calculations'!$JE$12:JE276)+1,0)</x:f>
        <x:v>0</x:v>
      </x:c>
      <x:c r="JF277" t="str">
        <x:f>IF('Calculations'!EM277="","",IFERROR(IF(INDEX(INDIRECT("'WCM Calibration Final'!$G$1:$G$2000"),'Calculations'!$EM277)="","",TRIM(INDEX(INDIRECT("'WCM Calibration Final'!$G$1:$G$2000"),'Calculations'!$EM277)&amp;"")),""))</x:f>
      </x:c>
      <x:c r="JQ277" t="n">
        <x:f>IF(OR('Calculations'!BM277=0,NOT('Calculations'!$AG$2),'Calculations'!$AG$8&gt;0),0,IF(OR('Dashboard'!$B$7="All",'Calculations'!HN277='Dashboard'!$B$7),IF('Calculations'!$JJ$2="All",1,IF(AND('Calculations'!HF277='Calculations'!$JJ$2,'Calculations'!HL277=0),1,0)),0))</x:f>
        <x:v>0</x:v>
      </x:c>
    </x:row>
    <x:row r="278">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t="n">
        <x:f>IF('Calculations'!$EM278="",0,IF(OR(IFERROR(INDEX(INDIRECT("'WCM Calibration Final'!$A$1:$A$2000"),'Calculations'!$EM278)&lt;&gt;"",FALSE),IFERROR(INDEX(INDIRECT("'WCM Calibration Final'!$B$1:$B$2000"),'Calculations'!$EM278)&lt;&gt;"",FALSE),IFERROR(INDEX(INDIRECT("'WCM Calibration Final'!$C$1:$C$2000"),'Calculations'!$EM278)&lt;&gt;"",FALSE)),1,0))</x:f>
        <x:v>0</x:v>
      </x:c>
      <x:c r="BN278" s="4" t="n">
        <x:f>IF(AND('Calculations'!BM278=1,'Calculations'!$AG$2,'Calculations'!$EN278=1),1,0)</x:f>
        <x:v>0</x:v>
      </x:c>
      <x:c r="BO278" s="4" t="str">
        <x:f>IF('Calculations'!BM278=0,"",IFERROR(IF(AND(VALUE(INDEX(INDIRECT("'WCM Calibration Final'!$K$1:$K$2000"),'Calculations'!$EM278))&gt;=1,VALUE(INDEX(INDIRECT("'WCM Calibration Final'!$K$1:$K$2000"),'Calculations'!$EM278))&lt;=4,MOD(VALUE(INDEX(INDIRECT("'WCM Calibration Final'!$K$1:$K$2000"),'Calculations'!$EM278)),1)=0),VALUE(INDEX(INDIRECT("'WCM Calibration Final'!$K$1:$K$2000"),'Calculations'!$EM278)),""),""))</x:f>
      </x:c>
      <x:c r="BP278" s="4" t="str">
        <x:f>IF('Calculations'!BM278=0,"",IFERROR(IF(AND(VALUE(INDEX(INDIRECT("'WCM Calibration Final'!$L$1:$L$2000"),'Calculations'!$EM278))&gt;=1,VALUE(INDEX(INDIRECT("'WCM Calibration Final'!$L$1:$L$2000"),'Calculations'!$EM278))&lt;=4,MOD(VALUE(INDEX(INDIRECT("'WCM Calibration Final'!$L$1:$L$2000"),'Calculations'!$EM278)),1)=0),VALUE(INDEX(INDIRECT("'WCM Calibration Final'!$L$1:$L$2000"),'Calculations'!$EM278)),""),""))</x:f>
      </x:c>
      <x:c r="BQ278" s="4"/>
      <x:c r="BR278" s="4"/>
      <x:c r="BS278" s="4"/>
      <x:c r="BT278" s="4" t="n">
        <x:f>IF(AND('Calculations'!BM278=1,ISNUMBER('Calculations'!BO278),ISNUMBER('Calculations'!BP278)),1,0)</x:f>
        <x:v>0</x:v>
      </x:c>
      <x:c r="BU278" s="4" t="str">
        <x:f>IF('Calculations'!BM278=0,"",'Calculations'!$EO278)</x:f>
      </x:c>
      <x:c r="BV278" s="4" t="str">
        <x:f>IF('Calculations'!BM278=0,"",IFERROR(IF(OR(INDEX(INDIRECT("'WCM Calibration Final'!$H$1:$H$2000"),'Calculations'!$EM278)="MANAGING DIRECTOR",INDEX(INDIRECT("'WCM Calibration Final'!$H$1:$H$2000"),'Calculations'!$EM278)="DIRECTOR",INDEX(INDIRECT("'WCM Calibration Final'!$H$1:$H$2000"),'Calculations'!$EM278)="SENIOR VICE PRESIDENT",INDEX(INDIRECT("'WCM Calibration Final'!$H$1:$H$2000"),'Calculations'!$EM278)="VICE PRESIDENT",INDEX(INDIRECT("'WCM Calibration Final'!$H$1:$H$2000"),'Calculations'!$EM278)="ASSISTANT VICE PRESIDENT",INDEX(INDIRECT("'WCM Calibration Final'!$H$1:$H$2000"),'Calculations'!$EM278)="OFFICER"),UPPER(INDEX(INDIRECT("'WCM Calibration Final'!$H$1:$H$2000"),'Calculations'!$EM278)),"Other"),"Other"))</x:f>
      </x:c>
      <x:c r="BW278" s="4"/>
      <x:c r="BX278" s="4"/>
      <x:c r="BY278" s="4" t="n">
        <x:f>IF(AND('Calculations'!BM278=1,'Calculations'!BU278&lt;&gt;"",COUNTIF('Calculations'!$BU$12:BU278,'Calculations'!BU278)=1),MAX('Calculations'!$BY$11:BY277)+1,0)</x:f>
        <x:v>0</x:v>
      </x:c>
      <x:c r="BZ278" s="4" t="str">
        <x:f>IF('Dashboard'!$E$67="What",'Calculations'!BO278,'Calculations'!BP278)</x:f>
      </x:c>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t="str">
        <x:f>IF(267&gt;MAX('Calculations'!$HI$13:$HI$512),"",INDEX('Calculations'!$HN$13:$HN$512,MATCH(267,'Calculations'!$HI$13:$HI$512,0)))</x:f>
      </x:c>
      <x:c r="DB278" s="4" t="str">
        <x:f>IF(267&gt;MAX('Calculations'!$HH$13:$HH$512),"",INDEX('Calculations'!$HJ$13:$HJ$512,MATCH(267,'Calculations'!$HH$13:$HH$512,0)))</x:f>
      </x:c>
      <x:c r="DC278" s="4" t="str">
        <x:f>IF(ROW()-11&gt;MAX('Calculations'!$BY$13:$BY$512),"",INDEX('Calculations'!$BU$13:$BU$512,MATCH(ROW()-11,'Calculations'!$BY$13:$BY$512,0)))</x:f>
      </x:c>
      <x:c r="DD278" s="4" t="str">
        <x:f>IF(267&gt;MAX('Calculations'!$IK$13:$IK$512),"",INDEX('Calculations'!$HK$13:$HK$512,MATCH(267,'Calculations'!$IK$13:$IK$512,0)))</x:f>
      </x:c>
      <x:c r="DE278" s="4" t="str">
        <x:f>'Calculations'!DC278</x:f>
      </x:c>
      <x:c r="DF278" s="4" t="str">
        <x:f>IF('Calculations'!DE278="","",COUNTIFS('Calculations'!$BN$13:$BN$512,1,'Calculations'!$BU$13:$BU$512,'Calculations'!DE278))</x:f>
      </x:c>
      <x:c r="DG278" s="4" t="str">
        <x:f>IF('Calculations'!DE278="","",COUNTIFS('Calculations'!$BN$13:$BN$512,1,'Calculations'!$BU$13:$BU$512,'Calculations'!DE278,'Calculations'!$BT$13:$BT$512,1))</x:f>
      </x:c>
      <x:c r="DH278" s="4" t="str">
        <x:f>IF('Calculations'!DE278="","",'Calculations'!DF278-'Calculations'!DG278)</x:f>
      </x:c>
      <x:c r="DI278" s="4" t="str">
        <x:f>IF(OR('Calculations'!DE278="",'Calculations'!DF278=0),"",'Calculations'!DG278/'Calculations'!DF278)</x:f>
      </x:c>
      <x:c r="DJ278" s="4" t="str">
        <x:f>IF('Calculations'!DE278="","",COUNTIFS('Calculations'!$BN$13:$BN$512,1,'Calculations'!$BU$13:$BU$512,'Calculations'!DE278,'Calculations'!$BT$13:$BT$512,1,'Calculations'!$EE$13:$EE$512,"High"))</x:f>
      </x:c>
      <x:c r="DK278" s="4" t="str">
        <x:f>IF('Calculations'!DE278="","",COUNTIFS('Calculations'!$BN$13:$BN$512,1,'Calculations'!$BU$13:$BU$512,'Calculations'!DE278,'Calculations'!$BT$13:$BT$512,1,'Calculations'!$EE$13:$EE$512,"Strong"))</x:f>
      </x:c>
      <x:c r="DL278" s="4" t="str">
        <x:f>IF('Calculations'!DE278="","",COUNTIFS('Calculations'!$BN$13:$BN$512,1,'Calculations'!$BU$13:$BU$512,'Calculations'!DE278,'Calculations'!$BT$13:$BT$512,1,'Calculations'!$EE$13:$EE$512,"Solid"))</x:f>
      </x:c>
      <x:c r="DM278" s="4" t="str">
        <x:f>IF('Calculations'!DE278="","",COUNTIFS('Calculations'!$BN$13:$BN$512,1,'Calculations'!$BU$13:$BU$512,'Calculations'!DE278,'Calculations'!$BT$13:$BT$512,1,'Calculations'!$EE$13:$EE$512,"Low"))</x:f>
      </x:c>
      <x:c r="DN278" s="4" t="str">
        <x:f>IF('Calculations'!DE278="","",COUNTIFS('Calculations'!$BN$13:$BN$512,1,'Calculations'!$BU$13:$BU$512,'Calculations'!DE278,'Calculations'!$EP$13:$EP$512,1))</x:f>
      </x:c>
      <x:c r="DO278" s="4" t="str">
        <x:f>IF(OR('Calculations'!DE278="",'Calculations'!DG278=0),"",('Calculations'!DJ278+'Calculations'!DK278)/'Calculations'!DG278)</x:f>
      </x:c>
      <x:c r="DP278" s="4" t="n">
        <x:f>IF(AND('Calculations'!DE278&lt;&gt;"",'Calculations'!DF278&gt;0),COUNTIF('Calculations'!$DF$12:DF278,"&gt;0"),0)</x:f>
        <x:v>0</x:v>
      </x:c>
      <x:c r="DQ278" s="4" t="str">
        <x:f>IF(267&gt;MAX('Calculations'!$HH$13:$HH$512),"",INDEX('Calculations'!$HF$13:$HF$512,MATCH(267,'Calculations'!$HH$13:$HH$512,0)))</x:f>
      </x:c>
      <x:c r="DR278" s="4" t="str">
        <x:f>IF(267&gt;MAX('Calculations'!$IK$13:$IK$512),"",INDEX('Calculations'!$HE$13:$HE$512,MATCH(267,'Calculations'!$IK$13:$IK$512,0)))</x:f>
      </x:c>
      <x:c r="DS278" s="4"/>
      <x:c r="DT278" s="4"/>
      <x:c r="DU278" s="4"/>
      <x:c r="DV278" s="4"/>
      <x:c r="DW278" s="4"/>
      <x:c r="DX278" s="4"/>
      <x:c r="DY278" s="4"/>
      <x:c r="DZ278" s="4"/>
      <x:c r="EA278" s="4"/>
      <x:c r="EB278" s="4"/>
      <x:c r="EC278" s="4"/>
      <x:c r="ED278" s="4"/>
      <x:c r="EE278" s="4" t="str">
        <x:f>IF('Calculations'!BT278=0,"Not Rated",IF(OR('Calculations'!BO278&gt;=4,'Calculations'!BP278&gt;=4),"Low",IF('Calculations'!BO278+'Calculations'!BP278&lt;=3,"High",IF('Calculations'!BO278+'Calculations'!BP278&lt;=4,"Strong","Solid"))))</x:f>
        <x:v>Not Rated</x:v>
      </x:c>
      <x:c r="EF278" s="4"/>
      <x:c r="EG278" s="4"/>
      <x:c r="EH278" s="4"/>
      <x:c r="EI278" s="4"/>
      <x:c r="EJ278" s="4"/>
      <x:c r="EK278" s="4"/>
      <x:c r="EL278" s="4"/>
      <x:c r="EM278" s="4" t="str">
        <x:f>IF(266&gt;'Calculations'!$JB$2000,"",INDEX('Calculations'!$JA$12:$JA$2000,MATCH(266,'Calculations'!$JB$12:$JB$2000,0)))</x:f>
      </x:c>
      <x:c r="EN278" s="4" t="n">
        <x:f>IF(OR('Calculations'!EM278="",'Calculations'!$AG$8&gt;0,AND('Calculations'!$EF$2&lt;&gt;"All",'Calculations'!HE278='Calculations'!$EF$2),AND('Calculations'!$EF$3&lt;&gt;"All",'Calculations'!HE278='Calculations'!$EF$3)),0,IF(OR('Dashboard'!$B$7="All",'Calculations'!HN278='Dashboard'!$B$7),IF('Calculations'!$EF$2="All",1,IF('Calculations'!HL278&gt;0,0,IF(COUNTIF('Calculations'!HO278:II278,"="&amp;SUBSTITUTE(SUBSTITUTE(SUBSTITUTE('Calculations'!$EF$2,"~","~~"),"*","~*"),"?","~?"))=0,0,IF('Calculations'!$EF$3="All",1,IF(COUNTIF('Calculations'!HO278:II278,"="&amp;SUBSTITUTE(SUBSTITUTE(SUBSTITUTE('Calculations'!$EF$3,"~","~~"),"*","~*"),"?","~?"))&gt;0,1,0))))),0))</x:f>
        <x:v>0</x:v>
      </x:c>
      <x:c r="EO278" s="4" t="str">
        <x:f>IF('Calculations'!IJ278="","",IF('Calculations'!IJ278="!UNRESOLVED","Unresolved hierarchy",IFERROR(INDEX('Calculations'!$HK$13:$HK$512,MATCH('Calculations'!IJ278,'Calculations'!$HE$13:$HE$512,0)),IFERROR(INDEX('Calculations'!$HJ$13:$HJ$512,MATCH('Calculations'!IJ278,'Calculations'!$HF$13:$HF$512,0)),'Calculations'!IJ278))))</x:f>
      </x:c>
      <x:c r="EP278" s="4" t="n">
        <x:f>IF(AND('Calculations'!EM278&lt;&gt;"",'Calculations'!HF278='Calculations'!IJ278),1,0)</x:f>
        <x:v>0</x:v>
      </x:c>
      <x:c r="EQ278" s="4"/>
      <x:c r="ER278" s="4"/>
      <x:c r="ES278" s="4"/>
      <x:c r="ET278" s="4"/>
      <x:c r="EU278" s="4"/>
      <x:c r="EV278" s="4"/>
      <x:c r="EW278" s="4"/>
      <x:c r="EX278" s="4"/>
      <x:c r="EY278" s="4"/>
      <x:c r="EZ278" s="4"/>
      <x:c r="FA278" s="4"/>
      <x:c r="FB278" s="4"/>
      <x:c r="FC278" s="4"/>
      <x:c r="FD278" s="4"/>
      <x:c r="FE278" s="4"/>
      <x:c r="FF278" s="4"/>
      <x:c r="FG278" s="4"/>
      <x:c r="FH278" s="4"/>
      <x:c r="FI278" s="4"/>
      <x:c r="FJ278" s="4"/>
      <x:c r="FK278" s="4"/>
      <x:c r="FL278" s="4"/>
      <x:c r="FM278" s="4"/>
      <x:c r="FN278" s="4"/>
      <x:c r="FO278" s="4"/>
      <x:c r="HE278" t="str">
        <x:f>IF('Calculations'!EM278="","",IF(IFERROR(IF(INDEX(INDIRECT("'WCM Calibration Final'!$A$1:$A$2000"),'Calculations'!$EM278)="","",TRIM(INDEX(INDIRECT("'WCM Calibration Final'!$A$1:$A$2000"),'Calculations'!$EM278)&amp;"")),"")&lt;&gt;"","G:"&amp;IFERROR(TEXT(1*INDEX(INDIRECT("'WCM Calibration Final'!$A$1:$A$2000"),'Calculations'!$EM278),"0"),UPPER(IFERROR(IF(INDEX(INDIRECT("'WCM Calibration Final'!$A$1:$A$2000"),'Calculations'!$EM278)="","",TRIM(INDEX(INDIRECT("'WCM Calibration Final'!$A$1:$A$2000"),'Calculations'!$EM278)&amp;"")),""))),IF(IFERROR(IF(INDEX(INDIRECT("'WCM Calibration Final'!$C$1:$C$2000"),'Calculations'!$EM278)="","",TRIM(INDEX(INDIRECT("'WCM Calibration Final'!$C$1:$C$2000"),'Calculations'!$EM278)&amp;"")),"")&lt;&gt;"","S:"&amp;UPPER(IFERROR(IF(INDEX(INDIRECT("'WCM Calibration Final'!$C$1:$C$2000"),'Calculations'!$EM278)="","",TRIM(INDEX(INDIRECT("'WCM Calibration Final'!$C$1:$C$2000"),'Calculations'!$EM278)&amp;"")),"")),"R:"&amp;'Calculations'!EM278)))</x:f>
      </x:c>
      <x:c r="HF278" t="str">
        <x:f>IF('Calculations'!EM278="","",IF(IFERROR(IF(INDEX(INDIRECT("'WCM Calibration Final'!$D$1:$D$2000"),'Calculations'!$EM278)="","",TRIM(INDEX(INDIRECT("'WCM Calibration Final'!$D$1:$D$2000"),'Calculations'!$EM278)&amp;"")),"")&lt;&gt;"","G:"&amp;IFERROR(TEXT(1*INDEX(INDIRECT("'WCM Calibration Final'!$D$1:$D$2000"),'Calculations'!$EM278),"0"),UPPER(IFERROR(IF(INDEX(INDIRECT("'WCM Calibration Final'!$D$1:$D$2000"),'Calculations'!$EM278)="","",TRIM(INDEX(INDIRECT("'WCM Calibration Final'!$D$1:$D$2000"),'Calculations'!$EM278)&amp;"")),""))),IF(IFERROR(IF(INDEX(INDIRECT("'WCM Calibration Final'!$E$1:$E$2000"),'Calculations'!$EM278)="","",TRIM(INDEX(INDIRECT("'WCM Calibration Final'!$E$1:$E$2000"),'Calculations'!$EM278)&amp;"")),"")="","",IF(COUNTIF('Calculations'!$HG$13:$HG$512,"="&amp;SUBSTITUTE(SUBSTITUTE(SUBSTITUTE(IFERROR(IF(INDEX(INDIRECT("'WCM Calibration Final'!$E$1:$E$2000"),'Calculations'!$EM278)="","",TRIM(INDEX(INDIRECT("'WCM Calibration Final'!$E$1:$E$2000"),'Calculations'!$EM278)&amp;"")),""),"~","~~"),"*","~*"),"?","~?"))=1,INDEX('Calculations'!$HE$13:$HE$512,MATCH(IFERROR(IF(INDEX(INDIRECT("'WCM Calibration Final'!$E$1:$E$2000"),'Calculations'!$EM278)="","",TRIM(INDEX(INDIRECT("'WCM Calibration Final'!$E$1:$E$2000"),'Calculations'!$EM278)&amp;"")),""),'Calculations'!$HG$13:$HG$512,0)),IF(COUNTIF('Calculations'!$HG$13:$HG$512,"="&amp;SUBSTITUTE(SUBSTITUTE(SUBSTITUTE(IFERROR(IF(INDEX(INDIRECT("'WCM Calibration Final'!$E$1:$E$2000"),'Calculations'!$EM278)="","",TRIM(INDEX(INDIRECT("'WCM Calibration Final'!$E$1:$E$2000"),'Calculations'!$EM278)&amp;"")),""),"~","~~"),"*","~*"),"?","~?"))&gt;1,"!AMBIG","X:"&amp;IFERROR(IF(INDEX(INDIRECT("'WCM Calibration Final'!$E$1:$E$2000"),'Calculations'!$EM278)="","",TRIM(INDEX(INDIRECT("'WCM Calibration Final'!$E$1:$E$2000"),'Calculations'!$EM278)&amp;"")),""))))))</x:f>
      </x:c>
      <x:c r="HG278" t="str">
        <x:f>IF('Calculations'!EM278="","",IFERROR(IF(INDEX(INDIRECT("'WCM Calibration Final'!$B$1:$B$2000"),'Calculations'!$EM278)="","",TRIM(INDEX(INDIRECT("'WCM Calibration Final'!$B$1:$B$2000"),'Calculations'!$EM278)&amp;"")),""))</x:f>
      </x:c>
      <x:c r="HH278" t="n">
        <x:f>IF(AND('Calculations'!JC278&gt;0,COUNTIF('Calculations'!$HF$12:HF278,"="&amp;SUBSTITUTE(SUBSTITUTE(SUBSTITUTE('Calculations'!HF278,"~","~~"),"*","~*"),"?","~?"))=1),MAX('Calculations'!$HH$12:HH277)+1,0)</x:f>
        <x:v>0</x:v>
      </x:c>
      <x:c r="HI278" t="n">
        <x:f>IF(AND('Calculations'!HN278&lt;&gt;"",COUNTIF('Calculations'!$HN$12:HN278,"="&amp;SUBSTITUTE(SUBSTITUTE(SUBSTITUTE('Calculations'!HN278,"~","~~"),"*","~*"),"?","~?"))=1),MAX('Calculations'!$HI$12:HI277)+1,0)</x:f>
        <x:v>0</x:v>
      </x:c>
      <x:c r="HJ278" t="str">
        <x:f>IF('Calculations'!HF278="","",IF(COUNTIF('Calculations'!$HE$13:$HE$512,"="&amp;SUBSTITUTE(SUBSTITUTE(SUBSTITUTE('Calculations'!HF278,"~","~~"),"*","~*"),"?","~?"))=1,INDEX('Calculations'!$HK$13:$HK$512,MATCH('Calculations'!HF278,'Calculations'!$HE$13:$HE$512,0)),IFERROR(IF(INDEX(INDIRECT("'WCM Calibration Final'!$E$1:$E$2000"),'Calculations'!$EM278)="","",TRIM(INDEX(INDIRECT("'WCM Calibration Final'!$E$1:$E$2000"),'Calculations'!$EM278)&amp;"")),"")&amp;" ["&amp;'Calculations'!HF278&amp;"]"))</x:f>
      </x:c>
      <x:c r="HK278" t="str">
        <x:f>IF('Calculations'!EM278="","",'Calculations'!HG278&amp;" ["&amp;'Calculations'!HE278&amp;"]")</x:f>
      </x:c>
      <x:c r="HL278" t="n">
        <x:f>IF('Calculations'!EM278="",0,IF(OR('Calculations'!II278&lt;&gt;"",COUNTIF('Calculations'!$HE$13:$HE$512,"="&amp;SUBSTITUTE(SUBSTITUTE(SUBSTITUTE('Calculations'!HE278,"~","~~"),"*","~*"),"?","~?"))&gt;1),1,0))</x:f>
        <x:v>0</x:v>
      </x:c>
      <x:c r="HM278" t="str">
        <x:f>IF('Calculations'!EM278="","",IF('Calculations'!HL278=1,"!UNRESOLVED",IF('Calculations'!IH278&lt;&gt;"",'Calculations'!IH278,IF('Calculations'!IG278&lt;&gt;"",'Calculations'!IG278,IF('Calculations'!IF278&lt;&gt;"",'Calculations'!IF278,IF('Calculations'!IE278&lt;&gt;"",'Calculations'!IE278,IF('Calculations'!ID278&lt;&gt;"",'Calculations'!ID278,IF('Calculations'!IC278&lt;&gt;"",'Calculations'!IC278,IF('Calculations'!IB278&lt;&gt;"",'Calculations'!IB278,IF('Calculations'!IA278&lt;&gt;"",'Calculations'!IA278,IF('Calculations'!HZ278&lt;&gt;"",'Calculations'!HZ278,IF('Calculations'!HY278&lt;&gt;"",'Calculations'!HY278,IF('Calculations'!HX278&lt;&gt;"",'Calculations'!HX278,IF('Calculations'!HW278&lt;&gt;"",'Calculations'!HW278,IF('Calculations'!HV278&lt;&gt;"",'Calculations'!HV278,IF('Calculations'!HU278&lt;&gt;"",'Calculations'!HU278,IF('Calculations'!HT278&lt;&gt;"",'Calculations'!HT278,IF('Calculations'!HS278&lt;&gt;"",'Calculations'!HS278,IF('Calculations'!HR278&lt;&gt;"",'Calculations'!HR278,IF('Calculations'!HQ278&lt;&gt;"",'Calculations'!HQ278,IF('Calculations'!HP278&lt;&gt;"",'Calculations'!HP278,IF('Calculations'!HO278&lt;&gt;"",'Calculations'!HO278,'Calculations'!HE278))))))))))))))))))))))</x:f>
      </x:c>
      <x:c r="HN278" t="str">
        <x:f>IF('Calculations'!EM278="","",IF(IFERROR(IF(INDEX(INDIRECT("'WCM Calibration Final'!$F$1:$F$2000"),'Calculations'!$EM278)="","",TRIM(INDEX(INDIRECT("'WCM Calibration Final'!$F$1:$F$2000"),'Calculations'!$EM278)&amp;"")),"")="","(Blank)",IFERROR(IF(INDEX(INDIRECT("'WCM Calibration Final'!$F$1:$F$2000"),'Calculations'!$EM278)="","",TRIM(INDEX(INDIRECT("'WCM Calibration Final'!$F$1:$F$2000"),'Calculations'!$EM278)&amp;"")),"")))</x:f>
      </x:c>
      <x:c r="HO278" t="str">
        <x:f>'Calculations'!HF278</x:f>
      </x:c>
      <x:c r="HP278" t="str">
        <x:f>IF('Calculations'!HO278="","",IF('Calculations'!HO278="!AMBIG","!AMBIG",IF(COUNTIF('Calculations'!$HE$13:$HE$512,"="&amp;SUBSTITUTE(SUBSTITUTE(SUBSTITUTE('Calculations'!HO278,"~","~~"),"*","~*"),"?","~?"))&gt;1,"!AMBIG",IFERROR(INDEX('Calculations'!$HF$13:$HF$512,MATCH('Calculations'!HO278,'Calculations'!$HE$13:$HE$512,0)),""))))</x:f>
      </x:c>
      <x:c r="HQ278" t="str">
        <x:f>IF('Calculations'!HP278="","",IF('Calculations'!HP278="!AMBIG","!AMBIG",IF(COUNTIF('Calculations'!$HE$13:$HE$512,"="&amp;SUBSTITUTE(SUBSTITUTE(SUBSTITUTE('Calculations'!HP278,"~","~~"),"*","~*"),"?","~?"))&gt;1,"!AMBIG",IFERROR(INDEX('Calculations'!$HF$13:$HF$512,MATCH('Calculations'!HP278,'Calculations'!$HE$13:$HE$512,0)),""))))</x:f>
      </x:c>
      <x:c r="HR278" t="str">
        <x:f>IF('Calculations'!HQ278="","",IF('Calculations'!HQ278="!AMBIG","!AMBIG",IF(COUNTIF('Calculations'!$HE$13:$HE$512,"="&amp;SUBSTITUTE(SUBSTITUTE(SUBSTITUTE('Calculations'!HQ278,"~","~~"),"*","~*"),"?","~?"))&gt;1,"!AMBIG",IFERROR(INDEX('Calculations'!$HF$13:$HF$512,MATCH('Calculations'!HQ278,'Calculations'!$HE$13:$HE$512,0)),""))))</x:f>
      </x:c>
      <x:c r="HS278" t="str">
        <x:f>IF('Calculations'!HR278="","",IF('Calculations'!HR278="!AMBIG","!AMBIG",IF(COUNTIF('Calculations'!$HE$13:$HE$512,"="&amp;SUBSTITUTE(SUBSTITUTE(SUBSTITUTE('Calculations'!HR278,"~","~~"),"*","~*"),"?","~?"))&gt;1,"!AMBIG",IFERROR(INDEX('Calculations'!$HF$13:$HF$512,MATCH('Calculations'!HR278,'Calculations'!$HE$13:$HE$512,0)),""))))</x:f>
      </x:c>
      <x:c r="HT278" t="str">
        <x:f>IF('Calculations'!HS278="","",IF('Calculations'!HS278="!AMBIG","!AMBIG",IF(COUNTIF('Calculations'!$HE$13:$HE$512,"="&amp;SUBSTITUTE(SUBSTITUTE(SUBSTITUTE('Calculations'!HS278,"~","~~"),"*","~*"),"?","~?"))&gt;1,"!AMBIG",IFERROR(INDEX('Calculations'!$HF$13:$HF$512,MATCH('Calculations'!HS278,'Calculations'!$HE$13:$HE$512,0)),""))))</x:f>
      </x:c>
      <x:c r="HU278" t="str">
        <x:f>IF('Calculations'!HT278="","",IF('Calculations'!HT278="!AMBIG","!AMBIG",IF(COUNTIF('Calculations'!$HE$13:$HE$512,"="&amp;SUBSTITUTE(SUBSTITUTE(SUBSTITUTE('Calculations'!HT278,"~","~~"),"*","~*"),"?","~?"))&gt;1,"!AMBIG",IFERROR(INDEX('Calculations'!$HF$13:$HF$512,MATCH('Calculations'!HT278,'Calculations'!$HE$13:$HE$512,0)),""))))</x:f>
      </x:c>
      <x:c r="HV278" t="str">
        <x:f>IF('Calculations'!HU278="","",IF('Calculations'!HU278="!AMBIG","!AMBIG",IF(COUNTIF('Calculations'!$HE$13:$HE$512,"="&amp;SUBSTITUTE(SUBSTITUTE(SUBSTITUTE('Calculations'!HU278,"~","~~"),"*","~*"),"?","~?"))&gt;1,"!AMBIG",IFERROR(INDEX('Calculations'!$HF$13:$HF$512,MATCH('Calculations'!HU278,'Calculations'!$HE$13:$HE$512,0)),""))))</x:f>
      </x:c>
      <x:c r="HW278" t="str">
        <x:f>IF('Calculations'!HV278="","",IF('Calculations'!HV278="!AMBIG","!AMBIG",IF(COUNTIF('Calculations'!$HE$13:$HE$512,"="&amp;SUBSTITUTE(SUBSTITUTE(SUBSTITUTE('Calculations'!HV278,"~","~~"),"*","~*"),"?","~?"))&gt;1,"!AMBIG",IFERROR(INDEX('Calculations'!$HF$13:$HF$512,MATCH('Calculations'!HV278,'Calculations'!$HE$13:$HE$512,0)),""))))</x:f>
      </x:c>
      <x:c r="HX278" t="str">
        <x:f>IF('Calculations'!HW278="","",IF('Calculations'!HW278="!AMBIG","!AMBIG",IF(COUNTIF('Calculations'!$HE$13:$HE$512,"="&amp;SUBSTITUTE(SUBSTITUTE(SUBSTITUTE('Calculations'!HW278,"~","~~"),"*","~*"),"?","~?"))&gt;1,"!AMBIG",IFERROR(INDEX('Calculations'!$HF$13:$HF$512,MATCH('Calculations'!HW278,'Calculations'!$HE$13:$HE$512,0)),""))))</x:f>
      </x:c>
      <x:c r="HY278" t="str">
        <x:f>IF('Calculations'!HX278="","",IF('Calculations'!HX278="!AMBIG","!AMBIG",IF(COUNTIF('Calculations'!$HE$13:$HE$512,"="&amp;SUBSTITUTE(SUBSTITUTE(SUBSTITUTE('Calculations'!HX278,"~","~~"),"*","~*"),"?","~?"))&gt;1,"!AMBIG",IFERROR(INDEX('Calculations'!$HF$13:$HF$512,MATCH('Calculations'!HX278,'Calculations'!$HE$13:$HE$512,0)),""))))</x:f>
      </x:c>
      <x:c r="HZ278" t="str">
        <x:f>IF('Calculations'!HY278="","",IF('Calculations'!HY278="!AMBIG","!AMBIG",IF(COUNTIF('Calculations'!$HE$13:$HE$512,"="&amp;SUBSTITUTE(SUBSTITUTE(SUBSTITUTE('Calculations'!HY278,"~","~~"),"*","~*"),"?","~?"))&gt;1,"!AMBIG",IFERROR(INDEX('Calculations'!$HF$13:$HF$512,MATCH('Calculations'!HY278,'Calculations'!$HE$13:$HE$512,0)),""))))</x:f>
      </x:c>
      <x:c r="IA278" t="str">
        <x:f>IF('Calculations'!HZ278="","",IF('Calculations'!HZ278="!AMBIG","!AMBIG",IF(COUNTIF('Calculations'!$HE$13:$HE$512,"="&amp;SUBSTITUTE(SUBSTITUTE(SUBSTITUTE('Calculations'!HZ278,"~","~~"),"*","~*"),"?","~?"))&gt;1,"!AMBIG",IFERROR(INDEX('Calculations'!$HF$13:$HF$512,MATCH('Calculations'!HZ278,'Calculations'!$HE$13:$HE$512,0)),""))))</x:f>
      </x:c>
      <x:c r="IB278" t="str">
        <x:f>IF('Calculations'!IA278="","",IF('Calculations'!IA278="!AMBIG","!AMBIG",IF(COUNTIF('Calculations'!$HE$13:$HE$512,"="&amp;SUBSTITUTE(SUBSTITUTE(SUBSTITUTE('Calculations'!IA278,"~","~~"),"*","~*"),"?","~?"))&gt;1,"!AMBIG",IFERROR(INDEX('Calculations'!$HF$13:$HF$512,MATCH('Calculations'!IA278,'Calculations'!$HE$13:$HE$512,0)),""))))</x:f>
      </x:c>
      <x:c r="IC278" t="str">
        <x:f>IF('Calculations'!IB278="","",IF('Calculations'!IB278="!AMBIG","!AMBIG",IF(COUNTIF('Calculations'!$HE$13:$HE$512,"="&amp;SUBSTITUTE(SUBSTITUTE(SUBSTITUTE('Calculations'!IB278,"~","~~"),"*","~*"),"?","~?"))&gt;1,"!AMBIG",IFERROR(INDEX('Calculations'!$HF$13:$HF$512,MATCH('Calculations'!IB278,'Calculations'!$HE$13:$HE$512,0)),""))))</x:f>
      </x:c>
      <x:c r="ID278" t="str">
        <x:f>IF('Calculations'!IC278="","",IF('Calculations'!IC278="!AMBIG","!AMBIG",IF(COUNTIF('Calculations'!$HE$13:$HE$512,"="&amp;SUBSTITUTE(SUBSTITUTE(SUBSTITUTE('Calculations'!IC278,"~","~~"),"*","~*"),"?","~?"))&gt;1,"!AMBIG",IFERROR(INDEX('Calculations'!$HF$13:$HF$512,MATCH('Calculations'!IC278,'Calculations'!$HE$13:$HE$512,0)),""))))</x:f>
      </x:c>
      <x:c r="IE278" t="str">
        <x:f>IF('Calculations'!ID278="","",IF('Calculations'!ID278="!AMBIG","!AMBIG",IF(COUNTIF('Calculations'!$HE$13:$HE$512,"="&amp;SUBSTITUTE(SUBSTITUTE(SUBSTITUTE('Calculations'!ID278,"~","~~"),"*","~*"),"?","~?"))&gt;1,"!AMBIG",IFERROR(INDEX('Calculations'!$HF$13:$HF$512,MATCH('Calculations'!ID278,'Calculations'!$HE$13:$HE$512,0)),""))))</x:f>
      </x:c>
      <x:c r="IF278" t="str">
        <x:f>IF('Calculations'!IE278="","",IF('Calculations'!IE278="!AMBIG","!AMBIG",IF(COUNTIF('Calculations'!$HE$13:$HE$512,"="&amp;SUBSTITUTE(SUBSTITUTE(SUBSTITUTE('Calculations'!IE278,"~","~~"),"*","~*"),"?","~?"))&gt;1,"!AMBIG",IFERROR(INDEX('Calculations'!$HF$13:$HF$512,MATCH('Calculations'!IE278,'Calculations'!$HE$13:$HE$512,0)),""))))</x:f>
      </x:c>
      <x:c r="IG278" t="str">
        <x:f>IF('Calculations'!IF278="","",IF('Calculations'!IF278="!AMBIG","!AMBIG",IF(COUNTIF('Calculations'!$HE$13:$HE$512,"="&amp;SUBSTITUTE(SUBSTITUTE(SUBSTITUTE('Calculations'!IF278,"~","~~"),"*","~*"),"?","~?"))&gt;1,"!AMBIG",IFERROR(INDEX('Calculations'!$HF$13:$HF$512,MATCH('Calculations'!IF278,'Calculations'!$HE$13:$HE$512,0)),""))))</x:f>
      </x:c>
      <x:c r="IH278" t="str">
        <x:f>IF('Calculations'!IG278="","",IF('Calculations'!IG278="!AMBIG","!AMBIG",IF(COUNTIF('Calculations'!$HE$13:$HE$512,"="&amp;SUBSTITUTE(SUBSTITUTE(SUBSTITUTE('Calculations'!IG278,"~","~~"),"*","~*"),"?","~?"))&gt;1,"!AMBIG",IFERROR(INDEX('Calculations'!$HF$13:$HF$512,MATCH('Calculations'!IG278,'Calculations'!$HE$13:$HE$512,0)),""))))</x:f>
      </x:c>
      <x:c r="II278" t="str">
        <x:f>IF('Calculations'!IH278="","",IF('Calculations'!IH278="!AMBIG","!AMBIG",IF(COUNTIF('Calculations'!$HE$13:$HE$512,"="&amp;SUBSTITUTE(SUBSTITUTE(SUBSTITUTE('Calculations'!IH278,"~","~~"),"*","~*"),"?","~?"))&gt;1,"!AMBIG",IFERROR(INDEX('Calculations'!$HF$13:$HF$512,MATCH('Calculations'!IH278,'Calculations'!$HE$13:$HE$512,0)),""))))</x:f>
      </x:c>
      <x:c r="IJ278" t="str">
        <x:f>IF('Calculations'!EM278="","",IF('Calculations'!$EF$2="All",'Calculations'!HM278,IF('Calculations'!HL278=1,"",IFERROR(IF(MATCH('Calculations'!$EF$2,'Calculations'!HO278:II278,0)=1,'Calculations'!HE278,INDEX('Calculations'!HO278:II278,1,MATCH('Calculations'!$EF$2,'Calculations'!HO278:II278,0)-1)),""))))</x:f>
      </x:c>
      <x:c r="IK278" t="n">
        <x:f>IF(AND('Calculations'!EM278&lt;&gt;"",'Calculations'!$EF$2&lt;&gt;"All",'Calculations'!HF278='Calculations'!$EF$2,'Calculations'!HL278=0,'Calculations'!JD278&gt;0),MAX('Calculations'!$IK$12:IK277)+1,0)</x:f>
        <x:v>0</x:v>
      </x:c>
      <x:c r="JA278" t="n">
        <x:f>IF(OR(IFERROR(INDIRECT("'WCM Calibration Final'!$A$278")&lt;&gt;"",FALSE),IFERROR(INDIRECT("'WCM Calibration Final'!$B$278")&lt;&gt;"",FALSE),IFERROR(INDIRECT("'WCM Calibration Final'!$C$278")&lt;&gt;"",FALSE)),278,0)</x:f>
        <x:v>0</x:v>
      </x:c>
      <x:c r="JB278" t="n">
        <x:f>'Calculations'!JB277+IF('Calculations'!JA278&gt;0,1,0)</x:f>
        <x:v>0</x:v>
      </x:c>
      <x:c r="JC278" t="n">
        <x:f>IF(OR('Calculations'!HF278="",'Calculations'!HF278="!AMBIG"),0,IF('Dashboard'!$B$7="All",1,COUNTIFS('Calculations'!$HO$13:$HO$512,"="&amp;SUBSTITUTE(SUBSTITUTE(SUBSTITUTE('Calculations'!HF278,"~","~~"),"*","~*"),"?","~?"),'Calculations'!$HN$13:$HN$512,"="&amp;SUBSTITUTE(SUBSTITUTE(SUBSTITUTE('Dashboard'!$B$7,"~","~~"),"*","~*"),"?","~?"))+COUNTIFS('Calculations'!$HP$13:$HP$512,"="&amp;SUBSTITUTE(SUBSTITUTE(SUBSTITUTE('Calculations'!HF278,"~","~~"),"*","~*"),"?","~?"),'Calculations'!$HN$13:$HN$512,"="&amp;SUBSTITUTE(SUBSTITUTE(SUBSTITUTE('Dashboard'!$B$7,"~","~~"),"*","~*"),"?","~?"))+COUNTIFS('Calculations'!$HQ$13:$HQ$512,"="&amp;SUBSTITUTE(SUBSTITUTE(SUBSTITUTE('Calculations'!HF278,"~","~~"),"*","~*"),"?","~?"),'Calculations'!$HN$13:$HN$512,"="&amp;SUBSTITUTE(SUBSTITUTE(SUBSTITUTE('Dashboard'!$B$7,"~","~~"),"*","~*"),"?","~?"))+COUNTIFS('Calculations'!$HR$13:$HR$512,"="&amp;SUBSTITUTE(SUBSTITUTE(SUBSTITUTE('Calculations'!HF278,"~","~~"),"*","~*"),"?","~?"),'Calculations'!$HN$13:$HN$512,"="&amp;SUBSTITUTE(SUBSTITUTE(SUBSTITUTE('Dashboard'!$B$7,"~","~~"),"*","~*"),"?","~?"))+COUNTIFS('Calculations'!$HS$13:$HS$512,"="&amp;SUBSTITUTE(SUBSTITUTE(SUBSTITUTE('Calculations'!HF278,"~","~~"),"*","~*"),"?","~?"),'Calculations'!$HN$13:$HN$512,"="&amp;SUBSTITUTE(SUBSTITUTE(SUBSTITUTE('Dashboard'!$B$7,"~","~~"),"*","~*"),"?","~?"))+COUNTIFS('Calculations'!$HT$13:$HT$512,"="&amp;SUBSTITUTE(SUBSTITUTE(SUBSTITUTE('Calculations'!HF278,"~","~~"),"*","~*"),"?","~?"),'Calculations'!$HN$13:$HN$512,"="&amp;SUBSTITUTE(SUBSTITUTE(SUBSTITUTE('Dashboard'!$B$7,"~","~~"),"*","~*"),"?","~?"))+COUNTIFS('Calculations'!$HU$13:$HU$512,"="&amp;SUBSTITUTE(SUBSTITUTE(SUBSTITUTE('Calculations'!HF278,"~","~~"),"*","~*"),"?","~?"),'Calculations'!$HN$13:$HN$512,"="&amp;SUBSTITUTE(SUBSTITUTE(SUBSTITUTE('Dashboard'!$B$7,"~","~~"),"*","~*"),"?","~?"))+COUNTIFS('Calculations'!$HV$13:$HV$512,"="&amp;SUBSTITUTE(SUBSTITUTE(SUBSTITUTE('Calculations'!HF278,"~","~~"),"*","~*"),"?","~?"),'Calculations'!$HN$13:$HN$512,"="&amp;SUBSTITUTE(SUBSTITUTE(SUBSTITUTE('Dashboard'!$B$7,"~","~~"),"*","~*"),"?","~?"))+COUNTIFS('Calculations'!$HW$13:$HW$512,"="&amp;SUBSTITUTE(SUBSTITUTE(SUBSTITUTE('Calculations'!HF278,"~","~~"),"*","~*"),"?","~?"),'Calculations'!$HN$13:$HN$512,"="&amp;SUBSTITUTE(SUBSTITUTE(SUBSTITUTE('Dashboard'!$B$7,"~","~~"),"*","~*"),"?","~?"))+COUNTIFS('Calculations'!$HX$13:$HX$512,"="&amp;SUBSTITUTE(SUBSTITUTE(SUBSTITUTE('Calculations'!HF278,"~","~~"),"*","~*"),"?","~?"),'Calculations'!$HN$13:$HN$512,"="&amp;SUBSTITUTE(SUBSTITUTE(SUBSTITUTE('Dashboard'!$B$7,"~","~~"),"*","~*"),"?","~?"))+COUNTIFS('Calculations'!$HY$13:$HY$512,"="&amp;SUBSTITUTE(SUBSTITUTE(SUBSTITUTE('Calculations'!HF278,"~","~~"),"*","~*"),"?","~?"),'Calculations'!$HN$13:$HN$512,"="&amp;SUBSTITUTE(SUBSTITUTE(SUBSTITUTE('Dashboard'!$B$7,"~","~~"),"*","~*"),"?","~?"))+COUNTIFS('Calculations'!$HZ$13:$HZ$512,"="&amp;SUBSTITUTE(SUBSTITUTE(SUBSTITUTE('Calculations'!HF278,"~","~~"),"*","~*"),"?","~?"),'Calculations'!$HN$13:$HN$512,"="&amp;SUBSTITUTE(SUBSTITUTE(SUBSTITUTE('Dashboard'!$B$7,"~","~~"),"*","~*"),"?","~?"))+COUNTIFS('Calculations'!$IA$13:$IA$512,"="&amp;SUBSTITUTE(SUBSTITUTE(SUBSTITUTE('Calculations'!HF278,"~","~~"),"*","~*"),"?","~?"),'Calculations'!$HN$13:$HN$512,"="&amp;SUBSTITUTE(SUBSTITUTE(SUBSTITUTE('Dashboard'!$B$7,"~","~~"),"*","~*"),"?","~?"))+COUNTIFS('Calculations'!$IB$13:$IB$512,"="&amp;SUBSTITUTE(SUBSTITUTE(SUBSTITUTE('Calculations'!HF278,"~","~~"),"*","~*"),"?","~?"),'Calculations'!$HN$13:$HN$512,"="&amp;SUBSTITUTE(SUBSTITUTE(SUBSTITUTE('Dashboard'!$B$7,"~","~~"),"*","~*"),"?","~?"))+COUNTIFS('Calculations'!$IC$13:$IC$512,"="&amp;SUBSTITUTE(SUBSTITUTE(SUBSTITUTE('Calculations'!HF278,"~","~~"),"*","~*"),"?","~?"),'Calculations'!$HN$13:$HN$512,"="&amp;SUBSTITUTE(SUBSTITUTE(SUBSTITUTE('Dashboard'!$B$7,"~","~~"),"*","~*"),"?","~?"))+COUNTIFS('Calculations'!$ID$13:$ID$512,"="&amp;SUBSTITUTE(SUBSTITUTE(SUBSTITUTE('Calculations'!HF278,"~","~~"),"*","~*"),"?","~?"),'Calculations'!$HN$13:$HN$512,"="&amp;SUBSTITUTE(SUBSTITUTE(SUBSTITUTE('Dashboard'!$B$7,"~","~~"),"*","~*"),"?","~?"))+COUNTIFS('Calculations'!$IE$13:$IE$512,"="&amp;SUBSTITUTE(SUBSTITUTE(SUBSTITUTE('Calculations'!HF278,"~","~~"),"*","~*"),"?","~?"),'Calculations'!$HN$13:$HN$512,"="&amp;SUBSTITUTE(SUBSTITUTE(SUBSTITUTE('Dashboard'!$B$7,"~","~~"),"*","~*"),"?","~?"))+COUNTIFS('Calculations'!$IF$13:$IF$512,"="&amp;SUBSTITUTE(SUBSTITUTE(SUBSTITUTE('Calculations'!HF278,"~","~~"),"*","~*"),"?","~?"),'Calculations'!$HN$13:$HN$512,"="&amp;SUBSTITUTE(SUBSTITUTE(SUBSTITUTE('Dashboard'!$B$7,"~","~~"),"*","~*"),"?","~?"))+COUNTIFS('Calculations'!$IG$13:$IG$512,"="&amp;SUBSTITUTE(SUBSTITUTE(SUBSTITUTE('Calculations'!HF278,"~","~~"),"*","~*"),"?","~?"),'Calculations'!$HN$13:$HN$512,"="&amp;SUBSTITUTE(SUBSTITUTE(SUBSTITUTE('Dashboard'!$B$7,"~","~~"),"*","~*"),"?","~?"))+COUNTIFS('Calculations'!$IH$13:$IH$512,"="&amp;SUBSTITUTE(SUBSTITUTE(SUBSTITUTE('Calculations'!HF278,"~","~~"),"*","~*"),"?","~?"),'Calculations'!$HN$13:$HN$512,"="&amp;SUBSTITUTE(SUBSTITUTE(SUBSTITUTE('Dashboard'!$B$7,"~","~~"),"*","~*"),"?","~?"))))</x:f>
        <x:v>0</x:v>
      </x:c>
      <x:c r="JD278" t="n">
        <x:f>IF('Calculations'!EM278="",0,IF('Dashboard'!$B$7="All",1,IF('Calculations'!HN278='Dashboard'!$B$7,1,0)+IFERROR(INDEX('Calculations'!$JC$13:$JC$512,MATCH('Calculations'!HE278,'Calculations'!$HF$13:$HF$512,0)),0)))</x:f>
        <x:v>0</x:v>
      </x:c>
      <x:c r="JE278" t="n">
        <x:f>IF(AND('Calculations'!EM278&lt;&gt;"",'Calculations'!$JJ$2&lt;&gt;"All",'Calculations'!$JJ$2&lt;&gt;"",'Calculations'!HF278='Calculations'!$JJ$2,'Calculations'!HL278=0,'Calculations'!JD278&gt;0),MAX('Calculations'!$JE$12:JE277)+1,0)</x:f>
        <x:v>0</x:v>
      </x:c>
      <x:c r="JF278" t="str">
        <x:f>IF('Calculations'!EM278="","",IFERROR(IF(INDEX(INDIRECT("'WCM Calibration Final'!$G$1:$G$2000"),'Calculations'!$EM278)="","",TRIM(INDEX(INDIRECT("'WCM Calibration Final'!$G$1:$G$2000"),'Calculations'!$EM278)&amp;"")),""))</x:f>
      </x:c>
      <x:c r="JQ278" t="n">
        <x:f>IF(OR('Calculations'!BM278=0,NOT('Calculations'!$AG$2),'Calculations'!$AG$8&gt;0),0,IF(OR('Dashboard'!$B$7="All",'Calculations'!HN278='Dashboard'!$B$7),IF('Calculations'!$JJ$2="All",1,IF(AND('Calculations'!HF278='Calculations'!$JJ$2,'Calculations'!HL278=0),1,0)),0))</x:f>
        <x:v>0</x:v>
      </x:c>
    </x:row>
    <x:row r="279">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t="n">
        <x:f>IF('Calculations'!$EM279="",0,IF(OR(IFERROR(INDEX(INDIRECT("'WCM Calibration Final'!$A$1:$A$2000"),'Calculations'!$EM279)&lt;&gt;"",FALSE),IFERROR(INDEX(INDIRECT("'WCM Calibration Final'!$B$1:$B$2000"),'Calculations'!$EM279)&lt;&gt;"",FALSE),IFERROR(INDEX(INDIRECT("'WCM Calibration Final'!$C$1:$C$2000"),'Calculations'!$EM279)&lt;&gt;"",FALSE)),1,0))</x:f>
        <x:v>0</x:v>
      </x:c>
      <x:c r="BN279" s="4" t="n">
        <x:f>IF(AND('Calculations'!BM279=1,'Calculations'!$AG$2,'Calculations'!$EN279=1),1,0)</x:f>
        <x:v>0</x:v>
      </x:c>
      <x:c r="BO279" s="4" t="str">
        <x:f>IF('Calculations'!BM279=0,"",IFERROR(IF(AND(VALUE(INDEX(INDIRECT("'WCM Calibration Final'!$K$1:$K$2000"),'Calculations'!$EM279))&gt;=1,VALUE(INDEX(INDIRECT("'WCM Calibration Final'!$K$1:$K$2000"),'Calculations'!$EM279))&lt;=4,MOD(VALUE(INDEX(INDIRECT("'WCM Calibration Final'!$K$1:$K$2000"),'Calculations'!$EM279)),1)=0),VALUE(INDEX(INDIRECT("'WCM Calibration Final'!$K$1:$K$2000"),'Calculations'!$EM279)),""),""))</x:f>
      </x:c>
      <x:c r="BP279" s="4" t="str">
        <x:f>IF('Calculations'!BM279=0,"",IFERROR(IF(AND(VALUE(INDEX(INDIRECT("'WCM Calibration Final'!$L$1:$L$2000"),'Calculations'!$EM279))&gt;=1,VALUE(INDEX(INDIRECT("'WCM Calibration Final'!$L$1:$L$2000"),'Calculations'!$EM279))&lt;=4,MOD(VALUE(INDEX(INDIRECT("'WCM Calibration Final'!$L$1:$L$2000"),'Calculations'!$EM279)),1)=0),VALUE(INDEX(INDIRECT("'WCM Calibration Final'!$L$1:$L$2000"),'Calculations'!$EM279)),""),""))</x:f>
      </x:c>
      <x:c r="BQ279" s="4"/>
      <x:c r="BR279" s="4"/>
      <x:c r="BS279" s="4"/>
      <x:c r="BT279" s="4" t="n">
        <x:f>IF(AND('Calculations'!BM279=1,ISNUMBER('Calculations'!BO279),ISNUMBER('Calculations'!BP279)),1,0)</x:f>
        <x:v>0</x:v>
      </x:c>
      <x:c r="BU279" s="4" t="str">
        <x:f>IF('Calculations'!BM279=0,"",'Calculations'!$EO279)</x:f>
      </x:c>
      <x:c r="BV279" s="4" t="str">
        <x:f>IF('Calculations'!BM279=0,"",IFERROR(IF(OR(INDEX(INDIRECT("'WCM Calibration Final'!$H$1:$H$2000"),'Calculations'!$EM279)="MANAGING DIRECTOR",INDEX(INDIRECT("'WCM Calibration Final'!$H$1:$H$2000"),'Calculations'!$EM279)="DIRECTOR",INDEX(INDIRECT("'WCM Calibration Final'!$H$1:$H$2000"),'Calculations'!$EM279)="SENIOR VICE PRESIDENT",INDEX(INDIRECT("'WCM Calibration Final'!$H$1:$H$2000"),'Calculations'!$EM279)="VICE PRESIDENT",INDEX(INDIRECT("'WCM Calibration Final'!$H$1:$H$2000"),'Calculations'!$EM279)="ASSISTANT VICE PRESIDENT",INDEX(INDIRECT("'WCM Calibration Final'!$H$1:$H$2000"),'Calculations'!$EM279)="OFFICER"),UPPER(INDEX(INDIRECT("'WCM Calibration Final'!$H$1:$H$2000"),'Calculations'!$EM279)),"Other"),"Other"))</x:f>
      </x:c>
      <x:c r="BW279" s="4"/>
      <x:c r="BX279" s="4"/>
      <x:c r="BY279" s="4" t="n">
        <x:f>IF(AND('Calculations'!BM279=1,'Calculations'!BU279&lt;&gt;"",COUNTIF('Calculations'!$BU$12:BU279,'Calculations'!BU279)=1),MAX('Calculations'!$BY$11:BY278)+1,0)</x:f>
        <x:v>0</x:v>
      </x:c>
      <x:c r="BZ279" s="4" t="str">
        <x:f>IF('Dashboard'!$E$67="What",'Calculations'!BO279,'Calculations'!BP279)</x:f>
      </x:c>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t="str">
        <x:f>IF(268&gt;MAX('Calculations'!$HI$13:$HI$512),"",INDEX('Calculations'!$HN$13:$HN$512,MATCH(268,'Calculations'!$HI$13:$HI$512,0)))</x:f>
      </x:c>
      <x:c r="DB279" s="4" t="str">
        <x:f>IF(268&gt;MAX('Calculations'!$HH$13:$HH$512),"",INDEX('Calculations'!$HJ$13:$HJ$512,MATCH(268,'Calculations'!$HH$13:$HH$512,0)))</x:f>
      </x:c>
      <x:c r="DC279" s="4" t="str">
        <x:f>IF(ROW()-11&gt;MAX('Calculations'!$BY$13:$BY$512),"",INDEX('Calculations'!$BU$13:$BU$512,MATCH(ROW()-11,'Calculations'!$BY$13:$BY$512,0)))</x:f>
      </x:c>
      <x:c r="DD279" s="4" t="str">
        <x:f>IF(268&gt;MAX('Calculations'!$IK$13:$IK$512),"",INDEX('Calculations'!$HK$13:$HK$512,MATCH(268,'Calculations'!$IK$13:$IK$512,0)))</x:f>
      </x:c>
      <x:c r="DE279" s="4" t="str">
        <x:f>'Calculations'!DC279</x:f>
      </x:c>
      <x:c r="DF279" s="4" t="str">
        <x:f>IF('Calculations'!DE279="","",COUNTIFS('Calculations'!$BN$13:$BN$512,1,'Calculations'!$BU$13:$BU$512,'Calculations'!DE279))</x:f>
      </x:c>
      <x:c r="DG279" s="4" t="str">
        <x:f>IF('Calculations'!DE279="","",COUNTIFS('Calculations'!$BN$13:$BN$512,1,'Calculations'!$BU$13:$BU$512,'Calculations'!DE279,'Calculations'!$BT$13:$BT$512,1))</x:f>
      </x:c>
      <x:c r="DH279" s="4" t="str">
        <x:f>IF('Calculations'!DE279="","",'Calculations'!DF279-'Calculations'!DG279)</x:f>
      </x:c>
      <x:c r="DI279" s="4" t="str">
        <x:f>IF(OR('Calculations'!DE279="",'Calculations'!DF279=0),"",'Calculations'!DG279/'Calculations'!DF279)</x:f>
      </x:c>
      <x:c r="DJ279" s="4" t="str">
        <x:f>IF('Calculations'!DE279="","",COUNTIFS('Calculations'!$BN$13:$BN$512,1,'Calculations'!$BU$13:$BU$512,'Calculations'!DE279,'Calculations'!$BT$13:$BT$512,1,'Calculations'!$EE$13:$EE$512,"High"))</x:f>
      </x:c>
      <x:c r="DK279" s="4" t="str">
        <x:f>IF('Calculations'!DE279="","",COUNTIFS('Calculations'!$BN$13:$BN$512,1,'Calculations'!$BU$13:$BU$512,'Calculations'!DE279,'Calculations'!$BT$13:$BT$512,1,'Calculations'!$EE$13:$EE$512,"Strong"))</x:f>
      </x:c>
      <x:c r="DL279" s="4" t="str">
        <x:f>IF('Calculations'!DE279="","",COUNTIFS('Calculations'!$BN$13:$BN$512,1,'Calculations'!$BU$13:$BU$512,'Calculations'!DE279,'Calculations'!$BT$13:$BT$512,1,'Calculations'!$EE$13:$EE$512,"Solid"))</x:f>
      </x:c>
      <x:c r="DM279" s="4" t="str">
        <x:f>IF('Calculations'!DE279="","",COUNTIFS('Calculations'!$BN$13:$BN$512,1,'Calculations'!$BU$13:$BU$512,'Calculations'!DE279,'Calculations'!$BT$13:$BT$512,1,'Calculations'!$EE$13:$EE$512,"Low"))</x:f>
      </x:c>
      <x:c r="DN279" s="4" t="str">
        <x:f>IF('Calculations'!DE279="","",COUNTIFS('Calculations'!$BN$13:$BN$512,1,'Calculations'!$BU$13:$BU$512,'Calculations'!DE279,'Calculations'!$EP$13:$EP$512,1))</x:f>
      </x:c>
      <x:c r="DO279" s="4" t="str">
        <x:f>IF(OR('Calculations'!DE279="",'Calculations'!DG279=0),"",('Calculations'!DJ279+'Calculations'!DK279)/'Calculations'!DG279)</x:f>
      </x:c>
      <x:c r="DP279" s="4" t="n">
        <x:f>IF(AND('Calculations'!DE279&lt;&gt;"",'Calculations'!DF279&gt;0),COUNTIF('Calculations'!$DF$12:DF279,"&gt;0"),0)</x:f>
        <x:v>0</x:v>
      </x:c>
      <x:c r="DQ279" s="4" t="str">
        <x:f>IF(268&gt;MAX('Calculations'!$HH$13:$HH$512),"",INDEX('Calculations'!$HF$13:$HF$512,MATCH(268,'Calculations'!$HH$13:$HH$512,0)))</x:f>
      </x:c>
      <x:c r="DR279" s="4" t="str">
        <x:f>IF(268&gt;MAX('Calculations'!$IK$13:$IK$512),"",INDEX('Calculations'!$HE$13:$HE$512,MATCH(268,'Calculations'!$IK$13:$IK$512,0)))</x:f>
      </x:c>
      <x:c r="DS279" s="4"/>
      <x:c r="DT279" s="4"/>
      <x:c r="DU279" s="4"/>
      <x:c r="DV279" s="4"/>
      <x:c r="DW279" s="4"/>
      <x:c r="DX279" s="4"/>
      <x:c r="DY279" s="4"/>
      <x:c r="DZ279" s="4"/>
      <x:c r="EA279" s="4"/>
      <x:c r="EB279" s="4"/>
      <x:c r="EC279" s="4"/>
      <x:c r="ED279" s="4"/>
      <x:c r="EE279" s="4" t="str">
        <x:f>IF('Calculations'!BT279=0,"Not Rated",IF(OR('Calculations'!BO279&gt;=4,'Calculations'!BP279&gt;=4),"Low",IF('Calculations'!BO279+'Calculations'!BP279&lt;=3,"High",IF('Calculations'!BO279+'Calculations'!BP279&lt;=4,"Strong","Solid"))))</x:f>
        <x:v>Not Rated</x:v>
      </x:c>
      <x:c r="EF279" s="4"/>
      <x:c r="EG279" s="4"/>
      <x:c r="EH279" s="4"/>
      <x:c r="EI279" s="4"/>
      <x:c r="EJ279" s="4"/>
      <x:c r="EK279" s="4"/>
      <x:c r="EL279" s="4"/>
      <x:c r="EM279" s="4" t="str">
        <x:f>IF(267&gt;'Calculations'!$JB$2000,"",INDEX('Calculations'!$JA$12:$JA$2000,MATCH(267,'Calculations'!$JB$12:$JB$2000,0)))</x:f>
      </x:c>
      <x:c r="EN279" s="4" t="n">
        <x:f>IF(OR('Calculations'!EM279="",'Calculations'!$AG$8&gt;0,AND('Calculations'!$EF$2&lt;&gt;"All",'Calculations'!HE279='Calculations'!$EF$2),AND('Calculations'!$EF$3&lt;&gt;"All",'Calculations'!HE279='Calculations'!$EF$3)),0,IF(OR('Dashboard'!$B$7="All",'Calculations'!HN279='Dashboard'!$B$7),IF('Calculations'!$EF$2="All",1,IF('Calculations'!HL279&gt;0,0,IF(COUNTIF('Calculations'!HO279:II279,"="&amp;SUBSTITUTE(SUBSTITUTE(SUBSTITUTE('Calculations'!$EF$2,"~","~~"),"*","~*"),"?","~?"))=0,0,IF('Calculations'!$EF$3="All",1,IF(COUNTIF('Calculations'!HO279:II279,"="&amp;SUBSTITUTE(SUBSTITUTE(SUBSTITUTE('Calculations'!$EF$3,"~","~~"),"*","~*"),"?","~?"))&gt;0,1,0))))),0))</x:f>
        <x:v>0</x:v>
      </x:c>
      <x:c r="EO279" s="4" t="str">
        <x:f>IF('Calculations'!IJ279="","",IF('Calculations'!IJ279="!UNRESOLVED","Unresolved hierarchy",IFERROR(INDEX('Calculations'!$HK$13:$HK$512,MATCH('Calculations'!IJ279,'Calculations'!$HE$13:$HE$512,0)),IFERROR(INDEX('Calculations'!$HJ$13:$HJ$512,MATCH('Calculations'!IJ279,'Calculations'!$HF$13:$HF$512,0)),'Calculations'!IJ279))))</x:f>
      </x:c>
      <x:c r="EP279" s="4" t="n">
        <x:f>IF(AND('Calculations'!EM279&lt;&gt;"",'Calculations'!HF279='Calculations'!IJ279),1,0)</x:f>
        <x:v>0</x:v>
      </x:c>
      <x:c r="EQ279" s="4"/>
      <x:c r="ER279" s="4"/>
      <x:c r="ES279" s="4"/>
      <x:c r="ET279" s="4"/>
      <x:c r="EU279" s="4"/>
      <x:c r="EV279" s="4"/>
      <x:c r="EW279" s="4"/>
      <x:c r="EX279" s="4"/>
      <x:c r="EY279" s="4"/>
      <x:c r="EZ279" s="4"/>
      <x:c r="FA279" s="4"/>
      <x:c r="FB279" s="4"/>
      <x:c r="FC279" s="4"/>
      <x:c r="FD279" s="4"/>
      <x:c r="FE279" s="4"/>
      <x:c r="FF279" s="4"/>
      <x:c r="FG279" s="4"/>
      <x:c r="FH279" s="4"/>
      <x:c r="FI279" s="4"/>
      <x:c r="FJ279" s="4"/>
      <x:c r="FK279" s="4"/>
      <x:c r="FL279" s="4"/>
      <x:c r="FM279" s="4"/>
      <x:c r="FN279" s="4"/>
      <x:c r="FO279" s="4"/>
      <x:c r="HE279" t="str">
        <x:f>IF('Calculations'!EM279="","",IF(IFERROR(IF(INDEX(INDIRECT("'WCM Calibration Final'!$A$1:$A$2000"),'Calculations'!$EM279)="","",TRIM(INDEX(INDIRECT("'WCM Calibration Final'!$A$1:$A$2000"),'Calculations'!$EM279)&amp;"")),"")&lt;&gt;"","G:"&amp;IFERROR(TEXT(1*INDEX(INDIRECT("'WCM Calibration Final'!$A$1:$A$2000"),'Calculations'!$EM279),"0"),UPPER(IFERROR(IF(INDEX(INDIRECT("'WCM Calibration Final'!$A$1:$A$2000"),'Calculations'!$EM279)="","",TRIM(INDEX(INDIRECT("'WCM Calibration Final'!$A$1:$A$2000"),'Calculations'!$EM279)&amp;"")),""))),IF(IFERROR(IF(INDEX(INDIRECT("'WCM Calibration Final'!$C$1:$C$2000"),'Calculations'!$EM279)="","",TRIM(INDEX(INDIRECT("'WCM Calibration Final'!$C$1:$C$2000"),'Calculations'!$EM279)&amp;"")),"")&lt;&gt;"","S:"&amp;UPPER(IFERROR(IF(INDEX(INDIRECT("'WCM Calibration Final'!$C$1:$C$2000"),'Calculations'!$EM279)="","",TRIM(INDEX(INDIRECT("'WCM Calibration Final'!$C$1:$C$2000"),'Calculations'!$EM279)&amp;"")),"")),"R:"&amp;'Calculations'!EM279)))</x:f>
      </x:c>
      <x:c r="HF279" t="str">
        <x:f>IF('Calculations'!EM279="","",IF(IFERROR(IF(INDEX(INDIRECT("'WCM Calibration Final'!$D$1:$D$2000"),'Calculations'!$EM279)="","",TRIM(INDEX(INDIRECT("'WCM Calibration Final'!$D$1:$D$2000"),'Calculations'!$EM279)&amp;"")),"")&lt;&gt;"","G:"&amp;IFERROR(TEXT(1*INDEX(INDIRECT("'WCM Calibration Final'!$D$1:$D$2000"),'Calculations'!$EM279),"0"),UPPER(IFERROR(IF(INDEX(INDIRECT("'WCM Calibration Final'!$D$1:$D$2000"),'Calculations'!$EM279)="","",TRIM(INDEX(INDIRECT("'WCM Calibration Final'!$D$1:$D$2000"),'Calculations'!$EM279)&amp;"")),""))),IF(IFERROR(IF(INDEX(INDIRECT("'WCM Calibration Final'!$E$1:$E$2000"),'Calculations'!$EM279)="","",TRIM(INDEX(INDIRECT("'WCM Calibration Final'!$E$1:$E$2000"),'Calculations'!$EM279)&amp;"")),"")="","",IF(COUNTIF('Calculations'!$HG$13:$HG$512,"="&amp;SUBSTITUTE(SUBSTITUTE(SUBSTITUTE(IFERROR(IF(INDEX(INDIRECT("'WCM Calibration Final'!$E$1:$E$2000"),'Calculations'!$EM279)="","",TRIM(INDEX(INDIRECT("'WCM Calibration Final'!$E$1:$E$2000"),'Calculations'!$EM279)&amp;"")),""),"~","~~"),"*","~*"),"?","~?"))=1,INDEX('Calculations'!$HE$13:$HE$512,MATCH(IFERROR(IF(INDEX(INDIRECT("'WCM Calibration Final'!$E$1:$E$2000"),'Calculations'!$EM279)="","",TRIM(INDEX(INDIRECT("'WCM Calibration Final'!$E$1:$E$2000"),'Calculations'!$EM279)&amp;"")),""),'Calculations'!$HG$13:$HG$512,0)),IF(COUNTIF('Calculations'!$HG$13:$HG$512,"="&amp;SUBSTITUTE(SUBSTITUTE(SUBSTITUTE(IFERROR(IF(INDEX(INDIRECT("'WCM Calibration Final'!$E$1:$E$2000"),'Calculations'!$EM279)="","",TRIM(INDEX(INDIRECT("'WCM Calibration Final'!$E$1:$E$2000"),'Calculations'!$EM279)&amp;"")),""),"~","~~"),"*","~*"),"?","~?"))&gt;1,"!AMBIG","X:"&amp;IFERROR(IF(INDEX(INDIRECT("'WCM Calibration Final'!$E$1:$E$2000"),'Calculations'!$EM279)="","",TRIM(INDEX(INDIRECT("'WCM Calibration Final'!$E$1:$E$2000"),'Calculations'!$EM279)&amp;"")),""))))))</x:f>
      </x:c>
      <x:c r="HG279" t="str">
        <x:f>IF('Calculations'!EM279="","",IFERROR(IF(INDEX(INDIRECT("'WCM Calibration Final'!$B$1:$B$2000"),'Calculations'!$EM279)="","",TRIM(INDEX(INDIRECT("'WCM Calibration Final'!$B$1:$B$2000"),'Calculations'!$EM279)&amp;"")),""))</x:f>
      </x:c>
      <x:c r="HH279" t="n">
        <x:f>IF(AND('Calculations'!JC279&gt;0,COUNTIF('Calculations'!$HF$12:HF279,"="&amp;SUBSTITUTE(SUBSTITUTE(SUBSTITUTE('Calculations'!HF279,"~","~~"),"*","~*"),"?","~?"))=1),MAX('Calculations'!$HH$12:HH278)+1,0)</x:f>
        <x:v>0</x:v>
      </x:c>
      <x:c r="HI279" t="n">
        <x:f>IF(AND('Calculations'!HN279&lt;&gt;"",COUNTIF('Calculations'!$HN$12:HN279,"="&amp;SUBSTITUTE(SUBSTITUTE(SUBSTITUTE('Calculations'!HN279,"~","~~"),"*","~*"),"?","~?"))=1),MAX('Calculations'!$HI$12:HI278)+1,0)</x:f>
        <x:v>0</x:v>
      </x:c>
      <x:c r="HJ279" t="str">
        <x:f>IF('Calculations'!HF279="","",IF(COUNTIF('Calculations'!$HE$13:$HE$512,"="&amp;SUBSTITUTE(SUBSTITUTE(SUBSTITUTE('Calculations'!HF279,"~","~~"),"*","~*"),"?","~?"))=1,INDEX('Calculations'!$HK$13:$HK$512,MATCH('Calculations'!HF279,'Calculations'!$HE$13:$HE$512,0)),IFERROR(IF(INDEX(INDIRECT("'WCM Calibration Final'!$E$1:$E$2000"),'Calculations'!$EM279)="","",TRIM(INDEX(INDIRECT("'WCM Calibration Final'!$E$1:$E$2000"),'Calculations'!$EM279)&amp;"")),"")&amp;" ["&amp;'Calculations'!HF279&amp;"]"))</x:f>
      </x:c>
      <x:c r="HK279" t="str">
        <x:f>IF('Calculations'!EM279="","",'Calculations'!HG279&amp;" ["&amp;'Calculations'!HE279&amp;"]")</x:f>
      </x:c>
      <x:c r="HL279" t="n">
        <x:f>IF('Calculations'!EM279="",0,IF(OR('Calculations'!II279&lt;&gt;"",COUNTIF('Calculations'!$HE$13:$HE$512,"="&amp;SUBSTITUTE(SUBSTITUTE(SUBSTITUTE('Calculations'!HE279,"~","~~"),"*","~*"),"?","~?"))&gt;1),1,0))</x:f>
        <x:v>0</x:v>
      </x:c>
      <x:c r="HM279" t="str">
        <x:f>IF('Calculations'!EM279="","",IF('Calculations'!HL279=1,"!UNRESOLVED",IF('Calculations'!IH279&lt;&gt;"",'Calculations'!IH279,IF('Calculations'!IG279&lt;&gt;"",'Calculations'!IG279,IF('Calculations'!IF279&lt;&gt;"",'Calculations'!IF279,IF('Calculations'!IE279&lt;&gt;"",'Calculations'!IE279,IF('Calculations'!ID279&lt;&gt;"",'Calculations'!ID279,IF('Calculations'!IC279&lt;&gt;"",'Calculations'!IC279,IF('Calculations'!IB279&lt;&gt;"",'Calculations'!IB279,IF('Calculations'!IA279&lt;&gt;"",'Calculations'!IA279,IF('Calculations'!HZ279&lt;&gt;"",'Calculations'!HZ279,IF('Calculations'!HY279&lt;&gt;"",'Calculations'!HY279,IF('Calculations'!HX279&lt;&gt;"",'Calculations'!HX279,IF('Calculations'!HW279&lt;&gt;"",'Calculations'!HW279,IF('Calculations'!HV279&lt;&gt;"",'Calculations'!HV279,IF('Calculations'!HU279&lt;&gt;"",'Calculations'!HU279,IF('Calculations'!HT279&lt;&gt;"",'Calculations'!HT279,IF('Calculations'!HS279&lt;&gt;"",'Calculations'!HS279,IF('Calculations'!HR279&lt;&gt;"",'Calculations'!HR279,IF('Calculations'!HQ279&lt;&gt;"",'Calculations'!HQ279,IF('Calculations'!HP279&lt;&gt;"",'Calculations'!HP279,IF('Calculations'!HO279&lt;&gt;"",'Calculations'!HO279,'Calculations'!HE279))))))))))))))))))))))</x:f>
      </x:c>
      <x:c r="HN279" t="str">
        <x:f>IF('Calculations'!EM279="","",IF(IFERROR(IF(INDEX(INDIRECT("'WCM Calibration Final'!$F$1:$F$2000"),'Calculations'!$EM279)="","",TRIM(INDEX(INDIRECT("'WCM Calibration Final'!$F$1:$F$2000"),'Calculations'!$EM279)&amp;"")),"")="","(Blank)",IFERROR(IF(INDEX(INDIRECT("'WCM Calibration Final'!$F$1:$F$2000"),'Calculations'!$EM279)="","",TRIM(INDEX(INDIRECT("'WCM Calibration Final'!$F$1:$F$2000"),'Calculations'!$EM279)&amp;"")),"")))</x:f>
      </x:c>
      <x:c r="HO279" t="str">
        <x:f>'Calculations'!HF279</x:f>
      </x:c>
      <x:c r="HP279" t="str">
        <x:f>IF('Calculations'!HO279="","",IF('Calculations'!HO279="!AMBIG","!AMBIG",IF(COUNTIF('Calculations'!$HE$13:$HE$512,"="&amp;SUBSTITUTE(SUBSTITUTE(SUBSTITUTE('Calculations'!HO279,"~","~~"),"*","~*"),"?","~?"))&gt;1,"!AMBIG",IFERROR(INDEX('Calculations'!$HF$13:$HF$512,MATCH('Calculations'!HO279,'Calculations'!$HE$13:$HE$512,0)),""))))</x:f>
      </x:c>
      <x:c r="HQ279" t="str">
        <x:f>IF('Calculations'!HP279="","",IF('Calculations'!HP279="!AMBIG","!AMBIG",IF(COUNTIF('Calculations'!$HE$13:$HE$512,"="&amp;SUBSTITUTE(SUBSTITUTE(SUBSTITUTE('Calculations'!HP279,"~","~~"),"*","~*"),"?","~?"))&gt;1,"!AMBIG",IFERROR(INDEX('Calculations'!$HF$13:$HF$512,MATCH('Calculations'!HP279,'Calculations'!$HE$13:$HE$512,0)),""))))</x:f>
      </x:c>
      <x:c r="HR279" t="str">
        <x:f>IF('Calculations'!HQ279="","",IF('Calculations'!HQ279="!AMBIG","!AMBIG",IF(COUNTIF('Calculations'!$HE$13:$HE$512,"="&amp;SUBSTITUTE(SUBSTITUTE(SUBSTITUTE('Calculations'!HQ279,"~","~~"),"*","~*"),"?","~?"))&gt;1,"!AMBIG",IFERROR(INDEX('Calculations'!$HF$13:$HF$512,MATCH('Calculations'!HQ279,'Calculations'!$HE$13:$HE$512,0)),""))))</x:f>
      </x:c>
      <x:c r="HS279" t="str">
        <x:f>IF('Calculations'!HR279="","",IF('Calculations'!HR279="!AMBIG","!AMBIG",IF(COUNTIF('Calculations'!$HE$13:$HE$512,"="&amp;SUBSTITUTE(SUBSTITUTE(SUBSTITUTE('Calculations'!HR279,"~","~~"),"*","~*"),"?","~?"))&gt;1,"!AMBIG",IFERROR(INDEX('Calculations'!$HF$13:$HF$512,MATCH('Calculations'!HR279,'Calculations'!$HE$13:$HE$512,0)),""))))</x:f>
      </x:c>
      <x:c r="HT279" t="str">
        <x:f>IF('Calculations'!HS279="","",IF('Calculations'!HS279="!AMBIG","!AMBIG",IF(COUNTIF('Calculations'!$HE$13:$HE$512,"="&amp;SUBSTITUTE(SUBSTITUTE(SUBSTITUTE('Calculations'!HS279,"~","~~"),"*","~*"),"?","~?"))&gt;1,"!AMBIG",IFERROR(INDEX('Calculations'!$HF$13:$HF$512,MATCH('Calculations'!HS279,'Calculations'!$HE$13:$HE$512,0)),""))))</x:f>
      </x:c>
      <x:c r="HU279" t="str">
        <x:f>IF('Calculations'!HT279="","",IF('Calculations'!HT279="!AMBIG","!AMBIG",IF(COUNTIF('Calculations'!$HE$13:$HE$512,"="&amp;SUBSTITUTE(SUBSTITUTE(SUBSTITUTE('Calculations'!HT279,"~","~~"),"*","~*"),"?","~?"))&gt;1,"!AMBIG",IFERROR(INDEX('Calculations'!$HF$13:$HF$512,MATCH('Calculations'!HT279,'Calculations'!$HE$13:$HE$512,0)),""))))</x:f>
      </x:c>
      <x:c r="HV279" t="str">
        <x:f>IF('Calculations'!HU279="","",IF('Calculations'!HU279="!AMBIG","!AMBIG",IF(COUNTIF('Calculations'!$HE$13:$HE$512,"="&amp;SUBSTITUTE(SUBSTITUTE(SUBSTITUTE('Calculations'!HU279,"~","~~"),"*","~*"),"?","~?"))&gt;1,"!AMBIG",IFERROR(INDEX('Calculations'!$HF$13:$HF$512,MATCH('Calculations'!HU279,'Calculations'!$HE$13:$HE$512,0)),""))))</x:f>
      </x:c>
      <x:c r="HW279" t="str">
        <x:f>IF('Calculations'!HV279="","",IF('Calculations'!HV279="!AMBIG","!AMBIG",IF(COUNTIF('Calculations'!$HE$13:$HE$512,"="&amp;SUBSTITUTE(SUBSTITUTE(SUBSTITUTE('Calculations'!HV279,"~","~~"),"*","~*"),"?","~?"))&gt;1,"!AMBIG",IFERROR(INDEX('Calculations'!$HF$13:$HF$512,MATCH('Calculations'!HV279,'Calculations'!$HE$13:$HE$512,0)),""))))</x:f>
      </x:c>
      <x:c r="HX279" t="str">
        <x:f>IF('Calculations'!HW279="","",IF('Calculations'!HW279="!AMBIG","!AMBIG",IF(COUNTIF('Calculations'!$HE$13:$HE$512,"="&amp;SUBSTITUTE(SUBSTITUTE(SUBSTITUTE('Calculations'!HW279,"~","~~"),"*","~*"),"?","~?"))&gt;1,"!AMBIG",IFERROR(INDEX('Calculations'!$HF$13:$HF$512,MATCH('Calculations'!HW279,'Calculations'!$HE$13:$HE$512,0)),""))))</x:f>
      </x:c>
      <x:c r="HY279" t="str">
        <x:f>IF('Calculations'!HX279="","",IF('Calculations'!HX279="!AMBIG","!AMBIG",IF(COUNTIF('Calculations'!$HE$13:$HE$512,"="&amp;SUBSTITUTE(SUBSTITUTE(SUBSTITUTE('Calculations'!HX279,"~","~~"),"*","~*"),"?","~?"))&gt;1,"!AMBIG",IFERROR(INDEX('Calculations'!$HF$13:$HF$512,MATCH('Calculations'!HX279,'Calculations'!$HE$13:$HE$512,0)),""))))</x:f>
      </x:c>
      <x:c r="HZ279" t="str">
        <x:f>IF('Calculations'!HY279="","",IF('Calculations'!HY279="!AMBIG","!AMBIG",IF(COUNTIF('Calculations'!$HE$13:$HE$512,"="&amp;SUBSTITUTE(SUBSTITUTE(SUBSTITUTE('Calculations'!HY279,"~","~~"),"*","~*"),"?","~?"))&gt;1,"!AMBIG",IFERROR(INDEX('Calculations'!$HF$13:$HF$512,MATCH('Calculations'!HY279,'Calculations'!$HE$13:$HE$512,0)),""))))</x:f>
      </x:c>
      <x:c r="IA279" t="str">
        <x:f>IF('Calculations'!HZ279="","",IF('Calculations'!HZ279="!AMBIG","!AMBIG",IF(COUNTIF('Calculations'!$HE$13:$HE$512,"="&amp;SUBSTITUTE(SUBSTITUTE(SUBSTITUTE('Calculations'!HZ279,"~","~~"),"*","~*"),"?","~?"))&gt;1,"!AMBIG",IFERROR(INDEX('Calculations'!$HF$13:$HF$512,MATCH('Calculations'!HZ279,'Calculations'!$HE$13:$HE$512,0)),""))))</x:f>
      </x:c>
      <x:c r="IB279" t="str">
        <x:f>IF('Calculations'!IA279="","",IF('Calculations'!IA279="!AMBIG","!AMBIG",IF(COUNTIF('Calculations'!$HE$13:$HE$512,"="&amp;SUBSTITUTE(SUBSTITUTE(SUBSTITUTE('Calculations'!IA279,"~","~~"),"*","~*"),"?","~?"))&gt;1,"!AMBIG",IFERROR(INDEX('Calculations'!$HF$13:$HF$512,MATCH('Calculations'!IA279,'Calculations'!$HE$13:$HE$512,0)),""))))</x:f>
      </x:c>
      <x:c r="IC279" t="str">
        <x:f>IF('Calculations'!IB279="","",IF('Calculations'!IB279="!AMBIG","!AMBIG",IF(COUNTIF('Calculations'!$HE$13:$HE$512,"="&amp;SUBSTITUTE(SUBSTITUTE(SUBSTITUTE('Calculations'!IB279,"~","~~"),"*","~*"),"?","~?"))&gt;1,"!AMBIG",IFERROR(INDEX('Calculations'!$HF$13:$HF$512,MATCH('Calculations'!IB279,'Calculations'!$HE$13:$HE$512,0)),""))))</x:f>
      </x:c>
      <x:c r="ID279" t="str">
        <x:f>IF('Calculations'!IC279="","",IF('Calculations'!IC279="!AMBIG","!AMBIG",IF(COUNTIF('Calculations'!$HE$13:$HE$512,"="&amp;SUBSTITUTE(SUBSTITUTE(SUBSTITUTE('Calculations'!IC279,"~","~~"),"*","~*"),"?","~?"))&gt;1,"!AMBIG",IFERROR(INDEX('Calculations'!$HF$13:$HF$512,MATCH('Calculations'!IC279,'Calculations'!$HE$13:$HE$512,0)),""))))</x:f>
      </x:c>
      <x:c r="IE279" t="str">
        <x:f>IF('Calculations'!ID279="","",IF('Calculations'!ID279="!AMBIG","!AMBIG",IF(COUNTIF('Calculations'!$HE$13:$HE$512,"="&amp;SUBSTITUTE(SUBSTITUTE(SUBSTITUTE('Calculations'!ID279,"~","~~"),"*","~*"),"?","~?"))&gt;1,"!AMBIG",IFERROR(INDEX('Calculations'!$HF$13:$HF$512,MATCH('Calculations'!ID279,'Calculations'!$HE$13:$HE$512,0)),""))))</x:f>
      </x:c>
      <x:c r="IF279" t="str">
        <x:f>IF('Calculations'!IE279="","",IF('Calculations'!IE279="!AMBIG","!AMBIG",IF(COUNTIF('Calculations'!$HE$13:$HE$512,"="&amp;SUBSTITUTE(SUBSTITUTE(SUBSTITUTE('Calculations'!IE279,"~","~~"),"*","~*"),"?","~?"))&gt;1,"!AMBIG",IFERROR(INDEX('Calculations'!$HF$13:$HF$512,MATCH('Calculations'!IE279,'Calculations'!$HE$13:$HE$512,0)),""))))</x:f>
      </x:c>
      <x:c r="IG279" t="str">
        <x:f>IF('Calculations'!IF279="","",IF('Calculations'!IF279="!AMBIG","!AMBIG",IF(COUNTIF('Calculations'!$HE$13:$HE$512,"="&amp;SUBSTITUTE(SUBSTITUTE(SUBSTITUTE('Calculations'!IF279,"~","~~"),"*","~*"),"?","~?"))&gt;1,"!AMBIG",IFERROR(INDEX('Calculations'!$HF$13:$HF$512,MATCH('Calculations'!IF279,'Calculations'!$HE$13:$HE$512,0)),""))))</x:f>
      </x:c>
      <x:c r="IH279" t="str">
        <x:f>IF('Calculations'!IG279="","",IF('Calculations'!IG279="!AMBIG","!AMBIG",IF(COUNTIF('Calculations'!$HE$13:$HE$512,"="&amp;SUBSTITUTE(SUBSTITUTE(SUBSTITUTE('Calculations'!IG279,"~","~~"),"*","~*"),"?","~?"))&gt;1,"!AMBIG",IFERROR(INDEX('Calculations'!$HF$13:$HF$512,MATCH('Calculations'!IG279,'Calculations'!$HE$13:$HE$512,0)),""))))</x:f>
      </x:c>
      <x:c r="II279" t="str">
        <x:f>IF('Calculations'!IH279="","",IF('Calculations'!IH279="!AMBIG","!AMBIG",IF(COUNTIF('Calculations'!$HE$13:$HE$512,"="&amp;SUBSTITUTE(SUBSTITUTE(SUBSTITUTE('Calculations'!IH279,"~","~~"),"*","~*"),"?","~?"))&gt;1,"!AMBIG",IFERROR(INDEX('Calculations'!$HF$13:$HF$512,MATCH('Calculations'!IH279,'Calculations'!$HE$13:$HE$512,0)),""))))</x:f>
      </x:c>
      <x:c r="IJ279" t="str">
        <x:f>IF('Calculations'!EM279="","",IF('Calculations'!$EF$2="All",'Calculations'!HM279,IF('Calculations'!HL279=1,"",IFERROR(IF(MATCH('Calculations'!$EF$2,'Calculations'!HO279:II279,0)=1,'Calculations'!HE279,INDEX('Calculations'!HO279:II279,1,MATCH('Calculations'!$EF$2,'Calculations'!HO279:II279,0)-1)),""))))</x:f>
      </x:c>
      <x:c r="IK279" t="n">
        <x:f>IF(AND('Calculations'!EM279&lt;&gt;"",'Calculations'!$EF$2&lt;&gt;"All",'Calculations'!HF279='Calculations'!$EF$2,'Calculations'!HL279=0,'Calculations'!JD279&gt;0),MAX('Calculations'!$IK$12:IK278)+1,0)</x:f>
        <x:v>0</x:v>
      </x:c>
      <x:c r="JA279" t="n">
        <x:f>IF(OR(IFERROR(INDIRECT("'WCM Calibration Final'!$A$279")&lt;&gt;"",FALSE),IFERROR(INDIRECT("'WCM Calibration Final'!$B$279")&lt;&gt;"",FALSE),IFERROR(INDIRECT("'WCM Calibration Final'!$C$279")&lt;&gt;"",FALSE)),279,0)</x:f>
        <x:v>0</x:v>
      </x:c>
      <x:c r="JB279" t="n">
        <x:f>'Calculations'!JB278+IF('Calculations'!JA279&gt;0,1,0)</x:f>
        <x:v>0</x:v>
      </x:c>
      <x:c r="JC279" t="n">
        <x:f>IF(OR('Calculations'!HF279="",'Calculations'!HF279="!AMBIG"),0,IF('Dashboard'!$B$7="All",1,COUNTIFS('Calculations'!$HO$13:$HO$512,"="&amp;SUBSTITUTE(SUBSTITUTE(SUBSTITUTE('Calculations'!HF279,"~","~~"),"*","~*"),"?","~?"),'Calculations'!$HN$13:$HN$512,"="&amp;SUBSTITUTE(SUBSTITUTE(SUBSTITUTE('Dashboard'!$B$7,"~","~~"),"*","~*"),"?","~?"))+COUNTIFS('Calculations'!$HP$13:$HP$512,"="&amp;SUBSTITUTE(SUBSTITUTE(SUBSTITUTE('Calculations'!HF279,"~","~~"),"*","~*"),"?","~?"),'Calculations'!$HN$13:$HN$512,"="&amp;SUBSTITUTE(SUBSTITUTE(SUBSTITUTE('Dashboard'!$B$7,"~","~~"),"*","~*"),"?","~?"))+COUNTIFS('Calculations'!$HQ$13:$HQ$512,"="&amp;SUBSTITUTE(SUBSTITUTE(SUBSTITUTE('Calculations'!HF279,"~","~~"),"*","~*"),"?","~?"),'Calculations'!$HN$13:$HN$512,"="&amp;SUBSTITUTE(SUBSTITUTE(SUBSTITUTE('Dashboard'!$B$7,"~","~~"),"*","~*"),"?","~?"))+COUNTIFS('Calculations'!$HR$13:$HR$512,"="&amp;SUBSTITUTE(SUBSTITUTE(SUBSTITUTE('Calculations'!HF279,"~","~~"),"*","~*"),"?","~?"),'Calculations'!$HN$13:$HN$512,"="&amp;SUBSTITUTE(SUBSTITUTE(SUBSTITUTE('Dashboard'!$B$7,"~","~~"),"*","~*"),"?","~?"))+COUNTIFS('Calculations'!$HS$13:$HS$512,"="&amp;SUBSTITUTE(SUBSTITUTE(SUBSTITUTE('Calculations'!HF279,"~","~~"),"*","~*"),"?","~?"),'Calculations'!$HN$13:$HN$512,"="&amp;SUBSTITUTE(SUBSTITUTE(SUBSTITUTE('Dashboard'!$B$7,"~","~~"),"*","~*"),"?","~?"))+COUNTIFS('Calculations'!$HT$13:$HT$512,"="&amp;SUBSTITUTE(SUBSTITUTE(SUBSTITUTE('Calculations'!HF279,"~","~~"),"*","~*"),"?","~?"),'Calculations'!$HN$13:$HN$512,"="&amp;SUBSTITUTE(SUBSTITUTE(SUBSTITUTE('Dashboard'!$B$7,"~","~~"),"*","~*"),"?","~?"))+COUNTIFS('Calculations'!$HU$13:$HU$512,"="&amp;SUBSTITUTE(SUBSTITUTE(SUBSTITUTE('Calculations'!HF279,"~","~~"),"*","~*"),"?","~?"),'Calculations'!$HN$13:$HN$512,"="&amp;SUBSTITUTE(SUBSTITUTE(SUBSTITUTE('Dashboard'!$B$7,"~","~~"),"*","~*"),"?","~?"))+COUNTIFS('Calculations'!$HV$13:$HV$512,"="&amp;SUBSTITUTE(SUBSTITUTE(SUBSTITUTE('Calculations'!HF279,"~","~~"),"*","~*"),"?","~?"),'Calculations'!$HN$13:$HN$512,"="&amp;SUBSTITUTE(SUBSTITUTE(SUBSTITUTE('Dashboard'!$B$7,"~","~~"),"*","~*"),"?","~?"))+COUNTIFS('Calculations'!$HW$13:$HW$512,"="&amp;SUBSTITUTE(SUBSTITUTE(SUBSTITUTE('Calculations'!HF279,"~","~~"),"*","~*"),"?","~?"),'Calculations'!$HN$13:$HN$512,"="&amp;SUBSTITUTE(SUBSTITUTE(SUBSTITUTE('Dashboard'!$B$7,"~","~~"),"*","~*"),"?","~?"))+COUNTIFS('Calculations'!$HX$13:$HX$512,"="&amp;SUBSTITUTE(SUBSTITUTE(SUBSTITUTE('Calculations'!HF279,"~","~~"),"*","~*"),"?","~?"),'Calculations'!$HN$13:$HN$512,"="&amp;SUBSTITUTE(SUBSTITUTE(SUBSTITUTE('Dashboard'!$B$7,"~","~~"),"*","~*"),"?","~?"))+COUNTIFS('Calculations'!$HY$13:$HY$512,"="&amp;SUBSTITUTE(SUBSTITUTE(SUBSTITUTE('Calculations'!HF279,"~","~~"),"*","~*"),"?","~?"),'Calculations'!$HN$13:$HN$512,"="&amp;SUBSTITUTE(SUBSTITUTE(SUBSTITUTE('Dashboard'!$B$7,"~","~~"),"*","~*"),"?","~?"))+COUNTIFS('Calculations'!$HZ$13:$HZ$512,"="&amp;SUBSTITUTE(SUBSTITUTE(SUBSTITUTE('Calculations'!HF279,"~","~~"),"*","~*"),"?","~?"),'Calculations'!$HN$13:$HN$512,"="&amp;SUBSTITUTE(SUBSTITUTE(SUBSTITUTE('Dashboard'!$B$7,"~","~~"),"*","~*"),"?","~?"))+COUNTIFS('Calculations'!$IA$13:$IA$512,"="&amp;SUBSTITUTE(SUBSTITUTE(SUBSTITUTE('Calculations'!HF279,"~","~~"),"*","~*"),"?","~?"),'Calculations'!$HN$13:$HN$512,"="&amp;SUBSTITUTE(SUBSTITUTE(SUBSTITUTE('Dashboard'!$B$7,"~","~~"),"*","~*"),"?","~?"))+COUNTIFS('Calculations'!$IB$13:$IB$512,"="&amp;SUBSTITUTE(SUBSTITUTE(SUBSTITUTE('Calculations'!HF279,"~","~~"),"*","~*"),"?","~?"),'Calculations'!$HN$13:$HN$512,"="&amp;SUBSTITUTE(SUBSTITUTE(SUBSTITUTE('Dashboard'!$B$7,"~","~~"),"*","~*"),"?","~?"))+COUNTIFS('Calculations'!$IC$13:$IC$512,"="&amp;SUBSTITUTE(SUBSTITUTE(SUBSTITUTE('Calculations'!HF279,"~","~~"),"*","~*"),"?","~?"),'Calculations'!$HN$13:$HN$512,"="&amp;SUBSTITUTE(SUBSTITUTE(SUBSTITUTE('Dashboard'!$B$7,"~","~~"),"*","~*"),"?","~?"))+COUNTIFS('Calculations'!$ID$13:$ID$512,"="&amp;SUBSTITUTE(SUBSTITUTE(SUBSTITUTE('Calculations'!HF279,"~","~~"),"*","~*"),"?","~?"),'Calculations'!$HN$13:$HN$512,"="&amp;SUBSTITUTE(SUBSTITUTE(SUBSTITUTE('Dashboard'!$B$7,"~","~~"),"*","~*"),"?","~?"))+COUNTIFS('Calculations'!$IE$13:$IE$512,"="&amp;SUBSTITUTE(SUBSTITUTE(SUBSTITUTE('Calculations'!HF279,"~","~~"),"*","~*"),"?","~?"),'Calculations'!$HN$13:$HN$512,"="&amp;SUBSTITUTE(SUBSTITUTE(SUBSTITUTE('Dashboard'!$B$7,"~","~~"),"*","~*"),"?","~?"))+COUNTIFS('Calculations'!$IF$13:$IF$512,"="&amp;SUBSTITUTE(SUBSTITUTE(SUBSTITUTE('Calculations'!HF279,"~","~~"),"*","~*"),"?","~?"),'Calculations'!$HN$13:$HN$512,"="&amp;SUBSTITUTE(SUBSTITUTE(SUBSTITUTE('Dashboard'!$B$7,"~","~~"),"*","~*"),"?","~?"))+COUNTIFS('Calculations'!$IG$13:$IG$512,"="&amp;SUBSTITUTE(SUBSTITUTE(SUBSTITUTE('Calculations'!HF279,"~","~~"),"*","~*"),"?","~?"),'Calculations'!$HN$13:$HN$512,"="&amp;SUBSTITUTE(SUBSTITUTE(SUBSTITUTE('Dashboard'!$B$7,"~","~~"),"*","~*"),"?","~?"))+COUNTIFS('Calculations'!$IH$13:$IH$512,"="&amp;SUBSTITUTE(SUBSTITUTE(SUBSTITUTE('Calculations'!HF279,"~","~~"),"*","~*"),"?","~?"),'Calculations'!$HN$13:$HN$512,"="&amp;SUBSTITUTE(SUBSTITUTE(SUBSTITUTE('Dashboard'!$B$7,"~","~~"),"*","~*"),"?","~?"))))</x:f>
        <x:v>0</x:v>
      </x:c>
      <x:c r="JD279" t="n">
        <x:f>IF('Calculations'!EM279="",0,IF('Dashboard'!$B$7="All",1,IF('Calculations'!HN279='Dashboard'!$B$7,1,0)+IFERROR(INDEX('Calculations'!$JC$13:$JC$512,MATCH('Calculations'!HE279,'Calculations'!$HF$13:$HF$512,0)),0)))</x:f>
        <x:v>0</x:v>
      </x:c>
      <x:c r="JE279" t="n">
        <x:f>IF(AND('Calculations'!EM279&lt;&gt;"",'Calculations'!$JJ$2&lt;&gt;"All",'Calculations'!$JJ$2&lt;&gt;"",'Calculations'!HF279='Calculations'!$JJ$2,'Calculations'!HL279=0,'Calculations'!JD279&gt;0),MAX('Calculations'!$JE$12:JE278)+1,0)</x:f>
        <x:v>0</x:v>
      </x:c>
      <x:c r="JF279" t="str">
        <x:f>IF('Calculations'!EM279="","",IFERROR(IF(INDEX(INDIRECT("'WCM Calibration Final'!$G$1:$G$2000"),'Calculations'!$EM279)="","",TRIM(INDEX(INDIRECT("'WCM Calibration Final'!$G$1:$G$2000"),'Calculations'!$EM279)&amp;"")),""))</x:f>
      </x:c>
      <x:c r="JQ279" t="n">
        <x:f>IF(OR('Calculations'!BM279=0,NOT('Calculations'!$AG$2),'Calculations'!$AG$8&gt;0),0,IF(OR('Dashboard'!$B$7="All",'Calculations'!HN279='Dashboard'!$B$7),IF('Calculations'!$JJ$2="All",1,IF(AND('Calculations'!HF279='Calculations'!$JJ$2,'Calculations'!HL279=0),1,0)),0))</x:f>
        <x:v>0</x:v>
      </x:c>
    </x:row>
    <x:row r="280">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t="n">
        <x:f>IF('Calculations'!$EM280="",0,IF(OR(IFERROR(INDEX(INDIRECT("'WCM Calibration Final'!$A$1:$A$2000"),'Calculations'!$EM280)&lt;&gt;"",FALSE),IFERROR(INDEX(INDIRECT("'WCM Calibration Final'!$B$1:$B$2000"),'Calculations'!$EM280)&lt;&gt;"",FALSE),IFERROR(INDEX(INDIRECT("'WCM Calibration Final'!$C$1:$C$2000"),'Calculations'!$EM280)&lt;&gt;"",FALSE)),1,0))</x:f>
        <x:v>0</x:v>
      </x:c>
      <x:c r="BN280" s="4" t="n">
        <x:f>IF(AND('Calculations'!BM280=1,'Calculations'!$AG$2,'Calculations'!$EN280=1),1,0)</x:f>
        <x:v>0</x:v>
      </x:c>
      <x:c r="BO280" s="4" t="str">
        <x:f>IF('Calculations'!BM280=0,"",IFERROR(IF(AND(VALUE(INDEX(INDIRECT("'WCM Calibration Final'!$K$1:$K$2000"),'Calculations'!$EM280))&gt;=1,VALUE(INDEX(INDIRECT("'WCM Calibration Final'!$K$1:$K$2000"),'Calculations'!$EM280))&lt;=4,MOD(VALUE(INDEX(INDIRECT("'WCM Calibration Final'!$K$1:$K$2000"),'Calculations'!$EM280)),1)=0),VALUE(INDEX(INDIRECT("'WCM Calibration Final'!$K$1:$K$2000"),'Calculations'!$EM280)),""),""))</x:f>
      </x:c>
      <x:c r="BP280" s="4" t="str">
        <x:f>IF('Calculations'!BM280=0,"",IFERROR(IF(AND(VALUE(INDEX(INDIRECT("'WCM Calibration Final'!$L$1:$L$2000"),'Calculations'!$EM280))&gt;=1,VALUE(INDEX(INDIRECT("'WCM Calibration Final'!$L$1:$L$2000"),'Calculations'!$EM280))&lt;=4,MOD(VALUE(INDEX(INDIRECT("'WCM Calibration Final'!$L$1:$L$2000"),'Calculations'!$EM280)),1)=0),VALUE(INDEX(INDIRECT("'WCM Calibration Final'!$L$1:$L$2000"),'Calculations'!$EM280)),""),""))</x:f>
      </x:c>
      <x:c r="BQ280" s="4"/>
      <x:c r="BR280" s="4"/>
      <x:c r="BS280" s="4"/>
      <x:c r="BT280" s="4" t="n">
        <x:f>IF(AND('Calculations'!BM280=1,ISNUMBER('Calculations'!BO280),ISNUMBER('Calculations'!BP280)),1,0)</x:f>
        <x:v>0</x:v>
      </x:c>
      <x:c r="BU280" s="4" t="str">
        <x:f>IF('Calculations'!BM280=0,"",'Calculations'!$EO280)</x:f>
      </x:c>
      <x:c r="BV280" s="4" t="str">
        <x:f>IF('Calculations'!BM280=0,"",IFERROR(IF(OR(INDEX(INDIRECT("'WCM Calibration Final'!$H$1:$H$2000"),'Calculations'!$EM280)="MANAGING DIRECTOR",INDEX(INDIRECT("'WCM Calibration Final'!$H$1:$H$2000"),'Calculations'!$EM280)="DIRECTOR",INDEX(INDIRECT("'WCM Calibration Final'!$H$1:$H$2000"),'Calculations'!$EM280)="SENIOR VICE PRESIDENT",INDEX(INDIRECT("'WCM Calibration Final'!$H$1:$H$2000"),'Calculations'!$EM280)="VICE PRESIDENT",INDEX(INDIRECT("'WCM Calibration Final'!$H$1:$H$2000"),'Calculations'!$EM280)="ASSISTANT VICE PRESIDENT",INDEX(INDIRECT("'WCM Calibration Final'!$H$1:$H$2000"),'Calculations'!$EM280)="OFFICER"),UPPER(INDEX(INDIRECT("'WCM Calibration Final'!$H$1:$H$2000"),'Calculations'!$EM280)),"Other"),"Other"))</x:f>
      </x:c>
      <x:c r="BW280" s="4"/>
      <x:c r="BX280" s="4"/>
      <x:c r="BY280" s="4" t="n">
        <x:f>IF(AND('Calculations'!BM280=1,'Calculations'!BU280&lt;&gt;"",COUNTIF('Calculations'!$BU$12:BU280,'Calculations'!BU280)=1),MAX('Calculations'!$BY$11:BY279)+1,0)</x:f>
        <x:v>0</x:v>
      </x:c>
      <x:c r="BZ280" s="4" t="str">
        <x:f>IF('Dashboard'!$E$67="What",'Calculations'!BO280,'Calculations'!BP280)</x:f>
      </x:c>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t="str">
        <x:f>IF(269&gt;MAX('Calculations'!$HI$13:$HI$512),"",INDEX('Calculations'!$HN$13:$HN$512,MATCH(269,'Calculations'!$HI$13:$HI$512,0)))</x:f>
      </x:c>
      <x:c r="DB280" s="4" t="str">
        <x:f>IF(269&gt;MAX('Calculations'!$HH$13:$HH$512),"",INDEX('Calculations'!$HJ$13:$HJ$512,MATCH(269,'Calculations'!$HH$13:$HH$512,0)))</x:f>
      </x:c>
      <x:c r="DC280" s="4" t="str">
        <x:f>IF(ROW()-11&gt;MAX('Calculations'!$BY$13:$BY$512),"",INDEX('Calculations'!$BU$13:$BU$512,MATCH(ROW()-11,'Calculations'!$BY$13:$BY$512,0)))</x:f>
      </x:c>
      <x:c r="DD280" s="4" t="str">
        <x:f>IF(269&gt;MAX('Calculations'!$IK$13:$IK$512),"",INDEX('Calculations'!$HK$13:$HK$512,MATCH(269,'Calculations'!$IK$13:$IK$512,0)))</x:f>
      </x:c>
      <x:c r="DE280" s="4" t="str">
        <x:f>'Calculations'!DC280</x:f>
      </x:c>
      <x:c r="DF280" s="4" t="str">
        <x:f>IF('Calculations'!DE280="","",COUNTIFS('Calculations'!$BN$13:$BN$512,1,'Calculations'!$BU$13:$BU$512,'Calculations'!DE280))</x:f>
      </x:c>
      <x:c r="DG280" s="4" t="str">
        <x:f>IF('Calculations'!DE280="","",COUNTIFS('Calculations'!$BN$13:$BN$512,1,'Calculations'!$BU$13:$BU$512,'Calculations'!DE280,'Calculations'!$BT$13:$BT$512,1))</x:f>
      </x:c>
      <x:c r="DH280" s="4" t="str">
        <x:f>IF('Calculations'!DE280="","",'Calculations'!DF280-'Calculations'!DG280)</x:f>
      </x:c>
      <x:c r="DI280" s="4" t="str">
        <x:f>IF(OR('Calculations'!DE280="",'Calculations'!DF280=0),"",'Calculations'!DG280/'Calculations'!DF280)</x:f>
      </x:c>
      <x:c r="DJ280" s="4" t="str">
        <x:f>IF('Calculations'!DE280="","",COUNTIFS('Calculations'!$BN$13:$BN$512,1,'Calculations'!$BU$13:$BU$512,'Calculations'!DE280,'Calculations'!$BT$13:$BT$512,1,'Calculations'!$EE$13:$EE$512,"High"))</x:f>
      </x:c>
      <x:c r="DK280" s="4" t="str">
        <x:f>IF('Calculations'!DE280="","",COUNTIFS('Calculations'!$BN$13:$BN$512,1,'Calculations'!$BU$13:$BU$512,'Calculations'!DE280,'Calculations'!$BT$13:$BT$512,1,'Calculations'!$EE$13:$EE$512,"Strong"))</x:f>
      </x:c>
      <x:c r="DL280" s="4" t="str">
        <x:f>IF('Calculations'!DE280="","",COUNTIFS('Calculations'!$BN$13:$BN$512,1,'Calculations'!$BU$13:$BU$512,'Calculations'!DE280,'Calculations'!$BT$13:$BT$512,1,'Calculations'!$EE$13:$EE$512,"Solid"))</x:f>
      </x:c>
      <x:c r="DM280" s="4" t="str">
        <x:f>IF('Calculations'!DE280="","",COUNTIFS('Calculations'!$BN$13:$BN$512,1,'Calculations'!$BU$13:$BU$512,'Calculations'!DE280,'Calculations'!$BT$13:$BT$512,1,'Calculations'!$EE$13:$EE$512,"Low"))</x:f>
      </x:c>
      <x:c r="DN280" s="4" t="str">
        <x:f>IF('Calculations'!DE280="","",COUNTIFS('Calculations'!$BN$13:$BN$512,1,'Calculations'!$BU$13:$BU$512,'Calculations'!DE280,'Calculations'!$EP$13:$EP$512,1))</x:f>
      </x:c>
      <x:c r="DO280" s="4" t="str">
        <x:f>IF(OR('Calculations'!DE280="",'Calculations'!DG280=0),"",('Calculations'!DJ280+'Calculations'!DK280)/'Calculations'!DG280)</x:f>
      </x:c>
      <x:c r="DP280" s="4" t="n">
        <x:f>IF(AND('Calculations'!DE280&lt;&gt;"",'Calculations'!DF280&gt;0),COUNTIF('Calculations'!$DF$12:DF280,"&gt;0"),0)</x:f>
        <x:v>0</x:v>
      </x:c>
      <x:c r="DQ280" s="4" t="str">
        <x:f>IF(269&gt;MAX('Calculations'!$HH$13:$HH$512),"",INDEX('Calculations'!$HF$13:$HF$512,MATCH(269,'Calculations'!$HH$13:$HH$512,0)))</x:f>
      </x:c>
      <x:c r="DR280" s="4" t="str">
        <x:f>IF(269&gt;MAX('Calculations'!$IK$13:$IK$512),"",INDEX('Calculations'!$HE$13:$HE$512,MATCH(269,'Calculations'!$IK$13:$IK$512,0)))</x:f>
      </x:c>
      <x:c r="DS280" s="4"/>
      <x:c r="DT280" s="4"/>
      <x:c r="DU280" s="4"/>
      <x:c r="DV280" s="4"/>
      <x:c r="DW280" s="4"/>
      <x:c r="DX280" s="4"/>
      <x:c r="DY280" s="4"/>
      <x:c r="DZ280" s="4"/>
      <x:c r="EA280" s="4"/>
      <x:c r="EB280" s="4"/>
      <x:c r="EC280" s="4"/>
      <x:c r="ED280" s="4"/>
      <x:c r="EE280" s="4" t="str">
        <x:f>IF('Calculations'!BT280=0,"Not Rated",IF(OR('Calculations'!BO280&gt;=4,'Calculations'!BP280&gt;=4),"Low",IF('Calculations'!BO280+'Calculations'!BP280&lt;=3,"High",IF('Calculations'!BO280+'Calculations'!BP280&lt;=4,"Strong","Solid"))))</x:f>
        <x:v>Not Rated</x:v>
      </x:c>
      <x:c r="EF280" s="4"/>
      <x:c r="EG280" s="4"/>
      <x:c r="EH280" s="4"/>
      <x:c r="EI280" s="4"/>
      <x:c r="EJ280" s="4"/>
      <x:c r="EK280" s="4"/>
      <x:c r="EL280" s="4"/>
      <x:c r="EM280" s="4" t="str">
        <x:f>IF(268&gt;'Calculations'!$JB$2000,"",INDEX('Calculations'!$JA$12:$JA$2000,MATCH(268,'Calculations'!$JB$12:$JB$2000,0)))</x:f>
      </x:c>
      <x:c r="EN280" s="4" t="n">
        <x:f>IF(OR('Calculations'!EM280="",'Calculations'!$AG$8&gt;0,AND('Calculations'!$EF$2&lt;&gt;"All",'Calculations'!HE280='Calculations'!$EF$2),AND('Calculations'!$EF$3&lt;&gt;"All",'Calculations'!HE280='Calculations'!$EF$3)),0,IF(OR('Dashboard'!$B$7="All",'Calculations'!HN280='Dashboard'!$B$7),IF('Calculations'!$EF$2="All",1,IF('Calculations'!HL280&gt;0,0,IF(COUNTIF('Calculations'!HO280:II280,"="&amp;SUBSTITUTE(SUBSTITUTE(SUBSTITUTE('Calculations'!$EF$2,"~","~~"),"*","~*"),"?","~?"))=0,0,IF('Calculations'!$EF$3="All",1,IF(COUNTIF('Calculations'!HO280:II280,"="&amp;SUBSTITUTE(SUBSTITUTE(SUBSTITUTE('Calculations'!$EF$3,"~","~~"),"*","~*"),"?","~?"))&gt;0,1,0))))),0))</x:f>
        <x:v>0</x:v>
      </x:c>
      <x:c r="EO280" s="4" t="str">
        <x:f>IF('Calculations'!IJ280="","",IF('Calculations'!IJ280="!UNRESOLVED","Unresolved hierarchy",IFERROR(INDEX('Calculations'!$HK$13:$HK$512,MATCH('Calculations'!IJ280,'Calculations'!$HE$13:$HE$512,0)),IFERROR(INDEX('Calculations'!$HJ$13:$HJ$512,MATCH('Calculations'!IJ280,'Calculations'!$HF$13:$HF$512,0)),'Calculations'!IJ280))))</x:f>
      </x:c>
      <x:c r="EP280" s="4" t="n">
        <x:f>IF(AND('Calculations'!EM280&lt;&gt;"",'Calculations'!HF280='Calculations'!IJ280),1,0)</x:f>
        <x:v>0</x:v>
      </x:c>
      <x:c r="EQ280" s="4"/>
      <x:c r="ER280" s="4"/>
      <x:c r="ES280" s="4"/>
      <x:c r="ET280" s="4"/>
      <x:c r="EU280" s="4"/>
      <x:c r="EV280" s="4"/>
      <x:c r="EW280" s="4"/>
      <x:c r="EX280" s="4"/>
      <x:c r="EY280" s="4"/>
      <x:c r="EZ280" s="4"/>
      <x:c r="FA280" s="4"/>
      <x:c r="FB280" s="4"/>
      <x:c r="FC280" s="4"/>
      <x:c r="FD280" s="4"/>
      <x:c r="FE280" s="4"/>
      <x:c r="FF280" s="4"/>
      <x:c r="FG280" s="4"/>
      <x:c r="FH280" s="4"/>
      <x:c r="FI280" s="4"/>
      <x:c r="FJ280" s="4"/>
      <x:c r="FK280" s="4"/>
      <x:c r="FL280" s="4"/>
      <x:c r="FM280" s="4"/>
      <x:c r="FN280" s="4"/>
      <x:c r="FO280" s="4"/>
      <x:c r="HE280" t="str">
        <x:f>IF('Calculations'!EM280="","",IF(IFERROR(IF(INDEX(INDIRECT("'WCM Calibration Final'!$A$1:$A$2000"),'Calculations'!$EM280)="","",TRIM(INDEX(INDIRECT("'WCM Calibration Final'!$A$1:$A$2000"),'Calculations'!$EM280)&amp;"")),"")&lt;&gt;"","G:"&amp;IFERROR(TEXT(1*INDEX(INDIRECT("'WCM Calibration Final'!$A$1:$A$2000"),'Calculations'!$EM280),"0"),UPPER(IFERROR(IF(INDEX(INDIRECT("'WCM Calibration Final'!$A$1:$A$2000"),'Calculations'!$EM280)="","",TRIM(INDEX(INDIRECT("'WCM Calibration Final'!$A$1:$A$2000"),'Calculations'!$EM280)&amp;"")),""))),IF(IFERROR(IF(INDEX(INDIRECT("'WCM Calibration Final'!$C$1:$C$2000"),'Calculations'!$EM280)="","",TRIM(INDEX(INDIRECT("'WCM Calibration Final'!$C$1:$C$2000"),'Calculations'!$EM280)&amp;"")),"")&lt;&gt;"","S:"&amp;UPPER(IFERROR(IF(INDEX(INDIRECT("'WCM Calibration Final'!$C$1:$C$2000"),'Calculations'!$EM280)="","",TRIM(INDEX(INDIRECT("'WCM Calibration Final'!$C$1:$C$2000"),'Calculations'!$EM280)&amp;"")),"")),"R:"&amp;'Calculations'!EM280)))</x:f>
      </x:c>
      <x:c r="HF280" t="str">
        <x:f>IF('Calculations'!EM280="","",IF(IFERROR(IF(INDEX(INDIRECT("'WCM Calibration Final'!$D$1:$D$2000"),'Calculations'!$EM280)="","",TRIM(INDEX(INDIRECT("'WCM Calibration Final'!$D$1:$D$2000"),'Calculations'!$EM280)&amp;"")),"")&lt;&gt;"","G:"&amp;IFERROR(TEXT(1*INDEX(INDIRECT("'WCM Calibration Final'!$D$1:$D$2000"),'Calculations'!$EM280),"0"),UPPER(IFERROR(IF(INDEX(INDIRECT("'WCM Calibration Final'!$D$1:$D$2000"),'Calculations'!$EM280)="","",TRIM(INDEX(INDIRECT("'WCM Calibration Final'!$D$1:$D$2000"),'Calculations'!$EM280)&amp;"")),""))),IF(IFERROR(IF(INDEX(INDIRECT("'WCM Calibration Final'!$E$1:$E$2000"),'Calculations'!$EM280)="","",TRIM(INDEX(INDIRECT("'WCM Calibration Final'!$E$1:$E$2000"),'Calculations'!$EM280)&amp;"")),"")="","",IF(COUNTIF('Calculations'!$HG$13:$HG$512,"="&amp;SUBSTITUTE(SUBSTITUTE(SUBSTITUTE(IFERROR(IF(INDEX(INDIRECT("'WCM Calibration Final'!$E$1:$E$2000"),'Calculations'!$EM280)="","",TRIM(INDEX(INDIRECT("'WCM Calibration Final'!$E$1:$E$2000"),'Calculations'!$EM280)&amp;"")),""),"~","~~"),"*","~*"),"?","~?"))=1,INDEX('Calculations'!$HE$13:$HE$512,MATCH(IFERROR(IF(INDEX(INDIRECT("'WCM Calibration Final'!$E$1:$E$2000"),'Calculations'!$EM280)="","",TRIM(INDEX(INDIRECT("'WCM Calibration Final'!$E$1:$E$2000"),'Calculations'!$EM280)&amp;"")),""),'Calculations'!$HG$13:$HG$512,0)),IF(COUNTIF('Calculations'!$HG$13:$HG$512,"="&amp;SUBSTITUTE(SUBSTITUTE(SUBSTITUTE(IFERROR(IF(INDEX(INDIRECT("'WCM Calibration Final'!$E$1:$E$2000"),'Calculations'!$EM280)="","",TRIM(INDEX(INDIRECT("'WCM Calibration Final'!$E$1:$E$2000"),'Calculations'!$EM280)&amp;"")),""),"~","~~"),"*","~*"),"?","~?"))&gt;1,"!AMBIG","X:"&amp;IFERROR(IF(INDEX(INDIRECT("'WCM Calibration Final'!$E$1:$E$2000"),'Calculations'!$EM280)="","",TRIM(INDEX(INDIRECT("'WCM Calibration Final'!$E$1:$E$2000"),'Calculations'!$EM280)&amp;"")),""))))))</x:f>
      </x:c>
      <x:c r="HG280" t="str">
        <x:f>IF('Calculations'!EM280="","",IFERROR(IF(INDEX(INDIRECT("'WCM Calibration Final'!$B$1:$B$2000"),'Calculations'!$EM280)="","",TRIM(INDEX(INDIRECT("'WCM Calibration Final'!$B$1:$B$2000"),'Calculations'!$EM280)&amp;"")),""))</x:f>
      </x:c>
      <x:c r="HH280" t="n">
        <x:f>IF(AND('Calculations'!JC280&gt;0,COUNTIF('Calculations'!$HF$12:HF280,"="&amp;SUBSTITUTE(SUBSTITUTE(SUBSTITUTE('Calculations'!HF280,"~","~~"),"*","~*"),"?","~?"))=1),MAX('Calculations'!$HH$12:HH279)+1,0)</x:f>
        <x:v>0</x:v>
      </x:c>
      <x:c r="HI280" t="n">
        <x:f>IF(AND('Calculations'!HN280&lt;&gt;"",COUNTIF('Calculations'!$HN$12:HN280,"="&amp;SUBSTITUTE(SUBSTITUTE(SUBSTITUTE('Calculations'!HN280,"~","~~"),"*","~*"),"?","~?"))=1),MAX('Calculations'!$HI$12:HI279)+1,0)</x:f>
        <x:v>0</x:v>
      </x:c>
      <x:c r="HJ280" t="str">
        <x:f>IF('Calculations'!HF280="","",IF(COUNTIF('Calculations'!$HE$13:$HE$512,"="&amp;SUBSTITUTE(SUBSTITUTE(SUBSTITUTE('Calculations'!HF280,"~","~~"),"*","~*"),"?","~?"))=1,INDEX('Calculations'!$HK$13:$HK$512,MATCH('Calculations'!HF280,'Calculations'!$HE$13:$HE$512,0)),IFERROR(IF(INDEX(INDIRECT("'WCM Calibration Final'!$E$1:$E$2000"),'Calculations'!$EM280)="","",TRIM(INDEX(INDIRECT("'WCM Calibration Final'!$E$1:$E$2000"),'Calculations'!$EM280)&amp;"")),"")&amp;" ["&amp;'Calculations'!HF280&amp;"]"))</x:f>
      </x:c>
      <x:c r="HK280" t="str">
        <x:f>IF('Calculations'!EM280="","",'Calculations'!HG280&amp;" ["&amp;'Calculations'!HE280&amp;"]")</x:f>
      </x:c>
      <x:c r="HL280" t="n">
        <x:f>IF('Calculations'!EM280="",0,IF(OR('Calculations'!II280&lt;&gt;"",COUNTIF('Calculations'!$HE$13:$HE$512,"="&amp;SUBSTITUTE(SUBSTITUTE(SUBSTITUTE('Calculations'!HE280,"~","~~"),"*","~*"),"?","~?"))&gt;1),1,0))</x:f>
        <x:v>0</x:v>
      </x:c>
      <x:c r="HM280" t="str">
        <x:f>IF('Calculations'!EM280="","",IF('Calculations'!HL280=1,"!UNRESOLVED",IF('Calculations'!IH280&lt;&gt;"",'Calculations'!IH280,IF('Calculations'!IG280&lt;&gt;"",'Calculations'!IG280,IF('Calculations'!IF280&lt;&gt;"",'Calculations'!IF280,IF('Calculations'!IE280&lt;&gt;"",'Calculations'!IE280,IF('Calculations'!ID280&lt;&gt;"",'Calculations'!ID280,IF('Calculations'!IC280&lt;&gt;"",'Calculations'!IC280,IF('Calculations'!IB280&lt;&gt;"",'Calculations'!IB280,IF('Calculations'!IA280&lt;&gt;"",'Calculations'!IA280,IF('Calculations'!HZ280&lt;&gt;"",'Calculations'!HZ280,IF('Calculations'!HY280&lt;&gt;"",'Calculations'!HY280,IF('Calculations'!HX280&lt;&gt;"",'Calculations'!HX280,IF('Calculations'!HW280&lt;&gt;"",'Calculations'!HW280,IF('Calculations'!HV280&lt;&gt;"",'Calculations'!HV280,IF('Calculations'!HU280&lt;&gt;"",'Calculations'!HU280,IF('Calculations'!HT280&lt;&gt;"",'Calculations'!HT280,IF('Calculations'!HS280&lt;&gt;"",'Calculations'!HS280,IF('Calculations'!HR280&lt;&gt;"",'Calculations'!HR280,IF('Calculations'!HQ280&lt;&gt;"",'Calculations'!HQ280,IF('Calculations'!HP280&lt;&gt;"",'Calculations'!HP280,IF('Calculations'!HO280&lt;&gt;"",'Calculations'!HO280,'Calculations'!HE280))))))))))))))))))))))</x:f>
      </x:c>
      <x:c r="HN280" t="str">
        <x:f>IF('Calculations'!EM280="","",IF(IFERROR(IF(INDEX(INDIRECT("'WCM Calibration Final'!$F$1:$F$2000"),'Calculations'!$EM280)="","",TRIM(INDEX(INDIRECT("'WCM Calibration Final'!$F$1:$F$2000"),'Calculations'!$EM280)&amp;"")),"")="","(Blank)",IFERROR(IF(INDEX(INDIRECT("'WCM Calibration Final'!$F$1:$F$2000"),'Calculations'!$EM280)="","",TRIM(INDEX(INDIRECT("'WCM Calibration Final'!$F$1:$F$2000"),'Calculations'!$EM280)&amp;"")),"")))</x:f>
      </x:c>
      <x:c r="HO280" t="str">
        <x:f>'Calculations'!HF280</x:f>
      </x:c>
      <x:c r="HP280" t="str">
        <x:f>IF('Calculations'!HO280="","",IF('Calculations'!HO280="!AMBIG","!AMBIG",IF(COUNTIF('Calculations'!$HE$13:$HE$512,"="&amp;SUBSTITUTE(SUBSTITUTE(SUBSTITUTE('Calculations'!HO280,"~","~~"),"*","~*"),"?","~?"))&gt;1,"!AMBIG",IFERROR(INDEX('Calculations'!$HF$13:$HF$512,MATCH('Calculations'!HO280,'Calculations'!$HE$13:$HE$512,0)),""))))</x:f>
      </x:c>
      <x:c r="HQ280" t="str">
        <x:f>IF('Calculations'!HP280="","",IF('Calculations'!HP280="!AMBIG","!AMBIG",IF(COUNTIF('Calculations'!$HE$13:$HE$512,"="&amp;SUBSTITUTE(SUBSTITUTE(SUBSTITUTE('Calculations'!HP280,"~","~~"),"*","~*"),"?","~?"))&gt;1,"!AMBIG",IFERROR(INDEX('Calculations'!$HF$13:$HF$512,MATCH('Calculations'!HP280,'Calculations'!$HE$13:$HE$512,0)),""))))</x:f>
      </x:c>
      <x:c r="HR280" t="str">
        <x:f>IF('Calculations'!HQ280="","",IF('Calculations'!HQ280="!AMBIG","!AMBIG",IF(COUNTIF('Calculations'!$HE$13:$HE$512,"="&amp;SUBSTITUTE(SUBSTITUTE(SUBSTITUTE('Calculations'!HQ280,"~","~~"),"*","~*"),"?","~?"))&gt;1,"!AMBIG",IFERROR(INDEX('Calculations'!$HF$13:$HF$512,MATCH('Calculations'!HQ280,'Calculations'!$HE$13:$HE$512,0)),""))))</x:f>
      </x:c>
      <x:c r="HS280" t="str">
        <x:f>IF('Calculations'!HR280="","",IF('Calculations'!HR280="!AMBIG","!AMBIG",IF(COUNTIF('Calculations'!$HE$13:$HE$512,"="&amp;SUBSTITUTE(SUBSTITUTE(SUBSTITUTE('Calculations'!HR280,"~","~~"),"*","~*"),"?","~?"))&gt;1,"!AMBIG",IFERROR(INDEX('Calculations'!$HF$13:$HF$512,MATCH('Calculations'!HR280,'Calculations'!$HE$13:$HE$512,0)),""))))</x:f>
      </x:c>
      <x:c r="HT280" t="str">
        <x:f>IF('Calculations'!HS280="","",IF('Calculations'!HS280="!AMBIG","!AMBIG",IF(COUNTIF('Calculations'!$HE$13:$HE$512,"="&amp;SUBSTITUTE(SUBSTITUTE(SUBSTITUTE('Calculations'!HS280,"~","~~"),"*","~*"),"?","~?"))&gt;1,"!AMBIG",IFERROR(INDEX('Calculations'!$HF$13:$HF$512,MATCH('Calculations'!HS280,'Calculations'!$HE$13:$HE$512,0)),""))))</x:f>
      </x:c>
      <x:c r="HU280" t="str">
        <x:f>IF('Calculations'!HT280="","",IF('Calculations'!HT280="!AMBIG","!AMBIG",IF(COUNTIF('Calculations'!$HE$13:$HE$512,"="&amp;SUBSTITUTE(SUBSTITUTE(SUBSTITUTE('Calculations'!HT280,"~","~~"),"*","~*"),"?","~?"))&gt;1,"!AMBIG",IFERROR(INDEX('Calculations'!$HF$13:$HF$512,MATCH('Calculations'!HT280,'Calculations'!$HE$13:$HE$512,0)),""))))</x:f>
      </x:c>
      <x:c r="HV280" t="str">
        <x:f>IF('Calculations'!HU280="","",IF('Calculations'!HU280="!AMBIG","!AMBIG",IF(COUNTIF('Calculations'!$HE$13:$HE$512,"="&amp;SUBSTITUTE(SUBSTITUTE(SUBSTITUTE('Calculations'!HU280,"~","~~"),"*","~*"),"?","~?"))&gt;1,"!AMBIG",IFERROR(INDEX('Calculations'!$HF$13:$HF$512,MATCH('Calculations'!HU280,'Calculations'!$HE$13:$HE$512,0)),""))))</x:f>
      </x:c>
      <x:c r="HW280" t="str">
        <x:f>IF('Calculations'!HV280="","",IF('Calculations'!HV280="!AMBIG","!AMBIG",IF(COUNTIF('Calculations'!$HE$13:$HE$512,"="&amp;SUBSTITUTE(SUBSTITUTE(SUBSTITUTE('Calculations'!HV280,"~","~~"),"*","~*"),"?","~?"))&gt;1,"!AMBIG",IFERROR(INDEX('Calculations'!$HF$13:$HF$512,MATCH('Calculations'!HV280,'Calculations'!$HE$13:$HE$512,0)),""))))</x:f>
      </x:c>
      <x:c r="HX280" t="str">
        <x:f>IF('Calculations'!HW280="","",IF('Calculations'!HW280="!AMBIG","!AMBIG",IF(COUNTIF('Calculations'!$HE$13:$HE$512,"="&amp;SUBSTITUTE(SUBSTITUTE(SUBSTITUTE('Calculations'!HW280,"~","~~"),"*","~*"),"?","~?"))&gt;1,"!AMBIG",IFERROR(INDEX('Calculations'!$HF$13:$HF$512,MATCH('Calculations'!HW280,'Calculations'!$HE$13:$HE$512,0)),""))))</x:f>
      </x:c>
      <x:c r="HY280" t="str">
        <x:f>IF('Calculations'!HX280="","",IF('Calculations'!HX280="!AMBIG","!AMBIG",IF(COUNTIF('Calculations'!$HE$13:$HE$512,"="&amp;SUBSTITUTE(SUBSTITUTE(SUBSTITUTE('Calculations'!HX280,"~","~~"),"*","~*"),"?","~?"))&gt;1,"!AMBIG",IFERROR(INDEX('Calculations'!$HF$13:$HF$512,MATCH('Calculations'!HX280,'Calculations'!$HE$13:$HE$512,0)),""))))</x:f>
      </x:c>
      <x:c r="HZ280" t="str">
        <x:f>IF('Calculations'!HY280="","",IF('Calculations'!HY280="!AMBIG","!AMBIG",IF(COUNTIF('Calculations'!$HE$13:$HE$512,"="&amp;SUBSTITUTE(SUBSTITUTE(SUBSTITUTE('Calculations'!HY280,"~","~~"),"*","~*"),"?","~?"))&gt;1,"!AMBIG",IFERROR(INDEX('Calculations'!$HF$13:$HF$512,MATCH('Calculations'!HY280,'Calculations'!$HE$13:$HE$512,0)),""))))</x:f>
      </x:c>
      <x:c r="IA280" t="str">
        <x:f>IF('Calculations'!HZ280="","",IF('Calculations'!HZ280="!AMBIG","!AMBIG",IF(COUNTIF('Calculations'!$HE$13:$HE$512,"="&amp;SUBSTITUTE(SUBSTITUTE(SUBSTITUTE('Calculations'!HZ280,"~","~~"),"*","~*"),"?","~?"))&gt;1,"!AMBIG",IFERROR(INDEX('Calculations'!$HF$13:$HF$512,MATCH('Calculations'!HZ280,'Calculations'!$HE$13:$HE$512,0)),""))))</x:f>
      </x:c>
      <x:c r="IB280" t="str">
        <x:f>IF('Calculations'!IA280="","",IF('Calculations'!IA280="!AMBIG","!AMBIG",IF(COUNTIF('Calculations'!$HE$13:$HE$512,"="&amp;SUBSTITUTE(SUBSTITUTE(SUBSTITUTE('Calculations'!IA280,"~","~~"),"*","~*"),"?","~?"))&gt;1,"!AMBIG",IFERROR(INDEX('Calculations'!$HF$13:$HF$512,MATCH('Calculations'!IA280,'Calculations'!$HE$13:$HE$512,0)),""))))</x:f>
      </x:c>
      <x:c r="IC280" t="str">
        <x:f>IF('Calculations'!IB280="","",IF('Calculations'!IB280="!AMBIG","!AMBIG",IF(COUNTIF('Calculations'!$HE$13:$HE$512,"="&amp;SUBSTITUTE(SUBSTITUTE(SUBSTITUTE('Calculations'!IB280,"~","~~"),"*","~*"),"?","~?"))&gt;1,"!AMBIG",IFERROR(INDEX('Calculations'!$HF$13:$HF$512,MATCH('Calculations'!IB280,'Calculations'!$HE$13:$HE$512,0)),""))))</x:f>
      </x:c>
      <x:c r="ID280" t="str">
        <x:f>IF('Calculations'!IC280="","",IF('Calculations'!IC280="!AMBIG","!AMBIG",IF(COUNTIF('Calculations'!$HE$13:$HE$512,"="&amp;SUBSTITUTE(SUBSTITUTE(SUBSTITUTE('Calculations'!IC280,"~","~~"),"*","~*"),"?","~?"))&gt;1,"!AMBIG",IFERROR(INDEX('Calculations'!$HF$13:$HF$512,MATCH('Calculations'!IC280,'Calculations'!$HE$13:$HE$512,0)),""))))</x:f>
      </x:c>
      <x:c r="IE280" t="str">
        <x:f>IF('Calculations'!ID280="","",IF('Calculations'!ID280="!AMBIG","!AMBIG",IF(COUNTIF('Calculations'!$HE$13:$HE$512,"="&amp;SUBSTITUTE(SUBSTITUTE(SUBSTITUTE('Calculations'!ID280,"~","~~"),"*","~*"),"?","~?"))&gt;1,"!AMBIG",IFERROR(INDEX('Calculations'!$HF$13:$HF$512,MATCH('Calculations'!ID280,'Calculations'!$HE$13:$HE$512,0)),""))))</x:f>
      </x:c>
      <x:c r="IF280" t="str">
        <x:f>IF('Calculations'!IE280="","",IF('Calculations'!IE280="!AMBIG","!AMBIG",IF(COUNTIF('Calculations'!$HE$13:$HE$512,"="&amp;SUBSTITUTE(SUBSTITUTE(SUBSTITUTE('Calculations'!IE280,"~","~~"),"*","~*"),"?","~?"))&gt;1,"!AMBIG",IFERROR(INDEX('Calculations'!$HF$13:$HF$512,MATCH('Calculations'!IE280,'Calculations'!$HE$13:$HE$512,0)),""))))</x:f>
      </x:c>
      <x:c r="IG280" t="str">
        <x:f>IF('Calculations'!IF280="","",IF('Calculations'!IF280="!AMBIG","!AMBIG",IF(COUNTIF('Calculations'!$HE$13:$HE$512,"="&amp;SUBSTITUTE(SUBSTITUTE(SUBSTITUTE('Calculations'!IF280,"~","~~"),"*","~*"),"?","~?"))&gt;1,"!AMBIG",IFERROR(INDEX('Calculations'!$HF$13:$HF$512,MATCH('Calculations'!IF280,'Calculations'!$HE$13:$HE$512,0)),""))))</x:f>
      </x:c>
      <x:c r="IH280" t="str">
        <x:f>IF('Calculations'!IG280="","",IF('Calculations'!IG280="!AMBIG","!AMBIG",IF(COUNTIF('Calculations'!$HE$13:$HE$512,"="&amp;SUBSTITUTE(SUBSTITUTE(SUBSTITUTE('Calculations'!IG280,"~","~~"),"*","~*"),"?","~?"))&gt;1,"!AMBIG",IFERROR(INDEX('Calculations'!$HF$13:$HF$512,MATCH('Calculations'!IG280,'Calculations'!$HE$13:$HE$512,0)),""))))</x:f>
      </x:c>
      <x:c r="II280" t="str">
        <x:f>IF('Calculations'!IH280="","",IF('Calculations'!IH280="!AMBIG","!AMBIG",IF(COUNTIF('Calculations'!$HE$13:$HE$512,"="&amp;SUBSTITUTE(SUBSTITUTE(SUBSTITUTE('Calculations'!IH280,"~","~~"),"*","~*"),"?","~?"))&gt;1,"!AMBIG",IFERROR(INDEX('Calculations'!$HF$13:$HF$512,MATCH('Calculations'!IH280,'Calculations'!$HE$13:$HE$512,0)),""))))</x:f>
      </x:c>
      <x:c r="IJ280" t="str">
        <x:f>IF('Calculations'!EM280="","",IF('Calculations'!$EF$2="All",'Calculations'!HM280,IF('Calculations'!HL280=1,"",IFERROR(IF(MATCH('Calculations'!$EF$2,'Calculations'!HO280:II280,0)=1,'Calculations'!HE280,INDEX('Calculations'!HO280:II280,1,MATCH('Calculations'!$EF$2,'Calculations'!HO280:II280,0)-1)),""))))</x:f>
      </x:c>
      <x:c r="IK280" t="n">
        <x:f>IF(AND('Calculations'!EM280&lt;&gt;"",'Calculations'!$EF$2&lt;&gt;"All",'Calculations'!HF280='Calculations'!$EF$2,'Calculations'!HL280=0,'Calculations'!JD280&gt;0),MAX('Calculations'!$IK$12:IK279)+1,0)</x:f>
        <x:v>0</x:v>
      </x:c>
      <x:c r="JA280" t="n">
        <x:f>IF(OR(IFERROR(INDIRECT("'WCM Calibration Final'!$A$280")&lt;&gt;"",FALSE),IFERROR(INDIRECT("'WCM Calibration Final'!$B$280")&lt;&gt;"",FALSE),IFERROR(INDIRECT("'WCM Calibration Final'!$C$280")&lt;&gt;"",FALSE)),280,0)</x:f>
        <x:v>0</x:v>
      </x:c>
      <x:c r="JB280" t="n">
        <x:f>'Calculations'!JB279+IF('Calculations'!JA280&gt;0,1,0)</x:f>
        <x:v>0</x:v>
      </x:c>
      <x:c r="JC280" t="n">
        <x:f>IF(OR('Calculations'!HF280="",'Calculations'!HF280="!AMBIG"),0,IF('Dashboard'!$B$7="All",1,COUNTIFS('Calculations'!$HO$13:$HO$512,"="&amp;SUBSTITUTE(SUBSTITUTE(SUBSTITUTE('Calculations'!HF280,"~","~~"),"*","~*"),"?","~?"),'Calculations'!$HN$13:$HN$512,"="&amp;SUBSTITUTE(SUBSTITUTE(SUBSTITUTE('Dashboard'!$B$7,"~","~~"),"*","~*"),"?","~?"))+COUNTIFS('Calculations'!$HP$13:$HP$512,"="&amp;SUBSTITUTE(SUBSTITUTE(SUBSTITUTE('Calculations'!HF280,"~","~~"),"*","~*"),"?","~?"),'Calculations'!$HN$13:$HN$512,"="&amp;SUBSTITUTE(SUBSTITUTE(SUBSTITUTE('Dashboard'!$B$7,"~","~~"),"*","~*"),"?","~?"))+COUNTIFS('Calculations'!$HQ$13:$HQ$512,"="&amp;SUBSTITUTE(SUBSTITUTE(SUBSTITUTE('Calculations'!HF280,"~","~~"),"*","~*"),"?","~?"),'Calculations'!$HN$13:$HN$512,"="&amp;SUBSTITUTE(SUBSTITUTE(SUBSTITUTE('Dashboard'!$B$7,"~","~~"),"*","~*"),"?","~?"))+COUNTIFS('Calculations'!$HR$13:$HR$512,"="&amp;SUBSTITUTE(SUBSTITUTE(SUBSTITUTE('Calculations'!HF280,"~","~~"),"*","~*"),"?","~?"),'Calculations'!$HN$13:$HN$512,"="&amp;SUBSTITUTE(SUBSTITUTE(SUBSTITUTE('Dashboard'!$B$7,"~","~~"),"*","~*"),"?","~?"))+COUNTIFS('Calculations'!$HS$13:$HS$512,"="&amp;SUBSTITUTE(SUBSTITUTE(SUBSTITUTE('Calculations'!HF280,"~","~~"),"*","~*"),"?","~?"),'Calculations'!$HN$13:$HN$512,"="&amp;SUBSTITUTE(SUBSTITUTE(SUBSTITUTE('Dashboard'!$B$7,"~","~~"),"*","~*"),"?","~?"))+COUNTIFS('Calculations'!$HT$13:$HT$512,"="&amp;SUBSTITUTE(SUBSTITUTE(SUBSTITUTE('Calculations'!HF280,"~","~~"),"*","~*"),"?","~?"),'Calculations'!$HN$13:$HN$512,"="&amp;SUBSTITUTE(SUBSTITUTE(SUBSTITUTE('Dashboard'!$B$7,"~","~~"),"*","~*"),"?","~?"))+COUNTIFS('Calculations'!$HU$13:$HU$512,"="&amp;SUBSTITUTE(SUBSTITUTE(SUBSTITUTE('Calculations'!HF280,"~","~~"),"*","~*"),"?","~?"),'Calculations'!$HN$13:$HN$512,"="&amp;SUBSTITUTE(SUBSTITUTE(SUBSTITUTE('Dashboard'!$B$7,"~","~~"),"*","~*"),"?","~?"))+COUNTIFS('Calculations'!$HV$13:$HV$512,"="&amp;SUBSTITUTE(SUBSTITUTE(SUBSTITUTE('Calculations'!HF280,"~","~~"),"*","~*"),"?","~?"),'Calculations'!$HN$13:$HN$512,"="&amp;SUBSTITUTE(SUBSTITUTE(SUBSTITUTE('Dashboard'!$B$7,"~","~~"),"*","~*"),"?","~?"))+COUNTIFS('Calculations'!$HW$13:$HW$512,"="&amp;SUBSTITUTE(SUBSTITUTE(SUBSTITUTE('Calculations'!HF280,"~","~~"),"*","~*"),"?","~?"),'Calculations'!$HN$13:$HN$512,"="&amp;SUBSTITUTE(SUBSTITUTE(SUBSTITUTE('Dashboard'!$B$7,"~","~~"),"*","~*"),"?","~?"))+COUNTIFS('Calculations'!$HX$13:$HX$512,"="&amp;SUBSTITUTE(SUBSTITUTE(SUBSTITUTE('Calculations'!HF280,"~","~~"),"*","~*"),"?","~?"),'Calculations'!$HN$13:$HN$512,"="&amp;SUBSTITUTE(SUBSTITUTE(SUBSTITUTE('Dashboard'!$B$7,"~","~~"),"*","~*"),"?","~?"))+COUNTIFS('Calculations'!$HY$13:$HY$512,"="&amp;SUBSTITUTE(SUBSTITUTE(SUBSTITUTE('Calculations'!HF280,"~","~~"),"*","~*"),"?","~?"),'Calculations'!$HN$13:$HN$512,"="&amp;SUBSTITUTE(SUBSTITUTE(SUBSTITUTE('Dashboard'!$B$7,"~","~~"),"*","~*"),"?","~?"))+COUNTIFS('Calculations'!$HZ$13:$HZ$512,"="&amp;SUBSTITUTE(SUBSTITUTE(SUBSTITUTE('Calculations'!HF280,"~","~~"),"*","~*"),"?","~?"),'Calculations'!$HN$13:$HN$512,"="&amp;SUBSTITUTE(SUBSTITUTE(SUBSTITUTE('Dashboard'!$B$7,"~","~~"),"*","~*"),"?","~?"))+COUNTIFS('Calculations'!$IA$13:$IA$512,"="&amp;SUBSTITUTE(SUBSTITUTE(SUBSTITUTE('Calculations'!HF280,"~","~~"),"*","~*"),"?","~?"),'Calculations'!$HN$13:$HN$512,"="&amp;SUBSTITUTE(SUBSTITUTE(SUBSTITUTE('Dashboard'!$B$7,"~","~~"),"*","~*"),"?","~?"))+COUNTIFS('Calculations'!$IB$13:$IB$512,"="&amp;SUBSTITUTE(SUBSTITUTE(SUBSTITUTE('Calculations'!HF280,"~","~~"),"*","~*"),"?","~?"),'Calculations'!$HN$13:$HN$512,"="&amp;SUBSTITUTE(SUBSTITUTE(SUBSTITUTE('Dashboard'!$B$7,"~","~~"),"*","~*"),"?","~?"))+COUNTIFS('Calculations'!$IC$13:$IC$512,"="&amp;SUBSTITUTE(SUBSTITUTE(SUBSTITUTE('Calculations'!HF280,"~","~~"),"*","~*"),"?","~?"),'Calculations'!$HN$13:$HN$512,"="&amp;SUBSTITUTE(SUBSTITUTE(SUBSTITUTE('Dashboard'!$B$7,"~","~~"),"*","~*"),"?","~?"))+COUNTIFS('Calculations'!$ID$13:$ID$512,"="&amp;SUBSTITUTE(SUBSTITUTE(SUBSTITUTE('Calculations'!HF280,"~","~~"),"*","~*"),"?","~?"),'Calculations'!$HN$13:$HN$512,"="&amp;SUBSTITUTE(SUBSTITUTE(SUBSTITUTE('Dashboard'!$B$7,"~","~~"),"*","~*"),"?","~?"))+COUNTIFS('Calculations'!$IE$13:$IE$512,"="&amp;SUBSTITUTE(SUBSTITUTE(SUBSTITUTE('Calculations'!HF280,"~","~~"),"*","~*"),"?","~?"),'Calculations'!$HN$13:$HN$512,"="&amp;SUBSTITUTE(SUBSTITUTE(SUBSTITUTE('Dashboard'!$B$7,"~","~~"),"*","~*"),"?","~?"))+COUNTIFS('Calculations'!$IF$13:$IF$512,"="&amp;SUBSTITUTE(SUBSTITUTE(SUBSTITUTE('Calculations'!HF280,"~","~~"),"*","~*"),"?","~?"),'Calculations'!$HN$13:$HN$512,"="&amp;SUBSTITUTE(SUBSTITUTE(SUBSTITUTE('Dashboard'!$B$7,"~","~~"),"*","~*"),"?","~?"))+COUNTIFS('Calculations'!$IG$13:$IG$512,"="&amp;SUBSTITUTE(SUBSTITUTE(SUBSTITUTE('Calculations'!HF280,"~","~~"),"*","~*"),"?","~?"),'Calculations'!$HN$13:$HN$512,"="&amp;SUBSTITUTE(SUBSTITUTE(SUBSTITUTE('Dashboard'!$B$7,"~","~~"),"*","~*"),"?","~?"))+COUNTIFS('Calculations'!$IH$13:$IH$512,"="&amp;SUBSTITUTE(SUBSTITUTE(SUBSTITUTE('Calculations'!HF280,"~","~~"),"*","~*"),"?","~?"),'Calculations'!$HN$13:$HN$512,"="&amp;SUBSTITUTE(SUBSTITUTE(SUBSTITUTE('Dashboard'!$B$7,"~","~~"),"*","~*"),"?","~?"))))</x:f>
        <x:v>0</x:v>
      </x:c>
      <x:c r="JD280" t="n">
        <x:f>IF('Calculations'!EM280="",0,IF('Dashboard'!$B$7="All",1,IF('Calculations'!HN280='Dashboard'!$B$7,1,0)+IFERROR(INDEX('Calculations'!$JC$13:$JC$512,MATCH('Calculations'!HE280,'Calculations'!$HF$13:$HF$512,0)),0)))</x:f>
        <x:v>0</x:v>
      </x:c>
      <x:c r="JE280" t="n">
        <x:f>IF(AND('Calculations'!EM280&lt;&gt;"",'Calculations'!$JJ$2&lt;&gt;"All",'Calculations'!$JJ$2&lt;&gt;"",'Calculations'!HF280='Calculations'!$JJ$2,'Calculations'!HL280=0,'Calculations'!JD280&gt;0),MAX('Calculations'!$JE$12:JE279)+1,0)</x:f>
        <x:v>0</x:v>
      </x:c>
      <x:c r="JF280" t="str">
        <x:f>IF('Calculations'!EM280="","",IFERROR(IF(INDEX(INDIRECT("'WCM Calibration Final'!$G$1:$G$2000"),'Calculations'!$EM280)="","",TRIM(INDEX(INDIRECT("'WCM Calibration Final'!$G$1:$G$2000"),'Calculations'!$EM280)&amp;"")),""))</x:f>
      </x:c>
      <x:c r="JQ280" t="n">
        <x:f>IF(OR('Calculations'!BM280=0,NOT('Calculations'!$AG$2),'Calculations'!$AG$8&gt;0),0,IF(OR('Dashboard'!$B$7="All",'Calculations'!HN280='Dashboard'!$B$7),IF('Calculations'!$JJ$2="All",1,IF(AND('Calculations'!HF280='Calculations'!$JJ$2,'Calculations'!HL280=0),1,0)),0))</x:f>
        <x:v>0</x:v>
      </x:c>
    </x:row>
    <x:row r="281">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t="n">
        <x:f>IF('Calculations'!$EM281="",0,IF(OR(IFERROR(INDEX(INDIRECT("'WCM Calibration Final'!$A$1:$A$2000"),'Calculations'!$EM281)&lt;&gt;"",FALSE),IFERROR(INDEX(INDIRECT("'WCM Calibration Final'!$B$1:$B$2000"),'Calculations'!$EM281)&lt;&gt;"",FALSE),IFERROR(INDEX(INDIRECT("'WCM Calibration Final'!$C$1:$C$2000"),'Calculations'!$EM281)&lt;&gt;"",FALSE)),1,0))</x:f>
        <x:v>0</x:v>
      </x:c>
      <x:c r="BN281" s="4" t="n">
        <x:f>IF(AND('Calculations'!BM281=1,'Calculations'!$AG$2,'Calculations'!$EN281=1),1,0)</x:f>
        <x:v>0</x:v>
      </x:c>
      <x:c r="BO281" s="4" t="str">
        <x:f>IF('Calculations'!BM281=0,"",IFERROR(IF(AND(VALUE(INDEX(INDIRECT("'WCM Calibration Final'!$K$1:$K$2000"),'Calculations'!$EM281))&gt;=1,VALUE(INDEX(INDIRECT("'WCM Calibration Final'!$K$1:$K$2000"),'Calculations'!$EM281))&lt;=4,MOD(VALUE(INDEX(INDIRECT("'WCM Calibration Final'!$K$1:$K$2000"),'Calculations'!$EM281)),1)=0),VALUE(INDEX(INDIRECT("'WCM Calibration Final'!$K$1:$K$2000"),'Calculations'!$EM281)),""),""))</x:f>
      </x:c>
      <x:c r="BP281" s="4" t="str">
        <x:f>IF('Calculations'!BM281=0,"",IFERROR(IF(AND(VALUE(INDEX(INDIRECT("'WCM Calibration Final'!$L$1:$L$2000"),'Calculations'!$EM281))&gt;=1,VALUE(INDEX(INDIRECT("'WCM Calibration Final'!$L$1:$L$2000"),'Calculations'!$EM281))&lt;=4,MOD(VALUE(INDEX(INDIRECT("'WCM Calibration Final'!$L$1:$L$2000"),'Calculations'!$EM281)),1)=0),VALUE(INDEX(INDIRECT("'WCM Calibration Final'!$L$1:$L$2000"),'Calculations'!$EM281)),""),""))</x:f>
      </x:c>
      <x:c r="BQ281" s="4"/>
      <x:c r="BR281" s="4"/>
      <x:c r="BS281" s="4"/>
      <x:c r="BT281" s="4" t="n">
        <x:f>IF(AND('Calculations'!BM281=1,ISNUMBER('Calculations'!BO281),ISNUMBER('Calculations'!BP281)),1,0)</x:f>
        <x:v>0</x:v>
      </x:c>
      <x:c r="BU281" s="4" t="str">
        <x:f>IF('Calculations'!BM281=0,"",'Calculations'!$EO281)</x:f>
      </x:c>
      <x:c r="BV281" s="4" t="str">
        <x:f>IF('Calculations'!BM281=0,"",IFERROR(IF(OR(INDEX(INDIRECT("'WCM Calibration Final'!$H$1:$H$2000"),'Calculations'!$EM281)="MANAGING DIRECTOR",INDEX(INDIRECT("'WCM Calibration Final'!$H$1:$H$2000"),'Calculations'!$EM281)="DIRECTOR",INDEX(INDIRECT("'WCM Calibration Final'!$H$1:$H$2000"),'Calculations'!$EM281)="SENIOR VICE PRESIDENT",INDEX(INDIRECT("'WCM Calibration Final'!$H$1:$H$2000"),'Calculations'!$EM281)="VICE PRESIDENT",INDEX(INDIRECT("'WCM Calibration Final'!$H$1:$H$2000"),'Calculations'!$EM281)="ASSISTANT VICE PRESIDENT",INDEX(INDIRECT("'WCM Calibration Final'!$H$1:$H$2000"),'Calculations'!$EM281)="OFFICER"),UPPER(INDEX(INDIRECT("'WCM Calibration Final'!$H$1:$H$2000"),'Calculations'!$EM281)),"Other"),"Other"))</x:f>
      </x:c>
      <x:c r="BW281" s="4"/>
      <x:c r="BX281" s="4"/>
      <x:c r="BY281" s="4" t="n">
        <x:f>IF(AND('Calculations'!BM281=1,'Calculations'!BU281&lt;&gt;"",COUNTIF('Calculations'!$BU$12:BU281,'Calculations'!BU281)=1),MAX('Calculations'!$BY$11:BY280)+1,0)</x:f>
        <x:v>0</x:v>
      </x:c>
      <x:c r="BZ281" s="4" t="str">
        <x:f>IF('Dashboard'!$E$67="What",'Calculations'!BO281,'Calculations'!BP281)</x:f>
      </x:c>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t="str">
        <x:f>IF(270&gt;MAX('Calculations'!$HI$13:$HI$512),"",INDEX('Calculations'!$HN$13:$HN$512,MATCH(270,'Calculations'!$HI$13:$HI$512,0)))</x:f>
      </x:c>
      <x:c r="DB281" s="4" t="str">
        <x:f>IF(270&gt;MAX('Calculations'!$HH$13:$HH$512),"",INDEX('Calculations'!$HJ$13:$HJ$512,MATCH(270,'Calculations'!$HH$13:$HH$512,0)))</x:f>
      </x:c>
      <x:c r="DC281" s="4" t="str">
        <x:f>IF(ROW()-11&gt;MAX('Calculations'!$BY$13:$BY$512),"",INDEX('Calculations'!$BU$13:$BU$512,MATCH(ROW()-11,'Calculations'!$BY$13:$BY$512,0)))</x:f>
      </x:c>
      <x:c r="DD281" s="4" t="str">
        <x:f>IF(270&gt;MAX('Calculations'!$IK$13:$IK$512),"",INDEX('Calculations'!$HK$13:$HK$512,MATCH(270,'Calculations'!$IK$13:$IK$512,0)))</x:f>
      </x:c>
      <x:c r="DE281" s="4" t="str">
        <x:f>'Calculations'!DC281</x:f>
      </x:c>
      <x:c r="DF281" s="4" t="str">
        <x:f>IF('Calculations'!DE281="","",COUNTIFS('Calculations'!$BN$13:$BN$512,1,'Calculations'!$BU$13:$BU$512,'Calculations'!DE281))</x:f>
      </x:c>
      <x:c r="DG281" s="4" t="str">
        <x:f>IF('Calculations'!DE281="","",COUNTIFS('Calculations'!$BN$13:$BN$512,1,'Calculations'!$BU$13:$BU$512,'Calculations'!DE281,'Calculations'!$BT$13:$BT$512,1))</x:f>
      </x:c>
      <x:c r="DH281" s="4" t="str">
        <x:f>IF('Calculations'!DE281="","",'Calculations'!DF281-'Calculations'!DG281)</x:f>
      </x:c>
      <x:c r="DI281" s="4" t="str">
        <x:f>IF(OR('Calculations'!DE281="",'Calculations'!DF281=0),"",'Calculations'!DG281/'Calculations'!DF281)</x:f>
      </x:c>
      <x:c r="DJ281" s="4" t="str">
        <x:f>IF('Calculations'!DE281="","",COUNTIFS('Calculations'!$BN$13:$BN$512,1,'Calculations'!$BU$13:$BU$512,'Calculations'!DE281,'Calculations'!$BT$13:$BT$512,1,'Calculations'!$EE$13:$EE$512,"High"))</x:f>
      </x:c>
      <x:c r="DK281" s="4" t="str">
        <x:f>IF('Calculations'!DE281="","",COUNTIFS('Calculations'!$BN$13:$BN$512,1,'Calculations'!$BU$13:$BU$512,'Calculations'!DE281,'Calculations'!$BT$13:$BT$512,1,'Calculations'!$EE$13:$EE$512,"Strong"))</x:f>
      </x:c>
      <x:c r="DL281" s="4" t="str">
        <x:f>IF('Calculations'!DE281="","",COUNTIFS('Calculations'!$BN$13:$BN$512,1,'Calculations'!$BU$13:$BU$512,'Calculations'!DE281,'Calculations'!$BT$13:$BT$512,1,'Calculations'!$EE$13:$EE$512,"Solid"))</x:f>
      </x:c>
      <x:c r="DM281" s="4" t="str">
        <x:f>IF('Calculations'!DE281="","",COUNTIFS('Calculations'!$BN$13:$BN$512,1,'Calculations'!$BU$13:$BU$512,'Calculations'!DE281,'Calculations'!$BT$13:$BT$512,1,'Calculations'!$EE$13:$EE$512,"Low"))</x:f>
      </x:c>
      <x:c r="DN281" s="4" t="str">
        <x:f>IF('Calculations'!DE281="","",COUNTIFS('Calculations'!$BN$13:$BN$512,1,'Calculations'!$BU$13:$BU$512,'Calculations'!DE281,'Calculations'!$EP$13:$EP$512,1))</x:f>
      </x:c>
      <x:c r="DO281" s="4" t="str">
        <x:f>IF(OR('Calculations'!DE281="",'Calculations'!DG281=0),"",('Calculations'!DJ281+'Calculations'!DK281)/'Calculations'!DG281)</x:f>
      </x:c>
      <x:c r="DP281" s="4" t="n">
        <x:f>IF(AND('Calculations'!DE281&lt;&gt;"",'Calculations'!DF281&gt;0),COUNTIF('Calculations'!$DF$12:DF281,"&gt;0"),0)</x:f>
        <x:v>0</x:v>
      </x:c>
      <x:c r="DQ281" s="4" t="str">
        <x:f>IF(270&gt;MAX('Calculations'!$HH$13:$HH$512),"",INDEX('Calculations'!$HF$13:$HF$512,MATCH(270,'Calculations'!$HH$13:$HH$512,0)))</x:f>
      </x:c>
      <x:c r="DR281" s="4" t="str">
        <x:f>IF(270&gt;MAX('Calculations'!$IK$13:$IK$512),"",INDEX('Calculations'!$HE$13:$HE$512,MATCH(270,'Calculations'!$IK$13:$IK$512,0)))</x:f>
      </x:c>
      <x:c r="DS281" s="4"/>
      <x:c r="DT281" s="4"/>
      <x:c r="DU281" s="4"/>
      <x:c r="DV281" s="4"/>
      <x:c r="DW281" s="4"/>
      <x:c r="DX281" s="4"/>
      <x:c r="DY281" s="4"/>
      <x:c r="DZ281" s="4"/>
      <x:c r="EA281" s="4"/>
      <x:c r="EB281" s="4"/>
      <x:c r="EC281" s="4"/>
      <x:c r="ED281" s="4"/>
      <x:c r="EE281" s="4" t="str">
        <x:f>IF('Calculations'!BT281=0,"Not Rated",IF(OR('Calculations'!BO281&gt;=4,'Calculations'!BP281&gt;=4),"Low",IF('Calculations'!BO281+'Calculations'!BP281&lt;=3,"High",IF('Calculations'!BO281+'Calculations'!BP281&lt;=4,"Strong","Solid"))))</x:f>
        <x:v>Not Rated</x:v>
      </x:c>
      <x:c r="EF281" s="4"/>
      <x:c r="EG281" s="4"/>
      <x:c r="EH281" s="4"/>
      <x:c r="EI281" s="4"/>
      <x:c r="EJ281" s="4"/>
      <x:c r="EK281" s="4"/>
      <x:c r="EL281" s="4"/>
      <x:c r="EM281" s="4" t="str">
        <x:f>IF(269&gt;'Calculations'!$JB$2000,"",INDEX('Calculations'!$JA$12:$JA$2000,MATCH(269,'Calculations'!$JB$12:$JB$2000,0)))</x:f>
      </x:c>
      <x:c r="EN281" s="4" t="n">
        <x:f>IF(OR('Calculations'!EM281="",'Calculations'!$AG$8&gt;0,AND('Calculations'!$EF$2&lt;&gt;"All",'Calculations'!HE281='Calculations'!$EF$2),AND('Calculations'!$EF$3&lt;&gt;"All",'Calculations'!HE281='Calculations'!$EF$3)),0,IF(OR('Dashboard'!$B$7="All",'Calculations'!HN281='Dashboard'!$B$7),IF('Calculations'!$EF$2="All",1,IF('Calculations'!HL281&gt;0,0,IF(COUNTIF('Calculations'!HO281:II281,"="&amp;SUBSTITUTE(SUBSTITUTE(SUBSTITUTE('Calculations'!$EF$2,"~","~~"),"*","~*"),"?","~?"))=0,0,IF('Calculations'!$EF$3="All",1,IF(COUNTIF('Calculations'!HO281:II281,"="&amp;SUBSTITUTE(SUBSTITUTE(SUBSTITUTE('Calculations'!$EF$3,"~","~~"),"*","~*"),"?","~?"))&gt;0,1,0))))),0))</x:f>
        <x:v>0</x:v>
      </x:c>
      <x:c r="EO281" s="4" t="str">
        <x:f>IF('Calculations'!IJ281="","",IF('Calculations'!IJ281="!UNRESOLVED","Unresolved hierarchy",IFERROR(INDEX('Calculations'!$HK$13:$HK$512,MATCH('Calculations'!IJ281,'Calculations'!$HE$13:$HE$512,0)),IFERROR(INDEX('Calculations'!$HJ$13:$HJ$512,MATCH('Calculations'!IJ281,'Calculations'!$HF$13:$HF$512,0)),'Calculations'!IJ281))))</x:f>
      </x:c>
      <x:c r="EP281" s="4" t="n">
        <x:f>IF(AND('Calculations'!EM281&lt;&gt;"",'Calculations'!HF281='Calculations'!IJ281),1,0)</x:f>
        <x:v>0</x:v>
      </x:c>
      <x:c r="EQ281" s="4"/>
      <x:c r="ER281" s="4"/>
      <x:c r="ES281" s="4"/>
      <x:c r="ET281" s="4"/>
      <x:c r="EU281" s="4"/>
      <x:c r="EV281" s="4"/>
      <x:c r="EW281" s="4"/>
      <x:c r="EX281" s="4"/>
      <x:c r="EY281" s="4"/>
      <x:c r="EZ281" s="4"/>
      <x:c r="FA281" s="4"/>
      <x:c r="FB281" s="4"/>
      <x:c r="FC281" s="4"/>
      <x:c r="FD281" s="4"/>
      <x:c r="FE281" s="4"/>
      <x:c r="FF281" s="4"/>
      <x:c r="FG281" s="4"/>
      <x:c r="FH281" s="4"/>
      <x:c r="FI281" s="4"/>
      <x:c r="FJ281" s="4"/>
      <x:c r="FK281" s="4"/>
      <x:c r="FL281" s="4"/>
      <x:c r="FM281" s="4"/>
      <x:c r="FN281" s="4"/>
      <x:c r="FO281" s="4"/>
      <x:c r="HE281" t="str">
        <x:f>IF('Calculations'!EM281="","",IF(IFERROR(IF(INDEX(INDIRECT("'WCM Calibration Final'!$A$1:$A$2000"),'Calculations'!$EM281)="","",TRIM(INDEX(INDIRECT("'WCM Calibration Final'!$A$1:$A$2000"),'Calculations'!$EM281)&amp;"")),"")&lt;&gt;"","G:"&amp;IFERROR(TEXT(1*INDEX(INDIRECT("'WCM Calibration Final'!$A$1:$A$2000"),'Calculations'!$EM281),"0"),UPPER(IFERROR(IF(INDEX(INDIRECT("'WCM Calibration Final'!$A$1:$A$2000"),'Calculations'!$EM281)="","",TRIM(INDEX(INDIRECT("'WCM Calibration Final'!$A$1:$A$2000"),'Calculations'!$EM281)&amp;"")),""))),IF(IFERROR(IF(INDEX(INDIRECT("'WCM Calibration Final'!$C$1:$C$2000"),'Calculations'!$EM281)="","",TRIM(INDEX(INDIRECT("'WCM Calibration Final'!$C$1:$C$2000"),'Calculations'!$EM281)&amp;"")),"")&lt;&gt;"","S:"&amp;UPPER(IFERROR(IF(INDEX(INDIRECT("'WCM Calibration Final'!$C$1:$C$2000"),'Calculations'!$EM281)="","",TRIM(INDEX(INDIRECT("'WCM Calibration Final'!$C$1:$C$2000"),'Calculations'!$EM281)&amp;"")),"")),"R:"&amp;'Calculations'!EM281)))</x:f>
      </x:c>
      <x:c r="HF281" t="str">
        <x:f>IF('Calculations'!EM281="","",IF(IFERROR(IF(INDEX(INDIRECT("'WCM Calibration Final'!$D$1:$D$2000"),'Calculations'!$EM281)="","",TRIM(INDEX(INDIRECT("'WCM Calibration Final'!$D$1:$D$2000"),'Calculations'!$EM281)&amp;"")),"")&lt;&gt;"","G:"&amp;IFERROR(TEXT(1*INDEX(INDIRECT("'WCM Calibration Final'!$D$1:$D$2000"),'Calculations'!$EM281),"0"),UPPER(IFERROR(IF(INDEX(INDIRECT("'WCM Calibration Final'!$D$1:$D$2000"),'Calculations'!$EM281)="","",TRIM(INDEX(INDIRECT("'WCM Calibration Final'!$D$1:$D$2000"),'Calculations'!$EM281)&amp;"")),""))),IF(IFERROR(IF(INDEX(INDIRECT("'WCM Calibration Final'!$E$1:$E$2000"),'Calculations'!$EM281)="","",TRIM(INDEX(INDIRECT("'WCM Calibration Final'!$E$1:$E$2000"),'Calculations'!$EM281)&amp;"")),"")="","",IF(COUNTIF('Calculations'!$HG$13:$HG$512,"="&amp;SUBSTITUTE(SUBSTITUTE(SUBSTITUTE(IFERROR(IF(INDEX(INDIRECT("'WCM Calibration Final'!$E$1:$E$2000"),'Calculations'!$EM281)="","",TRIM(INDEX(INDIRECT("'WCM Calibration Final'!$E$1:$E$2000"),'Calculations'!$EM281)&amp;"")),""),"~","~~"),"*","~*"),"?","~?"))=1,INDEX('Calculations'!$HE$13:$HE$512,MATCH(IFERROR(IF(INDEX(INDIRECT("'WCM Calibration Final'!$E$1:$E$2000"),'Calculations'!$EM281)="","",TRIM(INDEX(INDIRECT("'WCM Calibration Final'!$E$1:$E$2000"),'Calculations'!$EM281)&amp;"")),""),'Calculations'!$HG$13:$HG$512,0)),IF(COUNTIF('Calculations'!$HG$13:$HG$512,"="&amp;SUBSTITUTE(SUBSTITUTE(SUBSTITUTE(IFERROR(IF(INDEX(INDIRECT("'WCM Calibration Final'!$E$1:$E$2000"),'Calculations'!$EM281)="","",TRIM(INDEX(INDIRECT("'WCM Calibration Final'!$E$1:$E$2000"),'Calculations'!$EM281)&amp;"")),""),"~","~~"),"*","~*"),"?","~?"))&gt;1,"!AMBIG","X:"&amp;IFERROR(IF(INDEX(INDIRECT("'WCM Calibration Final'!$E$1:$E$2000"),'Calculations'!$EM281)="","",TRIM(INDEX(INDIRECT("'WCM Calibration Final'!$E$1:$E$2000"),'Calculations'!$EM281)&amp;"")),""))))))</x:f>
      </x:c>
      <x:c r="HG281" t="str">
        <x:f>IF('Calculations'!EM281="","",IFERROR(IF(INDEX(INDIRECT("'WCM Calibration Final'!$B$1:$B$2000"),'Calculations'!$EM281)="","",TRIM(INDEX(INDIRECT("'WCM Calibration Final'!$B$1:$B$2000"),'Calculations'!$EM281)&amp;"")),""))</x:f>
      </x:c>
      <x:c r="HH281" t="n">
        <x:f>IF(AND('Calculations'!JC281&gt;0,COUNTIF('Calculations'!$HF$12:HF281,"="&amp;SUBSTITUTE(SUBSTITUTE(SUBSTITUTE('Calculations'!HF281,"~","~~"),"*","~*"),"?","~?"))=1),MAX('Calculations'!$HH$12:HH280)+1,0)</x:f>
        <x:v>0</x:v>
      </x:c>
      <x:c r="HI281" t="n">
        <x:f>IF(AND('Calculations'!HN281&lt;&gt;"",COUNTIF('Calculations'!$HN$12:HN281,"="&amp;SUBSTITUTE(SUBSTITUTE(SUBSTITUTE('Calculations'!HN281,"~","~~"),"*","~*"),"?","~?"))=1),MAX('Calculations'!$HI$12:HI280)+1,0)</x:f>
        <x:v>0</x:v>
      </x:c>
      <x:c r="HJ281" t="str">
        <x:f>IF('Calculations'!HF281="","",IF(COUNTIF('Calculations'!$HE$13:$HE$512,"="&amp;SUBSTITUTE(SUBSTITUTE(SUBSTITUTE('Calculations'!HF281,"~","~~"),"*","~*"),"?","~?"))=1,INDEX('Calculations'!$HK$13:$HK$512,MATCH('Calculations'!HF281,'Calculations'!$HE$13:$HE$512,0)),IFERROR(IF(INDEX(INDIRECT("'WCM Calibration Final'!$E$1:$E$2000"),'Calculations'!$EM281)="","",TRIM(INDEX(INDIRECT("'WCM Calibration Final'!$E$1:$E$2000"),'Calculations'!$EM281)&amp;"")),"")&amp;" ["&amp;'Calculations'!HF281&amp;"]"))</x:f>
      </x:c>
      <x:c r="HK281" t="str">
        <x:f>IF('Calculations'!EM281="","",'Calculations'!HG281&amp;" ["&amp;'Calculations'!HE281&amp;"]")</x:f>
      </x:c>
      <x:c r="HL281" t="n">
        <x:f>IF('Calculations'!EM281="",0,IF(OR('Calculations'!II281&lt;&gt;"",COUNTIF('Calculations'!$HE$13:$HE$512,"="&amp;SUBSTITUTE(SUBSTITUTE(SUBSTITUTE('Calculations'!HE281,"~","~~"),"*","~*"),"?","~?"))&gt;1),1,0))</x:f>
        <x:v>0</x:v>
      </x:c>
      <x:c r="HM281" t="str">
        <x:f>IF('Calculations'!EM281="","",IF('Calculations'!HL281=1,"!UNRESOLVED",IF('Calculations'!IH281&lt;&gt;"",'Calculations'!IH281,IF('Calculations'!IG281&lt;&gt;"",'Calculations'!IG281,IF('Calculations'!IF281&lt;&gt;"",'Calculations'!IF281,IF('Calculations'!IE281&lt;&gt;"",'Calculations'!IE281,IF('Calculations'!ID281&lt;&gt;"",'Calculations'!ID281,IF('Calculations'!IC281&lt;&gt;"",'Calculations'!IC281,IF('Calculations'!IB281&lt;&gt;"",'Calculations'!IB281,IF('Calculations'!IA281&lt;&gt;"",'Calculations'!IA281,IF('Calculations'!HZ281&lt;&gt;"",'Calculations'!HZ281,IF('Calculations'!HY281&lt;&gt;"",'Calculations'!HY281,IF('Calculations'!HX281&lt;&gt;"",'Calculations'!HX281,IF('Calculations'!HW281&lt;&gt;"",'Calculations'!HW281,IF('Calculations'!HV281&lt;&gt;"",'Calculations'!HV281,IF('Calculations'!HU281&lt;&gt;"",'Calculations'!HU281,IF('Calculations'!HT281&lt;&gt;"",'Calculations'!HT281,IF('Calculations'!HS281&lt;&gt;"",'Calculations'!HS281,IF('Calculations'!HR281&lt;&gt;"",'Calculations'!HR281,IF('Calculations'!HQ281&lt;&gt;"",'Calculations'!HQ281,IF('Calculations'!HP281&lt;&gt;"",'Calculations'!HP281,IF('Calculations'!HO281&lt;&gt;"",'Calculations'!HO281,'Calculations'!HE281))))))))))))))))))))))</x:f>
      </x:c>
      <x:c r="HN281" t="str">
        <x:f>IF('Calculations'!EM281="","",IF(IFERROR(IF(INDEX(INDIRECT("'WCM Calibration Final'!$F$1:$F$2000"),'Calculations'!$EM281)="","",TRIM(INDEX(INDIRECT("'WCM Calibration Final'!$F$1:$F$2000"),'Calculations'!$EM281)&amp;"")),"")="","(Blank)",IFERROR(IF(INDEX(INDIRECT("'WCM Calibration Final'!$F$1:$F$2000"),'Calculations'!$EM281)="","",TRIM(INDEX(INDIRECT("'WCM Calibration Final'!$F$1:$F$2000"),'Calculations'!$EM281)&amp;"")),"")))</x:f>
      </x:c>
      <x:c r="HO281" t="str">
        <x:f>'Calculations'!HF281</x:f>
      </x:c>
      <x:c r="HP281" t="str">
        <x:f>IF('Calculations'!HO281="","",IF('Calculations'!HO281="!AMBIG","!AMBIG",IF(COUNTIF('Calculations'!$HE$13:$HE$512,"="&amp;SUBSTITUTE(SUBSTITUTE(SUBSTITUTE('Calculations'!HO281,"~","~~"),"*","~*"),"?","~?"))&gt;1,"!AMBIG",IFERROR(INDEX('Calculations'!$HF$13:$HF$512,MATCH('Calculations'!HO281,'Calculations'!$HE$13:$HE$512,0)),""))))</x:f>
      </x:c>
      <x:c r="HQ281" t="str">
        <x:f>IF('Calculations'!HP281="","",IF('Calculations'!HP281="!AMBIG","!AMBIG",IF(COUNTIF('Calculations'!$HE$13:$HE$512,"="&amp;SUBSTITUTE(SUBSTITUTE(SUBSTITUTE('Calculations'!HP281,"~","~~"),"*","~*"),"?","~?"))&gt;1,"!AMBIG",IFERROR(INDEX('Calculations'!$HF$13:$HF$512,MATCH('Calculations'!HP281,'Calculations'!$HE$13:$HE$512,0)),""))))</x:f>
      </x:c>
      <x:c r="HR281" t="str">
        <x:f>IF('Calculations'!HQ281="","",IF('Calculations'!HQ281="!AMBIG","!AMBIG",IF(COUNTIF('Calculations'!$HE$13:$HE$512,"="&amp;SUBSTITUTE(SUBSTITUTE(SUBSTITUTE('Calculations'!HQ281,"~","~~"),"*","~*"),"?","~?"))&gt;1,"!AMBIG",IFERROR(INDEX('Calculations'!$HF$13:$HF$512,MATCH('Calculations'!HQ281,'Calculations'!$HE$13:$HE$512,0)),""))))</x:f>
      </x:c>
      <x:c r="HS281" t="str">
        <x:f>IF('Calculations'!HR281="","",IF('Calculations'!HR281="!AMBIG","!AMBIG",IF(COUNTIF('Calculations'!$HE$13:$HE$512,"="&amp;SUBSTITUTE(SUBSTITUTE(SUBSTITUTE('Calculations'!HR281,"~","~~"),"*","~*"),"?","~?"))&gt;1,"!AMBIG",IFERROR(INDEX('Calculations'!$HF$13:$HF$512,MATCH('Calculations'!HR281,'Calculations'!$HE$13:$HE$512,0)),""))))</x:f>
      </x:c>
      <x:c r="HT281" t="str">
        <x:f>IF('Calculations'!HS281="","",IF('Calculations'!HS281="!AMBIG","!AMBIG",IF(COUNTIF('Calculations'!$HE$13:$HE$512,"="&amp;SUBSTITUTE(SUBSTITUTE(SUBSTITUTE('Calculations'!HS281,"~","~~"),"*","~*"),"?","~?"))&gt;1,"!AMBIG",IFERROR(INDEX('Calculations'!$HF$13:$HF$512,MATCH('Calculations'!HS281,'Calculations'!$HE$13:$HE$512,0)),""))))</x:f>
      </x:c>
      <x:c r="HU281" t="str">
        <x:f>IF('Calculations'!HT281="","",IF('Calculations'!HT281="!AMBIG","!AMBIG",IF(COUNTIF('Calculations'!$HE$13:$HE$512,"="&amp;SUBSTITUTE(SUBSTITUTE(SUBSTITUTE('Calculations'!HT281,"~","~~"),"*","~*"),"?","~?"))&gt;1,"!AMBIG",IFERROR(INDEX('Calculations'!$HF$13:$HF$512,MATCH('Calculations'!HT281,'Calculations'!$HE$13:$HE$512,0)),""))))</x:f>
      </x:c>
      <x:c r="HV281" t="str">
        <x:f>IF('Calculations'!HU281="","",IF('Calculations'!HU281="!AMBIG","!AMBIG",IF(COUNTIF('Calculations'!$HE$13:$HE$512,"="&amp;SUBSTITUTE(SUBSTITUTE(SUBSTITUTE('Calculations'!HU281,"~","~~"),"*","~*"),"?","~?"))&gt;1,"!AMBIG",IFERROR(INDEX('Calculations'!$HF$13:$HF$512,MATCH('Calculations'!HU281,'Calculations'!$HE$13:$HE$512,0)),""))))</x:f>
      </x:c>
      <x:c r="HW281" t="str">
        <x:f>IF('Calculations'!HV281="","",IF('Calculations'!HV281="!AMBIG","!AMBIG",IF(COUNTIF('Calculations'!$HE$13:$HE$512,"="&amp;SUBSTITUTE(SUBSTITUTE(SUBSTITUTE('Calculations'!HV281,"~","~~"),"*","~*"),"?","~?"))&gt;1,"!AMBIG",IFERROR(INDEX('Calculations'!$HF$13:$HF$512,MATCH('Calculations'!HV281,'Calculations'!$HE$13:$HE$512,0)),""))))</x:f>
      </x:c>
      <x:c r="HX281" t="str">
        <x:f>IF('Calculations'!HW281="","",IF('Calculations'!HW281="!AMBIG","!AMBIG",IF(COUNTIF('Calculations'!$HE$13:$HE$512,"="&amp;SUBSTITUTE(SUBSTITUTE(SUBSTITUTE('Calculations'!HW281,"~","~~"),"*","~*"),"?","~?"))&gt;1,"!AMBIG",IFERROR(INDEX('Calculations'!$HF$13:$HF$512,MATCH('Calculations'!HW281,'Calculations'!$HE$13:$HE$512,0)),""))))</x:f>
      </x:c>
      <x:c r="HY281" t="str">
        <x:f>IF('Calculations'!HX281="","",IF('Calculations'!HX281="!AMBIG","!AMBIG",IF(COUNTIF('Calculations'!$HE$13:$HE$512,"="&amp;SUBSTITUTE(SUBSTITUTE(SUBSTITUTE('Calculations'!HX281,"~","~~"),"*","~*"),"?","~?"))&gt;1,"!AMBIG",IFERROR(INDEX('Calculations'!$HF$13:$HF$512,MATCH('Calculations'!HX281,'Calculations'!$HE$13:$HE$512,0)),""))))</x:f>
      </x:c>
      <x:c r="HZ281" t="str">
        <x:f>IF('Calculations'!HY281="","",IF('Calculations'!HY281="!AMBIG","!AMBIG",IF(COUNTIF('Calculations'!$HE$13:$HE$512,"="&amp;SUBSTITUTE(SUBSTITUTE(SUBSTITUTE('Calculations'!HY281,"~","~~"),"*","~*"),"?","~?"))&gt;1,"!AMBIG",IFERROR(INDEX('Calculations'!$HF$13:$HF$512,MATCH('Calculations'!HY281,'Calculations'!$HE$13:$HE$512,0)),""))))</x:f>
      </x:c>
      <x:c r="IA281" t="str">
        <x:f>IF('Calculations'!HZ281="","",IF('Calculations'!HZ281="!AMBIG","!AMBIG",IF(COUNTIF('Calculations'!$HE$13:$HE$512,"="&amp;SUBSTITUTE(SUBSTITUTE(SUBSTITUTE('Calculations'!HZ281,"~","~~"),"*","~*"),"?","~?"))&gt;1,"!AMBIG",IFERROR(INDEX('Calculations'!$HF$13:$HF$512,MATCH('Calculations'!HZ281,'Calculations'!$HE$13:$HE$512,0)),""))))</x:f>
      </x:c>
      <x:c r="IB281" t="str">
        <x:f>IF('Calculations'!IA281="","",IF('Calculations'!IA281="!AMBIG","!AMBIG",IF(COUNTIF('Calculations'!$HE$13:$HE$512,"="&amp;SUBSTITUTE(SUBSTITUTE(SUBSTITUTE('Calculations'!IA281,"~","~~"),"*","~*"),"?","~?"))&gt;1,"!AMBIG",IFERROR(INDEX('Calculations'!$HF$13:$HF$512,MATCH('Calculations'!IA281,'Calculations'!$HE$13:$HE$512,0)),""))))</x:f>
      </x:c>
      <x:c r="IC281" t="str">
        <x:f>IF('Calculations'!IB281="","",IF('Calculations'!IB281="!AMBIG","!AMBIG",IF(COUNTIF('Calculations'!$HE$13:$HE$512,"="&amp;SUBSTITUTE(SUBSTITUTE(SUBSTITUTE('Calculations'!IB281,"~","~~"),"*","~*"),"?","~?"))&gt;1,"!AMBIG",IFERROR(INDEX('Calculations'!$HF$13:$HF$512,MATCH('Calculations'!IB281,'Calculations'!$HE$13:$HE$512,0)),""))))</x:f>
      </x:c>
      <x:c r="ID281" t="str">
        <x:f>IF('Calculations'!IC281="","",IF('Calculations'!IC281="!AMBIG","!AMBIG",IF(COUNTIF('Calculations'!$HE$13:$HE$512,"="&amp;SUBSTITUTE(SUBSTITUTE(SUBSTITUTE('Calculations'!IC281,"~","~~"),"*","~*"),"?","~?"))&gt;1,"!AMBIG",IFERROR(INDEX('Calculations'!$HF$13:$HF$512,MATCH('Calculations'!IC281,'Calculations'!$HE$13:$HE$512,0)),""))))</x:f>
      </x:c>
      <x:c r="IE281" t="str">
        <x:f>IF('Calculations'!ID281="","",IF('Calculations'!ID281="!AMBIG","!AMBIG",IF(COUNTIF('Calculations'!$HE$13:$HE$512,"="&amp;SUBSTITUTE(SUBSTITUTE(SUBSTITUTE('Calculations'!ID281,"~","~~"),"*","~*"),"?","~?"))&gt;1,"!AMBIG",IFERROR(INDEX('Calculations'!$HF$13:$HF$512,MATCH('Calculations'!ID281,'Calculations'!$HE$13:$HE$512,0)),""))))</x:f>
      </x:c>
      <x:c r="IF281" t="str">
        <x:f>IF('Calculations'!IE281="","",IF('Calculations'!IE281="!AMBIG","!AMBIG",IF(COUNTIF('Calculations'!$HE$13:$HE$512,"="&amp;SUBSTITUTE(SUBSTITUTE(SUBSTITUTE('Calculations'!IE281,"~","~~"),"*","~*"),"?","~?"))&gt;1,"!AMBIG",IFERROR(INDEX('Calculations'!$HF$13:$HF$512,MATCH('Calculations'!IE281,'Calculations'!$HE$13:$HE$512,0)),""))))</x:f>
      </x:c>
      <x:c r="IG281" t="str">
        <x:f>IF('Calculations'!IF281="","",IF('Calculations'!IF281="!AMBIG","!AMBIG",IF(COUNTIF('Calculations'!$HE$13:$HE$512,"="&amp;SUBSTITUTE(SUBSTITUTE(SUBSTITUTE('Calculations'!IF281,"~","~~"),"*","~*"),"?","~?"))&gt;1,"!AMBIG",IFERROR(INDEX('Calculations'!$HF$13:$HF$512,MATCH('Calculations'!IF281,'Calculations'!$HE$13:$HE$512,0)),""))))</x:f>
      </x:c>
      <x:c r="IH281" t="str">
        <x:f>IF('Calculations'!IG281="","",IF('Calculations'!IG281="!AMBIG","!AMBIG",IF(COUNTIF('Calculations'!$HE$13:$HE$512,"="&amp;SUBSTITUTE(SUBSTITUTE(SUBSTITUTE('Calculations'!IG281,"~","~~"),"*","~*"),"?","~?"))&gt;1,"!AMBIG",IFERROR(INDEX('Calculations'!$HF$13:$HF$512,MATCH('Calculations'!IG281,'Calculations'!$HE$13:$HE$512,0)),""))))</x:f>
      </x:c>
      <x:c r="II281" t="str">
        <x:f>IF('Calculations'!IH281="","",IF('Calculations'!IH281="!AMBIG","!AMBIG",IF(COUNTIF('Calculations'!$HE$13:$HE$512,"="&amp;SUBSTITUTE(SUBSTITUTE(SUBSTITUTE('Calculations'!IH281,"~","~~"),"*","~*"),"?","~?"))&gt;1,"!AMBIG",IFERROR(INDEX('Calculations'!$HF$13:$HF$512,MATCH('Calculations'!IH281,'Calculations'!$HE$13:$HE$512,0)),""))))</x:f>
      </x:c>
      <x:c r="IJ281" t="str">
        <x:f>IF('Calculations'!EM281="","",IF('Calculations'!$EF$2="All",'Calculations'!HM281,IF('Calculations'!HL281=1,"",IFERROR(IF(MATCH('Calculations'!$EF$2,'Calculations'!HO281:II281,0)=1,'Calculations'!HE281,INDEX('Calculations'!HO281:II281,1,MATCH('Calculations'!$EF$2,'Calculations'!HO281:II281,0)-1)),""))))</x:f>
      </x:c>
      <x:c r="IK281" t="n">
        <x:f>IF(AND('Calculations'!EM281&lt;&gt;"",'Calculations'!$EF$2&lt;&gt;"All",'Calculations'!HF281='Calculations'!$EF$2,'Calculations'!HL281=0,'Calculations'!JD281&gt;0),MAX('Calculations'!$IK$12:IK280)+1,0)</x:f>
        <x:v>0</x:v>
      </x:c>
      <x:c r="JA281" t="n">
        <x:f>IF(OR(IFERROR(INDIRECT("'WCM Calibration Final'!$A$281")&lt;&gt;"",FALSE),IFERROR(INDIRECT("'WCM Calibration Final'!$B$281")&lt;&gt;"",FALSE),IFERROR(INDIRECT("'WCM Calibration Final'!$C$281")&lt;&gt;"",FALSE)),281,0)</x:f>
        <x:v>0</x:v>
      </x:c>
      <x:c r="JB281" t="n">
        <x:f>'Calculations'!JB280+IF('Calculations'!JA281&gt;0,1,0)</x:f>
        <x:v>0</x:v>
      </x:c>
      <x:c r="JC281" t="n">
        <x:f>IF(OR('Calculations'!HF281="",'Calculations'!HF281="!AMBIG"),0,IF('Dashboard'!$B$7="All",1,COUNTIFS('Calculations'!$HO$13:$HO$512,"="&amp;SUBSTITUTE(SUBSTITUTE(SUBSTITUTE('Calculations'!HF281,"~","~~"),"*","~*"),"?","~?"),'Calculations'!$HN$13:$HN$512,"="&amp;SUBSTITUTE(SUBSTITUTE(SUBSTITUTE('Dashboard'!$B$7,"~","~~"),"*","~*"),"?","~?"))+COUNTIFS('Calculations'!$HP$13:$HP$512,"="&amp;SUBSTITUTE(SUBSTITUTE(SUBSTITUTE('Calculations'!HF281,"~","~~"),"*","~*"),"?","~?"),'Calculations'!$HN$13:$HN$512,"="&amp;SUBSTITUTE(SUBSTITUTE(SUBSTITUTE('Dashboard'!$B$7,"~","~~"),"*","~*"),"?","~?"))+COUNTIFS('Calculations'!$HQ$13:$HQ$512,"="&amp;SUBSTITUTE(SUBSTITUTE(SUBSTITUTE('Calculations'!HF281,"~","~~"),"*","~*"),"?","~?"),'Calculations'!$HN$13:$HN$512,"="&amp;SUBSTITUTE(SUBSTITUTE(SUBSTITUTE('Dashboard'!$B$7,"~","~~"),"*","~*"),"?","~?"))+COUNTIFS('Calculations'!$HR$13:$HR$512,"="&amp;SUBSTITUTE(SUBSTITUTE(SUBSTITUTE('Calculations'!HF281,"~","~~"),"*","~*"),"?","~?"),'Calculations'!$HN$13:$HN$512,"="&amp;SUBSTITUTE(SUBSTITUTE(SUBSTITUTE('Dashboard'!$B$7,"~","~~"),"*","~*"),"?","~?"))+COUNTIFS('Calculations'!$HS$13:$HS$512,"="&amp;SUBSTITUTE(SUBSTITUTE(SUBSTITUTE('Calculations'!HF281,"~","~~"),"*","~*"),"?","~?"),'Calculations'!$HN$13:$HN$512,"="&amp;SUBSTITUTE(SUBSTITUTE(SUBSTITUTE('Dashboard'!$B$7,"~","~~"),"*","~*"),"?","~?"))+COUNTIFS('Calculations'!$HT$13:$HT$512,"="&amp;SUBSTITUTE(SUBSTITUTE(SUBSTITUTE('Calculations'!HF281,"~","~~"),"*","~*"),"?","~?"),'Calculations'!$HN$13:$HN$512,"="&amp;SUBSTITUTE(SUBSTITUTE(SUBSTITUTE('Dashboard'!$B$7,"~","~~"),"*","~*"),"?","~?"))+COUNTIFS('Calculations'!$HU$13:$HU$512,"="&amp;SUBSTITUTE(SUBSTITUTE(SUBSTITUTE('Calculations'!HF281,"~","~~"),"*","~*"),"?","~?"),'Calculations'!$HN$13:$HN$512,"="&amp;SUBSTITUTE(SUBSTITUTE(SUBSTITUTE('Dashboard'!$B$7,"~","~~"),"*","~*"),"?","~?"))+COUNTIFS('Calculations'!$HV$13:$HV$512,"="&amp;SUBSTITUTE(SUBSTITUTE(SUBSTITUTE('Calculations'!HF281,"~","~~"),"*","~*"),"?","~?"),'Calculations'!$HN$13:$HN$512,"="&amp;SUBSTITUTE(SUBSTITUTE(SUBSTITUTE('Dashboard'!$B$7,"~","~~"),"*","~*"),"?","~?"))+COUNTIFS('Calculations'!$HW$13:$HW$512,"="&amp;SUBSTITUTE(SUBSTITUTE(SUBSTITUTE('Calculations'!HF281,"~","~~"),"*","~*"),"?","~?"),'Calculations'!$HN$13:$HN$512,"="&amp;SUBSTITUTE(SUBSTITUTE(SUBSTITUTE('Dashboard'!$B$7,"~","~~"),"*","~*"),"?","~?"))+COUNTIFS('Calculations'!$HX$13:$HX$512,"="&amp;SUBSTITUTE(SUBSTITUTE(SUBSTITUTE('Calculations'!HF281,"~","~~"),"*","~*"),"?","~?"),'Calculations'!$HN$13:$HN$512,"="&amp;SUBSTITUTE(SUBSTITUTE(SUBSTITUTE('Dashboard'!$B$7,"~","~~"),"*","~*"),"?","~?"))+COUNTIFS('Calculations'!$HY$13:$HY$512,"="&amp;SUBSTITUTE(SUBSTITUTE(SUBSTITUTE('Calculations'!HF281,"~","~~"),"*","~*"),"?","~?"),'Calculations'!$HN$13:$HN$512,"="&amp;SUBSTITUTE(SUBSTITUTE(SUBSTITUTE('Dashboard'!$B$7,"~","~~"),"*","~*"),"?","~?"))+COUNTIFS('Calculations'!$HZ$13:$HZ$512,"="&amp;SUBSTITUTE(SUBSTITUTE(SUBSTITUTE('Calculations'!HF281,"~","~~"),"*","~*"),"?","~?"),'Calculations'!$HN$13:$HN$512,"="&amp;SUBSTITUTE(SUBSTITUTE(SUBSTITUTE('Dashboard'!$B$7,"~","~~"),"*","~*"),"?","~?"))+COUNTIFS('Calculations'!$IA$13:$IA$512,"="&amp;SUBSTITUTE(SUBSTITUTE(SUBSTITUTE('Calculations'!HF281,"~","~~"),"*","~*"),"?","~?"),'Calculations'!$HN$13:$HN$512,"="&amp;SUBSTITUTE(SUBSTITUTE(SUBSTITUTE('Dashboard'!$B$7,"~","~~"),"*","~*"),"?","~?"))+COUNTIFS('Calculations'!$IB$13:$IB$512,"="&amp;SUBSTITUTE(SUBSTITUTE(SUBSTITUTE('Calculations'!HF281,"~","~~"),"*","~*"),"?","~?"),'Calculations'!$HN$13:$HN$512,"="&amp;SUBSTITUTE(SUBSTITUTE(SUBSTITUTE('Dashboard'!$B$7,"~","~~"),"*","~*"),"?","~?"))+COUNTIFS('Calculations'!$IC$13:$IC$512,"="&amp;SUBSTITUTE(SUBSTITUTE(SUBSTITUTE('Calculations'!HF281,"~","~~"),"*","~*"),"?","~?"),'Calculations'!$HN$13:$HN$512,"="&amp;SUBSTITUTE(SUBSTITUTE(SUBSTITUTE('Dashboard'!$B$7,"~","~~"),"*","~*"),"?","~?"))+COUNTIFS('Calculations'!$ID$13:$ID$512,"="&amp;SUBSTITUTE(SUBSTITUTE(SUBSTITUTE('Calculations'!HF281,"~","~~"),"*","~*"),"?","~?"),'Calculations'!$HN$13:$HN$512,"="&amp;SUBSTITUTE(SUBSTITUTE(SUBSTITUTE('Dashboard'!$B$7,"~","~~"),"*","~*"),"?","~?"))+COUNTIFS('Calculations'!$IE$13:$IE$512,"="&amp;SUBSTITUTE(SUBSTITUTE(SUBSTITUTE('Calculations'!HF281,"~","~~"),"*","~*"),"?","~?"),'Calculations'!$HN$13:$HN$512,"="&amp;SUBSTITUTE(SUBSTITUTE(SUBSTITUTE('Dashboard'!$B$7,"~","~~"),"*","~*"),"?","~?"))+COUNTIFS('Calculations'!$IF$13:$IF$512,"="&amp;SUBSTITUTE(SUBSTITUTE(SUBSTITUTE('Calculations'!HF281,"~","~~"),"*","~*"),"?","~?"),'Calculations'!$HN$13:$HN$512,"="&amp;SUBSTITUTE(SUBSTITUTE(SUBSTITUTE('Dashboard'!$B$7,"~","~~"),"*","~*"),"?","~?"))+COUNTIFS('Calculations'!$IG$13:$IG$512,"="&amp;SUBSTITUTE(SUBSTITUTE(SUBSTITUTE('Calculations'!HF281,"~","~~"),"*","~*"),"?","~?"),'Calculations'!$HN$13:$HN$512,"="&amp;SUBSTITUTE(SUBSTITUTE(SUBSTITUTE('Dashboard'!$B$7,"~","~~"),"*","~*"),"?","~?"))+COUNTIFS('Calculations'!$IH$13:$IH$512,"="&amp;SUBSTITUTE(SUBSTITUTE(SUBSTITUTE('Calculations'!HF281,"~","~~"),"*","~*"),"?","~?"),'Calculations'!$HN$13:$HN$512,"="&amp;SUBSTITUTE(SUBSTITUTE(SUBSTITUTE('Dashboard'!$B$7,"~","~~"),"*","~*"),"?","~?"))))</x:f>
        <x:v>0</x:v>
      </x:c>
      <x:c r="JD281" t="n">
        <x:f>IF('Calculations'!EM281="",0,IF('Dashboard'!$B$7="All",1,IF('Calculations'!HN281='Dashboard'!$B$7,1,0)+IFERROR(INDEX('Calculations'!$JC$13:$JC$512,MATCH('Calculations'!HE281,'Calculations'!$HF$13:$HF$512,0)),0)))</x:f>
        <x:v>0</x:v>
      </x:c>
      <x:c r="JE281" t="n">
        <x:f>IF(AND('Calculations'!EM281&lt;&gt;"",'Calculations'!$JJ$2&lt;&gt;"All",'Calculations'!$JJ$2&lt;&gt;"",'Calculations'!HF281='Calculations'!$JJ$2,'Calculations'!HL281=0,'Calculations'!JD281&gt;0),MAX('Calculations'!$JE$12:JE280)+1,0)</x:f>
        <x:v>0</x:v>
      </x:c>
      <x:c r="JF281" t="str">
        <x:f>IF('Calculations'!EM281="","",IFERROR(IF(INDEX(INDIRECT("'WCM Calibration Final'!$G$1:$G$2000"),'Calculations'!$EM281)="","",TRIM(INDEX(INDIRECT("'WCM Calibration Final'!$G$1:$G$2000"),'Calculations'!$EM281)&amp;"")),""))</x:f>
      </x:c>
      <x:c r="JQ281" t="n">
        <x:f>IF(OR('Calculations'!BM281=0,NOT('Calculations'!$AG$2),'Calculations'!$AG$8&gt;0),0,IF(OR('Dashboard'!$B$7="All",'Calculations'!HN281='Dashboard'!$B$7),IF('Calculations'!$JJ$2="All",1,IF(AND('Calculations'!HF281='Calculations'!$JJ$2,'Calculations'!HL281=0),1,0)),0))</x:f>
        <x:v>0</x:v>
      </x:c>
    </x:row>
    <x:row r="282">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t="n">
        <x:f>IF('Calculations'!$EM282="",0,IF(OR(IFERROR(INDEX(INDIRECT("'WCM Calibration Final'!$A$1:$A$2000"),'Calculations'!$EM282)&lt;&gt;"",FALSE),IFERROR(INDEX(INDIRECT("'WCM Calibration Final'!$B$1:$B$2000"),'Calculations'!$EM282)&lt;&gt;"",FALSE),IFERROR(INDEX(INDIRECT("'WCM Calibration Final'!$C$1:$C$2000"),'Calculations'!$EM282)&lt;&gt;"",FALSE)),1,0))</x:f>
        <x:v>0</x:v>
      </x:c>
      <x:c r="BN282" s="4" t="n">
        <x:f>IF(AND('Calculations'!BM282=1,'Calculations'!$AG$2,'Calculations'!$EN282=1),1,0)</x:f>
        <x:v>0</x:v>
      </x:c>
      <x:c r="BO282" s="4" t="str">
        <x:f>IF('Calculations'!BM282=0,"",IFERROR(IF(AND(VALUE(INDEX(INDIRECT("'WCM Calibration Final'!$K$1:$K$2000"),'Calculations'!$EM282))&gt;=1,VALUE(INDEX(INDIRECT("'WCM Calibration Final'!$K$1:$K$2000"),'Calculations'!$EM282))&lt;=4,MOD(VALUE(INDEX(INDIRECT("'WCM Calibration Final'!$K$1:$K$2000"),'Calculations'!$EM282)),1)=0),VALUE(INDEX(INDIRECT("'WCM Calibration Final'!$K$1:$K$2000"),'Calculations'!$EM282)),""),""))</x:f>
      </x:c>
      <x:c r="BP282" s="4" t="str">
        <x:f>IF('Calculations'!BM282=0,"",IFERROR(IF(AND(VALUE(INDEX(INDIRECT("'WCM Calibration Final'!$L$1:$L$2000"),'Calculations'!$EM282))&gt;=1,VALUE(INDEX(INDIRECT("'WCM Calibration Final'!$L$1:$L$2000"),'Calculations'!$EM282))&lt;=4,MOD(VALUE(INDEX(INDIRECT("'WCM Calibration Final'!$L$1:$L$2000"),'Calculations'!$EM282)),1)=0),VALUE(INDEX(INDIRECT("'WCM Calibration Final'!$L$1:$L$2000"),'Calculations'!$EM282)),""),""))</x:f>
      </x:c>
      <x:c r="BQ282" s="4"/>
      <x:c r="BR282" s="4"/>
      <x:c r="BS282" s="4"/>
      <x:c r="BT282" s="4" t="n">
        <x:f>IF(AND('Calculations'!BM282=1,ISNUMBER('Calculations'!BO282),ISNUMBER('Calculations'!BP282)),1,0)</x:f>
        <x:v>0</x:v>
      </x:c>
      <x:c r="BU282" s="4" t="str">
        <x:f>IF('Calculations'!BM282=0,"",'Calculations'!$EO282)</x:f>
      </x:c>
      <x:c r="BV282" s="4" t="str">
        <x:f>IF('Calculations'!BM282=0,"",IFERROR(IF(OR(INDEX(INDIRECT("'WCM Calibration Final'!$H$1:$H$2000"),'Calculations'!$EM282)="MANAGING DIRECTOR",INDEX(INDIRECT("'WCM Calibration Final'!$H$1:$H$2000"),'Calculations'!$EM282)="DIRECTOR",INDEX(INDIRECT("'WCM Calibration Final'!$H$1:$H$2000"),'Calculations'!$EM282)="SENIOR VICE PRESIDENT",INDEX(INDIRECT("'WCM Calibration Final'!$H$1:$H$2000"),'Calculations'!$EM282)="VICE PRESIDENT",INDEX(INDIRECT("'WCM Calibration Final'!$H$1:$H$2000"),'Calculations'!$EM282)="ASSISTANT VICE PRESIDENT",INDEX(INDIRECT("'WCM Calibration Final'!$H$1:$H$2000"),'Calculations'!$EM282)="OFFICER"),UPPER(INDEX(INDIRECT("'WCM Calibration Final'!$H$1:$H$2000"),'Calculations'!$EM282)),"Other"),"Other"))</x:f>
      </x:c>
      <x:c r="BW282" s="4"/>
      <x:c r="BX282" s="4"/>
      <x:c r="BY282" s="4" t="n">
        <x:f>IF(AND('Calculations'!BM282=1,'Calculations'!BU282&lt;&gt;"",COUNTIF('Calculations'!$BU$12:BU282,'Calculations'!BU282)=1),MAX('Calculations'!$BY$11:BY281)+1,0)</x:f>
        <x:v>0</x:v>
      </x:c>
      <x:c r="BZ282" s="4" t="str">
        <x:f>IF('Dashboard'!$E$67="What",'Calculations'!BO282,'Calculations'!BP282)</x:f>
      </x:c>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t="str">
        <x:f>IF(271&gt;MAX('Calculations'!$HI$13:$HI$512),"",INDEX('Calculations'!$HN$13:$HN$512,MATCH(271,'Calculations'!$HI$13:$HI$512,0)))</x:f>
      </x:c>
      <x:c r="DB282" s="4" t="str">
        <x:f>IF(271&gt;MAX('Calculations'!$HH$13:$HH$512),"",INDEX('Calculations'!$HJ$13:$HJ$512,MATCH(271,'Calculations'!$HH$13:$HH$512,0)))</x:f>
      </x:c>
      <x:c r="DC282" s="4" t="str">
        <x:f>IF(ROW()-11&gt;MAX('Calculations'!$BY$13:$BY$512),"",INDEX('Calculations'!$BU$13:$BU$512,MATCH(ROW()-11,'Calculations'!$BY$13:$BY$512,0)))</x:f>
      </x:c>
      <x:c r="DD282" s="4" t="str">
        <x:f>IF(271&gt;MAX('Calculations'!$IK$13:$IK$512),"",INDEX('Calculations'!$HK$13:$HK$512,MATCH(271,'Calculations'!$IK$13:$IK$512,0)))</x:f>
      </x:c>
      <x:c r="DE282" s="4" t="str">
        <x:f>'Calculations'!DC282</x:f>
      </x:c>
      <x:c r="DF282" s="4" t="str">
        <x:f>IF('Calculations'!DE282="","",COUNTIFS('Calculations'!$BN$13:$BN$512,1,'Calculations'!$BU$13:$BU$512,'Calculations'!DE282))</x:f>
      </x:c>
      <x:c r="DG282" s="4" t="str">
        <x:f>IF('Calculations'!DE282="","",COUNTIFS('Calculations'!$BN$13:$BN$512,1,'Calculations'!$BU$13:$BU$512,'Calculations'!DE282,'Calculations'!$BT$13:$BT$512,1))</x:f>
      </x:c>
      <x:c r="DH282" s="4" t="str">
        <x:f>IF('Calculations'!DE282="","",'Calculations'!DF282-'Calculations'!DG282)</x:f>
      </x:c>
      <x:c r="DI282" s="4" t="str">
        <x:f>IF(OR('Calculations'!DE282="",'Calculations'!DF282=0),"",'Calculations'!DG282/'Calculations'!DF282)</x:f>
      </x:c>
      <x:c r="DJ282" s="4" t="str">
        <x:f>IF('Calculations'!DE282="","",COUNTIFS('Calculations'!$BN$13:$BN$512,1,'Calculations'!$BU$13:$BU$512,'Calculations'!DE282,'Calculations'!$BT$13:$BT$512,1,'Calculations'!$EE$13:$EE$512,"High"))</x:f>
      </x:c>
      <x:c r="DK282" s="4" t="str">
        <x:f>IF('Calculations'!DE282="","",COUNTIFS('Calculations'!$BN$13:$BN$512,1,'Calculations'!$BU$13:$BU$512,'Calculations'!DE282,'Calculations'!$BT$13:$BT$512,1,'Calculations'!$EE$13:$EE$512,"Strong"))</x:f>
      </x:c>
      <x:c r="DL282" s="4" t="str">
        <x:f>IF('Calculations'!DE282="","",COUNTIFS('Calculations'!$BN$13:$BN$512,1,'Calculations'!$BU$13:$BU$512,'Calculations'!DE282,'Calculations'!$BT$13:$BT$512,1,'Calculations'!$EE$13:$EE$512,"Solid"))</x:f>
      </x:c>
      <x:c r="DM282" s="4" t="str">
        <x:f>IF('Calculations'!DE282="","",COUNTIFS('Calculations'!$BN$13:$BN$512,1,'Calculations'!$BU$13:$BU$512,'Calculations'!DE282,'Calculations'!$BT$13:$BT$512,1,'Calculations'!$EE$13:$EE$512,"Low"))</x:f>
      </x:c>
      <x:c r="DN282" s="4" t="str">
        <x:f>IF('Calculations'!DE282="","",COUNTIFS('Calculations'!$BN$13:$BN$512,1,'Calculations'!$BU$13:$BU$512,'Calculations'!DE282,'Calculations'!$EP$13:$EP$512,1))</x:f>
      </x:c>
      <x:c r="DO282" s="4" t="str">
        <x:f>IF(OR('Calculations'!DE282="",'Calculations'!DG282=0),"",('Calculations'!DJ282+'Calculations'!DK282)/'Calculations'!DG282)</x:f>
      </x:c>
      <x:c r="DP282" s="4" t="n">
        <x:f>IF(AND('Calculations'!DE282&lt;&gt;"",'Calculations'!DF282&gt;0),COUNTIF('Calculations'!$DF$12:DF282,"&gt;0"),0)</x:f>
        <x:v>0</x:v>
      </x:c>
      <x:c r="DQ282" s="4" t="str">
        <x:f>IF(271&gt;MAX('Calculations'!$HH$13:$HH$512),"",INDEX('Calculations'!$HF$13:$HF$512,MATCH(271,'Calculations'!$HH$13:$HH$512,0)))</x:f>
      </x:c>
      <x:c r="DR282" s="4" t="str">
        <x:f>IF(271&gt;MAX('Calculations'!$IK$13:$IK$512),"",INDEX('Calculations'!$HE$13:$HE$512,MATCH(271,'Calculations'!$IK$13:$IK$512,0)))</x:f>
      </x:c>
      <x:c r="DS282" s="4"/>
      <x:c r="DT282" s="4"/>
      <x:c r="DU282" s="4"/>
      <x:c r="DV282" s="4"/>
      <x:c r="DW282" s="4"/>
      <x:c r="DX282" s="4"/>
      <x:c r="DY282" s="4"/>
      <x:c r="DZ282" s="4"/>
      <x:c r="EA282" s="4"/>
      <x:c r="EB282" s="4"/>
      <x:c r="EC282" s="4"/>
      <x:c r="ED282" s="4"/>
      <x:c r="EE282" s="4" t="str">
        <x:f>IF('Calculations'!BT282=0,"Not Rated",IF(OR('Calculations'!BO282&gt;=4,'Calculations'!BP282&gt;=4),"Low",IF('Calculations'!BO282+'Calculations'!BP282&lt;=3,"High",IF('Calculations'!BO282+'Calculations'!BP282&lt;=4,"Strong","Solid"))))</x:f>
        <x:v>Not Rated</x:v>
      </x:c>
      <x:c r="EF282" s="4"/>
      <x:c r="EG282" s="4"/>
      <x:c r="EH282" s="4"/>
      <x:c r="EI282" s="4"/>
      <x:c r="EJ282" s="4"/>
      <x:c r="EK282" s="4"/>
      <x:c r="EL282" s="4"/>
      <x:c r="EM282" s="4" t="str">
        <x:f>IF(270&gt;'Calculations'!$JB$2000,"",INDEX('Calculations'!$JA$12:$JA$2000,MATCH(270,'Calculations'!$JB$12:$JB$2000,0)))</x:f>
      </x:c>
      <x:c r="EN282" s="4" t="n">
        <x:f>IF(OR('Calculations'!EM282="",'Calculations'!$AG$8&gt;0,AND('Calculations'!$EF$2&lt;&gt;"All",'Calculations'!HE282='Calculations'!$EF$2),AND('Calculations'!$EF$3&lt;&gt;"All",'Calculations'!HE282='Calculations'!$EF$3)),0,IF(OR('Dashboard'!$B$7="All",'Calculations'!HN282='Dashboard'!$B$7),IF('Calculations'!$EF$2="All",1,IF('Calculations'!HL282&gt;0,0,IF(COUNTIF('Calculations'!HO282:II282,"="&amp;SUBSTITUTE(SUBSTITUTE(SUBSTITUTE('Calculations'!$EF$2,"~","~~"),"*","~*"),"?","~?"))=0,0,IF('Calculations'!$EF$3="All",1,IF(COUNTIF('Calculations'!HO282:II282,"="&amp;SUBSTITUTE(SUBSTITUTE(SUBSTITUTE('Calculations'!$EF$3,"~","~~"),"*","~*"),"?","~?"))&gt;0,1,0))))),0))</x:f>
        <x:v>0</x:v>
      </x:c>
      <x:c r="EO282" s="4" t="str">
        <x:f>IF('Calculations'!IJ282="","",IF('Calculations'!IJ282="!UNRESOLVED","Unresolved hierarchy",IFERROR(INDEX('Calculations'!$HK$13:$HK$512,MATCH('Calculations'!IJ282,'Calculations'!$HE$13:$HE$512,0)),IFERROR(INDEX('Calculations'!$HJ$13:$HJ$512,MATCH('Calculations'!IJ282,'Calculations'!$HF$13:$HF$512,0)),'Calculations'!IJ282))))</x:f>
      </x:c>
      <x:c r="EP282" s="4" t="n">
        <x:f>IF(AND('Calculations'!EM282&lt;&gt;"",'Calculations'!HF282='Calculations'!IJ282),1,0)</x:f>
        <x:v>0</x:v>
      </x:c>
      <x:c r="EQ282" s="4"/>
      <x:c r="ER282" s="4"/>
      <x:c r="ES282" s="4"/>
      <x:c r="ET282" s="4"/>
      <x:c r="EU282" s="4"/>
      <x:c r="EV282" s="4"/>
      <x:c r="EW282" s="4"/>
      <x:c r="EX282" s="4"/>
      <x:c r="EY282" s="4"/>
      <x:c r="EZ282" s="4"/>
      <x:c r="FA282" s="4"/>
      <x:c r="FB282" s="4"/>
      <x:c r="FC282" s="4"/>
      <x:c r="FD282" s="4"/>
      <x:c r="FE282" s="4"/>
      <x:c r="FF282" s="4"/>
      <x:c r="FG282" s="4"/>
      <x:c r="FH282" s="4"/>
      <x:c r="FI282" s="4"/>
      <x:c r="FJ282" s="4"/>
      <x:c r="FK282" s="4"/>
      <x:c r="FL282" s="4"/>
      <x:c r="FM282" s="4"/>
      <x:c r="FN282" s="4"/>
      <x:c r="FO282" s="4"/>
      <x:c r="HE282" t="str">
        <x:f>IF('Calculations'!EM282="","",IF(IFERROR(IF(INDEX(INDIRECT("'WCM Calibration Final'!$A$1:$A$2000"),'Calculations'!$EM282)="","",TRIM(INDEX(INDIRECT("'WCM Calibration Final'!$A$1:$A$2000"),'Calculations'!$EM282)&amp;"")),"")&lt;&gt;"","G:"&amp;IFERROR(TEXT(1*INDEX(INDIRECT("'WCM Calibration Final'!$A$1:$A$2000"),'Calculations'!$EM282),"0"),UPPER(IFERROR(IF(INDEX(INDIRECT("'WCM Calibration Final'!$A$1:$A$2000"),'Calculations'!$EM282)="","",TRIM(INDEX(INDIRECT("'WCM Calibration Final'!$A$1:$A$2000"),'Calculations'!$EM282)&amp;"")),""))),IF(IFERROR(IF(INDEX(INDIRECT("'WCM Calibration Final'!$C$1:$C$2000"),'Calculations'!$EM282)="","",TRIM(INDEX(INDIRECT("'WCM Calibration Final'!$C$1:$C$2000"),'Calculations'!$EM282)&amp;"")),"")&lt;&gt;"","S:"&amp;UPPER(IFERROR(IF(INDEX(INDIRECT("'WCM Calibration Final'!$C$1:$C$2000"),'Calculations'!$EM282)="","",TRIM(INDEX(INDIRECT("'WCM Calibration Final'!$C$1:$C$2000"),'Calculations'!$EM282)&amp;"")),"")),"R:"&amp;'Calculations'!EM282)))</x:f>
      </x:c>
      <x:c r="HF282" t="str">
        <x:f>IF('Calculations'!EM282="","",IF(IFERROR(IF(INDEX(INDIRECT("'WCM Calibration Final'!$D$1:$D$2000"),'Calculations'!$EM282)="","",TRIM(INDEX(INDIRECT("'WCM Calibration Final'!$D$1:$D$2000"),'Calculations'!$EM282)&amp;"")),"")&lt;&gt;"","G:"&amp;IFERROR(TEXT(1*INDEX(INDIRECT("'WCM Calibration Final'!$D$1:$D$2000"),'Calculations'!$EM282),"0"),UPPER(IFERROR(IF(INDEX(INDIRECT("'WCM Calibration Final'!$D$1:$D$2000"),'Calculations'!$EM282)="","",TRIM(INDEX(INDIRECT("'WCM Calibration Final'!$D$1:$D$2000"),'Calculations'!$EM282)&amp;"")),""))),IF(IFERROR(IF(INDEX(INDIRECT("'WCM Calibration Final'!$E$1:$E$2000"),'Calculations'!$EM282)="","",TRIM(INDEX(INDIRECT("'WCM Calibration Final'!$E$1:$E$2000"),'Calculations'!$EM282)&amp;"")),"")="","",IF(COUNTIF('Calculations'!$HG$13:$HG$512,"="&amp;SUBSTITUTE(SUBSTITUTE(SUBSTITUTE(IFERROR(IF(INDEX(INDIRECT("'WCM Calibration Final'!$E$1:$E$2000"),'Calculations'!$EM282)="","",TRIM(INDEX(INDIRECT("'WCM Calibration Final'!$E$1:$E$2000"),'Calculations'!$EM282)&amp;"")),""),"~","~~"),"*","~*"),"?","~?"))=1,INDEX('Calculations'!$HE$13:$HE$512,MATCH(IFERROR(IF(INDEX(INDIRECT("'WCM Calibration Final'!$E$1:$E$2000"),'Calculations'!$EM282)="","",TRIM(INDEX(INDIRECT("'WCM Calibration Final'!$E$1:$E$2000"),'Calculations'!$EM282)&amp;"")),""),'Calculations'!$HG$13:$HG$512,0)),IF(COUNTIF('Calculations'!$HG$13:$HG$512,"="&amp;SUBSTITUTE(SUBSTITUTE(SUBSTITUTE(IFERROR(IF(INDEX(INDIRECT("'WCM Calibration Final'!$E$1:$E$2000"),'Calculations'!$EM282)="","",TRIM(INDEX(INDIRECT("'WCM Calibration Final'!$E$1:$E$2000"),'Calculations'!$EM282)&amp;"")),""),"~","~~"),"*","~*"),"?","~?"))&gt;1,"!AMBIG","X:"&amp;IFERROR(IF(INDEX(INDIRECT("'WCM Calibration Final'!$E$1:$E$2000"),'Calculations'!$EM282)="","",TRIM(INDEX(INDIRECT("'WCM Calibration Final'!$E$1:$E$2000"),'Calculations'!$EM282)&amp;"")),""))))))</x:f>
      </x:c>
      <x:c r="HG282" t="str">
        <x:f>IF('Calculations'!EM282="","",IFERROR(IF(INDEX(INDIRECT("'WCM Calibration Final'!$B$1:$B$2000"),'Calculations'!$EM282)="","",TRIM(INDEX(INDIRECT("'WCM Calibration Final'!$B$1:$B$2000"),'Calculations'!$EM282)&amp;"")),""))</x:f>
      </x:c>
      <x:c r="HH282" t="n">
        <x:f>IF(AND('Calculations'!JC282&gt;0,COUNTIF('Calculations'!$HF$12:HF282,"="&amp;SUBSTITUTE(SUBSTITUTE(SUBSTITUTE('Calculations'!HF282,"~","~~"),"*","~*"),"?","~?"))=1),MAX('Calculations'!$HH$12:HH281)+1,0)</x:f>
        <x:v>0</x:v>
      </x:c>
      <x:c r="HI282" t="n">
        <x:f>IF(AND('Calculations'!HN282&lt;&gt;"",COUNTIF('Calculations'!$HN$12:HN282,"="&amp;SUBSTITUTE(SUBSTITUTE(SUBSTITUTE('Calculations'!HN282,"~","~~"),"*","~*"),"?","~?"))=1),MAX('Calculations'!$HI$12:HI281)+1,0)</x:f>
        <x:v>0</x:v>
      </x:c>
      <x:c r="HJ282" t="str">
        <x:f>IF('Calculations'!HF282="","",IF(COUNTIF('Calculations'!$HE$13:$HE$512,"="&amp;SUBSTITUTE(SUBSTITUTE(SUBSTITUTE('Calculations'!HF282,"~","~~"),"*","~*"),"?","~?"))=1,INDEX('Calculations'!$HK$13:$HK$512,MATCH('Calculations'!HF282,'Calculations'!$HE$13:$HE$512,0)),IFERROR(IF(INDEX(INDIRECT("'WCM Calibration Final'!$E$1:$E$2000"),'Calculations'!$EM282)="","",TRIM(INDEX(INDIRECT("'WCM Calibration Final'!$E$1:$E$2000"),'Calculations'!$EM282)&amp;"")),"")&amp;" ["&amp;'Calculations'!HF282&amp;"]"))</x:f>
      </x:c>
      <x:c r="HK282" t="str">
        <x:f>IF('Calculations'!EM282="","",'Calculations'!HG282&amp;" ["&amp;'Calculations'!HE282&amp;"]")</x:f>
      </x:c>
      <x:c r="HL282" t="n">
        <x:f>IF('Calculations'!EM282="",0,IF(OR('Calculations'!II282&lt;&gt;"",COUNTIF('Calculations'!$HE$13:$HE$512,"="&amp;SUBSTITUTE(SUBSTITUTE(SUBSTITUTE('Calculations'!HE282,"~","~~"),"*","~*"),"?","~?"))&gt;1),1,0))</x:f>
        <x:v>0</x:v>
      </x:c>
      <x:c r="HM282" t="str">
        <x:f>IF('Calculations'!EM282="","",IF('Calculations'!HL282=1,"!UNRESOLVED",IF('Calculations'!IH282&lt;&gt;"",'Calculations'!IH282,IF('Calculations'!IG282&lt;&gt;"",'Calculations'!IG282,IF('Calculations'!IF282&lt;&gt;"",'Calculations'!IF282,IF('Calculations'!IE282&lt;&gt;"",'Calculations'!IE282,IF('Calculations'!ID282&lt;&gt;"",'Calculations'!ID282,IF('Calculations'!IC282&lt;&gt;"",'Calculations'!IC282,IF('Calculations'!IB282&lt;&gt;"",'Calculations'!IB282,IF('Calculations'!IA282&lt;&gt;"",'Calculations'!IA282,IF('Calculations'!HZ282&lt;&gt;"",'Calculations'!HZ282,IF('Calculations'!HY282&lt;&gt;"",'Calculations'!HY282,IF('Calculations'!HX282&lt;&gt;"",'Calculations'!HX282,IF('Calculations'!HW282&lt;&gt;"",'Calculations'!HW282,IF('Calculations'!HV282&lt;&gt;"",'Calculations'!HV282,IF('Calculations'!HU282&lt;&gt;"",'Calculations'!HU282,IF('Calculations'!HT282&lt;&gt;"",'Calculations'!HT282,IF('Calculations'!HS282&lt;&gt;"",'Calculations'!HS282,IF('Calculations'!HR282&lt;&gt;"",'Calculations'!HR282,IF('Calculations'!HQ282&lt;&gt;"",'Calculations'!HQ282,IF('Calculations'!HP282&lt;&gt;"",'Calculations'!HP282,IF('Calculations'!HO282&lt;&gt;"",'Calculations'!HO282,'Calculations'!HE282))))))))))))))))))))))</x:f>
      </x:c>
      <x:c r="HN282" t="str">
        <x:f>IF('Calculations'!EM282="","",IF(IFERROR(IF(INDEX(INDIRECT("'WCM Calibration Final'!$F$1:$F$2000"),'Calculations'!$EM282)="","",TRIM(INDEX(INDIRECT("'WCM Calibration Final'!$F$1:$F$2000"),'Calculations'!$EM282)&amp;"")),"")="","(Blank)",IFERROR(IF(INDEX(INDIRECT("'WCM Calibration Final'!$F$1:$F$2000"),'Calculations'!$EM282)="","",TRIM(INDEX(INDIRECT("'WCM Calibration Final'!$F$1:$F$2000"),'Calculations'!$EM282)&amp;"")),"")))</x:f>
      </x:c>
      <x:c r="HO282" t="str">
        <x:f>'Calculations'!HF282</x:f>
      </x:c>
      <x:c r="HP282" t="str">
        <x:f>IF('Calculations'!HO282="","",IF('Calculations'!HO282="!AMBIG","!AMBIG",IF(COUNTIF('Calculations'!$HE$13:$HE$512,"="&amp;SUBSTITUTE(SUBSTITUTE(SUBSTITUTE('Calculations'!HO282,"~","~~"),"*","~*"),"?","~?"))&gt;1,"!AMBIG",IFERROR(INDEX('Calculations'!$HF$13:$HF$512,MATCH('Calculations'!HO282,'Calculations'!$HE$13:$HE$512,0)),""))))</x:f>
      </x:c>
      <x:c r="HQ282" t="str">
        <x:f>IF('Calculations'!HP282="","",IF('Calculations'!HP282="!AMBIG","!AMBIG",IF(COUNTIF('Calculations'!$HE$13:$HE$512,"="&amp;SUBSTITUTE(SUBSTITUTE(SUBSTITUTE('Calculations'!HP282,"~","~~"),"*","~*"),"?","~?"))&gt;1,"!AMBIG",IFERROR(INDEX('Calculations'!$HF$13:$HF$512,MATCH('Calculations'!HP282,'Calculations'!$HE$13:$HE$512,0)),""))))</x:f>
      </x:c>
      <x:c r="HR282" t="str">
        <x:f>IF('Calculations'!HQ282="","",IF('Calculations'!HQ282="!AMBIG","!AMBIG",IF(COUNTIF('Calculations'!$HE$13:$HE$512,"="&amp;SUBSTITUTE(SUBSTITUTE(SUBSTITUTE('Calculations'!HQ282,"~","~~"),"*","~*"),"?","~?"))&gt;1,"!AMBIG",IFERROR(INDEX('Calculations'!$HF$13:$HF$512,MATCH('Calculations'!HQ282,'Calculations'!$HE$13:$HE$512,0)),""))))</x:f>
      </x:c>
      <x:c r="HS282" t="str">
        <x:f>IF('Calculations'!HR282="","",IF('Calculations'!HR282="!AMBIG","!AMBIG",IF(COUNTIF('Calculations'!$HE$13:$HE$512,"="&amp;SUBSTITUTE(SUBSTITUTE(SUBSTITUTE('Calculations'!HR282,"~","~~"),"*","~*"),"?","~?"))&gt;1,"!AMBIG",IFERROR(INDEX('Calculations'!$HF$13:$HF$512,MATCH('Calculations'!HR282,'Calculations'!$HE$13:$HE$512,0)),""))))</x:f>
      </x:c>
      <x:c r="HT282" t="str">
        <x:f>IF('Calculations'!HS282="","",IF('Calculations'!HS282="!AMBIG","!AMBIG",IF(COUNTIF('Calculations'!$HE$13:$HE$512,"="&amp;SUBSTITUTE(SUBSTITUTE(SUBSTITUTE('Calculations'!HS282,"~","~~"),"*","~*"),"?","~?"))&gt;1,"!AMBIG",IFERROR(INDEX('Calculations'!$HF$13:$HF$512,MATCH('Calculations'!HS282,'Calculations'!$HE$13:$HE$512,0)),""))))</x:f>
      </x:c>
      <x:c r="HU282" t="str">
        <x:f>IF('Calculations'!HT282="","",IF('Calculations'!HT282="!AMBIG","!AMBIG",IF(COUNTIF('Calculations'!$HE$13:$HE$512,"="&amp;SUBSTITUTE(SUBSTITUTE(SUBSTITUTE('Calculations'!HT282,"~","~~"),"*","~*"),"?","~?"))&gt;1,"!AMBIG",IFERROR(INDEX('Calculations'!$HF$13:$HF$512,MATCH('Calculations'!HT282,'Calculations'!$HE$13:$HE$512,0)),""))))</x:f>
      </x:c>
      <x:c r="HV282" t="str">
        <x:f>IF('Calculations'!HU282="","",IF('Calculations'!HU282="!AMBIG","!AMBIG",IF(COUNTIF('Calculations'!$HE$13:$HE$512,"="&amp;SUBSTITUTE(SUBSTITUTE(SUBSTITUTE('Calculations'!HU282,"~","~~"),"*","~*"),"?","~?"))&gt;1,"!AMBIG",IFERROR(INDEX('Calculations'!$HF$13:$HF$512,MATCH('Calculations'!HU282,'Calculations'!$HE$13:$HE$512,0)),""))))</x:f>
      </x:c>
      <x:c r="HW282" t="str">
        <x:f>IF('Calculations'!HV282="","",IF('Calculations'!HV282="!AMBIG","!AMBIG",IF(COUNTIF('Calculations'!$HE$13:$HE$512,"="&amp;SUBSTITUTE(SUBSTITUTE(SUBSTITUTE('Calculations'!HV282,"~","~~"),"*","~*"),"?","~?"))&gt;1,"!AMBIG",IFERROR(INDEX('Calculations'!$HF$13:$HF$512,MATCH('Calculations'!HV282,'Calculations'!$HE$13:$HE$512,0)),""))))</x:f>
      </x:c>
      <x:c r="HX282" t="str">
        <x:f>IF('Calculations'!HW282="","",IF('Calculations'!HW282="!AMBIG","!AMBIG",IF(COUNTIF('Calculations'!$HE$13:$HE$512,"="&amp;SUBSTITUTE(SUBSTITUTE(SUBSTITUTE('Calculations'!HW282,"~","~~"),"*","~*"),"?","~?"))&gt;1,"!AMBIG",IFERROR(INDEX('Calculations'!$HF$13:$HF$512,MATCH('Calculations'!HW282,'Calculations'!$HE$13:$HE$512,0)),""))))</x:f>
      </x:c>
      <x:c r="HY282" t="str">
        <x:f>IF('Calculations'!HX282="","",IF('Calculations'!HX282="!AMBIG","!AMBIG",IF(COUNTIF('Calculations'!$HE$13:$HE$512,"="&amp;SUBSTITUTE(SUBSTITUTE(SUBSTITUTE('Calculations'!HX282,"~","~~"),"*","~*"),"?","~?"))&gt;1,"!AMBIG",IFERROR(INDEX('Calculations'!$HF$13:$HF$512,MATCH('Calculations'!HX282,'Calculations'!$HE$13:$HE$512,0)),""))))</x:f>
      </x:c>
      <x:c r="HZ282" t="str">
        <x:f>IF('Calculations'!HY282="","",IF('Calculations'!HY282="!AMBIG","!AMBIG",IF(COUNTIF('Calculations'!$HE$13:$HE$512,"="&amp;SUBSTITUTE(SUBSTITUTE(SUBSTITUTE('Calculations'!HY282,"~","~~"),"*","~*"),"?","~?"))&gt;1,"!AMBIG",IFERROR(INDEX('Calculations'!$HF$13:$HF$512,MATCH('Calculations'!HY282,'Calculations'!$HE$13:$HE$512,0)),""))))</x:f>
      </x:c>
      <x:c r="IA282" t="str">
        <x:f>IF('Calculations'!HZ282="","",IF('Calculations'!HZ282="!AMBIG","!AMBIG",IF(COUNTIF('Calculations'!$HE$13:$HE$512,"="&amp;SUBSTITUTE(SUBSTITUTE(SUBSTITUTE('Calculations'!HZ282,"~","~~"),"*","~*"),"?","~?"))&gt;1,"!AMBIG",IFERROR(INDEX('Calculations'!$HF$13:$HF$512,MATCH('Calculations'!HZ282,'Calculations'!$HE$13:$HE$512,0)),""))))</x:f>
      </x:c>
      <x:c r="IB282" t="str">
        <x:f>IF('Calculations'!IA282="","",IF('Calculations'!IA282="!AMBIG","!AMBIG",IF(COUNTIF('Calculations'!$HE$13:$HE$512,"="&amp;SUBSTITUTE(SUBSTITUTE(SUBSTITUTE('Calculations'!IA282,"~","~~"),"*","~*"),"?","~?"))&gt;1,"!AMBIG",IFERROR(INDEX('Calculations'!$HF$13:$HF$512,MATCH('Calculations'!IA282,'Calculations'!$HE$13:$HE$512,0)),""))))</x:f>
      </x:c>
      <x:c r="IC282" t="str">
        <x:f>IF('Calculations'!IB282="","",IF('Calculations'!IB282="!AMBIG","!AMBIG",IF(COUNTIF('Calculations'!$HE$13:$HE$512,"="&amp;SUBSTITUTE(SUBSTITUTE(SUBSTITUTE('Calculations'!IB282,"~","~~"),"*","~*"),"?","~?"))&gt;1,"!AMBIG",IFERROR(INDEX('Calculations'!$HF$13:$HF$512,MATCH('Calculations'!IB282,'Calculations'!$HE$13:$HE$512,0)),""))))</x:f>
      </x:c>
      <x:c r="ID282" t="str">
        <x:f>IF('Calculations'!IC282="","",IF('Calculations'!IC282="!AMBIG","!AMBIG",IF(COUNTIF('Calculations'!$HE$13:$HE$512,"="&amp;SUBSTITUTE(SUBSTITUTE(SUBSTITUTE('Calculations'!IC282,"~","~~"),"*","~*"),"?","~?"))&gt;1,"!AMBIG",IFERROR(INDEX('Calculations'!$HF$13:$HF$512,MATCH('Calculations'!IC282,'Calculations'!$HE$13:$HE$512,0)),""))))</x:f>
      </x:c>
      <x:c r="IE282" t="str">
        <x:f>IF('Calculations'!ID282="","",IF('Calculations'!ID282="!AMBIG","!AMBIG",IF(COUNTIF('Calculations'!$HE$13:$HE$512,"="&amp;SUBSTITUTE(SUBSTITUTE(SUBSTITUTE('Calculations'!ID282,"~","~~"),"*","~*"),"?","~?"))&gt;1,"!AMBIG",IFERROR(INDEX('Calculations'!$HF$13:$HF$512,MATCH('Calculations'!ID282,'Calculations'!$HE$13:$HE$512,0)),""))))</x:f>
      </x:c>
      <x:c r="IF282" t="str">
        <x:f>IF('Calculations'!IE282="","",IF('Calculations'!IE282="!AMBIG","!AMBIG",IF(COUNTIF('Calculations'!$HE$13:$HE$512,"="&amp;SUBSTITUTE(SUBSTITUTE(SUBSTITUTE('Calculations'!IE282,"~","~~"),"*","~*"),"?","~?"))&gt;1,"!AMBIG",IFERROR(INDEX('Calculations'!$HF$13:$HF$512,MATCH('Calculations'!IE282,'Calculations'!$HE$13:$HE$512,0)),""))))</x:f>
      </x:c>
      <x:c r="IG282" t="str">
        <x:f>IF('Calculations'!IF282="","",IF('Calculations'!IF282="!AMBIG","!AMBIG",IF(COUNTIF('Calculations'!$HE$13:$HE$512,"="&amp;SUBSTITUTE(SUBSTITUTE(SUBSTITUTE('Calculations'!IF282,"~","~~"),"*","~*"),"?","~?"))&gt;1,"!AMBIG",IFERROR(INDEX('Calculations'!$HF$13:$HF$512,MATCH('Calculations'!IF282,'Calculations'!$HE$13:$HE$512,0)),""))))</x:f>
      </x:c>
      <x:c r="IH282" t="str">
        <x:f>IF('Calculations'!IG282="","",IF('Calculations'!IG282="!AMBIG","!AMBIG",IF(COUNTIF('Calculations'!$HE$13:$HE$512,"="&amp;SUBSTITUTE(SUBSTITUTE(SUBSTITUTE('Calculations'!IG282,"~","~~"),"*","~*"),"?","~?"))&gt;1,"!AMBIG",IFERROR(INDEX('Calculations'!$HF$13:$HF$512,MATCH('Calculations'!IG282,'Calculations'!$HE$13:$HE$512,0)),""))))</x:f>
      </x:c>
      <x:c r="II282" t="str">
        <x:f>IF('Calculations'!IH282="","",IF('Calculations'!IH282="!AMBIG","!AMBIG",IF(COUNTIF('Calculations'!$HE$13:$HE$512,"="&amp;SUBSTITUTE(SUBSTITUTE(SUBSTITUTE('Calculations'!IH282,"~","~~"),"*","~*"),"?","~?"))&gt;1,"!AMBIG",IFERROR(INDEX('Calculations'!$HF$13:$HF$512,MATCH('Calculations'!IH282,'Calculations'!$HE$13:$HE$512,0)),""))))</x:f>
      </x:c>
      <x:c r="IJ282" t="str">
        <x:f>IF('Calculations'!EM282="","",IF('Calculations'!$EF$2="All",'Calculations'!HM282,IF('Calculations'!HL282=1,"",IFERROR(IF(MATCH('Calculations'!$EF$2,'Calculations'!HO282:II282,0)=1,'Calculations'!HE282,INDEX('Calculations'!HO282:II282,1,MATCH('Calculations'!$EF$2,'Calculations'!HO282:II282,0)-1)),""))))</x:f>
      </x:c>
      <x:c r="IK282" t="n">
        <x:f>IF(AND('Calculations'!EM282&lt;&gt;"",'Calculations'!$EF$2&lt;&gt;"All",'Calculations'!HF282='Calculations'!$EF$2,'Calculations'!HL282=0,'Calculations'!JD282&gt;0),MAX('Calculations'!$IK$12:IK281)+1,0)</x:f>
        <x:v>0</x:v>
      </x:c>
      <x:c r="JA282" t="n">
        <x:f>IF(OR(IFERROR(INDIRECT("'WCM Calibration Final'!$A$282")&lt;&gt;"",FALSE),IFERROR(INDIRECT("'WCM Calibration Final'!$B$282")&lt;&gt;"",FALSE),IFERROR(INDIRECT("'WCM Calibration Final'!$C$282")&lt;&gt;"",FALSE)),282,0)</x:f>
        <x:v>0</x:v>
      </x:c>
      <x:c r="JB282" t="n">
        <x:f>'Calculations'!JB281+IF('Calculations'!JA282&gt;0,1,0)</x:f>
        <x:v>0</x:v>
      </x:c>
      <x:c r="JC282" t="n">
        <x:f>IF(OR('Calculations'!HF282="",'Calculations'!HF282="!AMBIG"),0,IF('Dashboard'!$B$7="All",1,COUNTIFS('Calculations'!$HO$13:$HO$512,"="&amp;SUBSTITUTE(SUBSTITUTE(SUBSTITUTE('Calculations'!HF282,"~","~~"),"*","~*"),"?","~?"),'Calculations'!$HN$13:$HN$512,"="&amp;SUBSTITUTE(SUBSTITUTE(SUBSTITUTE('Dashboard'!$B$7,"~","~~"),"*","~*"),"?","~?"))+COUNTIFS('Calculations'!$HP$13:$HP$512,"="&amp;SUBSTITUTE(SUBSTITUTE(SUBSTITUTE('Calculations'!HF282,"~","~~"),"*","~*"),"?","~?"),'Calculations'!$HN$13:$HN$512,"="&amp;SUBSTITUTE(SUBSTITUTE(SUBSTITUTE('Dashboard'!$B$7,"~","~~"),"*","~*"),"?","~?"))+COUNTIFS('Calculations'!$HQ$13:$HQ$512,"="&amp;SUBSTITUTE(SUBSTITUTE(SUBSTITUTE('Calculations'!HF282,"~","~~"),"*","~*"),"?","~?"),'Calculations'!$HN$13:$HN$512,"="&amp;SUBSTITUTE(SUBSTITUTE(SUBSTITUTE('Dashboard'!$B$7,"~","~~"),"*","~*"),"?","~?"))+COUNTIFS('Calculations'!$HR$13:$HR$512,"="&amp;SUBSTITUTE(SUBSTITUTE(SUBSTITUTE('Calculations'!HF282,"~","~~"),"*","~*"),"?","~?"),'Calculations'!$HN$13:$HN$512,"="&amp;SUBSTITUTE(SUBSTITUTE(SUBSTITUTE('Dashboard'!$B$7,"~","~~"),"*","~*"),"?","~?"))+COUNTIFS('Calculations'!$HS$13:$HS$512,"="&amp;SUBSTITUTE(SUBSTITUTE(SUBSTITUTE('Calculations'!HF282,"~","~~"),"*","~*"),"?","~?"),'Calculations'!$HN$13:$HN$512,"="&amp;SUBSTITUTE(SUBSTITUTE(SUBSTITUTE('Dashboard'!$B$7,"~","~~"),"*","~*"),"?","~?"))+COUNTIFS('Calculations'!$HT$13:$HT$512,"="&amp;SUBSTITUTE(SUBSTITUTE(SUBSTITUTE('Calculations'!HF282,"~","~~"),"*","~*"),"?","~?"),'Calculations'!$HN$13:$HN$512,"="&amp;SUBSTITUTE(SUBSTITUTE(SUBSTITUTE('Dashboard'!$B$7,"~","~~"),"*","~*"),"?","~?"))+COUNTIFS('Calculations'!$HU$13:$HU$512,"="&amp;SUBSTITUTE(SUBSTITUTE(SUBSTITUTE('Calculations'!HF282,"~","~~"),"*","~*"),"?","~?"),'Calculations'!$HN$13:$HN$512,"="&amp;SUBSTITUTE(SUBSTITUTE(SUBSTITUTE('Dashboard'!$B$7,"~","~~"),"*","~*"),"?","~?"))+COUNTIFS('Calculations'!$HV$13:$HV$512,"="&amp;SUBSTITUTE(SUBSTITUTE(SUBSTITUTE('Calculations'!HF282,"~","~~"),"*","~*"),"?","~?"),'Calculations'!$HN$13:$HN$512,"="&amp;SUBSTITUTE(SUBSTITUTE(SUBSTITUTE('Dashboard'!$B$7,"~","~~"),"*","~*"),"?","~?"))+COUNTIFS('Calculations'!$HW$13:$HW$512,"="&amp;SUBSTITUTE(SUBSTITUTE(SUBSTITUTE('Calculations'!HF282,"~","~~"),"*","~*"),"?","~?"),'Calculations'!$HN$13:$HN$512,"="&amp;SUBSTITUTE(SUBSTITUTE(SUBSTITUTE('Dashboard'!$B$7,"~","~~"),"*","~*"),"?","~?"))+COUNTIFS('Calculations'!$HX$13:$HX$512,"="&amp;SUBSTITUTE(SUBSTITUTE(SUBSTITUTE('Calculations'!HF282,"~","~~"),"*","~*"),"?","~?"),'Calculations'!$HN$13:$HN$512,"="&amp;SUBSTITUTE(SUBSTITUTE(SUBSTITUTE('Dashboard'!$B$7,"~","~~"),"*","~*"),"?","~?"))+COUNTIFS('Calculations'!$HY$13:$HY$512,"="&amp;SUBSTITUTE(SUBSTITUTE(SUBSTITUTE('Calculations'!HF282,"~","~~"),"*","~*"),"?","~?"),'Calculations'!$HN$13:$HN$512,"="&amp;SUBSTITUTE(SUBSTITUTE(SUBSTITUTE('Dashboard'!$B$7,"~","~~"),"*","~*"),"?","~?"))+COUNTIFS('Calculations'!$HZ$13:$HZ$512,"="&amp;SUBSTITUTE(SUBSTITUTE(SUBSTITUTE('Calculations'!HF282,"~","~~"),"*","~*"),"?","~?"),'Calculations'!$HN$13:$HN$512,"="&amp;SUBSTITUTE(SUBSTITUTE(SUBSTITUTE('Dashboard'!$B$7,"~","~~"),"*","~*"),"?","~?"))+COUNTIFS('Calculations'!$IA$13:$IA$512,"="&amp;SUBSTITUTE(SUBSTITUTE(SUBSTITUTE('Calculations'!HF282,"~","~~"),"*","~*"),"?","~?"),'Calculations'!$HN$13:$HN$512,"="&amp;SUBSTITUTE(SUBSTITUTE(SUBSTITUTE('Dashboard'!$B$7,"~","~~"),"*","~*"),"?","~?"))+COUNTIFS('Calculations'!$IB$13:$IB$512,"="&amp;SUBSTITUTE(SUBSTITUTE(SUBSTITUTE('Calculations'!HF282,"~","~~"),"*","~*"),"?","~?"),'Calculations'!$HN$13:$HN$512,"="&amp;SUBSTITUTE(SUBSTITUTE(SUBSTITUTE('Dashboard'!$B$7,"~","~~"),"*","~*"),"?","~?"))+COUNTIFS('Calculations'!$IC$13:$IC$512,"="&amp;SUBSTITUTE(SUBSTITUTE(SUBSTITUTE('Calculations'!HF282,"~","~~"),"*","~*"),"?","~?"),'Calculations'!$HN$13:$HN$512,"="&amp;SUBSTITUTE(SUBSTITUTE(SUBSTITUTE('Dashboard'!$B$7,"~","~~"),"*","~*"),"?","~?"))+COUNTIFS('Calculations'!$ID$13:$ID$512,"="&amp;SUBSTITUTE(SUBSTITUTE(SUBSTITUTE('Calculations'!HF282,"~","~~"),"*","~*"),"?","~?"),'Calculations'!$HN$13:$HN$512,"="&amp;SUBSTITUTE(SUBSTITUTE(SUBSTITUTE('Dashboard'!$B$7,"~","~~"),"*","~*"),"?","~?"))+COUNTIFS('Calculations'!$IE$13:$IE$512,"="&amp;SUBSTITUTE(SUBSTITUTE(SUBSTITUTE('Calculations'!HF282,"~","~~"),"*","~*"),"?","~?"),'Calculations'!$HN$13:$HN$512,"="&amp;SUBSTITUTE(SUBSTITUTE(SUBSTITUTE('Dashboard'!$B$7,"~","~~"),"*","~*"),"?","~?"))+COUNTIFS('Calculations'!$IF$13:$IF$512,"="&amp;SUBSTITUTE(SUBSTITUTE(SUBSTITUTE('Calculations'!HF282,"~","~~"),"*","~*"),"?","~?"),'Calculations'!$HN$13:$HN$512,"="&amp;SUBSTITUTE(SUBSTITUTE(SUBSTITUTE('Dashboard'!$B$7,"~","~~"),"*","~*"),"?","~?"))+COUNTIFS('Calculations'!$IG$13:$IG$512,"="&amp;SUBSTITUTE(SUBSTITUTE(SUBSTITUTE('Calculations'!HF282,"~","~~"),"*","~*"),"?","~?"),'Calculations'!$HN$13:$HN$512,"="&amp;SUBSTITUTE(SUBSTITUTE(SUBSTITUTE('Dashboard'!$B$7,"~","~~"),"*","~*"),"?","~?"))+COUNTIFS('Calculations'!$IH$13:$IH$512,"="&amp;SUBSTITUTE(SUBSTITUTE(SUBSTITUTE('Calculations'!HF282,"~","~~"),"*","~*"),"?","~?"),'Calculations'!$HN$13:$HN$512,"="&amp;SUBSTITUTE(SUBSTITUTE(SUBSTITUTE('Dashboard'!$B$7,"~","~~"),"*","~*"),"?","~?"))))</x:f>
        <x:v>0</x:v>
      </x:c>
      <x:c r="JD282" t="n">
        <x:f>IF('Calculations'!EM282="",0,IF('Dashboard'!$B$7="All",1,IF('Calculations'!HN282='Dashboard'!$B$7,1,0)+IFERROR(INDEX('Calculations'!$JC$13:$JC$512,MATCH('Calculations'!HE282,'Calculations'!$HF$13:$HF$512,0)),0)))</x:f>
        <x:v>0</x:v>
      </x:c>
      <x:c r="JE282" t="n">
        <x:f>IF(AND('Calculations'!EM282&lt;&gt;"",'Calculations'!$JJ$2&lt;&gt;"All",'Calculations'!$JJ$2&lt;&gt;"",'Calculations'!HF282='Calculations'!$JJ$2,'Calculations'!HL282=0,'Calculations'!JD282&gt;0),MAX('Calculations'!$JE$12:JE281)+1,0)</x:f>
        <x:v>0</x:v>
      </x:c>
      <x:c r="JF282" t="str">
        <x:f>IF('Calculations'!EM282="","",IFERROR(IF(INDEX(INDIRECT("'WCM Calibration Final'!$G$1:$G$2000"),'Calculations'!$EM282)="","",TRIM(INDEX(INDIRECT("'WCM Calibration Final'!$G$1:$G$2000"),'Calculations'!$EM282)&amp;"")),""))</x:f>
      </x:c>
      <x:c r="JQ282" t="n">
        <x:f>IF(OR('Calculations'!BM282=0,NOT('Calculations'!$AG$2),'Calculations'!$AG$8&gt;0),0,IF(OR('Dashboard'!$B$7="All",'Calculations'!HN282='Dashboard'!$B$7),IF('Calculations'!$JJ$2="All",1,IF(AND('Calculations'!HF282='Calculations'!$JJ$2,'Calculations'!HL282=0),1,0)),0))</x:f>
        <x:v>0</x:v>
      </x:c>
    </x:row>
    <x:row r="283">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t="n">
        <x:f>IF('Calculations'!$EM283="",0,IF(OR(IFERROR(INDEX(INDIRECT("'WCM Calibration Final'!$A$1:$A$2000"),'Calculations'!$EM283)&lt;&gt;"",FALSE),IFERROR(INDEX(INDIRECT("'WCM Calibration Final'!$B$1:$B$2000"),'Calculations'!$EM283)&lt;&gt;"",FALSE),IFERROR(INDEX(INDIRECT("'WCM Calibration Final'!$C$1:$C$2000"),'Calculations'!$EM283)&lt;&gt;"",FALSE)),1,0))</x:f>
        <x:v>0</x:v>
      </x:c>
      <x:c r="BN283" s="4" t="n">
        <x:f>IF(AND('Calculations'!BM283=1,'Calculations'!$AG$2,'Calculations'!$EN283=1),1,0)</x:f>
        <x:v>0</x:v>
      </x:c>
      <x:c r="BO283" s="4" t="str">
        <x:f>IF('Calculations'!BM283=0,"",IFERROR(IF(AND(VALUE(INDEX(INDIRECT("'WCM Calibration Final'!$K$1:$K$2000"),'Calculations'!$EM283))&gt;=1,VALUE(INDEX(INDIRECT("'WCM Calibration Final'!$K$1:$K$2000"),'Calculations'!$EM283))&lt;=4,MOD(VALUE(INDEX(INDIRECT("'WCM Calibration Final'!$K$1:$K$2000"),'Calculations'!$EM283)),1)=0),VALUE(INDEX(INDIRECT("'WCM Calibration Final'!$K$1:$K$2000"),'Calculations'!$EM283)),""),""))</x:f>
      </x:c>
      <x:c r="BP283" s="4" t="str">
        <x:f>IF('Calculations'!BM283=0,"",IFERROR(IF(AND(VALUE(INDEX(INDIRECT("'WCM Calibration Final'!$L$1:$L$2000"),'Calculations'!$EM283))&gt;=1,VALUE(INDEX(INDIRECT("'WCM Calibration Final'!$L$1:$L$2000"),'Calculations'!$EM283))&lt;=4,MOD(VALUE(INDEX(INDIRECT("'WCM Calibration Final'!$L$1:$L$2000"),'Calculations'!$EM283)),1)=0),VALUE(INDEX(INDIRECT("'WCM Calibration Final'!$L$1:$L$2000"),'Calculations'!$EM283)),""),""))</x:f>
      </x:c>
      <x:c r="BQ283" s="4"/>
      <x:c r="BR283" s="4"/>
      <x:c r="BS283" s="4"/>
      <x:c r="BT283" s="4" t="n">
        <x:f>IF(AND('Calculations'!BM283=1,ISNUMBER('Calculations'!BO283),ISNUMBER('Calculations'!BP283)),1,0)</x:f>
        <x:v>0</x:v>
      </x:c>
      <x:c r="BU283" s="4" t="str">
        <x:f>IF('Calculations'!BM283=0,"",'Calculations'!$EO283)</x:f>
      </x:c>
      <x:c r="BV283" s="4" t="str">
        <x:f>IF('Calculations'!BM283=0,"",IFERROR(IF(OR(INDEX(INDIRECT("'WCM Calibration Final'!$H$1:$H$2000"),'Calculations'!$EM283)="MANAGING DIRECTOR",INDEX(INDIRECT("'WCM Calibration Final'!$H$1:$H$2000"),'Calculations'!$EM283)="DIRECTOR",INDEX(INDIRECT("'WCM Calibration Final'!$H$1:$H$2000"),'Calculations'!$EM283)="SENIOR VICE PRESIDENT",INDEX(INDIRECT("'WCM Calibration Final'!$H$1:$H$2000"),'Calculations'!$EM283)="VICE PRESIDENT",INDEX(INDIRECT("'WCM Calibration Final'!$H$1:$H$2000"),'Calculations'!$EM283)="ASSISTANT VICE PRESIDENT",INDEX(INDIRECT("'WCM Calibration Final'!$H$1:$H$2000"),'Calculations'!$EM283)="OFFICER"),UPPER(INDEX(INDIRECT("'WCM Calibration Final'!$H$1:$H$2000"),'Calculations'!$EM283)),"Other"),"Other"))</x:f>
      </x:c>
      <x:c r="BW283" s="4"/>
      <x:c r="BX283" s="4"/>
      <x:c r="BY283" s="4" t="n">
        <x:f>IF(AND('Calculations'!BM283=1,'Calculations'!BU283&lt;&gt;"",COUNTIF('Calculations'!$BU$12:BU283,'Calculations'!BU283)=1),MAX('Calculations'!$BY$11:BY282)+1,0)</x:f>
        <x:v>0</x:v>
      </x:c>
      <x:c r="BZ283" s="4" t="str">
        <x:f>IF('Dashboard'!$E$67="What",'Calculations'!BO283,'Calculations'!BP283)</x:f>
      </x:c>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t="str">
        <x:f>IF(272&gt;MAX('Calculations'!$HI$13:$HI$512),"",INDEX('Calculations'!$HN$13:$HN$512,MATCH(272,'Calculations'!$HI$13:$HI$512,0)))</x:f>
      </x:c>
      <x:c r="DB283" s="4" t="str">
        <x:f>IF(272&gt;MAX('Calculations'!$HH$13:$HH$512),"",INDEX('Calculations'!$HJ$13:$HJ$512,MATCH(272,'Calculations'!$HH$13:$HH$512,0)))</x:f>
      </x:c>
      <x:c r="DC283" s="4" t="str">
        <x:f>IF(ROW()-11&gt;MAX('Calculations'!$BY$13:$BY$512),"",INDEX('Calculations'!$BU$13:$BU$512,MATCH(ROW()-11,'Calculations'!$BY$13:$BY$512,0)))</x:f>
      </x:c>
      <x:c r="DD283" s="4" t="str">
        <x:f>IF(272&gt;MAX('Calculations'!$IK$13:$IK$512),"",INDEX('Calculations'!$HK$13:$HK$512,MATCH(272,'Calculations'!$IK$13:$IK$512,0)))</x:f>
      </x:c>
      <x:c r="DE283" s="4" t="str">
        <x:f>'Calculations'!DC283</x:f>
      </x:c>
      <x:c r="DF283" s="4" t="str">
        <x:f>IF('Calculations'!DE283="","",COUNTIFS('Calculations'!$BN$13:$BN$512,1,'Calculations'!$BU$13:$BU$512,'Calculations'!DE283))</x:f>
      </x:c>
      <x:c r="DG283" s="4" t="str">
        <x:f>IF('Calculations'!DE283="","",COUNTIFS('Calculations'!$BN$13:$BN$512,1,'Calculations'!$BU$13:$BU$512,'Calculations'!DE283,'Calculations'!$BT$13:$BT$512,1))</x:f>
      </x:c>
      <x:c r="DH283" s="4" t="str">
        <x:f>IF('Calculations'!DE283="","",'Calculations'!DF283-'Calculations'!DG283)</x:f>
      </x:c>
      <x:c r="DI283" s="4" t="str">
        <x:f>IF(OR('Calculations'!DE283="",'Calculations'!DF283=0),"",'Calculations'!DG283/'Calculations'!DF283)</x:f>
      </x:c>
      <x:c r="DJ283" s="4" t="str">
        <x:f>IF('Calculations'!DE283="","",COUNTIFS('Calculations'!$BN$13:$BN$512,1,'Calculations'!$BU$13:$BU$512,'Calculations'!DE283,'Calculations'!$BT$13:$BT$512,1,'Calculations'!$EE$13:$EE$512,"High"))</x:f>
      </x:c>
      <x:c r="DK283" s="4" t="str">
        <x:f>IF('Calculations'!DE283="","",COUNTIFS('Calculations'!$BN$13:$BN$512,1,'Calculations'!$BU$13:$BU$512,'Calculations'!DE283,'Calculations'!$BT$13:$BT$512,1,'Calculations'!$EE$13:$EE$512,"Strong"))</x:f>
      </x:c>
      <x:c r="DL283" s="4" t="str">
        <x:f>IF('Calculations'!DE283="","",COUNTIFS('Calculations'!$BN$13:$BN$512,1,'Calculations'!$BU$13:$BU$512,'Calculations'!DE283,'Calculations'!$BT$13:$BT$512,1,'Calculations'!$EE$13:$EE$512,"Solid"))</x:f>
      </x:c>
      <x:c r="DM283" s="4" t="str">
        <x:f>IF('Calculations'!DE283="","",COUNTIFS('Calculations'!$BN$13:$BN$512,1,'Calculations'!$BU$13:$BU$512,'Calculations'!DE283,'Calculations'!$BT$13:$BT$512,1,'Calculations'!$EE$13:$EE$512,"Low"))</x:f>
      </x:c>
      <x:c r="DN283" s="4" t="str">
        <x:f>IF('Calculations'!DE283="","",COUNTIFS('Calculations'!$BN$13:$BN$512,1,'Calculations'!$BU$13:$BU$512,'Calculations'!DE283,'Calculations'!$EP$13:$EP$512,1))</x:f>
      </x:c>
      <x:c r="DO283" s="4" t="str">
        <x:f>IF(OR('Calculations'!DE283="",'Calculations'!DG283=0),"",('Calculations'!DJ283+'Calculations'!DK283)/'Calculations'!DG283)</x:f>
      </x:c>
      <x:c r="DP283" s="4" t="n">
        <x:f>IF(AND('Calculations'!DE283&lt;&gt;"",'Calculations'!DF283&gt;0),COUNTIF('Calculations'!$DF$12:DF283,"&gt;0"),0)</x:f>
        <x:v>0</x:v>
      </x:c>
      <x:c r="DQ283" s="4" t="str">
        <x:f>IF(272&gt;MAX('Calculations'!$HH$13:$HH$512),"",INDEX('Calculations'!$HF$13:$HF$512,MATCH(272,'Calculations'!$HH$13:$HH$512,0)))</x:f>
      </x:c>
      <x:c r="DR283" s="4" t="str">
        <x:f>IF(272&gt;MAX('Calculations'!$IK$13:$IK$512),"",INDEX('Calculations'!$HE$13:$HE$512,MATCH(272,'Calculations'!$IK$13:$IK$512,0)))</x:f>
      </x:c>
      <x:c r="DS283" s="4"/>
      <x:c r="DT283" s="4"/>
      <x:c r="DU283" s="4"/>
      <x:c r="DV283" s="4"/>
      <x:c r="DW283" s="4"/>
      <x:c r="DX283" s="4"/>
      <x:c r="DY283" s="4"/>
      <x:c r="DZ283" s="4"/>
      <x:c r="EA283" s="4"/>
      <x:c r="EB283" s="4"/>
      <x:c r="EC283" s="4"/>
      <x:c r="ED283" s="4"/>
      <x:c r="EE283" s="4" t="str">
        <x:f>IF('Calculations'!BT283=0,"Not Rated",IF(OR('Calculations'!BO283&gt;=4,'Calculations'!BP283&gt;=4),"Low",IF('Calculations'!BO283+'Calculations'!BP283&lt;=3,"High",IF('Calculations'!BO283+'Calculations'!BP283&lt;=4,"Strong","Solid"))))</x:f>
        <x:v>Not Rated</x:v>
      </x:c>
      <x:c r="EF283" s="4"/>
      <x:c r="EG283" s="4"/>
      <x:c r="EH283" s="4"/>
      <x:c r="EI283" s="4"/>
      <x:c r="EJ283" s="4"/>
      <x:c r="EK283" s="4"/>
      <x:c r="EL283" s="4"/>
      <x:c r="EM283" s="4" t="str">
        <x:f>IF(271&gt;'Calculations'!$JB$2000,"",INDEX('Calculations'!$JA$12:$JA$2000,MATCH(271,'Calculations'!$JB$12:$JB$2000,0)))</x:f>
      </x:c>
      <x:c r="EN283" s="4" t="n">
        <x:f>IF(OR('Calculations'!EM283="",'Calculations'!$AG$8&gt;0,AND('Calculations'!$EF$2&lt;&gt;"All",'Calculations'!HE283='Calculations'!$EF$2),AND('Calculations'!$EF$3&lt;&gt;"All",'Calculations'!HE283='Calculations'!$EF$3)),0,IF(OR('Dashboard'!$B$7="All",'Calculations'!HN283='Dashboard'!$B$7),IF('Calculations'!$EF$2="All",1,IF('Calculations'!HL283&gt;0,0,IF(COUNTIF('Calculations'!HO283:II283,"="&amp;SUBSTITUTE(SUBSTITUTE(SUBSTITUTE('Calculations'!$EF$2,"~","~~"),"*","~*"),"?","~?"))=0,0,IF('Calculations'!$EF$3="All",1,IF(COUNTIF('Calculations'!HO283:II283,"="&amp;SUBSTITUTE(SUBSTITUTE(SUBSTITUTE('Calculations'!$EF$3,"~","~~"),"*","~*"),"?","~?"))&gt;0,1,0))))),0))</x:f>
        <x:v>0</x:v>
      </x:c>
      <x:c r="EO283" s="4" t="str">
        <x:f>IF('Calculations'!IJ283="","",IF('Calculations'!IJ283="!UNRESOLVED","Unresolved hierarchy",IFERROR(INDEX('Calculations'!$HK$13:$HK$512,MATCH('Calculations'!IJ283,'Calculations'!$HE$13:$HE$512,0)),IFERROR(INDEX('Calculations'!$HJ$13:$HJ$512,MATCH('Calculations'!IJ283,'Calculations'!$HF$13:$HF$512,0)),'Calculations'!IJ283))))</x:f>
      </x:c>
      <x:c r="EP283" s="4" t="n">
        <x:f>IF(AND('Calculations'!EM283&lt;&gt;"",'Calculations'!HF283='Calculations'!IJ283),1,0)</x:f>
        <x:v>0</x:v>
      </x:c>
      <x:c r="EQ283" s="4"/>
      <x:c r="ER283" s="4"/>
      <x:c r="ES283" s="4"/>
      <x:c r="ET283" s="4"/>
      <x:c r="EU283" s="4"/>
      <x:c r="EV283" s="4"/>
      <x:c r="EW283" s="4"/>
      <x:c r="EX283" s="4"/>
      <x:c r="EY283" s="4"/>
      <x:c r="EZ283" s="4"/>
      <x:c r="FA283" s="4"/>
      <x:c r="FB283" s="4"/>
      <x:c r="FC283" s="4"/>
      <x:c r="FD283" s="4"/>
      <x:c r="FE283" s="4"/>
      <x:c r="FF283" s="4"/>
      <x:c r="FG283" s="4"/>
      <x:c r="FH283" s="4"/>
      <x:c r="FI283" s="4"/>
      <x:c r="FJ283" s="4"/>
      <x:c r="FK283" s="4"/>
      <x:c r="FL283" s="4"/>
      <x:c r="FM283" s="4"/>
      <x:c r="FN283" s="4"/>
      <x:c r="FO283" s="4"/>
      <x:c r="HE283" t="str">
        <x:f>IF('Calculations'!EM283="","",IF(IFERROR(IF(INDEX(INDIRECT("'WCM Calibration Final'!$A$1:$A$2000"),'Calculations'!$EM283)="","",TRIM(INDEX(INDIRECT("'WCM Calibration Final'!$A$1:$A$2000"),'Calculations'!$EM283)&amp;"")),"")&lt;&gt;"","G:"&amp;IFERROR(TEXT(1*INDEX(INDIRECT("'WCM Calibration Final'!$A$1:$A$2000"),'Calculations'!$EM283),"0"),UPPER(IFERROR(IF(INDEX(INDIRECT("'WCM Calibration Final'!$A$1:$A$2000"),'Calculations'!$EM283)="","",TRIM(INDEX(INDIRECT("'WCM Calibration Final'!$A$1:$A$2000"),'Calculations'!$EM283)&amp;"")),""))),IF(IFERROR(IF(INDEX(INDIRECT("'WCM Calibration Final'!$C$1:$C$2000"),'Calculations'!$EM283)="","",TRIM(INDEX(INDIRECT("'WCM Calibration Final'!$C$1:$C$2000"),'Calculations'!$EM283)&amp;"")),"")&lt;&gt;"","S:"&amp;UPPER(IFERROR(IF(INDEX(INDIRECT("'WCM Calibration Final'!$C$1:$C$2000"),'Calculations'!$EM283)="","",TRIM(INDEX(INDIRECT("'WCM Calibration Final'!$C$1:$C$2000"),'Calculations'!$EM283)&amp;"")),"")),"R:"&amp;'Calculations'!EM283)))</x:f>
      </x:c>
      <x:c r="HF283" t="str">
        <x:f>IF('Calculations'!EM283="","",IF(IFERROR(IF(INDEX(INDIRECT("'WCM Calibration Final'!$D$1:$D$2000"),'Calculations'!$EM283)="","",TRIM(INDEX(INDIRECT("'WCM Calibration Final'!$D$1:$D$2000"),'Calculations'!$EM283)&amp;"")),"")&lt;&gt;"","G:"&amp;IFERROR(TEXT(1*INDEX(INDIRECT("'WCM Calibration Final'!$D$1:$D$2000"),'Calculations'!$EM283),"0"),UPPER(IFERROR(IF(INDEX(INDIRECT("'WCM Calibration Final'!$D$1:$D$2000"),'Calculations'!$EM283)="","",TRIM(INDEX(INDIRECT("'WCM Calibration Final'!$D$1:$D$2000"),'Calculations'!$EM283)&amp;"")),""))),IF(IFERROR(IF(INDEX(INDIRECT("'WCM Calibration Final'!$E$1:$E$2000"),'Calculations'!$EM283)="","",TRIM(INDEX(INDIRECT("'WCM Calibration Final'!$E$1:$E$2000"),'Calculations'!$EM283)&amp;"")),"")="","",IF(COUNTIF('Calculations'!$HG$13:$HG$512,"="&amp;SUBSTITUTE(SUBSTITUTE(SUBSTITUTE(IFERROR(IF(INDEX(INDIRECT("'WCM Calibration Final'!$E$1:$E$2000"),'Calculations'!$EM283)="","",TRIM(INDEX(INDIRECT("'WCM Calibration Final'!$E$1:$E$2000"),'Calculations'!$EM283)&amp;"")),""),"~","~~"),"*","~*"),"?","~?"))=1,INDEX('Calculations'!$HE$13:$HE$512,MATCH(IFERROR(IF(INDEX(INDIRECT("'WCM Calibration Final'!$E$1:$E$2000"),'Calculations'!$EM283)="","",TRIM(INDEX(INDIRECT("'WCM Calibration Final'!$E$1:$E$2000"),'Calculations'!$EM283)&amp;"")),""),'Calculations'!$HG$13:$HG$512,0)),IF(COUNTIF('Calculations'!$HG$13:$HG$512,"="&amp;SUBSTITUTE(SUBSTITUTE(SUBSTITUTE(IFERROR(IF(INDEX(INDIRECT("'WCM Calibration Final'!$E$1:$E$2000"),'Calculations'!$EM283)="","",TRIM(INDEX(INDIRECT("'WCM Calibration Final'!$E$1:$E$2000"),'Calculations'!$EM283)&amp;"")),""),"~","~~"),"*","~*"),"?","~?"))&gt;1,"!AMBIG","X:"&amp;IFERROR(IF(INDEX(INDIRECT("'WCM Calibration Final'!$E$1:$E$2000"),'Calculations'!$EM283)="","",TRIM(INDEX(INDIRECT("'WCM Calibration Final'!$E$1:$E$2000"),'Calculations'!$EM283)&amp;"")),""))))))</x:f>
      </x:c>
      <x:c r="HG283" t="str">
        <x:f>IF('Calculations'!EM283="","",IFERROR(IF(INDEX(INDIRECT("'WCM Calibration Final'!$B$1:$B$2000"),'Calculations'!$EM283)="","",TRIM(INDEX(INDIRECT("'WCM Calibration Final'!$B$1:$B$2000"),'Calculations'!$EM283)&amp;"")),""))</x:f>
      </x:c>
      <x:c r="HH283" t="n">
        <x:f>IF(AND('Calculations'!JC283&gt;0,COUNTIF('Calculations'!$HF$12:HF283,"="&amp;SUBSTITUTE(SUBSTITUTE(SUBSTITUTE('Calculations'!HF283,"~","~~"),"*","~*"),"?","~?"))=1),MAX('Calculations'!$HH$12:HH282)+1,0)</x:f>
        <x:v>0</x:v>
      </x:c>
      <x:c r="HI283" t="n">
        <x:f>IF(AND('Calculations'!HN283&lt;&gt;"",COUNTIF('Calculations'!$HN$12:HN283,"="&amp;SUBSTITUTE(SUBSTITUTE(SUBSTITUTE('Calculations'!HN283,"~","~~"),"*","~*"),"?","~?"))=1),MAX('Calculations'!$HI$12:HI282)+1,0)</x:f>
        <x:v>0</x:v>
      </x:c>
      <x:c r="HJ283" t="str">
        <x:f>IF('Calculations'!HF283="","",IF(COUNTIF('Calculations'!$HE$13:$HE$512,"="&amp;SUBSTITUTE(SUBSTITUTE(SUBSTITUTE('Calculations'!HF283,"~","~~"),"*","~*"),"?","~?"))=1,INDEX('Calculations'!$HK$13:$HK$512,MATCH('Calculations'!HF283,'Calculations'!$HE$13:$HE$512,0)),IFERROR(IF(INDEX(INDIRECT("'WCM Calibration Final'!$E$1:$E$2000"),'Calculations'!$EM283)="","",TRIM(INDEX(INDIRECT("'WCM Calibration Final'!$E$1:$E$2000"),'Calculations'!$EM283)&amp;"")),"")&amp;" ["&amp;'Calculations'!HF283&amp;"]"))</x:f>
      </x:c>
      <x:c r="HK283" t="str">
        <x:f>IF('Calculations'!EM283="","",'Calculations'!HG283&amp;" ["&amp;'Calculations'!HE283&amp;"]")</x:f>
      </x:c>
      <x:c r="HL283" t="n">
        <x:f>IF('Calculations'!EM283="",0,IF(OR('Calculations'!II283&lt;&gt;"",COUNTIF('Calculations'!$HE$13:$HE$512,"="&amp;SUBSTITUTE(SUBSTITUTE(SUBSTITUTE('Calculations'!HE283,"~","~~"),"*","~*"),"?","~?"))&gt;1),1,0))</x:f>
        <x:v>0</x:v>
      </x:c>
      <x:c r="HM283" t="str">
        <x:f>IF('Calculations'!EM283="","",IF('Calculations'!HL283=1,"!UNRESOLVED",IF('Calculations'!IH283&lt;&gt;"",'Calculations'!IH283,IF('Calculations'!IG283&lt;&gt;"",'Calculations'!IG283,IF('Calculations'!IF283&lt;&gt;"",'Calculations'!IF283,IF('Calculations'!IE283&lt;&gt;"",'Calculations'!IE283,IF('Calculations'!ID283&lt;&gt;"",'Calculations'!ID283,IF('Calculations'!IC283&lt;&gt;"",'Calculations'!IC283,IF('Calculations'!IB283&lt;&gt;"",'Calculations'!IB283,IF('Calculations'!IA283&lt;&gt;"",'Calculations'!IA283,IF('Calculations'!HZ283&lt;&gt;"",'Calculations'!HZ283,IF('Calculations'!HY283&lt;&gt;"",'Calculations'!HY283,IF('Calculations'!HX283&lt;&gt;"",'Calculations'!HX283,IF('Calculations'!HW283&lt;&gt;"",'Calculations'!HW283,IF('Calculations'!HV283&lt;&gt;"",'Calculations'!HV283,IF('Calculations'!HU283&lt;&gt;"",'Calculations'!HU283,IF('Calculations'!HT283&lt;&gt;"",'Calculations'!HT283,IF('Calculations'!HS283&lt;&gt;"",'Calculations'!HS283,IF('Calculations'!HR283&lt;&gt;"",'Calculations'!HR283,IF('Calculations'!HQ283&lt;&gt;"",'Calculations'!HQ283,IF('Calculations'!HP283&lt;&gt;"",'Calculations'!HP283,IF('Calculations'!HO283&lt;&gt;"",'Calculations'!HO283,'Calculations'!HE283))))))))))))))))))))))</x:f>
      </x:c>
      <x:c r="HN283" t="str">
        <x:f>IF('Calculations'!EM283="","",IF(IFERROR(IF(INDEX(INDIRECT("'WCM Calibration Final'!$F$1:$F$2000"),'Calculations'!$EM283)="","",TRIM(INDEX(INDIRECT("'WCM Calibration Final'!$F$1:$F$2000"),'Calculations'!$EM283)&amp;"")),"")="","(Blank)",IFERROR(IF(INDEX(INDIRECT("'WCM Calibration Final'!$F$1:$F$2000"),'Calculations'!$EM283)="","",TRIM(INDEX(INDIRECT("'WCM Calibration Final'!$F$1:$F$2000"),'Calculations'!$EM283)&amp;"")),"")))</x:f>
      </x:c>
      <x:c r="HO283" t="str">
        <x:f>'Calculations'!HF283</x:f>
      </x:c>
      <x:c r="HP283" t="str">
        <x:f>IF('Calculations'!HO283="","",IF('Calculations'!HO283="!AMBIG","!AMBIG",IF(COUNTIF('Calculations'!$HE$13:$HE$512,"="&amp;SUBSTITUTE(SUBSTITUTE(SUBSTITUTE('Calculations'!HO283,"~","~~"),"*","~*"),"?","~?"))&gt;1,"!AMBIG",IFERROR(INDEX('Calculations'!$HF$13:$HF$512,MATCH('Calculations'!HO283,'Calculations'!$HE$13:$HE$512,0)),""))))</x:f>
      </x:c>
      <x:c r="HQ283" t="str">
        <x:f>IF('Calculations'!HP283="","",IF('Calculations'!HP283="!AMBIG","!AMBIG",IF(COUNTIF('Calculations'!$HE$13:$HE$512,"="&amp;SUBSTITUTE(SUBSTITUTE(SUBSTITUTE('Calculations'!HP283,"~","~~"),"*","~*"),"?","~?"))&gt;1,"!AMBIG",IFERROR(INDEX('Calculations'!$HF$13:$HF$512,MATCH('Calculations'!HP283,'Calculations'!$HE$13:$HE$512,0)),""))))</x:f>
      </x:c>
      <x:c r="HR283" t="str">
        <x:f>IF('Calculations'!HQ283="","",IF('Calculations'!HQ283="!AMBIG","!AMBIG",IF(COUNTIF('Calculations'!$HE$13:$HE$512,"="&amp;SUBSTITUTE(SUBSTITUTE(SUBSTITUTE('Calculations'!HQ283,"~","~~"),"*","~*"),"?","~?"))&gt;1,"!AMBIG",IFERROR(INDEX('Calculations'!$HF$13:$HF$512,MATCH('Calculations'!HQ283,'Calculations'!$HE$13:$HE$512,0)),""))))</x:f>
      </x:c>
      <x:c r="HS283" t="str">
        <x:f>IF('Calculations'!HR283="","",IF('Calculations'!HR283="!AMBIG","!AMBIG",IF(COUNTIF('Calculations'!$HE$13:$HE$512,"="&amp;SUBSTITUTE(SUBSTITUTE(SUBSTITUTE('Calculations'!HR283,"~","~~"),"*","~*"),"?","~?"))&gt;1,"!AMBIG",IFERROR(INDEX('Calculations'!$HF$13:$HF$512,MATCH('Calculations'!HR283,'Calculations'!$HE$13:$HE$512,0)),""))))</x:f>
      </x:c>
      <x:c r="HT283" t="str">
        <x:f>IF('Calculations'!HS283="","",IF('Calculations'!HS283="!AMBIG","!AMBIG",IF(COUNTIF('Calculations'!$HE$13:$HE$512,"="&amp;SUBSTITUTE(SUBSTITUTE(SUBSTITUTE('Calculations'!HS283,"~","~~"),"*","~*"),"?","~?"))&gt;1,"!AMBIG",IFERROR(INDEX('Calculations'!$HF$13:$HF$512,MATCH('Calculations'!HS283,'Calculations'!$HE$13:$HE$512,0)),""))))</x:f>
      </x:c>
      <x:c r="HU283" t="str">
        <x:f>IF('Calculations'!HT283="","",IF('Calculations'!HT283="!AMBIG","!AMBIG",IF(COUNTIF('Calculations'!$HE$13:$HE$512,"="&amp;SUBSTITUTE(SUBSTITUTE(SUBSTITUTE('Calculations'!HT283,"~","~~"),"*","~*"),"?","~?"))&gt;1,"!AMBIG",IFERROR(INDEX('Calculations'!$HF$13:$HF$512,MATCH('Calculations'!HT283,'Calculations'!$HE$13:$HE$512,0)),""))))</x:f>
      </x:c>
      <x:c r="HV283" t="str">
        <x:f>IF('Calculations'!HU283="","",IF('Calculations'!HU283="!AMBIG","!AMBIG",IF(COUNTIF('Calculations'!$HE$13:$HE$512,"="&amp;SUBSTITUTE(SUBSTITUTE(SUBSTITUTE('Calculations'!HU283,"~","~~"),"*","~*"),"?","~?"))&gt;1,"!AMBIG",IFERROR(INDEX('Calculations'!$HF$13:$HF$512,MATCH('Calculations'!HU283,'Calculations'!$HE$13:$HE$512,0)),""))))</x:f>
      </x:c>
      <x:c r="HW283" t="str">
        <x:f>IF('Calculations'!HV283="","",IF('Calculations'!HV283="!AMBIG","!AMBIG",IF(COUNTIF('Calculations'!$HE$13:$HE$512,"="&amp;SUBSTITUTE(SUBSTITUTE(SUBSTITUTE('Calculations'!HV283,"~","~~"),"*","~*"),"?","~?"))&gt;1,"!AMBIG",IFERROR(INDEX('Calculations'!$HF$13:$HF$512,MATCH('Calculations'!HV283,'Calculations'!$HE$13:$HE$512,0)),""))))</x:f>
      </x:c>
      <x:c r="HX283" t="str">
        <x:f>IF('Calculations'!HW283="","",IF('Calculations'!HW283="!AMBIG","!AMBIG",IF(COUNTIF('Calculations'!$HE$13:$HE$512,"="&amp;SUBSTITUTE(SUBSTITUTE(SUBSTITUTE('Calculations'!HW283,"~","~~"),"*","~*"),"?","~?"))&gt;1,"!AMBIG",IFERROR(INDEX('Calculations'!$HF$13:$HF$512,MATCH('Calculations'!HW283,'Calculations'!$HE$13:$HE$512,0)),""))))</x:f>
      </x:c>
      <x:c r="HY283" t="str">
        <x:f>IF('Calculations'!HX283="","",IF('Calculations'!HX283="!AMBIG","!AMBIG",IF(COUNTIF('Calculations'!$HE$13:$HE$512,"="&amp;SUBSTITUTE(SUBSTITUTE(SUBSTITUTE('Calculations'!HX283,"~","~~"),"*","~*"),"?","~?"))&gt;1,"!AMBIG",IFERROR(INDEX('Calculations'!$HF$13:$HF$512,MATCH('Calculations'!HX283,'Calculations'!$HE$13:$HE$512,0)),""))))</x:f>
      </x:c>
      <x:c r="HZ283" t="str">
        <x:f>IF('Calculations'!HY283="","",IF('Calculations'!HY283="!AMBIG","!AMBIG",IF(COUNTIF('Calculations'!$HE$13:$HE$512,"="&amp;SUBSTITUTE(SUBSTITUTE(SUBSTITUTE('Calculations'!HY283,"~","~~"),"*","~*"),"?","~?"))&gt;1,"!AMBIG",IFERROR(INDEX('Calculations'!$HF$13:$HF$512,MATCH('Calculations'!HY283,'Calculations'!$HE$13:$HE$512,0)),""))))</x:f>
      </x:c>
      <x:c r="IA283" t="str">
        <x:f>IF('Calculations'!HZ283="","",IF('Calculations'!HZ283="!AMBIG","!AMBIG",IF(COUNTIF('Calculations'!$HE$13:$HE$512,"="&amp;SUBSTITUTE(SUBSTITUTE(SUBSTITUTE('Calculations'!HZ283,"~","~~"),"*","~*"),"?","~?"))&gt;1,"!AMBIG",IFERROR(INDEX('Calculations'!$HF$13:$HF$512,MATCH('Calculations'!HZ283,'Calculations'!$HE$13:$HE$512,0)),""))))</x:f>
      </x:c>
      <x:c r="IB283" t="str">
        <x:f>IF('Calculations'!IA283="","",IF('Calculations'!IA283="!AMBIG","!AMBIG",IF(COUNTIF('Calculations'!$HE$13:$HE$512,"="&amp;SUBSTITUTE(SUBSTITUTE(SUBSTITUTE('Calculations'!IA283,"~","~~"),"*","~*"),"?","~?"))&gt;1,"!AMBIG",IFERROR(INDEX('Calculations'!$HF$13:$HF$512,MATCH('Calculations'!IA283,'Calculations'!$HE$13:$HE$512,0)),""))))</x:f>
      </x:c>
      <x:c r="IC283" t="str">
        <x:f>IF('Calculations'!IB283="","",IF('Calculations'!IB283="!AMBIG","!AMBIG",IF(COUNTIF('Calculations'!$HE$13:$HE$512,"="&amp;SUBSTITUTE(SUBSTITUTE(SUBSTITUTE('Calculations'!IB283,"~","~~"),"*","~*"),"?","~?"))&gt;1,"!AMBIG",IFERROR(INDEX('Calculations'!$HF$13:$HF$512,MATCH('Calculations'!IB283,'Calculations'!$HE$13:$HE$512,0)),""))))</x:f>
      </x:c>
      <x:c r="ID283" t="str">
        <x:f>IF('Calculations'!IC283="","",IF('Calculations'!IC283="!AMBIG","!AMBIG",IF(COUNTIF('Calculations'!$HE$13:$HE$512,"="&amp;SUBSTITUTE(SUBSTITUTE(SUBSTITUTE('Calculations'!IC283,"~","~~"),"*","~*"),"?","~?"))&gt;1,"!AMBIG",IFERROR(INDEX('Calculations'!$HF$13:$HF$512,MATCH('Calculations'!IC283,'Calculations'!$HE$13:$HE$512,0)),""))))</x:f>
      </x:c>
      <x:c r="IE283" t="str">
        <x:f>IF('Calculations'!ID283="","",IF('Calculations'!ID283="!AMBIG","!AMBIG",IF(COUNTIF('Calculations'!$HE$13:$HE$512,"="&amp;SUBSTITUTE(SUBSTITUTE(SUBSTITUTE('Calculations'!ID283,"~","~~"),"*","~*"),"?","~?"))&gt;1,"!AMBIG",IFERROR(INDEX('Calculations'!$HF$13:$HF$512,MATCH('Calculations'!ID283,'Calculations'!$HE$13:$HE$512,0)),""))))</x:f>
      </x:c>
      <x:c r="IF283" t="str">
        <x:f>IF('Calculations'!IE283="","",IF('Calculations'!IE283="!AMBIG","!AMBIG",IF(COUNTIF('Calculations'!$HE$13:$HE$512,"="&amp;SUBSTITUTE(SUBSTITUTE(SUBSTITUTE('Calculations'!IE283,"~","~~"),"*","~*"),"?","~?"))&gt;1,"!AMBIG",IFERROR(INDEX('Calculations'!$HF$13:$HF$512,MATCH('Calculations'!IE283,'Calculations'!$HE$13:$HE$512,0)),""))))</x:f>
      </x:c>
      <x:c r="IG283" t="str">
        <x:f>IF('Calculations'!IF283="","",IF('Calculations'!IF283="!AMBIG","!AMBIG",IF(COUNTIF('Calculations'!$HE$13:$HE$512,"="&amp;SUBSTITUTE(SUBSTITUTE(SUBSTITUTE('Calculations'!IF283,"~","~~"),"*","~*"),"?","~?"))&gt;1,"!AMBIG",IFERROR(INDEX('Calculations'!$HF$13:$HF$512,MATCH('Calculations'!IF283,'Calculations'!$HE$13:$HE$512,0)),""))))</x:f>
      </x:c>
      <x:c r="IH283" t="str">
        <x:f>IF('Calculations'!IG283="","",IF('Calculations'!IG283="!AMBIG","!AMBIG",IF(COUNTIF('Calculations'!$HE$13:$HE$512,"="&amp;SUBSTITUTE(SUBSTITUTE(SUBSTITUTE('Calculations'!IG283,"~","~~"),"*","~*"),"?","~?"))&gt;1,"!AMBIG",IFERROR(INDEX('Calculations'!$HF$13:$HF$512,MATCH('Calculations'!IG283,'Calculations'!$HE$13:$HE$512,0)),""))))</x:f>
      </x:c>
      <x:c r="II283" t="str">
        <x:f>IF('Calculations'!IH283="","",IF('Calculations'!IH283="!AMBIG","!AMBIG",IF(COUNTIF('Calculations'!$HE$13:$HE$512,"="&amp;SUBSTITUTE(SUBSTITUTE(SUBSTITUTE('Calculations'!IH283,"~","~~"),"*","~*"),"?","~?"))&gt;1,"!AMBIG",IFERROR(INDEX('Calculations'!$HF$13:$HF$512,MATCH('Calculations'!IH283,'Calculations'!$HE$13:$HE$512,0)),""))))</x:f>
      </x:c>
      <x:c r="IJ283" t="str">
        <x:f>IF('Calculations'!EM283="","",IF('Calculations'!$EF$2="All",'Calculations'!HM283,IF('Calculations'!HL283=1,"",IFERROR(IF(MATCH('Calculations'!$EF$2,'Calculations'!HO283:II283,0)=1,'Calculations'!HE283,INDEX('Calculations'!HO283:II283,1,MATCH('Calculations'!$EF$2,'Calculations'!HO283:II283,0)-1)),""))))</x:f>
      </x:c>
      <x:c r="IK283" t="n">
        <x:f>IF(AND('Calculations'!EM283&lt;&gt;"",'Calculations'!$EF$2&lt;&gt;"All",'Calculations'!HF283='Calculations'!$EF$2,'Calculations'!HL283=0,'Calculations'!JD283&gt;0),MAX('Calculations'!$IK$12:IK282)+1,0)</x:f>
        <x:v>0</x:v>
      </x:c>
      <x:c r="JA283" t="n">
        <x:f>IF(OR(IFERROR(INDIRECT("'WCM Calibration Final'!$A$283")&lt;&gt;"",FALSE),IFERROR(INDIRECT("'WCM Calibration Final'!$B$283")&lt;&gt;"",FALSE),IFERROR(INDIRECT("'WCM Calibration Final'!$C$283")&lt;&gt;"",FALSE)),283,0)</x:f>
        <x:v>0</x:v>
      </x:c>
      <x:c r="JB283" t="n">
        <x:f>'Calculations'!JB282+IF('Calculations'!JA283&gt;0,1,0)</x:f>
        <x:v>0</x:v>
      </x:c>
      <x:c r="JC283" t="n">
        <x:f>IF(OR('Calculations'!HF283="",'Calculations'!HF283="!AMBIG"),0,IF('Dashboard'!$B$7="All",1,COUNTIFS('Calculations'!$HO$13:$HO$512,"="&amp;SUBSTITUTE(SUBSTITUTE(SUBSTITUTE('Calculations'!HF283,"~","~~"),"*","~*"),"?","~?"),'Calculations'!$HN$13:$HN$512,"="&amp;SUBSTITUTE(SUBSTITUTE(SUBSTITUTE('Dashboard'!$B$7,"~","~~"),"*","~*"),"?","~?"))+COUNTIFS('Calculations'!$HP$13:$HP$512,"="&amp;SUBSTITUTE(SUBSTITUTE(SUBSTITUTE('Calculations'!HF283,"~","~~"),"*","~*"),"?","~?"),'Calculations'!$HN$13:$HN$512,"="&amp;SUBSTITUTE(SUBSTITUTE(SUBSTITUTE('Dashboard'!$B$7,"~","~~"),"*","~*"),"?","~?"))+COUNTIFS('Calculations'!$HQ$13:$HQ$512,"="&amp;SUBSTITUTE(SUBSTITUTE(SUBSTITUTE('Calculations'!HF283,"~","~~"),"*","~*"),"?","~?"),'Calculations'!$HN$13:$HN$512,"="&amp;SUBSTITUTE(SUBSTITUTE(SUBSTITUTE('Dashboard'!$B$7,"~","~~"),"*","~*"),"?","~?"))+COUNTIFS('Calculations'!$HR$13:$HR$512,"="&amp;SUBSTITUTE(SUBSTITUTE(SUBSTITUTE('Calculations'!HF283,"~","~~"),"*","~*"),"?","~?"),'Calculations'!$HN$13:$HN$512,"="&amp;SUBSTITUTE(SUBSTITUTE(SUBSTITUTE('Dashboard'!$B$7,"~","~~"),"*","~*"),"?","~?"))+COUNTIFS('Calculations'!$HS$13:$HS$512,"="&amp;SUBSTITUTE(SUBSTITUTE(SUBSTITUTE('Calculations'!HF283,"~","~~"),"*","~*"),"?","~?"),'Calculations'!$HN$13:$HN$512,"="&amp;SUBSTITUTE(SUBSTITUTE(SUBSTITUTE('Dashboard'!$B$7,"~","~~"),"*","~*"),"?","~?"))+COUNTIFS('Calculations'!$HT$13:$HT$512,"="&amp;SUBSTITUTE(SUBSTITUTE(SUBSTITUTE('Calculations'!HF283,"~","~~"),"*","~*"),"?","~?"),'Calculations'!$HN$13:$HN$512,"="&amp;SUBSTITUTE(SUBSTITUTE(SUBSTITUTE('Dashboard'!$B$7,"~","~~"),"*","~*"),"?","~?"))+COUNTIFS('Calculations'!$HU$13:$HU$512,"="&amp;SUBSTITUTE(SUBSTITUTE(SUBSTITUTE('Calculations'!HF283,"~","~~"),"*","~*"),"?","~?"),'Calculations'!$HN$13:$HN$512,"="&amp;SUBSTITUTE(SUBSTITUTE(SUBSTITUTE('Dashboard'!$B$7,"~","~~"),"*","~*"),"?","~?"))+COUNTIFS('Calculations'!$HV$13:$HV$512,"="&amp;SUBSTITUTE(SUBSTITUTE(SUBSTITUTE('Calculations'!HF283,"~","~~"),"*","~*"),"?","~?"),'Calculations'!$HN$13:$HN$512,"="&amp;SUBSTITUTE(SUBSTITUTE(SUBSTITUTE('Dashboard'!$B$7,"~","~~"),"*","~*"),"?","~?"))+COUNTIFS('Calculations'!$HW$13:$HW$512,"="&amp;SUBSTITUTE(SUBSTITUTE(SUBSTITUTE('Calculations'!HF283,"~","~~"),"*","~*"),"?","~?"),'Calculations'!$HN$13:$HN$512,"="&amp;SUBSTITUTE(SUBSTITUTE(SUBSTITUTE('Dashboard'!$B$7,"~","~~"),"*","~*"),"?","~?"))+COUNTIFS('Calculations'!$HX$13:$HX$512,"="&amp;SUBSTITUTE(SUBSTITUTE(SUBSTITUTE('Calculations'!HF283,"~","~~"),"*","~*"),"?","~?"),'Calculations'!$HN$13:$HN$512,"="&amp;SUBSTITUTE(SUBSTITUTE(SUBSTITUTE('Dashboard'!$B$7,"~","~~"),"*","~*"),"?","~?"))+COUNTIFS('Calculations'!$HY$13:$HY$512,"="&amp;SUBSTITUTE(SUBSTITUTE(SUBSTITUTE('Calculations'!HF283,"~","~~"),"*","~*"),"?","~?"),'Calculations'!$HN$13:$HN$512,"="&amp;SUBSTITUTE(SUBSTITUTE(SUBSTITUTE('Dashboard'!$B$7,"~","~~"),"*","~*"),"?","~?"))+COUNTIFS('Calculations'!$HZ$13:$HZ$512,"="&amp;SUBSTITUTE(SUBSTITUTE(SUBSTITUTE('Calculations'!HF283,"~","~~"),"*","~*"),"?","~?"),'Calculations'!$HN$13:$HN$512,"="&amp;SUBSTITUTE(SUBSTITUTE(SUBSTITUTE('Dashboard'!$B$7,"~","~~"),"*","~*"),"?","~?"))+COUNTIFS('Calculations'!$IA$13:$IA$512,"="&amp;SUBSTITUTE(SUBSTITUTE(SUBSTITUTE('Calculations'!HF283,"~","~~"),"*","~*"),"?","~?"),'Calculations'!$HN$13:$HN$512,"="&amp;SUBSTITUTE(SUBSTITUTE(SUBSTITUTE('Dashboard'!$B$7,"~","~~"),"*","~*"),"?","~?"))+COUNTIFS('Calculations'!$IB$13:$IB$512,"="&amp;SUBSTITUTE(SUBSTITUTE(SUBSTITUTE('Calculations'!HF283,"~","~~"),"*","~*"),"?","~?"),'Calculations'!$HN$13:$HN$512,"="&amp;SUBSTITUTE(SUBSTITUTE(SUBSTITUTE('Dashboard'!$B$7,"~","~~"),"*","~*"),"?","~?"))+COUNTIFS('Calculations'!$IC$13:$IC$512,"="&amp;SUBSTITUTE(SUBSTITUTE(SUBSTITUTE('Calculations'!HF283,"~","~~"),"*","~*"),"?","~?"),'Calculations'!$HN$13:$HN$512,"="&amp;SUBSTITUTE(SUBSTITUTE(SUBSTITUTE('Dashboard'!$B$7,"~","~~"),"*","~*"),"?","~?"))+COUNTIFS('Calculations'!$ID$13:$ID$512,"="&amp;SUBSTITUTE(SUBSTITUTE(SUBSTITUTE('Calculations'!HF283,"~","~~"),"*","~*"),"?","~?"),'Calculations'!$HN$13:$HN$512,"="&amp;SUBSTITUTE(SUBSTITUTE(SUBSTITUTE('Dashboard'!$B$7,"~","~~"),"*","~*"),"?","~?"))+COUNTIFS('Calculations'!$IE$13:$IE$512,"="&amp;SUBSTITUTE(SUBSTITUTE(SUBSTITUTE('Calculations'!HF283,"~","~~"),"*","~*"),"?","~?"),'Calculations'!$HN$13:$HN$512,"="&amp;SUBSTITUTE(SUBSTITUTE(SUBSTITUTE('Dashboard'!$B$7,"~","~~"),"*","~*"),"?","~?"))+COUNTIFS('Calculations'!$IF$13:$IF$512,"="&amp;SUBSTITUTE(SUBSTITUTE(SUBSTITUTE('Calculations'!HF283,"~","~~"),"*","~*"),"?","~?"),'Calculations'!$HN$13:$HN$512,"="&amp;SUBSTITUTE(SUBSTITUTE(SUBSTITUTE('Dashboard'!$B$7,"~","~~"),"*","~*"),"?","~?"))+COUNTIFS('Calculations'!$IG$13:$IG$512,"="&amp;SUBSTITUTE(SUBSTITUTE(SUBSTITUTE('Calculations'!HF283,"~","~~"),"*","~*"),"?","~?"),'Calculations'!$HN$13:$HN$512,"="&amp;SUBSTITUTE(SUBSTITUTE(SUBSTITUTE('Dashboard'!$B$7,"~","~~"),"*","~*"),"?","~?"))+COUNTIFS('Calculations'!$IH$13:$IH$512,"="&amp;SUBSTITUTE(SUBSTITUTE(SUBSTITUTE('Calculations'!HF283,"~","~~"),"*","~*"),"?","~?"),'Calculations'!$HN$13:$HN$512,"="&amp;SUBSTITUTE(SUBSTITUTE(SUBSTITUTE('Dashboard'!$B$7,"~","~~"),"*","~*"),"?","~?"))))</x:f>
        <x:v>0</x:v>
      </x:c>
      <x:c r="JD283" t="n">
        <x:f>IF('Calculations'!EM283="",0,IF('Dashboard'!$B$7="All",1,IF('Calculations'!HN283='Dashboard'!$B$7,1,0)+IFERROR(INDEX('Calculations'!$JC$13:$JC$512,MATCH('Calculations'!HE283,'Calculations'!$HF$13:$HF$512,0)),0)))</x:f>
        <x:v>0</x:v>
      </x:c>
      <x:c r="JE283" t="n">
        <x:f>IF(AND('Calculations'!EM283&lt;&gt;"",'Calculations'!$JJ$2&lt;&gt;"All",'Calculations'!$JJ$2&lt;&gt;"",'Calculations'!HF283='Calculations'!$JJ$2,'Calculations'!HL283=0,'Calculations'!JD283&gt;0),MAX('Calculations'!$JE$12:JE282)+1,0)</x:f>
        <x:v>0</x:v>
      </x:c>
      <x:c r="JF283" t="str">
        <x:f>IF('Calculations'!EM283="","",IFERROR(IF(INDEX(INDIRECT("'WCM Calibration Final'!$G$1:$G$2000"),'Calculations'!$EM283)="","",TRIM(INDEX(INDIRECT("'WCM Calibration Final'!$G$1:$G$2000"),'Calculations'!$EM283)&amp;"")),""))</x:f>
      </x:c>
      <x:c r="JQ283" t="n">
        <x:f>IF(OR('Calculations'!BM283=0,NOT('Calculations'!$AG$2),'Calculations'!$AG$8&gt;0),0,IF(OR('Dashboard'!$B$7="All",'Calculations'!HN283='Dashboard'!$B$7),IF('Calculations'!$JJ$2="All",1,IF(AND('Calculations'!HF283='Calculations'!$JJ$2,'Calculations'!HL283=0),1,0)),0))</x:f>
        <x:v>0</x:v>
      </x:c>
    </x:row>
    <x:row r="284">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t="n">
        <x:f>IF('Calculations'!$EM284="",0,IF(OR(IFERROR(INDEX(INDIRECT("'WCM Calibration Final'!$A$1:$A$2000"),'Calculations'!$EM284)&lt;&gt;"",FALSE),IFERROR(INDEX(INDIRECT("'WCM Calibration Final'!$B$1:$B$2000"),'Calculations'!$EM284)&lt;&gt;"",FALSE),IFERROR(INDEX(INDIRECT("'WCM Calibration Final'!$C$1:$C$2000"),'Calculations'!$EM284)&lt;&gt;"",FALSE)),1,0))</x:f>
        <x:v>0</x:v>
      </x:c>
      <x:c r="BN284" s="4" t="n">
        <x:f>IF(AND('Calculations'!BM284=1,'Calculations'!$AG$2,'Calculations'!$EN284=1),1,0)</x:f>
        <x:v>0</x:v>
      </x:c>
      <x:c r="BO284" s="4" t="str">
        <x:f>IF('Calculations'!BM284=0,"",IFERROR(IF(AND(VALUE(INDEX(INDIRECT("'WCM Calibration Final'!$K$1:$K$2000"),'Calculations'!$EM284))&gt;=1,VALUE(INDEX(INDIRECT("'WCM Calibration Final'!$K$1:$K$2000"),'Calculations'!$EM284))&lt;=4,MOD(VALUE(INDEX(INDIRECT("'WCM Calibration Final'!$K$1:$K$2000"),'Calculations'!$EM284)),1)=0),VALUE(INDEX(INDIRECT("'WCM Calibration Final'!$K$1:$K$2000"),'Calculations'!$EM284)),""),""))</x:f>
      </x:c>
      <x:c r="BP284" s="4" t="str">
        <x:f>IF('Calculations'!BM284=0,"",IFERROR(IF(AND(VALUE(INDEX(INDIRECT("'WCM Calibration Final'!$L$1:$L$2000"),'Calculations'!$EM284))&gt;=1,VALUE(INDEX(INDIRECT("'WCM Calibration Final'!$L$1:$L$2000"),'Calculations'!$EM284))&lt;=4,MOD(VALUE(INDEX(INDIRECT("'WCM Calibration Final'!$L$1:$L$2000"),'Calculations'!$EM284)),1)=0),VALUE(INDEX(INDIRECT("'WCM Calibration Final'!$L$1:$L$2000"),'Calculations'!$EM284)),""),""))</x:f>
      </x:c>
      <x:c r="BQ284" s="4"/>
      <x:c r="BR284" s="4"/>
      <x:c r="BS284" s="4"/>
      <x:c r="BT284" s="4" t="n">
        <x:f>IF(AND('Calculations'!BM284=1,ISNUMBER('Calculations'!BO284),ISNUMBER('Calculations'!BP284)),1,0)</x:f>
        <x:v>0</x:v>
      </x:c>
      <x:c r="BU284" s="4" t="str">
        <x:f>IF('Calculations'!BM284=0,"",'Calculations'!$EO284)</x:f>
      </x:c>
      <x:c r="BV284" s="4" t="str">
        <x:f>IF('Calculations'!BM284=0,"",IFERROR(IF(OR(INDEX(INDIRECT("'WCM Calibration Final'!$H$1:$H$2000"),'Calculations'!$EM284)="MANAGING DIRECTOR",INDEX(INDIRECT("'WCM Calibration Final'!$H$1:$H$2000"),'Calculations'!$EM284)="DIRECTOR",INDEX(INDIRECT("'WCM Calibration Final'!$H$1:$H$2000"),'Calculations'!$EM284)="SENIOR VICE PRESIDENT",INDEX(INDIRECT("'WCM Calibration Final'!$H$1:$H$2000"),'Calculations'!$EM284)="VICE PRESIDENT",INDEX(INDIRECT("'WCM Calibration Final'!$H$1:$H$2000"),'Calculations'!$EM284)="ASSISTANT VICE PRESIDENT",INDEX(INDIRECT("'WCM Calibration Final'!$H$1:$H$2000"),'Calculations'!$EM284)="OFFICER"),UPPER(INDEX(INDIRECT("'WCM Calibration Final'!$H$1:$H$2000"),'Calculations'!$EM284)),"Other"),"Other"))</x:f>
      </x:c>
      <x:c r="BW284" s="4"/>
      <x:c r="BX284" s="4"/>
      <x:c r="BY284" s="4" t="n">
        <x:f>IF(AND('Calculations'!BM284=1,'Calculations'!BU284&lt;&gt;"",COUNTIF('Calculations'!$BU$12:BU284,'Calculations'!BU284)=1),MAX('Calculations'!$BY$11:BY283)+1,0)</x:f>
        <x:v>0</x:v>
      </x:c>
      <x:c r="BZ284" s="4" t="str">
        <x:f>IF('Dashboard'!$E$67="What",'Calculations'!BO284,'Calculations'!BP284)</x:f>
      </x:c>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t="str">
        <x:f>IF(273&gt;MAX('Calculations'!$HI$13:$HI$512),"",INDEX('Calculations'!$HN$13:$HN$512,MATCH(273,'Calculations'!$HI$13:$HI$512,0)))</x:f>
      </x:c>
      <x:c r="DB284" s="4" t="str">
        <x:f>IF(273&gt;MAX('Calculations'!$HH$13:$HH$512),"",INDEX('Calculations'!$HJ$13:$HJ$512,MATCH(273,'Calculations'!$HH$13:$HH$512,0)))</x:f>
      </x:c>
      <x:c r="DC284" s="4" t="str">
        <x:f>IF(ROW()-11&gt;MAX('Calculations'!$BY$13:$BY$512),"",INDEX('Calculations'!$BU$13:$BU$512,MATCH(ROW()-11,'Calculations'!$BY$13:$BY$512,0)))</x:f>
      </x:c>
      <x:c r="DD284" s="4" t="str">
        <x:f>IF(273&gt;MAX('Calculations'!$IK$13:$IK$512),"",INDEX('Calculations'!$HK$13:$HK$512,MATCH(273,'Calculations'!$IK$13:$IK$512,0)))</x:f>
      </x:c>
      <x:c r="DE284" s="4" t="str">
        <x:f>'Calculations'!DC284</x:f>
      </x:c>
      <x:c r="DF284" s="4" t="str">
        <x:f>IF('Calculations'!DE284="","",COUNTIFS('Calculations'!$BN$13:$BN$512,1,'Calculations'!$BU$13:$BU$512,'Calculations'!DE284))</x:f>
      </x:c>
      <x:c r="DG284" s="4" t="str">
        <x:f>IF('Calculations'!DE284="","",COUNTIFS('Calculations'!$BN$13:$BN$512,1,'Calculations'!$BU$13:$BU$512,'Calculations'!DE284,'Calculations'!$BT$13:$BT$512,1))</x:f>
      </x:c>
      <x:c r="DH284" s="4" t="str">
        <x:f>IF('Calculations'!DE284="","",'Calculations'!DF284-'Calculations'!DG284)</x:f>
      </x:c>
      <x:c r="DI284" s="4" t="str">
        <x:f>IF(OR('Calculations'!DE284="",'Calculations'!DF284=0),"",'Calculations'!DG284/'Calculations'!DF284)</x:f>
      </x:c>
      <x:c r="DJ284" s="4" t="str">
        <x:f>IF('Calculations'!DE284="","",COUNTIFS('Calculations'!$BN$13:$BN$512,1,'Calculations'!$BU$13:$BU$512,'Calculations'!DE284,'Calculations'!$BT$13:$BT$512,1,'Calculations'!$EE$13:$EE$512,"High"))</x:f>
      </x:c>
      <x:c r="DK284" s="4" t="str">
        <x:f>IF('Calculations'!DE284="","",COUNTIFS('Calculations'!$BN$13:$BN$512,1,'Calculations'!$BU$13:$BU$512,'Calculations'!DE284,'Calculations'!$BT$13:$BT$512,1,'Calculations'!$EE$13:$EE$512,"Strong"))</x:f>
      </x:c>
      <x:c r="DL284" s="4" t="str">
        <x:f>IF('Calculations'!DE284="","",COUNTIFS('Calculations'!$BN$13:$BN$512,1,'Calculations'!$BU$13:$BU$512,'Calculations'!DE284,'Calculations'!$BT$13:$BT$512,1,'Calculations'!$EE$13:$EE$512,"Solid"))</x:f>
      </x:c>
      <x:c r="DM284" s="4" t="str">
        <x:f>IF('Calculations'!DE284="","",COUNTIFS('Calculations'!$BN$13:$BN$512,1,'Calculations'!$BU$13:$BU$512,'Calculations'!DE284,'Calculations'!$BT$13:$BT$512,1,'Calculations'!$EE$13:$EE$512,"Low"))</x:f>
      </x:c>
      <x:c r="DN284" s="4" t="str">
        <x:f>IF('Calculations'!DE284="","",COUNTIFS('Calculations'!$BN$13:$BN$512,1,'Calculations'!$BU$13:$BU$512,'Calculations'!DE284,'Calculations'!$EP$13:$EP$512,1))</x:f>
      </x:c>
      <x:c r="DO284" s="4" t="str">
        <x:f>IF(OR('Calculations'!DE284="",'Calculations'!DG284=0),"",('Calculations'!DJ284+'Calculations'!DK284)/'Calculations'!DG284)</x:f>
      </x:c>
      <x:c r="DP284" s="4" t="n">
        <x:f>IF(AND('Calculations'!DE284&lt;&gt;"",'Calculations'!DF284&gt;0),COUNTIF('Calculations'!$DF$12:DF284,"&gt;0"),0)</x:f>
        <x:v>0</x:v>
      </x:c>
      <x:c r="DQ284" s="4" t="str">
        <x:f>IF(273&gt;MAX('Calculations'!$HH$13:$HH$512),"",INDEX('Calculations'!$HF$13:$HF$512,MATCH(273,'Calculations'!$HH$13:$HH$512,0)))</x:f>
      </x:c>
      <x:c r="DR284" s="4" t="str">
        <x:f>IF(273&gt;MAX('Calculations'!$IK$13:$IK$512),"",INDEX('Calculations'!$HE$13:$HE$512,MATCH(273,'Calculations'!$IK$13:$IK$512,0)))</x:f>
      </x:c>
      <x:c r="DS284" s="4"/>
      <x:c r="DT284" s="4"/>
      <x:c r="DU284" s="4"/>
      <x:c r="DV284" s="4"/>
      <x:c r="DW284" s="4"/>
      <x:c r="DX284" s="4"/>
      <x:c r="DY284" s="4"/>
      <x:c r="DZ284" s="4"/>
      <x:c r="EA284" s="4"/>
      <x:c r="EB284" s="4"/>
      <x:c r="EC284" s="4"/>
      <x:c r="ED284" s="4"/>
      <x:c r="EE284" s="4" t="str">
        <x:f>IF('Calculations'!BT284=0,"Not Rated",IF(OR('Calculations'!BO284&gt;=4,'Calculations'!BP284&gt;=4),"Low",IF('Calculations'!BO284+'Calculations'!BP284&lt;=3,"High",IF('Calculations'!BO284+'Calculations'!BP284&lt;=4,"Strong","Solid"))))</x:f>
        <x:v>Not Rated</x:v>
      </x:c>
      <x:c r="EF284" s="4"/>
      <x:c r="EG284" s="4"/>
      <x:c r="EH284" s="4"/>
      <x:c r="EI284" s="4"/>
      <x:c r="EJ284" s="4"/>
      <x:c r="EK284" s="4"/>
      <x:c r="EL284" s="4"/>
      <x:c r="EM284" s="4" t="str">
        <x:f>IF(272&gt;'Calculations'!$JB$2000,"",INDEX('Calculations'!$JA$12:$JA$2000,MATCH(272,'Calculations'!$JB$12:$JB$2000,0)))</x:f>
      </x:c>
      <x:c r="EN284" s="4" t="n">
        <x:f>IF(OR('Calculations'!EM284="",'Calculations'!$AG$8&gt;0,AND('Calculations'!$EF$2&lt;&gt;"All",'Calculations'!HE284='Calculations'!$EF$2),AND('Calculations'!$EF$3&lt;&gt;"All",'Calculations'!HE284='Calculations'!$EF$3)),0,IF(OR('Dashboard'!$B$7="All",'Calculations'!HN284='Dashboard'!$B$7),IF('Calculations'!$EF$2="All",1,IF('Calculations'!HL284&gt;0,0,IF(COUNTIF('Calculations'!HO284:II284,"="&amp;SUBSTITUTE(SUBSTITUTE(SUBSTITUTE('Calculations'!$EF$2,"~","~~"),"*","~*"),"?","~?"))=0,0,IF('Calculations'!$EF$3="All",1,IF(COUNTIF('Calculations'!HO284:II284,"="&amp;SUBSTITUTE(SUBSTITUTE(SUBSTITUTE('Calculations'!$EF$3,"~","~~"),"*","~*"),"?","~?"))&gt;0,1,0))))),0))</x:f>
        <x:v>0</x:v>
      </x:c>
      <x:c r="EO284" s="4" t="str">
        <x:f>IF('Calculations'!IJ284="","",IF('Calculations'!IJ284="!UNRESOLVED","Unresolved hierarchy",IFERROR(INDEX('Calculations'!$HK$13:$HK$512,MATCH('Calculations'!IJ284,'Calculations'!$HE$13:$HE$512,0)),IFERROR(INDEX('Calculations'!$HJ$13:$HJ$512,MATCH('Calculations'!IJ284,'Calculations'!$HF$13:$HF$512,0)),'Calculations'!IJ284))))</x:f>
      </x:c>
      <x:c r="EP284" s="4" t="n">
        <x:f>IF(AND('Calculations'!EM284&lt;&gt;"",'Calculations'!HF284='Calculations'!IJ284),1,0)</x:f>
        <x:v>0</x:v>
      </x:c>
      <x:c r="EQ284" s="4"/>
      <x:c r="ER284" s="4"/>
      <x:c r="ES284" s="4"/>
      <x:c r="ET284" s="4"/>
      <x:c r="EU284" s="4"/>
      <x:c r="EV284" s="4"/>
      <x:c r="EW284" s="4"/>
      <x:c r="EX284" s="4"/>
      <x:c r="EY284" s="4"/>
      <x:c r="EZ284" s="4"/>
      <x:c r="FA284" s="4"/>
      <x:c r="FB284" s="4"/>
      <x:c r="FC284" s="4"/>
      <x:c r="FD284" s="4"/>
      <x:c r="FE284" s="4"/>
      <x:c r="FF284" s="4"/>
      <x:c r="FG284" s="4"/>
      <x:c r="FH284" s="4"/>
      <x:c r="FI284" s="4"/>
      <x:c r="FJ284" s="4"/>
      <x:c r="FK284" s="4"/>
      <x:c r="FL284" s="4"/>
      <x:c r="FM284" s="4"/>
      <x:c r="FN284" s="4"/>
      <x:c r="FO284" s="4"/>
      <x:c r="HE284" t="str">
        <x:f>IF('Calculations'!EM284="","",IF(IFERROR(IF(INDEX(INDIRECT("'WCM Calibration Final'!$A$1:$A$2000"),'Calculations'!$EM284)="","",TRIM(INDEX(INDIRECT("'WCM Calibration Final'!$A$1:$A$2000"),'Calculations'!$EM284)&amp;"")),"")&lt;&gt;"","G:"&amp;IFERROR(TEXT(1*INDEX(INDIRECT("'WCM Calibration Final'!$A$1:$A$2000"),'Calculations'!$EM284),"0"),UPPER(IFERROR(IF(INDEX(INDIRECT("'WCM Calibration Final'!$A$1:$A$2000"),'Calculations'!$EM284)="","",TRIM(INDEX(INDIRECT("'WCM Calibration Final'!$A$1:$A$2000"),'Calculations'!$EM284)&amp;"")),""))),IF(IFERROR(IF(INDEX(INDIRECT("'WCM Calibration Final'!$C$1:$C$2000"),'Calculations'!$EM284)="","",TRIM(INDEX(INDIRECT("'WCM Calibration Final'!$C$1:$C$2000"),'Calculations'!$EM284)&amp;"")),"")&lt;&gt;"","S:"&amp;UPPER(IFERROR(IF(INDEX(INDIRECT("'WCM Calibration Final'!$C$1:$C$2000"),'Calculations'!$EM284)="","",TRIM(INDEX(INDIRECT("'WCM Calibration Final'!$C$1:$C$2000"),'Calculations'!$EM284)&amp;"")),"")),"R:"&amp;'Calculations'!EM284)))</x:f>
      </x:c>
      <x:c r="HF284" t="str">
        <x:f>IF('Calculations'!EM284="","",IF(IFERROR(IF(INDEX(INDIRECT("'WCM Calibration Final'!$D$1:$D$2000"),'Calculations'!$EM284)="","",TRIM(INDEX(INDIRECT("'WCM Calibration Final'!$D$1:$D$2000"),'Calculations'!$EM284)&amp;"")),"")&lt;&gt;"","G:"&amp;IFERROR(TEXT(1*INDEX(INDIRECT("'WCM Calibration Final'!$D$1:$D$2000"),'Calculations'!$EM284),"0"),UPPER(IFERROR(IF(INDEX(INDIRECT("'WCM Calibration Final'!$D$1:$D$2000"),'Calculations'!$EM284)="","",TRIM(INDEX(INDIRECT("'WCM Calibration Final'!$D$1:$D$2000"),'Calculations'!$EM284)&amp;"")),""))),IF(IFERROR(IF(INDEX(INDIRECT("'WCM Calibration Final'!$E$1:$E$2000"),'Calculations'!$EM284)="","",TRIM(INDEX(INDIRECT("'WCM Calibration Final'!$E$1:$E$2000"),'Calculations'!$EM284)&amp;"")),"")="","",IF(COUNTIF('Calculations'!$HG$13:$HG$512,"="&amp;SUBSTITUTE(SUBSTITUTE(SUBSTITUTE(IFERROR(IF(INDEX(INDIRECT("'WCM Calibration Final'!$E$1:$E$2000"),'Calculations'!$EM284)="","",TRIM(INDEX(INDIRECT("'WCM Calibration Final'!$E$1:$E$2000"),'Calculations'!$EM284)&amp;"")),""),"~","~~"),"*","~*"),"?","~?"))=1,INDEX('Calculations'!$HE$13:$HE$512,MATCH(IFERROR(IF(INDEX(INDIRECT("'WCM Calibration Final'!$E$1:$E$2000"),'Calculations'!$EM284)="","",TRIM(INDEX(INDIRECT("'WCM Calibration Final'!$E$1:$E$2000"),'Calculations'!$EM284)&amp;"")),""),'Calculations'!$HG$13:$HG$512,0)),IF(COUNTIF('Calculations'!$HG$13:$HG$512,"="&amp;SUBSTITUTE(SUBSTITUTE(SUBSTITUTE(IFERROR(IF(INDEX(INDIRECT("'WCM Calibration Final'!$E$1:$E$2000"),'Calculations'!$EM284)="","",TRIM(INDEX(INDIRECT("'WCM Calibration Final'!$E$1:$E$2000"),'Calculations'!$EM284)&amp;"")),""),"~","~~"),"*","~*"),"?","~?"))&gt;1,"!AMBIG","X:"&amp;IFERROR(IF(INDEX(INDIRECT("'WCM Calibration Final'!$E$1:$E$2000"),'Calculations'!$EM284)="","",TRIM(INDEX(INDIRECT("'WCM Calibration Final'!$E$1:$E$2000"),'Calculations'!$EM284)&amp;"")),""))))))</x:f>
      </x:c>
      <x:c r="HG284" t="str">
        <x:f>IF('Calculations'!EM284="","",IFERROR(IF(INDEX(INDIRECT("'WCM Calibration Final'!$B$1:$B$2000"),'Calculations'!$EM284)="","",TRIM(INDEX(INDIRECT("'WCM Calibration Final'!$B$1:$B$2000"),'Calculations'!$EM284)&amp;"")),""))</x:f>
      </x:c>
      <x:c r="HH284" t="n">
        <x:f>IF(AND('Calculations'!JC284&gt;0,COUNTIF('Calculations'!$HF$12:HF284,"="&amp;SUBSTITUTE(SUBSTITUTE(SUBSTITUTE('Calculations'!HF284,"~","~~"),"*","~*"),"?","~?"))=1),MAX('Calculations'!$HH$12:HH283)+1,0)</x:f>
        <x:v>0</x:v>
      </x:c>
      <x:c r="HI284" t="n">
        <x:f>IF(AND('Calculations'!HN284&lt;&gt;"",COUNTIF('Calculations'!$HN$12:HN284,"="&amp;SUBSTITUTE(SUBSTITUTE(SUBSTITUTE('Calculations'!HN284,"~","~~"),"*","~*"),"?","~?"))=1),MAX('Calculations'!$HI$12:HI283)+1,0)</x:f>
        <x:v>0</x:v>
      </x:c>
      <x:c r="HJ284" t="str">
        <x:f>IF('Calculations'!HF284="","",IF(COUNTIF('Calculations'!$HE$13:$HE$512,"="&amp;SUBSTITUTE(SUBSTITUTE(SUBSTITUTE('Calculations'!HF284,"~","~~"),"*","~*"),"?","~?"))=1,INDEX('Calculations'!$HK$13:$HK$512,MATCH('Calculations'!HF284,'Calculations'!$HE$13:$HE$512,0)),IFERROR(IF(INDEX(INDIRECT("'WCM Calibration Final'!$E$1:$E$2000"),'Calculations'!$EM284)="","",TRIM(INDEX(INDIRECT("'WCM Calibration Final'!$E$1:$E$2000"),'Calculations'!$EM284)&amp;"")),"")&amp;" ["&amp;'Calculations'!HF284&amp;"]"))</x:f>
      </x:c>
      <x:c r="HK284" t="str">
        <x:f>IF('Calculations'!EM284="","",'Calculations'!HG284&amp;" ["&amp;'Calculations'!HE284&amp;"]")</x:f>
      </x:c>
      <x:c r="HL284" t="n">
        <x:f>IF('Calculations'!EM284="",0,IF(OR('Calculations'!II284&lt;&gt;"",COUNTIF('Calculations'!$HE$13:$HE$512,"="&amp;SUBSTITUTE(SUBSTITUTE(SUBSTITUTE('Calculations'!HE284,"~","~~"),"*","~*"),"?","~?"))&gt;1),1,0))</x:f>
        <x:v>0</x:v>
      </x:c>
      <x:c r="HM284" t="str">
        <x:f>IF('Calculations'!EM284="","",IF('Calculations'!HL284=1,"!UNRESOLVED",IF('Calculations'!IH284&lt;&gt;"",'Calculations'!IH284,IF('Calculations'!IG284&lt;&gt;"",'Calculations'!IG284,IF('Calculations'!IF284&lt;&gt;"",'Calculations'!IF284,IF('Calculations'!IE284&lt;&gt;"",'Calculations'!IE284,IF('Calculations'!ID284&lt;&gt;"",'Calculations'!ID284,IF('Calculations'!IC284&lt;&gt;"",'Calculations'!IC284,IF('Calculations'!IB284&lt;&gt;"",'Calculations'!IB284,IF('Calculations'!IA284&lt;&gt;"",'Calculations'!IA284,IF('Calculations'!HZ284&lt;&gt;"",'Calculations'!HZ284,IF('Calculations'!HY284&lt;&gt;"",'Calculations'!HY284,IF('Calculations'!HX284&lt;&gt;"",'Calculations'!HX284,IF('Calculations'!HW284&lt;&gt;"",'Calculations'!HW284,IF('Calculations'!HV284&lt;&gt;"",'Calculations'!HV284,IF('Calculations'!HU284&lt;&gt;"",'Calculations'!HU284,IF('Calculations'!HT284&lt;&gt;"",'Calculations'!HT284,IF('Calculations'!HS284&lt;&gt;"",'Calculations'!HS284,IF('Calculations'!HR284&lt;&gt;"",'Calculations'!HR284,IF('Calculations'!HQ284&lt;&gt;"",'Calculations'!HQ284,IF('Calculations'!HP284&lt;&gt;"",'Calculations'!HP284,IF('Calculations'!HO284&lt;&gt;"",'Calculations'!HO284,'Calculations'!HE284))))))))))))))))))))))</x:f>
      </x:c>
      <x:c r="HN284" t="str">
        <x:f>IF('Calculations'!EM284="","",IF(IFERROR(IF(INDEX(INDIRECT("'WCM Calibration Final'!$F$1:$F$2000"),'Calculations'!$EM284)="","",TRIM(INDEX(INDIRECT("'WCM Calibration Final'!$F$1:$F$2000"),'Calculations'!$EM284)&amp;"")),"")="","(Blank)",IFERROR(IF(INDEX(INDIRECT("'WCM Calibration Final'!$F$1:$F$2000"),'Calculations'!$EM284)="","",TRIM(INDEX(INDIRECT("'WCM Calibration Final'!$F$1:$F$2000"),'Calculations'!$EM284)&amp;"")),"")))</x:f>
      </x:c>
      <x:c r="HO284" t="str">
        <x:f>'Calculations'!HF284</x:f>
      </x:c>
      <x:c r="HP284" t="str">
        <x:f>IF('Calculations'!HO284="","",IF('Calculations'!HO284="!AMBIG","!AMBIG",IF(COUNTIF('Calculations'!$HE$13:$HE$512,"="&amp;SUBSTITUTE(SUBSTITUTE(SUBSTITUTE('Calculations'!HO284,"~","~~"),"*","~*"),"?","~?"))&gt;1,"!AMBIG",IFERROR(INDEX('Calculations'!$HF$13:$HF$512,MATCH('Calculations'!HO284,'Calculations'!$HE$13:$HE$512,0)),""))))</x:f>
      </x:c>
      <x:c r="HQ284" t="str">
        <x:f>IF('Calculations'!HP284="","",IF('Calculations'!HP284="!AMBIG","!AMBIG",IF(COUNTIF('Calculations'!$HE$13:$HE$512,"="&amp;SUBSTITUTE(SUBSTITUTE(SUBSTITUTE('Calculations'!HP284,"~","~~"),"*","~*"),"?","~?"))&gt;1,"!AMBIG",IFERROR(INDEX('Calculations'!$HF$13:$HF$512,MATCH('Calculations'!HP284,'Calculations'!$HE$13:$HE$512,0)),""))))</x:f>
      </x:c>
      <x:c r="HR284" t="str">
        <x:f>IF('Calculations'!HQ284="","",IF('Calculations'!HQ284="!AMBIG","!AMBIG",IF(COUNTIF('Calculations'!$HE$13:$HE$512,"="&amp;SUBSTITUTE(SUBSTITUTE(SUBSTITUTE('Calculations'!HQ284,"~","~~"),"*","~*"),"?","~?"))&gt;1,"!AMBIG",IFERROR(INDEX('Calculations'!$HF$13:$HF$512,MATCH('Calculations'!HQ284,'Calculations'!$HE$13:$HE$512,0)),""))))</x:f>
      </x:c>
      <x:c r="HS284" t="str">
        <x:f>IF('Calculations'!HR284="","",IF('Calculations'!HR284="!AMBIG","!AMBIG",IF(COUNTIF('Calculations'!$HE$13:$HE$512,"="&amp;SUBSTITUTE(SUBSTITUTE(SUBSTITUTE('Calculations'!HR284,"~","~~"),"*","~*"),"?","~?"))&gt;1,"!AMBIG",IFERROR(INDEX('Calculations'!$HF$13:$HF$512,MATCH('Calculations'!HR284,'Calculations'!$HE$13:$HE$512,0)),""))))</x:f>
      </x:c>
      <x:c r="HT284" t="str">
        <x:f>IF('Calculations'!HS284="","",IF('Calculations'!HS284="!AMBIG","!AMBIG",IF(COUNTIF('Calculations'!$HE$13:$HE$512,"="&amp;SUBSTITUTE(SUBSTITUTE(SUBSTITUTE('Calculations'!HS284,"~","~~"),"*","~*"),"?","~?"))&gt;1,"!AMBIG",IFERROR(INDEX('Calculations'!$HF$13:$HF$512,MATCH('Calculations'!HS284,'Calculations'!$HE$13:$HE$512,0)),""))))</x:f>
      </x:c>
      <x:c r="HU284" t="str">
        <x:f>IF('Calculations'!HT284="","",IF('Calculations'!HT284="!AMBIG","!AMBIG",IF(COUNTIF('Calculations'!$HE$13:$HE$512,"="&amp;SUBSTITUTE(SUBSTITUTE(SUBSTITUTE('Calculations'!HT284,"~","~~"),"*","~*"),"?","~?"))&gt;1,"!AMBIG",IFERROR(INDEX('Calculations'!$HF$13:$HF$512,MATCH('Calculations'!HT284,'Calculations'!$HE$13:$HE$512,0)),""))))</x:f>
      </x:c>
      <x:c r="HV284" t="str">
        <x:f>IF('Calculations'!HU284="","",IF('Calculations'!HU284="!AMBIG","!AMBIG",IF(COUNTIF('Calculations'!$HE$13:$HE$512,"="&amp;SUBSTITUTE(SUBSTITUTE(SUBSTITUTE('Calculations'!HU284,"~","~~"),"*","~*"),"?","~?"))&gt;1,"!AMBIG",IFERROR(INDEX('Calculations'!$HF$13:$HF$512,MATCH('Calculations'!HU284,'Calculations'!$HE$13:$HE$512,0)),""))))</x:f>
      </x:c>
      <x:c r="HW284" t="str">
        <x:f>IF('Calculations'!HV284="","",IF('Calculations'!HV284="!AMBIG","!AMBIG",IF(COUNTIF('Calculations'!$HE$13:$HE$512,"="&amp;SUBSTITUTE(SUBSTITUTE(SUBSTITUTE('Calculations'!HV284,"~","~~"),"*","~*"),"?","~?"))&gt;1,"!AMBIG",IFERROR(INDEX('Calculations'!$HF$13:$HF$512,MATCH('Calculations'!HV284,'Calculations'!$HE$13:$HE$512,0)),""))))</x:f>
      </x:c>
      <x:c r="HX284" t="str">
        <x:f>IF('Calculations'!HW284="","",IF('Calculations'!HW284="!AMBIG","!AMBIG",IF(COUNTIF('Calculations'!$HE$13:$HE$512,"="&amp;SUBSTITUTE(SUBSTITUTE(SUBSTITUTE('Calculations'!HW284,"~","~~"),"*","~*"),"?","~?"))&gt;1,"!AMBIG",IFERROR(INDEX('Calculations'!$HF$13:$HF$512,MATCH('Calculations'!HW284,'Calculations'!$HE$13:$HE$512,0)),""))))</x:f>
      </x:c>
      <x:c r="HY284" t="str">
        <x:f>IF('Calculations'!HX284="","",IF('Calculations'!HX284="!AMBIG","!AMBIG",IF(COUNTIF('Calculations'!$HE$13:$HE$512,"="&amp;SUBSTITUTE(SUBSTITUTE(SUBSTITUTE('Calculations'!HX284,"~","~~"),"*","~*"),"?","~?"))&gt;1,"!AMBIG",IFERROR(INDEX('Calculations'!$HF$13:$HF$512,MATCH('Calculations'!HX284,'Calculations'!$HE$13:$HE$512,0)),""))))</x:f>
      </x:c>
      <x:c r="HZ284" t="str">
        <x:f>IF('Calculations'!HY284="","",IF('Calculations'!HY284="!AMBIG","!AMBIG",IF(COUNTIF('Calculations'!$HE$13:$HE$512,"="&amp;SUBSTITUTE(SUBSTITUTE(SUBSTITUTE('Calculations'!HY284,"~","~~"),"*","~*"),"?","~?"))&gt;1,"!AMBIG",IFERROR(INDEX('Calculations'!$HF$13:$HF$512,MATCH('Calculations'!HY284,'Calculations'!$HE$13:$HE$512,0)),""))))</x:f>
      </x:c>
      <x:c r="IA284" t="str">
        <x:f>IF('Calculations'!HZ284="","",IF('Calculations'!HZ284="!AMBIG","!AMBIG",IF(COUNTIF('Calculations'!$HE$13:$HE$512,"="&amp;SUBSTITUTE(SUBSTITUTE(SUBSTITUTE('Calculations'!HZ284,"~","~~"),"*","~*"),"?","~?"))&gt;1,"!AMBIG",IFERROR(INDEX('Calculations'!$HF$13:$HF$512,MATCH('Calculations'!HZ284,'Calculations'!$HE$13:$HE$512,0)),""))))</x:f>
      </x:c>
      <x:c r="IB284" t="str">
        <x:f>IF('Calculations'!IA284="","",IF('Calculations'!IA284="!AMBIG","!AMBIG",IF(COUNTIF('Calculations'!$HE$13:$HE$512,"="&amp;SUBSTITUTE(SUBSTITUTE(SUBSTITUTE('Calculations'!IA284,"~","~~"),"*","~*"),"?","~?"))&gt;1,"!AMBIG",IFERROR(INDEX('Calculations'!$HF$13:$HF$512,MATCH('Calculations'!IA284,'Calculations'!$HE$13:$HE$512,0)),""))))</x:f>
      </x:c>
      <x:c r="IC284" t="str">
        <x:f>IF('Calculations'!IB284="","",IF('Calculations'!IB284="!AMBIG","!AMBIG",IF(COUNTIF('Calculations'!$HE$13:$HE$512,"="&amp;SUBSTITUTE(SUBSTITUTE(SUBSTITUTE('Calculations'!IB284,"~","~~"),"*","~*"),"?","~?"))&gt;1,"!AMBIG",IFERROR(INDEX('Calculations'!$HF$13:$HF$512,MATCH('Calculations'!IB284,'Calculations'!$HE$13:$HE$512,0)),""))))</x:f>
      </x:c>
      <x:c r="ID284" t="str">
        <x:f>IF('Calculations'!IC284="","",IF('Calculations'!IC284="!AMBIG","!AMBIG",IF(COUNTIF('Calculations'!$HE$13:$HE$512,"="&amp;SUBSTITUTE(SUBSTITUTE(SUBSTITUTE('Calculations'!IC284,"~","~~"),"*","~*"),"?","~?"))&gt;1,"!AMBIG",IFERROR(INDEX('Calculations'!$HF$13:$HF$512,MATCH('Calculations'!IC284,'Calculations'!$HE$13:$HE$512,0)),""))))</x:f>
      </x:c>
      <x:c r="IE284" t="str">
        <x:f>IF('Calculations'!ID284="","",IF('Calculations'!ID284="!AMBIG","!AMBIG",IF(COUNTIF('Calculations'!$HE$13:$HE$512,"="&amp;SUBSTITUTE(SUBSTITUTE(SUBSTITUTE('Calculations'!ID284,"~","~~"),"*","~*"),"?","~?"))&gt;1,"!AMBIG",IFERROR(INDEX('Calculations'!$HF$13:$HF$512,MATCH('Calculations'!ID284,'Calculations'!$HE$13:$HE$512,0)),""))))</x:f>
      </x:c>
      <x:c r="IF284" t="str">
        <x:f>IF('Calculations'!IE284="","",IF('Calculations'!IE284="!AMBIG","!AMBIG",IF(COUNTIF('Calculations'!$HE$13:$HE$512,"="&amp;SUBSTITUTE(SUBSTITUTE(SUBSTITUTE('Calculations'!IE284,"~","~~"),"*","~*"),"?","~?"))&gt;1,"!AMBIG",IFERROR(INDEX('Calculations'!$HF$13:$HF$512,MATCH('Calculations'!IE284,'Calculations'!$HE$13:$HE$512,0)),""))))</x:f>
      </x:c>
      <x:c r="IG284" t="str">
        <x:f>IF('Calculations'!IF284="","",IF('Calculations'!IF284="!AMBIG","!AMBIG",IF(COUNTIF('Calculations'!$HE$13:$HE$512,"="&amp;SUBSTITUTE(SUBSTITUTE(SUBSTITUTE('Calculations'!IF284,"~","~~"),"*","~*"),"?","~?"))&gt;1,"!AMBIG",IFERROR(INDEX('Calculations'!$HF$13:$HF$512,MATCH('Calculations'!IF284,'Calculations'!$HE$13:$HE$512,0)),""))))</x:f>
      </x:c>
      <x:c r="IH284" t="str">
        <x:f>IF('Calculations'!IG284="","",IF('Calculations'!IG284="!AMBIG","!AMBIG",IF(COUNTIF('Calculations'!$HE$13:$HE$512,"="&amp;SUBSTITUTE(SUBSTITUTE(SUBSTITUTE('Calculations'!IG284,"~","~~"),"*","~*"),"?","~?"))&gt;1,"!AMBIG",IFERROR(INDEX('Calculations'!$HF$13:$HF$512,MATCH('Calculations'!IG284,'Calculations'!$HE$13:$HE$512,0)),""))))</x:f>
      </x:c>
      <x:c r="II284" t="str">
        <x:f>IF('Calculations'!IH284="","",IF('Calculations'!IH284="!AMBIG","!AMBIG",IF(COUNTIF('Calculations'!$HE$13:$HE$512,"="&amp;SUBSTITUTE(SUBSTITUTE(SUBSTITUTE('Calculations'!IH284,"~","~~"),"*","~*"),"?","~?"))&gt;1,"!AMBIG",IFERROR(INDEX('Calculations'!$HF$13:$HF$512,MATCH('Calculations'!IH284,'Calculations'!$HE$13:$HE$512,0)),""))))</x:f>
      </x:c>
      <x:c r="IJ284" t="str">
        <x:f>IF('Calculations'!EM284="","",IF('Calculations'!$EF$2="All",'Calculations'!HM284,IF('Calculations'!HL284=1,"",IFERROR(IF(MATCH('Calculations'!$EF$2,'Calculations'!HO284:II284,0)=1,'Calculations'!HE284,INDEX('Calculations'!HO284:II284,1,MATCH('Calculations'!$EF$2,'Calculations'!HO284:II284,0)-1)),""))))</x:f>
      </x:c>
      <x:c r="IK284" t="n">
        <x:f>IF(AND('Calculations'!EM284&lt;&gt;"",'Calculations'!$EF$2&lt;&gt;"All",'Calculations'!HF284='Calculations'!$EF$2,'Calculations'!HL284=0,'Calculations'!JD284&gt;0),MAX('Calculations'!$IK$12:IK283)+1,0)</x:f>
        <x:v>0</x:v>
      </x:c>
      <x:c r="JA284" t="n">
        <x:f>IF(OR(IFERROR(INDIRECT("'WCM Calibration Final'!$A$284")&lt;&gt;"",FALSE),IFERROR(INDIRECT("'WCM Calibration Final'!$B$284")&lt;&gt;"",FALSE),IFERROR(INDIRECT("'WCM Calibration Final'!$C$284")&lt;&gt;"",FALSE)),284,0)</x:f>
        <x:v>0</x:v>
      </x:c>
      <x:c r="JB284" t="n">
        <x:f>'Calculations'!JB283+IF('Calculations'!JA284&gt;0,1,0)</x:f>
        <x:v>0</x:v>
      </x:c>
      <x:c r="JC284" t="n">
        <x:f>IF(OR('Calculations'!HF284="",'Calculations'!HF284="!AMBIG"),0,IF('Dashboard'!$B$7="All",1,COUNTIFS('Calculations'!$HO$13:$HO$512,"="&amp;SUBSTITUTE(SUBSTITUTE(SUBSTITUTE('Calculations'!HF284,"~","~~"),"*","~*"),"?","~?"),'Calculations'!$HN$13:$HN$512,"="&amp;SUBSTITUTE(SUBSTITUTE(SUBSTITUTE('Dashboard'!$B$7,"~","~~"),"*","~*"),"?","~?"))+COUNTIFS('Calculations'!$HP$13:$HP$512,"="&amp;SUBSTITUTE(SUBSTITUTE(SUBSTITUTE('Calculations'!HF284,"~","~~"),"*","~*"),"?","~?"),'Calculations'!$HN$13:$HN$512,"="&amp;SUBSTITUTE(SUBSTITUTE(SUBSTITUTE('Dashboard'!$B$7,"~","~~"),"*","~*"),"?","~?"))+COUNTIFS('Calculations'!$HQ$13:$HQ$512,"="&amp;SUBSTITUTE(SUBSTITUTE(SUBSTITUTE('Calculations'!HF284,"~","~~"),"*","~*"),"?","~?"),'Calculations'!$HN$13:$HN$512,"="&amp;SUBSTITUTE(SUBSTITUTE(SUBSTITUTE('Dashboard'!$B$7,"~","~~"),"*","~*"),"?","~?"))+COUNTIFS('Calculations'!$HR$13:$HR$512,"="&amp;SUBSTITUTE(SUBSTITUTE(SUBSTITUTE('Calculations'!HF284,"~","~~"),"*","~*"),"?","~?"),'Calculations'!$HN$13:$HN$512,"="&amp;SUBSTITUTE(SUBSTITUTE(SUBSTITUTE('Dashboard'!$B$7,"~","~~"),"*","~*"),"?","~?"))+COUNTIFS('Calculations'!$HS$13:$HS$512,"="&amp;SUBSTITUTE(SUBSTITUTE(SUBSTITUTE('Calculations'!HF284,"~","~~"),"*","~*"),"?","~?"),'Calculations'!$HN$13:$HN$512,"="&amp;SUBSTITUTE(SUBSTITUTE(SUBSTITUTE('Dashboard'!$B$7,"~","~~"),"*","~*"),"?","~?"))+COUNTIFS('Calculations'!$HT$13:$HT$512,"="&amp;SUBSTITUTE(SUBSTITUTE(SUBSTITUTE('Calculations'!HF284,"~","~~"),"*","~*"),"?","~?"),'Calculations'!$HN$13:$HN$512,"="&amp;SUBSTITUTE(SUBSTITUTE(SUBSTITUTE('Dashboard'!$B$7,"~","~~"),"*","~*"),"?","~?"))+COUNTIFS('Calculations'!$HU$13:$HU$512,"="&amp;SUBSTITUTE(SUBSTITUTE(SUBSTITUTE('Calculations'!HF284,"~","~~"),"*","~*"),"?","~?"),'Calculations'!$HN$13:$HN$512,"="&amp;SUBSTITUTE(SUBSTITUTE(SUBSTITUTE('Dashboard'!$B$7,"~","~~"),"*","~*"),"?","~?"))+COUNTIFS('Calculations'!$HV$13:$HV$512,"="&amp;SUBSTITUTE(SUBSTITUTE(SUBSTITUTE('Calculations'!HF284,"~","~~"),"*","~*"),"?","~?"),'Calculations'!$HN$13:$HN$512,"="&amp;SUBSTITUTE(SUBSTITUTE(SUBSTITUTE('Dashboard'!$B$7,"~","~~"),"*","~*"),"?","~?"))+COUNTIFS('Calculations'!$HW$13:$HW$512,"="&amp;SUBSTITUTE(SUBSTITUTE(SUBSTITUTE('Calculations'!HF284,"~","~~"),"*","~*"),"?","~?"),'Calculations'!$HN$13:$HN$512,"="&amp;SUBSTITUTE(SUBSTITUTE(SUBSTITUTE('Dashboard'!$B$7,"~","~~"),"*","~*"),"?","~?"))+COUNTIFS('Calculations'!$HX$13:$HX$512,"="&amp;SUBSTITUTE(SUBSTITUTE(SUBSTITUTE('Calculations'!HF284,"~","~~"),"*","~*"),"?","~?"),'Calculations'!$HN$13:$HN$512,"="&amp;SUBSTITUTE(SUBSTITUTE(SUBSTITUTE('Dashboard'!$B$7,"~","~~"),"*","~*"),"?","~?"))+COUNTIFS('Calculations'!$HY$13:$HY$512,"="&amp;SUBSTITUTE(SUBSTITUTE(SUBSTITUTE('Calculations'!HF284,"~","~~"),"*","~*"),"?","~?"),'Calculations'!$HN$13:$HN$512,"="&amp;SUBSTITUTE(SUBSTITUTE(SUBSTITUTE('Dashboard'!$B$7,"~","~~"),"*","~*"),"?","~?"))+COUNTIFS('Calculations'!$HZ$13:$HZ$512,"="&amp;SUBSTITUTE(SUBSTITUTE(SUBSTITUTE('Calculations'!HF284,"~","~~"),"*","~*"),"?","~?"),'Calculations'!$HN$13:$HN$512,"="&amp;SUBSTITUTE(SUBSTITUTE(SUBSTITUTE('Dashboard'!$B$7,"~","~~"),"*","~*"),"?","~?"))+COUNTIFS('Calculations'!$IA$13:$IA$512,"="&amp;SUBSTITUTE(SUBSTITUTE(SUBSTITUTE('Calculations'!HF284,"~","~~"),"*","~*"),"?","~?"),'Calculations'!$HN$13:$HN$512,"="&amp;SUBSTITUTE(SUBSTITUTE(SUBSTITUTE('Dashboard'!$B$7,"~","~~"),"*","~*"),"?","~?"))+COUNTIFS('Calculations'!$IB$13:$IB$512,"="&amp;SUBSTITUTE(SUBSTITUTE(SUBSTITUTE('Calculations'!HF284,"~","~~"),"*","~*"),"?","~?"),'Calculations'!$HN$13:$HN$512,"="&amp;SUBSTITUTE(SUBSTITUTE(SUBSTITUTE('Dashboard'!$B$7,"~","~~"),"*","~*"),"?","~?"))+COUNTIFS('Calculations'!$IC$13:$IC$512,"="&amp;SUBSTITUTE(SUBSTITUTE(SUBSTITUTE('Calculations'!HF284,"~","~~"),"*","~*"),"?","~?"),'Calculations'!$HN$13:$HN$512,"="&amp;SUBSTITUTE(SUBSTITUTE(SUBSTITUTE('Dashboard'!$B$7,"~","~~"),"*","~*"),"?","~?"))+COUNTIFS('Calculations'!$ID$13:$ID$512,"="&amp;SUBSTITUTE(SUBSTITUTE(SUBSTITUTE('Calculations'!HF284,"~","~~"),"*","~*"),"?","~?"),'Calculations'!$HN$13:$HN$512,"="&amp;SUBSTITUTE(SUBSTITUTE(SUBSTITUTE('Dashboard'!$B$7,"~","~~"),"*","~*"),"?","~?"))+COUNTIFS('Calculations'!$IE$13:$IE$512,"="&amp;SUBSTITUTE(SUBSTITUTE(SUBSTITUTE('Calculations'!HF284,"~","~~"),"*","~*"),"?","~?"),'Calculations'!$HN$13:$HN$512,"="&amp;SUBSTITUTE(SUBSTITUTE(SUBSTITUTE('Dashboard'!$B$7,"~","~~"),"*","~*"),"?","~?"))+COUNTIFS('Calculations'!$IF$13:$IF$512,"="&amp;SUBSTITUTE(SUBSTITUTE(SUBSTITUTE('Calculations'!HF284,"~","~~"),"*","~*"),"?","~?"),'Calculations'!$HN$13:$HN$512,"="&amp;SUBSTITUTE(SUBSTITUTE(SUBSTITUTE('Dashboard'!$B$7,"~","~~"),"*","~*"),"?","~?"))+COUNTIFS('Calculations'!$IG$13:$IG$512,"="&amp;SUBSTITUTE(SUBSTITUTE(SUBSTITUTE('Calculations'!HF284,"~","~~"),"*","~*"),"?","~?"),'Calculations'!$HN$13:$HN$512,"="&amp;SUBSTITUTE(SUBSTITUTE(SUBSTITUTE('Dashboard'!$B$7,"~","~~"),"*","~*"),"?","~?"))+COUNTIFS('Calculations'!$IH$13:$IH$512,"="&amp;SUBSTITUTE(SUBSTITUTE(SUBSTITUTE('Calculations'!HF284,"~","~~"),"*","~*"),"?","~?"),'Calculations'!$HN$13:$HN$512,"="&amp;SUBSTITUTE(SUBSTITUTE(SUBSTITUTE('Dashboard'!$B$7,"~","~~"),"*","~*"),"?","~?"))))</x:f>
        <x:v>0</x:v>
      </x:c>
      <x:c r="JD284" t="n">
        <x:f>IF('Calculations'!EM284="",0,IF('Dashboard'!$B$7="All",1,IF('Calculations'!HN284='Dashboard'!$B$7,1,0)+IFERROR(INDEX('Calculations'!$JC$13:$JC$512,MATCH('Calculations'!HE284,'Calculations'!$HF$13:$HF$512,0)),0)))</x:f>
        <x:v>0</x:v>
      </x:c>
      <x:c r="JE284" t="n">
        <x:f>IF(AND('Calculations'!EM284&lt;&gt;"",'Calculations'!$JJ$2&lt;&gt;"All",'Calculations'!$JJ$2&lt;&gt;"",'Calculations'!HF284='Calculations'!$JJ$2,'Calculations'!HL284=0,'Calculations'!JD284&gt;0),MAX('Calculations'!$JE$12:JE283)+1,0)</x:f>
        <x:v>0</x:v>
      </x:c>
      <x:c r="JF284" t="str">
        <x:f>IF('Calculations'!EM284="","",IFERROR(IF(INDEX(INDIRECT("'WCM Calibration Final'!$G$1:$G$2000"),'Calculations'!$EM284)="","",TRIM(INDEX(INDIRECT("'WCM Calibration Final'!$G$1:$G$2000"),'Calculations'!$EM284)&amp;"")),""))</x:f>
      </x:c>
      <x:c r="JQ284" t="n">
        <x:f>IF(OR('Calculations'!BM284=0,NOT('Calculations'!$AG$2),'Calculations'!$AG$8&gt;0),0,IF(OR('Dashboard'!$B$7="All",'Calculations'!HN284='Dashboard'!$B$7),IF('Calculations'!$JJ$2="All",1,IF(AND('Calculations'!HF284='Calculations'!$JJ$2,'Calculations'!HL284=0),1,0)),0))</x:f>
        <x:v>0</x:v>
      </x:c>
    </x:row>
    <x:row r="285">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t="n">
        <x:f>IF('Calculations'!$EM285="",0,IF(OR(IFERROR(INDEX(INDIRECT("'WCM Calibration Final'!$A$1:$A$2000"),'Calculations'!$EM285)&lt;&gt;"",FALSE),IFERROR(INDEX(INDIRECT("'WCM Calibration Final'!$B$1:$B$2000"),'Calculations'!$EM285)&lt;&gt;"",FALSE),IFERROR(INDEX(INDIRECT("'WCM Calibration Final'!$C$1:$C$2000"),'Calculations'!$EM285)&lt;&gt;"",FALSE)),1,0))</x:f>
        <x:v>0</x:v>
      </x:c>
      <x:c r="BN285" s="4" t="n">
        <x:f>IF(AND('Calculations'!BM285=1,'Calculations'!$AG$2,'Calculations'!$EN285=1),1,0)</x:f>
        <x:v>0</x:v>
      </x:c>
      <x:c r="BO285" s="4" t="str">
        <x:f>IF('Calculations'!BM285=0,"",IFERROR(IF(AND(VALUE(INDEX(INDIRECT("'WCM Calibration Final'!$K$1:$K$2000"),'Calculations'!$EM285))&gt;=1,VALUE(INDEX(INDIRECT("'WCM Calibration Final'!$K$1:$K$2000"),'Calculations'!$EM285))&lt;=4,MOD(VALUE(INDEX(INDIRECT("'WCM Calibration Final'!$K$1:$K$2000"),'Calculations'!$EM285)),1)=0),VALUE(INDEX(INDIRECT("'WCM Calibration Final'!$K$1:$K$2000"),'Calculations'!$EM285)),""),""))</x:f>
      </x:c>
      <x:c r="BP285" s="4" t="str">
        <x:f>IF('Calculations'!BM285=0,"",IFERROR(IF(AND(VALUE(INDEX(INDIRECT("'WCM Calibration Final'!$L$1:$L$2000"),'Calculations'!$EM285))&gt;=1,VALUE(INDEX(INDIRECT("'WCM Calibration Final'!$L$1:$L$2000"),'Calculations'!$EM285))&lt;=4,MOD(VALUE(INDEX(INDIRECT("'WCM Calibration Final'!$L$1:$L$2000"),'Calculations'!$EM285)),1)=0),VALUE(INDEX(INDIRECT("'WCM Calibration Final'!$L$1:$L$2000"),'Calculations'!$EM285)),""),""))</x:f>
      </x:c>
      <x:c r="BQ285" s="4"/>
      <x:c r="BR285" s="4"/>
      <x:c r="BS285" s="4"/>
      <x:c r="BT285" s="4" t="n">
        <x:f>IF(AND('Calculations'!BM285=1,ISNUMBER('Calculations'!BO285),ISNUMBER('Calculations'!BP285)),1,0)</x:f>
        <x:v>0</x:v>
      </x:c>
      <x:c r="BU285" s="4" t="str">
        <x:f>IF('Calculations'!BM285=0,"",'Calculations'!$EO285)</x:f>
      </x:c>
      <x:c r="BV285" s="4" t="str">
        <x:f>IF('Calculations'!BM285=0,"",IFERROR(IF(OR(INDEX(INDIRECT("'WCM Calibration Final'!$H$1:$H$2000"),'Calculations'!$EM285)="MANAGING DIRECTOR",INDEX(INDIRECT("'WCM Calibration Final'!$H$1:$H$2000"),'Calculations'!$EM285)="DIRECTOR",INDEX(INDIRECT("'WCM Calibration Final'!$H$1:$H$2000"),'Calculations'!$EM285)="SENIOR VICE PRESIDENT",INDEX(INDIRECT("'WCM Calibration Final'!$H$1:$H$2000"),'Calculations'!$EM285)="VICE PRESIDENT",INDEX(INDIRECT("'WCM Calibration Final'!$H$1:$H$2000"),'Calculations'!$EM285)="ASSISTANT VICE PRESIDENT",INDEX(INDIRECT("'WCM Calibration Final'!$H$1:$H$2000"),'Calculations'!$EM285)="OFFICER"),UPPER(INDEX(INDIRECT("'WCM Calibration Final'!$H$1:$H$2000"),'Calculations'!$EM285)),"Other"),"Other"))</x:f>
      </x:c>
      <x:c r="BW285" s="4"/>
      <x:c r="BX285" s="4"/>
      <x:c r="BY285" s="4" t="n">
        <x:f>IF(AND('Calculations'!BM285=1,'Calculations'!BU285&lt;&gt;"",COUNTIF('Calculations'!$BU$12:BU285,'Calculations'!BU285)=1),MAX('Calculations'!$BY$11:BY284)+1,0)</x:f>
        <x:v>0</x:v>
      </x:c>
      <x:c r="BZ285" s="4" t="str">
        <x:f>IF('Dashboard'!$E$67="What",'Calculations'!BO285,'Calculations'!BP285)</x:f>
      </x:c>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t="str">
        <x:f>IF(274&gt;MAX('Calculations'!$HI$13:$HI$512),"",INDEX('Calculations'!$HN$13:$HN$512,MATCH(274,'Calculations'!$HI$13:$HI$512,0)))</x:f>
      </x:c>
      <x:c r="DB285" s="4" t="str">
        <x:f>IF(274&gt;MAX('Calculations'!$HH$13:$HH$512),"",INDEX('Calculations'!$HJ$13:$HJ$512,MATCH(274,'Calculations'!$HH$13:$HH$512,0)))</x:f>
      </x:c>
      <x:c r="DC285" s="4" t="str">
        <x:f>IF(ROW()-11&gt;MAX('Calculations'!$BY$13:$BY$512),"",INDEX('Calculations'!$BU$13:$BU$512,MATCH(ROW()-11,'Calculations'!$BY$13:$BY$512,0)))</x:f>
      </x:c>
      <x:c r="DD285" s="4" t="str">
        <x:f>IF(274&gt;MAX('Calculations'!$IK$13:$IK$512),"",INDEX('Calculations'!$HK$13:$HK$512,MATCH(274,'Calculations'!$IK$13:$IK$512,0)))</x:f>
      </x:c>
      <x:c r="DE285" s="4" t="str">
        <x:f>'Calculations'!DC285</x:f>
      </x:c>
      <x:c r="DF285" s="4" t="str">
        <x:f>IF('Calculations'!DE285="","",COUNTIFS('Calculations'!$BN$13:$BN$512,1,'Calculations'!$BU$13:$BU$512,'Calculations'!DE285))</x:f>
      </x:c>
      <x:c r="DG285" s="4" t="str">
        <x:f>IF('Calculations'!DE285="","",COUNTIFS('Calculations'!$BN$13:$BN$512,1,'Calculations'!$BU$13:$BU$512,'Calculations'!DE285,'Calculations'!$BT$13:$BT$512,1))</x:f>
      </x:c>
      <x:c r="DH285" s="4" t="str">
        <x:f>IF('Calculations'!DE285="","",'Calculations'!DF285-'Calculations'!DG285)</x:f>
      </x:c>
      <x:c r="DI285" s="4" t="str">
        <x:f>IF(OR('Calculations'!DE285="",'Calculations'!DF285=0),"",'Calculations'!DG285/'Calculations'!DF285)</x:f>
      </x:c>
      <x:c r="DJ285" s="4" t="str">
        <x:f>IF('Calculations'!DE285="","",COUNTIFS('Calculations'!$BN$13:$BN$512,1,'Calculations'!$BU$13:$BU$512,'Calculations'!DE285,'Calculations'!$BT$13:$BT$512,1,'Calculations'!$EE$13:$EE$512,"High"))</x:f>
      </x:c>
      <x:c r="DK285" s="4" t="str">
        <x:f>IF('Calculations'!DE285="","",COUNTIFS('Calculations'!$BN$13:$BN$512,1,'Calculations'!$BU$13:$BU$512,'Calculations'!DE285,'Calculations'!$BT$13:$BT$512,1,'Calculations'!$EE$13:$EE$512,"Strong"))</x:f>
      </x:c>
      <x:c r="DL285" s="4" t="str">
        <x:f>IF('Calculations'!DE285="","",COUNTIFS('Calculations'!$BN$13:$BN$512,1,'Calculations'!$BU$13:$BU$512,'Calculations'!DE285,'Calculations'!$BT$13:$BT$512,1,'Calculations'!$EE$13:$EE$512,"Solid"))</x:f>
      </x:c>
      <x:c r="DM285" s="4" t="str">
        <x:f>IF('Calculations'!DE285="","",COUNTIFS('Calculations'!$BN$13:$BN$512,1,'Calculations'!$BU$13:$BU$512,'Calculations'!DE285,'Calculations'!$BT$13:$BT$512,1,'Calculations'!$EE$13:$EE$512,"Low"))</x:f>
      </x:c>
      <x:c r="DN285" s="4" t="str">
        <x:f>IF('Calculations'!DE285="","",COUNTIFS('Calculations'!$BN$13:$BN$512,1,'Calculations'!$BU$13:$BU$512,'Calculations'!DE285,'Calculations'!$EP$13:$EP$512,1))</x:f>
      </x:c>
      <x:c r="DO285" s="4" t="str">
        <x:f>IF(OR('Calculations'!DE285="",'Calculations'!DG285=0),"",('Calculations'!DJ285+'Calculations'!DK285)/'Calculations'!DG285)</x:f>
      </x:c>
      <x:c r="DP285" s="4" t="n">
        <x:f>IF(AND('Calculations'!DE285&lt;&gt;"",'Calculations'!DF285&gt;0),COUNTIF('Calculations'!$DF$12:DF285,"&gt;0"),0)</x:f>
        <x:v>0</x:v>
      </x:c>
      <x:c r="DQ285" s="4" t="str">
        <x:f>IF(274&gt;MAX('Calculations'!$HH$13:$HH$512),"",INDEX('Calculations'!$HF$13:$HF$512,MATCH(274,'Calculations'!$HH$13:$HH$512,0)))</x:f>
      </x:c>
      <x:c r="DR285" s="4" t="str">
        <x:f>IF(274&gt;MAX('Calculations'!$IK$13:$IK$512),"",INDEX('Calculations'!$HE$13:$HE$512,MATCH(274,'Calculations'!$IK$13:$IK$512,0)))</x:f>
      </x:c>
      <x:c r="DS285" s="4"/>
      <x:c r="DT285" s="4"/>
      <x:c r="DU285" s="4"/>
      <x:c r="DV285" s="4"/>
      <x:c r="DW285" s="4"/>
      <x:c r="DX285" s="4"/>
      <x:c r="DY285" s="4"/>
      <x:c r="DZ285" s="4"/>
      <x:c r="EA285" s="4"/>
      <x:c r="EB285" s="4"/>
      <x:c r="EC285" s="4"/>
      <x:c r="ED285" s="4"/>
      <x:c r="EE285" s="4" t="str">
        <x:f>IF('Calculations'!BT285=0,"Not Rated",IF(OR('Calculations'!BO285&gt;=4,'Calculations'!BP285&gt;=4),"Low",IF('Calculations'!BO285+'Calculations'!BP285&lt;=3,"High",IF('Calculations'!BO285+'Calculations'!BP285&lt;=4,"Strong","Solid"))))</x:f>
        <x:v>Not Rated</x:v>
      </x:c>
      <x:c r="EF285" s="4"/>
      <x:c r="EG285" s="4"/>
      <x:c r="EH285" s="4"/>
      <x:c r="EI285" s="4"/>
      <x:c r="EJ285" s="4"/>
      <x:c r="EK285" s="4"/>
      <x:c r="EL285" s="4"/>
      <x:c r="EM285" s="4" t="str">
        <x:f>IF(273&gt;'Calculations'!$JB$2000,"",INDEX('Calculations'!$JA$12:$JA$2000,MATCH(273,'Calculations'!$JB$12:$JB$2000,0)))</x:f>
      </x:c>
      <x:c r="EN285" s="4" t="n">
        <x:f>IF(OR('Calculations'!EM285="",'Calculations'!$AG$8&gt;0,AND('Calculations'!$EF$2&lt;&gt;"All",'Calculations'!HE285='Calculations'!$EF$2),AND('Calculations'!$EF$3&lt;&gt;"All",'Calculations'!HE285='Calculations'!$EF$3)),0,IF(OR('Dashboard'!$B$7="All",'Calculations'!HN285='Dashboard'!$B$7),IF('Calculations'!$EF$2="All",1,IF('Calculations'!HL285&gt;0,0,IF(COUNTIF('Calculations'!HO285:II285,"="&amp;SUBSTITUTE(SUBSTITUTE(SUBSTITUTE('Calculations'!$EF$2,"~","~~"),"*","~*"),"?","~?"))=0,0,IF('Calculations'!$EF$3="All",1,IF(COUNTIF('Calculations'!HO285:II285,"="&amp;SUBSTITUTE(SUBSTITUTE(SUBSTITUTE('Calculations'!$EF$3,"~","~~"),"*","~*"),"?","~?"))&gt;0,1,0))))),0))</x:f>
        <x:v>0</x:v>
      </x:c>
      <x:c r="EO285" s="4" t="str">
        <x:f>IF('Calculations'!IJ285="","",IF('Calculations'!IJ285="!UNRESOLVED","Unresolved hierarchy",IFERROR(INDEX('Calculations'!$HK$13:$HK$512,MATCH('Calculations'!IJ285,'Calculations'!$HE$13:$HE$512,0)),IFERROR(INDEX('Calculations'!$HJ$13:$HJ$512,MATCH('Calculations'!IJ285,'Calculations'!$HF$13:$HF$512,0)),'Calculations'!IJ285))))</x:f>
      </x:c>
      <x:c r="EP285" s="4" t="n">
        <x:f>IF(AND('Calculations'!EM285&lt;&gt;"",'Calculations'!HF285='Calculations'!IJ285),1,0)</x:f>
        <x:v>0</x:v>
      </x:c>
      <x:c r="EQ285" s="4"/>
      <x:c r="ER285" s="4"/>
      <x:c r="ES285" s="4"/>
      <x:c r="ET285" s="4"/>
      <x:c r="EU285" s="4"/>
      <x:c r="EV285" s="4"/>
      <x:c r="EW285" s="4"/>
      <x:c r="EX285" s="4"/>
      <x:c r="EY285" s="4"/>
      <x:c r="EZ285" s="4"/>
      <x:c r="FA285" s="4"/>
      <x:c r="FB285" s="4"/>
      <x:c r="FC285" s="4"/>
      <x:c r="FD285" s="4"/>
      <x:c r="FE285" s="4"/>
      <x:c r="FF285" s="4"/>
      <x:c r="FG285" s="4"/>
      <x:c r="FH285" s="4"/>
      <x:c r="FI285" s="4"/>
      <x:c r="FJ285" s="4"/>
      <x:c r="FK285" s="4"/>
      <x:c r="FL285" s="4"/>
      <x:c r="FM285" s="4"/>
      <x:c r="FN285" s="4"/>
      <x:c r="FO285" s="4"/>
      <x:c r="HE285" t="str">
        <x:f>IF('Calculations'!EM285="","",IF(IFERROR(IF(INDEX(INDIRECT("'WCM Calibration Final'!$A$1:$A$2000"),'Calculations'!$EM285)="","",TRIM(INDEX(INDIRECT("'WCM Calibration Final'!$A$1:$A$2000"),'Calculations'!$EM285)&amp;"")),"")&lt;&gt;"","G:"&amp;IFERROR(TEXT(1*INDEX(INDIRECT("'WCM Calibration Final'!$A$1:$A$2000"),'Calculations'!$EM285),"0"),UPPER(IFERROR(IF(INDEX(INDIRECT("'WCM Calibration Final'!$A$1:$A$2000"),'Calculations'!$EM285)="","",TRIM(INDEX(INDIRECT("'WCM Calibration Final'!$A$1:$A$2000"),'Calculations'!$EM285)&amp;"")),""))),IF(IFERROR(IF(INDEX(INDIRECT("'WCM Calibration Final'!$C$1:$C$2000"),'Calculations'!$EM285)="","",TRIM(INDEX(INDIRECT("'WCM Calibration Final'!$C$1:$C$2000"),'Calculations'!$EM285)&amp;"")),"")&lt;&gt;"","S:"&amp;UPPER(IFERROR(IF(INDEX(INDIRECT("'WCM Calibration Final'!$C$1:$C$2000"),'Calculations'!$EM285)="","",TRIM(INDEX(INDIRECT("'WCM Calibration Final'!$C$1:$C$2000"),'Calculations'!$EM285)&amp;"")),"")),"R:"&amp;'Calculations'!EM285)))</x:f>
      </x:c>
      <x:c r="HF285" t="str">
        <x:f>IF('Calculations'!EM285="","",IF(IFERROR(IF(INDEX(INDIRECT("'WCM Calibration Final'!$D$1:$D$2000"),'Calculations'!$EM285)="","",TRIM(INDEX(INDIRECT("'WCM Calibration Final'!$D$1:$D$2000"),'Calculations'!$EM285)&amp;"")),"")&lt;&gt;"","G:"&amp;IFERROR(TEXT(1*INDEX(INDIRECT("'WCM Calibration Final'!$D$1:$D$2000"),'Calculations'!$EM285),"0"),UPPER(IFERROR(IF(INDEX(INDIRECT("'WCM Calibration Final'!$D$1:$D$2000"),'Calculations'!$EM285)="","",TRIM(INDEX(INDIRECT("'WCM Calibration Final'!$D$1:$D$2000"),'Calculations'!$EM285)&amp;"")),""))),IF(IFERROR(IF(INDEX(INDIRECT("'WCM Calibration Final'!$E$1:$E$2000"),'Calculations'!$EM285)="","",TRIM(INDEX(INDIRECT("'WCM Calibration Final'!$E$1:$E$2000"),'Calculations'!$EM285)&amp;"")),"")="","",IF(COUNTIF('Calculations'!$HG$13:$HG$512,"="&amp;SUBSTITUTE(SUBSTITUTE(SUBSTITUTE(IFERROR(IF(INDEX(INDIRECT("'WCM Calibration Final'!$E$1:$E$2000"),'Calculations'!$EM285)="","",TRIM(INDEX(INDIRECT("'WCM Calibration Final'!$E$1:$E$2000"),'Calculations'!$EM285)&amp;"")),""),"~","~~"),"*","~*"),"?","~?"))=1,INDEX('Calculations'!$HE$13:$HE$512,MATCH(IFERROR(IF(INDEX(INDIRECT("'WCM Calibration Final'!$E$1:$E$2000"),'Calculations'!$EM285)="","",TRIM(INDEX(INDIRECT("'WCM Calibration Final'!$E$1:$E$2000"),'Calculations'!$EM285)&amp;"")),""),'Calculations'!$HG$13:$HG$512,0)),IF(COUNTIF('Calculations'!$HG$13:$HG$512,"="&amp;SUBSTITUTE(SUBSTITUTE(SUBSTITUTE(IFERROR(IF(INDEX(INDIRECT("'WCM Calibration Final'!$E$1:$E$2000"),'Calculations'!$EM285)="","",TRIM(INDEX(INDIRECT("'WCM Calibration Final'!$E$1:$E$2000"),'Calculations'!$EM285)&amp;"")),""),"~","~~"),"*","~*"),"?","~?"))&gt;1,"!AMBIG","X:"&amp;IFERROR(IF(INDEX(INDIRECT("'WCM Calibration Final'!$E$1:$E$2000"),'Calculations'!$EM285)="","",TRIM(INDEX(INDIRECT("'WCM Calibration Final'!$E$1:$E$2000"),'Calculations'!$EM285)&amp;"")),""))))))</x:f>
      </x:c>
      <x:c r="HG285" t="str">
        <x:f>IF('Calculations'!EM285="","",IFERROR(IF(INDEX(INDIRECT("'WCM Calibration Final'!$B$1:$B$2000"),'Calculations'!$EM285)="","",TRIM(INDEX(INDIRECT("'WCM Calibration Final'!$B$1:$B$2000"),'Calculations'!$EM285)&amp;"")),""))</x:f>
      </x:c>
      <x:c r="HH285" t="n">
        <x:f>IF(AND('Calculations'!JC285&gt;0,COUNTIF('Calculations'!$HF$12:HF285,"="&amp;SUBSTITUTE(SUBSTITUTE(SUBSTITUTE('Calculations'!HF285,"~","~~"),"*","~*"),"?","~?"))=1),MAX('Calculations'!$HH$12:HH284)+1,0)</x:f>
        <x:v>0</x:v>
      </x:c>
      <x:c r="HI285" t="n">
        <x:f>IF(AND('Calculations'!HN285&lt;&gt;"",COUNTIF('Calculations'!$HN$12:HN285,"="&amp;SUBSTITUTE(SUBSTITUTE(SUBSTITUTE('Calculations'!HN285,"~","~~"),"*","~*"),"?","~?"))=1),MAX('Calculations'!$HI$12:HI284)+1,0)</x:f>
        <x:v>0</x:v>
      </x:c>
      <x:c r="HJ285" t="str">
        <x:f>IF('Calculations'!HF285="","",IF(COUNTIF('Calculations'!$HE$13:$HE$512,"="&amp;SUBSTITUTE(SUBSTITUTE(SUBSTITUTE('Calculations'!HF285,"~","~~"),"*","~*"),"?","~?"))=1,INDEX('Calculations'!$HK$13:$HK$512,MATCH('Calculations'!HF285,'Calculations'!$HE$13:$HE$512,0)),IFERROR(IF(INDEX(INDIRECT("'WCM Calibration Final'!$E$1:$E$2000"),'Calculations'!$EM285)="","",TRIM(INDEX(INDIRECT("'WCM Calibration Final'!$E$1:$E$2000"),'Calculations'!$EM285)&amp;"")),"")&amp;" ["&amp;'Calculations'!HF285&amp;"]"))</x:f>
      </x:c>
      <x:c r="HK285" t="str">
        <x:f>IF('Calculations'!EM285="","",'Calculations'!HG285&amp;" ["&amp;'Calculations'!HE285&amp;"]")</x:f>
      </x:c>
      <x:c r="HL285" t="n">
        <x:f>IF('Calculations'!EM285="",0,IF(OR('Calculations'!II285&lt;&gt;"",COUNTIF('Calculations'!$HE$13:$HE$512,"="&amp;SUBSTITUTE(SUBSTITUTE(SUBSTITUTE('Calculations'!HE285,"~","~~"),"*","~*"),"?","~?"))&gt;1),1,0))</x:f>
        <x:v>0</x:v>
      </x:c>
      <x:c r="HM285" t="str">
        <x:f>IF('Calculations'!EM285="","",IF('Calculations'!HL285=1,"!UNRESOLVED",IF('Calculations'!IH285&lt;&gt;"",'Calculations'!IH285,IF('Calculations'!IG285&lt;&gt;"",'Calculations'!IG285,IF('Calculations'!IF285&lt;&gt;"",'Calculations'!IF285,IF('Calculations'!IE285&lt;&gt;"",'Calculations'!IE285,IF('Calculations'!ID285&lt;&gt;"",'Calculations'!ID285,IF('Calculations'!IC285&lt;&gt;"",'Calculations'!IC285,IF('Calculations'!IB285&lt;&gt;"",'Calculations'!IB285,IF('Calculations'!IA285&lt;&gt;"",'Calculations'!IA285,IF('Calculations'!HZ285&lt;&gt;"",'Calculations'!HZ285,IF('Calculations'!HY285&lt;&gt;"",'Calculations'!HY285,IF('Calculations'!HX285&lt;&gt;"",'Calculations'!HX285,IF('Calculations'!HW285&lt;&gt;"",'Calculations'!HW285,IF('Calculations'!HV285&lt;&gt;"",'Calculations'!HV285,IF('Calculations'!HU285&lt;&gt;"",'Calculations'!HU285,IF('Calculations'!HT285&lt;&gt;"",'Calculations'!HT285,IF('Calculations'!HS285&lt;&gt;"",'Calculations'!HS285,IF('Calculations'!HR285&lt;&gt;"",'Calculations'!HR285,IF('Calculations'!HQ285&lt;&gt;"",'Calculations'!HQ285,IF('Calculations'!HP285&lt;&gt;"",'Calculations'!HP285,IF('Calculations'!HO285&lt;&gt;"",'Calculations'!HO285,'Calculations'!HE285))))))))))))))))))))))</x:f>
      </x:c>
      <x:c r="HN285" t="str">
        <x:f>IF('Calculations'!EM285="","",IF(IFERROR(IF(INDEX(INDIRECT("'WCM Calibration Final'!$F$1:$F$2000"),'Calculations'!$EM285)="","",TRIM(INDEX(INDIRECT("'WCM Calibration Final'!$F$1:$F$2000"),'Calculations'!$EM285)&amp;"")),"")="","(Blank)",IFERROR(IF(INDEX(INDIRECT("'WCM Calibration Final'!$F$1:$F$2000"),'Calculations'!$EM285)="","",TRIM(INDEX(INDIRECT("'WCM Calibration Final'!$F$1:$F$2000"),'Calculations'!$EM285)&amp;"")),"")))</x:f>
      </x:c>
      <x:c r="HO285" t="str">
        <x:f>'Calculations'!HF285</x:f>
      </x:c>
      <x:c r="HP285" t="str">
        <x:f>IF('Calculations'!HO285="","",IF('Calculations'!HO285="!AMBIG","!AMBIG",IF(COUNTIF('Calculations'!$HE$13:$HE$512,"="&amp;SUBSTITUTE(SUBSTITUTE(SUBSTITUTE('Calculations'!HO285,"~","~~"),"*","~*"),"?","~?"))&gt;1,"!AMBIG",IFERROR(INDEX('Calculations'!$HF$13:$HF$512,MATCH('Calculations'!HO285,'Calculations'!$HE$13:$HE$512,0)),""))))</x:f>
      </x:c>
      <x:c r="HQ285" t="str">
        <x:f>IF('Calculations'!HP285="","",IF('Calculations'!HP285="!AMBIG","!AMBIG",IF(COUNTIF('Calculations'!$HE$13:$HE$512,"="&amp;SUBSTITUTE(SUBSTITUTE(SUBSTITUTE('Calculations'!HP285,"~","~~"),"*","~*"),"?","~?"))&gt;1,"!AMBIG",IFERROR(INDEX('Calculations'!$HF$13:$HF$512,MATCH('Calculations'!HP285,'Calculations'!$HE$13:$HE$512,0)),""))))</x:f>
      </x:c>
      <x:c r="HR285" t="str">
        <x:f>IF('Calculations'!HQ285="","",IF('Calculations'!HQ285="!AMBIG","!AMBIG",IF(COUNTIF('Calculations'!$HE$13:$HE$512,"="&amp;SUBSTITUTE(SUBSTITUTE(SUBSTITUTE('Calculations'!HQ285,"~","~~"),"*","~*"),"?","~?"))&gt;1,"!AMBIG",IFERROR(INDEX('Calculations'!$HF$13:$HF$512,MATCH('Calculations'!HQ285,'Calculations'!$HE$13:$HE$512,0)),""))))</x:f>
      </x:c>
      <x:c r="HS285" t="str">
        <x:f>IF('Calculations'!HR285="","",IF('Calculations'!HR285="!AMBIG","!AMBIG",IF(COUNTIF('Calculations'!$HE$13:$HE$512,"="&amp;SUBSTITUTE(SUBSTITUTE(SUBSTITUTE('Calculations'!HR285,"~","~~"),"*","~*"),"?","~?"))&gt;1,"!AMBIG",IFERROR(INDEX('Calculations'!$HF$13:$HF$512,MATCH('Calculations'!HR285,'Calculations'!$HE$13:$HE$512,0)),""))))</x:f>
      </x:c>
      <x:c r="HT285" t="str">
        <x:f>IF('Calculations'!HS285="","",IF('Calculations'!HS285="!AMBIG","!AMBIG",IF(COUNTIF('Calculations'!$HE$13:$HE$512,"="&amp;SUBSTITUTE(SUBSTITUTE(SUBSTITUTE('Calculations'!HS285,"~","~~"),"*","~*"),"?","~?"))&gt;1,"!AMBIG",IFERROR(INDEX('Calculations'!$HF$13:$HF$512,MATCH('Calculations'!HS285,'Calculations'!$HE$13:$HE$512,0)),""))))</x:f>
      </x:c>
      <x:c r="HU285" t="str">
        <x:f>IF('Calculations'!HT285="","",IF('Calculations'!HT285="!AMBIG","!AMBIG",IF(COUNTIF('Calculations'!$HE$13:$HE$512,"="&amp;SUBSTITUTE(SUBSTITUTE(SUBSTITUTE('Calculations'!HT285,"~","~~"),"*","~*"),"?","~?"))&gt;1,"!AMBIG",IFERROR(INDEX('Calculations'!$HF$13:$HF$512,MATCH('Calculations'!HT285,'Calculations'!$HE$13:$HE$512,0)),""))))</x:f>
      </x:c>
      <x:c r="HV285" t="str">
        <x:f>IF('Calculations'!HU285="","",IF('Calculations'!HU285="!AMBIG","!AMBIG",IF(COUNTIF('Calculations'!$HE$13:$HE$512,"="&amp;SUBSTITUTE(SUBSTITUTE(SUBSTITUTE('Calculations'!HU285,"~","~~"),"*","~*"),"?","~?"))&gt;1,"!AMBIG",IFERROR(INDEX('Calculations'!$HF$13:$HF$512,MATCH('Calculations'!HU285,'Calculations'!$HE$13:$HE$512,0)),""))))</x:f>
      </x:c>
      <x:c r="HW285" t="str">
        <x:f>IF('Calculations'!HV285="","",IF('Calculations'!HV285="!AMBIG","!AMBIG",IF(COUNTIF('Calculations'!$HE$13:$HE$512,"="&amp;SUBSTITUTE(SUBSTITUTE(SUBSTITUTE('Calculations'!HV285,"~","~~"),"*","~*"),"?","~?"))&gt;1,"!AMBIG",IFERROR(INDEX('Calculations'!$HF$13:$HF$512,MATCH('Calculations'!HV285,'Calculations'!$HE$13:$HE$512,0)),""))))</x:f>
      </x:c>
      <x:c r="HX285" t="str">
        <x:f>IF('Calculations'!HW285="","",IF('Calculations'!HW285="!AMBIG","!AMBIG",IF(COUNTIF('Calculations'!$HE$13:$HE$512,"="&amp;SUBSTITUTE(SUBSTITUTE(SUBSTITUTE('Calculations'!HW285,"~","~~"),"*","~*"),"?","~?"))&gt;1,"!AMBIG",IFERROR(INDEX('Calculations'!$HF$13:$HF$512,MATCH('Calculations'!HW285,'Calculations'!$HE$13:$HE$512,0)),""))))</x:f>
      </x:c>
      <x:c r="HY285" t="str">
        <x:f>IF('Calculations'!HX285="","",IF('Calculations'!HX285="!AMBIG","!AMBIG",IF(COUNTIF('Calculations'!$HE$13:$HE$512,"="&amp;SUBSTITUTE(SUBSTITUTE(SUBSTITUTE('Calculations'!HX285,"~","~~"),"*","~*"),"?","~?"))&gt;1,"!AMBIG",IFERROR(INDEX('Calculations'!$HF$13:$HF$512,MATCH('Calculations'!HX285,'Calculations'!$HE$13:$HE$512,0)),""))))</x:f>
      </x:c>
      <x:c r="HZ285" t="str">
        <x:f>IF('Calculations'!HY285="","",IF('Calculations'!HY285="!AMBIG","!AMBIG",IF(COUNTIF('Calculations'!$HE$13:$HE$512,"="&amp;SUBSTITUTE(SUBSTITUTE(SUBSTITUTE('Calculations'!HY285,"~","~~"),"*","~*"),"?","~?"))&gt;1,"!AMBIG",IFERROR(INDEX('Calculations'!$HF$13:$HF$512,MATCH('Calculations'!HY285,'Calculations'!$HE$13:$HE$512,0)),""))))</x:f>
      </x:c>
      <x:c r="IA285" t="str">
        <x:f>IF('Calculations'!HZ285="","",IF('Calculations'!HZ285="!AMBIG","!AMBIG",IF(COUNTIF('Calculations'!$HE$13:$HE$512,"="&amp;SUBSTITUTE(SUBSTITUTE(SUBSTITUTE('Calculations'!HZ285,"~","~~"),"*","~*"),"?","~?"))&gt;1,"!AMBIG",IFERROR(INDEX('Calculations'!$HF$13:$HF$512,MATCH('Calculations'!HZ285,'Calculations'!$HE$13:$HE$512,0)),""))))</x:f>
      </x:c>
      <x:c r="IB285" t="str">
        <x:f>IF('Calculations'!IA285="","",IF('Calculations'!IA285="!AMBIG","!AMBIG",IF(COUNTIF('Calculations'!$HE$13:$HE$512,"="&amp;SUBSTITUTE(SUBSTITUTE(SUBSTITUTE('Calculations'!IA285,"~","~~"),"*","~*"),"?","~?"))&gt;1,"!AMBIG",IFERROR(INDEX('Calculations'!$HF$13:$HF$512,MATCH('Calculations'!IA285,'Calculations'!$HE$13:$HE$512,0)),""))))</x:f>
      </x:c>
      <x:c r="IC285" t="str">
        <x:f>IF('Calculations'!IB285="","",IF('Calculations'!IB285="!AMBIG","!AMBIG",IF(COUNTIF('Calculations'!$HE$13:$HE$512,"="&amp;SUBSTITUTE(SUBSTITUTE(SUBSTITUTE('Calculations'!IB285,"~","~~"),"*","~*"),"?","~?"))&gt;1,"!AMBIG",IFERROR(INDEX('Calculations'!$HF$13:$HF$512,MATCH('Calculations'!IB285,'Calculations'!$HE$13:$HE$512,0)),""))))</x:f>
      </x:c>
      <x:c r="ID285" t="str">
        <x:f>IF('Calculations'!IC285="","",IF('Calculations'!IC285="!AMBIG","!AMBIG",IF(COUNTIF('Calculations'!$HE$13:$HE$512,"="&amp;SUBSTITUTE(SUBSTITUTE(SUBSTITUTE('Calculations'!IC285,"~","~~"),"*","~*"),"?","~?"))&gt;1,"!AMBIG",IFERROR(INDEX('Calculations'!$HF$13:$HF$512,MATCH('Calculations'!IC285,'Calculations'!$HE$13:$HE$512,0)),""))))</x:f>
      </x:c>
      <x:c r="IE285" t="str">
        <x:f>IF('Calculations'!ID285="","",IF('Calculations'!ID285="!AMBIG","!AMBIG",IF(COUNTIF('Calculations'!$HE$13:$HE$512,"="&amp;SUBSTITUTE(SUBSTITUTE(SUBSTITUTE('Calculations'!ID285,"~","~~"),"*","~*"),"?","~?"))&gt;1,"!AMBIG",IFERROR(INDEX('Calculations'!$HF$13:$HF$512,MATCH('Calculations'!ID285,'Calculations'!$HE$13:$HE$512,0)),""))))</x:f>
      </x:c>
      <x:c r="IF285" t="str">
        <x:f>IF('Calculations'!IE285="","",IF('Calculations'!IE285="!AMBIG","!AMBIG",IF(COUNTIF('Calculations'!$HE$13:$HE$512,"="&amp;SUBSTITUTE(SUBSTITUTE(SUBSTITUTE('Calculations'!IE285,"~","~~"),"*","~*"),"?","~?"))&gt;1,"!AMBIG",IFERROR(INDEX('Calculations'!$HF$13:$HF$512,MATCH('Calculations'!IE285,'Calculations'!$HE$13:$HE$512,0)),""))))</x:f>
      </x:c>
      <x:c r="IG285" t="str">
        <x:f>IF('Calculations'!IF285="","",IF('Calculations'!IF285="!AMBIG","!AMBIG",IF(COUNTIF('Calculations'!$HE$13:$HE$512,"="&amp;SUBSTITUTE(SUBSTITUTE(SUBSTITUTE('Calculations'!IF285,"~","~~"),"*","~*"),"?","~?"))&gt;1,"!AMBIG",IFERROR(INDEX('Calculations'!$HF$13:$HF$512,MATCH('Calculations'!IF285,'Calculations'!$HE$13:$HE$512,0)),""))))</x:f>
      </x:c>
      <x:c r="IH285" t="str">
        <x:f>IF('Calculations'!IG285="","",IF('Calculations'!IG285="!AMBIG","!AMBIG",IF(COUNTIF('Calculations'!$HE$13:$HE$512,"="&amp;SUBSTITUTE(SUBSTITUTE(SUBSTITUTE('Calculations'!IG285,"~","~~"),"*","~*"),"?","~?"))&gt;1,"!AMBIG",IFERROR(INDEX('Calculations'!$HF$13:$HF$512,MATCH('Calculations'!IG285,'Calculations'!$HE$13:$HE$512,0)),""))))</x:f>
      </x:c>
      <x:c r="II285" t="str">
        <x:f>IF('Calculations'!IH285="","",IF('Calculations'!IH285="!AMBIG","!AMBIG",IF(COUNTIF('Calculations'!$HE$13:$HE$512,"="&amp;SUBSTITUTE(SUBSTITUTE(SUBSTITUTE('Calculations'!IH285,"~","~~"),"*","~*"),"?","~?"))&gt;1,"!AMBIG",IFERROR(INDEX('Calculations'!$HF$13:$HF$512,MATCH('Calculations'!IH285,'Calculations'!$HE$13:$HE$512,0)),""))))</x:f>
      </x:c>
      <x:c r="IJ285" t="str">
        <x:f>IF('Calculations'!EM285="","",IF('Calculations'!$EF$2="All",'Calculations'!HM285,IF('Calculations'!HL285=1,"",IFERROR(IF(MATCH('Calculations'!$EF$2,'Calculations'!HO285:II285,0)=1,'Calculations'!HE285,INDEX('Calculations'!HO285:II285,1,MATCH('Calculations'!$EF$2,'Calculations'!HO285:II285,0)-1)),""))))</x:f>
      </x:c>
      <x:c r="IK285" t="n">
        <x:f>IF(AND('Calculations'!EM285&lt;&gt;"",'Calculations'!$EF$2&lt;&gt;"All",'Calculations'!HF285='Calculations'!$EF$2,'Calculations'!HL285=0,'Calculations'!JD285&gt;0),MAX('Calculations'!$IK$12:IK284)+1,0)</x:f>
        <x:v>0</x:v>
      </x:c>
      <x:c r="JA285" t="n">
        <x:f>IF(OR(IFERROR(INDIRECT("'WCM Calibration Final'!$A$285")&lt;&gt;"",FALSE),IFERROR(INDIRECT("'WCM Calibration Final'!$B$285")&lt;&gt;"",FALSE),IFERROR(INDIRECT("'WCM Calibration Final'!$C$285")&lt;&gt;"",FALSE)),285,0)</x:f>
        <x:v>0</x:v>
      </x:c>
      <x:c r="JB285" t="n">
        <x:f>'Calculations'!JB284+IF('Calculations'!JA285&gt;0,1,0)</x:f>
        <x:v>0</x:v>
      </x:c>
      <x:c r="JC285" t="n">
        <x:f>IF(OR('Calculations'!HF285="",'Calculations'!HF285="!AMBIG"),0,IF('Dashboard'!$B$7="All",1,COUNTIFS('Calculations'!$HO$13:$HO$512,"="&amp;SUBSTITUTE(SUBSTITUTE(SUBSTITUTE('Calculations'!HF285,"~","~~"),"*","~*"),"?","~?"),'Calculations'!$HN$13:$HN$512,"="&amp;SUBSTITUTE(SUBSTITUTE(SUBSTITUTE('Dashboard'!$B$7,"~","~~"),"*","~*"),"?","~?"))+COUNTIFS('Calculations'!$HP$13:$HP$512,"="&amp;SUBSTITUTE(SUBSTITUTE(SUBSTITUTE('Calculations'!HF285,"~","~~"),"*","~*"),"?","~?"),'Calculations'!$HN$13:$HN$512,"="&amp;SUBSTITUTE(SUBSTITUTE(SUBSTITUTE('Dashboard'!$B$7,"~","~~"),"*","~*"),"?","~?"))+COUNTIFS('Calculations'!$HQ$13:$HQ$512,"="&amp;SUBSTITUTE(SUBSTITUTE(SUBSTITUTE('Calculations'!HF285,"~","~~"),"*","~*"),"?","~?"),'Calculations'!$HN$13:$HN$512,"="&amp;SUBSTITUTE(SUBSTITUTE(SUBSTITUTE('Dashboard'!$B$7,"~","~~"),"*","~*"),"?","~?"))+COUNTIFS('Calculations'!$HR$13:$HR$512,"="&amp;SUBSTITUTE(SUBSTITUTE(SUBSTITUTE('Calculations'!HF285,"~","~~"),"*","~*"),"?","~?"),'Calculations'!$HN$13:$HN$512,"="&amp;SUBSTITUTE(SUBSTITUTE(SUBSTITUTE('Dashboard'!$B$7,"~","~~"),"*","~*"),"?","~?"))+COUNTIFS('Calculations'!$HS$13:$HS$512,"="&amp;SUBSTITUTE(SUBSTITUTE(SUBSTITUTE('Calculations'!HF285,"~","~~"),"*","~*"),"?","~?"),'Calculations'!$HN$13:$HN$512,"="&amp;SUBSTITUTE(SUBSTITUTE(SUBSTITUTE('Dashboard'!$B$7,"~","~~"),"*","~*"),"?","~?"))+COUNTIFS('Calculations'!$HT$13:$HT$512,"="&amp;SUBSTITUTE(SUBSTITUTE(SUBSTITUTE('Calculations'!HF285,"~","~~"),"*","~*"),"?","~?"),'Calculations'!$HN$13:$HN$512,"="&amp;SUBSTITUTE(SUBSTITUTE(SUBSTITUTE('Dashboard'!$B$7,"~","~~"),"*","~*"),"?","~?"))+COUNTIFS('Calculations'!$HU$13:$HU$512,"="&amp;SUBSTITUTE(SUBSTITUTE(SUBSTITUTE('Calculations'!HF285,"~","~~"),"*","~*"),"?","~?"),'Calculations'!$HN$13:$HN$512,"="&amp;SUBSTITUTE(SUBSTITUTE(SUBSTITUTE('Dashboard'!$B$7,"~","~~"),"*","~*"),"?","~?"))+COUNTIFS('Calculations'!$HV$13:$HV$512,"="&amp;SUBSTITUTE(SUBSTITUTE(SUBSTITUTE('Calculations'!HF285,"~","~~"),"*","~*"),"?","~?"),'Calculations'!$HN$13:$HN$512,"="&amp;SUBSTITUTE(SUBSTITUTE(SUBSTITUTE('Dashboard'!$B$7,"~","~~"),"*","~*"),"?","~?"))+COUNTIFS('Calculations'!$HW$13:$HW$512,"="&amp;SUBSTITUTE(SUBSTITUTE(SUBSTITUTE('Calculations'!HF285,"~","~~"),"*","~*"),"?","~?"),'Calculations'!$HN$13:$HN$512,"="&amp;SUBSTITUTE(SUBSTITUTE(SUBSTITUTE('Dashboard'!$B$7,"~","~~"),"*","~*"),"?","~?"))+COUNTIFS('Calculations'!$HX$13:$HX$512,"="&amp;SUBSTITUTE(SUBSTITUTE(SUBSTITUTE('Calculations'!HF285,"~","~~"),"*","~*"),"?","~?"),'Calculations'!$HN$13:$HN$512,"="&amp;SUBSTITUTE(SUBSTITUTE(SUBSTITUTE('Dashboard'!$B$7,"~","~~"),"*","~*"),"?","~?"))+COUNTIFS('Calculations'!$HY$13:$HY$512,"="&amp;SUBSTITUTE(SUBSTITUTE(SUBSTITUTE('Calculations'!HF285,"~","~~"),"*","~*"),"?","~?"),'Calculations'!$HN$13:$HN$512,"="&amp;SUBSTITUTE(SUBSTITUTE(SUBSTITUTE('Dashboard'!$B$7,"~","~~"),"*","~*"),"?","~?"))+COUNTIFS('Calculations'!$HZ$13:$HZ$512,"="&amp;SUBSTITUTE(SUBSTITUTE(SUBSTITUTE('Calculations'!HF285,"~","~~"),"*","~*"),"?","~?"),'Calculations'!$HN$13:$HN$512,"="&amp;SUBSTITUTE(SUBSTITUTE(SUBSTITUTE('Dashboard'!$B$7,"~","~~"),"*","~*"),"?","~?"))+COUNTIFS('Calculations'!$IA$13:$IA$512,"="&amp;SUBSTITUTE(SUBSTITUTE(SUBSTITUTE('Calculations'!HF285,"~","~~"),"*","~*"),"?","~?"),'Calculations'!$HN$13:$HN$512,"="&amp;SUBSTITUTE(SUBSTITUTE(SUBSTITUTE('Dashboard'!$B$7,"~","~~"),"*","~*"),"?","~?"))+COUNTIFS('Calculations'!$IB$13:$IB$512,"="&amp;SUBSTITUTE(SUBSTITUTE(SUBSTITUTE('Calculations'!HF285,"~","~~"),"*","~*"),"?","~?"),'Calculations'!$HN$13:$HN$512,"="&amp;SUBSTITUTE(SUBSTITUTE(SUBSTITUTE('Dashboard'!$B$7,"~","~~"),"*","~*"),"?","~?"))+COUNTIFS('Calculations'!$IC$13:$IC$512,"="&amp;SUBSTITUTE(SUBSTITUTE(SUBSTITUTE('Calculations'!HF285,"~","~~"),"*","~*"),"?","~?"),'Calculations'!$HN$13:$HN$512,"="&amp;SUBSTITUTE(SUBSTITUTE(SUBSTITUTE('Dashboard'!$B$7,"~","~~"),"*","~*"),"?","~?"))+COUNTIFS('Calculations'!$ID$13:$ID$512,"="&amp;SUBSTITUTE(SUBSTITUTE(SUBSTITUTE('Calculations'!HF285,"~","~~"),"*","~*"),"?","~?"),'Calculations'!$HN$13:$HN$512,"="&amp;SUBSTITUTE(SUBSTITUTE(SUBSTITUTE('Dashboard'!$B$7,"~","~~"),"*","~*"),"?","~?"))+COUNTIFS('Calculations'!$IE$13:$IE$512,"="&amp;SUBSTITUTE(SUBSTITUTE(SUBSTITUTE('Calculations'!HF285,"~","~~"),"*","~*"),"?","~?"),'Calculations'!$HN$13:$HN$512,"="&amp;SUBSTITUTE(SUBSTITUTE(SUBSTITUTE('Dashboard'!$B$7,"~","~~"),"*","~*"),"?","~?"))+COUNTIFS('Calculations'!$IF$13:$IF$512,"="&amp;SUBSTITUTE(SUBSTITUTE(SUBSTITUTE('Calculations'!HF285,"~","~~"),"*","~*"),"?","~?"),'Calculations'!$HN$13:$HN$512,"="&amp;SUBSTITUTE(SUBSTITUTE(SUBSTITUTE('Dashboard'!$B$7,"~","~~"),"*","~*"),"?","~?"))+COUNTIFS('Calculations'!$IG$13:$IG$512,"="&amp;SUBSTITUTE(SUBSTITUTE(SUBSTITUTE('Calculations'!HF285,"~","~~"),"*","~*"),"?","~?"),'Calculations'!$HN$13:$HN$512,"="&amp;SUBSTITUTE(SUBSTITUTE(SUBSTITUTE('Dashboard'!$B$7,"~","~~"),"*","~*"),"?","~?"))+COUNTIFS('Calculations'!$IH$13:$IH$512,"="&amp;SUBSTITUTE(SUBSTITUTE(SUBSTITUTE('Calculations'!HF285,"~","~~"),"*","~*"),"?","~?"),'Calculations'!$HN$13:$HN$512,"="&amp;SUBSTITUTE(SUBSTITUTE(SUBSTITUTE('Dashboard'!$B$7,"~","~~"),"*","~*"),"?","~?"))))</x:f>
        <x:v>0</x:v>
      </x:c>
      <x:c r="JD285" t="n">
        <x:f>IF('Calculations'!EM285="",0,IF('Dashboard'!$B$7="All",1,IF('Calculations'!HN285='Dashboard'!$B$7,1,0)+IFERROR(INDEX('Calculations'!$JC$13:$JC$512,MATCH('Calculations'!HE285,'Calculations'!$HF$13:$HF$512,0)),0)))</x:f>
        <x:v>0</x:v>
      </x:c>
      <x:c r="JE285" t="n">
        <x:f>IF(AND('Calculations'!EM285&lt;&gt;"",'Calculations'!$JJ$2&lt;&gt;"All",'Calculations'!$JJ$2&lt;&gt;"",'Calculations'!HF285='Calculations'!$JJ$2,'Calculations'!HL285=0,'Calculations'!JD285&gt;0),MAX('Calculations'!$JE$12:JE284)+1,0)</x:f>
        <x:v>0</x:v>
      </x:c>
      <x:c r="JF285" t="str">
        <x:f>IF('Calculations'!EM285="","",IFERROR(IF(INDEX(INDIRECT("'WCM Calibration Final'!$G$1:$G$2000"),'Calculations'!$EM285)="","",TRIM(INDEX(INDIRECT("'WCM Calibration Final'!$G$1:$G$2000"),'Calculations'!$EM285)&amp;"")),""))</x:f>
      </x:c>
      <x:c r="JQ285" t="n">
        <x:f>IF(OR('Calculations'!BM285=0,NOT('Calculations'!$AG$2),'Calculations'!$AG$8&gt;0),0,IF(OR('Dashboard'!$B$7="All",'Calculations'!HN285='Dashboard'!$B$7),IF('Calculations'!$JJ$2="All",1,IF(AND('Calculations'!HF285='Calculations'!$JJ$2,'Calculations'!HL285=0),1,0)),0))</x:f>
        <x:v>0</x:v>
      </x:c>
    </x:row>
    <x:row r="286">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t="n">
        <x:f>IF('Calculations'!$EM286="",0,IF(OR(IFERROR(INDEX(INDIRECT("'WCM Calibration Final'!$A$1:$A$2000"),'Calculations'!$EM286)&lt;&gt;"",FALSE),IFERROR(INDEX(INDIRECT("'WCM Calibration Final'!$B$1:$B$2000"),'Calculations'!$EM286)&lt;&gt;"",FALSE),IFERROR(INDEX(INDIRECT("'WCM Calibration Final'!$C$1:$C$2000"),'Calculations'!$EM286)&lt;&gt;"",FALSE)),1,0))</x:f>
        <x:v>0</x:v>
      </x:c>
      <x:c r="BN286" s="4" t="n">
        <x:f>IF(AND('Calculations'!BM286=1,'Calculations'!$AG$2,'Calculations'!$EN286=1),1,0)</x:f>
        <x:v>0</x:v>
      </x:c>
      <x:c r="BO286" s="4" t="str">
        <x:f>IF('Calculations'!BM286=0,"",IFERROR(IF(AND(VALUE(INDEX(INDIRECT("'WCM Calibration Final'!$K$1:$K$2000"),'Calculations'!$EM286))&gt;=1,VALUE(INDEX(INDIRECT("'WCM Calibration Final'!$K$1:$K$2000"),'Calculations'!$EM286))&lt;=4,MOD(VALUE(INDEX(INDIRECT("'WCM Calibration Final'!$K$1:$K$2000"),'Calculations'!$EM286)),1)=0),VALUE(INDEX(INDIRECT("'WCM Calibration Final'!$K$1:$K$2000"),'Calculations'!$EM286)),""),""))</x:f>
      </x:c>
      <x:c r="BP286" s="4" t="str">
        <x:f>IF('Calculations'!BM286=0,"",IFERROR(IF(AND(VALUE(INDEX(INDIRECT("'WCM Calibration Final'!$L$1:$L$2000"),'Calculations'!$EM286))&gt;=1,VALUE(INDEX(INDIRECT("'WCM Calibration Final'!$L$1:$L$2000"),'Calculations'!$EM286))&lt;=4,MOD(VALUE(INDEX(INDIRECT("'WCM Calibration Final'!$L$1:$L$2000"),'Calculations'!$EM286)),1)=0),VALUE(INDEX(INDIRECT("'WCM Calibration Final'!$L$1:$L$2000"),'Calculations'!$EM286)),""),""))</x:f>
      </x:c>
      <x:c r="BQ286" s="4"/>
      <x:c r="BR286" s="4"/>
      <x:c r="BS286" s="4"/>
      <x:c r="BT286" s="4" t="n">
        <x:f>IF(AND('Calculations'!BM286=1,ISNUMBER('Calculations'!BO286),ISNUMBER('Calculations'!BP286)),1,0)</x:f>
        <x:v>0</x:v>
      </x:c>
      <x:c r="BU286" s="4" t="str">
        <x:f>IF('Calculations'!BM286=0,"",'Calculations'!$EO286)</x:f>
      </x:c>
      <x:c r="BV286" s="4" t="str">
        <x:f>IF('Calculations'!BM286=0,"",IFERROR(IF(OR(INDEX(INDIRECT("'WCM Calibration Final'!$H$1:$H$2000"),'Calculations'!$EM286)="MANAGING DIRECTOR",INDEX(INDIRECT("'WCM Calibration Final'!$H$1:$H$2000"),'Calculations'!$EM286)="DIRECTOR",INDEX(INDIRECT("'WCM Calibration Final'!$H$1:$H$2000"),'Calculations'!$EM286)="SENIOR VICE PRESIDENT",INDEX(INDIRECT("'WCM Calibration Final'!$H$1:$H$2000"),'Calculations'!$EM286)="VICE PRESIDENT",INDEX(INDIRECT("'WCM Calibration Final'!$H$1:$H$2000"),'Calculations'!$EM286)="ASSISTANT VICE PRESIDENT",INDEX(INDIRECT("'WCM Calibration Final'!$H$1:$H$2000"),'Calculations'!$EM286)="OFFICER"),UPPER(INDEX(INDIRECT("'WCM Calibration Final'!$H$1:$H$2000"),'Calculations'!$EM286)),"Other"),"Other"))</x:f>
      </x:c>
      <x:c r="BW286" s="4"/>
      <x:c r="BX286" s="4"/>
      <x:c r="BY286" s="4" t="n">
        <x:f>IF(AND('Calculations'!BM286=1,'Calculations'!BU286&lt;&gt;"",COUNTIF('Calculations'!$BU$12:BU286,'Calculations'!BU286)=1),MAX('Calculations'!$BY$11:BY285)+1,0)</x:f>
        <x:v>0</x:v>
      </x:c>
      <x:c r="BZ286" s="4" t="str">
        <x:f>IF('Dashboard'!$E$67="What",'Calculations'!BO286,'Calculations'!BP286)</x:f>
      </x:c>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t="str">
        <x:f>IF(275&gt;MAX('Calculations'!$HI$13:$HI$512),"",INDEX('Calculations'!$HN$13:$HN$512,MATCH(275,'Calculations'!$HI$13:$HI$512,0)))</x:f>
      </x:c>
      <x:c r="DB286" s="4" t="str">
        <x:f>IF(275&gt;MAX('Calculations'!$HH$13:$HH$512),"",INDEX('Calculations'!$HJ$13:$HJ$512,MATCH(275,'Calculations'!$HH$13:$HH$512,0)))</x:f>
      </x:c>
      <x:c r="DC286" s="4" t="str">
        <x:f>IF(ROW()-11&gt;MAX('Calculations'!$BY$13:$BY$512),"",INDEX('Calculations'!$BU$13:$BU$512,MATCH(ROW()-11,'Calculations'!$BY$13:$BY$512,0)))</x:f>
      </x:c>
      <x:c r="DD286" s="4" t="str">
        <x:f>IF(275&gt;MAX('Calculations'!$IK$13:$IK$512),"",INDEX('Calculations'!$HK$13:$HK$512,MATCH(275,'Calculations'!$IK$13:$IK$512,0)))</x:f>
      </x:c>
      <x:c r="DE286" s="4" t="str">
        <x:f>'Calculations'!DC286</x:f>
      </x:c>
      <x:c r="DF286" s="4" t="str">
        <x:f>IF('Calculations'!DE286="","",COUNTIFS('Calculations'!$BN$13:$BN$512,1,'Calculations'!$BU$13:$BU$512,'Calculations'!DE286))</x:f>
      </x:c>
      <x:c r="DG286" s="4" t="str">
        <x:f>IF('Calculations'!DE286="","",COUNTIFS('Calculations'!$BN$13:$BN$512,1,'Calculations'!$BU$13:$BU$512,'Calculations'!DE286,'Calculations'!$BT$13:$BT$512,1))</x:f>
      </x:c>
      <x:c r="DH286" s="4" t="str">
        <x:f>IF('Calculations'!DE286="","",'Calculations'!DF286-'Calculations'!DG286)</x:f>
      </x:c>
      <x:c r="DI286" s="4" t="str">
        <x:f>IF(OR('Calculations'!DE286="",'Calculations'!DF286=0),"",'Calculations'!DG286/'Calculations'!DF286)</x:f>
      </x:c>
      <x:c r="DJ286" s="4" t="str">
        <x:f>IF('Calculations'!DE286="","",COUNTIFS('Calculations'!$BN$13:$BN$512,1,'Calculations'!$BU$13:$BU$512,'Calculations'!DE286,'Calculations'!$BT$13:$BT$512,1,'Calculations'!$EE$13:$EE$512,"High"))</x:f>
      </x:c>
      <x:c r="DK286" s="4" t="str">
        <x:f>IF('Calculations'!DE286="","",COUNTIFS('Calculations'!$BN$13:$BN$512,1,'Calculations'!$BU$13:$BU$512,'Calculations'!DE286,'Calculations'!$BT$13:$BT$512,1,'Calculations'!$EE$13:$EE$512,"Strong"))</x:f>
      </x:c>
      <x:c r="DL286" s="4" t="str">
        <x:f>IF('Calculations'!DE286="","",COUNTIFS('Calculations'!$BN$13:$BN$512,1,'Calculations'!$BU$13:$BU$512,'Calculations'!DE286,'Calculations'!$BT$13:$BT$512,1,'Calculations'!$EE$13:$EE$512,"Solid"))</x:f>
      </x:c>
      <x:c r="DM286" s="4" t="str">
        <x:f>IF('Calculations'!DE286="","",COUNTIFS('Calculations'!$BN$13:$BN$512,1,'Calculations'!$BU$13:$BU$512,'Calculations'!DE286,'Calculations'!$BT$13:$BT$512,1,'Calculations'!$EE$13:$EE$512,"Low"))</x:f>
      </x:c>
      <x:c r="DN286" s="4" t="str">
        <x:f>IF('Calculations'!DE286="","",COUNTIFS('Calculations'!$BN$13:$BN$512,1,'Calculations'!$BU$13:$BU$512,'Calculations'!DE286,'Calculations'!$EP$13:$EP$512,1))</x:f>
      </x:c>
      <x:c r="DO286" s="4" t="str">
        <x:f>IF(OR('Calculations'!DE286="",'Calculations'!DG286=0),"",('Calculations'!DJ286+'Calculations'!DK286)/'Calculations'!DG286)</x:f>
      </x:c>
      <x:c r="DP286" s="4" t="n">
        <x:f>IF(AND('Calculations'!DE286&lt;&gt;"",'Calculations'!DF286&gt;0),COUNTIF('Calculations'!$DF$12:DF286,"&gt;0"),0)</x:f>
        <x:v>0</x:v>
      </x:c>
      <x:c r="DQ286" s="4" t="str">
        <x:f>IF(275&gt;MAX('Calculations'!$HH$13:$HH$512),"",INDEX('Calculations'!$HF$13:$HF$512,MATCH(275,'Calculations'!$HH$13:$HH$512,0)))</x:f>
      </x:c>
      <x:c r="DR286" s="4" t="str">
        <x:f>IF(275&gt;MAX('Calculations'!$IK$13:$IK$512),"",INDEX('Calculations'!$HE$13:$HE$512,MATCH(275,'Calculations'!$IK$13:$IK$512,0)))</x:f>
      </x:c>
      <x:c r="DS286" s="4"/>
      <x:c r="DT286" s="4"/>
      <x:c r="DU286" s="4"/>
      <x:c r="DV286" s="4"/>
      <x:c r="DW286" s="4"/>
      <x:c r="DX286" s="4"/>
      <x:c r="DY286" s="4"/>
      <x:c r="DZ286" s="4"/>
      <x:c r="EA286" s="4"/>
      <x:c r="EB286" s="4"/>
      <x:c r="EC286" s="4"/>
      <x:c r="ED286" s="4"/>
      <x:c r="EE286" s="4" t="str">
        <x:f>IF('Calculations'!BT286=0,"Not Rated",IF(OR('Calculations'!BO286&gt;=4,'Calculations'!BP286&gt;=4),"Low",IF('Calculations'!BO286+'Calculations'!BP286&lt;=3,"High",IF('Calculations'!BO286+'Calculations'!BP286&lt;=4,"Strong","Solid"))))</x:f>
        <x:v>Not Rated</x:v>
      </x:c>
      <x:c r="EF286" s="4"/>
      <x:c r="EG286" s="4"/>
      <x:c r="EH286" s="4"/>
      <x:c r="EI286" s="4"/>
      <x:c r="EJ286" s="4"/>
      <x:c r="EK286" s="4"/>
      <x:c r="EL286" s="4"/>
      <x:c r="EM286" s="4" t="str">
        <x:f>IF(274&gt;'Calculations'!$JB$2000,"",INDEX('Calculations'!$JA$12:$JA$2000,MATCH(274,'Calculations'!$JB$12:$JB$2000,0)))</x:f>
      </x:c>
      <x:c r="EN286" s="4" t="n">
        <x:f>IF(OR('Calculations'!EM286="",'Calculations'!$AG$8&gt;0,AND('Calculations'!$EF$2&lt;&gt;"All",'Calculations'!HE286='Calculations'!$EF$2),AND('Calculations'!$EF$3&lt;&gt;"All",'Calculations'!HE286='Calculations'!$EF$3)),0,IF(OR('Dashboard'!$B$7="All",'Calculations'!HN286='Dashboard'!$B$7),IF('Calculations'!$EF$2="All",1,IF('Calculations'!HL286&gt;0,0,IF(COUNTIF('Calculations'!HO286:II286,"="&amp;SUBSTITUTE(SUBSTITUTE(SUBSTITUTE('Calculations'!$EF$2,"~","~~"),"*","~*"),"?","~?"))=0,0,IF('Calculations'!$EF$3="All",1,IF(COUNTIF('Calculations'!HO286:II286,"="&amp;SUBSTITUTE(SUBSTITUTE(SUBSTITUTE('Calculations'!$EF$3,"~","~~"),"*","~*"),"?","~?"))&gt;0,1,0))))),0))</x:f>
        <x:v>0</x:v>
      </x:c>
      <x:c r="EO286" s="4" t="str">
        <x:f>IF('Calculations'!IJ286="","",IF('Calculations'!IJ286="!UNRESOLVED","Unresolved hierarchy",IFERROR(INDEX('Calculations'!$HK$13:$HK$512,MATCH('Calculations'!IJ286,'Calculations'!$HE$13:$HE$512,0)),IFERROR(INDEX('Calculations'!$HJ$13:$HJ$512,MATCH('Calculations'!IJ286,'Calculations'!$HF$13:$HF$512,0)),'Calculations'!IJ286))))</x:f>
      </x:c>
      <x:c r="EP286" s="4" t="n">
        <x:f>IF(AND('Calculations'!EM286&lt;&gt;"",'Calculations'!HF286='Calculations'!IJ286),1,0)</x:f>
        <x:v>0</x:v>
      </x:c>
      <x:c r="EQ286" s="4"/>
      <x:c r="ER286" s="4"/>
      <x:c r="ES286" s="4"/>
      <x:c r="ET286" s="4"/>
      <x:c r="EU286" s="4"/>
      <x:c r="EV286" s="4"/>
      <x:c r="EW286" s="4"/>
      <x:c r="EX286" s="4"/>
      <x:c r="EY286" s="4"/>
      <x:c r="EZ286" s="4"/>
      <x:c r="FA286" s="4"/>
      <x:c r="FB286" s="4"/>
      <x:c r="FC286" s="4"/>
      <x:c r="FD286" s="4"/>
      <x:c r="FE286" s="4"/>
      <x:c r="FF286" s="4"/>
      <x:c r="FG286" s="4"/>
      <x:c r="FH286" s="4"/>
      <x:c r="FI286" s="4"/>
      <x:c r="FJ286" s="4"/>
      <x:c r="FK286" s="4"/>
      <x:c r="FL286" s="4"/>
      <x:c r="FM286" s="4"/>
      <x:c r="FN286" s="4"/>
      <x:c r="FO286" s="4"/>
      <x:c r="HE286" t="str">
        <x:f>IF('Calculations'!EM286="","",IF(IFERROR(IF(INDEX(INDIRECT("'WCM Calibration Final'!$A$1:$A$2000"),'Calculations'!$EM286)="","",TRIM(INDEX(INDIRECT("'WCM Calibration Final'!$A$1:$A$2000"),'Calculations'!$EM286)&amp;"")),"")&lt;&gt;"","G:"&amp;IFERROR(TEXT(1*INDEX(INDIRECT("'WCM Calibration Final'!$A$1:$A$2000"),'Calculations'!$EM286),"0"),UPPER(IFERROR(IF(INDEX(INDIRECT("'WCM Calibration Final'!$A$1:$A$2000"),'Calculations'!$EM286)="","",TRIM(INDEX(INDIRECT("'WCM Calibration Final'!$A$1:$A$2000"),'Calculations'!$EM286)&amp;"")),""))),IF(IFERROR(IF(INDEX(INDIRECT("'WCM Calibration Final'!$C$1:$C$2000"),'Calculations'!$EM286)="","",TRIM(INDEX(INDIRECT("'WCM Calibration Final'!$C$1:$C$2000"),'Calculations'!$EM286)&amp;"")),"")&lt;&gt;"","S:"&amp;UPPER(IFERROR(IF(INDEX(INDIRECT("'WCM Calibration Final'!$C$1:$C$2000"),'Calculations'!$EM286)="","",TRIM(INDEX(INDIRECT("'WCM Calibration Final'!$C$1:$C$2000"),'Calculations'!$EM286)&amp;"")),"")),"R:"&amp;'Calculations'!EM286)))</x:f>
      </x:c>
      <x:c r="HF286" t="str">
        <x:f>IF('Calculations'!EM286="","",IF(IFERROR(IF(INDEX(INDIRECT("'WCM Calibration Final'!$D$1:$D$2000"),'Calculations'!$EM286)="","",TRIM(INDEX(INDIRECT("'WCM Calibration Final'!$D$1:$D$2000"),'Calculations'!$EM286)&amp;"")),"")&lt;&gt;"","G:"&amp;IFERROR(TEXT(1*INDEX(INDIRECT("'WCM Calibration Final'!$D$1:$D$2000"),'Calculations'!$EM286),"0"),UPPER(IFERROR(IF(INDEX(INDIRECT("'WCM Calibration Final'!$D$1:$D$2000"),'Calculations'!$EM286)="","",TRIM(INDEX(INDIRECT("'WCM Calibration Final'!$D$1:$D$2000"),'Calculations'!$EM286)&amp;"")),""))),IF(IFERROR(IF(INDEX(INDIRECT("'WCM Calibration Final'!$E$1:$E$2000"),'Calculations'!$EM286)="","",TRIM(INDEX(INDIRECT("'WCM Calibration Final'!$E$1:$E$2000"),'Calculations'!$EM286)&amp;"")),"")="","",IF(COUNTIF('Calculations'!$HG$13:$HG$512,"="&amp;SUBSTITUTE(SUBSTITUTE(SUBSTITUTE(IFERROR(IF(INDEX(INDIRECT("'WCM Calibration Final'!$E$1:$E$2000"),'Calculations'!$EM286)="","",TRIM(INDEX(INDIRECT("'WCM Calibration Final'!$E$1:$E$2000"),'Calculations'!$EM286)&amp;"")),""),"~","~~"),"*","~*"),"?","~?"))=1,INDEX('Calculations'!$HE$13:$HE$512,MATCH(IFERROR(IF(INDEX(INDIRECT("'WCM Calibration Final'!$E$1:$E$2000"),'Calculations'!$EM286)="","",TRIM(INDEX(INDIRECT("'WCM Calibration Final'!$E$1:$E$2000"),'Calculations'!$EM286)&amp;"")),""),'Calculations'!$HG$13:$HG$512,0)),IF(COUNTIF('Calculations'!$HG$13:$HG$512,"="&amp;SUBSTITUTE(SUBSTITUTE(SUBSTITUTE(IFERROR(IF(INDEX(INDIRECT("'WCM Calibration Final'!$E$1:$E$2000"),'Calculations'!$EM286)="","",TRIM(INDEX(INDIRECT("'WCM Calibration Final'!$E$1:$E$2000"),'Calculations'!$EM286)&amp;"")),""),"~","~~"),"*","~*"),"?","~?"))&gt;1,"!AMBIG","X:"&amp;IFERROR(IF(INDEX(INDIRECT("'WCM Calibration Final'!$E$1:$E$2000"),'Calculations'!$EM286)="","",TRIM(INDEX(INDIRECT("'WCM Calibration Final'!$E$1:$E$2000"),'Calculations'!$EM286)&amp;"")),""))))))</x:f>
      </x:c>
      <x:c r="HG286" t="str">
        <x:f>IF('Calculations'!EM286="","",IFERROR(IF(INDEX(INDIRECT("'WCM Calibration Final'!$B$1:$B$2000"),'Calculations'!$EM286)="","",TRIM(INDEX(INDIRECT("'WCM Calibration Final'!$B$1:$B$2000"),'Calculations'!$EM286)&amp;"")),""))</x:f>
      </x:c>
      <x:c r="HH286" t="n">
        <x:f>IF(AND('Calculations'!JC286&gt;0,COUNTIF('Calculations'!$HF$12:HF286,"="&amp;SUBSTITUTE(SUBSTITUTE(SUBSTITUTE('Calculations'!HF286,"~","~~"),"*","~*"),"?","~?"))=1),MAX('Calculations'!$HH$12:HH285)+1,0)</x:f>
        <x:v>0</x:v>
      </x:c>
      <x:c r="HI286" t="n">
        <x:f>IF(AND('Calculations'!HN286&lt;&gt;"",COUNTIF('Calculations'!$HN$12:HN286,"="&amp;SUBSTITUTE(SUBSTITUTE(SUBSTITUTE('Calculations'!HN286,"~","~~"),"*","~*"),"?","~?"))=1),MAX('Calculations'!$HI$12:HI285)+1,0)</x:f>
        <x:v>0</x:v>
      </x:c>
      <x:c r="HJ286" t="str">
        <x:f>IF('Calculations'!HF286="","",IF(COUNTIF('Calculations'!$HE$13:$HE$512,"="&amp;SUBSTITUTE(SUBSTITUTE(SUBSTITUTE('Calculations'!HF286,"~","~~"),"*","~*"),"?","~?"))=1,INDEX('Calculations'!$HK$13:$HK$512,MATCH('Calculations'!HF286,'Calculations'!$HE$13:$HE$512,0)),IFERROR(IF(INDEX(INDIRECT("'WCM Calibration Final'!$E$1:$E$2000"),'Calculations'!$EM286)="","",TRIM(INDEX(INDIRECT("'WCM Calibration Final'!$E$1:$E$2000"),'Calculations'!$EM286)&amp;"")),"")&amp;" ["&amp;'Calculations'!HF286&amp;"]"))</x:f>
      </x:c>
      <x:c r="HK286" t="str">
        <x:f>IF('Calculations'!EM286="","",'Calculations'!HG286&amp;" ["&amp;'Calculations'!HE286&amp;"]")</x:f>
      </x:c>
      <x:c r="HL286" t="n">
        <x:f>IF('Calculations'!EM286="",0,IF(OR('Calculations'!II286&lt;&gt;"",COUNTIF('Calculations'!$HE$13:$HE$512,"="&amp;SUBSTITUTE(SUBSTITUTE(SUBSTITUTE('Calculations'!HE286,"~","~~"),"*","~*"),"?","~?"))&gt;1),1,0))</x:f>
        <x:v>0</x:v>
      </x:c>
      <x:c r="HM286" t="str">
        <x:f>IF('Calculations'!EM286="","",IF('Calculations'!HL286=1,"!UNRESOLVED",IF('Calculations'!IH286&lt;&gt;"",'Calculations'!IH286,IF('Calculations'!IG286&lt;&gt;"",'Calculations'!IG286,IF('Calculations'!IF286&lt;&gt;"",'Calculations'!IF286,IF('Calculations'!IE286&lt;&gt;"",'Calculations'!IE286,IF('Calculations'!ID286&lt;&gt;"",'Calculations'!ID286,IF('Calculations'!IC286&lt;&gt;"",'Calculations'!IC286,IF('Calculations'!IB286&lt;&gt;"",'Calculations'!IB286,IF('Calculations'!IA286&lt;&gt;"",'Calculations'!IA286,IF('Calculations'!HZ286&lt;&gt;"",'Calculations'!HZ286,IF('Calculations'!HY286&lt;&gt;"",'Calculations'!HY286,IF('Calculations'!HX286&lt;&gt;"",'Calculations'!HX286,IF('Calculations'!HW286&lt;&gt;"",'Calculations'!HW286,IF('Calculations'!HV286&lt;&gt;"",'Calculations'!HV286,IF('Calculations'!HU286&lt;&gt;"",'Calculations'!HU286,IF('Calculations'!HT286&lt;&gt;"",'Calculations'!HT286,IF('Calculations'!HS286&lt;&gt;"",'Calculations'!HS286,IF('Calculations'!HR286&lt;&gt;"",'Calculations'!HR286,IF('Calculations'!HQ286&lt;&gt;"",'Calculations'!HQ286,IF('Calculations'!HP286&lt;&gt;"",'Calculations'!HP286,IF('Calculations'!HO286&lt;&gt;"",'Calculations'!HO286,'Calculations'!HE286))))))))))))))))))))))</x:f>
      </x:c>
      <x:c r="HN286" t="str">
        <x:f>IF('Calculations'!EM286="","",IF(IFERROR(IF(INDEX(INDIRECT("'WCM Calibration Final'!$F$1:$F$2000"),'Calculations'!$EM286)="","",TRIM(INDEX(INDIRECT("'WCM Calibration Final'!$F$1:$F$2000"),'Calculations'!$EM286)&amp;"")),"")="","(Blank)",IFERROR(IF(INDEX(INDIRECT("'WCM Calibration Final'!$F$1:$F$2000"),'Calculations'!$EM286)="","",TRIM(INDEX(INDIRECT("'WCM Calibration Final'!$F$1:$F$2000"),'Calculations'!$EM286)&amp;"")),"")))</x:f>
      </x:c>
      <x:c r="HO286" t="str">
        <x:f>'Calculations'!HF286</x:f>
      </x:c>
      <x:c r="HP286" t="str">
        <x:f>IF('Calculations'!HO286="","",IF('Calculations'!HO286="!AMBIG","!AMBIG",IF(COUNTIF('Calculations'!$HE$13:$HE$512,"="&amp;SUBSTITUTE(SUBSTITUTE(SUBSTITUTE('Calculations'!HO286,"~","~~"),"*","~*"),"?","~?"))&gt;1,"!AMBIG",IFERROR(INDEX('Calculations'!$HF$13:$HF$512,MATCH('Calculations'!HO286,'Calculations'!$HE$13:$HE$512,0)),""))))</x:f>
      </x:c>
      <x:c r="HQ286" t="str">
        <x:f>IF('Calculations'!HP286="","",IF('Calculations'!HP286="!AMBIG","!AMBIG",IF(COUNTIF('Calculations'!$HE$13:$HE$512,"="&amp;SUBSTITUTE(SUBSTITUTE(SUBSTITUTE('Calculations'!HP286,"~","~~"),"*","~*"),"?","~?"))&gt;1,"!AMBIG",IFERROR(INDEX('Calculations'!$HF$13:$HF$512,MATCH('Calculations'!HP286,'Calculations'!$HE$13:$HE$512,0)),""))))</x:f>
      </x:c>
      <x:c r="HR286" t="str">
        <x:f>IF('Calculations'!HQ286="","",IF('Calculations'!HQ286="!AMBIG","!AMBIG",IF(COUNTIF('Calculations'!$HE$13:$HE$512,"="&amp;SUBSTITUTE(SUBSTITUTE(SUBSTITUTE('Calculations'!HQ286,"~","~~"),"*","~*"),"?","~?"))&gt;1,"!AMBIG",IFERROR(INDEX('Calculations'!$HF$13:$HF$512,MATCH('Calculations'!HQ286,'Calculations'!$HE$13:$HE$512,0)),""))))</x:f>
      </x:c>
      <x:c r="HS286" t="str">
        <x:f>IF('Calculations'!HR286="","",IF('Calculations'!HR286="!AMBIG","!AMBIG",IF(COUNTIF('Calculations'!$HE$13:$HE$512,"="&amp;SUBSTITUTE(SUBSTITUTE(SUBSTITUTE('Calculations'!HR286,"~","~~"),"*","~*"),"?","~?"))&gt;1,"!AMBIG",IFERROR(INDEX('Calculations'!$HF$13:$HF$512,MATCH('Calculations'!HR286,'Calculations'!$HE$13:$HE$512,0)),""))))</x:f>
      </x:c>
      <x:c r="HT286" t="str">
        <x:f>IF('Calculations'!HS286="","",IF('Calculations'!HS286="!AMBIG","!AMBIG",IF(COUNTIF('Calculations'!$HE$13:$HE$512,"="&amp;SUBSTITUTE(SUBSTITUTE(SUBSTITUTE('Calculations'!HS286,"~","~~"),"*","~*"),"?","~?"))&gt;1,"!AMBIG",IFERROR(INDEX('Calculations'!$HF$13:$HF$512,MATCH('Calculations'!HS286,'Calculations'!$HE$13:$HE$512,0)),""))))</x:f>
      </x:c>
      <x:c r="HU286" t="str">
        <x:f>IF('Calculations'!HT286="","",IF('Calculations'!HT286="!AMBIG","!AMBIG",IF(COUNTIF('Calculations'!$HE$13:$HE$512,"="&amp;SUBSTITUTE(SUBSTITUTE(SUBSTITUTE('Calculations'!HT286,"~","~~"),"*","~*"),"?","~?"))&gt;1,"!AMBIG",IFERROR(INDEX('Calculations'!$HF$13:$HF$512,MATCH('Calculations'!HT286,'Calculations'!$HE$13:$HE$512,0)),""))))</x:f>
      </x:c>
      <x:c r="HV286" t="str">
        <x:f>IF('Calculations'!HU286="","",IF('Calculations'!HU286="!AMBIG","!AMBIG",IF(COUNTIF('Calculations'!$HE$13:$HE$512,"="&amp;SUBSTITUTE(SUBSTITUTE(SUBSTITUTE('Calculations'!HU286,"~","~~"),"*","~*"),"?","~?"))&gt;1,"!AMBIG",IFERROR(INDEX('Calculations'!$HF$13:$HF$512,MATCH('Calculations'!HU286,'Calculations'!$HE$13:$HE$512,0)),""))))</x:f>
      </x:c>
      <x:c r="HW286" t="str">
        <x:f>IF('Calculations'!HV286="","",IF('Calculations'!HV286="!AMBIG","!AMBIG",IF(COUNTIF('Calculations'!$HE$13:$HE$512,"="&amp;SUBSTITUTE(SUBSTITUTE(SUBSTITUTE('Calculations'!HV286,"~","~~"),"*","~*"),"?","~?"))&gt;1,"!AMBIG",IFERROR(INDEX('Calculations'!$HF$13:$HF$512,MATCH('Calculations'!HV286,'Calculations'!$HE$13:$HE$512,0)),""))))</x:f>
      </x:c>
      <x:c r="HX286" t="str">
        <x:f>IF('Calculations'!HW286="","",IF('Calculations'!HW286="!AMBIG","!AMBIG",IF(COUNTIF('Calculations'!$HE$13:$HE$512,"="&amp;SUBSTITUTE(SUBSTITUTE(SUBSTITUTE('Calculations'!HW286,"~","~~"),"*","~*"),"?","~?"))&gt;1,"!AMBIG",IFERROR(INDEX('Calculations'!$HF$13:$HF$512,MATCH('Calculations'!HW286,'Calculations'!$HE$13:$HE$512,0)),""))))</x:f>
      </x:c>
      <x:c r="HY286" t="str">
        <x:f>IF('Calculations'!HX286="","",IF('Calculations'!HX286="!AMBIG","!AMBIG",IF(COUNTIF('Calculations'!$HE$13:$HE$512,"="&amp;SUBSTITUTE(SUBSTITUTE(SUBSTITUTE('Calculations'!HX286,"~","~~"),"*","~*"),"?","~?"))&gt;1,"!AMBIG",IFERROR(INDEX('Calculations'!$HF$13:$HF$512,MATCH('Calculations'!HX286,'Calculations'!$HE$13:$HE$512,0)),""))))</x:f>
      </x:c>
      <x:c r="HZ286" t="str">
        <x:f>IF('Calculations'!HY286="","",IF('Calculations'!HY286="!AMBIG","!AMBIG",IF(COUNTIF('Calculations'!$HE$13:$HE$512,"="&amp;SUBSTITUTE(SUBSTITUTE(SUBSTITUTE('Calculations'!HY286,"~","~~"),"*","~*"),"?","~?"))&gt;1,"!AMBIG",IFERROR(INDEX('Calculations'!$HF$13:$HF$512,MATCH('Calculations'!HY286,'Calculations'!$HE$13:$HE$512,0)),""))))</x:f>
      </x:c>
      <x:c r="IA286" t="str">
        <x:f>IF('Calculations'!HZ286="","",IF('Calculations'!HZ286="!AMBIG","!AMBIG",IF(COUNTIF('Calculations'!$HE$13:$HE$512,"="&amp;SUBSTITUTE(SUBSTITUTE(SUBSTITUTE('Calculations'!HZ286,"~","~~"),"*","~*"),"?","~?"))&gt;1,"!AMBIG",IFERROR(INDEX('Calculations'!$HF$13:$HF$512,MATCH('Calculations'!HZ286,'Calculations'!$HE$13:$HE$512,0)),""))))</x:f>
      </x:c>
      <x:c r="IB286" t="str">
        <x:f>IF('Calculations'!IA286="","",IF('Calculations'!IA286="!AMBIG","!AMBIG",IF(COUNTIF('Calculations'!$HE$13:$HE$512,"="&amp;SUBSTITUTE(SUBSTITUTE(SUBSTITUTE('Calculations'!IA286,"~","~~"),"*","~*"),"?","~?"))&gt;1,"!AMBIG",IFERROR(INDEX('Calculations'!$HF$13:$HF$512,MATCH('Calculations'!IA286,'Calculations'!$HE$13:$HE$512,0)),""))))</x:f>
      </x:c>
      <x:c r="IC286" t="str">
        <x:f>IF('Calculations'!IB286="","",IF('Calculations'!IB286="!AMBIG","!AMBIG",IF(COUNTIF('Calculations'!$HE$13:$HE$512,"="&amp;SUBSTITUTE(SUBSTITUTE(SUBSTITUTE('Calculations'!IB286,"~","~~"),"*","~*"),"?","~?"))&gt;1,"!AMBIG",IFERROR(INDEX('Calculations'!$HF$13:$HF$512,MATCH('Calculations'!IB286,'Calculations'!$HE$13:$HE$512,0)),""))))</x:f>
      </x:c>
      <x:c r="ID286" t="str">
        <x:f>IF('Calculations'!IC286="","",IF('Calculations'!IC286="!AMBIG","!AMBIG",IF(COUNTIF('Calculations'!$HE$13:$HE$512,"="&amp;SUBSTITUTE(SUBSTITUTE(SUBSTITUTE('Calculations'!IC286,"~","~~"),"*","~*"),"?","~?"))&gt;1,"!AMBIG",IFERROR(INDEX('Calculations'!$HF$13:$HF$512,MATCH('Calculations'!IC286,'Calculations'!$HE$13:$HE$512,0)),""))))</x:f>
      </x:c>
      <x:c r="IE286" t="str">
        <x:f>IF('Calculations'!ID286="","",IF('Calculations'!ID286="!AMBIG","!AMBIG",IF(COUNTIF('Calculations'!$HE$13:$HE$512,"="&amp;SUBSTITUTE(SUBSTITUTE(SUBSTITUTE('Calculations'!ID286,"~","~~"),"*","~*"),"?","~?"))&gt;1,"!AMBIG",IFERROR(INDEX('Calculations'!$HF$13:$HF$512,MATCH('Calculations'!ID286,'Calculations'!$HE$13:$HE$512,0)),""))))</x:f>
      </x:c>
      <x:c r="IF286" t="str">
        <x:f>IF('Calculations'!IE286="","",IF('Calculations'!IE286="!AMBIG","!AMBIG",IF(COUNTIF('Calculations'!$HE$13:$HE$512,"="&amp;SUBSTITUTE(SUBSTITUTE(SUBSTITUTE('Calculations'!IE286,"~","~~"),"*","~*"),"?","~?"))&gt;1,"!AMBIG",IFERROR(INDEX('Calculations'!$HF$13:$HF$512,MATCH('Calculations'!IE286,'Calculations'!$HE$13:$HE$512,0)),""))))</x:f>
      </x:c>
      <x:c r="IG286" t="str">
        <x:f>IF('Calculations'!IF286="","",IF('Calculations'!IF286="!AMBIG","!AMBIG",IF(COUNTIF('Calculations'!$HE$13:$HE$512,"="&amp;SUBSTITUTE(SUBSTITUTE(SUBSTITUTE('Calculations'!IF286,"~","~~"),"*","~*"),"?","~?"))&gt;1,"!AMBIG",IFERROR(INDEX('Calculations'!$HF$13:$HF$512,MATCH('Calculations'!IF286,'Calculations'!$HE$13:$HE$512,0)),""))))</x:f>
      </x:c>
      <x:c r="IH286" t="str">
        <x:f>IF('Calculations'!IG286="","",IF('Calculations'!IG286="!AMBIG","!AMBIG",IF(COUNTIF('Calculations'!$HE$13:$HE$512,"="&amp;SUBSTITUTE(SUBSTITUTE(SUBSTITUTE('Calculations'!IG286,"~","~~"),"*","~*"),"?","~?"))&gt;1,"!AMBIG",IFERROR(INDEX('Calculations'!$HF$13:$HF$512,MATCH('Calculations'!IG286,'Calculations'!$HE$13:$HE$512,0)),""))))</x:f>
      </x:c>
      <x:c r="II286" t="str">
        <x:f>IF('Calculations'!IH286="","",IF('Calculations'!IH286="!AMBIG","!AMBIG",IF(COUNTIF('Calculations'!$HE$13:$HE$512,"="&amp;SUBSTITUTE(SUBSTITUTE(SUBSTITUTE('Calculations'!IH286,"~","~~"),"*","~*"),"?","~?"))&gt;1,"!AMBIG",IFERROR(INDEX('Calculations'!$HF$13:$HF$512,MATCH('Calculations'!IH286,'Calculations'!$HE$13:$HE$512,0)),""))))</x:f>
      </x:c>
      <x:c r="IJ286" t="str">
        <x:f>IF('Calculations'!EM286="","",IF('Calculations'!$EF$2="All",'Calculations'!HM286,IF('Calculations'!HL286=1,"",IFERROR(IF(MATCH('Calculations'!$EF$2,'Calculations'!HO286:II286,0)=1,'Calculations'!HE286,INDEX('Calculations'!HO286:II286,1,MATCH('Calculations'!$EF$2,'Calculations'!HO286:II286,0)-1)),""))))</x:f>
      </x:c>
      <x:c r="IK286" t="n">
        <x:f>IF(AND('Calculations'!EM286&lt;&gt;"",'Calculations'!$EF$2&lt;&gt;"All",'Calculations'!HF286='Calculations'!$EF$2,'Calculations'!HL286=0,'Calculations'!JD286&gt;0),MAX('Calculations'!$IK$12:IK285)+1,0)</x:f>
        <x:v>0</x:v>
      </x:c>
      <x:c r="JA286" t="n">
        <x:f>IF(OR(IFERROR(INDIRECT("'WCM Calibration Final'!$A$286")&lt;&gt;"",FALSE),IFERROR(INDIRECT("'WCM Calibration Final'!$B$286")&lt;&gt;"",FALSE),IFERROR(INDIRECT("'WCM Calibration Final'!$C$286")&lt;&gt;"",FALSE)),286,0)</x:f>
        <x:v>0</x:v>
      </x:c>
      <x:c r="JB286" t="n">
        <x:f>'Calculations'!JB285+IF('Calculations'!JA286&gt;0,1,0)</x:f>
        <x:v>0</x:v>
      </x:c>
      <x:c r="JC286" t="n">
        <x:f>IF(OR('Calculations'!HF286="",'Calculations'!HF286="!AMBIG"),0,IF('Dashboard'!$B$7="All",1,COUNTIFS('Calculations'!$HO$13:$HO$512,"="&amp;SUBSTITUTE(SUBSTITUTE(SUBSTITUTE('Calculations'!HF286,"~","~~"),"*","~*"),"?","~?"),'Calculations'!$HN$13:$HN$512,"="&amp;SUBSTITUTE(SUBSTITUTE(SUBSTITUTE('Dashboard'!$B$7,"~","~~"),"*","~*"),"?","~?"))+COUNTIFS('Calculations'!$HP$13:$HP$512,"="&amp;SUBSTITUTE(SUBSTITUTE(SUBSTITUTE('Calculations'!HF286,"~","~~"),"*","~*"),"?","~?"),'Calculations'!$HN$13:$HN$512,"="&amp;SUBSTITUTE(SUBSTITUTE(SUBSTITUTE('Dashboard'!$B$7,"~","~~"),"*","~*"),"?","~?"))+COUNTIFS('Calculations'!$HQ$13:$HQ$512,"="&amp;SUBSTITUTE(SUBSTITUTE(SUBSTITUTE('Calculations'!HF286,"~","~~"),"*","~*"),"?","~?"),'Calculations'!$HN$13:$HN$512,"="&amp;SUBSTITUTE(SUBSTITUTE(SUBSTITUTE('Dashboard'!$B$7,"~","~~"),"*","~*"),"?","~?"))+COUNTIFS('Calculations'!$HR$13:$HR$512,"="&amp;SUBSTITUTE(SUBSTITUTE(SUBSTITUTE('Calculations'!HF286,"~","~~"),"*","~*"),"?","~?"),'Calculations'!$HN$13:$HN$512,"="&amp;SUBSTITUTE(SUBSTITUTE(SUBSTITUTE('Dashboard'!$B$7,"~","~~"),"*","~*"),"?","~?"))+COUNTIFS('Calculations'!$HS$13:$HS$512,"="&amp;SUBSTITUTE(SUBSTITUTE(SUBSTITUTE('Calculations'!HF286,"~","~~"),"*","~*"),"?","~?"),'Calculations'!$HN$13:$HN$512,"="&amp;SUBSTITUTE(SUBSTITUTE(SUBSTITUTE('Dashboard'!$B$7,"~","~~"),"*","~*"),"?","~?"))+COUNTIFS('Calculations'!$HT$13:$HT$512,"="&amp;SUBSTITUTE(SUBSTITUTE(SUBSTITUTE('Calculations'!HF286,"~","~~"),"*","~*"),"?","~?"),'Calculations'!$HN$13:$HN$512,"="&amp;SUBSTITUTE(SUBSTITUTE(SUBSTITUTE('Dashboard'!$B$7,"~","~~"),"*","~*"),"?","~?"))+COUNTIFS('Calculations'!$HU$13:$HU$512,"="&amp;SUBSTITUTE(SUBSTITUTE(SUBSTITUTE('Calculations'!HF286,"~","~~"),"*","~*"),"?","~?"),'Calculations'!$HN$13:$HN$512,"="&amp;SUBSTITUTE(SUBSTITUTE(SUBSTITUTE('Dashboard'!$B$7,"~","~~"),"*","~*"),"?","~?"))+COUNTIFS('Calculations'!$HV$13:$HV$512,"="&amp;SUBSTITUTE(SUBSTITUTE(SUBSTITUTE('Calculations'!HF286,"~","~~"),"*","~*"),"?","~?"),'Calculations'!$HN$13:$HN$512,"="&amp;SUBSTITUTE(SUBSTITUTE(SUBSTITUTE('Dashboard'!$B$7,"~","~~"),"*","~*"),"?","~?"))+COUNTIFS('Calculations'!$HW$13:$HW$512,"="&amp;SUBSTITUTE(SUBSTITUTE(SUBSTITUTE('Calculations'!HF286,"~","~~"),"*","~*"),"?","~?"),'Calculations'!$HN$13:$HN$512,"="&amp;SUBSTITUTE(SUBSTITUTE(SUBSTITUTE('Dashboard'!$B$7,"~","~~"),"*","~*"),"?","~?"))+COUNTIFS('Calculations'!$HX$13:$HX$512,"="&amp;SUBSTITUTE(SUBSTITUTE(SUBSTITUTE('Calculations'!HF286,"~","~~"),"*","~*"),"?","~?"),'Calculations'!$HN$13:$HN$512,"="&amp;SUBSTITUTE(SUBSTITUTE(SUBSTITUTE('Dashboard'!$B$7,"~","~~"),"*","~*"),"?","~?"))+COUNTIFS('Calculations'!$HY$13:$HY$512,"="&amp;SUBSTITUTE(SUBSTITUTE(SUBSTITUTE('Calculations'!HF286,"~","~~"),"*","~*"),"?","~?"),'Calculations'!$HN$13:$HN$512,"="&amp;SUBSTITUTE(SUBSTITUTE(SUBSTITUTE('Dashboard'!$B$7,"~","~~"),"*","~*"),"?","~?"))+COUNTIFS('Calculations'!$HZ$13:$HZ$512,"="&amp;SUBSTITUTE(SUBSTITUTE(SUBSTITUTE('Calculations'!HF286,"~","~~"),"*","~*"),"?","~?"),'Calculations'!$HN$13:$HN$512,"="&amp;SUBSTITUTE(SUBSTITUTE(SUBSTITUTE('Dashboard'!$B$7,"~","~~"),"*","~*"),"?","~?"))+COUNTIFS('Calculations'!$IA$13:$IA$512,"="&amp;SUBSTITUTE(SUBSTITUTE(SUBSTITUTE('Calculations'!HF286,"~","~~"),"*","~*"),"?","~?"),'Calculations'!$HN$13:$HN$512,"="&amp;SUBSTITUTE(SUBSTITUTE(SUBSTITUTE('Dashboard'!$B$7,"~","~~"),"*","~*"),"?","~?"))+COUNTIFS('Calculations'!$IB$13:$IB$512,"="&amp;SUBSTITUTE(SUBSTITUTE(SUBSTITUTE('Calculations'!HF286,"~","~~"),"*","~*"),"?","~?"),'Calculations'!$HN$13:$HN$512,"="&amp;SUBSTITUTE(SUBSTITUTE(SUBSTITUTE('Dashboard'!$B$7,"~","~~"),"*","~*"),"?","~?"))+COUNTIFS('Calculations'!$IC$13:$IC$512,"="&amp;SUBSTITUTE(SUBSTITUTE(SUBSTITUTE('Calculations'!HF286,"~","~~"),"*","~*"),"?","~?"),'Calculations'!$HN$13:$HN$512,"="&amp;SUBSTITUTE(SUBSTITUTE(SUBSTITUTE('Dashboard'!$B$7,"~","~~"),"*","~*"),"?","~?"))+COUNTIFS('Calculations'!$ID$13:$ID$512,"="&amp;SUBSTITUTE(SUBSTITUTE(SUBSTITUTE('Calculations'!HF286,"~","~~"),"*","~*"),"?","~?"),'Calculations'!$HN$13:$HN$512,"="&amp;SUBSTITUTE(SUBSTITUTE(SUBSTITUTE('Dashboard'!$B$7,"~","~~"),"*","~*"),"?","~?"))+COUNTIFS('Calculations'!$IE$13:$IE$512,"="&amp;SUBSTITUTE(SUBSTITUTE(SUBSTITUTE('Calculations'!HF286,"~","~~"),"*","~*"),"?","~?"),'Calculations'!$HN$13:$HN$512,"="&amp;SUBSTITUTE(SUBSTITUTE(SUBSTITUTE('Dashboard'!$B$7,"~","~~"),"*","~*"),"?","~?"))+COUNTIFS('Calculations'!$IF$13:$IF$512,"="&amp;SUBSTITUTE(SUBSTITUTE(SUBSTITUTE('Calculations'!HF286,"~","~~"),"*","~*"),"?","~?"),'Calculations'!$HN$13:$HN$512,"="&amp;SUBSTITUTE(SUBSTITUTE(SUBSTITUTE('Dashboard'!$B$7,"~","~~"),"*","~*"),"?","~?"))+COUNTIFS('Calculations'!$IG$13:$IG$512,"="&amp;SUBSTITUTE(SUBSTITUTE(SUBSTITUTE('Calculations'!HF286,"~","~~"),"*","~*"),"?","~?"),'Calculations'!$HN$13:$HN$512,"="&amp;SUBSTITUTE(SUBSTITUTE(SUBSTITUTE('Dashboard'!$B$7,"~","~~"),"*","~*"),"?","~?"))+COUNTIFS('Calculations'!$IH$13:$IH$512,"="&amp;SUBSTITUTE(SUBSTITUTE(SUBSTITUTE('Calculations'!HF286,"~","~~"),"*","~*"),"?","~?"),'Calculations'!$HN$13:$HN$512,"="&amp;SUBSTITUTE(SUBSTITUTE(SUBSTITUTE('Dashboard'!$B$7,"~","~~"),"*","~*"),"?","~?"))))</x:f>
        <x:v>0</x:v>
      </x:c>
      <x:c r="JD286" t="n">
        <x:f>IF('Calculations'!EM286="",0,IF('Dashboard'!$B$7="All",1,IF('Calculations'!HN286='Dashboard'!$B$7,1,0)+IFERROR(INDEX('Calculations'!$JC$13:$JC$512,MATCH('Calculations'!HE286,'Calculations'!$HF$13:$HF$512,0)),0)))</x:f>
        <x:v>0</x:v>
      </x:c>
      <x:c r="JE286" t="n">
        <x:f>IF(AND('Calculations'!EM286&lt;&gt;"",'Calculations'!$JJ$2&lt;&gt;"All",'Calculations'!$JJ$2&lt;&gt;"",'Calculations'!HF286='Calculations'!$JJ$2,'Calculations'!HL286=0,'Calculations'!JD286&gt;0),MAX('Calculations'!$JE$12:JE285)+1,0)</x:f>
        <x:v>0</x:v>
      </x:c>
      <x:c r="JF286" t="str">
        <x:f>IF('Calculations'!EM286="","",IFERROR(IF(INDEX(INDIRECT("'WCM Calibration Final'!$G$1:$G$2000"),'Calculations'!$EM286)="","",TRIM(INDEX(INDIRECT("'WCM Calibration Final'!$G$1:$G$2000"),'Calculations'!$EM286)&amp;"")),""))</x:f>
      </x:c>
      <x:c r="JQ286" t="n">
        <x:f>IF(OR('Calculations'!BM286=0,NOT('Calculations'!$AG$2),'Calculations'!$AG$8&gt;0),0,IF(OR('Dashboard'!$B$7="All",'Calculations'!HN286='Dashboard'!$B$7),IF('Calculations'!$JJ$2="All",1,IF(AND('Calculations'!HF286='Calculations'!$JJ$2,'Calculations'!HL286=0),1,0)),0))</x:f>
        <x:v>0</x:v>
      </x:c>
    </x:row>
    <x:row r="287">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t="n">
        <x:f>IF('Calculations'!$EM287="",0,IF(OR(IFERROR(INDEX(INDIRECT("'WCM Calibration Final'!$A$1:$A$2000"),'Calculations'!$EM287)&lt;&gt;"",FALSE),IFERROR(INDEX(INDIRECT("'WCM Calibration Final'!$B$1:$B$2000"),'Calculations'!$EM287)&lt;&gt;"",FALSE),IFERROR(INDEX(INDIRECT("'WCM Calibration Final'!$C$1:$C$2000"),'Calculations'!$EM287)&lt;&gt;"",FALSE)),1,0))</x:f>
        <x:v>0</x:v>
      </x:c>
      <x:c r="BN287" s="4" t="n">
        <x:f>IF(AND('Calculations'!BM287=1,'Calculations'!$AG$2,'Calculations'!$EN287=1),1,0)</x:f>
        <x:v>0</x:v>
      </x:c>
      <x:c r="BO287" s="4" t="str">
        <x:f>IF('Calculations'!BM287=0,"",IFERROR(IF(AND(VALUE(INDEX(INDIRECT("'WCM Calibration Final'!$K$1:$K$2000"),'Calculations'!$EM287))&gt;=1,VALUE(INDEX(INDIRECT("'WCM Calibration Final'!$K$1:$K$2000"),'Calculations'!$EM287))&lt;=4,MOD(VALUE(INDEX(INDIRECT("'WCM Calibration Final'!$K$1:$K$2000"),'Calculations'!$EM287)),1)=0),VALUE(INDEX(INDIRECT("'WCM Calibration Final'!$K$1:$K$2000"),'Calculations'!$EM287)),""),""))</x:f>
      </x:c>
      <x:c r="BP287" s="4" t="str">
        <x:f>IF('Calculations'!BM287=0,"",IFERROR(IF(AND(VALUE(INDEX(INDIRECT("'WCM Calibration Final'!$L$1:$L$2000"),'Calculations'!$EM287))&gt;=1,VALUE(INDEX(INDIRECT("'WCM Calibration Final'!$L$1:$L$2000"),'Calculations'!$EM287))&lt;=4,MOD(VALUE(INDEX(INDIRECT("'WCM Calibration Final'!$L$1:$L$2000"),'Calculations'!$EM287)),1)=0),VALUE(INDEX(INDIRECT("'WCM Calibration Final'!$L$1:$L$2000"),'Calculations'!$EM287)),""),""))</x:f>
      </x:c>
      <x:c r="BQ287" s="4"/>
      <x:c r="BR287" s="4"/>
      <x:c r="BS287" s="4"/>
      <x:c r="BT287" s="4" t="n">
        <x:f>IF(AND('Calculations'!BM287=1,ISNUMBER('Calculations'!BO287),ISNUMBER('Calculations'!BP287)),1,0)</x:f>
        <x:v>0</x:v>
      </x:c>
      <x:c r="BU287" s="4" t="str">
        <x:f>IF('Calculations'!BM287=0,"",'Calculations'!$EO287)</x:f>
      </x:c>
      <x:c r="BV287" s="4" t="str">
        <x:f>IF('Calculations'!BM287=0,"",IFERROR(IF(OR(INDEX(INDIRECT("'WCM Calibration Final'!$H$1:$H$2000"),'Calculations'!$EM287)="MANAGING DIRECTOR",INDEX(INDIRECT("'WCM Calibration Final'!$H$1:$H$2000"),'Calculations'!$EM287)="DIRECTOR",INDEX(INDIRECT("'WCM Calibration Final'!$H$1:$H$2000"),'Calculations'!$EM287)="SENIOR VICE PRESIDENT",INDEX(INDIRECT("'WCM Calibration Final'!$H$1:$H$2000"),'Calculations'!$EM287)="VICE PRESIDENT",INDEX(INDIRECT("'WCM Calibration Final'!$H$1:$H$2000"),'Calculations'!$EM287)="ASSISTANT VICE PRESIDENT",INDEX(INDIRECT("'WCM Calibration Final'!$H$1:$H$2000"),'Calculations'!$EM287)="OFFICER"),UPPER(INDEX(INDIRECT("'WCM Calibration Final'!$H$1:$H$2000"),'Calculations'!$EM287)),"Other"),"Other"))</x:f>
      </x:c>
      <x:c r="BW287" s="4"/>
      <x:c r="BX287" s="4"/>
      <x:c r="BY287" s="4" t="n">
        <x:f>IF(AND('Calculations'!BM287=1,'Calculations'!BU287&lt;&gt;"",COUNTIF('Calculations'!$BU$12:BU287,'Calculations'!BU287)=1),MAX('Calculations'!$BY$11:BY286)+1,0)</x:f>
        <x:v>0</x:v>
      </x:c>
      <x:c r="BZ287" s="4" t="str">
        <x:f>IF('Dashboard'!$E$67="What",'Calculations'!BO287,'Calculations'!BP287)</x:f>
      </x:c>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t="str">
        <x:f>IF(276&gt;MAX('Calculations'!$HI$13:$HI$512),"",INDEX('Calculations'!$HN$13:$HN$512,MATCH(276,'Calculations'!$HI$13:$HI$512,0)))</x:f>
      </x:c>
      <x:c r="DB287" s="4" t="str">
        <x:f>IF(276&gt;MAX('Calculations'!$HH$13:$HH$512),"",INDEX('Calculations'!$HJ$13:$HJ$512,MATCH(276,'Calculations'!$HH$13:$HH$512,0)))</x:f>
      </x:c>
      <x:c r="DC287" s="4" t="str">
        <x:f>IF(ROW()-11&gt;MAX('Calculations'!$BY$13:$BY$512),"",INDEX('Calculations'!$BU$13:$BU$512,MATCH(ROW()-11,'Calculations'!$BY$13:$BY$512,0)))</x:f>
      </x:c>
      <x:c r="DD287" s="4" t="str">
        <x:f>IF(276&gt;MAX('Calculations'!$IK$13:$IK$512),"",INDEX('Calculations'!$HK$13:$HK$512,MATCH(276,'Calculations'!$IK$13:$IK$512,0)))</x:f>
      </x:c>
      <x:c r="DE287" s="4" t="str">
        <x:f>'Calculations'!DC287</x:f>
      </x:c>
      <x:c r="DF287" s="4" t="str">
        <x:f>IF('Calculations'!DE287="","",COUNTIFS('Calculations'!$BN$13:$BN$512,1,'Calculations'!$BU$13:$BU$512,'Calculations'!DE287))</x:f>
      </x:c>
      <x:c r="DG287" s="4" t="str">
        <x:f>IF('Calculations'!DE287="","",COUNTIFS('Calculations'!$BN$13:$BN$512,1,'Calculations'!$BU$13:$BU$512,'Calculations'!DE287,'Calculations'!$BT$13:$BT$512,1))</x:f>
      </x:c>
      <x:c r="DH287" s="4" t="str">
        <x:f>IF('Calculations'!DE287="","",'Calculations'!DF287-'Calculations'!DG287)</x:f>
      </x:c>
      <x:c r="DI287" s="4" t="str">
        <x:f>IF(OR('Calculations'!DE287="",'Calculations'!DF287=0),"",'Calculations'!DG287/'Calculations'!DF287)</x:f>
      </x:c>
      <x:c r="DJ287" s="4" t="str">
        <x:f>IF('Calculations'!DE287="","",COUNTIFS('Calculations'!$BN$13:$BN$512,1,'Calculations'!$BU$13:$BU$512,'Calculations'!DE287,'Calculations'!$BT$13:$BT$512,1,'Calculations'!$EE$13:$EE$512,"High"))</x:f>
      </x:c>
      <x:c r="DK287" s="4" t="str">
        <x:f>IF('Calculations'!DE287="","",COUNTIFS('Calculations'!$BN$13:$BN$512,1,'Calculations'!$BU$13:$BU$512,'Calculations'!DE287,'Calculations'!$BT$13:$BT$512,1,'Calculations'!$EE$13:$EE$512,"Strong"))</x:f>
      </x:c>
      <x:c r="DL287" s="4" t="str">
        <x:f>IF('Calculations'!DE287="","",COUNTIFS('Calculations'!$BN$13:$BN$512,1,'Calculations'!$BU$13:$BU$512,'Calculations'!DE287,'Calculations'!$BT$13:$BT$512,1,'Calculations'!$EE$13:$EE$512,"Solid"))</x:f>
      </x:c>
      <x:c r="DM287" s="4" t="str">
        <x:f>IF('Calculations'!DE287="","",COUNTIFS('Calculations'!$BN$13:$BN$512,1,'Calculations'!$BU$13:$BU$512,'Calculations'!DE287,'Calculations'!$BT$13:$BT$512,1,'Calculations'!$EE$13:$EE$512,"Low"))</x:f>
      </x:c>
      <x:c r="DN287" s="4" t="str">
        <x:f>IF('Calculations'!DE287="","",COUNTIFS('Calculations'!$BN$13:$BN$512,1,'Calculations'!$BU$13:$BU$512,'Calculations'!DE287,'Calculations'!$EP$13:$EP$512,1))</x:f>
      </x:c>
      <x:c r="DO287" s="4" t="str">
        <x:f>IF(OR('Calculations'!DE287="",'Calculations'!DG287=0),"",('Calculations'!DJ287+'Calculations'!DK287)/'Calculations'!DG287)</x:f>
      </x:c>
      <x:c r="DP287" s="4" t="n">
        <x:f>IF(AND('Calculations'!DE287&lt;&gt;"",'Calculations'!DF287&gt;0),COUNTIF('Calculations'!$DF$12:DF287,"&gt;0"),0)</x:f>
        <x:v>0</x:v>
      </x:c>
      <x:c r="DQ287" s="4" t="str">
        <x:f>IF(276&gt;MAX('Calculations'!$HH$13:$HH$512),"",INDEX('Calculations'!$HF$13:$HF$512,MATCH(276,'Calculations'!$HH$13:$HH$512,0)))</x:f>
      </x:c>
      <x:c r="DR287" s="4" t="str">
        <x:f>IF(276&gt;MAX('Calculations'!$IK$13:$IK$512),"",INDEX('Calculations'!$HE$13:$HE$512,MATCH(276,'Calculations'!$IK$13:$IK$512,0)))</x:f>
      </x:c>
      <x:c r="DS287" s="4"/>
      <x:c r="DT287" s="4"/>
      <x:c r="DU287" s="4"/>
      <x:c r="DV287" s="4"/>
      <x:c r="DW287" s="4"/>
      <x:c r="DX287" s="4"/>
      <x:c r="DY287" s="4"/>
      <x:c r="DZ287" s="4"/>
      <x:c r="EA287" s="4"/>
      <x:c r="EB287" s="4"/>
      <x:c r="EC287" s="4"/>
      <x:c r="ED287" s="4"/>
      <x:c r="EE287" s="4" t="str">
        <x:f>IF('Calculations'!BT287=0,"Not Rated",IF(OR('Calculations'!BO287&gt;=4,'Calculations'!BP287&gt;=4),"Low",IF('Calculations'!BO287+'Calculations'!BP287&lt;=3,"High",IF('Calculations'!BO287+'Calculations'!BP287&lt;=4,"Strong","Solid"))))</x:f>
        <x:v>Not Rated</x:v>
      </x:c>
      <x:c r="EF287" s="4"/>
      <x:c r="EG287" s="4"/>
      <x:c r="EH287" s="4"/>
      <x:c r="EI287" s="4"/>
      <x:c r="EJ287" s="4"/>
      <x:c r="EK287" s="4"/>
      <x:c r="EL287" s="4"/>
      <x:c r="EM287" s="4" t="str">
        <x:f>IF(275&gt;'Calculations'!$JB$2000,"",INDEX('Calculations'!$JA$12:$JA$2000,MATCH(275,'Calculations'!$JB$12:$JB$2000,0)))</x:f>
      </x:c>
      <x:c r="EN287" s="4" t="n">
        <x:f>IF(OR('Calculations'!EM287="",'Calculations'!$AG$8&gt;0,AND('Calculations'!$EF$2&lt;&gt;"All",'Calculations'!HE287='Calculations'!$EF$2),AND('Calculations'!$EF$3&lt;&gt;"All",'Calculations'!HE287='Calculations'!$EF$3)),0,IF(OR('Dashboard'!$B$7="All",'Calculations'!HN287='Dashboard'!$B$7),IF('Calculations'!$EF$2="All",1,IF('Calculations'!HL287&gt;0,0,IF(COUNTIF('Calculations'!HO287:II287,"="&amp;SUBSTITUTE(SUBSTITUTE(SUBSTITUTE('Calculations'!$EF$2,"~","~~"),"*","~*"),"?","~?"))=0,0,IF('Calculations'!$EF$3="All",1,IF(COUNTIF('Calculations'!HO287:II287,"="&amp;SUBSTITUTE(SUBSTITUTE(SUBSTITUTE('Calculations'!$EF$3,"~","~~"),"*","~*"),"?","~?"))&gt;0,1,0))))),0))</x:f>
        <x:v>0</x:v>
      </x:c>
      <x:c r="EO287" s="4" t="str">
        <x:f>IF('Calculations'!IJ287="","",IF('Calculations'!IJ287="!UNRESOLVED","Unresolved hierarchy",IFERROR(INDEX('Calculations'!$HK$13:$HK$512,MATCH('Calculations'!IJ287,'Calculations'!$HE$13:$HE$512,0)),IFERROR(INDEX('Calculations'!$HJ$13:$HJ$512,MATCH('Calculations'!IJ287,'Calculations'!$HF$13:$HF$512,0)),'Calculations'!IJ287))))</x:f>
      </x:c>
      <x:c r="EP287" s="4" t="n">
        <x:f>IF(AND('Calculations'!EM287&lt;&gt;"",'Calculations'!HF287='Calculations'!IJ287),1,0)</x:f>
        <x:v>0</x:v>
      </x:c>
      <x:c r="EQ287" s="4"/>
      <x:c r="ER287" s="4"/>
      <x:c r="ES287" s="4"/>
      <x:c r="ET287" s="4"/>
      <x:c r="EU287" s="4"/>
      <x:c r="EV287" s="4"/>
      <x:c r="EW287" s="4"/>
      <x:c r="EX287" s="4"/>
      <x:c r="EY287" s="4"/>
      <x:c r="EZ287" s="4"/>
      <x:c r="FA287" s="4"/>
      <x:c r="FB287" s="4"/>
      <x:c r="FC287" s="4"/>
      <x:c r="FD287" s="4"/>
      <x:c r="FE287" s="4"/>
      <x:c r="FF287" s="4"/>
      <x:c r="FG287" s="4"/>
      <x:c r="FH287" s="4"/>
      <x:c r="FI287" s="4"/>
      <x:c r="FJ287" s="4"/>
      <x:c r="FK287" s="4"/>
      <x:c r="FL287" s="4"/>
      <x:c r="FM287" s="4"/>
      <x:c r="FN287" s="4"/>
      <x:c r="FO287" s="4"/>
      <x:c r="HE287" t="str">
        <x:f>IF('Calculations'!EM287="","",IF(IFERROR(IF(INDEX(INDIRECT("'WCM Calibration Final'!$A$1:$A$2000"),'Calculations'!$EM287)="","",TRIM(INDEX(INDIRECT("'WCM Calibration Final'!$A$1:$A$2000"),'Calculations'!$EM287)&amp;"")),"")&lt;&gt;"","G:"&amp;IFERROR(TEXT(1*INDEX(INDIRECT("'WCM Calibration Final'!$A$1:$A$2000"),'Calculations'!$EM287),"0"),UPPER(IFERROR(IF(INDEX(INDIRECT("'WCM Calibration Final'!$A$1:$A$2000"),'Calculations'!$EM287)="","",TRIM(INDEX(INDIRECT("'WCM Calibration Final'!$A$1:$A$2000"),'Calculations'!$EM287)&amp;"")),""))),IF(IFERROR(IF(INDEX(INDIRECT("'WCM Calibration Final'!$C$1:$C$2000"),'Calculations'!$EM287)="","",TRIM(INDEX(INDIRECT("'WCM Calibration Final'!$C$1:$C$2000"),'Calculations'!$EM287)&amp;"")),"")&lt;&gt;"","S:"&amp;UPPER(IFERROR(IF(INDEX(INDIRECT("'WCM Calibration Final'!$C$1:$C$2000"),'Calculations'!$EM287)="","",TRIM(INDEX(INDIRECT("'WCM Calibration Final'!$C$1:$C$2000"),'Calculations'!$EM287)&amp;"")),"")),"R:"&amp;'Calculations'!EM287)))</x:f>
      </x:c>
      <x:c r="HF287" t="str">
        <x:f>IF('Calculations'!EM287="","",IF(IFERROR(IF(INDEX(INDIRECT("'WCM Calibration Final'!$D$1:$D$2000"),'Calculations'!$EM287)="","",TRIM(INDEX(INDIRECT("'WCM Calibration Final'!$D$1:$D$2000"),'Calculations'!$EM287)&amp;"")),"")&lt;&gt;"","G:"&amp;IFERROR(TEXT(1*INDEX(INDIRECT("'WCM Calibration Final'!$D$1:$D$2000"),'Calculations'!$EM287),"0"),UPPER(IFERROR(IF(INDEX(INDIRECT("'WCM Calibration Final'!$D$1:$D$2000"),'Calculations'!$EM287)="","",TRIM(INDEX(INDIRECT("'WCM Calibration Final'!$D$1:$D$2000"),'Calculations'!$EM287)&amp;"")),""))),IF(IFERROR(IF(INDEX(INDIRECT("'WCM Calibration Final'!$E$1:$E$2000"),'Calculations'!$EM287)="","",TRIM(INDEX(INDIRECT("'WCM Calibration Final'!$E$1:$E$2000"),'Calculations'!$EM287)&amp;"")),"")="","",IF(COUNTIF('Calculations'!$HG$13:$HG$512,"="&amp;SUBSTITUTE(SUBSTITUTE(SUBSTITUTE(IFERROR(IF(INDEX(INDIRECT("'WCM Calibration Final'!$E$1:$E$2000"),'Calculations'!$EM287)="","",TRIM(INDEX(INDIRECT("'WCM Calibration Final'!$E$1:$E$2000"),'Calculations'!$EM287)&amp;"")),""),"~","~~"),"*","~*"),"?","~?"))=1,INDEX('Calculations'!$HE$13:$HE$512,MATCH(IFERROR(IF(INDEX(INDIRECT("'WCM Calibration Final'!$E$1:$E$2000"),'Calculations'!$EM287)="","",TRIM(INDEX(INDIRECT("'WCM Calibration Final'!$E$1:$E$2000"),'Calculations'!$EM287)&amp;"")),""),'Calculations'!$HG$13:$HG$512,0)),IF(COUNTIF('Calculations'!$HG$13:$HG$512,"="&amp;SUBSTITUTE(SUBSTITUTE(SUBSTITUTE(IFERROR(IF(INDEX(INDIRECT("'WCM Calibration Final'!$E$1:$E$2000"),'Calculations'!$EM287)="","",TRIM(INDEX(INDIRECT("'WCM Calibration Final'!$E$1:$E$2000"),'Calculations'!$EM287)&amp;"")),""),"~","~~"),"*","~*"),"?","~?"))&gt;1,"!AMBIG","X:"&amp;IFERROR(IF(INDEX(INDIRECT("'WCM Calibration Final'!$E$1:$E$2000"),'Calculations'!$EM287)="","",TRIM(INDEX(INDIRECT("'WCM Calibration Final'!$E$1:$E$2000"),'Calculations'!$EM287)&amp;"")),""))))))</x:f>
      </x:c>
      <x:c r="HG287" t="str">
        <x:f>IF('Calculations'!EM287="","",IFERROR(IF(INDEX(INDIRECT("'WCM Calibration Final'!$B$1:$B$2000"),'Calculations'!$EM287)="","",TRIM(INDEX(INDIRECT("'WCM Calibration Final'!$B$1:$B$2000"),'Calculations'!$EM287)&amp;"")),""))</x:f>
      </x:c>
      <x:c r="HH287" t="n">
        <x:f>IF(AND('Calculations'!JC287&gt;0,COUNTIF('Calculations'!$HF$12:HF287,"="&amp;SUBSTITUTE(SUBSTITUTE(SUBSTITUTE('Calculations'!HF287,"~","~~"),"*","~*"),"?","~?"))=1),MAX('Calculations'!$HH$12:HH286)+1,0)</x:f>
        <x:v>0</x:v>
      </x:c>
      <x:c r="HI287" t="n">
        <x:f>IF(AND('Calculations'!HN287&lt;&gt;"",COUNTIF('Calculations'!$HN$12:HN287,"="&amp;SUBSTITUTE(SUBSTITUTE(SUBSTITUTE('Calculations'!HN287,"~","~~"),"*","~*"),"?","~?"))=1),MAX('Calculations'!$HI$12:HI286)+1,0)</x:f>
        <x:v>0</x:v>
      </x:c>
      <x:c r="HJ287" t="str">
        <x:f>IF('Calculations'!HF287="","",IF(COUNTIF('Calculations'!$HE$13:$HE$512,"="&amp;SUBSTITUTE(SUBSTITUTE(SUBSTITUTE('Calculations'!HF287,"~","~~"),"*","~*"),"?","~?"))=1,INDEX('Calculations'!$HK$13:$HK$512,MATCH('Calculations'!HF287,'Calculations'!$HE$13:$HE$512,0)),IFERROR(IF(INDEX(INDIRECT("'WCM Calibration Final'!$E$1:$E$2000"),'Calculations'!$EM287)="","",TRIM(INDEX(INDIRECT("'WCM Calibration Final'!$E$1:$E$2000"),'Calculations'!$EM287)&amp;"")),"")&amp;" ["&amp;'Calculations'!HF287&amp;"]"))</x:f>
      </x:c>
      <x:c r="HK287" t="str">
        <x:f>IF('Calculations'!EM287="","",'Calculations'!HG287&amp;" ["&amp;'Calculations'!HE287&amp;"]")</x:f>
      </x:c>
      <x:c r="HL287" t="n">
        <x:f>IF('Calculations'!EM287="",0,IF(OR('Calculations'!II287&lt;&gt;"",COUNTIF('Calculations'!$HE$13:$HE$512,"="&amp;SUBSTITUTE(SUBSTITUTE(SUBSTITUTE('Calculations'!HE287,"~","~~"),"*","~*"),"?","~?"))&gt;1),1,0))</x:f>
        <x:v>0</x:v>
      </x:c>
      <x:c r="HM287" t="str">
        <x:f>IF('Calculations'!EM287="","",IF('Calculations'!HL287=1,"!UNRESOLVED",IF('Calculations'!IH287&lt;&gt;"",'Calculations'!IH287,IF('Calculations'!IG287&lt;&gt;"",'Calculations'!IG287,IF('Calculations'!IF287&lt;&gt;"",'Calculations'!IF287,IF('Calculations'!IE287&lt;&gt;"",'Calculations'!IE287,IF('Calculations'!ID287&lt;&gt;"",'Calculations'!ID287,IF('Calculations'!IC287&lt;&gt;"",'Calculations'!IC287,IF('Calculations'!IB287&lt;&gt;"",'Calculations'!IB287,IF('Calculations'!IA287&lt;&gt;"",'Calculations'!IA287,IF('Calculations'!HZ287&lt;&gt;"",'Calculations'!HZ287,IF('Calculations'!HY287&lt;&gt;"",'Calculations'!HY287,IF('Calculations'!HX287&lt;&gt;"",'Calculations'!HX287,IF('Calculations'!HW287&lt;&gt;"",'Calculations'!HW287,IF('Calculations'!HV287&lt;&gt;"",'Calculations'!HV287,IF('Calculations'!HU287&lt;&gt;"",'Calculations'!HU287,IF('Calculations'!HT287&lt;&gt;"",'Calculations'!HT287,IF('Calculations'!HS287&lt;&gt;"",'Calculations'!HS287,IF('Calculations'!HR287&lt;&gt;"",'Calculations'!HR287,IF('Calculations'!HQ287&lt;&gt;"",'Calculations'!HQ287,IF('Calculations'!HP287&lt;&gt;"",'Calculations'!HP287,IF('Calculations'!HO287&lt;&gt;"",'Calculations'!HO287,'Calculations'!HE287))))))))))))))))))))))</x:f>
      </x:c>
      <x:c r="HN287" t="str">
        <x:f>IF('Calculations'!EM287="","",IF(IFERROR(IF(INDEX(INDIRECT("'WCM Calibration Final'!$F$1:$F$2000"),'Calculations'!$EM287)="","",TRIM(INDEX(INDIRECT("'WCM Calibration Final'!$F$1:$F$2000"),'Calculations'!$EM287)&amp;"")),"")="","(Blank)",IFERROR(IF(INDEX(INDIRECT("'WCM Calibration Final'!$F$1:$F$2000"),'Calculations'!$EM287)="","",TRIM(INDEX(INDIRECT("'WCM Calibration Final'!$F$1:$F$2000"),'Calculations'!$EM287)&amp;"")),"")))</x:f>
      </x:c>
      <x:c r="HO287" t="str">
        <x:f>'Calculations'!HF287</x:f>
      </x:c>
      <x:c r="HP287" t="str">
        <x:f>IF('Calculations'!HO287="","",IF('Calculations'!HO287="!AMBIG","!AMBIG",IF(COUNTIF('Calculations'!$HE$13:$HE$512,"="&amp;SUBSTITUTE(SUBSTITUTE(SUBSTITUTE('Calculations'!HO287,"~","~~"),"*","~*"),"?","~?"))&gt;1,"!AMBIG",IFERROR(INDEX('Calculations'!$HF$13:$HF$512,MATCH('Calculations'!HO287,'Calculations'!$HE$13:$HE$512,0)),""))))</x:f>
      </x:c>
      <x:c r="HQ287" t="str">
        <x:f>IF('Calculations'!HP287="","",IF('Calculations'!HP287="!AMBIG","!AMBIG",IF(COUNTIF('Calculations'!$HE$13:$HE$512,"="&amp;SUBSTITUTE(SUBSTITUTE(SUBSTITUTE('Calculations'!HP287,"~","~~"),"*","~*"),"?","~?"))&gt;1,"!AMBIG",IFERROR(INDEX('Calculations'!$HF$13:$HF$512,MATCH('Calculations'!HP287,'Calculations'!$HE$13:$HE$512,0)),""))))</x:f>
      </x:c>
      <x:c r="HR287" t="str">
        <x:f>IF('Calculations'!HQ287="","",IF('Calculations'!HQ287="!AMBIG","!AMBIG",IF(COUNTIF('Calculations'!$HE$13:$HE$512,"="&amp;SUBSTITUTE(SUBSTITUTE(SUBSTITUTE('Calculations'!HQ287,"~","~~"),"*","~*"),"?","~?"))&gt;1,"!AMBIG",IFERROR(INDEX('Calculations'!$HF$13:$HF$512,MATCH('Calculations'!HQ287,'Calculations'!$HE$13:$HE$512,0)),""))))</x:f>
      </x:c>
      <x:c r="HS287" t="str">
        <x:f>IF('Calculations'!HR287="","",IF('Calculations'!HR287="!AMBIG","!AMBIG",IF(COUNTIF('Calculations'!$HE$13:$HE$512,"="&amp;SUBSTITUTE(SUBSTITUTE(SUBSTITUTE('Calculations'!HR287,"~","~~"),"*","~*"),"?","~?"))&gt;1,"!AMBIG",IFERROR(INDEX('Calculations'!$HF$13:$HF$512,MATCH('Calculations'!HR287,'Calculations'!$HE$13:$HE$512,0)),""))))</x:f>
      </x:c>
      <x:c r="HT287" t="str">
        <x:f>IF('Calculations'!HS287="","",IF('Calculations'!HS287="!AMBIG","!AMBIG",IF(COUNTIF('Calculations'!$HE$13:$HE$512,"="&amp;SUBSTITUTE(SUBSTITUTE(SUBSTITUTE('Calculations'!HS287,"~","~~"),"*","~*"),"?","~?"))&gt;1,"!AMBIG",IFERROR(INDEX('Calculations'!$HF$13:$HF$512,MATCH('Calculations'!HS287,'Calculations'!$HE$13:$HE$512,0)),""))))</x:f>
      </x:c>
      <x:c r="HU287" t="str">
        <x:f>IF('Calculations'!HT287="","",IF('Calculations'!HT287="!AMBIG","!AMBIG",IF(COUNTIF('Calculations'!$HE$13:$HE$512,"="&amp;SUBSTITUTE(SUBSTITUTE(SUBSTITUTE('Calculations'!HT287,"~","~~"),"*","~*"),"?","~?"))&gt;1,"!AMBIG",IFERROR(INDEX('Calculations'!$HF$13:$HF$512,MATCH('Calculations'!HT287,'Calculations'!$HE$13:$HE$512,0)),""))))</x:f>
      </x:c>
      <x:c r="HV287" t="str">
        <x:f>IF('Calculations'!HU287="","",IF('Calculations'!HU287="!AMBIG","!AMBIG",IF(COUNTIF('Calculations'!$HE$13:$HE$512,"="&amp;SUBSTITUTE(SUBSTITUTE(SUBSTITUTE('Calculations'!HU287,"~","~~"),"*","~*"),"?","~?"))&gt;1,"!AMBIG",IFERROR(INDEX('Calculations'!$HF$13:$HF$512,MATCH('Calculations'!HU287,'Calculations'!$HE$13:$HE$512,0)),""))))</x:f>
      </x:c>
      <x:c r="HW287" t="str">
        <x:f>IF('Calculations'!HV287="","",IF('Calculations'!HV287="!AMBIG","!AMBIG",IF(COUNTIF('Calculations'!$HE$13:$HE$512,"="&amp;SUBSTITUTE(SUBSTITUTE(SUBSTITUTE('Calculations'!HV287,"~","~~"),"*","~*"),"?","~?"))&gt;1,"!AMBIG",IFERROR(INDEX('Calculations'!$HF$13:$HF$512,MATCH('Calculations'!HV287,'Calculations'!$HE$13:$HE$512,0)),""))))</x:f>
      </x:c>
      <x:c r="HX287" t="str">
        <x:f>IF('Calculations'!HW287="","",IF('Calculations'!HW287="!AMBIG","!AMBIG",IF(COUNTIF('Calculations'!$HE$13:$HE$512,"="&amp;SUBSTITUTE(SUBSTITUTE(SUBSTITUTE('Calculations'!HW287,"~","~~"),"*","~*"),"?","~?"))&gt;1,"!AMBIG",IFERROR(INDEX('Calculations'!$HF$13:$HF$512,MATCH('Calculations'!HW287,'Calculations'!$HE$13:$HE$512,0)),""))))</x:f>
      </x:c>
      <x:c r="HY287" t="str">
        <x:f>IF('Calculations'!HX287="","",IF('Calculations'!HX287="!AMBIG","!AMBIG",IF(COUNTIF('Calculations'!$HE$13:$HE$512,"="&amp;SUBSTITUTE(SUBSTITUTE(SUBSTITUTE('Calculations'!HX287,"~","~~"),"*","~*"),"?","~?"))&gt;1,"!AMBIG",IFERROR(INDEX('Calculations'!$HF$13:$HF$512,MATCH('Calculations'!HX287,'Calculations'!$HE$13:$HE$512,0)),""))))</x:f>
      </x:c>
      <x:c r="HZ287" t="str">
        <x:f>IF('Calculations'!HY287="","",IF('Calculations'!HY287="!AMBIG","!AMBIG",IF(COUNTIF('Calculations'!$HE$13:$HE$512,"="&amp;SUBSTITUTE(SUBSTITUTE(SUBSTITUTE('Calculations'!HY287,"~","~~"),"*","~*"),"?","~?"))&gt;1,"!AMBIG",IFERROR(INDEX('Calculations'!$HF$13:$HF$512,MATCH('Calculations'!HY287,'Calculations'!$HE$13:$HE$512,0)),""))))</x:f>
      </x:c>
      <x:c r="IA287" t="str">
        <x:f>IF('Calculations'!HZ287="","",IF('Calculations'!HZ287="!AMBIG","!AMBIG",IF(COUNTIF('Calculations'!$HE$13:$HE$512,"="&amp;SUBSTITUTE(SUBSTITUTE(SUBSTITUTE('Calculations'!HZ287,"~","~~"),"*","~*"),"?","~?"))&gt;1,"!AMBIG",IFERROR(INDEX('Calculations'!$HF$13:$HF$512,MATCH('Calculations'!HZ287,'Calculations'!$HE$13:$HE$512,0)),""))))</x:f>
      </x:c>
      <x:c r="IB287" t="str">
        <x:f>IF('Calculations'!IA287="","",IF('Calculations'!IA287="!AMBIG","!AMBIG",IF(COUNTIF('Calculations'!$HE$13:$HE$512,"="&amp;SUBSTITUTE(SUBSTITUTE(SUBSTITUTE('Calculations'!IA287,"~","~~"),"*","~*"),"?","~?"))&gt;1,"!AMBIG",IFERROR(INDEX('Calculations'!$HF$13:$HF$512,MATCH('Calculations'!IA287,'Calculations'!$HE$13:$HE$512,0)),""))))</x:f>
      </x:c>
      <x:c r="IC287" t="str">
        <x:f>IF('Calculations'!IB287="","",IF('Calculations'!IB287="!AMBIG","!AMBIG",IF(COUNTIF('Calculations'!$HE$13:$HE$512,"="&amp;SUBSTITUTE(SUBSTITUTE(SUBSTITUTE('Calculations'!IB287,"~","~~"),"*","~*"),"?","~?"))&gt;1,"!AMBIG",IFERROR(INDEX('Calculations'!$HF$13:$HF$512,MATCH('Calculations'!IB287,'Calculations'!$HE$13:$HE$512,0)),""))))</x:f>
      </x:c>
      <x:c r="ID287" t="str">
        <x:f>IF('Calculations'!IC287="","",IF('Calculations'!IC287="!AMBIG","!AMBIG",IF(COUNTIF('Calculations'!$HE$13:$HE$512,"="&amp;SUBSTITUTE(SUBSTITUTE(SUBSTITUTE('Calculations'!IC287,"~","~~"),"*","~*"),"?","~?"))&gt;1,"!AMBIG",IFERROR(INDEX('Calculations'!$HF$13:$HF$512,MATCH('Calculations'!IC287,'Calculations'!$HE$13:$HE$512,0)),""))))</x:f>
      </x:c>
      <x:c r="IE287" t="str">
        <x:f>IF('Calculations'!ID287="","",IF('Calculations'!ID287="!AMBIG","!AMBIG",IF(COUNTIF('Calculations'!$HE$13:$HE$512,"="&amp;SUBSTITUTE(SUBSTITUTE(SUBSTITUTE('Calculations'!ID287,"~","~~"),"*","~*"),"?","~?"))&gt;1,"!AMBIG",IFERROR(INDEX('Calculations'!$HF$13:$HF$512,MATCH('Calculations'!ID287,'Calculations'!$HE$13:$HE$512,0)),""))))</x:f>
      </x:c>
      <x:c r="IF287" t="str">
        <x:f>IF('Calculations'!IE287="","",IF('Calculations'!IE287="!AMBIG","!AMBIG",IF(COUNTIF('Calculations'!$HE$13:$HE$512,"="&amp;SUBSTITUTE(SUBSTITUTE(SUBSTITUTE('Calculations'!IE287,"~","~~"),"*","~*"),"?","~?"))&gt;1,"!AMBIG",IFERROR(INDEX('Calculations'!$HF$13:$HF$512,MATCH('Calculations'!IE287,'Calculations'!$HE$13:$HE$512,0)),""))))</x:f>
      </x:c>
      <x:c r="IG287" t="str">
        <x:f>IF('Calculations'!IF287="","",IF('Calculations'!IF287="!AMBIG","!AMBIG",IF(COUNTIF('Calculations'!$HE$13:$HE$512,"="&amp;SUBSTITUTE(SUBSTITUTE(SUBSTITUTE('Calculations'!IF287,"~","~~"),"*","~*"),"?","~?"))&gt;1,"!AMBIG",IFERROR(INDEX('Calculations'!$HF$13:$HF$512,MATCH('Calculations'!IF287,'Calculations'!$HE$13:$HE$512,0)),""))))</x:f>
      </x:c>
      <x:c r="IH287" t="str">
        <x:f>IF('Calculations'!IG287="","",IF('Calculations'!IG287="!AMBIG","!AMBIG",IF(COUNTIF('Calculations'!$HE$13:$HE$512,"="&amp;SUBSTITUTE(SUBSTITUTE(SUBSTITUTE('Calculations'!IG287,"~","~~"),"*","~*"),"?","~?"))&gt;1,"!AMBIG",IFERROR(INDEX('Calculations'!$HF$13:$HF$512,MATCH('Calculations'!IG287,'Calculations'!$HE$13:$HE$512,0)),""))))</x:f>
      </x:c>
      <x:c r="II287" t="str">
        <x:f>IF('Calculations'!IH287="","",IF('Calculations'!IH287="!AMBIG","!AMBIG",IF(COUNTIF('Calculations'!$HE$13:$HE$512,"="&amp;SUBSTITUTE(SUBSTITUTE(SUBSTITUTE('Calculations'!IH287,"~","~~"),"*","~*"),"?","~?"))&gt;1,"!AMBIG",IFERROR(INDEX('Calculations'!$HF$13:$HF$512,MATCH('Calculations'!IH287,'Calculations'!$HE$13:$HE$512,0)),""))))</x:f>
      </x:c>
      <x:c r="IJ287" t="str">
        <x:f>IF('Calculations'!EM287="","",IF('Calculations'!$EF$2="All",'Calculations'!HM287,IF('Calculations'!HL287=1,"",IFERROR(IF(MATCH('Calculations'!$EF$2,'Calculations'!HO287:II287,0)=1,'Calculations'!HE287,INDEX('Calculations'!HO287:II287,1,MATCH('Calculations'!$EF$2,'Calculations'!HO287:II287,0)-1)),""))))</x:f>
      </x:c>
      <x:c r="IK287" t="n">
        <x:f>IF(AND('Calculations'!EM287&lt;&gt;"",'Calculations'!$EF$2&lt;&gt;"All",'Calculations'!HF287='Calculations'!$EF$2,'Calculations'!HL287=0,'Calculations'!JD287&gt;0),MAX('Calculations'!$IK$12:IK286)+1,0)</x:f>
        <x:v>0</x:v>
      </x:c>
      <x:c r="JA287" t="n">
        <x:f>IF(OR(IFERROR(INDIRECT("'WCM Calibration Final'!$A$287")&lt;&gt;"",FALSE),IFERROR(INDIRECT("'WCM Calibration Final'!$B$287")&lt;&gt;"",FALSE),IFERROR(INDIRECT("'WCM Calibration Final'!$C$287")&lt;&gt;"",FALSE)),287,0)</x:f>
        <x:v>0</x:v>
      </x:c>
      <x:c r="JB287" t="n">
        <x:f>'Calculations'!JB286+IF('Calculations'!JA287&gt;0,1,0)</x:f>
        <x:v>0</x:v>
      </x:c>
      <x:c r="JC287" t="n">
        <x:f>IF(OR('Calculations'!HF287="",'Calculations'!HF287="!AMBIG"),0,IF('Dashboard'!$B$7="All",1,COUNTIFS('Calculations'!$HO$13:$HO$512,"="&amp;SUBSTITUTE(SUBSTITUTE(SUBSTITUTE('Calculations'!HF287,"~","~~"),"*","~*"),"?","~?"),'Calculations'!$HN$13:$HN$512,"="&amp;SUBSTITUTE(SUBSTITUTE(SUBSTITUTE('Dashboard'!$B$7,"~","~~"),"*","~*"),"?","~?"))+COUNTIFS('Calculations'!$HP$13:$HP$512,"="&amp;SUBSTITUTE(SUBSTITUTE(SUBSTITUTE('Calculations'!HF287,"~","~~"),"*","~*"),"?","~?"),'Calculations'!$HN$13:$HN$512,"="&amp;SUBSTITUTE(SUBSTITUTE(SUBSTITUTE('Dashboard'!$B$7,"~","~~"),"*","~*"),"?","~?"))+COUNTIFS('Calculations'!$HQ$13:$HQ$512,"="&amp;SUBSTITUTE(SUBSTITUTE(SUBSTITUTE('Calculations'!HF287,"~","~~"),"*","~*"),"?","~?"),'Calculations'!$HN$13:$HN$512,"="&amp;SUBSTITUTE(SUBSTITUTE(SUBSTITUTE('Dashboard'!$B$7,"~","~~"),"*","~*"),"?","~?"))+COUNTIFS('Calculations'!$HR$13:$HR$512,"="&amp;SUBSTITUTE(SUBSTITUTE(SUBSTITUTE('Calculations'!HF287,"~","~~"),"*","~*"),"?","~?"),'Calculations'!$HN$13:$HN$512,"="&amp;SUBSTITUTE(SUBSTITUTE(SUBSTITUTE('Dashboard'!$B$7,"~","~~"),"*","~*"),"?","~?"))+COUNTIFS('Calculations'!$HS$13:$HS$512,"="&amp;SUBSTITUTE(SUBSTITUTE(SUBSTITUTE('Calculations'!HF287,"~","~~"),"*","~*"),"?","~?"),'Calculations'!$HN$13:$HN$512,"="&amp;SUBSTITUTE(SUBSTITUTE(SUBSTITUTE('Dashboard'!$B$7,"~","~~"),"*","~*"),"?","~?"))+COUNTIFS('Calculations'!$HT$13:$HT$512,"="&amp;SUBSTITUTE(SUBSTITUTE(SUBSTITUTE('Calculations'!HF287,"~","~~"),"*","~*"),"?","~?"),'Calculations'!$HN$13:$HN$512,"="&amp;SUBSTITUTE(SUBSTITUTE(SUBSTITUTE('Dashboard'!$B$7,"~","~~"),"*","~*"),"?","~?"))+COUNTIFS('Calculations'!$HU$13:$HU$512,"="&amp;SUBSTITUTE(SUBSTITUTE(SUBSTITUTE('Calculations'!HF287,"~","~~"),"*","~*"),"?","~?"),'Calculations'!$HN$13:$HN$512,"="&amp;SUBSTITUTE(SUBSTITUTE(SUBSTITUTE('Dashboard'!$B$7,"~","~~"),"*","~*"),"?","~?"))+COUNTIFS('Calculations'!$HV$13:$HV$512,"="&amp;SUBSTITUTE(SUBSTITUTE(SUBSTITUTE('Calculations'!HF287,"~","~~"),"*","~*"),"?","~?"),'Calculations'!$HN$13:$HN$512,"="&amp;SUBSTITUTE(SUBSTITUTE(SUBSTITUTE('Dashboard'!$B$7,"~","~~"),"*","~*"),"?","~?"))+COUNTIFS('Calculations'!$HW$13:$HW$512,"="&amp;SUBSTITUTE(SUBSTITUTE(SUBSTITUTE('Calculations'!HF287,"~","~~"),"*","~*"),"?","~?"),'Calculations'!$HN$13:$HN$512,"="&amp;SUBSTITUTE(SUBSTITUTE(SUBSTITUTE('Dashboard'!$B$7,"~","~~"),"*","~*"),"?","~?"))+COUNTIFS('Calculations'!$HX$13:$HX$512,"="&amp;SUBSTITUTE(SUBSTITUTE(SUBSTITUTE('Calculations'!HF287,"~","~~"),"*","~*"),"?","~?"),'Calculations'!$HN$13:$HN$512,"="&amp;SUBSTITUTE(SUBSTITUTE(SUBSTITUTE('Dashboard'!$B$7,"~","~~"),"*","~*"),"?","~?"))+COUNTIFS('Calculations'!$HY$13:$HY$512,"="&amp;SUBSTITUTE(SUBSTITUTE(SUBSTITUTE('Calculations'!HF287,"~","~~"),"*","~*"),"?","~?"),'Calculations'!$HN$13:$HN$512,"="&amp;SUBSTITUTE(SUBSTITUTE(SUBSTITUTE('Dashboard'!$B$7,"~","~~"),"*","~*"),"?","~?"))+COUNTIFS('Calculations'!$HZ$13:$HZ$512,"="&amp;SUBSTITUTE(SUBSTITUTE(SUBSTITUTE('Calculations'!HF287,"~","~~"),"*","~*"),"?","~?"),'Calculations'!$HN$13:$HN$512,"="&amp;SUBSTITUTE(SUBSTITUTE(SUBSTITUTE('Dashboard'!$B$7,"~","~~"),"*","~*"),"?","~?"))+COUNTIFS('Calculations'!$IA$13:$IA$512,"="&amp;SUBSTITUTE(SUBSTITUTE(SUBSTITUTE('Calculations'!HF287,"~","~~"),"*","~*"),"?","~?"),'Calculations'!$HN$13:$HN$512,"="&amp;SUBSTITUTE(SUBSTITUTE(SUBSTITUTE('Dashboard'!$B$7,"~","~~"),"*","~*"),"?","~?"))+COUNTIFS('Calculations'!$IB$13:$IB$512,"="&amp;SUBSTITUTE(SUBSTITUTE(SUBSTITUTE('Calculations'!HF287,"~","~~"),"*","~*"),"?","~?"),'Calculations'!$HN$13:$HN$512,"="&amp;SUBSTITUTE(SUBSTITUTE(SUBSTITUTE('Dashboard'!$B$7,"~","~~"),"*","~*"),"?","~?"))+COUNTIFS('Calculations'!$IC$13:$IC$512,"="&amp;SUBSTITUTE(SUBSTITUTE(SUBSTITUTE('Calculations'!HF287,"~","~~"),"*","~*"),"?","~?"),'Calculations'!$HN$13:$HN$512,"="&amp;SUBSTITUTE(SUBSTITUTE(SUBSTITUTE('Dashboard'!$B$7,"~","~~"),"*","~*"),"?","~?"))+COUNTIFS('Calculations'!$ID$13:$ID$512,"="&amp;SUBSTITUTE(SUBSTITUTE(SUBSTITUTE('Calculations'!HF287,"~","~~"),"*","~*"),"?","~?"),'Calculations'!$HN$13:$HN$512,"="&amp;SUBSTITUTE(SUBSTITUTE(SUBSTITUTE('Dashboard'!$B$7,"~","~~"),"*","~*"),"?","~?"))+COUNTIFS('Calculations'!$IE$13:$IE$512,"="&amp;SUBSTITUTE(SUBSTITUTE(SUBSTITUTE('Calculations'!HF287,"~","~~"),"*","~*"),"?","~?"),'Calculations'!$HN$13:$HN$512,"="&amp;SUBSTITUTE(SUBSTITUTE(SUBSTITUTE('Dashboard'!$B$7,"~","~~"),"*","~*"),"?","~?"))+COUNTIFS('Calculations'!$IF$13:$IF$512,"="&amp;SUBSTITUTE(SUBSTITUTE(SUBSTITUTE('Calculations'!HF287,"~","~~"),"*","~*"),"?","~?"),'Calculations'!$HN$13:$HN$512,"="&amp;SUBSTITUTE(SUBSTITUTE(SUBSTITUTE('Dashboard'!$B$7,"~","~~"),"*","~*"),"?","~?"))+COUNTIFS('Calculations'!$IG$13:$IG$512,"="&amp;SUBSTITUTE(SUBSTITUTE(SUBSTITUTE('Calculations'!HF287,"~","~~"),"*","~*"),"?","~?"),'Calculations'!$HN$13:$HN$512,"="&amp;SUBSTITUTE(SUBSTITUTE(SUBSTITUTE('Dashboard'!$B$7,"~","~~"),"*","~*"),"?","~?"))+COUNTIFS('Calculations'!$IH$13:$IH$512,"="&amp;SUBSTITUTE(SUBSTITUTE(SUBSTITUTE('Calculations'!HF287,"~","~~"),"*","~*"),"?","~?"),'Calculations'!$HN$13:$HN$512,"="&amp;SUBSTITUTE(SUBSTITUTE(SUBSTITUTE('Dashboard'!$B$7,"~","~~"),"*","~*"),"?","~?"))))</x:f>
        <x:v>0</x:v>
      </x:c>
      <x:c r="JD287" t="n">
        <x:f>IF('Calculations'!EM287="",0,IF('Dashboard'!$B$7="All",1,IF('Calculations'!HN287='Dashboard'!$B$7,1,0)+IFERROR(INDEX('Calculations'!$JC$13:$JC$512,MATCH('Calculations'!HE287,'Calculations'!$HF$13:$HF$512,0)),0)))</x:f>
        <x:v>0</x:v>
      </x:c>
      <x:c r="JE287" t="n">
        <x:f>IF(AND('Calculations'!EM287&lt;&gt;"",'Calculations'!$JJ$2&lt;&gt;"All",'Calculations'!$JJ$2&lt;&gt;"",'Calculations'!HF287='Calculations'!$JJ$2,'Calculations'!HL287=0,'Calculations'!JD287&gt;0),MAX('Calculations'!$JE$12:JE286)+1,0)</x:f>
        <x:v>0</x:v>
      </x:c>
      <x:c r="JF287" t="str">
        <x:f>IF('Calculations'!EM287="","",IFERROR(IF(INDEX(INDIRECT("'WCM Calibration Final'!$G$1:$G$2000"),'Calculations'!$EM287)="","",TRIM(INDEX(INDIRECT("'WCM Calibration Final'!$G$1:$G$2000"),'Calculations'!$EM287)&amp;"")),""))</x:f>
      </x:c>
      <x:c r="JQ287" t="n">
        <x:f>IF(OR('Calculations'!BM287=0,NOT('Calculations'!$AG$2),'Calculations'!$AG$8&gt;0),0,IF(OR('Dashboard'!$B$7="All",'Calculations'!HN287='Dashboard'!$B$7),IF('Calculations'!$JJ$2="All",1,IF(AND('Calculations'!HF287='Calculations'!$JJ$2,'Calculations'!HL287=0),1,0)),0))</x:f>
        <x:v>0</x:v>
      </x:c>
    </x:row>
    <x:row r="288">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t="n">
        <x:f>IF('Calculations'!$EM288="",0,IF(OR(IFERROR(INDEX(INDIRECT("'WCM Calibration Final'!$A$1:$A$2000"),'Calculations'!$EM288)&lt;&gt;"",FALSE),IFERROR(INDEX(INDIRECT("'WCM Calibration Final'!$B$1:$B$2000"),'Calculations'!$EM288)&lt;&gt;"",FALSE),IFERROR(INDEX(INDIRECT("'WCM Calibration Final'!$C$1:$C$2000"),'Calculations'!$EM288)&lt;&gt;"",FALSE)),1,0))</x:f>
        <x:v>0</x:v>
      </x:c>
      <x:c r="BN288" s="4" t="n">
        <x:f>IF(AND('Calculations'!BM288=1,'Calculations'!$AG$2,'Calculations'!$EN288=1),1,0)</x:f>
        <x:v>0</x:v>
      </x:c>
      <x:c r="BO288" s="4" t="str">
        <x:f>IF('Calculations'!BM288=0,"",IFERROR(IF(AND(VALUE(INDEX(INDIRECT("'WCM Calibration Final'!$K$1:$K$2000"),'Calculations'!$EM288))&gt;=1,VALUE(INDEX(INDIRECT("'WCM Calibration Final'!$K$1:$K$2000"),'Calculations'!$EM288))&lt;=4,MOD(VALUE(INDEX(INDIRECT("'WCM Calibration Final'!$K$1:$K$2000"),'Calculations'!$EM288)),1)=0),VALUE(INDEX(INDIRECT("'WCM Calibration Final'!$K$1:$K$2000"),'Calculations'!$EM288)),""),""))</x:f>
      </x:c>
      <x:c r="BP288" s="4" t="str">
        <x:f>IF('Calculations'!BM288=0,"",IFERROR(IF(AND(VALUE(INDEX(INDIRECT("'WCM Calibration Final'!$L$1:$L$2000"),'Calculations'!$EM288))&gt;=1,VALUE(INDEX(INDIRECT("'WCM Calibration Final'!$L$1:$L$2000"),'Calculations'!$EM288))&lt;=4,MOD(VALUE(INDEX(INDIRECT("'WCM Calibration Final'!$L$1:$L$2000"),'Calculations'!$EM288)),1)=0),VALUE(INDEX(INDIRECT("'WCM Calibration Final'!$L$1:$L$2000"),'Calculations'!$EM288)),""),""))</x:f>
      </x:c>
      <x:c r="BQ288" s="4"/>
      <x:c r="BR288" s="4"/>
      <x:c r="BS288" s="4"/>
      <x:c r="BT288" s="4" t="n">
        <x:f>IF(AND('Calculations'!BM288=1,ISNUMBER('Calculations'!BO288),ISNUMBER('Calculations'!BP288)),1,0)</x:f>
        <x:v>0</x:v>
      </x:c>
      <x:c r="BU288" s="4" t="str">
        <x:f>IF('Calculations'!BM288=0,"",'Calculations'!$EO288)</x:f>
      </x:c>
      <x:c r="BV288" s="4" t="str">
        <x:f>IF('Calculations'!BM288=0,"",IFERROR(IF(OR(INDEX(INDIRECT("'WCM Calibration Final'!$H$1:$H$2000"),'Calculations'!$EM288)="MANAGING DIRECTOR",INDEX(INDIRECT("'WCM Calibration Final'!$H$1:$H$2000"),'Calculations'!$EM288)="DIRECTOR",INDEX(INDIRECT("'WCM Calibration Final'!$H$1:$H$2000"),'Calculations'!$EM288)="SENIOR VICE PRESIDENT",INDEX(INDIRECT("'WCM Calibration Final'!$H$1:$H$2000"),'Calculations'!$EM288)="VICE PRESIDENT",INDEX(INDIRECT("'WCM Calibration Final'!$H$1:$H$2000"),'Calculations'!$EM288)="ASSISTANT VICE PRESIDENT",INDEX(INDIRECT("'WCM Calibration Final'!$H$1:$H$2000"),'Calculations'!$EM288)="OFFICER"),UPPER(INDEX(INDIRECT("'WCM Calibration Final'!$H$1:$H$2000"),'Calculations'!$EM288)),"Other"),"Other"))</x:f>
      </x:c>
      <x:c r="BW288" s="4"/>
      <x:c r="BX288" s="4"/>
      <x:c r="BY288" s="4" t="n">
        <x:f>IF(AND('Calculations'!BM288=1,'Calculations'!BU288&lt;&gt;"",COUNTIF('Calculations'!$BU$12:BU288,'Calculations'!BU288)=1),MAX('Calculations'!$BY$11:BY287)+1,0)</x:f>
        <x:v>0</x:v>
      </x:c>
      <x:c r="BZ288" s="4" t="str">
        <x:f>IF('Dashboard'!$E$67="What",'Calculations'!BO288,'Calculations'!BP288)</x:f>
      </x:c>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t="str">
        <x:f>IF(277&gt;MAX('Calculations'!$HI$13:$HI$512),"",INDEX('Calculations'!$HN$13:$HN$512,MATCH(277,'Calculations'!$HI$13:$HI$512,0)))</x:f>
      </x:c>
      <x:c r="DB288" s="4" t="str">
        <x:f>IF(277&gt;MAX('Calculations'!$HH$13:$HH$512),"",INDEX('Calculations'!$HJ$13:$HJ$512,MATCH(277,'Calculations'!$HH$13:$HH$512,0)))</x:f>
      </x:c>
      <x:c r="DC288" s="4" t="str">
        <x:f>IF(ROW()-11&gt;MAX('Calculations'!$BY$13:$BY$512),"",INDEX('Calculations'!$BU$13:$BU$512,MATCH(ROW()-11,'Calculations'!$BY$13:$BY$512,0)))</x:f>
      </x:c>
      <x:c r="DD288" s="4" t="str">
        <x:f>IF(277&gt;MAX('Calculations'!$IK$13:$IK$512),"",INDEX('Calculations'!$HK$13:$HK$512,MATCH(277,'Calculations'!$IK$13:$IK$512,0)))</x:f>
      </x:c>
      <x:c r="DE288" s="4" t="str">
        <x:f>'Calculations'!DC288</x:f>
      </x:c>
      <x:c r="DF288" s="4" t="str">
        <x:f>IF('Calculations'!DE288="","",COUNTIFS('Calculations'!$BN$13:$BN$512,1,'Calculations'!$BU$13:$BU$512,'Calculations'!DE288))</x:f>
      </x:c>
      <x:c r="DG288" s="4" t="str">
        <x:f>IF('Calculations'!DE288="","",COUNTIFS('Calculations'!$BN$13:$BN$512,1,'Calculations'!$BU$13:$BU$512,'Calculations'!DE288,'Calculations'!$BT$13:$BT$512,1))</x:f>
      </x:c>
      <x:c r="DH288" s="4" t="str">
        <x:f>IF('Calculations'!DE288="","",'Calculations'!DF288-'Calculations'!DG288)</x:f>
      </x:c>
      <x:c r="DI288" s="4" t="str">
        <x:f>IF(OR('Calculations'!DE288="",'Calculations'!DF288=0),"",'Calculations'!DG288/'Calculations'!DF288)</x:f>
      </x:c>
      <x:c r="DJ288" s="4" t="str">
        <x:f>IF('Calculations'!DE288="","",COUNTIFS('Calculations'!$BN$13:$BN$512,1,'Calculations'!$BU$13:$BU$512,'Calculations'!DE288,'Calculations'!$BT$13:$BT$512,1,'Calculations'!$EE$13:$EE$512,"High"))</x:f>
      </x:c>
      <x:c r="DK288" s="4" t="str">
        <x:f>IF('Calculations'!DE288="","",COUNTIFS('Calculations'!$BN$13:$BN$512,1,'Calculations'!$BU$13:$BU$512,'Calculations'!DE288,'Calculations'!$BT$13:$BT$512,1,'Calculations'!$EE$13:$EE$512,"Strong"))</x:f>
      </x:c>
      <x:c r="DL288" s="4" t="str">
        <x:f>IF('Calculations'!DE288="","",COUNTIFS('Calculations'!$BN$13:$BN$512,1,'Calculations'!$BU$13:$BU$512,'Calculations'!DE288,'Calculations'!$BT$13:$BT$512,1,'Calculations'!$EE$13:$EE$512,"Solid"))</x:f>
      </x:c>
      <x:c r="DM288" s="4" t="str">
        <x:f>IF('Calculations'!DE288="","",COUNTIFS('Calculations'!$BN$13:$BN$512,1,'Calculations'!$BU$13:$BU$512,'Calculations'!DE288,'Calculations'!$BT$13:$BT$512,1,'Calculations'!$EE$13:$EE$512,"Low"))</x:f>
      </x:c>
      <x:c r="DN288" s="4" t="str">
        <x:f>IF('Calculations'!DE288="","",COUNTIFS('Calculations'!$BN$13:$BN$512,1,'Calculations'!$BU$13:$BU$512,'Calculations'!DE288,'Calculations'!$EP$13:$EP$512,1))</x:f>
      </x:c>
      <x:c r="DO288" s="4" t="str">
        <x:f>IF(OR('Calculations'!DE288="",'Calculations'!DG288=0),"",('Calculations'!DJ288+'Calculations'!DK288)/'Calculations'!DG288)</x:f>
      </x:c>
      <x:c r="DP288" s="4" t="n">
        <x:f>IF(AND('Calculations'!DE288&lt;&gt;"",'Calculations'!DF288&gt;0),COUNTIF('Calculations'!$DF$12:DF288,"&gt;0"),0)</x:f>
        <x:v>0</x:v>
      </x:c>
      <x:c r="DQ288" s="4" t="str">
        <x:f>IF(277&gt;MAX('Calculations'!$HH$13:$HH$512),"",INDEX('Calculations'!$HF$13:$HF$512,MATCH(277,'Calculations'!$HH$13:$HH$512,0)))</x:f>
      </x:c>
      <x:c r="DR288" s="4" t="str">
        <x:f>IF(277&gt;MAX('Calculations'!$IK$13:$IK$512),"",INDEX('Calculations'!$HE$13:$HE$512,MATCH(277,'Calculations'!$IK$13:$IK$512,0)))</x:f>
      </x:c>
      <x:c r="DS288" s="4"/>
      <x:c r="DT288" s="4"/>
      <x:c r="DU288" s="4"/>
      <x:c r="DV288" s="4"/>
      <x:c r="DW288" s="4"/>
      <x:c r="DX288" s="4"/>
      <x:c r="DY288" s="4"/>
      <x:c r="DZ288" s="4"/>
      <x:c r="EA288" s="4"/>
      <x:c r="EB288" s="4"/>
      <x:c r="EC288" s="4"/>
      <x:c r="ED288" s="4"/>
      <x:c r="EE288" s="4" t="str">
        <x:f>IF('Calculations'!BT288=0,"Not Rated",IF(OR('Calculations'!BO288&gt;=4,'Calculations'!BP288&gt;=4),"Low",IF('Calculations'!BO288+'Calculations'!BP288&lt;=3,"High",IF('Calculations'!BO288+'Calculations'!BP288&lt;=4,"Strong","Solid"))))</x:f>
        <x:v>Not Rated</x:v>
      </x:c>
      <x:c r="EF288" s="4"/>
      <x:c r="EG288" s="4"/>
      <x:c r="EH288" s="4"/>
      <x:c r="EI288" s="4"/>
      <x:c r="EJ288" s="4"/>
      <x:c r="EK288" s="4"/>
      <x:c r="EL288" s="4"/>
      <x:c r="EM288" s="4" t="str">
        <x:f>IF(276&gt;'Calculations'!$JB$2000,"",INDEX('Calculations'!$JA$12:$JA$2000,MATCH(276,'Calculations'!$JB$12:$JB$2000,0)))</x:f>
      </x:c>
      <x:c r="EN288" s="4" t="n">
        <x:f>IF(OR('Calculations'!EM288="",'Calculations'!$AG$8&gt;0,AND('Calculations'!$EF$2&lt;&gt;"All",'Calculations'!HE288='Calculations'!$EF$2),AND('Calculations'!$EF$3&lt;&gt;"All",'Calculations'!HE288='Calculations'!$EF$3)),0,IF(OR('Dashboard'!$B$7="All",'Calculations'!HN288='Dashboard'!$B$7),IF('Calculations'!$EF$2="All",1,IF('Calculations'!HL288&gt;0,0,IF(COUNTIF('Calculations'!HO288:II288,"="&amp;SUBSTITUTE(SUBSTITUTE(SUBSTITUTE('Calculations'!$EF$2,"~","~~"),"*","~*"),"?","~?"))=0,0,IF('Calculations'!$EF$3="All",1,IF(COUNTIF('Calculations'!HO288:II288,"="&amp;SUBSTITUTE(SUBSTITUTE(SUBSTITUTE('Calculations'!$EF$3,"~","~~"),"*","~*"),"?","~?"))&gt;0,1,0))))),0))</x:f>
        <x:v>0</x:v>
      </x:c>
      <x:c r="EO288" s="4" t="str">
        <x:f>IF('Calculations'!IJ288="","",IF('Calculations'!IJ288="!UNRESOLVED","Unresolved hierarchy",IFERROR(INDEX('Calculations'!$HK$13:$HK$512,MATCH('Calculations'!IJ288,'Calculations'!$HE$13:$HE$512,0)),IFERROR(INDEX('Calculations'!$HJ$13:$HJ$512,MATCH('Calculations'!IJ288,'Calculations'!$HF$13:$HF$512,0)),'Calculations'!IJ288))))</x:f>
      </x:c>
      <x:c r="EP288" s="4" t="n">
        <x:f>IF(AND('Calculations'!EM288&lt;&gt;"",'Calculations'!HF288='Calculations'!IJ288),1,0)</x:f>
        <x:v>0</x:v>
      </x:c>
      <x:c r="EQ288" s="4"/>
      <x:c r="ER288" s="4"/>
      <x:c r="ES288" s="4"/>
      <x:c r="ET288" s="4"/>
      <x:c r="EU288" s="4"/>
      <x:c r="EV288" s="4"/>
      <x:c r="EW288" s="4"/>
      <x:c r="EX288" s="4"/>
      <x:c r="EY288" s="4"/>
      <x:c r="EZ288" s="4"/>
      <x:c r="FA288" s="4"/>
      <x:c r="FB288" s="4"/>
      <x:c r="FC288" s="4"/>
      <x:c r="FD288" s="4"/>
      <x:c r="FE288" s="4"/>
      <x:c r="FF288" s="4"/>
      <x:c r="FG288" s="4"/>
      <x:c r="FH288" s="4"/>
      <x:c r="FI288" s="4"/>
      <x:c r="FJ288" s="4"/>
      <x:c r="FK288" s="4"/>
      <x:c r="FL288" s="4"/>
      <x:c r="FM288" s="4"/>
      <x:c r="FN288" s="4"/>
      <x:c r="FO288" s="4"/>
      <x:c r="HE288" t="str">
        <x:f>IF('Calculations'!EM288="","",IF(IFERROR(IF(INDEX(INDIRECT("'WCM Calibration Final'!$A$1:$A$2000"),'Calculations'!$EM288)="","",TRIM(INDEX(INDIRECT("'WCM Calibration Final'!$A$1:$A$2000"),'Calculations'!$EM288)&amp;"")),"")&lt;&gt;"","G:"&amp;IFERROR(TEXT(1*INDEX(INDIRECT("'WCM Calibration Final'!$A$1:$A$2000"),'Calculations'!$EM288),"0"),UPPER(IFERROR(IF(INDEX(INDIRECT("'WCM Calibration Final'!$A$1:$A$2000"),'Calculations'!$EM288)="","",TRIM(INDEX(INDIRECT("'WCM Calibration Final'!$A$1:$A$2000"),'Calculations'!$EM288)&amp;"")),""))),IF(IFERROR(IF(INDEX(INDIRECT("'WCM Calibration Final'!$C$1:$C$2000"),'Calculations'!$EM288)="","",TRIM(INDEX(INDIRECT("'WCM Calibration Final'!$C$1:$C$2000"),'Calculations'!$EM288)&amp;"")),"")&lt;&gt;"","S:"&amp;UPPER(IFERROR(IF(INDEX(INDIRECT("'WCM Calibration Final'!$C$1:$C$2000"),'Calculations'!$EM288)="","",TRIM(INDEX(INDIRECT("'WCM Calibration Final'!$C$1:$C$2000"),'Calculations'!$EM288)&amp;"")),"")),"R:"&amp;'Calculations'!EM288)))</x:f>
      </x:c>
      <x:c r="HF288" t="str">
        <x:f>IF('Calculations'!EM288="","",IF(IFERROR(IF(INDEX(INDIRECT("'WCM Calibration Final'!$D$1:$D$2000"),'Calculations'!$EM288)="","",TRIM(INDEX(INDIRECT("'WCM Calibration Final'!$D$1:$D$2000"),'Calculations'!$EM288)&amp;"")),"")&lt;&gt;"","G:"&amp;IFERROR(TEXT(1*INDEX(INDIRECT("'WCM Calibration Final'!$D$1:$D$2000"),'Calculations'!$EM288),"0"),UPPER(IFERROR(IF(INDEX(INDIRECT("'WCM Calibration Final'!$D$1:$D$2000"),'Calculations'!$EM288)="","",TRIM(INDEX(INDIRECT("'WCM Calibration Final'!$D$1:$D$2000"),'Calculations'!$EM288)&amp;"")),""))),IF(IFERROR(IF(INDEX(INDIRECT("'WCM Calibration Final'!$E$1:$E$2000"),'Calculations'!$EM288)="","",TRIM(INDEX(INDIRECT("'WCM Calibration Final'!$E$1:$E$2000"),'Calculations'!$EM288)&amp;"")),"")="","",IF(COUNTIF('Calculations'!$HG$13:$HG$512,"="&amp;SUBSTITUTE(SUBSTITUTE(SUBSTITUTE(IFERROR(IF(INDEX(INDIRECT("'WCM Calibration Final'!$E$1:$E$2000"),'Calculations'!$EM288)="","",TRIM(INDEX(INDIRECT("'WCM Calibration Final'!$E$1:$E$2000"),'Calculations'!$EM288)&amp;"")),""),"~","~~"),"*","~*"),"?","~?"))=1,INDEX('Calculations'!$HE$13:$HE$512,MATCH(IFERROR(IF(INDEX(INDIRECT("'WCM Calibration Final'!$E$1:$E$2000"),'Calculations'!$EM288)="","",TRIM(INDEX(INDIRECT("'WCM Calibration Final'!$E$1:$E$2000"),'Calculations'!$EM288)&amp;"")),""),'Calculations'!$HG$13:$HG$512,0)),IF(COUNTIF('Calculations'!$HG$13:$HG$512,"="&amp;SUBSTITUTE(SUBSTITUTE(SUBSTITUTE(IFERROR(IF(INDEX(INDIRECT("'WCM Calibration Final'!$E$1:$E$2000"),'Calculations'!$EM288)="","",TRIM(INDEX(INDIRECT("'WCM Calibration Final'!$E$1:$E$2000"),'Calculations'!$EM288)&amp;"")),""),"~","~~"),"*","~*"),"?","~?"))&gt;1,"!AMBIG","X:"&amp;IFERROR(IF(INDEX(INDIRECT("'WCM Calibration Final'!$E$1:$E$2000"),'Calculations'!$EM288)="","",TRIM(INDEX(INDIRECT("'WCM Calibration Final'!$E$1:$E$2000"),'Calculations'!$EM288)&amp;"")),""))))))</x:f>
      </x:c>
      <x:c r="HG288" t="str">
        <x:f>IF('Calculations'!EM288="","",IFERROR(IF(INDEX(INDIRECT("'WCM Calibration Final'!$B$1:$B$2000"),'Calculations'!$EM288)="","",TRIM(INDEX(INDIRECT("'WCM Calibration Final'!$B$1:$B$2000"),'Calculations'!$EM288)&amp;"")),""))</x:f>
      </x:c>
      <x:c r="HH288" t="n">
        <x:f>IF(AND('Calculations'!JC288&gt;0,COUNTIF('Calculations'!$HF$12:HF288,"="&amp;SUBSTITUTE(SUBSTITUTE(SUBSTITUTE('Calculations'!HF288,"~","~~"),"*","~*"),"?","~?"))=1),MAX('Calculations'!$HH$12:HH287)+1,0)</x:f>
        <x:v>0</x:v>
      </x:c>
      <x:c r="HI288" t="n">
        <x:f>IF(AND('Calculations'!HN288&lt;&gt;"",COUNTIF('Calculations'!$HN$12:HN288,"="&amp;SUBSTITUTE(SUBSTITUTE(SUBSTITUTE('Calculations'!HN288,"~","~~"),"*","~*"),"?","~?"))=1),MAX('Calculations'!$HI$12:HI287)+1,0)</x:f>
        <x:v>0</x:v>
      </x:c>
      <x:c r="HJ288" t="str">
        <x:f>IF('Calculations'!HF288="","",IF(COUNTIF('Calculations'!$HE$13:$HE$512,"="&amp;SUBSTITUTE(SUBSTITUTE(SUBSTITUTE('Calculations'!HF288,"~","~~"),"*","~*"),"?","~?"))=1,INDEX('Calculations'!$HK$13:$HK$512,MATCH('Calculations'!HF288,'Calculations'!$HE$13:$HE$512,0)),IFERROR(IF(INDEX(INDIRECT("'WCM Calibration Final'!$E$1:$E$2000"),'Calculations'!$EM288)="","",TRIM(INDEX(INDIRECT("'WCM Calibration Final'!$E$1:$E$2000"),'Calculations'!$EM288)&amp;"")),"")&amp;" ["&amp;'Calculations'!HF288&amp;"]"))</x:f>
      </x:c>
      <x:c r="HK288" t="str">
        <x:f>IF('Calculations'!EM288="","",'Calculations'!HG288&amp;" ["&amp;'Calculations'!HE288&amp;"]")</x:f>
      </x:c>
      <x:c r="HL288" t="n">
        <x:f>IF('Calculations'!EM288="",0,IF(OR('Calculations'!II288&lt;&gt;"",COUNTIF('Calculations'!$HE$13:$HE$512,"="&amp;SUBSTITUTE(SUBSTITUTE(SUBSTITUTE('Calculations'!HE288,"~","~~"),"*","~*"),"?","~?"))&gt;1),1,0))</x:f>
        <x:v>0</x:v>
      </x:c>
      <x:c r="HM288" t="str">
        <x:f>IF('Calculations'!EM288="","",IF('Calculations'!HL288=1,"!UNRESOLVED",IF('Calculations'!IH288&lt;&gt;"",'Calculations'!IH288,IF('Calculations'!IG288&lt;&gt;"",'Calculations'!IG288,IF('Calculations'!IF288&lt;&gt;"",'Calculations'!IF288,IF('Calculations'!IE288&lt;&gt;"",'Calculations'!IE288,IF('Calculations'!ID288&lt;&gt;"",'Calculations'!ID288,IF('Calculations'!IC288&lt;&gt;"",'Calculations'!IC288,IF('Calculations'!IB288&lt;&gt;"",'Calculations'!IB288,IF('Calculations'!IA288&lt;&gt;"",'Calculations'!IA288,IF('Calculations'!HZ288&lt;&gt;"",'Calculations'!HZ288,IF('Calculations'!HY288&lt;&gt;"",'Calculations'!HY288,IF('Calculations'!HX288&lt;&gt;"",'Calculations'!HX288,IF('Calculations'!HW288&lt;&gt;"",'Calculations'!HW288,IF('Calculations'!HV288&lt;&gt;"",'Calculations'!HV288,IF('Calculations'!HU288&lt;&gt;"",'Calculations'!HU288,IF('Calculations'!HT288&lt;&gt;"",'Calculations'!HT288,IF('Calculations'!HS288&lt;&gt;"",'Calculations'!HS288,IF('Calculations'!HR288&lt;&gt;"",'Calculations'!HR288,IF('Calculations'!HQ288&lt;&gt;"",'Calculations'!HQ288,IF('Calculations'!HP288&lt;&gt;"",'Calculations'!HP288,IF('Calculations'!HO288&lt;&gt;"",'Calculations'!HO288,'Calculations'!HE288))))))))))))))))))))))</x:f>
      </x:c>
      <x:c r="HN288" t="str">
        <x:f>IF('Calculations'!EM288="","",IF(IFERROR(IF(INDEX(INDIRECT("'WCM Calibration Final'!$F$1:$F$2000"),'Calculations'!$EM288)="","",TRIM(INDEX(INDIRECT("'WCM Calibration Final'!$F$1:$F$2000"),'Calculations'!$EM288)&amp;"")),"")="","(Blank)",IFERROR(IF(INDEX(INDIRECT("'WCM Calibration Final'!$F$1:$F$2000"),'Calculations'!$EM288)="","",TRIM(INDEX(INDIRECT("'WCM Calibration Final'!$F$1:$F$2000"),'Calculations'!$EM288)&amp;"")),"")))</x:f>
      </x:c>
      <x:c r="HO288" t="str">
        <x:f>'Calculations'!HF288</x:f>
      </x:c>
      <x:c r="HP288" t="str">
        <x:f>IF('Calculations'!HO288="","",IF('Calculations'!HO288="!AMBIG","!AMBIG",IF(COUNTIF('Calculations'!$HE$13:$HE$512,"="&amp;SUBSTITUTE(SUBSTITUTE(SUBSTITUTE('Calculations'!HO288,"~","~~"),"*","~*"),"?","~?"))&gt;1,"!AMBIG",IFERROR(INDEX('Calculations'!$HF$13:$HF$512,MATCH('Calculations'!HO288,'Calculations'!$HE$13:$HE$512,0)),""))))</x:f>
      </x:c>
      <x:c r="HQ288" t="str">
        <x:f>IF('Calculations'!HP288="","",IF('Calculations'!HP288="!AMBIG","!AMBIG",IF(COUNTIF('Calculations'!$HE$13:$HE$512,"="&amp;SUBSTITUTE(SUBSTITUTE(SUBSTITUTE('Calculations'!HP288,"~","~~"),"*","~*"),"?","~?"))&gt;1,"!AMBIG",IFERROR(INDEX('Calculations'!$HF$13:$HF$512,MATCH('Calculations'!HP288,'Calculations'!$HE$13:$HE$512,0)),""))))</x:f>
      </x:c>
      <x:c r="HR288" t="str">
        <x:f>IF('Calculations'!HQ288="","",IF('Calculations'!HQ288="!AMBIG","!AMBIG",IF(COUNTIF('Calculations'!$HE$13:$HE$512,"="&amp;SUBSTITUTE(SUBSTITUTE(SUBSTITUTE('Calculations'!HQ288,"~","~~"),"*","~*"),"?","~?"))&gt;1,"!AMBIG",IFERROR(INDEX('Calculations'!$HF$13:$HF$512,MATCH('Calculations'!HQ288,'Calculations'!$HE$13:$HE$512,0)),""))))</x:f>
      </x:c>
      <x:c r="HS288" t="str">
        <x:f>IF('Calculations'!HR288="","",IF('Calculations'!HR288="!AMBIG","!AMBIG",IF(COUNTIF('Calculations'!$HE$13:$HE$512,"="&amp;SUBSTITUTE(SUBSTITUTE(SUBSTITUTE('Calculations'!HR288,"~","~~"),"*","~*"),"?","~?"))&gt;1,"!AMBIG",IFERROR(INDEX('Calculations'!$HF$13:$HF$512,MATCH('Calculations'!HR288,'Calculations'!$HE$13:$HE$512,0)),""))))</x:f>
      </x:c>
      <x:c r="HT288" t="str">
        <x:f>IF('Calculations'!HS288="","",IF('Calculations'!HS288="!AMBIG","!AMBIG",IF(COUNTIF('Calculations'!$HE$13:$HE$512,"="&amp;SUBSTITUTE(SUBSTITUTE(SUBSTITUTE('Calculations'!HS288,"~","~~"),"*","~*"),"?","~?"))&gt;1,"!AMBIG",IFERROR(INDEX('Calculations'!$HF$13:$HF$512,MATCH('Calculations'!HS288,'Calculations'!$HE$13:$HE$512,0)),""))))</x:f>
      </x:c>
      <x:c r="HU288" t="str">
        <x:f>IF('Calculations'!HT288="","",IF('Calculations'!HT288="!AMBIG","!AMBIG",IF(COUNTIF('Calculations'!$HE$13:$HE$512,"="&amp;SUBSTITUTE(SUBSTITUTE(SUBSTITUTE('Calculations'!HT288,"~","~~"),"*","~*"),"?","~?"))&gt;1,"!AMBIG",IFERROR(INDEX('Calculations'!$HF$13:$HF$512,MATCH('Calculations'!HT288,'Calculations'!$HE$13:$HE$512,0)),""))))</x:f>
      </x:c>
      <x:c r="HV288" t="str">
        <x:f>IF('Calculations'!HU288="","",IF('Calculations'!HU288="!AMBIG","!AMBIG",IF(COUNTIF('Calculations'!$HE$13:$HE$512,"="&amp;SUBSTITUTE(SUBSTITUTE(SUBSTITUTE('Calculations'!HU288,"~","~~"),"*","~*"),"?","~?"))&gt;1,"!AMBIG",IFERROR(INDEX('Calculations'!$HF$13:$HF$512,MATCH('Calculations'!HU288,'Calculations'!$HE$13:$HE$512,0)),""))))</x:f>
      </x:c>
      <x:c r="HW288" t="str">
        <x:f>IF('Calculations'!HV288="","",IF('Calculations'!HV288="!AMBIG","!AMBIG",IF(COUNTIF('Calculations'!$HE$13:$HE$512,"="&amp;SUBSTITUTE(SUBSTITUTE(SUBSTITUTE('Calculations'!HV288,"~","~~"),"*","~*"),"?","~?"))&gt;1,"!AMBIG",IFERROR(INDEX('Calculations'!$HF$13:$HF$512,MATCH('Calculations'!HV288,'Calculations'!$HE$13:$HE$512,0)),""))))</x:f>
      </x:c>
      <x:c r="HX288" t="str">
        <x:f>IF('Calculations'!HW288="","",IF('Calculations'!HW288="!AMBIG","!AMBIG",IF(COUNTIF('Calculations'!$HE$13:$HE$512,"="&amp;SUBSTITUTE(SUBSTITUTE(SUBSTITUTE('Calculations'!HW288,"~","~~"),"*","~*"),"?","~?"))&gt;1,"!AMBIG",IFERROR(INDEX('Calculations'!$HF$13:$HF$512,MATCH('Calculations'!HW288,'Calculations'!$HE$13:$HE$512,0)),""))))</x:f>
      </x:c>
      <x:c r="HY288" t="str">
        <x:f>IF('Calculations'!HX288="","",IF('Calculations'!HX288="!AMBIG","!AMBIG",IF(COUNTIF('Calculations'!$HE$13:$HE$512,"="&amp;SUBSTITUTE(SUBSTITUTE(SUBSTITUTE('Calculations'!HX288,"~","~~"),"*","~*"),"?","~?"))&gt;1,"!AMBIG",IFERROR(INDEX('Calculations'!$HF$13:$HF$512,MATCH('Calculations'!HX288,'Calculations'!$HE$13:$HE$512,0)),""))))</x:f>
      </x:c>
      <x:c r="HZ288" t="str">
        <x:f>IF('Calculations'!HY288="","",IF('Calculations'!HY288="!AMBIG","!AMBIG",IF(COUNTIF('Calculations'!$HE$13:$HE$512,"="&amp;SUBSTITUTE(SUBSTITUTE(SUBSTITUTE('Calculations'!HY288,"~","~~"),"*","~*"),"?","~?"))&gt;1,"!AMBIG",IFERROR(INDEX('Calculations'!$HF$13:$HF$512,MATCH('Calculations'!HY288,'Calculations'!$HE$13:$HE$512,0)),""))))</x:f>
      </x:c>
      <x:c r="IA288" t="str">
        <x:f>IF('Calculations'!HZ288="","",IF('Calculations'!HZ288="!AMBIG","!AMBIG",IF(COUNTIF('Calculations'!$HE$13:$HE$512,"="&amp;SUBSTITUTE(SUBSTITUTE(SUBSTITUTE('Calculations'!HZ288,"~","~~"),"*","~*"),"?","~?"))&gt;1,"!AMBIG",IFERROR(INDEX('Calculations'!$HF$13:$HF$512,MATCH('Calculations'!HZ288,'Calculations'!$HE$13:$HE$512,0)),""))))</x:f>
      </x:c>
      <x:c r="IB288" t="str">
        <x:f>IF('Calculations'!IA288="","",IF('Calculations'!IA288="!AMBIG","!AMBIG",IF(COUNTIF('Calculations'!$HE$13:$HE$512,"="&amp;SUBSTITUTE(SUBSTITUTE(SUBSTITUTE('Calculations'!IA288,"~","~~"),"*","~*"),"?","~?"))&gt;1,"!AMBIG",IFERROR(INDEX('Calculations'!$HF$13:$HF$512,MATCH('Calculations'!IA288,'Calculations'!$HE$13:$HE$512,0)),""))))</x:f>
      </x:c>
      <x:c r="IC288" t="str">
        <x:f>IF('Calculations'!IB288="","",IF('Calculations'!IB288="!AMBIG","!AMBIG",IF(COUNTIF('Calculations'!$HE$13:$HE$512,"="&amp;SUBSTITUTE(SUBSTITUTE(SUBSTITUTE('Calculations'!IB288,"~","~~"),"*","~*"),"?","~?"))&gt;1,"!AMBIG",IFERROR(INDEX('Calculations'!$HF$13:$HF$512,MATCH('Calculations'!IB288,'Calculations'!$HE$13:$HE$512,0)),""))))</x:f>
      </x:c>
      <x:c r="ID288" t="str">
        <x:f>IF('Calculations'!IC288="","",IF('Calculations'!IC288="!AMBIG","!AMBIG",IF(COUNTIF('Calculations'!$HE$13:$HE$512,"="&amp;SUBSTITUTE(SUBSTITUTE(SUBSTITUTE('Calculations'!IC288,"~","~~"),"*","~*"),"?","~?"))&gt;1,"!AMBIG",IFERROR(INDEX('Calculations'!$HF$13:$HF$512,MATCH('Calculations'!IC288,'Calculations'!$HE$13:$HE$512,0)),""))))</x:f>
      </x:c>
      <x:c r="IE288" t="str">
        <x:f>IF('Calculations'!ID288="","",IF('Calculations'!ID288="!AMBIG","!AMBIG",IF(COUNTIF('Calculations'!$HE$13:$HE$512,"="&amp;SUBSTITUTE(SUBSTITUTE(SUBSTITUTE('Calculations'!ID288,"~","~~"),"*","~*"),"?","~?"))&gt;1,"!AMBIG",IFERROR(INDEX('Calculations'!$HF$13:$HF$512,MATCH('Calculations'!ID288,'Calculations'!$HE$13:$HE$512,0)),""))))</x:f>
      </x:c>
      <x:c r="IF288" t="str">
        <x:f>IF('Calculations'!IE288="","",IF('Calculations'!IE288="!AMBIG","!AMBIG",IF(COUNTIF('Calculations'!$HE$13:$HE$512,"="&amp;SUBSTITUTE(SUBSTITUTE(SUBSTITUTE('Calculations'!IE288,"~","~~"),"*","~*"),"?","~?"))&gt;1,"!AMBIG",IFERROR(INDEX('Calculations'!$HF$13:$HF$512,MATCH('Calculations'!IE288,'Calculations'!$HE$13:$HE$512,0)),""))))</x:f>
      </x:c>
      <x:c r="IG288" t="str">
        <x:f>IF('Calculations'!IF288="","",IF('Calculations'!IF288="!AMBIG","!AMBIG",IF(COUNTIF('Calculations'!$HE$13:$HE$512,"="&amp;SUBSTITUTE(SUBSTITUTE(SUBSTITUTE('Calculations'!IF288,"~","~~"),"*","~*"),"?","~?"))&gt;1,"!AMBIG",IFERROR(INDEX('Calculations'!$HF$13:$HF$512,MATCH('Calculations'!IF288,'Calculations'!$HE$13:$HE$512,0)),""))))</x:f>
      </x:c>
      <x:c r="IH288" t="str">
        <x:f>IF('Calculations'!IG288="","",IF('Calculations'!IG288="!AMBIG","!AMBIG",IF(COUNTIF('Calculations'!$HE$13:$HE$512,"="&amp;SUBSTITUTE(SUBSTITUTE(SUBSTITUTE('Calculations'!IG288,"~","~~"),"*","~*"),"?","~?"))&gt;1,"!AMBIG",IFERROR(INDEX('Calculations'!$HF$13:$HF$512,MATCH('Calculations'!IG288,'Calculations'!$HE$13:$HE$512,0)),""))))</x:f>
      </x:c>
      <x:c r="II288" t="str">
        <x:f>IF('Calculations'!IH288="","",IF('Calculations'!IH288="!AMBIG","!AMBIG",IF(COUNTIF('Calculations'!$HE$13:$HE$512,"="&amp;SUBSTITUTE(SUBSTITUTE(SUBSTITUTE('Calculations'!IH288,"~","~~"),"*","~*"),"?","~?"))&gt;1,"!AMBIG",IFERROR(INDEX('Calculations'!$HF$13:$HF$512,MATCH('Calculations'!IH288,'Calculations'!$HE$13:$HE$512,0)),""))))</x:f>
      </x:c>
      <x:c r="IJ288" t="str">
        <x:f>IF('Calculations'!EM288="","",IF('Calculations'!$EF$2="All",'Calculations'!HM288,IF('Calculations'!HL288=1,"",IFERROR(IF(MATCH('Calculations'!$EF$2,'Calculations'!HO288:II288,0)=1,'Calculations'!HE288,INDEX('Calculations'!HO288:II288,1,MATCH('Calculations'!$EF$2,'Calculations'!HO288:II288,0)-1)),""))))</x:f>
      </x:c>
      <x:c r="IK288" t="n">
        <x:f>IF(AND('Calculations'!EM288&lt;&gt;"",'Calculations'!$EF$2&lt;&gt;"All",'Calculations'!HF288='Calculations'!$EF$2,'Calculations'!HL288=0,'Calculations'!JD288&gt;0),MAX('Calculations'!$IK$12:IK287)+1,0)</x:f>
        <x:v>0</x:v>
      </x:c>
      <x:c r="JA288" t="n">
        <x:f>IF(OR(IFERROR(INDIRECT("'WCM Calibration Final'!$A$288")&lt;&gt;"",FALSE),IFERROR(INDIRECT("'WCM Calibration Final'!$B$288")&lt;&gt;"",FALSE),IFERROR(INDIRECT("'WCM Calibration Final'!$C$288")&lt;&gt;"",FALSE)),288,0)</x:f>
        <x:v>0</x:v>
      </x:c>
      <x:c r="JB288" t="n">
        <x:f>'Calculations'!JB287+IF('Calculations'!JA288&gt;0,1,0)</x:f>
        <x:v>0</x:v>
      </x:c>
      <x:c r="JC288" t="n">
        <x:f>IF(OR('Calculations'!HF288="",'Calculations'!HF288="!AMBIG"),0,IF('Dashboard'!$B$7="All",1,COUNTIFS('Calculations'!$HO$13:$HO$512,"="&amp;SUBSTITUTE(SUBSTITUTE(SUBSTITUTE('Calculations'!HF288,"~","~~"),"*","~*"),"?","~?"),'Calculations'!$HN$13:$HN$512,"="&amp;SUBSTITUTE(SUBSTITUTE(SUBSTITUTE('Dashboard'!$B$7,"~","~~"),"*","~*"),"?","~?"))+COUNTIFS('Calculations'!$HP$13:$HP$512,"="&amp;SUBSTITUTE(SUBSTITUTE(SUBSTITUTE('Calculations'!HF288,"~","~~"),"*","~*"),"?","~?"),'Calculations'!$HN$13:$HN$512,"="&amp;SUBSTITUTE(SUBSTITUTE(SUBSTITUTE('Dashboard'!$B$7,"~","~~"),"*","~*"),"?","~?"))+COUNTIFS('Calculations'!$HQ$13:$HQ$512,"="&amp;SUBSTITUTE(SUBSTITUTE(SUBSTITUTE('Calculations'!HF288,"~","~~"),"*","~*"),"?","~?"),'Calculations'!$HN$13:$HN$512,"="&amp;SUBSTITUTE(SUBSTITUTE(SUBSTITUTE('Dashboard'!$B$7,"~","~~"),"*","~*"),"?","~?"))+COUNTIFS('Calculations'!$HR$13:$HR$512,"="&amp;SUBSTITUTE(SUBSTITUTE(SUBSTITUTE('Calculations'!HF288,"~","~~"),"*","~*"),"?","~?"),'Calculations'!$HN$13:$HN$512,"="&amp;SUBSTITUTE(SUBSTITUTE(SUBSTITUTE('Dashboard'!$B$7,"~","~~"),"*","~*"),"?","~?"))+COUNTIFS('Calculations'!$HS$13:$HS$512,"="&amp;SUBSTITUTE(SUBSTITUTE(SUBSTITUTE('Calculations'!HF288,"~","~~"),"*","~*"),"?","~?"),'Calculations'!$HN$13:$HN$512,"="&amp;SUBSTITUTE(SUBSTITUTE(SUBSTITUTE('Dashboard'!$B$7,"~","~~"),"*","~*"),"?","~?"))+COUNTIFS('Calculations'!$HT$13:$HT$512,"="&amp;SUBSTITUTE(SUBSTITUTE(SUBSTITUTE('Calculations'!HF288,"~","~~"),"*","~*"),"?","~?"),'Calculations'!$HN$13:$HN$512,"="&amp;SUBSTITUTE(SUBSTITUTE(SUBSTITUTE('Dashboard'!$B$7,"~","~~"),"*","~*"),"?","~?"))+COUNTIFS('Calculations'!$HU$13:$HU$512,"="&amp;SUBSTITUTE(SUBSTITUTE(SUBSTITUTE('Calculations'!HF288,"~","~~"),"*","~*"),"?","~?"),'Calculations'!$HN$13:$HN$512,"="&amp;SUBSTITUTE(SUBSTITUTE(SUBSTITUTE('Dashboard'!$B$7,"~","~~"),"*","~*"),"?","~?"))+COUNTIFS('Calculations'!$HV$13:$HV$512,"="&amp;SUBSTITUTE(SUBSTITUTE(SUBSTITUTE('Calculations'!HF288,"~","~~"),"*","~*"),"?","~?"),'Calculations'!$HN$13:$HN$512,"="&amp;SUBSTITUTE(SUBSTITUTE(SUBSTITUTE('Dashboard'!$B$7,"~","~~"),"*","~*"),"?","~?"))+COUNTIFS('Calculations'!$HW$13:$HW$512,"="&amp;SUBSTITUTE(SUBSTITUTE(SUBSTITUTE('Calculations'!HF288,"~","~~"),"*","~*"),"?","~?"),'Calculations'!$HN$13:$HN$512,"="&amp;SUBSTITUTE(SUBSTITUTE(SUBSTITUTE('Dashboard'!$B$7,"~","~~"),"*","~*"),"?","~?"))+COUNTIFS('Calculations'!$HX$13:$HX$512,"="&amp;SUBSTITUTE(SUBSTITUTE(SUBSTITUTE('Calculations'!HF288,"~","~~"),"*","~*"),"?","~?"),'Calculations'!$HN$13:$HN$512,"="&amp;SUBSTITUTE(SUBSTITUTE(SUBSTITUTE('Dashboard'!$B$7,"~","~~"),"*","~*"),"?","~?"))+COUNTIFS('Calculations'!$HY$13:$HY$512,"="&amp;SUBSTITUTE(SUBSTITUTE(SUBSTITUTE('Calculations'!HF288,"~","~~"),"*","~*"),"?","~?"),'Calculations'!$HN$13:$HN$512,"="&amp;SUBSTITUTE(SUBSTITUTE(SUBSTITUTE('Dashboard'!$B$7,"~","~~"),"*","~*"),"?","~?"))+COUNTIFS('Calculations'!$HZ$13:$HZ$512,"="&amp;SUBSTITUTE(SUBSTITUTE(SUBSTITUTE('Calculations'!HF288,"~","~~"),"*","~*"),"?","~?"),'Calculations'!$HN$13:$HN$512,"="&amp;SUBSTITUTE(SUBSTITUTE(SUBSTITUTE('Dashboard'!$B$7,"~","~~"),"*","~*"),"?","~?"))+COUNTIFS('Calculations'!$IA$13:$IA$512,"="&amp;SUBSTITUTE(SUBSTITUTE(SUBSTITUTE('Calculations'!HF288,"~","~~"),"*","~*"),"?","~?"),'Calculations'!$HN$13:$HN$512,"="&amp;SUBSTITUTE(SUBSTITUTE(SUBSTITUTE('Dashboard'!$B$7,"~","~~"),"*","~*"),"?","~?"))+COUNTIFS('Calculations'!$IB$13:$IB$512,"="&amp;SUBSTITUTE(SUBSTITUTE(SUBSTITUTE('Calculations'!HF288,"~","~~"),"*","~*"),"?","~?"),'Calculations'!$HN$13:$HN$512,"="&amp;SUBSTITUTE(SUBSTITUTE(SUBSTITUTE('Dashboard'!$B$7,"~","~~"),"*","~*"),"?","~?"))+COUNTIFS('Calculations'!$IC$13:$IC$512,"="&amp;SUBSTITUTE(SUBSTITUTE(SUBSTITUTE('Calculations'!HF288,"~","~~"),"*","~*"),"?","~?"),'Calculations'!$HN$13:$HN$512,"="&amp;SUBSTITUTE(SUBSTITUTE(SUBSTITUTE('Dashboard'!$B$7,"~","~~"),"*","~*"),"?","~?"))+COUNTIFS('Calculations'!$ID$13:$ID$512,"="&amp;SUBSTITUTE(SUBSTITUTE(SUBSTITUTE('Calculations'!HF288,"~","~~"),"*","~*"),"?","~?"),'Calculations'!$HN$13:$HN$512,"="&amp;SUBSTITUTE(SUBSTITUTE(SUBSTITUTE('Dashboard'!$B$7,"~","~~"),"*","~*"),"?","~?"))+COUNTIFS('Calculations'!$IE$13:$IE$512,"="&amp;SUBSTITUTE(SUBSTITUTE(SUBSTITUTE('Calculations'!HF288,"~","~~"),"*","~*"),"?","~?"),'Calculations'!$HN$13:$HN$512,"="&amp;SUBSTITUTE(SUBSTITUTE(SUBSTITUTE('Dashboard'!$B$7,"~","~~"),"*","~*"),"?","~?"))+COUNTIFS('Calculations'!$IF$13:$IF$512,"="&amp;SUBSTITUTE(SUBSTITUTE(SUBSTITUTE('Calculations'!HF288,"~","~~"),"*","~*"),"?","~?"),'Calculations'!$HN$13:$HN$512,"="&amp;SUBSTITUTE(SUBSTITUTE(SUBSTITUTE('Dashboard'!$B$7,"~","~~"),"*","~*"),"?","~?"))+COUNTIFS('Calculations'!$IG$13:$IG$512,"="&amp;SUBSTITUTE(SUBSTITUTE(SUBSTITUTE('Calculations'!HF288,"~","~~"),"*","~*"),"?","~?"),'Calculations'!$HN$13:$HN$512,"="&amp;SUBSTITUTE(SUBSTITUTE(SUBSTITUTE('Dashboard'!$B$7,"~","~~"),"*","~*"),"?","~?"))+COUNTIFS('Calculations'!$IH$13:$IH$512,"="&amp;SUBSTITUTE(SUBSTITUTE(SUBSTITUTE('Calculations'!HF288,"~","~~"),"*","~*"),"?","~?"),'Calculations'!$HN$13:$HN$512,"="&amp;SUBSTITUTE(SUBSTITUTE(SUBSTITUTE('Dashboard'!$B$7,"~","~~"),"*","~*"),"?","~?"))))</x:f>
        <x:v>0</x:v>
      </x:c>
      <x:c r="JD288" t="n">
        <x:f>IF('Calculations'!EM288="",0,IF('Dashboard'!$B$7="All",1,IF('Calculations'!HN288='Dashboard'!$B$7,1,0)+IFERROR(INDEX('Calculations'!$JC$13:$JC$512,MATCH('Calculations'!HE288,'Calculations'!$HF$13:$HF$512,0)),0)))</x:f>
        <x:v>0</x:v>
      </x:c>
      <x:c r="JE288" t="n">
        <x:f>IF(AND('Calculations'!EM288&lt;&gt;"",'Calculations'!$JJ$2&lt;&gt;"All",'Calculations'!$JJ$2&lt;&gt;"",'Calculations'!HF288='Calculations'!$JJ$2,'Calculations'!HL288=0,'Calculations'!JD288&gt;0),MAX('Calculations'!$JE$12:JE287)+1,0)</x:f>
        <x:v>0</x:v>
      </x:c>
      <x:c r="JF288" t="str">
        <x:f>IF('Calculations'!EM288="","",IFERROR(IF(INDEX(INDIRECT("'WCM Calibration Final'!$G$1:$G$2000"),'Calculations'!$EM288)="","",TRIM(INDEX(INDIRECT("'WCM Calibration Final'!$G$1:$G$2000"),'Calculations'!$EM288)&amp;"")),""))</x:f>
      </x:c>
      <x:c r="JQ288" t="n">
        <x:f>IF(OR('Calculations'!BM288=0,NOT('Calculations'!$AG$2),'Calculations'!$AG$8&gt;0),0,IF(OR('Dashboard'!$B$7="All",'Calculations'!HN288='Dashboard'!$B$7),IF('Calculations'!$JJ$2="All",1,IF(AND('Calculations'!HF288='Calculations'!$JJ$2,'Calculations'!HL288=0),1,0)),0))</x:f>
        <x:v>0</x:v>
      </x:c>
    </x:row>
    <x:row r="289">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t="n">
        <x:f>IF('Calculations'!$EM289="",0,IF(OR(IFERROR(INDEX(INDIRECT("'WCM Calibration Final'!$A$1:$A$2000"),'Calculations'!$EM289)&lt;&gt;"",FALSE),IFERROR(INDEX(INDIRECT("'WCM Calibration Final'!$B$1:$B$2000"),'Calculations'!$EM289)&lt;&gt;"",FALSE),IFERROR(INDEX(INDIRECT("'WCM Calibration Final'!$C$1:$C$2000"),'Calculations'!$EM289)&lt;&gt;"",FALSE)),1,0))</x:f>
        <x:v>0</x:v>
      </x:c>
      <x:c r="BN289" s="4" t="n">
        <x:f>IF(AND('Calculations'!BM289=1,'Calculations'!$AG$2,'Calculations'!$EN289=1),1,0)</x:f>
        <x:v>0</x:v>
      </x:c>
      <x:c r="BO289" s="4" t="str">
        <x:f>IF('Calculations'!BM289=0,"",IFERROR(IF(AND(VALUE(INDEX(INDIRECT("'WCM Calibration Final'!$K$1:$K$2000"),'Calculations'!$EM289))&gt;=1,VALUE(INDEX(INDIRECT("'WCM Calibration Final'!$K$1:$K$2000"),'Calculations'!$EM289))&lt;=4,MOD(VALUE(INDEX(INDIRECT("'WCM Calibration Final'!$K$1:$K$2000"),'Calculations'!$EM289)),1)=0),VALUE(INDEX(INDIRECT("'WCM Calibration Final'!$K$1:$K$2000"),'Calculations'!$EM289)),""),""))</x:f>
      </x:c>
      <x:c r="BP289" s="4" t="str">
        <x:f>IF('Calculations'!BM289=0,"",IFERROR(IF(AND(VALUE(INDEX(INDIRECT("'WCM Calibration Final'!$L$1:$L$2000"),'Calculations'!$EM289))&gt;=1,VALUE(INDEX(INDIRECT("'WCM Calibration Final'!$L$1:$L$2000"),'Calculations'!$EM289))&lt;=4,MOD(VALUE(INDEX(INDIRECT("'WCM Calibration Final'!$L$1:$L$2000"),'Calculations'!$EM289)),1)=0),VALUE(INDEX(INDIRECT("'WCM Calibration Final'!$L$1:$L$2000"),'Calculations'!$EM289)),""),""))</x:f>
      </x:c>
      <x:c r="BQ289" s="4"/>
      <x:c r="BR289" s="4"/>
      <x:c r="BS289" s="4"/>
      <x:c r="BT289" s="4" t="n">
        <x:f>IF(AND('Calculations'!BM289=1,ISNUMBER('Calculations'!BO289),ISNUMBER('Calculations'!BP289)),1,0)</x:f>
        <x:v>0</x:v>
      </x:c>
      <x:c r="BU289" s="4" t="str">
        <x:f>IF('Calculations'!BM289=0,"",'Calculations'!$EO289)</x:f>
      </x:c>
      <x:c r="BV289" s="4" t="str">
        <x:f>IF('Calculations'!BM289=0,"",IFERROR(IF(OR(INDEX(INDIRECT("'WCM Calibration Final'!$H$1:$H$2000"),'Calculations'!$EM289)="MANAGING DIRECTOR",INDEX(INDIRECT("'WCM Calibration Final'!$H$1:$H$2000"),'Calculations'!$EM289)="DIRECTOR",INDEX(INDIRECT("'WCM Calibration Final'!$H$1:$H$2000"),'Calculations'!$EM289)="SENIOR VICE PRESIDENT",INDEX(INDIRECT("'WCM Calibration Final'!$H$1:$H$2000"),'Calculations'!$EM289)="VICE PRESIDENT",INDEX(INDIRECT("'WCM Calibration Final'!$H$1:$H$2000"),'Calculations'!$EM289)="ASSISTANT VICE PRESIDENT",INDEX(INDIRECT("'WCM Calibration Final'!$H$1:$H$2000"),'Calculations'!$EM289)="OFFICER"),UPPER(INDEX(INDIRECT("'WCM Calibration Final'!$H$1:$H$2000"),'Calculations'!$EM289)),"Other"),"Other"))</x:f>
      </x:c>
      <x:c r="BW289" s="4"/>
      <x:c r="BX289" s="4"/>
      <x:c r="BY289" s="4" t="n">
        <x:f>IF(AND('Calculations'!BM289=1,'Calculations'!BU289&lt;&gt;"",COUNTIF('Calculations'!$BU$12:BU289,'Calculations'!BU289)=1),MAX('Calculations'!$BY$11:BY288)+1,0)</x:f>
        <x:v>0</x:v>
      </x:c>
      <x:c r="BZ289" s="4" t="str">
        <x:f>IF('Dashboard'!$E$67="What",'Calculations'!BO289,'Calculations'!BP289)</x:f>
      </x:c>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t="str">
        <x:f>IF(278&gt;MAX('Calculations'!$HI$13:$HI$512),"",INDEX('Calculations'!$HN$13:$HN$512,MATCH(278,'Calculations'!$HI$13:$HI$512,0)))</x:f>
      </x:c>
      <x:c r="DB289" s="4" t="str">
        <x:f>IF(278&gt;MAX('Calculations'!$HH$13:$HH$512),"",INDEX('Calculations'!$HJ$13:$HJ$512,MATCH(278,'Calculations'!$HH$13:$HH$512,0)))</x:f>
      </x:c>
      <x:c r="DC289" s="4" t="str">
        <x:f>IF(ROW()-11&gt;MAX('Calculations'!$BY$13:$BY$512),"",INDEX('Calculations'!$BU$13:$BU$512,MATCH(ROW()-11,'Calculations'!$BY$13:$BY$512,0)))</x:f>
      </x:c>
      <x:c r="DD289" s="4" t="str">
        <x:f>IF(278&gt;MAX('Calculations'!$IK$13:$IK$512),"",INDEX('Calculations'!$HK$13:$HK$512,MATCH(278,'Calculations'!$IK$13:$IK$512,0)))</x:f>
      </x:c>
      <x:c r="DE289" s="4" t="str">
        <x:f>'Calculations'!DC289</x:f>
      </x:c>
      <x:c r="DF289" s="4" t="str">
        <x:f>IF('Calculations'!DE289="","",COUNTIFS('Calculations'!$BN$13:$BN$512,1,'Calculations'!$BU$13:$BU$512,'Calculations'!DE289))</x:f>
      </x:c>
      <x:c r="DG289" s="4" t="str">
        <x:f>IF('Calculations'!DE289="","",COUNTIFS('Calculations'!$BN$13:$BN$512,1,'Calculations'!$BU$13:$BU$512,'Calculations'!DE289,'Calculations'!$BT$13:$BT$512,1))</x:f>
      </x:c>
      <x:c r="DH289" s="4" t="str">
        <x:f>IF('Calculations'!DE289="","",'Calculations'!DF289-'Calculations'!DG289)</x:f>
      </x:c>
      <x:c r="DI289" s="4" t="str">
        <x:f>IF(OR('Calculations'!DE289="",'Calculations'!DF289=0),"",'Calculations'!DG289/'Calculations'!DF289)</x:f>
      </x:c>
      <x:c r="DJ289" s="4" t="str">
        <x:f>IF('Calculations'!DE289="","",COUNTIFS('Calculations'!$BN$13:$BN$512,1,'Calculations'!$BU$13:$BU$512,'Calculations'!DE289,'Calculations'!$BT$13:$BT$512,1,'Calculations'!$EE$13:$EE$512,"High"))</x:f>
      </x:c>
      <x:c r="DK289" s="4" t="str">
        <x:f>IF('Calculations'!DE289="","",COUNTIFS('Calculations'!$BN$13:$BN$512,1,'Calculations'!$BU$13:$BU$512,'Calculations'!DE289,'Calculations'!$BT$13:$BT$512,1,'Calculations'!$EE$13:$EE$512,"Strong"))</x:f>
      </x:c>
      <x:c r="DL289" s="4" t="str">
        <x:f>IF('Calculations'!DE289="","",COUNTIFS('Calculations'!$BN$13:$BN$512,1,'Calculations'!$BU$13:$BU$512,'Calculations'!DE289,'Calculations'!$BT$13:$BT$512,1,'Calculations'!$EE$13:$EE$512,"Solid"))</x:f>
      </x:c>
      <x:c r="DM289" s="4" t="str">
        <x:f>IF('Calculations'!DE289="","",COUNTIFS('Calculations'!$BN$13:$BN$512,1,'Calculations'!$BU$13:$BU$512,'Calculations'!DE289,'Calculations'!$BT$13:$BT$512,1,'Calculations'!$EE$13:$EE$512,"Low"))</x:f>
      </x:c>
      <x:c r="DN289" s="4" t="str">
        <x:f>IF('Calculations'!DE289="","",COUNTIFS('Calculations'!$BN$13:$BN$512,1,'Calculations'!$BU$13:$BU$512,'Calculations'!DE289,'Calculations'!$EP$13:$EP$512,1))</x:f>
      </x:c>
      <x:c r="DO289" s="4" t="str">
        <x:f>IF(OR('Calculations'!DE289="",'Calculations'!DG289=0),"",('Calculations'!DJ289+'Calculations'!DK289)/'Calculations'!DG289)</x:f>
      </x:c>
      <x:c r="DP289" s="4" t="n">
        <x:f>IF(AND('Calculations'!DE289&lt;&gt;"",'Calculations'!DF289&gt;0),COUNTIF('Calculations'!$DF$12:DF289,"&gt;0"),0)</x:f>
        <x:v>0</x:v>
      </x:c>
      <x:c r="DQ289" s="4" t="str">
        <x:f>IF(278&gt;MAX('Calculations'!$HH$13:$HH$512),"",INDEX('Calculations'!$HF$13:$HF$512,MATCH(278,'Calculations'!$HH$13:$HH$512,0)))</x:f>
      </x:c>
      <x:c r="DR289" s="4" t="str">
        <x:f>IF(278&gt;MAX('Calculations'!$IK$13:$IK$512),"",INDEX('Calculations'!$HE$13:$HE$512,MATCH(278,'Calculations'!$IK$13:$IK$512,0)))</x:f>
      </x:c>
      <x:c r="DS289" s="4"/>
      <x:c r="DT289" s="4"/>
      <x:c r="DU289" s="4"/>
      <x:c r="DV289" s="4"/>
      <x:c r="DW289" s="4"/>
      <x:c r="DX289" s="4"/>
      <x:c r="DY289" s="4"/>
      <x:c r="DZ289" s="4"/>
      <x:c r="EA289" s="4"/>
      <x:c r="EB289" s="4"/>
      <x:c r="EC289" s="4"/>
      <x:c r="ED289" s="4"/>
      <x:c r="EE289" s="4" t="str">
        <x:f>IF('Calculations'!BT289=0,"Not Rated",IF(OR('Calculations'!BO289&gt;=4,'Calculations'!BP289&gt;=4),"Low",IF('Calculations'!BO289+'Calculations'!BP289&lt;=3,"High",IF('Calculations'!BO289+'Calculations'!BP289&lt;=4,"Strong","Solid"))))</x:f>
        <x:v>Not Rated</x:v>
      </x:c>
      <x:c r="EF289" s="4"/>
      <x:c r="EG289" s="4"/>
      <x:c r="EH289" s="4"/>
      <x:c r="EI289" s="4"/>
      <x:c r="EJ289" s="4"/>
      <x:c r="EK289" s="4"/>
      <x:c r="EL289" s="4"/>
      <x:c r="EM289" s="4" t="str">
        <x:f>IF(277&gt;'Calculations'!$JB$2000,"",INDEX('Calculations'!$JA$12:$JA$2000,MATCH(277,'Calculations'!$JB$12:$JB$2000,0)))</x:f>
      </x:c>
      <x:c r="EN289" s="4" t="n">
        <x:f>IF(OR('Calculations'!EM289="",'Calculations'!$AG$8&gt;0,AND('Calculations'!$EF$2&lt;&gt;"All",'Calculations'!HE289='Calculations'!$EF$2),AND('Calculations'!$EF$3&lt;&gt;"All",'Calculations'!HE289='Calculations'!$EF$3)),0,IF(OR('Dashboard'!$B$7="All",'Calculations'!HN289='Dashboard'!$B$7),IF('Calculations'!$EF$2="All",1,IF('Calculations'!HL289&gt;0,0,IF(COUNTIF('Calculations'!HO289:II289,"="&amp;SUBSTITUTE(SUBSTITUTE(SUBSTITUTE('Calculations'!$EF$2,"~","~~"),"*","~*"),"?","~?"))=0,0,IF('Calculations'!$EF$3="All",1,IF(COUNTIF('Calculations'!HO289:II289,"="&amp;SUBSTITUTE(SUBSTITUTE(SUBSTITUTE('Calculations'!$EF$3,"~","~~"),"*","~*"),"?","~?"))&gt;0,1,0))))),0))</x:f>
        <x:v>0</x:v>
      </x:c>
      <x:c r="EO289" s="4" t="str">
        <x:f>IF('Calculations'!IJ289="","",IF('Calculations'!IJ289="!UNRESOLVED","Unresolved hierarchy",IFERROR(INDEX('Calculations'!$HK$13:$HK$512,MATCH('Calculations'!IJ289,'Calculations'!$HE$13:$HE$512,0)),IFERROR(INDEX('Calculations'!$HJ$13:$HJ$512,MATCH('Calculations'!IJ289,'Calculations'!$HF$13:$HF$512,0)),'Calculations'!IJ289))))</x:f>
      </x:c>
      <x:c r="EP289" s="4" t="n">
        <x:f>IF(AND('Calculations'!EM289&lt;&gt;"",'Calculations'!HF289='Calculations'!IJ289),1,0)</x:f>
        <x:v>0</x:v>
      </x:c>
      <x:c r="EQ289" s="4"/>
      <x:c r="ER289" s="4"/>
      <x:c r="ES289" s="4"/>
      <x:c r="ET289" s="4"/>
      <x:c r="EU289" s="4"/>
      <x:c r="EV289" s="4"/>
      <x:c r="EW289" s="4"/>
      <x:c r="EX289" s="4"/>
      <x:c r="EY289" s="4"/>
      <x:c r="EZ289" s="4"/>
      <x:c r="FA289" s="4"/>
      <x:c r="FB289" s="4"/>
      <x:c r="FC289" s="4"/>
      <x:c r="FD289" s="4"/>
      <x:c r="FE289" s="4"/>
      <x:c r="FF289" s="4"/>
      <x:c r="FG289" s="4"/>
      <x:c r="FH289" s="4"/>
      <x:c r="FI289" s="4"/>
      <x:c r="FJ289" s="4"/>
      <x:c r="FK289" s="4"/>
      <x:c r="FL289" s="4"/>
      <x:c r="FM289" s="4"/>
      <x:c r="FN289" s="4"/>
      <x:c r="FO289" s="4"/>
      <x:c r="HE289" t="str">
        <x:f>IF('Calculations'!EM289="","",IF(IFERROR(IF(INDEX(INDIRECT("'WCM Calibration Final'!$A$1:$A$2000"),'Calculations'!$EM289)="","",TRIM(INDEX(INDIRECT("'WCM Calibration Final'!$A$1:$A$2000"),'Calculations'!$EM289)&amp;"")),"")&lt;&gt;"","G:"&amp;IFERROR(TEXT(1*INDEX(INDIRECT("'WCM Calibration Final'!$A$1:$A$2000"),'Calculations'!$EM289),"0"),UPPER(IFERROR(IF(INDEX(INDIRECT("'WCM Calibration Final'!$A$1:$A$2000"),'Calculations'!$EM289)="","",TRIM(INDEX(INDIRECT("'WCM Calibration Final'!$A$1:$A$2000"),'Calculations'!$EM289)&amp;"")),""))),IF(IFERROR(IF(INDEX(INDIRECT("'WCM Calibration Final'!$C$1:$C$2000"),'Calculations'!$EM289)="","",TRIM(INDEX(INDIRECT("'WCM Calibration Final'!$C$1:$C$2000"),'Calculations'!$EM289)&amp;"")),"")&lt;&gt;"","S:"&amp;UPPER(IFERROR(IF(INDEX(INDIRECT("'WCM Calibration Final'!$C$1:$C$2000"),'Calculations'!$EM289)="","",TRIM(INDEX(INDIRECT("'WCM Calibration Final'!$C$1:$C$2000"),'Calculations'!$EM289)&amp;"")),"")),"R:"&amp;'Calculations'!EM289)))</x:f>
      </x:c>
      <x:c r="HF289" t="str">
        <x:f>IF('Calculations'!EM289="","",IF(IFERROR(IF(INDEX(INDIRECT("'WCM Calibration Final'!$D$1:$D$2000"),'Calculations'!$EM289)="","",TRIM(INDEX(INDIRECT("'WCM Calibration Final'!$D$1:$D$2000"),'Calculations'!$EM289)&amp;"")),"")&lt;&gt;"","G:"&amp;IFERROR(TEXT(1*INDEX(INDIRECT("'WCM Calibration Final'!$D$1:$D$2000"),'Calculations'!$EM289),"0"),UPPER(IFERROR(IF(INDEX(INDIRECT("'WCM Calibration Final'!$D$1:$D$2000"),'Calculations'!$EM289)="","",TRIM(INDEX(INDIRECT("'WCM Calibration Final'!$D$1:$D$2000"),'Calculations'!$EM289)&amp;"")),""))),IF(IFERROR(IF(INDEX(INDIRECT("'WCM Calibration Final'!$E$1:$E$2000"),'Calculations'!$EM289)="","",TRIM(INDEX(INDIRECT("'WCM Calibration Final'!$E$1:$E$2000"),'Calculations'!$EM289)&amp;"")),"")="","",IF(COUNTIF('Calculations'!$HG$13:$HG$512,"="&amp;SUBSTITUTE(SUBSTITUTE(SUBSTITUTE(IFERROR(IF(INDEX(INDIRECT("'WCM Calibration Final'!$E$1:$E$2000"),'Calculations'!$EM289)="","",TRIM(INDEX(INDIRECT("'WCM Calibration Final'!$E$1:$E$2000"),'Calculations'!$EM289)&amp;"")),""),"~","~~"),"*","~*"),"?","~?"))=1,INDEX('Calculations'!$HE$13:$HE$512,MATCH(IFERROR(IF(INDEX(INDIRECT("'WCM Calibration Final'!$E$1:$E$2000"),'Calculations'!$EM289)="","",TRIM(INDEX(INDIRECT("'WCM Calibration Final'!$E$1:$E$2000"),'Calculations'!$EM289)&amp;"")),""),'Calculations'!$HG$13:$HG$512,0)),IF(COUNTIF('Calculations'!$HG$13:$HG$512,"="&amp;SUBSTITUTE(SUBSTITUTE(SUBSTITUTE(IFERROR(IF(INDEX(INDIRECT("'WCM Calibration Final'!$E$1:$E$2000"),'Calculations'!$EM289)="","",TRIM(INDEX(INDIRECT("'WCM Calibration Final'!$E$1:$E$2000"),'Calculations'!$EM289)&amp;"")),""),"~","~~"),"*","~*"),"?","~?"))&gt;1,"!AMBIG","X:"&amp;IFERROR(IF(INDEX(INDIRECT("'WCM Calibration Final'!$E$1:$E$2000"),'Calculations'!$EM289)="","",TRIM(INDEX(INDIRECT("'WCM Calibration Final'!$E$1:$E$2000"),'Calculations'!$EM289)&amp;"")),""))))))</x:f>
      </x:c>
      <x:c r="HG289" t="str">
        <x:f>IF('Calculations'!EM289="","",IFERROR(IF(INDEX(INDIRECT("'WCM Calibration Final'!$B$1:$B$2000"),'Calculations'!$EM289)="","",TRIM(INDEX(INDIRECT("'WCM Calibration Final'!$B$1:$B$2000"),'Calculations'!$EM289)&amp;"")),""))</x:f>
      </x:c>
      <x:c r="HH289" t="n">
        <x:f>IF(AND('Calculations'!JC289&gt;0,COUNTIF('Calculations'!$HF$12:HF289,"="&amp;SUBSTITUTE(SUBSTITUTE(SUBSTITUTE('Calculations'!HF289,"~","~~"),"*","~*"),"?","~?"))=1),MAX('Calculations'!$HH$12:HH288)+1,0)</x:f>
        <x:v>0</x:v>
      </x:c>
      <x:c r="HI289" t="n">
        <x:f>IF(AND('Calculations'!HN289&lt;&gt;"",COUNTIF('Calculations'!$HN$12:HN289,"="&amp;SUBSTITUTE(SUBSTITUTE(SUBSTITUTE('Calculations'!HN289,"~","~~"),"*","~*"),"?","~?"))=1),MAX('Calculations'!$HI$12:HI288)+1,0)</x:f>
        <x:v>0</x:v>
      </x:c>
      <x:c r="HJ289" t="str">
        <x:f>IF('Calculations'!HF289="","",IF(COUNTIF('Calculations'!$HE$13:$HE$512,"="&amp;SUBSTITUTE(SUBSTITUTE(SUBSTITUTE('Calculations'!HF289,"~","~~"),"*","~*"),"?","~?"))=1,INDEX('Calculations'!$HK$13:$HK$512,MATCH('Calculations'!HF289,'Calculations'!$HE$13:$HE$512,0)),IFERROR(IF(INDEX(INDIRECT("'WCM Calibration Final'!$E$1:$E$2000"),'Calculations'!$EM289)="","",TRIM(INDEX(INDIRECT("'WCM Calibration Final'!$E$1:$E$2000"),'Calculations'!$EM289)&amp;"")),"")&amp;" ["&amp;'Calculations'!HF289&amp;"]"))</x:f>
      </x:c>
      <x:c r="HK289" t="str">
        <x:f>IF('Calculations'!EM289="","",'Calculations'!HG289&amp;" ["&amp;'Calculations'!HE289&amp;"]")</x:f>
      </x:c>
      <x:c r="HL289" t="n">
        <x:f>IF('Calculations'!EM289="",0,IF(OR('Calculations'!II289&lt;&gt;"",COUNTIF('Calculations'!$HE$13:$HE$512,"="&amp;SUBSTITUTE(SUBSTITUTE(SUBSTITUTE('Calculations'!HE289,"~","~~"),"*","~*"),"?","~?"))&gt;1),1,0))</x:f>
        <x:v>0</x:v>
      </x:c>
      <x:c r="HM289" t="str">
        <x:f>IF('Calculations'!EM289="","",IF('Calculations'!HL289=1,"!UNRESOLVED",IF('Calculations'!IH289&lt;&gt;"",'Calculations'!IH289,IF('Calculations'!IG289&lt;&gt;"",'Calculations'!IG289,IF('Calculations'!IF289&lt;&gt;"",'Calculations'!IF289,IF('Calculations'!IE289&lt;&gt;"",'Calculations'!IE289,IF('Calculations'!ID289&lt;&gt;"",'Calculations'!ID289,IF('Calculations'!IC289&lt;&gt;"",'Calculations'!IC289,IF('Calculations'!IB289&lt;&gt;"",'Calculations'!IB289,IF('Calculations'!IA289&lt;&gt;"",'Calculations'!IA289,IF('Calculations'!HZ289&lt;&gt;"",'Calculations'!HZ289,IF('Calculations'!HY289&lt;&gt;"",'Calculations'!HY289,IF('Calculations'!HX289&lt;&gt;"",'Calculations'!HX289,IF('Calculations'!HW289&lt;&gt;"",'Calculations'!HW289,IF('Calculations'!HV289&lt;&gt;"",'Calculations'!HV289,IF('Calculations'!HU289&lt;&gt;"",'Calculations'!HU289,IF('Calculations'!HT289&lt;&gt;"",'Calculations'!HT289,IF('Calculations'!HS289&lt;&gt;"",'Calculations'!HS289,IF('Calculations'!HR289&lt;&gt;"",'Calculations'!HR289,IF('Calculations'!HQ289&lt;&gt;"",'Calculations'!HQ289,IF('Calculations'!HP289&lt;&gt;"",'Calculations'!HP289,IF('Calculations'!HO289&lt;&gt;"",'Calculations'!HO289,'Calculations'!HE289))))))))))))))))))))))</x:f>
      </x:c>
      <x:c r="HN289" t="str">
        <x:f>IF('Calculations'!EM289="","",IF(IFERROR(IF(INDEX(INDIRECT("'WCM Calibration Final'!$F$1:$F$2000"),'Calculations'!$EM289)="","",TRIM(INDEX(INDIRECT("'WCM Calibration Final'!$F$1:$F$2000"),'Calculations'!$EM289)&amp;"")),"")="","(Blank)",IFERROR(IF(INDEX(INDIRECT("'WCM Calibration Final'!$F$1:$F$2000"),'Calculations'!$EM289)="","",TRIM(INDEX(INDIRECT("'WCM Calibration Final'!$F$1:$F$2000"),'Calculations'!$EM289)&amp;"")),"")))</x:f>
      </x:c>
      <x:c r="HO289" t="str">
        <x:f>'Calculations'!HF289</x:f>
      </x:c>
      <x:c r="HP289" t="str">
        <x:f>IF('Calculations'!HO289="","",IF('Calculations'!HO289="!AMBIG","!AMBIG",IF(COUNTIF('Calculations'!$HE$13:$HE$512,"="&amp;SUBSTITUTE(SUBSTITUTE(SUBSTITUTE('Calculations'!HO289,"~","~~"),"*","~*"),"?","~?"))&gt;1,"!AMBIG",IFERROR(INDEX('Calculations'!$HF$13:$HF$512,MATCH('Calculations'!HO289,'Calculations'!$HE$13:$HE$512,0)),""))))</x:f>
      </x:c>
      <x:c r="HQ289" t="str">
        <x:f>IF('Calculations'!HP289="","",IF('Calculations'!HP289="!AMBIG","!AMBIG",IF(COUNTIF('Calculations'!$HE$13:$HE$512,"="&amp;SUBSTITUTE(SUBSTITUTE(SUBSTITUTE('Calculations'!HP289,"~","~~"),"*","~*"),"?","~?"))&gt;1,"!AMBIG",IFERROR(INDEX('Calculations'!$HF$13:$HF$512,MATCH('Calculations'!HP289,'Calculations'!$HE$13:$HE$512,0)),""))))</x:f>
      </x:c>
      <x:c r="HR289" t="str">
        <x:f>IF('Calculations'!HQ289="","",IF('Calculations'!HQ289="!AMBIG","!AMBIG",IF(COUNTIF('Calculations'!$HE$13:$HE$512,"="&amp;SUBSTITUTE(SUBSTITUTE(SUBSTITUTE('Calculations'!HQ289,"~","~~"),"*","~*"),"?","~?"))&gt;1,"!AMBIG",IFERROR(INDEX('Calculations'!$HF$13:$HF$512,MATCH('Calculations'!HQ289,'Calculations'!$HE$13:$HE$512,0)),""))))</x:f>
      </x:c>
      <x:c r="HS289" t="str">
        <x:f>IF('Calculations'!HR289="","",IF('Calculations'!HR289="!AMBIG","!AMBIG",IF(COUNTIF('Calculations'!$HE$13:$HE$512,"="&amp;SUBSTITUTE(SUBSTITUTE(SUBSTITUTE('Calculations'!HR289,"~","~~"),"*","~*"),"?","~?"))&gt;1,"!AMBIG",IFERROR(INDEX('Calculations'!$HF$13:$HF$512,MATCH('Calculations'!HR289,'Calculations'!$HE$13:$HE$512,0)),""))))</x:f>
      </x:c>
      <x:c r="HT289" t="str">
        <x:f>IF('Calculations'!HS289="","",IF('Calculations'!HS289="!AMBIG","!AMBIG",IF(COUNTIF('Calculations'!$HE$13:$HE$512,"="&amp;SUBSTITUTE(SUBSTITUTE(SUBSTITUTE('Calculations'!HS289,"~","~~"),"*","~*"),"?","~?"))&gt;1,"!AMBIG",IFERROR(INDEX('Calculations'!$HF$13:$HF$512,MATCH('Calculations'!HS289,'Calculations'!$HE$13:$HE$512,0)),""))))</x:f>
      </x:c>
      <x:c r="HU289" t="str">
        <x:f>IF('Calculations'!HT289="","",IF('Calculations'!HT289="!AMBIG","!AMBIG",IF(COUNTIF('Calculations'!$HE$13:$HE$512,"="&amp;SUBSTITUTE(SUBSTITUTE(SUBSTITUTE('Calculations'!HT289,"~","~~"),"*","~*"),"?","~?"))&gt;1,"!AMBIG",IFERROR(INDEX('Calculations'!$HF$13:$HF$512,MATCH('Calculations'!HT289,'Calculations'!$HE$13:$HE$512,0)),""))))</x:f>
      </x:c>
      <x:c r="HV289" t="str">
        <x:f>IF('Calculations'!HU289="","",IF('Calculations'!HU289="!AMBIG","!AMBIG",IF(COUNTIF('Calculations'!$HE$13:$HE$512,"="&amp;SUBSTITUTE(SUBSTITUTE(SUBSTITUTE('Calculations'!HU289,"~","~~"),"*","~*"),"?","~?"))&gt;1,"!AMBIG",IFERROR(INDEX('Calculations'!$HF$13:$HF$512,MATCH('Calculations'!HU289,'Calculations'!$HE$13:$HE$512,0)),""))))</x:f>
      </x:c>
      <x:c r="HW289" t="str">
        <x:f>IF('Calculations'!HV289="","",IF('Calculations'!HV289="!AMBIG","!AMBIG",IF(COUNTIF('Calculations'!$HE$13:$HE$512,"="&amp;SUBSTITUTE(SUBSTITUTE(SUBSTITUTE('Calculations'!HV289,"~","~~"),"*","~*"),"?","~?"))&gt;1,"!AMBIG",IFERROR(INDEX('Calculations'!$HF$13:$HF$512,MATCH('Calculations'!HV289,'Calculations'!$HE$13:$HE$512,0)),""))))</x:f>
      </x:c>
      <x:c r="HX289" t="str">
        <x:f>IF('Calculations'!HW289="","",IF('Calculations'!HW289="!AMBIG","!AMBIG",IF(COUNTIF('Calculations'!$HE$13:$HE$512,"="&amp;SUBSTITUTE(SUBSTITUTE(SUBSTITUTE('Calculations'!HW289,"~","~~"),"*","~*"),"?","~?"))&gt;1,"!AMBIG",IFERROR(INDEX('Calculations'!$HF$13:$HF$512,MATCH('Calculations'!HW289,'Calculations'!$HE$13:$HE$512,0)),""))))</x:f>
      </x:c>
      <x:c r="HY289" t="str">
        <x:f>IF('Calculations'!HX289="","",IF('Calculations'!HX289="!AMBIG","!AMBIG",IF(COUNTIF('Calculations'!$HE$13:$HE$512,"="&amp;SUBSTITUTE(SUBSTITUTE(SUBSTITUTE('Calculations'!HX289,"~","~~"),"*","~*"),"?","~?"))&gt;1,"!AMBIG",IFERROR(INDEX('Calculations'!$HF$13:$HF$512,MATCH('Calculations'!HX289,'Calculations'!$HE$13:$HE$512,0)),""))))</x:f>
      </x:c>
      <x:c r="HZ289" t="str">
        <x:f>IF('Calculations'!HY289="","",IF('Calculations'!HY289="!AMBIG","!AMBIG",IF(COUNTIF('Calculations'!$HE$13:$HE$512,"="&amp;SUBSTITUTE(SUBSTITUTE(SUBSTITUTE('Calculations'!HY289,"~","~~"),"*","~*"),"?","~?"))&gt;1,"!AMBIG",IFERROR(INDEX('Calculations'!$HF$13:$HF$512,MATCH('Calculations'!HY289,'Calculations'!$HE$13:$HE$512,0)),""))))</x:f>
      </x:c>
      <x:c r="IA289" t="str">
        <x:f>IF('Calculations'!HZ289="","",IF('Calculations'!HZ289="!AMBIG","!AMBIG",IF(COUNTIF('Calculations'!$HE$13:$HE$512,"="&amp;SUBSTITUTE(SUBSTITUTE(SUBSTITUTE('Calculations'!HZ289,"~","~~"),"*","~*"),"?","~?"))&gt;1,"!AMBIG",IFERROR(INDEX('Calculations'!$HF$13:$HF$512,MATCH('Calculations'!HZ289,'Calculations'!$HE$13:$HE$512,0)),""))))</x:f>
      </x:c>
      <x:c r="IB289" t="str">
        <x:f>IF('Calculations'!IA289="","",IF('Calculations'!IA289="!AMBIG","!AMBIG",IF(COUNTIF('Calculations'!$HE$13:$HE$512,"="&amp;SUBSTITUTE(SUBSTITUTE(SUBSTITUTE('Calculations'!IA289,"~","~~"),"*","~*"),"?","~?"))&gt;1,"!AMBIG",IFERROR(INDEX('Calculations'!$HF$13:$HF$512,MATCH('Calculations'!IA289,'Calculations'!$HE$13:$HE$512,0)),""))))</x:f>
      </x:c>
      <x:c r="IC289" t="str">
        <x:f>IF('Calculations'!IB289="","",IF('Calculations'!IB289="!AMBIG","!AMBIG",IF(COUNTIF('Calculations'!$HE$13:$HE$512,"="&amp;SUBSTITUTE(SUBSTITUTE(SUBSTITUTE('Calculations'!IB289,"~","~~"),"*","~*"),"?","~?"))&gt;1,"!AMBIG",IFERROR(INDEX('Calculations'!$HF$13:$HF$512,MATCH('Calculations'!IB289,'Calculations'!$HE$13:$HE$512,0)),""))))</x:f>
      </x:c>
      <x:c r="ID289" t="str">
        <x:f>IF('Calculations'!IC289="","",IF('Calculations'!IC289="!AMBIG","!AMBIG",IF(COUNTIF('Calculations'!$HE$13:$HE$512,"="&amp;SUBSTITUTE(SUBSTITUTE(SUBSTITUTE('Calculations'!IC289,"~","~~"),"*","~*"),"?","~?"))&gt;1,"!AMBIG",IFERROR(INDEX('Calculations'!$HF$13:$HF$512,MATCH('Calculations'!IC289,'Calculations'!$HE$13:$HE$512,0)),""))))</x:f>
      </x:c>
      <x:c r="IE289" t="str">
        <x:f>IF('Calculations'!ID289="","",IF('Calculations'!ID289="!AMBIG","!AMBIG",IF(COUNTIF('Calculations'!$HE$13:$HE$512,"="&amp;SUBSTITUTE(SUBSTITUTE(SUBSTITUTE('Calculations'!ID289,"~","~~"),"*","~*"),"?","~?"))&gt;1,"!AMBIG",IFERROR(INDEX('Calculations'!$HF$13:$HF$512,MATCH('Calculations'!ID289,'Calculations'!$HE$13:$HE$512,0)),""))))</x:f>
      </x:c>
      <x:c r="IF289" t="str">
        <x:f>IF('Calculations'!IE289="","",IF('Calculations'!IE289="!AMBIG","!AMBIG",IF(COUNTIF('Calculations'!$HE$13:$HE$512,"="&amp;SUBSTITUTE(SUBSTITUTE(SUBSTITUTE('Calculations'!IE289,"~","~~"),"*","~*"),"?","~?"))&gt;1,"!AMBIG",IFERROR(INDEX('Calculations'!$HF$13:$HF$512,MATCH('Calculations'!IE289,'Calculations'!$HE$13:$HE$512,0)),""))))</x:f>
      </x:c>
      <x:c r="IG289" t="str">
        <x:f>IF('Calculations'!IF289="","",IF('Calculations'!IF289="!AMBIG","!AMBIG",IF(COUNTIF('Calculations'!$HE$13:$HE$512,"="&amp;SUBSTITUTE(SUBSTITUTE(SUBSTITUTE('Calculations'!IF289,"~","~~"),"*","~*"),"?","~?"))&gt;1,"!AMBIG",IFERROR(INDEX('Calculations'!$HF$13:$HF$512,MATCH('Calculations'!IF289,'Calculations'!$HE$13:$HE$512,0)),""))))</x:f>
      </x:c>
      <x:c r="IH289" t="str">
        <x:f>IF('Calculations'!IG289="","",IF('Calculations'!IG289="!AMBIG","!AMBIG",IF(COUNTIF('Calculations'!$HE$13:$HE$512,"="&amp;SUBSTITUTE(SUBSTITUTE(SUBSTITUTE('Calculations'!IG289,"~","~~"),"*","~*"),"?","~?"))&gt;1,"!AMBIG",IFERROR(INDEX('Calculations'!$HF$13:$HF$512,MATCH('Calculations'!IG289,'Calculations'!$HE$13:$HE$512,0)),""))))</x:f>
      </x:c>
      <x:c r="II289" t="str">
        <x:f>IF('Calculations'!IH289="","",IF('Calculations'!IH289="!AMBIG","!AMBIG",IF(COUNTIF('Calculations'!$HE$13:$HE$512,"="&amp;SUBSTITUTE(SUBSTITUTE(SUBSTITUTE('Calculations'!IH289,"~","~~"),"*","~*"),"?","~?"))&gt;1,"!AMBIG",IFERROR(INDEX('Calculations'!$HF$13:$HF$512,MATCH('Calculations'!IH289,'Calculations'!$HE$13:$HE$512,0)),""))))</x:f>
      </x:c>
      <x:c r="IJ289" t="str">
        <x:f>IF('Calculations'!EM289="","",IF('Calculations'!$EF$2="All",'Calculations'!HM289,IF('Calculations'!HL289=1,"",IFERROR(IF(MATCH('Calculations'!$EF$2,'Calculations'!HO289:II289,0)=1,'Calculations'!HE289,INDEX('Calculations'!HO289:II289,1,MATCH('Calculations'!$EF$2,'Calculations'!HO289:II289,0)-1)),""))))</x:f>
      </x:c>
      <x:c r="IK289" t="n">
        <x:f>IF(AND('Calculations'!EM289&lt;&gt;"",'Calculations'!$EF$2&lt;&gt;"All",'Calculations'!HF289='Calculations'!$EF$2,'Calculations'!HL289=0,'Calculations'!JD289&gt;0),MAX('Calculations'!$IK$12:IK288)+1,0)</x:f>
        <x:v>0</x:v>
      </x:c>
      <x:c r="JA289" t="n">
        <x:f>IF(OR(IFERROR(INDIRECT("'WCM Calibration Final'!$A$289")&lt;&gt;"",FALSE),IFERROR(INDIRECT("'WCM Calibration Final'!$B$289")&lt;&gt;"",FALSE),IFERROR(INDIRECT("'WCM Calibration Final'!$C$289")&lt;&gt;"",FALSE)),289,0)</x:f>
        <x:v>0</x:v>
      </x:c>
      <x:c r="JB289" t="n">
        <x:f>'Calculations'!JB288+IF('Calculations'!JA289&gt;0,1,0)</x:f>
        <x:v>0</x:v>
      </x:c>
      <x:c r="JC289" t="n">
        <x:f>IF(OR('Calculations'!HF289="",'Calculations'!HF289="!AMBIG"),0,IF('Dashboard'!$B$7="All",1,COUNTIFS('Calculations'!$HO$13:$HO$512,"="&amp;SUBSTITUTE(SUBSTITUTE(SUBSTITUTE('Calculations'!HF289,"~","~~"),"*","~*"),"?","~?"),'Calculations'!$HN$13:$HN$512,"="&amp;SUBSTITUTE(SUBSTITUTE(SUBSTITUTE('Dashboard'!$B$7,"~","~~"),"*","~*"),"?","~?"))+COUNTIFS('Calculations'!$HP$13:$HP$512,"="&amp;SUBSTITUTE(SUBSTITUTE(SUBSTITUTE('Calculations'!HF289,"~","~~"),"*","~*"),"?","~?"),'Calculations'!$HN$13:$HN$512,"="&amp;SUBSTITUTE(SUBSTITUTE(SUBSTITUTE('Dashboard'!$B$7,"~","~~"),"*","~*"),"?","~?"))+COUNTIFS('Calculations'!$HQ$13:$HQ$512,"="&amp;SUBSTITUTE(SUBSTITUTE(SUBSTITUTE('Calculations'!HF289,"~","~~"),"*","~*"),"?","~?"),'Calculations'!$HN$13:$HN$512,"="&amp;SUBSTITUTE(SUBSTITUTE(SUBSTITUTE('Dashboard'!$B$7,"~","~~"),"*","~*"),"?","~?"))+COUNTIFS('Calculations'!$HR$13:$HR$512,"="&amp;SUBSTITUTE(SUBSTITUTE(SUBSTITUTE('Calculations'!HF289,"~","~~"),"*","~*"),"?","~?"),'Calculations'!$HN$13:$HN$512,"="&amp;SUBSTITUTE(SUBSTITUTE(SUBSTITUTE('Dashboard'!$B$7,"~","~~"),"*","~*"),"?","~?"))+COUNTIFS('Calculations'!$HS$13:$HS$512,"="&amp;SUBSTITUTE(SUBSTITUTE(SUBSTITUTE('Calculations'!HF289,"~","~~"),"*","~*"),"?","~?"),'Calculations'!$HN$13:$HN$512,"="&amp;SUBSTITUTE(SUBSTITUTE(SUBSTITUTE('Dashboard'!$B$7,"~","~~"),"*","~*"),"?","~?"))+COUNTIFS('Calculations'!$HT$13:$HT$512,"="&amp;SUBSTITUTE(SUBSTITUTE(SUBSTITUTE('Calculations'!HF289,"~","~~"),"*","~*"),"?","~?"),'Calculations'!$HN$13:$HN$512,"="&amp;SUBSTITUTE(SUBSTITUTE(SUBSTITUTE('Dashboard'!$B$7,"~","~~"),"*","~*"),"?","~?"))+COUNTIFS('Calculations'!$HU$13:$HU$512,"="&amp;SUBSTITUTE(SUBSTITUTE(SUBSTITUTE('Calculations'!HF289,"~","~~"),"*","~*"),"?","~?"),'Calculations'!$HN$13:$HN$512,"="&amp;SUBSTITUTE(SUBSTITUTE(SUBSTITUTE('Dashboard'!$B$7,"~","~~"),"*","~*"),"?","~?"))+COUNTIFS('Calculations'!$HV$13:$HV$512,"="&amp;SUBSTITUTE(SUBSTITUTE(SUBSTITUTE('Calculations'!HF289,"~","~~"),"*","~*"),"?","~?"),'Calculations'!$HN$13:$HN$512,"="&amp;SUBSTITUTE(SUBSTITUTE(SUBSTITUTE('Dashboard'!$B$7,"~","~~"),"*","~*"),"?","~?"))+COUNTIFS('Calculations'!$HW$13:$HW$512,"="&amp;SUBSTITUTE(SUBSTITUTE(SUBSTITUTE('Calculations'!HF289,"~","~~"),"*","~*"),"?","~?"),'Calculations'!$HN$13:$HN$512,"="&amp;SUBSTITUTE(SUBSTITUTE(SUBSTITUTE('Dashboard'!$B$7,"~","~~"),"*","~*"),"?","~?"))+COUNTIFS('Calculations'!$HX$13:$HX$512,"="&amp;SUBSTITUTE(SUBSTITUTE(SUBSTITUTE('Calculations'!HF289,"~","~~"),"*","~*"),"?","~?"),'Calculations'!$HN$13:$HN$512,"="&amp;SUBSTITUTE(SUBSTITUTE(SUBSTITUTE('Dashboard'!$B$7,"~","~~"),"*","~*"),"?","~?"))+COUNTIFS('Calculations'!$HY$13:$HY$512,"="&amp;SUBSTITUTE(SUBSTITUTE(SUBSTITUTE('Calculations'!HF289,"~","~~"),"*","~*"),"?","~?"),'Calculations'!$HN$13:$HN$512,"="&amp;SUBSTITUTE(SUBSTITUTE(SUBSTITUTE('Dashboard'!$B$7,"~","~~"),"*","~*"),"?","~?"))+COUNTIFS('Calculations'!$HZ$13:$HZ$512,"="&amp;SUBSTITUTE(SUBSTITUTE(SUBSTITUTE('Calculations'!HF289,"~","~~"),"*","~*"),"?","~?"),'Calculations'!$HN$13:$HN$512,"="&amp;SUBSTITUTE(SUBSTITUTE(SUBSTITUTE('Dashboard'!$B$7,"~","~~"),"*","~*"),"?","~?"))+COUNTIFS('Calculations'!$IA$13:$IA$512,"="&amp;SUBSTITUTE(SUBSTITUTE(SUBSTITUTE('Calculations'!HF289,"~","~~"),"*","~*"),"?","~?"),'Calculations'!$HN$13:$HN$512,"="&amp;SUBSTITUTE(SUBSTITUTE(SUBSTITUTE('Dashboard'!$B$7,"~","~~"),"*","~*"),"?","~?"))+COUNTIFS('Calculations'!$IB$13:$IB$512,"="&amp;SUBSTITUTE(SUBSTITUTE(SUBSTITUTE('Calculations'!HF289,"~","~~"),"*","~*"),"?","~?"),'Calculations'!$HN$13:$HN$512,"="&amp;SUBSTITUTE(SUBSTITUTE(SUBSTITUTE('Dashboard'!$B$7,"~","~~"),"*","~*"),"?","~?"))+COUNTIFS('Calculations'!$IC$13:$IC$512,"="&amp;SUBSTITUTE(SUBSTITUTE(SUBSTITUTE('Calculations'!HF289,"~","~~"),"*","~*"),"?","~?"),'Calculations'!$HN$13:$HN$512,"="&amp;SUBSTITUTE(SUBSTITUTE(SUBSTITUTE('Dashboard'!$B$7,"~","~~"),"*","~*"),"?","~?"))+COUNTIFS('Calculations'!$ID$13:$ID$512,"="&amp;SUBSTITUTE(SUBSTITUTE(SUBSTITUTE('Calculations'!HF289,"~","~~"),"*","~*"),"?","~?"),'Calculations'!$HN$13:$HN$512,"="&amp;SUBSTITUTE(SUBSTITUTE(SUBSTITUTE('Dashboard'!$B$7,"~","~~"),"*","~*"),"?","~?"))+COUNTIFS('Calculations'!$IE$13:$IE$512,"="&amp;SUBSTITUTE(SUBSTITUTE(SUBSTITUTE('Calculations'!HF289,"~","~~"),"*","~*"),"?","~?"),'Calculations'!$HN$13:$HN$512,"="&amp;SUBSTITUTE(SUBSTITUTE(SUBSTITUTE('Dashboard'!$B$7,"~","~~"),"*","~*"),"?","~?"))+COUNTIFS('Calculations'!$IF$13:$IF$512,"="&amp;SUBSTITUTE(SUBSTITUTE(SUBSTITUTE('Calculations'!HF289,"~","~~"),"*","~*"),"?","~?"),'Calculations'!$HN$13:$HN$512,"="&amp;SUBSTITUTE(SUBSTITUTE(SUBSTITUTE('Dashboard'!$B$7,"~","~~"),"*","~*"),"?","~?"))+COUNTIFS('Calculations'!$IG$13:$IG$512,"="&amp;SUBSTITUTE(SUBSTITUTE(SUBSTITUTE('Calculations'!HF289,"~","~~"),"*","~*"),"?","~?"),'Calculations'!$HN$13:$HN$512,"="&amp;SUBSTITUTE(SUBSTITUTE(SUBSTITUTE('Dashboard'!$B$7,"~","~~"),"*","~*"),"?","~?"))+COUNTIFS('Calculations'!$IH$13:$IH$512,"="&amp;SUBSTITUTE(SUBSTITUTE(SUBSTITUTE('Calculations'!HF289,"~","~~"),"*","~*"),"?","~?"),'Calculations'!$HN$13:$HN$512,"="&amp;SUBSTITUTE(SUBSTITUTE(SUBSTITUTE('Dashboard'!$B$7,"~","~~"),"*","~*"),"?","~?"))))</x:f>
        <x:v>0</x:v>
      </x:c>
      <x:c r="JD289" t="n">
        <x:f>IF('Calculations'!EM289="",0,IF('Dashboard'!$B$7="All",1,IF('Calculations'!HN289='Dashboard'!$B$7,1,0)+IFERROR(INDEX('Calculations'!$JC$13:$JC$512,MATCH('Calculations'!HE289,'Calculations'!$HF$13:$HF$512,0)),0)))</x:f>
        <x:v>0</x:v>
      </x:c>
      <x:c r="JE289" t="n">
        <x:f>IF(AND('Calculations'!EM289&lt;&gt;"",'Calculations'!$JJ$2&lt;&gt;"All",'Calculations'!$JJ$2&lt;&gt;"",'Calculations'!HF289='Calculations'!$JJ$2,'Calculations'!HL289=0,'Calculations'!JD289&gt;0),MAX('Calculations'!$JE$12:JE288)+1,0)</x:f>
        <x:v>0</x:v>
      </x:c>
      <x:c r="JF289" t="str">
        <x:f>IF('Calculations'!EM289="","",IFERROR(IF(INDEX(INDIRECT("'WCM Calibration Final'!$G$1:$G$2000"),'Calculations'!$EM289)="","",TRIM(INDEX(INDIRECT("'WCM Calibration Final'!$G$1:$G$2000"),'Calculations'!$EM289)&amp;"")),""))</x:f>
      </x:c>
      <x:c r="JQ289" t="n">
        <x:f>IF(OR('Calculations'!BM289=0,NOT('Calculations'!$AG$2),'Calculations'!$AG$8&gt;0),0,IF(OR('Dashboard'!$B$7="All",'Calculations'!HN289='Dashboard'!$B$7),IF('Calculations'!$JJ$2="All",1,IF(AND('Calculations'!HF289='Calculations'!$JJ$2,'Calculations'!HL289=0),1,0)),0))</x:f>
        <x:v>0</x:v>
      </x:c>
    </x:row>
    <x:row r="290">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t="n">
        <x:f>IF('Calculations'!$EM290="",0,IF(OR(IFERROR(INDEX(INDIRECT("'WCM Calibration Final'!$A$1:$A$2000"),'Calculations'!$EM290)&lt;&gt;"",FALSE),IFERROR(INDEX(INDIRECT("'WCM Calibration Final'!$B$1:$B$2000"),'Calculations'!$EM290)&lt;&gt;"",FALSE),IFERROR(INDEX(INDIRECT("'WCM Calibration Final'!$C$1:$C$2000"),'Calculations'!$EM290)&lt;&gt;"",FALSE)),1,0))</x:f>
        <x:v>0</x:v>
      </x:c>
      <x:c r="BN290" s="4" t="n">
        <x:f>IF(AND('Calculations'!BM290=1,'Calculations'!$AG$2,'Calculations'!$EN290=1),1,0)</x:f>
        <x:v>0</x:v>
      </x:c>
      <x:c r="BO290" s="4" t="str">
        <x:f>IF('Calculations'!BM290=0,"",IFERROR(IF(AND(VALUE(INDEX(INDIRECT("'WCM Calibration Final'!$K$1:$K$2000"),'Calculations'!$EM290))&gt;=1,VALUE(INDEX(INDIRECT("'WCM Calibration Final'!$K$1:$K$2000"),'Calculations'!$EM290))&lt;=4,MOD(VALUE(INDEX(INDIRECT("'WCM Calibration Final'!$K$1:$K$2000"),'Calculations'!$EM290)),1)=0),VALUE(INDEX(INDIRECT("'WCM Calibration Final'!$K$1:$K$2000"),'Calculations'!$EM290)),""),""))</x:f>
      </x:c>
      <x:c r="BP290" s="4" t="str">
        <x:f>IF('Calculations'!BM290=0,"",IFERROR(IF(AND(VALUE(INDEX(INDIRECT("'WCM Calibration Final'!$L$1:$L$2000"),'Calculations'!$EM290))&gt;=1,VALUE(INDEX(INDIRECT("'WCM Calibration Final'!$L$1:$L$2000"),'Calculations'!$EM290))&lt;=4,MOD(VALUE(INDEX(INDIRECT("'WCM Calibration Final'!$L$1:$L$2000"),'Calculations'!$EM290)),1)=0),VALUE(INDEX(INDIRECT("'WCM Calibration Final'!$L$1:$L$2000"),'Calculations'!$EM290)),""),""))</x:f>
      </x:c>
      <x:c r="BQ290" s="4"/>
      <x:c r="BR290" s="4"/>
      <x:c r="BS290" s="4"/>
      <x:c r="BT290" s="4" t="n">
        <x:f>IF(AND('Calculations'!BM290=1,ISNUMBER('Calculations'!BO290),ISNUMBER('Calculations'!BP290)),1,0)</x:f>
        <x:v>0</x:v>
      </x:c>
      <x:c r="BU290" s="4" t="str">
        <x:f>IF('Calculations'!BM290=0,"",'Calculations'!$EO290)</x:f>
      </x:c>
      <x:c r="BV290" s="4" t="str">
        <x:f>IF('Calculations'!BM290=0,"",IFERROR(IF(OR(INDEX(INDIRECT("'WCM Calibration Final'!$H$1:$H$2000"),'Calculations'!$EM290)="MANAGING DIRECTOR",INDEX(INDIRECT("'WCM Calibration Final'!$H$1:$H$2000"),'Calculations'!$EM290)="DIRECTOR",INDEX(INDIRECT("'WCM Calibration Final'!$H$1:$H$2000"),'Calculations'!$EM290)="SENIOR VICE PRESIDENT",INDEX(INDIRECT("'WCM Calibration Final'!$H$1:$H$2000"),'Calculations'!$EM290)="VICE PRESIDENT",INDEX(INDIRECT("'WCM Calibration Final'!$H$1:$H$2000"),'Calculations'!$EM290)="ASSISTANT VICE PRESIDENT",INDEX(INDIRECT("'WCM Calibration Final'!$H$1:$H$2000"),'Calculations'!$EM290)="OFFICER"),UPPER(INDEX(INDIRECT("'WCM Calibration Final'!$H$1:$H$2000"),'Calculations'!$EM290)),"Other"),"Other"))</x:f>
      </x:c>
      <x:c r="BW290" s="4"/>
      <x:c r="BX290" s="4"/>
      <x:c r="BY290" s="4" t="n">
        <x:f>IF(AND('Calculations'!BM290=1,'Calculations'!BU290&lt;&gt;"",COUNTIF('Calculations'!$BU$12:BU290,'Calculations'!BU290)=1),MAX('Calculations'!$BY$11:BY289)+1,0)</x:f>
        <x:v>0</x:v>
      </x:c>
      <x:c r="BZ290" s="4" t="str">
        <x:f>IF('Dashboard'!$E$67="What",'Calculations'!BO290,'Calculations'!BP290)</x:f>
      </x:c>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t="str">
        <x:f>IF(279&gt;MAX('Calculations'!$HI$13:$HI$512),"",INDEX('Calculations'!$HN$13:$HN$512,MATCH(279,'Calculations'!$HI$13:$HI$512,0)))</x:f>
      </x:c>
      <x:c r="DB290" s="4" t="str">
        <x:f>IF(279&gt;MAX('Calculations'!$HH$13:$HH$512),"",INDEX('Calculations'!$HJ$13:$HJ$512,MATCH(279,'Calculations'!$HH$13:$HH$512,0)))</x:f>
      </x:c>
      <x:c r="DC290" s="4" t="str">
        <x:f>IF(ROW()-11&gt;MAX('Calculations'!$BY$13:$BY$512),"",INDEX('Calculations'!$BU$13:$BU$512,MATCH(ROW()-11,'Calculations'!$BY$13:$BY$512,0)))</x:f>
      </x:c>
      <x:c r="DD290" s="4" t="str">
        <x:f>IF(279&gt;MAX('Calculations'!$IK$13:$IK$512),"",INDEX('Calculations'!$HK$13:$HK$512,MATCH(279,'Calculations'!$IK$13:$IK$512,0)))</x:f>
      </x:c>
      <x:c r="DE290" s="4" t="str">
        <x:f>'Calculations'!DC290</x:f>
      </x:c>
      <x:c r="DF290" s="4" t="str">
        <x:f>IF('Calculations'!DE290="","",COUNTIFS('Calculations'!$BN$13:$BN$512,1,'Calculations'!$BU$13:$BU$512,'Calculations'!DE290))</x:f>
      </x:c>
      <x:c r="DG290" s="4" t="str">
        <x:f>IF('Calculations'!DE290="","",COUNTIFS('Calculations'!$BN$13:$BN$512,1,'Calculations'!$BU$13:$BU$512,'Calculations'!DE290,'Calculations'!$BT$13:$BT$512,1))</x:f>
      </x:c>
      <x:c r="DH290" s="4" t="str">
        <x:f>IF('Calculations'!DE290="","",'Calculations'!DF290-'Calculations'!DG290)</x:f>
      </x:c>
      <x:c r="DI290" s="4" t="str">
        <x:f>IF(OR('Calculations'!DE290="",'Calculations'!DF290=0),"",'Calculations'!DG290/'Calculations'!DF290)</x:f>
      </x:c>
      <x:c r="DJ290" s="4" t="str">
        <x:f>IF('Calculations'!DE290="","",COUNTIFS('Calculations'!$BN$13:$BN$512,1,'Calculations'!$BU$13:$BU$512,'Calculations'!DE290,'Calculations'!$BT$13:$BT$512,1,'Calculations'!$EE$13:$EE$512,"High"))</x:f>
      </x:c>
      <x:c r="DK290" s="4" t="str">
        <x:f>IF('Calculations'!DE290="","",COUNTIFS('Calculations'!$BN$13:$BN$512,1,'Calculations'!$BU$13:$BU$512,'Calculations'!DE290,'Calculations'!$BT$13:$BT$512,1,'Calculations'!$EE$13:$EE$512,"Strong"))</x:f>
      </x:c>
      <x:c r="DL290" s="4" t="str">
        <x:f>IF('Calculations'!DE290="","",COUNTIFS('Calculations'!$BN$13:$BN$512,1,'Calculations'!$BU$13:$BU$512,'Calculations'!DE290,'Calculations'!$BT$13:$BT$512,1,'Calculations'!$EE$13:$EE$512,"Solid"))</x:f>
      </x:c>
      <x:c r="DM290" s="4" t="str">
        <x:f>IF('Calculations'!DE290="","",COUNTIFS('Calculations'!$BN$13:$BN$512,1,'Calculations'!$BU$13:$BU$512,'Calculations'!DE290,'Calculations'!$BT$13:$BT$512,1,'Calculations'!$EE$13:$EE$512,"Low"))</x:f>
      </x:c>
      <x:c r="DN290" s="4" t="str">
        <x:f>IF('Calculations'!DE290="","",COUNTIFS('Calculations'!$BN$13:$BN$512,1,'Calculations'!$BU$13:$BU$512,'Calculations'!DE290,'Calculations'!$EP$13:$EP$512,1))</x:f>
      </x:c>
      <x:c r="DO290" s="4" t="str">
        <x:f>IF(OR('Calculations'!DE290="",'Calculations'!DG290=0),"",('Calculations'!DJ290+'Calculations'!DK290)/'Calculations'!DG290)</x:f>
      </x:c>
      <x:c r="DP290" s="4" t="n">
        <x:f>IF(AND('Calculations'!DE290&lt;&gt;"",'Calculations'!DF290&gt;0),COUNTIF('Calculations'!$DF$12:DF290,"&gt;0"),0)</x:f>
        <x:v>0</x:v>
      </x:c>
      <x:c r="DQ290" s="4" t="str">
        <x:f>IF(279&gt;MAX('Calculations'!$HH$13:$HH$512),"",INDEX('Calculations'!$HF$13:$HF$512,MATCH(279,'Calculations'!$HH$13:$HH$512,0)))</x:f>
      </x:c>
      <x:c r="DR290" s="4" t="str">
        <x:f>IF(279&gt;MAX('Calculations'!$IK$13:$IK$512),"",INDEX('Calculations'!$HE$13:$HE$512,MATCH(279,'Calculations'!$IK$13:$IK$512,0)))</x:f>
      </x:c>
      <x:c r="DS290" s="4"/>
      <x:c r="DT290" s="4"/>
      <x:c r="DU290" s="4"/>
      <x:c r="DV290" s="4"/>
      <x:c r="DW290" s="4"/>
      <x:c r="DX290" s="4"/>
      <x:c r="DY290" s="4"/>
      <x:c r="DZ290" s="4"/>
      <x:c r="EA290" s="4"/>
      <x:c r="EB290" s="4"/>
      <x:c r="EC290" s="4"/>
      <x:c r="ED290" s="4"/>
      <x:c r="EE290" s="4" t="str">
        <x:f>IF('Calculations'!BT290=0,"Not Rated",IF(OR('Calculations'!BO290&gt;=4,'Calculations'!BP290&gt;=4),"Low",IF('Calculations'!BO290+'Calculations'!BP290&lt;=3,"High",IF('Calculations'!BO290+'Calculations'!BP290&lt;=4,"Strong","Solid"))))</x:f>
        <x:v>Not Rated</x:v>
      </x:c>
      <x:c r="EF290" s="4"/>
      <x:c r="EG290" s="4"/>
      <x:c r="EH290" s="4"/>
      <x:c r="EI290" s="4"/>
      <x:c r="EJ290" s="4"/>
      <x:c r="EK290" s="4"/>
      <x:c r="EL290" s="4"/>
      <x:c r="EM290" s="4" t="str">
        <x:f>IF(278&gt;'Calculations'!$JB$2000,"",INDEX('Calculations'!$JA$12:$JA$2000,MATCH(278,'Calculations'!$JB$12:$JB$2000,0)))</x:f>
      </x:c>
      <x:c r="EN290" s="4" t="n">
        <x:f>IF(OR('Calculations'!EM290="",'Calculations'!$AG$8&gt;0,AND('Calculations'!$EF$2&lt;&gt;"All",'Calculations'!HE290='Calculations'!$EF$2),AND('Calculations'!$EF$3&lt;&gt;"All",'Calculations'!HE290='Calculations'!$EF$3)),0,IF(OR('Dashboard'!$B$7="All",'Calculations'!HN290='Dashboard'!$B$7),IF('Calculations'!$EF$2="All",1,IF('Calculations'!HL290&gt;0,0,IF(COUNTIF('Calculations'!HO290:II290,"="&amp;SUBSTITUTE(SUBSTITUTE(SUBSTITUTE('Calculations'!$EF$2,"~","~~"),"*","~*"),"?","~?"))=0,0,IF('Calculations'!$EF$3="All",1,IF(COUNTIF('Calculations'!HO290:II290,"="&amp;SUBSTITUTE(SUBSTITUTE(SUBSTITUTE('Calculations'!$EF$3,"~","~~"),"*","~*"),"?","~?"))&gt;0,1,0))))),0))</x:f>
        <x:v>0</x:v>
      </x:c>
      <x:c r="EO290" s="4" t="str">
        <x:f>IF('Calculations'!IJ290="","",IF('Calculations'!IJ290="!UNRESOLVED","Unresolved hierarchy",IFERROR(INDEX('Calculations'!$HK$13:$HK$512,MATCH('Calculations'!IJ290,'Calculations'!$HE$13:$HE$512,0)),IFERROR(INDEX('Calculations'!$HJ$13:$HJ$512,MATCH('Calculations'!IJ290,'Calculations'!$HF$13:$HF$512,0)),'Calculations'!IJ290))))</x:f>
      </x:c>
      <x:c r="EP290" s="4" t="n">
        <x:f>IF(AND('Calculations'!EM290&lt;&gt;"",'Calculations'!HF290='Calculations'!IJ290),1,0)</x:f>
        <x:v>0</x:v>
      </x:c>
      <x:c r="EQ290" s="4"/>
      <x:c r="ER290" s="4"/>
      <x:c r="ES290" s="4"/>
      <x:c r="ET290" s="4"/>
      <x:c r="EU290" s="4"/>
      <x:c r="EV290" s="4"/>
      <x:c r="EW290" s="4"/>
      <x:c r="EX290" s="4"/>
      <x:c r="EY290" s="4"/>
      <x:c r="EZ290" s="4"/>
      <x:c r="FA290" s="4"/>
      <x:c r="FB290" s="4"/>
      <x:c r="FC290" s="4"/>
      <x:c r="FD290" s="4"/>
      <x:c r="FE290" s="4"/>
      <x:c r="FF290" s="4"/>
      <x:c r="FG290" s="4"/>
      <x:c r="FH290" s="4"/>
      <x:c r="FI290" s="4"/>
      <x:c r="FJ290" s="4"/>
      <x:c r="FK290" s="4"/>
      <x:c r="FL290" s="4"/>
      <x:c r="FM290" s="4"/>
      <x:c r="FN290" s="4"/>
      <x:c r="FO290" s="4"/>
      <x:c r="HE290" t="str">
        <x:f>IF('Calculations'!EM290="","",IF(IFERROR(IF(INDEX(INDIRECT("'WCM Calibration Final'!$A$1:$A$2000"),'Calculations'!$EM290)="","",TRIM(INDEX(INDIRECT("'WCM Calibration Final'!$A$1:$A$2000"),'Calculations'!$EM290)&amp;"")),"")&lt;&gt;"","G:"&amp;IFERROR(TEXT(1*INDEX(INDIRECT("'WCM Calibration Final'!$A$1:$A$2000"),'Calculations'!$EM290),"0"),UPPER(IFERROR(IF(INDEX(INDIRECT("'WCM Calibration Final'!$A$1:$A$2000"),'Calculations'!$EM290)="","",TRIM(INDEX(INDIRECT("'WCM Calibration Final'!$A$1:$A$2000"),'Calculations'!$EM290)&amp;"")),""))),IF(IFERROR(IF(INDEX(INDIRECT("'WCM Calibration Final'!$C$1:$C$2000"),'Calculations'!$EM290)="","",TRIM(INDEX(INDIRECT("'WCM Calibration Final'!$C$1:$C$2000"),'Calculations'!$EM290)&amp;"")),"")&lt;&gt;"","S:"&amp;UPPER(IFERROR(IF(INDEX(INDIRECT("'WCM Calibration Final'!$C$1:$C$2000"),'Calculations'!$EM290)="","",TRIM(INDEX(INDIRECT("'WCM Calibration Final'!$C$1:$C$2000"),'Calculations'!$EM290)&amp;"")),"")),"R:"&amp;'Calculations'!EM290)))</x:f>
      </x:c>
      <x:c r="HF290" t="str">
        <x:f>IF('Calculations'!EM290="","",IF(IFERROR(IF(INDEX(INDIRECT("'WCM Calibration Final'!$D$1:$D$2000"),'Calculations'!$EM290)="","",TRIM(INDEX(INDIRECT("'WCM Calibration Final'!$D$1:$D$2000"),'Calculations'!$EM290)&amp;"")),"")&lt;&gt;"","G:"&amp;IFERROR(TEXT(1*INDEX(INDIRECT("'WCM Calibration Final'!$D$1:$D$2000"),'Calculations'!$EM290),"0"),UPPER(IFERROR(IF(INDEX(INDIRECT("'WCM Calibration Final'!$D$1:$D$2000"),'Calculations'!$EM290)="","",TRIM(INDEX(INDIRECT("'WCM Calibration Final'!$D$1:$D$2000"),'Calculations'!$EM290)&amp;"")),""))),IF(IFERROR(IF(INDEX(INDIRECT("'WCM Calibration Final'!$E$1:$E$2000"),'Calculations'!$EM290)="","",TRIM(INDEX(INDIRECT("'WCM Calibration Final'!$E$1:$E$2000"),'Calculations'!$EM290)&amp;"")),"")="","",IF(COUNTIF('Calculations'!$HG$13:$HG$512,"="&amp;SUBSTITUTE(SUBSTITUTE(SUBSTITUTE(IFERROR(IF(INDEX(INDIRECT("'WCM Calibration Final'!$E$1:$E$2000"),'Calculations'!$EM290)="","",TRIM(INDEX(INDIRECT("'WCM Calibration Final'!$E$1:$E$2000"),'Calculations'!$EM290)&amp;"")),""),"~","~~"),"*","~*"),"?","~?"))=1,INDEX('Calculations'!$HE$13:$HE$512,MATCH(IFERROR(IF(INDEX(INDIRECT("'WCM Calibration Final'!$E$1:$E$2000"),'Calculations'!$EM290)="","",TRIM(INDEX(INDIRECT("'WCM Calibration Final'!$E$1:$E$2000"),'Calculations'!$EM290)&amp;"")),""),'Calculations'!$HG$13:$HG$512,0)),IF(COUNTIF('Calculations'!$HG$13:$HG$512,"="&amp;SUBSTITUTE(SUBSTITUTE(SUBSTITUTE(IFERROR(IF(INDEX(INDIRECT("'WCM Calibration Final'!$E$1:$E$2000"),'Calculations'!$EM290)="","",TRIM(INDEX(INDIRECT("'WCM Calibration Final'!$E$1:$E$2000"),'Calculations'!$EM290)&amp;"")),""),"~","~~"),"*","~*"),"?","~?"))&gt;1,"!AMBIG","X:"&amp;IFERROR(IF(INDEX(INDIRECT("'WCM Calibration Final'!$E$1:$E$2000"),'Calculations'!$EM290)="","",TRIM(INDEX(INDIRECT("'WCM Calibration Final'!$E$1:$E$2000"),'Calculations'!$EM290)&amp;"")),""))))))</x:f>
      </x:c>
      <x:c r="HG290" t="str">
        <x:f>IF('Calculations'!EM290="","",IFERROR(IF(INDEX(INDIRECT("'WCM Calibration Final'!$B$1:$B$2000"),'Calculations'!$EM290)="","",TRIM(INDEX(INDIRECT("'WCM Calibration Final'!$B$1:$B$2000"),'Calculations'!$EM290)&amp;"")),""))</x:f>
      </x:c>
      <x:c r="HH290" t="n">
        <x:f>IF(AND('Calculations'!JC290&gt;0,COUNTIF('Calculations'!$HF$12:HF290,"="&amp;SUBSTITUTE(SUBSTITUTE(SUBSTITUTE('Calculations'!HF290,"~","~~"),"*","~*"),"?","~?"))=1),MAX('Calculations'!$HH$12:HH289)+1,0)</x:f>
        <x:v>0</x:v>
      </x:c>
      <x:c r="HI290" t="n">
        <x:f>IF(AND('Calculations'!HN290&lt;&gt;"",COUNTIF('Calculations'!$HN$12:HN290,"="&amp;SUBSTITUTE(SUBSTITUTE(SUBSTITUTE('Calculations'!HN290,"~","~~"),"*","~*"),"?","~?"))=1),MAX('Calculations'!$HI$12:HI289)+1,0)</x:f>
        <x:v>0</x:v>
      </x:c>
      <x:c r="HJ290" t="str">
        <x:f>IF('Calculations'!HF290="","",IF(COUNTIF('Calculations'!$HE$13:$HE$512,"="&amp;SUBSTITUTE(SUBSTITUTE(SUBSTITUTE('Calculations'!HF290,"~","~~"),"*","~*"),"?","~?"))=1,INDEX('Calculations'!$HK$13:$HK$512,MATCH('Calculations'!HF290,'Calculations'!$HE$13:$HE$512,0)),IFERROR(IF(INDEX(INDIRECT("'WCM Calibration Final'!$E$1:$E$2000"),'Calculations'!$EM290)="","",TRIM(INDEX(INDIRECT("'WCM Calibration Final'!$E$1:$E$2000"),'Calculations'!$EM290)&amp;"")),"")&amp;" ["&amp;'Calculations'!HF290&amp;"]"))</x:f>
      </x:c>
      <x:c r="HK290" t="str">
        <x:f>IF('Calculations'!EM290="","",'Calculations'!HG290&amp;" ["&amp;'Calculations'!HE290&amp;"]")</x:f>
      </x:c>
      <x:c r="HL290" t="n">
        <x:f>IF('Calculations'!EM290="",0,IF(OR('Calculations'!II290&lt;&gt;"",COUNTIF('Calculations'!$HE$13:$HE$512,"="&amp;SUBSTITUTE(SUBSTITUTE(SUBSTITUTE('Calculations'!HE290,"~","~~"),"*","~*"),"?","~?"))&gt;1),1,0))</x:f>
        <x:v>0</x:v>
      </x:c>
      <x:c r="HM290" t="str">
        <x:f>IF('Calculations'!EM290="","",IF('Calculations'!HL290=1,"!UNRESOLVED",IF('Calculations'!IH290&lt;&gt;"",'Calculations'!IH290,IF('Calculations'!IG290&lt;&gt;"",'Calculations'!IG290,IF('Calculations'!IF290&lt;&gt;"",'Calculations'!IF290,IF('Calculations'!IE290&lt;&gt;"",'Calculations'!IE290,IF('Calculations'!ID290&lt;&gt;"",'Calculations'!ID290,IF('Calculations'!IC290&lt;&gt;"",'Calculations'!IC290,IF('Calculations'!IB290&lt;&gt;"",'Calculations'!IB290,IF('Calculations'!IA290&lt;&gt;"",'Calculations'!IA290,IF('Calculations'!HZ290&lt;&gt;"",'Calculations'!HZ290,IF('Calculations'!HY290&lt;&gt;"",'Calculations'!HY290,IF('Calculations'!HX290&lt;&gt;"",'Calculations'!HX290,IF('Calculations'!HW290&lt;&gt;"",'Calculations'!HW290,IF('Calculations'!HV290&lt;&gt;"",'Calculations'!HV290,IF('Calculations'!HU290&lt;&gt;"",'Calculations'!HU290,IF('Calculations'!HT290&lt;&gt;"",'Calculations'!HT290,IF('Calculations'!HS290&lt;&gt;"",'Calculations'!HS290,IF('Calculations'!HR290&lt;&gt;"",'Calculations'!HR290,IF('Calculations'!HQ290&lt;&gt;"",'Calculations'!HQ290,IF('Calculations'!HP290&lt;&gt;"",'Calculations'!HP290,IF('Calculations'!HO290&lt;&gt;"",'Calculations'!HO290,'Calculations'!HE290))))))))))))))))))))))</x:f>
      </x:c>
      <x:c r="HN290" t="str">
        <x:f>IF('Calculations'!EM290="","",IF(IFERROR(IF(INDEX(INDIRECT("'WCM Calibration Final'!$F$1:$F$2000"),'Calculations'!$EM290)="","",TRIM(INDEX(INDIRECT("'WCM Calibration Final'!$F$1:$F$2000"),'Calculations'!$EM290)&amp;"")),"")="","(Blank)",IFERROR(IF(INDEX(INDIRECT("'WCM Calibration Final'!$F$1:$F$2000"),'Calculations'!$EM290)="","",TRIM(INDEX(INDIRECT("'WCM Calibration Final'!$F$1:$F$2000"),'Calculations'!$EM290)&amp;"")),"")))</x:f>
      </x:c>
      <x:c r="HO290" t="str">
        <x:f>'Calculations'!HF290</x:f>
      </x:c>
      <x:c r="HP290" t="str">
        <x:f>IF('Calculations'!HO290="","",IF('Calculations'!HO290="!AMBIG","!AMBIG",IF(COUNTIF('Calculations'!$HE$13:$HE$512,"="&amp;SUBSTITUTE(SUBSTITUTE(SUBSTITUTE('Calculations'!HO290,"~","~~"),"*","~*"),"?","~?"))&gt;1,"!AMBIG",IFERROR(INDEX('Calculations'!$HF$13:$HF$512,MATCH('Calculations'!HO290,'Calculations'!$HE$13:$HE$512,0)),""))))</x:f>
      </x:c>
      <x:c r="HQ290" t="str">
        <x:f>IF('Calculations'!HP290="","",IF('Calculations'!HP290="!AMBIG","!AMBIG",IF(COUNTIF('Calculations'!$HE$13:$HE$512,"="&amp;SUBSTITUTE(SUBSTITUTE(SUBSTITUTE('Calculations'!HP290,"~","~~"),"*","~*"),"?","~?"))&gt;1,"!AMBIG",IFERROR(INDEX('Calculations'!$HF$13:$HF$512,MATCH('Calculations'!HP290,'Calculations'!$HE$13:$HE$512,0)),""))))</x:f>
      </x:c>
      <x:c r="HR290" t="str">
        <x:f>IF('Calculations'!HQ290="","",IF('Calculations'!HQ290="!AMBIG","!AMBIG",IF(COUNTIF('Calculations'!$HE$13:$HE$512,"="&amp;SUBSTITUTE(SUBSTITUTE(SUBSTITUTE('Calculations'!HQ290,"~","~~"),"*","~*"),"?","~?"))&gt;1,"!AMBIG",IFERROR(INDEX('Calculations'!$HF$13:$HF$512,MATCH('Calculations'!HQ290,'Calculations'!$HE$13:$HE$512,0)),""))))</x:f>
      </x:c>
      <x:c r="HS290" t="str">
        <x:f>IF('Calculations'!HR290="","",IF('Calculations'!HR290="!AMBIG","!AMBIG",IF(COUNTIF('Calculations'!$HE$13:$HE$512,"="&amp;SUBSTITUTE(SUBSTITUTE(SUBSTITUTE('Calculations'!HR290,"~","~~"),"*","~*"),"?","~?"))&gt;1,"!AMBIG",IFERROR(INDEX('Calculations'!$HF$13:$HF$512,MATCH('Calculations'!HR290,'Calculations'!$HE$13:$HE$512,0)),""))))</x:f>
      </x:c>
      <x:c r="HT290" t="str">
        <x:f>IF('Calculations'!HS290="","",IF('Calculations'!HS290="!AMBIG","!AMBIG",IF(COUNTIF('Calculations'!$HE$13:$HE$512,"="&amp;SUBSTITUTE(SUBSTITUTE(SUBSTITUTE('Calculations'!HS290,"~","~~"),"*","~*"),"?","~?"))&gt;1,"!AMBIG",IFERROR(INDEX('Calculations'!$HF$13:$HF$512,MATCH('Calculations'!HS290,'Calculations'!$HE$13:$HE$512,0)),""))))</x:f>
      </x:c>
      <x:c r="HU290" t="str">
        <x:f>IF('Calculations'!HT290="","",IF('Calculations'!HT290="!AMBIG","!AMBIG",IF(COUNTIF('Calculations'!$HE$13:$HE$512,"="&amp;SUBSTITUTE(SUBSTITUTE(SUBSTITUTE('Calculations'!HT290,"~","~~"),"*","~*"),"?","~?"))&gt;1,"!AMBIG",IFERROR(INDEX('Calculations'!$HF$13:$HF$512,MATCH('Calculations'!HT290,'Calculations'!$HE$13:$HE$512,0)),""))))</x:f>
      </x:c>
      <x:c r="HV290" t="str">
        <x:f>IF('Calculations'!HU290="","",IF('Calculations'!HU290="!AMBIG","!AMBIG",IF(COUNTIF('Calculations'!$HE$13:$HE$512,"="&amp;SUBSTITUTE(SUBSTITUTE(SUBSTITUTE('Calculations'!HU290,"~","~~"),"*","~*"),"?","~?"))&gt;1,"!AMBIG",IFERROR(INDEX('Calculations'!$HF$13:$HF$512,MATCH('Calculations'!HU290,'Calculations'!$HE$13:$HE$512,0)),""))))</x:f>
      </x:c>
      <x:c r="HW290" t="str">
        <x:f>IF('Calculations'!HV290="","",IF('Calculations'!HV290="!AMBIG","!AMBIG",IF(COUNTIF('Calculations'!$HE$13:$HE$512,"="&amp;SUBSTITUTE(SUBSTITUTE(SUBSTITUTE('Calculations'!HV290,"~","~~"),"*","~*"),"?","~?"))&gt;1,"!AMBIG",IFERROR(INDEX('Calculations'!$HF$13:$HF$512,MATCH('Calculations'!HV290,'Calculations'!$HE$13:$HE$512,0)),""))))</x:f>
      </x:c>
      <x:c r="HX290" t="str">
        <x:f>IF('Calculations'!HW290="","",IF('Calculations'!HW290="!AMBIG","!AMBIG",IF(COUNTIF('Calculations'!$HE$13:$HE$512,"="&amp;SUBSTITUTE(SUBSTITUTE(SUBSTITUTE('Calculations'!HW290,"~","~~"),"*","~*"),"?","~?"))&gt;1,"!AMBIG",IFERROR(INDEX('Calculations'!$HF$13:$HF$512,MATCH('Calculations'!HW290,'Calculations'!$HE$13:$HE$512,0)),""))))</x:f>
      </x:c>
      <x:c r="HY290" t="str">
        <x:f>IF('Calculations'!HX290="","",IF('Calculations'!HX290="!AMBIG","!AMBIG",IF(COUNTIF('Calculations'!$HE$13:$HE$512,"="&amp;SUBSTITUTE(SUBSTITUTE(SUBSTITUTE('Calculations'!HX290,"~","~~"),"*","~*"),"?","~?"))&gt;1,"!AMBIG",IFERROR(INDEX('Calculations'!$HF$13:$HF$512,MATCH('Calculations'!HX290,'Calculations'!$HE$13:$HE$512,0)),""))))</x:f>
      </x:c>
      <x:c r="HZ290" t="str">
        <x:f>IF('Calculations'!HY290="","",IF('Calculations'!HY290="!AMBIG","!AMBIG",IF(COUNTIF('Calculations'!$HE$13:$HE$512,"="&amp;SUBSTITUTE(SUBSTITUTE(SUBSTITUTE('Calculations'!HY290,"~","~~"),"*","~*"),"?","~?"))&gt;1,"!AMBIG",IFERROR(INDEX('Calculations'!$HF$13:$HF$512,MATCH('Calculations'!HY290,'Calculations'!$HE$13:$HE$512,0)),""))))</x:f>
      </x:c>
      <x:c r="IA290" t="str">
        <x:f>IF('Calculations'!HZ290="","",IF('Calculations'!HZ290="!AMBIG","!AMBIG",IF(COUNTIF('Calculations'!$HE$13:$HE$512,"="&amp;SUBSTITUTE(SUBSTITUTE(SUBSTITUTE('Calculations'!HZ290,"~","~~"),"*","~*"),"?","~?"))&gt;1,"!AMBIG",IFERROR(INDEX('Calculations'!$HF$13:$HF$512,MATCH('Calculations'!HZ290,'Calculations'!$HE$13:$HE$512,0)),""))))</x:f>
      </x:c>
      <x:c r="IB290" t="str">
        <x:f>IF('Calculations'!IA290="","",IF('Calculations'!IA290="!AMBIG","!AMBIG",IF(COUNTIF('Calculations'!$HE$13:$HE$512,"="&amp;SUBSTITUTE(SUBSTITUTE(SUBSTITUTE('Calculations'!IA290,"~","~~"),"*","~*"),"?","~?"))&gt;1,"!AMBIG",IFERROR(INDEX('Calculations'!$HF$13:$HF$512,MATCH('Calculations'!IA290,'Calculations'!$HE$13:$HE$512,0)),""))))</x:f>
      </x:c>
      <x:c r="IC290" t="str">
        <x:f>IF('Calculations'!IB290="","",IF('Calculations'!IB290="!AMBIG","!AMBIG",IF(COUNTIF('Calculations'!$HE$13:$HE$512,"="&amp;SUBSTITUTE(SUBSTITUTE(SUBSTITUTE('Calculations'!IB290,"~","~~"),"*","~*"),"?","~?"))&gt;1,"!AMBIG",IFERROR(INDEX('Calculations'!$HF$13:$HF$512,MATCH('Calculations'!IB290,'Calculations'!$HE$13:$HE$512,0)),""))))</x:f>
      </x:c>
      <x:c r="ID290" t="str">
        <x:f>IF('Calculations'!IC290="","",IF('Calculations'!IC290="!AMBIG","!AMBIG",IF(COUNTIF('Calculations'!$HE$13:$HE$512,"="&amp;SUBSTITUTE(SUBSTITUTE(SUBSTITUTE('Calculations'!IC290,"~","~~"),"*","~*"),"?","~?"))&gt;1,"!AMBIG",IFERROR(INDEX('Calculations'!$HF$13:$HF$512,MATCH('Calculations'!IC290,'Calculations'!$HE$13:$HE$512,0)),""))))</x:f>
      </x:c>
      <x:c r="IE290" t="str">
        <x:f>IF('Calculations'!ID290="","",IF('Calculations'!ID290="!AMBIG","!AMBIG",IF(COUNTIF('Calculations'!$HE$13:$HE$512,"="&amp;SUBSTITUTE(SUBSTITUTE(SUBSTITUTE('Calculations'!ID290,"~","~~"),"*","~*"),"?","~?"))&gt;1,"!AMBIG",IFERROR(INDEX('Calculations'!$HF$13:$HF$512,MATCH('Calculations'!ID290,'Calculations'!$HE$13:$HE$512,0)),""))))</x:f>
      </x:c>
      <x:c r="IF290" t="str">
        <x:f>IF('Calculations'!IE290="","",IF('Calculations'!IE290="!AMBIG","!AMBIG",IF(COUNTIF('Calculations'!$HE$13:$HE$512,"="&amp;SUBSTITUTE(SUBSTITUTE(SUBSTITUTE('Calculations'!IE290,"~","~~"),"*","~*"),"?","~?"))&gt;1,"!AMBIG",IFERROR(INDEX('Calculations'!$HF$13:$HF$512,MATCH('Calculations'!IE290,'Calculations'!$HE$13:$HE$512,0)),""))))</x:f>
      </x:c>
      <x:c r="IG290" t="str">
        <x:f>IF('Calculations'!IF290="","",IF('Calculations'!IF290="!AMBIG","!AMBIG",IF(COUNTIF('Calculations'!$HE$13:$HE$512,"="&amp;SUBSTITUTE(SUBSTITUTE(SUBSTITUTE('Calculations'!IF290,"~","~~"),"*","~*"),"?","~?"))&gt;1,"!AMBIG",IFERROR(INDEX('Calculations'!$HF$13:$HF$512,MATCH('Calculations'!IF290,'Calculations'!$HE$13:$HE$512,0)),""))))</x:f>
      </x:c>
      <x:c r="IH290" t="str">
        <x:f>IF('Calculations'!IG290="","",IF('Calculations'!IG290="!AMBIG","!AMBIG",IF(COUNTIF('Calculations'!$HE$13:$HE$512,"="&amp;SUBSTITUTE(SUBSTITUTE(SUBSTITUTE('Calculations'!IG290,"~","~~"),"*","~*"),"?","~?"))&gt;1,"!AMBIG",IFERROR(INDEX('Calculations'!$HF$13:$HF$512,MATCH('Calculations'!IG290,'Calculations'!$HE$13:$HE$512,0)),""))))</x:f>
      </x:c>
      <x:c r="II290" t="str">
        <x:f>IF('Calculations'!IH290="","",IF('Calculations'!IH290="!AMBIG","!AMBIG",IF(COUNTIF('Calculations'!$HE$13:$HE$512,"="&amp;SUBSTITUTE(SUBSTITUTE(SUBSTITUTE('Calculations'!IH290,"~","~~"),"*","~*"),"?","~?"))&gt;1,"!AMBIG",IFERROR(INDEX('Calculations'!$HF$13:$HF$512,MATCH('Calculations'!IH290,'Calculations'!$HE$13:$HE$512,0)),""))))</x:f>
      </x:c>
      <x:c r="IJ290" t="str">
        <x:f>IF('Calculations'!EM290="","",IF('Calculations'!$EF$2="All",'Calculations'!HM290,IF('Calculations'!HL290=1,"",IFERROR(IF(MATCH('Calculations'!$EF$2,'Calculations'!HO290:II290,0)=1,'Calculations'!HE290,INDEX('Calculations'!HO290:II290,1,MATCH('Calculations'!$EF$2,'Calculations'!HO290:II290,0)-1)),""))))</x:f>
      </x:c>
      <x:c r="IK290" t="n">
        <x:f>IF(AND('Calculations'!EM290&lt;&gt;"",'Calculations'!$EF$2&lt;&gt;"All",'Calculations'!HF290='Calculations'!$EF$2,'Calculations'!HL290=0,'Calculations'!JD290&gt;0),MAX('Calculations'!$IK$12:IK289)+1,0)</x:f>
        <x:v>0</x:v>
      </x:c>
      <x:c r="JA290" t="n">
        <x:f>IF(OR(IFERROR(INDIRECT("'WCM Calibration Final'!$A$290")&lt;&gt;"",FALSE),IFERROR(INDIRECT("'WCM Calibration Final'!$B$290")&lt;&gt;"",FALSE),IFERROR(INDIRECT("'WCM Calibration Final'!$C$290")&lt;&gt;"",FALSE)),290,0)</x:f>
        <x:v>0</x:v>
      </x:c>
      <x:c r="JB290" t="n">
        <x:f>'Calculations'!JB289+IF('Calculations'!JA290&gt;0,1,0)</x:f>
        <x:v>0</x:v>
      </x:c>
      <x:c r="JC290" t="n">
        <x:f>IF(OR('Calculations'!HF290="",'Calculations'!HF290="!AMBIG"),0,IF('Dashboard'!$B$7="All",1,COUNTIFS('Calculations'!$HO$13:$HO$512,"="&amp;SUBSTITUTE(SUBSTITUTE(SUBSTITUTE('Calculations'!HF290,"~","~~"),"*","~*"),"?","~?"),'Calculations'!$HN$13:$HN$512,"="&amp;SUBSTITUTE(SUBSTITUTE(SUBSTITUTE('Dashboard'!$B$7,"~","~~"),"*","~*"),"?","~?"))+COUNTIFS('Calculations'!$HP$13:$HP$512,"="&amp;SUBSTITUTE(SUBSTITUTE(SUBSTITUTE('Calculations'!HF290,"~","~~"),"*","~*"),"?","~?"),'Calculations'!$HN$13:$HN$512,"="&amp;SUBSTITUTE(SUBSTITUTE(SUBSTITUTE('Dashboard'!$B$7,"~","~~"),"*","~*"),"?","~?"))+COUNTIFS('Calculations'!$HQ$13:$HQ$512,"="&amp;SUBSTITUTE(SUBSTITUTE(SUBSTITUTE('Calculations'!HF290,"~","~~"),"*","~*"),"?","~?"),'Calculations'!$HN$13:$HN$512,"="&amp;SUBSTITUTE(SUBSTITUTE(SUBSTITUTE('Dashboard'!$B$7,"~","~~"),"*","~*"),"?","~?"))+COUNTIFS('Calculations'!$HR$13:$HR$512,"="&amp;SUBSTITUTE(SUBSTITUTE(SUBSTITUTE('Calculations'!HF290,"~","~~"),"*","~*"),"?","~?"),'Calculations'!$HN$13:$HN$512,"="&amp;SUBSTITUTE(SUBSTITUTE(SUBSTITUTE('Dashboard'!$B$7,"~","~~"),"*","~*"),"?","~?"))+COUNTIFS('Calculations'!$HS$13:$HS$512,"="&amp;SUBSTITUTE(SUBSTITUTE(SUBSTITUTE('Calculations'!HF290,"~","~~"),"*","~*"),"?","~?"),'Calculations'!$HN$13:$HN$512,"="&amp;SUBSTITUTE(SUBSTITUTE(SUBSTITUTE('Dashboard'!$B$7,"~","~~"),"*","~*"),"?","~?"))+COUNTIFS('Calculations'!$HT$13:$HT$512,"="&amp;SUBSTITUTE(SUBSTITUTE(SUBSTITUTE('Calculations'!HF290,"~","~~"),"*","~*"),"?","~?"),'Calculations'!$HN$13:$HN$512,"="&amp;SUBSTITUTE(SUBSTITUTE(SUBSTITUTE('Dashboard'!$B$7,"~","~~"),"*","~*"),"?","~?"))+COUNTIFS('Calculations'!$HU$13:$HU$512,"="&amp;SUBSTITUTE(SUBSTITUTE(SUBSTITUTE('Calculations'!HF290,"~","~~"),"*","~*"),"?","~?"),'Calculations'!$HN$13:$HN$512,"="&amp;SUBSTITUTE(SUBSTITUTE(SUBSTITUTE('Dashboard'!$B$7,"~","~~"),"*","~*"),"?","~?"))+COUNTIFS('Calculations'!$HV$13:$HV$512,"="&amp;SUBSTITUTE(SUBSTITUTE(SUBSTITUTE('Calculations'!HF290,"~","~~"),"*","~*"),"?","~?"),'Calculations'!$HN$13:$HN$512,"="&amp;SUBSTITUTE(SUBSTITUTE(SUBSTITUTE('Dashboard'!$B$7,"~","~~"),"*","~*"),"?","~?"))+COUNTIFS('Calculations'!$HW$13:$HW$512,"="&amp;SUBSTITUTE(SUBSTITUTE(SUBSTITUTE('Calculations'!HF290,"~","~~"),"*","~*"),"?","~?"),'Calculations'!$HN$13:$HN$512,"="&amp;SUBSTITUTE(SUBSTITUTE(SUBSTITUTE('Dashboard'!$B$7,"~","~~"),"*","~*"),"?","~?"))+COUNTIFS('Calculations'!$HX$13:$HX$512,"="&amp;SUBSTITUTE(SUBSTITUTE(SUBSTITUTE('Calculations'!HF290,"~","~~"),"*","~*"),"?","~?"),'Calculations'!$HN$13:$HN$512,"="&amp;SUBSTITUTE(SUBSTITUTE(SUBSTITUTE('Dashboard'!$B$7,"~","~~"),"*","~*"),"?","~?"))+COUNTIFS('Calculations'!$HY$13:$HY$512,"="&amp;SUBSTITUTE(SUBSTITUTE(SUBSTITUTE('Calculations'!HF290,"~","~~"),"*","~*"),"?","~?"),'Calculations'!$HN$13:$HN$512,"="&amp;SUBSTITUTE(SUBSTITUTE(SUBSTITUTE('Dashboard'!$B$7,"~","~~"),"*","~*"),"?","~?"))+COUNTIFS('Calculations'!$HZ$13:$HZ$512,"="&amp;SUBSTITUTE(SUBSTITUTE(SUBSTITUTE('Calculations'!HF290,"~","~~"),"*","~*"),"?","~?"),'Calculations'!$HN$13:$HN$512,"="&amp;SUBSTITUTE(SUBSTITUTE(SUBSTITUTE('Dashboard'!$B$7,"~","~~"),"*","~*"),"?","~?"))+COUNTIFS('Calculations'!$IA$13:$IA$512,"="&amp;SUBSTITUTE(SUBSTITUTE(SUBSTITUTE('Calculations'!HF290,"~","~~"),"*","~*"),"?","~?"),'Calculations'!$HN$13:$HN$512,"="&amp;SUBSTITUTE(SUBSTITUTE(SUBSTITUTE('Dashboard'!$B$7,"~","~~"),"*","~*"),"?","~?"))+COUNTIFS('Calculations'!$IB$13:$IB$512,"="&amp;SUBSTITUTE(SUBSTITUTE(SUBSTITUTE('Calculations'!HF290,"~","~~"),"*","~*"),"?","~?"),'Calculations'!$HN$13:$HN$512,"="&amp;SUBSTITUTE(SUBSTITUTE(SUBSTITUTE('Dashboard'!$B$7,"~","~~"),"*","~*"),"?","~?"))+COUNTIFS('Calculations'!$IC$13:$IC$512,"="&amp;SUBSTITUTE(SUBSTITUTE(SUBSTITUTE('Calculations'!HF290,"~","~~"),"*","~*"),"?","~?"),'Calculations'!$HN$13:$HN$512,"="&amp;SUBSTITUTE(SUBSTITUTE(SUBSTITUTE('Dashboard'!$B$7,"~","~~"),"*","~*"),"?","~?"))+COUNTIFS('Calculations'!$ID$13:$ID$512,"="&amp;SUBSTITUTE(SUBSTITUTE(SUBSTITUTE('Calculations'!HF290,"~","~~"),"*","~*"),"?","~?"),'Calculations'!$HN$13:$HN$512,"="&amp;SUBSTITUTE(SUBSTITUTE(SUBSTITUTE('Dashboard'!$B$7,"~","~~"),"*","~*"),"?","~?"))+COUNTIFS('Calculations'!$IE$13:$IE$512,"="&amp;SUBSTITUTE(SUBSTITUTE(SUBSTITUTE('Calculations'!HF290,"~","~~"),"*","~*"),"?","~?"),'Calculations'!$HN$13:$HN$512,"="&amp;SUBSTITUTE(SUBSTITUTE(SUBSTITUTE('Dashboard'!$B$7,"~","~~"),"*","~*"),"?","~?"))+COUNTIFS('Calculations'!$IF$13:$IF$512,"="&amp;SUBSTITUTE(SUBSTITUTE(SUBSTITUTE('Calculations'!HF290,"~","~~"),"*","~*"),"?","~?"),'Calculations'!$HN$13:$HN$512,"="&amp;SUBSTITUTE(SUBSTITUTE(SUBSTITUTE('Dashboard'!$B$7,"~","~~"),"*","~*"),"?","~?"))+COUNTIFS('Calculations'!$IG$13:$IG$512,"="&amp;SUBSTITUTE(SUBSTITUTE(SUBSTITUTE('Calculations'!HF290,"~","~~"),"*","~*"),"?","~?"),'Calculations'!$HN$13:$HN$512,"="&amp;SUBSTITUTE(SUBSTITUTE(SUBSTITUTE('Dashboard'!$B$7,"~","~~"),"*","~*"),"?","~?"))+COUNTIFS('Calculations'!$IH$13:$IH$512,"="&amp;SUBSTITUTE(SUBSTITUTE(SUBSTITUTE('Calculations'!HF290,"~","~~"),"*","~*"),"?","~?"),'Calculations'!$HN$13:$HN$512,"="&amp;SUBSTITUTE(SUBSTITUTE(SUBSTITUTE('Dashboard'!$B$7,"~","~~"),"*","~*"),"?","~?"))))</x:f>
        <x:v>0</x:v>
      </x:c>
      <x:c r="JD290" t="n">
        <x:f>IF('Calculations'!EM290="",0,IF('Dashboard'!$B$7="All",1,IF('Calculations'!HN290='Dashboard'!$B$7,1,0)+IFERROR(INDEX('Calculations'!$JC$13:$JC$512,MATCH('Calculations'!HE290,'Calculations'!$HF$13:$HF$512,0)),0)))</x:f>
        <x:v>0</x:v>
      </x:c>
      <x:c r="JE290" t="n">
        <x:f>IF(AND('Calculations'!EM290&lt;&gt;"",'Calculations'!$JJ$2&lt;&gt;"All",'Calculations'!$JJ$2&lt;&gt;"",'Calculations'!HF290='Calculations'!$JJ$2,'Calculations'!HL290=0,'Calculations'!JD290&gt;0),MAX('Calculations'!$JE$12:JE289)+1,0)</x:f>
        <x:v>0</x:v>
      </x:c>
      <x:c r="JF290" t="str">
        <x:f>IF('Calculations'!EM290="","",IFERROR(IF(INDEX(INDIRECT("'WCM Calibration Final'!$G$1:$G$2000"),'Calculations'!$EM290)="","",TRIM(INDEX(INDIRECT("'WCM Calibration Final'!$G$1:$G$2000"),'Calculations'!$EM290)&amp;"")),""))</x:f>
      </x:c>
      <x:c r="JQ290" t="n">
        <x:f>IF(OR('Calculations'!BM290=0,NOT('Calculations'!$AG$2),'Calculations'!$AG$8&gt;0),0,IF(OR('Dashboard'!$B$7="All",'Calculations'!HN290='Dashboard'!$B$7),IF('Calculations'!$JJ$2="All",1,IF(AND('Calculations'!HF290='Calculations'!$JJ$2,'Calculations'!HL290=0),1,0)),0))</x:f>
        <x:v>0</x:v>
      </x:c>
    </x:row>
    <x:row r="291">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t="n">
        <x:f>IF('Calculations'!$EM291="",0,IF(OR(IFERROR(INDEX(INDIRECT("'WCM Calibration Final'!$A$1:$A$2000"),'Calculations'!$EM291)&lt;&gt;"",FALSE),IFERROR(INDEX(INDIRECT("'WCM Calibration Final'!$B$1:$B$2000"),'Calculations'!$EM291)&lt;&gt;"",FALSE),IFERROR(INDEX(INDIRECT("'WCM Calibration Final'!$C$1:$C$2000"),'Calculations'!$EM291)&lt;&gt;"",FALSE)),1,0))</x:f>
        <x:v>0</x:v>
      </x:c>
      <x:c r="BN291" s="4" t="n">
        <x:f>IF(AND('Calculations'!BM291=1,'Calculations'!$AG$2,'Calculations'!$EN291=1),1,0)</x:f>
        <x:v>0</x:v>
      </x:c>
      <x:c r="BO291" s="4" t="str">
        <x:f>IF('Calculations'!BM291=0,"",IFERROR(IF(AND(VALUE(INDEX(INDIRECT("'WCM Calibration Final'!$K$1:$K$2000"),'Calculations'!$EM291))&gt;=1,VALUE(INDEX(INDIRECT("'WCM Calibration Final'!$K$1:$K$2000"),'Calculations'!$EM291))&lt;=4,MOD(VALUE(INDEX(INDIRECT("'WCM Calibration Final'!$K$1:$K$2000"),'Calculations'!$EM291)),1)=0),VALUE(INDEX(INDIRECT("'WCM Calibration Final'!$K$1:$K$2000"),'Calculations'!$EM291)),""),""))</x:f>
      </x:c>
      <x:c r="BP291" s="4" t="str">
        <x:f>IF('Calculations'!BM291=0,"",IFERROR(IF(AND(VALUE(INDEX(INDIRECT("'WCM Calibration Final'!$L$1:$L$2000"),'Calculations'!$EM291))&gt;=1,VALUE(INDEX(INDIRECT("'WCM Calibration Final'!$L$1:$L$2000"),'Calculations'!$EM291))&lt;=4,MOD(VALUE(INDEX(INDIRECT("'WCM Calibration Final'!$L$1:$L$2000"),'Calculations'!$EM291)),1)=0),VALUE(INDEX(INDIRECT("'WCM Calibration Final'!$L$1:$L$2000"),'Calculations'!$EM291)),""),""))</x:f>
      </x:c>
      <x:c r="BQ291" s="4"/>
      <x:c r="BR291" s="4"/>
      <x:c r="BS291" s="4"/>
      <x:c r="BT291" s="4" t="n">
        <x:f>IF(AND('Calculations'!BM291=1,ISNUMBER('Calculations'!BO291),ISNUMBER('Calculations'!BP291)),1,0)</x:f>
        <x:v>0</x:v>
      </x:c>
      <x:c r="BU291" s="4" t="str">
        <x:f>IF('Calculations'!BM291=0,"",'Calculations'!$EO291)</x:f>
      </x:c>
      <x:c r="BV291" s="4" t="str">
        <x:f>IF('Calculations'!BM291=0,"",IFERROR(IF(OR(INDEX(INDIRECT("'WCM Calibration Final'!$H$1:$H$2000"),'Calculations'!$EM291)="MANAGING DIRECTOR",INDEX(INDIRECT("'WCM Calibration Final'!$H$1:$H$2000"),'Calculations'!$EM291)="DIRECTOR",INDEX(INDIRECT("'WCM Calibration Final'!$H$1:$H$2000"),'Calculations'!$EM291)="SENIOR VICE PRESIDENT",INDEX(INDIRECT("'WCM Calibration Final'!$H$1:$H$2000"),'Calculations'!$EM291)="VICE PRESIDENT",INDEX(INDIRECT("'WCM Calibration Final'!$H$1:$H$2000"),'Calculations'!$EM291)="ASSISTANT VICE PRESIDENT",INDEX(INDIRECT("'WCM Calibration Final'!$H$1:$H$2000"),'Calculations'!$EM291)="OFFICER"),UPPER(INDEX(INDIRECT("'WCM Calibration Final'!$H$1:$H$2000"),'Calculations'!$EM291)),"Other"),"Other"))</x:f>
      </x:c>
      <x:c r="BW291" s="4"/>
      <x:c r="BX291" s="4"/>
      <x:c r="BY291" s="4" t="n">
        <x:f>IF(AND('Calculations'!BM291=1,'Calculations'!BU291&lt;&gt;"",COUNTIF('Calculations'!$BU$12:BU291,'Calculations'!BU291)=1),MAX('Calculations'!$BY$11:BY290)+1,0)</x:f>
        <x:v>0</x:v>
      </x:c>
      <x:c r="BZ291" s="4" t="str">
        <x:f>IF('Dashboard'!$E$67="What",'Calculations'!BO291,'Calculations'!BP291)</x:f>
      </x:c>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t="str">
        <x:f>IF(280&gt;MAX('Calculations'!$HI$13:$HI$512),"",INDEX('Calculations'!$HN$13:$HN$512,MATCH(280,'Calculations'!$HI$13:$HI$512,0)))</x:f>
      </x:c>
      <x:c r="DB291" s="4" t="str">
        <x:f>IF(280&gt;MAX('Calculations'!$HH$13:$HH$512),"",INDEX('Calculations'!$HJ$13:$HJ$512,MATCH(280,'Calculations'!$HH$13:$HH$512,0)))</x:f>
      </x:c>
      <x:c r="DC291" s="4" t="str">
        <x:f>IF(ROW()-11&gt;MAX('Calculations'!$BY$13:$BY$512),"",INDEX('Calculations'!$BU$13:$BU$512,MATCH(ROW()-11,'Calculations'!$BY$13:$BY$512,0)))</x:f>
      </x:c>
      <x:c r="DD291" s="4" t="str">
        <x:f>IF(280&gt;MAX('Calculations'!$IK$13:$IK$512),"",INDEX('Calculations'!$HK$13:$HK$512,MATCH(280,'Calculations'!$IK$13:$IK$512,0)))</x:f>
      </x:c>
      <x:c r="DE291" s="4" t="str">
        <x:f>'Calculations'!DC291</x:f>
      </x:c>
      <x:c r="DF291" s="4" t="str">
        <x:f>IF('Calculations'!DE291="","",COUNTIFS('Calculations'!$BN$13:$BN$512,1,'Calculations'!$BU$13:$BU$512,'Calculations'!DE291))</x:f>
      </x:c>
      <x:c r="DG291" s="4" t="str">
        <x:f>IF('Calculations'!DE291="","",COUNTIFS('Calculations'!$BN$13:$BN$512,1,'Calculations'!$BU$13:$BU$512,'Calculations'!DE291,'Calculations'!$BT$13:$BT$512,1))</x:f>
      </x:c>
      <x:c r="DH291" s="4" t="str">
        <x:f>IF('Calculations'!DE291="","",'Calculations'!DF291-'Calculations'!DG291)</x:f>
      </x:c>
      <x:c r="DI291" s="4" t="str">
        <x:f>IF(OR('Calculations'!DE291="",'Calculations'!DF291=0),"",'Calculations'!DG291/'Calculations'!DF291)</x:f>
      </x:c>
      <x:c r="DJ291" s="4" t="str">
        <x:f>IF('Calculations'!DE291="","",COUNTIFS('Calculations'!$BN$13:$BN$512,1,'Calculations'!$BU$13:$BU$512,'Calculations'!DE291,'Calculations'!$BT$13:$BT$512,1,'Calculations'!$EE$13:$EE$512,"High"))</x:f>
      </x:c>
      <x:c r="DK291" s="4" t="str">
        <x:f>IF('Calculations'!DE291="","",COUNTIFS('Calculations'!$BN$13:$BN$512,1,'Calculations'!$BU$13:$BU$512,'Calculations'!DE291,'Calculations'!$BT$13:$BT$512,1,'Calculations'!$EE$13:$EE$512,"Strong"))</x:f>
      </x:c>
      <x:c r="DL291" s="4" t="str">
        <x:f>IF('Calculations'!DE291="","",COUNTIFS('Calculations'!$BN$13:$BN$512,1,'Calculations'!$BU$13:$BU$512,'Calculations'!DE291,'Calculations'!$BT$13:$BT$512,1,'Calculations'!$EE$13:$EE$512,"Solid"))</x:f>
      </x:c>
      <x:c r="DM291" s="4" t="str">
        <x:f>IF('Calculations'!DE291="","",COUNTIFS('Calculations'!$BN$13:$BN$512,1,'Calculations'!$BU$13:$BU$512,'Calculations'!DE291,'Calculations'!$BT$13:$BT$512,1,'Calculations'!$EE$13:$EE$512,"Low"))</x:f>
      </x:c>
      <x:c r="DN291" s="4" t="str">
        <x:f>IF('Calculations'!DE291="","",COUNTIFS('Calculations'!$BN$13:$BN$512,1,'Calculations'!$BU$13:$BU$512,'Calculations'!DE291,'Calculations'!$EP$13:$EP$512,1))</x:f>
      </x:c>
      <x:c r="DO291" s="4" t="str">
        <x:f>IF(OR('Calculations'!DE291="",'Calculations'!DG291=0),"",('Calculations'!DJ291+'Calculations'!DK291)/'Calculations'!DG291)</x:f>
      </x:c>
      <x:c r="DP291" s="4" t="n">
        <x:f>IF(AND('Calculations'!DE291&lt;&gt;"",'Calculations'!DF291&gt;0),COUNTIF('Calculations'!$DF$12:DF291,"&gt;0"),0)</x:f>
        <x:v>0</x:v>
      </x:c>
      <x:c r="DQ291" s="4" t="str">
        <x:f>IF(280&gt;MAX('Calculations'!$HH$13:$HH$512),"",INDEX('Calculations'!$HF$13:$HF$512,MATCH(280,'Calculations'!$HH$13:$HH$512,0)))</x:f>
      </x:c>
      <x:c r="DR291" s="4" t="str">
        <x:f>IF(280&gt;MAX('Calculations'!$IK$13:$IK$512),"",INDEX('Calculations'!$HE$13:$HE$512,MATCH(280,'Calculations'!$IK$13:$IK$512,0)))</x:f>
      </x:c>
      <x:c r="DS291" s="4"/>
      <x:c r="DT291" s="4"/>
      <x:c r="DU291" s="4"/>
      <x:c r="DV291" s="4"/>
      <x:c r="DW291" s="4"/>
      <x:c r="DX291" s="4"/>
      <x:c r="DY291" s="4"/>
      <x:c r="DZ291" s="4"/>
      <x:c r="EA291" s="4"/>
      <x:c r="EB291" s="4"/>
      <x:c r="EC291" s="4"/>
      <x:c r="ED291" s="4"/>
      <x:c r="EE291" s="4" t="str">
        <x:f>IF('Calculations'!BT291=0,"Not Rated",IF(OR('Calculations'!BO291&gt;=4,'Calculations'!BP291&gt;=4),"Low",IF('Calculations'!BO291+'Calculations'!BP291&lt;=3,"High",IF('Calculations'!BO291+'Calculations'!BP291&lt;=4,"Strong","Solid"))))</x:f>
        <x:v>Not Rated</x:v>
      </x:c>
      <x:c r="EF291" s="4"/>
      <x:c r="EG291" s="4"/>
      <x:c r="EH291" s="4"/>
      <x:c r="EI291" s="4"/>
      <x:c r="EJ291" s="4"/>
      <x:c r="EK291" s="4"/>
      <x:c r="EL291" s="4"/>
      <x:c r="EM291" s="4" t="str">
        <x:f>IF(279&gt;'Calculations'!$JB$2000,"",INDEX('Calculations'!$JA$12:$JA$2000,MATCH(279,'Calculations'!$JB$12:$JB$2000,0)))</x:f>
      </x:c>
      <x:c r="EN291" s="4" t="n">
        <x:f>IF(OR('Calculations'!EM291="",'Calculations'!$AG$8&gt;0,AND('Calculations'!$EF$2&lt;&gt;"All",'Calculations'!HE291='Calculations'!$EF$2),AND('Calculations'!$EF$3&lt;&gt;"All",'Calculations'!HE291='Calculations'!$EF$3)),0,IF(OR('Dashboard'!$B$7="All",'Calculations'!HN291='Dashboard'!$B$7),IF('Calculations'!$EF$2="All",1,IF('Calculations'!HL291&gt;0,0,IF(COUNTIF('Calculations'!HO291:II291,"="&amp;SUBSTITUTE(SUBSTITUTE(SUBSTITUTE('Calculations'!$EF$2,"~","~~"),"*","~*"),"?","~?"))=0,0,IF('Calculations'!$EF$3="All",1,IF(COUNTIF('Calculations'!HO291:II291,"="&amp;SUBSTITUTE(SUBSTITUTE(SUBSTITUTE('Calculations'!$EF$3,"~","~~"),"*","~*"),"?","~?"))&gt;0,1,0))))),0))</x:f>
        <x:v>0</x:v>
      </x:c>
      <x:c r="EO291" s="4" t="str">
        <x:f>IF('Calculations'!IJ291="","",IF('Calculations'!IJ291="!UNRESOLVED","Unresolved hierarchy",IFERROR(INDEX('Calculations'!$HK$13:$HK$512,MATCH('Calculations'!IJ291,'Calculations'!$HE$13:$HE$512,0)),IFERROR(INDEX('Calculations'!$HJ$13:$HJ$512,MATCH('Calculations'!IJ291,'Calculations'!$HF$13:$HF$512,0)),'Calculations'!IJ291))))</x:f>
      </x:c>
      <x:c r="EP291" s="4" t="n">
        <x:f>IF(AND('Calculations'!EM291&lt;&gt;"",'Calculations'!HF291='Calculations'!IJ291),1,0)</x:f>
        <x:v>0</x:v>
      </x:c>
      <x:c r="EQ291" s="4"/>
      <x:c r="ER291" s="4"/>
      <x:c r="ES291" s="4"/>
      <x:c r="ET291" s="4"/>
      <x:c r="EU291" s="4"/>
      <x:c r="EV291" s="4"/>
      <x:c r="EW291" s="4"/>
      <x:c r="EX291" s="4"/>
      <x:c r="EY291" s="4"/>
      <x:c r="EZ291" s="4"/>
      <x:c r="FA291" s="4"/>
      <x:c r="FB291" s="4"/>
      <x:c r="FC291" s="4"/>
      <x:c r="FD291" s="4"/>
      <x:c r="FE291" s="4"/>
      <x:c r="FF291" s="4"/>
      <x:c r="FG291" s="4"/>
      <x:c r="FH291" s="4"/>
      <x:c r="FI291" s="4"/>
      <x:c r="FJ291" s="4"/>
      <x:c r="FK291" s="4"/>
      <x:c r="FL291" s="4"/>
      <x:c r="FM291" s="4"/>
      <x:c r="FN291" s="4"/>
      <x:c r="FO291" s="4"/>
      <x:c r="HE291" t="str">
        <x:f>IF('Calculations'!EM291="","",IF(IFERROR(IF(INDEX(INDIRECT("'WCM Calibration Final'!$A$1:$A$2000"),'Calculations'!$EM291)="","",TRIM(INDEX(INDIRECT("'WCM Calibration Final'!$A$1:$A$2000"),'Calculations'!$EM291)&amp;"")),"")&lt;&gt;"","G:"&amp;IFERROR(TEXT(1*INDEX(INDIRECT("'WCM Calibration Final'!$A$1:$A$2000"),'Calculations'!$EM291),"0"),UPPER(IFERROR(IF(INDEX(INDIRECT("'WCM Calibration Final'!$A$1:$A$2000"),'Calculations'!$EM291)="","",TRIM(INDEX(INDIRECT("'WCM Calibration Final'!$A$1:$A$2000"),'Calculations'!$EM291)&amp;"")),""))),IF(IFERROR(IF(INDEX(INDIRECT("'WCM Calibration Final'!$C$1:$C$2000"),'Calculations'!$EM291)="","",TRIM(INDEX(INDIRECT("'WCM Calibration Final'!$C$1:$C$2000"),'Calculations'!$EM291)&amp;"")),"")&lt;&gt;"","S:"&amp;UPPER(IFERROR(IF(INDEX(INDIRECT("'WCM Calibration Final'!$C$1:$C$2000"),'Calculations'!$EM291)="","",TRIM(INDEX(INDIRECT("'WCM Calibration Final'!$C$1:$C$2000"),'Calculations'!$EM291)&amp;"")),"")),"R:"&amp;'Calculations'!EM291)))</x:f>
      </x:c>
      <x:c r="HF291" t="str">
        <x:f>IF('Calculations'!EM291="","",IF(IFERROR(IF(INDEX(INDIRECT("'WCM Calibration Final'!$D$1:$D$2000"),'Calculations'!$EM291)="","",TRIM(INDEX(INDIRECT("'WCM Calibration Final'!$D$1:$D$2000"),'Calculations'!$EM291)&amp;"")),"")&lt;&gt;"","G:"&amp;IFERROR(TEXT(1*INDEX(INDIRECT("'WCM Calibration Final'!$D$1:$D$2000"),'Calculations'!$EM291),"0"),UPPER(IFERROR(IF(INDEX(INDIRECT("'WCM Calibration Final'!$D$1:$D$2000"),'Calculations'!$EM291)="","",TRIM(INDEX(INDIRECT("'WCM Calibration Final'!$D$1:$D$2000"),'Calculations'!$EM291)&amp;"")),""))),IF(IFERROR(IF(INDEX(INDIRECT("'WCM Calibration Final'!$E$1:$E$2000"),'Calculations'!$EM291)="","",TRIM(INDEX(INDIRECT("'WCM Calibration Final'!$E$1:$E$2000"),'Calculations'!$EM291)&amp;"")),"")="","",IF(COUNTIF('Calculations'!$HG$13:$HG$512,"="&amp;SUBSTITUTE(SUBSTITUTE(SUBSTITUTE(IFERROR(IF(INDEX(INDIRECT("'WCM Calibration Final'!$E$1:$E$2000"),'Calculations'!$EM291)="","",TRIM(INDEX(INDIRECT("'WCM Calibration Final'!$E$1:$E$2000"),'Calculations'!$EM291)&amp;"")),""),"~","~~"),"*","~*"),"?","~?"))=1,INDEX('Calculations'!$HE$13:$HE$512,MATCH(IFERROR(IF(INDEX(INDIRECT("'WCM Calibration Final'!$E$1:$E$2000"),'Calculations'!$EM291)="","",TRIM(INDEX(INDIRECT("'WCM Calibration Final'!$E$1:$E$2000"),'Calculations'!$EM291)&amp;"")),""),'Calculations'!$HG$13:$HG$512,0)),IF(COUNTIF('Calculations'!$HG$13:$HG$512,"="&amp;SUBSTITUTE(SUBSTITUTE(SUBSTITUTE(IFERROR(IF(INDEX(INDIRECT("'WCM Calibration Final'!$E$1:$E$2000"),'Calculations'!$EM291)="","",TRIM(INDEX(INDIRECT("'WCM Calibration Final'!$E$1:$E$2000"),'Calculations'!$EM291)&amp;"")),""),"~","~~"),"*","~*"),"?","~?"))&gt;1,"!AMBIG","X:"&amp;IFERROR(IF(INDEX(INDIRECT("'WCM Calibration Final'!$E$1:$E$2000"),'Calculations'!$EM291)="","",TRIM(INDEX(INDIRECT("'WCM Calibration Final'!$E$1:$E$2000"),'Calculations'!$EM291)&amp;"")),""))))))</x:f>
      </x:c>
      <x:c r="HG291" t="str">
        <x:f>IF('Calculations'!EM291="","",IFERROR(IF(INDEX(INDIRECT("'WCM Calibration Final'!$B$1:$B$2000"),'Calculations'!$EM291)="","",TRIM(INDEX(INDIRECT("'WCM Calibration Final'!$B$1:$B$2000"),'Calculations'!$EM291)&amp;"")),""))</x:f>
      </x:c>
      <x:c r="HH291" t="n">
        <x:f>IF(AND('Calculations'!JC291&gt;0,COUNTIF('Calculations'!$HF$12:HF291,"="&amp;SUBSTITUTE(SUBSTITUTE(SUBSTITUTE('Calculations'!HF291,"~","~~"),"*","~*"),"?","~?"))=1),MAX('Calculations'!$HH$12:HH290)+1,0)</x:f>
        <x:v>0</x:v>
      </x:c>
      <x:c r="HI291" t="n">
        <x:f>IF(AND('Calculations'!HN291&lt;&gt;"",COUNTIF('Calculations'!$HN$12:HN291,"="&amp;SUBSTITUTE(SUBSTITUTE(SUBSTITUTE('Calculations'!HN291,"~","~~"),"*","~*"),"?","~?"))=1),MAX('Calculations'!$HI$12:HI290)+1,0)</x:f>
        <x:v>0</x:v>
      </x:c>
      <x:c r="HJ291" t="str">
        <x:f>IF('Calculations'!HF291="","",IF(COUNTIF('Calculations'!$HE$13:$HE$512,"="&amp;SUBSTITUTE(SUBSTITUTE(SUBSTITUTE('Calculations'!HF291,"~","~~"),"*","~*"),"?","~?"))=1,INDEX('Calculations'!$HK$13:$HK$512,MATCH('Calculations'!HF291,'Calculations'!$HE$13:$HE$512,0)),IFERROR(IF(INDEX(INDIRECT("'WCM Calibration Final'!$E$1:$E$2000"),'Calculations'!$EM291)="","",TRIM(INDEX(INDIRECT("'WCM Calibration Final'!$E$1:$E$2000"),'Calculations'!$EM291)&amp;"")),"")&amp;" ["&amp;'Calculations'!HF291&amp;"]"))</x:f>
      </x:c>
      <x:c r="HK291" t="str">
        <x:f>IF('Calculations'!EM291="","",'Calculations'!HG291&amp;" ["&amp;'Calculations'!HE291&amp;"]")</x:f>
      </x:c>
      <x:c r="HL291" t="n">
        <x:f>IF('Calculations'!EM291="",0,IF(OR('Calculations'!II291&lt;&gt;"",COUNTIF('Calculations'!$HE$13:$HE$512,"="&amp;SUBSTITUTE(SUBSTITUTE(SUBSTITUTE('Calculations'!HE291,"~","~~"),"*","~*"),"?","~?"))&gt;1),1,0))</x:f>
        <x:v>0</x:v>
      </x:c>
      <x:c r="HM291" t="str">
        <x:f>IF('Calculations'!EM291="","",IF('Calculations'!HL291=1,"!UNRESOLVED",IF('Calculations'!IH291&lt;&gt;"",'Calculations'!IH291,IF('Calculations'!IG291&lt;&gt;"",'Calculations'!IG291,IF('Calculations'!IF291&lt;&gt;"",'Calculations'!IF291,IF('Calculations'!IE291&lt;&gt;"",'Calculations'!IE291,IF('Calculations'!ID291&lt;&gt;"",'Calculations'!ID291,IF('Calculations'!IC291&lt;&gt;"",'Calculations'!IC291,IF('Calculations'!IB291&lt;&gt;"",'Calculations'!IB291,IF('Calculations'!IA291&lt;&gt;"",'Calculations'!IA291,IF('Calculations'!HZ291&lt;&gt;"",'Calculations'!HZ291,IF('Calculations'!HY291&lt;&gt;"",'Calculations'!HY291,IF('Calculations'!HX291&lt;&gt;"",'Calculations'!HX291,IF('Calculations'!HW291&lt;&gt;"",'Calculations'!HW291,IF('Calculations'!HV291&lt;&gt;"",'Calculations'!HV291,IF('Calculations'!HU291&lt;&gt;"",'Calculations'!HU291,IF('Calculations'!HT291&lt;&gt;"",'Calculations'!HT291,IF('Calculations'!HS291&lt;&gt;"",'Calculations'!HS291,IF('Calculations'!HR291&lt;&gt;"",'Calculations'!HR291,IF('Calculations'!HQ291&lt;&gt;"",'Calculations'!HQ291,IF('Calculations'!HP291&lt;&gt;"",'Calculations'!HP291,IF('Calculations'!HO291&lt;&gt;"",'Calculations'!HO291,'Calculations'!HE291))))))))))))))))))))))</x:f>
      </x:c>
      <x:c r="HN291" t="str">
        <x:f>IF('Calculations'!EM291="","",IF(IFERROR(IF(INDEX(INDIRECT("'WCM Calibration Final'!$F$1:$F$2000"),'Calculations'!$EM291)="","",TRIM(INDEX(INDIRECT("'WCM Calibration Final'!$F$1:$F$2000"),'Calculations'!$EM291)&amp;"")),"")="","(Blank)",IFERROR(IF(INDEX(INDIRECT("'WCM Calibration Final'!$F$1:$F$2000"),'Calculations'!$EM291)="","",TRIM(INDEX(INDIRECT("'WCM Calibration Final'!$F$1:$F$2000"),'Calculations'!$EM291)&amp;"")),"")))</x:f>
      </x:c>
      <x:c r="HO291" t="str">
        <x:f>'Calculations'!HF291</x:f>
      </x:c>
      <x:c r="HP291" t="str">
        <x:f>IF('Calculations'!HO291="","",IF('Calculations'!HO291="!AMBIG","!AMBIG",IF(COUNTIF('Calculations'!$HE$13:$HE$512,"="&amp;SUBSTITUTE(SUBSTITUTE(SUBSTITUTE('Calculations'!HO291,"~","~~"),"*","~*"),"?","~?"))&gt;1,"!AMBIG",IFERROR(INDEX('Calculations'!$HF$13:$HF$512,MATCH('Calculations'!HO291,'Calculations'!$HE$13:$HE$512,0)),""))))</x:f>
      </x:c>
      <x:c r="HQ291" t="str">
        <x:f>IF('Calculations'!HP291="","",IF('Calculations'!HP291="!AMBIG","!AMBIG",IF(COUNTIF('Calculations'!$HE$13:$HE$512,"="&amp;SUBSTITUTE(SUBSTITUTE(SUBSTITUTE('Calculations'!HP291,"~","~~"),"*","~*"),"?","~?"))&gt;1,"!AMBIG",IFERROR(INDEX('Calculations'!$HF$13:$HF$512,MATCH('Calculations'!HP291,'Calculations'!$HE$13:$HE$512,0)),""))))</x:f>
      </x:c>
      <x:c r="HR291" t="str">
        <x:f>IF('Calculations'!HQ291="","",IF('Calculations'!HQ291="!AMBIG","!AMBIG",IF(COUNTIF('Calculations'!$HE$13:$HE$512,"="&amp;SUBSTITUTE(SUBSTITUTE(SUBSTITUTE('Calculations'!HQ291,"~","~~"),"*","~*"),"?","~?"))&gt;1,"!AMBIG",IFERROR(INDEX('Calculations'!$HF$13:$HF$512,MATCH('Calculations'!HQ291,'Calculations'!$HE$13:$HE$512,0)),""))))</x:f>
      </x:c>
      <x:c r="HS291" t="str">
        <x:f>IF('Calculations'!HR291="","",IF('Calculations'!HR291="!AMBIG","!AMBIG",IF(COUNTIF('Calculations'!$HE$13:$HE$512,"="&amp;SUBSTITUTE(SUBSTITUTE(SUBSTITUTE('Calculations'!HR291,"~","~~"),"*","~*"),"?","~?"))&gt;1,"!AMBIG",IFERROR(INDEX('Calculations'!$HF$13:$HF$512,MATCH('Calculations'!HR291,'Calculations'!$HE$13:$HE$512,0)),""))))</x:f>
      </x:c>
      <x:c r="HT291" t="str">
        <x:f>IF('Calculations'!HS291="","",IF('Calculations'!HS291="!AMBIG","!AMBIG",IF(COUNTIF('Calculations'!$HE$13:$HE$512,"="&amp;SUBSTITUTE(SUBSTITUTE(SUBSTITUTE('Calculations'!HS291,"~","~~"),"*","~*"),"?","~?"))&gt;1,"!AMBIG",IFERROR(INDEX('Calculations'!$HF$13:$HF$512,MATCH('Calculations'!HS291,'Calculations'!$HE$13:$HE$512,0)),""))))</x:f>
      </x:c>
      <x:c r="HU291" t="str">
        <x:f>IF('Calculations'!HT291="","",IF('Calculations'!HT291="!AMBIG","!AMBIG",IF(COUNTIF('Calculations'!$HE$13:$HE$512,"="&amp;SUBSTITUTE(SUBSTITUTE(SUBSTITUTE('Calculations'!HT291,"~","~~"),"*","~*"),"?","~?"))&gt;1,"!AMBIG",IFERROR(INDEX('Calculations'!$HF$13:$HF$512,MATCH('Calculations'!HT291,'Calculations'!$HE$13:$HE$512,0)),""))))</x:f>
      </x:c>
      <x:c r="HV291" t="str">
        <x:f>IF('Calculations'!HU291="","",IF('Calculations'!HU291="!AMBIG","!AMBIG",IF(COUNTIF('Calculations'!$HE$13:$HE$512,"="&amp;SUBSTITUTE(SUBSTITUTE(SUBSTITUTE('Calculations'!HU291,"~","~~"),"*","~*"),"?","~?"))&gt;1,"!AMBIG",IFERROR(INDEX('Calculations'!$HF$13:$HF$512,MATCH('Calculations'!HU291,'Calculations'!$HE$13:$HE$512,0)),""))))</x:f>
      </x:c>
      <x:c r="HW291" t="str">
        <x:f>IF('Calculations'!HV291="","",IF('Calculations'!HV291="!AMBIG","!AMBIG",IF(COUNTIF('Calculations'!$HE$13:$HE$512,"="&amp;SUBSTITUTE(SUBSTITUTE(SUBSTITUTE('Calculations'!HV291,"~","~~"),"*","~*"),"?","~?"))&gt;1,"!AMBIG",IFERROR(INDEX('Calculations'!$HF$13:$HF$512,MATCH('Calculations'!HV291,'Calculations'!$HE$13:$HE$512,0)),""))))</x:f>
      </x:c>
      <x:c r="HX291" t="str">
        <x:f>IF('Calculations'!HW291="","",IF('Calculations'!HW291="!AMBIG","!AMBIG",IF(COUNTIF('Calculations'!$HE$13:$HE$512,"="&amp;SUBSTITUTE(SUBSTITUTE(SUBSTITUTE('Calculations'!HW291,"~","~~"),"*","~*"),"?","~?"))&gt;1,"!AMBIG",IFERROR(INDEX('Calculations'!$HF$13:$HF$512,MATCH('Calculations'!HW291,'Calculations'!$HE$13:$HE$512,0)),""))))</x:f>
      </x:c>
      <x:c r="HY291" t="str">
        <x:f>IF('Calculations'!HX291="","",IF('Calculations'!HX291="!AMBIG","!AMBIG",IF(COUNTIF('Calculations'!$HE$13:$HE$512,"="&amp;SUBSTITUTE(SUBSTITUTE(SUBSTITUTE('Calculations'!HX291,"~","~~"),"*","~*"),"?","~?"))&gt;1,"!AMBIG",IFERROR(INDEX('Calculations'!$HF$13:$HF$512,MATCH('Calculations'!HX291,'Calculations'!$HE$13:$HE$512,0)),""))))</x:f>
      </x:c>
      <x:c r="HZ291" t="str">
        <x:f>IF('Calculations'!HY291="","",IF('Calculations'!HY291="!AMBIG","!AMBIG",IF(COUNTIF('Calculations'!$HE$13:$HE$512,"="&amp;SUBSTITUTE(SUBSTITUTE(SUBSTITUTE('Calculations'!HY291,"~","~~"),"*","~*"),"?","~?"))&gt;1,"!AMBIG",IFERROR(INDEX('Calculations'!$HF$13:$HF$512,MATCH('Calculations'!HY291,'Calculations'!$HE$13:$HE$512,0)),""))))</x:f>
      </x:c>
      <x:c r="IA291" t="str">
        <x:f>IF('Calculations'!HZ291="","",IF('Calculations'!HZ291="!AMBIG","!AMBIG",IF(COUNTIF('Calculations'!$HE$13:$HE$512,"="&amp;SUBSTITUTE(SUBSTITUTE(SUBSTITUTE('Calculations'!HZ291,"~","~~"),"*","~*"),"?","~?"))&gt;1,"!AMBIG",IFERROR(INDEX('Calculations'!$HF$13:$HF$512,MATCH('Calculations'!HZ291,'Calculations'!$HE$13:$HE$512,0)),""))))</x:f>
      </x:c>
      <x:c r="IB291" t="str">
        <x:f>IF('Calculations'!IA291="","",IF('Calculations'!IA291="!AMBIG","!AMBIG",IF(COUNTIF('Calculations'!$HE$13:$HE$512,"="&amp;SUBSTITUTE(SUBSTITUTE(SUBSTITUTE('Calculations'!IA291,"~","~~"),"*","~*"),"?","~?"))&gt;1,"!AMBIG",IFERROR(INDEX('Calculations'!$HF$13:$HF$512,MATCH('Calculations'!IA291,'Calculations'!$HE$13:$HE$512,0)),""))))</x:f>
      </x:c>
      <x:c r="IC291" t="str">
        <x:f>IF('Calculations'!IB291="","",IF('Calculations'!IB291="!AMBIG","!AMBIG",IF(COUNTIF('Calculations'!$HE$13:$HE$512,"="&amp;SUBSTITUTE(SUBSTITUTE(SUBSTITUTE('Calculations'!IB291,"~","~~"),"*","~*"),"?","~?"))&gt;1,"!AMBIG",IFERROR(INDEX('Calculations'!$HF$13:$HF$512,MATCH('Calculations'!IB291,'Calculations'!$HE$13:$HE$512,0)),""))))</x:f>
      </x:c>
      <x:c r="ID291" t="str">
        <x:f>IF('Calculations'!IC291="","",IF('Calculations'!IC291="!AMBIG","!AMBIG",IF(COUNTIF('Calculations'!$HE$13:$HE$512,"="&amp;SUBSTITUTE(SUBSTITUTE(SUBSTITUTE('Calculations'!IC291,"~","~~"),"*","~*"),"?","~?"))&gt;1,"!AMBIG",IFERROR(INDEX('Calculations'!$HF$13:$HF$512,MATCH('Calculations'!IC291,'Calculations'!$HE$13:$HE$512,0)),""))))</x:f>
      </x:c>
      <x:c r="IE291" t="str">
        <x:f>IF('Calculations'!ID291="","",IF('Calculations'!ID291="!AMBIG","!AMBIG",IF(COUNTIF('Calculations'!$HE$13:$HE$512,"="&amp;SUBSTITUTE(SUBSTITUTE(SUBSTITUTE('Calculations'!ID291,"~","~~"),"*","~*"),"?","~?"))&gt;1,"!AMBIG",IFERROR(INDEX('Calculations'!$HF$13:$HF$512,MATCH('Calculations'!ID291,'Calculations'!$HE$13:$HE$512,0)),""))))</x:f>
      </x:c>
      <x:c r="IF291" t="str">
        <x:f>IF('Calculations'!IE291="","",IF('Calculations'!IE291="!AMBIG","!AMBIG",IF(COUNTIF('Calculations'!$HE$13:$HE$512,"="&amp;SUBSTITUTE(SUBSTITUTE(SUBSTITUTE('Calculations'!IE291,"~","~~"),"*","~*"),"?","~?"))&gt;1,"!AMBIG",IFERROR(INDEX('Calculations'!$HF$13:$HF$512,MATCH('Calculations'!IE291,'Calculations'!$HE$13:$HE$512,0)),""))))</x:f>
      </x:c>
      <x:c r="IG291" t="str">
        <x:f>IF('Calculations'!IF291="","",IF('Calculations'!IF291="!AMBIG","!AMBIG",IF(COUNTIF('Calculations'!$HE$13:$HE$512,"="&amp;SUBSTITUTE(SUBSTITUTE(SUBSTITUTE('Calculations'!IF291,"~","~~"),"*","~*"),"?","~?"))&gt;1,"!AMBIG",IFERROR(INDEX('Calculations'!$HF$13:$HF$512,MATCH('Calculations'!IF291,'Calculations'!$HE$13:$HE$512,0)),""))))</x:f>
      </x:c>
      <x:c r="IH291" t="str">
        <x:f>IF('Calculations'!IG291="","",IF('Calculations'!IG291="!AMBIG","!AMBIG",IF(COUNTIF('Calculations'!$HE$13:$HE$512,"="&amp;SUBSTITUTE(SUBSTITUTE(SUBSTITUTE('Calculations'!IG291,"~","~~"),"*","~*"),"?","~?"))&gt;1,"!AMBIG",IFERROR(INDEX('Calculations'!$HF$13:$HF$512,MATCH('Calculations'!IG291,'Calculations'!$HE$13:$HE$512,0)),""))))</x:f>
      </x:c>
      <x:c r="II291" t="str">
        <x:f>IF('Calculations'!IH291="","",IF('Calculations'!IH291="!AMBIG","!AMBIG",IF(COUNTIF('Calculations'!$HE$13:$HE$512,"="&amp;SUBSTITUTE(SUBSTITUTE(SUBSTITUTE('Calculations'!IH291,"~","~~"),"*","~*"),"?","~?"))&gt;1,"!AMBIG",IFERROR(INDEX('Calculations'!$HF$13:$HF$512,MATCH('Calculations'!IH291,'Calculations'!$HE$13:$HE$512,0)),""))))</x:f>
      </x:c>
      <x:c r="IJ291" t="str">
        <x:f>IF('Calculations'!EM291="","",IF('Calculations'!$EF$2="All",'Calculations'!HM291,IF('Calculations'!HL291=1,"",IFERROR(IF(MATCH('Calculations'!$EF$2,'Calculations'!HO291:II291,0)=1,'Calculations'!HE291,INDEX('Calculations'!HO291:II291,1,MATCH('Calculations'!$EF$2,'Calculations'!HO291:II291,0)-1)),""))))</x:f>
      </x:c>
      <x:c r="IK291" t="n">
        <x:f>IF(AND('Calculations'!EM291&lt;&gt;"",'Calculations'!$EF$2&lt;&gt;"All",'Calculations'!HF291='Calculations'!$EF$2,'Calculations'!HL291=0,'Calculations'!JD291&gt;0),MAX('Calculations'!$IK$12:IK290)+1,0)</x:f>
        <x:v>0</x:v>
      </x:c>
      <x:c r="JA291" t="n">
        <x:f>IF(OR(IFERROR(INDIRECT("'WCM Calibration Final'!$A$291")&lt;&gt;"",FALSE),IFERROR(INDIRECT("'WCM Calibration Final'!$B$291")&lt;&gt;"",FALSE),IFERROR(INDIRECT("'WCM Calibration Final'!$C$291")&lt;&gt;"",FALSE)),291,0)</x:f>
        <x:v>0</x:v>
      </x:c>
      <x:c r="JB291" t="n">
        <x:f>'Calculations'!JB290+IF('Calculations'!JA291&gt;0,1,0)</x:f>
        <x:v>0</x:v>
      </x:c>
      <x:c r="JC291" t="n">
        <x:f>IF(OR('Calculations'!HF291="",'Calculations'!HF291="!AMBIG"),0,IF('Dashboard'!$B$7="All",1,COUNTIFS('Calculations'!$HO$13:$HO$512,"="&amp;SUBSTITUTE(SUBSTITUTE(SUBSTITUTE('Calculations'!HF291,"~","~~"),"*","~*"),"?","~?"),'Calculations'!$HN$13:$HN$512,"="&amp;SUBSTITUTE(SUBSTITUTE(SUBSTITUTE('Dashboard'!$B$7,"~","~~"),"*","~*"),"?","~?"))+COUNTIFS('Calculations'!$HP$13:$HP$512,"="&amp;SUBSTITUTE(SUBSTITUTE(SUBSTITUTE('Calculations'!HF291,"~","~~"),"*","~*"),"?","~?"),'Calculations'!$HN$13:$HN$512,"="&amp;SUBSTITUTE(SUBSTITUTE(SUBSTITUTE('Dashboard'!$B$7,"~","~~"),"*","~*"),"?","~?"))+COUNTIFS('Calculations'!$HQ$13:$HQ$512,"="&amp;SUBSTITUTE(SUBSTITUTE(SUBSTITUTE('Calculations'!HF291,"~","~~"),"*","~*"),"?","~?"),'Calculations'!$HN$13:$HN$512,"="&amp;SUBSTITUTE(SUBSTITUTE(SUBSTITUTE('Dashboard'!$B$7,"~","~~"),"*","~*"),"?","~?"))+COUNTIFS('Calculations'!$HR$13:$HR$512,"="&amp;SUBSTITUTE(SUBSTITUTE(SUBSTITUTE('Calculations'!HF291,"~","~~"),"*","~*"),"?","~?"),'Calculations'!$HN$13:$HN$512,"="&amp;SUBSTITUTE(SUBSTITUTE(SUBSTITUTE('Dashboard'!$B$7,"~","~~"),"*","~*"),"?","~?"))+COUNTIFS('Calculations'!$HS$13:$HS$512,"="&amp;SUBSTITUTE(SUBSTITUTE(SUBSTITUTE('Calculations'!HF291,"~","~~"),"*","~*"),"?","~?"),'Calculations'!$HN$13:$HN$512,"="&amp;SUBSTITUTE(SUBSTITUTE(SUBSTITUTE('Dashboard'!$B$7,"~","~~"),"*","~*"),"?","~?"))+COUNTIFS('Calculations'!$HT$13:$HT$512,"="&amp;SUBSTITUTE(SUBSTITUTE(SUBSTITUTE('Calculations'!HF291,"~","~~"),"*","~*"),"?","~?"),'Calculations'!$HN$13:$HN$512,"="&amp;SUBSTITUTE(SUBSTITUTE(SUBSTITUTE('Dashboard'!$B$7,"~","~~"),"*","~*"),"?","~?"))+COUNTIFS('Calculations'!$HU$13:$HU$512,"="&amp;SUBSTITUTE(SUBSTITUTE(SUBSTITUTE('Calculations'!HF291,"~","~~"),"*","~*"),"?","~?"),'Calculations'!$HN$13:$HN$512,"="&amp;SUBSTITUTE(SUBSTITUTE(SUBSTITUTE('Dashboard'!$B$7,"~","~~"),"*","~*"),"?","~?"))+COUNTIFS('Calculations'!$HV$13:$HV$512,"="&amp;SUBSTITUTE(SUBSTITUTE(SUBSTITUTE('Calculations'!HF291,"~","~~"),"*","~*"),"?","~?"),'Calculations'!$HN$13:$HN$512,"="&amp;SUBSTITUTE(SUBSTITUTE(SUBSTITUTE('Dashboard'!$B$7,"~","~~"),"*","~*"),"?","~?"))+COUNTIFS('Calculations'!$HW$13:$HW$512,"="&amp;SUBSTITUTE(SUBSTITUTE(SUBSTITUTE('Calculations'!HF291,"~","~~"),"*","~*"),"?","~?"),'Calculations'!$HN$13:$HN$512,"="&amp;SUBSTITUTE(SUBSTITUTE(SUBSTITUTE('Dashboard'!$B$7,"~","~~"),"*","~*"),"?","~?"))+COUNTIFS('Calculations'!$HX$13:$HX$512,"="&amp;SUBSTITUTE(SUBSTITUTE(SUBSTITUTE('Calculations'!HF291,"~","~~"),"*","~*"),"?","~?"),'Calculations'!$HN$13:$HN$512,"="&amp;SUBSTITUTE(SUBSTITUTE(SUBSTITUTE('Dashboard'!$B$7,"~","~~"),"*","~*"),"?","~?"))+COUNTIFS('Calculations'!$HY$13:$HY$512,"="&amp;SUBSTITUTE(SUBSTITUTE(SUBSTITUTE('Calculations'!HF291,"~","~~"),"*","~*"),"?","~?"),'Calculations'!$HN$13:$HN$512,"="&amp;SUBSTITUTE(SUBSTITUTE(SUBSTITUTE('Dashboard'!$B$7,"~","~~"),"*","~*"),"?","~?"))+COUNTIFS('Calculations'!$HZ$13:$HZ$512,"="&amp;SUBSTITUTE(SUBSTITUTE(SUBSTITUTE('Calculations'!HF291,"~","~~"),"*","~*"),"?","~?"),'Calculations'!$HN$13:$HN$512,"="&amp;SUBSTITUTE(SUBSTITUTE(SUBSTITUTE('Dashboard'!$B$7,"~","~~"),"*","~*"),"?","~?"))+COUNTIFS('Calculations'!$IA$13:$IA$512,"="&amp;SUBSTITUTE(SUBSTITUTE(SUBSTITUTE('Calculations'!HF291,"~","~~"),"*","~*"),"?","~?"),'Calculations'!$HN$13:$HN$512,"="&amp;SUBSTITUTE(SUBSTITUTE(SUBSTITUTE('Dashboard'!$B$7,"~","~~"),"*","~*"),"?","~?"))+COUNTIFS('Calculations'!$IB$13:$IB$512,"="&amp;SUBSTITUTE(SUBSTITUTE(SUBSTITUTE('Calculations'!HF291,"~","~~"),"*","~*"),"?","~?"),'Calculations'!$HN$13:$HN$512,"="&amp;SUBSTITUTE(SUBSTITUTE(SUBSTITUTE('Dashboard'!$B$7,"~","~~"),"*","~*"),"?","~?"))+COUNTIFS('Calculations'!$IC$13:$IC$512,"="&amp;SUBSTITUTE(SUBSTITUTE(SUBSTITUTE('Calculations'!HF291,"~","~~"),"*","~*"),"?","~?"),'Calculations'!$HN$13:$HN$512,"="&amp;SUBSTITUTE(SUBSTITUTE(SUBSTITUTE('Dashboard'!$B$7,"~","~~"),"*","~*"),"?","~?"))+COUNTIFS('Calculations'!$ID$13:$ID$512,"="&amp;SUBSTITUTE(SUBSTITUTE(SUBSTITUTE('Calculations'!HF291,"~","~~"),"*","~*"),"?","~?"),'Calculations'!$HN$13:$HN$512,"="&amp;SUBSTITUTE(SUBSTITUTE(SUBSTITUTE('Dashboard'!$B$7,"~","~~"),"*","~*"),"?","~?"))+COUNTIFS('Calculations'!$IE$13:$IE$512,"="&amp;SUBSTITUTE(SUBSTITUTE(SUBSTITUTE('Calculations'!HF291,"~","~~"),"*","~*"),"?","~?"),'Calculations'!$HN$13:$HN$512,"="&amp;SUBSTITUTE(SUBSTITUTE(SUBSTITUTE('Dashboard'!$B$7,"~","~~"),"*","~*"),"?","~?"))+COUNTIFS('Calculations'!$IF$13:$IF$512,"="&amp;SUBSTITUTE(SUBSTITUTE(SUBSTITUTE('Calculations'!HF291,"~","~~"),"*","~*"),"?","~?"),'Calculations'!$HN$13:$HN$512,"="&amp;SUBSTITUTE(SUBSTITUTE(SUBSTITUTE('Dashboard'!$B$7,"~","~~"),"*","~*"),"?","~?"))+COUNTIFS('Calculations'!$IG$13:$IG$512,"="&amp;SUBSTITUTE(SUBSTITUTE(SUBSTITUTE('Calculations'!HF291,"~","~~"),"*","~*"),"?","~?"),'Calculations'!$HN$13:$HN$512,"="&amp;SUBSTITUTE(SUBSTITUTE(SUBSTITUTE('Dashboard'!$B$7,"~","~~"),"*","~*"),"?","~?"))+COUNTIFS('Calculations'!$IH$13:$IH$512,"="&amp;SUBSTITUTE(SUBSTITUTE(SUBSTITUTE('Calculations'!HF291,"~","~~"),"*","~*"),"?","~?"),'Calculations'!$HN$13:$HN$512,"="&amp;SUBSTITUTE(SUBSTITUTE(SUBSTITUTE('Dashboard'!$B$7,"~","~~"),"*","~*"),"?","~?"))))</x:f>
        <x:v>0</x:v>
      </x:c>
      <x:c r="JD291" t="n">
        <x:f>IF('Calculations'!EM291="",0,IF('Dashboard'!$B$7="All",1,IF('Calculations'!HN291='Dashboard'!$B$7,1,0)+IFERROR(INDEX('Calculations'!$JC$13:$JC$512,MATCH('Calculations'!HE291,'Calculations'!$HF$13:$HF$512,0)),0)))</x:f>
        <x:v>0</x:v>
      </x:c>
      <x:c r="JE291" t="n">
        <x:f>IF(AND('Calculations'!EM291&lt;&gt;"",'Calculations'!$JJ$2&lt;&gt;"All",'Calculations'!$JJ$2&lt;&gt;"",'Calculations'!HF291='Calculations'!$JJ$2,'Calculations'!HL291=0,'Calculations'!JD291&gt;0),MAX('Calculations'!$JE$12:JE290)+1,0)</x:f>
        <x:v>0</x:v>
      </x:c>
      <x:c r="JF291" t="str">
        <x:f>IF('Calculations'!EM291="","",IFERROR(IF(INDEX(INDIRECT("'WCM Calibration Final'!$G$1:$G$2000"),'Calculations'!$EM291)="","",TRIM(INDEX(INDIRECT("'WCM Calibration Final'!$G$1:$G$2000"),'Calculations'!$EM291)&amp;"")),""))</x:f>
      </x:c>
      <x:c r="JQ291" t="n">
        <x:f>IF(OR('Calculations'!BM291=0,NOT('Calculations'!$AG$2),'Calculations'!$AG$8&gt;0),0,IF(OR('Dashboard'!$B$7="All",'Calculations'!HN291='Dashboard'!$B$7),IF('Calculations'!$JJ$2="All",1,IF(AND('Calculations'!HF291='Calculations'!$JJ$2,'Calculations'!HL291=0),1,0)),0))</x:f>
        <x:v>0</x:v>
      </x:c>
    </x:row>
    <x:row r="292">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t="n">
        <x:f>IF('Calculations'!$EM292="",0,IF(OR(IFERROR(INDEX(INDIRECT("'WCM Calibration Final'!$A$1:$A$2000"),'Calculations'!$EM292)&lt;&gt;"",FALSE),IFERROR(INDEX(INDIRECT("'WCM Calibration Final'!$B$1:$B$2000"),'Calculations'!$EM292)&lt;&gt;"",FALSE),IFERROR(INDEX(INDIRECT("'WCM Calibration Final'!$C$1:$C$2000"),'Calculations'!$EM292)&lt;&gt;"",FALSE)),1,0))</x:f>
        <x:v>0</x:v>
      </x:c>
      <x:c r="BN292" s="4" t="n">
        <x:f>IF(AND('Calculations'!BM292=1,'Calculations'!$AG$2,'Calculations'!$EN292=1),1,0)</x:f>
        <x:v>0</x:v>
      </x:c>
      <x:c r="BO292" s="4" t="str">
        <x:f>IF('Calculations'!BM292=0,"",IFERROR(IF(AND(VALUE(INDEX(INDIRECT("'WCM Calibration Final'!$K$1:$K$2000"),'Calculations'!$EM292))&gt;=1,VALUE(INDEX(INDIRECT("'WCM Calibration Final'!$K$1:$K$2000"),'Calculations'!$EM292))&lt;=4,MOD(VALUE(INDEX(INDIRECT("'WCM Calibration Final'!$K$1:$K$2000"),'Calculations'!$EM292)),1)=0),VALUE(INDEX(INDIRECT("'WCM Calibration Final'!$K$1:$K$2000"),'Calculations'!$EM292)),""),""))</x:f>
      </x:c>
      <x:c r="BP292" s="4" t="str">
        <x:f>IF('Calculations'!BM292=0,"",IFERROR(IF(AND(VALUE(INDEX(INDIRECT("'WCM Calibration Final'!$L$1:$L$2000"),'Calculations'!$EM292))&gt;=1,VALUE(INDEX(INDIRECT("'WCM Calibration Final'!$L$1:$L$2000"),'Calculations'!$EM292))&lt;=4,MOD(VALUE(INDEX(INDIRECT("'WCM Calibration Final'!$L$1:$L$2000"),'Calculations'!$EM292)),1)=0),VALUE(INDEX(INDIRECT("'WCM Calibration Final'!$L$1:$L$2000"),'Calculations'!$EM292)),""),""))</x:f>
      </x:c>
      <x:c r="BQ292" s="4"/>
      <x:c r="BR292" s="4"/>
      <x:c r="BS292" s="4"/>
      <x:c r="BT292" s="4" t="n">
        <x:f>IF(AND('Calculations'!BM292=1,ISNUMBER('Calculations'!BO292),ISNUMBER('Calculations'!BP292)),1,0)</x:f>
        <x:v>0</x:v>
      </x:c>
      <x:c r="BU292" s="4" t="str">
        <x:f>IF('Calculations'!BM292=0,"",'Calculations'!$EO292)</x:f>
      </x:c>
      <x:c r="BV292" s="4" t="str">
        <x:f>IF('Calculations'!BM292=0,"",IFERROR(IF(OR(INDEX(INDIRECT("'WCM Calibration Final'!$H$1:$H$2000"),'Calculations'!$EM292)="MANAGING DIRECTOR",INDEX(INDIRECT("'WCM Calibration Final'!$H$1:$H$2000"),'Calculations'!$EM292)="DIRECTOR",INDEX(INDIRECT("'WCM Calibration Final'!$H$1:$H$2000"),'Calculations'!$EM292)="SENIOR VICE PRESIDENT",INDEX(INDIRECT("'WCM Calibration Final'!$H$1:$H$2000"),'Calculations'!$EM292)="VICE PRESIDENT",INDEX(INDIRECT("'WCM Calibration Final'!$H$1:$H$2000"),'Calculations'!$EM292)="ASSISTANT VICE PRESIDENT",INDEX(INDIRECT("'WCM Calibration Final'!$H$1:$H$2000"),'Calculations'!$EM292)="OFFICER"),UPPER(INDEX(INDIRECT("'WCM Calibration Final'!$H$1:$H$2000"),'Calculations'!$EM292)),"Other"),"Other"))</x:f>
      </x:c>
      <x:c r="BW292" s="4"/>
      <x:c r="BX292" s="4"/>
      <x:c r="BY292" s="4" t="n">
        <x:f>IF(AND('Calculations'!BM292=1,'Calculations'!BU292&lt;&gt;"",COUNTIF('Calculations'!$BU$12:BU292,'Calculations'!BU292)=1),MAX('Calculations'!$BY$11:BY291)+1,0)</x:f>
        <x:v>0</x:v>
      </x:c>
      <x:c r="BZ292" s="4" t="str">
        <x:f>IF('Dashboard'!$E$67="What",'Calculations'!BO292,'Calculations'!BP292)</x:f>
      </x:c>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t="str">
        <x:f>IF(281&gt;MAX('Calculations'!$HI$13:$HI$512),"",INDEX('Calculations'!$HN$13:$HN$512,MATCH(281,'Calculations'!$HI$13:$HI$512,0)))</x:f>
      </x:c>
      <x:c r="DB292" s="4" t="str">
        <x:f>IF(281&gt;MAX('Calculations'!$HH$13:$HH$512),"",INDEX('Calculations'!$HJ$13:$HJ$512,MATCH(281,'Calculations'!$HH$13:$HH$512,0)))</x:f>
      </x:c>
      <x:c r="DC292" s="4" t="str">
        <x:f>IF(ROW()-11&gt;MAX('Calculations'!$BY$13:$BY$512),"",INDEX('Calculations'!$BU$13:$BU$512,MATCH(ROW()-11,'Calculations'!$BY$13:$BY$512,0)))</x:f>
      </x:c>
      <x:c r="DD292" s="4" t="str">
        <x:f>IF(281&gt;MAX('Calculations'!$IK$13:$IK$512),"",INDEX('Calculations'!$HK$13:$HK$512,MATCH(281,'Calculations'!$IK$13:$IK$512,0)))</x:f>
      </x:c>
      <x:c r="DE292" s="4" t="str">
        <x:f>'Calculations'!DC292</x:f>
      </x:c>
      <x:c r="DF292" s="4" t="str">
        <x:f>IF('Calculations'!DE292="","",COUNTIFS('Calculations'!$BN$13:$BN$512,1,'Calculations'!$BU$13:$BU$512,'Calculations'!DE292))</x:f>
      </x:c>
      <x:c r="DG292" s="4" t="str">
        <x:f>IF('Calculations'!DE292="","",COUNTIFS('Calculations'!$BN$13:$BN$512,1,'Calculations'!$BU$13:$BU$512,'Calculations'!DE292,'Calculations'!$BT$13:$BT$512,1))</x:f>
      </x:c>
      <x:c r="DH292" s="4" t="str">
        <x:f>IF('Calculations'!DE292="","",'Calculations'!DF292-'Calculations'!DG292)</x:f>
      </x:c>
      <x:c r="DI292" s="4" t="str">
        <x:f>IF(OR('Calculations'!DE292="",'Calculations'!DF292=0),"",'Calculations'!DG292/'Calculations'!DF292)</x:f>
      </x:c>
      <x:c r="DJ292" s="4" t="str">
        <x:f>IF('Calculations'!DE292="","",COUNTIFS('Calculations'!$BN$13:$BN$512,1,'Calculations'!$BU$13:$BU$512,'Calculations'!DE292,'Calculations'!$BT$13:$BT$512,1,'Calculations'!$EE$13:$EE$512,"High"))</x:f>
      </x:c>
      <x:c r="DK292" s="4" t="str">
        <x:f>IF('Calculations'!DE292="","",COUNTIFS('Calculations'!$BN$13:$BN$512,1,'Calculations'!$BU$13:$BU$512,'Calculations'!DE292,'Calculations'!$BT$13:$BT$512,1,'Calculations'!$EE$13:$EE$512,"Strong"))</x:f>
      </x:c>
      <x:c r="DL292" s="4" t="str">
        <x:f>IF('Calculations'!DE292="","",COUNTIFS('Calculations'!$BN$13:$BN$512,1,'Calculations'!$BU$13:$BU$512,'Calculations'!DE292,'Calculations'!$BT$13:$BT$512,1,'Calculations'!$EE$13:$EE$512,"Solid"))</x:f>
      </x:c>
      <x:c r="DM292" s="4" t="str">
        <x:f>IF('Calculations'!DE292="","",COUNTIFS('Calculations'!$BN$13:$BN$512,1,'Calculations'!$BU$13:$BU$512,'Calculations'!DE292,'Calculations'!$BT$13:$BT$512,1,'Calculations'!$EE$13:$EE$512,"Low"))</x:f>
      </x:c>
      <x:c r="DN292" s="4" t="str">
        <x:f>IF('Calculations'!DE292="","",COUNTIFS('Calculations'!$BN$13:$BN$512,1,'Calculations'!$BU$13:$BU$512,'Calculations'!DE292,'Calculations'!$EP$13:$EP$512,1))</x:f>
      </x:c>
      <x:c r="DO292" s="4" t="str">
        <x:f>IF(OR('Calculations'!DE292="",'Calculations'!DG292=0),"",('Calculations'!DJ292+'Calculations'!DK292)/'Calculations'!DG292)</x:f>
      </x:c>
      <x:c r="DP292" s="4" t="n">
        <x:f>IF(AND('Calculations'!DE292&lt;&gt;"",'Calculations'!DF292&gt;0),COUNTIF('Calculations'!$DF$12:DF292,"&gt;0"),0)</x:f>
        <x:v>0</x:v>
      </x:c>
      <x:c r="DQ292" s="4" t="str">
        <x:f>IF(281&gt;MAX('Calculations'!$HH$13:$HH$512),"",INDEX('Calculations'!$HF$13:$HF$512,MATCH(281,'Calculations'!$HH$13:$HH$512,0)))</x:f>
      </x:c>
      <x:c r="DR292" s="4" t="str">
        <x:f>IF(281&gt;MAX('Calculations'!$IK$13:$IK$512),"",INDEX('Calculations'!$HE$13:$HE$512,MATCH(281,'Calculations'!$IK$13:$IK$512,0)))</x:f>
      </x:c>
      <x:c r="DS292" s="4"/>
      <x:c r="DT292" s="4"/>
      <x:c r="DU292" s="4"/>
      <x:c r="DV292" s="4"/>
      <x:c r="DW292" s="4"/>
      <x:c r="DX292" s="4"/>
      <x:c r="DY292" s="4"/>
      <x:c r="DZ292" s="4"/>
      <x:c r="EA292" s="4"/>
      <x:c r="EB292" s="4"/>
      <x:c r="EC292" s="4"/>
      <x:c r="ED292" s="4"/>
      <x:c r="EE292" s="4" t="str">
        <x:f>IF('Calculations'!BT292=0,"Not Rated",IF(OR('Calculations'!BO292&gt;=4,'Calculations'!BP292&gt;=4),"Low",IF('Calculations'!BO292+'Calculations'!BP292&lt;=3,"High",IF('Calculations'!BO292+'Calculations'!BP292&lt;=4,"Strong","Solid"))))</x:f>
        <x:v>Not Rated</x:v>
      </x:c>
      <x:c r="EF292" s="4"/>
      <x:c r="EG292" s="4"/>
      <x:c r="EH292" s="4"/>
      <x:c r="EI292" s="4"/>
      <x:c r="EJ292" s="4"/>
      <x:c r="EK292" s="4"/>
      <x:c r="EL292" s="4"/>
      <x:c r="EM292" s="4" t="str">
        <x:f>IF(280&gt;'Calculations'!$JB$2000,"",INDEX('Calculations'!$JA$12:$JA$2000,MATCH(280,'Calculations'!$JB$12:$JB$2000,0)))</x:f>
      </x:c>
      <x:c r="EN292" s="4" t="n">
        <x:f>IF(OR('Calculations'!EM292="",'Calculations'!$AG$8&gt;0,AND('Calculations'!$EF$2&lt;&gt;"All",'Calculations'!HE292='Calculations'!$EF$2),AND('Calculations'!$EF$3&lt;&gt;"All",'Calculations'!HE292='Calculations'!$EF$3)),0,IF(OR('Dashboard'!$B$7="All",'Calculations'!HN292='Dashboard'!$B$7),IF('Calculations'!$EF$2="All",1,IF('Calculations'!HL292&gt;0,0,IF(COUNTIF('Calculations'!HO292:II292,"="&amp;SUBSTITUTE(SUBSTITUTE(SUBSTITUTE('Calculations'!$EF$2,"~","~~"),"*","~*"),"?","~?"))=0,0,IF('Calculations'!$EF$3="All",1,IF(COUNTIF('Calculations'!HO292:II292,"="&amp;SUBSTITUTE(SUBSTITUTE(SUBSTITUTE('Calculations'!$EF$3,"~","~~"),"*","~*"),"?","~?"))&gt;0,1,0))))),0))</x:f>
        <x:v>0</x:v>
      </x:c>
      <x:c r="EO292" s="4" t="str">
        <x:f>IF('Calculations'!IJ292="","",IF('Calculations'!IJ292="!UNRESOLVED","Unresolved hierarchy",IFERROR(INDEX('Calculations'!$HK$13:$HK$512,MATCH('Calculations'!IJ292,'Calculations'!$HE$13:$HE$512,0)),IFERROR(INDEX('Calculations'!$HJ$13:$HJ$512,MATCH('Calculations'!IJ292,'Calculations'!$HF$13:$HF$512,0)),'Calculations'!IJ292))))</x:f>
      </x:c>
      <x:c r="EP292" s="4" t="n">
        <x:f>IF(AND('Calculations'!EM292&lt;&gt;"",'Calculations'!HF292='Calculations'!IJ292),1,0)</x:f>
        <x:v>0</x:v>
      </x:c>
      <x:c r="EQ292" s="4"/>
      <x:c r="ER292" s="4"/>
      <x:c r="ES292" s="4"/>
      <x:c r="ET292" s="4"/>
      <x:c r="EU292" s="4"/>
      <x:c r="EV292" s="4"/>
      <x:c r="EW292" s="4"/>
      <x:c r="EX292" s="4"/>
      <x:c r="EY292" s="4"/>
      <x:c r="EZ292" s="4"/>
      <x:c r="FA292" s="4"/>
      <x:c r="FB292" s="4"/>
      <x:c r="FC292" s="4"/>
      <x:c r="FD292" s="4"/>
      <x:c r="FE292" s="4"/>
      <x:c r="FF292" s="4"/>
      <x:c r="FG292" s="4"/>
      <x:c r="FH292" s="4"/>
      <x:c r="FI292" s="4"/>
      <x:c r="FJ292" s="4"/>
      <x:c r="FK292" s="4"/>
      <x:c r="FL292" s="4"/>
      <x:c r="FM292" s="4"/>
      <x:c r="FN292" s="4"/>
      <x:c r="FO292" s="4"/>
      <x:c r="HE292" t="str">
        <x:f>IF('Calculations'!EM292="","",IF(IFERROR(IF(INDEX(INDIRECT("'WCM Calibration Final'!$A$1:$A$2000"),'Calculations'!$EM292)="","",TRIM(INDEX(INDIRECT("'WCM Calibration Final'!$A$1:$A$2000"),'Calculations'!$EM292)&amp;"")),"")&lt;&gt;"","G:"&amp;IFERROR(TEXT(1*INDEX(INDIRECT("'WCM Calibration Final'!$A$1:$A$2000"),'Calculations'!$EM292),"0"),UPPER(IFERROR(IF(INDEX(INDIRECT("'WCM Calibration Final'!$A$1:$A$2000"),'Calculations'!$EM292)="","",TRIM(INDEX(INDIRECT("'WCM Calibration Final'!$A$1:$A$2000"),'Calculations'!$EM292)&amp;"")),""))),IF(IFERROR(IF(INDEX(INDIRECT("'WCM Calibration Final'!$C$1:$C$2000"),'Calculations'!$EM292)="","",TRIM(INDEX(INDIRECT("'WCM Calibration Final'!$C$1:$C$2000"),'Calculations'!$EM292)&amp;"")),"")&lt;&gt;"","S:"&amp;UPPER(IFERROR(IF(INDEX(INDIRECT("'WCM Calibration Final'!$C$1:$C$2000"),'Calculations'!$EM292)="","",TRIM(INDEX(INDIRECT("'WCM Calibration Final'!$C$1:$C$2000"),'Calculations'!$EM292)&amp;"")),"")),"R:"&amp;'Calculations'!EM292)))</x:f>
      </x:c>
      <x:c r="HF292" t="str">
        <x:f>IF('Calculations'!EM292="","",IF(IFERROR(IF(INDEX(INDIRECT("'WCM Calibration Final'!$D$1:$D$2000"),'Calculations'!$EM292)="","",TRIM(INDEX(INDIRECT("'WCM Calibration Final'!$D$1:$D$2000"),'Calculations'!$EM292)&amp;"")),"")&lt;&gt;"","G:"&amp;IFERROR(TEXT(1*INDEX(INDIRECT("'WCM Calibration Final'!$D$1:$D$2000"),'Calculations'!$EM292),"0"),UPPER(IFERROR(IF(INDEX(INDIRECT("'WCM Calibration Final'!$D$1:$D$2000"),'Calculations'!$EM292)="","",TRIM(INDEX(INDIRECT("'WCM Calibration Final'!$D$1:$D$2000"),'Calculations'!$EM292)&amp;"")),""))),IF(IFERROR(IF(INDEX(INDIRECT("'WCM Calibration Final'!$E$1:$E$2000"),'Calculations'!$EM292)="","",TRIM(INDEX(INDIRECT("'WCM Calibration Final'!$E$1:$E$2000"),'Calculations'!$EM292)&amp;"")),"")="","",IF(COUNTIF('Calculations'!$HG$13:$HG$512,"="&amp;SUBSTITUTE(SUBSTITUTE(SUBSTITUTE(IFERROR(IF(INDEX(INDIRECT("'WCM Calibration Final'!$E$1:$E$2000"),'Calculations'!$EM292)="","",TRIM(INDEX(INDIRECT("'WCM Calibration Final'!$E$1:$E$2000"),'Calculations'!$EM292)&amp;"")),""),"~","~~"),"*","~*"),"?","~?"))=1,INDEX('Calculations'!$HE$13:$HE$512,MATCH(IFERROR(IF(INDEX(INDIRECT("'WCM Calibration Final'!$E$1:$E$2000"),'Calculations'!$EM292)="","",TRIM(INDEX(INDIRECT("'WCM Calibration Final'!$E$1:$E$2000"),'Calculations'!$EM292)&amp;"")),""),'Calculations'!$HG$13:$HG$512,0)),IF(COUNTIF('Calculations'!$HG$13:$HG$512,"="&amp;SUBSTITUTE(SUBSTITUTE(SUBSTITUTE(IFERROR(IF(INDEX(INDIRECT("'WCM Calibration Final'!$E$1:$E$2000"),'Calculations'!$EM292)="","",TRIM(INDEX(INDIRECT("'WCM Calibration Final'!$E$1:$E$2000"),'Calculations'!$EM292)&amp;"")),""),"~","~~"),"*","~*"),"?","~?"))&gt;1,"!AMBIG","X:"&amp;IFERROR(IF(INDEX(INDIRECT("'WCM Calibration Final'!$E$1:$E$2000"),'Calculations'!$EM292)="","",TRIM(INDEX(INDIRECT("'WCM Calibration Final'!$E$1:$E$2000"),'Calculations'!$EM292)&amp;"")),""))))))</x:f>
      </x:c>
      <x:c r="HG292" t="str">
        <x:f>IF('Calculations'!EM292="","",IFERROR(IF(INDEX(INDIRECT("'WCM Calibration Final'!$B$1:$B$2000"),'Calculations'!$EM292)="","",TRIM(INDEX(INDIRECT("'WCM Calibration Final'!$B$1:$B$2000"),'Calculations'!$EM292)&amp;"")),""))</x:f>
      </x:c>
      <x:c r="HH292" t="n">
        <x:f>IF(AND('Calculations'!JC292&gt;0,COUNTIF('Calculations'!$HF$12:HF292,"="&amp;SUBSTITUTE(SUBSTITUTE(SUBSTITUTE('Calculations'!HF292,"~","~~"),"*","~*"),"?","~?"))=1),MAX('Calculations'!$HH$12:HH291)+1,0)</x:f>
        <x:v>0</x:v>
      </x:c>
      <x:c r="HI292" t="n">
        <x:f>IF(AND('Calculations'!HN292&lt;&gt;"",COUNTIF('Calculations'!$HN$12:HN292,"="&amp;SUBSTITUTE(SUBSTITUTE(SUBSTITUTE('Calculations'!HN292,"~","~~"),"*","~*"),"?","~?"))=1),MAX('Calculations'!$HI$12:HI291)+1,0)</x:f>
        <x:v>0</x:v>
      </x:c>
      <x:c r="HJ292" t="str">
        <x:f>IF('Calculations'!HF292="","",IF(COUNTIF('Calculations'!$HE$13:$HE$512,"="&amp;SUBSTITUTE(SUBSTITUTE(SUBSTITUTE('Calculations'!HF292,"~","~~"),"*","~*"),"?","~?"))=1,INDEX('Calculations'!$HK$13:$HK$512,MATCH('Calculations'!HF292,'Calculations'!$HE$13:$HE$512,0)),IFERROR(IF(INDEX(INDIRECT("'WCM Calibration Final'!$E$1:$E$2000"),'Calculations'!$EM292)="","",TRIM(INDEX(INDIRECT("'WCM Calibration Final'!$E$1:$E$2000"),'Calculations'!$EM292)&amp;"")),"")&amp;" ["&amp;'Calculations'!HF292&amp;"]"))</x:f>
      </x:c>
      <x:c r="HK292" t="str">
        <x:f>IF('Calculations'!EM292="","",'Calculations'!HG292&amp;" ["&amp;'Calculations'!HE292&amp;"]")</x:f>
      </x:c>
      <x:c r="HL292" t="n">
        <x:f>IF('Calculations'!EM292="",0,IF(OR('Calculations'!II292&lt;&gt;"",COUNTIF('Calculations'!$HE$13:$HE$512,"="&amp;SUBSTITUTE(SUBSTITUTE(SUBSTITUTE('Calculations'!HE292,"~","~~"),"*","~*"),"?","~?"))&gt;1),1,0))</x:f>
        <x:v>0</x:v>
      </x:c>
      <x:c r="HM292" t="str">
        <x:f>IF('Calculations'!EM292="","",IF('Calculations'!HL292=1,"!UNRESOLVED",IF('Calculations'!IH292&lt;&gt;"",'Calculations'!IH292,IF('Calculations'!IG292&lt;&gt;"",'Calculations'!IG292,IF('Calculations'!IF292&lt;&gt;"",'Calculations'!IF292,IF('Calculations'!IE292&lt;&gt;"",'Calculations'!IE292,IF('Calculations'!ID292&lt;&gt;"",'Calculations'!ID292,IF('Calculations'!IC292&lt;&gt;"",'Calculations'!IC292,IF('Calculations'!IB292&lt;&gt;"",'Calculations'!IB292,IF('Calculations'!IA292&lt;&gt;"",'Calculations'!IA292,IF('Calculations'!HZ292&lt;&gt;"",'Calculations'!HZ292,IF('Calculations'!HY292&lt;&gt;"",'Calculations'!HY292,IF('Calculations'!HX292&lt;&gt;"",'Calculations'!HX292,IF('Calculations'!HW292&lt;&gt;"",'Calculations'!HW292,IF('Calculations'!HV292&lt;&gt;"",'Calculations'!HV292,IF('Calculations'!HU292&lt;&gt;"",'Calculations'!HU292,IF('Calculations'!HT292&lt;&gt;"",'Calculations'!HT292,IF('Calculations'!HS292&lt;&gt;"",'Calculations'!HS292,IF('Calculations'!HR292&lt;&gt;"",'Calculations'!HR292,IF('Calculations'!HQ292&lt;&gt;"",'Calculations'!HQ292,IF('Calculations'!HP292&lt;&gt;"",'Calculations'!HP292,IF('Calculations'!HO292&lt;&gt;"",'Calculations'!HO292,'Calculations'!HE292))))))))))))))))))))))</x:f>
      </x:c>
      <x:c r="HN292" t="str">
        <x:f>IF('Calculations'!EM292="","",IF(IFERROR(IF(INDEX(INDIRECT("'WCM Calibration Final'!$F$1:$F$2000"),'Calculations'!$EM292)="","",TRIM(INDEX(INDIRECT("'WCM Calibration Final'!$F$1:$F$2000"),'Calculations'!$EM292)&amp;"")),"")="","(Blank)",IFERROR(IF(INDEX(INDIRECT("'WCM Calibration Final'!$F$1:$F$2000"),'Calculations'!$EM292)="","",TRIM(INDEX(INDIRECT("'WCM Calibration Final'!$F$1:$F$2000"),'Calculations'!$EM292)&amp;"")),"")))</x:f>
      </x:c>
      <x:c r="HO292" t="str">
        <x:f>'Calculations'!HF292</x:f>
      </x:c>
      <x:c r="HP292" t="str">
        <x:f>IF('Calculations'!HO292="","",IF('Calculations'!HO292="!AMBIG","!AMBIG",IF(COUNTIF('Calculations'!$HE$13:$HE$512,"="&amp;SUBSTITUTE(SUBSTITUTE(SUBSTITUTE('Calculations'!HO292,"~","~~"),"*","~*"),"?","~?"))&gt;1,"!AMBIG",IFERROR(INDEX('Calculations'!$HF$13:$HF$512,MATCH('Calculations'!HO292,'Calculations'!$HE$13:$HE$512,0)),""))))</x:f>
      </x:c>
      <x:c r="HQ292" t="str">
        <x:f>IF('Calculations'!HP292="","",IF('Calculations'!HP292="!AMBIG","!AMBIG",IF(COUNTIF('Calculations'!$HE$13:$HE$512,"="&amp;SUBSTITUTE(SUBSTITUTE(SUBSTITUTE('Calculations'!HP292,"~","~~"),"*","~*"),"?","~?"))&gt;1,"!AMBIG",IFERROR(INDEX('Calculations'!$HF$13:$HF$512,MATCH('Calculations'!HP292,'Calculations'!$HE$13:$HE$512,0)),""))))</x:f>
      </x:c>
      <x:c r="HR292" t="str">
        <x:f>IF('Calculations'!HQ292="","",IF('Calculations'!HQ292="!AMBIG","!AMBIG",IF(COUNTIF('Calculations'!$HE$13:$HE$512,"="&amp;SUBSTITUTE(SUBSTITUTE(SUBSTITUTE('Calculations'!HQ292,"~","~~"),"*","~*"),"?","~?"))&gt;1,"!AMBIG",IFERROR(INDEX('Calculations'!$HF$13:$HF$512,MATCH('Calculations'!HQ292,'Calculations'!$HE$13:$HE$512,0)),""))))</x:f>
      </x:c>
      <x:c r="HS292" t="str">
        <x:f>IF('Calculations'!HR292="","",IF('Calculations'!HR292="!AMBIG","!AMBIG",IF(COUNTIF('Calculations'!$HE$13:$HE$512,"="&amp;SUBSTITUTE(SUBSTITUTE(SUBSTITUTE('Calculations'!HR292,"~","~~"),"*","~*"),"?","~?"))&gt;1,"!AMBIG",IFERROR(INDEX('Calculations'!$HF$13:$HF$512,MATCH('Calculations'!HR292,'Calculations'!$HE$13:$HE$512,0)),""))))</x:f>
      </x:c>
      <x:c r="HT292" t="str">
        <x:f>IF('Calculations'!HS292="","",IF('Calculations'!HS292="!AMBIG","!AMBIG",IF(COUNTIF('Calculations'!$HE$13:$HE$512,"="&amp;SUBSTITUTE(SUBSTITUTE(SUBSTITUTE('Calculations'!HS292,"~","~~"),"*","~*"),"?","~?"))&gt;1,"!AMBIG",IFERROR(INDEX('Calculations'!$HF$13:$HF$512,MATCH('Calculations'!HS292,'Calculations'!$HE$13:$HE$512,0)),""))))</x:f>
      </x:c>
      <x:c r="HU292" t="str">
        <x:f>IF('Calculations'!HT292="","",IF('Calculations'!HT292="!AMBIG","!AMBIG",IF(COUNTIF('Calculations'!$HE$13:$HE$512,"="&amp;SUBSTITUTE(SUBSTITUTE(SUBSTITUTE('Calculations'!HT292,"~","~~"),"*","~*"),"?","~?"))&gt;1,"!AMBIG",IFERROR(INDEX('Calculations'!$HF$13:$HF$512,MATCH('Calculations'!HT292,'Calculations'!$HE$13:$HE$512,0)),""))))</x:f>
      </x:c>
      <x:c r="HV292" t="str">
        <x:f>IF('Calculations'!HU292="","",IF('Calculations'!HU292="!AMBIG","!AMBIG",IF(COUNTIF('Calculations'!$HE$13:$HE$512,"="&amp;SUBSTITUTE(SUBSTITUTE(SUBSTITUTE('Calculations'!HU292,"~","~~"),"*","~*"),"?","~?"))&gt;1,"!AMBIG",IFERROR(INDEX('Calculations'!$HF$13:$HF$512,MATCH('Calculations'!HU292,'Calculations'!$HE$13:$HE$512,0)),""))))</x:f>
      </x:c>
      <x:c r="HW292" t="str">
        <x:f>IF('Calculations'!HV292="","",IF('Calculations'!HV292="!AMBIG","!AMBIG",IF(COUNTIF('Calculations'!$HE$13:$HE$512,"="&amp;SUBSTITUTE(SUBSTITUTE(SUBSTITUTE('Calculations'!HV292,"~","~~"),"*","~*"),"?","~?"))&gt;1,"!AMBIG",IFERROR(INDEX('Calculations'!$HF$13:$HF$512,MATCH('Calculations'!HV292,'Calculations'!$HE$13:$HE$512,0)),""))))</x:f>
      </x:c>
      <x:c r="HX292" t="str">
        <x:f>IF('Calculations'!HW292="","",IF('Calculations'!HW292="!AMBIG","!AMBIG",IF(COUNTIF('Calculations'!$HE$13:$HE$512,"="&amp;SUBSTITUTE(SUBSTITUTE(SUBSTITUTE('Calculations'!HW292,"~","~~"),"*","~*"),"?","~?"))&gt;1,"!AMBIG",IFERROR(INDEX('Calculations'!$HF$13:$HF$512,MATCH('Calculations'!HW292,'Calculations'!$HE$13:$HE$512,0)),""))))</x:f>
      </x:c>
      <x:c r="HY292" t="str">
        <x:f>IF('Calculations'!HX292="","",IF('Calculations'!HX292="!AMBIG","!AMBIG",IF(COUNTIF('Calculations'!$HE$13:$HE$512,"="&amp;SUBSTITUTE(SUBSTITUTE(SUBSTITUTE('Calculations'!HX292,"~","~~"),"*","~*"),"?","~?"))&gt;1,"!AMBIG",IFERROR(INDEX('Calculations'!$HF$13:$HF$512,MATCH('Calculations'!HX292,'Calculations'!$HE$13:$HE$512,0)),""))))</x:f>
      </x:c>
      <x:c r="HZ292" t="str">
        <x:f>IF('Calculations'!HY292="","",IF('Calculations'!HY292="!AMBIG","!AMBIG",IF(COUNTIF('Calculations'!$HE$13:$HE$512,"="&amp;SUBSTITUTE(SUBSTITUTE(SUBSTITUTE('Calculations'!HY292,"~","~~"),"*","~*"),"?","~?"))&gt;1,"!AMBIG",IFERROR(INDEX('Calculations'!$HF$13:$HF$512,MATCH('Calculations'!HY292,'Calculations'!$HE$13:$HE$512,0)),""))))</x:f>
      </x:c>
      <x:c r="IA292" t="str">
        <x:f>IF('Calculations'!HZ292="","",IF('Calculations'!HZ292="!AMBIG","!AMBIG",IF(COUNTIF('Calculations'!$HE$13:$HE$512,"="&amp;SUBSTITUTE(SUBSTITUTE(SUBSTITUTE('Calculations'!HZ292,"~","~~"),"*","~*"),"?","~?"))&gt;1,"!AMBIG",IFERROR(INDEX('Calculations'!$HF$13:$HF$512,MATCH('Calculations'!HZ292,'Calculations'!$HE$13:$HE$512,0)),""))))</x:f>
      </x:c>
      <x:c r="IB292" t="str">
        <x:f>IF('Calculations'!IA292="","",IF('Calculations'!IA292="!AMBIG","!AMBIG",IF(COUNTIF('Calculations'!$HE$13:$HE$512,"="&amp;SUBSTITUTE(SUBSTITUTE(SUBSTITUTE('Calculations'!IA292,"~","~~"),"*","~*"),"?","~?"))&gt;1,"!AMBIG",IFERROR(INDEX('Calculations'!$HF$13:$HF$512,MATCH('Calculations'!IA292,'Calculations'!$HE$13:$HE$512,0)),""))))</x:f>
      </x:c>
      <x:c r="IC292" t="str">
        <x:f>IF('Calculations'!IB292="","",IF('Calculations'!IB292="!AMBIG","!AMBIG",IF(COUNTIF('Calculations'!$HE$13:$HE$512,"="&amp;SUBSTITUTE(SUBSTITUTE(SUBSTITUTE('Calculations'!IB292,"~","~~"),"*","~*"),"?","~?"))&gt;1,"!AMBIG",IFERROR(INDEX('Calculations'!$HF$13:$HF$512,MATCH('Calculations'!IB292,'Calculations'!$HE$13:$HE$512,0)),""))))</x:f>
      </x:c>
      <x:c r="ID292" t="str">
        <x:f>IF('Calculations'!IC292="","",IF('Calculations'!IC292="!AMBIG","!AMBIG",IF(COUNTIF('Calculations'!$HE$13:$HE$512,"="&amp;SUBSTITUTE(SUBSTITUTE(SUBSTITUTE('Calculations'!IC292,"~","~~"),"*","~*"),"?","~?"))&gt;1,"!AMBIG",IFERROR(INDEX('Calculations'!$HF$13:$HF$512,MATCH('Calculations'!IC292,'Calculations'!$HE$13:$HE$512,0)),""))))</x:f>
      </x:c>
      <x:c r="IE292" t="str">
        <x:f>IF('Calculations'!ID292="","",IF('Calculations'!ID292="!AMBIG","!AMBIG",IF(COUNTIF('Calculations'!$HE$13:$HE$512,"="&amp;SUBSTITUTE(SUBSTITUTE(SUBSTITUTE('Calculations'!ID292,"~","~~"),"*","~*"),"?","~?"))&gt;1,"!AMBIG",IFERROR(INDEX('Calculations'!$HF$13:$HF$512,MATCH('Calculations'!ID292,'Calculations'!$HE$13:$HE$512,0)),""))))</x:f>
      </x:c>
      <x:c r="IF292" t="str">
        <x:f>IF('Calculations'!IE292="","",IF('Calculations'!IE292="!AMBIG","!AMBIG",IF(COUNTIF('Calculations'!$HE$13:$HE$512,"="&amp;SUBSTITUTE(SUBSTITUTE(SUBSTITUTE('Calculations'!IE292,"~","~~"),"*","~*"),"?","~?"))&gt;1,"!AMBIG",IFERROR(INDEX('Calculations'!$HF$13:$HF$512,MATCH('Calculations'!IE292,'Calculations'!$HE$13:$HE$512,0)),""))))</x:f>
      </x:c>
      <x:c r="IG292" t="str">
        <x:f>IF('Calculations'!IF292="","",IF('Calculations'!IF292="!AMBIG","!AMBIG",IF(COUNTIF('Calculations'!$HE$13:$HE$512,"="&amp;SUBSTITUTE(SUBSTITUTE(SUBSTITUTE('Calculations'!IF292,"~","~~"),"*","~*"),"?","~?"))&gt;1,"!AMBIG",IFERROR(INDEX('Calculations'!$HF$13:$HF$512,MATCH('Calculations'!IF292,'Calculations'!$HE$13:$HE$512,0)),""))))</x:f>
      </x:c>
      <x:c r="IH292" t="str">
        <x:f>IF('Calculations'!IG292="","",IF('Calculations'!IG292="!AMBIG","!AMBIG",IF(COUNTIF('Calculations'!$HE$13:$HE$512,"="&amp;SUBSTITUTE(SUBSTITUTE(SUBSTITUTE('Calculations'!IG292,"~","~~"),"*","~*"),"?","~?"))&gt;1,"!AMBIG",IFERROR(INDEX('Calculations'!$HF$13:$HF$512,MATCH('Calculations'!IG292,'Calculations'!$HE$13:$HE$512,0)),""))))</x:f>
      </x:c>
      <x:c r="II292" t="str">
        <x:f>IF('Calculations'!IH292="","",IF('Calculations'!IH292="!AMBIG","!AMBIG",IF(COUNTIF('Calculations'!$HE$13:$HE$512,"="&amp;SUBSTITUTE(SUBSTITUTE(SUBSTITUTE('Calculations'!IH292,"~","~~"),"*","~*"),"?","~?"))&gt;1,"!AMBIG",IFERROR(INDEX('Calculations'!$HF$13:$HF$512,MATCH('Calculations'!IH292,'Calculations'!$HE$13:$HE$512,0)),""))))</x:f>
      </x:c>
      <x:c r="IJ292" t="str">
        <x:f>IF('Calculations'!EM292="","",IF('Calculations'!$EF$2="All",'Calculations'!HM292,IF('Calculations'!HL292=1,"",IFERROR(IF(MATCH('Calculations'!$EF$2,'Calculations'!HO292:II292,0)=1,'Calculations'!HE292,INDEX('Calculations'!HO292:II292,1,MATCH('Calculations'!$EF$2,'Calculations'!HO292:II292,0)-1)),""))))</x:f>
      </x:c>
      <x:c r="IK292" t="n">
        <x:f>IF(AND('Calculations'!EM292&lt;&gt;"",'Calculations'!$EF$2&lt;&gt;"All",'Calculations'!HF292='Calculations'!$EF$2,'Calculations'!HL292=0,'Calculations'!JD292&gt;0),MAX('Calculations'!$IK$12:IK291)+1,0)</x:f>
        <x:v>0</x:v>
      </x:c>
      <x:c r="JA292" t="n">
        <x:f>IF(OR(IFERROR(INDIRECT("'WCM Calibration Final'!$A$292")&lt;&gt;"",FALSE),IFERROR(INDIRECT("'WCM Calibration Final'!$B$292")&lt;&gt;"",FALSE),IFERROR(INDIRECT("'WCM Calibration Final'!$C$292")&lt;&gt;"",FALSE)),292,0)</x:f>
        <x:v>0</x:v>
      </x:c>
      <x:c r="JB292" t="n">
        <x:f>'Calculations'!JB291+IF('Calculations'!JA292&gt;0,1,0)</x:f>
        <x:v>0</x:v>
      </x:c>
      <x:c r="JC292" t="n">
        <x:f>IF(OR('Calculations'!HF292="",'Calculations'!HF292="!AMBIG"),0,IF('Dashboard'!$B$7="All",1,COUNTIFS('Calculations'!$HO$13:$HO$512,"="&amp;SUBSTITUTE(SUBSTITUTE(SUBSTITUTE('Calculations'!HF292,"~","~~"),"*","~*"),"?","~?"),'Calculations'!$HN$13:$HN$512,"="&amp;SUBSTITUTE(SUBSTITUTE(SUBSTITUTE('Dashboard'!$B$7,"~","~~"),"*","~*"),"?","~?"))+COUNTIFS('Calculations'!$HP$13:$HP$512,"="&amp;SUBSTITUTE(SUBSTITUTE(SUBSTITUTE('Calculations'!HF292,"~","~~"),"*","~*"),"?","~?"),'Calculations'!$HN$13:$HN$512,"="&amp;SUBSTITUTE(SUBSTITUTE(SUBSTITUTE('Dashboard'!$B$7,"~","~~"),"*","~*"),"?","~?"))+COUNTIFS('Calculations'!$HQ$13:$HQ$512,"="&amp;SUBSTITUTE(SUBSTITUTE(SUBSTITUTE('Calculations'!HF292,"~","~~"),"*","~*"),"?","~?"),'Calculations'!$HN$13:$HN$512,"="&amp;SUBSTITUTE(SUBSTITUTE(SUBSTITUTE('Dashboard'!$B$7,"~","~~"),"*","~*"),"?","~?"))+COUNTIFS('Calculations'!$HR$13:$HR$512,"="&amp;SUBSTITUTE(SUBSTITUTE(SUBSTITUTE('Calculations'!HF292,"~","~~"),"*","~*"),"?","~?"),'Calculations'!$HN$13:$HN$512,"="&amp;SUBSTITUTE(SUBSTITUTE(SUBSTITUTE('Dashboard'!$B$7,"~","~~"),"*","~*"),"?","~?"))+COUNTIFS('Calculations'!$HS$13:$HS$512,"="&amp;SUBSTITUTE(SUBSTITUTE(SUBSTITUTE('Calculations'!HF292,"~","~~"),"*","~*"),"?","~?"),'Calculations'!$HN$13:$HN$512,"="&amp;SUBSTITUTE(SUBSTITUTE(SUBSTITUTE('Dashboard'!$B$7,"~","~~"),"*","~*"),"?","~?"))+COUNTIFS('Calculations'!$HT$13:$HT$512,"="&amp;SUBSTITUTE(SUBSTITUTE(SUBSTITUTE('Calculations'!HF292,"~","~~"),"*","~*"),"?","~?"),'Calculations'!$HN$13:$HN$512,"="&amp;SUBSTITUTE(SUBSTITUTE(SUBSTITUTE('Dashboard'!$B$7,"~","~~"),"*","~*"),"?","~?"))+COUNTIFS('Calculations'!$HU$13:$HU$512,"="&amp;SUBSTITUTE(SUBSTITUTE(SUBSTITUTE('Calculations'!HF292,"~","~~"),"*","~*"),"?","~?"),'Calculations'!$HN$13:$HN$512,"="&amp;SUBSTITUTE(SUBSTITUTE(SUBSTITUTE('Dashboard'!$B$7,"~","~~"),"*","~*"),"?","~?"))+COUNTIFS('Calculations'!$HV$13:$HV$512,"="&amp;SUBSTITUTE(SUBSTITUTE(SUBSTITUTE('Calculations'!HF292,"~","~~"),"*","~*"),"?","~?"),'Calculations'!$HN$13:$HN$512,"="&amp;SUBSTITUTE(SUBSTITUTE(SUBSTITUTE('Dashboard'!$B$7,"~","~~"),"*","~*"),"?","~?"))+COUNTIFS('Calculations'!$HW$13:$HW$512,"="&amp;SUBSTITUTE(SUBSTITUTE(SUBSTITUTE('Calculations'!HF292,"~","~~"),"*","~*"),"?","~?"),'Calculations'!$HN$13:$HN$512,"="&amp;SUBSTITUTE(SUBSTITUTE(SUBSTITUTE('Dashboard'!$B$7,"~","~~"),"*","~*"),"?","~?"))+COUNTIFS('Calculations'!$HX$13:$HX$512,"="&amp;SUBSTITUTE(SUBSTITUTE(SUBSTITUTE('Calculations'!HF292,"~","~~"),"*","~*"),"?","~?"),'Calculations'!$HN$13:$HN$512,"="&amp;SUBSTITUTE(SUBSTITUTE(SUBSTITUTE('Dashboard'!$B$7,"~","~~"),"*","~*"),"?","~?"))+COUNTIFS('Calculations'!$HY$13:$HY$512,"="&amp;SUBSTITUTE(SUBSTITUTE(SUBSTITUTE('Calculations'!HF292,"~","~~"),"*","~*"),"?","~?"),'Calculations'!$HN$13:$HN$512,"="&amp;SUBSTITUTE(SUBSTITUTE(SUBSTITUTE('Dashboard'!$B$7,"~","~~"),"*","~*"),"?","~?"))+COUNTIFS('Calculations'!$HZ$13:$HZ$512,"="&amp;SUBSTITUTE(SUBSTITUTE(SUBSTITUTE('Calculations'!HF292,"~","~~"),"*","~*"),"?","~?"),'Calculations'!$HN$13:$HN$512,"="&amp;SUBSTITUTE(SUBSTITUTE(SUBSTITUTE('Dashboard'!$B$7,"~","~~"),"*","~*"),"?","~?"))+COUNTIFS('Calculations'!$IA$13:$IA$512,"="&amp;SUBSTITUTE(SUBSTITUTE(SUBSTITUTE('Calculations'!HF292,"~","~~"),"*","~*"),"?","~?"),'Calculations'!$HN$13:$HN$512,"="&amp;SUBSTITUTE(SUBSTITUTE(SUBSTITUTE('Dashboard'!$B$7,"~","~~"),"*","~*"),"?","~?"))+COUNTIFS('Calculations'!$IB$13:$IB$512,"="&amp;SUBSTITUTE(SUBSTITUTE(SUBSTITUTE('Calculations'!HF292,"~","~~"),"*","~*"),"?","~?"),'Calculations'!$HN$13:$HN$512,"="&amp;SUBSTITUTE(SUBSTITUTE(SUBSTITUTE('Dashboard'!$B$7,"~","~~"),"*","~*"),"?","~?"))+COUNTIFS('Calculations'!$IC$13:$IC$512,"="&amp;SUBSTITUTE(SUBSTITUTE(SUBSTITUTE('Calculations'!HF292,"~","~~"),"*","~*"),"?","~?"),'Calculations'!$HN$13:$HN$512,"="&amp;SUBSTITUTE(SUBSTITUTE(SUBSTITUTE('Dashboard'!$B$7,"~","~~"),"*","~*"),"?","~?"))+COUNTIFS('Calculations'!$ID$13:$ID$512,"="&amp;SUBSTITUTE(SUBSTITUTE(SUBSTITUTE('Calculations'!HF292,"~","~~"),"*","~*"),"?","~?"),'Calculations'!$HN$13:$HN$512,"="&amp;SUBSTITUTE(SUBSTITUTE(SUBSTITUTE('Dashboard'!$B$7,"~","~~"),"*","~*"),"?","~?"))+COUNTIFS('Calculations'!$IE$13:$IE$512,"="&amp;SUBSTITUTE(SUBSTITUTE(SUBSTITUTE('Calculations'!HF292,"~","~~"),"*","~*"),"?","~?"),'Calculations'!$HN$13:$HN$512,"="&amp;SUBSTITUTE(SUBSTITUTE(SUBSTITUTE('Dashboard'!$B$7,"~","~~"),"*","~*"),"?","~?"))+COUNTIFS('Calculations'!$IF$13:$IF$512,"="&amp;SUBSTITUTE(SUBSTITUTE(SUBSTITUTE('Calculations'!HF292,"~","~~"),"*","~*"),"?","~?"),'Calculations'!$HN$13:$HN$512,"="&amp;SUBSTITUTE(SUBSTITUTE(SUBSTITUTE('Dashboard'!$B$7,"~","~~"),"*","~*"),"?","~?"))+COUNTIFS('Calculations'!$IG$13:$IG$512,"="&amp;SUBSTITUTE(SUBSTITUTE(SUBSTITUTE('Calculations'!HF292,"~","~~"),"*","~*"),"?","~?"),'Calculations'!$HN$13:$HN$512,"="&amp;SUBSTITUTE(SUBSTITUTE(SUBSTITUTE('Dashboard'!$B$7,"~","~~"),"*","~*"),"?","~?"))+COUNTIFS('Calculations'!$IH$13:$IH$512,"="&amp;SUBSTITUTE(SUBSTITUTE(SUBSTITUTE('Calculations'!HF292,"~","~~"),"*","~*"),"?","~?"),'Calculations'!$HN$13:$HN$512,"="&amp;SUBSTITUTE(SUBSTITUTE(SUBSTITUTE('Dashboard'!$B$7,"~","~~"),"*","~*"),"?","~?"))))</x:f>
        <x:v>0</x:v>
      </x:c>
      <x:c r="JD292" t="n">
        <x:f>IF('Calculations'!EM292="",0,IF('Dashboard'!$B$7="All",1,IF('Calculations'!HN292='Dashboard'!$B$7,1,0)+IFERROR(INDEX('Calculations'!$JC$13:$JC$512,MATCH('Calculations'!HE292,'Calculations'!$HF$13:$HF$512,0)),0)))</x:f>
        <x:v>0</x:v>
      </x:c>
      <x:c r="JE292" t="n">
        <x:f>IF(AND('Calculations'!EM292&lt;&gt;"",'Calculations'!$JJ$2&lt;&gt;"All",'Calculations'!$JJ$2&lt;&gt;"",'Calculations'!HF292='Calculations'!$JJ$2,'Calculations'!HL292=0,'Calculations'!JD292&gt;0),MAX('Calculations'!$JE$12:JE291)+1,0)</x:f>
        <x:v>0</x:v>
      </x:c>
      <x:c r="JF292" t="str">
        <x:f>IF('Calculations'!EM292="","",IFERROR(IF(INDEX(INDIRECT("'WCM Calibration Final'!$G$1:$G$2000"),'Calculations'!$EM292)="","",TRIM(INDEX(INDIRECT("'WCM Calibration Final'!$G$1:$G$2000"),'Calculations'!$EM292)&amp;"")),""))</x:f>
      </x:c>
      <x:c r="JQ292" t="n">
        <x:f>IF(OR('Calculations'!BM292=0,NOT('Calculations'!$AG$2),'Calculations'!$AG$8&gt;0),0,IF(OR('Dashboard'!$B$7="All",'Calculations'!HN292='Dashboard'!$B$7),IF('Calculations'!$JJ$2="All",1,IF(AND('Calculations'!HF292='Calculations'!$JJ$2,'Calculations'!HL292=0),1,0)),0))</x:f>
        <x:v>0</x:v>
      </x:c>
    </x:row>
    <x:row r="293">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t="n">
        <x:f>IF('Calculations'!$EM293="",0,IF(OR(IFERROR(INDEX(INDIRECT("'WCM Calibration Final'!$A$1:$A$2000"),'Calculations'!$EM293)&lt;&gt;"",FALSE),IFERROR(INDEX(INDIRECT("'WCM Calibration Final'!$B$1:$B$2000"),'Calculations'!$EM293)&lt;&gt;"",FALSE),IFERROR(INDEX(INDIRECT("'WCM Calibration Final'!$C$1:$C$2000"),'Calculations'!$EM293)&lt;&gt;"",FALSE)),1,0))</x:f>
        <x:v>0</x:v>
      </x:c>
      <x:c r="BN293" s="4" t="n">
        <x:f>IF(AND('Calculations'!BM293=1,'Calculations'!$AG$2,'Calculations'!$EN293=1),1,0)</x:f>
        <x:v>0</x:v>
      </x:c>
      <x:c r="BO293" s="4" t="str">
        <x:f>IF('Calculations'!BM293=0,"",IFERROR(IF(AND(VALUE(INDEX(INDIRECT("'WCM Calibration Final'!$K$1:$K$2000"),'Calculations'!$EM293))&gt;=1,VALUE(INDEX(INDIRECT("'WCM Calibration Final'!$K$1:$K$2000"),'Calculations'!$EM293))&lt;=4,MOD(VALUE(INDEX(INDIRECT("'WCM Calibration Final'!$K$1:$K$2000"),'Calculations'!$EM293)),1)=0),VALUE(INDEX(INDIRECT("'WCM Calibration Final'!$K$1:$K$2000"),'Calculations'!$EM293)),""),""))</x:f>
      </x:c>
      <x:c r="BP293" s="4" t="str">
        <x:f>IF('Calculations'!BM293=0,"",IFERROR(IF(AND(VALUE(INDEX(INDIRECT("'WCM Calibration Final'!$L$1:$L$2000"),'Calculations'!$EM293))&gt;=1,VALUE(INDEX(INDIRECT("'WCM Calibration Final'!$L$1:$L$2000"),'Calculations'!$EM293))&lt;=4,MOD(VALUE(INDEX(INDIRECT("'WCM Calibration Final'!$L$1:$L$2000"),'Calculations'!$EM293)),1)=0),VALUE(INDEX(INDIRECT("'WCM Calibration Final'!$L$1:$L$2000"),'Calculations'!$EM293)),""),""))</x:f>
      </x:c>
      <x:c r="BQ293" s="4"/>
      <x:c r="BR293" s="4"/>
      <x:c r="BS293" s="4"/>
      <x:c r="BT293" s="4" t="n">
        <x:f>IF(AND('Calculations'!BM293=1,ISNUMBER('Calculations'!BO293),ISNUMBER('Calculations'!BP293)),1,0)</x:f>
        <x:v>0</x:v>
      </x:c>
      <x:c r="BU293" s="4" t="str">
        <x:f>IF('Calculations'!BM293=0,"",'Calculations'!$EO293)</x:f>
      </x:c>
      <x:c r="BV293" s="4" t="str">
        <x:f>IF('Calculations'!BM293=0,"",IFERROR(IF(OR(INDEX(INDIRECT("'WCM Calibration Final'!$H$1:$H$2000"),'Calculations'!$EM293)="MANAGING DIRECTOR",INDEX(INDIRECT("'WCM Calibration Final'!$H$1:$H$2000"),'Calculations'!$EM293)="DIRECTOR",INDEX(INDIRECT("'WCM Calibration Final'!$H$1:$H$2000"),'Calculations'!$EM293)="SENIOR VICE PRESIDENT",INDEX(INDIRECT("'WCM Calibration Final'!$H$1:$H$2000"),'Calculations'!$EM293)="VICE PRESIDENT",INDEX(INDIRECT("'WCM Calibration Final'!$H$1:$H$2000"),'Calculations'!$EM293)="ASSISTANT VICE PRESIDENT",INDEX(INDIRECT("'WCM Calibration Final'!$H$1:$H$2000"),'Calculations'!$EM293)="OFFICER"),UPPER(INDEX(INDIRECT("'WCM Calibration Final'!$H$1:$H$2000"),'Calculations'!$EM293)),"Other"),"Other"))</x:f>
      </x:c>
      <x:c r="BW293" s="4"/>
      <x:c r="BX293" s="4"/>
      <x:c r="BY293" s="4" t="n">
        <x:f>IF(AND('Calculations'!BM293=1,'Calculations'!BU293&lt;&gt;"",COUNTIF('Calculations'!$BU$12:BU293,'Calculations'!BU293)=1),MAX('Calculations'!$BY$11:BY292)+1,0)</x:f>
        <x:v>0</x:v>
      </x:c>
      <x:c r="BZ293" s="4" t="str">
        <x:f>IF('Dashboard'!$E$67="What",'Calculations'!BO293,'Calculations'!BP293)</x:f>
      </x:c>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t="str">
        <x:f>IF(282&gt;MAX('Calculations'!$HI$13:$HI$512),"",INDEX('Calculations'!$HN$13:$HN$512,MATCH(282,'Calculations'!$HI$13:$HI$512,0)))</x:f>
      </x:c>
      <x:c r="DB293" s="4" t="str">
        <x:f>IF(282&gt;MAX('Calculations'!$HH$13:$HH$512),"",INDEX('Calculations'!$HJ$13:$HJ$512,MATCH(282,'Calculations'!$HH$13:$HH$512,0)))</x:f>
      </x:c>
      <x:c r="DC293" s="4" t="str">
        <x:f>IF(ROW()-11&gt;MAX('Calculations'!$BY$13:$BY$512),"",INDEX('Calculations'!$BU$13:$BU$512,MATCH(ROW()-11,'Calculations'!$BY$13:$BY$512,0)))</x:f>
      </x:c>
      <x:c r="DD293" s="4" t="str">
        <x:f>IF(282&gt;MAX('Calculations'!$IK$13:$IK$512),"",INDEX('Calculations'!$HK$13:$HK$512,MATCH(282,'Calculations'!$IK$13:$IK$512,0)))</x:f>
      </x:c>
      <x:c r="DE293" s="4" t="str">
        <x:f>'Calculations'!DC293</x:f>
      </x:c>
      <x:c r="DF293" s="4" t="str">
        <x:f>IF('Calculations'!DE293="","",COUNTIFS('Calculations'!$BN$13:$BN$512,1,'Calculations'!$BU$13:$BU$512,'Calculations'!DE293))</x:f>
      </x:c>
      <x:c r="DG293" s="4" t="str">
        <x:f>IF('Calculations'!DE293="","",COUNTIFS('Calculations'!$BN$13:$BN$512,1,'Calculations'!$BU$13:$BU$512,'Calculations'!DE293,'Calculations'!$BT$13:$BT$512,1))</x:f>
      </x:c>
      <x:c r="DH293" s="4" t="str">
        <x:f>IF('Calculations'!DE293="","",'Calculations'!DF293-'Calculations'!DG293)</x:f>
      </x:c>
      <x:c r="DI293" s="4" t="str">
        <x:f>IF(OR('Calculations'!DE293="",'Calculations'!DF293=0),"",'Calculations'!DG293/'Calculations'!DF293)</x:f>
      </x:c>
      <x:c r="DJ293" s="4" t="str">
        <x:f>IF('Calculations'!DE293="","",COUNTIFS('Calculations'!$BN$13:$BN$512,1,'Calculations'!$BU$13:$BU$512,'Calculations'!DE293,'Calculations'!$BT$13:$BT$512,1,'Calculations'!$EE$13:$EE$512,"High"))</x:f>
      </x:c>
      <x:c r="DK293" s="4" t="str">
        <x:f>IF('Calculations'!DE293="","",COUNTIFS('Calculations'!$BN$13:$BN$512,1,'Calculations'!$BU$13:$BU$512,'Calculations'!DE293,'Calculations'!$BT$13:$BT$512,1,'Calculations'!$EE$13:$EE$512,"Strong"))</x:f>
      </x:c>
      <x:c r="DL293" s="4" t="str">
        <x:f>IF('Calculations'!DE293="","",COUNTIFS('Calculations'!$BN$13:$BN$512,1,'Calculations'!$BU$13:$BU$512,'Calculations'!DE293,'Calculations'!$BT$13:$BT$512,1,'Calculations'!$EE$13:$EE$512,"Solid"))</x:f>
      </x:c>
      <x:c r="DM293" s="4" t="str">
        <x:f>IF('Calculations'!DE293="","",COUNTIFS('Calculations'!$BN$13:$BN$512,1,'Calculations'!$BU$13:$BU$512,'Calculations'!DE293,'Calculations'!$BT$13:$BT$512,1,'Calculations'!$EE$13:$EE$512,"Low"))</x:f>
      </x:c>
      <x:c r="DN293" s="4" t="str">
        <x:f>IF('Calculations'!DE293="","",COUNTIFS('Calculations'!$BN$13:$BN$512,1,'Calculations'!$BU$13:$BU$512,'Calculations'!DE293,'Calculations'!$EP$13:$EP$512,1))</x:f>
      </x:c>
      <x:c r="DO293" s="4" t="str">
        <x:f>IF(OR('Calculations'!DE293="",'Calculations'!DG293=0),"",('Calculations'!DJ293+'Calculations'!DK293)/'Calculations'!DG293)</x:f>
      </x:c>
      <x:c r="DP293" s="4" t="n">
        <x:f>IF(AND('Calculations'!DE293&lt;&gt;"",'Calculations'!DF293&gt;0),COUNTIF('Calculations'!$DF$12:DF293,"&gt;0"),0)</x:f>
        <x:v>0</x:v>
      </x:c>
      <x:c r="DQ293" s="4" t="str">
        <x:f>IF(282&gt;MAX('Calculations'!$HH$13:$HH$512),"",INDEX('Calculations'!$HF$13:$HF$512,MATCH(282,'Calculations'!$HH$13:$HH$512,0)))</x:f>
      </x:c>
      <x:c r="DR293" s="4" t="str">
        <x:f>IF(282&gt;MAX('Calculations'!$IK$13:$IK$512),"",INDEX('Calculations'!$HE$13:$HE$512,MATCH(282,'Calculations'!$IK$13:$IK$512,0)))</x:f>
      </x:c>
      <x:c r="DS293" s="4"/>
      <x:c r="DT293" s="4"/>
      <x:c r="DU293" s="4"/>
      <x:c r="DV293" s="4"/>
      <x:c r="DW293" s="4"/>
      <x:c r="DX293" s="4"/>
      <x:c r="DY293" s="4"/>
      <x:c r="DZ293" s="4"/>
      <x:c r="EA293" s="4"/>
      <x:c r="EB293" s="4"/>
      <x:c r="EC293" s="4"/>
      <x:c r="ED293" s="4"/>
      <x:c r="EE293" s="4" t="str">
        <x:f>IF('Calculations'!BT293=0,"Not Rated",IF(OR('Calculations'!BO293&gt;=4,'Calculations'!BP293&gt;=4),"Low",IF('Calculations'!BO293+'Calculations'!BP293&lt;=3,"High",IF('Calculations'!BO293+'Calculations'!BP293&lt;=4,"Strong","Solid"))))</x:f>
        <x:v>Not Rated</x:v>
      </x:c>
      <x:c r="EF293" s="4"/>
      <x:c r="EG293" s="4"/>
      <x:c r="EH293" s="4"/>
      <x:c r="EI293" s="4"/>
      <x:c r="EJ293" s="4"/>
      <x:c r="EK293" s="4"/>
      <x:c r="EL293" s="4"/>
      <x:c r="EM293" s="4" t="str">
        <x:f>IF(281&gt;'Calculations'!$JB$2000,"",INDEX('Calculations'!$JA$12:$JA$2000,MATCH(281,'Calculations'!$JB$12:$JB$2000,0)))</x:f>
      </x:c>
      <x:c r="EN293" s="4" t="n">
        <x:f>IF(OR('Calculations'!EM293="",'Calculations'!$AG$8&gt;0,AND('Calculations'!$EF$2&lt;&gt;"All",'Calculations'!HE293='Calculations'!$EF$2),AND('Calculations'!$EF$3&lt;&gt;"All",'Calculations'!HE293='Calculations'!$EF$3)),0,IF(OR('Dashboard'!$B$7="All",'Calculations'!HN293='Dashboard'!$B$7),IF('Calculations'!$EF$2="All",1,IF('Calculations'!HL293&gt;0,0,IF(COUNTIF('Calculations'!HO293:II293,"="&amp;SUBSTITUTE(SUBSTITUTE(SUBSTITUTE('Calculations'!$EF$2,"~","~~"),"*","~*"),"?","~?"))=0,0,IF('Calculations'!$EF$3="All",1,IF(COUNTIF('Calculations'!HO293:II293,"="&amp;SUBSTITUTE(SUBSTITUTE(SUBSTITUTE('Calculations'!$EF$3,"~","~~"),"*","~*"),"?","~?"))&gt;0,1,0))))),0))</x:f>
        <x:v>0</x:v>
      </x:c>
      <x:c r="EO293" s="4" t="str">
        <x:f>IF('Calculations'!IJ293="","",IF('Calculations'!IJ293="!UNRESOLVED","Unresolved hierarchy",IFERROR(INDEX('Calculations'!$HK$13:$HK$512,MATCH('Calculations'!IJ293,'Calculations'!$HE$13:$HE$512,0)),IFERROR(INDEX('Calculations'!$HJ$13:$HJ$512,MATCH('Calculations'!IJ293,'Calculations'!$HF$13:$HF$512,0)),'Calculations'!IJ293))))</x:f>
      </x:c>
      <x:c r="EP293" s="4" t="n">
        <x:f>IF(AND('Calculations'!EM293&lt;&gt;"",'Calculations'!HF293='Calculations'!IJ293),1,0)</x:f>
        <x:v>0</x:v>
      </x:c>
      <x:c r="EQ293" s="4"/>
      <x:c r="ER293" s="4"/>
      <x:c r="ES293" s="4"/>
      <x:c r="ET293" s="4"/>
      <x:c r="EU293" s="4"/>
      <x:c r="EV293" s="4"/>
      <x:c r="EW293" s="4"/>
      <x:c r="EX293" s="4"/>
      <x:c r="EY293" s="4"/>
      <x:c r="EZ293" s="4"/>
      <x:c r="FA293" s="4"/>
      <x:c r="FB293" s="4"/>
      <x:c r="FC293" s="4"/>
      <x:c r="FD293" s="4"/>
      <x:c r="FE293" s="4"/>
      <x:c r="FF293" s="4"/>
      <x:c r="FG293" s="4"/>
      <x:c r="FH293" s="4"/>
      <x:c r="FI293" s="4"/>
      <x:c r="FJ293" s="4"/>
      <x:c r="FK293" s="4"/>
      <x:c r="FL293" s="4"/>
      <x:c r="FM293" s="4"/>
      <x:c r="FN293" s="4"/>
      <x:c r="FO293" s="4"/>
      <x:c r="HE293" t="str">
        <x:f>IF('Calculations'!EM293="","",IF(IFERROR(IF(INDEX(INDIRECT("'WCM Calibration Final'!$A$1:$A$2000"),'Calculations'!$EM293)="","",TRIM(INDEX(INDIRECT("'WCM Calibration Final'!$A$1:$A$2000"),'Calculations'!$EM293)&amp;"")),"")&lt;&gt;"","G:"&amp;IFERROR(TEXT(1*INDEX(INDIRECT("'WCM Calibration Final'!$A$1:$A$2000"),'Calculations'!$EM293),"0"),UPPER(IFERROR(IF(INDEX(INDIRECT("'WCM Calibration Final'!$A$1:$A$2000"),'Calculations'!$EM293)="","",TRIM(INDEX(INDIRECT("'WCM Calibration Final'!$A$1:$A$2000"),'Calculations'!$EM293)&amp;"")),""))),IF(IFERROR(IF(INDEX(INDIRECT("'WCM Calibration Final'!$C$1:$C$2000"),'Calculations'!$EM293)="","",TRIM(INDEX(INDIRECT("'WCM Calibration Final'!$C$1:$C$2000"),'Calculations'!$EM293)&amp;"")),"")&lt;&gt;"","S:"&amp;UPPER(IFERROR(IF(INDEX(INDIRECT("'WCM Calibration Final'!$C$1:$C$2000"),'Calculations'!$EM293)="","",TRIM(INDEX(INDIRECT("'WCM Calibration Final'!$C$1:$C$2000"),'Calculations'!$EM293)&amp;"")),"")),"R:"&amp;'Calculations'!EM293)))</x:f>
      </x:c>
      <x:c r="HF293" t="str">
        <x:f>IF('Calculations'!EM293="","",IF(IFERROR(IF(INDEX(INDIRECT("'WCM Calibration Final'!$D$1:$D$2000"),'Calculations'!$EM293)="","",TRIM(INDEX(INDIRECT("'WCM Calibration Final'!$D$1:$D$2000"),'Calculations'!$EM293)&amp;"")),"")&lt;&gt;"","G:"&amp;IFERROR(TEXT(1*INDEX(INDIRECT("'WCM Calibration Final'!$D$1:$D$2000"),'Calculations'!$EM293),"0"),UPPER(IFERROR(IF(INDEX(INDIRECT("'WCM Calibration Final'!$D$1:$D$2000"),'Calculations'!$EM293)="","",TRIM(INDEX(INDIRECT("'WCM Calibration Final'!$D$1:$D$2000"),'Calculations'!$EM293)&amp;"")),""))),IF(IFERROR(IF(INDEX(INDIRECT("'WCM Calibration Final'!$E$1:$E$2000"),'Calculations'!$EM293)="","",TRIM(INDEX(INDIRECT("'WCM Calibration Final'!$E$1:$E$2000"),'Calculations'!$EM293)&amp;"")),"")="","",IF(COUNTIF('Calculations'!$HG$13:$HG$512,"="&amp;SUBSTITUTE(SUBSTITUTE(SUBSTITUTE(IFERROR(IF(INDEX(INDIRECT("'WCM Calibration Final'!$E$1:$E$2000"),'Calculations'!$EM293)="","",TRIM(INDEX(INDIRECT("'WCM Calibration Final'!$E$1:$E$2000"),'Calculations'!$EM293)&amp;"")),""),"~","~~"),"*","~*"),"?","~?"))=1,INDEX('Calculations'!$HE$13:$HE$512,MATCH(IFERROR(IF(INDEX(INDIRECT("'WCM Calibration Final'!$E$1:$E$2000"),'Calculations'!$EM293)="","",TRIM(INDEX(INDIRECT("'WCM Calibration Final'!$E$1:$E$2000"),'Calculations'!$EM293)&amp;"")),""),'Calculations'!$HG$13:$HG$512,0)),IF(COUNTIF('Calculations'!$HG$13:$HG$512,"="&amp;SUBSTITUTE(SUBSTITUTE(SUBSTITUTE(IFERROR(IF(INDEX(INDIRECT("'WCM Calibration Final'!$E$1:$E$2000"),'Calculations'!$EM293)="","",TRIM(INDEX(INDIRECT("'WCM Calibration Final'!$E$1:$E$2000"),'Calculations'!$EM293)&amp;"")),""),"~","~~"),"*","~*"),"?","~?"))&gt;1,"!AMBIG","X:"&amp;IFERROR(IF(INDEX(INDIRECT("'WCM Calibration Final'!$E$1:$E$2000"),'Calculations'!$EM293)="","",TRIM(INDEX(INDIRECT("'WCM Calibration Final'!$E$1:$E$2000"),'Calculations'!$EM293)&amp;"")),""))))))</x:f>
      </x:c>
      <x:c r="HG293" t="str">
        <x:f>IF('Calculations'!EM293="","",IFERROR(IF(INDEX(INDIRECT("'WCM Calibration Final'!$B$1:$B$2000"),'Calculations'!$EM293)="","",TRIM(INDEX(INDIRECT("'WCM Calibration Final'!$B$1:$B$2000"),'Calculations'!$EM293)&amp;"")),""))</x:f>
      </x:c>
      <x:c r="HH293" t="n">
        <x:f>IF(AND('Calculations'!JC293&gt;0,COUNTIF('Calculations'!$HF$12:HF293,"="&amp;SUBSTITUTE(SUBSTITUTE(SUBSTITUTE('Calculations'!HF293,"~","~~"),"*","~*"),"?","~?"))=1),MAX('Calculations'!$HH$12:HH292)+1,0)</x:f>
        <x:v>0</x:v>
      </x:c>
      <x:c r="HI293" t="n">
        <x:f>IF(AND('Calculations'!HN293&lt;&gt;"",COUNTIF('Calculations'!$HN$12:HN293,"="&amp;SUBSTITUTE(SUBSTITUTE(SUBSTITUTE('Calculations'!HN293,"~","~~"),"*","~*"),"?","~?"))=1),MAX('Calculations'!$HI$12:HI292)+1,0)</x:f>
        <x:v>0</x:v>
      </x:c>
      <x:c r="HJ293" t="str">
        <x:f>IF('Calculations'!HF293="","",IF(COUNTIF('Calculations'!$HE$13:$HE$512,"="&amp;SUBSTITUTE(SUBSTITUTE(SUBSTITUTE('Calculations'!HF293,"~","~~"),"*","~*"),"?","~?"))=1,INDEX('Calculations'!$HK$13:$HK$512,MATCH('Calculations'!HF293,'Calculations'!$HE$13:$HE$512,0)),IFERROR(IF(INDEX(INDIRECT("'WCM Calibration Final'!$E$1:$E$2000"),'Calculations'!$EM293)="","",TRIM(INDEX(INDIRECT("'WCM Calibration Final'!$E$1:$E$2000"),'Calculations'!$EM293)&amp;"")),"")&amp;" ["&amp;'Calculations'!HF293&amp;"]"))</x:f>
      </x:c>
      <x:c r="HK293" t="str">
        <x:f>IF('Calculations'!EM293="","",'Calculations'!HG293&amp;" ["&amp;'Calculations'!HE293&amp;"]")</x:f>
      </x:c>
      <x:c r="HL293" t="n">
        <x:f>IF('Calculations'!EM293="",0,IF(OR('Calculations'!II293&lt;&gt;"",COUNTIF('Calculations'!$HE$13:$HE$512,"="&amp;SUBSTITUTE(SUBSTITUTE(SUBSTITUTE('Calculations'!HE293,"~","~~"),"*","~*"),"?","~?"))&gt;1),1,0))</x:f>
        <x:v>0</x:v>
      </x:c>
      <x:c r="HM293" t="str">
        <x:f>IF('Calculations'!EM293="","",IF('Calculations'!HL293=1,"!UNRESOLVED",IF('Calculations'!IH293&lt;&gt;"",'Calculations'!IH293,IF('Calculations'!IG293&lt;&gt;"",'Calculations'!IG293,IF('Calculations'!IF293&lt;&gt;"",'Calculations'!IF293,IF('Calculations'!IE293&lt;&gt;"",'Calculations'!IE293,IF('Calculations'!ID293&lt;&gt;"",'Calculations'!ID293,IF('Calculations'!IC293&lt;&gt;"",'Calculations'!IC293,IF('Calculations'!IB293&lt;&gt;"",'Calculations'!IB293,IF('Calculations'!IA293&lt;&gt;"",'Calculations'!IA293,IF('Calculations'!HZ293&lt;&gt;"",'Calculations'!HZ293,IF('Calculations'!HY293&lt;&gt;"",'Calculations'!HY293,IF('Calculations'!HX293&lt;&gt;"",'Calculations'!HX293,IF('Calculations'!HW293&lt;&gt;"",'Calculations'!HW293,IF('Calculations'!HV293&lt;&gt;"",'Calculations'!HV293,IF('Calculations'!HU293&lt;&gt;"",'Calculations'!HU293,IF('Calculations'!HT293&lt;&gt;"",'Calculations'!HT293,IF('Calculations'!HS293&lt;&gt;"",'Calculations'!HS293,IF('Calculations'!HR293&lt;&gt;"",'Calculations'!HR293,IF('Calculations'!HQ293&lt;&gt;"",'Calculations'!HQ293,IF('Calculations'!HP293&lt;&gt;"",'Calculations'!HP293,IF('Calculations'!HO293&lt;&gt;"",'Calculations'!HO293,'Calculations'!HE293))))))))))))))))))))))</x:f>
      </x:c>
      <x:c r="HN293" t="str">
        <x:f>IF('Calculations'!EM293="","",IF(IFERROR(IF(INDEX(INDIRECT("'WCM Calibration Final'!$F$1:$F$2000"),'Calculations'!$EM293)="","",TRIM(INDEX(INDIRECT("'WCM Calibration Final'!$F$1:$F$2000"),'Calculations'!$EM293)&amp;"")),"")="","(Blank)",IFERROR(IF(INDEX(INDIRECT("'WCM Calibration Final'!$F$1:$F$2000"),'Calculations'!$EM293)="","",TRIM(INDEX(INDIRECT("'WCM Calibration Final'!$F$1:$F$2000"),'Calculations'!$EM293)&amp;"")),"")))</x:f>
      </x:c>
      <x:c r="HO293" t="str">
        <x:f>'Calculations'!HF293</x:f>
      </x:c>
      <x:c r="HP293" t="str">
        <x:f>IF('Calculations'!HO293="","",IF('Calculations'!HO293="!AMBIG","!AMBIG",IF(COUNTIF('Calculations'!$HE$13:$HE$512,"="&amp;SUBSTITUTE(SUBSTITUTE(SUBSTITUTE('Calculations'!HO293,"~","~~"),"*","~*"),"?","~?"))&gt;1,"!AMBIG",IFERROR(INDEX('Calculations'!$HF$13:$HF$512,MATCH('Calculations'!HO293,'Calculations'!$HE$13:$HE$512,0)),""))))</x:f>
      </x:c>
      <x:c r="HQ293" t="str">
        <x:f>IF('Calculations'!HP293="","",IF('Calculations'!HP293="!AMBIG","!AMBIG",IF(COUNTIF('Calculations'!$HE$13:$HE$512,"="&amp;SUBSTITUTE(SUBSTITUTE(SUBSTITUTE('Calculations'!HP293,"~","~~"),"*","~*"),"?","~?"))&gt;1,"!AMBIG",IFERROR(INDEX('Calculations'!$HF$13:$HF$512,MATCH('Calculations'!HP293,'Calculations'!$HE$13:$HE$512,0)),""))))</x:f>
      </x:c>
      <x:c r="HR293" t="str">
        <x:f>IF('Calculations'!HQ293="","",IF('Calculations'!HQ293="!AMBIG","!AMBIG",IF(COUNTIF('Calculations'!$HE$13:$HE$512,"="&amp;SUBSTITUTE(SUBSTITUTE(SUBSTITUTE('Calculations'!HQ293,"~","~~"),"*","~*"),"?","~?"))&gt;1,"!AMBIG",IFERROR(INDEX('Calculations'!$HF$13:$HF$512,MATCH('Calculations'!HQ293,'Calculations'!$HE$13:$HE$512,0)),""))))</x:f>
      </x:c>
      <x:c r="HS293" t="str">
        <x:f>IF('Calculations'!HR293="","",IF('Calculations'!HR293="!AMBIG","!AMBIG",IF(COUNTIF('Calculations'!$HE$13:$HE$512,"="&amp;SUBSTITUTE(SUBSTITUTE(SUBSTITUTE('Calculations'!HR293,"~","~~"),"*","~*"),"?","~?"))&gt;1,"!AMBIG",IFERROR(INDEX('Calculations'!$HF$13:$HF$512,MATCH('Calculations'!HR293,'Calculations'!$HE$13:$HE$512,0)),""))))</x:f>
      </x:c>
      <x:c r="HT293" t="str">
        <x:f>IF('Calculations'!HS293="","",IF('Calculations'!HS293="!AMBIG","!AMBIG",IF(COUNTIF('Calculations'!$HE$13:$HE$512,"="&amp;SUBSTITUTE(SUBSTITUTE(SUBSTITUTE('Calculations'!HS293,"~","~~"),"*","~*"),"?","~?"))&gt;1,"!AMBIG",IFERROR(INDEX('Calculations'!$HF$13:$HF$512,MATCH('Calculations'!HS293,'Calculations'!$HE$13:$HE$512,0)),""))))</x:f>
      </x:c>
      <x:c r="HU293" t="str">
        <x:f>IF('Calculations'!HT293="","",IF('Calculations'!HT293="!AMBIG","!AMBIG",IF(COUNTIF('Calculations'!$HE$13:$HE$512,"="&amp;SUBSTITUTE(SUBSTITUTE(SUBSTITUTE('Calculations'!HT293,"~","~~"),"*","~*"),"?","~?"))&gt;1,"!AMBIG",IFERROR(INDEX('Calculations'!$HF$13:$HF$512,MATCH('Calculations'!HT293,'Calculations'!$HE$13:$HE$512,0)),""))))</x:f>
      </x:c>
      <x:c r="HV293" t="str">
        <x:f>IF('Calculations'!HU293="","",IF('Calculations'!HU293="!AMBIG","!AMBIG",IF(COUNTIF('Calculations'!$HE$13:$HE$512,"="&amp;SUBSTITUTE(SUBSTITUTE(SUBSTITUTE('Calculations'!HU293,"~","~~"),"*","~*"),"?","~?"))&gt;1,"!AMBIG",IFERROR(INDEX('Calculations'!$HF$13:$HF$512,MATCH('Calculations'!HU293,'Calculations'!$HE$13:$HE$512,0)),""))))</x:f>
      </x:c>
      <x:c r="HW293" t="str">
        <x:f>IF('Calculations'!HV293="","",IF('Calculations'!HV293="!AMBIG","!AMBIG",IF(COUNTIF('Calculations'!$HE$13:$HE$512,"="&amp;SUBSTITUTE(SUBSTITUTE(SUBSTITUTE('Calculations'!HV293,"~","~~"),"*","~*"),"?","~?"))&gt;1,"!AMBIG",IFERROR(INDEX('Calculations'!$HF$13:$HF$512,MATCH('Calculations'!HV293,'Calculations'!$HE$13:$HE$512,0)),""))))</x:f>
      </x:c>
      <x:c r="HX293" t="str">
        <x:f>IF('Calculations'!HW293="","",IF('Calculations'!HW293="!AMBIG","!AMBIG",IF(COUNTIF('Calculations'!$HE$13:$HE$512,"="&amp;SUBSTITUTE(SUBSTITUTE(SUBSTITUTE('Calculations'!HW293,"~","~~"),"*","~*"),"?","~?"))&gt;1,"!AMBIG",IFERROR(INDEX('Calculations'!$HF$13:$HF$512,MATCH('Calculations'!HW293,'Calculations'!$HE$13:$HE$512,0)),""))))</x:f>
      </x:c>
      <x:c r="HY293" t="str">
        <x:f>IF('Calculations'!HX293="","",IF('Calculations'!HX293="!AMBIG","!AMBIG",IF(COUNTIF('Calculations'!$HE$13:$HE$512,"="&amp;SUBSTITUTE(SUBSTITUTE(SUBSTITUTE('Calculations'!HX293,"~","~~"),"*","~*"),"?","~?"))&gt;1,"!AMBIG",IFERROR(INDEX('Calculations'!$HF$13:$HF$512,MATCH('Calculations'!HX293,'Calculations'!$HE$13:$HE$512,0)),""))))</x:f>
      </x:c>
      <x:c r="HZ293" t="str">
        <x:f>IF('Calculations'!HY293="","",IF('Calculations'!HY293="!AMBIG","!AMBIG",IF(COUNTIF('Calculations'!$HE$13:$HE$512,"="&amp;SUBSTITUTE(SUBSTITUTE(SUBSTITUTE('Calculations'!HY293,"~","~~"),"*","~*"),"?","~?"))&gt;1,"!AMBIG",IFERROR(INDEX('Calculations'!$HF$13:$HF$512,MATCH('Calculations'!HY293,'Calculations'!$HE$13:$HE$512,0)),""))))</x:f>
      </x:c>
      <x:c r="IA293" t="str">
        <x:f>IF('Calculations'!HZ293="","",IF('Calculations'!HZ293="!AMBIG","!AMBIG",IF(COUNTIF('Calculations'!$HE$13:$HE$512,"="&amp;SUBSTITUTE(SUBSTITUTE(SUBSTITUTE('Calculations'!HZ293,"~","~~"),"*","~*"),"?","~?"))&gt;1,"!AMBIG",IFERROR(INDEX('Calculations'!$HF$13:$HF$512,MATCH('Calculations'!HZ293,'Calculations'!$HE$13:$HE$512,0)),""))))</x:f>
      </x:c>
      <x:c r="IB293" t="str">
        <x:f>IF('Calculations'!IA293="","",IF('Calculations'!IA293="!AMBIG","!AMBIG",IF(COUNTIF('Calculations'!$HE$13:$HE$512,"="&amp;SUBSTITUTE(SUBSTITUTE(SUBSTITUTE('Calculations'!IA293,"~","~~"),"*","~*"),"?","~?"))&gt;1,"!AMBIG",IFERROR(INDEX('Calculations'!$HF$13:$HF$512,MATCH('Calculations'!IA293,'Calculations'!$HE$13:$HE$512,0)),""))))</x:f>
      </x:c>
      <x:c r="IC293" t="str">
        <x:f>IF('Calculations'!IB293="","",IF('Calculations'!IB293="!AMBIG","!AMBIG",IF(COUNTIF('Calculations'!$HE$13:$HE$512,"="&amp;SUBSTITUTE(SUBSTITUTE(SUBSTITUTE('Calculations'!IB293,"~","~~"),"*","~*"),"?","~?"))&gt;1,"!AMBIG",IFERROR(INDEX('Calculations'!$HF$13:$HF$512,MATCH('Calculations'!IB293,'Calculations'!$HE$13:$HE$512,0)),""))))</x:f>
      </x:c>
      <x:c r="ID293" t="str">
        <x:f>IF('Calculations'!IC293="","",IF('Calculations'!IC293="!AMBIG","!AMBIG",IF(COUNTIF('Calculations'!$HE$13:$HE$512,"="&amp;SUBSTITUTE(SUBSTITUTE(SUBSTITUTE('Calculations'!IC293,"~","~~"),"*","~*"),"?","~?"))&gt;1,"!AMBIG",IFERROR(INDEX('Calculations'!$HF$13:$HF$512,MATCH('Calculations'!IC293,'Calculations'!$HE$13:$HE$512,0)),""))))</x:f>
      </x:c>
      <x:c r="IE293" t="str">
        <x:f>IF('Calculations'!ID293="","",IF('Calculations'!ID293="!AMBIG","!AMBIG",IF(COUNTIF('Calculations'!$HE$13:$HE$512,"="&amp;SUBSTITUTE(SUBSTITUTE(SUBSTITUTE('Calculations'!ID293,"~","~~"),"*","~*"),"?","~?"))&gt;1,"!AMBIG",IFERROR(INDEX('Calculations'!$HF$13:$HF$512,MATCH('Calculations'!ID293,'Calculations'!$HE$13:$HE$512,0)),""))))</x:f>
      </x:c>
      <x:c r="IF293" t="str">
        <x:f>IF('Calculations'!IE293="","",IF('Calculations'!IE293="!AMBIG","!AMBIG",IF(COUNTIF('Calculations'!$HE$13:$HE$512,"="&amp;SUBSTITUTE(SUBSTITUTE(SUBSTITUTE('Calculations'!IE293,"~","~~"),"*","~*"),"?","~?"))&gt;1,"!AMBIG",IFERROR(INDEX('Calculations'!$HF$13:$HF$512,MATCH('Calculations'!IE293,'Calculations'!$HE$13:$HE$512,0)),""))))</x:f>
      </x:c>
      <x:c r="IG293" t="str">
        <x:f>IF('Calculations'!IF293="","",IF('Calculations'!IF293="!AMBIG","!AMBIG",IF(COUNTIF('Calculations'!$HE$13:$HE$512,"="&amp;SUBSTITUTE(SUBSTITUTE(SUBSTITUTE('Calculations'!IF293,"~","~~"),"*","~*"),"?","~?"))&gt;1,"!AMBIG",IFERROR(INDEX('Calculations'!$HF$13:$HF$512,MATCH('Calculations'!IF293,'Calculations'!$HE$13:$HE$512,0)),""))))</x:f>
      </x:c>
      <x:c r="IH293" t="str">
        <x:f>IF('Calculations'!IG293="","",IF('Calculations'!IG293="!AMBIG","!AMBIG",IF(COUNTIF('Calculations'!$HE$13:$HE$512,"="&amp;SUBSTITUTE(SUBSTITUTE(SUBSTITUTE('Calculations'!IG293,"~","~~"),"*","~*"),"?","~?"))&gt;1,"!AMBIG",IFERROR(INDEX('Calculations'!$HF$13:$HF$512,MATCH('Calculations'!IG293,'Calculations'!$HE$13:$HE$512,0)),""))))</x:f>
      </x:c>
      <x:c r="II293" t="str">
        <x:f>IF('Calculations'!IH293="","",IF('Calculations'!IH293="!AMBIG","!AMBIG",IF(COUNTIF('Calculations'!$HE$13:$HE$512,"="&amp;SUBSTITUTE(SUBSTITUTE(SUBSTITUTE('Calculations'!IH293,"~","~~"),"*","~*"),"?","~?"))&gt;1,"!AMBIG",IFERROR(INDEX('Calculations'!$HF$13:$HF$512,MATCH('Calculations'!IH293,'Calculations'!$HE$13:$HE$512,0)),""))))</x:f>
      </x:c>
      <x:c r="IJ293" t="str">
        <x:f>IF('Calculations'!EM293="","",IF('Calculations'!$EF$2="All",'Calculations'!HM293,IF('Calculations'!HL293=1,"",IFERROR(IF(MATCH('Calculations'!$EF$2,'Calculations'!HO293:II293,0)=1,'Calculations'!HE293,INDEX('Calculations'!HO293:II293,1,MATCH('Calculations'!$EF$2,'Calculations'!HO293:II293,0)-1)),""))))</x:f>
      </x:c>
      <x:c r="IK293" t="n">
        <x:f>IF(AND('Calculations'!EM293&lt;&gt;"",'Calculations'!$EF$2&lt;&gt;"All",'Calculations'!HF293='Calculations'!$EF$2,'Calculations'!HL293=0,'Calculations'!JD293&gt;0),MAX('Calculations'!$IK$12:IK292)+1,0)</x:f>
        <x:v>0</x:v>
      </x:c>
      <x:c r="JA293" t="n">
        <x:f>IF(OR(IFERROR(INDIRECT("'WCM Calibration Final'!$A$293")&lt;&gt;"",FALSE),IFERROR(INDIRECT("'WCM Calibration Final'!$B$293")&lt;&gt;"",FALSE),IFERROR(INDIRECT("'WCM Calibration Final'!$C$293")&lt;&gt;"",FALSE)),293,0)</x:f>
        <x:v>0</x:v>
      </x:c>
      <x:c r="JB293" t="n">
        <x:f>'Calculations'!JB292+IF('Calculations'!JA293&gt;0,1,0)</x:f>
        <x:v>0</x:v>
      </x:c>
      <x:c r="JC293" t="n">
        <x:f>IF(OR('Calculations'!HF293="",'Calculations'!HF293="!AMBIG"),0,IF('Dashboard'!$B$7="All",1,COUNTIFS('Calculations'!$HO$13:$HO$512,"="&amp;SUBSTITUTE(SUBSTITUTE(SUBSTITUTE('Calculations'!HF293,"~","~~"),"*","~*"),"?","~?"),'Calculations'!$HN$13:$HN$512,"="&amp;SUBSTITUTE(SUBSTITUTE(SUBSTITUTE('Dashboard'!$B$7,"~","~~"),"*","~*"),"?","~?"))+COUNTIFS('Calculations'!$HP$13:$HP$512,"="&amp;SUBSTITUTE(SUBSTITUTE(SUBSTITUTE('Calculations'!HF293,"~","~~"),"*","~*"),"?","~?"),'Calculations'!$HN$13:$HN$512,"="&amp;SUBSTITUTE(SUBSTITUTE(SUBSTITUTE('Dashboard'!$B$7,"~","~~"),"*","~*"),"?","~?"))+COUNTIFS('Calculations'!$HQ$13:$HQ$512,"="&amp;SUBSTITUTE(SUBSTITUTE(SUBSTITUTE('Calculations'!HF293,"~","~~"),"*","~*"),"?","~?"),'Calculations'!$HN$13:$HN$512,"="&amp;SUBSTITUTE(SUBSTITUTE(SUBSTITUTE('Dashboard'!$B$7,"~","~~"),"*","~*"),"?","~?"))+COUNTIFS('Calculations'!$HR$13:$HR$512,"="&amp;SUBSTITUTE(SUBSTITUTE(SUBSTITUTE('Calculations'!HF293,"~","~~"),"*","~*"),"?","~?"),'Calculations'!$HN$13:$HN$512,"="&amp;SUBSTITUTE(SUBSTITUTE(SUBSTITUTE('Dashboard'!$B$7,"~","~~"),"*","~*"),"?","~?"))+COUNTIFS('Calculations'!$HS$13:$HS$512,"="&amp;SUBSTITUTE(SUBSTITUTE(SUBSTITUTE('Calculations'!HF293,"~","~~"),"*","~*"),"?","~?"),'Calculations'!$HN$13:$HN$512,"="&amp;SUBSTITUTE(SUBSTITUTE(SUBSTITUTE('Dashboard'!$B$7,"~","~~"),"*","~*"),"?","~?"))+COUNTIFS('Calculations'!$HT$13:$HT$512,"="&amp;SUBSTITUTE(SUBSTITUTE(SUBSTITUTE('Calculations'!HF293,"~","~~"),"*","~*"),"?","~?"),'Calculations'!$HN$13:$HN$512,"="&amp;SUBSTITUTE(SUBSTITUTE(SUBSTITUTE('Dashboard'!$B$7,"~","~~"),"*","~*"),"?","~?"))+COUNTIFS('Calculations'!$HU$13:$HU$512,"="&amp;SUBSTITUTE(SUBSTITUTE(SUBSTITUTE('Calculations'!HF293,"~","~~"),"*","~*"),"?","~?"),'Calculations'!$HN$13:$HN$512,"="&amp;SUBSTITUTE(SUBSTITUTE(SUBSTITUTE('Dashboard'!$B$7,"~","~~"),"*","~*"),"?","~?"))+COUNTIFS('Calculations'!$HV$13:$HV$512,"="&amp;SUBSTITUTE(SUBSTITUTE(SUBSTITUTE('Calculations'!HF293,"~","~~"),"*","~*"),"?","~?"),'Calculations'!$HN$13:$HN$512,"="&amp;SUBSTITUTE(SUBSTITUTE(SUBSTITUTE('Dashboard'!$B$7,"~","~~"),"*","~*"),"?","~?"))+COUNTIFS('Calculations'!$HW$13:$HW$512,"="&amp;SUBSTITUTE(SUBSTITUTE(SUBSTITUTE('Calculations'!HF293,"~","~~"),"*","~*"),"?","~?"),'Calculations'!$HN$13:$HN$512,"="&amp;SUBSTITUTE(SUBSTITUTE(SUBSTITUTE('Dashboard'!$B$7,"~","~~"),"*","~*"),"?","~?"))+COUNTIFS('Calculations'!$HX$13:$HX$512,"="&amp;SUBSTITUTE(SUBSTITUTE(SUBSTITUTE('Calculations'!HF293,"~","~~"),"*","~*"),"?","~?"),'Calculations'!$HN$13:$HN$512,"="&amp;SUBSTITUTE(SUBSTITUTE(SUBSTITUTE('Dashboard'!$B$7,"~","~~"),"*","~*"),"?","~?"))+COUNTIFS('Calculations'!$HY$13:$HY$512,"="&amp;SUBSTITUTE(SUBSTITUTE(SUBSTITUTE('Calculations'!HF293,"~","~~"),"*","~*"),"?","~?"),'Calculations'!$HN$13:$HN$512,"="&amp;SUBSTITUTE(SUBSTITUTE(SUBSTITUTE('Dashboard'!$B$7,"~","~~"),"*","~*"),"?","~?"))+COUNTIFS('Calculations'!$HZ$13:$HZ$512,"="&amp;SUBSTITUTE(SUBSTITUTE(SUBSTITUTE('Calculations'!HF293,"~","~~"),"*","~*"),"?","~?"),'Calculations'!$HN$13:$HN$512,"="&amp;SUBSTITUTE(SUBSTITUTE(SUBSTITUTE('Dashboard'!$B$7,"~","~~"),"*","~*"),"?","~?"))+COUNTIFS('Calculations'!$IA$13:$IA$512,"="&amp;SUBSTITUTE(SUBSTITUTE(SUBSTITUTE('Calculations'!HF293,"~","~~"),"*","~*"),"?","~?"),'Calculations'!$HN$13:$HN$512,"="&amp;SUBSTITUTE(SUBSTITUTE(SUBSTITUTE('Dashboard'!$B$7,"~","~~"),"*","~*"),"?","~?"))+COUNTIFS('Calculations'!$IB$13:$IB$512,"="&amp;SUBSTITUTE(SUBSTITUTE(SUBSTITUTE('Calculations'!HF293,"~","~~"),"*","~*"),"?","~?"),'Calculations'!$HN$13:$HN$512,"="&amp;SUBSTITUTE(SUBSTITUTE(SUBSTITUTE('Dashboard'!$B$7,"~","~~"),"*","~*"),"?","~?"))+COUNTIFS('Calculations'!$IC$13:$IC$512,"="&amp;SUBSTITUTE(SUBSTITUTE(SUBSTITUTE('Calculations'!HF293,"~","~~"),"*","~*"),"?","~?"),'Calculations'!$HN$13:$HN$512,"="&amp;SUBSTITUTE(SUBSTITUTE(SUBSTITUTE('Dashboard'!$B$7,"~","~~"),"*","~*"),"?","~?"))+COUNTIFS('Calculations'!$ID$13:$ID$512,"="&amp;SUBSTITUTE(SUBSTITUTE(SUBSTITUTE('Calculations'!HF293,"~","~~"),"*","~*"),"?","~?"),'Calculations'!$HN$13:$HN$512,"="&amp;SUBSTITUTE(SUBSTITUTE(SUBSTITUTE('Dashboard'!$B$7,"~","~~"),"*","~*"),"?","~?"))+COUNTIFS('Calculations'!$IE$13:$IE$512,"="&amp;SUBSTITUTE(SUBSTITUTE(SUBSTITUTE('Calculations'!HF293,"~","~~"),"*","~*"),"?","~?"),'Calculations'!$HN$13:$HN$512,"="&amp;SUBSTITUTE(SUBSTITUTE(SUBSTITUTE('Dashboard'!$B$7,"~","~~"),"*","~*"),"?","~?"))+COUNTIFS('Calculations'!$IF$13:$IF$512,"="&amp;SUBSTITUTE(SUBSTITUTE(SUBSTITUTE('Calculations'!HF293,"~","~~"),"*","~*"),"?","~?"),'Calculations'!$HN$13:$HN$512,"="&amp;SUBSTITUTE(SUBSTITUTE(SUBSTITUTE('Dashboard'!$B$7,"~","~~"),"*","~*"),"?","~?"))+COUNTIFS('Calculations'!$IG$13:$IG$512,"="&amp;SUBSTITUTE(SUBSTITUTE(SUBSTITUTE('Calculations'!HF293,"~","~~"),"*","~*"),"?","~?"),'Calculations'!$HN$13:$HN$512,"="&amp;SUBSTITUTE(SUBSTITUTE(SUBSTITUTE('Dashboard'!$B$7,"~","~~"),"*","~*"),"?","~?"))+COUNTIFS('Calculations'!$IH$13:$IH$512,"="&amp;SUBSTITUTE(SUBSTITUTE(SUBSTITUTE('Calculations'!HF293,"~","~~"),"*","~*"),"?","~?"),'Calculations'!$HN$13:$HN$512,"="&amp;SUBSTITUTE(SUBSTITUTE(SUBSTITUTE('Dashboard'!$B$7,"~","~~"),"*","~*"),"?","~?"))))</x:f>
        <x:v>0</x:v>
      </x:c>
      <x:c r="JD293" t="n">
        <x:f>IF('Calculations'!EM293="",0,IF('Dashboard'!$B$7="All",1,IF('Calculations'!HN293='Dashboard'!$B$7,1,0)+IFERROR(INDEX('Calculations'!$JC$13:$JC$512,MATCH('Calculations'!HE293,'Calculations'!$HF$13:$HF$512,0)),0)))</x:f>
        <x:v>0</x:v>
      </x:c>
      <x:c r="JE293" t="n">
        <x:f>IF(AND('Calculations'!EM293&lt;&gt;"",'Calculations'!$JJ$2&lt;&gt;"All",'Calculations'!$JJ$2&lt;&gt;"",'Calculations'!HF293='Calculations'!$JJ$2,'Calculations'!HL293=0,'Calculations'!JD293&gt;0),MAX('Calculations'!$JE$12:JE292)+1,0)</x:f>
        <x:v>0</x:v>
      </x:c>
      <x:c r="JF293" t="str">
        <x:f>IF('Calculations'!EM293="","",IFERROR(IF(INDEX(INDIRECT("'WCM Calibration Final'!$G$1:$G$2000"),'Calculations'!$EM293)="","",TRIM(INDEX(INDIRECT("'WCM Calibration Final'!$G$1:$G$2000"),'Calculations'!$EM293)&amp;"")),""))</x:f>
      </x:c>
      <x:c r="JQ293" t="n">
        <x:f>IF(OR('Calculations'!BM293=0,NOT('Calculations'!$AG$2),'Calculations'!$AG$8&gt;0),0,IF(OR('Dashboard'!$B$7="All",'Calculations'!HN293='Dashboard'!$B$7),IF('Calculations'!$JJ$2="All",1,IF(AND('Calculations'!HF293='Calculations'!$JJ$2,'Calculations'!HL293=0),1,0)),0))</x:f>
        <x:v>0</x:v>
      </x:c>
    </x:row>
    <x:row r="294">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t="n">
        <x:f>IF('Calculations'!$EM294="",0,IF(OR(IFERROR(INDEX(INDIRECT("'WCM Calibration Final'!$A$1:$A$2000"),'Calculations'!$EM294)&lt;&gt;"",FALSE),IFERROR(INDEX(INDIRECT("'WCM Calibration Final'!$B$1:$B$2000"),'Calculations'!$EM294)&lt;&gt;"",FALSE),IFERROR(INDEX(INDIRECT("'WCM Calibration Final'!$C$1:$C$2000"),'Calculations'!$EM294)&lt;&gt;"",FALSE)),1,0))</x:f>
        <x:v>0</x:v>
      </x:c>
      <x:c r="BN294" s="4" t="n">
        <x:f>IF(AND('Calculations'!BM294=1,'Calculations'!$AG$2,'Calculations'!$EN294=1),1,0)</x:f>
        <x:v>0</x:v>
      </x:c>
      <x:c r="BO294" s="4" t="str">
        <x:f>IF('Calculations'!BM294=0,"",IFERROR(IF(AND(VALUE(INDEX(INDIRECT("'WCM Calibration Final'!$K$1:$K$2000"),'Calculations'!$EM294))&gt;=1,VALUE(INDEX(INDIRECT("'WCM Calibration Final'!$K$1:$K$2000"),'Calculations'!$EM294))&lt;=4,MOD(VALUE(INDEX(INDIRECT("'WCM Calibration Final'!$K$1:$K$2000"),'Calculations'!$EM294)),1)=0),VALUE(INDEX(INDIRECT("'WCM Calibration Final'!$K$1:$K$2000"),'Calculations'!$EM294)),""),""))</x:f>
      </x:c>
      <x:c r="BP294" s="4" t="str">
        <x:f>IF('Calculations'!BM294=0,"",IFERROR(IF(AND(VALUE(INDEX(INDIRECT("'WCM Calibration Final'!$L$1:$L$2000"),'Calculations'!$EM294))&gt;=1,VALUE(INDEX(INDIRECT("'WCM Calibration Final'!$L$1:$L$2000"),'Calculations'!$EM294))&lt;=4,MOD(VALUE(INDEX(INDIRECT("'WCM Calibration Final'!$L$1:$L$2000"),'Calculations'!$EM294)),1)=0),VALUE(INDEX(INDIRECT("'WCM Calibration Final'!$L$1:$L$2000"),'Calculations'!$EM294)),""),""))</x:f>
      </x:c>
      <x:c r="BQ294" s="4"/>
      <x:c r="BR294" s="4"/>
      <x:c r="BS294" s="4"/>
      <x:c r="BT294" s="4" t="n">
        <x:f>IF(AND('Calculations'!BM294=1,ISNUMBER('Calculations'!BO294),ISNUMBER('Calculations'!BP294)),1,0)</x:f>
        <x:v>0</x:v>
      </x:c>
      <x:c r="BU294" s="4" t="str">
        <x:f>IF('Calculations'!BM294=0,"",'Calculations'!$EO294)</x:f>
      </x:c>
      <x:c r="BV294" s="4" t="str">
        <x:f>IF('Calculations'!BM294=0,"",IFERROR(IF(OR(INDEX(INDIRECT("'WCM Calibration Final'!$H$1:$H$2000"),'Calculations'!$EM294)="MANAGING DIRECTOR",INDEX(INDIRECT("'WCM Calibration Final'!$H$1:$H$2000"),'Calculations'!$EM294)="DIRECTOR",INDEX(INDIRECT("'WCM Calibration Final'!$H$1:$H$2000"),'Calculations'!$EM294)="SENIOR VICE PRESIDENT",INDEX(INDIRECT("'WCM Calibration Final'!$H$1:$H$2000"),'Calculations'!$EM294)="VICE PRESIDENT",INDEX(INDIRECT("'WCM Calibration Final'!$H$1:$H$2000"),'Calculations'!$EM294)="ASSISTANT VICE PRESIDENT",INDEX(INDIRECT("'WCM Calibration Final'!$H$1:$H$2000"),'Calculations'!$EM294)="OFFICER"),UPPER(INDEX(INDIRECT("'WCM Calibration Final'!$H$1:$H$2000"),'Calculations'!$EM294)),"Other"),"Other"))</x:f>
      </x:c>
      <x:c r="BW294" s="4"/>
      <x:c r="BX294" s="4"/>
      <x:c r="BY294" s="4" t="n">
        <x:f>IF(AND('Calculations'!BM294=1,'Calculations'!BU294&lt;&gt;"",COUNTIF('Calculations'!$BU$12:BU294,'Calculations'!BU294)=1),MAX('Calculations'!$BY$11:BY293)+1,0)</x:f>
        <x:v>0</x:v>
      </x:c>
      <x:c r="BZ294" s="4" t="str">
        <x:f>IF('Dashboard'!$E$67="What",'Calculations'!BO294,'Calculations'!BP294)</x:f>
      </x:c>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t="str">
        <x:f>IF(283&gt;MAX('Calculations'!$HI$13:$HI$512),"",INDEX('Calculations'!$HN$13:$HN$512,MATCH(283,'Calculations'!$HI$13:$HI$512,0)))</x:f>
      </x:c>
      <x:c r="DB294" s="4" t="str">
        <x:f>IF(283&gt;MAX('Calculations'!$HH$13:$HH$512),"",INDEX('Calculations'!$HJ$13:$HJ$512,MATCH(283,'Calculations'!$HH$13:$HH$512,0)))</x:f>
      </x:c>
      <x:c r="DC294" s="4" t="str">
        <x:f>IF(ROW()-11&gt;MAX('Calculations'!$BY$13:$BY$512),"",INDEX('Calculations'!$BU$13:$BU$512,MATCH(ROW()-11,'Calculations'!$BY$13:$BY$512,0)))</x:f>
      </x:c>
      <x:c r="DD294" s="4" t="str">
        <x:f>IF(283&gt;MAX('Calculations'!$IK$13:$IK$512),"",INDEX('Calculations'!$HK$13:$HK$512,MATCH(283,'Calculations'!$IK$13:$IK$512,0)))</x:f>
      </x:c>
      <x:c r="DE294" s="4" t="str">
        <x:f>'Calculations'!DC294</x:f>
      </x:c>
      <x:c r="DF294" s="4" t="str">
        <x:f>IF('Calculations'!DE294="","",COUNTIFS('Calculations'!$BN$13:$BN$512,1,'Calculations'!$BU$13:$BU$512,'Calculations'!DE294))</x:f>
      </x:c>
      <x:c r="DG294" s="4" t="str">
        <x:f>IF('Calculations'!DE294="","",COUNTIFS('Calculations'!$BN$13:$BN$512,1,'Calculations'!$BU$13:$BU$512,'Calculations'!DE294,'Calculations'!$BT$13:$BT$512,1))</x:f>
      </x:c>
      <x:c r="DH294" s="4" t="str">
        <x:f>IF('Calculations'!DE294="","",'Calculations'!DF294-'Calculations'!DG294)</x:f>
      </x:c>
      <x:c r="DI294" s="4" t="str">
        <x:f>IF(OR('Calculations'!DE294="",'Calculations'!DF294=0),"",'Calculations'!DG294/'Calculations'!DF294)</x:f>
      </x:c>
      <x:c r="DJ294" s="4" t="str">
        <x:f>IF('Calculations'!DE294="","",COUNTIFS('Calculations'!$BN$13:$BN$512,1,'Calculations'!$BU$13:$BU$512,'Calculations'!DE294,'Calculations'!$BT$13:$BT$512,1,'Calculations'!$EE$13:$EE$512,"High"))</x:f>
      </x:c>
      <x:c r="DK294" s="4" t="str">
        <x:f>IF('Calculations'!DE294="","",COUNTIFS('Calculations'!$BN$13:$BN$512,1,'Calculations'!$BU$13:$BU$512,'Calculations'!DE294,'Calculations'!$BT$13:$BT$512,1,'Calculations'!$EE$13:$EE$512,"Strong"))</x:f>
      </x:c>
      <x:c r="DL294" s="4" t="str">
        <x:f>IF('Calculations'!DE294="","",COUNTIFS('Calculations'!$BN$13:$BN$512,1,'Calculations'!$BU$13:$BU$512,'Calculations'!DE294,'Calculations'!$BT$13:$BT$512,1,'Calculations'!$EE$13:$EE$512,"Solid"))</x:f>
      </x:c>
      <x:c r="DM294" s="4" t="str">
        <x:f>IF('Calculations'!DE294="","",COUNTIFS('Calculations'!$BN$13:$BN$512,1,'Calculations'!$BU$13:$BU$512,'Calculations'!DE294,'Calculations'!$BT$13:$BT$512,1,'Calculations'!$EE$13:$EE$512,"Low"))</x:f>
      </x:c>
      <x:c r="DN294" s="4" t="str">
        <x:f>IF('Calculations'!DE294="","",COUNTIFS('Calculations'!$BN$13:$BN$512,1,'Calculations'!$BU$13:$BU$512,'Calculations'!DE294,'Calculations'!$EP$13:$EP$512,1))</x:f>
      </x:c>
      <x:c r="DO294" s="4" t="str">
        <x:f>IF(OR('Calculations'!DE294="",'Calculations'!DG294=0),"",('Calculations'!DJ294+'Calculations'!DK294)/'Calculations'!DG294)</x:f>
      </x:c>
      <x:c r="DP294" s="4" t="n">
        <x:f>IF(AND('Calculations'!DE294&lt;&gt;"",'Calculations'!DF294&gt;0),COUNTIF('Calculations'!$DF$12:DF294,"&gt;0"),0)</x:f>
        <x:v>0</x:v>
      </x:c>
      <x:c r="DQ294" s="4" t="str">
        <x:f>IF(283&gt;MAX('Calculations'!$HH$13:$HH$512),"",INDEX('Calculations'!$HF$13:$HF$512,MATCH(283,'Calculations'!$HH$13:$HH$512,0)))</x:f>
      </x:c>
      <x:c r="DR294" s="4" t="str">
        <x:f>IF(283&gt;MAX('Calculations'!$IK$13:$IK$512),"",INDEX('Calculations'!$HE$13:$HE$512,MATCH(283,'Calculations'!$IK$13:$IK$512,0)))</x:f>
      </x:c>
      <x:c r="DS294" s="4"/>
      <x:c r="DT294" s="4"/>
      <x:c r="DU294" s="4"/>
      <x:c r="DV294" s="4"/>
      <x:c r="DW294" s="4"/>
      <x:c r="DX294" s="4"/>
      <x:c r="DY294" s="4"/>
      <x:c r="DZ294" s="4"/>
      <x:c r="EA294" s="4"/>
      <x:c r="EB294" s="4"/>
      <x:c r="EC294" s="4"/>
      <x:c r="ED294" s="4"/>
      <x:c r="EE294" s="4" t="str">
        <x:f>IF('Calculations'!BT294=0,"Not Rated",IF(OR('Calculations'!BO294&gt;=4,'Calculations'!BP294&gt;=4),"Low",IF('Calculations'!BO294+'Calculations'!BP294&lt;=3,"High",IF('Calculations'!BO294+'Calculations'!BP294&lt;=4,"Strong","Solid"))))</x:f>
        <x:v>Not Rated</x:v>
      </x:c>
      <x:c r="EF294" s="4"/>
      <x:c r="EG294" s="4"/>
      <x:c r="EH294" s="4"/>
      <x:c r="EI294" s="4"/>
      <x:c r="EJ294" s="4"/>
      <x:c r="EK294" s="4"/>
      <x:c r="EL294" s="4"/>
      <x:c r="EM294" s="4" t="str">
        <x:f>IF(282&gt;'Calculations'!$JB$2000,"",INDEX('Calculations'!$JA$12:$JA$2000,MATCH(282,'Calculations'!$JB$12:$JB$2000,0)))</x:f>
      </x:c>
      <x:c r="EN294" s="4" t="n">
        <x:f>IF(OR('Calculations'!EM294="",'Calculations'!$AG$8&gt;0,AND('Calculations'!$EF$2&lt;&gt;"All",'Calculations'!HE294='Calculations'!$EF$2),AND('Calculations'!$EF$3&lt;&gt;"All",'Calculations'!HE294='Calculations'!$EF$3)),0,IF(OR('Dashboard'!$B$7="All",'Calculations'!HN294='Dashboard'!$B$7),IF('Calculations'!$EF$2="All",1,IF('Calculations'!HL294&gt;0,0,IF(COUNTIF('Calculations'!HO294:II294,"="&amp;SUBSTITUTE(SUBSTITUTE(SUBSTITUTE('Calculations'!$EF$2,"~","~~"),"*","~*"),"?","~?"))=0,0,IF('Calculations'!$EF$3="All",1,IF(COUNTIF('Calculations'!HO294:II294,"="&amp;SUBSTITUTE(SUBSTITUTE(SUBSTITUTE('Calculations'!$EF$3,"~","~~"),"*","~*"),"?","~?"))&gt;0,1,0))))),0))</x:f>
        <x:v>0</x:v>
      </x:c>
      <x:c r="EO294" s="4" t="str">
        <x:f>IF('Calculations'!IJ294="","",IF('Calculations'!IJ294="!UNRESOLVED","Unresolved hierarchy",IFERROR(INDEX('Calculations'!$HK$13:$HK$512,MATCH('Calculations'!IJ294,'Calculations'!$HE$13:$HE$512,0)),IFERROR(INDEX('Calculations'!$HJ$13:$HJ$512,MATCH('Calculations'!IJ294,'Calculations'!$HF$13:$HF$512,0)),'Calculations'!IJ294))))</x:f>
      </x:c>
      <x:c r="EP294" s="4" t="n">
        <x:f>IF(AND('Calculations'!EM294&lt;&gt;"",'Calculations'!HF294='Calculations'!IJ294),1,0)</x:f>
        <x:v>0</x:v>
      </x:c>
      <x:c r="EQ294" s="4"/>
      <x:c r="ER294" s="4"/>
      <x:c r="ES294" s="4"/>
      <x:c r="ET294" s="4"/>
      <x:c r="EU294" s="4"/>
      <x:c r="EV294" s="4"/>
      <x:c r="EW294" s="4"/>
      <x:c r="EX294" s="4"/>
      <x:c r="EY294" s="4"/>
      <x:c r="EZ294" s="4"/>
      <x:c r="FA294" s="4"/>
      <x:c r="FB294" s="4"/>
      <x:c r="FC294" s="4"/>
      <x:c r="FD294" s="4"/>
      <x:c r="FE294" s="4"/>
      <x:c r="FF294" s="4"/>
      <x:c r="FG294" s="4"/>
      <x:c r="FH294" s="4"/>
      <x:c r="FI294" s="4"/>
      <x:c r="FJ294" s="4"/>
      <x:c r="FK294" s="4"/>
      <x:c r="FL294" s="4"/>
      <x:c r="FM294" s="4"/>
      <x:c r="FN294" s="4"/>
      <x:c r="FO294" s="4"/>
      <x:c r="HE294" t="str">
        <x:f>IF('Calculations'!EM294="","",IF(IFERROR(IF(INDEX(INDIRECT("'WCM Calibration Final'!$A$1:$A$2000"),'Calculations'!$EM294)="","",TRIM(INDEX(INDIRECT("'WCM Calibration Final'!$A$1:$A$2000"),'Calculations'!$EM294)&amp;"")),"")&lt;&gt;"","G:"&amp;IFERROR(TEXT(1*INDEX(INDIRECT("'WCM Calibration Final'!$A$1:$A$2000"),'Calculations'!$EM294),"0"),UPPER(IFERROR(IF(INDEX(INDIRECT("'WCM Calibration Final'!$A$1:$A$2000"),'Calculations'!$EM294)="","",TRIM(INDEX(INDIRECT("'WCM Calibration Final'!$A$1:$A$2000"),'Calculations'!$EM294)&amp;"")),""))),IF(IFERROR(IF(INDEX(INDIRECT("'WCM Calibration Final'!$C$1:$C$2000"),'Calculations'!$EM294)="","",TRIM(INDEX(INDIRECT("'WCM Calibration Final'!$C$1:$C$2000"),'Calculations'!$EM294)&amp;"")),"")&lt;&gt;"","S:"&amp;UPPER(IFERROR(IF(INDEX(INDIRECT("'WCM Calibration Final'!$C$1:$C$2000"),'Calculations'!$EM294)="","",TRIM(INDEX(INDIRECT("'WCM Calibration Final'!$C$1:$C$2000"),'Calculations'!$EM294)&amp;"")),"")),"R:"&amp;'Calculations'!EM294)))</x:f>
      </x:c>
      <x:c r="HF294" t="str">
        <x:f>IF('Calculations'!EM294="","",IF(IFERROR(IF(INDEX(INDIRECT("'WCM Calibration Final'!$D$1:$D$2000"),'Calculations'!$EM294)="","",TRIM(INDEX(INDIRECT("'WCM Calibration Final'!$D$1:$D$2000"),'Calculations'!$EM294)&amp;"")),"")&lt;&gt;"","G:"&amp;IFERROR(TEXT(1*INDEX(INDIRECT("'WCM Calibration Final'!$D$1:$D$2000"),'Calculations'!$EM294),"0"),UPPER(IFERROR(IF(INDEX(INDIRECT("'WCM Calibration Final'!$D$1:$D$2000"),'Calculations'!$EM294)="","",TRIM(INDEX(INDIRECT("'WCM Calibration Final'!$D$1:$D$2000"),'Calculations'!$EM294)&amp;"")),""))),IF(IFERROR(IF(INDEX(INDIRECT("'WCM Calibration Final'!$E$1:$E$2000"),'Calculations'!$EM294)="","",TRIM(INDEX(INDIRECT("'WCM Calibration Final'!$E$1:$E$2000"),'Calculations'!$EM294)&amp;"")),"")="","",IF(COUNTIF('Calculations'!$HG$13:$HG$512,"="&amp;SUBSTITUTE(SUBSTITUTE(SUBSTITUTE(IFERROR(IF(INDEX(INDIRECT("'WCM Calibration Final'!$E$1:$E$2000"),'Calculations'!$EM294)="","",TRIM(INDEX(INDIRECT("'WCM Calibration Final'!$E$1:$E$2000"),'Calculations'!$EM294)&amp;"")),""),"~","~~"),"*","~*"),"?","~?"))=1,INDEX('Calculations'!$HE$13:$HE$512,MATCH(IFERROR(IF(INDEX(INDIRECT("'WCM Calibration Final'!$E$1:$E$2000"),'Calculations'!$EM294)="","",TRIM(INDEX(INDIRECT("'WCM Calibration Final'!$E$1:$E$2000"),'Calculations'!$EM294)&amp;"")),""),'Calculations'!$HG$13:$HG$512,0)),IF(COUNTIF('Calculations'!$HG$13:$HG$512,"="&amp;SUBSTITUTE(SUBSTITUTE(SUBSTITUTE(IFERROR(IF(INDEX(INDIRECT("'WCM Calibration Final'!$E$1:$E$2000"),'Calculations'!$EM294)="","",TRIM(INDEX(INDIRECT("'WCM Calibration Final'!$E$1:$E$2000"),'Calculations'!$EM294)&amp;"")),""),"~","~~"),"*","~*"),"?","~?"))&gt;1,"!AMBIG","X:"&amp;IFERROR(IF(INDEX(INDIRECT("'WCM Calibration Final'!$E$1:$E$2000"),'Calculations'!$EM294)="","",TRIM(INDEX(INDIRECT("'WCM Calibration Final'!$E$1:$E$2000"),'Calculations'!$EM294)&amp;"")),""))))))</x:f>
      </x:c>
      <x:c r="HG294" t="str">
        <x:f>IF('Calculations'!EM294="","",IFERROR(IF(INDEX(INDIRECT("'WCM Calibration Final'!$B$1:$B$2000"),'Calculations'!$EM294)="","",TRIM(INDEX(INDIRECT("'WCM Calibration Final'!$B$1:$B$2000"),'Calculations'!$EM294)&amp;"")),""))</x:f>
      </x:c>
      <x:c r="HH294" t="n">
        <x:f>IF(AND('Calculations'!JC294&gt;0,COUNTIF('Calculations'!$HF$12:HF294,"="&amp;SUBSTITUTE(SUBSTITUTE(SUBSTITUTE('Calculations'!HF294,"~","~~"),"*","~*"),"?","~?"))=1),MAX('Calculations'!$HH$12:HH293)+1,0)</x:f>
        <x:v>0</x:v>
      </x:c>
      <x:c r="HI294" t="n">
        <x:f>IF(AND('Calculations'!HN294&lt;&gt;"",COUNTIF('Calculations'!$HN$12:HN294,"="&amp;SUBSTITUTE(SUBSTITUTE(SUBSTITUTE('Calculations'!HN294,"~","~~"),"*","~*"),"?","~?"))=1),MAX('Calculations'!$HI$12:HI293)+1,0)</x:f>
        <x:v>0</x:v>
      </x:c>
      <x:c r="HJ294" t="str">
        <x:f>IF('Calculations'!HF294="","",IF(COUNTIF('Calculations'!$HE$13:$HE$512,"="&amp;SUBSTITUTE(SUBSTITUTE(SUBSTITUTE('Calculations'!HF294,"~","~~"),"*","~*"),"?","~?"))=1,INDEX('Calculations'!$HK$13:$HK$512,MATCH('Calculations'!HF294,'Calculations'!$HE$13:$HE$512,0)),IFERROR(IF(INDEX(INDIRECT("'WCM Calibration Final'!$E$1:$E$2000"),'Calculations'!$EM294)="","",TRIM(INDEX(INDIRECT("'WCM Calibration Final'!$E$1:$E$2000"),'Calculations'!$EM294)&amp;"")),"")&amp;" ["&amp;'Calculations'!HF294&amp;"]"))</x:f>
      </x:c>
      <x:c r="HK294" t="str">
        <x:f>IF('Calculations'!EM294="","",'Calculations'!HG294&amp;" ["&amp;'Calculations'!HE294&amp;"]")</x:f>
      </x:c>
      <x:c r="HL294" t="n">
        <x:f>IF('Calculations'!EM294="",0,IF(OR('Calculations'!II294&lt;&gt;"",COUNTIF('Calculations'!$HE$13:$HE$512,"="&amp;SUBSTITUTE(SUBSTITUTE(SUBSTITUTE('Calculations'!HE294,"~","~~"),"*","~*"),"?","~?"))&gt;1),1,0))</x:f>
        <x:v>0</x:v>
      </x:c>
      <x:c r="HM294" t="str">
        <x:f>IF('Calculations'!EM294="","",IF('Calculations'!HL294=1,"!UNRESOLVED",IF('Calculations'!IH294&lt;&gt;"",'Calculations'!IH294,IF('Calculations'!IG294&lt;&gt;"",'Calculations'!IG294,IF('Calculations'!IF294&lt;&gt;"",'Calculations'!IF294,IF('Calculations'!IE294&lt;&gt;"",'Calculations'!IE294,IF('Calculations'!ID294&lt;&gt;"",'Calculations'!ID294,IF('Calculations'!IC294&lt;&gt;"",'Calculations'!IC294,IF('Calculations'!IB294&lt;&gt;"",'Calculations'!IB294,IF('Calculations'!IA294&lt;&gt;"",'Calculations'!IA294,IF('Calculations'!HZ294&lt;&gt;"",'Calculations'!HZ294,IF('Calculations'!HY294&lt;&gt;"",'Calculations'!HY294,IF('Calculations'!HX294&lt;&gt;"",'Calculations'!HX294,IF('Calculations'!HW294&lt;&gt;"",'Calculations'!HW294,IF('Calculations'!HV294&lt;&gt;"",'Calculations'!HV294,IF('Calculations'!HU294&lt;&gt;"",'Calculations'!HU294,IF('Calculations'!HT294&lt;&gt;"",'Calculations'!HT294,IF('Calculations'!HS294&lt;&gt;"",'Calculations'!HS294,IF('Calculations'!HR294&lt;&gt;"",'Calculations'!HR294,IF('Calculations'!HQ294&lt;&gt;"",'Calculations'!HQ294,IF('Calculations'!HP294&lt;&gt;"",'Calculations'!HP294,IF('Calculations'!HO294&lt;&gt;"",'Calculations'!HO294,'Calculations'!HE294))))))))))))))))))))))</x:f>
      </x:c>
      <x:c r="HN294" t="str">
        <x:f>IF('Calculations'!EM294="","",IF(IFERROR(IF(INDEX(INDIRECT("'WCM Calibration Final'!$F$1:$F$2000"),'Calculations'!$EM294)="","",TRIM(INDEX(INDIRECT("'WCM Calibration Final'!$F$1:$F$2000"),'Calculations'!$EM294)&amp;"")),"")="","(Blank)",IFERROR(IF(INDEX(INDIRECT("'WCM Calibration Final'!$F$1:$F$2000"),'Calculations'!$EM294)="","",TRIM(INDEX(INDIRECT("'WCM Calibration Final'!$F$1:$F$2000"),'Calculations'!$EM294)&amp;"")),"")))</x:f>
      </x:c>
      <x:c r="HO294" t="str">
        <x:f>'Calculations'!HF294</x:f>
      </x:c>
      <x:c r="HP294" t="str">
        <x:f>IF('Calculations'!HO294="","",IF('Calculations'!HO294="!AMBIG","!AMBIG",IF(COUNTIF('Calculations'!$HE$13:$HE$512,"="&amp;SUBSTITUTE(SUBSTITUTE(SUBSTITUTE('Calculations'!HO294,"~","~~"),"*","~*"),"?","~?"))&gt;1,"!AMBIG",IFERROR(INDEX('Calculations'!$HF$13:$HF$512,MATCH('Calculations'!HO294,'Calculations'!$HE$13:$HE$512,0)),""))))</x:f>
      </x:c>
      <x:c r="HQ294" t="str">
        <x:f>IF('Calculations'!HP294="","",IF('Calculations'!HP294="!AMBIG","!AMBIG",IF(COUNTIF('Calculations'!$HE$13:$HE$512,"="&amp;SUBSTITUTE(SUBSTITUTE(SUBSTITUTE('Calculations'!HP294,"~","~~"),"*","~*"),"?","~?"))&gt;1,"!AMBIG",IFERROR(INDEX('Calculations'!$HF$13:$HF$512,MATCH('Calculations'!HP294,'Calculations'!$HE$13:$HE$512,0)),""))))</x:f>
      </x:c>
      <x:c r="HR294" t="str">
        <x:f>IF('Calculations'!HQ294="","",IF('Calculations'!HQ294="!AMBIG","!AMBIG",IF(COUNTIF('Calculations'!$HE$13:$HE$512,"="&amp;SUBSTITUTE(SUBSTITUTE(SUBSTITUTE('Calculations'!HQ294,"~","~~"),"*","~*"),"?","~?"))&gt;1,"!AMBIG",IFERROR(INDEX('Calculations'!$HF$13:$HF$512,MATCH('Calculations'!HQ294,'Calculations'!$HE$13:$HE$512,0)),""))))</x:f>
      </x:c>
      <x:c r="HS294" t="str">
        <x:f>IF('Calculations'!HR294="","",IF('Calculations'!HR294="!AMBIG","!AMBIG",IF(COUNTIF('Calculations'!$HE$13:$HE$512,"="&amp;SUBSTITUTE(SUBSTITUTE(SUBSTITUTE('Calculations'!HR294,"~","~~"),"*","~*"),"?","~?"))&gt;1,"!AMBIG",IFERROR(INDEX('Calculations'!$HF$13:$HF$512,MATCH('Calculations'!HR294,'Calculations'!$HE$13:$HE$512,0)),""))))</x:f>
      </x:c>
      <x:c r="HT294" t="str">
        <x:f>IF('Calculations'!HS294="","",IF('Calculations'!HS294="!AMBIG","!AMBIG",IF(COUNTIF('Calculations'!$HE$13:$HE$512,"="&amp;SUBSTITUTE(SUBSTITUTE(SUBSTITUTE('Calculations'!HS294,"~","~~"),"*","~*"),"?","~?"))&gt;1,"!AMBIG",IFERROR(INDEX('Calculations'!$HF$13:$HF$512,MATCH('Calculations'!HS294,'Calculations'!$HE$13:$HE$512,0)),""))))</x:f>
      </x:c>
      <x:c r="HU294" t="str">
        <x:f>IF('Calculations'!HT294="","",IF('Calculations'!HT294="!AMBIG","!AMBIG",IF(COUNTIF('Calculations'!$HE$13:$HE$512,"="&amp;SUBSTITUTE(SUBSTITUTE(SUBSTITUTE('Calculations'!HT294,"~","~~"),"*","~*"),"?","~?"))&gt;1,"!AMBIG",IFERROR(INDEX('Calculations'!$HF$13:$HF$512,MATCH('Calculations'!HT294,'Calculations'!$HE$13:$HE$512,0)),""))))</x:f>
      </x:c>
      <x:c r="HV294" t="str">
        <x:f>IF('Calculations'!HU294="","",IF('Calculations'!HU294="!AMBIG","!AMBIG",IF(COUNTIF('Calculations'!$HE$13:$HE$512,"="&amp;SUBSTITUTE(SUBSTITUTE(SUBSTITUTE('Calculations'!HU294,"~","~~"),"*","~*"),"?","~?"))&gt;1,"!AMBIG",IFERROR(INDEX('Calculations'!$HF$13:$HF$512,MATCH('Calculations'!HU294,'Calculations'!$HE$13:$HE$512,0)),""))))</x:f>
      </x:c>
      <x:c r="HW294" t="str">
        <x:f>IF('Calculations'!HV294="","",IF('Calculations'!HV294="!AMBIG","!AMBIG",IF(COUNTIF('Calculations'!$HE$13:$HE$512,"="&amp;SUBSTITUTE(SUBSTITUTE(SUBSTITUTE('Calculations'!HV294,"~","~~"),"*","~*"),"?","~?"))&gt;1,"!AMBIG",IFERROR(INDEX('Calculations'!$HF$13:$HF$512,MATCH('Calculations'!HV294,'Calculations'!$HE$13:$HE$512,0)),""))))</x:f>
      </x:c>
      <x:c r="HX294" t="str">
        <x:f>IF('Calculations'!HW294="","",IF('Calculations'!HW294="!AMBIG","!AMBIG",IF(COUNTIF('Calculations'!$HE$13:$HE$512,"="&amp;SUBSTITUTE(SUBSTITUTE(SUBSTITUTE('Calculations'!HW294,"~","~~"),"*","~*"),"?","~?"))&gt;1,"!AMBIG",IFERROR(INDEX('Calculations'!$HF$13:$HF$512,MATCH('Calculations'!HW294,'Calculations'!$HE$13:$HE$512,0)),""))))</x:f>
      </x:c>
      <x:c r="HY294" t="str">
        <x:f>IF('Calculations'!HX294="","",IF('Calculations'!HX294="!AMBIG","!AMBIG",IF(COUNTIF('Calculations'!$HE$13:$HE$512,"="&amp;SUBSTITUTE(SUBSTITUTE(SUBSTITUTE('Calculations'!HX294,"~","~~"),"*","~*"),"?","~?"))&gt;1,"!AMBIG",IFERROR(INDEX('Calculations'!$HF$13:$HF$512,MATCH('Calculations'!HX294,'Calculations'!$HE$13:$HE$512,0)),""))))</x:f>
      </x:c>
      <x:c r="HZ294" t="str">
        <x:f>IF('Calculations'!HY294="","",IF('Calculations'!HY294="!AMBIG","!AMBIG",IF(COUNTIF('Calculations'!$HE$13:$HE$512,"="&amp;SUBSTITUTE(SUBSTITUTE(SUBSTITUTE('Calculations'!HY294,"~","~~"),"*","~*"),"?","~?"))&gt;1,"!AMBIG",IFERROR(INDEX('Calculations'!$HF$13:$HF$512,MATCH('Calculations'!HY294,'Calculations'!$HE$13:$HE$512,0)),""))))</x:f>
      </x:c>
      <x:c r="IA294" t="str">
        <x:f>IF('Calculations'!HZ294="","",IF('Calculations'!HZ294="!AMBIG","!AMBIG",IF(COUNTIF('Calculations'!$HE$13:$HE$512,"="&amp;SUBSTITUTE(SUBSTITUTE(SUBSTITUTE('Calculations'!HZ294,"~","~~"),"*","~*"),"?","~?"))&gt;1,"!AMBIG",IFERROR(INDEX('Calculations'!$HF$13:$HF$512,MATCH('Calculations'!HZ294,'Calculations'!$HE$13:$HE$512,0)),""))))</x:f>
      </x:c>
      <x:c r="IB294" t="str">
        <x:f>IF('Calculations'!IA294="","",IF('Calculations'!IA294="!AMBIG","!AMBIG",IF(COUNTIF('Calculations'!$HE$13:$HE$512,"="&amp;SUBSTITUTE(SUBSTITUTE(SUBSTITUTE('Calculations'!IA294,"~","~~"),"*","~*"),"?","~?"))&gt;1,"!AMBIG",IFERROR(INDEX('Calculations'!$HF$13:$HF$512,MATCH('Calculations'!IA294,'Calculations'!$HE$13:$HE$512,0)),""))))</x:f>
      </x:c>
      <x:c r="IC294" t="str">
        <x:f>IF('Calculations'!IB294="","",IF('Calculations'!IB294="!AMBIG","!AMBIG",IF(COUNTIF('Calculations'!$HE$13:$HE$512,"="&amp;SUBSTITUTE(SUBSTITUTE(SUBSTITUTE('Calculations'!IB294,"~","~~"),"*","~*"),"?","~?"))&gt;1,"!AMBIG",IFERROR(INDEX('Calculations'!$HF$13:$HF$512,MATCH('Calculations'!IB294,'Calculations'!$HE$13:$HE$512,0)),""))))</x:f>
      </x:c>
      <x:c r="ID294" t="str">
        <x:f>IF('Calculations'!IC294="","",IF('Calculations'!IC294="!AMBIG","!AMBIG",IF(COUNTIF('Calculations'!$HE$13:$HE$512,"="&amp;SUBSTITUTE(SUBSTITUTE(SUBSTITUTE('Calculations'!IC294,"~","~~"),"*","~*"),"?","~?"))&gt;1,"!AMBIG",IFERROR(INDEX('Calculations'!$HF$13:$HF$512,MATCH('Calculations'!IC294,'Calculations'!$HE$13:$HE$512,0)),""))))</x:f>
      </x:c>
      <x:c r="IE294" t="str">
        <x:f>IF('Calculations'!ID294="","",IF('Calculations'!ID294="!AMBIG","!AMBIG",IF(COUNTIF('Calculations'!$HE$13:$HE$512,"="&amp;SUBSTITUTE(SUBSTITUTE(SUBSTITUTE('Calculations'!ID294,"~","~~"),"*","~*"),"?","~?"))&gt;1,"!AMBIG",IFERROR(INDEX('Calculations'!$HF$13:$HF$512,MATCH('Calculations'!ID294,'Calculations'!$HE$13:$HE$512,0)),""))))</x:f>
      </x:c>
      <x:c r="IF294" t="str">
        <x:f>IF('Calculations'!IE294="","",IF('Calculations'!IE294="!AMBIG","!AMBIG",IF(COUNTIF('Calculations'!$HE$13:$HE$512,"="&amp;SUBSTITUTE(SUBSTITUTE(SUBSTITUTE('Calculations'!IE294,"~","~~"),"*","~*"),"?","~?"))&gt;1,"!AMBIG",IFERROR(INDEX('Calculations'!$HF$13:$HF$512,MATCH('Calculations'!IE294,'Calculations'!$HE$13:$HE$512,0)),""))))</x:f>
      </x:c>
      <x:c r="IG294" t="str">
        <x:f>IF('Calculations'!IF294="","",IF('Calculations'!IF294="!AMBIG","!AMBIG",IF(COUNTIF('Calculations'!$HE$13:$HE$512,"="&amp;SUBSTITUTE(SUBSTITUTE(SUBSTITUTE('Calculations'!IF294,"~","~~"),"*","~*"),"?","~?"))&gt;1,"!AMBIG",IFERROR(INDEX('Calculations'!$HF$13:$HF$512,MATCH('Calculations'!IF294,'Calculations'!$HE$13:$HE$512,0)),""))))</x:f>
      </x:c>
      <x:c r="IH294" t="str">
        <x:f>IF('Calculations'!IG294="","",IF('Calculations'!IG294="!AMBIG","!AMBIG",IF(COUNTIF('Calculations'!$HE$13:$HE$512,"="&amp;SUBSTITUTE(SUBSTITUTE(SUBSTITUTE('Calculations'!IG294,"~","~~"),"*","~*"),"?","~?"))&gt;1,"!AMBIG",IFERROR(INDEX('Calculations'!$HF$13:$HF$512,MATCH('Calculations'!IG294,'Calculations'!$HE$13:$HE$512,0)),""))))</x:f>
      </x:c>
      <x:c r="II294" t="str">
        <x:f>IF('Calculations'!IH294="","",IF('Calculations'!IH294="!AMBIG","!AMBIG",IF(COUNTIF('Calculations'!$HE$13:$HE$512,"="&amp;SUBSTITUTE(SUBSTITUTE(SUBSTITUTE('Calculations'!IH294,"~","~~"),"*","~*"),"?","~?"))&gt;1,"!AMBIG",IFERROR(INDEX('Calculations'!$HF$13:$HF$512,MATCH('Calculations'!IH294,'Calculations'!$HE$13:$HE$512,0)),""))))</x:f>
      </x:c>
      <x:c r="IJ294" t="str">
        <x:f>IF('Calculations'!EM294="","",IF('Calculations'!$EF$2="All",'Calculations'!HM294,IF('Calculations'!HL294=1,"",IFERROR(IF(MATCH('Calculations'!$EF$2,'Calculations'!HO294:II294,0)=1,'Calculations'!HE294,INDEX('Calculations'!HO294:II294,1,MATCH('Calculations'!$EF$2,'Calculations'!HO294:II294,0)-1)),""))))</x:f>
      </x:c>
      <x:c r="IK294" t="n">
        <x:f>IF(AND('Calculations'!EM294&lt;&gt;"",'Calculations'!$EF$2&lt;&gt;"All",'Calculations'!HF294='Calculations'!$EF$2,'Calculations'!HL294=0,'Calculations'!JD294&gt;0),MAX('Calculations'!$IK$12:IK293)+1,0)</x:f>
        <x:v>0</x:v>
      </x:c>
      <x:c r="JA294" t="n">
        <x:f>IF(OR(IFERROR(INDIRECT("'WCM Calibration Final'!$A$294")&lt;&gt;"",FALSE),IFERROR(INDIRECT("'WCM Calibration Final'!$B$294")&lt;&gt;"",FALSE),IFERROR(INDIRECT("'WCM Calibration Final'!$C$294")&lt;&gt;"",FALSE)),294,0)</x:f>
        <x:v>0</x:v>
      </x:c>
      <x:c r="JB294" t="n">
        <x:f>'Calculations'!JB293+IF('Calculations'!JA294&gt;0,1,0)</x:f>
        <x:v>0</x:v>
      </x:c>
      <x:c r="JC294" t="n">
        <x:f>IF(OR('Calculations'!HF294="",'Calculations'!HF294="!AMBIG"),0,IF('Dashboard'!$B$7="All",1,COUNTIFS('Calculations'!$HO$13:$HO$512,"="&amp;SUBSTITUTE(SUBSTITUTE(SUBSTITUTE('Calculations'!HF294,"~","~~"),"*","~*"),"?","~?"),'Calculations'!$HN$13:$HN$512,"="&amp;SUBSTITUTE(SUBSTITUTE(SUBSTITUTE('Dashboard'!$B$7,"~","~~"),"*","~*"),"?","~?"))+COUNTIFS('Calculations'!$HP$13:$HP$512,"="&amp;SUBSTITUTE(SUBSTITUTE(SUBSTITUTE('Calculations'!HF294,"~","~~"),"*","~*"),"?","~?"),'Calculations'!$HN$13:$HN$512,"="&amp;SUBSTITUTE(SUBSTITUTE(SUBSTITUTE('Dashboard'!$B$7,"~","~~"),"*","~*"),"?","~?"))+COUNTIFS('Calculations'!$HQ$13:$HQ$512,"="&amp;SUBSTITUTE(SUBSTITUTE(SUBSTITUTE('Calculations'!HF294,"~","~~"),"*","~*"),"?","~?"),'Calculations'!$HN$13:$HN$512,"="&amp;SUBSTITUTE(SUBSTITUTE(SUBSTITUTE('Dashboard'!$B$7,"~","~~"),"*","~*"),"?","~?"))+COUNTIFS('Calculations'!$HR$13:$HR$512,"="&amp;SUBSTITUTE(SUBSTITUTE(SUBSTITUTE('Calculations'!HF294,"~","~~"),"*","~*"),"?","~?"),'Calculations'!$HN$13:$HN$512,"="&amp;SUBSTITUTE(SUBSTITUTE(SUBSTITUTE('Dashboard'!$B$7,"~","~~"),"*","~*"),"?","~?"))+COUNTIFS('Calculations'!$HS$13:$HS$512,"="&amp;SUBSTITUTE(SUBSTITUTE(SUBSTITUTE('Calculations'!HF294,"~","~~"),"*","~*"),"?","~?"),'Calculations'!$HN$13:$HN$512,"="&amp;SUBSTITUTE(SUBSTITUTE(SUBSTITUTE('Dashboard'!$B$7,"~","~~"),"*","~*"),"?","~?"))+COUNTIFS('Calculations'!$HT$13:$HT$512,"="&amp;SUBSTITUTE(SUBSTITUTE(SUBSTITUTE('Calculations'!HF294,"~","~~"),"*","~*"),"?","~?"),'Calculations'!$HN$13:$HN$512,"="&amp;SUBSTITUTE(SUBSTITUTE(SUBSTITUTE('Dashboard'!$B$7,"~","~~"),"*","~*"),"?","~?"))+COUNTIFS('Calculations'!$HU$13:$HU$512,"="&amp;SUBSTITUTE(SUBSTITUTE(SUBSTITUTE('Calculations'!HF294,"~","~~"),"*","~*"),"?","~?"),'Calculations'!$HN$13:$HN$512,"="&amp;SUBSTITUTE(SUBSTITUTE(SUBSTITUTE('Dashboard'!$B$7,"~","~~"),"*","~*"),"?","~?"))+COUNTIFS('Calculations'!$HV$13:$HV$512,"="&amp;SUBSTITUTE(SUBSTITUTE(SUBSTITUTE('Calculations'!HF294,"~","~~"),"*","~*"),"?","~?"),'Calculations'!$HN$13:$HN$512,"="&amp;SUBSTITUTE(SUBSTITUTE(SUBSTITUTE('Dashboard'!$B$7,"~","~~"),"*","~*"),"?","~?"))+COUNTIFS('Calculations'!$HW$13:$HW$512,"="&amp;SUBSTITUTE(SUBSTITUTE(SUBSTITUTE('Calculations'!HF294,"~","~~"),"*","~*"),"?","~?"),'Calculations'!$HN$13:$HN$512,"="&amp;SUBSTITUTE(SUBSTITUTE(SUBSTITUTE('Dashboard'!$B$7,"~","~~"),"*","~*"),"?","~?"))+COUNTIFS('Calculations'!$HX$13:$HX$512,"="&amp;SUBSTITUTE(SUBSTITUTE(SUBSTITUTE('Calculations'!HF294,"~","~~"),"*","~*"),"?","~?"),'Calculations'!$HN$13:$HN$512,"="&amp;SUBSTITUTE(SUBSTITUTE(SUBSTITUTE('Dashboard'!$B$7,"~","~~"),"*","~*"),"?","~?"))+COUNTIFS('Calculations'!$HY$13:$HY$512,"="&amp;SUBSTITUTE(SUBSTITUTE(SUBSTITUTE('Calculations'!HF294,"~","~~"),"*","~*"),"?","~?"),'Calculations'!$HN$13:$HN$512,"="&amp;SUBSTITUTE(SUBSTITUTE(SUBSTITUTE('Dashboard'!$B$7,"~","~~"),"*","~*"),"?","~?"))+COUNTIFS('Calculations'!$HZ$13:$HZ$512,"="&amp;SUBSTITUTE(SUBSTITUTE(SUBSTITUTE('Calculations'!HF294,"~","~~"),"*","~*"),"?","~?"),'Calculations'!$HN$13:$HN$512,"="&amp;SUBSTITUTE(SUBSTITUTE(SUBSTITUTE('Dashboard'!$B$7,"~","~~"),"*","~*"),"?","~?"))+COUNTIFS('Calculations'!$IA$13:$IA$512,"="&amp;SUBSTITUTE(SUBSTITUTE(SUBSTITUTE('Calculations'!HF294,"~","~~"),"*","~*"),"?","~?"),'Calculations'!$HN$13:$HN$512,"="&amp;SUBSTITUTE(SUBSTITUTE(SUBSTITUTE('Dashboard'!$B$7,"~","~~"),"*","~*"),"?","~?"))+COUNTIFS('Calculations'!$IB$13:$IB$512,"="&amp;SUBSTITUTE(SUBSTITUTE(SUBSTITUTE('Calculations'!HF294,"~","~~"),"*","~*"),"?","~?"),'Calculations'!$HN$13:$HN$512,"="&amp;SUBSTITUTE(SUBSTITUTE(SUBSTITUTE('Dashboard'!$B$7,"~","~~"),"*","~*"),"?","~?"))+COUNTIFS('Calculations'!$IC$13:$IC$512,"="&amp;SUBSTITUTE(SUBSTITUTE(SUBSTITUTE('Calculations'!HF294,"~","~~"),"*","~*"),"?","~?"),'Calculations'!$HN$13:$HN$512,"="&amp;SUBSTITUTE(SUBSTITUTE(SUBSTITUTE('Dashboard'!$B$7,"~","~~"),"*","~*"),"?","~?"))+COUNTIFS('Calculations'!$ID$13:$ID$512,"="&amp;SUBSTITUTE(SUBSTITUTE(SUBSTITUTE('Calculations'!HF294,"~","~~"),"*","~*"),"?","~?"),'Calculations'!$HN$13:$HN$512,"="&amp;SUBSTITUTE(SUBSTITUTE(SUBSTITUTE('Dashboard'!$B$7,"~","~~"),"*","~*"),"?","~?"))+COUNTIFS('Calculations'!$IE$13:$IE$512,"="&amp;SUBSTITUTE(SUBSTITUTE(SUBSTITUTE('Calculations'!HF294,"~","~~"),"*","~*"),"?","~?"),'Calculations'!$HN$13:$HN$512,"="&amp;SUBSTITUTE(SUBSTITUTE(SUBSTITUTE('Dashboard'!$B$7,"~","~~"),"*","~*"),"?","~?"))+COUNTIFS('Calculations'!$IF$13:$IF$512,"="&amp;SUBSTITUTE(SUBSTITUTE(SUBSTITUTE('Calculations'!HF294,"~","~~"),"*","~*"),"?","~?"),'Calculations'!$HN$13:$HN$512,"="&amp;SUBSTITUTE(SUBSTITUTE(SUBSTITUTE('Dashboard'!$B$7,"~","~~"),"*","~*"),"?","~?"))+COUNTIFS('Calculations'!$IG$13:$IG$512,"="&amp;SUBSTITUTE(SUBSTITUTE(SUBSTITUTE('Calculations'!HF294,"~","~~"),"*","~*"),"?","~?"),'Calculations'!$HN$13:$HN$512,"="&amp;SUBSTITUTE(SUBSTITUTE(SUBSTITUTE('Dashboard'!$B$7,"~","~~"),"*","~*"),"?","~?"))+COUNTIFS('Calculations'!$IH$13:$IH$512,"="&amp;SUBSTITUTE(SUBSTITUTE(SUBSTITUTE('Calculations'!HF294,"~","~~"),"*","~*"),"?","~?"),'Calculations'!$HN$13:$HN$512,"="&amp;SUBSTITUTE(SUBSTITUTE(SUBSTITUTE('Dashboard'!$B$7,"~","~~"),"*","~*"),"?","~?"))))</x:f>
        <x:v>0</x:v>
      </x:c>
      <x:c r="JD294" t="n">
        <x:f>IF('Calculations'!EM294="",0,IF('Dashboard'!$B$7="All",1,IF('Calculations'!HN294='Dashboard'!$B$7,1,0)+IFERROR(INDEX('Calculations'!$JC$13:$JC$512,MATCH('Calculations'!HE294,'Calculations'!$HF$13:$HF$512,0)),0)))</x:f>
        <x:v>0</x:v>
      </x:c>
      <x:c r="JE294" t="n">
        <x:f>IF(AND('Calculations'!EM294&lt;&gt;"",'Calculations'!$JJ$2&lt;&gt;"All",'Calculations'!$JJ$2&lt;&gt;"",'Calculations'!HF294='Calculations'!$JJ$2,'Calculations'!HL294=0,'Calculations'!JD294&gt;0),MAX('Calculations'!$JE$12:JE293)+1,0)</x:f>
        <x:v>0</x:v>
      </x:c>
      <x:c r="JF294" t="str">
        <x:f>IF('Calculations'!EM294="","",IFERROR(IF(INDEX(INDIRECT("'WCM Calibration Final'!$G$1:$G$2000"),'Calculations'!$EM294)="","",TRIM(INDEX(INDIRECT("'WCM Calibration Final'!$G$1:$G$2000"),'Calculations'!$EM294)&amp;"")),""))</x:f>
      </x:c>
      <x:c r="JQ294" t="n">
        <x:f>IF(OR('Calculations'!BM294=0,NOT('Calculations'!$AG$2),'Calculations'!$AG$8&gt;0),0,IF(OR('Dashboard'!$B$7="All",'Calculations'!HN294='Dashboard'!$B$7),IF('Calculations'!$JJ$2="All",1,IF(AND('Calculations'!HF294='Calculations'!$JJ$2,'Calculations'!HL294=0),1,0)),0))</x:f>
        <x:v>0</x:v>
      </x:c>
    </x:row>
    <x:row r="295">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t="n">
        <x:f>IF('Calculations'!$EM295="",0,IF(OR(IFERROR(INDEX(INDIRECT("'WCM Calibration Final'!$A$1:$A$2000"),'Calculations'!$EM295)&lt;&gt;"",FALSE),IFERROR(INDEX(INDIRECT("'WCM Calibration Final'!$B$1:$B$2000"),'Calculations'!$EM295)&lt;&gt;"",FALSE),IFERROR(INDEX(INDIRECT("'WCM Calibration Final'!$C$1:$C$2000"),'Calculations'!$EM295)&lt;&gt;"",FALSE)),1,0))</x:f>
        <x:v>0</x:v>
      </x:c>
      <x:c r="BN295" s="4" t="n">
        <x:f>IF(AND('Calculations'!BM295=1,'Calculations'!$AG$2,'Calculations'!$EN295=1),1,0)</x:f>
        <x:v>0</x:v>
      </x:c>
      <x:c r="BO295" s="4" t="str">
        <x:f>IF('Calculations'!BM295=0,"",IFERROR(IF(AND(VALUE(INDEX(INDIRECT("'WCM Calibration Final'!$K$1:$K$2000"),'Calculations'!$EM295))&gt;=1,VALUE(INDEX(INDIRECT("'WCM Calibration Final'!$K$1:$K$2000"),'Calculations'!$EM295))&lt;=4,MOD(VALUE(INDEX(INDIRECT("'WCM Calibration Final'!$K$1:$K$2000"),'Calculations'!$EM295)),1)=0),VALUE(INDEX(INDIRECT("'WCM Calibration Final'!$K$1:$K$2000"),'Calculations'!$EM295)),""),""))</x:f>
      </x:c>
      <x:c r="BP295" s="4" t="str">
        <x:f>IF('Calculations'!BM295=0,"",IFERROR(IF(AND(VALUE(INDEX(INDIRECT("'WCM Calibration Final'!$L$1:$L$2000"),'Calculations'!$EM295))&gt;=1,VALUE(INDEX(INDIRECT("'WCM Calibration Final'!$L$1:$L$2000"),'Calculations'!$EM295))&lt;=4,MOD(VALUE(INDEX(INDIRECT("'WCM Calibration Final'!$L$1:$L$2000"),'Calculations'!$EM295)),1)=0),VALUE(INDEX(INDIRECT("'WCM Calibration Final'!$L$1:$L$2000"),'Calculations'!$EM295)),""),""))</x:f>
      </x:c>
      <x:c r="BQ295" s="4"/>
      <x:c r="BR295" s="4"/>
      <x:c r="BS295" s="4"/>
      <x:c r="BT295" s="4" t="n">
        <x:f>IF(AND('Calculations'!BM295=1,ISNUMBER('Calculations'!BO295),ISNUMBER('Calculations'!BP295)),1,0)</x:f>
        <x:v>0</x:v>
      </x:c>
      <x:c r="BU295" s="4" t="str">
        <x:f>IF('Calculations'!BM295=0,"",'Calculations'!$EO295)</x:f>
      </x:c>
      <x:c r="BV295" s="4" t="str">
        <x:f>IF('Calculations'!BM295=0,"",IFERROR(IF(OR(INDEX(INDIRECT("'WCM Calibration Final'!$H$1:$H$2000"),'Calculations'!$EM295)="MANAGING DIRECTOR",INDEX(INDIRECT("'WCM Calibration Final'!$H$1:$H$2000"),'Calculations'!$EM295)="DIRECTOR",INDEX(INDIRECT("'WCM Calibration Final'!$H$1:$H$2000"),'Calculations'!$EM295)="SENIOR VICE PRESIDENT",INDEX(INDIRECT("'WCM Calibration Final'!$H$1:$H$2000"),'Calculations'!$EM295)="VICE PRESIDENT",INDEX(INDIRECT("'WCM Calibration Final'!$H$1:$H$2000"),'Calculations'!$EM295)="ASSISTANT VICE PRESIDENT",INDEX(INDIRECT("'WCM Calibration Final'!$H$1:$H$2000"),'Calculations'!$EM295)="OFFICER"),UPPER(INDEX(INDIRECT("'WCM Calibration Final'!$H$1:$H$2000"),'Calculations'!$EM295)),"Other"),"Other"))</x:f>
      </x:c>
      <x:c r="BW295" s="4"/>
      <x:c r="BX295" s="4"/>
      <x:c r="BY295" s="4" t="n">
        <x:f>IF(AND('Calculations'!BM295=1,'Calculations'!BU295&lt;&gt;"",COUNTIF('Calculations'!$BU$12:BU295,'Calculations'!BU295)=1),MAX('Calculations'!$BY$11:BY294)+1,0)</x:f>
        <x:v>0</x:v>
      </x:c>
      <x:c r="BZ295" s="4" t="str">
        <x:f>IF('Dashboard'!$E$67="What",'Calculations'!BO295,'Calculations'!BP295)</x:f>
      </x:c>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t="str">
        <x:f>IF(284&gt;MAX('Calculations'!$HI$13:$HI$512),"",INDEX('Calculations'!$HN$13:$HN$512,MATCH(284,'Calculations'!$HI$13:$HI$512,0)))</x:f>
      </x:c>
      <x:c r="DB295" s="4" t="str">
        <x:f>IF(284&gt;MAX('Calculations'!$HH$13:$HH$512),"",INDEX('Calculations'!$HJ$13:$HJ$512,MATCH(284,'Calculations'!$HH$13:$HH$512,0)))</x:f>
      </x:c>
      <x:c r="DC295" s="4" t="str">
        <x:f>IF(ROW()-11&gt;MAX('Calculations'!$BY$13:$BY$512),"",INDEX('Calculations'!$BU$13:$BU$512,MATCH(ROW()-11,'Calculations'!$BY$13:$BY$512,0)))</x:f>
      </x:c>
      <x:c r="DD295" s="4" t="str">
        <x:f>IF(284&gt;MAX('Calculations'!$IK$13:$IK$512),"",INDEX('Calculations'!$HK$13:$HK$512,MATCH(284,'Calculations'!$IK$13:$IK$512,0)))</x:f>
      </x:c>
      <x:c r="DE295" s="4" t="str">
        <x:f>'Calculations'!DC295</x:f>
      </x:c>
      <x:c r="DF295" s="4" t="str">
        <x:f>IF('Calculations'!DE295="","",COUNTIFS('Calculations'!$BN$13:$BN$512,1,'Calculations'!$BU$13:$BU$512,'Calculations'!DE295))</x:f>
      </x:c>
      <x:c r="DG295" s="4" t="str">
        <x:f>IF('Calculations'!DE295="","",COUNTIFS('Calculations'!$BN$13:$BN$512,1,'Calculations'!$BU$13:$BU$512,'Calculations'!DE295,'Calculations'!$BT$13:$BT$512,1))</x:f>
      </x:c>
      <x:c r="DH295" s="4" t="str">
        <x:f>IF('Calculations'!DE295="","",'Calculations'!DF295-'Calculations'!DG295)</x:f>
      </x:c>
      <x:c r="DI295" s="4" t="str">
        <x:f>IF(OR('Calculations'!DE295="",'Calculations'!DF295=0),"",'Calculations'!DG295/'Calculations'!DF295)</x:f>
      </x:c>
      <x:c r="DJ295" s="4" t="str">
        <x:f>IF('Calculations'!DE295="","",COUNTIFS('Calculations'!$BN$13:$BN$512,1,'Calculations'!$BU$13:$BU$512,'Calculations'!DE295,'Calculations'!$BT$13:$BT$512,1,'Calculations'!$EE$13:$EE$512,"High"))</x:f>
      </x:c>
      <x:c r="DK295" s="4" t="str">
        <x:f>IF('Calculations'!DE295="","",COUNTIFS('Calculations'!$BN$13:$BN$512,1,'Calculations'!$BU$13:$BU$512,'Calculations'!DE295,'Calculations'!$BT$13:$BT$512,1,'Calculations'!$EE$13:$EE$512,"Strong"))</x:f>
      </x:c>
      <x:c r="DL295" s="4" t="str">
        <x:f>IF('Calculations'!DE295="","",COUNTIFS('Calculations'!$BN$13:$BN$512,1,'Calculations'!$BU$13:$BU$512,'Calculations'!DE295,'Calculations'!$BT$13:$BT$512,1,'Calculations'!$EE$13:$EE$512,"Solid"))</x:f>
      </x:c>
      <x:c r="DM295" s="4" t="str">
        <x:f>IF('Calculations'!DE295="","",COUNTIFS('Calculations'!$BN$13:$BN$512,1,'Calculations'!$BU$13:$BU$512,'Calculations'!DE295,'Calculations'!$BT$13:$BT$512,1,'Calculations'!$EE$13:$EE$512,"Low"))</x:f>
      </x:c>
      <x:c r="DN295" s="4" t="str">
        <x:f>IF('Calculations'!DE295="","",COUNTIFS('Calculations'!$BN$13:$BN$512,1,'Calculations'!$BU$13:$BU$512,'Calculations'!DE295,'Calculations'!$EP$13:$EP$512,1))</x:f>
      </x:c>
      <x:c r="DO295" s="4" t="str">
        <x:f>IF(OR('Calculations'!DE295="",'Calculations'!DG295=0),"",('Calculations'!DJ295+'Calculations'!DK295)/'Calculations'!DG295)</x:f>
      </x:c>
      <x:c r="DP295" s="4" t="n">
        <x:f>IF(AND('Calculations'!DE295&lt;&gt;"",'Calculations'!DF295&gt;0),COUNTIF('Calculations'!$DF$12:DF295,"&gt;0"),0)</x:f>
        <x:v>0</x:v>
      </x:c>
      <x:c r="DQ295" s="4" t="str">
        <x:f>IF(284&gt;MAX('Calculations'!$HH$13:$HH$512),"",INDEX('Calculations'!$HF$13:$HF$512,MATCH(284,'Calculations'!$HH$13:$HH$512,0)))</x:f>
      </x:c>
      <x:c r="DR295" s="4" t="str">
        <x:f>IF(284&gt;MAX('Calculations'!$IK$13:$IK$512),"",INDEX('Calculations'!$HE$13:$HE$512,MATCH(284,'Calculations'!$IK$13:$IK$512,0)))</x:f>
      </x:c>
      <x:c r="DS295" s="4"/>
      <x:c r="DT295" s="4"/>
      <x:c r="DU295" s="4"/>
      <x:c r="DV295" s="4"/>
      <x:c r="DW295" s="4"/>
      <x:c r="DX295" s="4"/>
      <x:c r="DY295" s="4"/>
      <x:c r="DZ295" s="4"/>
      <x:c r="EA295" s="4"/>
      <x:c r="EB295" s="4"/>
      <x:c r="EC295" s="4"/>
      <x:c r="ED295" s="4"/>
      <x:c r="EE295" s="4" t="str">
        <x:f>IF('Calculations'!BT295=0,"Not Rated",IF(OR('Calculations'!BO295&gt;=4,'Calculations'!BP295&gt;=4),"Low",IF('Calculations'!BO295+'Calculations'!BP295&lt;=3,"High",IF('Calculations'!BO295+'Calculations'!BP295&lt;=4,"Strong","Solid"))))</x:f>
        <x:v>Not Rated</x:v>
      </x:c>
      <x:c r="EF295" s="4"/>
      <x:c r="EG295" s="4"/>
      <x:c r="EH295" s="4"/>
      <x:c r="EI295" s="4"/>
      <x:c r="EJ295" s="4"/>
      <x:c r="EK295" s="4"/>
      <x:c r="EL295" s="4"/>
      <x:c r="EM295" s="4" t="str">
        <x:f>IF(283&gt;'Calculations'!$JB$2000,"",INDEX('Calculations'!$JA$12:$JA$2000,MATCH(283,'Calculations'!$JB$12:$JB$2000,0)))</x:f>
      </x:c>
      <x:c r="EN295" s="4" t="n">
        <x:f>IF(OR('Calculations'!EM295="",'Calculations'!$AG$8&gt;0,AND('Calculations'!$EF$2&lt;&gt;"All",'Calculations'!HE295='Calculations'!$EF$2),AND('Calculations'!$EF$3&lt;&gt;"All",'Calculations'!HE295='Calculations'!$EF$3)),0,IF(OR('Dashboard'!$B$7="All",'Calculations'!HN295='Dashboard'!$B$7),IF('Calculations'!$EF$2="All",1,IF('Calculations'!HL295&gt;0,0,IF(COUNTIF('Calculations'!HO295:II295,"="&amp;SUBSTITUTE(SUBSTITUTE(SUBSTITUTE('Calculations'!$EF$2,"~","~~"),"*","~*"),"?","~?"))=0,0,IF('Calculations'!$EF$3="All",1,IF(COUNTIF('Calculations'!HO295:II295,"="&amp;SUBSTITUTE(SUBSTITUTE(SUBSTITUTE('Calculations'!$EF$3,"~","~~"),"*","~*"),"?","~?"))&gt;0,1,0))))),0))</x:f>
        <x:v>0</x:v>
      </x:c>
      <x:c r="EO295" s="4" t="str">
        <x:f>IF('Calculations'!IJ295="","",IF('Calculations'!IJ295="!UNRESOLVED","Unresolved hierarchy",IFERROR(INDEX('Calculations'!$HK$13:$HK$512,MATCH('Calculations'!IJ295,'Calculations'!$HE$13:$HE$512,0)),IFERROR(INDEX('Calculations'!$HJ$13:$HJ$512,MATCH('Calculations'!IJ295,'Calculations'!$HF$13:$HF$512,0)),'Calculations'!IJ295))))</x:f>
      </x:c>
      <x:c r="EP295" s="4" t="n">
        <x:f>IF(AND('Calculations'!EM295&lt;&gt;"",'Calculations'!HF295='Calculations'!IJ295),1,0)</x:f>
        <x:v>0</x:v>
      </x:c>
      <x:c r="EQ295" s="4"/>
      <x:c r="ER295" s="4"/>
      <x:c r="ES295" s="4"/>
      <x:c r="ET295" s="4"/>
      <x:c r="EU295" s="4"/>
      <x:c r="EV295" s="4"/>
      <x:c r="EW295" s="4"/>
      <x:c r="EX295" s="4"/>
      <x:c r="EY295" s="4"/>
      <x:c r="EZ295" s="4"/>
      <x:c r="FA295" s="4"/>
      <x:c r="FB295" s="4"/>
      <x:c r="FC295" s="4"/>
      <x:c r="FD295" s="4"/>
      <x:c r="FE295" s="4"/>
      <x:c r="FF295" s="4"/>
      <x:c r="FG295" s="4"/>
      <x:c r="FH295" s="4"/>
      <x:c r="FI295" s="4"/>
      <x:c r="FJ295" s="4"/>
      <x:c r="FK295" s="4"/>
      <x:c r="FL295" s="4"/>
      <x:c r="FM295" s="4"/>
      <x:c r="FN295" s="4"/>
      <x:c r="FO295" s="4"/>
      <x:c r="HE295" t="str">
        <x:f>IF('Calculations'!EM295="","",IF(IFERROR(IF(INDEX(INDIRECT("'WCM Calibration Final'!$A$1:$A$2000"),'Calculations'!$EM295)="","",TRIM(INDEX(INDIRECT("'WCM Calibration Final'!$A$1:$A$2000"),'Calculations'!$EM295)&amp;"")),"")&lt;&gt;"","G:"&amp;IFERROR(TEXT(1*INDEX(INDIRECT("'WCM Calibration Final'!$A$1:$A$2000"),'Calculations'!$EM295),"0"),UPPER(IFERROR(IF(INDEX(INDIRECT("'WCM Calibration Final'!$A$1:$A$2000"),'Calculations'!$EM295)="","",TRIM(INDEX(INDIRECT("'WCM Calibration Final'!$A$1:$A$2000"),'Calculations'!$EM295)&amp;"")),""))),IF(IFERROR(IF(INDEX(INDIRECT("'WCM Calibration Final'!$C$1:$C$2000"),'Calculations'!$EM295)="","",TRIM(INDEX(INDIRECT("'WCM Calibration Final'!$C$1:$C$2000"),'Calculations'!$EM295)&amp;"")),"")&lt;&gt;"","S:"&amp;UPPER(IFERROR(IF(INDEX(INDIRECT("'WCM Calibration Final'!$C$1:$C$2000"),'Calculations'!$EM295)="","",TRIM(INDEX(INDIRECT("'WCM Calibration Final'!$C$1:$C$2000"),'Calculations'!$EM295)&amp;"")),"")),"R:"&amp;'Calculations'!EM295)))</x:f>
      </x:c>
      <x:c r="HF295" t="str">
        <x:f>IF('Calculations'!EM295="","",IF(IFERROR(IF(INDEX(INDIRECT("'WCM Calibration Final'!$D$1:$D$2000"),'Calculations'!$EM295)="","",TRIM(INDEX(INDIRECT("'WCM Calibration Final'!$D$1:$D$2000"),'Calculations'!$EM295)&amp;"")),"")&lt;&gt;"","G:"&amp;IFERROR(TEXT(1*INDEX(INDIRECT("'WCM Calibration Final'!$D$1:$D$2000"),'Calculations'!$EM295),"0"),UPPER(IFERROR(IF(INDEX(INDIRECT("'WCM Calibration Final'!$D$1:$D$2000"),'Calculations'!$EM295)="","",TRIM(INDEX(INDIRECT("'WCM Calibration Final'!$D$1:$D$2000"),'Calculations'!$EM295)&amp;"")),""))),IF(IFERROR(IF(INDEX(INDIRECT("'WCM Calibration Final'!$E$1:$E$2000"),'Calculations'!$EM295)="","",TRIM(INDEX(INDIRECT("'WCM Calibration Final'!$E$1:$E$2000"),'Calculations'!$EM295)&amp;"")),"")="","",IF(COUNTIF('Calculations'!$HG$13:$HG$512,"="&amp;SUBSTITUTE(SUBSTITUTE(SUBSTITUTE(IFERROR(IF(INDEX(INDIRECT("'WCM Calibration Final'!$E$1:$E$2000"),'Calculations'!$EM295)="","",TRIM(INDEX(INDIRECT("'WCM Calibration Final'!$E$1:$E$2000"),'Calculations'!$EM295)&amp;"")),""),"~","~~"),"*","~*"),"?","~?"))=1,INDEX('Calculations'!$HE$13:$HE$512,MATCH(IFERROR(IF(INDEX(INDIRECT("'WCM Calibration Final'!$E$1:$E$2000"),'Calculations'!$EM295)="","",TRIM(INDEX(INDIRECT("'WCM Calibration Final'!$E$1:$E$2000"),'Calculations'!$EM295)&amp;"")),""),'Calculations'!$HG$13:$HG$512,0)),IF(COUNTIF('Calculations'!$HG$13:$HG$512,"="&amp;SUBSTITUTE(SUBSTITUTE(SUBSTITUTE(IFERROR(IF(INDEX(INDIRECT("'WCM Calibration Final'!$E$1:$E$2000"),'Calculations'!$EM295)="","",TRIM(INDEX(INDIRECT("'WCM Calibration Final'!$E$1:$E$2000"),'Calculations'!$EM295)&amp;"")),""),"~","~~"),"*","~*"),"?","~?"))&gt;1,"!AMBIG","X:"&amp;IFERROR(IF(INDEX(INDIRECT("'WCM Calibration Final'!$E$1:$E$2000"),'Calculations'!$EM295)="","",TRIM(INDEX(INDIRECT("'WCM Calibration Final'!$E$1:$E$2000"),'Calculations'!$EM295)&amp;"")),""))))))</x:f>
      </x:c>
      <x:c r="HG295" t="str">
        <x:f>IF('Calculations'!EM295="","",IFERROR(IF(INDEX(INDIRECT("'WCM Calibration Final'!$B$1:$B$2000"),'Calculations'!$EM295)="","",TRIM(INDEX(INDIRECT("'WCM Calibration Final'!$B$1:$B$2000"),'Calculations'!$EM295)&amp;"")),""))</x:f>
      </x:c>
      <x:c r="HH295" t="n">
        <x:f>IF(AND('Calculations'!JC295&gt;0,COUNTIF('Calculations'!$HF$12:HF295,"="&amp;SUBSTITUTE(SUBSTITUTE(SUBSTITUTE('Calculations'!HF295,"~","~~"),"*","~*"),"?","~?"))=1),MAX('Calculations'!$HH$12:HH294)+1,0)</x:f>
        <x:v>0</x:v>
      </x:c>
      <x:c r="HI295" t="n">
        <x:f>IF(AND('Calculations'!HN295&lt;&gt;"",COUNTIF('Calculations'!$HN$12:HN295,"="&amp;SUBSTITUTE(SUBSTITUTE(SUBSTITUTE('Calculations'!HN295,"~","~~"),"*","~*"),"?","~?"))=1),MAX('Calculations'!$HI$12:HI294)+1,0)</x:f>
        <x:v>0</x:v>
      </x:c>
      <x:c r="HJ295" t="str">
        <x:f>IF('Calculations'!HF295="","",IF(COUNTIF('Calculations'!$HE$13:$HE$512,"="&amp;SUBSTITUTE(SUBSTITUTE(SUBSTITUTE('Calculations'!HF295,"~","~~"),"*","~*"),"?","~?"))=1,INDEX('Calculations'!$HK$13:$HK$512,MATCH('Calculations'!HF295,'Calculations'!$HE$13:$HE$512,0)),IFERROR(IF(INDEX(INDIRECT("'WCM Calibration Final'!$E$1:$E$2000"),'Calculations'!$EM295)="","",TRIM(INDEX(INDIRECT("'WCM Calibration Final'!$E$1:$E$2000"),'Calculations'!$EM295)&amp;"")),"")&amp;" ["&amp;'Calculations'!HF295&amp;"]"))</x:f>
      </x:c>
      <x:c r="HK295" t="str">
        <x:f>IF('Calculations'!EM295="","",'Calculations'!HG295&amp;" ["&amp;'Calculations'!HE295&amp;"]")</x:f>
      </x:c>
      <x:c r="HL295" t="n">
        <x:f>IF('Calculations'!EM295="",0,IF(OR('Calculations'!II295&lt;&gt;"",COUNTIF('Calculations'!$HE$13:$HE$512,"="&amp;SUBSTITUTE(SUBSTITUTE(SUBSTITUTE('Calculations'!HE295,"~","~~"),"*","~*"),"?","~?"))&gt;1),1,0))</x:f>
        <x:v>0</x:v>
      </x:c>
      <x:c r="HM295" t="str">
        <x:f>IF('Calculations'!EM295="","",IF('Calculations'!HL295=1,"!UNRESOLVED",IF('Calculations'!IH295&lt;&gt;"",'Calculations'!IH295,IF('Calculations'!IG295&lt;&gt;"",'Calculations'!IG295,IF('Calculations'!IF295&lt;&gt;"",'Calculations'!IF295,IF('Calculations'!IE295&lt;&gt;"",'Calculations'!IE295,IF('Calculations'!ID295&lt;&gt;"",'Calculations'!ID295,IF('Calculations'!IC295&lt;&gt;"",'Calculations'!IC295,IF('Calculations'!IB295&lt;&gt;"",'Calculations'!IB295,IF('Calculations'!IA295&lt;&gt;"",'Calculations'!IA295,IF('Calculations'!HZ295&lt;&gt;"",'Calculations'!HZ295,IF('Calculations'!HY295&lt;&gt;"",'Calculations'!HY295,IF('Calculations'!HX295&lt;&gt;"",'Calculations'!HX295,IF('Calculations'!HW295&lt;&gt;"",'Calculations'!HW295,IF('Calculations'!HV295&lt;&gt;"",'Calculations'!HV295,IF('Calculations'!HU295&lt;&gt;"",'Calculations'!HU295,IF('Calculations'!HT295&lt;&gt;"",'Calculations'!HT295,IF('Calculations'!HS295&lt;&gt;"",'Calculations'!HS295,IF('Calculations'!HR295&lt;&gt;"",'Calculations'!HR295,IF('Calculations'!HQ295&lt;&gt;"",'Calculations'!HQ295,IF('Calculations'!HP295&lt;&gt;"",'Calculations'!HP295,IF('Calculations'!HO295&lt;&gt;"",'Calculations'!HO295,'Calculations'!HE295))))))))))))))))))))))</x:f>
      </x:c>
      <x:c r="HN295" t="str">
        <x:f>IF('Calculations'!EM295="","",IF(IFERROR(IF(INDEX(INDIRECT("'WCM Calibration Final'!$F$1:$F$2000"),'Calculations'!$EM295)="","",TRIM(INDEX(INDIRECT("'WCM Calibration Final'!$F$1:$F$2000"),'Calculations'!$EM295)&amp;"")),"")="","(Blank)",IFERROR(IF(INDEX(INDIRECT("'WCM Calibration Final'!$F$1:$F$2000"),'Calculations'!$EM295)="","",TRIM(INDEX(INDIRECT("'WCM Calibration Final'!$F$1:$F$2000"),'Calculations'!$EM295)&amp;"")),"")))</x:f>
      </x:c>
      <x:c r="HO295" t="str">
        <x:f>'Calculations'!HF295</x:f>
      </x:c>
      <x:c r="HP295" t="str">
        <x:f>IF('Calculations'!HO295="","",IF('Calculations'!HO295="!AMBIG","!AMBIG",IF(COUNTIF('Calculations'!$HE$13:$HE$512,"="&amp;SUBSTITUTE(SUBSTITUTE(SUBSTITUTE('Calculations'!HO295,"~","~~"),"*","~*"),"?","~?"))&gt;1,"!AMBIG",IFERROR(INDEX('Calculations'!$HF$13:$HF$512,MATCH('Calculations'!HO295,'Calculations'!$HE$13:$HE$512,0)),""))))</x:f>
      </x:c>
      <x:c r="HQ295" t="str">
        <x:f>IF('Calculations'!HP295="","",IF('Calculations'!HP295="!AMBIG","!AMBIG",IF(COUNTIF('Calculations'!$HE$13:$HE$512,"="&amp;SUBSTITUTE(SUBSTITUTE(SUBSTITUTE('Calculations'!HP295,"~","~~"),"*","~*"),"?","~?"))&gt;1,"!AMBIG",IFERROR(INDEX('Calculations'!$HF$13:$HF$512,MATCH('Calculations'!HP295,'Calculations'!$HE$13:$HE$512,0)),""))))</x:f>
      </x:c>
      <x:c r="HR295" t="str">
        <x:f>IF('Calculations'!HQ295="","",IF('Calculations'!HQ295="!AMBIG","!AMBIG",IF(COUNTIF('Calculations'!$HE$13:$HE$512,"="&amp;SUBSTITUTE(SUBSTITUTE(SUBSTITUTE('Calculations'!HQ295,"~","~~"),"*","~*"),"?","~?"))&gt;1,"!AMBIG",IFERROR(INDEX('Calculations'!$HF$13:$HF$512,MATCH('Calculations'!HQ295,'Calculations'!$HE$13:$HE$512,0)),""))))</x:f>
      </x:c>
      <x:c r="HS295" t="str">
        <x:f>IF('Calculations'!HR295="","",IF('Calculations'!HR295="!AMBIG","!AMBIG",IF(COUNTIF('Calculations'!$HE$13:$HE$512,"="&amp;SUBSTITUTE(SUBSTITUTE(SUBSTITUTE('Calculations'!HR295,"~","~~"),"*","~*"),"?","~?"))&gt;1,"!AMBIG",IFERROR(INDEX('Calculations'!$HF$13:$HF$512,MATCH('Calculations'!HR295,'Calculations'!$HE$13:$HE$512,0)),""))))</x:f>
      </x:c>
      <x:c r="HT295" t="str">
        <x:f>IF('Calculations'!HS295="","",IF('Calculations'!HS295="!AMBIG","!AMBIG",IF(COUNTIF('Calculations'!$HE$13:$HE$512,"="&amp;SUBSTITUTE(SUBSTITUTE(SUBSTITUTE('Calculations'!HS295,"~","~~"),"*","~*"),"?","~?"))&gt;1,"!AMBIG",IFERROR(INDEX('Calculations'!$HF$13:$HF$512,MATCH('Calculations'!HS295,'Calculations'!$HE$13:$HE$512,0)),""))))</x:f>
      </x:c>
      <x:c r="HU295" t="str">
        <x:f>IF('Calculations'!HT295="","",IF('Calculations'!HT295="!AMBIG","!AMBIG",IF(COUNTIF('Calculations'!$HE$13:$HE$512,"="&amp;SUBSTITUTE(SUBSTITUTE(SUBSTITUTE('Calculations'!HT295,"~","~~"),"*","~*"),"?","~?"))&gt;1,"!AMBIG",IFERROR(INDEX('Calculations'!$HF$13:$HF$512,MATCH('Calculations'!HT295,'Calculations'!$HE$13:$HE$512,0)),""))))</x:f>
      </x:c>
      <x:c r="HV295" t="str">
        <x:f>IF('Calculations'!HU295="","",IF('Calculations'!HU295="!AMBIG","!AMBIG",IF(COUNTIF('Calculations'!$HE$13:$HE$512,"="&amp;SUBSTITUTE(SUBSTITUTE(SUBSTITUTE('Calculations'!HU295,"~","~~"),"*","~*"),"?","~?"))&gt;1,"!AMBIG",IFERROR(INDEX('Calculations'!$HF$13:$HF$512,MATCH('Calculations'!HU295,'Calculations'!$HE$13:$HE$512,0)),""))))</x:f>
      </x:c>
      <x:c r="HW295" t="str">
        <x:f>IF('Calculations'!HV295="","",IF('Calculations'!HV295="!AMBIG","!AMBIG",IF(COUNTIF('Calculations'!$HE$13:$HE$512,"="&amp;SUBSTITUTE(SUBSTITUTE(SUBSTITUTE('Calculations'!HV295,"~","~~"),"*","~*"),"?","~?"))&gt;1,"!AMBIG",IFERROR(INDEX('Calculations'!$HF$13:$HF$512,MATCH('Calculations'!HV295,'Calculations'!$HE$13:$HE$512,0)),""))))</x:f>
      </x:c>
      <x:c r="HX295" t="str">
        <x:f>IF('Calculations'!HW295="","",IF('Calculations'!HW295="!AMBIG","!AMBIG",IF(COUNTIF('Calculations'!$HE$13:$HE$512,"="&amp;SUBSTITUTE(SUBSTITUTE(SUBSTITUTE('Calculations'!HW295,"~","~~"),"*","~*"),"?","~?"))&gt;1,"!AMBIG",IFERROR(INDEX('Calculations'!$HF$13:$HF$512,MATCH('Calculations'!HW295,'Calculations'!$HE$13:$HE$512,0)),""))))</x:f>
      </x:c>
      <x:c r="HY295" t="str">
        <x:f>IF('Calculations'!HX295="","",IF('Calculations'!HX295="!AMBIG","!AMBIG",IF(COUNTIF('Calculations'!$HE$13:$HE$512,"="&amp;SUBSTITUTE(SUBSTITUTE(SUBSTITUTE('Calculations'!HX295,"~","~~"),"*","~*"),"?","~?"))&gt;1,"!AMBIG",IFERROR(INDEX('Calculations'!$HF$13:$HF$512,MATCH('Calculations'!HX295,'Calculations'!$HE$13:$HE$512,0)),""))))</x:f>
      </x:c>
      <x:c r="HZ295" t="str">
        <x:f>IF('Calculations'!HY295="","",IF('Calculations'!HY295="!AMBIG","!AMBIG",IF(COUNTIF('Calculations'!$HE$13:$HE$512,"="&amp;SUBSTITUTE(SUBSTITUTE(SUBSTITUTE('Calculations'!HY295,"~","~~"),"*","~*"),"?","~?"))&gt;1,"!AMBIG",IFERROR(INDEX('Calculations'!$HF$13:$HF$512,MATCH('Calculations'!HY295,'Calculations'!$HE$13:$HE$512,0)),""))))</x:f>
      </x:c>
      <x:c r="IA295" t="str">
        <x:f>IF('Calculations'!HZ295="","",IF('Calculations'!HZ295="!AMBIG","!AMBIG",IF(COUNTIF('Calculations'!$HE$13:$HE$512,"="&amp;SUBSTITUTE(SUBSTITUTE(SUBSTITUTE('Calculations'!HZ295,"~","~~"),"*","~*"),"?","~?"))&gt;1,"!AMBIG",IFERROR(INDEX('Calculations'!$HF$13:$HF$512,MATCH('Calculations'!HZ295,'Calculations'!$HE$13:$HE$512,0)),""))))</x:f>
      </x:c>
      <x:c r="IB295" t="str">
        <x:f>IF('Calculations'!IA295="","",IF('Calculations'!IA295="!AMBIG","!AMBIG",IF(COUNTIF('Calculations'!$HE$13:$HE$512,"="&amp;SUBSTITUTE(SUBSTITUTE(SUBSTITUTE('Calculations'!IA295,"~","~~"),"*","~*"),"?","~?"))&gt;1,"!AMBIG",IFERROR(INDEX('Calculations'!$HF$13:$HF$512,MATCH('Calculations'!IA295,'Calculations'!$HE$13:$HE$512,0)),""))))</x:f>
      </x:c>
      <x:c r="IC295" t="str">
        <x:f>IF('Calculations'!IB295="","",IF('Calculations'!IB295="!AMBIG","!AMBIG",IF(COUNTIF('Calculations'!$HE$13:$HE$512,"="&amp;SUBSTITUTE(SUBSTITUTE(SUBSTITUTE('Calculations'!IB295,"~","~~"),"*","~*"),"?","~?"))&gt;1,"!AMBIG",IFERROR(INDEX('Calculations'!$HF$13:$HF$512,MATCH('Calculations'!IB295,'Calculations'!$HE$13:$HE$512,0)),""))))</x:f>
      </x:c>
      <x:c r="ID295" t="str">
        <x:f>IF('Calculations'!IC295="","",IF('Calculations'!IC295="!AMBIG","!AMBIG",IF(COUNTIF('Calculations'!$HE$13:$HE$512,"="&amp;SUBSTITUTE(SUBSTITUTE(SUBSTITUTE('Calculations'!IC295,"~","~~"),"*","~*"),"?","~?"))&gt;1,"!AMBIG",IFERROR(INDEX('Calculations'!$HF$13:$HF$512,MATCH('Calculations'!IC295,'Calculations'!$HE$13:$HE$512,0)),""))))</x:f>
      </x:c>
      <x:c r="IE295" t="str">
        <x:f>IF('Calculations'!ID295="","",IF('Calculations'!ID295="!AMBIG","!AMBIG",IF(COUNTIF('Calculations'!$HE$13:$HE$512,"="&amp;SUBSTITUTE(SUBSTITUTE(SUBSTITUTE('Calculations'!ID295,"~","~~"),"*","~*"),"?","~?"))&gt;1,"!AMBIG",IFERROR(INDEX('Calculations'!$HF$13:$HF$512,MATCH('Calculations'!ID295,'Calculations'!$HE$13:$HE$512,0)),""))))</x:f>
      </x:c>
      <x:c r="IF295" t="str">
        <x:f>IF('Calculations'!IE295="","",IF('Calculations'!IE295="!AMBIG","!AMBIG",IF(COUNTIF('Calculations'!$HE$13:$HE$512,"="&amp;SUBSTITUTE(SUBSTITUTE(SUBSTITUTE('Calculations'!IE295,"~","~~"),"*","~*"),"?","~?"))&gt;1,"!AMBIG",IFERROR(INDEX('Calculations'!$HF$13:$HF$512,MATCH('Calculations'!IE295,'Calculations'!$HE$13:$HE$512,0)),""))))</x:f>
      </x:c>
      <x:c r="IG295" t="str">
        <x:f>IF('Calculations'!IF295="","",IF('Calculations'!IF295="!AMBIG","!AMBIG",IF(COUNTIF('Calculations'!$HE$13:$HE$512,"="&amp;SUBSTITUTE(SUBSTITUTE(SUBSTITUTE('Calculations'!IF295,"~","~~"),"*","~*"),"?","~?"))&gt;1,"!AMBIG",IFERROR(INDEX('Calculations'!$HF$13:$HF$512,MATCH('Calculations'!IF295,'Calculations'!$HE$13:$HE$512,0)),""))))</x:f>
      </x:c>
      <x:c r="IH295" t="str">
        <x:f>IF('Calculations'!IG295="","",IF('Calculations'!IG295="!AMBIG","!AMBIG",IF(COUNTIF('Calculations'!$HE$13:$HE$512,"="&amp;SUBSTITUTE(SUBSTITUTE(SUBSTITUTE('Calculations'!IG295,"~","~~"),"*","~*"),"?","~?"))&gt;1,"!AMBIG",IFERROR(INDEX('Calculations'!$HF$13:$HF$512,MATCH('Calculations'!IG295,'Calculations'!$HE$13:$HE$512,0)),""))))</x:f>
      </x:c>
      <x:c r="II295" t="str">
        <x:f>IF('Calculations'!IH295="","",IF('Calculations'!IH295="!AMBIG","!AMBIG",IF(COUNTIF('Calculations'!$HE$13:$HE$512,"="&amp;SUBSTITUTE(SUBSTITUTE(SUBSTITUTE('Calculations'!IH295,"~","~~"),"*","~*"),"?","~?"))&gt;1,"!AMBIG",IFERROR(INDEX('Calculations'!$HF$13:$HF$512,MATCH('Calculations'!IH295,'Calculations'!$HE$13:$HE$512,0)),""))))</x:f>
      </x:c>
      <x:c r="IJ295" t="str">
        <x:f>IF('Calculations'!EM295="","",IF('Calculations'!$EF$2="All",'Calculations'!HM295,IF('Calculations'!HL295=1,"",IFERROR(IF(MATCH('Calculations'!$EF$2,'Calculations'!HO295:II295,0)=1,'Calculations'!HE295,INDEX('Calculations'!HO295:II295,1,MATCH('Calculations'!$EF$2,'Calculations'!HO295:II295,0)-1)),""))))</x:f>
      </x:c>
      <x:c r="IK295" t="n">
        <x:f>IF(AND('Calculations'!EM295&lt;&gt;"",'Calculations'!$EF$2&lt;&gt;"All",'Calculations'!HF295='Calculations'!$EF$2,'Calculations'!HL295=0,'Calculations'!JD295&gt;0),MAX('Calculations'!$IK$12:IK294)+1,0)</x:f>
        <x:v>0</x:v>
      </x:c>
      <x:c r="JA295" t="n">
        <x:f>IF(OR(IFERROR(INDIRECT("'WCM Calibration Final'!$A$295")&lt;&gt;"",FALSE),IFERROR(INDIRECT("'WCM Calibration Final'!$B$295")&lt;&gt;"",FALSE),IFERROR(INDIRECT("'WCM Calibration Final'!$C$295")&lt;&gt;"",FALSE)),295,0)</x:f>
        <x:v>0</x:v>
      </x:c>
      <x:c r="JB295" t="n">
        <x:f>'Calculations'!JB294+IF('Calculations'!JA295&gt;0,1,0)</x:f>
        <x:v>0</x:v>
      </x:c>
      <x:c r="JC295" t="n">
        <x:f>IF(OR('Calculations'!HF295="",'Calculations'!HF295="!AMBIG"),0,IF('Dashboard'!$B$7="All",1,COUNTIFS('Calculations'!$HO$13:$HO$512,"="&amp;SUBSTITUTE(SUBSTITUTE(SUBSTITUTE('Calculations'!HF295,"~","~~"),"*","~*"),"?","~?"),'Calculations'!$HN$13:$HN$512,"="&amp;SUBSTITUTE(SUBSTITUTE(SUBSTITUTE('Dashboard'!$B$7,"~","~~"),"*","~*"),"?","~?"))+COUNTIFS('Calculations'!$HP$13:$HP$512,"="&amp;SUBSTITUTE(SUBSTITUTE(SUBSTITUTE('Calculations'!HF295,"~","~~"),"*","~*"),"?","~?"),'Calculations'!$HN$13:$HN$512,"="&amp;SUBSTITUTE(SUBSTITUTE(SUBSTITUTE('Dashboard'!$B$7,"~","~~"),"*","~*"),"?","~?"))+COUNTIFS('Calculations'!$HQ$13:$HQ$512,"="&amp;SUBSTITUTE(SUBSTITUTE(SUBSTITUTE('Calculations'!HF295,"~","~~"),"*","~*"),"?","~?"),'Calculations'!$HN$13:$HN$512,"="&amp;SUBSTITUTE(SUBSTITUTE(SUBSTITUTE('Dashboard'!$B$7,"~","~~"),"*","~*"),"?","~?"))+COUNTIFS('Calculations'!$HR$13:$HR$512,"="&amp;SUBSTITUTE(SUBSTITUTE(SUBSTITUTE('Calculations'!HF295,"~","~~"),"*","~*"),"?","~?"),'Calculations'!$HN$13:$HN$512,"="&amp;SUBSTITUTE(SUBSTITUTE(SUBSTITUTE('Dashboard'!$B$7,"~","~~"),"*","~*"),"?","~?"))+COUNTIFS('Calculations'!$HS$13:$HS$512,"="&amp;SUBSTITUTE(SUBSTITUTE(SUBSTITUTE('Calculations'!HF295,"~","~~"),"*","~*"),"?","~?"),'Calculations'!$HN$13:$HN$512,"="&amp;SUBSTITUTE(SUBSTITUTE(SUBSTITUTE('Dashboard'!$B$7,"~","~~"),"*","~*"),"?","~?"))+COUNTIFS('Calculations'!$HT$13:$HT$512,"="&amp;SUBSTITUTE(SUBSTITUTE(SUBSTITUTE('Calculations'!HF295,"~","~~"),"*","~*"),"?","~?"),'Calculations'!$HN$13:$HN$512,"="&amp;SUBSTITUTE(SUBSTITUTE(SUBSTITUTE('Dashboard'!$B$7,"~","~~"),"*","~*"),"?","~?"))+COUNTIFS('Calculations'!$HU$13:$HU$512,"="&amp;SUBSTITUTE(SUBSTITUTE(SUBSTITUTE('Calculations'!HF295,"~","~~"),"*","~*"),"?","~?"),'Calculations'!$HN$13:$HN$512,"="&amp;SUBSTITUTE(SUBSTITUTE(SUBSTITUTE('Dashboard'!$B$7,"~","~~"),"*","~*"),"?","~?"))+COUNTIFS('Calculations'!$HV$13:$HV$512,"="&amp;SUBSTITUTE(SUBSTITUTE(SUBSTITUTE('Calculations'!HF295,"~","~~"),"*","~*"),"?","~?"),'Calculations'!$HN$13:$HN$512,"="&amp;SUBSTITUTE(SUBSTITUTE(SUBSTITUTE('Dashboard'!$B$7,"~","~~"),"*","~*"),"?","~?"))+COUNTIFS('Calculations'!$HW$13:$HW$512,"="&amp;SUBSTITUTE(SUBSTITUTE(SUBSTITUTE('Calculations'!HF295,"~","~~"),"*","~*"),"?","~?"),'Calculations'!$HN$13:$HN$512,"="&amp;SUBSTITUTE(SUBSTITUTE(SUBSTITUTE('Dashboard'!$B$7,"~","~~"),"*","~*"),"?","~?"))+COUNTIFS('Calculations'!$HX$13:$HX$512,"="&amp;SUBSTITUTE(SUBSTITUTE(SUBSTITUTE('Calculations'!HF295,"~","~~"),"*","~*"),"?","~?"),'Calculations'!$HN$13:$HN$512,"="&amp;SUBSTITUTE(SUBSTITUTE(SUBSTITUTE('Dashboard'!$B$7,"~","~~"),"*","~*"),"?","~?"))+COUNTIFS('Calculations'!$HY$13:$HY$512,"="&amp;SUBSTITUTE(SUBSTITUTE(SUBSTITUTE('Calculations'!HF295,"~","~~"),"*","~*"),"?","~?"),'Calculations'!$HN$13:$HN$512,"="&amp;SUBSTITUTE(SUBSTITUTE(SUBSTITUTE('Dashboard'!$B$7,"~","~~"),"*","~*"),"?","~?"))+COUNTIFS('Calculations'!$HZ$13:$HZ$512,"="&amp;SUBSTITUTE(SUBSTITUTE(SUBSTITUTE('Calculations'!HF295,"~","~~"),"*","~*"),"?","~?"),'Calculations'!$HN$13:$HN$512,"="&amp;SUBSTITUTE(SUBSTITUTE(SUBSTITUTE('Dashboard'!$B$7,"~","~~"),"*","~*"),"?","~?"))+COUNTIFS('Calculations'!$IA$13:$IA$512,"="&amp;SUBSTITUTE(SUBSTITUTE(SUBSTITUTE('Calculations'!HF295,"~","~~"),"*","~*"),"?","~?"),'Calculations'!$HN$13:$HN$512,"="&amp;SUBSTITUTE(SUBSTITUTE(SUBSTITUTE('Dashboard'!$B$7,"~","~~"),"*","~*"),"?","~?"))+COUNTIFS('Calculations'!$IB$13:$IB$512,"="&amp;SUBSTITUTE(SUBSTITUTE(SUBSTITUTE('Calculations'!HF295,"~","~~"),"*","~*"),"?","~?"),'Calculations'!$HN$13:$HN$512,"="&amp;SUBSTITUTE(SUBSTITUTE(SUBSTITUTE('Dashboard'!$B$7,"~","~~"),"*","~*"),"?","~?"))+COUNTIFS('Calculations'!$IC$13:$IC$512,"="&amp;SUBSTITUTE(SUBSTITUTE(SUBSTITUTE('Calculations'!HF295,"~","~~"),"*","~*"),"?","~?"),'Calculations'!$HN$13:$HN$512,"="&amp;SUBSTITUTE(SUBSTITUTE(SUBSTITUTE('Dashboard'!$B$7,"~","~~"),"*","~*"),"?","~?"))+COUNTIFS('Calculations'!$ID$13:$ID$512,"="&amp;SUBSTITUTE(SUBSTITUTE(SUBSTITUTE('Calculations'!HF295,"~","~~"),"*","~*"),"?","~?"),'Calculations'!$HN$13:$HN$512,"="&amp;SUBSTITUTE(SUBSTITUTE(SUBSTITUTE('Dashboard'!$B$7,"~","~~"),"*","~*"),"?","~?"))+COUNTIFS('Calculations'!$IE$13:$IE$512,"="&amp;SUBSTITUTE(SUBSTITUTE(SUBSTITUTE('Calculations'!HF295,"~","~~"),"*","~*"),"?","~?"),'Calculations'!$HN$13:$HN$512,"="&amp;SUBSTITUTE(SUBSTITUTE(SUBSTITUTE('Dashboard'!$B$7,"~","~~"),"*","~*"),"?","~?"))+COUNTIFS('Calculations'!$IF$13:$IF$512,"="&amp;SUBSTITUTE(SUBSTITUTE(SUBSTITUTE('Calculations'!HF295,"~","~~"),"*","~*"),"?","~?"),'Calculations'!$HN$13:$HN$512,"="&amp;SUBSTITUTE(SUBSTITUTE(SUBSTITUTE('Dashboard'!$B$7,"~","~~"),"*","~*"),"?","~?"))+COUNTIFS('Calculations'!$IG$13:$IG$512,"="&amp;SUBSTITUTE(SUBSTITUTE(SUBSTITUTE('Calculations'!HF295,"~","~~"),"*","~*"),"?","~?"),'Calculations'!$HN$13:$HN$512,"="&amp;SUBSTITUTE(SUBSTITUTE(SUBSTITUTE('Dashboard'!$B$7,"~","~~"),"*","~*"),"?","~?"))+COUNTIFS('Calculations'!$IH$13:$IH$512,"="&amp;SUBSTITUTE(SUBSTITUTE(SUBSTITUTE('Calculations'!HF295,"~","~~"),"*","~*"),"?","~?"),'Calculations'!$HN$13:$HN$512,"="&amp;SUBSTITUTE(SUBSTITUTE(SUBSTITUTE('Dashboard'!$B$7,"~","~~"),"*","~*"),"?","~?"))))</x:f>
        <x:v>0</x:v>
      </x:c>
      <x:c r="JD295" t="n">
        <x:f>IF('Calculations'!EM295="",0,IF('Dashboard'!$B$7="All",1,IF('Calculations'!HN295='Dashboard'!$B$7,1,0)+IFERROR(INDEX('Calculations'!$JC$13:$JC$512,MATCH('Calculations'!HE295,'Calculations'!$HF$13:$HF$512,0)),0)))</x:f>
        <x:v>0</x:v>
      </x:c>
      <x:c r="JE295" t="n">
        <x:f>IF(AND('Calculations'!EM295&lt;&gt;"",'Calculations'!$JJ$2&lt;&gt;"All",'Calculations'!$JJ$2&lt;&gt;"",'Calculations'!HF295='Calculations'!$JJ$2,'Calculations'!HL295=0,'Calculations'!JD295&gt;0),MAX('Calculations'!$JE$12:JE294)+1,0)</x:f>
        <x:v>0</x:v>
      </x:c>
      <x:c r="JF295" t="str">
        <x:f>IF('Calculations'!EM295="","",IFERROR(IF(INDEX(INDIRECT("'WCM Calibration Final'!$G$1:$G$2000"),'Calculations'!$EM295)="","",TRIM(INDEX(INDIRECT("'WCM Calibration Final'!$G$1:$G$2000"),'Calculations'!$EM295)&amp;"")),""))</x:f>
      </x:c>
      <x:c r="JQ295" t="n">
        <x:f>IF(OR('Calculations'!BM295=0,NOT('Calculations'!$AG$2),'Calculations'!$AG$8&gt;0),0,IF(OR('Dashboard'!$B$7="All",'Calculations'!HN295='Dashboard'!$B$7),IF('Calculations'!$JJ$2="All",1,IF(AND('Calculations'!HF295='Calculations'!$JJ$2,'Calculations'!HL295=0),1,0)),0))</x:f>
        <x:v>0</x:v>
      </x:c>
    </x:row>
    <x:row r="296">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t="n">
        <x:f>IF('Calculations'!$EM296="",0,IF(OR(IFERROR(INDEX(INDIRECT("'WCM Calibration Final'!$A$1:$A$2000"),'Calculations'!$EM296)&lt;&gt;"",FALSE),IFERROR(INDEX(INDIRECT("'WCM Calibration Final'!$B$1:$B$2000"),'Calculations'!$EM296)&lt;&gt;"",FALSE),IFERROR(INDEX(INDIRECT("'WCM Calibration Final'!$C$1:$C$2000"),'Calculations'!$EM296)&lt;&gt;"",FALSE)),1,0))</x:f>
        <x:v>0</x:v>
      </x:c>
      <x:c r="BN296" s="4" t="n">
        <x:f>IF(AND('Calculations'!BM296=1,'Calculations'!$AG$2,'Calculations'!$EN296=1),1,0)</x:f>
        <x:v>0</x:v>
      </x:c>
      <x:c r="BO296" s="4" t="str">
        <x:f>IF('Calculations'!BM296=0,"",IFERROR(IF(AND(VALUE(INDEX(INDIRECT("'WCM Calibration Final'!$K$1:$K$2000"),'Calculations'!$EM296))&gt;=1,VALUE(INDEX(INDIRECT("'WCM Calibration Final'!$K$1:$K$2000"),'Calculations'!$EM296))&lt;=4,MOD(VALUE(INDEX(INDIRECT("'WCM Calibration Final'!$K$1:$K$2000"),'Calculations'!$EM296)),1)=0),VALUE(INDEX(INDIRECT("'WCM Calibration Final'!$K$1:$K$2000"),'Calculations'!$EM296)),""),""))</x:f>
      </x:c>
      <x:c r="BP296" s="4" t="str">
        <x:f>IF('Calculations'!BM296=0,"",IFERROR(IF(AND(VALUE(INDEX(INDIRECT("'WCM Calibration Final'!$L$1:$L$2000"),'Calculations'!$EM296))&gt;=1,VALUE(INDEX(INDIRECT("'WCM Calibration Final'!$L$1:$L$2000"),'Calculations'!$EM296))&lt;=4,MOD(VALUE(INDEX(INDIRECT("'WCM Calibration Final'!$L$1:$L$2000"),'Calculations'!$EM296)),1)=0),VALUE(INDEX(INDIRECT("'WCM Calibration Final'!$L$1:$L$2000"),'Calculations'!$EM296)),""),""))</x:f>
      </x:c>
      <x:c r="BQ296" s="4"/>
      <x:c r="BR296" s="4"/>
      <x:c r="BS296" s="4"/>
      <x:c r="BT296" s="4" t="n">
        <x:f>IF(AND('Calculations'!BM296=1,ISNUMBER('Calculations'!BO296),ISNUMBER('Calculations'!BP296)),1,0)</x:f>
        <x:v>0</x:v>
      </x:c>
      <x:c r="BU296" s="4" t="str">
        <x:f>IF('Calculations'!BM296=0,"",'Calculations'!$EO296)</x:f>
      </x:c>
      <x:c r="BV296" s="4" t="str">
        <x:f>IF('Calculations'!BM296=0,"",IFERROR(IF(OR(INDEX(INDIRECT("'WCM Calibration Final'!$H$1:$H$2000"),'Calculations'!$EM296)="MANAGING DIRECTOR",INDEX(INDIRECT("'WCM Calibration Final'!$H$1:$H$2000"),'Calculations'!$EM296)="DIRECTOR",INDEX(INDIRECT("'WCM Calibration Final'!$H$1:$H$2000"),'Calculations'!$EM296)="SENIOR VICE PRESIDENT",INDEX(INDIRECT("'WCM Calibration Final'!$H$1:$H$2000"),'Calculations'!$EM296)="VICE PRESIDENT",INDEX(INDIRECT("'WCM Calibration Final'!$H$1:$H$2000"),'Calculations'!$EM296)="ASSISTANT VICE PRESIDENT",INDEX(INDIRECT("'WCM Calibration Final'!$H$1:$H$2000"),'Calculations'!$EM296)="OFFICER"),UPPER(INDEX(INDIRECT("'WCM Calibration Final'!$H$1:$H$2000"),'Calculations'!$EM296)),"Other"),"Other"))</x:f>
      </x:c>
      <x:c r="BW296" s="4"/>
      <x:c r="BX296" s="4"/>
      <x:c r="BY296" s="4" t="n">
        <x:f>IF(AND('Calculations'!BM296=1,'Calculations'!BU296&lt;&gt;"",COUNTIF('Calculations'!$BU$12:BU296,'Calculations'!BU296)=1),MAX('Calculations'!$BY$11:BY295)+1,0)</x:f>
        <x:v>0</x:v>
      </x:c>
      <x:c r="BZ296" s="4" t="str">
        <x:f>IF('Dashboard'!$E$67="What",'Calculations'!BO296,'Calculations'!BP296)</x:f>
      </x:c>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t="str">
        <x:f>IF(285&gt;MAX('Calculations'!$HI$13:$HI$512),"",INDEX('Calculations'!$HN$13:$HN$512,MATCH(285,'Calculations'!$HI$13:$HI$512,0)))</x:f>
      </x:c>
      <x:c r="DB296" s="4" t="str">
        <x:f>IF(285&gt;MAX('Calculations'!$HH$13:$HH$512),"",INDEX('Calculations'!$HJ$13:$HJ$512,MATCH(285,'Calculations'!$HH$13:$HH$512,0)))</x:f>
      </x:c>
      <x:c r="DC296" s="4" t="str">
        <x:f>IF(ROW()-11&gt;MAX('Calculations'!$BY$13:$BY$512),"",INDEX('Calculations'!$BU$13:$BU$512,MATCH(ROW()-11,'Calculations'!$BY$13:$BY$512,0)))</x:f>
      </x:c>
      <x:c r="DD296" s="4" t="str">
        <x:f>IF(285&gt;MAX('Calculations'!$IK$13:$IK$512),"",INDEX('Calculations'!$HK$13:$HK$512,MATCH(285,'Calculations'!$IK$13:$IK$512,0)))</x:f>
      </x:c>
      <x:c r="DE296" s="4" t="str">
        <x:f>'Calculations'!DC296</x:f>
      </x:c>
      <x:c r="DF296" s="4" t="str">
        <x:f>IF('Calculations'!DE296="","",COUNTIFS('Calculations'!$BN$13:$BN$512,1,'Calculations'!$BU$13:$BU$512,'Calculations'!DE296))</x:f>
      </x:c>
      <x:c r="DG296" s="4" t="str">
        <x:f>IF('Calculations'!DE296="","",COUNTIFS('Calculations'!$BN$13:$BN$512,1,'Calculations'!$BU$13:$BU$512,'Calculations'!DE296,'Calculations'!$BT$13:$BT$512,1))</x:f>
      </x:c>
      <x:c r="DH296" s="4" t="str">
        <x:f>IF('Calculations'!DE296="","",'Calculations'!DF296-'Calculations'!DG296)</x:f>
      </x:c>
      <x:c r="DI296" s="4" t="str">
        <x:f>IF(OR('Calculations'!DE296="",'Calculations'!DF296=0),"",'Calculations'!DG296/'Calculations'!DF296)</x:f>
      </x:c>
      <x:c r="DJ296" s="4" t="str">
        <x:f>IF('Calculations'!DE296="","",COUNTIFS('Calculations'!$BN$13:$BN$512,1,'Calculations'!$BU$13:$BU$512,'Calculations'!DE296,'Calculations'!$BT$13:$BT$512,1,'Calculations'!$EE$13:$EE$512,"High"))</x:f>
      </x:c>
      <x:c r="DK296" s="4" t="str">
        <x:f>IF('Calculations'!DE296="","",COUNTIFS('Calculations'!$BN$13:$BN$512,1,'Calculations'!$BU$13:$BU$512,'Calculations'!DE296,'Calculations'!$BT$13:$BT$512,1,'Calculations'!$EE$13:$EE$512,"Strong"))</x:f>
      </x:c>
      <x:c r="DL296" s="4" t="str">
        <x:f>IF('Calculations'!DE296="","",COUNTIFS('Calculations'!$BN$13:$BN$512,1,'Calculations'!$BU$13:$BU$512,'Calculations'!DE296,'Calculations'!$BT$13:$BT$512,1,'Calculations'!$EE$13:$EE$512,"Solid"))</x:f>
      </x:c>
      <x:c r="DM296" s="4" t="str">
        <x:f>IF('Calculations'!DE296="","",COUNTIFS('Calculations'!$BN$13:$BN$512,1,'Calculations'!$BU$13:$BU$512,'Calculations'!DE296,'Calculations'!$BT$13:$BT$512,1,'Calculations'!$EE$13:$EE$512,"Low"))</x:f>
      </x:c>
      <x:c r="DN296" s="4" t="str">
        <x:f>IF('Calculations'!DE296="","",COUNTIFS('Calculations'!$BN$13:$BN$512,1,'Calculations'!$BU$13:$BU$512,'Calculations'!DE296,'Calculations'!$EP$13:$EP$512,1))</x:f>
      </x:c>
      <x:c r="DO296" s="4" t="str">
        <x:f>IF(OR('Calculations'!DE296="",'Calculations'!DG296=0),"",('Calculations'!DJ296+'Calculations'!DK296)/'Calculations'!DG296)</x:f>
      </x:c>
      <x:c r="DP296" s="4" t="n">
        <x:f>IF(AND('Calculations'!DE296&lt;&gt;"",'Calculations'!DF296&gt;0),COUNTIF('Calculations'!$DF$12:DF296,"&gt;0"),0)</x:f>
        <x:v>0</x:v>
      </x:c>
      <x:c r="DQ296" s="4" t="str">
        <x:f>IF(285&gt;MAX('Calculations'!$HH$13:$HH$512),"",INDEX('Calculations'!$HF$13:$HF$512,MATCH(285,'Calculations'!$HH$13:$HH$512,0)))</x:f>
      </x:c>
      <x:c r="DR296" s="4" t="str">
        <x:f>IF(285&gt;MAX('Calculations'!$IK$13:$IK$512),"",INDEX('Calculations'!$HE$13:$HE$512,MATCH(285,'Calculations'!$IK$13:$IK$512,0)))</x:f>
      </x:c>
      <x:c r="DS296" s="4"/>
      <x:c r="DT296" s="4"/>
      <x:c r="DU296" s="4"/>
      <x:c r="DV296" s="4"/>
      <x:c r="DW296" s="4"/>
      <x:c r="DX296" s="4"/>
      <x:c r="DY296" s="4"/>
      <x:c r="DZ296" s="4"/>
      <x:c r="EA296" s="4"/>
      <x:c r="EB296" s="4"/>
      <x:c r="EC296" s="4"/>
      <x:c r="ED296" s="4"/>
      <x:c r="EE296" s="4" t="str">
        <x:f>IF('Calculations'!BT296=0,"Not Rated",IF(OR('Calculations'!BO296&gt;=4,'Calculations'!BP296&gt;=4),"Low",IF('Calculations'!BO296+'Calculations'!BP296&lt;=3,"High",IF('Calculations'!BO296+'Calculations'!BP296&lt;=4,"Strong","Solid"))))</x:f>
        <x:v>Not Rated</x:v>
      </x:c>
      <x:c r="EF296" s="4"/>
      <x:c r="EG296" s="4"/>
      <x:c r="EH296" s="4"/>
      <x:c r="EI296" s="4"/>
      <x:c r="EJ296" s="4"/>
      <x:c r="EK296" s="4"/>
      <x:c r="EL296" s="4"/>
      <x:c r="EM296" s="4" t="str">
        <x:f>IF(284&gt;'Calculations'!$JB$2000,"",INDEX('Calculations'!$JA$12:$JA$2000,MATCH(284,'Calculations'!$JB$12:$JB$2000,0)))</x:f>
      </x:c>
      <x:c r="EN296" s="4" t="n">
        <x:f>IF(OR('Calculations'!EM296="",'Calculations'!$AG$8&gt;0,AND('Calculations'!$EF$2&lt;&gt;"All",'Calculations'!HE296='Calculations'!$EF$2),AND('Calculations'!$EF$3&lt;&gt;"All",'Calculations'!HE296='Calculations'!$EF$3)),0,IF(OR('Dashboard'!$B$7="All",'Calculations'!HN296='Dashboard'!$B$7),IF('Calculations'!$EF$2="All",1,IF('Calculations'!HL296&gt;0,0,IF(COUNTIF('Calculations'!HO296:II296,"="&amp;SUBSTITUTE(SUBSTITUTE(SUBSTITUTE('Calculations'!$EF$2,"~","~~"),"*","~*"),"?","~?"))=0,0,IF('Calculations'!$EF$3="All",1,IF(COUNTIF('Calculations'!HO296:II296,"="&amp;SUBSTITUTE(SUBSTITUTE(SUBSTITUTE('Calculations'!$EF$3,"~","~~"),"*","~*"),"?","~?"))&gt;0,1,0))))),0))</x:f>
        <x:v>0</x:v>
      </x:c>
      <x:c r="EO296" s="4" t="str">
        <x:f>IF('Calculations'!IJ296="","",IF('Calculations'!IJ296="!UNRESOLVED","Unresolved hierarchy",IFERROR(INDEX('Calculations'!$HK$13:$HK$512,MATCH('Calculations'!IJ296,'Calculations'!$HE$13:$HE$512,0)),IFERROR(INDEX('Calculations'!$HJ$13:$HJ$512,MATCH('Calculations'!IJ296,'Calculations'!$HF$13:$HF$512,0)),'Calculations'!IJ296))))</x:f>
      </x:c>
      <x:c r="EP296" s="4" t="n">
        <x:f>IF(AND('Calculations'!EM296&lt;&gt;"",'Calculations'!HF296='Calculations'!IJ296),1,0)</x:f>
        <x:v>0</x:v>
      </x:c>
      <x:c r="EQ296" s="4"/>
      <x:c r="ER296" s="4"/>
      <x:c r="ES296" s="4"/>
      <x:c r="ET296" s="4"/>
      <x:c r="EU296" s="4"/>
      <x:c r="EV296" s="4"/>
      <x:c r="EW296" s="4"/>
      <x:c r="EX296" s="4"/>
      <x:c r="EY296" s="4"/>
      <x:c r="EZ296" s="4"/>
      <x:c r="FA296" s="4"/>
      <x:c r="FB296" s="4"/>
      <x:c r="FC296" s="4"/>
      <x:c r="FD296" s="4"/>
      <x:c r="FE296" s="4"/>
      <x:c r="FF296" s="4"/>
      <x:c r="FG296" s="4"/>
      <x:c r="FH296" s="4"/>
      <x:c r="FI296" s="4"/>
      <x:c r="FJ296" s="4"/>
      <x:c r="FK296" s="4"/>
      <x:c r="FL296" s="4"/>
      <x:c r="FM296" s="4"/>
      <x:c r="FN296" s="4"/>
      <x:c r="FO296" s="4"/>
      <x:c r="HE296" t="str">
        <x:f>IF('Calculations'!EM296="","",IF(IFERROR(IF(INDEX(INDIRECT("'WCM Calibration Final'!$A$1:$A$2000"),'Calculations'!$EM296)="","",TRIM(INDEX(INDIRECT("'WCM Calibration Final'!$A$1:$A$2000"),'Calculations'!$EM296)&amp;"")),"")&lt;&gt;"","G:"&amp;IFERROR(TEXT(1*INDEX(INDIRECT("'WCM Calibration Final'!$A$1:$A$2000"),'Calculations'!$EM296),"0"),UPPER(IFERROR(IF(INDEX(INDIRECT("'WCM Calibration Final'!$A$1:$A$2000"),'Calculations'!$EM296)="","",TRIM(INDEX(INDIRECT("'WCM Calibration Final'!$A$1:$A$2000"),'Calculations'!$EM296)&amp;"")),""))),IF(IFERROR(IF(INDEX(INDIRECT("'WCM Calibration Final'!$C$1:$C$2000"),'Calculations'!$EM296)="","",TRIM(INDEX(INDIRECT("'WCM Calibration Final'!$C$1:$C$2000"),'Calculations'!$EM296)&amp;"")),"")&lt;&gt;"","S:"&amp;UPPER(IFERROR(IF(INDEX(INDIRECT("'WCM Calibration Final'!$C$1:$C$2000"),'Calculations'!$EM296)="","",TRIM(INDEX(INDIRECT("'WCM Calibration Final'!$C$1:$C$2000"),'Calculations'!$EM296)&amp;"")),"")),"R:"&amp;'Calculations'!EM296)))</x:f>
      </x:c>
      <x:c r="HF296" t="str">
        <x:f>IF('Calculations'!EM296="","",IF(IFERROR(IF(INDEX(INDIRECT("'WCM Calibration Final'!$D$1:$D$2000"),'Calculations'!$EM296)="","",TRIM(INDEX(INDIRECT("'WCM Calibration Final'!$D$1:$D$2000"),'Calculations'!$EM296)&amp;"")),"")&lt;&gt;"","G:"&amp;IFERROR(TEXT(1*INDEX(INDIRECT("'WCM Calibration Final'!$D$1:$D$2000"),'Calculations'!$EM296),"0"),UPPER(IFERROR(IF(INDEX(INDIRECT("'WCM Calibration Final'!$D$1:$D$2000"),'Calculations'!$EM296)="","",TRIM(INDEX(INDIRECT("'WCM Calibration Final'!$D$1:$D$2000"),'Calculations'!$EM296)&amp;"")),""))),IF(IFERROR(IF(INDEX(INDIRECT("'WCM Calibration Final'!$E$1:$E$2000"),'Calculations'!$EM296)="","",TRIM(INDEX(INDIRECT("'WCM Calibration Final'!$E$1:$E$2000"),'Calculations'!$EM296)&amp;"")),"")="","",IF(COUNTIF('Calculations'!$HG$13:$HG$512,"="&amp;SUBSTITUTE(SUBSTITUTE(SUBSTITUTE(IFERROR(IF(INDEX(INDIRECT("'WCM Calibration Final'!$E$1:$E$2000"),'Calculations'!$EM296)="","",TRIM(INDEX(INDIRECT("'WCM Calibration Final'!$E$1:$E$2000"),'Calculations'!$EM296)&amp;"")),""),"~","~~"),"*","~*"),"?","~?"))=1,INDEX('Calculations'!$HE$13:$HE$512,MATCH(IFERROR(IF(INDEX(INDIRECT("'WCM Calibration Final'!$E$1:$E$2000"),'Calculations'!$EM296)="","",TRIM(INDEX(INDIRECT("'WCM Calibration Final'!$E$1:$E$2000"),'Calculations'!$EM296)&amp;"")),""),'Calculations'!$HG$13:$HG$512,0)),IF(COUNTIF('Calculations'!$HG$13:$HG$512,"="&amp;SUBSTITUTE(SUBSTITUTE(SUBSTITUTE(IFERROR(IF(INDEX(INDIRECT("'WCM Calibration Final'!$E$1:$E$2000"),'Calculations'!$EM296)="","",TRIM(INDEX(INDIRECT("'WCM Calibration Final'!$E$1:$E$2000"),'Calculations'!$EM296)&amp;"")),""),"~","~~"),"*","~*"),"?","~?"))&gt;1,"!AMBIG","X:"&amp;IFERROR(IF(INDEX(INDIRECT("'WCM Calibration Final'!$E$1:$E$2000"),'Calculations'!$EM296)="","",TRIM(INDEX(INDIRECT("'WCM Calibration Final'!$E$1:$E$2000"),'Calculations'!$EM296)&amp;"")),""))))))</x:f>
      </x:c>
      <x:c r="HG296" t="str">
        <x:f>IF('Calculations'!EM296="","",IFERROR(IF(INDEX(INDIRECT("'WCM Calibration Final'!$B$1:$B$2000"),'Calculations'!$EM296)="","",TRIM(INDEX(INDIRECT("'WCM Calibration Final'!$B$1:$B$2000"),'Calculations'!$EM296)&amp;"")),""))</x:f>
      </x:c>
      <x:c r="HH296" t="n">
        <x:f>IF(AND('Calculations'!JC296&gt;0,COUNTIF('Calculations'!$HF$12:HF296,"="&amp;SUBSTITUTE(SUBSTITUTE(SUBSTITUTE('Calculations'!HF296,"~","~~"),"*","~*"),"?","~?"))=1),MAX('Calculations'!$HH$12:HH295)+1,0)</x:f>
        <x:v>0</x:v>
      </x:c>
      <x:c r="HI296" t="n">
        <x:f>IF(AND('Calculations'!HN296&lt;&gt;"",COUNTIF('Calculations'!$HN$12:HN296,"="&amp;SUBSTITUTE(SUBSTITUTE(SUBSTITUTE('Calculations'!HN296,"~","~~"),"*","~*"),"?","~?"))=1),MAX('Calculations'!$HI$12:HI295)+1,0)</x:f>
        <x:v>0</x:v>
      </x:c>
      <x:c r="HJ296" t="str">
        <x:f>IF('Calculations'!HF296="","",IF(COUNTIF('Calculations'!$HE$13:$HE$512,"="&amp;SUBSTITUTE(SUBSTITUTE(SUBSTITUTE('Calculations'!HF296,"~","~~"),"*","~*"),"?","~?"))=1,INDEX('Calculations'!$HK$13:$HK$512,MATCH('Calculations'!HF296,'Calculations'!$HE$13:$HE$512,0)),IFERROR(IF(INDEX(INDIRECT("'WCM Calibration Final'!$E$1:$E$2000"),'Calculations'!$EM296)="","",TRIM(INDEX(INDIRECT("'WCM Calibration Final'!$E$1:$E$2000"),'Calculations'!$EM296)&amp;"")),"")&amp;" ["&amp;'Calculations'!HF296&amp;"]"))</x:f>
      </x:c>
      <x:c r="HK296" t="str">
        <x:f>IF('Calculations'!EM296="","",'Calculations'!HG296&amp;" ["&amp;'Calculations'!HE296&amp;"]")</x:f>
      </x:c>
      <x:c r="HL296" t="n">
        <x:f>IF('Calculations'!EM296="",0,IF(OR('Calculations'!II296&lt;&gt;"",COUNTIF('Calculations'!$HE$13:$HE$512,"="&amp;SUBSTITUTE(SUBSTITUTE(SUBSTITUTE('Calculations'!HE296,"~","~~"),"*","~*"),"?","~?"))&gt;1),1,0))</x:f>
        <x:v>0</x:v>
      </x:c>
      <x:c r="HM296" t="str">
        <x:f>IF('Calculations'!EM296="","",IF('Calculations'!HL296=1,"!UNRESOLVED",IF('Calculations'!IH296&lt;&gt;"",'Calculations'!IH296,IF('Calculations'!IG296&lt;&gt;"",'Calculations'!IG296,IF('Calculations'!IF296&lt;&gt;"",'Calculations'!IF296,IF('Calculations'!IE296&lt;&gt;"",'Calculations'!IE296,IF('Calculations'!ID296&lt;&gt;"",'Calculations'!ID296,IF('Calculations'!IC296&lt;&gt;"",'Calculations'!IC296,IF('Calculations'!IB296&lt;&gt;"",'Calculations'!IB296,IF('Calculations'!IA296&lt;&gt;"",'Calculations'!IA296,IF('Calculations'!HZ296&lt;&gt;"",'Calculations'!HZ296,IF('Calculations'!HY296&lt;&gt;"",'Calculations'!HY296,IF('Calculations'!HX296&lt;&gt;"",'Calculations'!HX296,IF('Calculations'!HW296&lt;&gt;"",'Calculations'!HW296,IF('Calculations'!HV296&lt;&gt;"",'Calculations'!HV296,IF('Calculations'!HU296&lt;&gt;"",'Calculations'!HU296,IF('Calculations'!HT296&lt;&gt;"",'Calculations'!HT296,IF('Calculations'!HS296&lt;&gt;"",'Calculations'!HS296,IF('Calculations'!HR296&lt;&gt;"",'Calculations'!HR296,IF('Calculations'!HQ296&lt;&gt;"",'Calculations'!HQ296,IF('Calculations'!HP296&lt;&gt;"",'Calculations'!HP296,IF('Calculations'!HO296&lt;&gt;"",'Calculations'!HO296,'Calculations'!HE296))))))))))))))))))))))</x:f>
      </x:c>
      <x:c r="HN296" t="str">
        <x:f>IF('Calculations'!EM296="","",IF(IFERROR(IF(INDEX(INDIRECT("'WCM Calibration Final'!$F$1:$F$2000"),'Calculations'!$EM296)="","",TRIM(INDEX(INDIRECT("'WCM Calibration Final'!$F$1:$F$2000"),'Calculations'!$EM296)&amp;"")),"")="","(Blank)",IFERROR(IF(INDEX(INDIRECT("'WCM Calibration Final'!$F$1:$F$2000"),'Calculations'!$EM296)="","",TRIM(INDEX(INDIRECT("'WCM Calibration Final'!$F$1:$F$2000"),'Calculations'!$EM296)&amp;"")),"")))</x:f>
      </x:c>
      <x:c r="HO296" t="str">
        <x:f>'Calculations'!HF296</x:f>
      </x:c>
      <x:c r="HP296" t="str">
        <x:f>IF('Calculations'!HO296="","",IF('Calculations'!HO296="!AMBIG","!AMBIG",IF(COUNTIF('Calculations'!$HE$13:$HE$512,"="&amp;SUBSTITUTE(SUBSTITUTE(SUBSTITUTE('Calculations'!HO296,"~","~~"),"*","~*"),"?","~?"))&gt;1,"!AMBIG",IFERROR(INDEX('Calculations'!$HF$13:$HF$512,MATCH('Calculations'!HO296,'Calculations'!$HE$13:$HE$512,0)),""))))</x:f>
      </x:c>
      <x:c r="HQ296" t="str">
        <x:f>IF('Calculations'!HP296="","",IF('Calculations'!HP296="!AMBIG","!AMBIG",IF(COUNTIF('Calculations'!$HE$13:$HE$512,"="&amp;SUBSTITUTE(SUBSTITUTE(SUBSTITUTE('Calculations'!HP296,"~","~~"),"*","~*"),"?","~?"))&gt;1,"!AMBIG",IFERROR(INDEX('Calculations'!$HF$13:$HF$512,MATCH('Calculations'!HP296,'Calculations'!$HE$13:$HE$512,0)),""))))</x:f>
      </x:c>
      <x:c r="HR296" t="str">
        <x:f>IF('Calculations'!HQ296="","",IF('Calculations'!HQ296="!AMBIG","!AMBIG",IF(COUNTIF('Calculations'!$HE$13:$HE$512,"="&amp;SUBSTITUTE(SUBSTITUTE(SUBSTITUTE('Calculations'!HQ296,"~","~~"),"*","~*"),"?","~?"))&gt;1,"!AMBIG",IFERROR(INDEX('Calculations'!$HF$13:$HF$512,MATCH('Calculations'!HQ296,'Calculations'!$HE$13:$HE$512,0)),""))))</x:f>
      </x:c>
      <x:c r="HS296" t="str">
        <x:f>IF('Calculations'!HR296="","",IF('Calculations'!HR296="!AMBIG","!AMBIG",IF(COUNTIF('Calculations'!$HE$13:$HE$512,"="&amp;SUBSTITUTE(SUBSTITUTE(SUBSTITUTE('Calculations'!HR296,"~","~~"),"*","~*"),"?","~?"))&gt;1,"!AMBIG",IFERROR(INDEX('Calculations'!$HF$13:$HF$512,MATCH('Calculations'!HR296,'Calculations'!$HE$13:$HE$512,0)),""))))</x:f>
      </x:c>
      <x:c r="HT296" t="str">
        <x:f>IF('Calculations'!HS296="","",IF('Calculations'!HS296="!AMBIG","!AMBIG",IF(COUNTIF('Calculations'!$HE$13:$HE$512,"="&amp;SUBSTITUTE(SUBSTITUTE(SUBSTITUTE('Calculations'!HS296,"~","~~"),"*","~*"),"?","~?"))&gt;1,"!AMBIG",IFERROR(INDEX('Calculations'!$HF$13:$HF$512,MATCH('Calculations'!HS296,'Calculations'!$HE$13:$HE$512,0)),""))))</x:f>
      </x:c>
      <x:c r="HU296" t="str">
        <x:f>IF('Calculations'!HT296="","",IF('Calculations'!HT296="!AMBIG","!AMBIG",IF(COUNTIF('Calculations'!$HE$13:$HE$512,"="&amp;SUBSTITUTE(SUBSTITUTE(SUBSTITUTE('Calculations'!HT296,"~","~~"),"*","~*"),"?","~?"))&gt;1,"!AMBIG",IFERROR(INDEX('Calculations'!$HF$13:$HF$512,MATCH('Calculations'!HT296,'Calculations'!$HE$13:$HE$512,0)),""))))</x:f>
      </x:c>
      <x:c r="HV296" t="str">
        <x:f>IF('Calculations'!HU296="","",IF('Calculations'!HU296="!AMBIG","!AMBIG",IF(COUNTIF('Calculations'!$HE$13:$HE$512,"="&amp;SUBSTITUTE(SUBSTITUTE(SUBSTITUTE('Calculations'!HU296,"~","~~"),"*","~*"),"?","~?"))&gt;1,"!AMBIG",IFERROR(INDEX('Calculations'!$HF$13:$HF$512,MATCH('Calculations'!HU296,'Calculations'!$HE$13:$HE$512,0)),""))))</x:f>
      </x:c>
      <x:c r="HW296" t="str">
        <x:f>IF('Calculations'!HV296="","",IF('Calculations'!HV296="!AMBIG","!AMBIG",IF(COUNTIF('Calculations'!$HE$13:$HE$512,"="&amp;SUBSTITUTE(SUBSTITUTE(SUBSTITUTE('Calculations'!HV296,"~","~~"),"*","~*"),"?","~?"))&gt;1,"!AMBIG",IFERROR(INDEX('Calculations'!$HF$13:$HF$512,MATCH('Calculations'!HV296,'Calculations'!$HE$13:$HE$512,0)),""))))</x:f>
      </x:c>
      <x:c r="HX296" t="str">
        <x:f>IF('Calculations'!HW296="","",IF('Calculations'!HW296="!AMBIG","!AMBIG",IF(COUNTIF('Calculations'!$HE$13:$HE$512,"="&amp;SUBSTITUTE(SUBSTITUTE(SUBSTITUTE('Calculations'!HW296,"~","~~"),"*","~*"),"?","~?"))&gt;1,"!AMBIG",IFERROR(INDEX('Calculations'!$HF$13:$HF$512,MATCH('Calculations'!HW296,'Calculations'!$HE$13:$HE$512,0)),""))))</x:f>
      </x:c>
      <x:c r="HY296" t="str">
        <x:f>IF('Calculations'!HX296="","",IF('Calculations'!HX296="!AMBIG","!AMBIG",IF(COUNTIF('Calculations'!$HE$13:$HE$512,"="&amp;SUBSTITUTE(SUBSTITUTE(SUBSTITUTE('Calculations'!HX296,"~","~~"),"*","~*"),"?","~?"))&gt;1,"!AMBIG",IFERROR(INDEX('Calculations'!$HF$13:$HF$512,MATCH('Calculations'!HX296,'Calculations'!$HE$13:$HE$512,0)),""))))</x:f>
      </x:c>
      <x:c r="HZ296" t="str">
        <x:f>IF('Calculations'!HY296="","",IF('Calculations'!HY296="!AMBIG","!AMBIG",IF(COUNTIF('Calculations'!$HE$13:$HE$512,"="&amp;SUBSTITUTE(SUBSTITUTE(SUBSTITUTE('Calculations'!HY296,"~","~~"),"*","~*"),"?","~?"))&gt;1,"!AMBIG",IFERROR(INDEX('Calculations'!$HF$13:$HF$512,MATCH('Calculations'!HY296,'Calculations'!$HE$13:$HE$512,0)),""))))</x:f>
      </x:c>
      <x:c r="IA296" t="str">
        <x:f>IF('Calculations'!HZ296="","",IF('Calculations'!HZ296="!AMBIG","!AMBIG",IF(COUNTIF('Calculations'!$HE$13:$HE$512,"="&amp;SUBSTITUTE(SUBSTITUTE(SUBSTITUTE('Calculations'!HZ296,"~","~~"),"*","~*"),"?","~?"))&gt;1,"!AMBIG",IFERROR(INDEX('Calculations'!$HF$13:$HF$512,MATCH('Calculations'!HZ296,'Calculations'!$HE$13:$HE$512,0)),""))))</x:f>
      </x:c>
      <x:c r="IB296" t="str">
        <x:f>IF('Calculations'!IA296="","",IF('Calculations'!IA296="!AMBIG","!AMBIG",IF(COUNTIF('Calculations'!$HE$13:$HE$512,"="&amp;SUBSTITUTE(SUBSTITUTE(SUBSTITUTE('Calculations'!IA296,"~","~~"),"*","~*"),"?","~?"))&gt;1,"!AMBIG",IFERROR(INDEX('Calculations'!$HF$13:$HF$512,MATCH('Calculations'!IA296,'Calculations'!$HE$13:$HE$512,0)),""))))</x:f>
      </x:c>
      <x:c r="IC296" t="str">
        <x:f>IF('Calculations'!IB296="","",IF('Calculations'!IB296="!AMBIG","!AMBIG",IF(COUNTIF('Calculations'!$HE$13:$HE$512,"="&amp;SUBSTITUTE(SUBSTITUTE(SUBSTITUTE('Calculations'!IB296,"~","~~"),"*","~*"),"?","~?"))&gt;1,"!AMBIG",IFERROR(INDEX('Calculations'!$HF$13:$HF$512,MATCH('Calculations'!IB296,'Calculations'!$HE$13:$HE$512,0)),""))))</x:f>
      </x:c>
      <x:c r="ID296" t="str">
        <x:f>IF('Calculations'!IC296="","",IF('Calculations'!IC296="!AMBIG","!AMBIG",IF(COUNTIF('Calculations'!$HE$13:$HE$512,"="&amp;SUBSTITUTE(SUBSTITUTE(SUBSTITUTE('Calculations'!IC296,"~","~~"),"*","~*"),"?","~?"))&gt;1,"!AMBIG",IFERROR(INDEX('Calculations'!$HF$13:$HF$512,MATCH('Calculations'!IC296,'Calculations'!$HE$13:$HE$512,0)),""))))</x:f>
      </x:c>
      <x:c r="IE296" t="str">
        <x:f>IF('Calculations'!ID296="","",IF('Calculations'!ID296="!AMBIG","!AMBIG",IF(COUNTIF('Calculations'!$HE$13:$HE$512,"="&amp;SUBSTITUTE(SUBSTITUTE(SUBSTITUTE('Calculations'!ID296,"~","~~"),"*","~*"),"?","~?"))&gt;1,"!AMBIG",IFERROR(INDEX('Calculations'!$HF$13:$HF$512,MATCH('Calculations'!ID296,'Calculations'!$HE$13:$HE$512,0)),""))))</x:f>
      </x:c>
      <x:c r="IF296" t="str">
        <x:f>IF('Calculations'!IE296="","",IF('Calculations'!IE296="!AMBIG","!AMBIG",IF(COUNTIF('Calculations'!$HE$13:$HE$512,"="&amp;SUBSTITUTE(SUBSTITUTE(SUBSTITUTE('Calculations'!IE296,"~","~~"),"*","~*"),"?","~?"))&gt;1,"!AMBIG",IFERROR(INDEX('Calculations'!$HF$13:$HF$512,MATCH('Calculations'!IE296,'Calculations'!$HE$13:$HE$512,0)),""))))</x:f>
      </x:c>
      <x:c r="IG296" t="str">
        <x:f>IF('Calculations'!IF296="","",IF('Calculations'!IF296="!AMBIG","!AMBIG",IF(COUNTIF('Calculations'!$HE$13:$HE$512,"="&amp;SUBSTITUTE(SUBSTITUTE(SUBSTITUTE('Calculations'!IF296,"~","~~"),"*","~*"),"?","~?"))&gt;1,"!AMBIG",IFERROR(INDEX('Calculations'!$HF$13:$HF$512,MATCH('Calculations'!IF296,'Calculations'!$HE$13:$HE$512,0)),""))))</x:f>
      </x:c>
      <x:c r="IH296" t="str">
        <x:f>IF('Calculations'!IG296="","",IF('Calculations'!IG296="!AMBIG","!AMBIG",IF(COUNTIF('Calculations'!$HE$13:$HE$512,"="&amp;SUBSTITUTE(SUBSTITUTE(SUBSTITUTE('Calculations'!IG296,"~","~~"),"*","~*"),"?","~?"))&gt;1,"!AMBIG",IFERROR(INDEX('Calculations'!$HF$13:$HF$512,MATCH('Calculations'!IG296,'Calculations'!$HE$13:$HE$512,0)),""))))</x:f>
      </x:c>
      <x:c r="II296" t="str">
        <x:f>IF('Calculations'!IH296="","",IF('Calculations'!IH296="!AMBIG","!AMBIG",IF(COUNTIF('Calculations'!$HE$13:$HE$512,"="&amp;SUBSTITUTE(SUBSTITUTE(SUBSTITUTE('Calculations'!IH296,"~","~~"),"*","~*"),"?","~?"))&gt;1,"!AMBIG",IFERROR(INDEX('Calculations'!$HF$13:$HF$512,MATCH('Calculations'!IH296,'Calculations'!$HE$13:$HE$512,0)),""))))</x:f>
      </x:c>
      <x:c r="IJ296" t="str">
        <x:f>IF('Calculations'!EM296="","",IF('Calculations'!$EF$2="All",'Calculations'!HM296,IF('Calculations'!HL296=1,"",IFERROR(IF(MATCH('Calculations'!$EF$2,'Calculations'!HO296:II296,0)=1,'Calculations'!HE296,INDEX('Calculations'!HO296:II296,1,MATCH('Calculations'!$EF$2,'Calculations'!HO296:II296,0)-1)),""))))</x:f>
      </x:c>
      <x:c r="IK296" t="n">
        <x:f>IF(AND('Calculations'!EM296&lt;&gt;"",'Calculations'!$EF$2&lt;&gt;"All",'Calculations'!HF296='Calculations'!$EF$2,'Calculations'!HL296=0,'Calculations'!JD296&gt;0),MAX('Calculations'!$IK$12:IK295)+1,0)</x:f>
        <x:v>0</x:v>
      </x:c>
      <x:c r="JA296" t="n">
        <x:f>IF(OR(IFERROR(INDIRECT("'WCM Calibration Final'!$A$296")&lt;&gt;"",FALSE),IFERROR(INDIRECT("'WCM Calibration Final'!$B$296")&lt;&gt;"",FALSE),IFERROR(INDIRECT("'WCM Calibration Final'!$C$296")&lt;&gt;"",FALSE)),296,0)</x:f>
        <x:v>0</x:v>
      </x:c>
      <x:c r="JB296" t="n">
        <x:f>'Calculations'!JB295+IF('Calculations'!JA296&gt;0,1,0)</x:f>
        <x:v>0</x:v>
      </x:c>
      <x:c r="JC296" t="n">
        <x:f>IF(OR('Calculations'!HF296="",'Calculations'!HF296="!AMBIG"),0,IF('Dashboard'!$B$7="All",1,COUNTIFS('Calculations'!$HO$13:$HO$512,"="&amp;SUBSTITUTE(SUBSTITUTE(SUBSTITUTE('Calculations'!HF296,"~","~~"),"*","~*"),"?","~?"),'Calculations'!$HN$13:$HN$512,"="&amp;SUBSTITUTE(SUBSTITUTE(SUBSTITUTE('Dashboard'!$B$7,"~","~~"),"*","~*"),"?","~?"))+COUNTIFS('Calculations'!$HP$13:$HP$512,"="&amp;SUBSTITUTE(SUBSTITUTE(SUBSTITUTE('Calculations'!HF296,"~","~~"),"*","~*"),"?","~?"),'Calculations'!$HN$13:$HN$512,"="&amp;SUBSTITUTE(SUBSTITUTE(SUBSTITUTE('Dashboard'!$B$7,"~","~~"),"*","~*"),"?","~?"))+COUNTIFS('Calculations'!$HQ$13:$HQ$512,"="&amp;SUBSTITUTE(SUBSTITUTE(SUBSTITUTE('Calculations'!HF296,"~","~~"),"*","~*"),"?","~?"),'Calculations'!$HN$13:$HN$512,"="&amp;SUBSTITUTE(SUBSTITUTE(SUBSTITUTE('Dashboard'!$B$7,"~","~~"),"*","~*"),"?","~?"))+COUNTIFS('Calculations'!$HR$13:$HR$512,"="&amp;SUBSTITUTE(SUBSTITUTE(SUBSTITUTE('Calculations'!HF296,"~","~~"),"*","~*"),"?","~?"),'Calculations'!$HN$13:$HN$512,"="&amp;SUBSTITUTE(SUBSTITUTE(SUBSTITUTE('Dashboard'!$B$7,"~","~~"),"*","~*"),"?","~?"))+COUNTIFS('Calculations'!$HS$13:$HS$512,"="&amp;SUBSTITUTE(SUBSTITUTE(SUBSTITUTE('Calculations'!HF296,"~","~~"),"*","~*"),"?","~?"),'Calculations'!$HN$13:$HN$512,"="&amp;SUBSTITUTE(SUBSTITUTE(SUBSTITUTE('Dashboard'!$B$7,"~","~~"),"*","~*"),"?","~?"))+COUNTIFS('Calculations'!$HT$13:$HT$512,"="&amp;SUBSTITUTE(SUBSTITUTE(SUBSTITUTE('Calculations'!HF296,"~","~~"),"*","~*"),"?","~?"),'Calculations'!$HN$13:$HN$512,"="&amp;SUBSTITUTE(SUBSTITUTE(SUBSTITUTE('Dashboard'!$B$7,"~","~~"),"*","~*"),"?","~?"))+COUNTIFS('Calculations'!$HU$13:$HU$512,"="&amp;SUBSTITUTE(SUBSTITUTE(SUBSTITUTE('Calculations'!HF296,"~","~~"),"*","~*"),"?","~?"),'Calculations'!$HN$13:$HN$512,"="&amp;SUBSTITUTE(SUBSTITUTE(SUBSTITUTE('Dashboard'!$B$7,"~","~~"),"*","~*"),"?","~?"))+COUNTIFS('Calculations'!$HV$13:$HV$512,"="&amp;SUBSTITUTE(SUBSTITUTE(SUBSTITUTE('Calculations'!HF296,"~","~~"),"*","~*"),"?","~?"),'Calculations'!$HN$13:$HN$512,"="&amp;SUBSTITUTE(SUBSTITUTE(SUBSTITUTE('Dashboard'!$B$7,"~","~~"),"*","~*"),"?","~?"))+COUNTIFS('Calculations'!$HW$13:$HW$512,"="&amp;SUBSTITUTE(SUBSTITUTE(SUBSTITUTE('Calculations'!HF296,"~","~~"),"*","~*"),"?","~?"),'Calculations'!$HN$13:$HN$512,"="&amp;SUBSTITUTE(SUBSTITUTE(SUBSTITUTE('Dashboard'!$B$7,"~","~~"),"*","~*"),"?","~?"))+COUNTIFS('Calculations'!$HX$13:$HX$512,"="&amp;SUBSTITUTE(SUBSTITUTE(SUBSTITUTE('Calculations'!HF296,"~","~~"),"*","~*"),"?","~?"),'Calculations'!$HN$13:$HN$512,"="&amp;SUBSTITUTE(SUBSTITUTE(SUBSTITUTE('Dashboard'!$B$7,"~","~~"),"*","~*"),"?","~?"))+COUNTIFS('Calculations'!$HY$13:$HY$512,"="&amp;SUBSTITUTE(SUBSTITUTE(SUBSTITUTE('Calculations'!HF296,"~","~~"),"*","~*"),"?","~?"),'Calculations'!$HN$13:$HN$512,"="&amp;SUBSTITUTE(SUBSTITUTE(SUBSTITUTE('Dashboard'!$B$7,"~","~~"),"*","~*"),"?","~?"))+COUNTIFS('Calculations'!$HZ$13:$HZ$512,"="&amp;SUBSTITUTE(SUBSTITUTE(SUBSTITUTE('Calculations'!HF296,"~","~~"),"*","~*"),"?","~?"),'Calculations'!$HN$13:$HN$512,"="&amp;SUBSTITUTE(SUBSTITUTE(SUBSTITUTE('Dashboard'!$B$7,"~","~~"),"*","~*"),"?","~?"))+COUNTIFS('Calculations'!$IA$13:$IA$512,"="&amp;SUBSTITUTE(SUBSTITUTE(SUBSTITUTE('Calculations'!HF296,"~","~~"),"*","~*"),"?","~?"),'Calculations'!$HN$13:$HN$512,"="&amp;SUBSTITUTE(SUBSTITUTE(SUBSTITUTE('Dashboard'!$B$7,"~","~~"),"*","~*"),"?","~?"))+COUNTIFS('Calculations'!$IB$13:$IB$512,"="&amp;SUBSTITUTE(SUBSTITUTE(SUBSTITUTE('Calculations'!HF296,"~","~~"),"*","~*"),"?","~?"),'Calculations'!$HN$13:$HN$512,"="&amp;SUBSTITUTE(SUBSTITUTE(SUBSTITUTE('Dashboard'!$B$7,"~","~~"),"*","~*"),"?","~?"))+COUNTIFS('Calculations'!$IC$13:$IC$512,"="&amp;SUBSTITUTE(SUBSTITUTE(SUBSTITUTE('Calculations'!HF296,"~","~~"),"*","~*"),"?","~?"),'Calculations'!$HN$13:$HN$512,"="&amp;SUBSTITUTE(SUBSTITUTE(SUBSTITUTE('Dashboard'!$B$7,"~","~~"),"*","~*"),"?","~?"))+COUNTIFS('Calculations'!$ID$13:$ID$512,"="&amp;SUBSTITUTE(SUBSTITUTE(SUBSTITUTE('Calculations'!HF296,"~","~~"),"*","~*"),"?","~?"),'Calculations'!$HN$13:$HN$512,"="&amp;SUBSTITUTE(SUBSTITUTE(SUBSTITUTE('Dashboard'!$B$7,"~","~~"),"*","~*"),"?","~?"))+COUNTIFS('Calculations'!$IE$13:$IE$512,"="&amp;SUBSTITUTE(SUBSTITUTE(SUBSTITUTE('Calculations'!HF296,"~","~~"),"*","~*"),"?","~?"),'Calculations'!$HN$13:$HN$512,"="&amp;SUBSTITUTE(SUBSTITUTE(SUBSTITUTE('Dashboard'!$B$7,"~","~~"),"*","~*"),"?","~?"))+COUNTIFS('Calculations'!$IF$13:$IF$512,"="&amp;SUBSTITUTE(SUBSTITUTE(SUBSTITUTE('Calculations'!HF296,"~","~~"),"*","~*"),"?","~?"),'Calculations'!$HN$13:$HN$512,"="&amp;SUBSTITUTE(SUBSTITUTE(SUBSTITUTE('Dashboard'!$B$7,"~","~~"),"*","~*"),"?","~?"))+COUNTIFS('Calculations'!$IG$13:$IG$512,"="&amp;SUBSTITUTE(SUBSTITUTE(SUBSTITUTE('Calculations'!HF296,"~","~~"),"*","~*"),"?","~?"),'Calculations'!$HN$13:$HN$512,"="&amp;SUBSTITUTE(SUBSTITUTE(SUBSTITUTE('Dashboard'!$B$7,"~","~~"),"*","~*"),"?","~?"))+COUNTIFS('Calculations'!$IH$13:$IH$512,"="&amp;SUBSTITUTE(SUBSTITUTE(SUBSTITUTE('Calculations'!HF296,"~","~~"),"*","~*"),"?","~?"),'Calculations'!$HN$13:$HN$512,"="&amp;SUBSTITUTE(SUBSTITUTE(SUBSTITUTE('Dashboard'!$B$7,"~","~~"),"*","~*"),"?","~?"))))</x:f>
        <x:v>0</x:v>
      </x:c>
      <x:c r="JD296" t="n">
        <x:f>IF('Calculations'!EM296="",0,IF('Dashboard'!$B$7="All",1,IF('Calculations'!HN296='Dashboard'!$B$7,1,0)+IFERROR(INDEX('Calculations'!$JC$13:$JC$512,MATCH('Calculations'!HE296,'Calculations'!$HF$13:$HF$512,0)),0)))</x:f>
        <x:v>0</x:v>
      </x:c>
      <x:c r="JE296" t="n">
        <x:f>IF(AND('Calculations'!EM296&lt;&gt;"",'Calculations'!$JJ$2&lt;&gt;"All",'Calculations'!$JJ$2&lt;&gt;"",'Calculations'!HF296='Calculations'!$JJ$2,'Calculations'!HL296=0,'Calculations'!JD296&gt;0),MAX('Calculations'!$JE$12:JE295)+1,0)</x:f>
        <x:v>0</x:v>
      </x:c>
      <x:c r="JF296" t="str">
        <x:f>IF('Calculations'!EM296="","",IFERROR(IF(INDEX(INDIRECT("'WCM Calibration Final'!$G$1:$G$2000"),'Calculations'!$EM296)="","",TRIM(INDEX(INDIRECT("'WCM Calibration Final'!$G$1:$G$2000"),'Calculations'!$EM296)&amp;"")),""))</x:f>
      </x:c>
      <x:c r="JQ296" t="n">
        <x:f>IF(OR('Calculations'!BM296=0,NOT('Calculations'!$AG$2),'Calculations'!$AG$8&gt;0),0,IF(OR('Dashboard'!$B$7="All",'Calculations'!HN296='Dashboard'!$B$7),IF('Calculations'!$JJ$2="All",1,IF(AND('Calculations'!HF296='Calculations'!$JJ$2,'Calculations'!HL296=0),1,0)),0))</x:f>
        <x:v>0</x:v>
      </x:c>
    </x:row>
    <x:row r="297">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t="n">
        <x:f>IF('Calculations'!$EM297="",0,IF(OR(IFERROR(INDEX(INDIRECT("'WCM Calibration Final'!$A$1:$A$2000"),'Calculations'!$EM297)&lt;&gt;"",FALSE),IFERROR(INDEX(INDIRECT("'WCM Calibration Final'!$B$1:$B$2000"),'Calculations'!$EM297)&lt;&gt;"",FALSE),IFERROR(INDEX(INDIRECT("'WCM Calibration Final'!$C$1:$C$2000"),'Calculations'!$EM297)&lt;&gt;"",FALSE)),1,0))</x:f>
        <x:v>0</x:v>
      </x:c>
      <x:c r="BN297" s="4" t="n">
        <x:f>IF(AND('Calculations'!BM297=1,'Calculations'!$AG$2,'Calculations'!$EN297=1),1,0)</x:f>
        <x:v>0</x:v>
      </x:c>
      <x:c r="BO297" s="4" t="str">
        <x:f>IF('Calculations'!BM297=0,"",IFERROR(IF(AND(VALUE(INDEX(INDIRECT("'WCM Calibration Final'!$K$1:$K$2000"),'Calculations'!$EM297))&gt;=1,VALUE(INDEX(INDIRECT("'WCM Calibration Final'!$K$1:$K$2000"),'Calculations'!$EM297))&lt;=4,MOD(VALUE(INDEX(INDIRECT("'WCM Calibration Final'!$K$1:$K$2000"),'Calculations'!$EM297)),1)=0),VALUE(INDEX(INDIRECT("'WCM Calibration Final'!$K$1:$K$2000"),'Calculations'!$EM297)),""),""))</x:f>
      </x:c>
      <x:c r="BP297" s="4" t="str">
        <x:f>IF('Calculations'!BM297=0,"",IFERROR(IF(AND(VALUE(INDEX(INDIRECT("'WCM Calibration Final'!$L$1:$L$2000"),'Calculations'!$EM297))&gt;=1,VALUE(INDEX(INDIRECT("'WCM Calibration Final'!$L$1:$L$2000"),'Calculations'!$EM297))&lt;=4,MOD(VALUE(INDEX(INDIRECT("'WCM Calibration Final'!$L$1:$L$2000"),'Calculations'!$EM297)),1)=0),VALUE(INDEX(INDIRECT("'WCM Calibration Final'!$L$1:$L$2000"),'Calculations'!$EM297)),""),""))</x:f>
      </x:c>
      <x:c r="BQ297" s="4"/>
      <x:c r="BR297" s="4"/>
      <x:c r="BS297" s="4"/>
      <x:c r="BT297" s="4" t="n">
        <x:f>IF(AND('Calculations'!BM297=1,ISNUMBER('Calculations'!BO297),ISNUMBER('Calculations'!BP297)),1,0)</x:f>
        <x:v>0</x:v>
      </x:c>
      <x:c r="BU297" s="4" t="str">
        <x:f>IF('Calculations'!BM297=0,"",'Calculations'!$EO297)</x:f>
      </x:c>
      <x:c r="BV297" s="4" t="str">
        <x:f>IF('Calculations'!BM297=0,"",IFERROR(IF(OR(INDEX(INDIRECT("'WCM Calibration Final'!$H$1:$H$2000"),'Calculations'!$EM297)="MANAGING DIRECTOR",INDEX(INDIRECT("'WCM Calibration Final'!$H$1:$H$2000"),'Calculations'!$EM297)="DIRECTOR",INDEX(INDIRECT("'WCM Calibration Final'!$H$1:$H$2000"),'Calculations'!$EM297)="SENIOR VICE PRESIDENT",INDEX(INDIRECT("'WCM Calibration Final'!$H$1:$H$2000"),'Calculations'!$EM297)="VICE PRESIDENT",INDEX(INDIRECT("'WCM Calibration Final'!$H$1:$H$2000"),'Calculations'!$EM297)="ASSISTANT VICE PRESIDENT",INDEX(INDIRECT("'WCM Calibration Final'!$H$1:$H$2000"),'Calculations'!$EM297)="OFFICER"),UPPER(INDEX(INDIRECT("'WCM Calibration Final'!$H$1:$H$2000"),'Calculations'!$EM297)),"Other"),"Other"))</x:f>
      </x:c>
      <x:c r="BW297" s="4"/>
      <x:c r="BX297" s="4"/>
      <x:c r="BY297" s="4" t="n">
        <x:f>IF(AND('Calculations'!BM297=1,'Calculations'!BU297&lt;&gt;"",COUNTIF('Calculations'!$BU$12:BU297,'Calculations'!BU297)=1),MAX('Calculations'!$BY$11:BY296)+1,0)</x:f>
        <x:v>0</x:v>
      </x:c>
      <x:c r="BZ297" s="4" t="str">
        <x:f>IF('Dashboard'!$E$67="What",'Calculations'!BO297,'Calculations'!BP297)</x:f>
      </x:c>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t="str">
        <x:f>IF(286&gt;MAX('Calculations'!$HI$13:$HI$512),"",INDEX('Calculations'!$HN$13:$HN$512,MATCH(286,'Calculations'!$HI$13:$HI$512,0)))</x:f>
      </x:c>
      <x:c r="DB297" s="4" t="str">
        <x:f>IF(286&gt;MAX('Calculations'!$HH$13:$HH$512),"",INDEX('Calculations'!$HJ$13:$HJ$512,MATCH(286,'Calculations'!$HH$13:$HH$512,0)))</x:f>
      </x:c>
      <x:c r="DC297" s="4" t="str">
        <x:f>IF(ROW()-11&gt;MAX('Calculations'!$BY$13:$BY$512),"",INDEX('Calculations'!$BU$13:$BU$512,MATCH(ROW()-11,'Calculations'!$BY$13:$BY$512,0)))</x:f>
      </x:c>
      <x:c r="DD297" s="4" t="str">
        <x:f>IF(286&gt;MAX('Calculations'!$IK$13:$IK$512),"",INDEX('Calculations'!$HK$13:$HK$512,MATCH(286,'Calculations'!$IK$13:$IK$512,0)))</x:f>
      </x:c>
      <x:c r="DE297" s="4" t="str">
        <x:f>'Calculations'!DC297</x:f>
      </x:c>
      <x:c r="DF297" s="4" t="str">
        <x:f>IF('Calculations'!DE297="","",COUNTIFS('Calculations'!$BN$13:$BN$512,1,'Calculations'!$BU$13:$BU$512,'Calculations'!DE297))</x:f>
      </x:c>
      <x:c r="DG297" s="4" t="str">
        <x:f>IF('Calculations'!DE297="","",COUNTIFS('Calculations'!$BN$13:$BN$512,1,'Calculations'!$BU$13:$BU$512,'Calculations'!DE297,'Calculations'!$BT$13:$BT$512,1))</x:f>
      </x:c>
      <x:c r="DH297" s="4" t="str">
        <x:f>IF('Calculations'!DE297="","",'Calculations'!DF297-'Calculations'!DG297)</x:f>
      </x:c>
      <x:c r="DI297" s="4" t="str">
        <x:f>IF(OR('Calculations'!DE297="",'Calculations'!DF297=0),"",'Calculations'!DG297/'Calculations'!DF297)</x:f>
      </x:c>
      <x:c r="DJ297" s="4" t="str">
        <x:f>IF('Calculations'!DE297="","",COUNTIFS('Calculations'!$BN$13:$BN$512,1,'Calculations'!$BU$13:$BU$512,'Calculations'!DE297,'Calculations'!$BT$13:$BT$512,1,'Calculations'!$EE$13:$EE$512,"High"))</x:f>
      </x:c>
      <x:c r="DK297" s="4" t="str">
        <x:f>IF('Calculations'!DE297="","",COUNTIFS('Calculations'!$BN$13:$BN$512,1,'Calculations'!$BU$13:$BU$512,'Calculations'!DE297,'Calculations'!$BT$13:$BT$512,1,'Calculations'!$EE$13:$EE$512,"Strong"))</x:f>
      </x:c>
      <x:c r="DL297" s="4" t="str">
        <x:f>IF('Calculations'!DE297="","",COUNTIFS('Calculations'!$BN$13:$BN$512,1,'Calculations'!$BU$13:$BU$512,'Calculations'!DE297,'Calculations'!$BT$13:$BT$512,1,'Calculations'!$EE$13:$EE$512,"Solid"))</x:f>
      </x:c>
      <x:c r="DM297" s="4" t="str">
        <x:f>IF('Calculations'!DE297="","",COUNTIFS('Calculations'!$BN$13:$BN$512,1,'Calculations'!$BU$13:$BU$512,'Calculations'!DE297,'Calculations'!$BT$13:$BT$512,1,'Calculations'!$EE$13:$EE$512,"Low"))</x:f>
      </x:c>
      <x:c r="DN297" s="4" t="str">
        <x:f>IF('Calculations'!DE297="","",COUNTIFS('Calculations'!$BN$13:$BN$512,1,'Calculations'!$BU$13:$BU$512,'Calculations'!DE297,'Calculations'!$EP$13:$EP$512,1))</x:f>
      </x:c>
      <x:c r="DO297" s="4" t="str">
        <x:f>IF(OR('Calculations'!DE297="",'Calculations'!DG297=0),"",('Calculations'!DJ297+'Calculations'!DK297)/'Calculations'!DG297)</x:f>
      </x:c>
      <x:c r="DP297" s="4" t="n">
        <x:f>IF(AND('Calculations'!DE297&lt;&gt;"",'Calculations'!DF297&gt;0),COUNTIF('Calculations'!$DF$12:DF297,"&gt;0"),0)</x:f>
        <x:v>0</x:v>
      </x:c>
      <x:c r="DQ297" s="4" t="str">
        <x:f>IF(286&gt;MAX('Calculations'!$HH$13:$HH$512),"",INDEX('Calculations'!$HF$13:$HF$512,MATCH(286,'Calculations'!$HH$13:$HH$512,0)))</x:f>
      </x:c>
      <x:c r="DR297" s="4" t="str">
        <x:f>IF(286&gt;MAX('Calculations'!$IK$13:$IK$512),"",INDEX('Calculations'!$HE$13:$HE$512,MATCH(286,'Calculations'!$IK$13:$IK$512,0)))</x:f>
      </x:c>
      <x:c r="DS297" s="4"/>
      <x:c r="DT297" s="4"/>
      <x:c r="DU297" s="4"/>
      <x:c r="DV297" s="4"/>
      <x:c r="DW297" s="4"/>
      <x:c r="DX297" s="4"/>
      <x:c r="DY297" s="4"/>
      <x:c r="DZ297" s="4"/>
      <x:c r="EA297" s="4"/>
      <x:c r="EB297" s="4"/>
      <x:c r="EC297" s="4"/>
      <x:c r="ED297" s="4"/>
      <x:c r="EE297" s="4" t="str">
        <x:f>IF('Calculations'!BT297=0,"Not Rated",IF(OR('Calculations'!BO297&gt;=4,'Calculations'!BP297&gt;=4),"Low",IF('Calculations'!BO297+'Calculations'!BP297&lt;=3,"High",IF('Calculations'!BO297+'Calculations'!BP297&lt;=4,"Strong","Solid"))))</x:f>
        <x:v>Not Rated</x:v>
      </x:c>
      <x:c r="EF297" s="4"/>
      <x:c r="EG297" s="4"/>
      <x:c r="EH297" s="4"/>
      <x:c r="EI297" s="4"/>
      <x:c r="EJ297" s="4"/>
      <x:c r="EK297" s="4"/>
      <x:c r="EL297" s="4"/>
      <x:c r="EM297" s="4" t="str">
        <x:f>IF(285&gt;'Calculations'!$JB$2000,"",INDEX('Calculations'!$JA$12:$JA$2000,MATCH(285,'Calculations'!$JB$12:$JB$2000,0)))</x:f>
      </x:c>
      <x:c r="EN297" s="4" t="n">
        <x:f>IF(OR('Calculations'!EM297="",'Calculations'!$AG$8&gt;0,AND('Calculations'!$EF$2&lt;&gt;"All",'Calculations'!HE297='Calculations'!$EF$2),AND('Calculations'!$EF$3&lt;&gt;"All",'Calculations'!HE297='Calculations'!$EF$3)),0,IF(OR('Dashboard'!$B$7="All",'Calculations'!HN297='Dashboard'!$B$7),IF('Calculations'!$EF$2="All",1,IF('Calculations'!HL297&gt;0,0,IF(COUNTIF('Calculations'!HO297:II297,"="&amp;SUBSTITUTE(SUBSTITUTE(SUBSTITUTE('Calculations'!$EF$2,"~","~~"),"*","~*"),"?","~?"))=0,0,IF('Calculations'!$EF$3="All",1,IF(COUNTIF('Calculations'!HO297:II297,"="&amp;SUBSTITUTE(SUBSTITUTE(SUBSTITUTE('Calculations'!$EF$3,"~","~~"),"*","~*"),"?","~?"))&gt;0,1,0))))),0))</x:f>
        <x:v>0</x:v>
      </x:c>
      <x:c r="EO297" s="4" t="str">
        <x:f>IF('Calculations'!IJ297="","",IF('Calculations'!IJ297="!UNRESOLVED","Unresolved hierarchy",IFERROR(INDEX('Calculations'!$HK$13:$HK$512,MATCH('Calculations'!IJ297,'Calculations'!$HE$13:$HE$512,0)),IFERROR(INDEX('Calculations'!$HJ$13:$HJ$512,MATCH('Calculations'!IJ297,'Calculations'!$HF$13:$HF$512,0)),'Calculations'!IJ297))))</x:f>
      </x:c>
      <x:c r="EP297" s="4" t="n">
        <x:f>IF(AND('Calculations'!EM297&lt;&gt;"",'Calculations'!HF297='Calculations'!IJ297),1,0)</x:f>
        <x:v>0</x:v>
      </x:c>
      <x:c r="EQ297" s="4"/>
      <x:c r="ER297" s="4"/>
      <x:c r="ES297" s="4"/>
      <x:c r="ET297" s="4"/>
      <x:c r="EU297" s="4"/>
      <x:c r="EV297" s="4"/>
      <x:c r="EW297" s="4"/>
      <x:c r="EX297" s="4"/>
      <x:c r="EY297" s="4"/>
      <x:c r="EZ297" s="4"/>
      <x:c r="FA297" s="4"/>
      <x:c r="FB297" s="4"/>
      <x:c r="FC297" s="4"/>
      <x:c r="FD297" s="4"/>
      <x:c r="FE297" s="4"/>
      <x:c r="FF297" s="4"/>
      <x:c r="FG297" s="4"/>
      <x:c r="FH297" s="4"/>
      <x:c r="FI297" s="4"/>
      <x:c r="FJ297" s="4"/>
      <x:c r="FK297" s="4"/>
      <x:c r="FL297" s="4"/>
      <x:c r="FM297" s="4"/>
      <x:c r="FN297" s="4"/>
      <x:c r="FO297" s="4"/>
      <x:c r="HE297" t="str">
        <x:f>IF('Calculations'!EM297="","",IF(IFERROR(IF(INDEX(INDIRECT("'WCM Calibration Final'!$A$1:$A$2000"),'Calculations'!$EM297)="","",TRIM(INDEX(INDIRECT("'WCM Calibration Final'!$A$1:$A$2000"),'Calculations'!$EM297)&amp;"")),"")&lt;&gt;"","G:"&amp;IFERROR(TEXT(1*INDEX(INDIRECT("'WCM Calibration Final'!$A$1:$A$2000"),'Calculations'!$EM297),"0"),UPPER(IFERROR(IF(INDEX(INDIRECT("'WCM Calibration Final'!$A$1:$A$2000"),'Calculations'!$EM297)="","",TRIM(INDEX(INDIRECT("'WCM Calibration Final'!$A$1:$A$2000"),'Calculations'!$EM297)&amp;"")),""))),IF(IFERROR(IF(INDEX(INDIRECT("'WCM Calibration Final'!$C$1:$C$2000"),'Calculations'!$EM297)="","",TRIM(INDEX(INDIRECT("'WCM Calibration Final'!$C$1:$C$2000"),'Calculations'!$EM297)&amp;"")),"")&lt;&gt;"","S:"&amp;UPPER(IFERROR(IF(INDEX(INDIRECT("'WCM Calibration Final'!$C$1:$C$2000"),'Calculations'!$EM297)="","",TRIM(INDEX(INDIRECT("'WCM Calibration Final'!$C$1:$C$2000"),'Calculations'!$EM297)&amp;"")),"")),"R:"&amp;'Calculations'!EM297)))</x:f>
      </x:c>
      <x:c r="HF297" t="str">
        <x:f>IF('Calculations'!EM297="","",IF(IFERROR(IF(INDEX(INDIRECT("'WCM Calibration Final'!$D$1:$D$2000"),'Calculations'!$EM297)="","",TRIM(INDEX(INDIRECT("'WCM Calibration Final'!$D$1:$D$2000"),'Calculations'!$EM297)&amp;"")),"")&lt;&gt;"","G:"&amp;IFERROR(TEXT(1*INDEX(INDIRECT("'WCM Calibration Final'!$D$1:$D$2000"),'Calculations'!$EM297),"0"),UPPER(IFERROR(IF(INDEX(INDIRECT("'WCM Calibration Final'!$D$1:$D$2000"),'Calculations'!$EM297)="","",TRIM(INDEX(INDIRECT("'WCM Calibration Final'!$D$1:$D$2000"),'Calculations'!$EM297)&amp;"")),""))),IF(IFERROR(IF(INDEX(INDIRECT("'WCM Calibration Final'!$E$1:$E$2000"),'Calculations'!$EM297)="","",TRIM(INDEX(INDIRECT("'WCM Calibration Final'!$E$1:$E$2000"),'Calculations'!$EM297)&amp;"")),"")="","",IF(COUNTIF('Calculations'!$HG$13:$HG$512,"="&amp;SUBSTITUTE(SUBSTITUTE(SUBSTITUTE(IFERROR(IF(INDEX(INDIRECT("'WCM Calibration Final'!$E$1:$E$2000"),'Calculations'!$EM297)="","",TRIM(INDEX(INDIRECT("'WCM Calibration Final'!$E$1:$E$2000"),'Calculations'!$EM297)&amp;"")),""),"~","~~"),"*","~*"),"?","~?"))=1,INDEX('Calculations'!$HE$13:$HE$512,MATCH(IFERROR(IF(INDEX(INDIRECT("'WCM Calibration Final'!$E$1:$E$2000"),'Calculations'!$EM297)="","",TRIM(INDEX(INDIRECT("'WCM Calibration Final'!$E$1:$E$2000"),'Calculations'!$EM297)&amp;"")),""),'Calculations'!$HG$13:$HG$512,0)),IF(COUNTIF('Calculations'!$HG$13:$HG$512,"="&amp;SUBSTITUTE(SUBSTITUTE(SUBSTITUTE(IFERROR(IF(INDEX(INDIRECT("'WCM Calibration Final'!$E$1:$E$2000"),'Calculations'!$EM297)="","",TRIM(INDEX(INDIRECT("'WCM Calibration Final'!$E$1:$E$2000"),'Calculations'!$EM297)&amp;"")),""),"~","~~"),"*","~*"),"?","~?"))&gt;1,"!AMBIG","X:"&amp;IFERROR(IF(INDEX(INDIRECT("'WCM Calibration Final'!$E$1:$E$2000"),'Calculations'!$EM297)="","",TRIM(INDEX(INDIRECT("'WCM Calibration Final'!$E$1:$E$2000"),'Calculations'!$EM297)&amp;"")),""))))))</x:f>
      </x:c>
      <x:c r="HG297" t="str">
        <x:f>IF('Calculations'!EM297="","",IFERROR(IF(INDEX(INDIRECT("'WCM Calibration Final'!$B$1:$B$2000"),'Calculations'!$EM297)="","",TRIM(INDEX(INDIRECT("'WCM Calibration Final'!$B$1:$B$2000"),'Calculations'!$EM297)&amp;"")),""))</x:f>
      </x:c>
      <x:c r="HH297" t="n">
        <x:f>IF(AND('Calculations'!JC297&gt;0,COUNTIF('Calculations'!$HF$12:HF297,"="&amp;SUBSTITUTE(SUBSTITUTE(SUBSTITUTE('Calculations'!HF297,"~","~~"),"*","~*"),"?","~?"))=1),MAX('Calculations'!$HH$12:HH296)+1,0)</x:f>
        <x:v>0</x:v>
      </x:c>
      <x:c r="HI297" t="n">
        <x:f>IF(AND('Calculations'!HN297&lt;&gt;"",COUNTIF('Calculations'!$HN$12:HN297,"="&amp;SUBSTITUTE(SUBSTITUTE(SUBSTITUTE('Calculations'!HN297,"~","~~"),"*","~*"),"?","~?"))=1),MAX('Calculations'!$HI$12:HI296)+1,0)</x:f>
        <x:v>0</x:v>
      </x:c>
      <x:c r="HJ297" t="str">
        <x:f>IF('Calculations'!HF297="","",IF(COUNTIF('Calculations'!$HE$13:$HE$512,"="&amp;SUBSTITUTE(SUBSTITUTE(SUBSTITUTE('Calculations'!HF297,"~","~~"),"*","~*"),"?","~?"))=1,INDEX('Calculations'!$HK$13:$HK$512,MATCH('Calculations'!HF297,'Calculations'!$HE$13:$HE$512,0)),IFERROR(IF(INDEX(INDIRECT("'WCM Calibration Final'!$E$1:$E$2000"),'Calculations'!$EM297)="","",TRIM(INDEX(INDIRECT("'WCM Calibration Final'!$E$1:$E$2000"),'Calculations'!$EM297)&amp;"")),"")&amp;" ["&amp;'Calculations'!HF297&amp;"]"))</x:f>
      </x:c>
      <x:c r="HK297" t="str">
        <x:f>IF('Calculations'!EM297="","",'Calculations'!HG297&amp;" ["&amp;'Calculations'!HE297&amp;"]")</x:f>
      </x:c>
      <x:c r="HL297" t="n">
        <x:f>IF('Calculations'!EM297="",0,IF(OR('Calculations'!II297&lt;&gt;"",COUNTIF('Calculations'!$HE$13:$HE$512,"="&amp;SUBSTITUTE(SUBSTITUTE(SUBSTITUTE('Calculations'!HE297,"~","~~"),"*","~*"),"?","~?"))&gt;1),1,0))</x:f>
        <x:v>0</x:v>
      </x:c>
      <x:c r="HM297" t="str">
        <x:f>IF('Calculations'!EM297="","",IF('Calculations'!HL297=1,"!UNRESOLVED",IF('Calculations'!IH297&lt;&gt;"",'Calculations'!IH297,IF('Calculations'!IG297&lt;&gt;"",'Calculations'!IG297,IF('Calculations'!IF297&lt;&gt;"",'Calculations'!IF297,IF('Calculations'!IE297&lt;&gt;"",'Calculations'!IE297,IF('Calculations'!ID297&lt;&gt;"",'Calculations'!ID297,IF('Calculations'!IC297&lt;&gt;"",'Calculations'!IC297,IF('Calculations'!IB297&lt;&gt;"",'Calculations'!IB297,IF('Calculations'!IA297&lt;&gt;"",'Calculations'!IA297,IF('Calculations'!HZ297&lt;&gt;"",'Calculations'!HZ297,IF('Calculations'!HY297&lt;&gt;"",'Calculations'!HY297,IF('Calculations'!HX297&lt;&gt;"",'Calculations'!HX297,IF('Calculations'!HW297&lt;&gt;"",'Calculations'!HW297,IF('Calculations'!HV297&lt;&gt;"",'Calculations'!HV297,IF('Calculations'!HU297&lt;&gt;"",'Calculations'!HU297,IF('Calculations'!HT297&lt;&gt;"",'Calculations'!HT297,IF('Calculations'!HS297&lt;&gt;"",'Calculations'!HS297,IF('Calculations'!HR297&lt;&gt;"",'Calculations'!HR297,IF('Calculations'!HQ297&lt;&gt;"",'Calculations'!HQ297,IF('Calculations'!HP297&lt;&gt;"",'Calculations'!HP297,IF('Calculations'!HO297&lt;&gt;"",'Calculations'!HO297,'Calculations'!HE297))))))))))))))))))))))</x:f>
      </x:c>
      <x:c r="HN297" t="str">
        <x:f>IF('Calculations'!EM297="","",IF(IFERROR(IF(INDEX(INDIRECT("'WCM Calibration Final'!$F$1:$F$2000"),'Calculations'!$EM297)="","",TRIM(INDEX(INDIRECT("'WCM Calibration Final'!$F$1:$F$2000"),'Calculations'!$EM297)&amp;"")),"")="","(Blank)",IFERROR(IF(INDEX(INDIRECT("'WCM Calibration Final'!$F$1:$F$2000"),'Calculations'!$EM297)="","",TRIM(INDEX(INDIRECT("'WCM Calibration Final'!$F$1:$F$2000"),'Calculations'!$EM297)&amp;"")),"")))</x:f>
      </x:c>
      <x:c r="HO297" t="str">
        <x:f>'Calculations'!HF297</x:f>
      </x:c>
      <x:c r="HP297" t="str">
        <x:f>IF('Calculations'!HO297="","",IF('Calculations'!HO297="!AMBIG","!AMBIG",IF(COUNTIF('Calculations'!$HE$13:$HE$512,"="&amp;SUBSTITUTE(SUBSTITUTE(SUBSTITUTE('Calculations'!HO297,"~","~~"),"*","~*"),"?","~?"))&gt;1,"!AMBIG",IFERROR(INDEX('Calculations'!$HF$13:$HF$512,MATCH('Calculations'!HO297,'Calculations'!$HE$13:$HE$512,0)),""))))</x:f>
      </x:c>
      <x:c r="HQ297" t="str">
        <x:f>IF('Calculations'!HP297="","",IF('Calculations'!HP297="!AMBIG","!AMBIG",IF(COUNTIF('Calculations'!$HE$13:$HE$512,"="&amp;SUBSTITUTE(SUBSTITUTE(SUBSTITUTE('Calculations'!HP297,"~","~~"),"*","~*"),"?","~?"))&gt;1,"!AMBIG",IFERROR(INDEX('Calculations'!$HF$13:$HF$512,MATCH('Calculations'!HP297,'Calculations'!$HE$13:$HE$512,0)),""))))</x:f>
      </x:c>
      <x:c r="HR297" t="str">
        <x:f>IF('Calculations'!HQ297="","",IF('Calculations'!HQ297="!AMBIG","!AMBIG",IF(COUNTIF('Calculations'!$HE$13:$HE$512,"="&amp;SUBSTITUTE(SUBSTITUTE(SUBSTITUTE('Calculations'!HQ297,"~","~~"),"*","~*"),"?","~?"))&gt;1,"!AMBIG",IFERROR(INDEX('Calculations'!$HF$13:$HF$512,MATCH('Calculations'!HQ297,'Calculations'!$HE$13:$HE$512,0)),""))))</x:f>
      </x:c>
      <x:c r="HS297" t="str">
        <x:f>IF('Calculations'!HR297="","",IF('Calculations'!HR297="!AMBIG","!AMBIG",IF(COUNTIF('Calculations'!$HE$13:$HE$512,"="&amp;SUBSTITUTE(SUBSTITUTE(SUBSTITUTE('Calculations'!HR297,"~","~~"),"*","~*"),"?","~?"))&gt;1,"!AMBIG",IFERROR(INDEX('Calculations'!$HF$13:$HF$512,MATCH('Calculations'!HR297,'Calculations'!$HE$13:$HE$512,0)),""))))</x:f>
      </x:c>
      <x:c r="HT297" t="str">
        <x:f>IF('Calculations'!HS297="","",IF('Calculations'!HS297="!AMBIG","!AMBIG",IF(COUNTIF('Calculations'!$HE$13:$HE$512,"="&amp;SUBSTITUTE(SUBSTITUTE(SUBSTITUTE('Calculations'!HS297,"~","~~"),"*","~*"),"?","~?"))&gt;1,"!AMBIG",IFERROR(INDEX('Calculations'!$HF$13:$HF$512,MATCH('Calculations'!HS297,'Calculations'!$HE$13:$HE$512,0)),""))))</x:f>
      </x:c>
      <x:c r="HU297" t="str">
        <x:f>IF('Calculations'!HT297="","",IF('Calculations'!HT297="!AMBIG","!AMBIG",IF(COUNTIF('Calculations'!$HE$13:$HE$512,"="&amp;SUBSTITUTE(SUBSTITUTE(SUBSTITUTE('Calculations'!HT297,"~","~~"),"*","~*"),"?","~?"))&gt;1,"!AMBIG",IFERROR(INDEX('Calculations'!$HF$13:$HF$512,MATCH('Calculations'!HT297,'Calculations'!$HE$13:$HE$512,0)),""))))</x:f>
      </x:c>
      <x:c r="HV297" t="str">
        <x:f>IF('Calculations'!HU297="","",IF('Calculations'!HU297="!AMBIG","!AMBIG",IF(COUNTIF('Calculations'!$HE$13:$HE$512,"="&amp;SUBSTITUTE(SUBSTITUTE(SUBSTITUTE('Calculations'!HU297,"~","~~"),"*","~*"),"?","~?"))&gt;1,"!AMBIG",IFERROR(INDEX('Calculations'!$HF$13:$HF$512,MATCH('Calculations'!HU297,'Calculations'!$HE$13:$HE$512,0)),""))))</x:f>
      </x:c>
      <x:c r="HW297" t="str">
        <x:f>IF('Calculations'!HV297="","",IF('Calculations'!HV297="!AMBIG","!AMBIG",IF(COUNTIF('Calculations'!$HE$13:$HE$512,"="&amp;SUBSTITUTE(SUBSTITUTE(SUBSTITUTE('Calculations'!HV297,"~","~~"),"*","~*"),"?","~?"))&gt;1,"!AMBIG",IFERROR(INDEX('Calculations'!$HF$13:$HF$512,MATCH('Calculations'!HV297,'Calculations'!$HE$13:$HE$512,0)),""))))</x:f>
      </x:c>
      <x:c r="HX297" t="str">
        <x:f>IF('Calculations'!HW297="","",IF('Calculations'!HW297="!AMBIG","!AMBIG",IF(COUNTIF('Calculations'!$HE$13:$HE$512,"="&amp;SUBSTITUTE(SUBSTITUTE(SUBSTITUTE('Calculations'!HW297,"~","~~"),"*","~*"),"?","~?"))&gt;1,"!AMBIG",IFERROR(INDEX('Calculations'!$HF$13:$HF$512,MATCH('Calculations'!HW297,'Calculations'!$HE$13:$HE$512,0)),""))))</x:f>
      </x:c>
      <x:c r="HY297" t="str">
        <x:f>IF('Calculations'!HX297="","",IF('Calculations'!HX297="!AMBIG","!AMBIG",IF(COUNTIF('Calculations'!$HE$13:$HE$512,"="&amp;SUBSTITUTE(SUBSTITUTE(SUBSTITUTE('Calculations'!HX297,"~","~~"),"*","~*"),"?","~?"))&gt;1,"!AMBIG",IFERROR(INDEX('Calculations'!$HF$13:$HF$512,MATCH('Calculations'!HX297,'Calculations'!$HE$13:$HE$512,0)),""))))</x:f>
      </x:c>
      <x:c r="HZ297" t="str">
        <x:f>IF('Calculations'!HY297="","",IF('Calculations'!HY297="!AMBIG","!AMBIG",IF(COUNTIF('Calculations'!$HE$13:$HE$512,"="&amp;SUBSTITUTE(SUBSTITUTE(SUBSTITUTE('Calculations'!HY297,"~","~~"),"*","~*"),"?","~?"))&gt;1,"!AMBIG",IFERROR(INDEX('Calculations'!$HF$13:$HF$512,MATCH('Calculations'!HY297,'Calculations'!$HE$13:$HE$512,0)),""))))</x:f>
      </x:c>
      <x:c r="IA297" t="str">
        <x:f>IF('Calculations'!HZ297="","",IF('Calculations'!HZ297="!AMBIG","!AMBIG",IF(COUNTIF('Calculations'!$HE$13:$HE$512,"="&amp;SUBSTITUTE(SUBSTITUTE(SUBSTITUTE('Calculations'!HZ297,"~","~~"),"*","~*"),"?","~?"))&gt;1,"!AMBIG",IFERROR(INDEX('Calculations'!$HF$13:$HF$512,MATCH('Calculations'!HZ297,'Calculations'!$HE$13:$HE$512,0)),""))))</x:f>
      </x:c>
      <x:c r="IB297" t="str">
        <x:f>IF('Calculations'!IA297="","",IF('Calculations'!IA297="!AMBIG","!AMBIG",IF(COUNTIF('Calculations'!$HE$13:$HE$512,"="&amp;SUBSTITUTE(SUBSTITUTE(SUBSTITUTE('Calculations'!IA297,"~","~~"),"*","~*"),"?","~?"))&gt;1,"!AMBIG",IFERROR(INDEX('Calculations'!$HF$13:$HF$512,MATCH('Calculations'!IA297,'Calculations'!$HE$13:$HE$512,0)),""))))</x:f>
      </x:c>
      <x:c r="IC297" t="str">
        <x:f>IF('Calculations'!IB297="","",IF('Calculations'!IB297="!AMBIG","!AMBIG",IF(COUNTIF('Calculations'!$HE$13:$HE$512,"="&amp;SUBSTITUTE(SUBSTITUTE(SUBSTITUTE('Calculations'!IB297,"~","~~"),"*","~*"),"?","~?"))&gt;1,"!AMBIG",IFERROR(INDEX('Calculations'!$HF$13:$HF$512,MATCH('Calculations'!IB297,'Calculations'!$HE$13:$HE$512,0)),""))))</x:f>
      </x:c>
      <x:c r="ID297" t="str">
        <x:f>IF('Calculations'!IC297="","",IF('Calculations'!IC297="!AMBIG","!AMBIG",IF(COUNTIF('Calculations'!$HE$13:$HE$512,"="&amp;SUBSTITUTE(SUBSTITUTE(SUBSTITUTE('Calculations'!IC297,"~","~~"),"*","~*"),"?","~?"))&gt;1,"!AMBIG",IFERROR(INDEX('Calculations'!$HF$13:$HF$512,MATCH('Calculations'!IC297,'Calculations'!$HE$13:$HE$512,0)),""))))</x:f>
      </x:c>
      <x:c r="IE297" t="str">
        <x:f>IF('Calculations'!ID297="","",IF('Calculations'!ID297="!AMBIG","!AMBIG",IF(COUNTIF('Calculations'!$HE$13:$HE$512,"="&amp;SUBSTITUTE(SUBSTITUTE(SUBSTITUTE('Calculations'!ID297,"~","~~"),"*","~*"),"?","~?"))&gt;1,"!AMBIG",IFERROR(INDEX('Calculations'!$HF$13:$HF$512,MATCH('Calculations'!ID297,'Calculations'!$HE$13:$HE$512,0)),""))))</x:f>
      </x:c>
      <x:c r="IF297" t="str">
        <x:f>IF('Calculations'!IE297="","",IF('Calculations'!IE297="!AMBIG","!AMBIG",IF(COUNTIF('Calculations'!$HE$13:$HE$512,"="&amp;SUBSTITUTE(SUBSTITUTE(SUBSTITUTE('Calculations'!IE297,"~","~~"),"*","~*"),"?","~?"))&gt;1,"!AMBIG",IFERROR(INDEX('Calculations'!$HF$13:$HF$512,MATCH('Calculations'!IE297,'Calculations'!$HE$13:$HE$512,0)),""))))</x:f>
      </x:c>
      <x:c r="IG297" t="str">
        <x:f>IF('Calculations'!IF297="","",IF('Calculations'!IF297="!AMBIG","!AMBIG",IF(COUNTIF('Calculations'!$HE$13:$HE$512,"="&amp;SUBSTITUTE(SUBSTITUTE(SUBSTITUTE('Calculations'!IF297,"~","~~"),"*","~*"),"?","~?"))&gt;1,"!AMBIG",IFERROR(INDEX('Calculations'!$HF$13:$HF$512,MATCH('Calculations'!IF297,'Calculations'!$HE$13:$HE$512,0)),""))))</x:f>
      </x:c>
      <x:c r="IH297" t="str">
        <x:f>IF('Calculations'!IG297="","",IF('Calculations'!IG297="!AMBIG","!AMBIG",IF(COUNTIF('Calculations'!$HE$13:$HE$512,"="&amp;SUBSTITUTE(SUBSTITUTE(SUBSTITUTE('Calculations'!IG297,"~","~~"),"*","~*"),"?","~?"))&gt;1,"!AMBIG",IFERROR(INDEX('Calculations'!$HF$13:$HF$512,MATCH('Calculations'!IG297,'Calculations'!$HE$13:$HE$512,0)),""))))</x:f>
      </x:c>
      <x:c r="II297" t="str">
        <x:f>IF('Calculations'!IH297="","",IF('Calculations'!IH297="!AMBIG","!AMBIG",IF(COUNTIF('Calculations'!$HE$13:$HE$512,"="&amp;SUBSTITUTE(SUBSTITUTE(SUBSTITUTE('Calculations'!IH297,"~","~~"),"*","~*"),"?","~?"))&gt;1,"!AMBIG",IFERROR(INDEX('Calculations'!$HF$13:$HF$512,MATCH('Calculations'!IH297,'Calculations'!$HE$13:$HE$512,0)),""))))</x:f>
      </x:c>
      <x:c r="IJ297" t="str">
        <x:f>IF('Calculations'!EM297="","",IF('Calculations'!$EF$2="All",'Calculations'!HM297,IF('Calculations'!HL297=1,"",IFERROR(IF(MATCH('Calculations'!$EF$2,'Calculations'!HO297:II297,0)=1,'Calculations'!HE297,INDEX('Calculations'!HO297:II297,1,MATCH('Calculations'!$EF$2,'Calculations'!HO297:II297,0)-1)),""))))</x:f>
      </x:c>
      <x:c r="IK297" t="n">
        <x:f>IF(AND('Calculations'!EM297&lt;&gt;"",'Calculations'!$EF$2&lt;&gt;"All",'Calculations'!HF297='Calculations'!$EF$2,'Calculations'!HL297=0,'Calculations'!JD297&gt;0),MAX('Calculations'!$IK$12:IK296)+1,0)</x:f>
        <x:v>0</x:v>
      </x:c>
      <x:c r="JA297" t="n">
        <x:f>IF(OR(IFERROR(INDIRECT("'WCM Calibration Final'!$A$297")&lt;&gt;"",FALSE),IFERROR(INDIRECT("'WCM Calibration Final'!$B$297")&lt;&gt;"",FALSE),IFERROR(INDIRECT("'WCM Calibration Final'!$C$297")&lt;&gt;"",FALSE)),297,0)</x:f>
        <x:v>0</x:v>
      </x:c>
      <x:c r="JB297" t="n">
        <x:f>'Calculations'!JB296+IF('Calculations'!JA297&gt;0,1,0)</x:f>
        <x:v>0</x:v>
      </x:c>
      <x:c r="JC297" t="n">
        <x:f>IF(OR('Calculations'!HF297="",'Calculations'!HF297="!AMBIG"),0,IF('Dashboard'!$B$7="All",1,COUNTIFS('Calculations'!$HO$13:$HO$512,"="&amp;SUBSTITUTE(SUBSTITUTE(SUBSTITUTE('Calculations'!HF297,"~","~~"),"*","~*"),"?","~?"),'Calculations'!$HN$13:$HN$512,"="&amp;SUBSTITUTE(SUBSTITUTE(SUBSTITUTE('Dashboard'!$B$7,"~","~~"),"*","~*"),"?","~?"))+COUNTIFS('Calculations'!$HP$13:$HP$512,"="&amp;SUBSTITUTE(SUBSTITUTE(SUBSTITUTE('Calculations'!HF297,"~","~~"),"*","~*"),"?","~?"),'Calculations'!$HN$13:$HN$512,"="&amp;SUBSTITUTE(SUBSTITUTE(SUBSTITUTE('Dashboard'!$B$7,"~","~~"),"*","~*"),"?","~?"))+COUNTIFS('Calculations'!$HQ$13:$HQ$512,"="&amp;SUBSTITUTE(SUBSTITUTE(SUBSTITUTE('Calculations'!HF297,"~","~~"),"*","~*"),"?","~?"),'Calculations'!$HN$13:$HN$512,"="&amp;SUBSTITUTE(SUBSTITUTE(SUBSTITUTE('Dashboard'!$B$7,"~","~~"),"*","~*"),"?","~?"))+COUNTIFS('Calculations'!$HR$13:$HR$512,"="&amp;SUBSTITUTE(SUBSTITUTE(SUBSTITUTE('Calculations'!HF297,"~","~~"),"*","~*"),"?","~?"),'Calculations'!$HN$13:$HN$512,"="&amp;SUBSTITUTE(SUBSTITUTE(SUBSTITUTE('Dashboard'!$B$7,"~","~~"),"*","~*"),"?","~?"))+COUNTIFS('Calculations'!$HS$13:$HS$512,"="&amp;SUBSTITUTE(SUBSTITUTE(SUBSTITUTE('Calculations'!HF297,"~","~~"),"*","~*"),"?","~?"),'Calculations'!$HN$13:$HN$512,"="&amp;SUBSTITUTE(SUBSTITUTE(SUBSTITUTE('Dashboard'!$B$7,"~","~~"),"*","~*"),"?","~?"))+COUNTIFS('Calculations'!$HT$13:$HT$512,"="&amp;SUBSTITUTE(SUBSTITUTE(SUBSTITUTE('Calculations'!HF297,"~","~~"),"*","~*"),"?","~?"),'Calculations'!$HN$13:$HN$512,"="&amp;SUBSTITUTE(SUBSTITUTE(SUBSTITUTE('Dashboard'!$B$7,"~","~~"),"*","~*"),"?","~?"))+COUNTIFS('Calculations'!$HU$13:$HU$512,"="&amp;SUBSTITUTE(SUBSTITUTE(SUBSTITUTE('Calculations'!HF297,"~","~~"),"*","~*"),"?","~?"),'Calculations'!$HN$13:$HN$512,"="&amp;SUBSTITUTE(SUBSTITUTE(SUBSTITUTE('Dashboard'!$B$7,"~","~~"),"*","~*"),"?","~?"))+COUNTIFS('Calculations'!$HV$13:$HV$512,"="&amp;SUBSTITUTE(SUBSTITUTE(SUBSTITUTE('Calculations'!HF297,"~","~~"),"*","~*"),"?","~?"),'Calculations'!$HN$13:$HN$512,"="&amp;SUBSTITUTE(SUBSTITUTE(SUBSTITUTE('Dashboard'!$B$7,"~","~~"),"*","~*"),"?","~?"))+COUNTIFS('Calculations'!$HW$13:$HW$512,"="&amp;SUBSTITUTE(SUBSTITUTE(SUBSTITUTE('Calculations'!HF297,"~","~~"),"*","~*"),"?","~?"),'Calculations'!$HN$13:$HN$512,"="&amp;SUBSTITUTE(SUBSTITUTE(SUBSTITUTE('Dashboard'!$B$7,"~","~~"),"*","~*"),"?","~?"))+COUNTIFS('Calculations'!$HX$13:$HX$512,"="&amp;SUBSTITUTE(SUBSTITUTE(SUBSTITUTE('Calculations'!HF297,"~","~~"),"*","~*"),"?","~?"),'Calculations'!$HN$13:$HN$512,"="&amp;SUBSTITUTE(SUBSTITUTE(SUBSTITUTE('Dashboard'!$B$7,"~","~~"),"*","~*"),"?","~?"))+COUNTIFS('Calculations'!$HY$13:$HY$512,"="&amp;SUBSTITUTE(SUBSTITUTE(SUBSTITUTE('Calculations'!HF297,"~","~~"),"*","~*"),"?","~?"),'Calculations'!$HN$13:$HN$512,"="&amp;SUBSTITUTE(SUBSTITUTE(SUBSTITUTE('Dashboard'!$B$7,"~","~~"),"*","~*"),"?","~?"))+COUNTIFS('Calculations'!$HZ$13:$HZ$512,"="&amp;SUBSTITUTE(SUBSTITUTE(SUBSTITUTE('Calculations'!HF297,"~","~~"),"*","~*"),"?","~?"),'Calculations'!$HN$13:$HN$512,"="&amp;SUBSTITUTE(SUBSTITUTE(SUBSTITUTE('Dashboard'!$B$7,"~","~~"),"*","~*"),"?","~?"))+COUNTIFS('Calculations'!$IA$13:$IA$512,"="&amp;SUBSTITUTE(SUBSTITUTE(SUBSTITUTE('Calculations'!HF297,"~","~~"),"*","~*"),"?","~?"),'Calculations'!$HN$13:$HN$512,"="&amp;SUBSTITUTE(SUBSTITUTE(SUBSTITUTE('Dashboard'!$B$7,"~","~~"),"*","~*"),"?","~?"))+COUNTIFS('Calculations'!$IB$13:$IB$512,"="&amp;SUBSTITUTE(SUBSTITUTE(SUBSTITUTE('Calculations'!HF297,"~","~~"),"*","~*"),"?","~?"),'Calculations'!$HN$13:$HN$512,"="&amp;SUBSTITUTE(SUBSTITUTE(SUBSTITUTE('Dashboard'!$B$7,"~","~~"),"*","~*"),"?","~?"))+COUNTIFS('Calculations'!$IC$13:$IC$512,"="&amp;SUBSTITUTE(SUBSTITUTE(SUBSTITUTE('Calculations'!HF297,"~","~~"),"*","~*"),"?","~?"),'Calculations'!$HN$13:$HN$512,"="&amp;SUBSTITUTE(SUBSTITUTE(SUBSTITUTE('Dashboard'!$B$7,"~","~~"),"*","~*"),"?","~?"))+COUNTIFS('Calculations'!$ID$13:$ID$512,"="&amp;SUBSTITUTE(SUBSTITUTE(SUBSTITUTE('Calculations'!HF297,"~","~~"),"*","~*"),"?","~?"),'Calculations'!$HN$13:$HN$512,"="&amp;SUBSTITUTE(SUBSTITUTE(SUBSTITUTE('Dashboard'!$B$7,"~","~~"),"*","~*"),"?","~?"))+COUNTIFS('Calculations'!$IE$13:$IE$512,"="&amp;SUBSTITUTE(SUBSTITUTE(SUBSTITUTE('Calculations'!HF297,"~","~~"),"*","~*"),"?","~?"),'Calculations'!$HN$13:$HN$512,"="&amp;SUBSTITUTE(SUBSTITUTE(SUBSTITUTE('Dashboard'!$B$7,"~","~~"),"*","~*"),"?","~?"))+COUNTIFS('Calculations'!$IF$13:$IF$512,"="&amp;SUBSTITUTE(SUBSTITUTE(SUBSTITUTE('Calculations'!HF297,"~","~~"),"*","~*"),"?","~?"),'Calculations'!$HN$13:$HN$512,"="&amp;SUBSTITUTE(SUBSTITUTE(SUBSTITUTE('Dashboard'!$B$7,"~","~~"),"*","~*"),"?","~?"))+COUNTIFS('Calculations'!$IG$13:$IG$512,"="&amp;SUBSTITUTE(SUBSTITUTE(SUBSTITUTE('Calculations'!HF297,"~","~~"),"*","~*"),"?","~?"),'Calculations'!$HN$13:$HN$512,"="&amp;SUBSTITUTE(SUBSTITUTE(SUBSTITUTE('Dashboard'!$B$7,"~","~~"),"*","~*"),"?","~?"))+COUNTIFS('Calculations'!$IH$13:$IH$512,"="&amp;SUBSTITUTE(SUBSTITUTE(SUBSTITUTE('Calculations'!HF297,"~","~~"),"*","~*"),"?","~?"),'Calculations'!$HN$13:$HN$512,"="&amp;SUBSTITUTE(SUBSTITUTE(SUBSTITUTE('Dashboard'!$B$7,"~","~~"),"*","~*"),"?","~?"))))</x:f>
        <x:v>0</x:v>
      </x:c>
      <x:c r="JD297" t="n">
        <x:f>IF('Calculations'!EM297="",0,IF('Dashboard'!$B$7="All",1,IF('Calculations'!HN297='Dashboard'!$B$7,1,0)+IFERROR(INDEX('Calculations'!$JC$13:$JC$512,MATCH('Calculations'!HE297,'Calculations'!$HF$13:$HF$512,0)),0)))</x:f>
        <x:v>0</x:v>
      </x:c>
      <x:c r="JE297" t="n">
        <x:f>IF(AND('Calculations'!EM297&lt;&gt;"",'Calculations'!$JJ$2&lt;&gt;"All",'Calculations'!$JJ$2&lt;&gt;"",'Calculations'!HF297='Calculations'!$JJ$2,'Calculations'!HL297=0,'Calculations'!JD297&gt;0),MAX('Calculations'!$JE$12:JE296)+1,0)</x:f>
        <x:v>0</x:v>
      </x:c>
      <x:c r="JF297" t="str">
        <x:f>IF('Calculations'!EM297="","",IFERROR(IF(INDEX(INDIRECT("'WCM Calibration Final'!$G$1:$G$2000"),'Calculations'!$EM297)="","",TRIM(INDEX(INDIRECT("'WCM Calibration Final'!$G$1:$G$2000"),'Calculations'!$EM297)&amp;"")),""))</x:f>
      </x:c>
      <x:c r="JQ297" t="n">
        <x:f>IF(OR('Calculations'!BM297=0,NOT('Calculations'!$AG$2),'Calculations'!$AG$8&gt;0),0,IF(OR('Dashboard'!$B$7="All",'Calculations'!HN297='Dashboard'!$B$7),IF('Calculations'!$JJ$2="All",1,IF(AND('Calculations'!HF297='Calculations'!$JJ$2,'Calculations'!HL297=0),1,0)),0))</x:f>
        <x:v>0</x:v>
      </x:c>
    </x:row>
    <x:row r="298">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t="n">
        <x:f>IF('Calculations'!$EM298="",0,IF(OR(IFERROR(INDEX(INDIRECT("'WCM Calibration Final'!$A$1:$A$2000"),'Calculations'!$EM298)&lt;&gt;"",FALSE),IFERROR(INDEX(INDIRECT("'WCM Calibration Final'!$B$1:$B$2000"),'Calculations'!$EM298)&lt;&gt;"",FALSE),IFERROR(INDEX(INDIRECT("'WCM Calibration Final'!$C$1:$C$2000"),'Calculations'!$EM298)&lt;&gt;"",FALSE)),1,0))</x:f>
        <x:v>0</x:v>
      </x:c>
      <x:c r="BN298" s="4" t="n">
        <x:f>IF(AND('Calculations'!BM298=1,'Calculations'!$AG$2,'Calculations'!$EN298=1),1,0)</x:f>
        <x:v>0</x:v>
      </x:c>
      <x:c r="BO298" s="4" t="str">
        <x:f>IF('Calculations'!BM298=0,"",IFERROR(IF(AND(VALUE(INDEX(INDIRECT("'WCM Calibration Final'!$K$1:$K$2000"),'Calculations'!$EM298))&gt;=1,VALUE(INDEX(INDIRECT("'WCM Calibration Final'!$K$1:$K$2000"),'Calculations'!$EM298))&lt;=4,MOD(VALUE(INDEX(INDIRECT("'WCM Calibration Final'!$K$1:$K$2000"),'Calculations'!$EM298)),1)=0),VALUE(INDEX(INDIRECT("'WCM Calibration Final'!$K$1:$K$2000"),'Calculations'!$EM298)),""),""))</x:f>
      </x:c>
      <x:c r="BP298" s="4" t="str">
        <x:f>IF('Calculations'!BM298=0,"",IFERROR(IF(AND(VALUE(INDEX(INDIRECT("'WCM Calibration Final'!$L$1:$L$2000"),'Calculations'!$EM298))&gt;=1,VALUE(INDEX(INDIRECT("'WCM Calibration Final'!$L$1:$L$2000"),'Calculations'!$EM298))&lt;=4,MOD(VALUE(INDEX(INDIRECT("'WCM Calibration Final'!$L$1:$L$2000"),'Calculations'!$EM298)),1)=0),VALUE(INDEX(INDIRECT("'WCM Calibration Final'!$L$1:$L$2000"),'Calculations'!$EM298)),""),""))</x:f>
      </x:c>
      <x:c r="BQ298" s="4"/>
      <x:c r="BR298" s="4"/>
      <x:c r="BS298" s="4"/>
      <x:c r="BT298" s="4" t="n">
        <x:f>IF(AND('Calculations'!BM298=1,ISNUMBER('Calculations'!BO298),ISNUMBER('Calculations'!BP298)),1,0)</x:f>
        <x:v>0</x:v>
      </x:c>
      <x:c r="BU298" s="4" t="str">
        <x:f>IF('Calculations'!BM298=0,"",'Calculations'!$EO298)</x:f>
      </x:c>
      <x:c r="BV298" s="4" t="str">
        <x:f>IF('Calculations'!BM298=0,"",IFERROR(IF(OR(INDEX(INDIRECT("'WCM Calibration Final'!$H$1:$H$2000"),'Calculations'!$EM298)="MANAGING DIRECTOR",INDEX(INDIRECT("'WCM Calibration Final'!$H$1:$H$2000"),'Calculations'!$EM298)="DIRECTOR",INDEX(INDIRECT("'WCM Calibration Final'!$H$1:$H$2000"),'Calculations'!$EM298)="SENIOR VICE PRESIDENT",INDEX(INDIRECT("'WCM Calibration Final'!$H$1:$H$2000"),'Calculations'!$EM298)="VICE PRESIDENT",INDEX(INDIRECT("'WCM Calibration Final'!$H$1:$H$2000"),'Calculations'!$EM298)="ASSISTANT VICE PRESIDENT",INDEX(INDIRECT("'WCM Calibration Final'!$H$1:$H$2000"),'Calculations'!$EM298)="OFFICER"),UPPER(INDEX(INDIRECT("'WCM Calibration Final'!$H$1:$H$2000"),'Calculations'!$EM298)),"Other"),"Other"))</x:f>
      </x:c>
      <x:c r="BW298" s="4"/>
      <x:c r="BX298" s="4"/>
      <x:c r="BY298" s="4" t="n">
        <x:f>IF(AND('Calculations'!BM298=1,'Calculations'!BU298&lt;&gt;"",COUNTIF('Calculations'!$BU$12:BU298,'Calculations'!BU298)=1),MAX('Calculations'!$BY$11:BY297)+1,0)</x:f>
        <x:v>0</x:v>
      </x:c>
      <x:c r="BZ298" s="4" t="str">
        <x:f>IF('Dashboard'!$E$67="What",'Calculations'!BO298,'Calculations'!BP298)</x:f>
      </x:c>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t="str">
        <x:f>IF(287&gt;MAX('Calculations'!$HI$13:$HI$512),"",INDEX('Calculations'!$HN$13:$HN$512,MATCH(287,'Calculations'!$HI$13:$HI$512,0)))</x:f>
      </x:c>
      <x:c r="DB298" s="4" t="str">
        <x:f>IF(287&gt;MAX('Calculations'!$HH$13:$HH$512),"",INDEX('Calculations'!$HJ$13:$HJ$512,MATCH(287,'Calculations'!$HH$13:$HH$512,0)))</x:f>
      </x:c>
      <x:c r="DC298" s="4" t="str">
        <x:f>IF(ROW()-11&gt;MAX('Calculations'!$BY$13:$BY$512),"",INDEX('Calculations'!$BU$13:$BU$512,MATCH(ROW()-11,'Calculations'!$BY$13:$BY$512,0)))</x:f>
      </x:c>
      <x:c r="DD298" s="4" t="str">
        <x:f>IF(287&gt;MAX('Calculations'!$IK$13:$IK$512),"",INDEX('Calculations'!$HK$13:$HK$512,MATCH(287,'Calculations'!$IK$13:$IK$512,0)))</x:f>
      </x:c>
      <x:c r="DE298" s="4" t="str">
        <x:f>'Calculations'!DC298</x:f>
      </x:c>
      <x:c r="DF298" s="4" t="str">
        <x:f>IF('Calculations'!DE298="","",COUNTIFS('Calculations'!$BN$13:$BN$512,1,'Calculations'!$BU$13:$BU$512,'Calculations'!DE298))</x:f>
      </x:c>
      <x:c r="DG298" s="4" t="str">
        <x:f>IF('Calculations'!DE298="","",COUNTIFS('Calculations'!$BN$13:$BN$512,1,'Calculations'!$BU$13:$BU$512,'Calculations'!DE298,'Calculations'!$BT$13:$BT$512,1))</x:f>
      </x:c>
      <x:c r="DH298" s="4" t="str">
        <x:f>IF('Calculations'!DE298="","",'Calculations'!DF298-'Calculations'!DG298)</x:f>
      </x:c>
      <x:c r="DI298" s="4" t="str">
        <x:f>IF(OR('Calculations'!DE298="",'Calculations'!DF298=0),"",'Calculations'!DG298/'Calculations'!DF298)</x:f>
      </x:c>
      <x:c r="DJ298" s="4" t="str">
        <x:f>IF('Calculations'!DE298="","",COUNTIFS('Calculations'!$BN$13:$BN$512,1,'Calculations'!$BU$13:$BU$512,'Calculations'!DE298,'Calculations'!$BT$13:$BT$512,1,'Calculations'!$EE$13:$EE$512,"High"))</x:f>
      </x:c>
      <x:c r="DK298" s="4" t="str">
        <x:f>IF('Calculations'!DE298="","",COUNTIFS('Calculations'!$BN$13:$BN$512,1,'Calculations'!$BU$13:$BU$512,'Calculations'!DE298,'Calculations'!$BT$13:$BT$512,1,'Calculations'!$EE$13:$EE$512,"Strong"))</x:f>
      </x:c>
      <x:c r="DL298" s="4" t="str">
        <x:f>IF('Calculations'!DE298="","",COUNTIFS('Calculations'!$BN$13:$BN$512,1,'Calculations'!$BU$13:$BU$512,'Calculations'!DE298,'Calculations'!$BT$13:$BT$512,1,'Calculations'!$EE$13:$EE$512,"Solid"))</x:f>
      </x:c>
      <x:c r="DM298" s="4" t="str">
        <x:f>IF('Calculations'!DE298="","",COUNTIFS('Calculations'!$BN$13:$BN$512,1,'Calculations'!$BU$13:$BU$512,'Calculations'!DE298,'Calculations'!$BT$13:$BT$512,1,'Calculations'!$EE$13:$EE$512,"Low"))</x:f>
      </x:c>
      <x:c r="DN298" s="4" t="str">
        <x:f>IF('Calculations'!DE298="","",COUNTIFS('Calculations'!$BN$13:$BN$512,1,'Calculations'!$BU$13:$BU$512,'Calculations'!DE298,'Calculations'!$EP$13:$EP$512,1))</x:f>
      </x:c>
      <x:c r="DO298" s="4" t="str">
        <x:f>IF(OR('Calculations'!DE298="",'Calculations'!DG298=0),"",('Calculations'!DJ298+'Calculations'!DK298)/'Calculations'!DG298)</x:f>
      </x:c>
      <x:c r="DP298" s="4" t="n">
        <x:f>IF(AND('Calculations'!DE298&lt;&gt;"",'Calculations'!DF298&gt;0),COUNTIF('Calculations'!$DF$12:DF298,"&gt;0"),0)</x:f>
        <x:v>0</x:v>
      </x:c>
      <x:c r="DQ298" s="4" t="str">
        <x:f>IF(287&gt;MAX('Calculations'!$HH$13:$HH$512),"",INDEX('Calculations'!$HF$13:$HF$512,MATCH(287,'Calculations'!$HH$13:$HH$512,0)))</x:f>
      </x:c>
      <x:c r="DR298" s="4" t="str">
        <x:f>IF(287&gt;MAX('Calculations'!$IK$13:$IK$512),"",INDEX('Calculations'!$HE$13:$HE$512,MATCH(287,'Calculations'!$IK$13:$IK$512,0)))</x:f>
      </x:c>
      <x:c r="DS298" s="4"/>
      <x:c r="DT298" s="4"/>
      <x:c r="DU298" s="4"/>
      <x:c r="DV298" s="4"/>
      <x:c r="DW298" s="4"/>
      <x:c r="DX298" s="4"/>
      <x:c r="DY298" s="4"/>
      <x:c r="DZ298" s="4"/>
      <x:c r="EA298" s="4"/>
      <x:c r="EB298" s="4"/>
      <x:c r="EC298" s="4"/>
      <x:c r="ED298" s="4"/>
      <x:c r="EE298" s="4" t="str">
        <x:f>IF('Calculations'!BT298=0,"Not Rated",IF(OR('Calculations'!BO298&gt;=4,'Calculations'!BP298&gt;=4),"Low",IF('Calculations'!BO298+'Calculations'!BP298&lt;=3,"High",IF('Calculations'!BO298+'Calculations'!BP298&lt;=4,"Strong","Solid"))))</x:f>
        <x:v>Not Rated</x:v>
      </x:c>
      <x:c r="EF298" s="4"/>
      <x:c r="EG298" s="4"/>
      <x:c r="EH298" s="4"/>
      <x:c r="EI298" s="4"/>
      <x:c r="EJ298" s="4"/>
      <x:c r="EK298" s="4"/>
      <x:c r="EL298" s="4"/>
      <x:c r="EM298" s="4" t="str">
        <x:f>IF(286&gt;'Calculations'!$JB$2000,"",INDEX('Calculations'!$JA$12:$JA$2000,MATCH(286,'Calculations'!$JB$12:$JB$2000,0)))</x:f>
      </x:c>
      <x:c r="EN298" s="4" t="n">
        <x:f>IF(OR('Calculations'!EM298="",'Calculations'!$AG$8&gt;0,AND('Calculations'!$EF$2&lt;&gt;"All",'Calculations'!HE298='Calculations'!$EF$2),AND('Calculations'!$EF$3&lt;&gt;"All",'Calculations'!HE298='Calculations'!$EF$3)),0,IF(OR('Dashboard'!$B$7="All",'Calculations'!HN298='Dashboard'!$B$7),IF('Calculations'!$EF$2="All",1,IF('Calculations'!HL298&gt;0,0,IF(COUNTIF('Calculations'!HO298:II298,"="&amp;SUBSTITUTE(SUBSTITUTE(SUBSTITUTE('Calculations'!$EF$2,"~","~~"),"*","~*"),"?","~?"))=0,0,IF('Calculations'!$EF$3="All",1,IF(COUNTIF('Calculations'!HO298:II298,"="&amp;SUBSTITUTE(SUBSTITUTE(SUBSTITUTE('Calculations'!$EF$3,"~","~~"),"*","~*"),"?","~?"))&gt;0,1,0))))),0))</x:f>
        <x:v>0</x:v>
      </x:c>
      <x:c r="EO298" s="4" t="str">
        <x:f>IF('Calculations'!IJ298="","",IF('Calculations'!IJ298="!UNRESOLVED","Unresolved hierarchy",IFERROR(INDEX('Calculations'!$HK$13:$HK$512,MATCH('Calculations'!IJ298,'Calculations'!$HE$13:$HE$512,0)),IFERROR(INDEX('Calculations'!$HJ$13:$HJ$512,MATCH('Calculations'!IJ298,'Calculations'!$HF$13:$HF$512,0)),'Calculations'!IJ298))))</x:f>
      </x:c>
      <x:c r="EP298" s="4" t="n">
        <x:f>IF(AND('Calculations'!EM298&lt;&gt;"",'Calculations'!HF298='Calculations'!IJ298),1,0)</x:f>
        <x:v>0</x:v>
      </x:c>
      <x:c r="EQ298" s="4"/>
      <x:c r="ER298" s="4"/>
      <x:c r="ES298" s="4"/>
      <x:c r="ET298" s="4"/>
      <x:c r="EU298" s="4"/>
      <x:c r="EV298" s="4"/>
      <x:c r="EW298" s="4"/>
      <x:c r="EX298" s="4"/>
      <x:c r="EY298" s="4"/>
      <x:c r="EZ298" s="4"/>
      <x:c r="FA298" s="4"/>
      <x:c r="FB298" s="4"/>
      <x:c r="FC298" s="4"/>
      <x:c r="FD298" s="4"/>
      <x:c r="FE298" s="4"/>
      <x:c r="FF298" s="4"/>
      <x:c r="FG298" s="4"/>
      <x:c r="FH298" s="4"/>
      <x:c r="FI298" s="4"/>
      <x:c r="FJ298" s="4"/>
      <x:c r="FK298" s="4"/>
      <x:c r="FL298" s="4"/>
      <x:c r="FM298" s="4"/>
      <x:c r="FN298" s="4"/>
      <x:c r="FO298" s="4"/>
      <x:c r="HE298" t="str">
        <x:f>IF('Calculations'!EM298="","",IF(IFERROR(IF(INDEX(INDIRECT("'WCM Calibration Final'!$A$1:$A$2000"),'Calculations'!$EM298)="","",TRIM(INDEX(INDIRECT("'WCM Calibration Final'!$A$1:$A$2000"),'Calculations'!$EM298)&amp;"")),"")&lt;&gt;"","G:"&amp;IFERROR(TEXT(1*INDEX(INDIRECT("'WCM Calibration Final'!$A$1:$A$2000"),'Calculations'!$EM298),"0"),UPPER(IFERROR(IF(INDEX(INDIRECT("'WCM Calibration Final'!$A$1:$A$2000"),'Calculations'!$EM298)="","",TRIM(INDEX(INDIRECT("'WCM Calibration Final'!$A$1:$A$2000"),'Calculations'!$EM298)&amp;"")),""))),IF(IFERROR(IF(INDEX(INDIRECT("'WCM Calibration Final'!$C$1:$C$2000"),'Calculations'!$EM298)="","",TRIM(INDEX(INDIRECT("'WCM Calibration Final'!$C$1:$C$2000"),'Calculations'!$EM298)&amp;"")),"")&lt;&gt;"","S:"&amp;UPPER(IFERROR(IF(INDEX(INDIRECT("'WCM Calibration Final'!$C$1:$C$2000"),'Calculations'!$EM298)="","",TRIM(INDEX(INDIRECT("'WCM Calibration Final'!$C$1:$C$2000"),'Calculations'!$EM298)&amp;"")),"")),"R:"&amp;'Calculations'!EM298)))</x:f>
      </x:c>
      <x:c r="HF298" t="str">
        <x:f>IF('Calculations'!EM298="","",IF(IFERROR(IF(INDEX(INDIRECT("'WCM Calibration Final'!$D$1:$D$2000"),'Calculations'!$EM298)="","",TRIM(INDEX(INDIRECT("'WCM Calibration Final'!$D$1:$D$2000"),'Calculations'!$EM298)&amp;"")),"")&lt;&gt;"","G:"&amp;IFERROR(TEXT(1*INDEX(INDIRECT("'WCM Calibration Final'!$D$1:$D$2000"),'Calculations'!$EM298),"0"),UPPER(IFERROR(IF(INDEX(INDIRECT("'WCM Calibration Final'!$D$1:$D$2000"),'Calculations'!$EM298)="","",TRIM(INDEX(INDIRECT("'WCM Calibration Final'!$D$1:$D$2000"),'Calculations'!$EM298)&amp;"")),""))),IF(IFERROR(IF(INDEX(INDIRECT("'WCM Calibration Final'!$E$1:$E$2000"),'Calculations'!$EM298)="","",TRIM(INDEX(INDIRECT("'WCM Calibration Final'!$E$1:$E$2000"),'Calculations'!$EM298)&amp;"")),"")="","",IF(COUNTIF('Calculations'!$HG$13:$HG$512,"="&amp;SUBSTITUTE(SUBSTITUTE(SUBSTITUTE(IFERROR(IF(INDEX(INDIRECT("'WCM Calibration Final'!$E$1:$E$2000"),'Calculations'!$EM298)="","",TRIM(INDEX(INDIRECT("'WCM Calibration Final'!$E$1:$E$2000"),'Calculations'!$EM298)&amp;"")),""),"~","~~"),"*","~*"),"?","~?"))=1,INDEX('Calculations'!$HE$13:$HE$512,MATCH(IFERROR(IF(INDEX(INDIRECT("'WCM Calibration Final'!$E$1:$E$2000"),'Calculations'!$EM298)="","",TRIM(INDEX(INDIRECT("'WCM Calibration Final'!$E$1:$E$2000"),'Calculations'!$EM298)&amp;"")),""),'Calculations'!$HG$13:$HG$512,0)),IF(COUNTIF('Calculations'!$HG$13:$HG$512,"="&amp;SUBSTITUTE(SUBSTITUTE(SUBSTITUTE(IFERROR(IF(INDEX(INDIRECT("'WCM Calibration Final'!$E$1:$E$2000"),'Calculations'!$EM298)="","",TRIM(INDEX(INDIRECT("'WCM Calibration Final'!$E$1:$E$2000"),'Calculations'!$EM298)&amp;"")),""),"~","~~"),"*","~*"),"?","~?"))&gt;1,"!AMBIG","X:"&amp;IFERROR(IF(INDEX(INDIRECT("'WCM Calibration Final'!$E$1:$E$2000"),'Calculations'!$EM298)="","",TRIM(INDEX(INDIRECT("'WCM Calibration Final'!$E$1:$E$2000"),'Calculations'!$EM298)&amp;"")),""))))))</x:f>
      </x:c>
      <x:c r="HG298" t="str">
        <x:f>IF('Calculations'!EM298="","",IFERROR(IF(INDEX(INDIRECT("'WCM Calibration Final'!$B$1:$B$2000"),'Calculations'!$EM298)="","",TRIM(INDEX(INDIRECT("'WCM Calibration Final'!$B$1:$B$2000"),'Calculations'!$EM298)&amp;"")),""))</x:f>
      </x:c>
      <x:c r="HH298" t="n">
        <x:f>IF(AND('Calculations'!JC298&gt;0,COUNTIF('Calculations'!$HF$12:HF298,"="&amp;SUBSTITUTE(SUBSTITUTE(SUBSTITUTE('Calculations'!HF298,"~","~~"),"*","~*"),"?","~?"))=1),MAX('Calculations'!$HH$12:HH297)+1,0)</x:f>
        <x:v>0</x:v>
      </x:c>
      <x:c r="HI298" t="n">
        <x:f>IF(AND('Calculations'!HN298&lt;&gt;"",COUNTIF('Calculations'!$HN$12:HN298,"="&amp;SUBSTITUTE(SUBSTITUTE(SUBSTITUTE('Calculations'!HN298,"~","~~"),"*","~*"),"?","~?"))=1),MAX('Calculations'!$HI$12:HI297)+1,0)</x:f>
        <x:v>0</x:v>
      </x:c>
      <x:c r="HJ298" t="str">
        <x:f>IF('Calculations'!HF298="","",IF(COUNTIF('Calculations'!$HE$13:$HE$512,"="&amp;SUBSTITUTE(SUBSTITUTE(SUBSTITUTE('Calculations'!HF298,"~","~~"),"*","~*"),"?","~?"))=1,INDEX('Calculations'!$HK$13:$HK$512,MATCH('Calculations'!HF298,'Calculations'!$HE$13:$HE$512,0)),IFERROR(IF(INDEX(INDIRECT("'WCM Calibration Final'!$E$1:$E$2000"),'Calculations'!$EM298)="","",TRIM(INDEX(INDIRECT("'WCM Calibration Final'!$E$1:$E$2000"),'Calculations'!$EM298)&amp;"")),"")&amp;" ["&amp;'Calculations'!HF298&amp;"]"))</x:f>
      </x:c>
      <x:c r="HK298" t="str">
        <x:f>IF('Calculations'!EM298="","",'Calculations'!HG298&amp;" ["&amp;'Calculations'!HE298&amp;"]")</x:f>
      </x:c>
      <x:c r="HL298" t="n">
        <x:f>IF('Calculations'!EM298="",0,IF(OR('Calculations'!II298&lt;&gt;"",COUNTIF('Calculations'!$HE$13:$HE$512,"="&amp;SUBSTITUTE(SUBSTITUTE(SUBSTITUTE('Calculations'!HE298,"~","~~"),"*","~*"),"?","~?"))&gt;1),1,0))</x:f>
        <x:v>0</x:v>
      </x:c>
      <x:c r="HM298" t="str">
        <x:f>IF('Calculations'!EM298="","",IF('Calculations'!HL298=1,"!UNRESOLVED",IF('Calculations'!IH298&lt;&gt;"",'Calculations'!IH298,IF('Calculations'!IG298&lt;&gt;"",'Calculations'!IG298,IF('Calculations'!IF298&lt;&gt;"",'Calculations'!IF298,IF('Calculations'!IE298&lt;&gt;"",'Calculations'!IE298,IF('Calculations'!ID298&lt;&gt;"",'Calculations'!ID298,IF('Calculations'!IC298&lt;&gt;"",'Calculations'!IC298,IF('Calculations'!IB298&lt;&gt;"",'Calculations'!IB298,IF('Calculations'!IA298&lt;&gt;"",'Calculations'!IA298,IF('Calculations'!HZ298&lt;&gt;"",'Calculations'!HZ298,IF('Calculations'!HY298&lt;&gt;"",'Calculations'!HY298,IF('Calculations'!HX298&lt;&gt;"",'Calculations'!HX298,IF('Calculations'!HW298&lt;&gt;"",'Calculations'!HW298,IF('Calculations'!HV298&lt;&gt;"",'Calculations'!HV298,IF('Calculations'!HU298&lt;&gt;"",'Calculations'!HU298,IF('Calculations'!HT298&lt;&gt;"",'Calculations'!HT298,IF('Calculations'!HS298&lt;&gt;"",'Calculations'!HS298,IF('Calculations'!HR298&lt;&gt;"",'Calculations'!HR298,IF('Calculations'!HQ298&lt;&gt;"",'Calculations'!HQ298,IF('Calculations'!HP298&lt;&gt;"",'Calculations'!HP298,IF('Calculations'!HO298&lt;&gt;"",'Calculations'!HO298,'Calculations'!HE298))))))))))))))))))))))</x:f>
      </x:c>
      <x:c r="HN298" t="str">
        <x:f>IF('Calculations'!EM298="","",IF(IFERROR(IF(INDEX(INDIRECT("'WCM Calibration Final'!$F$1:$F$2000"),'Calculations'!$EM298)="","",TRIM(INDEX(INDIRECT("'WCM Calibration Final'!$F$1:$F$2000"),'Calculations'!$EM298)&amp;"")),"")="","(Blank)",IFERROR(IF(INDEX(INDIRECT("'WCM Calibration Final'!$F$1:$F$2000"),'Calculations'!$EM298)="","",TRIM(INDEX(INDIRECT("'WCM Calibration Final'!$F$1:$F$2000"),'Calculations'!$EM298)&amp;"")),"")))</x:f>
      </x:c>
      <x:c r="HO298" t="str">
        <x:f>'Calculations'!HF298</x:f>
      </x:c>
      <x:c r="HP298" t="str">
        <x:f>IF('Calculations'!HO298="","",IF('Calculations'!HO298="!AMBIG","!AMBIG",IF(COUNTIF('Calculations'!$HE$13:$HE$512,"="&amp;SUBSTITUTE(SUBSTITUTE(SUBSTITUTE('Calculations'!HO298,"~","~~"),"*","~*"),"?","~?"))&gt;1,"!AMBIG",IFERROR(INDEX('Calculations'!$HF$13:$HF$512,MATCH('Calculations'!HO298,'Calculations'!$HE$13:$HE$512,0)),""))))</x:f>
      </x:c>
      <x:c r="HQ298" t="str">
        <x:f>IF('Calculations'!HP298="","",IF('Calculations'!HP298="!AMBIG","!AMBIG",IF(COUNTIF('Calculations'!$HE$13:$HE$512,"="&amp;SUBSTITUTE(SUBSTITUTE(SUBSTITUTE('Calculations'!HP298,"~","~~"),"*","~*"),"?","~?"))&gt;1,"!AMBIG",IFERROR(INDEX('Calculations'!$HF$13:$HF$512,MATCH('Calculations'!HP298,'Calculations'!$HE$13:$HE$512,0)),""))))</x:f>
      </x:c>
      <x:c r="HR298" t="str">
        <x:f>IF('Calculations'!HQ298="","",IF('Calculations'!HQ298="!AMBIG","!AMBIG",IF(COUNTIF('Calculations'!$HE$13:$HE$512,"="&amp;SUBSTITUTE(SUBSTITUTE(SUBSTITUTE('Calculations'!HQ298,"~","~~"),"*","~*"),"?","~?"))&gt;1,"!AMBIG",IFERROR(INDEX('Calculations'!$HF$13:$HF$512,MATCH('Calculations'!HQ298,'Calculations'!$HE$13:$HE$512,0)),""))))</x:f>
      </x:c>
      <x:c r="HS298" t="str">
        <x:f>IF('Calculations'!HR298="","",IF('Calculations'!HR298="!AMBIG","!AMBIG",IF(COUNTIF('Calculations'!$HE$13:$HE$512,"="&amp;SUBSTITUTE(SUBSTITUTE(SUBSTITUTE('Calculations'!HR298,"~","~~"),"*","~*"),"?","~?"))&gt;1,"!AMBIG",IFERROR(INDEX('Calculations'!$HF$13:$HF$512,MATCH('Calculations'!HR298,'Calculations'!$HE$13:$HE$512,0)),""))))</x:f>
      </x:c>
      <x:c r="HT298" t="str">
        <x:f>IF('Calculations'!HS298="","",IF('Calculations'!HS298="!AMBIG","!AMBIG",IF(COUNTIF('Calculations'!$HE$13:$HE$512,"="&amp;SUBSTITUTE(SUBSTITUTE(SUBSTITUTE('Calculations'!HS298,"~","~~"),"*","~*"),"?","~?"))&gt;1,"!AMBIG",IFERROR(INDEX('Calculations'!$HF$13:$HF$512,MATCH('Calculations'!HS298,'Calculations'!$HE$13:$HE$512,0)),""))))</x:f>
      </x:c>
      <x:c r="HU298" t="str">
        <x:f>IF('Calculations'!HT298="","",IF('Calculations'!HT298="!AMBIG","!AMBIG",IF(COUNTIF('Calculations'!$HE$13:$HE$512,"="&amp;SUBSTITUTE(SUBSTITUTE(SUBSTITUTE('Calculations'!HT298,"~","~~"),"*","~*"),"?","~?"))&gt;1,"!AMBIG",IFERROR(INDEX('Calculations'!$HF$13:$HF$512,MATCH('Calculations'!HT298,'Calculations'!$HE$13:$HE$512,0)),""))))</x:f>
      </x:c>
      <x:c r="HV298" t="str">
        <x:f>IF('Calculations'!HU298="","",IF('Calculations'!HU298="!AMBIG","!AMBIG",IF(COUNTIF('Calculations'!$HE$13:$HE$512,"="&amp;SUBSTITUTE(SUBSTITUTE(SUBSTITUTE('Calculations'!HU298,"~","~~"),"*","~*"),"?","~?"))&gt;1,"!AMBIG",IFERROR(INDEX('Calculations'!$HF$13:$HF$512,MATCH('Calculations'!HU298,'Calculations'!$HE$13:$HE$512,0)),""))))</x:f>
      </x:c>
      <x:c r="HW298" t="str">
        <x:f>IF('Calculations'!HV298="","",IF('Calculations'!HV298="!AMBIG","!AMBIG",IF(COUNTIF('Calculations'!$HE$13:$HE$512,"="&amp;SUBSTITUTE(SUBSTITUTE(SUBSTITUTE('Calculations'!HV298,"~","~~"),"*","~*"),"?","~?"))&gt;1,"!AMBIG",IFERROR(INDEX('Calculations'!$HF$13:$HF$512,MATCH('Calculations'!HV298,'Calculations'!$HE$13:$HE$512,0)),""))))</x:f>
      </x:c>
      <x:c r="HX298" t="str">
        <x:f>IF('Calculations'!HW298="","",IF('Calculations'!HW298="!AMBIG","!AMBIG",IF(COUNTIF('Calculations'!$HE$13:$HE$512,"="&amp;SUBSTITUTE(SUBSTITUTE(SUBSTITUTE('Calculations'!HW298,"~","~~"),"*","~*"),"?","~?"))&gt;1,"!AMBIG",IFERROR(INDEX('Calculations'!$HF$13:$HF$512,MATCH('Calculations'!HW298,'Calculations'!$HE$13:$HE$512,0)),""))))</x:f>
      </x:c>
      <x:c r="HY298" t="str">
        <x:f>IF('Calculations'!HX298="","",IF('Calculations'!HX298="!AMBIG","!AMBIG",IF(COUNTIF('Calculations'!$HE$13:$HE$512,"="&amp;SUBSTITUTE(SUBSTITUTE(SUBSTITUTE('Calculations'!HX298,"~","~~"),"*","~*"),"?","~?"))&gt;1,"!AMBIG",IFERROR(INDEX('Calculations'!$HF$13:$HF$512,MATCH('Calculations'!HX298,'Calculations'!$HE$13:$HE$512,0)),""))))</x:f>
      </x:c>
      <x:c r="HZ298" t="str">
        <x:f>IF('Calculations'!HY298="","",IF('Calculations'!HY298="!AMBIG","!AMBIG",IF(COUNTIF('Calculations'!$HE$13:$HE$512,"="&amp;SUBSTITUTE(SUBSTITUTE(SUBSTITUTE('Calculations'!HY298,"~","~~"),"*","~*"),"?","~?"))&gt;1,"!AMBIG",IFERROR(INDEX('Calculations'!$HF$13:$HF$512,MATCH('Calculations'!HY298,'Calculations'!$HE$13:$HE$512,0)),""))))</x:f>
      </x:c>
      <x:c r="IA298" t="str">
        <x:f>IF('Calculations'!HZ298="","",IF('Calculations'!HZ298="!AMBIG","!AMBIG",IF(COUNTIF('Calculations'!$HE$13:$HE$512,"="&amp;SUBSTITUTE(SUBSTITUTE(SUBSTITUTE('Calculations'!HZ298,"~","~~"),"*","~*"),"?","~?"))&gt;1,"!AMBIG",IFERROR(INDEX('Calculations'!$HF$13:$HF$512,MATCH('Calculations'!HZ298,'Calculations'!$HE$13:$HE$512,0)),""))))</x:f>
      </x:c>
      <x:c r="IB298" t="str">
        <x:f>IF('Calculations'!IA298="","",IF('Calculations'!IA298="!AMBIG","!AMBIG",IF(COUNTIF('Calculations'!$HE$13:$HE$512,"="&amp;SUBSTITUTE(SUBSTITUTE(SUBSTITUTE('Calculations'!IA298,"~","~~"),"*","~*"),"?","~?"))&gt;1,"!AMBIG",IFERROR(INDEX('Calculations'!$HF$13:$HF$512,MATCH('Calculations'!IA298,'Calculations'!$HE$13:$HE$512,0)),""))))</x:f>
      </x:c>
      <x:c r="IC298" t="str">
        <x:f>IF('Calculations'!IB298="","",IF('Calculations'!IB298="!AMBIG","!AMBIG",IF(COUNTIF('Calculations'!$HE$13:$HE$512,"="&amp;SUBSTITUTE(SUBSTITUTE(SUBSTITUTE('Calculations'!IB298,"~","~~"),"*","~*"),"?","~?"))&gt;1,"!AMBIG",IFERROR(INDEX('Calculations'!$HF$13:$HF$512,MATCH('Calculations'!IB298,'Calculations'!$HE$13:$HE$512,0)),""))))</x:f>
      </x:c>
      <x:c r="ID298" t="str">
        <x:f>IF('Calculations'!IC298="","",IF('Calculations'!IC298="!AMBIG","!AMBIG",IF(COUNTIF('Calculations'!$HE$13:$HE$512,"="&amp;SUBSTITUTE(SUBSTITUTE(SUBSTITUTE('Calculations'!IC298,"~","~~"),"*","~*"),"?","~?"))&gt;1,"!AMBIG",IFERROR(INDEX('Calculations'!$HF$13:$HF$512,MATCH('Calculations'!IC298,'Calculations'!$HE$13:$HE$512,0)),""))))</x:f>
      </x:c>
      <x:c r="IE298" t="str">
        <x:f>IF('Calculations'!ID298="","",IF('Calculations'!ID298="!AMBIG","!AMBIG",IF(COUNTIF('Calculations'!$HE$13:$HE$512,"="&amp;SUBSTITUTE(SUBSTITUTE(SUBSTITUTE('Calculations'!ID298,"~","~~"),"*","~*"),"?","~?"))&gt;1,"!AMBIG",IFERROR(INDEX('Calculations'!$HF$13:$HF$512,MATCH('Calculations'!ID298,'Calculations'!$HE$13:$HE$512,0)),""))))</x:f>
      </x:c>
      <x:c r="IF298" t="str">
        <x:f>IF('Calculations'!IE298="","",IF('Calculations'!IE298="!AMBIG","!AMBIG",IF(COUNTIF('Calculations'!$HE$13:$HE$512,"="&amp;SUBSTITUTE(SUBSTITUTE(SUBSTITUTE('Calculations'!IE298,"~","~~"),"*","~*"),"?","~?"))&gt;1,"!AMBIG",IFERROR(INDEX('Calculations'!$HF$13:$HF$512,MATCH('Calculations'!IE298,'Calculations'!$HE$13:$HE$512,0)),""))))</x:f>
      </x:c>
      <x:c r="IG298" t="str">
        <x:f>IF('Calculations'!IF298="","",IF('Calculations'!IF298="!AMBIG","!AMBIG",IF(COUNTIF('Calculations'!$HE$13:$HE$512,"="&amp;SUBSTITUTE(SUBSTITUTE(SUBSTITUTE('Calculations'!IF298,"~","~~"),"*","~*"),"?","~?"))&gt;1,"!AMBIG",IFERROR(INDEX('Calculations'!$HF$13:$HF$512,MATCH('Calculations'!IF298,'Calculations'!$HE$13:$HE$512,0)),""))))</x:f>
      </x:c>
      <x:c r="IH298" t="str">
        <x:f>IF('Calculations'!IG298="","",IF('Calculations'!IG298="!AMBIG","!AMBIG",IF(COUNTIF('Calculations'!$HE$13:$HE$512,"="&amp;SUBSTITUTE(SUBSTITUTE(SUBSTITUTE('Calculations'!IG298,"~","~~"),"*","~*"),"?","~?"))&gt;1,"!AMBIG",IFERROR(INDEX('Calculations'!$HF$13:$HF$512,MATCH('Calculations'!IG298,'Calculations'!$HE$13:$HE$512,0)),""))))</x:f>
      </x:c>
      <x:c r="II298" t="str">
        <x:f>IF('Calculations'!IH298="","",IF('Calculations'!IH298="!AMBIG","!AMBIG",IF(COUNTIF('Calculations'!$HE$13:$HE$512,"="&amp;SUBSTITUTE(SUBSTITUTE(SUBSTITUTE('Calculations'!IH298,"~","~~"),"*","~*"),"?","~?"))&gt;1,"!AMBIG",IFERROR(INDEX('Calculations'!$HF$13:$HF$512,MATCH('Calculations'!IH298,'Calculations'!$HE$13:$HE$512,0)),""))))</x:f>
      </x:c>
      <x:c r="IJ298" t="str">
        <x:f>IF('Calculations'!EM298="","",IF('Calculations'!$EF$2="All",'Calculations'!HM298,IF('Calculations'!HL298=1,"",IFERROR(IF(MATCH('Calculations'!$EF$2,'Calculations'!HO298:II298,0)=1,'Calculations'!HE298,INDEX('Calculations'!HO298:II298,1,MATCH('Calculations'!$EF$2,'Calculations'!HO298:II298,0)-1)),""))))</x:f>
      </x:c>
      <x:c r="IK298" t="n">
        <x:f>IF(AND('Calculations'!EM298&lt;&gt;"",'Calculations'!$EF$2&lt;&gt;"All",'Calculations'!HF298='Calculations'!$EF$2,'Calculations'!HL298=0,'Calculations'!JD298&gt;0),MAX('Calculations'!$IK$12:IK297)+1,0)</x:f>
        <x:v>0</x:v>
      </x:c>
      <x:c r="JA298" t="n">
        <x:f>IF(OR(IFERROR(INDIRECT("'WCM Calibration Final'!$A$298")&lt;&gt;"",FALSE),IFERROR(INDIRECT("'WCM Calibration Final'!$B$298")&lt;&gt;"",FALSE),IFERROR(INDIRECT("'WCM Calibration Final'!$C$298")&lt;&gt;"",FALSE)),298,0)</x:f>
        <x:v>0</x:v>
      </x:c>
      <x:c r="JB298" t="n">
        <x:f>'Calculations'!JB297+IF('Calculations'!JA298&gt;0,1,0)</x:f>
        <x:v>0</x:v>
      </x:c>
      <x:c r="JC298" t="n">
        <x:f>IF(OR('Calculations'!HF298="",'Calculations'!HF298="!AMBIG"),0,IF('Dashboard'!$B$7="All",1,COUNTIFS('Calculations'!$HO$13:$HO$512,"="&amp;SUBSTITUTE(SUBSTITUTE(SUBSTITUTE('Calculations'!HF298,"~","~~"),"*","~*"),"?","~?"),'Calculations'!$HN$13:$HN$512,"="&amp;SUBSTITUTE(SUBSTITUTE(SUBSTITUTE('Dashboard'!$B$7,"~","~~"),"*","~*"),"?","~?"))+COUNTIFS('Calculations'!$HP$13:$HP$512,"="&amp;SUBSTITUTE(SUBSTITUTE(SUBSTITUTE('Calculations'!HF298,"~","~~"),"*","~*"),"?","~?"),'Calculations'!$HN$13:$HN$512,"="&amp;SUBSTITUTE(SUBSTITUTE(SUBSTITUTE('Dashboard'!$B$7,"~","~~"),"*","~*"),"?","~?"))+COUNTIFS('Calculations'!$HQ$13:$HQ$512,"="&amp;SUBSTITUTE(SUBSTITUTE(SUBSTITUTE('Calculations'!HF298,"~","~~"),"*","~*"),"?","~?"),'Calculations'!$HN$13:$HN$512,"="&amp;SUBSTITUTE(SUBSTITUTE(SUBSTITUTE('Dashboard'!$B$7,"~","~~"),"*","~*"),"?","~?"))+COUNTIFS('Calculations'!$HR$13:$HR$512,"="&amp;SUBSTITUTE(SUBSTITUTE(SUBSTITUTE('Calculations'!HF298,"~","~~"),"*","~*"),"?","~?"),'Calculations'!$HN$13:$HN$512,"="&amp;SUBSTITUTE(SUBSTITUTE(SUBSTITUTE('Dashboard'!$B$7,"~","~~"),"*","~*"),"?","~?"))+COUNTIFS('Calculations'!$HS$13:$HS$512,"="&amp;SUBSTITUTE(SUBSTITUTE(SUBSTITUTE('Calculations'!HF298,"~","~~"),"*","~*"),"?","~?"),'Calculations'!$HN$13:$HN$512,"="&amp;SUBSTITUTE(SUBSTITUTE(SUBSTITUTE('Dashboard'!$B$7,"~","~~"),"*","~*"),"?","~?"))+COUNTIFS('Calculations'!$HT$13:$HT$512,"="&amp;SUBSTITUTE(SUBSTITUTE(SUBSTITUTE('Calculations'!HF298,"~","~~"),"*","~*"),"?","~?"),'Calculations'!$HN$13:$HN$512,"="&amp;SUBSTITUTE(SUBSTITUTE(SUBSTITUTE('Dashboard'!$B$7,"~","~~"),"*","~*"),"?","~?"))+COUNTIFS('Calculations'!$HU$13:$HU$512,"="&amp;SUBSTITUTE(SUBSTITUTE(SUBSTITUTE('Calculations'!HF298,"~","~~"),"*","~*"),"?","~?"),'Calculations'!$HN$13:$HN$512,"="&amp;SUBSTITUTE(SUBSTITUTE(SUBSTITUTE('Dashboard'!$B$7,"~","~~"),"*","~*"),"?","~?"))+COUNTIFS('Calculations'!$HV$13:$HV$512,"="&amp;SUBSTITUTE(SUBSTITUTE(SUBSTITUTE('Calculations'!HF298,"~","~~"),"*","~*"),"?","~?"),'Calculations'!$HN$13:$HN$512,"="&amp;SUBSTITUTE(SUBSTITUTE(SUBSTITUTE('Dashboard'!$B$7,"~","~~"),"*","~*"),"?","~?"))+COUNTIFS('Calculations'!$HW$13:$HW$512,"="&amp;SUBSTITUTE(SUBSTITUTE(SUBSTITUTE('Calculations'!HF298,"~","~~"),"*","~*"),"?","~?"),'Calculations'!$HN$13:$HN$512,"="&amp;SUBSTITUTE(SUBSTITUTE(SUBSTITUTE('Dashboard'!$B$7,"~","~~"),"*","~*"),"?","~?"))+COUNTIFS('Calculations'!$HX$13:$HX$512,"="&amp;SUBSTITUTE(SUBSTITUTE(SUBSTITUTE('Calculations'!HF298,"~","~~"),"*","~*"),"?","~?"),'Calculations'!$HN$13:$HN$512,"="&amp;SUBSTITUTE(SUBSTITUTE(SUBSTITUTE('Dashboard'!$B$7,"~","~~"),"*","~*"),"?","~?"))+COUNTIFS('Calculations'!$HY$13:$HY$512,"="&amp;SUBSTITUTE(SUBSTITUTE(SUBSTITUTE('Calculations'!HF298,"~","~~"),"*","~*"),"?","~?"),'Calculations'!$HN$13:$HN$512,"="&amp;SUBSTITUTE(SUBSTITUTE(SUBSTITUTE('Dashboard'!$B$7,"~","~~"),"*","~*"),"?","~?"))+COUNTIFS('Calculations'!$HZ$13:$HZ$512,"="&amp;SUBSTITUTE(SUBSTITUTE(SUBSTITUTE('Calculations'!HF298,"~","~~"),"*","~*"),"?","~?"),'Calculations'!$HN$13:$HN$512,"="&amp;SUBSTITUTE(SUBSTITUTE(SUBSTITUTE('Dashboard'!$B$7,"~","~~"),"*","~*"),"?","~?"))+COUNTIFS('Calculations'!$IA$13:$IA$512,"="&amp;SUBSTITUTE(SUBSTITUTE(SUBSTITUTE('Calculations'!HF298,"~","~~"),"*","~*"),"?","~?"),'Calculations'!$HN$13:$HN$512,"="&amp;SUBSTITUTE(SUBSTITUTE(SUBSTITUTE('Dashboard'!$B$7,"~","~~"),"*","~*"),"?","~?"))+COUNTIFS('Calculations'!$IB$13:$IB$512,"="&amp;SUBSTITUTE(SUBSTITUTE(SUBSTITUTE('Calculations'!HF298,"~","~~"),"*","~*"),"?","~?"),'Calculations'!$HN$13:$HN$512,"="&amp;SUBSTITUTE(SUBSTITUTE(SUBSTITUTE('Dashboard'!$B$7,"~","~~"),"*","~*"),"?","~?"))+COUNTIFS('Calculations'!$IC$13:$IC$512,"="&amp;SUBSTITUTE(SUBSTITUTE(SUBSTITUTE('Calculations'!HF298,"~","~~"),"*","~*"),"?","~?"),'Calculations'!$HN$13:$HN$512,"="&amp;SUBSTITUTE(SUBSTITUTE(SUBSTITUTE('Dashboard'!$B$7,"~","~~"),"*","~*"),"?","~?"))+COUNTIFS('Calculations'!$ID$13:$ID$512,"="&amp;SUBSTITUTE(SUBSTITUTE(SUBSTITUTE('Calculations'!HF298,"~","~~"),"*","~*"),"?","~?"),'Calculations'!$HN$13:$HN$512,"="&amp;SUBSTITUTE(SUBSTITUTE(SUBSTITUTE('Dashboard'!$B$7,"~","~~"),"*","~*"),"?","~?"))+COUNTIFS('Calculations'!$IE$13:$IE$512,"="&amp;SUBSTITUTE(SUBSTITUTE(SUBSTITUTE('Calculations'!HF298,"~","~~"),"*","~*"),"?","~?"),'Calculations'!$HN$13:$HN$512,"="&amp;SUBSTITUTE(SUBSTITUTE(SUBSTITUTE('Dashboard'!$B$7,"~","~~"),"*","~*"),"?","~?"))+COUNTIFS('Calculations'!$IF$13:$IF$512,"="&amp;SUBSTITUTE(SUBSTITUTE(SUBSTITUTE('Calculations'!HF298,"~","~~"),"*","~*"),"?","~?"),'Calculations'!$HN$13:$HN$512,"="&amp;SUBSTITUTE(SUBSTITUTE(SUBSTITUTE('Dashboard'!$B$7,"~","~~"),"*","~*"),"?","~?"))+COUNTIFS('Calculations'!$IG$13:$IG$512,"="&amp;SUBSTITUTE(SUBSTITUTE(SUBSTITUTE('Calculations'!HF298,"~","~~"),"*","~*"),"?","~?"),'Calculations'!$HN$13:$HN$512,"="&amp;SUBSTITUTE(SUBSTITUTE(SUBSTITUTE('Dashboard'!$B$7,"~","~~"),"*","~*"),"?","~?"))+COUNTIFS('Calculations'!$IH$13:$IH$512,"="&amp;SUBSTITUTE(SUBSTITUTE(SUBSTITUTE('Calculations'!HF298,"~","~~"),"*","~*"),"?","~?"),'Calculations'!$HN$13:$HN$512,"="&amp;SUBSTITUTE(SUBSTITUTE(SUBSTITUTE('Dashboard'!$B$7,"~","~~"),"*","~*"),"?","~?"))))</x:f>
        <x:v>0</x:v>
      </x:c>
      <x:c r="JD298" t="n">
        <x:f>IF('Calculations'!EM298="",0,IF('Dashboard'!$B$7="All",1,IF('Calculations'!HN298='Dashboard'!$B$7,1,0)+IFERROR(INDEX('Calculations'!$JC$13:$JC$512,MATCH('Calculations'!HE298,'Calculations'!$HF$13:$HF$512,0)),0)))</x:f>
        <x:v>0</x:v>
      </x:c>
      <x:c r="JE298" t="n">
        <x:f>IF(AND('Calculations'!EM298&lt;&gt;"",'Calculations'!$JJ$2&lt;&gt;"All",'Calculations'!$JJ$2&lt;&gt;"",'Calculations'!HF298='Calculations'!$JJ$2,'Calculations'!HL298=0,'Calculations'!JD298&gt;0),MAX('Calculations'!$JE$12:JE297)+1,0)</x:f>
        <x:v>0</x:v>
      </x:c>
      <x:c r="JF298" t="str">
        <x:f>IF('Calculations'!EM298="","",IFERROR(IF(INDEX(INDIRECT("'WCM Calibration Final'!$G$1:$G$2000"),'Calculations'!$EM298)="","",TRIM(INDEX(INDIRECT("'WCM Calibration Final'!$G$1:$G$2000"),'Calculations'!$EM298)&amp;"")),""))</x:f>
      </x:c>
      <x:c r="JQ298" t="n">
        <x:f>IF(OR('Calculations'!BM298=0,NOT('Calculations'!$AG$2),'Calculations'!$AG$8&gt;0),0,IF(OR('Dashboard'!$B$7="All",'Calculations'!HN298='Dashboard'!$B$7),IF('Calculations'!$JJ$2="All",1,IF(AND('Calculations'!HF298='Calculations'!$JJ$2,'Calculations'!HL298=0),1,0)),0))</x:f>
        <x:v>0</x:v>
      </x:c>
    </x:row>
    <x:row r="299">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t="n">
        <x:f>IF('Calculations'!$EM299="",0,IF(OR(IFERROR(INDEX(INDIRECT("'WCM Calibration Final'!$A$1:$A$2000"),'Calculations'!$EM299)&lt;&gt;"",FALSE),IFERROR(INDEX(INDIRECT("'WCM Calibration Final'!$B$1:$B$2000"),'Calculations'!$EM299)&lt;&gt;"",FALSE),IFERROR(INDEX(INDIRECT("'WCM Calibration Final'!$C$1:$C$2000"),'Calculations'!$EM299)&lt;&gt;"",FALSE)),1,0))</x:f>
        <x:v>0</x:v>
      </x:c>
      <x:c r="BN299" s="4" t="n">
        <x:f>IF(AND('Calculations'!BM299=1,'Calculations'!$AG$2,'Calculations'!$EN299=1),1,0)</x:f>
        <x:v>0</x:v>
      </x:c>
      <x:c r="BO299" s="4" t="str">
        <x:f>IF('Calculations'!BM299=0,"",IFERROR(IF(AND(VALUE(INDEX(INDIRECT("'WCM Calibration Final'!$K$1:$K$2000"),'Calculations'!$EM299))&gt;=1,VALUE(INDEX(INDIRECT("'WCM Calibration Final'!$K$1:$K$2000"),'Calculations'!$EM299))&lt;=4,MOD(VALUE(INDEX(INDIRECT("'WCM Calibration Final'!$K$1:$K$2000"),'Calculations'!$EM299)),1)=0),VALUE(INDEX(INDIRECT("'WCM Calibration Final'!$K$1:$K$2000"),'Calculations'!$EM299)),""),""))</x:f>
      </x:c>
      <x:c r="BP299" s="4" t="str">
        <x:f>IF('Calculations'!BM299=0,"",IFERROR(IF(AND(VALUE(INDEX(INDIRECT("'WCM Calibration Final'!$L$1:$L$2000"),'Calculations'!$EM299))&gt;=1,VALUE(INDEX(INDIRECT("'WCM Calibration Final'!$L$1:$L$2000"),'Calculations'!$EM299))&lt;=4,MOD(VALUE(INDEX(INDIRECT("'WCM Calibration Final'!$L$1:$L$2000"),'Calculations'!$EM299)),1)=0),VALUE(INDEX(INDIRECT("'WCM Calibration Final'!$L$1:$L$2000"),'Calculations'!$EM299)),""),""))</x:f>
      </x:c>
      <x:c r="BQ299" s="4"/>
      <x:c r="BR299" s="4"/>
      <x:c r="BS299" s="4"/>
      <x:c r="BT299" s="4" t="n">
        <x:f>IF(AND('Calculations'!BM299=1,ISNUMBER('Calculations'!BO299),ISNUMBER('Calculations'!BP299)),1,0)</x:f>
        <x:v>0</x:v>
      </x:c>
      <x:c r="BU299" s="4" t="str">
        <x:f>IF('Calculations'!BM299=0,"",'Calculations'!$EO299)</x:f>
      </x:c>
      <x:c r="BV299" s="4" t="str">
        <x:f>IF('Calculations'!BM299=0,"",IFERROR(IF(OR(INDEX(INDIRECT("'WCM Calibration Final'!$H$1:$H$2000"),'Calculations'!$EM299)="MANAGING DIRECTOR",INDEX(INDIRECT("'WCM Calibration Final'!$H$1:$H$2000"),'Calculations'!$EM299)="DIRECTOR",INDEX(INDIRECT("'WCM Calibration Final'!$H$1:$H$2000"),'Calculations'!$EM299)="SENIOR VICE PRESIDENT",INDEX(INDIRECT("'WCM Calibration Final'!$H$1:$H$2000"),'Calculations'!$EM299)="VICE PRESIDENT",INDEX(INDIRECT("'WCM Calibration Final'!$H$1:$H$2000"),'Calculations'!$EM299)="ASSISTANT VICE PRESIDENT",INDEX(INDIRECT("'WCM Calibration Final'!$H$1:$H$2000"),'Calculations'!$EM299)="OFFICER"),UPPER(INDEX(INDIRECT("'WCM Calibration Final'!$H$1:$H$2000"),'Calculations'!$EM299)),"Other"),"Other"))</x:f>
      </x:c>
      <x:c r="BW299" s="4"/>
      <x:c r="BX299" s="4"/>
      <x:c r="BY299" s="4" t="n">
        <x:f>IF(AND('Calculations'!BM299=1,'Calculations'!BU299&lt;&gt;"",COUNTIF('Calculations'!$BU$12:BU299,'Calculations'!BU299)=1),MAX('Calculations'!$BY$11:BY298)+1,0)</x:f>
        <x:v>0</x:v>
      </x:c>
      <x:c r="BZ299" s="4" t="str">
        <x:f>IF('Dashboard'!$E$67="What",'Calculations'!BO299,'Calculations'!BP299)</x:f>
      </x:c>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t="str">
        <x:f>IF(288&gt;MAX('Calculations'!$HI$13:$HI$512),"",INDEX('Calculations'!$HN$13:$HN$512,MATCH(288,'Calculations'!$HI$13:$HI$512,0)))</x:f>
      </x:c>
      <x:c r="DB299" s="4" t="str">
        <x:f>IF(288&gt;MAX('Calculations'!$HH$13:$HH$512),"",INDEX('Calculations'!$HJ$13:$HJ$512,MATCH(288,'Calculations'!$HH$13:$HH$512,0)))</x:f>
      </x:c>
      <x:c r="DC299" s="4" t="str">
        <x:f>IF(ROW()-11&gt;MAX('Calculations'!$BY$13:$BY$512),"",INDEX('Calculations'!$BU$13:$BU$512,MATCH(ROW()-11,'Calculations'!$BY$13:$BY$512,0)))</x:f>
      </x:c>
      <x:c r="DD299" s="4" t="str">
        <x:f>IF(288&gt;MAX('Calculations'!$IK$13:$IK$512),"",INDEX('Calculations'!$HK$13:$HK$512,MATCH(288,'Calculations'!$IK$13:$IK$512,0)))</x:f>
      </x:c>
      <x:c r="DE299" s="4" t="str">
        <x:f>'Calculations'!DC299</x:f>
      </x:c>
      <x:c r="DF299" s="4" t="str">
        <x:f>IF('Calculations'!DE299="","",COUNTIFS('Calculations'!$BN$13:$BN$512,1,'Calculations'!$BU$13:$BU$512,'Calculations'!DE299))</x:f>
      </x:c>
      <x:c r="DG299" s="4" t="str">
        <x:f>IF('Calculations'!DE299="","",COUNTIFS('Calculations'!$BN$13:$BN$512,1,'Calculations'!$BU$13:$BU$512,'Calculations'!DE299,'Calculations'!$BT$13:$BT$512,1))</x:f>
      </x:c>
      <x:c r="DH299" s="4" t="str">
        <x:f>IF('Calculations'!DE299="","",'Calculations'!DF299-'Calculations'!DG299)</x:f>
      </x:c>
      <x:c r="DI299" s="4" t="str">
        <x:f>IF(OR('Calculations'!DE299="",'Calculations'!DF299=0),"",'Calculations'!DG299/'Calculations'!DF299)</x:f>
      </x:c>
      <x:c r="DJ299" s="4" t="str">
        <x:f>IF('Calculations'!DE299="","",COUNTIFS('Calculations'!$BN$13:$BN$512,1,'Calculations'!$BU$13:$BU$512,'Calculations'!DE299,'Calculations'!$BT$13:$BT$512,1,'Calculations'!$EE$13:$EE$512,"High"))</x:f>
      </x:c>
      <x:c r="DK299" s="4" t="str">
        <x:f>IF('Calculations'!DE299="","",COUNTIFS('Calculations'!$BN$13:$BN$512,1,'Calculations'!$BU$13:$BU$512,'Calculations'!DE299,'Calculations'!$BT$13:$BT$512,1,'Calculations'!$EE$13:$EE$512,"Strong"))</x:f>
      </x:c>
      <x:c r="DL299" s="4" t="str">
        <x:f>IF('Calculations'!DE299="","",COUNTIFS('Calculations'!$BN$13:$BN$512,1,'Calculations'!$BU$13:$BU$512,'Calculations'!DE299,'Calculations'!$BT$13:$BT$512,1,'Calculations'!$EE$13:$EE$512,"Solid"))</x:f>
      </x:c>
      <x:c r="DM299" s="4" t="str">
        <x:f>IF('Calculations'!DE299="","",COUNTIFS('Calculations'!$BN$13:$BN$512,1,'Calculations'!$BU$13:$BU$512,'Calculations'!DE299,'Calculations'!$BT$13:$BT$512,1,'Calculations'!$EE$13:$EE$512,"Low"))</x:f>
      </x:c>
      <x:c r="DN299" s="4" t="str">
        <x:f>IF('Calculations'!DE299="","",COUNTIFS('Calculations'!$BN$13:$BN$512,1,'Calculations'!$BU$13:$BU$512,'Calculations'!DE299,'Calculations'!$EP$13:$EP$512,1))</x:f>
      </x:c>
      <x:c r="DO299" s="4" t="str">
        <x:f>IF(OR('Calculations'!DE299="",'Calculations'!DG299=0),"",('Calculations'!DJ299+'Calculations'!DK299)/'Calculations'!DG299)</x:f>
      </x:c>
      <x:c r="DP299" s="4" t="n">
        <x:f>IF(AND('Calculations'!DE299&lt;&gt;"",'Calculations'!DF299&gt;0),COUNTIF('Calculations'!$DF$12:DF299,"&gt;0"),0)</x:f>
        <x:v>0</x:v>
      </x:c>
      <x:c r="DQ299" s="4" t="str">
        <x:f>IF(288&gt;MAX('Calculations'!$HH$13:$HH$512),"",INDEX('Calculations'!$HF$13:$HF$512,MATCH(288,'Calculations'!$HH$13:$HH$512,0)))</x:f>
      </x:c>
      <x:c r="DR299" s="4" t="str">
        <x:f>IF(288&gt;MAX('Calculations'!$IK$13:$IK$512),"",INDEX('Calculations'!$HE$13:$HE$512,MATCH(288,'Calculations'!$IK$13:$IK$512,0)))</x:f>
      </x:c>
      <x:c r="DS299" s="4"/>
      <x:c r="DT299" s="4"/>
      <x:c r="DU299" s="4"/>
      <x:c r="DV299" s="4"/>
      <x:c r="DW299" s="4"/>
      <x:c r="DX299" s="4"/>
      <x:c r="DY299" s="4"/>
      <x:c r="DZ299" s="4"/>
      <x:c r="EA299" s="4"/>
      <x:c r="EB299" s="4"/>
      <x:c r="EC299" s="4"/>
      <x:c r="ED299" s="4"/>
      <x:c r="EE299" s="4" t="str">
        <x:f>IF('Calculations'!BT299=0,"Not Rated",IF(OR('Calculations'!BO299&gt;=4,'Calculations'!BP299&gt;=4),"Low",IF('Calculations'!BO299+'Calculations'!BP299&lt;=3,"High",IF('Calculations'!BO299+'Calculations'!BP299&lt;=4,"Strong","Solid"))))</x:f>
        <x:v>Not Rated</x:v>
      </x:c>
      <x:c r="EF299" s="4"/>
      <x:c r="EG299" s="4"/>
      <x:c r="EH299" s="4"/>
      <x:c r="EI299" s="4"/>
      <x:c r="EJ299" s="4"/>
      <x:c r="EK299" s="4"/>
      <x:c r="EL299" s="4"/>
      <x:c r="EM299" s="4" t="str">
        <x:f>IF(287&gt;'Calculations'!$JB$2000,"",INDEX('Calculations'!$JA$12:$JA$2000,MATCH(287,'Calculations'!$JB$12:$JB$2000,0)))</x:f>
      </x:c>
      <x:c r="EN299" s="4" t="n">
        <x:f>IF(OR('Calculations'!EM299="",'Calculations'!$AG$8&gt;0,AND('Calculations'!$EF$2&lt;&gt;"All",'Calculations'!HE299='Calculations'!$EF$2),AND('Calculations'!$EF$3&lt;&gt;"All",'Calculations'!HE299='Calculations'!$EF$3)),0,IF(OR('Dashboard'!$B$7="All",'Calculations'!HN299='Dashboard'!$B$7),IF('Calculations'!$EF$2="All",1,IF('Calculations'!HL299&gt;0,0,IF(COUNTIF('Calculations'!HO299:II299,"="&amp;SUBSTITUTE(SUBSTITUTE(SUBSTITUTE('Calculations'!$EF$2,"~","~~"),"*","~*"),"?","~?"))=0,0,IF('Calculations'!$EF$3="All",1,IF(COUNTIF('Calculations'!HO299:II299,"="&amp;SUBSTITUTE(SUBSTITUTE(SUBSTITUTE('Calculations'!$EF$3,"~","~~"),"*","~*"),"?","~?"))&gt;0,1,0))))),0))</x:f>
        <x:v>0</x:v>
      </x:c>
      <x:c r="EO299" s="4" t="str">
        <x:f>IF('Calculations'!IJ299="","",IF('Calculations'!IJ299="!UNRESOLVED","Unresolved hierarchy",IFERROR(INDEX('Calculations'!$HK$13:$HK$512,MATCH('Calculations'!IJ299,'Calculations'!$HE$13:$HE$512,0)),IFERROR(INDEX('Calculations'!$HJ$13:$HJ$512,MATCH('Calculations'!IJ299,'Calculations'!$HF$13:$HF$512,0)),'Calculations'!IJ299))))</x:f>
      </x:c>
      <x:c r="EP299" s="4" t="n">
        <x:f>IF(AND('Calculations'!EM299&lt;&gt;"",'Calculations'!HF299='Calculations'!IJ299),1,0)</x:f>
        <x:v>0</x:v>
      </x:c>
      <x:c r="EQ299" s="4"/>
      <x:c r="ER299" s="4"/>
      <x:c r="ES299" s="4"/>
      <x:c r="ET299" s="4"/>
      <x:c r="EU299" s="4"/>
      <x:c r="EV299" s="4"/>
      <x:c r="EW299" s="4"/>
      <x:c r="EX299" s="4"/>
      <x:c r="EY299" s="4"/>
      <x:c r="EZ299" s="4"/>
      <x:c r="FA299" s="4"/>
      <x:c r="FB299" s="4"/>
      <x:c r="FC299" s="4"/>
      <x:c r="FD299" s="4"/>
      <x:c r="FE299" s="4"/>
      <x:c r="FF299" s="4"/>
      <x:c r="FG299" s="4"/>
      <x:c r="FH299" s="4"/>
      <x:c r="FI299" s="4"/>
      <x:c r="FJ299" s="4"/>
      <x:c r="FK299" s="4"/>
      <x:c r="FL299" s="4"/>
      <x:c r="FM299" s="4"/>
      <x:c r="FN299" s="4"/>
      <x:c r="FO299" s="4"/>
      <x:c r="HE299" t="str">
        <x:f>IF('Calculations'!EM299="","",IF(IFERROR(IF(INDEX(INDIRECT("'WCM Calibration Final'!$A$1:$A$2000"),'Calculations'!$EM299)="","",TRIM(INDEX(INDIRECT("'WCM Calibration Final'!$A$1:$A$2000"),'Calculations'!$EM299)&amp;"")),"")&lt;&gt;"","G:"&amp;IFERROR(TEXT(1*INDEX(INDIRECT("'WCM Calibration Final'!$A$1:$A$2000"),'Calculations'!$EM299),"0"),UPPER(IFERROR(IF(INDEX(INDIRECT("'WCM Calibration Final'!$A$1:$A$2000"),'Calculations'!$EM299)="","",TRIM(INDEX(INDIRECT("'WCM Calibration Final'!$A$1:$A$2000"),'Calculations'!$EM299)&amp;"")),""))),IF(IFERROR(IF(INDEX(INDIRECT("'WCM Calibration Final'!$C$1:$C$2000"),'Calculations'!$EM299)="","",TRIM(INDEX(INDIRECT("'WCM Calibration Final'!$C$1:$C$2000"),'Calculations'!$EM299)&amp;"")),"")&lt;&gt;"","S:"&amp;UPPER(IFERROR(IF(INDEX(INDIRECT("'WCM Calibration Final'!$C$1:$C$2000"),'Calculations'!$EM299)="","",TRIM(INDEX(INDIRECT("'WCM Calibration Final'!$C$1:$C$2000"),'Calculations'!$EM299)&amp;"")),"")),"R:"&amp;'Calculations'!EM299)))</x:f>
      </x:c>
      <x:c r="HF299" t="str">
        <x:f>IF('Calculations'!EM299="","",IF(IFERROR(IF(INDEX(INDIRECT("'WCM Calibration Final'!$D$1:$D$2000"),'Calculations'!$EM299)="","",TRIM(INDEX(INDIRECT("'WCM Calibration Final'!$D$1:$D$2000"),'Calculations'!$EM299)&amp;"")),"")&lt;&gt;"","G:"&amp;IFERROR(TEXT(1*INDEX(INDIRECT("'WCM Calibration Final'!$D$1:$D$2000"),'Calculations'!$EM299),"0"),UPPER(IFERROR(IF(INDEX(INDIRECT("'WCM Calibration Final'!$D$1:$D$2000"),'Calculations'!$EM299)="","",TRIM(INDEX(INDIRECT("'WCM Calibration Final'!$D$1:$D$2000"),'Calculations'!$EM299)&amp;"")),""))),IF(IFERROR(IF(INDEX(INDIRECT("'WCM Calibration Final'!$E$1:$E$2000"),'Calculations'!$EM299)="","",TRIM(INDEX(INDIRECT("'WCM Calibration Final'!$E$1:$E$2000"),'Calculations'!$EM299)&amp;"")),"")="","",IF(COUNTIF('Calculations'!$HG$13:$HG$512,"="&amp;SUBSTITUTE(SUBSTITUTE(SUBSTITUTE(IFERROR(IF(INDEX(INDIRECT("'WCM Calibration Final'!$E$1:$E$2000"),'Calculations'!$EM299)="","",TRIM(INDEX(INDIRECT("'WCM Calibration Final'!$E$1:$E$2000"),'Calculations'!$EM299)&amp;"")),""),"~","~~"),"*","~*"),"?","~?"))=1,INDEX('Calculations'!$HE$13:$HE$512,MATCH(IFERROR(IF(INDEX(INDIRECT("'WCM Calibration Final'!$E$1:$E$2000"),'Calculations'!$EM299)="","",TRIM(INDEX(INDIRECT("'WCM Calibration Final'!$E$1:$E$2000"),'Calculations'!$EM299)&amp;"")),""),'Calculations'!$HG$13:$HG$512,0)),IF(COUNTIF('Calculations'!$HG$13:$HG$512,"="&amp;SUBSTITUTE(SUBSTITUTE(SUBSTITUTE(IFERROR(IF(INDEX(INDIRECT("'WCM Calibration Final'!$E$1:$E$2000"),'Calculations'!$EM299)="","",TRIM(INDEX(INDIRECT("'WCM Calibration Final'!$E$1:$E$2000"),'Calculations'!$EM299)&amp;"")),""),"~","~~"),"*","~*"),"?","~?"))&gt;1,"!AMBIG","X:"&amp;IFERROR(IF(INDEX(INDIRECT("'WCM Calibration Final'!$E$1:$E$2000"),'Calculations'!$EM299)="","",TRIM(INDEX(INDIRECT("'WCM Calibration Final'!$E$1:$E$2000"),'Calculations'!$EM299)&amp;"")),""))))))</x:f>
      </x:c>
      <x:c r="HG299" t="str">
        <x:f>IF('Calculations'!EM299="","",IFERROR(IF(INDEX(INDIRECT("'WCM Calibration Final'!$B$1:$B$2000"),'Calculations'!$EM299)="","",TRIM(INDEX(INDIRECT("'WCM Calibration Final'!$B$1:$B$2000"),'Calculations'!$EM299)&amp;"")),""))</x:f>
      </x:c>
      <x:c r="HH299" t="n">
        <x:f>IF(AND('Calculations'!JC299&gt;0,COUNTIF('Calculations'!$HF$12:HF299,"="&amp;SUBSTITUTE(SUBSTITUTE(SUBSTITUTE('Calculations'!HF299,"~","~~"),"*","~*"),"?","~?"))=1),MAX('Calculations'!$HH$12:HH298)+1,0)</x:f>
        <x:v>0</x:v>
      </x:c>
      <x:c r="HI299" t="n">
        <x:f>IF(AND('Calculations'!HN299&lt;&gt;"",COUNTIF('Calculations'!$HN$12:HN299,"="&amp;SUBSTITUTE(SUBSTITUTE(SUBSTITUTE('Calculations'!HN299,"~","~~"),"*","~*"),"?","~?"))=1),MAX('Calculations'!$HI$12:HI298)+1,0)</x:f>
        <x:v>0</x:v>
      </x:c>
      <x:c r="HJ299" t="str">
        <x:f>IF('Calculations'!HF299="","",IF(COUNTIF('Calculations'!$HE$13:$HE$512,"="&amp;SUBSTITUTE(SUBSTITUTE(SUBSTITUTE('Calculations'!HF299,"~","~~"),"*","~*"),"?","~?"))=1,INDEX('Calculations'!$HK$13:$HK$512,MATCH('Calculations'!HF299,'Calculations'!$HE$13:$HE$512,0)),IFERROR(IF(INDEX(INDIRECT("'WCM Calibration Final'!$E$1:$E$2000"),'Calculations'!$EM299)="","",TRIM(INDEX(INDIRECT("'WCM Calibration Final'!$E$1:$E$2000"),'Calculations'!$EM299)&amp;"")),"")&amp;" ["&amp;'Calculations'!HF299&amp;"]"))</x:f>
      </x:c>
      <x:c r="HK299" t="str">
        <x:f>IF('Calculations'!EM299="","",'Calculations'!HG299&amp;" ["&amp;'Calculations'!HE299&amp;"]")</x:f>
      </x:c>
      <x:c r="HL299" t="n">
        <x:f>IF('Calculations'!EM299="",0,IF(OR('Calculations'!II299&lt;&gt;"",COUNTIF('Calculations'!$HE$13:$HE$512,"="&amp;SUBSTITUTE(SUBSTITUTE(SUBSTITUTE('Calculations'!HE299,"~","~~"),"*","~*"),"?","~?"))&gt;1),1,0))</x:f>
        <x:v>0</x:v>
      </x:c>
      <x:c r="HM299" t="str">
        <x:f>IF('Calculations'!EM299="","",IF('Calculations'!HL299=1,"!UNRESOLVED",IF('Calculations'!IH299&lt;&gt;"",'Calculations'!IH299,IF('Calculations'!IG299&lt;&gt;"",'Calculations'!IG299,IF('Calculations'!IF299&lt;&gt;"",'Calculations'!IF299,IF('Calculations'!IE299&lt;&gt;"",'Calculations'!IE299,IF('Calculations'!ID299&lt;&gt;"",'Calculations'!ID299,IF('Calculations'!IC299&lt;&gt;"",'Calculations'!IC299,IF('Calculations'!IB299&lt;&gt;"",'Calculations'!IB299,IF('Calculations'!IA299&lt;&gt;"",'Calculations'!IA299,IF('Calculations'!HZ299&lt;&gt;"",'Calculations'!HZ299,IF('Calculations'!HY299&lt;&gt;"",'Calculations'!HY299,IF('Calculations'!HX299&lt;&gt;"",'Calculations'!HX299,IF('Calculations'!HW299&lt;&gt;"",'Calculations'!HW299,IF('Calculations'!HV299&lt;&gt;"",'Calculations'!HV299,IF('Calculations'!HU299&lt;&gt;"",'Calculations'!HU299,IF('Calculations'!HT299&lt;&gt;"",'Calculations'!HT299,IF('Calculations'!HS299&lt;&gt;"",'Calculations'!HS299,IF('Calculations'!HR299&lt;&gt;"",'Calculations'!HR299,IF('Calculations'!HQ299&lt;&gt;"",'Calculations'!HQ299,IF('Calculations'!HP299&lt;&gt;"",'Calculations'!HP299,IF('Calculations'!HO299&lt;&gt;"",'Calculations'!HO299,'Calculations'!HE299))))))))))))))))))))))</x:f>
      </x:c>
      <x:c r="HN299" t="str">
        <x:f>IF('Calculations'!EM299="","",IF(IFERROR(IF(INDEX(INDIRECT("'WCM Calibration Final'!$F$1:$F$2000"),'Calculations'!$EM299)="","",TRIM(INDEX(INDIRECT("'WCM Calibration Final'!$F$1:$F$2000"),'Calculations'!$EM299)&amp;"")),"")="","(Blank)",IFERROR(IF(INDEX(INDIRECT("'WCM Calibration Final'!$F$1:$F$2000"),'Calculations'!$EM299)="","",TRIM(INDEX(INDIRECT("'WCM Calibration Final'!$F$1:$F$2000"),'Calculations'!$EM299)&amp;"")),"")))</x:f>
      </x:c>
      <x:c r="HO299" t="str">
        <x:f>'Calculations'!HF299</x:f>
      </x:c>
      <x:c r="HP299" t="str">
        <x:f>IF('Calculations'!HO299="","",IF('Calculations'!HO299="!AMBIG","!AMBIG",IF(COUNTIF('Calculations'!$HE$13:$HE$512,"="&amp;SUBSTITUTE(SUBSTITUTE(SUBSTITUTE('Calculations'!HO299,"~","~~"),"*","~*"),"?","~?"))&gt;1,"!AMBIG",IFERROR(INDEX('Calculations'!$HF$13:$HF$512,MATCH('Calculations'!HO299,'Calculations'!$HE$13:$HE$512,0)),""))))</x:f>
      </x:c>
      <x:c r="HQ299" t="str">
        <x:f>IF('Calculations'!HP299="","",IF('Calculations'!HP299="!AMBIG","!AMBIG",IF(COUNTIF('Calculations'!$HE$13:$HE$512,"="&amp;SUBSTITUTE(SUBSTITUTE(SUBSTITUTE('Calculations'!HP299,"~","~~"),"*","~*"),"?","~?"))&gt;1,"!AMBIG",IFERROR(INDEX('Calculations'!$HF$13:$HF$512,MATCH('Calculations'!HP299,'Calculations'!$HE$13:$HE$512,0)),""))))</x:f>
      </x:c>
      <x:c r="HR299" t="str">
        <x:f>IF('Calculations'!HQ299="","",IF('Calculations'!HQ299="!AMBIG","!AMBIG",IF(COUNTIF('Calculations'!$HE$13:$HE$512,"="&amp;SUBSTITUTE(SUBSTITUTE(SUBSTITUTE('Calculations'!HQ299,"~","~~"),"*","~*"),"?","~?"))&gt;1,"!AMBIG",IFERROR(INDEX('Calculations'!$HF$13:$HF$512,MATCH('Calculations'!HQ299,'Calculations'!$HE$13:$HE$512,0)),""))))</x:f>
      </x:c>
      <x:c r="HS299" t="str">
        <x:f>IF('Calculations'!HR299="","",IF('Calculations'!HR299="!AMBIG","!AMBIG",IF(COUNTIF('Calculations'!$HE$13:$HE$512,"="&amp;SUBSTITUTE(SUBSTITUTE(SUBSTITUTE('Calculations'!HR299,"~","~~"),"*","~*"),"?","~?"))&gt;1,"!AMBIG",IFERROR(INDEX('Calculations'!$HF$13:$HF$512,MATCH('Calculations'!HR299,'Calculations'!$HE$13:$HE$512,0)),""))))</x:f>
      </x:c>
      <x:c r="HT299" t="str">
        <x:f>IF('Calculations'!HS299="","",IF('Calculations'!HS299="!AMBIG","!AMBIG",IF(COUNTIF('Calculations'!$HE$13:$HE$512,"="&amp;SUBSTITUTE(SUBSTITUTE(SUBSTITUTE('Calculations'!HS299,"~","~~"),"*","~*"),"?","~?"))&gt;1,"!AMBIG",IFERROR(INDEX('Calculations'!$HF$13:$HF$512,MATCH('Calculations'!HS299,'Calculations'!$HE$13:$HE$512,0)),""))))</x:f>
      </x:c>
      <x:c r="HU299" t="str">
        <x:f>IF('Calculations'!HT299="","",IF('Calculations'!HT299="!AMBIG","!AMBIG",IF(COUNTIF('Calculations'!$HE$13:$HE$512,"="&amp;SUBSTITUTE(SUBSTITUTE(SUBSTITUTE('Calculations'!HT299,"~","~~"),"*","~*"),"?","~?"))&gt;1,"!AMBIG",IFERROR(INDEX('Calculations'!$HF$13:$HF$512,MATCH('Calculations'!HT299,'Calculations'!$HE$13:$HE$512,0)),""))))</x:f>
      </x:c>
      <x:c r="HV299" t="str">
        <x:f>IF('Calculations'!HU299="","",IF('Calculations'!HU299="!AMBIG","!AMBIG",IF(COUNTIF('Calculations'!$HE$13:$HE$512,"="&amp;SUBSTITUTE(SUBSTITUTE(SUBSTITUTE('Calculations'!HU299,"~","~~"),"*","~*"),"?","~?"))&gt;1,"!AMBIG",IFERROR(INDEX('Calculations'!$HF$13:$HF$512,MATCH('Calculations'!HU299,'Calculations'!$HE$13:$HE$512,0)),""))))</x:f>
      </x:c>
      <x:c r="HW299" t="str">
        <x:f>IF('Calculations'!HV299="","",IF('Calculations'!HV299="!AMBIG","!AMBIG",IF(COUNTIF('Calculations'!$HE$13:$HE$512,"="&amp;SUBSTITUTE(SUBSTITUTE(SUBSTITUTE('Calculations'!HV299,"~","~~"),"*","~*"),"?","~?"))&gt;1,"!AMBIG",IFERROR(INDEX('Calculations'!$HF$13:$HF$512,MATCH('Calculations'!HV299,'Calculations'!$HE$13:$HE$512,0)),""))))</x:f>
      </x:c>
      <x:c r="HX299" t="str">
        <x:f>IF('Calculations'!HW299="","",IF('Calculations'!HW299="!AMBIG","!AMBIG",IF(COUNTIF('Calculations'!$HE$13:$HE$512,"="&amp;SUBSTITUTE(SUBSTITUTE(SUBSTITUTE('Calculations'!HW299,"~","~~"),"*","~*"),"?","~?"))&gt;1,"!AMBIG",IFERROR(INDEX('Calculations'!$HF$13:$HF$512,MATCH('Calculations'!HW299,'Calculations'!$HE$13:$HE$512,0)),""))))</x:f>
      </x:c>
      <x:c r="HY299" t="str">
        <x:f>IF('Calculations'!HX299="","",IF('Calculations'!HX299="!AMBIG","!AMBIG",IF(COUNTIF('Calculations'!$HE$13:$HE$512,"="&amp;SUBSTITUTE(SUBSTITUTE(SUBSTITUTE('Calculations'!HX299,"~","~~"),"*","~*"),"?","~?"))&gt;1,"!AMBIG",IFERROR(INDEX('Calculations'!$HF$13:$HF$512,MATCH('Calculations'!HX299,'Calculations'!$HE$13:$HE$512,0)),""))))</x:f>
      </x:c>
      <x:c r="HZ299" t="str">
        <x:f>IF('Calculations'!HY299="","",IF('Calculations'!HY299="!AMBIG","!AMBIG",IF(COUNTIF('Calculations'!$HE$13:$HE$512,"="&amp;SUBSTITUTE(SUBSTITUTE(SUBSTITUTE('Calculations'!HY299,"~","~~"),"*","~*"),"?","~?"))&gt;1,"!AMBIG",IFERROR(INDEX('Calculations'!$HF$13:$HF$512,MATCH('Calculations'!HY299,'Calculations'!$HE$13:$HE$512,0)),""))))</x:f>
      </x:c>
      <x:c r="IA299" t="str">
        <x:f>IF('Calculations'!HZ299="","",IF('Calculations'!HZ299="!AMBIG","!AMBIG",IF(COUNTIF('Calculations'!$HE$13:$HE$512,"="&amp;SUBSTITUTE(SUBSTITUTE(SUBSTITUTE('Calculations'!HZ299,"~","~~"),"*","~*"),"?","~?"))&gt;1,"!AMBIG",IFERROR(INDEX('Calculations'!$HF$13:$HF$512,MATCH('Calculations'!HZ299,'Calculations'!$HE$13:$HE$512,0)),""))))</x:f>
      </x:c>
      <x:c r="IB299" t="str">
        <x:f>IF('Calculations'!IA299="","",IF('Calculations'!IA299="!AMBIG","!AMBIG",IF(COUNTIF('Calculations'!$HE$13:$HE$512,"="&amp;SUBSTITUTE(SUBSTITUTE(SUBSTITUTE('Calculations'!IA299,"~","~~"),"*","~*"),"?","~?"))&gt;1,"!AMBIG",IFERROR(INDEX('Calculations'!$HF$13:$HF$512,MATCH('Calculations'!IA299,'Calculations'!$HE$13:$HE$512,0)),""))))</x:f>
      </x:c>
      <x:c r="IC299" t="str">
        <x:f>IF('Calculations'!IB299="","",IF('Calculations'!IB299="!AMBIG","!AMBIG",IF(COUNTIF('Calculations'!$HE$13:$HE$512,"="&amp;SUBSTITUTE(SUBSTITUTE(SUBSTITUTE('Calculations'!IB299,"~","~~"),"*","~*"),"?","~?"))&gt;1,"!AMBIG",IFERROR(INDEX('Calculations'!$HF$13:$HF$512,MATCH('Calculations'!IB299,'Calculations'!$HE$13:$HE$512,0)),""))))</x:f>
      </x:c>
      <x:c r="ID299" t="str">
        <x:f>IF('Calculations'!IC299="","",IF('Calculations'!IC299="!AMBIG","!AMBIG",IF(COUNTIF('Calculations'!$HE$13:$HE$512,"="&amp;SUBSTITUTE(SUBSTITUTE(SUBSTITUTE('Calculations'!IC299,"~","~~"),"*","~*"),"?","~?"))&gt;1,"!AMBIG",IFERROR(INDEX('Calculations'!$HF$13:$HF$512,MATCH('Calculations'!IC299,'Calculations'!$HE$13:$HE$512,0)),""))))</x:f>
      </x:c>
      <x:c r="IE299" t="str">
        <x:f>IF('Calculations'!ID299="","",IF('Calculations'!ID299="!AMBIG","!AMBIG",IF(COUNTIF('Calculations'!$HE$13:$HE$512,"="&amp;SUBSTITUTE(SUBSTITUTE(SUBSTITUTE('Calculations'!ID299,"~","~~"),"*","~*"),"?","~?"))&gt;1,"!AMBIG",IFERROR(INDEX('Calculations'!$HF$13:$HF$512,MATCH('Calculations'!ID299,'Calculations'!$HE$13:$HE$512,0)),""))))</x:f>
      </x:c>
      <x:c r="IF299" t="str">
        <x:f>IF('Calculations'!IE299="","",IF('Calculations'!IE299="!AMBIG","!AMBIG",IF(COUNTIF('Calculations'!$HE$13:$HE$512,"="&amp;SUBSTITUTE(SUBSTITUTE(SUBSTITUTE('Calculations'!IE299,"~","~~"),"*","~*"),"?","~?"))&gt;1,"!AMBIG",IFERROR(INDEX('Calculations'!$HF$13:$HF$512,MATCH('Calculations'!IE299,'Calculations'!$HE$13:$HE$512,0)),""))))</x:f>
      </x:c>
      <x:c r="IG299" t="str">
        <x:f>IF('Calculations'!IF299="","",IF('Calculations'!IF299="!AMBIG","!AMBIG",IF(COUNTIF('Calculations'!$HE$13:$HE$512,"="&amp;SUBSTITUTE(SUBSTITUTE(SUBSTITUTE('Calculations'!IF299,"~","~~"),"*","~*"),"?","~?"))&gt;1,"!AMBIG",IFERROR(INDEX('Calculations'!$HF$13:$HF$512,MATCH('Calculations'!IF299,'Calculations'!$HE$13:$HE$512,0)),""))))</x:f>
      </x:c>
      <x:c r="IH299" t="str">
        <x:f>IF('Calculations'!IG299="","",IF('Calculations'!IG299="!AMBIG","!AMBIG",IF(COUNTIF('Calculations'!$HE$13:$HE$512,"="&amp;SUBSTITUTE(SUBSTITUTE(SUBSTITUTE('Calculations'!IG299,"~","~~"),"*","~*"),"?","~?"))&gt;1,"!AMBIG",IFERROR(INDEX('Calculations'!$HF$13:$HF$512,MATCH('Calculations'!IG299,'Calculations'!$HE$13:$HE$512,0)),""))))</x:f>
      </x:c>
      <x:c r="II299" t="str">
        <x:f>IF('Calculations'!IH299="","",IF('Calculations'!IH299="!AMBIG","!AMBIG",IF(COUNTIF('Calculations'!$HE$13:$HE$512,"="&amp;SUBSTITUTE(SUBSTITUTE(SUBSTITUTE('Calculations'!IH299,"~","~~"),"*","~*"),"?","~?"))&gt;1,"!AMBIG",IFERROR(INDEX('Calculations'!$HF$13:$HF$512,MATCH('Calculations'!IH299,'Calculations'!$HE$13:$HE$512,0)),""))))</x:f>
      </x:c>
      <x:c r="IJ299" t="str">
        <x:f>IF('Calculations'!EM299="","",IF('Calculations'!$EF$2="All",'Calculations'!HM299,IF('Calculations'!HL299=1,"",IFERROR(IF(MATCH('Calculations'!$EF$2,'Calculations'!HO299:II299,0)=1,'Calculations'!HE299,INDEX('Calculations'!HO299:II299,1,MATCH('Calculations'!$EF$2,'Calculations'!HO299:II299,0)-1)),""))))</x:f>
      </x:c>
      <x:c r="IK299" t="n">
        <x:f>IF(AND('Calculations'!EM299&lt;&gt;"",'Calculations'!$EF$2&lt;&gt;"All",'Calculations'!HF299='Calculations'!$EF$2,'Calculations'!HL299=0,'Calculations'!JD299&gt;0),MAX('Calculations'!$IK$12:IK298)+1,0)</x:f>
        <x:v>0</x:v>
      </x:c>
      <x:c r="JA299" t="n">
        <x:f>IF(OR(IFERROR(INDIRECT("'WCM Calibration Final'!$A$299")&lt;&gt;"",FALSE),IFERROR(INDIRECT("'WCM Calibration Final'!$B$299")&lt;&gt;"",FALSE),IFERROR(INDIRECT("'WCM Calibration Final'!$C$299")&lt;&gt;"",FALSE)),299,0)</x:f>
        <x:v>0</x:v>
      </x:c>
      <x:c r="JB299" t="n">
        <x:f>'Calculations'!JB298+IF('Calculations'!JA299&gt;0,1,0)</x:f>
        <x:v>0</x:v>
      </x:c>
      <x:c r="JC299" t="n">
        <x:f>IF(OR('Calculations'!HF299="",'Calculations'!HF299="!AMBIG"),0,IF('Dashboard'!$B$7="All",1,COUNTIFS('Calculations'!$HO$13:$HO$512,"="&amp;SUBSTITUTE(SUBSTITUTE(SUBSTITUTE('Calculations'!HF299,"~","~~"),"*","~*"),"?","~?"),'Calculations'!$HN$13:$HN$512,"="&amp;SUBSTITUTE(SUBSTITUTE(SUBSTITUTE('Dashboard'!$B$7,"~","~~"),"*","~*"),"?","~?"))+COUNTIFS('Calculations'!$HP$13:$HP$512,"="&amp;SUBSTITUTE(SUBSTITUTE(SUBSTITUTE('Calculations'!HF299,"~","~~"),"*","~*"),"?","~?"),'Calculations'!$HN$13:$HN$512,"="&amp;SUBSTITUTE(SUBSTITUTE(SUBSTITUTE('Dashboard'!$B$7,"~","~~"),"*","~*"),"?","~?"))+COUNTIFS('Calculations'!$HQ$13:$HQ$512,"="&amp;SUBSTITUTE(SUBSTITUTE(SUBSTITUTE('Calculations'!HF299,"~","~~"),"*","~*"),"?","~?"),'Calculations'!$HN$13:$HN$512,"="&amp;SUBSTITUTE(SUBSTITUTE(SUBSTITUTE('Dashboard'!$B$7,"~","~~"),"*","~*"),"?","~?"))+COUNTIFS('Calculations'!$HR$13:$HR$512,"="&amp;SUBSTITUTE(SUBSTITUTE(SUBSTITUTE('Calculations'!HF299,"~","~~"),"*","~*"),"?","~?"),'Calculations'!$HN$13:$HN$512,"="&amp;SUBSTITUTE(SUBSTITUTE(SUBSTITUTE('Dashboard'!$B$7,"~","~~"),"*","~*"),"?","~?"))+COUNTIFS('Calculations'!$HS$13:$HS$512,"="&amp;SUBSTITUTE(SUBSTITUTE(SUBSTITUTE('Calculations'!HF299,"~","~~"),"*","~*"),"?","~?"),'Calculations'!$HN$13:$HN$512,"="&amp;SUBSTITUTE(SUBSTITUTE(SUBSTITUTE('Dashboard'!$B$7,"~","~~"),"*","~*"),"?","~?"))+COUNTIFS('Calculations'!$HT$13:$HT$512,"="&amp;SUBSTITUTE(SUBSTITUTE(SUBSTITUTE('Calculations'!HF299,"~","~~"),"*","~*"),"?","~?"),'Calculations'!$HN$13:$HN$512,"="&amp;SUBSTITUTE(SUBSTITUTE(SUBSTITUTE('Dashboard'!$B$7,"~","~~"),"*","~*"),"?","~?"))+COUNTIFS('Calculations'!$HU$13:$HU$512,"="&amp;SUBSTITUTE(SUBSTITUTE(SUBSTITUTE('Calculations'!HF299,"~","~~"),"*","~*"),"?","~?"),'Calculations'!$HN$13:$HN$512,"="&amp;SUBSTITUTE(SUBSTITUTE(SUBSTITUTE('Dashboard'!$B$7,"~","~~"),"*","~*"),"?","~?"))+COUNTIFS('Calculations'!$HV$13:$HV$512,"="&amp;SUBSTITUTE(SUBSTITUTE(SUBSTITUTE('Calculations'!HF299,"~","~~"),"*","~*"),"?","~?"),'Calculations'!$HN$13:$HN$512,"="&amp;SUBSTITUTE(SUBSTITUTE(SUBSTITUTE('Dashboard'!$B$7,"~","~~"),"*","~*"),"?","~?"))+COUNTIFS('Calculations'!$HW$13:$HW$512,"="&amp;SUBSTITUTE(SUBSTITUTE(SUBSTITUTE('Calculations'!HF299,"~","~~"),"*","~*"),"?","~?"),'Calculations'!$HN$13:$HN$512,"="&amp;SUBSTITUTE(SUBSTITUTE(SUBSTITUTE('Dashboard'!$B$7,"~","~~"),"*","~*"),"?","~?"))+COUNTIFS('Calculations'!$HX$13:$HX$512,"="&amp;SUBSTITUTE(SUBSTITUTE(SUBSTITUTE('Calculations'!HF299,"~","~~"),"*","~*"),"?","~?"),'Calculations'!$HN$13:$HN$512,"="&amp;SUBSTITUTE(SUBSTITUTE(SUBSTITUTE('Dashboard'!$B$7,"~","~~"),"*","~*"),"?","~?"))+COUNTIFS('Calculations'!$HY$13:$HY$512,"="&amp;SUBSTITUTE(SUBSTITUTE(SUBSTITUTE('Calculations'!HF299,"~","~~"),"*","~*"),"?","~?"),'Calculations'!$HN$13:$HN$512,"="&amp;SUBSTITUTE(SUBSTITUTE(SUBSTITUTE('Dashboard'!$B$7,"~","~~"),"*","~*"),"?","~?"))+COUNTIFS('Calculations'!$HZ$13:$HZ$512,"="&amp;SUBSTITUTE(SUBSTITUTE(SUBSTITUTE('Calculations'!HF299,"~","~~"),"*","~*"),"?","~?"),'Calculations'!$HN$13:$HN$512,"="&amp;SUBSTITUTE(SUBSTITUTE(SUBSTITUTE('Dashboard'!$B$7,"~","~~"),"*","~*"),"?","~?"))+COUNTIFS('Calculations'!$IA$13:$IA$512,"="&amp;SUBSTITUTE(SUBSTITUTE(SUBSTITUTE('Calculations'!HF299,"~","~~"),"*","~*"),"?","~?"),'Calculations'!$HN$13:$HN$512,"="&amp;SUBSTITUTE(SUBSTITUTE(SUBSTITUTE('Dashboard'!$B$7,"~","~~"),"*","~*"),"?","~?"))+COUNTIFS('Calculations'!$IB$13:$IB$512,"="&amp;SUBSTITUTE(SUBSTITUTE(SUBSTITUTE('Calculations'!HF299,"~","~~"),"*","~*"),"?","~?"),'Calculations'!$HN$13:$HN$512,"="&amp;SUBSTITUTE(SUBSTITUTE(SUBSTITUTE('Dashboard'!$B$7,"~","~~"),"*","~*"),"?","~?"))+COUNTIFS('Calculations'!$IC$13:$IC$512,"="&amp;SUBSTITUTE(SUBSTITUTE(SUBSTITUTE('Calculations'!HF299,"~","~~"),"*","~*"),"?","~?"),'Calculations'!$HN$13:$HN$512,"="&amp;SUBSTITUTE(SUBSTITUTE(SUBSTITUTE('Dashboard'!$B$7,"~","~~"),"*","~*"),"?","~?"))+COUNTIFS('Calculations'!$ID$13:$ID$512,"="&amp;SUBSTITUTE(SUBSTITUTE(SUBSTITUTE('Calculations'!HF299,"~","~~"),"*","~*"),"?","~?"),'Calculations'!$HN$13:$HN$512,"="&amp;SUBSTITUTE(SUBSTITUTE(SUBSTITUTE('Dashboard'!$B$7,"~","~~"),"*","~*"),"?","~?"))+COUNTIFS('Calculations'!$IE$13:$IE$512,"="&amp;SUBSTITUTE(SUBSTITUTE(SUBSTITUTE('Calculations'!HF299,"~","~~"),"*","~*"),"?","~?"),'Calculations'!$HN$13:$HN$512,"="&amp;SUBSTITUTE(SUBSTITUTE(SUBSTITUTE('Dashboard'!$B$7,"~","~~"),"*","~*"),"?","~?"))+COUNTIFS('Calculations'!$IF$13:$IF$512,"="&amp;SUBSTITUTE(SUBSTITUTE(SUBSTITUTE('Calculations'!HF299,"~","~~"),"*","~*"),"?","~?"),'Calculations'!$HN$13:$HN$512,"="&amp;SUBSTITUTE(SUBSTITUTE(SUBSTITUTE('Dashboard'!$B$7,"~","~~"),"*","~*"),"?","~?"))+COUNTIFS('Calculations'!$IG$13:$IG$512,"="&amp;SUBSTITUTE(SUBSTITUTE(SUBSTITUTE('Calculations'!HF299,"~","~~"),"*","~*"),"?","~?"),'Calculations'!$HN$13:$HN$512,"="&amp;SUBSTITUTE(SUBSTITUTE(SUBSTITUTE('Dashboard'!$B$7,"~","~~"),"*","~*"),"?","~?"))+COUNTIFS('Calculations'!$IH$13:$IH$512,"="&amp;SUBSTITUTE(SUBSTITUTE(SUBSTITUTE('Calculations'!HF299,"~","~~"),"*","~*"),"?","~?"),'Calculations'!$HN$13:$HN$512,"="&amp;SUBSTITUTE(SUBSTITUTE(SUBSTITUTE('Dashboard'!$B$7,"~","~~"),"*","~*"),"?","~?"))))</x:f>
        <x:v>0</x:v>
      </x:c>
      <x:c r="JD299" t="n">
        <x:f>IF('Calculations'!EM299="",0,IF('Dashboard'!$B$7="All",1,IF('Calculations'!HN299='Dashboard'!$B$7,1,0)+IFERROR(INDEX('Calculations'!$JC$13:$JC$512,MATCH('Calculations'!HE299,'Calculations'!$HF$13:$HF$512,0)),0)))</x:f>
        <x:v>0</x:v>
      </x:c>
      <x:c r="JE299" t="n">
        <x:f>IF(AND('Calculations'!EM299&lt;&gt;"",'Calculations'!$JJ$2&lt;&gt;"All",'Calculations'!$JJ$2&lt;&gt;"",'Calculations'!HF299='Calculations'!$JJ$2,'Calculations'!HL299=0,'Calculations'!JD299&gt;0),MAX('Calculations'!$JE$12:JE298)+1,0)</x:f>
        <x:v>0</x:v>
      </x:c>
      <x:c r="JF299" t="str">
        <x:f>IF('Calculations'!EM299="","",IFERROR(IF(INDEX(INDIRECT("'WCM Calibration Final'!$G$1:$G$2000"),'Calculations'!$EM299)="","",TRIM(INDEX(INDIRECT("'WCM Calibration Final'!$G$1:$G$2000"),'Calculations'!$EM299)&amp;"")),""))</x:f>
      </x:c>
      <x:c r="JQ299" t="n">
        <x:f>IF(OR('Calculations'!BM299=0,NOT('Calculations'!$AG$2),'Calculations'!$AG$8&gt;0),0,IF(OR('Dashboard'!$B$7="All",'Calculations'!HN299='Dashboard'!$B$7),IF('Calculations'!$JJ$2="All",1,IF(AND('Calculations'!HF299='Calculations'!$JJ$2,'Calculations'!HL299=0),1,0)),0))</x:f>
        <x:v>0</x:v>
      </x:c>
    </x:row>
    <x:row r="300">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t="n">
        <x:f>IF('Calculations'!$EM300="",0,IF(OR(IFERROR(INDEX(INDIRECT("'WCM Calibration Final'!$A$1:$A$2000"),'Calculations'!$EM300)&lt;&gt;"",FALSE),IFERROR(INDEX(INDIRECT("'WCM Calibration Final'!$B$1:$B$2000"),'Calculations'!$EM300)&lt;&gt;"",FALSE),IFERROR(INDEX(INDIRECT("'WCM Calibration Final'!$C$1:$C$2000"),'Calculations'!$EM300)&lt;&gt;"",FALSE)),1,0))</x:f>
        <x:v>0</x:v>
      </x:c>
      <x:c r="BN300" s="4" t="n">
        <x:f>IF(AND('Calculations'!BM300=1,'Calculations'!$AG$2,'Calculations'!$EN300=1),1,0)</x:f>
        <x:v>0</x:v>
      </x:c>
      <x:c r="BO300" s="4" t="str">
        <x:f>IF('Calculations'!BM300=0,"",IFERROR(IF(AND(VALUE(INDEX(INDIRECT("'WCM Calibration Final'!$K$1:$K$2000"),'Calculations'!$EM300))&gt;=1,VALUE(INDEX(INDIRECT("'WCM Calibration Final'!$K$1:$K$2000"),'Calculations'!$EM300))&lt;=4,MOD(VALUE(INDEX(INDIRECT("'WCM Calibration Final'!$K$1:$K$2000"),'Calculations'!$EM300)),1)=0),VALUE(INDEX(INDIRECT("'WCM Calibration Final'!$K$1:$K$2000"),'Calculations'!$EM300)),""),""))</x:f>
      </x:c>
      <x:c r="BP300" s="4" t="str">
        <x:f>IF('Calculations'!BM300=0,"",IFERROR(IF(AND(VALUE(INDEX(INDIRECT("'WCM Calibration Final'!$L$1:$L$2000"),'Calculations'!$EM300))&gt;=1,VALUE(INDEX(INDIRECT("'WCM Calibration Final'!$L$1:$L$2000"),'Calculations'!$EM300))&lt;=4,MOD(VALUE(INDEX(INDIRECT("'WCM Calibration Final'!$L$1:$L$2000"),'Calculations'!$EM300)),1)=0),VALUE(INDEX(INDIRECT("'WCM Calibration Final'!$L$1:$L$2000"),'Calculations'!$EM300)),""),""))</x:f>
      </x:c>
      <x:c r="BQ300" s="4"/>
      <x:c r="BR300" s="4"/>
      <x:c r="BS300" s="4"/>
      <x:c r="BT300" s="4" t="n">
        <x:f>IF(AND('Calculations'!BM300=1,ISNUMBER('Calculations'!BO300),ISNUMBER('Calculations'!BP300)),1,0)</x:f>
        <x:v>0</x:v>
      </x:c>
      <x:c r="BU300" s="4" t="str">
        <x:f>IF('Calculations'!BM300=0,"",'Calculations'!$EO300)</x:f>
      </x:c>
      <x:c r="BV300" s="4" t="str">
        <x:f>IF('Calculations'!BM300=0,"",IFERROR(IF(OR(INDEX(INDIRECT("'WCM Calibration Final'!$H$1:$H$2000"),'Calculations'!$EM300)="MANAGING DIRECTOR",INDEX(INDIRECT("'WCM Calibration Final'!$H$1:$H$2000"),'Calculations'!$EM300)="DIRECTOR",INDEX(INDIRECT("'WCM Calibration Final'!$H$1:$H$2000"),'Calculations'!$EM300)="SENIOR VICE PRESIDENT",INDEX(INDIRECT("'WCM Calibration Final'!$H$1:$H$2000"),'Calculations'!$EM300)="VICE PRESIDENT",INDEX(INDIRECT("'WCM Calibration Final'!$H$1:$H$2000"),'Calculations'!$EM300)="ASSISTANT VICE PRESIDENT",INDEX(INDIRECT("'WCM Calibration Final'!$H$1:$H$2000"),'Calculations'!$EM300)="OFFICER"),UPPER(INDEX(INDIRECT("'WCM Calibration Final'!$H$1:$H$2000"),'Calculations'!$EM300)),"Other"),"Other"))</x:f>
      </x:c>
      <x:c r="BW300" s="4"/>
      <x:c r="BX300" s="4"/>
      <x:c r="BY300" s="4" t="n">
        <x:f>IF(AND('Calculations'!BM300=1,'Calculations'!BU300&lt;&gt;"",COUNTIF('Calculations'!$BU$12:BU300,'Calculations'!BU300)=1),MAX('Calculations'!$BY$11:BY299)+1,0)</x:f>
        <x:v>0</x:v>
      </x:c>
      <x:c r="BZ300" s="4" t="str">
        <x:f>IF('Dashboard'!$E$67="What",'Calculations'!BO300,'Calculations'!BP300)</x:f>
      </x:c>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t="str">
        <x:f>IF(289&gt;MAX('Calculations'!$HI$13:$HI$512),"",INDEX('Calculations'!$HN$13:$HN$512,MATCH(289,'Calculations'!$HI$13:$HI$512,0)))</x:f>
      </x:c>
      <x:c r="DB300" s="4" t="str">
        <x:f>IF(289&gt;MAX('Calculations'!$HH$13:$HH$512),"",INDEX('Calculations'!$HJ$13:$HJ$512,MATCH(289,'Calculations'!$HH$13:$HH$512,0)))</x:f>
      </x:c>
      <x:c r="DC300" s="4" t="str">
        <x:f>IF(ROW()-11&gt;MAX('Calculations'!$BY$13:$BY$512),"",INDEX('Calculations'!$BU$13:$BU$512,MATCH(ROW()-11,'Calculations'!$BY$13:$BY$512,0)))</x:f>
      </x:c>
      <x:c r="DD300" s="4" t="str">
        <x:f>IF(289&gt;MAX('Calculations'!$IK$13:$IK$512),"",INDEX('Calculations'!$HK$13:$HK$512,MATCH(289,'Calculations'!$IK$13:$IK$512,0)))</x:f>
      </x:c>
      <x:c r="DE300" s="4" t="str">
        <x:f>'Calculations'!DC300</x:f>
      </x:c>
      <x:c r="DF300" s="4" t="str">
        <x:f>IF('Calculations'!DE300="","",COUNTIFS('Calculations'!$BN$13:$BN$512,1,'Calculations'!$BU$13:$BU$512,'Calculations'!DE300))</x:f>
      </x:c>
      <x:c r="DG300" s="4" t="str">
        <x:f>IF('Calculations'!DE300="","",COUNTIFS('Calculations'!$BN$13:$BN$512,1,'Calculations'!$BU$13:$BU$512,'Calculations'!DE300,'Calculations'!$BT$13:$BT$512,1))</x:f>
      </x:c>
      <x:c r="DH300" s="4" t="str">
        <x:f>IF('Calculations'!DE300="","",'Calculations'!DF300-'Calculations'!DG300)</x:f>
      </x:c>
      <x:c r="DI300" s="4" t="str">
        <x:f>IF(OR('Calculations'!DE300="",'Calculations'!DF300=0),"",'Calculations'!DG300/'Calculations'!DF300)</x:f>
      </x:c>
      <x:c r="DJ300" s="4" t="str">
        <x:f>IF('Calculations'!DE300="","",COUNTIFS('Calculations'!$BN$13:$BN$512,1,'Calculations'!$BU$13:$BU$512,'Calculations'!DE300,'Calculations'!$BT$13:$BT$512,1,'Calculations'!$EE$13:$EE$512,"High"))</x:f>
      </x:c>
      <x:c r="DK300" s="4" t="str">
        <x:f>IF('Calculations'!DE300="","",COUNTIFS('Calculations'!$BN$13:$BN$512,1,'Calculations'!$BU$13:$BU$512,'Calculations'!DE300,'Calculations'!$BT$13:$BT$512,1,'Calculations'!$EE$13:$EE$512,"Strong"))</x:f>
      </x:c>
      <x:c r="DL300" s="4" t="str">
        <x:f>IF('Calculations'!DE300="","",COUNTIFS('Calculations'!$BN$13:$BN$512,1,'Calculations'!$BU$13:$BU$512,'Calculations'!DE300,'Calculations'!$BT$13:$BT$512,1,'Calculations'!$EE$13:$EE$512,"Solid"))</x:f>
      </x:c>
      <x:c r="DM300" s="4" t="str">
        <x:f>IF('Calculations'!DE300="","",COUNTIFS('Calculations'!$BN$13:$BN$512,1,'Calculations'!$BU$13:$BU$512,'Calculations'!DE300,'Calculations'!$BT$13:$BT$512,1,'Calculations'!$EE$13:$EE$512,"Low"))</x:f>
      </x:c>
      <x:c r="DN300" s="4" t="str">
        <x:f>IF('Calculations'!DE300="","",COUNTIFS('Calculations'!$BN$13:$BN$512,1,'Calculations'!$BU$13:$BU$512,'Calculations'!DE300,'Calculations'!$EP$13:$EP$512,1))</x:f>
      </x:c>
      <x:c r="DO300" s="4" t="str">
        <x:f>IF(OR('Calculations'!DE300="",'Calculations'!DG300=0),"",('Calculations'!DJ300+'Calculations'!DK300)/'Calculations'!DG300)</x:f>
      </x:c>
      <x:c r="DP300" s="4" t="n">
        <x:f>IF(AND('Calculations'!DE300&lt;&gt;"",'Calculations'!DF300&gt;0),COUNTIF('Calculations'!$DF$12:DF300,"&gt;0"),0)</x:f>
        <x:v>0</x:v>
      </x:c>
      <x:c r="DQ300" s="4" t="str">
        <x:f>IF(289&gt;MAX('Calculations'!$HH$13:$HH$512),"",INDEX('Calculations'!$HF$13:$HF$512,MATCH(289,'Calculations'!$HH$13:$HH$512,0)))</x:f>
      </x:c>
      <x:c r="DR300" s="4" t="str">
        <x:f>IF(289&gt;MAX('Calculations'!$IK$13:$IK$512),"",INDEX('Calculations'!$HE$13:$HE$512,MATCH(289,'Calculations'!$IK$13:$IK$512,0)))</x:f>
      </x:c>
      <x:c r="DS300" s="4"/>
      <x:c r="DT300" s="4"/>
      <x:c r="DU300" s="4"/>
      <x:c r="DV300" s="4"/>
      <x:c r="DW300" s="4"/>
      <x:c r="DX300" s="4"/>
      <x:c r="DY300" s="4"/>
      <x:c r="DZ300" s="4"/>
      <x:c r="EA300" s="4"/>
      <x:c r="EB300" s="4"/>
      <x:c r="EC300" s="4"/>
      <x:c r="ED300" s="4"/>
      <x:c r="EE300" s="4" t="str">
        <x:f>IF('Calculations'!BT300=0,"Not Rated",IF(OR('Calculations'!BO300&gt;=4,'Calculations'!BP300&gt;=4),"Low",IF('Calculations'!BO300+'Calculations'!BP300&lt;=3,"High",IF('Calculations'!BO300+'Calculations'!BP300&lt;=4,"Strong","Solid"))))</x:f>
        <x:v>Not Rated</x:v>
      </x:c>
      <x:c r="EF300" s="4"/>
      <x:c r="EG300" s="4"/>
      <x:c r="EH300" s="4"/>
      <x:c r="EI300" s="4"/>
      <x:c r="EJ300" s="4"/>
      <x:c r="EK300" s="4"/>
      <x:c r="EL300" s="4"/>
      <x:c r="EM300" s="4" t="str">
        <x:f>IF(288&gt;'Calculations'!$JB$2000,"",INDEX('Calculations'!$JA$12:$JA$2000,MATCH(288,'Calculations'!$JB$12:$JB$2000,0)))</x:f>
      </x:c>
      <x:c r="EN300" s="4" t="n">
        <x:f>IF(OR('Calculations'!EM300="",'Calculations'!$AG$8&gt;0,AND('Calculations'!$EF$2&lt;&gt;"All",'Calculations'!HE300='Calculations'!$EF$2),AND('Calculations'!$EF$3&lt;&gt;"All",'Calculations'!HE300='Calculations'!$EF$3)),0,IF(OR('Dashboard'!$B$7="All",'Calculations'!HN300='Dashboard'!$B$7),IF('Calculations'!$EF$2="All",1,IF('Calculations'!HL300&gt;0,0,IF(COUNTIF('Calculations'!HO300:II300,"="&amp;SUBSTITUTE(SUBSTITUTE(SUBSTITUTE('Calculations'!$EF$2,"~","~~"),"*","~*"),"?","~?"))=0,0,IF('Calculations'!$EF$3="All",1,IF(COUNTIF('Calculations'!HO300:II300,"="&amp;SUBSTITUTE(SUBSTITUTE(SUBSTITUTE('Calculations'!$EF$3,"~","~~"),"*","~*"),"?","~?"))&gt;0,1,0))))),0))</x:f>
        <x:v>0</x:v>
      </x:c>
      <x:c r="EO300" s="4" t="str">
        <x:f>IF('Calculations'!IJ300="","",IF('Calculations'!IJ300="!UNRESOLVED","Unresolved hierarchy",IFERROR(INDEX('Calculations'!$HK$13:$HK$512,MATCH('Calculations'!IJ300,'Calculations'!$HE$13:$HE$512,0)),IFERROR(INDEX('Calculations'!$HJ$13:$HJ$512,MATCH('Calculations'!IJ300,'Calculations'!$HF$13:$HF$512,0)),'Calculations'!IJ300))))</x:f>
      </x:c>
      <x:c r="EP300" s="4" t="n">
        <x:f>IF(AND('Calculations'!EM300&lt;&gt;"",'Calculations'!HF300='Calculations'!IJ300),1,0)</x:f>
        <x:v>0</x:v>
      </x:c>
      <x:c r="EQ300" s="4"/>
      <x:c r="ER300" s="4"/>
      <x:c r="ES300" s="4"/>
      <x:c r="ET300" s="4"/>
      <x:c r="EU300" s="4"/>
      <x:c r="EV300" s="4"/>
      <x:c r="EW300" s="4"/>
      <x:c r="EX300" s="4"/>
      <x:c r="EY300" s="4"/>
      <x:c r="EZ300" s="4"/>
      <x:c r="FA300" s="4"/>
      <x:c r="FB300" s="4"/>
      <x:c r="FC300" s="4"/>
      <x:c r="FD300" s="4"/>
      <x:c r="FE300" s="4"/>
      <x:c r="FF300" s="4"/>
      <x:c r="FG300" s="4"/>
      <x:c r="FH300" s="4"/>
      <x:c r="FI300" s="4"/>
      <x:c r="FJ300" s="4"/>
      <x:c r="FK300" s="4"/>
      <x:c r="FL300" s="4"/>
      <x:c r="FM300" s="4"/>
      <x:c r="FN300" s="4"/>
      <x:c r="FO300" s="4"/>
      <x:c r="HE300" t="str">
        <x:f>IF('Calculations'!EM300="","",IF(IFERROR(IF(INDEX(INDIRECT("'WCM Calibration Final'!$A$1:$A$2000"),'Calculations'!$EM300)="","",TRIM(INDEX(INDIRECT("'WCM Calibration Final'!$A$1:$A$2000"),'Calculations'!$EM300)&amp;"")),"")&lt;&gt;"","G:"&amp;IFERROR(TEXT(1*INDEX(INDIRECT("'WCM Calibration Final'!$A$1:$A$2000"),'Calculations'!$EM300),"0"),UPPER(IFERROR(IF(INDEX(INDIRECT("'WCM Calibration Final'!$A$1:$A$2000"),'Calculations'!$EM300)="","",TRIM(INDEX(INDIRECT("'WCM Calibration Final'!$A$1:$A$2000"),'Calculations'!$EM300)&amp;"")),""))),IF(IFERROR(IF(INDEX(INDIRECT("'WCM Calibration Final'!$C$1:$C$2000"),'Calculations'!$EM300)="","",TRIM(INDEX(INDIRECT("'WCM Calibration Final'!$C$1:$C$2000"),'Calculations'!$EM300)&amp;"")),"")&lt;&gt;"","S:"&amp;UPPER(IFERROR(IF(INDEX(INDIRECT("'WCM Calibration Final'!$C$1:$C$2000"),'Calculations'!$EM300)="","",TRIM(INDEX(INDIRECT("'WCM Calibration Final'!$C$1:$C$2000"),'Calculations'!$EM300)&amp;"")),"")),"R:"&amp;'Calculations'!EM300)))</x:f>
      </x:c>
      <x:c r="HF300" t="str">
        <x:f>IF('Calculations'!EM300="","",IF(IFERROR(IF(INDEX(INDIRECT("'WCM Calibration Final'!$D$1:$D$2000"),'Calculations'!$EM300)="","",TRIM(INDEX(INDIRECT("'WCM Calibration Final'!$D$1:$D$2000"),'Calculations'!$EM300)&amp;"")),"")&lt;&gt;"","G:"&amp;IFERROR(TEXT(1*INDEX(INDIRECT("'WCM Calibration Final'!$D$1:$D$2000"),'Calculations'!$EM300),"0"),UPPER(IFERROR(IF(INDEX(INDIRECT("'WCM Calibration Final'!$D$1:$D$2000"),'Calculations'!$EM300)="","",TRIM(INDEX(INDIRECT("'WCM Calibration Final'!$D$1:$D$2000"),'Calculations'!$EM300)&amp;"")),""))),IF(IFERROR(IF(INDEX(INDIRECT("'WCM Calibration Final'!$E$1:$E$2000"),'Calculations'!$EM300)="","",TRIM(INDEX(INDIRECT("'WCM Calibration Final'!$E$1:$E$2000"),'Calculations'!$EM300)&amp;"")),"")="","",IF(COUNTIF('Calculations'!$HG$13:$HG$512,"="&amp;SUBSTITUTE(SUBSTITUTE(SUBSTITUTE(IFERROR(IF(INDEX(INDIRECT("'WCM Calibration Final'!$E$1:$E$2000"),'Calculations'!$EM300)="","",TRIM(INDEX(INDIRECT("'WCM Calibration Final'!$E$1:$E$2000"),'Calculations'!$EM300)&amp;"")),""),"~","~~"),"*","~*"),"?","~?"))=1,INDEX('Calculations'!$HE$13:$HE$512,MATCH(IFERROR(IF(INDEX(INDIRECT("'WCM Calibration Final'!$E$1:$E$2000"),'Calculations'!$EM300)="","",TRIM(INDEX(INDIRECT("'WCM Calibration Final'!$E$1:$E$2000"),'Calculations'!$EM300)&amp;"")),""),'Calculations'!$HG$13:$HG$512,0)),IF(COUNTIF('Calculations'!$HG$13:$HG$512,"="&amp;SUBSTITUTE(SUBSTITUTE(SUBSTITUTE(IFERROR(IF(INDEX(INDIRECT("'WCM Calibration Final'!$E$1:$E$2000"),'Calculations'!$EM300)="","",TRIM(INDEX(INDIRECT("'WCM Calibration Final'!$E$1:$E$2000"),'Calculations'!$EM300)&amp;"")),""),"~","~~"),"*","~*"),"?","~?"))&gt;1,"!AMBIG","X:"&amp;IFERROR(IF(INDEX(INDIRECT("'WCM Calibration Final'!$E$1:$E$2000"),'Calculations'!$EM300)="","",TRIM(INDEX(INDIRECT("'WCM Calibration Final'!$E$1:$E$2000"),'Calculations'!$EM300)&amp;"")),""))))))</x:f>
      </x:c>
      <x:c r="HG300" t="str">
        <x:f>IF('Calculations'!EM300="","",IFERROR(IF(INDEX(INDIRECT("'WCM Calibration Final'!$B$1:$B$2000"),'Calculations'!$EM300)="","",TRIM(INDEX(INDIRECT("'WCM Calibration Final'!$B$1:$B$2000"),'Calculations'!$EM300)&amp;"")),""))</x:f>
      </x:c>
      <x:c r="HH300" t="n">
        <x:f>IF(AND('Calculations'!JC300&gt;0,COUNTIF('Calculations'!$HF$12:HF300,"="&amp;SUBSTITUTE(SUBSTITUTE(SUBSTITUTE('Calculations'!HF300,"~","~~"),"*","~*"),"?","~?"))=1),MAX('Calculations'!$HH$12:HH299)+1,0)</x:f>
        <x:v>0</x:v>
      </x:c>
      <x:c r="HI300" t="n">
        <x:f>IF(AND('Calculations'!HN300&lt;&gt;"",COUNTIF('Calculations'!$HN$12:HN300,"="&amp;SUBSTITUTE(SUBSTITUTE(SUBSTITUTE('Calculations'!HN300,"~","~~"),"*","~*"),"?","~?"))=1),MAX('Calculations'!$HI$12:HI299)+1,0)</x:f>
        <x:v>0</x:v>
      </x:c>
      <x:c r="HJ300" t="str">
        <x:f>IF('Calculations'!HF300="","",IF(COUNTIF('Calculations'!$HE$13:$HE$512,"="&amp;SUBSTITUTE(SUBSTITUTE(SUBSTITUTE('Calculations'!HF300,"~","~~"),"*","~*"),"?","~?"))=1,INDEX('Calculations'!$HK$13:$HK$512,MATCH('Calculations'!HF300,'Calculations'!$HE$13:$HE$512,0)),IFERROR(IF(INDEX(INDIRECT("'WCM Calibration Final'!$E$1:$E$2000"),'Calculations'!$EM300)="","",TRIM(INDEX(INDIRECT("'WCM Calibration Final'!$E$1:$E$2000"),'Calculations'!$EM300)&amp;"")),"")&amp;" ["&amp;'Calculations'!HF300&amp;"]"))</x:f>
      </x:c>
      <x:c r="HK300" t="str">
        <x:f>IF('Calculations'!EM300="","",'Calculations'!HG300&amp;" ["&amp;'Calculations'!HE300&amp;"]")</x:f>
      </x:c>
      <x:c r="HL300" t="n">
        <x:f>IF('Calculations'!EM300="",0,IF(OR('Calculations'!II300&lt;&gt;"",COUNTIF('Calculations'!$HE$13:$HE$512,"="&amp;SUBSTITUTE(SUBSTITUTE(SUBSTITUTE('Calculations'!HE300,"~","~~"),"*","~*"),"?","~?"))&gt;1),1,0))</x:f>
        <x:v>0</x:v>
      </x:c>
      <x:c r="HM300" t="str">
        <x:f>IF('Calculations'!EM300="","",IF('Calculations'!HL300=1,"!UNRESOLVED",IF('Calculations'!IH300&lt;&gt;"",'Calculations'!IH300,IF('Calculations'!IG300&lt;&gt;"",'Calculations'!IG300,IF('Calculations'!IF300&lt;&gt;"",'Calculations'!IF300,IF('Calculations'!IE300&lt;&gt;"",'Calculations'!IE300,IF('Calculations'!ID300&lt;&gt;"",'Calculations'!ID300,IF('Calculations'!IC300&lt;&gt;"",'Calculations'!IC300,IF('Calculations'!IB300&lt;&gt;"",'Calculations'!IB300,IF('Calculations'!IA300&lt;&gt;"",'Calculations'!IA300,IF('Calculations'!HZ300&lt;&gt;"",'Calculations'!HZ300,IF('Calculations'!HY300&lt;&gt;"",'Calculations'!HY300,IF('Calculations'!HX300&lt;&gt;"",'Calculations'!HX300,IF('Calculations'!HW300&lt;&gt;"",'Calculations'!HW300,IF('Calculations'!HV300&lt;&gt;"",'Calculations'!HV300,IF('Calculations'!HU300&lt;&gt;"",'Calculations'!HU300,IF('Calculations'!HT300&lt;&gt;"",'Calculations'!HT300,IF('Calculations'!HS300&lt;&gt;"",'Calculations'!HS300,IF('Calculations'!HR300&lt;&gt;"",'Calculations'!HR300,IF('Calculations'!HQ300&lt;&gt;"",'Calculations'!HQ300,IF('Calculations'!HP300&lt;&gt;"",'Calculations'!HP300,IF('Calculations'!HO300&lt;&gt;"",'Calculations'!HO300,'Calculations'!HE300))))))))))))))))))))))</x:f>
      </x:c>
      <x:c r="HN300" t="str">
        <x:f>IF('Calculations'!EM300="","",IF(IFERROR(IF(INDEX(INDIRECT("'WCM Calibration Final'!$F$1:$F$2000"),'Calculations'!$EM300)="","",TRIM(INDEX(INDIRECT("'WCM Calibration Final'!$F$1:$F$2000"),'Calculations'!$EM300)&amp;"")),"")="","(Blank)",IFERROR(IF(INDEX(INDIRECT("'WCM Calibration Final'!$F$1:$F$2000"),'Calculations'!$EM300)="","",TRIM(INDEX(INDIRECT("'WCM Calibration Final'!$F$1:$F$2000"),'Calculations'!$EM300)&amp;"")),"")))</x:f>
      </x:c>
      <x:c r="HO300" t="str">
        <x:f>'Calculations'!HF300</x:f>
      </x:c>
      <x:c r="HP300" t="str">
        <x:f>IF('Calculations'!HO300="","",IF('Calculations'!HO300="!AMBIG","!AMBIG",IF(COUNTIF('Calculations'!$HE$13:$HE$512,"="&amp;SUBSTITUTE(SUBSTITUTE(SUBSTITUTE('Calculations'!HO300,"~","~~"),"*","~*"),"?","~?"))&gt;1,"!AMBIG",IFERROR(INDEX('Calculations'!$HF$13:$HF$512,MATCH('Calculations'!HO300,'Calculations'!$HE$13:$HE$512,0)),""))))</x:f>
      </x:c>
      <x:c r="HQ300" t="str">
        <x:f>IF('Calculations'!HP300="","",IF('Calculations'!HP300="!AMBIG","!AMBIG",IF(COUNTIF('Calculations'!$HE$13:$HE$512,"="&amp;SUBSTITUTE(SUBSTITUTE(SUBSTITUTE('Calculations'!HP300,"~","~~"),"*","~*"),"?","~?"))&gt;1,"!AMBIG",IFERROR(INDEX('Calculations'!$HF$13:$HF$512,MATCH('Calculations'!HP300,'Calculations'!$HE$13:$HE$512,0)),""))))</x:f>
      </x:c>
      <x:c r="HR300" t="str">
        <x:f>IF('Calculations'!HQ300="","",IF('Calculations'!HQ300="!AMBIG","!AMBIG",IF(COUNTIF('Calculations'!$HE$13:$HE$512,"="&amp;SUBSTITUTE(SUBSTITUTE(SUBSTITUTE('Calculations'!HQ300,"~","~~"),"*","~*"),"?","~?"))&gt;1,"!AMBIG",IFERROR(INDEX('Calculations'!$HF$13:$HF$512,MATCH('Calculations'!HQ300,'Calculations'!$HE$13:$HE$512,0)),""))))</x:f>
      </x:c>
      <x:c r="HS300" t="str">
        <x:f>IF('Calculations'!HR300="","",IF('Calculations'!HR300="!AMBIG","!AMBIG",IF(COUNTIF('Calculations'!$HE$13:$HE$512,"="&amp;SUBSTITUTE(SUBSTITUTE(SUBSTITUTE('Calculations'!HR300,"~","~~"),"*","~*"),"?","~?"))&gt;1,"!AMBIG",IFERROR(INDEX('Calculations'!$HF$13:$HF$512,MATCH('Calculations'!HR300,'Calculations'!$HE$13:$HE$512,0)),""))))</x:f>
      </x:c>
      <x:c r="HT300" t="str">
        <x:f>IF('Calculations'!HS300="","",IF('Calculations'!HS300="!AMBIG","!AMBIG",IF(COUNTIF('Calculations'!$HE$13:$HE$512,"="&amp;SUBSTITUTE(SUBSTITUTE(SUBSTITUTE('Calculations'!HS300,"~","~~"),"*","~*"),"?","~?"))&gt;1,"!AMBIG",IFERROR(INDEX('Calculations'!$HF$13:$HF$512,MATCH('Calculations'!HS300,'Calculations'!$HE$13:$HE$512,0)),""))))</x:f>
      </x:c>
      <x:c r="HU300" t="str">
        <x:f>IF('Calculations'!HT300="","",IF('Calculations'!HT300="!AMBIG","!AMBIG",IF(COUNTIF('Calculations'!$HE$13:$HE$512,"="&amp;SUBSTITUTE(SUBSTITUTE(SUBSTITUTE('Calculations'!HT300,"~","~~"),"*","~*"),"?","~?"))&gt;1,"!AMBIG",IFERROR(INDEX('Calculations'!$HF$13:$HF$512,MATCH('Calculations'!HT300,'Calculations'!$HE$13:$HE$512,0)),""))))</x:f>
      </x:c>
      <x:c r="HV300" t="str">
        <x:f>IF('Calculations'!HU300="","",IF('Calculations'!HU300="!AMBIG","!AMBIG",IF(COUNTIF('Calculations'!$HE$13:$HE$512,"="&amp;SUBSTITUTE(SUBSTITUTE(SUBSTITUTE('Calculations'!HU300,"~","~~"),"*","~*"),"?","~?"))&gt;1,"!AMBIG",IFERROR(INDEX('Calculations'!$HF$13:$HF$512,MATCH('Calculations'!HU300,'Calculations'!$HE$13:$HE$512,0)),""))))</x:f>
      </x:c>
      <x:c r="HW300" t="str">
        <x:f>IF('Calculations'!HV300="","",IF('Calculations'!HV300="!AMBIG","!AMBIG",IF(COUNTIF('Calculations'!$HE$13:$HE$512,"="&amp;SUBSTITUTE(SUBSTITUTE(SUBSTITUTE('Calculations'!HV300,"~","~~"),"*","~*"),"?","~?"))&gt;1,"!AMBIG",IFERROR(INDEX('Calculations'!$HF$13:$HF$512,MATCH('Calculations'!HV300,'Calculations'!$HE$13:$HE$512,0)),""))))</x:f>
      </x:c>
      <x:c r="HX300" t="str">
        <x:f>IF('Calculations'!HW300="","",IF('Calculations'!HW300="!AMBIG","!AMBIG",IF(COUNTIF('Calculations'!$HE$13:$HE$512,"="&amp;SUBSTITUTE(SUBSTITUTE(SUBSTITUTE('Calculations'!HW300,"~","~~"),"*","~*"),"?","~?"))&gt;1,"!AMBIG",IFERROR(INDEX('Calculations'!$HF$13:$HF$512,MATCH('Calculations'!HW300,'Calculations'!$HE$13:$HE$512,0)),""))))</x:f>
      </x:c>
      <x:c r="HY300" t="str">
        <x:f>IF('Calculations'!HX300="","",IF('Calculations'!HX300="!AMBIG","!AMBIG",IF(COUNTIF('Calculations'!$HE$13:$HE$512,"="&amp;SUBSTITUTE(SUBSTITUTE(SUBSTITUTE('Calculations'!HX300,"~","~~"),"*","~*"),"?","~?"))&gt;1,"!AMBIG",IFERROR(INDEX('Calculations'!$HF$13:$HF$512,MATCH('Calculations'!HX300,'Calculations'!$HE$13:$HE$512,0)),""))))</x:f>
      </x:c>
      <x:c r="HZ300" t="str">
        <x:f>IF('Calculations'!HY300="","",IF('Calculations'!HY300="!AMBIG","!AMBIG",IF(COUNTIF('Calculations'!$HE$13:$HE$512,"="&amp;SUBSTITUTE(SUBSTITUTE(SUBSTITUTE('Calculations'!HY300,"~","~~"),"*","~*"),"?","~?"))&gt;1,"!AMBIG",IFERROR(INDEX('Calculations'!$HF$13:$HF$512,MATCH('Calculations'!HY300,'Calculations'!$HE$13:$HE$512,0)),""))))</x:f>
      </x:c>
      <x:c r="IA300" t="str">
        <x:f>IF('Calculations'!HZ300="","",IF('Calculations'!HZ300="!AMBIG","!AMBIG",IF(COUNTIF('Calculations'!$HE$13:$HE$512,"="&amp;SUBSTITUTE(SUBSTITUTE(SUBSTITUTE('Calculations'!HZ300,"~","~~"),"*","~*"),"?","~?"))&gt;1,"!AMBIG",IFERROR(INDEX('Calculations'!$HF$13:$HF$512,MATCH('Calculations'!HZ300,'Calculations'!$HE$13:$HE$512,0)),""))))</x:f>
      </x:c>
      <x:c r="IB300" t="str">
        <x:f>IF('Calculations'!IA300="","",IF('Calculations'!IA300="!AMBIG","!AMBIG",IF(COUNTIF('Calculations'!$HE$13:$HE$512,"="&amp;SUBSTITUTE(SUBSTITUTE(SUBSTITUTE('Calculations'!IA300,"~","~~"),"*","~*"),"?","~?"))&gt;1,"!AMBIG",IFERROR(INDEX('Calculations'!$HF$13:$HF$512,MATCH('Calculations'!IA300,'Calculations'!$HE$13:$HE$512,0)),""))))</x:f>
      </x:c>
      <x:c r="IC300" t="str">
        <x:f>IF('Calculations'!IB300="","",IF('Calculations'!IB300="!AMBIG","!AMBIG",IF(COUNTIF('Calculations'!$HE$13:$HE$512,"="&amp;SUBSTITUTE(SUBSTITUTE(SUBSTITUTE('Calculations'!IB300,"~","~~"),"*","~*"),"?","~?"))&gt;1,"!AMBIG",IFERROR(INDEX('Calculations'!$HF$13:$HF$512,MATCH('Calculations'!IB300,'Calculations'!$HE$13:$HE$512,0)),""))))</x:f>
      </x:c>
      <x:c r="ID300" t="str">
        <x:f>IF('Calculations'!IC300="","",IF('Calculations'!IC300="!AMBIG","!AMBIG",IF(COUNTIF('Calculations'!$HE$13:$HE$512,"="&amp;SUBSTITUTE(SUBSTITUTE(SUBSTITUTE('Calculations'!IC300,"~","~~"),"*","~*"),"?","~?"))&gt;1,"!AMBIG",IFERROR(INDEX('Calculations'!$HF$13:$HF$512,MATCH('Calculations'!IC300,'Calculations'!$HE$13:$HE$512,0)),""))))</x:f>
      </x:c>
      <x:c r="IE300" t="str">
        <x:f>IF('Calculations'!ID300="","",IF('Calculations'!ID300="!AMBIG","!AMBIG",IF(COUNTIF('Calculations'!$HE$13:$HE$512,"="&amp;SUBSTITUTE(SUBSTITUTE(SUBSTITUTE('Calculations'!ID300,"~","~~"),"*","~*"),"?","~?"))&gt;1,"!AMBIG",IFERROR(INDEX('Calculations'!$HF$13:$HF$512,MATCH('Calculations'!ID300,'Calculations'!$HE$13:$HE$512,0)),""))))</x:f>
      </x:c>
      <x:c r="IF300" t="str">
        <x:f>IF('Calculations'!IE300="","",IF('Calculations'!IE300="!AMBIG","!AMBIG",IF(COUNTIF('Calculations'!$HE$13:$HE$512,"="&amp;SUBSTITUTE(SUBSTITUTE(SUBSTITUTE('Calculations'!IE300,"~","~~"),"*","~*"),"?","~?"))&gt;1,"!AMBIG",IFERROR(INDEX('Calculations'!$HF$13:$HF$512,MATCH('Calculations'!IE300,'Calculations'!$HE$13:$HE$512,0)),""))))</x:f>
      </x:c>
      <x:c r="IG300" t="str">
        <x:f>IF('Calculations'!IF300="","",IF('Calculations'!IF300="!AMBIG","!AMBIG",IF(COUNTIF('Calculations'!$HE$13:$HE$512,"="&amp;SUBSTITUTE(SUBSTITUTE(SUBSTITUTE('Calculations'!IF300,"~","~~"),"*","~*"),"?","~?"))&gt;1,"!AMBIG",IFERROR(INDEX('Calculations'!$HF$13:$HF$512,MATCH('Calculations'!IF300,'Calculations'!$HE$13:$HE$512,0)),""))))</x:f>
      </x:c>
      <x:c r="IH300" t="str">
        <x:f>IF('Calculations'!IG300="","",IF('Calculations'!IG300="!AMBIG","!AMBIG",IF(COUNTIF('Calculations'!$HE$13:$HE$512,"="&amp;SUBSTITUTE(SUBSTITUTE(SUBSTITUTE('Calculations'!IG300,"~","~~"),"*","~*"),"?","~?"))&gt;1,"!AMBIG",IFERROR(INDEX('Calculations'!$HF$13:$HF$512,MATCH('Calculations'!IG300,'Calculations'!$HE$13:$HE$512,0)),""))))</x:f>
      </x:c>
      <x:c r="II300" t="str">
        <x:f>IF('Calculations'!IH300="","",IF('Calculations'!IH300="!AMBIG","!AMBIG",IF(COUNTIF('Calculations'!$HE$13:$HE$512,"="&amp;SUBSTITUTE(SUBSTITUTE(SUBSTITUTE('Calculations'!IH300,"~","~~"),"*","~*"),"?","~?"))&gt;1,"!AMBIG",IFERROR(INDEX('Calculations'!$HF$13:$HF$512,MATCH('Calculations'!IH300,'Calculations'!$HE$13:$HE$512,0)),""))))</x:f>
      </x:c>
      <x:c r="IJ300" t="str">
        <x:f>IF('Calculations'!EM300="","",IF('Calculations'!$EF$2="All",'Calculations'!HM300,IF('Calculations'!HL300=1,"",IFERROR(IF(MATCH('Calculations'!$EF$2,'Calculations'!HO300:II300,0)=1,'Calculations'!HE300,INDEX('Calculations'!HO300:II300,1,MATCH('Calculations'!$EF$2,'Calculations'!HO300:II300,0)-1)),""))))</x:f>
      </x:c>
      <x:c r="IK300" t="n">
        <x:f>IF(AND('Calculations'!EM300&lt;&gt;"",'Calculations'!$EF$2&lt;&gt;"All",'Calculations'!HF300='Calculations'!$EF$2,'Calculations'!HL300=0,'Calculations'!JD300&gt;0),MAX('Calculations'!$IK$12:IK299)+1,0)</x:f>
        <x:v>0</x:v>
      </x:c>
      <x:c r="JA300" t="n">
        <x:f>IF(OR(IFERROR(INDIRECT("'WCM Calibration Final'!$A$300")&lt;&gt;"",FALSE),IFERROR(INDIRECT("'WCM Calibration Final'!$B$300")&lt;&gt;"",FALSE),IFERROR(INDIRECT("'WCM Calibration Final'!$C$300")&lt;&gt;"",FALSE)),300,0)</x:f>
        <x:v>0</x:v>
      </x:c>
      <x:c r="JB300" t="n">
        <x:f>'Calculations'!JB299+IF('Calculations'!JA300&gt;0,1,0)</x:f>
        <x:v>0</x:v>
      </x:c>
      <x:c r="JC300" t="n">
        <x:f>IF(OR('Calculations'!HF300="",'Calculations'!HF300="!AMBIG"),0,IF('Dashboard'!$B$7="All",1,COUNTIFS('Calculations'!$HO$13:$HO$512,"="&amp;SUBSTITUTE(SUBSTITUTE(SUBSTITUTE('Calculations'!HF300,"~","~~"),"*","~*"),"?","~?"),'Calculations'!$HN$13:$HN$512,"="&amp;SUBSTITUTE(SUBSTITUTE(SUBSTITUTE('Dashboard'!$B$7,"~","~~"),"*","~*"),"?","~?"))+COUNTIFS('Calculations'!$HP$13:$HP$512,"="&amp;SUBSTITUTE(SUBSTITUTE(SUBSTITUTE('Calculations'!HF300,"~","~~"),"*","~*"),"?","~?"),'Calculations'!$HN$13:$HN$512,"="&amp;SUBSTITUTE(SUBSTITUTE(SUBSTITUTE('Dashboard'!$B$7,"~","~~"),"*","~*"),"?","~?"))+COUNTIFS('Calculations'!$HQ$13:$HQ$512,"="&amp;SUBSTITUTE(SUBSTITUTE(SUBSTITUTE('Calculations'!HF300,"~","~~"),"*","~*"),"?","~?"),'Calculations'!$HN$13:$HN$512,"="&amp;SUBSTITUTE(SUBSTITUTE(SUBSTITUTE('Dashboard'!$B$7,"~","~~"),"*","~*"),"?","~?"))+COUNTIFS('Calculations'!$HR$13:$HR$512,"="&amp;SUBSTITUTE(SUBSTITUTE(SUBSTITUTE('Calculations'!HF300,"~","~~"),"*","~*"),"?","~?"),'Calculations'!$HN$13:$HN$512,"="&amp;SUBSTITUTE(SUBSTITUTE(SUBSTITUTE('Dashboard'!$B$7,"~","~~"),"*","~*"),"?","~?"))+COUNTIFS('Calculations'!$HS$13:$HS$512,"="&amp;SUBSTITUTE(SUBSTITUTE(SUBSTITUTE('Calculations'!HF300,"~","~~"),"*","~*"),"?","~?"),'Calculations'!$HN$13:$HN$512,"="&amp;SUBSTITUTE(SUBSTITUTE(SUBSTITUTE('Dashboard'!$B$7,"~","~~"),"*","~*"),"?","~?"))+COUNTIFS('Calculations'!$HT$13:$HT$512,"="&amp;SUBSTITUTE(SUBSTITUTE(SUBSTITUTE('Calculations'!HF300,"~","~~"),"*","~*"),"?","~?"),'Calculations'!$HN$13:$HN$512,"="&amp;SUBSTITUTE(SUBSTITUTE(SUBSTITUTE('Dashboard'!$B$7,"~","~~"),"*","~*"),"?","~?"))+COUNTIFS('Calculations'!$HU$13:$HU$512,"="&amp;SUBSTITUTE(SUBSTITUTE(SUBSTITUTE('Calculations'!HF300,"~","~~"),"*","~*"),"?","~?"),'Calculations'!$HN$13:$HN$512,"="&amp;SUBSTITUTE(SUBSTITUTE(SUBSTITUTE('Dashboard'!$B$7,"~","~~"),"*","~*"),"?","~?"))+COUNTIFS('Calculations'!$HV$13:$HV$512,"="&amp;SUBSTITUTE(SUBSTITUTE(SUBSTITUTE('Calculations'!HF300,"~","~~"),"*","~*"),"?","~?"),'Calculations'!$HN$13:$HN$512,"="&amp;SUBSTITUTE(SUBSTITUTE(SUBSTITUTE('Dashboard'!$B$7,"~","~~"),"*","~*"),"?","~?"))+COUNTIFS('Calculations'!$HW$13:$HW$512,"="&amp;SUBSTITUTE(SUBSTITUTE(SUBSTITUTE('Calculations'!HF300,"~","~~"),"*","~*"),"?","~?"),'Calculations'!$HN$13:$HN$512,"="&amp;SUBSTITUTE(SUBSTITUTE(SUBSTITUTE('Dashboard'!$B$7,"~","~~"),"*","~*"),"?","~?"))+COUNTIFS('Calculations'!$HX$13:$HX$512,"="&amp;SUBSTITUTE(SUBSTITUTE(SUBSTITUTE('Calculations'!HF300,"~","~~"),"*","~*"),"?","~?"),'Calculations'!$HN$13:$HN$512,"="&amp;SUBSTITUTE(SUBSTITUTE(SUBSTITUTE('Dashboard'!$B$7,"~","~~"),"*","~*"),"?","~?"))+COUNTIFS('Calculations'!$HY$13:$HY$512,"="&amp;SUBSTITUTE(SUBSTITUTE(SUBSTITUTE('Calculations'!HF300,"~","~~"),"*","~*"),"?","~?"),'Calculations'!$HN$13:$HN$512,"="&amp;SUBSTITUTE(SUBSTITUTE(SUBSTITUTE('Dashboard'!$B$7,"~","~~"),"*","~*"),"?","~?"))+COUNTIFS('Calculations'!$HZ$13:$HZ$512,"="&amp;SUBSTITUTE(SUBSTITUTE(SUBSTITUTE('Calculations'!HF300,"~","~~"),"*","~*"),"?","~?"),'Calculations'!$HN$13:$HN$512,"="&amp;SUBSTITUTE(SUBSTITUTE(SUBSTITUTE('Dashboard'!$B$7,"~","~~"),"*","~*"),"?","~?"))+COUNTIFS('Calculations'!$IA$13:$IA$512,"="&amp;SUBSTITUTE(SUBSTITUTE(SUBSTITUTE('Calculations'!HF300,"~","~~"),"*","~*"),"?","~?"),'Calculations'!$HN$13:$HN$512,"="&amp;SUBSTITUTE(SUBSTITUTE(SUBSTITUTE('Dashboard'!$B$7,"~","~~"),"*","~*"),"?","~?"))+COUNTIFS('Calculations'!$IB$13:$IB$512,"="&amp;SUBSTITUTE(SUBSTITUTE(SUBSTITUTE('Calculations'!HF300,"~","~~"),"*","~*"),"?","~?"),'Calculations'!$HN$13:$HN$512,"="&amp;SUBSTITUTE(SUBSTITUTE(SUBSTITUTE('Dashboard'!$B$7,"~","~~"),"*","~*"),"?","~?"))+COUNTIFS('Calculations'!$IC$13:$IC$512,"="&amp;SUBSTITUTE(SUBSTITUTE(SUBSTITUTE('Calculations'!HF300,"~","~~"),"*","~*"),"?","~?"),'Calculations'!$HN$13:$HN$512,"="&amp;SUBSTITUTE(SUBSTITUTE(SUBSTITUTE('Dashboard'!$B$7,"~","~~"),"*","~*"),"?","~?"))+COUNTIFS('Calculations'!$ID$13:$ID$512,"="&amp;SUBSTITUTE(SUBSTITUTE(SUBSTITUTE('Calculations'!HF300,"~","~~"),"*","~*"),"?","~?"),'Calculations'!$HN$13:$HN$512,"="&amp;SUBSTITUTE(SUBSTITUTE(SUBSTITUTE('Dashboard'!$B$7,"~","~~"),"*","~*"),"?","~?"))+COUNTIFS('Calculations'!$IE$13:$IE$512,"="&amp;SUBSTITUTE(SUBSTITUTE(SUBSTITUTE('Calculations'!HF300,"~","~~"),"*","~*"),"?","~?"),'Calculations'!$HN$13:$HN$512,"="&amp;SUBSTITUTE(SUBSTITUTE(SUBSTITUTE('Dashboard'!$B$7,"~","~~"),"*","~*"),"?","~?"))+COUNTIFS('Calculations'!$IF$13:$IF$512,"="&amp;SUBSTITUTE(SUBSTITUTE(SUBSTITUTE('Calculations'!HF300,"~","~~"),"*","~*"),"?","~?"),'Calculations'!$HN$13:$HN$512,"="&amp;SUBSTITUTE(SUBSTITUTE(SUBSTITUTE('Dashboard'!$B$7,"~","~~"),"*","~*"),"?","~?"))+COUNTIFS('Calculations'!$IG$13:$IG$512,"="&amp;SUBSTITUTE(SUBSTITUTE(SUBSTITUTE('Calculations'!HF300,"~","~~"),"*","~*"),"?","~?"),'Calculations'!$HN$13:$HN$512,"="&amp;SUBSTITUTE(SUBSTITUTE(SUBSTITUTE('Dashboard'!$B$7,"~","~~"),"*","~*"),"?","~?"))+COUNTIFS('Calculations'!$IH$13:$IH$512,"="&amp;SUBSTITUTE(SUBSTITUTE(SUBSTITUTE('Calculations'!HF300,"~","~~"),"*","~*"),"?","~?"),'Calculations'!$HN$13:$HN$512,"="&amp;SUBSTITUTE(SUBSTITUTE(SUBSTITUTE('Dashboard'!$B$7,"~","~~"),"*","~*"),"?","~?"))))</x:f>
        <x:v>0</x:v>
      </x:c>
      <x:c r="JD300" t="n">
        <x:f>IF('Calculations'!EM300="",0,IF('Dashboard'!$B$7="All",1,IF('Calculations'!HN300='Dashboard'!$B$7,1,0)+IFERROR(INDEX('Calculations'!$JC$13:$JC$512,MATCH('Calculations'!HE300,'Calculations'!$HF$13:$HF$512,0)),0)))</x:f>
        <x:v>0</x:v>
      </x:c>
      <x:c r="JE300" t="n">
        <x:f>IF(AND('Calculations'!EM300&lt;&gt;"",'Calculations'!$JJ$2&lt;&gt;"All",'Calculations'!$JJ$2&lt;&gt;"",'Calculations'!HF300='Calculations'!$JJ$2,'Calculations'!HL300=0,'Calculations'!JD300&gt;0),MAX('Calculations'!$JE$12:JE299)+1,0)</x:f>
        <x:v>0</x:v>
      </x:c>
      <x:c r="JF300" t="str">
        <x:f>IF('Calculations'!EM300="","",IFERROR(IF(INDEX(INDIRECT("'WCM Calibration Final'!$G$1:$G$2000"),'Calculations'!$EM300)="","",TRIM(INDEX(INDIRECT("'WCM Calibration Final'!$G$1:$G$2000"),'Calculations'!$EM300)&amp;"")),""))</x:f>
      </x:c>
      <x:c r="JQ300" t="n">
        <x:f>IF(OR('Calculations'!BM300=0,NOT('Calculations'!$AG$2),'Calculations'!$AG$8&gt;0),0,IF(OR('Dashboard'!$B$7="All",'Calculations'!HN300='Dashboard'!$B$7),IF('Calculations'!$JJ$2="All",1,IF(AND('Calculations'!HF300='Calculations'!$JJ$2,'Calculations'!HL300=0),1,0)),0))</x:f>
        <x:v>0</x:v>
      </x:c>
    </x:row>
    <x:row r="301">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t="n">
        <x:f>IF('Calculations'!$EM301="",0,IF(OR(IFERROR(INDEX(INDIRECT("'WCM Calibration Final'!$A$1:$A$2000"),'Calculations'!$EM301)&lt;&gt;"",FALSE),IFERROR(INDEX(INDIRECT("'WCM Calibration Final'!$B$1:$B$2000"),'Calculations'!$EM301)&lt;&gt;"",FALSE),IFERROR(INDEX(INDIRECT("'WCM Calibration Final'!$C$1:$C$2000"),'Calculations'!$EM301)&lt;&gt;"",FALSE)),1,0))</x:f>
        <x:v>0</x:v>
      </x:c>
      <x:c r="BN301" s="4" t="n">
        <x:f>IF(AND('Calculations'!BM301=1,'Calculations'!$AG$2,'Calculations'!$EN301=1),1,0)</x:f>
        <x:v>0</x:v>
      </x:c>
      <x:c r="BO301" s="4" t="str">
        <x:f>IF('Calculations'!BM301=0,"",IFERROR(IF(AND(VALUE(INDEX(INDIRECT("'WCM Calibration Final'!$K$1:$K$2000"),'Calculations'!$EM301))&gt;=1,VALUE(INDEX(INDIRECT("'WCM Calibration Final'!$K$1:$K$2000"),'Calculations'!$EM301))&lt;=4,MOD(VALUE(INDEX(INDIRECT("'WCM Calibration Final'!$K$1:$K$2000"),'Calculations'!$EM301)),1)=0),VALUE(INDEX(INDIRECT("'WCM Calibration Final'!$K$1:$K$2000"),'Calculations'!$EM301)),""),""))</x:f>
      </x:c>
      <x:c r="BP301" s="4" t="str">
        <x:f>IF('Calculations'!BM301=0,"",IFERROR(IF(AND(VALUE(INDEX(INDIRECT("'WCM Calibration Final'!$L$1:$L$2000"),'Calculations'!$EM301))&gt;=1,VALUE(INDEX(INDIRECT("'WCM Calibration Final'!$L$1:$L$2000"),'Calculations'!$EM301))&lt;=4,MOD(VALUE(INDEX(INDIRECT("'WCM Calibration Final'!$L$1:$L$2000"),'Calculations'!$EM301)),1)=0),VALUE(INDEX(INDIRECT("'WCM Calibration Final'!$L$1:$L$2000"),'Calculations'!$EM301)),""),""))</x:f>
      </x:c>
      <x:c r="BQ301" s="4"/>
      <x:c r="BR301" s="4"/>
      <x:c r="BS301" s="4"/>
      <x:c r="BT301" s="4" t="n">
        <x:f>IF(AND('Calculations'!BM301=1,ISNUMBER('Calculations'!BO301),ISNUMBER('Calculations'!BP301)),1,0)</x:f>
        <x:v>0</x:v>
      </x:c>
      <x:c r="BU301" s="4" t="str">
        <x:f>IF('Calculations'!BM301=0,"",'Calculations'!$EO301)</x:f>
      </x:c>
      <x:c r="BV301" s="4" t="str">
        <x:f>IF('Calculations'!BM301=0,"",IFERROR(IF(OR(INDEX(INDIRECT("'WCM Calibration Final'!$H$1:$H$2000"),'Calculations'!$EM301)="MANAGING DIRECTOR",INDEX(INDIRECT("'WCM Calibration Final'!$H$1:$H$2000"),'Calculations'!$EM301)="DIRECTOR",INDEX(INDIRECT("'WCM Calibration Final'!$H$1:$H$2000"),'Calculations'!$EM301)="SENIOR VICE PRESIDENT",INDEX(INDIRECT("'WCM Calibration Final'!$H$1:$H$2000"),'Calculations'!$EM301)="VICE PRESIDENT",INDEX(INDIRECT("'WCM Calibration Final'!$H$1:$H$2000"),'Calculations'!$EM301)="ASSISTANT VICE PRESIDENT",INDEX(INDIRECT("'WCM Calibration Final'!$H$1:$H$2000"),'Calculations'!$EM301)="OFFICER"),UPPER(INDEX(INDIRECT("'WCM Calibration Final'!$H$1:$H$2000"),'Calculations'!$EM301)),"Other"),"Other"))</x:f>
      </x:c>
      <x:c r="BW301" s="4"/>
      <x:c r="BX301" s="4"/>
      <x:c r="BY301" s="4" t="n">
        <x:f>IF(AND('Calculations'!BM301=1,'Calculations'!BU301&lt;&gt;"",COUNTIF('Calculations'!$BU$12:BU301,'Calculations'!BU301)=1),MAX('Calculations'!$BY$11:BY300)+1,0)</x:f>
        <x:v>0</x:v>
      </x:c>
      <x:c r="BZ301" s="4" t="str">
        <x:f>IF('Dashboard'!$E$67="What",'Calculations'!BO301,'Calculations'!BP301)</x:f>
      </x:c>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t="str">
        <x:f>IF(290&gt;MAX('Calculations'!$HI$13:$HI$512),"",INDEX('Calculations'!$HN$13:$HN$512,MATCH(290,'Calculations'!$HI$13:$HI$512,0)))</x:f>
      </x:c>
      <x:c r="DB301" s="4" t="str">
        <x:f>IF(290&gt;MAX('Calculations'!$HH$13:$HH$512),"",INDEX('Calculations'!$HJ$13:$HJ$512,MATCH(290,'Calculations'!$HH$13:$HH$512,0)))</x:f>
      </x:c>
      <x:c r="DC301" s="4" t="str">
        <x:f>IF(ROW()-11&gt;MAX('Calculations'!$BY$13:$BY$512),"",INDEX('Calculations'!$BU$13:$BU$512,MATCH(ROW()-11,'Calculations'!$BY$13:$BY$512,0)))</x:f>
      </x:c>
      <x:c r="DD301" s="4" t="str">
        <x:f>IF(290&gt;MAX('Calculations'!$IK$13:$IK$512),"",INDEX('Calculations'!$HK$13:$HK$512,MATCH(290,'Calculations'!$IK$13:$IK$512,0)))</x:f>
      </x:c>
      <x:c r="DE301" s="4" t="str">
        <x:f>'Calculations'!DC301</x:f>
      </x:c>
      <x:c r="DF301" s="4" t="str">
        <x:f>IF('Calculations'!DE301="","",COUNTIFS('Calculations'!$BN$13:$BN$512,1,'Calculations'!$BU$13:$BU$512,'Calculations'!DE301))</x:f>
      </x:c>
      <x:c r="DG301" s="4" t="str">
        <x:f>IF('Calculations'!DE301="","",COUNTIFS('Calculations'!$BN$13:$BN$512,1,'Calculations'!$BU$13:$BU$512,'Calculations'!DE301,'Calculations'!$BT$13:$BT$512,1))</x:f>
      </x:c>
      <x:c r="DH301" s="4" t="str">
        <x:f>IF('Calculations'!DE301="","",'Calculations'!DF301-'Calculations'!DG301)</x:f>
      </x:c>
      <x:c r="DI301" s="4" t="str">
        <x:f>IF(OR('Calculations'!DE301="",'Calculations'!DF301=0),"",'Calculations'!DG301/'Calculations'!DF301)</x:f>
      </x:c>
      <x:c r="DJ301" s="4" t="str">
        <x:f>IF('Calculations'!DE301="","",COUNTIFS('Calculations'!$BN$13:$BN$512,1,'Calculations'!$BU$13:$BU$512,'Calculations'!DE301,'Calculations'!$BT$13:$BT$512,1,'Calculations'!$EE$13:$EE$512,"High"))</x:f>
      </x:c>
      <x:c r="DK301" s="4" t="str">
        <x:f>IF('Calculations'!DE301="","",COUNTIFS('Calculations'!$BN$13:$BN$512,1,'Calculations'!$BU$13:$BU$512,'Calculations'!DE301,'Calculations'!$BT$13:$BT$512,1,'Calculations'!$EE$13:$EE$512,"Strong"))</x:f>
      </x:c>
      <x:c r="DL301" s="4" t="str">
        <x:f>IF('Calculations'!DE301="","",COUNTIFS('Calculations'!$BN$13:$BN$512,1,'Calculations'!$BU$13:$BU$512,'Calculations'!DE301,'Calculations'!$BT$13:$BT$512,1,'Calculations'!$EE$13:$EE$512,"Solid"))</x:f>
      </x:c>
      <x:c r="DM301" s="4" t="str">
        <x:f>IF('Calculations'!DE301="","",COUNTIFS('Calculations'!$BN$13:$BN$512,1,'Calculations'!$BU$13:$BU$512,'Calculations'!DE301,'Calculations'!$BT$13:$BT$512,1,'Calculations'!$EE$13:$EE$512,"Low"))</x:f>
      </x:c>
      <x:c r="DN301" s="4" t="str">
        <x:f>IF('Calculations'!DE301="","",COUNTIFS('Calculations'!$BN$13:$BN$512,1,'Calculations'!$BU$13:$BU$512,'Calculations'!DE301,'Calculations'!$EP$13:$EP$512,1))</x:f>
      </x:c>
      <x:c r="DO301" s="4" t="str">
        <x:f>IF(OR('Calculations'!DE301="",'Calculations'!DG301=0),"",('Calculations'!DJ301+'Calculations'!DK301)/'Calculations'!DG301)</x:f>
      </x:c>
      <x:c r="DP301" s="4" t="n">
        <x:f>IF(AND('Calculations'!DE301&lt;&gt;"",'Calculations'!DF301&gt;0),COUNTIF('Calculations'!$DF$12:DF301,"&gt;0"),0)</x:f>
        <x:v>0</x:v>
      </x:c>
      <x:c r="DQ301" s="4" t="str">
        <x:f>IF(290&gt;MAX('Calculations'!$HH$13:$HH$512),"",INDEX('Calculations'!$HF$13:$HF$512,MATCH(290,'Calculations'!$HH$13:$HH$512,0)))</x:f>
      </x:c>
      <x:c r="DR301" s="4" t="str">
        <x:f>IF(290&gt;MAX('Calculations'!$IK$13:$IK$512),"",INDEX('Calculations'!$HE$13:$HE$512,MATCH(290,'Calculations'!$IK$13:$IK$512,0)))</x:f>
      </x:c>
      <x:c r="DS301" s="4"/>
      <x:c r="DT301" s="4"/>
      <x:c r="DU301" s="4"/>
      <x:c r="DV301" s="4"/>
      <x:c r="DW301" s="4"/>
      <x:c r="DX301" s="4"/>
      <x:c r="DY301" s="4"/>
      <x:c r="DZ301" s="4"/>
      <x:c r="EA301" s="4"/>
      <x:c r="EB301" s="4"/>
      <x:c r="EC301" s="4"/>
      <x:c r="ED301" s="4"/>
      <x:c r="EE301" s="4" t="str">
        <x:f>IF('Calculations'!BT301=0,"Not Rated",IF(OR('Calculations'!BO301&gt;=4,'Calculations'!BP301&gt;=4),"Low",IF('Calculations'!BO301+'Calculations'!BP301&lt;=3,"High",IF('Calculations'!BO301+'Calculations'!BP301&lt;=4,"Strong","Solid"))))</x:f>
        <x:v>Not Rated</x:v>
      </x:c>
      <x:c r="EF301" s="4"/>
      <x:c r="EG301" s="4"/>
      <x:c r="EH301" s="4"/>
      <x:c r="EI301" s="4"/>
      <x:c r="EJ301" s="4"/>
      <x:c r="EK301" s="4"/>
      <x:c r="EL301" s="4"/>
      <x:c r="EM301" s="4" t="str">
        <x:f>IF(289&gt;'Calculations'!$JB$2000,"",INDEX('Calculations'!$JA$12:$JA$2000,MATCH(289,'Calculations'!$JB$12:$JB$2000,0)))</x:f>
      </x:c>
      <x:c r="EN301" s="4" t="n">
        <x:f>IF(OR('Calculations'!EM301="",'Calculations'!$AG$8&gt;0,AND('Calculations'!$EF$2&lt;&gt;"All",'Calculations'!HE301='Calculations'!$EF$2),AND('Calculations'!$EF$3&lt;&gt;"All",'Calculations'!HE301='Calculations'!$EF$3)),0,IF(OR('Dashboard'!$B$7="All",'Calculations'!HN301='Dashboard'!$B$7),IF('Calculations'!$EF$2="All",1,IF('Calculations'!HL301&gt;0,0,IF(COUNTIF('Calculations'!HO301:II301,"="&amp;SUBSTITUTE(SUBSTITUTE(SUBSTITUTE('Calculations'!$EF$2,"~","~~"),"*","~*"),"?","~?"))=0,0,IF('Calculations'!$EF$3="All",1,IF(COUNTIF('Calculations'!HO301:II301,"="&amp;SUBSTITUTE(SUBSTITUTE(SUBSTITUTE('Calculations'!$EF$3,"~","~~"),"*","~*"),"?","~?"))&gt;0,1,0))))),0))</x:f>
        <x:v>0</x:v>
      </x:c>
      <x:c r="EO301" s="4" t="str">
        <x:f>IF('Calculations'!IJ301="","",IF('Calculations'!IJ301="!UNRESOLVED","Unresolved hierarchy",IFERROR(INDEX('Calculations'!$HK$13:$HK$512,MATCH('Calculations'!IJ301,'Calculations'!$HE$13:$HE$512,0)),IFERROR(INDEX('Calculations'!$HJ$13:$HJ$512,MATCH('Calculations'!IJ301,'Calculations'!$HF$13:$HF$512,0)),'Calculations'!IJ301))))</x:f>
      </x:c>
      <x:c r="EP301" s="4" t="n">
        <x:f>IF(AND('Calculations'!EM301&lt;&gt;"",'Calculations'!HF301='Calculations'!IJ301),1,0)</x:f>
        <x:v>0</x:v>
      </x:c>
      <x:c r="EQ301" s="4"/>
      <x:c r="ER301" s="4"/>
      <x:c r="ES301" s="4"/>
      <x:c r="ET301" s="4"/>
      <x:c r="EU301" s="4"/>
      <x:c r="EV301" s="4"/>
      <x:c r="EW301" s="4"/>
      <x:c r="EX301" s="4"/>
      <x:c r="EY301" s="4"/>
      <x:c r="EZ301" s="4"/>
      <x:c r="FA301" s="4"/>
      <x:c r="FB301" s="4"/>
      <x:c r="FC301" s="4"/>
      <x:c r="FD301" s="4"/>
      <x:c r="FE301" s="4"/>
      <x:c r="FF301" s="4"/>
      <x:c r="FG301" s="4"/>
      <x:c r="FH301" s="4"/>
      <x:c r="FI301" s="4"/>
      <x:c r="FJ301" s="4"/>
      <x:c r="FK301" s="4"/>
      <x:c r="FL301" s="4"/>
      <x:c r="FM301" s="4"/>
      <x:c r="FN301" s="4"/>
      <x:c r="FO301" s="4"/>
      <x:c r="HE301" t="str">
        <x:f>IF('Calculations'!EM301="","",IF(IFERROR(IF(INDEX(INDIRECT("'WCM Calibration Final'!$A$1:$A$2000"),'Calculations'!$EM301)="","",TRIM(INDEX(INDIRECT("'WCM Calibration Final'!$A$1:$A$2000"),'Calculations'!$EM301)&amp;"")),"")&lt;&gt;"","G:"&amp;IFERROR(TEXT(1*INDEX(INDIRECT("'WCM Calibration Final'!$A$1:$A$2000"),'Calculations'!$EM301),"0"),UPPER(IFERROR(IF(INDEX(INDIRECT("'WCM Calibration Final'!$A$1:$A$2000"),'Calculations'!$EM301)="","",TRIM(INDEX(INDIRECT("'WCM Calibration Final'!$A$1:$A$2000"),'Calculations'!$EM301)&amp;"")),""))),IF(IFERROR(IF(INDEX(INDIRECT("'WCM Calibration Final'!$C$1:$C$2000"),'Calculations'!$EM301)="","",TRIM(INDEX(INDIRECT("'WCM Calibration Final'!$C$1:$C$2000"),'Calculations'!$EM301)&amp;"")),"")&lt;&gt;"","S:"&amp;UPPER(IFERROR(IF(INDEX(INDIRECT("'WCM Calibration Final'!$C$1:$C$2000"),'Calculations'!$EM301)="","",TRIM(INDEX(INDIRECT("'WCM Calibration Final'!$C$1:$C$2000"),'Calculations'!$EM301)&amp;"")),"")),"R:"&amp;'Calculations'!EM301)))</x:f>
      </x:c>
      <x:c r="HF301" t="str">
        <x:f>IF('Calculations'!EM301="","",IF(IFERROR(IF(INDEX(INDIRECT("'WCM Calibration Final'!$D$1:$D$2000"),'Calculations'!$EM301)="","",TRIM(INDEX(INDIRECT("'WCM Calibration Final'!$D$1:$D$2000"),'Calculations'!$EM301)&amp;"")),"")&lt;&gt;"","G:"&amp;IFERROR(TEXT(1*INDEX(INDIRECT("'WCM Calibration Final'!$D$1:$D$2000"),'Calculations'!$EM301),"0"),UPPER(IFERROR(IF(INDEX(INDIRECT("'WCM Calibration Final'!$D$1:$D$2000"),'Calculations'!$EM301)="","",TRIM(INDEX(INDIRECT("'WCM Calibration Final'!$D$1:$D$2000"),'Calculations'!$EM301)&amp;"")),""))),IF(IFERROR(IF(INDEX(INDIRECT("'WCM Calibration Final'!$E$1:$E$2000"),'Calculations'!$EM301)="","",TRIM(INDEX(INDIRECT("'WCM Calibration Final'!$E$1:$E$2000"),'Calculations'!$EM301)&amp;"")),"")="","",IF(COUNTIF('Calculations'!$HG$13:$HG$512,"="&amp;SUBSTITUTE(SUBSTITUTE(SUBSTITUTE(IFERROR(IF(INDEX(INDIRECT("'WCM Calibration Final'!$E$1:$E$2000"),'Calculations'!$EM301)="","",TRIM(INDEX(INDIRECT("'WCM Calibration Final'!$E$1:$E$2000"),'Calculations'!$EM301)&amp;"")),""),"~","~~"),"*","~*"),"?","~?"))=1,INDEX('Calculations'!$HE$13:$HE$512,MATCH(IFERROR(IF(INDEX(INDIRECT("'WCM Calibration Final'!$E$1:$E$2000"),'Calculations'!$EM301)="","",TRIM(INDEX(INDIRECT("'WCM Calibration Final'!$E$1:$E$2000"),'Calculations'!$EM301)&amp;"")),""),'Calculations'!$HG$13:$HG$512,0)),IF(COUNTIF('Calculations'!$HG$13:$HG$512,"="&amp;SUBSTITUTE(SUBSTITUTE(SUBSTITUTE(IFERROR(IF(INDEX(INDIRECT("'WCM Calibration Final'!$E$1:$E$2000"),'Calculations'!$EM301)="","",TRIM(INDEX(INDIRECT("'WCM Calibration Final'!$E$1:$E$2000"),'Calculations'!$EM301)&amp;"")),""),"~","~~"),"*","~*"),"?","~?"))&gt;1,"!AMBIG","X:"&amp;IFERROR(IF(INDEX(INDIRECT("'WCM Calibration Final'!$E$1:$E$2000"),'Calculations'!$EM301)="","",TRIM(INDEX(INDIRECT("'WCM Calibration Final'!$E$1:$E$2000"),'Calculations'!$EM301)&amp;"")),""))))))</x:f>
      </x:c>
      <x:c r="HG301" t="str">
        <x:f>IF('Calculations'!EM301="","",IFERROR(IF(INDEX(INDIRECT("'WCM Calibration Final'!$B$1:$B$2000"),'Calculations'!$EM301)="","",TRIM(INDEX(INDIRECT("'WCM Calibration Final'!$B$1:$B$2000"),'Calculations'!$EM301)&amp;"")),""))</x:f>
      </x:c>
      <x:c r="HH301" t="n">
        <x:f>IF(AND('Calculations'!JC301&gt;0,COUNTIF('Calculations'!$HF$12:HF301,"="&amp;SUBSTITUTE(SUBSTITUTE(SUBSTITUTE('Calculations'!HF301,"~","~~"),"*","~*"),"?","~?"))=1),MAX('Calculations'!$HH$12:HH300)+1,0)</x:f>
        <x:v>0</x:v>
      </x:c>
      <x:c r="HI301" t="n">
        <x:f>IF(AND('Calculations'!HN301&lt;&gt;"",COUNTIF('Calculations'!$HN$12:HN301,"="&amp;SUBSTITUTE(SUBSTITUTE(SUBSTITUTE('Calculations'!HN301,"~","~~"),"*","~*"),"?","~?"))=1),MAX('Calculations'!$HI$12:HI300)+1,0)</x:f>
        <x:v>0</x:v>
      </x:c>
      <x:c r="HJ301" t="str">
        <x:f>IF('Calculations'!HF301="","",IF(COUNTIF('Calculations'!$HE$13:$HE$512,"="&amp;SUBSTITUTE(SUBSTITUTE(SUBSTITUTE('Calculations'!HF301,"~","~~"),"*","~*"),"?","~?"))=1,INDEX('Calculations'!$HK$13:$HK$512,MATCH('Calculations'!HF301,'Calculations'!$HE$13:$HE$512,0)),IFERROR(IF(INDEX(INDIRECT("'WCM Calibration Final'!$E$1:$E$2000"),'Calculations'!$EM301)="","",TRIM(INDEX(INDIRECT("'WCM Calibration Final'!$E$1:$E$2000"),'Calculations'!$EM301)&amp;"")),"")&amp;" ["&amp;'Calculations'!HF301&amp;"]"))</x:f>
      </x:c>
      <x:c r="HK301" t="str">
        <x:f>IF('Calculations'!EM301="","",'Calculations'!HG301&amp;" ["&amp;'Calculations'!HE301&amp;"]")</x:f>
      </x:c>
      <x:c r="HL301" t="n">
        <x:f>IF('Calculations'!EM301="",0,IF(OR('Calculations'!II301&lt;&gt;"",COUNTIF('Calculations'!$HE$13:$HE$512,"="&amp;SUBSTITUTE(SUBSTITUTE(SUBSTITUTE('Calculations'!HE301,"~","~~"),"*","~*"),"?","~?"))&gt;1),1,0))</x:f>
        <x:v>0</x:v>
      </x:c>
      <x:c r="HM301" t="str">
        <x:f>IF('Calculations'!EM301="","",IF('Calculations'!HL301=1,"!UNRESOLVED",IF('Calculations'!IH301&lt;&gt;"",'Calculations'!IH301,IF('Calculations'!IG301&lt;&gt;"",'Calculations'!IG301,IF('Calculations'!IF301&lt;&gt;"",'Calculations'!IF301,IF('Calculations'!IE301&lt;&gt;"",'Calculations'!IE301,IF('Calculations'!ID301&lt;&gt;"",'Calculations'!ID301,IF('Calculations'!IC301&lt;&gt;"",'Calculations'!IC301,IF('Calculations'!IB301&lt;&gt;"",'Calculations'!IB301,IF('Calculations'!IA301&lt;&gt;"",'Calculations'!IA301,IF('Calculations'!HZ301&lt;&gt;"",'Calculations'!HZ301,IF('Calculations'!HY301&lt;&gt;"",'Calculations'!HY301,IF('Calculations'!HX301&lt;&gt;"",'Calculations'!HX301,IF('Calculations'!HW301&lt;&gt;"",'Calculations'!HW301,IF('Calculations'!HV301&lt;&gt;"",'Calculations'!HV301,IF('Calculations'!HU301&lt;&gt;"",'Calculations'!HU301,IF('Calculations'!HT301&lt;&gt;"",'Calculations'!HT301,IF('Calculations'!HS301&lt;&gt;"",'Calculations'!HS301,IF('Calculations'!HR301&lt;&gt;"",'Calculations'!HR301,IF('Calculations'!HQ301&lt;&gt;"",'Calculations'!HQ301,IF('Calculations'!HP301&lt;&gt;"",'Calculations'!HP301,IF('Calculations'!HO301&lt;&gt;"",'Calculations'!HO301,'Calculations'!HE301))))))))))))))))))))))</x:f>
      </x:c>
      <x:c r="HN301" t="str">
        <x:f>IF('Calculations'!EM301="","",IF(IFERROR(IF(INDEX(INDIRECT("'WCM Calibration Final'!$F$1:$F$2000"),'Calculations'!$EM301)="","",TRIM(INDEX(INDIRECT("'WCM Calibration Final'!$F$1:$F$2000"),'Calculations'!$EM301)&amp;"")),"")="","(Blank)",IFERROR(IF(INDEX(INDIRECT("'WCM Calibration Final'!$F$1:$F$2000"),'Calculations'!$EM301)="","",TRIM(INDEX(INDIRECT("'WCM Calibration Final'!$F$1:$F$2000"),'Calculations'!$EM301)&amp;"")),"")))</x:f>
      </x:c>
      <x:c r="HO301" t="str">
        <x:f>'Calculations'!HF301</x:f>
      </x:c>
      <x:c r="HP301" t="str">
        <x:f>IF('Calculations'!HO301="","",IF('Calculations'!HO301="!AMBIG","!AMBIG",IF(COUNTIF('Calculations'!$HE$13:$HE$512,"="&amp;SUBSTITUTE(SUBSTITUTE(SUBSTITUTE('Calculations'!HO301,"~","~~"),"*","~*"),"?","~?"))&gt;1,"!AMBIG",IFERROR(INDEX('Calculations'!$HF$13:$HF$512,MATCH('Calculations'!HO301,'Calculations'!$HE$13:$HE$512,0)),""))))</x:f>
      </x:c>
      <x:c r="HQ301" t="str">
        <x:f>IF('Calculations'!HP301="","",IF('Calculations'!HP301="!AMBIG","!AMBIG",IF(COUNTIF('Calculations'!$HE$13:$HE$512,"="&amp;SUBSTITUTE(SUBSTITUTE(SUBSTITUTE('Calculations'!HP301,"~","~~"),"*","~*"),"?","~?"))&gt;1,"!AMBIG",IFERROR(INDEX('Calculations'!$HF$13:$HF$512,MATCH('Calculations'!HP301,'Calculations'!$HE$13:$HE$512,0)),""))))</x:f>
      </x:c>
      <x:c r="HR301" t="str">
        <x:f>IF('Calculations'!HQ301="","",IF('Calculations'!HQ301="!AMBIG","!AMBIG",IF(COUNTIF('Calculations'!$HE$13:$HE$512,"="&amp;SUBSTITUTE(SUBSTITUTE(SUBSTITUTE('Calculations'!HQ301,"~","~~"),"*","~*"),"?","~?"))&gt;1,"!AMBIG",IFERROR(INDEX('Calculations'!$HF$13:$HF$512,MATCH('Calculations'!HQ301,'Calculations'!$HE$13:$HE$512,0)),""))))</x:f>
      </x:c>
      <x:c r="HS301" t="str">
        <x:f>IF('Calculations'!HR301="","",IF('Calculations'!HR301="!AMBIG","!AMBIG",IF(COUNTIF('Calculations'!$HE$13:$HE$512,"="&amp;SUBSTITUTE(SUBSTITUTE(SUBSTITUTE('Calculations'!HR301,"~","~~"),"*","~*"),"?","~?"))&gt;1,"!AMBIG",IFERROR(INDEX('Calculations'!$HF$13:$HF$512,MATCH('Calculations'!HR301,'Calculations'!$HE$13:$HE$512,0)),""))))</x:f>
      </x:c>
      <x:c r="HT301" t="str">
        <x:f>IF('Calculations'!HS301="","",IF('Calculations'!HS301="!AMBIG","!AMBIG",IF(COUNTIF('Calculations'!$HE$13:$HE$512,"="&amp;SUBSTITUTE(SUBSTITUTE(SUBSTITUTE('Calculations'!HS301,"~","~~"),"*","~*"),"?","~?"))&gt;1,"!AMBIG",IFERROR(INDEX('Calculations'!$HF$13:$HF$512,MATCH('Calculations'!HS301,'Calculations'!$HE$13:$HE$512,0)),""))))</x:f>
      </x:c>
      <x:c r="HU301" t="str">
        <x:f>IF('Calculations'!HT301="","",IF('Calculations'!HT301="!AMBIG","!AMBIG",IF(COUNTIF('Calculations'!$HE$13:$HE$512,"="&amp;SUBSTITUTE(SUBSTITUTE(SUBSTITUTE('Calculations'!HT301,"~","~~"),"*","~*"),"?","~?"))&gt;1,"!AMBIG",IFERROR(INDEX('Calculations'!$HF$13:$HF$512,MATCH('Calculations'!HT301,'Calculations'!$HE$13:$HE$512,0)),""))))</x:f>
      </x:c>
      <x:c r="HV301" t="str">
        <x:f>IF('Calculations'!HU301="","",IF('Calculations'!HU301="!AMBIG","!AMBIG",IF(COUNTIF('Calculations'!$HE$13:$HE$512,"="&amp;SUBSTITUTE(SUBSTITUTE(SUBSTITUTE('Calculations'!HU301,"~","~~"),"*","~*"),"?","~?"))&gt;1,"!AMBIG",IFERROR(INDEX('Calculations'!$HF$13:$HF$512,MATCH('Calculations'!HU301,'Calculations'!$HE$13:$HE$512,0)),""))))</x:f>
      </x:c>
      <x:c r="HW301" t="str">
        <x:f>IF('Calculations'!HV301="","",IF('Calculations'!HV301="!AMBIG","!AMBIG",IF(COUNTIF('Calculations'!$HE$13:$HE$512,"="&amp;SUBSTITUTE(SUBSTITUTE(SUBSTITUTE('Calculations'!HV301,"~","~~"),"*","~*"),"?","~?"))&gt;1,"!AMBIG",IFERROR(INDEX('Calculations'!$HF$13:$HF$512,MATCH('Calculations'!HV301,'Calculations'!$HE$13:$HE$512,0)),""))))</x:f>
      </x:c>
      <x:c r="HX301" t="str">
        <x:f>IF('Calculations'!HW301="","",IF('Calculations'!HW301="!AMBIG","!AMBIG",IF(COUNTIF('Calculations'!$HE$13:$HE$512,"="&amp;SUBSTITUTE(SUBSTITUTE(SUBSTITUTE('Calculations'!HW301,"~","~~"),"*","~*"),"?","~?"))&gt;1,"!AMBIG",IFERROR(INDEX('Calculations'!$HF$13:$HF$512,MATCH('Calculations'!HW301,'Calculations'!$HE$13:$HE$512,0)),""))))</x:f>
      </x:c>
      <x:c r="HY301" t="str">
        <x:f>IF('Calculations'!HX301="","",IF('Calculations'!HX301="!AMBIG","!AMBIG",IF(COUNTIF('Calculations'!$HE$13:$HE$512,"="&amp;SUBSTITUTE(SUBSTITUTE(SUBSTITUTE('Calculations'!HX301,"~","~~"),"*","~*"),"?","~?"))&gt;1,"!AMBIG",IFERROR(INDEX('Calculations'!$HF$13:$HF$512,MATCH('Calculations'!HX301,'Calculations'!$HE$13:$HE$512,0)),""))))</x:f>
      </x:c>
      <x:c r="HZ301" t="str">
        <x:f>IF('Calculations'!HY301="","",IF('Calculations'!HY301="!AMBIG","!AMBIG",IF(COUNTIF('Calculations'!$HE$13:$HE$512,"="&amp;SUBSTITUTE(SUBSTITUTE(SUBSTITUTE('Calculations'!HY301,"~","~~"),"*","~*"),"?","~?"))&gt;1,"!AMBIG",IFERROR(INDEX('Calculations'!$HF$13:$HF$512,MATCH('Calculations'!HY301,'Calculations'!$HE$13:$HE$512,0)),""))))</x:f>
      </x:c>
      <x:c r="IA301" t="str">
        <x:f>IF('Calculations'!HZ301="","",IF('Calculations'!HZ301="!AMBIG","!AMBIG",IF(COUNTIF('Calculations'!$HE$13:$HE$512,"="&amp;SUBSTITUTE(SUBSTITUTE(SUBSTITUTE('Calculations'!HZ301,"~","~~"),"*","~*"),"?","~?"))&gt;1,"!AMBIG",IFERROR(INDEX('Calculations'!$HF$13:$HF$512,MATCH('Calculations'!HZ301,'Calculations'!$HE$13:$HE$512,0)),""))))</x:f>
      </x:c>
      <x:c r="IB301" t="str">
        <x:f>IF('Calculations'!IA301="","",IF('Calculations'!IA301="!AMBIG","!AMBIG",IF(COUNTIF('Calculations'!$HE$13:$HE$512,"="&amp;SUBSTITUTE(SUBSTITUTE(SUBSTITUTE('Calculations'!IA301,"~","~~"),"*","~*"),"?","~?"))&gt;1,"!AMBIG",IFERROR(INDEX('Calculations'!$HF$13:$HF$512,MATCH('Calculations'!IA301,'Calculations'!$HE$13:$HE$512,0)),""))))</x:f>
      </x:c>
      <x:c r="IC301" t="str">
        <x:f>IF('Calculations'!IB301="","",IF('Calculations'!IB301="!AMBIG","!AMBIG",IF(COUNTIF('Calculations'!$HE$13:$HE$512,"="&amp;SUBSTITUTE(SUBSTITUTE(SUBSTITUTE('Calculations'!IB301,"~","~~"),"*","~*"),"?","~?"))&gt;1,"!AMBIG",IFERROR(INDEX('Calculations'!$HF$13:$HF$512,MATCH('Calculations'!IB301,'Calculations'!$HE$13:$HE$512,0)),""))))</x:f>
      </x:c>
      <x:c r="ID301" t="str">
        <x:f>IF('Calculations'!IC301="","",IF('Calculations'!IC301="!AMBIG","!AMBIG",IF(COUNTIF('Calculations'!$HE$13:$HE$512,"="&amp;SUBSTITUTE(SUBSTITUTE(SUBSTITUTE('Calculations'!IC301,"~","~~"),"*","~*"),"?","~?"))&gt;1,"!AMBIG",IFERROR(INDEX('Calculations'!$HF$13:$HF$512,MATCH('Calculations'!IC301,'Calculations'!$HE$13:$HE$512,0)),""))))</x:f>
      </x:c>
      <x:c r="IE301" t="str">
        <x:f>IF('Calculations'!ID301="","",IF('Calculations'!ID301="!AMBIG","!AMBIG",IF(COUNTIF('Calculations'!$HE$13:$HE$512,"="&amp;SUBSTITUTE(SUBSTITUTE(SUBSTITUTE('Calculations'!ID301,"~","~~"),"*","~*"),"?","~?"))&gt;1,"!AMBIG",IFERROR(INDEX('Calculations'!$HF$13:$HF$512,MATCH('Calculations'!ID301,'Calculations'!$HE$13:$HE$512,0)),""))))</x:f>
      </x:c>
      <x:c r="IF301" t="str">
        <x:f>IF('Calculations'!IE301="","",IF('Calculations'!IE301="!AMBIG","!AMBIG",IF(COUNTIF('Calculations'!$HE$13:$HE$512,"="&amp;SUBSTITUTE(SUBSTITUTE(SUBSTITUTE('Calculations'!IE301,"~","~~"),"*","~*"),"?","~?"))&gt;1,"!AMBIG",IFERROR(INDEX('Calculations'!$HF$13:$HF$512,MATCH('Calculations'!IE301,'Calculations'!$HE$13:$HE$512,0)),""))))</x:f>
      </x:c>
      <x:c r="IG301" t="str">
        <x:f>IF('Calculations'!IF301="","",IF('Calculations'!IF301="!AMBIG","!AMBIG",IF(COUNTIF('Calculations'!$HE$13:$HE$512,"="&amp;SUBSTITUTE(SUBSTITUTE(SUBSTITUTE('Calculations'!IF301,"~","~~"),"*","~*"),"?","~?"))&gt;1,"!AMBIG",IFERROR(INDEX('Calculations'!$HF$13:$HF$512,MATCH('Calculations'!IF301,'Calculations'!$HE$13:$HE$512,0)),""))))</x:f>
      </x:c>
      <x:c r="IH301" t="str">
        <x:f>IF('Calculations'!IG301="","",IF('Calculations'!IG301="!AMBIG","!AMBIG",IF(COUNTIF('Calculations'!$HE$13:$HE$512,"="&amp;SUBSTITUTE(SUBSTITUTE(SUBSTITUTE('Calculations'!IG301,"~","~~"),"*","~*"),"?","~?"))&gt;1,"!AMBIG",IFERROR(INDEX('Calculations'!$HF$13:$HF$512,MATCH('Calculations'!IG301,'Calculations'!$HE$13:$HE$512,0)),""))))</x:f>
      </x:c>
      <x:c r="II301" t="str">
        <x:f>IF('Calculations'!IH301="","",IF('Calculations'!IH301="!AMBIG","!AMBIG",IF(COUNTIF('Calculations'!$HE$13:$HE$512,"="&amp;SUBSTITUTE(SUBSTITUTE(SUBSTITUTE('Calculations'!IH301,"~","~~"),"*","~*"),"?","~?"))&gt;1,"!AMBIG",IFERROR(INDEX('Calculations'!$HF$13:$HF$512,MATCH('Calculations'!IH301,'Calculations'!$HE$13:$HE$512,0)),""))))</x:f>
      </x:c>
      <x:c r="IJ301" t="str">
        <x:f>IF('Calculations'!EM301="","",IF('Calculations'!$EF$2="All",'Calculations'!HM301,IF('Calculations'!HL301=1,"",IFERROR(IF(MATCH('Calculations'!$EF$2,'Calculations'!HO301:II301,0)=1,'Calculations'!HE301,INDEX('Calculations'!HO301:II301,1,MATCH('Calculations'!$EF$2,'Calculations'!HO301:II301,0)-1)),""))))</x:f>
      </x:c>
      <x:c r="IK301" t="n">
        <x:f>IF(AND('Calculations'!EM301&lt;&gt;"",'Calculations'!$EF$2&lt;&gt;"All",'Calculations'!HF301='Calculations'!$EF$2,'Calculations'!HL301=0,'Calculations'!JD301&gt;0),MAX('Calculations'!$IK$12:IK300)+1,0)</x:f>
        <x:v>0</x:v>
      </x:c>
      <x:c r="JA301" t="n">
        <x:f>IF(OR(IFERROR(INDIRECT("'WCM Calibration Final'!$A$301")&lt;&gt;"",FALSE),IFERROR(INDIRECT("'WCM Calibration Final'!$B$301")&lt;&gt;"",FALSE),IFERROR(INDIRECT("'WCM Calibration Final'!$C$301")&lt;&gt;"",FALSE)),301,0)</x:f>
        <x:v>0</x:v>
      </x:c>
      <x:c r="JB301" t="n">
        <x:f>'Calculations'!JB300+IF('Calculations'!JA301&gt;0,1,0)</x:f>
        <x:v>0</x:v>
      </x:c>
      <x:c r="JC301" t="n">
        <x:f>IF(OR('Calculations'!HF301="",'Calculations'!HF301="!AMBIG"),0,IF('Dashboard'!$B$7="All",1,COUNTIFS('Calculations'!$HO$13:$HO$512,"="&amp;SUBSTITUTE(SUBSTITUTE(SUBSTITUTE('Calculations'!HF301,"~","~~"),"*","~*"),"?","~?"),'Calculations'!$HN$13:$HN$512,"="&amp;SUBSTITUTE(SUBSTITUTE(SUBSTITUTE('Dashboard'!$B$7,"~","~~"),"*","~*"),"?","~?"))+COUNTIFS('Calculations'!$HP$13:$HP$512,"="&amp;SUBSTITUTE(SUBSTITUTE(SUBSTITUTE('Calculations'!HF301,"~","~~"),"*","~*"),"?","~?"),'Calculations'!$HN$13:$HN$512,"="&amp;SUBSTITUTE(SUBSTITUTE(SUBSTITUTE('Dashboard'!$B$7,"~","~~"),"*","~*"),"?","~?"))+COUNTIFS('Calculations'!$HQ$13:$HQ$512,"="&amp;SUBSTITUTE(SUBSTITUTE(SUBSTITUTE('Calculations'!HF301,"~","~~"),"*","~*"),"?","~?"),'Calculations'!$HN$13:$HN$512,"="&amp;SUBSTITUTE(SUBSTITUTE(SUBSTITUTE('Dashboard'!$B$7,"~","~~"),"*","~*"),"?","~?"))+COUNTIFS('Calculations'!$HR$13:$HR$512,"="&amp;SUBSTITUTE(SUBSTITUTE(SUBSTITUTE('Calculations'!HF301,"~","~~"),"*","~*"),"?","~?"),'Calculations'!$HN$13:$HN$512,"="&amp;SUBSTITUTE(SUBSTITUTE(SUBSTITUTE('Dashboard'!$B$7,"~","~~"),"*","~*"),"?","~?"))+COUNTIFS('Calculations'!$HS$13:$HS$512,"="&amp;SUBSTITUTE(SUBSTITUTE(SUBSTITUTE('Calculations'!HF301,"~","~~"),"*","~*"),"?","~?"),'Calculations'!$HN$13:$HN$512,"="&amp;SUBSTITUTE(SUBSTITUTE(SUBSTITUTE('Dashboard'!$B$7,"~","~~"),"*","~*"),"?","~?"))+COUNTIFS('Calculations'!$HT$13:$HT$512,"="&amp;SUBSTITUTE(SUBSTITUTE(SUBSTITUTE('Calculations'!HF301,"~","~~"),"*","~*"),"?","~?"),'Calculations'!$HN$13:$HN$512,"="&amp;SUBSTITUTE(SUBSTITUTE(SUBSTITUTE('Dashboard'!$B$7,"~","~~"),"*","~*"),"?","~?"))+COUNTIFS('Calculations'!$HU$13:$HU$512,"="&amp;SUBSTITUTE(SUBSTITUTE(SUBSTITUTE('Calculations'!HF301,"~","~~"),"*","~*"),"?","~?"),'Calculations'!$HN$13:$HN$512,"="&amp;SUBSTITUTE(SUBSTITUTE(SUBSTITUTE('Dashboard'!$B$7,"~","~~"),"*","~*"),"?","~?"))+COUNTIFS('Calculations'!$HV$13:$HV$512,"="&amp;SUBSTITUTE(SUBSTITUTE(SUBSTITUTE('Calculations'!HF301,"~","~~"),"*","~*"),"?","~?"),'Calculations'!$HN$13:$HN$512,"="&amp;SUBSTITUTE(SUBSTITUTE(SUBSTITUTE('Dashboard'!$B$7,"~","~~"),"*","~*"),"?","~?"))+COUNTIFS('Calculations'!$HW$13:$HW$512,"="&amp;SUBSTITUTE(SUBSTITUTE(SUBSTITUTE('Calculations'!HF301,"~","~~"),"*","~*"),"?","~?"),'Calculations'!$HN$13:$HN$512,"="&amp;SUBSTITUTE(SUBSTITUTE(SUBSTITUTE('Dashboard'!$B$7,"~","~~"),"*","~*"),"?","~?"))+COUNTIFS('Calculations'!$HX$13:$HX$512,"="&amp;SUBSTITUTE(SUBSTITUTE(SUBSTITUTE('Calculations'!HF301,"~","~~"),"*","~*"),"?","~?"),'Calculations'!$HN$13:$HN$512,"="&amp;SUBSTITUTE(SUBSTITUTE(SUBSTITUTE('Dashboard'!$B$7,"~","~~"),"*","~*"),"?","~?"))+COUNTIFS('Calculations'!$HY$13:$HY$512,"="&amp;SUBSTITUTE(SUBSTITUTE(SUBSTITUTE('Calculations'!HF301,"~","~~"),"*","~*"),"?","~?"),'Calculations'!$HN$13:$HN$512,"="&amp;SUBSTITUTE(SUBSTITUTE(SUBSTITUTE('Dashboard'!$B$7,"~","~~"),"*","~*"),"?","~?"))+COUNTIFS('Calculations'!$HZ$13:$HZ$512,"="&amp;SUBSTITUTE(SUBSTITUTE(SUBSTITUTE('Calculations'!HF301,"~","~~"),"*","~*"),"?","~?"),'Calculations'!$HN$13:$HN$512,"="&amp;SUBSTITUTE(SUBSTITUTE(SUBSTITUTE('Dashboard'!$B$7,"~","~~"),"*","~*"),"?","~?"))+COUNTIFS('Calculations'!$IA$13:$IA$512,"="&amp;SUBSTITUTE(SUBSTITUTE(SUBSTITUTE('Calculations'!HF301,"~","~~"),"*","~*"),"?","~?"),'Calculations'!$HN$13:$HN$512,"="&amp;SUBSTITUTE(SUBSTITUTE(SUBSTITUTE('Dashboard'!$B$7,"~","~~"),"*","~*"),"?","~?"))+COUNTIFS('Calculations'!$IB$13:$IB$512,"="&amp;SUBSTITUTE(SUBSTITUTE(SUBSTITUTE('Calculations'!HF301,"~","~~"),"*","~*"),"?","~?"),'Calculations'!$HN$13:$HN$512,"="&amp;SUBSTITUTE(SUBSTITUTE(SUBSTITUTE('Dashboard'!$B$7,"~","~~"),"*","~*"),"?","~?"))+COUNTIFS('Calculations'!$IC$13:$IC$512,"="&amp;SUBSTITUTE(SUBSTITUTE(SUBSTITUTE('Calculations'!HF301,"~","~~"),"*","~*"),"?","~?"),'Calculations'!$HN$13:$HN$512,"="&amp;SUBSTITUTE(SUBSTITUTE(SUBSTITUTE('Dashboard'!$B$7,"~","~~"),"*","~*"),"?","~?"))+COUNTIFS('Calculations'!$ID$13:$ID$512,"="&amp;SUBSTITUTE(SUBSTITUTE(SUBSTITUTE('Calculations'!HF301,"~","~~"),"*","~*"),"?","~?"),'Calculations'!$HN$13:$HN$512,"="&amp;SUBSTITUTE(SUBSTITUTE(SUBSTITUTE('Dashboard'!$B$7,"~","~~"),"*","~*"),"?","~?"))+COUNTIFS('Calculations'!$IE$13:$IE$512,"="&amp;SUBSTITUTE(SUBSTITUTE(SUBSTITUTE('Calculations'!HF301,"~","~~"),"*","~*"),"?","~?"),'Calculations'!$HN$13:$HN$512,"="&amp;SUBSTITUTE(SUBSTITUTE(SUBSTITUTE('Dashboard'!$B$7,"~","~~"),"*","~*"),"?","~?"))+COUNTIFS('Calculations'!$IF$13:$IF$512,"="&amp;SUBSTITUTE(SUBSTITUTE(SUBSTITUTE('Calculations'!HF301,"~","~~"),"*","~*"),"?","~?"),'Calculations'!$HN$13:$HN$512,"="&amp;SUBSTITUTE(SUBSTITUTE(SUBSTITUTE('Dashboard'!$B$7,"~","~~"),"*","~*"),"?","~?"))+COUNTIFS('Calculations'!$IG$13:$IG$512,"="&amp;SUBSTITUTE(SUBSTITUTE(SUBSTITUTE('Calculations'!HF301,"~","~~"),"*","~*"),"?","~?"),'Calculations'!$HN$13:$HN$512,"="&amp;SUBSTITUTE(SUBSTITUTE(SUBSTITUTE('Dashboard'!$B$7,"~","~~"),"*","~*"),"?","~?"))+COUNTIFS('Calculations'!$IH$13:$IH$512,"="&amp;SUBSTITUTE(SUBSTITUTE(SUBSTITUTE('Calculations'!HF301,"~","~~"),"*","~*"),"?","~?"),'Calculations'!$HN$13:$HN$512,"="&amp;SUBSTITUTE(SUBSTITUTE(SUBSTITUTE('Dashboard'!$B$7,"~","~~"),"*","~*"),"?","~?"))))</x:f>
        <x:v>0</x:v>
      </x:c>
      <x:c r="JD301" t="n">
        <x:f>IF('Calculations'!EM301="",0,IF('Dashboard'!$B$7="All",1,IF('Calculations'!HN301='Dashboard'!$B$7,1,0)+IFERROR(INDEX('Calculations'!$JC$13:$JC$512,MATCH('Calculations'!HE301,'Calculations'!$HF$13:$HF$512,0)),0)))</x:f>
        <x:v>0</x:v>
      </x:c>
      <x:c r="JE301" t="n">
        <x:f>IF(AND('Calculations'!EM301&lt;&gt;"",'Calculations'!$JJ$2&lt;&gt;"All",'Calculations'!$JJ$2&lt;&gt;"",'Calculations'!HF301='Calculations'!$JJ$2,'Calculations'!HL301=0,'Calculations'!JD301&gt;0),MAX('Calculations'!$JE$12:JE300)+1,0)</x:f>
        <x:v>0</x:v>
      </x:c>
      <x:c r="JF301" t="str">
        <x:f>IF('Calculations'!EM301="","",IFERROR(IF(INDEX(INDIRECT("'WCM Calibration Final'!$G$1:$G$2000"),'Calculations'!$EM301)="","",TRIM(INDEX(INDIRECT("'WCM Calibration Final'!$G$1:$G$2000"),'Calculations'!$EM301)&amp;"")),""))</x:f>
      </x:c>
      <x:c r="JQ301" t="n">
        <x:f>IF(OR('Calculations'!BM301=0,NOT('Calculations'!$AG$2),'Calculations'!$AG$8&gt;0),0,IF(OR('Dashboard'!$B$7="All",'Calculations'!HN301='Dashboard'!$B$7),IF('Calculations'!$JJ$2="All",1,IF(AND('Calculations'!HF301='Calculations'!$JJ$2,'Calculations'!HL301=0),1,0)),0))</x:f>
        <x:v>0</x:v>
      </x:c>
    </x:row>
    <x:row r="302">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t="n">
        <x:f>IF('Calculations'!$EM302="",0,IF(OR(IFERROR(INDEX(INDIRECT("'WCM Calibration Final'!$A$1:$A$2000"),'Calculations'!$EM302)&lt;&gt;"",FALSE),IFERROR(INDEX(INDIRECT("'WCM Calibration Final'!$B$1:$B$2000"),'Calculations'!$EM302)&lt;&gt;"",FALSE),IFERROR(INDEX(INDIRECT("'WCM Calibration Final'!$C$1:$C$2000"),'Calculations'!$EM302)&lt;&gt;"",FALSE)),1,0))</x:f>
        <x:v>0</x:v>
      </x:c>
      <x:c r="BN302" s="4" t="n">
        <x:f>IF(AND('Calculations'!BM302=1,'Calculations'!$AG$2,'Calculations'!$EN302=1),1,0)</x:f>
        <x:v>0</x:v>
      </x:c>
      <x:c r="BO302" s="4" t="str">
        <x:f>IF('Calculations'!BM302=0,"",IFERROR(IF(AND(VALUE(INDEX(INDIRECT("'WCM Calibration Final'!$K$1:$K$2000"),'Calculations'!$EM302))&gt;=1,VALUE(INDEX(INDIRECT("'WCM Calibration Final'!$K$1:$K$2000"),'Calculations'!$EM302))&lt;=4,MOD(VALUE(INDEX(INDIRECT("'WCM Calibration Final'!$K$1:$K$2000"),'Calculations'!$EM302)),1)=0),VALUE(INDEX(INDIRECT("'WCM Calibration Final'!$K$1:$K$2000"),'Calculations'!$EM302)),""),""))</x:f>
      </x:c>
      <x:c r="BP302" s="4" t="str">
        <x:f>IF('Calculations'!BM302=0,"",IFERROR(IF(AND(VALUE(INDEX(INDIRECT("'WCM Calibration Final'!$L$1:$L$2000"),'Calculations'!$EM302))&gt;=1,VALUE(INDEX(INDIRECT("'WCM Calibration Final'!$L$1:$L$2000"),'Calculations'!$EM302))&lt;=4,MOD(VALUE(INDEX(INDIRECT("'WCM Calibration Final'!$L$1:$L$2000"),'Calculations'!$EM302)),1)=0),VALUE(INDEX(INDIRECT("'WCM Calibration Final'!$L$1:$L$2000"),'Calculations'!$EM302)),""),""))</x:f>
      </x:c>
      <x:c r="BQ302" s="4"/>
      <x:c r="BR302" s="4"/>
      <x:c r="BS302" s="4"/>
      <x:c r="BT302" s="4" t="n">
        <x:f>IF(AND('Calculations'!BM302=1,ISNUMBER('Calculations'!BO302),ISNUMBER('Calculations'!BP302)),1,0)</x:f>
        <x:v>0</x:v>
      </x:c>
      <x:c r="BU302" s="4" t="str">
        <x:f>IF('Calculations'!BM302=0,"",'Calculations'!$EO302)</x:f>
      </x:c>
      <x:c r="BV302" s="4" t="str">
        <x:f>IF('Calculations'!BM302=0,"",IFERROR(IF(OR(INDEX(INDIRECT("'WCM Calibration Final'!$H$1:$H$2000"),'Calculations'!$EM302)="MANAGING DIRECTOR",INDEX(INDIRECT("'WCM Calibration Final'!$H$1:$H$2000"),'Calculations'!$EM302)="DIRECTOR",INDEX(INDIRECT("'WCM Calibration Final'!$H$1:$H$2000"),'Calculations'!$EM302)="SENIOR VICE PRESIDENT",INDEX(INDIRECT("'WCM Calibration Final'!$H$1:$H$2000"),'Calculations'!$EM302)="VICE PRESIDENT",INDEX(INDIRECT("'WCM Calibration Final'!$H$1:$H$2000"),'Calculations'!$EM302)="ASSISTANT VICE PRESIDENT",INDEX(INDIRECT("'WCM Calibration Final'!$H$1:$H$2000"),'Calculations'!$EM302)="OFFICER"),UPPER(INDEX(INDIRECT("'WCM Calibration Final'!$H$1:$H$2000"),'Calculations'!$EM302)),"Other"),"Other"))</x:f>
      </x:c>
      <x:c r="BW302" s="4"/>
      <x:c r="BX302" s="4"/>
      <x:c r="BY302" s="4" t="n">
        <x:f>IF(AND('Calculations'!BM302=1,'Calculations'!BU302&lt;&gt;"",COUNTIF('Calculations'!$BU$12:BU302,'Calculations'!BU302)=1),MAX('Calculations'!$BY$11:BY301)+1,0)</x:f>
        <x:v>0</x:v>
      </x:c>
      <x:c r="BZ302" s="4" t="str">
        <x:f>IF('Dashboard'!$E$67="What",'Calculations'!BO302,'Calculations'!BP302)</x:f>
      </x:c>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t="str">
        <x:f>IF(291&gt;MAX('Calculations'!$HI$13:$HI$512),"",INDEX('Calculations'!$HN$13:$HN$512,MATCH(291,'Calculations'!$HI$13:$HI$512,0)))</x:f>
      </x:c>
      <x:c r="DB302" s="4" t="str">
        <x:f>IF(291&gt;MAX('Calculations'!$HH$13:$HH$512),"",INDEX('Calculations'!$HJ$13:$HJ$512,MATCH(291,'Calculations'!$HH$13:$HH$512,0)))</x:f>
      </x:c>
      <x:c r="DC302" s="4" t="str">
        <x:f>IF(ROW()-11&gt;MAX('Calculations'!$BY$13:$BY$512),"",INDEX('Calculations'!$BU$13:$BU$512,MATCH(ROW()-11,'Calculations'!$BY$13:$BY$512,0)))</x:f>
      </x:c>
      <x:c r="DD302" s="4" t="str">
        <x:f>IF(291&gt;MAX('Calculations'!$IK$13:$IK$512),"",INDEX('Calculations'!$HK$13:$HK$512,MATCH(291,'Calculations'!$IK$13:$IK$512,0)))</x:f>
      </x:c>
      <x:c r="DE302" s="4" t="str">
        <x:f>'Calculations'!DC302</x:f>
      </x:c>
      <x:c r="DF302" s="4" t="str">
        <x:f>IF('Calculations'!DE302="","",COUNTIFS('Calculations'!$BN$13:$BN$512,1,'Calculations'!$BU$13:$BU$512,'Calculations'!DE302))</x:f>
      </x:c>
      <x:c r="DG302" s="4" t="str">
        <x:f>IF('Calculations'!DE302="","",COUNTIFS('Calculations'!$BN$13:$BN$512,1,'Calculations'!$BU$13:$BU$512,'Calculations'!DE302,'Calculations'!$BT$13:$BT$512,1))</x:f>
      </x:c>
      <x:c r="DH302" s="4" t="str">
        <x:f>IF('Calculations'!DE302="","",'Calculations'!DF302-'Calculations'!DG302)</x:f>
      </x:c>
      <x:c r="DI302" s="4" t="str">
        <x:f>IF(OR('Calculations'!DE302="",'Calculations'!DF302=0),"",'Calculations'!DG302/'Calculations'!DF302)</x:f>
      </x:c>
      <x:c r="DJ302" s="4" t="str">
        <x:f>IF('Calculations'!DE302="","",COUNTIFS('Calculations'!$BN$13:$BN$512,1,'Calculations'!$BU$13:$BU$512,'Calculations'!DE302,'Calculations'!$BT$13:$BT$512,1,'Calculations'!$EE$13:$EE$512,"High"))</x:f>
      </x:c>
      <x:c r="DK302" s="4" t="str">
        <x:f>IF('Calculations'!DE302="","",COUNTIFS('Calculations'!$BN$13:$BN$512,1,'Calculations'!$BU$13:$BU$512,'Calculations'!DE302,'Calculations'!$BT$13:$BT$512,1,'Calculations'!$EE$13:$EE$512,"Strong"))</x:f>
      </x:c>
      <x:c r="DL302" s="4" t="str">
        <x:f>IF('Calculations'!DE302="","",COUNTIFS('Calculations'!$BN$13:$BN$512,1,'Calculations'!$BU$13:$BU$512,'Calculations'!DE302,'Calculations'!$BT$13:$BT$512,1,'Calculations'!$EE$13:$EE$512,"Solid"))</x:f>
      </x:c>
      <x:c r="DM302" s="4" t="str">
        <x:f>IF('Calculations'!DE302="","",COUNTIFS('Calculations'!$BN$13:$BN$512,1,'Calculations'!$BU$13:$BU$512,'Calculations'!DE302,'Calculations'!$BT$13:$BT$512,1,'Calculations'!$EE$13:$EE$512,"Low"))</x:f>
      </x:c>
      <x:c r="DN302" s="4" t="str">
        <x:f>IF('Calculations'!DE302="","",COUNTIFS('Calculations'!$BN$13:$BN$512,1,'Calculations'!$BU$13:$BU$512,'Calculations'!DE302,'Calculations'!$EP$13:$EP$512,1))</x:f>
      </x:c>
      <x:c r="DO302" s="4" t="str">
        <x:f>IF(OR('Calculations'!DE302="",'Calculations'!DG302=0),"",('Calculations'!DJ302+'Calculations'!DK302)/'Calculations'!DG302)</x:f>
      </x:c>
      <x:c r="DP302" s="4" t="n">
        <x:f>IF(AND('Calculations'!DE302&lt;&gt;"",'Calculations'!DF302&gt;0),COUNTIF('Calculations'!$DF$12:DF302,"&gt;0"),0)</x:f>
        <x:v>0</x:v>
      </x:c>
      <x:c r="DQ302" s="4" t="str">
        <x:f>IF(291&gt;MAX('Calculations'!$HH$13:$HH$512),"",INDEX('Calculations'!$HF$13:$HF$512,MATCH(291,'Calculations'!$HH$13:$HH$512,0)))</x:f>
      </x:c>
      <x:c r="DR302" s="4" t="str">
        <x:f>IF(291&gt;MAX('Calculations'!$IK$13:$IK$512),"",INDEX('Calculations'!$HE$13:$HE$512,MATCH(291,'Calculations'!$IK$13:$IK$512,0)))</x:f>
      </x:c>
      <x:c r="DS302" s="4"/>
      <x:c r="DT302" s="4"/>
      <x:c r="DU302" s="4"/>
      <x:c r="DV302" s="4"/>
      <x:c r="DW302" s="4"/>
      <x:c r="DX302" s="4"/>
      <x:c r="DY302" s="4"/>
      <x:c r="DZ302" s="4"/>
      <x:c r="EA302" s="4"/>
      <x:c r="EB302" s="4"/>
      <x:c r="EC302" s="4"/>
      <x:c r="ED302" s="4"/>
      <x:c r="EE302" s="4" t="str">
        <x:f>IF('Calculations'!BT302=0,"Not Rated",IF(OR('Calculations'!BO302&gt;=4,'Calculations'!BP302&gt;=4),"Low",IF('Calculations'!BO302+'Calculations'!BP302&lt;=3,"High",IF('Calculations'!BO302+'Calculations'!BP302&lt;=4,"Strong","Solid"))))</x:f>
        <x:v>Not Rated</x:v>
      </x:c>
      <x:c r="EF302" s="4"/>
      <x:c r="EG302" s="4"/>
      <x:c r="EH302" s="4"/>
      <x:c r="EI302" s="4"/>
      <x:c r="EJ302" s="4"/>
      <x:c r="EK302" s="4"/>
      <x:c r="EL302" s="4"/>
      <x:c r="EM302" s="4" t="str">
        <x:f>IF(290&gt;'Calculations'!$JB$2000,"",INDEX('Calculations'!$JA$12:$JA$2000,MATCH(290,'Calculations'!$JB$12:$JB$2000,0)))</x:f>
      </x:c>
      <x:c r="EN302" s="4" t="n">
        <x:f>IF(OR('Calculations'!EM302="",'Calculations'!$AG$8&gt;0,AND('Calculations'!$EF$2&lt;&gt;"All",'Calculations'!HE302='Calculations'!$EF$2),AND('Calculations'!$EF$3&lt;&gt;"All",'Calculations'!HE302='Calculations'!$EF$3)),0,IF(OR('Dashboard'!$B$7="All",'Calculations'!HN302='Dashboard'!$B$7),IF('Calculations'!$EF$2="All",1,IF('Calculations'!HL302&gt;0,0,IF(COUNTIF('Calculations'!HO302:II302,"="&amp;SUBSTITUTE(SUBSTITUTE(SUBSTITUTE('Calculations'!$EF$2,"~","~~"),"*","~*"),"?","~?"))=0,0,IF('Calculations'!$EF$3="All",1,IF(COUNTIF('Calculations'!HO302:II302,"="&amp;SUBSTITUTE(SUBSTITUTE(SUBSTITUTE('Calculations'!$EF$3,"~","~~"),"*","~*"),"?","~?"))&gt;0,1,0))))),0))</x:f>
        <x:v>0</x:v>
      </x:c>
      <x:c r="EO302" s="4" t="str">
        <x:f>IF('Calculations'!IJ302="","",IF('Calculations'!IJ302="!UNRESOLVED","Unresolved hierarchy",IFERROR(INDEX('Calculations'!$HK$13:$HK$512,MATCH('Calculations'!IJ302,'Calculations'!$HE$13:$HE$512,0)),IFERROR(INDEX('Calculations'!$HJ$13:$HJ$512,MATCH('Calculations'!IJ302,'Calculations'!$HF$13:$HF$512,0)),'Calculations'!IJ302))))</x:f>
      </x:c>
      <x:c r="EP302" s="4" t="n">
        <x:f>IF(AND('Calculations'!EM302&lt;&gt;"",'Calculations'!HF302='Calculations'!IJ302),1,0)</x:f>
        <x:v>0</x:v>
      </x:c>
      <x:c r="EQ302" s="4"/>
      <x:c r="ER302" s="4"/>
      <x:c r="ES302" s="4"/>
      <x:c r="ET302" s="4"/>
      <x:c r="EU302" s="4"/>
      <x:c r="EV302" s="4"/>
      <x:c r="EW302" s="4"/>
      <x:c r="EX302" s="4"/>
      <x:c r="EY302" s="4"/>
      <x:c r="EZ302" s="4"/>
      <x:c r="FA302" s="4"/>
      <x:c r="FB302" s="4"/>
      <x:c r="FC302" s="4"/>
      <x:c r="FD302" s="4"/>
      <x:c r="FE302" s="4"/>
      <x:c r="FF302" s="4"/>
      <x:c r="FG302" s="4"/>
      <x:c r="FH302" s="4"/>
      <x:c r="FI302" s="4"/>
      <x:c r="FJ302" s="4"/>
      <x:c r="FK302" s="4"/>
      <x:c r="FL302" s="4"/>
      <x:c r="FM302" s="4"/>
      <x:c r="FN302" s="4"/>
      <x:c r="FO302" s="4"/>
      <x:c r="HE302" t="str">
        <x:f>IF('Calculations'!EM302="","",IF(IFERROR(IF(INDEX(INDIRECT("'WCM Calibration Final'!$A$1:$A$2000"),'Calculations'!$EM302)="","",TRIM(INDEX(INDIRECT("'WCM Calibration Final'!$A$1:$A$2000"),'Calculations'!$EM302)&amp;"")),"")&lt;&gt;"","G:"&amp;IFERROR(TEXT(1*INDEX(INDIRECT("'WCM Calibration Final'!$A$1:$A$2000"),'Calculations'!$EM302),"0"),UPPER(IFERROR(IF(INDEX(INDIRECT("'WCM Calibration Final'!$A$1:$A$2000"),'Calculations'!$EM302)="","",TRIM(INDEX(INDIRECT("'WCM Calibration Final'!$A$1:$A$2000"),'Calculations'!$EM302)&amp;"")),""))),IF(IFERROR(IF(INDEX(INDIRECT("'WCM Calibration Final'!$C$1:$C$2000"),'Calculations'!$EM302)="","",TRIM(INDEX(INDIRECT("'WCM Calibration Final'!$C$1:$C$2000"),'Calculations'!$EM302)&amp;"")),"")&lt;&gt;"","S:"&amp;UPPER(IFERROR(IF(INDEX(INDIRECT("'WCM Calibration Final'!$C$1:$C$2000"),'Calculations'!$EM302)="","",TRIM(INDEX(INDIRECT("'WCM Calibration Final'!$C$1:$C$2000"),'Calculations'!$EM302)&amp;"")),"")),"R:"&amp;'Calculations'!EM302)))</x:f>
      </x:c>
      <x:c r="HF302" t="str">
        <x:f>IF('Calculations'!EM302="","",IF(IFERROR(IF(INDEX(INDIRECT("'WCM Calibration Final'!$D$1:$D$2000"),'Calculations'!$EM302)="","",TRIM(INDEX(INDIRECT("'WCM Calibration Final'!$D$1:$D$2000"),'Calculations'!$EM302)&amp;"")),"")&lt;&gt;"","G:"&amp;IFERROR(TEXT(1*INDEX(INDIRECT("'WCM Calibration Final'!$D$1:$D$2000"),'Calculations'!$EM302),"0"),UPPER(IFERROR(IF(INDEX(INDIRECT("'WCM Calibration Final'!$D$1:$D$2000"),'Calculations'!$EM302)="","",TRIM(INDEX(INDIRECT("'WCM Calibration Final'!$D$1:$D$2000"),'Calculations'!$EM302)&amp;"")),""))),IF(IFERROR(IF(INDEX(INDIRECT("'WCM Calibration Final'!$E$1:$E$2000"),'Calculations'!$EM302)="","",TRIM(INDEX(INDIRECT("'WCM Calibration Final'!$E$1:$E$2000"),'Calculations'!$EM302)&amp;"")),"")="","",IF(COUNTIF('Calculations'!$HG$13:$HG$512,"="&amp;SUBSTITUTE(SUBSTITUTE(SUBSTITUTE(IFERROR(IF(INDEX(INDIRECT("'WCM Calibration Final'!$E$1:$E$2000"),'Calculations'!$EM302)="","",TRIM(INDEX(INDIRECT("'WCM Calibration Final'!$E$1:$E$2000"),'Calculations'!$EM302)&amp;"")),""),"~","~~"),"*","~*"),"?","~?"))=1,INDEX('Calculations'!$HE$13:$HE$512,MATCH(IFERROR(IF(INDEX(INDIRECT("'WCM Calibration Final'!$E$1:$E$2000"),'Calculations'!$EM302)="","",TRIM(INDEX(INDIRECT("'WCM Calibration Final'!$E$1:$E$2000"),'Calculations'!$EM302)&amp;"")),""),'Calculations'!$HG$13:$HG$512,0)),IF(COUNTIF('Calculations'!$HG$13:$HG$512,"="&amp;SUBSTITUTE(SUBSTITUTE(SUBSTITUTE(IFERROR(IF(INDEX(INDIRECT("'WCM Calibration Final'!$E$1:$E$2000"),'Calculations'!$EM302)="","",TRIM(INDEX(INDIRECT("'WCM Calibration Final'!$E$1:$E$2000"),'Calculations'!$EM302)&amp;"")),""),"~","~~"),"*","~*"),"?","~?"))&gt;1,"!AMBIG","X:"&amp;IFERROR(IF(INDEX(INDIRECT("'WCM Calibration Final'!$E$1:$E$2000"),'Calculations'!$EM302)="","",TRIM(INDEX(INDIRECT("'WCM Calibration Final'!$E$1:$E$2000"),'Calculations'!$EM302)&amp;"")),""))))))</x:f>
      </x:c>
      <x:c r="HG302" t="str">
        <x:f>IF('Calculations'!EM302="","",IFERROR(IF(INDEX(INDIRECT("'WCM Calibration Final'!$B$1:$B$2000"),'Calculations'!$EM302)="","",TRIM(INDEX(INDIRECT("'WCM Calibration Final'!$B$1:$B$2000"),'Calculations'!$EM302)&amp;"")),""))</x:f>
      </x:c>
      <x:c r="HH302" t="n">
        <x:f>IF(AND('Calculations'!JC302&gt;0,COUNTIF('Calculations'!$HF$12:HF302,"="&amp;SUBSTITUTE(SUBSTITUTE(SUBSTITUTE('Calculations'!HF302,"~","~~"),"*","~*"),"?","~?"))=1),MAX('Calculations'!$HH$12:HH301)+1,0)</x:f>
        <x:v>0</x:v>
      </x:c>
      <x:c r="HI302" t="n">
        <x:f>IF(AND('Calculations'!HN302&lt;&gt;"",COUNTIF('Calculations'!$HN$12:HN302,"="&amp;SUBSTITUTE(SUBSTITUTE(SUBSTITUTE('Calculations'!HN302,"~","~~"),"*","~*"),"?","~?"))=1),MAX('Calculations'!$HI$12:HI301)+1,0)</x:f>
        <x:v>0</x:v>
      </x:c>
      <x:c r="HJ302" t="str">
        <x:f>IF('Calculations'!HF302="","",IF(COUNTIF('Calculations'!$HE$13:$HE$512,"="&amp;SUBSTITUTE(SUBSTITUTE(SUBSTITUTE('Calculations'!HF302,"~","~~"),"*","~*"),"?","~?"))=1,INDEX('Calculations'!$HK$13:$HK$512,MATCH('Calculations'!HF302,'Calculations'!$HE$13:$HE$512,0)),IFERROR(IF(INDEX(INDIRECT("'WCM Calibration Final'!$E$1:$E$2000"),'Calculations'!$EM302)="","",TRIM(INDEX(INDIRECT("'WCM Calibration Final'!$E$1:$E$2000"),'Calculations'!$EM302)&amp;"")),"")&amp;" ["&amp;'Calculations'!HF302&amp;"]"))</x:f>
      </x:c>
      <x:c r="HK302" t="str">
        <x:f>IF('Calculations'!EM302="","",'Calculations'!HG302&amp;" ["&amp;'Calculations'!HE302&amp;"]")</x:f>
      </x:c>
      <x:c r="HL302" t="n">
        <x:f>IF('Calculations'!EM302="",0,IF(OR('Calculations'!II302&lt;&gt;"",COUNTIF('Calculations'!$HE$13:$HE$512,"="&amp;SUBSTITUTE(SUBSTITUTE(SUBSTITUTE('Calculations'!HE302,"~","~~"),"*","~*"),"?","~?"))&gt;1),1,0))</x:f>
        <x:v>0</x:v>
      </x:c>
      <x:c r="HM302" t="str">
        <x:f>IF('Calculations'!EM302="","",IF('Calculations'!HL302=1,"!UNRESOLVED",IF('Calculations'!IH302&lt;&gt;"",'Calculations'!IH302,IF('Calculations'!IG302&lt;&gt;"",'Calculations'!IG302,IF('Calculations'!IF302&lt;&gt;"",'Calculations'!IF302,IF('Calculations'!IE302&lt;&gt;"",'Calculations'!IE302,IF('Calculations'!ID302&lt;&gt;"",'Calculations'!ID302,IF('Calculations'!IC302&lt;&gt;"",'Calculations'!IC302,IF('Calculations'!IB302&lt;&gt;"",'Calculations'!IB302,IF('Calculations'!IA302&lt;&gt;"",'Calculations'!IA302,IF('Calculations'!HZ302&lt;&gt;"",'Calculations'!HZ302,IF('Calculations'!HY302&lt;&gt;"",'Calculations'!HY302,IF('Calculations'!HX302&lt;&gt;"",'Calculations'!HX302,IF('Calculations'!HW302&lt;&gt;"",'Calculations'!HW302,IF('Calculations'!HV302&lt;&gt;"",'Calculations'!HV302,IF('Calculations'!HU302&lt;&gt;"",'Calculations'!HU302,IF('Calculations'!HT302&lt;&gt;"",'Calculations'!HT302,IF('Calculations'!HS302&lt;&gt;"",'Calculations'!HS302,IF('Calculations'!HR302&lt;&gt;"",'Calculations'!HR302,IF('Calculations'!HQ302&lt;&gt;"",'Calculations'!HQ302,IF('Calculations'!HP302&lt;&gt;"",'Calculations'!HP302,IF('Calculations'!HO302&lt;&gt;"",'Calculations'!HO302,'Calculations'!HE302))))))))))))))))))))))</x:f>
      </x:c>
      <x:c r="HN302" t="str">
        <x:f>IF('Calculations'!EM302="","",IF(IFERROR(IF(INDEX(INDIRECT("'WCM Calibration Final'!$F$1:$F$2000"),'Calculations'!$EM302)="","",TRIM(INDEX(INDIRECT("'WCM Calibration Final'!$F$1:$F$2000"),'Calculations'!$EM302)&amp;"")),"")="","(Blank)",IFERROR(IF(INDEX(INDIRECT("'WCM Calibration Final'!$F$1:$F$2000"),'Calculations'!$EM302)="","",TRIM(INDEX(INDIRECT("'WCM Calibration Final'!$F$1:$F$2000"),'Calculations'!$EM302)&amp;"")),"")))</x:f>
      </x:c>
      <x:c r="HO302" t="str">
        <x:f>'Calculations'!HF302</x:f>
      </x:c>
      <x:c r="HP302" t="str">
        <x:f>IF('Calculations'!HO302="","",IF('Calculations'!HO302="!AMBIG","!AMBIG",IF(COUNTIF('Calculations'!$HE$13:$HE$512,"="&amp;SUBSTITUTE(SUBSTITUTE(SUBSTITUTE('Calculations'!HO302,"~","~~"),"*","~*"),"?","~?"))&gt;1,"!AMBIG",IFERROR(INDEX('Calculations'!$HF$13:$HF$512,MATCH('Calculations'!HO302,'Calculations'!$HE$13:$HE$512,0)),""))))</x:f>
      </x:c>
      <x:c r="HQ302" t="str">
        <x:f>IF('Calculations'!HP302="","",IF('Calculations'!HP302="!AMBIG","!AMBIG",IF(COUNTIF('Calculations'!$HE$13:$HE$512,"="&amp;SUBSTITUTE(SUBSTITUTE(SUBSTITUTE('Calculations'!HP302,"~","~~"),"*","~*"),"?","~?"))&gt;1,"!AMBIG",IFERROR(INDEX('Calculations'!$HF$13:$HF$512,MATCH('Calculations'!HP302,'Calculations'!$HE$13:$HE$512,0)),""))))</x:f>
      </x:c>
      <x:c r="HR302" t="str">
        <x:f>IF('Calculations'!HQ302="","",IF('Calculations'!HQ302="!AMBIG","!AMBIG",IF(COUNTIF('Calculations'!$HE$13:$HE$512,"="&amp;SUBSTITUTE(SUBSTITUTE(SUBSTITUTE('Calculations'!HQ302,"~","~~"),"*","~*"),"?","~?"))&gt;1,"!AMBIG",IFERROR(INDEX('Calculations'!$HF$13:$HF$512,MATCH('Calculations'!HQ302,'Calculations'!$HE$13:$HE$512,0)),""))))</x:f>
      </x:c>
      <x:c r="HS302" t="str">
        <x:f>IF('Calculations'!HR302="","",IF('Calculations'!HR302="!AMBIG","!AMBIG",IF(COUNTIF('Calculations'!$HE$13:$HE$512,"="&amp;SUBSTITUTE(SUBSTITUTE(SUBSTITUTE('Calculations'!HR302,"~","~~"),"*","~*"),"?","~?"))&gt;1,"!AMBIG",IFERROR(INDEX('Calculations'!$HF$13:$HF$512,MATCH('Calculations'!HR302,'Calculations'!$HE$13:$HE$512,0)),""))))</x:f>
      </x:c>
      <x:c r="HT302" t="str">
        <x:f>IF('Calculations'!HS302="","",IF('Calculations'!HS302="!AMBIG","!AMBIG",IF(COUNTIF('Calculations'!$HE$13:$HE$512,"="&amp;SUBSTITUTE(SUBSTITUTE(SUBSTITUTE('Calculations'!HS302,"~","~~"),"*","~*"),"?","~?"))&gt;1,"!AMBIG",IFERROR(INDEX('Calculations'!$HF$13:$HF$512,MATCH('Calculations'!HS302,'Calculations'!$HE$13:$HE$512,0)),""))))</x:f>
      </x:c>
      <x:c r="HU302" t="str">
        <x:f>IF('Calculations'!HT302="","",IF('Calculations'!HT302="!AMBIG","!AMBIG",IF(COUNTIF('Calculations'!$HE$13:$HE$512,"="&amp;SUBSTITUTE(SUBSTITUTE(SUBSTITUTE('Calculations'!HT302,"~","~~"),"*","~*"),"?","~?"))&gt;1,"!AMBIG",IFERROR(INDEX('Calculations'!$HF$13:$HF$512,MATCH('Calculations'!HT302,'Calculations'!$HE$13:$HE$512,0)),""))))</x:f>
      </x:c>
      <x:c r="HV302" t="str">
        <x:f>IF('Calculations'!HU302="","",IF('Calculations'!HU302="!AMBIG","!AMBIG",IF(COUNTIF('Calculations'!$HE$13:$HE$512,"="&amp;SUBSTITUTE(SUBSTITUTE(SUBSTITUTE('Calculations'!HU302,"~","~~"),"*","~*"),"?","~?"))&gt;1,"!AMBIG",IFERROR(INDEX('Calculations'!$HF$13:$HF$512,MATCH('Calculations'!HU302,'Calculations'!$HE$13:$HE$512,0)),""))))</x:f>
      </x:c>
      <x:c r="HW302" t="str">
        <x:f>IF('Calculations'!HV302="","",IF('Calculations'!HV302="!AMBIG","!AMBIG",IF(COUNTIF('Calculations'!$HE$13:$HE$512,"="&amp;SUBSTITUTE(SUBSTITUTE(SUBSTITUTE('Calculations'!HV302,"~","~~"),"*","~*"),"?","~?"))&gt;1,"!AMBIG",IFERROR(INDEX('Calculations'!$HF$13:$HF$512,MATCH('Calculations'!HV302,'Calculations'!$HE$13:$HE$512,0)),""))))</x:f>
      </x:c>
      <x:c r="HX302" t="str">
        <x:f>IF('Calculations'!HW302="","",IF('Calculations'!HW302="!AMBIG","!AMBIG",IF(COUNTIF('Calculations'!$HE$13:$HE$512,"="&amp;SUBSTITUTE(SUBSTITUTE(SUBSTITUTE('Calculations'!HW302,"~","~~"),"*","~*"),"?","~?"))&gt;1,"!AMBIG",IFERROR(INDEX('Calculations'!$HF$13:$HF$512,MATCH('Calculations'!HW302,'Calculations'!$HE$13:$HE$512,0)),""))))</x:f>
      </x:c>
      <x:c r="HY302" t="str">
        <x:f>IF('Calculations'!HX302="","",IF('Calculations'!HX302="!AMBIG","!AMBIG",IF(COUNTIF('Calculations'!$HE$13:$HE$512,"="&amp;SUBSTITUTE(SUBSTITUTE(SUBSTITUTE('Calculations'!HX302,"~","~~"),"*","~*"),"?","~?"))&gt;1,"!AMBIG",IFERROR(INDEX('Calculations'!$HF$13:$HF$512,MATCH('Calculations'!HX302,'Calculations'!$HE$13:$HE$512,0)),""))))</x:f>
      </x:c>
      <x:c r="HZ302" t="str">
        <x:f>IF('Calculations'!HY302="","",IF('Calculations'!HY302="!AMBIG","!AMBIG",IF(COUNTIF('Calculations'!$HE$13:$HE$512,"="&amp;SUBSTITUTE(SUBSTITUTE(SUBSTITUTE('Calculations'!HY302,"~","~~"),"*","~*"),"?","~?"))&gt;1,"!AMBIG",IFERROR(INDEX('Calculations'!$HF$13:$HF$512,MATCH('Calculations'!HY302,'Calculations'!$HE$13:$HE$512,0)),""))))</x:f>
      </x:c>
      <x:c r="IA302" t="str">
        <x:f>IF('Calculations'!HZ302="","",IF('Calculations'!HZ302="!AMBIG","!AMBIG",IF(COUNTIF('Calculations'!$HE$13:$HE$512,"="&amp;SUBSTITUTE(SUBSTITUTE(SUBSTITUTE('Calculations'!HZ302,"~","~~"),"*","~*"),"?","~?"))&gt;1,"!AMBIG",IFERROR(INDEX('Calculations'!$HF$13:$HF$512,MATCH('Calculations'!HZ302,'Calculations'!$HE$13:$HE$512,0)),""))))</x:f>
      </x:c>
      <x:c r="IB302" t="str">
        <x:f>IF('Calculations'!IA302="","",IF('Calculations'!IA302="!AMBIG","!AMBIG",IF(COUNTIF('Calculations'!$HE$13:$HE$512,"="&amp;SUBSTITUTE(SUBSTITUTE(SUBSTITUTE('Calculations'!IA302,"~","~~"),"*","~*"),"?","~?"))&gt;1,"!AMBIG",IFERROR(INDEX('Calculations'!$HF$13:$HF$512,MATCH('Calculations'!IA302,'Calculations'!$HE$13:$HE$512,0)),""))))</x:f>
      </x:c>
      <x:c r="IC302" t="str">
        <x:f>IF('Calculations'!IB302="","",IF('Calculations'!IB302="!AMBIG","!AMBIG",IF(COUNTIF('Calculations'!$HE$13:$HE$512,"="&amp;SUBSTITUTE(SUBSTITUTE(SUBSTITUTE('Calculations'!IB302,"~","~~"),"*","~*"),"?","~?"))&gt;1,"!AMBIG",IFERROR(INDEX('Calculations'!$HF$13:$HF$512,MATCH('Calculations'!IB302,'Calculations'!$HE$13:$HE$512,0)),""))))</x:f>
      </x:c>
      <x:c r="ID302" t="str">
        <x:f>IF('Calculations'!IC302="","",IF('Calculations'!IC302="!AMBIG","!AMBIG",IF(COUNTIF('Calculations'!$HE$13:$HE$512,"="&amp;SUBSTITUTE(SUBSTITUTE(SUBSTITUTE('Calculations'!IC302,"~","~~"),"*","~*"),"?","~?"))&gt;1,"!AMBIG",IFERROR(INDEX('Calculations'!$HF$13:$HF$512,MATCH('Calculations'!IC302,'Calculations'!$HE$13:$HE$512,0)),""))))</x:f>
      </x:c>
      <x:c r="IE302" t="str">
        <x:f>IF('Calculations'!ID302="","",IF('Calculations'!ID302="!AMBIG","!AMBIG",IF(COUNTIF('Calculations'!$HE$13:$HE$512,"="&amp;SUBSTITUTE(SUBSTITUTE(SUBSTITUTE('Calculations'!ID302,"~","~~"),"*","~*"),"?","~?"))&gt;1,"!AMBIG",IFERROR(INDEX('Calculations'!$HF$13:$HF$512,MATCH('Calculations'!ID302,'Calculations'!$HE$13:$HE$512,0)),""))))</x:f>
      </x:c>
      <x:c r="IF302" t="str">
        <x:f>IF('Calculations'!IE302="","",IF('Calculations'!IE302="!AMBIG","!AMBIG",IF(COUNTIF('Calculations'!$HE$13:$HE$512,"="&amp;SUBSTITUTE(SUBSTITUTE(SUBSTITUTE('Calculations'!IE302,"~","~~"),"*","~*"),"?","~?"))&gt;1,"!AMBIG",IFERROR(INDEX('Calculations'!$HF$13:$HF$512,MATCH('Calculations'!IE302,'Calculations'!$HE$13:$HE$512,0)),""))))</x:f>
      </x:c>
      <x:c r="IG302" t="str">
        <x:f>IF('Calculations'!IF302="","",IF('Calculations'!IF302="!AMBIG","!AMBIG",IF(COUNTIF('Calculations'!$HE$13:$HE$512,"="&amp;SUBSTITUTE(SUBSTITUTE(SUBSTITUTE('Calculations'!IF302,"~","~~"),"*","~*"),"?","~?"))&gt;1,"!AMBIG",IFERROR(INDEX('Calculations'!$HF$13:$HF$512,MATCH('Calculations'!IF302,'Calculations'!$HE$13:$HE$512,0)),""))))</x:f>
      </x:c>
      <x:c r="IH302" t="str">
        <x:f>IF('Calculations'!IG302="","",IF('Calculations'!IG302="!AMBIG","!AMBIG",IF(COUNTIF('Calculations'!$HE$13:$HE$512,"="&amp;SUBSTITUTE(SUBSTITUTE(SUBSTITUTE('Calculations'!IG302,"~","~~"),"*","~*"),"?","~?"))&gt;1,"!AMBIG",IFERROR(INDEX('Calculations'!$HF$13:$HF$512,MATCH('Calculations'!IG302,'Calculations'!$HE$13:$HE$512,0)),""))))</x:f>
      </x:c>
      <x:c r="II302" t="str">
        <x:f>IF('Calculations'!IH302="","",IF('Calculations'!IH302="!AMBIG","!AMBIG",IF(COUNTIF('Calculations'!$HE$13:$HE$512,"="&amp;SUBSTITUTE(SUBSTITUTE(SUBSTITUTE('Calculations'!IH302,"~","~~"),"*","~*"),"?","~?"))&gt;1,"!AMBIG",IFERROR(INDEX('Calculations'!$HF$13:$HF$512,MATCH('Calculations'!IH302,'Calculations'!$HE$13:$HE$512,0)),""))))</x:f>
      </x:c>
      <x:c r="IJ302" t="str">
        <x:f>IF('Calculations'!EM302="","",IF('Calculations'!$EF$2="All",'Calculations'!HM302,IF('Calculations'!HL302=1,"",IFERROR(IF(MATCH('Calculations'!$EF$2,'Calculations'!HO302:II302,0)=1,'Calculations'!HE302,INDEX('Calculations'!HO302:II302,1,MATCH('Calculations'!$EF$2,'Calculations'!HO302:II302,0)-1)),""))))</x:f>
      </x:c>
      <x:c r="IK302" t="n">
        <x:f>IF(AND('Calculations'!EM302&lt;&gt;"",'Calculations'!$EF$2&lt;&gt;"All",'Calculations'!HF302='Calculations'!$EF$2,'Calculations'!HL302=0,'Calculations'!JD302&gt;0),MAX('Calculations'!$IK$12:IK301)+1,0)</x:f>
        <x:v>0</x:v>
      </x:c>
      <x:c r="JA302" t="n">
        <x:f>IF(OR(IFERROR(INDIRECT("'WCM Calibration Final'!$A$302")&lt;&gt;"",FALSE),IFERROR(INDIRECT("'WCM Calibration Final'!$B$302")&lt;&gt;"",FALSE),IFERROR(INDIRECT("'WCM Calibration Final'!$C$302")&lt;&gt;"",FALSE)),302,0)</x:f>
        <x:v>0</x:v>
      </x:c>
      <x:c r="JB302" t="n">
        <x:f>'Calculations'!JB301+IF('Calculations'!JA302&gt;0,1,0)</x:f>
        <x:v>0</x:v>
      </x:c>
      <x:c r="JC302" t="n">
        <x:f>IF(OR('Calculations'!HF302="",'Calculations'!HF302="!AMBIG"),0,IF('Dashboard'!$B$7="All",1,COUNTIFS('Calculations'!$HO$13:$HO$512,"="&amp;SUBSTITUTE(SUBSTITUTE(SUBSTITUTE('Calculations'!HF302,"~","~~"),"*","~*"),"?","~?"),'Calculations'!$HN$13:$HN$512,"="&amp;SUBSTITUTE(SUBSTITUTE(SUBSTITUTE('Dashboard'!$B$7,"~","~~"),"*","~*"),"?","~?"))+COUNTIFS('Calculations'!$HP$13:$HP$512,"="&amp;SUBSTITUTE(SUBSTITUTE(SUBSTITUTE('Calculations'!HF302,"~","~~"),"*","~*"),"?","~?"),'Calculations'!$HN$13:$HN$512,"="&amp;SUBSTITUTE(SUBSTITUTE(SUBSTITUTE('Dashboard'!$B$7,"~","~~"),"*","~*"),"?","~?"))+COUNTIFS('Calculations'!$HQ$13:$HQ$512,"="&amp;SUBSTITUTE(SUBSTITUTE(SUBSTITUTE('Calculations'!HF302,"~","~~"),"*","~*"),"?","~?"),'Calculations'!$HN$13:$HN$512,"="&amp;SUBSTITUTE(SUBSTITUTE(SUBSTITUTE('Dashboard'!$B$7,"~","~~"),"*","~*"),"?","~?"))+COUNTIFS('Calculations'!$HR$13:$HR$512,"="&amp;SUBSTITUTE(SUBSTITUTE(SUBSTITUTE('Calculations'!HF302,"~","~~"),"*","~*"),"?","~?"),'Calculations'!$HN$13:$HN$512,"="&amp;SUBSTITUTE(SUBSTITUTE(SUBSTITUTE('Dashboard'!$B$7,"~","~~"),"*","~*"),"?","~?"))+COUNTIFS('Calculations'!$HS$13:$HS$512,"="&amp;SUBSTITUTE(SUBSTITUTE(SUBSTITUTE('Calculations'!HF302,"~","~~"),"*","~*"),"?","~?"),'Calculations'!$HN$13:$HN$512,"="&amp;SUBSTITUTE(SUBSTITUTE(SUBSTITUTE('Dashboard'!$B$7,"~","~~"),"*","~*"),"?","~?"))+COUNTIFS('Calculations'!$HT$13:$HT$512,"="&amp;SUBSTITUTE(SUBSTITUTE(SUBSTITUTE('Calculations'!HF302,"~","~~"),"*","~*"),"?","~?"),'Calculations'!$HN$13:$HN$512,"="&amp;SUBSTITUTE(SUBSTITUTE(SUBSTITUTE('Dashboard'!$B$7,"~","~~"),"*","~*"),"?","~?"))+COUNTIFS('Calculations'!$HU$13:$HU$512,"="&amp;SUBSTITUTE(SUBSTITUTE(SUBSTITUTE('Calculations'!HF302,"~","~~"),"*","~*"),"?","~?"),'Calculations'!$HN$13:$HN$512,"="&amp;SUBSTITUTE(SUBSTITUTE(SUBSTITUTE('Dashboard'!$B$7,"~","~~"),"*","~*"),"?","~?"))+COUNTIFS('Calculations'!$HV$13:$HV$512,"="&amp;SUBSTITUTE(SUBSTITUTE(SUBSTITUTE('Calculations'!HF302,"~","~~"),"*","~*"),"?","~?"),'Calculations'!$HN$13:$HN$512,"="&amp;SUBSTITUTE(SUBSTITUTE(SUBSTITUTE('Dashboard'!$B$7,"~","~~"),"*","~*"),"?","~?"))+COUNTIFS('Calculations'!$HW$13:$HW$512,"="&amp;SUBSTITUTE(SUBSTITUTE(SUBSTITUTE('Calculations'!HF302,"~","~~"),"*","~*"),"?","~?"),'Calculations'!$HN$13:$HN$512,"="&amp;SUBSTITUTE(SUBSTITUTE(SUBSTITUTE('Dashboard'!$B$7,"~","~~"),"*","~*"),"?","~?"))+COUNTIFS('Calculations'!$HX$13:$HX$512,"="&amp;SUBSTITUTE(SUBSTITUTE(SUBSTITUTE('Calculations'!HF302,"~","~~"),"*","~*"),"?","~?"),'Calculations'!$HN$13:$HN$512,"="&amp;SUBSTITUTE(SUBSTITUTE(SUBSTITUTE('Dashboard'!$B$7,"~","~~"),"*","~*"),"?","~?"))+COUNTIFS('Calculations'!$HY$13:$HY$512,"="&amp;SUBSTITUTE(SUBSTITUTE(SUBSTITUTE('Calculations'!HF302,"~","~~"),"*","~*"),"?","~?"),'Calculations'!$HN$13:$HN$512,"="&amp;SUBSTITUTE(SUBSTITUTE(SUBSTITUTE('Dashboard'!$B$7,"~","~~"),"*","~*"),"?","~?"))+COUNTIFS('Calculations'!$HZ$13:$HZ$512,"="&amp;SUBSTITUTE(SUBSTITUTE(SUBSTITUTE('Calculations'!HF302,"~","~~"),"*","~*"),"?","~?"),'Calculations'!$HN$13:$HN$512,"="&amp;SUBSTITUTE(SUBSTITUTE(SUBSTITUTE('Dashboard'!$B$7,"~","~~"),"*","~*"),"?","~?"))+COUNTIFS('Calculations'!$IA$13:$IA$512,"="&amp;SUBSTITUTE(SUBSTITUTE(SUBSTITUTE('Calculations'!HF302,"~","~~"),"*","~*"),"?","~?"),'Calculations'!$HN$13:$HN$512,"="&amp;SUBSTITUTE(SUBSTITUTE(SUBSTITUTE('Dashboard'!$B$7,"~","~~"),"*","~*"),"?","~?"))+COUNTIFS('Calculations'!$IB$13:$IB$512,"="&amp;SUBSTITUTE(SUBSTITUTE(SUBSTITUTE('Calculations'!HF302,"~","~~"),"*","~*"),"?","~?"),'Calculations'!$HN$13:$HN$512,"="&amp;SUBSTITUTE(SUBSTITUTE(SUBSTITUTE('Dashboard'!$B$7,"~","~~"),"*","~*"),"?","~?"))+COUNTIFS('Calculations'!$IC$13:$IC$512,"="&amp;SUBSTITUTE(SUBSTITUTE(SUBSTITUTE('Calculations'!HF302,"~","~~"),"*","~*"),"?","~?"),'Calculations'!$HN$13:$HN$512,"="&amp;SUBSTITUTE(SUBSTITUTE(SUBSTITUTE('Dashboard'!$B$7,"~","~~"),"*","~*"),"?","~?"))+COUNTIFS('Calculations'!$ID$13:$ID$512,"="&amp;SUBSTITUTE(SUBSTITUTE(SUBSTITUTE('Calculations'!HF302,"~","~~"),"*","~*"),"?","~?"),'Calculations'!$HN$13:$HN$512,"="&amp;SUBSTITUTE(SUBSTITUTE(SUBSTITUTE('Dashboard'!$B$7,"~","~~"),"*","~*"),"?","~?"))+COUNTIFS('Calculations'!$IE$13:$IE$512,"="&amp;SUBSTITUTE(SUBSTITUTE(SUBSTITUTE('Calculations'!HF302,"~","~~"),"*","~*"),"?","~?"),'Calculations'!$HN$13:$HN$512,"="&amp;SUBSTITUTE(SUBSTITUTE(SUBSTITUTE('Dashboard'!$B$7,"~","~~"),"*","~*"),"?","~?"))+COUNTIFS('Calculations'!$IF$13:$IF$512,"="&amp;SUBSTITUTE(SUBSTITUTE(SUBSTITUTE('Calculations'!HF302,"~","~~"),"*","~*"),"?","~?"),'Calculations'!$HN$13:$HN$512,"="&amp;SUBSTITUTE(SUBSTITUTE(SUBSTITUTE('Dashboard'!$B$7,"~","~~"),"*","~*"),"?","~?"))+COUNTIFS('Calculations'!$IG$13:$IG$512,"="&amp;SUBSTITUTE(SUBSTITUTE(SUBSTITUTE('Calculations'!HF302,"~","~~"),"*","~*"),"?","~?"),'Calculations'!$HN$13:$HN$512,"="&amp;SUBSTITUTE(SUBSTITUTE(SUBSTITUTE('Dashboard'!$B$7,"~","~~"),"*","~*"),"?","~?"))+COUNTIFS('Calculations'!$IH$13:$IH$512,"="&amp;SUBSTITUTE(SUBSTITUTE(SUBSTITUTE('Calculations'!HF302,"~","~~"),"*","~*"),"?","~?"),'Calculations'!$HN$13:$HN$512,"="&amp;SUBSTITUTE(SUBSTITUTE(SUBSTITUTE('Dashboard'!$B$7,"~","~~"),"*","~*"),"?","~?"))))</x:f>
        <x:v>0</x:v>
      </x:c>
      <x:c r="JD302" t="n">
        <x:f>IF('Calculations'!EM302="",0,IF('Dashboard'!$B$7="All",1,IF('Calculations'!HN302='Dashboard'!$B$7,1,0)+IFERROR(INDEX('Calculations'!$JC$13:$JC$512,MATCH('Calculations'!HE302,'Calculations'!$HF$13:$HF$512,0)),0)))</x:f>
        <x:v>0</x:v>
      </x:c>
      <x:c r="JE302" t="n">
        <x:f>IF(AND('Calculations'!EM302&lt;&gt;"",'Calculations'!$JJ$2&lt;&gt;"All",'Calculations'!$JJ$2&lt;&gt;"",'Calculations'!HF302='Calculations'!$JJ$2,'Calculations'!HL302=0,'Calculations'!JD302&gt;0),MAX('Calculations'!$JE$12:JE301)+1,0)</x:f>
        <x:v>0</x:v>
      </x:c>
      <x:c r="JF302" t="str">
        <x:f>IF('Calculations'!EM302="","",IFERROR(IF(INDEX(INDIRECT("'WCM Calibration Final'!$G$1:$G$2000"),'Calculations'!$EM302)="","",TRIM(INDEX(INDIRECT("'WCM Calibration Final'!$G$1:$G$2000"),'Calculations'!$EM302)&amp;"")),""))</x:f>
      </x:c>
      <x:c r="JQ302" t="n">
        <x:f>IF(OR('Calculations'!BM302=0,NOT('Calculations'!$AG$2),'Calculations'!$AG$8&gt;0),0,IF(OR('Dashboard'!$B$7="All",'Calculations'!HN302='Dashboard'!$B$7),IF('Calculations'!$JJ$2="All",1,IF(AND('Calculations'!HF302='Calculations'!$JJ$2,'Calculations'!HL302=0),1,0)),0))</x:f>
        <x:v>0</x:v>
      </x:c>
    </x:row>
    <x:row r="303">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t="n">
        <x:f>IF('Calculations'!$EM303="",0,IF(OR(IFERROR(INDEX(INDIRECT("'WCM Calibration Final'!$A$1:$A$2000"),'Calculations'!$EM303)&lt;&gt;"",FALSE),IFERROR(INDEX(INDIRECT("'WCM Calibration Final'!$B$1:$B$2000"),'Calculations'!$EM303)&lt;&gt;"",FALSE),IFERROR(INDEX(INDIRECT("'WCM Calibration Final'!$C$1:$C$2000"),'Calculations'!$EM303)&lt;&gt;"",FALSE)),1,0))</x:f>
        <x:v>0</x:v>
      </x:c>
      <x:c r="BN303" s="4" t="n">
        <x:f>IF(AND('Calculations'!BM303=1,'Calculations'!$AG$2,'Calculations'!$EN303=1),1,0)</x:f>
        <x:v>0</x:v>
      </x:c>
      <x:c r="BO303" s="4" t="str">
        <x:f>IF('Calculations'!BM303=0,"",IFERROR(IF(AND(VALUE(INDEX(INDIRECT("'WCM Calibration Final'!$K$1:$K$2000"),'Calculations'!$EM303))&gt;=1,VALUE(INDEX(INDIRECT("'WCM Calibration Final'!$K$1:$K$2000"),'Calculations'!$EM303))&lt;=4,MOD(VALUE(INDEX(INDIRECT("'WCM Calibration Final'!$K$1:$K$2000"),'Calculations'!$EM303)),1)=0),VALUE(INDEX(INDIRECT("'WCM Calibration Final'!$K$1:$K$2000"),'Calculations'!$EM303)),""),""))</x:f>
      </x:c>
      <x:c r="BP303" s="4" t="str">
        <x:f>IF('Calculations'!BM303=0,"",IFERROR(IF(AND(VALUE(INDEX(INDIRECT("'WCM Calibration Final'!$L$1:$L$2000"),'Calculations'!$EM303))&gt;=1,VALUE(INDEX(INDIRECT("'WCM Calibration Final'!$L$1:$L$2000"),'Calculations'!$EM303))&lt;=4,MOD(VALUE(INDEX(INDIRECT("'WCM Calibration Final'!$L$1:$L$2000"),'Calculations'!$EM303)),1)=0),VALUE(INDEX(INDIRECT("'WCM Calibration Final'!$L$1:$L$2000"),'Calculations'!$EM303)),""),""))</x:f>
      </x:c>
      <x:c r="BQ303" s="4"/>
      <x:c r="BR303" s="4"/>
      <x:c r="BS303" s="4"/>
      <x:c r="BT303" s="4" t="n">
        <x:f>IF(AND('Calculations'!BM303=1,ISNUMBER('Calculations'!BO303),ISNUMBER('Calculations'!BP303)),1,0)</x:f>
        <x:v>0</x:v>
      </x:c>
      <x:c r="BU303" s="4" t="str">
        <x:f>IF('Calculations'!BM303=0,"",'Calculations'!$EO303)</x:f>
      </x:c>
      <x:c r="BV303" s="4" t="str">
        <x:f>IF('Calculations'!BM303=0,"",IFERROR(IF(OR(INDEX(INDIRECT("'WCM Calibration Final'!$H$1:$H$2000"),'Calculations'!$EM303)="MANAGING DIRECTOR",INDEX(INDIRECT("'WCM Calibration Final'!$H$1:$H$2000"),'Calculations'!$EM303)="DIRECTOR",INDEX(INDIRECT("'WCM Calibration Final'!$H$1:$H$2000"),'Calculations'!$EM303)="SENIOR VICE PRESIDENT",INDEX(INDIRECT("'WCM Calibration Final'!$H$1:$H$2000"),'Calculations'!$EM303)="VICE PRESIDENT",INDEX(INDIRECT("'WCM Calibration Final'!$H$1:$H$2000"),'Calculations'!$EM303)="ASSISTANT VICE PRESIDENT",INDEX(INDIRECT("'WCM Calibration Final'!$H$1:$H$2000"),'Calculations'!$EM303)="OFFICER"),UPPER(INDEX(INDIRECT("'WCM Calibration Final'!$H$1:$H$2000"),'Calculations'!$EM303)),"Other"),"Other"))</x:f>
      </x:c>
      <x:c r="BW303" s="4"/>
      <x:c r="BX303" s="4"/>
      <x:c r="BY303" s="4" t="n">
        <x:f>IF(AND('Calculations'!BM303=1,'Calculations'!BU303&lt;&gt;"",COUNTIF('Calculations'!$BU$12:BU303,'Calculations'!BU303)=1),MAX('Calculations'!$BY$11:BY302)+1,0)</x:f>
        <x:v>0</x:v>
      </x:c>
      <x:c r="BZ303" s="4" t="str">
        <x:f>IF('Dashboard'!$E$67="What",'Calculations'!BO303,'Calculations'!BP303)</x:f>
      </x:c>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t="str">
        <x:f>IF(292&gt;MAX('Calculations'!$HI$13:$HI$512),"",INDEX('Calculations'!$HN$13:$HN$512,MATCH(292,'Calculations'!$HI$13:$HI$512,0)))</x:f>
      </x:c>
      <x:c r="DB303" s="4" t="str">
        <x:f>IF(292&gt;MAX('Calculations'!$HH$13:$HH$512),"",INDEX('Calculations'!$HJ$13:$HJ$512,MATCH(292,'Calculations'!$HH$13:$HH$512,0)))</x:f>
      </x:c>
      <x:c r="DC303" s="4" t="str">
        <x:f>IF(ROW()-11&gt;MAX('Calculations'!$BY$13:$BY$512),"",INDEX('Calculations'!$BU$13:$BU$512,MATCH(ROW()-11,'Calculations'!$BY$13:$BY$512,0)))</x:f>
      </x:c>
      <x:c r="DD303" s="4" t="str">
        <x:f>IF(292&gt;MAX('Calculations'!$IK$13:$IK$512),"",INDEX('Calculations'!$HK$13:$HK$512,MATCH(292,'Calculations'!$IK$13:$IK$512,0)))</x:f>
      </x:c>
      <x:c r="DE303" s="4" t="str">
        <x:f>'Calculations'!DC303</x:f>
      </x:c>
      <x:c r="DF303" s="4" t="str">
        <x:f>IF('Calculations'!DE303="","",COUNTIFS('Calculations'!$BN$13:$BN$512,1,'Calculations'!$BU$13:$BU$512,'Calculations'!DE303))</x:f>
      </x:c>
      <x:c r="DG303" s="4" t="str">
        <x:f>IF('Calculations'!DE303="","",COUNTIFS('Calculations'!$BN$13:$BN$512,1,'Calculations'!$BU$13:$BU$512,'Calculations'!DE303,'Calculations'!$BT$13:$BT$512,1))</x:f>
      </x:c>
      <x:c r="DH303" s="4" t="str">
        <x:f>IF('Calculations'!DE303="","",'Calculations'!DF303-'Calculations'!DG303)</x:f>
      </x:c>
      <x:c r="DI303" s="4" t="str">
        <x:f>IF(OR('Calculations'!DE303="",'Calculations'!DF303=0),"",'Calculations'!DG303/'Calculations'!DF303)</x:f>
      </x:c>
      <x:c r="DJ303" s="4" t="str">
        <x:f>IF('Calculations'!DE303="","",COUNTIFS('Calculations'!$BN$13:$BN$512,1,'Calculations'!$BU$13:$BU$512,'Calculations'!DE303,'Calculations'!$BT$13:$BT$512,1,'Calculations'!$EE$13:$EE$512,"High"))</x:f>
      </x:c>
      <x:c r="DK303" s="4" t="str">
        <x:f>IF('Calculations'!DE303="","",COUNTIFS('Calculations'!$BN$13:$BN$512,1,'Calculations'!$BU$13:$BU$512,'Calculations'!DE303,'Calculations'!$BT$13:$BT$512,1,'Calculations'!$EE$13:$EE$512,"Strong"))</x:f>
      </x:c>
      <x:c r="DL303" s="4" t="str">
        <x:f>IF('Calculations'!DE303="","",COUNTIFS('Calculations'!$BN$13:$BN$512,1,'Calculations'!$BU$13:$BU$512,'Calculations'!DE303,'Calculations'!$BT$13:$BT$512,1,'Calculations'!$EE$13:$EE$512,"Solid"))</x:f>
      </x:c>
      <x:c r="DM303" s="4" t="str">
        <x:f>IF('Calculations'!DE303="","",COUNTIFS('Calculations'!$BN$13:$BN$512,1,'Calculations'!$BU$13:$BU$512,'Calculations'!DE303,'Calculations'!$BT$13:$BT$512,1,'Calculations'!$EE$13:$EE$512,"Low"))</x:f>
      </x:c>
      <x:c r="DN303" s="4" t="str">
        <x:f>IF('Calculations'!DE303="","",COUNTIFS('Calculations'!$BN$13:$BN$512,1,'Calculations'!$BU$13:$BU$512,'Calculations'!DE303,'Calculations'!$EP$13:$EP$512,1))</x:f>
      </x:c>
      <x:c r="DO303" s="4" t="str">
        <x:f>IF(OR('Calculations'!DE303="",'Calculations'!DG303=0),"",('Calculations'!DJ303+'Calculations'!DK303)/'Calculations'!DG303)</x:f>
      </x:c>
      <x:c r="DP303" s="4" t="n">
        <x:f>IF(AND('Calculations'!DE303&lt;&gt;"",'Calculations'!DF303&gt;0),COUNTIF('Calculations'!$DF$12:DF303,"&gt;0"),0)</x:f>
        <x:v>0</x:v>
      </x:c>
      <x:c r="DQ303" s="4" t="str">
        <x:f>IF(292&gt;MAX('Calculations'!$HH$13:$HH$512),"",INDEX('Calculations'!$HF$13:$HF$512,MATCH(292,'Calculations'!$HH$13:$HH$512,0)))</x:f>
      </x:c>
      <x:c r="DR303" s="4" t="str">
        <x:f>IF(292&gt;MAX('Calculations'!$IK$13:$IK$512),"",INDEX('Calculations'!$HE$13:$HE$512,MATCH(292,'Calculations'!$IK$13:$IK$512,0)))</x:f>
      </x:c>
      <x:c r="DS303" s="4"/>
      <x:c r="DT303" s="4"/>
      <x:c r="DU303" s="4"/>
      <x:c r="DV303" s="4"/>
      <x:c r="DW303" s="4"/>
      <x:c r="DX303" s="4"/>
      <x:c r="DY303" s="4"/>
      <x:c r="DZ303" s="4"/>
      <x:c r="EA303" s="4"/>
      <x:c r="EB303" s="4"/>
      <x:c r="EC303" s="4"/>
      <x:c r="ED303" s="4"/>
      <x:c r="EE303" s="4" t="str">
        <x:f>IF('Calculations'!BT303=0,"Not Rated",IF(OR('Calculations'!BO303&gt;=4,'Calculations'!BP303&gt;=4),"Low",IF('Calculations'!BO303+'Calculations'!BP303&lt;=3,"High",IF('Calculations'!BO303+'Calculations'!BP303&lt;=4,"Strong","Solid"))))</x:f>
        <x:v>Not Rated</x:v>
      </x:c>
      <x:c r="EF303" s="4"/>
      <x:c r="EG303" s="4"/>
      <x:c r="EH303" s="4"/>
      <x:c r="EI303" s="4"/>
      <x:c r="EJ303" s="4"/>
      <x:c r="EK303" s="4"/>
      <x:c r="EL303" s="4"/>
      <x:c r="EM303" s="4" t="str">
        <x:f>IF(291&gt;'Calculations'!$JB$2000,"",INDEX('Calculations'!$JA$12:$JA$2000,MATCH(291,'Calculations'!$JB$12:$JB$2000,0)))</x:f>
      </x:c>
      <x:c r="EN303" s="4" t="n">
        <x:f>IF(OR('Calculations'!EM303="",'Calculations'!$AG$8&gt;0,AND('Calculations'!$EF$2&lt;&gt;"All",'Calculations'!HE303='Calculations'!$EF$2),AND('Calculations'!$EF$3&lt;&gt;"All",'Calculations'!HE303='Calculations'!$EF$3)),0,IF(OR('Dashboard'!$B$7="All",'Calculations'!HN303='Dashboard'!$B$7),IF('Calculations'!$EF$2="All",1,IF('Calculations'!HL303&gt;0,0,IF(COUNTIF('Calculations'!HO303:II303,"="&amp;SUBSTITUTE(SUBSTITUTE(SUBSTITUTE('Calculations'!$EF$2,"~","~~"),"*","~*"),"?","~?"))=0,0,IF('Calculations'!$EF$3="All",1,IF(COUNTIF('Calculations'!HO303:II303,"="&amp;SUBSTITUTE(SUBSTITUTE(SUBSTITUTE('Calculations'!$EF$3,"~","~~"),"*","~*"),"?","~?"))&gt;0,1,0))))),0))</x:f>
        <x:v>0</x:v>
      </x:c>
      <x:c r="EO303" s="4" t="str">
        <x:f>IF('Calculations'!IJ303="","",IF('Calculations'!IJ303="!UNRESOLVED","Unresolved hierarchy",IFERROR(INDEX('Calculations'!$HK$13:$HK$512,MATCH('Calculations'!IJ303,'Calculations'!$HE$13:$HE$512,0)),IFERROR(INDEX('Calculations'!$HJ$13:$HJ$512,MATCH('Calculations'!IJ303,'Calculations'!$HF$13:$HF$512,0)),'Calculations'!IJ303))))</x:f>
      </x:c>
      <x:c r="EP303" s="4" t="n">
        <x:f>IF(AND('Calculations'!EM303&lt;&gt;"",'Calculations'!HF303='Calculations'!IJ303),1,0)</x:f>
        <x:v>0</x:v>
      </x:c>
      <x:c r="EQ303" s="4"/>
      <x:c r="ER303" s="4"/>
      <x:c r="ES303" s="4"/>
      <x:c r="ET303" s="4"/>
      <x:c r="EU303" s="4"/>
      <x:c r="EV303" s="4"/>
      <x:c r="EW303" s="4"/>
      <x:c r="EX303" s="4"/>
      <x:c r="EY303" s="4"/>
      <x:c r="EZ303" s="4"/>
      <x:c r="FA303" s="4"/>
      <x:c r="FB303" s="4"/>
      <x:c r="FC303" s="4"/>
      <x:c r="FD303" s="4"/>
      <x:c r="FE303" s="4"/>
      <x:c r="FF303" s="4"/>
      <x:c r="FG303" s="4"/>
      <x:c r="FH303" s="4"/>
      <x:c r="FI303" s="4"/>
      <x:c r="FJ303" s="4"/>
      <x:c r="FK303" s="4"/>
      <x:c r="FL303" s="4"/>
      <x:c r="FM303" s="4"/>
      <x:c r="FN303" s="4"/>
      <x:c r="FO303" s="4"/>
      <x:c r="HE303" t="str">
        <x:f>IF('Calculations'!EM303="","",IF(IFERROR(IF(INDEX(INDIRECT("'WCM Calibration Final'!$A$1:$A$2000"),'Calculations'!$EM303)="","",TRIM(INDEX(INDIRECT("'WCM Calibration Final'!$A$1:$A$2000"),'Calculations'!$EM303)&amp;"")),"")&lt;&gt;"","G:"&amp;IFERROR(TEXT(1*INDEX(INDIRECT("'WCM Calibration Final'!$A$1:$A$2000"),'Calculations'!$EM303),"0"),UPPER(IFERROR(IF(INDEX(INDIRECT("'WCM Calibration Final'!$A$1:$A$2000"),'Calculations'!$EM303)="","",TRIM(INDEX(INDIRECT("'WCM Calibration Final'!$A$1:$A$2000"),'Calculations'!$EM303)&amp;"")),""))),IF(IFERROR(IF(INDEX(INDIRECT("'WCM Calibration Final'!$C$1:$C$2000"),'Calculations'!$EM303)="","",TRIM(INDEX(INDIRECT("'WCM Calibration Final'!$C$1:$C$2000"),'Calculations'!$EM303)&amp;"")),"")&lt;&gt;"","S:"&amp;UPPER(IFERROR(IF(INDEX(INDIRECT("'WCM Calibration Final'!$C$1:$C$2000"),'Calculations'!$EM303)="","",TRIM(INDEX(INDIRECT("'WCM Calibration Final'!$C$1:$C$2000"),'Calculations'!$EM303)&amp;"")),"")),"R:"&amp;'Calculations'!EM303)))</x:f>
      </x:c>
      <x:c r="HF303" t="str">
        <x:f>IF('Calculations'!EM303="","",IF(IFERROR(IF(INDEX(INDIRECT("'WCM Calibration Final'!$D$1:$D$2000"),'Calculations'!$EM303)="","",TRIM(INDEX(INDIRECT("'WCM Calibration Final'!$D$1:$D$2000"),'Calculations'!$EM303)&amp;"")),"")&lt;&gt;"","G:"&amp;IFERROR(TEXT(1*INDEX(INDIRECT("'WCM Calibration Final'!$D$1:$D$2000"),'Calculations'!$EM303),"0"),UPPER(IFERROR(IF(INDEX(INDIRECT("'WCM Calibration Final'!$D$1:$D$2000"),'Calculations'!$EM303)="","",TRIM(INDEX(INDIRECT("'WCM Calibration Final'!$D$1:$D$2000"),'Calculations'!$EM303)&amp;"")),""))),IF(IFERROR(IF(INDEX(INDIRECT("'WCM Calibration Final'!$E$1:$E$2000"),'Calculations'!$EM303)="","",TRIM(INDEX(INDIRECT("'WCM Calibration Final'!$E$1:$E$2000"),'Calculations'!$EM303)&amp;"")),"")="","",IF(COUNTIF('Calculations'!$HG$13:$HG$512,"="&amp;SUBSTITUTE(SUBSTITUTE(SUBSTITUTE(IFERROR(IF(INDEX(INDIRECT("'WCM Calibration Final'!$E$1:$E$2000"),'Calculations'!$EM303)="","",TRIM(INDEX(INDIRECT("'WCM Calibration Final'!$E$1:$E$2000"),'Calculations'!$EM303)&amp;"")),""),"~","~~"),"*","~*"),"?","~?"))=1,INDEX('Calculations'!$HE$13:$HE$512,MATCH(IFERROR(IF(INDEX(INDIRECT("'WCM Calibration Final'!$E$1:$E$2000"),'Calculations'!$EM303)="","",TRIM(INDEX(INDIRECT("'WCM Calibration Final'!$E$1:$E$2000"),'Calculations'!$EM303)&amp;"")),""),'Calculations'!$HG$13:$HG$512,0)),IF(COUNTIF('Calculations'!$HG$13:$HG$512,"="&amp;SUBSTITUTE(SUBSTITUTE(SUBSTITUTE(IFERROR(IF(INDEX(INDIRECT("'WCM Calibration Final'!$E$1:$E$2000"),'Calculations'!$EM303)="","",TRIM(INDEX(INDIRECT("'WCM Calibration Final'!$E$1:$E$2000"),'Calculations'!$EM303)&amp;"")),""),"~","~~"),"*","~*"),"?","~?"))&gt;1,"!AMBIG","X:"&amp;IFERROR(IF(INDEX(INDIRECT("'WCM Calibration Final'!$E$1:$E$2000"),'Calculations'!$EM303)="","",TRIM(INDEX(INDIRECT("'WCM Calibration Final'!$E$1:$E$2000"),'Calculations'!$EM303)&amp;"")),""))))))</x:f>
      </x:c>
      <x:c r="HG303" t="str">
        <x:f>IF('Calculations'!EM303="","",IFERROR(IF(INDEX(INDIRECT("'WCM Calibration Final'!$B$1:$B$2000"),'Calculations'!$EM303)="","",TRIM(INDEX(INDIRECT("'WCM Calibration Final'!$B$1:$B$2000"),'Calculations'!$EM303)&amp;"")),""))</x:f>
      </x:c>
      <x:c r="HH303" t="n">
        <x:f>IF(AND('Calculations'!JC303&gt;0,COUNTIF('Calculations'!$HF$12:HF303,"="&amp;SUBSTITUTE(SUBSTITUTE(SUBSTITUTE('Calculations'!HF303,"~","~~"),"*","~*"),"?","~?"))=1),MAX('Calculations'!$HH$12:HH302)+1,0)</x:f>
        <x:v>0</x:v>
      </x:c>
      <x:c r="HI303" t="n">
        <x:f>IF(AND('Calculations'!HN303&lt;&gt;"",COUNTIF('Calculations'!$HN$12:HN303,"="&amp;SUBSTITUTE(SUBSTITUTE(SUBSTITUTE('Calculations'!HN303,"~","~~"),"*","~*"),"?","~?"))=1),MAX('Calculations'!$HI$12:HI302)+1,0)</x:f>
        <x:v>0</x:v>
      </x:c>
      <x:c r="HJ303" t="str">
        <x:f>IF('Calculations'!HF303="","",IF(COUNTIF('Calculations'!$HE$13:$HE$512,"="&amp;SUBSTITUTE(SUBSTITUTE(SUBSTITUTE('Calculations'!HF303,"~","~~"),"*","~*"),"?","~?"))=1,INDEX('Calculations'!$HK$13:$HK$512,MATCH('Calculations'!HF303,'Calculations'!$HE$13:$HE$512,0)),IFERROR(IF(INDEX(INDIRECT("'WCM Calibration Final'!$E$1:$E$2000"),'Calculations'!$EM303)="","",TRIM(INDEX(INDIRECT("'WCM Calibration Final'!$E$1:$E$2000"),'Calculations'!$EM303)&amp;"")),"")&amp;" ["&amp;'Calculations'!HF303&amp;"]"))</x:f>
      </x:c>
      <x:c r="HK303" t="str">
        <x:f>IF('Calculations'!EM303="","",'Calculations'!HG303&amp;" ["&amp;'Calculations'!HE303&amp;"]")</x:f>
      </x:c>
      <x:c r="HL303" t="n">
        <x:f>IF('Calculations'!EM303="",0,IF(OR('Calculations'!II303&lt;&gt;"",COUNTIF('Calculations'!$HE$13:$HE$512,"="&amp;SUBSTITUTE(SUBSTITUTE(SUBSTITUTE('Calculations'!HE303,"~","~~"),"*","~*"),"?","~?"))&gt;1),1,0))</x:f>
        <x:v>0</x:v>
      </x:c>
      <x:c r="HM303" t="str">
        <x:f>IF('Calculations'!EM303="","",IF('Calculations'!HL303=1,"!UNRESOLVED",IF('Calculations'!IH303&lt;&gt;"",'Calculations'!IH303,IF('Calculations'!IG303&lt;&gt;"",'Calculations'!IG303,IF('Calculations'!IF303&lt;&gt;"",'Calculations'!IF303,IF('Calculations'!IE303&lt;&gt;"",'Calculations'!IE303,IF('Calculations'!ID303&lt;&gt;"",'Calculations'!ID303,IF('Calculations'!IC303&lt;&gt;"",'Calculations'!IC303,IF('Calculations'!IB303&lt;&gt;"",'Calculations'!IB303,IF('Calculations'!IA303&lt;&gt;"",'Calculations'!IA303,IF('Calculations'!HZ303&lt;&gt;"",'Calculations'!HZ303,IF('Calculations'!HY303&lt;&gt;"",'Calculations'!HY303,IF('Calculations'!HX303&lt;&gt;"",'Calculations'!HX303,IF('Calculations'!HW303&lt;&gt;"",'Calculations'!HW303,IF('Calculations'!HV303&lt;&gt;"",'Calculations'!HV303,IF('Calculations'!HU303&lt;&gt;"",'Calculations'!HU303,IF('Calculations'!HT303&lt;&gt;"",'Calculations'!HT303,IF('Calculations'!HS303&lt;&gt;"",'Calculations'!HS303,IF('Calculations'!HR303&lt;&gt;"",'Calculations'!HR303,IF('Calculations'!HQ303&lt;&gt;"",'Calculations'!HQ303,IF('Calculations'!HP303&lt;&gt;"",'Calculations'!HP303,IF('Calculations'!HO303&lt;&gt;"",'Calculations'!HO303,'Calculations'!HE303))))))))))))))))))))))</x:f>
      </x:c>
      <x:c r="HN303" t="str">
        <x:f>IF('Calculations'!EM303="","",IF(IFERROR(IF(INDEX(INDIRECT("'WCM Calibration Final'!$F$1:$F$2000"),'Calculations'!$EM303)="","",TRIM(INDEX(INDIRECT("'WCM Calibration Final'!$F$1:$F$2000"),'Calculations'!$EM303)&amp;"")),"")="","(Blank)",IFERROR(IF(INDEX(INDIRECT("'WCM Calibration Final'!$F$1:$F$2000"),'Calculations'!$EM303)="","",TRIM(INDEX(INDIRECT("'WCM Calibration Final'!$F$1:$F$2000"),'Calculations'!$EM303)&amp;"")),"")))</x:f>
      </x:c>
      <x:c r="HO303" t="str">
        <x:f>'Calculations'!HF303</x:f>
      </x:c>
      <x:c r="HP303" t="str">
        <x:f>IF('Calculations'!HO303="","",IF('Calculations'!HO303="!AMBIG","!AMBIG",IF(COUNTIF('Calculations'!$HE$13:$HE$512,"="&amp;SUBSTITUTE(SUBSTITUTE(SUBSTITUTE('Calculations'!HO303,"~","~~"),"*","~*"),"?","~?"))&gt;1,"!AMBIG",IFERROR(INDEX('Calculations'!$HF$13:$HF$512,MATCH('Calculations'!HO303,'Calculations'!$HE$13:$HE$512,0)),""))))</x:f>
      </x:c>
      <x:c r="HQ303" t="str">
        <x:f>IF('Calculations'!HP303="","",IF('Calculations'!HP303="!AMBIG","!AMBIG",IF(COUNTIF('Calculations'!$HE$13:$HE$512,"="&amp;SUBSTITUTE(SUBSTITUTE(SUBSTITUTE('Calculations'!HP303,"~","~~"),"*","~*"),"?","~?"))&gt;1,"!AMBIG",IFERROR(INDEX('Calculations'!$HF$13:$HF$512,MATCH('Calculations'!HP303,'Calculations'!$HE$13:$HE$512,0)),""))))</x:f>
      </x:c>
      <x:c r="HR303" t="str">
        <x:f>IF('Calculations'!HQ303="","",IF('Calculations'!HQ303="!AMBIG","!AMBIG",IF(COUNTIF('Calculations'!$HE$13:$HE$512,"="&amp;SUBSTITUTE(SUBSTITUTE(SUBSTITUTE('Calculations'!HQ303,"~","~~"),"*","~*"),"?","~?"))&gt;1,"!AMBIG",IFERROR(INDEX('Calculations'!$HF$13:$HF$512,MATCH('Calculations'!HQ303,'Calculations'!$HE$13:$HE$512,0)),""))))</x:f>
      </x:c>
      <x:c r="HS303" t="str">
        <x:f>IF('Calculations'!HR303="","",IF('Calculations'!HR303="!AMBIG","!AMBIG",IF(COUNTIF('Calculations'!$HE$13:$HE$512,"="&amp;SUBSTITUTE(SUBSTITUTE(SUBSTITUTE('Calculations'!HR303,"~","~~"),"*","~*"),"?","~?"))&gt;1,"!AMBIG",IFERROR(INDEX('Calculations'!$HF$13:$HF$512,MATCH('Calculations'!HR303,'Calculations'!$HE$13:$HE$512,0)),""))))</x:f>
      </x:c>
      <x:c r="HT303" t="str">
        <x:f>IF('Calculations'!HS303="","",IF('Calculations'!HS303="!AMBIG","!AMBIG",IF(COUNTIF('Calculations'!$HE$13:$HE$512,"="&amp;SUBSTITUTE(SUBSTITUTE(SUBSTITUTE('Calculations'!HS303,"~","~~"),"*","~*"),"?","~?"))&gt;1,"!AMBIG",IFERROR(INDEX('Calculations'!$HF$13:$HF$512,MATCH('Calculations'!HS303,'Calculations'!$HE$13:$HE$512,0)),""))))</x:f>
      </x:c>
      <x:c r="HU303" t="str">
        <x:f>IF('Calculations'!HT303="","",IF('Calculations'!HT303="!AMBIG","!AMBIG",IF(COUNTIF('Calculations'!$HE$13:$HE$512,"="&amp;SUBSTITUTE(SUBSTITUTE(SUBSTITUTE('Calculations'!HT303,"~","~~"),"*","~*"),"?","~?"))&gt;1,"!AMBIG",IFERROR(INDEX('Calculations'!$HF$13:$HF$512,MATCH('Calculations'!HT303,'Calculations'!$HE$13:$HE$512,0)),""))))</x:f>
      </x:c>
      <x:c r="HV303" t="str">
        <x:f>IF('Calculations'!HU303="","",IF('Calculations'!HU303="!AMBIG","!AMBIG",IF(COUNTIF('Calculations'!$HE$13:$HE$512,"="&amp;SUBSTITUTE(SUBSTITUTE(SUBSTITUTE('Calculations'!HU303,"~","~~"),"*","~*"),"?","~?"))&gt;1,"!AMBIG",IFERROR(INDEX('Calculations'!$HF$13:$HF$512,MATCH('Calculations'!HU303,'Calculations'!$HE$13:$HE$512,0)),""))))</x:f>
      </x:c>
      <x:c r="HW303" t="str">
        <x:f>IF('Calculations'!HV303="","",IF('Calculations'!HV303="!AMBIG","!AMBIG",IF(COUNTIF('Calculations'!$HE$13:$HE$512,"="&amp;SUBSTITUTE(SUBSTITUTE(SUBSTITUTE('Calculations'!HV303,"~","~~"),"*","~*"),"?","~?"))&gt;1,"!AMBIG",IFERROR(INDEX('Calculations'!$HF$13:$HF$512,MATCH('Calculations'!HV303,'Calculations'!$HE$13:$HE$512,0)),""))))</x:f>
      </x:c>
      <x:c r="HX303" t="str">
        <x:f>IF('Calculations'!HW303="","",IF('Calculations'!HW303="!AMBIG","!AMBIG",IF(COUNTIF('Calculations'!$HE$13:$HE$512,"="&amp;SUBSTITUTE(SUBSTITUTE(SUBSTITUTE('Calculations'!HW303,"~","~~"),"*","~*"),"?","~?"))&gt;1,"!AMBIG",IFERROR(INDEX('Calculations'!$HF$13:$HF$512,MATCH('Calculations'!HW303,'Calculations'!$HE$13:$HE$512,0)),""))))</x:f>
      </x:c>
      <x:c r="HY303" t="str">
        <x:f>IF('Calculations'!HX303="","",IF('Calculations'!HX303="!AMBIG","!AMBIG",IF(COUNTIF('Calculations'!$HE$13:$HE$512,"="&amp;SUBSTITUTE(SUBSTITUTE(SUBSTITUTE('Calculations'!HX303,"~","~~"),"*","~*"),"?","~?"))&gt;1,"!AMBIG",IFERROR(INDEX('Calculations'!$HF$13:$HF$512,MATCH('Calculations'!HX303,'Calculations'!$HE$13:$HE$512,0)),""))))</x:f>
      </x:c>
      <x:c r="HZ303" t="str">
        <x:f>IF('Calculations'!HY303="","",IF('Calculations'!HY303="!AMBIG","!AMBIG",IF(COUNTIF('Calculations'!$HE$13:$HE$512,"="&amp;SUBSTITUTE(SUBSTITUTE(SUBSTITUTE('Calculations'!HY303,"~","~~"),"*","~*"),"?","~?"))&gt;1,"!AMBIG",IFERROR(INDEX('Calculations'!$HF$13:$HF$512,MATCH('Calculations'!HY303,'Calculations'!$HE$13:$HE$512,0)),""))))</x:f>
      </x:c>
      <x:c r="IA303" t="str">
        <x:f>IF('Calculations'!HZ303="","",IF('Calculations'!HZ303="!AMBIG","!AMBIG",IF(COUNTIF('Calculations'!$HE$13:$HE$512,"="&amp;SUBSTITUTE(SUBSTITUTE(SUBSTITUTE('Calculations'!HZ303,"~","~~"),"*","~*"),"?","~?"))&gt;1,"!AMBIG",IFERROR(INDEX('Calculations'!$HF$13:$HF$512,MATCH('Calculations'!HZ303,'Calculations'!$HE$13:$HE$512,0)),""))))</x:f>
      </x:c>
      <x:c r="IB303" t="str">
        <x:f>IF('Calculations'!IA303="","",IF('Calculations'!IA303="!AMBIG","!AMBIG",IF(COUNTIF('Calculations'!$HE$13:$HE$512,"="&amp;SUBSTITUTE(SUBSTITUTE(SUBSTITUTE('Calculations'!IA303,"~","~~"),"*","~*"),"?","~?"))&gt;1,"!AMBIG",IFERROR(INDEX('Calculations'!$HF$13:$HF$512,MATCH('Calculations'!IA303,'Calculations'!$HE$13:$HE$512,0)),""))))</x:f>
      </x:c>
      <x:c r="IC303" t="str">
        <x:f>IF('Calculations'!IB303="","",IF('Calculations'!IB303="!AMBIG","!AMBIG",IF(COUNTIF('Calculations'!$HE$13:$HE$512,"="&amp;SUBSTITUTE(SUBSTITUTE(SUBSTITUTE('Calculations'!IB303,"~","~~"),"*","~*"),"?","~?"))&gt;1,"!AMBIG",IFERROR(INDEX('Calculations'!$HF$13:$HF$512,MATCH('Calculations'!IB303,'Calculations'!$HE$13:$HE$512,0)),""))))</x:f>
      </x:c>
      <x:c r="ID303" t="str">
        <x:f>IF('Calculations'!IC303="","",IF('Calculations'!IC303="!AMBIG","!AMBIG",IF(COUNTIF('Calculations'!$HE$13:$HE$512,"="&amp;SUBSTITUTE(SUBSTITUTE(SUBSTITUTE('Calculations'!IC303,"~","~~"),"*","~*"),"?","~?"))&gt;1,"!AMBIG",IFERROR(INDEX('Calculations'!$HF$13:$HF$512,MATCH('Calculations'!IC303,'Calculations'!$HE$13:$HE$512,0)),""))))</x:f>
      </x:c>
      <x:c r="IE303" t="str">
        <x:f>IF('Calculations'!ID303="","",IF('Calculations'!ID303="!AMBIG","!AMBIG",IF(COUNTIF('Calculations'!$HE$13:$HE$512,"="&amp;SUBSTITUTE(SUBSTITUTE(SUBSTITUTE('Calculations'!ID303,"~","~~"),"*","~*"),"?","~?"))&gt;1,"!AMBIG",IFERROR(INDEX('Calculations'!$HF$13:$HF$512,MATCH('Calculations'!ID303,'Calculations'!$HE$13:$HE$512,0)),""))))</x:f>
      </x:c>
      <x:c r="IF303" t="str">
        <x:f>IF('Calculations'!IE303="","",IF('Calculations'!IE303="!AMBIG","!AMBIG",IF(COUNTIF('Calculations'!$HE$13:$HE$512,"="&amp;SUBSTITUTE(SUBSTITUTE(SUBSTITUTE('Calculations'!IE303,"~","~~"),"*","~*"),"?","~?"))&gt;1,"!AMBIG",IFERROR(INDEX('Calculations'!$HF$13:$HF$512,MATCH('Calculations'!IE303,'Calculations'!$HE$13:$HE$512,0)),""))))</x:f>
      </x:c>
      <x:c r="IG303" t="str">
        <x:f>IF('Calculations'!IF303="","",IF('Calculations'!IF303="!AMBIG","!AMBIG",IF(COUNTIF('Calculations'!$HE$13:$HE$512,"="&amp;SUBSTITUTE(SUBSTITUTE(SUBSTITUTE('Calculations'!IF303,"~","~~"),"*","~*"),"?","~?"))&gt;1,"!AMBIG",IFERROR(INDEX('Calculations'!$HF$13:$HF$512,MATCH('Calculations'!IF303,'Calculations'!$HE$13:$HE$512,0)),""))))</x:f>
      </x:c>
      <x:c r="IH303" t="str">
        <x:f>IF('Calculations'!IG303="","",IF('Calculations'!IG303="!AMBIG","!AMBIG",IF(COUNTIF('Calculations'!$HE$13:$HE$512,"="&amp;SUBSTITUTE(SUBSTITUTE(SUBSTITUTE('Calculations'!IG303,"~","~~"),"*","~*"),"?","~?"))&gt;1,"!AMBIG",IFERROR(INDEX('Calculations'!$HF$13:$HF$512,MATCH('Calculations'!IG303,'Calculations'!$HE$13:$HE$512,0)),""))))</x:f>
      </x:c>
      <x:c r="II303" t="str">
        <x:f>IF('Calculations'!IH303="","",IF('Calculations'!IH303="!AMBIG","!AMBIG",IF(COUNTIF('Calculations'!$HE$13:$HE$512,"="&amp;SUBSTITUTE(SUBSTITUTE(SUBSTITUTE('Calculations'!IH303,"~","~~"),"*","~*"),"?","~?"))&gt;1,"!AMBIG",IFERROR(INDEX('Calculations'!$HF$13:$HF$512,MATCH('Calculations'!IH303,'Calculations'!$HE$13:$HE$512,0)),""))))</x:f>
      </x:c>
      <x:c r="IJ303" t="str">
        <x:f>IF('Calculations'!EM303="","",IF('Calculations'!$EF$2="All",'Calculations'!HM303,IF('Calculations'!HL303=1,"",IFERROR(IF(MATCH('Calculations'!$EF$2,'Calculations'!HO303:II303,0)=1,'Calculations'!HE303,INDEX('Calculations'!HO303:II303,1,MATCH('Calculations'!$EF$2,'Calculations'!HO303:II303,0)-1)),""))))</x:f>
      </x:c>
      <x:c r="IK303" t="n">
        <x:f>IF(AND('Calculations'!EM303&lt;&gt;"",'Calculations'!$EF$2&lt;&gt;"All",'Calculations'!HF303='Calculations'!$EF$2,'Calculations'!HL303=0,'Calculations'!JD303&gt;0),MAX('Calculations'!$IK$12:IK302)+1,0)</x:f>
        <x:v>0</x:v>
      </x:c>
      <x:c r="JA303" t="n">
        <x:f>IF(OR(IFERROR(INDIRECT("'WCM Calibration Final'!$A$303")&lt;&gt;"",FALSE),IFERROR(INDIRECT("'WCM Calibration Final'!$B$303")&lt;&gt;"",FALSE),IFERROR(INDIRECT("'WCM Calibration Final'!$C$303")&lt;&gt;"",FALSE)),303,0)</x:f>
        <x:v>0</x:v>
      </x:c>
      <x:c r="JB303" t="n">
        <x:f>'Calculations'!JB302+IF('Calculations'!JA303&gt;0,1,0)</x:f>
        <x:v>0</x:v>
      </x:c>
      <x:c r="JC303" t="n">
        <x:f>IF(OR('Calculations'!HF303="",'Calculations'!HF303="!AMBIG"),0,IF('Dashboard'!$B$7="All",1,COUNTIFS('Calculations'!$HO$13:$HO$512,"="&amp;SUBSTITUTE(SUBSTITUTE(SUBSTITUTE('Calculations'!HF303,"~","~~"),"*","~*"),"?","~?"),'Calculations'!$HN$13:$HN$512,"="&amp;SUBSTITUTE(SUBSTITUTE(SUBSTITUTE('Dashboard'!$B$7,"~","~~"),"*","~*"),"?","~?"))+COUNTIFS('Calculations'!$HP$13:$HP$512,"="&amp;SUBSTITUTE(SUBSTITUTE(SUBSTITUTE('Calculations'!HF303,"~","~~"),"*","~*"),"?","~?"),'Calculations'!$HN$13:$HN$512,"="&amp;SUBSTITUTE(SUBSTITUTE(SUBSTITUTE('Dashboard'!$B$7,"~","~~"),"*","~*"),"?","~?"))+COUNTIFS('Calculations'!$HQ$13:$HQ$512,"="&amp;SUBSTITUTE(SUBSTITUTE(SUBSTITUTE('Calculations'!HF303,"~","~~"),"*","~*"),"?","~?"),'Calculations'!$HN$13:$HN$512,"="&amp;SUBSTITUTE(SUBSTITUTE(SUBSTITUTE('Dashboard'!$B$7,"~","~~"),"*","~*"),"?","~?"))+COUNTIFS('Calculations'!$HR$13:$HR$512,"="&amp;SUBSTITUTE(SUBSTITUTE(SUBSTITUTE('Calculations'!HF303,"~","~~"),"*","~*"),"?","~?"),'Calculations'!$HN$13:$HN$512,"="&amp;SUBSTITUTE(SUBSTITUTE(SUBSTITUTE('Dashboard'!$B$7,"~","~~"),"*","~*"),"?","~?"))+COUNTIFS('Calculations'!$HS$13:$HS$512,"="&amp;SUBSTITUTE(SUBSTITUTE(SUBSTITUTE('Calculations'!HF303,"~","~~"),"*","~*"),"?","~?"),'Calculations'!$HN$13:$HN$512,"="&amp;SUBSTITUTE(SUBSTITUTE(SUBSTITUTE('Dashboard'!$B$7,"~","~~"),"*","~*"),"?","~?"))+COUNTIFS('Calculations'!$HT$13:$HT$512,"="&amp;SUBSTITUTE(SUBSTITUTE(SUBSTITUTE('Calculations'!HF303,"~","~~"),"*","~*"),"?","~?"),'Calculations'!$HN$13:$HN$512,"="&amp;SUBSTITUTE(SUBSTITUTE(SUBSTITUTE('Dashboard'!$B$7,"~","~~"),"*","~*"),"?","~?"))+COUNTIFS('Calculations'!$HU$13:$HU$512,"="&amp;SUBSTITUTE(SUBSTITUTE(SUBSTITUTE('Calculations'!HF303,"~","~~"),"*","~*"),"?","~?"),'Calculations'!$HN$13:$HN$512,"="&amp;SUBSTITUTE(SUBSTITUTE(SUBSTITUTE('Dashboard'!$B$7,"~","~~"),"*","~*"),"?","~?"))+COUNTIFS('Calculations'!$HV$13:$HV$512,"="&amp;SUBSTITUTE(SUBSTITUTE(SUBSTITUTE('Calculations'!HF303,"~","~~"),"*","~*"),"?","~?"),'Calculations'!$HN$13:$HN$512,"="&amp;SUBSTITUTE(SUBSTITUTE(SUBSTITUTE('Dashboard'!$B$7,"~","~~"),"*","~*"),"?","~?"))+COUNTIFS('Calculations'!$HW$13:$HW$512,"="&amp;SUBSTITUTE(SUBSTITUTE(SUBSTITUTE('Calculations'!HF303,"~","~~"),"*","~*"),"?","~?"),'Calculations'!$HN$13:$HN$512,"="&amp;SUBSTITUTE(SUBSTITUTE(SUBSTITUTE('Dashboard'!$B$7,"~","~~"),"*","~*"),"?","~?"))+COUNTIFS('Calculations'!$HX$13:$HX$512,"="&amp;SUBSTITUTE(SUBSTITUTE(SUBSTITUTE('Calculations'!HF303,"~","~~"),"*","~*"),"?","~?"),'Calculations'!$HN$13:$HN$512,"="&amp;SUBSTITUTE(SUBSTITUTE(SUBSTITUTE('Dashboard'!$B$7,"~","~~"),"*","~*"),"?","~?"))+COUNTIFS('Calculations'!$HY$13:$HY$512,"="&amp;SUBSTITUTE(SUBSTITUTE(SUBSTITUTE('Calculations'!HF303,"~","~~"),"*","~*"),"?","~?"),'Calculations'!$HN$13:$HN$512,"="&amp;SUBSTITUTE(SUBSTITUTE(SUBSTITUTE('Dashboard'!$B$7,"~","~~"),"*","~*"),"?","~?"))+COUNTIFS('Calculations'!$HZ$13:$HZ$512,"="&amp;SUBSTITUTE(SUBSTITUTE(SUBSTITUTE('Calculations'!HF303,"~","~~"),"*","~*"),"?","~?"),'Calculations'!$HN$13:$HN$512,"="&amp;SUBSTITUTE(SUBSTITUTE(SUBSTITUTE('Dashboard'!$B$7,"~","~~"),"*","~*"),"?","~?"))+COUNTIFS('Calculations'!$IA$13:$IA$512,"="&amp;SUBSTITUTE(SUBSTITUTE(SUBSTITUTE('Calculations'!HF303,"~","~~"),"*","~*"),"?","~?"),'Calculations'!$HN$13:$HN$512,"="&amp;SUBSTITUTE(SUBSTITUTE(SUBSTITUTE('Dashboard'!$B$7,"~","~~"),"*","~*"),"?","~?"))+COUNTIFS('Calculations'!$IB$13:$IB$512,"="&amp;SUBSTITUTE(SUBSTITUTE(SUBSTITUTE('Calculations'!HF303,"~","~~"),"*","~*"),"?","~?"),'Calculations'!$HN$13:$HN$512,"="&amp;SUBSTITUTE(SUBSTITUTE(SUBSTITUTE('Dashboard'!$B$7,"~","~~"),"*","~*"),"?","~?"))+COUNTIFS('Calculations'!$IC$13:$IC$512,"="&amp;SUBSTITUTE(SUBSTITUTE(SUBSTITUTE('Calculations'!HF303,"~","~~"),"*","~*"),"?","~?"),'Calculations'!$HN$13:$HN$512,"="&amp;SUBSTITUTE(SUBSTITUTE(SUBSTITUTE('Dashboard'!$B$7,"~","~~"),"*","~*"),"?","~?"))+COUNTIFS('Calculations'!$ID$13:$ID$512,"="&amp;SUBSTITUTE(SUBSTITUTE(SUBSTITUTE('Calculations'!HF303,"~","~~"),"*","~*"),"?","~?"),'Calculations'!$HN$13:$HN$512,"="&amp;SUBSTITUTE(SUBSTITUTE(SUBSTITUTE('Dashboard'!$B$7,"~","~~"),"*","~*"),"?","~?"))+COUNTIFS('Calculations'!$IE$13:$IE$512,"="&amp;SUBSTITUTE(SUBSTITUTE(SUBSTITUTE('Calculations'!HF303,"~","~~"),"*","~*"),"?","~?"),'Calculations'!$HN$13:$HN$512,"="&amp;SUBSTITUTE(SUBSTITUTE(SUBSTITUTE('Dashboard'!$B$7,"~","~~"),"*","~*"),"?","~?"))+COUNTIFS('Calculations'!$IF$13:$IF$512,"="&amp;SUBSTITUTE(SUBSTITUTE(SUBSTITUTE('Calculations'!HF303,"~","~~"),"*","~*"),"?","~?"),'Calculations'!$HN$13:$HN$512,"="&amp;SUBSTITUTE(SUBSTITUTE(SUBSTITUTE('Dashboard'!$B$7,"~","~~"),"*","~*"),"?","~?"))+COUNTIFS('Calculations'!$IG$13:$IG$512,"="&amp;SUBSTITUTE(SUBSTITUTE(SUBSTITUTE('Calculations'!HF303,"~","~~"),"*","~*"),"?","~?"),'Calculations'!$HN$13:$HN$512,"="&amp;SUBSTITUTE(SUBSTITUTE(SUBSTITUTE('Dashboard'!$B$7,"~","~~"),"*","~*"),"?","~?"))+COUNTIFS('Calculations'!$IH$13:$IH$512,"="&amp;SUBSTITUTE(SUBSTITUTE(SUBSTITUTE('Calculations'!HF303,"~","~~"),"*","~*"),"?","~?"),'Calculations'!$HN$13:$HN$512,"="&amp;SUBSTITUTE(SUBSTITUTE(SUBSTITUTE('Dashboard'!$B$7,"~","~~"),"*","~*"),"?","~?"))))</x:f>
        <x:v>0</x:v>
      </x:c>
      <x:c r="JD303" t="n">
        <x:f>IF('Calculations'!EM303="",0,IF('Dashboard'!$B$7="All",1,IF('Calculations'!HN303='Dashboard'!$B$7,1,0)+IFERROR(INDEX('Calculations'!$JC$13:$JC$512,MATCH('Calculations'!HE303,'Calculations'!$HF$13:$HF$512,0)),0)))</x:f>
        <x:v>0</x:v>
      </x:c>
      <x:c r="JE303" t="n">
        <x:f>IF(AND('Calculations'!EM303&lt;&gt;"",'Calculations'!$JJ$2&lt;&gt;"All",'Calculations'!$JJ$2&lt;&gt;"",'Calculations'!HF303='Calculations'!$JJ$2,'Calculations'!HL303=0,'Calculations'!JD303&gt;0),MAX('Calculations'!$JE$12:JE302)+1,0)</x:f>
        <x:v>0</x:v>
      </x:c>
      <x:c r="JF303" t="str">
        <x:f>IF('Calculations'!EM303="","",IFERROR(IF(INDEX(INDIRECT("'WCM Calibration Final'!$G$1:$G$2000"),'Calculations'!$EM303)="","",TRIM(INDEX(INDIRECT("'WCM Calibration Final'!$G$1:$G$2000"),'Calculations'!$EM303)&amp;"")),""))</x:f>
      </x:c>
      <x:c r="JQ303" t="n">
        <x:f>IF(OR('Calculations'!BM303=0,NOT('Calculations'!$AG$2),'Calculations'!$AG$8&gt;0),0,IF(OR('Dashboard'!$B$7="All",'Calculations'!HN303='Dashboard'!$B$7),IF('Calculations'!$JJ$2="All",1,IF(AND('Calculations'!HF303='Calculations'!$JJ$2,'Calculations'!HL303=0),1,0)),0))</x:f>
        <x:v>0</x:v>
      </x:c>
    </x:row>
    <x:row r="304">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t="n">
        <x:f>IF('Calculations'!$EM304="",0,IF(OR(IFERROR(INDEX(INDIRECT("'WCM Calibration Final'!$A$1:$A$2000"),'Calculations'!$EM304)&lt;&gt;"",FALSE),IFERROR(INDEX(INDIRECT("'WCM Calibration Final'!$B$1:$B$2000"),'Calculations'!$EM304)&lt;&gt;"",FALSE),IFERROR(INDEX(INDIRECT("'WCM Calibration Final'!$C$1:$C$2000"),'Calculations'!$EM304)&lt;&gt;"",FALSE)),1,0))</x:f>
        <x:v>0</x:v>
      </x:c>
      <x:c r="BN304" s="4" t="n">
        <x:f>IF(AND('Calculations'!BM304=1,'Calculations'!$AG$2,'Calculations'!$EN304=1),1,0)</x:f>
        <x:v>0</x:v>
      </x:c>
      <x:c r="BO304" s="4" t="str">
        <x:f>IF('Calculations'!BM304=0,"",IFERROR(IF(AND(VALUE(INDEX(INDIRECT("'WCM Calibration Final'!$K$1:$K$2000"),'Calculations'!$EM304))&gt;=1,VALUE(INDEX(INDIRECT("'WCM Calibration Final'!$K$1:$K$2000"),'Calculations'!$EM304))&lt;=4,MOD(VALUE(INDEX(INDIRECT("'WCM Calibration Final'!$K$1:$K$2000"),'Calculations'!$EM304)),1)=0),VALUE(INDEX(INDIRECT("'WCM Calibration Final'!$K$1:$K$2000"),'Calculations'!$EM304)),""),""))</x:f>
      </x:c>
      <x:c r="BP304" s="4" t="str">
        <x:f>IF('Calculations'!BM304=0,"",IFERROR(IF(AND(VALUE(INDEX(INDIRECT("'WCM Calibration Final'!$L$1:$L$2000"),'Calculations'!$EM304))&gt;=1,VALUE(INDEX(INDIRECT("'WCM Calibration Final'!$L$1:$L$2000"),'Calculations'!$EM304))&lt;=4,MOD(VALUE(INDEX(INDIRECT("'WCM Calibration Final'!$L$1:$L$2000"),'Calculations'!$EM304)),1)=0),VALUE(INDEX(INDIRECT("'WCM Calibration Final'!$L$1:$L$2000"),'Calculations'!$EM304)),""),""))</x:f>
      </x:c>
      <x:c r="BQ304" s="4"/>
      <x:c r="BR304" s="4"/>
      <x:c r="BS304" s="4"/>
      <x:c r="BT304" s="4" t="n">
        <x:f>IF(AND('Calculations'!BM304=1,ISNUMBER('Calculations'!BO304),ISNUMBER('Calculations'!BP304)),1,0)</x:f>
        <x:v>0</x:v>
      </x:c>
      <x:c r="BU304" s="4" t="str">
        <x:f>IF('Calculations'!BM304=0,"",'Calculations'!$EO304)</x:f>
      </x:c>
      <x:c r="BV304" s="4" t="str">
        <x:f>IF('Calculations'!BM304=0,"",IFERROR(IF(OR(INDEX(INDIRECT("'WCM Calibration Final'!$H$1:$H$2000"),'Calculations'!$EM304)="MANAGING DIRECTOR",INDEX(INDIRECT("'WCM Calibration Final'!$H$1:$H$2000"),'Calculations'!$EM304)="DIRECTOR",INDEX(INDIRECT("'WCM Calibration Final'!$H$1:$H$2000"),'Calculations'!$EM304)="SENIOR VICE PRESIDENT",INDEX(INDIRECT("'WCM Calibration Final'!$H$1:$H$2000"),'Calculations'!$EM304)="VICE PRESIDENT",INDEX(INDIRECT("'WCM Calibration Final'!$H$1:$H$2000"),'Calculations'!$EM304)="ASSISTANT VICE PRESIDENT",INDEX(INDIRECT("'WCM Calibration Final'!$H$1:$H$2000"),'Calculations'!$EM304)="OFFICER"),UPPER(INDEX(INDIRECT("'WCM Calibration Final'!$H$1:$H$2000"),'Calculations'!$EM304)),"Other"),"Other"))</x:f>
      </x:c>
      <x:c r="BW304" s="4"/>
      <x:c r="BX304" s="4"/>
      <x:c r="BY304" s="4" t="n">
        <x:f>IF(AND('Calculations'!BM304=1,'Calculations'!BU304&lt;&gt;"",COUNTIF('Calculations'!$BU$12:BU304,'Calculations'!BU304)=1),MAX('Calculations'!$BY$11:BY303)+1,0)</x:f>
        <x:v>0</x:v>
      </x:c>
      <x:c r="BZ304" s="4" t="str">
        <x:f>IF('Dashboard'!$E$67="What",'Calculations'!BO304,'Calculations'!BP304)</x:f>
      </x:c>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t="str">
        <x:f>IF(293&gt;MAX('Calculations'!$HI$13:$HI$512),"",INDEX('Calculations'!$HN$13:$HN$512,MATCH(293,'Calculations'!$HI$13:$HI$512,0)))</x:f>
      </x:c>
      <x:c r="DB304" s="4" t="str">
        <x:f>IF(293&gt;MAX('Calculations'!$HH$13:$HH$512),"",INDEX('Calculations'!$HJ$13:$HJ$512,MATCH(293,'Calculations'!$HH$13:$HH$512,0)))</x:f>
      </x:c>
      <x:c r="DC304" s="4" t="str">
        <x:f>IF(ROW()-11&gt;MAX('Calculations'!$BY$13:$BY$512),"",INDEX('Calculations'!$BU$13:$BU$512,MATCH(ROW()-11,'Calculations'!$BY$13:$BY$512,0)))</x:f>
      </x:c>
      <x:c r="DD304" s="4" t="str">
        <x:f>IF(293&gt;MAX('Calculations'!$IK$13:$IK$512),"",INDEX('Calculations'!$HK$13:$HK$512,MATCH(293,'Calculations'!$IK$13:$IK$512,0)))</x:f>
      </x:c>
      <x:c r="DE304" s="4" t="str">
        <x:f>'Calculations'!DC304</x:f>
      </x:c>
      <x:c r="DF304" s="4" t="str">
        <x:f>IF('Calculations'!DE304="","",COUNTIFS('Calculations'!$BN$13:$BN$512,1,'Calculations'!$BU$13:$BU$512,'Calculations'!DE304))</x:f>
      </x:c>
      <x:c r="DG304" s="4" t="str">
        <x:f>IF('Calculations'!DE304="","",COUNTIFS('Calculations'!$BN$13:$BN$512,1,'Calculations'!$BU$13:$BU$512,'Calculations'!DE304,'Calculations'!$BT$13:$BT$512,1))</x:f>
      </x:c>
      <x:c r="DH304" s="4" t="str">
        <x:f>IF('Calculations'!DE304="","",'Calculations'!DF304-'Calculations'!DG304)</x:f>
      </x:c>
      <x:c r="DI304" s="4" t="str">
        <x:f>IF(OR('Calculations'!DE304="",'Calculations'!DF304=0),"",'Calculations'!DG304/'Calculations'!DF304)</x:f>
      </x:c>
      <x:c r="DJ304" s="4" t="str">
        <x:f>IF('Calculations'!DE304="","",COUNTIFS('Calculations'!$BN$13:$BN$512,1,'Calculations'!$BU$13:$BU$512,'Calculations'!DE304,'Calculations'!$BT$13:$BT$512,1,'Calculations'!$EE$13:$EE$512,"High"))</x:f>
      </x:c>
      <x:c r="DK304" s="4" t="str">
        <x:f>IF('Calculations'!DE304="","",COUNTIFS('Calculations'!$BN$13:$BN$512,1,'Calculations'!$BU$13:$BU$512,'Calculations'!DE304,'Calculations'!$BT$13:$BT$512,1,'Calculations'!$EE$13:$EE$512,"Strong"))</x:f>
      </x:c>
      <x:c r="DL304" s="4" t="str">
        <x:f>IF('Calculations'!DE304="","",COUNTIFS('Calculations'!$BN$13:$BN$512,1,'Calculations'!$BU$13:$BU$512,'Calculations'!DE304,'Calculations'!$BT$13:$BT$512,1,'Calculations'!$EE$13:$EE$512,"Solid"))</x:f>
      </x:c>
      <x:c r="DM304" s="4" t="str">
        <x:f>IF('Calculations'!DE304="","",COUNTIFS('Calculations'!$BN$13:$BN$512,1,'Calculations'!$BU$13:$BU$512,'Calculations'!DE304,'Calculations'!$BT$13:$BT$512,1,'Calculations'!$EE$13:$EE$512,"Low"))</x:f>
      </x:c>
      <x:c r="DN304" s="4" t="str">
        <x:f>IF('Calculations'!DE304="","",COUNTIFS('Calculations'!$BN$13:$BN$512,1,'Calculations'!$BU$13:$BU$512,'Calculations'!DE304,'Calculations'!$EP$13:$EP$512,1))</x:f>
      </x:c>
      <x:c r="DO304" s="4" t="str">
        <x:f>IF(OR('Calculations'!DE304="",'Calculations'!DG304=0),"",('Calculations'!DJ304+'Calculations'!DK304)/'Calculations'!DG304)</x:f>
      </x:c>
      <x:c r="DP304" s="4" t="n">
        <x:f>IF(AND('Calculations'!DE304&lt;&gt;"",'Calculations'!DF304&gt;0),COUNTIF('Calculations'!$DF$12:DF304,"&gt;0"),0)</x:f>
        <x:v>0</x:v>
      </x:c>
      <x:c r="DQ304" s="4" t="str">
        <x:f>IF(293&gt;MAX('Calculations'!$HH$13:$HH$512),"",INDEX('Calculations'!$HF$13:$HF$512,MATCH(293,'Calculations'!$HH$13:$HH$512,0)))</x:f>
      </x:c>
      <x:c r="DR304" s="4" t="str">
        <x:f>IF(293&gt;MAX('Calculations'!$IK$13:$IK$512),"",INDEX('Calculations'!$HE$13:$HE$512,MATCH(293,'Calculations'!$IK$13:$IK$512,0)))</x:f>
      </x:c>
      <x:c r="DS304" s="4"/>
      <x:c r="DT304" s="4"/>
      <x:c r="DU304" s="4"/>
      <x:c r="DV304" s="4"/>
      <x:c r="DW304" s="4"/>
      <x:c r="DX304" s="4"/>
      <x:c r="DY304" s="4"/>
      <x:c r="DZ304" s="4"/>
      <x:c r="EA304" s="4"/>
      <x:c r="EB304" s="4"/>
      <x:c r="EC304" s="4"/>
      <x:c r="ED304" s="4"/>
      <x:c r="EE304" s="4" t="str">
        <x:f>IF('Calculations'!BT304=0,"Not Rated",IF(OR('Calculations'!BO304&gt;=4,'Calculations'!BP304&gt;=4),"Low",IF('Calculations'!BO304+'Calculations'!BP304&lt;=3,"High",IF('Calculations'!BO304+'Calculations'!BP304&lt;=4,"Strong","Solid"))))</x:f>
        <x:v>Not Rated</x:v>
      </x:c>
      <x:c r="EF304" s="4"/>
      <x:c r="EG304" s="4"/>
      <x:c r="EH304" s="4"/>
      <x:c r="EI304" s="4"/>
      <x:c r="EJ304" s="4"/>
      <x:c r="EK304" s="4"/>
      <x:c r="EL304" s="4"/>
      <x:c r="EM304" s="4" t="str">
        <x:f>IF(292&gt;'Calculations'!$JB$2000,"",INDEX('Calculations'!$JA$12:$JA$2000,MATCH(292,'Calculations'!$JB$12:$JB$2000,0)))</x:f>
      </x:c>
      <x:c r="EN304" s="4" t="n">
        <x:f>IF(OR('Calculations'!EM304="",'Calculations'!$AG$8&gt;0,AND('Calculations'!$EF$2&lt;&gt;"All",'Calculations'!HE304='Calculations'!$EF$2),AND('Calculations'!$EF$3&lt;&gt;"All",'Calculations'!HE304='Calculations'!$EF$3)),0,IF(OR('Dashboard'!$B$7="All",'Calculations'!HN304='Dashboard'!$B$7),IF('Calculations'!$EF$2="All",1,IF('Calculations'!HL304&gt;0,0,IF(COUNTIF('Calculations'!HO304:II304,"="&amp;SUBSTITUTE(SUBSTITUTE(SUBSTITUTE('Calculations'!$EF$2,"~","~~"),"*","~*"),"?","~?"))=0,0,IF('Calculations'!$EF$3="All",1,IF(COUNTIF('Calculations'!HO304:II304,"="&amp;SUBSTITUTE(SUBSTITUTE(SUBSTITUTE('Calculations'!$EF$3,"~","~~"),"*","~*"),"?","~?"))&gt;0,1,0))))),0))</x:f>
        <x:v>0</x:v>
      </x:c>
      <x:c r="EO304" s="4" t="str">
        <x:f>IF('Calculations'!IJ304="","",IF('Calculations'!IJ304="!UNRESOLVED","Unresolved hierarchy",IFERROR(INDEX('Calculations'!$HK$13:$HK$512,MATCH('Calculations'!IJ304,'Calculations'!$HE$13:$HE$512,0)),IFERROR(INDEX('Calculations'!$HJ$13:$HJ$512,MATCH('Calculations'!IJ304,'Calculations'!$HF$13:$HF$512,0)),'Calculations'!IJ304))))</x:f>
      </x:c>
      <x:c r="EP304" s="4" t="n">
        <x:f>IF(AND('Calculations'!EM304&lt;&gt;"",'Calculations'!HF304='Calculations'!IJ304),1,0)</x:f>
        <x:v>0</x:v>
      </x:c>
      <x:c r="EQ304" s="4"/>
      <x:c r="ER304" s="4"/>
      <x:c r="ES304" s="4"/>
      <x:c r="ET304" s="4"/>
      <x:c r="EU304" s="4"/>
      <x:c r="EV304" s="4"/>
      <x:c r="EW304" s="4"/>
      <x:c r="EX304" s="4"/>
      <x:c r="EY304" s="4"/>
      <x:c r="EZ304" s="4"/>
      <x:c r="FA304" s="4"/>
      <x:c r="FB304" s="4"/>
      <x:c r="FC304" s="4"/>
      <x:c r="FD304" s="4"/>
      <x:c r="FE304" s="4"/>
      <x:c r="FF304" s="4"/>
      <x:c r="FG304" s="4"/>
      <x:c r="FH304" s="4"/>
      <x:c r="FI304" s="4"/>
      <x:c r="FJ304" s="4"/>
      <x:c r="FK304" s="4"/>
      <x:c r="FL304" s="4"/>
      <x:c r="FM304" s="4"/>
      <x:c r="FN304" s="4"/>
      <x:c r="FO304" s="4"/>
      <x:c r="HE304" t="str">
        <x:f>IF('Calculations'!EM304="","",IF(IFERROR(IF(INDEX(INDIRECT("'WCM Calibration Final'!$A$1:$A$2000"),'Calculations'!$EM304)="","",TRIM(INDEX(INDIRECT("'WCM Calibration Final'!$A$1:$A$2000"),'Calculations'!$EM304)&amp;"")),"")&lt;&gt;"","G:"&amp;IFERROR(TEXT(1*INDEX(INDIRECT("'WCM Calibration Final'!$A$1:$A$2000"),'Calculations'!$EM304),"0"),UPPER(IFERROR(IF(INDEX(INDIRECT("'WCM Calibration Final'!$A$1:$A$2000"),'Calculations'!$EM304)="","",TRIM(INDEX(INDIRECT("'WCM Calibration Final'!$A$1:$A$2000"),'Calculations'!$EM304)&amp;"")),""))),IF(IFERROR(IF(INDEX(INDIRECT("'WCM Calibration Final'!$C$1:$C$2000"),'Calculations'!$EM304)="","",TRIM(INDEX(INDIRECT("'WCM Calibration Final'!$C$1:$C$2000"),'Calculations'!$EM304)&amp;"")),"")&lt;&gt;"","S:"&amp;UPPER(IFERROR(IF(INDEX(INDIRECT("'WCM Calibration Final'!$C$1:$C$2000"),'Calculations'!$EM304)="","",TRIM(INDEX(INDIRECT("'WCM Calibration Final'!$C$1:$C$2000"),'Calculations'!$EM304)&amp;"")),"")),"R:"&amp;'Calculations'!EM304)))</x:f>
      </x:c>
      <x:c r="HF304" t="str">
        <x:f>IF('Calculations'!EM304="","",IF(IFERROR(IF(INDEX(INDIRECT("'WCM Calibration Final'!$D$1:$D$2000"),'Calculations'!$EM304)="","",TRIM(INDEX(INDIRECT("'WCM Calibration Final'!$D$1:$D$2000"),'Calculations'!$EM304)&amp;"")),"")&lt;&gt;"","G:"&amp;IFERROR(TEXT(1*INDEX(INDIRECT("'WCM Calibration Final'!$D$1:$D$2000"),'Calculations'!$EM304),"0"),UPPER(IFERROR(IF(INDEX(INDIRECT("'WCM Calibration Final'!$D$1:$D$2000"),'Calculations'!$EM304)="","",TRIM(INDEX(INDIRECT("'WCM Calibration Final'!$D$1:$D$2000"),'Calculations'!$EM304)&amp;"")),""))),IF(IFERROR(IF(INDEX(INDIRECT("'WCM Calibration Final'!$E$1:$E$2000"),'Calculations'!$EM304)="","",TRIM(INDEX(INDIRECT("'WCM Calibration Final'!$E$1:$E$2000"),'Calculations'!$EM304)&amp;"")),"")="","",IF(COUNTIF('Calculations'!$HG$13:$HG$512,"="&amp;SUBSTITUTE(SUBSTITUTE(SUBSTITUTE(IFERROR(IF(INDEX(INDIRECT("'WCM Calibration Final'!$E$1:$E$2000"),'Calculations'!$EM304)="","",TRIM(INDEX(INDIRECT("'WCM Calibration Final'!$E$1:$E$2000"),'Calculations'!$EM304)&amp;"")),""),"~","~~"),"*","~*"),"?","~?"))=1,INDEX('Calculations'!$HE$13:$HE$512,MATCH(IFERROR(IF(INDEX(INDIRECT("'WCM Calibration Final'!$E$1:$E$2000"),'Calculations'!$EM304)="","",TRIM(INDEX(INDIRECT("'WCM Calibration Final'!$E$1:$E$2000"),'Calculations'!$EM304)&amp;"")),""),'Calculations'!$HG$13:$HG$512,0)),IF(COUNTIF('Calculations'!$HG$13:$HG$512,"="&amp;SUBSTITUTE(SUBSTITUTE(SUBSTITUTE(IFERROR(IF(INDEX(INDIRECT("'WCM Calibration Final'!$E$1:$E$2000"),'Calculations'!$EM304)="","",TRIM(INDEX(INDIRECT("'WCM Calibration Final'!$E$1:$E$2000"),'Calculations'!$EM304)&amp;"")),""),"~","~~"),"*","~*"),"?","~?"))&gt;1,"!AMBIG","X:"&amp;IFERROR(IF(INDEX(INDIRECT("'WCM Calibration Final'!$E$1:$E$2000"),'Calculations'!$EM304)="","",TRIM(INDEX(INDIRECT("'WCM Calibration Final'!$E$1:$E$2000"),'Calculations'!$EM304)&amp;"")),""))))))</x:f>
      </x:c>
      <x:c r="HG304" t="str">
        <x:f>IF('Calculations'!EM304="","",IFERROR(IF(INDEX(INDIRECT("'WCM Calibration Final'!$B$1:$B$2000"),'Calculations'!$EM304)="","",TRIM(INDEX(INDIRECT("'WCM Calibration Final'!$B$1:$B$2000"),'Calculations'!$EM304)&amp;"")),""))</x:f>
      </x:c>
      <x:c r="HH304" t="n">
        <x:f>IF(AND('Calculations'!JC304&gt;0,COUNTIF('Calculations'!$HF$12:HF304,"="&amp;SUBSTITUTE(SUBSTITUTE(SUBSTITUTE('Calculations'!HF304,"~","~~"),"*","~*"),"?","~?"))=1),MAX('Calculations'!$HH$12:HH303)+1,0)</x:f>
        <x:v>0</x:v>
      </x:c>
      <x:c r="HI304" t="n">
        <x:f>IF(AND('Calculations'!HN304&lt;&gt;"",COUNTIF('Calculations'!$HN$12:HN304,"="&amp;SUBSTITUTE(SUBSTITUTE(SUBSTITUTE('Calculations'!HN304,"~","~~"),"*","~*"),"?","~?"))=1),MAX('Calculations'!$HI$12:HI303)+1,0)</x:f>
        <x:v>0</x:v>
      </x:c>
      <x:c r="HJ304" t="str">
        <x:f>IF('Calculations'!HF304="","",IF(COUNTIF('Calculations'!$HE$13:$HE$512,"="&amp;SUBSTITUTE(SUBSTITUTE(SUBSTITUTE('Calculations'!HF304,"~","~~"),"*","~*"),"?","~?"))=1,INDEX('Calculations'!$HK$13:$HK$512,MATCH('Calculations'!HF304,'Calculations'!$HE$13:$HE$512,0)),IFERROR(IF(INDEX(INDIRECT("'WCM Calibration Final'!$E$1:$E$2000"),'Calculations'!$EM304)="","",TRIM(INDEX(INDIRECT("'WCM Calibration Final'!$E$1:$E$2000"),'Calculations'!$EM304)&amp;"")),"")&amp;" ["&amp;'Calculations'!HF304&amp;"]"))</x:f>
      </x:c>
      <x:c r="HK304" t="str">
        <x:f>IF('Calculations'!EM304="","",'Calculations'!HG304&amp;" ["&amp;'Calculations'!HE304&amp;"]")</x:f>
      </x:c>
      <x:c r="HL304" t="n">
        <x:f>IF('Calculations'!EM304="",0,IF(OR('Calculations'!II304&lt;&gt;"",COUNTIF('Calculations'!$HE$13:$HE$512,"="&amp;SUBSTITUTE(SUBSTITUTE(SUBSTITUTE('Calculations'!HE304,"~","~~"),"*","~*"),"?","~?"))&gt;1),1,0))</x:f>
        <x:v>0</x:v>
      </x:c>
      <x:c r="HM304" t="str">
        <x:f>IF('Calculations'!EM304="","",IF('Calculations'!HL304=1,"!UNRESOLVED",IF('Calculations'!IH304&lt;&gt;"",'Calculations'!IH304,IF('Calculations'!IG304&lt;&gt;"",'Calculations'!IG304,IF('Calculations'!IF304&lt;&gt;"",'Calculations'!IF304,IF('Calculations'!IE304&lt;&gt;"",'Calculations'!IE304,IF('Calculations'!ID304&lt;&gt;"",'Calculations'!ID304,IF('Calculations'!IC304&lt;&gt;"",'Calculations'!IC304,IF('Calculations'!IB304&lt;&gt;"",'Calculations'!IB304,IF('Calculations'!IA304&lt;&gt;"",'Calculations'!IA304,IF('Calculations'!HZ304&lt;&gt;"",'Calculations'!HZ304,IF('Calculations'!HY304&lt;&gt;"",'Calculations'!HY304,IF('Calculations'!HX304&lt;&gt;"",'Calculations'!HX304,IF('Calculations'!HW304&lt;&gt;"",'Calculations'!HW304,IF('Calculations'!HV304&lt;&gt;"",'Calculations'!HV304,IF('Calculations'!HU304&lt;&gt;"",'Calculations'!HU304,IF('Calculations'!HT304&lt;&gt;"",'Calculations'!HT304,IF('Calculations'!HS304&lt;&gt;"",'Calculations'!HS304,IF('Calculations'!HR304&lt;&gt;"",'Calculations'!HR304,IF('Calculations'!HQ304&lt;&gt;"",'Calculations'!HQ304,IF('Calculations'!HP304&lt;&gt;"",'Calculations'!HP304,IF('Calculations'!HO304&lt;&gt;"",'Calculations'!HO304,'Calculations'!HE304))))))))))))))))))))))</x:f>
      </x:c>
      <x:c r="HN304" t="str">
        <x:f>IF('Calculations'!EM304="","",IF(IFERROR(IF(INDEX(INDIRECT("'WCM Calibration Final'!$F$1:$F$2000"),'Calculations'!$EM304)="","",TRIM(INDEX(INDIRECT("'WCM Calibration Final'!$F$1:$F$2000"),'Calculations'!$EM304)&amp;"")),"")="","(Blank)",IFERROR(IF(INDEX(INDIRECT("'WCM Calibration Final'!$F$1:$F$2000"),'Calculations'!$EM304)="","",TRIM(INDEX(INDIRECT("'WCM Calibration Final'!$F$1:$F$2000"),'Calculations'!$EM304)&amp;"")),"")))</x:f>
      </x:c>
      <x:c r="HO304" t="str">
        <x:f>'Calculations'!HF304</x:f>
      </x:c>
      <x:c r="HP304" t="str">
        <x:f>IF('Calculations'!HO304="","",IF('Calculations'!HO304="!AMBIG","!AMBIG",IF(COUNTIF('Calculations'!$HE$13:$HE$512,"="&amp;SUBSTITUTE(SUBSTITUTE(SUBSTITUTE('Calculations'!HO304,"~","~~"),"*","~*"),"?","~?"))&gt;1,"!AMBIG",IFERROR(INDEX('Calculations'!$HF$13:$HF$512,MATCH('Calculations'!HO304,'Calculations'!$HE$13:$HE$512,0)),""))))</x:f>
      </x:c>
      <x:c r="HQ304" t="str">
        <x:f>IF('Calculations'!HP304="","",IF('Calculations'!HP304="!AMBIG","!AMBIG",IF(COUNTIF('Calculations'!$HE$13:$HE$512,"="&amp;SUBSTITUTE(SUBSTITUTE(SUBSTITUTE('Calculations'!HP304,"~","~~"),"*","~*"),"?","~?"))&gt;1,"!AMBIG",IFERROR(INDEX('Calculations'!$HF$13:$HF$512,MATCH('Calculations'!HP304,'Calculations'!$HE$13:$HE$512,0)),""))))</x:f>
      </x:c>
      <x:c r="HR304" t="str">
        <x:f>IF('Calculations'!HQ304="","",IF('Calculations'!HQ304="!AMBIG","!AMBIG",IF(COUNTIF('Calculations'!$HE$13:$HE$512,"="&amp;SUBSTITUTE(SUBSTITUTE(SUBSTITUTE('Calculations'!HQ304,"~","~~"),"*","~*"),"?","~?"))&gt;1,"!AMBIG",IFERROR(INDEX('Calculations'!$HF$13:$HF$512,MATCH('Calculations'!HQ304,'Calculations'!$HE$13:$HE$512,0)),""))))</x:f>
      </x:c>
      <x:c r="HS304" t="str">
        <x:f>IF('Calculations'!HR304="","",IF('Calculations'!HR304="!AMBIG","!AMBIG",IF(COUNTIF('Calculations'!$HE$13:$HE$512,"="&amp;SUBSTITUTE(SUBSTITUTE(SUBSTITUTE('Calculations'!HR304,"~","~~"),"*","~*"),"?","~?"))&gt;1,"!AMBIG",IFERROR(INDEX('Calculations'!$HF$13:$HF$512,MATCH('Calculations'!HR304,'Calculations'!$HE$13:$HE$512,0)),""))))</x:f>
      </x:c>
      <x:c r="HT304" t="str">
        <x:f>IF('Calculations'!HS304="","",IF('Calculations'!HS304="!AMBIG","!AMBIG",IF(COUNTIF('Calculations'!$HE$13:$HE$512,"="&amp;SUBSTITUTE(SUBSTITUTE(SUBSTITUTE('Calculations'!HS304,"~","~~"),"*","~*"),"?","~?"))&gt;1,"!AMBIG",IFERROR(INDEX('Calculations'!$HF$13:$HF$512,MATCH('Calculations'!HS304,'Calculations'!$HE$13:$HE$512,0)),""))))</x:f>
      </x:c>
      <x:c r="HU304" t="str">
        <x:f>IF('Calculations'!HT304="","",IF('Calculations'!HT304="!AMBIG","!AMBIG",IF(COUNTIF('Calculations'!$HE$13:$HE$512,"="&amp;SUBSTITUTE(SUBSTITUTE(SUBSTITUTE('Calculations'!HT304,"~","~~"),"*","~*"),"?","~?"))&gt;1,"!AMBIG",IFERROR(INDEX('Calculations'!$HF$13:$HF$512,MATCH('Calculations'!HT304,'Calculations'!$HE$13:$HE$512,0)),""))))</x:f>
      </x:c>
      <x:c r="HV304" t="str">
        <x:f>IF('Calculations'!HU304="","",IF('Calculations'!HU304="!AMBIG","!AMBIG",IF(COUNTIF('Calculations'!$HE$13:$HE$512,"="&amp;SUBSTITUTE(SUBSTITUTE(SUBSTITUTE('Calculations'!HU304,"~","~~"),"*","~*"),"?","~?"))&gt;1,"!AMBIG",IFERROR(INDEX('Calculations'!$HF$13:$HF$512,MATCH('Calculations'!HU304,'Calculations'!$HE$13:$HE$512,0)),""))))</x:f>
      </x:c>
      <x:c r="HW304" t="str">
        <x:f>IF('Calculations'!HV304="","",IF('Calculations'!HV304="!AMBIG","!AMBIG",IF(COUNTIF('Calculations'!$HE$13:$HE$512,"="&amp;SUBSTITUTE(SUBSTITUTE(SUBSTITUTE('Calculations'!HV304,"~","~~"),"*","~*"),"?","~?"))&gt;1,"!AMBIG",IFERROR(INDEX('Calculations'!$HF$13:$HF$512,MATCH('Calculations'!HV304,'Calculations'!$HE$13:$HE$512,0)),""))))</x:f>
      </x:c>
      <x:c r="HX304" t="str">
        <x:f>IF('Calculations'!HW304="","",IF('Calculations'!HW304="!AMBIG","!AMBIG",IF(COUNTIF('Calculations'!$HE$13:$HE$512,"="&amp;SUBSTITUTE(SUBSTITUTE(SUBSTITUTE('Calculations'!HW304,"~","~~"),"*","~*"),"?","~?"))&gt;1,"!AMBIG",IFERROR(INDEX('Calculations'!$HF$13:$HF$512,MATCH('Calculations'!HW304,'Calculations'!$HE$13:$HE$512,0)),""))))</x:f>
      </x:c>
      <x:c r="HY304" t="str">
        <x:f>IF('Calculations'!HX304="","",IF('Calculations'!HX304="!AMBIG","!AMBIG",IF(COUNTIF('Calculations'!$HE$13:$HE$512,"="&amp;SUBSTITUTE(SUBSTITUTE(SUBSTITUTE('Calculations'!HX304,"~","~~"),"*","~*"),"?","~?"))&gt;1,"!AMBIG",IFERROR(INDEX('Calculations'!$HF$13:$HF$512,MATCH('Calculations'!HX304,'Calculations'!$HE$13:$HE$512,0)),""))))</x:f>
      </x:c>
      <x:c r="HZ304" t="str">
        <x:f>IF('Calculations'!HY304="","",IF('Calculations'!HY304="!AMBIG","!AMBIG",IF(COUNTIF('Calculations'!$HE$13:$HE$512,"="&amp;SUBSTITUTE(SUBSTITUTE(SUBSTITUTE('Calculations'!HY304,"~","~~"),"*","~*"),"?","~?"))&gt;1,"!AMBIG",IFERROR(INDEX('Calculations'!$HF$13:$HF$512,MATCH('Calculations'!HY304,'Calculations'!$HE$13:$HE$512,0)),""))))</x:f>
      </x:c>
      <x:c r="IA304" t="str">
        <x:f>IF('Calculations'!HZ304="","",IF('Calculations'!HZ304="!AMBIG","!AMBIG",IF(COUNTIF('Calculations'!$HE$13:$HE$512,"="&amp;SUBSTITUTE(SUBSTITUTE(SUBSTITUTE('Calculations'!HZ304,"~","~~"),"*","~*"),"?","~?"))&gt;1,"!AMBIG",IFERROR(INDEX('Calculations'!$HF$13:$HF$512,MATCH('Calculations'!HZ304,'Calculations'!$HE$13:$HE$512,0)),""))))</x:f>
      </x:c>
      <x:c r="IB304" t="str">
        <x:f>IF('Calculations'!IA304="","",IF('Calculations'!IA304="!AMBIG","!AMBIG",IF(COUNTIF('Calculations'!$HE$13:$HE$512,"="&amp;SUBSTITUTE(SUBSTITUTE(SUBSTITUTE('Calculations'!IA304,"~","~~"),"*","~*"),"?","~?"))&gt;1,"!AMBIG",IFERROR(INDEX('Calculations'!$HF$13:$HF$512,MATCH('Calculations'!IA304,'Calculations'!$HE$13:$HE$512,0)),""))))</x:f>
      </x:c>
      <x:c r="IC304" t="str">
        <x:f>IF('Calculations'!IB304="","",IF('Calculations'!IB304="!AMBIG","!AMBIG",IF(COUNTIF('Calculations'!$HE$13:$HE$512,"="&amp;SUBSTITUTE(SUBSTITUTE(SUBSTITUTE('Calculations'!IB304,"~","~~"),"*","~*"),"?","~?"))&gt;1,"!AMBIG",IFERROR(INDEX('Calculations'!$HF$13:$HF$512,MATCH('Calculations'!IB304,'Calculations'!$HE$13:$HE$512,0)),""))))</x:f>
      </x:c>
      <x:c r="ID304" t="str">
        <x:f>IF('Calculations'!IC304="","",IF('Calculations'!IC304="!AMBIG","!AMBIG",IF(COUNTIF('Calculations'!$HE$13:$HE$512,"="&amp;SUBSTITUTE(SUBSTITUTE(SUBSTITUTE('Calculations'!IC304,"~","~~"),"*","~*"),"?","~?"))&gt;1,"!AMBIG",IFERROR(INDEX('Calculations'!$HF$13:$HF$512,MATCH('Calculations'!IC304,'Calculations'!$HE$13:$HE$512,0)),""))))</x:f>
      </x:c>
      <x:c r="IE304" t="str">
        <x:f>IF('Calculations'!ID304="","",IF('Calculations'!ID304="!AMBIG","!AMBIG",IF(COUNTIF('Calculations'!$HE$13:$HE$512,"="&amp;SUBSTITUTE(SUBSTITUTE(SUBSTITUTE('Calculations'!ID304,"~","~~"),"*","~*"),"?","~?"))&gt;1,"!AMBIG",IFERROR(INDEX('Calculations'!$HF$13:$HF$512,MATCH('Calculations'!ID304,'Calculations'!$HE$13:$HE$512,0)),""))))</x:f>
      </x:c>
      <x:c r="IF304" t="str">
        <x:f>IF('Calculations'!IE304="","",IF('Calculations'!IE304="!AMBIG","!AMBIG",IF(COUNTIF('Calculations'!$HE$13:$HE$512,"="&amp;SUBSTITUTE(SUBSTITUTE(SUBSTITUTE('Calculations'!IE304,"~","~~"),"*","~*"),"?","~?"))&gt;1,"!AMBIG",IFERROR(INDEX('Calculations'!$HF$13:$HF$512,MATCH('Calculations'!IE304,'Calculations'!$HE$13:$HE$512,0)),""))))</x:f>
      </x:c>
      <x:c r="IG304" t="str">
        <x:f>IF('Calculations'!IF304="","",IF('Calculations'!IF304="!AMBIG","!AMBIG",IF(COUNTIF('Calculations'!$HE$13:$HE$512,"="&amp;SUBSTITUTE(SUBSTITUTE(SUBSTITUTE('Calculations'!IF304,"~","~~"),"*","~*"),"?","~?"))&gt;1,"!AMBIG",IFERROR(INDEX('Calculations'!$HF$13:$HF$512,MATCH('Calculations'!IF304,'Calculations'!$HE$13:$HE$512,0)),""))))</x:f>
      </x:c>
      <x:c r="IH304" t="str">
        <x:f>IF('Calculations'!IG304="","",IF('Calculations'!IG304="!AMBIG","!AMBIG",IF(COUNTIF('Calculations'!$HE$13:$HE$512,"="&amp;SUBSTITUTE(SUBSTITUTE(SUBSTITUTE('Calculations'!IG304,"~","~~"),"*","~*"),"?","~?"))&gt;1,"!AMBIG",IFERROR(INDEX('Calculations'!$HF$13:$HF$512,MATCH('Calculations'!IG304,'Calculations'!$HE$13:$HE$512,0)),""))))</x:f>
      </x:c>
      <x:c r="II304" t="str">
        <x:f>IF('Calculations'!IH304="","",IF('Calculations'!IH304="!AMBIG","!AMBIG",IF(COUNTIF('Calculations'!$HE$13:$HE$512,"="&amp;SUBSTITUTE(SUBSTITUTE(SUBSTITUTE('Calculations'!IH304,"~","~~"),"*","~*"),"?","~?"))&gt;1,"!AMBIG",IFERROR(INDEX('Calculations'!$HF$13:$HF$512,MATCH('Calculations'!IH304,'Calculations'!$HE$13:$HE$512,0)),""))))</x:f>
      </x:c>
      <x:c r="IJ304" t="str">
        <x:f>IF('Calculations'!EM304="","",IF('Calculations'!$EF$2="All",'Calculations'!HM304,IF('Calculations'!HL304=1,"",IFERROR(IF(MATCH('Calculations'!$EF$2,'Calculations'!HO304:II304,0)=1,'Calculations'!HE304,INDEX('Calculations'!HO304:II304,1,MATCH('Calculations'!$EF$2,'Calculations'!HO304:II304,0)-1)),""))))</x:f>
      </x:c>
      <x:c r="IK304" t="n">
        <x:f>IF(AND('Calculations'!EM304&lt;&gt;"",'Calculations'!$EF$2&lt;&gt;"All",'Calculations'!HF304='Calculations'!$EF$2,'Calculations'!HL304=0,'Calculations'!JD304&gt;0),MAX('Calculations'!$IK$12:IK303)+1,0)</x:f>
        <x:v>0</x:v>
      </x:c>
      <x:c r="JA304" t="n">
        <x:f>IF(OR(IFERROR(INDIRECT("'WCM Calibration Final'!$A$304")&lt;&gt;"",FALSE),IFERROR(INDIRECT("'WCM Calibration Final'!$B$304")&lt;&gt;"",FALSE),IFERROR(INDIRECT("'WCM Calibration Final'!$C$304")&lt;&gt;"",FALSE)),304,0)</x:f>
        <x:v>0</x:v>
      </x:c>
      <x:c r="JB304" t="n">
        <x:f>'Calculations'!JB303+IF('Calculations'!JA304&gt;0,1,0)</x:f>
        <x:v>0</x:v>
      </x:c>
      <x:c r="JC304" t="n">
        <x:f>IF(OR('Calculations'!HF304="",'Calculations'!HF304="!AMBIG"),0,IF('Dashboard'!$B$7="All",1,COUNTIFS('Calculations'!$HO$13:$HO$512,"="&amp;SUBSTITUTE(SUBSTITUTE(SUBSTITUTE('Calculations'!HF304,"~","~~"),"*","~*"),"?","~?"),'Calculations'!$HN$13:$HN$512,"="&amp;SUBSTITUTE(SUBSTITUTE(SUBSTITUTE('Dashboard'!$B$7,"~","~~"),"*","~*"),"?","~?"))+COUNTIFS('Calculations'!$HP$13:$HP$512,"="&amp;SUBSTITUTE(SUBSTITUTE(SUBSTITUTE('Calculations'!HF304,"~","~~"),"*","~*"),"?","~?"),'Calculations'!$HN$13:$HN$512,"="&amp;SUBSTITUTE(SUBSTITUTE(SUBSTITUTE('Dashboard'!$B$7,"~","~~"),"*","~*"),"?","~?"))+COUNTIFS('Calculations'!$HQ$13:$HQ$512,"="&amp;SUBSTITUTE(SUBSTITUTE(SUBSTITUTE('Calculations'!HF304,"~","~~"),"*","~*"),"?","~?"),'Calculations'!$HN$13:$HN$512,"="&amp;SUBSTITUTE(SUBSTITUTE(SUBSTITUTE('Dashboard'!$B$7,"~","~~"),"*","~*"),"?","~?"))+COUNTIFS('Calculations'!$HR$13:$HR$512,"="&amp;SUBSTITUTE(SUBSTITUTE(SUBSTITUTE('Calculations'!HF304,"~","~~"),"*","~*"),"?","~?"),'Calculations'!$HN$13:$HN$512,"="&amp;SUBSTITUTE(SUBSTITUTE(SUBSTITUTE('Dashboard'!$B$7,"~","~~"),"*","~*"),"?","~?"))+COUNTIFS('Calculations'!$HS$13:$HS$512,"="&amp;SUBSTITUTE(SUBSTITUTE(SUBSTITUTE('Calculations'!HF304,"~","~~"),"*","~*"),"?","~?"),'Calculations'!$HN$13:$HN$512,"="&amp;SUBSTITUTE(SUBSTITUTE(SUBSTITUTE('Dashboard'!$B$7,"~","~~"),"*","~*"),"?","~?"))+COUNTIFS('Calculations'!$HT$13:$HT$512,"="&amp;SUBSTITUTE(SUBSTITUTE(SUBSTITUTE('Calculations'!HF304,"~","~~"),"*","~*"),"?","~?"),'Calculations'!$HN$13:$HN$512,"="&amp;SUBSTITUTE(SUBSTITUTE(SUBSTITUTE('Dashboard'!$B$7,"~","~~"),"*","~*"),"?","~?"))+COUNTIFS('Calculations'!$HU$13:$HU$512,"="&amp;SUBSTITUTE(SUBSTITUTE(SUBSTITUTE('Calculations'!HF304,"~","~~"),"*","~*"),"?","~?"),'Calculations'!$HN$13:$HN$512,"="&amp;SUBSTITUTE(SUBSTITUTE(SUBSTITUTE('Dashboard'!$B$7,"~","~~"),"*","~*"),"?","~?"))+COUNTIFS('Calculations'!$HV$13:$HV$512,"="&amp;SUBSTITUTE(SUBSTITUTE(SUBSTITUTE('Calculations'!HF304,"~","~~"),"*","~*"),"?","~?"),'Calculations'!$HN$13:$HN$512,"="&amp;SUBSTITUTE(SUBSTITUTE(SUBSTITUTE('Dashboard'!$B$7,"~","~~"),"*","~*"),"?","~?"))+COUNTIFS('Calculations'!$HW$13:$HW$512,"="&amp;SUBSTITUTE(SUBSTITUTE(SUBSTITUTE('Calculations'!HF304,"~","~~"),"*","~*"),"?","~?"),'Calculations'!$HN$13:$HN$512,"="&amp;SUBSTITUTE(SUBSTITUTE(SUBSTITUTE('Dashboard'!$B$7,"~","~~"),"*","~*"),"?","~?"))+COUNTIFS('Calculations'!$HX$13:$HX$512,"="&amp;SUBSTITUTE(SUBSTITUTE(SUBSTITUTE('Calculations'!HF304,"~","~~"),"*","~*"),"?","~?"),'Calculations'!$HN$13:$HN$512,"="&amp;SUBSTITUTE(SUBSTITUTE(SUBSTITUTE('Dashboard'!$B$7,"~","~~"),"*","~*"),"?","~?"))+COUNTIFS('Calculations'!$HY$13:$HY$512,"="&amp;SUBSTITUTE(SUBSTITUTE(SUBSTITUTE('Calculations'!HF304,"~","~~"),"*","~*"),"?","~?"),'Calculations'!$HN$13:$HN$512,"="&amp;SUBSTITUTE(SUBSTITUTE(SUBSTITUTE('Dashboard'!$B$7,"~","~~"),"*","~*"),"?","~?"))+COUNTIFS('Calculations'!$HZ$13:$HZ$512,"="&amp;SUBSTITUTE(SUBSTITUTE(SUBSTITUTE('Calculations'!HF304,"~","~~"),"*","~*"),"?","~?"),'Calculations'!$HN$13:$HN$512,"="&amp;SUBSTITUTE(SUBSTITUTE(SUBSTITUTE('Dashboard'!$B$7,"~","~~"),"*","~*"),"?","~?"))+COUNTIFS('Calculations'!$IA$13:$IA$512,"="&amp;SUBSTITUTE(SUBSTITUTE(SUBSTITUTE('Calculations'!HF304,"~","~~"),"*","~*"),"?","~?"),'Calculations'!$HN$13:$HN$512,"="&amp;SUBSTITUTE(SUBSTITUTE(SUBSTITUTE('Dashboard'!$B$7,"~","~~"),"*","~*"),"?","~?"))+COUNTIFS('Calculations'!$IB$13:$IB$512,"="&amp;SUBSTITUTE(SUBSTITUTE(SUBSTITUTE('Calculations'!HF304,"~","~~"),"*","~*"),"?","~?"),'Calculations'!$HN$13:$HN$512,"="&amp;SUBSTITUTE(SUBSTITUTE(SUBSTITUTE('Dashboard'!$B$7,"~","~~"),"*","~*"),"?","~?"))+COUNTIFS('Calculations'!$IC$13:$IC$512,"="&amp;SUBSTITUTE(SUBSTITUTE(SUBSTITUTE('Calculations'!HF304,"~","~~"),"*","~*"),"?","~?"),'Calculations'!$HN$13:$HN$512,"="&amp;SUBSTITUTE(SUBSTITUTE(SUBSTITUTE('Dashboard'!$B$7,"~","~~"),"*","~*"),"?","~?"))+COUNTIFS('Calculations'!$ID$13:$ID$512,"="&amp;SUBSTITUTE(SUBSTITUTE(SUBSTITUTE('Calculations'!HF304,"~","~~"),"*","~*"),"?","~?"),'Calculations'!$HN$13:$HN$512,"="&amp;SUBSTITUTE(SUBSTITUTE(SUBSTITUTE('Dashboard'!$B$7,"~","~~"),"*","~*"),"?","~?"))+COUNTIFS('Calculations'!$IE$13:$IE$512,"="&amp;SUBSTITUTE(SUBSTITUTE(SUBSTITUTE('Calculations'!HF304,"~","~~"),"*","~*"),"?","~?"),'Calculations'!$HN$13:$HN$512,"="&amp;SUBSTITUTE(SUBSTITUTE(SUBSTITUTE('Dashboard'!$B$7,"~","~~"),"*","~*"),"?","~?"))+COUNTIFS('Calculations'!$IF$13:$IF$512,"="&amp;SUBSTITUTE(SUBSTITUTE(SUBSTITUTE('Calculations'!HF304,"~","~~"),"*","~*"),"?","~?"),'Calculations'!$HN$13:$HN$512,"="&amp;SUBSTITUTE(SUBSTITUTE(SUBSTITUTE('Dashboard'!$B$7,"~","~~"),"*","~*"),"?","~?"))+COUNTIFS('Calculations'!$IG$13:$IG$512,"="&amp;SUBSTITUTE(SUBSTITUTE(SUBSTITUTE('Calculations'!HF304,"~","~~"),"*","~*"),"?","~?"),'Calculations'!$HN$13:$HN$512,"="&amp;SUBSTITUTE(SUBSTITUTE(SUBSTITUTE('Dashboard'!$B$7,"~","~~"),"*","~*"),"?","~?"))+COUNTIFS('Calculations'!$IH$13:$IH$512,"="&amp;SUBSTITUTE(SUBSTITUTE(SUBSTITUTE('Calculations'!HF304,"~","~~"),"*","~*"),"?","~?"),'Calculations'!$HN$13:$HN$512,"="&amp;SUBSTITUTE(SUBSTITUTE(SUBSTITUTE('Dashboard'!$B$7,"~","~~"),"*","~*"),"?","~?"))))</x:f>
        <x:v>0</x:v>
      </x:c>
      <x:c r="JD304" t="n">
        <x:f>IF('Calculations'!EM304="",0,IF('Dashboard'!$B$7="All",1,IF('Calculations'!HN304='Dashboard'!$B$7,1,0)+IFERROR(INDEX('Calculations'!$JC$13:$JC$512,MATCH('Calculations'!HE304,'Calculations'!$HF$13:$HF$512,0)),0)))</x:f>
        <x:v>0</x:v>
      </x:c>
      <x:c r="JE304" t="n">
        <x:f>IF(AND('Calculations'!EM304&lt;&gt;"",'Calculations'!$JJ$2&lt;&gt;"All",'Calculations'!$JJ$2&lt;&gt;"",'Calculations'!HF304='Calculations'!$JJ$2,'Calculations'!HL304=0,'Calculations'!JD304&gt;0),MAX('Calculations'!$JE$12:JE303)+1,0)</x:f>
        <x:v>0</x:v>
      </x:c>
      <x:c r="JF304" t="str">
        <x:f>IF('Calculations'!EM304="","",IFERROR(IF(INDEX(INDIRECT("'WCM Calibration Final'!$G$1:$G$2000"),'Calculations'!$EM304)="","",TRIM(INDEX(INDIRECT("'WCM Calibration Final'!$G$1:$G$2000"),'Calculations'!$EM304)&amp;"")),""))</x:f>
      </x:c>
      <x:c r="JQ304" t="n">
        <x:f>IF(OR('Calculations'!BM304=0,NOT('Calculations'!$AG$2),'Calculations'!$AG$8&gt;0),0,IF(OR('Dashboard'!$B$7="All",'Calculations'!HN304='Dashboard'!$B$7),IF('Calculations'!$JJ$2="All",1,IF(AND('Calculations'!HF304='Calculations'!$JJ$2,'Calculations'!HL304=0),1,0)),0))</x:f>
        <x:v>0</x:v>
      </x:c>
    </x:row>
    <x:row r="305">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t="n">
        <x:f>IF('Calculations'!$EM305="",0,IF(OR(IFERROR(INDEX(INDIRECT("'WCM Calibration Final'!$A$1:$A$2000"),'Calculations'!$EM305)&lt;&gt;"",FALSE),IFERROR(INDEX(INDIRECT("'WCM Calibration Final'!$B$1:$B$2000"),'Calculations'!$EM305)&lt;&gt;"",FALSE),IFERROR(INDEX(INDIRECT("'WCM Calibration Final'!$C$1:$C$2000"),'Calculations'!$EM305)&lt;&gt;"",FALSE)),1,0))</x:f>
        <x:v>0</x:v>
      </x:c>
      <x:c r="BN305" s="4" t="n">
        <x:f>IF(AND('Calculations'!BM305=1,'Calculations'!$AG$2,'Calculations'!$EN305=1),1,0)</x:f>
        <x:v>0</x:v>
      </x:c>
      <x:c r="BO305" s="4" t="str">
        <x:f>IF('Calculations'!BM305=0,"",IFERROR(IF(AND(VALUE(INDEX(INDIRECT("'WCM Calibration Final'!$K$1:$K$2000"),'Calculations'!$EM305))&gt;=1,VALUE(INDEX(INDIRECT("'WCM Calibration Final'!$K$1:$K$2000"),'Calculations'!$EM305))&lt;=4,MOD(VALUE(INDEX(INDIRECT("'WCM Calibration Final'!$K$1:$K$2000"),'Calculations'!$EM305)),1)=0),VALUE(INDEX(INDIRECT("'WCM Calibration Final'!$K$1:$K$2000"),'Calculations'!$EM305)),""),""))</x:f>
      </x:c>
      <x:c r="BP305" s="4" t="str">
        <x:f>IF('Calculations'!BM305=0,"",IFERROR(IF(AND(VALUE(INDEX(INDIRECT("'WCM Calibration Final'!$L$1:$L$2000"),'Calculations'!$EM305))&gt;=1,VALUE(INDEX(INDIRECT("'WCM Calibration Final'!$L$1:$L$2000"),'Calculations'!$EM305))&lt;=4,MOD(VALUE(INDEX(INDIRECT("'WCM Calibration Final'!$L$1:$L$2000"),'Calculations'!$EM305)),1)=0),VALUE(INDEX(INDIRECT("'WCM Calibration Final'!$L$1:$L$2000"),'Calculations'!$EM305)),""),""))</x:f>
      </x:c>
      <x:c r="BQ305" s="4"/>
      <x:c r="BR305" s="4"/>
      <x:c r="BS305" s="4"/>
      <x:c r="BT305" s="4" t="n">
        <x:f>IF(AND('Calculations'!BM305=1,ISNUMBER('Calculations'!BO305),ISNUMBER('Calculations'!BP305)),1,0)</x:f>
        <x:v>0</x:v>
      </x:c>
      <x:c r="BU305" s="4" t="str">
        <x:f>IF('Calculations'!BM305=0,"",'Calculations'!$EO305)</x:f>
      </x:c>
      <x:c r="BV305" s="4" t="str">
        <x:f>IF('Calculations'!BM305=0,"",IFERROR(IF(OR(INDEX(INDIRECT("'WCM Calibration Final'!$H$1:$H$2000"),'Calculations'!$EM305)="MANAGING DIRECTOR",INDEX(INDIRECT("'WCM Calibration Final'!$H$1:$H$2000"),'Calculations'!$EM305)="DIRECTOR",INDEX(INDIRECT("'WCM Calibration Final'!$H$1:$H$2000"),'Calculations'!$EM305)="SENIOR VICE PRESIDENT",INDEX(INDIRECT("'WCM Calibration Final'!$H$1:$H$2000"),'Calculations'!$EM305)="VICE PRESIDENT",INDEX(INDIRECT("'WCM Calibration Final'!$H$1:$H$2000"),'Calculations'!$EM305)="ASSISTANT VICE PRESIDENT",INDEX(INDIRECT("'WCM Calibration Final'!$H$1:$H$2000"),'Calculations'!$EM305)="OFFICER"),UPPER(INDEX(INDIRECT("'WCM Calibration Final'!$H$1:$H$2000"),'Calculations'!$EM305)),"Other"),"Other"))</x:f>
      </x:c>
      <x:c r="BW305" s="4"/>
      <x:c r="BX305" s="4"/>
      <x:c r="BY305" s="4" t="n">
        <x:f>IF(AND('Calculations'!BM305=1,'Calculations'!BU305&lt;&gt;"",COUNTIF('Calculations'!$BU$12:BU305,'Calculations'!BU305)=1),MAX('Calculations'!$BY$11:BY304)+1,0)</x:f>
        <x:v>0</x:v>
      </x:c>
      <x:c r="BZ305" s="4" t="str">
        <x:f>IF('Dashboard'!$E$67="What",'Calculations'!BO305,'Calculations'!BP305)</x:f>
      </x:c>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t="str">
        <x:f>IF(294&gt;MAX('Calculations'!$HI$13:$HI$512),"",INDEX('Calculations'!$HN$13:$HN$512,MATCH(294,'Calculations'!$HI$13:$HI$512,0)))</x:f>
      </x:c>
      <x:c r="DB305" s="4" t="str">
        <x:f>IF(294&gt;MAX('Calculations'!$HH$13:$HH$512),"",INDEX('Calculations'!$HJ$13:$HJ$512,MATCH(294,'Calculations'!$HH$13:$HH$512,0)))</x:f>
      </x:c>
      <x:c r="DC305" s="4" t="str">
        <x:f>IF(ROW()-11&gt;MAX('Calculations'!$BY$13:$BY$512),"",INDEX('Calculations'!$BU$13:$BU$512,MATCH(ROW()-11,'Calculations'!$BY$13:$BY$512,0)))</x:f>
      </x:c>
      <x:c r="DD305" s="4" t="str">
        <x:f>IF(294&gt;MAX('Calculations'!$IK$13:$IK$512),"",INDEX('Calculations'!$HK$13:$HK$512,MATCH(294,'Calculations'!$IK$13:$IK$512,0)))</x:f>
      </x:c>
      <x:c r="DE305" s="4" t="str">
        <x:f>'Calculations'!DC305</x:f>
      </x:c>
      <x:c r="DF305" s="4" t="str">
        <x:f>IF('Calculations'!DE305="","",COUNTIFS('Calculations'!$BN$13:$BN$512,1,'Calculations'!$BU$13:$BU$512,'Calculations'!DE305))</x:f>
      </x:c>
      <x:c r="DG305" s="4" t="str">
        <x:f>IF('Calculations'!DE305="","",COUNTIFS('Calculations'!$BN$13:$BN$512,1,'Calculations'!$BU$13:$BU$512,'Calculations'!DE305,'Calculations'!$BT$13:$BT$512,1))</x:f>
      </x:c>
      <x:c r="DH305" s="4" t="str">
        <x:f>IF('Calculations'!DE305="","",'Calculations'!DF305-'Calculations'!DG305)</x:f>
      </x:c>
      <x:c r="DI305" s="4" t="str">
        <x:f>IF(OR('Calculations'!DE305="",'Calculations'!DF305=0),"",'Calculations'!DG305/'Calculations'!DF305)</x:f>
      </x:c>
      <x:c r="DJ305" s="4" t="str">
        <x:f>IF('Calculations'!DE305="","",COUNTIFS('Calculations'!$BN$13:$BN$512,1,'Calculations'!$BU$13:$BU$512,'Calculations'!DE305,'Calculations'!$BT$13:$BT$512,1,'Calculations'!$EE$13:$EE$512,"High"))</x:f>
      </x:c>
      <x:c r="DK305" s="4" t="str">
        <x:f>IF('Calculations'!DE305="","",COUNTIFS('Calculations'!$BN$13:$BN$512,1,'Calculations'!$BU$13:$BU$512,'Calculations'!DE305,'Calculations'!$BT$13:$BT$512,1,'Calculations'!$EE$13:$EE$512,"Strong"))</x:f>
      </x:c>
      <x:c r="DL305" s="4" t="str">
        <x:f>IF('Calculations'!DE305="","",COUNTIFS('Calculations'!$BN$13:$BN$512,1,'Calculations'!$BU$13:$BU$512,'Calculations'!DE305,'Calculations'!$BT$13:$BT$512,1,'Calculations'!$EE$13:$EE$512,"Solid"))</x:f>
      </x:c>
      <x:c r="DM305" s="4" t="str">
        <x:f>IF('Calculations'!DE305="","",COUNTIFS('Calculations'!$BN$13:$BN$512,1,'Calculations'!$BU$13:$BU$512,'Calculations'!DE305,'Calculations'!$BT$13:$BT$512,1,'Calculations'!$EE$13:$EE$512,"Low"))</x:f>
      </x:c>
      <x:c r="DN305" s="4" t="str">
        <x:f>IF('Calculations'!DE305="","",COUNTIFS('Calculations'!$BN$13:$BN$512,1,'Calculations'!$BU$13:$BU$512,'Calculations'!DE305,'Calculations'!$EP$13:$EP$512,1))</x:f>
      </x:c>
      <x:c r="DO305" s="4" t="str">
        <x:f>IF(OR('Calculations'!DE305="",'Calculations'!DG305=0),"",('Calculations'!DJ305+'Calculations'!DK305)/'Calculations'!DG305)</x:f>
      </x:c>
      <x:c r="DP305" s="4" t="n">
        <x:f>IF(AND('Calculations'!DE305&lt;&gt;"",'Calculations'!DF305&gt;0),COUNTIF('Calculations'!$DF$12:DF305,"&gt;0"),0)</x:f>
        <x:v>0</x:v>
      </x:c>
      <x:c r="DQ305" s="4" t="str">
        <x:f>IF(294&gt;MAX('Calculations'!$HH$13:$HH$512),"",INDEX('Calculations'!$HF$13:$HF$512,MATCH(294,'Calculations'!$HH$13:$HH$512,0)))</x:f>
      </x:c>
      <x:c r="DR305" s="4" t="str">
        <x:f>IF(294&gt;MAX('Calculations'!$IK$13:$IK$512),"",INDEX('Calculations'!$HE$13:$HE$512,MATCH(294,'Calculations'!$IK$13:$IK$512,0)))</x:f>
      </x:c>
      <x:c r="DS305" s="4"/>
      <x:c r="DT305" s="4"/>
      <x:c r="DU305" s="4"/>
      <x:c r="DV305" s="4"/>
      <x:c r="DW305" s="4"/>
      <x:c r="DX305" s="4"/>
      <x:c r="DY305" s="4"/>
      <x:c r="DZ305" s="4"/>
      <x:c r="EA305" s="4"/>
      <x:c r="EB305" s="4"/>
      <x:c r="EC305" s="4"/>
      <x:c r="ED305" s="4"/>
      <x:c r="EE305" s="4" t="str">
        <x:f>IF('Calculations'!BT305=0,"Not Rated",IF(OR('Calculations'!BO305&gt;=4,'Calculations'!BP305&gt;=4),"Low",IF('Calculations'!BO305+'Calculations'!BP305&lt;=3,"High",IF('Calculations'!BO305+'Calculations'!BP305&lt;=4,"Strong","Solid"))))</x:f>
        <x:v>Not Rated</x:v>
      </x:c>
      <x:c r="EF305" s="4"/>
      <x:c r="EG305" s="4"/>
      <x:c r="EH305" s="4"/>
      <x:c r="EI305" s="4"/>
      <x:c r="EJ305" s="4"/>
      <x:c r="EK305" s="4"/>
      <x:c r="EL305" s="4"/>
      <x:c r="EM305" s="4" t="str">
        <x:f>IF(293&gt;'Calculations'!$JB$2000,"",INDEX('Calculations'!$JA$12:$JA$2000,MATCH(293,'Calculations'!$JB$12:$JB$2000,0)))</x:f>
      </x:c>
      <x:c r="EN305" s="4" t="n">
        <x:f>IF(OR('Calculations'!EM305="",'Calculations'!$AG$8&gt;0,AND('Calculations'!$EF$2&lt;&gt;"All",'Calculations'!HE305='Calculations'!$EF$2),AND('Calculations'!$EF$3&lt;&gt;"All",'Calculations'!HE305='Calculations'!$EF$3)),0,IF(OR('Dashboard'!$B$7="All",'Calculations'!HN305='Dashboard'!$B$7),IF('Calculations'!$EF$2="All",1,IF('Calculations'!HL305&gt;0,0,IF(COUNTIF('Calculations'!HO305:II305,"="&amp;SUBSTITUTE(SUBSTITUTE(SUBSTITUTE('Calculations'!$EF$2,"~","~~"),"*","~*"),"?","~?"))=0,0,IF('Calculations'!$EF$3="All",1,IF(COUNTIF('Calculations'!HO305:II305,"="&amp;SUBSTITUTE(SUBSTITUTE(SUBSTITUTE('Calculations'!$EF$3,"~","~~"),"*","~*"),"?","~?"))&gt;0,1,0))))),0))</x:f>
        <x:v>0</x:v>
      </x:c>
      <x:c r="EO305" s="4" t="str">
        <x:f>IF('Calculations'!IJ305="","",IF('Calculations'!IJ305="!UNRESOLVED","Unresolved hierarchy",IFERROR(INDEX('Calculations'!$HK$13:$HK$512,MATCH('Calculations'!IJ305,'Calculations'!$HE$13:$HE$512,0)),IFERROR(INDEX('Calculations'!$HJ$13:$HJ$512,MATCH('Calculations'!IJ305,'Calculations'!$HF$13:$HF$512,0)),'Calculations'!IJ305))))</x:f>
      </x:c>
      <x:c r="EP305" s="4" t="n">
        <x:f>IF(AND('Calculations'!EM305&lt;&gt;"",'Calculations'!HF305='Calculations'!IJ305),1,0)</x:f>
        <x:v>0</x:v>
      </x:c>
      <x:c r="EQ305" s="4"/>
      <x:c r="ER305" s="4"/>
      <x:c r="ES305" s="4"/>
      <x:c r="ET305" s="4"/>
      <x:c r="EU305" s="4"/>
      <x:c r="EV305" s="4"/>
      <x:c r="EW305" s="4"/>
      <x:c r="EX305" s="4"/>
      <x:c r="EY305" s="4"/>
      <x:c r="EZ305" s="4"/>
      <x:c r="FA305" s="4"/>
      <x:c r="FB305" s="4"/>
      <x:c r="FC305" s="4"/>
      <x:c r="FD305" s="4"/>
      <x:c r="FE305" s="4"/>
      <x:c r="FF305" s="4"/>
      <x:c r="FG305" s="4"/>
      <x:c r="FH305" s="4"/>
      <x:c r="FI305" s="4"/>
      <x:c r="FJ305" s="4"/>
      <x:c r="FK305" s="4"/>
      <x:c r="FL305" s="4"/>
      <x:c r="FM305" s="4"/>
      <x:c r="FN305" s="4"/>
      <x:c r="FO305" s="4"/>
      <x:c r="HE305" t="str">
        <x:f>IF('Calculations'!EM305="","",IF(IFERROR(IF(INDEX(INDIRECT("'WCM Calibration Final'!$A$1:$A$2000"),'Calculations'!$EM305)="","",TRIM(INDEX(INDIRECT("'WCM Calibration Final'!$A$1:$A$2000"),'Calculations'!$EM305)&amp;"")),"")&lt;&gt;"","G:"&amp;IFERROR(TEXT(1*INDEX(INDIRECT("'WCM Calibration Final'!$A$1:$A$2000"),'Calculations'!$EM305),"0"),UPPER(IFERROR(IF(INDEX(INDIRECT("'WCM Calibration Final'!$A$1:$A$2000"),'Calculations'!$EM305)="","",TRIM(INDEX(INDIRECT("'WCM Calibration Final'!$A$1:$A$2000"),'Calculations'!$EM305)&amp;"")),""))),IF(IFERROR(IF(INDEX(INDIRECT("'WCM Calibration Final'!$C$1:$C$2000"),'Calculations'!$EM305)="","",TRIM(INDEX(INDIRECT("'WCM Calibration Final'!$C$1:$C$2000"),'Calculations'!$EM305)&amp;"")),"")&lt;&gt;"","S:"&amp;UPPER(IFERROR(IF(INDEX(INDIRECT("'WCM Calibration Final'!$C$1:$C$2000"),'Calculations'!$EM305)="","",TRIM(INDEX(INDIRECT("'WCM Calibration Final'!$C$1:$C$2000"),'Calculations'!$EM305)&amp;"")),"")),"R:"&amp;'Calculations'!EM305)))</x:f>
      </x:c>
      <x:c r="HF305" t="str">
        <x:f>IF('Calculations'!EM305="","",IF(IFERROR(IF(INDEX(INDIRECT("'WCM Calibration Final'!$D$1:$D$2000"),'Calculations'!$EM305)="","",TRIM(INDEX(INDIRECT("'WCM Calibration Final'!$D$1:$D$2000"),'Calculations'!$EM305)&amp;"")),"")&lt;&gt;"","G:"&amp;IFERROR(TEXT(1*INDEX(INDIRECT("'WCM Calibration Final'!$D$1:$D$2000"),'Calculations'!$EM305),"0"),UPPER(IFERROR(IF(INDEX(INDIRECT("'WCM Calibration Final'!$D$1:$D$2000"),'Calculations'!$EM305)="","",TRIM(INDEX(INDIRECT("'WCM Calibration Final'!$D$1:$D$2000"),'Calculations'!$EM305)&amp;"")),""))),IF(IFERROR(IF(INDEX(INDIRECT("'WCM Calibration Final'!$E$1:$E$2000"),'Calculations'!$EM305)="","",TRIM(INDEX(INDIRECT("'WCM Calibration Final'!$E$1:$E$2000"),'Calculations'!$EM305)&amp;"")),"")="","",IF(COUNTIF('Calculations'!$HG$13:$HG$512,"="&amp;SUBSTITUTE(SUBSTITUTE(SUBSTITUTE(IFERROR(IF(INDEX(INDIRECT("'WCM Calibration Final'!$E$1:$E$2000"),'Calculations'!$EM305)="","",TRIM(INDEX(INDIRECT("'WCM Calibration Final'!$E$1:$E$2000"),'Calculations'!$EM305)&amp;"")),""),"~","~~"),"*","~*"),"?","~?"))=1,INDEX('Calculations'!$HE$13:$HE$512,MATCH(IFERROR(IF(INDEX(INDIRECT("'WCM Calibration Final'!$E$1:$E$2000"),'Calculations'!$EM305)="","",TRIM(INDEX(INDIRECT("'WCM Calibration Final'!$E$1:$E$2000"),'Calculations'!$EM305)&amp;"")),""),'Calculations'!$HG$13:$HG$512,0)),IF(COUNTIF('Calculations'!$HG$13:$HG$512,"="&amp;SUBSTITUTE(SUBSTITUTE(SUBSTITUTE(IFERROR(IF(INDEX(INDIRECT("'WCM Calibration Final'!$E$1:$E$2000"),'Calculations'!$EM305)="","",TRIM(INDEX(INDIRECT("'WCM Calibration Final'!$E$1:$E$2000"),'Calculations'!$EM305)&amp;"")),""),"~","~~"),"*","~*"),"?","~?"))&gt;1,"!AMBIG","X:"&amp;IFERROR(IF(INDEX(INDIRECT("'WCM Calibration Final'!$E$1:$E$2000"),'Calculations'!$EM305)="","",TRIM(INDEX(INDIRECT("'WCM Calibration Final'!$E$1:$E$2000"),'Calculations'!$EM305)&amp;"")),""))))))</x:f>
      </x:c>
      <x:c r="HG305" t="str">
        <x:f>IF('Calculations'!EM305="","",IFERROR(IF(INDEX(INDIRECT("'WCM Calibration Final'!$B$1:$B$2000"),'Calculations'!$EM305)="","",TRIM(INDEX(INDIRECT("'WCM Calibration Final'!$B$1:$B$2000"),'Calculations'!$EM305)&amp;"")),""))</x:f>
      </x:c>
      <x:c r="HH305" t="n">
        <x:f>IF(AND('Calculations'!JC305&gt;0,COUNTIF('Calculations'!$HF$12:HF305,"="&amp;SUBSTITUTE(SUBSTITUTE(SUBSTITUTE('Calculations'!HF305,"~","~~"),"*","~*"),"?","~?"))=1),MAX('Calculations'!$HH$12:HH304)+1,0)</x:f>
        <x:v>0</x:v>
      </x:c>
      <x:c r="HI305" t="n">
        <x:f>IF(AND('Calculations'!HN305&lt;&gt;"",COUNTIF('Calculations'!$HN$12:HN305,"="&amp;SUBSTITUTE(SUBSTITUTE(SUBSTITUTE('Calculations'!HN305,"~","~~"),"*","~*"),"?","~?"))=1),MAX('Calculations'!$HI$12:HI304)+1,0)</x:f>
        <x:v>0</x:v>
      </x:c>
      <x:c r="HJ305" t="str">
        <x:f>IF('Calculations'!HF305="","",IF(COUNTIF('Calculations'!$HE$13:$HE$512,"="&amp;SUBSTITUTE(SUBSTITUTE(SUBSTITUTE('Calculations'!HF305,"~","~~"),"*","~*"),"?","~?"))=1,INDEX('Calculations'!$HK$13:$HK$512,MATCH('Calculations'!HF305,'Calculations'!$HE$13:$HE$512,0)),IFERROR(IF(INDEX(INDIRECT("'WCM Calibration Final'!$E$1:$E$2000"),'Calculations'!$EM305)="","",TRIM(INDEX(INDIRECT("'WCM Calibration Final'!$E$1:$E$2000"),'Calculations'!$EM305)&amp;"")),"")&amp;" ["&amp;'Calculations'!HF305&amp;"]"))</x:f>
      </x:c>
      <x:c r="HK305" t="str">
        <x:f>IF('Calculations'!EM305="","",'Calculations'!HG305&amp;" ["&amp;'Calculations'!HE305&amp;"]")</x:f>
      </x:c>
      <x:c r="HL305" t="n">
        <x:f>IF('Calculations'!EM305="",0,IF(OR('Calculations'!II305&lt;&gt;"",COUNTIF('Calculations'!$HE$13:$HE$512,"="&amp;SUBSTITUTE(SUBSTITUTE(SUBSTITUTE('Calculations'!HE305,"~","~~"),"*","~*"),"?","~?"))&gt;1),1,0))</x:f>
        <x:v>0</x:v>
      </x:c>
      <x:c r="HM305" t="str">
        <x:f>IF('Calculations'!EM305="","",IF('Calculations'!HL305=1,"!UNRESOLVED",IF('Calculations'!IH305&lt;&gt;"",'Calculations'!IH305,IF('Calculations'!IG305&lt;&gt;"",'Calculations'!IG305,IF('Calculations'!IF305&lt;&gt;"",'Calculations'!IF305,IF('Calculations'!IE305&lt;&gt;"",'Calculations'!IE305,IF('Calculations'!ID305&lt;&gt;"",'Calculations'!ID305,IF('Calculations'!IC305&lt;&gt;"",'Calculations'!IC305,IF('Calculations'!IB305&lt;&gt;"",'Calculations'!IB305,IF('Calculations'!IA305&lt;&gt;"",'Calculations'!IA305,IF('Calculations'!HZ305&lt;&gt;"",'Calculations'!HZ305,IF('Calculations'!HY305&lt;&gt;"",'Calculations'!HY305,IF('Calculations'!HX305&lt;&gt;"",'Calculations'!HX305,IF('Calculations'!HW305&lt;&gt;"",'Calculations'!HW305,IF('Calculations'!HV305&lt;&gt;"",'Calculations'!HV305,IF('Calculations'!HU305&lt;&gt;"",'Calculations'!HU305,IF('Calculations'!HT305&lt;&gt;"",'Calculations'!HT305,IF('Calculations'!HS305&lt;&gt;"",'Calculations'!HS305,IF('Calculations'!HR305&lt;&gt;"",'Calculations'!HR305,IF('Calculations'!HQ305&lt;&gt;"",'Calculations'!HQ305,IF('Calculations'!HP305&lt;&gt;"",'Calculations'!HP305,IF('Calculations'!HO305&lt;&gt;"",'Calculations'!HO305,'Calculations'!HE305))))))))))))))))))))))</x:f>
      </x:c>
      <x:c r="HN305" t="str">
        <x:f>IF('Calculations'!EM305="","",IF(IFERROR(IF(INDEX(INDIRECT("'WCM Calibration Final'!$F$1:$F$2000"),'Calculations'!$EM305)="","",TRIM(INDEX(INDIRECT("'WCM Calibration Final'!$F$1:$F$2000"),'Calculations'!$EM305)&amp;"")),"")="","(Blank)",IFERROR(IF(INDEX(INDIRECT("'WCM Calibration Final'!$F$1:$F$2000"),'Calculations'!$EM305)="","",TRIM(INDEX(INDIRECT("'WCM Calibration Final'!$F$1:$F$2000"),'Calculations'!$EM305)&amp;"")),"")))</x:f>
      </x:c>
      <x:c r="HO305" t="str">
        <x:f>'Calculations'!HF305</x:f>
      </x:c>
      <x:c r="HP305" t="str">
        <x:f>IF('Calculations'!HO305="","",IF('Calculations'!HO305="!AMBIG","!AMBIG",IF(COUNTIF('Calculations'!$HE$13:$HE$512,"="&amp;SUBSTITUTE(SUBSTITUTE(SUBSTITUTE('Calculations'!HO305,"~","~~"),"*","~*"),"?","~?"))&gt;1,"!AMBIG",IFERROR(INDEX('Calculations'!$HF$13:$HF$512,MATCH('Calculations'!HO305,'Calculations'!$HE$13:$HE$512,0)),""))))</x:f>
      </x:c>
      <x:c r="HQ305" t="str">
        <x:f>IF('Calculations'!HP305="","",IF('Calculations'!HP305="!AMBIG","!AMBIG",IF(COUNTIF('Calculations'!$HE$13:$HE$512,"="&amp;SUBSTITUTE(SUBSTITUTE(SUBSTITUTE('Calculations'!HP305,"~","~~"),"*","~*"),"?","~?"))&gt;1,"!AMBIG",IFERROR(INDEX('Calculations'!$HF$13:$HF$512,MATCH('Calculations'!HP305,'Calculations'!$HE$13:$HE$512,0)),""))))</x:f>
      </x:c>
      <x:c r="HR305" t="str">
        <x:f>IF('Calculations'!HQ305="","",IF('Calculations'!HQ305="!AMBIG","!AMBIG",IF(COUNTIF('Calculations'!$HE$13:$HE$512,"="&amp;SUBSTITUTE(SUBSTITUTE(SUBSTITUTE('Calculations'!HQ305,"~","~~"),"*","~*"),"?","~?"))&gt;1,"!AMBIG",IFERROR(INDEX('Calculations'!$HF$13:$HF$512,MATCH('Calculations'!HQ305,'Calculations'!$HE$13:$HE$512,0)),""))))</x:f>
      </x:c>
      <x:c r="HS305" t="str">
        <x:f>IF('Calculations'!HR305="","",IF('Calculations'!HR305="!AMBIG","!AMBIG",IF(COUNTIF('Calculations'!$HE$13:$HE$512,"="&amp;SUBSTITUTE(SUBSTITUTE(SUBSTITUTE('Calculations'!HR305,"~","~~"),"*","~*"),"?","~?"))&gt;1,"!AMBIG",IFERROR(INDEX('Calculations'!$HF$13:$HF$512,MATCH('Calculations'!HR305,'Calculations'!$HE$13:$HE$512,0)),""))))</x:f>
      </x:c>
      <x:c r="HT305" t="str">
        <x:f>IF('Calculations'!HS305="","",IF('Calculations'!HS305="!AMBIG","!AMBIG",IF(COUNTIF('Calculations'!$HE$13:$HE$512,"="&amp;SUBSTITUTE(SUBSTITUTE(SUBSTITUTE('Calculations'!HS305,"~","~~"),"*","~*"),"?","~?"))&gt;1,"!AMBIG",IFERROR(INDEX('Calculations'!$HF$13:$HF$512,MATCH('Calculations'!HS305,'Calculations'!$HE$13:$HE$512,0)),""))))</x:f>
      </x:c>
      <x:c r="HU305" t="str">
        <x:f>IF('Calculations'!HT305="","",IF('Calculations'!HT305="!AMBIG","!AMBIG",IF(COUNTIF('Calculations'!$HE$13:$HE$512,"="&amp;SUBSTITUTE(SUBSTITUTE(SUBSTITUTE('Calculations'!HT305,"~","~~"),"*","~*"),"?","~?"))&gt;1,"!AMBIG",IFERROR(INDEX('Calculations'!$HF$13:$HF$512,MATCH('Calculations'!HT305,'Calculations'!$HE$13:$HE$512,0)),""))))</x:f>
      </x:c>
      <x:c r="HV305" t="str">
        <x:f>IF('Calculations'!HU305="","",IF('Calculations'!HU305="!AMBIG","!AMBIG",IF(COUNTIF('Calculations'!$HE$13:$HE$512,"="&amp;SUBSTITUTE(SUBSTITUTE(SUBSTITUTE('Calculations'!HU305,"~","~~"),"*","~*"),"?","~?"))&gt;1,"!AMBIG",IFERROR(INDEX('Calculations'!$HF$13:$HF$512,MATCH('Calculations'!HU305,'Calculations'!$HE$13:$HE$512,0)),""))))</x:f>
      </x:c>
      <x:c r="HW305" t="str">
        <x:f>IF('Calculations'!HV305="","",IF('Calculations'!HV305="!AMBIG","!AMBIG",IF(COUNTIF('Calculations'!$HE$13:$HE$512,"="&amp;SUBSTITUTE(SUBSTITUTE(SUBSTITUTE('Calculations'!HV305,"~","~~"),"*","~*"),"?","~?"))&gt;1,"!AMBIG",IFERROR(INDEX('Calculations'!$HF$13:$HF$512,MATCH('Calculations'!HV305,'Calculations'!$HE$13:$HE$512,0)),""))))</x:f>
      </x:c>
      <x:c r="HX305" t="str">
        <x:f>IF('Calculations'!HW305="","",IF('Calculations'!HW305="!AMBIG","!AMBIG",IF(COUNTIF('Calculations'!$HE$13:$HE$512,"="&amp;SUBSTITUTE(SUBSTITUTE(SUBSTITUTE('Calculations'!HW305,"~","~~"),"*","~*"),"?","~?"))&gt;1,"!AMBIG",IFERROR(INDEX('Calculations'!$HF$13:$HF$512,MATCH('Calculations'!HW305,'Calculations'!$HE$13:$HE$512,0)),""))))</x:f>
      </x:c>
      <x:c r="HY305" t="str">
        <x:f>IF('Calculations'!HX305="","",IF('Calculations'!HX305="!AMBIG","!AMBIG",IF(COUNTIF('Calculations'!$HE$13:$HE$512,"="&amp;SUBSTITUTE(SUBSTITUTE(SUBSTITUTE('Calculations'!HX305,"~","~~"),"*","~*"),"?","~?"))&gt;1,"!AMBIG",IFERROR(INDEX('Calculations'!$HF$13:$HF$512,MATCH('Calculations'!HX305,'Calculations'!$HE$13:$HE$512,0)),""))))</x:f>
      </x:c>
      <x:c r="HZ305" t="str">
        <x:f>IF('Calculations'!HY305="","",IF('Calculations'!HY305="!AMBIG","!AMBIG",IF(COUNTIF('Calculations'!$HE$13:$HE$512,"="&amp;SUBSTITUTE(SUBSTITUTE(SUBSTITUTE('Calculations'!HY305,"~","~~"),"*","~*"),"?","~?"))&gt;1,"!AMBIG",IFERROR(INDEX('Calculations'!$HF$13:$HF$512,MATCH('Calculations'!HY305,'Calculations'!$HE$13:$HE$512,0)),""))))</x:f>
      </x:c>
      <x:c r="IA305" t="str">
        <x:f>IF('Calculations'!HZ305="","",IF('Calculations'!HZ305="!AMBIG","!AMBIG",IF(COUNTIF('Calculations'!$HE$13:$HE$512,"="&amp;SUBSTITUTE(SUBSTITUTE(SUBSTITUTE('Calculations'!HZ305,"~","~~"),"*","~*"),"?","~?"))&gt;1,"!AMBIG",IFERROR(INDEX('Calculations'!$HF$13:$HF$512,MATCH('Calculations'!HZ305,'Calculations'!$HE$13:$HE$512,0)),""))))</x:f>
      </x:c>
      <x:c r="IB305" t="str">
        <x:f>IF('Calculations'!IA305="","",IF('Calculations'!IA305="!AMBIG","!AMBIG",IF(COUNTIF('Calculations'!$HE$13:$HE$512,"="&amp;SUBSTITUTE(SUBSTITUTE(SUBSTITUTE('Calculations'!IA305,"~","~~"),"*","~*"),"?","~?"))&gt;1,"!AMBIG",IFERROR(INDEX('Calculations'!$HF$13:$HF$512,MATCH('Calculations'!IA305,'Calculations'!$HE$13:$HE$512,0)),""))))</x:f>
      </x:c>
      <x:c r="IC305" t="str">
        <x:f>IF('Calculations'!IB305="","",IF('Calculations'!IB305="!AMBIG","!AMBIG",IF(COUNTIF('Calculations'!$HE$13:$HE$512,"="&amp;SUBSTITUTE(SUBSTITUTE(SUBSTITUTE('Calculations'!IB305,"~","~~"),"*","~*"),"?","~?"))&gt;1,"!AMBIG",IFERROR(INDEX('Calculations'!$HF$13:$HF$512,MATCH('Calculations'!IB305,'Calculations'!$HE$13:$HE$512,0)),""))))</x:f>
      </x:c>
      <x:c r="ID305" t="str">
        <x:f>IF('Calculations'!IC305="","",IF('Calculations'!IC305="!AMBIG","!AMBIG",IF(COUNTIF('Calculations'!$HE$13:$HE$512,"="&amp;SUBSTITUTE(SUBSTITUTE(SUBSTITUTE('Calculations'!IC305,"~","~~"),"*","~*"),"?","~?"))&gt;1,"!AMBIG",IFERROR(INDEX('Calculations'!$HF$13:$HF$512,MATCH('Calculations'!IC305,'Calculations'!$HE$13:$HE$512,0)),""))))</x:f>
      </x:c>
      <x:c r="IE305" t="str">
        <x:f>IF('Calculations'!ID305="","",IF('Calculations'!ID305="!AMBIG","!AMBIG",IF(COUNTIF('Calculations'!$HE$13:$HE$512,"="&amp;SUBSTITUTE(SUBSTITUTE(SUBSTITUTE('Calculations'!ID305,"~","~~"),"*","~*"),"?","~?"))&gt;1,"!AMBIG",IFERROR(INDEX('Calculations'!$HF$13:$HF$512,MATCH('Calculations'!ID305,'Calculations'!$HE$13:$HE$512,0)),""))))</x:f>
      </x:c>
      <x:c r="IF305" t="str">
        <x:f>IF('Calculations'!IE305="","",IF('Calculations'!IE305="!AMBIG","!AMBIG",IF(COUNTIF('Calculations'!$HE$13:$HE$512,"="&amp;SUBSTITUTE(SUBSTITUTE(SUBSTITUTE('Calculations'!IE305,"~","~~"),"*","~*"),"?","~?"))&gt;1,"!AMBIG",IFERROR(INDEX('Calculations'!$HF$13:$HF$512,MATCH('Calculations'!IE305,'Calculations'!$HE$13:$HE$512,0)),""))))</x:f>
      </x:c>
      <x:c r="IG305" t="str">
        <x:f>IF('Calculations'!IF305="","",IF('Calculations'!IF305="!AMBIG","!AMBIG",IF(COUNTIF('Calculations'!$HE$13:$HE$512,"="&amp;SUBSTITUTE(SUBSTITUTE(SUBSTITUTE('Calculations'!IF305,"~","~~"),"*","~*"),"?","~?"))&gt;1,"!AMBIG",IFERROR(INDEX('Calculations'!$HF$13:$HF$512,MATCH('Calculations'!IF305,'Calculations'!$HE$13:$HE$512,0)),""))))</x:f>
      </x:c>
      <x:c r="IH305" t="str">
        <x:f>IF('Calculations'!IG305="","",IF('Calculations'!IG305="!AMBIG","!AMBIG",IF(COUNTIF('Calculations'!$HE$13:$HE$512,"="&amp;SUBSTITUTE(SUBSTITUTE(SUBSTITUTE('Calculations'!IG305,"~","~~"),"*","~*"),"?","~?"))&gt;1,"!AMBIG",IFERROR(INDEX('Calculations'!$HF$13:$HF$512,MATCH('Calculations'!IG305,'Calculations'!$HE$13:$HE$512,0)),""))))</x:f>
      </x:c>
      <x:c r="II305" t="str">
        <x:f>IF('Calculations'!IH305="","",IF('Calculations'!IH305="!AMBIG","!AMBIG",IF(COUNTIF('Calculations'!$HE$13:$HE$512,"="&amp;SUBSTITUTE(SUBSTITUTE(SUBSTITUTE('Calculations'!IH305,"~","~~"),"*","~*"),"?","~?"))&gt;1,"!AMBIG",IFERROR(INDEX('Calculations'!$HF$13:$HF$512,MATCH('Calculations'!IH305,'Calculations'!$HE$13:$HE$512,0)),""))))</x:f>
      </x:c>
      <x:c r="IJ305" t="str">
        <x:f>IF('Calculations'!EM305="","",IF('Calculations'!$EF$2="All",'Calculations'!HM305,IF('Calculations'!HL305=1,"",IFERROR(IF(MATCH('Calculations'!$EF$2,'Calculations'!HO305:II305,0)=1,'Calculations'!HE305,INDEX('Calculations'!HO305:II305,1,MATCH('Calculations'!$EF$2,'Calculations'!HO305:II305,0)-1)),""))))</x:f>
      </x:c>
      <x:c r="IK305" t="n">
        <x:f>IF(AND('Calculations'!EM305&lt;&gt;"",'Calculations'!$EF$2&lt;&gt;"All",'Calculations'!HF305='Calculations'!$EF$2,'Calculations'!HL305=0,'Calculations'!JD305&gt;0),MAX('Calculations'!$IK$12:IK304)+1,0)</x:f>
        <x:v>0</x:v>
      </x:c>
      <x:c r="JA305" t="n">
        <x:f>IF(OR(IFERROR(INDIRECT("'WCM Calibration Final'!$A$305")&lt;&gt;"",FALSE),IFERROR(INDIRECT("'WCM Calibration Final'!$B$305")&lt;&gt;"",FALSE),IFERROR(INDIRECT("'WCM Calibration Final'!$C$305")&lt;&gt;"",FALSE)),305,0)</x:f>
        <x:v>0</x:v>
      </x:c>
      <x:c r="JB305" t="n">
        <x:f>'Calculations'!JB304+IF('Calculations'!JA305&gt;0,1,0)</x:f>
        <x:v>0</x:v>
      </x:c>
      <x:c r="JC305" t="n">
        <x:f>IF(OR('Calculations'!HF305="",'Calculations'!HF305="!AMBIG"),0,IF('Dashboard'!$B$7="All",1,COUNTIFS('Calculations'!$HO$13:$HO$512,"="&amp;SUBSTITUTE(SUBSTITUTE(SUBSTITUTE('Calculations'!HF305,"~","~~"),"*","~*"),"?","~?"),'Calculations'!$HN$13:$HN$512,"="&amp;SUBSTITUTE(SUBSTITUTE(SUBSTITUTE('Dashboard'!$B$7,"~","~~"),"*","~*"),"?","~?"))+COUNTIFS('Calculations'!$HP$13:$HP$512,"="&amp;SUBSTITUTE(SUBSTITUTE(SUBSTITUTE('Calculations'!HF305,"~","~~"),"*","~*"),"?","~?"),'Calculations'!$HN$13:$HN$512,"="&amp;SUBSTITUTE(SUBSTITUTE(SUBSTITUTE('Dashboard'!$B$7,"~","~~"),"*","~*"),"?","~?"))+COUNTIFS('Calculations'!$HQ$13:$HQ$512,"="&amp;SUBSTITUTE(SUBSTITUTE(SUBSTITUTE('Calculations'!HF305,"~","~~"),"*","~*"),"?","~?"),'Calculations'!$HN$13:$HN$512,"="&amp;SUBSTITUTE(SUBSTITUTE(SUBSTITUTE('Dashboard'!$B$7,"~","~~"),"*","~*"),"?","~?"))+COUNTIFS('Calculations'!$HR$13:$HR$512,"="&amp;SUBSTITUTE(SUBSTITUTE(SUBSTITUTE('Calculations'!HF305,"~","~~"),"*","~*"),"?","~?"),'Calculations'!$HN$13:$HN$512,"="&amp;SUBSTITUTE(SUBSTITUTE(SUBSTITUTE('Dashboard'!$B$7,"~","~~"),"*","~*"),"?","~?"))+COUNTIFS('Calculations'!$HS$13:$HS$512,"="&amp;SUBSTITUTE(SUBSTITUTE(SUBSTITUTE('Calculations'!HF305,"~","~~"),"*","~*"),"?","~?"),'Calculations'!$HN$13:$HN$512,"="&amp;SUBSTITUTE(SUBSTITUTE(SUBSTITUTE('Dashboard'!$B$7,"~","~~"),"*","~*"),"?","~?"))+COUNTIFS('Calculations'!$HT$13:$HT$512,"="&amp;SUBSTITUTE(SUBSTITUTE(SUBSTITUTE('Calculations'!HF305,"~","~~"),"*","~*"),"?","~?"),'Calculations'!$HN$13:$HN$512,"="&amp;SUBSTITUTE(SUBSTITUTE(SUBSTITUTE('Dashboard'!$B$7,"~","~~"),"*","~*"),"?","~?"))+COUNTIFS('Calculations'!$HU$13:$HU$512,"="&amp;SUBSTITUTE(SUBSTITUTE(SUBSTITUTE('Calculations'!HF305,"~","~~"),"*","~*"),"?","~?"),'Calculations'!$HN$13:$HN$512,"="&amp;SUBSTITUTE(SUBSTITUTE(SUBSTITUTE('Dashboard'!$B$7,"~","~~"),"*","~*"),"?","~?"))+COUNTIFS('Calculations'!$HV$13:$HV$512,"="&amp;SUBSTITUTE(SUBSTITUTE(SUBSTITUTE('Calculations'!HF305,"~","~~"),"*","~*"),"?","~?"),'Calculations'!$HN$13:$HN$512,"="&amp;SUBSTITUTE(SUBSTITUTE(SUBSTITUTE('Dashboard'!$B$7,"~","~~"),"*","~*"),"?","~?"))+COUNTIFS('Calculations'!$HW$13:$HW$512,"="&amp;SUBSTITUTE(SUBSTITUTE(SUBSTITUTE('Calculations'!HF305,"~","~~"),"*","~*"),"?","~?"),'Calculations'!$HN$13:$HN$512,"="&amp;SUBSTITUTE(SUBSTITUTE(SUBSTITUTE('Dashboard'!$B$7,"~","~~"),"*","~*"),"?","~?"))+COUNTIFS('Calculations'!$HX$13:$HX$512,"="&amp;SUBSTITUTE(SUBSTITUTE(SUBSTITUTE('Calculations'!HF305,"~","~~"),"*","~*"),"?","~?"),'Calculations'!$HN$13:$HN$512,"="&amp;SUBSTITUTE(SUBSTITUTE(SUBSTITUTE('Dashboard'!$B$7,"~","~~"),"*","~*"),"?","~?"))+COUNTIFS('Calculations'!$HY$13:$HY$512,"="&amp;SUBSTITUTE(SUBSTITUTE(SUBSTITUTE('Calculations'!HF305,"~","~~"),"*","~*"),"?","~?"),'Calculations'!$HN$13:$HN$512,"="&amp;SUBSTITUTE(SUBSTITUTE(SUBSTITUTE('Dashboard'!$B$7,"~","~~"),"*","~*"),"?","~?"))+COUNTIFS('Calculations'!$HZ$13:$HZ$512,"="&amp;SUBSTITUTE(SUBSTITUTE(SUBSTITUTE('Calculations'!HF305,"~","~~"),"*","~*"),"?","~?"),'Calculations'!$HN$13:$HN$512,"="&amp;SUBSTITUTE(SUBSTITUTE(SUBSTITUTE('Dashboard'!$B$7,"~","~~"),"*","~*"),"?","~?"))+COUNTIFS('Calculations'!$IA$13:$IA$512,"="&amp;SUBSTITUTE(SUBSTITUTE(SUBSTITUTE('Calculations'!HF305,"~","~~"),"*","~*"),"?","~?"),'Calculations'!$HN$13:$HN$512,"="&amp;SUBSTITUTE(SUBSTITUTE(SUBSTITUTE('Dashboard'!$B$7,"~","~~"),"*","~*"),"?","~?"))+COUNTIFS('Calculations'!$IB$13:$IB$512,"="&amp;SUBSTITUTE(SUBSTITUTE(SUBSTITUTE('Calculations'!HF305,"~","~~"),"*","~*"),"?","~?"),'Calculations'!$HN$13:$HN$512,"="&amp;SUBSTITUTE(SUBSTITUTE(SUBSTITUTE('Dashboard'!$B$7,"~","~~"),"*","~*"),"?","~?"))+COUNTIFS('Calculations'!$IC$13:$IC$512,"="&amp;SUBSTITUTE(SUBSTITUTE(SUBSTITUTE('Calculations'!HF305,"~","~~"),"*","~*"),"?","~?"),'Calculations'!$HN$13:$HN$512,"="&amp;SUBSTITUTE(SUBSTITUTE(SUBSTITUTE('Dashboard'!$B$7,"~","~~"),"*","~*"),"?","~?"))+COUNTIFS('Calculations'!$ID$13:$ID$512,"="&amp;SUBSTITUTE(SUBSTITUTE(SUBSTITUTE('Calculations'!HF305,"~","~~"),"*","~*"),"?","~?"),'Calculations'!$HN$13:$HN$512,"="&amp;SUBSTITUTE(SUBSTITUTE(SUBSTITUTE('Dashboard'!$B$7,"~","~~"),"*","~*"),"?","~?"))+COUNTIFS('Calculations'!$IE$13:$IE$512,"="&amp;SUBSTITUTE(SUBSTITUTE(SUBSTITUTE('Calculations'!HF305,"~","~~"),"*","~*"),"?","~?"),'Calculations'!$HN$13:$HN$512,"="&amp;SUBSTITUTE(SUBSTITUTE(SUBSTITUTE('Dashboard'!$B$7,"~","~~"),"*","~*"),"?","~?"))+COUNTIFS('Calculations'!$IF$13:$IF$512,"="&amp;SUBSTITUTE(SUBSTITUTE(SUBSTITUTE('Calculations'!HF305,"~","~~"),"*","~*"),"?","~?"),'Calculations'!$HN$13:$HN$512,"="&amp;SUBSTITUTE(SUBSTITUTE(SUBSTITUTE('Dashboard'!$B$7,"~","~~"),"*","~*"),"?","~?"))+COUNTIFS('Calculations'!$IG$13:$IG$512,"="&amp;SUBSTITUTE(SUBSTITUTE(SUBSTITUTE('Calculations'!HF305,"~","~~"),"*","~*"),"?","~?"),'Calculations'!$HN$13:$HN$512,"="&amp;SUBSTITUTE(SUBSTITUTE(SUBSTITUTE('Dashboard'!$B$7,"~","~~"),"*","~*"),"?","~?"))+COUNTIFS('Calculations'!$IH$13:$IH$512,"="&amp;SUBSTITUTE(SUBSTITUTE(SUBSTITUTE('Calculations'!HF305,"~","~~"),"*","~*"),"?","~?"),'Calculations'!$HN$13:$HN$512,"="&amp;SUBSTITUTE(SUBSTITUTE(SUBSTITUTE('Dashboard'!$B$7,"~","~~"),"*","~*"),"?","~?"))))</x:f>
        <x:v>0</x:v>
      </x:c>
      <x:c r="JD305" t="n">
        <x:f>IF('Calculations'!EM305="",0,IF('Dashboard'!$B$7="All",1,IF('Calculations'!HN305='Dashboard'!$B$7,1,0)+IFERROR(INDEX('Calculations'!$JC$13:$JC$512,MATCH('Calculations'!HE305,'Calculations'!$HF$13:$HF$512,0)),0)))</x:f>
        <x:v>0</x:v>
      </x:c>
      <x:c r="JE305" t="n">
        <x:f>IF(AND('Calculations'!EM305&lt;&gt;"",'Calculations'!$JJ$2&lt;&gt;"All",'Calculations'!$JJ$2&lt;&gt;"",'Calculations'!HF305='Calculations'!$JJ$2,'Calculations'!HL305=0,'Calculations'!JD305&gt;0),MAX('Calculations'!$JE$12:JE304)+1,0)</x:f>
        <x:v>0</x:v>
      </x:c>
      <x:c r="JF305" t="str">
        <x:f>IF('Calculations'!EM305="","",IFERROR(IF(INDEX(INDIRECT("'WCM Calibration Final'!$G$1:$G$2000"),'Calculations'!$EM305)="","",TRIM(INDEX(INDIRECT("'WCM Calibration Final'!$G$1:$G$2000"),'Calculations'!$EM305)&amp;"")),""))</x:f>
      </x:c>
      <x:c r="JQ305" t="n">
        <x:f>IF(OR('Calculations'!BM305=0,NOT('Calculations'!$AG$2),'Calculations'!$AG$8&gt;0),0,IF(OR('Dashboard'!$B$7="All",'Calculations'!HN305='Dashboard'!$B$7),IF('Calculations'!$JJ$2="All",1,IF(AND('Calculations'!HF305='Calculations'!$JJ$2,'Calculations'!HL305=0),1,0)),0))</x:f>
        <x:v>0</x:v>
      </x:c>
    </x:row>
    <x:row r="306">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t="n">
        <x:f>IF('Calculations'!$EM306="",0,IF(OR(IFERROR(INDEX(INDIRECT("'WCM Calibration Final'!$A$1:$A$2000"),'Calculations'!$EM306)&lt;&gt;"",FALSE),IFERROR(INDEX(INDIRECT("'WCM Calibration Final'!$B$1:$B$2000"),'Calculations'!$EM306)&lt;&gt;"",FALSE),IFERROR(INDEX(INDIRECT("'WCM Calibration Final'!$C$1:$C$2000"),'Calculations'!$EM306)&lt;&gt;"",FALSE)),1,0))</x:f>
        <x:v>0</x:v>
      </x:c>
      <x:c r="BN306" s="4" t="n">
        <x:f>IF(AND('Calculations'!BM306=1,'Calculations'!$AG$2,'Calculations'!$EN306=1),1,0)</x:f>
        <x:v>0</x:v>
      </x:c>
      <x:c r="BO306" s="4" t="str">
        <x:f>IF('Calculations'!BM306=0,"",IFERROR(IF(AND(VALUE(INDEX(INDIRECT("'WCM Calibration Final'!$K$1:$K$2000"),'Calculations'!$EM306))&gt;=1,VALUE(INDEX(INDIRECT("'WCM Calibration Final'!$K$1:$K$2000"),'Calculations'!$EM306))&lt;=4,MOD(VALUE(INDEX(INDIRECT("'WCM Calibration Final'!$K$1:$K$2000"),'Calculations'!$EM306)),1)=0),VALUE(INDEX(INDIRECT("'WCM Calibration Final'!$K$1:$K$2000"),'Calculations'!$EM306)),""),""))</x:f>
      </x:c>
      <x:c r="BP306" s="4" t="str">
        <x:f>IF('Calculations'!BM306=0,"",IFERROR(IF(AND(VALUE(INDEX(INDIRECT("'WCM Calibration Final'!$L$1:$L$2000"),'Calculations'!$EM306))&gt;=1,VALUE(INDEX(INDIRECT("'WCM Calibration Final'!$L$1:$L$2000"),'Calculations'!$EM306))&lt;=4,MOD(VALUE(INDEX(INDIRECT("'WCM Calibration Final'!$L$1:$L$2000"),'Calculations'!$EM306)),1)=0),VALUE(INDEX(INDIRECT("'WCM Calibration Final'!$L$1:$L$2000"),'Calculations'!$EM306)),""),""))</x:f>
      </x:c>
      <x:c r="BQ306" s="4"/>
      <x:c r="BR306" s="4"/>
      <x:c r="BS306" s="4"/>
      <x:c r="BT306" s="4" t="n">
        <x:f>IF(AND('Calculations'!BM306=1,ISNUMBER('Calculations'!BO306),ISNUMBER('Calculations'!BP306)),1,0)</x:f>
        <x:v>0</x:v>
      </x:c>
      <x:c r="BU306" s="4" t="str">
        <x:f>IF('Calculations'!BM306=0,"",'Calculations'!$EO306)</x:f>
      </x:c>
      <x:c r="BV306" s="4" t="str">
        <x:f>IF('Calculations'!BM306=0,"",IFERROR(IF(OR(INDEX(INDIRECT("'WCM Calibration Final'!$H$1:$H$2000"),'Calculations'!$EM306)="MANAGING DIRECTOR",INDEX(INDIRECT("'WCM Calibration Final'!$H$1:$H$2000"),'Calculations'!$EM306)="DIRECTOR",INDEX(INDIRECT("'WCM Calibration Final'!$H$1:$H$2000"),'Calculations'!$EM306)="SENIOR VICE PRESIDENT",INDEX(INDIRECT("'WCM Calibration Final'!$H$1:$H$2000"),'Calculations'!$EM306)="VICE PRESIDENT",INDEX(INDIRECT("'WCM Calibration Final'!$H$1:$H$2000"),'Calculations'!$EM306)="ASSISTANT VICE PRESIDENT",INDEX(INDIRECT("'WCM Calibration Final'!$H$1:$H$2000"),'Calculations'!$EM306)="OFFICER"),UPPER(INDEX(INDIRECT("'WCM Calibration Final'!$H$1:$H$2000"),'Calculations'!$EM306)),"Other"),"Other"))</x:f>
      </x:c>
      <x:c r="BW306" s="4"/>
      <x:c r="BX306" s="4"/>
      <x:c r="BY306" s="4" t="n">
        <x:f>IF(AND('Calculations'!BM306=1,'Calculations'!BU306&lt;&gt;"",COUNTIF('Calculations'!$BU$12:BU306,'Calculations'!BU306)=1),MAX('Calculations'!$BY$11:BY305)+1,0)</x:f>
        <x:v>0</x:v>
      </x:c>
      <x:c r="BZ306" s="4" t="str">
        <x:f>IF('Dashboard'!$E$67="What",'Calculations'!BO306,'Calculations'!BP306)</x:f>
      </x:c>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t="str">
        <x:f>IF(295&gt;MAX('Calculations'!$HI$13:$HI$512),"",INDEX('Calculations'!$HN$13:$HN$512,MATCH(295,'Calculations'!$HI$13:$HI$512,0)))</x:f>
      </x:c>
      <x:c r="DB306" s="4" t="str">
        <x:f>IF(295&gt;MAX('Calculations'!$HH$13:$HH$512),"",INDEX('Calculations'!$HJ$13:$HJ$512,MATCH(295,'Calculations'!$HH$13:$HH$512,0)))</x:f>
      </x:c>
      <x:c r="DC306" s="4" t="str">
        <x:f>IF(ROW()-11&gt;MAX('Calculations'!$BY$13:$BY$512),"",INDEX('Calculations'!$BU$13:$BU$512,MATCH(ROW()-11,'Calculations'!$BY$13:$BY$512,0)))</x:f>
      </x:c>
      <x:c r="DD306" s="4" t="str">
        <x:f>IF(295&gt;MAX('Calculations'!$IK$13:$IK$512),"",INDEX('Calculations'!$HK$13:$HK$512,MATCH(295,'Calculations'!$IK$13:$IK$512,0)))</x:f>
      </x:c>
      <x:c r="DE306" s="4" t="str">
        <x:f>'Calculations'!DC306</x:f>
      </x:c>
      <x:c r="DF306" s="4" t="str">
        <x:f>IF('Calculations'!DE306="","",COUNTIFS('Calculations'!$BN$13:$BN$512,1,'Calculations'!$BU$13:$BU$512,'Calculations'!DE306))</x:f>
      </x:c>
      <x:c r="DG306" s="4" t="str">
        <x:f>IF('Calculations'!DE306="","",COUNTIFS('Calculations'!$BN$13:$BN$512,1,'Calculations'!$BU$13:$BU$512,'Calculations'!DE306,'Calculations'!$BT$13:$BT$512,1))</x:f>
      </x:c>
      <x:c r="DH306" s="4" t="str">
        <x:f>IF('Calculations'!DE306="","",'Calculations'!DF306-'Calculations'!DG306)</x:f>
      </x:c>
      <x:c r="DI306" s="4" t="str">
        <x:f>IF(OR('Calculations'!DE306="",'Calculations'!DF306=0),"",'Calculations'!DG306/'Calculations'!DF306)</x:f>
      </x:c>
      <x:c r="DJ306" s="4" t="str">
        <x:f>IF('Calculations'!DE306="","",COUNTIFS('Calculations'!$BN$13:$BN$512,1,'Calculations'!$BU$13:$BU$512,'Calculations'!DE306,'Calculations'!$BT$13:$BT$512,1,'Calculations'!$EE$13:$EE$512,"High"))</x:f>
      </x:c>
      <x:c r="DK306" s="4" t="str">
        <x:f>IF('Calculations'!DE306="","",COUNTIFS('Calculations'!$BN$13:$BN$512,1,'Calculations'!$BU$13:$BU$512,'Calculations'!DE306,'Calculations'!$BT$13:$BT$512,1,'Calculations'!$EE$13:$EE$512,"Strong"))</x:f>
      </x:c>
      <x:c r="DL306" s="4" t="str">
        <x:f>IF('Calculations'!DE306="","",COUNTIFS('Calculations'!$BN$13:$BN$512,1,'Calculations'!$BU$13:$BU$512,'Calculations'!DE306,'Calculations'!$BT$13:$BT$512,1,'Calculations'!$EE$13:$EE$512,"Solid"))</x:f>
      </x:c>
      <x:c r="DM306" s="4" t="str">
        <x:f>IF('Calculations'!DE306="","",COUNTIFS('Calculations'!$BN$13:$BN$512,1,'Calculations'!$BU$13:$BU$512,'Calculations'!DE306,'Calculations'!$BT$13:$BT$512,1,'Calculations'!$EE$13:$EE$512,"Low"))</x:f>
      </x:c>
      <x:c r="DN306" s="4" t="str">
        <x:f>IF('Calculations'!DE306="","",COUNTIFS('Calculations'!$BN$13:$BN$512,1,'Calculations'!$BU$13:$BU$512,'Calculations'!DE306,'Calculations'!$EP$13:$EP$512,1))</x:f>
      </x:c>
      <x:c r="DO306" s="4" t="str">
        <x:f>IF(OR('Calculations'!DE306="",'Calculations'!DG306=0),"",('Calculations'!DJ306+'Calculations'!DK306)/'Calculations'!DG306)</x:f>
      </x:c>
      <x:c r="DP306" s="4" t="n">
        <x:f>IF(AND('Calculations'!DE306&lt;&gt;"",'Calculations'!DF306&gt;0),COUNTIF('Calculations'!$DF$12:DF306,"&gt;0"),0)</x:f>
        <x:v>0</x:v>
      </x:c>
      <x:c r="DQ306" s="4" t="str">
        <x:f>IF(295&gt;MAX('Calculations'!$HH$13:$HH$512),"",INDEX('Calculations'!$HF$13:$HF$512,MATCH(295,'Calculations'!$HH$13:$HH$512,0)))</x:f>
      </x:c>
      <x:c r="DR306" s="4" t="str">
        <x:f>IF(295&gt;MAX('Calculations'!$IK$13:$IK$512),"",INDEX('Calculations'!$HE$13:$HE$512,MATCH(295,'Calculations'!$IK$13:$IK$512,0)))</x:f>
      </x:c>
      <x:c r="DS306" s="4"/>
      <x:c r="DT306" s="4"/>
      <x:c r="DU306" s="4"/>
      <x:c r="DV306" s="4"/>
      <x:c r="DW306" s="4"/>
      <x:c r="DX306" s="4"/>
      <x:c r="DY306" s="4"/>
      <x:c r="DZ306" s="4"/>
      <x:c r="EA306" s="4"/>
      <x:c r="EB306" s="4"/>
      <x:c r="EC306" s="4"/>
      <x:c r="ED306" s="4"/>
      <x:c r="EE306" s="4" t="str">
        <x:f>IF('Calculations'!BT306=0,"Not Rated",IF(OR('Calculations'!BO306&gt;=4,'Calculations'!BP306&gt;=4),"Low",IF('Calculations'!BO306+'Calculations'!BP306&lt;=3,"High",IF('Calculations'!BO306+'Calculations'!BP306&lt;=4,"Strong","Solid"))))</x:f>
        <x:v>Not Rated</x:v>
      </x:c>
      <x:c r="EF306" s="4"/>
      <x:c r="EG306" s="4"/>
      <x:c r="EH306" s="4"/>
      <x:c r="EI306" s="4"/>
      <x:c r="EJ306" s="4"/>
      <x:c r="EK306" s="4"/>
      <x:c r="EL306" s="4"/>
      <x:c r="EM306" s="4" t="str">
        <x:f>IF(294&gt;'Calculations'!$JB$2000,"",INDEX('Calculations'!$JA$12:$JA$2000,MATCH(294,'Calculations'!$JB$12:$JB$2000,0)))</x:f>
      </x:c>
      <x:c r="EN306" s="4" t="n">
        <x:f>IF(OR('Calculations'!EM306="",'Calculations'!$AG$8&gt;0,AND('Calculations'!$EF$2&lt;&gt;"All",'Calculations'!HE306='Calculations'!$EF$2),AND('Calculations'!$EF$3&lt;&gt;"All",'Calculations'!HE306='Calculations'!$EF$3)),0,IF(OR('Dashboard'!$B$7="All",'Calculations'!HN306='Dashboard'!$B$7),IF('Calculations'!$EF$2="All",1,IF('Calculations'!HL306&gt;0,0,IF(COUNTIF('Calculations'!HO306:II306,"="&amp;SUBSTITUTE(SUBSTITUTE(SUBSTITUTE('Calculations'!$EF$2,"~","~~"),"*","~*"),"?","~?"))=0,0,IF('Calculations'!$EF$3="All",1,IF(COUNTIF('Calculations'!HO306:II306,"="&amp;SUBSTITUTE(SUBSTITUTE(SUBSTITUTE('Calculations'!$EF$3,"~","~~"),"*","~*"),"?","~?"))&gt;0,1,0))))),0))</x:f>
        <x:v>0</x:v>
      </x:c>
      <x:c r="EO306" s="4" t="str">
        <x:f>IF('Calculations'!IJ306="","",IF('Calculations'!IJ306="!UNRESOLVED","Unresolved hierarchy",IFERROR(INDEX('Calculations'!$HK$13:$HK$512,MATCH('Calculations'!IJ306,'Calculations'!$HE$13:$HE$512,0)),IFERROR(INDEX('Calculations'!$HJ$13:$HJ$512,MATCH('Calculations'!IJ306,'Calculations'!$HF$13:$HF$512,0)),'Calculations'!IJ306))))</x:f>
      </x:c>
      <x:c r="EP306" s="4" t="n">
        <x:f>IF(AND('Calculations'!EM306&lt;&gt;"",'Calculations'!HF306='Calculations'!IJ306),1,0)</x:f>
        <x:v>0</x:v>
      </x:c>
      <x:c r="EQ306" s="4"/>
      <x:c r="ER306" s="4"/>
      <x:c r="ES306" s="4"/>
      <x:c r="ET306" s="4"/>
      <x:c r="EU306" s="4"/>
      <x:c r="EV306" s="4"/>
      <x:c r="EW306" s="4"/>
      <x:c r="EX306" s="4"/>
      <x:c r="EY306" s="4"/>
      <x:c r="EZ306" s="4"/>
      <x:c r="FA306" s="4"/>
      <x:c r="FB306" s="4"/>
      <x:c r="FC306" s="4"/>
      <x:c r="FD306" s="4"/>
      <x:c r="FE306" s="4"/>
      <x:c r="FF306" s="4"/>
      <x:c r="FG306" s="4"/>
      <x:c r="FH306" s="4"/>
      <x:c r="FI306" s="4"/>
      <x:c r="FJ306" s="4"/>
      <x:c r="FK306" s="4"/>
      <x:c r="FL306" s="4"/>
      <x:c r="FM306" s="4"/>
      <x:c r="FN306" s="4"/>
      <x:c r="FO306" s="4"/>
      <x:c r="HE306" t="str">
        <x:f>IF('Calculations'!EM306="","",IF(IFERROR(IF(INDEX(INDIRECT("'WCM Calibration Final'!$A$1:$A$2000"),'Calculations'!$EM306)="","",TRIM(INDEX(INDIRECT("'WCM Calibration Final'!$A$1:$A$2000"),'Calculations'!$EM306)&amp;"")),"")&lt;&gt;"","G:"&amp;IFERROR(TEXT(1*INDEX(INDIRECT("'WCM Calibration Final'!$A$1:$A$2000"),'Calculations'!$EM306),"0"),UPPER(IFERROR(IF(INDEX(INDIRECT("'WCM Calibration Final'!$A$1:$A$2000"),'Calculations'!$EM306)="","",TRIM(INDEX(INDIRECT("'WCM Calibration Final'!$A$1:$A$2000"),'Calculations'!$EM306)&amp;"")),""))),IF(IFERROR(IF(INDEX(INDIRECT("'WCM Calibration Final'!$C$1:$C$2000"),'Calculations'!$EM306)="","",TRIM(INDEX(INDIRECT("'WCM Calibration Final'!$C$1:$C$2000"),'Calculations'!$EM306)&amp;"")),"")&lt;&gt;"","S:"&amp;UPPER(IFERROR(IF(INDEX(INDIRECT("'WCM Calibration Final'!$C$1:$C$2000"),'Calculations'!$EM306)="","",TRIM(INDEX(INDIRECT("'WCM Calibration Final'!$C$1:$C$2000"),'Calculations'!$EM306)&amp;"")),"")),"R:"&amp;'Calculations'!EM306)))</x:f>
      </x:c>
      <x:c r="HF306" t="str">
        <x:f>IF('Calculations'!EM306="","",IF(IFERROR(IF(INDEX(INDIRECT("'WCM Calibration Final'!$D$1:$D$2000"),'Calculations'!$EM306)="","",TRIM(INDEX(INDIRECT("'WCM Calibration Final'!$D$1:$D$2000"),'Calculations'!$EM306)&amp;"")),"")&lt;&gt;"","G:"&amp;IFERROR(TEXT(1*INDEX(INDIRECT("'WCM Calibration Final'!$D$1:$D$2000"),'Calculations'!$EM306),"0"),UPPER(IFERROR(IF(INDEX(INDIRECT("'WCM Calibration Final'!$D$1:$D$2000"),'Calculations'!$EM306)="","",TRIM(INDEX(INDIRECT("'WCM Calibration Final'!$D$1:$D$2000"),'Calculations'!$EM306)&amp;"")),""))),IF(IFERROR(IF(INDEX(INDIRECT("'WCM Calibration Final'!$E$1:$E$2000"),'Calculations'!$EM306)="","",TRIM(INDEX(INDIRECT("'WCM Calibration Final'!$E$1:$E$2000"),'Calculations'!$EM306)&amp;"")),"")="","",IF(COUNTIF('Calculations'!$HG$13:$HG$512,"="&amp;SUBSTITUTE(SUBSTITUTE(SUBSTITUTE(IFERROR(IF(INDEX(INDIRECT("'WCM Calibration Final'!$E$1:$E$2000"),'Calculations'!$EM306)="","",TRIM(INDEX(INDIRECT("'WCM Calibration Final'!$E$1:$E$2000"),'Calculations'!$EM306)&amp;"")),""),"~","~~"),"*","~*"),"?","~?"))=1,INDEX('Calculations'!$HE$13:$HE$512,MATCH(IFERROR(IF(INDEX(INDIRECT("'WCM Calibration Final'!$E$1:$E$2000"),'Calculations'!$EM306)="","",TRIM(INDEX(INDIRECT("'WCM Calibration Final'!$E$1:$E$2000"),'Calculations'!$EM306)&amp;"")),""),'Calculations'!$HG$13:$HG$512,0)),IF(COUNTIF('Calculations'!$HG$13:$HG$512,"="&amp;SUBSTITUTE(SUBSTITUTE(SUBSTITUTE(IFERROR(IF(INDEX(INDIRECT("'WCM Calibration Final'!$E$1:$E$2000"),'Calculations'!$EM306)="","",TRIM(INDEX(INDIRECT("'WCM Calibration Final'!$E$1:$E$2000"),'Calculations'!$EM306)&amp;"")),""),"~","~~"),"*","~*"),"?","~?"))&gt;1,"!AMBIG","X:"&amp;IFERROR(IF(INDEX(INDIRECT("'WCM Calibration Final'!$E$1:$E$2000"),'Calculations'!$EM306)="","",TRIM(INDEX(INDIRECT("'WCM Calibration Final'!$E$1:$E$2000"),'Calculations'!$EM306)&amp;"")),""))))))</x:f>
      </x:c>
      <x:c r="HG306" t="str">
        <x:f>IF('Calculations'!EM306="","",IFERROR(IF(INDEX(INDIRECT("'WCM Calibration Final'!$B$1:$B$2000"),'Calculations'!$EM306)="","",TRIM(INDEX(INDIRECT("'WCM Calibration Final'!$B$1:$B$2000"),'Calculations'!$EM306)&amp;"")),""))</x:f>
      </x:c>
      <x:c r="HH306" t="n">
        <x:f>IF(AND('Calculations'!JC306&gt;0,COUNTIF('Calculations'!$HF$12:HF306,"="&amp;SUBSTITUTE(SUBSTITUTE(SUBSTITUTE('Calculations'!HF306,"~","~~"),"*","~*"),"?","~?"))=1),MAX('Calculations'!$HH$12:HH305)+1,0)</x:f>
        <x:v>0</x:v>
      </x:c>
      <x:c r="HI306" t="n">
        <x:f>IF(AND('Calculations'!HN306&lt;&gt;"",COUNTIF('Calculations'!$HN$12:HN306,"="&amp;SUBSTITUTE(SUBSTITUTE(SUBSTITUTE('Calculations'!HN306,"~","~~"),"*","~*"),"?","~?"))=1),MAX('Calculations'!$HI$12:HI305)+1,0)</x:f>
        <x:v>0</x:v>
      </x:c>
      <x:c r="HJ306" t="str">
        <x:f>IF('Calculations'!HF306="","",IF(COUNTIF('Calculations'!$HE$13:$HE$512,"="&amp;SUBSTITUTE(SUBSTITUTE(SUBSTITUTE('Calculations'!HF306,"~","~~"),"*","~*"),"?","~?"))=1,INDEX('Calculations'!$HK$13:$HK$512,MATCH('Calculations'!HF306,'Calculations'!$HE$13:$HE$512,0)),IFERROR(IF(INDEX(INDIRECT("'WCM Calibration Final'!$E$1:$E$2000"),'Calculations'!$EM306)="","",TRIM(INDEX(INDIRECT("'WCM Calibration Final'!$E$1:$E$2000"),'Calculations'!$EM306)&amp;"")),"")&amp;" ["&amp;'Calculations'!HF306&amp;"]"))</x:f>
      </x:c>
      <x:c r="HK306" t="str">
        <x:f>IF('Calculations'!EM306="","",'Calculations'!HG306&amp;" ["&amp;'Calculations'!HE306&amp;"]")</x:f>
      </x:c>
      <x:c r="HL306" t="n">
        <x:f>IF('Calculations'!EM306="",0,IF(OR('Calculations'!II306&lt;&gt;"",COUNTIF('Calculations'!$HE$13:$HE$512,"="&amp;SUBSTITUTE(SUBSTITUTE(SUBSTITUTE('Calculations'!HE306,"~","~~"),"*","~*"),"?","~?"))&gt;1),1,0))</x:f>
        <x:v>0</x:v>
      </x:c>
      <x:c r="HM306" t="str">
        <x:f>IF('Calculations'!EM306="","",IF('Calculations'!HL306=1,"!UNRESOLVED",IF('Calculations'!IH306&lt;&gt;"",'Calculations'!IH306,IF('Calculations'!IG306&lt;&gt;"",'Calculations'!IG306,IF('Calculations'!IF306&lt;&gt;"",'Calculations'!IF306,IF('Calculations'!IE306&lt;&gt;"",'Calculations'!IE306,IF('Calculations'!ID306&lt;&gt;"",'Calculations'!ID306,IF('Calculations'!IC306&lt;&gt;"",'Calculations'!IC306,IF('Calculations'!IB306&lt;&gt;"",'Calculations'!IB306,IF('Calculations'!IA306&lt;&gt;"",'Calculations'!IA306,IF('Calculations'!HZ306&lt;&gt;"",'Calculations'!HZ306,IF('Calculations'!HY306&lt;&gt;"",'Calculations'!HY306,IF('Calculations'!HX306&lt;&gt;"",'Calculations'!HX306,IF('Calculations'!HW306&lt;&gt;"",'Calculations'!HW306,IF('Calculations'!HV306&lt;&gt;"",'Calculations'!HV306,IF('Calculations'!HU306&lt;&gt;"",'Calculations'!HU306,IF('Calculations'!HT306&lt;&gt;"",'Calculations'!HT306,IF('Calculations'!HS306&lt;&gt;"",'Calculations'!HS306,IF('Calculations'!HR306&lt;&gt;"",'Calculations'!HR306,IF('Calculations'!HQ306&lt;&gt;"",'Calculations'!HQ306,IF('Calculations'!HP306&lt;&gt;"",'Calculations'!HP306,IF('Calculations'!HO306&lt;&gt;"",'Calculations'!HO306,'Calculations'!HE306))))))))))))))))))))))</x:f>
      </x:c>
      <x:c r="HN306" t="str">
        <x:f>IF('Calculations'!EM306="","",IF(IFERROR(IF(INDEX(INDIRECT("'WCM Calibration Final'!$F$1:$F$2000"),'Calculations'!$EM306)="","",TRIM(INDEX(INDIRECT("'WCM Calibration Final'!$F$1:$F$2000"),'Calculations'!$EM306)&amp;"")),"")="","(Blank)",IFERROR(IF(INDEX(INDIRECT("'WCM Calibration Final'!$F$1:$F$2000"),'Calculations'!$EM306)="","",TRIM(INDEX(INDIRECT("'WCM Calibration Final'!$F$1:$F$2000"),'Calculations'!$EM306)&amp;"")),"")))</x:f>
      </x:c>
      <x:c r="HO306" t="str">
        <x:f>'Calculations'!HF306</x:f>
      </x:c>
      <x:c r="HP306" t="str">
        <x:f>IF('Calculations'!HO306="","",IF('Calculations'!HO306="!AMBIG","!AMBIG",IF(COUNTIF('Calculations'!$HE$13:$HE$512,"="&amp;SUBSTITUTE(SUBSTITUTE(SUBSTITUTE('Calculations'!HO306,"~","~~"),"*","~*"),"?","~?"))&gt;1,"!AMBIG",IFERROR(INDEX('Calculations'!$HF$13:$HF$512,MATCH('Calculations'!HO306,'Calculations'!$HE$13:$HE$512,0)),""))))</x:f>
      </x:c>
      <x:c r="HQ306" t="str">
        <x:f>IF('Calculations'!HP306="","",IF('Calculations'!HP306="!AMBIG","!AMBIG",IF(COUNTIF('Calculations'!$HE$13:$HE$512,"="&amp;SUBSTITUTE(SUBSTITUTE(SUBSTITUTE('Calculations'!HP306,"~","~~"),"*","~*"),"?","~?"))&gt;1,"!AMBIG",IFERROR(INDEX('Calculations'!$HF$13:$HF$512,MATCH('Calculations'!HP306,'Calculations'!$HE$13:$HE$512,0)),""))))</x:f>
      </x:c>
      <x:c r="HR306" t="str">
        <x:f>IF('Calculations'!HQ306="","",IF('Calculations'!HQ306="!AMBIG","!AMBIG",IF(COUNTIF('Calculations'!$HE$13:$HE$512,"="&amp;SUBSTITUTE(SUBSTITUTE(SUBSTITUTE('Calculations'!HQ306,"~","~~"),"*","~*"),"?","~?"))&gt;1,"!AMBIG",IFERROR(INDEX('Calculations'!$HF$13:$HF$512,MATCH('Calculations'!HQ306,'Calculations'!$HE$13:$HE$512,0)),""))))</x:f>
      </x:c>
      <x:c r="HS306" t="str">
        <x:f>IF('Calculations'!HR306="","",IF('Calculations'!HR306="!AMBIG","!AMBIG",IF(COUNTIF('Calculations'!$HE$13:$HE$512,"="&amp;SUBSTITUTE(SUBSTITUTE(SUBSTITUTE('Calculations'!HR306,"~","~~"),"*","~*"),"?","~?"))&gt;1,"!AMBIG",IFERROR(INDEX('Calculations'!$HF$13:$HF$512,MATCH('Calculations'!HR306,'Calculations'!$HE$13:$HE$512,0)),""))))</x:f>
      </x:c>
      <x:c r="HT306" t="str">
        <x:f>IF('Calculations'!HS306="","",IF('Calculations'!HS306="!AMBIG","!AMBIG",IF(COUNTIF('Calculations'!$HE$13:$HE$512,"="&amp;SUBSTITUTE(SUBSTITUTE(SUBSTITUTE('Calculations'!HS306,"~","~~"),"*","~*"),"?","~?"))&gt;1,"!AMBIG",IFERROR(INDEX('Calculations'!$HF$13:$HF$512,MATCH('Calculations'!HS306,'Calculations'!$HE$13:$HE$512,0)),""))))</x:f>
      </x:c>
      <x:c r="HU306" t="str">
        <x:f>IF('Calculations'!HT306="","",IF('Calculations'!HT306="!AMBIG","!AMBIG",IF(COUNTIF('Calculations'!$HE$13:$HE$512,"="&amp;SUBSTITUTE(SUBSTITUTE(SUBSTITUTE('Calculations'!HT306,"~","~~"),"*","~*"),"?","~?"))&gt;1,"!AMBIG",IFERROR(INDEX('Calculations'!$HF$13:$HF$512,MATCH('Calculations'!HT306,'Calculations'!$HE$13:$HE$512,0)),""))))</x:f>
      </x:c>
      <x:c r="HV306" t="str">
        <x:f>IF('Calculations'!HU306="","",IF('Calculations'!HU306="!AMBIG","!AMBIG",IF(COUNTIF('Calculations'!$HE$13:$HE$512,"="&amp;SUBSTITUTE(SUBSTITUTE(SUBSTITUTE('Calculations'!HU306,"~","~~"),"*","~*"),"?","~?"))&gt;1,"!AMBIG",IFERROR(INDEX('Calculations'!$HF$13:$HF$512,MATCH('Calculations'!HU306,'Calculations'!$HE$13:$HE$512,0)),""))))</x:f>
      </x:c>
      <x:c r="HW306" t="str">
        <x:f>IF('Calculations'!HV306="","",IF('Calculations'!HV306="!AMBIG","!AMBIG",IF(COUNTIF('Calculations'!$HE$13:$HE$512,"="&amp;SUBSTITUTE(SUBSTITUTE(SUBSTITUTE('Calculations'!HV306,"~","~~"),"*","~*"),"?","~?"))&gt;1,"!AMBIG",IFERROR(INDEX('Calculations'!$HF$13:$HF$512,MATCH('Calculations'!HV306,'Calculations'!$HE$13:$HE$512,0)),""))))</x:f>
      </x:c>
      <x:c r="HX306" t="str">
        <x:f>IF('Calculations'!HW306="","",IF('Calculations'!HW306="!AMBIG","!AMBIG",IF(COUNTIF('Calculations'!$HE$13:$HE$512,"="&amp;SUBSTITUTE(SUBSTITUTE(SUBSTITUTE('Calculations'!HW306,"~","~~"),"*","~*"),"?","~?"))&gt;1,"!AMBIG",IFERROR(INDEX('Calculations'!$HF$13:$HF$512,MATCH('Calculations'!HW306,'Calculations'!$HE$13:$HE$512,0)),""))))</x:f>
      </x:c>
      <x:c r="HY306" t="str">
        <x:f>IF('Calculations'!HX306="","",IF('Calculations'!HX306="!AMBIG","!AMBIG",IF(COUNTIF('Calculations'!$HE$13:$HE$512,"="&amp;SUBSTITUTE(SUBSTITUTE(SUBSTITUTE('Calculations'!HX306,"~","~~"),"*","~*"),"?","~?"))&gt;1,"!AMBIG",IFERROR(INDEX('Calculations'!$HF$13:$HF$512,MATCH('Calculations'!HX306,'Calculations'!$HE$13:$HE$512,0)),""))))</x:f>
      </x:c>
      <x:c r="HZ306" t="str">
        <x:f>IF('Calculations'!HY306="","",IF('Calculations'!HY306="!AMBIG","!AMBIG",IF(COUNTIF('Calculations'!$HE$13:$HE$512,"="&amp;SUBSTITUTE(SUBSTITUTE(SUBSTITUTE('Calculations'!HY306,"~","~~"),"*","~*"),"?","~?"))&gt;1,"!AMBIG",IFERROR(INDEX('Calculations'!$HF$13:$HF$512,MATCH('Calculations'!HY306,'Calculations'!$HE$13:$HE$512,0)),""))))</x:f>
      </x:c>
      <x:c r="IA306" t="str">
        <x:f>IF('Calculations'!HZ306="","",IF('Calculations'!HZ306="!AMBIG","!AMBIG",IF(COUNTIF('Calculations'!$HE$13:$HE$512,"="&amp;SUBSTITUTE(SUBSTITUTE(SUBSTITUTE('Calculations'!HZ306,"~","~~"),"*","~*"),"?","~?"))&gt;1,"!AMBIG",IFERROR(INDEX('Calculations'!$HF$13:$HF$512,MATCH('Calculations'!HZ306,'Calculations'!$HE$13:$HE$512,0)),""))))</x:f>
      </x:c>
      <x:c r="IB306" t="str">
        <x:f>IF('Calculations'!IA306="","",IF('Calculations'!IA306="!AMBIG","!AMBIG",IF(COUNTIF('Calculations'!$HE$13:$HE$512,"="&amp;SUBSTITUTE(SUBSTITUTE(SUBSTITUTE('Calculations'!IA306,"~","~~"),"*","~*"),"?","~?"))&gt;1,"!AMBIG",IFERROR(INDEX('Calculations'!$HF$13:$HF$512,MATCH('Calculations'!IA306,'Calculations'!$HE$13:$HE$512,0)),""))))</x:f>
      </x:c>
      <x:c r="IC306" t="str">
        <x:f>IF('Calculations'!IB306="","",IF('Calculations'!IB306="!AMBIG","!AMBIG",IF(COUNTIF('Calculations'!$HE$13:$HE$512,"="&amp;SUBSTITUTE(SUBSTITUTE(SUBSTITUTE('Calculations'!IB306,"~","~~"),"*","~*"),"?","~?"))&gt;1,"!AMBIG",IFERROR(INDEX('Calculations'!$HF$13:$HF$512,MATCH('Calculations'!IB306,'Calculations'!$HE$13:$HE$512,0)),""))))</x:f>
      </x:c>
      <x:c r="ID306" t="str">
        <x:f>IF('Calculations'!IC306="","",IF('Calculations'!IC306="!AMBIG","!AMBIG",IF(COUNTIF('Calculations'!$HE$13:$HE$512,"="&amp;SUBSTITUTE(SUBSTITUTE(SUBSTITUTE('Calculations'!IC306,"~","~~"),"*","~*"),"?","~?"))&gt;1,"!AMBIG",IFERROR(INDEX('Calculations'!$HF$13:$HF$512,MATCH('Calculations'!IC306,'Calculations'!$HE$13:$HE$512,0)),""))))</x:f>
      </x:c>
      <x:c r="IE306" t="str">
        <x:f>IF('Calculations'!ID306="","",IF('Calculations'!ID306="!AMBIG","!AMBIG",IF(COUNTIF('Calculations'!$HE$13:$HE$512,"="&amp;SUBSTITUTE(SUBSTITUTE(SUBSTITUTE('Calculations'!ID306,"~","~~"),"*","~*"),"?","~?"))&gt;1,"!AMBIG",IFERROR(INDEX('Calculations'!$HF$13:$HF$512,MATCH('Calculations'!ID306,'Calculations'!$HE$13:$HE$512,0)),""))))</x:f>
      </x:c>
      <x:c r="IF306" t="str">
        <x:f>IF('Calculations'!IE306="","",IF('Calculations'!IE306="!AMBIG","!AMBIG",IF(COUNTIF('Calculations'!$HE$13:$HE$512,"="&amp;SUBSTITUTE(SUBSTITUTE(SUBSTITUTE('Calculations'!IE306,"~","~~"),"*","~*"),"?","~?"))&gt;1,"!AMBIG",IFERROR(INDEX('Calculations'!$HF$13:$HF$512,MATCH('Calculations'!IE306,'Calculations'!$HE$13:$HE$512,0)),""))))</x:f>
      </x:c>
      <x:c r="IG306" t="str">
        <x:f>IF('Calculations'!IF306="","",IF('Calculations'!IF306="!AMBIG","!AMBIG",IF(COUNTIF('Calculations'!$HE$13:$HE$512,"="&amp;SUBSTITUTE(SUBSTITUTE(SUBSTITUTE('Calculations'!IF306,"~","~~"),"*","~*"),"?","~?"))&gt;1,"!AMBIG",IFERROR(INDEX('Calculations'!$HF$13:$HF$512,MATCH('Calculations'!IF306,'Calculations'!$HE$13:$HE$512,0)),""))))</x:f>
      </x:c>
      <x:c r="IH306" t="str">
        <x:f>IF('Calculations'!IG306="","",IF('Calculations'!IG306="!AMBIG","!AMBIG",IF(COUNTIF('Calculations'!$HE$13:$HE$512,"="&amp;SUBSTITUTE(SUBSTITUTE(SUBSTITUTE('Calculations'!IG306,"~","~~"),"*","~*"),"?","~?"))&gt;1,"!AMBIG",IFERROR(INDEX('Calculations'!$HF$13:$HF$512,MATCH('Calculations'!IG306,'Calculations'!$HE$13:$HE$512,0)),""))))</x:f>
      </x:c>
      <x:c r="II306" t="str">
        <x:f>IF('Calculations'!IH306="","",IF('Calculations'!IH306="!AMBIG","!AMBIG",IF(COUNTIF('Calculations'!$HE$13:$HE$512,"="&amp;SUBSTITUTE(SUBSTITUTE(SUBSTITUTE('Calculations'!IH306,"~","~~"),"*","~*"),"?","~?"))&gt;1,"!AMBIG",IFERROR(INDEX('Calculations'!$HF$13:$HF$512,MATCH('Calculations'!IH306,'Calculations'!$HE$13:$HE$512,0)),""))))</x:f>
      </x:c>
      <x:c r="IJ306" t="str">
        <x:f>IF('Calculations'!EM306="","",IF('Calculations'!$EF$2="All",'Calculations'!HM306,IF('Calculations'!HL306=1,"",IFERROR(IF(MATCH('Calculations'!$EF$2,'Calculations'!HO306:II306,0)=1,'Calculations'!HE306,INDEX('Calculations'!HO306:II306,1,MATCH('Calculations'!$EF$2,'Calculations'!HO306:II306,0)-1)),""))))</x:f>
      </x:c>
      <x:c r="IK306" t="n">
        <x:f>IF(AND('Calculations'!EM306&lt;&gt;"",'Calculations'!$EF$2&lt;&gt;"All",'Calculations'!HF306='Calculations'!$EF$2,'Calculations'!HL306=0,'Calculations'!JD306&gt;0),MAX('Calculations'!$IK$12:IK305)+1,0)</x:f>
        <x:v>0</x:v>
      </x:c>
      <x:c r="JA306" t="n">
        <x:f>IF(OR(IFERROR(INDIRECT("'WCM Calibration Final'!$A$306")&lt;&gt;"",FALSE),IFERROR(INDIRECT("'WCM Calibration Final'!$B$306")&lt;&gt;"",FALSE),IFERROR(INDIRECT("'WCM Calibration Final'!$C$306")&lt;&gt;"",FALSE)),306,0)</x:f>
        <x:v>0</x:v>
      </x:c>
      <x:c r="JB306" t="n">
        <x:f>'Calculations'!JB305+IF('Calculations'!JA306&gt;0,1,0)</x:f>
        <x:v>0</x:v>
      </x:c>
      <x:c r="JC306" t="n">
        <x:f>IF(OR('Calculations'!HF306="",'Calculations'!HF306="!AMBIG"),0,IF('Dashboard'!$B$7="All",1,COUNTIFS('Calculations'!$HO$13:$HO$512,"="&amp;SUBSTITUTE(SUBSTITUTE(SUBSTITUTE('Calculations'!HF306,"~","~~"),"*","~*"),"?","~?"),'Calculations'!$HN$13:$HN$512,"="&amp;SUBSTITUTE(SUBSTITUTE(SUBSTITUTE('Dashboard'!$B$7,"~","~~"),"*","~*"),"?","~?"))+COUNTIFS('Calculations'!$HP$13:$HP$512,"="&amp;SUBSTITUTE(SUBSTITUTE(SUBSTITUTE('Calculations'!HF306,"~","~~"),"*","~*"),"?","~?"),'Calculations'!$HN$13:$HN$512,"="&amp;SUBSTITUTE(SUBSTITUTE(SUBSTITUTE('Dashboard'!$B$7,"~","~~"),"*","~*"),"?","~?"))+COUNTIFS('Calculations'!$HQ$13:$HQ$512,"="&amp;SUBSTITUTE(SUBSTITUTE(SUBSTITUTE('Calculations'!HF306,"~","~~"),"*","~*"),"?","~?"),'Calculations'!$HN$13:$HN$512,"="&amp;SUBSTITUTE(SUBSTITUTE(SUBSTITUTE('Dashboard'!$B$7,"~","~~"),"*","~*"),"?","~?"))+COUNTIFS('Calculations'!$HR$13:$HR$512,"="&amp;SUBSTITUTE(SUBSTITUTE(SUBSTITUTE('Calculations'!HF306,"~","~~"),"*","~*"),"?","~?"),'Calculations'!$HN$13:$HN$512,"="&amp;SUBSTITUTE(SUBSTITUTE(SUBSTITUTE('Dashboard'!$B$7,"~","~~"),"*","~*"),"?","~?"))+COUNTIFS('Calculations'!$HS$13:$HS$512,"="&amp;SUBSTITUTE(SUBSTITUTE(SUBSTITUTE('Calculations'!HF306,"~","~~"),"*","~*"),"?","~?"),'Calculations'!$HN$13:$HN$512,"="&amp;SUBSTITUTE(SUBSTITUTE(SUBSTITUTE('Dashboard'!$B$7,"~","~~"),"*","~*"),"?","~?"))+COUNTIFS('Calculations'!$HT$13:$HT$512,"="&amp;SUBSTITUTE(SUBSTITUTE(SUBSTITUTE('Calculations'!HF306,"~","~~"),"*","~*"),"?","~?"),'Calculations'!$HN$13:$HN$512,"="&amp;SUBSTITUTE(SUBSTITUTE(SUBSTITUTE('Dashboard'!$B$7,"~","~~"),"*","~*"),"?","~?"))+COUNTIFS('Calculations'!$HU$13:$HU$512,"="&amp;SUBSTITUTE(SUBSTITUTE(SUBSTITUTE('Calculations'!HF306,"~","~~"),"*","~*"),"?","~?"),'Calculations'!$HN$13:$HN$512,"="&amp;SUBSTITUTE(SUBSTITUTE(SUBSTITUTE('Dashboard'!$B$7,"~","~~"),"*","~*"),"?","~?"))+COUNTIFS('Calculations'!$HV$13:$HV$512,"="&amp;SUBSTITUTE(SUBSTITUTE(SUBSTITUTE('Calculations'!HF306,"~","~~"),"*","~*"),"?","~?"),'Calculations'!$HN$13:$HN$512,"="&amp;SUBSTITUTE(SUBSTITUTE(SUBSTITUTE('Dashboard'!$B$7,"~","~~"),"*","~*"),"?","~?"))+COUNTIFS('Calculations'!$HW$13:$HW$512,"="&amp;SUBSTITUTE(SUBSTITUTE(SUBSTITUTE('Calculations'!HF306,"~","~~"),"*","~*"),"?","~?"),'Calculations'!$HN$13:$HN$512,"="&amp;SUBSTITUTE(SUBSTITUTE(SUBSTITUTE('Dashboard'!$B$7,"~","~~"),"*","~*"),"?","~?"))+COUNTIFS('Calculations'!$HX$13:$HX$512,"="&amp;SUBSTITUTE(SUBSTITUTE(SUBSTITUTE('Calculations'!HF306,"~","~~"),"*","~*"),"?","~?"),'Calculations'!$HN$13:$HN$512,"="&amp;SUBSTITUTE(SUBSTITUTE(SUBSTITUTE('Dashboard'!$B$7,"~","~~"),"*","~*"),"?","~?"))+COUNTIFS('Calculations'!$HY$13:$HY$512,"="&amp;SUBSTITUTE(SUBSTITUTE(SUBSTITUTE('Calculations'!HF306,"~","~~"),"*","~*"),"?","~?"),'Calculations'!$HN$13:$HN$512,"="&amp;SUBSTITUTE(SUBSTITUTE(SUBSTITUTE('Dashboard'!$B$7,"~","~~"),"*","~*"),"?","~?"))+COUNTIFS('Calculations'!$HZ$13:$HZ$512,"="&amp;SUBSTITUTE(SUBSTITUTE(SUBSTITUTE('Calculations'!HF306,"~","~~"),"*","~*"),"?","~?"),'Calculations'!$HN$13:$HN$512,"="&amp;SUBSTITUTE(SUBSTITUTE(SUBSTITUTE('Dashboard'!$B$7,"~","~~"),"*","~*"),"?","~?"))+COUNTIFS('Calculations'!$IA$13:$IA$512,"="&amp;SUBSTITUTE(SUBSTITUTE(SUBSTITUTE('Calculations'!HF306,"~","~~"),"*","~*"),"?","~?"),'Calculations'!$HN$13:$HN$512,"="&amp;SUBSTITUTE(SUBSTITUTE(SUBSTITUTE('Dashboard'!$B$7,"~","~~"),"*","~*"),"?","~?"))+COUNTIFS('Calculations'!$IB$13:$IB$512,"="&amp;SUBSTITUTE(SUBSTITUTE(SUBSTITUTE('Calculations'!HF306,"~","~~"),"*","~*"),"?","~?"),'Calculations'!$HN$13:$HN$512,"="&amp;SUBSTITUTE(SUBSTITUTE(SUBSTITUTE('Dashboard'!$B$7,"~","~~"),"*","~*"),"?","~?"))+COUNTIFS('Calculations'!$IC$13:$IC$512,"="&amp;SUBSTITUTE(SUBSTITUTE(SUBSTITUTE('Calculations'!HF306,"~","~~"),"*","~*"),"?","~?"),'Calculations'!$HN$13:$HN$512,"="&amp;SUBSTITUTE(SUBSTITUTE(SUBSTITUTE('Dashboard'!$B$7,"~","~~"),"*","~*"),"?","~?"))+COUNTIFS('Calculations'!$ID$13:$ID$512,"="&amp;SUBSTITUTE(SUBSTITUTE(SUBSTITUTE('Calculations'!HF306,"~","~~"),"*","~*"),"?","~?"),'Calculations'!$HN$13:$HN$512,"="&amp;SUBSTITUTE(SUBSTITUTE(SUBSTITUTE('Dashboard'!$B$7,"~","~~"),"*","~*"),"?","~?"))+COUNTIFS('Calculations'!$IE$13:$IE$512,"="&amp;SUBSTITUTE(SUBSTITUTE(SUBSTITUTE('Calculations'!HF306,"~","~~"),"*","~*"),"?","~?"),'Calculations'!$HN$13:$HN$512,"="&amp;SUBSTITUTE(SUBSTITUTE(SUBSTITUTE('Dashboard'!$B$7,"~","~~"),"*","~*"),"?","~?"))+COUNTIFS('Calculations'!$IF$13:$IF$512,"="&amp;SUBSTITUTE(SUBSTITUTE(SUBSTITUTE('Calculations'!HF306,"~","~~"),"*","~*"),"?","~?"),'Calculations'!$HN$13:$HN$512,"="&amp;SUBSTITUTE(SUBSTITUTE(SUBSTITUTE('Dashboard'!$B$7,"~","~~"),"*","~*"),"?","~?"))+COUNTIFS('Calculations'!$IG$13:$IG$512,"="&amp;SUBSTITUTE(SUBSTITUTE(SUBSTITUTE('Calculations'!HF306,"~","~~"),"*","~*"),"?","~?"),'Calculations'!$HN$13:$HN$512,"="&amp;SUBSTITUTE(SUBSTITUTE(SUBSTITUTE('Dashboard'!$B$7,"~","~~"),"*","~*"),"?","~?"))+COUNTIFS('Calculations'!$IH$13:$IH$512,"="&amp;SUBSTITUTE(SUBSTITUTE(SUBSTITUTE('Calculations'!HF306,"~","~~"),"*","~*"),"?","~?"),'Calculations'!$HN$13:$HN$512,"="&amp;SUBSTITUTE(SUBSTITUTE(SUBSTITUTE('Dashboard'!$B$7,"~","~~"),"*","~*"),"?","~?"))))</x:f>
        <x:v>0</x:v>
      </x:c>
      <x:c r="JD306" t="n">
        <x:f>IF('Calculations'!EM306="",0,IF('Dashboard'!$B$7="All",1,IF('Calculations'!HN306='Dashboard'!$B$7,1,0)+IFERROR(INDEX('Calculations'!$JC$13:$JC$512,MATCH('Calculations'!HE306,'Calculations'!$HF$13:$HF$512,0)),0)))</x:f>
        <x:v>0</x:v>
      </x:c>
      <x:c r="JE306" t="n">
        <x:f>IF(AND('Calculations'!EM306&lt;&gt;"",'Calculations'!$JJ$2&lt;&gt;"All",'Calculations'!$JJ$2&lt;&gt;"",'Calculations'!HF306='Calculations'!$JJ$2,'Calculations'!HL306=0,'Calculations'!JD306&gt;0),MAX('Calculations'!$JE$12:JE305)+1,0)</x:f>
        <x:v>0</x:v>
      </x:c>
      <x:c r="JF306" t="str">
        <x:f>IF('Calculations'!EM306="","",IFERROR(IF(INDEX(INDIRECT("'WCM Calibration Final'!$G$1:$G$2000"),'Calculations'!$EM306)="","",TRIM(INDEX(INDIRECT("'WCM Calibration Final'!$G$1:$G$2000"),'Calculations'!$EM306)&amp;"")),""))</x:f>
      </x:c>
      <x:c r="JQ306" t="n">
        <x:f>IF(OR('Calculations'!BM306=0,NOT('Calculations'!$AG$2),'Calculations'!$AG$8&gt;0),0,IF(OR('Dashboard'!$B$7="All",'Calculations'!HN306='Dashboard'!$B$7),IF('Calculations'!$JJ$2="All",1,IF(AND('Calculations'!HF306='Calculations'!$JJ$2,'Calculations'!HL306=0),1,0)),0))</x:f>
        <x:v>0</x:v>
      </x:c>
    </x:row>
    <x:row r="307">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t="n">
        <x:f>IF('Calculations'!$EM307="",0,IF(OR(IFERROR(INDEX(INDIRECT("'WCM Calibration Final'!$A$1:$A$2000"),'Calculations'!$EM307)&lt;&gt;"",FALSE),IFERROR(INDEX(INDIRECT("'WCM Calibration Final'!$B$1:$B$2000"),'Calculations'!$EM307)&lt;&gt;"",FALSE),IFERROR(INDEX(INDIRECT("'WCM Calibration Final'!$C$1:$C$2000"),'Calculations'!$EM307)&lt;&gt;"",FALSE)),1,0))</x:f>
        <x:v>0</x:v>
      </x:c>
      <x:c r="BN307" s="4" t="n">
        <x:f>IF(AND('Calculations'!BM307=1,'Calculations'!$AG$2,'Calculations'!$EN307=1),1,0)</x:f>
        <x:v>0</x:v>
      </x:c>
      <x:c r="BO307" s="4" t="str">
        <x:f>IF('Calculations'!BM307=0,"",IFERROR(IF(AND(VALUE(INDEX(INDIRECT("'WCM Calibration Final'!$K$1:$K$2000"),'Calculations'!$EM307))&gt;=1,VALUE(INDEX(INDIRECT("'WCM Calibration Final'!$K$1:$K$2000"),'Calculations'!$EM307))&lt;=4,MOD(VALUE(INDEX(INDIRECT("'WCM Calibration Final'!$K$1:$K$2000"),'Calculations'!$EM307)),1)=0),VALUE(INDEX(INDIRECT("'WCM Calibration Final'!$K$1:$K$2000"),'Calculations'!$EM307)),""),""))</x:f>
      </x:c>
      <x:c r="BP307" s="4" t="str">
        <x:f>IF('Calculations'!BM307=0,"",IFERROR(IF(AND(VALUE(INDEX(INDIRECT("'WCM Calibration Final'!$L$1:$L$2000"),'Calculations'!$EM307))&gt;=1,VALUE(INDEX(INDIRECT("'WCM Calibration Final'!$L$1:$L$2000"),'Calculations'!$EM307))&lt;=4,MOD(VALUE(INDEX(INDIRECT("'WCM Calibration Final'!$L$1:$L$2000"),'Calculations'!$EM307)),1)=0),VALUE(INDEX(INDIRECT("'WCM Calibration Final'!$L$1:$L$2000"),'Calculations'!$EM307)),""),""))</x:f>
      </x:c>
      <x:c r="BQ307" s="4"/>
      <x:c r="BR307" s="4"/>
      <x:c r="BS307" s="4"/>
      <x:c r="BT307" s="4" t="n">
        <x:f>IF(AND('Calculations'!BM307=1,ISNUMBER('Calculations'!BO307),ISNUMBER('Calculations'!BP307)),1,0)</x:f>
        <x:v>0</x:v>
      </x:c>
      <x:c r="BU307" s="4" t="str">
        <x:f>IF('Calculations'!BM307=0,"",'Calculations'!$EO307)</x:f>
      </x:c>
      <x:c r="BV307" s="4" t="str">
        <x:f>IF('Calculations'!BM307=0,"",IFERROR(IF(OR(INDEX(INDIRECT("'WCM Calibration Final'!$H$1:$H$2000"),'Calculations'!$EM307)="MANAGING DIRECTOR",INDEX(INDIRECT("'WCM Calibration Final'!$H$1:$H$2000"),'Calculations'!$EM307)="DIRECTOR",INDEX(INDIRECT("'WCM Calibration Final'!$H$1:$H$2000"),'Calculations'!$EM307)="SENIOR VICE PRESIDENT",INDEX(INDIRECT("'WCM Calibration Final'!$H$1:$H$2000"),'Calculations'!$EM307)="VICE PRESIDENT",INDEX(INDIRECT("'WCM Calibration Final'!$H$1:$H$2000"),'Calculations'!$EM307)="ASSISTANT VICE PRESIDENT",INDEX(INDIRECT("'WCM Calibration Final'!$H$1:$H$2000"),'Calculations'!$EM307)="OFFICER"),UPPER(INDEX(INDIRECT("'WCM Calibration Final'!$H$1:$H$2000"),'Calculations'!$EM307)),"Other"),"Other"))</x:f>
      </x:c>
      <x:c r="BW307" s="4"/>
      <x:c r="BX307" s="4"/>
      <x:c r="BY307" s="4" t="n">
        <x:f>IF(AND('Calculations'!BM307=1,'Calculations'!BU307&lt;&gt;"",COUNTIF('Calculations'!$BU$12:BU307,'Calculations'!BU307)=1),MAX('Calculations'!$BY$11:BY306)+1,0)</x:f>
        <x:v>0</x:v>
      </x:c>
      <x:c r="BZ307" s="4" t="str">
        <x:f>IF('Dashboard'!$E$67="What",'Calculations'!BO307,'Calculations'!BP307)</x:f>
      </x:c>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t="str">
        <x:f>IF(296&gt;MAX('Calculations'!$HI$13:$HI$512),"",INDEX('Calculations'!$HN$13:$HN$512,MATCH(296,'Calculations'!$HI$13:$HI$512,0)))</x:f>
      </x:c>
      <x:c r="DB307" s="4" t="str">
        <x:f>IF(296&gt;MAX('Calculations'!$HH$13:$HH$512),"",INDEX('Calculations'!$HJ$13:$HJ$512,MATCH(296,'Calculations'!$HH$13:$HH$512,0)))</x:f>
      </x:c>
      <x:c r="DC307" s="4" t="str">
        <x:f>IF(ROW()-11&gt;MAX('Calculations'!$BY$13:$BY$512),"",INDEX('Calculations'!$BU$13:$BU$512,MATCH(ROW()-11,'Calculations'!$BY$13:$BY$512,0)))</x:f>
      </x:c>
      <x:c r="DD307" s="4" t="str">
        <x:f>IF(296&gt;MAX('Calculations'!$IK$13:$IK$512),"",INDEX('Calculations'!$HK$13:$HK$512,MATCH(296,'Calculations'!$IK$13:$IK$512,0)))</x:f>
      </x:c>
      <x:c r="DE307" s="4" t="str">
        <x:f>'Calculations'!DC307</x:f>
      </x:c>
      <x:c r="DF307" s="4" t="str">
        <x:f>IF('Calculations'!DE307="","",COUNTIFS('Calculations'!$BN$13:$BN$512,1,'Calculations'!$BU$13:$BU$512,'Calculations'!DE307))</x:f>
      </x:c>
      <x:c r="DG307" s="4" t="str">
        <x:f>IF('Calculations'!DE307="","",COUNTIFS('Calculations'!$BN$13:$BN$512,1,'Calculations'!$BU$13:$BU$512,'Calculations'!DE307,'Calculations'!$BT$13:$BT$512,1))</x:f>
      </x:c>
      <x:c r="DH307" s="4" t="str">
        <x:f>IF('Calculations'!DE307="","",'Calculations'!DF307-'Calculations'!DG307)</x:f>
      </x:c>
      <x:c r="DI307" s="4" t="str">
        <x:f>IF(OR('Calculations'!DE307="",'Calculations'!DF307=0),"",'Calculations'!DG307/'Calculations'!DF307)</x:f>
      </x:c>
      <x:c r="DJ307" s="4" t="str">
        <x:f>IF('Calculations'!DE307="","",COUNTIFS('Calculations'!$BN$13:$BN$512,1,'Calculations'!$BU$13:$BU$512,'Calculations'!DE307,'Calculations'!$BT$13:$BT$512,1,'Calculations'!$EE$13:$EE$512,"High"))</x:f>
      </x:c>
      <x:c r="DK307" s="4" t="str">
        <x:f>IF('Calculations'!DE307="","",COUNTIFS('Calculations'!$BN$13:$BN$512,1,'Calculations'!$BU$13:$BU$512,'Calculations'!DE307,'Calculations'!$BT$13:$BT$512,1,'Calculations'!$EE$13:$EE$512,"Strong"))</x:f>
      </x:c>
      <x:c r="DL307" s="4" t="str">
        <x:f>IF('Calculations'!DE307="","",COUNTIFS('Calculations'!$BN$13:$BN$512,1,'Calculations'!$BU$13:$BU$512,'Calculations'!DE307,'Calculations'!$BT$13:$BT$512,1,'Calculations'!$EE$13:$EE$512,"Solid"))</x:f>
      </x:c>
      <x:c r="DM307" s="4" t="str">
        <x:f>IF('Calculations'!DE307="","",COUNTIFS('Calculations'!$BN$13:$BN$512,1,'Calculations'!$BU$13:$BU$512,'Calculations'!DE307,'Calculations'!$BT$13:$BT$512,1,'Calculations'!$EE$13:$EE$512,"Low"))</x:f>
      </x:c>
      <x:c r="DN307" s="4" t="str">
        <x:f>IF('Calculations'!DE307="","",COUNTIFS('Calculations'!$BN$13:$BN$512,1,'Calculations'!$BU$13:$BU$512,'Calculations'!DE307,'Calculations'!$EP$13:$EP$512,1))</x:f>
      </x:c>
      <x:c r="DO307" s="4" t="str">
        <x:f>IF(OR('Calculations'!DE307="",'Calculations'!DG307=0),"",('Calculations'!DJ307+'Calculations'!DK307)/'Calculations'!DG307)</x:f>
      </x:c>
      <x:c r="DP307" s="4" t="n">
        <x:f>IF(AND('Calculations'!DE307&lt;&gt;"",'Calculations'!DF307&gt;0),COUNTIF('Calculations'!$DF$12:DF307,"&gt;0"),0)</x:f>
        <x:v>0</x:v>
      </x:c>
      <x:c r="DQ307" s="4" t="str">
        <x:f>IF(296&gt;MAX('Calculations'!$HH$13:$HH$512),"",INDEX('Calculations'!$HF$13:$HF$512,MATCH(296,'Calculations'!$HH$13:$HH$512,0)))</x:f>
      </x:c>
      <x:c r="DR307" s="4" t="str">
        <x:f>IF(296&gt;MAX('Calculations'!$IK$13:$IK$512),"",INDEX('Calculations'!$HE$13:$HE$512,MATCH(296,'Calculations'!$IK$13:$IK$512,0)))</x:f>
      </x:c>
      <x:c r="DS307" s="4"/>
      <x:c r="DT307" s="4"/>
      <x:c r="DU307" s="4"/>
      <x:c r="DV307" s="4"/>
      <x:c r="DW307" s="4"/>
      <x:c r="DX307" s="4"/>
      <x:c r="DY307" s="4"/>
      <x:c r="DZ307" s="4"/>
      <x:c r="EA307" s="4"/>
      <x:c r="EB307" s="4"/>
      <x:c r="EC307" s="4"/>
      <x:c r="ED307" s="4"/>
      <x:c r="EE307" s="4" t="str">
        <x:f>IF('Calculations'!BT307=0,"Not Rated",IF(OR('Calculations'!BO307&gt;=4,'Calculations'!BP307&gt;=4),"Low",IF('Calculations'!BO307+'Calculations'!BP307&lt;=3,"High",IF('Calculations'!BO307+'Calculations'!BP307&lt;=4,"Strong","Solid"))))</x:f>
        <x:v>Not Rated</x:v>
      </x:c>
      <x:c r="EF307" s="4"/>
      <x:c r="EG307" s="4"/>
      <x:c r="EH307" s="4"/>
      <x:c r="EI307" s="4"/>
      <x:c r="EJ307" s="4"/>
      <x:c r="EK307" s="4"/>
      <x:c r="EL307" s="4"/>
      <x:c r="EM307" s="4" t="str">
        <x:f>IF(295&gt;'Calculations'!$JB$2000,"",INDEX('Calculations'!$JA$12:$JA$2000,MATCH(295,'Calculations'!$JB$12:$JB$2000,0)))</x:f>
      </x:c>
      <x:c r="EN307" s="4" t="n">
        <x:f>IF(OR('Calculations'!EM307="",'Calculations'!$AG$8&gt;0,AND('Calculations'!$EF$2&lt;&gt;"All",'Calculations'!HE307='Calculations'!$EF$2),AND('Calculations'!$EF$3&lt;&gt;"All",'Calculations'!HE307='Calculations'!$EF$3)),0,IF(OR('Dashboard'!$B$7="All",'Calculations'!HN307='Dashboard'!$B$7),IF('Calculations'!$EF$2="All",1,IF('Calculations'!HL307&gt;0,0,IF(COUNTIF('Calculations'!HO307:II307,"="&amp;SUBSTITUTE(SUBSTITUTE(SUBSTITUTE('Calculations'!$EF$2,"~","~~"),"*","~*"),"?","~?"))=0,0,IF('Calculations'!$EF$3="All",1,IF(COUNTIF('Calculations'!HO307:II307,"="&amp;SUBSTITUTE(SUBSTITUTE(SUBSTITUTE('Calculations'!$EF$3,"~","~~"),"*","~*"),"?","~?"))&gt;0,1,0))))),0))</x:f>
        <x:v>0</x:v>
      </x:c>
      <x:c r="EO307" s="4" t="str">
        <x:f>IF('Calculations'!IJ307="","",IF('Calculations'!IJ307="!UNRESOLVED","Unresolved hierarchy",IFERROR(INDEX('Calculations'!$HK$13:$HK$512,MATCH('Calculations'!IJ307,'Calculations'!$HE$13:$HE$512,0)),IFERROR(INDEX('Calculations'!$HJ$13:$HJ$512,MATCH('Calculations'!IJ307,'Calculations'!$HF$13:$HF$512,0)),'Calculations'!IJ307))))</x:f>
      </x:c>
      <x:c r="EP307" s="4" t="n">
        <x:f>IF(AND('Calculations'!EM307&lt;&gt;"",'Calculations'!HF307='Calculations'!IJ307),1,0)</x:f>
        <x:v>0</x:v>
      </x:c>
      <x:c r="EQ307" s="4"/>
      <x:c r="ER307" s="4"/>
      <x:c r="ES307" s="4"/>
      <x:c r="ET307" s="4"/>
      <x:c r="EU307" s="4"/>
      <x:c r="EV307" s="4"/>
      <x:c r="EW307" s="4"/>
      <x:c r="EX307" s="4"/>
      <x:c r="EY307" s="4"/>
      <x:c r="EZ307" s="4"/>
      <x:c r="FA307" s="4"/>
      <x:c r="FB307" s="4"/>
      <x:c r="FC307" s="4"/>
      <x:c r="FD307" s="4"/>
      <x:c r="FE307" s="4"/>
      <x:c r="FF307" s="4"/>
      <x:c r="FG307" s="4"/>
      <x:c r="FH307" s="4"/>
      <x:c r="FI307" s="4"/>
      <x:c r="FJ307" s="4"/>
      <x:c r="FK307" s="4"/>
      <x:c r="FL307" s="4"/>
      <x:c r="FM307" s="4"/>
      <x:c r="FN307" s="4"/>
      <x:c r="FO307" s="4"/>
      <x:c r="HE307" t="str">
        <x:f>IF('Calculations'!EM307="","",IF(IFERROR(IF(INDEX(INDIRECT("'WCM Calibration Final'!$A$1:$A$2000"),'Calculations'!$EM307)="","",TRIM(INDEX(INDIRECT("'WCM Calibration Final'!$A$1:$A$2000"),'Calculations'!$EM307)&amp;"")),"")&lt;&gt;"","G:"&amp;IFERROR(TEXT(1*INDEX(INDIRECT("'WCM Calibration Final'!$A$1:$A$2000"),'Calculations'!$EM307),"0"),UPPER(IFERROR(IF(INDEX(INDIRECT("'WCM Calibration Final'!$A$1:$A$2000"),'Calculations'!$EM307)="","",TRIM(INDEX(INDIRECT("'WCM Calibration Final'!$A$1:$A$2000"),'Calculations'!$EM307)&amp;"")),""))),IF(IFERROR(IF(INDEX(INDIRECT("'WCM Calibration Final'!$C$1:$C$2000"),'Calculations'!$EM307)="","",TRIM(INDEX(INDIRECT("'WCM Calibration Final'!$C$1:$C$2000"),'Calculations'!$EM307)&amp;"")),"")&lt;&gt;"","S:"&amp;UPPER(IFERROR(IF(INDEX(INDIRECT("'WCM Calibration Final'!$C$1:$C$2000"),'Calculations'!$EM307)="","",TRIM(INDEX(INDIRECT("'WCM Calibration Final'!$C$1:$C$2000"),'Calculations'!$EM307)&amp;"")),"")),"R:"&amp;'Calculations'!EM307)))</x:f>
      </x:c>
      <x:c r="HF307" t="str">
        <x:f>IF('Calculations'!EM307="","",IF(IFERROR(IF(INDEX(INDIRECT("'WCM Calibration Final'!$D$1:$D$2000"),'Calculations'!$EM307)="","",TRIM(INDEX(INDIRECT("'WCM Calibration Final'!$D$1:$D$2000"),'Calculations'!$EM307)&amp;"")),"")&lt;&gt;"","G:"&amp;IFERROR(TEXT(1*INDEX(INDIRECT("'WCM Calibration Final'!$D$1:$D$2000"),'Calculations'!$EM307),"0"),UPPER(IFERROR(IF(INDEX(INDIRECT("'WCM Calibration Final'!$D$1:$D$2000"),'Calculations'!$EM307)="","",TRIM(INDEX(INDIRECT("'WCM Calibration Final'!$D$1:$D$2000"),'Calculations'!$EM307)&amp;"")),""))),IF(IFERROR(IF(INDEX(INDIRECT("'WCM Calibration Final'!$E$1:$E$2000"),'Calculations'!$EM307)="","",TRIM(INDEX(INDIRECT("'WCM Calibration Final'!$E$1:$E$2000"),'Calculations'!$EM307)&amp;"")),"")="","",IF(COUNTIF('Calculations'!$HG$13:$HG$512,"="&amp;SUBSTITUTE(SUBSTITUTE(SUBSTITUTE(IFERROR(IF(INDEX(INDIRECT("'WCM Calibration Final'!$E$1:$E$2000"),'Calculations'!$EM307)="","",TRIM(INDEX(INDIRECT("'WCM Calibration Final'!$E$1:$E$2000"),'Calculations'!$EM307)&amp;"")),""),"~","~~"),"*","~*"),"?","~?"))=1,INDEX('Calculations'!$HE$13:$HE$512,MATCH(IFERROR(IF(INDEX(INDIRECT("'WCM Calibration Final'!$E$1:$E$2000"),'Calculations'!$EM307)="","",TRIM(INDEX(INDIRECT("'WCM Calibration Final'!$E$1:$E$2000"),'Calculations'!$EM307)&amp;"")),""),'Calculations'!$HG$13:$HG$512,0)),IF(COUNTIF('Calculations'!$HG$13:$HG$512,"="&amp;SUBSTITUTE(SUBSTITUTE(SUBSTITUTE(IFERROR(IF(INDEX(INDIRECT("'WCM Calibration Final'!$E$1:$E$2000"),'Calculations'!$EM307)="","",TRIM(INDEX(INDIRECT("'WCM Calibration Final'!$E$1:$E$2000"),'Calculations'!$EM307)&amp;"")),""),"~","~~"),"*","~*"),"?","~?"))&gt;1,"!AMBIG","X:"&amp;IFERROR(IF(INDEX(INDIRECT("'WCM Calibration Final'!$E$1:$E$2000"),'Calculations'!$EM307)="","",TRIM(INDEX(INDIRECT("'WCM Calibration Final'!$E$1:$E$2000"),'Calculations'!$EM307)&amp;"")),""))))))</x:f>
      </x:c>
      <x:c r="HG307" t="str">
        <x:f>IF('Calculations'!EM307="","",IFERROR(IF(INDEX(INDIRECT("'WCM Calibration Final'!$B$1:$B$2000"),'Calculations'!$EM307)="","",TRIM(INDEX(INDIRECT("'WCM Calibration Final'!$B$1:$B$2000"),'Calculations'!$EM307)&amp;"")),""))</x:f>
      </x:c>
      <x:c r="HH307" t="n">
        <x:f>IF(AND('Calculations'!JC307&gt;0,COUNTIF('Calculations'!$HF$12:HF307,"="&amp;SUBSTITUTE(SUBSTITUTE(SUBSTITUTE('Calculations'!HF307,"~","~~"),"*","~*"),"?","~?"))=1),MAX('Calculations'!$HH$12:HH306)+1,0)</x:f>
        <x:v>0</x:v>
      </x:c>
      <x:c r="HI307" t="n">
        <x:f>IF(AND('Calculations'!HN307&lt;&gt;"",COUNTIF('Calculations'!$HN$12:HN307,"="&amp;SUBSTITUTE(SUBSTITUTE(SUBSTITUTE('Calculations'!HN307,"~","~~"),"*","~*"),"?","~?"))=1),MAX('Calculations'!$HI$12:HI306)+1,0)</x:f>
        <x:v>0</x:v>
      </x:c>
      <x:c r="HJ307" t="str">
        <x:f>IF('Calculations'!HF307="","",IF(COUNTIF('Calculations'!$HE$13:$HE$512,"="&amp;SUBSTITUTE(SUBSTITUTE(SUBSTITUTE('Calculations'!HF307,"~","~~"),"*","~*"),"?","~?"))=1,INDEX('Calculations'!$HK$13:$HK$512,MATCH('Calculations'!HF307,'Calculations'!$HE$13:$HE$512,0)),IFERROR(IF(INDEX(INDIRECT("'WCM Calibration Final'!$E$1:$E$2000"),'Calculations'!$EM307)="","",TRIM(INDEX(INDIRECT("'WCM Calibration Final'!$E$1:$E$2000"),'Calculations'!$EM307)&amp;"")),"")&amp;" ["&amp;'Calculations'!HF307&amp;"]"))</x:f>
      </x:c>
      <x:c r="HK307" t="str">
        <x:f>IF('Calculations'!EM307="","",'Calculations'!HG307&amp;" ["&amp;'Calculations'!HE307&amp;"]")</x:f>
      </x:c>
      <x:c r="HL307" t="n">
        <x:f>IF('Calculations'!EM307="",0,IF(OR('Calculations'!II307&lt;&gt;"",COUNTIF('Calculations'!$HE$13:$HE$512,"="&amp;SUBSTITUTE(SUBSTITUTE(SUBSTITUTE('Calculations'!HE307,"~","~~"),"*","~*"),"?","~?"))&gt;1),1,0))</x:f>
        <x:v>0</x:v>
      </x:c>
      <x:c r="HM307" t="str">
        <x:f>IF('Calculations'!EM307="","",IF('Calculations'!HL307=1,"!UNRESOLVED",IF('Calculations'!IH307&lt;&gt;"",'Calculations'!IH307,IF('Calculations'!IG307&lt;&gt;"",'Calculations'!IG307,IF('Calculations'!IF307&lt;&gt;"",'Calculations'!IF307,IF('Calculations'!IE307&lt;&gt;"",'Calculations'!IE307,IF('Calculations'!ID307&lt;&gt;"",'Calculations'!ID307,IF('Calculations'!IC307&lt;&gt;"",'Calculations'!IC307,IF('Calculations'!IB307&lt;&gt;"",'Calculations'!IB307,IF('Calculations'!IA307&lt;&gt;"",'Calculations'!IA307,IF('Calculations'!HZ307&lt;&gt;"",'Calculations'!HZ307,IF('Calculations'!HY307&lt;&gt;"",'Calculations'!HY307,IF('Calculations'!HX307&lt;&gt;"",'Calculations'!HX307,IF('Calculations'!HW307&lt;&gt;"",'Calculations'!HW307,IF('Calculations'!HV307&lt;&gt;"",'Calculations'!HV307,IF('Calculations'!HU307&lt;&gt;"",'Calculations'!HU307,IF('Calculations'!HT307&lt;&gt;"",'Calculations'!HT307,IF('Calculations'!HS307&lt;&gt;"",'Calculations'!HS307,IF('Calculations'!HR307&lt;&gt;"",'Calculations'!HR307,IF('Calculations'!HQ307&lt;&gt;"",'Calculations'!HQ307,IF('Calculations'!HP307&lt;&gt;"",'Calculations'!HP307,IF('Calculations'!HO307&lt;&gt;"",'Calculations'!HO307,'Calculations'!HE307))))))))))))))))))))))</x:f>
      </x:c>
      <x:c r="HN307" t="str">
        <x:f>IF('Calculations'!EM307="","",IF(IFERROR(IF(INDEX(INDIRECT("'WCM Calibration Final'!$F$1:$F$2000"),'Calculations'!$EM307)="","",TRIM(INDEX(INDIRECT("'WCM Calibration Final'!$F$1:$F$2000"),'Calculations'!$EM307)&amp;"")),"")="","(Blank)",IFERROR(IF(INDEX(INDIRECT("'WCM Calibration Final'!$F$1:$F$2000"),'Calculations'!$EM307)="","",TRIM(INDEX(INDIRECT("'WCM Calibration Final'!$F$1:$F$2000"),'Calculations'!$EM307)&amp;"")),"")))</x:f>
      </x:c>
      <x:c r="HO307" t="str">
        <x:f>'Calculations'!HF307</x:f>
      </x:c>
      <x:c r="HP307" t="str">
        <x:f>IF('Calculations'!HO307="","",IF('Calculations'!HO307="!AMBIG","!AMBIG",IF(COUNTIF('Calculations'!$HE$13:$HE$512,"="&amp;SUBSTITUTE(SUBSTITUTE(SUBSTITUTE('Calculations'!HO307,"~","~~"),"*","~*"),"?","~?"))&gt;1,"!AMBIG",IFERROR(INDEX('Calculations'!$HF$13:$HF$512,MATCH('Calculations'!HO307,'Calculations'!$HE$13:$HE$512,0)),""))))</x:f>
      </x:c>
      <x:c r="HQ307" t="str">
        <x:f>IF('Calculations'!HP307="","",IF('Calculations'!HP307="!AMBIG","!AMBIG",IF(COUNTIF('Calculations'!$HE$13:$HE$512,"="&amp;SUBSTITUTE(SUBSTITUTE(SUBSTITUTE('Calculations'!HP307,"~","~~"),"*","~*"),"?","~?"))&gt;1,"!AMBIG",IFERROR(INDEX('Calculations'!$HF$13:$HF$512,MATCH('Calculations'!HP307,'Calculations'!$HE$13:$HE$512,0)),""))))</x:f>
      </x:c>
      <x:c r="HR307" t="str">
        <x:f>IF('Calculations'!HQ307="","",IF('Calculations'!HQ307="!AMBIG","!AMBIG",IF(COUNTIF('Calculations'!$HE$13:$HE$512,"="&amp;SUBSTITUTE(SUBSTITUTE(SUBSTITUTE('Calculations'!HQ307,"~","~~"),"*","~*"),"?","~?"))&gt;1,"!AMBIG",IFERROR(INDEX('Calculations'!$HF$13:$HF$512,MATCH('Calculations'!HQ307,'Calculations'!$HE$13:$HE$512,0)),""))))</x:f>
      </x:c>
      <x:c r="HS307" t="str">
        <x:f>IF('Calculations'!HR307="","",IF('Calculations'!HR307="!AMBIG","!AMBIG",IF(COUNTIF('Calculations'!$HE$13:$HE$512,"="&amp;SUBSTITUTE(SUBSTITUTE(SUBSTITUTE('Calculations'!HR307,"~","~~"),"*","~*"),"?","~?"))&gt;1,"!AMBIG",IFERROR(INDEX('Calculations'!$HF$13:$HF$512,MATCH('Calculations'!HR307,'Calculations'!$HE$13:$HE$512,0)),""))))</x:f>
      </x:c>
      <x:c r="HT307" t="str">
        <x:f>IF('Calculations'!HS307="","",IF('Calculations'!HS307="!AMBIG","!AMBIG",IF(COUNTIF('Calculations'!$HE$13:$HE$512,"="&amp;SUBSTITUTE(SUBSTITUTE(SUBSTITUTE('Calculations'!HS307,"~","~~"),"*","~*"),"?","~?"))&gt;1,"!AMBIG",IFERROR(INDEX('Calculations'!$HF$13:$HF$512,MATCH('Calculations'!HS307,'Calculations'!$HE$13:$HE$512,0)),""))))</x:f>
      </x:c>
      <x:c r="HU307" t="str">
        <x:f>IF('Calculations'!HT307="","",IF('Calculations'!HT307="!AMBIG","!AMBIG",IF(COUNTIF('Calculations'!$HE$13:$HE$512,"="&amp;SUBSTITUTE(SUBSTITUTE(SUBSTITUTE('Calculations'!HT307,"~","~~"),"*","~*"),"?","~?"))&gt;1,"!AMBIG",IFERROR(INDEX('Calculations'!$HF$13:$HF$512,MATCH('Calculations'!HT307,'Calculations'!$HE$13:$HE$512,0)),""))))</x:f>
      </x:c>
      <x:c r="HV307" t="str">
        <x:f>IF('Calculations'!HU307="","",IF('Calculations'!HU307="!AMBIG","!AMBIG",IF(COUNTIF('Calculations'!$HE$13:$HE$512,"="&amp;SUBSTITUTE(SUBSTITUTE(SUBSTITUTE('Calculations'!HU307,"~","~~"),"*","~*"),"?","~?"))&gt;1,"!AMBIG",IFERROR(INDEX('Calculations'!$HF$13:$HF$512,MATCH('Calculations'!HU307,'Calculations'!$HE$13:$HE$512,0)),""))))</x:f>
      </x:c>
      <x:c r="HW307" t="str">
        <x:f>IF('Calculations'!HV307="","",IF('Calculations'!HV307="!AMBIG","!AMBIG",IF(COUNTIF('Calculations'!$HE$13:$HE$512,"="&amp;SUBSTITUTE(SUBSTITUTE(SUBSTITUTE('Calculations'!HV307,"~","~~"),"*","~*"),"?","~?"))&gt;1,"!AMBIG",IFERROR(INDEX('Calculations'!$HF$13:$HF$512,MATCH('Calculations'!HV307,'Calculations'!$HE$13:$HE$512,0)),""))))</x:f>
      </x:c>
      <x:c r="HX307" t="str">
        <x:f>IF('Calculations'!HW307="","",IF('Calculations'!HW307="!AMBIG","!AMBIG",IF(COUNTIF('Calculations'!$HE$13:$HE$512,"="&amp;SUBSTITUTE(SUBSTITUTE(SUBSTITUTE('Calculations'!HW307,"~","~~"),"*","~*"),"?","~?"))&gt;1,"!AMBIG",IFERROR(INDEX('Calculations'!$HF$13:$HF$512,MATCH('Calculations'!HW307,'Calculations'!$HE$13:$HE$512,0)),""))))</x:f>
      </x:c>
      <x:c r="HY307" t="str">
        <x:f>IF('Calculations'!HX307="","",IF('Calculations'!HX307="!AMBIG","!AMBIG",IF(COUNTIF('Calculations'!$HE$13:$HE$512,"="&amp;SUBSTITUTE(SUBSTITUTE(SUBSTITUTE('Calculations'!HX307,"~","~~"),"*","~*"),"?","~?"))&gt;1,"!AMBIG",IFERROR(INDEX('Calculations'!$HF$13:$HF$512,MATCH('Calculations'!HX307,'Calculations'!$HE$13:$HE$512,0)),""))))</x:f>
      </x:c>
      <x:c r="HZ307" t="str">
        <x:f>IF('Calculations'!HY307="","",IF('Calculations'!HY307="!AMBIG","!AMBIG",IF(COUNTIF('Calculations'!$HE$13:$HE$512,"="&amp;SUBSTITUTE(SUBSTITUTE(SUBSTITUTE('Calculations'!HY307,"~","~~"),"*","~*"),"?","~?"))&gt;1,"!AMBIG",IFERROR(INDEX('Calculations'!$HF$13:$HF$512,MATCH('Calculations'!HY307,'Calculations'!$HE$13:$HE$512,0)),""))))</x:f>
      </x:c>
      <x:c r="IA307" t="str">
        <x:f>IF('Calculations'!HZ307="","",IF('Calculations'!HZ307="!AMBIG","!AMBIG",IF(COUNTIF('Calculations'!$HE$13:$HE$512,"="&amp;SUBSTITUTE(SUBSTITUTE(SUBSTITUTE('Calculations'!HZ307,"~","~~"),"*","~*"),"?","~?"))&gt;1,"!AMBIG",IFERROR(INDEX('Calculations'!$HF$13:$HF$512,MATCH('Calculations'!HZ307,'Calculations'!$HE$13:$HE$512,0)),""))))</x:f>
      </x:c>
      <x:c r="IB307" t="str">
        <x:f>IF('Calculations'!IA307="","",IF('Calculations'!IA307="!AMBIG","!AMBIG",IF(COUNTIF('Calculations'!$HE$13:$HE$512,"="&amp;SUBSTITUTE(SUBSTITUTE(SUBSTITUTE('Calculations'!IA307,"~","~~"),"*","~*"),"?","~?"))&gt;1,"!AMBIG",IFERROR(INDEX('Calculations'!$HF$13:$HF$512,MATCH('Calculations'!IA307,'Calculations'!$HE$13:$HE$512,0)),""))))</x:f>
      </x:c>
      <x:c r="IC307" t="str">
        <x:f>IF('Calculations'!IB307="","",IF('Calculations'!IB307="!AMBIG","!AMBIG",IF(COUNTIF('Calculations'!$HE$13:$HE$512,"="&amp;SUBSTITUTE(SUBSTITUTE(SUBSTITUTE('Calculations'!IB307,"~","~~"),"*","~*"),"?","~?"))&gt;1,"!AMBIG",IFERROR(INDEX('Calculations'!$HF$13:$HF$512,MATCH('Calculations'!IB307,'Calculations'!$HE$13:$HE$512,0)),""))))</x:f>
      </x:c>
      <x:c r="ID307" t="str">
        <x:f>IF('Calculations'!IC307="","",IF('Calculations'!IC307="!AMBIG","!AMBIG",IF(COUNTIF('Calculations'!$HE$13:$HE$512,"="&amp;SUBSTITUTE(SUBSTITUTE(SUBSTITUTE('Calculations'!IC307,"~","~~"),"*","~*"),"?","~?"))&gt;1,"!AMBIG",IFERROR(INDEX('Calculations'!$HF$13:$HF$512,MATCH('Calculations'!IC307,'Calculations'!$HE$13:$HE$512,0)),""))))</x:f>
      </x:c>
      <x:c r="IE307" t="str">
        <x:f>IF('Calculations'!ID307="","",IF('Calculations'!ID307="!AMBIG","!AMBIG",IF(COUNTIF('Calculations'!$HE$13:$HE$512,"="&amp;SUBSTITUTE(SUBSTITUTE(SUBSTITUTE('Calculations'!ID307,"~","~~"),"*","~*"),"?","~?"))&gt;1,"!AMBIG",IFERROR(INDEX('Calculations'!$HF$13:$HF$512,MATCH('Calculations'!ID307,'Calculations'!$HE$13:$HE$512,0)),""))))</x:f>
      </x:c>
      <x:c r="IF307" t="str">
        <x:f>IF('Calculations'!IE307="","",IF('Calculations'!IE307="!AMBIG","!AMBIG",IF(COUNTIF('Calculations'!$HE$13:$HE$512,"="&amp;SUBSTITUTE(SUBSTITUTE(SUBSTITUTE('Calculations'!IE307,"~","~~"),"*","~*"),"?","~?"))&gt;1,"!AMBIG",IFERROR(INDEX('Calculations'!$HF$13:$HF$512,MATCH('Calculations'!IE307,'Calculations'!$HE$13:$HE$512,0)),""))))</x:f>
      </x:c>
      <x:c r="IG307" t="str">
        <x:f>IF('Calculations'!IF307="","",IF('Calculations'!IF307="!AMBIG","!AMBIG",IF(COUNTIF('Calculations'!$HE$13:$HE$512,"="&amp;SUBSTITUTE(SUBSTITUTE(SUBSTITUTE('Calculations'!IF307,"~","~~"),"*","~*"),"?","~?"))&gt;1,"!AMBIG",IFERROR(INDEX('Calculations'!$HF$13:$HF$512,MATCH('Calculations'!IF307,'Calculations'!$HE$13:$HE$512,0)),""))))</x:f>
      </x:c>
      <x:c r="IH307" t="str">
        <x:f>IF('Calculations'!IG307="","",IF('Calculations'!IG307="!AMBIG","!AMBIG",IF(COUNTIF('Calculations'!$HE$13:$HE$512,"="&amp;SUBSTITUTE(SUBSTITUTE(SUBSTITUTE('Calculations'!IG307,"~","~~"),"*","~*"),"?","~?"))&gt;1,"!AMBIG",IFERROR(INDEX('Calculations'!$HF$13:$HF$512,MATCH('Calculations'!IG307,'Calculations'!$HE$13:$HE$512,0)),""))))</x:f>
      </x:c>
      <x:c r="II307" t="str">
        <x:f>IF('Calculations'!IH307="","",IF('Calculations'!IH307="!AMBIG","!AMBIG",IF(COUNTIF('Calculations'!$HE$13:$HE$512,"="&amp;SUBSTITUTE(SUBSTITUTE(SUBSTITUTE('Calculations'!IH307,"~","~~"),"*","~*"),"?","~?"))&gt;1,"!AMBIG",IFERROR(INDEX('Calculations'!$HF$13:$HF$512,MATCH('Calculations'!IH307,'Calculations'!$HE$13:$HE$512,0)),""))))</x:f>
      </x:c>
      <x:c r="IJ307" t="str">
        <x:f>IF('Calculations'!EM307="","",IF('Calculations'!$EF$2="All",'Calculations'!HM307,IF('Calculations'!HL307=1,"",IFERROR(IF(MATCH('Calculations'!$EF$2,'Calculations'!HO307:II307,0)=1,'Calculations'!HE307,INDEX('Calculations'!HO307:II307,1,MATCH('Calculations'!$EF$2,'Calculations'!HO307:II307,0)-1)),""))))</x:f>
      </x:c>
      <x:c r="IK307" t="n">
        <x:f>IF(AND('Calculations'!EM307&lt;&gt;"",'Calculations'!$EF$2&lt;&gt;"All",'Calculations'!HF307='Calculations'!$EF$2,'Calculations'!HL307=0,'Calculations'!JD307&gt;0),MAX('Calculations'!$IK$12:IK306)+1,0)</x:f>
        <x:v>0</x:v>
      </x:c>
      <x:c r="JA307" t="n">
        <x:f>IF(OR(IFERROR(INDIRECT("'WCM Calibration Final'!$A$307")&lt;&gt;"",FALSE),IFERROR(INDIRECT("'WCM Calibration Final'!$B$307")&lt;&gt;"",FALSE),IFERROR(INDIRECT("'WCM Calibration Final'!$C$307")&lt;&gt;"",FALSE)),307,0)</x:f>
        <x:v>0</x:v>
      </x:c>
      <x:c r="JB307" t="n">
        <x:f>'Calculations'!JB306+IF('Calculations'!JA307&gt;0,1,0)</x:f>
        <x:v>0</x:v>
      </x:c>
      <x:c r="JC307" t="n">
        <x:f>IF(OR('Calculations'!HF307="",'Calculations'!HF307="!AMBIG"),0,IF('Dashboard'!$B$7="All",1,COUNTIFS('Calculations'!$HO$13:$HO$512,"="&amp;SUBSTITUTE(SUBSTITUTE(SUBSTITUTE('Calculations'!HF307,"~","~~"),"*","~*"),"?","~?"),'Calculations'!$HN$13:$HN$512,"="&amp;SUBSTITUTE(SUBSTITUTE(SUBSTITUTE('Dashboard'!$B$7,"~","~~"),"*","~*"),"?","~?"))+COUNTIFS('Calculations'!$HP$13:$HP$512,"="&amp;SUBSTITUTE(SUBSTITUTE(SUBSTITUTE('Calculations'!HF307,"~","~~"),"*","~*"),"?","~?"),'Calculations'!$HN$13:$HN$512,"="&amp;SUBSTITUTE(SUBSTITUTE(SUBSTITUTE('Dashboard'!$B$7,"~","~~"),"*","~*"),"?","~?"))+COUNTIFS('Calculations'!$HQ$13:$HQ$512,"="&amp;SUBSTITUTE(SUBSTITUTE(SUBSTITUTE('Calculations'!HF307,"~","~~"),"*","~*"),"?","~?"),'Calculations'!$HN$13:$HN$512,"="&amp;SUBSTITUTE(SUBSTITUTE(SUBSTITUTE('Dashboard'!$B$7,"~","~~"),"*","~*"),"?","~?"))+COUNTIFS('Calculations'!$HR$13:$HR$512,"="&amp;SUBSTITUTE(SUBSTITUTE(SUBSTITUTE('Calculations'!HF307,"~","~~"),"*","~*"),"?","~?"),'Calculations'!$HN$13:$HN$512,"="&amp;SUBSTITUTE(SUBSTITUTE(SUBSTITUTE('Dashboard'!$B$7,"~","~~"),"*","~*"),"?","~?"))+COUNTIFS('Calculations'!$HS$13:$HS$512,"="&amp;SUBSTITUTE(SUBSTITUTE(SUBSTITUTE('Calculations'!HF307,"~","~~"),"*","~*"),"?","~?"),'Calculations'!$HN$13:$HN$512,"="&amp;SUBSTITUTE(SUBSTITUTE(SUBSTITUTE('Dashboard'!$B$7,"~","~~"),"*","~*"),"?","~?"))+COUNTIFS('Calculations'!$HT$13:$HT$512,"="&amp;SUBSTITUTE(SUBSTITUTE(SUBSTITUTE('Calculations'!HF307,"~","~~"),"*","~*"),"?","~?"),'Calculations'!$HN$13:$HN$512,"="&amp;SUBSTITUTE(SUBSTITUTE(SUBSTITUTE('Dashboard'!$B$7,"~","~~"),"*","~*"),"?","~?"))+COUNTIFS('Calculations'!$HU$13:$HU$512,"="&amp;SUBSTITUTE(SUBSTITUTE(SUBSTITUTE('Calculations'!HF307,"~","~~"),"*","~*"),"?","~?"),'Calculations'!$HN$13:$HN$512,"="&amp;SUBSTITUTE(SUBSTITUTE(SUBSTITUTE('Dashboard'!$B$7,"~","~~"),"*","~*"),"?","~?"))+COUNTIFS('Calculations'!$HV$13:$HV$512,"="&amp;SUBSTITUTE(SUBSTITUTE(SUBSTITUTE('Calculations'!HF307,"~","~~"),"*","~*"),"?","~?"),'Calculations'!$HN$13:$HN$512,"="&amp;SUBSTITUTE(SUBSTITUTE(SUBSTITUTE('Dashboard'!$B$7,"~","~~"),"*","~*"),"?","~?"))+COUNTIFS('Calculations'!$HW$13:$HW$512,"="&amp;SUBSTITUTE(SUBSTITUTE(SUBSTITUTE('Calculations'!HF307,"~","~~"),"*","~*"),"?","~?"),'Calculations'!$HN$13:$HN$512,"="&amp;SUBSTITUTE(SUBSTITUTE(SUBSTITUTE('Dashboard'!$B$7,"~","~~"),"*","~*"),"?","~?"))+COUNTIFS('Calculations'!$HX$13:$HX$512,"="&amp;SUBSTITUTE(SUBSTITUTE(SUBSTITUTE('Calculations'!HF307,"~","~~"),"*","~*"),"?","~?"),'Calculations'!$HN$13:$HN$512,"="&amp;SUBSTITUTE(SUBSTITUTE(SUBSTITUTE('Dashboard'!$B$7,"~","~~"),"*","~*"),"?","~?"))+COUNTIFS('Calculations'!$HY$13:$HY$512,"="&amp;SUBSTITUTE(SUBSTITUTE(SUBSTITUTE('Calculations'!HF307,"~","~~"),"*","~*"),"?","~?"),'Calculations'!$HN$13:$HN$512,"="&amp;SUBSTITUTE(SUBSTITUTE(SUBSTITUTE('Dashboard'!$B$7,"~","~~"),"*","~*"),"?","~?"))+COUNTIFS('Calculations'!$HZ$13:$HZ$512,"="&amp;SUBSTITUTE(SUBSTITUTE(SUBSTITUTE('Calculations'!HF307,"~","~~"),"*","~*"),"?","~?"),'Calculations'!$HN$13:$HN$512,"="&amp;SUBSTITUTE(SUBSTITUTE(SUBSTITUTE('Dashboard'!$B$7,"~","~~"),"*","~*"),"?","~?"))+COUNTIFS('Calculations'!$IA$13:$IA$512,"="&amp;SUBSTITUTE(SUBSTITUTE(SUBSTITUTE('Calculations'!HF307,"~","~~"),"*","~*"),"?","~?"),'Calculations'!$HN$13:$HN$512,"="&amp;SUBSTITUTE(SUBSTITUTE(SUBSTITUTE('Dashboard'!$B$7,"~","~~"),"*","~*"),"?","~?"))+COUNTIFS('Calculations'!$IB$13:$IB$512,"="&amp;SUBSTITUTE(SUBSTITUTE(SUBSTITUTE('Calculations'!HF307,"~","~~"),"*","~*"),"?","~?"),'Calculations'!$HN$13:$HN$512,"="&amp;SUBSTITUTE(SUBSTITUTE(SUBSTITUTE('Dashboard'!$B$7,"~","~~"),"*","~*"),"?","~?"))+COUNTIFS('Calculations'!$IC$13:$IC$512,"="&amp;SUBSTITUTE(SUBSTITUTE(SUBSTITUTE('Calculations'!HF307,"~","~~"),"*","~*"),"?","~?"),'Calculations'!$HN$13:$HN$512,"="&amp;SUBSTITUTE(SUBSTITUTE(SUBSTITUTE('Dashboard'!$B$7,"~","~~"),"*","~*"),"?","~?"))+COUNTIFS('Calculations'!$ID$13:$ID$512,"="&amp;SUBSTITUTE(SUBSTITUTE(SUBSTITUTE('Calculations'!HF307,"~","~~"),"*","~*"),"?","~?"),'Calculations'!$HN$13:$HN$512,"="&amp;SUBSTITUTE(SUBSTITUTE(SUBSTITUTE('Dashboard'!$B$7,"~","~~"),"*","~*"),"?","~?"))+COUNTIFS('Calculations'!$IE$13:$IE$512,"="&amp;SUBSTITUTE(SUBSTITUTE(SUBSTITUTE('Calculations'!HF307,"~","~~"),"*","~*"),"?","~?"),'Calculations'!$HN$13:$HN$512,"="&amp;SUBSTITUTE(SUBSTITUTE(SUBSTITUTE('Dashboard'!$B$7,"~","~~"),"*","~*"),"?","~?"))+COUNTIFS('Calculations'!$IF$13:$IF$512,"="&amp;SUBSTITUTE(SUBSTITUTE(SUBSTITUTE('Calculations'!HF307,"~","~~"),"*","~*"),"?","~?"),'Calculations'!$HN$13:$HN$512,"="&amp;SUBSTITUTE(SUBSTITUTE(SUBSTITUTE('Dashboard'!$B$7,"~","~~"),"*","~*"),"?","~?"))+COUNTIFS('Calculations'!$IG$13:$IG$512,"="&amp;SUBSTITUTE(SUBSTITUTE(SUBSTITUTE('Calculations'!HF307,"~","~~"),"*","~*"),"?","~?"),'Calculations'!$HN$13:$HN$512,"="&amp;SUBSTITUTE(SUBSTITUTE(SUBSTITUTE('Dashboard'!$B$7,"~","~~"),"*","~*"),"?","~?"))+COUNTIFS('Calculations'!$IH$13:$IH$512,"="&amp;SUBSTITUTE(SUBSTITUTE(SUBSTITUTE('Calculations'!HF307,"~","~~"),"*","~*"),"?","~?"),'Calculations'!$HN$13:$HN$512,"="&amp;SUBSTITUTE(SUBSTITUTE(SUBSTITUTE('Dashboard'!$B$7,"~","~~"),"*","~*"),"?","~?"))))</x:f>
        <x:v>0</x:v>
      </x:c>
      <x:c r="JD307" t="n">
        <x:f>IF('Calculations'!EM307="",0,IF('Dashboard'!$B$7="All",1,IF('Calculations'!HN307='Dashboard'!$B$7,1,0)+IFERROR(INDEX('Calculations'!$JC$13:$JC$512,MATCH('Calculations'!HE307,'Calculations'!$HF$13:$HF$512,0)),0)))</x:f>
        <x:v>0</x:v>
      </x:c>
      <x:c r="JE307" t="n">
        <x:f>IF(AND('Calculations'!EM307&lt;&gt;"",'Calculations'!$JJ$2&lt;&gt;"All",'Calculations'!$JJ$2&lt;&gt;"",'Calculations'!HF307='Calculations'!$JJ$2,'Calculations'!HL307=0,'Calculations'!JD307&gt;0),MAX('Calculations'!$JE$12:JE306)+1,0)</x:f>
        <x:v>0</x:v>
      </x:c>
      <x:c r="JF307" t="str">
        <x:f>IF('Calculations'!EM307="","",IFERROR(IF(INDEX(INDIRECT("'WCM Calibration Final'!$G$1:$G$2000"),'Calculations'!$EM307)="","",TRIM(INDEX(INDIRECT("'WCM Calibration Final'!$G$1:$G$2000"),'Calculations'!$EM307)&amp;"")),""))</x:f>
      </x:c>
      <x:c r="JQ307" t="n">
        <x:f>IF(OR('Calculations'!BM307=0,NOT('Calculations'!$AG$2),'Calculations'!$AG$8&gt;0),0,IF(OR('Dashboard'!$B$7="All",'Calculations'!HN307='Dashboard'!$B$7),IF('Calculations'!$JJ$2="All",1,IF(AND('Calculations'!HF307='Calculations'!$JJ$2,'Calculations'!HL307=0),1,0)),0))</x:f>
        <x:v>0</x:v>
      </x:c>
    </x:row>
    <x:row r="308">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t="n">
        <x:f>IF('Calculations'!$EM308="",0,IF(OR(IFERROR(INDEX(INDIRECT("'WCM Calibration Final'!$A$1:$A$2000"),'Calculations'!$EM308)&lt;&gt;"",FALSE),IFERROR(INDEX(INDIRECT("'WCM Calibration Final'!$B$1:$B$2000"),'Calculations'!$EM308)&lt;&gt;"",FALSE),IFERROR(INDEX(INDIRECT("'WCM Calibration Final'!$C$1:$C$2000"),'Calculations'!$EM308)&lt;&gt;"",FALSE)),1,0))</x:f>
        <x:v>0</x:v>
      </x:c>
      <x:c r="BN308" s="4" t="n">
        <x:f>IF(AND('Calculations'!BM308=1,'Calculations'!$AG$2,'Calculations'!$EN308=1),1,0)</x:f>
        <x:v>0</x:v>
      </x:c>
      <x:c r="BO308" s="4" t="str">
        <x:f>IF('Calculations'!BM308=0,"",IFERROR(IF(AND(VALUE(INDEX(INDIRECT("'WCM Calibration Final'!$K$1:$K$2000"),'Calculations'!$EM308))&gt;=1,VALUE(INDEX(INDIRECT("'WCM Calibration Final'!$K$1:$K$2000"),'Calculations'!$EM308))&lt;=4,MOD(VALUE(INDEX(INDIRECT("'WCM Calibration Final'!$K$1:$K$2000"),'Calculations'!$EM308)),1)=0),VALUE(INDEX(INDIRECT("'WCM Calibration Final'!$K$1:$K$2000"),'Calculations'!$EM308)),""),""))</x:f>
      </x:c>
      <x:c r="BP308" s="4" t="str">
        <x:f>IF('Calculations'!BM308=0,"",IFERROR(IF(AND(VALUE(INDEX(INDIRECT("'WCM Calibration Final'!$L$1:$L$2000"),'Calculations'!$EM308))&gt;=1,VALUE(INDEX(INDIRECT("'WCM Calibration Final'!$L$1:$L$2000"),'Calculations'!$EM308))&lt;=4,MOD(VALUE(INDEX(INDIRECT("'WCM Calibration Final'!$L$1:$L$2000"),'Calculations'!$EM308)),1)=0),VALUE(INDEX(INDIRECT("'WCM Calibration Final'!$L$1:$L$2000"),'Calculations'!$EM308)),""),""))</x:f>
      </x:c>
      <x:c r="BQ308" s="4"/>
      <x:c r="BR308" s="4"/>
      <x:c r="BS308" s="4"/>
      <x:c r="BT308" s="4" t="n">
        <x:f>IF(AND('Calculations'!BM308=1,ISNUMBER('Calculations'!BO308),ISNUMBER('Calculations'!BP308)),1,0)</x:f>
        <x:v>0</x:v>
      </x:c>
      <x:c r="BU308" s="4" t="str">
        <x:f>IF('Calculations'!BM308=0,"",'Calculations'!$EO308)</x:f>
      </x:c>
      <x:c r="BV308" s="4" t="str">
        <x:f>IF('Calculations'!BM308=0,"",IFERROR(IF(OR(INDEX(INDIRECT("'WCM Calibration Final'!$H$1:$H$2000"),'Calculations'!$EM308)="MANAGING DIRECTOR",INDEX(INDIRECT("'WCM Calibration Final'!$H$1:$H$2000"),'Calculations'!$EM308)="DIRECTOR",INDEX(INDIRECT("'WCM Calibration Final'!$H$1:$H$2000"),'Calculations'!$EM308)="SENIOR VICE PRESIDENT",INDEX(INDIRECT("'WCM Calibration Final'!$H$1:$H$2000"),'Calculations'!$EM308)="VICE PRESIDENT",INDEX(INDIRECT("'WCM Calibration Final'!$H$1:$H$2000"),'Calculations'!$EM308)="ASSISTANT VICE PRESIDENT",INDEX(INDIRECT("'WCM Calibration Final'!$H$1:$H$2000"),'Calculations'!$EM308)="OFFICER"),UPPER(INDEX(INDIRECT("'WCM Calibration Final'!$H$1:$H$2000"),'Calculations'!$EM308)),"Other"),"Other"))</x:f>
      </x:c>
      <x:c r="BW308" s="4"/>
      <x:c r="BX308" s="4"/>
      <x:c r="BY308" s="4" t="n">
        <x:f>IF(AND('Calculations'!BM308=1,'Calculations'!BU308&lt;&gt;"",COUNTIF('Calculations'!$BU$12:BU308,'Calculations'!BU308)=1),MAX('Calculations'!$BY$11:BY307)+1,0)</x:f>
        <x:v>0</x:v>
      </x:c>
      <x:c r="BZ308" s="4" t="str">
        <x:f>IF('Dashboard'!$E$67="What",'Calculations'!BO308,'Calculations'!BP308)</x:f>
      </x:c>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t="str">
        <x:f>IF(297&gt;MAX('Calculations'!$HI$13:$HI$512),"",INDEX('Calculations'!$HN$13:$HN$512,MATCH(297,'Calculations'!$HI$13:$HI$512,0)))</x:f>
      </x:c>
      <x:c r="DB308" s="4" t="str">
        <x:f>IF(297&gt;MAX('Calculations'!$HH$13:$HH$512),"",INDEX('Calculations'!$HJ$13:$HJ$512,MATCH(297,'Calculations'!$HH$13:$HH$512,0)))</x:f>
      </x:c>
      <x:c r="DC308" s="4" t="str">
        <x:f>IF(ROW()-11&gt;MAX('Calculations'!$BY$13:$BY$512),"",INDEX('Calculations'!$BU$13:$BU$512,MATCH(ROW()-11,'Calculations'!$BY$13:$BY$512,0)))</x:f>
      </x:c>
      <x:c r="DD308" s="4" t="str">
        <x:f>IF(297&gt;MAX('Calculations'!$IK$13:$IK$512),"",INDEX('Calculations'!$HK$13:$HK$512,MATCH(297,'Calculations'!$IK$13:$IK$512,0)))</x:f>
      </x:c>
      <x:c r="DE308" s="4" t="str">
        <x:f>'Calculations'!DC308</x:f>
      </x:c>
      <x:c r="DF308" s="4" t="str">
        <x:f>IF('Calculations'!DE308="","",COUNTIFS('Calculations'!$BN$13:$BN$512,1,'Calculations'!$BU$13:$BU$512,'Calculations'!DE308))</x:f>
      </x:c>
      <x:c r="DG308" s="4" t="str">
        <x:f>IF('Calculations'!DE308="","",COUNTIFS('Calculations'!$BN$13:$BN$512,1,'Calculations'!$BU$13:$BU$512,'Calculations'!DE308,'Calculations'!$BT$13:$BT$512,1))</x:f>
      </x:c>
      <x:c r="DH308" s="4" t="str">
        <x:f>IF('Calculations'!DE308="","",'Calculations'!DF308-'Calculations'!DG308)</x:f>
      </x:c>
      <x:c r="DI308" s="4" t="str">
        <x:f>IF(OR('Calculations'!DE308="",'Calculations'!DF308=0),"",'Calculations'!DG308/'Calculations'!DF308)</x:f>
      </x:c>
      <x:c r="DJ308" s="4" t="str">
        <x:f>IF('Calculations'!DE308="","",COUNTIFS('Calculations'!$BN$13:$BN$512,1,'Calculations'!$BU$13:$BU$512,'Calculations'!DE308,'Calculations'!$BT$13:$BT$512,1,'Calculations'!$EE$13:$EE$512,"High"))</x:f>
      </x:c>
      <x:c r="DK308" s="4" t="str">
        <x:f>IF('Calculations'!DE308="","",COUNTIFS('Calculations'!$BN$13:$BN$512,1,'Calculations'!$BU$13:$BU$512,'Calculations'!DE308,'Calculations'!$BT$13:$BT$512,1,'Calculations'!$EE$13:$EE$512,"Strong"))</x:f>
      </x:c>
      <x:c r="DL308" s="4" t="str">
        <x:f>IF('Calculations'!DE308="","",COUNTIFS('Calculations'!$BN$13:$BN$512,1,'Calculations'!$BU$13:$BU$512,'Calculations'!DE308,'Calculations'!$BT$13:$BT$512,1,'Calculations'!$EE$13:$EE$512,"Solid"))</x:f>
      </x:c>
      <x:c r="DM308" s="4" t="str">
        <x:f>IF('Calculations'!DE308="","",COUNTIFS('Calculations'!$BN$13:$BN$512,1,'Calculations'!$BU$13:$BU$512,'Calculations'!DE308,'Calculations'!$BT$13:$BT$512,1,'Calculations'!$EE$13:$EE$512,"Low"))</x:f>
      </x:c>
      <x:c r="DN308" s="4" t="str">
        <x:f>IF('Calculations'!DE308="","",COUNTIFS('Calculations'!$BN$13:$BN$512,1,'Calculations'!$BU$13:$BU$512,'Calculations'!DE308,'Calculations'!$EP$13:$EP$512,1))</x:f>
      </x:c>
      <x:c r="DO308" s="4" t="str">
        <x:f>IF(OR('Calculations'!DE308="",'Calculations'!DG308=0),"",('Calculations'!DJ308+'Calculations'!DK308)/'Calculations'!DG308)</x:f>
      </x:c>
      <x:c r="DP308" s="4" t="n">
        <x:f>IF(AND('Calculations'!DE308&lt;&gt;"",'Calculations'!DF308&gt;0),COUNTIF('Calculations'!$DF$12:DF308,"&gt;0"),0)</x:f>
        <x:v>0</x:v>
      </x:c>
      <x:c r="DQ308" s="4" t="str">
        <x:f>IF(297&gt;MAX('Calculations'!$HH$13:$HH$512),"",INDEX('Calculations'!$HF$13:$HF$512,MATCH(297,'Calculations'!$HH$13:$HH$512,0)))</x:f>
      </x:c>
      <x:c r="DR308" s="4" t="str">
        <x:f>IF(297&gt;MAX('Calculations'!$IK$13:$IK$512),"",INDEX('Calculations'!$HE$13:$HE$512,MATCH(297,'Calculations'!$IK$13:$IK$512,0)))</x:f>
      </x:c>
      <x:c r="DS308" s="4"/>
      <x:c r="DT308" s="4"/>
      <x:c r="DU308" s="4"/>
      <x:c r="DV308" s="4"/>
      <x:c r="DW308" s="4"/>
      <x:c r="DX308" s="4"/>
      <x:c r="DY308" s="4"/>
      <x:c r="DZ308" s="4"/>
      <x:c r="EA308" s="4"/>
      <x:c r="EB308" s="4"/>
      <x:c r="EC308" s="4"/>
      <x:c r="ED308" s="4"/>
      <x:c r="EE308" s="4" t="str">
        <x:f>IF('Calculations'!BT308=0,"Not Rated",IF(OR('Calculations'!BO308&gt;=4,'Calculations'!BP308&gt;=4),"Low",IF('Calculations'!BO308+'Calculations'!BP308&lt;=3,"High",IF('Calculations'!BO308+'Calculations'!BP308&lt;=4,"Strong","Solid"))))</x:f>
        <x:v>Not Rated</x:v>
      </x:c>
      <x:c r="EF308" s="4"/>
      <x:c r="EG308" s="4"/>
      <x:c r="EH308" s="4"/>
      <x:c r="EI308" s="4"/>
      <x:c r="EJ308" s="4"/>
      <x:c r="EK308" s="4"/>
      <x:c r="EL308" s="4"/>
      <x:c r="EM308" s="4" t="str">
        <x:f>IF(296&gt;'Calculations'!$JB$2000,"",INDEX('Calculations'!$JA$12:$JA$2000,MATCH(296,'Calculations'!$JB$12:$JB$2000,0)))</x:f>
      </x:c>
      <x:c r="EN308" s="4" t="n">
        <x:f>IF(OR('Calculations'!EM308="",'Calculations'!$AG$8&gt;0,AND('Calculations'!$EF$2&lt;&gt;"All",'Calculations'!HE308='Calculations'!$EF$2),AND('Calculations'!$EF$3&lt;&gt;"All",'Calculations'!HE308='Calculations'!$EF$3)),0,IF(OR('Dashboard'!$B$7="All",'Calculations'!HN308='Dashboard'!$B$7),IF('Calculations'!$EF$2="All",1,IF('Calculations'!HL308&gt;0,0,IF(COUNTIF('Calculations'!HO308:II308,"="&amp;SUBSTITUTE(SUBSTITUTE(SUBSTITUTE('Calculations'!$EF$2,"~","~~"),"*","~*"),"?","~?"))=0,0,IF('Calculations'!$EF$3="All",1,IF(COUNTIF('Calculations'!HO308:II308,"="&amp;SUBSTITUTE(SUBSTITUTE(SUBSTITUTE('Calculations'!$EF$3,"~","~~"),"*","~*"),"?","~?"))&gt;0,1,0))))),0))</x:f>
        <x:v>0</x:v>
      </x:c>
      <x:c r="EO308" s="4" t="str">
        <x:f>IF('Calculations'!IJ308="","",IF('Calculations'!IJ308="!UNRESOLVED","Unresolved hierarchy",IFERROR(INDEX('Calculations'!$HK$13:$HK$512,MATCH('Calculations'!IJ308,'Calculations'!$HE$13:$HE$512,0)),IFERROR(INDEX('Calculations'!$HJ$13:$HJ$512,MATCH('Calculations'!IJ308,'Calculations'!$HF$13:$HF$512,0)),'Calculations'!IJ308))))</x:f>
      </x:c>
      <x:c r="EP308" s="4" t="n">
        <x:f>IF(AND('Calculations'!EM308&lt;&gt;"",'Calculations'!HF308='Calculations'!IJ308),1,0)</x:f>
        <x:v>0</x:v>
      </x:c>
      <x:c r="EQ308" s="4"/>
      <x:c r="ER308" s="4"/>
      <x:c r="ES308" s="4"/>
      <x:c r="ET308" s="4"/>
      <x:c r="EU308" s="4"/>
      <x:c r="EV308" s="4"/>
      <x:c r="EW308" s="4"/>
      <x:c r="EX308" s="4"/>
      <x:c r="EY308" s="4"/>
      <x:c r="EZ308" s="4"/>
      <x:c r="FA308" s="4"/>
      <x:c r="FB308" s="4"/>
      <x:c r="FC308" s="4"/>
      <x:c r="FD308" s="4"/>
      <x:c r="FE308" s="4"/>
      <x:c r="FF308" s="4"/>
      <x:c r="FG308" s="4"/>
      <x:c r="FH308" s="4"/>
      <x:c r="FI308" s="4"/>
      <x:c r="FJ308" s="4"/>
      <x:c r="FK308" s="4"/>
      <x:c r="FL308" s="4"/>
      <x:c r="FM308" s="4"/>
      <x:c r="FN308" s="4"/>
      <x:c r="FO308" s="4"/>
      <x:c r="HE308" t="str">
        <x:f>IF('Calculations'!EM308="","",IF(IFERROR(IF(INDEX(INDIRECT("'WCM Calibration Final'!$A$1:$A$2000"),'Calculations'!$EM308)="","",TRIM(INDEX(INDIRECT("'WCM Calibration Final'!$A$1:$A$2000"),'Calculations'!$EM308)&amp;"")),"")&lt;&gt;"","G:"&amp;IFERROR(TEXT(1*INDEX(INDIRECT("'WCM Calibration Final'!$A$1:$A$2000"),'Calculations'!$EM308),"0"),UPPER(IFERROR(IF(INDEX(INDIRECT("'WCM Calibration Final'!$A$1:$A$2000"),'Calculations'!$EM308)="","",TRIM(INDEX(INDIRECT("'WCM Calibration Final'!$A$1:$A$2000"),'Calculations'!$EM308)&amp;"")),""))),IF(IFERROR(IF(INDEX(INDIRECT("'WCM Calibration Final'!$C$1:$C$2000"),'Calculations'!$EM308)="","",TRIM(INDEX(INDIRECT("'WCM Calibration Final'!$C$1:$C$2000"),'Calculations'!$EM308)&amp;"")),"")&lt;&gt;"","S:"&amp;UPPER(IFERROR(IF(INDEX(INDIRECT("'WCM Calibration Final'!$C$1:$C$2000"),'Calculations'!$EM308)="","",TRIM(INDEX(INDIRECT("'WCM Calibration Final'!$C$1:$C$2000"),'Calculations'!$EM308)&amp;"")),"")),"R:"&amp;'Calculations'!EM308)))</x:f>
      </x:c>
      <x:c r="HF308" t="str">
        <x:f>IF('Calculations'!EM308="","",IF(IFERROR(IF(INDEX(INDIRECT("'WCM Calibration Final'!$D$1:$D$2000"),'Calculations'!$EM308)="","",TRIM(INDEX(INDIRECT("'WCM Calibration Final'!$D$1:$D$2000"),'Calculations'!$EM308)&amp;"")),"")&lt;&gt;"","G:"&amp;IFERROR(TEXT(1*INDEX(INDIRECT("'WCM Calibration Final'!$D$1:$D$2000"),'Calculations'!$EM308),"0"),UPPER(IFERROR(IF(INDEX(INDIRECT("'WCM Calibration Final'!$D$1:$D$2000"),'Calculations'!$EM308)="","",TRIM(INDEX(INDIRECT("'WCM Calibration Final'!$D$1:$D$2000"),'Calculations'!$EM308)&amp;"")),""))),IF(IFERROR(IF(INDEX(INDIRECT("'WCM Calibration Final'!$E$1:$E$2000"),'Calculations'!$EM308)="","",TRIM(INDEX(INDIRECT("'WCM Calibration Final'!$E$1:$E$2000"),'Calculations'!$EM308)&amp;"")),"")="","",IF(COUNTIF('Calculations'!$HG$13:$HG$512,"="&amp;SUBSTITUTE(SUBSTITUTE(SUBSTITUTE(IFERROR(IF(INDEX(INDIRECT("'WCM Calibration Final'!$E$1:$E$2000"),'Calculations'!$EM308)="","",TRIM(INDEX(INDIRECT("'WCM Calibration Final'!$E$1:$E$2000"),'Calculations'!$EM308)&amp;"")),""),"~","~~"),"*","~*"),"?","~?"))=1,INDEX('Calculations'!$HE$13:$HE$512,MATCH(IFERROR(IF(INDEX(INDIRECT("'WCM Calibration Final'!$E$1:$E$2000"),'Calculations'!$EM308)="","",TRIM(INDEX(INDIRECT("'WCM Calibration Final'!$E$1:$E$2000"),'Calculations'!$EM308)&amp;"")),""),'Calculations'!$HG$13:$HG$512,0)),IF(COUNTIF('Calculations'!$HG$13:$HG$512,"="&amp;SUBSTITUTE(SUBSTITUTE(SUBSTITUTE(IFERROR(IF(INDEX(INDIRECT("'WCM Calibration Final'!$E$1:$E$2000"),'Calculations'!$EM308)="","",TRIM(INDEX(INDIRECT("'WCM Calibration Final'!$E$1:$E$2000"),'Calculations'!$EM308)&amp;"")),""),"~","~~"),"*","~*"),"?","~?"))&gt;1,"!AMBIG","X:"&amp;IFERROR(IF(INDEX(INDIRECT("'WCM Calibration Final'!$E$1:$E$2000"),'Calculations'!$EM308)="","",TRIM(INDEX(INDIRECT("'WCM Calibration Final'!$E$1:$E$2000"),'Calculations'!$EM308)&amp;"")),""))))))</x:f>
      </x:c>
      <x:c r="HG308" t="str">
        <x:f>IF('Calculations'!EM308="","",IFERROR(IF(INDEX(INDIRECT("'WCM Calibration Final'!$B$1:$B$2000"),'Calculations'!$EM308)="","",TRIM(INDEX(INDIRECT("'WCM Calibration Final'!$B$1:$B$2000"),'Calculations'!$EM308)&amp;"")),""))</x:f>
      </x:c>
      <x:c r="HH308" t="n">
        <x:f>IF(AND('Calculations'!JC308&gt;0,COUNTIF('Calculations'!$HF$12:HF308,"="&amp;SUBSTITUTE(SUBSTITUTE(SUBSTITUTE('Calculations'!HF308,"~","~~"),"*","~*"),"?","~?"))=1),MAX('Calculations'!$HH$12:HH307)+1,0)</x:f>
        <x:v>0</x:v>
      </x:c>
      <x:c r="HI308" t="n">
        <x:f>IF(AND('Calculations'!HN308&lt;&gt;"",COUNTIF('Calculations'!$HN$12:HN308,"="&amp;SUBSTITUTE(SUBSTITUTE(SUBSTITUTE('Calculations'!HN308,"~","~~"),"*","~*"),"?","~?"))=1),MAX('Calculations'!$HI$12:HI307)+1,0)</x:f>
        <x:v>0</x:v>
      </x:c>
      <x:c r="HJ308" t="str">
        <x:f>IF('Calculations'!HF308="","",IF(COUNTIF('Calculations'!$HE$13:$HE$512,"="&amp;SUBSTITUTE(SUBSTITUTE(SUBSTITUTE('Calculations'!HF308,"~","~~"),"*","~*"),"?","~?"))=1,INDEX('Calculations'!$HK$13:$HK$512,MATCH('Calculations'!HF308,'Calculations'!$HE$13:$HE$512,0)),IFERROR(IF(INDEX(INDIRECT("'WCM Calibration Final'!$E$1:$E$2000"),'Calculations'!$EM308)="","",TRIM(INDEX(INDIRECT("'WCM Calibration Final'!$E$1:$E$2000"),'Calculations'!$EM308)&amp;"")),"")&amp;" ["&amp;'Calculations'!HF308&amp;"]"))</x:f>
      </x:c>
      <x:c r="HK308" t="str">
        <x:f>IF('Calculations'!EM308="","",'Calculations'!HG308&amp;" ["&amp;'Calculations'!HE308&amp;"]")</x:f>
      </x:c>
      <x:c r="HL308" t="n">
        <x:f>IF('Calculations'!EM308="",0,IF(OR('Calculations'!II308&lt;&gt;"",COUNTIF('Calculations'!$HE$13:$HE$512,"="&amp;SUBSTITUTE(SUBSTITUTE(SUBSTITUTE('Calculations'!HE308,"~","~~"),"*","~*"),"?","~?"))&gt;1),1,0))</x:f>
        <x:v>0</x:v>
      </x:c>
      <x:c r="HM308" t="str">
        <x:f>IF('Calculations'!EM308="","",IF('Calculations'!HL308=1,"!UNRESOLVED",IF('Calculations'!IH308&lt;&gt;"",'Calculations'!IH308,IF('Calculations'!IG308&lt;&gt;"",'Calculations'!IG308,IF('Calculations'!IF308&lt;&gt;"",'Calculations'!IF308,IF('Calculations'!IE308&lt;&gt;"",'Calculations'!IE308,IF('Calculations'!ID308&lt;&gt;"",'Calculations'!ID308,IF('Calculations'!IC308&lt;&gt;"",'Calculations'!IC308,IF('Calculations'!IB308&lt;&gt;"",'Calculations'!IB308,IF('Calculations'!IA308&lt;&gt;"",'Calculations'!IA308,IF('Calculations'!HZ308&lt;&gt;"",'Calculations'!HZ308,IF('Calculations'!HY308&lt;&gt;"",'Calculations'!HY308,IF('Calculations'!HX308&lt;&gt;"",'Calculations'!HX308,IF('Calculations'!HW308&lt;&gt;"",'Calculations'!HW308,IF('Calculations'!HV308&lt;&gt;"",'Calculations'!HV308,IF('Calculations'!HU308&lt;&gt;"",'Calculations'!HU308,IF('Calculations'!HT308&lt;&gt;"",'Calculations'!HT308,IF('Calculations'!HS308&lt;&gt;"",'Calculations'!HS308,IF('Calculations'!HR308&lt;&gt;"",'Calculations'!HR308,IF('Calculations'!HQ308&lt;&gt;"",'Calculations'!HQ308,IF('Calculations'!HP308&lt;&gt;"",'Calculations'!HP308,IF('Calculations'!HO308&lt;&gt;"",'Calculations'!HO308,'Calculations'!HE308))))))))))))))))))))))</x:f>
      </x:c>
      <x:c r="HN308" t="str">
        <x:f>IF('Calculations'!EM308="","",IF(IFERROR(IF(INDEX(INDIRECT("'WCM Calibration Final'!$F$1:$F$2000"),'Calculations'!$EM308)="","",TRIM(INDEX(INDIRECT("'WCM Calibration Final'!$F$1:$F$2000"),'Calculations'!$EM308)&amp;"")),"")="","(Blank)",IFERROR(IF(INDEX(INDIRECT("'WCM Calibration Final'!$F$1:$F$2000"),'Calculations'!$EM308)="","",TRIM(INDEX(INDIRECT("'WCM Calibration Final'!$F$1:$F$2000"),'Calculations'!$EM308)&amp;"")),"")))</x:f>
      </x:c>
      <x:c r="HO308" t="str">
        <x:f>'Calculations'!HF308</x:f>
      </x:c>
      <x:c r="HP308" t="str">
        <x:f>IF('Calculations'!HO308="","",IF('Calculations'!HO308="!AMBIG","!AMBIG",IF(COUNTIF('Calculations'!$HE$13:$HE$512,"="&amp;SUBSTITUTE(SUBSTITUTE(SUBSTITUTE('Calculations'!HO308,"~","~~"),"*","~*"),"?","~?"))&gt;1,"!AMBIG",IFERROR(INDEX('Calculations'!$HF$13:$HF$512,MATCH('Calculations'!HO308,'Calculations'!$HE$13:$HE$512,0)),""))))</x:f>
      </x:c>
      <x:c r="HQ308" t="str">
        <x:f>IF('Calculations'!HP308="","",IF('Calculations'!HP308="!AMBIG","!AMBIG",IF(COUNTIF('Calculations'!$HE$13:$HE$512,"="&amp;SUBSTITUTE(SUBSTITUTE(SUBSTITUTE('Calculations'!HP308,"~","~~"),"*","~*"),"?","~?"))&gt;1,"!AMBIG",IFERROR(INDEX('Calculations'!$HF$13:$HF$512,MATCH('Calculations'!HP308,'Calculations'!$HE$13:$HE$512,0)),""))))</x:f>
      </x:c>
      <x:c r="HR308" t="str">
        <x:f>IF('Calculations'!HQ308="","",IF('Calculations'!HQ308="!AMBIG","!AMBIG",IF(COUNTIF('Calculations'!$HE$13:$HE$512,"="&amp;SUBSTITUTE(SUBSTITUTE(SUBSTITUTE('Calculations'!HQ308,"~","~~"),"*","~*"),"?","~?"))&gt;1,"!AMBIG",IFERROR(INDEX('Calculations'!$HF$13:$HF$512,MATCH('Calculations'!HQ308,'Calculations'!$HE$13:$HE$512,0)),""))))</x:f>
      </x:c>
      <x:c r="HS308" t="str">
        <x:f>IF('Calculations'!HR308="","",IF('Calculations'!HR308="!AMBIG","!AMBIG",IF(COUNTIF('Calculations'!$HE$13:$HE$512,"="&amp;SUBSTITUTE(SUBSTITUTE(SUBSTITUTE('Calculations'!HR308,"~","~~"),"*","~*"),"?","~?"))&gt;1,"!AMBIG",IFERROR(INDEX('Calculations'!$HF$13:$HF$512,MATCH('Calculations'!HR308,'Calculations'!$HE$13:$HE$512,0)),""))))</x:f>
      </x:c>
      <x:c r="HT308" t="str">
        <x:f>IF('Calculations'!HS308="","",IF('Calculations'!HS308="!AMBIG","!AMBIG",IF(COUNTIF('Calculations'!$HE$13:$HE$512,"="&amp;SUBSTITUTE(SUBSTITUTE(SUBSTITUTE('Calculations'!HS308,"~","~~"),"*","~*"),"?","~?"))&gt;1,"!AMBIG",IFERROR(INDEX('Calculations'!$HF$13:$HF$512,MATCH('Calculations'!HS308,'Calculations'!$HE$13:$HE$512,0)),""))))</x:f>
      </x:c>
      <x:c r="HU308" t="str">
        <x:f>IF('Calculations'!HT308="","",IF('Calculations'!HT308="!AMBIG","!AMBIG",IF(COUNTIF('Calculations'!$HE$13:$HE$512,"="&amp;SUBSTITUTE(SUBSTITUTE(SUBSTITUTE('Calculations'!HT308,"~","~~"),"*","~*"),"?","~?"))&gt;1,"!AMBIG",IFERROR(INDEX('Calculations'!$HF$13:$HF$512,MATCH('Calculations'!HT308,'Calculations'!$HE$13:$HE$512,0)),""))))</x:f>
      </x:c>
      <x:c r="HV308" t="str">
        <x:f>IF('Calculations'!HU308="","",IF('Calculations'!HU308="!AMBIG","!AMBIG",IF(COUNTIF('Calculations'!$HE$13:$HE$512,"="&amp;SUBSTITUTE(SUBSTITUTE(SUBSTITUTE('Calculations'!HU308,"~","~~"),"*","~*"),"?","~?"))&gt;1,"!AMBIG",IFERROR(INDEX('Calculations'!$HF$13:$HF$512,MATCH('Calculations'!HU308,'Calculations'!$HE$13:$HE$512,0)),""))))</x:f>
      </x:c>
      <x:c r="HW308" t="str">
        <x:f>IF('Calculations'!HV308="","",IF('Calculations'!HV308="!AMBIG","!AMBIG",IF(COUNTIF('Calculations'!$HE$13:$HE$512,"="&amp;SUBSTITUTE(SUBSTITUTE(SUBSTITUTE('Calculations'!HV308,"~","~~"),"*","~*"),"?","~?"))&gt;1,"!AMBIG",IFERROR(INDEX('Calculations'!$HF$13:$HF$512,MATCH('Calculations'!HV308,'Calculations'!$HE$13:$HE$512,0)),""))))</x:f>
      </x:c>
      <x:c r="HX308" t="str">
        <x:f>IF('Calculations'!HW308="","",IF('Calculations'!HW308="!AMBIG","!AMBIG",IF(COUNTIF('Calculations'!$HE$13:$HE$512,"="&amp;SUBSTITUTE(SUBSTITUTE(SUBSTITUTE('Calculations'!HW308,"~","~~"),"*","~*"),"?","~?"))&gt;1,"!AMBIG",IFERROR(INDEX('Calculations'!$HF$13:$HF$512,MATCH('Calculations'!HW308,'Calculations'!$HE$13:$HE$512,0)),""))))</x:f>
      </x:c>
      <x:c r="HY308" t="str">
        <x:f>IF('Calculations'!HX308="","",IF('Calculations'!HX308="!AMBIG","!AMBIG",IF(COUNTIF('Calculations'!$HE$13:$HE$512,"="&amp;SUBSTITUTE(SUBSTITUTE(SUBSTITUTE('Calculations'!HX308,"~","~~"),"*","~*"),"?","~?"))&gt;1,"!AMBIG",IFERROR(INDEX('Calculations'!$HF$13:$HF$512,MATCH('Calculations'!HX308,'Calculations'!$HE$13:$HE$512,0)),""))))</x:f>
      </x:c>
      <x:c r="HZ308" t="str">
        <x:f>IF('Calculations'!HY308="","",IF('Calculations'!HY308="!AMBIG","!AMBIG",IF(COUNTIF('Calculations'!$HE$13:$HE$512,"="&amp;SUBSTITUTE(SUBSTITUTE(SUBSTITUTE('Calculations'!HY308,"~","~~"),"*","~*"),"?","~?"))&gt;1,"!AMBIG",IFERROR(INDEX('Calculations'!$HF$13:$HF$512,MATCH('Calculations'!HY308,'Calculations'!$HE$13:$HE$512,0)),""))))</x:f>
      </x:c>
      <x:c r="IA308" t="str">
        <x:f>IF('Calculations'!HZ308="","",IF('Calculations'!HZ308="!AMBIG","!AMBIG",IF(COUNTIF('Calculations'!$HE$13:$HE$512,"="&amp;SUBSTITUTE(SUBSTITUTE(SUBSTITUTE('Calculations'!HZ308,"~","~~"),"*","~*"),"?","~?"))&gt;1,"!AMBIG",IFERROR(INDEX('Calculations'!$HF$13:$HF$512,MATCH('Calculations'!HZ308,'Calculations'!$HE$13:$HE$512,0)),""))))</x:f>
      </x:c>
      <x:c r="IB308" t="str">
        <x:f>IF('Calculations'!IA308="","",IF('Calculations'!IA308="!AMBIG","!AMBIG",IF(COUNTIF('Calculations'!$HE$13:$HE$512,"="&amp;SUBSTITUTE(SUBSTITUTE(SUBSTITUTE('Calculations'!IA308,"~","~~"),"*","~*"),"?","~?"))&gt;1,"!AMBIG",IFERROR(INDEX('Calculations'!$HF$13:$HF$512,MATCH('Calculations'!IA308,'Calculations'!$HE$13:$HE$512,0)),""))))</x:f>
      </x:c>
      <x:c r="IC308" t="str">
        <x:f>IF('Calculations'!IB308="","",IF('Calculations'!IB308="!AMBIG","!AMBIG",IF(COUNTIF('Calculations'!$HE$13:$HE$512,"="&amp;SUBSTITUTE(SUBSTITUTE(SUBSTITUTE('Calculations'!IB308,"~","~~"),"*","~*"),"?","~?"))&gt;1,"!AMBIG",IFERROR(INDEX('Calculations'!$HF$13:$HF$512,MATCH('Calculations'!IB308,'Calculations'!$HE$13:$HE$512,0)),""))))</x:f>
      </x:c>
      <x:c r="ID308" t="str">
        <x:f>IF('Calculations'!IC308="","",IF('Calculations'!IC308="!AMBIG","!AMBIG",IF(COUNTIF('Calculations'!$HE$13:$HE$512,"="&amp;SUBSTITUTE(SUBSTITUTE(SUBSTITUTE('Calculations'!IC308,"~","~~"),"*","~*"),"?","~?"))&gt;1,"!AMBIG",IFERROR(INDEX('Calculations'!$HF$13:$HF$512,MATCH('Calculations'!IC308,'Calculations'!$HE$13:$HE$512,0)),""))))</x:f>
      </x:c>
      <x:c r="IE308" t="str">
        <x:f>IF('Calculations'!ID308="","",IF('Calculations'!ID308="!AMBIG","!AMBIG",IF(COUNTIF('Calculations'!$HE$13:$HE$512,"="&amp;SUBSTITUTE(SUBSTITUTE(SUBSTITUTE('Calculations'!ID308,"~","~~"),"*","~*"),"?","~?"))&gt;1,"!AMBIG",IFERROR(INDEX('Calculations'!$HF$13:$HF$512,MATCH('Calculations'!ID308,'Calculations'!$HE$13:$HE$512,0)),""))))</x:f>
      </x:c>
      <x:c r="IF308" t="str">
        <x:f>IF('Calculations'!IE308="","",IF('Calculations'!IE308="!AMBIG","!AMBIG",IF(COUNTIF('Calculations'!$HE$13:$HE$512,"="&amp;SUBSTITUTE(SUBSTITUTE(SUBSTITUTE('Calculations'!IE308,"~","~~"),"*","~*"),"?","~?"))&gt;1,"!AMBIG",IFERROR(INDEX('Calculations'!$HF$13:$HF$512,MATCH('Calculations'!IE308,'Calculations'!$HE$13:$HE$512,0)),""))))</x:f>
      </x:c>
      <x:c r="IG308" t="str">
        <x:f>IF('Calculations'!IF308="","",IF('Calculations'!IF308="!AMBIG","!AMBIG",IF(COUNTIF('Calculations'!$HE$13:$HE$512,"="&amp;SUBSTITUTE(SUBSTITUTE(SUBSTITUTE('Calculations'!IF308,"~","~~"),"*","~*"),"?","~?"))&gt;1,"!AMBIG",IFERROR(INDEX('Calculations'!$HF$13:$HF$512,MATCH('Calculations'!IF308,'Calculations'!$HE$13:$HE$512,0)),""))))</x:f>
      </x:c>
      <x:c r="IH308" t="str">
        <x:f>IF('Calculations'!IG308="","",IF('Calculations'!IG308="!AMBIG","!AMBIG",IF(COUNTIF('Calculations'!$HE$13:$HE$512,"="&amp;SUBSTITUTE(SUBSTITUTE(SUBSTITUTE('Calculations'!IG308,"~","~~"),"*","~*"),"?","~?"))&gt;1,"!AMBIG",IFERROR(INDEX('Calculations'!$HF$13:$HF$512,MATCH('Calculations'!IG308,'Calculations'!$HE$13:$HE$512,0)),""))))</x:f>
      </x:c>
      <x:c r="II308" t="str">
        <x:f>IF('Calculations'!IH308="","",IF('Calculations'!IH308="!AMBIG","!AMBIG",IF(COUNTIF('Calculations'!$HE$13:$HE$512,"="&amp;SUBSTITUTE(SUBSTITUTE(SUBSTITUTE('Calculations'!IH308,"~","~~"),"*","~*"),"?","~?"))&gt;1,"!AMBIG",IFERROR(INDEX('Calculations'!$HF$13:$HF$512,MATCH('Calculations'!IH308,'Calculations'!$HE$13:$HE$512,0)),""))))</x:f>
      </x:c>
      <x:c r="IJ308" t="str">
        <x:f>IF('Calculations'!EM308="","",IF('Calculations'!$EF$2="All",'Calculations'!HM308,IF('Calculations'!HL308=1,"",IFERROR(IF(MATCH('Calculations'!$EF$2,'Calculations'!HO308:II308,0)=1,'Calculations'!HE308,INDEX('Calculations'!HO308:II308,1,MATCH('Calculations'!$EF$2,'Calculations'!HO308:II308,0)-1)),""))))</x:f>
      </x:c>
      <x:c r="IK308" t="n">
        <x:f>IF(AND('Calculations'!EM308&lt;&gt;"",'Calculations'!$EF$2&lt;&gt;"All",'Calculations'!HF308='Calculations'!$EF$2,'Calculations'!HL308=0,'Calculations'!JD308&gt;0),MAX('Calculations'!$IK$12:IK307)+1,0)</x:f>
        <x:v>0</x:v>
      </x:c>
      <x:c r="JA308" t="n">
        <x:f>IF(OR(IFERROR(INDIRECT("'WCM Calibration Final'!$A$308")&lt;&gt;"",FALSE),IFERROR(INDIRECT("'WCM Calibration Final'!$B$308")&lt;&gt;"",FALSE),IFERROR(INDIRECT("'WCM Calibration Final'!$C$308")&lt;&gt;"",FALSE)),308,0)</x:f>
        <x:v>0</x:v>
      </x:c>
      <x:c r="JB308" t="n">
        <x:f>'Calculations'!JB307+IF('Calculations'!JA308&gt;0,1,0)</x:f>
        <x:v>0</x:v>
      </x:c>
      <x:c r="JC308" t="n">
        <x:f>IF(OR('Calculations'!HF308="",'Calculations'!HF308="!AMBIG"),0,IF('Dashboard'!$B$7="All",1,COUNTIFS('Calculations'!$HO$13:$HO$512,"="&amp;SUBSTITUTE(SUBSTITUTE(SUBSTITUTE('Calculations'!HF308,"~","~~"),"*","~*"),"?","~?"),'Calculations'!$HN$13:$HN$512,"="&amp;SUBSTITUTE(SUBSTITUTE(SUBSTITUTE('Dashboard'!$B$7,"~","~~"),"*","~*"),"?","~?"))+COUNTIFS('Calculations'!$HP$13:$HP$512,"="&amp;SUBSTITUTE(SUBSTITUTE(SUBSTITUTE('Calculations'!HF308,"~","~~"),"*","~*"),"?","~?"),'Calculations'!$HN$13:$HN$512,"="&amp;SUBSTITUTE(SUBSTITUTE(SUBSTITUTE('Dashboard'!$B$7,"~","~~"),"*","~*"),"?","~?"))+COUNTIFS('Calculations'!$HQ$13:$HQ$512,"="&amp;SUBSTITUTE(SUBSTITUTE(SUBSTITUTE('Calculations'!HF308,"~","~~"),"*","~*"),"?","~?"),'Calculations'!$HN$13:$HN$512,"="&amp;SUBSTITUTE(SUBSTITUTE(SUBSTITUTE('Dashboard'!$B$7,"~","~~"),"*","~*"),"?","~?"))+COUNTIFS('Calculations'!$HR$13:$HR$512,"="&amp;SUBSTITUTE(SUBSTITUTE(SUBSTITUTE('Calculations'!HF308,"~","~~"),"*","~*"),"?","~?"),'Calculations'!$HN$13:$HN$512,"="&amp;SUBSTITUTE(SUBSTITUTE(SUBSTITUTE('Dashboard'!$B$7,"~","~~"),"*","~*"),"?","~?"))+COUNTIFS('Calculations'!$HS$13:$HS$512,"="&amp;SUBSTITUTE(SUBSTITUTE(SUBSTITUTE('Calculations'!HF308,"~","~~"),"*","~*"),"?","~?"),'Calculations'!$HN$13:$HN$512,"="&amp;SUBSTITUTE(SUBSTITUTE(SUBSTITUTE('Dashboard'!$B$7,"~","~~"),"*","~*"),"?","~?"))+COUNTIFS('Calculations'!$HT$13:$HT$512,"="&amp;SUBSTITUTE(SUBSTITUTE(SUBSTITUTE('Calculations'!HF308,"~","~~"),"*","~*"),"?","~?"),'Calculations'!$HN$13:$HN$512,"="&amp;SUBSTITUTE(SUBSTITUTE(SUBSTITUTE('Dashboard'!$B$7,"~","~~"),"*","~*"),"?","~?"))+COUNTIFS('Calculations'!$HU$13:$HU$512,"="&amp;SUBSTITUTE(SUBSTITUTE(SUBSTITUTE('Calculations'!HF308,"~","~~"),"*","~*"),"?","~?"),'Calculations'!$HN$13:$HN$512,"="&amp;SUBSTITUTE(SUBSTITUTE(SUBSTITUTE('Dashboard'!$B$7,"~","~~"),"*","~*"),"?","~?"))+COUNTIFS('Calculations'!$HV$13:$HV$512,"="&amp;SUBSTITUTE(SUBSTITUTE(SUBSTITUTE('Calculations'!HF308,"~","~~"),"*","~*"),"?","~?"),'Calculations'!$HN$13:$HN$512,"="&amp;SUBSTITUTE(SUBSTITUTE(SUBSTITUTE('Dashboard'!$B$7,"~","~~"),"*","~*"),"?","~?"))+COUNTIFS('Calculations'!$HW$13:$HW$512,"="&amp;SUBSTITUTE(SUBSTITUTE(SUBSTITUTE('Calculations'!HF308,"~","~~"),"*","~*"),"?","~?"),'Calculations'!$HN$13:$HN$512,"="&amp;SUBSTITUTE(SUBSTITUTE(SUBSTITUTE('Dashboard'!$B$7,"~","~~"),"*","~*"),"?","~?"))+COUNTIFS('Calculations'!$HX$13:$HX$512,"="&amp;SUBSTITUTE(SUBSTITUTE(SUBSTITUTE('Calculations'!HF308,"~","~~"),"*","~*"),"?","~?"),'Calculations'!$HN$13:$HN$512,"="&amp;SUBSTITUTE(SUBSTITUTE(SUBSTITUTE('Dashboard'!$B$7,"~","~~"),"*","~*"),"?","~?"))+COUNTIFS('Calculations'!$HY$13:$HY$512,"="&amp;SUBSTITUTE(SUBSTITUTE(SUBSTITUTE('Calculations'!HF308,"~","~~"),"*","~*"),"?","~?"),'Calculations'!$HN$13:$HN$512,"="&amp;SUBSTITUTE(SUBSTITUTE(SUBSTITUTE('Dashboard'!$B$7,"~","~~"),"*","~*"),"?","~?"))+COUNTIFS('Calculations'!$HZ$13:$HZ$512,"="&amp;SUBSTITUTE(SUBSTITUTE(SUBSTITUTE('Calculations'!HF308,"~","~~"),"*","~*"),"?","~?"),'Calculations'!$HN$13:$HN$512,"="&amp;SUBSTITUTE(SUBSTITUTE(SUBSTITUTE('Dashboard'!$B$7,"~","~~"),"*","~*"),"?","~?"))+COUNTIFS('Calculations'!$IA$13:$IA$512,"="&amp;SUBSTITUTE(SUBSTITUTE(SUBSTITUTE('Calculations'!HF308,"~","~~"),"*","~*"),"?","~?"),'Calculations'!$HN$13:$HN$512,"="&amp;SUBSTITUTE(SUBSTITUTE(SUBSTITUTE('Dashboard'!$B$7,"~","~~"),"*","~*"),"?","~?"))+COUNTIFS('Calculations'!$IB$13:$IB$512,"="&amp;SUBSTITUTE(SUBSTITUTE(SUBSTITUTE('Calculations'!HF308,"~","~~"),"*","~*"),"?","~?"),'Calculations'!$HN$13:$HN$512,"="&amp;SUBSTITUTE(SUBSTITUTE(SUBSTITUTE('Dashboard'!$B$7,"~","~~"),"*","~*"),"?","~?"))+COUNTIFS('Calculations'!$IC$13:$IC$512,"="&amp;SUBSTITUTE(SUBSTITUTE(SUBSTITUTE('Calculations'!HF308,"~","~~"),"*","~*"),"?","~?"),'Calculations'!$HN$13:$HN$512,"="&amp;SUBSTITUTE(SUBSTITUTE(SUBSTITUTE('Dashboard'!$B$7,"~","~~"),"*","~*"),"?","~?"))+COUNTIFS('Calculations'!$ID$13:$ID$512,"="&amp;SUBSTITUTE(SUBSTITUTE(SUBSTITUTE('Calculations'!HF308,"~","~~"),"*","~*"),"?","~?"),'Calculations'!$HN$13:$HN$512,"="&amp;SUBSTITUTE(SUBSTITUTE(SUBSTITUTE('Dashboard'!$B$7,"~","~~"),"*","~*"),"?","~?"))+COUNTIFS('Calculations'!$IE$13:$IE$512,"="&amp;SUBSTITUTE(SUBSTITUTE(SUBSTITUTE('Calculations'!HF308,"~","~~"),"*","~*"),"?","~?"),'Calculations'!$HN$13:$HN$512,"="&amp;SUBSTITUTE(SUBSTITUTE(SUBSTITUTE('Dashboard'!$B$7,"~","~~"),"*","~*"),"?","~?"))+COUNTIFS('Calculations'!$IF$13:$IF$512,"="&amp;SUBSTITUTE(SUBSTITUTE(SUBSTITUTE('Calculations'!HF308,"~","~~"),"*","~*"),"?","~?"),'Calculations'!$HN$13:$HN$512,"="&amp;SUBSTITUTE(SUBSTITUTE(SUBSTITUTE('Dashboard'!$B$7,"~","~~"),"*","~*"),"?","~?"))+COUNTIFS('Calculations'!$IG$13:$IG$512,"="&amp;SUBSTITUTE(SUBSTITUTE(SUBSTITUTE('Calculations'!HF308,"~","~~"),"*","~*"),"?","~?"),'Calculations'!$HN$13:$HN$512,"="&amp;SUBSTITUTE(SUBSTITUTE(SUBSTITUTE('Dashboard'!$B$7,"~","~~"),"*","~*"),"?","~?"))+COUNTIFS('Calculations'!$IH$13:$IH$512,"="&amp;SUBSTITUTE(SUBSTITUTE(SUBSTITUTE('Calculations'!HF308,"~","~~"),"*","~*"),"?","~?"),'Calculations'!$HN$13:$HN$512,"="&amp;SUBSTITUTE(SUBSTITUTE(SUBSTITUTE('Dashboard'!$B$7,"~","~~"),"*","~*"),"?","~?"))))</x:f>
        <x:v>0</x:v>
      </x:c>
      <x:c r="JD308" t="n">
        <x:f>IF('Calculations'!EM308="",0,IF('Dashboard'!$B$7="All",1,IF('Calculations'!HN308='Dashboard'!$B$7,1,0)+IFERROR(INDEX('Calculations'!$JC$13:$JC$512,MATCH('Calculations'!HE308,'Calculations'!$HF$13:$HF$512,0)),0)))</x:f>
        <x:v>0</x:v>
      </x:c>
      <x:c r="JE308" t="n">
        <x:f>IF(AND('Calculations'!EM308&lt;&gt;"",'Calculations'!$JJ$2&lt;&gt;"All",'Calculations'!$JJ$2&lt;&gt;"",'Calculations'!HF308='Calculations'!$JJ$2,'Calculations'!HL308=0,'Calculations'!JD308&gt;0),MAX('Calculations'!$JE$12:JE307)+1,0)</x:f>
        <x:v>0</x:v>
      </x:c>
      <x:c r="JF308" t="str">
        <x:f>IF('Calculations'!EM308="","",IFERROR(IF(INDEX(INDIRECT("'WCM Calibration Final'!$G$1:$G$2000"),'Calculations'!$EM308)="","",TRIM(INDEX(INDIRECT("'WCM Calibration Final'!$G$1:$G$2000"),'Calculations'!$EM308)&amp;"")),""))</x:f>
      </x:c>
      <x:c r="JQ308" t="n">
        <x:f>IF(OR('Calculations'!BM308=0,NOT('Calculations'!$AG$2),'Calculations'!$AG$8&gt;0),0,IF(OR('Dashboard'!$B$7="All",'Calculations'!HN308='Dashboard'!$B$7),IF('Calculations'!$JJ$2="All",1,IF(AND('Calculations'!HF308='Calculations'!$JJ$2,'Calculations'!HL308=0),1,0)),0))</x:f>
        <x:v>0</x:v>
      </x:c>
    </x:row>
    <x:row r="309">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t="n">
        <x:f>IF('Calculations'!$EM309="",0,IF(OR(IFERROR(INDEX(INDIRECT("'WCM Calibration Final'!$A$1:$A$2000"),'Calculations'!$EM309)&lt;&gt;"",FALSE),IFERROR(INDEX(INDIRECT("'WCM Calibration Final'!$B$1:$B$2000"),'Calculations'!$EM309)&lt;&gt;"",FALSE),IFERROR(INDEX(INDIRECT("'WCM Calibration Final'!$C$1:$C$2000"),'Calculations'!$EM309)&lt;&gt;"",FALSE)),1,0))</x:f>
        <x:v>0</x:v>
      </x:c>
      <x:c r="BN309" s="4" t="n">
        <x:f>IF(AND('Calculations'!BM309=1,'Calculations'!$AG$2,'Calculations'!$EN309=1),1,0)</x:f>
        <x:v>0</x:v>
      </x:c>
      <x:c r="BO309" s="4" t="str">
        <x:f>IF('Calculations'!BM309=0,"",IFERROR(IF(AND(VALUE(INDEX(INDIRECT("'WCM Calibration Final'!$K$1:$K$2000"),'Calculations'!$EM309))&gt;=1,VALUE(INDEX(INDIRECT("'WCM Calibration Final'!$K$1:$K$2000"),'Calculations'!$EM309))&lt;=4,MOD(VALUE(INDEX(INDIRECT("'WCM Calibration Final'!$K$1:$K$2000"),'Calculations'!$EM309)),1)=0),VALUE(INDEX(INDIRECT("'WCM Calibration Final'!$K$1:$K$2000"),'Calculations'!$EM309)),""),""))</x:f>
      </x:c>
      <x:c r="BP309" s="4" t="str">
        <x:f>IF('Calculations'!BM309=0,"",IFERROR(IF(AND(VALUE(INDEX(INDIRECT("'WCM Calibration Final'!$L$1:$L$2000"),'Calculations'!$EM309))&gt;=1,VALUE(INDEX(INDIRECT("'WCM Calibration Final'!$L$1:$L$2000"),'Calculations'!$EM309))&lt;=4,MOD(VALUE(INDEX(INDIRECT("'WCM Calibration Final'!$L$1:$L$2000"),'Calculations'!$EM309)),1)=0),VALUE(INDEX(INDIRECT("'WCM Calibration Final'!$L$1:$L$2000"),'Calculations'!$EM309)),""),""))</x:f>
      </x:c>
      <x:c r="BQ309" s="4"/>
      <x:c r="BR309" s="4"/>
      <x:c r="BS309" s="4"/>
      <x:c r="BT309" s="4" t="n">
        <x:f>IF(AND('Calculations'!BM309=1,ISNUMBER('Calculations'!BO309),ISNUMBER('Calculations'!BP309)),1,0)</x:f>
        <x:v>0</x:v>
      </x:c>
      <x:c r="BU309" s="4" t="str">
        <x:f>IF('Calculations'!BM309=0,"",'Calculations'!$EO309)</x:f>
      </x:c>
      <x:c r="BV309" s="4" t="str">
        <x:f>IF('Calculations'!BM309=0,"",IFERROR(IF(OR(INDEX(INDIRECT("'WCM Calibration Final'!$H$1:$H$2000"),'Calculations'!$EM309)="MANAGING DIRECTOR",INDEX(INDIRECT("'WCM Calibration Final'!$H$1:$H$2000"),'Calculations'!$EM309)="DIRECTOR",INDEX(INDIRECT("'WCM Calibration Final'!$H$1:$H$2000"),'Calculations'!$EM309)="SENIOR VICE PRESIDENT",INDEX(INDIRECT("'WCM Calibration Final'!$H$1:$H$2000"),'Calculations'!$EM309)="VICE PRESIDENT",INDEX(INDIRECT("'WCM Calibration Final'!$H$1:$H$2000"),'Calculations'!$EM309)="ASSISTANT VICE PRESIDENT",INDEX(INDIRECT("'WCM Calibration Final'!$H$1:$H$2000"),'Calculations'!$EM309)="OFFICER"),UPPER(INDEX(INDIRECT("'WCM Calibration Final'!$H$1:$H$2000"),'Calculations'!$EM309)),"Other"),"Other"))</x:f>
      </x:c>
      <x:c r="BW309" s="4"/>
      <x:c r="BX309" s="4"/>
      <x:c r="BY309" s="4" t="n">
        <x:f>IF(AND('Calculations'!BM309=1,'Calculations'!BU309&lt;&gt;"",COUNTIF('Calculations'!$BU$12:BU309,'Calculations'!BU309)=1),MAX('Calculations'!$BY$11:BY308)+1,0)</x:f>
        <x:v>0</x:v>
      </x:c>
      <x:c r="BZ309" s="4" t="str">
        <x:f>IF('Dashboard'!$E$67="What",'Calculations'!BO309,'Calculations'!BP309)</x:f>
      </x:c>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t="str">
        <x:f>IF(298&gt;MAX('Calculations'!$HI$13:$HI$512),"",INDEX('Calculations'!$HN$13:$HN$512,MATCH(298,'Calculations'!$HI$13:$HI$512,0)))</x:f>
      </x:c>
      <x:c r="DB309" s="4" t="str">
        <x:f>IF(298&gt;MAX('Calculations'!$HH$13:$HH$512),"",INDEX('Calculations'!$HJ$13:$HJ$512,MATCH(298,'Calculations'!$HH$13:$HH$512,0)))</x:f>
      </x:c>
      <x:c r="DC309" s="4" t="str">
        <x:f>IF(ROW()-11&gt;MAX('Calculations'!$BY$13:$BY$512),"",INDEX('Calculations'!$BU$13:$BU$512,MATCH(ROW()-11,'Calculations'!$BY$13:$BY$512,0)))</x:f>
      </x:c>
      <x:c r="DD309" s="4" t="str">
        <x:f>IF(298&gt;MAX('Calculations'!$IK$13:$IK$512),"",INDEX('Calculations'!$HK$13:$HK$512,MATCH(298,'Calculations'!$IK$13:$IK$512,0)))</x:f>
      </x:c>
      <x:c r="DE309" s="4" t="str">
        <x:f>'Calculations'!DC309</x:f>
      </x:c>
      <x:c r="DF309" s="4" t="str">
        <x:f>IF('Calculations'!DE309="","",COUNTIFS('Calculations'!$BN$13:$BN$512,1,'Calculations'!$BU$13:$BU$512,'Calculations'!DE309))</x:f>
      </x:c>
      <x:c r="DG309" s="4" t="str">
        <x:f>IF('Calculations'!DE309="","",COUNTIFS('Calculations'!$BN$13:$BN$512,1,'Calculations'!$BU$13:$BU$512,'Calculations'!DE309,'Calculations'!$BT$13:$BT$512,1))</x:f>
      </x:c>
      <x:c r="DH309" s="4" t="str">
        <x:f>IF('Calculations'!DE309="","",'Calculations'!DF309-'Calculations'!DG309)</x:f>
      </x:c>
      <x:c r="DI309" s="4" t="str">
        <x:f>IF(OR('Calculations'!DE309="",'Calculations'!DF309=0),"",'Calculations'!DG309/'Calculations'!DF309)</x:f>
      </x:c>
      <x:c r="DJ309" s="4" t="str">
        <x:f>IF('Calculations'!DE309="","",COUNTIFS('Calculations'!$BN$13:$BN$512,1,'Calculations'!$BU$13:$BU$512,'Calculations'!DE309,'Calculations'!$BT$13:$BT$512,1,'Calculations'!$EE$13:$EE$512,"High"))</x:f>
      </x:c>
      <x:c r="DK309" s="4" t="str">
        <x:f>IF('Calculations'!DE309="","",COUNTIFS('Calculations'!$BN$13:$BN$512,1,'Calculations'!$BU$13:$BU$512,'Calculations'!DE309,'Calculations'!$BT$13:$BT$512,1,'Calculations'!$EE$13:$EE$512,"Strong"))</x:f>
      </x:c>
      <x:c r="DL309" s="4" t="str">
        <x:f>IF('Calculations'!DE309="","",COUNTIFS('Calculations'!$BN$13:$BN$512,1,'Calculations'!$BU$13:$BU$512,'Calculations'!DE309,'Calculations'!$BT$13:$BT$512,1,'Calculations'!$EE$13:$EE$512,"Solid"))</x:f>
      </x:c>
      <x:c r="DM309" s="4" t="str">
        <x:f>IF('Calculations'!DE309="","",COUNTIFS('Calculations'!$BN$13:$BN$512,1,'Calculations'!$BU$13:$BU$512,'Calculations'!DE309,'Calculations'!$BT$13:$BT$512,1,'Calculations'!$EE$13:$EE$512,"Low"))</x:f>
      </x:c>
      <x:c r="DN309" s="4" t="str">
        <x:f>IF('Calculations'!DE309="","",COUNTIFS('Calculations'!$BN$13:$BN$512,1,'Calculations'!$BU$13:$BU$512,'Calculations'!DE309,'Calculations'!$EP$13:$EP$512,1))</x:f>
      </x:c>
      <x:c r="DO309" s="4" t="str">
        <x:f>IF(OR('Calculations'!DE309="",'Calculations'!DG309=0),"",('Calculations'!DJ309+'Calculations'!DK309)/'Calculations'!DG309)</x:f>
      </x:c>
      <x:c r="DP309" s="4" t="n">
        <x:f>IF(AND('Calculations'!DE309&lt;&gt;"",'Calculations'!DF309&gt;0),COUNTIF('Calculations'!$DF$12:DF309,"&gt;0"),0)</x:f>
        <x:v>0</x:v>
      </x:c>
      <x:c r="DQ309" s="4" t="str">
        <x:f>IF(298&gt;MAX('Calculations'!$HH$13:$HH$512),"",INDEX('Calculations'!$HF$13:$HF$512,MATCH(298,'Calculations'!$HH$13:$HH$512,0)))</x:f>
      </x:c>
      <x:c r="DR309" s="4" t="str">
        <x:f>IF(298&gt;MAX('Calculations'!$IK$13:$IK$512),"",INDEX('Calculations'!$HE$13:$HE$512,MATCH(298,'Calculations'!$IK$13:$IK$512,0)))</x:f>
      </x:c>
      <x:c r="DS309" s="4"/>
      <x:c r="DT309" s="4"/>
      <x:c r="DU309" s="4"/>
      <x:c r="DV309" s="4"/>
      <x:c r="DW309" s="4"/>
      <x:c r="DX309" s="4"/>
      <x:c r="DY309" s="4"/>
      <x:c r="DZ309" s="4"/>
      <x:c r="EA309" s="4"/>
      <x:c r="EB309" s="4"/>
      <x:c r="EC309" s="4"/>
      <x:c r="ED309" s="4"/>
      <x:c r="EE309" s="4" t="str">
        <x:f>IF('Calculations'!BT309=0,"Not Rated",IF(OR('Calculations'!BO309&gt;=4,'Calculations'!BP309&gt;=4),"Low",IF('Calculations'!BO309+'Calculations'!BP309&lt;=3,"High",IF('Calculations'!BO309+'Calculations'!BP309&lt;=4,"Strong","Solid"))))</x:f>
        <x:v>Not Rated</x:v>
      </x:c>
      <x:c r="EF309" s="4"/>
      <x:c r="EG309" s="4"/>
      <x:c r="EH309" s="4"/>
      <x:c r="EI309" s="4"/>
      <x:c r="EJ309" s="4"/>
      <x:c r="EK309" s="4"/>
      <x:c r="EL309" s="4"/>
      <x:c r="EM309" s="4" t="str">
        <x:f>IF(297&gt;'Calculations'!$JB$2000,"",INDEX('Calculations'!$JA$12:$JA$2000,MATCH(297,'Calculations'!$JB$12:$JB$2000,0)))</x:f>
      </x:c>
      <x:c r="EN309" s="4" t="n">
        <x:f>IF(OR('Calculations'!EM309="",'Calculations'!$AG$8&gt;0,AND('Calculations'!$EF$2&lt;&gt;"All",'Calculations'!HE309='Calculations'!$EF$2),AND('Calculations'!$EF$3&lt;&gt;"All",'Calculations'!HE309='Calculations'!$EF$3)),0,IF(OR('Dashboard'!$B$7="All",'Calculations'!HN309='Dashboard'!$B$7),IF('Calculations'!$EF$2="All",1,IF('Calculations'!HL309&gt;0,0,IF(COUNTIF('Calculations'!HO309:II309,"="&amp;SUBSTITUTE(SUBSTITUTE(SUBSTITUTE('Calculations'!$EF$2,"~","~~"),"*","~*"),"?","~?"))=0,0,IF('Calculations'!$EF$3="All",1,IF(COUNTIF('Calculations'!HO309:II309,"="&amp;SUBSTITUTE(SUBSTITUTE(SUBSTITUTE('Calculations'!$EF$3,"~","~~"),"*","~*"),"?","~?"))&gt;0,1,0))))),0))</x:f>
        <x:v>0</x:v>
      </x:c>
      <x:c r="EO309" s="4" t="str">
        <x:f>IF('Calculations'!IJ309="","",IF('Calculations'!IJ309="!UNRESOLVED","Unresolved hierarchy",IFERROR(INDEX('Calculations'!$HK$13:$HK$512,MATCH('Calculations'!IJ309,'Calculations'!$HE$13:$HE$512,0)),IFERROR(INDEX('Calculations'!$HJ$13:$HJ$512,MATCH('Calculations'!IJ309,'Calculations'!$HF$13:$HF$512,0)),'Calculations'!IJ309))))</x:f>
      </x:c>
      <x:c r="EP309" s="4" t="n">
        <x:f>IF(AND('Calculations'!EM309&lt;&gt;"",'Calculations'!HF309='Calculations'!IJ309),1,0)</x:f>
        <x:v>0</x:v>
      </x:c>
      <x:c r="EQ309" s="4"/>
      <x:c r="ER309" s="4"/>
      <x:c r="ES309" s="4"/>
      <x:c r="ET309" s="4"/>
      <x:c r="EU309" s="4"/>
      <x:c r="EV309" s="4"/>
      <x:c r="EW309" s="4"/>
      <x:c r="EX309" s="4"/>
      <x:c r="EY309" s="4"/>
      <x:c r="EZ309" s="4"/>
      <x:c r="FA309" s="4"/>
      <x:c r="FB309" s="4"/>
      <x:c r="FC309" s="4"/>
      <x:c r="FD309" s="4"/>
      <x:c r="FE309" s="4"/>
      <x:c r="FF309" s="4"/>
      <x:c r="FG309" s="4"/>
      <x:c r="FH309" s="4"/>
      <x:c r="FI309" s="4"/>
      <x:c r="FJ309" s="4"/>
      <x:c r="FK309" s="4"/>
      <x:c r="FL309" s="4"/>
      <x:c r="FM309" s="4"/>
      <x:c r="FN309" s="4"/>
      <x:c r="FO309" s="4"/>
      <x:c r="HE309" t="str">
        <x:f>IF('Calculations'!EM309="","",IF(IFERROR(IF(INDEX(INDIRECT("'WCM Calibration Final'!$A$1:$A$2000"),'Calculations'!$EM309)="","",TRIM(INDEX(INDIRECT("'WCM Calibration Final'!$A$1:$A$2000"),'Calculations'!$EM309)&amp;"")),"")&lt;&gt;"","G:"&amp;IFERROR(TEXT(1*INDEX(INDIRECT("'WCM Calibration Final'!$A$1:$A$2000"),'Calculations'!$EM309),"0"),UPPER(IFERROR(IF(INDEX(INDIRECT("'WCM Calibration Final'!$A$1:$A$2000"),'Calculations'!$EM309)="","",TRIM(INDEX(INDIRECT("'WCM Calibration Final'!$A$1:$A$2000"),'Calculations'!$EM309)&amp;"")),""))),IF(IFERROR(IF(INDEX(INDIRECT("'WCM Calibration Final'!$C$1:$C$2000"),'Calculations'!$EM309)="","",TRIM(INDEX(INDIRECT("'WCM Calibration Final'!$C$1:$C$2000"),'Calculations'!$EM309)&amp;"")),"")&lt;&gt;"","S:"&amp;UPPER(IFERROR(IF(INDEX(INDIRECT("'WCM Calibration Final'!$C$1:$C$2000"),'Calculations'!$EM309)="","",TRIM(INDEX(INDIRECT("'WCM Calibration Final'!$C$1:$C$2000"),'Calculations'!$EM309)&amp;"")),"")),"R:"&amp;'Calculations'!EM309)))</x:f>
      </x:c>
      <x:c r="HF309" t="str">
        <x:f>IF('Calculations'!EM309="","",IF(IFERROR(IF(INDEX(INDIRECT("'WCM Calibration Final'!$D$1:$D$2000"),'Calculations'!$EM309)="","",TRIM(INDEX(INDIRECT("'WCM Calibration Final'!$D$1:$D$2000"),'Calculations'!$EM309)&amp;"")),"")&lt;&gt;"","G:"&amp;IFERROR(TEXT(1*INDEX(INDIRECT("'WCM Calibration Final'!$D$1:$D$2000"),'Calculations'!$EM309),"0"),UPPER(IFERROR(IF(INDEX(INDIRECT("'WCM Calibration Final'!$D$1:$D$2000"),'Calculations'!$EM309)="","",TRIM(INDEX(INDIRECT("'WCM Calibration Final'!$D$1:$D$2000"),'Calculations'!$EM309)&amp;"")),""))),IF(IFERROR(IF(INDEX(INDIRECT("'WCM Calibration Final'!$E$1:$E$2000"),'Calculations'!$EM309)="","",TRIM(INDEX(INDIRECT("'WCM Calibration Final'!$E$1:$E$2000"),'Calculations'!$EM309)&amp;"")),"")="","",IF(COUNTIF('Calculations'!$HG$13:$HG$512,"="&amp;SUBSTITUTE(SUBSTITUTE(SUBSTITUTE(IFERROR(IF(INDEX(INDIRECT("'WCM Calibration Final'!$E$1:$E$2000"),'Calculations'!$EM309)="","",TRIM(INDEX(INDIRECT("'WCM Calibration Final'!$E$1:$E$2000"),'Calculations'!$EM309)&amp;"")),""),"~","~~"),"*","~*"),"?","~?"))=1,INDEX('Calculations'!$HE$13:$HE$512,MATCH(IFERROR(IF(INDEX(INDIRECT("'WCM Calibration Final'!$E$1:$E$2000"),'Calculations'!$EM309)="","",TRIM(INDEX(INDIRECT("'WCM Calibration Final'!$E$1:$E$2000"),'Calculations'!$EM309)&amp;"")),""),'Calculations'!$HG$13:$HG$512,0)),IF(COUNTIF('Calculations'!$HG$13:$HG$512,"="&amp;SUBSTITUTE(SUBSTITUTE(SUBSTITUTE(IFERROR(IF(INDEX(INDIRECT("'WCM Calibration Final'!$E$1:$E$2000"),'Calculations'!$EM309)="","",TRIM(INDEX(INDIRECT("'WCM Calibration Final'!$E$1:$E$2000"),'Calculations'!$EM309)&amp;"")),""),"~","~~"),"*","~*"),"?","~?"))&gt;1,"!AMBIG","X:"&amp;IFERROR(IF(INDEX(INDIRECT("'WCM Calibration Final'!$E$1:$E$2000"),'Calculations'!$EM309)="","",TRIM(INDEX(INDIRECT("'WCM Calibration Final'!$E$1:$E$2000"),'Calculations'!$EM309)&amp;"")),""))))))</x:f>
      </x:c>
      <x:c r="HG309" t="str">
        <x:f>IF('Calculations'!EM309="","",IFERROR(IF(INDEX(INDIRECT("'WCM Calibration Final'!$B$1:$B$2000"),'Calculations'!$EM309)="","",TRIM(INDEX(INDIRECT("'WCM Calibration Final'!$B$1:$B$2000"),'Calculations'!$EM309)&amp;"")),""))</x:f>
      </x:c>
      <x:c r="HH309" t="n">
        <x:f>IF(AND('Calculations'!JC309&gt;0,COUNTIF('Calculations'!$HF$12:HF309,"="&amp;SUBSTITUTE(SUBSTITUTE(SUBSTITUTE('Calculations'!HF309,"~","~~"),"*","~*"),"?","~?"))=1),MAX('Calculations'!$HH$12:HH308)+1,0)</x:f>
        <x:v>0</x:v>
      </x:c>
      <x:c r="HI309" t="n">
        <x:f>IF(AND('Calculations'!HN309&lt;&gt;"",COUNTIF('Calculations'!$HN$12:HN309,"="&amp;SUBSTITUTE(SUBSTITUTE(SUBSTITUTE('Calculations'!HN309,"~","~~"),"*","~*"),"?","~?"))=1),MAX('Calculations'!$HI$12:HI308)+1,0)</x:f>
        <x:v>0</x:v>
      </x:c>
      <x:c r="HJ309" t="str">
        <x:f>IF('Calculations'!HF309="","",IF(COUNTIF('Calculations'!$HE$13:$HE$512,"="&amp;SUBSTITUTE(SUBSTITUTE(SUBSTITUTE('Calculations'!HF309,"~","~~"),"*","~*"),"?","~?"))=1,INDEX('Calculations'!$HK$13:$HK$512,MATCH('Calculations'!HF309,'Calculations'!$HE$13:$HE$512,0)),IFERROR(IF(INDEX(INDIRECT("'WCM Calibration Final'!$E$1:$E$2000"),'Calculations'!$EM309)="","",TRIM(INDEX(INDIRECT("'WCM Calibration Final'!$E$1:$E$2000"),'Calculations'!$EM309)&amp;"")),"")&amp;" ["&amp;'Calculations'!HF309&amp;"]"))</x:f>
      </x:c>
      <x:c r="HK309" t="str">
        <x:f>IF('Calculations'!EM309="","",'Calculations'!HG309&amp;" ["&amp;'Calculations'!HE309&amp;"]")</x:f>
      </x:c>
      <x:c r="HL309" t="n">
        <x:f>IF('Calculations'!EM309="",0,IF(OR('Calculations'!II309&lt;&gt;"",COUNTIF('Calculations'!$HE$13:$HE$512,"="&amp;SUBSTITUTE(SUBSTITUTE(SUBSTITUTE('Calculations'!HE309,"~","~~"),"*","~*"),"?","~?"))&gt;1),1,0))</x:f>
        <x:v>0</x:v>
      </x:c>
      <x:c r="HM309" t="str">
        <x:f>IF('Calculations'!EM309="","",IF('Calculations'!HL309=1,"!UNRESOLVED",IF('Calculations'!IH309&lt;&gt;"",'Calculations'!IH309,IF('Calculations'!IG309&lt;&gt;"",'Calculations'!IG309,IF('Calculations'!IF309&lt;&gt;"",'Calculations'!IF309,IF('Calculations'!IE309&lt;&gt;"",'Calculations'!IE309,IF('Calculations'!ID309&lt;&gt;"",'Calculations'!ID309,IF('Calculations'!IC309&lt;&gt;"",'Calculations'!IC309,IF('Calculations'!IB309&lt;&gt;"",'Calculations'!IB309,IF('Calculations'!IA309&lt;&gt;"",'Calculations'!IA309,IF('Calculations'!HZ309&lt;&gt;"",'Calculations'!HZ309,IF('Calculations'!HY309&lt;&gt;"",'Calculations'!HY309,IF('Calculations'!HX309&lt;&gt;"",'Calculations'!HX309,IF('Calculations'!HW309&lt;&gt;"",'Calculations'!HW309,IF('Calculations'!HV309&lt;&gt;"",'Calculations'!HV309,IF('Calculations'!HU309&lt;&gt;"",'Calculations'!HU309,IF('Calculations'!HT309&lt;&gt;"",'Calculations'!HT309,IF('Calculations'!HS309&lt;&gt;"",'Calculations'!HS309,IF('Calculations'!HR309&lt;&gt;"",'Calculations'!HR309,IF('Calculations'!HQ309&lt;&gt;"",'Calculations'!HQ309,IF('Calculations'!HP309&lt;&gt;"",'Calculations'!HP309,IF('Calculations'!HO309&lt;&gt;"",'Calculations'!HO309,'Calculations'!HE309))))))))))))))))))))))</x:f>
      </x:c>
      <x:c r="HN309" t="str">
        <x:f>IF('Calculations'!EM309="","",IF(IFERROR(IF(INDEX(INDIRECT("'WCM Calibration Final'!$F$1:$F$2000"),'Calculations'!$EM309)="","",TRIM(INDEX(INDIRECT("'WCM Calibration Final'!$F$1:$F$2000"),'Calculations'!$EM309)&amp;"")),"")="","(Blank)",IFERROR(IF(INDEX(INDIRECT("'WCM Calibration Final'!$F$1:$F$2000"),'Calculations'!$EM309)="","",TRIM(INDEX(INDIRECT("'WCM Calibration Final'!$F$1:$F$2000"),'Calculations'!$EM309)&amp;"")),"")))</x:f>
      </x:c>
      <x:c r="HO309" t="str">
        <x:f>'Calculations'!HF309</x:f>
      </x:c>
      <x:c r="HP309" t="str">
        <x:f>IF('Calculations'!HO309="","",IF('Calculations'!HO309="!AMBIG","!AMBIG",IF(COUNTIF('Calculations'!$HE$13:$HE$512,"="&amp;SUBSTITUTE(SUBSTITUTE(SUBSTITUTE('Calculations'!HO309,"~","~~"),"*","~*"),"?","~?"))&gt;1,"!AMBIG",IFERROR(INDEX('Calculations'!$HF$13:$HF$512,MATCH('Calculations'!HO309,'Calculations'!$HE$13:$HE$512,0)),""))))</x:f>
      </x:c>
      <x:c r="HQ309" t="str">
        <x:f>IF('Calculations'!HP309="","",IF('Calculations'!HP309="!AMBIG","!AMBIG",IF(COUNTIF('Calculations'!$HE$13:$HE$512,"="&amp;SUBSTITUTE(SUBSTITUTE(SUBSTITUTE('Calculations'!HP309,"~","~~"),"*","~*"),"?","~?"))&gt;1,"!AMBIG",IFERROR(INDEX('Calculations'!$HF$13:$HF$512,MATCH('Calculations'!HP309,'Calculations'!$HE$13:$HE$512,0)),""))))</x:f>
      </x:c>
      <x:c r="HR309" t="str">
        <x:f>IF('Calculations'!HQ309="","",IF('Calculations'!HQ309="!AMBIG","!AMBIG",IF(COUNTIF('Calculations'!$HE$13:$HE$512,"="&amp;SUBSTITUTE(SUBSTITUTE(SUBSTITUTE('Calculations'!HQ309,"~","~~"),"*","~*"),"?","~?"))&gt;1,"!AMBIG",IFERROR(INDEX('Calculations'!$HF$13:$HF$512,MATCH('Calculations'!HQ309,'Calculations'!$HE$13:$HE$512,0)),""))))</x:f>
      </x:c>
      <x:c r="HS309" t="str">
        <x:f>IF('Calculations'!HR309="","",IF('Calculations'!HR309="!AMBIG","!AMBIG",IF(COUNTIF('Calculations'!$HE$13:$HE$512,"="&amp;SUBSTITUTE(SUBSTITUTE(SUBSTITUTE('Calculations'!HR309,"~","~~"),"*","~*"),"?","~?"))&gt;1,"!AMBIG",IFERROR(INDEX('Calculations'!$HF$13:$HF$512,MATCH('Calculations'!HR309,'Calculations'!$HE$13:$HE$512,0)),""))))</x:f>
      </x:c>
      <x:c r="HT309" t="str">
        <x:f>IF('Calculations'!HS309="","",IF('Calculations'!HS309="!AMBIG","!AMBIG",IF(COUNTIF('Calculations'!$HE$13:$HE$512,"="&amp;SUBSTITUTE(SUBSTITUTE(SUBSTITUTE('Calculations'!HS309,"~","~~"),"*","~*"),"?","~?"))&gt;1,"!AMBIG",IFERROR(INDEX('Calculations'!$HF$13:$HF$512,MATCH('Calculations'!HS309,'Calculations'!$HE$13:$HE$512,0)),""))))</x:f>
      </x:c>
      <x:c r="HU309" t="str">
        <x:f>IF('Calculations'!HT309="","",IF('Calculations'!HT309="!AMBIG","!AMBIG",IF(COUNTIF('Calculations'!$HE$13:$HE$512,"="&amp;SUBSTITUTE(SUBSTITUTE(SUBSTITUTE('Calculations'!HT309,"~","~~"),"*","~*"),"?","~?"))&gt;1,"!AMBIG",IFERROR(INDEX('Calculations'!$HF$13:$HF$512,MATCH('Calculations'!HT309,'Calculations'!$HE$13:$HE$512,0)),""))))</x:f>
      </x:c>
      <x:c r="HV309" t="str">
        <x:f>IF('Calculations'!HU309="","",IF('Calculations'!HU309="!AMBIG","!AMBIG",IF(COUNTIF('Calculations'!$HE$13:$HE$512,"="&amp;SUBSTITUTE(SUBSTITUTE(SUBSTITUTE('Calculations'!HU309,"~","~~"),"*","~*"),"?","~?"))&gt;1,"!AMBIG",IFERROR(INDEX('Calculations'!$HF$13:$HF$512,MATCH('Calculations'!HU309,'Calculations'!$HE$13:$HE$512,0)),""))))</x:f>
      </x:c>
      <x:c r="HW309" t="str">
        <x:f>IF('Calculations'!HV309="","",IF('Calculations'!HV309="!AMBIG","!AMBIG",IF(COUNTIF('Calculations'!$HE$13:$HE$512,"="&amp;SUBSTITUTE(SUBSTITUTE(SUBSTITUTE('Calculations'!HV309,"~","~~"),"*","~*"),"?","~?"))&gt;1,"!AMBIG",IFERROR(INDEX('Calculations'!$HF$13:$HF$512,MATCH('Calculations'!HV309,'Calculations'!$HE$13:$HE$512,0)),""))))</x:f>
      </x:c>
      <x:c r="HX309" t="str">
        <x:f>IF('Calculations'!HW309="","",IF('Calculations'!HW309="!AMBIG","!AMBIG",IF(COUNTIF('Calculations'!$HE$13:$HE$512,"="&amp;SUBSTITUTE(SUBSTITUTE(SUBSTITUTE('Calculations'!HW309,"~","~~"),"*","~*"),"?","~?"))&gt;1,"!AMBIG",IFERROR(INDEX('Calculations'!$HF$13:$HF$512,MATCH('Calculations'!HW309,'Calculations'!$HE$13:$HE$512,0)),""))))</x:f>
      </x:c>
      <x:c r="HY309" t="str">
        <x:f>IF('Calculations'!HX309="","",IF('Calculations'!HX309="!AMBIG","!AMBIG",IF(COUNTIF('Calculations'!$HE$13:$HE$512,"="&amp;SUBSTITUTE(SUBSTITUTE(SUBSTITUTE('Calculations'!HX309,"~","~~"),"*","~*"),"?","~?"))&gt;1,"!AMBIG",IFERROR(INDEX('Calculations'!$HF$13:$HF$512,MATCH('Calculations'!HX309,'Calculations'!$HE$13:$HE$512,0)),""))))</x:f>
      </x:c>
      <x:c r="HZ309" t="str">
        <x:f>IF('Calculations'!HY309="","",IF('Calculations'!HY309="!AMBIG","!AMBIG",IF(COUNTIF('Calculations'!$HE$13:$HE$512,"="&amp;SUBSTITUTE(SUBSTITUTE(SUBSTITUTE('Calculations'!HY309,"~","~~"),"*","~*"),"?","~?"))&gt;1,"!AMBIG",IFERROR(INDEX('Calculations'!$HF$13:$HF$512,MATCH('Calculations'!HY309,'Calculations'!$HE$13:$HE$512,0)),""))))</x:f>
      </x:c>
      <x:c r="IA309" t="str">
        <x:f>IF('Calculations'!HZ309="","",IF('Calculations'!HZ309="!AMBIG","!AMBIG",IF(COUNTIF('Calculations'!$HE$13:$HE$512,"="&amp;SUBSTITUTE(SUBSTITUTE(SUBSTITUTE('Calculations'!HZ309,"~","~~"),"*","~*"),"?","~?"))&gt;1,"!AMBIG",IFERROR(INDEX('Calculations'!$HF$13:$HF$512,MATCH('Calculations'!HZ309,'Calculations'!$HE$13:$HE$512,0)),""))))</x:f>
      </x:c>
      <x:c r="IB309" t="str">
        <x:f>IF('Calculations'!IA309="","",IF('Calculations'!IA309="!AMBIG","!AMBIG",IF(COUNTIF('Calculations'!$HE$13:$HE$512,"="&amp;SUBSTITUTE(SUBSTITUTE(SUBSTITUTE('Calculations'!IA309,"~","~~"),"*","~*"),"?","~?"))&gt;1,"!AMBIG",IFERROR(INDEX('Calculations'!$HF$13:$HF$512,MATCH('Calculations'!IA309,'Calculations'!$HE$13:$HE$512,0)),""))))</x:f>
      </x:c>
      <x:c r="IC309" t="str">
        <x:f>IF('Calculations'!IB309="","",IF('Calculations'!IB309="!AMBIG","!AMBIG",IF(COUNTIF('Calculations'!$HE$13:$HE$512,"="&amp;SUBSTITUTE(SUBSTITUTE(SUBSTITUTE('Calculations'!IB309,"~","~~"),"*","~*"),"?","~?"))&gt;1,"!AMBIG",IFERROR(INDEX('Calculations'!$HF$13:$HF$512,MATCH('Calculations'!IB309,'Calculations'!$HE$13:$HE$512,0)),""))))</x:f>
      </x:c>
      <x:c r="ID309" t="str">
        <x:f>IF('Calculations'!IC309="","",IF('Calculations'!IC309="!AMBIG","!AMBIG",IF(COUNTIF('Calculations'!$HE$13:$HE$512,"="&amp;SUBSTITUTE(SUBSTITUTE(SUBSTITUTE('Calculations'!IC309,"~","~~"),"*","~*"),"?","~?"))&gt;1,"!AMBIG",IFERROR(INDEX('Calculations'!$HF$13:$HF$512,MATCH('Calculations'!IC309,'Calculations'!$HE$13:$HE$512,0)),""))))</x:f>
      </x:c>
      <x:c r="IE309" t="str">
        <x:f>IF('Calculations'!ID309="","",IF('Calculations'!ID309="!AMBIG","!AMBIG",IF(COUNTIF('Calculations'!$HE$13:$HE$512,"="&amp;SUBSTITUTE(SUBSTITUTE(SUBSTITUTE('Calculations'!ID309,"~","~~"),"*","~*"),"?","~?"))&gt;1,"!AMBIG",IFERROR(INDEX('Calculations'!$HF$13:$HF$512,MATCH('Calculations'!ID309,'Calculations'!$HE$13:$HE$512,0)),""))))</x:f>
      </x:c>
      <x:c r="IF309" t="str">
        <x:f>IF('Calculations'!IE309="","",IF('Calculations'!IE309="!AMBIG","!AMBIG",IF(COUNTIF('Calculations'!$HE$13:$HE$512,"="&amp;SUBSTITUTE(SUBSTITUTE(SUBSTITUTE('Calculations'!IE309,"~","~~"),"*","~*"),"?","~?"))&gt;1,"!AMBIG",IFERROR(INDEX('Calculations'!$HF$13:$HF$512,MATCH('Calculations'!IE309,'Calculations'!$HE$13:$HE$512,0)),""))))</x:f>
      </x:c>
      <x:c r="IG309" t="str">
        <x:f>IF('Calculations'!IF309="","",IF('Calculations'!IF309="!AMBIG","!AMBIG",IF(COUNTIF('Calculations'!$HE$13:$HE$512,"="&amp;SUBSTITUTE(SUBSTITUTE(SUBSTITUTE('Calculations'!IF309,"~","~~"),"*","~*"),"?","~?"))&gt;1,"!AMBIG",IFERROR(INDEX('Calculations'!$HF$13:$HF$512,MATCH('Calculations'!IF309,'Calculations'!$HE$13:$HE$512,0)),""))))</x:f>
      </x:c>
      <x:c r="IH309" t="str">
        <x:f>IF('Calculations'!IG309="","",IF('Calculations'!IG309="!AMBIG","!AMBIG",IF(COUNTIF('Calculations'!$HE$13:$HE$512,"="&amp;SUBSTITUTE(SUBSTITUTE(SUBSTITUTE('Calculations'!IG309,"~","~~"),"*","~*"),"?","~?"))&gt;1,"!AMBIG",IFERROR(INDEX('Calculations'!$HF$13:$HF$512,MATCH('Calculations'!IG309,'Calculations'!$HE$13:$HE$512,0)),""))))</x:f>
      </x:c>
      <x:c r="II309" t="str">
        <x:f>IF('Calculations'!IH309="","",IF('Calculations'!IH309="!AMBIG","!AMBIG",IF(COUNTIF('Calculations'!$HE$13:$HE$512,"="&amp;SUBSTITUTE(SUBSTITUTE(SUBSTITUTE('Calculations'!IH309,"~","~~"),"*","~*"),"?","~?"))&gt;1,"!AMBIG",IFERROR(INDEX('Calculations'!$HF$13:$HF$512,MATCH('Calculations'!IH309,'Calculations'!$HE$13:$HE$512,0)),""))))</x:f>
      </x:c>
      <x:c r="IJ309" t="str">
        <x:f>IF('Calculations'!EM309="","",IF('Calculations'!$EF$2="All",'Calculations'!HM309,IF('Calculations'!HL309=1,"",IFERROR(IF(MATCH('Calculations'!$EF$2,'Calculations'!HO309:II309,0)=1,'Calculations'!HE309,INDEX('Calculations'!HO309:II309,1,MATCH('Calculations'!$EF$2,'Calculations'!HO309:II309,0)-1)),""))))</x:f>
      </x:c>
      <x:c r="IK309" t="n">
        <x:f>IF(AND('Calculations'!EM309&lt;&gt;"",'Calculations'!$EF$2&lt;&gt;"All",'Calculations'!HF309='Calculations'!$EF$2,'Calculations'!HL309=0,'Calculations'!JD309&gt;0),MAX('Calculations'!$IK$12:IK308)+1,0)</x:f>
        <x:v>0</x:v>
      </x:c>
      <x:c r="JA309" t="n">
        <x:f>IF(OR(IFERROR(INDIRECT("'WCM Calibration Final'!$A$309")&lt;&gt;"",FALSE),IFERROR(INDIRECT("'WCM Calibration Final'!$B$309")&lt;&gt;"",FALSE),IFERROR(INDIRECT("'WCM Calibration Final'!$C$309")&lt;&gt;"",FALSE)),309,0)</x:f>
        <x:v>0</x:v>
      </x:c>
      <x:c r="JB309" t="n">
        <x:f>'Calculations'!JB308+IF('Calculations'!JA309&gt;0,1,0)</x:f>
        <x:v>0</x:v>
      </x:c>
      <x:c r="JC309" t="n">
        <x:f>IF(OR('Calculations'!HF309="",'Calculations'!HF309="!AMBIG"),0,IF('Dashboard'!$B$7="All",1,COUNTIFS('Calculations'!$HO$13:$HO$512,"="&amp;SUBSTITUTE(SUBSTITUTE(SUBSTITUTE('Calculations'!HF309,"~","~~"),"*","~*"),"?","~?"),'Calculations'!$HN$13:$HN$512,"="&amp;SUBSTITUTE(SUBSTITUTE(SUBSTITUTE('Dashboard'!$B$7,"~","~~"),"*","~*"),"?","~?"))+COUNTIFS('Calculations'!$HP$13:$HP$512,"="&amp;SUBSTITUTE(SUBSTITUTE(SUBSTITUTE('Calculations'!HF309,"~","~~"),"*","~*"),"?","~?"),'Calculations'!$HN$13:$HN$512,"="&amp;SUBSTITUTE(SUBSTITUTE(SUBSTITUTE('Dashboard'!$B$7,"~","~~"),"*","~*"),"?","~?"))+COUNTIFS('Calculations'!$HQ$13:$HQ$512,"="&amp;SUBSTITUTE(SUBSTITUTE(SUBSTITUTE('Calculations'!HF309,"~","~~"),"*","~*"),"?","~?"),'Calculations'!$HN$13:$HN$512,"="&amp;SUBSTITUTE(SUBSTITUTE(SUBSTITUTE('Dashboard'!$B$7,"~","~~"),"*","~*"),"?","~?"))+COUNTIFS('Calculations'!$HR$13:$HR$512,"="&amp;SUBSTITUTE(SUBSTITUTE(SUBSTITUTE('Calculations'!HF309,"~","~~"),"*","~*"),"?","~?"),'Calculations'!$HN$13:$HN$512,"="&amp;SUBSTITUTE(SUBSTITUTE(SUBSTITUTE('Dashboard'!$B$7,"~","~~"),"*","~*"),"?","~?"))+COUNTIFS('Calculations'!$HS$13:$HS$512,"="&amp;SUBSTITUTE(SUBSTITUTE(SUBSTITUTE('Calculations'!HF309,"~","~~"),"*","~*"),"?","~?"),'Calculations'!$HN$13:$HN$512,"="&amp;SUBSTITUTE(SUBSTITUTE(SUBSTITUTE('Dashboard'!$B$7,"~","~~"),"*","~*"),"?","~?"))+COUNTIFS('Calculations'!$HT$13:$HT$512,"="&amp;SUBSTITUTE(SUBSTITUTE(SUBSTITUTE('Calculations'!HF309,"~","~~"),"*","~*"),"?","~?"),'Calculations'!$HN$13:$HN$512,"="&amp;SUBSTITUTE(SUBSTITUTE(SUBSTITUTE('Dashboard'!$B$7,"~","~~"),"*","~*"),"?","~?"))+COUNTIFS('Calculations'!$HU$13:$HU$512,"="&amp;SUBSTITUTE(SUBSTITUTE(SUBSTITUTE('Calculations'!HF309,"~","~~"),"*","~*"),"?","~?"),'Calculations'!$HN$13:$HN$512,"="&amp;SUBSTITUTE(SUBSTITUTE(SUBSTITUTE('Dashboard'!$B$7,"~","~~"),"*","~*"),"?","~?"))+COUNTIFS('Calculations'!$HV$13:$HV$512,"="&amp;SUBSTITUTE(SUBSTITUTE(SUBSTITUTE('Calculations'!HF309,"~","~~"),"*","~*"),"?","~?"),'Calculations'!$HN$13:$HN$512,"="&amp;SUBSTITUTE(SUBSTITUTE(SUBSTITUTE('Dashboard'!$B$7,"~","~~"),"*","~*"),"?","~?"))+COUNTIFS('Calculations'!$HW$13:$HW$512,"="&amp;SUBSTITUTE(SUBSTITUTE(SUBSTITUTE('Calculations'!HF309,"~","~~"),"*","~*"),"?","~?"),'Calculations'!$HN$13:$HN$512,"="&amp;SUBSTITUTE(SUBSTITUTE(SUBSTITUTE('Dashboard'!$B$7,"~","~~"),"*","~*"),"?","~?"))+COUNTIFS('Calculations'!$HX$13:$HX$512,"="&amp;SUBSTITUTE(SUBSTITUTE(SUBSTITUTE('Calculations'!HF309,"~","~~"),"*","~*"),"?","~?"),'Calculations'!$HN$13:$HN$512,"="&amp;SUBSTITUTE(SUBSTITUTE(SUBSTITUTE('Dashboard'!$B$7,"~","~~"),"*","~*"),"?","~?"))+COUNTIFS('Calculations'!$HY$13:$HY$512,"="&amp;SUBSTITUTE(SUBSTITUTE(SUBSTITUTE('Calculations'!HF309,"~","~~"),"*","~*"),"?","~?"),'Calculations'!$HN$13:$HN$512,"="&amp;SUBSTITUTE(SUBSTITUTE(SUBSTITUTE('Dashboard'!$B$7,"~","~~"),"*","~*"),"?","~?"))+COUNTIFS('Calculations'!$HZ$13:$HZ$512,"="&amp;SUBSTITUTE(SUBSTITUTE(SUBSTITUTE('Calculations'!HF309,"~","~~"),"*","~*"),"?","~?"),'Calculations'!$HN$13:$HN$512,"="&amp;SUBSTITUTE(SUBSTITUTE(SUBSTITUTE('Dashboard'!$B$7,"~","~~"),"*","~*"),"?","~?"))+COUNTIFS('Calculations'!$IA$13:$IA$512,"="&amp;SUBSTITUTE(SUBSTITUTE(SUBSTITUTE('Calculations'!HF309,"~","~~"),"*","~*"),"?","~?"),'Calculations'!$HN$13:$HN$512,"="&amp;SUBSTITUTE(SUBSTITUTE(SUBSTITUTE('Dashboard'!$B$7,"~","~~"),"*","~*"),"?","~?"))+COUNTIFS('Calculations'!$IB$13:$IB$512,"="&amp;SUBSTITUTE(SUBSTITUTE(SUBSTITUTE('Calculations'!HF309,"~","~~"),"*","~*"),"?","~?"),'Calculations'!$HN$13:$HN$512,"="&amp;SUBSTITUTE(SUBSTITUTE(SUBSTITUTE('Dashboard'!$B$7,"~","~~"),"*","~*"),"?","~?"))+COUNTIFS('Calculations'!$IC$13:$IC$512,"="&amp;SUBSTITUTE(SUBSTITUTE(SUBSTITUTE('Calculations'!HF309,"~","~~"),"*","~*"),"?","~?"),'Calculations'!$HN$13:$HN$512,"="&amp;SUBSTITUTE(SUBSTITUTE(SUBSTITUTE('Dashboard'!$B$7,"~","~~"),"*","~*"),"?","~?"))+COUNTIFS('Calculations'!$ID$13:$ID$512,"="&amp;SUBSTITUTE(SUBSTITUTE(SUBSTITUTE('Calculations'!HF309,"~","~~"),"*","~*"),"?","~?"),'Calculations'!$HN$13:$HN$512,"="&amp;SUBSTITUTE(SUBSTITUTE(SUBSTITUTE('Dashboard'!$B$7,"~","~~"),"*","~*"),"?","~?"))+COUNTIFS('Calculations'!$IE$13:$IE$512,"="&amp;SUBSTITUTE(SUBSTITUTE(SUBSTITUTE('Calculations'!HF309,"~","~~"),"*","~*"),"?","~?"),'Calculations'!$HN$13:$HN$512,"="&amp;SUBSTITUTE(SUBSTITUTE(SUBSTITUTE('Dashboard'!$B$7,"~","~~"),"*","~*"),"?","~?"))+COUNTIFS('Calculations'!$IF$13:$IF$512,"="&amp;SUBSTITUTE(SUBSTITUTE(SUBSTITUTE('Calculations'!HF309,"~","~~"),"*","~*"),"?","~?"),'Calculations'!$HN$13:$HN$512,"="&amp;SUBSTITUTE(SUBSTITUTE(SUBSTITUTE('Dashboard'!$B$7,"~","~~"),"*","~*"),"?","~?"))+COUNTIFS('Calculations'!$IG$13:$IG$512,"="&amp;SUBSTITUTE(SUBSTITUTE(SUBSTITUTE('Calculations'!HF309,"~","~~"),"*","~*"),"?","~?"),'Calculations'!$HN$13:$HN$512,"="&amp;SUBSTITUTE(SUBSTITUTE(SUBSTITUTE('Dashboard'!$B$7,"~","~~"),"*","~*"),"?","~?"))+COUNTIFS('Calculations'!$IH$13:$IH$512,"="&amp;SUBSTITUTE(SUBSTITUTE(SUBSTITUTE('Calculations'!HF309,"~","~~"),"*","~*"),"?","~?"),'Calculations'!$HN$13:$HN$512,"="&amp;SUBSTITUTE(SUBSTITUTE(SUBSTITUTE('Dashboard'!$B$7,"~","~~"),"*","~*"),"?","~?"))))</x:f>
        <x:v>0</x:v>
      </x:c>
      <x:c r="JD309" t="n">
        <x:f>IF('Calculations'!EM309="",0,IF('Dashboard'!$B$7="All",1,IF('Calculations'!HN309='Dashboard'!$B$7,1,0)+IFERROR(INDEX('Calculations'!$JC$13:$JC$512,MATCH('Calculations'!HE309,'Calculations'!$HF$13:$HF$512,0)),0)))</x:f>
        <x:v>0</x:v>
      </x:c>
      <x:c r="JE309" t="n">
        <x:f>IF(AND('Calculations'!EM309&lt;&gt;"",'Calculations'!$JJ$2&lt;&gt;"All",'Calculations'!$JJ$2&lt;&gt;"",'Calculations'!HF309='Calculations'!$JJ$2,'Calculations'!HL309=0,'Calculations'!JD309&gt;0),MAX('Calculations'!$JE$12:JE308)+1,0)</x:f>
        <x:v>0</x:v>
      </x:c>
      <x:c r="JF309" t="str">
        <x:f>IF('Calculations'!EM309="","",IFERROR(IF(INDEX(INDIRECT("'WCM Calibration Final'!$G$1:$G$2000"),'Calculations'!$EM309)="","",TRIM(INDEX(INDIRECT("'WCM Calibration Final'!$G$1:$G$2000"),'Calculations'!$EM309)&amp;"")),""))</x:f>
      </x:c>
      <x:c r="JQ309" t="n">
        <x:f>IF(OR('Calculations'!BM309=0,NOT('Calculations'!$AG$2),'Calculations'!$AG$8&gt;0),0,IF(OR('Dashboard'!$B$7="All",'Calculations'!HN309='Dashboard'!$B$7),IF('Calculations'!$JJ$2="All",1,IF(AND('Calculations'!HF309='Calculations'!$JJ$2,'Calculations'!HL309=0),1,0)),0))</x:f>
        <x:v>0</x:v>
      </x:c>
    </x:row>
    <x:row r="310">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t="n">
        <x:f>IF('Calculations'!$EM310="",0,IF(OR(IFERROR(INDEX(INDIRECT("'WCM Calibration Final'!$A$1:$A$2000"),'Calculations'!$EM310)&lt;&gt;"",FALSE),IFERROR(INDEX(INDIRECT("'WCM Calibration Final'!$B$1:$B$2000"),'Calculations'!$EM310)&lt;&gt;"",FALSE),IFERROR(INDEX(INDIRECT("'WCM Calibration Final'!$C$1:$C$2000"),'Calculations'!$EM310)&lt;&gt;"",FALSE)),1,0))</x:f>
        <x:v>0</x:v>
      </x:c>
      <x:c r="BN310" s="4" t="n">
        <x:f>IF(AND('Calculations'!BM310=1,'Calculations'!$AG$2,'Calculations'!$EN310=1),1,0)</x:f>
        <x:v>0</x:v>
      </x:c>
      <x:c r="BO310" s="4" t="str">
        <x:f>IF('Calculations'!BM310=0,"",IFERROR(IF(AND(VALUE(INDEX(INDIRECT("'WCM Calibration Final'!$K$1:$K$2000"),'Calculations'!$EM310))&gt;=1,VALUE(INDEX(INDIRECT("'WCM Calibration Final'!$K$1:$K$2000"),'Calculations'!$EM310))&lt;=4,MOD(VALUE(INDEX(INDIRECT("'WCM Calibration Final'!$K$1:$K$2000"),'Calculations'!$EM310)),1)=0),VALUE(INDEX(INDIRECT("'WCM Calibration Final'!$K$1:$K$2000"),'Calculations'!$EM310)),""),""))</x:f>
      </x:c>
      <x:c r="BP310" s="4" t="str">
        <x:f>IF('Calculations'!BM310=0,"",IFERROR(IF(AND(VALUE(INDEX(INDIRECT("'WCM Calibration Final'!$L$1:$L$2000"),'Calculations'!$EM310))&gt;=1,VALUE(INDEX(INDIRECT("'WCM Calibration Final'!$L$1:$L$2000"),'Calculations'!$EM310))&lt;=4,MOD(VALUE(INDEX(INDIRECT("'WCM Calibration Final'!$L$1:$L$2000"),'Calculations'!$EM310)),1)=0),VALUE(INDEX(INDIRECT("'WCM Calibration Final'!$L$1:$L$2000"),'Calculations'!$EM310)),""),""))</x:f>
      </x:c>
      <x:c r="BQ310" s="4"/>
      <x:c r="BR310" s="4"/>
      <x:c r="BS310" s="4"/>
      <x:c r="BT310" s="4" t="n">
        <x:f>IF(AND('Calculations'!BM310=1,ISNUMBER('Calculations'!BO310),ISNUMBER('Calculations'!BP310)),1,0)</x:f>
        <x:v>0</x:v>
      </x:c>
      <x:c r="BU310" s="4" t="str">
        <x:f>IF('Calculations'!BM310=0,"",'Calculations'!$EO310)</x:f>
      </x:c>
      <x:c r="BV310" s="4" t="str">
        <x:f>IF('Calculations'!BM310=0,"",IFERROR(IF(OR(INDEX(INDIRECT("'WCM Calibration Final'!$H$1:$H$2000"),'Calculations'!$EM310)="MANAGING DIRECTOR",INDEX(INDIRECT("'WCM Calibration Final'!$H$1:$H$2000"),'Calculations'!$EM310)="DIRECTOR",INDEX(INDIRECT("'WCM Calibration Final'!$H$1:$H$2000"),'Calculations'!$EM310)="SENIOR VICE PRESIDENT",INDEX(INDIRECT("'WCM Calibration Final'!$H$1:$H$2000"),'Calculations'!$EM310)="VICE PRESIDENT",INDEX(INDIRECT("'WCM Calibration Final'!$H$1:$H$2000"),'Calculations'!$EM310)="ASSISTANT VICE PRESIDENT",INDEX(INDIRECT("'WCM Calibration Final'!$H$1:$H$2000"),'Calculations'!$EM310)="OFFICER"),UPPER(INDEX(INDIRECT("'WCM Calibration Final'!$H$1:$H$2000"),'Calculations'!$EM310)),"Other"),"Other"))</x:f>
      </x:c>
      <x:c r="BW310" s="4"/>
      <x:c r="BX310" s="4"/>
      <x:c r="BY310" s="4" t="n">
        <x:f>IF(AND('Calculations'!BM310=1,'Calculations'!BU310&lt;&gt;"",COUNTIF('Calculations'!$BU$12:BU310,'Calculations'!BU310)=1),MAX('Calculations'!$BY$11:BY309)+1,0)</x:f>
        <x:v>0</x:v>
      </x:c>
      <x:c r="BZ310" s="4" t="str">
        <x:f>IF('Dashboard'!$E$67="What",'Calculations'!BO310,'Calculations'!BP310)</x:f>
      </x:c>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t="str">
        <x:f>IF(299&gt;MAX('Calculations'!$HI$13:$HI$512),"",INDEX('Calculations'!$HN$13:$HN$512,MATCH(299,'Calculations'!$HI$13:$HI$512,0)))</x:f>
      </x:c>
      <x:c r="DB310" s="4" t="str">
        <x:f>IF(299&gt;MAX('Calculations'!$HH$13:$HH$512),"",INDEX('Calculations'!$HJ$13:$HJ$512,MATCH(299,'Calculations'!$HH$13:$HH$512,0)))</x:f>
      </x:c>
      <x:c r="DC310" s="4" t="str">
        <x:f>IF(ROW()-11&gt;MAX('Calculations'!$BY$13:$BY$512),"",INDEX('Calculations'!$BU$13:$BU$512,MATCH(ROW()-11,'Calculations'!$BY$13:$BY$512,0)))</x:f>
      </x:c>
      <x:c r="DD310" s="4" t="str">
        <x:f>IF(299&gt;MAX('Calculations'!$IK$13:$IK$512),"",INDEX('Calculations'!$HK$13:$HK$512,MATCH(299,'Calculations'!$IK$13:$IK$512,0)))</x:f>
      </x:c>
      <x:c r="DE310" s="4" t="str">
        <x:f>'Calculations'!DC310</x:f>
      </x:c>
      <x:c r="DF310" s="4" t="str">
        <x:f>IF('Calculations'!DE310="","",COUNTIFS('Calculations'!$BN$13:$BN$512,1,'Calculations'!$BU$13:$BU$512,'Calculations'!DE310))</x:f>
      </x:c>
      <x:c r="DG310" s="4" t="str">
        <x:f>IF('Calculations'!DE310="","",COUNTIFS('Calculations'!$BN$13:$BN$512,1,'Calculations'!$BU$13:$BU$512,'Calculations'!DE310,'Calculations'!$BT$13:$BT$512,1))</x:f>
      </x:c>
      <x:c r="DH310" s="4" t="str">
        <x:f>IF('Calculations'!DE310="","",'Calculations'!DF310-'Calculations'!DG310)</x:f>
      </x:c>
      <x:c r="DI310" s="4" t="str">
        <x:f>IF(OR('Calculations'!DE310="",'Calculations'!DF310=0),"",'Calculations'!DG310/'Calculations'!DF310)</x:f>
      </x:c>
      <x:c r="DJ310" s="4" t="str">
        <x:f>IF('Calculations'!DE310="","",COUNTIFS('Calculations'!$BN$13:$BN$512,1,'Calculations'!$BU$13:$BU$512,'Calculations'!DE310,'Calculations'!$BT$13:$BT$512,1,'Calculations'!$EE$13:$EE$512,"High"))</x:f>
      </x:c>
      <x:c r="DK310" s="4" t="str">
        <x:f>IF('Calculations'!DE310="","",COUNTIFS('Calculations'!$BN$13:$BN$512,1,'Calculations'!$BU$13:$BU$512,'Calculations'!DE310,'Calculations'!$BT$13:$BT$512,1,'Calculations'!$EE$13:$EE$512,"Strong"))</x:f>
      </x:c>
      <x:c r="DL310" s="4" t="str">
        <x:f>IF('Calculations'!DE310="","",COUNTIFS('Calculations'!$BN$13:$BN$512,1,'Calculations'!$BU$13:$BU$512,'Calculations'!DE310,'Calculations'!$BT$13:$BT$512,1,'Calculations'!$EE$13:$EE$512,"Solid"))</x:f>
      </x:c>
      <x:c r="DM310" s="4" t="str">
        <x:f>IF('Calculations'!DE310="","",COUNTIFS('Calculations'!$BN$13:$BN$512,1,'Calculations'!$BU$13:$BU$512,'Calculations'!DE310,'Calculations'!$BT$13:$BT$512,1,'Calculations'!$EE$13:$EE$512,"Low"))</x:f>
      </x:c>
      <x:c r="DN310" s="4" t="str">
        <x:f>IF('Calculations'!DE310="","",COUNTIFS('Calculations'!$BN$13:$BN$512,1,'Calculations'!$BU$13:$BU$512,'Calculations'!DE310,'Calculations'!$EP$13:$EP$512,1))</x:f>
      </x:c>
      <x:c r="DO310" s="4" t="str">
        <x:f>IF(OR('Calculations'!DE310="",'Calculations'!DG310=0),"",('Calculations'!DJ310+'Calculations'!DK310)/'Calculations'!DG310)</x:f>
      </x:c>
      <x:c r="DP310" s="4" t="n">
        <x:f>IF(AND('Calculations'!DE310&lt;&gt;"",'Calculations'!DF310&gt;0),COUNTIF('Calculations'!$DF$12:DF310,"&gt;0"),0)</x:f>
        <x:v>0</x:v>
      </x:c>
      <x:c r="DQ310" s="4" t="str">
        <x:f>IF(299&gt;MAX('Calculations'!$HH$13:$HH$512),"",INDEX('Calculations'!$HF$13:$HF$512,MATCH(299,'Calculations'!$HH$13:$HH$512,0)))</x:f>
      </x:c>
      <x:c r="DR310" s="4" t="str">
        <x:f>IF(299&gt;MAX('Calculations'!$IK$13:$IK$512),"",INDEX('Calculations'!$HE$13:$HE$512,MATCH(299,'Calculations'!$IK$13:$IK$512,0)))</x:f>
      </x:c>
      <x:c r="DS310" s="4"/>
      <x:c r="DT310" s="4"/>
      <x:c r="DU310" s="4"/>
      <x:c r="DV310" s="4"/>
      <x:c r="DW310" s="4"/>
      <x:c r="DX310" s="4"/>
      <x:c r="DY310" s="4"/>
      <x:c r="DZ310" s="4"/>
      <x:c r="EA310" s="4"/>
      <x:c r="EB310" s="4"/>
      <x:c r="EC310" s="4"/>
      <x:c r="ED310" s="4"/>
      <x:c r="EE310" s="4" t="str">
        <x:f>IF('Calculations'!BT310=0,"Not Rated",IF(OR('Calculations'!BO310&gt;=4,'Calculations'!BP310&gt;=4),"Low",IF('Calculations'!BO310+'Calculations'!BP310&lt;=3,"High",IF('Calculations'!BO310+'Calculations'!BP310&lt;=4,"Strong","Solid"))))</x:f>
        <x:v>Not Rated</x:v>
      </x:c>
      <x:c r="EF310" s="4"/>
      <x:c r="EG310" s="4"/>
      <x:c r="EH310" s="4"/>
      <x:c r="EI310" s="4"/>
      <x:c r="EJ310" s="4"/>
      <x:c r="EK310" s="4"/>
      <x:c r="EL310" s="4"/>
      <x:c r="EM310" s="4" t="str">
        <x:f>IF(298&gt;'Calculations'!$JB$2000,"",INDEX('Calculations'!$JA$12:$JA$2000,MATCH(298,'Calculations'!$JB$12:$JB$2000,0)))</x:f>
      </x:c>
      <x:c r="EN310" s="4" t="n">
        <x:f>IF(OR('Calculations'!EM310="",'Calculations'!$AG$8&gt;0,AND('Calculations'!$EF$2&lt;&gt;"All",'Calculations'!HE310='Calculations'!$EF$2),AND('Calculations'!$EF$3&lt;&gt;"All",'Calculations'!HE310='Calculations'!$EF$3)),0,IF(OR('Dashboard'!$B$7="All",'Calculations'!HN310='Dashboard'!$B$7),IF('Calculations'!$EF$2="All",1,IF('Calculations'!HL310&gt;0,0,IF(COUNTIF('Calculations'!HO310:II310,"="&amp;SUBSTITUTE(SUBSTITUTE(SUBSTITUTE('Calculations'!$EF$2,"~","~~"),"*","~*"),"?","~?"))=0,0,IF('Calculations'!$EF$3="All",1,IF(COUNTIF('Calculations'!HO310:II310,"="&amp;SUBSTITUTE(SUBSTITUTE(SUBSTITUTE('Calculations'!$EF$3,"~","~~"),"*","~*"),"?","~?"))&gt;0,1,0))))),0))</x:f>
        <x:v>0</x:v>
      </x:c>
      <x:c r="EO310" s="4" t="str">
        <x:f>IF('Calculations'!IJ310="","",IF('Calculations'!IJ310="!UNRESOLVED","Unresolved hierarchy",IFERROR(INDEX('Calculations'!$HK$13:$HK$512,MATCH('Calculations'!IJ310,'Calculations'!$HE$13:$HE$512,0)),IFERROR(INDEX('Calculations'!$HJ$13:$HJ$512,MATCH('Calculations'!IJ310,'Calculations'!$HF$13:$HF$512,0)),'Calculations'!IJ310))))</x:f>
      </x:c>
      <x:c r="EP310" s="4" t="n">
        <x:f>IF(AND('Calculations'!EM310&lt;&gt;"",'Calculations'!HF310='Calculations'!IJ310),1,0)</x:f>
        <x:v>0</x:v>
      </x:c>
      <x:c r="EQ310" s="4"/>
      <x:c r="ER310" s="4"/>
      <x:c r="ES310" s="4"/>
      <x:c r="ET310" s="4"/>
      <x:c r="EU310" s="4"/>
      <x:c r="EV310" s="4"/>
      <x:c r="EW310" s="4"/>
      <x:c r="EX310" s="4"/>
      <x:c r="EY310" s="4"/>
      <x:c r="EZ310" s="4"/>
      <x:c r="FA310" s="4"/>
      <x:c r="FB310" s="4"/>
      <x:c r="FC310" s="4"/>
      <x:c r="FD310" s="4"/>
      <x:c r="FE310" s="4"/>
      <x:c r="FF310" s="4"/>
      <x:c r="FG310" s="4"/>
      <x:c r="FH310" s="4"/>
      <x:c r="FI310" s="4"/>
      <x:c r="FJ310" s="4"/>
      <x:c r="FK310" s="4"/>
      <x:c r="FL310" s="4"/>
      <x:c r="FM310" s="4"/>
      <x:c r="FN310" s="4"/>
      <x:c r="FO310" s="4"/>
      <x:c r="HE310" t="str">
        <x:f>IF('Calculations'!EM310="","",IF(IFERROR(IF(INDEX(INDIRECT("'WCM Calibration Final'!$A$1:$A$2000"),'Calculations'!$EM310)="","",TRIM(INDEX(INDIRECT("'WCM Calibration Final'!$A$1:$A$2000"),'Calculations'!$EM310)&amp;"")),"")&lt;&gt;"","G:"&amp;IFERROR(TEXT(1*INDEX(INDIRECT("'WCM Calibration Final'!$A$1:$A$2000"),'Calculations'!$EM310),"0"),UPPER(IFERROR(IF(INDEX(INDIRECT("'WCM Calibration Final'!$A$1:$A$2000"),'Calculations'!$EM310)="","",TRIM(INDEX(INDIRECT("'WCM Calibration Final'!$A$1:$A$2000"),'Calculations'!$EM310)&amp;"")),""))),IF(IFERROR(IF(INDEX(INDIRECT("'WCM Calibration Final'!$C$1:$C$2000"),'Calculations'!$EM310)="","",TRIM(INDEX(INDIRECT("'WCM Calibration Final'!$C$1:$C$2000"),'Calculations'!$EM310)&amp;"")),"")&lt;&gt;"","S:"&amp;UPPER(IFERROR(IF(INDEX(INDIRECT("'WCM Calibration Final'!$C$1:$C$2000"),'Calculations'!$EM310)="","",TRIM(INDEX(INDIRECT("'WCM Calibration Final'!$C$1:$C$2000"),'Calculations'!$EM310)&amp;"")),"")),"R:"&amp;'Calculations'!EM310)))</x:f>
      </x:c>
      <x:c r="HF310" t="str">
        <x:f>IF('Calculations'!EM310="","",IF(IFERROR(IF(INDEX(INDIRECT("'WCM Calibration Final'!$D$1:$D$2000"),'Calculations'!$EM310)="","",TRIM(INDEX(INDIRECT("'WCM Calibration Final'!$D$1:$D$2000"),'Calculations'!$EM310)&amp;"")),"")&lt;&gt;"","G:"&amp;IFERROR(TEXT(1*INDEX(INDIRECT("'WCM Calibration Final'!$D$1:$D$2000"),'Calculations'!$EM310),"0"),UPPER(IFERROR(IF(INDEX(INDIRECT("'WCM Calibration Final'!$D$1:$D$2000"),'Calculations'!$EM310)="","",TRIM(INDEX(INDIRECT("'WCM Calibration Final'!$D$1:$D$2000"),'Calculations'!$EM310)&amp;"")),""))),IF(IFERROR(IF(INDEX(INDIRECT("'WCM Calibration Final'!$E$1:$E$2000"),'Calculations'!$EM310)="","",TRIM(INDEX(INDIRECT("'WCM Calibration Final'!$E$1:$E$2000"),'Calculations'!$EM310)&amp;"")),"")="","",IF(COUNTIF('Calculations'!$HG$13:$HG$512,"="&amp;SUBSTITUTE(SUBSTITUTE(SUBSTITUTE(IFERROR(IF(INDEX(INDIRECT("'WCM Calibration Final'!$E$1:$E$2000"),'Calculations'!$EM310)="","",TRIM(INDEX(INDIRECT("'WCM Calibration Final'!$E$1:$E$2000"),'Calculations'!$EM310)&amp;"")),""),"~","~~"),"*","~*"),"?","~?"))=1,INDEX('Calculations'!$HE$13:$HE$512,MATCH(IFERROR(IF(INDEX(INDIRECT("'WCM Calibration Final'!$E$1:$E$2000"),'Calculations'!$EM310)="","",TRIM(INDEX(INDIRECT("'WCM Calibration Final'!$E$1:$E$2000"),'Calculations'!$EM310)&amp;"")),""),'Calculations'!$HG$13:$HG$512,0)),IF(COUNTIF('Calculations'!$HG$13:$HG$512,"="&amp;SUBSTITUTE(SUBSTITUTE(SUBSTITUTE(IFERROR(IF(INDEX(INDIRECT("'WCM Calibration Final'!$E$1:$E$2000"),'Calculations'!$EM310)="","",TRIM(INDEX(INDIRECT("'WCM Calibration Final'!$E$1:$E$2000"),'Calculations'!$EM310)&amp;"")),""),"~","~~"),"*","~*"),"?","~?"))&gt;1,"!AMBIG","X:"&amp;IFERROR(IF(INDEX(INDIRECT("'WCM Calibration Final'!$E$1:$E$2000"),'Calculations'!$EM310)="","",TRIM(INDEX(INDIRECT("'WCM Calibration Final'!$E$1:$E$2000"),'Calculations'!$EM310)&amp;"")),""))))))</x:f>
      </x:c>
      <x:c r="HG310" t="str">
        <x:f>IF('Calculations'!EM310="","",IFERROR(IF(INDEX(INDIRECT("'WCM Calibration Final'!$B$1:$B$2000"),'Calculations'!$EM310)="","",TRIM(INDEX(INDIRECT("'WCM Calibration Final'!$B$1:$B$2000"),'Calculations'!$EM310)&amp;"")),""))</x:f>
      </x:c>
      <x:c r="HH310" t="n">
        <x:f>IF(AND('Calculations'!JC310&gt;0,COUNTIF('Calculations'!$HF$12:HF310,"="&amp;SUBSTITUTE(SUBSTITUTE(SUBSTITUTE('Calculations'!HF310,"~","~~"),"*","~*"),"?","~?"))=1),MAX('Calculations'!$HH$12:HH309)+1,0)</x:f>
        <x:v>0</x:v>
      </x:c>
      <x:c r="HI310" t="n">
        <x:f>IF(AND('Calculations'!HN310&lt;&gt;"",COUNTIF('Calculations'!$HN$12:HN310,"="&amp;SUBSTITUTE(SUBSTITUTE(SUBSTITUTE('Calculations'!HN310,"~","~~"),"*","~*"),"?","~?"))=1),MAX('Calculations'!$HI$12:HI309)+1,0)</x:f>
        <x:v>0</x:v>
      </x:c>
      <x:c r="HJ310" t="str">
        <x:f>IF('Calculations'!HF310="","",IF(COUNTIF('Calculations'!$HE$13:$HE$512,"="&amp;SUBSTITUTE(SUBSTITUTE(SUBSTITUTE('Calculations'!HF310,"~","~~"),"*","~*"),"?","~?"))=1,INDEX('Calculations'!$HK$13:$HK$512,MATCH('Calculations'!HF310,'Calculations'!$HE$13:$HE$512,0)),IFERROR(IF(INDEX(INDIRECT("'WCM Calibration Final'!$E$1:$E$2000"),'Calculations'!$EM310)="","",TRIM(INDEX(INDIRECT("'WCM Calibration Final'!$E$1:$E$2000"),'Calculations'!$EM310)&amp;"")),"")&amp;" ["&amp;'Calculations'!HF310&amp;"]"))</x:f>
      </x:c>
      <x:c r="HK310" t="str">
        <x:f>IF('Calculations'!EM310="","",'Calculations'!HG310&amp;" ["&amp;'Calculations'!HE310&amp;"]")</x:f>
      </x:c>
      <x:c r="HL310" t="n">
        <x:f>IF('Calculations'!EM310="",0,IF(OR('Calculations'!II310&lt;&gt;"",COUNTIF('Calculations'!$HE$13:$HE$512,"="&amp;SUBSTITUTE(SUBSTITUTE(SUBSTITUTE('Calculations'!HE310,"~","~~"),"*","~*"),"?","~?"))&gt;1),1,0))</x:f>
        <x:v>0</x:v>
      </x:c>
      <x:c r="HM310" t="str">
        <x:f>IF('Calculations'!EM310="","",IF('Calculations'!HL310=1,"!UNRESOLVED",IF('Calculations'!IH310&lt;&gt;"",'Calculations'!IH310,IF('Calculations'!IG310&lt;&gt;"",'Calculations'!IG310,IF('Calculations'!IF310&lt;&gt;"",'Calculations'!IF310,IF('Calculations'!IE310&lt;&gt;"",'Calculations'!IE310,IF('Calculations'!ID310&lt;&gt;"",'Calculations'!ID310,IF('Calculations'!IC310&lt;&gt;"",'Calculations'!IC310,IF('Calculations'!IB310&lt;&gt;"",'Calculations'!IB310,IF('Calculations'!IA310&lt;&gt;"",'Calculations'!IA310,IF('Calculations'!HZ310&lt;&gt;"",'Calculations'!HZ310,IF('Calculations'!HY310&lt;&gt;"",'Calculations'!HY310,IF('Calculations'!HX310&lt;&gt;"",'Calculations'!HX310,IF('Calculations'!HW310&lt;&gt;"",'Calculations'!HW310,IF('Calculations'!HV310&lt;&gt;"",'Calculations'!HV310,IF('Calculations'!HU310&lt;&gt;"",'Calculations'!HU310,IF('Calculations'!HT310&lt;&gt;"",'Calculations'!HT310,IF('Calculations'!HS310&lt;&gt;"",'Calculations'!HS310,IF('Calculations'!HR310&lt;&gt;"",'Calculations'!HR310,IF('Calculations'!HQ310&lt;&gt;"",'Calculations'!HQ310,IF('Calculations'!HP310&lt;&gt;"",'Calculations'!HP310,IF('Calculations'!HO310&lt;&gt;"",'Calculations'!HO310,'Calculations'!HE310))))))))))))))))))))))</x:f>
      </x:c>
      <x:c r="HN310" t="str">
        <x:f>IF('Calculations'!EM310="","",IF(IFERROR(IF(INDEX(INDIRECT("'WCM Calibration Final'!$F$1:$F$2000"),'Calculations'!$EM310)="","",TRIM(INDEX(INDIRECT("'WCM Calibration Final'!$F$1:$F$2000"),'Calculations'!$EM310)&amp;"")),"")="","(Blank)",IFERROR(IF(INDEX(INDIRECT("'WCM Calibration Final'!$F$1:$F$2000"),'Calculations'!$EM310)="","",TRIM(INDEX(INDIRECT("'WCM Calibration Final'!$F$1:$F$2000"),'Calculations'!$EM310)&amp;"")),"")))</x:f>
      </x:c>
      <x:c r="HO310" t="str">
        <x:f>'Calculations'!HF310</x:f>
      </x:c>
      <x:c r="HP310" t="str">
        <x:f>IF('Calculations'!HO310="","",IF('Calculations'!HO310="!AMBIG","!AMBIG",IF(COUNTIF('Calculations'!$HE$13:$HE$512,"="&amp;SUBSTITUTE(SUBSTITUTE(SUBSTITUTE('Calculations'!HO310,"~","~~"),"*","~*"),"?","~?"))&gt;1,"!AMBIG",IFERROR(INDEX('Calculations'!$HF$13:$HF$512,MATCH('Calculations'!HO310,'Calculations'!$HE$13:$HE$512,0)),""))))</x:f>
      </x:c>
      <x:c r="HQ310" t="str">
        <x:f>IF('Calculations'!HP310="","",IF('Calculations'!HP310="!AMBIG","!AMBIG",IF(COUNTIF('Calculations'!$HE$13:$HE$512,"="&amp;SUBSTITUTE(SUBSTITUTE(SUBSTITUTE('Calculations'!HP310,"~","~~"),"*","~*"),"?","~?"))&gt;1,"!AMBIG",IFERROR(INDEX('Calculations'!$HF$13:$HF$512,MATCH('Calculations'!HP310,'Calculations'!$HE$13:$HE$512,0)),""))))</x:f>
      </x:c>
      <x:c r="HR310" t="str">
        <x:f>IF('Calculations'!HQ310="","",IF('Calculations'!HQ310="!AMBIG","!AMBIG",IF(COUNTIF('Calculations'!$HE$13:$HE$512,"="&amp;SUBSTITUTE(SUBSTITUTE(SUBSTITUTE('Calculations'!HQ310,"~","~~"),"*","~*"),"?","~?"))&gt;1,"!AMBIG",IFERROR(INDEX('Calculations'!$HF$13:$HF$512,MATCH('Calculations'!HQ310,'Calculations'!$HE$13:$HE$512,0)),""))))</x:f>
      </x:c>
      <x:c r="HS310" t="str">
        <x:f>IF('Calculations'!HR310="","",IF('Calculations'!HR310="!AMBIG","!AMBIG",IF(COUNTIF('Calculations'!$HE$13:$HE$512,"="&amp;SUBSTITUTE(SUBSTITUTE(SUBSTITUTE('Calculations'!HR310,"~","~~"),"*","~*"),"?","~?"))&gt;1,"!AMBIG",IFERROR(INDEX('Calculations'!$HF$13:$HF$512,MATCH('Calculations'!HR310,'Calculations'!$HE$13:$HE$512,0)),""))))</x:f>
      </x:c>
      <x:c r="HT310" t="str">
        <x:f>IF('Calculations'!HS310="","",IF('Calculations'!HS310="!AMBIG","!AMBIG",IF(COUNTIF('Calculations'!$HE$13:$HE$512,"="&amp;SUBSTITUTE(SUBSTITUTE(SUBSTITUTE('Calculations'!HS310,"~","~~"),"*","~*"),"?","~?"))&gt;1,"!AMBIG",IFERROR(INDEX('Calculations'!$HF$13:$HF$512,MATCH('Calculations'!HS310,'Calculations'!$HE$13:$HE$512,0)),""))))</x:f>
      </x:c>
      <x:c r="HU310" t="str">
        <x:f>IF('Calculations'!HT310="","",IF('Calculations'!HT310="!AMBIG","!AMBIG",IF(COUNTIF('Calculations'!$HE$13:$HE$512,"="&amp;SUBSTITUTE(SUBSTITUTE(SUBSTITUTE('Calculations'!HT310,"~","~~"),"*","~*"),"?","~?"))&gt;1,"!AMBIG",IFERROR(INDEX('Calculations'!$HF$13:$HF$512,MATCH('Calculations'!HT310,'Calculations'!$HE$13:$HE$512,0)),""))))</x:f>
      </x:c>
      <x:c r="HV310" t="str">
        <x:f>IF('Calculations'!HU310="","",IF('Calculations'!HU310="!AMBIG","!AMBIG",IF(COUNTIF('Calculations'!$HE$13:$HE$512,"="&amp;SUBSTITUTE(SUBSTITUTE(SUBSTITUTE('Calculations'!HU310,"~","~~"),"*","~*"),"?","~?"))&gt;1,"!AMBIG",IFERROR(INDEX('Calculations'!$HF$13:$HF$512,MATCH('Calculations'!HU310,'Calculations'!$HE$13:$HE$512,0)),""))))</x:f>
      </x:c>
      <x:c r="HW310" t="str">
        <x:f>IF('Calculations'!HV310="","",IF('Calculations'!HV310="!AMBIG","!AMBIG",IF(COUNTIF('Calculations'!$HE$13:$HE$512,"="&amp;SUBSTITUTE(SUBSTITUTE(SUBSTITUTE('Calculations'!HV310,"~","~~"),"*","~*"),"?","~?"))&gt;1,"!AMBIG",IFERROR(INDEX('Calculations'!$HF$13:$HF$512,MATCH('Calculations'!HV310,'Calculations'!$HE$13:$HE$512,0)),""))))</x:f>
      </x:c>
      <x:c r="HX310" t="str">
        <x:f>IF('Calculations'!HW310="","",IF('Calculations'!HW310="!AMBIG","!AMBIG",IF(COUNTIF('Calculations'!$HE$13:$HE$512,"="&amp;SUBSTITUTE(SUBSTITUTE(SUBSTITUTE('Calculations'!HW310,"~","~~"),"*","~*"),"?","~?"))&gt;1,"!AMBIG",IFERROR(INDEX('Calculations'!$HF$13:$HF$512,MATCH('Calculations'!HW310,'Calculations'!$HE$13:$HE$512,0)),""))))</x:f>
      </x:c>
      <x:c r="HY310" t="str">
        <x:f>IF('Calculations'!HX310="","",IF('Calculations'!HX310="!AMBIG","!AMBIG",IF(COUNTIF('Calculations'!$HE$13:$HE$512,"="&amp;SUBSTITUTE(SUBSTITUTE(SUBSTITUTE('Calculations'!HX310,"~","~~"),"*","~*"),"?","~?"))&gt;1,"!AMBIG",IFERROR(INDEX('Calculations'!$HF$13:$HF$512,MATCH('Calculations'!HX310,'Calculations'!$HE$13:$HE$512,0)),""))))</x:f>
      </x:c>
      <x:c r="HZ310" t="str">
        <x:f>IF('Calculations'!HY310="","",IF('Calculations'!HY310="!AMBIG","!AMBIG",IF(COUNTIF('Calculations'!$HE$13:$HE$512,"="&amp;SUBSTITUTE(SUBSTITUTE(SUBSTITUTE('Calculations'!HY310,"~","~~"),"*","~*"),"?","~?"))&gt;1,"!AMBIG",IFERROR(INDEX('Calculations'!$HF$13:$HF$512,MATCH('Calculations'!HY310,'Calculations'!$HE$13:$HE$512,0)),""))))</x:f>
      </x:c>
      <x:c r="IA310" t="str">
        <x:f>IF('Calculations'!HZ310="","",IF('Calculations'!HZ310="!AMBIG","!AMBIG",IF(COUNTIF('Calculations'!$HE$13:$HE$512,"="&amp;SUBSTITUTE(SUBSTITUTE(SUBSTITUTE('Calculations'!HZ310,"~","~~"),"*","~*"),"?","~?"))&gt;1,"!AMBIG",IFERROR(INDEX('Calculations'!$HF$13:$HF$512,MATCH('Calculations'!HZ310,'Calculations'!$HE$13:$HE$512,0)),""))))</x:f>
      </x:c>
      <x:c r="IB310" t="str">
        <x:f>IF('Calculations'!IA310="","",IF('Calculations'!IA310="!AMBIG","!AMBIG",IF(COUNTIF('Calculations'!$HE$13:$HE$512,"="&amp;SUBSTITUTE(SUBSTITUTE(SUBSTITUTE('Calculations'!IA310,"~","~~"),"*","~*"),"?","~?"))&gt;1,"!AMBIG",IFERROR(INDEX('Calculations'!$HF$13:$HF$512,MATCH('Calculations'!IA310,'Calculations'!$HE$13:$HE$512,0)),""))))</x:f>
      </x:c>
      <x:c r="IC310" t="str">
        <x:f>IF('Calculations'!IB310="","",IF('Calculations'!IB310="!AMBIG","!AMBIG",IF(COUNTIF('Calculations'!$HE$13:$HE$512,"="&amp;SUBSTITUTE(SUBSTITUTE(SUBSTITUTE('Calculations'!IB310,"~","~~"),"*","~*"),"?","~?"))&gt;1,"!AMBIG",IFERROR(INDEX('Calculations'!$HF$13:$HF$512,MATCH('Calculations'!IB310,'Calculations'!$HE$13:$HE$512,0)),""))))</x:f>
      </x:c>
      <x:c r="ID310" t="str">
        <x:f>IF('Calculations'!IC310="","",IF('Calculations'!IC310="!AMBIG","!AMBIG",IF(COUNTIF('Calculations'!$HE$13:$HE$512,"="&amp;SUBSTITUTE(SUBSTITUTE(SUBSTITUTE('Calculations'!IC310,"~","~~"),"*","~*"),"?","~?"))&gt;1,"!AMBIG",IFERROR(INDEX('Calculations'!$HF$13:$HF$512,MATCH('Calculations'!IC310,'Calculations'!$HE$13:$HE$512,0)),""))))</x:f>
      </x:c>
      <x:c r="IE310" t="str">
        <x:f>IF('Calculations'!ID310="","",IF('Calculations'!ID310="!AMBIG","!AMBIG",IF(COUNTIF('Calculations'!$HE$13:$HE$512,"="&amp;SUBSTITUTE(SUBSTITUTE(SUBSTITUTE('Calculations'!ID310,"~","~~"),"*","~*"),"?","~?"))&gt;1,"!AMBIG",IFERROR(INDEX('Calculations'!$HF$13:$HF$512,MATCH('Calculations'!ID310,'Calculations'!$HE$13:$HE$512,0)),""))))</x:f>
      </x:c>
      <x:c r="IF310" t="str">
        <x:f>IF('Calculations'!IE310="","",IF('Calculations'!IE310="!AMBIG","!AMBIG",IF(COUNTIF('Calculations'!$HE$13:$HE$512,"="&amp;SUBSTITUTE(SUBSTITUTE(SUBSTITUTE('Calculations'!IE310,"~","~~"),"*","~*"),"?","~?"))&gt;1,"!AMBIG",IFERROR(INDEX('Calculations'!$HF$13:$HF$512,MATCH('Calculations'!IE310,'Calculations'!$HE$13:$HE$512,0)),""))))</x:f>
      </x:c>
      <x:c r="IG310" t="str">
        <x:f>IF('Calculations'!IF310="","",IF('Calculations'!IF310="!AMBIG","!AMBIG",IF(COUNTIF('Calculations'!$HE$13:$HE$512,"="&amp;SUBSTITUTE(SUBSTITUTE(SUBSTITUTE('Calculations'!IF310,"~","~~"),"*","~*"),"?","~?"))&gt;1,"!AMBIG",IFERROR(INDEX('Calculations'!$HF$13:$HF$512,MATCH('Calculations'!IF310,'Calculations'!$HE$13:$HE$512,0)),""))))</x:f>
      </x:c>
      <x:c r="IH310" t="str">
        <x:f>IF('Calculations'!IG310="","",IF('Calculations'!IG310="!AMBIG","!AMBIG",IF(COUNTIF('Calculations'!$HE$13:$HE$512,"="&amp;SUBSTITUTE(SUBSTITUTE(SUBSTITUTE('Calculations'!IG310,"~","~~"),"*","~*"),"?","~?"))&gt;1,"!AMBIG",IFERROR(INDEX('Calculations'!$HF$13:$HF$512,MATCH('Calculations'!IG310,'Calculations'!$HE$13:$HE$512,0)),""))))</x:f>
      </x:c>
      <x:c r="II310" t="str">
        <x:f>IF('Calculations'!IH310="","",IF('Calculations'!IH310="!AMBIG","!AMBIG",IF(COUNTIF('Calculations'!$HE$13:$HE$512,"="&amp;SUBSTITUTE(SUBSTITUTE(SUBSTITUTE('Calculations'!IH310,"~","~~"),"*","~*"),"?","~?"))&gt;1,"!AMBIG",IFERROR(INDEX('Calculations'!$HF$13:$HF$512,MATCH('Calculations'!IH310,'Calculations'!$HE$13:$HE$512,0)),""))))</x:f>
      </x:c>
      <x:c r="IJ310" t="str">
        <x:f>IF('Calculations'!EM310="","",IF('Calculations'!$EF$2="All",'Calculations'!HM310,IF('Calculations'!HL310=1,"",IFERROR(IF(MATCH('Calculations'!$EF$2,'Calculations'!HO310:II310,0)=1,'Calculations'!HE310,INDEX('Calculations'!HO310:II310,1,MATCH('Calculations'!$EF$2,'Calculations'!HO310:II310,0)-1)),""))))</x:f>
      </x:c>
      <x:c r="IK310" t="n">
        <x:f>IF(AND('Calculations'!EM310&lt;&gt;"",'Calculations'!$EF$2&lt;&gt;"All",'Calculations'!HF310='Calculations'!$EF$2,'Calculations'!HL310=0,'Calculations'!JD310&gt;0),MAX('Calculations'!$IK$12:IK309)+1,0)</x:f>
        <x:v>0</x:v>
      </x:c>
      <x:c r="JA310" t="n">
        <x:f>IF(OR(IFERROR(INDIRECT("'WCM Calibration Final'!$A$310")&lt;&gt;"",FALSE),IFERROR(INDIRECT("'WCM Calibration Final'!$B$310")&lt;&gt;"",FALSE),IFERROR(INDIRECT("'WCM Calibration Final'!$C$310")&lt;&gt;"",FALSE)),310,0)</x:f>
        <x:v>0</x:v>
      </x:c>
      <x:c r="JB310" t="n">
        <x:f>'Calculations'!JB309+IF('Calculations'!JA310&gt;0,1,0)</x:f>
        <x:v>0</x:v>
      </x:c>
      <x:c r="JC310" t="n">
        <x:f>IF(OR('Calculations'!HF310="",'Calculations'!HF310="!AMBIG"),0,IF('Dashboard'!$B$7="All",1,COUNTIFS('Calculations'!$HO$13:$HO$512,"="&amp;SUBSTITUTE(SUBSTITUTE(SUBSTITUTE('Calculations'!HF310,"~","~~"),"*","~*"),"?","~?"),'Calculations'!$HN$13:$HN$512,"="&amp;SUBSTITUTE(SUBSTITUTE(SUBSTITUTE('Dashboard'!$B$7,"~","~~"),"*","~*"),"?","~?"))+COUNTIFS('Calculations'!$HP$13:$HP$512,"="&amp;SUBSTITUTE(SUBSTITUTE(SUBSTITUTE('Calculations'!HF310,"~","~~"),"*","~*"),"?","~?"),'Calculations'!$HN$13:$HN$512,"="&amp;SUBSTITUTE(SUBSTITUTE(SUBSTITUTE('Dashboard'!$B$7,"~","~~"),"*","~*"),"?","~?"))+COUNTIFS('Calculations'!$HQ$13:$HQ$512,"="&amp;SUBSTITUTE(SUBSTITUTE(SUBSTITUTE('Calculations'!HF310,"~","~~"),"*","~*"),"?","~?"),'Calculations'!$HN$13:$HN$512,"="&amp;SUBSTITUTE(SUBSTITUTE(SUBSTITUTE('Dashboard'!$B$7,"~","~~"),"*","~*"),"?","~?"))+COUNTIFS('Calculations'!$HR$13:$HR$512,"="&amp;SUBSTITUTE(SUBSTITUTE(SUBSTITUTE('Calculations'!HF310,"~","~~"),"*","~*"),"?","~?"),'Calculations'!$HN$13:$HN$512,"="&amp;SUBSTITUTE(SUBSTITUTE(SUBSTITUTE('Dashboard'!$B$7,"~","~~"),"*","~*"),"?","~?"))+COUNTIFS('Calculations'!$HS$13:$HS$512,"="&amp;SUBSTITUTE(SUBSTITUTE(SUBSTITUTE('Calculations'!HF310,"~","~~"),"*","~*"),"?","~?"),'Calculations'!$HN$13:$HN$512,"="&amp;SUBSTITUTE(SUBSTITUTE(SUBSTITUTE('Dashboard'!$B$7,"~","~~"),"*","~*"),"?","~?"))+COUNTIFS('Calculations'!$HT$13:$HT$512,"="&amp;SUBSTITUTE(SUBSTITUTE(SUBSTITUTE('Calculations'!HF310,"~","~~"),"*","~*"),"?","~?"),'Calculations'!$HN$13:$HN$512,"="&amp;SUBSTITUTE(SUBSTITUTE(SUBSTITUTE('Dashboard'!$B$7,"~","~~"),"*","~*"),"?","~?"))+COUNTIFS('Calculations'!$HU$13:$HU$512,"="&amp;SUBSTITUTE(SUBSTITUTE(SUBSTITUTE('Calculations'!HF310,"~","~~"),"*","~*"),"?","~?"),'Calculations'!$HN$13:$HN$512,"="&amp;SUBSTITUTE(SUBSTITUTE(SUBSTITUTE('Dashboard'!$B$7,"~","~~"),"*","~*"),"?","~?"))+COUNTIFS('Calculations'!$HV$13:$HV$512,"="&amp;SUBSTITUTE(SUBSTITUTE(SUBSTITUTE('Calculations'!HF310,"~","~~"),"*","~*"),"?","~?"),'Calculations'!$HN$13:$HN$512,"="&amp;SUBSTITUTE(SUBSTITUTE(SUBSTITUTE('Dashboard'!$B$7,"~","~~"),"*","~*"),"?","~?"))+COUNTIFS('Calculations'!$HW$13:$HW$512,"="&amp;SUBSTITUTE(SUBSTITUTE(SUBSTITUTE('Calculations'!HF310,"~","~~"),"*","~*"),"?","~?"),'Calculations'!$HN$13:$HN$512,"="&amp;SUBSTITUTE(SUBSTITUTE(SUBSTITUTE('Dashboard'!$B$7,"~","~~"),"*","~*"),"?","~?"))+COUNTIFS('Calculations'!$HX$13:$HX$512,"="&amp;SUBSTITUTE(SUBSTITUTE(SUBSTITUTE('Calculations'!HF310,"~","~~"),"*","~*"),"?","~?"),'Calculations'!$HN$13:$HN$512,"="&amp;SUBSTITUTE(SUBSTITUTE(SUBSTITUTE('Dashboard'!$B$7,"~","~~"),"*","~*"),"?","~?"))+COUNTIFS('Calculations'!$HY$13:$HY$512,"="&amp;SUBSTITUTE(SUBSTITUTE(SUBSTITUTE('Calculations'!HF310,"~","~~"),"*","~*"),"?","~?"),'Calculations'!$HN$13:$HN$512,"="&amp;SUBSTITUTE(SUBSTITUTE(SUBSTITUTE('Dashboard'!$B$7,"~","~~"),"*","~*"),"?","~?"))+COUNTIFS('Calculations'!$HZ$13:$HZ$512,"="&amp;SUBSTITUTE(SUBSTITUTE(SUBSTITUTE('Calculations'!HF310,"~","~~"),"*","~*"),"?","~?"),'Calculations'!$HN$13:$HN$512,"="&amp;SUBSTITUTE(SUBSTITUTE(SUBSTITUTE('Dashboard'!$B$7,"~","~~"),"*","~*"),"?","~?"))+COUNTIFS('Calculations'!$IA$13:$IA$512,"="&amp;SUBSTITUTE(SUBSTITUTE(SUBSTITUTE('Calculations'!HF310,"~","~~"),"*","~*"),"?","~?"),'Calculations'!$HN$13:$HN$512,"="&amp;SUBSTITUTE(SUBSTITUTE(SUBSTITUTE('Dashboard'!$B$7,"~","~~"),"*","~*"),"?","~?"))+COUNTIFS('Calculations'!$IB$13:$IB$512,"="&amp;SUBSTITUTE(SUBSTITUTE(SUBSTITUTE('Calculations'!HF310,"~","~~"),"*","~*"),"?","~?"),'Calculations'!$HN$13:$HN$512,"="&amp;SUBSTITUTE(SUBSTITUTE(SUBSTITUTE('Dashboard'!$B$7,"~","~~"),"*","~*"),"?","~?"))+COUNTIFS('Calculations'!$IC$13:$IC$512,"="&amp;SUBSTITUTE(SUBSTITUTE(SUBSTITUTE('Calculations'!HF310,"~","~~"),"*","~*"),"?","~?"),'Calculations'!$HN$13:$HN$512,"="&amp;SUBSTITUTE(SUBSTITUTE(SUBSTITUTE('Dashboard'!$B$7,"~","~~"),"*","~*"),"?","~?"))+COUNTIFS('Calculations'!$ID$13:$ID$512,"="&amp;SUBSTITUTE(SUBSTITUTE(SUBSTITUTE('Calculations'!HF310,"~","~~"),"*","~*"),"?","~?"),'Calculations'!$HN$13:$HN$512,"="&amp;SUBSTITUTE(SUBSTITUTE(SUBSTITUTE('Dashboard'!$B$7,"~","~~"),"*","~*"),"?","~?"))+COUNTIFS('Calculations'!$IE$13:$IE$512,"="&amp;SUBSTITUTE(SUBSTITUTE(SUBSTITUTE('Calculations'!HF310,"~","~~"),"*","~*"),"?","~?"),'Calculations'!$HN$13:$HN$512,"="&amp;SUBSTITUTE(SUBSTITUTE(SUBSTITUTE('Dashboard'!$B$7,"~","~~"),"*","~*"),"?","~?"))+COUNTIFS('Calculations'!$IF$13:$IF$512,"="&amp;SUBSTITUTE(SUBSTITUTE(SUBSTITUTE('Calculations'!HF310,"~","~~"),"*","~*"),"?","~?"),'Calculations'!$HN$13:$HN$512,"="&amp;SUBSTITUTE(SUBSTITUTE(SUBSTITUTE('Dashboard'!$B$7,"~","~~"),"*","~*"),"?","~?"))+COUNTIFS('Calculations'!$IG$13:$IG$512,"="&amp;SUBSTITUTE(SUBSTITUTE(SUBSTITUTE('Calculations'!HF310,"~","~~"),"*","~*"),"?","~?"),'Calculations'!$HN$13:$HN$512,"="&amp;SUBSTITUTE(SUBSTITUTE(SUBSTITUTE('Dashboard'!$B$7,"~","~~"),"*","~*"),"?","~?"))+COUNTIFS('Calculations'!$IH$13:$IH$512,"="&amp;SUBSTITUTE(SUBSTITUTE(SUBSTITUTE('Calculations'!HF310,"~","~~"),"*","~*"),"?","~?"),'Calculations'!$HN$13:$HN$512,"="&amp;SUBSTITUTE(SUBSTITUTE(SUBSTITUTE('Dashboard'!$B$7,"~","~~"),"*","~*"),"?","~?"))))</x:f>
        <x:v>0</x:v>
      </x:c>
      <x:c r="JD310" t="n">
        <x:f>IF('Calculations'!EM310="",0,IF('Dashboard'!$B$7="All",1,IF('Calculations'!HN310='Dashboard'!$B$7,1,0)+IFERROR(INDEX('Calculations'!$JC$13:$JC$512,MATCH('Calculations'!HE310,'Calculations'!$HF$13:$HF$512,0)),0)))</x:f>
        <x:v>0</x:v>
      </x:c>
      <x:c r="JE310" t="n">
        <x:f>IF(AND('Calculations'!EM310&lt;&gt;"",'Calculations'!$JJ$2&lt;&gt;"All",'Calculations'!$JJ$2&lt;&gt;"",'Calculations'!HF310='Calculations'!$JJ$2,'Calculations'!HL310=0,'Calculations'!JD310&gt;0),MAX('Calculations'!$JE$12:JE309)+1,0)</x:f>
        <x:v>0</x:v>
      </x:c>
      <x:c r="JF310" t="str">
        <x:f>IF('Calculations'!EM310="","",IFERROR(IF(INDEX(INDIRECT("'WCM Calibration Final'!$G$1:$G$2000"),'Calculations'!$EM310)="","",TRIM(INDEX(INDIRECT("'WCM Calibration Final'!$G$1:$G$2000"),'Calculations'!$EM310)&amp;"")),""))</x:f>
      </x:c>
      <x:c r="JQ310" t="n">
        <x:f>IF(OR('Calculations'!BM310=0,NOT('Calculations'!$AG$2),'Calculations'!$AG$8&gt;0),0,IF(OR('Dashboard'!$B$7="All",'Calculations'!HN310='Dashboard'!$B$7),IF('Calculations'!$JJ$2="All",1,IF(AND('Calculations'!HF310='Calculations'!$JJ$2,'Calculations'!HL310=0),1,0)),0))</x:f>
        <x:v>0</x:v>
      </x:c>
    </x:row>
    <x:row r="311">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t="n">
        <x:f>IF('Calculations'!$EM311="",0,IF(OR(IFERROR(INDEX(INDIRECT("'WCM Calibration Final'!$A$1:$A$2000"),'Calculations'!$EM311)&lt;&gt;"",FALSE),IFERROR(INDEX(INDIRECT("'WCM Calibration Final'!$B$1:$B$2000"),'Calculations'!$EM311)&lt;&gt;"",FALSE),IFERROR(INDEX(INDIRECT("'WCM Calibration Final'!$C$1:$C$2000"),'Calculations'!$EM311)&lt;&gt;"",FALSE)),1,0))</x:f>
        <x:v>0</x:v>
      </x:c>
      <x:c r="BN311" s="4" t="n">
        <x:f>IF(AND('Calculations'!BM311=1,'Calculations'!$AG$2,'Calculations'!$EN311=1),1,0)</x:f>
        <x:v>0</x:v>
      </x:c>
      <x:c r="BO311" s="4" t="str">
        <x:f>IF('Calculations'!BM311=0,"",IFERROR(IF(AND(VALUE(INDEX(INDIRECT("'WCM Calibration Final'!$K$1:$K$2000"),'Calculations'!$EM311))&gt;=1,VALUE(INDEX(INDIRECT("'WCM Calibration Final'!$K$1:$K$2000"),'Calculations'!$EM311))&lt;=4,MOD(VALUE(INDEX(INDIRECT("'WCM Calibration Final'!$K$1:$K$2000"),'Calculations'!$EM311)),1)=0),VALUE(INDEX(INDIRECT("'WCM Calibration Final'!$K$1:$K$2000"),'Calculations'!$EM311)),""),""))</x:f>
      </x:c>
      <x:c r="BP311" s="4" t="str">
        <x:f>IF('Calculations'!BM311=0,"",IFERROR(IF(AND(VALUE(INDEX(INDIRECT("'WCM Calibration Final'!$L$1:$L$2000"),'Calculations'!$EM311))&gt;=1,VALUE(INDEX(INDIRECT("'WCM Calibration Final'!$L$1:$L$2000"),'Calculations'!$EM311))&lt;=4,MOD(VALUE(INDEX(INDIRECT("'WCM Calibration Final'!$L$1:$L$2000"),'Calculations'!$EM311)),1)=0),VALUE(INDEX(INDIRECT("'WCM Calibration Final'!$L$1:$L$2000"),'Calculations'!$EM311)),""),""))</x:f>
      </x:c>
      <x:c r="BQ311" s="4"/>
      <x:c r="BR311" s="4"/>
      <x:c r="BS311" s="4"/>
      <x:c r="BT311" s="4" t="n">
        <x:f>IF(AND('Calculations'!BM311=1,ISNUMBER('Calculations'!BO311),ISNUMBER('Calculations'!BP311)),1,0)</x:f>
        <x:v>0</x:v>
      </x:c>
      <x:c r="BU311" s="4" t="str">
        <x:f>IF('Calculations'!BM311=0,"",'Calculations'!$EO311)</x:f>
      </x:c>
      <x:c r="BV311" s="4" t="str">
        <x:f>IF('Calculations'!BM311=0,"",IFERROR(IF(OR(INDEX(INDIRECT("'WCM Calibration Final'!$H$1:$H$2000"),'Calculations'!$EM311)="MANAGING DIRECTOR",INDEX(INDIRECT("'WCM Calibration Final'!$H$1:$H$2000"),'Calculations'!$EM311)="DIRECTOR",INDEX(INDIRECT("'WCM Calibration Final'!$H$1:$H$2000"),'Calculations'!$EM311)="SENIOR VICE PRESIDENT",INDEX(INDIRECT("'WCM Calibration Final'!$H$1:$H$2000"),'Calculations'!$EM311)="VICE PRESIDENT",INDEX(INDIRECT("'WCM Calibration Final'!$H$1:$H$2000"),'Calculations'!$EM311)="ASSISTANT VICE PRESIDENT",INDEX(INDIRECT("'WCM Calibration Final'!$H$1:$H$2000"),'Calculations'!$EM311)="OFFICER"),UPPER(INDEX(INDIRECT("'WCM Calibration Final'!$H$1:$H$2000"),'Calculations'!$EM311)),"Other"),"Other"))</x:f>
      </x:c>
      <x:c r="BW311" s="4"/>
      <x:c r="BX311" s="4"/>
      <x:c r="BY311" s="4" t="n">
        <x:f>IF(AND('Calculations'!BM311=1,'Calculations'!BU311&lt;&gt;"",COUNTIF('Calculations'!$BU$12:BU311,'Calculations'!BU311)=1),MAX('Calculations'!$BY$11:BY310)+1,0)</x:f>
        <x:v>0</x:v>
      </x:c>
      <x:c r="BZ311" s="4" t="str">
        <x:f>IF('Dashboard'!$E$67="What",'Calculations'!BO311,'Calculations'!BP311)</x:f>
      </x:c>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t="str">
        <x:f>IF(300&gt;MAX('Calculations'!$HI$13:$HI$512),"",INDEX('Calculations'!$HN$13:$HN$512,MATCH(300,'Calculations'!$HI$13:$HI$512,0)))</x:f>
      </x:c>
      <x:c r="DB311" s="4" t="str">
        <x:f>IF(300&gt;MAX('Calculations'!$HH$13:$HH$512),"",INDEX('Calculations'!$HJ$13:$HJ$512,MATCH(300,'Calculations'!$HH$13:$HH$512,0)))</x:f>
      </x:c>
      <x:c r="DC311" s="4" t="str">
        <x:f>IF(ROW()-11&gt;MAX('Calculations'!$BY$13:$BY$512),"",INDEX('Calculations'!$BU$13:$BU$512,MATCH(ROW()-11,'Calculations'!$BY$13:$BY$512,0)))</x:f>
      </x:c>
      <x:c r="DD311" s="4" t="str">
        <x:f>IF(300&gt;MAX('Calculations'!$IK$13:$IK$512),"",INDEX('Calculations'!$HK$13:$HK$512,MATCH(300,'Calculations'!$IK$13:$IK$512,0)))</x:f>
      </x:c>
      <x:c r="DE311" s="4" t="str">
        <x:f>'Calculations'!DC311</x:f>
      </x:c>
      <x:c r="DF311" s="4" t="str">
        <x:f>IF('Calculations'!DE311="","",COUNTIFS('Calculations'!$BN$13:$BN$512,1,'Calculations'!$BU$13:$BU$512,'Calculations'!DE311))</x:f>
      </x:c>
      <x:c r="DG311" s="4" t="str">
        <x:f>IF('Calculations'!DE311="","",COUNTIFS('Calculations'!$BN$13:$BN$512,1,'Calculations'!$BU$13:$BU$512,'Calculations'!DE311,'Calculations'!$BT$13:$BT$512,1))</x:f>
      </x:c>
      <x:c r="DH311" s="4" t="str">
        <x:f>IF('Calculations'!DE311="","",'Calculations'!DF311-'Calculations'!DG311)</x:f>
      </x:c>
      <x:c r="DI311" s="4" t="str">
        <x:f>IF(OR('Calculations'!DE311="",'Calculations'!DF311=0),"",'Calculations'!DG311/'Calculations'!DF311)</x:f>
      </x:c>
      <x:c r="DJ311" s="4" t="str">
        <x:f>IF('Calculations'!DE311="","",COUNTIFS('Calculations'!$BN$13:$BN$512,1,'Calculations'!$BU$13:$BU$512,'Calculations'!DE311,'Calculations'!$BT$13:$BT$512,1,'Calculations'!$EE$13:$EE$512,"High"))</x:f>
      </x:c>
      <x:c r="DK311" s="4" t="str">
        <x:f>IF('Calculations'!DE311="","",COUNTIFS('Calculations'!$BN$13:$BN$512,1,'Calculations'!$BU$13:$BU$512,'Calculations'!DE311,'Calculations'!$BT$13:$BT$512,1,'Calculations'!$EE$13:$EE$512,"Strong"))</x:f>
      </x:c>
      <x:c r="DL311" s="4" t="str">
        <x:f>IF('Calculations'!DE311="","",COUNTIFS('Calculations'!$BN$13:$BN$512,1,'Calculations'!$BU$13:$BU$512,'Calculations'!DE311,'Calculations'!$BT$13:$BT$512,1,'Calculations'!$EE$13:$EE$512,"Solid"))</x:f>
      </x:c>
      <x:c r="DM311" s="4" t="str">
        <x:f>IF('Calculations'!DE311="","",COUNTIFS('Calculations'!$BN$13:$BN$512,1,'Calculations'!$BU$13:$BU$512,'Calculations'!DE311,'Calculations'!$BT$13:$BT$512,1,'Calculations'!$EE$13:$EE$512,"Low"))</x:f>
      </x:c>
      <x:c r="DN311" s="4" t="str">
        <x:f>IF('Calculations'!DE311="","",COUNTIFS('Calculations'!$BN$13:$BN$512,1,'Calculations'!$BU$13:$BU$512,'Calculations'!DE311,'Calculations'!$EP$13:$EP$512,1))</x:f>
      </x:c>
      <x:c r="DO311" s="4" t="str">
        <x:f>IF(OR('Calculations'!DE311="",'Calculations'!DG311=0),"",('Calculations'!DJ311+'Calculations'!DK311)/'Calculations'!DG311)</x:f>
      </x:c>
      <x:c r="DP311" s="4" t="n">
        <x:f>IF(AND('Calculations'!DE311&lt;&gt;"",'Calculations'!DF311&gt;0),COUNTIF('Calculations'!$DF$12:DF311,"&gt;0"),0)</x:f>
        <x:v>0</x:v>
      </x:c>
      <x:c r="DQ311" s="4" t="str">
        <x:f>IF(300&gt;MAX('Calculations'!$HH$13:$HH$512),"",INDEX('Calculations'!$HF$13:$HF$512,MATCH(300,'Calculations'!$HH$13:$HH$512,0)))</x:f>
      </x:c>
      <x:c r="DR311" s="4" t="str">
        <x:f>IF(300&gt;MAX('Calculations'!$IK$13:$IK$512),"",INDEX('Calculations'!$HE$13:$HE$512,MATCH(300,'Calculations'!$IK$13:$IK$512,0)))</x:f>
      </x:c>
      <x:c r="DS311" s="4"/>
      <x:c r="DT311" s="4"/>
      <x:c r="DU311" s="4"/>
      <x:c r="DV311" s="4"/>
      <x:c r="DW311" s="4"/>
      <x:c r="DX311" s="4"/>
      <x:c r="DY311" s="4"/>
      <x:c r="DZ311" s="4"/>
      <x:c r="EA311" s="4"/>
      <x:c r="EB311" s="4"/>
      <x:c r="EC311" s="4"/>
      <x:c r="ED311" s="4"/>
      <x:c r="EE311" s="4" t="str">
        <x:f>IF('Calculations'!BT311=0,"Not Rated",IF(OR('Calculations'!BO311&gt;=4,'Calculations'!BP311&gt;=4),"Low",IF('Calculations'!BO311+'Calculations'!BP311&lt;=3,"High",IF('Calculations'!BO311+'Calculations'!BP311&lt;=4,"Strong","Solid"))))</x:f>
        <x:v>Not Rated</x:v>
      </x:c>
      <x:c r="EF311" s="4"/>
      <x:c r="EG311" s="4"/>
      <x:c r="EH311" s="4"/>
      <x:c r="EI311" s="4"/>
      <x:c r="EJ311" s="4"/>
      <x:c r="EK311" s="4"/>
      <x:c r="EL311" s="4"/>
      <x:c r="EM311" s="4" t="str">
        <x:f>IF(299&gt;'Calculations'!$JB$2000,"",INDEX('Calculations'!$JA$12:$JA$2000,MATCH(299,'Calculations'!$JB$12:$JB$2000,0)))</x:f>
      </x:c>
      <x:c r="EN311" s="4" t="n">
        <x:f>IF(OR('Calculations'!EM311="",'Calculations'!$AG$8&gt;0,AND('Calculations'!$EF$2&lt;&gt;"All",'Calculations'!HE311='Calculations'!$EF$2),AND('Calculations'!$EF$3&lt;&gt;"All",'Calculations'!HE311='Calculations'!$EF$3)),0,IF(OR('Dashboard'!$B$7="All",'Calculations'!HN311='Dashboard'!$B$7),IF('Calculations'!$EF$2="All",1,IF('Calculations'!HL311&gt;0,0,IF(COUNTIF('Calculations'!HO311:II311,"="&amp;SUBSTITUTE(SUBSTITUTE(SUBSTITUTE('Calculations'!$EF$2,"~","~~"),"*","~*"),"?","~?"))=0,0,IF('Calculations'!$EF$3="All",1,IF(COUNTIF('Calculations'!HO311:II311,"="&amp;SUBSTITUTE(SUBSTITUTE(SUBSTITUTE('Calculations'!$EF$3,"~","~~"),"*","~*"),"?","~?"))&gt;0,1,0))))),0))</x:f>
        <x:v>0</x:v>
      </x:c>
      <x:c r="EO311" s="4" t="str">
        <x:f>IF('Calculations'!IJ311="","",IF('Calculations'!IJ311="!UNRESOLVED","Unresolved hierarchy",IFERROR(INDEX('Calculations'!$HK$13:$HK$512,MATCH('Calculations'!IJ311,'Calculations'!$HE$13:$HE$512,0)),IFERROR(INDEX('Calculations'!$HJ$13:$HJ$512,MATCH('Calculations'!IJ311,'Calculations'!$HF$13:$HF$512,0)),'Calculations'!IJ311))))</x:f>
      </x:c>
      <x:c r="EP311" s="4" t="n">
        <x:f>IF(AND('Calculations'!EM311&lt;&gt;"",'Calculations'!HF311='Calculations'!IJ311),1,0)</x:f>
        <x:v>0</x:v>
      </x:c>
      <x:c r="EQ311" s="4"/>
      <x:c r="ER311" s="4"/>
      <x:c r="ES311" s="4"/>
      <x:c r="ET311" s="4"/>
      <x:c r="EU311" s="4"/>
      <x:c r="EV311" s="4"/>
      <x:c r="EW311" s="4"/>
      <x:c r="EX311" s="4"/>
      <x:c r="EY311" s="4"/>
      <x:c r="EZ311" s="4"/>
      <x:c r="FA311" s="4"/>
      <x:c r="FB311" s="4"/>
      <x:c r="FC311" s="4"/>
      <x:c r="FD311" s="4"/>
      <x:c r="FE311" s="4"/>
      <x:c r="FF311" s="4"/>
      <x:c r="FG311" s="4"/>
      <x:c r="FH311" s="4"/>
      <x:c r="FI311" s="4"/>
      <x:c r="FJ311" s="4"/>
      <x:c r="FK311" s="4"/>
      <x:c r="FL311" s="4"/>
      <x:c r="FM311" s="4"/>
      <x:c r="FN311" s="4"/>
      <x:c r="FO311" s="4"/>
      <x:c r="HE311" t="str">
        <x:f>IF('Calculations'!EM311="","",IF(IFERROR(IF(INDEX(INDIRECT("'WCM Calibration Final'!$A$1:$A$2000"),'Calculations'!$EM311)="","",TRIM(INDEX(INDIRECT("'WCM Calibration Final'!$A$1:$A$2000"),'Calculations'!$EM311)&amp;"")),"")&lt;&gt;"","G:"&amp;IFERROR(TEXT(1*INDEX(INDIRECT("'WCM Calibration Final'!$A$1:$A$2000"),'Calculations'!$EM311),"0"),UPPER(IFERROR(IF(INDEX(INDIRECT("'WCM Calibration Final'!$A$1:$A$2000"),'Calculations'!$EM311)="","",TRIM(INDEX(INDIRECT("'WCM Calibration Final'!$A$1:$A$2000"),'Calculations'!$EM311)&amp;"")),""))),IF(IFERROR(IF(INDEX(INDIRECT("'WCM Calibration Final'!$C$1:$C$2000"),'Calculations'!$EM311)="","",TRIM(INDEX(INDIRECT("'WCM Calibration Final'!$C$1:$C$2000"),'Calculations'!$EM311)&amp;"")),"")&lt;&gt;"","S:"&amp;UPPER(IFERROR(IF(INDEX(INDIRECT("'WCM Calibration Final'!$C$1:$C$2000"),'Calculations'!$EM311)="","",TRIM(INDEX(INDIRECT("'WCM Calibration Final'!$C$1:$C$2000"),'Calculations'!$EM311)&amp;"")),"")),"R:"&amp;'Calculations'!EM311)))</x:f>
      </x:c>
      <x:c r="HF311" t="str">
        <x:f>IF('Calculations'!EM311="","",IF(IFERROR(IF(INDEX(INDIRECT("'WCM Calibration Final'!$D$1:$D$2000"),'Calculations'!$EM311)="","",TRIM(INDEX(INDIRECT("'WCM Calibration Final'!$D$1:$D$2000"),'Calculations'!$EM311)&amp;"")),"")&lt;&gt;"","G:"&amp;IFERROR(TEXT(1*INDEX(INDIRECT("'WCM Calibration Final'!$D$1:$D$2000"),'Calculations'!$EM311),"0"),UPPER(IFERROR(IF(INDEX(INDIRECT("'WCM Calibration Final'!$D$1:$D$2000"),'Calculations'!$EM311)="","",TRIM(INDEX(INDIRECT("'WCM Calibration Final'!$D$1:$D$2000"),'Calculations'!$EM311)&amp;"")),""))),IF(IFERROR(IF(INDEX(INDIRECT("'WCM Calibration Final'!$E$1:$E$2000"),'Calculations'!$EM311)="","",TRIM(INDEX(INDIRECT("'WCM Calibration Final'!$E$1:$E$2000"),'Calculations'!$EM311)&amp;"")),"")="","",IF(COUNTIF('Calculations'!$HG$13:$HG$512,"="&amp;SUBSTITUTE(SUBSTITUTE(SUBSTITUTE(IFERROR(IF(INDEX(INDIRECT("'WCM Calibration Final'!$E$1:$E$2000"),'Calculations'!$EM311)="","",TRIM(INDEX(INDIRECT("'WCM Calibration Final'!$E$1:$E$2000"),'Calculations'!$EM311)&amp;"")),""),"~","~~"),"*","~*"),"?","~?"))=1,INDEX('Calculations'!$HE$13:$HE$512,MATCH(IFERROR(IF(INDEX(INDIRECT("'WCM Calibration Final'!$E$1:$E$2000"),'Calculations'!$EM311)="","",TRIM(INDEX(INDIRECT("'WCM Calibration Final'!$E$1:$E$2000"),'Calculations'!$EM311)&amp;"")),""),'Calculations'!$HG$13:$HG$512,0)),IF(COUNTIF('Calculations'!$HG$13:$HG$512,"="&amp;SUBSTITUTE(SUBSTITUTE(SUBSTITUTE(IFERROR(IF(INDEX(INDIRECT("'WCM Calibration Final'!$E$1:$E$2000"),'Calculations'!$EM311)="","",TRIM(INDEX(INDIRECT("'WCM Calibration Final'!$E$1:$E$2000"),'Calculations'!$EM311)&amp;"")),""),"~","~~"),"*","~*"),"?","~?"))&gt;1,"!AMBIG","X:"&amp;IFERROR(IF(INDEX(INDIRECT("'WCM Calibration Final'!$E$1:$E$2000"),'Calculations'!$EM311)="","",TRIM(INDEX(INDIRECT("'WCM Calibration Final'!$E$1:$E$2000"),'Calculations'!$EM311)&amp;"")),""))))))</x:f>
      </x:c>
      <x:c r="HG311" t="str">
        <x:f>IF('Calculations'!EM311="","",IFERROR(IF(INDEX(INDIRECT("'WCM Calibration Final'!$B$1:$B$2000"),'Calculations'!$EM311)="","",TRIM(INDEX(INDIRECT("'WCM Calibration Final'!$B$1:$B$2000"),'Calculations'!$EM311)&amp;"")),""))</x:f>
      </x:c>
      <x:c r="HH311" t="n">
        <x:f>IF(AND('Calculations'!JC311&gt;0,COUNTIF('Calculations'!$HF$12:HF311,"="&amp;SUBSTITUTE(SUBSTITUTE(SUBSTITUTE('Calculations'!HF311,"~","~~"),"*","~*"),"?","~?"))=1),MAX('Calculations'!$HH$12:HH310)+1,0)</x:f>
        <x:v>0</x:v>
      </x:c>
      <x:c r="HI311" t="n">
        <x:f>IF(AND('Calculations'!HN311&lt;&gt;"",COUNTIF('Calculations'!$HN$12:HN311,"="&amp;SUBSTITUTE(SUBSTITUTE(SUBSTITUTE('Calculations'!HN311,"~","~~"),"*","~*"),"?","~?"))=1),MAX('Calculations'!$HI$12:HI310)+1,0)</x:f>
        <x:v>0</x:v>
      </x:c>
      <x:c r="HJ311" t="str">
        <x:f>IF('Calculations'!HF311="","",IF(COUNTIF('Calculations'!$HE$13:$HE$512,"="&amp;SUBSTITUTE(SUBSTITUTE(SUBSTITUTE('Calculations'!HF311,"~","~~"),"*","~*"),"?","~?"))=1,INDEX('Calculations'!$HK$13:$HK$512,MATCH('Calculations'!HF311,'Calculations'!$HE$13:$HE$512,0)),IFERROR(IF(INDEX(INDIRECT("'WCM Calibration Final'!$E$1:$E$2000"),'Calculations'!$EM311)="","",TRIM(INDEX(INDIRECT("'WCM Calibration Final'!$E$1:$E$2000"),'Calculations'!$EM311)&amp;"")),"")&amp;" ["&amp;'Calculations'!HF311&amp;"]"))</x:f>
      </x:c>
      <x:c r="HK311" t="str">
        <x:f>IF('Calculations'!EM311="","",'Calculations'!HG311&amp;" ["&amp;'Calculations'!HE311&amp;"]")</x:f>
      </x:c>
      <x:c r="HL311" t="n">
        <x:f>IF('Calculations'!EM311="",0,IF(OR('Calculations'!II311&lt;&gt;"",COUNTIF('Calculations'!$HE$13:$HE$512,"="&amp;SUBSTITUTE(SUBSTITUTE(SUBSTITUTE('Calculations'!HE311,"~","~~"),"*","~*"),"?","~?"))&gt;1),1,0))</x:f>
        <x:v>0</x:v>
      </x:c>
      <x:c r="HM311" t="str">
        <x:f>IF('Calculations'!EM311="","",IF('Calculations'!HL311=1,"!UNRESOLVED",IF('Calculations'!IH311&lt;&gt;"",'Calculations'!IH311,IF('Calculations'!IG311&lt;&gt;"",'Calculations'!IG311,IF('Calculations'!IF311&lt;&gt;"",'Calculations'!IF311,IF('Calculations'!IE311&lt;&gt;"",'Calculations'!IE311,IF('Calculations'!ID311&lt;&gt;"",'Calculations'!ID311,IF('Calculations'!IC311&lt;&gt;"",'Calculations'!IC311,IF('Calculations'!IB311&lt;&gt;"",'Calculations'!IB311,IF('Calculations'!IA311&lt;&gt;"",'Calculations'!IA311,IF('Calculations'!HZ311&lt;&gt;"",'Calculations'!HZ311,IF('Calculations'!HY311&lt;&gt;"",'Calculations'!HY311,IF('Calculations'!HX311&lt;&gt;"",'Calculations'!HX311,IF('Calculations'!HW311&lt;&gt;"",'Calculations'!HW311,IF('Calculations'!HV311&lt;&gt;"",'Calculations'!HV311,IF('Calculations'!HU311&lt;&gt;"",'Calculations'!HU311,IF('Calculations'!HT311&lt;&gt;"",'Calculations'!HT311,IF('Calculations'!HS311&lt;&gt;"",'Calculations'!HS311,IF('Calculations'!HR311&lt;&gt;"",'Calculations'!HR311,IF('Calculations'!HQ311&lt;&gt;"",'Calculations'!HQ311,IF('Calculations'!HP311&lt;&gt;"",'Calculations'!HP311,IF('Calculations'!HO311&lt;&gt;"",'Calculations'!HO311,'Calculations'!HE311))))))))))))))))))))))</x:f>
      </x:c>
      <x:c r="HN311" t="str">
        <x:f>IF('Calculations'!EM311="","",IF(IFERROR(IF(INDEX(INDIRECT("'WCM Calibration Final'!$F$1:$F$2000"),'Calculations'!$EM311)="","",TRIM(INDEX(INDIRECT("'WCM Calibration Final'!$F$1:$F$2000"),'Calculations'!$EM311)&amp;"")),"")="","(Blank)",IFERROR(IF(INDEX(INDIRECT("'WCM Calibration Final'!$F$1:$F$2000"),'Calculations'!$EM311)="","",TRIM(INDEX(INDIRECT("'WCM Calibration Final'!$F$1:$F$2000"),'Calculations'!$EM311)&amp;"")),"")))</x:f>
      </x:c>
      <x:c r="HO311" t="str">
        <x:f>'Calculations'!HF311</x:f>
      </x:c>
      <x:c r="HP311" t="str">
        <x:f>IF('Calculations'!HO311="","",IF('Calculations'!HO311="!AMBIG","!AMBIG",IF(COUNTIF('Calculations'!$HE$13:$HE$512,"="&amp;SUBSTITUTE(SUBSTITUTE(SUBSTITUTE('Calculations'!HO311,"~","~~"),"*","~*"),"?","~?"))&gt;1,"!AMBIG",IFERROR(INDEX('Calculations'!$HF$13:$HF$512,MATCH('Calculations'!HO311,'Calculations'!$HE$13:$HE$512,0)),""))))</x:f>
      </x:c>
      <x:c r="HQ311" t="str">
        <x:f>IF('Calculations'!HP311="","",IF('Calculations'!HP311="!AMBIG","!AMBIG",IF(COUNTIF('Calculations'!$HE$13:$HE$512,"="&amp;SUBSTITUTE(SUBSTITUTE(SUBSTITUTE('Calculations'!HP311,"~","~~"),"*","~*"),"?","~?"))&gt;1,"!AMBIG",IFERROR(INDEX('Calculations'!$HF$13:$HF$512,MATCH('Calculations'!HP311,'Calculations'!$HE$13:$HE$512,0)),""))))</x:f>
      </x:c>
      <x:c r="HR311" t="str">
        <x:f>IF('Calculations'!HQ311="","",IF('Calculations'!HQ311="!AMBIG","!AMBIG",IF(COUNTIF('Calculations'!$HE$13:$HE$512,"="&amp;SUBSTITUTE(SUBSTITUTE(SUBSTITUTE('Calculations'!HQ311,"~","~~"),"*","~*"),"?","~?"))&gt;1,"!AMBIG",IFERROR(INDEX('Calculations'!$HF$13:$HF$512,MATCH('Calculations'!HQ311,'Calculations'!$HE$13:$HE$512,0)),""))))</x:f>
      </x:c>
      <x:c r="HS311" t="str">
        <x:f>IF('Calculations'!HR311="","",IF('Calculations'!HR311="!AMBIG","!AMBIG",IF(COUNTIF('Calculations'!$HE$13:$HE$512,"="&amp;SUBSTITUTE(SUBSTITUTE(SUBSTITUTE('Calculations'!HR311,"~","~~"),"*","~*"),"?","~?"))&gt;1,"!AMBIG",IFERROR(INDEX('Calculations'!$HF$13:$HF$512,MATCH('Calculations'!HR311,'Calculations'!$HE$13:$HE$512,0)),""))))</x:f>
      </x:c>
      <x:c r="HT311" t="str">
        <x:f>IF('Calculations'!HS311="","",IF('Calculations'!HS311="!AMBIG","!AMBIG",IF(COUNTIF('Calculations'!$HE$13:$HE$512,"="&amp;SUBSTITUTE(SUBSTITUTE(SUBSTITUTE('Calculations'!HS311,"~","~~"),"*","~*"),"?","~?"))&gt;1,"!AMBIG",IFERROR(INDEX('Calculations'!$HF$13:$HF$512,MATCH('Calculations'!HS311,'Calculations'!$HE$13:$HE$512,0)),""))))</x:f>
      </x:c>
      <x:c r="HU311" t="str">
        <x:f>IF('Calculations'!HT311="","",IF('Calculations'!HT311="!AMBIG","!AMBIG",IF(COUNTIF('Calculations'!$HE$13:$HE$512,"="&amp;SUBSTITUTE(SUBSTITUTE(SUBSTITUTE('Calculations'!HT311,"~","~~"),"*","~*"),"?","~?"))&gt;1,"!AMBIG",IFERROR(INDEX('Calculations'!$HF$13:$HF$512,MATCH('Calculations'!HT311,'Calculations'!$HE$13:$HE$512,0)),""))))</x:f>
      </x:c>
      <x:c r="HV311" t="str">
        <x:f>IF('Calculations'!HU311="","",IF('Calculations'!HU311="!AMBIG","!AMBIG",IF(COUNTIF('Calculations'!$HE$13:$HE$512,"="&amp;SUBSTITUTE(SUBSTITUTE(SUBSTITUTE('Calculations'!HU311,"~","~~"),"*","~*"),"?","~?"))&gt;1,"!AMBIG",IFERROR(INDEX('Calculations'!$HF$13:$HF$512,MATCH('Calculations'!HU311,'Calculations'!$HE$13:$HE$512,0)),""))))</x:f>
      </x:c>
      <x:c r="HW311" t="str">
        <x:f>IF('Calculations'!HV311="","",IF('Calculations'!HV311="!AMBIG","!AMBIG",IF(COUNTIF('Calculations'!$HE$13:$HE$512,"="&amp;SUBSTITUTE(SUBSTITUTE(SUBSTITUTE('Calculations'!HV311,"~","~~"),"*","~*"),"?","~?"))&gt;1,"!AMBIG",IFERROR(INDEX('Calculations'!$HF$13:$HF$512,MATCH('Calculations'!HV311,'Calculations'!$HE$13:$HE$512,0)),""))))</x:f>
      </x:c>
      <x:c r="HX311" t="str">
        <x:f>IF('Calculations'!HW311="","",IF('Calculations'!HW311="!AMBIG","!AMBIG",IF(COUNTIF('Calculations'!$HE$13:$HE$512,"="&amp;SUBSTITUTE(SUBSTITUTE(SUBSTITUTE('Calculations'!HW311,"~","~~"),"*","~*"),"?","~?"))&gt;1,"!AMBIG",IFERROR(INDEX('Calculations'!$HF$13:$HF$512,MATCH('Calculations'!HW311,'Calculations'!$HE$13:$HE$512,0)),""))))</x:f>
      </x:c>
      <x:c r="HY311" t="str">
        <x:f>IF('Calculations'!HX311="","",IF('Calculations'!HX311="!AMBIG","!AMBIG",IF(COUNTIF('Calculations'!$HE$13:$HE$512,"="&amp;SUBSTITUTE(SUBSTITUTE(SUBSTITUTE('Calculations'!HX311,"~","~~"),"*","~*"),"?","~?"))&gt;1,"!AMBIG",IFERROR(INDEX('Calculations'!$HF$13:$HF$512,MATCH('Calculations'!HX311,'Calculations'!$HE$13:$HE$512,0)),""))))</x:f>
      </x:c>
      <x:c r="HZ311" t="str">
        <x:f>IF('Calculations'!HY311="","",IF('Calculations'!HY311="!AMBIG","!AMBIG",IF(COUNTIF('Calculations'!$HE$13:$HE$512,"="&amp;SUBSTITUTE(SUBSTITUTE(SUBSTITUTE('Calculations'!HY311,"~","~~"),"*","~*"),"?","~?"))&gt;1,"!AMBIG",IFERROR(INDEX('Calculations'!$HF$13:$HF$512,MATCH('Calculations'!HY311,'Calculations'!$HE$13:$HE$512,0)),""))))</x:f>
      </x:c>
      <x:c r="IA311" t="str">
        <x:f>IF('Calculations'!HZ311="","",IF('Calculations'!HZ311="!AMBIG","!AMBIG",IF(COUNTIF('Calculations'!$HE$13:$HE$512,"="&amp;SUBSTITUTE(SUBSTITUTE(SUBSTITUTE('Calculations'!HZ311,"~","~~"),"*","~*"),"?","~?"))&gt;1,"!AMBIG",IFERROR(INDEX('Calculations'!$HF$13:$HF$512,MATCH('Calculations'!HZ311,'Calculations'!$HE$13:$HE$512,0)),""))))</x:f>
      </x:c>
      <x:c r="IB311" t="str">
        <x:f>IF('Calculations'!IA311="","",IF('Calculations'!IA311="!AMBIG","!AMBIG",IF(COUNTIF('Calculations'!$HE$13:$HE$512,"="&amp;SUBSTITUTE(SUBSTITUTE(SUBSTITUTE('Calculations'!IA311,"~","~~"),"*","~*"),"?","~?"))&gt;1,"!AMBIG",IFERROR(INDEX('Calculations'!$HF$13:$HF$512,MATCH('Calculations'!IA311,'Calculations'!$HE$13:$HE$512,0)),""))))</x:f>
      </x:c>
      <x:c r="IC311" t="str">
        <x:f>IF('Calculations'!IB311="","",IF('Calculations'!IB311="!AMBIG","!AMBIG",IF(COUNTIF('Calculations'!$HE$13:$HE$512,"="&amp;SUBSTITUTE(SUBSTITUTE(SUBSTITUTE('Calculations'!IB311,"~","~~"),"*","~*"),"?","~?"))&gt;1,"!AMBIG",IFERROR(INDEX('Calculations'!$HF$13:$HF$512,MATCH('Calculations'!IB311,'Calculations'!$HE$13:$HE$512,0)),""))))</x:f>
      </x:c>
      <x:c r="ID311" t="str">
        <x:f>IF('Calculations'!IC311="","",IF('Calculations'!IC311="!AMBIG","!AMBIG",IF(COUNTIF('Calculations'!$HE$13:$HE$512,"="&amp;SUBSTITUTE(SUBSTITUTE(SUBSTITUTE('Calculations'!IC311,"~","~~"),"*","~*"),"?","~?"))&gt;1,"!AMBIG",IFERROR(INDEX('Calculations'!$HF$13:$HF$512,MATCH('Calculations'!IC311,'Calculations'!$HE$13:$HE$512,0)),""))))</x:f>
      </x:c>
      <x:c r="IE311" t="str">
        <x:f>IF('Calculations'!ID311="","",IF('Calculations'!ID311="!AMBIG","!AMBIG",IF(COUNTIF('Calculations'!$HE$13:$HE$512,"="&amp;SUBSTITUTE(SUBSTITUTE(SUBSTITUTE('Calculations'!ID311,"~","~~"),"*","~*"),"?","~?"))&gt;1,"!AMBIG",IFERROR(INDEX('Calculations'!$HF$13:$HF$512,MATCH('Calculations'!ID311,'Calculations'!$HE$13:$HE$512,0)),""))))</x:f>
      </x:c>
      <x:c r="IF311" t="str">
        <x:f>IF('Calculations'!IE311="","",IF('Calculations'!IE311="!AMBIG","!AMBIG",IF(COUNTIF('Calculations'!$HE$13:$HE$512,"="&amp;SUBSTITUTE(SUBSTITUTE(SUBSTITUTE('Calculations'!IE311,"~","~~"),"*","~*"),"?","~?"))&gt;1,"!AMBIG",IFERROR(INDEX('Calculations'!$HF$13:$HF$512,MATCH('Calculations'!IE311,'Calculations'!$HE$13:$HE$512,0)),""))))</x:f>
      </x:c>
      <x:c r="IG311" t="str">
        <x:f>IF('Calculations'!IF311="","",IF('Calculations'!IF311="!AMBIG","!AMBIG",IF(COUNTIF('Calculations'!$HE$13:$HE$512,"="&amp;SUBSTITUTE(SUBSTITUTE(SUBSTITUTE('Calculations'!IF311,"~","~~"),"*","~*"),"?","~?"))&gt;1,"!AMBIG",IFERROR(INDEX('Calculations'!$HF$13:$HF$512,MATCH('Calculations'!IF311,'Calculations'!$HE$13:$HE$512,0)),""))))</x:f>
      </x:c>
      <x:c r="IH311" t="str">
        <x:f>IF('Calculations'!IG311="","",IF('Calculations'!IG311="!AMBIG","!AMBIG",IF(COUNTIF('Calculations'!$HE$13:$HE$512,"="&amp;SUBSTITUTE(SUBSTITUTE(SUBSTITUTE('Calculations'!IG311,"~","~~"),"*","~*"),"?","~?"))&gt;1,"!AMBIG",IFERROR(INDEX('Calculations'!$HF$13:$HF$512,MATCH('Calculations'!IG311,'Calculations'!$HE$13:$HE$512,0)),""))))</x:f>
      </x:c>
      <x:c r="II311" t="str">
        <x:f>IF('Calculations'!IH311="","",IF('Calculations'!IH311="!AMBIG","!AMBIG",IF(COUNTIF('Calculations'!$HE$13:$HE$512,"="&amp;SUBSTITUTE(SUBSTITUTE(SUBSTITUTE('Calculations'!IH311,"~","~~"),"*","~*"),"?","~?"))&gt;1,"!AMBIG",IFERROR(INDEX('Calculations'!$HF$13:$HF$512,MATCH('Calculations'!IH311,'Calculations'!$HE$13:$HE$512,0)),""))))</x:f>
      </x:c>
      <x:c r="IJ311" t="str">
        <x:f>IF('Calculations'!EM311="","",IF('Calculations'!$EF$2="All",'Calculations'!HM311,IF('Calculations'!HL311=1,"",IFERROR(IF(MATCH('Calculations'!$EF$2,'Calculations'!HO311:II311,0)=1,'Calculations'!HE311,INDEX('Calculations'!HO311:II311,1,MATCH('Calculations'!$EF$2,'Calculations'!HO311:II311,0)-1)),""))))</x:f>
      </x:c>
      <x:c r="IK311" t="n">
        <x:f>IF(AND('Calculations'!EM311&lt;&gt;"",'Calculations'!$EF$2&lt;&gt;"All",'Calculations'!HF311='Calculations'!$EF$2,'Calculations'!HL311=0,'Calculations'!JD311&gt;0),MAX('Calculations'!$IK$12:IK310)+1,0)</x:f>
        <x:v>0</x:v>
      </x:c>
      <x:c r="JA311" t="n">
        <x:f>IF(OR(IFERROR(INDIRECT("'WCM Calibration Final'!$A$311")&lt;&gt;"",FALSE),IFERROR(INDIRECT("'WCM Calibration Final'!$B$311")&lt;&gt;"",FALSE),IFERROR(INDIRECT("'WCM Calibration Final'!$C$311")&lt;&gt;"",FALSE)),311,0)</x:f>
        <x:v>0</x:v>
      </x:c>
      <x:c r="JB311" t="n">
        <x:f>'Calculations'!JB310+IF('Calculations'!JA311&gt;0,1,0)</x:f>
        <x:v>0</x:v>
      </x:c>
      <x:c r="JC311" t="n">
        <x:f>IF(OR('Calculations'!HF311="",'Calculations'!HF311="!AMBIG"),0,IF('Dashboard'!$B$7="All",1,COUNTIFS('Calculations'!$HO$13:$HO$512,"="&amp;SUBSTITUTE(SUBSTITUTE(SUBSTITUTE('Calculations'!HF311,"~","~~"),"*","~*"),"?","~?"),'Calculations'!$HN$13:$HN$512,"="&amp;SUBSTITUTE(SUBSTITUTE(SUBSTITUTE('Dashboard'!$B$7,"~","~~"),"*","~*"),"?","~?"))+COUNTIFS('Calculations'!$HP$13:$HP$512,"="&amp;SUBSTITUTE(SUBSTITUTE(SUBSTITUTE('Calculations'!HF311,"~","~~"),"*","~*"),"?","~?"),'Calculations'!$HN$13:$HN$512,"="&amp;SUBSTITUTE(SUBSTITUTE(SUBSTITUTE('Dashboard'!$B$7,"~","~~"),"*","~*"),"?","~?"))+COUNTIFS('Calculations'!$HQ$13:$HQ$512,"="&amp;SUBSTITUTE(SUBSTITUTE(SUBSTITUTE('Calculations'!HF311,"~","~~"),"*","~*"),"?","~?"),'Calculations'!$HN$13:$HN$512,"="&amp;SUBSTITUTE(SUBSTITUTE(SUBSTITUTE('Dashboard'!$B$7,"~","~~"),"*","~*"),"?","~?"))+COUNTIFS('Calculations'!$HR$13:$HR$512,"="&amp;SUBSTITUTE(SUBSTITUTE(SUBSTITUTE('Calculations'!HF311,"~","~~"),"*","~*"),"?","~?"),'Calculations'!$HN$13:$HN$512,"="&amp;SUBSTITUTE(SUBSTITUTE(SUBSTITUTE('Dashboard'!$B$7,"~","~~"),"*","~*"),"?","~?"))+COUNTIFS('Calculations'!$HS$13:$HS$512,"="&amp;SUBSTITUTE(SUBSTITUTE(SUBSTITUTE('Calculations'!HF311,"~","~~"),"*","~*"),"?","~?"),'Calculations'!$HN$13:$HN$512,"="&amp;SUBSTITUTE(SUBSTITUTE(SUBSTITUTE('Dashboard'!$B$7,"~","~~"),"*","~*"),"?","~?"))+COUNTIFS('Calculations'!$HT$13:$HT$512,"="&amp;SUBSTITUTE(SUBSTITUTE(SUBSTITUTE('Calculations'!HF311,"~","~~"),"*","~*"),"?","~?"),'Calculations'!$HN$13:$HN$512,"="&amp;SUBSTITUTE(SUBSTITUTE(SUBSTITUTE('Dashboard'!$B$7,"~","~~"),"*","~*"),"?","~?"))+COUNTIFS('Calculations'!$HU$13:$HU$512,"="&amp;SUBSTITUTE(SUBSTITUTE(SUBSTITUTE('Calculations'!HF311,"~","~~"),"*","~*"),"?","~?"),'Calculations'!$HN$13:$HN$512,"="&amp;SUBSTITUTE(SUBSTITUTE(SUBSTITUTE('Dashboard'!$B$7,"~","~~"),"*","~*"),"?","~?"))+COUNTIFS('Calculations'!$HV$13:$HV$512,"="&amp;SUBSTITUTE(SUBSTITUTE(SUBSTITUTE('Calculations'!HF311,"~","~~"),"*","~*"),"?","~?"),'Calculations'!$HN$13:$HN$512,"="&amp;SUBSTITUTE(SUBSTITUTE(SUBSTITUTE('Dashboard'!$B$7,"~","~~"),"*","~*"),"?","~?"))+COUNTIFS('Calculations'!$HW$13:$HW$512,"="&amp;SUBSTITUTE(SUBSTITUTE(SUBSTITUTE('Calculations'!HF311,"~","~~"),"*","~*"),"?","~?"),'Calculations'!$HN$13:$HN$512,"="&amp;SUBSTITUTE(SUBSTITUTE(SUBSTITUTE('Dashboard'!$B$7,"~","~~"),"*","~*"),"?","~?"))+COUNTIFS('Calculations'!$HX$13:$HX$512,"="&amp;SUBSTITUTE(SUBSTITUTE(SUBSTITUTE('Calculations'!HF311,"~","~~"),"*","~*"),"?","~?"),'Calculations'!$HN$13:$HN$512,"="&amp;SUBSTITUTE(SUBSTITUTE(SUBSTITUTE('Dashboard'!$B$7,"~","~~"),"*","~*"),"?","~?"))+COUNTIFS('Calculations'!$HY$13:$HY$512,"="&amp;SUBSTITUTE(SUBSTITUTE(SUBSTITUTE('Calculations'!HF311,"~","~~"),"*","~*"),"?","~?"),'Calculations'!$HN$13:$HN$512,"="&amp;SUBSTITUTE(SUBSTITUTE(SUBSTITUTE('Dashboard'!$B$7,"~","~~"),"*","~*"),"?","~?"))+COUNTIFS('Calculations'!$HZ$13:$HZ$512,"="&amp;SUBSTITUTE(SUBSTITUTE(SUBSTITUTE('Calculations'!HF311,"~","~~"),"*","~*"),"?","~?"),'Calculations'!$HN$13:$HN$512,"="&amp;SUBSTITUTE(SUBSTITUTE(SUBSTITUTE('Dashboard'!$B$7,"~","~~"),"*","~*"),"?","~?"))+COUNTIFS('Calculations'!$IA$13:$IA$512,"="&amp;SUBSTITUTE(SUBSTITUTE(SUBSTITUTE('Calculations'!HF311,"~","~~"),"*","~*"),"?","~?"),'Calculations'!$HN$13:$HN$512,"="&amp;SUBSTITUTE(SUBSTITUTE(SUBSTITUTE('Dashboard'!$B$7,"~","~~"),"*","~*"),"?","~?"))+COUNTIFS('Calculations'!$IB$13:$IB$512,"="&amp;SUBSTITUTE(SUBSTITUTE(SUBSTITUTE('Calculations'!HF311,"~","~~"),"*","~*"),"?","~?"),'Calculations'!$HN$13:$HN$512,"="&amp;SUBSTITUTE(SUBSTITUTE(SUBSTITUTE('Dashboard'!$B$7,"~","~~"),"*","~*"),"?","~?"))+COUNTIFS('Calculations'!$IC$13:$IC$512,"="&amp;SUBSTITUTE(SUBSTITUTE(SUBSTITUTE('Calculations'!HF311,"~","~~"),"*","~*"),"?","~?"),'Calculations'!$HN$13:$HN$512,"="&amp;SUBSTITUTE(SUBSTITUTE(SUBSTITUTE('Dashboard'!$B$7,"~","~~"),"*","~*"),"?","~?"))+COUNTIFS('Calculations'!$ID$13:$ID$512,"="&amp;SUBSTITUTE(SUBSTITUTE(SUBSTITUTE('Calculations'!HF311,"~","~~"),"*","~*"),"?","~?"),'Calculations'!$HN$13:$HN$512,"="&amp;SUBSTITUTE(SUBSTITUTE(SUBSTITUTE('Dashboard'!$B$7,"~","~~"),"*","~*"),"?","~?"))+COUNTIFS('Calculations'!$IE$13:$IE$512,"="&amp;SUBSTITUTE(SUBSTITUTE(SUBSTITUTE('Calculations'!HF311,"~","~~"),"*","~*"),"?","~?"),'Calculations'!$HN$13:$HN$512,"="&amp;SUBSTITUTE(SUBSTITUTE(SUBSTITUTE('Dashboard'!$B$7,"~","~~"),"*","~*"),"?","~?"))+COUNTIFS('Calculations'!$IF$13:$IF$512,"="&amp;SUBSTITUTE(SUBSTITUTE(SUBSTITUTE('Calculations'!HF311,"~","~~"),"*","~*"),"?","~?"),'Calculations'!$HN$13:$HN$512,"="&amp;SUBSTITUTE(SUBSTITUTE(SUBSTITUTE('Dashboard'!$B$7,"~","~~"),"*","~*"),"?","~?"))+COUNTIFS('Calculations'!$IG$13:$IG$512,"="&amp;SUBSTITUTE(SUBSTITUTE(SUBSTITUTE('Calculations'!HF311,"~","~~"),"*","~*"),"?","~?"),'Calculations'!$HN$13:$HN$512,"="&amp;SUBSTITUTE(SUBSTITUTE(SUBSTITUTE('Dashboard'!$B$7,"~","~~"),"*","~*"),"?","~?"))+COUNTIFS('Calculations'!$IH$13:$IH$512,"="&amp;SUBSTITUTE(SUBSTITUTE(SUBSTITUTE('Calculations'!HF311,"~","~~"),"*","~*"),"?","~?"),'Calculations'!$HN$13:$HN$512,"="&amp;SUBSTITUTE(SUBSTITUTE(SUBSTITUTE('Dashboard'!$B$7,"~","~~"),"*","~*"),"?","~?"))))</x:f>
        <x:v>0</x:v>
      </x:c>
      <x:c r="JD311" t="n">
        <x:f>IF('Calculations'!EM311="",0,IF('Dashboard'!$B$7="All",1,IF('Calculations'!HN311='Dashboard'!$B$7,1,0)+IFERROR(INDEX('Calculations'!$JC$13:$JC$512,MATCH('Calculations'!HE311,'Calculations'!$HF$13:$HF$512,0)),0)))</x:f>
        <x:v>0</x:v>
      </x:c>
      <x:c r="JE311" t="n">
        <x:f>IF(AND('Calculations'!EM311&lt;&gt;"",'Calculations'!$JJ$2&lt;&gt;"All",'Calculations'!$JJ$2&lt;&gt;"",'Calculations'!HF311='Calculations'!$JJ$2,'Calculations'!HL311=0,'Calculations'!JD311&gt;0),MAX('Calculations'!$JE$12:JE310)+1,0)</x:f>
        <x:v>0</x:v>
      </x:c>
      <x:c r="JF311" t="str">
        <x:f>IF('Calculations'!EM311="","",IFERROR(IF(INDEX(INDIRECT("'WCM Calibration Final'!$G$1:$G$2000"),'Calculations'!$EM311)="","",TRIM(INDEX(INDIRECT("'WCM Calibration Final'!$G$1:$G$2000"),'Calculations'!$EM311)&amp;"")),""))</x:f>
      </x:c>
      <x:c r="JQ311" t="n">
        <x:f>IF(OR('Calculations'!BM311=0,NOT('Calculations'!$AG$2),'Calculations'!$AG$8&gt;0),0,IF(OR('Dashboard'!$B$7="All",'Calculations'!HN311='Dashboard'!$B$7),IF('Calculations'!$JJ$2="All",1,IF(AND('Calculations'!HF311='Calculations'!$JJ$2,'Calculations'!HL311=0),1,0)),0))</x:f>
        <x:v>0</x:v>
      </x:c>
    </x:row>
    <x:row r="312">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t="n">
        <x:f>IF('Calculations'!$EM312="",0,IF(OR(IFERROR(INDEX(INDIRECT("'WCM Calibration Final'!$A$1:$A$2000"),'Calculations'!$EM312)&lt;&gt;"",FALSE),IFERROR(INDEX(INDIRECT("'WCM Calibration Final'!$B$1:$B$2000"),'Calculations'!$EM312)&lt;&gt;"",FALSE),IFERROR(INDEX(INDIRECT("'WCM Calibration Final'!$C$1:$C$2000"),'Calculations'!$EM312)&lt;&gt;"",FALSE)),1,0))</x:f>
        <x:v>0</x:v>
      </x:c>
      <x:c r="BN312" s="4" t="n">
        <x:f>IF(AND('Calculations'!BM312=1,'Calculations'!$AG$2,'Calculations'!$EN312=1),1,0)</x:f>
        <x:v>0</x:v>
      </x:c>
      <x:c r="BO312" s="4" t="str">
        <x:f>IF('Calculations'!BM312=0,"",IFERROR(IF(AND(VALUE(INDEX(INDIRECT("'WCM Calibration Final'!$K$1:$K$2000"),'Calculations'!$EM312))&gt;=1,VALUE(INDEX(INDIRECT("'WCM Calibration Final'!$K$1:$K$2000"),'Calculations'!$EM312))&lt;=4,MOD(VALUE(INDEX(INDIRECT("'WCM Calibration Final'!$K$1:$K$2000"),'Calculations'!$EM312)),1)=0),VALUE(INDEX(INDIRECT("'WCM Calibration Final'!$K$1:$K$2000"),'Calculations'!$EM312)),""),""))</x:f>
      </x:c>
      <x:c r="BP312" s="4" t="str">
        <x:f>IF('Calculations'!BM312=0,"",IFERROR(IF(AND(VALUE(INDEX(INDIRECT("'WCM Calibration Final'!$L$1:$L$2000"),'Calculations'!$EM312))&gt;=1,VALUE(INDEX(INDIRECT("'WCM Calibration Final'!$L$1:$L$2000"),'Calculations'!$EM312))&lt;=4,MOD(VALUE(INDEX(INDIRECT("'WCM Calibration Final'!$L$1:$L$2000"),'Calculations'!$EM312)),1)=0),VALUE(INDEX(INDIRECT("'WCM Calibration Final'!$L$1:$L$2000"),'Calculations'!$EM312)),""),""))</x:f>
      </x:c>
      <x:c r="BQ312" s="4"/>
      <x:c r="BR312" s="4"/>
      <x:c r="BS312" s="4"/>
      <x:c r="BT312" s="4" t="n">
        <x:f>IF(AND('Calculations'!BM312=1,ISNUMBER('Calculations'!BO312),ISNUMBER('Calculations'!BP312)),1,0)</x:f>
        <x:v>0</x:v>
      </x:c>
      <x:c r="BU312" s="4" t="str">
        <x:f>IF('Calculations'!BM312=0,"",'Calculations'!$EO312)</x:f>
      </x:c>
      <x:c r="BV312" s="4" t="str">
        <x:f>IF('Calculations'!BM312=0,"",IFERROR(IF(OR(INDEX(INDIRECT("'WCM Calibration Final'!$H$1:$H$2000"),'Calculations'!$EM312)="MANAGING DIRECTOR",INDEX(INDIRECT("'WCM Calibration Final'!$H$1:$H$2000"),'Calculations'!$EM312)="DIRECTOR",INDEX(INDIRECT("'WCM Calibration Final'!$H$1:$H$2000"),'Calculations'!$EM312)="SENIOR VICE PRESIDENT",INDEX(INDIRECT("'WCM Calibration Final'!$H$1:$H$2000"),'Calculations'!$EM312)="VICE PRESIDENT",INDEX(INDIRECT("'WCM Calibration Final'!$H$1:$H$2000"),'Calculations'!$EM312)="ASSISTANT VICE PRESIDENT",INDEX(INDIRECT("'WCM Calibration Final'!$H$1:$H$2000"),'Calculations'!$EM312)="OFFICER"),UPPER(INDEX(INDIRECT("'WCM Calibration Final'!$H$1:$H$2000"),'Calculations'!$EM312)),"Other"),"Other"))</x:f>
      </x:c>
      <x:c r="BW312" s="4"/>
      <x:c r="BX312" s="4"/>
      <x:c r="BY312" s="4" t="n">
        <x:f>IF(AND('Calculations'!BM312=1,'Calculations'!BU312&lt;&gt;"",COUNTIF('Calculations'!$BU$12:BU312,'Calculations'!BU312)=1),MAX('Calculations'!$BY$11:BY311)+1,0)</x:f>
        <x:v>0</x:v>
      </x:c>
      <x:c r="BZ312" s="4" t="str">
        <x:f>IF('Dashboard'!$E$67="What",'Calculations'!BO312,'Calculations'!BP312)</x:f>
      </x:c>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t="str">
        <x:f>IF(301&gt;MAX('Calculations'!$HI$13:$HI$512),"",INDEX('Calculations'!$HN$13:$HN$512,MATCH(301,'Calculations'!$HI$13:$HI$512,0)))</x:f>
      </x:c>
      <x:c r="DB312" s="4" t="str">
        <x:f>IF(301&gt;MAX('Calculations'!$HH$13:$HH$512),"",INDEX('Calculations'!$HJ$13:$HJ$512,MATCH(301,'Calculations'!$HH$13:$HH$512,0)))</x:f>
      </x:c>
      <x:c r="DC312" s="4" t="str">
        <x:f>IF(ROW()-11&gt;MAX('Calculations'!$BY$13:$BY$512),"",INDEX('Calculations'!$BU$13:$BU$512,MATCH(ROW()-11,'Calculations'!$BY$13:$BY$512,0)))</x:f>
      </x:c>
      <x:c r="DD312" s="4" t="str">
        <x:f>IF(301&gt;MAX('Calculations'!$IK$13:$IK$512),"",INDEX('Calculations'!$HK$13:$HK$512,MATCH(301,'Calculations'!$IK$13:$IK$512,0)))</x:f>
      </x:c>
      <x:c r="DE312" s="4" t="str">
        <x:f>'Calculations'!DC312</x:f>
      </x:c>
      <x:c r="DF312" s="4" t="str">
        <x:f>IF('Calculations'!DE312="","",COUNTIFS('Calculations'!$BN$13:$BN$512,1,'Calculations'!$BU$13:$BU$512,'Calculations'!DE312))</x:f>
      </x:c>
      <x:c r="DG312" s="4" t="str">
        <x:f>IF('Calculations'!DE312="","",COUNTIFS('Calculations'!$BN$13:$BN$512,1,'Calculations'!$BU$13:$BU$512,'Calculations'!DE312,'Calculations'!$BT$13:$BT$512,1))</x:f>
      </x:c>
      <x:c r="DH312" s="4" t="str">
        <x:f>IF('Calculations'!DE312="","",'Calculations'!DF312-'Calculations'!DG312)</x:f>
      </x:c>
      <x:c r="DI312" s="4" t="str">
        <x:f>IF(OR('Calculations'!DE312="",'Calculations'!DF312=0),"",'Calculations'!DG312/'Calculations'!DF312)</x:f>
      </x:c>
      <x:c r="DJ312" s="4" t="str">
        <x:f>IF('Calculations'!DE312="","",COUNTIFS('Calculations'!$BN$13:$BN$512,1,'Calculations'!$BU$13:$BU$512,'Calculations'!DE312,'Calculations'!$BT$13:$BT$512,1,'Calculations'!$EE$13:$EE$512,"High"))</x:f>
      </x:c>
      <x:c r="DK312" s="4" t="str">
        <x:f>IF('Calculations'!DE312="","",COUNTIFS('Calculations'!$BN$13:$BN$512,1,'Calculations'!$BU$13:$BU$512,'Calculations'!DE312,'Calculations'!$BT$13:$BT$512,1,'Calculations'!$EE$13:$EE$512,"Strong"))</x:f>
      </x:c>
      <x:c r="DL312" s="4" t="str">
        <x:f>IF('Calculations'!DE312="","",COUNTIFS('Calculations'!$BN$13:$BN$512,1,'Calculations'!$BU$13:$BU$512,'Calculations'!DE312,'Calculations'!$BT$13:$BT$512,1,'Calculations'!$EE$13:$EE$512,"Solid"))</x:f>
      </x:c>
      <x:c r="DM312" s="4" t="str">
        <x:f>IF('Calculations'!DE312="","",COUNTIFS('Calculations'!$BN$13:$BN$512,1,'Calculations'!$BU$13:$BU$512,'Calculations'!DE312,'Calculations'!$BT$13:$BT$512,1,'Calculations'!$EE$13:$EE$512,"Low"))</x:f>
      </x:c>
      <x:c r="DN312" s="4" t="str">
        <x:f>IF('Calculations'!DE312="","",COUNTIFS('Calculations'!$BN$13:$BN$512,1,'Calculations'!$BU$13:$BU$512,'Calculations'!DE312,'Calculations'!$EP$13:$EP$512,1))</x:f>
      </x:c>
      <x:c r="DO312" s="4" t="str">
        <x:f>IF(OR('Calculations'!DE312="",'Calculations'!DG312=0),"",('Calculations'!DJ312+'Calculations'!DK312)/'Calculations'!DG312)</x:f>
      </x:c>
      <x:c r="DP312" s="4" t="n">
        <x:f>IF(AND('Calculations'!DE312&lt;&gt;"",'Calculations'!DF312&gt;0),COUNTIF('Calculations'!$DF$12:DF312,"&gt;0"),0)</x:f>
        <x:v>0</x:v>
      </x:c>
      <x:c r="DQ312" s="4" t="str">
        <x:f>IF(301&gt;MAX('Calculations'!$HH$13:$HH$512),"",INDEX('Calculations'!$HF$13:$HF$512,MATCH(301,'Calculations'!$HH$13:$HH$512,0)))</x:f>
      </x:c>
      <x:c r="DR312" s="4" t="str">
        <x:f>IF(301&gt;MAX('Calculations'!$IK$13:$IK$512),"",INDEX('Calculations'!$HE$13:$HE$512,MATCH(301,'Calculations'!$IK$13:$IK$512,0)))</x:f>
      </x:c>
      <x:c r="DS312" s="4"/>
      <x:c r="DT312" s="4"/>
      <x:c r="DU312" s="4"/>
      <x:c r="DV312" s="4"/>
      <x:c r="DW312" s="4"/>
      <x:c r="DX312" s="4"/>
      <x:c r="DY312" s="4"/>
      <x:c r="DZ312" s="4"/>
      <x:c r="EA312" s="4"/>
      <x:c r="EB312" s="4"/>
      <x:c r="EC312" s="4"/>
      <x:c r="ED312" s="4"/>
      <x:c r="EE312" s="4" t="str">
        <x:f>IF('Calculations'!BT312=0,"Not Rated",IF(OR('Calculations'!BO312&gt;=4,'Calculations'!BP312&gt;=4),"Low",IF('Calculations'!BO312+'Calculations'!BP312&lt;=3,"High",IF('Calculations'!BO312+'Calculations'!BP312&lt;=4,"Strong","Solid"))))</x:f>
        <x:v>Not Rated</x:v>
      </x:c>
      <x:c r="EF312" s="4"/>
      <x:c r="EG312" s="4"/>
      <x:c r="EH312" s="4"/>
      <x:c r="EI312" s="4"/>
      <x:c r="EJ312" s="4"/>
      <x:c r="EK312" s="4"/>
      <x:c r="EL312" s="4"/>
      <x:c r="EM312" s="4" t="str">
        <x:f>IF(300&gt;'Calculations'!$JB$2000,"",INDEX('Calculations'!$JA$12:$JA$2000,MATCH(300,'Calculations'!$JB$12:$JB$2000,0)))</x:f>
      </x:c>
      <x:c r="EN312" s="4" t="n">
        <x:f>IF(OR('Calculations'!EM312="",'Calculations'!$AG$8&gt;0,AND('Calculations'!$EF$2&lt;&gt;"All",'Calculations'!HE312='Calculations'!$EF$2),AND('Calculations'!$EF$3&lt;&gt;"All",'Calculations'!HE312='Calculations'!$EF$3)),0,IF(OR('Dashboard'!$B$7="All",'Calculations'!HN312='Dashboard'!$B$7),IF('Calculations'!$EF$2="All",1,IF('Calculations'!HL312&gt;0,0,IF(COUNTIF('Calculations'!HO312:II312,"="&amp;SUBSTITUTE(SUBSTITUTE(SUBSTITUTE('Calculations'!$EF$2,"~","~~"),"*","~*"),"?","~?"))=0,0,IF('Calculations'!$EF$3="All",1,IF(COUNTIF('Calculations'!HO312:II312,"="&amp;SUBSTITUTE(SUBSTITUTE(SUBSTITUTE('Calculations'!$EF$3,"~","~~"),"*","~*"),"?","~?"))&gt;0,1,0))))),0))</x:f>
        <x:v>0</x:v>
      </x:c>
      <x:c r="EO312" s="4" t="str">
        <x:f>IF('Calculations'!IJ312="","",IF('Calculations'!IJ312="!UNRESOLVED","Unresolved hierarchy",IFERROR(INDEX('Calculations'!$HK$13:$HK$512,MATCH('Calculations'!IJ312,'Calculations'!$HE$13:$HE$512,0)),IFERROR(INDEX('Calculations'!$HJ$13:$HJ$512,MATCH('Calculations'!IJ312,'Calculations'!$HF$13:$HF$512,0)),'Calculations'!IJ312))))</x:f>
      </x:c>
      <x:c r="EP312" s="4" t="n">
        <x:f>IF(AND('Calculations'!EM312&lt;&gt;"",'Calculations'!HF312='Calculations'!IJ312),1,0)</x:f>
        <x:v>0</x:v>
      </x:c>
      <x:c r="EQ312" s="4"/>
      <x:c r="ER312" s="4"/>
      <x:c r="ES312" s="4"/>
      <x:c r="ET312" s="4"/>
      <x:c r="EU312" s="4"/>
      <x:c r="EV312" s="4"/>
      <x:c r="EW312" s="4"/>
      <x:c r="EX312" s="4"/>
      <x:c r="EY312" s="4"/>
      <x:c r="EZ312" s="4"/>
      <x:c r="FA312" s="4"/>
      <x:c r="FB312" s="4"/>
      <x:c r="FC312" s="4"/>
      <x:c r="FD312" s="4"/>
      <x:c r="FE312" s="4"/>
      <x:c r="FF312" s="4"/>
      <x:c r="FG312" s="4"/>
      <x:c r="FH312" s="4"/>
      <x:c r="FI312" s="4"/>
      <x:c r="FJ312" s="4"/>
      <x:c r="FK312" s="4"/>
      <x:c r="FL312" s="4"/>
      <x:c r="FM312" s="4"/>
      <x:c r="FN312" s="4"/>
      <x:c r="FO312" s="4"/>
      <x:c r="HE312" t="str">
        <x:f>IF('Calculations'!EM312="","",IF(IFERROR(IF(INDEX(INDIRECT("'WCM Calibration Final'!$A$1:$A$2000"),'Calculations'!$EM312)="","",TRIM(INDEX(INDIRECT("'WCM Calibration Final'!$A$1:$A$2000"),'Calculations'!$EM312)&amp;"")),"")&lt;&gt;"","G:"&amp;IFERROR(TEXT(1*INDEX(INDIRECT("'WCM Calibration Final'!$A$1:$A$2000"),'Calculations'!$EM312),"0"),UPPER(IFERROR(IF(INDEX(INDIRECT("'WCM Calibration Final'!$A$1:$A$2000"),'Calculations'!$EM312)="","",TRIM(INDEX(INDIRECT("'WCM Calibration Final'!$A$1:$A$2000"),'Calculations'!$EM312)&amp;"")),""))),IF(IFERROR(IF(INDEX(INDIRECT("'WCM Calibration Final'!$C$1:$C$2000"),'Calculations'!$EM312)="","",TRIM(INDEX(INDIRECT("'WCM Calibration Final'!$C$1:$C$2000"),'Calculations'!$EM312)&amp;"")),"")&lt;&gt;"","S:"&amp;UPPER(IFERROR(IF(INDEX(INDIRECT("'WCM Calibration Final'!$C$1:$C$2000"),'Calculations'!$EM312)="","",TRIM(INDEX(INDIRECT("'WCM Calibration Final'!$C$1:$C$2000"),'Calculations'!$EM312)&amp;"")),"")),"R:"&amp;'Calculations'!EM312)))</x:f>
      </x:c>
      <x:c r="HF312" t="str">
        <x:f>IF('Calculations'!EM312="","",IF(IFERROR(IF(INDEX(INDIRECT("'WCM Calibration Final'!$D$1:$D$2000"),'Calculations'!$EM312)="","",TRIM(INDEX(INDIRECT("'WCM Calibration Final'!$D$1:$D$2000"),'Calculations'!$EM312)&amp;"")),"")&lt;&gt;"","G:"&amp;IFERROR(TEXT(1*INDEX(INDIRECT("'WCM Calibration Final'!$D$1:$D$2000"),'Calculations'!$EM312),"0"),UPPER(IFERROR(IF(INDEX(INDIRECT("'WCM Calibration Final'!$D$1:$D$2000"),'Calculations'!$EM312)="","",TRIM(INDEX(INDIRECT("'WCM Calibration Final'!$D$1:$D$2000"),'Calculations'!$EM312)&amp;"")),""))),IF(IFERROR(IF(INDEX(INDIRECT("'WCM Calibration Final'!$E$1:$E$2000"),'Calculations'!$EM312)="","",TRIM(INDEX(INDIRECT("'WCM Calibration Final'!$E$1:$E$2000"),'Calculations'!$EM312)&amp;"")),"")="","",IF(COUNTIF('Calculations'!$HG$13:$HG$512,"="&amp;SUBSTITUTE(SUBSTITUTE(SUBSTITUTE(IFERROR(IF(INDEX(INDIRECT("'WCM Calibration Final'!$E$1:$E$2000"),'Calculations'!$EM312)="","",TRIM(INDEX(INDIRECT("'WCM Calibration Final'!$E$1:$E$2000"),'Calculations'!$EM312)&amp;"")),""),"~","~~"),"*","~*"),"?","~?"))=1,INDEX('Calculations'!$HE$13:$HE$512,MATCH(IFERROR(IF(INDEX(INDIRECT("'WCM Calibration Final'!$E$1:$E$2000"),'Calculations'!$EM312)="","",TRIM(INDEX(INDIRECT("'WCM Calibration Final'!$E$1:$E$2000"),'Calculations'!$EM312)&amp;"")),""),'Calculations'!$HG$13:$HG$512,0)),IF(COUNTIF('Calculations'!$HG$13:$HG$512,"="&amp;SUBSTITUTE(SUBSTITUTE(SUBSTITUTE(IFERROR(IF(INDEX(INDIRECT("'WCM Calibration Final'!$E$1:$E$2000"),'Calculations'!$EM312)="","",TRIM(INDEX(INDIRECT("'WCM Calibration Final'!$E$1:$E$2000"),'Calculations'!$EM312)&amp;"")),""),"~","~~"),"*","~*"),"?","~?"))&gt;1,"!AMBIG","X:"&amp;IFERROR(IF(INDEX(INDIRECT("'WCM Calibration Final'!$E$1:$E$2000"),'Calculations'!$EM312)="","",TRIM(INDEX(INDIRECT("'WCM Calibration Final'!$E$1:$E$2000"),'Calculations'!$EM312)&amp;"")),""))))))</x:f>
      </x:c>
      <x:c r="HG312" t="str">
        <x:f>IF('Calculations'!EM312="","",IFERROR(IF(INDEX(INDIRECT("'WCM Calibration Final'!$B$1:$B$2000"),'Calculations'!$EM312)="","",TRIM(INDEX(INDIRECT("'WCM Calibration Final'!$B$1:$B$2000"),'Calculations'!$EM312)&amp;"")),""))</x:f>
      </x:c>
      <x:c r="HH312" t="n">
        <x:f>IF(AND('Calculations'!JC312&gt;0,COUNTIF('Calculations'!$HF$12:HF312,"="&amp;SUBSTITUTE(SUBSTITUTE(SUBSTITUTE('Calculations'!HF312,"~","~~"),"*","~*"),"?","~?"))=1),MAX('Calculations'!$HH$12:HH311)+1,0)</x:f>
        <x:v>0</x:v>
      </x:c>
      <x:c r="HI312" t="n">
        <x:f>IF(AND('Calculations'!HN312&lt;&gt;"",COUNTIF('Calculations'!$HN$12:HN312,"="&amp;SUBSTITUTE(SUBSTITUTE(SUBSTITUTE('Calculations'!HN312,"~","~~"),"*","~*"),"?","~?"))=1),MAX('Calculations'!$HI$12:HI311)+1,0)</x:f>
        <x:v>0</x:v>
      </x:c>
      <x:c r="HJ312" t="str">
        <x:f>IF('Calculations'!HF312="","",IF(COUNTIF('Calculations'!$HE$13:$HE$512,"="&amp;SUBSTITUTE(SUBSTITUTE(SUBSTITUTE('Calculations'!HF312,"~","~~"),"*","~*"),"?","~?"))=1,INDEX('Calculations'!$HK$13:$HK$512,MATCH('Calculations'!HF312,'Calculations'!$HE$13:$HE$512,0)),IFERROR(IF(INDEX(INDIRECT("'WCM Calibration Final'!$E$1:$E$2000"),'Calculations'!$EM312)="","",TRIM(INDEX(INDIRECT("'WCM Calibration Final'!$E$1:$E$2000"),'Calculations'!$EM312)&amp;"")),"")&amp;" ["&amp;'Calculations'!HF312&amp;"]"))</x:f>
      </x:c>
      <x:c r="HK312" t="str">
        <x:f>IF('Calculations'!EM312="","",'Calculations'!HG312&amp;" ["&amp;'Calculations'!HE312&amp;"]")</x:f>
      </x:c>
      <x:c r="HL312" t="n">
        <x:f>IF('Calculations'!EM312="",0,IF(OR('Calculations'!II312&lt;&gt;"",COUNTIF('Calculations'!$HE$13:$HE$512,"="&amp;SUBSTITUTE(SUBSTITUTE(SUBSTITUTE('Calculations'!HE312,"~","~~"),"*","~*"),"?","~?"))&gt;1),1,0))</x:f>
        <x:v>0</x:v>
      </x:c>
      <x:c r="HM312" t="str">
        <x:f>IF('Calculations'!EM312="","",IF('Calculations'!HL312=1,"!UNRESOLVED",IF('Calculations'!IH312&lt;&gt;"",'Calculations'!IH312,IF('Calculations'!IG312&lt;&gt;"",'Calculations'!IG312,IF('Calculations'!IF312&lt;&gt;"",'Calculations'!IF312,IF('Calculations'!IE312&lt;&gt;"",'Calculations'!IE312,IF('Calculations'!ID312&lt;&gt;"",'Calculations'!ID312,IF('Calculations'!IC312&lt;&gt;"",'Calculations'!IC312,IF('Calculations'!IB312&lt;&gt;"",'Calculations'!IB312,IF('Calculations'!IA312&lt;&gt;"",'Calculations'!IA312,IF('Calculations'!HZ312&lt;&gt;"",'Calculations'!HZ312,IF('Calculations'!HY312&lt;&gt;"",'Calculations'!HY312,IF('Calculations'!HX312&lt;&gt;"",'Calculations'!HX312,IF('Calculations'!HW312&lt;&gt;"",'Calculations'!HW312,IF('Calculations'!HV312&lt;&gt;"",'Calculations'!HV312,IF('Calculations'!HU312&lt;&gt;"",'Calculations'!HU312,IF('Calculations'!HT312&lt;&gt;"",'Calculations'!HT312,IF('Calculations'!HS312&lt;&gt;"",'Calculations'!HS312,IF('Calculations'!HR312&lt;&gt;"",'Calculations'!HR312,IF('Calculations'!HQ312&lt;&gt;"",'Calculations'!HQ312,IF('Calculations'!HP312&lt;&gt;"",'Calculations'!HP312,IF('Calculations'!HO312&lt;&gt;"",'Calculations'!HO312,'Calculations'!HE312))))))))))))))))))))))</x:f>
      </x:c>
      <x:c r="HN312" t="str">
        <x:f>IF('Calculations'!EM312="","",IF(IFERROR(IF(INDEX(INDIRECT("'WCM Calibration Final'!$F$1:$F$2000"),'Calculations'!$EM312)="","",TRIM(INDEX(INDIRECT("'WCM Calibration Final'!$F$1:$F$2000"),'Calculations'!$EM312)&amp;"")),"")="","(Blank)",IFERROR(IF(INDEX(INDIRECT("'WCM Calibration Final'!$F$1:$F$2000"),'Calculations'!$EM312)="","",TRIM(INDEX(INDIRECT("'WCM Calibration Final'!$F$1:$F$2000"),'Calculations'!$EM312)&amp;"")),"")))</x:f>
      </x:c>
      <x:c r="HO312" t="str">
        <x:f>'Calculations'!HF312</x:f>
      </x:c>
      <x:c r="HP312" t="str">
        <x:f>IF('Calculations'!HO312="","",IF('Calculations'!HO312="!AMBIG","!AMBIG",IF(COUNTIF('Calculations'!$HE$13:$HE$512,"="&amp;SUBSTITUTE(SUBSTITUTE(SUBSTITUTE('Calculations'!HO312,"~","~~"),"*","~*"),"?","~?"))&gt;1,"!AMBIG",IFERROR(INDEX('Calculations'!$HF$13:$HF$512,MATCH('Calculations'!HO312,'Calculations'!$HE$13:$HE$512,0)),""))))</x:f>
      </x:c>
      <x:c r="HQ312" t="str">
        <x:f>IF('Calculations'!HP312="","",IF('Calculations'!HP312="!AMBIG","!AMBIG",IF(COUNTIF('Calculations'!$HE$13:$HE$512,"="&amp;SUBSTITUTE(SUBSTITUTE(SUBSTITUTE('Calculations'!HP312,"~","~~"),"*","~*"),"?","~?"))&gt;1,"!AMBIG",IFERROR(INDEX('Calculations'!$HF$13:$HF$512,MATCH('Calculations'!HP312,'Calculations'!$HE$13:$HE$512,0)),""))))</x:f>
      </x:c>
      <x:c r="HR312" t="str">
        <x:f>IF('Calculations'!HQ312="","",IF('Calculations'!HQ312="!AMBIG","!AMBIG",IF(COUNTIF('Calculations'!$HE$13:$HE$512,"="&amp;SUBSTITUTE(SUBSTITUTE(SUBSTITUTE('Calculations'!HQ312,"~","~~"),"*","~*"),"?","~?"))&gt;1,"!AMBIG",IFERROR(INDEX('Calculations'!$HF$13:$HF$512,MATCH('Calculations'!HQ312,'Calculations'!$HE$13:$HE$512,0)),""))))</x:f>
      </x:c>
      <x:c r="HS312" t="str">
        <x:f>IF('Calculations'!HR312="","",IF('Calculations'!HR312="!AMBIG","!AMBIG",IF(COUNTIF('Calculations'!$HE$13:$HE$512,"="&amp;SUBSTITUTE(SUBSTITUTE(SUBSTITUTE('Calculations'!HR312,"~","~~"),"*","~*"),"?","~?"))&gt;1,"!AMBIG",IFERROR(INDEX('Calculations'!$HF$13:$HF$512,MATCH('Calculations'!HR312,'Calculations'!$HE$13:$HE$512,0)),""))))</x:f>
      </x:c>
      <x:c r="HT312" t="str">
        <x:f>IF('Calculations'!HS312="","",IF('Calculations'!HS312="!AMBIG","!AMBIG",IF(COUNTIF('Calculations'!$HE$13:$HE$512,"="&amp;SUBSTITUTE(SUBSTITUTE(SUBSTITUTE('Calculations'!HS312,"~","~~"),"*","~*"),"?","~?"))&gt;1,"!AMBIG",IFERROR(INDEX('Calculations'!$HF$13:$HF$512,MATCH('Calculations'!HS312,'Calculations'!$HE$13:$HE$512,0)),""))))</x:f>
      </x:c>
      <x:c r="HU312" t="str">
        <x:f>IF('Calculations'!HT312="","",IF('Calculations'!HT312="!AMBIG","!AMBIG",IF(COUNTIF('Calculations'!$HE$13:$HE$512,"="&amp;SUBSTITUTE(SUBSTITUTE(SUBSTITUTE('Calculations'!HT312,"~","~~"),"*","~*"),"?","~?"))&gt;1,"!AMBIG",IFERROR(INDEX('Calculations'!$HF$13:$HF$512,MATCH('Calculations'!HT312,'Calculations'!$HE$13:$HE$512,0)),""))))</x:f>
      </x:c>
      <x:c r="HV312" t="str">
        <x:f>IF('Calculations'!HU312="","",IF('Calculations'!HU312="!AMBIG","!AMBIG",IF(COUNTIF('Calculations'!$HE$13:$HE$512,"="&amp;SUBSTITUTE(SUBSTITUTE(SUBSTITUTE('Calculations'!HU312,"~","~~"),"*","~*"),"?","~?"))&gt;1,"!AMBIG",IFERROR(INDEX('Calculations'!$HF$13:$HF$512,MATCH('Calculations'!HU312,'Calculations'!$HE$13:$HE$512,0)),""))))</x:f>
      </x:c>
      <x:c r="HW312" t="str">
        <x:f>IF('Calculations'!HV312="","",IF('Calculations'!HV312="!AMBIG","!AMBIG",IF(COUNTIF('Calculations'!$HE$13:$HE$512,"="&amp;SUBSTITUTE(SUBSTITUTE(SUBSTITUTE('Calculations'!HV312,"~","~~"),"*","~*"),"?","~?"))&gt;1,"!AMBIG",IFERROR(INDEX('Calculations'!$HF$13:$HF$512,MATCH('Calculations'!HV312,'Calculations'!$HE$13:$HE$512,0)),""))))</x:f>
      </x:c>
      <x:c r="HX312" t="str">
        <x:f>IF('Calculations'!HW312="","",IF('Calculations'!HW312="!AMBIG","!AMBIG",IF(COUNTIF('Calculations'!$HE$13:$HE$512,"="&amp;SUBSTITUTE(SUBSTITUTE(SUBSTITUTE('Calculations'!HW312,"~","~~"),"*","~*"),"?","~?"))&gt;1,"!AMBIG",IFERROR(INDEX('Calculations'!$HF$13:$HF$512,MATCH('Calculations'!HW312,'Calculations'!$HE$13:$HE$512,0)),""))))</x:f>
      </x:c>
      <x:c r="HY312" t="str">
        <x:f>IF('Calculations'!HX312="","",IF('Calculations'!HX312="!AMBIG","!AMBIG",IF(COUNTIF('Calculations'!$HE$13:$HE$512,"="&amp;SUBSTITUTE(SUBSTITUTE(SUBSTITUTE('Calculations'!HX312,"~","~~"),"*","~*"),"?","~?"))&gt;1,"!AMBIG",IFERROR(INDEX('Calculations'!$HF$13:$HF$512,MATCH('Calculations'!HX312,'Calculations'!$HE$13:$HE$512,0)),""))))</x:f>
      </x:c>
      <x:c r="HZ312" t="str">
        <x:f>IF('Calculations'!HY312="","",IF('Calculations'!HY312="!AMBIG","!AMBIG",IF(COUNTIF('Calculations'!$HE$13:$HE$512,"="&amp;SUBSTITUTE(SUBSTITUTE(SUBSTITUTE('Calculations'!HY312,"~","~~"),"*","~*"),"?","~?"))&gt;1,"!AMBIG",IFERROR(INDEX('Calculations'!$HF$13:$HF$512,MATCH('Calculations'!HY312,'Calculations'!$HE$13:$HE$512,0)),""))))</x:f>
      </x:c>
      <x:c r="IA312" t="str">
        <x:f>IF('Calculations'!HZ312="","",IF('Calculations'!HZ312="!AMBIG","!AMBIG",IF(COUNTIF('Calculations'!$HE$13:$HE$512,"="&amp;SUBSTITUTE(SUBSTITUTE(SUBSTITUTE('Calculations'!HZ312,"~","~~"),"*","~*"),"?","~?"))&gt;1,"!AMBIG",IFERROR(INDEX('Calculations'!$HF$13:$HF$512,MATCH('Calculations'!HZ312,'Calculations'!$HE$13:$HE$512,0)),""))))</x:f>
      </x:c>
      <x:c r="IB312" t="str">
        <x:f>IF('Calculations'!IA312="","",IF('Calculations'!IA312="!AMBIG","!AMBIG",IF(COUNTIF('Calculations'!$HE$13:$HE$512,"="&amp;SUBSTITUTE(SUBSTITUTE(SUBSTITUTE('Calculations'!IA312,"~","~~"),"*","~*"),"?","~?"))&gt;1,"!AMBIG",IFERROR(INDEX('Calculations'!$HF$13:$HF$512,MATCH('Calculations'!IA312,'Calculations'!$HE$13:$HE$512,0)),""))))</x:f>
      </x:c>
      <x:c r="IC312" t="str">
        <x:f>IF('Calculations'!IB312="","",IF('Calculations'!IB312="!AMBIG","!AMBIG",IF(COUNTIF('Calculations'!$HE$13:$HE$512,"="&amp;SUBSTITUTE(SUBSTITUTE(SUBSTITUTE('Calculations'!IB312,"~","~~"),"*","~*"),"?","~?"))&gt;1,"!AMBIG",IFERROR(INDEX('Calculations'!$HF$13:$HF$512,MATCH('Calculations'!IB312,'Calculations'!$HE$13:$HE$512,0)),""))))</x:f>
      </x:c>
      <x:c r="ID312" t="str">
        <x:f>IF('Calculations'!IC312="","",IF('Calculations'!IC312="!AMBIG","!AMBIG",IF(COUNTIF('Calculations'!$HE$13:$HE$512,"="&amp;SUBSTITUTE(SUBSTITUTE(SUBSTITUTE('Calculations'!IC312,"~","~~"),"*","~*"),"?","~?"))&gt;1,"!AMBIG",IFERROR(INDEX('Calculations'!$HF$13:$HF$512,MATCH('Calculations'!IC312,'Calculations'!$HE$13:$HE$512,0)),""))))</x:f>
      </x:c>
      <x:c r="IE312" t="str">
        <x:f>IF('Calculations'!ID312="","",IF('Calculations'!ID312="!AMBIG","!AMBIG",IF(COUNTIF('Calculations'!$HE$13:$HE$512,"="&amp;SUBSTITUTE(SUBSTITUTE(SUBSTITUTE('Calculations'!ID312,"~","~~"),"*","~*"),"?","~?"))&gt;1,"!AMBIG",IFERROR(INDEX('Calculations'!$HF$13:$HF$512,MATCH('Calculations'!ID312,'Calculations'!$HE$13:$HE$512,0)),""))))</x:f>
      </x:c>
      <x:c r="IF312" t="str">
        <x:f>IF('Calculations'!IE312="","",IF('Calculations'!IE312="!AMBIG","!AMBIG",IF(COUNTIF('Calculations'!$HE$13:$HE$512,"="&amp;SUBSTITUTE(SUBSTITUTE(SUBSTITUTE('Calculations'!IE312,"~","~~"),"*","~*"),"?","~?"))&gt;1,"!AMBIG",IFERROR(INDEX('Calculations'!$HF$13:$HF$512,MATCH('Calculations'!IE312,'Calculations'!$HE$13:$HE$512,0)),""))))</x:f>
      </x:c>
      <x:c r="IG312" t="str">
        <x:f>IF('Calculations'!IF312="","",IF('Calculations'!IF312="!AMBIG","!AMBIG",IF(COUNTIF('Calculations'!$HE$13:$HE$512,"="&amp;SUBSTITUTE(SUBSTITUTE(SUBSTITUTE('Calculations'!IF312,"~","~~"),"*","~*"),"?","~?"))&gt;1,"!AMBIG",IFERROR(INDEX('Calculations'!$HF$13:$HF$512,MATCH('Calculations'!IF312,'Calculations'!$HE$13:$HE$512,0)),""))))</x:f>
      </x:c>
      <x:c r="IH312" t="str">
        <x:f>IF('Calculations'!IG312="","",IF('Calculations'!IG312="!AMBIG","!AMBIG",IF(COUNTIF('Calculations'!$HE$13:$HE$512,"="&amp;SUBSTITUTE(SUBSTITUTE(SUBSTITUTE('Calculations'!IG312,"~","~~"),"*","~*"),"?","~?"))&gt;1,"!AMBIG",IFERROR(INDEX('Calculations'!$HF$13:$HF$512,MATCH('Calculations'!IG312,'Calculations'!$HE$13:$HE$512,0)),""))))</x:f>
      </x:c>
      <x:c r="II312" t="str">
        <x:f>IF('Calculations'!IH312="","",IF('Calculations'!IH312="!AMBIG","!AMBIG",IF(COUNTIF('Calculations'!$HE$13:$HE$512,"="&amp;SUBSTITUTE(SUBSTITUTE(SUBSTITUTE('Calculations'!IH312,"~","~~"),"*","~*"),"?","~?"))&gt;1,"!AMBIG",IFERROR(INDEX('Calculations'!$HF$13:$HF$512,MATCH('Calculations'!IH312,'Calculations'!$HE$13:$HE$512,0)),""))))</x:f>
      </x:c>
      <x:c r="IJ312" t="str">
        <x:f>IF('Calculations'!EM312="","",IF('Calculations'!$EF$2="All",'Calculations'!HM312,IF('Calculations'!HL312=1,"",IFERROR(IF(MATCH('Calculations'!$EF$2,'Calculations'!HO312:II312,0)=1,'Calculations'!HE312,INDEX('Calculations'!HO312:II312,1,MATCH('Calculations'!$EF$2,'Calculations'!HO312:II312,0)-1)),""))))</x:f>
      </x:c>
      <x:c r="IK312" t="n">
        <x:f>IF(AND('Calculations'!EM312&lt;&gt;"",'Calculations'!$EF$2&lt;&gt;"All",'Calculations'!HF312='Calculations'!$EF$2,'Calculations'!HL312=0,'Calculations'!JD312&gt;0),MAX('Calculations'!$IK$12:IK311)+1,0)</x:f>
        <x:v>0</x:v>
      </x:c>
      <x:c r="JA312" t="n">
        <x:f>IF(OR(IFERROR(INDIRECT("'WCM Calibration Final'!$A$312")&lt;&gt;"",FALSE),IFERROR(INDIRECT("'WCM Calibration Final'!$B$312")&lt;&gt;"",FALSE),IFERROR(INDIRECT("'WCM Calibration Final'!$C$312")&lt;&gt;"",FALSE)),312,0)</x:f>
        <x:v>0</x:v>
      </x:c>
      <x:c r="JB312" t="n">
        <x:f>'Calculations'!JB311+IF('Calculations'!JA312&gt;0,1,0)</x:f>
        <x:v>0</x:v>
      </x:c>
      <x:c r="JC312" t="n">
        <x:f>IF(OR('Calculations'!HF312="",'Calculations'!HF312="!AMBIG"),0,IF('Dashboard'!$B$7="All",1,COUNTIFS('Calculations'!$HO$13:$HO$512,"="&amp;SUBSTITUTE(SUBSTITUTE(SUBSTITUTE('Calculations'!HF312,"~","~~"),"*","~*"),"?","~?"),'Calculations'!$HN$13:$HN$512,"="&amp;SUBSTITUTE(SUBSTITUTE(SUBSTITUTE('Dashboard'!$B$7,"~","~~"),"*","~*"),"?","~?"))+COUNTIFS('Calculations'!$HP$13:$HP$512,"="&amp;SUBSTITUTE(SUBSTITUTE(SUBSTITUTE('Calculations'!HF312,"~","~~"),"*","~*"),"?","~?"),'Calculations'!$HN$13:$HN$512,"="&amp;SUBSTITUTE(SUBSTITUTE(SUBSTITUTE('Dashboard'!$B$7,"~","~~"),"*","~*"),"?","~?"))+COUNTIFS('Calculations'!$HQ$13:$HQ$512,"="&amp;SUBSTITUTE(SUBSTITUTE(SUBSTITUTE('Calculations'!HF312,"~","~~"),"*","~*"),"?","~?"),'Calculations'!$HN$13:$HN$512,"="&amp;SUBSTITUTE(SUBSTITUTE(SUBSTITUTE('Dashboard'!$B$7,"~","~~"),"*","~*"),"?","~?"))+COUNTIFS('Calculations'!$HR$13:$HR$512,"="&amp;SUBSTITUTE(SUBSTITUTE(SUBSTITUTE('Calculations'!HF312,"~","~~"),"*","~*"),"?","~?"),'Calculations'!$HN$13:$HN$512,"="&amp;SUBSTITUTE(SUBSTITUTE(SUBSTITUTE('Dashboard'!$B$7,"~","~~"),"*","~*"),"?","~?"))+COUNTIFS('Calculations'!$HS$13:$HS$512,"="&amp;SUBSTITUTE(SUBSTITUTE(SUBSTITUTE('Calculations'!HF312,"~","~~"),"*","~*"),"?","~?"),'Calculations'!$HN$13:$HN$512,"="&amp;SUBSTITUTE(SUBSTITUTE(SUBSTITUTE('Dashboard'!$B$7,"~","~~"),"*","~*"),"?","~?"))+COUNTIFS('Calculations'!$HT$13:$HT$512,"="&amp;SUBSTITUTE(SUBSTITUTE(SUBSTITUTE('Calculations'!HF312,"~","~~"),"*","~*"),"?","~?"),'Calculations'!$HN$13:$HN$512,"="&amp;SUBSTITUTE(SUBSTITUTE(SUBSTITUTE('Dashboard'!$B$7,"~","~~"),"*","~*"),"?","~?"))+COUNTIFS('Calculations'!$HU$13:$HU$512,"="&amp;SUBSTITUTE(SUBSTITUTE(SUBSTITUTE('Calculations'!HF312,"~","~~"),"*","~*"),"?","~?"),'Calculations'!$HN$13:$HN$512,"="&amp;SUBSTITUTE(SUBSTITUTE(SUBSTITUTE('Dashboard'!$B$7,"~","~~"),"*","~*"),"?","~?"))+COUNTIFS('Calculations'!$HV$13:$HV$512,"="&amp;SUBSTITUTE(SUBSTITUTE(SUBSTITUTE('Calculations'!HF312,"~","~~"),"*","~*"),"?","~?"),'Calculations'!$HN$13:$HN$512,"="&amp;SUBSTITUTE(SUBSTITUTE(SUBSTITUTE('Dashboard'!$B$7,"~","~~"),"*","~*"),"?","~?"))+COUNTIFS('Calculations'!$HW$13:$HW$512,"="&amp;SUBSTITUTE(SUBSTITUTE(SUBSTITUTE('Calculations'!HF312,"~","~~"),"*","~*"),"?","~?"),'Calculations'!$HN$13:$HN$512,"="&amp;SUBSTITUTE(SUBSTITUTE(SUBSTITUTE('Dashboard'!$B$7,"~","~~"),"*","~*"),"?","~?"))+COUNTIFS('Calculations'!$HX$13:$HX$512,"="&amp;SUBSTITUTE(SUBSTITUTE(SUBSTITUTE('Calculations'!HF312,"~","~~"),"*","~*"),"?","~?"),'Calculations'!$HN$13:$HN$512,"="&amp;SUBSTITUTE(SUBSTITUTE(SUBSTITUTE('Dashboard'!$B$7,"~","~~"),"*","~*"),"?","~?"))+COUNTIFS('Calculations'!$HY$13:$HY$512,"="&amp;SUBSTITUTE(SUBSTITUTE(SUBSTITUTE('Calculations'!HF312,"~","~~"),"*","~*"),"?","~?"),'Calculations'!$HN$13:$HN$512,"="&amp;SUBSTITUTE(SUBSTITUTE(SUBSTITUTE('Dashboard'!$B$7,"~","~~"),"*","~*"),"?","~?"))+COUNTIFS('Calculations'!$HZ$13:$HZ$512,"="&amp;SUBSTITUTE(SUBSTITUTE(SUBSTITUTE('Calculations'!HF312,"~","~~"),"*","~*"),"?","~?"),'Calculations'!$HN$13:$HN$512,"="&amp;SUBSTITUTE(SUBSTITUTE(SUBSTITUTE('Dashboard'!$B$7,"~","~~"),"*","~*"),"?","~?"))+COUNTIFS('Calculations'!$IA$13:$IA$512,"="&amp;SUBSTITUTE(SUBSTITUTE(SUBSTITUTE('Calculations'!HF312,"~","~~"),"*","~*"),"?","~?"),'Calculations'!$HN$13:$HN$512,"="&amp;SUBSTITUTE(SUBSTITUTE(SUBSTITUTE('Dashboard'!$B$7,"~","~~"),"*","~*"),"?","~?"))+COUNTIFS('Calculations'!$IB$13:$IB$512,"="&amp;SUBSTITUTE(SUBSTITUTE(SUBSTITUTE('Calculations'!HF312,"~","~~"),"*","~*"),"?","~?"),'Calculations'!$HN$13:$HN$512,"="&amp;SUBSTITUTE(SUBSTITUTE(SUBSTITUTE('Dashboard'!$B$7,"~","~~"),"*","~*"),"?","~?"))+COUNTIFS('Calculations'!$IC$13:$IC$512,"="&amp;SUBSTITUTE(SUBSTITUTE(SUBSTITUTE('Calculations'!HF312,"~","~~"),"*","~*"),"?","~?"),'Calculations'!$HN$13:$HN$512,"="&amp;SUBSTITUTE(SUBSTITUTE(SUBSTITUTE('Dashboard'!$B$7,"~","~~"),"*","~*"),"?","~?"))+COUNTIFS('Calculations'!$ID$13:$ID$512,"="&amp;SUBSTITUTE(SUBSTITUTE(SUBSTITUTE('Calculations'!HF312,"~","~~"),"*","~*"),"?","~?"),'Calculations'!$HN$13:$HN$512,"="&amp;SUBSTITUTE(SUBSTITUTE(SUBSTITUTE('Dashboard'!$B$7,"~","~~"),"*","~*"),"?","~?"))+COUNTIFS('Calculations'!$IE$13:$IE$512,"="&amp;SUBSTITUTE(SUBSTITUTE(SUBSTITUTE('Calculations'!HF312,"~","~~"),"*","~*"),"?","~?"),'Calculations'!$HN$13:$HN$512,"="&amp;SUBSTITUTE(SUBSTITUTE(SUBSTITUTE('Dashboard'!$B$7,"~","~~"),"*","~*"),"?","~?"))+COUNTIFS('Calculations'!$IF$13:$IF$512,"="&amp;SUBSTITUTE(SUBSTITUTE(SUBSTITUTE('Calculations'!HF312,"~","~~"),"*","~*"),"?","~?"),'Calculations'!$HN$13:$HN$512,"="&amp;SUBSTITUTE(SUBSTITUTE(SUBSTITUTE('Dashboard'!$B$7,"~","~~"),"*","~*"),"?","~?"))+COUNTIFS('Calculations'!$IG$13:$IG$512,"="&amp;SUBSTITUTE(SUBSTITUTE(SUBSTITUTE('Calculations'!HF312,"~","~~"),"*","~*"),"?","~?"),'Calculations'!$HN$13:$HN$512,"="&amp;SUBSTITUTE(SUBSTITUTE(SUBSTITUTE('Dashboard'!$B$7,"~","~~"),"*","~*"),"?","~?"))+COUNTIFS('Calculations'!$IH$13:$IH$512,"="&amp;SUBSTITUTE(SUBSTITUTE(SUBSTITUTE('Calculations'!HF312,"~","~~"),"*","~*"),"?","~?"),'Calculations'!$HN$13:$HN$512,"="&amp;SUBSTITUTE(SUBSTITUTE(SUBSTITUTE('Dashboard'!$B$7,"~","~~"),"*","~*"),"?","~?"))))</x:f>
        <x:v>0</x:v>
      </x:c>
      <x:c r="JD312" t="n">
        <x:f>IF('Calculations'!EM312="",0,IF('Dashboard'!$B$7="All",1,IF('Calculations'!HN312='Dashboard'!$B$7,1,0)+IFERROR(INDEX('Calculations'!$JC$13:$JC$512,MATCH('Calculations'!HE312,'Calculations'!$HF$13:$HF$512,0)),0)))</x:f>
        <x:v>0</x:v>
      </x:c>
      <x:c r="JE312" t="n">
        <x:f>IF(AND('Calculations'!EM312&lt;&gt;"",'Calculations'!$JJ$2&lt;&gt;"All",'Calculations'!$JJ$2&lt;&gt;"",'Calculations'!HF312='Calculations'!$JJ$2,'Calculations'!HL312=0,'Calculations'!JD312&gt;0),MAX('Calculations'!$JE$12:JE311)+1,0)</x:f>
        <x:v>0</x:v>
      </x:c>
      <x:c r="JF312" t="str">
        <x:f>IF('Calculations'!EM312="","",IFERROR(IF(INDEX(INDIRECT("'WCM Calibration Final'!$G$1:$G$2000"),'Calculations'!$EM312)="","",TRIM(INDEX(INDIRECT("'WCM Calibration Final'!$G$1:$G$2000"),'Calculations'!$EM312)&amp;"")),""))</x:f>
      </x:c>
      <x:c r="JQ312" t="n">
        <x:f>IF(OR('Calculations'!BM312=0,NOT('Calculations'!$AG$2),'Calculations'!$AG$8&gt;0),0,IF(OR('Dashboard'!$B$7="All",'Calculations'!HN312='Dashboard'!$B$7),IF('Calculations'!$JJ$2="All",1,IF(AND('Calculations'!HF312='Calculations'!$JJ$2,'Calculations'!HL312=0),1,0)),0))</x:f>
        <x:v>0</x:v>
      </x:c>
    </x:row>
    <x:row r="313">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t="n">
        <x:f>IF('Calculations'!$EM313="",0,IF(OR(IFERROR(INDEX(INDIRECT("'WCM Calibration Final'!$A$1:$A$2000"),'Calculations'!$EM313)&lt;&gt;"",FALSE),IFERROR(INDEX(INDIRECT("'WCM Calibration Final'!$B$1:$B$2000"),'Calculations'!$EM313)&lt;&gt;"",FALSE),IFERROR(INDEX(INDIRECT("'WCM Calibration Final'!$C$1:$C$2000"),'Calculations'!$EM313)&lt;&gt;"",FALSE)),1,0))</x:f>
        <x:v>0</x:v>
      </x:c>
      <x:c r="BN313" s="4" t="n">
        <x:f>IF(AND('Calculations'!BM313=1,'Calculations'!$AG$2,'Calculations'!$EN313=1),1,0)</x:f>
        <x:v>0</x:v>
      </x:c>
      <x:c r="BO313" s="4" t="str">
        <x:f>IF('Calculations'!BM313=0,"",IFERROR(IF(AND(VALUE(INDEX(INDIRECT("'WCM Calibration Final'!$K$1:$K$2000"),'Calculations'!$EM313))&gt;=1,VALUE(INDEX(INDIRECT("'WCM Calibration Final'!$K$1:$K$2000"),'Calculations'!$EM313))&lt;=4,MOD(VALUE(INDEX(INDIRECT("'WCM Calibration Final'!$K$1:$K$2000"),'Calculations'!$EM313)),1)=0),VALUE(INDEX(INDIRECT("'WCM Calibration Final'!$K$1:$K$2000"),'Calculations'!$EM313)),""),""))</x:f>
      </x:c>
      <x:c r="BP313" s="4" t="str">
        <x:f>IF('Calculations'!BM313=0,"",IFERROR(IF(AND(VALUE(INDEX(INDIRECT("'WCM Calibration Final'!$L$1:$L$2000"),'Calculations'!$EM313))&gt;=1,VALUE(INDEX(INDIRECT("'WCM Calibration Final'!$L$1:$L$2000"),'Calculations'!$EM313))&lt;=4,MOD(VALUE(INDEX(INDIRECT("'WCM Calibration Final'!$L$1:$L$2000"),'Calculations'!$EM313)),1)=0),VALUE(INDEX(INDIRECT("'WCM Calibration Final'!$L$1:$L$2000"),'Calculations'!$EM313)),""),""))</x:f>
      </x:c>
      <x:c r="BQ313" s="4"/>
      <x:c r="BR313" s="4"/>
      <x:c r="BS313" s="4"/>
      <x:c r="BT313" s="4" t="n">
        <x:f>IF(AND('Calculations'!BM313=1,ISNUMBER('Calculations'!BO313),ISNUMBER('Calculations'!BP313)),1,0)</x:f>
        <x:v>0</x:v>
      </x:c>
      <x:c r="BU313" s="4" t="str">
        <x:f>IF('Calculations'!BM313=0,"",'Calculations'!$EO313)</x:f>
      </x:c>
      <x:c r="BV313" s="4" t="str">
        <x:f>IF('Calculations'!BM313=0,"",IFERROR(IF(OR(INDEX(INDIRECT("'WCM Calibration Final'!$H$1:$H$2000"),'Calculations'!$EM313)="MANAGING DIRECTOR",INDEX(INDIRECT("'WCM Calibration Final'!$H$1:$H$2000"),'Calculations'!$EM313)="DIRECTOR",INDEX(INDIRECT("'WCM Calibration Final'!$H$1:$H$2000"),'Calculations'!$EM313)="SENIOR VICE PRESIDENT",INDEX(INDIRECT("'WCM Calibration Final'!$H$1:$H$2000"),'Calculations'!$EM313)="VICE PRESIDENT",INDEX(INDIRECT("'WCM Calibration Final'!$H$1:$H$2000"),'Calculations'!$EM313)="ASSISTANT VICE PRESIDENT",INDEX(INDIRECT("'WCM Calibration Final'!$H$1:$H$2000"),'Calculations'!$EM313)="OFFICER"),UPPER(INDEX(INDIRECT("'WCM Calibration Final'!$H$1:$H$2000"),'Calculations'!$EM313)),"Other"),"Other"))</x:f>
      </x:c>
      <x:c r="BW313" s="4"/>
      <x:c r="BX313" s="4"/>
      <x:c r="BY313" s="4" t="n">
        <x:f>IF(AND('Calculations'!BM313=1,'Calculations'!BU313&lt;&gt;"",COUNTIF('Calculations'!$BU$12:BU313,'Calculations'!BU313)=1),MAX('Calculations'!$BY$11:BY312)+1,0)</x:f>
        <x:v>0</x:v>
      </x:c>
      <x:c r="BZ313" s="4" t="str">
        <x:f>IF('Dashboard'!$E$67="What",'Calculations'!BO313,'Calculations'!BP313)</x:f>
      </x:c>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t="str">
        <x:f>IF(302&gt;MAX('Calculations'!$HI$13:$HI$512),"",INDEX('Calculations'!$HN$13:$HN$512,MATCH(302,'Calculations'!$HI$13:$HI$512,0)))</x:f>
      </x:c>
      <x:c r="DB313" s="4" t="str">
        <x:f>IF(302&gt;MAX('Calculations'!$HH$13:$HH$512),"",INDEX('Calculations'!$HJ$13:$HJ$512,MATCH(302,'Calculations'!$HH$13:$HH$512,0)))</x:f>
      </x:c>
      <x:c r="DC313" s="4" t="str">
        <x:f>IF(ROW()-11&gt;MAX('Calculations'!$BY$13:$BY$512),"",INDEX('Calculations'!$BU$13:$BU$512,MATCH(ROW()-11,'Calculations'!$BY$13:$BY$512,0)))</x:f>
      </x:c>
      <x:c r="DD313" s="4" t="str">
        <x:f>IF(302&gt;MAX('Calculations'!$IK$13:$IK$512),"",INDEX('Calculations'!$HK$13:$HK$512,MATCH(302,'Calculations'!$IK$13:$IK$512,0)))</x:f>
      </x:c>
      <x:c r="DE313" s="4" t="str">
        <x:f>'Calculations'!DC313</x:f>
      </x:c>
      <x:c r="DF313" s="4" t="str">
        <x:f>IF('Calculations'!DE313="","",COUNTIFS('Calculations'!$BN$13:$BN$512,1,'Calculations'!$BU$13:$BU$512,'Calculations'!DE313))</x:f>
      </x:c>
      <x:c r="DG313" s="4" t="str">
        <x:f>IF('Calculations'!DE313="","",COUNTIFS('Calculations'!$BN$13:$BN$512,1,'Calculations'!$BU$13:$BU$512,'Calculations'!DE313,'Calculations'!$BT$13:$BT$512,1))</x:f>
      </x:c>
      <x:c r="DH313" s="4" t="str">
        <x:f>IF('Calculations'!DE313="","",'Calculations'!DF313-'Calculations'!DG313)</x:f>
      </x:c>
      <x:c r="DI313" s="4" t="str">
        <x:f>IF(OR('Calculations'!DE313="",'Calculations'!DF313=0),"",'Calculations'!DG313/'Calculations'!DF313)</x:f>
      </x:c>
      <x:c r="DJ313" s="4" t="str">
        <x:f>IF('Calculations'!DE313="","",COUNTIFS('Calculations'!$BN$13:$BN$512,1,'Calculations'!$BU$13:$BU$512,'Calculations'!DE313,'Calculations'!$BT$13:$BT$512,1,'Calculations'!$EE$13:$EE$512,"High"))</x:f>
      </x:c>
      <x:c r="DK313" s="4" t="str">
        <x:f>IF('Calculations'!DE313="","",COUNTIFS('Calculations'!$BN$13:$BN$512,1,'Calculations'!$BU$13:$BU$512,'Calculations'!DE313,'Calculations'!$BT$13:$BT$512,1,'Calculations'!$EE$13:$EE$512,"Strong"))</x:f>
      </x:c>
      <x:c r="DL313" s="4" t="str">
        <x:f>IF('Calculations'!DE313="","",COUNTIFS('Calculations'!$BN$13:$BN$512,1,'Calculations'!$BU$13:$BU$512,'Calculations'!DE313,'Calculations'!$BT$13:$BT$512,1,'Calculations'!$EE$13:$EE$512,"Solid"))</x:f>
      </x:c>
      <x:c r="DM313" s="4" t="str">
        <x:f>IF('Calculations'!DE313="","",COUNTIFS('Calculations'!$BN$13:$BN$512,1,'Calculations'!$BU$13:$BU$512,'Calculations'!DE313,'Calculations'!$BT$13:$BT$512,1,'Calculations'!$EE$13:$EE$512,"Low"))</x:f>
      </x:c>
      <x:c r="DN313" s="4" t="str">
        <x:f>IF('Calculations'!DE313="","",COUNTIFS('Calculations'!$BN$13:$BN$512,1,'Calculations'!$BU$13:$BU$512,'Calculations'!DE313,'Calculations'!$EP$13:$EP$512,1))</x:f>
      </x:c>
      <x:c r="DO313" s="4" t="str">
        <x:f>IF(OR('Calculations'!DE313="",'Calculations'!DG313=0),"",('Calculations'!DJ313+'Calculations'!DK313)/'Calculations'!DG313)</x:f>
      </x:c>
      <x:c r="DP313" s="4" t="n">
        <x:f>IF(AND('Calculations'!DE313&lt;&gt;"",'Calculations'!DF313&gt;0),COUNTIF('Calculations'!$DF$12:DF313,"&gt;0"),0)</x:f>
        <x:v>0</x:v>
      </x:c>
      <x:c r="DQ313" s="4" t="str">
        <x:f>IF(302&gt;MAX('Calculations'!$HH$13:$HH$512),"",INDEX('Calculations'!$HF$13:$HF$512,MATCH(302,'Calculations'!$HH$13:$HH$512,0)))</x:f>
      </x:c>
      <x:c r="DR313" s="4" t="str">
        <x:f>IF(302&gt;MAX('Calculations'!$IK$13:$IK$512),"",INDEX('Calculations'!$HE$13:$HE$512,MATCH(302,'Calculations'!$IK$13:$IK$512,0)))</x:f>
      </x:c>
      <x:c r="DS313" s="4"/>
      <x:c r="DT313" s="4"/>
      <x:c r="DU313" s="4"/>
      <x:c r="DV313" s="4"/>
      <x:c r="DW313" s="4"/>
      <x:c r="DX313" s="4"/>
      <x:c r="DY313" s="4"/>
      <x:c r="DZ313" s="4"/>
      <x:c r="EA313" s="4"/>
      <x:c r="EB313" s="4"/>
      <x:c r="EC313" s="4"/>
      <x:c r="ED313" s="4"/>
      <x:c r="EE313" s="4" t="str">
        <x:f>IF('Calculations'!BT313=0,"Not Rated",IF(OR('Calculations'!BO313&gt;=4,'Calculations'!BP313&gt;=4),"Low",IF('Calculations'!BO313+'Calculations'!BP313&lt;=3,"High",IF('Calculations'!BO313+'Calculations'!BP313&lt;=4,"Strong","Solid"))))</x:f>
        <x:v>Not Rated</x:v>
      </x:c>
      <x:c r="EF313" s="4"/>
      <x:c r="EG313" s="4"/>
      <x:c r="EH313" s="4"/>
      <x:c r="EI313" s="4"/>
      <x:c r="EJ313" s="4"/>
      <x:c r="EK313" s="4"/>
      <x:c r="EL313" s="4"/>
      <x:c r="EM313" s="4" t="str">
        <x:f>IF(301&gt;'Calculations'!$JB$2000,"",INDEX('Calculations'!$JA$12:$JA$2000,MATCH(301,'Calculations'!$JB$12:$JB$2000,0)))</x:f>
      </x:c>
      <x:c r="EN313" s="4" t="n">
        <x:f>IF(OR('Calculations'!EM313="",'Calculations'!$AG$8&gt;0,AND('Calculations'!$EF$2&lt;&gt;"All",'Calculations'!HE313='Calculations'!$EF$2),AND('Calculations'!$EF$3&lt;&gt;"All",'Calculations'!HE313='Calculations'!$EF$3)),0,IF(OR('Dashboard'!$B$7="All",'Calculations'!HN313='Dashboard'!$B$7),IF('Calculations'!$EF$2="All",1,IF('Calculations'!HL313&gt;0,0,IF(COUNTIF('Calculations'!HO313:II313,"="&amp;SUBSTITUTE(SUBSTITUTE(SUBSTITUTE('Calculations'!$EF$2,"~","~~"),"*","~*"),"?","~?"))=0,0,IF('Calculations'!$EF$3="All",1,IF(COUNTIF('Calculations'!HO313:II313,"="&amp;SUBSTITUTE(SUBSTITUTE(SUBSTITUTE('Calculations'!$EF$3,"~","~~"),"*","~*"),"?","~?"))&gt;0,1,0))))),0))</x:f>
        <x:v>0</x:v>
      </x:c>
      <x:c r="EO313" s="4" t="str">
        <x:f>IF('Calculations'!IJ313="","",IF('Calculations'!IJ313="!UNRESOLVED","Unresolved hierarchy",IFERROR(INDEX('Calculations'!$HK$13:$HK$512,MATCH('Calculations'!IJ313,'Calculations'!$HE$13:$HE$512,0)),IFERROR(INDEX('Calculations'!$HJ$13:$HJ$512,MATCH('Calculations'!IJ313,'Calculations'!$HF$13:$HF$512,0)),'Calculations'!IJ313))))</x:f>
      </x:c>
      <x:c r="EP313" s="4" t="n">
        <x:f>IF(AND('Calculations'!EM313&lt;&gt;"",'Calculations'!HF313='Calculations'!IJ313),1,0)</x:f>
        <x:v>0</x:v>
      </x:c>
      <x:c r="EQ313" s="4"/>
      <x:c r="ER313" s="4"/>
      <x:c r="ES313" s="4"/>
      <x:c r="ET313" s="4"/>
      <x:c r="EU313" s="4"/>
      <x:c r="EV313" s="4"/>
      <x:c r="EW313" s="4"/>
      <x:c r="EX313" s="4"/>
      <x:c r="EY313" s="4"/>
      <x:c r="EZ313" s="4"/>
      <x:c r="FA313" s="4"/>
      <x:c r="FB313" s="4"/>
      <x:c r="FC313" s="4"/>
      <x:c r="FD313" s="4"/>
      <x:c r="FE313" s="4"/>
      <x:c r="FF313" s="4"/>
      <x:c r="FG313" s="4"/>
      <x:c r="FH313" s="4"/>
      <x:c r="FI313" s="4"/>
      <x:c r="FJ313" s="4"/>
      <x:c r="FK313" s="4"/>
      <x:c r="FL313" s="4"/>
      <x:c r="FM313" s="4"/>
      <x:c r="FN313" s="4"/>
      <x:c r="FO313" s="4"/>
      <x:c r="HE313" t="str">
        <x:f>IF('Calculations'!EM313="","",IF(IFERROR(IF(INDEX(INDIRECT("'WCM Calibration Final'!$A$1:$A$2000"),'Calculations'!$EM313)="","",TRIM(INDEX(INDIRECT("'WCM Calibration Final'!$A$1:$A$2000"),'Calculations'!$EM313)&amp;"")),"")&lt;&gt;"","G:"&amp;IFERROR(TEXT(1*INDEX(INDIRECT("'WCM Calibration Final'!$A$1:$A$2000"),'Calculations'!$EM313),"0"),UPPER(IFERROR(IF(INDEX(INDIRECT("'WCM Calibration Final'!$A$1:$A$2000"),'Calculations'!$EM313)="","",TRIM(INDEX(INDIRECT("'WCM Calibration Final'!$A$1:$A$2000"),'Calculations'!$EM313)&amp;"")),""))),IF(IFERROR(IF(INDEX(INDIRECT("'WCM Calibration Final'!$C$1:$C$2000"),'Calculations'!$EM313)="","",TRIM(INDEX(INDIRECT("'WCM Calibration Final'!$C$1:$C$2000"),'Calculations'!$EM313)&amp;"")),"")&lt;&gt;"","S:"&amp;UPPER(IFERROR(IF(INDEX(INDIRECT("'WCM Calibration Final'!$C$1:$C$2000"),'Calculations'!$EM313)="","",TRIM(INDEX(INDIRECT("'WCM Calibration Final'!$C$1:$C$2000"),'Calculations'!$EM313)&amp;"")),"")),"R:"&amp;'Calculations'!EM313)))</x:f>
      </x:c>
      <x:c r="HF313" t="str">
        <x:f>IF('Calculations'!EM313="","",IF(IFERROR(IF(INDEX(INDIRECT("'WCM Calibration Final'!$D$1:$D$2000"),'Calculations'!$EM313)="","",TRIM(INDEX(INDIRECT("'WCM Calibration Final'!$D$1:$D$2000"),'Calculations'!$EM313)&amp;"")),"")&lt;&gt;"","G:"&amp;IFERROR(TEXT(1*INDEX(INDIRECT("'WCM Calibration Final'!$D$1:$D$2000"),'Calculations'!$EM313),"0"),UPPER(IFERROR(IF(INDEX(INDIRECT("'WCM Calibration Final'!$D$1:$D$2000"),'Calculations'!$EM313)="","",TRIM(INDEX(INDIRECT("'WCM Calibration Final'!$D$1:$D$2000"),'Calculations'!$EM313)&amp;"")),""))),IF(IFERROR(IF(INDEX(INDIRECT("'WCM Calibration Final'!$E$1:$E$2000"),'Calculations'!$EM313)="","",TRIM(INDEX(INDIRECT("'WCM Calibration Final'!$E$1:$E$2000"),'Calculations'!$EM313)&amp;"")),"")="","",IF(COUNTIF('Calculations'!$HG$13:$HG$512,"="&amp;SUBSTITUTE(SUBSTITUTE(SUBSTITUTE(IFERROR(IF(INDEX(INDIRECT("'WCM Calibration Final'!$E$1:$E$2000"),'Calculations'!$EM313)="","",TRIM(INDEX(INDIRECT("'WCM Calibration Final'!$E$1:$E$2000"),'Calculations'!$EM313)&amp;"")),""),"~","~~"),"*","~*"),"?","~?"))=1,INDEX('Calculations'!$HE$13:$HE$512,MATCH(IFERROR(IF(INDEX(INDIRECT("'WCM Calibration Final'!$E$1:$E$2000"),'Calculations'!$EM313)="","",TRIM(INDEX(INDIRECT("'WCM Calibration Final'!$E$1:$E$2000"),'Calculations'!$EM313)&amp;"")),""),'Calculations'!$HG$13:$HG$512,0)),IF(COUNTIF('Calculations'!$HG$13:$HG$512,"="&amp;SUBSTITUTE(SUBSTITUTE(SUBSTITUTE(IFERROR(IF(INDEX(INDIRECT("'WCM Calibration Final'!$E$1:$E$2000"),'Calculations'!$EM313)="","",TRIM(INDEX(INDIRECT("'WCM Calibration Final'!$E$1:$E$2000"),'Calculations'!$EM313)&amp;"")),""),"~","~~"),"*","~*"),"?","~?"))&gt;1,"!AMBIG","X:"&amp;IFERROR(IF(INDEX(INDIRECT("'WCM Calibration Final'!$E$1:$E$2000"),'Calculations'!$EM313)="","",TRIM(INDEX(INDIRECT("'WCM Calibration Final'!$E$1:$E$2000"),'Calculations'!$EM313)&amp;"")),""))))))</x:f>
      </x:c>
      <x:c r="HG313" t="str">
        <x:f>IF('Calculations'!EM313="","",IFERROR(IF(INDEX(INDIRECT("'WCM Calibration Final'!$B$1:$B$2000"),'Calculations'!$EM313)="","",TRIM(INDEX(INDIRECT("'WCM Calibration Final'!$B$1:$B$2000"),'Calculations'!$EM313)&amp;"")),""))</x:f>
      </x:c>
      <x:c r="HH313" t="n">
        <x:f>IF(AND('Calculations'!JC313&gt;0,COUNTIF('Calculations'!$HF$12:HF313,"="&amp;SUBSTITUTE(SUBSTITUTE(SUBSTITUTE('Calculations'!HF313,"~","~~"),"*","~*"),"?","~?"))=1),MAX('Calculations'!$HH$12:HH312)+1,0)</x:f>
        <x:v>0</x:v>
      </x:c>
      <x:c r="HI313" t="n">
        <x:f>IF(AND('Calculations'!HN313&lt;&gt;"",COUNTIF('Calculations'!$HN$12:HN313,"="&amp;SUBSTITUTE(SUBSTITUTE(SUBSTITUTE('Calculations'!HN313,"~","~~"),"*","~*"),"?","~?"))=1),MAX('Calculations'!$HI$12:HI312)+1,0)</x:f>
        <x:v>0</x:v>
      </x:c>
      <x:c r="HJ313" t="str">
        <x:f>IF('Calculations'!HF313="","",IF(COUNTIF('Calculations'!$HE$13:$HE$512,"="&amp;SUBSTITUTE(SUBSTITUTE(SUBSTITUTE('Calculations'!HF313,"~","~~"),"*","~*"),"?","~?"))=1,INDEX('Calculations'!$HK$13:$HK$512,MATCH('Calculations'!HF313,'Calculations'!$HE$13:$HE$512,0)),IFERROR(IF(INDEX(INDIRECT("'WCM Calibration Final'!$E$1:$E$2000"),'Calculations'!$EM313)="","",TRIM(INDEX(INDIRECT("'WCM Calibration Final'!$E$1:$E$2000"),'Calculations'!$EM313)&amp;"")),"")&amp;" ["&amp;'Calculations'!HF313&amp;"]"))</x:f>
      </x:c>
      <x:c r="HK313" t="str">
        <x:f>IF('Calculations'!EM313="","",'Calculations'!HG313&amp;" ["&amp;'Calculations'!HE313&amp;"]")</x:f>
      </x:c>
      <x:c r="HL313" t="n">
        <x:f>IF('Calculations'!EM313="",0,IF(OR('Calculations'!II313&lt;&gt;"",COUNTIF('Calculations'!$HE$13:$HE$512,"="&amp;SUBSTITUTE(SUBSTITUTE(SUBSTITUTE('Calculations'!HE313,"~","~~"),"*","~*"),"?","~?"))&gt;1),1,0))</x:f>
        <x:v>0</x:v>
      </x:c>
      <x:c r="HM313" t="str">
        <x:f>IF('Calculations'!EM313="","",IF('Calculations'!HL313=1,"!UNRESOLVED",IF('Calculations'!IH313&lt;&gt;"",'Calculations'!IH313,IF('Calculations'!IG313&lt;&gt;"",'Calculations'!IG313,IF('Calculations'!IF313&lt;&gt;"",'Calculations'!IF313,IF('Calculations'!IE313&lt;&gt;"",'Calculations'!IE313,IF('Calculations'!ID313&lt;&gt;"",'Calculations'!ID313,IF('Calculations'!IC313&lt;&gt;"",'Calculations'!IC313,IF('Calculations'!IB313&lt;&gt;"",'Calculations'!IB313,IF('Calculations'!IA313&lt;&gt;"",'Calculations'!IA313,IF('Calculations'!HZ313&lt;&gt;"",'Calculations'!HZ313,IF('Calculations'!HY313&lt;&gt;"",'Calculations'!HY313,IF('Calculations'!HX313&lt;&gt;"",'Calculations'!HX313,IF('Calculations'!HW313&lt;&gt;"",'Calculations'!HW313,IF('Calculations'!HV313&lt;&gt;"",'Calculations'!HV313,IF('Calculations'!HU313&lt;&gt;"",'Calculations'!HU313,IF('Calculations'!HT313&lt;&gt;"",'Calculations'!HT313,IF('Calculations'!HS313&lt;&gt;"",'Calculations'!HS313,IF('Calculations'!HR313&lt;&gt;"",'Calculations'!HR313,IF('Calculations'!HQ313&lt;&gt;"",'Calculations'!HQ313,IF('Calculations'!HP313&lt;&gt;"",'Calculations'!HP313,IF('Calculations'!HO313&lt;&gt;"",'Calculations'!HO313,'Calculations'!HE313))))))))))))))))))))))</x:f>
      </x:c>
      <x:c r="HN313" t="str">
        <x:f>IF('Calculations'!EM313="","",IF(IFERROR(IF(INDEX(INDIRECT("'WCM Calibration Final'!$F$1:$F$2000"),'Calculations'!$EM313)="","",TRIM(INDEX(INDIRECT("'WCM Calibration Final'!$F$1:$F$2000"),'Calculations'!$EM313)&amp;"")),"")="","(Blank)",IFERROR(IF(INDEX(INDIRECT("'WCM Calibration Final'!$F$1:$F$2000"),'Calculations'!$EM313)="","",TRIM(INDEX(INDIRECT("'WCM Calibration Final'!$F$1:$F$2000"),'Calculations'!$EM313)&amp;"")),"")))</x:f>
      </x:c>
      <x:c r="HO313" t="str">
        <x:f>'Calculations'!HF313</x:f>
      </x:c>
      <x:c r="HP313" t="str">
        <x:f>IF('Calculations'!HO313="","",IF('Calculations'!HO313="!AMBIG","!AMBIG",IF(COUNTIF('Calculations'!$HE$13:$HE$512,"="&amp;SUBSTITUTE(SUBSTITUTE(SUBSTITUTE('Calculations'!HO313,"~","~~"),"*","~*"),"?","~?"))&gt;1,"!AMBIG",IFERROR(INDEX('Calculations'!$HF$13:$HF$512,MATCH('Calculations'!HO313,'Calculations'!$HE$13:$HE$512,0)),""))))</x:f>
      </x:c>
      <x:c r="HQ313" t="str">
        <x:f>IF('Calculations'!HP313="","",IF('Calculations'!HP313="!AMBIG","!AMBIG",IF(COUNTIF('Calculations'!$HE$13:$HE$512,"="&amp;SUBSTITUTE(SUBSTITUTE(SUBSTITUTE('Calculations'!HP313,"~","~~"),"*","~*"),"?","~?"))&gt;1,"!AMBIG",IFERROR(INDEX('Calculations'!$HF$13:$HF$512,MATCH('Calculations'!HP313,'Calculations'!$HE$13:$HE$512,0)),""))))</x:f>
      </x:c>
      <x:c r="HR313" t="str">
        <x:f>IF('Calculations'!HQ313="","",IF('Calculations'!HQ313="!AMBIG","!AMBIG",IF(COUNTIF('Calculations'!$HE$13:$HE$512,"="&amp;SUBSTITUTE(SUBSTITUTE(SUBSTITUTE('Calculations'!HQ313,"~","~~"),"*","~*"),"?","~?"))&gt;1,"!AMBIG",IFERROR(INDEX('Calculations'!$HF$13:$HF$512,MATCH('Calculations'!HQ313,'Calculations'!$HE$13:$HE$512,0)),""))))</x:f>
      </x:c>
      <x:c r="HS313" t="str">
        <x:f>IF('Calculations'!HR313="","",IF('Calculations'!HR313="!AMBIG","!AMBIG",IF(COUNTIF('Calculations'!$HE$13:$HE$512,"="&amp;SUBSTITUTE(SUBSTITUTE(SUBSTITUTE('Calculations'!HR313,"~","~~"),"*","~*"),"?","~?"))&gt;1,"!AMBIG",IFERROR(INDEX('Calculations'!$HF$13:$HF$512,MATCH('Calculations'!HR313,'Calculations'!$HE$13:$HE$512,0)),""))))</x:f>
      </x:c>
      <x:c r="HT313" t="str">
        <x:f>IF('Calculations'!HS313="","",IF('Calculations'!HS313="!AMBIG","!AMBIG",IF(COUNTIF('Calculations'!$HE$13:$HE$512,"="&amp;SUBSTITUTE(SUBSTITUTE(SUBSTITUTE('Calculations'!HS313,"~","~~"),"*","~*"),"?","~?"))&gt;1,"!AMBIG",IFERROR(INDEX('Calculations'!$HF$13:$HF$512,MATCH('Calculations'!HS313,'Calculations'!$HE$13:$HE$512,0)),""))))</x:f>
      </x:c>
      <x:c r="HU313" t="str">
        <x:f>IF('Calculations'!HT313="","",IF('Calculations'!HT313="!AMBIG","!AMBIG",IF(COUNTIF('Calculations'!$HE$13:$HE$512,"="&amp;SUBSTITUTE(SUBSTITUTE(SUBSTITUTE('Calculations'!HT313,"~","~~"),"*","~*"),"?","~?"))&gt;1,"!AMBIG",IFERROR(INDEX('Calculations'!$HF$13:$HF$512,MATCH('Calculations'!HT313,'Calculations'!$HE$13:$HE$512,0)),""))))</x:f>
      </x:c>
      <x:c r="HV313" t="str">
        <x:f>IF('Calculations'!HU313="","",IF('Calculations'!HU313="!AMBIG","!AMBIG",IF(COUNTIF('Calculations'!$HE$13:$HE$512,"="&amp;SUBSTITUTE(SUBSTITUTE(SUBSTITUTE('Calculations'!HU313,"~","~~"),"*","~*"),"?","~?"))&gt;1,"!AMBIG",IFERROR(INDEX('Calculations'!$HF$13:$HF$512,MATCH('Calculations'!HU313,'Calculations'!$HE$13:$HE$512,0)),""))))</x:f>
      </x:c>
      <x:c r="HW313" t="str">
        <x:f>IF('Calculations'!HV313="","",IF('Calculations'!HV313="!AMBIG","!AMBIG",IF(COUNTIF('Calculations'!$HE$13:$HE$512,"="&amp;SUBSTITUTE(SUBSTITUTE(SUBSTITUTE('Calculations'!HV313,"~","~~"),"*","~*"),"?","~?"))&gt;1,"!AMBIG",IFERROR(INDEX('Calculations'!$HF$13:$HF$512,MATCH('Calculations'!HV313,'Calculations'!$HE$13:$HE$512,0)),""))))</x:f>
      </x:c>
      <x:c r="HX313" t="str">
        <x:f>IF('Calculations'!HW313="","",IF('Calculations'!HW313="!AMBIG","!AMBIG",IF(COUNTIF('Calculations'!$HE$13:$HE$512,"="&amp;SUBSTITUTE(SUBSTITUTE(SUBSTITUTE('Calculations'!HW313,"~","~~"),"*","~*"),"?","~?"))&gt;1,"!AMBIG",IFERROR(INDEX('Calculations'!$HF$13:$HF$512,MATCH('Calculations'!HW313,'Calculations'!$HE$13:$HE$512,0)),""))))</x:f>
      </x:c>
      <x:c r="HY313" t="str">
        <x:f>IF('Calculations'!HX313="","",IF('Calculations'!HX313="!AMBIG","!AMBIG",IF(COUNTIF('Calculations'!$HE$13:$HE$512,"="&amp;SUBSTITUTE(SUBSTITUTE(SUBSTITUTE('Calculations'!HX313,"~","~~"),"*","~*"),"?","~?"))&gt;1,"!AMBIG",IFERROR(INDEX('Calculations'!$HF$13:$HF$512,MATCH('Calculations'!HX313,'Calculations'!$HE$13:$HE$512,0)),""))))</x:f>
      </x:c>
      <x:c r="HZ313" t="str">
        <x:f>IF('Calculations'!HY313="","",IF('Calculations'!HY313="!AMBIG","!AMBIG",IF(COUNTIF('Calculations'!$HE$13:$HE$512,"="&amp;SUBSTITUTE(SUBSTITUTE(SUBSTITUTE('Calculations'!HY313,"~","~~"),"*","~*"),"?","~?"))&gt;1,"!AMBIG",IFERROR(INDEX('Calculations'!$HF$13:$HF$512,MATCH('Calculations'!HY313,'Calculations'!$HE$13:$HE$512,0)),""))))</x:f>
      </x:c>
      <x:c r="IA313" t="str">
        <x:f>IF('Calculations'!HZ313="","",IF('Calculations'!HZ313="!AMBIG","!AMBIG",IF(COUNTIF('Calculations'!$HE$13:$HE$512,"="&amp;SUBSTITUTE(SUBSTITUTE(SUBSTITUTE('Calculations'!HZ313,"~","~~"),"*","~*"),"?","~?"))&gt;1,"!AMBIG",IFERROR(INDEX('Calculations'!$HF$13:$HF$512,MATCH('Calculations'!HZ313,'Calculations'!$HE$13:$HE$512,0)),""))))</x:f>
      </x:c>
      <x:c r="IB313" t="str">
        <x:f>IF('Calculations'!IA313="","",IF('Calculations'!IA313="!AMBIG","!AMBIG",IF(COUNTIF('Calculations'!$HE$13:$HE$512,"="&amp;SUBSTITUTE(SUBSTITUTE(SUBSTITUTE('Calculations'!IA313,"~","~~"),"*","~*"),"?","~?"))&gt;1,"!AMBIG",IFERROR(INDEX('Calculations'!$HF$13:$HF$512,MATCH('Calculations'!IA313,'Calculations'!$HE$13:$HE$512,0)),""))))</x:f>
      </x:c>
      <x:c r="IC313" t="str">
        <x:f>IF('Calculations'!IB313="","",IF('Calculations'!IB313="!AMBIG","!AMBIG",IF(COUNTIF('Calculations'!$HE$13:$HE$512,"="&amp;SUBSTITUTE(SUBSTITUTE(SUBSTITUTE('Calculations'!IB313,"~","~~"),"*","~*"),"?","~?"))&gt;1,"!AMBIG",IFERROR(INDEX('Calculations'!$HF$13:$HF$512,MATCH('Calculations'!IB313,'Calculations'!$HE$13:$HE$512,0)),""))))</x:f>
      </x:c>
      <x:c r="ID313" t="str">
        <x:f>IF('Calculations'!IC313="","",IF('Calculations'!IC313="!AMBIG","!AMBIG",IF(COUNTIF('Calculations'!$HE$13:$HE$512,"="&amp;SUBSTITUTE(SUBSTITUTE(SUBSTITUTE('Calculations'!IC313,"~","~~"),"*","~*"),"?","~?"))&gt;1,"!AMBIG",IFERROR(INDEX('Calculations'!$HF$13:$HF$512,MATCH('Calculations'!IC313,'Calculations'!$HE$13:$HE$512,0)),""))))</x:f>
      </x:c>
      <x:c r="IE313" t="str">
        <x:f>IF('Calculations'!ID313="","",IF('Calculations'!ID313="!AMBIG","!AMBIG",IF(COUNTIF('Calculations'!$HE$13:$HE$512,"="&amp;SUBSTITUTE(SUBSTITUTE(SUBSTITUTE('Calculations'!ID313,"~","~~"),"*","~*"),"?","~?"))&gt;1,"!AMBIG",IFERROR(INDEX('Calculations'!$HF$13:$HF$512,MATCH('Calculations'!ID313,'Calculations'!$HE$13:$HE$512,0)),""))))</x:f>
      </x:c>
      <x:c r="IF313" t="str">
        <x:f>IF('Calculations'!IE313="","",IF('Calculations'!IE313="!AMBIG","!AMBIG",IF(COUNTIF('Calculations'!$HE$13:$HE$512,"="&amp;SUBSTITUTE(SUBSTITUTE(SUBSTITUTE('Calculations'!IE313,"~","~~"),"*","~*"),"?","~?"))&gt;1,"!AMBIG",IFERROR(INDEX('Calculations'!$HF$13:$HF$512,MATCH('Calculations'!IE313,'Calculations'!$HE$13:$HE$512,0)),""))))</x:f>
      </x:c>
      <x:c r="IG313" t="str">
        <x:f>IF('Calculations'!IF313="","",IF('Calculations'!IF313="!AMBIG","!AMBIG",IF(COUNTIF('Calculations'!$HE$13:$HE$512,"="&amp;SUBSTITUTE(SUBSTITUTE(SUBSTITUTE('Calculations'!IF313,"~","~~"),"*","~*"),"?","~?"))&gt;1,"!AMBIG",IFERROR(INDEX('Calculations'!$HF$13:$HF$512,MATCH('Calculations'!IF313,'Calculations'!$HE$13:$HE$512,0)),""))))</x:f>
      </x:c>
      <x:c r="IH313" t="str">
        <x:f>IF('Calculations'!IG313="","",IF('Calculations'!IG313="!AMBIG","!AMBIG",IF(COUNTIF('Calculations'!$HE$13:$HE$512,"="&amp;SUBSTITUTE(SUBSTITUTE(SUBSTITUTE('Calculations'!IG313,"~","~~"),"*","~*"),"?","~?"))&gt;1,"!AMBIG",IFERROR(INDEX('Calculations'!$HF$13:$HF$512,MATCH('Calculations'!IG313,'Calculations'!$HE$13:$HE$512,0)),""))))</x:f>
      </x:c>
      <x:c r="II313" t="str">
        <x:f>IF('Calculations'!IH313="","",IF('Calculations'!IH313="!AMBIG","!AMBIG",IF(COUNTIF('Calculations'!$HE$13:$HE$512,"="&amp;SUBSTITUTE(SUBSTITUTE(SUBSTITUTE('Calculations'!IH313,"~","~~"),"*","~*"),"?","~?"))&gt;1,"!AMBIG",IFERROR(INDEX('Calculations'!$HF$13:$HF$512,MATCH('Calculations'!IH313,'Calculations'!$HE$13:$HE$512,0)),""))))</x:f>
      </x:c>
      <x:c r="IJ313" t="str">
        <x:f>IF('Calculations'!EM313="","",IF('Calculations'!$EF$2="All",'Calculations'!HM313,IF('Calculations'!HL313=1,"",IFERROR(IF(MATCH('Calculations'!$EF$2,'Calculations'!HO313:II313,0)=1,'Calculations'!HE313,INDEX('Calculations'!HO313:II313,1,MATCH('Calculations'!$EF$2,'Calculations'!HO313:II313,0)-1)),""))))</x:f>
      </x:c>
      <x:c r="IK313" t="n">
        <x:f>IF(AND('Calculations'!EM313&lt;&gt;"",'Calculations'!$EF$2&lt;&gt;"All",'Calculations'!HF313='Calculations'!$EF$2,'Calculations'!HL313=0,'Calculations'!JD313&gt;0),MAX('Calculations'!$IK$12:IK312)+1,0)</x:f>
        <x:v>0</x:v>
      </x:c>
      <x:c r="JA313" t="n">
        <x:f>IF(OR(IFERROR(INDIRECT("'WCM Calibration Final'!$A$313")&lt;&gt;"",FALSE),IFERROR(INDIRECT("'WCM Calibration Final'!$B$313")&lt;&gt;"",FALSE),IFERROR(INDIRECT("'WCM Calibration Final'!$C$313")&lt;&gt;"",FALSE)),313,0)</x:f>
        <x:v>0</x:v>
      </x:c>
      <x:c r="JB313" t="n">
        <x:f>'Calculations'!JB312+IF('Calculations'!JA313&gt;0,1,0)</x:f>
        <x:v>0</x:v>
      </x:c>
      <x:c r="JC313" t="n">
        <x:f>IF(OR('Calculations'!HF313="",'Calculations'!HF313="!AMBIG"),0,IF('Dashboard'!$B$7="All",1,COUNTIFS('Calculations'!$HO$13:$HO$512,"="&amp;SUBSTITUTE(SUBSTITUTE(SUBSTITUTE('Calculations'!HF313,"~","~~"),"*","~*"),"?","~?"),'Calculations'!$HN$13:$HN$512,"="&amp;SUBSTITUTE(SUBSTITUTE(SUBSTITUTE('Dashboard'!$B$7,"~","~~"),"*","~*"),"?","~?"))+COUNTIFS('Calculations'!$HP$13:$HP$512,"="&amp;SUBSTITUTE(SUBSTITUTE(SUBSTITUTE('Calculations'!HF313,"~","~~"),"*","~*"),"?","~?"),'Calculations'!$HN$13:$HN$512,"="&amp;SUBSTITUTE(SUBSTITUTE(SUBSTITUTE('Dashboard'!$B$7,"~","~~"),"*","~*"),"?","~?"))+COUNTIFS('Calculations'!$HQ$13:$HQ$512,"="&amp;SUBSTITUTE(SUBSTITUTE(SUBSTITUTE('Calculations'!HF313,"~","~~"),"*","~*"),"?","~?"),'Calculations'!$HN$13:$HN$512,"="&amp;SUBSTITUTE(SUBSTITUTE(SUBSTITUTE('Dashboard'!$B$7,"~","~~"),"*","~*"),"?","~?"))+COUNTIFS('Calculations'!$HR$13:$HR$512,"="&amp;SUBSTITUTE(SUBSTITUTE(SUBSTITUTE('Calculations'!HF313,"~","~~"),"*","~*"),"?","~?"),'Calculations'!$HN$13:$HN$512,"="&amp;SUBSTITUTE(SUBSTITUTE(SUBSTITUTE('Dashboard'!$B$7,"~","~~"),"*","~*"),"?","~?"))+COUNTIFS('Calculations'!$HS$13:$HS$512,"="&amp;SUBSTITUTE(SUBSTITUTE(SUBSTITUTE('Calculations'!HF313,"~","~~"),"*","~*"),"?","~?"),'Calculations'!$HN$13:$HN$512,"="&amp;SUBSTITUTE(SUBSTITUTE(SUBSTITUTE('Dashboard'!$B$7,"~","~~"),"*","~*"),"?","~?"))+COUNTIFS('Calculations'!$HT$13:$HT$512,"="&amp;SUBSTITUTE(SUBSTITUTE(SUBSTITUTE('Calculations'!HF313,"~","~~"),"*","~*"),"?","~?"),'Calculations'!$HN$13:$HN$512,"="&amp;SUBSTITUTE(SUBSTITUTE(SUBSTITUTE('Dashboard'!$B$7,"~","~~"),"*","~*"),"?","~?"))+COUNTIFS('Calculations'!$HU$13:$HU$512,"="&amp;SUBSTITUTE(SUBSTITUTE(SUBSTITUTE('Calculations'!HF313,"~","~~"),"*","~*"),"?","~?"),'Calculations'!$HN$13:$HN$512,"="&amp;SUBSTITUTE(SUBSTITUTE(SUBSTITUTE('Dashboard'!$B$7,"~","~~"),"*","~*"),"?","~?"))+COUNTIFS('Calculations'!$HV$13:$HV$512,"="&amp;SUBSTITUTE(SUBSTITUTE(SUBSTITUTE('Calculations'!HF313,"~","~~"),"*","~*"),"?","~?"),'Calculations'!$HN$13:$HN$512,"="&amp;SUBSTITUTE(SUBSTITUTE(SUBSTITUTE('Dashboard'!$B$7,"~","~~"),"*","~*"),"?","~?"))+COUNTIFS('Calculations'!$HW$13:$HW$512,"="&amp;SUBSTITUTE(SUBSTITUTE(SUBSTITUTE('Calculations'!HF313,"~","~~"),"*","~*"),"?","~?"),'Calculations'!$HN$13:$HN$512,"="&amp;SUBSTITUTE(SUBSTITUTE(SUBSTITUTE('Dashboard'!$B$7,"~","~~"),"*","~*"),"?","~?"))+COUNTIFS('Calculations'!$HX$13:$HX$512,"="&amp;SUBSTITUTE(SUBSTITUTE(SUBSTITUTE('Calculations'!HF313,"~","~~"),"*","~*"),"?","~?"),'Calculations'!$HN$13:$HN$512,"="&amp;SUBSTITUTE(SUBSTITUTE(SUBSTITUTE('Dashboard'!$B$7,"~","~~"),"*","~*"),"?","~?"))+COUNTIFS('Calculations'!$HY$13:$HY$512,"="&amp;SUBSTITUTE(SUBSTITUTE(SUBSTITUTE('Calculations'!HF313,"~","~~"),"*","~*"),"?","~?"),'Calculations'!$HN$13:$HN$512,"="&amp;SUBSTITUTE(SUBSTITUTE(SUBSTITUTE('Dashboard'!$B$7,"~","~~"),"*","~*"),"?","~?"))+COUNTIFS('Calculations'!$HZ$13:$HZ$512,"="&amp;SUBSTITUTE(SUBSTITUTE(SUBSTITUTE('Calculations'!HF313,"~","~~"),"*","~*"),"?","~?"),'Calculations'!$HN$13:$HN$512,"="&amp;SUBSTITUTE(SUBSTITUTE(SUBSTITUTE('Dashboard'!$B$7,"~","~~"),"*","~*"),"?","~?"))+COUNTIFS('Calculations'!$IA$13:$IA$512,"="&amp;SUBSTITUTE(SUBSTITUTE(SUBSTITUTE('Calculations'!HF313,"~","~~"),"*","~*"),"?","~?"),'Calculations'!$HN$13:$HN$512,"="&amp;SUBSTITUTE(SUBSTITUTE(SUBSTITUTE('Dashboard'!$B$7,"~","~~"),"*","~*"),"?","~?"))+COUNTIFS('Calculations'!$IB$13:$IB$512,"="&amp;SUBSTITUTE(SUBSTITUTE(SUBSTITUTE('Calculations'!HF313,"~","~~"),"*","~*"),"?","~?"),'Calculations'!$HN$13:$HN$512,"="&amp;SUBSTITUTE(SUBSTITUTE(SUBSTITUTE('Dashboard'!$B$7,"~","~~"),"*","~*"),"?","~?"))+COUNTIFS('Calculations'!$IC$13:$IC$512,"="&amp;SUBSTITUTE(SUBSTITUTE(SUBSTITUTE('Calculations'!HF313,"~","~~"),"*","~*"),"?","~?"),'Calculations'!$HN$13:$HN$512,"="&amp;SUBSTITUTE(SUBSTITUTE(SUBSTITUTE('Dashboard'!$B$7,"~","~~"),"*","~*"),"?","~?"))+COUNTIFS('Calculations'!$ID$13:$ID$512,"="&amp;SUBSTITUTE(SUBSTITUTE(SUBSTITUTE('Calculations'!HF313,"~","~~"),"*","~*"),"?","~?"),'Calculations'!$HN$13:$HN$512,"="&amp;SUBSTITUTE(SUBSTITUTE(SUBSTITUTE('Dashboard'!$B$7,"~","~~"),"*","~*"),"?","~?"))+COUNTIFS('Calculations'!$IE$13:$IE$512,"="&amp;SUBSTITUTE(SUBSTITUTE(SUBSTITUTE('Calculations'!HF313,"~","~~"),"*","~*"),"?","~?"),'Calculations'!$HN$13:$HN$512,"="&amp;SUBSTITUTE(SUBSTITUTE(SUBSTITUTE('Dashboard'!$B$7,"~","~~"),"*","~*"),"?","~?"))+COUNTIFS('Calculations'!$IF$13:$IF$512,"="&amp;SUBSTITUTE(SUBSTITUTE(SUBSTITUTE('Calculations'!HF313,"~","~~"),"*","~*"),"?","~?"),'Calculations'!$HN$13:$HN$512,"="&amp;SUBSTITUTE(SUBSTITUTE(SUBSTITUTE('Dashboard'!$B$7,"~","~~"),"*","~*"),"?","~?"))+COUNTIFS('Calculations'!$IG$13:$IG$512,"="&amp;SUBSTITUTE(SUBSTITUTE(SUBSTITUTE('Calculations'!HF313,"~","~~"),"*","~*"),"?","~?"),'Calculations'!$HN$13:$HN$512,"="&amp;SUBSTITUTE(SUBSTITUTE(SUBSTITUTE('Dashboard'!$B$7,"~","~~"),"*","~*"),"?","~?"))+COUNTIFS('Calculations'!$IH$13:$IH$512,"="&amp;SUBSTITUTE(SUBSTITUTE(SUBSTITUTE('Calculations'!HF313,"~","~~"),"*","~*"),"?","~?"),'Calculations'!$HN$13:$HN$512,"="&amp;SUBSTITUTE(SUBSTITUTE(SUBSTITUTE('Dashboard'!$B$7,"~","~~"),"*","~*"),"?","~?"))))</x:f>
        <x:v>0</x:v>
      </x:c>
      <x:c r="JD313" t="n">
        <x:f>IF('Calculations'!EM313="",0,IF('Dashboard'!$B$7="All",1,IF('Calculations'!HN313='Dashboard'!$B$7,1,0)+IFERROR(INDEX('Calculations'!$JC$13:$JC$512,MATCH('Calculations'!HE313,'Calculations'!$HF$13:$HF$512,0)),0)))</x:f>
        <x:v>0</x:v>
      </x:c>
      <x:c r="JE313" t="n">
        <x:f>IF(AND('Calculations'!EM313&lt;&gt;"",'Calculations'!$JJ$2&lt;&gt;"All",'Calculations'!$JJ$2&lt;&gt;"",'Calculations'!HF313='Calculations'!$JJ$2,'Calculations'!HL313=0,'Calculations'!JD313&gt;0),MAX('Calculations'!$JE$12:JE312)+1,0)</x:f>
        <x:v>0</x:v>
      </x:c>
      <x:c r="JF313" t="str">
        <x:f>IF('Calculations'!EM313="","",IFERROR(IF(INDEX(INDIRECT("'WCM Calibration Final'!$G$1:$G$2000"),'Calculations'!$EM313)="","",TRIM(INDEX(INDIRECT("'WCM Calibration Final'!$G$1:$G$2000"),'Calculations'!$EM313)&amp;"")),""))</x:f>
      </x:c>
      <x:c r="JQ313" t="n">
        <x:f>IF(OR('Calculations'!BM313=0,NOT('Calculations'!$AG$2),'Calculations'!$AG$8&gt;0),0,IF(OR('Dashboard'!$B$7="All",'Calculations'!HN313='Dashboard'!$B$7),IF('Calculations'!$JJ$2="All",1,IF(AND('Calculations'!HF313='Calculations'!$JJ$2,'Calculations'!HL313=0),1,0)),0))</x:f>
        <x:v>0</x:v>
      </x:c>
    </x:row>
    <x:row r="314">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t="n">
        <x:f>IF('Calculations'!$EM314="",0,IF(OR(IFERROR(INDEX(INDIRECT("'WCM Calibration Final'!$A$1:$A$2000"),'Calculations'!$EM314)&lt;&gt;"",FALSE),IFERROR(INDEX(INDIRECT("'WCM Calibration Final'!$B$1:$B$2000"),'Calculations'!$EM314)&lt;&gt;"",FALSE),IFERROR(INDEX(INDIRECT("'WCM Calibration Final'!$C$1:$C$2000"),'Calculations'!$EM314)&lt;&gt;"",FALSE)),1,0))</x:f>
        <x:v>0</x:v>
      </x:c>
      <x:c r="BN314" s="4" t="n">
        <x:f>IF(AND('Calculations'!BM314=1,'Calculations'!$AG$2,'Calculations'!$EN314=1),1,0)</x:f>
        <x:v>0</x:v>
      </x:c>
      <x:c r="BO314" s="4" t="str">
        <x:f>IF('Calculations'!BM314=0,"",IFERROR(IF(AND(VALUE(INDEX(INDIRECT("'WCM Calibration Final'!$K$1:$K$2000"),'Calculations'!$EM314))&gt;=1,VALUE(INDEX(INDIRECT("'WCM Calibration Final'!$K$1:$K$2000"),'Calculations'!$EM314))&lt;=4,MOD(VALUE(INDEX(INDIRECT("'WCM Calibration Final'!$K$1:$K$2000"),'Calculations'!$EM314)),1)=0),VALUE(INDEX(INDIRECT("'WCM Calibration Final'!$K$1:$K$2000"),'Calculations'!$EM314)),""),""))</x:f>
      </x:c>
      <x:c r="BP314" s="4" t="str">
        <x:f>IF('Calculations'!BM314=0,"",IFERROR(IF(AND(VALUE(INDEX(INDIRECT("'WCM Calibration Final'!$L$1:$L$2000"),'Calculations'!$EM314))&gt;=1,VALUE(INDEX(INDIRECT("'WCM Calibration Final'!$L$1:$L$2000"),'Calculations'!$EM314))&lt;=4,MOD(VALUE(INDEX(INDIRECT("'WCM Calibration Final'!$L$1:$L$2000"),'Calculations'!$EM314)),1)=0),VALUE(INDEX(INDIRECT("'WCM Calibration Final'!$L$1:$L$2000"),'Calculations'!$EM314)),""),""))</x:f>
      </x:c>
      <x:c r="BQ314" s="4"/>
      <x:c r="BR314" s="4"/>
      <x:c r="BS314" s="4"/>
      <x:c r="BT314" s="4" t="n">
        <x:f>IF(AND('Calculations'!BM314=1,ISNUMBER('Calculations'!BO314),ISNUMBER('Calculations'!BP314)),1,0)</x:f>
        <x:v>0</x:v>
      </x:c>
      <x:c r="BU314" s="4" t="str">
        <x:f>IF('Calculations'!BM314=0,"",'Calculations'!$EO314)</x:f>
      </x:c>
      <x:c r="BV314" s="4" t="str">
        <x:f>IF('Calculations'!BM314=0,"",IFERROR(IF(OR(INDEX(INDIRECT("'WCM Calibration Final'!$H$1:$H$2000"),'Calculations'!$EM314)="MANAGING DIRECTOR",INDEX(INDIRECT("'WCM Calibration Final'!$H$1:$H$2000"),'Calculations'!$EM314)="DIRECTOR",INDEX(INDIRECT("'WCM Calibration Final'!$H$1:$H$2000"),'Calculations'!$EM314)="SENIOR VICE PRESIDENT",INDEX(INDIRECT("'WCM Calibration Final'!$H$1:$H$2000"),'Calculations'!$EM314)="VICE PRESIDENT",INDEX(INDIRECT("'WCM Calibration Final'!$H$1:$H$2000"),'Calculations'!$EM314)="ASSISTANT VICE PRESIDENT",INDEX(INDIRECT("'WCM Calibration Final'!$H$1:$H$2000"),'Calculations'!$EM314)="OFFICER"),UPPER(INDEX(INDIRECT("'WCM Calibration Final'!$H$1:$H$2000"),'Calculations'!$EM314)),"Other"),"Other"))</x:f>
      </x:c>
      <x:c r="BW314" s="4"/>
      <x:c r="BX314" s="4"/>
      <x:c r="BY314" s="4" t="n">
        <x:f>IF(AND('Calculations'!BM314=1,'Calculations'!BU314&lt;&gt;"",COUNTIF('Calculations'!$BU$12:BU314,'Calculations'!BU314)=1),MAX('Calculations'!$BY$11:BY313)+1,0)</x:f>
        <x:v>0</x:v>
      </x:c>
      <x:c r="BZ314" s="4" t="str">
        <x:f>IF('Dashboard'!$E$67="What",'Calculations'!BO314,'Calculations'!BP314)</x:f>
      </x:c>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t="str">
        <x:f>IF(303&gt;MAX('Calculations'!$HI$13:$HI$512),"",INDEX('Calculations'!$HN$13:$HN$512,MATCH(303,'Calculations'!$HI$13:$HI$512,0)))</x:f>
      </x:c>
      <x:c r="DB314" s="4" t="str">
        <x:f>IF(303&gt;MAX('Calculations'!$HH$13:$HH$512),"",INDEX('Calculations'!$HJ$13:$HJ$512,MATCH(303,'Calculations'!$HH$13:$HH$512,0)))</x:f>
      </x:c>
      <x:c r="DC314" s="4" t="str">
        <x:f>IF(ROW()-11&gt;MAX('Calculations'!$BY$13:$BY$512),"",INDEX('Calculations'!$BU$13:$BU$512,MATCH(ROW()-11,'Calculations'!$BY$13:$BY$512,0)))</x:f>
      </x:c>
      <x:c r="DD314" s="4" t="str">
        <x:f>IF(303&gt;MAX('Calculations'!$IK$13:$IK$512),"",INDEX('Calculations'!$HK$13:$HK$512,MATCH(303,'Calculations'!$IK$13:$IK$512,0)))</x:f>
      </x:c>
      <x:c r="DE314" s="4" t="str">
        <x:f>'Calculations'!DC314</x:f>
      </x:c>
      <x:c r="DF314" s="4" t="str">
        <x:f>IF('Calculations'!DE314="","",COUNTIFS('Calculations'!$BN$13:$BN$512,1,'Calculations'!$BU$13:$BU$512,'Calculations'!DE314))</x:f>
      </x:c>
      <x:c r="DG314" s="4" t="str">
        <x:f>IF('Calculations'!DE314="","",COUNTIFS('Calculations'!$BN$13:$BN$512,1,'Calculations'!$BU$13:$BU$512,'Calculations'!DE314,'Calculations'!$BT$13:$BT$512,1))</x:f>
      </x:c>
      <x:c r="DH314" s="4" t="str">
        <x:f>IF('Calculations'!DE314="","",'Calculations'!DF314-'Calculations'!DG314)</x:f>
      </x:c>
      <x:c r="DI314" s="4" t="str">
        <x:f>IF(OR('Calculations'!DE314="",'Calculations'!DF314=0),"",'Calculations'!DG314/'Calculations'!DF314)</x:f>
      </x:c>
      <x:c r="DJ314" s="4" t="str">
        <x:f>IF('Calculations'!DE314="","",COUNTIFS('Calculations'!$BN$13:$BN$512,1,'Calculations'!$BU$13:$BU$512,'Calculations'!DE314,'Calculations'!$BT$13:$BT$512,1,'Calculations'!$EE$13:$EE$512,"High"))</x:f>
      </x:c>
      <x:c r="DK314" s="4" t="str">
        <x:f>IF('Calculations'!DE314="","",COUNTIFS('Calculations'!$BN$13:$BN$512,1,'Calculations'!$BU$13:$BU$512,'Calculations'!DE314,'Calculations'!$BT$13:$BT$512,1,'Calculations'!$EE$13:$EE$512,"Strong"))</x:f>
      </x:c>
      <x:c r="DL314" s="4" t="str">
        <x:f>IF('Calculations'!DE314="","",COUNTIFS('Calculations'!$BN$13:$BN$512,1,'Calculations'!$BU$13:$BU$512,'Calculations'!DE314,'Calculations'!$BT$13:$BT$512,1,'Calculations'!$EE$13:$EE$512,"Solid"))</x:f>
      </x:c>
      <x:c r="DM314" s="4" t="str">
        <x:f>IF('Calculations'!DE314="","",COUNTIFS('Calculations'!$BN$13:$BN$512,1,'Calculations'!$BU$13:$BU$512,'Calculations'!DE314,'Calculations'!$BT$13:$BT$512,1,'Calculations'!$EE$13:$EE$512,"Low"))</x:f>
      </x:c>
      <x:c r="DN314" s="4" t="str">
        <x:f>IF('Calculations'!DE314="","",COUNTIFS('Calculations'!$BN$13:$BN$512,1,'Calculations'!$BU$13:$BU$512,'Calculations'!DE314,'Calculations'!$EP$13:$EP$512,1))</x:f>
      </x:c>
      <x:c r="DO314" s="4" t="str">
        <x:f>IF(OR('Calculations'!DE314="",'Calculations'!DG314=0),"",('Calculations'!DJ314+'Calculations'!DK314)/'Calculations'!DG314)</x:f>
      </x:c>
      <x:c r="DP314" s="4" t="n">
        <x:f>IF(AND('Calculations'!DE314&lt;&gt;"",'Calculations'!DF314&gt;0),COUNTIF('Calculations'!$DF$12:DF314,"&gt;0"),0)</x:f>
        <x:v>0</x:v>
      </x:c>
      <x:c r="DQ314" s="4" t="str">
        <x:f>IF(303&gt;MAX('Calculations'!$HH$13:$HH$512),"",INDEX('Calculations'!$HF$13:$HF$512,MATCH(303,'Calculations'!$HH$13:$HH$512,0)))</x:f>
      </x:c>
      <x:c r="DR314" s="4" t="str">
        <x:f>IF(303&gt;MAX('Calculations'!$IK$13:$IK$512),"",INDEX('Calculations'!$HE$13:$HE$512,MATCH(303,'Calculations'!$IK$13:$IK$512,0)))</x:f>
      </x:c>
      <x:c r="DS314" s="4"/>
      <x:c r="DT314" s="4"/>
      <x:c r="DU314" s="4"/>
      <x:c r="DV314" s="4"/>
      <x:c r="DW314" s="4"/>
      <x:c r="DX314" s="4"/>
      <x:c r="DY314" s="4"/>
      <x:c r="DZ314" s="4"/>
      <x:c r="EA314" s="4"/>
      <x:c r="EB314" s="4"/>
      <x:c r="EC314" s="4"/>
      <x:c r="ED314" s="4"/>
      <x:c r="EE314" s="4" t="str">
        <x:f>IF('Calculations'!BT314=0,"Not Rated",IF(OR('Calculations'!BO314&gt;=4,'Calculations'!BP314&gt;=4),"Low",IF('Calculations'!BO314+'Calculations'!BP314&lt;=3,"High",IF('Calculations'!BO314+'Calculations'!BP314&lt;=4,"Strong","Solid"))))</x:f>
        <x:v>Not Rated</x:v>
      </x:c>
      <x:c r="EF314" s="4"/>
      <x:c r="EG314" s="4"/>
      <x:c r="EH314" s="4"/>
      <x:c r="EI314" s="4"/>
      <x:c r="EJ314" s="4"/>
      <x:c r="EK314" s="4"/>
      <x:c r="EL314" s="4"/>
      <x:c r="EM314" s="4" t="str">
        <x:f>IF(302&gt;'Calculations'!$JB$2000,"",INDEX('Calculations'!$JA$12:$JA$2000,MATCH(302,'Calculations'!$JB$12:$JB$2000,0)))</x:f>
      </x:c>
      <x:c r="EN314" s="4" t="n">
        <x:f>IF(OR('Calculations'!EM314="",'Calculations'!$AG$8&gt;0,AND('Calculations'!$EF$2&lt;&gt;"All",'Calculations'!HE314='Calculations'!$EF$2),AND('Calculations'!$EF$3&lt;&gt;"All",'Calculations'!HE314='Calculations'!$EF$3)),0,IF(OR('Dashboard'!$B$7="All",'Calculations'!HN314='Dashboard'!$B$7),IF('Calculations'!$EF$2="All",1,IF('Calculations'!HL314&gt;0,0,IF(COUNTIF('Calculations'!HO314:II314,"="&amp;SUBSTITUTE(SUBSTITUTE(SUBSTITUTE('Calculations'!$EF$2,"~","~~"),"*","~*"),"?","~?"))=0,0,IF('Calculations'!$EF$3="All",1,IF(COUNTIF('Calculations'!HO314:II314,"="&amp;SUBSTITUTE(SUBSTITUTE(SUBSTITUTE('Calculations'!$EF$3,"~","~~"),"*","~*"),"?","~?"))&gt;0,1,0))))),0))</x:f>
        <x:v>0</x:v>
      </x:c>
      <x:c r="EO314" s="4" t="str">
        <x:f>IF('Calculations'!IJ314="","",IF('Calculations'!IJ314="!UNRESOLVED","Unresolved hierarchy",IFERROR(INDEX('Calculations'!$HK$13:$HK$512,MATCH('Calculations'!IJ314,'Calculations'!$HE$13:$HE$512,0)),IFERROR(INDEX('Calculations'!$HJ$13:$HJ$512,MATCH('Calculations'!IJ314,'Calculations'!$HF$13:$HF$512,0)),'Calculations'!IJ314))))</x:f>
      </x:c>
      <x:c r="EP314" s="4" t="n">
        <x:f>IF(AND('Calculations'!EM314&lt;&gt;"",'Calculations'!HF314='Calculations'!IJ314),1,0)</x:f>
        <x:v>0</x:v>
      </x:c>
      <x:c r="EQ314" s="4"/>
      <x:c r="ER314" s="4"/>
      <x:c r="ES314" s="4"/>
      <x:c r="ET314" s="4"/>
      <x:c r="EU314" s="4"/>
      <x:c r="EV314" s="4"/>
      <x:c r="EW314" s="4"/>
      <x:c r="EX314" s="4"/>
      <x:c r="EY314" s="4"/>
      <x:c r="EZ314" s="4"/>
      <x:c r="FA314" s="4"/>
      <x:c r="FB314" s="4"/>
      <x:c r="FC314" s="4"/>
      <x:c r="FD314" s="4"/>
      <x:c r="FE314" s="4"/>
      <x:c r="FF314" s="4"/>
      <x:c r="FG314" s="4"/>
      <x:c r="FH314" s="4"/>
      <x:c r="FI314" s="4"/>
      <x:c r="FJ314" s="4"/>
      <x:c r="FK314" s="4"/>
      <x:c r="FL314" s="4"/>
      <x:c r="FM314" s="4"/>
      <x:c r="FN314" s="4"/>
      <x:c r="FO314" s="4"/>
      <x:c r="HE314" t="str">
        <x:f>IF('Calculations'!EM314="","",IF(IFERROR(IF(INDEX(INDIRECT("'WCM Calibration Final'!$A$1:$A$2000"),'Calculations'!$EM314)="","",TRIM(INDEX(INDIRECT("'WCM Calibration Final'!$A$1:$A$2000"),'Calculations'!$EM314)&amp;"")),"")&lt;&gt;"","G:"&amp;IFERROR(TEXT(1*INDEX(INDIRECT("'WCM Calibration Final'!$A$1:$A$2000"),'Calculations'!$EM314),"0"),UPPER(IFERROR(IF(INDEX(INDIRECT("'WCM Calibration Final'!$A$1:$A$2000"),'Calculations'!$EM314)="","",TRIM(INDEX(INDIRECT("'WCM Calibration Final'!$A$1:$A$2000"),'Calculations'!$EM314)&amp;"")),""))),IF(IFERROR(IF(INDEX(INDIRECT("'WCM Calibration Final'!$C$1:$C$2000"),'Calculations'!$EM314)="","",TRIM(INDEX(INDIRECT("'WCM Calibration Final'!$C$1:$C$2000"),'Calculations'!$EM314)&amp;"")),"")&lt;&gt;"","S:"&amp;UPPER(IFERROR(IF(INDEX(INDIRECT("'WCM Calibration Final'!$C$1:$C$2000"),'Calculations'!$EM314)="","",TRIM(INDEX(INDIRECT("'WCM Calibration Final'!$C$1:$C$2000"),'Calculations'!$EM314)&amp;"")),"")),"R:"&amp;'Calculations'!EM314)))</x:f>
      </x:c>
      <x:c r="HF314" t="str">
        <x:f>IF('Calculations'!EM314="","",IF(IFERROR(IF(INDEX(INDIRECT("'WCM Calibration Final'!$D$1:$D$2000"),'Calculations'!$EM314)="","",TRIM(INDEX(INDIRECT("'WCM Calibration Final'!$D$1:$D$2000"),'Calculations'!$EM314)&amp;"")),"")&lt;&gt;"","G:"&amp;IFERROR(TEXT(1*INDEX(INDIRECT("'WCM Calibration Final'!$D$1:$D$2000"),'Calculations'!$EM314),"0"),UPPER(IFERROR(IF(INDEX(INDIRECT("'WCM Calibration Final'!$D$1:$D$2000"),'Calculations'!$EM314)="","",TRIM(INDEX(INDIRECT("'WCM Calibration Final'!$D$1:$D$2000"),'Calculations'!$EM314)&amp;"")),""))),IF(IFERROR(IF(INDEX(INDIRECT("'WCM Calibration Final'!$E$1:$E$2000"),'Calculations'!$EM314)="","",TRIM(INDEX(INDIRECT("'WCM Calibration Final'!$E$1:$E$2000"),'Calculations'!$EM314)&amp;"")),"")="","",IF(COUNTIF('Calculations'!$HG$13:$HG$512,"="&amp;SUBSTITUTE(SUBSTITUTE(SUBSTITUTE(IFERROR(IF(INDEX(INDIRECT("'WCM Calibration Final'!$E$1:$E$2000"),'Calculations'!$EM314)="","",TRIM(INDEX(INDIRECT("'WCM Calibration Final'!$E$1:$E$2000"),'Calculations'!$EM314)&amp;"")),""),"~","~~"),"*","~*"),"?","~?"))=1,INDEX('Calculations'!$HE$13:$HE$512,MATCH(IFERROR(IF(INDEX(INDIRECT("'WCM Calibration Final'!$E$1:$E$2000"),'Calculations'!$EM314)="","",TRIM(INDEX(INDIRECT("'WCM Calibration Final'!$E$1:$E$2000"),'Calculations'!$EM314)&amp;"")),""),'Calculations'!$HG$13:$HG$512,0)),IF(COUNTIF('Calculations'!$HG$13:$HG$512,"="&amp;SUBSTITUTE(SUBSTITUTE(SUBSTITUTE(IFERROR(IF(INDEX(INDIRECT("'WCM Calibration Final'!$E$1:$E$2000"),'Calculations'!$EM314)="","",TRIM(INDEX(INDIRECT("'WCM Calibration Final'!$E$1:$E$2000"),'Calculations'!$EM314)&amp;"")),""),"~","~~"),"*","~*"),"?","~?"))&gt;1,"!AMBIG","X:"&amp;IFERROR(IF(INDEX(INDIRECT("'WCM Calibration Final'!$E$1:$E$2000"),'Calculations'!$EM314)="","",TRIM(INDEX(INDIRECT("'WCM Calibration Final'!$E$1:$E$2000"),'Calculations'!$EM314)&amp;"")),""))))))</x:f>
      </x:c>
      <x:c r="HG314" t="str">
        <x:f>IF('Calculations'!EM314="","",IFERROR(IF(INDEX(INDIRECT("'WCM Calibration Final'!$B$1:$B$2000"),'Calculations'!$EM314)="","",TRIM(INDEX(INDIRECT("'WCM Calibration Final'!$B$1:$B$2000"),'Calculations'!$EM314)&amp;"")),""))</x:f>
      </x:c>
      <x:c r="HH314" t="n">
        <x:f>IF(AND('Calculations'!JC314&gt;0,COUNTIF('Calculations'!$HF$12:HF314,"="&amp;SUBSTITUTE(SUBSTITUTE(SUBSTITUTE('Calculations'!HF314,"~","~~"),"*","~*"),"?","~?"))=1),MAX('Calculations'!$HH$12:HH313)+1,0)</x:f>
        <x:v>0</x:v>
      </x:c>
      <x:c r="HI314" t="n">
        <x:f>IF(AND('Calculations'!HN314&lt;&gt;"",COUNTIF('Calculations'!$HN$12:HN314,"="&amp;SUBSTITUTE(SUBSTITUTE(SUBSTITUTE('Calculations'!HN314,"~","~~"),"*","~*"),"?","~?"))=1),MAX('Calculations'!$HI$12:HI313)+1,0)</x:f>
        <x:v>0</x:v>
      </x:c>
      <x:c r="HJ314" t="str">
        <x:f>IF('Calculations'!HF314="","",IF(COUNTIF('Calculations'!$HE$13:$HE$512,"="&amp;SUBSTITUTE(SUBSTITUTE(SUBSTITUTE('Calculations'!HF314,"~","~~"),"*","~*"),"?","~?"))=1,INDEX('Calculations'!$HK$13:$HK$512,MATCH('Calculations'!HF314,'Calculations'!$HE$13:$HE$512,0)),IFERROR(IF(INDEX(INDIRECT("'WCM Calibration Final'!$E$1:$E$2000"),'Calculations'!$EM314)="","",TRIM(INDEX(INDIRECT("'WCM Calibration Final'!$E$1:$E$2000"),'Calculations'!$EM314)&amp;"")),"")&amp;" ["&amp;'Calculations'!HF314&amp;"]"))</x:f>
      </x:c>
      <x:c r="HK314" t="str">
        <x:f>IF('Calculations'!EM314="","",'Calculations'!HG314&amp;" ["&amp;'Calculations'!HE314&amp;"]")</x:f>
      </x:c>
      <x:c r="HL314" t="n">
        <x:f>IF('Calculations'!EM314="",0,IF(OR('Calculations'!II314&lt;&gt;"",COUNTIF('Calculations'!$HE$13:$HE$512,"="&amp;SUBSTITUTE(SUBSTITUTE(SUBSTITUTE('Calculations'!HE314,"~","~~"),"*","~*"),"?","~?"))&gt;1),1,0))</x:f>
        <x:v>0</x:v>
      </x:c>
      <x:c r="HM314" t="str">
        <x:f>IF('Calculations'!EM314="","",IF('Calculations'!HL314=1,"!UNRESOLVED",IF('Calculations'!IH314&lt;&gt;"",'Calculations'!IH314,IF('Calculations'!IG314&lt;&gt;"",'Calculations'!IG314,IF('Calculations'!IF314&lt;&gt;"",'Calculations'!IF314,IF('Calculations'!IE314&lt;&gt;"",'Calculations'!IE314,IF('Calculations'!ID314&lt;&gt;"",'Calculations'!ID314,IF('Calculations'!IC314&lt;&gt;"",'Calculations'!IC314,IF('Calculations'!IB314&lt;&gt;"",'Calculations'!IB314,IF('Calculations'!IA314&lt;&gt;"",'Calculations'!IA314,IF('Calculations'!HZ314&lt;&gt;"",'Calculations'!HZ314,IF('Calculations'!HY314&lt;&gt;"",'Calculations'!HY314,IF('Calculations'!HX314&lt;&gt;"",'Calculations'!HX314,IF('Calculations'!HW314&lt;&gt;"",'Calculations'!HW314,IF('Calculations'!HV314&lt;&gt;"",'Calculations'!HV314,IF('Calculations'!HU314&lt;&gt;"",'Calculations'!HU314,IF('Calculations'!HT314&lt;&gt;"",'Calculations'!HT314,IF('Calculations'!HS314&lt;&gt;"",'Calculations'!HS314,IF('Calculations'!HR314&lt;&gt;"",'Calculations'!HR314,IF('Calculations'!HQ314&lt;&gt;"",'Calculations'!HQ314,IF('Calculations'!HP314&lt;&gt;"",'Calculations'!HP314,IF('Calculations'!HO314&lt;&gt;"",'Calculations'!HO314,'Calculations'!HE314))))))))))))))))))))))</x:f>
      </x:c>
      <x:c r="HN314" t="str">
        <x:f>IF('Calculations'!EM314="","",IF(IFERROR(IF(INDEX(INDIRECT("'WCM Calibration Final'!$F$1:$F$2000"),'Calculations'!$EM314)="","",TRIM(INDEX(INDIRECT("'WCM Calibration Final'!$F$1:$F$2000"),'Calculations'!$EM314)&amp;"")),"")="","(Blank)",IFERROR(IF(INDEX(INDIRECT("'WCM Calibration Final'!$F$1:$F$2000"),'Calculations'!$EM314)="","",TRIM(INDEX(INDIRECT("'WCM Calibration Final'!$F$1:$F$2000"),'Calculations'!$EM314)&amp;"")),"")))</x:f>
      </x:c>
      <x:c r="HO314" t="str">
        <x:f>'Calculations'!HF314</x:f>
      </x:c>
      <x:c r="HP314" t="str">
        <x:f>IF('Calculations'!HO314="","",IF('Calculations'!HO314="!AMBIG","!AMBIG",IF(COUNTIF('Calculations'!$HE$13:$HE$512,"="&amp;SUBSTITUTE(SUBSTITUTE(SUBSTITUTE('Calculations'!HO314,"~","~~"),"*","~*"),"?","~?"))&gt;1,"!AMBIG",IFERROR(INDEX('Calculations'!$HF$13:$HF$512,MATCH('Calculations'!HO314,'Calculations'!$HE$13:$HE$512,0)),""))))</x:f>
      </x:c>
      <x:c r="HQ314" t="str">
        <x:f>IF('Calculations'!HP314="","",IF('Calculations'!HP314="!AMBIG","!AMBIG",IF(COUNTIF('Calculations'!$HE$13:$HE$512,"="&amp;SUBSTITUTE(SUBSTITUTE(SUBSTITUTE('Calculations'!HP314,"~","~~"),"*","~*"),"?","~?"))&gt;1,"!AMBIG",IFERROR(INDEX('Calculations'!$HF$13:$HF$512,MATCH('Calculations'!HP314,'Calculations'!$HE$13:$HE$512,0)),""))))</x:f>
      </x:c>
      <x:c r="HR314" t="str">
        <x:f>IF('Calculations'!HQ314="","",IF('Calculations'!HQ314="!AMBIG","!AMBIG",IF(COUNTIF('Calculations'!$HE$13:$HE$512,"="&amp;SUBSTITUTE(SUBSTITUTE(SUBSTITUTE('Calculations'!HQ314,"~","~~"),"*","~*"),"?","~?"))&gt;1,"!AMBIG",IFERROR(INDEX('Calculations'!$HF$13:$HF$512,MATCH('Calculations'!HQ314,'Calculations'!$HE$13:$HE$512,0)),""))))</x:f>
      </x:c>
      <x:c r="HS314" t="str">
        <x:f>IF('Calculations'!HR314="","",IF('Calculations'!HR314="!AMBIG","!AMBIG",IF(COUNTIF('Calculations'!$HE$13:$HE$512,"="&amp;SUBSTITUTE(SUBSTITUTE(SUBSTITUTE('Calculations'!HR314,"~","~~"),"*","~*"),"?","~?"))&gt;1,"!AMBIG",IFERROR(INDEX('Calculations'!$HF$13:$HF$512,MATCH('Calculations'!HR314,'Calculations'!$HE$13:$HE$512,0)),""))))</x:f>
      </x:c>
      <x:c r="HT314" t="str">
        <x:f>IF('Calculations'!HS314="","",IF('Calculations'!HS314="!AMBIG","!AMBIG",IF(COUNTIF('Calculations'!$HE$13:$HE$512,"="&amp;SUBSTITUTE(SUBSTITUTE(SUBSTITUTE('Calculations'!HS314,"~","~~"),"*","~*"),"?","~?"))&gt;1,"!AMBIG",IFERROR(INDEX('Calculations'!$HF$13:$HF$512,MATCH('Calculations'!HS314,'Calculations'!$HE$13:$HE$512,0)),""))))</x:f>
      </x:c>
      <x:c r="HU314" t="str">
        <x:f>IF('Calculations'!HT314="","",IF('Calculations'!HT314="!AMBIG","!AMBIG",IF(COUNTIF('Calculations'!$HE$13:$HE$512,"="&amp;SUBSTITUTE(SUBSTITUTE(SUBSTITUTE('Calculations'!HT314,"~","~~"),"*","~*"),"?","~?"))&gt;1,"!AMBIG",IFERROR(INDEX('Calculations'!$HF$13:$HF$512,MATCH('Calculations'!HT314,'Calculations'!$HE$13:$HE$512,0)),""))))</x:f>
      </x:c>
      <x:c r="HV314" t="str">
        <x:f>IF('Calculations'!HU314="","",IF('Calculations'!HU314="!AMBIG","!AMBIG",IF(COUNTIF('Calculations'!$HE$13:$HE$512,"="&amp;SUBSTITUTE(SUBSTITUTE(SUBSTITUTE('Calculations'!HU314,"~","~~"),"*","~*"),"?","~?"))&gt;1,"!AMBIG",IFERROR(INDEX('Calculations'!$HF$13:$HF$512,MATCH('Calculations'!HU314,'Calculations'!$HE$13:$HE$512,0)),""))))</x:f>
      </x:c>
      <x:c r="HW314" t="str">
        <x:f>IF('Calculations'!HV314="","",IF('Calculations'!HV314="!AMBIG","!AMBIG",IF(COUNTIF('Calculations'!$HE$13:$HE$512,"="&amp;SUBSTITUTE(SUBSTITUTE(SUBSTITUTE('Calculations'!HV314,"~","~~"),"*","~*"),"?","~?"))&gt;1,"!AMBIG",IFERROR(INDEX('Calculations'!$HF$13:$HF$512,MATCH('Calculations'!HV314,'Calculations'!$HE$13:$HE$512,0)),""))))</x:f>
      </x:c>
      <x:c r="HX314" t="str">
        <x:f>IF('Calculations'!HW314="","",IF('Calculations'!HW314="!AMBIG","!AMBIG",IF(COUNTIF('Calculations'!$HE$13:$HE$512,"="&amp;SUBSTITUTE(SUBSTITUTE(SUBSTITUTE('Calculations'!HW314,"~","~~"),"*","~*"),"?","~?"))&gt;1,"!AMBIG",IFERROR(INDEX('Calculations'!$HF$13:$HF$512,MATCH('Calculations'!HW314,'Calculations'!$HE$13:$HE$512,0)),""))))</x:f>
      </x:c>
      <x:c r="HY314" t="str">
        <x:f>IF('Calculations'!HX314="","",IF('Calculations'!HX314="!AMBIG","!AMBIG",IF(COUNTIF('Calculations'!$HE$13:$HE$512,"="&amp;SUBSTITUTE(SUBSTITUTE(SUBSTITUTE('Calculations'!HX314,"~","~~"),"*","~*"),"?","~?"))&gt;1,"!AMBIG",IFERROR(INDEX('Calculations'!$HF$13:$HF$512,MATCH('Calculations'!HX314,'Calculations'!$HE$13:$HE$512,0)),""))))</x:f>
      </x:c>
      <x:c r="HZ314" t="str">
        <x:f>IF('Calculations'!HY314="","",IF('Calculations'!HY314="!AMBIG","!AMBIG",IF(COUNTIF('Calculations'!$HE$13:$HE$512,"="&amp;SUBSTITUTE(SUBSTITUTE(SUBSTITUTE('Calculations'!HY314,"~","~~"),"*","~*"),"?","~?"))&gt;1,"!AMBIG",IFERROR(INDEX('Calculations'!$HF$13:$HF$512,MATCH('Calculations'!HY314,'Calculations'!$HE$13:$HE$512,0)),""))))</x:f>
      </x:c>
      <x:c r="IA314" t="str">
        <x:f>IF('Calculations'!HZ314="","",IF('Calculations'!HZ314="!AMBIG","!AMBIG",IF(COUNTIF('Calculations'!$HE$13:$HE$512,"="&amp;SUBSTITUTE(SUBSTITUTE(SUBSTITUTE('Calculations'!HZ314,"~","~~"),"*","~*"),"?","~?"))&gt;1,"!AMBIG",IFERROR(INDEX('Calculations'!$HF$13:$HF$512,MATCH('Calculations'!HZ314,'Calculations'!$HE$13:$HE$512,0)),""))))</x:f>
      </x:c>
      <x:c r="IB314" t="str">
        <x:f>IF('Calculations'!IA314="","",IF('Calculations'!IA314="!AMBIG","!AMBIG",IF(COUNTIF('Calculations'!$HE$13:$HE$512,"="&amp;SUBSTITUTE(SUBSTITUTE(SUBSTITUTE('Calculations'!IA314,"~","~~"),"*","~*"),"?","~?"))&gt;1,"!AMBIG",IFERROR(INDEX('Calculations'!$HF$13:$HF$512,MATCH('Calculations'!IA314,'Calculations'!$HE$13:$HE$512,0)),""))))</x:f>
      </x:c>
      <x:c r="IC314" t="str">
        <x:f>IF('Calculations'!IB314="","",IF('Calculations'!IB314="!AMBIG","!AMBIG",IF(COUNTIF('Calculations'!$HE$13:$HE$512,"="&amp;SUBSTITUTE(SUBSTITUTE(SUBSTITUTE('Calculations'!IB314,"~","~~"),"*","~*"),"?","~?"))&gt;1,"!AMBIG",IFERROR(INDEX('Calculations'!$HF$13:$HF$512,MATCH('Calculations'!IB314,'Calculations'!$HE$13:$HE$512,0)),""))))</x:f>
      </x:c>
      <x:c r="ID314" t="str">
        <x:f>IF('Calculations'!IC314="","",IF('Calculations'!IC314="!AMBIG","!AMBIG",IF(COUNTIF('Calculations'!$HE$13:$HE$512,"="&amp;SUBSTITUTE(SUBSTITUTE(SUBSTITUTE('Calculations'!IC314,"~","~~"),"*","~*"),"?","~?"))&gt;1,"!AMBIG",IFERROR(INDEX('Calculations'!$HF$13:$HF$512,MATCH('Calculations'!IC314,'Calculations'!$HE$13:$HE$512,0)),""))))</x:f>
      </x:c>
      <x:c r="IE314" t="str">
        <x:f>IF('Calculations'!ID314="","",IF('Calculations'!ID314="!AMBIG","!AMBIG",IF(COUNTIF('Calculations'!$HE$13:$HE$512,"="&amp;SUBSTITUTE(SUBSTITUTE(SUBSTITUTE('Calculations'!ID314,"~","~~"),"*","~*"),"?","~?"))&gt;1,"!AMBIG",IFERROR(INDEX('Calculations'!$HF$13:$HF$512,MATCH('Calculations'!ID314,'Calculations'!$HE$13:$HE$512,0)),""))))</x:f>
      </x:c>
      <x:c r="IF314" t="str">
        <x:f>IF('Calculations'!IE314="","",IF('Calculations'!IE314="!AMBIG","!AMBIG",IF(COUNTIF('Calculations'!$HE$13:$HE$512,"="&amp;SUBSTITUTE(SUBSTITUTE(SUBSTITUTE('Calculations'!IE314,"~","~~"),"*","~*"),"?","~?"))&gt;1,"!AMBIG",IFERROR(INDEX('Calculations'!$HF$13:$HF$512,MATCH('Calculations'!IE314,'Calculations'!$HE$13:$HE$512,0)),""))))</x:f>
      </x:c>
      <x:c r="IG314" t="str">
        <x:f>IF('Calculations'!IF314="","",IF('Calculations'!IF314="!AMBIG","!AMBIG",IF(COUNTIF('Calculations'!$HE$13:$HE$512,"="&amp;SUBSTITUTE(SUBSTITUTE(SUBSTITUTE('Calculations'!IF314,"~","~~"),"*","~*"),"?","~?"))&gt;1,"!AMBIG",IFERROR(INDEX('Calculations'!$HF$13:$HF$512,MATCH('Calculations'!IF314,'Calculations'!$HE$13:$HE$512,0)),""))))</x:f>
      </x:c>
      <x:c r="IH314" t="str">
        <x:f>IF('Calculations'!IG314="","",IF('Calculations'!IG314="!AMBIG","!AMBIG",IF(COUNTIF('Calculations'!$HE$13:$HE$512,"="&amp;SUBSTITUTE(SUBSTITUTE(SUBSTITUTE('Calculations'!IG314,"~","~~"),"*","~*"),"?","~?"))&gt;1,"!AMBIG",IFERROR(INDEX('Calculations'!$HF$13:$HF$512,MATCH('Calculations'!IG314,'Calculations'!$HE$13:$HE$512,0)),""))))</x:f>
      </x:c>
      <x:c r="II314" t="str">
        <x:f>IF('Calculations'!IH314="","",IF('Calculations'!IH314="!AMBIG","!AMBIG",IF(COUNTIF('Calculations'!$HE$13:$HE$512,"="&amp;SUBSTITUTE(SUBSTITUTE(SUBSTITUTE('Calculations'!IH314,"~","~~"),"*","~*"),"?","~?"))&gt;1,"!AMBIG",IFERROR(INDEX('Calculations'!$HF$13:$HF$512,MATCH('Calculations'!IH314,'Calculations'!$HE$13:$HE$512,0)),""))))</x:f>
      </x:c>
      <x:c r="IJ314" t="str">
        <x:f>IF('Calculations'!EM314="","",IF('Calculations'!$EF$2="All",'Calculations'!HM314,IF('Calculations'!HL314=1,"",IFERROR(IF(MATCH('Calculations'!$EF$2,'Calculations'!HO314:II314,0)=1,'Calculations'!HE314,INDEX('Calculations'!HO314:II314,1,MATCH('Calculations'!$EF$2,'Calculations'!HO314:II314,0)-1)),""))))</x:f>
      </x:c>
      <x:c r="IK314" t="n">
        <x:f>IF(AND('Calculations'!EM314&lt;&gt;"",'Calculations'!$EF$2&lt;&gt;"All",'Calculations'!HF314='Calculations'!$EF$2,'Calculations'!HL314=0,'Calculations'!JD314&gt;0),MAX('Calculations'!$IK$12:IK313)+1,0)</x:f>
        <x:v>0</x:v>
      </x:c>
      <x:c r="JA314" t="n">
        <x:f>IF(OR(IFERROR(INDIRECT("'WCM Calibration Final'!$A$314")&lt;&gt;"",FALSE),IFERROR(INDIRECT("'WCM Calibration Final'!$B$314")&lt;&gt;"",FALSE),IFERROR(INDIRECT("'WCM Calibration Final'!$C$314")&lt;&gt;"",FALSE)),314,0)</x:f>
        <x:v>0</x:v>
      </x:c>
      <x:c r="JB314" t="n">
        <x:f>'Calculations'!JB313+IF('Calculations'!JA314&gt;0,1,0)</x:f>
        <x:v>0</x:v>
      </x:c>
      <x:c r="JC314" t="n">
        <x:f>IF(OR('Calculations'!HF314="",'Calculations'!HF314="!AMBIG"),0,IF('Dashboard'!$B$7="All",1,COUNTIFS('Calculations'!$HO$13:$HO$512,"="&amp;SUBSTITUTE(SUBSTITUTE(SUBSTITUTE('Calculations'!HF314,"~","~~"),"*","~*"),"?","~?"),'Calculations'!$HN$13:$HN$512,"="&amp;SUBSTITUTE(SUBSTITUTE(SUBSTITUTE('Dashboard'!$B$7,"~","~~"),"*","~*"),"?","~?"))+COUNTIFS('Calculations'!$HP$13:$HP$512,"="&amp;SUBSTITUTE(SUBSTITUTE(SUBSTITUTE('Calculations'!HF314,"~","~~"),"*","~*"),"?","~?"),'Calculations'!$HN$13:$HN$512,"="&amp;SUBSTITUTE(SUBSTITUTE(SUBSTITUTE('Dashboard'!$B$7,"~","~~"),"*","~*"),"?","~?"))+COUNTIFS('Calculations'!$HQ$13:$HQ$512,"="&amp;SUBSTITUTE(SUBSTITUTE(SUBSTITUTE('Calculations'!HF314,"~","~~"),"*","~*"),"?","~?"),'Calculations'!$HN$13:$HN$512,"="&amp;SUBSTITUTE(SUBSTITUTE(SUBSTITUTE('Dashboard'!$B$7,"~","~~"),"*","~*"),"?","~?"))+COUNTIFS('Calculations'!$HR$13:$HR$512,"="&amp;SUBSTITUTE(SUBSTITUTE(SUBSTITUTE('Calculations'!HF314,"~","~~"),"*","~*"),"?","~?"),'Calculations'!$HN$13:$HN$512,"="&amp;SUBSTITUTE(SUBSTITUTE(SUBSTITUTE('Dashboard'!$B$7,"~","~~"),"*","~*"),"?","~?"))+COUNTIFS('Calculations'!$HS$13:$HS$512,"="&amp;SUBSTITUTE(SUBSTITUTE(SUBSTITUTE('Calculations'!HF314,"~","~~"),"*","~*"),"?","~?"),'Calculations'!$HN$13:$HN$512,"="&amp;SUBSTITUTE(SUBSTITUTE(SUBSTITUTE('Dashboard'!$B$7,"~","~~"),"*","~*"),"?","~?"))+COUNTIFS('Calculations'!$HT$13:$HT$512,"="&amp;SUBSTITUTE(SUBSTITUTE(SUBSTITUTE('Calculations'!HF314,"~","~~"),"*","~*"),"?","~?"),'Calculations'!$HN$13:$HN$512,"="&amp;SUBSTITUTE(SUBSTITUTE(SUBSTITUTE('Dashboard'!$B$7,"~","~~"),"*","~*"),"?","~?"))+COUNTIFS('Calculations'!$HU$13:$HU$512,"="&amp;SUBSTITUTE(SUBSTITUTE(SUBSTITUTE('Calculations'!HF314,"~","~~"),"*","~*"),"?","~?"),'Calculations'!$HN$13:$HN$512,"="&amp;SUBSTITUTE(SUBSTITUTE(SUBSTITUTE('Dashboard'!$B$7,"~","~~"),"*","~*"),"?","~?"))+COUNTIFS('Calculations'!$HV$13:$HV$512,"="&amp;SUBSTITUTE(SUBSTITUTE(SUBSTITUTE('Calculations'!HF314,"~","~~"),"*","~*"),"?","~?"),'Calculations'!$HN$13:$HN$512,"="&amp;SUBSTITUTE(SUBSTITUTE(SUBSTITUTE('Dashboard'!$B$7,"~","~~"),"*","~*"),"?","~?"))+COUNTIFS('Calculations'!$HW$13:$HW$512,"="&amp;SUBSTITUTE(SUBSTITUTE(SUBSTITUTE('Calculations'!HF314,"~","~~"),"*","~*"),"?","~?"),'Calculations'!$HN$13:$HN$512,"="&amp;SUBSTITUTE(SUBSTITUTE(SUBSTITUTE('Dashboard'!$B$7,"~","~~"),"*","~*"),"?","~?"))+COUNTIFS('Calculations'!$HX$13:$HX$512,"="&amp;SUBSTITUTE(SUBSTITUTE(SUBSTITUTE('Calculations'!HF314,"~","~~"),"*","~*"),"?","~?"),'Calculations'!$HN$13:$HN$512,"="&amp;SUBSTITUTE(SUBSTITUTE(SUBSTITUTE('Dashboard'!$B$7,"~","~~"),"*","~*"),"?","~?"))+COUNTIFS('Calculations'!$HY$13:$HY$512,"="&amp;SUBSTITUTE(SUBSTITUTE(SUBSTITUTE('Calculations'!HF314,"~","~~"),"*","~*"),"?","~?"),'Calculations'!$HN$13:$HN$512,"="&amp;SUBSTITUTE(SUBSTITUTE(SUBSTITUTE('Dashboard'!$B$7,"~","~~"),"*","~*"),"?","~?"))+COUNTIFS('Calculations'!$HZ$13:$HZ$512,"="&amp;SUBSTITUTE(SUBSTITUTE(SUBSTITUTE('Calculations'!HF314,"~","~~"),"*","~*"),"?","~?"),'Calculations'!$HN$13:$HN$512,"="&amp;SUBSTITUTE(SUBSTITUTE(SUBSTITUTE('Dashboard'!$B$7,"~","~~"),"*","~*"),"?","~?"))+COUNTIFS('Calculations'!$IA$13:$IA$512,"="&amp;SUBSTITUTE(SUBSTITUTE(SUBSTITUTE('Calculations'!HF314,"~","~~"),"*","~*"),"?","~?"),'Calculations'!$HN$13:$HN$512,"="&amp;SUBSTITUTE(SUBSTITUTE(SUBSTITUTE('Dashboard'!$B$7,"~","~~"),"*","~*"),"?","~?"))+COUNTIFS('Calculations'!$IB$13:$IB$512,"="&amp;SUBSTITUTE(SUBSTITUTE(SUBSTITUTE('Calculations'!HF314,"~","~~"),"*","~*"),"?","~?"),'Calculations'!$HN$13:$HN$512,"="&amp;SUBSTITUTE(SUBSTITUTE(SUBSTITUTE('Dashboard'!$B$7,"~","~~"),"*","~*"),"?","~?"))+COUNTIFS('Calculations'!$IC$13:$IC$512,"="&amp;SUBSTITUTE(SUBSTITUTE(SUBSTITUTE('Calculations'!HF314,"~","~~"),"*","~*"),"?","~?"),'Calculations'!$HN$13:$HN$512,"="&amp;SUBSTITUTE(SUBSTITUTE(SUBSTITUTE('Dashboard'!$B$7,"~","~~"),"*","~*"),"?","~?"))+COUNTIFS('Calculations'!$ID$13:$ID$512,"="&amp;SUBSTITUTE(SUBSTITUTE(SUBSTITUTE('Calculations'!HF314,"~","~~"),"*","~*"),"?","~?"),'Calculations'!$HN$13:$HN$512,"="&amp;SUBSTITUTE(SUBSTITUTE(SUBSTITUTE('Dashboard'!$B$7,"~","~~"),"*","~*"),"?","~?"))+COUNTIFS('Calculations'!$IE$13:$IE$512,"="&amp;SUBSTITUTE(SUBSTITUTE(SUBSTITUTE('Calculations'!HF314,"~","~~"),"*","~*"),"?","~?"),'Calculations'!$HN$13:$HN$512,"="&amp;SUBSTITUTE(SUBSTITUTE(SUBSTITUTE('Dashboard'!$B$7,"~","~~"),"*","~*"),"?","~?"))+COUNTIFS('Calculations'!$IF$13:$IF$512,"="&amp;SUBSTITUTE(SUBSTITUTE(SUBSTITUTE('Calculations'!HF314,"~","~~"),"*","~*"),"?","~?"),'Calculations'!$HN$13:$HN$512,"="&amp;SUBSTITUTE(SUBSTITUTE(SUBSTITUTE('Dashboard'!$B$7,"~","~~"),"*","~*"),"?","~?"))+COUNTIFS('Calculations'!$IG$13:$IG$512,"="&amp;SUBSTITUTE(SUBSTITUTE(SUBSTITUTE('Calculations'!HF314,"~","~~"),"*","~*"),"?","~?"),'Calculations'!$HN$13:$HN$512,"="&amp;SUBSTITUTE(SUBSTITUTE(SUBSTITUTE('Dashboard'!$B$7,"~","~~"),"*","~*"),"?","~?"))+COUNTIFS('Calculations'!$IH$13:$IH$512,"="&amp;SUBSTITUTE(SUBSTITUTE(SUBSTITUTE('Calculations'!HF314,"~","~~"),"*","~*"),"?","~?"),'Calculations'!$HN$13:$HN$512,"="&amp;SUBSTITUTE(SUBSTITUTE(SUBSTITUTE('Dashboard'!$B$7,"~","~~"),"*","~*"),"?","~?"))))</x:f>
        <x:v>0</x:v>
      </x:c>
      <x:c r="JD314" t="n">
        <x:f>IF('Calculations'!EM314="",0,IF('Dashboard'!$B$7="All",1,IF('Calculations'!HN314='Dashboard'!$B$7,1,0)+IFERROR(INDEX('Calculations'!$JC$13:$JC$512,MATCH('Calculations'!HE314,'Calculations'!$HF$13:$HF$512,0)),0)))</x:f>
        <x:v>0</x:v>
      </x:c>
      <x:c r="JE314" t="n">
        <x:f>IF(AND('Calculations'!EM314&lt;&gt;"",'Calculations'!$JJ$2&lt;&gt;"All",'Calculations'!$JJ$2&lt;&gt;"",'Calculations'!HF314='Calculations'!$JJ$2,'Calculations'!HL314=0,'Calculations'!JD314&gt;0),MAX('Calculations'!$JE$12:JE313)+1,0)</x:f>
        <x:v>0</x:v>
      </x:c>
      <x:c r="JF314" t="str">
        <x:f>IF('Calculations'!EM314="","",IFERROR(IF(INDEX(INDIRECT("'WCM Calibration Final'!$G$1:$G$2000"),'Calculations'!$EM314)="","",TRIM(INDEX(INDIRECT("'WCM Calibration Final'!$G$1:$G$2000"),'Calculations'!$EM314)&amp;"")),""))</x:f>
      </x:c>
      <x:c r="JQ314" t="n">
        <x:f>IF(OR('Calculations'!BM314=0,NOT('Calculations'!$AG$2),'Calculations'!$AG$8&gt;0),0,IF(OR('Dashboard'!$B$7="All",'Calculations'!HN314='Dashboard'!$B$7),IF('Calculations'!$JJ$2="All",1,IF(AND('Calculations'!HF314='Calculations'!$JJ$2,'Calculations'!HL314=0),1,0)),0))</x:f>
        <x:v>0</x:v>
      </x:c>
    </x:row>
    <x:row r="315">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t="n">
        <x:f>IF('Calculations'!$EM315="",0,IF(OR(IFERROR(INDEX(INDIRECT("'WCM Calibration Final'!$A$1:$A$2000"),'Calculations'!$EM315)&lt;&gt;"",FALSE),IFERROR(INDEX(INDIRECT("'WCM Calibration Final'!$B$1:$B$2000"),'Calculations'!$EM315)&lt;&gt;"",FALSE),IFERROR(INDEX(INDIRECT("'WCM Calibration Final'!$C$1:$C$2000"),'Calculations'!$EM315)&lt;&gt;"",FALSE)),1,0))</x:f>
        <x:v>0</x:v>
      </x:c>
      <x:c r="BN315" s="4" t="n">
        <x:f>IF(AND('Calculations'!BM315=1,'Calculations'!$AG$2,'Calculations'!$EN315=1),1,0)</x:f>
        <x:v>0</x:v>
      </x:c>
      <x:c r="BO315" s="4" t="str">
        <x:f>IF('Calculations'!BM315=0,"",IFERROR(IF(AND(VALUE(INDEX(INDIRECT("'WCM Calibration Final'!$K$1:$K$2000"),'Calculations'!$EM315))&gt;=1,VALUE(INDEX(INDIRECT("'WCM Calibration Final'!$K$1:$K$2000"),'Calculations'!$EM315))&lt;=4,MOD(VALUE(INDEX(INDIRECT("'WCM Calibration Final'!$K$1:$K$2000"),'Calculations'!$EM315)),1)=0),VALUE(INDEX(INDIRECT("'WCM Calibration Final'!$K$1:$K$2000"),'Calculations'!$EM315)),""),""))</x:f>
      </x:c>
      <x:c r="BP315" s="4" t="str">
        <x:f>IF('Calculations'!BM315=0,"",IFERROR(IF(AND(VALUE(INDEX(INDIRECT("'WCM Calibration Final'!$L$1:$L$2000"),'Calculations'!$EM315))&gt;=1,VALUE(INDEX(INDIRECT("'WCM Calibration Final'!$L$1:$L$2000"),'Calculations'!$EM315))&lt;=4,MOD(VALUE(INDEX(INDIRECT("'WCM Calibration Final'!$L$1:$L$2000"),'Calculations'!$EM315)),1)=0),VALUE(INDEX(INDIRECT("'WCM Calibration Final'!$L$1:$L$2000"),'Calculations'!$EM315)),""),""))</x:f>
      </x:c>
      <x:c r="BQ315" s="4"/>
      <x:c r="BR315" s="4"/>
      <x:c r="BS315" s="4"/>
      <x:c r="BT315" s="4" t="n">
        <x:f>IF(AND('Calculations'!BM315=1,ISNUMBER('Calculations'!BO315),ISNUMBER('Calculations'!BP315)),1,0)</x:f>
        <x:v>0</x:v>
      </x:c>
      <x:c r="BU315" s="4" t="str">
        <x:f>IF('Calculations'!BM315=0,"",'Calculations'!$EO315)</x:f>
      </x:c>
      <x:c r="BV315" s="4" t="str">
        <x:f>IF('Calculations'!BM315=0,"",IFERROR(IF(OR(INDEX(INDIRECT("'WCM Calibration Final'!$H$1:$H$2000"),'Calculations'!$EM315)="MANAGING DIRECTOR",INDEX(INDIRECT("'WCM Calibration Final'!$H$1:$H$2000"),'Calculations'!$EM315)="DIRECTOR",INDEX(INDIRECT("'WCM Calibration Final'!$H$1:$H$2000"),'Calculations'!$EM315)="SENIOR VICE PRESIDENT",INDEX(INDIRECT("'WCM Calibration Final'!$H$1:$H$2000"),'Calculations'!$EM315)="VICE PRESIDENT",INDEX(INDIRECT("'WCM Calibration Final'!$H$1:$H$2000"),'Calculations'!$EM315)="ASSISTANT VICE PRESIDENT",INDEX(INDIRECT("'WCM Calibration Final'!$H$1:$H$2000"),'Calculations'!$EM315)="OFFICER"),UPPER(INDEX(INDIRECT("'WCM Calibration Final'!$H$1:$H$2000"),'Calculations'!$EM315)),"Other"),"Other"))</x:f>
      </x:c>
      <x:c r="BW315" s="4"/>
      <x:c r="BX315" s="4"/>
      <x:c r="BY315" s="4" t="n">
        <x:f>IF(AND('Calculations'!BM315=1,'Calculations'!BU315&lt;&gt;"",COUNTIF('Calculations'!$BU$12:BU315,'Calculations'!BU315)=1),MAX('Calculations'!$BY$11:BY314)+1,0)</x:f>
        <x:v>0</x:v>
      </x:c>
      <x:c r="BZ315" s="4" t="str">
        <x:f>IF('Dashboard'!$E$67="What",'Calculations'!BO315,'Calculations'!BP315)</x:f>
      </x:c>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t="str">
        <x:f>IF(304&gt;MAX('Calculations'!$HI$13:$HI$512),"",INDEX('Calculations'!$HN$13:$HN$512,MATCH(304,'Calculations'!$HI$13:$HI$512,0)))</x:f>
      </x:c>
      <x:c r="DB315" s="4" t="str">
        <x:f>IF(304&gt;MAX('Calculations'!$HH$13:$HH$512),"",INDEX('Calculations'!$HJ$13:$HJ$512,MATCH(304,'Calculations'!$HH$13:$HH$512,0)))</x:f>
      </x:c>
      <x:c r="DC315" s="4" t="str">
        <x:f>IF(ROW()-11&gt;MAX('Calculations'!$BY$13:$BY$512),"",INDEX('Calculations'!$BU$13:$BU$512,MATCH(ROW()-11,'Calculations'!$BY$13:$BY$512,0)))</x:f>
      </x:c>
      <x:c r="DD315" s="4" t="str">
        <x:f>IF(304&gt;MAX('Calculations'!$IK$13:$IK$512),"",INDEX('Calculations'!$HK$13:$HK$512,MATCH(304,'Calculations'!$IK$13:$IK$512,0)))</x:f>
      </x:c>
      <x:c r="DE315" s="4" t="str">
        <x:f>'Calculations'!DC315</x:f>
      </x:c>
      <x:c r="DF315" s="4" t="str">
        <x:f>IF('Calculations'!DE315="","",COUNTIFS('Calculations'!$BN$13:$BN$512,1,'Calculations'!$BU$13:$BU$512,'Calculations'!DE315))</x:f>
      </x:c>
      <x:c r="DG315" s="4" t="str">
        <x:f>IF('Calculations'!DE315="","",COUNTIFS('Calculations'!$BN$13:$BN$512,1,'Calculations'!$BU$13:$BU$512,'Calculations'!DE315,'Calculations'!$BT$13:$BT$512,1))</x:f>
      </x:c>
      <x:c r="DH315" s="4" t="str">
        <x:f>IF('Calculations'!DE315="","",'Calculations'!DF315-'Calculations'!DG315)</x:f>
      </x:c>
      <x:c r="DI315" s="4" t="str">
        <x:f>IF(OR('Calculations'!DE315="",'Calculations'!DF315=0),"",'Calculations'!DG315/'Calculations'!DF315)</x:f>
      </x:c>
      <x:c r="DJ315" s="4" t="str">
        <x:f>IF('Calculations'!DE315="","",COUNTIFS('Calculations'!$BN$13:$BN$512,1,'Calculations'!$BU$13:$BU$512,'Calculations'!DE315,'Calculations'!$BT$13:$BT$512,1,'Calculations'!$EE$13:$EE$512,"High"))</x:f>
      </x:c>
      <x:c r="DK315" s="4" t="str">
        <x:f>IF('Calculations'!DE315="","",COUNTIFS('Calculations'!$BN$13:$BN$512,1,'Calculations'!$BU$13:$BU$512,'Calculations'!DE315,'Calculations'!$BT$13:$BT$512,1,'Calculations'!$EE$13:$EE$512,"Strong"))</x:f>
      </x:c>
      <x:c r="DL315" s="4" t="str">
        <x:f>IF('Calculations'!DE315="","",COUNTIFS('Calculations'!$BN$13:$BN$512,1,'Calculations'!$BU$13:$BU$512,'Calculations'!DE315,'Calculations'!$BT$13:$BT$512,1,'Calculations'!$EE$13:$EE$512,"Solid"))</x:f>
      </x:c>
      <x:c r="DM315" s="4" t="str">
        <x:f>IF('Calculations'!DE315="","",COUNTIFS('Calculations'!$BN$13:$BN$512,1,'Calculations'!$BU$13:$BU$512,'Calculations'!DE315,'Calculations'!$BT$13:$BT$512,1,'Calculations'!$EE$13:$EE$512,"Low"))</x:f>
      </x:c>
      <x:c r="DN315" s="4" t="str">
        <x:f>IF('Calculations'!DE315="","",COUNTIFS('Calculations'!$BN$13:$BN$512,1,'Calculations'!$BU$13:$BU$512,'Calculations'!DE315,'Calculations'!$EP$13:$EP$512,1))</x:f>
      </x:c>
      <x:c r="DO315" s="4" t="str">
        <x:f>IF(OR('Calculations'!DE315="",'Calculations'!DG315=0),"",('Calculations'!DJ315+'Calculations'!DK315)/'Calculations'!DG315)</x:f>
      </x:c>
      <x:c r="DP315" s="4" t="n">
        <x:f>IF(AND('Calculations'!DE315&lt;&gt;"",'Calculations'!DF315&gt;0),COUNTIF('Calculations'!$DF$12:DF315,"&gt;0"),0)</x:f>
        <x:v>0</x:v>
      </x:c>
      <x:c r="DQ315" s="4" t="str">
        <x:f>IF(304&gt;MAX('Calculations'!$HH$13:$HH$512),"",INDEX('Calculations'!$HF$13:$HF$512,MATCH(304,'Calculations'!$HH$13:$HH$512,0)))</x:f>
      </x:c>
      <x:c r="DR315" s="4" t="str">
        <x:f>IF(304&gt;MAX('Calculations'!$IK$13:$IK$512),"",INDEX('Calculations'!$HE$13:$HE$512,MATCH(304,'Calculations'!$IK$13:$IK$512,0)))</x:f>
      </x:c>
      <x:c r="DS315" s="4"/>
      <x:c r="DT315" s="4"/>
      <x:c r="DU315" s="4"/>
      <x:c r="DV315" s="4"/>
      <x:c r="DW315" s="4"/>
      <x:c r="DX315" s="4"/>
      <x:c r="DY315" s="4"/>
      <x:c r="DZ315" s="4"/>
      <x:c r="EA315" s="4"/>
      <x:c r="EB315" s="4"/>
      <x:c r="EC315" s="4"/>
      <x:c r="ED315" s="4"/>
      <x:c r="EE315" s="4" t="str">
        <x:f>IF('Calculations'!BT315=0,"Not Rated",IF(OR('Calculations'!BO315&gt;=4,'Calculations'!BP315&gt;=4),"Low",IF('Calculations'!BO315+'Calculations'!BP315&lt;=3,"High",IF('Calculations'!BO315+'Calculations'!BP315&lt;=4,"Strong","Solid"))))</x:f>
        <x:v>Not Rated</x:v>
      </x:c>
      <x:c r="EF315" s="4"/>
      <x:c r="EG315" s="4"/>
      <x:c r="EH315" s="4"/>
      <x:c r="EI315" s="4"/>
      <x:c r="EJ315" s="4"/>
      <x:c r="EK315" s="4"/>
      <x:c r="EL315" s="4"/>
      <x:c r="EM315" s="4" t="str">
        <x:f>IF(303&gt;'Calculations'!$JB$2000,"",INDEX('Calculations'!$JA$12:$JA$2000,MATCH(303,'Calculations'!$JB$12:$JB$2000,0)))</x:f>
      </x:c>
      <x:c r="EN315" s="4" t="n">
        <x:f>IF(OR('Calculations'!EM315="",'Calculations'!$AG$8&gt;0,AND('Calculations'!$EF$2&lt;&gt;"All",'Calculations'!HE315='Calculations'!$EF$2),AND('Calculations'!$EF$3&lt;&gt;"All",'Calculations'!HE315='Calculations'!$EF$3)),0,IF(OR('Dashboard'!$B$7="All",'Calculations'!HN315='Dashboard'!$B$7),IF('Calculations'!$EF$2="All",1,IF('Calculations'!HL315&gt;0,0,IF(COUNTIF('Calculations'!HO315:II315,"="&amp;SUBSTITUTE(SUBSTITUTE(SUBSTITUTE('Calculations'!$EF$2,"~","~~"),"*","~*"),"?","~?"))=0,0,IF('Calculations'!$EF$3="All",1,IF(COUNTIF('Calculations'!HO315:II315,"="&amp;SUBSTITUTE(SUBSTITUTE(SUBSTITUTE('Calculations'!$EF$3,"~","~~"),"*","~*"),"?","~?"))&gt;0,1,0))))),0))</x:f>
        <x:v>0</x:v>
      </x:c>
      <x:c r="EO315" s="4" t="str">
        <x:f>IF('Calculations'!IJ315="","",IF('Calculations'!IJ315="!UNRESOLVED","Unresolved hierarchy",IFERROR(INDEX('Calculations'!$HK$13:$HK$512,MATCH('Calculations'!IJ315,'Calculations'!$HE$13:$HE$512,0)),IFERROR(INDEX('Calculations'!$HJ$13:$HJ$512,MATCH('Calculations'!IJ315,'Calculations'!$HF$13:$HF$512,0)),'Calculations'!IJ315))))</x:f>
      </x:c>
      <x:c r="EP315" s="4" t="n">
        <x:f>IF(AND('Calculations'!EM315&lt;&gt;"",'Calculations'!HF315='Calculations'!IJ315),1,0)</x:f>
        <x:v>0</x:v>
      </x:c>
      <x:c r="EQ315" s="4"/>
      <x:c r="ER315" s="4"/>
      <x:c r="ES315" s="4"/>
      <x:c r="ET315" s="4"/>
      <x:c r="EU315" s="4"/>
      <x:c r="EV315" s="4"/>
      <x:c r="EW315" s="4"/>
      <x:c r="EX315" s="4"/>
      <x:c r="EY315" s="4"/>
      <x:c r="EZ315" s="4"/>
      <x:c r="FA315" s="4"/>
      <x:c r="FB315" s="4"/>
      <x:c r="FC315" s="4"/>
      <x:c r="FD315" s="4"/>
      <x:c r="FE315" s="4"/>
      <x:c r="FF315" s="4"/>
      <x:c r="FG315" s="4"/>
      <x:c r="FH315" s="4"/>
      <x:c r="FI315" s="4"/>
      <x:c r="FJ315" s="4"/>
      <x:c r="FK315" s="4"/>
      <x:c r="FL315" s="4"/>
      <x:c r="FM315" s="4"/>
      <x:c r="FN315" s="4"/>
      <x:c r="FO315" s="4"/>
      <x:c r="HE315" t="str">
        <x:f>IF('Calculations'!EM315="","",IF(IFERROR(IF(INDEX(INDIRECT("'WCM Calibration Final'!$A$1:$A$2000"),'Calculations'!$EM315)="","",TRIM(INDEX(INDIRECT("'WCM Calibration Final'!$A$1:$A$2000"),'Calculations'!$EM315)&amp;"")),"")&lt;&gt;"","G:"&amp;IFERROR(TEXT(1*INDEX(INDIRECT("'WCM Calibration Final'!$A$1:$A$2000"),'Calculations'!$EM315),"0"),UPPER(IFERROR(IF(INDEX(INDIRECT("'WCM Calibration Final'!$A$1:$A$2000"),'Calculations'!$EM315)="","",TRIM(INDEX(INDIRECT("'WCM Calibration Final'!$A$1:$A$2000"),'Calculations'!$EM315)&amp;"")),""))),IF(IFERROR(IF(INDEX(INDIRECT("'WCM Calibration Final'!$C$1:$C$2000"),'Calculations'!$EM315)="","",TRIM(INDEX(INDIRECT("'WCM Calibration Final'!$C$1:$C$2000"),'Calculations'!$EM315)&amp;"")),"")&lt;&gt;"","S:"&amp;UPPER(IFERROR(IF(INDEX(INDIRECT("'WCM Calibration Final'!$C$1:$C$2000"),'Calculations'!$EM315)="","",TRIM(INDEX(INDIRECT("'WCM Calibration Final'!$C$1:$C$2000"),'Calculations'!$EM315)&amp;"")),"")),"R:"&amp;'Calculations'!EM315)))</x:f>
      </x:c>
      <x:c r="HF315" t="str">
        <x:f>IF('Calculations'!EM315="","",IF(IFERROR(IF(INDEX(INDIRECT("'WCM Calibration Final'!$D$1:$D$2000"),'Calculations'!$EM315)="","",TRIM(INDEX(INDIRECT("'WCM Calibration Final'!$D$1:$D$2000"),'Calculations'!$EM315)&amp;"")),"")&lt;&gt;"","G:"&amp;IFERROR(TEXT(1*INDEX(INDIRECT("'WCM Calibration Final'!$D$1:$D$2000"),'Calculations'!$EM315),"0"),UPPER(IFERROR(IF(INDEX(INDIRECT("'WCM Calibration Final'!$D$1:$D$2000"),'Calculations'!$EM315)="","",TRIM(INDEX(INDIRECT("'WCM Calibration Final'!$D$1:$D$2000"),'Calculations'!$EM315)&amp;"")),""))),IF(IFERROR(IF(INDEX(INDIRECT("'WCM Calibration Final'!$E$1:$E$2000"),'Calculations'!$EM315)="","",TRIM(INDEX(INDIRECT("'WCM Calibration Final'!$E$1:$E$2000"),'Calculations'!$EM315)&amp;"")),"")="","",IF(COUNTIF('Calculations'!$HG$13:$HG$512,"="&amp;SUBSTITUTE(SUBSTITUTE(SUBSTITUTE(IFERROR(IF(INDEX(INDIRECT("'WCM Calibration Final'!$E$1:$E$2000"),'Calculations'!$EM315)="","",TRIM(INDEX(INDIRECT("'WCM Calibration Final'!$E$1:$E$2000"),'Calculations'!$EM315)&amp;"")),""),"~","~~"),"*","~*"),"?","~?"))=1,INDEX('Calculations'!$HE$13:$HE$512,MATCH(IFERROR(IF(INDEX(INDIRECT("'WCM Calibration Final'!$E$1:$E$2000"),'Calculations'!$EM315)="","",TRIM(INDEX(INDIRECT("'WCM Calibration Final'!$E$1:$E$2000"),'Calculations'!$EM315)&amp;"")),""),'Calculations'!$HG$13:$HG$512,0)),IF(COUNTIF('Calculations'!$HG$13:$HG$512,"="&amp;SUBSTITUTE(SUBSTITUTE(SUBSTITUTE(IFERROR(IF(INDEX(INDIRECT("'WCM Calibration Final'!$E$1:$E$2000"),'Calculations'!$EM315)="","",TRIM(INDEX(INDIRECT("'WCM Calibration Final'!$E$1:$E$2000"),'Calculations'!$EM315)&amp;"")),""),"~","~~"),"*","~*"),"?","~?"))&gt;1,"!AMBIG","X:"&amp;IFERROR(IF(INDEX(INDIRECT("'WCM Calibration Final'!$E$1:$E$2000"),'Calculations'!$EM315)="","",TRIM(INDEX(INDIRECT("'WCM Calibration Final'!$E$1:$E$2000"),'Calculations'!$EM315)&amp;"")),""))))))</x:f>
      </x:c>
      <x:c r="HG315" t="str">
        <x:f>IF('Calculations'!EM315="","",IFERROR(IF(INDEX(INDIRECT("'WCM Calibration Final'!$B$1:$B$2000"),'Calculations'!$EM315)="","",TRIM(INDEX(INDIRECT("'WCM Calibration Final'!$B$1:$B$2000"),'Calculations'!$EM315)&amp;"")),""))</x:f>
      </x:c>
      <x:c r="HH315" t="n">
        <x:f>IF(AND('Calculations'!JC315&gt;0,COUNTIF('Calculations'!$HF$12:HF315,"="&amp;SUBSTITUTE(SUBSTITUTE(SUBSTITUTE('Calculations'!HF315,"~","~~"),"*","~*"),"?","~?"))=1),MAX('Calculations'!$HH$12:HH314)+1,0)</x:f>
        <x:v>0</x:v>
      </x:c>
      <x:c r="HI315" t="n">
        <x:f>IF(AND('Calculations'!HN315&lt;&gt;"",COUNTIF('Calculations'!$HN$12:HN315,"="&amp;SUBSTITUTE(SUBSTITUTE(SUBSTITUTE('Calculations'!HN315,"~","~~"),"*","~*"),"?","~?"))=1),MAX('Calculations'!$HI$12:HI314)+1,0)</x:f>
        <x:v>0</x:v>
      </x:c>
      <x:c r="HJ315" t="str">
        <x:f>IF('Calculations'!HF315="","",IF(COUNTIF('Calculations'!$HE$13:$HE$512,"="&amp;SUBSTITUTE(SUBSTITUTE(SUBSTITUTE('Calculations'!HF315,"~","~~"),"*","~*"),"?","~?"))=1,INDEX('Calculations'!$HK$13:$HK$512,MATCH('Calculations'!HF315,'Calculations'!$HE$13:$HE$512,0)),IFERROR(IF(INDEX(INDIRECT("'WCM Calibration Final'!$E$1:$E$2000"),'Calculations'!$EM315)="","",TRIM(INDEX(INDIRECT("'WCM Calibration Final'!$E$1:$E$2000"),'Calculations'!$EM315)&amp;"")),"")&amp;" ["&amp;'Calculations'!HF315&amp;"]"))</x:f>
      </x:c>
      <x:c r="HK315" t="str">
        <x:f>IF('Calculations'!EM315="","",'Calculations'!HG315&amp;" ["&amp;'Calculations'!HE315&amp;"]")</x:f>
      </x:c>
      <x:c r="HL315" t="n">
        <x:f>IF('Calculations'!EM315="",0,IF(OR('Calculations'!II315&lt;&gt;"",COUNTIF('Calculations'!$HE$13:$HE$512,"="&amp;SUBSTITUTE(SUBSTITUTE(SUBSTITUTE('Calculations'!HE315,"~","~~"),"*","~*"),"?","~?"))&gt;1),1,0))</x:f>
        <x:v>0</x:v>
      </x:c>
      <x:c r="HM315" t="str">
        <x:f>IF('Calculations'!EM315="","",IF('Calculations'!HL315=1,"!UNRESOLVED",IF('Calculations'!IH315&lt;&gt;"",'Calculations'!IH315,IF('Calculations'!IG315&lt;&gt;"",'Calculations'!IG315,IF('Calculations'!IF315&lt;&gt;"",'Calculations'!IF315,IF('Calculations'!IE315&lt;&gt;"",'Calculations'!IE315,IF('Calculations'!ID315&lt;&gt;"",'Calculations'!ID315,IF('Calculations'!IC315&lt;&gt;"",'Calculations'!IC315,IF('Calculations'!IB315&lt;&gt;"",'Calculations'!IB315,IF('Calculations'!IA315&lt;&gt;"",'Calculations'!IA315,IF('Calculations'!HZ315&lt;&gt;"",'Calculations'!HZ315,IF('Calculations'!HY315&lt;&gt;"",'Calculations'!HY315,IF('Calculations'!HX315&lt;&gt;"",'Calculations'!HX315,IF('Calculations'!HW315&lt;&gt;"",'Calculations'!HW315,IF('Calculations'!HV315&lt;&gt;"",'Calculations'!HV315,IF('Calculations'!HU315&lt;&gt;"",'Calculations'!HU315,IF('Calculations'!HT315&lt;&gt;"",'Calculations'!HT315,IF('Calculations'!HS315&lt;&gt;"",'Calculations'!HS315,IF('Calculations'!HR315&lt;&gt;"",'Calculations'!HR315,IF('Calculations'!HQ315&lt;&gt;"",'Calculations'!HQ315,IF('Calculations'!HP315&lt;&gt;"",'Calculations'!HP315,IF('Calculations'!HO315&lt;&gt;"",'Calculations'!HO315,'Calculations'!HE315))))))))))))))))))))))</x:f>
      </x:c>
      <x:c r="HN315" t="str">
        <x:f>IF('Calculations'!EM315="","",IF(IFERROR(IF(INDEX(INDIRECT("'WCM Calibration Final'!$F$1:$F$2000"),'Calculations'!$EM315)="","",TRIM(INDEX(INDIRECT("'WCM Calibration Final'!$F$1:$F$2000"),'Calculations'!$EM315)&amp;"")),"")="","(Blank)",IFERROR(IF(INDEX(INDIRECT("'WCM Calibration Final'!$F$1:$F$2000"),'Calculations'!$EM315)="","",TRIM(INDEX(INDIRECT("'WCM Calibration Final'!$F$1:$F$2000"),'Calculations'!$EM315)&amp;"")),"")))</x:f>
      </x:c>
      <x:c r="HO315" t="str">
        <x:f>'Calculations'!HF315</x:f>
      </x:c>
      <x:c r="HP315" t="str">
        <x:f>IF('Calculations'!HO315="","",IF('Calculations'!HO315="!AMBIG","!AMBIG",IF(COUNTIF('Calculations'!$HE$13:$HE$512,"="&amp;SUBSTITUTE(SUBSTITUTE(SUBSTITUTE('Calculations'!HO315,"~","~~"),"*","~*"),"?","~?"))&gt;1,"!AMBIG",IFERROR(INDEX('Calculations'!$HF$13:$HF$512,MATCH('Calculations'!HO315,'Calculations'!$HE$13:$HE$512,0)),""))))</x:f>
      </x:c>
      <x:c r="HQ315" t="str">
        <x:f>IF('Calculations'!HP315="","",IF('Calculations'!HP315="!AMBIG","!AMBIG",IF(COUNTIF('Calculations'!$HE$13:$HE$512,"="&amp;SUBSTITUTE(SUBSTITUTE(SUBSTITUTE('Calculations'!HP315,"~","~~"),"*","~*"),"?","~?"))&gt;1,"!AMBIG",IFERROR(INDEX('Calculations'!$HF$13:$HF$512,MATCH('Calculations'!HP315,'Calculations'!$HE$13:$HE$512,0)),""))))</x:f>
      </x:c>
      <x:c r="HR315" t="str">
        <x:f>IF('Calculations'!HQ315="","",IF('Calculations'!HQ315="!AMBIG","!AMBIG",IF(COUNTIF('Calculations'!$HE$13:$HE$512,"="&amp;SUBSTITUTE(SUBSTITUTE(SUBSTITUTE('Calculations'!HQ315,"~","~~"),"*","~*"),"?","~?"))&gt;1,"!AMBIG",IFERROR(INDEX('Calculations'!$HF$13:$HF$512,MATCH('Calculations'!HQ315,'Calculations'!$HE$13:$HE$512,0)),""))))</x:f>
      </x:c>
      <x:c r="HS315" t="str">
        <x:f>IF('Calculations'!HR315="","",IF('Calculations'!HR315="!AMBIG","!AMBIG",IF(COUNTIF('Calculations'!$HE$13:$HE$512,"="&amp;SUBSTITUTE(SUBSTITUTE(SUBSTITUTE('Calculations'!HR315,"~","~~"),"*","~*"),"?","~?"))&gt;1,"!AMBIG",IFERROR(INDEX('Calculations'!$HF$13:$HF$512,MATCH('Calculations'!HR315,'Calculations'!$HE$13:$HE$512,0)),""))))</x:f>
      </x:c>
      <x:c r="HT315" t="str">
        <x:f>IF('Calculations'!HS315="","",IF('Calculations'!HS315="!AMBIG","!AMBIG",IF(COUNTIF('Calculations'!$HE$13:$HE$512,"="&amp;SUBSTITUTE(SUBSTITUTE(SUBSTITUTE('Calculations'!HS315,"~","~~"),"*","~*"),"?","~?"))&gt;1,"!AMBIG",IFERROR(INDEX('Calculations'!$HF$13:$HF$512,MATCH('Calculations'!HS315,'Calculations'!$HE$13:$HE$512,0)),""))))</x:f>
      </x:c>
      <x:c r="HU315" t="str">
        <x:f>IF('Calculations'!HT315="","",IF('Calculations'!HT315="!AMBIG","!AMBIG",IF(COUNTIF('Calculations'!$HE$13:$HE$512,"="&amp;SUBSTITUTE(SUBSTITUTE(SUBSTITUTE('Calculations'!HT315,"~","~~"),"*","~*"),"?","~?"))&gt;1,"!AMBIG",IFERROR(INDEX('Calculations'!$HF$13:$HF$512,MATCH('Calculations'!HT315,'Calculations'!$HE$13:$HE$512,0)),""))))</x:f>
      </x:c>
      <x:c r="HV315" t="str">
        <x:f>IF('Calculations'!HU315="","",IF('Calculations'!HU315="!AMBIG","!AMBIG",IF(COUNTIF('Calculations'!$HE$13:$HE$512,"="&amp;SUBSTITUTE(SUBSTITUTE(SUBSTITUTE('Calculations'!HU315,"~","~~"),"*","~*"),"?","~?"))&gt;1,"!AMBIG",IFERROR(INDEX('Calculations'!$HF$13:$HF$512,MATCH('Calculations'!HU315,'Calculations'!$HE$13:$HE$512,0)),""))))</x:f>
      </x:c>
      <x:c r="HW315" t="str">
        <x:f>IF('Calculations'!HV315="","",IF('Calculations'!HV315="!AMBIG","!AMBIG",IF(COUNTIF('Calculations'!$HE$13:$HE$512,"="&amp;SUBSTITUTE(SUBSTITUTE(SUBSTITUTE('Calculations'!HV315,"~","~~"),"*","~*"),"?","~?"))&gt;1,"!AMBIG",IFERROR(INDEX('Calculations'!$HF$13:$HF$512,MATCH('Calculations'!HV315,'Calculations'!$HE$13:$HE$512,0)),""))))</x:f>
      </x:c>
      <x:c r="HX315" t="str">
        <x:f>IF('Calculations'!HW315="","",IF('Calculations'!HW315="!AMBIG","!AMBIG",IF(COUNTIF('Calculations'!$HE$13:$HE$512,"="&amp;SUBSTITUTE(SUBSTITUTE(SUBSTITUTE('Calculations'!HW315,"~","~~"),"*","~*"),"?","~?"))&gt;1,"!AMBIG",IFERROR(INDEX('Calculations'!$HF$13:$HF$512,MATCH('Calculations'!HW315,'Calculations'!$HE$13:$HE$512,0)),""))))</x:f>
      </x:c>
      <x:c r="HY315" t="str">
        <x:f>IF('Calculations'!HX315="","",IF('Calculations'!HX315="!AMBIG","!AMBIG",IF(COUNTIF('Calculations'!$HE$13:$HE$512,"="&amp;SUBSTITUTE(SUBSTITUTE(SUBSTITUTE('Calculations'!HX315,"~","~~"),"*","~*"),"?","~?"))&gt;1,"!AMBIG",IFERROR(INDEX('Calculations'!$HF$13:$HF$512,MATCH('Calculations'!HX315,'Calculations'!$HE$13:$HE$512,0)),""))))</x:f>
      </x:c>
      <x:c r="HZ315" t="str">
        <x:f>IF('Calculations'!HY315="","",IF('Calculations'!HY315="!AMBIG","!AMBIG",IF(COUNTIF('Calculations'!$HE$13:$HE$512,"="&amp;SUBSTITUTE(SUBSTITUTE(SUBSTITUTE('Calculations'!HY315,"~","~~"),"*","~*"),"?","~?"))&gt;1,"!AMBIG",IFERROR(INDEX('Calculations'!$HF$13:$HF$512,MATCH('Calculations'!HY315,'Calculations'!$HE$13:$HE$512,0)),""))))</x:f>
      </x:c>
      <x:c r="IA315" t="str">
        <x:f>IF('Calculations'!HZ315="","",IF('Calculations'!HZ315="!AMBIG","!AMBIG",IF(COUNTIF('Calculations'!$HE$13:$HE$512,"="&amp;SUBSTITUTE(SUBSTITUTE(SUBSTITUTE('Calculations'!HZ315,"~","~~"),"*","~*"),"?","~?"))&gt;1,"!AMBIG",IFERROR(INDEX('Calculations'!$HF$13:$HF$512,MATCH('Calculations'!HZ315,'Calculations'!$HE$13:$HE$512,0)),""))))</x:f>
      </x:c>
      <x:c r="IB315" t="str">
        <x:f>IF('Calculations'!IA315="","",IF('Calculations'!IA315="!AMBIG","!AMBIG",IF(COUNTIF('Calculations'!$HE$13:$HE$512,"="&amp;SUBSTITUTE(SUBSTITUTE(SUBSTITUTE('Calculations'!IA315,"~","~~"),"*","~*"),"?","~?"))&gt;1,"!AMBIG",IFERROR(INDEX('Calculations'!$HF$13:$HF$512,MATCH('Calculations'!IA315,'Calculations'!$HE$13:$HE$512,0)),""))))</x:f>
      </x:c>
      <x:c r="IC315" t="str">
        <x:f>IF('Calculations'!IB315="","",IF('Calculations'!IB315="!AMBIG","!AMBIG",IF(COUNTIF('Calculations'!$HE$13:$HE$512,"="&amp;SUBSTITUTE(SUBSTITUTE(SUBSTITUTE('Calculations'!IB315,"~","~~"),"*","~*"),"?","~?"))&gt;1,"!AMBIG",IFERROR(INDEX('Calculations'!$HF$13:$HF$512,MATCH('Calculations'!IB315,'Calculations'!$HE$13:$HE$512,0)),""))))</x:f>
      </x:c>
      <x:c r="ID315" t="str">
        <x:f>IF('Calculations'!IC315="","",IF('Calculations'!IC315="!AMBIG","!AMBIG",IF(COUNTIF('Calculations'!$HE$13:$HE$512,"="&amp;SUBSTITUTE(SUBSTITUTE(SUBSTITUTE('Calculations'!IC315,"~","~~"),"*","~*"),"?","~?"))&gt;1,"!AMBIG",IFERROR(INDEX('Calculations'!$HF$13:$HF$512,MATCH('Calculations'!IC315,'Calculations'!$HE$13:$HE$512,0)),""))))</x:f>
      </x:c>
      <x:c r="IE315" t="str">
        <x:f>IF('Calculations'!ID315="","",IF('Calculations'!ID315="!AMBIG","!AMBIG",IF(COUNTIF('Calculations'!$HE$13:$HE$512,"="&amp;SUBSTITUTE(SUBSTITUTE(SUBSTITUTE('Calculations'!ID315,"~","~~"),"*","~*"),"?","~?"))&gt;1,"!AMBIG",IFERROR(INDEX('Calculations'!$HF$13:$HF$512,MATCH('Calculations'!ID315,'Calculations'!$HE$13:$HE$512,0)),""))))</x:f>
      </x:c>
      <x:c r="IF315" t="str">
        <x:f>IF('Calculations'!IE315="","",IF('Calculations'!IE315="!AMBIG","!AMBIG",IF(COUNTIF('Calculations'!$HE$13:$HE$512,"="&amp;SUBSTITUTE(SUBSTITUTE(SUBSTITUTE('Calculations'!IE315,"~","~~"),"*","~*"),"?","~?"))&gt;1,"!AMBIG",IFERROR(INDEX('Calculations'!$HF$13:$HF$512,MATCH('Calculations'!IE315,'Calculations'!$HE$13:$HE$512,0)),""))))</x:f>
      </x:c>
      <x:c r="IG315" t="str">
        <x:f>IF('Calculations'!IF315="","",IF('Calculations'!IF315="!AMBIG","!AMBIG",IF(COUNTIF('Calculations'!$HE$13:$HE$512,"="&amp;SUBSTITUTE(SUBSTITUTE(SUBSTITUTE('Calculations'!IF315,"~","~~"),"*","~*"),"?","~?"))&gt;1,"!AMBIG",IFERROR(INDEX('Calculations'!$HF$13:$HF$512,MATCH('Calculations'!IF315,'Calculations'!$HE$13:$HE$512,0)),""))))</x:f>
      </x:c>
      <x:c r="IH315" t="str">
        <x:f>IF('Calculations'!IG315="","",IF('Calculations'!IG315="!AMBIG","!AMBIG",IF(COUNTIF('Calculations'!$HE$13:$HE$512,"="&amp;SUBSTITUTE(SUBSTITUTE(SUBSTITUTE('Calculations'!IG315,"~","~~"),"*","~*"),"?","~?"))&gt;1,"!AMBIG",IFERROR(INDEX('Calculations'!$HF$13:$HF$512,MATCH('Calculations'!IG315,'Calculations'!$HE$13:$HE$512,0)),""))))</x:f>
      </x:c>
      <x:c r="II315" t="str">
        <x:f>IF('Calculations'!IH315="","",IF('Calculations'!IH315="!AMBIG","!AMBIG",IF(COUNTIF('Calculations'!$HE$13:$HE$512,"="&amp;SUBSTITUTE(SUBSTITUTE(SUBSTITUTE('Calculations'!IH315,"~","~~"),"*","~*"),"?","~?"))&gt;1,"!AMBIG",IFERROR(INDEX('Calculations'!$HF$13:$HF$512,MATCH('Calculations'!IH315,'Calculations'!$HE$13:$HE$512,0)),""))))</x:f>
      </x:c>
      <x:c r="IJ315" t="str">
        <x:f>IF('Calculations'!EM315="","",IF('Calculations'!$EF$2="All",'Calculations'!HM315,IF('Calculations'!HL315=1,"",IFERROR(IF(MATCH('Calculations'!$EF$2,'Calculations'!HO315:II315,0)=1,'Calculations'!HE315,INDEX('Calculations'!HO315:II315,1,MATCH('Calculations'!$EF$2,'Calculations'!HO315:II315,0)-1)),""))))</x:f>
      </x:c>
      <x:c r="IK315" t="n">
        <x:f>IF(AND('Calculations'!EM315&lt;&gt;"",'Calculations'!$EF$2&lt;&gt;"All",'Calculations'!HF315='Calculations'!$EF$2,'Calculations'!HL315=0,'Calculations'!JD315&gt;0),MAX('Calculations'!$IK$12:IK314)+1,0)</x:f>
        <x:v>0</x:v>
      </x:c>
      <x:c r="JA315" t="n">
        <x:f>IF(OR(IFERROR(INDIRECT("'WCM Calibration Final'!$A$315")&lt;&gt;"",FALSE),IFERROR(INDIRECT("'WCM Calibration Final'!$B$315")&lt;&gt;"",FALSE),IFERROR(INDIRECT("'WCM Calibration Final'!$C$315")&lt;&gt;"",FALSE)),315,0)</x:f>
        <x:v>0</x:v>
      </x:c>
      <x:c r="JB315" t="n">
        <x:f>'Calculations'!JB314+IF('Calculations'!JA315&gt;0,1,0)</x:f>
        <x:v>0</x:v>
      </x:c>
      <x:c r="JC315" t="n">
        <x:f>IF(OR('Calculations'!HF315="",'Calculations'!HF315="!AMBIG"),0,IF('Dashboard'!$B$7="All",1,COUNTIFS('Calculations'!$HO$13:$HO$512,"="&amp;SUBSTITUTE(SUBSTITUTE(SUBSTITUTE('Calculations'!HF315,"~","~~"),"*","~*"),"?","~?"),'Calculations'!$HN$13:$HN$512,"="&amp;SUBSTITUTE(SUBSTITUTE(SUBSTITUTE('Dashboard'!$B$7,"~","~~"),"*","~*"),"?","~?"))+COUNTIFS('Calculations'!$HP$13:$HP$512,"="&amp;SUBSTITUTE(SUBSTITUTE(SUBSTITUTE('Calculations'!HF315,"~","~~"),"*","~*"),"?","~?"),'Calculations'!$HN$13:$HN$512,"="&amp;SUBSTITUTE(SUBSTITUTE(SUBSTITUTE('Dashboard'!$B$7,"~","~~"),"*","~*"),"?","~?"))+COUNTIFS('Calculations'!$HQ$13:$HQ$512,"="&amp;SUBSTITUTE(SUBSTITUTE(SUBSTITUTE('Calculations'!HF315,"~","~~"),"*","~*"),"?","~?"),'Calculations'!$HN$13:$HN$512,"="&amp;SUBSTITUTE(SUBSTITUTE(SUBSTITUTE('Dashboard'!$B$7,"~","~~"),"*","~*"),"?","~?"))+COUNTIFS('Calculations'!$HR$13:$HR$512,"="&amp;SUBSTITUTE(SUBSTITUTE(SUBSTITUTE('Calculations'!HF315,"~","~~"),"*","~*"),"?","~?"),'Calculations'!$HN$13:$HN$512,"="&amp;SUBSTITUTE(SUBSTITUTE(SUBSTITUTE('Dashboard'!$B$7,"~","~~"),"*","~*"),"?","~?"))+COUNTIFS('Calculations'!$HS$13:$HS$512,"="&amp;SUBSTITUTE(SUBSTITUTE(SUBSTITUTE('Calculations'!HF315,"~","~~"),"*","~*"),"?","~?"),'Calculations'!$HN$13:$HN$512,"="&amp;SUBSTITUTE(SUBSTITUTE(SUBSTITUTE('Dashboard'!$B$7,"~","~~"),"*","~*"),"?","~?"))+COUNTIFS('Calculations'!$HT$13:$HT$512,"="&amp;SUBSTITUTE(SUBSTITUTE(SUBSTITUTE('Calculations'!HF315,"~","~~"),"*","~*"),"?","~?"),'Calculations'!$HN$13:$HN$512,"="&amp;SUBSTITUTE(SUBSTITUTE(SUBSTITUTE('Dashboard'!$B$7,"~","~~"),"*","~*"),"?","~?"))+COUNTIFS('Calculations'!$HU$13:$HU$512,"="&amp;SUBSTITUTE(SUBSTITUTE(SUBSTITUTE('Calculations'!HF315,"~","~~"),"*","~*"),"?","~?"),'Calculations'!$HN$13:$HN$512,"="&amp;SUBSTITUTE(SUBSTITUTE(SUBSTITUTE('Dashboard'!$B$7,"~","~~"),"*","~*"),"?","~?"))+COUNTIFS('Calculations'!$HV$13:$HV$512,"="&amp;SUBSTITUTE(SUBSTITUTE(SUBSTITUTE('Calculations'!HF315,"~","~~"),"*","~*"),"?","~?"),'Calculations'!$HN$13:$HN$512,"="&amp;SUBSTITUTE(SUBSTITUTE(SUBSTITUTE('Dashboard'!$B$7,"~","~~"),"*","~*"),"?","~?"))+COUNTIFS('Calculations'!$HW$13:$HW$512,"="&amp;SUBSTITUTE(SUBSTITUTE(SUBSTITUTE('Calculations'!HF315,"~","~~"),"*","~*"),"?","~?"),'Calculations'!$HN$13:$HN$512,"="&amp;SUBSTITUTE(SUBSTITUTE(SUBSTITUTE('Dashboard'!$B$7,"~","~~"),"*","~*"),"?","~?"))+COUNTIFS('Calculations'!$HX$13:$HX$512,"="&amp;SUBSTITUTE(SUBSTITUTE(SUBSTITUTE('Calculations'!HF315,"~","~~"),"*","~*"),"?","~?"),'Calculations'!$HN$13:$HN$512,"="&amp;SUBSTITUTE(SUBSTITUTE(SUBSTITUTE('Dashboard'!$B$7,"~","~~"),"*","~*"),"?","~?"))+COUNTIFS('Calculations'!$HY$13:$HY$512,"="&amp;SUBSTITUTE(SUBSTITUTE(SUBSTITUTE('Calculations'!HF315,"~","~~"),"*","~*"),"?","~?"),'Calculations'!$HN$13:$HN$512,"="&amp;SUBSTITUTE(SUBSTITUTE(SUBSTITUTE('Dashboard'!$B$7,"~","~~"),"*","~*"),"?","~?"))+COUNTIFS('Calculations'!$HZ$13:$HZ$512,"="&amp;SUBSTITUTE(SUBSTITUTE(SUBSTITUTE('Calculations'!HF315,"~","~~"),"*","~*"),"?","~?"),'Calculations'!$HN$13:$HN$512,"="&amp;SUBSTITUTE(SUBSTITUTE(SUBSTITUTE('Dashboard'!$B$7,"~","~~"),"*","~*"),"?","~?"))+COUNTIFS('Calculations'!$IA$13:$IA$512,"="&amp;SUBSTITUTE(SUBSTITUTE(SUBSTITUTE('Calculations'!HF315,"~","~~"),"*","~*"),"?","~?"),'Calculations'!$HN$13:$HN$512,"="&amp;SUBSTITUTE(SUBSTITUTE(SUBSTITUTE('Dashboard'!$B$7,"~","~~"),"*","~*"),"?","~?"))+COUNTIFS('Calculations'!$IB$13:$IB$512,"="&amp;SUBSTITUTE(SUBSTITUTE(SUBSTITUTE('Calculations'!HF315,"~","~~"),"*","~*"),"?","~?"),'Calculations'!$HN$13:$HN$512,"="&amp;SUBSTITUTE(SUBSTITUTE(SUBSTITUTE('Dashboard'!$B$7,"~","~~"),"*","~*"),"?","~?"))+COUNTIFS('Calculations'!$IC$13:$IC$512,"="&amp;SUBSTITUTE(SUBSTITUTE(SUBSTITUTE('Calculations'!HF315,"~","~~"),"*","~*"),"?","~?"),'Calculations'!$HN$13:$HN$512,"="&amp;SUBSTITUTE(SUBSTITUTE(SUBSTITUTE('Dashboard'!$B$7,"~","~~"),"*","~*"),"?","~?"))+COUNTIFS('Calculations'!$ID$13:$ID$512,"="&amp;SUBSTITUTE(SUBSTITUTE(SUBSTITUTE('Calculations'!HF315,"~","~~"),"*","~*"),"?","~?"),'Calculations'!$HN$13:$HN$512,"="&amp;SUBSTITUTE(SUBSTITUTE(SUBSTITUTE('Dashboard'!$B$7,"~","~~"),"*","~*"),"?","~?"))+COUNTIFS('Calculations'!$IE$13:$IE$512,"="&amp;SUBSTITUTE(SUBSTITUTE(SUBSTITUTE('Calculations'!HF315,"~","~~"),"*","~*"),"?","~?"),'Calculations'!$HN$13:$HN$512,"="&amp;SUBSTITUTE(SUBSTITUTE(SUBSTITUTE('Dashboard'!$B$7,"~","~~"),"*","~*"),"?","~?"))+COUNTIFS('Calculations'!$IF$13:$IF$512,"="&amp;SUBSTITUTE(SUBSTITUTE(SUBSTITUTE('Calculations'!HF315,"~","~~"),"*","~*"),"?","~?"),'Calculations'!$HN$13:$HN$512,"="&amp;SUBSTITUTE(SUBSTITUTE(SUBSTITUTE('Dashboard'!$B$7,"~","~~"),"*","~*"),"?","~?"))+COUNTIFS('Calculations'!$IG$13:$IG$512,"="&amp;SUBSTITUTE(SUBSTITUTE(SUBSTITUTE('Calculations'!HF315,"~","~~"),"*","~*"),"?","~?"),'Calculations'!$HN$13:$HN$512,"="&amp;SUBSTITUTE(SUBSTITUTE(SUBSTITUTE('Dashboard'!$B$7,"~","~~"),"*","~*"),"?","~?"))+COUNTIFS('Calculations'!$IH$13:$IH$512,"="&amp;SUBSTITUTE(SUBSTITUTE(SUBSTITUTE('Calculations'!HF315,"~","~~"),"*","~*"),"?","~?"),'Calculations'!$HN$13:$HN$512,"="&amp;SUBSTITUTE(SUBSTITUTE(SUBSTITUTE('Dashboard'!$B$7,"~","~~"),"*","~*"),"?","~?"))))</x:f>
        <x:v>0</x:v>
      </x:c>
      <x:c r="JD315" t="n">
        <x:f>IF('Calculations'!EM315="",0,IF('Dashboard'!$B$7="All",1,IF('Calculations'!HN315='Dashboard'!$B$7,1,0)+IFERROR(INDEX('Calculations'!$JC$13:$JC$512,MATCH('Calculations'!HE315,'Calculations'!$HF$13:$HF$512,0)),0)))</x:f>
        <x:v>0</x:v>
      </x:c>
      <x:c r="JE315" t="n">
        <x:f>IF(AND('Calculations'!EM315&lt;&gt;"",'Calculations'!$JJ$2&lt;&gt;"All",'Calculations'!$JJ$2&lt;&gt;"",'Calculations'!HF315='Calculations'!$JJ$2,'Calculations'!HL315=0,'Calculations'!JD315&gt;0),MAX('Calculations'!$JE$12:JE314)+1,0)</x:f>
        <x:v>0</x:v>
      </x:c>
      <x:c r="JF315" t="str">
        <x:f>IF('Calculations'!EM315="","",IFERROR(IF(INDEX(INDIRECT("'WCM Calibration Final'!$G$1:$G$2000"),'Calculations'!$EM315)="","",TRIM(INDEX(INDIRECT("'WCM Calibration Final'!$G$1:$G$2000"),'Calculations'!$EM315)&amp;"")),""))</x:f>
      </x:c>
      <x:c r="JQ315" t="n">
        <x:f>IF(OR('Calculations'!BM315=0,NOT('Calculations'!$AG$2),'Calculations'!$AG$8&gt;0),0,IF(OR('Dashboard'!$B$7="All",'Calculations'!HN315='Dashboard'!$B$7),IF('Calculations'!$JJ$2="All",1,IF(AND('Calculations'!HF315='Calculations'!$JJ$2,'Calculations'!HL315=0),1,0)),0))</x:f>
        <x:v>0</x:v>
      </x:c>
    </x:row>
    <x:row r="316">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t="n">
        <x:f>IF('Calculations'!$EM316="",0,IF(OR(IFERROR(INDEX(INDIRECT("'WCM Calibration Final'!$A$1:$A$2000"),'Calculations'!$EM316)&lt;&gt;"",FALSE),IFERROR(INDEX(INDIRECT("'WCM Calibration Final'!$B$1:$B$2000"),'Calculations'!$EM316)&lt;&gt;"",FALSE),IFERROR(INDEX(INDIRECT("'WCM Calibration Final'!$C$1:$C$2000"),'Calculations'!$EM316)&lt;&gt;"",FALSE)),1,0))</x:f>
        <x:v>0</x:v>
      </x:c>
      <x:c r="BN316" s="4" t="n">
        <x:f>IF(AND('Calculations'!BM316=1,'Calculations'!$AG$2,'Calculations'!$EN316=1),1,0)</x:f>
        <x:v>0</x:v>
      </x:c>
      <x:c r="BO316" s="4" t="str">
        <x:f>IF('Calculations'!BM316=0,"",IFERROR(IF(AND(VALUE(INDEX(INDIRECT("'WCM Calibration Final'!$K$1:$K$2000"),'Calculations'!$EM316))&gt;=1,VALUE(INDEX(INDIRECT("'WCM Calibration Final'!$K$1:$K$2000"),'Calculations'!$EM316))&lt;=4,MOD(VALUE(INDEX(INDIRECT("'WCM Calibration Final'!$K$1:$K$2000"),'Calculations'!$EM316)),1)=0),VALUE(INDEX(INDIRECT("'WCM Calibration Final'!$K$1:$K$2000"),'Calculations'!$EM316)),""),""))</x:f>
      </x:c>
      <x:c r="BP316" s="4" t="str">
        <x:f>IF('Calculations'!BM316=0,"",IFERROR(IF(AND(VALUE(INDEX(INDIRECT("'WCM Calibration Final'!$L$1:$L$2000"),'Calculations'!$EM316))&gt;=1,VALUE(INDEX(INDIRECT("'WCM Calibration Final'!$L$1:$L$2000"),'Calculations'!$EM316))&lt;=4,MOD(VALUE(INDEX(INDIRECT("'WCM Calibration Final'!$L$1:$L$2000"),'Calculations'!$EM316)),1)=0),VALUE(INDEX(INDIRECT("'WCM Calibration Final'!$L$1:$L$2000"),'Calculations'!$EM316)),""),""))</x:f>
      </x:c>
      <x:c r="BQ316" s="4"/>
      <x:c r="BR316" s="4"/>
      <x:c r="BS316" s="4"/>
      <x:c r="BT316" s="4" t="n">
        <x:f>IF(AND('Calculations'!BM316=1,ISNUMBER('Calculations'!BO316),ISNUMBER('Calculations'!BP316)),1,0)</x:f>
        <x:v>0</x:v>
      </x:c>
      <x:c r="BU316" s="4" t="str">
        <x:f>IF('Calculations'!BM316=0,"",'Calculations'!$EO316)</x:f>
      </x:c>
      <x:c r="BV316" s="4" t="str">
        <x:f>IF('Calculations'!BM316=0,"",IFERROR(IF(OR(INDEX(INDIRECT("'WCM Calibration Final'!$H$1:$H$2000"),'Calculations'!$EM316)="MANAGING DIRECTOR",INDEX(INDIRECT("'WCM Calibration Final'!$H$1:$H$2000"),'Calculations'!$EM316)="DIRECTOR",INDEX(INDIRECT("'WCM Calibration Final'!$H$1:$H$2000"),'Calculations'!$EM316)="SENIOR VICE PRESIDENT",INDEX(INDIRECT("'WCM Calibration Final'!$H$1:$H$2000"),'Calculations'!$EM316)="VICE PRESIDENT",INDEX(INDIRECT("'WCM Calibration Final'!$H$1:$H$2000"),'Calculations'!$EM316)="ASSISTANT VICE PRESIDENT",INDEX(INDIRECT("'WCM Calibration Final'!$H$1:$H$2000"),'Calculations'!$EM316)="OFFICER"),UPPER(INDEX(INDIRECT("'WCM Calibration Final'!$H$1:$H$2000"),'Calculations'!$EM316)),"Other"),"Other"))</x:f>
      </x:c>
      <x:c r="BW316" s="4"/>
      <x:c r="BX316" s="4"/>
      <x:c r="BY316" s="4" t="n">
        <x:f>IF(AND('Calculations'!BM316=1,'Calculations'!BU316&lt;&gt;"",COUNTIF('Calculations'!$BU$12:BU316,'Calculations'!BU316)=1),MAX('Calculations'!$BY$11:BY315)+1,0)</x:f>
        <x:v>0</x:v>
      </x:c>
      <x:c r="BZ316" s="4" t="str">
        <x:f>IF('Dashboard'!$E$67="What",'Calculations'!BO316,'Calculations'!BP316)</x:f>
      </x:c>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t="str">
        <x:f>IF(305&gt;MAX('Calculations'!$HI$13:$HI$512),"",INDEX('Calculations'!$HN$13:$HN$512,MATCH(305,'Calculations'!$HI$13:$HI$512,0)))</x:f>
      </x:c>
      <x:c r="DB316" s="4" t="str">
        <x:f>IF(305&gt;MAX('Calculations'!$HH$13:$HH$512),"",INDEX('Calculations'!$HJ$13:$HJ$512,MATCH(305,'Calculations'!$HH$13:$HH$512,0)))</x:f>
      </x:c>
      <x:c r="DC316" s="4" t="str">
        <x:f>IF(ROW()-11&gt;MAX('Calculations'!$BY$13:$BY$512),"",INDEX('Calculations'!$BU$13:$BU$512,MATCH(ROW()-11,'Calculations'!$BY$13:$BY$512,0)))</x:f>
      </x:c>
      <x:c r="DD316" s="4" t="str">
        <x:f>IF(305&gt;MAX('Calculations'!$IK$13:$IK$512),"",INDEX('Calculations'!$HK$13:$HK$512,MATCH(305,'Calculations'!$IK$13:$IK$512,0)))</x:f>
      </x:c>
      <x:c r="DE316" s="4" t="str">
        <x:f>'Calculations'!DC316</x:f>
      </x:c>
      <x:c r="DF316" s="4" t="str">
        <x:f>IF('Calculations'!DE316="","",COUNTIFS('Calculations'!$BN$13:$BN$512,1,'Calculations'!$BU$13:$BU$512,'Calculations'!DE316))</x:f>
      </x:c>
      <x:c r="DG316" s="4" t="str">
        <x:f>IF('Calculations'!DE316="","",COUNTIFS('Calculations'!$BN$13:$BN$512,1,'Calculations'!$BU$13:$BU$512,'Calculations'!DE316,'Calculations'!$BT$13:$BT$512,1))</x:f>
      </x:c>
      <x:c r="DH316" s="4" t="str">
        <x:f>IF('Calculations'!DE316="","",'Calculations'!DF316-'Calculations'!DG316)</x:f>
      </x:c>
      <x:c r="DI316" s="4" t="str">
        <x:f>IF(OR('Calculations'!DE316="",'Calculations'!DF316=0),"",'Calculations'!DG316/'Calculations'!DF316)</x:f>
      </x:c>
      <x:c r="DJ316" s="4" t="str">
        <x:f>IF('Calculations'!DE316="","",COUNTIFS('Calculations'!$BN$13:$BN$512,1,'Calculations'!$BU$13:$BU$512,'Calculations'!DE316,'Calculations'!$BT$13:$BT$512,1,'Calculations'!$EE$13:$EE$512,"High"))</x:f>
      </x:c>
      <x:c r="DK316" s="4" t="str">
        <x:f>IF('Calculations'!DE316="","",COUNTIFS('Calculations'!$BN$13:$BN$512,1,'Calculations'!$BU$13:$BU$512,'Calculations'!DE316,'Calculations'!$BT$13:$BT$512,1,'Calculations'!$EE$13:$EE$512,"Strong"))</x:f>
      </x:c>
      <x:c r="DL316" s="4" t="str">
        <x:f>IF('Calculations'!DE316="","",COUNTIFS('Calculations'!$BN$13:$BN$512,1,'Calculations'!$BU$13:$BU$512,'Calculations'!DE316,'Calculations'!$BT$13:$BT$512,1,'Calculations'!$EE$13:$EE$512,"Solid"))</x:f>
      </x:c>
      <x:c r="DM316" s="4" t="str">
        <x:f>IF('Calculations'!DE316="","",COUNTIFS('Calculations'!$BN$13:$BN$512,1,'Calculations'!$BU$13:$BU$512,'Calculations'!DE316,'Calculations'!$BT$13:$BT$512,1,'Calculations'!$EE$13:$EE$512,"Low"))</x:f>
      </x:c>
      <x:c r="DN316" s="4" t="str">
        <x:f>IF('Calculations'!DE316="","",COUNTIFS('Calculations'!$BN$13:$BN$512,1,'Calculations'!$BU$13:$BU$512,'Calculations'!DE316,'Calculations'!$EP$13:$EP$512,1))</x:f>
      </x:c>
      <x:c r="DO316" s="4" t="str">
        <x:f>IF(OR('Calculations'!DE316="",'Calculations'!DG316=0),"",('Calculations'!DJ316+'Calculations'!DK316)/'Calculations'!DG316)</x:f>
      </x:c>
      <x:c r="DP316" s="4" t="n">
        <x:f>IF(AND('Calculations'!DE316&lt;&gt;"",'Calculations'!DF316&gt;0),COUNTIF('Calculations'!$DF$12:DF316,"&gt;0"),0)</x:f>
        <x:v>0</x:v>
      </x:c>
      <x:c r="DQ316" s="4" t="str">
        <x:f>IF(305&gt;MAX('Calculations'!$HH$13:$HH$512),"",INDEX('Calculations'!$HF$13:$HF$512,MATCH(305,'Calculations'!$HH$13:$HH$512,0)))</x:f>
      </x:c>
      <x:c r="DR316" s="4" t="str">
        <x:f>IF(305&gt;MAX('Calculations'!$IK$13:$IK$512),"",INDEX('Calculations'!$HE$13:$HE$512,MATCH(305,'Calculations'!$IK$13:$IK$512,0)))</x:f>
      </x:c>
      <x:c r="DS316" s="4"/>
      <x:c r="DT316" s="4"/>
      <x:c r="DU316" s="4"/>
      <x:c r="DV316" s="4"/>
      <x:c r="DW316" s="4"/>
      <x:c r="DX316" s="4"/>
      <x:c r="DY316" s="4"/>
      <x:c r="DZ316" s="4"/>
      <x:c r="EA316" s="4"/>
      <x:c r="EB316" s="4"/>
      <x:c r="EC316" s="4"/>
      <x:c r="ED316" s="4"/>
      <x:c r="EE316" s="4" t="str">
        <x:f>IF('Calculations'!BT316=0,"Not Rated",IF(OR('Calculations'!BO316&gt;=4,'Calculations'!BP316&gt;=4),"Low",IF('Calculations'!BO316+'Calculations'!BP316&lt;=3,"High",IF('Calculations'!BO316+'Calculations'!BP316&lt;=4,"Strong","Solid"))))</x:f>
        <x:v>Not Rated</x:v>
      </x:c>
      <x:c r="EF316" s="4"/>
      <x:c r="EG316" s="4"/>
      <x:c r="EH316" s="4"/>
      <x:c r="EI316" s="4"/>
      <x:c r="EJ316" s="4"/>
      <x:c r="EK316" s="4"/>
      <x:c r="EL316" s="4"/>
      <x:c r="EM316" s="4" t="str">
        <x:f>IF(304&gt;'Calculations'!$JB$2000,"",INDEX('Calculations'!$JA$12:$JA$2000,MATCH(304,'Calculations'!$JB$12:$JB$2000,0)))</x:f>
      </x:c>
      <x:c r="EN316" s="4" t="n">
        <x:f>IF(OR('Calculations'!EM316="",'Calculations'!$AG$8&gt;0,AND('Calculations'!$EF$2&lt;&gt;"All",'Calculations'!HE316='Calculations'!$EF$2),AND('Calculations'!$EF$3&lt;&gt;"All",'Calculations'!HE316='Calculations'!$EF$3)),0,IF(OR('Dashboard'!$B$7="All",'Calculations'!HN316='Dashboard'!$B$7),IF('Calculations'!$EF$2="All",1,IF('Calculations'!HL316&gt;0,0,IF(COUNTIF('Calculations'!HO316:II316,"="&amp;SUBSTITUTE(SUBSTITUTE(SUBSTITUTE('Calculations'!$EF$2,"~","~~"),"*","~*"),"?","~?"))=0,0,IF('Calculations'!$EF$3="All",1,IF(COUNTIF('Calculations'!HO316:II316,"="&amp;SUBSTITUTE(SUBSTITUTE(SUBSTITUTE('Calculations'!$EF$3,"~","~~"),"*","~*"),"?","~?"))&gt;0,1,0))))),0))</x:f>
        <x:v>0</x:v>
      </x:c>
      <x:c r="EO316" s="4" t="str">
        <x:f>IF('Calculations'!IJ316="","",IF('Calculations'!IJ316="!UNRESOLVED","Unresolved hierarchy",IFERROR(INDEX('Calculations'!$HK$13:$HK$512,MATCH('Calculations'!IJ316,'Calculations'!$HE$13:$HE$512,0)),IFERROR(INDEX('Calculations'!$HJ$13:$HJ$512,MATCH('Calculations'!IJ316,'Calculations'!$HF$13:$HF$512,0)),'Calculations'!IJ316))))</x:f>
      </x:c>
      <x:c r="EP316" s="4" t="n">
        <x:f>IF(AND('Calculations'!EM316&lt;&gt;"",'Calculations'!HF316='Calculations'!IJ316),1,0)</x:f>
        <x:v>0</x:v>
      </x:c>
      <x:c r="EQ316" s="4"/>
      <x:c r="ER316" s="4"/>
      <x:c r="ES316" s="4"/>
      <x:c r="ET316" s="4"/>
      <x:c r="EU316" s="4"/>
      <x:c r="EV316" s="4"/>
      <x:c r="EW316" s="4"/>
      <x:c r="EX316" s="4"/>
      <x:c r="EY316" s="4"/>
      <x:c r="EZ316" s="4"/>
      <x:c r="FA316" s="4"/>
      <x:c r="FB316" s="4"/>
      <x:c r="FC316" s="4"/>
      <x:c r="FD316" s="4"/>
      <x:c r="FE316" s="4"/>
      <x:c r="FF316" s="4"/>
      <x:c r="FG316" s="4"/>
      <x:c r="FH316" s="4"/>
      <x:c r="FI316" s="4"/>
      <x:c r="FJ316" s="4"/>
      <x:c r="FK316" s="4"/>
      <x:c r="FL316" s="4"/>
      <x:c r="FM316" s="4"/>
      <x:c r="FN316" s="4"/>
      <x:c r="FO316" s="4"/>
      <x:c r="HE316" t="str">
        <x:f>IF('Calculations'!EM316="","",IF(IFERROR(IF(INDEX(INDIRECT("'WCM Calibration Final'!$A$1:$A$2000"),'Calculations'!$EM316)="","",TRIM(INDEX(INDIRECT("'WCM Calibration Final'!$A$1:$A$2000"),'Calculations'!$EM316)&amp;"")),"")&lt;&gt;"","G:"&amp;IFERROR(TEXT(1*INDEX(INDIRECT("'WCM Calibration Final'!$A$1:$A$2000"),'Calculations'!$EM316),"0"),UPPER(IFERROR(IF(INDEX(INDIRECT("'WCM Calibration Final'!$A$1:$A$2000"),'Calculations'!$EM316)="","",TRIM(INDEX(INDIRECT("'WCM Calibration Final'!$A$1:$A$2000"),'Calculations'!$EM316)&amp;"")),""))),IF(IFERROR(IF(INDEX(INDIRECT("'WCM Calibration Final'!$C$1:$C$2000"),'Calculations'!$EM316)="","",TRIM(INDEX(INDIRECT("'WCM Calibration Final'!$C$1:$C$2000"),'Calculations'!$EM316)&amp;"")),"")&lt;&gt;"","S:"&amp;UPPER(IFERROR(IF(INDEX(INDIRECT("'WCM Calibration Final'!$C$1:$C$2000"),'Calculations'!$EM316)="","",TRIM(INDEX(INDIRECT("'WCM Calibration Final'!$C$1:$C$2000"),'Calculations'!$EM316)&amp;"")),"")),"R:"&amp;'Calculations'!EM316)))</x:f>
      </x:c>
      <x:c r="HF316" t="str">
        <x:f>IF('Calculations'!EM316="","",IF(IFERROR(IF(INDEX(INDIRECT("'WCM Calibration Final'!$D$1:$D$2000"),'Calculations'!$EM316)="","",TRIM(INDEX(INDIRECT("'WCM Calibration Final'!$D$1:$D$2000"),'Calculations'!$EM316)&amp;"")),"")&lt;&gt;"","G:"&amp;IFERROR(TEXT(1*INDEX(INDIRECT("'WCM Calibration Final'!$D$1:$D$2000"),'Calculations'!$EM316),"0"),UPPER(IFERROR(IF(INDEX(INDIRECT("'WCM Calibration Final'!$D$1:$D$2000"),'Calculations'!$EM316)="","",TRIM(INDEX(INDIRECT("'WCM Calibration Final'!$D$1:$D$2000"),'Calculations'!$EM316)&amp;"")),""))),IF(IFERROR(IF(INDEX(INDIRECT("'WCM Calibration Final'!$E$1:$E$2000"),'Calculations'!$EM316)="","",TRIM(INDEX(INDIRECT("'WCM Calibration Final'!$E$1:$E$2000"),'Calculations'!$EM316)&amp;"")),"")="","",IF(COUNTIF('Calculations'!$HG$13:$HG$512,"="&amp;SUBSTITUTE(SUBSTITUTE(SUBSTITUTE(IFERROR(IF(INDEX(INDIRECT("'WCM Calibration Final'!$E$1:$E$2000"),'Calculations'!$EM316)="","",TRIM(INDEX(INDIRECT("'WCM Calibration Final'!$E$1:$E$2000"),'Calculations'!$EM316)&amp;"")),""),"~","~~"),"*","~*"),"?","~?"))=1,INDEX('Calculations'!$HE$13:$HE$512,MATCH(IFERROR(IF(INDEX(INDIRECT("'WCM Calibration Final'!$E$1:$E$2000"),'Calculations'!$EM316)="","",TRIM(INDEX(INDIRECT("'WCM Calibration Final'!$E$1:$E$2000"),'Calculations'!$EM316)&amp;"")),""),'Calculations'!$HG$13:$HG$512,0)),IF(COUNTIF('Calculations'!$HG$13:$HG$512,"="&amp;SUBSTITUTE(SUBSTITUTE(SUBSTITUTE(IFERROR(IF(INDEX(INDIRECT("'WCM Calibration Final'!$E$1:$E$2000"),'Calculations'!$EM316)="","",TRIM(INDEX(INDIRECT("'WCM Calibration Final'!$E$1:$E$2000"),'Calculations'!$EM316)&amp;"")),""),"~","~~"),"*","~*"),"?","~?"))&gt;1,"!AMBIG","X:"&amp;IFERROR(IF(INDEX(INDIRECT("'WCM Calibration Final'!$E$1:$E$2000"),'Calculations'!$EM316)="","",TRIM(INDEX(INDIRECT("'WCM Calibration Final'!$E$1:$E$2000"),'Calculations'!$EM316)&amp;"")),""))))))</x:f>
      </x:c>
      <x:c r="HG316" t="str">
        <x:f>IF('Calculations'!EM316="","",IFERROR(IF(INDEX(INDIRECT("'WCM Calibration Final'!$B$1:$B$2000"),'Calculations'!$EM316)="","",TRIM(INDEX(INDIRECT("'WCM Calibration Final'!$B$1:$B$2000"),'Calculations'!$EM316)&amp;"")),""))</x:f>
      </x:c>
      <x:c r="HH316" t="n">
        <x:f>IF(AND('Calculations'!JC316&gt;0,COUNTIF('Calculations'!$HF$12:HF316,"="&amp;SUBSTITUTE(SUBSTITUTE(SUBSTITUTE('Calculations'!HF316,"~","~~"),"*","~*"),"?","~?"))=1),MAX('Calculations'!$HH$12:HH315)+1,0)</x:f>
        <x:v>0</x:v>
      </x:c>
      <x:c r="HI316" t="n">
        <x:f>IF(AND('Calculations'!HN316&lt;&gt;"",COUNTIF('Calculations'!$HN$12:HN316,"="&amp;SUBSTITUTE(SUBSTITUTE(SUBSTITUTE('Calculations'!HN316,"~","~~"),"*","~*"),"?","~?"))=1),MAX('Calculations'!$HI$12:HI315)+1,0)</x:f>
        <x:v>0</x:v>
      </x:c>
      <x:c r="HJ316" t="str">
        <x:f>IF('Calculations'!HF316="","",IF(COUNTIF('Calculations'!$HE$13:$HE$512,"="&amp;SUBSTITUTE(SUBSTITUTE(SUBSTITUTE('Calculations'!HF316,"~","~~"),"*","~*"),"?","~?"))=1,INDEX('Calculations'!$HK$13:$HK$512,MATCH('Calculations'!HF316,'Calculations'!$HE$13:$HE$512,0)),IFERROR(IF(INDEX(INDIRECT("'WCM Calibration Final'!$E$1:$E$2000"),'Calculations'!$EM316)="","",TRIM(INDEX(INDIRECT("'WCM Calibration Final'!$E$1:$E$2000"),'Calculations'!$EM316)&amp;"")),"")&amp;" ["&amp;'Calculations'!HF316&amp;"]"))</x:f>
      </x:c>
      <x:c r="HK316" t="str">
        <x:f>IF('Calculations'!EM316="","",'Calculations'!HG316&amp;" ["&amp;'Calculations'!HE316&amp;"]")</x:f>
      </x:c>
      <x:c r="HL316" t="n">
        <x:f>IF('Calculations'!EM316="",0,IF(OR('Calculations'!II316&lt;&gt;"",COUNTIF('Calculations'!$HE$13:$HE$512,"="&amp;SUBSTITUTE(SUBSTITUTE(SUBSTITUTE('Calculations'!HE316,"~","~~"),"*","~*"),"?","~?"))&gt;1),1,0))</x:f>
        <x:v>0</x:v>
      </x:c>
      <x:c r="HM316" t="str">
        <x:f>IF('Calculations'!EM316="","",IF('Calculations'!HL316=1,"!UNRESOLVED",IF('Calculations'!IH316&lt;&gt;"",'Calculations'!IH316,IF('Calculations'!IG316&lt;&gt;"",'Calculations'!IG316,IF('Calculations'!IF316&lt;&gt;"",'Calculations'!IF316,IF('Calculations'!IE316&lt;&gt;"",'Calculations'!IE316,IF('Calculations'!ID316&lt;&gt;"",'Calculations'!ID316,IF('Calculations'!IC316&lt;&gt;"",'Calculations'!IC316,IF('Calculations'!IB316&lt;&gt;"",'Calculations'!IB316,IF('Calculations'!IA316&lt;&gt;"",'Calculations'!IA316,IF('Calculations'!HZ316&lt;&gt;"",'Calculations'!HZ316,IF('Calculations'!HY316&lt;&gt;"",'Calculations'!HY316,IF('Calculations'!HX316&lt;&gt;"",'Calculations'!HX316,IF('Calculations'!HW316&lt;&gt;"",'Calculations'!HW316,IF('Calculations'!HV316&lt;&gt;"",'Calculations'!HV316,IF('Calculations'!HU316&lt;&gt;"",'Calculations'!HU316,IF('Calculations'!HT316&lt;&gt;"",'Calculations'!HT316,IF('Calculations'!HS316&lt;&gt;"",'Calculations'!HS316,IF('Calculations'!HR316&lt;&gt;"",'Calculations'!HR316,IF('Calculations'!HQ316&lt;&gt;"",'Calculations'!HQ316,IF('Calculations'!HP316&lt;&gt;"",'Calculations'!HP316,IF('Calculations'!HO316&lt;&gt;"",'Calculations'!HO316,'Calculations'!HE316))))))))))))))))))))))</x:f>
      </x:c>
      <x:c r="HN316" t="str">
        <x:f>IF('Calculations'!EM316="","",IF(IFERROR(IF(INDEX(INDIRECT("'WCM Calibration Final'!$F$1:$F$2000"),'Calculations'!$EM316)="","",TRIM(INDEX(INDIRECT("'WCM Calibration Final'!$F$1:$F$2000"),'Calculations'!$EM316)&amp;"")),"")="","(Blank)",IFERROR(IF(INDEX(INDIRECT("'WCM Calibration Final'!$F$1:$F$2000"),'Calculations'!$EM316)="","",TRIM(INDEX(INDIRECT("'WCM Calibration Final'!$F$1:$F$2000"),'Calculations'!$EM316)&amp;"")),"")))</x:f>
      </x:c>
      <x:c r="HO316" t="str">
        <x:f>'Calculations'!HF316</x:f>
      </x:c>
      <x:c r="HP316" t="str">
        <x:f>IF('Calculations'!HO316="","",IF('Calculations'!HO316="!AMBIG","!AMBIG",IF(COUNTIF('Calculations'!$HE$13:$HE$512,"="&amp;SUBSTITUTE(SUBSTITUTE(SUBSTITUTE('Calculations'!HO316,"~","~~"),"*","~*"),"?","~?"))&gt;1,"!AMBIG",IFERROR(INDEX('Calculations'!$HF$13:$HF$512,MATCH('Calculations'!HO316,'Calculations'!$HE$13:$HE$512,0)),""))))</x:f>
      </x:c>
      <x:c r="HQ316" t="str">
        <x:f>IF('Calculations'!HP316="","",IF('Calculations'!HP316="!AMBIG","!AMBIG",IF(COUNTIF('Calculations'!$HE$13:$HE$512,"="&amp;SUBSTITUTE(SUBSTITUTE(SUBSTITUTE('Calculations'!HP316,"~","~~"),"*","~*"),"?","~?"))&gt;1,"!AMBIG",IFERROR(INDEX('Calculations'!$HF$13:$HF$512,MATCH('Calculations'!HP316,'Calculations'!$HE$13:$HE$512,0)),""))))</x:f>
      </x:c>
      <x:c r="HR316" t="str">
        <x:f>IF('Calculations'!HQ316="","",IF('Calculations'!HQ316="!AMBIG","!AMBIG",IF(COUNTIF('Calculations'!$HE$13:$HE$512,"="&amp;SUBSTITUTE(SUBSTITUTE(SUBSTITUTE('Calculations'!HQ316,"~","~~"),"*","~*"),"?","~?"))&gt;1,"!AMBIG",IFERROR(INDEX('Calculations'!$HF$13:$HF$512,MATCH('Calculations'!HQ316,'Calculations'!$HE$13:$HE$512,0)),""))))</x:f>
      </x:c>
      <x:c r="HS316" t="str">
        <x:f>IF('Calculations'!HR316="","",IF('Calculations'!HR316="!AMBIG","!AMBIG",IF(COUNTIF('Calculations'!$HE$13:$HE$512,"="&amp;SUBSTITUTE(SUBSTITUTE(SUBSTITUTE('Calculations'!HR316,"~","~~"),"*","~*"),"?","~?"))&gt;1,"!AMBIG",IFERROR(INDEX('Calculations'!$HF$13:$HF$512,MATCH('Calculations'!HR316,'Calculations'!$HE$13:$HE$512,0)),""))))</x:f>
      </x:c>
      <x:c r="HT316" t="str">
        <x:f>IF('Calculations'!HS316="","",IF('Calculations'!HS316="!AMBIG","!AMBIG",IF(COUNTIF('Calculations'!$HE$13:$HE$512,"="&amp;SUBSTITUTE(SUBSTITUTE(SUBSTITUTE('Calculations'!HS316,"~","~~"),"*","~*"),"?","~?"))&gt;1,"!AMBIG",IFERROR(INDEX('Calculations'!$HF$13:$HF$512,MATCH('Calculations'!HS316,'Calculations'!$HE$13:$HE$512,0)),""))))</x:f>
      </x:c>
      <x:c r="HU316" t="str">
        <x:f>IF('Calculations'!HT316="","",IF('Calculations'!HT316="!AMBIG","!AMBIG",IF(COUNTIF('Calculations'!$HE$13:$HE$512,"="&amp;SUBSTITUTE(SUBSTITUTE(SUBSTITUTE('Calculations'!HT316,"~","~~"),"*","~*"),"?","~?"))&gt;1,"!AMBIG",IFERROR(INDEX('Calculations'!$HF$13:$HF$512,MATCH('Calculations'!HT316,'Calculations'!$HE$13:$HE$512,0)),""))))</x:f>
      </x:c>
      <x:c r="HV316" t="str">
        <x:f>IF('Calculations'!HU316="","",IF('Calculations'!HU316="!AMBIG","!AMBIG",IF(COUNTIF('Calculations'!$HE$13:$HE$512,"="&amp;SUBSTITUTE(SUBSTITUTE(SUBSTITUTE('Calculations'!HU316,"~","~~"),"*","~*"),"?","~?"))&gt;1,"!AMBIG",IFERROR(INDEX('Calculations'!$HF$13:$HF$512,MATCH('Calculations'!HU316,'Calculations'!$HE$13:$HE$512,0)),""))))</x:f>
      </x:c>
      <x:c r="HW316" t="str">
        <x:f>IF('Calculations'!HV316="","",IF('Calculations'!HV316="!AMBIG","!AMBIG",IF(COUNTIF('Calculations'!$HE$13:$HE$512,"="&amp;SUBSTITUTE(SUBSTITUTE(SUBSTITUTE('Calculations'!HV316,"~","~~"),"*","~*"),"?","~?"))&gt;1,"!AMBIG",IFERROR(INDEX('Calculations'!$HF$13:$HF$512,MATCH('Calculations'!HV316,'Calculations'!$HE$13:$HE$512,0)),""))))</x:f>
      </x:c>
      <x:c r="HX316" t="str">
        <x:f>IF('Calculations'!HW316="","",IF('Calculations'!HW316="!AMBIG","!AMBIG",IF(COUNTIF('Calculations'!$HE$13:$HE$512,"="&amp;SUBSTITUTE(SUBSTITUTE(SUBSTITUTE('Calculations'!HW316,"~","~~"),"*","~*"),"?","~?"))&gt;1,"!AMBIG",IFERROR(INDEX('Calculations'!$HF$13:$HF$512,MATCH('Calculations'!HW316,'Calculations'!$HE$13:$HE$512,0)),""))))</x:f>
      </x:c>
      <x:c r="HY316" t="str">
        <x:f>IF('Calculations'!HX316="","",IF('Calculations'!HX316="!AMBIG","!AMBIG",IF(COUNTIF('Calculations'!$HE$13:$HE$512,"="&amp;SUBSTITUTE(SUBSTITUTE(SUBSTITUTE('Calculations'!HX316,"~","~~"),"*","~*"),"?","~?"))&gt;1,"!AMBIG",IFERROR(INDEX('Calculations'!$HF$13:$HF$512,MATCH('Calculations'!HX316,'Calculations'!$HE$13:$HE$512,0)),""))))</x:f>
      </x:c>
      <x:c r="HZ316" t="str">
        <x:f>IF('Calculations'!HY316="","",IF('Calculations'!HY316="!AMBIG","!AMBIG",IF(COUNTIF('Calculations'!$HE$13:$HE$512,"="&amp;SUBSTITUTE(SUBSTITUTE(SUBSTITUTE('Calculations'!HY316,"~","~~"),"*","~*"),"?","~?"))&gt;1,"!AMBIG",IFERROR(INDEX('Calculations'!$HF$13:$HF$512,MATCH('Calculations'!HY316,'Calculations'!$HE$13:$HE$512,0)),""))))</x:f>
      </x:c>
      <x:c r="IA316" t="str">
        <x:f>IF('Calculations'!HZ316="","",IF('Calculations'!HZ316="!AMBIG","!AMBIG",IF(COUNTIF('Calculations'!$HE$13:$HE$512,"="&amp;SUBSTITUTE(SUBSTITUTE(SUBSTITUTE('Calculations'!HZ316,"~","~~"),"*","~*"),"?","~?"))&gt;1,"!AMBIG",IFERROR(INDEX('Calculations'!$HF$13:$HF$512,MATCH('Calculations'!HZ316,'Calculations'!$HE$13:$HE$512,0)),""))))</x:f>
      </x:c>
      <x:c r="IB316" t="str">
        <x:f>IF('Calculations'!IA316="","",IF('Calculations'!IA316="!AMBIG","!AMBIG",IF(COUNTIF('Calculations'!$HE$13:$HE$512,"="&amp;SUBSTITUTE(SUBSTITUTE(SUBSTITUTE('Calculations'!IA316,"~","~~"),"*","~*"),"?","~?"))&gt;1,"!AMBIG",IFERROR(INDEX('Calculations'!$HF$13:$HF$512,MATCH('Calculations'!IA316,'Calculations'!$HE$13:$HE$512,0)),""))))</x:f>
      </x:c>
      <x:c r="IC316" t="str">
        <x:f>IF('Calculations'!IB316="","",IF('Calculations'!IB316="!AMBIG","!AMBIG",IF(COUNTIF('Calculations'!$HE$13:$HE$512,"="&amp;SUBSTITUTE(SUBSTITUTE(SUBSTITUTE('Calculations'!IB316,"~","~~"),"*","~*"),"?","~?"))&gt;1,"!AMBIG",IFERROR(INDEX('Calculations'!$HF$13:$HF$512,MATCH('Calculations'!IB316,'Calculations'!$HE$13:$HE$512,0)),""))))</x:f>
      </x:c>
      <x:c r="ID316" t="str">
        <x:f>IF('Calculations'!IC316="","",IF('Calculations'!IC316="!AMBIG","!AMBIG",IF(COUNTIF('Calculations'!$HE$13:$HE$512,"="&amp;SUBSTITUTE(SUBSTITUTE(SUBSTITUTE('Calculations'!IC316,"~","~~"),"*","~*"),"?","~?"))&gt;1,"!AMBIG",IFERROR(INDEX('Calculations'!$HF$13:$HF$512,MATCH('Calculations'!IC316,'Calculations'!$HE$13:$HE$512,0)),""))))</x:f>
      </x:c>
      <x:c r="IE316" t="str">
        <x:f>IF('Calculations'!ID316="","",IF('Calculations'!ID316="!AMBIG","!AMBIG",IF(COUNTIF('Calculations'!$HE$13:$HE$512,"="&amp;SUBSTITUTE(SUBSTITUTE(SUBSTITUTE('Calculations'!ID316,"~","~~"),"*","~*"),"?","~?"))&gt;1,"!AMBIG",IFERROR(INDEX('Calculations'!$HF$13:$HF$512,MATCH('Calculations'!ID316,'Calculations'!$HE$13:$HE$512,0)),""))))</x:f>
      </x:c>
      <x:c r="IF316" t="str">
        <x:f>IF('Calculations'!IE316="","",IF('Calculations'!IE316="!AMBIG","!AMBIG",IF(COUNTIF('Calculations'!$HE$13:$HE$512,"="&amp;SUBSTITUTE(SUBSTITUTE(SUBSTITUTE('Calculations'!IE316,"~","~~"),"*","~*"),"?","~?"))&gt;1,"!AMBIG",IFERROR(INDEX('Calculations'!$HF$13:$HF$512,MATCH('Calculations'!IE316,'Calculations'!$HE$13:$HE$512,0)),""))))</x:f>
      </x:c>
      <x:c r="IG316" t="str">
        <x:f>IF('Calculations'!IF316="","",IF('Calculations'!IF316="!AMBIG","!AMBIG",IF(COUNTIF('Calculations'!$HE$13:$HE$512,"="&amp;SUBSTITUTE(SUBSTITUTE(SUBSTITUTE('Calculations'!IF316,"~","~~"),"*","~*"),"?","~?"))&gt;1,"!AMBIG",IFERROR(INDEX('Calculations'!$HF$13:$HF$512,MATCH('Calculations'!IF316,'Calculations'!$HE$13:$HE$512,0)),""))))</x:f>
      </x:c>
      <x:c r="IH316" t="str">
        <x:f>IF('Calculations'!IG316="","",IF('Calculations'!IG316="!AMBIG","!AMBIG",IF(COUNTIF('Calculations'!$HE$13:$HE$512,"="&amp;SUBSTITUTE(SUBSTITUTE(SUBSTITUTE('Calculations'!IG316,"~","~~"),"*","~*"),"?","~?"))&gt;1,"!AMBIG",IFERROR(INDEX('Calculations'!$HF$13:$HF$512,MATCH('Calculations'!IG316,'Calculations'!$HE$13:$HE$512,0)),""))))</x:f>
      </x:c>
      <x:c r="II316" t="str">
        <x:f>IF('Calculations'!IH316="","",IF('Calculations'!IH316="!AMBIG","!AMBIG",IF(COUNTIF('Calculations'!$HE$13:$HE$512,"="&amp;SUBSTITUTE(SUBSTITUTE(SUBSTITUTE('Calculations'!IH316,"~","~~"),"*","~*"),"?","~?"))&gt;1,"!AMBIG",IFERROR(INDEX('Calculations'!$HF$13:$HF$512,MATCH('Calculations'!IH316,'Calculations'!$HE$13:$HE$512,0)),""))))</x:f>
      </x:c>
      <x:c r="IJ316" t="str">
        <x:f>IF('Calculations'!EM316="","",IF('Calculations'!$EF$2="All",'Calculations'!HM316,IF('Calculations'!HL316=1,"",IFERROR(IF(MATCH('Calculations'!$EF$2,'Calculations'!HO316:II316,0)=1,'Calculations'!HE316,INDEX('Calculations'!HO316:II316,1,MATCH('Calculations'!$EF$2,'Calculations'!HO316:II316,0)-1)),""))))</x:f>
      </x:c>
      <x:c r="IK316" t="n">
        <x:f>IF(AND('Calculations'!EM316&lt;&gt;"",'Calculations'!$EF$2&lt;&gt;"All",'Calculations'!HF316='Calculations'!$EF$2,'Calculations'!HL316=0,'Calculations'!JD316&gt;0),MAX('Calculations'!$IK$12:IK315)+1,0)</x:f>
        <x:v>0</x:v>
      </x:c>
      <x:c r="JA316" t="n">
        <x:f>IF(OR(IFERROR(INDIRECT("'WCM Calibration Final'!$A$316")&lt;&gt;"",FALSE),IFERROR(INDIRECT("'WCM Calibration Final'!$B$316")&lt;&gt;"",FALSE),IFERROR(INDIRECT("'WCM Calibration Final'!$C$316")&lt;&gt;"",FALSE)),316,0)</x:f>
        <x:v>0</x:v>
      </x:c>
      <x:c r="JB316" t="n">
        <x:f>'Calculations'!JB315+IF('Calculations'!JA316&gt;0,1,0)</x:f>
        <x:v>0</x:v>
      </x:c>
      <x:c r="JC316" t="n">
        <x:f>IF(OR('Calculations'!HF316="",'Calculations'!HF316="!AMBIG"),0,IF('Dashboard'!$B$7="All",1,COUNTIFS('Calculations'!$HO$13:$HO$512,"="&amp;SUBSTITUTE(SUBSTITUTE(SUBSTITUTE('Calculations'!HF316,"~","~~"),"*","~*"),"?","~?"),'Calculations'!$HN$13:$HN$512,"="&amp;SUBSTITUTE(SUBSTITUTE(SUBSTITUTE('Dashboard'!$B$7,"~","~~"),"*","~*"),"?","~?"))+COUNTIFS('Calculations'!$HP$13:$HP$512,"="&amp;SUBSTITUTE(SUBSTITUTE(SUBSTITUTE('Calculations'!HF316,"~","~~"),"*","~*"),"?","~?"),'Calculations'!$HN$13:$HN$512,"="&amp;SUBSTITUTE(SUBSTITUTE(SUBSTITUTE('Dashboard'!$B$7,"~","~~"),"*","~*"),"?","~?"))+COUNTIFS('Calculations'!$HQ$13:$HQ$512,"="&amp;SUBSTITUTE(SUBSTITUTE(SUBSTITUTE('Calculations'!HF316,"~","~~"),"*","~*"),"?","~?"),'Calculations'!$HN$13:$HN$512,"="&amp;SUBSTITUTE(SUBSTITUTE(SUBSTITUTE('Dashboard'!$B$7,"~","~~"),"*","~*"),"?","~?"))+COUNTIFS('Calculations'!$HR$13:$HR$512,"="&amp;SUBSTITUTE(SUBSTITUTE(SUBSTITUTE('Calculations'!HF316,"~","~~"),"*","~*"),"?","~?"),'Calculations'!$HN$13:$HN$512,"="&amp;SUBSTITUTE(SUBSTITUTE(SUBSTITUTE('Dashboard'!$B$7,"~","~~"),"*","~*"),"?","~?"))+COUNTIFS('Calculations'!$HS$13:$HS$512,"="&amp;SUBSTITUTE(SUBSTITUTE(SUBSTITUTE('Calculations'!HF316,"~","~~"),"*","~*"),"?","~?"),'Calculations'!$HN$13:$HN$512,"="&amp;SUBSTITUTE(SUBSTITUTE(SUBSTITUTE('Dashboard'!$B$7,"~","~~"),"*","~*"),"?","~?"))+COUNTIFS('Calculations'!$HT$13:$HT$512,"="&amp;SUBSTITUTE(SUBSTITUTE(SUBSTITUTE('Calculations'!HF316,"~","~~"),"*","~*"),"?","~?"),'Calculations'!$HN$13:$HN$512,"="&amp;SUBSTITUTE(SUBSTITUTE(SUBSTITUTE('Dashboard'!$B$7,"~","~~"),"*","~*"),"?","~?"))+COUNTIFS('Calculations'!$HU$13:$HU$512,"="&amp;SUBSTITUTE(SUBSTITUTE(SUBSTITUTE('Calculations'!HF316,"~","~~"),"*","~*"),"?","~?"),'Calculations'!$HN$13:$HN$512,"="&amp;SUBSTITUTE(SUBSTITUTE(SUBSTITUTE('Dashboard'!$B$7,"~","~~"),"*","~*"),"?","~?"))+COUNTIFS('Calculations'!$HV$13:$HV$512,"="&amp;SUBSTITUTE(SUBSTITUTE(SUBSTITUTE('Calculations'!HF316,"~","~~"),"*","~*"),"?","~?"),'Calculations'!$HN$13:$HN$512,"="&amp;SUBSTITUTE(SUBSTITUTE(SUBSTITUTE('Dashboard'!$B$7,"~","~~"),"*","~*"),"?","~?"))+COUNTIFS('Calculations'!$HW$13:$HW$512,"="&amp;SUBSTITUTE(SUBSTITUTE(SUBSTITUTE('Calculations'!HF316,"~","~~"),"*","~*"),"?","~?"),'Calculations'!$HN$13:$HN$512,"="&amp;SUBSTITUTE(SUBSTITUTE(SUBSTITUTE('Dashboard'!$B$7,"~","~~"),"*","~*"),"?","~?"))+COUNTIFS('Calculations'!$HX$13:$HX$512,"="&amp;SUBSTITUTE(SUBSTITUTE(SUBSTITUTE('Calculations'!HF316,"~","~~"),"*","~*"),"?","~?"),'Calculations'!$HN$13:$HN$512,"="&amp;SUBSTITUTE(SUBSTITUTE(SUBSTITUTE('Dashboard'!$B$7,"~","~~"),"*","~*"),"?","~?"))+COUNTIFS('Calculations'!$HY$13:$HY$512,"="&amp;SUBSTITUTE(SUBSTITUTE(SUBSTITUTE('Calculations'!HF316,"~","~~"),"*","~*"),"?","~?"),'Calculations'!$HN$13:$HN$512,"="&amp;SUBSTITUTE(SUBSTITUTE(SUBSTITUTE('Dashboard'!$B$7,"~","~~"),"*","~*"),"?","~?"))+COUNTIFS('Calculations'!$HZ$13:$HZ$512,"="&amp;SUBSTITUTE(SUBSTITUTE(SUBSTITUTE('Calculations'!HF316,"~","~~"),"*","~*"),"?","~?"),'Calculations'!$HN$13:$HN$512,"="&amp;SUBSTITUTE(SUBSTITUTE(SUBSTITUTE('Dashboard'!$B$7,"~","~~"),"*","~*"),"?","~?"))+COUNTIFS('Calculations'!$IA$13:$IA$512,"="&amp;SUBSTITUTE(SUBSTITUTE(SUBSTITUTE('Calculations'!HF316,"~","~~"),"*","~*"),"?","~?"),'Calculations'!$HN$13:$HN$512,"="&amp;SUBSTITUTE(SUBSTITUTE(SUBSTITUTE('Dashboard'!$B$7,"~","~~"),"*","~*"),"?","~?"))+COUNTIFS('Calculations'!$IB$13:$IB$512,"="&amp;SUBSTITUTE(SUBSTITUTE(SUBSTITUTE('Calculations'!HF316,"~","~~"),"*","~*"),"?","~?"),'Calculations'!$HN$13:$HN$512,"="&amp;SUBSTITUTE(SUBSTITUTE(SUBSTITUTE('Dashboard'!$B$7,"~","~~"),"*","~*"),"?","~?"))+COUNTIFS('Calculations'!$IC$13:$IC$512,"="&amp;SUBSTITUTE(SUBSTITUTE(SUBSTITUTE('Calculations'!HF316,"~","~~"),"*","~*"),"?","~?"),'Calculations'!$HN$13:$HN$512,"="&amp;SUBSTITUTE(SUBSTITUTE(SUBSTITUTE('Dashboard'!$B$7,"~","~~"),"*","~*"),"?","~?"))+COUNTIFS('Calculations'!$ID$13:$ID$512,"="&amp;SUBSTITUTE(SUBSTITUTE(SUBSTITUTE('Calculations'!HF316,"~","~~"),"*","~*"),"?","~?"),'Calculations'!$HN$13:$HN$512,"="&amp;SUBSTITUTE(SUBSTITUTE(SUBSTITUTE('Dashboard'!$B$7,"~","~~"),"*","~*"),"?","~?"))+COUNTIFS('Calculations'!$IE$13:$IE$512,"="&amp;SUBSTITUTE(SUBSTITUTE(SUBSTITUTE('Calculations'!HF316,"~","~~"),"*","~*"),"?","~?"),'Calculations'!$HN$13:$HN$512,"="&amp;SUBSTITUTE(SUBSTITUTE(SUBSTITUTE('Dashboard'!$B$7,"~","~~"),"*","~*"),"?","~?"))+COUNTIFS('Calculations'!$IF$13:$IF$512,"="&amp;SUBSTITUTE(SUBSTITUTE(SUBSTITUTE('Calculations'!HF316,"~","~~"),"*","~*"),"?","~?"),'Calculations'!$HN$13:$HN$512,"="&amp;SUBSTITUTE(SUBSTITUTE(SUBSTITUTE('Dashboard'!$B$7,"~","~~"),"*","~*"),"?","~?"))+COUNTIFS('Calculations'!$IG$13:$IG$512,"="&amp;SUBSTITUTE(SUBSTITUTE(SUBSTITUTE('Calculations'!HF316,"~","~~"),"*","~*"),"?","~?"),'Calculations'!$HN$13:$HN$512,"="&amp;SUBSTITUTE(SUBSTITUTE(SUBSTITUTE('Dashboard'!$B$7,"~","~~"),"*","~*"),"?","~?"))+COUNTIFS('Calculations'!$IH$13:$IH$512,"="&amp;SUBSTITUTE(SUBSTITUTE(SUBSTITUTE('Calculations'!HF316,"~","~~"),"*","~*"),"?","~?"),'Calculations'!$HN$13:$HN$512,"="&amp;SUBSTITUTE(SUBSTITUTE(SUBSTITUTE('Dashboard'!$B$7,"~","~~"),"*","~*"),"?","~?"))))</x:f>
        <x:v>0</x:v>
      </x:c>
      <x:c r="JD316" t="n">
        <x:f>IF('Calculations'!EM316="",0,IF('Dashboard'!$B$7="All",1,IF('Calculations'!HN316='Dashboard'!$B$7,1,0)+IFERROR(INDEX('Calculations'!$JC$13:$JC$512,MATCH('Calculations'!HE316,'Calculations'!$HF$13:$HF$512,0)),0)))</x:f>
        <x:v>0</x:v>
      </x:c>
      <x:c r="JE316" t="n">
        <x:f>IF(AND('Calculations'!EM316&lt;&gt;"",'Calculations'!$JJ$2&lt;&gt;"All",'Calculations'!$JJ$2&lt;&gt;"",'Calculations'!HF316='Calculations'!$JJ$2,'Calculations'!HL316=0,'Calculations'!JD316&gt;0),MAX('Calculations'!$JE$12:JE315)+1,0)</x:f>
        <x:v>0</x:v>
      </x:c>
      <x:c r="JF316" t="str">
        <x:f>IF('Calculations'!EM316="","",IFERROR(IF(INDEX(INDIRECT("'WCM Calibration Final'!$G$1:$G$2000"),'Calculations'!$EM316)="","",TRIM(INDEX(INDIRECT("'WCM Calibration Final'!$G$1:$G$2000"),'Calculations'!$EM316)&amp;"")),""))</x:f>
      </x:c>
      <x:c r="JQ316" t="n">
        <x:f>IF(OR('Calculations'!BM316=0,NOT('Calculations'!$AG$2),'Calculations'!$AG$8&gt;0),0,IF(OR('Dashboard'!$B$7="All",'Calculations'!HN316='Dashboard'!$B$7),IF('Calculations'!$JJ$2="All",1,IF(AND('Calculations'!HF316='Calculations'!$JJ$2,'Calculations'!HL316=0),1,0)),0))</x:f>
        <x:v>0</x:v>
      </x:c>
    </x:row>
    <x:row r="317">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t="n">
        <x:f>IF('Calculations'!$EM317="",0,IF(OR(IFERROR(INDEX(INDIRECT("'WCM Calibration Final'!$A$1:$A$2000"),'Calculations'!$EM317)&lt;&gt;"",FALSE),IFERROR(INDEX(INDIRECT("'WCM Calibration Final'!$B$1:$B$2000"),'Calculations'!$EM317)&lt;&gt;"",FALSE),IFERROR(INDEX(INDIRECT("'WCM Calibration Final'!$C$1:$C$2000"),'Calculations'!$EM317)&lt;&gt;"",FALSE)),1,0))</x:f>
        <x:v>0</x:v>
      </x:c>
      <x:c r="BN317" s="4" t="n">
        <x:f>IF(AND('Calculations'!BM317=1,'Calculations'!$AG$2,'Calculations'!$EN317=1),1,0)</x:f>
        <x:v>0</x:v>
      </x:c>
      <x:c r="BO317" s="4" t="str">
        <x:f>IF('Calculations'!BM317=0,"",IFERROR(IF(AND(VALUE(INDEX(INDIRECT("'WCM Calibration Final'!$K$1:$K$2000"),'Calculations'!$EM317))&gt;=1,VALUE(INDEX(INDIRECT("'WCM Calibration Final'!$K$1:$K$2000"),'Calculations'!$EM317))&lt;=4,MOD(VALUE(INDEX(INDIRECT("'WCM Calibration Final'!$K$1:$K$2000"),'Calculations'!$EM317)),1)=0),VALUE(INDEX(INDIRECT("'WCM Calibration Final'!$K$1:$K$2000"),'Calculations'!$EM317)),""),""))</x:f>
      </x:c>
      <x:c r="BP317" s="4" t="str">
        <x:f>IF('Calculations'!BM317=0,"",IFERROR(IF(AND(VALUE(INDEX(INDIRECT("'WCM Calibration Final'!$L$1:$L$2000"),'Calculations'!$EM317))&gt;=1,VALUE(INDEX(INDIRECT("'WCM Calibration Final'!$L$1:$L$2000"),'Calculations'!$EM317))&lt;=4,MOD(VALUE(INDEX(INDIRECT("'WCM Calibration Final'!$L$1:$L$2000"),'Calculations'!$EM317)),1)=0),VALUE(INDEX(INDIRECT("'WCM Calibration Final'!$L$1:$L$2000"),'Calculations'!$EM317)),""),""))</x:f>
      </x:c>
      <x:c r="BQ317" s="4"/>
      <x:c r="BR317" s="4"/>
      <x:c r="BS317" s="4"/>
      <x:c r="BT317" s="4" t="n">
        <x:f>IF(AND('Calculations'!BM317=1,ISNUMBER('Calculations'!BO317),ISNUMBER('Calculations'!BP317)),1,0)</x:f>
        <x:v>0</x:v>
      </x:c>
      <x:c r="BU317" s="4" t="str">
        <x:f>IF('Calculations'!BM317=0,"",'Calculations'!$EO317)</x:f>
      </x:c>
      <x:c r="BV317" s="4" t="str">
        <x:f>IF('Calculations'!BM317=0,"",IFERROR(IF(OR(INDEX(INDIRECT("'WCM Calibration Final'!$H$1:$H$2000"),'Calculations'!$EM317)="MANAGING DIRECTOR",INDEX(INDIRECT("'WCM Calibration Final'!$H$1:$H$2000"),'Calculations'!$EM317)="DIRECTOR",INDEX(INDIRECT("'WCM Calibration Final'!$H$1:$H$2000"),'Calculations'!$EM317)="SENIOR VICE PRESIDENT",INDEX(INDIRECT("'WCM Calibration Final'!$H$1:$H$2000"),'Calculations'!$EM317)="VICE PRESIDENT",INDEX(INDIRECT("'WCM Calibration Final'!$H$1:$H$2000"),'Calculations'!$EM317)="ASSISTANT VICE PRESIDENT",INDEX(INDIRECT("'WCM Calibration Final'!$H$1:$H$2000"),'Calculations'!$EM317)="OFFICER"),UPPER(INDEX(INDIRECT("'WCM Calibration Final'!$H$1:$H$2000"),'Calculations'!$EM317)),"Other"),"Other"))</x:f>
      </x:c>
      <x:c r="BW317" s="4"/>
      <x:c r="BX317" s="4"/>
      <x:c r="BY317" s="4" t="n">
        <x:f>IF(AND('Calculations'!BM317=1,'Calculations'!BU317&lt;&gt;"",COUNTIF('Calculations'!$BU$12:BU317,'Calculations'!BU317)=1),MAX('Calculations'!$BY$11:BY316)+1,0)</x:f>
        <x:v>0</x:v>
      </x:c>
      <x:c r="BZ317" s="4" t="str">
        <x:f>IF('Dashboard'!$E$67="What",'Calculations'!BO317,'Calculations'!BP317)</x:f>
      </x:c>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t="str">
        <x:f>IF(306&gt;MAX('Calculations'!$HI$13:$HI$512),"",INDEX('Calculations'!$HN$13:$HN$512,MATCH(306,'Calculations'!$HI$13:$HI$512,0)))</x:f>
      </x:c>
      <x:c r="DB317" s="4" t="str">
        <x:f>IF(306&gt;MAX('Calculations'!$HH$13:$HH$512),"",INDEX('Calculations'!$HJ$13:$HJ$512,MATCH(306,'Calculations'!$HH$13:$HH$512,0)))</x:f>
      </x:c>
      <x:c r="DC317" s="4" t="str">
        <x:f>IF(ROW()-11&gt;MAX('Calculations'!$BY$13:$BY$512),"",INDEX('Calculations'!$BU$13:$BU$512,MATCH(ROW()-11,'Calculations'!$BY$13:$BY$512,0)))</x:f>
      </x:c>
      <x:c r="DD317" s="4" t="str">
        <x:f>IF(306&gt;MAX('Calculations'!$IK$13:$IK$512),"",INDEX('Calculations'!$HK$13:$HK$512,MATCH(306,'Calculations'!$IK$13:$IK$512,0)))</x:f>
      </x:c>
      <x:c r="DE317" s="4" t="str">
        <x:f>'Calculations'!DC317</x:f>
      </x:c>
      <x:c r="DF317" s="4" t="str">
        <x:f>IF('Calculations'!DE317="","",COUNTIFS('Calculations'!$BN$13:$BN$512,1,'Calculations'!$BU$13:$BU$512,'Calculations'!DE317))</x:f>
      </x:c>
      <x:c r="DG317" s="4" t="str">
        <x:f>IF('Calculations'!DE317="","",COUNTIFS('Calculations'!$BN$13:$BN$512,1,'Calculations'!$BU$13:$BU$512,'Calculations'!DE317,'Calculations'!$BT$13:$BT$512,1))</x:f>
      </x:c>
      <x:c r="DH317" s="4" t="str">
        <x:f>IF('Calculations'!DE317="","",'Calculations'!DF317-'Calculations'!DG317)</x:f>
      </x:c>
      <x:c r="DI317" s="4" t="str">
        <x:f>IF(OR('Calculations'!DE317="",'Calculations'!DF317=0),"",'Calculations'!DG317/'Calculations'!DF317)</x:f>
      </x:c>
      <x:c r="DJ317" s="4" t="str">
        <x:f>IF('Calculations'!DE317="","",COUNTIFS('Calculations'!$BN$13:$BN$512,1,'Calculations'!$BU$13:$BU$512,'Calculations'!DE317,'Calculations'!$BT$13:$BT$512,1,'Calculations'!$EE$13:$EE$512,"High"))</x:f>
      </x:c>
      <x:c r="DK317" s="4" t="str">
        <x:f>IF('Calculations'!DE317="","",COUNTIFS('Calculations'!$BN$13:$BN$512,1,'Calculations'!$BU$13:$BU$512,'Calculations'!DE317,'Calculations'!$BT$13:$BT$512,1,'Calculations'!$EE$13:$EE$512,"Strong"))</x:f>
      </x:c>
      <x:c r="DL317" s="4" t="str">
        <x:f>IF('Calculations'!DE317="","",COUNTIFS('Calculations'!$BN$13:$BN$512,1,'Calculations'!$BU$13:$BU$512,'Calculations'!DE317,'Calculations'!$BT$13:$BT$512,1,'Calculations'!$EE$13:$EE$512,"Solid"))</x:f>
      </x:c>
      <x:c r="DM317" s="4" t="str">
        <x:f>IF('Calculations'!DE317="","",COUNTIFS('Calculations'!$BN$13:$BN$512,1,'Calculations'!$BU$13:$BU$512,'Calculations'!DE317,'Calculations'!$BT$13:$BT$512,1,'Calculations'!$EE$13:$EE$512,"Low"))</x:f>
      </x:c>
      <x:c r="DN317" s="4" t="str">
        <x:f>IF('Calculations'!DE317="","",COUNTIFS('Calculations'!$BN$13:$BN$512,1,'Calculations'!$BU$13:$BU$512,'Calculations'!DE317,'Calculations'!$EP$13:$EP$512,1))</x:f>
      </x:c>
      <x:c r="DO317" s="4" t="str">
        <x:f>IF(OR('Calculations'!DE317="",'Calculations'!DG317=0),"",('Calculations'!DJ317+'Calculations'!DK317)/'Calculations'!DG317)</x:f>
      </x:c>
      <x:c r="DP317" s="4" t="n">
        <x:f>IF(AND('Calculations'!DE317&lt;&gt;"",'Calculations'!DF317&gt;0),COUNTIF('Calculations'!$DF$12:DF317,"&gt;0"),0)</x:f>
        <x:v>0</x:v>
      </x:c>
      <x:c r="DQ317" s="4" t="str">
        <x:f>IF(306&gt;MAX('Calculations'!$HH$13:$HH$512),"",INDEX('Calculations'!$HF$13:$HF$512,MATCH(306,'Calculations'!$HH$13:$HH$512,0)))</x:f>
      </x:c>
      <x:c r="DR317" s="4" t="str">
        <x:f>IF(306&gt;MAX('Calculations'!$IK$13:$IK$512),"",INDEX('Calculations'!$HE$13:$HE$512,MATCH(306,'Calculations'!$IK$13:$IK$512,0)))</x:f>
      </x:c>
      <x:c r="DS317" s="4"/>
      <x:c r="DT317" s="4"/>
      <x:c r="DU317" s="4"/>
      <x:c r="DV317" s="4"/>
      <x:c r="DW317" s="4"/>
      <x:c r="DX317" s="4"/>
      <x:c r="DY317" s="4"/>
      <x:c r="DZ317" s="4"/>
      <x:c r="EA317" s="4"/>
      <x:c r="EB317" s="4"/>
      <x:c r="EC317" s="4"/>
      <x:c r="ED317" s="4"/>
      <x:c r="EE317" s="4" t="str">
        <x:f>IF('Calculations'!BT317=0,"Not Rated",IF(OR('Calculations'!BO317&gt;=4,'Calculations'!BP317&gt;=4),"Low",IF('Calculations'!BO317+'Calculations'!BP317&lt;=3,"High",IF('Calculations'!BO317+'Calculations'!BP317&lt;=4,"Strong","Solid"))))</x:f>
        <x:v>Not Rated</x:v>
      </x:c>
      <x:c r="EF317" s="4"/>
      <x:c r="EG317" s="4"/>
      <x:c r="EH317" s="4"/>
      <x:c r="EI317" s="4"/>
      <x:c r="EJ317" s="4"/>
      <x:c r="EK317" s="4"/>
      <x:c r="EL317" s="4"/>
      <x:c r="EM317" s="4" t="str">
        <x:f>IF(305&gt;'Calculations'!$JB$2000,"",INDEX('Calculations'!$JA$12:$JA$2000,MATCH(305,'Calculations'!$JB$12:$JB$2000,0)))</x:f>
      </x:c>
      <x:c r="EN317" s="4" t="n">
        <x:f>IF(OR('Calculations'!EM317="",'Calculations'!$AG$8&gt;0,AND('Calculations'!$EF$2&lt;&gt;"All",'Calculations'!HE317='Calculations'!$EF$2),AND('Calculations'!$EF$3&lt;&gt;"All",'Calculations'!HE317='Calculations'!$EF$3)),0,IF(OR('Dashboard'!$B$7="All",'Calculations'!HN317='Dashboard'!$B$7),IF('Calculations'!$EF$2="All",1,IF('Calculations'!HL317&gt;0,0,IF(COUNTIF('Calculations'!HO317:II317,"="&amp;SUBSTITUTE(SUBSTITUTE(SUBSTITUTE('Calculations'!$EF$2,"~","~~"),"*","~*"),"?","~?"))=0,0,IF('Calculations'!$EF$3="All",1,IF(COUNTIF('Calculations'!HO317:II317,"="&amp;SUBSTITUTE(SUBSTITUTE(SUBSTITUTE('Calculations'!$EF$3,"~","~~"),"*","~*"),"?","~?"))&gt;0,1,0))))),0))</x:f>
        <x:v>0</x:v>
      </x:c>
      <x:c r="EO317" s="4" t="str">
        <x:f>IF('Calculations'!IJ317="","",IF('Calculations'!IJ317="!UNRESOLVED","Unresolved hierarchy",IFERROR(INDEX('Calculations'!$HK$13:$HK$512,MATCH('Calculations'!IJ317,'Calculations'!$HE$13:$HE$512,0)),IFERROR(INDEX('Calculations'!$HJ$13:$HJ$512,MATCH('Calculations'!IJ317,'Calculations'!$HF$13:$HF$512,0)),'Calculations'!IJ317))))</x:f>
      </x:c>
      <x:c r="EP317" s="4" t="n">
        <x:f>IF(AND('Calculations'!EM317&lt;&gt;"",'Calculations'!HF317='Calculations'!IJ317),1,0)</x:f>
        <x:v>0</x:v>
      </x:c>
      <x:c r="EQ317" s="4"/>
      <x:c r="ER317" s="4"/>
      <x:c r="ES317" s="4"/>
      <x:c r="ET317" s="4"/>
      <x:c r="EU317" s="4"/>
      <x:c r="EV317" s="4"/>
      <x:c r="EW317" s="4"/>
      <x:c r="EX317" s="4"/>
      <x:c r="EY317" s="4"/>
      <x:c r="EZ317" s="4"/>
      <x:c r="FA317" s="4"/>
      <x:c r="FB317" s="4"/>
      <x:c r="FC317" s="4"/>
      <x:c r="FD317" s="4"/>
      <x:c r="FE317" s="4"/>
      <x:c r="FF317" s="4"/>
      <x:c r="FG317" s="4"/>
      <x:c r="FH317" s="4"/>
      <x:c r="FI317" s="4"/>
      <x:c r="FJ317" s="4"/>
      <x:c r="FK317" s="4"/>
      <x:c r="FL317" s="4"/>
      <x:c r="FM317" s="4"/>
      <x:c r="FN317" s="4"/>
      <x:c r="FO317" s="4"/>
      <x:c r="HE317" t="str">
        <x:f>IF('Calculations'!EM317="","",IF(IFERROR(IF(INDEX(INDIRECT("'WCM Calibration Final'!$A$1:$A$2000"),'Calculations'!$EM317)="","",TRIM(INDEX(INDIRECT("'WCM Calibration Final'!$A$1:$A$2000"),'Calculations'!$EM317)&amp;"")),"")&lt;&gt;"","G:"&amp;IFERROR(TEXT(1*INDEX(INDIRECT("'WCM Calibration Final'!$A$1:$A$2000"),'Calculations'!$EM317),"0"),UPPER(IFERROR(IF(INDEX(INDIRECT("'WCM Calibration Final'!$A$1:$A$2000"),'Calculations'!$EM317)="","",TRIM(INDEX(INDIRECT("'WCM Calibration Final'!$A$1:$A$2000"),'Calculations'!$EM317)&amp;"")),""))),IF(IFERROR(IF(INDEX(INDIRECT("'WCM Calibration Final'!$C$1:$C$2000"),'Calculations'!$EM317)="","",TRIM(INDEX(INDIRECT("'WCM Calibration Final'!$C$1:$C$2000"),'Calculations'!$EM317)&amp;"")),"")&lt;&gt;"","S:"&amp;UPPER(IFERROR(IF(INDEX(INDIRECT("'WCM Calibration Final'!$C$1:$C$2000"),'Calculations'!$EM317)="","",TRIM(INDEX(INDIRECT("'WCM Calibration Final'!$C$1:$C$2000"),'Calculations'!$EM317)&amp;"")),"")),"R:"&amp;'Calculations'!EM317)))</x:f>
      </x:c>
      <x:c r="HF317" t="str">
        <x:f>IF('Calculations'!EM317="","",IF(IFERROR(IF(INDEX(INDIRECT("'WCM Calibration Final'!$D$1:$D$2000"),'Calculations'!$EM317)="","",TRIM(INDEX(INDIRECT("'WCM Calibration Final'!$D$1:$D$2000"),'Calculations'!$EM317)&amp;"")),"")&lt;&gt;"","G:"&amp;IFERROR(TEXT(1*INDEX(INDIRECT("'WCM Calibration Final'!$D$1:$D$2000"),'Calculations'!$EM317),"0"),UPPER(IFERROR(IF(INDEX(INDIRECT("'WCM Calibration Final'!$D$1:$D$2000"),'Calculations'!$EM317)="","",TRIM(INDEX(INDIRECT("'WCM Calibration Final'!$D$1:$D$2000"),'Calculations'!$EM317)&amp;"")),""))),IF(IFERROR(IF(INDEX(INDIRECT("'WCM Calibration Final'!$E$1:$E$2000"),'Calculations'!$EM317)="","",TRIM(INDEX(INDIRECT("'WCM Calibration Final'!$E$1:$E$2000"),'Calculations'!$EM317)&amp;"")),"")="","",IF(COUNTIF('Calculations'!$HG$13:$HG$512,"="&amp;SUBSTITUTE(SUBSTITUTE(SUBSTITUTE(IFERROR(IF(INDEX(INDIRECT("'WCM Calibration Final'!$E$1:$E$2000"),'Calculations'!$EM317)="","",TRIM(INDEX(INDIRECT("'WCM Calibration Final'!$E$1:$E$2000"),'Calculations'!$EM317)&amp;"")),""),"~","~~"),"*","~*"),"?","~?"))=1,INDEX('Calculations'!$HE$13:$HE$512,MATCH(IFERROR(IF(INDEX(INDIRECT("'WCM Calibration Final'!$E$1:$E$2000"),'Calculations'!$EM317)="","",TRIM(INDEX(INDIRECT("'WCM Calibration Final'!$E$1:$E$2000"),'Calculations'!$EM317)&amp;"")),""),'Calculations'!$HG$13:$HG$512,0)),IF(COUNTIF('Calculations'!$HG$13:$HG$512,"="&amp;SUBSTITUTE(SUBSTITUTE(SUBSTITUTE(IFERROR(IF(INDEX(INDIRECT("'WCM Calibration Final'!$E$1:$E$2000"),'Calculations'!$EM317)="","",TRIM(INDEX(INDIRECT("'WCM Calibration Final'!$E$1:$E$2000"),'Calculations'!$EM317)&amp;"")),""),"~","~~"),"*","~*"),"?","~?"))&gt;1,"!AMBIG","X:"&amp;IFERROR(IF(INDEX(INDIRECT("'WCM Calibration Final'!$E$1:$E$2000"),'Calculations'!$EM317)="","",TRIM(INDEX(INDIRECT("'WCM Calibration Final'!$E$1:$E$2000"),'Calculations'!$EM317)&amp;"")),""))))))</x:f>
      </x:c>
      <x:c r="HG317" t="str">
        <x:f>IF('Calculations'!EM317="","",IFERROR(IF(INDEX(INDIRECT("'WCM Calibration Final'!$B$1:$B$2000"),'Calculations'!$EM317)="","",TRIM(INDEX(INDIRECT("'WCM Calibration Final'!$B$1:$B$2000"),'Calculations'!$EM317)&amp;"")),""))</x:f>
      </x:c>
      <x:c r="HH317" t="n">
        <x:f>IF(AND('Calculations'!JC317&gt;0,COUNTIF('Calculations'!$HF$12:HF317,"="&amp;SUBSTITUTE(SUBSTITUTE(SUBSTITUTE('Calculations'!HF317,"~","~~"),"*","~*"),"?","~?"))=1),MAX('Calculations'!$HH$12:HH316)+1,0)</x:f>
        <x:v>0</x:v>
      </x:c>
      <x:c r="HI317" t="n">
        <x:f>IF(AND('Calculations'!HN317&lt;&gt;"",COUNTIF('Calculations'!$HN$12:HN317,"="&amp;SUBSTITUTE(SUBSTITUTE(SUBSTITUTE('Calculations'!HN317,"~","~~"),"*","~*"),"?","~?"))=1),MAX('Calculations'!$HI$12:HI316)+1,0)</x:f>
        <x:v>0</x:v>
      </x:c>
      <x:c r="HJ317" t="str">
        <x:f>IF('Calculations'!HF317="","",IF(COUNTIF('Calculations'!$HE$13:$HE$512,"="&amp;SUBSTITUTE(SUBSTITUTE(SUBSTITUTE('Calculations'!HF317,"~","~~"),"*","~*"),"?","~?"))=1,INDEX('Calculations'!$HK$13:$HK$512,MATCH('Calculations'!HF317,'Calculations'!$HE$13:$HE$512,0)),IFERROR(IF(INDEX(INDIRECT("'WCM Calibration Final'!$E$1:$E$2000"),'Calculations'!$EM317)="","",TRIM(INDEX(INDIRECT("'WCM Calibration Final'!$E$1:$E$2000"),'Calculations'!$EM317)&amp;"")),"")&amp;" ["&amp;'Calculations'!HF317&amp;"]"))</x:f>
      </x:c>
      <x:c r="HK317" t="str">
        <x:f>IF('Calculations'!EM317="","",'Calculations'!HG317&amp;" ["&amp;'Calculations'!HE317&amp;"]")</x:f>
      </x:c>
      <x:c r="HL317" t="n">
        <x:f>IF('Calculations'!EM317="",0,IF(OR('Calculations'!II317&lt;&gt;"",COUNTIF('Calculations'!$HE$13:$HE$512,"="&amp;SUBSTITUTE(SUBSTITUTE(SUBSTITUTE('Calculations'!HE317,"~","~~"),"*","~*"),"?","~?"))&gt;1),1,0))</x:f>
        <x:v>0</x:v>
      </x:c>
      <x:c r="HM317" t="str">
        <x:f>IF('Calculations'!EM317="","",IF('Calculations'!HL317=1,"!UNRESOLVED",IF('Calculations'!IH317&lt;&gt;"",'Calculations'!IH317,IF('Calculations'!IG317&lt;&gt;"",'Calculations'!IG317,IF('Calculations'!IF317&lt;&gt;"",'Calculations'!IF317,IF('Calculations'!IE317&lt;&gt;"",'Calculations'!IE317,IF('Calculations'!ID317&lt;&gt;"",'Calculations'!ID317,IF('Calculations'!IC317&lt;&gt;"",'Calculations'!IC317,IF('Calculations'!IB317&lt;&gt;"",'Calculations'!IB317,IF('Calculations'!IA317&lt;&gt;"",'Calculations'!IA317,IF('Calculations'!HZ317&lt;&gt;"",'Calculations'!HZ317,IF('Calculations'!HY317&lt;&gt;"",'Calculations'!HY317,IF('Calculations'!HX317&lt;&gt;"",'Calculations'!HX317,IF('Calculations'!HW317&lt;&gt;"",'Calculations'!HW317,IF('Calculations'!HV317&lt;&gt;"",'Calculations'!HV317,IF('Calculations'!HU317&lt;&gt;"",'Calculations'!HU317,IF('Calculations'!HT317&lt;&gt;"",'Calculations'!HT317,IF('Calculations'!HS317&lt;&gt;"",'Calculations'!HS317,IF('Calculations'!HR317&lt;&gt;"",'Calculations'!HR317,IF('Calculations'!HQ317&lt;&gt;"",'Calculations'!HQ317,IF('Calculations'!HP317&lt;&gt;"",'Calculations'!HP317,IF('Calculations'!HO317&lt;&gt;"",'Calculations'!HO317,'Calculations'!HE317))))))))))))))))))))))</x:f>
      </x:c>
      <x:c r="HN317" t="str">
        <x:f>IF('Calculations'!EM317="","",IF(IFERROR(IF(INDEX(INDIRECT("'WCM Calibration Final'!$F$1:$F$2000"),'Calculations'!$EM317)="","",TRIM(INDEX(INDIRECT("'WCM Calibration Final'!$F$1:$F$2000"),'Calculations'!$EM317)&amp;"")),"")="","(Blank)",IFERROR(IF(INDEX(INDIRECT("'WCM Calibration Final'!$F$1:$F$2000"),'Calculations'!$EM317)="","",TRIM(INDEX(INDIRECT("'WCM Calibration Final'!$F$1:$F$2000"),'Calculations'!$EM317)&amp;"")),"")))</x:f>
      </x:c>
      <x:c r="HO317" t="str">
        <x:f>'Calculations'!HF317</x:f>
      </x:c>
      <x:c r="HP317" t="str">
        <x:f>IF('Calculations'!HO317="","",IF('Calculations'!HO317="!AMBIG","!AMBIG",IF(COUNTIF('Calculations'!$HE$13:$HE$512,"="&amp;SUBSTITUTE(SUBSTITUTE(SUBSTITUTE('Calculations'!HO317,"~","~~"),"*","~*"),"?","~?"))&gt;1,"!AMBIG",IFERROR(INDEX('Calculations'!$HF$13:$HF$512,MATCH('Calculations'!HO317,'Calculations'!$HE$13:$HE$512,0)),""))))</x:f>
      </x:c>
      <x:c r="HQ317" t="str">
        <x:f>IF('Calculations'!HP317="","",IF('Calculations'!HP317="!AMBIG","!AMBIG",IF(COUNTIF('Calculations'!$HE$13:$HE$512,"="&amp;SUBSTITUTE(SUBSTITUTE(SUBSTITUTE('Calculations'!HP317,"~","~~"),"*","~*"),"?","~?"))&gt;1,"!AMBIG",IFERROR(INDEX('Calculations'!$HF$13:$HF$512,MATCH('Calculations'!HP317,'Calculations'!$HE$13:$HE$512,0)),""))))</x:f>
      </x:c>
      <x:c r="HR317" t="str">
        <x:f>IF('Calculations'!HQ317="","",IF('Calculations'!HQ317="!AMBIG","!AMBIG",IF(COUNTIF('Calculations'!$HE$13:$HE$512,"="&amp;SUBSTITUTE(SUBSTITUTE(SUBSTITUTE('Calculations'!HQ317,"~","~~"),"*","~*"),"?","~?"))&gt;1,"!AMBIG",IFERROR(INDEX('Calculations'!$HF$13:$HF$512,MATCH('Calculations'!HQ317,'Calculations'!$HE$13:$HE$512,0)),""))))</x:f>
      </x:c>
      <x:c r="HS317" t="str">
        <x:f>IF('Calculations'!HR317="","",IF('Calculations'!HR317="!AMBIG","!AMBIG",IF(COUNTIF('Calculations'!$HE$13:$HE$512,"="&amp;SUBSTITUTE(SUBSTITUTE(SUBSTITUTE('Calculations'!HR317,"~","~~"),"*","~*"),"?","~?"))&gt;1,"!AMBIG",IFERROR(INDEX('Calculations'!$HF$13:$HF$512,MATCH('Calculations'!HR317,'Calculations'!$HE$13:$HE$512,0)),""))))</x:f>
      </x:c>
      <x:c r="HT317" t="str">
        <x:f>IF('Calculations'!HS317="","",IF('Calculations'!HS317="!AMBIG","!AMBIG",IF(COUNTIF('Calculations'!$HE$13:$HE$512,"="&amp;SUBSTITUTE(SUBSTITUTE(SUBSTITUTE('Calculations'!HS317,"~","~~"),"*","~*"),"?","~?"))&gt;1,"!AMBIG",IFERROR(INDEX('Calculations'!$HF$13:$HF$512,MATCH('Calculations'!HS317,'Calculations'!$HE$13:$HE$512,0)),""))))</x:f>
      </x:c>
      <x:c r="HU317" t="str">
        <x:f>IF('Calculations'!HT317="","",IF('Calculations'!HT317="!AMBIG","!AMBIG",IF(COUNTIF('Calculations'!$HE$13:$HE$512,"="&amp;SUBSTITUTE(SUBSTITUTE(SUBSTITUTE('Calculations'!HT317,"~","~~"),"*","~*"),"?","~?"))&gt;1,"!AMBIG",IFERROR(INDEX('Calculations'!$HF$13:$HF$512,MATCH('Calculations'!HT317,'Calculations'!$HE$13:$HE$512,0)),""))))</x:f>
      </x:c>
      <x:c r="HV317" t="str">
        <x:f>IF('Calculations'!HU317="","",IF('Calculations'!HU317="!AMBIG","!AMBIG",IF(COUNTIF('Calculations'!$HE$13:$HE$512,"="&amp;SUBSTITUTE(SUBSTITUTE(SUBSTITUTE('Calculations'!HU317,"~","~~"),"*","~*"),"?","~?"))&gt;1,"!AMBIG",IFERROR(INDEX('Calculations'!$HF$13:$HF$512,MATCH('Calculations'!HU317,'Calculations'!$HE$13:$HE$512,0)),""))))</x:f>
      </x:c>
      <x:c r="HW317" t="str">
        <x:f>IF('Calculations'!HV317="","",IF('Calculations'!HV317="!AMBIG","!AMBIG",IF(COUNTIF('Calculations'!$HE$13:$HE$512,"="&amp;SUBSTITUTE(SUBSTITUTE(SUBSTITUTE('Calculations'!HV317,"~","~~"),"*","~*"),"?","~?"))&gt;1,"!AMBIG",IFERROR(INDEX('Calculations'!$HF$13:$HF$512,MATCH('Calculations'!HV317,'Calculations'!$HE$13:$HE$512,0)),""))))</x:f>
      </x:c>
      <x:c r="HX317" t="str">
        <x:f>IF('Calculations'!HW317="","",IF('Calculations'!HW317="!AMBIG","!AMBIG",IF(COUNTIF('Calculations'!$HE$13:$HE$512,"="&amp;SUBSTITUTE(SUBSTITUTE(SUBSTITUTE('Calculations'!HW317,"~","~~"),"*","~*"),"?","~?"))&gt;1,"!AMBIG",IFERROR(INDEX('Calculations'!$HF$13:$HF$512,MATCH('Calculations'!HW317,'Calculations'!$HE$13:$HE$512,0)),""))))</x:f>
      </x:c>
      <x:c r="HY317" t="str">
        <x:f>IF('Calculations'!HX317="","",IF('Calculations'!HX317="!AMBIG","!AMBIG",IF(COUNTIF('Calculations'!$HE$13:$HE$512,"="&amp;SUBSTITUTE(SUBSTITUTE(SUBSTITUTE('Calculations'!HX317,"~","~~"),"*","~*"),"?","~?"))&gt;1,"!AMBIG",IFERROR(INDEX('Calculations'!$HF$13:$HF$512,MATCH('Calculations'!HX317,'Calculations'!$HE$13:$HE$512,0)),""))))</x:f>
      </x:c>
      <x:c r="HZ317" t="str">
        <x:f>IF('Calculations'!HY317="","",IF('Calculations'!HY317="!AMBIG","!AMBIG",IF(COUNTIF('Calculations'!$HE$13:$HE$512,"="&amp;SUBSTITUTE(SUBSTITUTE(SUBSTITUTE('Calculations'!HY317,"~","~~"),"*","~*"),"?","~?"))&gt;1,"!AMBIG",IFERROR(INDEX('Calculations'!$HF$13:$HF$512,MATCH('Calculations'!HY317,'Calculations'!$HE$13:$HE$512,0)),""))))</x:f>
      </x:c>
      <x:c r="IA317" t="str">
        <x:f>IF('Calculations'!HZ317="","",IF('Calculations'!HZ317="!AMBIG","!AMBIG",IF(COUNTIF('Calculations'!$HE$13:$HE$512,"="&amp;SUBSTITUTE(SUBSTITUTE(SUBSTITUTE('Calculations'!HZ317,"~","~~"),"*","~*"),"?","~?"))&gt;1,"!AMBIG",IFERROR(INDEX('Calculations'!$HF$13:$HF$512,MATCH('Calculations'!HZ317,'Calculations'!$HE$13:$HE$512,0)),""))))</x:f>
      </x:c>
      <x:c r="IB317" t="str">
        <x:f>IF('Calculations'!IA317="","",IF('Calculations'!IA317="!AMBIG","!AMBIG",IF(COUNTIF('Calculations'!$HE$13:$HE$512,"="&amp;SUBSTITUTE(SUBSTITUTE(SUBSTITUTE('Calculations'!IA317,"~","~~"),"*","~*"),"?","~?"))&gt;1,"!AMBIG",IFERROR(INDEX('Calculations'!$HF$13:$HF$512,MATCH('Calculations'!IA317,'Calculations'!$HE$13:$HE$512,0)),""))))</x:f>
      </x:c>
      <x:c r="IC317" t="str">
        <x:f>IF('Calculations'!IB317="","",IF('Calculations'!IB317="!AMBIG","!AMBIG",IF(COUNTIF('Calculations'!$HE$13:$HE$512,"="&amp;SUBSTITUTE(SUBSTITUTE(SUBSTITUTE('Calculations'!IB317,"~","~~"),"*","~*"),"?","~?"))&gt;1,"!AMBIG",IFERROR(INDEX('Calculations'!$HF$13:$HF$512,MATCH('Calculations'!IB317,'Calculations'!$HE$13:$HE$512,0)),""))))</x:f>
      </x:c>
      <x:c r="ID317" t="str">
        <x:f>IF('Calculations'!IC317="","",IF('Calculations'!IC317="!AMBIG","!AMBIG",IF(COUNTIF('Calculations'!$HE$13:$HE$512,"="&amp;SUBSTITUTE(SUBSTITUTE(SUBSTITUTE('Calculations'!IC317,"~","~~"),"*","~*"),"?","~?"))&gt;1,"!AMBIG",IFERROR(INDEX('Calculations'!$HF$13:$HF$512,MATCH('Calculations'!IC317,'Calculations'!$HE$13:$HE$512,0)),""))))</x:f>
      </x:c>
      <x:c r="IE317" t="str">
        <x:f>IF('Calculations'!ID317="","",IF('Calculations'!ID317="!AMBIG","!AMBIG",IF(COUNTIF('Calculations'!$HE$13:$HE$512,"="&amp;SUBSTITUTE(SUBSTITUTE(SUBSTITUTE('Calculations'!ID317,"~","~~"),"*","~*"),"?","~?"))&gt;1,"!AMBIG",IFERROR(INDEX('Calculations'!$HF$13:$HF$512,MATCH('Calculations'!ID317,'Calculations'!$HE$13:$HE$512,0)),""))))</x:f>
      </x:c>
      <x:c r="IF317" t="str">
        <x:f>IF('Calculations'!IE317="","",IF('Calculations'!IE317="!AMBIG","!AMBIG",IF(COUNTIF('Calculations'!$HE$13:$HE$512,"="&amp;SUBSTITUTE(SUBSTITUTE(SUBSTITUTE('Calculations'!IE317,"~","~~"),"*","~*"),"?","~?"))&gt;1,"!AMBIG",IFERROR(INDEX('Calculations'!$HF$13:$HF$512,MATCH('Calculations'!IE317,'Calculations'!$HE$13:$HE$512,0)),""))))</x:f>
      </x:c>
      <x:c r="IG317" t="str">
        <x:f>IF('Calculations'!IF317="","",IF('Calculations'!IF317="!AMBIG","!AMBIG",IF(COUNTIF('Calculations'!$HE$13:$HE$512,"="&amp;SUBSTITUTE(SUBSTITUTE(SUBSTITUTE('Calculations'!IF317,"~","~~"),"*","~*"),"?","~?"))&gt;1,"!AMBIG",IFERROR(INDEX('Calculations'!$HF$13:$HF$512,MATCH('Calculations'!IF317,'Calculations'!$HE$13:$HE$512,0)),""))))</x:f>
      </x:c>
      <x:c r="IH317" t="str">
        <x:f>IF('Calculations'!IG317="","",IF('Calculations'!IG317="!AMBIG","!AMBIG",IF(COUNTIF('Calculations'!$HE$13:$HE$512,"="&amp;SUBSTITUTE(SUBSTITUTE(SUBSTITUTE('Calculations'!IG317,"~","~~"),"*","~*"),"?","~?"))&gt;1,"!AMBIG",IFERROR(INDEX('Calculations'!$HF$13:$HF$512,MATCH('Calculations'!IG317,'Calculations'!$HE$13:$HE$512,0)),""))))</x:f>
      </x:c>
      <x:c r="II317" t="str">
        <x:f>IF('Calculations'!IH317="","",IF('Calculations'!IH317="!AMBIG","!AMBIG",IF(COUNTIF('Calculations'!$HE$13:$HE$512,"="&amp;SUBSTITUTE(SUBSTITUTE(SUBSTITUTE('Calculations'!IH317,"~","~~"),"*","~*"),"?","~?"))&gt;1,"!AMBIG",IFERROR(INDEX('Calculations'!$HF$13:$HF$512,MATCH('Calculations'!IH317,'Calculations'!$HE$13:$HE$512,0)),""))))</x:f>
      </x:c>
      <x:c r="IJ317" t="str">
        <x:f>IF('Calculations'!EM317="","",IF('Calculations'!$EF$2="All",'Calculations'!HM317,IF('Calculations'!HL317=1,"",IFERROR(IF(MATCH('Calculations'!$EF$2,'Calculations'!HO317:II317,0)=1,'Calculations'!HE317,INDEX('Calculations'!HO317:II317,1,MATCH('Calculations'!$EF$2,'Calculations'!HO317:II317,0)-1)),""))))</x:f>
      </x:c>
      <x:c r="IK317" t="n">
        <x:f>IF(AND('Calculations'!EM317&lt;&gt;"",'Calculations'!$EF$2&lt;&gt;"All",'Calculations'!HF317='Calculations'!$EF$2,'Calculations'!HL317=0,'Calculations'!JD317&gt;0),MAX('Calculations'!$IK$12:IK316)+1,0)</x:f>
        <x:v>0</x:v>
      </x:c>
      <x:c r="JA317" t="n">
        <x:f>IF(OR(IFERROR(INDIRECT("'WCM Calibration Final'!$A$317")&lt;&gt;"",FALSE),IFERROR(INDIRECT("'WCM Calibration Final'!$B$317")&lt;&gt;"",FALSE),IFERROR(INDIRECT("'WCM Calibration Final'!$C$317")&lt;&gt;"",FALSE)),317,0)</x:f>
        <x:v>0</x:v>
      </x:c>
      <x:c r="JB317" t="n">
        <x:f>'Calculations'!JB316+IF('Calculations'!JA317&gt;0,1,0)</x:f>
        <x:v>0</x:v>
      </x:c>
      <x:c r="JC317" t="n">
        <x:f>IF(OR('Calculations'!HF317="",'Calculations'!HF317="!AMBIG"),0,IF('Dashboard'!$B$7="All",1,COUNTIFS('Calculations'!$HO$13:$HO$512,"="&amp;SUBSTITUTE(SUBSTITUTE(SUBSTITUTE('Calculations'!HF317,"~","~~"),"*","~*"),"?","~?"),'Calculations'!$HN$13:$HN$512,"="&amp;SUBSTITUTE(SUBSTITUTE(SUBSTITUTE('Dashboard'!$B$7,"~","~~"),"*","~*"),"?","~?"))+COUNTIFS('Calculations'!$HP$13:$HP$512,"="&amp;SUBSTITUTE(SUBSTITUTE(SUBSTITUTE('Calculations'!HF317,"~","~~"),"*","~*"),"?","~?"),'Calculations'!$HN$13:$HN$512,"="&amp;SUBSTITUTE(SUBSTITUTE(SUBSTITUTE('Dashboard'!$B$7,"~","~~"),"*","~*"),"?","~?"))+COUNTIFS('Calculations'!$HQ$13:$HQ$512,"="&amp;SUBSTITUTE(SUBSTITUTE(SUBSTITUTE('Calculations'!HF317,"~","~~"),"*","~*"),"?","~?"),'Calculations'!$HN$13:$HN$512,"="&amp;SUBSTITUTE(SUBSTITUTE(SUBSTITUTE('Dashboard'!$B$7,"~","~~"),"*","~*"),"?","~?"))+COUNTIFS('Calculations'!$HR$13:$HR$512,"="&amp;SUBSTITUTE(SUBSTITUTE(SUBSTITUTE('Calculations'!HF317,"~","~~"),"*","~*"),"?","~?"),'Calculations'!$HN$13:$HN$512,"="&amp;SUBSTITUTE(SUBSTITUTE(SUBSTITUTE('Dashboard'!$B$7,"~","~~"),"*","~*"),"?","~?"))+COUNTIFS('Calculations'!$HS$13:$HS$512,"="&amp;SUBSTITUTE(SUBSTITUTE(SUBSTITUTE('Calculations'!HF317,"~","~~"),"*","~*"),"?","~?"),'Calculations'!$HN$13:$HN$512,"="&amp;SUBSTITUTE(SUBSTITUTE(SUBSTITUTE('Dashboard'!$B$7,"~","~~"),"*","~*"),"?","~?"))+COUNTIFS('Calculations'!$HT$13:$HT$512,"="&amp;SUBSTITUTE(SUBSTITUTE(SUBSTITUTE('Calculations'!HF317,"~","~~"),"*","~*"),"?","~?"),'Calculations'!$HN$13:$HN$512,"="&amp;SUBSTITUTE(SUBSTITUTE(SUBSTITUTE('Dashboard'!$B$7,"~","~~"),"*","~*"),"?","~?"))+COUNTIFS('Calculations'!$HU$13:$HU$512,"="&amp;SUBSTITUTE(SUBSTITUTE(SUBSTITUTE('Calculations'!HF317,"~","~~"),"*","~*"),"?","~?"),'Calculations'!$HN$13:$HN$512,"="&amp;SUBSTITUTE(SUBSTITUTE(SUBSTITUTE('Dashboard'!$B$7,"~","~~"),"*","~*"),"?","~?"))+COUNTIFS('Calculations'!$HV$13:$HV$512,"="&amp;SUBSTITUTE(SUBSTITUTE(SUBSTITUTE('Calculations'!HF317,"~","~~"),"*","~*"),"?","~?"),'Calculations'!$HN$13:$HN$512,"="&amp;SUBSTITUTE(SUBSTITUTE(SUBSTITUTE('Dashboard'!$B$7,"~","~~"),"*","~*"),"?","~?"))+COUNTIFS('Calculations'!$HW$13:$HW$512,"="&amp;SUBSTITUTE(SUBSTITUTE(SUBSTITUTE('Calculations'!HF317,"~","~~"),"*","~*"),"?","~?"),'Calculations'!$HN$13:$HN$512,"="&amp;SUBSTITUTE(SUBSTITUTE(SUBSTITUTE('Dashboard'!$B$7,"~","~~"),"*","~*"),"?","~?"))+COUNTIFS('Calculations'!$HX$13:$HX$512,"="&amp;SUBSTITUTE(SUBSTITUTE(SUBSTITUTE('Calculations'!HF317,"~","~~"),"*","~*"),"?","~?"),'Calculations'!$HN$13:$HN$512,"="&amp;SUBSTITUTE(SUBSTITUTE(SUBSTITUTE('Dashboard'!$B$7,"~","~~"),"*","~*"),"?","~?"))+COUNTIFS('Calculations'!$HY$13:$HY$512,"="&amp;SUBSTITUTE(SUBSTITUTE(SUBSTITUTE('Calculations'!HF317,"~","~~"),"*","~*"),"?","~?"),'Calculations'!$HN$13:$HN$512,"="&amp;SUBSTITUTE(SUBSTITUTE(SUBSTITUTE('Dashboard'!$B$7,"~","~~"),"*","~*"),"?","~?"))+COUNTIFS('Calculations'!$HZ$13:$HZ$512,"="&amp;SUBSTITUTE(SUBSTITUTE(SUBSTITUTE('Calculations'!HF317,"~","~~"),"*","~*"),"?","~?"),'Calculations'!$HN$13:$HN$512,"="&amp;SUBSTITUTE(SUBSTITUTE(SUBSTITUTE('Dashboard'!$B$7,"~","~~"),"*","~*"),"?","~?"))+COUNTIFS('Calculations'!$IA$13:$IA$512,"="&amp;SUBSTITUTE(SUBSTITUTE(SUBSTITUTE('Calculations'!HF317,"~","~~"),"*","~*"),"?","~?"),'Calculations'!$HN$13:$HN$512,"="&amp;SUBSTITUTE(SUBSTITUTE(SUBSTITUTE('Dashboard'!$B$7,"~","~~"),"*","~*"),"?","~?"))+COUNTIFS('Calculations'!$IB$13:$IB$512,"="&amp;SUBSTITUTE(SUBSTITUTE(SUBSTITUTE('Calculations'!HF317,"~","~~"),"*","~*"),"?","~?"),'Calculations'!$HN$13:$HN$512,"="&amp;SUBSTITUTE(SUBSTITUTE(SUBSTITUTE('Dashboard'!$B$7,"~","~~"),"*","~*"),"?","~?"))+COUNTIFS('Calculations'!$IC$13:$IC$512,"="&amp;SUBSTITUTE(SUBSTITUTE(SUBSTITUTE('Calculations'!HF317,"~","~~"),"*","~*"),"?","~?"),'Calculations'!$HN$13:$HN$512,"="&amp;SUBSTITUTE(SUBSTITUTE(SUBSTITUTE('Dashboard'!$B$7,"~","~~"),"*","~*"),"?","~?"))+COUNTIFS('Calculations'!$ID$13:$ID$512,"="&amp;SUBSTITUTE(SUBSTITUTE(SUBSTITUTE('Calculations'!HF317,"~","~~"),"*","~*"),"?","~?"),'Calculations'!$HN$13:$HN$512,"="&amp;SUBSTITUTE(SUBSTITUTE(SUBSTITUTE('Dashboard'!$B$7,"~","~~"),"*","~*"),"?","~?"))+COUNTIFS('Calculations'!$IE$13:$IE$512,"="&amp;SUBSTITUTE(SUBSTITUTE(SUBSTITUTE('Calculations'!HF317,"~","~~"),"*","~*"),"?","~?"),'Calculations'!$HN$13:$HN$512,"="&amp;SUBSTITUTE(SUBSTITUTE(SUBSTITUTE('Dashboard'!$B$7,"~","~~"),"*","~*"),"?","~?"))+COUNTIFS('Calculations'!$IF$13:$IF$512,"="&amp;SUBSTITUTE(SUBSTITUTE(SUBSTITUTE('Calculations'!HF317,"~","~~"),"*","~*"),"?","~?"),'Calculations'!$HN$13:$HN$512,"="&amp;SUBSTITUTE(SUBSTITUTE(SUBSTITUTE('Dashboard'!$B$7,"~","~~"),"*","~*"),"?","~?"))+COUNTIFS('Calculations'!$IG$13:$IG$512,"="&amp;SUBSTITUTE(SUBSTITUTE(SUBSTITUTE('Calculations'!HF317,"~","~~"),"*","~*"),"?","~?"),'Calculations'!$HN$13:$HN$512,"="&amp;SUBSTITUTE(SUBSTITUTE(SUBSTITUTE('Dashboard'!$B$7,"~","~~"),"*","~*"),"?","~?"))+COUNTIFS('Calculations'!$IH$13:$IH$512,"="&amp;SUBSTITUTE(SUBSTITUTE(SUBSTITUTE('Calculations'!HF317,"~","~~"),"*","~*"),"?","~?"),'Calculations'!$HN$13:$HN$512,"="&amp;SUBSTITUTE(SUBSTITUTE(SUBSTITUTE('Dashboard'!$B$7,"~","~~"),"*","~*"),"?","~?"))))</x:f>
        <x:v>0</x:v>
      </x:c>
      <x:c r="JD317" t="n">
        <x:f>IF('Calculations'!EM317="",0,IF('Dashboard'!$B$7="All",1,IF('Calculations'!HN317='Dashboard'!$B$7,1,0)+IFERROR(INDEX('Calculations'!$JC$13:$JC$512,MATCH('Calculations'!HE317,'Calculations'!$HF$13:$HF$512,0)),0)))</x:f>
        <x:v>0</x:v>
      </x:c>
      <x:c r="JE317" t="n">
        <x:f>IF(AND('Calculations'!EM317&lt;&gt;"",'Calculations'!$JJ$2&lt;&gt;"All",'Calculations'!$JJ$2&lt;&gt;"",'Calculations'!HF317='Calculations'!$JJ$2,'Calculations'!HL317=0,'Calculations'!JD317&gt;0),MAX('Calculations'!$JE$12:JE316)+1,0)</x:f>
        <x:v>0</x:v>
      </x:c>
      <x:c r="JF317" t="str">
        <x:f>IF('Calculations'!EM317="","",IFERROR(IF(INDEX(INDIRECT("'WCM Calibration Final'!$G$1:$G$2000"),'Calculations'!$EM317)="","",TRIM(INDEX(INDIRECT("'WCM Calibration Final'!$G$1:$G$2000"),'Calculations'!$EM317)&amp;"")),""))</x:f>
      </x:c>
      <x:c r="JQ317" t="n">
        <x:f>IF(OR('Calculations'!BM317=0,NOT('Calculations'!$AG$2),'Calculations'!$AG$8&gt;0),0,IF(OR('Dashboard'!$B$7="All",'Calculations'!HN317='Dashboard'!$B$7),IF('Calculations'!$JJ$2="All",1,IF(AND('Calculations'!HF317='Calculations'!$JJ$2,'Calculations'!HL317=0),1,0)),0))</x:f>
        <x:v>0</x:v>
      </x:c>
    </x:row>
    <x:row r="318">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t="n">
        <x:f>IF('Calculations'!$EM318="",0,IF(OR(IFERROR(INDEX(INDIRECT("'WCM Calibration Final'!$A$1:$A$2000"),'Calculations'!$EM318)&lt;&gt;"",FALSE),IFERROR(INDEX(INDIRECT("'WCM Calibration Final'!$B$1:$B$2000"),'Calculations'!$EM318)&lt;&gt;"",FALSE),IFERROR(INDEX(INDIRECT("'WCM Calibration Final'!$C$1:$C$2000"),'Calculations'!$EM318)&lt;&gt;"",FALSE)),1,0))</x:f>
        <x:v>0</x:v>
      </x:c>
      <x:c r="BN318" s="4" t="n">
        <x:f>IF(AND('Calculations'!BM318=1,'Calculations'!$AG$2,'Calculations'!$EN318=1),1,0)</x:f>
        <x:v>0</x:v>
      </x:c>
      <x:c r="BO318" s="4" t="str">
        <x:f>IF('Calculations'!BM318=0,"",IFERROR(IF(AND(VALUE(INDEX(INDIRECT("'WCM Calibration Final'!$K$1:$K$2000"),'Calculations'!$EM318))&gt;=1,VALUE(INDEX(INDIRECT("'WCM Calibration Final'!$K$1:$K$2000"),'Calculations'!$EM318))&lt;=4,MOD(VALUE(INDEX(INDIRECT("'WCM Calibration Final'!$K$1:$K$2000"),'Calculations'!$EM318)),1)=0),VALUE(INDEX(INDIRECT("'WCM Calibration Final'!$K$1:$K$2000"),'Calculations'!$EM318)),""),""))</x:f>
      </x:c>
      <x:c r="BP318" s="4" t="str">
        <x:f>IF('Calculations'!BM318=0,"",IFERROR(IF(AND(VALUE(INDEX(INDIRECT("'WCM Calibration Final'!$L$1:$L$2000"),'Calculations'!$EM318))&gt;=1,VALUE(INDEX(INDIRECT("'WCM Calibration Final'!$L$1:$L$2000"),'Calculations'!$EM318))&lt;=4,MOD(VALUE(INDEX(INDIRECT("'WCM Calibration Final'!$L$1:$L$2000"),'Calculations'!$EM318)),1)=0),VALUE(INDEX(INDIRECT("'WCM Calibration Final'!$L$1:$L$2000"),'Calculations'!$EM318)),""),""))</x:f>
      </x:c>
      <x:c r="BQ318" s="4"/>
      <x:c r="BR318" s="4"/>
      <x:c r="BS318" s="4"/>
      <x:c r="BT318" s="4" t="n">
        <x:f>IF(AND('Calculations'!BM318=1,ISNUMBER('Calculations'!BO318),ISNUMBER('Calculations'!BP318)),1,0)</x:f>
        <x:v>0</x:v>
      </x:c>
      <x:c r="BU318" s="4" t="str">
        <x:f>IF('Calculations'!BM318=0,"",'Calculations'!$EO318)</x:f>
      </x:c>
      <x:c r="BV318" s="4" t="str">
        <x:f>IF('Calculations'!BM318=0,"",IFERROR(IF(OR(INDEX(INDIRECT("'WCM Calibration Final'!$H$1:$H$2000"),'Calculations'!$EM318)="MANAGING DIRECTOR",INDEX(INDIRECT("'WCM Calibration Final'!$H$1:$H$2000"),'Calculations'!$EM318)="DIRECTOR",INDEX(INDIRECT("'WCM Calibration Final'!$H$1:$H$2000"),'Calculations'!$EM318)="SENIOR VICE PRESIDENT",INDEX(INDIRECT("'WCM Calibration Final'!$H$1:$H$2000"),'Calculations'!$EM318)="VICE PRESIDENT",INDEX(INDIRECT("'WCM Calibration Final'!$H$1:$H$2000"),'Calculations'!$EM318)="ASSISTANT VICE PRESIDENT",INDEX(INDIRECT("'WCM Calibration Final'!$H$1:$H$2000"),'Calculations'!$EM318)="OFFICER"),UPPER(INDEX(INDIRECT("'WCM Calibration Final'!$H$1:$H$2000"),'Calculations'!$EM318)),"Other"),"Other"))</x:f>
      </x:c>
      <x:c r="BW318" s="4"/>
      <x:c r="BX318" s="4"/>
      <x:c r="BY318" s="4" t="n">
        <x:f>IF(AND('Calculations'!BM318=1,'Calculations'!BU318&lt;&gt;"",COUNTIF('Calculations'!$BU$12:BU318,'Calculations'!BU318)=1),MAX('Calculations'!$BY$11:BY317)+1,0)</x:f>
        <x:v>0</x:v>
      </x:c>
      <x:c r="BZ318" s="4" t="str">
        <x:f>IF('Dashboard'!$E$67="What",'Calculations'!BO318,'Calculations'!BP318)</x:f>
      </x:c>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t="str">
        <x:f>IF(307&gt;MAX('Calculations'!$HI$13:$HI$512),"",INDEX('Calculations'!$HN$13:$HN$512,MATCH(307,'Calculations'!$HI$13:$HI$512,0)))</x:f>
      </x:c>
      <x:c r="DB318" s="4" t="str">
        <x:f>IF(307&gt;MAX('Calculations'!$HH$13:$HH$512),"",INDEX('Calculations'!$HJ$13:$HJ$512,MATCH(307,'Calculations'!$HH$13:$HH$512,0)))</x:f>
      </x:c>
      <x:c r="DC318" s="4" t="str">
        <x:f>IF(ROW()-11&gt;MAX('Calculations'!$BY$13:$BY$512),"",INDEX('Calculations'!$BU$13:$BU$512,MATCH(ROW()-11,'Calculations'!$BY$13:$BY$512,0)))</x:f>
      </x:c>
      <x:c r="DD318" s="4" t="str">
        <x:f>IF(307&gt;MAX('Calculations'!$IK$13:$IK$512),"",INDEX('Calculations'!$HK$13:$HK$512,MATCH(307,'Calculations'!$IK$13:$IK$512,0)))</x:f>
      </x:c>
      <x:c r="DE318" s="4" t="str">
        <x:f>'Calculations'!DC318</x:f>
      </x:c>
      <x:c r="DF318" s="4" t="str">
        <x:f>IF('Calculations'!DE318="","",COUNTIFS('Calculations'!$BN$13:$BN$512,1,'Calculations'!$BU$13:$BU$512,'Calculations'!DE318))</x:f>
      </x:c>
      <x:c r="DG318" s="4" t="str">
        <x:f>IF('Calculations'!DE318="","",COUNTIFS('Calculations'!$BN$13:$BN$512,1,'Calculations'!$BU$13:$BU$512,'Calculations'!DE318,'Calculations'!$BT$13:$BT$512,1))</x:f>
      </x:c>
      <x:c r="DH318" s="4" t="str">
        <x:f>IF('Calculations'!DE318="","",'Calculations'!DF318-'Calculations'!DG318)</x:f>
      </x:c>
      <x:c r="DI318" s="4" t="str">
        <x:f>IF(OR('Calculations'!DE318="",'Calculations'!DF318=0),"",'Calculations'!DG318/'Calculations'!DF318)</x:f>
      </x:c>
      <x:c r="DJ318" s="4" t="str">
        <x:f>IF('Calculations'!DE318="","",COUNTIFS('Calculations'!$BN$13:$BN$512,1,'Calculations'!$BU$13:$BU$512,'Calculations'!DE318,'Calculations'!$BT$13:$BT$512,1,'Calculations'!$EE$13:$EE$512,"High"))</x:f>
      </x:c>
      <x:c r="DK318" s="4" t="str">
        <x:f>IF('Calculations'!DE318="","",COUNTIFS('Calculations'!$BN$13:$BN$512,1,'Calculations'!$BU$13:$BU$512,'Calculations'!DE318,'Calculations'!$BT$13:$BT$512,1,'Calculations'!$EE$13:$EE$512,"Strong"))</x:f>
      </x:c>
      <x:c r="DL318" s="4" t="str">
        <x:f>IF('Calculations'!DE318="","",COUNTIFS('Calculations'!$BN$13:$BN$512,1,'Calculations'!$BU$13:$BU$512,'Calculations'!DE318,'Calculations'!$BT$13:$BT$512,1,'Calculations'!$EE$13:$EE$512,"Solid"))</x:f>
      </x:c>
      <x:c r="DM318" s="4" t="str">
        <x:f>IF('Calculations'!DE318="","",COUNTIFS('Calculations'!$BN$13:$BN$512,1,'Calculations'!$BU$13:$BU$512,'Calculations'!DE318,'Calculations'!$BT$13:$BT$512,1,'Calculations'!$EE$13:$EE$512,"Low"))</x:f>
      </x:c>
      <x:c r="DN318" s="4" t="str">
        <x:f>IF('Calculations'!DE318="","",COUNTIFS('Calculations'!$BN$13:$BN$512,1,'Calculations'!$BU$13:$BU$512,'Calculations'!DE318,'Calculations'!$EP$13:$EP$512,1))</x:f>
      </x:c>
      <x:c r="DO318" s="4" t="str">
        <x:f>IF(OR('Calculations'!DE318="",'Calculations'!DG318=0),"",('Calculations'!DJ318+'Calculations'!DK318)/'Calculations'!DG318)</x:f>
      </x:c>
      <x:c r="DP318" s="4" t="n">
        <x:f>IF(AND('Calculations'!DE318&lt;&gt;"",'Calculations'!DF318&gt;0),COUNTIF('Calculations'!$DF$12:DF318,"&gt;0"),0)</x:f>
        <x:v>0</x:v>
      </x:c>
      <x:c r="DQ318" s="4" t="str">
        <x:f>IF(307&gt;MAX('Calculations'!$HH$13:$HH$512),"",INDEX('Calculations'!$HF$13:$HF$512,MATCH(307,'Calculations'!$HH$13:$HH$512,0)))</x:f>
      </x:c>
      <x:c r="DR318" s="4" t="str">
        <x:f>IF(307&gt;MAX('Calculations'!$IK$13:$IK$512),"",INDEX('Calculations'!$HE$13:$HE$512,MATCH(307,'Calculations'!$IK$13:$IK$512,0)))</x:f>
      </x:c>
      <x:c r="DS318" s="4"/>
      <x:c r="DT318" s="4"/>
      <x:c r="DU318" s="4"/>
      <x:c r="DV318" s="4"/>
      <x:c r="DW318" s="4"/>
      <x:c r="DX318" s="4"/>
      <x:c r="DY318" s="4"/>
      <x:c r="DZ318" s="4"/>
      <x:c r="EA318" s="4"/>
      <x:c r="EB318" s="4"/>
      <x:c r="EC318" s="4"/>
      <x:c r="ED318" s="4"/>
      <x:c r="EE318" s="4" t="str">
        <x:f>IF('Calculations'!BT318=0,"Not Rated",IF(OR('Calculations'!BO318&gt;=4,'Calculations'!BP318&gt;=4),"Low",IF('Calculations'!BO318+'Calculations'!BP318&lt;=3,"High",IF('Calculations'!BO318+'Calculations'!BP318&lt;=4,"Strong","Solid"))))</x:f>
        <x:v>Not Rated</x:v>
      </x:c>
      <x:c r="EF318" s="4"/>
      <x:c r="EG318" s="4"/>
      <x:c r="EH318" s="4"/>
      <x:c r="EI318" s="4"/>
      <x:c r="EJ318" s="4"/>
      <x:c r="EK318" s="4"/>
      <x:c r="EL318" s="4"/>
      <x:c r="EM318" s="4" t="str">
        <x:f>IF(306&gt;'Calculations'!$JB$2000,"",INDEX('Calculations'!$JA$12:$JA$2000,MATCH(306,'Calculations'!$JB$12:$JB$2000,0)))</x:f>
      </x:c>
      <x:c r="EN318" s="4" t="n">
        <x:f>IF(OR('Calculations'!EM318="",'Calculations'!$AG$8&gt;0,AND('Calculations'!$EF$2&lt;&gt;"All",'Calculations'!HE318='Calculations'!$EF$2),AND('Calculations'!$EF$3&lt;&gt;"All",'Calculations'!HE318='Calculations'!$EF$3)),0,IF(OR('Dashboard'!$B$7="All",'Calculations'!HN318='Dashboard'!$B$7),IF('Calculations'!$EF$2="All",1,IF('Calculations'!HL318&gt;0,0,IF(COUNTIF('Calculations'!HO318:II318,"="&amp;SUBSTITUTE(SUBSTITUTE(SUBSTITUTE('Calculations'!$EF$2,"~","~~"),"*","~*"),"?","~?"))=0,0,IF('Calculations'!$EF$3="All",1,IF(COUNTIF('Calculations'!HO318:II318,"="&amp;SUBSTITUTE(SUBSTITUTE(SUBSTITUTE('Calculations'!$EF$3,"~","~~"),"*","~*"),"?","~?"))&gt;0,1,0))))),0))</x:f>
        <x:v>0</x:v>
      </x:c>
      <x:c r="EO318" s="4" t="str">
        <x:f>IF('Calculations'!IJ318="","",IF('Calculations'!IJ318="!UNRESOLVED","Unresolved hierarchy",IFERROR(INDEX('Calculations'!$HK$13:$HK$512,MATCH('Calculations'!IJ318,'Calculations'!$HE$13:$HE$512,0)),IFERROR(INDEX('Calculations'!$HJ$13:$HJ$512,MATCH('Calculations'!IJ318,'Calculations'!$HF$13:$HF$512,0)),'Calculations'!IJ318))))</x:f>
      </x:c>
      <x:c r="EP318" s="4" t="n">
        <x:f>IF(AND('Calculations'!EM318&lt;&gt;"",'Calculations'!HF318='Calculations'!IJ318),1,0)</x:f>
        <x:v>0</x:v>
      </x:c>
      <x:c r="EQ318" s="4"/>
      <x:c r="ER318" s="4"/>
      <x:c r="ES318" s="4"/>
      <x:c r="ET318" s="4"/>
      <x:c r="EU318" s="4"/>
      <x:c r="EV318" s="4"/>
      <x:c r="EW318" s="4"/>
      <x:c r="EX318" s="4"/>
      <x:c r="EY318" s="4"/>
      <x:c r="EZ318" s="4"/>
      <x:c r="FA318" s="4"/>
      <x:c r="FB318" s="4"/>
      <x:c r="FC318" s="4"/>
      <x:c r="FD318" s="4"/>
      <x:c r="FE318" s="4"/>
      <x:c r="FF318" s="4"/>
      <x:c r="FG318" s="4"/>
      <x:c r="FH318" s="4"/>
      <x:c r="FI318" s="4"/>
      <x:c r="FJ318" s="4"/>
      <x:c r="FK318" s="4"/>
      <x:c r="FL318" s="4"/>
      <x:c r="FM318" s="4"/>
      <x:c r="FN318" s="4"/>
      <x:c r="FO318" s="4"/>
      <x:c r="HE318" t="str">
        <x:f>IF('Calculations'!EM318="","",IF(IFERROR(IF(INDEX(INDIRECT("'WCM Calibration Final'!$A$1:$A$2000"),'Calculations'!$EM318)="","",TRIM(INDEX(INDIRECT("'WCM Calibration Final'!$A$1:$A$2000"),'Calculations'!$EM318)&amp;"")),"")&lt;&gt;"","G:"&amp;IFERROR(TEXT(1*INDEX(INDIRECT("'WCM Calibration Final'!$A$1:$A$2000"),'Calculations'!$EM318),"0"),UPPER(IFERROR(IF(INDEX(INDIRECT("'WCM Calibration Final'!$A$1:$A$2000"),'Calculations'!$EM318)="","",TRIM(INDEX(INDIRECT("'WCM Calibration Final'!$A$1:$A$2000"),'Calculations'!$EM318)&amp;"")),""))),IF(IFERROR(IF(INDEX(INDIRECT("'WCM Calibration Final'!$C$1:$C$2000"),'Calculations'!$EM318)="","",TRIM(INDEX(INDIRECT("'WCM Calibration Final'!$C$1:$C$2000"),'Calculations'!$EM318)&amp;"")),"")&lt;&gt;"","S:"&amp;UPPER(IFERROR(IF(INDEX(INDIRECT("'WCM Calibration Final'!$C$1:$C$2000"),'Calculations'!$EM318)="","",TRIM(INDEX(INDIRECT("'WCM Calibration Final'!$C$1:$C$2000"),'Calculations'!$EM318)&amp;"")),"")),"R:"&amp;'Calculations'!EM318)))</x:f>
      </x:c>
      <x:c r="HF318" t="str">
        <x:f>IF('Calculations'!EM318="","",IF(IFERROR(IF(INDEX(INDIRECT("'WCM Calibration Final'!$D$1:$D$2000"),'Calculations'!$EM318)="","",TRIM(INDEX(INDIRECT("'WCM Calibration Final'!$D$1:$D$2000"),'Calculations'!$EM318)&amp;"")),"")&lt;&gt;"","G:"&amp;IFERROR(TEXT(1*INDEX(INDIRECT("'WCM Calibration Final'!$D$1:$D$2000"),'Calculations'!$EM318),"0"),UPPER(IFERROR(IF(INDEX(INDIRECT("'WCM Calibration Final'!$D$1:$D$2000"),'Calculations'!$EM318)="","",TRIM(INDEX(INDIRECT("'WCM Calibration Final'!$D$1:$D$2000"),'Calculations'!$EM318)&amp;"")),""))),IF(IFERROR(IF(INDEX(INDIRECT("'WCM Calibration Final'!$E$1:$E$2000"),'Calculations'!$EM318)="","",TRIM(INDEX(INDIRECT("'WCM Calibration Final'!$E$1:$E$2000"),'Calculations'!$EM318)&amp;"")),"")="","",IF(COUNTIF('Calculations'!$HG$13:$HG$512,"="&amp;SUBSTITUTE(SUBSTITUTE(SUBSTITUTE(IFERROR(IF(INDEX(INDIRECT("'WCM Calibration Final'!$E$1:$E$2000"),'Calculations'!$EM318)="","",TRIM(INDEX(INDIRECT("'WCM Calibration Final'!$E$1:$E$2000"),'Calculations'!$EM318)&amp;"")),""),"~","~~"),"*","~*"),"?","~?"))=1,INDEX('Calculations'!$HE$13:$HE$512,MATCH(IFERROR(IF(INDEX(INDIRECT("'WCM Calibration Final'!$E$1:$E$2000"),'Calculations'!$EM318)="","",TRIM(INDEX(INDIRECT("'WCM Calibration Final'!$E$1:$E$2000"),'Calculations'!$EM318)&amp;"")),""),'Calculations'!$HG$13:$HG$512,0)),IF(COUNTIF('Calculations'!$HG$13:$HG$512,"="&amp;SUBSTITUTE(SUBSTITUTE(SUBSTITUTE(IFERROR(IF(INDEX(INDIRECT("'WCM Calibration Final'!$E$1:$E$2000"),'Calculations'!$EM318)="","",TRIM(INDEX(INDIRECT("'WCM Calibration Final'!$E$1:$E$2000"),'Calculations'!$EM318)&amp;"")),""),"~","~~"),"*","~*"),"?","~?"))&gt;1,"!AMBIG","X:"&amp;IFERROR(IF(INDEX(INDIRECT("'WCM Calibration Final'!$E$1:$E$2000"),'Calculations'!$EM318)="","",TRIM(INDEX(INDIRECT("'WCM Calibration Final'!$E$1:$E$2000"),'Calculations'!$EM318)&amp;"")),""))))))</x:f>
      </x:c>
      <x:c r="HG318" t="str">
        <x:f>IF('Calculations'!EM318="","",IFERROR(IF(INDEX(INDIRECT("'WCM Calibration Final'!$B$1:$B$2000"),'Calculations'!$EM318)="","",TRIM(INDEX(INDIRECT("'WCM Calibration Final'!$B$1:$B$2000"),'Calculations'!$EM318)&amp;"")),""))</x:f>
      </x:c>
      <x:c r="HH318" t="n">
        <x:f>IF(AND('Calculations'!JC318&gt;0,COUNTIF('Calculations'!$HF$12:HF318,"="&amp;SUBSTITUTE(SUBSTITUTE(SUBSTITUTE('Calculations'!HF318,"~","~~"),"*","~*"),"?","~?"))=1),MAX('Calculations'!$HH$12:HH317)+1,0)</x:f>
        <x:v>0</x:v>
      </x:c>
      <x:c r="HI318" t="n">
        <x:f>IF(AND('Calculations'!HN318&lt;&gt;"",COUNTIF('Calculations'!$HN$12:HN318,"="&amp;SUBSTITUTE(SUBSTITUTE(SUBSTITUTE('Calculations'!HN318,"~","~~"),"*","~*"),"?","~?"))=1),MAX('Calculations'!$HI$12:HI317)+1,0)</x:f>
        <x:v>0</x:v>
      </x:c>
      <x:c r="HJ318" t="str">
        <x:f>IF('Calculations'!HF318="","",IF(COUNTIF('Calculations'!$HE$13:$HE$512,"="&amp;SUBSTITUTE(SUBSTITUTE(SUBSTITUTE('Calculations'!HF318,"~","~~"),"*","~*"),"?","~?"))=1,INDEX('Calculations'!$HK$13:$HK$512,MATCH('Calculations'!HF318,'Calculations'!$HE$13:$HE$512,0)),IFERROR(IF(INDEX(INDIRECT("'WCM Calibration Final'!$E$1:$E$2000"),'Calculations'!$EM318)="","",TRIM(INDEX(INDIRECT("'WCM Calibration Final'!$E$1:$E$2000"),'Calculations'!$EM318)&amp;"")),"")&amp;" ["&amp;'Calculations'!HF318&amp;"]"))</x:f>
      </x:c>
      <x:c r="HK318" t="str">
        <x:f>IF('Calculations'!EM318="","",'Calculations'!HG318&amp;" ["&amp;'Calculations'!HE318&amp;"]")</x:f>
      </x:c>
      <x:c r="HL318" t="n">
        <x:f>IF('Calculations'!EM318="",0,IF(OR('Calculations'!II318&lt;&gt;"",COUNTIF('Calculations'!$HE$13:$HE$512,"="&amp;SUBSTITUTE(SUBSTITUTE(SUBSTITUTE('Calculations'!HE318,"~","~~"),"*","~*"),"?","~?"))&gt;1),1,0))</x:f>
        <x:v>0</x:v>
      </x:c>
      <x:c r="HM318" t="str">
        <x:f>IF('Calculations'!EM318="","",IF('Calculations'!HL318=1,"!UNRESOLVED",IF('Calculations'!IH318&lt;&gt;"",'Calculations'!IH318,IF('Calculations'!IG318&lt;&gt;"",'Calculations'!IG318,IF('Calculations'!IF318&lt;&gt;"",'Calculations'!IF318,IF('Calculations'!IE318&lt;&gt;"",'Calculations'!IE318,IF('Calculations'!ID318&lt;&gt;"",'Calculations'!ID318,IF('Calculations'!IC318&lt;&gt;"",'Calculations'!IC318,IF('Calculations'!IB318&lt;&gt;"",'Calculations'!IB318,IF('Calculations'!IA318&lt;&gt;"",'Calculations'!IA318,IF('Calculations'!HZ318&lt;&gt;"",'Calculations'!HZ318,IF('Calculations'!HY318&lt;&gt;"",'Calculations'!HY318,IF('Calculations'!HX318&lt;&gt;"",'Calculations'!HX318,IF('Calculations'!HW318&lt;&gt;"",'Calculations'!HW318,IF('Calculations'!HV318&lt;&gt;"",'Calculations'!HV318,IF('Calculations'!HU318&lt;&gt;"",'Calculations'!HU318,IF('Calculations'!HT318&lt;&gt;"",'Calculations'!HT318,IF('Calculations'!HS318&lt;&gt;"",'Calculations'!HS318,IF('Calculations'!HR318&lt;&gt;"",'Calculations'!HR318,IF('Calculations'!HQ318&lt;&gt;"",'Calculations'!HQ318,IF('Calculations'!HP318&lt;&gt;"",'Calculations'!HP318,IF('Calculations'!HO318&lt;&gt;"",'Calculations'!HO318,'Calculations'!HE318))))))))))))))))))))))</x:f>
      </x:c>
      <x:c r="HN318" t="str">
        <x:f>IF('Calculations'!EM318="","",IF(IFERROR(IF(INDEX(INDIRECT("'WCM Calibration Final'!$F$1:$F$2000"),'Calculations'!$EM318)="","",TRIM(INDEX(INDIRECT("'WCM Calibration Final'!$F$1:$F$2000"),'Calculations'!$EM318)&amp;"")),"")="","(Blank)",IFERROR(IF(INDEX(INDIRECT("'WCM Calibration Final'!$F$1:$F$2000"),'Calculations'!$EM318)="","",TRIM(INDEX(INDIRECT("'WCM Calibration Final'!$F$1:$F$2000"),'Calculations'!$EM318)&amp;"")),"")))</x:f>
      </x:c>
      <x:c r="HO318" t="str">
        <x:f>'Calculations'!HF318</x:f>
      </x:c>
      <x:c r="HP318" t="str">
        <x:f>IF('Calculations'!HO318="","",IF('Calculations'!HO318="!AMBIG","!AMBIG",IF(COUNTIF('Calculations'!$HE$13:$HE$512,"="&amp;SUBSTITUTE(SUBSTITUTE(SUBSTITUTE('Calculations'!HO318,"~","~~"),"*","~*"),"?","~?"))&gt;1,"!AMBIG",IFERROR(INDEX('Calculations'!$HF$13:$HF$512,MATCH('Calculations'!HO318,'Calculations'!$HE$13:$HE$512,0)),""))))</x:f>
      </x:c>
      <x:c r="HQ318" t="str">
        <x:f>IF('Calculations'!HP318="","",IF('Calculations'!HP318="!AMBIG","!AMBIG",IF(COUNTIF('Calculations'!$HE$13:$HE$512,"="&amp;SUBSTITUTE(SUBSTITUTE(SUBSTITUTE('Calculations'!HP318,"~","~~"),"*","~*"),"?","~?"))&gt;1,"!AMBIG",IFERROR(INDEX('Calculations'!$HF$13:$HF$512,MATCH('Calculations'!HP318,'Calculations'!$HE$13:$HE$512,0)),""))))</x:f>
      </x:c>
      <x:c r="HR318" t="str">
        <x:f>IF('Calculations'!HQ318="","",IF('Calculations'!HQ318="!AMBIG","!AMBIG",IF(COUNTIF('Calculations'!$HE$13:$HE$512,"="&amp;SUBSTITUTE(SUBSTITUTE(SUBSTITUTE('Calculations'!HQ318,"~","~~"),"*","~*"),"?","~?"))&gt;1,"!AMBIG",IFERROR(INDEX('Calculations'!$HF$13:$HF$512,MATCH('Calculations'!HQ318,'Calculations'!$HE$13:$HE$512,0)),""))))</x:f>
      </x:c>
      <x:c r="HS318" t="str">
        <x:f>IF('Calculations'!HR318="","",IF('Calculations'!HR318="!AMBIG","!AMBIG",IF(COUNTIF('Calculations'!$HE$13:$HE$512,"="&amp;SUBSTITUTE(SUBSTITUTE(SUBSTITUTE('Calculations'!HR318,"~","~~"),"*","~*"),"?","~?"))&gt;1,"!AMBIG",IFERROR(INDEX('Calculations'!$HF$13:$HF$512,MATCH('Calculations'!HR318,'Calculations'!$HE$13:$HE$512,0)),""))))</x:f>
      </x:c>
      <x:c r="HT318" t="str">
        <x:f>IF('Calculations'!HS318="","",IF('Calculations'!HS318="!AMBIG","!AMBIG",IF(COUNTIF('Calculations'!$HE$13:$HE$512,"="&amp;SUBSTITUTE(SUBSTITUTE(SUBSTITUTE('Calculations'!HS318,"~","~~"),"*","~*"),"?","~?"))&gt;1,"!AMBIG",IFERROR(INDEX('Calculations'!$HF$13:$HF$512,MATCH('Calculations'!HS318,'Calculations'!$HE$13:$HE$512,0)),""))))</x:f>
      </x:c>
      <x:c r="HU318" t="str">
        <x:f>IF('Calculations'!HT318="","",IF('Calculations'!HT318="!AMBIG","!AMBIG",IF(COUNTIF('Calculations'!$HE$13:$HE$512,"="&amp;SUBSTITUTE(SUBSTITUTE(SUBSTITUTE('Calculations'!HT318,"~","~~"),"*","~*"),"?","~?"))&gt;1,"!AMBIG",IFERROR(INDEX('Calculations'!$HF$13:$HF$512,MATCH('Calculations'!HT318,'Calculations'!$HE$13:$HE$512,0)),""))))</x:f>
      </x:c>
      <x:c r="HV318" t="str">
        <x:f>IF('Calculations'!HU318="","",IF('Calculations'!HU318="!AMBIG","!AMBIG",IF(COUNTIF('Calculations'!$HE$13:$HE$512,"="&amp;SUBSTITUTE(SUBSTITUTE(SUBSTITUTE('Calculations'!HU318,"~","~~"),"*","~*"),"?","~?"))&gt;1,"!AMBIG",IFERROR(INDEX('Calculations'!$HF$13:$HF$512,MATCH('Calculations'!HU318,'Calculations'!$HE$13:$HE$512,0)),""))))</x:f>
      </x:c>
      <x:c r="HW318" t="str">
        <x:f>IF('Calculations'!HV318="","",IF('Calculations'!HV318="!AMBIG","!AMBIG",IF(COUNTIF('Calculations'!$HE$13:$HE$512,"="&amp;SUBSTITUTE(SUBSTITUTE(SUBSTITUTE('Calculations'!HV318,"~","~~"),"*","~*"),"?","~?"))&gt;1,"!AMBIG",IFERROR(INDEX('Calculations'!$HF$13:$HF$512,MATCH('Calculations'!HV318,'Calculations'!$HE$13:$HE$512,0)),""))))</x:f>
      </x:c>
      <x:c r="HX318" t="str">
        <x:f>IF('Calculations'!HW318="","",IF('Calculations'!HW318="!AMBIG","!AMBIG",IF(COUNTIF('Calculations'!$HE$13:$HE$512,"="&amp;SUBSTITUTE(SUBSTITUTE(SUBSTITUTE('Calculations'!HW318,"~","~~"),"*","~*"),"?","~?"))&gt;1,"!AMBIG",IFERROR(INDEX('Calculations'!$HF$13:$HF$512,MATCH('Calculations'!HW318,'Calculations'!$HE$13:$HE$512,0)),""))))</x:f>
      </x:c>
      <x:c r="HY318" t="str">
        <x:f>IF('Calculations'!HX318="","",IF('Calculations'!HX318="!AMBIG","!AMBIG",IF(COUNTIF('Calculations'!$HE$13:$HE$512,"="&amp;SUBSTITUTE(SUBSTITUTE(SUBSTITUTE('Calculations'!HX318,"~","~~"),"*","~*"),"?","~?"))&gt;1,"!AMBIG",IFERROR(INDEX('Calculations'!$HF$13:$HF$512,MATCH('Calculations'!HX318,'Calculations'!$HE$13:$HE$512,0)),""))))</x:f>
      </x:c>
      <x:c r="HZ318" t="str">
        <x:f>IF('Calculations'!HY318="","",IF('Calculations'!HY318="!AMBIG","!AMBIG",IF(COUNTIF('Calculations'!$HE$13:$HE$512,"="&amp;SUBSTITUTE(SUBSTITUTE(SUBSTITUTE('Calculations'!HY318,"~","~~"),"*","~*"),"?","~?"))&gt;1,"!AMBIG",IFERROR(INDEX('Calculations'!$HF$13:$HF$512,MATCH('Calculations'!HY318,'Calculations'!$HE$13:$HE$512,0)),""))))</x:f>
      </x:c>
      <x:c r="IA318" t="str">
        <x:f>IF('Calculations'!HZ318="","",IF('Calculations'!HZ318="!AMBIG","!AMBIG",IF(COUNTIF('Calculations'!$HE$13:$HE$512,"="&amp;SUBSTITUTE(SUBSTITUTE(SUBSTITUTE('Calculations'!HZ318,"~","~~"),"*","~*"),"?","~?"))&gt;1,"!AMBIG",IFERROR(INDEX('Calculations'!$HF$13:$HF$512,MATCH('Calculations'!HZ318,'Calculations'!$HE$13:$HE$512,0)),""))))</x:f>
      </x:c>
      <x:c r="IB318" t="str">
        <x:f>IF('Calculations'!IA318="","",IF('Calculations'!IA318="!AMBIG","!AMBIG",IF(COUNTIF('Calculations'!$HE$13:$HE$512,"="&amp;SUBSTITUTE(SUBSTITUTE(SUBSTITUTE('Calculations'!IA318,"~","~~"),"*","~*"),"?","~?"))&gt;1,"!AMBIG",IFERROR(INDEX('Calculations'!$HF$13:$HF$512,MATCH('Calculations'!IA318,'Calculations'!$HE$13:$HE$512,0)),""))))</x:f>
      </x:c>
      <x:c r="IC318" t="str">
        <x:f>IF('Calculations'!IB318="","",IF('Calculations'!IB318="!AMBIG","!AMBIG",IF(COUNTIF('Calculations'!$HE$13:$HE$512,"="&amp;SUBSTITUTE(SUBSTITUTE(SUBSTITUTE('Calculations'!IB318,"~","~~"),"*","~*"),"?","~?"))&gt;1,"!AMBIG",IFERROR(INDEX('Calculations'!$HF$13:$HF$512,MATCH('Calculations'!IB318,'Calculations'!$HE$13:$HE$512,0)),""))))</x:f>
      </x:c>
      <x:c r="ID318" t="str">
        <x:f>IF('Calculations'!IC318="","",IF('Calculations'!IC318="!AMBIG","!AMBIG",IF(COUNTIF('Calculations'!$HE$13:$HE$512,"="&amp;SUBSTITUTE(SUBSTITUTE(SUBSTITUTE('Calculations'!IC318,"~","~~"),"*","~*"),"?","~?"))&gt;1,"!AMBIG",IFERROR(INDEX('Calculations'!$HF$13:$HF$512,MATCH('Calculations'!IC318,'Calculations'!$HE$13:$HE$512,0)),""))))</x:f>
      </x:c>
      <x:c r="IE318" t="str">
        <x:f>IF('Calculations'!ID318="","",IF('Calculations'!ID318="!AMBIG","!AMBIG",IF(COUNTIF('Calculations'!$HE$13:$HE$512,"="&amp;SUBSTITUTE(SUBSTITUTE(SUBSTITUTE('Calculations'!ID318,"~","~~"),"*","~*"),"?","~?"))&gt;1,"!AMBIG",IFERROR(INDEX('Calculations'!$HF$13:$HF$512,MATCH('Calculations'!ID318,'Calculations'!$HE$13:$HE$512,0)),""))))</x:f>
      </x:c>
      <x:c r="IF318" t="str">
        <x:f>IF('Calculations'!IE318="","",IF('Calculations'!IE318="!AMBIG","!AMBIG",IF(COUNTIF('Calculations'!$HE$13:$HE$512,"="&amp;SUBSTITUTE(SUBSTITUTE(SUBSTITUTE('Calculations'!IE318,"~","~~"),"*","~*"),"?","~?"))&gt;1,"!AMBIG",IFERROR(INDEX('Calculations'!$HF$13:$HF$512,MATCH('Calculations'!IE318,'Calculations'!$HE$13:$HE$512,0)),""))))</x:f>
      </x:c>
      <x:c r="IG318" t="str">
        <x:f>IF('Calculations'!IF318="","",IF('Calculations'!IF318="!AMBIG","!AMBIG",IF(COUNTIF('Calculations'!$HE$13:$HE$512,"="&amp;SUBSTITUTE(SUBSTITUTE(SUBSTITUTE('Calculations'!IF318,"~","~~"),"*","~*"),"?","~?"))&gt;1,"!AMBIG",IFERROR(INDEX('Calculations'!$HF$13:$HF$512,MATCH('Calculations'!IF318,'Calculations'!$HE$13:$HE$512,0)),""))))</x:f>
      </x:c>
      <x:c r="IH318" t="str">
        <x:f>IF('Calculations'!IG318="","",IF('Calculations'!IG318="!AMBIG","!AMBIG",IF(COUNTIF('Calculations'!$HE$13:$HE$512,"="&amp;SUBSTITUTE(SUBSTITUTE(SUBSTITUTE('Calculations'!IG318,"~","~~"),"*","~*"),"?","~?"))&gt;1,"!AMBIG",IFERROR(INDEX('Calculations'!$HF$13:$HF$512,MATCH('Calculations'!IG318,'Calculations'!$HE$13:$HE$512,0)),""))))</x:f>
      </x:c>
      <x:c r="II318" t="str">
        <x:f>IF('Calculations'!IH318="","",IF('Calculations'!IH318="!AMBIG","!AMBIG",IF(COUNTIF('Calculations'!$HE$13:$HE$512,"="&amp;SUBSTITUTE(SUBSTITUTE(SUBSTITUTE('Calculations'!IH318,"~","~~"),"*","~*"),"?","~?"))&gt;1,"!AMBIG",IFERROR(INDEX('Calculations'!$HF$13:$HF$512,MATCH('Calculations'!IH318,'Calculations'!$HE$13:$HE$512,0)),""))))</x:f>
      </x:c>
      <x:c r="IJ318" t="str">
        <x:f>IF('Calculations'!EM318="","",IF('Calculations'!$EF$2="All",'Calculations'!HM318,IF('Calculations'!HL318=1,"",IFERROR(IF(MATCH('Calculations'!$EF$2,'Calculations'!HO318:II318,0)=1,'Calculations'!HE318,INDEX('Calculations'!HO318:II318,1,MATCH('Calculations'!$EF$2,'Calculations'!HO318:II318,0)-1)),""))))</x:f>
      </x:c>
      <x:c r="IK318" t="n">
        <x:f>IF(AND('Calculations'!EM318&lt;&gt;"",'Calculations'!$EF$2&lt;&gt;"All",'Calculations'!HF318='Calculations'!$EF$2,'Calculations'!HL318=0,'Calculations'!JD318&gt;0),MAX('Calculations'!$IK$12:IK317)+1,0)</x:f>
        <x:v>0</x:v>
      </x:c>
      <x:c r="JA318" t="n">
        <x:f>IF(OR(IFERROR(INDIRECT("'WCM Calibration Final'!$A$318")&lt;&gt;"",FALSE),IFERROR(INDIRECT("'WCM Calibration Final'!$B$318")&lt;&gt;"",FALSE),IFERROR(INDIRECT("'WCM Calibration Final'!$C$318")&lt;&gt;"",FALSE)),318,0)</x:f>
        <x:v>0</x:v>
      </x:c>
      <x:c r="JB318" t="n">
        <x:f>'Calculations'!JB317+IF('Calculations'!JA318&gt;0,1,0)</x:f>
        <x:v>0</x:v>
      </x:c>
      <x:c r="JC318" t="n">
        <x:f>IF(OR('Calculations'!HF318="",'Calculations'!HF318="!AMBIG"),0,IF('Dashboard'!$B$7="All",1,COUNTIFS('Calculations'!$HO$13:$HO$512,"="&amp;SUBSTITUTE(SUBSTITUTE(SUBSTITUTE('Calculations'!HF318,"~","~~"),"*","~*"),"?","~?"),'Calculations'!$HN$13:$HN$512,"="&amp;SUBSTITUTE(SUBSTITUTE(SUBSTITUTE('Dashboard'!$B$7,"~","~~"),"*","~*"),"?","~?"))+COUNTIFS('Calculations'!$HP$13:$HP$512,"="&amp;SUBSTITUTE(SUBSTITUTE(SUBSTITUTE('Calculations'!HF318,"~","~~"),"*","~*"),"?","~?"),'Calculations'!$HN$13:$HN$512,"="&amp;SUBSTITUTE(SUBSTITUTE(SUBSTITUTE('Dashboard'!$B$7,"~","~~"),"*","~*"),"?","~?"))+COUNTIFS('Calculations'!$HQ$13:$HQ$512,"="&amp;SUBSTITUTE(SUBSTITUTE(SUBSTITUTE('Calculations'!HF318,"~","~~"),"*","~*"),"?","~?"),'Calculations'!$HN$13:$HN$512,"="&amp;SUBSTITUTE(SUBSTITUTE(SUBSTITUTE('Dashboard'!$B$7,"~","~~"),"*","~*"),"?","~?"))+COUNTIFS('Calculations'!$HR$13:$HR$512,"="&amp;SUBSTITUTE(SUBSTITUTE(SUBSTITUTE('Calculations'!HF318,"~","~~"),"*","~*"),"?","~?"),'Calculations'!$HN$13:$HN$512,"="&amp;SUBSTITUTE(SUBSTITUTE(SUBSTITUTE('Dashboard'!$B$7,"~","~~"),"*","~*"),"?","~?"))+COUNTIFS('Calculations'!$HS$13:$HS$512,"="&amp;SUBSTITUTE(SUBSTITUTE(SUBSTITUTE('Calculations'!HF318,"~","~~"),"*","~*"),"?","~?"),'Calculations'!$HN$13:$HN$512,"="&amp;SUBSTITUTE(SUBSTITUTE(SUBSTITUTE('Dashboard'!$B$7,"~","~~"),"*","~*"),"?","~?"))+COUNTIFS('Calculations'!$HT$13:$HT$512,"="&amp;SUBSTITUTE(SUBSTITUTE(SUBSTITUTE('Calculations'!HF318,"~","~~"),"*","~*"),"?","~?"),'Calculations'!$HN$13:$HN$512,"="&amp;SUBSTITUTE(SUBSTITUTE(SUBSTITUTE('Dashboard'!$B$7,"~","~~"),"*","~*"),"?","~?"))+COUNTIFS('Calculations'!$HU$13:$HU$512,"="&amp;SUBSTITUTE(SUBSTITUTE(SUBSTITUTE('Calculations'!HF318,"~","~~"),"*","~*"),"?","~?"),'Calculations'!$HN$13:$HN$512,"="&amp;SUBSTITUTE(SUBSTITUTE(SUBSTITUTE('Dashboard'!$B$7,"~","~~"),"*","~*"),"?","~?"))+COUNTIFS('Calculations'!$HV$13:$HV$512,"="&amp;SUBSTITUTE(SUBSTITUTE(SUBSTITUTE('Calculations'!HF318,"~","~~"),"*","~*"),"?","~?"),'Calculations'!$HN$13:$HN$512,"="&amp;SUBSTITUTE(SUBSTITUTE(SUBSTITUTE('Dashboard'!$B$7,"~","~~"),"*","~*"),"?","~?"))+COUNTIFS('Calculations'!$HW$13:$HW$512,"="&amp;SUBSTITUTE(SUBSTITUTE(SUBSTITUTE('Calculations'!HF318,"~","~~"),"*","~*"),"?","~?"),'Calculations'!$HN$13:$HN$512,"="&amp;SUBSTITUTE(SUBSTITUTE(SUBSTITUTE('Dashboard'!$B$7,"~","~~"),"*","~*"),"?","~?"))+COUNTIFS('Calculations'!$HX$13:$HX$512,"="&amp;SUBSTITUTE(SUBSTITUTE(SUBSTITUTE('Calculations'!HF318,"~","~~"),"*","~*"),"?","~?"),'Calculations'!$HN$13:$HN$512,"="&amp;SUBSTITUTE(SUBSTITUTE(SUBSTITUTE('Dashboard'!$B$7,"~","~~"),"*","~*"),"?","~?"))+COUNTIFS('Calculations'!$HY$13:$HY$512,"="&amp;SUBSTITUTE(SUBSTITUTE(SUBSTITUTE('Calculations'!HF318,"~","~~"),"*","~*"),"?","~?"),'Calculations'!$HN$13:$HN$512,"="&amp;SUBSTITUTE(SUBSTITUTE(SUBSTITUTE('Dashboard'!$B$7,"~","~~"),"*","~*"),"?","~?"))+COUNTIFS('Calculations'!$HZ$13:$HZ$512,"="&amp;SUBSTITUTE(SUBSTITUTE(SUBSTITUTE('Calculations'!HF318,"~","~~"),"*","~*"),"?","~?"),'Calculations'!$HN$13:$HN$512,"="&amp;SUBSTITUTE(SUBSTITUTE(SUBSTITUTE('Dashboard'!$B$7,"~","~~"),"*","~*"),"?","~?"))+COUNTIFS('Calculations'!$IA$13:$IA$512,"="&amp;SUBSTITUTE(SUBSTITUTE(SUBSTITUTE('Calculations'!HF318,"~","~~"),"*","~*"),"?","~?"),'Calculations'!$HN$13:$HN$512,"="&amp;SUBSTITUTE(SUBSTITUTE(SUBSTITUTE('Dashboard'!$B$7,"~","~~"),"*","~*"),"?","~?"))+COUNTIFS('Calculations'!$IB$13:$IB$512,"="&amp;SUBSTITUTE(SUBSTITUTE(SUBSTITUTE('Calculations'!HF318,"~","~~"),"*","~*"),"?","~?"),'Calculations'!$HN$13:$HN$512,"="&amp;SUBSTITUTE(SUBSTITUTE(SUBSTITUTE('Dashboard'!$B$7,"~","~~"),"*","~*"),"?","~?"))+COUNTIFS('Calculations'!$IC$13:$IC$512,"="&amp;SUBSTITUTE(SUBSTITUTE(SUBSTITUTE('Calculations'!HF318,"~","~~"),"*","~*"),"?","~?"),'Calculations'!$HN$13:$HN$512,"="&amp;SUBSTITUTE(SUBSTITUTE(SUBSTITUTE('Dashboard'!$B$7,"~","~~"),"*","~*"),"?","~?"))+COUNTIFS('Calculations'!$ID$13:$ID$512,"="&amp;SUBSTITUTE(SUBSTITUTE(SUBSTITUTE('Calculations'!HF318,"~","~~"),"*","~*"),"?","~?"),'Calculations'!$HN$13:$HN$512,"="&amp;SUBSTITUTE(SUBSTITUTE(SUBSTITUTE('Dashboard'!$B$7,"~","~~"),"*","~*"),"?","~?"))+COUNTIFS('Calculations'!$IE$13:$IE$512,"="&amp;SUBSTITUTE(SUBSTITUTE(SUBSTITUTE('Calculations'!HF318,"~","~~"),"*","~*"),"?","~?"),'Calculations'!$HN$13:$HN$512,"="&amp;SUBSTITUTE(SUBSTITUTE(SUBSTITUTE('Dashboard'!$B$7,"~","~~"),"*","~*"),"?","~?"))+COUNTIFS('Calculations'!$IF$13:$IF$512,"="&amp;SUBSTITUTE(SUBSTITUTE(SUBSTITUTE('Calculations'!HF318,"~","~~"),"*","~*"),"?","~?"),'Calculations'!$HN$13:$HN$512,"="&amp;SUBSTITUTE(SUBSTITUTE(SUBSTITUTE('Dashboard'!$B$7,"~","~~"),"*","~*"),"?","~?"))+COUNTIFS('Calculations'!$IG$13:$IG$512,"="&amp;SUBSTITUTE(SUBSTITUTE(SUBSTITUTE('Calculations'!HF318,"~","~~"),"*","~*"),"?","~?"),'Calculations'!$HN$13:$HN$512,"="&amp;SUBSTITUTE(SUBSTITUTE(SUBSTITUTE('Dashboard'!$B$7,"~","~~"),"*","~*"),"?","~?"))+COUNTIFS('Calculations'!$IH$13:$IH$512,"="&amp;SUBSTITUTE(SUBSTITUTE(SUBSTITUTE('Calculations'!HF318,"~","~~"),"*","~*"),"?","~?"),'Calculations'!$HN$13:$HN$512,"="&amp;SUBSTITUTE(SUBSTITUTE(SUBSTITUTE('Dashboard'!$B$7,"~","~~"),"*","~*"),"?","~?"))))</x:f>
        <x:v>0</x:v>
      </x:c>
      <x:c r="JD318" t="n">
        <x:f>IF('Calculations'!EM318="",0,IF('Dashboard'!$B$7="All",1,IF('Calculations'!HN318='Dashboard'!$B$7,1,0)+IFERROR(INDEX('Calculations'!$JC$13:$JC$512,MATCH('Calculations'!HE318,'Calculations'!$HF$13:$HF$512,0)),0)))</x:f>
        <x:v>0</x:v>
      </x:c>
      <x:c r="JE318" t="n">
        <x:f>IF(AND('Calculations'!EM318&lt;&gt;"",'Calculations'!$JJ$2&lt;&gt;"All",'Calculations'!$JJ$2&lt;&gt;"",'Calculations'!HF318='Calculations'!$JJ$2,'Calculations'!HL318=0,'Calculations'!JD318&gt;0),MAX('Calculations'!$JE$12:JE317)+1,0)</x:f>
        <x:v>0</x:v>
      </x:c>
      <x:c r="JF318" t="str">
        <x:f>IF('Calculations'!EM318="","",IFERROR(IF(INDEX(INDIRECT("'WCM Calibration Final'!$G$1:$G$2000"),'Calculations'!$EM318)="","",TRIM(INDEX(INDIRECT("'WCM Calibration Final'!$G$1:$G$2000"),'Calculations'!$EM318)&amp;"")),""))</x:f>
      </x:c>
      <x:c r="JQ318" t="n">
        <x:f>IF(OR('Calculations'!BM318=0,NOT('Calculations'!$AG$2),'Calculations'!$AG$8&gt;0),0,IF(OR('Dashboard'!$B$7="All",'Calculations'!HN318='Dashboard'!$B$7),IF('Calculations'!$JJ$2="All",1,IF(AND('Calculations'!HF318='Calculations'!$JJ$2,'Calculations'!HL318=0),1,0)),0))</x:f>
        <x:v>0</x:v>
      </x:c>
    </x:row>
    <x:row r="319">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t="n">
        <x:f>IF('Calculations'!$EM319="",0,IF(OR(IFERROR(INDEX(INDIRECT("'WCM Calibration Final'!$A$1:$A$2000"),'Calculations'!$EM319)&lt;&gt;"",FALSE),IFERROR(INDEX(INDIRECT("'WCM Calibration Final'!$B$1:$B$2000"),'Calculations'!$EM319)&lt;&gt;"",FALSE),IFERROR(INDEX(INDIRECT("'WCM Calibration Final'!$C$1:$C$2000"),'Calculations'!$EM319)&lt;&gt;"",FALSE)),1,0))</x:f>
        <x:v>0</x:v>
      </x:c>
      <x:c r="BN319" s="4" t="n">
        <x:f>IF(AND('Calculations'!BM319=1,'Calculations'!$AG$2,'Calculations'!$EN319=1),1,0)</x:f>
        <x:v>0</x:v>
      </x:c>
      <x:c r="BO319" s="4" t="str">
        <x:f>IF('Calculations'!BM319=0,"",IFERROR(IF(AND(VALUE(INDEX(INDIRECT("'WCM Calibration Final'!$K$1:$K$2000"),'Calculations'!$EM319))&gt;=1,VALUE(INDEX(INDIRECT("'WCM Calibration Final'!$K$1:$K$2000"),'Calculations'!$EM319))&lt;=4,MOD(VALUE(INDEX(INDIRECT("'WCM Calibration Final'!$K$1:$K$2000"),'Calculations'!$EM319)),1)=0),VALUE(INDEX(INDIRECT("'WCM Calibration Final'!$K$1:$K$2000"),'Calculations'!$EM319)),""),""))</x:f>
      </x:c>
      <x:c r="BP319" s="4" t="str">
        <x:f>IF('Calculations'!BM319=0,"",IFERROR(IF(AND(VALUE(INDEX(INDIRECT("'WCM Calibration Final'!$L$1:$L$2000"),'Calculations'!$EM319))&gt;=1,VALUE(INDEX(INDIRECT("'WCM Calibration Final'!$L$1:$L$2000"),'Calculations'!$EM319))&lt;=4,MOD(VALUE(INDEX(INDIRECT("'WCM Calibration Final'!$L$1:$L$2000"),'Calculations'!$EM319)),1)=0),VALUE(INDEX(INDIRECT("'WCM Calibration Final'!$L$1:$L$2000"),'Calculations'!$EM319)),""),""))</x:f>
      </x:c>
      <x:c r="BQ319" s="4"/>
      <x:c r="BR319" s="4"/>
      <x:c r="BS319" s="4"/>
      <x:c r="BT319" s="4" t="n">
        <x:f>IF(AND('Calculations'!BM319=1,ISNUMBER('Calculations'!BO319),ISNUMBER('Calculations'!BP319)),1,0)</x:f>
        <x:v>0</x:v>
      </x:c>
      <x:c r="BU319" s="4" t="str">
        <x:f>IF('Calculations'!BM319=0,"",'Calculations'!$EO319)</x:f>
      </x:c>
      <x:c r="BV319" s="4" t="str">
        <x:f>IF('Calculations'!BM319=0,"",IFERROR(IF(OR(INDEX(INDIRECT("'WCM Calibration Final'!$H$1:$H$2000"),'Calculations'!$EM319)="MANAGING DIRECTOR",INDEX(INDIRECT("'WCM Calibration Final'!$H$1:$H$2000"),'Calculations'!$EM319)="DIRECTOR",INDEX(INDIRECT("'WCM Calibration Final'!$H$1:$H$2000"),'Calculations'!$EM319)="SENIOR VICE PRESIDENT",INDEX(INDIRECT("'WCM Calibration Final'!$H$1:$H$2000"),'Calculations'!$EM319)="VICE PRESIDENT",INDEX(INDIRECT("'WCM Calibration Final'!$H$1:$H$2000"),'Calculations'!$EM319)="ASSISTANT VICE PRESIDENT",INDEX(INDIRECT("'WCM Calibration Final'!$H$1:$H$2000"),'Calculations'!$EM319)="OFFICER"),UPPER(INDEX(INDIRECT("'WCM Calibration Final'!$H$1:$H$2000"),'Calculations'!$EM319)),"Other"),"Other"))</x:f>
      </x:c>
      <x:c r="BW319" s="4"/>
      <x:c r="BX319" s="4"/>
      <x:c r="BY319" s="4" t="n">
        <x:f>IF(AND('Calculations'!BM319=1,'Calculations'!BU319&lt;&gt;"",COUNTIF('Calculations'!$BU$12:BU319,'Calculations'!BU319)=1),MAX('Calculations'!$BY$11:BY318)+1,0)</x:f>
        <x:v>0</x:v>
      </x:c>
      <x:c r="BZ319" s="4" t="str">
        <x:f>IF('Dashboard'!$E$67="What",'Calculations'!BO319,'Calculations'!BP319)</x:f>
      </x:c>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t="str">
        <x:f>IF(308&gt;MAX('Calculations'!$HI$13:$HI$512),"",INDEX('Calculations'!$HN$13:$HN$512,MATCH(308,'Calculations'!$HI$13:$HI$512,0)))</x:f>
      </x:c>
      <x:c r="DB319" s="4" t="str">
        <x:f>IF(308&gt;MAX('Calculations'!$HH$13:$HH$512),"",INDEX('Calculations'!$HJ$13:$HJ$512,MATCH(308,'Calculations'!$HH$13:$HH$512,0)))</x:f>
      </x:c>
      <x:c r="DC319" s="4" t="str">
        <x:f>IF(ROW()-11&gt;MAX('Calculations'!$BY$13:$BY$512),"",INDEX('Calculations'!$BU$13:$BU$512,MATCH(ROW()-11,'Calculations'!$BY$13:$BY$512,0)))</x:f>
      </x:c>
      <x:c r="DD319" s="4" t="str">
        <x:f>IF(308&gt;MAX('Calculations'!$IK$13:$IK$512),"",INDEX('Calculations'!$HK$13:$HK$512,MATCH(308,'Calculations'!$IK$13:$IK$512,0)))</x:f>
      </x:c>
      <x:c r="DE319" s="4" t="str">
        <x:f>'Calculations'!DC319</x:f>
      </x:c>
      <x:c r="DF319" s="4" t="str">
        <x:f>IF('Calculations'!DE319="","",COUNTIFS('Calculations'!$BN$13:$BN$512,1,'Calculations'!$BU$13:$BU$512,'Calculations'!DE319))</x:f>
      </x:c>
      <x:c r="DG319" s="4" t="str">
        <x:f>IF('Calculations'!DE319="","",COUNTIFS('Calculations'!$BN$13:$BN$512,1,'Calculations'!$BU$13:$BU$512,'Calculations'!DE319,'Calculations'!$BT$13:$BT$512,1))</x:f>
      </x:c>
      <x:c r="DH319" s="4" t="str">
        <x:f>IF('Calculations'!DE319="","",'Calculations'!DF319-'Calculations'!DG319)</x:f>
      </x:c>
      <x:c r="DI319" s="4" t="str">
        <x:f>IF(OR('Calculations'!DE319="",'Calculations'!DF319=0),"",'Calculations'!DG319/'Calculations'!DF319)</x:f>
      </x:c>
      <x:c r="DJ319" s="4" t="str">
        <x:f>IF('Calculations'!DE319="","",COUNTIFS('Calculations'!$BN$13:$BN$512,1,'Calculations'!$BU$13:$BU$512,'Calculations'!DE319,'Calculations'!$BT$13:$BT$512,1,'Calculations'!$EE$13:$EE$512,"High"))</x:f>
      </x:c>
      <x:c r="DK319" s="4" t="str">
        <x:f>IF('Calculations'!DE319="","",COUNTIFS('Calculations'!$BN$13:$BN$512,1,'Calculations'!$BU$13:$BU$512,'Calculations'!DE319,'Calculations'!$BT$13:$BT$512,1,'Calculations'!$EE$13:$EE$512,"Strong"))</x:f>
      </x:c>
      <x:c r="DL319" s="4" t="str">
        <x:f>IF('Calculations'!DE319="","",COUNTIFS('Calculations'!$BN$13:$BN$512,1,'Calculations'!$BU$13:$BU$512,'Calculations'!DE319,'Calculations'!$BT$13:$BT$512,1,'Calculations'!$EE$13:$EE$512,"Solid"))</x:f>
      </x:c>
      <x:c r="DM319" s="4" t="str">
        <x:f>IF('Calculations'!DE319="","",COUNTIFS('Calculations'!$BN$13:$BN$512,1,'Calculations'!$BU$13:$BU$512,'Calculations'!DE319,'Calculations'!$BT$13:$BT$512,1,'Calculations'!$EE$13:$EE$512,"Low"))</x:f>
      </x:c>
      <x:c r="DN319" s="4" t="str">
        <x:f>IF('Calculations'!DE319="","",COUNTIFS('Calculations'!$BN$13:$BN$512,1,'Calculations'!$BU$13:$BU$512,'Calculations'!DE319,'Calculations'!$EP$13:$EP$512,1))</x:f>
      </x:c>
      <x:c r="DO319" s="4" t="str">
        <x:f>IF(OR('Calculations'!DE319="",'Calculations'!DG319=0),"",('Calculations'!DJ319+'Calculations'!DK319)/'Calculations'!DG319)</x:f>
      </x:c>
      <x:c r="DP319" s="4" t="n">
        <x:f>IF(AND('Calculations'!DE319&lt;&gt;"",'Calculations'!DF319&gt;0),COUNTIF('Calculations'!$DF$12:DF319,"&gt;0"),0)</x:f>
        <x:v>0</x:v>
      </x:c>
      <x:c r="DQ319" s="4" t="str">
        <x:f>IF(308&gt;MAX('Calculations'!$HH$13:$HH$512),"",INDEX('Calculations'!$HF$13:$HF$512,MATCH(308,'Calculations'!$HH$13:$HH$512,0)))</x:f>
      </x:c>
      <x:c r="DR319" s="4" t="str">
        <x:f>IF(308&gt;MAX('Calculations'!$IK$13:$IK$512),"",INDEX('Calculations'!$HE$13:$HE$512,MATCH(308,'Calculations'!$IK$13:$IK$512,0)))</x:f>
      </x:c>
      <x:c r="DS319" s="4"/>
      <x:c r="DT319" s="4"/>
      <x:c r="DU319" s="4"/>
      <x:c r="DV319" s="4"/>
      <x:c r="DW319" s="4"/>
      <x:c r="DX319" s="4"/>
      <x:c r="DY319" s="4"/>
      <x:c r="DZ319" s="4"/>
      <x:c r="EA319" s="4"/>
      <x:c r="EB319" s="4"/>
      <x:c r="EC319" s="4"/>
      <x:c r="ED319" s="4"/>
      <x:c r="EE319" s="4" t="str">
        <x:f>IF('Calculations'!BT319=0,"Not Rated",IF(OR('Calculations'!BO319&gt;=4,'Calculations'!BP319&gt;=4),"Low",IF('Calculations'!BO319+'Calculations'!BP319&lt;=3,"High",IF('Calculations'!BO319+'Calculations'!BP319&lt;=4,"Strong","Solid"))))</x:f>
        <x:v>Not Rated</x:v>
      </x:c>
      <x:c r="EF319" s="4"/>
      <x:c r="EG319" s="4"/>
      <x:c r="EH319" s="4"/>
      <x:c r="EI319" s="4"/>
      <x:c r="EJ319" s="4"/>
      <x:c r="EK319" s="4"/>
      <x:c r="EL319" s="4"/>
      <x:c r="EM319" s="4" t="str">
        <x:f>IF(307&gt;'Calculations'!$JB$2000,"",INDEX('Calculations'!$JA$12:$JA$2000,MATCH(307,'Calculations'!$JB$12:$JB$2000,0)))</x:f>
      </x:c>
      <x:c r="EN319" s="4" t="n">
        <x:f>IF(OR('Calculations'!EM319="",'Calculations'!$AG$8&gt;0,AND('Calculations'!$EF$2&lt;&gt;"All",'Calculations'!HE319='Calculations'!$EF$2),AND('Calculations'!$EF$3&lt;&gt;"All",'Calculations'!HE319='Calculations'!$EF$3)),0,IF(OR('Dashboard'!$B$7="All",'Calculations'!HN319='Dashboard'!$B$7),IF('Calculations'!$EF$2="All",1,IF('Calculations'!HL319&gt;0,0,IF(COUNTIF('Calculations'!HO319:II319,"="&amp;SUBSTITUTE(SUBSTITUTE(SUBSTITUTE('Calculations'!$EF$2,"~","~~"),"*","~*"),"?","~?"))=0,0,IF('Calculations'!$EF$3="All",1,IF(COUNTIF('Calculations'!HO319:II319,"="&amp;SUBSTITUTE(SUBSTITUTE(SUBSTITUTE('Calculations'!$EF$3,"~","~~"),"*","~*"),"?","~?"))&gt;0,1,0))))),0))</x:f>
        <x:v>0</x:v>
      </x:c>
      <x:c r="EO319" s="4" t="str">
        <x:f>IF('Calculations'!IJ319="","",IF('Calculations'!IJ319="!UNRESOLVED","Unresolved hierarchy",IFERROR(INDEX('Calculations'!$HK$13:$HK$512,MATCH('Calculations'!IJ319,'Calculations'!$HE$13:$HE$512,0)),IFERROR(INDEX('Calculations'!$HJ$13:$HJ$512,MATCH('Calculations'!IJ319,'Calculations'!$HF$13:$HF$512,0)),'Calculations'!IJ319))))</x:f>
      </x:c>
      <x:c r="EP319" s="4" t="n">
        <x:f>IF(AND('Calculations'!EM319&lt;&gt;"",'Calculations'!HF319='Calculations'!IJ319),1,0)</x:f>
        <x:v>0</x:v>
      </x:c>
      <x:c r="EQ319" s="4"/>
      <x:c r="ER319" s="4"/>
      <x:c r="ES319" s="4"/>
      <x:c r="ET319" s="4"/>
      <x:c r="EU319" s="4"/>
      <x:c r="EV319" s="4"/>
      <x:c r="EW319" s="4"/>
      <x:c r="EX319" s="4"/>
      <x:c r="EY319" s="4"/>
      <x:c r="EZ319" s="4"/>
      <x:c r="FA319" s="4"/>
      <x:c r="FB319" s="4"/>
      <x:c r="FC319" s="4"/>
      <x:c r="FD319" s="4"/>
      <x:c r="FE319" s="4"/>
      <x:c r="FF319" s="4"/>
      <x:c r="FG319" s="4"/>
      <x:c r="FH319" s="4"/>
      <x:c r="FI319" s="4"/>
      <x:c r="FJ319" s="4"/>
      <x:c r="FK319" s="4"/>
      <x:c r="FL319" s="4"/>
      <x:c r="FM319" s="4"/>
      <x:c r="FN319" s="4"/>
      <x:c r="FO319" s="4"/>
      <x:c r="HE319" t="str">
        <x:f>IF('Calculations'!EM319="","",IF(IFERROR(IF(INDEX(INDIRECT("'WCM Calibration Final'!$A$1:$A$2000"),'Calculations'!$EM319)="","",TRIM(INDEX(INDIRECT("'WCM Calibration Final'!$A$1:$A$2000"),'Calculations'!$EM319)&amp;"")),"")&lt;&gt;"","G:"&amp;IFERROR(TEXT(1*INDEX(INDIRECT("'WCM Calibration Final'!$A$1:$A$2000"),'Calculations'!$EM319),"0"),UPPER(IFERROR(IF(INDEX(INDIRECT("'WCM Calibration Final'!$A$1:$A$2000"),'Calculations'!$EM319)="","",TRIM(INDEX(INDIRECT("'WCM Calibration Final'!$A$1:$A$2000"),'Calculations'!$EM319)&amp;"")),""))),IF(IFERROR(IF(INDEX(INDIRECT("'WCM Calibration Final'!$C$1:$C$2000"),'Calculations'!$EM319)="","",TRIM(INDEX(INDIRECT("'WCM Calibration Final'!$C$1:$C$2000"),'Calculations'!$EM319)&amp;"")),"")&lt;&gt;"","S:"&amp;UPPER(IFERROR(IF(INDEX(INDIRECT("'WCM Calibration Final'!$C$1:$C$2000"),'Calculations'!$EM319)="","",TRIM(INDEX(INDIRECT("'WCM Calibration Final'!$C$1:$C$2000"),'Calculations'!$EM319)&amp;"")),"")),"R:"&amp;'Calculations'!EM319)))</x:f>
      </x:c>
      <x:c r="HF319" t="str">
        <x:f>IF('Calculations'!EM319="","",IF(IFERROR(IF(INDEX(INDIRECT("'WCM Calibration Final'!$D$1:$D$2000"),'Calculations'!$EM319)="","",TRIM(INDEX(INDIRECT("'WCM Calibration Final'!$D$1:$D$2000"),'Calculations'!$EM319)&amp;"")),"")&lt;&gt;"","G:"&amp;IFERROR(TEXT(1*INDEX(INDIRECT("'WCM Calibration Final'!$D$1:$D$2000"),'Calculations'!$EM319),"0"),UPPER(IFERROR(IF(INDEX(INDIRECT("'WCM Calibration Final'!$D$1:$D$2000"),'Calculations'!$EM319)="","",TRIM(INDEX(INDIRECT("'WCM Calibration Final'!$D$1:$D$2000"),'Calculations'!$EM319)&amp;"")),""))),IF(IFERROR(IF(INDEX(INDIRECT("'WCM Calibration Final'!$E$1:$E$2000"),'Calculations'!$EM319)="","",TRIM(INDEX(INDIRECT("'WCM Calibration Final'!$E$1:$E$2000"),'Calculations'!$EM319)&amp;"")),"")="","",IF(COUNTIF('Calculations'!$HG$13:$HG$512,"="&amp;SUBSTITUTE(SUBSTITUTE(SUBSTITUTE(IFERROR(IF(INDEX(INDIRECT("'WCM Calibration Final'!$E$1:$E$2000"),'Calculations'!$EM319)="","",TRIM(INDEX(INDIRECT("'WCM Calibration Final'!$E$1:$E$2000"),'Calculations'!$EM319)&amp;"")),""),"~","~~"),"*","~*"),"?","~?"))=1,INDEX('Calculations'!$HE$13:$HE$512,MATCH(IFERROR(IF(INDEX(INDIRECT("'WCM Calibration Final'!$E$1:$E$2000"),'Calculations'!$EM319)="","",TRIM(INDEX(INDIRECT("'WCM Calibration Final'!$E$1:$E$2000"),'Calculations'!$EM319)&amp;"")),""),'Calculations'!$HG$13:$HG$512,0)),IF(COUNTIF('Calculations'!$HG$13:$HG$512,"="&amp;SUBSTITUTE(SUBSTITUTE(SUBSTITUTE(IFERROR(IF(INDEX(INDIRECT("'WCM Calibration Final'!$E$1:$E$2000"),'Calculations'!$EM319)="","",TRIM(INDEX(INDIRECT("'WCM Calibration Final'!$E$1:$E$2000"),'Calculations'!$EM319)&amp;"")),""),"~","~~"),"*","~*"),"?","~?"))&gt;1,"!AMBIG","X:"&amp;IFERROR(IF(INDEX(INDIRECT("'WCM Calibration Final'!$E$1:$E$2000"),'Calculations'!$EM319)="","",TRIM(INDEX(INDIRECT("'WCM Calibration Final'!$E$1:$E$2000"),'Calculations'!$EM319)&amp;"")),""))))))</x:f>
      </x:c>
      <x:c r="HG319" t="str">
        <x:f>IF('Calculations'!EM319="","",IFERROR(IF(INDEX(INDIRECT("'WCM Calibration Final'!$B$1:$B$2000"),'Calculations'!$EM319)="","",TRIM(INDEX(INDIRECT("'WCM Calibration Final'!$B$1:$B$2000"),'Calculations'!$EM319)&amp;"")),""))</x:f>
      </x:c>
      <x:c r="HH319" t="n">
        <x:f>IF(AND('Calculations'!JC319&gt;0,COUNTIF('Calculations'!$HF$12:HF319,"="&amp;SUBSTITUTE(SUBSTITUTE(SUBSTITUTE('Calculations'!HF319,"~","~~"),"*","~*"),"?","~?"))=1),MAX('Calculations'!$HH$12:HH318)+1,0)</x:f>
        <x:v>0</x:v>
      </x:c>
      <x:c r="HI319" t="n">
        <x:f>IF(AND('Calculations'!HN319&lt;&gt;"",COUNTIF('Calculations'!$HN$12:HN319,"="&amp;SUBSTITUTE(SUBSTITUTE(SUBSTITUTE('Calculations'!HN319,"~","~~"),"*","~*"),"?","~?"))=1),MAX('Calculations'!$HI$12:HI318)+1,0)</x:f>
        <x:v>0</x:v>
      </x:c>
      <x:c r="HJ319" t="str">
        <x:f>IF('Calculations'!HF319="","",IF(COUNTIF('Calculations'!$HE$13:$HE$512,"="&amp;SUBSTITUTE(SUBSTITUTE(SUBSTITUTE('Calculations'!HF319,"~","~~"),"*","~*"),"?","~?"))=1,INDEX('Calculations'!$HK$13:$HK$512,MATCH('Calculations'!HF319,'Calculations'!$HE$13:$HE$512,0)),IFERROR(IF(INDEX(INDIRECT("'WCM Calibration Final'!$E$1:$E$2000"),'Calculations'!$EM319)="","",TRIM(INDEX(INDIRECT("'WCM Calibration Final'!$E$1:$E$2000"),'Calculations'!$EM319)&amp;"")),"")&amp;" ["&amp;'Calculations'!HF319&amp;"]"))</x:f>
      </x:c>
      <x:c r="HK319" t="str">
        <x:f>IF('Calculations'!EM319="","",'Calculations'!HG319&amp;" ["&amp;'Calculations'!HE319&amp;"]")</x:f>
      </x:c>
      <x:c r="HL319" t="n">
        <x:f>IF('Calculations'!EM319="",0,IF(OR('Calculations'!II319&lt;&gt;"",COUNTIF('Calculations'!$HE$13:$HE$512,"="&amp;SUBSTITUTE(SUBSTITUTE(SUBSTITUTE('Calculations'!HE319,"~","~~"),"*","~*"),"?","~?"))&gt;1),1,0))</x:f>
        <x:v>0</x:v>
      </x:c>
      <x:c r="HM319" t="str">
        <x:f>IF('Calculations'!EM319="","",IF('Calculations'!HL319=1,"!UNRESOLVED",IF('Calculations'!IH319&lt;&gt;"",'Calculations'!IH319,IF('Calculations'!IG319&lt;&gt;"",'Calculations'!IG319,IF('Calculations'!IF319&lt;&gt;"",'Calculations'!IF319,IF('Calculations'!IE319&lt;&gt;"",'Calculations'!IE319,IF('Calculations'!ID319&lt;&gt;"",'Calculations'!ID319,IF('Calculations'!IC319&lt;&gt;"",'Calculations'!IC319,IF('Calculations'!IB319&lt;&gt;"",'Calculations'!IB319,IF('Calculations'!IA319&lt;&gt;"",'Calculations'!IA319,IF('Calculations'!HZ319&lt;&gt;"",'Calculations'!HZ319,IF('Calculations'!HY319&lt;&gt;"",'Calculations'!HY319,IF('Calculations'!HX319&lt;&gt;"",'Calculations'!HX319,IF('Calculations'!HW319&lt;&gt;"",'Calculations'!HW319,IF('Calculations'!HV319&lt;&gt;"",'Calculations'!HV319,IF('Calculations'!HU319&lt;&gt;"",'Calculations'!HU319,IF('Calculations'!HT319&lt;&gt;"",'Calculations'!HT319,IF('Calculations'!HS319&lt;&gt;"",'Calculations'!HS319,IF('Calculations'!HR319&lt;&gt;"",'Calculations'!HR319,IF('Calculations'!HQ319&lt;&gt;"",'Calculations'!HQ319,IF('Calculations'!HP319&lt;&gt;"",'Calculations'!HP319,IF('Calculations'!HO319&lt;&gt;"",'Calculations'!HO319,'Calculations'!HE319))))))))))))))))))))))</x:f>
      </x:c>
      <x:c r="HN319" t="str">
        <x:f>IF('Calculations'!EM319="","",IF(IFERROR(IF(INDEX(INDIRECT("'WCM Calibration Final'!$F$1:$F$2000"),'Calculations'!$EM319)="","",TRIM(INDEX(INDIRECT("'WCM Calibration Final'!$F$1:$F$2000"),'Calculations'!$EM319)&amp;"")),"")="","(Blank)",IFERROR(IF(INDEX(INDIRECT("'WCM Calibration Final'!$F$1:$F$2000"),'Calculations'!$EM319)="","",TRIM(INDEX(INDIRECT("'WCM Calibration Final'!$F$1:$F$2000"),'Calculations'!$EM319)&amp;"")),"")))</x:f>
      </x:c>
      <x:c r="HO319" t="str">
        <x:f>'Calculations'!HF319</x:f>
      </x:c>
      <x:c r="HP319" t="str">
        <x:f>IF('Calculations'!HO319="","",IF('Calculations'!HO319="!AMBIG","!AMBIG",IF(COUNTIF('Calculations'!$HE$13:$HE$512,"="&amp;SUBSTITUTE(SUBSTITUTE(SUBSTITUTE('Calculations'!HO319,"~","~~"),"*","~*"),"?","~?"))&gt;1,"!AMBIG",IFERROR(INDEX('Calculations'!$HF$13:$HF$512,MATCH('Calculations'!HO319,'Calculations'!$HE$13:$HE$512,0)),""))))</x:f>
      </x:c>
      <x:c r="HQ319" t="str">
        <x:f>IF('Calculations'!HP319="","",IF('Calculations'!HP319="!AMBIG","!AMBIG",IF(COUNTIF('Calculations'!$HE$13:$HE$512,"="&amp;SUBSTITUTE(SUBSTITUTE(SUBSTITUTE('Calculations'!HP319,"~","~~"),"*","~*"),"?","~?"))&gt;1,"!AMBIG",IFERROR(INDEX('Calculations'!$HF$13:$HF$512,MATCH('Calculations'!HP319,'Calculations'!$HE$13:$HE$512,0)),""))))</x:f>
      </x:c>
      <x:c r="HR319" t="str">
        <x:f>IF('Calculations'!HQ319="","",IF('Calculations'!HQ319="!AMBIG","!AMBIG",IF(COUNTIF('Calculations'!$HE$13:$HE$512,"="&amp;SUBSTITUTE(SUBSTITUTE(SUBSTITUTE('Calculations'!HQ319,"~","~~"),"*","~*"),"?","~?"))&gt;1,"!AMBIG",IFERROR(INDEX('Calculations'!$HF$13:$HF$512,MATCH('Calculations'!HQ319,'Calculations'!$HE$13:$HE$512,0)),""))))</x:f>
      </x:c>
      <x:c r="HS319" t="str">
        <x:f>IF('Calculations'!HR319="","",IF('Calculations'!HR319="!AMBIG","!AMBIG",IF(COUNTIF('Calculations'!$HE$13:$HE$512,"="&amp;SUBSTITUTE(SUBSTITUTE(SUBSTITUTE('Calculations'!HR319,"~","~~"),"*","~*"),"?","~?"))&gt;1,"!AMBIG",IFERROR(INDEX('Calculations'!$HF$13:$HF$512,MATCH('Calculations'!HR319,'Calculations'!$HE$13:$HE$512,0)),""))))</x:f>
      </x:c>
      <x:c r="HT319" t="str">
        <x:f>IF('Calculations'!HS319="","",IF('Calculations'!HS319="!AMBIG","!AMBIG",IF(COUNTIF('Calculations'!$HE$13:$HE$512,"="&amp;SUBSTITUTE(SUBSTITUTE(SUBSTITUTE('Calculations'!HS319,"~","~~"),"*","~*"),"?","~?"))&gt;1,"!AMBIG",IFERROR(INDEX('Calculations'!$HF$13:$HF$512,MATCH('Calculations'!HS319,'Calculations'!$HE$13:$HE$512,0)),""))))</x:f>
      </x:c>
      <x:c r="HU319" t="str">
        <x:f>IF('Calculations'!HT319="","",IF('Calculations'!HT319="!AMBIG","!AMBIG",IF(COUNTIF('Calculations'!$HE$13:$HE$512,"="&amp;SUBSTITUTE(SUBSTITUTE(SUBSTITUTE('Calculations'!HT319,"~","~~"),"*","~*"),"?","~?"))&gt;1,"!AMBIG",IFERROR(INDEX('Calculations'!$HF$13:$HF$512,MATCH('Calculations'!HT319,'Calculations'!$HE$13:$HE$512,0)),""))))</x:f>
      </x:c>
      <x:c r="HV319" t="str">
        <x:f>IF('Calculations'!HU319="","",IF('Calculations'!HU319="!AMBIG","!AMBIG",IF(COUNTIF('Calculations'!$HE$13:$HE$512,"="&amp;SUBSTITUTE(SUBSTITUTE(SUBSTITUTE('Calculations'!HU319,"~","~~"),"*","~*"),"?","~?"))&gt;1,"!AMBIG",IFERROR(INDEX('Calculations'!$HF$13:$HF$512,MATCH('Calculations'!HU319,'Calculations'!$HE$13:$HE$512,0)),""))))</x:f>
      </x:c>
      <x:c r="HW319" t="str">
        <x:f>IF('Calculations'!HV319="","",IF('Calculations'!HV319="!AMBIG","!AMBIG",IF(COUNTIF('Calculations'!$HE$13:$HE$512,"="&amp;SUBSTITUTE(SUBSTITUTE(SUBSTITUTE('Calculations'!HV319,"~","~~"),"*","~*"),"?","~?"))&gt;1,"!AMBIG",IFERROR(INDEX('Calculations'!$HF$13:$HF$512,MATCH('Calculations'!HV319,'Calculations'!$HE$13:$HE$512,0)),""))))</x:f>
      </x:c>
      <x:c r="HX319" t="str">
        <x:f>IF('Calculations'!HW319="","",IF('Calculations'!HW319="!AMBIG","!AMBIG",IF(COUNTIF('Calculations'!$HE$13:$HE$512,"="&amp;SUBSTITUTE(SUBSTITUTE(SUBSTITUTE('Calculations'!HW319,"~","~~"),"*","~*"),"?","~?"))&gt;1,"!AMBIG",IFERROR(INDEX('Calculations'!$HF$13:$HF$512,MATCH('Calculations'!HW319,'Calculations'!$HE$13:$HE$512,0)),""))))</x:f>
      </x:c>
      <x:c r="HY319" t="str">
        <x:f>IF('Calculations'!HX319="","",IF('Calculations'!HX319="!AMBIG","!AMBIG",IF(COUNTIF('Calculations'!$HE$13:$HE$512,"="&amp;SUBSTITUTE(SUBSTITUTE(SUBSTITUTE('Calculations'!HX319,"~","~~"),"*","~*"),"?","~?"))&gt;1,"!AMBIG",IFERROR(INDEX('Calculations'!$HF$13:$HF$512,MATCH('Calculations'!HX319,'Calculations'!$HE$13:$HE$512,0)),""))))</x:f>
      </x:c>
      <x:c r="HZ319" t="str">
        <x:f>IF('Calculations'!HY319="","",IF('Calculations'!HY319="!AMBIG","!AMBIG",IF(COUNTIF('Calculations'!$HE$13:$HE$512,"="&amp;SUBSTITUTE(SUBSTITUTE(SUBSTITUTE('Calculations'!HY319,"~","~~"),"*","~*"),"?","~?"))&gt;1,"!AMBIG",IFERROR(INDEX('Calculations'!$HF$13:$HF$512,MATCH('Calculations'!HY319,'Calculations'!$HE$13:$HE$512,0)),""))))</x:f>
      </x:c>
      <x:c r="IA319" t="str">
        <x:f>IF('Calculations'!HZ319="","",IF('Calculations'!HZ319="!AMBIG","!AMBIG",IF(COUNTIF('Calculations'!$HE$13:$HE$512,"="&amp;SUBSTITUTE(SUBSTITUTE(SUBSTITUTE('Calculations'!HZ319,"~","~~"),"*","~*"),"?","~?"))&gt;1,"!AMBIG",IFERROR(INDEX('Calculations'!$HF$13:$HF$512,MATCH('Calculations'!HZ319,'Calculations'!$HE$13:$HE$512,0)),""))))</x:f>
      </x:c>
      <x:c r="IB319" t="str">
        <x:f>IF('Calculations'!IA319="","",IF('Calculations'!IA319="!AMBIG","!AMBIG",IF(COUNTIF('Calculations'!$HE$13:$HE$512,"="&amp;SUBSTITUTE(SUBSTITUTE(SUBSTITUTE('Calculations'!IA319,"~","~~"),"*","~*"),"?","~?"))&gt;1,"!AMBIG",IFERROR(INDEX('Calculations'!$HF$13:$HF$512,MATCH('Calculations'!IA319,'Calculations'!$HE$13:$HE$512,0)),""))))</x:f>
      </x:c>
      <x:c r="IC319" t="str">
        <x:f>IF('Calculations'!IB319="","",IF('Calculations'!IB319="!AMBIG","!AMBIG",IF(COUNTIF('Calculations'!$HE$13:$HE$512,"="&amp;SUBSTITUTE(SUBSTITUTE(SUBSTITUTE('Calculations'!IB319,"~","~~"),"*","~*"),"?","~?"))&gt;1,"!AMBIG",IFERROR(INDEX('Calculations'!$HF$13:$HF$512,MATCH('Calculations'!IB319,'Calculations'!$HE$13:$HE$512,0)),""))))</x:f>
      </x:c>
      <x:c r="ID319" t="str">
        <x:f>IF('Calculations'!IC319="","",IF('Calculations'!IC319="!AMBIG","!AMBIG",IF(COUNTIF('Calculations'!$HE$13:$HE$512,"="&amp;SUBSTITUTE(SUBSTITUTE(SUBSTITUTE('Calculations'!IC319,"~","~~"),"*","~*"),"?","~?"))&gt;1,"!AMBIG",IFERROR(INDEX('Calculations'!$HF$13:$HF$512,MATCH('Calculations'!IC319,'Calculations'!$HE$13:$HE$512,0)),""))))</x:f>
      </x:c>
      <x:c r="IE319" t="str">
        <x:f>IF('Calculations'!ID319="","",IF('Calculations'!ID319="!AMBIG","!AMBIG",IF(COUNTIF('Calculations'!$HE$13:$HE$512,"="&amp;SUBSTITUTE(SUBSTITUTE(SUBSTITUTE('Calculations'!ID319,"~","~~"),"*","~*"),"?","~?"))&gt;1,"!AMBIG",IFERROR(INDEX('Calculations'!$HF$13:$HF$512,MATCH('Calculations'!ID319,'Calculations'!$HE$13:$HE$512,0)),""))))</x:f>
      </x:c>
      <x:c r="IF319" t="str">
        <x:f>IF('Calculations'!IE319="","",IF('Calculations'!IE319="!AMBIG","!AMBIG",IF(COUNTIF('Calculations'!$HE$13:$HE$512,"="&amp;SUBSTITUTE(SUBSTITUTE(SUBSTITUTE('Calculations'!IE319,"~","~~"),"*","~*"),"?","~?"))&gt;1,"!AMBIG",IFERROR(INDEX('Calculations'!$HF$13:$HF$512,MATCH('Calculations'!IE319,'Calculations'!$HE$13:$HE$512,0)),""))))</x:f>
      </x:c>
      <x:c r="IG319" t="str">
        <x:f>IF('Calculations'!IF319="","",IF('Calculations'!IF319="!AMBIG","!AMBIG",IF(COUNTIF('Calculations'!$HE$13:$HE$512,"="&amp;SUBSTITUTE(SUBSTITUTE(SUBSTITUTE('Calculations'!IF319,"~","~~"),"*","~*"),"?","~?"))&gt;1,"!AMBIG",IFERROR(INDEX('Calculations'!$HF$13:$HF$512,MATCH('Calculations'!IF319,'Calculations'!$HE$13:$HE$512,0)),""))))</x:f>
      </x:c>
      <x:c r="IH319" t="str">
        <x:f>IF('Calculations'!IG319="","",IF('Calculations'!IG319="!AMBIG","!AMBIG",IF(COUNTIF('Calculations'!$HE$13:$HE$512,"="&amp;SUBSTITUTE(SUBSTITUTE(SUBSTITUTE('Calculations'!IG319,"~","~~"),"*","~*"),"?","~?"))&gt;1,"!AMBIG",IFERROR(INDEX('Calculations'!$HF$13:$HF$512,MATCH('Calculations'!IG319,'Calculations'!$HE$13:$HE$512,0)),""))))</x:f>
      </x:c>
      <x:c r="II319" t="str">
        <x:f>IF('Calculations'!IH319="","",IF('Calculations'!IH319="!AMBIG","!AMBIG",IF(COUNTIF('Calculations'!$HE$13:$HE$512,"="&amp;SUBSTITUTE(SUBSTITUTE(SUBSTITUTE('Calculations'!IH319,"~","~~"),"*","~*"),"?","~?"))&gt;1,"!AMBIG",IFERROR(INDEX('Calculations'!$HF$13:$HF$512,MATCH('Calculations'!IH319,'Calculations'!$HE$13:$HE$512,0)),""))))</x:f>
      </x:c>
      <x:c r="IJ319" t="str">
        <x:f>IF('Calculations'!EM319="","",IF('Calculations'!$EF$2="All",'Calculations'!HM319,IF('Calculations'!HL319=1,"",IFERROR(IF(MATCH('Calculations'!$EF$2,'Calculations'!HO319:II319,0)=1,'Calculations'!HE319,INDEX('Calculations'!HO319:II319,1,MATCH('Calculations'!$EF$2,'Calculations'!HO319:II319,0)-1)),""))))</x:f>
      </x:c>
      <x:c r="IK319" t="n">
        <x:f>IF(AND('Calculations'!EM319&lt;&gt;"",'Calculations'!$EF$2&lt;&gt;"All",'Calculations'!HF319='Calculations'!$EF$2,'Calculations'!HL319=0,'Calculations'!JD319&gt;0),MAX('Calculations'!$IK$12:IK318)+1,0)</x:f>
        <x:v>0</x:v>
      </x:c>
      <x:c r="JA319" t="n">
        <x:f>IF(OR(IFERROR(INDIRECT("'WCM Calibration Final'!$A$319")&lt;&gt;"",FALSE),IFERROR(INDIRECT("'WCM Calibration Final'!$B$319")&lt;&gt;"",FALSE),IFERROR(INDIRECT("'WCM Calibration Final'!$C$319")&lt;&gt;"",FALSE)),319,0)</x:f>
        <x:v>0</x:v>
      </x:c>
      <x:c r="JB319" t="n">
        <x:f>'Calculations'!JB318+IF('Calculations'!JA319&gt;0,1,0)</x:f>
        <x:v>0</x:v>
      </x:c>
      <x:c r="JC319" t="n">
        <x:f>IF(OR('Calculations'!HF319="",'Calculations'!HF319="!AMBIG"),0,IF('Dashboard'!$B$7="All",1,COUNTIFS('Calculations'!$HO$13:$HO$512,"="&amp;SUBSTITUTE(SUBSTITUTE(SUBSTITUTE('Calculations'!HF319,"~","~~"),"*","~*"),"?","~?"),'Calculations'!$HN$13:$HN$512,"="&amp;SUBSTITUTE(SUBSTITUTE(SUBSTITUTE('Dashboard'!$B$7,"~","~~"),"*","~*"),"?","~?"))+COUNTIFS('Calculations'!$HP$13:$HP$512,"="&amp;SUBSTITUTE(SUBSTITUTE(SUBSTITUTE('Calculations'!HF319,"~","~~"),"*","~*"),"?","~?"),'Calculations'!$HN$13:$HN$512,"="&amp;SUBSTITUTE(SUBSTITUTE(SUBSTITUTE('Dashboard'!$B$7,"~","~~"),"*","~*"),"?","~?"))+COUNTIFS('Calculations'!$HQ$13:$HQ$512,"="&amp;SUBSTITUTE(SUBSTITUTE(SUBSTITUTE('Calculations'!HF319,"~","~~"),"*","~*"),"?","~?"),'Calculations'!$HN$13:$HN$512,"="&amp;SUBSTITUTE(SUBSTITUTE(SUBSTITUTE('Dashboard'!$B$7,"~","~~"),"*","~*"),"?","~?"))+COUNTIFS('Calculations'!$HR$13:$HR$512,"="&amp;SUBSTITUTE(SUBSTITUTE(SUBSTITUTE('Calculations'!HF319,"~","~~"),"*","~*"),"?","~?"),'Calculations'!$HN$13:$HN$512,"="&amp;SUBSTITUTE(SUBSTITUTE(SUBSTITUTE('Dashboard'!$B$7,"~","~~"),"*","~*"),"?","~?"))+COUNTIFS('Calculations'!$HS$13:$HS$512,"="&amp;SUBSTITUTE(SUBSTITUTE(SUBSTITUTE('Calculations'!HF319,"~","~~"),"*","~*"),"?","~?"),'Calculations'!$HN$13:$HN$512,"="&amp;SUBSTITUTE(SUBSTITUTE(SUBSTITUTE('Dashboard'!$B$7,"~","~~"),"*","~*"),"?","~?"))+COUNTIFS('Calculations'!$HT$13:$HT$512,"="&amp;SUBSTITUTE(SUBSTITUTE(SUBSTITUTE('Calculations'!HF319,"~","~~"),"*","~*"),"?","~?"),'Calculations'!$HN$13:$HN$512,"="&amp;SUBSTITUTE(SUBSTITUTE(SUBSTITUTE('Dashboard'!$B$7,"~","~~"),"*","~*"),"?","~?"))+COUNTIFS('Calculations'!$HU$13:$HU$512,"="&amp;SUBSTITUTE(SUBSTITUTE(SUBSTITUTE('Calculations'!HF319,"~","~~"),"*","~*"),"?","~?"),'Calculations'!$HN$13:$HN$512,"="&amp;SUBSTITUTE(SUBSTITUTE(SUBSTITUTE('Dashboard'!$B$7,"~","~~"),"*","~*"),"?","~?"))+COUNTIFS('Calculations'!$HV$13:$HV$512,"="&amp;SUBSTITUTE(SUBSTITUTE(SUBSTITUTE('Calculations'!HF319,"~","~~"),"*","~*"),"?","~?"),'Calculations'!$HN$13:$HN$512,"="&amp;SUBSTITUTE(SUBSTITUTE(SUBSTITUTE('Dashboard'!$B$7,"~","~~"),"*","~*"),"?","~?"))+COUNTIFS('Calculations'!$HW$13:$HW$512,"="&amp;SUBSTITUTE(SUBSTITUTE(SUBSTITUTE('Calculations'!HF319,"~","~~"),"*","~*"),"?","~?"),'Calculations'!$HN$13:$HN$512,"="&amp;SUBSTITUTE(SUBSTITUTE(SUBSTITUTE('Dashboard'!$B$7,"~","~~"),"*","~*"),"?","~?"))+COUNTIFS('Calculations'!$HX$13:$HX$512,"="&amp;SUBSTITUTE(SUBSTITUTE(SUBSTITUTE('Calculations'!HF319,"~","~~"),"*","~*"),"?","~?"),'Calculations'!$HN$13:$HN$512,"="&amp;SUBSTITUTE(SUBSTITUTE(SUBSTITUTE('Dashboard'!$B$7,"~","~~"),"*","~*"),"?","~?"))+COUNTIFS('Calculations'!$HY$13:$HY$512,"="&amp;SUBSTITUTE(SUBSTITUTE(SUBSTITUTE('Calculations'!HF319,"~","~~"),"*","~*"),"?","~?"),'Calculations'!$HN$13:$HN$512,"="&amp;SUBSTITUTE(SUBSTITUTE(SUBSTITUTE('Dashboard'!$B$7,"~","~~"),"*","~*"),"?","~?"))+COUNTIFS('Calculations'!$HZ$13:$HZ$512,"="&amp;SUBSTITUTE(SUBSTITUTE(SUBSTITUTE('Calculations'!HF319,"~","~~"),"*","~*"),"?","~?"),'Calculations'!$HN$13:$HN$512,"="&amp;SUBSTITUTE(SUBSTITUTE(SUBSTITUTE('Dashboard'!$B$7,"~","~~"),"*","~*"),"?","~?"))+COUNTIFS('Calculations'!$IA$13:$IA$512,"="&amp;SUBSTITUTE(SUBSTITUTE(SUBSTITUTE('Calculations'!HF319,"~","~~"),"*","~*"),"?","~?"),'Calculations'!$HN$13:$HN$512,"="&amp;SUBSTITUTE(SUBSTITUTE(SUBSTITUTE('Dashboard'!$B$7,"~","~~"),"*","~*"),"?","~?"))+COUNTIFS('Calculations'!$IB$13:$IB$512,"="&amp;SUBSTITUTE(SUBSTITUTE(SUBSTITUTE('Calculations'!HF319,"~","~~"),"*","~*"),"?","~?"),'Calculations'!$HN$13:$HN$512,"="&amp;SUBSTITUTE(SUBSTITUTE(SUBSTITUTE('Dashboard'!$B$7,"~","~~"),"*","~*"),"?","~?"))+COUNTIFS('Calculations'!$IC$13:$IC$512,"="&amp;SUBSTITUTE(SUBSTITUTE(SUBSTITUTE('Calculations'!HF319,"~","~~"),"*","~*"),"?","~?"),'Calculations'!$HN$13:$HN$512,"="&amp;SUBSTITUTE(SUBSTITUTE(SUBSTITUTE('Dashboard'!$B$7,"~","~~"),"*","~*"),"?","~?"))+COUNTIFS('Calculations'!$ID$13:$ID$512,"="&amp;SUBSTITUTE(SUBSTITUTE(SUBSTITUTE('Calculations'!HF319,"~","~~"),"*","~*"),"?","~?"),'Calculations'!$HN$13:$HN$512,"="&amp;SUBSTITUTE(SUBSTITUTE(SUBSTITUTE('Dashboard'!$B$7,"~","~~"),"*","~*"),"?","~?"))+COUNTIFS('Calculations'!$IE$13:$IE$512,"="&amp;SUBSTITUTE(SUBSTITUTE(SUBSTITUTE('Calculations'!HF319,"~","~~"),"*","~*"),"?","~?"),'Calculations'!$HN$13:$HN$512,"="&amp;SUBSTITUTE(SUBSTITUTE(SUBSTITUTE('Dashboard'!$B$7,"~","~~"),"*","~*"),"?","~?"))+COUNTIFS('Calculations'!$IF$13:$IF$512,"="&amp;SUBSTITUTE(SUBSTITUTE(SUBSTITUTE('Calculations'!HF319,"~","~~"),"*","~*"),"?","~?"),'Calculations'!$HN$13:$HN$512,"="&amp;SUBSTITUTE(SUBSTITUTE(SUBSTITUTE('Dashboard'!$B$7,"~","~~"),"*","~*"),"?","~?"))+COUNTIFS('Calculations'!$IG$13:$IG$512,"="&amp;SUBSTITUTE(SUBSTITUTE(SUBSTITUTE('Calculations'!HF319,"~","~~"),"*","~*"),"?","~?"),'Calculations'!$HN$13:$HN$512,"="&amp;SUBSTITUTE(SUBSTITUTE(SUBSTITUTE('Dashboard'!$B$7,"~","~~"),"*","~*"),"?","~?"))+COUNTIFS('Calculations'!$IH$13:$IH$512,"="&amp;SUBSTITUTE(SUBSTITUTE(SUBSTITUTE('Calculations'!HF319,"~","~~"),"*","~*"),"?","~?"),'Calculations'!$HN$13:$HN$512,"="&amp;SUBSTITUTE(SUBSTITUTE(SUBSTITUTE('Dashboard'!$B$7,"~","~~"),"*","~*"),"?","~?"))))</x:f>
        <x:v>0</x:v>
      </x:c>
      <x:c r="JD319" t="n">
        <x:f>IF('Calculations'!EM319="",0,IF('Dashboard'!$B$7="All",1,IF('Calculations'!HN319='Dashboard'!$B$7,1,0)+IFERROR(INDEX('Calculations'!$JC$13:$JC$512,MATCH('Calculations'!HE319,'Calculations'!$HF$13:$HF$512,0)),0)))</x:f>
        <x:v>0</x:v>
      </x:c>
      <x:c r="JE319" t="n">
        <x:f>IF(AND('Calculations'!EM319&lt;&gt;"",'Calculations'!$JJ$2&lt;&gt;"All",'Calculations'!$JJ$2&lt;&gt;"",'Calculations'!HF319='Calculations'!$JJ$2,'Calculations'!HL319=0,'Calculations'!JD319&gt;0),MAX('Calculations'!$JE$12:JE318)+1,0)</x:f>
        <x:v>0</x:v>
      </x:c>
      <x:c r="JF319" t="str">
        <x:f>IF('Calculations'!EM319="","",IFERROR(IF(INDEX(INDIRECT("'WCM Calibration Final'!$G$1:$G$2000"),'Calculations'!$EM319)="","",TRIM(INDEX(INDIRECT("'WCM Calibration Final'!$G$1:$G$2000"),'Calculations'!$EM319)&amp;"")),""))</x:f>
      </x:c>
      <x:c r="JQ319" t="n">
        <x:f>IF(OR('Calculations'!BM319=0,NOT('Calculations'!$AG$2),'Calculations'!$AG$8&gt;0),0,IF(OR('Dashboard'!$B$7="All",'Calculations'!HN319='Dashboard'!$B$7),IF('Calculations'!$JJ$2="All",1,IF(AND('Calculations'!HF319='Calculations'!$JJ$2,'Calculations'!HL319=0),1,0)),0))</x:f>
        <x:v>0</x:v>
      </x:c>
    </x:row>
    <x:row r="320">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t="n">
        <x:f>IF('Calculations'!$EM320="",0,IF(OR(IFERROR(INDEX(INDIRECT("'WCM Calibration Final'!$A$1:$A$2000"),'Calculations'!$EM320)&lt;&gt;"",FALSE),IFERROR(INDEX(INDIRECT("'WCM Calibration Final'!$B$1:$B$2000"),'Calculations'!$EM320)&lt;&gt;"",FALSE),IFERROR(INDEX(INDIRECT("'WCM Calibration Final'!$C$1:$C$2000"),'Calculations'!$EM320)&lt;&gt;"",FALSE)),1,0))</x:f>
        <x:v>0</x:v>
      </x:c>
      <x:c r="BN320" s="4" t="n">
        <x:f>IF(AND('Calculations'!BM320=1,'Calculations'!$AG$2,'Calculations'!$EN320=1),1,0)</x:f>
        <x:v>0</x:v>
      </x:c>
      <x:c r="BO320" s="4" t="str">
        <x:f>IF('Calculations'!BM320=0,"",IFERROR(IF(AND(VALUE(INDEX(INDIRECT("'WCM Calibration Final'!$K$1:$K$2000"),'Calculations'!$EM320))&gt;=1,VALUE(INDEX(INDIRECT("'WCM Calibration Final'!$K$1:$K$2000"),'Calculations'!$EM320))&lt;=4,MOD(VALUE(INDEX(INDIRECT("'WCM Calibration Final'!$K$1:$K$2000"),'Calculations'!$EM320)),1)=0),VALUE(INDEX(INDIRECT("'WCM Calibration Final'!$K$1:$K$2000"),'Calculations'!$EM320)),""),""))</x:f>
      </x:c>
      <x:c r="BP320" s="4" t="str">
        <x:f>IF('Calculations'!BM320=0,"",IFERROR(IF(AND(VALUE(INDEX(INDIRECT("'WCM Calibration Final'!$L$1:$L$2000"),'Calculations'!$EM320))&gt;=1,VALUE(INDEX(INDIRECT("'WCM Calibration Final'!$L$1:$L$2000"),'Calculations'!$EM320))&lt;=4,MOD(VALUE(INDEX(INDIRECT("'WCM Calibration Final'!$L$1:$L$2000"),'Calculations'!$EM320)),1)=0),VALUE(INDEX(INDIRECT("'WCM Calibration Final'!$L$1:$L$2000"),'Calculations'!$EM320)),""),""))</x:f>
      </x:c>
      <x:c r="BQ320" s="4"/>
      <x:c r="BR320" s="4"/>
      <x:c r="BS320" s="4"/>
      <x:c r="BT320" s="4" t="n">
        <x:f>IF(AND('Calculations'!BM320=1,ISNUMBER('Calculations'!BO320),ISNUMBER('Calculations'!BP320)),1,0)</x:f>
        <x:v>0</x:v>
      </x:c>
      <x:c r="BU320" s="4" t="str">
        <x:f>IF('Calculations'!BM320=0,"",'Calculations'!$EO320)</x:f>
      </x:c>
      <x:c r="BV320" s="4" t="str">
        <x:f>IF('Calculations'!BM320=0,"",IFERROR(IF(OR(INDEX(INDIRECT("'WCM Calibration Final'!$H$1:$H$2000"),'Calculations'!$EM320)="MANAGING DIRECTOR",INDEX(INDIRECT("'WCM Calibration Final'!$H$1:$H$2000"),'Calculations'!$EM320)="DIRECTOR",INDEX(INDIRECT("'WCM Calibration Final'!$H$1:$H$2000"),'Calculations'!$EM320)="SENIOR VICE PRESIDENT",INDEX(INDIRECT("'WCM Calibration Final'!$H$1:$H$2000"),'Calculations'!$EM320)="VICE PRESIDENT",INDEX(INDIRECT("'WCM Calibration Final'!$H$1:$H$2000"),'Calculations'!$EM320)="ASSISTANT VICE PRESIDENT",INDEX(INDIRECT("'WCM Calibration Final'!$H$1:$H$2000"),'Calculations'!$EM320)="OFFICER"),UPPER(INDEX(INDIRECT("'WCM Calibration Final'!$H$1:$H$2000"),'Calculations'!$EM320)),"Other"),"Other"))</x:f>
      </x:c>
      <x:c r="BW320" s="4"/>
      <x:c r="BX320" s="4"/>
      <x:c r="BY320" s="4" t="n">
        <x:f>IF(AND('Calculations'!BM320=1,'Calculations'!BU320&lt;&gt;"",COUNTIF('Calculations'!$BU$12:BU320,'Calculations'!BU320)=1),MAX('Calculations'!$BY$11:BY319)+1,0)</x:f>
        <x:v>0</x:v>
      </x:c>
      <x:c r="BZ320" s="4" t="str">
        <x:f>IF('Dashboard'!$E$67="What",'Calculations'!BO320,'Calculations'!BP320)</x:f>
      </x:c>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t="str">
        <x:f>IF(309&gt;MAX('Calculations'!$HI$13:$HI$512),"",INDEX('Calculations'!$HN$13:$HN$512,MATCH(309,'Calculations'!$HI$13:$HI$512,0)))</x:f>
      </x:c>
      <x:c r="DB320" s="4" t="str">
        <x:f>IF(309&gt;MAX('Calculations'!$HH$13:$HH$512),"",INDEX('Calculations'!$HJ$13:$HJ$512,MATCH(309,'Calculations'!$HH$13:$HH$512,0)))</x:f>
      </x:c>
      <x:c r="DC320" s="4" t="str">
        <x:f>IF(ROW()-11&gt;MAX('Calculations'!$BY$13:$BY$512),"",INDEX('Calculations'!$BU$13:$BU$512,MATCH(ROW()-11,'Calculations'!$BY$13:$BY$512,0)))</x:f>
      </x:c>
      <x:c r="DD320" s="4" t="str">
        <x:f>IF(309&gt;MAX('Calculations'!$IK$13:$IK$512),"",INDEX('Calculations'!$HK$13:$HK$512,MATCH(309,'Calculations'!$IK$13:$IK$512,0)))</x:f>
      </x:c>
      <x:c r="DE320" s="4" t="str">
        <x:f>'Calculations'!DC320</x:f>
      </x:c>
      <x:c r="DF320" s="4" t="str">
        <x:f>IF('Calculations'!DE320="","",COUNTIFS('Calculations'!$BN$13:$BN$512,1,'Calculations'!$BU$13:$BU$512,'Calculations'!DE320))</x:f>
      </x:c>
      <x:c r="DG320" s="4" t="str">
        <x:f>IF('Calculations'!DE320="","",COUNTIFS('Calculations'!$BN$13:$BN$512,1,'Calculations'!$BU$13:$BU$512,'Calculations'!DE320,'Calculations'!$BT$13:$BT$512,1))</x:f>
      </x:c>
      <x:c r="DH320" s="4" t="str">
        <x:f>IF('Calculations'!DE320="","",'Calculations'!DF320-'Calculations'!DG320)</x:f>
      </x:c>
      <x:c r="DI320" s="4" t="str">
        <x:f>IF(OR('Calculations'!DE320="",'Calculations'!DF320=0),"",'Calculations'!DG320/'Calculations'!DF320)</x:f>
      </x:c>
      <x:c r="DJ320" s="4" t="str">
        <x:f>IF('Calculations'!DE320="","",COUNTIFS('Calculations'!$BN$13:$BN$512,1,'Calculations'!$BU$13:$BU$512,'Calculations'!DE320,'Calculations'!$BT$13:$BT$512,1,'Calculations'!$EE$13:$EE$512,"High"))</x:f>
      </x:c>
      <x:c r="DK320" s="4" t="str">
        <x:f>IF('Calculations'!DE320="","",COUNTIFS('Calculations'!$BN$13:$BN$512,1,'Calculations'!$BU$13:$BU$512,'Calculations'!DE320,'Calculations'!$BT$13:$BT$512,1,'Calculations'!$EE$13:$EE$512,"Strong"))</x:f>
      </x:c>
      <x:c r="DL320" s="4" t="str">
        <x:f>IF('Calculations'!DE320="","",COUNTIFS('Calculations'!$BN$13:$BN$512,1,'Calculations'!$BU$13:$BU$512,'Calculations'!DE320,'Calculations'!$BT$13:$BT$512,1,'Calculations'!$EE$13:$EE$512,"Solid"))</x:f>
      </x:c>
      <x:c r="DM320" s="4" t="str">
        <x:f>IF('Calculations'!DE320="","",COUNTIFS('Calculations'!$BN$13:$BN$512,1,'Calculations'!$BU$13:$BU$512,'Calculations'!DE320,'Calculations'!$BT$13:$BT$512,1,'Calculations'!$EE$13:$EE$512,"Low"))</x:f>
      </x:c>
      <x:c r="DN320" s="4" t="str">
        <x:f>IF('Calculations'!DE320="","",COUNTIFS('Calculations'!$BN$13:$BN$512,1,'Calculations'!$BU$13:$BU$512,'Calculations'!DE320,'Calculations'!$EP$13:$EP$512,1))</x:f>
      </x:c>
      <x:c r="DO320" s="4" t="str">
        <x:f>IF(OR('Calculations'!DE320="",'Calculations'!DG320=0),"",('Calculations'!DJ320+'Calculations'!DK320)/'Calculations'!DG320)</x:f>
      </x:c>
      <x:c r="DP320" s="4" t="n">
        <x:f>IF(AND('Calculations'!DE320&lt;&gt;"",'Calculations'!DF320&gt;0),COUNTIF('Calculations'!$DF$12:DF320,"&gt;0"),0)</x:f>
        <x:v>0</x:v>
      </x:c>
      <x:c r="DQ320" s="4" t="str">
        <x:f>IF(309&gt;MAX('Calculations'!$HH$13:$HH$512),"",INDEX('Calculations'!$HF$13:$HF$512,MATCH(309,'Calculations'!$HH$13:$HH$512,0)))</x:f>
      </x:c>
      <x:c r="DR320" s="4" t="str">
        <x:f>IF(309&gt;MAX('Calculations'!$IK$13:$IK$512),"",INDEX('Calculations'!$HE$13:$HE$512,MATCH(309,'Calculations'!$IK$13:$IK$512,0)))</x:f>
      </x:c>
      <x:c r="DS320" s="4"/>
      <x:c r="DT320" s="4"/>
      <x:c r="DU320" s="4"/>
      <x:c r="DV320" s="4"/>
      <x:c r="DW320" s="4"/>
      <x:c r="DX320" s="4"/>
      <x:c r="DY320" s="4"/>
      <x:c r="DZ320" s="4"/>
      <x:c r="EA320" s="4"/>
      <x:c r="EB320" s="4"/>
      <x:c r="EC320" s="4"/>
      <x:c r="ED320" s="4"/>
      <x:c r="EE320" s="4" t="str">
        <x:f>IF('Calculations'!BT320=0,"Not Rated",IF(OR('Calculations'!BO320&gt;=4,'Calculations'!BP320&gt;=4),"Low",IF('Calculations'!BO320+'Calculations'!BP320&lt;=3,"High",IF('Calculations'!BO320+'Calculations'!BP320&lt;=4,"Strong","Solid"))))</x:f>
        <x:v>Not Rated</x:v>
      </x:c>
      <x:c r="EF320" s="4"/>
      <x:c r="EG320" s="4"/>
      <x:c r="EH320" s="4"/>
      <x:c r="EI320" s="4"/>
      <x:c r="EJ320" s="4"/>
      <x:c r="EK320" s="4"/>
      <x:c r="EL320" s="4"/>
      <x:c r="EM320" s="4" t="str">
        <x:f>IF(308&gt;'Calculations'!$JB$2000,"",INDEX('Calculations'!$JA$12:$JA$2000,MATCH(308,'Calculations'!$JB$12:$JB$2000,0)))</x:f>
      </x:c>
      <x:c r="EN320" s="4" t="n">
        <x:f>IF(OR('Calculations'!EM320="",'Calculations'!$AG$8&gt;0,AND('Calculations'!$EF$2&lt;&gt;"All",'Calculations'!HE320='Calculations'!$EF$2),AND('Calculations'!$EF$3&lt;&gt;"All",'Calculations'!HE320='Calculations'!$EF$3)),0,IF(OR('Dashboard'!$B$7="All",'Calculations'!HN320='Dashboard'!$B$7),IF('Calculations'!$EF$2="All",1,IF('Calculations'!HL320&gt;0,0,IF(COUNTIF('Calculations'!HO320:II320,"="&amp;SUBSTITUTE(SUBSTITUTE(SUBSTITUTE('Calculations'!$EF$2,"~","~~"),"*","~*"),"?","~?"))=0,0,IF('Calculations'!$EF$3="All",1,IF(COUNTIF('Calculations'!HO320:II320,"="&amp;SUBSTITUTE(SUBSTITUTE(SUBSTITUTE('Calculations'!$EF$3,"~","~~"),"*","~*"),"?","~?"))&gt;0,1,0))))),0))</x:f>
        <x:v>0</x:v>
      </x:c>
      <x:c r="EO320" s="4" t="str">
        <x:f>IF('Calculations'!IJ320="","",IF('Calculations'!IJ320="!UNRESOLVED","Unresolved hierarchy",IFERROR(INDEX('Calculations'!$HK$13:$HK$512,MATCH('Calculations'!IJ320,'Calculations'!$HE$13:$HE$512,0)),IFERROR(INDEX('Calculations'!$HJ$13:$HJ$512,MATCH('Calculations'!IJ320,'Calculations'!$HF$13:$HF$512,0)),'Calculations'!IJ320))))</x:f>
      </x:c>
      <x:c r="EP320" s="4" t="n">
        <x:f>IF(AND('Calculations'!EM320&lt;&gt;"",'Calculations'!HF320='Calculations'!IJ320),1,0)</x:f>
        <x:v>0</x:v>
      </x:c>
      <x:c r="EQ320" s="4"/>
      <x:c r="ER320" s="4"/>
      <x:c r="ES320" s="4"/>
      <x:c r="ET320" s="4"/>
      <x:c r="EU320" s="4"/>
      <x:c r="EV320" s="4"/>
      <x:c r="EW320" s="4"/>
      <x:c r="EX320" s="4"/>
      <x:c r="EY320" s="4"/>
      <x:c r="EZ320" s="4"/>
      <x:c r="FA320" s="4"/>
      <x:c r="FB320" s="4"/>
      <x:c r="FC320" s="4"/>
      <x:c r="FD320" s="4"/>
      <x:c r="FE320" s="4"/>
      <x:c r="FF320" s="4"/>
      <x:c r="FG320" s="4"/>
      <x:c r="FH320" s="4"/>
      <x:c r="FI320" s="4"/>
      <x:c r="FJ320" s="4"/>
      <x:c r="FK320" s="4"/>
      <x:c r="FL320" s="4"/>
      <x:c r="FM320" s="4"/>
      <x:c r="FN320" s="4"/>
      <x:c r="FO320" s="4"/>
      <x:c r="HE320" t="str">
        <x:f>IF('Calculations'!EM320="","",IF(IFERROR(IF(INDEX(INDIRECT("'WCM Calibration Final'!$A$1:$A$2000"),'Calculations'!$EM320)="","",TRIM(INDEX(INDIRECT("'WCM Calibration Final'!$A$1:$A$2000"),'Calculations'!$EM320)&amp;"")),"")&lt;&gt;"","G:"&amp;IFERROR(TEXT(1*INDEX(INDIRECT("'WCM Calibration Final'!$A$1:$A$2000"),'Calculations'!$EM320),"0"),UPPER(IFERROR(IF(INDEX(INDIRECT("'WCM Calibration Final'!$A$1:$A$2000"),'Calculations'!$EM320)="","",TRIM(INDEX(INDIRECT("'WCM Calibration Final'!$A$1:$A$2000"),'Calculations'!$EM320)&amp;"")),""))),IF(IFERROR(IF(INDEX(INDIRECT("'WCM Calibration Final'!$C$1:$C$2000"),'Calculations'!$EM320)="","",TRIM(INDEX(INDIRECT("'WCM Calibration Final'!$C$1:$C$2000"),'Calculations'!$EM320)&amp;"")),"")&lt;&gt;"","S:"&amp;UPPER(IFERROR(IF(INDEX(INDIRECT("'WCM Calibration Final'!$C$1:$C$2000"),'Calculations'!$EM320)="","",TRIM(INDEX(INDIRECT("'WCM Calibration Final'!$C$1:$C$2000"),'Calculations'!$EM320)&amp;"")),"")),"R:"&amp;'Calculations'!EM320)))</x:f>
      </x:c>
      <x:c r="HF320" t="str">
        <x:f>IF('Calculations'!EM320="","",IF(IFERROR(IF(INDEX(INDIRECT("'WCM Calibration Final'!$D$1:$D$2000"),'Calculations'!$EM320)="","",TRIM(INDEX(INDIRECT("'WCM Calibration Final'!$D$1:$D$2000"),'Calculations'!$EM320)&amp;"")),"")&lt;&gt;"","G:"&amp;IFERROR(TEXT(1*INDEX(INDIRECT("'WCM Calibration Final'!$D$1:$D$2000"),'Calculations'!$EM320),"0"),UPPER(IFERROR(IF(INDEX(INDIRECT("'WCM Calibration Final'!$D$1:$D$2000"),'Calculations'!$EM320)="","",TRIM(INDEX(INDIRECT("'WCM Calibration Final'!$D$1:$D$2000"),'Calculations'!$EM320)&amp;"")),""))),IF(IFERROR(IF(INDEX(INDIRECT("'WCM Calibration Final'!$E$1:$E$2000"),'Calculations'!$EM320)="","",TRIM(INDEX(INDIRECT("'WCM Calibration Final'!$E$1:$E$2000"),'Calculations'!$EM320)&amp;"")),"")="","",IF(COUNTIF('Calculations'!$HG$13:$HG$512,"="&amp;SUBSTITUTE(SUBSTITUTE(SUBSTITUTE(IFERROR(IF(INDEX(INDIRECT("'WCM Calibration Final'!$E$1:$E$2000"),'Calculations'!$EM320)="","",TRIM(INDEX(INDIRECT("'WCM Calibration Final'!$E$1:$E$2000"),'Calculations'!$EM320)&amp;"")),""),"~","~~"),"*","~*"),"?","~?"))=1,INDEX('Calculations'!$HE$13:$HE$512,MATCH(IFERROR(IF(INDEX(INDIRECT("'WCM Calibration Final'!$E$1:$E$2000"),'Calculations'!$EM320)="","",TRIM(INDEX(INDIRECT("'WCM Calibration Final'!$E$1:$E$2000"),'Calculations'!$EM320)&amp;"")),""),'Calculations'!$HG$13:$HG$512,0)),IF(COUNTIF('Calculations'!$HG$13:$HG$512,"="&amp;SUBSTITUTE(SUBSTITUTE(SUBSTITUTE(IFERROR(IF(INDEX(INDIRECT("'WCM Calibration Final'!$E$1:$E$2000"),'Calculations'!$EM320)="","",TRIM(INDEX(INDIRECT("'WCM Calibration Final'!$E$1:$E$2000"),'Calculations'!$EM320)&amp;"")),""),"~","~~"),"*","~*"),"?","~?"))&gt;1,"!AMBIG","X:"&amp;IFERROR(IF(INDEX(INDIRECT("'WCM Calibration Final'!$E$1:$E$2000"),'Calculations'!$EM320)="","",TRIM(INDEX(INDIRECT("'WCM Calibration Final'!$E$1:$E$2000"),'Calculations'!$EM320)&amp;"")),""))))))</x:f>
      </x:c>
      <x:c r="HG320" t="str">
        <x:f>IF('Calculations'!EM320="","",IFERROR(IF(INDEX(INDIRECT("'WCM Calibration Final'!$B$1:$B$2000"),'Calculations'!$EM320)="","",TRIM(INDEX(INDIRECT("'WCM Calibration Final'!$B$1:$B$2000"),'Calculations'!$EM320)&amp;"")),""))</x:f>
      </x:c>
      <x:c r="HH320" t="n">
        <x:f>IF(AND('Calculations'!JC320&gt;0,COUNTIF('Calculations'!$HF$12:HF320,"="&amp;SUBSTITUTE(SUBSTITUTE(SUBSTITUTE('Calculations'!HF320,"~","~~"),"*","~*"),"?","~?"))=1),MAX('Calculations'!$HH$12:HH319)+1,0)</x:f>
        <x:v>0</x:v>
      </x:c>
      <x:c r="HI320" t="n">
        <x:f>IF(AND('Calculations'!HN320&lt;&gt;"",COUNTIF('Calculations'!$HN$12:HN320,"="&amp;SUBSTITUTE(SUBSTITUTE(SUBSTITUTE('Calculations'!HN320,"~","~~"),"*","~*"),"?","~?"))=1),MAX('Calculations'!$HI$12:HI319)+1,0)</x:f>
        <x:v>0</x:v>
      </x:c>
      <x:c r="HJ320" t="str">
        <x:f>IF('Calculations'!HF320="","",IF(COUNTIF('Calculations'!$HE$13:$HE$512,"="&amp;SUBSTITUTE(SUBSTITUTE(SUBSTITUTE('Calculations'!HF320,"~","~~"),"*","~*"),"?","~?"))=1,INDEX('Calculations'!$HK$13:$HK$512,MATCH('Calculations'!HF320,'Calculations'!$HE$13:$HE$512,0)),IFERROR(IF(INDEX(INDIRECT("'WCM Calibration Final'!$E$1:$E$2000"),'Calculations'!$EM320)="","",TRIM(INDEX(INDIRECT("'WCM Calibration Final'!$E$1:$E$2000"),'Calculations'!$EM320)&amp;"")),"")&amp;" ["&amp;'Calculations'!HF320&amp;"]"))</x:f>
      </x:c>
      <x:c r="HK320" t="str">
        <x:f>IF('Calculations'!EM320="","",'Calculations'!HG320&amp;" ["&amp;'Calculations'!HE320&amp;"]")</x:f>
      </x:c>
      <x:c r="HL320" t="n">
        <x:f>IF('Calculations'!EM320="",0,IF(OR('Calculations'!II320&lt;&gt;"",COUNTIF('Calculations'!$HE$13:$HE$512,"="&amp;SUBSTITUTE(SUBSTITUTE(SUBSTITUTE('Calculations'!HE320,"~","~~"),"*","~*"),"?","~?"))&gt;1),1,0))</x:f>
        <x:v>0</x:v>
      </x:c>
      <x:c r="HM320" t="str">
        <x:f>IF('Calculations'!EM320="","",IF('Calculations'!HL320=1,"!UNRESOLVED",IF('Calculations'!IH320&lt;&gt;"",'Calculations'!IH320,IF('Calculations'!IG320&lt;&gt;"",'Calculations'!IG320,IF('Calculations'!IF320&lt;&gt;"",'Calculations'!IF320,IF('Calculations'!IE320&lt;&gt;"",'Calculations'!IE320,IF('Calculations'!ID320&lt;&gt;"",'Calculations'!ID320,IF('Calculations'!IC320&lt;&gt;"",'Calculations'!IC320,IF('Calculations'!IB320&lt;&gt;"",'Calculations'!IB320,IF('Calculations'!IA320&lt;&gt;"",'Calculations'!IA320,IF('Calculations'!HZ320&lt;&gt;"",'Calculations'!HZ320,IF('Calculations'!HY320&lt;&gt;"",'Calculations'!HY320,IF('Calculations'!HX320&lt;&gt;"",'Calculations'!HX320,IF('Calculations'!HW320&lt;&gt;"",'Calculations'!HW320,IF('Calculations'!HV320&lt;&gt;"",'Calculations'!HV320,IF('Calculations'!HU320&lt;&gt;"",'Calculations'!HU320,IF('Calculations'!HT320&lt;&gt;"",'Calculations'!HT320,IF('Calculations'!HS320&lt;&gt;"",'Calculations'!HS320,IF('Calculations'!HR320&lt;&gt;"",'Calculations'!HR320,IF('Calculations'!HQ320&lt;&gt;"",'Calculations'!HQ320,IF('Calculations'!HP320&lt;&gt;"",'Calculations'!HP320,IF('Calculations'!HO320&lt;&gt;"",'Calculations'!HO320,'Calculations'!HE320))))))))))))))))))))))</x:f>
      </x:c>
      <x:c r="HN320" t="str">
        <x:f>IF('Calculations'!EM320="","",IF(IFERROR(IF(INDEX(INDIRECT("'WCM Calibration Final'!$F$1:$F$2000"),'Calculations'!$EM320)="","",TRIM(INDEX(INDIRECT("'WCM Calibration Final'!$F$1:$F$2000"),'Calculations'!$EM320)&amp;"")),"")="","(Blank)",IFERROR(IF(INDEX(INDIRECT("'WCM Calibration Final'!$F$1:$F$2000"),'Calculations'!$EM320)="","",TRIM(INDEX(INDIRECT("'WCM Calibration Final'!$F$1:$F$2000"),'Calculations'!$EM320)&amp;"")),"")))</x:f>
      </x:c>
      <x:c r="HO320" t="str">
        <x:f>'Calculations'!HF320</x:f>
      </x:c>
      <x:c r="HP320" t="str">
        <x:f>IF('Calculations'!HO320="","",IF('Calculations'!HO320="!AMBIG","!AMBIG",IF(COUNTIF('Calculations'!$HE$13:$HE$512,"="&amp;SUBSTITUTE(SUBSTITUTE(SUBSTITUTE('Calculations'!HO320,"~","~~"),"*","~*"),"?","~?"))&gt;1,"!AMBIG",IFERROR(INDEX('Calculations'!$HF$13:$HF$512,MATCH('Calculations'!HO320,'Calculations'!$HE$13:$HE$512,0)),""))))</x:f>
      </x:c>
      <x:c r="HQ320" t="str">
        <x:f>IF('Calculations'!HP320="","",IF('Calculations'!HP320="!AMBIG","!AMBIG",IF(COUNTIF('Calculations'!$HE$13:$HE$512,"="&amp;SUBSTITUTE(SUBSTITUTE(SUBSTITUTE('Calculations'!HP320,"~","~~"),"*","~*"),"?","~?"))&gt;1,"!AMBIG",IFERROR(INDEX('Calculations'!$HF$13:$HF$512,MATCH('Calculations'!HP320,'Calculations'!$HE$13:$HE$512,0)),""))))</x:f>
      </x:c>
      <x:c r="HR320" t="str">
        <x:f>IF('Calculations'!HQ320="","",IF('Calculations'!HQ320="!AMBIG","!AMBIG",IF(COUNTIF('Calculations'!$HE$13:$HE$512,"="&amp;SUBSTITUTE(SUBSTITUTE(SUBSTITUTE('Calculations'!HQ320,"~","~~"),"*","~*"),"?","~?"))&gt;1,"!AMBIG",IFERROR(INDEX('Calculations'!$HF$13:$HF$512,MATCH('Calculations'!HQ320,'Calculations'!$HE$13:$HE$512,0)),""))))</x:f>
      </x:c>
      <x:c r="HS320" t="str">
        <x:f>IF('Calculations'!HR320="","",IF('Calculations'!HR320="!AMBIG","!AMBIG",IF(COUNTIF('Calculations'!$HE$13:$HE$512,"="&amp;SUBSTITUTE(SUBSTITUTE(SUBSTITUTE('Calculations'!HR320,"~","~~"),"*","~*"),"?","~?"))&gt;1,"!AMBIG",IFERROR(INDEX('Calculations'!$HF$13:$HF$512,MATCH('Calculations'!HR320,'Calculations'!$HE$13:$HE$512,0)),""))))</x:f>
      </x:c>
      <x:c r="HT320" t="str">
        <x:f>IF('Calculations'!HS320="","",IF('Calculations'!HS320="!AMBIG","!AMBIG",IF(COUNTIF('Calculations'!$HE$13:$HE$512,"="&amp;SUBSTITUTE(SUBSTITUTE(SUBSTITUTE('Calculations'!HS320,"~","~~"),"*","~*"),"?","~?"))&gt;1,"!AMBIG",IFERROR(INDEX('Calculations'!$HF$13:$HF$512,MATCH('Calculations'!HS320,'Calculations'!$HE$13:$HE$512,0)),""))))</x:f>
      </x:c>
      <x:c r="HU320" t="str">
        <x:f>IF('Calculations'!HT320="","",IF('Calculations'!HT320="!AMBIG","!AMBIG",IF(COUNTIF('Calculations'!$HE$13:$HE$512,"="&amp;SUBSTITUTE(SUBSTITUTE(SUBSTITUTE('Calculations'!HT320,"~","~~"),"*","~*"),"?","~?"))&gt;1,"!AMBIG",IFERROR(INDEX('Calculations'!$HF$13:$HF$512,MATCH('Calculations'!HT320,'Calculations'!$HE$13:$HE$512,0)),""))))</x:f>
      </x:c>
      <x:c r="HV320" t="str">
        <x:f>IF('Calculations'!HU320="","",IF('Calculations'!HU320="!AMBIG","!AMBIG",IF(COUNTIF('Calculations'!$HE$13:$HE$512,"="&amp;SUBSTITUTE(SUBSTITUTE(SUBSTITUTE('Calculations'!HU320,"~","~~"),"*","~*"),"?","~?"))&gt;1,"!AMBIG",IFERROR(INDEX('Calculations'!$HF$13:$HF$512,MATCH('Calculations'!HU320,'Calculations'!$HE$13:$HE$512,0)),""))))</x:f>
      </x:c>
      <x:c r="HW320" t="str">
        <x:f>IF('Calculations'!HV320="","",IF('Calculations'!HV320="!AMBIG","!AMBIG",IF(COUNTIF('Calculations'!$HE$13:$HE$512,"="&amp;SUBSTITUTE(SUBSTITUTE(SUBSTITUTE('Calculations'!HV320,"~","~~"),"*","~*"),"?","~?"))&gt;1,"!AMBIG",IFERROR(INDEX('Calculations'!$HF$13:$HF$512,MATCH('Calculations'!HV320,'Calculations'!$HE$13:$HE$512,0)),""))))</x:f>
      </x:c>
      <x:c r="HX320" t="str">
        <x:f>IF('Calculations'!HW320="","",IF('Calculations'!HW320="!AMBIG","!AMBIG",IF(COUNTIF('Calculations'!$HE$13:$HE$512,"="&amp;SUBSTITUTE(SUBSTITUTE(SUBSTITUTE('Calculations'!HW320,"~","~~"),"*","~*"),"?","~?"))&gt;1,"!AMBIG",IFERROR(INDEX('Calculations'!$HF$13:$HF$512,MATCH('Calculations'!HW320,'Calculations'!$HE$13:$HE$512,0)),""))))</x:f>
      </x:c>
      <x:c r="HY320" t="str">
        <x:f>IF('Calculations'!HX320="","",IF('Calculations'!HX320="!AMBIG","!AMBIG",IF(COUNTIF('Calculations'!$HE$13:$HE$512,"="&amp;SUBSTITUTE(SUBSTITUTE(SUBSTITUTE('Calculations'!HX320,"~","~~"),"*","~*"),"?","~?"))&gt;1,"!AMBIG",IFERROR(INDEX('Calculations'!$HF$13:$HF$512,MATCH('Calculations'!HX320,'Calculations'!$HE$13:$HE$512,0)),""))))</x:f>
      </x:c>
      <x:c r="HZ320" t="str">
        <x:f>IF('Calculations'!HY320="","",IF('Calculations'!HY320="!AMBIG","!AMBIG",IF(COUNTIF('Calculations'!$HE$13:$HE$512,"="&amp;SUBSTITUTE(SUBSTITUTE(SUBSTITUTE('Calculations'!HY320,"~","~~"),"*","~*"),"?","~?"))&gt;1,"!AMBIG",IFERROR(INDEX('Calculations'!$HF$13:$HF$512,MATCH('Calculations'!HY320,'Calculations'!$HE$13:$HE$512,0)),""))))</x:f>
      </x:c>
      <x:c r="IA320" t="str">
        <x:f>IF('Calculations'!HZ320="","",IF('Calculations'!HZ320="!AMBIG","!AMBIG",IF(COUNTIF('Calculations'!$HE$13:$HE$512,"="&amp;SUBSTITUTE(SUBSTITUTE(SUBSTITUTE('Calculations'!HZ320,"~","~~"),"*","~*"),"?","~?"))&gt;1,"!AMBIG",IFERROR(INDEX('Calculations'!$HF$13:$HF$512,MATCH('Calculations'!HZ320,'Calculations'!$HE$13:$HE$512,0)),""))))</x:f>
      </x:c>
      <x:c r="IB320" t="str">
        <x:f>IF('Calculations'!IA320="","",IF('Calculations'!IA320="!AMBIG","!AMBIG",IF(COUNTIF('Calculations'!$HE$13:$HE$512,"="&amp;SUBSTITUTE(SUBSTITUTE(SUBSTITUTE('Calculations'!IA320,"~","~~"),"*","~*"),"?","~?"))&gt;1,"!AMBIG",IFERROR(INDEX('Calculations'!$HF$13:$HF$512,MATCH('Calculations'!IA320,'Calculations'!$HE$13:$HE$512,0)),""))))</x:f>
      </x:c>
      <x:c r="IC320" t="str">
        <x:f>IF('Calculations'!IB320="","",IF('Calculations'!IB320="!AMBIG","!AMBIG",IF(COUNTIF('Calculations'!$HE$13:$HE$512,"="&amp;SUBSTITUTE(SUBSTITUTE(SUBSTITUTE('Calculations'!IB320,"~","~~"),"*","~*"),"?","~?"))&gt;1,"!AMBIG",IFERROR(INDEX('Calculations'!$HF$13:$HF$512,MATCH('Calculations'!IB320,'Calculations'!$HE$13:$HE$512,0)),""))))</x:f>
      </x:c>
      <x:c r="ID320" t="str">
        <x:f>IF('Calculations'!IC320="","",IF('Calculations'!IC320="!AMBIG","!AMBIG",IF(COUNTIF('Calculations'!$HE$13:$HE$512,"="&amp;SUBSTITUTE(SUBSTITUTE(SUBSTITUTE('Calculations'!IC320,"~","~~"),"*","~*"),"?","~?"))&gt;1,"!AMBIG",IFERROR(INDEX('Calculations'!$HF$13:$HF$512,MATCH('Calculations'!IC320,'Calculations'!$HE$13:$HE$512,0)),""))))</x:f>
      </x:c>
      <x:c r="IE320" t="str">
        <x:f>IF('Calculations'!ID320="","",IF('Calculations'!ID320="!AMBIG","!AMBIG",IF(COUNTIF('Calculations'!$HE$13:$HE$512,"="&amp;SUBSTITUTE(SUBSTITUTE(SUBSTITUTE('Calculations'!ID320,"~","~~"),"*","~*"),"?","~?"))&gt;1,"!AMBIG",IFERROR(INDEX('Calculations'!$HF$13:$HF$512,MATCH('Calculations'!ID320,'Calculations'!$HE$13:$HE$512,0)),""))))</x:f>
      </x:c>
      <x:c r="IF320" t="str">
        <x:f>IF('Calculations'!IE320="","",IF('Calculations'!IE320="!AMBIG","!AMBIG",IF(COUNTIF('Calculations'!$HE$13:$HE$512,"="&amp;SUBSTITUTE(SUBSTITUTE(SUBSTITUTE('Calculations'!IE320,"~","~~"),"*","~*"),"?","~?"))&gt;1,"!AMBIG",IFERROR(INDEX('Calculations'!$HF$13:$HF$512,MATCH('Calculations'!IE320,'Calculations'!$HE$13:$HE$512,0)),""))))</x:f>
      </x:c>
      <x:c r="IG320" t="str">
        <x:f>IF('Calculations'!IF320="","",IF('Calculations'!IF320="!AMBIG","!AMBIG",IF(COUNTIF('Calculations'!$HE$13:$HE$512,"="&amp;SUBSTITUTE(SUBSTITUTE(SUBSTITUTE('Calculations'!IF320,"~","~~"),"*","~*"),"?","~?"))&gt;1,"!AMBIG",IFERROR(INDEX('Calculations'!$HF$13:$HF$512,MATCH('Calculations'!IF320,'Calculations'!$HE$13:$HE$512,0)),""))))</x:f>
      </x:c>
      <x:c r="IH320" t="str">
        <x:f>IF('Calculations'!IG320="","",IF('Calculations'!IG320="!AMBIG","!AMBIG",IF(COUNTIF('Calculations'!$HE$13:$HE$512,"="&amp;SUBSTITUTE(SUBSTITUTE(SUBSTITUTE('Calculations'!IG320,"~","~~"),"*","~*"),"?","~?"))&gt;1,"!AMBIG",IFERROR(INDEX('Calculations'!$HF$13:$HF$512,MATCH('Calculations'!IG320,'Calculations'!$HE$13:$HE$512,0)),""))))</x:f>
      </x:c>
      <x:c r="II320" t="str">
        <x:f>IF('Calculations'!IH320="","",IF('Calculations'!IH320="!AMBIG","!AMBIG",IF(COUNTIF('Calculations'!$HE$13:$HE$512,"="&amp;SUBSTITUTE(SUBSTITUTE(SUBSTITUTE('Calculations'!IH320,"~","~~"),"*","~*"),"?","~?"))&gt;1,"!AMBIG",IFERROR(INDEX('Calculations'!$HF$13:$HF$512,MATCH('Calculations'!IH320,'Calculations'!$HE$13:$HE$512,0)),""))))</x:f>
      </x:c>
      <x:c r="IJ320" t="str">
        <x:f>IF('Calculations'!EM320="","",IF('Calculations'!$EF$2="All",'Calculations'!HM320,IF('Calculations'!HL320=1,"",IFERROR(IF(MATCH('Calculations'!$EF$2,'Calculations'!HO320:II320,0)=1,'Calculations'!HE320,INDEX('Calculations'!HO320:II320,1,MATCH('Calculations'!$EF$2,'Calculations'!HO320:II320,0)-1)),""))))</x:f>
      </x:c>
      <x:c r="IK320" t="n">
        <x:f>IF(AND('Calculations'!EM320&lt;&gt;"",'Calculations'!$EF$2&lt;&gt;"All",'Calculations'!HF320='Calculations'!$EF$2,'Calculations'!HL320=0,'Calculations'!JD320&gt;0),MAX('Calculations'!$IK$12:IK319)+1,0)</x:f>
        <x:v>0</x:v>
      </x:c>
      <x:c r="JA320" t="n">
        <x:f>IF(OR(IFERROR(INDIRECT("'WCM Calibration Final'!$A$320")&lt;&gt;"",FALSE),IFERROR(INDIRECT("'WCM Calibration Final'!$B$320")&lt;&gt;"",FALSE),IFERROR(INDIRECT("'WCM Calibration Final'!$C$320")&lt;&gt;"",FALSE)),320,0)</x:f>
        <x:v>0</x:v>
      </x:c>
      <x:c r="JB320" t="n">
        <x:f>'Calculations'!JB319+IF('Calculations'!JA320&gt;0,1,0)</x:f>
        <x:v>0</x:v>
      </x:c>
      <x:c r="JC320" t="n">
        <x:f>IF(OR('Calculations'!HF320="",'Calculations'!HF320="!AMBIG"),0,IF('Dashboard'!$B$7="All",1,COUNTIFS('Calculations'!$HO$13:$HO$512,"="&amp;SUBSTITUTE(SUBSTITUTE(SUBSTITUTE('Calculations'!HF320,"~","~~"),"*","~*"),"?","~?"),'Calculations'!$HN$13:$HN$512,"="&amp;SUBSTITUTE(SUBSTITUTE(SUBSTITUTE('Dashboard'!$B$7,"~","~~"),"*","~*"),"?","~?"))+COUNTIFS('Calculations'!$HP$13:$HP$512,"="&amp;SUBSTITUTE(SUBSTITUTE(SUBSTITUTE('Calculations'!HF320,"~","~~"),"*","~*"),"?","~?"),'Calculations'!$HN$13:$HN$512,"="&amp;SUBSTITUTE(SUBSTITUTE(SUBSTITUTE('Dashboard'!$B$7,"~","~~"),"*","~*"),"?","~?"))+COUNTIFS('Calculations'!$HQ$13:$HQ$512,"="&amp;SUBSTITUTE(SUBSTITUTE(SUBSTITUTE('Calculations'!HF320,"~","~~"),"*","~*"),"?","~?"),'Calculations'!$HN$13:$HN$512,"="&amp;SUBSTITUTE(SUBSTITUTE(SUBSTITUTE('Dashboard'!$B$7,"~","~~"),"*","~*"),"?","~?"))+COUNTIFS('Calculations'!$HR$13:$HR$512,"="&amp;SUBSTITUTE(SUBSTITUTE(SUBSTITUTE('Calculations'!HF320,"~","~~"),"*","~*"),"?","~?"),'Calculations'!$HN$13:$HN$512,"="&amp;SUBSTITUTE(SUBSTITUTE(SUBSTITUTE('Dashboard'!$B$7,"~","~~"),"*","~*"),"?","~?"))+COUNTIFS('Calculations'!$HS$13:$HS$512,"="&amp;SUBSTITUTE(SUBSTITUTE(SUBSTITUTE('Calculations'!HF320,"~","~~"),"*","~*"),"?","~?"),'Calculations'!$HN$13:$HN$512,"="&amp;SUBSTITUTE(SUBSTITUTE(SUBSTITUTE('Dashboard'!$B$7,"~","~~"),"*","~*"),"?","~?"))+COUNTIFS('Calculations'!$HT$13:$HT$512,"="&amp;SUBSTITUTE(SUBSTITUTE(SUBSTITUTE('Calculations'!HF320,"~","~~"),"*","~*"),"?","~?"),'Calculations'!$HN$13:$HN$512,"="&amp;SUBSTITUTE(SUBSTITUTE(SUBSTITUTE('Dashboard'!$B$7,"~","~~"),"*","~*"),"?","~?"))+COUNTIFS('Calculations'!$HU$13:$HU$512,"="&amp;SUBSTITUTE(SUBSTITUTE(SUBSTITUTE('Calculations'!HF320,"~","~~"),"*","~*"),"?","~?"),'Calculations'!$HN$13:$HN$512,"="&amp;SUBSTITUTE(SUBSTITUTE(SUBSTITUTE('Dashboard'!$B$7,"~","~~"),"*","~*"),"?","~?"))+COUNTIFS('Calculations'!$HV$13:$HV$512,"="&amp;SUBSTITUTE(SUBSTITUTE(SUBSTITUTE('Calculations'!HF320,"~","~~"),"*","~*"),"?","~?"),'Calculations'!$HN$13:$HN$512,"="&amp;SUBSTITUTE(SUBSTITUTE(SUBSTITUTE('Dashboard'!$B$7,"~","~~"),"*","~*"),"?","~?"))+COUNTIFS('Calculations'!$HW$13:$HW$512,"="&amp;SUBSTITUTE(SUBSTITUTE(SUBSTITUTE('Calculations'!HF320,"~","~~"),"*","~*"),"?","~?"),'Calculations'!$HN$13:$HN$512,"="&amp;SUBSTITUTE(SUBSTITUTE(SUBSTITUTE('Dashboard'!$B$7,"~","~~"),"*","~*"),"?","~?"))+COUNTIFS('Calculations'!$HX$13:$HX$512,"="&amp;SUBSTITUTE(SUBSTITUTE(SUBSTITUTE('Calculations'!HF320,"~","~~"),"*","~*"),"?","~?"),'Calculations'!$HN$13:$HN$512,"="&amp;SUBSTITUTE(SUBSTITUTE(SUBSTITUTE('Dashboard'!$B$7,"~","~~"),"*","~*"),"?","~?"))+COUNTIFS('Calculations'!$HY$13:$HY$512,"="&amp;SUBSTITUTE(SUBSTITUTE(SUBSTITUTE('Calculations'!HF320,"~","~~"),"*","~*"),"?","~?"),'Calculations'!$HN$13:$HN$512,"="&amp;SUBSTITUTE(SUBSTITUTE(SUBSTITUTE('Dashboard'!$B$7,"~","~~"),"*","~*"),"?","~?"))+COUNTIFS('Calculations'!$HZ$13:$HZ$512,"="&amp;SUBSTITUTE(SUBSTITUTE(SUBSTITUTE('Calculations'!HF320,"~","~~"),"*","~*"),"?","~?"),'Calculations'!$HN$13:$HN$512,"="&amp;SUBSTITUTE(SUBSTITUTE(SUBSTITUTE('Dashboard'!$B$7,"~","~~"),"*","~*"),"?","~?"))+COUNTIFS('Calculations'!$IA$13:$IA$512,"="&amp;SUBSTITUTE(SUBSTITUTE(SUBSTITUTE('Calculations'!HF320,"~","~~"),"*","~*"),"?","~?"),'Calculations'!$HN$13:$HN$512,"="&amp;SUBSTITUTE(SUBSTITUTE(SUBSTITUTE('Dashboard'!$B$7,"~","~~"),"*","~*"),"?","~?"))+COUNTIFS('Calculations'!$IB$13:$IB$512,"="&amp;SUBSTITUTE(SUBSTITUTE(SUBSTITUTE('Calculations'!HF320,"~","~~"),"*","~*"),"?","~?"),'Calculations'!$HN$13:$HN$512,"="&amp;SUBSTITUTE(SUBSTITUTE(SUBSTITUTE('Dashboard'!$B$7,"~","~~"),"*","~*"),"?","~?"))+COUNTIFS('Calculations'!$IC$13:$IC$512,"="&amp;SUBSTITUTE(SUBSTITUTE(SUBSTITUTE('Calculations'!HF320,"~","~~"),"*","~*"),"?","~?"),'Calculations'!$HN$13:$HN$512,"="&amp;SUBSTITUTE(SUBSTITUTE(SUBSTITUTE('Dashboard'!$B$7,"~","~~"),"*","~*"),"?","~?"))+COUNTIFS('Calculations'!$ID$13:$ID$512,"="&amp;SUBSTITUTE(SUBSTITUTE(SUBSTITUTE('Calculations'!HF320,"~","~~"),"*","~*"),"?","~?"),'Calculations'!$HN$13:$HN$512,"="&amp;SUBSTITUTE(SUBSTITUTE(SUBSTITUTE('Dashboard'!$B$7,"~","~~"),"*","~*"),"?","~?"))+COUNTIFS('Calculations'!$IE$13:$IE$512,"="&amp;SUBSTITUTE(SUBSTITUTE(SUBSTITUTE('Calculations'!HF320,"~","~~"),"*","~*"),"?","~?"),'Calculations'!$HN$13:$HN$512,"="&amp;SUBSTITUTE(SUBSTITUTE(SUBSTITUTE('Dashboard'!$B$7,"~","~~"),"*","~*"),"?","~?"))+COUNTIFS('Calculations'!$IF$13:$IF$512,"="&amp;SUBSTITUTE(SUBSTITUTE(SUBSTITUTE('Calculations'!HF320,"~","~~"),"*","~*"),"?","~?"),'Calculations'!$HN$13:$HN$512,"="&amp;SUBSTITUTE(SUBSTITUTE(SUBSTITUTE('Dashboard'!$B$7,"~","~~"),"*","~*"),"?","~?"))+COUNTIFS('Calculations'!$IG$13:$IG$512,"="&amp;SUBSTITUTE(SUBSTITUTE(SUBSTITUTE('Calculations'!HF320,"~","~~"),"*","~*"),"?","~?"),'Calculations'!$HN$13:$HN$512,"="&amp;SUBSTITUTE(SUBSTITUTE(SUBSTITUTE('Dashboard'!$B$7,"~","~~"),"*","~*"),"?","~?"))+COUNTIFS('Calculations'!$IH$13:$IH$512,"="&amp;SUBSTITUTE(SUBSTITUTE(SUBSTITUTE('Calculations'!HF320,"~","~~"),"*","~*"),"?","~?"),'Calculations'!$HN$13:$HN$512,"="&amp;SUBSTITUTE(SUBSTITUTE(SUBSTITUTE('Dashboard'!$B$7,"~","~~"),"*","~*"),"?","~?"))))</x:f>
        <x:v>0</x:v>
      </x:c>
      <x:c r="JD320" t="n">
        <x:f>IF('Calculations'!EM320="",0,IF('Dashboard'!$B$7="All",1,IF('Calculations'!HN320='Dashboard'!$B$7,1,0)+IFERROR(INDEX('Calculations'!$JC$13:$JC$512,MATCH('Calculations'!HE320,'Calculations'!$HF$13:$HF$512,0)),0)))</x:f>
        <x:v>0</x:v>
      </x:c>
      <x:c r="JE320" t="n">
        <x:f>IF(AND('Calculations'!EM320&lt;&gt;"",'Calculations'!$JJ$2&lt;&gt;"All",'Calculations'!$JJ$2&lt;&gt;"",'Calculations'!HF320='Calculations'!$JJ$2,'Calculations'!HL320=0,'Calculations'!JD320&gt;0),MAX('Calculations'!$JE$12:JE319)+1,0)</x:f>
        <x:v>0</x:v>
      </x:c>
      <x:c r="JF320" t="str">
        <x:f>IF('Calculations'!EM320="","",IFERROR(IF(INDEX(INDIRECT("'WCM Calibration Final'!$G$1:$G$2000"),'Calculations'!$EM320)="","",TRIM(INDEX(INDIRECT("'WCM Calibration Final'!$G$1:$G$2000"),'Calculations'!$EM320)&amp;"")),""))</x:f>
      </x:c>
      <x:c r="JQ320" t="n">
        <x:f>IF(OR('Calculations'!BM320=0,NOT('Calculations'!$AG$2),'Calculations'!$AG$8&gt;0),0,IF(OR('Dashboard'!$B$7="All",'Calculations'!HN320='Dashboard'!$B$7),IF('Calculations'!$JJ$2="All",1,IF(AND('Calculations'!HF320='Calculations'!$JJ$2,'Calculations'!HL320=0),1,0)),0))</x:f>
        <x:v>0</x:v>
      </x:c>
    </x:row>
    <x:row r="321">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t="n">
        <x:f>IF('Calculations'!$EM321="",0,IF(OR(IFERROR(INDEX(INDIRECT("'WCM Calibration Final'!$A$1:$A$2000"),'Calculations'!$EM321)&lt;&gt;"",FALSE),IFERROR(INDEX(INDIRECT("'WCM Calibration Final'!$B$1:$B$2000"),'Calculations'!$EM321)&lt;&gt;"",FALSE),IFERROR(INDEX(INDIRECT("'WCM Calibration Final'!$C$1:$C$2000"),'Calculations'!$EM321)&lt;&gt;"",FALSE)),1,0))</x:f>
        <x:v>0</x:v>
      </x:c>
      <x:c r="BN321" s="4" t="n">
        <x:f>IF(AND('Calculations'!BM321=1,'Calculations'!$AG$2,'Calculations'!$EN321=1),1,0)</x:f>
        <x:v>0</x:v>
      </x:c>
      <x:c r="BO321" s="4" t="str">
        <x:f>IF('Calculations'!BM321=0,"",IFERROR(IF(AND(VALUE(INDEX(INDIRECT("'WCM Calibration Final'!$K$1:$K$2000"),'Calculations'!$EM321))&gt;=1,VALUE(INDEX(INDIRECT("'WCM Calibration Final'!$K$1:$K$2000"),'Calculations'!$EM321))&lt;=4,MOD(VALUE(INDEX(INDIRECT("'WCM Calibration Final'!$K$1:$K$2000"),'Calculations'!$EM321)),1)=0),VALUE(INDEX(INDIRECT("'WCM Calibration Final'!$K$1:$K$2000"),'Calculations'!$EM321)),""),""))</x:f>
      </x:c>
      <x:c r="BP321" s="4" t="str">
        <x:f>IF('Calculations'!BM321=0,"",IFERROR(IF(AND(VALUE(INDEX(INDIRECT("'WCM Calibration Final'!$L$1:$L$2000"),'Calculations'!$EM321))&gt;=1,VALUE(INDEX(INDIRECT("'WCM Calibration Final'!$L$1:$L$2000"),'Calculations'!$EM321))&lt;=4,MOD(VALUE(INDEX(INDIRECT("'WCM Calibration Final'!$L$1:$L$2000"),'Calculations'!$EM321)),1)=0),VALUE(INDEX(INDIRECT("'WCM Calibration Final'!$L$1:$L$2000"),'Calculations'!$EM321)),""),""))</x:f>
      </x:c>
      <x:c r="BQ321" s="4"/>
      <x:c r="BR321" s="4"/>
      <x:c r="BS321" s="4"/>
      <x:c r="BT321" s="4" t="n">
        <x:f>IF(AND('Calculations'!BM321=1,ISNUMBER('Calculations'!BO321),ISNUMBER('Calculations'!BP321)),1,0)</x:f>
        <x:v>0</x:v>
      </x:c>
      <x:c r="BU321" s="4" t="str">
        <x:f>IF('Calculations'!BM321=0,"",'Calculations'!$EO321)</x:f>
      </x:c>
      <x:c r="BV321" s="4" t="str">
        <x:f>IF('Calculations'!BM321=0,"",IFERROR(IF(OR(INDEX(INDIRECT("'WCM Calibration Final'!$H$1:$H$2000"),'Calculations'!$EM321)="MANAGING DIRECTOR",INDEX(INDIRECT("'WCM Calibration Final'!$H$1:$H$2000"),'Calculations'!$EM321)="DIRECTOR",INDEX(INDIRECT("'WCM Calibration Final'!$H$1:$H$2000"),'Calculations'!$EM321)="SENIOR VICE PRESIDENT",INDEX(INDIRECT("'WCM Calibration Final'!$H$1:$H$2000"),'Calculations'!$EM321)="VICE PRESIDENT",INDEX(INDIRECT("'WCM Calibration Final'!$H$1:$H$2000"),'Calculations'!$EM321)="ASSISTANT VICE PRESIDENT",INDEX(INDIRECT("'WCM Calibration Final'!$H$1:$H$2000"),'Calculations'!$EM321)="OFFICER"),UPPER(INDEX(INDIRECT("'WCM Calibration Final'!$H$1:$H$2000"),'Calculations'!$EM321)),"Other"),"Other"))</x:f>
      </x:c>
      <x:c r="BW321" s="4"/>
      <x:c r="BX321" s="4"/>
      <x:c r="BY321" s="4" t="n">
        <x:f>IF(AND('Calculations'!BM321=1,'Calculations'!BU321&lt;&gt;"",COUNTIF('Calculations'!$BU$12:BU321,'Calculations'!BU321)=1),MAX('Calculations'!$BY$11:BY320)+1,0)</x:f>
        <x:v>0</x:v>
      </x:c>
      <x:c r="BZ321" s="4" t="str">
        <x:f>IF('Dashboard'!$E$67="What",'Calculations'!BO321,'Calculations'!BP321)</x:f>
      </x:c>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t="str">
        <x:f>IF(310&gt;MAX('Calculations'!$HI$13:$HI$512),"",INDEX('Calculations'!$HN$13:$HN$512,MATCH(310,'Calculations'!$HI$13:$HI$512,0)))</x:f>
      </x:c>
      <x:c r="DB321" s="4" t="str">
        <x:f>IF(310&gt;MAX('Calculations'!$HH$13:$HH$512),"",INDEX('Calculations'!$HJ$13:$HJ$512,MATCH(310,'Calculations'!$HH$13:$HH$512,0)))</x:f>
      </x:c>
      <x:c r="DC321" s="4" t="str">
        <x:f>IF(ROW()-11&gt;MAX('Calculations'!$BY$13:$BY$512),"",INDEX('Calculations'!$BU$13:$BU$512,MATCH(ROW()-11,'Calculations'!$BY$13:$BY$512,0)))</x:f>
      </x:c>
      <x:c r="DD321" s="4" t="str">
        <x:f>IF(310&gt;MAX('Calculations'!$IK$13:$IK$512),"",INDEX('Calculations'!$HK$13:$HK$512,MATCH(310,'Calculations'!$IK$13:$IK$512,0)))</x:f>
      </x:c>
      <x:c r="DE321" s="4" t="str">
        <x:f>'Calculations'!DC321</x:f>
      </x:c>
      <x:c r="DF321" s="4" t="str">
        <x:f>IF('Calculations'!DE321="","",COUNTIFS('Calculations'!$BN$13:$BN$512,1,'Calculations'!$BU$13:$BU$512,'Calculations'!DE321))</x:f>
      </x:c>
      <x:c r="DG321" s="4" t="str">
        <x:f>IF('Calculations'!DE321="","",COUNTIFS('Calculations'!$BN$13:$BN$512,1,'Calculations'!$BU$13:$BU$512,'Calculations'!DE321,'Calculations'!$BT$13:$BT$512,1))</x:f>
      </x:c>
      <x:c r="DH321" s="4" t="str">
        <x:f>IF('Calculations'!DE321="","",'Calculations'!DF321-'Calculations'!DG321)</x:f>
      </x:c>
      <x:c r="DI321" s="4" t="str">
        <x:f>IF(OR('Calculations'!DE321="",'Calculations'!DF321=0),"",'Calculations'!DG321/'Calculations'!DF321)</x:f>
      </x:c>
      <x:c r="DJ321" s="4" t="str">
        <x:f>IF('Calculations'!DE321="","",COUNTIFS('Calculations'!$BN$13:$BN$512,1,'Calculations'!$BU$13:$BU$512,'Calculations'!DE321,'Calculations'!$BT$13:$BT$512,1,'Calculations'!$EE$13:$EE$512,"High"))</x:f>
      </x:c>
      <x:c r="DK321" s="4" t="str">
        <x:f>IF('Calculations'!DE321="","",COUNTIFS('Calculations'!$BN$13:$BN$512,1,'Calculations'!$BU$13:$BU$512,'Calculations'!DE321,'Calculations'!$BT$13:$BT$512,1,'Calculations'!$EE$13:$EE$512,"Strong"))</x:f>
      </x:c>
      <x:c r="DL321" s="4" t="str">
        <x:f>IF('Calculations'!DE321="","",COUNTIFS('Calculations'!$BN$13:$BN$512,1,'Calculations'!$BU$13:$BU$512,'Calculations'!DE321,'Calculations'!$BT$13:$BT$512,1,'Calculations'!$EE$13:$EE$512,"Solid"))</x:f>
      </x:c>
      <x:c r="DM321" s="4" t="str">
        <x:f>IF('Calculations'!DE321="","",COUNTIFS('Calculations'!$BN$13:$BN$512,1,'Calculations'!$BU$13:$BU$512,'Calculations'!DE321,'Calculations'!$BT$13:$BT$512,1,'Calculations'!$EE$13:$EE$512,"Low"))</x:f>
      </x:c>
      <x:c r="DN321" s="4" t="str">
        <x:f>IF('Calculations'!DE321="","",COUNTIFS('Calculations'!$BN$13:$BN$512,1,'Calculations'!$BU$13:$BU$512,'Calculations'!DE321,'Calculations'!$EP$13:$EP$512,1))</x:f>
      </x:c>
      <x:c r="DO321" s="4" t="str">
        <x:f>IF(OR('Calculations'!DE321="",'Calculations'!DG321=0),"",('Calculations'!DJ321+'Calculations'!DK321)/'Calculations'!DG321)</x:f>
      </x:c>
      <x:c r="DP321" s="4" t="n">
        <x:f>IF(AND('Calculations'!DE321&lt;&gt;"",'Calculations'!DF321&gt;0),COUNTIF('Calculations'!$DF$12:DF321,"&gt;0"),0)</x:f>
        <x:v>0</x:v>
      </x:c>
      <x:c r="DQ321" s="4" t="str">
        <x:f>IF(310&gt;MAX('Calculations'!$HH$13:$HH$512),"",INDEX('Calculations'!$HF$13:$HF$512,MATCH(310,'Calculations'!$HH$13:$HH$512,0)))</x:f>
      </x:c>
      <x:c r="DR321" s="4" t="str">
        <x:f>IF(310&gt;MAX('Calculations'!$IK$13:$IK$512),"",INDEX('Calculations'!$HE$13:$HE$512,MATCH(310,'Calculations'!$IK$13:$IK$512,0)))</x:f>
      </x:c>
      <x:c r="DS321" s="4"/>
      <x:c r="DT321" s="4"/>
      <x:c r="DU321" s="4"/>
      <x:c r="DV321" s="4"/>
      <x:c r="DW321" s="4"/>
      <x:c r="DX321" s="4"/>
      <x:c r="DY321" s="4"/>
      <x:c r="DZ321" s="4"/>
      <x:c r="EA321" s="4"/>
      <x:c r="EB321" s="4"/>
      <x:c r="EC321" s="4"/>
      <x:c r="ED321" s="4"/>
      <x:c r="EE321" s="4" t="str">
        <x:f>IF('Calculations'!BT321=0,"Not Rated",IF(OR('Calculations'!BO321&gt;=4,'Calculations'!BP321&gt;=4),"Low",IF('Calculations'!BO321+'Calculations'!BP321&lt;=3,"High",IF('Calculations'!BO321+'Calculations'!BP321&lt;=4,"Strong","Solid"))))</x:f>
        <x:v>Not Rated</x:v>
      </x:c>
      <x:c r="EF321" s="4"/>
      <x:c r="EG321" s="4"/>
      <x:c r="EH321" s="4"/>
      <x:c r="EI321" s="4"/>
      <x:c r="EJ321" s="4"/>
      <x:c r="EK321" s="4"/>
      <x:c r="EL321" s="4"/>
      <x:c r="EM321" s="4" t="str">
        <x:f>IF(309&gt;'Calculations'!$JB$2000,"",INDEX('Calculations'!$JA$12:$JA$2000,MATCH(309,'Calculations'!$JB$12:$JB$2000,0)))</x:f>
      </x:c>
      <x:c r="EN321" s="4" t="n">
        <x:f>IF(OR('Calculations'!EM321="",'Calculations'!$AG$8&gt;0,AND('Calculations'!$EF$2&lt;&gt;"All",'Calculations'!HE321='Calculations'!$EF$2),AND('Calculations'!$EF$3&lt;&gt;"All",'Calculations'!HE321='Calculations'!$EF$3)),0,IF(OR('Dashboard'!$B$7="All",'Calculations'!HN321='Dashboard'!$B$7),IF('Calculations'!$EF$2="All",1,IF('Calculations'!HL321&gt;0,0,IF(COUNTIF('Calculations'!HO321:II321,"="&amp;SUBSTITUTE(SUBSTITUTE(SUBSTITUTE('Calculations'!$EF$2,"~","~~"),"*","~*"),"?","~?"))=0,0,IF('Calculations'!$EF$3="All",1,IF(COUNTIF('Calculations'!HO321:II321,"="&amp;SUBSTITUTE(SUBSTITUTE(SUBSTITUTE('Calculations'!$EF$3,"~","~~"),"*","~*"),"?","~?"))&gt;0,1,0))))),0))</x:f>
        <x:v>0</x:v>
      </x:c>
      <x:c r="EO321" s="4" t="str">
        <x:f>IF('Calculations'!IJ321="","",IF('Calculations'!IJ321="!UNRESOLVED","Unresolved hierarchy",IFERROR(INDEX('Calculations'!$HK$13:$HK$512,MATCH('Calculations'!IJ321,'Calculations'!$HE$13:$HE$512,0)),IFERROR(INDEX('Calculations'!$HJ$13:$HJ$512,MATCH('Calculations'!IJ321,'Calculations'!$HF$13:$HF$512,0)),'Calculations'!IJ321))))</x:f>
      </x:c>
      <x:c r="EP321" s="4" t="n">
        <x:f>IF(AND('Calculations'!EM321&lt;&gt;"",'Calculations'!HF321='Calculations'!IJ321),1,0)</x:f>
        <x:v>0</x:v>
      </x:c>
      <x:c r="EQ321" s="4"/>
      <x:c r="ER321" s="4"/>
      <x:c r="ES321" s="4"/>
      <x:c r="ET321" s="4"/>
      <x:c r="EU321" s="4"/>
      <x:c r="EV321" s="4"/>
      <x:c r="EW321" s="4"/>
      <x:c r="EX321" s="4"/>
      <x:c r="EY321" s="4"/>
      <x:c r="EZ321" s="4"/>
      <x:c r="FA321" s="4"/>
      <x:c r="FB321" s="4"/>
      <x:c r="FC321" s="4"/>
      <x:c r="FD321" s="4"/>
      <x:c r="FE321" s="4"/>
      <x:c r="FF321" s="4"/>
      <x:c r="FG321" s="4"/>
      <x:c r="FH321" s="4"/>
      <x:c r="FI321" s="4"/>
      <x:c r="FJ321" s="4"/>
      <x:c r="FK321" s="4"/>
      <x:c r="FL321" s="4"/>
      <x:c r="FM321" s="4"/>
      <x:c r="FN321" s="4"/>
      <x:c r="FO321" s="4"/>
      <x:c r="HE321" t="str">
        <x:f>IF('Calculations'!EM321="","",IF(IFERROR(IF(INDEX(INDIRECT("'WCM Calibration Final'!$A$1:$A$2000"),'Calculations'!$EM321)="","",TRIM(INDEX(INDIRECT("'WCM Calibration Final'!$A$1:$A$2000"),'Calculations'!$EM321)&amp;"")),"")&lt;&gt;"","G:"&amp;IFERROR(TEXT(1*INDEX(INDIRECT("'WCM Calibration Final'!$A$1:$A$2000"),'Calculations'!$EM321),"0"),UPPER(IFERROR(IF(INDEX(INDIRECT("'WCM Calibration Final'!$A$1:$A$2000"),'Calculations'!$EM321)="","",TRIM(INDEX(INDIRECT("'WCM Calibration Final'!$A$1:$A$2000"),'Calculations'!$EM321)&amp;"")),""))),IF(IFERROR(IF(INDEX(INDIRECT("'WCM Calibration Final'!$C$1:$C$2000"),'Calculations'!$EM321)="","",TRIM(INDEX(INDIRECT("'WCM Calibration Final'!$C$1:$C$2000"),'Calculations'!$EM321)&amp;"")),"")&lt;&gt;"","S:"&amp;UPPER(IFERROR(IF(INDEX(INDIRECT("'WCM Calibration Final'!$C$1:$C$2000"),'Calculations'!$EM321)="","",TRIM(INDEX(INDIRECT("'WCM Calibration Final'!$C$1:$C$2000"),'Calculations'!$EM321)&amp;"")),"")),"R:"&amp;'Calculations'!EM321)))</x:f>
      </x:c>
      <x:c r="HF321" t="str">
        <x:f>IF('Calculations'!EM321="","",IF(IFERROR(IF(INDEX(INDIRECT("'WCM Calibration Final'!$D$1:$D$2000"),'Calculations'!$EM321)="","",TRIM(INDEX(INDIRECT("'WCM Calibration Final'!$D$1:$D$2000"),'Calculations'!$EM321)&amp;"")),"")&lt;&gt;"","G:"&amp;IFERROR(TEXT(1*INDEX(INDIRECT("'WCM Calibration Final'!$D$1:$D$2000"),'Calculations'!$EM321),"0"),UPPER(IFERROR(IF(INDEX(INDIRECT("'WCM Calibration Final'!$D$1:$D$2000"),'Calculations'!$EM321)="","",TRIM(INDEX(INDIRECT("'WCM Calibration Final'!$D$1:$D$2000"),'Calculations'!$EM321)&amp;"")),""))),IF(IFERROR(IF(INDEX(INDIRECT("'WCM Calibration Final'!$E$1:$E$2000"),'Calculations'!$EM321)="","",TRIM(INDEX(INDIRECT("'WCM Calibration Final'!$E$1:$E$2000"),'Calculations'!$EM321)&amp;"")),"")="","",IF(COUNTIF('Calculations'!$HG$13:$HG$512,"="&amp;SUBSTITUTE(SUBSTITUTE(SUBSTITUTE(IFERROR(IF(INDEX(INDIRECT("'WCM Calibration Final'!$E$1:$E$2000"),'Calculations'!$EM321)="","",TRIM(INDEX(INDIRECT("'WCM Calibration Final'!$E$1:$E$2000"),'Calculations'!$EM321)&amp;"")),""),"~","~~"),"*","~*"),"?","~?"))=1,INDEX('Calculations'!$HE$13:$HE$512,MATCH(IFERROR(IF(INDEX(INDIRECT("'WCM Calibration Final'!$E$1:$E$2000"),'Calculations'!$EM321)="","",TRIM(INDEX(INDIRECT("'WCM Calibration Final'!$E$1:$E$2000"),'Calculations'!$EM321)&amp;"")),""),'Calculations'!$HG$13:$HG$512,0)),IF(COUNTIF('Calculations'!$HG$13:$HG$512,"="&amp;SUBSTITUTE(SUBSTITUTE(SUBSTITUTE(IFERROR(IF(INDEX(INDIRECT("'WCM Calibration Final'!$E$1:$E$2000"),'Calculations'!$EM321)="","",TRIM(INDEX(INDIRECT("'WCM Calibration Final'!$E$1:$E$2000"),'Calculations'!$EM321)&amp;"")),""),"~","~~"),"*","~*"),"?","~?"))&gt;1,"!AMBIG","X:"&amp;IFERROR(IF(INDEX(INDIRECT("'WCM Calibration Final'!$E$1:$E$2000"),'Calculations'!$EM321)="","",TRIM(INDEX(INDIRECT("'WCM Calibration Final'!$E$1:$E$2000"),'Calculations'!$EM321)&amp;"")),""))))))</x:f>
      </x:c>
      <x:c r="HG321" t="str">
        <x:f>IF('Calculations'!EM321="","",IFERROR(IF(INDEX(INDIRECT("'WCM Calibration Final'!$B$1:$B$2000"),'Calculations'!$EM321)="","",TRIM(INDEX(INDIRECT("'WCM Calibration Final'!$B$1:$B$2000"),'Calculations'!$EM321)&amp;"")),""))</x:f>
      </x:c>
      <x:c r="HH321" t="n">
        <x:f>IF(AND('Calculations'!JC321&gt;0,COUNTIF('Calculations'!$HF$12:HF321,"="&amp;SUBSTITUTE(SUBSTITUTE(SUBSTITUTE('Calculations'!HF321,"~","~~"),"*","~*"),"?","~?"))=1),MAX('Calculations'!$HH$12:HH320)+1,0)</x:f>
        <x:v>0</x:v>
      </x:c>
      <x:c r="HI321" t="n">
        <x:f>IF(AND('Calculations'!HN321&lt;&gt;"",COUNTIF('Calculations'!$HN$12:HN321,"="&amp;SUBSTITUTE(SUBSTITUTE(SUBSTITUTE('Calculations'!HN321,"~","~~"),"*","~*"),"?","~?"))=1),MAX('Calculations'!$HI$12:HI320)+1,0)</x:f>
        <x:v>0</x:v>
      </x:c>
      <x:c r="HJ321" t="str">
        <x:f>IF('Calculations'!HF321="","",IF(COUNTIF('Calculations'!$HE$13:$HE$512,"="&amp;SUBSTITUTE(SUBSTITUTE(SUBSTITUTE('Calculations'!HF321,"~","~~"),"*","~*"),"?","~?"))=1,INDEX('Calculations'!$HK$13:$HK$512,MATCH('Calculations'!HF321,'Calculations'!$HE$13:$HE$512,0)),IFERROR(IF(INDEX(INDIRECT("'WCM Calibration Final'!$E$1:$E$2000"),'Calculations'!$EM321)="","",TRIM(INDEX(INDIRECT("'WCM Calibration Final'!$E$1:$E$2000"),'Calculations'!$EM321)&amp;"")),"")&amp;" ["&amp;'Calculations'!HF321&amp;"]"))</x:f>
      </x:c>
      <x:c r="HK321" t="str">
        <x:f>IF('Calculations'!EM321="","",'Calculations'!HG321&amp;" ["&amp;'Calculations'!HE321&amp;"]")</x:f>
      </x:c>
      <x:c r="HL321" t="n">
        <x:f>IF('Calculations'!EM321="",0,IF(OR('Calculations'!II321&lt;&gt;"",COUNTIF('Calculations'!$HE$13:$HE$512,"="&amp;SUBSTITUTE(SUBSTITUTE(SUBSTITUTE('Calculations'!HE321,"~","~~"),"*","~*"),"?","~?"))&gt;1),1,0))</x:f>
        <x:v>0</x:v>
      </x:c>
      <x:c r="HM321" t="str">
        <x:f>IF('Calculations'!EM321="","",IF('Calculations'!HL321=1,"!UNRESOLVED",IF('Calculations'!IH321&lt;&gt;"",'Calculations'!IH321,IF('Calculations'!IG321&lt;&gt;"",'Calculations'!IG321,IF('Calculations'!IF321&lt;&gt;"",'Calculations'!IF321,IF('Calculations'!IE321&lt;&gt;"",'Calculations'!IE321,IF('Calculations'!ID321&lt;&gt;"",'Calculations'!ID321,IF('Calculations'!IC321&lt;&gt;"",'Calculations'!IC321,IF('Calculations'!IB321&lt;&gt;"",'Calculations'!IB321,IF('Calculations'!IA321&lt;&gt;"",'Calculations'!IA321,IF('Calculations'!HZ321&lt;&gt;"",'Calculations'!HZ321,IF('Calculations'!HY321&lt;&gt;"",'Calculations'!HY321,IF('Calculations'!HX321&lt;&gt;"",'Calculations'!HX321,IF('Calculations'!HW321&lt;&gt;"",'Calculations'!HW321,IF('Calculations'!HV321&lt;&gt;"",'Calculations'!HV321,IF('Calculations'!HU321&lt;&gt;"",'Calculations'!HU321,IF('Calculations'!HT321&lt;&gt;"",'Calculations'!HT321,IF('Calculations'!HS321&lt;&gt;"",'Calculations'!HS321,IF('Calculations'!HR321&lt;&gt;"",'Calculations'!HR321,IF('Calculations'!HQ321&lt;&gt;"",'Calculations'!HQ321,IF('Calculations'!HP321&lt;&gt;"",'Calculations'!HP321,IF('Calculations'!HO321&lt;&gt;"",'Calculations'!HO321,'Calculations'!HE321))))))))))))))))))))))</x:f>
      </x:c>
      <x:c r="HN321" t="str">
        <x:f>IF('Calculations'!EM321="","",IF(IFERROR(IF(INDEX(INDIRECT("'WCM Calibration Final'!$F$1:$F$2000"),'Calculations'!$EM321)="","",TRIM(INDEX(INDIRECT("'WCM Calibration Final'!$F$1:$F$2000"),'Calculations'!$EM321)&amp;"")),"")="","(Blank)",IFERROR(IF(INDEX(INDIRECT("'WCM Calibration Final'!$F$1:$F$2000"),'Calculations'!$EM321)="","",TRIM(INDEX(INDIRECT("'WCM Calibration Final'!$F$1:$F$2000"),'Calculations'!$EM321)&amp;"")),"")))</x:f>
      </x:c>
      <x:c r="HO321" t="str">
        <x:f>'Calculations'!HF321</x:f>
      </x:c>
      <x:c r="HP321" t="str">
        <x:f>IF('Calculations'!HO321="","",IF('Calculations'!HO321="!AMBIG","!AMBIG",IF(COUNTIF('Calculations'!$HE$13:$HE$512,"="&amp;SUBSTITUTE(SUBSTITUTE(SUBSTITUTE('Calculations'!HO321,"~","~~"),"*","~*"),"?","~?"))&gt;1,"!AMBIG",IFERROR(INDEX('Calculations'!$HF$13:$HF$512,MATCH('Calculations'!HO321,'Calculations'!$HE$13:$HE$512,0)),""))))</x:f>
      </x:c>
      <x:c r="HQ321" t="str">
        <x:f>IF('Calculations'!HP321="","",IF('Calculations'!HP321="!AMBIG","!AMBIG",IF(COUNTIF('Calculations'!$HE$13:$HE$512,"="&amp;SUBSTITUTE(SUBSTITUTE(SUBSTITUTE('Calculations'!HP321,"~","~~"),"*","~*"),"?","~?"))&gt;1,"!AMBIG",IFERROR(INDEX('Calculations'!$HF$13:$HF$512,MATCH('Calculations'!HP321,'Calculations'!$HE$13:$HE$512,0)),""))))</x:f>
      </x:c>
      <x:c r="HR321" t="str">
        <x:f>IF('Calculations'!HQ321="","",IF('Calculations'!HQ321="!AMBIG","!AMBIG",IF(COUNTIF('Calculations'!$HE$13:$HE$512,"="&amp;SUBSTITUTE(SUBSTITUTE(SUBSTITUTE('Calculations'!HQ321,"~","~~"),"*","~*"),"?","~?"))&gt;1,"!AMBIG",IFERROR(INDEX('Calculations'!$HF$13:$HF$512,MATCH('Calculations'!HQ321,'Calculations'!$HE$13:$HE$512,0)),""))))</x:f>
      </x:c>
      <x:c r="HS321" t="str">
        <x:f>IF('Calculations'!HR321="","",IF('Calculations'!HR321="!AMBIG","!AMBIG",IF(COUNTIF('Calculations'!$HE$13:$HE$512,"="&amp;SUBSTITUTE(SUBSTITUTE(SUBSTITUTE('Calculations'!HR321,"~","~~"),"*","~*"),"?","~?"))&gt;1,"!AMBIG",IFERROR(INDEX('Calculations'!$HF$13:$HF$512,MATCH('Calculations'!HR321,'Calculations'!$HE$13:$HE$512,0)),""))))</x:f>
      </x:c>
      <x:c r="HT321" t="str">
        <x:f>IF('Calculations'!HS321="","",IF('Calculations'!HS321="!AMBIG","!AMBIG",IF(COUNTIF('Calculations'!$HE$13:$HE$512,"="&amp;SUBSTITUTE(SUBSTITUTE(SUBSTITUTE('Calculations'!HS321,"~","~~"),"*","~*"),"?","~?"))&gt;1,"!AMBIG",IFERROR(INDEX('Calculations'!$HF$13:$HF$512,MATCH('Calculations'!HS321,'Calculations'!$HE$13:$HE$512,0)),""))))</x:f>
      </x:c>
      <x:c r="HU321" t="str">
        <x:f>IF('Calculations'!HT321="","",IF('Calculations'!HT321="!AMBIG","!AMBIG",IF(COUNTIF('Calculations'!$HE$13:$HE$512,"="&amp;SUBSTITUTE(SUBSTITUTE(SUBSTITUTE('Calculations'!HT321,"~","~~"),"*","~*"),"?","~?"))&gt;1,"!AMBIG",IFERROR(INDEX('Calculations'!$HF$13:$HF$512,MATCH('Calculations'!HT321,'Calculations'!$HE$13:$HE$512,0)),""))))</x:f>
      </x:c>
      <x:c r="HV321" t="str">
        <x:f>IF('Calculations'!HU321="","",IF('Calculations'!HU321="!AMBIG","!AMBIG",IF(COUNTIF('Calculations'!$HE$13:$HE$512,"="&amp;SUBSTITUTE(SUBSTITUTE(SUBSTITUTE('Calculations'!HU321,"~","~~"),"*","~*"),"?","~?"))&gt;1,"!AMBIG",IFERROR(INDEX('Calculations'!$HF$13:$HF$512,MATCH('Calculations'!HU321,'Calculations'!$HE$13:$HE$512,0)),""))))</x:f>
      </x:c>
      <x:c r="HW321" t="str">
        <x:f>IF('Calculations'!HV321="","",IF('Calculations'!HV321="!AMBIG","!AMBIG",IF(COUNTIF('Calculations'!$HE$13:$HE$512,"="&amp;SUBSTITUTE(SUBSTITUTE(SUBSTITUTE('Calculations'!HV321,"~","~~"),"*","~*"),"?","~?"))&gt;1,"!AMBIG",IFERROR(INDEX('Calculations'!$HF$13:$HF$512,MATCH('Calculations'!HV321,'Calculations'!$HE$13:$HE$512,0)),""))))</x:f>
      </x:c>
      <x:c r="HX321" t="str">
        <x:f>IF('Calculations'!HW321="","",IF('Calculations'!HW321="!AMBIG","!AMBIG",IF(COUNTIF('Calculations'!$HE$13:$HE$512,"="&amp;SUBSTITUTE(SUBSTITUTE(SUBSTITUTE('Calculations'!HW321,"~","~~"),"*","~*"),"?","~?"))&gt;1,"!AMBIG",IFERROR(INDEX('Calculations'!$HF$13:$HF$512,MATCH('Calculations'!HW321,'Calculations'!$HE$13:$HE$512,0)),""))))</x:f>
      </x:c>
      <x:c r="HY321" t="str">
        <x:f>IF('Calculations'!HX321="","",IF('Calculations'!HX321="!AMBIG","!AMBIG",IF(COUNTIF('Calculations'!$HE$13:$HE$512,"="&amp;SUBSTITUTE(SUBSTITUTE(SUBSTITUTE('Calculations'!HX321,"~","~~"),"*","~*"),"?","~?"))&gt;1,"!AMBIG",IFERROR(INDEX('Calculations'!$HF$13:$HF$512,MATCH('Calculations'!HX321,'Calculations'!$HE$13:$HE$512,0)),""))))</x:f>
      </x:c>
      <x:c r="HZ321" t="str">
        <x:f>IF('Calculations'!HY321="","",IF('Calculations'!HY321="!AMBIG","!AMBIG",IF(COUNTIF('Calculations'!$HE$13:$HE$512,"="&amp;SUBSTITUTE(SUBSTITUTE(SUBSTITUTE('Calculations'!HY321,"~","~~"),"*","~*"),"?","~?"))&gt;1,"!AMBIG",IFERROR(INDEX('Calculations'!$HF$13:$HF$512,MATCH('Calculations'!HY321,'Calculations'!$HE$13:$HE$512,0)),""))))</x:f>
      </x:c>
      <x:c r="IA321" t="str">
        <x:f>IF('Calculations'!HZ321="","",IF('Calculations'!HZ321="!AMBIG","!AMBIG",IF(COUNTIF('Calculations'!$HE$13:$HE$512,"="&amp;SUBSTITUTE(SUBSTITUTE(SUBSTITUTE('Calculations'!HZ321,"~","~~"),"*","~*"),"?","~?"))&gt;1,"!AMBIG",IFERROR(INDEX('Calculations'!$HF$13:$HF$512,MATCH('Calculations'!HZ321,'Calculations'!$HE$13:$HE$512,0)),""))))</x:f>
      </x:c>
      <x:c r="IB321" t="str">
        <x:f>IF('Calculations'!IA321="","",IF('Calculations'!IA321="!AMBIG","!AMBIG",IF(COUNTIF('Calculations'!$HE$13:$HE$512,"="&amp;SUBSTITUTE(SUBSTITUTE(SUBSTITUTE('Calculations'!IA321,"~","~~"),"*","~*"),"?","~?"))&gt;1,"!AMBIG",IFERROR(INDEX('Calculations'!$HF$13:$HF$512,MATCH('Calculations'!IA321,'Calculations'!$HE$13:$HE$512,0)),""))))</x:f>
      </x:c>
      <x:c r="IC321" t="str">
        <x:f>IF('Calculations'!IB321="","",IF('Calculations'!IB321="!AMBIG","!AMBIG",IF(COUNTIF('Calculations'!$HE$13:$HE$512,"="&amp;SUBSTITUTE(SUBSTITUTE(SUBSTITUTE('Calculations'!IB321,"~","~~"),"*","~*"),"?","~?"))&gt;1,"!AMBIG",IFERROR(INDEX('Calculations'!$HF$13:$HF$512,MATCH('Calculations'!IB321,'Calculations'!$HE$13:$HE$512,0)),""))))</x:f>
      </x:c>
      <x:c r="ID321" t="str">
        <x:f>IF('Calculations'!IC321="","",IF('Calculations'!IC321="!AMBIG","!AMBIG",IF(COUNTIF('Calculations'!$HE$13:$HE$512,"="&amp;SUBSTITUTE(SUBSTITUTE(SUBSTITUTE('Calculations'!IC321,"~","~~"),"*","~*"),"?","~?"))&gt;1,"!AMBIG",IFERROR(INDEX('Calculations'!$HF$13:$HF$512,MATCH('Calculations'!IC321,'Calculations'!$HE$13:$HE$512,0)),""))))</x:f>
      </x:c>
      <x:c r="IE321" t="str">
        <x:f>IF('Calculations'!ID321="","",IF('Calculations'!ID321="!AMBIG","!AMBIG",IF(COUNTIF('Calculations'!$HE$13:$HE$512,"="&amp;SUBSTITUTE(SUBSTITUTE(SUBSTITUTE('Calculations'!ID321,"~","~~"),"*","~*"),"?","~?"))&gt;1,"!AMBIG",IFERROR(INDEX('Calculations'!$HF$13:$HF$512,MATCH('Calculations'!ID321,'Calculations'!$HE$13:$HE$512,0)),""))))</x:f>
      </x:c>
      <x:c r="IF321" t="str">
        <x:f>IF('Calculations'!IE321="","",IF('Calculations'!IE321="!AMBIG","!AMBIG",IF(COUNTIF('Calculations'!$HE$13:$HE$512,"="&amp;SUBSTITUTE(SUBSTITUTE(SUBSTITUTE('Calculations'!IE321,"~","~~"),"*","~*"),"?","~?"))&gt;1,"!AMBIG",IFERROR(INDEX('Calculations'!$HF$13:$HF$512,MATCH('Calculations'!IE321,'Calculations'!$HE$13:$HE$512,0)),""))))</x:f>
      </x:c>
      <x:c r="IG321" t="str">
        <x:f>IF('Calculations'!IF321="","",IF('Calculations'!IF321="!AMBIG","!AMBIG",IF(COUNTIF('Calculations'!$HE$13:$HE$512,"="&amp;SUBSTITUTE(SUBSTITUTE(SUBSTITUTE('Calculations'!IF321,"~","~~"),"*","~*"),"?","~?"))&gt;1,"!AMBIG",IFERROR(INDEX('Calculations'!$HF$13:$HF$512,MATCH('Calculations'!IF321,'Calculations'!$HE$13:$HE$512,0)),""))))</x:f>
      </x:c>
      <x:c r="IH321" t="str">
        <x:f>IF('Calculations'!IG321="","",IF('Calculations'!IG321="!AMBIG","!AMBIG",IF(COUNTIF('Calculations'!$HE$13:$HE$512,"="&amp;SUBSTITUTE(SUBSTITUTE(SUBSTITUTE('Calculations'!IG321,"~","~~"),"*","~*"),"?","~?"))&gt;1,"!AMBIG",IFERROR(INDEX('Calculations'!$HF$13:$HF$512,MATCH('Calculations'!IG321,'Calculations'!$HE$13:$HE$512,0)),""))))</x:f>
      </x:c>
      <x:c r="II321" t="str">
        <x:f>IF('Calculations'!IH321="","",IF('Calculations'!IH321="!AMBIG","!AMBIG",IF(COUNTIF('Calculations'!$HE$13:$HE$512,"="&amp;SUBSTITUTE(SUBSTITUTE(SUBSTITUTE('Calculations'!IH321,"~","~~"),"*","~*"),"?","~?"))&gt;1,"!AMBIG",IFERROR(INDEX('Calculations'!$HF$13:$HF$512,MATCH('Calculations'!IH321,'Calculations'!$HE$13:$HE$512,0)),""))))</x:f>
      </x:c>
      <x:c r="IJ321" t="str">
        <x:f>IF('Calculations'!EM321="","",IF('Calculations'!$EF$2="All",'Calculations'!HM321,IF('Calculations'!HL321=1,"",IFERROR(IF(MATCH('Calculations'!$EF$2,'Calculations'!HO321:II321,0)=1,'Calculations'!HE321,INDEX('Calculations'!HO321:II321,1,MATCH('Calculations'!$EF$2,'Calculations'!HO321:II321,0)-1)),""))))</x:f>
      </x:c>
      <x:c r="IK321" t="n">
        <x:f>IF(AND('Calculations'!EM321&lt;&gt;"",'Calculations'!$EF$2&lt;&gt;"All",'Calculations'!HF321='Calculations'!$EF$2,'Calculations'!HL321=0,'Calculations'!JD321&gt;0),MAX('Calculations'!$IK$12:IK320)+1,0)</x:f>
        <x:v>0</x:v>
      </x:c>
      <x:c r="JA321" t="n">
        <x:f>IF(OR(IFERROR(INDIRECT("'WCM Calibration Final'!$A$321")&lt;&gt;"",FALSE),IFERROR(INDIRECT("'WCM Calibration Final'!$B$321")&lt;&gt;"",FALSE),IFERROR(INDIRECT("'WCM Calibration Final'!$C$321")&lt;&gt;"",FALSE)),321,0)</x:f>
        <x:v>0</x:v>
      </x:c>
      <x:c r="JB321" t="n">
        <x:f>'Calculations'!JB320+IF('Calculations'!JA321&gt;0,1,0)</x:f>
        <x:v>0</x:v>
      </x:c>
      <x:c r="JC321" t="n">
        <x:f>IF(OR('Calculations'!HF321="",'Calculations'!HF321="!AMBIG"),0,IF('Dashboard'!$B$7="All",1,COUNTIFS('Calculations'!$HO$13:$HO$512,"="&amp;SUBSTITUTE(SUBSTITUTE(SUBSTITUTE('Calculations'!HF321,"~","~~"),"*","~*"),"?","~?"),'Calculations'!$HN$13:$HN$512,"="&amp;SUBSTITUTE(SUBSTITUTE(SUBSTITUTE('Dashboard'!$B$7,"~","~~"),"*","~*"),"?","~?"))+COUNTIFS('Calculations'!$HP$13:$HP$512,"="&amp;SUBSTITUTE(SUBSTITUTE(SUBSTITUTE('Calculations'!HF321,"~","~~"),"*","~*"),"?","~?"),'Calculations'!$HN$13:$HN$512,"="&amp;SUBSTITUTE(SUBSTITUTE(SUBSTITUTE('Dashboard'!$B$7,"~","~~"),"*","~*"),"?","~?"))+COUNTIFS('Calculations'!$HQ$13:$HQ$512,"="&amp;SUBSTITUTE(SUBSTITUTE(SUBSTITUTE('Calculations'!HF321,"~","~~"),"*","~*"),"?","~?"),'Calculations'!$HN$13:$HN$512,"="&amp;SUBSTITUTE(SUBSTITUTE(SUBSTITUTE('Dashboard'!$B$7,"~","~~"),"*","~*"),"?","~?"))+COUNTIFS('Calculations'!$HR$13:$HR$512,"="&amp;SUBSTITUTE(SUBSTITUTE(SUBSTITUTE('Calculations'!HF321,"~","~~"),"*","~*"),"?","~?"),'Calculations'!$HN$13:$HN$512,"="&amp;SUBSTITUTE(SUBSTITUTE(SUBSTITUTE('Dashboard'!$B$7,"~","~~"),"*","~*"),"?","~?"))+COUNTIFS('Calculations'!$HS$13:$HS$512,"="&amp;SUBSTITUTE(SUBSTITUTE(SUBSTITUTE('Calculations'!HF321,"~","~~"),"*","~*"),"?","~?"),'Calculations'!$HN$13:$HN$512,"="&amp;SUBSTITUTE(SUBSTITUTE(SUBSTITUTE('Dashboard'!$B$7,"~","~~"),"*","~*"),"?","~?"))+COUNTIFS('Calculations'!$HT$13:$HT$512,"="&amp;SUBSTITUTE(SUBSTITUTE(SUBSTITUTE('Calculations'!HF321,"~","~~"),"*","~*"),"?","~?"),'Calculations'!$HN$13:$HN$512,"="&amp;SUBSTITUTE(SUBSTITUTE(SUBSTITUTE('Dashboard'!$B$7,"~","~~"),"*","~*"),"?","~?"))+COUNTIFS('Calculations'!$HU$13:$HU$512,"="&amp;SUBSTITUTE(SUBSTITUTE(SUBSTITUTE('Calculations'!HF321,"~","~~"),"*","~*"),"?","~?"),'Calculations'!$HN$13:$HN$512,"="&amp;SUBSTITUTE(SUBSTITUTE(SUBSTITUTE('Dashboard'!$B$7,"~","~~"),"*","~*"),"?","~?"))+COUNTIFS('Calculations'!$HV$13:$HV$512,"="&amp;SUBSTITUTE(SUBSTITUTE(SUBSTITUTE('Calculations'!HF321,"~","~~"),"*","~*"),"?","~?"),'Calculations'!$HN$13:$HN$512,"="&amp;SUBSTITUTE(SUBSTITUTE(SUBSTITUTE('Dashboard'!$B$7,"~","~~"),"*","~*"),"?","~?"))+COUNTIFS('Calculations'!$HW$13:$HW$512,"="&amp;SUBSTITUTE(SUBSTITUTE(SUBSTITUTE('Calculations'!HF321,"~","~~"),"*","~*"),"?","~?"),'Calculations'!$HN$13:$HN$512,"="&amp;SUBSTITUTE(SUBSTITUTE(SUBSTITUTE('Dashboard'!$B$7,"~","~~"),"*","~*"),"?","~?"))+COUNTIFS('Calculations'!$HX$13:$HX$512,"="&amp;SUBSTITUTE(SUBSTITUTE(SUBSTITUTE('Calculations'!HF321,"~","~~"),"*","~*"),"?","~?"),'Calculations'!$HN$13:$HN$512,"="&amp;SUBSTITUTE(SUBSTITUTE(SUBSTITUTE('Dashboard'!$B$7,"~","~~"),"*","~*"),"?","~?"))+COUNTIFS('Calculations'!$HY$13:$HY$512,"="&amp;SUBSTITUTE(SUBSTITUTE(SUBSTITUTE('Calculations'!HF321,"~","~~"),"*","~*"),"?","~?"),'Calculations'!$HN$13:$HN$512,"="&amp;SUBSTITUTE(SUBSTITUTE(SUBSTITUTE('Dashboard'!$B$7,"~","~~"),"*","~*"),"?","~?"))+COUNTIFS('Calculations'!$HZ$13:$HZ$512,"="&amp;SUBSTITUTE(SUBSTITUTE(SUBSTITUTE('Calculations'!HF321,"~","~~"),"*","~*"),"?","~?"),'Calculations'!$HN$13:$HN$512,"="&amp;SUBSTITUTE(SUBSTITUTE(SUBSTITUTE('Dashboard'!$B$7,"~","~~"),"*","~*"),"?","~?"))+COUNTIFS('Calculations'!$IA$13:$IA$512,"="&amp;SUBSTITUTE(SUBSTITUTE(SUBSTITUTE('Calculations'!HF321,"~","~~"),"*","~*"),"?","~?"),'Calculations'!$HN$13:$HN$512,"="&amp;SUBSTITUTE(SUBSTITUTE(SUBSTITUTE('Dashboard'!$B$7,"~","~~"),"*","~*"),"?","~?"))+COUNTIFS('Calculations'!$IB$13:$IB$512,"="&amp;SUBSTITUTE(SUBSTITUTE(SUBSTITUTE('Calculations'!HF321,"~","~~"),"*","~*"),"?","~?"),'Calculations'!$HN$13:$HN$512,"="&amp;SUBSTITUTE(SUBSTITUTE(SUBSTITUTE('Dashboard'!$B$7,"~","~~"),"*","~*"),"?","~?"))+COUNTIFS('Calculations'!$IC$13:$IC$512,"="&amp;SUBSTITUTE(SUBSTITUTE(SUBSTITUTE('Calculations'!HF321,"~","~~"),"*","~*"),"?","~?"),'Calculations'!$HN$13:$HN$512,"="&amp;SUBSTITUTE(SUBSTITUTE(SUBSTITUTE('Dashboard'!$B$7,"~","~~"),"*","~*"),"?","~?"))+COUNTIFS('Calculations'!$ID$13:$ID$512,"="&amp;SUBSTITUTE(SUBSTITUTE(SUBSTITUTE('Calculations'!HF321,"~","~~"),"*","~*"),"?","~?"),'Calculations'!$HN$13:$HN$512,"="&amp;SUBSTITUTE(SUBSTITUTE(SUBSTITUTE('Dashboard'!$B$7,"~","~~"),"*","~*"),"?","~?"))+COUNTIFS('Calculations'!$IE$13:$IE$512,"="&amp;SUBSTITUTE(SUBSTITUTE(SUBSTITUTE('Calculations'!HF321,"~","~~"),"*","~*"),"?","~?"),'Calculations'!$HN$13:$HN$512,"="&amp;SUBSTITUTE(SUBSTITUTE(SUBSTITUTE('Dashboard'!$B$7,"~","~~"),"*","~*"),"?","~?"))+COUNTIFS('Calculations'!$IF$13:$IF$512,"="&amp;SUBSTITUTE(SUBSTITUTE(SUBSTITUTE('Calculations'!HF321,"~","~~"),"*","~*"),"?","~?"),'Calculations'!$HN$13:$HN$512,"="&amp;SUBSTITUTE(SUBSTITUTE(SUBSTITUTE('Dashboard'!$B$7,"~","~~"),"*","~*"),"?","~?"))+COUNTIFS('Calculations'!$IG$13:$IG$512,"="&amp;SUBSTITUTE(SUBSTITUTE(SUBSTITUTE('Calculations'!HF321,"~","~~"),"*","~*"),"?","~?"),'Calculations'!$HN$13:$HN$512,"="&amp;SUBSTITUTE(SUBSTITUTE(SUBSTITUTE('Dashboard'!$B$7,"~","~~"),"*","~*"),"?","~?"))+COUNTIFS('Calculations'!$IH$13:$IH$512,"="&amp;SUBSTITUTE(SUBSTITUTE(SUBSTITUTE('Calculations'!HF321,"~","~~"),"*","~*"),"?","~?"),'Calculations'!$HN$13:$HN$512,"="&amp;SUBSTITUTE(SUBSTITUTE(SUBSTITUTE('Dashboard'!$B$7,"~","~~"),"*","~*"),"?","~?"))))</x:f>
        <x:v>0</x:v>
      </x:c>
      <x:c r="JD321" t="n">
        <x:f>IF('Calculations'!EM321="",0,IF('Dashboard'!$B$7="All",1,IF('Calculations'!HN321='Dashboard'!$B$7,1,0)+IFERROR(INDEX('Calculations'!$JC$13:$JC$512,MATCH('Calculations'!HE321,'Calculations'!$HF$13:$HF$512,0)),0)))</x:f>
        <x:v>0</x:v>
      </x:c>
      <x:c r="JE321" t="n">
        <x:f>IF(AND('Calculations'!EM321&lt;&gt;"",'Calculations'!$JJ$2&lt;&gt;"All",'Calculations'!$JJ$2&lt;&gt;"",'Calculations'!HF321='Calculations'!$JJ$2,'Calculations'!HL321=0,'Calculations'!JD321&gt;0),MAX('Calculations'!$JE$12:JE320)+1,0)</x:f>
        <x:v>0</x:v>
      </x:c>
      <x:c r="JF321" t="str">
        <x:f>IF('Calculations'!EM321="","",IFERROR(IF(INDEX(INDIRECT("'WCM Calibration Final'!$G$1:$G$2000"),'Calculations'!$EM321)="","",TRIM(INDEX(INDIRECT("'WCM Calibration Final'!$G$1:$G$2000"),'Calculations'!$EM321)&amp;"")),""))</x:f>
      </x:c>
      <x:c r="JQ321" t="n">
        <x:f>IF(OR('Calculations'!BM321=0,NOT('Calculations'!$AG$2),'Calculations'!$AG$8&gt;0),0,IF(OR('Dashboard'!$B$7="All",'Calculations'!HN321='Dashboard'!$B$7),IF('Calculations'!$JJ$2="All",1,IF(AND('Calculations'!HF321='Calculations'!$JJ$2,'Calculations'!HL321=0),1,0)),0))</x:f>
        <x:v>0</x:v>
      </x:c>
    </x:row>
    <x:row r="322">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t="n">
        <x:f>IF('Calculations'!$EM322="",0,IF(OR(IFERROR(INDEX(INDIRECT("'WCM Calibration Final'!$A$1:$A$2000"),'Calculations'!$EM322)&lt;&gt;"",FALSE),IFERROR(INDEX(INDIRECT("'WCM Calibration Final'!$B$1:$B$2000"),'Calculations'!$EM322)&lt;&gt;"",FALSE),IFERROR(INDEX(INDIRECT("'WCM Calibration Final'!$C$1:$C$2000"),'Calculations'!$EM322)&lt;&gt;"",FALSE)),1,0))</x:f>
        <x:v>0</x:v>
      </x:c>
      <x:c r="BN322" s="4" t="n">
        <x:f>IF(AND('Calculations'!BM322=1,'Calculations'!$AG$2,'Calculations'!$EN322=1),1,0)</x:f>
        <x:v>0</x:v>
      </x:c>
      <x:c r="BO322" s="4" t="str">
        <x:f>IF('Calculations'!BM322=0,"",IFERROR(IF(AND(VALUE(INDEX(INDIRECT("'WCM Calibration Final'!$K$1:$K$2000"),'Calculations'!$EM322))&gt;=1,VALUE(INDEX(INDIRECT("'WCM Calibration Final'!$K$1:$K$2000"),'Calculations'!$EM322))&lt;=4,MOD(VALUE(INDEX(INDIRECT("'WCM Calibration Final'!$K$1:$K$2000"),'Calculations'!$EM322)),1)=0),VALUE(INDEX(INDIRECT("'WCM Calibration Final'!$K$1:$K$2000"),'Calculations'!$EM322)),""),""))</x:f>
      </x:c>
      <x:c r="BP322" s="4" t="str">
        <x:f>IF('Calculations'!BM322=0,"",IFERROR(IF(AND(VALUE(INDEX(INDIRECT("'WCM Calibration Final'!$L$1:$L$2000"),'Calculations'!$EM322))&gt;=1,VALUE(INDEX(INDIRECT("'WCM Calibration Final'!$L$1:$L$2000"),'Calculations'!$EM322))&lt;=4,MOD(VALUE(INDEX(INDIRECT("'WCM Calibration Final'!$L$1:$L$2000"),'Calculations'!$EM322)),1)=0),VALUE(INDEX(INDIRECT("'WCM Calibration Final'!$L$1:$L$2000"),'Calculations'!$EM322)),""),""))</x:f>
      </x:c>
      <x:c r="BQ322" s="4"/>
      <x:c r="BR322" s="4"/>
      <x:c r="BS322" s="4"/>
      <x:c r="BT322" s="4" t="n">
        <x:f>IF(AND('Calculations'!BM322=1,ISNUMBER('Calculations'!BO322),ISNUMBER('Calculations'!BP322)),1,0)</x:f>
        <x:v>0</x:v>
      </x:c>
      <x:c r="BU322" s="4" t="str">
        <x:f>IF('Calculations'!BM322=0,"",'Calculations'!$EO322)</x:f>
      </x:c>
      <x:c r="BV322" s="4" t="str">
        <x:f>IF('Calculations'!BM322=0,"",IFERROR(IF(OR(INDEX(INDIRECT("'WCM Calibration Final'!$H$1:$H$2000"),'Calculations'!$EM322)="MANAGING DIRECTOR",INDEX(INDIRECT("'WCM Calibration Final'!$H$1:$H$2000"),'Calculations'!$EM322)="DIRECTOR",INDEX(INDIRECT("'WCM Calibration Final'!$H$1:$H$2000"),'Calculations'!$EM322)="SENIOR VICE PRESIDENT",INDEX(INDIRECT("'WCM Calibration Final'!$H$1:$H$2000"),'Calculations'!$EM322)="VICE PRESIDENT",INDEX(INDIRECT("'WCM Calibration Final'!$H$1:$H$2000"),'Calculations'!$EM322)="ASSISTANT VICE PRESIDENT",INDEX(INDIRECT("'WCM Calibration Final'!$H$1:$H$2000"),'Calculations'!$EM322)="OFFICER"),UPPER(INDEX(INDIRECT("'WCM Calibration Final'!$H$1:$H$2000"),'Calculations'!$EM322)),"Other"),"Other"))</x:f>
      </x:c>
      <x:c r="BW322" s="4"/>
      <x:c r="BX322" s="4"/>
      <x:c r="BY322" s="4" t="n">
        <x:f>IF(AND('Calculations'!BM322=1,'Calculations'!BU322&lt;&gt;"",COUNTIF('Calculations'!$BU$12:BU322,'Calculations'!BU322)=1),MAX('Calculations'!$BY$11:BY321)+1,0)</x:f>
        <x:v>0</x:v>
      </x:c>
      <x:c r="BZ322" s="4" t="str">
        <x:f>IF('Dashboard'!$E$67="What",'Calculations'!BO322,'Calculations'!BP322)</x:f>
      </x:c>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t="str">
        <x:f>IF(311&gt;MAX('Calculations'!$HI$13:$HI$512),"",INDEX('Calculations'!$HN$13:$HN$512,MATCH(311,'Calculations'!$HI$13:$HI$512,0)))</x:f>
      </x:c>
      <x:c r="DB322" s="4" t="str">
        <x:f>IF(311&gt;MAX('Calculations'!$HH$13:$HH$512),"",INDEX('Calculations'!$HJ$13:$HJ$512,MATCH(311,'Calculations'!$HH$13:$HH$512,0)))</x:f>
      </x:c>
      <x:c r="DC322" s="4" t="str">
        <x:f>IF(ROW()-11&gt;MAX('Calculations'!$BY$13:$BY$512),"",INDEX('Calculations'!$BU$13:$BU$512,MATCH(ROW()-11,'Calculations'!$BY$13:$BY$512,0)))</x:f>
      </x:c>
      <x:c r="DD322" s="4" t="str">
        <x:f>IF(311&gt;MAX('Calculations'!$IK$13:$IK$512),"",INDEX('Calculations'!$HK$13:$HK$512,MATCH(311,'Calculations'!$IK$13:$IK$512,0)))</x:f>
      </x:c>
      <x:c r="DE322" s="4" t="str">
        <x:f>'Calculations'!DC322</x:f>
      </x:c>
      <x:c r="DF322" s="4" t="str">
        <x:f>IF('Calculations'!DE322="","",COUNTIFS('Calculations'!$BN$13:$BN$512,1,'Calculations'!$BU$13:$BU$512,'Calculations'!DE322))</x:f>
      </x:c>
      <x:c r="DG322" s="4" t="str">
        <x:f>IF('Calculations'!DE322="","",COUNTIFS('Calculations'!$BN$13:$BN$512,1,'Calculations'!$BU$13:$BU$512,'Calculations'!DE322,'Calculations'!$BT$13:$BT$512,1))</x:f>
      </x:c>
      <x:c r="DH322" s="4" t="str">
        <x:f>IF('Calculations'!DE322="","",'Calculations'!DF322-'Calculations'!DG322)</x:f>
      </x:c>
      <x:c r="DI322" s="4" t="str">
        <x:f>IF(OR('Calculations'!DE322="",'Calculations'!DF322=0),"",'Calculations'!DG322/'Calculations'!DF322)</x:f>
      </x:c>
      <x:c r="DJ322" s="4" t="str">
        <x:f>IF('Calculations'!DE322="","",COUNTIFS('Calculations'!$BN$13:$BN$512,1,'Calculations'!$BU$13:$BU$512,'Calculations'!DE322,'Calculations'!$BT$13:$BT$512,1,'Calculations'!$EE$13:$EE$512,"High"))</x:f>
      </x:c>
      <x:c r="DK322" s="4" t="str">
        <x:f>IF('Calculations'!DE322="","",COUNTIFS('Calculations'!$BN$13:$BN$512,1,'Calculations'!$BU$13:$BU$512,'Calculations'!DE322,'Calculations'!$BT$13:$BT$512,1,'Calculations'!$EE$13:$EE$512,"Strong"))</x:f>
      </x:c>
      <x:c r="DL322" s="4" t="str">
        <x:f>IF('Calculations'!DE322="","",COUNTIFS('Calculations'!$BN$13:$BN$512,1,'Calculations'!$BU$13:$BU$512,'Calculations'!DE322,'Calculations'!$BT$13:$BT$512,1,'Calculations'!$EE$13:$EE$512,"Solid"))</x:f>
      </x:c>
      <x:c r="DM322" s="4" t="str">
        <x:f>IF('Calculations'!DE322="","",COUNTIFS('Calculations'!$BN$13:$BN$512,1,'Calculations'!$BU$13:$BU$512,'Calculations'!DE322,'Calculations'!$BT$13:$BT$512,1,'Calculations'!$EE$13:$EE$512,"Low"))</x:f>
      </x:c>
      <x:c r="DN322" s="4" t="str">
        <x:f>IF('Calculations'!DE322="","",COUNTIFS('Calculations'!$BN$13:$BN$512,1,'Calculations'!$BU$13:$BU$512,'Calculations'!DE322,'Calculations'!$EP$13:$EP$512,1))</x:f>
      </x:c>
      <x:c r="DO322" s="4" t="str">
        <x:f>IF(OR('Calculations'!DE322="",'Calculations'!DG322=0),"",('Calculations'!DJ322+'Calculations'!DK322)/'Calculations'!DG322)</x:f>
      </x:c>
      <x:c r="DP322" s="4" t="n">
        <x:f>IF(AND('Calculations'!DE322&lt;&gt;"",'Calculations'!DF322&gt;0),COUNTIF('Calculations'!$DF$12:DF322,"&gt;0"),0)</x:f>
        <x:v>0</x:v>
      </x:c>
      <x:c r="DQ322" s="4" t="str">
        <x:f>IF(311&gt;MAX('Calculations'!$HH$13:$HH$512),"",INDEX('Calculations'!$HF$13:$HF$512,MATCH(311,'Calculations'!$HH$13:$HH$512,0)))</x:f>
      </x:c>
      <x:c r="DR322" s="4" t="str">
        <x:f>IF(311&gt;MAX('Calculations'!$IK$13:$IK$512),"",INDEX('Calculations'!$HE$13:$HE$512,MATCH(311,'Calculations'!$IK$13:$IK$512,0)))</x:f>
      </x:c>
      <x:c r="DS322" s="4"/>
      <x:c r="DT322" s="4"/>
      <x:c r="DU322" s="4"/>
      <x:c r="DV322" s="4"/>
      <x:c r="DW322" s="4"/>
      <x:c r="DX322" s="4"/>
      <x:c r="DY322" s="4"/>
      <x:c r="DZ322" s="4"/>
      <x:c r="EA322" s="4"/>
      <x:c r="EB322" s="4"/>
      <x:c r="EC322" s="4"/>
      <x:c r="ED322" s="4"/>
      <x:c r="EE322" s="4" t="str">
        <x:f>IF('Calculations'!BT322=0,"Not Rated",IF(OR('Calculations'!BO322&gt;=4,'Calculations'!BP322&gt;=4),"Low",IF('Calculations'!BO322+'Calculations'!BP322&lt;=3,"High",IF('Calculations'!BO322+'Calculations'!BP322&lt;=4,"Strong","Solid"))))</x:f>
        <x:v>Not Rated</x:v>
      </x:c>
      <x:c r="EF322" s="4"/>
      <x:c r="EG322" s="4"/>
      <x:c r="EH322" s="4"/>
      <x:c r="EI322" s="4"/>
      <x:c r="EJ322" s="4"/>
      <x:c r="EK322" s="4"/>
      <x:c r="EL322" s="4"/>
      <x:c r="EM322" s="4" t="str">
        <x:f>IF(310&gt;'Calculations'!$JB$2000,"",INDEX('Calculations'!$JA$12:$JA$2000,MATCH(310,'Calculations'!$JB$12:$JB$2000,0)))</x:f>
      </x:c>
      <x:c r="EN322" s="4" t="n">
        <x:f>IF(OR('Calculations'!EM322="",'Calculations'!$AG$8&gt;0,AND('Calculations'!$EF$2&lt;&gt;"All",'Calculations'!HE322='Calculations'!$EF$2),AND('Calculations'!$EF$3&lt;&gt;"All",'Calculations'!HE322='Calculations'!$EF$3)),0,IF(OR('Dashboard'!$B$7="All",'Calculations'!HN322='Dashboard'!$B$7),IF('Calculations'!$EF$2="All",1,IF('Calculations'!HL322&gt;0,0,IF(COUNTIF('Calculations'!HO322:II322,"="&amp;SUBSTITUTE(SUBSTITUTE(SUBSTITUTE('Calculations'!$EF$2,"~","~~"),"*","~*"),"?","~?"))=0,0,IF('Calculations'!$EF$3="All",1,IF(COUNTIF('Calculations'!HO322:II322,"="&amp;SUBSTITUTE(SUBSTITUTE(SUBSTITUTE('Calculations'!$EF$3,"~","~~"),"*","~*"),"?","~?"))&gt;0,1,0))))),0))</x:f>
        <x:v>0</x:v>
      </x:c>
      <x:c r="EO322" s="4" t="str">
        <x:f>IF('Calculations'!IJ322="","",IF('Calculations'!IJ322="!UNRESOLVED","Unresolved hierarchy",IFERROR(INDEX('Calculations'!$HK$13:$HK$512,MATCH('Calculations'!IJ322,'Calculations'!$HE$13:$HE$512,0)),IFERROR(INDEX('Calculations'!$HJ$13:$HJ$512,MATCH('Calculations'!IJ322,'Calculations'!$HF$13:$HF$512,0)),'Calculations'!IJ322))))</x:f>
      </x:c>
      <x:c r="EP322" s="4" t="n">
        <x:f>IF(AND('Calculations'!EM322&lt;&gt;"",'Calculations'!HF322='Calculations'!IJ322),1,0)</x:f>
        <x:v>0</x:v>
      </x:c>
      <x:c r="EQ322" s="4"/>
      <x:c r="ER322" s="4"/>
      <x:c r="ES322" s="4"/>
      <x:c r="ET322" s="4"/>
      <x:c r="EU322" s="4"/>
      <x:c r="EV322" s="4"/>
      <x:c r="EW322" s="4"/>
      <x:c r="EX322" s="4"/>
      <x:c r="EY322" s="4"/>
      <x:c r="EZ322" s="4"/>
      <x:c r="FA322" s="4"/>
      <x:c r="FB322" s="4"/>
      <x:c r="FC322" s="4"/>
      <x:c r="FD322" s="4"/>
      <x:c r="FE322" s="4"/>
      <x:c r="FF322" s="4"/>
      <x:c r="FG322" s="4"/>
      <x:c r="FH322" s="4"/>
      <x:c r="FI322" s="4"/>
      <x:c r="FJ322" s="4"/>
      <x:c r="FK322" s="4"/>
      <x:c r="FL322" s="4"/>
      <x:c r="FM322" s="4"/>
      <x:c r="FN322" s="4"/>
      <x:c r="FO322" s="4"/>
      <x:c r="HE322" t="str">
        <x:f>IF('Calculations'!EM322="","",IF(IFERROR(IF(INDEX(INDIRECT("'WCM Calibration Final'!$A$1:$A$2000"),'Calculations'!$EM322)="","",TRIM(INDEX(INDIRECT("'WCM Calibration Final'!$A$1:$A$2000"),'Calculations'!$EM322)&amp;"")),"")&lt;&gt;"","G:"&amp;IFERROR(TEXT(1*INDEX(INDIRECT("'WCM Calibration Final'!$A$1:$A$2000"),'Calculations'!$EM322),"0"),UPPER(IFERROR(IF(INDEX(INDIRECT("'WCM Calibration Final'!$A$1:$A$2000"),'Calculations'!$EM322)="","",TRIM(INDEX(INDIRECT("'WCM Calibration Final'!$A$1:$A$2000"),'Calculations'!$EM322)&amp;"")),""))),IF(IFERROR(IF(INDEX(INDIRECT("'WCM Calibration Final'!$C$1:$C$2000"),'Calculations'!$EM322)="","",TRIM(INDEX(INDIRECT("'WCM Calibration Final'!$C$1:$C$2000"),'Calculations'!$EM322)&amp;"")),"")&lt;&gt;"","S:"&amp;UPPER(IFERROR(IF(INDEX(INDIRECT("'WCM Calibration Final'!$C$1:$C$2000"),'Calculations'!$EM322)="","",TRIM(INDEX(INDIRECT("'WCM Calibration Final'!$C$1:$C$2000"),'Calculations'!$EM322)&amp;"")),"")),"R:"&amp;'Calculations'!EM322)))</x:f>
      </x:c>
      <x:c r="HF322" t="str">
        <x:f>IF('Calculations'!EM322="","",IF(IFERROR(IF(INDEX(INDIRECT("'WCM Calibration Final'!$D$1:$D$2000"),'Calculations'!$EM322)="","",TRIM(INDEX(INDIRECT("'WCM Calibration Final'!$D$1:$D$2000"),'Calculations'!$EM322)&amp;"")),"")&lt;&gt;"","G:"&amp;IFERROR(TEXT(1*INDEX(INDIRECT("'WCM Calibration Final'!$D$1:$D$2000"),'Calculations'!$EM322),"0"),UPPER(IFERROR(IF(INDEX(INDIRECT("'WCM Calibration Final'!$D$1:$D$2000"),'Calculations'!$EM322)="","",TRIM(INDEX(INDIRECT("'WCM Calibration Final'!$D$1:$D$2000"),'Calculations'!$EM322)&amp;"")),""))),IF(IFERROR(IF(INDEX(INDIRECT("'WCM Calibration Final'!$E$1:$E$2000"),'Calculations'!$EM322)="","",TRIM(INDEX(INDIRECT("'WCM Calibration Final'!$E$1:$E$2000"),'Calculations'!$EM322)&amp;"")),"")="","",IF(COUNTIF('Calculations'!$HG$13:$HG$512,"="&amp;SUBSTITUTE(SUBSTITUTE(SUBSTITUTE(IFERROR(IF(INDEX(INDIRECT("'WCM Calibration Final'!$E$1:$E$2000"),'Calculations'!$EM322)="","",TRIM(INDEX(INDIRECT("'WCM Calibration Final'!$E$1:$E$2000"),'Calculations'!$EM322)&amp;"")),""),"~","~~"),"*","~*"),"?","~?"))=1,INDEX('Calculations'!$HE$13:$HE$512,MATCH(IFERROR(IF(INDEX(INDIRECT("'WCM Calibration Final'!$E$1:$E$2000"),'Calculations'!$EM322)="","",TRIM(INDEX(INDIRECT("'WCM Calibration Final'!$E$1:$E$2000"),'Calculations'!$EM322)&amp;"")),""),'Calculations'!$HG$13:$HG$512,0)),IF(COUNTIF('Calculations'!$HG$13:$HG$512,"="&amp;SUBSTITUTE(SUBSTITUTE(SUBSTITUTE(IFERROR(IF(INDEX(INDIRECT("'WCM Calibration Final'!$E$1:$E$2000"),'Calculations'!$EM322)="","",TRIM(INDEX(INDIRECT("'WCM Calibration Final'!$E$1:$E$2000"),'Calculations'!$EM322)&amp;"")),""),"~","~~"),"*","~*"),"?","~?"))&gt;1,"!AMBIG","X:"&amp;IFERROR(IF(INDEX(INDIRECT("'WCM Calibration Final'!$E$1:$E$2000"),'Calculations'!$EM322)="","",TRIM(INDEX(INDIRECT("'WCM Calibration Final'!$E$1:$E$2000"),'Calculations'!$EM322)&amp;"")),""))))))</x:f>
      </x:c>
      <x:c r="HG322" t="str">
        <x:f>IF('Calculations'!EM322="","",IFERROR(IF(INDEX(INDIRECT("'WCM Calibration Final'!$B$1:$B$2000"),'Calculations'!$EM322)="","",TRIM(INDEX(INDIRECT("'WCM Calibration Final'!$B$1:$B$2000"),'Calculations'!$EM322)&amp;"")),""))</x:f>
      </x:c>
      <x:c r="HH322" t="n">
        <x:f>IF(AND('Calculations'!JC322&gt;0,COUNTIF('Calculations'!$HF$12:HF322,"="&amp;SUBSTITUTE(SUBSTITUTE(SUBSTITUTE('Calculations'!HF322,"~","~~"),"*","~*"),"?","~?"))=1),MAX('Calculations'!$HH$12:HH321)+1,0)</x:f>
        <x:v>0</x:v>
      </x:c>
      <x:c r="HI322" t="n">
        <x:f>IF(AND('Calculations'!HN322&lt;&gt;"",COUNTIF('Calculations'!$HN$12:HN322,"="&amp;SUBSTITUTE(SUBSTITUTE(SUBSTITUTE('Calculations'!HN322,"~","~~"),"*","~*"),"?","~?"))=1),MAX('Calculations'!$HI$12:HI321)+1,0)</x:f>
        <x:v>0</x:v>
      </x:c>
      <x:c r="HJ322" t="str">
        <x:f>IF('Calculations'!HF322="","",IF(COUNTIF('Calculations'!$HE$13:$HE$512,"="&amp;SUBSTITUTE(SUBSTITUTE(SUBSTITUTE('Calculations'!HF322,"~","~~"),"*","~*"),"?","~?"))=1,INDEX('Calculations'!$HK$13:$HK$512,MATCH('Calculations'!HF322,'Calculations'!$HE$13:$HE$512,0)),IFERROR(IF(INDEX(INDIRECT("'WCM Calibration Final'!$E$1:$E$2000"),'Calculations'!$EM322)="","",TRIM(INDEX(INDIRECT("'WCM Calibration Final'!$E$1:$E$2000"),'Calculations'!$EM322)&amp;"")),"")&amp;" ["&amp;'Calculations'!HF322&amp;"]"))</x:f>
      </x:c>
      <x:c r="HK322" t="str">
        <x:f>IF('Calculations'!EM322="","",'Calculations'!HG322&amp;" ["&amp;'Calculations'!HE322&amp;"]")</x:f>
      </x:c>
      <x:c r="HL322" t="n">
        <x:f>IF('Calculations'!EM322="",0,IF(OR('Calculations'!II322&lt;&gt;"",COUNTIF('Calculations'!$HE$13:$HE$512,"="&amp;SUBSTITUTE(SUBSTITUTE(SUBSTITUTE('Calculations'!HE322,"~","~~"),"*","~*"),"?","~?"))&gt;1),1,0))</x:f>
        <x:v>0</x:v>
      </x:c>
      <x:c r="HM322" t="str">
        <x:f>IF('Calculations'!EM322="","",IF('Calculations'!HL322=1,"!UNRESOLVED",IF('Calculations'!IH322&lt;&gt;"",'Calculations'!IH322,IF('Calculations'!IG322&lt;&gt;"",'Calculations'!IG322,IF('Calculations'!IF322&lt;&gt;"",'Calculations'!IF322,IF('Calculations'!IE322&lt;&gt;"",'Calculations'!IE322,IF('Calculations'!ID322&lt;&gt;"",'Calculations'!ID322,IF('Calculations'!IC322&lt;&gt;"",'Calculations'!IC322,IF('Calculations'!IB322&lt;&gt;"",'Calculations'!IB322,IF('Calculations'!IA322&lt;&gt;"",'Calculations'!IA322,IF('Calculations'!HZ322&lt;&gt;"",'Calculations'!HZ322,IF('Calculations'!HY322&lt;&gt;"",'Calculations'!HY322,IF('Calculations'!HX322&lt;&gt;"",'Calculations'!HX322,IF('Calculations'!HW322&lt;&gt;"",'Calculations'!HW322,IF('Calculations'!HV322&lt;&gt;"",'Calculations'!HV322,IF('Calculations'!HU322&lt;&gt;"",'Calculations'!HU322,IF('Calculations'!HT322&lt;&gt;"",'Calculations'!HT322,IF('Calculations'!HS322&lt;&gt;"",'Calculations'!HS322,IF('Calculations'!HR322&lt;&gt;"",'Calculations'!HR322,IF('Calculations'!HQ322&lt;&gt;"",'Calculations'!HQ322,IF('Calculations'!HP322&lt;&gt;"",'Calculations'!HP322,IF('Calculations'!HO322&lt;&gt;"",'Calculations'!HO322,'Calculations'!HE322))))))))))))))))))))))</x:f>
      </x:c>
      <x:c r="HN322" t="str">
        <x:f>IF('Calculations'!EM322="","",IF(IFERROR(IF(INDEX(INDIRECT("'WCM Calibration Final'!$F$1:$F$2000"),'Calculations'!$EM322)="","",TRIM(INDEX(INDIRECT("'WCM Calibration Final'!$F$1:$F$2000"),'Calculations'!$EM322)&amp;"")),"")="","(Blank)",IFERROR(IF(INDEX(INDIRECT("'WCM Calibration Final'!$F$1:$F$2000"),'Calculations'!$EM322)="","",TRIM(INDEX(INDIRECT("'WCM Calibration Final'!$F$1:$F$2000"),'Calculations'!$EM322)&amp;"")),"")))</x:f>
      </x:c>
      <x:c r="HO322" t="str">
        <x:f>'Calculations'!HF322</x:f>
      </x:c>
      <x:c r="HP322" t="str">
        <x:f>IF('Calculations'!HO322="","",IF('Calculations'!HO322="!AMBIG","!AMBIG",IF(COUNTIF('Calculations'!$HE$13:$HE$512,"="&amp;SUBSTITUTE(SUBSTITUTE(SUBSTITUTE('Calculations'!HO322,"~","~~"),"*","~*"),"?","~?"))&gt;1,"!AMBIG",IFERROR(INDEX('Calculations'!$HF$13:$HF$512,MATCH('Calculations'!HO322,'Calculations'!$HE$13:$HE$512,0)),""))))</x:f>
      </x:c>
      <x:c r="HQ322" t="str">
        <x:f>IF('Calculations'!HP322="","",IF('Calculations'!HP322="!AMBIG","!AMBIG",IF(COUNTIF('Calculations'!$HE$13:$HE$512,"="&amp;SUBSTITUTE(SUBSTITUTE(SUBSTITUTE('Calculations'!HP322,"~","~~"),"*","~*"),"?","~?"))&gt;1,"!AMBIG",IFERROR(INDEX('Calculations'!$HF$13:$HF$512,MATCH('Calculations'!HP322,'Calculations'!$HE$13:$HE$512,0)),""))))</x:f>
      </x:c>
      <x:c r="HR322" t="str">
        <x:f>IF('Calculations'!HQ322="","",IF('Calculations'!HQ322="!AMBIG","!AMBIG",IF(COUNTIF('Calculations'!$HE$13:$HE$512,"="&amp;SUBSTITUTE(SUBSTITUTE(SUBSTITUTE('Calculations'!HQ322,"~","~~"),"*","~*"),"?","~?"))&gt;1,"!AMBIG",IFERROR(INDEX('Calculations'!$HF$13:$HF$512,MATCH('Calculations'!HQ322,'Calculations'!$HE$13:$HE$512,0)),""))))</x:f>
      </x:c>
      <x:c r="HS322" t="str">
        <x:f>IF('Calculations'!HR322="","",IF('Calculations'!HR322="!AMBIG","!AMBIG",IF(COUNTIF('Calculations'!$HE$13:$HE$512,"="&amp;SUBSTITUTE(SUBSTITUTE(SUBSTITUTE('Calculations'!HR322,"~","~~"),"*","~*"),"?","~?"))&gt;1,"!AMBIG",IFERROR(INDEX('Calculations'!$HF$13:$HF$512,MATCH('Calculations'!HR322,'Calculations'!$HE$13:$HE$512,0)),""))))</x:f>
      </x:c>
      <x:c r="HT322" t="str">
        <x:f>IF('Calculations'!HS322="","",IF('Calculations'!HS322="!AMBIG","!AMBIG",IF(COUNTIF('Calculations'!$HE$13:$HE$512,"="&amp;SUBSTITUTE(SUBSTITUTE(SUBSTITUTE('Calculations'!HS322,"~","~~"),"*","~*"),"?","~?"))&gt;1,"!AMBIG",IFERROR(INDEX('Calculations'!$HF$13:$HF$512,MATCH('Calculations'!HS322,'Calculations'!$HE$13:$HE$512,0)),""))))</x:f>
      </x:c>
      <x:c r="HU322" t="str">
        <x:f>IF('Calculations'!HT322="","",IF('Calculations'!HT322="!AMBIG","!AMBIG",IF(COUNTIF('Calculations'!$HE$13:$HE$512,"="&amp;SUBSTITUTE(SUBSTITUTE(SUBSTITUTE('Calculations'!HT322,"~","~~"),"*","~*"),"?","~?"))&gt;1,"!AMBIG",IFERROR(INDEX('Calculations'!$HF$13:$HF$512,MATCH('Calculations'!HT322,'Calculations'!$HE$13:$HE$512,0)),""))))</x:f>
      </x:c>
      <x:c r="HV322" t="str">
        <x:f>IF('Calculations'!HU322="","",IF('Calculations'!HU322="!AMBIG","!AMBIG",IF(COUNTIF('Calculations'!$HE$13:$HE$512,"="&amp;SUBSTITUTE(SUBSTITUTE(SUBSTITUTE('Calculations'!HU322,"~","~~"),"*","~*"),"?","~?"))&gt;1,"!AMBIG",IFERROR(INDEX('Calculations'!$HF$13:$HF$512,MATCH('Calculations'!HU322,'Calculations'!$HE$13:$HE$512,0)),""))))</x:f>
      </x:c>
      <x:c r="HW322" t="str">
        <x:f>IF('Calculations'!HV322="","",IF('Calculations'!HV322="!AMBIG","!AMBIG",IF(COUNTIF('Calculations'!$HE$13:$HE$512,"="&amp;SUBSTITUTE(SUBSTITUTE(SUBSTITUTE('Calculations'!HV322,"~","~~"),"*","~*"),"?","~?"))&gt;1,"!AMBIG",IFERROR(INDEX('Calculations'!$HF$13:$HF$512,MATCH('Calculations'!HV322,'Calculations'!$HE$13:$HE$512,0)),""))))</x:f>
      </x:c>
      <x:c r="HX322" t="str">
        <x:f>IF('Calculations'!HW322="","",IF('Calculations'!HW322="!AMBIG","!AMBIG",IF(COUNTIF('Calculations'!$HE$13:$HE$512,"="&amp;SUBSTITUTE(SUBSTITUTE(SUBSTITUTE('Calculations'!HW322,"~","~~"),"*","~*"),"?","~?"))&gt;1,"!AMBIG",IFERROR(INDEX('Calculations'!$HF$13:$HF$512,MATCH('Calculations'!HW322,'Calculations'!$HE$13:$HE$512,0)),""))))</x:f>
      </x:c>
      <x:c r="HY322" t="str">
        <x:f>IF('Calculations'!HX322="","",IF('Calculations'!HX322="!AMBIG","!AMBIG",IF(COUNTIF('Calculations'!$HE$13:$HE$512,"="&amp;SUBSTITUTE(SUBSTITUTE(SUBSTITUTE('Calculations'!HX322,"~","~~"),"*","~*"),"?","~?"))&gt;1,"!AMBIG",IFERROR(INDEX('Calculations'!$HF$13:$HF$512,MATCH('Calculations'!HX322,'Calculations'!$HE$13:$HE$512,0)),""))))</x:f>
      </x:c>
      <x:c r="HZ322" t="str">
        <x:f>IF('Calculations'!HY322="","",IF('Calculations'!HY322="!AMBIG","!AMBIG",IF(COUNTIF('Calculations'!$HE$13:$HE$512,"="&amp;SUBSTITUTE(SUBSTITUTE(SUBSTITUTE('Calculations'!HY322,"~","~~"),"*","~*"),"?","~?"))&gt;1,"!AMBIG",IFERROR(INDEX('Calculations'!$HF$13:$HF$512,MATCH('Calculations'!HY322,'Calculations'!$HE$13:$HE$512,0)),""))))</x:f>
      </x:c>
      <x:c r="IA322" t="str">
        <x:f>IF('Calculations'!HZ322="","",IF('Calculations'!HZ322="!AMBIG","!AMBIG",IF(COUNTIF('Calculations'!$HE$13:$HE$512,"="&amp;SUBSTITUTE(SUBSTITUTE(SUBSTITUTE('Calculations'!HZ322,"~","~~"),"*","~*"),"?","~?"))&gt;1,"!AMBIG",IFERROR(INDEX('Calculations'!$HF$13:$HF$512,MATCH('Calculations'!HZ322,'Calculations'!$HE$13:$HE$512,0)),""))))</x:f>
      </x:c>
      <x:c r="IB322" t="str">
        <x:f>IF('Calculations'!IA322="","",IF('Calculations'!IA322="!AMBIG","!AMBIG",IF(COUNTIF('Calculations'!$HE$13:$HE$512,"="&amp;SUBSTITUTE(SUBSTITUTE(SUBSTITUTE('Calculations'!IA322,"~","~~"),"*","~*"),"?","~?"))&gt;1,"!AMBIG",IFERROR(INDEX('Calculations'!$HF$13:$HF$512,MATCH('Calculations'!IA322,'Calculations'!$HE$13:$HE$512,0)),""))))</x:f>
      </x:c>
      <x:c r="IC322" t="str">
        <x:f>IF('Calculations'!IB322="","",IF('Calculations'!IB322="!AMBIG","!AMBIG",IF(COUNTIF('Calculations'!$HE$13:$HE$512,"="&amp;SUBSTITUTE(SUBSTITUTE(SUBSTITUTE('Calculations'!IB322,"~","~~"),"*","~*"),"?","~?"))&gt;1,"!AMBIG",IFERROR(INDEX('Calculations'!$HF$13:$HF$512,MATCH('Calculations'!IB322,'Calculations'!$HE$13:$HE$512,0)),""))))</x:f>
      </x:c>
      <x:c r="ID322" t="str">
        <x:f>IF('Calculations'!IC322="","",IF('Calculations'!IC322="!AMBIG","!AMBIG",IF(COUNTIF('Calculations'!$HE$13:$HE$512,"="&amp;SUBSTITUTE(SUBSTITUTE(SUBSTITUTE('Calculations'!IC322,"~","~~"),"*","~*"),"?","~?"))&gt;1,"!AMBIG",IFERROR(INDEX('Calculations'!$HF$13:$HF$512,MATCH('Calculations'!IC322,'Calculations'!$HE$13:$HE$512,0)),""))))</x:f>
      </x:c>
      <x:c r="IE322" t="str">
        <x:f>IF('Calculations'!ID322="","",IF('Calculations'!ID322="!AMBIG","!AMBIG",IF(COUNTIF('Calculations'!$HE$13:$HE$512,"="&amp;SUBSTITUTE(SUBSTITUTE(SUBSTITUTE('Calculations'!ID322,"~","~~"),"*","~*"),"?","~?"))&gt;1,"!AMBIG",IFERROR(INDEX('Calculations'!$HF$13:$HF$512,MATCH('Calculations'!ID322,'Calculations'!$HE$13:$HE$512,0)),""))))</x:f>
      </x:c>
      <x:c r="IF322" t="str">
        <x:f>IF('Calculations'!IE322="","",IF('Calculations'!IE322="!AMBIG","!AMBIG",IF(COUNTIF('Calculations'!$HE$13:$HE$512,"="&amp;SUBSTITUTE(SUBSTITUTE(SUBSTITUTE('Calculations'!IE322,"~","~~"),"*","~*"),"?","~?"))&gt;1,"!AMBIG",IFERROR(INDEX('Calculations'!$HF$13:$HF$512,MATCH('Calculations'!IE322,'Calculations'!$HE$13:$HE$512,0)),""))))</x:f>
      </x:c>
      <x:c r="IG322" t="str">
        <x:f>IF('Calculations'!IF322="","",IF('Calculations'!IF322="!AMBIG","!AMBIG",IF(COUNTIF('Calculations'!$HE$13:$HE$512,"="&amp;SUBSTITUTE(SUBSTITUTE(SUBSTITUTE('Calculations'!IF322,"~","~~"),"*","~*"),"?","~?"))&gt;1,"!AMBIG",IFERROR(INDEX('Calculations'!$HF$13:$HF$512,MATCH('Calculations'!IF322,'Calculations'!$HE$13:$HE$512,0)),""))))</x:f>
      </x:c>
      <x:c r="IH322" t="str">
        <x:f>IF('Calculations'!IG322="","",IF('Calculations'!IG322="!AMBIG","!AMBIG",IF(COUNTIF('Calculations'!$HE$13:$HE$512,"="&amp;SUBSTITUTE(SUBSTITUTE(SUBSTITUTE('Calculations'!IG322,"~","~~"),"*","~*"),"?","~?"))&gt;1,"!AMBIG",IFERROR(INDEX('Calculations'!$HF$13:$HF$512,MATCH('Calculations'!IG322,'Calculations'!$HE$13:$HE$512,0)),""))))</x:f>
      </x:c>
      <x:c r="II322" t="str">
        <x:f>IF('Calculations'!IH322="","",IF('Calculations'!IH322="!AMBIG","!AMBIG",IF(COUNTIF('Calculations'!$HE$13:$HE$512,"="&amp;SUBSTITUTE(SUBSTITUTE(SUBSTITUTE('Calculations'!IH322,"~","~~"),"*","~*"),"?","~?"))&gt;1,"!AMBIG",IFERROR(INDEX('Calculations'!$HF$13:$HF$512,MATCH('Calculations'!IH322,'Calculations'!$HE$13:$HE$512,0)),""))))</x:f>
      </x:c>
      <x:c r="IJ322" t="str">
        <x:f>IF('Calculations'!EM322="","",IF('Calculations'!$EF$2="All",'Calculations'!HM322,IF('Calculations'!HL322=1,"",IFERROR(IF(MATCH('Calculations'!$EF$2,'Calculations'!HO322:II322,0)=1,'Calculations'!HE322,INDEX('Calculations'!HO322:II322,1,MATCH('Calculations'!$EF$2,'Calculations'!HO322:II322,0)-1)),""))))</x:f>
      </x:c>
      <x:c r="IK322" t="n">
        <x:f>IF(AND('Calculations'!EM322&lt;&gt;"",'Calculations'!$EF$2&lt;&gt;"All",'Calculations'!HF322='Calculations'!$EF$2,'Calculations'!HL322=0,'Calculations'!JD322&gt;0),MAX('Calculations'!$IK$12:IK321)+1,0)</x:f>
        <x:v>0</x:v>
      </x:c>
      <x:c r="JA322" t="n">
        <x:f>IF(OR(IFERROR(INDIRECT("'WCM Calibration Final'!$A$322")&lt;&gt;"",FALSE),IFERROR(INDIRECT("'WCM Calibration Final'!$B$322")&lt;&gt;"",FALSE),IFERROR(INDIRECT("'WCM Calibration Final'!$C$322")&lt;&gt;"",FALSE)),322,0)</x:f>
        <x:v>0</x:v>
      </x:c>
      <x:c r="JB322" t="n">
        <x:f>'Calculations'!JB321+IF('Calculations'!JA322&gt;0,1,0)</x:f>
        <x:v>0</x:v>
      </x:c>
      <x:c r="JC322" t="n">
        <x:f>IF(OR('Calculations'!HF322="",'Calculations'!HF322="!AMBIG"),0,IF('Dashboard'!$B$7="All",1,COUNTIFS('Calculations'!$HO$13:$HO$512,"="&amp;SUBSTITUTE(SUBSTITUTE(SUBSTITUTE('Calculations'!HF322,"~","~~"),"*","~*"),"?","~?"),'Calculations'!$HN$13:$HN$512,"="&amp;SUBSTITUTE(SUBSTITUTE(SUBSTITUTE('Dashboard'!$B$7,"~","~~"),"*","~*"),"?","~?"))+COUNTIFS('Calculations'!$HP$13:$HP$512,"="&amp;SUBSTITUTE(SUBSTITUTE(SUBSTITUTE('Calculations'!HF322,"~","~~"),"*","~*"),"?","~?"),'Calculations'!$HN$13:$HN$512,"="&amp;SUBSTITUTE(SUBSTITUTE(SUBSTITUTE('Dashboard'!$B$7,"~","~~"),"*","~*"),"?","~?"))+COUNTIFS('Calculations'!$HQ$13:$HQ$512,"="&amp;SUBSTITUTE(SUBSTITUTE(SUBSTITUTE('Calculations'!HF322,"~","~~"),"*","~*"),"?","~?"),'Calculations'!$HN$13:$HN$512,"="&amp;SUBSTITUTE(SUBSTITUTE(SUBSTITUTE('Dashboard'!$B$7,"~","~~"),"*","~*"),"?","~?"))+COUNTIFS('Calculations'!$HR$13:$HR$512,"="&amp;SUBSTITUTE(SUBSTITUTE(SUBSTITUTE('Calculations'!HF322,"~","~~"),"*","~*"),"?","~?"),'Calculations'!$HN$13:$HN$512,"="&amp;SUBSTITUTE(SUBSTITUTE(SUBSTITUTE('Dashboard'!$B$7,"~","~~"),"*","~*"),"?","~?"))+COUNTIFS('Calculations'!$HS$13:$HS$512,"="&amp;SUBSTITUTE(SUBSTITUTE(SUBSTITUTE('Calculations'!HF322,"~","~~"),"*","~*"),"?","~?"),'Calculations'!$HN$13:$HN$512,"="&amp;SUBSTITUTE(SUBSTITUTE(SUBSTITUTE('Dashboard'!$B$7,"~","~~"),"*","~*"),"?","~?"))+COUNTIFS('Calculations'!$HT$13:$HT$512,"="&amp;SUBSTITUTE(SUBSTITUTE(SUBSTITUTE('Calculations'!HF322,"~","~~"),"*","~*"),"?","~?"),'Calculations'!$HN$13:$HN$512,"="&amp;SUBSTITUTE(SUBSTITUTE(SUBSTITUTE('Dashboard'!$B$7,"~","~~"),"*","~*"),"?","~?"))+COUNTIFS('Calculations'!$HU$13:$HU$512,"="&amp;SUBSTITUTE(SUBSTITUTE(SUBSTITUTE('Calculations'!HF322,"~","~~"),"*","~*"),"?","~?"),'Calculations'!$HN$13:$HN$512,"="&amp;SUBSTITUTE(SUBSTITUTE(SUBSTITUTE('Dashboard'!$B$7,"~","~~"),"*","~*"),"?","~?"))+COUNTIFS('Calculations'!$HV$13:$HV$512,"="&amp;SUBSTITUTE(SUBSTITUTE(SUBSTITUTE('Calculations'!HF322,"~","~~"),"*","~*"),"?","~?"),'Calculations'!$HN$13:$HN$512,"="&amp;SUBSTITUTE(SUBSTITUTE(SUBSTITUTE('Dashboard'!$B$7,"~","~~"),"*","~*"),"?","~?"))+COUNTIFS('Calculations'!$HW$13:$HW$512,"="&amp;SUBSTITUTE(SUBSTITUTE(SUBSTITUTE('Calculations'!HF322,"~","~~"),"*","~*"),"?","~?"),'Calculations'!$HN$13:$HN$512,"="&amp;SUBSTITUTE(SUBSTITUTE(SUBSTITUTE('Dashboard'!$B$7,"~","~~"),"*","~*"),"?","~?"))+COUNTIFS('Calculations'!$HX$13:$HX$512,"="&amp;SUBSTITUTE(SUBSTITUTE(SUBSTITUTE('Calculations'!HF322,"~","~~"),"*","~*"),"?","~?"),'Calculations'!$HN$13:$HN$512,"="&amp;SUBSTITUTE(SUBSTITUTE(SUBSTITUTE('Dashboard'!$B$7,"~","~~"),"*","~*"),"?","~?"))+COUNTIFS('Calculations'!$HY$13:$HY$512,"="&amp;SUBSTITUTE(SUBSTITUTE(SUBSTITUTE('Calculations'!HF322,"~","~~"),"*","~*"),"?","~?"),'Calculations'!$HN$13:$HN$512,"="&amp;SUBSTITUTE(SUBSTITUTE(SUBSTITUTE('Dashboard'!$B$7,"~","~~"),"*","~*"),"?","~?"))+COUNTIFS('Calculations'!$HZ$13:$HZ$512,"="&amp;SUBSTITUTE(SUBSTITUTE(SUBSTITUTE('Calculations'!HF322,"~","~~"),"*","~*"),"?","~?"),'Calculations'!$HN$13:$HN$512,"="&amp;SUBSTITUTE(SUBSTITUTE(SUBSTITUTE('Dashboard'!$B$7,"~","~~"),"*","~*"),"?","~?"))+COUNTIFS('Calculations'!$IA$13:$IA$512,"="&amp;SUBSTITUTE(SUBSTITUTE(SUBSTITUTE('Calculations'!HF322,"~","~~"),"*","~*"),"?","~?"),'Calculations'!$HN$13:$HN$512,"="&amp;SUBSTITUTE(SUBSTITUTE(SUBSTITUTE('Dashboard'!$B$7,"~","~~"),"*","~*"),"?","~?"))+COUNTIFS('Calculations'!$IB$13:$IB$512,"="&amp;SUBSTITUTE(SUBSTITUTE(SUBSTITUTE('Calculations'!HF322,"~","~~"),"*","~*"),"?","~?"),'Calculations'!$HN$13:$HN$512,"="&amp;SUBSTITUTE(SUBSTITUTE(SUBSTITUTE('Dashboard'!$B$7,"~","~~"),"*","~*"),"?","~?"))+COUNTIFS('Calculations'!$IC$13:$IC$512,"="&amp;SUBSTITUTE(SUBSTITUTE(SUBSTITUTE('Calculations'!HF322,"~","~~"),"*","~*"),"?","~?"),'Calculations'!$HN$13:$HN$512,"="&amp;SUBSTITUTE(SUBSTITUTE(SUBSTITUTE('Dashboard'!$B$7,"~","~~"),"*","~*"),"?","~?"))+COUNTIFS('Calculations'!$ID$13:$ID$512,"="&amp;SUBSTITUTE(SUBSTITUTE(SUBSTITUTE('Calculations'!HF322,"~","~~"),"*","~*"),"?","~?"),'Calculations'!$HN$13:$HN$512,"="&amp;SUBSTITUTE(SUBSTITUTE(SUBSTITUTE('Dashboard'!$B$7,"~","~~"),"*","~*"),"?","~?"))+COUNTIFS('Calculations'!$IE$13:$IE$512,"="&amp;SUBSTITUTE(SUBSTITUTE(SUBSTITUTE('Calculations'!HF322,"~","~~"),"*","~*"),"?","~?"),'Calculations'!$HN$13:$HN$512,"="&amp;SUBSTITUTE(SUBSTITUTE(SUBSTITUTE('Dashboard'!$B$7,"~","~~"),"*","~*"),"?","~?"))+COUNTIFS('Calculations'!$IF$13:$IF$512,"="&amp;SUBSTITUTE(SUBSTITUTE(SUBSTITUTE('Calculations'!HF322,"~","~~"),"*","~*"),"?","~?"),'Calculations'!$HN$13:$HN$512,"="&amp;SUBSTITUTE(SUBSTITUTE(SUBSTITUTE('Dashboard'!$B$7,"~","~~"),"*","~*"),"?","~?"))+COUNTIFS('Calculations'!$IG$13:$IG$512,"="&amp;SUBSTITUTE(SUBSTITUTE(SUBSTITUTE('Calculations'!HF322,"~","~~"),"*","~*"),"?","~?"),'Calculations'!$HN$13:$HN$512,"="&amp;SUBSTITUTE(SUBSTITUTE(SUBSTITUTE('Dashboard'!$B$7,"~","~~"),"*","~*"),"?","~?"))+COUNTIFS('Calculations'!$IH$13:$IH$512,"="&amp;SUBSTITUTE(SUBSTITUTE(SUBSTITUTE('Calculations'!HF322,"~","~~"),"*","~*"),"?","~?"),'Calculations'!$HN$13:$HN$512,"="&amp;SUBSTITUTE(SUBSTITUTE(SUBSTITUTE('Dashboard'!$B$7,"~","~~"),"*","~*"),"?","~?"))))</x:f>
        <x:v>0</x:v>
      </x:c>
      <x:c r="JD322" t="n">
        <x:f>IF('Calculations'!EM322="",0,IF('Dashboard'!$B$7="All",1,IF('Calculations'!HN322='Dashboard'!$B$7,1,0)+IFERROR(INDEX('Calculations'!$JC$13:$JC$512,MATCH('Calculations'!HE322,'Calculations'!$HF$13:$HF$512,0)),0)))</x:f>
        <x:v>0</x:v>
      </x:c>
      <x:c r="JE322" t="n">
        <x:f>IF(AND('Calculations'!EM322&lt;&gt;"",'Calculations'!$JJ$2&lt;&gt;"All",'Calculations'!$JJ$2&lt;&gt;"",'Calculations'!HF322='Calculations'!$JJ$2,'Calculations'!HL322=0,'Calculations'!JD322&gt;0),MAX('Calculations'!$JE$12:JE321)+1,0)</x:f>
        <x:v>0</x:v>
      </x:c>
      <x:c r="JF322" t="str">
        <x:f>IF('Calculations'!EM322="","",IFERROR(IF(INDEX(INDIRECT("'WCM Calibration Final'!$G$1:$G$2000"),'Calculations'!$EM322)="","",TRIM(INDEX(INDIRECT("'WCM Calibration Final'!$G$1:$G$2000"),'Calculations'!$EM322)&amp;"")),""))</x:f>
      </x:c>
      <x:c r="JQ322" t="n">
        <x:f>IF(OR('Calculations'!BM322=0,NOT('Calculations'!$AG$2),'Calculations'!$AG$8&gt;0),0,IF(OR('Dashboard'!$B$7="All",'Calculations'!HN322='Dashboard'!$B$7),IF('Calculations'!$JJ$2="All",1,IF(AND('Calculations'!HF322='Calculations'!$JJ$2,'Calculations'!HL322=0),1,0)),0))</x:f>
        <x:v>0</x:v>
      </x:c>
    </x:row>
    <x:row r="323">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t="n">
        <x:f>IF('Calculations'!$EM323="",0,IF(OR(IFERROR(INDEX(INDIRECT("'WCM Calibration Final'!$A$1:$A$2000"),'Calculations'!$EM323)&lt;&gt;"",FALSE),IFERROR(INDEX(INDIRECT("'WCM Calibration Final'!$B$1:$B$2000"),'Calculations'!$EM323)&lt;&gt;"",FALSE),IFERROR(INDEX(INDIRECT("'WCM Calibration Final'!$C$1:$C$2000"),'Calculations'!$EM323)&lt;&gt;"",FALSE)),1,0))</x:f>
        <x:v>0</x:v>
      </x:c>
      <x:c r="BN323" s="4" t="n">
        <x:f>IF(AND('Calculations'!BM323=1,'Calculations'!$AG$2,'Calculations'!$EN323=1),1,0)</x:f>
        <x:v>0</x:v>
      </x:c>
      <x:c r="BO323" s="4" t="str">
        <x:f>IF('Calculations'!BM323=0,"",IFERROR(IF(AND(VALUE(INDEX(INDIRECT("'WCM Calibration Final'!$K$1:$K$2000"),'Calculations'!$EM323))&gt;=1,VALUE(INDEX(INDIRECT("'WCM Calibration Final'!$K$1:$K$2000"),'Calculations'!$EM323))&lt;=4,MOD(VALUE(INDEX(INDIRECT("'WCM Calibration Final'!$K$1:$K$2000"),'Calculations'!$EM323)),1)=0),VALUE(INDEX(INDIRECT("'WCM Calibration Final'!$K$1:$K$2000"),'Calculations'!$EM323)),""),""))</x:f>
      </x:c>
      <x:c r="BP323" s="4" t="str">
        <x:f>IF('Calculations'!BM323=0,"",IFERROR(IF(AND(VALUE(INDEX(INDIRECT("'WCM Calibration Final'!$L$1:$L$2000"),'Calculations'!$EM323))&gt;=1,VALUE(INDEX(INDIRECT("'WCM Calibration Final'!$L$1:$L$2000"),'Calculations'!$EM323))&lt;=4,MOD(VALUE(INDEX(INDIRECT("'WCM Calibration Final'!$L$1:$L$2000"),'Calculations'!$EM323)),1)=0),VALUE(INDEX(INDIRECT("'WCM Calibration Final'!$L$1:$L$2000"),'Calculations'!$EM323)),""),""))</x:f>
      </x:c>
      <x:c r="BQ323" s="4"/>
      <x:c r="BR323" s="4"/>
      <x:c r="BS323" s="4"/>
      <x:c r="BT323" s="4" t="n">
        <x:f>IF(AND('Calculations'!BM323=1,ISNUMBER('Calculations'!BO323),ISNUMBER('Calculations'!BP323)),1,0)</x:f>
        <x:v>0</x:v>
      </x:c>
      <x:c r="BU323" s="4" t="str">
        <x:f>IF('Calculations'!BM323=0,"",'Calculations'!$EO323)</x:f>
      </x:c>
      <x:c r="BV323" s="4" t="str">
        <x:f>IF('Calculations'!BM323=0,"",IFERROR(IF(OR(INDEX(INDIRECT("'WCM Calibration Final'!$H$1:$H$2000"),'Calculations'!$EM323)="MANAGING DIRECTOR",INDEX(INDIRECT("'WCM Calibration Final'!$H$1:$H$2000"),'Calculations'!$EM323)="DIRECTOR",INDEX(INDIRECT("'WCM Calibration Final'!$H$1:$H$2000"),'Calculations'!$EM323)="SENIOR VICE PRESIDENT",INDEX(INDIRECT("'WCM Calibration Final'!$H$1:$H$2000"),'Calculations'!$EM323)="VICE PRESIDENT",INDEX(INDIRECT("'WCM Calibration Final'!$H$1:$H$2000"),'Calculations'!$EM323)="ASSISTANT VICE PRESIDENT",INDEX(INDIRECT("'WCM Calibration Final'!$H$1:$H$2000"),'Calculations'!$EM323)="OFFICER"),UPPER(INDEX(INDIRECT("'WCM Calibration Final'!$H$1:$H$2000"),'Calculations'!$EM323)),"Other"),"Other"))</x:f>
      </x:c>
      <x:c r="BW323" s="4"/>
      <x:c r="BX323" s="4"/>
      <x:c r="BY323" s="4" t="n">
        <x:f>IF(AND('Calculations'!BM323=1,'Calculations'!BU323&lt;&gt;"",COUNTIF('Calculations'!$BU$12:BU323,'Calculations'!BU323)=1),MAX('Calculations'!$BY$11:BY322)+1,0)</x:f>
        <x:v>0</x:v>
      </x:c>
      <x:c r="BZ323" s="4" t="str">
        <x:f>IF('Dashboard'!$E$67="What",'Calculations'!BO323,'Calculations'!BP323)</x:f>
      </x:c>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t="str">
        <x:f>IF(312&gt;MAX('Calculations'!$HI$13:$HI$512),"",INDEX('Calculations'!$HN$13:$HN$512,MATCH(312,'Calculations'!$HI$13:$HI$512,0)))</x:f>
      </x:c>
      <x:c r="DB323" s="4" t="str">
        <x:f>IF(312&gt;MAX('Calculations'!$HH$13:$HH$512),"",INDEX('Calculations'!$HJ$13:$HJ$512,MATCH(312,'Calculations'!$HH$13:$HH$512,0)))</x:f>
      </x:c>
      <x:c r="DC323" s="4" t="str">
        <x:f>IF(ROW()-11&gt;MAX('Calculations'!$BY$13:$BY$512),"",INDEX('Calculations'!$BU$13:$BU$512,MATCH(ROW()-11,'Calculations'!$BY$13:$BY$512,0)))</x:f>
      </x:c>
      <x:c r="DD323" s="4" t="str">
        <x:f>IF(312&gt;MAX('Calculations'!$IK$13:$IK$512),"",INDEX('Calculations'!$HK$13:$HK$512,MATCH(312,'Calculations'!$IK$13:$IK$512,0)))</x:f>
      </x:c>
      <x:c r="DE323" s="4" t="str">
        <x:f>'Calculations'!DC323</x:f>
      </x:c>
      <x:c r="DF323" s="4" t="str">
        <x:f>IF('Calculations'!DE323="","",COUNTIFS('Calculations'!$BN$13:$BN$512,1,'Calculations'!$BU$13:$BU$512,'Calculations'!DE323))</x:f>
      </x:c>
      <x:c r="DG323" s="4" t="str">
        <x:f>IF('Calculations'!DE323="","",COUNTIFS('Calculations'!$BN$13:$BN$512,1,'Calculations'!$BU$13:$BU$512,'Calculations'!DE323,'Calculations'!$BT$13:$BT$512,1))</x:f>
      </x:c>
      <x:c r="DH323" s="4" t="str">
        <x:f>IF('Calculations'!DE323="","",'Calculations'!DF323-'Calculations'!DG323)</x:f>
      </x:c>
      <x:c r="DI323" s="4" t="str">
        <x:f>IF(OR('Calculations'!DE323="",'Calculations'!DF323=0),"",'Calculations'!DG323/'Calculations'!DF323)</x:f>
      </x:c>
      <x:c r="DJ323" s="4" t="str">
        <x:f>IF('Calculations'!DE323="","",COUNTIFS('Calculations'!$BN$13:$BN$512,1,'Calculations'!$BU$13:$BU$512,'Calculations'!DE323,'Calculations'!$BT$13:$BT$512,1,'Calculations'!$EE$13:$EE$512,"High"))</x:f>
      </x:c>
      <x:c r="DK323" s="4" t="str">
        <x:f>IF('Calculations'!DE323="","",COUNTIFS('Calculations'!$BN$13:$BN$512,1,'Calculations'!$BU$13:$BU$512,'Calculations'!DE323,'Calculations'!$BT$13:$BT$512,1,'Calculations'!$EE$13:$EE$512,"Strong"))</x:f>
      </x:c>
      <x:c r="DL323" s="4" t="str">
        <x:f>IF('Calculations'!DE323="","",COUNTIFS('Calculations'!$BN$13:$BN$512,1,'Calculations'!$BU$13:$BU$512,'Calculations'!DE323,'Calculations'!$BT$13:$BT$512,1,'Calculations'!$EE$13:$EE$512,"Solid"))</x:f>
      </x:c>
      <x:c r="DM323" s="4" t="str">
        <x:f>IF('Calculations'!DE323="","",COUNTIFS('Calculations'!$BN$13:$BN$512,1,'Calculations'!$BU$13:$BU$512,'Calculations'!DE323,'Calculations'!$BT$13:$BT$512,1,'Calculations'!$EE$13:$EE$512,"Low"))</x:f>
      </x:c>
      <x:c r="DN323" s="4" t="str">
        <x:f>IF('Calculations'!DE323="","",COUNTIFS('Calculations'!$BN$13:$BN$512,1,'Calculations'!$BU$13:$BU$512,'Calculations'!DE323,'Calculations'!$EP$13:$EP$512,1))</x:f>
      </x:c>
      <x:c r="DO323" s="4" t="str">
        <x:f>IF(OR('Calculations'!DE323="",'Calculations'!DG323=0),"",('Calculations'!DJ323+'Calculations'!DK323)/'Calculations'!DG323)</x:f>
      </x:c>
      <x:c r="DP323" s="4" t="n">
        <x:f>IF(AND('Calculations'!DE323&lt;&gt;"",'Calculations'!DF323&gt;0),COUNTIF('Calculations'!$DF$12:DF323,"&gt;0"),0)</x:f>
        <x:v>0</x:v>
      </x:c>
      <x:c r="DQ323" s="4" t="str">
        <x:f>IF(312&gt;MAX('Calculations'!$HH$13:$HH$512),"",INDEX('Calculations'!$HF$13:$HF$512,MATCH(312,'Calculations'!$HH$13:$HH$512,0)))</x:f>
      </x:c>
      <x:c r="DR323" s="4" t="str">
        <x:f>IF(312&gt;MAX('Calculations'!$IK$13:$IK$512),"",INDEX('Calculations'!$HE$13:$HE$512,MATCH(312,'Calculations'!$IK$13:$IK$512,0)))</x:f>
      </x:c>
      <x:c r="DS323" s="4"/>
      <x:c r="DT323" s="4"/>
      <x:c r="DU323" s="4"/>
      <x:c r="DV323" s="4"/>
      <x:c r="DW323" s="4"/>
      <x:c r="DX323" s="4"/>
      <x:c r="DY323" s="4"/>
      <x:c r="DZ323" s="4"/>
      <x:c r="EA323" s="4"/>
      <x:c r="EB323" s="4"/>
      <x:c r="EC323" s="4"/>
      <x:c r="ED323" s="4"/>
      <x:c r="EE323" s="4" t="str">
        <x:f>IF('Calculations'!BT323=0,"Not Rated",IF(OR('Calculations'!BO323&gt;=4,'Calculations'!BP323&gt;=4),"Low",IF('Calculations'!BO323+'Calculations'!BP323&lt;=3,"High",IF('Calculations'!BO323+'Calculations'!BP323&lt;=4,"Strong","Solid"))))</x:f>
        <x:v>Not Rated</x:v>
      </x:c>
      <x:c r="EF323" s="4"/>
      <x:c r="EG323" s="4"/>
      <x:c r="EH323" s="4"/>
      <x:c r="EI323" s="4"/>
      <x:c r="EJ323" s="4"/>
      <x:c r="EK323" s="4"/>
      <x:c r="EL323" s="4"/>
      <x:c r="EM323" s="4" t="str">
        <x:f>IF(311&gt;'Calculations'!$JB$2000,"",INDEX('Calculations'!$JA$12:$JA$2000,MATCH(311,'Calculations'!$JB$12:$JB$2000,0)))</x:f>
      </x:c>
      <x:c r="EN323" s="4" t="n">
        <x:f>IF(OR('Calculations'!EM323="",'Calculations'!$AG$8&gt;0,AND('Calculations'!$EF$2&lt;&gt;"All",'Calculations'!HE323='Calculations'!$EF$2),AND('Calculations'!$EF$3&lt;&gt;"All",'Calculations'!HE323='Calculations'!$EF$3)),0,IF(OR('Dashboard'!$B$7="All",'Calculations'!HN323='Dashboard'!$B$7),IF('Calculations'!$EF$2="All",1,IF('Calculations'!HL323&gt;0,0,IF(COUNTIF('Calculations'!HO323:II323,"="&amp;SUBSTITUTE(SUBSTITUTE(SUBSTITUTE('Calculations'!$EF$2,"~","~~"),"*","~*"),"?","~?"))=0,0,IF('Calculations'!$EF$3="All",1,IF(COUNTIF('Calculations'!HO323:II323,"="&amp;SUBSTITUTE(SUBSTITUTE(SUBSTITUTE('Calculations'!$EF$3,"~","~~"),"*","~*"),"?","~?"))&gt;0,1,0))))),0))</x:f>
        <x:v>0</x:v>
      </x:c>
      <x:c r="EO323" s="4" t="str">
        <x:f>IF('Calculations'!IJ323="","",IF('Calculations'!IJ323="!UNRESOLVED","Unresolved hierarchy",IFERROR(INDEX('Calculations'!$HK$13:$HK$512,MATCH('Calculations'!IJ323,'Calculations'!$HE$13:$HE$512,0)),IFERROR(INDEX('Calculations'!$HJ$13:$HJ$512,MATCH('Calculations'!IJ323,'Calculations'!$HF$13:$HF$512,0)),'Calculations'!IJ323))))</x:f>
      </x:c>
      <x:c r="EP323" s="4" t="n">
        <x:f>IF(AND('Calculations'!EM323&lt;&gt;"",'Calculations'!HF323='Calculations'!IJ323),1,0)</x:f>
        <x:v>0</x:v>
      </x:c>
      <x:c r="EQ323" s="4"/>
      <x:c r="ER323" s="4"/>
      <x:c r="ES323" s="4"/>
      <x:c r="ET323" s="4"/>
      <x:c r="EU323" s="4"/>
      <x:c r="EV323" s="4"/>
      <x:c r="EW323" s="4"/>
      <x:c r="EX323" s="4"/>
      <x:c r="EY323" s="4"/>
      <x:c r="EZ323" s="4"/>
      <x:c r="FA323" s="4"/>
      <x:c r="FB323" s="4"/>
      <x:c r="FC323" s="4"/>
      <x:c r="FD323" s="4"/>
      <x:c r="FE323" s="4"/>
      <x:c r="FF323" s="4"/>
      <x:c r="FG323" s="4"/>
      <x:c r="FH323" s="4"/>
      <x:c r="FI323" s="4"/>
      <x:c r="FJ323" s="4"/>
      <x:c r="FK323" s="4"/>
      <x:c r="FL323" s="4"/>
      <x:c r="FM323" s="4"/>
      <x:c r="FN323" s="4"/>
      <x:c r="FO323" s="4"/>
      <x:c r="HE323" t="str">
        <x:f>IF('Calculations'!EM323="","",IF(IFERROR(IF(INDEX(INDIRECT("'WCM Calibration Final'!$A$1:$A$2000"),'Calculations'!$EM323)="","",TRIM(INDEX(INDIRECT("'WCM Calibration Final'!$A$1:$A$2000"),'Calculations'!$EM323)&amp;"")),"")&lt;&gt;"","G:"&amp;IFERROR(TEXT(1*INDEX(INDIRECT("'WCM Calibration Final'!$A$1:$A$2000"),'Calculations'!$EM323),"0"),UPPER(IFERROR(IF(INDEX(INDIRECT("'WCM Calibration Final'!$A$1:$A$2000"),'Calculations'!$EM323)="","",TRIM(INDEX(INDIRECT("'WCM Calibration Final'!$A$1:$A$2000"),'Calculations'!$EM323)&amp;"")),""))),IF(IFERROR(IF(INDEX(INDIRECT("'WCM Calibration Final'!$C$1:$C$2000"),'Calculations'!$EM323)="","",TRIM(INDEX(INDIRECT("'WCM Calibration Final'!$C$1:$C$2000"),'Calculations'!$EM323)&amp;"")),"")&lt;&gt;"","S:"&amp;UPPER(IFERROR(IF(INDEX(INDIRECT("'WCM Calibration Final'!$C$1:$C$2000"),'Calculations'!$EM323)="","",TRIM(INDEX(INDIRECT("'WCM Calibration Final'!$C$1:$C$2000"),'Calculations'!$EM323)&amp;"")),"")),"R:"&amp;'Calculations'!EM323)))</x:f>
      </x:c>
      <x:c r="HF323" t="str">
        <x:f>IF('Calculations'!EM323="","",IF(IFERROR(IF(INDEX(INDIRECT("'WCM Calibration Final'!$D$1:$D$2000"),'Calculations'!$EM323)="","",TRIM(INDEX(INDIRECT("'WCM Calibration Final'!$D$1:$D$2000"),'Calculations'!$EM323)&amp;"")),"")&lt;&gt;"","G:"&amp;IFERROR(TEXT(1*INDEX(INDIRECT("'WCM Calibration Final'!$D$1:$D$2000"),'Calculations'!$EM323),"0"),UPPER(IFERROR(IF(INDEX(INDIRECT("'WCM Calibration Final'!$D$1:$D$2000"),'Calculations'!$EM323)="","",TRIM(INDEX(INDIRECT("'WCM Calibration Final'!$D$1:$D$2000"),'Calculations'!$EM323)&amp;"")),""))),IF(IFERROR(IF(INDEX(INDIRECT("'WCM Calibration Final'!$E$1:$E$2000"),'Calculations'!$EM323)="","",TRIM(INDEX(INDIRECT("'WCM Calibration Final'!$E$1:$E$2000"),'Calculations'!$EM323)&amp;"")),"")="","",IF(COUNTIF('Calculations'!$HG$13:$HG$512,"="&amp;SUBSTITUTE(SUBSTITUTE(SUBSTITUTE(IFERROR(IF(INDEX(INDIRECT("'WCM Calibration Final'!$E$1:$E$2000"),'Calculations'!$EM323)="","",TRIM(INDEX(INDIRECT("'WCM Calibration Final'!$E$1:$E$2000"),'Calculations'!$EM323)&amp;"")),""),"~","~~"),"*","~*"),"?","~?"))=1,INDEX('Calculations'!$HE$13:$HE$512,MATCH(IFERROR(IF(INDEX(INDIRECT("'WCM Calibration Final'!$E$1:$E$2000"),'Calculations'!$EM323)="","",TRIM(INDEX(INDIRECT("'WCM Calibration Final'!$E$1:$E$2000"),'Calculations'!$EM323)&amp;"")),""),'Calculations'!$HG$13:$HG$512,0)),IF(COUNTIF('Calculations'!$HG$13:$HG$512,"="&amp;SUBSTITUTE(SUBSTITUTE(SUBSTITUTE(IFERROR(IF(INDEX(INDIRECT("'WCM Calibration Final'!$E$1:$E$2000"),'Calculations'!$EM323)="","",TRIM(INDEX(INDIRECT("'WCM Calibration Final'!$E$1:$E$2000"),'Calculations'!$EM323)&amp;"")),""),"~","~~"),"*","~*"),"?","~?"))&gt;1,"!AMBIG","X:"&amp;IFERROR(IF(INDEX(INDIRECT("'WCM Calibration Final'!$E$1:$E$2000"),'Calculations'!$EM323)="","",TRIM(INDEX(INDIRECT("'WCM Calibration Final'!$E$1:$E$2000"),'Calculations'!$EM323)&amp;"")),""))))))</x:f>
      </x:c>
      <x:c r="HG323" t="str">
        <x:f>IF('Calculations'!EM323="","",IFERROR(IF(INDEX(INDIRECT("'WCM Calibration Final'!$B$1:$B$2000"),'Calculations'!$EM323)="","",TRIM(INDEX(INDIRECT("'WCM Calibration Final'!$B$1:$B$2000"),'Calculations'!$EM323)&amp;"")),""))</x:f>
      </x:c>
      <x:c r="HH323" t="n">
        <x:f>IF(AND('Calculations'!JC323&gt;0,COUNTIF('Calculations'!$HF$12:HF323,"="&amp;SUBSTITUTE(SUBSTITUTE(SUBSTITUTE('Calculations'!HF323,"~","~~"),"*","~*"),"?","~?"))=1),MAX('Calculations'!$HH$12:HH322)+1,0)</x:f>
        <x:v>0</x:v>
      </x:c>
      <x:c r="HI323" t="n">
        <x:f>IF(AND('Calculations'!HN323&lt;&gt;"",COUNTIF('Calculations'!$HN$12:HN323,"="&amp;SUBSTITUTE(SUBSTITUTE(SUBSTITUTE('Calculations'!HN323,"~","~~"),"*","~*"),"?","~?"))=1),MAX('Calculations'!$HI$12:HI322)+1,0)</x:f>
        <x:v>0</x:v>
      </x:c>
      <x:c r="HJ323" t="str">
        <x:f>IF('Calculations'!HF323="","",IF(COUNTIF('Calculations'!$HE$13:$HE$512,"="&amp;SUBSTITUTE(SUBSTITUTE(SUBSTITUTE('Calculations'!HF323,"~","~~"),"*","~*"),"?","~?"))=1,INDEX('Calculations'!$HK$13:$HK$512,MATCH('Calculations'!HF323,'Calculations'!$HE$13:$HE$512,0)),IFERROR(IF(INDEX(INDIRECT("'WCM Calibration Final'!$E$1:$E$2000"),'Calculations'!$EM323)="","",TRIM(INDEX(INDIRECT("'WCM Calibration Final'!$E$1:$E$2000"),'Calculations'!$EM323)&amp;"")),"")&amp;" ["&amp;'Calculations'!HF323&amp;"]"))</x:f>
      </x:c>
      <x:c r="HK323" t="str">
        <x:f>IF('Calculations'!EM323="","",'Calculations'!HG323&amp;" ["&amp;'Calculations'!HE323&amp;"]")</x:f>
      </x:c>
      <x:c r="HL323" t="n">
        <x:f>IF('Calculations'!EM323="",0,IF(OR('Calculations'!II323&lt;&gt;"",COUNTIF('Calculations'!$HE$13:$HE$512,"="&amp;SUBSTITUTE(SUBSTITUTE(SUBSTITUTE('Calculations'!HE323,"~","~~"),"*","~*"),"?","~?"))&gt;1),1,0))</x:f>
        <x:v>0</x:v>
      </x:c>
      <x:c r="HM323" t="str">
        <x:f>IF('Calculations'!EM323="","",IF('Calculations'!HL323=1,"!UNRESOLVED",IF('Calculations'!IH323&lt;&gt;"",'Calculations'!IH323,IF('Calculations'!IG323&lt;&gt;"",'Calculations'!IG323,IF('Calculations'!IF323&lt;&gt;"",'Calculations'!IF323,IF('Calculations'!IE323&lt;&gt;"",'Calculations'!IE323,IF('Calculations'!ID323&lt;&gt;"",'Calculations'!ID323,IF('Calculations'!IC323&lt;&gt;"",'Calculations'!IC323,IF('Calculations'!IB323&lt;&gt;"",'Calculations'!IB323,IF('Calculations'!IA323&lt;&gt;"",'Calculations'!IA323,IF('Calculations'!HZ323&lt;&gt;"",'Calculations'!HZ323,IF('Calculations'!HY323&lt;&gt;"",'Calculations'!HY323,IF('Calculations'!HX323&lt;&gt;"",'Calculations'!HX323,IF('Calculations'!HW323&lt;&gt;"",'Calculations'!HW323,IF('Calculations'!HV323&lt;&gt;"",'Calculations'!HV323,IF('Calculations'!HU323&lt;&gt;"",'Calculations'!HU323,IF('Calculations'!HT323&lt;&gt;"",'Calculations'!HT323,IF('Calculations'!HS323&lt;&gt;"",'Calculations'!HS323,IF('Calculations'!HR323&lt;&gt;"",'Calculations'!HR323,IF('Calculations'!HQ323&lt;&gt;"",'Calculations'!HQ323,IF('Calculations'!HP323&lt;&gt;"",'Calculations'!HP323,IF('Calculations'!HO323&lt;&gt;"",'Calculations'!HO323,'Calculations'!HE323))))))))))))))))))))))</x:f>
      </x:c>
      <x:c r="HN323" t="str">
        <x:f>IF('Calculations'!EM323="","",IF(IFERROR(IF(INDEX(INDIRECT("'WCM Calibration Final'!$F$1:$F$2000"),'Calculations'!$EM323)="","",TRIM(INDEX(INDIRECT("'WCM Calibration Final'!$F$1:$F$2000"),'Calculations'!$EM323)&amp;"")),"")="","(Blank)",IFERROR(IF(INDEX(INDIRECT("'WCM Calibration Final'!$F$1:$F$2000"),'Calculations'!$EM323)="","",TRIM(INDEX(INDIRECT("'WCM Calibration Final'!$F$1:$F$2000"),'Calculations'!$EM323)&amp;"")),"")))</x:f>
      </x:c>
      <x:c r="HO323" t="str">
        <x:f>'Calculations'!HF323</x:f>
      </x:c>
      <x:c r="HP323" t="str">
        <x:f>IF('Calculations'!HO323="","",IF('Calculations'!HO323="!AMBIG","!AMBIG",IF(COUNTIF('Calculations'!$HE$13:$HE$512,"="&amp;SUBSTITUTE(SUBSTITUTE(SUBSTITUTE('Calculations'!HO323,"~","~~"),"*","~*"),"?","~?"))&gt;1,"!AMBIG",IFERROR(INDEX('Calculations'!$HF$13:$HF$512,MATCH('Calculations'!HO323,'Calculations'!$HE$13:$HE$512,0)),""))))</x:f>
      </x:c>
      <x:c r="HQ323" t="str">
        <x:f>IF('Calculations'!HP323="","",IF('Calculations'!HP323="!AMBIG","!AMBIG",IF(COUNTIF('Calculations'!$HE$13:$HE$512,"="&amp;SUBSTITUTE(SUBSTITUTE(SUBSTITUTE('Calculations'!HP323,"~","~~"),"*","~*"),"?","~?"))&gt;1,"!AMBIG",IFERROR(INDEX('Calculations'!$HF$13:$HF$512,MATCH('Calculations'!HP323,'Calculations'!$HE$13:$HE$512,0)),""))))</x:f>
      </x:c>
      <x:c r="HR323" t="str">
        <x:f>IF('Calculations'!HQ323="","",IF('Calculations'!HQ323="!AMBIG","!AMBIG",IF(COUNTIF('Calculations'!$HE$13:$HE$512,"="&amp;SUBSTITUTE(SUBSTITUTE(SUBSTITUTE('Calculations'!HQ323,"~","~~"),"*","~*"),"?","~?"))&gt;1,"!AMBIG",IFERROR(INDEX('Calculations'!$HF$13:$HF$512,MATCH('Calculations'!HQ323,'Calculations'!$HE$13:$HE$512,0)),""))))</x:f>
      </x:c>
      <x:c r="HS323" t="str">
        <x:f>IF('Calculations'!HR323="","",IF('Calculations'!HR323="!AMBIG","!AMBIG",IF(COUNTIF('Calculations'!$HE$13:$HE$512,"="&amp;SUBSTITUTE(SUBSTITUTE(SUBSTITUTE('Calculations'!HR323,"~","~~"),"*","~*"),"?","~?"))&gt;1,"!AMBIG",IFERROR(INDEX('Calculations'!$HF$13:$HF$512,MATCH('Calculations'!HR323,'Calculations'!$HE$13:$HE$512,0)),""))))</x:f>
      </x:c>
      <x:c r="HT323" t="str">
        <x:f>IF('Calculations'!HS323="","",IF('Calculations'!HS323="!AMBIG","!AMBIG",IF(COUNTIF('Calculations'!$HE$13:$HE$512,"="&amp;SUBSTITUTE(SUBSTITUTE(SUBSTITUTE('Calculations'!HS323,"~","~~"),"*","~*"),"?","~?"))&gt;1,"!AMBIG",IFERROR(INDEX('Calculations'!$HF$13:$HF$512,MATCH('Calculations'!HS323,'Calculations'!$HE$13:$HE$512,0)),""))))</x:f>
      </x:c>
      <x:c r="HU323" t="str">
        <x:f>IF('Calculations'!HT323="","",IF('Calculations'!HT323="!AMBIG","!AMBIG",IF(COUNTIF('Calculations'!$HE$13:$HE$512,"="&amp;SUBSTITUTE(SUBSTITUTE(SUBSTITUTE('Calculations'!HT323,"~","~~"),"*","~*"),"?","~?"))&gt;1,"!AMBIG",IFERROR(INDEX('Calculations'!$HF$13:$HF$512,MATCH('Calculations'!HT323,'Calculations'!$HE$13:$HE$512,0)),""))))</x:f>
      </x:c>
      <x:c r="HV323" t="str">
        <x:f>IF('Calculations'!HU323="","",IF('Calculations'!HU323="!AMBIG","!AMBIG",IF(COUNTIF('Calculations'!$HE$13:$HE$512,"="&amp;SUBSTITUTE(SUBSTITUTE(SUBSTITUTE('Calculations'!HU323,"~","~~"),"*","~*"),"?","~?"))&gt;1,"!AMBIG",IFERROR(INDEX('Calculations'!$HF$13:$HF$512,MATCH('Calculations'!HU323,'Calculations'!$HE$13:$HE$512,0)),""))))</x:f>
      </x:c>
      <x:c r="HW323" t="str">
        <x:f>IF('Calculations'!HV323="","",IF('Calculations'!HV323="!AMBIG","!AMBIG",IF(COUNTIF('Calculations'!$HE$13:$HE$512,"="&amp;SUBSTITUTE(SUBSTITUTE(SUBSTITUTE('Calculations'!HV323,"~","~~"),"*","~*"),"?","~?"))&gt;1,"!AMBIG",IFERROR(INDEX('Calculations'!$HF$13:$HF$512,MATCH('Calculations'!HV323,'Calculations'!$HE$13:$HE$512,0)),""))))</x:f>
      </x:c>
      <x:c r="HX323" t="str">
        <x:f>IF('Calculations'!HW323="","",IF('Calculations'!HW323="!AMBIG","!AMBIG",IF(COUNTIF('Calculations'!$HE$13:$HE$512,"="&amp;SUBSTITUTE(SUBSTITUTE(SUBSTITUTE('Calculations'!HW323,"~","~~"),"*","~*"),"?","~?"))&gt;1,"!AMBIG",IFERROR(INDEX('Calculations'!$HF$13:$HF$512,MATCH('Calculations'!HW323,'Calculations'!$HE$13:$HE$512,0)),""))))</x:f>
      </x:c>
      <x:c r="HY323" t="str">
        <x:f>IF('Calculations'!HX323="","",IF('Calculations'!HX323="!AMBIG","!AMBIG",IF(COUNTIF('Calculations'!$HE$13:$HE$512,"="&amp;SUBSTITUTE(SUBSTITUTE(SUBSTITUTE('Calculations'!HX323,"~","~~"),"*","~*"),"?","~?"))&gt;1,"!AMBIG",IFERROR(INDEX('Calculations'!$HF$13:$HF$512,MATCH('Calculations'!HX323,'Calculations'!$HE$13:$HE$512,0)),""))))</x:f>
      </x:c>
      <x:c r="HZ323" t="str">
        <x:f>IF('Calculations'!HY323="","",IF('Calculations'!HY323="!AMBIG","!AMBIG",IF(COUNTIF('Calculations'!$HE$13:$HE$512,"="&amp;SUBSTITUTE(SUBSTITUTE(SUBSTITUTE('Calculations'!HY323,"~","~~"),"*","~*"),"?","~?"))&gt;1,"!AMBIG",IFERROR(INDEX('Calculations'!$HF$13:$HF$512,MATCH('Calculations'!HY323,'Calculations'!$HE$13:$HE$512,0)),""))))</x:f>
      </x:c>
      <x:c r="IA323" t="str">
        <x:f>IF('Calculations'!HZ323="","",IF('Calculations'!HZ323="!AMBIG","!AMBIG",IF(COUNTIF('Calculations'!$HE$13:$HE$512,"="&amp;SUBSTITUTE(SUBSTITUTE(SUBSTITUTE('Calculations'!HZ323,"~","~~"),"*","~*"),"?","~?"))&gt;1,"!AMBIG",IFERROR(INDEX('Calculations'!$HF$13:$HF$512,MATCH('Calculations'!HZ323,'Calculations'!$HE$13:$HE$512,0)),""))))</x:f>
      </x:c>
      <x:c r="IB323" t="str">
        <x:f>IF('Calculations'!IA323="","",IF('Calculations'!IA323="!AMBIG","!AMBIG",IF(COUNTIF('Calculations'!$HE$13:$HE$512,"="&amp;SUBSTITUTE(SUBSTITUTE(SUBSTITUTE('Calculations'!IA323,"~","~~"),"*","~*"),"?","~?"))&gt;1,"!AMBIG",IFERROR(INDEX('Calculations'!$HF$13:$HF$512,MATCH('Calculations'!IA323,'Calculations'!$HE$13:$HE$512,0)),""))))</x:f>
      </x:c>
      <x:c r="IC323" t="str">
        <x:f>IF('Calculations'!IB323="","",IF('Calculations'!IB323="!AMBIG","!AMBIG",IF(COUNTIF('Calculations'!$HE$13:$HE$512,"="&amp;SUBSTITUTE(SUBSTITUTE(SUBSTITUTE('Calculations'!IB323,"~","~~"),"*","~*"),"?","~?"))&gt;1,"!AMBIG",IFERROR(INDEX('Calculations'!$HF$13:$HF$512,MATCH('Calculations'!IB323,'Calculations'!$HE$13:$HE$512,0)),""))))</x:f>
      </x:c>
      <x:c r="ID323" t="str">
        <x:f>IF('Calculations'!IC323="","",IF('Calculations'!IC323="!AMBIG","!AMBIG",IF(COUNTIF('Calculations'!$HE$13:$HE$512,"="&amp;SUBSTITUTE(SUBSTITUTE(SUBSTITUTE('Calculations'!IC323,"~","~~"),"*","~*"),"?","~?"))&gt;1,"!AMBIG",IFERROR(INDEX('Calculations'!$HF$13:$HF$512,MATCH('Calculations'!IC323,'Calculations'!$HE$13:$HE$512,0)),""))))</x:f>
      </x:c>
      <x:c r="IE323" t="str">
        <x:f>IF('Calculations'!ID323="","",IF('Calculations'!ID323="!AMBIG","!AMBIG",IF(COUNTIF('Calculations'!$HE$13:$HE$512,"="&amp;SUBSTITUTE(SUBSTITUTE(SUBSTITUTE('Calculations'!ID323,"~","~~"),"*","~*"),"?","~?"))&gt;1,"!AMBIG",IFERROR(INDEX('Calculations'!$HF$13:$HF$512,MATCH('Calculations'!ID323,'Calculations'!$HE$13:$HE$512,0)),""))))</x:f>
      </x:c>
      <x:c r="IF323" t="str">
        <x:f>IF('Calculations'!IE323="","",IF('Calculations'!IE323="!AMBIG","!AMBIG",IF(COUNTIF('Calculations'!$HE$13:$HE$512,"="&amp;SUBSTITUTE(SUBSTITUTE(SUBSTITUTE('Calculations'!IE323,"~","~~"),"*","~*"),"?","~?"))&gt;1,"!AMBIG",IFERROR(INDEX('Calculations'!$HF$13:$HF$512,MATCH('Calculations'!IE323,'Calculations'!$HE$13:$HE$512,0)),""))))</x:f>
      </x:c>
      <x:c r="IG323" t="str">
        <x:f>IF('Calculations'!IF323="","",IF('Calculations'!IF323="!AMBIG","!AMBIG",IF(COUNTIF('Calculations'!$HE$13:$HE$512,"="&amp;SUBSTITUTE(SUBSTITUTE(SUBSTITUTE('Calculations'!IF323,"~","~~"),"*","~*"),"?","~?"))&gt;1,"!AMBIG",IFERROR(INDEX('Calculations'!$HF$13:$HF$512,MATCH('Calculations'!IF323,'Calculations'!$HE$13:$HE$512,0)),""))))</x:f>
      </x:c>
      <x:c r="IH323" t="str">
        <x:f>IF('Calculations'!IG323="","",IF('Calculations'!IG323="!AMBIG","!AMBIG",IF(COUNTIF('Calculations'!$HE$13:$HE$512,"="&amp;SUBSTITUTE(SUBSTITUTE(SUBSTITUTE('Calculations'!IG323,"~","~~"),"*","~*"),"?","~?"))&gt;1,"!AMBIG",IFERROR(INDEX('Calculations'!$HF$13:$HF$512,MATCH('Calculations'!IG323,'Calculations'!$HE$13:$HE$512,0)),""))))</x:f>
      </x:c>
      <x:c r="II323" t="str">
        <x:f>IF('Calculations'!IH323="","",IF('Calculations'!IH323="!AMBIG","!AMBIG",IF(COUNTIF('Calculations'!$HE$13:$HE$512,"="&amp;SUBSTITUTE(SUBSTITUTE(SUBSTITUTE('Calculations'!IH323,"~","~~"),"*","~*"),"?","~?"))&gt;1,"!AMBIG",IFERROR(INDEX('Calculations'!$HF$13:$HF$512,MATCH('Calculations'!IH323,'Calculations'!$HE$13:$HE$512,0)),""))))</x:f>
      </x:c>
      <x:c r="IJ323" t="str">
        <x:f>IF('Calculations'!EM323="","",IF('Calculations'!$EF$2="All",'Calculations'!HM323,IF('Calculations'!HL323=1,"",IFERROR(IF(MATCH('Calculations'!$EF$2,'Calculations'!HO323:II323,0)=1,'Calculations'!HE323,INDEX('Calculations'!HO323:II323,1,MATCH('Calculations'!$EF$2,'Calculations'!HO323:II323,0)-1)),""))))</x:f>
      </x:c>
      <x:c r="IK323" t="n">
        <x:f>IF(AND('Calculations'!EM323&lt;&gt;"",'Calculations'!$EF$2&lt;&gt;"All",'Calculations'!HF323='Calculations'!$EF$2,'Calculations'!HL323=0,'Calculations'!JD323&gt;0),MAX('Calculations'!$IK$12:IK322)+1,0)</x:f>
        <x:v>0</x:v>
      </x:c>
      <x:c r="JA323" t="n">
        <x:f>IF(OR(IFERROR(INDIRECT("'WCM Calibration Final'!$A$323")&lt;&gt;"",FALSE),IFERROR(INDIRECT("'WCM Calibration Final'!$B$323")&lt;&gt;"",FALSE),IFERROR(INDIRECT("'WCM Calibration Final'!$C$323")&lt;&gt;"",FALSE)),323,0)</x:f>
        <x:v>0</x:v>
      </x:c>
      <x:c r="JB323" t="n">
        <x:f>'Calculations'!JB322+IF('Calculations'!JA323&gt;0,1,0)</x:f>
        <x:v>0</x:v>
      </x:c>
      <x:c r="JC323" t="n">
        <x:f>IF(OR('Calculations'!HF323="",'Calculations'!HF323="!AMBIG"),0,IF('Dashboard'!$B$7="All",1,COUNTIFS('Calculations'!$HO$13:$HO$512,"="&amp;SUBSTITUTE(SUBSTITUTE(SUBSTITUTE('Calculations'!HF323,"~","~~"),"*","~*"),"?","~?"),'Calculations'!$HN$13:$HN$512,"="&amp;SUBSTITUTE(SUBSTITUTE(SUBSTITUTE('Dashboard'!$B$7,"~","~~"),"*","~*"),"?","~?"))+COUNTIFS('Calculations'!$HP$13:$HP$512,"="&amp;SUBSTITUTE(SUBSTITUTE(SUBSTITUTE('Calculations'!HF323,"~","~~"),"*","~*"),"?","~?"),'Calculations'!$HN$13:$HN$512,"="&amp;SUBSTITUTE(SUBSTITUTE(SUBSTITUTE('Dashboard'!$B$7,"~","~~"),"*","~*"),"?","~?"))+COUNTIFS('Calculations'!$HQ$13:$HQ$512,"="&amp;SUBSTITUTE(SUBSTITUTE(SUBSTITUTE('Calculations'!HF323,"~","~~"),"*","~*"),"?","~?"),'Calculations'!$HN$13:$HN$512,"="&amp;SUBSTITUTE(SUBSTITUTE(SUBSTITUTE('Dashboard'!$B$7,"~","~~"),"*","~*"),"?","~?"))+COUNTIFS('Calculations'!$HR$13:$HR$512,"="&amp;SUBSTITUTE(SUBSTITUTE(SUBSTITUTE('Calculations'!HF323,"~","~~"),"*","~*"),"?","~?"),'Calculations'!$HN$13:$HN$512,"="&amp;SUBSTITUTE(SUBSTITUTE(SUBSTITUTE('Dashboard'!$B$7,"~","~~"),"*","~*"),"?","~?"))+COUNTIFS('Calculations'!$HS$13:$HS$512,"="&amp;SUBSTITUTE(SUBSTITUTE(SUBSTITUTE('Calculations'!HF323,"~","~~"),"*","~*"),"?","~?"),'Calculations'!$HN$13:$HN$512,"="&amp;SUBSTITUTE(SUBSTITUTE(SUBSTITUTE('Dashboard'!$B$7,"~","~~"),"*","~*"),"?","~?"))+COUNTIFS('Calculations'!$HT$13:$HT$512,"="&amp;SUBSTITUTE(SUBSTITUTE(SUBSTITUTE('Calculations'!HF323,"~","~~"),"*","~*"),"?","~?"),'Calculations'!$HN$13:$HN$512,"="&amp;SUBSTITUTE(SUBSTITUTE(SUBSTITUTE('Dashboard'!$B$7,"~","~~"),"*","~*"),"?","~?"))+COUNTIFS('Calculations'!$HU$13:$HU$512,"="&amp;SUBSTITUTE(SUBSTITUTE(SUBSTITUTE('Calculations'!HF323,"~","~~"),"*","~*"),"?","~?"),'Calculations'!$HN$13:$HN$512,"="&amp;SUBSTITUTE(SUBSTITUTE(SUBSTITUTE('Dashboard'!$B$7,"~","~~"),"*","~*"),"?","~?"))+COUNTIFS('Calculations'!$HV$13:$HV$512,"="&amp;SUBSTITUTE(SUBSTITUTE(SUBSTITUTE('Calculations'!HF323,"~","~~"),"*","~*"),"?","~?"),'Calculations'!$HN$13:$HN$512,"="&amp;SUBSTITUTE(SUBSTITUTE(SUBSTITUTE('Dashboard'!$B$7,"~","~~"),"*","~*"),"?","~?"))+COUNTIFS('Calculations'!$HW$13:$HW$512,"="&amp;SUBSTITUTE(SUBSTITUTE(SUBSTITUTE('Calculations'!HF323,"~","~~"),"*","~*"),"?","~?"),'Calculations'!$HN$13:$HN$512,"="&amp;SUBSTITUTE(SUBSTITUTE(SUBSTITUTE('Dashboard'!$B$7,"~","~~"),"*","~*"),"?","~?"))+COUNTIFS('Calculations'!$HX$13:$HX$512,"="&amp;SUBSTITUTE(SUBSTITUTE(SUBSTITUTE('Calculations'!HF323,"~","~~"),"*","~*"),"?","~?"),'Calculations'!$HN$13:$HN$512,"="&amp;SUBSTITUTE(SUBSTITUTE(SUBSTITUTE('Dashboard'!$B$7,"~","~~"),"*","~*"),"?","~?"))+COUNTIFS('Calculations'!$HY$13:$HY$512,"="&amp;SUBSTITUTE(SUBSTITUTE(SUBSTITUTE('Calculations'!HF323,"~","~~"),"*","~*"),"?","~?"),'Calculations'!$HN$13:$HN$512,"="&amp;SUBSTITUTE(SUBSTITUTE(SUBSTITUTE('Dashboard'!$B$7,"~","~~"),"*","~*"),"?","~?"))+COUNTIFS('Calculations'!$HZ$13:$HZ$512,"="&amp;SUBSTITUTE(SUBSTITUTE(SUBSTITUTE('Calculations'!HF323,"~","~~"),"*","~*"),"?","~?"),'Calculations'!$HN$13:$HN$512,"="&amp;SUBSTITUTE(SUBSTITUTE(SUBSTITUTE('Dashboard'!$B$7,"~","~~"),"*","~*"),"?","~?"))+COUNTIFS('Calculations'!$IA$13:$IA$512,"="&amp;SUBSTITUTE(SUBSTITUTE(SUBSTITUTE('Calculations'!HF323,"~","~~"),"*","~*"),"?","~?"),'Calculations'!$HN$13:$HN$512,"="&amp;SUBSTITUTE(SUBSTITUTE(SUBSTITUTE('Dashboard'!$B$7,"~","~~"),"*","~*"),"?","~?"))+COUNTIFS('Calculations'!$IB$13:$IB$512,"="&amp;SUBSTITUTE(SUBSTITUTE(SUBSTITUTE('Calculations'!HF323,"~","~~"),"*","~*"),"?","~?"),'Calculations'!$HN$13:$HN$512,"="&amp;SUBSTITUTE(SUBSTITUTE(SUBSTITUTE('Dashboard'!$B$7,"~","~~"),"*","~*"),"?","~?"))+COUNTIFS('Calculations'!$IC$13:$IC$512,"="&amp;SUBSTITUTE(SUBSTITUTE(SUBSTITUTE('Calculations'!HF323,"~","~~"),"*","~*"),"?","~?"),'Calculations'!$HN$13:$HN$512,"="&amp;SUBSTITUTE(SUBSTITUTE(SUBSTITUTE('Dashboard'!$B$7,"~","~~"),"*","~*"),"?","~?"))+COUNTIFS('Calculations'!$ID$13:$ID$512,"="&amp;SUBSTITUTE(SUBSTITUTE(SUBSTITUTE('Calculations'!HF323,"~","~~"),"*","~*"),"?","~?"),'Calculations'!$HN$13:$HN$512,"="&amp;SUBSTITUTE(SUBSTITUTE(SUBSTITUTE('Dashboard'!$B$7,"~","~~"),"*","~*"),"?","~?"))+COUNTIFS('Calculations'!$IE$13:$IE$512,"="&amp;SUBSTITUTE(SUBSTITUTE(SUBSTITUTE('Calculations'!HF323,"~","~~"),"*","~*"),"?","~?"),'Calculations'!$HN$13:$HN$512,"="&amp;SUBSTITUTE(SUBSTITUTE(SUBSTITUTE('Dashboard'!$B$7,"~","~~"),"*","~*"),"?","~?"))+COUNTIFS('Calculations'!$IF$13:$IF$512,"="&amp;SUBSTITUTE(SUBSTITUTE(SUBSTITUTE('Calculations'!HF323,"~","~~"),"*","~*"),"?","~?"),'Calculations'!$HN$13:$HN$512,"="&amp;SUBSTITUTE(SUBSTITUTE(SUBSTITUTE('Dashboard'!$B$7,"~","~~"),"*","~*"),"?","~?"))+COUNTIFS('Calculations'!$IG$13:$IG$512,"="&amp;SUBSTITUTE(SUBSTITUTE(SUBSTITUTE('Calculations'!HF323,"~","~~"),"*","~*"),"?","~?"),'Calculations'!$HN$13:$HN$512,"="&amp;SUBSTITUTE(SUBSTITUTE(SUBSTITUTE('Dashboard'!$B$7,"~","~~"),"*","~*"),"?","~?"))+COUNTIFS('Calculations'!$IH$13:$IH$512,"="&amp;SUBSTITUTE(SUBSTITUTE(SUBSTITUTE('Calculations'!HF323,"~","~~"),"*","~*"),"?","~?"),'Calculations'!$HN$13:$HN$512,"="&amp;SUBSTITUTE(SUBSTITUTE(SUBSTITUTE('Dashboard'!$B$7,"~","~~"),"*","~*"),"?","~?"))))</x:f>
        <x:v>0</x:v>
      </x:c>
      <x:c r="JD323" t="n">
        <x:f>IF('Calculations'!EM323="",0,IF('Dashboard'!$B$7="All",1,IF('Calculations'!HN323='Dashboard'!$B$7,1,0)+IFERROR(INDEX('Calculations'!$JC$13:$JC$512,MATCH('Calculations'!HE323,'Calculations'!$HF$13:$HF$512,0)),0)))</x:f>
        <x:v>0</x:v>
      </x:c>
      <x:c r="JE323" t="n">
        <x:f>IF(AND('Calculations'!EM323&lt;&gt;"",'Calculations'!$JJ$2&lt;&gt;"All",'Calculations'!$JJ$2&lt;&gt;"",'Calculations'!HF323='Calculations'!$JJ$2,'Calculations'!HL323=0,'Calculations'!JD323&gt;0),MAX('Calculations'!$JE$12:JE322)+1,0)</x:f>
        <x:v>0</x:v>
      </x:c>
      <x:c r="JF323" t="str">
        <x:f>IF('Calculations'!EM323="","",IFERROR(IF(INDEX(INDIRECT("'WCM Calibration Final'!$G$1:$G$2000"),'Calculations'!$EM323)="","",TRIM(INDEX(INDIRECT("'WCM Calibration Final'!$G$1:$G$2000"),'Calculations'!$EM323)&amp;"")),""))</x:f>
      </x:c>
      <x:c r="JQ323" t="n">
        <x:f>IF(OR('Calculations'!BM323=0,NOT('Calculations'!$AG$2),'Calculations'!$AG$8&gt;0),0,IF(OR('Dashboard'!$B$7="All",'Calculations'!HN323='Dashboard'!$B$7),IF('Calculations'!$JJ$2="All",1,IF(AND('Calculations'!HF323='Calculations'!$JJ$2,'Calculations'!HL323=0),1,0)),0))</x:f>
        <x:v>0</x:v>
      </x:c>
    </x:row>
    <x:row r="324">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t="n">
        <x:f>IF('Calculations'!$EM324="",0,IF(OR(IFERROR(INDEX(INDIRECT("'WCM Calibration Final'!$A$1:$A$2000"),'Calculations'!$EM324)&lt;&gt;"",FALSE),IFERROR(INDEX(INDIRECT("'WCM Calibration Final'!$B$1:$B$2000"),'Calculations'!$EM324)&lt;&gt;"",FALSE),IFERROR(INDEX(INDIRECT("'WCM Calibration Final'!$C$1:$C$2000"),'Calculations'!$EM324)&lt;&gt;"",FALSE)),1,0))</x:f>
        <x:v>0</x:v>
      </x:c>
      <x:c r="BN324" s="4" t="n">
        <x:f>IF(AND('Calculations'!BM324=1,'Calculations'!$AG$2,'Calculations'!$EN324=1),1,0)</x:f>
        <x:v>0</x:v>
      </x:c>
      <x:c r="BO324" s="4" t="str">
        <x:f>IF('Calculations'!BM324=0,"",IFERROR(IF(AND(VALUE(INDEX(INDIRECT("'WCM Calibration Final'!$K$1:$K$2000"),'Calculations'!$EM324))&gt;=1,VALUE(INDEX(INDIRECT("'WCM Calibration Final'!$K$1:$K$2000"),'Calculations'!$EM324))&lt;=4,MOD(VALUE(INDEX(INDIRECT("'WCM Calibration Final'!$K$1:$K$2000"),'Calculations'!$EM324)),1)=0),VALUE(INDEX(INDIRECT("'WCM Calibration Final'!$K$1:$K$2000"),'Calculations'!$EM324)),""),""))</x:f>
      </x:c>
      <x:c r="BP324" s="4" t="str">
        <x:f>IF('Calculations'!BM324=0,"",IFERROR(IF(AND(VALUE(INDEX(INDIRECT("'WCM Calibration Final'!$L$1:$L$2000"),'Calculations'!$EM324))&gt;=1,VALUE(INDEX(INDIRECT("'WCM Calibration Final'!$L$1:$L$2000"),'Calculations'!$EM324))&lt;=4,MOD(VALUE(INDEX(INDIRECT("'WCM Calibration Final'!$L$1:$L$2000"),'Calculations'!$EM324)),1)=0),VALUE(INDEX(INDIRECT("'WCM Calibration Final'!$L$1:$L$2000"),'Calculations'!$EM324)),""),""))</x:f>
      </x:c>
      <x:c r="BQ324" s="4"/>
      <x:c r="BR324" s="4"/>
      <x:c r="BS324" s="4"/>
      <x:c r="BT324" s="4" t="n">
        <x:f>IF(AND('Calculations'!BM324=1,ISNUMBER('Calculations'!BO324),ISNUMBER('Calculations'!BP324)),1,0)</x:f>
        <x:v>0</x:v>
      </x:c>
      <x:c r="BU324" s="4" t="str">
        <x:f>IF('Calculations'!BM324=0,"",'Calculations'!$EO324)</x:f>
      </x:c>
      <x:c r="BV324" s="4" t="str">
        <x:f>IF('Calculations'!BM324=0,"",IFERROR(IF(OR(INDEX(INDIRECT("'WCM Calibration Final'!$H$1:$H$2000"),'Calculations'!$EM324)="MANAGING DIRECTOR",INDEX(INDIRECT("'WCM Calibration Final'!$H$1:$H$2000"),'Calculations'!$EM324)="DIRECTOR",INDEX(INDIRECT("'WCM Calibration Final'!$H$1:$H$2000"),'Calculations'!$EM324)="SENIOR VICE PRESIDENT",INDEX(INDIRECT("'WCM Calibration Final'!$H$1:$H$2000"),'Calculations'!$EM324)="VICE PRESIDENT",INDEX(INDIRECT("'WCM Calibration Final'!$H$1:$H$2000"),'Calculations'!$EM324)="ASSISTANT VICE PRESIDENT",INDEX(INDIRECT("'WCM Calibration Final'!$H$1:$H$2000"),'Calculations'!$EM324)="OFFICER"),UPPER(INDEX(INDIRECT("'WCM Calibration Final'!$H$1:$H$2000"),'Calculations'!$EM324)),"Other"),"Other"))</x:f>
      </x:c>
      <x:c r="BW324" s="4"/>
      <x:c r="BX324" s="4"/>
      <x:c r="BY324" s="4" t="n">
        <x:f>IF(AND('Calculations'!BM324=1,'Calculations'!BU324&lt;&gt;"",COUNTIF('Calculations'!$BU$12:BU324,'Calculations'!BU324)=1),MAX('Calculations'!$BY$11:BY323)+1,0)</x:f>
        <x:v>0</x:v>
      </x:c>
      <x:c r="BZ324" s="4" t="str">
        <x:f>IF('Dashboard'!$E$67="What",'Calculations'!BO324,'Calculations'!BP324)</x:f>
      </x:c>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t="str">
        <x:f>IF(313&gt;MAX('Calculations'!$HI$13:$HI$512),"",INDEX('Calculations'!$HN$13:$HN$512,MATCH(313,'Calculations'!$HI$13:$HI$512,0)))</x:f>
      </x:c>
      <x:c r="DB324" s="4" t="str">
        <x:f>IF(313&gt;MAX('Calculations'!$HH$13:$HH$512),"",INDEX('Calculations'!$HJ$13:$HJ$512,MATCH(313,'Calculations'!$HH$13:$HH$512,0)))</x:f>
      </x:c>
      <x:c r="DC324" s="4" t="str">
        <x:f>IF(ROW()-11&gt;MAX('Calculations'!$BY$13:$BY$512),"",INDEX('Calculations'!$BU$13:$BU$512,MATCH(ROW()-11,'Calculations'!$BY$13:$BY$512,0)))</x:f>
      </x:c>
      <x:c r="DD324" s="4" t="str">
        <x:f>IF(313&gt;MAX('Calculations'!$IK$13:$IK$512),"",INDEX('Calculations'!$HK$13:$HK$512,MATCH(313,'Calculations'!$IK$13:$IK$512,0)))</x:f>
      </x:c>
      <x:c r="DE324" s="4" t="str">
        <x:f>'Calculations'!DC324</x:f>
      </x:c>
      <x:c r="DF324" s="4" t="str">
        <x:f>IF('Calculations'!DE324="","",COUNTIFS('Calculations'!$BN$13:$BN$512,1,'Calculations'!$BU$13:$BU$512,'Calculations'!DE324))</x:f>
      </x:c>
      <x:c r="DG324" s="4" t="str">
        <x:f>IF('Calculations'!DE324="","",COUNTIFS('Calculations'!$BN$13:$BN$512,1,'Calculations'!$BU$13:$BU$512,'Calculations'!DE324,'Calculations'!$BT$13:$BT$512,1))</x:f>
      </x:c>
      <x:c r="DH324" s="4" t="str">
        <x:f>IF('Calculations'!DE324="","",'Calculations'!DF324-'Calculations'!DG324)</x:f>
      </x:c>
      <x:c r="DI324" s="4" t="str">
        <x:f>IF(OR('Calculations'!DE324="",'Calculations'!DF324=0),"",'Calculations'!DG324/'Calculations'!DF324)</x:f>
      </x:c>
      <x:c r="DJ324" s="4" t="str">
        <x:f>IF('Calculations'!DE324="","",COUNTIFS('Calculations'!$BN$13:$BN$512,1,'Calculations'!$BU$13:$BU$512,'Calculations'!DE324,'Calculations'!$BT$13:$BT$512,1,'Calculations'!$EE$13:$EE$512,"High"))</x:f>
      </x:c>
      <x:c r="DK324" s="4" t="str">
        <x:f>IF('Calculations'!DE324="","",COUNTIFS('Calculations'!$BN$13:$BN$512,1,'Calculations'!$BU$13:$BU$512,'Calculations'!DE324,'Calculations'!$BT$13:$BT$512,1,'Calculations'!$EE$13:$EE$512,"Strong"))</x:f>
      </x:c>
      <x:c r="DL324" s="4" t="str">
        <x:f>IF('Calculations'!DE324="","",COUNTIFS('Calculations'!$BN$13:$BN$512,1,'Calculations'!$BU$13:$BU$512,'Calculations'!DE324,'Calculations'!$BT$13:$BT$512,1,'Calculations'!$EE$13:$EE$512,"Solid"))</x:f>
      </x:c>
      <x:c r="DM324" s="4" t="str">
        <x:f>IF('Calculations'!DE324="","",COUNTIFS('Calculations'!$BN$13:$BN$512,1,'Calculations'!$BU$13:$BU$512,'Calculations'!DE324,'Calculations'!$BT$13:$BT$512,1,'Calculations'!$EE$13:$EE$512,"Low"))</x:f>
      </x:c>
      <x:c r="DN324" s="4" t="str">
        <x:f>IF('Calculations'!DE324="","",COUNTIFS('Calculations'!$BN$13:$BN$512,1,'Calculations'!$BU$13:$BU$512,'Calculations'!DE324,'Calculations'!$EP$13:$EP$512,1))</x:f>
      </x:c>
      <x:c r="DO324" s="4" t="str">
        <x:f>IF(OR('Calculations'!DE324="",'Calculations'!DG324=0),"",('Calculations'!DJ324+'Calculations'!DK324)/'Calculations'!DG324)</x:f>
      </x:c>
      <x:c r="DP324" s="4" t="n">
        <x:f>IF(AND('Calculations'!DE324&lt;&gt;"",'Calculations'!DF324&gt;0),COUNTIF('Calculations'!$DF$12:DF324,"&gt;0"),0)</x:f>
        <x:v>0</x:v>
      </x:c>
      <x:c r="DQ324" s="4" t="str">
        <x:f>IF(313&gt;MAX('Calculations'!$HH$13:$HH$512),"",INDEX('Calculations'!$HF$13:$HF$512,MATCH(313,'Calculations'!$HH$13:$HH$512,0)))</x:f>
      </x:c>
      <x:c r="DR324" s="4" t="str">
        <x:f>IF(313&gt;MAX('Calculations'!$IK$13:$IK$512),"",INDEX('Calculations'!$HE$13:$HE$512,MATCH(313,'Calculations'!$IK$13:$IK$512,0)))</x:f>
      </x:c>
      <x:c r="DS324" s="4"/>
      <x:c r="DT324" s="4"/>
      <x:c r="DU324" s="4"/>
      <x:c r="DV324" s="4"/>
      <x:c r="DW324" s="4"/>
      <x:c r="DX324" s="4"/>
      <x:c r="DY324" s="4"/>
      <x:c r="DZ324" s="4"/>
      <x:c r="EA324" s="4"/>
      <x:c r="EB324" s="4"/>
      <x:c r="EC324" s="4"/>
      <x:c r="ED324" s="4"/>
      <x:c r="EE324" s="4" t="str">
        <x:f>IF('Calculations'!BT324=0,"Not Rated",IF(OR('Calculations'!BO324&gt;=4,'Calculations'!BP324&gt;=4),"Low",IF('Calculations'!BO324+'Calculations'!BP324&lt;=3,"High",IF('Calculations'!BO324+'Calculations'!BP324&lt;=4,"Strong","Solid"))))</x:f>
        <x:v>Not Rated</x:v>
      </x:c>
      <x:c r="EF324" s="4"/>
      <x:c r="EG324" s="4"/>
      <x:c r="EH324" s="4"/>
      <x:c r="EI324" s="4"/>
      <x:c r="EJ324" s="4"/>
      <x:c r="EK324" s="4"/>
      <x:c r="EL324" s="4"/>
      <x:c r="EM324" s="4" t="str">
        <x:f>IF(312&gt;'Calculations'!$JB$2000,"",INDEX('Calculations'!$JA$12:$JA$2000,MATCH(312,'Calculations'!$JB$12:$JB$2000,0)))</x:f>
      </x:c>
      <x:c r="EN324" s="4" t="n">
        <x:f>IF(OR('Calculations'!EM324="",'Calculations'!$AG$8&gt;0,AND('Calculations'!$EF$2&lt;&gt;"All",'Calculations'!HE324='Calculations'!$EF$2),AND('Calculations'!$EF$3&lt;&gt;"All",'Calculations'!HE324='Calculations'!$EF$3)),0,IF(OR('Dashboard'!$B$7="All",'Calculations'!HN324='Dashboard'!$B$7),IF('Calculations'!$EF$2="All",1,IF('Calculations'!HL324&gt;0,0,IF(COUNTIF('Calculations'!HO324:II324,"="&amp;SUBSTITUTE(SUBSTITUTE(SUBSTITUTE('Calculations'!$EF$2,"~","~~"),"*","~*"),"?","~?"))=0,0,IF('Calculations'!$EF$3="All",1,IF(COUNTIF('Calculations'!HO324:II324,"="&amp;SUBSTITUTE(SUBSTITUTE(SUBSTITUTE('Calculations'!$EF$3,"~","~~"),"*","~*"),"?","~?"))&gt;0,1,0))))),0))</x:f>
        <x:v>0</x:v>
      </x:c>
      <x:c r="EO324" s="4" t="str">
        <x:f>IF('Calculations'!IJ324="","",IF('Calculations'!IJ324="!UNRESOLVED","Unresolved hierarchy",IFERROR(INDEX('Calculations'!$HK$13:$HK$512,MATCH('Calculations'!IJ324,'Calculations'!$HE$13:$HE$512,0)),IFERROR(INDEX('Calculations'!$HJ$13:$HJ$512,MATCH('Calculations'!IJ324,'Calculations'!$HF$13:$HF$512,0)),'Calculations'!IJ324))))</x:f>
      </x:c>
      <x:c r="EP324" s="4" t="n">
        <x:f>IF(AND('Calculations'!EM324&lt;&gt;"",'Calculations'!HF324='Calculations'!IJ324),1,0)</x:f>
        <x:v>0</x:v>
      </x:c>
      <x:c r="EQ324" s="4"/>
      <x:c r="ER324" s="4"/>
      <x:c r="ES324" s="4"/>
      <x:c r="ET324" s="4"/>
      <x:c r="EU324" s="4"/>
      <x:c r="EV324" s="4"/>
      <x:c r="EW324" s="4"/>
      <x:c r="EX324" s="4"/>
      <x:c r="EY324" s="4"/>
      <x:c r="EZ324" s="4"/>
      <x:c r="FA324" s="4"/>
      <x:c r="FB324" s="4"/>
      <x:c r="FC324" s="4"/>
      <x:c r="FD324" s="4"/>
      <x:c r="FE324" s="4"/>
      <x:c r="FF324" s="4"/>
      <x:c r="FG324" s="4"/>
      <x:c r="FH324" s="4"/>
      <x:c r="FI324" s="4"/>
      <x:c r="FJ324" s="4"/>
      <x:c r="FK324" s="4"/>
      <x:c r="FL324" s="4"/>
      <x:c r="FM324" s="4"/>
      <x:c r="FN324" s="4"/>
      <x:c r="FO324" s="4"/>
      <x:c r="HE324" t="str">
        <x:f>IF('Calculations'!EM324="","",IF(IFERROR(IF(INDEX(INDIRECT("'WCM Calibration Final'!$A$1:$A$2000"),'Calculations'!$EM324)="","",TRIM(INDEX(INDIRECT("'WCM Calibration Final'!$A$1:$A$2000"),'Calculations'!$EM324)&amp;"")),"")&lt;&gt;"","G:"&amp;IFERROR(TEXT(1*INDEX(INDIRECT("'WCM Calibration Final'!$A$1:$A$2000"),'Calculations'!$EM324),"0"),UPPER(IFERROR(IF(INDEX(INDIRECT("'WCM Calibration Final'!$A$1:$A$2000"),'Calculations'!$EM324)="","",TRIM(INDEX(INDIRECT("'WCM Calibration Final'!$A$1:$A$2000"),'Calculations'!$EM324)&amp;"")),""))),IF(IFERROR(IF(INDEX(INDIRECT("'WCM Calibration Final'!$C$1:$C$2000"),'Calculations'!$EM324)="","",TRIM(INDEX(INDIRECT("'WCM Calibration Final'!$C$1:$C$2000"),'Calculations'!$EM324)&amp;"")),"")&lt;&gt;"","S:"&amp;UPPER(IFERROR(IF(INDEX(INDIRECT("'WCM Calibration Final'!$C$1:$C$2000"),'Calculations'!$EM324)="","",TRIM(INDEX(INDIRECT("'WCM Calibration Final'!$C$1:$C$2000"),'Calculations'!$EM324)&amp;"")),"")),"R:"&amp;'Calculations'!EM324)))</x:f>
      </x:c>
      <x:c r="HF324" t="str">
        <x:f>IF('Calculations'!EM324="","",IF(IFERROR(IF(INDEX(INDIRECT("'WCM Calibration Final'!$D$1:$D$2000"),'Calculations'!$EM324)="","",TRIM(INDEX(INDIRECT("'WCM Calibration Final'!$D$1:$D$2000"),'Calculations'!$EM324)&amp;"")),"")&lt;&gt;"","G:"&amp;IFERROR(TEXT(1*INDEX(INDIRECT("'WCM Calibration Final'!$D$1:$D$2000"),'Calculations'!$EM324),"0"),UPPER(IFERROR(IF(INDEX(INDIRECT("'WCM Calibration Final'!$D$1:$D$2000"),'Calculations'!$EM324)="","",TRIM(INDEX(INDIRECT("'WCM Calibration Final'!$D$1:$D$2000"),'Calculations'!$EM324)&amp;"")),""))),IF(IFERROR(IF(INDEX(INDIRECT("'WCM Calibration Final'!$E$1:$E$2000"),'Calculations'!$EM324)="","",TRIM(INDEX(INDIRECT("'WCM Calibration Final'!$E$1:$E$2000"),'Calculations'!$EM324)&amp;"")),"")="","",IF(COUNTIF('Calculations'!$HG$13:$HG$512,"="&amp;SUBSTITUTE(SUBSTITUTE(SUBSTITUTE(IFERROR(IF(INDEX(INDIRECT("'WCM Calibration Final'!$E$1:$E$2000"),'Calculations'!$EM324)="","",TRIM(INDEX(INDIRECT("'WCM Calibration Final'!$E$1:$E$2000"),'Calculations'!$EM324)&amp;"")),""),"~","~~"),"*","~*"),"?","~?"))=1,INDEX('Calculations'!$HE$13:$HE$512,MATCH(IFERROR(IF(INDEX(INDIRECT("'WCM Calibration Final'!$E$1:$E$2000"),'Calculations'!$EM324)="","",TRIM(INDEX(INDIRECT("'WCM Calibration Final'!$E$1:$E$2000"),'Calculations'!$EM324)&amp;"")),""),'Calculations'!$HG$13:$HG$512,0)),IF(COUNTIF('Calculations'!$HG$13:$HG$512,"="&amp;SUBSTITUTE(SUBSTITUTE(SUBSTITUTE(IFERROR(IF(INDEX(INDIRECT("'WCM Calibration Final'!$E$1:$E$2000"),'Calculations'!$EM324)="","",TRIM(INDEX(INDIRECT("'WCM Calibration Final'!$E$1:$E$2000"),'Calculations'!$EM324)&amp;"")),""),"~","~~"),"*","~*"),"?","~?"))&gt;1,"!AMBIG","X:"&amp;IFERROR(IF(INDEX(INDIRECT("'WCM Calibration Final'!$E$1:$E$2000"),'Calculations'!$EM324)="","",TRIM(INDEX(INDIRECT("'WCM Calibration Final'!$E$1:$E$2000"),'Calculations'!$EM324)&amp;"")),""))))))</x:f>
      </x:c>
      <x:c r="HG324" t="str">
        <x:f>IF('Calculations'!EM324="","",IFERROR(IF(INDEX(INDIRECT("'WCM Calibration Final'!$B$1:$B$2000"),'Calculations'!$EM324)="","",TRIM(INDEX(INDIRECT("'WCM Calibration Final'!$B$1:$B$2000"),'Calculations'!$EM324)&amp;"")),""))</x:f>
      </x:c>
      <x:c r="HH324" t="n">
        <x:f>IF(AND('Calculations'!JC324&gt;0,COUNTIF('Calculations'!$HF$12:HF324,"="&amp;SUBSTITUTE(SUBSTITUTE(SUBSTITUTE('Calculations'!HF324,"~","~~"),"*","~*"),"?","~?"))=1),MAX('Calculations'!$HH$12:HH323)+1,0)</x:f>
        <x:v>0</x:v>
      </x:c>
      <x:c r="HI324" t="n">
        <x:f>IF(AND('Calculations'!HN324&lt;&gt;"",COUNTIF('Calculations'!$HN$12:HN324,"="&amp;SUBSTITUTE(SUBSTITUTE(SUBSTITUTE('Calculations'!HN324,"~","~~"),"*","~*"),"?","~?"))=1),MAX('Calculations'!$HI$12:HI323)+1,0)</x:f>
        <x:v>0</x:v>
      </x:c>
      <x:c r="HJ324" t="str">
        <x:f>IF('Calculations'!HF324="","",IF(COUNTIF('Calculations'!$HE$13:$HE$512,"="&amp;SUBSTITUTE(SUBSTITUTE(SUBSTITUTE('Calculations'!HF324,"~","~~"),"*","~*"),"?","~?"))=1,INDEX('Calculations'!$HK$13:$HK$512,MATCH('Calculations'!HF324,'Calculations'!$HE$13:$HE$512,0)),IFERROR(IF(INDEX(INDIRECT("'WCM Calibration Final'!$E$1:$E$2000"),'Calculations'!$EM324)="","",TRIM(INDEX(INDIRECT("'WCM Calibration Final'!$E$1:$E$2000"),'Calculations'!$EM324)&amp;"")),"")&amp;" ["&amp;'Calculations'!HF324&amp;"]"))</x:f>
      </x:c>
      <x:c r="HK324" t="str">
        <x:f>IF('Calculations'!EM324="","",'Calculations'!HG324&amp;" ["&amp;'Calculations'!HE324&amp;"]")</x:f>
      </x:c>
      <x:c r="HL324" t="n">
        <x:f>IF('Calculations'!EM324="",0,IF(OR('Calculations'!II324&lt;&gt;"",COUNTIF('Calculations'!$HE$13:$HE$512,"="&amp;SUBSTITUTE(SUBSTITUTE(SUBSTITUTE('Calculations'!HE324,"~","~~"),"*","~*"),"?","~?"))&gt;1),1,0))</x:f>
        <x:v>0</x:v>
      </x:c>
      <x:c r="HM324" t="str">
        <x:f>IF('Calculations'!EM324="","",IF('Calculations'!HL324=1,"!UNRESOLVED",IF('Calculations'!IH324&lt;&gt;"",'Calculations'!IH324,IF('Calculations'!IG324&lt;&gt;"",'Calculations'!IG324,IF('Calculations'!IF324&lt;&gt;"",'Calculations'!IF324,IF('Calculations'!IE324&lt;&gt;"",'Calculations'!IE324,IF('Calculations'!ID324&lt;&gt;"",'Calculations'!ID324,IF('Calculations'!IC324&lt;&gt;"",'Calculations'!IC324,IF('Calculations'!IB324&lt;&gt;"",'Calculations'!IB324,IF('Calculations'!IA324&lt;&gt;"",'Calculations'!IA324,IF('Calculations'!HZ324&lt;&gt;"",'Calculations'!HZ324,IF('Calculations'!HY324&lt;&gt;"",'Calculations'!HY324,IF('Calculations'!HX324&lt;&gt;"",'Calculations'!HX324,IF('Calculations'!HW324&lt;&gt;"",'Calculations'!HW324,IF('Calculations'!HV324&lt;&gt;"",'Calculations'!HV324,IF('Calculations'!HU324&lt;&gt;"",'Calculations'!HU324,IF('Calculations'!HT324&lt;&gt;"",'Calculations'!HT324,IF('Calculations'!HS324&lt;&gt;"",'Calculations'!HS324,IF('Calculations'!HR324&lt;&gt;"",'Calculations'!HR324,IF('Calculations'!HQ324&lt;&gt;"",'Calculations'!HQ324,IF('Calculations'!HP324&lt;&gt;"",'Calculations'!HP324,IF('Calculations'!HO324&lt;&gt;"",'Calculations'!HO324,'Calculations'!HE324))))))))))))))))))))))</x:f>
      </x:c>
      <x:c r="HN324" t="str">
        <x:f>IF('Calculations'!EM324="","",IF(IFERROR(IF(INDEX(INDIRECT("'WCM Calibration Final'!$F$1:$F$2000"),'Calculations'!$EM324)="","",TRIM(INDEX(INDIRECT("'WCM Calibration Final'!$F$1:$F$2000"),'Calculations'!$EM324)&amp;"")),"")="","(Blank)",IFERROR(IF(INDEX(INDIRECT("'WCM Calibration Final'!$F$1:$F$2000"),'Calculations'!$EM324)="","",TRIM(INDEX(INDIRECT("'WCM Calibration Final'!$F$1:$F$2000"),'Calculations'!$EM324)&amp;"")),"")))</x:f>
      </x:c>
      <x:c r="HO324" t="str">
        <x:f>'Calculations'!HF324</x:f>
      </x:c>
      <x:c r="HP324" t="str">
        <x:f>IF('Calculations'!HO324="","",IF('Calculations'!HO324="!AMBIG","!AMBIG",IF(COUNTIF('Calculations'!$HE$13:$HE$512,"="&amp;SUBSTITUTE(SUBSTITUTE(SUBSTITUTE('Calculations'!HO324,"~","~~"),"*","~*"),"?","~?"))&gt;1,"!AMBIG",IFERROR(INDEX('Calculations'!$HF$13:$HF$512,MATCH('Calculations'!HO324,'Calculations'!$HE$13:$HE$512,0)),""))))</x:f>
      </x:c>
      <x:c r="HQ324" t="str">
        <x:f>IF('Calculations'!HP324="","",IF('Calculations'!HP324="!AMBIG","!AMBIG",IF(COUNTIF('Calculations'!$HE$13:$HE$512,"="&amp;SUBSTITUTE(SUBSTITUTE(SUBSTITUTE('Calculations'!HP324,"~","~~"),"*","~*"),"?","~?"))&gt;1,"!AMBIG",IFERROR(INDEX('Calculations'!$HF$13:$HF$512,MATCH('Calculations'!HP324,'Calculations'!$HE$13:$HE$512,0)),""))))</x:f>
      </x:c>
      <x:c r="HR324" t="str">
        <x:f>IF('Calculations'!HQ324="","",IF('Calculations'!HQ324="!AMBIG","!AMBIG",IF(COUNTIF('Calculations'!$HE$13:$HE$512,"="&amp;SUBSTITUTE(SUBSTITUTE(SUBSTITUTE('Calculations'!HQ324,"~","~~"),"*","~*"),"?","~?"))&gt;1,"!AMBIG",IFERROR(INDEX('Calculations'!$HF$13:$HF$512,MATCH('Calculations'!HQ324,'Calculations'!$HE$13:$HE$512,0)),""))))</x:f>
      </x:c>
      <x:c r="HS324" t="str">
        <x:f>IF('Calculations'!HR324="","",IF('Calculations'!HR324="!AMBIG","!AMBIG",IF(COUNTIF('Calculations'!$HE$13:$HE$512,"="&amp;SUBSTITUTE(SUBSTITUTE(SUBSTITUTE('Calculations'!HR324,"~","~~"),"*","~*"),"?","~?"))&gt;1,"!AMBIG",IFERROR(INDEX('Calculations'!$HF$13:$HF$512,MATCH('Calculations'!HR324,'Calculations'!$HE$13:$HE$512,0)),""))))</x:f>
      </x:c>
      <x:c r="HT324" t="str">
        <x:f>IF('Calculations'!HS324="","",IF('Calculations'!HS324="!AMBIG","!AMBIG",IF(COUNTIF('Calculations'!$HE$13:$HE$512,"="&amp;SUBSTITUTE(SUBSTITUTE(SUBSTITUTE('Calculations'!HS324,"~","~~"),"*","~*"),"?","~?"))&gt;1,"!AMBIG",IFERROR(INDEX('Calculations'!$HF$13:$HF$512,MATCH('Calculations'!HS324,'Calculations'!$HE$13:$HE$512,0)),""))))</x:f>
      </x:c>
      <x:c r="HU324" t="str">
        <x:f>IF('Calculations'!HT324="","",IF('Calculations'!HT324="!AMBIG","!AMBIG",IF(COUNTIF('Calculations'!$HE$13:$HE$512,"="&amp;SUBSTITUTE(SUBSTITUTE(SUBSTITUTE('Calculations'!HT324,"~","~~"),"*","~*"),"?","~?"))&gt;1,"!AMBIG",IFERROR(INDEX('Calculations'!$HF$13:$HF$512,MATCH('Calculations'!HT324,'Calculations'!$HE$13:$HE$512,0)),""))))</x:f>
      </x:c>
      <x:c r="HV324" t="str">
        <x:f>IF('Calculations'!HU324="","",IF('Calculations'!HU324="!AMBIG","!AMBIG",IF(COUNTIF('Calculations'!$HE$13:$HE$512,"="&amp;SUBSTITUTE(SUBSTITUTE(SUBSTITUTE('Calculations'!HU324,"~","~~"),"*","~*"),"?","~?"))&gt;1,"!AMBIG",IFERROR(INDEX('Calculations'!$HF$13:$HF$512,MATCH('Calculations'!HU324,'Calculations'!$HE$13:$HE$512,0)),""))))</x:f>
      </x:c>
      <x:c r="HW324" t="str">
        <x:f>IF('Calculations'!HV324="","",IF('Calculations'!HV324="!AMBIG","!AMBIG",IF(COUNTIF('Calculations'!$HE$13:$HE$512,"="&amp;SUBSTITUTE(SUBSTITUTE(SUBSTITUTE('Calculations'!HV324,"~","~~"),"*","~*"),"?","~?"))&gt;1,"!AMBIG",IFERROR(INDEX('Calculations'!$HF$13:$HF$512,MATCH('Calculations'!HV324,'Calculations'!$HE$13:$HE$512,0)),""))))</x:f>
      </x:c>
      <x:c r="HX324" t="str">
        <x:f>IF('Calculations'!HW324="","",IF('Calculations'!HW324="!AMBIG","!AMBIG",IF(COUNTIF('Calculations'!$HE$13:$HE$512,"="&amp;SUBSTITUTE(SUBSTITUTE(SUBSTITUTE('Calculations'!HW324,"~","~~"),"*","~*"),"?","~?"))&gt;1,"!AMBIG",IFERROR(INDEX('Calculations'!$HF$13:$HF$512,MATCH('Calculations'!HW324,'Calculations'!$HE$13:$HE$512,0)),""))))</x:f>
      </x:c>
      <x:c r="HY324" t="str">
        <x:f>IF('Calculations'!HX324="","",IF('Calculations'!HX324="!AMBIG","!AMBIG",IF(COUNTIF('Calculations'!$HE$13:$HE$512,"="&amp;SUBSTITUTE(SUBSTITUTE(SUBSTITUTE('Calculations'!HX324,"~","~~"),"*","~*"),"?","~?"))&gt;1,"!AMBIG",IFERROR(INDEX('Calculations'!$HF$13:$HF$512,MATCH('Calculations'!HX324,'Calculations'!$HE$13:$HE$512,0)),""))))</x:f>
      </x:c>
      <x:c r="HZ324" t="str">
        <x:f>IF('Calculations'!HY324="","",IF('Calculations'!HY324="!AMBIG","!AMBIG",IF(COUNTIF('Calculations'!$HE$13:$HE$512,"="&amp;SUBSTITUTE(SUBSTITUTE(SUBSTITUTE('Calculations'!HY324,"~","~~"),"*","~*"),"?","~?"))&gt;1,"!AMBIG",IFERROR(INDEX('Calculations'!$HF$13:$HF$512,MATCH('Calculations'!HY324,'Calculations'!$HE$13:$HE$512,0)),""))))</x:f>
      </x:c>
      <x:c r="IA324" t="str">
        <x:f>IF('Calculations'!HZ324="","",IF('Calculations'!HZ324="!AMBIG","!AMBIG",IF(COUNTIF('Calculations'!$HE$13:$HE$512,"="&amp;SUBSTITUTE(SUBSTITUTE(SUBSTITUTE('Calculations'!HZ324,"~","~~"),"*","~*"),"?","~?"))&gt;1,"!AMBIG",IFERROR(INDEX('Calculations'!$HF$13:$HF$512,MATCH('Calculations'!HZ324,'Calculations'!$HE$13:$HE$512,0)),""))))</x:f>
      </x:c>
      <x:c r="IB324" t="str">
        <x:f>IF('Calculations'!IA324="","",IF('Calculations'!IA324="!AMBIG","!AMBIG",IF(COUNTIF('Calculations'!$HE$13:$HE$512,"="&amp;SUBSTITUTE(SUBSTITUTE(SUBSTITUTE('Calculations'!IA324,"~","~~"),"*","~*"),"?","~?"))&gt;1,"!AMBIG",IFERROR(INDEX('Calculations'!$HF$13:$HF$512,MATCH('Calculations'!IA324,'Calculations'!$HE$13:$HE$512,0)),""))))</x:f>
      </x:c>
      <x:c r="IC324" t="str">
        <x:f>IF('Calculations'!IB324="","",IF('Calculations'!IB324="!AMBIG","!AMBIG",IF(COUNTIF('Calculations'!$HE$13:$HE$512,"="&amp;SUBSTITUTE(SUBSTITUTE(SUBSTITUTE('Calculations'!IB324,"~","~~"),"*","~*"),"?","~?"))&gt;1,"!AMBIG",IFERROR(INDEX('Calculations'!$HF$13:$HF$512,MATCH('Calculations'!IB324,'Calculations'!$HE$13:$HE$512,0)),""))))</x:f>
      </x:c>
      <x:c r="ID324" t="str">
        <x:f>IF('Calculations'!IC324="","",IF('Calculations'!IC324="!AMBIG","!AMBIG",IF(COUNTIF('Calculations'!$HE$13:$HE$512,"="&amp;SUBSTITUTE(SUBSTITUTE(SUBSTITUTE('Calculations'!IC324,"~","~~"),"*","~*"),"?","~?"))&gt;1,"!AMBIG",IFERROR(INDEX('Calculations'!$HF$13:$HF$512,MATCH('Calculations'!IC324,'Calculations'!$HE$13:$HE$512,0)),""))))</x:f>
      </x:c>
      <x:c r="IE324" t="str">
        <x:f>IF('Calculations'!ID324="","",IF('Calculations'!ID324="!AMBIG","!AMBIG",IF(COUNTIF('Calculations'!$HE$13:$HE$512,"="&amp;SUBSTITUTE(SUBSTITUTE(SUBSTITUTE('Calculations'!ID324,"~","~~"),"*","~*"),"?","~?"))&gt;1,"!AMBIG",IFERROR(INDEX('Calculations'!$HF$13:$HF$512,MATCH('Calculations'!ID324,'Calculations'!$HE$13:$HE$512,0)),""))))</x:f>
      </x:c>
      <x:c r="IF324" t="str">
        <x:f>IF('Calculations'!IE324="","",IF('Calculations'!IE324="!AMBIG","!AMBIG",IF(COUNTIF('Calculations'!$HE$13:$HE$512,"="&amp;SUBSTITUTE(SUBSTITUTE(SUBSTITUTE('Calculations'!IE324,"~","~~"),"*","~*"),"?","~?"))&gt;1,"!AMBIG",IFERROR(INDEX('Calculations'!$HF$13:$HF$512,MATCH('Calculations'!IE324,'Calculations'!$HE$13:$HE$512,0)),""))))</x:f>
      </x:c>
      <x:c r="IG324" t="str">
        <x:f>IF('Calculations'!IF324="","",IF('Calculations'!IF324="!AMBIG","!AMBIG",IF(COUNTIF('Calculations'!$HE$13:$HE$512,"="&amp;SUBSTITUTE(SUBSTITUTE(SUBSTITUTE('Calculations'!IF324,"~","~~"),"*","~*"),"?","~?"))&gt;1,"!AMBIG",IFERROR(INDEX('Calculations'!$HF$13:$HF$512,MATCH('Calculations'!IF324,'Calculations'!$HE$13:$HE$512,0)),""))))</x:f>
      </x:c>
      <x:c r="IH324" t="str">
        <x:f>IF('Calculations'!IG324="","",IF('Calculations'!IG324="!AMBIG","!AMBIG",IF(COUNTIF('Calculations'!$HE$13:$HE$512,"="&amp;SUBSTITUTE(SUBSTITUTE(SUBSTITUTE('Calculations'!IG324,"~","~~"),"*","~*"),"?","~?"))&gt;1,"!AMBIG",IFERROR(INDEX('Calculations'!$HF$13:$HF$512,MATCH('Calculations'!IG324,'Calculations'!$HE$13:$HE$512,0)),""))))</x:f>
      </x:c>
      <x:c r="II324" t="str">
        <x:f>IF('Calculations'!IH324="","",IF('Calculations'!IH324="!AMBIG","!AMBIG",IF(COUNTIF('Calculations'!$HE$13:$HE$512,"="&amp;SUBSTITUTE(SUBSTITUTE(SUBSTITUTE('Calculations'!IH324,"~","~~"),"*","~*"),"?","~?"))&gt;1,"!AMBIG",IFERROR(INDEX('Calculations'!$HF$13:$HF$512,MATCH('Calculations'!IH324,'Calculations'!$HE$13:$HE$512,0)),""))))</x:f>
      </x:c>
      <x:c r="IJ324" t="str">
        <x:f>IF('Calculations'!EM324="","",IF('Calculations'!$EF$2="All",'Calculations'!HM324,IF('Calculations'!HL324=1,"",IFERROR(IF(MATCH('Calculations'!$EF$2,'Calculations'!HO324:II324,0)=1,'Calculations'!HE324,INDEX('Calculations'!HO324:II324,1,MATCH('Calculations'!$EF$2,'Calculations'!HO324:II324,0)-1)),""))))</x:f>
      </x:c>
      <x:c r="IK324" t="n">
        <x:f>IF(AND('Calculations'!EM324&lt;&gt;"",'Calculations'!$EF$2&lt;&gt;"All",'Calculations'!HF324='Calculations'!$EF$2,'Calculations'!HL324=0,'Calculations'!JD324&gt;0),MAX('Calculations'!$IK$12:IK323)+1,0)</x:f>
        <x:v>0</x:v>
      </x:c>
      <x:c r="JA324" t="n">
        <x:f>IF(OR(IFERROR(INDIRECT("'WCM Calibration Final'!$A$324")&lt;&gt;"",FALSE),IFERROR(INDIRECT("'WCM Calibration Final'!$B$324")&lt;&gt;"",FALSE),IFERROR(INDIRECT("'WCM Calibration Final'!$C$324")&lt;&gt;"",FALSE)),324,0)</x:f>
        <x:v>0</x:v>
      </x:c>
      <x:c r="JB324" t="n">
        <x:f>'Calculations'!JB323+IF('Calculations'!JA324&gt;0,1,0)</x:f>
        <x:v>0</x:v>
      </x:c>
      <x:c r="JC324" t="n">
        <x:f>IF(OR('Calculations'!HF324="",'Calculations'!HF324="!AMBIG"),0,IF('Dashboard'!$B$7="All",1,COUNTIFS('Calculations'!$HO$13:$HO$512,"="&amp;SUBSTITUTE(SUBSTITUTE(SUBSTITUTE('Calculations'!HF324,"~","~~"),"*","~*"),"?","~?"),'Calculations'!$HN$13:$HN$512,"="&amp;SUBSTITUTE(SUBSTITUTE(SUBSTITUTE('Dashboard'!$B$7,"~","~~"),"*","~*"),"?","~?"))+COUNTIFS('Calculations'!$HP$13:$HP$512,"="&amp;SUBSTITUTE(SUBSTITUTE(SUBSTITUTE('Calculations'!HF324,"~","~~"),"*","~*"),"?","~?"),'Calculations'!$HN$13:$HN$512,"="&amp;SUBSTITUTE(SUBSTITUTE(SUBSTITUTE('Dashboard'!$B$7,"~","~~"),"*","~*"),"?","~?"))+COUNTIFS('Calculations'!$HQ$13:$HQ$512,"="&amp;SUBSTITUTE(SUBSTITUTE(SUBSTITUTE('Calculations'!HF324,"~","~~"),"*","~*"),"?","~?"),'Calculations'!$HN$13:$HN$512,"="&amp;SUBSTITUTE(SUBSTITUTE(SUBSTITUTE('Dashboard'!$B$7,"~","~~"),"*","~*"),"?","~?"))+COUNTIFS('Calculations'!$HR$13:$HR$512,"="&amp;SUBSTITUTE(SUBSTITUTE(SUBSTITUTE('Calculations'!HF324,"~","~~"),"*","~*"),"?","~?"),'Calculations'!$HN$13:$HN$512,"="&amp;SUBSTITUTE(SUBSTITUTE(SUBSTITUTE('Dashboard'!$B$7,"~","~~"),"*","~*"),"?","~?"))+COUNTIFS('Calculations'!$HS$13:$HS$512,"="&amp;SUBSTITUTE(SUBSTITUTE(SUBSTITUTE('Calculations'!HF324,"~","~~"),"*","~*"),"?","~?"),'Calculations'!$HN$13:$HN$512,"="&amp;SUBSTITUTE(SUBSTITUTE(SUBSTITUTE('Dashboard'!$B$7,"~","~~"),"*","~*"),"?","~?"))+COUNTIFS('Calculations'!$HT$13:$HT$512,"="&amp;SUBSTITUTE(SUBSTITUTE(SUBSTITUTE('Calculations'!HF324,"~","~~"),"*","~*"),"?","~?"),'Calculations'!$HN$13:$HN$512,"="&amp;SUBSTITUTE(SUBSTITUTE(SUBSTITUTE('Dashboard'!$B$7,"~","~~"),"*","~*"),"?","~?"))+COUNTIFS('Calculations'!$HU$13:$HU$512,"="&amp;SUBSTITUTE(SUBSTITUTE(SUBSTITUTE('Calculations'!HF324,"~","~~"),"*","~*"),"?","~?"),'Calculations'!$HN$13:$HN$512,"="&amp;SUBSTITUTE(SUBSTITUTE(SUBSTITUTE('Dashboard'!$B$7,"~","~~"),"*","~*"),"?","~?"))+COUNTIFS('Calculations'!$HV$13:$HV$512,"="&amp;SUBSTITUTE(SUBSTITUTE(SUBSTITUTE('Calculations'!HF324,"~","~~"),"*","~*"),"?","~?"),'Calculations'!$HN$13:$HN$512,"="&amp;SUBSTITUTE(SUBSTITUTE(SUBSTITUTE('Dashboard'!$B$7,"~","~~"),"*","~*"),"?","~?"))+COUNTIFS('Calculations'!$HW$13:$HW$512,"="&amp;SUBSTITUTE(SUBSTITUTE(SUBSTITUTE('Calculations'!HF324,"~","~~"),"*","~*"),"?","~?"),'Calculations'!$HN$13:$HN$512,"="&amp;SUBSTITUTE(SUBSTITUTE(SUBSTITUTE('Dashboard'!$B$7,"~","~~"),"*","~*"),"?","~?"))+COUNTIFS('Calculations'!$HX$13:$HX$512,"="&amp;SUBSTITUTE(SUBSTITUTE(SUBSTITUTE('Calculations'!HF324,"~","~~"),"*","~*"),"?","~?"),'Calculations'!$HN$13:$HN$512,"="&amp;SUBSTITUTE(SUBSTITUTE(SUBSTITUTE('Dashboard'!$B$7,"~","~~"),"*","~*"),"?","~?"))+COUNTIFS('Calculations'!$HY$13:$HY$512,"="&amp;SUBSTITUTE(SUBSTITUTE(SUBSTITUTE('Calculations'!HF324,"~","~~"),"*","~*"),"?","~?"),'Calculations'!$HN$13:$HN$512,"="&amp;SUBSTITUTE(SUBSTITUTE(SUBSTITUTE('Dashboard'!$B$7,"~","~~"),"*","~*"),"?","~?"))+COUNTIFS('Calculations'!$HZ$13:$HZ$512,"="&amp;SUBSTITUTE(SUBSTITUTE(SUBSTITUTE('Calculations'!HF324,"~","~~"),"*","~*"),"?","~?"),'Calculations'!$HN$13:$HN$512,"="&amp;SUBSTITUTE(SUBSTITUTE(SUBSTITUTE('Dashboard'!$B$7,"~","~~"),"*","~*"),"?","~?"))+COUNTIFS('Calculations'!$IA$13:$IA$512,"="&amp;SUBSTITUTE(SUBSTITUTE(SUBSTITUTE('Calculations'!HF324,"~","~~"),"*","~*"),"?","~?"),'Calculations'!$HN$13:$HN$512,"="&amp;SUBSTITUTE(SUBSTITUTE(SUBSTITUTE('Dashboard'!$B$7,"~","~~"),"*","~*"),"?","~?"))+COUNTIFS('Calculations'!$IB$13:$IB$512,"="&amp;SUBSTITUTE(SUBSTITUTE(SUBSTITUTE('Calculations'!HF324,"~","~~"),"*","~*"),"?","~?"),'Calculations'!$HN$13:$HN$512,"="&amp;SUBSTITUTE(SUBSTITUTE(SUBSTITUTE('Dashboard'!$B$7,"~","~~"),"*","~*"),"?","~?"))+COUNTIFS('Calculations'!$IC$13:$IC$512,"="&amp;SUBSTITUTE(SUBSTITUTE(SUBSTITUTE('Calculations'!HF324,"~","~~"),"*","~*"),"?","~?"),'Calculations'!$HN$13:$HN$512,"="&amp;SUBSTITUTE(SUBSTITUTE(SUBSTITUTE('Dashboard'!$B$7,"~","~~"),"*","~*"),"?","~?"))+COUNTIFS('Calculations'!$ID$13:$ID$512,"="&amp;SUBSTITUTE(SUBSTITUTE(SUBSTITUTE('Calculations'!HF324,"~","~~"),"*","~*"),"?","~?"),'Calculations'!$HN$13:$HN$512,"="&amp;SUBSTITUTE(SUBSTITUTE(SUBSTITUTE('Dashboard'!$B$7,"~","~~"),"*","~*"),"?","~?"))+COUNTIFS('Calculations'!$IE$13:$IE$512,"="&amp;SUBSTITUTE(SUBSTITUTE(SUBSTITUTE('Calculations'!HF324,"~","~~"),"*","~*"),"?","~?"),'Calculations'!$HN$13:$HN$512,"="&amp;SUBSTITUTE(SUBSTITUTE(SUBSTITUTE('Dashboard'!$B$7,"~","~~"),"*","~*"),"?","~?"))+COUNTIFS('Calculations'!$IF$13:$IF$512,"="&amp;SUBSTITUTE(SUBSTITUTE(SUBSTITUTE('Calculations'!HF324,"~","~~"),"*","~*"),"?","~?"),'Calculations'!$HN$13:$HN$512,"="&amp;SUBSTITUTE(SUBSTITUTE(SUBSTITUTE('Dashboard'!$B$7,"~","~~"),"*","~*"),"?","~?"))+COUNTIFS('Calculations'!$IG$13:$IG$512,"="&amp;SUBSTITUTE(SUBSTITUTE(SUBSTITUTE('Calculations'!HF324,"~","~~"),"*","~*"),"?","~?"),'Calculations'!$HN$13:$HN$512,"="&amp;SUBSTITUTE(SUBSTITUTE(SUBSTITUTE('Dashboard'!$B$7,"~","~~"),"*","~*"),"?","~?"))+COUNTIFS('Calculations'!$IH$13:$IH$512,"="&amp;SUBSTITUTE(SUBSTITUTE(SUBSTITUTE('Calculations'!HF324,"~","~~"),"*","~*"),"?","~?"),'Calculations'!$HN$13:$HN$512,"="&amp;SUBSTITUTE(SUBSTITUTE(SUBSTITUTE('Dashboard'!$B$7,"~","~~"),"*","~*"),"?","~?"))))</x:f>
        <x:v>0</x:v>
      </x:c>
      <x:c r="JD324" t="n">
        <x:f>IF('Calculations'!EM324="",0,IF('Dashboard'!$B$7="All",1,IF('Calculations'!HN324='Dashboard'!$B$7,1,0)+IFERROR(INDEX('Calculations'!$JC$13:$JC$512,MATCH('Calculations'!HE324,'Calculations'!$HF$13:$HF$512,0)),0)))</x:f>
        <x:v>0</x:v>
      </x:c>
      <x:c r="JE324" t="n">
        <x:f>IF(AND('Calculations'!EM324&lt;&gt;"",'Calculations'!$JJ$2&lt;&gt;"All",'Calculations'!$JJ$2&lt;&gt;"",'Calculations'!HF324='Calculations'!$JJ$2,'Calculations'!HL324=0,'Calculations'!JD324&gt;0),MAX('Calculations'!$JE$12:JE323)+1,0)</x:f>
        <x:v>0</x:v>
      </x:c>
      <x:c r="JF324" t="str">
        <x:f>IF('Calculations'!EM324="","",IFERROR(IF(INDEX(INDIRECT("'WCM Calibration Final'!$G$1:$G$2000"),'Calculations'!$EM324)="","",TRIM(INDEX(INDIRECT("'WCM Calibration Final'!$G$1:$G$2000"),'Calculations'!$EM324)&amp;"")),""))</x:f>
      </x:c>
      <x:c r="JQ324" t="n">
        <x:f>IF(OR('Calculations'!BM324=0,NOT('Calculations'!$AG$2),'Calculations'!$AG$8&gt;0),0,IF(OR('Dashboard'!$B$7="All",'Calculations'!HN324='Dashboard'!$B$7),IF('Calculations'!$JJ$2="All",1,IF(AND('Calculations'!HF324='Calculations'!$JJ$2,'Calculations'!HL324=0),1,0)),0))</x:f>
        <x:v>0</x:v>
      </x:c>
    </x:row>
    <x:row r="325">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t="n">
        <x:f>IF('Calculations'!$EM325="",0,IF(OR(IFERROR(INDEX(INDIRECT("'WCM Calibration Final'!$A$1:$A$2000"),'Calculations'!$EM325)&lt;&gt;"",FALSE),IFERROR(INDEX(INDIRECT("'WCM Calibration Final'!$B$1:$B$2000"),'Calculations'!$EM325)&lt;&gt;"",FALSE),IFERROR(INDEX(INDIRECT("'WCM Calibration Final'!$C$1:$C$2000"),'Calculations'!$EM325)&lt;&gt;"",FALSE)),1,0))</x:f>
        <x:v>0</x:v>
      </x:c>
      <x:c r="BN325" s="4" t="n">
        <x:f>IF(AND('Calculations'!BM325=1,'Calculations'!$AG$2,'Calculations'!$EN325=1),1,0)</x:f>
        <x:v>0</x:v>
      </x:c>
      <x:c r="BO325" s="4" t="str">
        <x:f>IF('Calculations'!BM325=0,"",IFERROR(IF(AND(VALUE(INDEX(INDIRECT("'WCM Calibration Final'!$K$1:$K$2000"),'Calculations'!$EM325))&gt;=1,VALUE(INDEX(INDIRECT("'WCM Calibration Final'!$K$1:$K$2000"),'Calculations'!$EM325))&lt;=4,MOD(VALUE(INDEX(INDIRECT("'WCM Calibration Final'!$K$1:$K$2000"),'Calculations'!$EM325)),1)=0),VALUE(INDEX(INDIRECT("'WCM Calibration Final'!$K$1:$K$2000"),'Calculations'!$EM325)),""),""))</x:f>
      </x:c>
      <x:c r="BP325" s="4" t="str">
        <x:f>IF('Calculations'!BM325=0,"",IFERROR(IF(AND(VALUE(INDEX(INDIRECT("'WCM Calibration Final'!$L$1:$L$2000"),'Calculations'!$EM325))&gt;=1,VALUE(INDEX(INDIRECT("'WCM Calibration Final'!$L$1:$L$2000"),'Calculations'!$EM325))&lt;=4,MOD(VALUE(INDEX(INDIRECT("'WCM Calibration Final'!$L$1:$L$2000"),'Calculations'!$EM325)),1)=0),VALUE(INDEX(INDIRECT("'WCM Calibration Final'!$L$1:$L$2000"),'Calculations'!$EM325)),""),""))</x:f>
      </x:c>
      <x:c r="BQ325" s="4"/>
      <x:c r="BR325" s="4"/>
      <x:c r="BS325" s="4"/>
      <x:c r="BT325" s="4" t="n">
        <x:f>IF(AND('Calculations'!BM325=1,ISNUMBER('Calculations'!BO325),ISNUMBER('Calculations'!BP325)),1,0)</x:f>
        <x:v>0</x:v>
      </x:c>
      <x:c r="BU325" s="4" t="str">
        <x:f>IF('Calculations'!BM325=0,"",'Calculations'!$EO325)</x:f>
      </x:c>
      <x:c r="BV325" s="4" t="str">
        <x:f>IF('Calculations'!BM325=0,"",IFERROR(IF(OR(INDEX(INDIRECT("'WCM Calibration Final'!$H$1:$H$2000"),'Calculations'!$EM325)="MANAGING DIRECTOR",INDEX(INDIRECT("'WCM Calibration Final'!$H$1:$H$2000"),'Calculations'!$EM325)="DIRECTOR",INDEX(INDIRECT("'WCM Calibration Final'!$H$1:$H$2000"),'Calculations'!$EM325)="SENIOR VICE PRESIDENT",INDEX(INDIRECT("'WCM Calibration Final'!$H$1:$H$2000"),'Calculations'!$EM325)="VICE PRESIDENT",INDEX(INDIRECT("'WCM Calibration Final'!$H$1:$H$2000"),'Calculations'!$EM325)="ASSISTANT VICE PRESIDENT",INDEX(INDIRECT("'WCM Calibration Final'!$H$1:$H$2000"),'Calculations'!$EM325)="OFFICER"),UPPER(INDEX(INDIRECT("'WCM Calibration Final'!$H$1:$H$2000"),'Calculations'!$EM325)),"Other"),"Other"))</x:f>
      </x:c>
      <x:c r="BW325" s="4"/>
      <x:c r="BX325" s="4"/>
      <x:c r="BY325" s="4" t="n">
        <x:f>IF(AND('Calculations'!BM325=1,'Calculations'!BU325&lt;&gt;"",COUNTIF('Calculations'!$BU$12:BU325,'Calculations'!BU325)=1),MAX('Calculations'!$BY$11:BY324)+1,0)</x:f>
        <x:v>0</x:v>
      </x:c>
      <x:c r="BZ325" s="4" t="str">
        <x:f>IF('Dashboard'!$E$67="What",'Calculations'!BO325,'Calculations'!BP325)</x:f>
      </x:c>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t="str">
        <x:f>IF(314&gt;MAX('Calculations'!$HI$13:$HI$512),"",INDEX('Calculations'!$HN$13:$HN$512,MATCH(314,'Calculations'!$HI$13:$HI$512,0)))</x:f>
      </x:c>
      <x:c r="DB325" s="4" t="str">
        <x:f>IF(314&gt;MAX('Calculations'!$HH$13:$HH$512),"",INDEX('Calculations'!$HJ$13:$HJ$512,MATCH(314,'Calculations'!$HH$13:$HH$512,0)))</x:f>
      </x:c>
      <x:c r="DC325" s="4" t="str">
        <x:f>IF(ROW()-11&gt;MAX('Calculations'!$BY$13:$BY$512),"",INDEX('Calculations'!$BU$13:$BU$512,MATCH(ROW()-11,'Calculations'!$BY$13:$BY$512,0)))</x:f>
      </x:c>
      <x:c r="DD325" s="4" t="str">
        <x:f>IF(314&gt;MAX('Calculations'!$IK$13:$IK$512),"",INDEX('Calculations'!$HK$13:$HK$512,MATCH(314,'Calculations'!$IK$13:$IK$512,0)))</x:f>
      </x:c>
      <x:c r="DE325" s="4" t="str">
        <x:f>'Calculations'!DC325</x:f>
      </x:c>
      <x:c r="DF325" s="4" t="str">
        <x:f>IF('Calculations'!DE325="","",COUNTIFS('Calculations'!$BN$13:$BN$512,1,'Calculations'!$BU$13:$BU$512,'Calculations'!DE325))</x:f>
      </x:c>
      <x:c r="DG325" s="4" t="str">
        <x:f>IF('Calculations'!DE325="","",COUNTIFS('Calculations'!$BN$13:$BN$512,1,'Calculations'!$BU$13:$BU$512,'Calculations'!DE325,'Calculations'!$BT$13:$BT$512,1))</x:f>
      </x:c>
      <x:c r="DH325" s="4" t="str">
        <x:f>IF('Calculations'!DE325="","",'Calculations'!DF325-'Calculations'!DG325)</x:f>
      </x:c>
      <x:c r="DI325" s="4" t="str">
        <x:f>IF(OR('Calculations'!DE325="",'Calculations'!DF325=0),"",'Calculations'!DG325/'Calculations'!DF325)</x:f>
      </x:c>
      <x:c r="DJ325" s="4" t="str">
        <x:f>IF('Calculations'!DE325="","",COUNTIFS('Calculations'!$BN$13:$BN$512,1,'Calculations'!$BU$13:$BU$512,'Calculations'!DE325,'Calculations'!$BT$13:$BT$512,1,'Calculations'!$EE$13:$EE$512,"High"))</x:f>
      </x:c>
      <x:c r="DK325" s="4" t="str">
        <x:f>IF('Calculations'!DE325="","",COUNTIFS('Calculations'!$BN$13:$BN$512,1,'Calculations'!$BU$13:$BU$512,'Calculations'!DE325,'Calculations'!$BT$13:$BT$512,1,'Calculations'!$EE$13:$EE$512,"Strong"))</x:f>
      </x:c>
      <x:c r="DL325" s="4" t="str">
        <x:f>IF('Calculations'!DE325="","",COUNTIFS('Calculations'!$BN$13:$BN$512,1,'Calculations'!$BU$13:$BU$512,'Calculations'!DE325,'Calculations'!$BT$13:$BT$512,1,'Calculations'!$EE$13:$EE$512,"Solid"))</x:f>
      </x:c>
      <x:c r="DM325" s="4" t="str">
        <x:f>IF('Calculations'!DE325="","",COUNTIFS('Calculations'!$BN$13:$BN$512,1,'Calculations'!$BU$13:$BU$512,'Calculations'!DE325,'Calculations'!$BT$13:$BT$512,1,'Calculations'!$EE$13:$EE$512,"Low"))</x:f>
      </x:c>
      <x:c r="DN325" s="4" t="str">
        <x:f>IF('Calculations'!DE325="","",COUNTIFS('Calculations'!$BN$13:$BN$512,1,'Calculations'!$BU$13:$BU$512,'Calculations'!DE325,'Calculations'!$EP$13:$EP$512,1))</x:f>
      </x:c>
      <x:c r="DO325" s="4" t="str">
        <x:f>IF(OR('Calculations'!DE325="",'Calculations'!DG325=0),"",('Calculations'!DJ325+'Calculations'!DK325)/'Calculations'!DG325)</x:f>
      </x:c>
      <x:c r="DP325" s="4" t="n">
        <x:f>IF(AND('Calculations'!DE325&lt;&gt;"",'Calculations'!DF325&gt;0),COUNTIF('Calculations'!$DF$12:DF325,"&gt;0"),0)</x:f>
        <x:v>0</x:v>
      </x:c>
      <x:c r="DQ325" s="4" t="str">
        <x:f>IF(314&gt;MAX('Calculations'!$HH$13:$HH$512),"",INDEX('Calculations'!$HF$13:$HF$512,MATCH(314,'Calculations'!$HH$13:$HH$512,0)))</x:f>
      </x:c>
      <x:c r="DR325" s="4" t="str">
        <x:f>IF(314&gt;MAX('Calculations'!$IK$13:$IK$512),"",INDEX('Calculations'!$HE$13:$HE$512,MATCH(314,'Calculations'!$IK$13:$IK$512,0)))</x:f>
      </x:c>
      <x:c r="DS325" s="4"/>
      <x:c r="DT325" s="4"/>
      <x:c r="DU325" s="4"/>
      <x:c r="DV325" s="4"/>
      <x:c r="DW325" s="4"/>
      <x:c r="DX325" s="4"/>
      <x:c r="DY325" s="4"/>
      <x:c r="DZ325" s="4"/>
      <x:c r="EA325" s="4"/>
      <x:c r="EB325" s="4"/>
      <x:c r="EC325" s="4"/>
      <x:c r="ED325" s="4"/>
      <x:c r="EE325" s="4" t="str">
        <x:f>IF('Calculations'!BT325=0,"Not Rated",IF(OR('Calculations'!BO325&gt;=4,'Calculations'!BP325&gt;=4),"Low",IF('Calculations'!BO325+'Calculations'!BP325&lt;=3,"High",IF('Calculations'!BO325+'Calculations'!BP325&lt;=4,"Strong","Solid"))))</x:f>
        <x:v>Not Rated</x:v>
      </x:c>
      <x:c r="EF325" s="4"/>
      <x:c r="EG325" s="4"/>
      <x:c r="EH325" s="4"/>
      <x:c r="EI325" s="4"/>
      <x:c r="EJ325" s="4"/>
      <x:c r="EK325" s="4"/>
      <x:c r="EL325" s="4"/>
      <x:c r="EM325" s="4" t="str">
        <x:f>IF(313&gt;'Calculations'!$JB$2000,"",INDEX('Calculations'!$JA$12:$JA$2000,MATCH(313,'Calculations'!$JB$12:$JB$2000,0)))</x:f>
      </x:c>
      <x:c r="EN325" s="4" t="n">
        <x:f>IF(OR('Calculations'!EM325="",'Calculations'!$AG$8&gt;0,AND('Calculations'!$EF$2&lt;&gt;"All",'Calculations'!HE325='Calculations'!$EF$2),AND('Calculations'!$EF$3&lt;&gt;"All",'Calculations'!HE325='Calculations'!$EF$3)),0,IF(OR('Dashboard'!$B$7="All",'Calculations'!HN325='Dashboard'!$B$7),IF('Calculations'!$EF$2="All",1,IF('Calculations'!HL325&gt;0,0,IF(COUNTIF('Calculations'!HO325:II325,"="&amp;SUBSTITUTE(SUBSTITUTE(SUBSTITUTE('Calculations'!$EF$2,"~","~~"),"*","~*"),"?","~?"))=0,0,IF('Calculations'!$EF$3="All",1,IF(COUNTIF('Calculations'!HO325:II325,"="&amp;SUBSTITUTE(SUBSTITUTE(SUBSTITUTE('Calculations'!$EF$3,"~","~~"),"*","~*"),"?","~?"))&gt;0,1,0))))),0))</x:f>
        <x:v>0</x:v>
      </x:c>
      <x:c r="EO325" s="4" t="str">
        <x:f>IF('Calculations'!IJ325="","",IF('Calculations'!IJ325="!UNRESOLVED","Unresolved hierarchy",IFERROR(INDEX('Calculations'!$HK$13:$HK$512,MATCH('Calculations'!IJ325,'Calculations'!$HE$13:$HE$512,0)),IFERROR(INDEX('Calculations'!$HJ$13:$HJ$512,MATCH('Calculations'!IJ325,'Calculations'!$HF$13:$HF$512,0)),'Calculations'!IJ325))))</x:f>
      </x:c>
      <x:c r="EP325" s="4" t="n">
        <x:f>IF(AND('Calculations'!EM325&lt;&gt;"",'Calculations'!HF325='Calculations'!IJ325),1,0)</x:f>
        <x:v>0</x:v>
      </x:c>
      <x:c r="EQ325" s="4"/>
      <x:c r="ER325" s="4"/>
      <x:c r="ES325" s="4"/>
      <x:c r="ET325" s="4"/>
      <x:c r="EU325" s="4"/>
      <x:c r="EV325" s="4"/>
      <x:c r="EW325" s="4"/>
      <x:c r="EX325" s="4"/>
      <x:c r="EY325" s="4"/>
      <x:c r="EZ325" s="4"/>
      <x:c r="FA325" s="4"/>
      <x:c r="FB325" s="4"/>
      <x:c r="FC325" s="4"/>
      <x:c r="FD325" s="4"/>
      <x:c r="FE325" s="4"/>
      <x:c r="FF325" s="4"/>
      <x:c r="FG325" s="4"/>
      <x:c r="FH325" s="4"/>
      <x:c r="FI325" s="4"/>
      <x:c r="FJ325" s="4"/>
      <x:c r="FK325" s="4"/>
      <x:c r="FL325" s="4"/>
      <x:c r="FM325" s="4"/>
      <x:c r="FN325" s="4"/>
      <x:c r="FO325" s="4"/>
      <x:c r="HE325" t="str">
        <x:f>IF('Calculations'!EM325="","",IF(IFERROR(IF(INDEX(INDIRECT("'WCM Calibration Final'!$A$1:$A$2000"),'Calculations'!$EM325)="","",TRIM(INDEX(INDIRECT("'WCM Calibration Final'!$A$1:$A$2000"),'Calculations'!$EM325)&amp;"")),"")&lt;&gt;"","G:"&amp;IFERROR(TEXT(1*INDEX(INDIRECT("'WCM Calibration Final'!$A$1:$A$2000"),'Calculations'!$EM325),"0"),UPPER(IFERROR(IF(INDEX(INDIRECT("'WCM Calibration Final'!$A$1:$A$2000"),'Calculations'!$EM325)="","",TRIM(INDEX(INDIRECT("'WCM Calibration Final'!$A$1:$A$2000"),'Calculations'!$EM325)&amp;"")),""))),IF(IFERROR(IF(INDEX(INDIRECT("'WCM Calibration Final'!$C$1:$C$2000"),'Calculations'!$EM325)="","",TRIM(INDEX(INDIRECT("'WCM Calibration Final'!$C$1:$C$2000"),'Calculations'!$EM325)&amp;"")),"")&lt;&gt;"","S:"&amp;UPPER(IFERROR(IF(INDEX(INDIRECT("'WCM Calibration Final'!$C$1:$C$2000"),'Calculations'!$EM325)="","",TRIM(INDEX(INDIRECT("'WCM Calibration Final'!$C$1:$C$2000"),'Calculations'!$EM325)&amp;"")),"")),"R:"&amp;'Calculations'!EM325)))</x:f>
      </x:c>
      <x:c r="HF325" t="str">
        <x:f>IF('Calculations'!EM325="","",IF(IFERROR(IF(INDEX(INDIRECT("'WCM Calibration Final'!$D$1:$D$2000"),'Calculations'!$EM325)="","",TRIM(INDEX(INDIRECT("'WCM Calibration Final'!$D$1:$D$2000"),'Calculations'!$EM325)&amp;"")),"")&lt;&gt;"","G:"&amp;IFERROR(TEXT(1*INDEX(INDIRECT("'WCM Calibration Final'!$D$1:$D$2000"),'Calculations'!$EM325),"0"),UPPER(IFERROR(IF(INDEX(INDIRECT("'WCM Calibration Final'!$D$1:$D$2000"),'Calculations'!$EM325)="","",TRIM(INDEX(INDIRECT("'WCM Calibration Final'!$D$1:$D$2000"),'Calculations'!$EM325)&amp;"")),""))),IF(IFERROR(IF(INDEX(INDIRECT("'WCM Calibration Final'!$E$1:$E$2000"),'Calculations'!$EM325)="","",TRIM(INDEX(INDIRECT("'WCM Calibration Final'!$E$1:$E$2000"),'Calculations'!$EM325)&amp;"")),"")="","",IF(COUNTIF('Calculations'!$HG$13:$HG$512,"="&amp;SUBSTITUTE(SUBSTITUTE(SUBSTITUTE(IFERROR(IF(INDEX(INDIRECT("'WCM Calibration Final'!$E$1:$E$2000"),'Calculations'!$EM325)="","",TRIM(INDEX(INDIRECT("'WCM Calibration Final'!$E$1:$E$2000"),'Calculations'!$EM325)&amp;"")),""),"~","~~"),"*","~*"),"?","~?"))=1,INDEX('Calculations'!$HE$13:$HE$512,MATCH(IFERROR(IF(INDEX(INDIRECT("'WCM Calibration Final'!$E$1:$E$2000"),'Calculations'!$EM325)="","",TRIM(INDEX(INDIRECT("'WCM Calibration Final'!$E$1:$E$2000"),'Calculations'!$EM325)&amp;"")),""),'Calculations'!$HG$13:$HG$512,0)),IF(COUNTIF('Calculations'!$HG$13:$HG$512,"="&amp;SUBSTITUTE(SUBSTITUTE(SUBSTITUTE(IFERROR(IF(INDEX(INDIRECT("'WCM Calibration Final'!$E$1:$E$2000"),'Calculations'!$EM325)="","",TRIM(INDEX(INDIRECT("'WCM Calibration Final'!$E$1:$E$2000"),'Calculations'!$EM325)&amp;"")),""),"~","~~"),"*","~*"),"?","~?"))&gt;1,"!AMBIG","X:"&amp;IFERROR(IF(INDEX(INDIRECT("'WCM Calibration Final'!$E$1:$E$2000"),'Calculations'!$EM325)="","",TRIM(INDEX(INDIRECT("'WCM Calibration Final'!$E$1:$E$2000"),'Calculations'!$EM325)&amp;"")),""))))))</x:f>
      </x:c>
      <x:c r="HG325" t="str">
        <x:f>IF('Calculations'!EM325="","",IFERROR(IF(INDEX(INDIRECT("'WCM Calibration Final'!$B$1:$B$2000"),'Calculations'!$EM325)="","",TRIM(INDEX(INDIRECT("'WCM Calibration Final'!$B$1:$B$2000"),'Calculations'!$EM325)&amp;"")),""))</x:f>
      </x:c>
      <x:c r="HH325" t="n">
        <x:f>IF(AND('Calculations'!JC325&gt;0,COUNTIF('Calculations'!$HF$12:HF325,"="&amp;SUBSTITUTE(SUBSTITUTE(SUBSTITUTE('Calculations'!HF325,"~","~~"),"*","~*"),"?","~?"))=1),MAX('Calculations'!$HH$12:HH324)+1,0)</x:f>
        <x:v>0</x:v>
      </x:c>
      <x:c r="HI325" t="n">
        <x:f>IF(AND('Calculations'!HN325&lt;&gt;"",COUNTIF('Calculations'!$HN$12:HN325,"="&amp;SUBSTITUTE(SUBSTITUTE(SUBSTITUTE('Calculations'!HN325,"~","~~"),"*","~*"),"?","~?"))=1),MAX('Calculations'!$HI$12:HI324)+1,0)</x:f>
        <x:v>0</x:v>
      </x:c>
      <x:c r="HJ325" t="str">
        <x:f>IF('Calculations'!HF325="","",IF(COUNTIF('Calculations'!$HE$13:$HE$512,"="&amp;SUBSTITUTE(SUBSTITUTE(SUBSTITUTE('Calculations'!HF325,"~","~~"),"*","~*"),"?","~?"))=1,INDEX('Calculations'!$HK$13:$HK$512,MATCH('Calculations'!HF325,'Calculations'!$HE$13:$HE$512,0)),IFERROR(IF(INDEX(INDIRECT("'WCM Calibration Final'!$E$1:$E$2000"),'Calculations'!$EM325)="","",TRIM(INDEX(INDIRECT("'WCM Calibration Final'!$E$1:$E$2000"),'Calculations'!$EM325)&amp;"")),"")&amp;" ["&amp;'Calculations'!HF325&amp;"]"))</x:f>
      </x:c>
      <x:c r="HK325" t="str">
        <x:f>IF('Calculations'!EM325="","",'Calculations'!HG325&amp;" ["&amp;'Calculations'!HE325&amp;"]")</x:f>
      </x:c>
      <x:c r="HL325" t="n">
        <x:f>IF('Calculations'!EM325="",0,IF(OR('Calculations'!II325&lt;&gt;"",COUNTIF('Calculations'!$HE$13:$HE$512,"="&amp;SUBSTITUTE(SUBSTITUTE(SUBSTITUTE('Calculations'!HE325,"~","~~"),"*","~*"),"?","~?"))&gt;1),1,0))</x:f>
        <x:v>0</x:v>
      </x:c>
      <x:c r="HM325" t="str">
        <x:f>IF('Calculations'!EM325="","",IF('Calculations'!HL325=1,"!UNRESOLVED",IF('Calculations'!IH325&lt;&gt;"",'Calculations'!IH325,IF('Calculations'!IG325&lt;&gt;"",'Calculations'!IG325,IF('Calculations'!IF325&lt;&gt;"",'Calculations'!IF325,IF('Calculations'!IE325&lt;&gt;"",'Calculations'!IE325,IF('Calculations'!ID325&lt;&gt;"",'Calculations'!ID325,IF('Calculations'!IC325&lt;&gt;"",'Calculations'!IC325,IF('Calculations'!IB325&lt;&gt;"",'Calculations'!IB325,IF('Calculations'!IA325&lt;&gt;"",'Calculations'!IA325,IF('Calculations'!HZ325&lt;&gt;"",'Calculations'!HZ325,IF('Calculations'!HY325&lt;&gt;"",'Calculations'!HY325,IF('Calculations'!HX325&lt;&gt;"",'Calculations'!HX325,IF('Calculations'!HW325&lt;&gt;"",'Calculations'!HW325,IF('Calculations'!HV325&lt;&gt;"",'Calculations'!HV325,IF('Calculations'!HU325&lt;&gt;"",'Calculations'!HU325,IF('Calculations'!HT325&lt;&gt;"",'Calculations'!HT325,IF('Calculations'!HS325&lt;&gt;"",'Calculations'!HS325,IF('Calculations'!HR325&lt;&gt;"",'Calculations'!HR325,IF('Calculations'!HQ325&lt;&gt;"",'Calculations'!HQ325,IF('Calculations'!HP325&lt;&gt;"",'Calculations'!HP325,IF('Calculations'!HO325&lt;&gt;"",'Calculations'!HO325,'Calculations'!HE325))))))))))))))))))))))</x:f>
      </x:c>
      <x:c r="HN325" t="str">
        <x:f>IF('Calculations'!EM325="","",IF(IFERROR(IF(INDEX(INDIRECT("'WCM Calibration Final'!$F$1:$F$2000"),'Calculations'!$EM325)="","",TRIM(INDEX(INDIRECT("'WCM Calibration Final'!$F$1:$F$2000"),'Calculations'!$EM325)&amp;"")),"")="","(Blank)",IFERROR(IF(INDEX(INDIRECT("'WCM Calibration Final'!$F$1:$F$2000"),'Calculations'!$EM325)="","",TRIM(INDEX(INDIRECT("'WCM Calibration Final'!$F$1:$F$2000"),'Calculations'!$EM325)&amp;"")),"")))</x:f>
      </x:c>
      <x:c r="HO325" t="str">
        <x:f>'Calculations'!HF325</x:f>
      </x:c>
      <x:c r="HP325" t="str">
        <x:f>IF('Calculations'!HO325="","",IF('Calculations'!HO325="!AMBIG","!AMBIG",IF(COUNTIF('Calculations'!$HE$13:$HE$512,"="&amp;SUBSTITUTE(SUBSTITUTE(SUBSTITUTE('Calculations'!HO325,"~","~~"),"*","~*"),"?","~?"))&gt;1,"!AMBIG",IFERROR(INDEX('Calculations'!$HF$13:$HF$512,MATCH('Calculations'!HO325,'Calculations'!$HE$13:$HE$512,0)),""))))</x:f>
      </x:c>
      <x:c r="HQ325" t="str">
        <x:f>IF('Calculations'!HP325="","",IF('Calculations'!HP325="!AMBIG","!AMBIG",IF(COUNTIF('Calculations'!$HE$13:$HE$512,"="&amp;SUBSTITUTE(SUBSTITUTE(SUBSTITUTE('Calculations'!HP325,"~","~~"),"*","~*"),"?","~?"))&gt;1,"!AMBIG",IFERROR(INDEX('Calculations'!$HF$13:$HF$512,MATCH('Calculations'!HP325,'Calculations'!$HE$13:$HE$512,0)),""))))</x:f>
      </x:c>
      <x:c r="HR325" t="str">
        <x:f>IF('Calculations'!HQ325="","",IF('Calculations'!HQ325="!AMBIG","!AMBIG",IF(COUNTIF('Calculations'!$HE$13:$HE$512,"="&amp;SUBSTITUTE(SUBSTITUTE(SUBSTITUTE('Calculations'!HQ325,"~","~~"),"*","~*"),"?","~?"))&gt;1,"!AMBIG",IFERROR(INDEX('Calculations'!$HF$13:$HF$512,MATCH('Calculations'!HQ325,'Calculations'!$HE$13:$HE$512,0)),""))))</x:f>
      </x:c>
      <x:c r="HS325" t="str">
        <x:f>IF('Calculations'!HR325="","",IF('Calculations'!HR325="!AMBIG","!AMBIG",IF(COUNTIF('Calculations'!$HE$13:$HE$512,"="&amp;SUBSTITUTE(SUBSTITUTE(SUBSTITUTE('Calculations'!HR325,"~","~~"),"*","~*"),"?","~?"))&gt;1,"!AMBIG",IFERROR(INDEX('Calculations'!$HF$13:$HF$512,MATCH('Calculations'!HR325,'Calculations'!$HE$13:$HE$512,0)),""))))</x:f>
      </x:c>
      <x:c r="HT325" t="str">
        <x:f>IF('Calculations'!HS325="","",IF('Calculations'!HS325="!AMBIG","!AMBIG",IF(COUNTIF('Calculations'!$HE$13:$HE$512,"="&amp;SUBSTITUTE(SUBSTITUTE(SUBSTITUTE('Calculations'!HS325,"~","~~"),"*","~*"),"?","~?"))&gt;1,"!AMBIG",IFERROR(INDEX('Calculations'!$HF$13:$HF$512,MATCH('Calculations'!HS325,'Calculations'!$HE$13:$HE$512,0)),""))))</x:f>
      </x:c>
      <x:c r="HU325" t="str">
        <x:f>IF('Calculations'!HT325="","",IF('Calculations'!HT325="!AMBIG","!AMBIG",IF(COUNTIF('Calculations'!$HE$13:$HE$512,"="&amp;SUBSTITUTE(SUBSTITUTE(SUBSTITUTE('Calculations'!HT325,"~","~~"),"*","~*"),"?","~?"))&gt;1,"!AMBIG",IFERROR(INDEX('Calculations'!$HF$13:$HF$512,MATCH('Calculations'!HT325,'Calculations'!$HE$13:$HE$512,0)),""))))</x:f>
      </x:c>
      <x:c r="HV325" t="str">
        <x:f>IF('Calculations'!HU325="","",IF('Calculations'!HU325="!AMBIG","!AMBIG",IF(COUNTIF('Calculations'!$HE$13:$HE$512,"="&amp;SUBSTITUTE(SUBSTITUTE(SUBSTITUTE('Calculations'!HU325,"~","~~"),"*","~*"),"?","~?"))&gt;1,"!AMBIG",IFERROR(INDEX('Calculations'!$HF$13:$HF$512,MATCH('Calculations'!HU325,'Calculations'!$HE$13:$HE$512,0)),""))))</x:f>
      </x:c>
      <x:c r="HW325" t="str">
        <x:f>IF('Calculations'!HV325="","",IF('Calculations'!HV325="!AMBIG","!AMBIG",IF(COUNTIF('Calculations'!$HE$13:$HE$512,"="&amp;SUBSTITUTE(SUBSTITUTE(SUBSTITUTE('Calculations'!HV325,"~","~~"),"*","~*"),"?","~?"))&gt;1,"!AMBIG",IFERROR(INDEX('Calculations'!$HF$13:$HF$512,MATCH('Calculations'!HV325,'Calculations'!$HE$13:$HE$512,0)),""))))</x:f>
      </x:c>
      <x:c r="HX325" t="str">
        <x:f>IF('Calculations'!HW325="","",IF('Calculations'!HW325="!AMBIG","!AMBIG",IF(COUNTIF('Calculations'!$HE$13:$HE$512,"="&amp;SUBSTITUTE(SUBSTITUTE(SUBSTITUTE('Calculations'!HW325,"~","~~"),"*","~*"),"?","~?"))&gt;1,"!AMBIG",IFERROR(INDEX('Calculations'!$HF$13:$HF$512,MATCH('Calculations'!HW325,'Calculations'!$HE$13:$HE$512,0)),""))))</x:f>
      </x:c>
      <x:c r="HY325" t="str">
        <x:f>IF('Calculations'!HX325="","",IF('Calculations'!HX325="!AMBIG","!AMBIG",IF(COUNTIF('Calculations'!$HE$13:$HE$512,"="&amp;SUBSTITUTE(SUBSTITUTE(SUBSTITUTE('Calculations'!HX325,"~","~~"),"*","~*"),"?","~?"))&gt;1,"!AMBIG",IFERROR(INDEX('Calculations'!$HF$13:$HF$512,MATCH('Calculations'!HX325,'Calculations'!$HE$13:$HE$512,0)),""))))</x:f>
      </x:c>
      <x:c r="HZ325" t="str">
        <x:f>IF('Calculations'!HY325="","",IF('Calculations'!HY325="!AMBIG","!AMBIG",IF(COUNTIF('Calculations'!$HE$13:$HE$512,"="&amp;SUBSTITUTE(SUBSTITUTE(SUBSTITUTE('Calculations'!HY325,"~","~~"),"*","~*"),"?","~?"))&gt;1,"!AMBIG",IFERROR(INDEX('Calculations'!$HF$13:$HF$512,MATCH('Calculations'!HY325,'Calculations'!$HE$13:$HE$512,0)),""))))</x:f>
      </x:c>
      <x:c r="IA325" t="str">
        <x:f>IF('Calculations'!HZ325="","",IF('Calculations'!HZ325="!AMBIG","!AMBIG",IF(COUNTIF('Calculations'!$HE$13:$HE$512,"="&amp;SUBSTITUTE(SUBSTITUTE(SUBSTITUTE('Calculations'!HZ325,"~","~~"),"*","~*"),"?","~?"))&gt;1,"!AMBIG",IFERROR(INDEX('Calculations'!$HF$13:$HF$512,MATCH('Calculations'!HZ325,'Calculations'!$HE$13:$HE$512,0)),""))))</x:f>
      </x:c>
      <x:c r="IB325" t="str">
        <x:f>IF('Calculations'!IA325="","",IF('Calculations'!IA325="!AMBIG","!AMBIG",IF(COUNTIF('Calculations'!$HE$13:$HE$512,"="&amp;SUBSTITUTE(SUBSTITUTE(SUBSTITUTE('Calculations'!IA325,"~","~~"),"*","~*"),"?","~?"))&gt;1,"!AMBIG",IFERROR(INDEX('Calculations'!$HF$13:$HF$512,MATCH('Calculations'!IA325,'Calculations'!$HE$13:$HE$512,0)),""))))</x:f>
      </x:c>
      <x:c r="IC325" t="str">
        <x:f>IF('Calculations'!IB325="","",IF('Calculations'!IB325="!AMBIG","!AMBIG",IF(COUNTIF('Calculations'!$HE$13:$HE$512,"="&amp;SUBSTITUTE(SUBSTITUTE(SUBSTITUTE('Calculations'!IB325,"~","~~"),"*","~*"),"?","~?"))&gt;1,"!AMBIG",IFERROR(INDEX('Calculations'!$HF$13:$HF$512,MATCH('Calculations'!IB325,'Calculations'!$HE$13:$HE$512,0)),""))))</x:f>
      </x:c>
      <x:c r="ID325" t="str">
        <x:f>IF('Calculations'!IC325="","",IF('Calculations'!IC325="!AMBIG","!AMBIG",IF(COUNTIF('Calculations'!$HE$13:$HE$512,"="&amp;SUBSTITUTE(SUBSTITUTE(SUBSTITUTE('Calculations'!IC325,"~","~~"),"*","~*"),"?","~?"))&gt;1,"!AMBIG",IFERROR(INDEX('Calculations'!$HF$13:$HF$512,MATCH('Calculations'!IC325,'Calculations'!$HE$13:$HE$512,0)),""))))</x:f>
      </x:c>
      <x:c r="IE325" t="str">
        <x:f>IF('Calculations'!ID325="","",IF('Calculations'!ID325="!AMBIG","!AMBIG",IF(COUNTIF('Calculations'!$HE$13:$HE$512,"="&amp;SUBSTITUTE(SUBSTITUTE(SUBSTITUTE('Calculations'!ID325,"~","~~"),"*","~*"),"?","~?"))&gt;1,"!AMBIG",IFERROR(INDEX('Calculations'!$HF$13:$HF$512,MATCH('Calculations'!ID325,'Calculations'!$HE$13:$HE$512,0)),""))))</x:f>
      </x:c>
      <x:c r="IF325" t="str">
        <x:f>IF('Calculations'!IE325="","",IF('Calculations'!IE325="!AMBIG","!AMBIG",IF(COUNTIF('Calculations'!$HE$13:$HE$512,"="&amp;SUBSTITUTE(SUBSTITUTE(SUBSTITUTE('Calculations'!IE325,"~","~~"),"*","~*"),"?","~?"))&gt;1,"!AMBIG",IFERROR(INDEX('Calculations'!$HF$13:$HF$512,MATCH('Calculations'!IE325,'Calculations'!$HE$13:$HE$512,0)),""))))</x:f>
      </x:c>
      <x:c r="IG325" t="str">
        <x:f>IF('Calculations'!IF325="","",IF('Calculations'!IF325="!AMBIG","!AMBIG",IF(COUNTIF('Calculations'!$HE$13:$HE$512,"="&amp;SUBSTITUTE(SUBSTITUTE(SUBSTITUTE('Calculations'!IF325,"~","~~"),"*","~*"),"?","~?"))&gt;1,"!AMBIG",IFERROR(INDEX('Calculations'!$HF$13:$HF$512,MATCH('Calculations'!IF325,'Calculations'!$HE$13:$HE$512,0)),""))))</x:f>
      </x:c>
      <x:c r="IH325" t="str">
        <x:f>IF('Calculations'!IG325="","",IF('Calculations'!IG325="!AMBIG","!AMBIG",IF(COUNTIF('Calculations'!$HE$13:$HE$512,"="&amp;SUBSTITUTE(SUBSTITUTE(SUBSTITUTE('Calculations'!IG325,"~","~~"),"*","~*"),"?","~?"))&gt;1,"!AMBIG",IFERROR(INDEX('Calculations'!$HF$13:$HF$512,MATCH('Calculations'!IG325,'Calculations'!$HE$13:$HE$512,0)),""))))</x:f>
      </x:c>
      <x:c r="II325" t="str">
        <x:f>IF('Calculations'!IH325="","",IF('Calculations'!IH325="!AMBIG","!AMBIG",IF(COUNTIF('Calculations'!$HE$13:$HE$512,"="&amp;SUBSTITUTE(SUBSTITUTE(SUBSTITUTE('Calculations'!IH325,"~","~~"),"*","~*"),"?","~?"))&gt;1,"!AMBIG",IFERROR(INDEX('Calculations'!$HF$13:$HF$512,MATCH('Calculations'!IH325,'Calculations'!$HE$13:$HE$512,0)),""))))</x:f>
      </x:c>
      <x:c r="IJ325" t="str">
        <x:f>IF('Calculations'!EM325="","",IF('Calculations'!$EF$2="All",'Calculations'!HM325,IF('Calculations'!HL325=1,"",IFERROR(IF(MATCH('Calculations'!$EF$2,'Calculations'!HO325:II325,0)=1,'Calculations'!HE325,INDEX('Calculations'!HO325:II325,1,MATCH('Calculations'!$EF$2,'Calculations'!HO325:II325,0)-1)),""))))</x:f>
      </x:c>
      <x:c r="IK325" t="n">
        <x:f>IF(AND('Calculations'!EM325&lt;&gt;"",'Calculations'!$EF$2&lt;&gt;"All",'Calculations'!HF325='Calculations'!$EF$2,'Calculations'!HL325=0,'Calculations'!JD325&gt;0),MAX('Calculations'!$IK$12:IK324)+1,0)</x:f>
        <x:v>0</x:v>
      </x:c>
      <x:c r="JA325" t="n">
        <x:f>IF(OR(IFERROR(INDIRECT("'WCM Calibration Final'!$A$325")&lt;&gt;"",FALSE),IFERROR(INDIRECT("'WCM Calibration Final'!$B$325")&lt;&gt;"",FALSE),IFERROR(INDIRECT("'WCM Calibration Final'!$C$325")&lt;&gt;"",FALSE)),325,0)</x:f>
        <x:v>0</x:v>
      </x:c>
      <x:c r="JB325" t="n">
        <x:f>'Calculations'!JB324+IF('Calculations'!JA325&gt;0,1,0)</x:f>
        <x:v>0</x:v>
      </x:c>
      <x:c r="JC325" t="n">
        <x:f>IF(OR('Calculations'!HF325="",'Calculations'!HF325="!AMBIG"),0,IF('Dashboard'!$B$7="All",1,COUNTIFS('Calculations'!$HO$13:$HO$512,"="&amp;SUBSTITUTE(SUBSTITUTE(SUBSTITUTE('Calculations'!HF325,"~","~~"),"*","~*"),"?","~?"),'Calculations'!$HN$13:$HN$512,"="&amp;SUBSTITUTE(SUBSTITUTE(SUBSTITUTE('Dashboard'!$B$7,"~","~~"),"*","~*"),"?","~?"))+COUNTIFS('Calculations'!$HP$13:$HP$512,"="&amp;SUBSTITUTE(SUBSTITUTE(SUBSTITUTE('Calculations'!HF325,"~","~~"),"*","~*"),"?","~?"),'Calculations'!$HN$13:$HN$512,"="&amp;SUBSTITUTE(SUBSTITUTE(SUBSTITUTE('Dashboard'!$B$7,"~","~~"),"*","~*"),"?","~?"))+COUNTIFS('Calculations'!$HQ$13:$HQ$512,"="&amp;SUBSTITUTE(SUBSTITUTE(SUBSTITUTE('Calculations'!HF325,"~","~~"),"*","~*"),"?","~?"),'Calculations'!$HN$13:$HN$512,"="&amp;SUBSTITUTE(SUBSTITUTE(SUBSTITUTE('Dashboard'!$B$7,"~","~~"),"*","~*"),"?","~?"))+COUNTIFS('Calculations'!$HR$13:$HR$512,"="&amp;SUBSTITUTE(SUBSTITUTE(SUBSTITUTE('Calculations'!HF325,"~","~~"),"*","~*"),"?","~?"),'Calculations'!$HN$13:$HN$512,"="&amp;SUBSTITUTE(SUBSTITUTE(SUBSTITUTE('Dashboard'!$B$7,"~","~~"),"*","~*"),"?","~?"))+COUNTIFS('Calculations'!$HS$13:$HS$512,"="&amp;SUBSTITUTE(SUBSTITUTE(SUBSTITUTE('Calculations'!HF325,"~","~~"),"*","~*"),"?","~?"),'Calculations'!$HN$13:$HN$512,"="&amp;SUBSTITUTE(SUBSTITUTE(SUBSTITUTE('Dashboard'!$B$7,"~","~~"),"*","~*"),"?","~?"))+COUNTIFS('Calculations'!$HT$13:$HT$512,"="&amp;SUBSTITUTE(SUBSTITUTE(SUBSTITUTE('Calculations'!HF325,"~","~~"),"*","~*"),"?","~?"),'Calculations'!$HN$13:$HN$512,"="&amp;SUBSTITUTE(SUBSTITUTE(SUBSTITUTE('Dashboard'!$B$7,"~","~~"),"*","~*"),"?","~?"))+COUNTIFS('Calculations'!$HU$13:$HU$512,"="&amp;SUBSTITUTE(SUBSTITUTE(SUBSTITUTE('Calculations'!HF325,"~","~~"),"*","~*"),"?","~?"),'Calculations'!$HN$13:$HN$512,"="&amp;SUBSTITUTE(SUBSTITUTE(SUBSTITUTE('Dashboard'!$B$7,"~","~~"),"*","~*"),"?","~?"))+COUNTIFS('Calculations'!$HV$13:$HV$512,"="&amp;SUBSTITUTE(SUBSTITUTE(SUBSTITUTE('Calculations'!HF325,"~","~~"),"*","~*"),"?","~?"),'Calculations'!$HN$13:$HN$512,"="&amp;SUBSTITUTE(SUBSTITUTE(SUBSTITUTE('Dashboard'!$B$7,"~","~~"),"*","~*"),"?","~?"))+COUNTIFS('Calculations'!$HW$13:$HW$512,"="&amp;SUBSTITUTE(SUBSTITUTE(SUBSTITUTE('Calculations'!HF325,"~","~~"),"*","~*"),"?","~?"),'Calculations'!$HN$13:$HN$512,"="&amp;SUBSTITUTE(SUBSTITUTE(SUBSTITUTE('Dashboard'!$B$7,"~","~~"),"*","~*"),"?","~?"))+COUNTIFS('Calculations'!$HX$13:$HX$512,"="&amp;SUBSTITUTE(SUBSTITUTE(SUBSTITUTE('Calculations'!HF325,"~","~~"),"*","~*"),"?","~?"),'Calculations'!$HN$13:$HN$512,"="&amp;SUBSTITUTE(SUBSTITUTE(SUBSTITUTE('Dashboard'!$B$7,"~","~~"),"*","~*"),"?","~?"))+COUNTIFS('Calculations'!$HY$13:$HY$512,"="&amp;SUBSTITUTE(SUBSTITUTE(SUBSTITUTE('Calculations'!HF325,"~","~~"),"*","~*"),"?","~?"),'Calculations'!$HN$13:$HN$512,"="&amp;SUBSTITUTE(SUBSTITUTE(SUBSTITUTE('Dashboard'!$B$7,"~","~~"),"*","~*"),"?","~?"))+COUNTIFS('Calculations'!$HZ$13:$HZ$512,"="&amp;SUBSTITUTE(SUBSTITUTE(SUBSTITUTE('Calculations'!HF325,"~","~~"),"*","~*"),"?","~?"),'Calculations'!$HN$13:$HN$512,"="&amp;SUBSTITUTE(SUBSTITUTE(SUBSTITUTE('Dashboard'!$B$7,"~","~~"),"*","~*"),"?","~?"))+COUNTIFS('Calculations'!$IA$13:$IA$512,"="&amp;SUBSTITUTE(SUBSTITUTE(SUBSTITUTE('Calculations'!HF325,"~","~~"),"*","~*"),"?","~?"),'Calculations'!$HN$13:$HN$512,"="&amp;SUBSTITUTE(SUBSTITUTE(SUBSTITUTE('Dashboard'!$B$7,"~","~~"),"*","~*"),"?","~?"))+COUNTIFS('Calculations'!$IB$13:$IB$512,"="&amp;SUBSTITUTE(SUBSTITUTE(SUBSTITUTE('Calculations'!HF325,"~","~~"),"*","~*"),"?","~?"),'Calculations'!$HN$13:$HN$512,"="&amp;SUBSTITUTE(SUBSTITUTE(SUBSTITUTE('Dashboard'!$B$7,"~","~~"),"*","~*"),"?","~?"))+COUNTIFS('Calculations'!$IC$13:$IC$512,"="&amp;SUBSTITUTE(SUBSTITUTE(SUBSTITUTE('Calculations'!HF325,"~","~~"),"*","~*"),"?","~?"),'Calculations'!$HN$13:$HN$512,"="&amp;SUBSTITUTE(SUBSTITUTE(SUBSTITUTE('Dashboard'!$B$7,"~","~~"),"*","~*"),"?","~?"))+COUNTIFS('Calculations'!$ID$13:$ID$512,"="&amp;SUBSTITUTE(SUBSTITUTE(SUBSTITUTE('Calculations'!HF325,"~","~~"),"*","~*"),"?","~?"),'Calculations'!$HN$13:$HN$512,"="&amp;SUBSTITUTE(SUBSTITUTE(SUBSTITUTE('Dashboard'!$B$7,"~","~~"),"*","~*"),"?","~?"))+COUNTIFS('Calculations'!$IE$13:$IE$512,"="&amp;SUBSTITUTE(SUBSTITUTE(SUBSTITUTE('Calculations'!HF325,"~","~~"),"*","~*"),"?","~?"),'Calculations'!$HN$13:$HN$512,"="&amp;SUBSTITUTE(SUBSTITUTE(SUBSTITUTE('Dashboard'!$B$7,"~","~~"),"*","~*"),"?","~?"))+COUNTIFS('Calculations'!$IF$13:$IF$512,"="&amp;SUBSTITUTE(SUBSTITUTE(SUBSTITUTE('Calculations'!HF325,"~","~~"),"*","~*"),"?","~?"),'Calculations'!$HN$13:$HN$512,"="&amp;SUBSTITUTE(SUBSTITUTE(SUBSTITUTE('Dashboard'!$B$7,"~","~~"),"*","~*"),"?","~?"))+COUNTIFS('Calculations'!$IG$13:$IG$512,"="&amp;SUBSTITUTE(SUBSTITUTE(SUBSTITUTE('Calculations'!HF325,"~","~~"),"*","~*"),"?","~?"),'Calculations'!$HN$13:$HN$512,"="&amp;SUBSTITUTE(SUBSTITUTE(SUBSTITUTE('Dashboard'!$B$7,"~","~~"),"*","~*"),"?","~?"))+COUNTIFS('Calculations'!$IH$13:$IH$512,"="&amp;SUBSTITUTE(SUBSTITUTE(SUBSTITUTE('Calculations'!HF325,"~","~~"),"*","~*"),"?","~?"),'Calculations'!$HN$13:$HN$512,"="&amp;SUBSTITUTE(SUBSTITUTE(SUBSTITUTE('Dashboard'!$B$7,"~","~~"),"*","~*"),"?","~?"))))</x:f>
        <x:v>0</x:v>
      </x:c>
      <x:c r="JD325" t="n">
        <x:f>IF('Calculations'!EM325="",0,IF('Dashboard'!$B$7="All",1,IF('Calculations'!HN325='Dashboard'!$B$7,1,0)+IFERROR(INDEX('Calculations'!$JC$13:$JC$512,MATCH('Calculations'!HE325,'Calculations'!$HF$13:$HF$512,0)),0)))</x:f>
        <x:v>0</x:v>
      </x:c>
      <x:c r="JE325" t="n">
        <x:f>IF(AND('Calculations'!EM325&lt;&gt;"",'Calculations'!$JJ$2&lt;&gt;"All",'Calculations'!$JJ$2&lt;&gt;"",'Calculations'!HF325='Calculations'!$JJ$2,'Calculations'!HL325=0,'Calculations'!JD325&gt;0),MAX('Calculations'!$JE$12:JE324)+1,0)</x:f>
        <x:v>0</x:v>
      </x:c>
      <x:c r="JF325" t="str">
        <x:f>IF('Calculations'!EM325="","",IFERROR(IF(INDEX(INDIRECT("'WCM Calibration Final'!$G$1:$G$2000"),'Calculations'!$EM325)="","",TRIM(INDEX(INDIRECT("'WCM Calibration Final'!$G$1:$G$2000"),'Calculations'!$EM325)&amp;"")),""))</x:f>
      </x:c>
      <x:c r="JQ325" t="n">
        <x:f>IF(OR('Calculations'!BM325=0,NOT('Calculations'!$AG$2),'Calculations'!$AG$8&gt;0),0,IF(OR('Dashboard'!$B$7="All",'Calculations'!HN325='Dashboard'!$B$7),IF('Calculations'!$JJ$2="All",1,IF(AND('Calculations'!HF325='Calculations'!$JJ$2,'Calculations'!HL325=0),1,0)),0))</x:f>
        <x:v>0</x:v>
      </x:c>
    </x:row>
    <x:row r="326">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t="n">
        <x:f>IF('Calculations'!$EM326="",0,IF(OR(IFERROR(INDEX(INDIRECT("'WCM Calibration Final'!$A$1:$A$2000"),'Calculations'!$EM326)&lt;&gt;"",FALSE),IFERROR(INDEX(INDIRECT("'WCM Calibration Final'!$B$1:$B$2000"),'Calculations'!$EM326)&lt;&gt;"",FALSE),IFERROR(INDEX(INDIRECT("'WCM Calibration Final'!$C$1:$C$2000"),'Calculations'!$EM326)&lt;&gt;"",FALSE)),1,0))</x:f>
        <x:v>0</x:v>
      </x:c>
      <x:c r="BN326" s="4" t="n">
        <x:f>IF(AND('Calculations'!BM326=1,'Calculations'!$AG$2,'Calculations'!$EN326=1),1,0)</x:f>
        <x:v>0</x:v>
      </x:c>
      <x:c r="BO326" s="4" t="str">
        <x:f>IF('Calculations'!BM326=0,"",IFERROR(IF(AND(VALUE(INDEX(INDIRECT("'WCM Calibration Final'!$K$1:$K$2000"),'Calculations'!$EM326))&gt;=1,VALUE(INDEX(INDIRECT("'WCM Calibration Final'!$K$1:$K$2000"),'Calculations'!$EM326))&lt;=4,MOD(VALUE(INDEX(INDIRECT("'WCM Calibration Final'!$K$1:$K$2000"),'Calculations'!$EM326)),1)=0),VALUE(INDEX(INDIRECT("'WCM Calibration Final'!$K$1:$K$2000"),'Calculations'!$EM326)),""),""))</x:f>
      </x:c>
      <x:c r="BP326" s="4" t="str">
        <x:f>IF('Calculations'!BM326=0,"",IFERROR(IF(AND(VALUE(INDEX(INDIRECT("'WCM Calibration Final'!$L$1:$L$2000"),'Calculations'!$EM326))&gt;=1,VALUE(INDEX(INDIRECT("'WCM Calibration Final'!$L$1:$L$2000"),'Calculations'!$EM326))&lt;=4,MOD(VALUE(INDEX(INDIRECT("'WCM Calibration Final'!$L$1:$L$2000"),'Calculations'!$EM326)),1)=0),VALUE(INDEX(INDIRECT("'WCM Calibration Final'!$L$1:$L$2000"),'Calculations'!$EM326)),""),""))</x:f>
      </x:c>
      <x:c r="BQ326" s="4"/>
      <x:c r="BR326" s="4"/>
      <x:c r="BS326" s="4"/>
      <x:c r="BT326" s="4" t="n">
        <x:f>IF(AND('Calculations'!BM326=1,ISNUMBER('Calculations'!BO326),ISNUMBER('Calculations'!BP326)),1,0)</x:f>
        <x:v>0</x:v>
      </x:c>
      <x:c r="BU326" s="4" t="str">
        <x:f>IF('Calculations'!BM326=0,"",'Calculations'!$EO326)</x:f>
      </x:c>
      <x:c r="BV326" s="4" t="str">
        <x:f>IF('Calculations'!BM326=0,"",IFERROR(IF(OR(INDEX(INDIRECT("'WCM Calibration Final'!$H$1:$H$2000"),'Calculations'!$EM326)="MANAGING DIRECTOR",INDEX(INDIRECT("'WCM Calibration Final'!$H$1:$H$2000"),'Calculations'!$EM326)="DIRECTOR",INDEX(INDIRECT("'WCM Calibration Final'!$H$1:$H$2000"),'Calculations'!$EM326)="SENIOR VICE PRESIDENT",INDEX(INDIRECT("'WCM Calibration Final'!$H$1:$H$2000"),'Calculations'!$EM326)="VICE PRESIDENT",INDEX(INDIRECT("'WCM Calibration Final'!$H$1:$H$2000"),'Calculations'!$EM326)="ASSISTANT VICE PRESIDENT",INDEX(INDIRECT("'WCM Calibration Final'!$H$1:$H$2000"),'Calculations'!$EM326)="OFFICER"),UPPER(INDEX(INDIRECT("'WCM Calibration Final'!$H$1:$H$2000"),'Calculations'!$EM326)),"Other"),"Other"))</x:f>
      </x:c>
      <x:c r="BW326" s="4"/>
      <x:c r="BX326" s="4"/>
      <x:c r="BY326" s="4" t="n">
        <x:f>IF(AND('Calculations'!BM326=1,'Calculations'!BU326&lt;&gt;"",COUNTIF('Calculations'!$BU$12:BU326,'Calculations'!BU326)=1),MAX('Calculations'!$BY$11:BY325)+1,0)</x:f>
        <x:v>0</x:v>
      </x:c>
      <x:c r="BZ326" s="4" t="str">
        <x:f>IF('Dashboard'!$E$67="What",'Calculations'!BO326,'Calculations'!BP326)</x:f>
      </x:c>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t="str">
        <x:f>IF(315&gt;MAX('Calculations'!$HI$13:$HI$512),"",INDEX('Calculations'!$HN$13:$HN$512,MATCH(315,'Calculations'!$HI$13:$HI$512,0)))</x:f>
      </x:c>
      <x:c r="DB326" s="4" t="str">
        <x:f>IF(315&gt;MAX('Calculations'!$HH$13:$HH$512),"",INDEX('Calculations'!$HJ$13:$HJ$512,MATCH(315,'Calculations'!$HH$13:$HH$512,0)))</x:f>
      </x:c>
      <x:c r="DC326" s="4" t="str">
        <x:f>IF(ROW()-11&gt;MAX('Calculations'!$BY$13:$BY$512),"",INDEX('Calculations'!$BU$13:$BU$512,MATCH(ROW()-11,'Calculations'!$BY$13:$BY$512,0)))</x:f>
      </x:c>
      <x:c r="DD326" s="4" t="str">
        <x:f>IF(315&gt;MAX('Calculations'!$IK$13:$IK$512),"",INDEX('Calculations'!$HK$13:$HK$512,MATCH(315,'Calculations'!$IK$13:$IK$512,0)))</x:f>
      </x:c>
      <x:c r="DE326" s="4" t="str">
        <x:f>'Calculations'!DC326</x:f>
      </x:c>
      <x:c r="DF326" s="4" t="str">
        <x:f>IF('Calculations'!DE326="","",COUNTIFS('Calculations'!$BN$13:$BN$512,1,'Calculations'!$BU$13:$BU$512,'Calculations'!DE326))</x:f>
      </x:c>
      <x:c r="DG326" s="4" t="str">
        <x:f>IF('Calculations'!DE326="","",COUNTIFS('Calculations'!$BN$13:$BN$512,1,'Calculations'!$BU$13:$BU$512,'Calculations'!DE326,'Calculations'!$BT$13:$BT$512,1))</x:f>
      </x:c>
      <x:c r="DH326" s="4" t="str">
        <x:f>IF('Calculations'!DE326="","",'Calculations'!DF326-'Calculations'!DG326)</x:f>
      </x:c>
      <x:c r="DI326" s="4" t="str">
        <x:f>IF(OR('Calculations'!DE326="",'Calculations'!DF326=0),"",'Calculations'!DG326/'Calculations'!DF326)</x:f>
      </x:c>
      <x:c r="DJ326" s="4" t="str">
        <x:f>IF('Calculations'!DE326="","",COUNTIFS('Calculations'!$BN$13:$BN$512,1,'Calculations'!$BU$13:$BU$512,'Calculations'!DE326,'Calculations'!$BT$13:$BT$512,1,'Calculations'!$EE$13:$EE$512,"High"))</x:f>
      </x:c>
      <x:c r="DK326" s="4" t="str">
        <x:f>IF('Calculations'!DE326="","",COUNTIFS('Calculations'!$BN$13:$BN$512,1,'Calculations'!$BU$13:$BU$512,'Calculations'!DE326,'Calculations'!$BT$13:$BT$512,1,'Calculations'!$EE$13:$EE$512,"Strong"))</x:f>
      </x:c>
      <x:c r="DL326" s="4" t="str">
        <x:f>IF('Calculations'!DE326="","",COUNTIFS('Calculations'!$BN$13:$BN$512,1,'Calculations'!$BU$13:$BU$512,'Calculations'!DE326,'Calculations'!$BT$13:$BT$512,1,'Calculations'!$EE$13:$EE$512,"Solid"))</x:f>
      </x:c>
      <x:c r="DM326" s="4" t="str">
        <x:f>IF('Calculations'!DE326="","",COUNTIFS('Calculations'!$BN$13:$BN$512,1,'Calculations'!$BU$13:$BU$512,'Calculations'!DE326,'Calculations'!$BT$13:$BT$512,1,'Calculations'!$EE$13:$EE$512,"Low"))</x:f>
      </x:c>
      <x:c r="DN326" s="4" t="str">
        <x:f>IF('Calculations'!DE326="","",COUNTIFS('Calculations'!$BN$13:$BN$512,1,'Calculations'!$BU$13:$BU$512,'Calculations'!DE326,'Calculations'!$EP$13:$EP$512,1))</x:f>
      </x:c>
      <x:c r="DO326" s="4" t="str">
        <x:f>IF(OR('Calculations'!DE326="",'Calculations'!DG326=0),"",('Calculations'!DJ326+'Calculations'!DK326)/'Calculations'!DG326)</x:f>
      </x:c>
      <x:c r="DP326" s="4" t="n">
        <x:f>IF(AND('Calculations'!DE326&lt;&gt;"",'Calculations'!DF326&gt;0),COUNTIF('Calculations'!$DF$12:DF326,"&gt;0"),0)</x:f>
        <x:v>0</x:v>
      </x:c>
      <x:c r="DQ326" s="4" t="str">
        <x:f>IF(315&gt;MAX('Calculations'!$HH$13:$HH$512),"",INDEX('Calculations'!$HF$13:$HF$512,MATCH(315,'Calculations'!$HH$13:$HH$512,0)))</x:f>
      </x:c>
      <x:c r="DR326" s="4" t="str">
        <x:f>IF(315&gt;MAX('Calculations'!$IK$13:$IK$512),"",INDEX('Calculations'!$HE$13:$HE$512,MATCH(315,'Calculations'!$IK$13:$IK$512,0)))</x:f>
      </x:c>
      <x:c r="DS326" s="4"/>
      <x:c r="DT326" s="4"/>
      <x:c r="DU326" s="4"/>
      <x:c r="DV326" s="4"/>
      <x:c r="DW326" s="4"/>
      <x:c r="DX326" s="4"/>
      <x:c r="DY326" s="4"/>
      <x:c r="DZ326" s="4"/>
      <x:c r="EA326" s="4"/>
      <x:c r="EB326" s="4"/>
      <x:c r="EC326" s="4"/>
      <x:c r="ED326" s="4"/>
      <x:c r="EE326" s="4" t="str">
        <x:f>IF('Calculations'!BT326=0,"Not Rated",IF(OR('Calculations'!BO326&gt;=4,'Calculations'!BP326&gt;=4),"Low",IF('Calculations'!BO326+'Calculations'!BP326&lt;=3,"High",IF('Calculations'!BO326+'Calculations'!BP326&lt;=4,"Strong","Solid"))))</x:f>
        <x:v>Not Rated</x:v>
      </x:c>
      <x:c r="EF326" s="4"/>
      <x:c r="EG326" s="4"/>
      <x:c r="EH326" s="4"/>
      <x:c r="EI326" s="4"/>
      <x:c r="EJ326" s="4"/>
      <x:c r="EK326" s="4"/>
      <x:c r="EL326" s="4"/>
      <x:c r="EM326" s="4" t="str">
        <x:f>IF(314&gt;'Calculations'!$JB$2000,"",INDEX('Calculations'!$JA$12:$JA$2000,MATCH(314,'Calculations'!$JB$12:$JB$2000,0)))</x:f>
      </x:c>
      <x:c r="EN326" s="4" t="n">
        <x:f>IF(OR('Calculations'!EM326="",'Calculations'!$AG$8&gt;0,AND('Calculations'!$EF$2&lt;&gt;"All",'Calculations'!HE326='Calculations'!$EF$2),AND('Calculations'!$EF$3&lt;&gt;"All",'Calculations'!HE326='Calculations'!$EF$3)),0,IF(OR('Dashboard'!$B$7="All",'Calculations'!HN326='Dashboard'!$B$7),IF('Calculations'!$EF$2="All",1,IF('Calculations'!HL326&gt;0,0,IF(COUNTIF('Calculations'!HO326:II326,"="&amp;SUBSTITUTE(SUBSTITUTE(SUBSTITUTE('Calculations'!$EF$2,"~","~~"),"*","~*"),"?","~?"))=0,0,IF('Calculations'!$EF$3="All",1,IF(COUNTIF('Calculations'!HO326:II326,"="&amp;SUBSTITUTE(SUBSTITUTE(SUBSTITUTE('Calculations'!$EF$3,"~","~~"),"*","~*"),"?","~?"))&gt;0,1,0))))),0))</x:f>
        <x:v>0</x:v>
      </x:c>
      <x:c r="EO326" s="4" t="str">
        <x:f>IF('Calculations'!IJ326="","",IF('Calculations'!IJ326="!UNRESOLVED","Unresolved hierarchy",IFERROR(INDEX('Calculations'!$HK$13:$HK$512,MATCH('Calculations'!IJ326,'Calculations'!$HE$13:$HE$512,0)),IFERROR(INDEX('Calculations'!$HJ$13:$HJ$512,MATCH('Calculations'!IJ326,'Calculations'!$HF$13:$HF$512,0)),'Calculations'!IJ326))))</x:f>
      </x:c>
      <x:c r="EP326" s="4" t="n">
        <x:f>IF(AND('Calculations'!EM326&lt;&gt;"",'Calculations'!HF326='Calculations'!IJ326),1,0)</x:f>
        <x:v>0</x:v>
      </x:c>
      <x:c r="EQ326" s="4"/>
      <x:c r="ER326" s="4"/>
      <x:c r="ES326" s="4"/>
      <x:c r="ET326" s="4"/>
      <x:c r="EU326" s="4"/>
      <x:c r="EV326" s="4"/>
      <x:c r="EW326" s="4"/>
      <x:c r="EX326" s="4"/>
      <x:c r="EY326" s="4"/>
      <x:c r="EZ326" s="4"/>
      <x:c r="FA326" s="4"/>
      <x:c r="FB326" s="4"/>
      <x:c r="FC326" s="4"/>
      <x:c r="FD326" s="4"/>
      <x:c r="FE326" s="4"/>
      <x:c r="FF326" s="4"/>
      <x:c r="FG326" s="4"/>
      <x:c r="FH326" s="4"/>
      <x:c r="FI326" s="4"/>
      <x:c r="FJ326" s="4"/>
      <x:c r="FK326" s="4"/>
      <x:c r="FL326" s="4"/>
      <x:c r="FM326" s="4"/>
      <x:c r="FN326" s="4"/>
      <x:c r="FO326" s="4"/>
      <x:c r="HE326" t="str">
        <x:f>IF('Calculations'!EM326="","",IF(IFERROR(IF(INDEX(INDIRECT("'WCM Calibration Final'!$A$1:$A$2000"),'Calculations'!$EM326)="","",TRIM(INDEX(INDIRECT("'WCM Calibration Final'!$A$1:$A$2000"),'Calculations'!$EM326)&amp;"")),"")&lt;&gt;"","G:"&amp;IFERROR(TEXT(1*INDEX(INDIRECT("'WCM Calibration Final'!$A$1:$A$2000"),'Calculations'!$EM326),"0"),UPPER(IFERROR(IF(INDEX(INDIRECT("'WCM Calibration Final'!$A$1:$A$2000"),'Calculations'!$EM326)="","",TRIM(INDEX(INDIRECT("'WCM Calibration Final'!$A$1:$A$2000"),'Calculations'!$EM326)&amp;"")),""))),IF(IFERROR(IF(INDEX(INDIRECT("'WCM Calibration Final'!$C$1:$C$2000"),'Calculations'!$EM326)="","",TRIM(INDEX(INDIRECT("'WCM Calibration Final'!$C$1:$C$2000"),'Calculations'!$EM326)&amp;"")),"")&lt;&gt;"","S:"&amp;UPPER(IFERROR(IF(INDEX(INDIRECT("'WCM Calibration Final'!$C$1:$C$2000"),'Calculations'!$EM326)="","",TRIM(INDEX(INDIRECT("'WCM Calibration Final'!$C$1:$C$2000"),'Calculations'!$EM326)&amp;"")),"")),"R:"&amp;'Calculations'!EM326)))</x:f>
      </x:c>
      <x:c r="HF326" t="str">
        <x:f>IF('Calculations'!EM326="","",IF(IFERROR(IF(INDEX(INDIRECT("'WCM Calibration Final'!$D$1:$D$2000"),'Calculations'!$EM326)="","",TRIM(INDEX(INDIRECT("'WCM Calibration Final'!$D$1:$D$2000"),'Calculations'!$EM326)&amp;"")),"")&lt;&gt;"","G:"&amp;IFERROR(TEXT(1*INDEX(INDIRECT("'WCM Calibration Final'!$D$1:$D$2000"),'Calculations'!$EM326),"0"),UPPER(IFERROR(IF(INDEX(INDIRECT("'WCM Calibration Final'!$D$1:$D$2000"),'Calculations'!$EM326)="","",TRIM(INDEX(INDIRECT("'WCM Calibration Final'!$D$1:$D$2000"),'Calculations'!$EM326)&amp;"")),""))),IF(IFERROR(IF(INDEX(INDIRECT("'WCM Calibration Final'!$E$1:$E$2000"),'Calculations'!$EM326)="","",TRIM(INDEX(INDIRECT("'WCM Calibration Final'!$E$1:$E$2000"),'Calculations'!$EM326)&amp;"")),"")="","",IF(COUNTIF('Calculations'!$HG$13:$HG$512,"="&amp;SUBSTITUTE(SUBSTITUTE(SUBSTITUTE(IFERROR(IF(INDEX(INDIRECT("'WCM Calibration Final'!$E$1:$E$2000"),'Calculations'!$EM326)="","",TRIM(INDEX(INDIRECT("'WCM Calibration Final'!$E$1:$E$2000"),'Calculations'!$EM326)&amp;"")),""),"~","~~"),"*","~*"),"?","~?"))=1,INDEX('Calculations'!$HE$13:$HE$512,MATCH(IFERROR(IF(INDEX(INDIRECT("'WCM Calibration Final'!$E$1:$E$2000"),'Calculations'!$EM326)="","",TRIM(INDEX(INDIRECT("'WCM Calibration Final'!$E$1:$E$2000"),'Calculations'!$EM326)&amp;"")),""),'Calculations'!$HG$13:$HG$512,0)),IF(COUNTIF('Calculations'!$HG$13:$HG$512,"="&amp;SUBSTITUTE(SUBSTITUTE(SUBSTITUTE(IFERROR(IF(INDEX(INDIRECT("'WCM Calibration Final'!$E$1:$E$2000"),'Calculations'!$EM326)="","",TRIM(INDEX(INDIRECT("'WCM Calibration Final'!$E$1:$E$2000"),'Calculations'!$EM326)&amp;"")),""),"~","~~"),"*","~*"),"?","~?"))&gt;1,"!AMBIG","X:"&amp;IFERROR(IF(INDEX(INDIRECT("'WCM Calibration Final'!$E$1:$E$2000"),'Calculations'!$EM326)="","",TRIM(INDEX(INDIRECT("'WCM Calibration Final'!$E$1:$E$2000"),'Calculations'!$EM326)&amp;"")),""))))))</x:f>
      </x:c>
      <x:c r="HG326" t="str">
        <x:f>IF('Calculations'!EM326="","",IFERROR(IF(INDEX(INDIRECT("'WCM Calibration Final'!$B$1:$B$2000"),'Calculations'!$EM326)="","",TRIM(INDEX(INDIRECT("'WCM Calibration Final'!$B$1:$B$2000"),'Calculations'!$EM326)&amp;"")),""))</x:f>
      </x:c>
      <x:c r="HH326" t="n">
        <x:f>IF(AND('Calculations'!JC326&gt;0,COUNTIF('Calculations'!$HF$12:HF326,"="&amp;SUBSTITUTE(SUBSTITUTE(SUBSTITUTE('Calculations'!HF326,"~","~~"),"*","~*"),"?","~?"))=1),MAX('Calculations'!$HH$12:HH325)+1,0)</x:f>
        <x:v>0</x:v>
      </x:c>
      <x:c r="HI326" t="n">
        <x:f>IF(AND('Calculations'!HN326&lt;&gt;"",COUNTIF('Calculations'!$HN$12:HN326,"="&amp;SUBSTITUTE(SUBSTITUTE(SUBSTITUTE('Calculations'!HN326,"~","~~"),"*","~*"),"?","~?"))=1),MAX('Calculations'!$HI$12:HI325)+1,0)</x:f>
        <x:v>0</x:v>
      </x:c>
      <x:c r="HJ326" t="str">
        <x:f>IF('Calculations'!HF326="","",IF(COUNTIF('Calculations'!$HE$13:$HE$512,"="&amp;SUBSTITUTE(SUBSTITUTE(SUBSTITUTE('Calculations'!HF326,"~","~~"),"*","~*"),"?","~?"))=1,INDEX('Calculations'!$HK$13:$HK$512,MATCH('Calculations'!HF326,'Calculations'!$HE$13:$HE$512,0)),IFERROR(IF(INDEX(INDIRECT("'WCM Calibration Final'!$E$1:$E$2000"),'Calculations'!$EM326)="","",TRIM(INDEX(INDIRECT("'WCM Calibration Final'!$E$1:$E$2000"),'Calculations'!$EM326)&amp;"")),"")&amp;" ["&amp;'Calculations'!HF326&amp;"]"))</x:f>
      </x:c>
      <x:c r="HK326" t="str">
        <x:f>IF('Calculations'!EM326="","",'Calculations'!HG326&amp;" ["&amp;'Calculations'!HE326&amp;"]")</x:f>
      </x:c>
      <x:c r="HL326" t="n">
        <x:f>IF('Calculations'!EM326="",0,IF(OR('Calculations'!II326&lt;&gt;"",COUNTIF('Calculations'!$HE$13:$HE$512,"="&amp;SUBSTITUTE(SUBSTITUTE(SUBSTITUTE('Calculations'!HE326,"~","~~"),"*","~*"),"?","~?"))&gt;1),1,0))</x:f>
        <x:v>0</x:v>
      </x:c>
      <x:c r="HM326" t="str">
        <x:f>IF('Calculations'!EM326="","",IF('Calculations'!HL326=1,"!UNRESOLVED",IF('Calculations'!IH326&lt;&gt;"",'Calculations'!IH326,IF('Calculations'!IG326&lt;&gt;"",'Calculations'!IG326,IF('Calculations'!IF326&lt;&gt;"",'Calculations'!IF326,IF('Calculations'!IE326&lt;&gt;"",'Calculations'!IE326,IF('Calculations'!ID326&lt;&gt;"",'Calculations'!ID326,IF('Calculations'!IC326&lt;&gt;"",'Calculations'!IC326,IF('Calculations'!IB326&lt;&gt;"",'Calculations'!IB326,IF('Calculations'!IA326&lt;&gt;"",'Calculations'!IA326,IF('Calculations'!HZ326&lt;&gt;"",'Calculations'!HZ326,IF('Calculations'!HY326&lt;&gt;"",'Calculations'!HY326,IF('Calculations'!HX326&lt;&gt;"",'Calculations'!HX326,IF('Calculations'!HW326&lt;&gt;"",'Calculations'!HW326,IF('Calculations'!HV326&lt;&gt;"",'Calculations'!HV326,IF('Calculations'!HU326&lt;&gt;"",'Calculations'!HU326,IF('Calculations'!HT326&lt;&gt;"",'Calculations'!HT326,IF('Calculations'!HS326&lt;&gt;"",'Calculations'!HS326,IF('Calculations'!HR326&lt;&gt;"",'Calculations'!HR326,IF('Calculations'!HQ326&lt;&gt;"",'Calculations'!HQ326,IF('Calculations'!HP326&lt;&gt;"",'Calculations'!HP326,IF('Calculations'!HO326&lt;&gt;"",'Calculations'!HO326,'Calculations'!HE326))))))))))))))))))))))</x:f>
      </x:c>
      <x:c r="HN326" t="str">
        <x:f>IF('Calculations'!EM326="","",IF(IFERROR(IF(INDEX(INDIRECT("'WCM Calibration Final'!$F$1:$F$2000"),'Calculations'!$EM326)="","",TRIM(INDEX(INDIRECT("'WCM Calibration Final'!$F$1:$F$2000"),'Calculations'!$EM326)&amp;"")),"")="","(Blank)",IFERROR(IF(INDEX(INDIRECT("'WCM Calibration Final'!$F$1:$F$2000"),'Calculations'!$EM326)="","",TRIM(INDEX(INDIRECT("'WCM Calibration Final'!$F$1:$F$2000"),'Calculations'!$EM326)&amp;"")),"")))</x:f>
      </x:c>
      <x:c r="HO326" t="str">
        <x:f>'Calculations'!HF326</x:f>
      </x:c>
      <x:c r="HP326" t="str">
        <x:f>IF('Calculations'!HO326="","",IF('Calculations'!HO326="!AMBIG","!AMBIG",IF(COUNTIF('Calculations'!$HE$13:$HE$512,"="&amp;SUBSTITUTE(SUBSTITUTE(SUBSTITUTE('Calculations'!HO326,"~","~~"),"*","~*"),"?","~?"))&gt;1,"!AMBIG",IFERROR(INDEX('Calculations'!$HF$13:$HF$512,MATCH('Calculations'!HO326,'Calculations'!$HE$13:$HE$512,0)),""))))</x:f>
      </x:c>
      <x:c r="HQ326" t="str">
        <x:f>IF('Calculations'!HP326="","",IF('Calculations'!HP326="!AMBIG","!AMBIG",IF(COUNTIF('Calculations'!$HE$13:$HE$512,"="&amp;SUBSTITUTE(SUBSTITUTE(SUBSTITUTE('Calculations'!HP326,"~","~~"),"*","~*"),"?","~?"))&gt;1,"!AMBIG",IFERROR(INDEX('Calculations'!$HF$13:$HF$512,MATCH('Calculations'!HP326,'Calculations'!$HE$13:$HE$512,0)),""))))</x:f>
      </x:c>
      <x:c r="HR326" t="str">
        <x:f>IF('Calculations'!HQ326="","",IF('Calculations'!HQ326="!AMBIG","!AMBIG",IF(COUNTIF('Calculations'!$HE$13:$HE$512,"="&amp;SUBSTITUTE(SUBSTITUTE(SUBSTITUTE('Calculations'!HQ326,"~","~~"),"*","~*"),"?","~?"))&gt;1,"!AMBIG",IFERROR(INDEX('Calculations'!$HF$13:$HF$512,MATCH('Calculations'!HQ326,'Calculations'!$HE$13:$HE$512,0)),""))))</x:f>
      </x:c>
      <x:c r="HS326" t="str">
        <x:f>IF('Calculations'!HR326="","",IF('Calculations'!HR326="!AMBIG","!AMBIG",IF(COUNTIF('Calculations'!$HE$13:$HE$512,"="&amp;SUBSTITUTE(SUBSTITUTE(SUBSTITUTE('Calculations'!HR326,"~","~~"),"*","~*"),"?","~?"))&gt;1,"!AMBIG",IFERROR(INDEX('Calculations'!$HF$13:$HF$512,MATCH('Calculations'!HR326,'Calculations'!$HE$13:$HE$512,0)),""))))</x:f>
      </x:c>
      <x:c r="HT326" t="str">
        <x:f>IF('Calculations'!HS326="","",IF('Calculations'!HS326="!AMBIG","!AMBIG",IF(COUNTIF('Calculations'!$HE$13:$HE$512,"="&amp;SUBSTITUTE(SUBSTITUTE(SUBSTITUTE('Calculations'!HS326,"~","~~"),"*","~*"),"?","~?"))&gt;1,"!AMBIG",IFERROR(INDEX('Calculations'!$HF$13:$HF$512,MATCH('Calculations'!HS326,'Calculations'!$HE$13:$HE$512,0)),""))))</x:f>
      </x:c>
      <x:c r="HU326" t="str">
        <x:f>IF('Calculations'!HT326="","",IF('Calculations'!HT326="!AMBIG","!AMBIG",IF(COUNTIF('Calculations'!$HE$13:$HE$512,"="&amp;SUBSTITUTE(SUBSTITUTE(SUBSTITUTE('Calculations'!HT326,"~","~~"),"*","~*"),"?","~?"))&gt;1,"!AMBIG",IFERROR(INDEX('Calculations'!$HF$13:$HF$512,MATCH('Calculations'!HT326,'Calculations'!$HE$13:$HE$512,0)),""))))</x:f>
      </x:c>
      <x:c r="HV326" t="str">
        <x:f>IF('Calculations'!HU326="","",IF('Calculations'!HU326="!AMBIG","!AMBIG",IF(COUNTIF('Calculations'!$HE$13:$HE$512,"="&amp;SUBSTITUTE(SUBSTITUTE(SUBSTITUTE('Calculations'!HU326,"~","~~"),"*","~*"),"?","~?"))&gt;1,"!AMBIG",IFERROR(INDEX('Calculations'!$HF$13:$HF$512,MATCH('Calculations'!HU326,'Calculations'!$HE$13:$HE$512,0)),""))))</x:f>
      </x:c>
      <x:c r="HW326" t="str">
        <x:f>IF('Calculations'!HV326="","",IF('Calculations'!HV326="!AMBIG","!AMBIG",IF(COUNTIF('Calculations'!$HE$13:$HE$512,"="&amp;SUBSTITUTE(SUBSTITUTE(SUBSTITUTE('Calculations'!HV326,"~","~~"),"*","~*"),"?","~?"))&gt;1,"!AMBIG",IFERROR(INDEX('Calculations'!$HF$13:$HF$512,MATCH('Calculations'!HV326,'Calculations'!$HE$13:$HE$512,0)),""))))</x:f>
      </x:c>
      <x:c r="HX326" t="str">
        <x:f>IF('Calculations'!HW326="","",IF('Calculations'!HW326="!AMBIG","!AMBIG",IF(COUNTIF('Calculations'!$HE$13:$HE$512,"="&amp;SUBSTITUTE(SUBSTITUTE(SUBSTITUTE('Calculations'!HW326,"~","~~"),"*","~*"),"?","~?"))&gt;1,"!AMBIG",IFERROR(INDEX('Calculations'!$HF$13:$HF$512,MATCH('Calculations'!HW326,'Calculations'!$HE$13:$HE$512,0)),""))))</x:f>
      </x:c>
      <x:c r="HY326" t="str">
        <x:f>IF('Calculations'!HX326="","",IF('Calculations'!HX326="!AMBIG","!AMBIG",IF(COUNTIF('Calculations'!$HE$13:$HE$512,"="&amp;SUBSTITUTE(SUBSTITUTE(SUBSTITUTE('Calculations'!HX326,"~","~~"),"*","~*"),"?","~?"))&gt;1,"!AMBIG",IFERROR(INDEX('Calculations'!$HF$13:$HF$512,MATCH('Calculations'!HX326,'Calculations'!$HE$13:$HE$512,0)),""))))</x:f>
      </x:c>
      <x:c r="HZ326" t="str">
        <x:f>IF('Calculations'!HY326="","",IF('Calculations'!HY326="!AMBIG","!AMBIG",IF(COUNTIF('Calculations'!$HE$13:$HE$512,"="&amp;SUBSTITUTE(SUBSTITUTE(SUBSTITUTE('Calculations'!HY326,"~","~~"),"*","~*"),"?","~?"))&gt;1,"!AMBIG",IFERROR(INDEX('Calculations'!$HF$13:$HF$512,MATCH('Calculations'!HY326,'Calculations'!$HE$13:$HE$512,0)),""))))</x:f>
      </x:c>
      <x:c r="IA326" t="str">
        <x:f>IF('Calculations'!HZ326="","",IF('Calculations'!HZ326="!AMBIG","!AMBIG",IF(COUNTIF('Calculations'!$HE$13:$HE$512,"="&amp;SUBSTITUTE(SUBSTITUTE(SUBSTITUTE('Calculations'!HZ326,"~","~~"),"*","~*"),"?","~?"))&gt;1,"!AMBIG",IFERROR(INDEX('Calculations'!$HF$13:$HF$512,MATCH('Calculations'!HZ326,'Calculations'!$HE$13:$HE$512,0)),""))))</x:f>
      </x:c>
      <x:c r="IB326" t="str">
        <x:f>IF('Calculations'!IA326="","",IF('Calculations'!IA326="!AMBIG","!AMBIG",IF(COUNTIF('Calculations'!$HE$13:$HE$512,"="&amp;SUBSTITUTE(SUBSTITUTE(SUBSTITUTE('Calculations'!IA326,"~","~~"),"*","~*"),"?","~?"))&gt;1,"!AMBIG",IFERROR(INDEX('Calculations'!$HF$13:$HF$512,MATCH('Calculations'!IA326,'Calculations'!$HE$13:$HE$512,0)),""))))</x:f>
      </x:c>
      <x:c r="IC326" t="str">
        <x:f>IF('Calculations'!IB326="","",IF('Calculations'!IB326="!AMBIG","!AMBIG",IF(COUNTIF('Calculations'!$HE$13:$HE$512,"="&amp;SUBSTITUTE(SUBSTITUTE(SUBSTITUTE('Calculations'!IB326,"~","~~"),"*","~*"),"?","~?"))&gt;1,"!AMBIG",IFERROR(INDEX('Calculations'!$HF$13:$HF$512,MATCH('Calculations'!IB326,'Calculations'!$HE$13:$HE$512,0)),""))))</x:f>
      </x:c>
      <x:c r="ID326" t="str">
        <x:f>IF('Calculations'!IC326="","",IF('Calculations'!IC326="!AMBIG","!AMBIG",IF(COUNTIF('Calculations'!$HE$13:$HE$512,"="&amp;SUBSTITUTE(SUBSTITUTE(SUBSTITUTE('Calculations'!IC326,"~","~~"),"*","~*"),"?","~?"))&gt;1,"!AMBIG",IFERROR(INDEX('Calculations'!$HF$13:$HF$512,MATCH('Calculations'!IC326,'Calculations'!$HE$13:$HE$512,0)),""))))</x:f>
      </x:c>
      <x:c r="IE326" t="str">
        <x:f>IF('Calculations'!ID326="","",IF('Calculations'!ID326="!AMBIG","!AMBIG",IF(COUNTIF('Calculations'!$HE$13:$HE$512,"="&amp;SUBSTITUTE(SUBSTITUTE(SUBSTITUTE('Calculations'!ID326,"~","~~"),"*","~*"),"?","~?"))&gt;1,"!AMBIG",IFERROR(INDEX('Calculations'!$HF$13:$HF$512,MATCH('Calculations'!ID326,'Calculations'!$HE$13:$HE$512,0)),""))))</x:f>
      </x:c>
      <x:c r="IF326" t="str">
        <x:f>IF('Calculations'!IE326="","",IF('Calculations'!IE326="!AMBIG","!AMBIG",IF(COUNTIF('Calculations'!$HE$13:$HE$512,"="&amp;SUBSTITUTE(SUBSTITUTE(SUBSTITUTE('Calculations'!IE326,"~","~~"),"*","~*"),"?","~?"))&gt;1,"!AMBIG",IFERROR(INDEX('Calculations'!$HF$13:$HF$512,MATCH('Calculations'!IE326,'Calculations'!$HE$13:$HE$512,0)),""))))</x:f>
      </x:c>
      <x:c r="IG326" t="str">
        <x:f>IF('Calculations'!IF326="","",IF('Calculations'!IF326="!AMBIG","!AMBIG",IF(COUNTIF('Calculations'!$HE$13:$HE$512,"="&amp;SUBSTITUTE(SUBSTITUTE(SUBSTITUTE('Calculations'!IF326,"~","~~"),"*","~*"),"?","~?"))&gt;1,"!AMBIG",IFERROR(INDEX('Calculations'!$HF$13:$HF$512,MATCH('Calculations'!IF326,'Calculations'!$HE$13:$HE$512,0)),""))))</x:f>
      </x:c>
      <x:c r="IH326" t="str">
        <x:f>IF('Calculations'!IG326="","",IF('Calculations'!IG326="!AMBIG","!AMBIG",IF(COUNTIF('Calculations'!$HE$13:$HE$512,"="&amp;SUBSTITUTE(SUBSTITUTE(SUBSTITUTE('Calculations'!IG326,"~","~~"),"*","~*"),"?","~?"))&gt;1,"!AMBIG",IFERROR(INDEX('Calculations'!$HF$13:$HF$512,MATCH('Calculations'!IG326,'Calculations'!$HE$13:$HE$512,0)),""))))</x:f>
      </x:c>
      <x:c r="II326" t="str">
        <x:f>IF('Calculations'!IH326="","",IF('Calculations'!IH326="!AMBIG","!AMBIG",IF(COUNTIF('Calculations'!$HE$13:$HE$512,"="&amp;SUBSTITUTE(SUBSTITUTE(SUBSTITUTE('Calculations'!IH326,"~","~~"),"*","~*"),"?","~?"))&gt;1,"!AMBIG",IFERROR(INDEX('Calculations'!$HF$13:$HF$512,MATCH('Calculations'!IH326,'Calculations'!$HE$13:$HE$512,0)),""))))</x:f>
      </x:c>
      <x:c r="IJ326" t="str">
        <x:f>IF('Calculations'!EM326="","",IF('Calculations'!$EF$2="All",'Calculations'!HM326,IF('Calculations'!HL326=1,"",IFERROR(IF(MATCH('Calculations'!$EF$2,'Calculations'!HO326:II326,0)=1,'Calculations'!HE326,INDEX('Calculations'!HO326:II326,1,MATCH('Calculations'!$EF$2,'Calculations'!HO326:II326,0)-1)),""))))</x:f>
      </x:c>
      <x:c r="IK326" t="n">
        <x:f>IF(AND('Calculations'!EM326&lt;&gt;"",'Calculations'!$EF$2&lt;&gt;"All",'Calculations'!HF326='Calculations'!$EF$2,'Calculations'!HL326=0,'Calculations'!JD326&gt;0),MAX('Calculations'!$IK$12:IK325)+1,0)</x:f>
        <x:v>0</x:v>
      </x:c>
      <x:c r="JA326" t="n">
        <x:f>IF(OR(IFERROR(INDIRECT("'WCM Calibration Final'!$A$326")&lt;&gt;"",FALSE),IFERROR(INDIRECT("'WCM Calibration Final'!$B$326")&lt;&gt;"",FALSE),IFERROR(INDIRECT("'WCM Calibration Final'!$C$326")&lt;&gt;"",FALSE)),326,0)</x:f>
        <x:v>0</x:v>
      </x:c>
      <x:c r="JB326" t="n">
        <x:f>'Calculations'!JB325+IF('Calculations'!JA326&gt;0,1,0)</x:f>
        <x:v>0</x:v>
      </x:c>
      <x:c r="JC326" t="n">
        <x:f>IF(OR('Calculations'!HF326="",'Calculations'!HF326="!AMBIG"),0,IF('Dashboard'!$B$7="All",1,COUNTIFS('Calculations'!$HO$13:$HO$512,"="&amp;SUBSTITUTE(SUBSTITUTE(SUBSTITUTE('Calculations'!HF326,"~","~~"),"*","~*"),"?","~?"),'Calculations'!$HN$13:$HN$512,"="&amp;SUBSTITUTE(SUBSTITUTE(SUBSTITUTE('Dashboard'!$B$7,"~","~~"),"*","~*"),"?","~?"))+COUNTIFS('Calculations'!$HP$13:$HP$512,"="&amp;SUBSTITUTE(SUBSTITUTE(SUBSTITUTE('Calculations'!HF326,"~","~~"),"*","~*"),"?","~?"),'Calculations'!$HN$13:$HN$512,"="&amp;SUBSTITUTE(SUBSTITUTE(SUBSTITUTE('Dashboard'!$B$7,"~","~~"),"*","~*"),"?","~?"))+COUNTIFS('Calculations'!$HQ$13:$HQ$512,"="&amp;SUBSTITUTE(SUBSTITUTE(SUBSTITUTE('Calculations'!HF326,"~","~~"),"*","~*"),"?","~?"),'Calculations'!$HN$13:$HN$512,"="&amp;SUBSTITUTE(SUBSTITUTE(SUBSTITUTE('Dashboard'!$B$7,"~","~~"),"*","~*"),"?","~?"))+COUNTIFS('Calculations'!$HR$13:$HR$512,"="&amp;SUBSTITUTE(SUBSTITUTE(SUBSTITUTE('Calculations'!HF326,"~","~~"),"*","~*"),"?","~?"),'Calculations'!$HN$13:$HN$512,"="&amp;SUBSTITUTE(SUBSTITUTE(SUBSTITUTE('Dashboard'!$B$7,"~","~~"),"*","~*"),"?","~?"))+COUNTIFS('Calculations'!$HS$13:$HS$512,"="&amp;SUBSTITUTE(SUBSTITUTE(SUBSTITUTE('Calculations'!HF326,"~","~~"),"*","~*"),"?","~?"),'Calculations'!$HN$13:$HN$512,"="&amp;SUBSTITUTE(SUBSTITUTE(SUBSTITUTE('Dashboard'!$B$7,"~","~~"),"*","~*"),"?","~?"))+COUNTIFS('Calculations'!$HT$13:$HT$512,"="&amp;SUBSTITUTE(SUBSTITUTE(SUBSTITUTE('Calculations'!HF326,"~","~~"),"*","~*"),"?","~?"),'Calculations'!$HN$13:$HN$512,"="&amp;SUBSTITUTE(SUBSTITUTE(SUBSTITUTE('Dashboard'!$B$7,"~","~~"),"*","~*"),"?","~?"))+COUNTIFS('Calculations'!$HU$13:$HU$512,"="&amp;SUBSTITUTE(SUBSTITUTE(SUBSTITUTE('Calculations'!HF326,"~","~~"),"*","~*"),"?","~?"),'Calculations'!$HN$13:$HN$512,"="&amp;SUBSTITUTE(SUBSTITUTE(SUBSTITUTE('Dashboard'!$B$7,"~","~~"),"*","~*"),"?","~?"))+COUNTIFS('Calculations'!$HV$13:$HV$512,"="&amp;SUBSTITUTE(SUBSTITUTE(SUBSTITUTE('Calculations'!HF326,"~","~~"),"*","~*"),"?","~?"),'Calculations'!$HN$13:$HN$512,"="&amp;SUBSTITUTE(SUBSTITUTE(SUBSTITUTE('Dashboard'!$B$7,"~","~~"),"*","~*"),"?","~?"))+COUNTIFS('Calculations'!$HW$13:$HW$512,"="&amp;SUBSTITUTE(SUBSTITUTE(SUBSTITUTE('Calculations'!HF326,"~","~~"),"*","~*"),"?","~?"),'Calculations'!$HN$13:$HN$512,"="&amp;SUBSTITUTE(SUBSTITUTE(SUBSTITUTE('Dashboard'!$B$7,"~","~~"),"*","~*"),"?","~?"))+COUNTIFS('Calculations'!$HX$13:$HX$512,"="&amp;SUBSTITUTE(SUBSTITUTE(SUBSTITUTE('Calculations'!HF326,"~","~~"),"*","~*"),"?","~?"),'Calculations'!$HN$13:$HN$512,"="&amp;SUBSTITUTE(SUBSTITUTE(SUBSTITUTE('Dashboard'!$B$7,"~","~~"),"*","~*"),"?","~?"))+COUNTIFS('Calculations'!$HY$13:$HY$512,"="&amp;SUBSTITUTE(SUBSTITUTE(SUBSTITUTE('Calculations'!HF326,"~","~~"),"*","~*"),"?","~?"),'Calculations'!$HN$13:$HN$512,"="&amp;SUBSTITUTE(SUBSTITUTE(SUBSTITUTE('Dashboard'!$B$7,"~","~~"),"*","~*"),"?","~?"))+COUNTIFS('Calculations'!$HZ$13:$HZ$512,"="&amp;SUBSTITUTE(SUBSTITUTE(SUBSTITUTE('Calculations'!HF326,"~","~~"),"*","~*"),"?","~?"),'Calculations'!$HN$13:$HN$512,"="&amp;SUBSTITUTE(SUBSTITUTE(SUBSTITUTE('Dashboard'!$B$7,"~","~~"),"*","~*"),"?","~?"))+COUNTIFS('Calculations'!$IA$13:$IA$512,"="&amp;SUBSTITUTE(SUBSTITUTE(SUBSTITUTE('Calculations'!HF326,"~","~~"),"*","~*"),"?","~?"),'Calculations'!$HN$13:$HN$512,"="&amp;SUBSTITUTE(SUBSTITUTE(SUBSTITUTE('Dashboard'!$B$7,"~","~~"),"*","~*"),"?","~?"))+COUNTIFS('Calculations'!$IB$13:$IB$512,"="&amp;SUBSTITUTE(SUBSTITUTE(SUBSTITUTE('Calculations'!HF326,"~","~~"),"*","~*"),"?","~?"),'Calculations'!$HN$13:$HN$512,"="&amp;SUBSTITUTE(SUBSTITUTE(SUBSTITUTE('Dashboard'!$B$7,"~","~~"),"*","~*"),"?","~?"))+COUNTIFS('Calculations'!$IC$13:$IC$512,"="&amp;SUBSTITUTE(SUBSTITUTE(SUBSTITUTE('Calculations'!HF326,"~","~~"),"*","~*"),"?","~?"),'Calculations'!$HN$13:$HN$512,"="&amp;SUBSTITUTE(SUBSTITUTE(SUBSTITUTE('Dashboard'!$B$7,"~","~~"),"*","~*"),"?","~?"))+COUNTIFS('Calculations'!$ID$13:$ID$512,"="&amp;SUBSTITUTE(SUBSTITUTE(SUBSTITUTE('Calculations'!HF326,"~","~~"),"*","~*"),"?","~?"),'Calculations'!$HN$13:$HN$512,"="&amp;SUBSTITUTE(SUBSTITUTE(SUBSTITUTE('Dashboard'!$B$7,"~","~~"),"*","~*"),"?","~?"))+COUNTIFS('Calculations'!$IE$13:$IE$512,"="&amp;SUBSTITUTE(SUBSTITUTE(SUBSTITUTE('Calculations'!HF326,"~","~~"),"*","~*"),"?","~?"),'Calculations'!$HN$13:$HN$512,"="&amp;SUBSTITUTE(SUBSTITUTE(SUBSTITUTE('Dashboard'!$B$7,"~","~~"),"*","~*"),"?","~?"))+COUNTIFS('Calculations'!$IF$13:$IF$512,"="&amp;SUBSTITUTE(SUBSTITUTE(SUBSTITUTE('Calculations'!HF326,"~","~~"),"*","~*"),"?","~?"),'Calculations'!$HN$13:$HN$512,"="&amp;SUBSTITUTE(SUBSTITUTE(SUBSTITUTE('Dashboard'!$B$7,"~","~~"),"*","~*"),"?","~?"))+COUNTIFS('Calculations'!$IG$13:$IG$512,"="&amp;SUBSTITUTE(SUBSTITUTE(SUBSTITUTE('Calculations'!HF326,"~","~~"),"*","~*"),"?","~?"),'Calculations'!$HN$13:$HN$512,"="&amp;SUBSTITUTE(SUBSTITUTE(SUBSTITUTE('Dashboard'!$B$7,"~","~~"),"*","~*"),"?","~?"))+COUNTIFS('Calculations'!$IH$13:$IH$512,"="&amp;SUBSTITUTE(SUBSTITUTE(SUBSTITUTE('Calculations'!HF326,"~","~~"),"*","~*"),"?","~?"),'Calculations'!$HN$13:$HN$512,"="&amp;SUBSTITUTE(SUBSTITUTE(SUBSTITUTE('Dashboard'!$B$7,"~","~~"),"*","~*"),"?","~?"))))</x:f>
        <x:v>0</x:v>
      </x:c>
      <x:c r="JD326" t="n">
        <x:f>IF('Calculations'!EM326="",0,IF('Dashboard'!$B$7="All",1,IF('Calculations'!HN326='Dashboard'!$B$7,1,0)+IFERROR(INDEX('Calculations'!$JC$13:$JC$512,MATCH('Calculations'!HE326,'Calculations'!$HF$13:$HF$512,0)),0)))</x:f>
        <x:v>0</x:v>
      </x:c>
      <x:c r="JE326" t="n">
        <x:f>IF(AND('Calculations'!EM326&lt;&gt;"",'Calculations'!$JJ$2&lt;&gt;"All",'Calculations'!$JJ$2&lt;&gt;"",'Calculations'!HF326='Calculations'!$JJ$2,'Calculations'!HL326=0,'Calculations'!JD326&gt;0),MAX('Calculations'!$JE$12:JE325)+1,0)</x:f>
        <x:v>0</x:v>
      </x:c>
      <x:c r="JF326" t="str">
        <x:f>IF('Calculations'!EM326="","",IFERROR(IF(INDEX(INDIRECT("'WCM Calibration Final'!$G$1:$G$2000"),'Calculations'!$EM326)="","",TRIM(INDEX(INDIRECT("'WCM Calibration Final'!$G$1:$G$2000"),'Calculations'!$EM326)&amp;"")),""))</x:f>
      </x:c>
      <x:c r="JQ326" t="n">
        <x:f>IF(OR('Calculations'!BM326=0,NOT('Calculations'!$AG$2),'Calculations'!$AG$8&gt;0),0,IF(OR('Dashboard'!$B$7="All",'Calculations'!HN326='Dashboard'!$B$7),IF('Calculations'!$JJ$2="All",1,IF(AND('Calculations'!HF326='Calculations'!$JJ$2,'Calculations'!HL326=0),1,0)),0))</x:f>
        <x:v>0</x:v>
      </x:c>
    </x:row>
    <x:row r="327">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t="n">
        <x:f>IF('Calculations'!$EM327="",0,IF(OR(IFERROR(INDEX(INDIRECT("'WCM Calibration Final'!$A$1:$A$2000"),'Calculations'!$EM327)&lt;&gt;"",FALSE),IFERROR(INDEX(INDIRECT("'WCM Calibration Final'!$B$1:$B$2000"),'Calculations'!$EM327)&lt;&gt;"",FALSE),IFERROR(INDEX(INDIRECT("'WCM Calibration Final'!$C$1:$C$2000"),'Calculations'!$EM327)&lt;&gt;"",FALSE)),1,0))</x:f>
        <x:v>0</x:v>
      </x:c>
      <x:c r="BN327" s="4" t="n">
        <x:f>IF(AND('Calculations'!BM327=1,'Calculations'!$AG$2,'Calculations'!$EN327=1),1,0)</x:f>
        <x:v>0</x:v>
      </x:c>
      <x:c r="BO327" s="4" t="str">
        <x:f>IF('Calculations'!BM327=0,"",IFERROR(IF(AND(VALUE(INDEX(INDIRECT("'WCM Calibration Final'!$K$1:$K$2000"),'Calculations'!$EM327))&gt;=1,VALUE(INDEX(INDIRECT("'WCM Calibration Final'!$K$1:$K$2000"),'Calculations'!$EM327))&lt;=4,MOD(VALUE(INDEX(INDIRECT("'WCM Calibration Final'!$K$1:$K$2000"),'Calculations'!$EM327)),1)=0),VALUE(INDEX(INDIRECT("'WCM Calibration Final'!$K$1:$K$2000"),'Calculations'!$EM327)),""),""))</x:f>
      </x:c>
      <x:c r="BP327" s="4" t="str">
        <x:f>IF('Calculations'!BM327=0,"",IFERROR(IF(AND(VALUE(INDEX(INDIRECT("'WCM Calibration Final'!$L$1:$L$2000"),'Calculations'!$EM327))&gt;=1,VALUE(INDEX(INDIRECT("'WCM Calibration Final'!$L$1:$L$2000"),'Calculations'!$EM327))&lt;=4,MOD(VALUE(INDEX(INDIRECT("'WCM Calibration Final'!$L$1:$L$2000"),'Calculations'!$EM327)),1)=0),VALUE(INDEX(INDIRECT("'WCM Calibration Final'!$L$1:$L$2000"),'Calculations'!$EM327)),""),""))</x:f>
      </x:c>
      <x:c r="BQ327" s="4"/>
      <x:c r="BR327" s="4"/>
      <x:c r="BS327" s="4"/>
      <x:c r="BT327" s="4" t="n">
        <x:f>IF(AND('Calculations'!BM327=1,ISNUMBER('Calculations'!BO327),ISNUMBER('Calculations'!BP327)),1,0)</x:f>
        <x:v>0</x:v>
      </x:c>
      <x:c r="BU327" s="4" t="str">
        <x:f>IF('Calculations'!BM327=0,"",'Calculations'!$EO327)</x:f>
      </x:c>
      <x:c r="BV327" s="4" t="str">
        <x:f>IF('Calculations'!BM327=0,"",IFERROR(IF(OR(INDEX(INDIRECT("'WCM Calibration Final'!$H$1:$H$2000"),'Calculations'!$EM327)="MANAGING DIRECTOR",INDEX(INDIRECT("'WCM Calibration Final'!$H$1:$H$2000"),'Calculations'!$EM327)="DIRECTOR",INDEX(INDIRECT("'WCM Calibration Final'!$H$1:$H$2000"),'Calculations'!$EM327)="SENIOR VICE PRESIDENT",INDEX(INDIRECT("'WCM Calibration Final'!$H$1:$H$2000"),'Calculations'!$EM327)="VICE PRESIDENT",INDEX(INDIRECT("'WCM Calibration Final'!$H$1:$H$2000"),'Calculations'!$EM327)="ASSISTANT VICE PRESIDENT",INDEX(INDIRECT("'WCM Calibration Final'!$H$1:$H$2000"),'Calculations'!$EM327)="OFFICER"),UPPER(INDEX(INDIRECT("'WCM Calibration Final'!$H$1:$H$2000"),'Calculations'!$EM327)),"Other"),"Other"))</x:f>
      </x:c>
      <x:c r="BW327" s="4"/>
      <x:c r="BX327" s="4"/>
      <x:c r="BY327" s="4" t="n">
        <x:f>IF(AND('Calculations'!BM327=1,'Calculations'!BU327&lt;&gt;"",COUNTIF('Calculations'!$BU$12:BU327,'Calculations'!BU327)=1),MAX('Calculations'!$BY$11:BY326)+1,0)</x:f>
        <x:v>0</x:v>
      </x:c>
      <x:c r="BZ327" s="4" t="str">
        <x:f>IF('Dashboard'!$E$67="What",'Calculations'!BO327,'Calculations'!BP327)</x:f>
      </x:c>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t="str">
        <x:f>IF(316&gt;MAX('Calculations'!$HI$13:$HI$512),"",INDEX('Calculations'!$HN$13:$HN$512,MATCH(316,'Calculations'!$HI$13:$HI$512,0)))</x:f>
      </x:c>
      <x:c r="DB327" s="4" t="str">
        <x:f>IF(316&gt;MAX('Calculations'!$HH$13:$HH$512),"",INDEX('Calculations'!$HJ$13:$HJ$512,MATCH(316,'Calculations'!$HH$13:$HH$512,0)))</x:f>
      </x:c>
      <x:c r="DC327" s="4" t="str">
        <x:f>IF(ROW()-11&gt;MAX('Calculations'!$BY$13:$BY$512),"",INDEX('Calculations'!$BU$13:$BU$512,MATCH(ROW()-11,'Calculations'!$BY$13:$BY$512,0)))</x:f>
      </x:c>
      <x:c r="DD327" s="4" t="str">
        <x:f>IF(316&gt;MAX('Calculations'!$IK$13:$IK$512),"",INDEX('Calculations'!$HK$13:$HK$512,MATCH(316,'Calculations'!$IK$13:$IK$512,0)))</x:f>
      </x:c>
      <x:c r="DE327" s="4" t="str">
        <x:f>'Calculations'!DC327</x:f>
      </x:c>
      <x:c r="DF327" s="4" t="str">
        <x:f>IF('Calculations'!DE327="","",COUNTIFS('Calculations'!$BN$13:$BN$512,1,'Calculations'!$BU$13:$BU$512,'Calculations'!DE327))</x:f>
      </x:c>
      <x:c r="DG327" s="4" t="str">
        <x:f>IF('Calculations'!DE327="","",COUNTIFS('Calculations'!$BN$13:$BN$512,1,'Calculations'!$BU$13:$BU$512,'Calculations'!DE327,'Calculations'!$BT$13:$BT$512,1))</x:f>
      </x:c>
      <x:c r="DH327" s="4" t="str">
        <x:f>IF('Calculations'!DE327="","",'Calculations'!DF327-'Calculations'!DG327)</x:f>
      </x:c>
      <x:c r="DI327" s="4" t="str">
        <x:f>IF(OR('Calculations'!DE327="",'Calculations'!DF327=0),"",'Calculations'!DG327/'Calculations'!DF327)</x:f>
      </x:c>
      <x:c r="DJ327" s="4" t="str">
        <x:f>IF('Calculations'!DE327="","",COUNTIFS('Calculations'!$BN$13:$BN$512,1,'Calculations'!$BU$13:$BU$512,'Calculations'!DE327,'Calculations'!$BT$13:$BT$512,1,'Calculations'!$EE$13:$EE$512,"High"))</x:f>
      </x:c>
      <x:c r="DK327" s="4" t="str">
        <x:f>IF('Calculations'!DE327="","",COUNTIFS('Calculations'!$BN$13:$BN$512,1,'Calculations'!$BU$13:$BU$512,'Calculations'!DE327,'Calculations'!$BT$13:$BT$512,1,'Calculations'!$EE$13:$EE$512,"Strong"))</x:f>
      </x:c>
      <x:c r="DL327" s="4" t="str">
        <x:f>IF('Calculations'!DE327="","",COUNTIFS('Calculations'!$BN$13:$BN$512,1,'Calculations'!$BU$13:$BU$512,'Calculations'!DE327,'Calculations'!$BT$13:$BT$512,1,'Calculations'!$EE$13:$EE$512,"Solid"))</x:f>
      </x:c>
      <x:c r="DM327" s="4" t="str">
        <x:f>IF('Calculations'!DE327="","",COUNTIFS('Calculations'!$BN$13:$BN$512,1,'Calculations'!$BU$13:$BU$512,'Calculations'!DE327,'Calculations'!$BT$13:$BT$512,1,'Calculations'!$EE$13:$EE$512,"Low"))</x:f>
      </x:c>
      <x:c r="DN327" s="4" t="str">
        <x:f>IF('Calculations'!DE327="","",COUNTIFS('Calculations'!$BN$13:$BN$512,1,'Calculations'!$BU$13:$BU$512,'Calculations'!DE327,'Calculations'!$EP$13:$EP$512,1))</x:f>
      </x:c>
      <x:c r="DO327" s="4" t="str">
        <x:f>IF(OR('Calculations'!DE327="",'Calculations'!DG327=0),"",('Calculations'!DJ327+'Calculations'!DK327)/'Calculations'!DG327)</x:f>
      </x:c>
      <x:c r="DP327" s="4" t="n">
        <x:f>IF(AND('Calculations'!DE327&lt;&gt;"",'Calculations'!DF327&gt;0),COUNTIF('Calculations'!$DF$12:DF327,"&gt;0"),0)</x:f>
        <x:v>0</x:v>
      </x:c>
      <x:c r="DQ327" s="4" t="str">
        <x:f>IF(316&gt;MAX('Calculations'!$HH$13:$HH$512),"",INDEX('Calculations'!$HF$13:$HF$512,MATCH(316,'Calculations'!$HH$13:$HH$512,0)))</x:f>
      </x:c>
      <x:c r="DR327" s="4" t="str">
        <x:f>IF(316&gt;MAX('Calculations'!$IK$13:$IK$512),"",INDEX('Calculations'!$HE$13:$HE$512,MATCH(316,'Calculations'!$IK$13:$IK$512,0)))</x:f>
      </x:c>
      <x:c r="DS327" s="4"/>
      <x:c r="DT327" s="4"/>
      <x:c r="DU327" s="4"/>
      <x:c r="DV327" s="4"/>
      <x:c r="DW327" s="4"/>
      <x:c r="DX327" s="4"/>
      <x:c r="DY327" s="4"/>
      <x:c r="DZ327" s="4"/>
      <x:c r="EA327" s="4"/>
      <x:c r="EB327" s="4"/>
      <x:c r="EC327" s="4"/>
      <x:c r="ED327" s="4"/>
      <x:c r="EE327" s="4" t="str">
        <x:f>IF('Calculations'!BT327=0,"Not Rated",IF(OR('Calculations'!BO327&gt;=4,'Calculations'!BP327&gt;=4),"Low",IF('Calculations'!BO327+'Calculations'!BP327&lt;=3,"High",IF('Calculations'!BO327+'Calculations'!BP327&lt;=4,"Strong","Solid"))))</x:f>
        <x:v>Not Rated</x:v>
      </x:c>
      <x:c r="EF327" s="4"/>
      <x:c r="EG327" s="4"/>
      <x:c r="EH327" s="4"/>
      <x:c r="EI327" s="4"/>
      <x:c r="EJ327" s="4"/>
      <x:c r="EK327" s="4"/>
      <x:c r="EL327" s="4"/>
      <x:c r="EM327" s="4" t="str">
        <x:f>IF(315&gt;'Calculations'!$JB$2000,"",INDEX('Calculations'!$JA$12:$JA$2000,MATCH(315,'Calculations'!$JB$12:$JB$2000,0)))</x:f>
      </x:c>
      <x:c r="EN327" s="4" t="n">
        <x:f>IF(OR('Calculations'!EM327="",'Calculations'!$AG$8&gt;0,AND('Calculations'!$EF$2&lt;&gt;"All",'Calculations'!HE327='Calculations'!$EF$2),AND('Calculations'!$EF$3&lt;&gt;"All",'Calculations'!HE327='Calculations'!$EF$3)),0,IF(OR('Dashboard'!$B$7="All",'Calculations'!HN327='Dashboard'!$B$7),IF('Calculations'!$EF$2="All",1,IF('Calculations'!HL327&gt;0,0,IF(COUNTIF('Calculations'!HO327:II327,"="&amp;SUBSTITUTE(SUBSTITUTE(SUBSTITUTE('Calculations'!$EF$2,"~","~~"),"*","~*"),"?","~?"))=0,0,IF('Calculations'!$EF$3="All",1,IF(COUNTIF('Calculations'!HO327:II327,"="&amp;SUBSTITUTE(SUBSTITUTE(SUBSTITUTE('Calculations'!$EF$3,"~","~~"),"*","~*"),"?","~?"))&gt;0,1,0))))),0))</x:f>
        <x:v>0</x:v>
      </x:c>
      <x:c r="EO327" s="4" t="str">
        <x:f>IF('Calculations'!IJ327="","",IF('Calculations'!IJ327="!UNRESOLVED","Unresolved hierarchy",IFERROR(INDEX('Calculations'!$HK$13:$HK$512,MATCH('Calculations'!IJ327,'Calculations'!$HE$13:$HE$512,0)),IFERROR(INDEX('Calculations'!$HJ$13:$HJ$512,MATCH('Calculations'!IJ327,'Calculations'!$HF$13:$HF$512,0)),'Calculations'!IJ327))))</x:f>
      </x:c>
      <x:c r="EP327" s="4" t="n">
        <x:f>IF(AND('Calculations'!EM327&lt;&gt;"",'Calculations'!HF327='Calculations'!IJ327),1,0)</x:f>
        <x:v>0</x:v>
      </x:c>
      <x:c r="EQ327" s="4"/>
      <x:c r="ER327" s="4"/>
      <x:c r="ES327" s="4"/>
      <x:c r="ET327" s="4"/>
      <x:c r="EU327" s="4"/>
      <x:c r="EV327" s="4"/>
      <x:c r="EW327" s="4"/>
      <x:c r="EX327" s="4"/>
      <x:c r="EY327" s="4"/>
      <x:c r="EZ327" s="4"/>
      <x:c r="FA327" s="4"/>
      <x:c r="FB327" s="4"/>
      <x:c r="FC327" s="4"/>
      <x:c r="FD327" s="4"/>
      <x:c r="FE327" s="4"/>
      <x:c r="FF327" s="4"/>
      <x:c r="FG327" s="4"/>
      <x:c r="FH327" s="4"/>
      <x:c r="FI327" s="4"/>
      <x:c r="FJ327" s="4"/>
      <x:c r="FK327" s="4"/>
      <x:c r="FL327" s="4"/>
      <x:c r="FM327" s="4"/>
      <x:c r="FN327" s="4"/>
      <x:c r="FO327" s="4"/>
      <x:c r="HE327" t="str">
        <x:f>IF('Calculations'!EM327="","",IF(IFERROR(IF(INDEX(INDIRECT("'WCM Calibration Final'!$A$1:$A$2000"),'Calculations'!$EM327)="","",TRIM(INDEX(INDIRECT("'WCM Calibration Final'!$A$1:$A$2000"),'Calculations'!$EM327)&amp;"")),"")&lt;&gt;"","G:"&amp;IFERROR(TEXT(1*INDEX(INDIRECT("'WCM Calibration Final'!$A$1:$A$2000"),'Calculations'!$EM327),"0"),UPPER(IFERROR(IF(INDEX(INDIRECT("'WCM Calibration Final'!$A$1:$A$2000"),'Calculations'!$EM327)="","",TRIM(INDEX(INDIRECT("'WCM Calibration Final'!$A$1:$A$2000"),'Calculations'!$EM327)&amp;"")),""))),IF(IFERROR(IF(INDEX(INDIRECT("'WCM Calibration Final'!$C$1:$C$2000"),'Calculations'!$EM327)="","",TRIM(INDEX(INDIRECT("'WCM Calibration Final'!$C$1:$C$2000"),'Calculations'!$EM327)&amp;"")),"")&lt;&gt;"","S:"&amp;UPPER(IFERROR(IF(INDEX(INDIRECT("'WCM Calibration Final'!$C$1:$C$2000"),'Calculations'!$EM327)="","",TRIM(INDEX(INDIRECT("'WCM Calibration Final'!$C$1:$C$2000"),'Calculations'!$EM327)&amp;"")),"")),"R:"&amp;'Calculations'!EM327)))</x:f>
      </x:c>
      <x:c r="HF327" t="str">
        <x:f>IF('Calculations'!EM327="","",IF(IFERROR(IF(INDEX(INDIRECT("'WCM Calibration Final'!$D$1:$D$2000"),'Calculations'!$EM327)="","",TRIM(INDEX(INDIRECT("'WCM Calibration Final'!$D$1:$D$2000"),'Calculations'!$EM327)&amp;"")),"")&lt;&gt;"","G:"&amp;IFERROR(TEXT(1*INDEX(INDIRECT("'WCM Calibration Final'!$D$1:$D$2000"),'Calculations'!$EM327),"0"),UPPER(IFERROR(IF(INDEX(INDIRECT("'WCM Calibration Final'!$D$1:$D$2000"),'Calculations'!$EM327)="","",TRIM(INDEX(INDIRECT("'WCM Calibration Final'!$D$1:$D$2000"),'Calculations'!$EM327)&amp;"")),""))),IF(IFERROR(IF(INDEX(INDIRECT("'WCM Calibration Final'!$E$1:$E$2000"),'Calculations'!$EM327)="","",TRIM(INDEX(INDIRECT("'WCM Calibration Final'!$E$1:$E$2000"),'Calculations'!$EM327)&amp;"")),"")="","",IF(COUNTIF('Calculations'!$HG$13:$HG$512,"="&amp;SUBSTITUTE(SUBSTITUTE(SUBSTITUTE(IFERROR(IF(INDEX(INDIRECT("'WCM Calibration Final'!$E$1:$E$2000"),'Calculations'!$EM327)="","",TRIM(INDEX(INDIRECT("'WCM Calibration Final'!$E$1:$E$2000"),'Calculations'!$EM327)&amp;"")),""),"~","~~"),"*","~*"),"?","~?"))=1,INDEX('Calculations'!$HE$13:$HE$512,MATCH(IFERROR(IF(INDEX(INDIRECT("'WCM Calibration Final'!$E$1:$E$2000"),'Calculations'!$EM327)="","",TRIM(INDEX(INDIRECT("'WCM Calibration Final'!$E$1:$E$2000"),'Calculations'!$EM327)&amp;"")),""),'Calculations'!$HG$13:$HG$512,0)),IF(COUNTIF('Calculations'!$HG$13:$HG$512,"="&amp;SUBSTITUTE(SUBSTITUTE(SUBSTITUTE(IFERROR(IF(INDEX(INDIRECT("'WCM Calibration Final'!$E$1:$E$2000"),'Calculations'!$EM327)="","",TRIM(INDEX(INDIRECT("'WCM Calibration Final'!$E$1:$E$2000"),'Calculations'!$EM327)&amp;"")),""),"~","~~"),"*","~*"),"?","~?"))&gt;1,"!AMBIG","X:"&amp;IFERROR(IF(INDEX(INDIRECT("'WCM Calibration Final'!$E$1:$E$2000"),'Calculations'!$EM327)="","",TRIM(INDEX(INDIRECT("'WCM Calibration Final'!$E$1:$E$2000"),'Calculations'!$EM327)&amp;"")),""))))))</x:f>
      </x:c>
      <x:c r="HG327" t="str">
        <x:f>IF('Calculations'!EM327="","",IFERROR(IF(INDEX(INDIRECT("'WCM Calibration Final'!$B$1:$B$2000"),'Calculations'!$EM327)="","",TRIM(INDEX(INDIRECT("'WCM Calibration Final'!$B$1:$B$2000"),'Calculations'!$EM327)&amp;"")),""))</x:f>
      </x:c>
      <x:c r="HH327" t="n">
        <x:f>IF(AND('Calculations'!JC327&gt;0,COUNTIF('Calculations'!$HF$12:HF327,"="&amp;SUBSTITUTE(SUBSTITUTE(SUBSTITUTE('Calculations'!HF327,"~","~~"),"*","~*"),"?","~?"))=1),MAX('Calculations'!$HH$12:HH326)+1,0)</x:f>
        <x:v>0</x:v>
      </x:c>
      <x:c r="HI327" t="n">
        <x:f>IF(AND('Calculations'!HN327&lt;&gt;"",COUNTIF('Calculations'!$HN$12:HN327,"="&amp;SUBSTITUTE(SUBSTITUTE(SUBSTITUTE('Calculations'!HN327,"~","~~"),"*","~*"),"?","~?"))=1),MAX('Calculations'!$HI$12:HI326)+1,0)</x:f>
        <x:v>0</x:v>
      </x:c>
      <x:c r="HJ327" t="str">
        <x:f>IF('Calculations'!HF327="","",IF(COUNTIF('Calculations'!$HE$13:$HE$512,"="&amp;SUBSTITUTE(SUBSTITUTE(SUBSTITUTE('Calculations'!HF327,"~","~~"),"*","~*"),"?","~?"))=1,INDEX('Calculations'!$HK$13:$HK$512,MATCH('Calculations'!HF327,'Calculations'!$HE$13:$HE$512,0)),IFERROR(IF(INDEX(INDIRECT("'WCM Calibration Final'!$E$1:$E$2000"),'Calculations'!$EM327)="","",TRIM(INDEX(INDIRECT("'WCM Calibration Final'!$E$1:$E$2000"),'Calculations'!$EM327)&amp;"")),"")&amp;" ["&amp;'Calculations'!HF327&amp;"]"))</x:f>
      </x:c>
      <x:c r="HK327" t="str">
        <x:f>IF('Calculations'!EM327="","",'Calculations'!HG327&amp;" ["&amp;'Calculations'!HE327&amp;"]")</x:f>
      </x:c>
      <x:c r="HL327" t="n">
        <x:f>IF('Calculations'!EM327="",0,IF(OR('Calculations'!II327&lt;&gt;"",COUNTIF('Calculations'!$HE$13:$HE$512,"="&amp;SUBSTITUTE(SUBSTITUTE(SUBSTITUTE('Calculations'!HE327,"~","~~"),"*","~*"),"?","~?"))&gt;1),1,0))</x:f>
        <x:v>0</x:v>
      </x:c>
      <x:c r="HM327" t="str">
        <x:f>IF('Calculations'!EM327="","",IF('Calculations'!HL327=1,"!UNRESOLVED",IF('Calculations'!IH327&lt;&gt;"",'Calculations'!IH327,IF('Calculations'!IG327&lt;&gt;"",'Calculations'!IG327,IF('Calculations'!IF327&lt;&gt;"",'Calculations'!IF327,IF('Calculations'!IE327&lt;&gt;"",'Calculations'!IE327,IF('Calculations'!ID327&lt;&gt;"",'Calculations'!ID327,IF('Calculations'!IC327&lt;&gt;"",'Calculations'!IC327,IF('Calculations'!IB327&lt;&gt;"",'Calculations'!IB327,IF('Calculations'!IA327&lt;&gt;"",'Calculations'!IA327,IF('Calculations'!HZ327&lt;&gt;"",'Calculations'!HZ327,IF('Calculations'!HY327&lt;&gt;"",'Calculations'!HY327,IF('Calculations'!HX327&lt;&gt;"",'Calculations'!HX327,IF('Calculations'!HW327&lt;&gt;"",'Calculations'!HW327,IF('Calculations'!HV327&lt;&gt;"",'Calculations'!HV327,IF('Calculations'!HU327&lt;&gt;"",'Calculations'!HU327,IF('Calculations'!HT327&lt;&gt;"",'Calculations'!HT327,IF('Calculations'!HS327&lt;&gt;"",'Calculations'!HS327,IF('Calculations'!HR327&lt;&gt;"",'Calculations'!HR327,IF('Calculations'!HQ327&lt;&gt;"",'Calculations'!HQ327,IF('Calculations'!HP327&lt;&gt;"",'Calculations'!HP327,IF('Calculations'!HO327&lt;&gt;"",'Calculations'!HO327,'Calculations'!HE327))))))))))))))))))))))</x:f>
      </x:c>
      <x:c r="HN327" t="str">
        <x:f>IF('Calculations'!EM327="","",IF(IFERROR(IF(INDEX(INDIRECT("'WCM Calibration Final'!$F$1:$F$2000"),'Calculations'!$EM327)="","",TRIM(INDEX(INDIRECT("'WCM Calibration Final'!$F$1:$F$2000"),'Calculations'!$EM327)&amp;"")),"")="","(Blank)",IFERROR(IF(INDEX(INDIRECT("'WCM Calibration Final'!$F$1:$F$2000"),'Calculations'!$EM327)="","",TRIM(INDEX(INDIRECT("'WCM Calibration Final'!$F$1:$F$2000"),'Calculations'!$EM327)&amp;"")),"")))</x:f>
      </x:c>
      <x:c r="HO327" t="str">
        <x:f>'Calculations'!HF327</x:f>
      </x:c>
      <x:c r="HP327" t="str">
        <x:f>IF('Calculations'!HO327="","",IF('Calculations'!HO327="!AMBIG","!AMBIG",IF(COUNTIF('Calculations'!$HE$13:$HE$512,"="&amp;SUBSTITUTE(SUBSTITUTE(SUBSTITUTE('Calculations'!HO327,"~","~~"),"*","~*"),"?","~?"))&gt;1,"!AMBIG",IFERROR(INDEX('Calculations'!$HF$13:$HF$512,MATCH('Calculations'!HO327,'Calculations'!$HE$13:$HE$512,0)),""))))</x:f>
      </x:c>
      <x:c r="HQ327" t="str">
        <x:f>IF('Calculations'!HP327="","",IF('Calculations'!HP327="!AMBIG","!AMBIG",IF(COUNTIF('Calculations'!$HE$13:$HE$512,"="&amp;SUBSTITUTE(SUBSTITUTE(SUBSTITUTE('Calculations'!HP327,"~","~~"),"*","~*"),"?","~?"))&gt;1,"!AMBIG",IFERROR(INDEX('Calculations'!$HF$13:$HF$512,MATCH('Calculations'!HP327,'Calculations'!$HE$13:$HE$512,0)),""))))</x:f>
      </x:c>
      <x:c r="HR327" t="str">
        <x:f>IF('Calculations'!HQ327="","",IF('Calculations'!HQ327="!AMBIG","!AMBIG",IF(COUNTIF('Calculations'!$HE$13:$HE$512,"="&amp;SUBSTITUTE(SUBSTITUTE(SUBSTITUTE('Calculations'!HQ327,"~","~~"),"*","~*"),"?","~?"))&gt;1,"!AMBIG",IFERROR(INDEX('Calculations'!$HF$13:$HF$512,MATCH('Calculations'!HQ327,'Calculations'!$HE$13:$HE$512,0)),""))))</x:f>
      </x:c>
      <x:c r="HS327" t="str">
        <x:f>IF('Calculations'!HR327="","",IF('Calculations'!HR327="!AMBIG","!AMBIG",IF(COUNTIF('Calculations'!$HE$13:$HE$512,"="&amp;SUBSTITUTE(SUBSTITUTE(SUBSTITUTE('Calculations'!HR327,"~","~~"),"*","~*"),"?","~?"))&gt;1,"!AMBIG",IFERROR(INDEX('Calculations'!$HF$13:$HF$512,MATCH('Calculations'!HR327,'Calculations'!$HE$13:$HE$512,0)),""))))</x:f>
      </x:c>
      <x:c r="HT327" t="str">
        <x:f>IF('Calculations'!HS327="","",IF('Calculations'!HS327="!AMBIG","!AMBIG",IF(COUNTIF('Calculations'!$HE$13:$HE$512,"="&amp;SUBSTITUTE(SUBSTITUTE(SUBSTITUTE('Calculations'!HS327,"~","~~"),"*","~*"),"?","~?"))&gt;1,"!AMBIG",IFERROR(INDEX('Calculations'!$HF$13:$HF$512,MATCH('Calculations'!HS327,'Calculations'!$HE$13:$HE$512,0)),""))))</x:f>
      </x:c>
      <x:c r="HU327" t="str">
        <x:f>IF('Calculations'!HT327="","",IF('Calculations'!HT327="!AMBIG","!AMBIG",IF(COUNTIF('Calculations'!$HE$13:$HE$512,"="&amp;SUBSTITUTE(SUBSTITUTE(SUBSTITUTE('Calculations'!HT327,"~","~~"),"*","~*"),"?","~?"))&gt;1,"!AMBIG",IFERROR(INDEX('Calculations'!$HF$13:$HF$512,MATCH('Calculations'!HT327,'Calculations'!$HE$13:$HE$512,0)),""))))</x:f>
      </x:c>
      <x:c r="HV327" t="str">
        <x:f>IF('Calculations'!HU327="","",IF('Calculations'!HU327="!AMBIG","!AMBIG",IF(COUNTIF('Calculations'!$HE$13:$HE$512,"="&amp;SUBSTITUTE(SUBSTITUTE(SUBSTITUTE('Calculations'!HU327,"~","~~"),"*","~*"),"?","~?"))&gt;1,"!AMBIG",IFERROR(INDEX('Calculations'!$HF$13:$HF$512,MATCH('Calculations'!HU327,'Calculations'!$HE$13:$HE$512,0)),""))))</x:f>
      </x:c>
      <x:c r="HW327" t="str">
        <x:f>IF('Calculations'!HV327="","",IF('Calculations'!HV327="!AMBIG","!AMBIG",IF(COUNTIF('Calculations'!$HE$13:$HE$512,"="&amp;SUBSTITUTE(SUBSTITUTE(SUBSTITUTE('Calculations'!HV327,"~","~~"),"*","~*"),"?","~?"))&gt;1,"!AMBIG",IFERROR(INDEX('Calculations'!$HF$13:$HF$512,MATCH('Calculations'!HV327,'Calculations'!$HE$13:$HE$512,0)),""))))</x:f>
      </x:c>
      <x:c r="HX327" t="str">
        <x:f>IF('Calculations'!HW327="","",IF('Calculations'!HW327="!AMBIG","!AMBIG",IF(COUNTIF('Calculations'!$HE$13:$HE$512,"="&amp;SUBSTITUTE(SUBSTITUTE(SUBSTITUTE('Calculations'!HW327,"~","~~"),"*","~*"),"?","~?"))&gt;1,"!AMBIG",IFERROR(INDEX('Calculations'!$HF$13:$HF$512,MATCH('Calculations'!HW327,'Calculations'!$HE$13:$HE$512,0)),""))))</x:f>
      </x:c>
      <x:c r="HY327" t="str">
        <x:f>IF('Calculations'!HX327="","",IF('Calculations'!HX327="!AMBIG","!AMBIG",IF(COUNTIF('Calculations'!$HE$13:$HE$512,"="&amp;SUBSTITUTE(SUBSTITUTE(SUBSTITUTE('Calculations'!HX327,"~","~~"),"*","~*"),"?","~?"))&gt;1,"!AMBIG",IFERROR(INDEX('Calculations'!$HF$13:$HF$512,MATCH('Calculations'!HX327,'Calculations'!$HE$13:$HE$512,0)),""))))</x:f>
      </x:c>
      <x:c r="HZ327" t="str">
        <x:f>IF('Calculations'!HY327="","",IF('Calculations'!HY327="!AMBIG","!AMBIG",IF(COUNTIF('Calculations'!$HE$13:$HE$512,"="&amp;SUBSTITUTE(SUBSTITUTE(SUBSTITUTE('Calculations'!HY327,"~","~~"),"*","~*"),"?","~?"))&gt;1,"!AMBIG",IFERROR(INDEX('Calculations'!$HF$13:$HF$512,MATCH('Calculations'!HY327,'Calculations'!$HE$13:$HE$512,0)),""))))</x:f>
      </x:c>
      <x:c r="IA327" t="str">
        <x:f>IF('Calculations'!HZ327="","",IF('Calculations'!HZ327="!AMBIG","!AMBIG",IF(COUNTIF('Calculations'!$HE$13:$HE$512,"="&amp;SUBSTITUTE(SUBSTITUTE(SUBSTITUTE('Calculations'!HZ327,"~","~~"),"*","~*"),"?","~?"))&gt;1,"!AMBIG",IFERROR(INDEX('Calculations'!$HF$13:$HF$512,MATCH('Calculations'!HZ327,'Calculations'!$HE$13:$HE$512,0)),""))))</x:f>
      </x:c>
      <x:c r="IB327" t="str">
        <x:f>IF('Calculations'!IA327="","",IF('Calculations'!IA327="!AMBIG","!AMBIG",IF(COUNTIF('Calculations'!$HE$13:$HE$512,"="&amp;SUBSTITUTE(SUBSTITUTE(SUBSTITUTE('Calculations'!IA327,"~","~~"),"*","~*"),"?","~?"))&gt;1,"!AMBIG",IFERROR(INDEX('Calculations'!$HF$13:$HF$512,MATCH('Calculations'!IA327,'Calculations'!$HE$13:$HE$512,0)),""))))</x:f>
      </x:c>
      <x:c r="IC327" t="str">
        <x:f>IF('Calculations'!IB327="","",IF('Calculations'!IB327="!AMBIG","!AMBIG",IF(COUNTIF('Calculations'!$HE$13:$HE$512,"="&amp;SUBSTITUTE(SUBSTITUTE(SUBSTITUTE('Calculations'!IB327,"~","~~"),"*","~*"),"?","~?"))&gt;1,"!AMBIG",IFERROR(INDEX('Calculations'!$HF$13:$HF$512,MATCH('Calculations'!IB327,'Calculations'!$HE$13:$HE$512,0)),""))))</x:f>
      </x:c>
      <x:c r="ID327" t="str">
        <x:f>IF('Calculations'!IC327="","",IF('Calculations'!IC327="!AMBIG","!AMBIG",IF(COUNTIF('Calculations'!$HE$13:$HE$512,"="&amp;SUBSTITUTE(SUBSTITUTE(SUBSTITUTE('Calculations'!IC327,"~","~~"),"*","~*"),"?","~?"))&gt;1,"!AMBIG",IFERROR(INDEX('Calculations'!$HF$13:$HF$512,MATCH('Calculations'!IC327,'Calculations'!$HE$13:$HE$512,0)),""))))</x:f>
      </x:c>
      <x:c r="IE327" t="str">
        <x:f>IF('Calculations'!ID327="","",IF('Calculations'!ID327="!AMBIG","!AMBIG",IF(COUNTIF('Calculations'!$HE$13:$HE$512,"="&amp;SUBSTITUTE(SUBSTITUTE(SUBSTITUTE('Calculations'!ID327,"~","~~"),"*","~*"),"?","~?"))&gt;1,"!AMBIG",IFERROR(INDEX('Calculations'!$HF$13:$HF$512,MATCH('Calculations'!ID327,'Calculations'!$HE$13:$HE$512,0)),""))))</x:f>
      </x:c>
      <x:c r="IF327" t="str">
        <x:f>IF('Calculations'!IE327="","",IF('Calculations'!IE327="!AMBIG","!AMBIG",IF(COUNTIF('Calculations'!$HE$13:$HE$512,"="&amp;SUBSTITUTE(SUBSTITUTE(SUBSTITUTE('Calculations'!IE327,"~","~~"),"*","~*"),"?","~?"))&gt;1,"!AMBIG",IFERROR(INDEX('Calculations'!$HF$13:$HF$512,MATCH('Calculations'!IE327,'Calculations'!$HE$13:$HE$512,0)),""))))</x:f>
      </x:c>
      <x:c r="IG327" t="str">
        <x:f>IF('Calculations'!IF327="","",IF('Calculations'!IF327="!AMBIG","!AMBIG",IF(COUNTIF('Calculations'!$HE$13:$HE$512,"="&amp;SUBSTITUTE(SUBSTITUTE(SUBSTITUTE('Calculations'!IF327,"~","~~"),"*","~*"),"?","~?"))&gt;1,"!AMBIG",IFERROR(INDEX('Calculations'!$HF$13:$HF$512,MATCH('Calculations'!IF327,'Calculations'!$HE$13:$HE$512,0)),""))))</x:f>
      </x:c>
      <x:c r="IH327" t="str">
        <x:f>IF('Calculations'!IG327="","",IF('Calculations'!IG327="!AMBIG","!AMBIG",IF(COUNTIF('Calculations'!$HE$13:$HE$512,"="&amp;SUBSTITUTE(SUBSTITUTE(SUBSTITUTE('Calculations'!IG327,"~","~~"),"*","~*"),"?","~?"))&gt;1,"!AMBIG",IFERROR(INDEX('Calculations'!$HF$13:$HF$512,MATCH('Calculations'!IG327,'Calculations'!$HE$13:$HE$512,0)),""))))</x:f>
      </x:c>
      <x:c r="II327" t="str">
        <x:f>IF('Calculations'!IH327="","",IF('Calculations'!IH327="!AMBIG","!AMBIG",IF(COUNTIF('Calculations'!$HE$13:$HE$512,"="&amp;SUBSTITUTE(SUBSTITUTE(SUBSTITUTE('Calculations'!IH327,"~","~~"),"*","~*"),"?","~?"))&gt;1,"!AMBIG",IFERROR(INDEX('Calculations'!$HF$13:$HF$512,MATCH('Calculations'!IH327,'Calculations'!$HE$13:$HE$512,0)),""))))</x:f>
      </x:c>
      <x:c r="IJ327" t="str">
        <x:f>IF('Calculations'!EM327="","",IF('Calculations'!$EF$2="All",'Calculations'!HM327,IF('Calculations'!HL327=1,"",IFERROR(IF(MATCH('Calculations'!$EF$2,'Calculations'!HO327:II327,0)=1,'Calculations'!HE327,INDEX('Calculations'!HO327:II327,1,MATCH('Calculations'!$EF$2,'Calculations'!HO327:II327,0)-1)),""))))</x:f>
      </x:c>
      <x:c r="IK327" t="n">
        <x:f>IF(AND('Calculations'!EM327&lt;&gt;"",'Calculations'!$EF$2&lt;&gt;"All",'Calculations'!HF327='Calculations'!$EF$2,'Calculations'!HL327=0,'Calculations'!JD327&gt;0),MAX('Calculations'!$IK$12:IK326)+1,0)</x:f>
        <x:v>0</x:v>
      </x:c>
      <x:c r="JA327" t="n">
        <x:f>IF(OR(IFERROR(INDIRECT("'WCM Calibration Final'!$A$327")&lt;&gt;"",FALSE),IFERROR(INDIRECT("'WCM Calibration Final'!$B$327")&lt;&gt;"",FALSE),IFERROR(INDIRECT("'WCM Calibration Final'!$C$327")&lt;&gt;"",FALSE)),327,0)</x:f>
        <x:v>0</x:v>
      </x:c>
      <x:c r="JB327" t="n">
        <x:f>'Calculations'!JB326+IF('Calculations'!JA327&gt;0,1,0)</x:f>
        <x:v>0</x:v>
      </x:c>
      <x:c r="JC327" t="n">
        <x:f>IF(OR('Calculations'!HF327="",'Calculations'!HF327="!AMBIG"),0,IF('Dashboard'!$B$7="All",1,COUNTIFS('Calculations'!$HO$13:$HO$512,"="&amp;SUBSTITUTE(SUBSTITUTE(SUBSTITUTE('Calculations'!HF327,"~","~~"),"*","~*"),"?","~?"),'Calculations'!$HN$13:$HN$512,"="&amp;SUBSTITUTE(SUBSTITUTE(SUBSTITUTE('Dashboard'!$B$7,"~","~~"),"*","~*"),"?","~?"))+COUNTIFS('Calculations'!$HP$13:$HP$512,"="&amp;SUBSTITUTE(SUBSTITUTE(SUBSTITUTE('Calculations'!HF327,"~","~~"),"*","~*"),"?","~?"),'Calculations'!$HN$13:$HN$512,"="&amp;SUBSTITUTE(SUBSTITUTE(SUBSTITUTE('Dashboard'!$B$7,"~","~~"),"*","~*"),"?","~?"))+COUNTIFS('Calculations'!$HQ$13:$HQ$512,"="&amp;SUBSTITUTE(SUBSTITUTE(SUBSTITUTE('Calculations'!HF327,"~","~~"),"*","~*"),"?","~?"),'Calculations'!$HN$13:$HN$512,"="&amp;SUBSTITUTE(SUBSTITUTE(SUBSTITUTE('Dashboard'!$B$7,"~","~~"),"*","~*"),"?","~?"))+COUNTIFS('Calculations'!$HR$13:$HR$512,"="&amp;SUBSTITUTE(SUBSTITUTE(SUBSTITUTE('Calculations'!HF327,"~","~~"),"*","~*"),"?","~?"),'Calculations'!$HN$13:$HN$512,"="&amp;SUBSTITUTE(SUBSTITUTE(SUBSTITUTE('Dashboard'!$B$7,"~","~~"),"*","~*"),"?","~?"))+COUNTIFS('Calculations'!$HS$13:$HS$512,"="&amp;SUBSTITUTE(SUBSTITUTE(SUBSTITUTE('Calculations'!HF327,"~","~~"),"*","~*"),"?","~?"),'Calculations'!$HN$13:$HN$512,"="&amp;SUBSTITUTE(SUBSTITUTE(SUBSTITUTE('Dashboard'!$B$7,"~","~~"),"*","~*"),"?","~?"))+COUNTIFS('Calculations'!$HT$13:$HT$512,"="&amp;SUBSTITUTE(SUBSTITUTE(SUBSTITUTE('Calculations'!HF327,"~","~~"),"*","~*"),"?","~?"),'Calculations'!$HN$13:$HN$512,"="&amp;SUBSTITUTE(SUBSTITUTE(SUBSTITUTE('Dashboard'!$B$7,"~","~~"),"*","~*"),"?","~?"))+COUNTIFS('Calculations'!$HU$13:$HU$512,"="&amp;SUBSTITUTE(SUBSTITUTE(SUBSTITUTE('Calculations'!HF327,"~","~~"),"*","~*"),"?","~?"),'Calculations'!$HN$13:$HN$512,"="&amp;SUBSTITUTE(SUBSTITUTE(SUBSTITUTE('Dashboard'!$B$7,"~","~~"),"*","~*"),"?","~?"))+COUNTIFS('Calculations'!$HV$13:$HV$512,"="&amp;SUBSTITUTE(SUBSTITUTE(SUBSTITUTE('Calculations'!HF327,"~","~~"),"*","~*"),"?","~?"),'Calculations'!$HN$13:$HN$512,"="&amp;SUBSTITUTE(SUBSTITUTE(SUBSTITUTE('Dashboard'!$B$7,"~","~~"),"*","~*"),"?","~?"))+COUNTIFS('Calculations'!$HW$13:$HW$512,"="&amp;SUBSTITUTE(SUBSTITUTE(SUBSTITUTE('Calculations'!HF327,"~","~~"),"*","~*"),"?","~?"),'Calculations'!$HN$13:$HN$512,"="&amp;SUBSTITUTE(SUBSTITUTE(SUBSTITUTE('Dashboard'!$B$7,"~","~~"),"*","~*"),"?","~?"))+COUNTIFS('Calculations'!$HX$13:$HX$512,"="&amp;SUBSTITUTE(SUBSTITUTE(SUBSTITUTE('Calculations'!HF327,"~","~~"),"*","~*"),"?","~?"),'Calculations'!$HN$13:$HN$512,"="&amp;SUBSTITUTE(SUBSTITUTE(SUBSTITUTE('Dashboard'!$B$7,"~","~~"),"*","~*"),"?","~?"))+COUNTIFS('Calculations'!$HY$13:$HY$512,"="&amp;SUBSTITUTE(SUBSTITUTE(SUBSTITUTE('Calculations'!HF327,"~","~~"),"*","~*"),"?","~?"),'Calculations'!$HN$13:$HN$512,"="&amp;SUBSTITUTE(SUBSTITUTE(SUBSTITUTE('Dashboard'!$B$7,"~","~~"),"*","~*"),"?","~?"))+COUNTIFS('Calculations'!$HZ$13:$HZ$512,"="&amp;SUBSTITUTE(SUBSTITUTE(SUBSTITUTE('Calculations'!HF327,"~","~~"),"*","~*"),"?","~?"),'Calculations'!$HN$13:$HN$512,"="&amp;SUBSTITUTE(SUBSTITUTE(SUBSTITUTE('Dashboard'!$B$7,"~","~~"),"*","~*"),"?","~?"))+COUNTIFS('Calculations'!$IA$13:$IA$512,"="&amp;SUBSTITUTE(SUBSTITUTE(SUBSTITUTE('Calculations'!HF327,"~","~~"),"*","~*"),"?","~?"),'Calculations'!$HN$13:$HN$512,"="&amp;SUBSTITUTE(SUBSTITUTE(SUBSTITUTE('Dashboard'!$B$7,"~","~~"),"*","~*"),"?","~?"))+COUNTIFS('Calculations'!$IB$13:$IB$512,"="&amp;SUBSTITUTE(SUBSTITUTE(SUBSTITUTE('Calculations'!HF327,"~","~~"),"*","~*"),"?","~?"),'Calculations'!$HN$13:$HN$512,"="&amp;SUBSTITUTE(SUBSTITUTE(SUBSTITUTE('Dashboard'!$B$7,"~","~~"),"*","~*"),"?","~?"))+COUNTIFS('Calculations'!$IC$13:$IC$512,"="&amp;SUBSTITUTE(SUBSTITUTE(SUBSTITUTE('Calculations'!HF327,"~","~~"),"*","~*"),"?","~?"),'Calculations'!$HN$13:$HN$512,"="&amp;SUBSTITUTE(SUBSTITUTE(SUBSTITUTE('Dashboard'!$B$7,"~","~~"),"*","~*"),"?","~?"))+COUNTIFS('Calculations'!$ID$13:$ID$512,"="&amp;SUBSTITUTE(SUBSTITUTE(SUBSTITUTE('Calculations'!HF327,"~","~~"),"*","~*"),"?","~?"),'Calculations'!$HN$13:$HN$512,"="&amp;SUBSTITUTE(SUBSTITUTE(SUBSTITUTE('Dashboard'!$B$7,"~","~~"),"*","~*"),"?","~?"))+COUNTIFS('Calculations'!$IE$13:$IE$512,"="&amp;SUBSTITUTE(SUBSTITUTE(SUBSTITUTE('Calculations'!HF327,"~","~~"),"*","~*"),"?","~?"),'Calculations'!$HN$13:$HN$512,"="&amp;SUBSTITUTE(SUBSTITUTE(SUBSTITUTE('Dashboard'!$B$7,"~","~~"),"*","~*"),"?","~?"))+COUNTIFS('Calculations'!$IF$13:$IF$512,"="&amp;SUBSTITUTE(SUBSTITUTE(SUBSTITUTE('Calculations'!HF327,"~","~~"),"*","~*"),"?","~?"),'Calculations'!$HN$13:$HN$512,"="&amp;SUBSTITUTE(SUBSTITUTE(SUBSTITUTE('Dashboard'!$B$7,"~","~~"),"*","~*"),"?","~?"))+COUNTIFS('Calculations'!$IG$13:$IG$512,"="&amp;SUBSTITUTE(SUBSTITUTE(SUBSTITUTE('Calculations'!HF327,"~","~~"),"*","~*"),"?","~?"),'Calculations'!$HN$13:$HN$512,"="&amp;SUBSTITUTE(SUBSTITUTE(SUBSTITUTE('Dashboard'!$B$7,"~","~~"),"*","~*"),"?","~?"))+COUNTIFS('Calculations'!$IH$13:$IH$512,"="&amp;SUBSTITUTE(SUBSTITUTE(SUBSTITUTE('Calculations'!HF327,"~","~~"),"*","~*"),"?","~?"),'Calculations'!$HN$13:$HN$512,"="&amp;SUBSTITUTE(SUBSTITUTE(SUBSTITUTE('Dashboard'!$B$7,"~","~~"),"*","~*"),"?","~?"))))</x:f>
        <x:v>0</x:v>
      </x:c>
      <x:c r="JD327" t="n">
        <x:f>IF('Calculations'!EM327="",0,IF('Dashboard'!$B$7="All",1,IF('Calculations'!HN327='Dashboard'!$B$7,1,0)+IFERROR(INDEX('Calculations'!$JC$13:$JC$512,MATCH('Calculations'!HE327,'Calculations'!$HF$13:$HF$512,0)),0)))</x:f>
        <x:v>0</x:v>
      </x:c>
      <x:c r="JE327" t="n">
        <x:f>IF(AND('Calculations'!EM327&lt;&gt;"",'Calculations'!$JJ$2&lt;&gt;"All",'Calculations'!$JJ$2&lt;&gt;"",'Calculations'!HF327='Calculations'!$JJ$2,'Calculations'!HL327=0,'Calculations'!JD327&gt;0),MAX('Calculations'!$JE$12:JE326)+1,0)</x:f>
        <x:v>0</x:v>
      </x:c>
      <x:c r="JF327" t="str">
        <x:f>IF('Calculations'!EM327="","",IFERROR(IF(INDEX(INDIRECT("'WCM Calibration Final'!$G$1:$G$2000"),'Calculations'!$EM327)="","",TRIM(INDEX(INDIRECT("'WCM Calibration Final'!$G$1:$G$2000"),'Calculations'!$EM327)&amp;"")),""))</x:f>
      </x:c>
      <x:c r="JQ327" t="n">
        <x:f>IF(OR('Calculations'!BM327=0,NOT('Calculations'!$AG$2),'Calculations'!$AG$8&gt;0),0,IF(OR('Dashboard'!$B$7="All",'Calculations'!HN327='Dashboard'!$B$7),IF('Calculations'!$JJ$2="All",1,IF(AND('Calculations'!HF327='Calculations'!$JJ$2,'Calculations'!HL327=0),1,0)),0))</x:f>
        <x:v>0</x:v>
      </x:c>
    </x:row>
    <x:row r="328">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t="n">
        <x:f>IF('Calculations'!$EM328="",0,IF(OR(IFERROR(INDEX(INDIRECT("'WCM Calibration Final'!$A$1:$A$2000"),'Calculations'!$EM328)&lt;&gt;"",FALSE),IFERROR(INDEX(INDIRECT("'WCM Calibration Final'!$B$1:$B$2000"),'Calculations'!$EM328)&lt;&gt;"",FALSE),IFERROR(INDEX(INDIRECT("'WCM Calibration Final'!$C$1:$C$2000"),'Calculations'!$EM328)&lt;&gt;"",FALSE)),1,0))</x:f>
        <x:v>0</x:v>
      </x:c>
      <x:c r="BN328" s="4" t="n">
        <x:f>IF(AND('Calculations'!BM328=1,'Calculations'!$AG$2,'Calculations'!$EN328=1),1,0)</x:f>
        <x:v>0</x:v>
      </x:c>
      <x:c r="BO328" s="4" t="str">
        <x:f>IF('Calculations'!BM328=0,"",IFERROR(IF(AND(VALUE(INDEX(INDIRECT("'WCM Calibration Final'!$K$1:$K$2000"),'Calculations'!$EM328))&gt;=1,VALUE(INDEX(INDIRECT("'WCM Calibration Final'!$K$1:$K$2000"),'Calculations'!$EM328))&lt;=4,MOD(VALUE(INDEX(INDIRECT("'WCM Calibration Final'!$K$1:$K$2000"),'Calculations'!$EM328)),1)=0),VALUE(INDEX(INDIRECT("'WCM Calibration Final'!$K$1:$K$2000"),'Calculations'!$EM328)),""),""))</x:f>
      </x:c>
      <x:c r="BP328" s="4" t="str">
        <x:f>IF('Calculations'!BM328=0,"",IFERROR(IF(AND(VALUE(INDEX(INDIRECT("'WCM Calibration Final'!$L$1:$L$2000"),'Calculations'!$EM328))&gt;=1,VALUE(INDEX(INDIRECT("'WCM Calibration Final'!$L$1:$L$2000"),'Calculations'!$EM328))&lt;=4,MOD(VALUE(INDEX(INDIRECT("'WCM Calibration Final'!$L$1:$L$2000"),'Calculations'!$EM328)),1)=0),VALUE(INDEX(INDIRECT("'WCM Calibration Final'!$L$1:$L$2000"),'Calculations'!$EM328)),""),""))</x:f>
      </x:c>
      <x:c r="BQ328" s="4"/>
      <x:c r="BR328" s="4"/>
      <x:c r="BS328" s="4"/>
      <x:c r="BT328" s="4" t="n">
        <x:f>IF(AND('Calculations'!BM328=1,ISNUMBER('Calculations'!BO328),ISNUMBER('Calculations'!BP328)),1,0)</x:f>
        <x:v>0</x:v>
      </x:c>
      <x:c r="BU328" s="4" t="str">
        <x:f>IF('Calculations'!BM328=0,"",'Calculations'!$EO328)</x:f>
      </x:c>
      <x:c r="BV328" s="4" t="str">
        <x:f>IF('Calculations'!BM328=0,"",IFERROR(IF(OR(INDEX(INDIRECT("'WCM Calibration Final'!$H$1:$H$2000"),'Calculations'!$EM328)="MANAGING DIRECTOR",INDEX(INDIRECT("'WCM Calibration Final'!$H$1:$H$2000"),'Calculations'!$EM328)="DIRECTOR",INDEX(INDIRECT("'WCM Calibration Final'!$H$1:$H$2000"),'Calculations'!$EM328)="SENIOR VICE PRESIDENT",INDEX(INDIRECT("'WCM Calibration Final'!$H$1:$H$2000"),'Calculations'!$EM328)="VICE PRESIDENT",INDEX(INDIRECT("'WCM Calibration Final'!$H$1:$H$2000"),'Calculations'!$EM328)="ASSISTANT VICE PRESIDENT",INDEX(INDIRECT("'WCM Calibration Final'!$H$1:$H$2000"),'Calculations'!$EM328)="OFFICER"),UPPER(INDEX(INDIRECT("'WCM Calibration Final'!$H$1:$H$2000"),'Calculations'!$EM328)),"Other"),"Other"))</x:f>
      </x:c>
      <x:c r="BW328" s="4"/>
      <x:c r="BX328" s="4"/>
      <x:c r="BY328" s="4" t="n">
        <x:f>IF(AND('Calculations'!BM328=1,'Calculations'!BU328&lt;&gt;"",COUNTIF('Calculations'!$BU$12:BU328,'Calculations'!BU328)=1),MAX('Calculations'!$BY$11:BY327)+1,0)</x:f>
        <x:v>0</x:v>
      </x:c>
      <x:c r="BZ328" s="4" t="str">
        <x:f>IF('Dashboard'!$E$67="What",'Calculations'!BO328,'Calculations'!BP328)</x:f>
      </x:c>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t="str">
        <x:f>IF(317&gt;MAX('Calculations'!$HI$13:$HI$512),"",INDEX('Calculations'!$HN$13:$HN$512,MATCH(317,'Calculations'!$HI$13:$HI$512,0)))</x:f>
      </x:c>
      <x:c r="DB328" s="4" t="str">
        <x:f>IF(317&gt;MAX('Calculations'!$HH$13:$HH$512),"",INDEX('Calculations'!$HJ$13:$HJ$512,MATCH(317,'Calculations'!$HH$13:$HH$512,0)))</x:f>
      </x:c>
      <x:c r="DC328" s="4" t="str">
        <x:f>IF(ROW()-11&gt;MAX('Calculations'!$BY$13:$BY$512),"",INDEX('Calculations'!$BU$13:$BU$512,MATCH(ROW()-11,'Calculations'!$BY$13:$BY$512,0)))</x:f>
      </x:c>
      <x:c r="DD328" s="4" t="str">
        <x:f>IF(317&gt;MAX('Calculations'!$IK$13:$IK$512),"",INDEX('Calculations'!$HK$13:$HK$512,MATCH(317,'Calculations'!$IK$13:$IK$512,0)))</x:f>
      </x:c>
      <x:c r="DE328" s="4" t="str">
        <x:f>'Calculations'!DC328</x:f>
      </x:c>
      <x:c r="DF328" s="4" t="str">
        <x:f>IF('Calculations'!DE328="","",COUNTIFS('Calculations'!$BN$13:$BN$512,1,'Calculations'!$BU$13:$BU$512,'Calculations'!DE328))</x:f>
      </x:c>
      <x:c r="DG328" s="4" t="str">
        <x:f>IF('Calculations'!DE328="","",COUNTIFS('Calculations'!$BN$13:$BN$512,1,'Calculations'!$BU$13:$BU$512,'Calculations'!DE328,'Calculations'!$BT$13:$BT$512,1))</x:f>
      </x:c>
      <x:c r="DH328" s="4" t="str">
        <x:f>IF('Calculations'!DE328="","",'Calculations'!DF328-'Calculations'!DG328)</x:f>
      </x:c>
      <x:c r="DI328" s="4" t="str">
        <x:f>IF(OR('Calculations'!DE328="",'Calculations'!DF328=0),"",'Calculations'!DG328/'Calculations'!DF328)</x:f>
      </x:c>
      <x:c r="DJ328" s="4" t="str">
        <x:f>IF('Calculations'!DE328="","",COUNTIFS('Calculations'!$BN$13:$BN$512,1,'Calculations'!$BU$13:$BU$512,'Calculations'!DE328,'Calculations'!$BT$13:$BT$512,1,'Calculations'!$EE$13:$EE$512,"High"))</x:f>
      </x:c>
      <x:c r="DK328" s="4" t="str">
        <x:f>IF('Calculations'!DE328="","",COUNTIFS('Calculations'!$BN$13:$BN$512,1,'Calculations'!$BU$13:$BU$512,'Calculations'!DE328,'Calculations'!$BT$13:$BT$512,1,'Calculations'!$EE$13:$EE$512,"Strong"))</x:f>
      </x:c>
      <x:c r="DL328" s="4" t="str">
        <x:f>IF('Calculations'!DE328="","",COUNTIFS('Calculations'!$BN$13:$BN$512,1,'Calculations'!$BU$13:$BU$512,'Calculations'!DE328,'Calculations'!$BT$13:$BT$512,1,'Calculations'!$EE$13:$EE$512,"Solid"))</x:f>
      </x:c>
      <x:c r="DM328" s="4" t="str">
        <x:f>IF('Calculations'!DE328="","",COUNTIFS('Calculations'!$BN$13:$BN$512,1,'Calculations'!$BU$13:$BU$512,'Calculations'!DE328,'Calculations'!$BT$13:$BT$512,1,'Calculations'!$EE$13:$EE$512,"Low"))</x:f>
      </x:c>
      <x:c r="DN328" s="4" t="str">
        <x:f>IF('Calculations'!DE328="","",COUNTIFS('Calculations'!$BN$13:$BN$512,1,'Calculations'!$BU$13:$BU$512,'Calculations'!DE328,'Calculations'!$EP$13:$EP$512,1))</x:f>
      </x:c>
      <x:c r="DO328" s="4" t="str">
        <x:f>IF(OR('Calculations'!DE328="",'Calculations'!DG328=0),"",('Calculations'!DJ328+'Calculations'!DK328)/'Calculations'!DG328)</x:f>
      </x:c>
      <x:c r="DP328" s="4" t="n">
        <x:f>IF(AND('Calculations'!DE328&lt;&gt;"",'Calculations'!DF328&gt;0),COUNTIF('Calculations'!$DF$12:DF328,"&gt;0"),0)</x:f>
        <x:v>0</x:v>
      </x:c>
      <x:c r="DQ328" s="4" t="str">
        <x:f>IF(317&gt;MAX('Calculations'!$HH$13:$HH$512),"",INDEX('Calculations'!$HF$13:$HF$512,MATCH(317,'Calculations'!$HH$13:$HH$512,0)))</x:f>
      </x:c>
      <x:c r="DR328" s="4" t="str">
        <x:f>IF(317&gt;MAX('Calculations'!$IK$13:$IK$512),"",INDEX('Calculations'!$HE$13:$HE$512,MATCH(317,'Calculations'!$IK$13:$IK$512,0)))</x:f>
      </x:c>
      <x:c r="DS328" s="4"/>
      <x:c r="DT328" s="4"/>
      <x:c r="DU328" s="4"/>
      <x:c r="DV328" s="4"/>
      <x:c r="DW328" s="4"/>
      <x:c r="DX328" s="4"/>
      <x:c r="DY328" s="4"/>
      <x:c r="DZ328" s="4"/>
      <x:c r="EA328" s="4"/>
      <x:c r="EB328" s="4"/>
      <x:c r="EC328" s="4"/>
      <x:c r="ED328" s="4"/>
      <x:c r="EE328" s="4" t="str">
        <x:f>IF('Calculations'!BT328=0,"Not Rated",IF(OR('Calculations'!BO328&gt;=4,'Calculations'!BP328&gt;=4),"Low",IF('Calculations'!BO328+'Calculations'!BP328&lt;=3,"High",IF('Calculations'!BO328+'Calculations'!BP328&lt;=4,"Strong","Solid"))))</x:f>
        <x:v>Not Rated</x:v>
      </x:c>
      <x:c r="EF328" s="4"/>
      <x:c r="EG328" s="4"/>
      <x:c r="EH328" s="4"/>
      <x:c r="EI328" s="4"/>
      <x:c r="EJ328" s="4"/>
      <x:c r="EK328" s="4"/>
      <x:c r="EL328" s="4"/>
      <x:c r="EM328" s="4" t="str">
        <x:f>IF(316&gt;'Calculations'!$JB$2000,"",INDEX('Calculations'!$JA$12:$JA$2000,MATCH(316,'Calculations'!$JB$12:$JB$2000,0)))</x:f>
      </x:c>
      <x:c r="EN328" s="4" t="n">
        <x:f>IF(OR('Calculations'!EM328="",'Calculations'!$AG$8&gt;0,AND('Calculations'!$EF$2&lt;&gt;"All",'Calculations'!HE328='Calculations'!$EF$2),AND('Calculations'!$EF$3&lt;&gt;"All",'Calculations'!HE328='Calculations'!$EF$3)),0,IF(OR('Dashboard'!$B$7="All",'Calculations'!HN328='Dashboard'!$B$7),IF('Calculations'!$EF$2="All",1,IF('Calculations'!HL328&gt;0,0,IF(COUNTIF('Calculations'!HO328:II328,"="&amp;SUBSTITUTE(SUBSTITUTE(SUBSTITUTE('Calculations'!$EF$2,"~","~~"),"*","~*"),"?","~?"))=0,0,IF('Calculations'!$EF$3="All",1,IF(COUNTIF('Calculations'!HO328:II328,"="&amp;SUBSTITUTE(SUBSTITUTE(SUBSTITUTE('Calculations'!$EF$3,"~","~~"),"*","~*"),"?","~?"))&gt;0,1,0))))),0))</x:f>
        <x:v>0</x:v>
      </x:c>
      <x:c r="EO328" s="4" t="str">
        <x:f>IF('Calculations'!IJ328="","",IF('Calculations'!IJ328="!UNRESOLVED","Unresolved hierarchy",IFERROR(INDEX('Calculations'!$HK$13:$HK$512,MATCH('Calculations'!IJ328,'Calculations'!$HE$13:$HE$512,0)),IFERROR(INDEX('Calculations'!$HJ$13:$HJ$512,MATCH('Calculations'!IJ328,'Calculations'!$HF$13:$HF$512,0)),'Calculations'!IJ328))))</x:f>
      </x:c>
      <x:c r="EP328" s="4" t="n">
        <x:f>IF(AND('Calculations'!EM328&lt;&gt;"",'Calculations'!HF328='Calculations'!IJ328),1,0)</x:f>
        <x:v>0</x:v>
      </x:c>
      <x:c r="EQ328" s="4"/>
      <x:c r="ER328" s="4"/>
      <x:c r="ES328" s="4"/>
      <x:c r="ET328" s="4"/>
      <x:c r="EU328" s="4"/>
      <x:c r="EV328" s="4"/>
      <x:c r="EW328" s="4"/>
      <x:c r="EX328" s="4"/>
      <x:c r="EY328" s="4"/>
      <x:c r="EZ328" s="4"/>
      <x:c r="FA328" s="4"/>
      <x:c r="FB328" s="4"/>
      <x:c r="FC328" s="4"/>
      <x:c r="FD328" s="4"/>
      <x:c r="FE328" s="4"/>
      <x:c r="FF328" s="4"/>
      <x:c r="FG328" s="4"/>
      <x:c r="FH328" s="4"/>
      <x:c r="FI328" s="4"/>
      <x:c r="FJ328" s="4"/>
      <x:c r="FK328" s="4"/>
      <x:c r="FL328" s="4"/>
      <x:c r="FM328" s="4"/>
      <x:c r="FN328" s="4"/>
      <x:c r="FO328" s="4"/>
      <x:c r="HE328" t="str">
        <x:f>IF('Calculations'!EM328="","",IF(IFERROR(IF(INDEX(INDIRECT("'WCM Calibration Final'!$A$1:$A$2000"),'Calculations'!$EM328)="","",TRIM(INDEX(INDIRECT("'WCM Calibration Final'!$A$1:$A$2000"),'Calculations'!$EM328)&amp;"")),"")&lt;&gt;"","G:"&amp;IFERROR(TEXT(1*INDEX(INDIRECT("'WCM Calibration Final'!$A$1:$A$2000"),'Calculations'!$EM328),"0"),UPPER(IFERROR(IF(INDEX(INDIRECT("'WCM Calibration Final'!$A$1:$A$2000"),'Calculations'!$EM328)="","",TRIM(INDEX(INDIRECT("'WCM Calibration Final'!$A$1:$A$2000"),'Calculations'!$EM328)&amp;"")),""))),IF(IFERROR(IF(INDEX(INDIRECT("'WCM Calibration Final'!$C$1:$C$2000"),'Calculations'!$EM328)="","",TRIM(INDEX(INDIRECT("'WCM Calibration Final'!$C$1:$C$2000"),'Calculations'!$EM328)&amp;"")),"")&lt;&gt;"","S:"&amp;UPPER(IFERROR(IF(INDEX(INDIRECT("'WCM Calibration Final'!$C$1:$C$2000"),'Calculations'!$EM328)="","",TRIM(INDEX(INDIRECT("'WCM Calibration Final'!$C$1:$C$2000"),'Calculations'!$EM328)&amp;"")),"")),"R:"&amp;'Calculations'!EM328)))</x:f>
      </x:c>
      <x:c r="HF328" t="str">
        <x:f>IF('Calculations'!EM328="","",IF(IFERROR(IF(INDEX(INDIRECT("'WCM Calibration Final'!$D$1:$D$2000"),'Calculations'!$EM328)="","",TRIM(INDEX(INDIRECT("'WCM Calibration Final'!$D$1:$D$2000"),'Calculations'!$EM328)&amp;"")),"")&lt;&gt;"","G:"&amp;IFERROR(TEXT(1*INDEX(INDIRECT("'WCM Calibration Final'!$D$1:$D$2000"),'Calculations'!$EM328),"0"),UPPER(IFERROR(IF(INDEX(INDIRECT("'WCM Calibration Final'!$D$1:$D$2000"),'Calculations'!$EM328)="","",TRIM(INDEX(INDIRECT("'WCM Calibration Final'!$D$1:$D$2000"),'Calculations'!$EM328)&amp;"")),""))),IF(IFERROR(IF(INDEX(INDIRECT("'WCM Calibration Final'!$E$1:$E$2000"),'Calculations'!$EM328)="","",TRIM(INDEX(INDIRECT("'WCM Calibration Final'!$E$1:$E$2000"),'Calculations'!$EM328)&amp;"")),"")="","",IF(COUNTIF('Calculations'!$HG$13:$HG$512,"="&amp;SUBSTITUTE(SUBSTITUTE(SUBSTITUTE(IFERROR(IF(INDEX(INDIRECT("'WCM Calibration Final'!$E$1:$E$2000"),'Calculations'!$EM328)="","",TRIM(INDEX(INDIRECT("'WCM Calibration Final'!$E$1:$E$2000"),'Calculations'!$EM328)&amp;"")),""),"~","~~"),"*","~*"),"?","~?"))=1,INDEX('Calculations'!$HE$13:$HE$512,MATCH(IFERROR(IF(INDEX(INDIRECT("'WCM Calibration Final'!$E$1:$E$2000"),'Calculations'!$EM328)="","",TRIM(INDEX(INDIRECT("'WCM Calibration Final'!$E$1:$E$2000"),'Calculations'!$EM328)&amp;"")),""),'Calculations'!$HG$13:$HG$512,0)),IF(COUNTIF('Calculations'!$HG$13:$HG$512,"="&amp;SUBSTITUTE(SUBSTITUTE(SUBSTITUTE(IFERROR(IF(INDEX(INDIRECT("'WCM Calibration Final'!$E$1:$E$2000"),'Calculations'!$EM328)="","",TRIM(INDEX(INDIRECT("'WCM Calibration Final'!$E$1:$E$2000"),'Calculations'!$EM328)&amp;"")),""),"~","~~"),"*","~*"),"?","~?"))&gt;1,"!AMBIG","X:"&amp;IFERROR(IF(INDEX(INDIRECT("'WCM Calibration Final'!$E$1:$E$2000"),'Calculations'!$EM328)="","",TRIM(INDEX(INDIRECT("'WCM Calibration Final'!$E$1:$E$2000"),'Calculations'!$EM328)&amp;"")),""))))))</x:f>
      </x:c>
      <x:c r="HG328" t="str">
        <x:f>IF('Calculations'!EM328="","",IFERROR(IF(INDEX(INDIRECT("'WCM Calibration Final'!$B$1:$B$2000"),'Calculations'!$EM328)="","",TRIM(INDEX(INDIRECT("'WCM Calibration Final'!$B$1:$B$2000"),'Calculations'!$EM328)&amp;"")),""))</x:f>
      </x:c>
      <x:c r="HH328" t="n">
        <x:f>IF(AND('Calculations'!JC328&gt;0,COUNTIF('Calculations'!$HF$12:HF328,"="&amp;SUBSTITUTE(SUBSTITUTE(SUBSTITUTE('Calculations'!HF328,"~","~~"),"*","~*"),"?","~?"))=1),MAX('Calculations'!$HH$12:HH327)+1,0)</x:f>
        <x:v>0</x:v>
      </x:c>
      <x:c r="HI328" t="n">
        <x:f>IF(AND('Calculations'!HN328&lt;&gt;"",COUNTIF('Calculations'!$HN$12:HN328,"="&amp;SUBSTITUTE(SUBSTITUTE(SUBSTITUTE('Calculations'!HN328,"~","~~"),"*","~*"),"?","~?"))=1),MAX('Calculations'!$HI$12:HI327)+1,0)</x:f>
        <x:v>0</x:v>
      </x:c>
      <x:c r="HJ328" t="str">
        <x:f>IF('Calculations'!HF328="","",IF(COUNTIF('Calculations'!$HE$13:$HE$512,"="&amp;SUBSTITUTE(SUBSTITUTE(SUBSTITUTE('Calculations'!HF328,"~","~~"),"*","~*"),"?","~?"))=1,INDEX('Calculations'!$HK$13:$HK$512,MATCH('Calculations'!HF328,'Calculations'!$HE$13:$HE$512,0)),IFERROR(IF(INDEX(INDIRECT("'WCM Calibration Final'!$E$1:$E$2000"),'Calculations'!$EM328)="","",TRIM(INDEX(INDIRECT("'WCM Calibration Final'!$E$1:$E$2000"),'Calculations'!$EM328)&amp;"")),"")&amp;" ["&amp;'Calculations'!HF328&amp;"]"))</x:f>
      </x:c>
      <x:c r="HK328" t="str">
        <x:f>IF('Calculations'!EM328="","",'Calculations'!HG328&amp;" ["&amp;'Calculations'!HE328&amp;"]")</x:f>
      </x:c>
      <x:c r="HL328" t="n">
        <x:f>IF('Calculations'!EM328="",0,IF(OR('Calculations'!II328&lt;&gt;"",COUNTIF('Calculations'!$HE$13:$HE$512,"="&amp;SUBSTITUTE(SUBSTITUTE(SUBSTITUTE('Calculations'!HE328,"~","~~"),"*","~*"),"?","~?"))&gt;1),1,0))</x:f>
        <x:v>0</x:v>
      </x:c>
      <x:c r="HM328" t="str">
        <x:f>IF('Calculations'!EM328="","",IF('Calculations'!HL328=1,"!UNRESOLVED",IF('Calculations'!IH328&lt;&gt;"",'Calculations'!IH328,IF('Calculations'!IG328&lt;&gt;"",'Calculations'!IG328,IF('Calculations'!IF328&lt;&gt;"",'Calculations'!IF328,IF('Calculations'!IE328&lt;&gt;"",'Calculations'!IE328,IF('Calculations'!ID328&lt;&gt;"",'Calculations'!ID328,IF('Calculations'!IC328&lt;&gt;"",'Calculations'!IC328,IF('Calculations'!IB328&lt;&gt;"",'Calculations'!IB328,IF('Calculations'!IA328&lt;&gt;"",'Calculations'!IA328,IF('Calculations'!HZ328&lt;&gt;"",'Calculations'!HZ328,IF('Calculations'!HY328&lt;&gt;"",'Calculations'!HY328,IF('Calculations'!HX328&lt;&gt;"",'Calculations'!HX328,IF('Calculations'!HW328&lt;&gt;"",'Calculations'!HW328,IF('Calculations'!HV328&lt;&gt;"",'Calculations'!HV328,IF('Calculations'!HU328&lt;&gt;"",'Calculations'!HU328,IF('Calculations'!HT328&lt;&gt;"",'Calculations'!HT328,IF('Calculations'!HS328&lt;&gt;"",'Calculations'!HS328,IF('Calculations'!HR328&lt;&gt;"",'Calculations'!HR328,IF('Calculations'!HQ328&lt;&gt;"",'Calculations'!HQ328,IF('Calculations'!HP328&lt;&gt;"",'Calculations'!HP328,IF('Calculations'!HO328&lt;&gt;"",'Calculations'!HO328,'Calculations'!HE328))))))))))))))))))))))</x:f>
      </x:c>
      <x:c r="HN328" t="str">
        <x:f>IF('Calculations'!EM328="","",IF(IFERROR(IF(INDEX(INDIRECT("'WCM Calibration Final'!$F$1:$F$2000"),'Calculations'!$EM328)="","",TRIM(INDEX(INDIRECT("'WCM Calibration Final'!$F$1:$F$2000"),'Calculations'!$EM328)&amp;"")),"")="","(Blank)",IFERROR(IF(INDEX(INDIRECT("'WCM Calibration Final'!$F$1:$F$2000"),'Calculations'!$EM328)="","",TRIM(INDEX(INDIRECT("'WCM Calibration Final'!$F$1:$F$2000"),'Calculations'!$EM328)&amp;"")),"")))</x:f>
      </x:c>
      <x:c r="HO328" t="str">
        <x:f>'Calculations'!HF328</x:f>
      </x:c>
      <x:c r="HP328" t="str">
        <x:f>IF('Calculations'!HO328="","",IF('Calculations'!HO328="!AMBIG","!AMBIG",IF(COUNTIF('Calculations'!$HE$13:$HE$512,"="&amp;SUBSTITUTE(SUBSTITUTE(SUBSTITUTE('Calculations'!HO328,"~","~~"),"*","~*"),"?","~?"))&gt;1,"!AMBIG",IFERROR(INDEX('Calculations'!$HF$13:$HF$512,MATCH('Calculations'!HO328,'Calculations'!$HE$13:$HE$512,0)),""))))</x:f>
      </x:c>
      <x:c r="HQ328" t="str">
        <x:f>IF('Calculations'!HP328="","",IF('Calculations'!HP328="!AMBIG","!AMBIG",IF(COUNTIF('Calculations'!$HE$13:$HE$512,"="&amp;SUBSTITUTE(SUBSTITUTE(SUBSTITUTE('Calculations'!HP328,"~","~~"),"*","~*"),"?","~?"))&gt;1,"!AMBIG",IFERROR(INDEX('Calculations'!$HF$13:$HF$512,MATCH('Calculations'!HP328,'Calculations'!$HE$13:$HE$512,0)),""))))</x:f>
      </x:c>
      <x:c r="HR328" t="str">
        <x:f>IF('Calculations'!HQ328="","",IF('Calculations'!HQ328="!AMBIG","!AMBIG",IF(COUNTIF('Calculations'!$HE$13:$HE$512,"="&amp;SUBSTITUTE(SUBSTITUTE(SUBSTITUTE('Calculations'!HQ328,"~","~~"),"*","~*"),"?","~?"))&gt;1,"!AMBIG",IFERROR(INDEX('Calculations'!$HF$13:$HF$512,MATCH('Calculations'!HQ328,'Calculations'!$HE$13:$HE$512,0)),""))))</x:f>
      </x:c>
      <x:c r="HS328" t="str">
        <x:f>IF('Calculations'!HR328="","",IF('Calculations'!HR328="!AMBIG","!AMBIG",IF(COUNTIF('Calculations'!$HE$13:$HE$512,"="&amp;SUBSTITUTE(SUBSTITUTE(SUBSTITUTE('Calculations'!HR328,"~","~~"),"*","~*"),"?","~?"))&gt;1,"!AMBIG",IFERROR(INDEX('Calculations'!$HF$13:$HF$512,MATCH('Calculations'!HR328,'Calculations'!$HE$13:$HE$512,0)),""))))</x:f>
      </x:c>
      <x:c r="HT328" t="str">
        <x:f>IF('Calculations'!HS328="","",IF('Calculations'!HS328="!AMBIG","!AMBIG",IF(COUNTIF('Calculations'!$HE$13:$HE$512,"="&amp;SUBSTITUTE(SUBSTITUTE(SUBSTITUTE('Calculations'!HS328,"~","~~"),"*","~*"),"?","~?"))&gt;1,"!AMBIG",IFERROR(INDEX('Calculations'!$HF$13:$HF$512,MATCH('Calculations'!HS328,'Calculations'!$HE$13:$HE$512,0)),""))))</x:f>
      </x:c>
      <x:c r="HU328" t="str">
        <x:f>IF('Calculations'!HT328="","",IF('Calculations'!HT328="!AMBIG","!AMBIG",IF(COUNTIF('Calculations'!$HE$13:$HE$512,"="&amp;SUBSTITUTE(SUBSTITUTE(SUBSTITUTE('Calculations'!HT328,"~","~~"),"*","~*"),"?","~?"))&gt;1,"!AMBIG",IFERROR(INDEX('Calculations'!$HF$13:$HF$512,MATCH('Calculations'!HT328,'Calculations'!$HE$13:$HE$512,0)),""))))</x:f>
      </x:c>
      <x:c r="HV328" t="str">
        <x:f>IF('Calculations'!HU328="","",IF('Calculations'!HU328="!AMBIG","!AMBIG",IF(COUNTIF('Calculations'!$HE$13:$HE$512,"="&amp;SUBSTITUTE(SUBSTITUTE(SUBSTITUTE('Calculations'!HU328,"~","~~"),"*","~*"),"?","~?"))&gt;1,"!AMBIG",IFERROR(INDEX('Calculations'!$HF$13:$HF$512,MATCH('Calculations'!HU328,'Calculations'!$HE$13:$HE$512,0)),""))))</x:f>
      </x:c>
      <x:c r="HW328" t="str">
        <x:f>IF('Calculations'!HV328="","",IF('Calculations'!HV328="!AMBIG","!AMBIG",IF(COUNTIF('Calculations'!$HE$13:$HE$512,"="&amp;SUBSTITUTE(SUBSTITUTE(SUBSTITUTE('Calculations'!HV328,"~","~~"),"*","~*"),"?","~?"))&gt;1,"!AMBIG",IFERROR(INDEX('Calculations'!$HF$13:$HF$512,MATCH('Calculations'!HV328,'Calculations'!$HE$13:$HE$512,0)),""))))</x:f>
      </x:c>
      <x:c r="HX328" t="str">
        <x:f>IF('Calculations'!HW328="","",IF('Calculations'!HW328="!AMBIG","!AMBIG",IF(COUNTIF('Calculations'!$HE$13:$HE$512,"="&amp;SUBSTITUTE(SUBSTITUTE(SUBSTITUTE('Calculations'!HW328,"~","~~"),"*","~*"),"?","~?"))&gt;1,"!AMBIG",IFERROR(INDEX('Calculations'!$HF$13:$HF$512,MATCH('Calculations'!HW328,'Calculations'!$HE$13:$HE$512,0)),""))))</x:f>
      </x:c>
      <x:c r="HY328" t="str">
        <x:f>IF('Calculations'!HX328="","",IF('Calculations'!HX328="!AMBIG","!AMBIG",IF(COUNTIF('Calculations'!$HE$13:$HE$512,"="&amp;SUBSTITUTE(SUBSTITUTE(SUBSTITUTE('Calculations'!HX328,"~","~~"),"*","~*"),"?","~?"))&gt;1,"!AMBIG",IFERROR(INDEX('Calculations'!$HF$13:$HF$512,MATCH('Calculations'!HX328,'Calculations'!$HE$13:$HE$512,0)),""))))</x:f>
      </x:c>
      <x:c r="HZ328" t="str">
        <x:f>IF('Calculations'!HY328="","",IF('Calculations'!HY328="!AMBIG","!AMBIG",IF(COUNTIF('Calculations'!$HE$13:$HE$512,"="&amp;SUBSTITUTE(SUBSTITUTE(SUBSTITUTE('Calculations'!HY328,"~","~~"),"*","~*"),"?","~?"))&gt;1,"!AMBIG",IFERROR(INDEX('Calculations'!$HF$13:$HF$512,MATCH('Calculations'!HY328,'Calculations'!$HE$13:$HE$512,0)),""))))</x:f>
      </x:c>
      <x:c r="IA328" t="str">
        <x:f>IF('Calculations'!HZ328="","",IF('Calculations'!HZ328="!AMBIG","!AMBIG",IF(COUNTIF('Calculations'!$HE$13:$HE$512,"="&amp;SUBSTITUTE(SUBSTITUTE(SUBSTITUTE('Calculations'!HZ328,"~","~~"),"*","~*"),"?","~?"))&gt;1,"!AMBIG",IFERROR(INDEX('Calculations'!$HF$13:$HF$512,MATCH('Calculations'!HZ328,'Calculations'!$HE$13:$HE$512,0)),""))))</x:f>
      </x:c>
      <x:c r="IB328" t="str">
        <x:f>IF('Calculations'!IA328="","",IF('Calculations'!IA328="!AMBIG","!AMBIG",IF(COUNTIF('Calculations'!$HE$13:$HE$512,"="&amp;SUBSTITUTE(SUBSTITUTE(SUBSTITUTE('Calculations'!IA328,"~","~~"),"*","~*"),"?","~?"))&gt;1,"!AMBIG",IFERROR(INDEX('Calculations'!$HF$13:$HF$512,MATCH('Calculations'!IA328,'Calculations'!$HE$13:$HE$512,0)),""))))</x:f>
      </x:c>
      <x:c r="IC328" t="str">
        <x:f>IF('Calculations'!IB328="","",IF('Calculations'!IB328="!AMBIG","!AMBIG",IF(COUNTIF('Calculations'!$HE$13:$HE$512,"="&amp;SUBSTITUTE(SUBSTITUTE(SUBSTITUTE('Calculations'!IB328,"~","~~"),"*","~*"),"?","~?"))&gt;1,"!AMBIG",IFERROR(INDEX('Calculations'!$HF$13:$HF$512,MATCH('Calculations'!IB328,'Calculations'!$HE$13:$HE$512,0)),""))))</x:f>
      </x:c>
      <x:c r="ID328" t="str">
        <x:f>IF('Calculations'!IC328="","",IF('Calculations'!IC328="!AMBIG","!AMBIG",IF(COUNTIF('Calculations'!$HE$13:$HE$512,"="&amp;SUBSTITUTE(SUBSTITUTE(SUBSTITUTE('Calculations'!IC328,"~","~~"),"*","~*"),"?","~?"))&gt;1,"!AMBIG",IFERROR(INDEX('Calculations'!$HF$13:$HF$512,MATCH('Calculations'!IC328,'Calculations'!$HE$13:$HE$512,0)),""))))</x:f>
      </x:c>
      <x:c r="IE328" t="str">
        <x:f>IF('Calculations'!ID328="","",IF('Calculations'!ID328="!AMBIG","!AMBIG",IF(COUNTIF('Calculations'!$HE$13:$HE$512,"="&amp;SUBSTITUTE(SUBSTITUTE(SUBSTITUTE('Calculations'!ID328,"~","~~"),"*","~*"),"?","~?"))&gt;1,"!AMBIG",IFERROR(INDEX('Calculations'!$HF$13:$HF$512,MATCH('Calculations'!ID328,'Calculations'!$HE$13:$HE$512,0)),""))))</x:f>
      </x:c>
      <x:c r="IF328" t="str">
        <x:f>IF('Calculations'!IE328="","",IF('Calculations'!IE328="!AMBIG","!AMBIG",IF(COUNTIF('Calculations'!$HE$13:$HE$512,"="&amp;SUBSTITUTE(SUBSTITUTE(SUBSTITUTE('Calculations'!IE328,"~","~~"),"*","~*"),"?","~?"))&gt;1,"!AMBIG",IFERROR(INDEX('Calculations'!$HF$13:$HF$512,MATCH('Calculations'!IE328,'Calculations'!$HE$13:$HE$512,0)),""))))</x:f>
      </x:c>
      <x:c r="IG328" t="str">
        <x:f>IF('Calculations'!IF328="","",IF('Calculations'!IF328="!AMBIG","!AMBIG",IF(COUNTIF('Calculations'!$HE$13:$HE$512,"="&amp;SUBSTITUTE(SUBSTITUTE(SUBSTITUTE('Calculations'!IF328,"~","~~"),"*","~*"),"?","~?"))&gt;1,"!AMBIG",IFERROR(INDEX('Calculations'!$HF$13:$HF$512,MATCH('Calculations'!IF328,'Calculations'!$HE$13:$HE$512,0)),""))))</x:f>
      </x:c>
      <x:c r="IH328" t="str">
        <x:f>IF('Calculations'!IG328="","",IF('Calculations'!IG328="!AMBIG","!AMBIG",IF(COUNTIF('Calculations'!$HE$13:$HE$512,"="&amp;SUBSTITUTE(SUBSTITUTE(SUBSTITUTE('Calculations'!IG328,"~","~~"),"*","~*"),"?","~?"))&gt;1,"!AMBIG",IFERROR(INDEX('Calculations'!$HF$13:$HF$512,MATCH('Calculations'!IG328,'Calculations'!$HE$13:$HE$512,0)),""))))</x:f>
      </x:c>
      <x:c r="II328" t="str">
        <x:f>IF('Calculations'!IH328="","",IF('Calculations'!IH328="!AMBIG","!AMBIG",IF(COUNTIF('Calculations'!$HE$13:$HE$512,"="&amp;SUBSTITUTE(SUBSTITUTE(SUBSTITUTE('Calculations'!IH328,"~","~~"),"*","~*"),"?","~?"))&gt;1,"!AMBIG",IFERROR(INDEX('Calculations'!$HF$13:$HF$512,MATCH('Calculations'!IH328,'Calculations'!$HE$13:$HE$512,0)),""))))</x:f>
      </x:c>
      <x:c r="IJ328" t="str">
        <x:f>IF('Calculations'!EM328="","",IF('Calculations'!$EF$2="All",'Calculations'!HM328,IF('Calculations'!HL328=1,"",IFERROR(IF(MATCH('Calculations'!$EF$2,'Calculations'!HO328:II328,0)=1,'Calculations'!HE328,INDEX('Calculations'!HO328:II328,1,MATCH('Calculations'!$EF$2,'Calculations'!HO328:II328,0)-1)),""))))</x:f>
      </x:c>
      <x:c r="IK328" t="n">
        <x:f>IF(AND('Calculations'!EM328&lt;&gt;"",'Calculations'!$EF$2&lt;&gt;"All",'Calculations'!HF328='Calculations'!$EF$2,'Calculations'!HL328=0,'Calculations'!JD328&gt;0),MAX('Calculations'!$IK$12:IK327)+1,0)</x:f>
        <x:v>0</x:v>
      </x:c>
      <x:c r="JA328" t="n">
        <x:f>IF(OR(IFERROR(INDIRECT("'WCM Calibration Final'!$A$328")&lt;&gt;"",FALSE),IFERROR(INDIRECT("'WCM Calibration Final'!$B$328")&lt;&gt;"",FALSE),IFERROR(INDIRECT("'WCM Calibration Final'!$C$328")&lt;&gt;"",FALSE)),328,0)</x:f>
        <x:v>0</x:v>
      </x:c>
      <x:c r="JB328" t="n">
        <x:f>'Calculations'!JB327+IF('Calculations'!JA328&gt;0,1,0)</x:f>
        <x:v>0</x:v>
      </x:c>
      <x:c r="JC328" t="n">
        <x:f>IF(OR('Calculations'!HF328="",'Calculations'!HF328="!AMBIG"),0,IF('Dashboard'!$B$7="All",1,COUNTIFS('Calculations'!$HO$13:$HO$512,"="&amp;SUBSTITUTE(SUBSTITUTE(SUBSTITUTE('Calculations'!HF328,"~","~~"),"*","~*"),"?","~?"),'Calculations'!$HN$13:$HN$512,"="&amp;SUBSTITUTE(SUBSTITUTE(SUBSTITUTE('Dashboard'!$B$7,"~","~~"),"*","~*"),"?","~?"))+COUNTIFS('Calculations'!$HP$13:$HP$512,"="&amp;SUBSTITUTE(SUBSTITUTE(SUBSTITUTE('Calculations'!HF328,"~","~~"),"*","~*"),"?","~?"),'Calculations'!$HN$13:$HN$512,"="&amp;SUBSTITUTE(SUBSTITUTE(SUBSTITUTE('Dashboard'!$B$7,"~","~~"),"*","~*"),"?","~?"))+COUNTIFS('Calculations'!$HQ$13:$HQ$512,"="&amp;SUBSTITUTE(SUBSTITUTE(SUBSTITUTE('Calculations'!HF328,"~","~~"),"*","~*"),"?","~?"),'Calculations'!$HN$13:$HN$512,"="&amp;SUBSTITUTE(SUBSTITUTE(SUBSTITUTE('Dashboard'!$B$7,"~","~~"),"*","~*"),"?","~?"))+COUNTIFS('Calculations'!$HR$13:$HR$512,"="&amp;SUBSTITUTE(SUBSTITUTE(SUBSTITUTE('Calculations'!HF328,"~","~~"),"*","~*"),"?","~?"),'Calculations'!$HN$13:$HN$512,"="&amp;SUBSTITUTE(SUBSTITUTE(SUBSTITUTE('Dashboard'!$B$7,"~","~~"),"*","~*"),"?","~?"))+COUNTIFS('Calculations'!$HS$13:$HS$512,"="&amp;SUBSTITUTE(SUBSTITUTE(SUBSTITUTE('Calculations'!HF328,"~","~~"),"*","~*"),"?","~?"),'Calculations'!$HN$13:$HN$512,"="&amp;SUBSTITUTE(SUBSTITUTE(SUBSTITUTE('Dashboard'!$B$7,"~","~~"),"*","~*"),"?","~?"))+COUNTIFS('Calculations'!$HT$13:$HT$512,"="&amp;SUBSTITUTE(SUBSTITUTE(SUBSTITUTE('Calculations'!HF328,"~","~~"),"*","~*"),"?","~?"),'Calculations'!$HN$13:$HN$512,"="&amp;SUBSTITUTE(SUBSTITUTE(SUBSTITUTE('Dashboard'!$B$7,"~","~~"),"*","~*"),"?","~?"))+COUNTIFS('Calculations'!$HU$13:$HU$512,"="&amp;SUBSTITUTE(SUBSTITUTE(SUBSTITUTE('Calculations'!HF328,"~","~~"),"*","~*"),"?","~?"),'Calculations'!$HN$13:$HN$512,"="&amp;SUBSTITUTE(SUBSTITUTE(SUBSTITUTE('Dashboard'!$B$7,"~","~~"),"*","~*"),"?","~?"))+COUNTIFS('Calculations'!$HV$13:$HV$512,"="&amp;SUBSTITUTE(SUBSTITUTE(SUBSTITUTE('Calculations'!HF328,"~","~~"),"*","~*"),"?","~?"),'Calculations'!$HN$13:$HN$512,"="&amp;SUBSTITUTE(SUBSTITUTE(SUBSTITUTE('Dashboard'!$B$7,"~","~~"),"*","~*"),"?","~?"))+COUNTIFS('Calculations'!$HW$13:$HW$512,"="&amp;SUBSTITUTE(SUBSTITUTE(SUBSTITUTE('Calculations'!HF328,"~","~~"),"*","~*"),"?","~?"),'Calculations'!$HN$13:$HN$512,"="&amp;SUBSTITUTE(SUBSTITUTE(SUBSTITUTE('Dashboard'!$B$7,"~","~~"),"*","~*"),"?","~?"))+COUNTIFS('Calculations'!$HX$13:$HX$512,"="&amp;SUBSTITUTE(SUBSTITUTE(SUBSTITUTE('Calculations'!HF328,"~","~~"),"*","~*"),"?","~?"),'Calculations'!$HN$13:$HN$512,"="&amp;SUBSTITUTE(SUBSTITUTE(SUBSTITUTE('Dashboard'!$B$7,"~","~~"),"*","~*"),"?","~?"))+COUNTIFS('Calculations'!$HY$13:$HY$512,"="&amp;SUBSTITUTE(SUBSTITUTE(SUBSTITUTE('Calculations'!HF328,"~","~~"),"*","~*"),"?","~?"),'Calculations'!$HN$13:$HN$512,"="&amp;SUBSTITUTE(SUBSTITUTE(SUBSTITUTE('Dashboard'!$B$7,"~","~~"),"*","~*"),"?","~?"))+COUNTIFS('Calculations'!$HZ$13:$HZ$512,"="&amp;SUBSTITUTE(SUBSTITUTE(SUBSTITUTE('Calculations'!HF328,"~","~~"),"*","~*"),"?","~?"),'Calculations'!$HN$13:$HN$512,"="&amp;SUBSTITUTE(SUBSTITUTE(SUBSTITUTE('Dashboard'!$B$7,"~","~~"),"*","~*"),"?","~?"))+COUNTIFS('Calculations'!$IA$13:$IA$512,"="&amp;SUBSTITUTE(SUBSTITUTE(SUBSTITUTE('Calculations'!HF328,"~","~~"),"*","~*"),"?","~?"),'Calculations'!$HN$13:$HN$512,"="&amp;SUBSTITUTE(SUBSTITUTE(SUBSTITUTE('Dashboard'!$B$7,"~","~~"),"*","~*"),"?","~?"))+COUNTIFS('Calculations'!$IB$13:$IB$512,"="&amp;SUBSTITUTE(SUBSTITUTE(SUBSTITUTE('Calculations'!HF328,"~","~~"),"*","~*"),"?","~?"),'Calculations'!$HN$13:$HN$512,"="&amp;SUBSTITUTE(SUBSTITUTE(SUBSTITUTE('Dashboard'!$B$7,"~","~~"),"*","~*"),"?","~?"))+COUNTIFS('Calculations'!$IC$13:$IC$512,"="&amp;SUBSTITUTE(SUBSTITUTE(SUBSTITUTE('Calculations'!HF328,"~","~~"),"*","~*"),"?","~?"),'Calculations'!$HN$13:$HN$512,"="&amp;SUBSTITUTE(SUBSTITUTE(SUBSTITUTE('Dashboard'!$B$7,"~","~~"),"*","~*"),"?","~?"))+COUNTIFS('Calculations'!$ID$13:$ID$512,"="&amp;SUBSTITUTE(SUBSTITUTE(SUBSTITUTE('Calculations'!HF328,"~","~~"),"*","~*"),"?","~?"),'Calculations'!$HN$13:$HN$512,"="&amp;SUBSTITUTE(SUBSTITUTE(SUBSTITUTE('Dashboard'!$B$7,"~","~~"),"*","~*"),"?","~?"))+COUNTIFS('Calculations'!$IE$13:$IE$512,"="&amp;SUBSTITUTE(SUBSTITUTE(SUBSTITUTE('Calculations'!HF328,"~","~~"),"*","~*"),"?","~?"),'Calculations'!$HN$13:$HN$512,"="&amp;SUBSTITUTE(SUBSTITUTE(SUBSTITUTE('Dashboard'!$B$7,"~","~~"),"*","~*"),"?","~?"))+COUNTIFS('Calculations'!$IF$13:$IF$512,"="&amp;SUBSTITUTE(SUBSTITUTE(SUBSTITUTE('Calculations'!HF328,"~","~~"),"*","~*"),"?","~?"),'Calculations'!$HN$13:$HN$512,"="&amp;SUBSTITUTE(SUBSTITUTE(SUBSTITUTE('Dashboard'!$B$7,"~","~~"),"*","~*"),"?","~?"))+COUNTIFS('Calculations'!$IG$13:$IG$512,"="&amp;SUBSTITUTE(SUBSTITUTE(SUBSTITUTE('Calculations'!HF328,"~","~~"),"*","~*"),"?","~?"),'Calculations'!$HN$13:$HN$512,"="&amp;SUBSTITUTE(SUBSTITUTE(SUBSTITUTE('Dashboard'!$B$7,"~","~~"),"*","~*"),"?","~?"))+COUNTIFS('Calculations'!$IH$13:$IH$512,"="&amp;SUBSTITUTE(SUBSTITUTE(SUBSTITUTE('Calculations'!HF328,"~","~~"),"*","~*"),"?","~?"),'Calculations'!$HN$13:$HN$512,"="&amp;SUBSTITUTE(SUBSTITUTE(SUBSTITUTE('Dashboard'!$B$7,"~","~~"),"*","~*"),"?","~?"))))</x:f>
        <x:v>0</x:v>
      </x:c>
      <x:c r="JD328" t="n">
        <x:f>IF('Calculations'!EM328="",0,IF('Dashboard'!$B$7="All",1,IF('Calculations'!HN328='Dashboard'!$B$7,1,0)+IFERROR(INDEX('Calculations'!$JC$13:$JC$512,MATCH('Calculations'!HE328,'Calculations'!$HF$13:$HF$512,0)),0)))</x:f>
        <x:v>0</x:v>
      </x:c>
      <x:c r="JE328" t="n">
        <x:f>IF(AND('Calculations'!EM328&lt;&gt;"",'Calculations'!$JJ$2&lt;&gt;"All",'Calculations'!$JJ$2&lt;&gt;"",'Calculations'!HF328='Calculations'!$JJ$2,'Calculations'!HL328=0,'Calculations'!JD328&gt;0),MAX('Calculations'!$JE$12:JE327)+1,0)</x:f>
        <x:v>0</x:v>
      </x:c>
      <x:c r="JF328" t="str">
        <x:f>IF('Calculations'!EM328="","",IFERROR(IF(INDEX(INDIRECT("'WCM Calibration Final'!$G$1:$G$2000"),'Calculations'!$EM328)="","",TRIM(INDEX(INDIRECT("'WCM Calibration Final'!$G$1:$G$2000"),'Calculations'!$EM328)&amp;"")),""))</x:f>
      </x:c>
      <x:c r="JQ328" t="n">
        <x:f>IF(OR('Calculations'!BM328=0,NOT('Calculations'!$AG$2),'Calculations'!$AG$8&gt;0),0,IF(OR('Dashboard'!$B$7="All",'Calculations'!HN328='Dashboard'!$B$7),IF('Calculations'!$JJ$2="All",1,IF(AND('Calculations'!HF328='Calculations'!$JJ$2,'Calculations'!HL328=0),1,0)),0))</x:f>
        <x:v>0</x:v>
      </x:c>
    </x:row>
    <x:row r="329">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t="n">
        <x:f>IF('Calculations'!$EM329="",0,IF(OR(IFERROR(INDEX(INDIRECT("'WCM Calibration Final'!$A$1:$A$2000"),'Calculations'!$EM329)&lt;&gt;"",FALSE),IFERROR(INDEX(INDIRECT("'WCM Calibration Final'!$B$1:$B$2000"),'Calculations'!$EM329)&lt;&gt;"",FALSE),IFERROR(INDEX(INDIRECT("'WCM Calibration Final'!$C$1:$C$2000"),'Calculations'!$EM329)&lt;&gt;"",FALSE)),1,0))</x:f>
        <x:v>0</x:v>
      </x:c>
      <x:c r="BN329" s="4" t="n">
        <x:f>IF(AND('Calculations'!BM329=1,'Calculations'!$AG$2,'Calculations'!$EN329=1),1,0)</x:f>
        <x:v>0</x:v>
      </x:c>
      <x:c r="BO329" s="4" t="str">
        <x:f>IF('Calculations'!BM329=0,"",IFERROR(IF(AND(VALUE(INDEX(INDIRECT("'WCM Calibration Final'!$K$1:$K$2000"),'Calculations'!$EM329))&gt;=1,VALUE(INDEX(INDIRECT("'WCM Calibration Final'!$K$1:$K$2000"),'Calculations'!$EM329))&lt;=4,MOD(VALUE(INDEX(INDIRECT("'WCM Calibration Final'!$K$1:$K$2000"),'Calculations'!$EM329)),1)=0),VALUE(INDEX(INDIRECT("'WCM Calibration Final'!$K$1:$K$2000"),'Calculations'!$EM329)),""),""))</x:f>
      </x:c>
      <x:c r="BP329" s="4" t="str">
        <x:f>IF('Calculations'!BM329=0,"",IFERROR(IF(AND(VALUE(INDEX(INDIRECT("'WCM Calibration Final'!$L$1:$L$2000"),'Calculations'!$EM329))&gt;=1,VALUE(INDEX(INDIRECT("'WCM Calibration Final'!$L$1:$L$2000"),'Calculations'!$EM329))&lt;=4,MOD(VALUE(INDEX(INDIRECT("'WCM Calibration Final'!$L$1:$L$2000"),'Calculations'!$EM329)),1)=0),VALUE(INDEX(INDIRECT("'WCM Calibration Final'!$L$1:$L$2000"),'Calculations'!$EM329)),""),""))</x:f>
      </x:c>
      <x:c r="BQ329" s="4"/>
      <x:c r="BR329" s="4"/>
      <x:c r="BS329" s="4"/>
      <x:c r="BT329" s="4" t="n">
        <x:f>IF(AND('Calculations'!BM329=1,ISNUMBER('Calculations'!BO329),ISNUMBER('Calculations'!BP329)),1,0)</x:f>
        <x:v>0</x:v>
      </x:c>
      <x:c r="BU329" s="4" t="str">
        <x:f>IF('Calculations'!BM329=0,"",'Calculations'!$EO329)</x:f>
      </x:c>
      <x:c r="BV329" s="4" t="str">
        <x:f>IF('Calculations'!BM329=0,"",IFERROR(IF(OR(INDEX(INDIRECT("'WCM Calibration Final'!$H$1:$H$2000"),'Calculations'!$EM329)="MANAGING DIRECTOR",INDEX(INDIRECT("'WCM Calibration Final'!$H$1:$H$2000"),'Calculations'!$EM329)="DIRECTOR",INDEX(INDIRECT("'WCM Calibration Final'!$H$1:$H$2000"),'Calculations'!$EM329)="SENIOR VICE PRESIDENT",INDEX(INDIRECT("'WCM Calibration Final'!$H$1:$H$2000"),'Calculations'!$EM329)="VICE PRESIDENT",INDEX(INDIRECT("'WCM Calibration Final'!$H$1:$H$2000"),'Calculations'!$EM329)="ASSISTANT VICE PRESIDENT",INDEX(INDIRECT("'WCM Calibration Final'!$H$1:$H$2000"),'Calculations'!$EM329)="OFFICER"),UPPER(INDEX(INDIRECT("'WCM Calibration Final'!$H$1:$H$2000"),'Calculations'!$EM329)),"Other"),"Other"))</x:f>
      </x:c>
      <x:c r="BW329" s="4"/>
      <x:c r="BX329" s="4"/>
      <x:c r="BY329" s="4" t="n">
        <x:f>IF(AND('Calculations'!BM329=1,'Calculations'!BU329&lt;&gt;"",COUNTIF('Calculations'!$BU$12:BU329,'Calculations'!BU329)=1),MAX('Calculations'!$BY$11:BY328)+1,0)</x:f>
        <x:v>0</x:v>
      </x:c>
      <x:c r="BZ329" s="4" t="str">
        <x:f>IF('Dashboard'!$E$67="What",'Calculations'!BO329,'Calculations'!BP329)</x:f>
      </x:c>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t="str">
        <x:f>IF(318&gt;MAX('Calculations'!$HI$13:$HI$512),"",INDEX('Calculations'!$HN$13:$HN$512,MATCH(318,'Calculations'!$HI$13:$HI$512,0)))</x:f>
      </x:c>
      <x:c r="DB329" s="4" t="str">
        <x:f>IF(318&gt;MAX('Calculations'!$HH$13:$HH$512),"",INDEX('Calculations'!$HJ$13:$HJ$512,MATCH(318,'Calculations'!$HH$13:$HH$512,0)))</x:f>
      </x:c>
      <x:c r="DC329" s="4" t="str">
        <x:f>IF(ROW()-11&gt;MAX('Calculations'!$BY$13:$BY$512),"",INDEX('Calculations'!$BU$13:$BU$512,MATCH(ROW()-11,'Calculations'!$BY$13:$BY$512,0)))</x:f>
      </x:c>
      <x:c r="DD329" s="4" t="str">
        <x:f>IF(318&gt;MAX('Calculations'!$IK$13:$IK$512),"",INDEX('Calculations'!$HK$13:$HK$512,MATCH(318,'Calculations'!$IK$13:$IK$512,0)))</x:f>
      </x:c>
      <x:c r="DE329" s="4" t="str">
        <x:f>'Calculations'!DC329</x:f>
      </x:c>
      <x:c r="DF329" s="4" t="str">
        <x:f>IF('Calculations'!DE329="","",COUNTIFS('Calculations'!$BN$13:$BN$512,1,'Calculations'!$BU$13:$BU$512,'Calculations'!DE329))</x:f>
      </x:c>
      <x:c r="DG329" s="4" t="str">
        <x:f>IF('Calculations'!DE329="","",COUNTIFS('Calculations'!$BN$13:$BN$512,1,'Calculations'!$BU$13:$BU$512,'Calculations'!DE329,'Calculations'!$BT$13:$BT$512,1))</x:f>
      </x:c>
      <x:c r="DH329" s="4" t="str">
        <x:f>IF('Calculations'!DE329="","",'Calculations'!DF329-'Calculations'!DG329)</x:f>
      </x:c>
      <x:c r="DI329" s="4" t="str">
        <x:f>IF(OR('Calculations'!DE329="",'Calculations'!DF329=0),"",'Calculations'!DG329/'Calculations'!DF329)</x:f>
      </x:c>
      <x:c r="DJ329" s="4" t="str">
        <x:f>IF('Calculations'!DE329="","",COUNTIFS('Calculations'!$BN$13:$BN$512,1,'Calculations'!$BU$13:$BU$512,'Calculations'!DE329,'Calculations'!$BT$13:$BT$512,1,'Calculations'!$EE$13:$EE$512,"High"))</x:f>
      </x:c>
      <x:c r="DK329" s="4" t="str">
        <x:f>IF('Calculations'!DE329="","",COUNTIFS('Calculations'!$BN$13:$BN$512,1,'Calculations'!$BU$13:$BU$512,'Calculations'!DE329,'Calculations'!$BT$13:$BT$512,1,'Calculations'!$EE$13:$EE$512,"Strong"))</x:f>
      </x:c>
      <x:c r="DL329" s="4" t="str">
        <x:f>IF('Calculations'!DE329="","",COUNTIFS('Calculations'!$BN$13:$BN$512,1,'Calculations'!$BU$13:$BU$512,'Calculations'!DE329,'Calculations'!$BT$13:$BT$512,1,'Calculations'!$EE$13:$EE$512,"Solid"))</x:f>
      </x:c>
      <x:c r="DM329" s="4" t="str">
        <x:f>IF('Calculations'!DE329="","",COUNTIFS('Calculations'!$BN$13:$BN$512,1,'Calculations'!$BU$13:$BU$512,'Calculations'!DE329,'Calculations'!$BT$13:$BT$512,1,'Calculations'!$EE$13:$EE$512,"Low"))</x:f>
      </x:c>
      <x:c r="DN329" s="4" t="str">
        <x:f>IF('Calculations'!DE329="","",COUNTIFS('Calculations'!$BN$13:$BN$512,1,'Calculations'!$BU$13:$BU$512,'Calculations'!DE329,'Calculations'!$EP$13:$EP$512,1))</x:f>
      </x:c>
      <x:c r="DO329" s="4" t="str">
        <x:f>IF(OR('Calculations'!DE329="",'Calculations'!DG329=0),"",('Calculations'!DJ329+'Calculations'!DK329)/'Calculations'!DG329)</x:f>
      </x:c>
      <x:c r="DP329" s="4" t="n">
        <x:f>IF(AND('Calculations'!DE329&lt;&gt;"",'Calculations'!DF329&gt;0),COUNTIF('Calculations'!$DF$12:DF329,"&gt;0"),0)</x:f>
        <x:v>0</x:v>
      </x:c>
      <x:c r="DQ329" s="4" t="str">
        <x:f>IF(318&gt;MAX('Calculations'!$HH$13:$HH$512),"",INDEX('Calculations'!$HF$13:$HF$512,MATCH(318,'Calculations'!$HH$13:$HH$512,0)))</x:f>
      </x:c>
      <x:c r="DR329" s="4" t="str">
        <x:f>IF(318&gt;MAX('Calculations'!$IK$13:$IK$512),"",INDEX('Calculations'!$HE$13:$HE$512,MATCH(318,'Calculations'!$IK$13:$IK$512,0)))</x:f>
      </x:c>
      <x:c r="DS329" s="4"/>
      <x:c r="DT329" s="4"/>
      <x:c r="DU329" s="4"/>
      <x:c r="DV329" s="4"/>
      <x:c r="DW329" s="4"/>
      <x:c r="DX329" s="4"/>
      <x:c r="DY329" s="4"/>
      <x:c r="DZ329" s="4"/>
      <x:c r="EA329" s="4"/>
      <x:c r="EB329" s="4"/>
      <x:c r="EC329" s="4"/>
      <x:c r="ED329" s="4"/>
      <x:c r="EE329" s="4" t="str">
        <x:f>IF('Calculations'!BT329=0,"Not Rated",IF(OR('Calculations'!BO329&gt;=4,'Calculations'!BP329&gt;=4),"Low",IF('Calculations'!BO329+'Calculations'!BP329&lt;=3,"High",IF('Calculations'!BO329+'Calculations'!BP329&lt;=4,"Strong","Solid"))))</x:f>
        <x:v>Not Rated</x:v>
      </x:c>
      <x:c r="EF329" s="4"/>
      <x:c r="EG329" s="4"/>
      <x:c r="EH329" s="4"/>
      <x:c r="EI329" s="4"/>
      <x:c r="EJ329" s="4"/>
      <x:c r="EK329" s="4"/>
      <x:c r="EL329" s="4"/>
      <x:c r="EM329" s="4" t="str">
        <x:f>IF(317&gt;'Calculations'!$JB$2000,"",INDEX('Calculations'!$JA$12:$JA$2000,MATCH(317,'Calculations'!$JB$12:$JB$2000,0)))</x:f>
      </x:c>
      <x:c r="EN329" s="4" t="n">
        <x:f>IF(OR('Calculations'!EM329="",'Calculations'!$AG$8&gt;0,AND('Calculations'!$EF$2&lt;&gt;"All",'Calculations'!HE329='Calculations'!$EF$2),AND('Calculations'!$EF$3&lt;&gt;"All",'Calculations'!HE329='Calculations'!$EF$3)),0,IF(OR('Dashboard'!$B$7="All",'Calculations'!HN329='Dashboard'!$B$7),IF('Calculations'!$EF$2="All",1,IF('Calculations'!HL329&gt;0,0,IF(COUNTIF('Calculations'!HO329:II329,"="&amp;SUBSTITUTE(SUBSTITUTE(SUBSTITUTE('Calculations'!$EF$2,"~","~~"),"*","~*"),"?","~?"))=0,0,IF('Calculations'!$EF$3="All",1,IF(COUNTIF('Calculations'!HO329:II329,"="&amp;SUBSTITUTE(SUBSTITUTE(SUBSTITUTE('Calculations'!$EF$3,"~","~~"),"*","~*"),"?","~?"))&gt;0,1,0))))),0))</x:f>
        <x:v>0</x:v>
      </x:c>
      <x:c r="EO329" s="4" t="str">
        <x:f>IF('Calculations'!IJ329="","",IF('Calculations'!IJ329="!UNRESOLVED","Unresolved hierarchy",IFERROR(INDEX('Calculations'!$HK$13:$HK$512,MATCH('Calculations'!IJ329,'Calculations'!$HE$13:$HE$512,0)),IFERROR(INDEX('Calculations'!$HJ$13:$HJ$512,MATCH('Calculations'!IJ329,'Calculations'!$HF$13:$HF$512,0)),'Calculations'!IJ329))))</x:f>
      </x:c>
      <x:c r="EP329" s="4" t="n">
        <x:f>IF(AND('Calculations'!EM329&lt;&gt;"",'Calculations'!HF329='Calculations'!IJ329),1,0)</x:f>
        <x:v>0</x:v>
      </x:c>
      <x:c r="EQ329" s="4"/>
      <x:c r="ER329" s="4"/>
      <x:c r="ES329" s="4"/>
      <x:c r="ET329" s="4"/>
      <x:c r="EU329" s="4"/>
      <x:c r="EV329" s="4"/>
      <x:c r="EW329" s="4"/>
      <x:c r="EX329" s="4"/>
      <x:c r="EY329" s="4"/>
      <x:c r="EZ329" s="4"/>
      <x:c r="FA329" s="4"/>
      <x:c r="FB329" s="4"/>
      <x:c r="FC329" s="4"/>
      <x:c r="FD329" s="4"/>
      <x:c r="FE329" s="4"/>
      <x:c r="FF329" s="4"/>
      <x:c r="FG329" s="4"/>
      <x:c r="FH329" s="4"/>
      <x:c r="FI329" s="4"/>
      <x:c r="FJ329" s="4"/>
      <x:c r="FK329" s="4"/>
      <x:c r="FL329" s="4"/>
      <x:c r="FM329" s="4"/>
      <x:c r="FN329" s="4"/>
      <x:c r="FO329" s="4"/>
      <x:c r="HE329" t="str">
        <x:f>IF('Calculations'!EM329="","",IF(IFERROR(IF(INDEX(INDIRECT("'WCM Calibration Final'!$A$1:$A$2000"),'Calculations'!$EM329)="","",TRIM(INDEX(INDIRECT("'WCM Calibration Final'!$A$1:$A$2000"),'Calculations'!$EM329)&amp;"")),"")&lt;&gt;"","G:"&amp;IFERROR(TEXT(1*INDEX(INDIRECT("'WCM Calibration Final'!$A$1:$A$2000"),'Calculations'!$EM329),"0"),UPPER(IFERROR(IF(INDEX(INDIRECT("'WCM Calibration Final'!$A$1:$A$2000"),'Calculations'!$EM329)="","",TRIM(INDEX(INDIRECT("'WCM Calibration Final'!$A$1:$A$2000"),'Calculations'!$EM329)&amp;"")),""))),IF(IFERROR(IF(INDEX(INDIRECT("'WCM Calibration Final'!$C$1:$C$2000"),'Calculations'!$EM329)="","",TRIM(INDEX(INDIRECT("'WCM Calibration Final'!$C$1:$C$2000"),'Calculations'!$EM329)&amp;"")),"")&lt;&gt;"","S:"&amp;UPPER(IFERROR(IF(INDEX(INDIRECT("'WCM Calibration Final'!$C$1:$C$2000"),'Calculations'!$EM329)="","",TRIM(INDEX(INDIRECT("'WCM Calibration Final'!$C$1:$C$2000"),'Calculations'!$EM329)&amp;"")),"")),"R:"&amp;'Calculations'!EM329)))</x:f>
      </x:c>
      <x:c r="HF329" t="str">
        <x:f>IF('Calculations'!EM329="","",IF(IFERROR(IF(INDEX(INDIRECT("'WCM Calibration Final'!$D$1:$D$2000"),'Calculations'!$EM329)="","",TRIM(INDEX(INDIRECT("'WCM Calibration Final'!$D$1:$D$2000"),'Calculations'!$EM329)&amp;"")),"")&lt;&gt;"","G:"&amp;IFERROR(TEXT(1*INDEX(INDIRECT("'WCM Calibration Final'!$D$1:$D$2000"),'Calculations'!$EM329),"0"),UPPER(IFERROR(IF(INDEX(INDIRECT("'WCM Calibration Final'!$D$1:$D$2000"),'Calculations'!$EM329)="","",TRIM(INDEX(INDIRECT("'WCM Calibration Final'!$D$1:$D$2000"),'Calculations'!$EM329)&amp;"")),""))),IF(IFERROR(IF(INDEX(INDIRECT("'WCM Calibration Final'!$E$1:$E$2000"),'Calculations'!$EM329)="","",TRIM(INDEX(INDIRECT("'WCM Calibration Final'!$E$1:$E$2000"),'Calculations'!$EM329)&amp;"")),"")="","",IF(COUNTIF('Calculations'!$HG$13:$HG$512,"="&amp;SUBSTITUTE(SUBSTITUTE(SUBSTITUTE(IFERROR(IF(INDEX(INDIRECT("'WCM Calibration Final'!$E$1:$E$2000"),'Calculations'!$EM329)="","",TRIM(INDEX(INDIRECT("'WCM Calibration Final'!$E$1:$E$2000"),'Calculations'!$EM329)&amp;"")),""),"~","~~"),"*","~*"),"?","~?"))=1,INDEX('Calculations'!$HE$13:$HE$512,MATCH(IFERROR(IF(INDEX(INDIRECT("'WCM Calibration Final'!$E$1:$E$2000"),'Calculations'!$EM329)="","",TRIM(INDEX(INDIRECT("'WCM Calibration Final'!$E$1:$E$2000"),'Calculations'!$EM329)&amp;"")),""),'Calculations'!$HG$13:$HG$512,0)),IF(COUNTIF('Calculations'!$HG$13:$HG$512,"="&amp;SUBSTITUTE(SUBSTITUTE(SUBSTITUTE(IFERROR(IF(INDEX(INDIRECT("'WCM Calibration Final'!$E$1:$E$2000"),'Calculations'!$EM329)="","",TRIM(INDEX(INDIRECT("'WCM Calibration Final'!$E$1:$E$2000"),'Calculations'!$EM329)&amp;"")),""),"~","~~"),"*","~*"),"?","~?"))&gt;1,"!AMBIG","X:"&amp;IFERROR(IF(INDEX(INDIRECT("'WCM Calibration Final'!$E$1:$E$2000"),'Calculations'!$EM329)="","",TRIM(INDEX(INDIRECT("'WCM Calibration Final'!$E$1:$E$2000"),'Calculations'!$EM329)&amp;"")),""))))))</x:f>
      </x:c>
      <x:c r="HG329" t="str">
        <x:f>IF('Calculations'!EM329="","",IFERROR(IF(INDEX(INDIRECT("'WCM Calibration Final'!$B$1:$B$2000"),'Calculations'!$EM329)="","",TRIM(INDEX(INDIRECT("'WCM Calibration Final'!$B$1:$B$2000"),'Calculations'!$EM329)&amp;"")),""))</x:f>
      </x:c>
      <x:c r="HH329" t="n">
        <x:f>IF(AND('Calculations'!JC329&gt;0,COUNTIF('Calculations'!$HF$12:HF329,"="&amp;SUBSTITUTE(SUBSTITUTE(SUBSTITUTE('Calculations'!HF329,"~","~~"),"*","~*"),"?","~?"))=1),MAX('Calculations'!$HH$12:HH328)+1,0)</x:f>
        <x:v>0</x:v>
      </x:c>
      <x:c r="HI329" t="n">
        <x:f>IF(AND('Calculations'!HN329&lt;&gt;"",COUNTIF('Calculations'!$HN$12:HN329,"="&amp;SUBSTITUTE(SUBSTITUTE(SUBSTITUTE('Calculations'!HN329,"~","~~"),"*","~*"),"?","~?"))=1),MAX('Calculations'!$HI$12:HI328)+1,0)</x:f>
        <x:v>0</x:v>
      </x:c>
      <x:c r="HJ329" t="str">
        <x:f>IF('Calculations'!HF329="","",IF(COUNTIF('Calculations'!$HE$13:$HE$512,"="&amp;SUBSTITUTE(SUBSTITUTE(SUBSTITUTE('Calculations'!HF329,"~","~~"),"*","~*"),"?","~?"))=1,INDEX('Calculations'!$HK$13:$HK$512,MATCH('Calculations'!HF329,'Calculations'!$HE$13:$HE$512,0)),IFERROR(IF(INDEX(INDIRECT("'WCM Calibration Final'!$E$1:$E$2000"),'Calculations'!$EM329)="","",TRIM(INDEX(INDIRECT("'WCM Calibration Final'!$E$1:$E$2000"),'Calculations'!$EM329)&amp;"")),"")&amp;" ["&amp;'Calculations'!HF329&amp;"]"))</x:f>
      </x:c>
      <x:c r="HK329" t="str">
        <x:f>IF('Calculations'!EM329="","",'Calculations'!HG329&amp;" ["&amp;'Calculations'!HE329&amp;"]")</x:f>
      </x:c>
      <x:c r="HL329" t="n">
        <x:f>IF('Calculations'!EM329="",0,IF(OR('Calculations'!II329&lt;&gt;"",COUNTIF('Calculations'!$HE$13:$HE$512,"="&amp;SUBSTITUTE(SUBSTITUTE(SUBSTITUTE('Calculations'!HE329,"~","~~"),"*","~*"),"?","~?"))&gt;1),1,0))</x:f>
        <x:v>0</x:v>
      </x:c>
      <x:c r="HM329" t="str">
        <x:f>IF('Calculations'!EM329="","",IF('Calculations'!HL329=1,"!UNRESOLVED",IF('Calculations'!IH329&lt;&gt;"",'Calculations'!IH329,IF('Calculations'!IG329&lt;&gt;"",'Calculations'!IG329,IF('Calculations'!IF329&lt;&gt;"",'Calculations'!IF329,IF('Calculations'!IE329&lt;&gt;"",'Calculations'!IE329,IF('Calculations'!ID329&lt;&gt;"",'Calculations'!ID329,IF('Calculations'!IC329&lt;&gt;"",'Calculations'!IC329,IF('Calculations'!IB329&lt;&gt;"",'Calculations'!IB329,IF('Calculations'!IA329&lt;&gt;"",'Calculations'!IA329,IF('Calculations'!HZ329&lt;&gt;"",'Calculations'!HZ329,IF('Calculations'!HY329&lt;&gt;"",'Calculations'!HY329,IF('Calculations'!HX329&lt;&gt;"",'Calculations'!HX329,IF('Calculations'!HW329&lt;&gt;"",'Calculations'!HW329,IF('Calculations'!HV329&lt;&gt;"",'Calculations'!HV329,IF('Calculations'!HU329&lt;&gt;"",'Calculations'!HU329,IF('Calculations'!HT329&lt;&gt;"",'Calculations'!HT329,IF('Calculations'!HS329&lt;&gt;"",'Calculations'!HS329,IF('Calculations'!HR329&lt;&gt;"",'Calculations'!HR329,IF('Calculations'!HQ329&lt;&gt;"",'Calculations'!HQ329,IF('Calculations'!HP329&lt;&gt;"",'Calculations'!HP329,IF('Calculations'!HO329&lt;&gt;"",'Calculations'!HO329,'Calculations'!HE329))))))))))))))))))))))</x:f>
      </x:c>
      <x:c r="HN329" t="str">
        <x:f>IF('Calculations'!EM329="","",IF(IFERROR(IF(INDEX(INDIRECT("'WCM Calibration Final'!$F$1:$F$2000"),'Calculations'!$EM329)="","",TRIM(INDEX(INDIRECT("'WCM Calibration Final'!$F$1:$F$2000"),'Calculations'!$EM329)&amp;"")),"")="","(Blank)",IFERROR(IF(INDEX(INDIRECT("'WCM Calibration Final'!$F$1:$F$2000"),'Calculations'!$EM329)="","",TRIM(INDEX(INDIRECT("'WCM Calibration Final'!$F$1:$F$2000"),'Calculations'!$EM329)&amp;"")),"")))</x:f>
      </x:c>
      <x:c r="HO329" t="str">
        <x:f>'Calculations'!HF329</x:f>
      </x:c>
      <x:c r="HP329" t="str">
        <x:f>IF('Calculations'!HO329="","",IF('Calculations'!HO329="!AMBIG","!AMBIG",IF(COUNTIF('Calculations'!$HE$13:$HE$512,"="&amp;SUBSTITUTE(SUBSTITUTE(SUBSTITUTE('Calculations'!HO329,"~","~~"),"*","~*"),"?","~?"))&gt;1,"!AMBIG",IFERROR(INDEX('Calculations'!$HF$13:$HF$512,MATCH('Calculations'!HO329,'Calculations'!$HE$13:$HE$512,0)),""))))</x:f>
      </x:c>
      <x:c r="HQ329" t="str">
        <x:f>IF('Calculations'!HP329="","",IF('Calculations'!HP329="!AMBIG","!AMBIG",IF(COUNTIF('Calculations'!$HE$13:$HE$512,"="&amp;SUBSTITUTE(SUBSTITUTE(SUBSTITUTE('Calculations'!HP329,"~","~~"),"*","~*"),"?","~?"))&gt;1,"!AMBIG",IFERROR(INDEX('Calculations'!$HF$13:$HF$512,MATCH('Calculations'!HP329,'Calculations'!$HE$13:$HE$512,0)),""))))</x:f>
      </x:c>
      <x:c r="HR329" t="str">
        <x:f>IF('Calculations'!HQ329="","",IF('Calculations'!HQ329="!AMBIG","!AMBIG",IF(COUNTIF('Calculations'!$HE$13:$HE$512,"="&amp;SUBSTITUTE(SUBSTITUTE(SUBSTITUTE('Calculations'!HQ329,"~","~~"),"*","~*"),"?","~?"))&gt;1,"!AMBIG",IFERROR(INDEX('Calculations'!$HF$13:$HF$512,MATCH('Calculations'!HQ329,'Calculations'!$HE$13:$HE$512,0)),""))))</x:f>
      </x:c>
      <x:c r="HS329" t="str">
        <x:f>IF('Calculations'!HR329="","",IF('Calculations'!HR329="!AMBIG","!AMBIG",IF(COUNTIF('Calculations'!$HE$13:$HE$512,"="&amp;SUBSTITUTE(SUBSTITUTE(SUBSTITUTE('Calculations'!HR329,"~","~~"),"*","~*"),"?","~?"))&gt;1,"!AMBIG",IFERROR(INDEX('Calculations'!$HF$13:$HF$512,MATCH('Calculations'!HR329,'Calculations'!$HE$13:$HE$512,0)),""))))</x:f>
      </x:c>
      <x:c r="HT329" t="str">
        <x:f>IF('Calculations'!HS329="","",IF('Calculations'!HS329="!AMBIG","!AMBIG",IF(COUNTIF('Calculations'!$HE$13:$HE$512,"="&amp;SUBSTITUTE(SUBSTITUTE(SUBSTITUTE('Calculations'!HS329,"~","~~"),"*","~*"),"?","~?"))&gt;1,"!AMBIG",IFERROR(INDEX('Calculations'!$HF$13:$HF$512,MATCH('Calculations'!HS329,'Calculations'!$HE$13:$HE$512,0)),""))))</x:f>
      </x:c>
      <x:c r="HU329" t="str">
        <x:f>IF('Calculations'!HT329="","",IF('Calculations'!HT329="!AMBIG","!AMBIG",IF(COUNTIF('Calculations'!$HE$13:$HE$512,"="&amp;SUBSTITUTE(SUBSTITUTE(SUBSTITUTE('Calculations'!HT329,"~","~~"),"*","~*"),"?","~?"))&gt;1,"!AMBIG",IFERROR(INDEX('Calculations'!$HF$13:$HF$512,MATCH('Calculations'!HT329,'Calculations'!$HE$13:$HE$512,0)),""))))</x:f>
      </x:c>
      <x:c r="HV329" t="str">
        <x:f>IF('Calculations'!HU329="","",IF('Calculations'!HU329="!AMBIG","!AMBIG",IF(COUNTIF('Calculations'!$HE$13:$HE$512,"="&amp;SUBSTITUTE(SUBSTITUTE(SUBSTITUTE('Calculations'!HU329,"~","~~"),"*","~*"),"?","~?"))&gt;1,"!AMBIG",IFERROR(INDEX('Calculations'!$HF$13:$HF$512,MATCH('Calculations'!HU329,'Calculations'!$HE$13:$HE$512,0)),""))))</x:f>
      </x:c>
      <x:c r="HW329" t="str">
        <x:f>IF('Calculations'!HV329="","",IF('Calculations'!HV329="!AMBIG","!AMBIG",IF(COUNTIF('Calculations'!$HE$13:$HE$512,"="&amp;SUBSTITUTE(SUBSTITUTE(SUBSTITUTE('Calculations'!HV329,"~","~~"),"*","~*"),"?","~?"))&gt;1,"!AMBIG",IFERROR(INDEX('Calculations'!$HF$13:$HF$512,MATCH('Calculations'!HV329,'Calculations'!$HE$13:$HE$512,0)),""))))</x:f>
      </x:c>
      <x:c r="HX329" t="str">
        <x:f>IF('Calculations'!HW329="","",IF('Calculations'!HW329="!AMBIG","!AMBIG",IF(COUNTIF('Calculations'!$HE$13:$HE$512,"="&amp;SUBSTITUTE(SUBSTITUTE(SUBSTITUTE('Calculations'!HW329,"~","~~"),"*","~*"),"?","~?"))&gt;1,"!AMBIG",IFERROR(INDEX('Calculations'!$HF$13:$HF$512,MATCH('Calculations'!HW329,'Calculations'!$HE$13:$HE$512,0)),""))))</x:f>
      </x:c>
      <x:c r="HY329" t="str">
        <x:f>IF('Calculations'!HX329="","",IF('Calculations'!HX329="!AMBIG","!AMBIG",IF(COUNTIF('Calculations'!$HE$13:$HE$512,"="&amp;SUBSTITUTE(SUBSTITUTE(SUBSTITUTE('Calculations'!HX329,"~","~~"),"*","~*"),"?","~?"))&gt;1,"!AMBIG",IFERROR(INDEX('Calculations'!$HF$13:$HF$512,MATCH('Calculations'!HX329,'Calculations'!$HE$13:$HE$512,0)),""))))</x:f>
      </x:c>
      <x:c r="HZ329" t="str">
        <x:f>IF('Calculations'!HY329="","",IF('Calculations'!HY329="!AMBIG","!AMBIG",IF(COUNTIF('Calculations'!$HE$13:$HE$512,"="&amp;SUBSTITUTE(SUBSTITUTE(SUBSTITUTE('Calculations'!HY329,"~","~~"),"*","~*"),"?","~?"))&gt;1,"!AMBIG",IFERROR(INDEX('Calculations'!$HF$13:$HF$512,MATCH('Calculations'!HY329,'Calculations'!$HE$13:$HE$512,0)),""))))</x:f>
      </x:c>
      <x:c r="IA329" t="str">
        <x:f>IF('Calculations'!HZ329="","",IF('Calculations'!HZ329="!AMBIG","!AMBIG",IF(COUNTIF('Calculations'!$HE$13:$HE$512,"="&amp;SUBSTITUTE(SUBSTITUTE(SUBSTITUTE('Calculations'!HZ329,"~","~~"),"*","~*"),"?","~?"))&gt;1,"!AMBIG",IFERROR(INDEX('Calculations'!$HF$13:$HF$512,MATCH('Calculations'!HZ329,'Calculations'!$HE$13:$HE$512,0)),""))))</x:f>
      </x:c>
      <x:c r="IB329" t="str">
        <x:f>IF('Calculations'!IA329="","",IF('Calculations'!IA329="!AMBIG","!AMBIG",IF(COUNTIF('Calculations'!$HE$13:$HE$512,"="&amp;SUBSTITUTE(SUBSTITUTE(SUBSTITUTE('Calculations'!IA329,"~","~~"),"*","~*"),"?","~?"))&gt;1,"!AMBIG",IFERROR(INDEX('Calculations'!$HF$13:$HF$512,MATCH('Calculations'!IA329,'Calculations'!$HE$13:$HE$512,0)),""))))</x:f>
      </x:c>
      <x:c r="IC329" t="str">
        <x:f>IF('Calculations'!IB329="","",IF('Calculations'!IB329="!AMBIG","!AMBIG",IF(COUNTIF('Calculations'!$HE$13:$HE$512,"="&amp;SUBSTITUTE(SUBSTITUTE(SUBSTITUTE('Calculations'!IB329,"~","~~"),"*","~*"),"?","~?"))&gt;1,"!AMBIG",IFERROR(INDEX('Calculations'!$HF$13:$HF$512,MATCH('Calculations'!IB329,'Calculations'!$HE$13:$HE$512,0)),""))))</x:f>
      </x:c>
      <x:c r="ID329" t="str">
        <x:f>IF('Calculations'!IC329="","",IF('Calculations'!IC329="!AMBIG","!AMBIG",IF(COUNTIF('Calculations'!$HE$13:$HE$512,"="&amp;SUBSTITUTE(SUBSTITUTE(SUBSTITUTE('Calculations'!IC329,"~","~~"),"*","~*"),"?","~?"))&gt;1,"!AMBIG",IFERROR(INDEX('Calculations'!$HF$13:$HF$512,MATCH('Calculations'!IC329,'Calculations'!$HE$13:$HE$512,0)),""))))</x:f>
      </x:c>
      <x:c r="IE329" t="str">
        <x:f>IF('Calculations'!ID329="","",IF('Calculations'!ID329="!AMBIG","!AMBIG",IF(COUNTIF('Calculations'!$HE$13:$HE$512,"="&amp;SUBSTITUTE(SUBSTITUTE(SUBSTITUTE('Calculations'!ID329,"~","~~"),"*","~*"),"?","~?"))&gt;1,"!AMBIG",IFERROR(INDEX('Calculations'!$HF$13:$HF$512,MATCH('Calculations'!ID329,'Calculations'!$HE$13:$HE$512,0)),""))))</x:f>
      </x:c>
      <x:c r="IF329" t="str">
        <x:f>IF('Calculations'!IE329="","",IF('Calculations'!IE329="!AMBIG","!AMBIG",IF(COUNTIF('Calculations'!$HE$13:$HE$512,"="&amp;SUBSTITUTE(SUBSTITUTE(SUBSTITUTE('Calculations'!IE329,"~","~~"),"*","~*"),"?","~?"))&gt;1,"!AMBIG",IFERROR(INDEX('Calculations'!$HF$13:$HF$512,MATCH('Calculations'!IE329,'Calculations'!$HE$13:$HE$512,0)),""))))</x:f>
      </x:c>
      <x:c r="IG329" t="str">
        <x:f>IF('Calculations'!IF329="","",IF('Calculations'!IF329="!AMBIG","!AMBIG",IF(COUNTIF('Calculations'!$HE$13:$HE$512,"="&amp;SUBSTITUTE(SUBSTITUTE(SUBSTITUTE('Calculations'!IF329,"~","~~"),"*","~*"),"?","~?"))&gt;1,"!AMBIG",IFERROR(INDEX('Calculations'!$HF$13:$HF$512,MATCH('Calculations'!IF329,'Calculations'!$HE$13:$HE$512,0)),""))))</x:f>
      </x:c>
      <x:c r="IH329" t="str">
        <x:f>IF('Calculations'!IG329="","",IF('Calculations'!IG329="!AMBIG","!AMBIG",IF(COUNTIF('Calculations'!$HE$13:$HE$512,"="&amp;SUBSTITUTE(SUBSTITUTE(SUBSTITUTE('Calculations'!IG329,"~","~~"),"*","~*"),"?","~?"))&gt;1,"!AMBIG",IFERROR(INDEX('Calculations'!$HF$13:$HF$512,MATCH('Calculations'!IG329,'Calculations'!$HE$13:$HE$512,0)),""))))</x:f>
      </x:c>
      <x:c r="II329" t="str">
        <x:f>IF('Calculations'!IH329="","",IF('Calculations'!IH329="!AMBIG","!AMBIG",IF(COUNTIF('Calculations'!$HE$13:$HE$512,"="&amp;SUBSTITUTE(SUBSTITUTE(SUBSTITUTE('Calculations'!IH329,"~","~~"),"*","~*"),"?","~?"))&gt;1,"!AMBIG",IFERROR(INDEX('Calculations'!$HF$13:$HF$512,MATCH('Calculations'!IH329,'Calculations'!$HE$13:$HE$512,0)),""))))</x:f>
      </x:c>
      <x:c r="IJ329" t="str">
        <x:f>IF('Calculations'!EM329="","",IF('Calculations'!$EF$2="All",'Calculations'!HM329,IF('Calculations'!HL329=1,"",IFERROR(IF(MATCH('Calculations'!$EF$2,'Calculations'!HO329:II329,0)=1,'Calculations'!HE329,INDEX('Calculations'!HO329:II329,1,MATCH('Calculations'!$EF$2,'Calculations'!HO329:II329,0)-1)),""))))</x:f>
      </x:c>
      <x:c r="IK329" t="n">
        <x:f>IF(AND('Calculations'!EM329&lt;&gt;"",'Calculations'!$EF$2&lt;&gt;"All",'Calculations'!HF329='Calculations'!$EF$2,'Calculations'!HL329=0,'Calculations'!JD329&gt;0),MAX('Calculations'!$IK$12:IK328)+1,0)</x:f>
        <x:v>0</x:v>
      </x:c>
      <x:c r="JA329" t="n">
        <x:f>IF(OR(IFERROR(INDIRECT("'WCM Calibration Final'!$A$329")&lt;&gt;"",FALSE),IFERROR(INDIRECT("'WCM Calibration Final'!$B$329")&lt;&gt;"",FALSE),IFERROR(INDIRECT("'WCM Calibration Final'!$C$329")&lt;&gt;"",FALSE)),329,0)</x:f>
        <x:v>0</x:v>
      </x:c>
      <x:c r="JB329" t="n">
        <x:f>'Calculations'!JB328+IF('Calculations'!JA329&gt;0,1,0)</x:f>
        <x:v>0</x:v>
      </x:c>
      <x:c r="JC329" t="n">
        <x:f>IF(OR('Calculations'!HF329="",'Calculations'!HF329="!AMBIG"),0,IF('Dashboard'!$B$7="All",1,COUNTIFS('Calculations'!$HO$13:$HO$512,"="&amp;SUBSTITUTE(SUBSTITUTE(SUBSTITUTE('Calculations'!HF329,"~","~~"),"*","~*"),"?","~?"),'Calculations'!$HN$13:$HN$512,"="&amp;SUBSTITUTE(SUBSTITUTE(SUBSTITUTE('Dashboard'!$B$7,"~","~~"),"*","~*"),"?","~?"))+COUNTIFS('Calculations'!$HP$13:$HP$512,"="&amp;SUBSTITUTE(SUBSTITUTE(SUBSTITUTE('Calculations'!HF329,"~","~~"),"*","~*"),"?","~?"),'Calculations'!$HN$13:$HN$512,"="&amp;SUBSTITUTE(SUBSTITUTE(SUBSTITUTE('Dashboard'!$B$7,"~","~~"),"*","~*"),"?","~?"))+COUNTIFS('Calculations'!$HQ$13:$HQ$512,"="&amp;SUBSTITUTE(SUBSTITUTE(SUBSTITUTE('Calculations'!HF329,"~","~~"),"*","~*"),"?","~?"),'Calculations'!$HN$13:$HN$512,"="&amp;SUBSTITUTE(SUBSTITUTE(SUBSTITUTE('Dashboard'!$B$7,"~","~~"),"*","~*"),"?","~?"))+COUNTIFS('Calculations'!$HR$13:$HR$512,"="&amp;SUBSTITUTE(SUBSTITUTE(SUBSTITUTE('Calculations'!HF329,"~","~~"),"*","~*"),"?","~?"),'Calculations'!$HN$13:$HN$512,"="&amp;SUBSTITUTE(SUBSTITUTE(SUBSTITUTE('Dashboard'!$B$7,"~","~~"),"*","~*"),"?","~?"))+COUNTIFS('Calculations'!$HS$13:$HS$512,"="&amp;SUBSTITUTE(SUBSTITUTE(SUBSTITUTE('Calculations'!HF329,"~","~~"),"*","~*"),"?","~?"),'Calculations'!$HN$13:$HN$512,"="&amp;SUBSTITUTE(SUBSTITUTE(SUBSTITUTE('Dashboard'!$B$7,"~","~~"),"*","~*"),"?","~?"))+COUNTIFS('Calculations'!$HT$13:$HT$512,"="&amp;SUBSTITUTE(SUBSTITUTE(SUBSTITUTE('Calculations'!HF329,"~","~~"),"*","~*"),"?","~?"),'Calculations'!$HN$13:$HN$512,"="&amp;SUBSTITUTE(SUBSTITUTE(SUBSTITUTE('Dashboard'!$B$7,"~","~~"),"*","~*"),"?","~?"))+COUNTIFS('Calculations'!$HU$13:$HU$512,"="&amp;SUBSTITUTE(SUBSTITUTE(SUBSTITUTE('Calculations'!HF329,"~","~~"),"*","~*"),"?","~?"),'Calculations'!$HN$13:$HN$512,"="&amp;SUBSTITUTE(SUBSTITUTE(SUBSTITUTE('Dashboard'!$B$7,"~","~~"),"*","~*"),"?","~?"))+COUNTIFS('Calculations'!$HV$13:$HV$512,"="&amp;SUBSTITUTE(SUBSTITUTE(SUBSTITUTE('Calculations'!HF329,"~","~~"),"*","~*"),"?","~?"),'Calculations'!$HN$13:$HN$512,"="&amp;SUBSTITUTE(SUBSTITUTE(SUBSTITUTE('Dashboard'!$B$7,"~","~~"),"*","~*"),"?","~?"))+COUNTIFS('Calculations'!$HW$13:$HW$512,"="&amp;SUBSTITUTE(SUBSTITUTE(SUBSTITUTE('Calculations'!HF329,"~","~~"),"*","~*"),"?","~?"),'Calculations'!$HN$13:$HN$512,"="&amp;SUBSTITUTE(SUBSTITUTE(SUBSTITUTE('Dashboard'!$B$7,"~","~~"),"*","~*"),"?","~?"))+COUNTIFS('Calculations'!$HX$13:$HX$512,"="&amp;SUBSTITUTE(SUBSTITUTE(SUBSTITUTE('Calculations'!HF329,"~","~~"),"*","~*"),"?","~?"),'Calculations'!$HN$13:$HN$512,"="&amp;SUBSTITUTE(SUBSTITUTE(SUBSTITUTE('Dashboard'!$B$7,"~","~~"),"*","~*"),"?","~?"))+COUNTIFS('Calculations'!$HY$13:$HY$512,"="&amp;SUBSTITUTE(SUBSTITUTE(SUBSTITUTE('Calculations'!HF329,"~","~~"),"*","~*"),"?","~?"),'Calculations'!$HN$13:$HN$512,"="&amp;SUBSTITUTE(SUBSTITUTE(SUBSTITUTE('Dashboard'!$B$7,"~","~~"),"*","~*"),"?","~?"))+COUNTIFS('Calculations'!$HZ$13:$HZ$512,"="&amp;SUBSTITUTE(SUBSTITUTE(SUBSTITUTE('Calculations'!HF329,"~","~~"),"*","~*"),"?","~?"),'Calculations'!$HN$13:$HN$512,"="&amp;SUBSTITUTE(SUBSTITUTE(SUBSTITUTE('Dashboard'!$B$7,"~","~~"),"*","~*"),"?","~?"))+COUNTIFS('Calculations'!$IA$13:$IA$512,"="&amp;SUBSTITUTE(SUBSTITUTE(SUBSTITUTE('Calculations'!HF329,"~","~~"),"*","~*"),"?","~?"),'Calculations'!$HN$13:$HN$512,"="&amp;SUBSTITUTE(SUBSTITUTE(SUBSTITUTE('Dashboard'!$B$7,"~","~~"),"*","~*"),"?","~?"))+COUNTIFS('Calculations'!$IB$13:$IB$512,"="&amp;SUBSTITUTE(SUBSTITUTE(SUBSTITUTE('Calculations'!HF329,"~","~~"),"*","~*"),"?","~?"),'Calculations'!$HN$13:$HN$512,"="&amp;SUBSTITUTE(SUBSTITUTE(SUBSTITUTE('Dashboard'!$B$7,"~","~~"),"*","~*"),"?","~?"))+COUNTIFS('Calculations'!$IC$13:$IC$512,"="&amp;SUBSTITUTE(SUBSTITUTE(SUBSTITUTE('Calculations'!HF329,"~","~~"),"*","~*"),"?","~?"),'Calculations'!$HN$13:$HN$512,"="&amp;SUBSTITUTE(SUBSTITUTE(SUBSTITUTE('Dashboard'!$B$7,"~","~~"),"*","~*"),"?","~?"))+COUNTIFS('Calculations'!$ID$13:$ID$512,"="&amp;SUBSTITUTE(SUBSTITUTE(SUBSTITUTE('Calculations'!HF329,"~","~~"),"*","~*"),"?","~?"),'Calculations'!$HN$13:$HN$512,"="&amp;SUBSTITUTE(SUBSTITUTE(SUBSTITUTE('Dashboard'!$B$7,"~","~~"),"*","~*"),"?","~?"))+COUNTIFS('Calculations'!$IE$13:$IE$512,"="&amp;SUBSTITUTE(SUBSTITUTE(SUBSTITUTE('Calculations'!HF329,"~","~~"),"*","~*"),"?","~?"),'Calculations'!$HN$13:$HN$512,"="&amp;SUBSTITUTE(SUBSTITUTE(SUBSTITUTE('Dashboard'!$B$7,"~","~~"),"*","~*"),"?","~?"))+COUNTIFS('Calculations'!$IF$13:$IF$512,"="&amp;SUBSTITUTE(SUBSTITUTE(SUBSTITUTE('Calculations'!HF329,"~","~~"),"*","~*"),"?","~?"),'Calculations'!$HN$13:$HN$512,"="&amp;SUBSTITUTE(SUBSTITUTE(SUBSTITUTE('Dashboard'!$B$7,"~","~~"),"*","~*"),"?","~?"))+COUNTIFS('Calculations'!$IG$13:$IG$512,"="&amp;SUBSTITUTE(SUBSTITUTE(SUBSTITUTE('Calculations'!HF329,"~","~~"),"*","~*"),"?","~?"),'Calculations'!$HN$13:$HN$512,"="&amp;SUBSTITUTE(SUBSTITUTE(SUBSTITUTE('Dashboard'!$B$7,"~","~~"),"*","~*"),"?","~?"))+COUNTIFS('Calculations'!$IH$13:$IH$512,"="&amp;SUBSTITUTE(SUBSTITUTE(SUBSTITUTE('Calculations'!HF329,"~","~~"),"*","~*"),"?","~?"),'Calculations'!$HN$13:$HN$512,"="&amp;SUBSTITUTE(SUBSTITUTE(SUBSTITUTE('Dashboard'!$B$7,"~","~~"),"*","~*"),"?","~?"))))</x:f>
        <x:v>0</x:v>
      </x:c>
      <x:c r="JD329" t="n">
        <x:f>IF('Calculations'!EM329="",0,IF('Dashboard'!$B$7="All",1,IF('Calculations'!HN329='Dashboard'!$B$7,1,0)+IFERROR(INDEX('Calculations'!$JC$13:$JC$512,MATCH('Calculations'!HE329,'Calculations'!$HF$13:$HF$512,0)),0)))</x:f>
        <x:v>0</x:v>
      </x:c>
      <x:c r="JE329" t="n">
        <x:f>IF(AND('Calculations'!EM329&lt;&gt;"",'Calculations'!$JJ$2&lt;&gt;"All",'Calculations'!$JJ$2&lt;&gt;"",'Calculations'!HF329='Calculations'!$JJ$2,'Calculations'!HL329=0,'Calculations'!JD329&gt;0),MAX('Calculations'!$JE$12:JE328)+1,0)</x:f>
        <x:v>0</x:v>
      </x:c>
      <x:c r="JF329" t="str">
        <x:f>IF('Calculations'!EM329="","",IFERROR(IF(INDEX(INDIRECT("'WCM Calibration Final'!$G$1:$G$2000"),'Calculations'!$EM329)="","",TRIM(INDEX(INDIRECT("'WCM Calibration Final'!$G$1:$G$2000"),'Calculations'!$EM329)&amp;"")),""))</x:f>
      </x:c>
      <x:c r="JQ329" t="n">
        <x:f>IF(OR('Calculations'!BM329=0,NOT('Calculations'!$AG$2),'Calculations'!$AG$8&gt;0),0,IF(OR('Dashboard'!$B$7="All",'Calculations'!HN329='Dashboard'!$B$7),IF('Calculations'!$JJ$2="All",1,IF(AND('Calculations'!HF329='Calculations'!$JJ$2,'Calculations'!HL329=0),1,0)),0))</x:f>
        <x:v>0</x:v>
      </x:c>
    </x:row>
    <x:row r="330">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t="n">
        <x:f>IF('Calculations'!$EM330="",0,IF(OR(IFERROR(INDEX(INDIRECT("'WCM Calibration Final'!$A$1:$A$2000"),'Calculations'!$EM330)&lt;&gt;"",FALSE),IFERROR(INDEX(INDIRECT("'WCM Calibration Final'!$B$1:$B$2000"),'Calculations'!$EM330)&lt;&gt;"",FALSE),IFERROR(INDEX(INDIRECT("'WCM Calibration Final'!$C$1:$C$2000"),'Calculations'!$EM330)&lt;&gt;"",FALSE)),1,0))</x:f>
        <x:v>0</x:v>
      </x:c>
      <x:c r="BN330" s="4" t="n">
        <x:f>IF(AND('Calculations'!BM330=1,'Calculations'!$AG$2,'Calculations'!$EN330=1),1,0)</x:f>
        <x:v>0</x:v>
      </x:c>
      <x:c r="BO330" s="4" t="str">
        <x:f>IF('Calculations'!BM330=0,"",IFERROR(IF(AND(VALUE(INDEX(INDIRECT("'WCM Calibration Final'!$K$1:$K$2000"),'Calculations'!$EM330))&gt;=1,VALUE(INDEX(INDIRECT("'WCM Calibration Final'!$K$1:$K$2000"),'Calculations'!$EM330))&lt;=4,MOD(VALUE(INDEX(INDIRECT("'WCM Calibration Final'!$K$1:$K$2000"),'Calculations'!$EM330)),1)=0),VALUE(INDEX(INDIRECT("'WCM Calibration Final'!$K$1:$K$2000"),'Calculations'!$EM330)),""),""))</x:f>
      </x:c>
      <x:c r="BP330" s="4" t="str">
        <x:f>IF('Calculations'!BM330=0,"",IFERROR(IF(AND(VALUE(INDEX(INDIRECT("'WCM Calibration Final'!$L$1:$L$2000"),'Calculations'!$EM330))&gt;=1,VALUE(INDEX(INDIRECT("'WCM Calibration Final'!$L$1:$L$2000"),'Calculations'!$EM330))&lt;=4,MOD(VALUE(INDEX(INDIRECT("'WCM Calibration Final'!$L$1:$L$2000"),'Calculations'!$EM330)),1)=0),VALUE(INDEX(INDIRECT("'WCM Calibration Final'!$L$1:$L$2000"),'Calculations'!$EM330)),""),""))</x:f>
      </x:c>
      <x:c r="BQ330" s="4"/>
      <x:c r="BR330" s="4"/>
      <x:c r="BS330" s="4"/>
      <x:c r="BT330" s="4" t="n">
        <x:f>IF(AND('Calculations'!BM330=1,ISNUMBER('Calculations'!BO330),ISNUMBER('Calculations'!BP330)),1,0)</x:f>
        <x:v>0</x:v>
      </x:c>
      <x:c r="BU330" s="4" t="str">
        <x:f>IF('Calculations'!BM330=0,"",'Calculations'!$EO330)</x:f>
      </x:c>
      <x:c r="BV330" s="4" t="str">
        <x:f>IF('Calculations'!BM330=0,"",IFERROR(IF(OR(INDEX(INDIRECT("'WCM Calibration Final'!$H$1:$H$2000"),'Calculations'!$EM330)="MANAGING DIRECTOR",INDEX(INDIRECT("'WCM Calibration Final'!$H$1:$H$2000"),'Calculations'!$EM330)="DIRECTOR",INDEX(INDIRECT("'WCM Calibration Final'!$H$1:$H$2000"),'Calculations'!$EM330)="SENIOR VICE PRESIDENT",INDEX(INDIRECT("'WCM Calibration Final'!$H$1:$H$2000"),'Calculations'!$EM330)="VICE PRESIDENT",INDEX(INDIRECT("'WCM Calibration Final'!$H$1:$H$2000"),'Calculations'!$EM330)="ASSISTANT VICE PRESIDENT",INDEX(INDIRECT("'WCM Calibration Final'!$H$1:$H$2000"),'Calculations'!$EM330)="OFFICER"),UPPER(INDEX(INDIRECT("'WCM Calibration Final'!$H$1:$H$2000"),'Calculations'!$EM330)),"Other"),"Other"))</x:f>
      </x:c>
      <x:c r="BW330" s="4"/>
      <x:c r="BX330" s="4"/>
      <x:c r="BY330" s="4" t="n">
        <x:f>IF(AND('Calculations'!BM330=1,'Calculations'!BU330&lt;&gt;"",COUNTIF('Calculations'!$BU$12:BU330,'Calculations'!BU330)=1),MAX('Calculations'!$BY$11:BY329)+1,0)</x:f>
        <x:v>0</x:v>
      </x:c>
      <x:c r="BZ330" s="4" t="str">
        <x:f>IF('Dashboard'!$E$67="What",'Calculations'!BO330,'Calculations'!BP330)</x:f>
      </x:c>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t="str">
        <x:f>IF(319&gt;MAX('Calculations'!$HI$13:$HI$512),"",INDEX('Calculations'!$HN$13:$HN$512,MATCH(319,'Calculations'!$HI$13:$HI$512,0)))</x:f>
      </x:c>
      <x:c r="DB330" s="4" t="str">
        <x:f>IF(319&gt;MAX('Calculations'!$HH$13:$HH$512),"",INDEX('Calculations'!$HJ$13:$HJ$512,MATCH(319,'Calculations'!$HH$13:$HH$512,0)))</x:f>
      </x:c>
      <x:c r="DC330" s="4" t="str">
        <x:f>IF(ROW()-11&gt;MAX('Calculations'!$BY$13:$BY$512),"",INDEX('Calculations'!$BU$13:$BU$512,MATCH(ROW()-11,'Calculations'!$BY$13:$BY$512,0)))</x:f>
      </x:c>
      <x:c r="DD330" s="4" t="str">
        <x:f>IF(319&gt;MAX('Calculations'!$IK$13:$IK$512),"",INDEX('Calculations'!$HK$13:$HK$512,MATCH(319,'Calculations'!$IK$13:$IK$512,0)))</x:f>
      </x:c>
      <x:c r="DE330" s="4" t="str">
        <x:f>'Calculations'!DC330</x:f>
      </x:c>
      <x:c r="DF330" s="4" t="str">
        <x:f>IF('Calculations'!DE330="","",COUNTIFS('Calculations'!$BN$13:$BN$512,1,'Calculations'!$BU$13:$BU$512,'Calculations'!DE330))</x:f>
      </x:c>
      <x:c r="DG330" s="4" t="str">
        <x:f>IF('Calculations'!DE330="","",COUNTIFS('Calculations'!$BN$13:$BN$512,1,'Calculations'!$BU$13:$BU$512,'Calculations'!DE330,'Calculations'!$BT$13:$BT$512,1))</x:f>
      </x:c>
      <x:c r="DH330" s="4" t="str">
        <x:f>IF('Calculations'!DE330="","",'Calculations'!DF330-'Calculations'!DG330)</x:f>
      </x:c>
      <x:c r="DI330" s="4" t="str">
        <x:f>IF(OR('Calculations'!DE330="",'Calculations'!DF330=0),"",'Calculations'!DG330/'Calculations'!DF330)</x:f>
      </x:c>
      <x:c r="DJ330" s="4" t="str">
        <x:f>IF('Calculations'!DE330="","",COUNTIFS('Calculations'!$BN$13:$BN$512,1,'Calculations'!$BU$13:$BU$512,'Calculations'!DE330,'Calculations'!$BT$13:$BT$512,1,'Calculations'!$EE$13:$EE$512,"High"))</x:f>
      </x:c>
      <x:c r="DK330" s="4" t="str">
        <x:f>IF('Calculations'!DE330="","",COUNTIFS('Calculations'!$BN$13:$BN$512,1,'Calculations'!$BU$13:$BU$512,'Calculations'!DE330,'Calculations'!$BT$13:$BT$512,1,'Calculations'!$EE$13:$EE$512,"Strong"))</x:f>
      </x:c>
      <x:c r="DL330" s="4" t="str">
        <x:f>IF('Calculations'!DE330="","",COUNTIFS('Calculations'!$BN$13:$BN$512,1,'Calculations'!$BU$13:$BU$512,'Calculations'!DE330,'Calculations'!$BT$13:$BT$512,1,'Calculations'!$EE$13:$EE$512,"Solid"))</x:f>
      </x:c>
      <x:c r="DM330" s="4" t="str">
        <x:f>IF('Calculations'!DE330="","",COUNTIFS('Calculations'!$BN$13:$BN$512,1,'Calculations'!$BU$13:$BU$512,'Calculations'!DE330,'Calculations'!$BT$13:$BT$512,1,'Calculations'!$EE$13:$EE$512,"Low"))</x:f>
      </x:c>
      <x:c r="DN330" s="4" t="str">
        <x:f>IF('Calculations'!DE330="","",COUNTIFS('Calculations'!$BN$13:$BN$512,1,'Calculations'!$BU$13:$BU$512,'Calculations'!DE330,'Calculations'!$EP$13:$EP$512,1))</x:f>
      </x:c>
      <x:c r="DO330" s="4" t="str">
        <x:f>IF(OR('Calculations'!DE330="",'Calculations'!DG330=0),"",('Calculations'!DJ330+'Calculations'!DK330)/'Calculations'!DG330)</x:f>
      </x:c>
      <x:c r="DP330" s="4" t="n">
        <x:f>IF(AND('Calculations'!DE330&lt;&gt;"",'Calculations'!DF330&gt;0),COUNTIF('Calculations'!$DF$12:DF330,"&gt;0"),0)</x:f>
        <x:v>0</x:v>
      </x:c>
      <x:c r="DQ330" s="4" t="str">
        <x:f>IF(319&gt;MAX('Calculations'!$HH$13:$HH$512),"",INDEX('Calculations'!$HF$13:$HF$512,MATCH(319,'Calculations'!$HH$13:$HH$512,0)))</x:f>
      </x:c>
      <x:c r="DR330" s="4" t="str">
        <x:f>IF(319&gt;MAX('Calculations'!$IK$13:$IK$512),"",INDEX('Calculations'!$HE$13:$HE$512,MATCH(319,'Calculations'!$IK$13:$IK$512,0)))</x:f>
      </x:c>
      <x:c r="DS330" s="4"/>
      <x:c r="DT330" s="4"/>
      <x:c r="DU330" s="4"/>
      <x:c r="DV330" s="4"/>
      <x:c r="DW330" s="4"/>
      <x:c r="DX330" s="4"/>
      <x:c r="DY330" s="4"/>
      <x:c r="DZ330" s="4"/>
      <x:c r="EA330" s="4"/>
      <x:c r="EB330" s="4"/>
      <x:c r="EC330" s="4"/>
      <x:c r="ED330" s="4"/>
      <x:c r="EE330" s="4" t="str">
        <x:f>IF('Calculations'!BT330=0,"Not Rated",IF(OR('Calculations'!BO330&gt;=4,'Calculations'!BP330&gt;=4),"Low",IF('Calculations'!BO330+'Calculations'!BP330&lt;=3,"High",IF('Calculations'!BO330+'Calculations'!BP330&lt;=4,"Strong","Solid"))))</x:f>
        <x:v>Not Rated</x:v>
      </x:c>
      <x:c r="EF330" s="4"/>
      <x:c r="EG330" s="4"/>
      <x:c r="EH330" s="4"/>
      <x:c r="EI330" s="4"/>
      <x:c r="EJ330" s="4"/>
      <x:c r="EK330" s="4"/>
      <x:c r="EL330" s="4"/>
      <x:c r="EM330" s="4" t="str">
        <x:f>IF(318&gt;'Calculations'!$JB$2000,"",INDEX('Calculations'!$JA$12:$JA$2000,MATCH(318,'Calculations'!$JB$12:$JB$2000,0)))</x:f>
      </x:c>
      <x:c r="EN330" s="4" t="n">
        <x:f>IF(OR('Calculations'!EM330="",'Calculations'!$AG$8&gt;0,AND('Calculations'!$EF$2&lt;&gt;"All",'Calculations'!HE330='Calculations'!$EF$2),AND('Calculations'!$EF$3&lt;&gt;"All",'Calculations'!HE330='Calculations'!$EF$3)),0,IF(OR('Dashboard'!$B$7="All",'Calculations'!HN330='Dashboard'!$B$7),IF('Calculations'!$EF$2="All",1,IF('Calculations'!HL330&gt;0,0,IF(COUNTIF('Calculations'!HO330:II330,"="&amp;SUBSTITUTE(SUBSTITUTE(SUBSTITUTE('Calculations'!$EF$2,"~","~~"),"*","~*"),"?","~?"))=0,0,IF('Calculations'!$EF$3="All",1,IF(COUNTIF('Calculations'!HO330:II330,"="&amp;SUBSTITUTE(SUBSTITUTE(SUBSTITUTE('Calculations'!$EF$3,"~","~~"),"*","~*"),"?","~?"))&gt;0,1,0))))),0))</x:f>
        <x:v>0</x:v>
      </x:c>
      <x:c r="EO330" s="4" t="str">
        <x:f>IF('Calculations'!IJ330="","",IF('Calculations'!IJ330="!UNRESOLVED","Unresolved hierarchy",IFERROR(INDEX('Calculations'!$HK$13:$HK$512,MATCH('Calculations'!IJ330,'Calculations'!$HE$13:$HE$512,0)),IFERROR(INDEX('Calculations'!$HJ$13:$HJ$512,MATCH('Calculations'!IJ330,'Calculations'!$HF$13:$HF$512,0)),'Calculations'!IJ330))))</x:f>
      </x:c>
      <x:c r="EP330" s="4" t="n">
        <x:f>IF(AND('Calculations'!EM330&lt;&gt;"",'Calculations'!HF330='Calculations'!IJ330),1,0)</x:f>
        <x:v>0</x:v>
      </x:c>
      <x:c r="EQ330" s="4"/>
      <x:c r="ER330" s="4"/>
      <x:c r="ES330" s="4"/>
      <x:c r="ET330" s="4"/>
      <x:c r="EU330" s="4"/>
      <x:c r="EV330" s="4"/>
      <x:c r="EW330" s="4"/>
      <x:c r="EX330" s="4"/>
      <x:c r="EY330" s="4"/>
      <x:c r="EZ330" s="4"/>
      <x:c r="FA330" s="4"/>
      <x:c r="FB330" s="4"/>
      <x:c r="FC330" s="4"/>
      <x:c r="FD330" s="4"/>
      <x:c r="FE330" s="4"/>
      <x:c r="FF330" s="4"/>
      <x:c r="FG330" s="4"/>
      <x:c r="FH330" s="4"/>
      <x:c r="FI330" s="4"/>
      <x:c r="FJ330" s="4"/>
      <x:c r="FK330" s="4"/>
      <x:c r="FL330" s="4"/>
      <x:c r="FM330" s="4"/>
      <x:c r="FN330" s="4"/>
      <x:c r="FO330" s="4"/>
      <x:c r="HE330" t="str">
        <x:f>IF('Calculations'!EM330="","",IF(IFERROR(IF(INDEX(INDIRECT("'WCM Calibration Final'!$A$1:$A$2000"),'Calculations'!$EM330)="","",TRIM(INDEX(INDIRECT("'WCM Calibration Final'!$A$1:$A$2000"),'Calculations'!$EM330)&amp;"")),"")&lt;&gt;"","G:"&amp;IFERROR(TEXT(1*INDEX(INDIRECT("'WCM Calibration Final'!$A$1:$A$2000"),'Calculations'!$EM330),"0"),UPPER(IFERROR(IF(INDEX(INDIRECT("'WCM Calibration Final'!$A$1:$A$2000"),'Calculations'!$EM330)="","",TRIM(INDEX(INDIRECT("'WCM Calibration Final'!$A$1:$A$2000"),'Calculations'!$EM330)&amp;"")),""))),IF(IFERROR(IF(INDEX(INDIRECT("'WCM Calibration Final'!$C$1:$C$2000"),'Calculations'!$EM330)="","",TRIM(INDEX(INDIRECT("'WCM Calibration Final'!$C$1:$C$2000"),'Calculations'!$EM330)&amp;"")),"")&lt;&gt;"","S:"&amp;UPPER(IFERROR(IF(INDEX(INDIRECT("'WCM Calibration Final'!$C$1:$C$2000"),'Calculations'!$EM330)="","",TRIM(INDEX(INDIRECT("'WCM Calibration Final'!$C$1:$C$2000"),'Calculations'!$EM330)&amp;"")),"")),"R:"&amp;'Calculations'!EM330)))</x:f>
      </x:c>
      <x:c r="HF330" t="str">
        <x:f>IF('Calculations'!EM330="","",IF(IFERROR(IF(INDEX(INDIRECT("'WCM Calibration Final'!$D$1:$D$2000"),'Calculations'!$EM330)="","",TRIM(INDEX(INDIRECT("'WCM Calibration Final'!$D$1:$D$2000"),'Calculations'!$EM330)&amp;"")),"")&lt;&gt;"","G:"&amp;IFERROR(TEXT(1*INDEX(INDIRECT("'WCM Calibration Final'!$D$1:$D$2000"),'Calculations'!$EM330),"0"),UPPER(IFERROR(IF(INDEX(INDIRECT("'WCM Calibration Final'!$D$1:$D$2000"),'Calculations'!$EM330)="","",TRIM(INDEX(INDIRECT("'WCM Calibration Final'!$D$1:$D$2000"),'Calculations'!$EM330)&amp;"")),""))),IF(IFERROR(IF(INDEX(INDIRECT("'WCM Calibration Final'!$E$1:$E$2000"),'Calculations'!$EM330)="","",TRIM(INDEX(INDIRECT("'WCM Calibration Final'!$E$1:$E$2000"),'Calculations'!$EM330)&amp;"")),"")="","",IF(COUNTIF('Calculations'!$HG$13:$HG$512,"="&amp;SUBSTITUTE(SUBSTITUTE(SUBSTITUTE(IFERROR(IF(INDEX(INDIRECT("'WCM Calibration Final'!$E$1:$E$2000"),'Calculations'!$EM330)="","",TRIM(INDEX(INDIRECT("'WCM Calibration Final'!$E$1:$E$2000"),'Calculations'!$EM330)&amp;"")),""),"~","~~"),"*","~*"),"?","~?"))=1,INDEX('Calculations'!$HE$13:$HE$512,MATCH(IFERROR(IF(INDEX(INDIRECT("'WCM Calibration Final'!$E$1:$E$2000"),'Calculations'!$EM330)="","",TRIM(INDEX(INDIRECT("'WCM Calibration Final'!$E$1:$E$2000"),'Calculations'!$EM330)&amp;"")),""),'Calculations'!$HG$13:$HG$512,0)),IF(COUNTIF('Calculations'!$HG$13:$HG$512,"="&amp;SUBSTITUTE(SUBSTITUTE(SUBSTITUTE(IFERROR(IF(INDEX(INDIRECT("'WCM Calibration Final'!$E$1:$E$2000"),'Calculations'!$EM330)="","",TRIM(INDEX(INDIRECT("'WCM Calibration Final'!$E$1:$E$2000"),'Calculations'!$EM330)&amp;"")),""),"~","~~"),"*","~*"),"?","~?"))&gt;1,"!AMBIG","X:"&amp;IFERROR(IF(INDEX(INDIRECT("'WCM Calibration Final'!$E$1:$E$2000"),'Calculations'!$EM330)="","",TRIM(INDEX(INDIRECT("'WCM Calibration Final'!$E$1:$E$2000"),'Calculations'!$EM330)&amp;"")),""))))))</x:f>
      </x:c>
      <x:c r="HG330" t="str">
        <x:f>IF('Calculations'!EM330="","",IFERROR(IF(INDEX(INDIRECT("'WCM Calibration Final'!$B$1:$B$2000"),'Calculations'!$EM330)="","",TRIM(INDEX(INDIRECT("'WCM Calibration Final'!$B$1:$B$2000"),'Calculations'!$EM330)&amp;"")),""))</x:f>
      </x:c>
      <x:c r="HH330" t="n">
        <x:f>IF(AND('Calculations'!JC330&gt;0,COUNTIF('Calculations'!$HF$12:HF330,"="&amp;SUBSTITUTE(SUBSTITUTE(SUBSTITUTE('Calculations'!HF330,"~","~~"),"*","~*"),"?","~?"))=1),MAX('Calculations'!$HH$12:HH329)+1,0)</x:f>
        <x:v>0</x:v>
      </x:c>
      <x:c r="HI330" t="n">
        <x:f>IF(AND('Calculations'!HN330&lt;&gt;"",COUNTIF('Calculations'!$HN$12:HN330,"="&amp;SUBSTITUTE(SUBSTITUTE(SUBSTITUTE('Calculations'!HN330,"~","~~"),"*","~*"),"?","~?"))=1),MAX('Calculations'!$HI$12:HI329)+1,0)</x:f>
        <x:v>0</x:v>
      </x:c>
      <x:c r="HJ330" t="str">
        <x:f>IF('Calculations'!HF330="","",IF(COUNTIF('Calculations'!$HE$13:$HE$512,"="&amp;SUBSTITUTE(SUBSTITUTE(SUBSTITUTE('Calculations'!HF330,"~","~~"),"*","~*"),"?","~?"))=1,INDEX('Calculations'!$HK$13:$HK$512,MATCH('Calculations'!HF330,'Calculations'!$HE$13:$HE$512,0)),IFERROR(IF(INDEX(INDIRECT("'WCM Calibration Final'!$E$1:$E$2000"),'Calculations'!$EM330)="","",TRIM(INDEX(INDIRECT("'WCM Calibration Final'!$E$1:$E$2000"),'Calculations'!$EM330)&amp;"")),"")&amp;" ["&amp;'Calculations'!HF330&amp;"]"))</x:f>
      </x:c>
      <x:c r="HK330" t="str">
        <x:f>IF('Calculations'!EM330="","",'Calculations'!HG330&amp;" ["&amp;'Calculations'!HE330&amp;"]")</x:f>
      </x:c>
      <x:c r="HL330" t="n">
        <x:f>IF('Calculations'!EM330="",0,IF(OR('Calculations'!II330&lt;&gt;"",COUNTIF('Calculations'!$HE$13:$HE$512,"="&amp;SUBSTITUTE(SUBSTITUTE(SUBSTITUTE('Calculations'!HE330,"~","~~"),"*","~*"),"?","~?"))&gt;1),1,0))</x:f>
        <x:v>0</x:v>
      </x:c>
      <x:c r="HM330" t="str">
        <x:f>IF('Calculations'!EM330="","",IF('Calculations'!HL330=1,"!UNRESOLVED",IF('Calculations'!IH330&lt;&gt;"",'Calculations'!IH330,IF('Calculations'!IG330&lt;&gt;"",'Calculations'!IG330,IF('Calculations'!IF330&lt;&gt;"",'Calculations'!IF330,IF('Calculations'!IE330&lt;&gt;"",'Calculations'!IE330,IF('Calculations'!ID330&lt;&gt;"",'Calculations'!ID330,IF('Calculations'!IC330&lt;&gt;"",'Calculations'!IC330,IF('Calculations'!IB330&lt;&gt;"",'Calculations'!IB330,IF('Calculations'!IA330&lt;&gt;"",'Calculations'!IA330,IF('Calculations'!HZ330&lt;&gt;"",'Calculations'!HZ330,IF('Calculations'!HY330&lt;&gt;"",'Calculations'!HY330,IF('Calculations'!HX330&lt;&gt;"",'Calculations'!HX330,IF('Calculations'!HW330&lt;&gt;"",'Calculations'!HW330,IF('Calculations'!HV330&lt;&gt;"",'Calculations'!HV330,IF('Calculations'!HU330&lt;&gt;"",'Calculations'!HU330,IF('Calculations'!HT330&lt;&gt;"",'Calculations'!HT330,IF('Calculations'!HS330&lt;&gt;"",'Calculations'!HS330,IF('Calculations'!HR330&lt;&gt;"",'Calculations'!HR330,IF('Calculations'!HQ330&lt;&gt;"",'Calculations'!HQ330,IF('Calculations'!HP330&lt;&gt;"",'Calculations'!HP330,IF('Calculations'!HO330&lt;&gt;"",'Calculations'!HO330,'Calculations'!HE330))))))))))))))))))))))</x:f>
      </x:c>
      <x:c r="HN330" t="str">
        <x:f>IF('Calculations'!EM330="","",IF(IFERROR(IF(INDEX(INDIRECT("'WCM Calibration Final'!$F$1:$F$2000"),'Calculations'!$EM330)="","",TRIM(INDEX(INDIRECT("'WCM Calibration Final'!$F$1:$F$2000"),'Calculations'!$EM330)&amp;"")),"")="","(Blank)",IFERROR(IF(INDEX(INDIRECT("'WCM Calibration Final'!$F$1:$F$2000"),'Calculations'!$EM330)="","",TRIM(INDEX(INDIRECT("'WCM Calibration Final'!$F$1:$F$2000"),'Calculations'!$EM330)&amp;"")),"")))</x:f>
      </x:c>
      <x:c r="HO330" t="str">
        <x:f>'Calculations'!HF330</x:f>
      </x:c>
      <x:c r="HP330" t="str">
        <x:f>IF('Calculations'!HO330="","",IF('Calculations'!HO330="!AMBIG","!AMBIG",IF(COUNTIF('Calculations'!$HE$13:$HE$512,"="&amp;SUBSTITUTE(SUBSTITUTE(SUBSTITUTE('Calculations'!HO330,"~","~~"),"*","~*"),"?","~?"))&gt;1,"!AMBIG",IFERROR(INDEX('Calculations'!$HF$13:$HF$512,MATCH('Calculations'!HO330,'Calculations'!$HE$13:$HE$512,0)),""))))</x:f>
      </x:c>
      <x:c r="HQ330" t="str">
        <x:f>IF('Calculations'!HP330="","",IF('Calculations'!HP330="!AMBIG","!AMBIG",IF(COUNTIF('Calculations'!$HE$13:$HE$512,"="&amp;SUBSTITUTE(SUBSTITUTE(SUBSTITUTE('Calculations'!HP330,"~","~~"),"*","~*"),"?","~?"))&gt;1,"!AMBIG",IFERROR(INDEX('Calculations'!$HF$13:$HF$512,MATCH('Calculations'!HP330,'Calculations'!$HE$13:$HE$512,0)),""))))</x:f>
      </x:c>
      <x:c r="HR330" t="str">
        <x:f>IF('Calculations'!HQ330="","",IF('Calculations'!HQ330="!AMBIG","!AMBIG",IF(COUNTIF('Calculations'!$HE$13:$HE$512,"="&amp;SUBSTITUTE(SUBSTITUTE(SUBSTITUTE('Calculations'!HQ330,"~","~~"),"*","~*"),"?","~?"))&gt;1,"!AMBIG",IFERROR(INDEX('Calculations'!$HF$13:$HF$512,MATCH('Calculations'!HQ330,'Calculations'!$HE$13:$HE$512,0)),""))))</x:f>
      </x:c>
      <x:c r="HS330" t="str">
        <x:f>IF('Calculations'!HR330="","",IF('Calculations'!HR330="!AMBIG","!AMBIG",IF(COUNTIF('Calculations'!$HE$13:$HE$512,"="&amp;SUBSTITUTE(SUBSTITUTE(SUBSTITUTE('Calculations'!HR330,"~","~~"),"*","~*"),"?","~?"))&gt;1,"!AMBIG",IFERROR(INDEX('Calculations'!$HF$13:$HF$512,MATCH('Calculations'!HR330,'Calculations'!$HE$13:$HE$512,0)),""))))</x:f>
      </x:c>
      <x:c r="HT330" t="str">
        <x:f>IF('Calculations'!HS330="","",IF('Calculations'!HS330="!AMBIG","!AMBIG",IF(COUNTIF('Calculations'!$HE$13:$HE$512,"="&amp;SUBSTITUTE(SUBSTITUTE(SUBSTITUTE('Calculations'!HS330,"~","~~"),"*","~*"),"?","~?"))&gt;1,"!AMBIG",IFERROR(INDEX('Calculations'!$HF$13:$HF$512,MATCH('Calculations'!HS330,'Calculations'!$HE$13:$HE$512,0)),""))))</x:f>
      </x:c>
      <x:c r="HU330" t="str">
        <x:f>IF('Calculations'!HT330="","",IF('Calculations'!HT330="!AMBIG","!AMBIG",IF(COUNTIF('Calculations'!$HE$13:$HE$512,"="&amp;SUBSTITUTE(SUBSTITUTE(SUBSTITUTE('Calculations'!HT330,"~","~~"),"*","~*"),"?","~?"))&gt;1,"!AMBIG",IFERROR(INDEX('Calculations'!$HF$13:$HF$512,MATCH('Calculations'!HT330,'Calculations'!$HE$13:$HE$512,0)),""))))</x:f>
      </x:c>
      <x:c r="HV330" t="str">
        <x:f>IF('Calculations'!HU330="","",IF('Calculations'!HU330="!AMBIG","!AMBIG",IF(COUNTIF('Calculations'!$HE$13:$HE$512,"="&amp;SUBSTITUTE(SUBSTITUTE(SUBSTITUTE('Calculations'!HU330,"~","~~"),"*","~*"),"?","~?"))&gt;1,"!AMBIG",IFERROR(INDEX('Calculations'!$HF$13:$HF$512,MATCH('Calculations'!HU330,'Calculations'!$HE$13:$HE$512,0)),""))))</x:f>
      </x:c>
      <x:c r="HW330" t="str">
        <x:f>IF('Calculations'!HV330="","",IF('Calculations'!HV330="!AMBIG","!AMBIG",IF(COUNTIF('Calculations'!$HE$13:$HE$512,"="&amp;SUBSTITUTE(SUBSTITUTE(SUBSTITUTE('Calculations'!HV330,"~","~~"),"*","~*"),"?","~?"))&gt;1,"!AMBIG",IFERROR(INDEX('Calculations'!$HF$13:$HF$512,MATCH('Calculations'!HV330,'Calculations'!$HE$13:$HE$512,0)),""))))</x:f>
      </x:c>
      <x:c r="HX330" t="str">
        <x:f>IF('Calculations'!HW330="","",IF('Calculations'!HW330="!AMBIG","!AMBIG",IF(COUNTIF('Calculations'!$HE$13:$HE$512,"="&amp;SUBSTITUTE(SUBSTITUTE(SUBSTITUTE('Calculations'!HW330,"~","~~"),"*","~*"),"?","~?"))&gt;1,"!AMBIG",IFERROR(INDEX('Calculations'!$HF$13:$HF$512,MATCH('Calculations'!HW330,'Calculations'!$HE$13:$HE$512,0)),""))))</x:f>
      </x:c>
      <x:c r="HY330" t="str">
        <x:f>IF('Calculations'!HX330="","",IF('Calculations'!HX330="!AMBIG","!AMBIG",IF(COUNTIF('Calculations'!$HE$13:$HE$512,"="&amp;SUBSTITUTE(SUBSTITUTE(SUBSTITUTE('Calculations'!HX330,"~","~~"),"*","~*"),"?","~?"))&gt;1,"!AMBIG",IFERROR(INDEX('Calculations'!$HF$13:$HF$512,MATCH('Calculations'!HX330,'Calculations'!$HE$13:$HE$512,0)),""))))</x:f>
      </x:c>
      <x:c r="HZ330" t="str">
        <x:f>IF('Calculations'!HY330="","",IF('Calculations'!HY330="!AMBIG","!AMBIG",IF(COUNTIF('Calculations'!$HE$13:$HE$512,"="&amp;SUBSTITUTE(SUBSTITUTE(SUBSTITUTE('Calculations'!HY330,"~","~~"),"*","~*"),"?","~?"))&gt;1,"!AMBIG",IFERROR(INDEX('Calculations'!$HF$13:$HF$512,MATCH('Calculations'!HY330,'Calculations'!$HE$13:$HE$512,0)),""))))</x:f>
      </x:c>
      <x:c r="IA330" t="str">
        <x:f>IF('Calculations'!HZ330="","",IF('Calculations'!HZ330="!AMBIG","!AMBIG",IF(COUNTIF('Calculations'!$HE$13:$HE$512,"="&amp;SUBSTITUTE(SUBSTITUTE(SUBSTITUTE('Calculations'!HZ330,"~","~~"),"*","~*"),"?","~?"))&gt;1,"!AMBIG",IFERROR(INDEX('Calculations'!$HF$13:$HF$512,MATCH('Calculations'!HZ330,'Calculations'!$HE$13:$HE$512,0)),""))))</x:f>
      </x:c>
      <x:c r="IB330" t="str">
        <x:f>IF('Calculations'!IA330="","",IF('Calculations'!IA330="!AMBIG","!AMBIG",IF(COUNTIF('Calculations'!$HE$13:$HE$512,"="&amp;SUBSTITUTE(SUBSTITUTE(SUBSTITUTE('Calculations'!IA330,"~","~~"),"*","~*"),"?","~?"))&gt;1,"!AMBIG",IFERROR(INDEX('Calculations'!$HF$13:$HF$512,MATCH('Calculations'!IA330,'Calculations'!$HE$13:$HE$512,0)),""))))</x:f>
      </x:c>
      <x:c r="IC330" t="str">
        <x:f>IF('Calculations'!IB330="","",IF('Calculations'!IB330="!AMBIG","!AMBIG",IF(COUNTIF('Calculations'!$HE$13:$HE$512,"="&amp;SUBSTITUTE(SUBSTITUTE(SUBSTITUTE('Calculations'!IB330,"~","~~"),"*","~*"),"?","~?"))&gt;1,"!AMBIG",IFERROR(INDEX('Calculations'!$HF$13:$HF$512,MATCH('Calculations'!IB330,'Calculations'!$HE$13:$HE$512,0)),""))))</x:f>
      </x:c>
      <x:c r="ID330" t="str">
        <x:f>IF('Calculations'!IC330="","",IF('Calculations'!IC330="!AMBIG","!AMBIG",IF(COUNTIF('Calculations'!$HE$13:$HE$512,"="&amp;SUBSTITUTE(SUBSTITUTE(SUBSTITUTE('Calculations'!IC330,"~","~~"),"*","~*"),"?","~?"))&gt;1,"!AMBIG",IFERROR(INDEX('Calculations'!$HF$13:$HF$512,MATCH('Calculations'!IC330,'Calculations'!$HE$13:$HE$512,0)),""))))</x:f>
      </x:c>
      <x:c r="IE330" t="str">
        <x:f>IF('Calculations'!ID330="","",IF('Calculations'!ID330="!AMBIG","!AMBIG",IF(COUNTIF('Calculations'!$HE$13:$HE$512,"="&amp;SUBSTITUTE(SUBSTITUTE(SUBSTITUTE('Calculations'!ID330,"~","~~"),"*","~*"),"?","~?"))&gt;1,"!AMBIG",IFERROR(INDEX('Calculations'!$HF$13:$HF$512,MATCH('Calculations'!ID330,'Calculations'!$HE$13:$HE$512,0)),""))))</x:f>
      </x:c>
      <x:c r="IF330" t="str">
        <x:f>IF('Calculations'!IE330="","",IF('Calculations'!IE330="!AMBIG","!AMBIG",IF(COUNTIF('Calculations'!$HE$13:$HE$512,"="&amp;SUBSTITUTE(SUBSTITUTE(SUBSTITUTE('Calculations'!IE330,"~","~~"),"*","~*"),"?","~?"))&gt;1,"!AMBIG",IFERROR(INDEX('Calculations'!$HF$13:$HF$512,MATCH('Calculations'!IE330,'Calculations'!$HE$13:$HE$512,0)),""))))</x:f>
      </x:c>
      <x:c r="IG330" t="str">
        <x:f>IF('Calculations'!IF330="","",IF('Calculations'!IF330="!AMBIG","!AMBIG",IF(COUNTIF('Calculations'!$HE$13:$HE$512,"="&amp;SUBSTITUTE(SUBSTITUTE(SUBSTITUTE('Calculations'!IF330,"~","~~"),"*","~*"),"?","~?"))&gt;1,"!AMBIG",IFERROR(INDEX('Calculations'!$HF$13:$HF$512,MATCH('Calculations'!IF330,'Calculations'!$HE$13:$HE$512,0)),""))))</x:f>
      </x:c>
      <x:c r="IH330" t="str">
        <x:f>IF('Calculations'!IG330="","",IF('Calculations'!IG330="!AMBIG","!AMBIG",IF(COUNTIF('Calculations'!$HE$13:$HE$512,"="&amp;SUBSTITUTE(SUBSTITUTE(SUBSTITUTE('Calculations'!IG330,"~","~~"),"*","~*"),"?","~?"))&gt;1,"!AMBIG",IFERROR(INDEX('Calculations'!$HF$13:$HF$512,MATCH('Calculations'!IG330,'Calculations'!$HE$13:$HE$512,0)),""))))</x:f>
      </x:c>
      <x:c r="II330" t="str">
        <x:f>IF('Calculations'!IH330="","",IF('Calculations'!IH330="!AMBIG","!AMBIG",IF(COUNTIF('Calculations'!$HE$13:$HE$512,"="&amp;SUBSTITUTE(SUBSTITUTE(SUBSTITUTE('Calculations'!IH330,"~","~~"),"*","~*"),"?","~?"))&gt;1,"!AMBIG",IFERROR(INDEX('Calculations'!$HF$13:$HF$512,MATCH('Calculations'!IH330,'Calculations'!$HE$13:$HE$512,0)),""))))</x:f>
      </x:c>
      <x:c r="IJ330" t="str">
        <x:f>IF('Calculations'!EM330="","",IF('Calculations'!$EF$2="All",'Calculations'!HM330,IF('Calculations'!HL330=1,"",IFERROR(IF(MATCH('Calculations'!$EF$2,'Calculations'!HO330:II330,0)=1,'Calculations'!HE330,INDEX('Calculations'!HO330:II330,1,MATCH('Calculations'!$EF$2,'Calculations'!HO330:II330,0)-1)),""))))</x:f>
      </x:c>
      <x:c r="IK330" t="n">
        <x:f>IF(AND('Calculations'!EM330&lt;&gt;"",'Calculations'!$EF$2&lt;&gt;"All",'Calculations'!HF330='Calculations'!$EF$2,'Calculations'!HL330=0,'Calculations'!JD330&gt;0),MAX('Calculations'!$IK$12:IK329)+1,0)</x:f>
        <x:v>0</x:v>
      </x:c>
      <x:c r="JA330" t="n">
        <x:f>IF(OR(IFERROR(INDIRECT("'WCM Calibration Final'!$A$330")&lt;&gt;"",FALSE),IFERROR(INDIRECT("'WCM Calibration Final'!$B$330")&lt;&gt;"",FALSE),IFERROR(INDIRECT("'WCM Calibration Final'!$C$330")&lt;&gt;"",FALSE)),330,0)</x:f>
        <x:v>0</x:v>
      </x:c>
      <x:c r="JB330" t="n">
        <x:f>'Calculations'!JB329+IF('Calculations'!JA330&gt;0,1,0)</x:f>
        <x:v>0</x:v>
      </x:c>
      <x:c r="JC330" t="n">
        <x:f>IF(OR('Calculations'!HF330="",'Calculations'!HF330="!AMBIG"),0,IF('Dashboard'!$B$7="All",1,COUNTIFS('Calculations'!$HO$13:$HO$512,"="&amp;SUBSTITUTE(SUBSTITUTE(SUBSTITUTE('Calculations'!HF330,"~","~~"),"*","~*"),"?","~?"),'Calculations'!$HN$13:$HN$512,"="&amp;SUBSTITUTE(SUBSTITUTE(SUBSTITUTE('Dashboard'!$B$7,"~","~~"),"*","~*"),"?","~?"))+COUNTIFS('Calculations'!$HP$13:$HP$512,"="&amp;SUBSTITUTE(SUBSTITUTE(SUBSTITUTE('Calculations'!HF330,"~","~~"),"*","~*"),"?","~?"),'Calculations'!$HN$13:$HN$512,"="&amp;SUBSTITUTE(SUBSTITUTE(SUBSTITUTE('Dashboard'!$B$7,"~","~~"),"*","~*"),"?","~?"))+COUNTIFS('Calculations'!$HQ$13:$HQ$512,"="&amp;SUBSTITUTE(SUBSTITUTE(SUBSTITUTE('Calculations'!HF330,"~","~~"),"*","~*"),"?","~?"),'Calculations'!$HN$13:$HN$512,"="&amp;SUBSTITUTE(SUBSTITUTE(SUBSTITUTE('Dashboard'!$B$7,"~","~~"),"*","~*"),"?","~?"))+COUNTIFS('Calculations'!$HR$13:$HR$512,"="&amp;SUBSTITUTE(SUBSTITUTE(SUBSTITUTE('Calculations'!HF330,"~","~~"),"*","~*"),"?","~?"),'Calculations'!$HN$13:$HN$512,"="&amp;SUBSTITUTE(SUBSTITUTE(SUBSTITUTE('Dashboard'!$B$7,"~","~~"),"*","~*"),"?","~?"))+COUNTIFS('Calculations'!$HS$13:$HS$512,"="&amp;SUBSTITUTE(SUBSTITUTE(SUBSTITUTE('Calculations'!HF330,"~","~~"),"*","~*"),"?","~?"),'Calculations'!$HN$13:$HN$512,"="&amp;SUBSTITUTE(SUBSTITUTE(SUBSTITUTE('Dashboard'!$B$7,"~","~~"),"*","~*"),"?","~?"))+COUNTIFS('Calculations'!$HT$13:$HT$512,"="&amp;SUBSTITUTE(SUBSTITUTE(SUBSTITUTE('Calculations'!HF330,"~","~~"),"*","~*"),"?","~?"),'Calculations'!$HN$13:$HN$512,"="&amp;SUBSTITUTE(SUBSTITUTE(SUBSTITUTE('Dashboard'!$B$7,"~","~~"),"*","~*"),"?","~?"))+COUNTIFS('Calculations'!$HU$13:$HU$512,"="&amp;SUBSTITUTE(SUBSTITUTE(SUBSTITUTE('Calculations'!HF330,"~","~~"),"*","~*"),"?","~?"),'Calculations'!$HN$13:$HN$512,"="&amp;SUBSTITUTE(SUBSTITUTE(SUBSTITUTE('Dashboard'!$B$7,"~","~~"),"*","~*"),"?","~?"))+COUNTIFS('Calculations'!$HV$13:$HV$512,"="&amp;SUBSTITUTE(SUBSTITUTE(SUBSTITUTE('Calculations'!HF330,"~","~~"),"*","~*"),"?","~?"),'Calculations'!$HN$13:$HN$512,"="&amp;SUBSTITUTE(SUBSTITUTE(SUBSTITUTE('Dashboard'!$B$7,"~","~~"),"*","~*"),"?","~?"))+COUNTIFS('Calculations'!$HW$13:$HW$512,"="&amp;SUBSTITUTE(SUBSTITUTE(SUBSTITUTE('Calculations'!HF330,"~","~~"),"*","~*"),"?","~?"),'Calculations'!$HN$13:$HN$512,"="&amp;SUBSTITUTE(SUBSTITUTE(SUBSTITUTE('Dashboard'!$B$7,"~","~~"),"*","~*"),"?","~?"))+COUNTIFS('Calculations'!$HX$13:$HX$512,"="&amp;SUBSTITUTE(SUBSTITUTE(SUBSTITUTE('Calculations'!HF330,"~","~~"),"*","~*"),"?","~?"),'Calculations'!$HN$13:$HN$512,"="&amp;SUBSTITUTE(SUBSTITUTE(SUBSTITUTE('Dashboard'!$B$7,"~","~~"),"*","~*"),"?","~?"))+COUNTIFS('Calculations'!$HY$13:$HY$512,"="&amp;SUBSTITUTE(SUBSTITUTE(SUBSTITUTE('Calculations'!HF330,"~","~~"),"*","~*"),"?","~?"),'Calculations'!$HN$13:$HN$512,"="&amp;SUBSTITUTE(SUBSTITUTE(SUBSTITUTE('Dashboard'!$B$7,"~","~~"),"*","~*"),"?","~?"))+COUNTIFS('Calculations'!$HZ$13:$HZ$512,"="&amp;SUBSTITUTE(SUBSTITUTE(SUBSTITUTE('Calculations'!HF330,"~","~~"),"*","~*"),"?","~?"),'Calculations'!$HN$13:$HN$512,"="&amp;SUBSTITUTE(SUBSTITUTE(SUBSTITUTE('Dashboard'!$B$7,"~","~~"),"*","~*"),"?","~?"))+COUNTIFS('Calculations'!$IA$13:$IA$512,"="&amp;SUBSTITUTE(SUBSTITUTE(SUBSTITUTE('Calculations'!HF330,"~","~~"),"*","~*"),"?","~?"),'Calculations'!$HN$13:$HN$512,"="&amp;SUBSTITUTE(SUBSTITUTE(SUBSTITUTE('Dashboard'!$B$7,"~","~~"),"*","~*"),"?","~?"))+COUNTIFS('Calculations'!$IB$13:$IB$512,"="&amp;SUBSTITUTE(SUBSTITUTE(SUBSTITUTE('Calculations'!HF330,"~","~~"),"*","~*"),"?","~?"),'Calculations'!$HN$13:$HN$512,"="&amp;SUBSTITUTE(SUBSTITUTE(SUBSTITUTE('Dashboard'!$B$7,"~","~~"),"*","~*"),"?","~?"))+COUNTIFS('Calculations'!$IC$13:$IC$512,"="&amp;SUBSTITUTE(SUBSTITUTE(SUBSTITUTE('Calculations'!HF330,"~","~~"),"*","~*"),"?","~?"),'Calculations'!$HN$13:$HN$512,"="&amp;SUBSTITUTE(SUBSTITUTE(SUBSTITUTE('Dashboard'!$B$7,"~","~~"),"*","~*"),"?","~?"))+COUNTIFS('Calculations'!$ID$13:$ID$512,"="&amp;SUBSTITUTE(SUBSTITUTE(SUBSTITUTE('Calculations'!HF330,"~","~~"),"*","~*"),"?","~?"),'Calculations'!$HN$13:$HN$512,"="&amp;SUBSTITUTE(SUBSTITUTE(SUBSTITUTE('Dashboard'!$B$7,"~","~~"),"*","~*"),"?","~?"))+COUNTIFS('Calculations'!$IE$13:$IE$512,"="&amp;SUBSTITUTE(SUBSTITUTE(SUBSTITUTE('Calculations'!HF330,"~","~~"),"*","~*"),"?","~?"),'Calculations'!$HN$13:$HN$512,"="&amp;SUBSTITUTE(SUBSTITUTE(SUBSTITUTE('Dashboard'!$B$7,"~","~~"),"*","~*"),"?","~?"))+COUNTIFS('Calculations'!$IF$13:$IF$512,"="&amp;SUBSTITUTE(SUBSTITUTE(SUBSTITUTE('Calculations'!HF330,"~","~~"),"*","~*"),"?","~?"),'Calculations'!$HN$13:$HN$512,"="&amp;SUBSTITUTE(SUBSTITUTE(SUBSTITUTE('Dashboard'!$B$7,"~","~~"),"*","~*"),"?","~?"))+COUNTIFS('Calculations'!$IG$13:$IG$512,"="&amp;SUBSTITUTE(SUBSTITUTE(SUBSTITUTE('Calculations'!HF330,"~","~~"),"*","~*"),"?","~?"),'Calculations'!$HN$13:$HN$512,"="&amp;SUBSTITUTE(SUBSTITUTE(SUBSTITUTE('Dashboard'!$B$7,"~","~~"),"*","~*"),"?","~?"))+COUNTIFS('Calculations'!$IH$13:$IH$512,"="&amp;SUBSTITUTE(SUBSTITUTE(SUBSTITUTE('Calculations'!HF330,"~","~~"),"*","~*"),"?","~?"),'Calculations'!$HN$13:$HN$512,"="&amp;SUBSTITUTE(SUBSTITUTE(SUBSTITUTE('Dashboard'!$B$7,"~","~~"),"*","~*"),"?","~?"))))</x:f>
        <x:v>0</x:v>
      </x:c>
      <x:c r="JD330" t="n">
        <x:f>IF('Calculations'!EM330="",0,IF('Dashboard'!$B$7="All",1,IF('Calculations'!HN330='Dashboard'!$B$7,1,0)+IFERROR(INDEX('Calculations'!$JC$13:$JC$512,MATCH('Calculations'!HE330,'Calculations'!$HF$13:$HF$512,0)),0)))</x:f>
        <x:v>0</x:v>
      </x:c>
      <x:c r="JE330" t="n">
        <x:f>IF(AND('Calculations'!EM330&lt;&gt;"",'Calculations'!$JJ$2&lt;&gt;"All",'Calculations'!$JJ$2&lt;&gt;"",'Calculations'!HF330='Calculations'!$JJ$2,'Calculations'!HL330=0,'Calculations'!JD330&gt;0),MAX('Calculations'!$JE$12:JE329)+1,0)</x:f>
        <x:v>0</x:v>
      </x:c>
      <x:c r="JF330" t="str">
        <x:f>IF('Calculations'!EM330="","",IFERROR(IF(INDEX(INDIRECT("'WCM Calibration Final'!$G$1:$G$2000"),'Calculations'!$EM330)="","",TRIM(INDEX(INDIRECT("'WCM Calibration Final'!$G$1:$G$2000"),'Calculations'!$EM330)&amp;"")),""))</x:f>
      </x:c>
      <x:c r="JQ330" t="n">
        <x:f>IF(OR('Calculations'!BM330=0,NOT('Calculations'!$AG$2),'Calculations'!$AG$8&gt;0),0,IF(OR('Dashboard'!$B$7="All",'Calculations'!HN330='Dashboard'!$B$7),IF('Calculations'!$JJ$2="All",1,IF(AND('Calculations'!HF330='Calculations'!$JJ$2,'Calculations'!HL330=0),1,0)),0))</x:f>
        <x:v>0</x:v>
      </x:c>
    </x:row>
    <x:row r="331">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t="n">
        <x:f>IF('Calculations'!$EM331="",0,IF(OR(IFERROR(INDEX(INDIRECT("'WCM Calibration Final'!$A$1:$A$2000"),'Calculations'!$EM331)&lt;&gt;"",FALSE),IFERROR(INDEX(INDIRECT("'WCM Calibration Final'!$B$1:$B$2000"),'Calculations'!$EM331)&lt;&gt;"",FALSE),IFERROR(INDEX(INDIRECT("'WCM Calibration Final'!$C$1:$C$2000"),'Calculations'!$EM331)&lt;&gt;"",FALSE)),1,0))</x:f>
        <x:v>0</x:v>
      </x:c>
      <x:c r="BN331" s="4" t="n">
        <x:f>IF(AND('Calculations'!BM331=1,'Calculations'!$AG$2,'Calculations'!$EN331=1),1,0)</x:f>
        <x:v>0</x:v>
      </x:c>
      <x:c r="BO331" s="4" t="str">
        <x:f>IF('Calculations'!BM331=0,"",IFERROR(IF(AND(VALUE(INDEX(INDIRECT("'WCM Calibration Final'!$K$1:$K$2000"),'Calculations'!$EM331))&gt;=1,VALUE(INDEX(INDIRECT("'WCM Calibration Final'!$K$1:$K$2000"),'Calculations'!$EM331))&lt;=4,MOD(VALUE(INDEX(INDIRECT("'WCM Calibration Final'!$K$1:$K$2000"),'Calculations'!$EM331)),1)=0),VALUE(INDEX(INDIRECT("'WCM Calibration Final'!$K$1:$K$2000"),'Calculations'!$EM331)),""),""))</x:f>
      </x:c>
      <x:c r="BP331" s="4" t="str">
        <x:f>IF('Calculations'!BM331=0,"",IFERROR(IF(AND(VALUE(INDEX(INDIRECT("'WCM Calibration Final'!$L$1:$L$2000"),'Calculations'!$EM331))&gt;=1,VALUE(INDEX(INDIRECT("'WCM Calibration Final'!$L$1:$L$2000"),'Calculations'!$EM331))&lt;=4,MOD(VALUE(INDEX(INDIRECT("'WCM Calibration Final'!$L$1:$L$2000"),'Calculations'!$EM331)),1)=0),VALUE(INDEX(INDIRECT("'WCM Calibration Final'!$L$1:$L$2000"),'Calculations'!$EM331)),""),""))</x:f>
      </x:c>
      <x:c r="BQ331" s="4"/>
      <x:c r="BR331" s="4"/>
      <x:c r="BS331" s="4"/>
      <x:c r="BT331" s="4" t="n">
        <x:f>IF(AND('Calculations'!BM331=1,ISNUMBER('Calculations'!BO331),ISNUMBER('Calculations'!BP331)),1,0)</x:f>
        <x:v>0</x:v>
      </x:c>
      <x:c r="BU331" s="4" t="str">
        <x:f>IF('Calculations'!BM331=0,"",'Calculations'!$EO331)</x:f>
      </x:c>
      <x:c r="BV331" s="4" t="str">
        <x:f>IF('Calculations'!BM331=0,"",IFERROR(IF(OR(INDEX(INDIRECT("'WCM Calibration Final'!$H$1:$H$2000"),'Calculations'!$EM331)="MANAGING DIRECTOR",INDEX(INDIRECT("'WCM Calibration Final'!$H$1:$H$2000"),'Calculations'!$EM331)="DIRECTOR",INDEX(INDIRECT("'WCM Calibration Final'!$H$1:$H$2000"),'Calculations'!$EM331)="SENIOR VICE PRESIDENT",INDEX(INDIRECT("'WCM Calibration Final'!$H$1:$H$2000"),'Calculations'!$EM331)="VICE PRESIDENT",INDEX(INDIRECT("'WCM Calibration Final'!$H$1:$H$2000"),'Calculations'!$EM331)="ASSISTANT VICE PRESIDENT",INDEX(INDIRECT("'WCM Calibration Final'!$H$1:$H$2000"),'Calculations'!$EM331)="OFFICER"),UPPER(INDEX(INDIRECT("'WCM Calibration Final'!$H$1:$H$2000"),'Calculations'!$EM331)),"Other"),"Other"))</x:f>
      </x:c>
      <x:c r="BW331" s="4"/>
      <x:c r="BX331" s="4"/>
      <x:c r="BY331" s="4" t="n">
        <x:f>IF(AND('Calculations'!BM331=1,'Calculations'!BU331&lt;&gt;"",COUNTIF('Calculations'!$BU$12:BU331,'Calculations'!BU331)=1),MAX('Calculations'!$BY$11:BY330)+1,0)</x:f>
        <x:v>0</x:v>
      </x:c>
      <x:c r="BZ331" s="4" t="str">
        <x:f>IF('Dashboard'!$E$67="What",'Calculations'!BO331,'Calculations'!BP331)</x:f>
      </x:c>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t="str">
        <x:f>IF(320&gt;MAX('Calculations'!$HI$13:$HI$512),"",INDEX('Calculations'!$HN$13:$HN$512,MATCH(320,'Calculations'!$HI$13:$HI$512,0)))</x:f>
      </x:c>
      <x:c r="DB331" s="4" t="str">
        <x:f>IF(320&gt;MAX('Calculations'!$HH$13:$HH$512),"",INDEX('Calculations'!$HJ$13:$HJ$512,MATCH(320,'Calculations'!$HH$13:$HH$512,0)))</x:f>
      </x:c>
      <x:c r="DC331" s="4" t="str">
        <x:f>IF(ROW()-11&gt;MAX('Calculations'!$BY$13:$BY$512),"",INDEX('Calculations'!$BU$13:$BU$512,MATCH(ROW()-11,'Calculations'!$BY$13:$BY$512,0)))</x:f>
      </x:c>
      <x:c r="DD331" s="4" t="str">
        <x:f>IF(320&gt;MAX('Calculations'!$IK$13:$IK$512),"",INDEX('Calculations'!$HK$13:$HK$512,MATCH(320,'Calculations'!$IK$13:$IK$512,0)))</x:f>
      </x:c>
      <x:c r="DE331" s="4" t="str">
        <x:f>'Calculations'!DC331</x:f>
      </x:c>
      <x:c r="DF331" s="4" t="str">
        <x:f>IF('Calculations'!DE331="","",COUNTIFS('Calculations'!$BN$13:$BN$512,1,'Calculations'!$BU$13:$BU$512,'Calculations'!DE331))</x:f>
      </x:c>
      <x:c r="DG331" s="4" t="str">
        <x:f>IF('Calculations'!DE331="","",COUNTIFS('Calculations'!$BN$13:$BN$512,1,'Calculations'!$BU$13:$BU$512,'Calculations'!DE331,'Calculations'!$BT$13:$BT$512,1))</x:f>
      </x:c>
      <x:c r="DH331" s="4" t="str">
        <x:f>IF('Calculations'!DE331="","",'Calculations'!DF331-'Calculations'!DG331)</x:f>
      </x:c>
      <x:c r="DI331" s="4" t="str">
        <x:f>IF(OR('Calculations'!DE331="",'Calculations'!DF331=0),"",'Calculations'!DG331/'Calculations'!DF331)</x:f>
      </x:c>
      <x:c r="DJ331" s="4" t="str">
        <x:f>IF('Calculations'!DE331="","",COUNTIFS('Calculations'!$BN$13:$BN$512,1,'Calculations'!$BU$13:$BU$512,'Calculations'!DE331,'Calculations'!$BT$13:$BT$512,1,'Calculations'!$EE$13:$EE$512,"High"))</x:f>
      </x:c>
      <x:c r="DK331" s="4" t="str">
        <x:f>IF('Calculations'!DE331="","",COUNTIFS('Calculations'!$BN$13:$BN$512,1,'Calculations'!$BU$13:$BU$512,'Calculations'!DE331,'Calculations'!$BT$13:$BT$512,1,'Calculations'!$EE$13:$EE$512,"Strong"))</x:f>
      </x:c>
      <x:c r="DL331" s="4" t="str">
        <x:f>IF('Calculations'!DE331="","",COUNTIFS('Calculations'!$BN$13:$BN$512,1,'Calculations'!$BU$13:$BU$512,'Calculations'!DE331,'Calculations'!$BT$13:$BT$512,1,'Calculations'!$EE$13:$EE$512,"Solid"))</x:f>
      </x:c>
      <x:c r="DM331" s="4" t="str">
        <x:f>IF('Calculations'!DE331="","",COUNTIFS('Calculations'!$BN$13:$BN$512,1,'Calculations'!$BU$13:$BU$512,'Calculations'!DE331,'Calculations'!$BT$13:$BT$512,1,'Calculations'!$EE$13:$EE$512,"Low"))</x:f>
      </x:c>
      <x:c r="DN331" s="4" t="str">
        <x:f>IF('Calculations'!DE331="","",COUNTIFS('Calculations'!$BN$13:$BN$512,1,'Calculations'!$BU$13:$BU$512,'Calculations'!DE331,'Calculations'!$EP$13:$EP$512,1))</x:f>
      </x:c>
      <x:c r="DO331" s="4" t="str">
        <x:f>IF(OR('Calculations'!DE331="",'Calculations'!DG331=0),"",('Calculations'!DJ331+'Calculations'!DK331)/'Calculations'!DG331)</x:f>
      </x:c>
      <x:c r="DP331" s="4" t="n">
        <x:f>IF(AND('Calculations'!DE331&lt;&gt;"",'Calculations'!DF331&gt;0),COUNTIF('Calculations'!$DF$12:DF331,"&gt;0"),0)</x:f>
        <x:v>0</x:v>
      </x:c>
      <x:c r="DQ331" s="4" t="str">
        <x:f>IF(320&gt;MAX('Calculations'!$HH$13:$HH$512),"",INDEX('Calculations'!$HF$13:$HF$512,MATCH(320,'Calculations'!$HH$13:$HH$512,0)))</x:f>
      </x:c>
      <x:c r="DR331" s="4" t="str">
        <x:f>IF(320&gt;MAX('Calculations'!$IK$13:$IK$512),"",INDEX('Calculations'!$HE$13:$HE$512,MATCH(320,'Calculations'!$IK$13:$IK$512,0)))</x:f>
      </x:c>
      <x:c r="DS331" s="4"/>
      <x:c r="DT331" s="4"/>
      <x:c r="DU331" s="4"/>
      <x:c r="DV331" s="4"/>
      <x:c r="DW331" s="4"/>
      <x:c r="DX331" s="4"/>
      <x:c r="DY331" s="4"/>
      <x:c r="DZ331" s="4"/>
      <x:c r="EA331" s="4"/>
      <x:c r="EB331" s="4"/>
      <x:c r="EC331" s="4"/>
      <x:c r="ED331" s="4"/>
      <x:c r="EE331" s="4" t="str">
        <x:f>IF('Calculations'!BT331=0,"Not Rated",IF(OR('Calculations'!BO331&gt;=4,'Calculations'!BP331&gt;=4),"Low",IF('Calculations'!BO331+'Calculations'!BP331&lt;=3,"High",IF('Calculations'!BO331+'Calculations'!BP331&lt;=4,"Strong","Solid"))))</x:f>
        <x:v>Not Rated</x:v>
      </x:c>
      <x:c r="EF331" s="4"/>
      <x:c r="EG331" s="4"/>
      <x:c r="EH331" s="4"/>
      <x:c r="EI331" s="4"/>
      <x:c r="EJ331" s="4"/>
      <x:c r="EK331" s="4"/>
      <x:c r="EL331" s="4"/>
      <x:c r="EM331" s="4" t="str">
        <x:f>IF(319&gt;'Calculations'!$JB$2000,"",INDEX('Calculations'!$JA$12:$JA$2000,MATCH(319,'Calculations'!$JB$12:$JB$2000,0)))</x:f>
      </x:c>
      <x:c r="EN331" s="4" t="n">
        <x:f>IF(OR('Calculations'!EM331="",'Calculations'!$AG$8&gt;0,AND('Calculations'!$EF$2&lt;&gt;"All",'Calculations'!HE331='Calculations'!$EF$2),AND('Calculations'!$EF$3&lt;&gt;"All",'Calculations'!HE331='Calculations'!$EF$3)),0,IF(OR('Dashboard'!$B$7="All",'Calculations'!HN331='Dashboard'!$B$7),IF('Calculations'!$EF$2="All",1,IF('Calculations'!HL331&gt;0,0,IF(COUNTIF('Calculations'!HO331:II331,"="&amp;SUBSTITUTE(SUBSTITUTE(SUBSTITUTE('Calculations'!$EF$2,"~","~~"),"*","~*"),"?","~?"))=0,0,IF('Calculations'!$EF$3="All",1,IF(COUNTIF('Calculations'!HO331:II331,"="&amp;SUBSTITUTE(SUBSTITUTE(SUBSTITUTE('Calculations'!$EF$3,"~","~~"),"*","~*"),"?","~?"))&gt;0,1,0))))),0))</x:f>
        <x:v>0</x:v>
      </x:c>
      <x:c r="EO331" s="4" t="str">
        <x:f>IF('Calculations'!IJ331="","",IF('Calculations'!IJ331="!UNRESOLVED","Unresolved hierarchy",IFERROR(INDEX('Calculations'!$HK$13:$HK$512,MATCH('Calculations'!IJ331,'Calculations'!$HE$13:$HE$512,0)),IFERROR(INDEX('Calculations'!$HJ$13:$HJ$512,MATCH('Calculations'!IJ331,'Calculations'!$HF$13:$HF$512,0)),'Calculations'!IJ331))))</x:f>
      </x:c>
      <x:c r="EP331" s="4" t="n">
        <x:f>IF(AND('Calculations'!EM331&lt;&gt;"",'Calculations'!HF331='Calculations'!IJ331),1,0)</x:f>
        <x:v>0</x:v>
      </x:c>
      <x:c r="EQ331" s="4"/>
      <x:c r="ER331" s="4"/>
      <x:c r="ES331" s="4"/>
      <x:c r="ET331" s="4"/>
      <x:c r="EU331" s="4"/>
      <x:c r="EV331" s="4"/>
      <x:c r="EW331" s="4"/>
      <x:c r="EX331" s="4"/>
      <x:c r="EY331" s="4"/>
      <x:c r="EZ331" s="4"/>
      <x:c r="FA331" s="4"/>
      <x:c r="FB331" s="4"/>
      <x:c r="FC331" s="4"/>
      <x:c r="FD331" s="4"/>
      <x:c r="FE331" s="4"/>
      <x:c r="FF331" s="4"/>
      <x:c r="FG331" s="4"/>
      <x:c r="FH331" s="4"/>
      <x:c r="FI331" s="4"/>
      <x:c r="FJ331" s="4"/>
      <x:c r="FK331" s="4"/>
      <x:c r="FL331" s="4"/>
      <x:c r="FM331" s="4"/>
      <x:c r="FN331" s="4"/>
      <x:c r="FO331" s="4"/>
      <x:c r="HE331" t="str">
        <x:f>IF('Calculations'!EM331="","",IF(IFERROR(IF(INDEX(INDIRECT("'WCM Calibration Final'!$A$1:$A$2000"),'Calculations'!$EM331)="","",TRIM(INDEX(INDIRECT("'WCM Calibration Final'!$A$1:$A$2000"),'Calculations'!$EM331)&amp;"")),"")&lt;&gt;"","G:"&amp;IFERROR(TEXT(1*INDEX(INDIRECT("'WCM Calibration Final'!$A$1:$A$2000"),'Calculations'!$EM331),"0"),UPPER(IFERROR(IF(INDEX(INDIRECT("'WCM Calibration Final'!$A$1:$A$2000"),'Calculations'!$EM331)="","",TRIM(INDEX(INDIRECT("'WCM Calibration Final'!$A$1:$A$2000"),'Calculations'!$EM331)&amp;"")),""))),IF(IFERROR(IF(INDEX(INDIRECT("'WCM Calibration Final'!$C$1:$C$2000"),'Calculations'!$EM331)="","",TRIM(INDEX(INDIRECT("'WCM Calibration Final'!$C$1:$C$2000"),'Calculations'!$EM331)&amp;"")),"")&lt;&gt;"","S:"&amp;UPPER(IFERROR(IF(INDEX(INDIRECT("'WCM Calibration Final'!$C$1:$C$2000"),'Calculations'!$EM331)="","",TRIM(INDEX(INDIRECT("'WCM Calibration Final'!$C$1:$C$2000"),'Calculations'!$EM331)&amp;"")),"")),"R:"&amp;'Calculations'!EM331)))</x:f>
      </x:c>
      <x:c r="HF331" t="str">
        <x:f>IF('Calculations'!EM331="","",IF(IFERROR(IF(INDEX(INDIRECT("'WCM Calibration Final'!$D$1:$D$2000"),'Calculations'!$EM331)="","",TRIM(INDEX(INDIRECT("'WCM Calibration Final'!$D$1:$D$2000"),'Calculations'!$EM331)&amp;"")),"")&lt;&gt;"","G:"&amp;IFERROR(TEXT(1*INDEX(INDIRECT("'WCM Calibration Final'!$D$1:$D$2000"),'Calculations'!$EM331),"0"),UPPER(IFERROR(IF(INDEX(INDIRECT("'WCM Calibration Final'!$D$1:$D$2000"),'Calculations'!$EM331)="","",TRIM(INDEX(INDIRECT("'WCM Calibration Final'!$D$1:$D$2000"),'Calculations'!$EM331)&amp;"")),""))),IF(IFERROR(IF(INDEX(INDIRECT("'WCM Calibration Final'!$E$1:$E$2000"),'Calculations'!$EM331)="","",TRIM(INDEX(INDIRECT("'WCM Calibration Final'!$E$1:$E$2000"),'Calculations'!$EM331)&amp;"")),"")="","",IF(COUNTIF('Calculations'!$HG$13:$HG$512,"="&amp;SUBSTITUTE(SUBSTITUTE(SUBSTITUTE(IFERROR(IF(INDEX(INDIRECT("'WCM Calibration Final'!$E$1:$E$2000"),'Calculations'!$EM331)="","",TRIM(INDEX(INDIRECT("'WCM Calibration Final'!$E$1:$E$2000"),'Calculations'!$EM331)&amp;"")),""),"~","~~"),"*","~*"),"?","~?"))=1,INDEX('Calculations'!$HE$13:$HE$512,MATCH(IFERROR(IF(INDEX(INDIRECT("'WCM Calibration Final'!$E$1:$E$2000"),'Calculations'!$EM331)="","",TRIM(INDEX(INDIRECT("'WCM Calibration Final'!$E$1:$E$2000"),'Calculations'!$EM331)&amp;"")),""),'Calculations'!$HG$13:$HG$512,0)),IF(COUNTIF('Calculations'!$HG$13:$HG$512,"="&amp;SUBSTITUTE(SUBSTITUTE(SUBSTITUTE(IFERROR(IF(INDEX(INDIRECT("'WCM Calibration Final'!$E$1:$E$2000"),'Calculations'!$EM331)="","",TRIM(INDEX(INDIRECT("'WCM Calibration Final'!$E$1:$E$2000"),'Calculations'!$EM331)&amp;"")),""),"~","~~"),"*","~*"),"?","~?"))&gt;1,"!AMBIG","X:"&amp;IFERROR(IF(INDEX(INDIRECT("'WCM Calibration Final'!$E$1:$E$2000"),'Calculations'!$EM331)="","",TRIM(INDEX(INDIRECT("'WCM Calibration Final'!$E$1:$E$2000"),'Calculations'!$EM331)&amp;"")),""))))))</x:f>
      </x:c>
      <x:c r="HG331" t="str">
        <x:f>IF('Calculations'!EM331="","",IFERROR(IF(INDEX(INDIRECT("'WCM Calibration Final'!$B$1:$B$2000"),'Calculations'!$EM331)="","",TRIM(INDEX(INDIRECT("'WCM Calibration Final'!$B$1:$B$2000"),'Calculations'!$EM331)&amp;"")),""))</x:f>
      </x:c>
      <x:c r="HH331" t="n">
        <x:f>IF(AND('Calculations'!JC331&gt;0,COUNTIF('Calculations'!$HF$12:HF331,"="&amp;SUBSTITUTE(SUBSTITUTE(SUBSTITUTE('Calculations'!HF331,"~","~~"),"*","~*"),"?","~?"))=1),MAX('Calculations'!$HH$12:HH330)+1,0)</x:f>
        <x:v>0</x:v>
      </x:c>
      <x:c r="HI331" t="n">
        <x:f>IF(AND('Calculations'!HN331&lt;&gt;"",COUNTIF('Calculations'!$HN$12:HN331,"="&amp;SUBSTITUTE(SUBSTITUTE(SUBSTITUTE('Calculations'!HN331,"~","~~"),"*","~*"),"?","~?"))=1),MAX('Calculations'!$HI$12:HI330)+1,0)</x:f>
        <x:v>0</x:v>
      </x:c>
      <x:c r="HJ331" t="str">
        <x:f>IF('Calculations'!HF331="","",IF(COUNTIF('Calculations'!$HE$13:$HE$512,"="&amp;SUBSTITUTE(SUBSTITUTE(SUBSTITUTE('Calculations'!HF331,"~","~~"),"*","~*"),"?","~?"))=1,INDEX('Calculations'!$HK$13:$HK$512,MATCH('Calculations'!HF331,'Calculations'!$HE$13:$HE$512,0)),IFERROR(IF(INDEX(INDIRECT("'WCM Calibration Final'!$E$1:$E$2000"),'Calculations'!$EM331)="","",TRIM(INDEX(INDIRECT("'WCM Calibration Final'!$E$1:$E$2000"),'Calculations'!$EM331)&amp;"")),"")&amp;" ["&amp;'Calculations'!HF331&amp;"]"))</x:f>
      </x:c>
      <x:c r="HK331" t="str">
        <x:f>IF('Calculations'!EM331="","",'Calculations'!HG331&amp;" ["&amp;'Calculations'!HE331&amp;"]")</x:f>
      </x:c>
      <x:c r="HL331" t="n">
        <x:f>IF('Calculations'!EM331="",0,IF(OR('Calculations'!II331&lt;&gt;"",COUNTIF('Calculations'!$HE$13:$HE$512,"="&amp;SUBSTITUTE(SUBSTITUTE(SUBSTITUTE('Calculations'!HE331,"~","~~"),"*","~*"),"?","~?"))&gt;1),1,0))</x:f>
        <x:v>0</x:v>
      </x:c>
      <x:c r="HM331" t="str">
        <x:f>IF('Calculations'!EM331="","",IF('Calculations'!HL331=1,"!UNRESOLVED",IF('Calculations'!IH331&lt;&gt;"",'Calculations'!IH331,IF('Calculations'!IG331&lt;&gt;"",'Calculations'!IG331,IF('Calculations'!IF331&lt;&gt;"",'Calculations'!IF331,IF('Calculations'!IE331&lt;&gt;"",'Calculations'!IE331,IF('Calculations'!ID331&lt;&gt;"",'Calculations'!ID331,IF('Calculations'!IC331&lt;&gt;"",'Calculations'!IC331,IF('Calculations'!IB331&lt;&gt;"",'Calculations'!IB331,IF('Calculations'!IA331&lt;&gt;"",'Calculations'!IA331,IF('Calculations'!HZ331&lt;&gt;"",'Calculations'!HZ331,IF('Calculations'!HY331&lt;&gt;"",'Calculations'!HY331,IF('Calculations'!HX331&lt;&gt;"",'Calculations'!HX331,IF('Calculations'!HW331&lt;&gt;"",'Calculations'!HW331,IF('Calculations'!HV331&lt;&gt;"",'Calculations'!HV331,IF('Calculations'!HU331&lt;&gt;"",'Calculations'!HU331,IF('Calculations'!HT331&lt;&gt;"",'Calculations'!HT331,IF('Calculations'!HS331&lt;&gt;"",'Calculations'!HS331,IF('Calculations'!HR331&lt;&gt;"",'Calculations'!HR331,IF('Calculations'!HQ331&lt;&gt;"",'Calculations'!HQ331,IF('Calculations'!HP331&lt;&gt;"",'Calculations'!HP331,IF('Calculations'!HO331&lt;&gt;"",'Calculations'!HO331,'Calculations'!HE331))))))))))))))))))))))</x:f>
      </x:c>
      <x:c r="HN331" t="str">
        <x:f>IF('Calculations'!EM331="","",IF(IFERROR(IF(INDEX(INDIRECT("'WCM Calibration Final'!$F$1:$F$2000"),'Calculations'!$EM331)="","",TRIM(INDEX(INDIRECT("'WCM Calibration Final'!$F$1:$F$2000"),'Calculations'!$EM331)&amp;"")),"")="","(Blank)",IFERROR(IF(INDEX(INDIRECT("'WCM Calibration Final'!$F$1:$F$2000"),'Calculations'!$EM331)="","",TRIM(INDEX(INDIRECT("'WCM Calibration Final'!$F$1:$F$2000"),'Calculations'!$EM331)&amp;"")),"")))</x:f>
      </x:c>
      <x:c r="HO331" t="str">
        <x:f>'Calculations'!HF331</x:f>
      </x:c>
      <x:c r="HP331" t="str">
        <x:f>IF('Calculations'!HO331="","",IF('Calculations'!HO331="!AMBIG","!AMBIG",IF(COUNTIF('Calculations'!$HE$13:$HE$512,"="&amp;SUBSTITUTE(SUBSTITUTE(SUBSTITUTE('Calculations'!HO331,"~","~~"),"*","~*"),"?","~?"))&gt;1,"!AMBIG",IFERROR(INDEX('Calculations'!$HF$13:$HF$512,MATCH('Calculations'!HO331,'Calculations'!$HE$13:$HE$512,0)),""))))</x:f>
      </x:c>
      <x:c r="HQ331" t="str">
        <x:f>IF('Calculations'!HP331="","",IF('Calculations'!HP331="!AMBIG","!AMBIG",IF(COUNTIF('Calculations'!$HE$13:$HE$512,"="&amp;SUBSTITUTE(SUBSTITUTE(SUBSTITUTE('Calculations'!HP331,"~","~~"),"*","~*"),"?","~?"))&gt;1,"!AMBIG",IFERROR(INDEX('Calculations'!$HF$13:$HF$512,MATCH('Calculations'!HP331,'Calculations'!$HE$13:$HE$512,0)),""))))</x:f>
      </x:c>
      <x:c r="HR331" t="str">
        <x:f>IF('Calculations'!HQ331="","",IF('Calculations'!HQ331="!AMBIG","!AMBIG",IF(COUNTIF('Calculations'!$HE$13:$HE$512,"="&amp;SUBSTITUTE(SUBSTITUTE(SUBSTITUTE('Calculations'!HQ331,"~","~~"),"*","~*"),"?","~?"))&gt;1,"!AMBIG",IFERROR(INDEX('Calculations'!$HF$13:$HF$512,MATCH('Calculations'!HQ331,'Calculations'!$HE$13:$HE$512,0)),""))))</x:f>
      </x:c>
      <x:c r="HS331" t="str">
        <x:f>IF('Calculations'!HR331="","",IF('Calculations'!HR331="!AMBIG","!AMBIG",IF(COUNTIF('Calculations'!$HE$13:$HE$512,"="&amp;SUBSTITUTE(SUBSTITUTE(SUBSTITUTE('Calculations'!HR331,"~","~~"),"*","~*"),"?","~?"))&gt;1,"!AMBIG",IFERROR(INDEX('Calculations'!$HF$13:$HF$512,MATCH('Calculations'!HR331,'Calculations'!$HE$13:$HE$512,0)),""))))</x:f>
      </x:c>
      <x:c r="HT331" t="str">
        <x:f>IF('Calculations'!HS331="","",IF('Calculations'!HS331="!AMBIG","!AMBIG",IF(COUNTIF('Calculations'!$HE$13:$HE$512,"="&amp;SUBSTITUTE(SUBSTITUTE(SUBSTITUTE('Calculations'!HS331,"~","~~"),"*","~*"),"?","~?"))&gt;1,"!AMBIG",IFERROR(INDEX('Calculations'!$HF$13:$HF$512,MATCH('Calculations'!HS331,'Calculations'!$HE$13:$HE$512,0)),""))))</x:f>
      </x:c>
      <x:c r="HU331" t="str">
        <x:f>IF('Calculations'!HT331="","",IF('Calculations'!HT331="!AMBIG","!AMBIG",IF(COUNTIF('Calculations'!$HE$13:$HE$512,"="&amp;SUBSTITUTE(SUBSTITUTE(SUBSTITUTE('Calculations'!HT331,"~","~~"),"*","~*"),"?","~?"))&gt;1,"!AMBIG",IFERROR(INDEX('Calculations'!$HF$13:$HF$512,MATCH('Calculations'!HT331,'Calculations'!$HE$13:$HE$512,0)),""))))</x:f>
      </x:c>
      <x:c r="HV331" t="str">
        <x:f>IF('Calculations'!HU331="","",IF('Calculations'!HU331="!AMBIG","!AMBIG",IF(COUNTIF('Calculations'!$HE$13:$HE$512,"="&amp;SUBSTITUTE(SUBSTITUTE(SUBSTITUTE('Calculations'!HU331,"~","~~"),"*","~*"),"?","~?"))&gt;1,"!AMBIG",IFERROR(INDEX('Calculations'!$HF$13:$HF$512,MATCH('Calculations'!HU331,'Calculations'!$HE$13:$HE$512,0)),""))))</x:f>
      </x:c>
      <x:c r="HW331" t="str">
        <x:f>IF('Calculations'!HV331="","",IF('Calculations'!HV331="!AMBIG","!AMBIG",IF(COUNTIF('Calculations'!$HE$13:$HE$512,"="&amp;SUBSTITUTE(SUBSTITUTE(SUBSTITUTE('Calculations'!HV331,"~","~~"),"*","~*"),"?","~?"))&gt;1,"!AMBIG",IFERROR(INDEX('Calculations'!$HF$13:$HF$512,MATCH('Calculations'!HV331,'Calculations'!$HE$13:$HE$512,0)),""))))</x:f>
      </x:c>
      <x:c r="HX331" t="str">
        <x:f>IF('Calculations'!HW331="","",IF('Calculations'!HW331="!AMBIG","!AMBIG",IF(COUNTIF('Calculations'!$HE$13:$HE$512,"="&amp;SUBSTITUTE(SUBSTITUTE(SUBSTITUTE('Calculations'!HW331,"~","~~"),"*","~*"),"?","~?"))&gt;1,"!AMBIG",IFERROR(INDEX('Calculations'!$HF$13:$HF$512,MATCH('Calculations'!HW331,'Calculations'!$HE$13:$HE$512,0)),""))))</x:f>
      </x:c>
      <x:c r="HY331" t="str">
        <x:f>IF('Calculations'!HX331="","",IF('Calculations'!HX331="!AMBIG","!AMBIG",IF(COUNTIF('Calculations'!$HE$13:$HE$512,"="&amp;SUBSTITUTE(SUBSTITUTE(SUBSTITUTE('Calculations'!HX331,"~","~~"),"*","~*"),"?","~?"))&gt;1,"!AMBIG",IFERROR(INDEX('Calculations'!$HF$13:$HF$512,MATCH('Calculations'!HX331,'Calculations'!$HE$13:$HE$512,0)),""))))</x:f>
      </x:c>
      <x:c r="HZ331" t="str">
        <x:f>IF('Calculations'!HY331="","",IF('Calculations'!HY331="!AMBIG","!AMBIG",IF(COUNTIF('Calculations'!$HE$13:$HE$512,"="&amp;SUBSTITUTE(SUBSTITUTE(SUBSTITUTE('Calculations'!HY331,"~","~~"),"*","~*"),"?","~?"))&gt;1,"!AMBIG",IFERROR(INDEX('Calculations'!$HF$13:$HF$512,MATCH('Calculations'!HY331,'Calculations'!$HE$13:$HE$512,0)),""))))</x:f>
      </x:c>
      <x:c r="IA331" t="str">
        <x:f>IF('Calculations'!HZ331="","",IF('Calculations'!HZ331="!AMBIG","!AMBIG",IF(COUNTIF('Calculations'!$HE$13:$HE$512,"="&amp;SUBSTITUTE(SUBSTITUTE(SUBSTITUTE('Calculations'!HZ331,"~","~~"),"*","~*"),"?","~?"))&gt;1,"!AMBIG",IFERROR(INDEX('Calculations'!$HF$13:$HF$512,MATCH('Calculations'!HZ331,'Calculations'!$HE$13:$HE$512,0)),""))))</x:f>
      </x:c>
      <x:c r="IB331" t="str">
        <x:f>IF('Calculations'!IA331="","",IF('Calculations'!IA331="!AMBIG","!AMBIG",IF(COUNTIF('Calculations'!$HE$13:$HE$512,"="&amp;SUBSTITUTE(SUBSTITUTE(SUBSTITUTE('Calculations'!IA331,"~","~~"),"*","~*"),"?","~?"))&gt;1,"!AMBIG",IFERROR(INDEX('Calculations'!$HF$13:$HF$512,MATCH('Calculations'!IA331,'Calculations'!$HE$13:$HE$512,0)),""))))</x:f>
      </x:c>
      <x:c r="IC331" t="str">
        <x:f>IF('Calculations'!IB331="","",IF('Calculations'!IB331="!AMBIG","!AMBIG",IF(COUNTIF('Calculations'!$HE$13:$HE$512,"="&amp;SUBSTITUTE(SUBSTITUTE(SUBSTITUTE('Calculations'!IB331,"~","~~"),"*","~*"),"?","~?"))&gt;1,"!AMBIG",IFERROR(INDEX('Calculations'!$HF$13:$HF$512,MATCH('Calculations'!IB331,'Calculations'!$HE$13:$HE$512,0)),""))))</x:f>
      </x:c>
      <x:c r="ID331" t="str">
        <x:f>IF('Calculations'!IC331="","",IF('Calculations'!IC331="!AMBIG","!AMBIG",IF(COUNTIF('Calculations'!$HE$13:$HE$512,"="&amp;SUBSTITUTE(SUBSTITUTE(SUBSTITUTE('Calculations'!IC331,"~","~~"),"*","~*"),"?","~?"))&gt;1,"!AMBIG",IFERROR(INDEX('Calculations'!$HF$13:$HF$512,MATCH('Calculations'!IC331,'Calculations'!$HE$13:$HE$512,0)),""))))</x:f>
      </x:c>
      <x:c r="IE331" t="str">
        <x:f>IF('Calculations'!ID331="","",IF('Calculations'!ID331="!AMBIG","!AMBIG",IF(COUNTIF('Calculations'!$HE$13:$HE$512,"="&amp;SUBSTITUTE(SUBSTITUTE(SUBSTITUTE('Calculations'!ID331,"~","~~"),"*","~*"),"?","~?"))&gt;1,"!AMBIG",IFERROR(INDEX('Calculations'!$HF$13:$HF$512,MATCH('Calculations'!ID331,'Calculations'!$HE$13:$HE$512,0)),""))))</x:f>
      </x:c>
      <x:c r="IF331" t="str">
        <x:f>IF('Calculations'!IE331="","",IF('Calculations'!IE331="!AMBIG","!AMBIG",IF(COUNTIF('Calculations'!$HE$13:$HE$512,"="&amp;SUBSTITUTE(SUBSTITUTE(SUBSTITUTE('Calculations'!IE331,"~","~~"),"*","~*"),"?","~?"))&gt;1,"!AMBIG",IFERROR(INDEX('Calculations'!$HF$13:$HF$512,MATCH('Calculations'!IE331,'Calculations'!$HE$13:$HE$512,0)),""))))</x:f>
      </x:c>
      <x:c r="IG331" t="str">
        <x:f>IF('Calculations'!IF331="","",IF('Calculations'!IF331="!AMBIG","!AMBIG",IF(COUNTIF('Calculations'!$HE$13:$HE$512,"="&amp;SUBSTITUTE(SUBSTITUTE(SUBSTITUTE('Calculations'!IF331,"~","~~"),"*","~*"),"?","~?"))&gt;1,"!AMBIG",IFERROR(INDEX('Calculations'!$HF$13:$HF$512,MATCH('Calculations'!IF331,'Calculations'!$HE$13:$HE$512,0)),""))))</x:f>
      </x:c>
      <x:c r="IH331" t="str">
        <x:f>IF('Calculations'!IG331="","",IF('Calculations'!IG331="!AMBIG","!AMBIG",IF(COUNTIF('Calculations'!$HE$13:$HE$512,"="&amp;SUBSTITUTE(SUBSTITUTE(SUBSTITUTE('Calculations'!IG331,"~","~~"),"*","~*"),"?","~?"))&gt;1,"!AMBIG",IFERROR(INDEX('Calculations'!$HF$13:$HF$512,MATCH('Calculations'!IG331,'Calculations'!$HE$13:$HE$512,0)),""))))</x:f>
      </x:c>
      <x:c r="II331" t="str">
        <x:f>IF('Calculations'!IH331="","",IF('Calculations'!IH331="!AMBIG","!AMBIG",IF(COUNTIF('Calculations'!$HE$13:$HE$512,"="&amp;SUBSTITUTE(SUBSTITUTE(SUBSTITUTE('Calculations'!IH331,"~","~~"),"*","~*"),"?","~?"))&gt;1,"!AMBIG",IFERROR(INDEX('Calculations'!$HF$13:$HF$512,MATCH('Calculations'!IH331,'Calculations'!$HE$13:$HE$512,0)),""))))</x:f>
      </x:c>
      <x:c r="IJ331" t="str">
        <x:f>IF('Calculations'!EM331="","",IF('Calculations'!$EF$2="All",'Calculations'!HM331,IF('Calculations'!HL331=1,"",IFERROR(IF(MATCH('Calculations'!$EF$2,'Calculations'!HO331:II331,0)=1,'Calculations'!HE331,INDEX('Calculations'!HO331:II331,1,MATCH('Calculations'!$EF$2,'Calculations'!HO331:II331,0)-1)),""))))</x:f>
      </x:c>
      <x:c r="IK331" t="n">
        <x:f>IF(AND('Calculations'!EM331&lt;&gt;"",'Calculations'!$EF$2&lt;&gt;"All",'Calculations'!HF331='Calculations'!$EF$2,'Calculations'!HL331=0,'Calculations'!JD331&gt;0),MAX('Calculations'!$IK$12:IK330)+1,0)</x:f>
        <x:v>0</x:v>
      </x:c>
      <x:c r="JA331" t="n">
        <x:f>IF(OR(IFERROR(INDIRECT("'WCM Calibration Final'!$A$331")&lt;&gt;"",FALSE),IFERROR(INDIRECT("'WCM Calibration Final'!$B$331")&lt;&gt;"",FALSE),IFERROR(INDIRECT("'WCM Calibration Final'!$C$331")&lt;&gt;"",FALSE)),331,0)</x:f>
        <x:v>0</x:v>
      </x:c>
      <x:c r="JB331" t="n">
        <x:f>'Calculations'!JB330+IF('Calculations'!JA331&gt;0,1,0)</x:f>
        <x:v>0</x:v>
      </x:c>
      <x:c r="JC331" t="n">
        <x:f>IF(OR('Calculations'!HF331="",'Calculations'!HF331="!AMBIG"),0,IF('Dashboard'!$B$7="All",1,COUNTIFS('Calculations'!$HO$13:$HO$512,"="&amp;SUBSTITUTE(SUBSTITUTE(SUBSTITUTE('Calculations'!HF331,"~","~~"),"*","~*"),"?","~?"),'Calculations'!$HN$13:$HN$512,"="&amp;SUBSTITUTE(SUBSTITUTE(SUBSTITUTE('Dashboard'!$B$7,"~","~~"),"*","~*"),"?","~?"))+COUNTIFS('Calculations'!$HP$13:$HP$512,"="&amp;SUBSTITUTE(SUBSTITUTE(SUBSTITUTE('Calculations'!HF331,"~","~~"),"*","~*"),"?","~?"),'Calculations'!$HN$13:$HN$512,"="&amp;SUBSTITUTE(SUBSTITUTE(SUBSTITUTE('Dashboard'!$B$7,"~","~~"),"*","~*"),"?","~?"))+COUNTIFS('Calculations'!$HQ$13:$HQ$512,"="&amp;SUBSTITUTE(SUBSTITUTE(SUBSTITUTE('Calculations'!HF331,"~","~~"),"*","~*"),"?","~?"),'Calculations'!$HN$13:$HN$512,"="&amp;SUBSTITUTE(SUBSTITUTE(SUBSTITUTE('Dashboard'!$B$7,"~","~~"),"*","~*"),"?","~?"))+COUNTIFS('Calculations'!$HR$13:$HR$512,"="&amp;SUBSTITUTE(SUBSTITUTE(SUBSTITUTE('Calculations'!HF331,"~","~~"),"*","~*"),"?","~?"),'Calculations'!$HN$13:$HN$512,"="&amp;SUBSTITUTE(SUBSTITUTE(SUBSTITUTE('Dashboard'!$B$7,"~","~~"),"*","~*"),"?","~?"))+COUNTIFS('Calculations'!$HS$13:$HS$512,"="&amp;SUBSTITUTE(SUBSTITUTE(SUBSTITUTE('Calculations'!HF331,"~","~~"),"*","~*"),"?","~?"),'Calculations'!$HN$13:$HN$512,"="&amp;SUBSTITUTE(SUBSTITUTE(SUBSTITUTE('Dashboard'!$B$7,"~","~~"),"*","~*"),"?","~?"))+COUNTIFS('Calculations'!$HT$13:$HT$512,"="&amp;SUBSTITUTE(SUBSTITUTE(SUBSTITUTE('Calculations'!HF331,"~","~~"),"*","~*"),"?","~?"),'Calculations'!$HN$13:$HN$512,"="&amp;SUBSTITUTE(SUBSTITUTE(SUBSTITUTE('Dashboard'!$B$7,"~","~~"),"*","~*"),"?","~?"))+COUNTIFS('Calculations'!$HU$13:$HU$512,"="&amp;SUBSTITUTE(SUBSTITUTE(SUBSTITUTE('Calculations'!HF331,"~","~~"),"*","~*"),"?","~?"),'Calculations'!$HN$13:$HN$512,"="&amp;SUBSTITUTE(SUBSTITUTE(SUBSTITUTE('Dashboard'!$B$7,"~","~~"),"*","~*"),"?","~?"))+COUNTIFS('Calculations'!$HV$13:$HV$512,"="&amp;SUBSTITUTE(SUBSTITUTE(SUBSTITUTE('Calculations'!HF331,"~","~~"),"*","~*"),"?","~?"),'Calculations'!$HN$13:$HN$512,"="&amp;SUBSTITUTE(SUBSTITUTE(SUBSTITUTE('Dashboard'!$B$7,"~","~~"),"*","~*"),"?","~?"))+COUNTIFS('Calculations'!$HW$13:$HW$512,"="&amp;SUBSTITUTE(SUBSTITUTE(SUBSTITUTE('Calculations'!HF331,"~","~~"),"*","~*"),"?","~?"),'Calculations'!$HN$13:$HN$512,"="&amp;SUBSTITUTE(SUBSTITUTE(SUBSTITUTE('Dashboard'!$B$7,"~","~~"),"*","~*"),"?","~?"))+COUNTIFS('Calculations'!$HX$13:$HX$512,"="&amp;SUBSTITUTE(SUBSTITUTE(SUBSTITUTE('Calculations'!HF331,"~","~~"),"*","~*"),"?","~?"),'Calculations'!$HN$13:$HN$512,"="&amp;SUBSTITUTE(SUBSTITUTE(SUBSTITUTE('Dashboard'!$B$7,"~","~~"),"*","~*"),"?","~?"))+COUNTIFS('Calculations'!$HY$13:$HY$512,"="&amp;SUBSTITUTE(SUBSTITUTE(SUBSTITUTE('Calculations'!HF331,"~","~~"),"*","~*"),"?","~?"),'Calculations'!$HN$13:$HN$512,"="&amp;SUBSTITUTE(SUBSTITUTE(SUBSTITUTE('Dashboard'!$B$7,"~","~~"),"*","~*"),"?","~?"))+COUNTIFS('Calculations'!$HZ$13:$HZ$512,"="&amp;SUBSTITUTE(SUBSTITUTE(SUBSTITUTE('Calculations'!HF331,"~","~~"),"*","~*"),"?","~?"),'Calculations'!$HN$13:$HN$512,"="&amp;SUBSTITUTE(SUBSTITUTE(SUBSTITUTE('Dashboard'!$B$7,"~","~~"),"*","~*"),"?","~?"))+COUNTIFS('Calculations'!$IA$13:$IA$512,"="&amp;SUBSTITUTE(SUBSTITUTE(SUBSTITUTE('Calculations'!HF331,"~","~~"),"*","~*"),"?","~?"),'Calculations'!$HN$13:$HN$512,"="&amp;SUBSTITUTE(SUBSTITUTE(SUBSTITUTE('Dashboard'!$B$7,"~","~~"),"*","~*"),"?","~?"))+COUNTIFS('Calculations'!$IB$13:$IB$512,"="&amp;SUBSTITUTE(SUBSTITUTE(SUBSTITUTE('Calculations'!HF331,"~","~~"),"*","~*"),"?","~?"),'Calculations'!$HN$13:$HN$512,"="&amp;SUBSTITUTE(SUBSTITUTE(SUBSTITUTE('Dashboard'!$B$7,"~","~~"),"*","~*"),"?","~?"))+COUNTIFS('Calculations'!$IC$13:$IC$512,"="&amp;SUBSTITUTE(SUBSTITUTE(SUBSTITUTE('Calculations'!HF331,"~","~~"),"*","~*"),"?","~?"),'Calculations'!$HN$13:$HN$512,"="&amp;SUBSTITUTE(SUBSTITUTE(SUBSTITUTE('Dashboard'!$B$7,"~","~~"),"*","~*"),"?","~?"))+COUNTIFS('Calculations'!$ID$13:$ID$512,"="&amp;SUBSTITUTE(SUBSTITUTE(SUBSTITUTE('Calculations'!HF331,"~","~~"),"*","~*"),"?","~?"),'Calculations'!$HN$13:$HN$512,"="&amp;SUBSTITUTE(SUBSTITUTE(SUBSTITUTE('Dashboard'!$B$7,"~","~~"),"*","~*"),"?","~?"))+COUNTIFS('Calculations'!$IE$13:$IE$512,"="&amp;SUBSTITUTE(SUBSTITUTE(SUBSTITUTE('Calculations'!HF331,"~","~~"),"*","~*"),"?","~?"),'Calculations'!$HN$13:$HN$512,"="&amp;SUBSTITUTE(SUBSTITUTE(SUBSTITUTE('Dashboard'!$B$7,"~","~~"),"*","~*"),"?","~?"))+COUNTIFS('Calculations'!$IF$13:$IF$512,"="&amp;SUBSTITUTE(SUBSTITUTE(SUBSTITUTE('Calculations'!HF331,"~","~~"),"*","~*"),"?","~?"),'Calculations'!$HN$13:$HN$512,"="&amp;SUBSTITUTE(SUBSTITUTE(SUBSTITUTE('Dashboard'!$B$7,"~","~~"),"*","~*"),"?","~?"))+COUNTIFS('Calculations'!$IG$13:$IG$512,"="&amp;SUBSTITUTE(SUBSTITUTE(SUBSTITUTE('Calculations'!HF331,"~","~~"),"*","~*"),"?","~?"),'Calculations'!$HN$13:$HN$512,"="&amp;SUBSTITUTE(SUBSTITUTE(SUBSTITUTE('Dashboard'!$B$7,"~","~~"),"*","~*"),"?","~?"))+COUNTIFS('Calculations'!$IH$13:$IH$512,"="&amp;SUBSTITUTE(SUBSTITUTE(SUBSTITUTE('Calculations'!HF331,"~","~~"),"*","~*"),"?","~?"),'Calculations'!$HN$13:$HN$512,"="&amp;SUBSTITUTE(SUBSTITUTE(SUBSTITUTE('Dashboard'!$B$7,"~","~~"),"*","~*"),"?","~?"))))</x:f>
        <x:v>0</x:v>
      </x:c>
      <x:c r="JD331" t="n">
        <x:f>IF('Calculations'!EM331="",0,IF('Dashboard'!$B$7="All",1,IF('Calculations'!HN331='Dashboard'!$B$7,1,0)+IFERROR(INDEX('Calculations'!$JC$13:$JC$512,MATCH('Calculations'!HE331,'Calculations'!$HF$13:$HF$512,0)),0)))</x:f>
        <x:v>0</x:v>
      </x:c>
      <x:c r="JE331" t="n">
        <x:f>IF(AND('Calculations'!EM331&lt;&gt;"",'Calculations'!$JJ$2&lt;&gt;"All",'Calculations'!$JJ$2&lt;&gt;"",'Calculations'!HF331='Calculations'!$JJ$2,'Calculations'!HL331=0,'Calculations'!JD331&gt;0),MAX('Calculations'!$JE$12:JE330)+1,0)</x:f>
        <x:v>0</x:v>
      </x:c>
      <x:c r="JF331" t="str">
        <x:f>IF('Calculations'!EM331="","",IFERROR(IF(INDEX(INDIRECT("'WCM Calibration Final'!$G$1:$G$2000"),'Calculations'!$EM331)="","",TRIM(INDEX(INDIRECT("'WCM Calibration Final'!$G$1:$G$2000"),'Calculations'!$EM331)&amp;"")),""))</x:f>
      </x:c>
      <x:c r="JQ331" t="n">
        <x:f>IF(OR('Calculations'!BM331=0,NOT('Calculations'!$AG$2),'Calculations'!$AG$8&gt;0),0,IF(OR('Dashboard'!$B$7="All",'Calculations'!HN331='Dashboard'!$B$7),IF('Calculations'!$JJ$2="All",1,IF(AND('Calculations'!HF331='Calculations'!$JJ$2,'Calculations'!HL331=0),1,0)),0))</x:f>
        <x:v>0</x:v>
      </x:c>
    </x:row>
    <x:row r="332">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t="n">
        <x:f>IF('Calculations'!$EM332="",0,IF(OR(IFERROR(INDEX(INDIRECT("'WCM Calibration Final'!$A$1:$A$2000"),'Calculations'!$EM332)&lt;&gt;"",FALSE),IFERROR(INDEX(INDIRECT("'WCM Calibration Final'!$B$1:$B$2000"),'Calculations'!$EM332)&lt;&gt;"",FALSE),IFERROR(INDEX(INDIRECT("'WCM Calibration Final'!$C$1:$C$2000"),'Calculations'!$EM332)&lt;&gt;"",FALSE)),1,0))</x:f>
        <x:v>0</x:v>
      </x:c>
      <x:c r="BN332" s="4" t="n">
        <x:f>IF(AND('Calculations'!BM332=1,'Calculations'!$AG$2,'Calculations'!$EN332=1),1,0)</x:f>
        <x:v>0</x:v>
      </x:c>
      <x:c r="BO332" s="4" t="str">
        <x:f>IF('Calculations'!BM332=0,"",IFERROR(IF(AND(VALUE(INDEX(INDIRECT("'WCM Calibration Final'!$K$1:$K$2000"),'Calculations'!$EM332))&gt;=1,VALUE(INDEX(INDIRECT("'WCM Calibration Final'!$K$1:$K$2000"),'Calculations'!$EM332))&lt;=4,MOD(VALUE(INDEX(INDIRECT("'WCM Calibration Final'!$K$1:$K$2000"),'Calculations'!$EM332)),1)=0),VALUE(INDEX(INDIRECT("'WCM Calibration Final'!$K$1:$K$2000"),'Calculations'!$EM332)),""),""))</x:f>
      </x:c>
      <x:c r="BP332" s="4" t="str">
        <x:f>IF('Calculations'!BM332=0,"",IFERROR(IF(AND(VALUE(INDEX(INDIRECT("'WCM Calibration Final'!$L$1:$L$2000"),'Calculations'!$EM332))&gt;=1,VALUE(INDEX(INDIRECT("'WCM Calibration Final'!$L$1:$L$2000"),'Calculations'!$EM332))&lt;=4,MOD(VALUE(INDEX(INDIRECT("'WCM Calibration Final'!$L$1:$L$2000"),'Calculations'!$EM332)),1)=0),VALUE(INDEX(INDIRECT("'WCM Calibration Final'!$L$1:$L$2000"),'Calculations'!$EM332)),""),""))</x:f>
      </x:c>
      <x:c r="BQ332" s="4"/>
      <x:c r="BR332" s="4"/>
      <x:c r="BS332" s="4"/>
      <x:c r="BT332" s="4" t="n">
        <x:f>IF(AND('Calculations'!BM332=1,ISNUMBER('Calculations'!BO332),ISNUMBER('Calculations'!BP332)),1,0)</x:f>
        <x:v>0</x:v>
      </x:c>
      <x:c r="BU332" s="4" t="str">
        <x:f>IF('Calculations'!BM332=0,"",'Calculations'!$EO332)</x:f>
      </x:c>
      <x:c r="BV332" s="4" t="str">
        <x:f>IF('Calculations'!BM332=0,"",IFERROR(IF(OR(INDEX(INDIRECT("'WCM Calibration Final'!$H$1:$H$2000"),'Calculations'!$EM332)="MANAGING DIRECTOR",INDEX(INDIRECT("'WCM Calibration Final'!$H$1:$H$2000"),'Calculations'!$EM332)="DIRECTOR",INDEX(INDIRECT("'WCM Calibration Final'!$H$1:$H$2000"),'Calculations'!$EM332)="SENIOR VICE PRESIDENT",INDEX(INDIRECT("'WCM Calibration Final'!$H$1:$H$2000"),'Calculations'!$EM332)="VICE PRESIDENT",INDEX(INDIRECT("'WCM Calibration Final'!$H$1:$H$2000"),'Calculations'!$EM332)="ASSISTANT VICE PRESIDENT",INDEX(INDIRECT("'WCM Calibration Final'!$H$1:$H$2000"),'Calculations'!$EM332)="OFFICER"),UPPER(INDEX(INDIRECT("'WCM Calibration Final'!$H$1:$H$2000"),'Calculations'!$EM332)),"Other"),"Other"))</x:f>
      </x:c>
      <x:c r="BW332" s="4"/>
      <x:c r="BX332" s="4"/>
      <x:c r="BY332" s="4" t="n">
        <x:f>IF(AND('Calculations'!BM332=1,'Calculations'!BU332&lt;&gt;"",COUNTIF('Calculations'!$BU$12:BU332,'Calculations'!BU332)=1),MAX('Calculations'!$BY$11:BY331)+1,0)</x:f>
        <x:v>0</x:v>
      </x:c>
      <x:c r="BZ332" s="4" t="str">
        <x:f>IF('Dashboard'!$E$67="What",'Calculations'!BO332,'Calculations'!BP332)</x:f>
      </x:c>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t="str">
        <x:f>IF(321&gt;MAX('Calculations'!$HI$13:$HI$512),"",INDEX('Calculations'!$HN$13:$HN$512,MATCH(321,'Calculations'!$HI$13:$HI$512,0)))</x:f>
      </x:c>
      <x:c r="DB332" s="4" t="str">
        <x:f>IF(321&gt;MAX('Calculations'!$HH$13:$HH$512),"",INDEX('Calculations'!$HJ$13:$HJ$512,MATCH(321,'Calculations'!$HH$13:$HH$512,0)))</x:f>
      </x:c>
      <x:c r="DC332" s="4" t="str">
        <x:f>IF(ROW()-11&gt;MAX('Calculations'!$BY$13:$BY$512),"",INDEX('Calculations'!$BU$13:$BU$512,MATCH(ROW()-11,'Calculations'!$BY$13:$BY$512,0)))</x:f>
      </x:c>
      <x:c r="DD332" s="4" t="str">
        <x:f>IF(321&gt;MAX('Calculations'!$IK$13:$IK$512),"",INDEX('Calculations'!$HK$13:$HK$512,MATCH(321,'Calculations'!$IK$13:$IK$512,0)))</x:f>
      </x:c>
      <x:c r="DE332" s="4" t="str">
        <x:f>'Calculations'!DC332</x:f>
      </x:c>
      <x:c r="DF332" s="4" t="str">
        <x:f>IF('Calculations'!DE332="","",COUNTIFS('Calculations'!$BN$13:$BN$512,1,'Calculations'!$BU$13:$BU$512,'Calculations'!DE332))</x:f>
      </x:c>
      <x:c r="DG332" s="4" t="str">
        <x:f>IF('Calculations'!DE332="","",COUNTIFS('Calculations'!$BN$13:$BN$512,1,'Calculations'!$BU$13:$BU$512,'Calculations'!DE332,'Calculations'!$BT$13:$BT$512,1))</x:f>
      </x:c>
      <x:c r="DH332" s="4" t="str">
        <x:f>IF('Calculations'!DE332="","",'Calculations'!DF332-'Calculations'!DG332)</x:f>
      </x:c>
      <x:c r="DI332" s="4" t="str">
        <x:f>IF(OR('Calculations'!DE332="",'Calculations'!DF332=0),"",'Calculations'!DG332/'Calculations'!DF332)</x:f>
      </x:c>
      <x:c r="DJ332" s="4" t="str">
        <x:f>IF('Calculations'!DE332="","",COUNTIFS('Calculations'!$BN$13:$BN$512,1,'Calculations'!$BU$13:$BU$512,'Calculations'!DE332,'Calculations'!$BT$13:$BT$512,1,'Calculations'!$EE$13:$EE$512,"High"))</x:f>
      </x:c>
      <x:c r="DK332" s="4" t="str">
        <x:f>IF('Calculations'!DE332="","",COUNTIFS('Calculations'!$BN$13:$BN$512,1,'Calculations'!$BU$13:$BU$512,'Calculations'!DE332,'Calculations'!$BT$13:$BT$512,1,'Calculations'!$EE$13:$EE$512,"Strong"))</x:f>
      </x:c>
      <x:c r="DL332" s="4" t="str">
        <x:f>IF('Calculations'!DE332="","",COUNTIFS('Calculations'!$BN$13:$BN$512,1,'Calculations'!$BU$13:$BU$512,'Calculations'!DE332,'Calculations'!$BT$13:$BT$512,1,'Calculations'!$EE$13:$EE$512,"Solid"))</x:f>
      </x:c>
      <x:c r="DM332" s="4" t="str">
        <x:f>IF('Calculations'!DE332="","",COUNTIFS('Calculations'!$BN$13:$BN$512,1,'Calculations'!$BU$13:$BU$512,'Calculations'!DE332,'Calculations'!$BT$13:$BT$512,1,'Calculations'!$EE$13:$EE$512,"Low"))</x:f>
      </x:c>
      <x:c r="DN332" s="4" t="str">
        <x:f>IF('Calculations'!DE332="","",COUNTIFS('Calculations'!$BN$13:$BN$512,1,'Calculations'!$BU$13:$BU$512,'Calculations'!DE332,'Calculations'!$EP$13:$EP$512,1))</x:f>
      </x:c>
      <x:c r="DO332" s="4" t="str">
        <x:f>IF(OR('Calculations'!DE332="",'Calculations'!DG332=0),"",('Calculations'!DJ332+'Calculations'!DK332)/'Calculations'!DG332)</x:f>
      </x:c>
      <x:c r="DP332" s="4" t="n">
        <x:f>IF(AND('Calculations'!DE332&lt;&gt;"",'Calculations'!DF332&gt;0),COUNTIF('Calculations'!$DF$12:DF332,"&gt;0"),0)</x:f>
        <x:v>0</x:v>
      </x:c>
      <x:c r="DQ332" s="4" t="str">
        <x:f>IF(321&gt;MAX('Calculations'!$HH$13:$HH$512),"",INDEX('Calculations'!$HF$13:$HF$512,MATCH(321,'Calculations'!$HH$13:$HH$512,0)))</x:f>
      </x:c>
      <x:c r="DR332" s="4" t="str">
        <x:f>IF(321&gt;MAX('Calculations'!$IK$13:$IK$512),"",INDEX('Calculations'!$HE$13:$HE$512,MATCH(321,'Calculations'!$IK$13:$IK$512,0)))</x:f>
      </x:c>
      <x:c r="DS332" s="4"/>
      <x:c r="DT332" s="4"/>
      <x:c r="DU332" s="4"/>
      <x:c r="DV332" s="4"/>
      <x:c r="DW332" s="4"/>
      <x:c r="DX332" s="4"/>
      <x:c r="DY332" s="4"/>
      <x:c r="DZ332" s="4"/>
      <x:c r="EA332" s="4"/>
      <x:c r="EB332" s="4"/>
      <x:c r="EC332" s="4"/>
      <x:c r="ED332" s="4"/>
      <x:c r="EE332" s="4" t="str">
        <x:f>IF('Calculations'!BT332=0,"Not Rated",IF(OR('Calculations'!BO332&gt;=4,'Calculations'!BP332&gt;=4),"Low",IF('Calculations'!BO332+'Calculations'!BP332&lt;=3,"High",IF('Calculations'!BO332+'Calculations'!BP332&lt;=4,"Strong","Solid"))))</x:f>
        <x:v>Not Rated</x:v>
      </x:c>
      <x:c r="EF332" s="4"/>
      <x:c r="EG332" s="4"/>
      <x:c r="EH332" s="4"/>
      <x:c r="EI332" s="4"/>
      <x:c r="EJ332" s="4"/>
      <x:c r="EK332" s="4"/>
      <x:c r="EL332" s="4"/>
      <x:c r="EM332" s="4" t="str">
        <x:f>IF(320&gt;'Calculations'!$JB$2000,"",INDEX('Calculations'!$JA$12:$JA$2000,MATCH(320,'Calculations'!$JB$12:$JB$2000,0)))</x:f>
      </x:c>
      <x:c r="EN332" s="4" t="n">
        <x:f>IF(OR('Calculations'!EM332="",'Calculations'!$AG$8&gt;0,AND('Calculations'!$EF$2&lt;&gt;"All",'Calculations'!HE332='Calculations'!$EF$2),AND('Calculations'!$EF$3&lt;&gt;"All",'Calculations'!HE332='Calculations'!$EF$3)),0,IF(OR('Dashboard'!$B$7="All",'Calculations'!HN332='Dashboard'!$B$7),IF('Calculations'!$EF$2="All",1,IF('Calculations'!HL332&gt;0,0,IF(COUNTIF('Calculations'!HO332:II332,"="&amp;SUBSTITUTE(SUBSTITUTE(SUBSTITUTE('Calculations'!$EF$2,"~","~~"),"*","~*"),"?","~?"))=0,0,IF('Calculations'!$EF$3="All",1,IF(COUNTIF('Calculations'!HO332:II332,"="&amp;SUBSTITUTE(SUBSTITUTE(SUBSTITUTE('Calculations'!$EF$3,"~","~~"),"*","~*"),"?","~?"))&gt;0,1,0))))),0))</x:f>
        <x:v>0</x:v>
      </x:c>
      <x:c r="EO332" s="4" t="str">
        <x:f>IF('Calculations'!IJ332="","",IF('Calculations'!IJ332="!UNRESOLVED","Unresolved hierarchy",IFERROR(INDEX('Calculations'!$HK$13:$HK$512,MATCH('Calculations'!IJ332,'Calculations'!$HE$13:$HE$512,0)),IFERROR(INDEX('Calculations'!$HJ$13:$HJ$512,MATCH('Calculations'!IJ332,'Calculations'!$HF$13:$HF$512,0)),'Calculations'!IJ332))))</x:f>
      </x:c>
      <x:c r="EP332" s="4" t="n">
        <x:f>IF(AND('Calculations'!EM332&lt;&gt;"",'Calculations'!HF332='Calculations'!IJ332),1,0)</x:f>
        <x:v>0</x:v>
      </x:c>
      <x:c r="EQ332" s="4"/>
      <x:c r="ER332" s="4"/>
      <x:c r="ES332" s="4"/>
      <x:c r="ET332" s="4"/>
      <x:c r="EU332" s="4"/>
      <x:c r="EV332" s="4"/>
      <x:c r="EW332" s="4"/>
      <x:c r="EX332" s="4"/>
      <x:c r="EY332" s="4"/>
      <x:c r="EZ332" s="4"/>
      <x:c r="FA332" s="4"/>
      <x:c r="FB332" s="4"/>
      <x:c r="FC332" s="4"/>
      <x:c r="FD332" s="4"/>
      <x:c r="FE332" s="4"/>
      <x:c r="FF332" s="4"/>
      <x:c r="FG332" s="4"/>
      <x:c r="FH332" s="4"/>
      <x:c r="FI332" s="4"/>
      <x:c r="FJ332" s="4"/>
      <x:c r="FK332" s="4"/>
      <x:c r="FL332" s="4"/>
      <x:c r="FM332" s="4"/>
      <x:c r="FN332" s="4"/>
      <x:c r="FO332" s="4"/>
      <x:c r="HE332" t="str">
        <x:f>IF('Calculations'!EM332="","",IF(IFERROR(IF(INDEX(INDIRECT("'WCM Calibration Final'!$A$1:$A$2000"),'Calculations'!$EM332)="","",TRIM(INDEX(INDIRECT("'WCM Calibration Final'!$A$1:$A$2000"),'Calculations'!$EM332)&amp;"")),"")&lt;&gt;"","G:"&amp;IFERROR(TEXT(1*INDEX(INDIRECT("'WCM Calibration Final'!$A$1:$A$2000"),'Calculations'!$EM332),"0"),UPPER(IFERROR(IF(INDEX(INDIRECT("'WCM Calibration Final'!$A$1:$A$2000"),'Calculations'!$EM332)="","",TRIM(INDEX(INDIRECT("'WCM Calibration Final'!$A$1:$A$2000"),'Calculations'!$EM332)&amp;"")),""))),IF(IFERROR(IF(INDEX(INDIRECT("'WCM Calibration Final'!$C$1:$C$2000"),'Calculations'!$EM332)="","",TRIM(INDEX(INDIRECT("'WCM Calibration Final'!$C$1:$C$2000"),'Calculations'!$EM332)&amp;"")),"")&lt;&gt;"","S:"&amp;UPPER(IFERROR(IF(INDEX(INDIRECT("'WCM Calibration Final'!$C$1:$C$2000"),'Calculations'!$EM332)="","",TRIM(INDEX(INDIRECT("'WCM Calibration Final'!$C$1:$C$2000"),'Calculations'!$EM332)&amp;"")),"")),"R:"&amp;'Calculations'!EM332)))</x:f>
      </x:c>
      <x:c r="HF332" t="str">
        <x:f>IF('Calculations'!EM332="","",IF(IFERROR(IF(INDEX(INDIRECT("'WCM Calibration Final'!$D$1:$D$2000"),'Calculations'!$EM332)="","",TRIM(INDEX(INDIRECT("'WCM Calibration Final'!$D$1:$D$2000"),'Calculations'!$EM332)&amp;"")),"")&lt;&gt;"","G:"&amp;IFERROR(TEXT(1*INDEX(INDIRECT("'WCM Calibration Final'!$D$1:$D$2000"),'Calculations'!$EM332),"0"),UPPER(IFERROR(IF(INDEX(INDIRECT("'WCM Calibration Final'!$D$1:$D$2000"),'Calculations'!$EM332)="","",TRIM(INDEX(INDIRECT("'WCM Calibration Final'!$D$1:$D$2000"),'Calculations'!$EM332)&amp;"")),""))),IF(IFERROR(IF(INDEX(INDIRECT("'WCM Calibration Final'!$E$1:$E$2000"),'Calculations'!$EM332)="","",TRIM(INDEX(INDIRECT("'WCM Calibration Final'!$E$1:$E$2000"),'Calculations'!$EM332)&amp;"")),"")="","",IF(COUNTIF('Calculations'!$HG$13:$HG$512,"="&amp;SUBSTITUTE(SUBSTITUTE(SUBSTITUTE(IFERROR(IF(INDEX(INDIRECT("'WCM Calibration Final'!$E$1:$E$2000"),'Calculations'!$EM332)="","",TRIM(INDEX(INDIRECT("'WCM Calibration Final'!$E$1:$E$2000"),'Calculations'!$EM332)&amp;"")),""),"~","~~"),"*","~*"),"?","~?"))=1,INDEX('Calculations'!$HE$13:$HE$512,MATCH(IFERROR(IF(INDEX(INDIRECT("'WCM Calibration Final'!$E$1:$E$2000"),'Calculations'!$EM332)="","",TRIM(INDEX(INDIRECT("'WCM Calibration Final'!$E$1:$E$2000"),'Calculations'!$EM332)&amp;"")),""),'Calculations'!$HG$13:$HG$512,0)),IF(COUNTIF('Calculations'!$HG$13:$HG$512,"="&amp;SUBSTITUTE(SUBSTITUTE(SUBSTITUTE(IFERROR(IF(INDEX(INDIRECT("'WCM Calibration Final'!$E$1:$E$2000"),'Calculations'!$EM332)="","",TRIM(INDEX(INDIRECT("'WCM Calibration Final'!$E$1:$E$2000"),'Calculations'!$EM332)&amp;"")),""),"~","~~"),"*","~*"),"?","~?"))&gt;1,"!AMBIG","X:"&amp;IFERROR(IF(INDEX(INDIRECT("'WCM Calibration Final'!$E$1:$E$2000"),'Calculations'!$EM332)="","",TRIM(INDEX(INDIRECT("'WCM Calibration Final'!$E$1:$E$2000"),'Calculations'!$EM332)&amp;"")),""))))))</x:f>
      </x:c>
      <x:c r="HG332" t="str">
        <x:f>IF('Calculations'!EM332="","",IFERROR(IF(INDEX(INDIRECT("'WCM Calibration Final'!$B$1:$B$2000"),'Calculations'!$EM332)="","",TRIM(INDEX(INDIRECT("'WCM Calibration Final'!$B$1:$B$2000"),'Calculations'!$EM332)&amp;"")),""))</x:f>
      </x:c>
      <x:c r="HH332" t="n">
        <x:f>IF(AND('Calculations'!JC332&gt;0,COUNTIF('Calculations'!$HF$12:HF332,"="&amp;SUBSTITUTE(SUBSTITUTE(SUBSTITUTE('Calculations'!HF332,"~","~~"),"*","~*"),"?","~?"))=1),MAX('Calculations'!$HH$12:HH331)+1,0)</x:f>
        <x:v>0</x:v>
      </x:c>
      <x:c r="HI332" t="n">
        <x:f>IF(AND('Calculations'!HN332&lt;&gt;"",COUNTIF('Calculations'!$HN$12:HN332,"="&amp;SUBSTITUTE(SUBSTITUTE(SUBSTITUTE('Calculations'!HN332,"~","~~"),"*","~*"),"?","~?"))=1),MAX('Calculations'!$HI$12:HI331)+1,0)</x:f>
        <x:v>0</x:v>
      </x:c>
      <x:c r="HJ332" t="str">
        <x:f>IF('Calculations'!HF332="","",IF(COUNTIF('Calculations'!$HE$13:$HE$512,"="&amp;SUBSTITUTE(SUBSTITUTE(SUBSTITUTE('Calculations'!HF332,"~","~~"),"*","~*"),"?","~?"))=1,INDEX('Calculations'!$HK$13:$HK$512,MATCH('Calculations'!HF332,'Calculations'!$HE$13:$HE$512,0)),IFERROR(IF(INDEX(INDIRECT("'WCM Calibration Final'!$E$1:$E$2000"),'Calculations'!$EM332)="","",TRIM(INDEX(INDIRECT("'WCM Calibration Final'!$E$1:$E$2000"),'Calculations'!$EM332)&amp;"")),"")&amp;" ["&amp;'Calculations'!HF332&amp;"]"))</x:f>
      </x:c>
      <x:c r="HK332" t="str">
        <x:f>IF('Calculations'!EM332="","",'Calculations'!HG332&amp;" ["&amp;'Calculations'!HE332&amp;"]")</x:f>
      </x:c>
      <x:c r="HL332" t="n">
        <x:f>IF('Calculations'!EM332="",0,IF(OR('Calculations'!II332&lt;&gt;"",COUNTIF('Calculations'!$HE$13:$HE$512,"="&amp;SUBSTITUTE(SUBSTITUTE(SUBSTITUTE('Calculations'!HE332,"~","~~"),"*","~*"),"?","~?"))&gt;1),1,0))</x:f>
        <x:v>0</x:v>
      </x:c>
      <x:c r="HM332" t="str">
        <x:f>IF('Calculations'!EM332="","",IF('Calculations'!HL332=1,"!UNRESOLVED",IF('Calculations'!IH332&lt;&gt;"",'Calculations'!IH332,IF('Calculations'!IG332&lt;&gt;"",'Calculations'!IG332,IF('Calculations'!IF332&lt;&gt;"",'Calculations'!IF332,IF('Calculations'!IE332&lt;&gt;"",'Calculations'!IE332,IF('Calculations'!ID332&lt;&gt;"",'Calculations'!ID332,IF('Calculations'!IC332&lt;&gt;"",'Calculations'!IC332,IF('Calculations'!IB332&lt;&gt;"",'Calculations'!IB332,IF('Calculations'!IA332&lt;&gt;"",'Calculations'!IA332,IF('Calculations'!HZ332&lt;&gt;"",'Calculations'!HZ332,IF('Calculations'!HY332&lt;&gt;"",'Calculations'!HY332,IF('Calculations'!HX332&lt;&gt;"",'Calculations'!HX332,IF('Calculations'!HW332&lt;&gt;"",'Calculations'!HW332,IF('Calculations'!HV332&lt;&gt;"",'Calculations'!HV332,IF('Calculations'!HU332&lt;&gt;"",'Calculations'!HU332,IF('Calculations'!HT332&lt;&gt;"",'Calculations'!HT332,IF('Calculations'!HS332&lt;&gt;"",'Calculations'!HS332,IF('Calculations'!HR332&lt;&gt;"",'Calculations'!HR332,IF('Calculations'!HQ332&lt;&gt;"",'Calculations'!HQ332,IF('Calculations'!HP332&lt;&gt;"",'Calculations'!HP332,IF('Calculations'!HO332&lt;&gt;"",'Calculations'!HO332,'Calculations'!HE332))))))))))))))))))))))</x:f>
      </x:c>
      <x:c r="HN332" t="str">
        <x:f>IF('Calculations'!EM332="","",IF(IFERROR(IF(INDEX(INDIRECT("'WCM Calibration Final'!$F$1:$F$2000"),'Calculations'!$EM332)="","",TRIM(INDEX(INDIRECT("'WCM Calibration Final'!$F$1:$F$2000"),'Calculations'!$EM332)&amp;"")),"")="","(Blank)",IFERROR(IF(INDEX(INDIRECT("'WCM Calibration Final'!$F$1:$F$2000"),'Calculations'!$EM332)="","",TRIM(INDEX(INDIRECT("'WCM Calibration Final'!$F$1:$F$2000"),'Calculations'!$EM332)&amp;"")),"")))</x:f>
      </x:c>
      <x:c r="HO332" t="str">
        <x:f>'Calculations'!HF332</x:f>
      </x:c>
      <x:c r="HP332" t="str">
        <x:f>IF('Calculations'!HO332="","",IF('Calculations'!HO332="!AMBIG","!AMBIG",IF(COUNTIF('Calculations'!$HE$13:$HE$512,"="&amp;SUBSTITUTE(SUBSTITUTE(SUBSTITUTE('Calculations'!HO332,"~","~~"),"*","~*"),"?","~?"))&gt;1,"!AMBIG",IFERROR(INDEX('Calculations'!$HF$13:$HF$512,MATCH('Calculations'!HO332,'Calculations'!$HE$13:$HE$512,0)),""))))</x:f>
      </x:c>
      <x:c r="HQ332" t="str">
        <x:f>IF('Calculations'!HP332="","",IF('Calculations'!HP332="!AMBIG","!AMBIG",IF(COUNTIF('Calculations'!$HE$13:$HE$512,"="&amp;SUBSTITUTE(SUBSTITUTE(SUBSTITUTE('Calculations'!HP332,"~","~~"),"*","~*"),"?","~?"))&gt;1,"!AMBIG",IFERROR(INDEX('Calculations'!$HF$13:$HF$512,MATCH('Calculations'!HP332,'Calculations'!$HE$13:$HE$512,0)),""))))</x:f>
      </x:c>
      <x:c r="HR332" t="str">
        <x:f>IF('Calculations'!HQ332="","",IF('Calculations'!HQ332="!AMBIG","!AMBIG",IF(COUNTIF('Calculations'!$HE$13:$HE$512,"="&amp;SUBSTITUTE(SUBSTITUTE(SUBSTITUTE('Calculations'!HQ332,"~","~~"),"*","~*"),"?","~?"))&gt;1,"!AMBIG",IFERROR(INDEX('Calculations'!$HF$13:$HF$512,MATCH('Calculations'!HQ332,'Calculations'!$HE$13:$HE$512,0)),""))))</x:f>
      </x:c>
      <x:c r="HS332" t="str">
        <x:f>IF('Calculations'!HR332="","",IF('Calculations'!HR332="!AMBIG","!AMBIG",IF(COUNTIF('Calculations'!$HE$13:$HE$512,"="&amp;SUBSTITUTE(SUBSTITUTE(SUBSTITUTE('Calculations'!HR332,"~","~~"),"*","~*"),"?","~?"))&gt;1,"!AMBIG",IFERROR(INDEX('Calculations'!$HF$13:$HF$512,MATCH('Calculations'!HR332,'Calculations'!$HE$13:$HE$512,0)),""))))</x:f>
      </x:c>
      <x:c r="HT332" t="str">
        <x:f>IF('Calculations'!HS332="","",IF('Calculations'!HS332="!AMBIG","!AMBIG",IF(COUNTIF('Calculations'!$HE$13:$HE$512,"="&amp;SUBSTITUTE(SUBSTITUTE(SUBSTITUTE('Calculations'!HS332,"~","~~"),"*","~*"),"?","~?"))&gt;1,"!AMBIG",IFERROR(INDEX('Calculations'!$HF$13:$HF$512,MATCH('Calculations'!HS332,'Calculations'!$HE$13:$HE$512,0)),""))))</x:f>
      </x:c>
      <x:c r="HU332" t="str">
        <x:f>IF('Calculations'!HT332="","",IF('Calculations'!HT332="!AMBIG","!AMBIG",IF(COUNTIF('Calculations'!$HE$13:$HE$512,"="&amp;SUBSTITUTE(SUBSTITUTE(SUBSTITUTE('Calculations'!HT332,"~","~~"),"*","~*"),"?","~?"))&gt;1,"!AMBIG",IFERROR(INDEX('Calculations'!$HF$13:$HF$512,MATCH('Calculations'!HT332,'Calculations'!$HE$13:$HE$512,0)),""))))</x:f>
      </x:c>
      <x:c r="HV332" t="str">
        <x:f>IF('Calculations'!HU332="","",IF('Calculations'!HU332="!AMBIG","!AMBIG",IF(COUNTIF('Calculations'!$HE$13:$HE$512,"="&amp;SUBSTITUTE(SUBSTITUTE(SUBSTITUTE('Calculations'!HU332,"~","~~"),"*","~*"),"?","~?"))&gt;1,"!AMBIG",IFERROR(INDEX('Calculations'!$HF$13:$HF$512,MATCH('Calculations'!HU332,'Calculations'!$HE$13:$HE$512,0)),""))))</x:f>
      </x:c>
      <x:c r="HW332" t="str">
        <x:f>IF('Calculations'!HV332="","",IF('Calculations'!HV332="!AMBIG","!AMBIG",IF(COUNTIF('Calculations'!$HE$13:$HE$512,"="&amp;SUBSTITUTE(SUBSTITUTE(SUBSTITUTE('Calculations'!HV332,"~","~~"),"*","~*"),"?","~?"))&gt;1,"!AMBIG",IFERROR(INDEX('Calculations'!$HF$13:$HF$512,MATCH('Calculations'!HV332,'Calculations'!$HE$13:$HE$512,0)),""))))</x:f>
      </x:c>
      <x:c r="HX332" t="str">
        <x:f>IF('Calculations'!HW332="","",IF('Calculations'!HW332="!AMBIG","!AMBIG",IF(COUNTIF('Calculations'!$HE$13:$HE$512,"="&amp;SUBSTITUTE(SUBSTITUTE(SUBSTITUTE('Calculations'!HW332,"~","~~"),"*","~*"),"?","~?"))&gt;1,"!AMBIG",IFERROR(INDEX('Calculations'!$HF$13:$HF$512,MATCH('Calculations'!HW332,'Calculations'!$HE$13:$HE$512,0)),""))))</x:f>
      </x:c>
      <x:c r="HY332" t="str">
        <x:f>IF('Calculations'!HX332="","",IF('Calculations'!HX332="!AMBIG","!AMBIG",IF(COUNTIF('Calculations'!$HE$13:$HE$512,"="&amp;SUBSTITUTE(SUBSTITUTE(SUBSTITUTE('Calculations'!HX332,"~","~~"),"*","~*"),"?","~?"))&gt;1,"!AMBIG",IFERROR(INDEX('Calculations'!$HF$13:$HF$512,MATCH('Calculations'!HX332,'Calculations'!$HE$13:$HE$512,0)),""))))</x:f>
      </x:c>
      <x:c r="HZ332" t="str">
        <x:f>IF('Calculations'!HY332="","",IF('Calculations'!HY332="!AMBIG","!AMBIG",IF(COUNTIF('Calculations'!$HE$13:$HE$512,"="&amp;SUBSTITUTE(SUBSTITUTE(SUBSTITUTE('Calculations'!HY332,"~","~~"),"*","~*"),"?","~?"))&gt;1,"!AMBIG",IFERROR(INDEX('Calculations'!$HF$13:$HF$512,MATCH('Calculations'!HY332,'Calculations'!$HE$13:$HE$512,0)),""))))</x:f>
      </x:c>
      <x:c r="IA332" t="str">
        <x:f>IF('Calculations'!HZ332="","",IF('Calculations'!HZ332="!AMBIG","!AMBIG",IF(COUNTIF('Calculations'!$HE$13:$HE$512,"="&amp;SUBSTITUTE(SUBSTITUTE(SUBSTITUTE('Calculations'!HZ332,"~","~~"),"*","~*"),"?","~?"))&gt;1,"!AMBIG",IFERROR(INDEX('Calculations'!$HF$13:$HF$512,MATCH('Calculations'!HZ332,'Calculations'!$HE$13:$HE$512,0)),""))))</x:f>
      </x:c>
      <x:c r="IB332" t="str">
        <x:f>IF('Calculations'!IA332="","",IF('Calculations'!IA332="!AMBIG","!AMBIG",IF(COUNTIF('Calculations'!$HE$13:$HE$512,"="&amp;SUBSTITUTE(SUBSTITUTE(SUBSTITUTE('Calculations'!IA332,"~","~~"),"*","~*"),"?","~?"))&gt;1,"!AMBIG",IFERROR(INDEX('Calculations'!$HF$13:$HF$512,MATCH('Calculations'!IA332,'Calculations'!$HE$13:$HE$512,0)),""))))</x:f>
      </x:c>
      <x:c r="IC332" t="str">
        <x:f>IF('Calculations'!IB332="","",IF('Calculations'!IB332="!AMBIG","!AMBIG",IF(COUNTIF('Calculations'!$HE$13:$HE$512,"="&amp;SUBSTITUTE(SUBSTITUTE(SUBSTITUTE('Calculations'!IB332,"~","~~"),"*","~*"),"?","~?"))&gt;1,"!AMBIG",IFERROR(INDEX('Calculations'!$HF$13:$HF$512,MATCH('Calculations'!IB332,'Calculations'!$HE$13:$HE$512,0)),""))))</x:f>
      </x:c>
      <x:c r="ID332" t="str">
        <x:f>IF('Calculations'!IC332="","",IF('Calculations'!IC332="!AMBIG","!AMBIG",IF(COUNTIF('Calculations'!$HE$13:$HE$512,"="&amp;SUBSTITUTE(SUBSTITUTE(SUBSTITUTE('Calculations'!IC332,"~","~~"),"*","~*"),"?","~?"))&gt;1,"!AMBIG",IFERROR(INDEX('Calculations'!$HF$13:$HF$512,MATCH('Calculations'!IC332,'Calculations'!$HE$13:$HE$512,0)),""))))</x:f>
      </x:c>
      <x:c r="IE332" t="str">
        <x:f>IF('Calculations'!ID332="","",IF('Calculations'!ID332="!AMBIG","!AMBIG",IF(COUNTIF('Calculations'!$HE$13:$HE$512,"="&amp;SUBSTITUTE(SUBSTITUTE(SUBSTITUTE('Calculations'!ID332,"~","~~"),"*","~*"),"?","~?"))&gt;1,"!AMBIG",IFERROR(INDEX('Calculations'!$HF$13:$HF$512,MATCH('Calculations'!ID332,'Calculations'!$HE$13:$HE$512,0)),""))))</x:f>
      </x:c>
      <x:c r="IF332" t="str">
        <x:f>IF('Calculations'!IE332="","",IF('Calculations'!IE332="!AMBIG","!AMBIG",IF(COUNTIF('Calculations'!$HE$13:$HE$512,"="&amp;SUBSTITUTE(SUBSTITUTE(SUBSTITUTE('Calculations'!IE332,"~","~~"),"*","~*"),"?","~?"))&gt;1,"!AMBIG",IFERROR(INDEX('Calculations'!$HF$13:$HF$512,MATCH('Calculations'!IE332,'Calculations'!$HE$13:$HE$512,0)),""))))</x:f>
      </x:c>
      <x:c r="IG332" t="str">
        <x:f>IF('Calculations'!IF332="","",IF('Calculations'!IF332="!AMBIG","!AMBIG",IF(COUNTIF('Calculations'!$HE$13:$HE$512,"="&amp;SUBSTITUTE(SUBSTITUTE(SUBSTITUTE('Calculations'!IF332,"~","~~"),"*","~*"),"?","~?"))&gt;1,"!AMBIG",IFERROR(INDEX('Calculations'!$HF$13:$HF$512,MATCH('Calculations'!IF332,'Calculations'!$HE$13:$HE$512,0)),""))))</x:f>
      </x:c>
      <x:c r="IH332" t="str">
        <x:f>IF('Calculations'!IG332="","",IF('Calculations'!IG332="!AMBIG","!AMBIG",IF(COUNTIF('Calculations'!$HE$13:$HE$512,"="&amp;SUBSTITUTE(SUBSTITUTE(SUBSTITUTE('Calculations'!IG332,"~","~~"),"*","~*"),"?","~?"))&gt;1,"!AMBIG",IFERROR(INDEX('Calculations'!$HF$13:$HF$512,MATCH('Calculations'!IG332,'Calculations'!$HE$13:$HE$512,0)),""))))</x:f>
      </x:c>
      <x:c r="II332" t="str">
        <x:f>IF('Calculations'!IH332="","",IF('Calculations'!IH332="!AMBIG","!AMBIG",IF(COUNTIF('Calculations'!$HE$13:$HE$512,"="&amp;SUBSTITUTE(SUBSTITUTE(SUBSTITUTE('Calculations'!IH332,"~","~~"),"*","~*"),"?","~?"))&gt;1,"!AMBIG",IFERROR(INDEX('Calculations'!$HF$13:$HF$512,MATCH('Calculations'!IH332,'Calculations'!$HE$13:$HE$512,0)),""))))</x:f>
      </x:c>
      <x:c r="IJ332" t="str">
        <x:f>IF('Calculations'!EM332="","",IF('Calculations'!$EF$2="All",'Calculations'!HM332,IF('Calculations'!HL332=1,"",IFERROR(IF(MATCH('Calculations'!$EF$2,'Calculations'!HO332:II332,0)=1,'Calculations'!HE332,INDEX('Calculations'!HO332:II332,1,MATCH('Calculations'!$EF$2,'Calculations'!HO332:II332,0)-1)),""))))</x:f>
      </x:c>
      <x:c r="IK332" t="n">
        <x:f>IF(AND('Calculations'!EM332&lt;&gt;"",'Calculations'!$EF$2&lt;&gt;"All",'Calculations'!HF332='Calculations'!$EF$2,'Calculations'!HL332=0,'Calculations'!JD332&gt;0),MAX('Calculations'!$IK$12:IK331)+1,0)</x:f>
        <x:v>0</x:v>
      </x:c>
      <x:c r="JA332" t="n">
        <x:f>IF(OR(IFERROR(INDIRECT("'WCM Calibration Final'!$A$332")&lt;&gt;"",FALSE),IFERROR(INDIRECT("'WCM Calibration Final'!$B$332")&lt;&gt;"",FALSE),IFERROR(INDIRECT("'WCM Calibration Final'!$C$332")&lt;&gt;"",FALSE)),332,0)</x:f>
        <x:v>0</x:v>
      </x:c>
      <x:c r="JB332" t="n">
        <x:f>'Calculations'!JB331+IF('Calculations'!JA332&gt;0,1,0)</x:f>
        <x:v>0</x:v>
      </x:c>
      <x:c r="JC332" t="n">
        <x:f>IF(OR('Calculations'!HF332="",'Calculations'!HF332="!AMBIG"),0,IF('Dashboard'!$B$7="All",1,COUNTIFS('Calculations'!$HO$13:$HO$512,"="&amp;SUBSTITUTE(SUBSTITUTE(SUBSTITUTE('Calculations'!HF332,"~","~~"),"*","~*"),"?","~?"),'Calculations'!$HN$13:$HN$512,"="&amp;SUBSTITUTE(SUBSTITUTE(SUBSTITUTE('Dashboard'!$B$7,"~","~~"),"*","~*"),"?","~?"))+COUNTIFS('Calculations'!$HP$13:$HP$512,"="&amp;SUBSTITUTE(SUBSTITUTE(SUBSTITUTE('Calculations'!HF332,"~","~~"),"*","~*"),"?","~?"),'Calculations'!$HN$13:$HN$512,"="&amp;SUBSTITUTE(SUBSTITUTE(SUBSTITUTE('Dashboard'!$B$7,"~","~~"),"*","~*"),"?","~?"))+COUNTIFS('Calculations'!$HQ$13:$HQ$512,"="&amp;SUBSTITUTE(SUBSTITUTE(SUBSTITUTE('Calculations'!HF332,"~","~~"),"*","~*"),"?","~?"),'Calculations'!$HN$13:$HN$512,"="&amp;SUBSTITUTE(SUBSTITUTE(SUBSTITUTE('Dashboard'!$B$7,"~","~~"),"*","~*"),"?","~?"))+COUNTIFS('Calculations'!$HR$13:$HR$512,"="&amp;SUBSTITUTE(SUBSTITUTE(SUBSTITUTE('Calculations'!HF332,"~","~~"),"*","~*"),"?","~?"),'Calculations'!$HN$13:$HN$512,"="&amp;SUBSTITUTE(SUBSTITUTE(SUBSTITUTE('Dashboard'!$B$7,"~","~~"),"*","~*"),"?","~?"))+COUNTIFS('Calculations'!$HS$13:$HS$512,"="&amp;SUBSTITUTE(SUBSTITUTE(SUBSTITUTE('Calculations'!HF332,"~","~~"),"*","~*"),"?","~?"),'Calculations'!$HN$13:$HN$512,"="&amp;SUBSTITUTE(SUBSTITUTE(SUBSTITUTE('Dashboard'!$B$7,"~","~~"),"*","~*"),"?","~?"))+COUNTIFS('Calculations'!$HT$13:$HT$512,"="&amp;SUBSTITUTE(SUBSTITUTE(SUBSTITUTE('Calculations'!HF332,"~","~~"),"*","~*"),"?","~?"),'Calculations'!$HN$13:$HN$512,"="&amp;SUBSTITUTE(SUBSTITUTE(SUBSTITUTE('Dashboard'!$B$7,"~","~~"),"*","~*"),"?","~?"))+COUNTIFS('Calculations'!$HU$13:$HU$512,"="&amp;SUBSTITUTE(SUBSTITUTE(SUBSTITUTE('Calculations'!HF332,"~","~~"),"*","~*"),"?","~?"),'Calculations'!$HN$13:$HN$512,"="&amp;SUBSTITUTE(SUBSTITUTE(SUBSTITUTE('Dashboard'!$B$7,"~","~~"),"*","~*"),"?","~?"))+COUNTIFS('Calculations'!$HV$13:$HV$512,"="&amp;SUBSTITUTE(SUBSTITUTE(SUBSTITUTE('Calculations'!HF332,"~","~~"),"*","~*"),"?","~?"),'Calculations'!$HN$13:$HN$512,"="&amp;SUBSTITUTE(SUBSTITUTE(SUBSTITUTE('Dashboard'!$B$7,"~","~~"),"*","~*"),"?","~?"))+COUNTIFS('Calculations'!$HW$13:$HW$512,"="&amp;SUBSTITUTE(SUBSTITUTE(SUBSTITUTE('Calculations'!HF332,"~","~~"),"*","~*"),"?","~?"),'Calculations'!$HN$13:$HN$512,"="&amp;SUBSTITUTE(SUBSTITUTE(SUBSTITUTE('Dashboard'!$B$7,"~","~~"),"*","~*"),"?","~?"))+COUNTIFS('Calculations'!$HX$13:$HX$512,"="&amp;SUBSTITUTE(SUBSTITUTE(SUBSTITUTE('Calculations'!HF332,"~","~~"),"*","~*"),"?","~?"),'Calculations'!$HN$13:$HN$512,"="&amp;SUBSTITUTE(SUBSTITUTE(SUBSTITUTE('Dashboard'!$B$7,"~","~~"),"*","~*"),"?","~?"))+COUNTIFS('Calculations'!$HY$13:$HY$512,"="&amp;SUBSTITUTE(SUBSTITUTE(SUBSTITUTE('Calculations'!HF332,"~","~~"),"*","~*"),"?","~?"),'Calculations'!$HN$13:$HN$512,"="&amp;SUBSTITUTE(SUBSTITUTE(SUBSTITUTE('Dashboard'!$B$7,"~","~~"),"*","~*"),"?","~?"))+COUNTIFS('Calculations'!$HZ$13:$HZ$512,"="&amp;SUBSTITUTE(SUBSTITUTE(SUBSTITUTE('Calculations'!HF332,"~","~~"),"*","~*"),"?","~?"),'Calculations'!$HN$13:$HN$512,"="&amp;SUBSTITUTE(SUBSTITUTE(SUBSTITUTE('Dashboard'!$B$7,"~","~~"),"*","~*"),"?","~?"))+COUNTIFS('Calculations'!$IA$13:$IA$512,"="&amp;SUBSTITUTE(SUBSTITUTE(SUBSTITUTE('Calculations'!HF332,"~","~~"),"*","~*"),"?","~?"),'Calculations'!$HN$13:$HN$512,"="&amp;SUBSTITUTE(SUBSTITUTE(SUBSTITUTE('Dashboard'!$B$7,"~","~~"),"*","~*"),"?","~?"))+COUNTIFS('Calculations'!$IB$13:$IB$512,"="&amp;SUBSTITUTE(SUBSTITUTE(SUBSTITUTE('Calculations'!HF332,"~","~~"),"*","~*"),"?","~?"),'Calculations'!$HN$13:$HN$512,"="&amp;SUBSTITUTE(SUBSTITUTE(SUBSTITUTE('Dashboard'!$B$7,"~","~~"),"*","~*"),"?","~?"))+COUNTIFS('Calculations'!$IC$13:$IC$512,"="&amp;SUBSTITUTE(SUBSTITUTE(SUBSTITUTE('Calculations'!HF332,"~","~~"),"*","~*"),"?","~?"),'Calculations'!$HN$13:$HN$512,"="&amp;SUBSTITUTE(SUBSTITUTE(SUBSTITUTE('Dashboard'!$B$7,"~","~~"),"*","~*"),"?","~?"))+COUNTIFS('Calculations'!$ID$13:$ID$512,"="&amp;SUBSTITUTE(SUBSTITUTE(SUBSTITUTE('Calculations'!HF332,"~","~~"),"*","~*"),"?","~?"),'Calculations'!$HN$13:$HN$512,"="&amp;SUBSTITUTE(SUBSTITUTE(SUBSTITUTE('Dashboard'!$B$7,"~","~~"),"*","~*"),"?","~?"))+COUNTIFS('Calculations'!$IE$13:$IE$512,"="&amp;SUBSTITUTE(SUBSTITUTE(SUBSTITUTE('Calculations'!HF332,"~","~~"),"*","~*"),"?","~?"),'Calculations'!$HN$13:$HN$512,"="&amp;SUBSTITUTE(SUBSTITUTE(SUBSTITUTE('Dashboard'!$B$7,"~","~~"),"*","~*"),"?","~?"))+COUNTIFS('Calculations'!$IF$13:$IF$512,"="&amp;SUBSTITUTE(SUBSTITUTE(SUBSTITUTE('Calculations'!HF332,"~","~~"),"*","~*"),"?","~?"),'Calculations'!$HN$13:$HN$512,"="&amp;SUBSTITUTE(SUBSTITUTE(SUBSTITUTE('Dashboard'!$B$7,"~","~~"),"*","~*"),"?","~?"))+COUNTIFS('Calculations'!$IG$13:$IG$512,"="&amp;SUBSTITUTE(SUBSTITUTE(SUBSTITUTE('Calculations'!HF332,"~","~~"),"*","~*"),"?","~?"),'Calculations'!$HN$13:$HN$512,"="&amp;SUBSTITUTE(SUBSTITUTE(SUBSTITUTE('Dashboard'!$B$7,"~","~~"),"*","~*"),"?","~?"))+COUNTIFS('Calculations'!$IH$13:$IH$512,"="&amp;SUBSTITUTE(SUBSTITUTE(SUBSTITUTE('Calculations'!HF332,"~","~~"),"*","~*"),"?","~?"),'Calculations'!$HN$13:$HN$512,"="&amp;SUBSTITUTE(SUBSTITUTE(SUBSTITUTE('Dashboard'!$B$7,"~","~~"),"*","~*"),"?","~?"))))</x:f>
        <x:v>0</x:v>
      </x:c>
      <x:c r="JD332" t="n">
        <x:f>IF('Calculations'!EM332="",0,IF('Dashboard'!$B$7="All",1,IF('Calculations'!HN332='Dashboard'!$B$7,1,0)+IFERROR(INDEX('Calculations'!$JC$13:$JC$512,MATCH('Calculations'!HE332,'Calculations'!$HF$13:$HF$512,0)),0)))</x:f>
        <x:v>0</x:v>
      </x:c>
      <x:c r="JE332" t="n">
        <x:f>IF(AND('Calculations'!EM332&lt;&gt;"",'Calculations'!$JJ$2&lt;&gt;"All",'Calculations'!$JJ$2&lt;&gt;"",'Calculations'!HF332='Calculations'!$JJ$2,'Calculations'!HL332=0,'Calculations'!JD332&gt;0),MAX('Calculations'!$JE$12:JE331)+1,0)</x:f>
        <x:v>0</x:v>
      </x:c>
      <x:c r="JF332" t="str">
        <x:f>IF('Calculations'!EM332="","",IFERROR(IF(INDEX(INDIRECT("'WCM Calibration Final'!$G$1:$G$2000"),'Calculations'!$EM332)="","",TRIM(INDEX(INDIRECT("'WCM Calibration Final'!$G$1:$G$2000"),'Calculations'!$EM332)&amp;"")),""))</x:f>
      </x:c>
      <x:c r="JQ332" t="n">
        <x:f>IF(OR('Calculations'!BM332=0,NOT('Calculations'!$AG$2),'Calculations'!$AG$8&gt;0),0,IF(OR('Dashboard'!$B$7="All",'Calculations'!HN332='Dashboard'!$B$7),IF('Calculations'!$JJ$2="All",1,IF(AND('Calculations'!HF332='Calculations'!$JJ$2,'Calculations'!HL332=0),1,0)),0))</x:f>
        <x:v>0</x:v>
      </x:c>
    </x:row>
    <x:row r="333">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t="n">
        <x:f>IF('Calculations'!$EM333="",0,IF(OR(IFERROR(INDEX(INDIRECT("'WCM Calibration Final'!$A$1:$A$2000"),'Calculations'!$EM333)&lt;&gt;"",FALSE),IFERROR(INDEX(INDIRECT("'WCM Calibration Final'!$B$1:$B$2000"),'Calculations'!$EM333)&lt;&gt;"",FALSE),IFERROR(INDEX(INDIRECT("'WCM Calibration Final'!$C$1:$C$2000"),'Calculations'!$EM333)&lt;&gt;"",FALSE)),1,0))</x:f>
        <x:v>0</x:v>
      </x:c>
      <x:c r="BN333" s="4" t="n">
        <x:f>IF(AND('Calculations'!BM333=1,'Calculations'!$AG$2,'Calculations'!$EN333=1),1,0)</x:f>
        <x:v>0</x:v>
      </x:c>
      <x:c r="BO333" s="4" t="str">
        <x:f>IF('Calculations'!BM333=0,"",IFERROR(IF(AND(VALUE(INDEX(INDIRECT("'WCM Calibration Final'!$K$1:$K$2000"),'Calculations'!$EM333))&gt;=1,VALUE(INDEX(INDIRECT("'WCM Calibration Final'!$K$1:$K$2000"),'Calculations'!$EM333))&lt;=4,MOD(VALUE(INDEX(INDIRECT("'WCM Calibration Final'!$K$1:$K$2000"),'Calculations'!$EM333)),1)=0),VALUE(INDEX(INDIRECT("'WCM Calibration Final'!$K$1:$K$2000"),'Calculations'!$EM333)),""),""))</x:f>
      </x:c>
      <x:c r="BP333" s="4" t="str">
        <x:f>IF('Calculations'!BM333=0,"",IFERROR(IF(AND(VALUE(INDEX(INDIRECT("'WCM Calibration Final'!$L$1:$L$2000"),'Calculations'!$EM333))&gt;=1,VALUE(INDEX(INDIRECT("'WCM Calibration Final'!$L$1:$L$2000"),'Calculations'!$EM333))&lt;=4,MOD(VALUE(INDEX(INDIRECT("'WCM Calibration Final'!$L$1:$L$2000"),'Calculations'!$EM333)),1)=0),VALUE(INDEX(INDIRECT("'WCM Calibration Final'!$L$1:$L$2000"),'Calculations'!$EM333)),""),""))</x:f>
      </x:c>
      <x:c r="BQ333" s="4"/>
      <x:c r="BR333" s="4"/>
      <x:c r="BS333" s="4"/>
      <x:c r="BT333" s="4" t="n">
        <x:f>IF(AND('Calculations'!BM333=1,ISNUMBER('Calculations'!BO333),ISNUMBER('Calculations'!BP333)),1,0)</x:f>
        <x:v>0</x:v>
      </x:c>
      <x:c r="BU333" s="4" t="str">
        <x:f>IF('Calculations'!BM333=0,"",'Calculations'!$EO333)</x:f>
      </x:c>
      <x:c r="BV333" s="4" t="str">
        <x:f>IF('Calculations'!BM333=0,"",IFERROR(IF(OR(INDEX(INDIRECT("'WCM Calibration Final'!$H$1:$H$2000"),'Calculations'!$EM333)="MANAGING DIRECTOR",INDEX(INDIRECT("'WCM Calibration Final'!$H$1:$H$2000"),'Calculations'!$EM333)="DIRECTOR",INDEX(INDIRECT("'WCM Calibration Final'!$H$1:$H$2000"),'Calculations'!$EM333)="SENIOR VICE PRESIDENT",INDEX(INDIRECT("'WCM Calibration Final'!$H$1:$H$2000"),'Calculations'!$EM333)="VICE PRESIDENT",INDEX(INDIRECT("'WCM Calibration Final'!$H$1:$H$2000"),'Calculations'!$EM333)="ASSISTANT VICE PRESIDENT",INDEX(INDIRECT("'WCM Calibration Final'!$H$1:$H$2000"),'Calculations'!$EM333)="OFFICER"),UPPER(INDEX(INDIRECT("'WCM Calibration Final'!$H$1:$H$2000"),'Calculations'!$EM333)),"Other"),"Other"))</x:f>
      </x:c>
      <x:c r="BW333" s="4"/>
      <x:c r="BX333" s="4"/>
      <x:c r="BY333" s="4" t="n">
        <x:f>IF(AND('Calculations'!BM333=1,'Calculations'!BU333&lt;&gt;"",COUNTIF('Calculations'!$BU$12:BU333,'Calculations'!BU333)=1),MAX('Calculations'!$BY$11:BY332)+1,0)</x:f>
        <x:v>0</x:v>
      </x:c>
      <x:c r="BZ333" s="4" t="str">
        <x:f>IF('Dashboard'!$E$67="What",'Calculations'!BO333,'Calculations'!BP333)</x:f>
      </x:c>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t="str">
        <x:f>IF(322&gt;MAX('Calculations'!$HI$13:$HI$512),"",INDEX('Calculations'!$HN$13:$HN$512,MATCH(322,'Calculations'!$HI$13:$HI$512,0)))</x:f>
      </x:c>
      <x:c r="DB333" s="4" t="str">
        <x:f>IF(322&gt;MAX('Calculations'!$HH$13:$HH$512),"",INDEX('Calculations'!$HJ$13:$HJ$512,MATCH(322,'Calculations'!$HH$13:$HH$512,0)))</x:f>
      </x:c>
      <x:c r="DC333" s="4" t="str">
        <x:f>IF(ROW()-11&gt;MAX('Calculations'!$BY$13:$BY$512),"",INDEX('Calculations'!$BU$13:$BU$512,MATCH(ROW()-11,'Calculations'!$BY$13:$BY$512,0)))</x:f>
      </x:c>
      <x:c r="DD333" s="4" t="str">
        <x:f>IF(322&gt;MAX('Calculations'!$IK$13:$IK$512),"",INDEX('Calculations'!$HK$13:$HK$512,MATCH(322,'Calculations'!$IK$13:$IK$512,0)))</x:f>
      </x:c>
      <x:c r="DE333" s="4" t="str">
        <x:f>'Calculations'!DC333</x:f>
      </x:c>
      <x:c r="DF333" s="4" t="str">
        <x:f>IF('Calculations'!DE333="","",COUNTIFS('Calculations'!$BN$13:$BN$512,1,'Calculations'!$BU$13:$BU$512,'Calculations'!DE333))</x:f>
      </x:c>
      <x:c r="DG333" s="4" t="str">
        <x:f>IF('Calculations'!DE333="","",COUNTIFS('Calculations'!$BN$13:$BN$512,1,'Calculations'!$BU$13:$BU$512,'Calculations'!DE333,'Calculations'!$BT$13:$BT$512,1))</x:f>
      </x:c>
      <x:c r="DH333" s="4" t="str">
        <x:f>IF('Calculations'!DE333="","",'Calculations'!DF333-'Calculations'!DG333)</x:f>
      </x:c>
      <x:c r="DI333" s="4" t="str">
        <x:f>IF(OR('Calculations'!DE333="",'Calculations'!DF333=0),"",'Calculations'!DG333/'Calculations'!DF333)</x:f>
      </x:c>
      <x:c r="DJ333" s="4" t="str">
        <x:f>IF('Calculations'!DE333="","",COUNTIFS('Calculations'!$BN$13:$BN$512,1,'Calculations'!$BU$13:$BU$512,'Calculations'!DE333,'Calculations'!$BT$13:$BT$512,1,'Calculations'!$EE$13:$EE$512,"High"))</x:f>
      </x:c>
      <x:c r="DK333" s="4" t="str">
        <x:f>IF('Calculations'!DE333="","",COUNTIFS('Calculations'!$BN$13:$BN$512,1,'Calculations'!$BU$13:$BU$512,'Calculations'!DE333,'Calculations'!$BT$13:$BT$512,1,'Calculations'!$EE$13:$EE$512,"Strong"))</x:f>
      </x:c>
      <x:c r="DL333" s="4" t="str">
        <x:f>IF('Calculations'!DE333="","",COUNTIFS('Calculations'!$BN$13:$BN$512,1,'Calculations'!$BU$13:$BU$512,'Calculations'!DE333,'Calculations'!$BT$13:$BT$512,1,'Calculations'!$EE$13:$EE$512,"Solid"))</x:f>
      </x:c>
      <x:c r="DM333" s="4" t="str">
        <x:f>IF('Calculations'!DE333="","",COUNTIFS('Calculations'!$BN$13:$BN$512,1,'Calculations'!$BU$13:$BU$512,'Calculations'!DE333,'Calculations'!$BT$13:$BT$512,1,'Calculations'!$EE$13:$EE$512,"Low"))</x:f>
      </x:c>
      <x:c r="DN333" s="4" t="str">
        <x:f>IF('Calculations'!DE333="","",COUNTIFS('Calculations'!$BN$13:$BN$512,1,'Calculations'!$BU$13:$BU$512,'Calculations'!DE333,'Calculations'!$EP$13:$EP$512,1))</x:f>
      </x:c>
      <x:c r="DO333" s="4" t="str">
        <x:f>IF(OR('Calculations'!DE333="",'Calculations'!DG333=0),"",('Calculations'!DJ333+'Calculations'!DK333)/'Calculations'!DG333)</x:f>
      </x:c>
      <x:c r="DP333" s="4" t="n">
        <x:f>IF(AND('Calculations'!DE333&lt;&gt;"",'Calculations'!DF333&gt;0),COUNTIF('Calculations'!$DF$12:DF333,"&gt;0"),0)</x:f>
        <x:v>0</x:v>
      </x:c>
      <x:c r="DQ333" s="4" t="str">
        <x:f>IF(322&gt;MAX('Calculations'!$HH$13:$HH$512),"",INDEX('Calculations'!$HF$13:$HF$512,MATCH(322,'Calculations'!$HH$13:$HH$512,0)))</x:f>
      </x:c>
      <x:c r="DR333" s="4" t="str">
        <x:f>IF(322&gt;MAX('Calculations'!$IK$13:$IK$512),"",INDEX('Calculations'!$HE$13:$HE$512,MATCH(322,'Calculations'!$IK$13:$IK$512,0)))</x:f>
      </x:c>
      <x:c r="DS333" s="4"/>
      <x:c r="DT333" s="4"/>
      <x:c r="DU333" s="4"/>
      <x:c r="DV333" s="4"/>
      <x:c r="DW333" s="4"/>
      <x:c r="DX333" s="4"/>
      <x:c r="DY333" s="4"/>
      <x:c r="DZ333" s="4"/>
      <x:c r="EA333" s="4"/>
      <x:c r="EB333" s="4"/>
      <x:c r="EC333" s="4"/>
      <x:c r="ED333" s="4"/>
      <x:c r="EE333" s="4" t="str">
        <x:f>IF('Calculations'!BT333=0,"Not Rated",IF(OR('Calculations'!BO333&gt;=4,'Calculations'!BP333&gt;=4),"Low",IF('Calculations'!BO333+'Calculations'!BP333&lt;=3,"High",IF('Calculations'!BO333+'Calculations'!BP333&lt;=4,"Strong","Solid"))))</x:f>
        <x:v>Not Rated</x:v>
      </x:c>
      <x:c r="EF333" s="4"/>
      <x:c r="EG333" s="4"/>
      <x:c r="EH333" s="4"/>
      <x:c r="EI333" s="4"/>
      <x:c r="EJ333" s="4"/>
      <x:c r="EK333" s="4"/>
      <x:c r="EL333" s="4"/>
      <x:c r="EM333" s="4" t="str">
        <x:f>IF(321&gt;'Calculations'!$JB$2000,"",INDEX('Calculations'!$JA$12:$JA$2000,MATCH(321,'Calculations'!$JB$12:$JB$2000,0)))</x:f>
      </x:c>
      <x:c r="EN333" s="4" t="n">
        <x:f>IF(OR('Calculations'!EM333="",'Calculations'!$AG$8&gt;0,AND('Calculations'!$EF$2&lt;&gt;"All",'Calculations'!HE333='Calculations'!$EF$2),AND('Calculations'!$EF$3&lt;&gt;"All",'Calculations'!HE333='Calculations'!$EF$3)),0,IF(OR('Dashboard'!$B$7="All",'Calculations'!HN333='Dashboard'!$B$7),IF('Calculations'!$EF$2="All",1,IF('Calculations'!HL333&gt;0,0,IF(COUNTIF('Calculations'!HO333:II333,"="&amp;SUBSTITUTE(SUBSTITUTE(SUBSTITUTE('Calculations'!$EF$2,"~","~~"),"*","~*"),"?","~?"))=0,0,IF('Calculations'!$EF$3="All",1,IF(COUNTIF('Calculations'!HO333:II333,"="&amp;SUBSTITUTE(SUBSTITUTE(SUBSTITUTE('Calculations'!$EF$3,"~","~~"),"*","~*"),"?","~?"))&gt;0,1,0))))),0))</x:f>
        <x:v>0</x:v>
      </x:c>
      <x:c r="EO333" s="4" t="str">
        <x:f>IF('Calculations'!IJ333="","",IF('Calculations'!IJ333="!UNRESOLVED","Unresolved hierarchy",IFERROR(INDEX('Calculations'!$HK$13:$HK$512,MATCH('Calculations'!IJ333,'Calculations'!$HE$13:$HE$512,0)),IFERROR(INDEX('Calculations'!$HJ$13:$HJ$512,MATCH('Calculations'!IJ333,'Calculations'!$HF$13:$HF$512,0)),'Calculations'!IJ333))))</x:f>
      </x:c>
      <x:c r="EP333" s="4" t="n">
        <x:f>IF(AND('Calculations'!EM333&lt;&gt;"",'Calculations'!HF333='Calculations'!IJ333),1,0)</x:f>
        <x:v>0</x:v>
      </x:c>
      <x:c r="EQ333" s="4"/>
      <x:c r="ER333" s="4"/>
      <x:c r="ES333" s="4"/>
      <x:c r="ET333" s="4"/>
      <x:c r="EU333" s="4"/>
      <x:c r="EV333" s="4"/>
      <x:c r="EW333" s="4"/>
      <x:c r="EX333" s="4"/>
      <x:c r="EY333" s="4"/>
      <x:c r="EZ333" s="4"/>
      <x:c r="FA333" s="4"/>
      <x:c r="FB333" s="4"/>
      <x:c r="FC333" s="4"/>
      <x:c r="FD333" s="4"/>
      <x:c r="FE333" s="4"/>
      <x:c r="FF333" s="4"/>
      <x:c r="FG333" s="4"/>
      <x:c r="FH333" s="4"/>
      <x:c r="FI333" s="4"/>
      <x:c r="FJ333" s="4"/>
      <x:c r="FK333" s="4"/>
      <x:c r="FL333" s="4"/>
      <x:c r="FM333" s="4"/>
      <x:c r="FN333" s="4"/>
      <x:c r="FO333" s="4"/>
      <x:c r="HE333" t="str">
        <x:f>IF('Calculations'!EM333="","",IF(IFERROR(IF(INDEX(INDIRECT("'WCM Calibration Final'!$A$1:$A$2000"),'Calculations'!$EM333)="","",TRIM(INDEX(INDIRECT("'WCM Calibration Final'!$A$1:$A$2000"),'Calculations'!$EM333)&amp;"")),"")&lt;&gt;"","G:"&amp;IFERROR(TEXT(1*INDEX(INDIRECT("'WCM Calibration Final'!$A$1:$A$2000"),'Calculations'!$EM333),"0"),UPPER(IFERROR(IF(INDEX(INDIRECT("'WCM Calibration Final'!$A$1:$A$2000"),'Calculations'!$EM333)="","",TRIM(INDEX(INDIRECT("'WCM Calibration Final'!$A$1:$A$2000"),'Calculations'!$EM333)&amp;"")),""))),IF(IFERROR(IF(INDEX(INDIRECT("'WCM Calibration Final'!$C$1:$C$2000"),'Calculations'!$EM333)="","",TRIM(INDEX(INDIRECT("'WCM Calibration Final'!$C$1:$C$2000"),'Calculations'!$EM333)&amp;"")),"")&lt;&gt;"","S:"&amp;UPPER(IFERROR(IF(INDEX(INDIRECT("'WCM Calibration Final'!$C$1:$C$2000"),'Calculations'!$EM333)="","",TRIM(INDEX(INDIRECT("'WCM Calibration Final'!$C$1:$C$2000"),'Calculations'!$EM333)&amp;"")),"")),"R:"&amp;'Calculations'!EM333)))</x:f>
      </x:c>
      <x:c r="HF333" t="str">
        <x:f>IF('Calculations'!EM333="","",IF(IFERROR(IF(INDEX(INDIRECT("'WCM Calibration Final'!$D$1:$D$2000"),'Calculations'!$EM333)="","",TRIM(INDEX(INDIRECT("'WCM Calibration Final'!$D$1:$D$2000"),'Calculations'!$EM333)&amp;"")),"")&lt;&gt;"","G:"&amp;IFERROR(TEXT(1*INDEX(INDIRECT("'WCM Calibration Final'!$D$1:$D$2000"),'Calculations'!$EM333),"0"),UPPER(IFERROR(IF(INDEX(INDIRECT("'WCM Calibration Final'!$D$1:$D$2000"),'Calculations'!$EM333)="","",TRIM(INDEX(INDIRECT("'WCM Calibration Final'!$D$1:$D$2000"),'Calculations'!$EM333)&amp;"")),""))),IF(IFERROR(IF(INDEX(INDIRECT("'WCM Calibration Final'!$E$1:$E$2000"),'Calculations'!$EM333)="","",TRIM(INDEX(INDIRECT("'WCM Calibration Final'!$E$1:$E$2000"),'Calculations'!$EM333)&amp;"")),"")="","",IF(COUNTIF('Calculations'!$HG$13:$HG$512,"="&amp;SUBSTITUTE(SUBSTITUTE(SUBSTITUTE(IFERROR(IF(INDEX(INDIRECT("'WCM Calibration Final'!$E$1:$E$2000"),'Calculations'!$EM333)="","",TRIM(INDEX(INDIRECT("'WCM Calibration Final'!$E$1:$E$2000"),'Calculations'!$EM333)&amp;"")),""),"~","~~"),"*","~*"),"?","~?"))=1,INDEX('Calculations'!$HE$13:$HE$512,MATCH(IFERROR(IF(INDEX(INDIRECT("'WCM Calibration Final'!$E$1:$E$2000"),'Calculations'!$EM333)="","",TRIM(INDEX(INDIRECT("'WCM Calibration Final'!$E$1:$E$2000"),'Calculations'!$EM333)&amp;"")),""),'Calculations'!$HG$13:$HG$512,0)),IF(COUNTIF('Calculations'!$HG$13:$HG$512,"="&amp;SUBSTITUTE(SUBSTITUTE(SUBSTITUTE(IFERROR(IF(INDEX(INDIRECT("'WCM Calibration Final'!$E$1:$E$2000"),'Calculations'!$EM333)="","",TRIM(INDEX(INDIRECT("'WCM Calibration Final'!$E$1:$E$2000"),'Calculations'!$EM333)&amp;"")),""),"~","~~"),"*","~*"),"?","~?"))&gt;1,"!AMBIG","X:"&amp;IFERROR(IF(INDEX(INDIRECT("'WCM Calibration Final'!$E$1:$E$2000"),'Calculations'!$EM333)="","",TRIM(INDEX(INDIRECT("'WCM Calibration Final'!$E$1:$E$2000"),'Calculations'!$EM333)&amp;"")),""))))))</x:f>
      </x:c>
      <x:c r="HG333" t="str">
        <x:f>IF('Calculations'!EM333="","",IFERROR(IF(INDEX(INDIRECT("'WCM Calibration Final'!$B$1:$B$2000"),'Calculations'!$EM333)="","",TRIM(INDEX(INDIRECT("'WCM Calibration Final'!$B$1:$B$2000"),'Calculations'!$EM333)&amp;"")),""))</x:f>
      </x:c>
      <x:c r="HH333" t="n">
        <x:f>IF(AND('Calculations'!JC333&gt;0,COUNTIF('Calculations'!$HF$12:HF333,"="&amp;SUBSTITUTE(SUBSTITUTE(SUBSTITUTE('Calculations'!HF333,"~","~~"),"*","~*"),"?","~?"))=1),MAX('Calculations'!$HH$12:HH332)+1,0)</x:f>
        <x:v>0</x:v>
      </x:c>
      <x:c r="HI333" t="n">
        <x:f>IF(AND('Calculations'!HN333&lt;&gt;"",COUNTIF('Calculations'!$HN$12:HN333,"="&amp;SUBSTITUTE(SUBSTITUTE(SUBSTITUTE('Calculations'!HN333,"~","~~"),"*","~*"),"?","~?"))=1),MAX('Calculations'!$HI$12:HI332)+1,0)</x:f>
        <x:v>0</x:v>
      </x:c>
      <x:c r="HJ333" t="str">
        <x:f>IF('Calculations'!HF333="","",IF(COUNTIF('Calculations'!$HE$13:$HE$512,"="&amp;SUBSTITUTE(SUBSTITUTE(SUBSTITUTE('Calculations'!HF333,"~","~~"),"*","~*"),"?","~?"))=1,INDEX('Calculations'!$HK$13:$HK$512,MATCH('Calculations'!HF333,'Calculations'!$HE$13:$HE$512,0)),IFERROR(IF(INDEX(INDIRECT("'WCM Calibration Final'!$E$1:$E$2000"),'Calculations'!$EM333)="","",TRIM(INDEX(INDIRECT("'WCM Calibration Final'!$E$1:$E$2000"),'Calculations'!$EM333)&amp;"")),"")&amp;" ["&amp;'Calculations'!HF333&amp;"]"))</x:f>
      </x:c>
      <x:c r="HK333" t="str">
        <x:f>IF('Calculations'!EM333="","",'Calculations'!HG333&amp;" ["&amp;'Calculations'!HE333&amp;"]")</x:f>
      </x:c>
      <x:c r="HL333" t="n">
        <x:f>IF('Calculations'!EM333="",0,IF(OR('Calculations'!II333&lt;&gt;"",COUNTIF('Calculations'!$HE$13:$HE$512,"="&amp;SUBSTITUTE(SUBSTITUTE(SUBSTITUTE('Calculations'!HE333,"~","~~"),"*","~*"),"?","~?"))&gt;1),1,0))</x:f>
        <x:v>0</x:v>
      </x:c>
      <x:c r="HM333" t="str">
        <x:f>IF('Calculations'!EM333="","",IF('Calculations'!HL333=1,"!UNRESOLVED",IF('Calculations'!IH333&lt;&gt;"",'Calculations'!IH333,IF('Calculations'!IG333&lt;&gt;"",'Calculations'!IG333,IF('Calculations'!IF333&lt;&gt;"",'Calculations'!IF333,IF('Calculations'!IE333&lt;&gt;"",'Calculations'!IE333,IF('Calculations'!ID333&lt;&gt;"",'Calculations'!ID333,IF('Calculations'!IC333&lt;&gt;"",'Calculations'!IC333,IF('Calculations'!IB333&lt;&gt;"",'Calculations'!IB333,IF('Calculations'!IA333&lt;&gt;"",'Calculations'!IA333,IF('Calculations'!HZ333&lt;&gt;"",'Calculations'!HZ333,IF('Calculations'!HY333&lt;&gt;"",'Calculations'!HY333,IF('Calculations'!HX333&lt;&gt;"",'Calculations'!HX333,IF('Calculations'!HW333&lt;&gt;"",'Calculations'!HW333,IF('Calculations'!HV333&lt;&gt;"",'Calculations'!HV333,IF('Calculations'!HU333&lt;&gt;"",'Calculations'!HU333,IF('Calculations'!HT333&lt;&gt;"",'Calculations'!HT333,IF('Calculations'!HS333&lt;&gt;"",'Calculations'!HS333,IF('Calculations'!HR333&lt;&gt;"",'Calculations'!HR333,IF('Calculations'!HQ333&lt;&gt;"",'Calculations'!HQ333,IF('Calculations'!HP333&lt;&gt;"",'Calculations'!HP333,IF('Calculations'!HO333&lt;&gt;"",'Calculations'!HO333,'Calculations'!HE333))))))))))))))))))))))</x:f>
      </x:c>
      <x:c r="HN333" t="str">
        <x:f>IF('Calculations'!EM333="","",IF(IFERROR(IF(INDEX(INDIRECT("'WCM Calibration Final'!$F$1:$F$2000"),'Calculations'!$EM333)="","",TRIM(INDEX(INDIRECT("'WCM Calibration Final'!$F$1:$F$2000"),'Calculations'!$EM333)&amp;"")),"")="","(Blank)",IFERROR(IF(INDEX(INDIRECT("'WCM Calibration Final'!$F$1:$F$2000"),'Calculations'!$EM333)="","",TRIM(INDEX(INDIRECT("'WCM Calibration Final'!$F$1:$F$2000"),'Calculations'!$EM333)&amp;"")),"")))</x:f>
      </x:c>
      <x:c r="HO333" t="str">
        <x:f>'Calculations'!HF333</x:f>
      </x:c>
      <x:c r="HP333" t="str">
        <x:f>IF('Calculations'!HO333="","",IF('Calculations'!HO333="!AMBIG","!AMBIG",IF(COUNTIF('Calculations'!$HE$13:$HE$512,"="&amp;SUBSTITUTE(SUBSTITUTE(SUBSTITUTE('Calculations'!HO333,"~","~~"),"*","~*"),"?","~?"))&gt;1,"!AMBIG",IFERROR(INDEX('Calculations'!$HF$13:$HF$512,MATCH('Calculations'!HO333,'Calculations'!$HE$13:$HE$512,0)),""))))</x:f>
      </x:c>
      <x:c r="HQ333" t="str">
        <x:f>IF('Calculations'!HP333="","",IF('Calculations'!HP333="!AMBIG","!AMBIG",IF(COUNTIF('Calculations'!$HE$13:$HE$512,"="&amp;SUBSTITUTE(SUBSTITUTE(SUBSTITUTE('Calculations'!HP333,"~","~~"),"*","~*"),"?","~?"))&gt;1,"!AMBIG",IFERROR(INDEX('Calculations'!$HF$13:$HF$512,MATCH('Calculations'!HP333,'Calculations'!$HE$13:$HE$512,0)),""))))</x:f>
      </x:c>
      <x:c r="HR333" t="str">
        <x:f>IF('Calculations'!HQ333="","",IF('Calculations'!HQ333="!AMBIG","!AMBIG",IF(COUNTIF('Calculations'!$HE$13:$HE$512,"="&amp;SUBSTITUTE(SUBSTITUTE(SUBSTITUTE('Calculations'!HQ333,"~","~~"),"*","~*"),"?","~?"))&gt;1,"!AMBIG",IFERROR(INDEX('Calculations'!$HF$13:$HF$512,MATCH('Calculations'!HQ333,'Calculations'!$HE$13:$HE$512,0)),""))))</x:f>
      </x:c>
      <x:c r="HS333" t="str">
        <x:f>IF('Calculations'!HR333="","",IF('Calculations'!HR333="!AMBIG","!AMBIG",IF(COUNTIF('Calculations'!$HE$13:$HE$512,"="&amp;SUBSTITUTE(SUBSTITUTE(SUBSTITUTE('Calculations'!HR333,"~","~~"),"*","~*"),"?","~?"))&gt;1,"!AMBIG",IFERROR(INDEX('Calculations'!$HF$13:$HF$512,MATCH('Calculations'!HR333,'Calculations'!$HE$13:$HE$512,0)),""))))</x:f>
      </x:c>
      <x:c r="HT333" t="str">
        <x:f>IF('Calculations'!HS333="","",IF('Calculations'!HS333="!AMBIG","!AMBIG",IF(COUNTIF('Calculations'!$HE$13:$HE$512,"="&amp;SUBSTITUTE(SUBSTITUTE(SUBSTITUTE('Calculations'!HS333,"~","~~"),"*","~*"),"?","~?"))&gt;1,"!AMBIG",IFERROR(INDEX('Calculations'!$HF$13:$HF$512,MATCH('Calculations'!HS333,'Calculations'!$HE$13:$HE$512,0)),""))))</x:f>
      </x:c>
      <x:c r="HU333" t="str">
        <x:f>IF('Calculations'!HT333="","",IF('Calculations'!HT333="!AMBIG","!AMBIG",IF(COUNTIF('Calculations'!$HE$13:$HE$512,"="&amp;SUBSTITUTE(SUBSTITUTE(SUBSTITUTE('Calculations'!HT333,"~","~~"),"*","~*"),"?","~?"))&gt;1,"!AMBIG",IFERROR(INDEX('Calculations'!$HF$13:$HF$512,MATCH('Calculations'!HT333,'Calculations'!$HE$13:$HE$512,0)),""))))</x:f>
      </x:c>
      <x:c r="HV333" t="str">
        <x:f>IF('Calculations'!HU333="","",IF('Calculations'!HU333="!AMBIG","!AMBIG",IF(COUNTIF('Calculations'!$HE$13:$HE$512,"="&amp;SUBSTITUTE(SUBSTITUTE(SUBSTITUTE('Calculations'!HU333,"~","~~"),"*","~*"),"?","~?"))&gt;1,"!AMBIG",IFERROR(INDEX('Calculations'!$HF$13:$HF$512,MATCH('Calculations'!HU333,'Calculations'!$HE$13:$HE$512,0)),""))))</x:f>
      </x:c>
      <x:c r="HW333" t="str">
        <x:f>IF('Calculations'!HV333="","",IF('Calculations'!HV333="!AMBIG","!AMBIG",IF(COUNTIF('Calculations'!$HE$13:$HE$512,"="&amp;SUBSTITUTE(SUBSTITUTE(SUBSTITUTE('Calculations'!HV333,"~","~~"),"*","~*"),"?","~?"))&gt;1,"!AMBIG",IFERROR(INDEX('Calculations'!$HF$13:$HF$512,MATCH('Calculations'!HV333,'Calculations'!$HE$13:$HE$512,0)),""))))</x:f>
      </x:c>
      <x:c r="HX333" t="str">
        <x:f>IF('Calculations'!HW333="","",IF('Calculations'!HW333="!AMBIG","!AMBIG",IF(COUNTIF('Calculations'!$HE$13:$HE$512,"="&amp;SUBSTITUTE(SUBSTITUTE(SUBSTITUTE('Calculations'!HW333,"~","~~"),"*","~*"),"?","~?"))&gt;1,"!AMBIG",IFERROR(INDEX('Calculations'!$HF$13:$HF$512,MATCH('Calculations'!HW333,'Calculations'!$HE$13:$HE$512,0)),""))))</x:f>
      </x:c>
      <x:c r="HY333" t="str">
        <x:f>IF('Calculations'!HX333="","",IF('Calculations'!HX333="!AMBIG","!AMBIG",IF(COUNTIF('Calculations'!$HE$13:$HE$512,"="&amp;SUBSTITUTE(SUBSTITUTE(SUBSTITUTE('Calculations'!HX333,"~","~~"),"*","~*"),"?","~?"))&gt;1,"!AMBIG",IFERROR(INDEX('Calculations'!$HF$13:$HF$512,MATCH('Calculations'!HX333,'Calculations'!$HE$13:$HE$512,0)),""))))</x:f>
      </x:c>
      <x:c r="HZ333" t="str">
        <x:f>IF('Calculations'!HY333="","",IF('Calculations'!HY333="!AMBIG","!AMBIG",IF(COUNTIF('Calculations'!$HE$13:$HE$512,"="&amp;SUBSTITUTE(SUBSTITUTE(SUBSTITUTE('Calculations'!HY333,"~","~~"),"*","~*"),"?","~?"))&gt;1,"!AMBIG",IFERROR(INDEX('Calculations'!$HF$13:$HF$512,MATCH('Calculations'!HY333,'Calculations'!$HE$13:$HE$512,0)),""))))</x:f>
      </x:c>
      <x:c r="IA333" t="str">
        <x:f>IF('Calculations'!HZ333="","",IF('Calculations'!HZ333="!AMBIG","!AMBIG",IF(COUNTIF('Calculations'!$HE$13:$HE$512,"="&amp;SUBSTITUTE(SUBSTITUTE(SUBSTITUTE('Calculations'!HZ333,"~","~~"),"*","~*"),"?","~?"))&gt;1,"!AMBIG",IFERROR(INDEX('Calculations'!$HF$13:$HF$512,MATCH('Calculations'!HZ333,'Calculations'!$HE$13:$HE$512,0)),""))))</x:f>
      </x:c>
      <x:c r="IB333" t="str">
        <x:f>IF('Calculations'!IA333="","",IF('Calculations'!IA333="!AMBIG","!AMBIG",IF(COUNTIF('Calculations'!$HE$13:$HE$512,"="&amp;SUBSTITUTE(SUBSTITUTE(SUBSTITUTE('Calculations'!IA333,"~","~~"),"*","~*"),"?","~?"))&gt;1,"!AMBIG",IFERROR(INDEX('Calculations'!$HF$13:$HF$512,MATCH('Calculations'!IA333,'Calculations'!$HE$13:$HE$512,0)),""))))</x:f>
      </x:c>
      <x:c r="IC333" t="str">
        <x:f>IF('Calculations'!IB333="","",IF('Calculations'!IB333="!AMBIG","!AMBIG",IF(COUNTIF('Calculations'!$HE$13:$HE$512,"="&amp;SUBSTITUTE(SUBSTITUTE(SUBSTITUTE('Calculations'!IB333,"~","~~"),"*","~*"),"?","~?"))&gt;1,"!AMBIG",IFERROR(INDEX('Calculations'!$HF$13:$HF$512,MATCH('Calculations'!IB333,'Calculations'!$HE$13:$HE$512,0)),""))))</x:f>
      </x:c>
      <x:c r="ID333" t="str">
        <x:f>IF('Calculations'!IC333="","",IF('Calculations'!IC333="!AMBIG","!AMBIG",IF(COUNTIF('Calculations'!$HE$13:$HE$512,"="&amp;SUBSTITUTE(SUBSTITUTE(SUBSTITUTE('Calculations'!IC333,"~","~~"),"*","~*"),"?","~?"))&gt;1,"!AMBIG",IFERROR(INDEX('Calculations'!$HF$13:$HF$512,MATCH('Calculations'!IC333,'Calculations'!$HE$13:$HE$512,0)),""))))</x:f>
      </x:c>
      <x:c r="IE333" t="str">
        <x:f>IF('Calculations'!ID333="","",IF('Calculations'!ID333="!AMBIG","!AMBIG",IF(COUNTIF('Calculations'!$HE$13:$HE$512,"="&amp;SUBSTITUTE(SUBSTITUTE(SUBSTITUTE('Calculations'!ID333,"~","~~"),"*","~*"),"?","~?"))&gt;1,"!AMBIG",IFERROR(INDEX('Calculations'!$HF$13:$HF$512,MATCH('Calculations'!ID333,'Calculations'!$HE$13:$HE$512,0)),""))))</x:f>
      </x:c>
      <x:c r="IF333" t="str">
        <x:f>IF('Calculations'!IE333="","",IF('Calculations'!IE333="!AMBIG","!AMBIG",IF(COUNTIF('Calculations'!$HE$13:$HE$512,"="&amp;SUBSTITUTE(SUBSTITUTE(SUBSTITUTE('Calculations'!IE333,"~","~~"),"*","~*"),"?","~?"))&gt;1,"!AMBIG",IFERROR(INDEX('Calculations'!$HF$13:$HF$512,MATCH('Calculations'!IE333,'Calculations'!$HE$13:$HE$512,0)),""))))</x:f>
      </x:c>
      <x:c r="IG333" t="str">
        <x:f>IF('Calculations'!IF333="","",IF('Calculations'!IF333="!AMBIG","!AMBIG",IF(COUNTIF('Calculations'!$HE$13:$HE$512,"="&amp;SUBSTITUTE(SUBSTITUTE(SUBSTITUTE('Calculations'!IF333,"~","~~"),"*","~*"),"?","~?"))&gt;1,"!AMBIG",IFERROR(INDEX('Calculations'!$HF$13:$HF$512,MATCH('Calculations'!IF333,'Calculations'!$HE$13:$HE$512,0)),""))))</x:f>
      </x:c>
      <x:c r="IH333" t="str">
        <x:f>IF('Calculations'!IG333="","",IF('Calculations'!IG333="!AMBIG","!AMBIG",IF(COUNTIF('Calculations'!$HE$13:$HE$512,"="&amp;SUBSTITUTE(SUBSTITUTE(SUBSTITUTE('Calculations'!IG333,"~","~~"),"*","~*"),"?","~?"))&gt;1,"!AMBIG",IFERROR(INDEX('Calculations'!$HF$13:$HF$512,MATCH('Calculations'!IG333,'Calculations'!$HE$13:$HE$512,0)),""))))</x:f>
      </x:c>
      <x:c r="II333" t="str">
        <x:f>IF('Calculations'!IH333="","",IF('Calculations'!IH333="!AMBIG","!AMBIG",IF(COUNTIF('Calculations'!$HE$13:$HE$512,"="&amp;SUBSTITUTE(SUBSTITUTE(SUBSTITUTE('Calculations'!IH333,"~","~~"),"*","~*"),"?","~?"))&gt;1,"!AMBIG",IFERROR(INDEX('Calculations'!$HF$13:$HF$512,MATCH('Calculations'!IH333,'Calculations'!$HE$13:$HE$512,0)),""))))</x:f>
      </x:c>
      <x:c r="IJ333" t="str">
        <x:f>IF('Calculations'!EM333="","",IF('Calculations'!$EF$2="All",'Calculations'!HM333,IF('Calculations'!HL333=1,"",IFERROR(IF(MATCH('Calculations'!$EF$2,'Calculations'!HO333:II333,0)=1,'Calculations'!HE333,INDEX('Calculations'!HO333:II333,1,MATCH('Calculations'!$EF$2,'Calculations'!HO333:II333,0)-1)),""))))</x:f>
      </x:c>
      <x:c r="IK333" t="n">
        <x:f>IF(AND('Calculations'!EM333&lt;&gt;"",'Calculations'!$EF$2&lt;&gt;"All",'Calculations'!HF333='Calculations'!$EF$2,'Calculations'!HL333=0,'Calculations'!JD333&gt;0),MAX('Calculations'!$IK$12:IK332)+1,0)</x:f>
        <x:v>0</x:v>
      </x:c>
      <x:c r="JA333" t="n">
        <x:f>IF(OR(IFERROR(INDIRECT("'WCM Calibration Final'!$A$333")&lt;&gt;"",FALSE),IFERROR(INDIRECT("'WCM Calibration Final'!$B$333")&lt;&gt;"",FALSE),IFERROR(INDIRECT("'WCM Calibration Final'!$C$333")&lt;&gt;"",FALSE)),333,0)</x:f>
        <x:v>0</x:v>
      </x:c>
      <x:c r="JB333" t="n">
        <x:f>'Calculations'!JB332+IF('Calculations'!JA333&gt;0,1,0)</x:f>
        <x:v>0</x:v>
      </x:c>
      <x:c r="JC333" t="n">
        <x:f>IF(OR('Calculations'!HF333="",'Calculations'!HF333="!AMBIG"),0,IF('Dashboard'!$B$7="All",1,COUNTIFS('Calculations'!$HO$13:$HO$512,"="&amp;SUBSTITUTE(SUBSTITUTE(SUBSTITUTE('Calculations'!HF333,"~","~~"),"*","~*"),"?","~?"),'Calculations'!$HN$13:$HN$512,"="&amp;SUBSTITUTE(SUBSTITUTE(SUBSTITUTE('Dashboard'!$B$7,"~","~~"),"*","~*"),"?","~?"))+COUNTIFS('Calculations'!$HP$13:$HP$512,"="&amp;SUBSTITUTE(SUBSTITUTE(SUBSTITUTE('Calculations'!HF333,"~","~~"),"*","~*"),"?","~?"),'Calculations'!$HN$13:$HN$512,"="&amp;SUBSTITUTE(SUBSTITUTE(SUBSTITUTE('Dashboard'!$B$7,"~","~~"),"*","~*"),"?","~?"))+COUNTIFS('Calculations'!$HQ$13:$HQ$512,"="&amp;SUBSTITUTE(SUBSTITUTE(SUBSTITUTE('Calculations'!HF333,"~","~~"),"*","~*"),"?","~?"),'Calculations'!$HN$13:$HN$512,"="&amp;SUBSTITUTE(SUBSTITUTE(SUBSTITUTE('Dashboard'!$B$7,"~","~~"),"*","~*"),"?","~?"))+COUNTIFS('Calculations'!$HR$13:$HR$512,"="&amp;SUBSTITUTE(SUBSTITUTE(SUBSTITUTE('Calculations'!HF333,"~","~~"),"*","~*"),"?","~?"),'Calculations'!$HN$13:$HN$512,"="&amp;SUBSTITUTE(SUBSTITUTE(SUBSTITUTE('Dashboard'!$B$7,"~","~~"),"*","~*"),"?","~?"))+COUNTIFS('Calculations'!$HS$13:$HS$512,"="&amp;SUBSTITUTE(SUBSTITUTE(SUBSTITUTE('Calculations'!HF333,"~","~~"),"*","~*"),"?","~?"),'Calculations'!$HN$13:$HN$512,"="&amp;SUBSTITUTE(SUBSTITUTE(SUBSTITUTE('Dashboard'!$B$7,"~","~~"),"*","~*"),"?","~?"))+COUNTIFS('Calculations'!$HT$13:$HT$512,"="&amp;SUBSTITUTE(SUBSTITUTE(SUBSTITUTE('Calculations'!HF333,"~","~~"),"*","~*"),"?","~?"),'Calculations'!$HN$13:$HN$512,"="&amp;SUBSTITUTE(SUBSTITUTE(SUBSTITUTE('Dashboard'!$B$7,"~","~~"),"*","~*"),"?","~?"))+COUNTIFS('Calculations'!$HU$13:$HU$512,"="&amp;SUBSTITUTE(SUBSTITUTE(SUBSTITUTE('Calculations'!HF333,"~","~~"),"*","~*"),"?","~?"),'Calculations'!$HN$13:$HN$512,"="&amp;SUBSTITUTE(SUBSTITUTE(SUBSTITUTE('Dashboard'!$B$7,"~","~~"),"*","~*"),"?","~?"))+COUNTIFS('Calculations'!$HV$13:$HV$512,"="&amp;SUBSTITUTE(SUBSTITUTE(SUBSTITUTE('Calculations'!HF333,"~","~~"),"*","~*"),"?","~?"),'Calculations'!$HN$13:$HN$512,"="&amp;SUBSTITUTE(SUBSTITUTE(SUBSTITUTE('Dashboard'!$B$7,"~","~~"),"*","~*"),"?","~?"))+COUNTIFS('Calculations'!$HW$13:$HW$512,"="&amp;SUBSTITUTE(SUBSTITUTE(SUBSTITUTE('Calculations'!HF333,"~","~~"),"*","~*"),"?","~?"),'Calculations'!$HN$13:$HN$512,"="&amp;SUBSTITUTE(SUBSTITUTE(SUBSTITUTE('Dashboard'!$B$7,"~","~~"),"*","~*"),"?","~?"))+COUNTIFS('Calculations'!$HX$13:$HX$512,"="&amp;SUBSTITUTE(SUBSTITUTE(SUBSTITUTE('Calculations'!HF333,"~","~~"),"*","~*"),"?","~?"),'Calculations'!$HN$13:$HN$512,"="&amp;SUBSTITUTE(SUBSTITUTE(SUBSTITUTE('Dashboard'!$B$7,"~","~~"),"*","~*"),"?","~?"))+COUNTIFS('Calculations'!$HY$13:$HY$512,"="&amp;SUBSTITUTE(SUBSTITUTE(SUBSTITUTE('Calculations'!HF333,"~","~~"),"*","~*"),"?","~?"),'Calculations'!$HN$13:$HN$512,"="&amp;SUBSTITUTE(SUBSTITUTE(SUBSTITUTE('Dashboard'!$B$7,"~","~~"),"*","~*"),"?","~?"))+COUNTIFS('Calculations'!$HZ$13:$HZ$512,"="&amp;SUBSTITUTE(SUBSTITUTE(SUBSTITUTE('Calculations'!HF333,"~","~~"),"*","~*"),"?","~?"),'Calculations'!$HN$13:$HN$512,"="&amp;SUBSTITUTE(SUBSTITUTE(SUBSTITUTE('Dashboard'!$B$7,"~","~~"),"*","~*"),"?","~?"))+COUNTIFS('Calculations'!$IA$13:$IA$512,"="&amp;SUBSTITUTE(SUBSTITUTE(SUBSTITUTE('Calculations'!HF333,"~","~~"),"*","~*"),"?","~?"),'Calculations'!$HN$13:$HN$512,"="&amp;SUBSTITUTE(SUBSTITUTE(SUBSTITUTE('Dashboard'!$B$7,"~","~~"),"*","~*"),"?","~?"))+COUNTIFS('Calculations'!$IB$13:$IB$512,"="&amp;SUBSTITUTE(SUBSTITUTE(SUBSTITUTE('Calculations'!HF333,"~","~~"),"*","~*"),"?","~?"),'Calculations'!$HN$13:$HN$512,"="&amp;SUBSTITUTE(SUBSTITUTE(SUBSTITUTE('Dashboard'!$B$7,"~","~~"),"*","~*"),"?","~?"))+COUNTIFS('Calculations'!$IC$13:$IC$512,"="&amp;SUBSTITUTE(SUBSTITUTE(SUBSTITUTE('Calculations'!HF333,"~","~~"),"*","~*"),"?","~?"),'Calculations'!$HN$13:$HN$512,"="&amp;SUBSTITUTE(SUBSTITUTE(SUBSTITUTE('Dashboard'!$B$7,"~","~~"),"*","~*"),"?","~?"))+COUNTIFS('Calculations'!$ID$13:$ID$512,"="&amp;SUBSTITUTE(SUBSTITUTE(SUBSTITUTE('Calculations'!HF333,"~","~~"),"*","~*"),"?","~?"),'Calculations'!$HN$13:$HN$512,"="&amp;SUBSTITUTE(SUBSTITUTE(SUBSTITUTE('Dashboard'!$B$7,"~","~~"),"*","~*"),"?","~?"))+COUNTIFS('Calculations'!$IE$13:$IE$512,"="&amp;SUBSTITUTE(SUBSTITUTE(SUBSTITUTE('Calculations'!HF333,"~","~~"),"*","~*"),"?","~?"),'Calculations'!$HN$13:$HN$512,"="&amp;SUBSTITUTE(SUBSTITUTE(SUBSTITUTE('Dashboard'!$B$7,"~","~~"),"*","~*"),"?","~?"))+COUNTIFS('Calculations'!$IF$13:$IF$512,"="&amp;SUBSTITUTE(SUBSTITUTE(SUBSTITUTE('Calculations'!HF333,"~","~~"),"*","~*"),"?","~?"),'Calculations'!$HN$13:$HN$512,"="&amp;SUBSTITUTE(SUBSTITUTE(SUBSTITUTE('Dashboard'!$B$7,"~","~~"),"*","~*"),"?","~?"))+COUNTIFS('Calculations'!$IG$13:$IG$512,"="&amp;SUBSTITUTE(SUBSTITUTE(SUBSTITUTE('Calculations'!HF333,"~","~~"),"*","~*"),"?","~?"),'Calculations'!$HN$13:$HN$512,"="&amp;SUBSTITUTE(SUBSTITUTE(SUBSTITUTE('Dashboard'!$B$7,"~","~~"),"*","~*"),"?","~?"))+COUNTIFS('Calculations'!$IH$13:$IH$512,"="&amp;SUBSTITUTE(SUBSTITUTE(SUBSTITUTE('Calculations'!HF333,"~","~~"),"*","~*"),"?","~?"),'Calculations'!$HN$13:$HN$512,"="&amp;SUBSTITUTE(SUBSTITUTE(SUBSTITUTE('Dashboard'!$B$7,"~","~~"),"*","~*"),"?","~?"))))</x:f>
        <x:v>0</x:v>
      </x:c>
      <x:c r="JD333" t="n">
        <x:f>IF('Calculations'!EM333="",0,IF('Dashboard'!$B$7="All",1,IF('Calculations'!HN333='Dashboard'!$B$7,1,0)+IFERROR(INDEX('Calculations'!$JC$13:$JC$512,MATCH('Calculations'!HE333,'Calculations'!$HF$13:$HF$512,0)),0)))</x:f>
        <x:v>0</x:v>
      </x:c>
      <x:c r="JE333" t="n">
        <x:f>IF(AND('Calculations'!EM333&lt;&gt;"",'Calculations'!$JJ$2&lt;&gt;"All",'Calculations'!$JJ$2&lt;&gt;"",'Calculations'!HF333='Calculations'!$JJ$2,'Calculations'!HL333=0,'Calculations'!JD333&gt;0),MAX('Calculations'!$JE$12:JE332)+1,0)</x:f>
        <x:v>0</x:v>
      </x:c>
      <x:c r="JF333" t="str">
        <x:f>IF('Calculations'!EM333="","",IFERROR(IF(INDEX(INDIRECT("'WCM Calibration Final'!$G$1:$G$2000"),'Calculations'!$EM333)="","",TRIM(INDEX(INDIRECT("'WCM Calibration Final'!$G$1:$G$2000"),'Calculations'!$EM333)&amp;"")),""))</x:f>
      </x:c>
      <x:c r="JQ333" t="n">
        <x:f>IF(OR('Calculations'!BM333=0,NOT('Calculations'!$AG$2),'Calculations'!$AG$8&gt;0),0,IF(OR('Dashboard'!$B$7="All",'Calculations'!HN333='Dashboard'!$B$7),IF('Calculations'!$JJ$2="All",1,IF(AND('Calculations'!HF333='Calculations'!$JJ$2,'Calculations'!HL333=0),1,0)),0))</x:f>
        <x:v>0</x:v>
      </x:c>
    </x:row>
    <x:row r="334">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t="n">
        <x:f>IF('Calculations'!$EM334="",0,IF(OR(IFERROR(INDEX(INDIRECT("'WCM Calibration Final'!$A$1:$A$2000"),'Calculations'!$EM334)&lt;&gt;"",FALSE),IFERROR(INDEX(INDIRECT("'WCM Calibration Final'!$B$1:$B$2000"),'Calculations'!$EM334)&lt;&gt;"",FALSE),IFERROR(INDEX(INDIRECT("'WCM Calibration Final'!$C$1:$C$2000"),'Calculations'!$EM334)&lt;&gt;"",FALSE)),1,0))</x:f>
        <x:v>0</x:v>
      </x:c>
      <x:c r="BN334" s="4" t="n">
        <x:f>IF(AND('Calculations'!BM334=1,'Calculations'!$AG$2,'Calculations'!$EN334=1),1,0)</x:f>
        <x:v>0</x:v>
      </x:c>
      <x:c r="BO334" s="4" t="str">
        <x:f>IF('Calculations'!BM334=0,"",IFERROR(IF(AND(VALUE(INDEX(INDIRECT("'WCM Calibration Final'!$K$1:$K$2000"),'Calculations'!$EM334))&gt;=1,VALUE(INDEX(INDIRECT("'WCM Calibration Final'!$K$1:$K$2000"),'Calculations'!$EM334))&lt;=4,MOD(VALUE(INDEX(INDIRECT("'WCM Calibration Final'!$K$1:$K$2000"),'Calculations'!$EM334)),1)=0),VALUE(INDEX(INDIRECT("'WCM Calibration Final'!$K$1:$K$2000"),'Calculations'!$EM334)),""),""))</x:f>
      </x:c>
      <x:c r="BP334" s="4" t="str">
        <x:f>IF('Calculations'!BM334=0,"",IFERROR(IF(AND(VALUE(INDEX(INDIRECT("'WCM Calibration Final'!$L$1:$L$2000"),'Calculations'!$EM334))&gt;=1,VALUE(INDEX(INDIRECT("'WCM Calibration Final'!$L$1:$L$2000"),'Calculations'!$EM334))&lt;=4,MOD(VALUE(INDEX(INDIRECT("'WCM Calibration Final'!$L$1:$L$2000"),'Calculations'!$EM334)),1)=0),VALUE(INDEX(INDIRECT("'WCM Calibration Final'!$L$1:$L$2000"),'Calculations'!$EM334)),""),""))</x:f>
      </x:c>
      <x:c r="BQ334" s="4"/>
      <x:c r="BR334" s="4"/>
      <x:c r="BS334" s="4"/>
      <x:c r="BT334" s="4" t="n">
        <x:f>IF(AND('Calculations'!BM334=1,ISNUMBER('Calculations'!BO334),ISNUMBER('Calculations'!BP334)),1,0)</x:f>
        <x:v>0</x:v>
      </x:c>
      <x:c r="BU334" s="4" t="str">
        <x:f>IF('Calculations'!BM334=0,"",'Calculations'!$EO334)</x:f>
      </x:c>
      <x:c r="BV334" s="4" t="str">
        <x:f>IF('Calculations'!BM334=0,"",IFERROR(IF(OR(INDEX(INDIRECT("'WCM Calibration Final'!$H$1:$H$2000"),'Calculations'!$EM334)="MANAGING DIRECTOR",INDEX(INDIRECT("'WCM Calibration Final'!$H$1:$H$2000"),'Calculations'!$EM334)="DIRECTOR",INDEX(INDIRECT("'WCM Calibration Final'!$H$1:$H$2000"),'Calculations'!$EM334)="SENIOR VICE PRESIDENT",INDEX(INDIRECT("'WCM Calibration Final'!$H$1:$H$2000"),'Calculations'!$EM334)="VICE PRESIDENT",INDEX(INDIRECT("'WCM Calibration Final'!$H$1:$H$2000"),'Calculations'!$EM334)="ASSISTANT VICE PRESIDENT",INDEX(INDIRECT("'WCM Calibration Final'!$H$1:$H$2000"),'Calculations'!$EM334)="OFFICER"),UPPER(INDEX(INDIRECT("'WCM Calibration Final'!$H$1:$H$2000"),'Calculations'!$EM334)),"Other"),"Other"))</x:f>
      </x:c>
      <x:c r="BW334" s="4"/>
      <x:c r="BX334" s="4"/>
      <x:c r="BY334" s="4" t="n">
        <x:f>IF(AND('Calculations'!BM334=1,'Calculations'!BU334&lt;&gt;"",COUNTIF('Calculations'!$BU$12:BU334,'Calculations'!BU334)=1),MAX('Calculations'!$BY$11:BY333)+1,0)</x:f>
        <x:v>0</x:v>
      </x:c>
      <x:c r="BZ334" s="4" t="str">
        <x:f>IF('Dashboard'!$E$67="What",'Calculations'!BO334,'Calculations'!BP334)</x:f>
      </x:c>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t="str">
        <x:f>IF(323&gt;MAX('Calculations'!$HI$13:$HI$512),"",INDEX('Calculations'!$HN$13:$HN$512,MATCH(323,'Calculations'!$HI$13:$HI$512,0)))</x:f>
      </x:c>
      <x:c r="DB334" s="4" t="str">
        <x:f>IF(323&gt;MAX('Calculations'!$HH$13:$HH$512),"",INDEX('Calculations'!$HJ$13:$HJ$512,MATCH(323,'Calculations'!$HH$13:$HH$512,0)))</x:f>
      </x:c>
      <x:c r="DC334" s="4" t="str">
        <x:f>IF(ROW()-11&gt;MAX('Calculations'!$BY$13:$BY$512),"",INDEX('Calculations'!$BU$13:$BU$512,MATCH(ROW()-11,'Calculations'!$BY$13:$BY$512,0)))</x:f>
      </x:c>
      <x:c r="DD334" s="4" t="str">
        <x:f>IF(323&gt;MAX('Calculations'!$IK$13:$IK$512),"",INDEX('Calculations'!$HK$13:$HK$512,MATCH(323,'Calculations'!$IK$13:$IK$512,0)))</x:f>
      </x:c>
      <x:c r="DE334" s="4" t="str">
        <x:f>'Calculations'!DC334</x:f>
      </x:c>
      <x:c r="DF334" s="4" t="str">
        <x:f>IF('Calculations'!DE334="","",COUNTIFS('Calculations'!$BN$13:$BN$512,1,'Calculations'!$BU$13:$BU$512,'Calculations'!DE334))</x:f>
      </x:c>
      <x:c r="DG334" s="4" t="str">
        <x:f>IF('Calculations'!DE334="","",COUNTIFS('Calculations'!$BN$13:$BN$512,1,'Calculations'!$BU$13:$BU$512,'Calculations'!DE334,'Calculations'!$BT$13:$BT$512,1))</x:f>
      </x:c>
      <x:c r="DH334" s="4" t="str">
        <x:f>IF('Calculations'!DE334="","",'Calculations'!DF334-'Calculations'!DG334)</x:f>
      </x:c>
      <x:c r="DI334" s="4" t="str">
        <x:f>IF(OR('Calculations'!DE334="",'Calculations'!DF334=0),"",'Calculations'!DG334/'Calculations'!DF334)</x:f>
      </x:c>
      <x:c r="DJ334" s="4" t="str">
        <x:f>IF('Calculations'!DE334="","",COUNTIFS('Calculations'!$BN$13:$BN$512,1,'Calculations'!$BU$13:$BU$512,'Calculations'!DE334,'Calculations'!$BT$13:$BT$512,1,'Calculations'!$EE$13:$EE$512,"High"))</x:f>
      </x:c>
      <x:c r="DK334" s="4" t="str">
        <x:f>IF('Calculations'!DE334="","",COUNTIFS('Calculations'!$BN$13:$BN$512,1,'Calculations'!$BU$13:$BU$512,'Calculations'!DE334,'Calculations'!$BT$13:$BT$512,1,'Calculations'!$EE$13:$EE$512,"Strong"))</x:f>
      </x:c>
      <x:c r="DL334" s="4" t="str">
        <x:f>IF('Calculations'!DE334="","",COUNTIFS('Calculations'!$BN$13:$BN$512,1,'Calculations'!$BU$13:$BU$512,'Calculations'!DE334,'Calculations'!$BT$13:$BT$512,1,'Calculations'!$EE$13:$EE$512,"Solid"))</x:f>
      </x:c>
      <x:c r="DM334" s="4" t="str">
        <x:f>IF('Calculations'!DE334="","",COUNTIFS('Calculations'!$BN$13:$BN$512,1,'Calculations'!$BU$13:$BU$512,'Calculations'!DE334,'Calculations'!$BT$13:$BT$512,1,'Calculations'!$EE$13:$EE$512,"Low"))</x:f>
      </x:c>
      <x:c r="DN334" s="4" t="str">
        <x:f>IF('Calculations'!DE334="","",COUNTIFS('Calculations'!$BN$13:$BN$512,1,'Calculations'!$BU$13:$BU$512,'Calculations'!DE334,'Calculations'!$EP$13:$EP$512,1))</x:f>
      </x:c>
      <x:c r="DO334" s="4" t="str">
        <x:f>IF(OR('Calculations'!DE334="",'Calculations'!DG334=0),"",('Calculations'!DJ334+'Calculations'!DK334)/'Calculations'!DG334)</x:f>
      </x:c>
      <x:c r="DP334" s="4" t="n">
        <x:f>IF(AND('Calculations'!DE334&lt;&gt;"",'Calculations'!DF334&gt;0),COUNTIF('Calculations'!$DF$12:DF334,"&gt;0"),0)</x:f>
        <x:v>0</x:v>
      </x:c>
      <x:c r="DQ334" s="4" t="str">
        <x:f>IF(323&gt;MAX('Calculations'!$HH$13:$HH$512),"",INDEX('Calculations'!$HF$13:$HF$512,MATCH(323,'Calculations'!$HH$13:$HH$512,0)))</x:f>
      </x:c>
      <x:c r="DR334" s="4" t="str">
        <x:f>IF(323&gt;MAX('Calculations'!$IK$13:$IK$512),"",INDEX('Calculations'!$HE$13:$HE$512,MATCH(323,'Calculations'!$IK$13:$IK$512,0)))</x:f>
      </x:c>
      <x:c r="DS334" s="4"/>
      <x:c r="DT334" s="4"/>
      <x:c r="DU334" s="4"/>
      <x:c r="DV334" s="4"/>
      <x:c r="DW334" s="4"/>
      <x:c r="DX334" s="4"/>
      <x:c r="DY334" s="4"/>
      <x:c r="DZ334" s="4"/>
      <x:c r="EA334" s="4"/>
      <x:c r="EB334" s="4"/>
      <x:c r="EC334" s="4"/>
      <x:c r="ED334" s="4"/>
      <x:c r="EE334" s="4" t="str">
        <x:f>IF('Calculations'!BT334=0,"Not Rated",IF(OR('Calculations'!BO334&gt;=4,'Calculations'!BP334&gt;=4),"Low",IF('Calculations'!BO334+'Calculations'!BP334&lt;=3,"High",IF('Calculations'!BO334+'Calculations'!BP334&lt;=4,"Strong","Solid"))))</x:f>
        <x:v>Not Rated</x:v>
      </x:c>
      <x:c r="EF334" s="4"/>
      <x:c r="EG334" s="4"/>
      <x:c r="EH334" s="4"/>
      <x:c r="EI334" s="4"/>
      <x:c r="EJ334" s="4"/>
      <x:c r="EK334" s="4"/>
      <x:c r="EL334" s="4"/>
      <x:c r="EM334" s="4" t="str">
        <x:f>IF(322&gt;'Calculations'!$JB$2000,"",INDEX('Calculations'!$JA$12:$JA$2000,MATCH(322,'Calculations'!$JB$12:$JB$2000,0)))</x:f>
      </x:c>
      <x:c r="EN334" s="4" t="n">
        <x:f>IF(OR('Calculations'!EM334="",'Calculations'!$AG$8&gt;0,AND('Calculations'!$EF$2&lt;&gt;"All",'Calculations'!HE334='Calculations'!$EF$2),AND('Calculations'!$EF$3&lt;&gt;"All",'Calculations'!HE334='Calculations'!$EF$3)),0,IF(OR('Dashboard'!$B$7="All",'Calculations'!HN334='Dashboard'!$B$7),IF('Calculations'!$EF$2="All",1,IF('Calculations'!HL334&gt;0,0,IF(COUNTIF('Calculations'!HO334:II334,"="&amp;SUBSTITUTE(SUBSTITUTE(SUBSTITUTE('Calculations'!$EF$2,"~","~~"),"*","~*"),"?","~?"))=0,0,IF('Calculations'!$EF$3="All",1,IF(COUNTIF('Calculations'!HO334:II334,"="&amp;SUBSTITUTE(SUBSTITUTE(SUBSTITUTE('Calculations'!$EF$3,"~","~~"),"*","~*"),"?","~?"))&gt;0,1,0))))),0))</x:f>
        <x:v>0</x:v>
      </x:c>
      <x:c r="EO334" s="4" t="str">
        <x:f>IF('Calculations'!IJ334="","",IF('Calculations'!IJ334="!UNRESOLVED","Unresolved hierarchy",IFERROR(INDEX('Calculations'!$HK$13:$HK$512,MATCH('Calculations'!IJ334,'Calculations'!$HE$13:$HE$512,0)),IFERROR(INDEX('Calculations'!$HJ$13:$HJ$512,MATCH('Calculations'!IJ334,'Calculations'!$HF$13:$HF$512,0)),'Calculations'!IJ334))))</x:f>
      </x:c>
      <x:c r="EP334" s="4" t="n">
        <x:f>IF(AND('Calculations'!EM334&lt;&gt;"",'Calculations'!HF334='Calculations'!IJ334),1,0)</x:f>
        <x:v>0</x:v>
      </x:c>
      <x:c r="EQ334" s="4"/>
      <x:c r="ER334" s="4"/>
      <x:c r="ES334" s="4"/>
      <x:c r="ET334" s="4"/>
      <x:c r="EU334" s="4"/>
      <x:c r="EV334" s="4"/>
      <x:c r="EW334" s="4"/>
      <x:c r="EX334" s="4"/>
      <x:c r="EY334" s="4"/>
      <x:c r="EZ334" s="4"/>
      <x:c r="FA334" s="4"/>
      <x:c r="FB334" s="4"/>
      <x:c r="FC334" s="4"/>
      <x:c r="FD334" s="4"/>
      <x:c r="FE334" s="4"/>
      <x:c r="FF334" s="4"/>
      <x:c r="FG334" s="4"/>
      <x:c r="FH334" s="4"/>
      <x:c r="FI334" s="4"/>
      <x:c r="FJ334" s="4"/>
      <x:c r="FK334" s="4"/>
      <x:c r="FL334" s="4"/>
      <x:c r="FM334" s="4"/>
      <x:c r="FN334" s="4"/>
      <x:c r="FO334" s="4"/>
      <x:c r="HE334" t="str">
        <x:f>IF('Calculations'!EM334="","",IF(IFERROR(IF(INDEX(INDIRECT("'WCM Calibration Final'!$A$1:$A$2000"),'Calculations'!$EM334)="","",TRIM(INDEX(INDIRECT("'WCM Calibration Final'!$A$1:$A$2000"),'Calculations'!$EM334)&amp;"")),"")&lt;&gt;"","G:"&amp;IFERROR(TEXT(1*INDEX(INDIRECT("'WCM Calibration Final'!$A$1:$A$2000"),'Calculations'!$EM334),"0"),UPPER(IFERROR(IF(INDEX(INDIRECT("'WCM Calibration Final'!$A$1:$A$2000"),'Calculations'!$EM334)="","",TRIM(INDEX(INDIRECT("'WCM Calibration Final'!$A$1:$A$2000"),'Calculations'!$EM334)&amp;"")),""))),IF(IFERROR(IF(INDEX(INDIRECT("'WCM Calibration Final'!$C$1:$C$2000"),'Calculations'!$EM334)="","",TRIM(INDEX(INDIRECT("'WCM Calibration Final'!$C$1:$C$2000"),'Calculations'!$EM334)&amp;"")),"")&lt;&gt;"","S:"&amp;UPPER(IFERROR(IF(INDEX(INDIRECT("'WCM Calibration Final'!$C$1:$C$2000"),'Calculations'!$EM334)="","",TRIM(INDEX(INDIRECT("'WCM Calibration Final'!$C$1:$C$2000"),'Calculations'!$EM334)&amp;"")),"")),"R:"&amp;'Calculations'!EM334)))</x:f>
      </x:c>
      <x:c r="HF334" t="str">
        <x:f>IF('Calculations'!EM334="","",IF(IFERROR(IF(INDEX(INDIRECT("'WCM Calibration Final'!$D$1:$D$2000"),'Calculations'!$EM334)="","",TRIM(INDEX(INDIRECT("'WCM Calibration Final'!$D$1:$D$2000"),'Calculations'!$EM334)&amp;"")),"")&lt;&gt;"","G:"&amp;IFERROR(TEXT(1*INDEX(INDIRECT("'WCM Calibration Final'!$D$1:$D$2000"),'Calculations'!$EM334),"0"),UPPER(IFERROR(IF(INDEX(INDIRECT("'WCM Calibration Final'!$D$1:$D$2000"),'Calculations'!$EM334)="","",TRIM(INDEX(INDIRECT("'WCM Calibration Final'!$D$1:$D$2000"),'Calculations'!$EM334)&amp;"")),""))),IF(IFERROR(IF(INDEX(INDIRECT("'WCM Calibration Final'!$E$1:$E$2000"),'Calculations'!$EM334)="","",TRIM(INDEX(INDIRECT("'WCM Calibration Final'!$E$1:$E$2000"),'Calculations'!$EM334)&amp;"")),"")="","",IF(COUNTIF('Calculations'!$HG$13:$HG$512,"="&amp;SUBSTITUTE(SUBSTITUTE(SUBSTITUTE(IFERROR(IF(INDEX(INDIRECT("'WCM Calibration Final'!$E$1:$E$2000"),'Calculations'!$EM334)="","",TRIM(INDEX(INDIRECT("'WCM Calibration Final'!$E$1:$E$2000"),'Calculations'!$EM334)&amp;"")),""),"~","~~"),"*","~*"),"?","~?"))=1,INDEX('Calculations'!$HE$13:$HE$512,MATCH(IFERROR(IF(INDEX(INDIRECT("'WCM Calibration Final'!$E$1:$E$2000"),'Calculations'!$EM334)="","",TRIM(INDEX(INDIRECT("'WCM Calibration Final'!$E$1:$E$2000"),'Calculations'!$EM334)&amp;"")),""),'Calculations'!$HG$13:$HG$512,0)),IF(COUNTIF('Calculations'!$HG$13:$HG$512,"="&amp;SUBSTITUTE(SUBSTITUTE(SUBSTITUTE(IFERROR(IF(INDEX(INDIRECT("'WCM Calibration Final'!$E$1:$E$2000"),'Calculations'!$EM334)="","",TRIM(INDEX(INDIRECT("'WCM Calibration Final'!$E$1:$E$2000"),'Calculations'!$EM334)&amp;"")),""),"~","~~"),"*","~*"),"?","~?"))&gt;1,"!AMBIG","X:"&amp;IFERROR(IF(INDEX(INDIRECT("'WCM Calibration Final'!$E$1:$E$2000"),'Calculations'!$EM334)="","",TRIM(INDEX(INDIRECT("'WCM Calibration Final'!$E$1:$E$2000"),'Calculations'!$EM334)&amp;"")),""))))))</x:f>
      </x:c>
      <x:c r="HG334" t="str">
        <x:f>IF('Calculations'!EM334="","",IFERROR(IF(INDEX(INDIRECT("'WCM Calibration Final'!$B$1:$B$2000"),'Calculations'!$EM334)="","",TRIM(INDEX(INDIRECT("'WCM Calibration Final'!$B$1:$B$2000"),'Calculations'!$EM334)&amp;"")),""))</x:f>
      </x:c>
      <x:c r="HH334" t="n">
        <x:f>IF(AND('Calculations'!JC334&gt;0,COUNTIF('Calculations'!$HF$12:HF334,"="&amp;SUBSTITUTE(SUBSTITUTE(SUBSTITUTE('Calculations'!HF334,"~","~~"),"*","~*"),"?","~?"))=1),MAX('Calculations'!$HH$12:HH333)+1,0)</x:f>
        <x:v>0</x:v>
      </x:c>
      <x:c r="HI334" t="n">
        <x:f>IF(AND('Calculations'!HN334&lt;&gt;"",COUNTIF('Calculations'!$HN$12:HN334,"="&amp;SUBSTITUTE(SUBSTITUTE(SUBSTITUTE('Calculations'!HN334,"~","~~"),"*","~*"),"?","~?"))=1),MAX('Calculations'!$HI$12:HI333)+1,0)</x:f>
        <x:v>0</x:v>
      </x:c>
      <x:c r="HJ334" t="str">
        <x:f>IF('Calculations'!HF334="","",IF(COUNTIF('Calculations'!$HE$13:$HE$512,"="&amp;SUBSTITUTE(SUBSTITUTE(SUBSTITUTE('Calculations'!HF334,"~","~~"),"*","~*"),"?","~?"))=1,INDEX('Calculations'!$HK$13:$HK$512,MATCH('Calculations'!HF334,'Calculations'!$HE$13:$HE$512,0)),IFERROR(IF(INDEX(INDIRECT("'WCM Calibration Final'!$E$1:$E$2000"),'Calculations'!$EM334)="","",TRIM(INDEX(INDIRECT("'WCM Calibration Final'!$E$1:$E$2000"),'Calculations'!$EM334)&amp;"")),"")&amp;" ["&amp;'Calculations'!HF334&amp;"]"))</x:f>
      </x:c>
      <x:c r="HK334" t="str">
        <x:f>IF('Calculations'!EM334="","",'Calculations'!HG334&amp;" ["&amp;'Calculations'!HE334&amp;"]")</x:f>
      </x:c>
      <x:c r="HL334" t="n">
        <x:f>IF('Calculations'!EM334="",0,IF(OR('Calculations'!II334&lt;&gt;"",COUNTIF('Calculations'!$HE$13:$HE$512,"="&amp;SUBSTITUTE(SUBSTITUTE(SUBSTITUTE('Calculations'!HE334,"~","~~"),"*","~*"),"?","~?"))&gt;1),1,0))</x:f>
        <x:v>0</x:v>
      </x:c>
      <x:c r="HM334" t="str">
        <x:f>IF('Calculations'!EM334="","",IF('Calculations'!HL334=1,"!UNRESOLVED",IF('Calculations'!IH334&lt;&gt;"",'Calculations'!IH334,IF('Calculations'!IG334&lt;&gt;"",'Calculations'!IG334,IF('Calculations'!IF334&lt;&gt;"",'Calculations'!IF334,IF('Calculations'!IE334&lt;&gt;"",'Calculations'!IE334,IF('Calculations'!ID334&lt;&gt;"",'Calculations'!ID334,IF('Calculations'!IC334&lt;&gt;"",'Calculations'!IC334,IF('Calculations'!IB334&lt;&gt;"",'Calculations'!IB334,IF('Calculations'!IA334&lt;&gt;"",'Calculations'!IA334,IF('Calculations'!HZ334&lt;&gt;"",'Calculations'!HZ334,IF('Calculations'!HY334&lt;&gt;"",'Calculations'!HY334,IF('Calculations'!HX334&lt;&gt;"",'Calculations'!HX334,IF('Calculations'!HW334&lt;&gt;"",'Calculations'!HW334,IF('Calculations'!HV334&lt;&gt;"",'Calculations'!HV334,IF('Calculations'!HU334&lt;&gt;"",'Calculations'!HU334,IF('Calculations'!HT334&lt;&gt;"",'Calculations'!HT334,IF('Calculations'!HS334&lt;&gt;"",'Calculations'!HS334,IF('Calculations'!HR334&lt;&gt;"",'Calculations'!HR334,IF('Calculations'!HQ334&lt;&gt;"",'Calculations'!HQ334,IF('Calculations'!HP334&lt;&gt;"",'Calculations'!HP334,IF('Calculations'!HO334&lt;&gt;"",'Calculations'!HO334,'Calculations'!HE334))))))))))))))))))))))</x:f>
      </x:c>
      <x:c r="HN334" t="str">
        <x:f>IF('Calculations'!EM334="","",IF(IFERROR(IF(INDEX(INDIRECT("'WCM Calibration Final'!$F$1:$F$2000"),'Calculations'!$EM334)="","",TRIM(INDEX(INDIRECT("'WCM Calibration Final'!$F$1:$F$2000"),'Calculations'!$EM334)&amp;"")),"")="","(Blank)",IFERROR(IF(INDEX(INDIRECT("'WCM Calibration Final'!$F$1:$F$2000"),'Calculations'!$EM334)="","",TRIM(INDEX(INDIRECT("'WCM Calibration Final'!$F$1:$F$2000"),'Calculations'!$EM334)&amp;"")),"")))</x:f>
      </x:c>
      <x:c r="HO334" t="str">
        <x:f>'Calculations'!HF334</x:f>
      </x:c>
      <x:c r="HP334" t="str">
        <x:f>IF('Calculations'!HO334="","",IF('Calculations'!HO334="!AMBIG","!AMBIG",IF(COUNTIF('Calculations'!$HE$13:$HE$512,"="&amp;SUBSTITUTE(SUBSTITUTE(SUBSTITUTE('Calculations'!HO334,"~","~~"),"*","~*"),"?","~?"))&gt;1,"!AMBIG",IFERROR(INDEX('Calculations'!$HF$13:$HF$512,MATCH('Calculations'!HO334,'Calculations'!$HE$13:$HE$512,0)),""))))</x:f>
      </x:c>
      <x:c r="HQ334" t="str">
        <x:f>IF('Calculations'!HP334="","",IF('Calculations'!HP334="!AMBIG","!AMBIG",IF(COUNTIF('Calculations'!$HE$13:$HE$512,"="&amp;SUBSTITUTE(SUBSTITUTE(SUBSTITUTE('Calculations'!HP334,"~","~~"),"*","~*"),"?","~?"))&gt;1,"!AMBIG",IFERROR(INDEX('Calculations'!$HF$13:$HF$512,MATCH('Calculations'!HP334,'Calculations'!$HE$13:$HE$512,0)),""))))</x:f>
      </x:c>
      <x:c r="HR334" t="str">
        <x:f>IF('Calculations'!HQ334="","",IF('Calculations'!HQ334="!AMBIG","!AMBIG",IF(COUNTIF('Calculations'!$HE$13:$HE$512,"="&amp;SUBSTITUTE(SUBSTITUTE(SUBSTITUTE('Calculations'!HQ334,"~","~~"),"*","~*"),"?","~?"))&gt;1,"!AMBIG",IFERROR(INDEX('Calculations'!$HF$13:$HF$512,MATCH('Calculations'!HQ334,'Calculations'!$HE$13:$HE$512,0)),""))))</x:f>
      </x:c>
      <x:c r="HS334" t="str">
        <x:f>IF('Calculations'!HR334="","",IF('Calculations'!HR334="!AMBIG","!AMBIG",IF(COUNTIF('Calculations'!$HE$13:$HE$512,"="&amp;SUBSTITUTE(SUBSTITUTE(SUBSTITUTE('Calculations'!HR334,"~","~~"),"*","~*"),"?","~?"))&gt;1,"!AMBIG",IFERROR(INDEX('Calculations'!$HF$13:$HF$512,MATCH('Calculations'!HR334,'Calculations'!$HE$13:$HE$512,0)),""))))</x:f>
      </x:c>
      <x:c r="HT334" t="str">
        <x:f>IF('Calculations'!HS334="","",IF('Calculations'!HS334="!AMBIG","!AMBIG",IF(COUNTIF('Calculations'!$HE$13:$HE$512,"="&amp;SUBSTITUTE(SUBSTITUTE(SUBSTITUTE('Calculations'!HS334,"~","~~"),"*","~*"),"?","~?"))&gt;1,"!AMBIG",IFERROR(INDEX('Calculations'!$HF$13:$HF$512,MATCH('Calculations'!HS334,'Calculations'!$HE$13:$HE$512,0)),""))))</x:f>
      </x:c>
      <x:c r="HU334" t="str">
        <x:f>IF('Calculations'!HT334="","",IF('Calculations'!HT334="!AMBIG","!AMBIG",IF(COUNTIF('Calculations'!$HE$13:$HE$512,"="&amp;SUBSTITUTE(SUBSTITUTE(SUBSTITUTE('Calculations'!HT334,"~","~~"),"*","~*"),"?","~?"))&gt;1,"!AMBIG",IFERROR(INDEX('Calculations'!$HF$13:$HF$512,MATCH('Calculations'!HT334,'Calculations'!$HE$13:$HE$512,0)),""))))</x:f>
      </x:c>
      <x:c r="HV334" t="str">
        <x:f>IF('Calculations'!HU334="","",IF('Calculations'!HU334="!AMBIG","!AMBIG",IF(COUNTIF('Calculations'!$HE$13:$HE$512,"="&amp;SUBSTITUTE(SUBSTITUTE(SUBSTITUTE('Calculations'!HU334,"~","~~"),"*","~*"),"?","~?"))&gt;1,"!AMBIG",IFERROR(INDEX('Calculations'!$HF$13:$HF$512,MATCH('Calculations'!HU334,'Calculations'!$HE$13:$HE$512,0)),""))))</x:f>
      </x:c>
      <x:c r="HW334" t="str">
        <x:f>IF('Calculations'!HV334="","",IF('Calculations'!HV334="!AMBIG","!AMBIG",IF(COUNTIF('Calculations'!$HE$13:$HE$512,"="&amp;SUBSTITUTE(SUBSTITUTE(SUBSTITUTE('Calculations'!HV334,"~","~~"),"*","~*"),"?","~?"))&gt;1,"!AMBIG",IFERROR(INDEX('Calculations'!$HF$13:$HF$512,MATCH('Calculations'!HV334,'Calculations'!$HE$13:$HE$512,0)),""))))</x:f>
      </x:c>
      <x:c r="HX334" t="str">
        <x:f>IF('Calculations'!HW334="","",IF('Calculations'!HW334="!AMBIG","!AMBIG",IF(COUNTIF('Calculations'!$HE$13:$HE$512,"="&amp;SUBSTITUTE(SUBSTITUTE(SUBSTITUTE('Calculations'!HW334,"~","~~"),"*","~*"),"?","~?"))&gt;1,"!AMBIG",IFERROR(INDEX('Calculations'!$HF$13:$HF$512,MATCH('Calculations'!HW334,'Calculations'!$HE$13:$HE$512,0)),""))))</x:f>
      </x:c>
      <x:c r="HY334" t="str">
        <x:f>IF('Calculations'!HX334="","",IF('Calculations'!HX334="!AMBIG","!AMBIG",IF(COUNTIF('Calculations'!$HE$13:$HE$512,"="&amp;SUBSTITUTE(SUBSTITUTE(SUBSTITUTE('Calculations'!HX334,"~","~~"),"*","~*"),"?","~?"))&gt;1,"!AMBIG",IFERROR(INDEX('Calculations'!$HF$13:$HF$512,MATCH('Calculations'!HX334,'Calculations'!$HE$13:$HE$512,0)),""))))</x:f>
      </x:c>
      <x:c r="HZ334" t="str">
        <x:f>IF('Calculations'!HY334="","",IF('Calculations'!HY334="!AMBIG","!AMBIG",IF(COUNTIF('Calculations'!$HE$13:$HE$512,"="&amp;SUBSTITUTE(SUBSTITUTE(SUBSTITUTE('Calculations'!HY334,"~","~~"),"*","~*"),"?","~?"))&gt;1,"!AMBIG",IFERROR(INDEX('Calculations'!$HF$13:$HF$512,MATCH('Calculations'!HY334,'Calculations'!$HE$13:$HE$512,0)),""))))</x:f>
      </x:c>
      <x:c r="IA334" t="str">
        <x:f>IF('Calculations'!HZ334="","",IF('Calculations'!HZ334="!AMBIG","!AMBIG",IF(COUNTIF('Calculations'!$HE$13:$HE$512,"="&amp;SUBSTITUTE(SUBSTITUTE(SUBSTITUTE('Calculations'!HZ334,"~","~~"),"*","~*"),"?","~?"))&gt;1,"!AMBIG",IFERROR(INDEX('Calculations'!$HF$13:$HF$512,MATCH('Calculations'!HZ334,'Calculations'!$HE$13:$HE$512,0)),""))))</x:f>
      </x:c>
      <x:c r="IB334" t="str">
        <x:f>IF('Calculations'!IA334="","",IF('Calculations'!IA334="!AMBIG","!AMBIG",IF(COUNTIF('Calculations'!$HE$13:$HE$512,"="&amp;SUBSTITUTE(SUBSTITUTE(SUBSTITUTE('Calculations'!IA334,"~","~~"),"*","~*"),"?","~?"))&gt;1,"!AMBIG",IFERROR(INDEX('Calculations'!$HF$13:$HF$512,MATCH('Calculations'!IA334,'Calculations'!$HE$13:$HE$512,0)),""))))</x:f>
      </x:c>
      <x:c r="IC334" t="str">
        <x:f>IF('Calculations'!IB334="","",IF('Calculations'!IB334="!AMBIG","!AMBIG",IF(COUNTIF('Calculations'!$HE$13:$HE$512,"="&amp;SUBSTITUTE(SUBSTITUTE(SUBSTITUTE('Calculations'!IB334,"~","~~"),"*","~*"),"?","~?"))&gt;1,"!AMBIG",IFERROR(INDEX('Calculations'!$HF$13:$HF$512,MATCH('Calculations'!IB334,'Calculations'!$HE$13:$HE$512,0)),""))))</x:f>
      </x:c>
      <x:c r="ID334" t="str">
        <x:f>IF('Calculations'!IC334="","",IF('Calculations'!IC334="!AMBIG","!AMBIG",IF(COUNTIF('Calculations'!$HE$13:$HE$512,"="&amp;SUBSTITUTE(SUBSTITUTE(SUBSTITUTE('Calculations'!IC334,"~","~~"),"*","~*"),"?","~?"))&gt;1,"!AMBIG",IFERROR(INDEX('Calculations'!$HF$13:$HF$512,MATCH('Calculations'!IC334,'Calculations'!$HE$13:$HE$512,0)),""))))</x:f>
      </x:c>
      <x:c r="IE334" t="str">
        <x:f>IF('Calculations'!ID334="","",IF('Calculations'!ID334="!AMBIG","!AMBIG",IF(COUNTIF('Calculations'!$HE$13:$HE$512,"="&amp;SUBSTITUTE(SUBSTITUTE(SUBSTITUTE('Calculations'!ID334,"~","~~"),"*","~*"),"?","~?"))&gt;1,"!AMBIG",IFERROR(INDEX('Calculations'!$HF$13:$HF$512,MATCH('Calculations'!ID334,'Calculations'!$HE$13:$HE$512,0)),""))))</x:f>
      </x:c>
      <x:c r="IF334" t="str">
        <x:f>IF('Calculations'!IE334="","",IF('Calculations'!IE334="!AMBIG","!AMBIG",IF(COUNTIF('Calculations'!$HE$13:$HE$512,"="&amp;SUBSTITUTE(SUBSTITUTE(SUBSTITUTE('Calculations'!IE334,"~","~~"),"*","~*"),"?","~?"))&gt;1,"!AMBIG",IFERROR(INDEX('Calculations'!$HF$13:$HF$512,MATCH('Calculations'!IE334,'Calculations'!$HE$13:$HE$512,0)),""))))</x:f>
      </x:c>
      <x:c r="IG334" t="str">
        <x:f>IF('Calculations'!IF334="","",IF('Calculations'!IF334="!AMBIG","!AMBIG",IF(COUNTIF('Calculations'!$HE$13:$HE$512,"="&amp;SUBSTITUTE(SUBSTITUTE(SUBSTITUTE('Calculations'!IF334,"~","~~"),"*","~*"),"?","~?"))&gt;1,"!AMBIG",IFERROR(INDEX('Calculations'!$HF$13:$HF$512,MATCH('Calculations'!IF334,'Calculations'!$HE$13:$HE$512,0)),""))))</x:f>
      </x:c>
      <x:c r="IH334" t="str">
        <x:f>IF('Calculations'!IG334="","",IF('Calculations'!IG334="!AMBIG","!AMBIG",IF(COUNTIF('Calculations'!$HE$13:$HE$512,"="&amp;SUBSTITUTE(SUBSTITUTE(SUBSTITUTE('Calculations'!IG334,"~","~~"),"*","~*"),"?","~?"))&gt;1,"!AMBIG",IFERROR(INDEX('Calculations'!$HF$13:$HF$512,MATCH('Calculations'!IG334,'Calculations'!$HE$13:$HE$512,0)),""))))</x:f>
      </x:c>
      <x:c r="II334" t="str">
        <x:f>IF('Calculations'!IH334="","",IF('Calculations'!IH334="!AMBIG","!AMBIG",IF(COUNTIF('Calculations'!$HE$13:$HE$512,"="&amp;SUBSTITUTE(SUBSTITUTE(SUBSTITUTE('Calculations'!IH334,"~","~~"),"*","~*"),"?","~?"))&gt;1,"!AMBIG",IFERROR(INDEX('Calculations'!$HF$13:$HF$512,MATCH('Calculations'!IH334,'Calculations'!$HE$13:$HE$512,0)),""))))</x:f>
      </x:c>
      <x:c r="IJ334" t="str">
        <x:f>IF('Calculations'!EM334="","",IF('Calculations'!$EF$2="All",'Calculations'!HM334,IF('Calculations'!HL334=1,"",IFERROR(IF(MATCH('Calculations'!$EF$2,'Calculations'!HO334:II334,0)=1,'Calculations'!HE334,INDEX('Calculations'!HO334:II334,1,MATCH('Calculations'!$EF$2,'Calculations'!HO334:II334,0)-1)),""))))</x:f>
      </x:c>
      <x:c r="IK334" t="n">
        <x:f>IF(AND('Calculations'!EM334&lt;&gt;"",'Calculations'!$EF$2&lt;&gt;"All",'Calculations'!HF334='Calculations'!$EF$2,'Calculations'!HL334=0,'Calculations'!JD334&gt;0),MAX('Calculations'!$IK$12:IK333)+1,0)</x:f>
        <x:v>0</x:v>
      </x:c>
      <x:c r="JA334" t="n">
        <x:f>IF(OR(IFERROR(INDIRECT("'WCM Calibration Final'!$A$334")&lt;&gt;"",FALSE),IFERROR(INDIRECT("'WCM Calibration Final'!$B$334")&lt;&gt;"",FALSE),IFERROR(INDIRECT("'WCM Calibration Final'!$C$334")&lt;&gt;"",FALSE)),334,0)</x:f>
        <x:v>0</x:v>
      </x:c>
      <x:c r="JB334" t="n">
        <x:f>'Calculations'!JB333+IF('Calculations'!JA334&gt;0,1,0)</x:f>
        <x:v>0</x:v>
      </x:c>
      <x:c r="JC334" t="n">
        <x:f>IF(OR('Calculations'!HF334="",'Calculations'!HF334="!AMBIG"),0,IF('Dashboard'!$B$7="All",1,COUNTIFS('Calculations'!$HO$13:$HO$512,"="&amp;SUBSTITUTE(SUBSTITUTE(SUBSTITUTE('Calculations'!HF334,"~","~~"),"*","~*"),"?","~?"),'Calculations'!$HN$13:$HN$512,"="&amp;SUBSTITUTE(SUBSTITUTE(SUBSTITUTE('Dashboard'!$B$7,"~","~~"),"*","~*"),"?","~?"))+COUNTIFS('Calculations'!$HP$13:$HP$512,"="&amp;SUBSTITUTE(SUBSTITUTE(SUBSTITUTE('Calculations'!HF334,"~","~~"),"*","~*"),"?","~?"),'Calculations'!$HN$13:$HN$512,"="&amp;SUBSTITUTE(SUBSTITUTE(SUBSTITUTE('Dashboard'!$B$7,"~","~~"),"*","~*"),"?","~?"))+COUNTIFS('Calculations'!$HQ$13:$HQ$512,"="&amp;SUBSTITUTE(SUBSTITUTE(SUBSTITUTE('Calculations'!HF334,"~","~~"),"*","~*"),"?","~?"),'Calculations'!$HN$13:$HN$512,"="&amp;SUBSTITUTE(SUBSTITUTE(SUBSTITUTE('Dashboard'!$B$7,"~","~~"),"*","~*"),"?","~?"))+COUNTIFS('Calculations'!$HR$13:$HR$512,"="&amp;SUBSTITUTE(SUBSTITUTE(SUBSTITUTE('Calculations'!HF334,"~","~~"),"*","~*"),"?","~?"),'Calculations'!$HN$13:$HN$512,"="&amp;SUBSTITUTE(SUBSTITUTE(SUBSTITUTE('Dashboard'!$B$7,"~","~~"),"*","~*"),"?","~?"))+COUNTIFS('Calculations'!$HS$13:$HS$512,"="&amp;SUBSTITUTE(SUBSTITUTE(SUBSTITUTE('Calculations'!HF334,"~","~~"),"*","~*"),"?","~?"),'Calculations'!$HN$13:$HN$512,"="&amp;SUBSTITUTE(SUBSTITUTE(SUBSTITUTE('Dashboard'!$B$7,"~","~~"),"*","~*"),"?","~?"))+COUNTIFS('Calculations'!$HT$13:$HT$512,"="&amp;SUBSTITUTE(SUBSTITUTE(SUBSTITUTE('Calculations'!HF334,"~","~~"),"*","~*"),"?","~?"),'Calculations'!$HN$13:$HN$512,"="&amp;SUBSTITUTE(SUBSTITUTE(SUBSTITUTE('Dashboard'!$B$7,"~","~~"),"*","~*"),"?","~?"))+COUNTIFS('Calculations'!$HU$13:$HU$512,"="&amp;SUBSTITUTE(SUBSTITUTE(SUBSTITUTE('Calculations'!HF334,"~","~~"),"*","~*"),"?","~?"),'Calculations'!$HN$13:$HN$512,"="&amp;SUBSTITUTE(SUBSTITUTE(SUBSTITUTE('Dashboard'!$B$7,"~","~~"),"*","~*"),"?","~?"))+COUNTIFS('Calculations'!$HV$13:$HV$512,"="&amp;SUBSTITUTE(SUBSTITUTE(SUBSTITUTE('Calculations'!HF334,"~","~~"),"*","~*"),"?","~?"),'Calculations'!$HN$13:$HN$512,"="&amp;SUBSTITUTE(SUBSTITUTE(SUBSTITUTE('Dashboard'!$B$7,"~","~~"),"*","~*"),"?","~?"))+COUNTIFS('Calculations'!$HW$13:$HW$512,"="&amp;SUBSTITUTE(SUBSTITUTE(SUBSTITUTE('Calculations'!HF334,"~","~~"),"*","~*"),"?","~?"),'Calculations'!$HN$13:$HN$512,"="&amp;SUBSTITUTE(SUBSTITUTE(SUBSTITUTE('Dashboard'!$B$7,"~","~~"),"*","~*"),"?","~?"))+COUNTIFS('Calculations'!$HX$13:$HX$512,"="&amp;SUBSTITUTE(SUBSTITUTE(SUBSTITUTE('Calculations'!HF334,"~","~~"),"*","~*"),"?","~?"),'Calculations'!$HN$13:$HN$512,"="&amp;SUBSTITUTE(SUBSTITUTE(SUBSTITUTE('Dashboard'!$B$7,"~","~~"),"*","~*"),"?","~?"))+COUNTIFS('Calculations'!$HY$13:$HY$512,"="&amp;SUBSTITUTE(SUBSTITUTE(SUBSTITUTE('Calculations'!HF334,"~","~~"),"*","~*"),"?","~?"),'Calculations'!$HN$13:$HN$512,"="&amp;SUBSTITUTE(SUBSTITUTE(SUBSTITUTE('Dashboard'!$B$7,"~","~~"),"*","~*"),"?","~?"))+COUNTIFS('Calculations'!$HZ$13:$HZ$512,"="&amp;SUBSTITUTE(SUBSTITUTE(SUBSTITUTE('Calculations'!HF334,"~","~~"),"*","~*"),"?","~?"),'Calculations'!$HN$13:$HN$512,"="&amp;SUBSTITUTE(SUBSTITUTE(SUBSTITUTE('Dashboard'!$B$7,"~","~~"),"*","~*"),"?","~?"))+COUNTIFS('Calculations'!$IA$13:$IA$512,"="&amp;SUBSTITUTE(SUBSTITUTE(SUBSTITUTE('Calculations'!HF334,"~","~~"),"*","~*"),"?","~?"),'Calculations'!$HN$13:$HN$512,"="&amp;SUBSTITUTE(SUBSTITUTE(SUBSTITUTE('Dashboard'!$B$7,"~","~~"),"*","~*"),"?","~?"))+COUNTIFS('Calculations'!$IB$13:$IB$512,"="&amp;SUBSTITUTE(SUBSTITUTE(SUBSTITUTE('Calculations'!HF334,"~","~~"),"*","~*"),"?","~?"),'Calculations'!$HN$13:$HN$512,"="&amp;SUBSTITUTE(SUBSTITUTE(SUBSTITUTE('Dashboard'!$B$7,"~","~~"),"*","~*"),"?","~?"))+COUNTIFS('Calculations'!$IC$13:$IC$512,"="&amp;SUBSTITUTE(SUBSTITUTE(SUBSTITUTE('Calculations'!HF334,"~","~~"),"*","~*"),"?","~?"),'Calculations'!$HN$13:$HN$512,"="&amp;SUBSTITUTE(SUBSTITUTE(SUBSTITUTE('Dashboard'!$B$7,"~","~~"),"*","~*"),"?","~?"))+COUNTIFS('Calculations'!$ID$13:$ID$512,"="&amp;SUBSTITUTE(SUBSTITUTE(SUBSTITUTE('Calculations'!HF334,"~","~~"),"*","~*"),"?","~?"),'Calculations'!$HN$13:$HN$512,"="&amp;SUBSTITUTE(SUBSTITUTE(SUBSTITUTE('Dashboard'!$B$7,"~","~~"),"*","~*"),"?","~?"))+COUNTIFS('Calculations'!$IE$13:$IE$512,"="&amp;SUBSTITUTE(SUBSTITUTE(SUBSTITUTE('Calculations'!HF334,"~","~~"),"*","~*"),"?","~?"),'Calculations'!$HN$13:$HN$512,"="&amp;SUBSTITUTE(SUBSTITUTE(SUBSTITUTE('Dashboard'!$B$7,"~","~~"),"*","~*"),"?","~?"))+COUNTIFS('Calculations'!$IF$13:$IF$512,"="&amp;SUBSTITUTE(SUBSTITUTE(SUBSTITUTE('Calculations'!HF334,"~","~~"),"*","~*"),"?","~?"),'Calculations'!$HN$13:$HN$512,"="&amp;SUBSTITUTE(SUBSTITUTE(SUBSTITUTE('Dashboard'!$B$7,"~","~~"),"*","~*"),"?","~?"))+COUNTIFS('Calculations'!$IG$13:$IG$512,"="&amp;SUBSTITUTE(SUBSTITUTE(SUBSTITUTE('Calculations'!HF334,"~","~~"),"*","~*"),"?","~?"),'Calculations'!$HN$13:$HN$512,"="&amp;SUBSTITUTE(SUBSTITUTE(SUBSTITUTE('Dashboard'!$B$7,"~","~~"),"*","~*"),"?","~?"))+COUNTIFS('Calculations'!$IH$13:$IH$512,"="&amp;SUBSTITUTE(SUBSTITUTE(SUBSTITUTE('Calculations'!HF334,"~","~~"),"*","~*"),"?","~?"),'Calculations'!$HN$13:$HN$512,"="&amp;SUBSTITUTE(SUBSTITUTE(SUBSTITUTE('Dashboard'!$B$7,"~","~~"),"*","~*"),"?","~?"))))</x:f>
        <x:v>0</x:v>
      </x:c>
      <x:c r="JD334" t="n">
        <x:f>IF('Calculations'!EM334="",0,IF('Dashboard'!$B$7="All",1,IF('Calculations'!HN334='Dashboard'!$B$7,1,0)+IFERROR(INDEX('Calculations'!$JC$13:$JC$512,MATCH('Calculations'!HE334,'Calculations'!$HF$13:$HF$512,0)),0)))</x:f>
        <x:v>0</x:v>
      </x:c>
      <x:c r="JE334" t="n">
        <x:f>IF(AND('Calculations'!EM334&lt;&gt;"",'Calculations'!$JJ$2&lt;&gt;"All",'Calculations'!$JJ$2&lt;&gt;"",'Calculations'!HF334='Calculations'!$JJ$2,'Calculations'!HL334=0,'Calculations'!JD334&gt;0),MAX('Calculations'!$JE$12:JE333)+1,0)</x:f>
        <x:v>0</x:v>
      </x:c>
      <x:c r="JF334" t="str">
        <x:f>IF('Calculations'!EM334="","",IFERROR(IF(INDEX(INDIRECT("'WCM Calibration Final'!$G$1:$G$2000"),'Calculations'!$EM334)="","",TRIM(INDEX(INDIRECT("'WCM Calibration Final'!$G$1:$G$2000"),'Calculations'!$EM334)&amp;"")),""))</x:f>
      </x:c>
      <x:c r="JQ334" t="n">
        <x:f>IF(OR('Calculations'!BM334=0,NOT('Calculations'!$AG$2),'Calculations'!$AG$8&gt;0),0,IF(OR('Dashboard'!$B$7="All",'Calculations'!HN334='Dashboard'!$B$7),IF('Calculations'!$JJ$2="All",1,IF(AND('Calculations'!HF334='Calculations'!$JJ$2,'Calculations'!HL334=0),1,0)),0))</x:f>
        <x:v>0</x:v>
      </x:c>
    </x:row>
    <x:row r="335">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t="n">
        <x:f>IF('Calculations'!$EM335="",0,IF(OR(IFERROR(INDEX(INDIRECT("'WCM Calibration Final'!$A$1:$A$2000"),'Calculations'!$EM335)&lt;&gt;"",FALSE),IFERROR(INDEX(INDIRECT("'WCM Calibration Final'!$B$1:$B$2000"),'Calculations'!$EM335)&lt;&gt;"",FALSE),IFERROR(INDEX(INDIRECT("'WCM Calibration Final'!$C$1:$C$2000"),'Calculations'!$EM335)&lt;&gt;"",FALSE)),1,0))</x:f>
        <x:v>0</x:v>
      </x:c>
      <x:c r="BN335" s="4" t="n">
        <x:f>IF(AND('Calculations'!BM335=1,'Calculations'!$AG$2,'Calculations'!$EN335=1),1,0)</x:f>
        <x:v>0</x:v>
      </x:c>
      <x:c r="BO335" s="4" t="str">
        <x:f>IF('Calculations'!BM335=0,"",IFERROR(IF(AND(VALUE(INDEX(INDIRECT("'WCM Calibration Final'!$K$1:$K$2000"),'Calculations'!$EM335))&gt;=1,VALUE(INDEX(INDIRECT("'WCM Calibration Final'!$K$1:$K$2000"),'Calculations'!$EM335))&lt;=4,MOD(VALUE(INDEX(INDIRECT("'WCM Calibration Final'!$K$1:$K$2000"),'Calculations'!$EM335)),1)=0),VALUE(INDEX(INDIRECT("'WCM Calibration Final'!$K$1:$K$2000"),'Calculations'!$EM335)),""),""))</x:f>
      </x:c>
      <x:c r="BP335" s="4" t="str">
        <x:f>IF('Calculations'!BM335=0,"",IFERROR(IF(AND(VALUE(INDEX(INDIRECT("'WCM Calibration Final'!$L$1:$L$2000"),'Calculations'!$EM335))&gt;=1,VALUE(INDEX(INDIRECT("'WCM Calibration Final'!$L$1:$L$2000"),'Calculations'!$EM335))&lt;=4,MOD(VALUE(INDEX(INDIRECT("'WCM Calibration Final'!$L$1:$L$2000"),'Calculations'!$EM335)),1)=0),VALUE(INDEX(INDIRECT("'WCM Calibration Final'!$L$1:$L$2000"),'Calculations'!$EM335)),""),""))</x:f>
      </x:c>
      <x:c r="BQ335" s="4"/>
      <x:c r="BR335" s="4"/>
      <x:c r="BS335" s="4"/>
      <x:c r="BT335" s="4" t="n">
        <x:f>IF(AND('Calculations'!BM335=1,ISNUMBER('Calculations'!BO335),ISNUMBER('Calculations'!BP335)),1,0)</x:f>
        <x:v>0</x:v>
      </x:c>
      <x:c r="BU335" s="4" t="str">
        <x:f>IF('Calculations'!BM335=0,"",'Calculations'!$EO335)</x:f>
      </x:c>
      <x:c r="BV335" s="4" t="str">
        <x:f>IF('Calculations'!BM335=0,"",IFERROR(IF(OR(INDEX(INDIRECT("'WCM Calibration Final'!$H$1:$H$2000"),'Calculations'!$EM335)="MANAGING DIRECTOR",INDEX(INDIRECT("'WCM Calibration Final'!$H$1:$H$2000"),'Calculations'!$EM335)="DIRECTOR",INDEX(INDIRECT("'WCM Calibration Final'!$H$1:$H$2000"),'Calculations'!$EM335)="SENIOR VICE PRESIDENT",INDEX(INDIRECT("'WCM Calibration Final'!$H$1:$H$2000"),'Calculations'!$EM335)="VICE PRESIDENT",INDEX(INDIRECT("'WCM Calibration Final'!$H$1:$H$2000"),'Calculations'!$EM335)="ASSISTANT VICE PRESIDENT",INDEX(INDIRECT("'WCM Calibration Final'!$H$1:$H$2000"),'Calculations'!$EM335)="OFFICER"),UPPER(INDEX(INDIRECT("'WCM Calibration Final'!$H$1:$H$2000"),'Calculations'!$EM335)),"Other"),"Other"))</x:f>
      </x:c>
      <x:c r="BW335" s="4"/>
      <x:c r="BX335" s="4"/>
      <x:c r="BY335" s="4" t="n">
        <x:f>IF(AND('Calculations'!BM335=1,'Calculations'!BU335&lt;&gt;"",COUNTIF('Calculations'!$BU$12:BU335,'Calculations'!BU335)=1),MAX('Calculations'!$BY$11:BY334)+1,0)</x:f>
        <x:v>0</x:v>
      </x:c>
      <x:c r="BZ335" s="4" t="str">
        <x:f>IF('Dashboard'!$E$67="What",'Calculations'!BO335,'Calculations'!BP335)</x:f>
      </x:c>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t="str">
        <x:f>IF(324&gt;MAX('Calculations'!$HI$13:$HI$512),"",INDEX('Calculations'!$HN$13:$HN$512,MATCH(324,'Calculations'!$HI$13:$HI$512,0)))</x:f>
      </x:c>
      <x:c r="DB335" s="4" t="str">
        <x:f>IF(324&gt;MAX('Calculations'!$HH$13:$HH$512),"",INDEX('Calculations'!$HJ$13:$HJ$512,MATCH(324,'Calculations'!$HH$13:$HH$512,0)))</x:f>
      </x:c>
      <x:c r="DC335" s="4" t="str">
        <x:f>IF(ROW()-11&gt;MAX('Calculations'!$BY$13:$BY$512),"",INDEX('Calculations'!$BU$13:$BU$512,MATCH(ROW()-11,'Calculations'!$BY$13:$BY$512,0)))</x:f>
      </x:c>
      <x:c r="DD335" s="4" t="str">
        <x:f>IF(324&gt;MAX('Calculations'!$IK$13:$IK$512),"",INDEX('Calculations'!$HK$13:$HK$512,MATCH(324,'Calculations'!$IK$13:$IK$512,0)))</x:f>
      </x:c>
      <x:c r="DE335" s="4" t="str">
        <x:f>'Calculations'!DC335</x:f>
      </x:c>
      <x:c r="DF335" s="4" t="str">
        <x:f>IF('Calculations'!DE335="","",COUNTIFS('Calculations'!$BN$13:$BN$512,1,'Calculations'!$BU$13:$BU$512,'Calculations'!DE335))</x:f>
      </x:c>
      <x:c r="DG335" s="4" t="str">
        <x:f>IF('Calculations'!DE335="","",COUNTIFS('Calculations'!$BN$13:$BN$512,1,'Calculations'!$BU$13:$BU$512,'Calculations'!DE335,'Calculations'!$BT$13:$BT$512,1))</x:f>
      </x:c>
      <x:c r="DH335" s="4" t="str">
        <x:f>IF('Calculations'!DE335="","",'Calculations'!DF335-'Calculations'!DG335)</x:f>
      </x:c>
      <x:c r="DI335" s="4" t="str">
        <x:f>IF(OR('Calculations'!DE335="",'Calculations'!DF335=0),"",'Calculations'!DG335/'Calculations'!DF335)</x:f>
      </x:c>
      <x:c r="DJ335" s="4" t="str">
        <x:f>IF('Calculations'!DE335="","",COUNTIFS('Calculations'!$BN$13:$BN$512,1,'Calculations'!$BU$13:$BU$512,'Calculations'!DE335,'Calculations'!$BT$13:$BT$512,1,'Calculations'!$EE$13:$EE$512,"High"))</x:f>
      </x:c>
      <x:c r="DK335" s="4" t="str">
        <x:f>IF('Calculations'!DE335="","",COUNTIFS('Calculations'!$BN$13:$BN$512,1,'Calculations'!$BU$13:$BU$512,'Calculations'!DE335,'Calculations'!$BT$13:$BT$512,1,'Calculations'!$EE$13:$EE$512,"Strong"))</x:f>
      </x:c>
      <x:c r="DL335" s="4" t="str">
        <x:f>IF('Calculations'!DE335="","",COUNTIFS('Calculations'!$BN$13:$BN$512,1,'Calculations'!$BU$13:$BU$512,'Calculations'!DE335,'Calculations'!$BT$13:$BT$512,1,'Calculations'!$EE$13:$EE$512,"Solid"))</x:f>
      </x:c>
      <x:c r="DM335" s="4" t="str">
        <x:f>IF('Calculations'!DE335="","",COUNTIFS('Calculations'!$BN$13:$BN$512,1,'Calculations'!$BU$13:$BU$512,'Calculations'!DE335,'Calculations'!$BT$13:$BT$512,1,'Calculations'!$EE$13:$EE$512,"Low"))</x:f>
      </x:c>
      <x:c r="DN335" s="4" t="str">
        <x:f>IF('Calculations'!DE335="","",COUNTIFS('Calculations'!$BN$13:$BN$512,1,'Calculations'!$BU$13:$BU$512,'Calculations'!DE335,'Calculations'!$EP$13:$EP$512,1))</x:f>
      </x:c>
      <x:c r="DO335" s="4" t="str">
        <x:f>IF(OR('Calculations'!DE335="",'Calculations'!DG335=0),"",('Calculations'!DJ335+'Calculations'!DK335)/'Calculations'!DG335)</x:f>
      </x:c>
      <x:c r="DP335" s="4" t="n">
        <x:f>IF(AND('Calculations'!DE335&lt;&gt;"",'Calculations'!DF335&gt;0),COUNTIF('Calculations'!$DF$12:DF335,"&gt;0"),0)</x:f>
        <x:v>0</x:v>
      </x:c>
      <x:c r="DQ335" s="4" t="str">
        <x:f>IF(324&gt;MAX('Calculations'!$HH$13:$HH$512),"",INDEX('Calculations'!$HF$13:$HF$512,MATCH(324,'Calculations'!$HH$13:$HH$512,0)))</x:f>
      </x:c>
      <x:c r="DR335" s="4" t="str">
        <x:f>IF(324&gt;MAX('Calculations'!$IK$13:$IK$512),"",INDEX('Calculations'!$HE$13:$HE$512,MATCH(324,'Calculations'!$IK$13:$IK$512,0)))</x:f>
      </x:c>
      <x:c r="DS335" s="4"/>
      <x:c r="DT335" s="4"/>
      <x:c r="DU335" s="4"/>
      <x:c r="DV335" s="4"/>
      <x:c r="DW335" s="4"/>
      <x:c r="DX335" s="4"/>
      <x:c r="DY335" s="4"/>
      <x:c r="DZ335" s="4"/>
      <x:c r="EA335" s="4"/>
      <x:c r="EB335" s="4"/>
      <x:c r="EC335" s="4"/>
      <x:c r="ED335" s="4"/>
      <x:c r="EE335" s="4" t="str">
        <x:f>IF('Calculations'!BT335=0,"Not Rated",IF(OR('Calculations'!BO335&gt;=4,'Calculations'!BP335&gt;=4),"Low",IF('Calculations'!BO335+'Calculations'!BP335&lt;=3,"High",IF('Calculations'!BO335+'Calculations'!BP335&lt;=4,"Strong","Solid"))))</x:f>
        <x:v>Not Rated</x:v>
      </x:c>
      <x:c r="EF335" s="4"/>
      <x:c r="EG335" s="4"/>
      <x:c r="EH335" s="4"/>
      <x:c r="EI335" s="4"/>
      <x:c r="EJ335" s="4"/>
      <x:c r="EK335" s="4"/>
      <x:c r="EL335" s="4"/>
      <x:c r="EM335" s="4" t="str">
        <x:f>IF(323&gt;'Calculations'!$JB$2000,"",INDEX('Calculations'!$JA$12:$JA$2000,MATCH(323,'Calculations'!$JB$12:$JB$2000,0)))</x:f>
      </x:c>
      <x:c r="EN335" s="4" t="n">
        <x:f>IF(OR('Calculations'!EM335="",'Calculations'!$AG$8&gt;0,AND('Calculations'!$EF$2&lt;&gt;"All",'Calculations'!HE335='Calculations'!$EF$2),AND('Calculations'!$EF$3&lt;&gt;"All",'Calculations'!HE335='Calculations'!$EF$3)),0,IF(OR('Dashboard'!$B$7="All",'Calculations'!HN335='Dashboard'!$B$7),IF('Calculations'!$EF$2="All",1,IF('Calculations'!HL335&gt;0,0,IF(COUNTIF('Calculations'!HO335:II335,"="&amp;SUBSTITUTE(SUBSTITUTE(SUBSTITUTE('Calculations'!$EF$2,"~","~~"),"*","~*"),"?","~?"))=0,0,IF('Calculations'!$EF$3="All",1,IF(COUNTIF('Calculations'!HO335:II335,"="&amp;SUBSTITUTE(SUBSTITUTE(SUBSTITUTE('Calculations'!$EF$3,"~","~~"),"*","~*"),"?","~?"))&gt;0,1,0))))),0))</x:f>
        <x:v>0</x:v>
      </x:c>
      <x:c r="EO335" s="4" t="str">
        <x:f>IF('Calculations'!IJ335="","",IF('Calculations'!IJ335="!UNRESOLVED","Unresolved hierarchy",IFERROR(INDEX('Calculations'!$HK$13:$HK$512,MATCH('Calculations'!IJ335,'Calculations'!$HE$13:$HE$512,0)),IFERROR(INDEX('Calculations'!$HJ$13:$HJ$512,MATCH('Calculations'!IJ335,'Calculations'!$HF$13:$HF$512,0)),'Calculations'!IJ335))))</x:f>
      </x:c>
      <x:c r="EP335" s="4" t="n">
        <x:f>IF(AND('Calculations'!EM335&lt;&gt;"",'Calculations'!HF335='Calculations'!IJ335),1,0)</x:f>
        <x:v>0</x:v>
      </x:c>
      <x:c r="EQ335" s="4"/>
      <x:c r="ER335" s="4"/>
      <x:c r="ES335" s="4"/>
      <x:c r="ET335" s="4"/>
      <x:c r="EU335" s="4"/>
      <x:c r="EV335" s="4"/>
      <x:c r="EW335" s="4"/>
      <x:c r="EX335" s="4"/>
      <x:c r="EY335" s="4"/>
      <x:c r="EZ335" s="4"/>
      <x:c r="FA335" s="4"/>
      <x:c r="FB335" s="4"/>
      <x:c r="FC335" s="4"/>
      <x:c r="FD335" s="4"/>
      <x:c r="FE335" s="4"/>
      <x:c r="FF335" s="4"/>
      <x:c r="FG335" s="4"/>
      <x:c r="FH335" s="4"/>
      <x:c r="FI335" s="4"/>
      <x:c r="FJ335" s="4"/>
      <x:c r="FK335" s="4"/>
      <x:c r="FL335" s="4"/>
      <x:c r="FM335" s="4"/>
      <x:c r="FN335" s="4"/>
      <x:c r="FO335" s="4"/>
      <x:c r="HE335" t="str">
        <x:f>IF('Calculations'!EM335="","",IF(IFERROR(IF(INDEX(INDIRECT("'WCM Calibration Final'!$A$1:$A$2000"),'Calculations'!$EM335)="","",TRIM(INDEX(INDIRECT("'WCM Calibration Final'!$A$1:$A$2000"),'Calculations'!$EM335)&amp;"")),"")&lt;&gt;"","G:"&amp;IFERROR(TEXT(1*INDEX(INDIRECT("'WCM Calibration Final'!$A$1:$A$2000"),'Calculations'!$EM335),"0"),UPPER(IFERROR(IF(INDEX(INDIRECT("'WCM Calibration Final'!$A$1:$A$2000"),'Calculations'!$EM335)="","",TRIM(INDEX(INDIRECT("'WCM Calibration Final'!$A$1:$A$2000"),'Calculations'!$EM335)&amp;"")),""))),IF(IFERROR(IF(INDEX(INDIRECT("'WCM Calibration Final'!$C$1:$C$2000"),'Calculations'!$EM335)="","",TRIM(INDEX(INDIRECT("'WCM Calibration Final'!$C$1:$C$2000"),'Calculations'!$EM335)&amp;"")),"")&lt;&gt;"","S:"&amp;UPPER(IFERROR(IF(INDEX(INDIRECT("'WCM Calibration Final'!$C$1:$C$2000"),'Calculations'!$EM335)="","",TRIM(INDEX(INDIRECT("'WCM Calibration Final'!$C$1:$C$2000"),'Calculations'!$EM335)&amp;"")),"")),"R:"&amp;'Calculations'!EM335)))</x:f>
      </x:c>
      <x:c r="HF335" t="str">
        <x:f>IF('Calculations'!EM335="","",IF(IFERROR(IF(INDEX(INDIRECT("'WCM Calibration Final'!$D$1:$D$2000"),'Calculations'!$EM335)="","",TRIM(INDEX(INDIRECT("'WCM Calibration Final'!$D$1:$D$2000"),'Calculations'!$EM335)&amp;"")),"")&lt;&gt;"","G:"&amp;IFERROR(TEXT(1*INDEX(INDIRECT("'WCM Calibration Final'!$D$1:$D$2000"),'Calculations'!$EM335),"0"),UPPER(IFERROR(IF(INDEX(INDIRECT("'WCM Calibration Final'!$D$1:$D$2000"),'Calculations'!$EM335)="","",TRIM(INDEX(INDIRECT("'WCM Calibration Final'!$D$1:$D$2000"),'Calculations'!$EM335)&amp;"")),""))),IF(IFERROR(IF(INDEX(INDIRECT("'WCM Calibration Final'!$E$1:$E$2000"),'Calculations'!$EM335)="","",TRIM(INDEX(INDIRECT("'WCM Calibration Final'!$E$1:$E$2000"),'Calculations'!$EM335)&amp;"")),"")="","",IF(COUNTIF('Calculations'!$HG$13:$HG$512,"="&amp;SUBSTITUTE(SUBSTITUTE(SUBSTITUTE(IFERROR(IF(INDEX(INDIRECT("'WCM Calibration Final'!$E$1:$E$2000"),'Calculations'!$EM335)="","",TRIM(INDEX(INDIRECT("'WCM Calibration Final'!$E$1:$E$2000"),'Calculations'!$EM335)&amp;"")),""),"~","~~"),"*","~*"),"?","~?"))=1,INDEX('Calculations'!$HE$13:$HE$512,MATCH(IFERROR(IF(INDEX(INDIRECT("'WCM Calibration Final'!$E$1:$E$2000"),'Calculations'!$EM335)="","",TRIM(INDEX(INDIRECT("'WCM Calibration Final'!$E$1:$E$2000"),'Calculations'!$EM335)&amp;"")),""),'Calculations'!$HG$13:$HG$512,0)),IF(COUNTIF('Calculations'!$HG$13:$HG$512,"="&amp;SUBSTITUTE(SUBSTITUTE(SUBSTITUTE(IFERROR(IF(INDEX(INDIRECT("'WCM Calibration Final'!$E$1:$E$2000"),'Calculations'!$EM335)="","",TRIM(INDEX(INDIRECT("'WCM Calibration Final'!$E$1:$E$2000"),'Calculations'!$EM335)&amp;"")),""),"~","~~"),"*","~*"),"?","~?"))&gt;1,"!AMBIG","X:"&amp;IFERROR(IF(INDEX(INDIRECT("'WCM Calibration Final'!$E$1:$E$2000"),'Calculations'!$EM335)="","",TRIM(INDEX(INDIRECT("'WCM Calibration Final'!$E$1:$E$2000"),'Calculations'!$EM335)&amp;"")),""))))))</x:f>
      </x:c>
      <x:c r="HG335" t="str">
        <x:f>IF('Calculations'!EM335="","",IFERROR(IF(INDEX(INDIRECT("'WCM Calibration Final'!$B$1:$B$2000"),'Calculations'!$EM335)="","",TRIM(INDEX(INDIRECT("'WCM Calibration Final'!$B$1:$B$2000"),'Calculations'!$EM335)&amp;"")),""))</x:f>
      </x:c>
      <x:c r="HH335" t="n">
        <x:f>IF(AND('Calculations'!JC335&gt;0,COUNTIF('Calculations'!$HF$12:HF335,"="&amp;SUBSTITUTE(SUBSTITUTE(SUBSTITUTE('Calculations'!HF335,"~","~~"),"*","~*"),"?","~?"))=1),MAX('Calculations'!$HH$12:HH334)+1,0)</x:f>
        <x:v>0</x:v>
      </x:c>
      <x:c r="HI335" t="n">
        <x:f>IF(AND('Calculations'!HN335&lt;&gt;"",COUNTIF('Calculations'!$HN$12:HN335,"="&amp;SUBSTITUTE(SUBSTITUTE(SUBSTITUTE('Calculations'!HN335,"~","~~"),"*","~*"),"?","~?"))=1),MAX('Calculations'!$HI$12:HI334)+1,0)</x:f>
        <x:v>0</x:v>
      </x:c>
      <x:c r="HJ335" t="str">
        <x:f>IF('Calculations'!HF335="","",IF(COUNTIF('Calculations'!$HE$13:$HE$512,"="&amp;SUBSTITUTE(SUBSTITUTE(SUBSTITUTE('Calculations'!HF335,"~","~~"),"*","~*"),"?","~?"))=1,INDEX('Calculations'!$HK$13:$HK$512,MATCH('Calculations'!HF335,'Calculations'!$HE$13:$HE$512,0)),IFERROR(IF(INDEX(INDIRECT("'WCM Calibration Final'!$E$1:$E$2000"),'Calculations'!$EM335)="","",TRIM(INDEX(INDIRECT("'WCM Calibration Final'!$E$1:$E$2000"),'Calculations'!$EM335)&amp;"")),"")&amp;" ["&amp;'Calculations'!HF335&amp;"]"))</x:f>
      </x:c>
      <x:c r="HK335" t="str">
        <x:f>IF('Calculations'!EM335="","",'Calculations'!HG335&amp;" ["&amp;'Calculations'!HE335&amp;"]")</x:f>
      </x:c>
      <x:c r="HL335" t="n">
        <x:f>IF('Calculations'!EM335="",0,IF(OR('Calculations'!II335&lt;&gt;"",COUNTIF('Calculations'!$HE$13:$HE$512,"="&amp;SUBSTITUTE(SUBSTITUTE(SUBSTITUTE('Calculations'!HE335,"~","~~"),"*","~*"),"?","~?"))&gt;1),1,0))</x:f>
        <x:v>0</x:v>
      </x:c>
      <x:c r="HM335" t="str">
        <x:f>IF('Calculations'!EM335="","",IF('Calculations'!HL335=1,"!UNRESOLVED",IF('Calculations'!IH335&lt;&gt;"",'Calculations'!IH335,IF('Calculations'!IG335&lt;&gt;"",'Calculations'!IG335,IF('Calculations'!IF335&lt;&gt;"",'Calculations'!IF335,IF('Calculations'!IE335&lt;&gt;"",'Calculations'!IE335,IF('Calculations'!ID335&lt;&gt;"",'Calculations'!ID335,IF('Calculations'!IC335&lt;&gt;"",'Calculations'!IC335,IF('Calculations'!IB335&lt;&gt;"",'Calculations'!IB335,IF('Calculations'!IA335&lt;&gt;"",'Calculations'!IA335,IF('Calculations'!HZ335&lt;&gt;"",'Calculations'!HZ335,IF('Calculations'!HY335&lt;&gt;"",'Calculations'!HY335,IF('Calculations'!HX335&lt;&gt;"",'Calculations'!HX335,IF('Calculations'!HW335&lt;&gt;"",'Calculations'!HW335,IF('Calculations'!HV335&lt;&gt;"",'Calculations'!HV335,IF('Calculations'!HU335&lt;&gt;"",'Calculations'!HU335,IF('Calculations'!HT335&lt;&gt;"",'Calculations'!HT335,IF('Calculations'!HS335&lt;&gt;"",'Calculations'!HS335,IF('Calculations'!HR335&lt;&gt;"",'Calculations'!HR335,IF('Calculations'!HQ335&lt;&gt;"",'Calculations'!HQ335,IF('Calculations'!HP335&lt;&gt;"",'Calculations'!HP335,IF('Calculations'!HO335&lt;&gt;"",'Calculations'!HO335,'Calculations'!HE335))))))))))))))))))))))</x:f>
      </x:c>
      <x:c r="HN335" t="str">
        <x:f>IF('Calculations'!EM335="","",IF(IFERROR(IF(INDEX(INDIRECT("'WCM Calibration Final'!$F$1:$F$2000"),'Calculations'!$EM335)="","",TRIM(INDEX(INDIRECT("'WCM Calibration Final'!$F$1:$F$2000"),'Calculations'!$EM335)&amp;"")),"")="","(Blank)",IFERROR(IF(INDEX(INDIRECT("'WCM Calibration Final'!$F$1:$F$2000"),'Calculations'!$EM335)="","",TRIM(INDEX(INDIRECT("'WCM Calibration Final'!$F$1:$F$2000"),'Calculations'!$EM335)&amp;"")),"")))</x:f>
      </x:c>
      <x:c r="HO335" t="str">
        <x:f>'Calculations'!HF335</x:f>
      </x:c>
      <x:c r="HP335" t="str">
        <x:f>IF('Calculations'!HO335="","",IF('Calculations'!HO335="!AMBIG","!AMBIG",IF(COUNTIF('Calculations'!$HE$13:$HE$512,"="&amp;SUBSTITUTE(SUBSTITUTE(SUBSTITUTE('Calculations'!HO335,"~","~~"),"*","~*"),"?","~?"))&gt;1,"!AMBIG",IFERROR(INDEX('Calculations'!$HF$13:$HF$512,MATCH('Calculations'!HO335,'Calculations'!$HE$13:$HE$512,0)),""))))</x:f>
      </x:c>
      <x:c r="HQ335" t="str">
        <x:f>IF('Calculations'!HP335="","",IF('Calculations'!HP335="!AMBIG","!AMBIG",IF(COUNTIF('Calculations'!$HE$13:$HE$512,"="&amp;SUBSTITUTE(SUBSTITUTE(SUBSTITUTE('Calculations'!HP335,"~","~~"),"*","~*"),"?","~?"))&gt;1,"!AMBIG",IFERROR(INDEX('Calculations'!$HF$13:$HF$512,MATCH('Calculations'!HP335,'Calculations'!$HE$13:$HE$512,0)),""))))</x:f>
      </x:c>
      <x:c r="HR335" t="str">
        <x:f>IF('Calculations'!HQ335="","",IF('Calculations'!HQ335="!AMBIG","!AMBIG",IF(COUNTIF('Calculations'!$HE$13:$HE$512,"="&amp;SUBSTITUTE(SUBSTITUTE(SUBSTITUTE('Calculations'!HQ335,"~","~~"),"*","~*"),"?","~?"))&gt;1,"!AMBIG",IFERROR(INDEX('Calculations'!$HF$13:$HF$512,MATCH('Calculations'!HQ335,'Calculations'!$HE$13:$HE$512,0)),""))))</x:f>
      </x:c>
      <x:c r="HS335" t="str">
        <x:f>IF('Calculations'!HR335="","",IF('Calculations'!HR335="!AMBIG","!AMBIG",IF(COUNTIF('Calculations'!$HE$13:$HE$512,"="&amp;SUBSTITUTE(SUBSTITUTE(SUBSTITUTE('Calculations'!HR335,"~","~~"),"*","~*"),"?","~?"))&gt;1,"!AMBIG",IFERROR(INDEX('Calculations'!$HF$13:$HF$512,MATCH('Calculations'!HR335,'Calculations'!$HE$13:$HE$512,0)),""))))</x:f>
      </x:c>
      <x:c r="HT335" t="str">
        <x:f>IF('Calculations'!HS335="","",IF('Calculations'!HS335="!AMBIG","!AMBIG",IF(COUNTIF('Calculations'!$HE$13:$HE$512,"="&amp;SUBSTITUTE(SUBSTITUTE(SUBSTITUTE('Calculations'!HS335,"~","~~"),"*","~*"),"?","~?"))&gt;1,"!AMBIG",IFERROR(INDEX('Calculations'!$HF$13:$HF$512,MATCH('Calculations'!HS335,'Calculations'!$HE$13:$HE$512,0)),""))))</x:f>
      </x:c>
      <x:c r="HU335" t="str">
        <x:f>IF('Calculations'!HT335="","",IF('Calculations'!HT335="!AMBIG","!AMBIG",IF(COUNTIF('Calculations'!$HE$13:$HE$512,"="&amp;SUBSTITUTE(SUBSTITUTE(SUBSTITUTE('Calculations'!HT335,"~","~~"),"*","~*"),"?","~?"))&gt;1,"!AMBIG",IFERROR(INDEX('Calculations'!$HF$13:$HF$512,MATCH('Calculations'!HT335,'Calculations'!$HE$13:$HE$512,0)),""))))</x:f>
      </x:c>
      <x:c r="HV335" t="str">
        <x:f>IF('Calculations'!HU335="","",IF('Calculations'!HU335="!AMBIG","!AMBIG",IF(COUNTIF('Calculations'!$HE$13:$HE$512,"="&amp;SUBSTITUTE(SUBSTITUTE(SUBSTITUTE('Calculations'!HU335,"~","~~"),"*","~*"),"?","~?"))&gt;1,"!AMBIG",IFERROR(INDEX('Calculations'!$HF$13:$HF$512,MATCH('Calculations'!HU335,'Calculations'!$HE$13:$HE$512,0)),""))))</x:f>
      </x:c>
      <x:c r="HW335" t="str">
        <x:f>IF('Calculations'!HV335="","",IF('Calculations'!HV335="!AMBIG","!AMBIG",IF(COUNTIF('Calculations'!$HE$13:$HE$512,"="&amp;SUBSTITUTE(SUBSTITUTE(SUBSTITUTE('Calculations'!HV335,"~","~~"),"*","~*"),"?","~?"))&gt;1,"!AMBIG",IFERROR(INDEX('Calculations'!$HF$13:$HF$512,MATCH('Calculations'!HV335,'Calculations'!$HE$13:$HE$512,0)),""))))</x:f>
      </x:c>
      <x:c r="HX335" t="str">
        <x:f>IF('Calculations'!HW335="","",IF('Calculations'!HW335="!AMBIG","!AMBIG",IF(COUNTIF('Calculations'!$HE$13:$HE$512,"="&amp;SUBSTITUTE(SUBSTITUTE(SUBSTITUTE('Calculations'!HW335,"~","~~"),"*","~*"),"?","~?"))&gt;1,"!AMBIG",IFERROR(INDEX('Calculations'!$HF$13:$HF$512,MATCH('Calculations'!HW335,'Calculations'!$HE$13:$HE$512,0)),""))))</x:f>
      </x:c>
      <x:c r="HY335" t="str">
        <x:f>IF('Calculations'!HX335="","",IF('Calculations'!HX335="!AMBIG","!AMBIG",IF(COUNTIF('Calculations'!$HE$13:$HE$512,"="&amp;SUBSTITUTE(SUBSTITUTE(SUBSTITUTE('Calculations'!HX335,"~","~~"),"*","~*"),"?","~?"))&gt;1,"!AMBIG",IFERROR(INDEX('Calculations'!$HF$13:$HF$512,MATCH('Calculations'!HX335,'Calculations'!$HE$13:$HE$512,0)),""))))</x:f>
      </x:c>
      <x:c r="HZ335" t="str">
        <x:f>IF('Calculations'!HY335="","",IF('Calculations'!HY335="!AMBIG","!AMBIG",IF(COUNTIF('Calculations'!$HE$13:$HE$512,"="&amp;SUBSTITUTE(SUBSTITUTE(SUBSTITUTE('Calculations'!HY335,"~","~~"),"*","~*"),"?","~?"))&gt;1,"!AMBIG",IFERROR(INDEX('Calculations'!$HF$13:$HF$512,MATCH('Calculations'!HY335,'Calculations'!$HE$13:$HE$512,0)),""))))</x:f>
      </x:c>
      <x:c r="IA335" t="str">
        <x:f>IF('Calculations'!HZ335="","",IF('Calculations'!HZ335="!AMBIG","!AMBIG",IF(COUNTIF('Calculations'!$HE$13:$HE$512,"="&amp;SUBSTITUTE(SUBSTITUTE(SUBSTITUTE('Calculations'!HZ335,"~","~~"),"*","~*"),"?","~?"))&gt;1,"!AMBIG",IFERROR(INDEX('Calculations'!$HF$13:$HF$512,MATCH('Calculations'!HZ335,'Calculations'!$HE$13:$HE$512,0)),""))))</x:f>
      </x:c>
      <x:c r="IB335" t="str">
        <x:f>IF('Calculations'!IA335="","",IF('Calculations'!IA335="!AMBIG","!AMBIG",IF(COUNTIF('Calculations'!$HE$13:$HE$512,"="&amp;SUBSTITUTE(SUBSTITUTE(SUBSTITUTE('Calculations'!IA335,"~","~~"),"*","~*"),"?","~?"))&gt;1,"!AMBIG",IFERROR(INDEX('Calculations'!$HF$13:$HF$512,MATCH('Calculations'!IA335,'Calculations'!$HE$13:$HE$512,0)),""))))</x:f>
      </x:c>
      <x:c r="IC335" t="str">
        <x:f>IF('Calculations'!IB335="","",IF('Calculations'!IB335="!AMBIG","!AMBIG",IF(COUNTIF('Calculations'!$HE$13:$HE$512,"="&amp;SUBSTITUTE(SUBSTITUTE(SUBSTITUTE('Calculations'!IB335,"~","~~"),"*","~*"),"?","~?"))&gt;1,"!AMBIG",IFERROR(INDEX('Calculations'!$HF$13:$HF$512,MATCH('Calculations'!IB335,'Calculations'!$HE$13:$HE$512,0)),""))))</x:f>
      </x:c>
      <x:c r="ID335" t="str">
        <x:f>IF('Calculations'!IC335="","",IF('Calculations'!IC335="!AMBIG","!AMBIG",IF(COUNTIF('Calculations'!$HE$13:$HE$512,"="&amp;SUBSTITUTE(SUBSTITUTE(SUBSTITUTE('Calculations'!IC335,"~","~~"),"*","~*"),"?","~?"))&gt;1,"!AMBIG",IFERROR(INDEX('Calculations'!$HF$13:$HF$512,MATCH('Calculations'!IC335,'Calculations'!$HE$13:$HE$512,0)),""))))</x:f>
      </x:c>
      <x:c r="IE335" t="str">
        <x:f>IF('Calculations'!ID335="","",IF('Calculations'!ID335="!AMBIG","!AMBIG",IF(COUNTIF('Calculations'!$HE$13:$HE$512,"="&amp;SUBSTITUTE(SUBSTITUTE(SUBSTITUTE('Calculations'!ID335,"~","~~"),"*","~*"),"?","~?"))&gt;1,"!AMBIG",IFERROR(INDEX('Calculations'!$HF$13:$HF$512,MATCH('Calculations'!ID335,'Calculations'!$HE$13:$HE$512,0)),""))))</x:f>
      </x:c>
      <x:c r="IF335" t="str">
        <x:f>IF('Calculations'!IE335="","",IF('Calculations'!IE335="!AMBIG","!AMBIG",IF(COUNTIF('Calculations'!$HE$13:$HE$512,"="&amp;SUBSTITUTE(SUBSTITUTE(SUBSTITUTE('Calculations'!IE335,"~","~~"),"*","~*"),"?","~?"))&gt;1,"!AMBIG",IFERROR(INDEX('Calculations'!$HF$13:$HF$512,MATCH('Calculations'!IE335,'Calculations'!$HE$13:$HE$512,0)),""))))</x:f>
      </x:c>
      <x:c r="IG335" t="str">
        <x:f>IF('Calculations'!IF335="","",IF('Calculations'!IF335="!AMBIG","!AMBIG",IF(COUNTIF('Calculations'!$HE$13:$HE$512,"="&amp;SUBSTITUTE(SUBSTITUTE(SUBSTITUTE('Calculations'!IF335,"~","~~"),"*","~*"),"?","~?"))&gt;1,"!AMBIG",IFERROR(INDEX('Calculations'!$HF$13:$HF$512,MATCH('Calculations'!IF335,'Calculations'!$HE$13:$HE$512,0)),""))))</x:f>
      </x:c>
      <x:c r="IH335" t="str">
        <x:f>IF('Calculations'!IG335="","",IF('Calculations'!IG335="!AMBIG","!AMBIG",IF(COUNTIF('Calculations'!$HE$13:$HE$512,"="&amp;SUBSTITUTE(SUBSTITUTE(SUBSTITUTE('Calculations'!IG335,"~","~~"),"*","~*"),"?","~?"))&gt;1,"!AMBIG",IFERROR(INDEX('Calculations'!$HF$13:$HF$512,MATCH('Calculations'!IG335,'Calculations'!$HE$13:$HE$512,0)),""))))</x:f>
      </x:c>
      <x:c r="II335" t="str">
        <x:f>IF('Calculations'!IH335="","",IF('Calculations'!IH335="!AMBIG","!AMBIG",IF(COUNTIF('Calculations'!$HE$13:$HE$512,"="&amp;SUBSTITUTE(SUBSTITUTE(SUBSTITUTE('Calculations'!IH335,"~","~~"),"*","~*"),"?","~?"))&gt;1,"!AMBIG",IFERROR(INDEX('Calculations'!$HF$13:$HF$512,MATCH('Calculations'!IH335,'Calculations'!$HE$13:$HE$512,0)),""))))</x:f>
      </x:c>
      <x:c r="IJ335" t="str">
        <x:f>IF('Calculations'!EM335="","",IF('Calculations'!$EF$2="All",'Calculations'!HM335,IF('Calculations'!HL335=1,"",IFERROR(IF(MATCH('Calculations'!$EF$2,'Calculations'!HO335:II335,0)=1,'Calculations'!HE335,INDEX('Calculations'!HO335:II335,1,MATCH('Calculations'!$EF$2,'Calculations'!HO335:II335,0)-1)),""))))</x:f>
      </x:c>
      <x:c r="IK335" t="n">
        <x:f>IF(AND('Calculations'!EM335&lt;&gt;"",'Calculations'!$EF$2&lt;&gt;"All",'Calculations'!HF335='Calculations'!$EF$2,'Calculations'!HL335=0,'Calculations'!JD335&gt;0),MAX('Calculations'!$IK$12:IK334)+1,0)</x:f>
        <x:v>0</x:v>
      </x:c>
      <x:c r="JA335" t="n">
        <x:f>IF(OR(IFERROR(INDIRECT("'WCM Calibration Final'!$A$335")&lt;&gt;"",FALSE),IFERROR(INDIRECT("'WCM Calibration Final'!$B$335")&lt;&gt;"",FALSE),IFERROR(INDIRECT("'WCM Calibration Final'!$C$335")&lt;&gt;"",FALSE)),335,0)</x:f>
        <x:v>0</x:v>
      </x:c>
      <x:c r="JB335" t="n">
        <x:f>'Calculations'!JB334+IF('Calculations'!JA335&gt;0,1,0)</x:f>
        <x:v>0</x:v>
      </x:c>
      <x:c r="JC335" t="n">
        <x:f>IF(OR('Calculations'!HF335="",'Calculations'!HF335="!AMBIG"),0,IF('Dashboard'!$B$7="All",1,COUNTIFS('Calculations'!$HO$13:$HO$512,"="&amp;SUBSTITUTE(SUBSTITUTE(SUBSTITUTE('Calculations'!HF335,"~","~~"),"*","~*"),"?","~?"),'Calculations'!$HN$13:$HN$512,"="&amp;SUBSTITUTE(SUBSTITUTE(SUBSTITUTE('Dashboard'!$B$7,"~","~~"),"*","~*"),"?","~?"))+COUNTIFS('Calculations'!$HP$13:$HP$512,"="&amp;SUBSTITUTE(SUBSTITUTE(SUBSTITUTE('Calculations'!HF335,"~","~~"),"*","~*"),"?","~?"),'Calculations'!$HN$13:$HN$512,"="&amp;SUBSTITUTE(SUBSTITUTE(SUBSTITUTE('Dashboard'!$B$7,"~","~~"),"*","~*"),"?","~?"))+COUNTIFS('Calculations'!$HQ$13:$HQ$512,"="&amp;SUBSTITUTE(SUBSTITUTE(SUBSTITUTE('Calculations'!HF335,"~","~~"),"*","~*"),"?","~?"),'Calculations'!$HN$13:$HN$512,"="&amp;SUBSTITUTE(SUBSTITUTE(SUBSTITUTE('Dashboard'!$B$7,"~","~~"),"*","~*"),"?","~?"))+COUNTIFS('Calculations'!$HR$13:$HR$512,"="&amp;SUBSTITUTE(SUBSTITUTE(SUBSTITUTE('Calculations'!HF335,"~","~~"),"*","~*"),"?","~?"),'Calculations'!$HN$13:$HN$512,"="&amp;SUBSTITUTE(SUBSTITUTE(SUBSTITUTE('Dashboard'!$B$7,"~","~~"),"*","~*"),"?","~?"))+COUNTIFS('Calculations'!$HS$13:$HS$512,"="&amp;SUBSTITUTE(SUBSTITUTE(SUBSTITUTE('Calculations'!HF335,"~","~~"),"*","~*"),"?","~?"),'Calculations'!$HN$13:$HN$512,"="&amp;SUBSTITUTE(SUBSTITUTE(SUBSTITUTE('Dashboard'!$B$7,"~","~~"),"*","~*"),"?","~?"))+COUNTIFS('Calculations'!$HT$13:$HT$512,"="&amp;SUBSTITUTE(SUBSTITUTE(SUBSTITUTE('Calculations'!HF335,"~","~~"),"*","~*"),"?","~?"),'Calculations'!$HN$13:$HN$512,"="&amp;SUBSTITUTE(SUBSTITUTE(SUBSTITUTE('Dashboard'!$B$7,"~","~~"),"*","~*"),"?","~?"))+COUNTIFS('Calculations'!$HU$13:$HU$512,"="&amp;SUBSTITUTE(SUBSTITUTE(SUBSTITUTE('Calculations'!HF335,"~","~~"),"*","~*"),"?","~?"),'Calculations'!$HN$13:$HN$512,"="&amp;SUBSTITUTE(SUBSTITUTE(SUBSTITUTE('Dashboard'!$B$7,"~","~~"),"*","~*"),"?","~?"))+COUNTIFS('Calculations'!$HV$13:$HV$512,"="&amp;SUBSTITUTE(SUBSTITUTE(SUBSTITUTE('Calculations'!HF335,"~","~~"),"*","~*"),"?","~?"),'Calculations'!$HN$13:$HN$512,"="&amp;SUBSTITUTE(SUBSTITUTE(SUBSTITUTE('Dashboard'!$B$7,"~","~~"),"*","~*"),"?","~?"))+COUNTIFS('Calculations'!$HW$13:$HW$512,"="&amp;SUBSTITUTE(SUBSTITUTE(SUBSTITUTE('Calculations'!HF335,"~","~~"),"*","~*"),"?","~?"),'Calculations'!$HN$13:$HN$512,"="&amp;SUBSTITUTE(SUBSTITUTE(SUBSTITUTE('Dashboard'!$B$7,"~","~~"),"*","~*"),"?","~?"))+COUNTIFS('Calculations'!$HX$13:$HX$512,"="&amp;SUBSTITUTE(SUBSTITUTE(SUBSTITUTE('Calculations'!HF335,"~","~~"),"*","~*"),"?","~?"),'Calculations'!$HN$13:$HN$512,"="&amp;SUBSTITUTE(SUBSTITUTE(SUBSTITUTE('Dashboard'!$B$7,"~","~~"),"*","~*"),"?","~?"))+COUNTIFS('Calculations'!$HY$13:$HY$512,"="&amp;SUBSTITUTE(SUBSTITUTE(SUBSTITUTE('Calculations'!HF335,"~","~~"),"*","~*"),"?","~?"),'Calculations'!$HN$13:$HN$512,"="&amp;SUBSTITUTE(SUBSTITUTE(SUBSTITUTE('Dashboard'!$B$7,"~","~~"),"*","~*"),"?","~?"))+COUNTIFS('Calculations'!$HZ$13:$HZ$512,"="&amp;SUBSTITUTE(SUBSTITUTE(SUBSTITUTE('Calculations'!HF335,"~","~~"),"*","~*"),"?","~?"),'Calculations'!$HN$13:$HN$512,"="&amp;SUBSTITUTE(SUBSTITUTE(SUBSTITUTE('Dashboard'!$B$7,"~","~~"),"*","~*"),"?","~?"))+COUNTIFS('Calculations'!$IA$13:$IA$512,"="&amp;SUBSTITUTE(SUBSTITUTE(SUBSTITUTE('Calculations'!HF335,"~","~~"),"*","~*"),"?","~?"),'Calculations'!$HN$13:$HN$512,"="&amp;SUBSTITUTE(SUBSTITUTE(SUBSTITUTE('Dashboard'!$B$7,"~","~~"),"*","~*"),"?","~?"))+COUNTIFS('Calculations'!$IB$13:$IB$512,"="&amp;SUBSTITUTE(SUBSTITUTE(SUBSTITUTE('Calculations'!HF335,"~","~~"),"*","~*"),"?","~?"),'Calculations'!$HN$13:$HN$512,"="&amp;SUBSTITUTE(SUBSTITUTE(SUBSTITUTE('Dashboard'!$B$7,"~","~~"),"*","~*"),"?","~?"))+COUNTIFS('Calculations'!$IC$13:$IC$512,"="&amp;SUBSTITUTE(SUBSTITUTE(SUBSTITUTE('Calculations'!HF335,"~","~~"),"*","~*"),"?","~?"),'Calculations'!$HN$13:$HN$512,"="&amp;SUBSTITUTE(SUBSTITUTE(SUBSTITUTE('Dashboard'!$B$7,"~","~~"),"*","~*"),"?","~?"))+COUNTIFS('Calculations'!$ID$13:$ID$512,"="&amp;SUBSTITUTE(SUBSTITUTE(SUBSTITUTE('Calculations'!HF335,"~","~~"),"*","~*"),"?","~?"),'Calculations'!$HN$13:$HN$512,"="&amp;SUBSTITUTE(SUBSTITUTE(SUBSTITUTE('Dashboard'!$B$7,"~","~~"),"*","~*"),"?","~?"))+COUNTIFS('Calculations'!$IE$13:$IE$512,"="&amp;SUBSTITUTE(SUBSTITUTE(SUBSTITUTE('Calculations'!HF335,"~","~~"),"*","~*"),"?","~?"),'Calculations'!$HN$13:$HN$512,"="&amp;SUBSTITUTE(SUBSTITUTE(SUBSTITUTE('Dashboard'!$B$7,"~","~~"),"*","~*"),"?","~?"))+COUNTIFS('Calculations'!$IF$13:$IF$512,"="&amp;SUBSTITUTE(SUBSTITUTE(SUBSTITUTE('Calculations'!HF335,"~","~~"),"*","~*"),"?","~?"),'Calculations'!$HN$13:$HN$512,"="&amp;SUBSTITUTE(SUBSTITUTE(SUBSTITUTE('Dashboard'!$B$7,"~","~~"),"*","~*"),"?","~?"))+COUNTIFS('Calculations'!$IG$13:$IG$512,"="&amp;SUBSTITUTE(SUBSTITUTE(SUBSTITUTE('Calculations'!HF335,"~","~~"),"*","~*"),"?","~?"),'Calculations'!$HN$13:$HN$512,"="&amp;SUBSTITUTE(SUBSTITUTE(SUBSTITUTE('Dashboard'!$B$7,"~","~~"),"*","~*"),"?","~?"))+COUNTIFS('Calculations'!$IH$13:$IH$512,"="&amp;SUBSTITUTE(SUBSTITUTE(SUBSTITUTE('Calculations'!HF335,"~","~~"),"*","~*"),"?","~?"),'Calculations'!$HN$13:$HN$512,"="&amp;SUBSTITUTE(SUBSTITUTE(SUBSTITUTE('Dashboard'!$B$7,"~","~~"),"*","~*"),"?","~?"))))</x:f>
        <x:v>0</x:v>
      </x:c>
      <x:c r="JD335" t="n">
        <x:f>IF('Calculations'!EM335="",0,IF('Dashboard'!$B$7="All",1,IF('Calculations'!HN335='Dashboard'!$B$7,1,0)+IFERROR(INDEX('Calculations'!$JC$13:$JC$512,MATCH('Calculations'!HE335,'Calculations'!$HF$13:$HF$512,0)),0)))</x:f>
        <x:v>0</x:v>
      </x:c>
      <x:c r="JE335" t="n">
        <x:f>IF(AND('Calculations'!EM335&lt;&gt;"",'Calculations'!$JJ$2&lt;&gt;"All",'Calculations'!$JJ$2&lt;&gt;"",'Calculations'!HF335='Calculations'!$JJ$2,'Calculations'!HL335=0,'Calculations'!JD335&gt;0),MAX('Calculations'!$JE$12:JE334)+1,0)</x:f>
        <x:v>0</x:v>
      </x:c>
      <x:c r="JF335" t="str">
        <x:f>IF('Calculations'!EM335="","",IFERROR(IF(INDEX(INDIRECT("'WCM Calibration Final'!$G$1:$G$2000"),'Calculations'!$EM335)="","",TRIM(INDEX(INDIRECT("'WCM Calibration Final'!$G$1:$G$2000"),'Calculations'!$EM335)&amp;"")),""))</x:f>
      </x:c>
      <x:c r="JQ335" t="n">
        <x:f>IF(OR('Calculations'!BM335=0,NOT('Calculations'!$AG$2),'Calculations'!$AG$8&gt;0),0,IF(OR('Dashboard'!$B$7="All",'Calculations'!HN335='Dashboard'!$B$7),IF('Calculations'!$JJ$2="All",1,IF(AND('Calculations'!HF335='Calculations'!$JJ$2,'Calculations'!HL335=0),1,0)),0))</x:f>
        <x:v>0</x:v>
      </x:c>
    </x:row>
    <x:row r="336">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t="n">
        <x:f>IF('Calculations'!$EM336="",0,IF(OR(IFERROR(INDEX(INDIRECT("'WCM Calibration Final'!$A$1:$A$2000"),'Calculations'!$EM336)&lt;&gt;"",FALSE),IFERROR(INDEX(INDIRECT("'WCM Calibration Final'!$B$1:$B$2000"),'Calculations'!$EM336)&lt;&gt;"",FALSE),IFERROR(INDEX(INDIRECT("'WCM Calibration Final'!$C$1:$C$2000"),'Calculations'!$EM336)&lt;&gt;"",FALSE)),1,0))</x:f>
        <x:v>0</x:v>
      </x:c>
      <x:c r="BN336" s="4" t="n">
        <x:f>IF(AND('Calculations'!BM336=1,'Calculations'!$AG$2,'Calculations'!$EN336=1),1,0)</x:f>
        <x:v>0</x:v>
      </x:c>
      <x:c r="BO336" s="4" t="str">
        <x:f>IF('Calculations'!BM336=0,"",IFERROR(IF(AND(VALUE(INDEX(INDIRECT("'WCM Calibration Final'!$K$1:$K$2000"),'Calculations'!$EM336))&gt;=1,VALUE(INDEX(INDIRECT("'WCM Calibration Final'!$K$1:$K$2000"),'Calculations'!$EM336))&lt;=4,MOD(VALUE(INDEX(INDIRECT("'WCM Calibration Final'!$K$1:$K$2000"),'Calculations'!$EM336)),1)=0),VALUE(INDEX(INDIRECT("'WCM Calibration Final'!$K$1:$K$2000"),'Calculations'!$EM336)),""),""))</x:f>
      </x:c>
      <x:c r="BP336" s="4" t="str">
        <x:f>IF('Calculations'!BM336=0,"",IFERROR(IF(AND(VALUE(INDEX(INDIRECT("'WCM Calibration Final'!$L$1:$L$2000"),'Calculations'!$EM336))&gt;=1,VALUE(INDEX(INDIRECT("'WCM Calibration Final'!$L$1:$L$2000"),'Calculations'!$EM336))&lt;=4,MOD(VALUE(INDEX(INDIRECT("'WCM Calibration Final'!$L$1:$L$2000"),'Calculations'!$EM336)),1)=0),VALUE(INDEX(INDIRECT("'WCM Calibration Final'!$L$1:$L$2000"),'Calculations'!$EM336)),""),""))</x:f>
      </x:c>
      <x:c r="BQ336" s="4"/>
      <x:c r="BR336" s="4"/>
      <x:c r="BS336" s="4"/>
      <x:c r="BT336" s="4" t="n">
        <x:f>IF(AND('Calculations'!BM336=1,ISNUMBER('Calculations'!BO336),ISNUMBER('Calculations'!BP336)),1,0)</x:f>
        <x:v>0</x:v>
      </x:c>
      <x:c r="BU336" s="4" t="str">
        <x:f>IF('Calculations'!BM336=0,"",'Calculations'!$EO336)</x:f>
      </x:c>
      <x:c r="BV336" s="4" t="str">
        <x:f>IF('Calculations'!BM336=0,"",IFERROR(IF(OR(INDEX(INDIRECT("'WCM Calibration Final'!$H$1:$H$2000"),'Calculations'!$EM336)="MANAGING DIRECTOR",INDEX(INDIRECT("'WCM Calibration Final'!$H$1:$H$2000"),'Calculations'!$EM336)="DIRECTOR",INDEX(INDIRECT("'WCM Calibration Final'!$H$1:$H$2000"),'Calculations'!$EM336)="SENIOR VICE PRESIDENT",INDEX(INDIRECT("'WCM Calibration Final'!$H$1:$H$2000"),'Calculations'!$EM336)="VICE PRESIDENT",INDEX(INDIRECT("'WCM Calibration Final'!$H$1:$H$2000"),'Calculations'!$EM336)="ASSISTANT VICE PRESIDENT",INDEX(INDIRECT("'WCM Calibration Final'!$H$1:$H$2000"),'Calculations'!$EM336)="OFFICER"),UPPER(INDEX(INDIRECT("'WCM Calibration Final'!$H$1:$H$2000"),'Calculations'!$EM336)),"Other"),"Other"))</x:f>
      </x:c>
      <x:c r="BW336" s="4"/>
      <x:c r="BX336" s="4"/>
      <x:c r="BY336" s="4" t="n">
        <x:f>IF(AND('Calculations'!BM336=1,'Calculations'!BU336&lt;&gt;"",COUNTIF('Calculations'!$BU$12:BU336,'Calculations'!BU336)=1),MAX('Calculations'!$BY$11:BY335)+1,0)</x:f>
        <x:v>0</x:v>
      </x:c>
      <x:c r="BZ336" s="4" t="str">
        <x:f>IF('Dashboard'!$E$67="What",'Calculations'!BO336,'Calculations'!BP336)</x:f>
      </x:c>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t="str">
        <x:f>IF(325&gt;MAX('Calculations'!$HI$13:$HI$512),"",INDEX('Calculations'!$HN$13:$HN$512,MATCH(325,'Calculations'!$HI$13:$HI$512,0)))</x:f>
      </x:c>
      <x:c r="DB336" s="4" t="str">
        <x:f>IF(325&gt;MAX('Calculations'!$HH$13:$HH$512),"",INDEX('Calculations'!$HJ$13:$HJ$512,MATCH(325,'Calculations'!$HH$13:$HH$512,0)))</x:f>
      </x:c>
      <x:c r="DC336" s="4" t="str">
        <x:f>IF(ROW()-11&gt;MAX('Calculations'!$BY$13:$BY$512),"",INDEX('Calculations'!$BU$13:$BU$512,MATCH(ROW()-11,'Calculations'!$BY$13:$BY$512,0)))</x:f>
      </x:c>
      <x:c r="DD336" s="4" t="str">
        <x:f>IF(325&gt;MAX('Calculations'!$IK$13:$IK$512),"",INDEX('Calculations'!$HK$13:$HK$512,MATCH(325,'Calculations'!$IK$13:$IK$512,0)))</x:f>
      </x:c>
      <x:c r="DE336" s="4" t="str">
        <x:f>'Calculations'!DC336</x:f>
      </x:c>
      <x:c r="DF336" s="4" t="str">
        <x:f>IF('Calculations'!DE336="","",COUNTIFS('Calculations'!$BN$13:$BN$512,1,'Calculations'!$BU$13:$BU$512,'Calculations'!DE336))</x:f>
      </x:c>
      <x:c r="DG336" s="4" t="str">
        <x:f>IF('Calculations'!DE336="","",COUNTIFS('Calculations'!$BN$13:$BN$512,1,'Calculations'!$BU$13:$BU$512,'Calculations'!DE336,'Calculations'!$BT$13:$BT$512,1))</x:f>
      </x:c>
      <x:c r="DH336" s="4" t="str">
        <x:f>IF('Calculations'!DE336="","",'Calculations'!DF336-'Calculations'!DG336)</x:f>
      </x:c>
      <x:c r="DI336" s="4" t="str">
        <x:f>IF(OR('Calculations'!DE336="",'Calculations'!DF336=0),"",'Calculations'!DG336/'Calculations'!DF336)</x:f>
      </x:c>
      <x:c r="DJ336" s="4" t="str">
        <x:f>IF('Calculations'!DE336="","",COUNTIFS('Calculations'!$BN$13:$BN$512,1,'Calculations'!$BU$13:$BU$512,'Calculations'!DE336,'Calculations'!$BT$13:$BT$512,1,'Calculations'!$EE$13:$EE$512,"High"))</x:f>
      </x:c>
      <x:c r="DK336" s="4" t="str">
        <x:f>IF('Calculations'!DE336="","",COUNTIFS('Calculations'!$BN$13:$BN$512,1,'Calculations'!$BU$13:$BU$512,'Calculations'!DE336,'Calculations'!$BT$13:$BT$512,1,'Calculations'!$EE$13:$EE$512,"Strong"))</x:f>
      </x:c>
      <x:c r="DL336" s="4" t="str">
        <x:f>IF('Calculations'!DE336="","",COUNTIFS('Calculations'!$BN$13:$BN$512,1,'Calculations'!$BU$13:$BU$512,'Calculations'!DE336,'Calculations'!$BT$13:$BT$512,1,'Calculations'!$EE$13:$EE$512,"Solid"))</x:f>
      </x:c>
      <x:c r="DM336" s="4" t="str">
        <x:f>IF('Calculations'!DE336="","",COUNTIFS('Calculations'!$BN$13:$BN$512,1,'Calculations'!$BU$13:$BU$512,'Calculations'!DE336,'Calculations'!$BT$13:$BT$512,1,'Calculations'!$EE$13:$EE$512,"Low"))</x:f>
      </x:c>
      <x:c r="DN336" s="4" t="str">
        <x:f>IF('Calculations'!DE336="","",COUNTIFS('Calculations'!$BN$13:$BN$512,1,'Calculations'!$BU$13:$BU$512,'Calculations'!DE336,'Calculations'!$EP$13:$EP$512,1))</x:f>
      </x:c>
      <x:c r="DO336" s="4" t="str">
        <x:f>IF(OR('Calculations'!DE336="",'Calculations'!DG336=0),"",('Calculations'!DJ336+'Calculations'!DK336)/'Calculations'!DG336)</x:f>
      </x:c>
      <x:c r="DP336" s="4" t="n">
        <x:f>IF(AND('Calculations'!DE336&lt;&gt;"",'Calculations'!DF336&gt;0),COUNTIF('Calculations'!$DF$12:DF336,"&gt;0"),0)</x:f>
        <x:v>0</x:v>
      </x:c>
      <x:c r="DQ336" s="4" t="str">
        <x:f>IF(325&gt;MAX('Calculations'!$HH$13:$HH$512),"",INDEX('Calculations'!$HF$13:$HF$512,MATCH(325,'Calculations'!$HH$13:$HH$512,0)))</x:f>
      </x:c>
      <x:c r="DR336" s="4" t="str">
        <x:f>IF(325&gt;MAX('Calculations'!$IK$13:$IK$512),"",INDEX('Calculations'!$HE$13:$HE$512,MATCH(325,'Calculations'!$IK$13:$IK$512,0)))</x:f>
      </x:c>
      <x:c r="DS336" s="4"/>
      <x:c r="DT336" s="4"/>
      <x:c r="DU336" s="4"/>
      <x:c r="DV336" s="4"/>
      <x:c r="DW336" s="4"/>
      <x:c r="DX336" s="4"/>
      <x:c r="DY336" s="4"/>
      <x:c r="DZ336" s="4"/>
      <x:c r="EA336" s="4"/>
      <x:c r="EB336" s="4"/>
      <x:c r="EC336" s="4"/>
      <x:c r="ED336" s="4"/>
      <x:c r="EE336" s="4" t="str">
        <x:f>IF('Calculations'!BT336=0,"Not Rated",IF(OR('Calculations'!BO336&gt;=4,'Calculations'!BP336&gt;=4),"Low",IF('Calculations'!BO336+'Calculations'!BP336&lt;=3,"High",IF('Calculations'!BO336+'Calculations'!BP336&lt;=4,"Strong","Solid"))))</x:f>
        <x:v>Not Rated</x:v>
      </x:c>
      <x:c r="EF336" s="4"/>
      <x:c r="EG336" s="4"/>
      <x:c r="EH336" s="4"/>
      <x:c r="EI336" s="4"/>
      <x:c r="EJ336" s="4"/>
      <x:c r="EK336" s="4"/>
      <x:c r="EL336" s="4"/>
      <x:c r="EM336" s="4" t="str">
        <x:f>IF(324&gt;'Calculations'!$JB$2000,"",INDEX('Calculations'!$JA$12:$JA$2000,MATCH(324,'Calculations'!$JB$12:$JB$2000,0)))</x:f>
      </x:c>
      <x:c r="EN336" s="4" t="n">
        <x:f>IF(OR('Calculations'!EM336="",'Calculations'!$AG$8&gt;0,AND('Calculations'!$EF$2&lt;&gt;"All",'Calculations'!HE336='Calculations'!$EF$2),AND('Calculations'!$EF$3&lt;&gt;"All",'Calculations'!HE336='Calculations'!$EF$3)),0,IF(OR('Dashboard'!$B$7="All",'Calculations'!HN336='Dashboard'!$B$7),IF('Calculations'!$EF$2="All",1,IF('Calculations'!HL336&gt;0,0,IF(COUNTIF('Calculations'!HO336:II336,"="&amp;SUBSTITUTE(SUBSTITUTE(SUBSTITUTE('Calculations'!$EF$2,"~","~~"),"*","~*"),"?","~?"))=0,0,IF('Calculations'!$EF$3="All",1,IF(COUNTIF('Calculations'!HO336:II336,"="&amp;SUBSTITUTE(SUBSTITUTE(SUBSTITUTE('Calculations'!$EF$3,"~","~~"),"*","~*"),"?","~?"))&gt;0,1,0))))),0))</x:f>
        <x:v>0</x:v>
      </x:c>
      <x:c r="EO336" s="4" t="str">
        <x:f>IF('Calculations'!IJ336="","",IF('Calculations'!IJ336="!UNRESOLVED","Unresolved hierarchy",IFERROR(INDEX('Calculations'!$HK$13:$HK$512,MATCH('Calculations'!IJ336,'Calculations'!$HE$13:$HE$512,0)),IFERROR(INDEX('Calculations'!$HJ$13:$HJ$512,MATCH('Calculations'!IJ336,'Calculations'!$HF$13:$HF$512,0)),'Calculations'!IJ336))))</x:f>
      </x:c>
      <x:c r="EP336" s="4" t="n">
        <x:f>IF(AND('Calculations'!EM336&lt;&gt;"",'Calculations'!HF336='Calculations'!IJ336),1,0)</x:f>
        <x:v>0</x:v>
      </x:c>
      <x:c r="EQ336" s="4"/>
      <x:c r="ER336" s="4"/>
      <x:c r="ES336" s="4"/>
      <x:c r="ET336" s="4"/>
      <x:c r="EU336" s="4"/>
      <x:c r="EV336" s="4"/>
      <x:c r="EW336" s="4"/>
      <x:c r="EX336" s="4"/>
      <x:c r="EY336" s="4"/>
      <x:c r="EZ336" s="4"/>
      <x:c r="FA336" s="4"/>
      <x:c r="FB336" s="4"/>
      <x:c r="FC336" s="4"/>
      <x:c r="FD336" s="4"/>
      <x:c r="FE336" s="4"/>
      <x:c r="FF336" s="4"/>
      <x:c r="FG336" s="4"/>
      <x:c r="FH336" s="4"/>
      <x:c r="FI336" s="4"/>
      <x:c r="FJ336" s="4"/>
      <x:c r="FK336" s="4"/>
      <x:c r="FL336" s="4"/>
      <x:c r="FM336" s="4"/>
      <x:c r="FN336" s="4"/>
      <x:c r="FO336" s="4"/>
      <x:c r="HE336" t="str">
        <x:f>IF('Calculations'!EM336="","",IF(IFERROR(IF(INDEX(INDIRECT("'WCM Calibration Final'!$A$1:$A$2000"),'Calculations'!$EM336)="","",TRIM(INDEX(INDIRECT("'WCM Calibration Final'!$A$1:$A$2000"),'Calculations'!$EM336)&amp;"")),"")&lt;&gt;"","G:"&amp;IFERROR(TEXT(1*INDEX(INDIRECT("'WCM Calibration Final'!$A$1:$A$2000"),'Calculations'!$EM336),"0"),UPPER(IFERROR(IF(INDEX(INDIRECT("'WCM Calibration Final'!$A$1:$A$2000"),'Calculations'!$EM336)="","",TRIM(INDEX(INDIRECT("'WCM Calibration Final'!$A$1:$A$2000"),'Calculations'!$EM336)&amp;"")),""))),IF(IFERROR(IF(INDEX(INDIRECT("'WCM Calibration Final'!$C$1:$C$2000"),'Calculations'!$EM336)="","",TRIM(INDEX(INDIRECT("'WCM Calibration Final'!$C$1:$C$2000"),'Calculations'!$EM336)&amp;"")),"")&lt;&gt;"","S:"&amp;UPPER(IFERROR(IF(INDEX(INDIRECT("'WCM Calibration Final'!$C$1:$C$2000"),'Calculations'!$EM336)="","",TRIM(INDEX(INDIRECT("'WCM Calibration Final'!$C$1:$C$2000"),'Calculations'!$EM336)&amp;"")),"")),"R:"&amp;'Calculations'!EM336)))</x:f>
      </x:c>
      <x:c r="HF336" t="str">
        <x:f>IF('Calculations'!EM336="","",IF(IFERROR(IF(INDEX(INDIRECT("'WCM Calibration Final'!$D$1:$D$2000"),'Calculations'!$EM336)="","",TRIM(INDEX(INDIRECT("'WCM Calibration Final'!$D$1:$D$2000"),'Calculations'!$EM336)&amp;"")),"")&lt;&gt;"","G:"&amp;IFERROR(TEXT(1*INDEX(INDIRECT("'WCM Calibration Final'!$D$1:$D$2000"),'Calculations'!$EM336),"0"),UPPER(IFERROR(IF(INDEX(INDIRECT("'WCM Calibration Final'!$D$1:$D$2000"),'Calculations'!$EM336)="","",TRIM(INDEX(INDIRECT("'WCM Calibration Final'!$D$1:$D$2000"),'Calculations'!$EM336)&amp;"")),""))),IF(IFERROR(IF(INDEX(INDIRECT("'WCM Calibration Final'!$E$1:$E$2000"),'Calculations'!$EM336)="","",TRIM(INDEX(INDIRECT("'WCM Calibration Final'!$E$1:$E$2000"),'Calculations'!$EM336)&amp;"")),"")="","",IF(COUNTIF('Calculations'!$HG$13:$HG$512,"="&amp;SUBSTITUTE(SUBSTITUTE(SUBSTITUTE(IFERROR(IF(INDEX(INDIRECT("'WCM Calibration Final'!$E$1:$E$2000"),'Calculations'!$EM336)="","",TRIM(INDEX(INDIRECT("'WCM Calibration Final'!$E$1:$E$2000"),'Calculations'!$EM336)&amp;"")),""),"~","~~"),"*","~*"),"?","~?"))=1,INDEX('Calculations'!$HE$13:$HE$512,MATCH(IFERROR(IF(INDEX(INDIRECT("'WCM Calibration Final'!$E$1:$E$2000"),'Calculations'!$EM336)="","",TRIM(INDEX(INDIRECT("'WCM Calibration Final'!$E$1:$E$2000"),'Calculations'!$EM336)&amp;"")),""),'Calculations'!$HG$13:$HG$512,0)),IF(COUNTIF('Calculations'!$HG$13:$HG$512,"="&amp;SUBSTITUTE(SUBSTITUTE(SUBSTITUTE(IFERROR(IF(INDEX(INDIRECT("'WCM Calibration Final'!$E$1:$E$2000"),'Calculations'!$EM336)="","",TRIM(INDEX(INDIRECT("'WCM Calibration Final'!$E$1:$E$2000"),'Calculations'!$EM336)&amp;"")),""),"~","~~"),"*","~*"),"?","~?"))&gt;1,"!AMBIG","X:"&amp;IFERROR(IF(INDEX(INDIRECT("'WCM Calibration Final'!$E$1:$E$2000"),'Calculations'!$EM336)="","",TRIM(INDEX(INDIRECT("'WCM Calibration Final'!$E$1:$E$2000"),'Calculations'!$EM336)&amp;"")),""))))))</x:f>
      </x:c>
      <x:c r="HG336" t="str">
        <x:f>IF('Calculations'!EM336="","",IFERROR(IF(INDEX(INDIRECT("'WCM Calibration Final'!$B$1:$B$2000"),'Calculations'!$EM336)="","",TRIM(INDEX(INDIRECT("'WCM Calibration Final'!$B$1:$B$2000"),'Calculations'!$EM336)&amp;"")),""))</x:f>
      </x:c>
      <x:c r="HH336" t="n">
        <x:f>IF(AND('Calculations'!JC336&gt;0,COUNTIF('Calculations'!$HF$12:HF336,"="&amp;SUBSTITUTE(SUBSTITUTE(SUBSTITUTE('Calculations'!HF336,"~","~~"),"*","~*"),"?","~?"))=1),MAX('Calculations'!$HH$12:HH335)+1,0)</x:f>
        <x:v>0</x:v>
      </x:c>
      <x:c r="HI336" t="n">
        <x:f>IF(AND('Calculations'!HN336&lt;&gt;"",COUNTIF('Calculations'!$HN$12:HN336,"="&amp;SUBSTITUTE(SUBSTITUTE(SUBSTITUTE('Calculations'!HN336,"~","~~"),"*","~*"),"?","~?"))=1),MAX('Calculations'!$HI$12:HI335)+1,0)</x:f>
        <x:v>0</x:v>
      </x:c>
      <x:c r="HJ336" t="str">
        <x:f>IF('Calculations'!HF336="","",IF(COUNTIF('Calculations'!$HE$13:$HE$512,"="&amp;SUBSTITUTE(SUBSTITUTE(SUBSTITUTE('Calculations'!HF336,"~","~~"),"*","~*"),"?","~?"))=1,INDEX('Calculations'!$HK$13:$HK$512,MATCH('Calculations'!HF336,'Calculations'!$HE$13:$HE$512,0)),IFERROR(IF(INDEX(INDIRECT("'WCM Calibration Final'!$E$1:$E$2000"),'Calculations'!$EM336)="","",TRIM(INDEX(INDIRECT("'WCM Calibration Final'!$E$1:$E$2000"),'Calculations'!$EM336)&amp;"")),"")&amp;" ["&amp;'Calculations'!HF336&amp;"]"))</x:f>
      </x:c>
      <x:c r="HK336" t="str">
        <x:f>IF('Calculations'!EM336="","",'Calculations'!HG336&amp;" ["&amp;'Calculations'!HE336&amp;"]")</x:f>
      </x:c>
      <x:c r="HL336" t="n">
        <x:f>IF('Calculations'!EM336="",0,IF(OR('Calculations'!II336&lt;&gt;"",COUNTIF('Calculations'!$HE$13:$HE$512,"="&amp;SUBSTITUTE(SUBSTITUTE(SUBSTITUTE('Calculations'!HE336,"~","~~"),"*","~*"),"?","~?"))&gt;1),1,0))</x:f>
        <x:v>0</x:v>
      </x:c>
      <x:c r="HM336" t="str">
        <x:f>IF('Calculations'!EM336="","",IF('Calculations'!HL336=1,"!UNRESOLVED",IF('Calculations'!IH336&lt;&gt;"",'Calculations'!IH336,IF('Calculations'!IG336&lt;&gt;"",'Calculations'!IG336,IF('Calculations'!IF336&lt;&gt;"",'Calculations'!IF336,IF('Calculations'!IE336&lt;&gt;"",'Calculations'!IE336,IF('Calculations'!ID336&lt;&gt;"",'Calculations'!ID336,IF('Calculations'!IC336&lt;&gt;"",'Calculations'!IC336,IF('Calculations'!IB336&lt;&gt;"",'Calculations'!IB336,IF('Calculations'!IA336&lt;&gt;"",'Calculations'!IA336,IF('Calculations'!HZ336&lt;&gt;"",'Calculations'!HZ336,IF('Calculations'!HY336&lt;&gt;"",'Calculations'!HY336,IF('Calculations'!HX336&lt;&gt;"",'Calculations'!HX336,IF('Calculations'!HW336&lt;&gt;"",'Calculations'!HW336,IF('Calculations'!HV336&lt;&gt;"",'Calculations'!HV336,IF('Calculations'!HU336&lt;&gt;"",'Calculations'!HU336,IF('Calculations'!HT336&lt;&gt;"",'Calculations'!HT336,IF('Calculations'!HS336&lt;&gt;"",'Calculations'!HS336,IF('Calculations'!HR336&lt;&gt;"",'Calculations'!HR336,IF('Calculations'!HQ336&lt;&gt;"",'Calculations'!HQ336,IF('Calculations'!HP336&lt;&gt;"",'Calculations'!HP336,IF('Calculations'!HO336&lt;&gt;"",'Calculations'!HO336,'Calculations'!HE336))))))))))))))))))))))</x:f>
      </x:c>
      <x:c r="HN336" t="str">
        <x:f>IF('Calculations'!EM336="","",IF(IFERROR(IF(INDEX(INDIRECT("'WCM Calibration Final'!$F$1:$F$2000"),'Calculations'!$EM336)="","",TRIM(INDEX(INDIRECT("'WCM Calibration Final'!$F$1:$F$2000"),'Calculations'!$EM336)&amp;"")),"")="","(Blank)",IFERROR(IF(INDEX(INDIRECT("'WCM Calibration Final'!$F$1:$F$2000"),'Calculations'!$EM336)="","",TRIM(INDEX(INDIRECT("'WCM Calibration Final'!$F$1:$F$2000"),'Calculations'!$EM336)&amp;"")),"")))</x:f>
      </x:c>
      <x:c r="HO336" t="str">
        <x:f>'Calculations'!HF336</x:f>
      </x:c>
      <x:c r="HP336" t="str">
        <x:f>IF('Calculations'!HO336="","",IF('Calculations'!HO336="!AMBIG","!AMBIG",IF(COUNTIF('Calculations'!$HE$13:$HE$512,"="&amp;SUBSTITUTE(SUBSTITUTE(SUBSTITUTE('Calculations'!HO336,"~","~~"),"*","~*"),"?","~?"))&gt;1,"!AMBIG",IFERROR(INDEX('Calculations'!$HF$13:$HF$512,MATCH('Calculations'!HO336,'Calculations'!$HE$13:$HE$512,0)),""))))</x:f>
      </x:c>
      <x:c r="HQ336" t="str">
        <x:f>IF('Calculations'!HP336="","",IF('Calculations'!HP336="!AMBIG","!AMBIG",IF(COUNTIF('Calculations'!$HE$13:$HE$512,"="&amp;SUBSTITUTE(SUBSTITUTE(SUBSTITUTE('Calculations'!HP336,"~","~~"),"*","~*"),"?","~?"))&gt;1,"!AMBIG",IFERROR(INDEX('Calculations'!$HF$13:$HF$512,MATCH('Calculations'!HP336,'Calculations'!$HE$13:$HE$512,0)),""))))</x:f>
      </x:c>
      <x:c r="HR336" t="str">
        <x:f>IF('Calculations'!HQ336="","",IF('Calculations'!HQ336="!AMBIG","!AMBIG",IF(COUNTIF('Calculations'!$HE$13:$HE$512,"="&amp;SUBSTITUTE(SUBSTITUTE(SUBSTITUTE('Calculations'!HQ336,"~","~~"),"*","~*"),"?","~?"))&gt;1,"!AMBIG",IFERROR(INDEX('Calculations'!$HF$13:$HF$512,MATCH('Calculations'!HQ336,'Calculations'!$HE$13:$HE$512,0)),""))))</x:f>
      </x:c>
      <x:c r="HS336" t="str">
        <x:f>IF('Calculations'!HR336="","",IF('Calculations'!HR336="!AMBIG","!AMBIG",IF(COUNTIF('Calculations'!$HE$13:$HE$512,"="&amp;SUBSTITUTE(SUBSTITUTE(SUBSTITUTE('Calculations'!HR336,"~","~~"),"*","~*"),"?","~?"))&gt;1,"!AMBIG",IFERROR(INDEX('Calculations'!$HF$13:$HF$512,MATCH('Calculations'!HR336,'Calculations'!$HE$13:$HE$512,0)),""))))</x:f>
      </x:c>
      <x:c r="HT336" t="str">
        <x:f>IF('Calculations'!HS336="","",IF('Calculations'!HS336="!AMBIG","!AMBIG",IF(COUNTIF('Calculations'!$HE$13:$HE$512,"="&amp;SUBSTITUTE(SUBSTITUTE(SUBSTITUTE('Calculations'!HS336,"~","~~"),"*","~*"),"?","~?"))&gt;1,"!AMBIG",IFERROR(INDEX('Calculations'!$HF$13:$HF$512,MATCH('Calculations'!HS336,'Calculations'!$HE$13:$HE$512,0)),""))))</x:f>
      </x:c>
      <x:c r="HU336" t="str">
        <x:f>IF('Calculations'!HT336="","",IF('Calculations'!HT336="!AMBIG","!AMBIG",IF(COUNTIF('Calculations'!$HE$13:$HE$512,"="&amp;SUBSTITUTE(SUBSTITUTE(SUBSTITUTE('Calculations'!HT336,"~","~~"),"*","~*"),"?","~?"))&gt;1,"!AMBIG",IFERROR(INDEX('Calculations'!$HF$13:$HF$512,MATCH('Calculations'!HT336,'Calculations'!$HE$13:$HE$512,0)),""))))</x:f>
      </x:c>
      <x:c r="HV336" t="str">
        <x:f>IF('Calculations'!HU336="","",IF('Calculations'!HU336="!AMBIG","!AMBIG",IF(COUNTIF('Calculations'!$HE$13:$HE$512,"="&amp;SUBSTITUTE(SUBSTITUTE(SUBSTITUTE('Calculations'!HU336,"~","~~"),"*","~*"),"?","~?"))&gt;1,"!AMBIG",IFERROR(INDEX('Calculations'!$HF$13:$HF$512,MATCH('Calculations'!HU336,'Calculations'!$HE$13:$HE$512,0)),""))))</x:f>
      </x:c>
      <x:c r="HW336" t="str">
        <x:f>IF('Calculations'!HV336="","",IF('Calculations'!HV336="!AMBIG","!AMBIG",IF(COUNTIF('Calculations'!$HE$13:$HE$512,"="&amp;SUBSTITUTE(SUBSTITUTE(SUBSTITUTE('Calculations'!HV336,"~","~~"),"*","~*"),"?","~?"))&gt;1,"!AMBIG",IFERROR(INDEX('Calculations'!$HF$13:$HF$512,MATCH('Calculations'!HV336,'Calculations'!$HE$13:$HE$512,0)),""))))</x:f>
      </x:c>
      <x:c r="HX336" t="str">
        <x:f>IF('Calculations'!HW336="","",IF('Calculations'!HW336="!AMBIG","!AMBIG",IF(COUNTIF('Calculations'!$HE$13:$HE$512,"="&amp;SUBSTITUTE(SUBSTITUTE(SUBSTITUTE('Calculations'!HW336,"~","~~"),"*","~*"),"?","~?"))&gt;1,"!AMBIG",IFERROR(INDEX('Calculations'!$HF$13:$HF$512,MATCH('Calculations'!HW336,'Calculations'!$HE$13:$HE$512,0)),""))))</x:f>
      </x:c>
      <x:c r="HY336" t="str">
        <x:f>IF('Calculations'!HX336="","",IF('Calculations'!HX336="!AMBIG","!AMBIG",IF(COUNTIF('Calculations'!$HE$13:$HE$512,"="&amp;SUBSTITUTE(SUBSTITUTE(SUBSTITUTE('Calculations'!HX336,"~","~~"),"*","~*"),"?","~?"))&gt;1,"!AMBIG",IFERROR(INDEX('Calculations'!$HF$13:$HF$512,MATCH('Calculations'!HX336,'Calculations'!$HE$13:$HE$512,0)),""))))</x:f>
      </x:c>
      <x:c r="HZ336" t="str">
        <x:f>IF('Calculations'!HY336="","",IF('Calculations'!HY336="!AMBIG","!AMBIG",IF(COUNTIF('Calculations'!$HE$13:$HE$512,"="&amp;SUBSTITUTE(SUBSTITUTE(SUBSTITUTE('Calculations'!HY336,"~","~~"),"*","~*"),"?","~?"))&gt;1,"!AMBIG",IFERROR(INDEX('Calculations'!$HF$13:$HF$512,MATCH('Calculations'!HY336,'Calculations'!$HE$13:$HE$512,0)),""))))</x:f>
      </x:c>
      <x:c r="IA336" t="str">
        <x:f>IF('Calculations'!HZ336="","",IF('Calculations'!HZ336="!AMBIG","!AMBIG",IF(COUNTIF('Calculations'!$HE$13:$HE$512,"="&amp;SUBSTITUTE(SUBSTITUTE(SUBSTITUTE('Calculations'!HZ336,"~","~~"),"*","~*"),"?","~?"))&gt;1,"!AMBIG",IFERROR(INDEX('Calculations'!$HF$13:$HF$512,MATCH('Calculations'!HZ336,'Calculations'!$HE$13:$HE$512,0)),""))))</x:f>
      </x:c>
      <x:c r="IB336" t="str">
        <x:f>IF('Calculations'!IA336="","",IF('Calculations'!IA336="!AMBIG","!AMBIG",IF(COUNTIF('Calculations'!$HE$13:$HE$512,"="&amp;SUBSTITUTE(SUBSTITUTE(SUBSTITUTE('Calculations'!IA336,"~","~~"),"*","~*"),"?","~?"))&gt;1,"!AMBIG",IFERROR(INDEX('Calculations'!$HF$13:$HF$512,MATCH('Calculations'!IA336,'Calculations'!$HE$13:$HE$512,0)),""))))</x:f>
      </x:c>
      <x:c r="IC336" t="str">
        <x:f>IF('Calculations'!IB336="","",IF('Calculations'!IB336="!AMBIG","!AMBIG",IF(COUNTIF('Calculations'!$HE$13:$HE$512,"="&amp;SUBSTITUTE(SUBSTITUTE(SUBSTITUTE('Calculations'!IB336,"~","~~"),"*","~*"),"?","~?"))&gt;1,"!AMBIG",IFERROR(INDEX('Calculations'!$HF$13:$HF$512,MATCH('Calculations'!IB336,'Calculations'!$HE$13:$HE$512,0)),""))))</x:f>
      </x:c>
      <x:c r="ID336" t="str">
        <x:f>IF('Calculations'!IC336="","",IF('Calculations'!IC336="!AMBIG","!AMBIG",IF(COUNTIF('Calculations'!$HE$13:$HE$512,"="&amp;SUBSTITUTE(SUBSTITUTE(SUBSTITUTE('Calculations'!IC336,"~","~~"),"*","~*"),"?","~?"))&gt;1,"!AMBIG",IFERROR(INDEX('Calculations'!$HF$13:$HF$512,MATCH('Calculations'!IC336,'Calculations'!$HE$13:$HE$512,0)),""))))</x:f>
      </x:c>
      <x:c r="IE336" t="str">
        <x:f>IF('Calculations'!ID336="","",IF('Calculations'!ID336="!AMBIG","!AMBIG",IF(COUNTIF('Calculations'!$HE$13:$HE$512,"="&amp;SUBSTITUTE(SUBSTITUTE(SUBSTITUTE('Calculations'!ID336,"~","~~"),"*","~*"),"?","~?"))&gt;1,"!AMBIG",IFERROR(INDEX('Calculations'!$HF$13:$HF$512,MATCH('Calculations'!ID336,'Calculations'!$HE$13:$HE$512,0)),""))))</x:f>
      </x:c>
      <x:c r="IF336" t="str">
        <x:f>IF('Calculations'!IE336="","",IF('Calculations'!IE336="!AMBIG","!AMBIG",IF(COUNTIF('Calculations'!$HE$13:$HE$512,"="&amp;SUBSTITUTE(SUBSTITUTE(SUBSTITUTE('Calculations'!IE336,"~","~~"),"*","~*"),"?","~?"))&gt;1,"!AMBIG",IFERROR(INDEX('Calculations'!$HF$13:$HF$512,MATCH('Calculations'!IE336,'Calculations'!$HE$13:$HE$512,0)),""))))</x:f>
      </x:c>
      <x:c r="IG336" t="str">
        <x:f>IF('Calculations'!IF336="","",IF('Calculations'!IF336="!AMBIG","!AMBIG",IF(COUNTIF('Calculations'!$HE$13:$HE$512,"="&amp;SUBSTITUTE(SUBSTITUTE(SUBSTITUTE('Calculations'!IF336,"~","~~"),"*","~*"),"?","~?"))&gt;1,"!AMBIG",IFERROR(INDEX('Calculations'!$HF$13:$HF$512,MATCH('Calculations'!IF336,'Calculations'!$HE$13:$HE$512,0)),""))))</x:f>
      </x:c>
      <x:c r="IH336" t="str">
        <x:f>IF('Calculations'!IG336="","",IF('Calculations'!IG336="!AMBIG","!AMBIG",IF(COUNTIF('Calculations'!$HE$13:$HE$512,"="&amp;SUBSTITUTE(SUBSTITUTE(SUBSTITUTE('Calculations'!IG336,"~","~~"),"*","~*"),"?","~?"))&gt;1,"!AMBIG",IFERROR(INDEX('Calculations'!$HF$13:$HF$512,MATCH('Calculations'!IG336,'Calculations'!$HE$13:$HE$512,0)),""))))</x:f>
      </x:c>
      <x:c r="II336" t="str">
        <x:f>IF('Calculations'!IH336="","",IF('Calculations'!IH336="!AMBIG","!AMBIG",IF(COUNTIF('Calculations'!$HE$13:$HE$512,"="&amp;SUBSTITUTE(SUBSTITUTE(SUBSTITUTE('Calculations'!IH336,"~","~~"),"*","~*"),"?","~?"))&gt;1,"!AMBIG",IFERROR(INDEX('Calculations'!$HF$13:$HF$512,MATCH('Calculations'!IH336,'Calculations'!$HE$13:$HE$512,0)),""))))</x:f>
      </x:c>
      <x:c r="IJ336" t="str">
        <x:f>IF('Calculations'!EM336="","",IF('Calculations'!$EF$2="All",'Calculations'!HM336,IF('Calculations'!HL336=1,"",IFERROR(IF(MATCH('Calculations'!$EF$2,'Calculations'!HO336:II336,0)=1,'Calculations'!HE336,INDEX('Calculations'!HO336:II336,1,MATCH('Calculations'!$EF$2,'Calculations'!HO336:II336,0)-1)),""))))</x:f>
      </x:c>
      <x:c r="IK336" t="n">
        <x:f>IF(AND('Calculations'!EM336&lt;&gt;"",'Calculations'!$EF$2&lt;&gt;"All",'Calculations'!HF336='Calculations'!$EF$2,'Calculations'!HL336=0,'Calculations'!JD336&gt;0),MAX('Calculations'!$IK$12:IK335)+1,0)</x:f>
        <x:v>0</x:v>
      </x:c>
      <x:c r="JA336" t="n">
        <x:f>IF(OR(IFERROR(INDIRECT("'WCM Calibration Final'!$A$336")&lt;&gt;"",FALSE),IFERROR(INDIRECT("'WCM Calibration Final'!$B$336")&lt;&gt;"",FALSE),IFERROR(INDIRECT("'WCM Calibration Final'!$C$336")&lt;&gt;"",FALSE)),336,0)</x:f>
        <x:v>0</x:v>
      </x:c>
      <x:c r="JB336" t="n">
        <x:f>'Calculations'!JB335+IF('Calculations'!JA336&gt;0,1,0)</x:f>
        <x:v>0</x:v>
      </x:c>
      <x:c r="JC336" t="n">
        <x:f>IF(OR('Calculations'!HF336="",'Calculations'!HF336="!AMBIG"),0,IF('Dashboard'!$B$7="All",1,COUNTIFS('Calculations'!$HO$13:$HO$512,"="&amp;SUBSTITUTE(SUBSTITUTE(SUBSTITUTE('Calculations'!HF336,"~","~~"),"*","~*"),"?","~?"),'Calculations'!$HN$13:$HN$512,"="&amp;SUBSTITUTE(SUBSTITUTE(SUBSTITUTE('Dashboard'!$B$7,"~","~~"),"*","~*"),"?","~?"))+COUNTIFS('Calculations'!$HP$13:$HP$512,"="&amp;SUBSTITUTE(SUBSTITUTE(SUBSTITUTE('Calculations'!HF336,"~","~~"),"*","~*"),"?","~?"),'Calculations'!$HN$13:$HN$512,"="&amp;SUBSTITUTE(SUBSTITUTE(SUBSTITUTE('Dashboard'!$B$7,"~","~~"),"*","~*"),"?","~?"))+COUNTIFS('Calculations'!$HQ$13:$HQ$512,"="&amp;SUBSTITUTE(SUBSTITUTE(SUBSTITUTE('Calculations'!HF336,"~","~~"),"*","~*"),"?","~?"),'Calculations'!$HN$13:$HN$512,"="&amp;SUBSTITUTE(SUBSTITUTE(SUBSTITUTE('Dashboard'!$B$7,"~","~~"),"*","~*"),"?","~?"))+COUNTIFS('Calculations'!$HR$13:$HR$512,"="&amp;SUBSTITUTE(SUBSTITUTE(SUBSTITUTE('Calculations'!HF336,"~","~~"),"*","~*"),"?","~?"),'Calculations'!$HN$13:$HN$512,"="&amp;SUBSTITUTE(SUBSTITUTE(SUBSTITUTE('Dashboard'!$B$7,"~","~~"),"*","~*"),"?","~?"))+COUNTIFS('Calculations'!$HS$13:$HS$512,"="&amp;SUBSTITUTE(SUBSTITUTE(SUBSTITUTE('Calculations'!HF336,"~","~~"),"*","~*"),"?","~?"),'Calculations'!$HN$13:$HN$512,"="&amp;SUBSTITUTE(SUBSTITUTE(SUBSTITUTE('Dashboard'!$B$7,"~","~~"),"*","~*"),"?","~?"))+COUNTIFS('Calculations'!$HT$13:$HT$512,"="&amp;SUBSTITUTE(SUBSTITUTE(SUBSTITUTE('Calculations'!HF336,"~","~~"),"*","~*"),"?","~?"),'Calculations'!$HN$13:$HN$512,"="&amp;SUBSTITUTE(SUBSTITUTE(SUBSTITUTE('Dashboard'!$B$7,"~","~~"),"*","~*"),"?","~?"))+COUNTIFS('Calculations'!$HU$13:$HU$512,"="&amp;SUBSTITUTE(SUBSTITUTE(SUBSTITUTE('Calculations'!HF336,"~","~~"),"*","~*"),"?","~?"),'Calculations'!$HN$13:$HN$512,"="&amp;SUBSTITUTE(SUBSTITUTE(SUBSTITUTE('Dashboard'!$B$7,"~","~~"),"*","~*"),"?","~?"))+COUNTIFS('Calculations'!$HV$13:$HV$512,"="&amp;SUBSTITUTE(SUBSTITUTE(SUBSTITUTE('Calculations'!HF336,"~","~~"),"*","~*"),"?","~?"),'Calculations'!$HN$13:$HN$512,"="&amp;SUBSTITUTE(SUBSTITUTE(SUBSTITUTE('Dashboard'!$B$7,"~","~~"),"*","~*"),"?","~?"))+COUNTIFS('Calculations'!$HW$13:$HW$512,"="&amp;SUBSTITUTE(SUBSTITUTE(SUBSTITUTE('Calculations'!HF336,"~","~~"),"*","~*"),"?","~?"),'Calculations'!$HN$13:$HN$512,"="&amp;SUBSTITUTE(SUBSTITUTE(SUBSTITUTE('Dashboard'!$B$7,"~","~~"),"*","~*"),"?","~?"))+COUNTIFS('Calculations'!$HX$13:$HX$512,"="&amp;SUBSTITUTE(SUBSTITUTE(SUBSTITUTE('Calculations'!HF336,"~","~~"),"*","~*"),"?","~?"),'Calculations'!$HN$13:$HN$512,"="&amp;SUBSTITUTE(SUBSTITUTE(SUBSTITUTE('Dashboard'!$B$7,"~","~~"),"*","~*"),"?","~?"))+COUNTIFS('Calculations'!$HY$13:$HY$512,"="&amp;SUBSTITUTE(SUBSTITUTE(SUBSTITUTE('Calculations'!HF336,"~","~~"),"*","~*"),"?","~?"),'Calculations'!$HN$13:$HN$512,"="&amp;SUBSTITUTE(SUBSTITUTE(SUBSTITUTE('Dashboard'!$B$7,"~","~~"),"*","~*"),"?","~?"))+COUNTIFS('Calculations'!$HZ$13:$HZ$512,"="&amp;SUBSTITUTE(SUBSTITUTE(SUBSTITUTE('Calculations'!HF336,"~","~~"),"*","~*"),"?","~?"),'Calculations'!$HN$13:$HN$512,"="&amp;SUBSTITUTE(SUBSTITUTE(SUBSTITUTE('Dashboard'!$B$7,"~","~~"),"*","~*"),"?","~?"))+COUNTIFS('Calculations'!$IA$13:$IA$512,"="&amp;SUBSTITUTE(SUBSTITUTE(SUBSTITUTE('Calculations'!HF336,"~","~~"),"*","~*"),"?","~?"),'Calculations'!$HN$13:$HN$512,"="&amp;SUBSTITUTE(SUBSTITUTE(SUBSTITUTE('Dashboard'!$B$7,"~","~~"),"*","~*"),"?","~?"))+COUNTIFS('Calculations'!$IB$13:$IB$512,"="&amp;SUBSTITUTE(SUBSTITUTE(SUBSTITUTE('Calculations'!HF336,"~","~~"),"*","~*"),"?","~?"),'Calculations'!$HN$13:$HN$512,"="&amp;SUBSTITUTE(SUBSTITUTE(SUBSTITUTE('Dashboard'!$B$7,"~","~~"),"*","~*"),"?","~?"))+COUNTIFS('Calculations'!$IC$13:$IC$512,"="&amp;SUBSTITUTE(SUBSTITUTE(SUBSTITUTE('Calculations'!HF336,"~","~~"),"*","~*"),"?","~?"),'Calculations'!$HN$13:$HN$512,"="&amp;SUBSTITUTE(SUBSTITUTE(SUBSTITUTE('Dashboard'!$B$7,"~","~~"),"*","~*"),"?","~?"))+COUNTIFS('Calculations'!$ID$13:$ID$512,"="&amp;SUBSTITUTE(SUBSTITUTE(SUBSTITUTE('Calculations'!HF336,"~","~~"),"*","~*"),"?","~?"),'Calculations'!$HN$13:$HN$512,"="&amp;SUBSTITUTE(SUBSTITUTE(SUBSTITUTE('Dashboard'!$B$7,"~","~~"),"*","~*"),"?","~?"))+COUNTIFS('Calculations'!$IE$13:$IE$512,"="&amp;SUBSTITUTE(SUBSTITUTE(SUBSTITUTE('Calculations'!HF336,"~","~~"),"*","~*"),"?","~?"),'Calculations'!$HN$13:$HN$512,"="&amp;SUBSTITUTE(SUBSTITUTE(SUBSTITUTE('Dashboard'!$B$7,"~","~~"),"*","~*"),"?","~?"))+COUNTIFS('Calculations'!$IF$13:$IF$512,"="&amp;SUBSTITUTE(SUBSTITUTE(SUBSTITUTE('Calculations'!HF336,"~","~~"),"*","~*"),"?","~?"),'Calculations'!$HN$13:$HN$512,"="&amp;SUBSTITUTE(SUBSTITUTE(SUBSTITUTE('Dashboard'!$B$7,"~","~~"),"*","~*"),"?","~?"))+COUNTIFS('Calculations'!$IG$13:$IG$512,"="&amp;SUBSTITUTE(SUBSTITUTE(SUBSTITUTE('Calculations'!HF336,"~","~~"),"*","~*"),"?","~?"),'Calculations'!$HN$13:$HN$512,"="&amp;SUBSTITUTE(SUBSTITUTE(SUBSTITUTE('Dashboard'!$B$7,"~","~~"),"*","~*"),"?","~?"))+COUNTIFS('Calculations'!$IH$13:$IH$512,"="&amp;SUBSTITUTE(SUBSTITUTE(SUBSTITUTE('Calculations'!HF336,"~","~~"),"*","~*"),"?","~?"),'Calculations'!$HN$13:$HN$512,"="&amp;SUBSTITUTE(SUBSTITUTE(SUBSTITUTE('Dashboard'!$B$7,"~","~~"),"*","~*"),"?","~?"))))</x:f>
        <x:v>0</x:v>
      </x:c>
      <x:c r="JD336" t="n">
        <x:f>IF('Calculations'!EM336="",0,IF('Dashboard'!$B$7="All",1,IF('Calculations'!HN336='Dashboard'!$B$7,1,0)+IFERROR(INDEX('Calculations'!$JC$13:$JC$512,MATCH('Calculations'!HE336,'Calculations'!$HF$13:$HF$512,0)),0)))</x:f>
        <x:v>0</x:v>
      </x:c>
      <x:c r="JE336" t="n">
        <x:f>IF(AND('Calculations'!EM336&lt;&gt;"",'Calculations'!$JJ$2&lt;&gt;"All",'Calculations'!$JJ$2&lt;&gt;"",'Calculations'!HF336='Calculations'!$JJ$2,'Calculations'!HL336=0,'Calculations'!JD336&gt;0),MAX('Calculations'!$JE$12:JE335)+1,0)</x:f>
        <x:v>0</x:v>
      </x:c>
      <x:c r="JF336" t="str">
        <x:f>IF('Calculations'!EM336="","",IFERROR(IF(INDEX(INDIRECT("'WCM Calibration Final'!$G$1:$G$2000"),'Calculations'!$EM336)="","",TRIM(INDEX(INDIRECT("'WCM Calibration Final'!$G$1:$G$2000"),'Calculations'!$EM336)&amp;"")),""))</x:f>
      </x:c>
      <x:c r="JQ336" t="n">
        <x:f>IF(OR('Calculations'!BM336=0,NOT('Calculations'!$AG$2),'Calculations'!$AG$8&gt;0),0,IF(OR('Dashboard'!$B$7="All",'Calculations'!HN336='Dashboard'!$B$7),IF('Calculations'!$JJ$2="All",1,IF(AND('Calculations'!HF336='Calculations'!$JJ$2,'Calculations'!HL336=0),1,0)),0))</x:f>
        <x:v>0</x:v>
      </x:c>
    </x:row>
    <x:row r="337">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t="n">
        <x:f>IF('Calculations'!$EM337="",0,IF(OR(IFERROR(INDEX(INDIRECT("'WCM Calibration Final'!$A$1:$A$2000"),'Calculations'!$EM337)&lt;&gt;"",FALSE),IFERROR(INDEX(INDIRECT("'WCM Calibration Final'!$B$1:$B$2000"),'Calculations'!$EM337)&lt;&gt;"",FALSE),IFERROR(INDEX(INDIRECT("'WCM Calibration Final'!$C$1:$C$2000"),'Calculations'!$EM337)&lt;&gt;"",FALSE)),1,0))</x:f>
        <x:v>0</x:v>
      </x:c>
      <x:c r="BN337" s="4" t="n">
        <x:f>IF(AND('Calculations'!BM337=1,'Calculations'!$AG$2,'Calculations'!$EN337=1),1,0)</x:f>
        <x:v>0</x:v>
      </x:c>
      <x:c r="BO337" s="4" t="str">
        <x:f>IF('Calculations'!BM337=0,"",IFERROR(IF(AND(VALUE(INDEX(INDIRECT("'WCM Calibration Final'!$K$1:$K$2000"),'Calculations'!$EM337))&gt;=1,VALUE(INDEX(INDIRECT("'WCM Calibration Final'!$K$1:$K$2000"),'Calculations'!$EM337))&lt;=4,MOD(VALUE(INDEX(INDIRECT("'WCM Calibration Final'!$K$1:$K$2000"),'Calculations'!$EM337)),1)=0),VALUE(INDEX(INDIRECT("'WCM Calibration Final'!$K$1:$K$2000"),'Calculations'!$EM337)),""),""))</x:f>
      </x:c>
      <x:c r="BP337" s="4" t="str">
        <x:f>IF('Calculations'!BM337=0,"",IFERROR(IF(AND(VALUE(INDEX(INDIRECT("'WCM Calibration Final'!$L$1:$L$2000"),'Calculations'!$EM337))&gt;=1,VALUE(INDEX(INDIRECT("'WCM Calibration Final'!$L$1:$L$2000"),'Calculations'!$EM337))&lt;=4,MOD(VALUE(INDEX(INDIRECT("'WCM Calibration Final'!$L$1:$L$2000"),'Calculations'!$EM337)),1)=0),VALUE(INDEX(INDIRECT("'WCM Calibration Final'!$L$1:$L$2000"),'Calculations'!$EM337)),""),""))</x:f>
      </x:c>
      <x:c r="BQ337" s="4"/>
      <x:c r="BR337" s="4"/>
      <x:c r="BS337" s="4"/>
      <x:c r="BT337" s="4" t="n">
        <x:f>IF(AND('Calculations'!BM337=1,ISNUMBER('Calculations'!BO337),ISNUMBER('Calculations'!BP337)),1,0)</x:f>
        <x:v>0</x:v>
      </x:c>
      <x:c r="BU337" s="4" t="str">
        <x:f>IF('Calculations'!BM337=0,"",'Calculations'!$EO337)</x:f>
      </x:c>
      <x:c r="BV337" s="4" t="str">
        <x:f>IF('Calculations'!BM337=0,"",IFERROR(IF(OR(INDEX(INDIRECT("'WCM Calibration Final'!$H$1:$H$2000"),'Calculations'!$EM337)="MANAGING DIRECTOR",INDEX(INDIRECT("'WCM Calibration Final'!$H$1:$H$2000"),'Calculations'!$EM337)="DIRECTOR",INDEX(INDIRECT("'WCM Calibration Final'!$H$1:$H$2000"),'Calculations'!$EM337)="SENIOR VICE PRESIDENT",INDEX(INDIRECT("'WCM Calibration Final'!$H$1:$H$2000"),'Calculations'!$EM337)="VICE PRESIDENT",INDEX(INDIRECT("'WCM Calibration Final'!$H$1:$H$2000"),'Calculations'!$EM337)="ASSISTANT VICE PRESIDENT",INDEX(INDIRECT("'WCM Calibration Final'!$H$1:$H$2000"),'Calculations'!$EM337)="OFFICER"),UPPER(INDEX(INDIRECT("'WCM Calibration Final'!$H$1:$H$2000"),'Calculations'!$EM337)),"Other"),"Other"))</x:f>
      </x:c>
      <x:c r="BW337" s="4"/>
      <x:c r="BX337" s="4"/>
      <x:c r="BY337" s="4" t="n">
        <x:f>IF(AND('Calculations'!BM337=1,'Calculations'!BU337&lt;&gt;"",COUNTIF('Calculations'!$BU$12:BU337,'Calculations'!BU337)=1),MAX('Calculations'!$BY$11:BY336)+1,0)</x:f>
        <x:v>0</x:v>
      </x:c>
      <x:c r="BZ337" s="4" t="str">
        <x:f>IF('Dashboard'!$E$67="What",'Calculations'!BO337,'Calculations'!BP337)</x:f>
      </x:c>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t="str">
        <x:f>IF(326&gt;MAX('Calculations'!$HI$13:$HI$512),"",INDEX('Calculations'!$HN$13:$HN$512,MATCH(326,'Calculations'!$HI$13:$HI$512,0)))</x:f>
      </x:c>
      <x:c r="DB337" s="4" t="str">
        <x:f>IF(326&gt;MAX('Calculations'!$HH$13:$HH$512),"",INDEX('Calculations'!$HJ$13:$HJ$512,MATCH(326,'Calculations'!$HH$13:$HH$512,0)))</x:f>
      </x:c>
      <x:c r="DC337" s="4" t="str">
        <x:f>IF(ROW()-11&gt;MAX('Calculations'!$BY$13:$BY$512),"",INDEX('Calculations'!$BU$13:$BU$512,MATCH(ROW()-11,'Calculations'!$BY$13:$BY$512,0)))</x:f>
      </x:c>
      <x:c r="DD337" s="4" t="str">
        <x:f>IF(326&gt;MAX('Calculations'!$IK$13:$IK$512),"",INDEX('Calculations'!$HK$13:$HK$512,MATCH(326,'Calculations'!$IK$13:$IK$512,0)))</x:f>
      </x:c>
      <x:c r="DE337" s="4" t="str">
        <x:f>'Calculations'!DC337</x:f>
      </x:c>
      <x:c r="DF337" s="4" t="str">
        <x:f>IF('Calculations'!DE337="","",COUNTIFS('Calculations'!$BN$13:$BN$512,1,'Calculations'!$BU$13:$BU$512,'Calculations'!DE337))</x:f>
      </x:c>
      <x:c r="DG337" s="4" t="str">
        <x:f>IF('Calculations'!DE337="","",COUNTIFS('Calculations'!$BN$13:$BN$512,1,'Calculations'!$BU$13:$BU$512,'Calculations'!DE337,'Calculations'!$BT$13:$BT$512,1))</x:f>
      </x:c>
      <x:c r="DH337" s="4" t="str">
        <x:f>IF('Calculations'!DE337="","",'Calculations'!DF337-'Calculations'!DG337)</x:f>
      </x:c>
      <x:c r="DI337" s="4" t="str">
        <x:f>IF(OR('Calculations'!DE337="",'Calculations'!DF337=0),"",'Calculations'!DG337/'Calculations'!DF337)</x:f>
      </x:c>
      <x:c r="DJ337" s="4" t="str">
        <x:f>IF('Calculations'!DE337="","",COUNTIFS('Calculations'!$BN$13:$BN$512,1,'Calculations'!$BU$13:$BU$512,'Calculations'!DE337,'Calculations'!$BT$13:$BT$512,1,'Calculations'!$EE$13:$EE$512,"High"))</x:f>
      </x:c>
      <x:c r="DK337" s="4" t="str">
        <x:f>IF('Calculations'!DE337="","",COUNTIFS('Calculations'!$BN$13:$BN$512,1,'Calculations'!$BU$13:$BU$512,'Calculations'!DE337,'Calculations'!$BT$13:$BT$512,1,'Calculations'!$EE$13:$EE$512,"Strong"))</x:f>
      </x:c>
      <x:c r="DL337" s="4" t="str">
        <x:f>IF('Calculations'!DE337="","",COUNTIFS('Calculations'!$BN$13:$BN$512,1,'Calculations'!$BU$13:$BU$512,'Calculations'!DE337,'Calculations'!$BT$13:$BT$512,1,'Calculations'!$EE$13:$EE$512,"Solid"))</x:f>
      </x:c>
      <x:c r="DM337" s="4" t="str">
        <x:f>IF('Calculations'!DE337="","",COUNTIFS('Calculations'!$BN$13:$BN$512,1,'Calculations'!$BU$13:$BU$512,'Calculations'!DE337,'Calculations'!$BT$13:$BT$512,1,'Calculations'!$EE$13:$EE$512,"Low"))</x:f>
      </x:c>
      <x:c r="DN337" s="4" t="str">
        <x:f>IF('Calculations'!DE337="","",COUNTIFS('Calculations'!$BN$13:$BN$512,1,'Calculations'!$BU$13:$BU$512,'Calculations'!DE337,'Calculations'!$EP$13:$EP$512,1))</x:f>
      </x:c>
      <x:c r="DO337" s="4" t="str">
        <x:f>IF(OR('Calculations'!DE337="",'Calculations'!DG337=0),"",('Calculations'!DJ337+'Calculations'!DK337)/'Calculations'!DG337)</x:f>
      </x:c>
      <x:c r="DP337" s="4" t="n">
        <x:f>IF(AND('Calculations'!DE337&lt;&gt;"",'Calculations'!DF337&gt;0),COUNTIF('Calculations'!$DF$12:DF337,"&gt;0"),0)</x:f>
        <x:v>0</x:v>
      </x:c>
      <x:c r="DQ337" s="4" t="str">
        <x:f>IF(326&gt;MAX('Calculations'!$HH$13:$HH$512),"",INDEX('Calculations'!$HF$13:$HF$512,MATCH(326,'Calculations'!$HH$13:$HH$512,0)))</x:f>
      </x:c>
      <x:c r="DR337" s="4" t="str">
        <x:f>IF(326&gt;MAX('Calculations'!$IK$13:$IK$512),"",INDEX('Calculations'!$HE$13:$HE$512,MATCH(326,'Calculations'!$IK$13:$IK$512,0)))</x:f>
      </x:c>
      <x:c r="DS337" s="4"/>
      <x:c r="DT337" s="4"/>
      <x:c r="DU337" s="4"/>
      <x:c r="DV337" s="4"/>
      <x:c r="DW337" s="4"/>
      <x:c r="DX337" s="4"/>
      <x:c r="DY337" s="4"/>
      <x:c r="DZ337" s="4"/>
      <x:c r="EA337" s="4"/>
      <x:c r="EB337" s="4"/>
      <x:c r="EC337" s="4"/>
      <x:c r="ED337" s="4"/>
      <x:c r="EE337" s="4" t="str">
        <x:f>IF('Calculations'!BT337=0,"Not Rated",IF(OR('Calculations'!BO337&gt;=4,'Calculations'!BP337&gt;=4),"Low",IF('Calculations'!BO337+'Calculations'!BP337&lt;=3,"High",IF('Calculations'!BO337+'Calculations'!BP337&lt;=4,"Strong","Solid"))))</x:f>
        <x:v>Not Rated</x:v>
      </x:c>
      <x:c r="EF337" s="4"/>
      <x:c r="EG337" s="4"/>
      <x:c r="EH337" s="4"/>
      <x:c r="EI337" s="4"/>
      <x:c r="EJ337" s="4"/>
      <x:c r="EK337" s="4"/>
      <x:c r="EL337" s="4"/>
      <x:c r="EM337" s="4" t="str">
        <x:f>IF(325&gt;'Calculations'!$JB$2000,"",INDEX('Calculations'!$JA$12:$JA$2000,MATCH(325,'Calculations'!$JB$12:$JB$2000,0)))</x:f>
      </x:c>
      <x:c r="EN337" s="4" t="n">
        <x:f>IF(OR('Calculations'!EM337="",'Calculations'!$AG$8&gt;0,AND('Calculations'!$EF$2&lt;&gt;"All",'Calculations'!HE337='Calculations'!$EF$2),AND('Calculations'!$EF$3&lt;&gt;"All",'Calculations'!HE337='Calculations'!$EF$3)),0,IF(OR('Dashboard'!$B$7="All",'Calculations'!HN337='Dashboard'!$B$7),IF('Calculations'!$EF$2="All",1,IF('Calculations'!HL337&gt;0,0,IF(COUNTIF('Calculations'!HO337:II337,"="&amp;SUBSTITUTE(SUBSTITUTE(SUBSTITUTE('Calculations'!$EF$2,"~","~~"),"*","~*"),"?","~?"))=0,0,IF('Calculations'!$EF$3="All",1,IF(COUNTIF('Calculations'!HO337:II337,"="&amp;SUBSTITUTE(SUBSTITUTE(SUBSTITUTE('Calculations'!$EF$3,"~","~~"),"*","~*"),"?","~?"))&gt;0,1,0))))),0))</x:f>
        <x:v>0</x:v>
      </x:c>
      <x:c r="EO337" s="4" t="str">
        <x:f>IF('Calculations'!IJ337="","",IF('Calculations'!IJ337="!UNRESOLVED","Unresolved hierarchy",IFERROR(INDEX('Calculations'!$HK$13:$HK$512,MATCH('Calculations'!IJ337,'Calculations'!$HE$13:$HE$512,0)),IFERROR(INDEX('Calculations'!$HJ$13:$HJ$512,MATCH('Calculations'!IJ337,'Calculations'!$HF$13:$HF$512,0)),'Calculations'!IJ337))))</x:f>
      </x:c>
      <x:c r="EP337" s="4" t="n">
        <x:f>IF(AND('Calculations'!EM337&lt;&gt;"",'Calculations'!HF337='Calculations'!IJ337),1,0)</x:f>
        <x:v>0</x:v>
      </x:c>
      <x:c r="EQ337" s="4"/>
      <x:c r="ER337" s="4"/>
      <x:c r="ES337" s="4"/>
      <x:c r="ET337" s="4"/>
      <x:c r="EU337" s="4"/>
      <x:c r="EV337" s="4"/>
      <x:c r="EW337" s="4"/>
      <x:c r="EX337" s="4"/>
      <x:c r="EY337" s="4"/>
      <x:c r="EZ337" s="4"/>
      <x:c r="FA337" s="4"/>
      <x:c r="FB337" s="4"/>
      <x:c r="FC337" s="4"/>
      <x:c r="FD337" s="4"/>
      <x:c r="FE337" s="4"/>
      <x:c r="FF337" s="4"/>
      <x:c r="FG337" s="4"/>
      <x:c r="FH337" s="4"/>
      <x:c r="FI337" s="4"/>
      <x:c r="FJ337" s="4"/>
      <x:c r="FK337" s="4"/>
      <x:c r="FL337" s="4"/>
      <x:c r="FM337" s="4"/>
      <x:c r="FN337" s="4"/>
      <x:c r="FO337" s="4"/>
      <x:c r="HE337" t="str">
        <x:f>IF('Calculations'!EM337="","",IF(IFERROR(IF(INDEX(INDIRECT("'WCM Calibration Final'!$A$1:$A$2000"),'Calculations'!$EM337)="","",TRIM(INDEX(INDIRECT("'WCM Calibration Final'!$A$1:$A$2000"),'Calculations'!$EM337)&amp;"")),"")&lt;&gt;"","G:"&amp;IFERROR(TEXT(1*INDEX(INDIRECT("'WCM Calibration Final'!$A$1:$A$2000"),'Calculations'!$EM337),"0"),UPPER(IFERROR(IF(INDEX(INDIRECT("'WCM Calibration Final'!$A$1:$A$2000"),'Calculations'!$EM337)="","",TRIM(INDEX(INDIRECT("'WCM Calibration Final'!$A$1:$A$2000"),'Calculations'!$EM337)&amp;"")),""))),IF(IFERROR(IF(INDEX(INDIRECT("'WCM Calibration Final'!$C$1:$C$2000"),'Calculations'!$EM337)="","",TRIM(INDEX(INDIRECT("'WCM Calibration Final'!$C$1:$C$2000"),'Calculations'!$EM337)&amp;"")),"")&lt;&gt;"","S:"&amp;UPPER(IFERROR(IF(INDEX(INDIRECT("'WCM Calibration Final'!$C$1:$C$2000"),'Calculations'!$EM337)="","",TRIM(INDEX(INDIRECT("'WCM Calibration Final'!$C$1:$C$2000"),'Calculations'!$EM337)&amp;"")),"")),"R:"&amp;'Calculations'!EM337)))</x:f>
      </x:c>
      <x:c r="HF337" t="str">
        <x:f>IF('Calculations'!EM337="","",IF(IFERROR(IF(INDEX(INDIRECT("'WCM Calibration Final'!$D$1:$D$2000"),'Calculations'!$EM337)="","",TRIM(INDEX(INDIRECT("'WCM Calibration Final'!$D$1:$D$2000"),'Calculations'!$EM337)&amp;"")),"")&lt;&gt;"","G:"&amp;IFERROR(TEXT(1*INDEX(INDIRECT("'WCM Calibration Final'!$D$1:$D$2000"),'Calculations'!$EM337),"0"),UPPER(IFERROR(IF(INDEX(INDIRECT("'WCM Calibration Final'!$D$1:$D$2000"),'Calculations'!$EM337)="","",TRIM(INDEX(INDIRECT("'WCM Calibration Final'!$D$1:$D$2000"),'Calculations'!$EM337)&amp;"")),""))),IF(IFERROR(IF(INDEX(INDIRECT("'WCM Calibration Final'!$E$1:$E$2000"),'Calculations'!$EM337)="","",TRIM(INDEX(INDIRECT("'WCM Calibration Final'!$E$1:$E$2000"),'Calculations'!$EM337)&amp;"")),"")="","",IF(COUNTIF('Calculations'!$HG$13:$HG$512,"="&amp;SUBSTITUTE(SUBSTITUTE(SUBSTITUTE(IFERROR(IF(INDEX(INDIRECT("'WCM Calibration Final'!$E$1:$E$2000"),'Calculations'!$EM337)="","",TRIM(INDEX(INDIRECT("'WCM Calibration Final'!$E$1:$E$2000"),'Calculations'!$EM337)&amp;"")),""),"~","~~"),"*","~*"),"?","~?"))=1,INDEX('Calculations'!$HE$13:$HE$512,MATCH(IFERROR(IF(INDEX(INDIRECT("'WCM Calibration Final'!$E$1:$E$2000"),'Calculations'!$EM337)="","",TRIM(INDEX(INDIRECT("'WCM Calibration Final'!$E$1:$E$2000"),'Calculations'!$EM337)&amp;"")),""),'Calculations'!$HG$13:$HG$512,0)),IF(COUNTIF('Calculations'!$HG$13:$HG$512,"="&amp;SUBSTITUTE(SUBSTITUTE(SUBSTITUTE(IFERROR(IF(INDEX(INDIRECT("'WCM Calibration Final'!$E$1:$E$2000"),'Calculations'!$EM337)="","",TRIM(INDEX(INDIRECT("'WCM Calibration Final'!$E$1:$E$2000"),'Calculations'!$EM337)&amp;"")),""),"~","~~"),"*","~*"),"?","~?"))&gt;1,"!AMBIG","X:"&amp;IFERROR(IF(INDEX(INDIRECT("'WCM Calibration Final'!$E$1:$E$2000"),'Calculations'!$EM337)="","",TRIM(INDEX(INDIRECT("'WCM Calibration Final'!$E$1:$E$2000"),'Calculations'!$EM337)&amp;"")),""))))))</x:f>
      </x:c>
      <x:c r="HG337" t="str">
        <x:f>IF('Calculations'!EM337="","",IFERROR(IF(INDEX(INDIRECT("'WCM Calibration Final'!$B$1:$B$2000"),'Calculations'!$EM337)="","",TRIM(INDEX(INDIRECT("'WCM Calibration Final'!$B$1:$B$2000"),'Calculations'!$EM337)&amp;"")),""))</x:f>
      </x:c>
      <x:c r="HH337" t="n">
        <x:f>IF(AND('Calculations'!JC337&gt;0,COUNTIF('Calculations'!$HF$12:HF337,"="&amp;SUBSTITUTE(SUBSTITUTE(SUBSTITUTE('Calculations'!HF337,"~","~~"),"*","~*"),"?","~?"))=1),MAX('Calculations'!$HH$12:HH336)+1,0)</x:f>
        <x:v>0</x:v>
      </x:c>
      <x:c r="HI337" t="n">
        <x:f>IF(AND('Calculations'!HN337&lt;&gt;"",COUNTIF('Calculations'!$HN$12:HN337,"="&amp;SUBSTITUTE(SUBSTITUTE(SUBSTITUTE('Calculations'!HN337,"~","~~"),"*","~*"),"?","~?"))=1),MAX('Calculations'!$HI$12:HI336)+1,0)</x:f>
        <x:v>0</x:v>
      </x:c>
      <x:c r="HJ337" t="str">
        <x:f>IF('Calculations'!HF337="","",IF(COUNTIF('Calculations'!$HE$13:$HE$512,"="&amp;SUBSTITUTE(SUBSTITUTE(SUBSTITUTE('Calculations'!HF337,"~","~~"),"*","~*"),"?","~?"))=1,INDEX('Calculations'!$HK$13:$HK$512,MATCH('Calculations'!HF337,'Calculations'!$HE$13:$HE$512,0)),IFERROR(IF(INDEX(INDIRECT("'WCM Calibration Final'!$E$1:$E$2000"),'Calculations'!$EM337)="","",TRIM(INDEX(INDIRECT("'WCM Calibration Final'!$E$1:$E$2000"),'Calculations'!$EM337)&amp;"")),"")&amp;" ["&amp;'Calculations'!HF337&amp;"]"))</x:f>
      </x:c>
      <x:c r="HK337" t="str">
        <x:f>IF('Calculations'!EM337="","",'Calculations'!HG337&amp;" ["&amp;'Calculations'!HE337&amp;"]")</x:f>
      </x:c>
      <x:c r="HL337" t="n">
        <x:f>IF('Calculations'!EM337="",0,IF(OR('Calculations'!II337&lt;&gt;"",COUNTIF('Calculations'!$HE$13:$HE$512,"="&amp;SUBSTITUTE(SUBSTITUTE(SUBSTITUTE('Calculations'!HE337,"~","~~"),"*","~*"),"?","~?"))&gt;1),1,0))</x:f>
        <x:v>0</x:v>
      </x:c>
      <x:c r="HM337" t="str">
        <x:f>IF('Calculations'!EM337="","",IF('Calculations'!HL337=1,"!UNRESOLVED",IF('Calculations'!IH337&lt;&gt;"",'Calculations'!IH337,IF('Calculations'!IG337&lt;&gt;"",'Calculations'!IG337,IF('Calculations'!IF337&lt;&gt;"",'Calculations'!IF337,IF('Calculations'!IE337&lt;&gt;"",'Calculations'!IE337,IF('Calculations'!ID337&lt;&gt;"",'Calculations'!ID337,IF('Calculations'!IC337&lt;&gt;"",'Calculations'!IC337,IF('Calculations'!IB337&lt;&gt;"",'Calculations'!IB337,IF('Calculations'!IA337&lt;&gt;"",'Calculations'!IA337,IF('Calculations'!HZ337&lt;&gt;"",'Calculations'!HZ337,IF('Calculations'!HY337&lt;&gt;"",'Calculations'!HY337,IF('Calculations'!HX337&lt;&gt;"",'Calculations'!HX337,IF('Calculations'!HW337&lt;&gt;"",'Calculations'!HW337,IF('Calculations'!HV337&lt;&gt;"",'Calculations'!HV337,IF('Calculations'!HU337&lt;&gt;"",'Calculations'!HU337,IF('Calculations'!HT337&lt;&gt;"",'Calculations'!HT337,IF('Calculations'!HS337&lt;&gt;"",'Calculations'!HS337,IF('Calculations'!HR337&lt;&gt;"",'Calculations'!HR337,IF('Calculations'!HQ337&lt;&gt;"",'Calculations'!HQ337,IF('Calculations'!HP337&lt;&gt;"",'Calculations'!HP337,IF('Calculations'!HO337&lt;&gt;"",'Calculations'!HO337,'Calculations'!HE337))))))))))))))))))))))</x:f>
      </x:c>
      <x:c r="HN337" t="str">
        <x:f>IF('Calculations'!EM337="","",IF(IFERROR(IF(INDEX(INDIRECT("'WCM Calibration Final'!$F$1:$F$2000"),'Calculations'!$EM337)="","",TRIM(INDEX(INDIRECT("'WCM Calibration Final'!$F$1:$F$2000"),'Calculations'!$EM337)&amp;"")),"")="","(Blank)",IFERROR(IF(INDEX(INDIRECT("'WCM Calibration Final'!$F$1:$F$2000"),'Calculations'!$EM337)="","",TRIM(INDEX(INDIRECT("'WCM Calibration Final'!$F$1:$F$2000"),'Calculations'!$EM337)&amp;"")),"")))</x:f>
      </x:c>
      <x:c r="HO337" t="str">
        <x:f>'Calculations'!HF337</x:f>
      </x:c>
      <x:c r="HP337" t="str">
        <x:f>IF('Calculations'!HO337="","",IF('Calculations'!HO337="!AMBIG","!AMBIG",IF(COUNTIF('Calculations'!$HE$13:$HE$512,"="&amp;SUBSTITUTE(SUBSTITUTE(SUBSTITUTE('Calculations'!HO337,"~","~~"),"*","~*"),"?","~?"))&gt;1,"!AMBIG",IFERROR(INDEX('Calculations'!$HF$13:$HF$512,MATCH('Calculations'!HO337,'Calculations'!$HE$13:$HE$512,0)),""))))</x:f>
      </x:c>
      <x:c r="HQ337" t="str">
        <x:f>IF('Calculations'!HP337="","",IF('Calculations'!HP337="!AMBIG","!AMBIG",IF(COUNTIF('Calculations'!$HE$13:$HE$512,"="&amp;SUBSTITUTE(SUBSTITUTE(SUBSTITUTE('Calculations'!HP337,"~","~~"),"*","~*"),"?","~?"))&gt;1,"!AMBIG",IFERROR(INDEX('Calculations'!$HF$13:$HF$512,MATCH('Calculations'!HP337,'Calculations'!$HE$13:$HE$512,0)),""))))</x:f>
      </x:c>
      <x:c r="HR337" t="str">
        <x:f>IF('Calculations'!HQ337="","",IF('Calculations'!HQ337="!AMBIG","!AMBIG",IF(COUNTIF('Calculations'!$HE$13:$HE$512,"="&amp;SUBSTITUTE(SUBSTITUTE(SUBSTITUTE('Calculations'!HQ337,"~","~~"),"*","~*"),"?","~?"))&gt;1,"!AMBIG",IFERROR(INDEX('Calculations'!$HF$13:$HF$512,MATCH('Calculations'!HQ337,'Calculations'!$HE$13:$HE$512,0)),""))))</x:f>
      </x:c>
      <x:c r="HS337" t="str">
        <x:f>IF('Calculations'!HR337="","",IF('Calculations'!HR337="!AMBIG","!AMBIG",IF(COUNTIF('Calculations'!$HE$13:$HE$512,"="&amp;SUBSTITUTE(SUBSTITUTE(SUBSTITUTE('Calculations'!HR337,"~","~~"),"*","~*"),"?","~?"))&gt;1,"!AMBIG",IFERROR(INDEX('Calculations'!$HF$13:$HF$512,MATCH('Calculations'!HR337,'Calculations'!$HE$13:$HE$512,0)),""))))</x:f>
      </x:c>
      <x:c r="HT337" t="str">
        <x:f>IF('Calculations'!HS337="","",IF('Calculations'!HS337="!AMBIG","!AMBIG",IF(COUNTIF('Calculations'!$HE$13:$HE$512,"="&amp;SUBSTITUTE(SUBSTITUTE(SUBSTITUTE('Calculations'!HS337,"~","~~"),"*","~*"),"?","~?"))&gt;1,"!AMBIG",IFERROR(INDEX('Calculations'!$HF$13:$HF$512,MATCH('Calculations'!HS337,'Calculations'!$HE$13:$HE$512,0)),""))))</x:f>
      </x:c>
      <x:c r="HU337" t="str">
        <x:f>IF('Calculations'!HT337="","",IF('Calculations'!HT337="!AMBIG","!AMBIG",IF(COUNTIF('Calculations'!$HE$13:$HE$512,"="&amp;SUBSTITUTE(SUBSTITUTE(SUBSTITUTE('Calculations'!HT337,"~","~~"),"*","~*"),"?","~?"))&gt;1,"!AMBIG",IFERROR(INDEX('Calculations'!$HF$13:$HF$512,MATCH('Calculations'!HT337,'Calculations'!$HE$13:$HE$512,0)),""))))</x:f>
      </x:c>
      <x:c r="HV337" t="str">
        <x:f>IF('Calculations'!HU337="","",IF('Calculations'!HU337="!AMBIG","!AMBIG",IF(COUNTIF('Calculations'!$HE$13:$HE$512,"="&amp;SUBSTITUTE(SUBSTITUTE(SUBSTITUTE('Calculations'!HU337,"~","~~"),"*","~*"),"?","~?"))&gt;1,"!AMBIG",IFERROR(INDEX('Calculations'!$HF$13:$HF$512,MATCH('Calculations'!HU337,'Calculations'!$HE$13:$HE$512,0)),""))))</x:f>
      </x:c>
      <x:c r="HW337" t="str">
        <x:f>IF('Calculations'!HV337="","",IF('Calculations'!HV337="!AMBIG","!AMBIG",IF(COUNTIF('Calculations'!$HE$13:$HE$512,"="&amp;SUBSTITUTE(SUBSTITUTE(SUBSTITUTE('Calculations'!HV337,"~","~~"),"*","~*"),"?","~?"))&gt;1,"!AMBIG",IFERROR(INDEX('Calculations'!$HF$13:$HF$512,MATCH('Calculations'!HV337,'Calculations'!$HE$13:$HE$512,0)),""))))</x:f>
      </x:c>
      <x:c r="HX337" t="str">
        <x:f>IF('Calculations'!HW337="","",IF('Calculations'!HW337="!AMBIG","!AMBIG",IF(COUNTIF('Calculations'!$HE$13:$HE$512,"="&amp;SUBSTITUTE(SUBSTITUTE(SUBSTITUTE('Calculations'!HW337,"~","~~"),"*","~*"),"?","~?"))&gt;1,"!AMBIG",IFERROR(INDEX('Calculations'!$HF$13:$HF$512,MATCH('Calculations'!HW337,'Calculations'!$HE$13:$HE$512,0)),""))))</x:f>
      </x:c>
      <x:c r="HY337" t="str">
        <x:f>IF('Calculations'!HX337="","",IF('Calculations'!HX337="!AMBIG","!AMBIG",IF(COUNTIF('Calculations'!$HE$13:$HE$512,"="&amp;SUBSTITUTE(SUBSTITUTE(SUBSTITUTE('Calculations'!HX337,"~","~~"),"*","~*"),"?","~?"))&gt;1,"!AMBIG",IFERROR(INDEX('Calculations'!$HF$13:$HF$512,MATCH('Calculations'!HX337,'Calculations'!$HE$13:$HE$512,0)),""))))</x:f>
      </x:c>
      <x:c r="HZ337" t="str">
        <x:f>IF('Calculations'!HY337="","",IF('Calculations'!HY337="!AMBIG","!AMBIG",IF(COUNTIF('Calculations'!$HE$13:$HE$512,"="&amp;SUBSTITUTE(SUBSTITUTE(SUBSTITUTE('Calculations'!HY337,"~","~~"),"*","~*"),"?","~?"))&gt;1,"!AMBIG",IFERROR(INDEX('Calculations'!$HF$13:$HF$512,MATCH('Calculations'!HY337,'Calculations'!$HE$13:$HE$512,0)),""))))</x:f>
      </x:c>
      <x:c r="IA337" t="str">
        <x:f>IF('Calculations'!HZ337="","",IF('Calculations'!HZ337="!AMBIG","!AMBIG",IF(COUNTIF('Calculations'!$HE$13:$HE$512,"="&amp;SUBSTITUTE(SUBSTITUTE(SUBSTITUTE('Calculations'!HZ337,"~","~~"),"*","~*"),"?","~?"))&gt;1,"!AMBIG",IFERROR(INDEX('Calculations'!$HF$13:$HF$512,MATCH('Calculations'!HZ337,'Calculations'!$HE$13:$HE$512,0)),""))))</x:f>
      </x:c>
      <x:c r="IB337" t="str">
        <x:f>IF('Calculations'!IA337="","",IF('Calculations'!IA337="!AMBIG","!AMBIG",IF(COUNTIF('Calculations'!$HE$13:$HE$512,"="&amp;SUBSTITUTE(SUBSTITUTE(SUBSTITUTE('Calculations'!IA337,"~","~~"),"*","~*"),"?","~?"))&gt;1,"!AMBIG",IFERROR(INDEX('Calculations'!$HF$13:$HF$512,MATCH('Calculations'!IA337,'Calculations'!$HE$13:$HE$512,0)),""))))</x:f>
      </x:c>
      <x:c r="IC337" t="str">
        <x:f>IF('Calculations'!IB337="","",IF('Calculations'!IB337="!AMBIG","!AMBIG",IF(COUNTIF('Calculations'!$HE$13:$HE$512,"="&amp;SUBSTITUTE(SUBSTITUTE(SUBSTITUTE('Calculations'!IB337,"~","~~"),"*","~*"),"?","~?"))&gt;1,"!AMBIG",IFERROR(INDEX('Calculations'!$HF$13:$HF$512,MATCH('Calculations'!IB337,'Calculations'!$HE$13:$HE$512,0)),""))))</x:f>
      </x:c>
      <x:c r="ID337" t="str">
        <x:f>IF('Calculations'!IC337="","",IF('Calculations'!IC337="!AMBIG","!AMBIG",IF(COUNTIF('Calculations'!$HE$13:$HE$512,"="&amp;SUBSTITUTE(SUBSTITUTE(SUBSTITUTE('Calculations'!IC337,"~","~~"),"*","~*"),"?","~?"))&gt;1,"!AMBIG",IFERROR(INDEX('Calculations'!$HF$13:$HF$512,MATCH('Calculations'!IC337,'Calculations'!$HE$13:$HE$512,0)),""))))</x:f>
      </x:c>
      <x:c r="IE337" t="str">
        <x:f>IF('Calculations'!ID337="","",IF('Calculations'!ID337="!AMBIG","!AMBIG",IF(COUNTIF('Calculations'!$HE$13:$HE$512,"="&amp;SUBSTITUTE(SUBSTITUTE(SUBSTITUTE('Calculations'!ID337,"~","~~"),"*","~*"),"?","~?"))&gt;1,"!AMBIG",IFERROR(INDEX('Calculations'!$HF$13:$HF$512,MATCH('Calculations'!ID337,'Calculations'!$HE$13:$HE$512,0)),""))))</x:f>
      </x:c>
      <x:c r="IF337" t="str">
        <x:f>IF('Calculations'!IE337="","",IF('Calculations'!IE337="!AMBIG","!AMBIG",IF(COUNTIF('Calculations'!$HE$13:$HE$512,"="&amp;SUBSTITUTE(SUBSTITUTE(SUBSTITUTE('Calculations'!IE337,"~","~~"),"*","~*"),"?","~?"))&gt;1,"!AMBIG",IFERROR(INDEX('Calculations'!$HF$13:$HF$512,MATCH('Calculations'!IE337,'Calculations'!$HE$13:$HE$512,0)),""))))</x:f>
      </x:c>
      <x:c r="IG337" t="str">
        <x:f>IF('Calculations'!IF337="","",IF('Calculations'!IF337="!AMBIG","!AMBIG",IF(COUNTIF('Calculations'!$HE$13:$HE$512,"="&amp;SUBSTITUTE(SUBSTITUTE(SUBSTITUTE('Calculations'!IF337,"~","~~"),"*","~*"),"?","~?"))&gt;1,"!AMBIG",IFERROR(INDEX('Calculations'!$HF$13:$HF$512,MATCH('Calculations'!IF337,'Calculations'!$HE$13:$HE$512,0)),""))))</x:f>
      </x:c>
      <x:c r="IH337" t="str">
        <x:f>IF('Calculations'!IG337="","",IF('Calculations'!IG337="!AMBIG","!AMBIG",IF(COUNTIF('Calculations'!$HE$13:$HE$512,"="&amp;SUBSTITUTE(SUBSTITUTE(SUBSTITUTE('Calculations'!IG337,"~","~~"),"*","~*"),"?","~?"))&gt;1,"!AMBIG",IFERROR(INDEX('Calculations'!$HF$13:$HF$512,MATCH('Calculations'!IG337,'Calculations'!$HE$13:$HE$512,0)),""))))</x:f>
      </x:c>
      <x:c r="II337" t="str">
        <x:f>IF('Calculations'!IH337="","",IF('Calculations'!IH337="!AMBIG","!AMBIG",IF(COUNTIF('Calculations'!$HE$13:$HE$512,"="&amp;SUBSTITUTE(SUBSTITUTE(SUBSTITUTE('Calculations'!IH337,"~","~~"),"*","~*"),"?","~?"))&gt;1,"!AMBIG",IFERROR(INDEX('Calculations'!$HF$13:$HF$512,MATCH('Calculations'!IH337,'Calculations'!$HE$13:$HE$512,0)),""))))</x:f>
      </x:c>
      <x:c r="IJ337" t="str">
        <x:f>IF('Calculations'!EM337="","",IF('Calculations'!$EF$2="All",'Calculations'!HM337,IF('Calculations'!HL337=1,"",IFERROR(IF(MATCH('Calculations'!$EF$2,'Calculations'!HO337:II337,0)=1,'Calculations'!HE337,INDEX('Calculations'!HO337:II337,1,MATCH('Calculations'!$EF$2,'Calculations'!HO337:II337,0)-1)),""))))</x:f>
      </x:c>
      <x:c r="IK337" t="n">
        <x:f>IF(AND('Calculations'!EM337&lt;&gt;"",'Calculations'!$EF$2&lt;&gt;"All",'Calculations'!HF337='Calculations'!$EF$2,'Calculations'!HL337=0,'Calculations'!JD337&gt;0),MAX('Calculations'!$IK$12:IK336)+1,0)</x:f>
        <x:v>0</x:v>
      </x:c>
      <x:c r="JA337" t="n">
        <x:f>IF(OR(IFERROR(INDIRECT("'WCM Calibration Final'!$A$337")&lt;&gt;"",FALSE),IFERROR(INDIRECT("'WCM Calibration Final'!$B$337")&lt;&gt;"",FALSE),IFERROR(INDIRECT("'WCM Calibration Final'!$C$337")&lt;&gt;"",FALSE)),337,0)</x:f>
        <x:v>0</x:v>
      </x:c>
      <x:c r="JB337" t="n">
        <x:f>'Calculations'!JB336+IF('Calculations'!JA337&gt;0,1,0)</x:f>
        <x:v>0</x:v>
      </x:c>
      <x:c r="JC337" t="n">
        <x:f>IF(OR('Calculations'!HF337="",'Calculations'!HF337="!AMBIG"),0,IF('Dashboard'!$B$7="All",1,COUNTIFS('Calculations'!$HO$13:$HO$512,"="&amp;SUBSTITUTE(SUBSTITUTE(SUBSTITUTE('Calculations'!HF337,"~","~~"),"*","~*"),"?","~?"),'Calculations'!$HN$13:$HN$512,"="&amp;SUBSTITUTE(SUBSTITUTE(SUBSTITUTE('Dashboard'!$B$7,"~","~~"),"*","~*"),"?","~?"))+COUNTIFS('Calculations'!$HP$13:$HP$512,"="&amp;SUBSTITUTE(SUBSTITUTE(SUBSTITUTE('Calculations'!HF337,"~","~~"),"*","~*"),"?","~?"),'Calculations'!$HN$13:$HN$512,"="&amp;SUBSTITUTE(SUBSTITUTE(SUBSTITUTE('Dashboard'!$B$7,"~","~~"),"*","~*"),"?","~?"))+COUNTIFS('Calculations'!$HQ$13:$HQ$512,"="&amp;SUBSTITUTE(SUBSTITUTE(SUBSTITUTE('Calculations'!HF337,"~","~~"),"*","~*"),"?","~?"),'Calculations'!$HN$13:$HN$512,"="&amp;SUBSTITUTE(SUBSTITUTE(SUBSTITUTE('Dashboard'!$B$7,"~","~~"),"*","~*"),"?","~?"))+COUNTIFS('Calculations'!$HR$13:$HR$512,"="&amp;SUBSTITUTE(SUBSTITUTE(SUBSTITUTE('Calculations'!HF337,"~","~~"),"*","~*"),"?","~?"),'Calculations'!$HN$13:$HN$512,"="&amp;SUBSTITUTE(SUBSTITUTE(SUBSTITUTE('Dashboard'!$B$7,"~","~~"),"*","~*"),"?","~?"))+COUNTIFS('Calculations'!$HS$13:$HS$512,"="&amp;SUBSTITUTE(SUBSTITUTE(SUBSTITUTE('Calculations'!HF337,"~","~~"),"*","~*"),"?","~?"),'Calculations'!$HN$13:$HN$512,"="&amp;SUBSTITUTE(SUBSTITUTE(SUBSTITUTE('Dashboard'!$B$7,"~","~~"),"*","~*"),"?","~?"))+COUNTIFS('Calculations'!$HT$13:$HT$512,"="&amp;SUBSTITUTE(SUBSTITUTE(SUBSTITUTE('Calculations'!HF337,"~","~~"),"*","~*"),"?","~?"),'Calculations'!$HN$13:$HN$512,"="&amp;SUBSTITUTE(SUBSTITUTE(SUBSTITUTE('Dashboard'!$B$7,"~","~~"),"*","~*"),"?","~?"))+COUNTIFS('Calculations'!$HU$13:$HU$512,"="&amp;SUBSTITUTE(SUBSTITUTE(SUBSTITUTE('Calculations'!HF337,"~","~~"),"*","~*"),"?","~?"),'Calculations'!$HN$13:$HN$512,"="&amp;SUBSTITUTE(SUBSTITUTE(SUBSTITUTE('Dashboard'!$B$7,"~","~~"),"*","~*"),"?","~?"))+COUNTIFS('Calculations'!$HV$13:$HV$512,"="&amp;SUBSTITUTE(SUBSTITUTE(SUBSTITUTE('Calculations'!HF337,"~","~~"),"*","~*"),"?","~?"),'Calculations'!$HN$13:$HN$512,"="&amp;SUBSTITUTE(SUBSTITUTE(SUBSTITUTE('Dashboard'!$B$7,"~","~~"),"*","~*"),"?","~?"))+COUNTIFS('Calculations'!$HW$13:$HW$512,"="&amp;SUBSTITUTE(SUBSTITUTE(SUBSTITUTE('Calculations'!HF337,"~","~~"),"*","~*"),"?","~?"),'Calculations'!$HN$13:$HN$512,"="&amp;SUBSTITUTE(SUBSTITUTE(SUBSTITUTE('Dashboard'!$B$7,"~","~~"),"*","~*"),"?","~?"))+COUNTIFS('Calculations'!$HX$13:$HX$512,"="&amp;SUBSTITUTE(SUBSTITUTE(SUBSTITUTE('Calculations'!HF337,"~","~~"),"*","~*"),"?","~?"),'Calculations'!$HN$13:$HN$512,"="&amp;SUBSTITUTE(SUBSTITUTE(SUBSTITUTE('Dashboard'!$B$7,"~","~~"),"*","~*"),"?","~?"))+COUNTIFS('Calculations'!$HY$13:$HY$512,"="&amp;SUBSTITUTE(SUBSTITUTE(SUBSTITUTE('Calculations'!HF337,"~","~~"),"*","~*"),"?","~?"),'Calculations'!$HN$13:$HN$512,"="&amp;SUBSTITUTE(SUBSTITUTE(SUBSTITUTE('Dashboard'!$B$7,"~","~~"),"*","~*"),"?","~?"))+COUNTIFS('Calculations'!$HZ$13:$HZ$512,"="&amp;SUBSTITUTE(SUBSTITUTE(SUBSTITUTE('Calculations'!HF337,"~","~~"),"*","~*"),"?","~?"),'Calculations'!$HN$13:$HN$512,"="&amp;SUBSTITUTE(SUBSTITUTE(SUBSTITUTE('Dashboard'!$B$7,"~","~~"),"*","~*"),"?","~?"))+COUNTIFS('Calculations'!$IA$13:$IA$512,"="&amp;SUBSTITUTE(SUBSTITUTE(SUBSTITUTE('Calculations'!HF337,"~","~~"),"*","~*"),"?","~?"),'Calculations'!$HN$13:$HN$512,"="&amp;SUBSTITUTE(SUBSTITUTE(SUBSTITUTE('Dashboard'!$B$7,"~","~~"),"*","~*"),"?","~?"))+COUNTIFS('Calculations'!$IB$13:$IB$512,"="&amp;SUBSTITUTE(SUBSTITUTE(SUBSTITUTE('Calculations'!HF337,"~","~~"),"*","~*"),"?","~?"),'Calculations'!$HN$13:$HN$512,"="&amp;SUBSTITUTE(SUBSTITUTE(SUBSTITUTE('Dashboard'!$B$7,"~","~~"),"*","~*"),"?","~?"))+COUNTIFS('Calculations'!$IC$13:$IC$512,"="&amp;SUBSTITUTE(SUBSTITUTE(SUBSTITUTE('Calculations'!HF337,"~","~~"),"*","~*"),"?","~?"),'Calculations'!$HN$13:$HN$512,"="&amp;SUBSTITUTE(SUBSTITUTE(SUBSTITUTE('Dashboard'!$B$7,"~","~~"),"*","~*"),"?","~?"))+COUNTIFS('Calculations'!$ID$13:$ID$512,"="&amp;SUBSTITUTE(SUBSTITUTE(SUBSTITUTE('Calculations'!HF337,"~","~~"),"*","~*"),"?","~?"),'Calculations'!$HN$13:$HN$512,"="&amp;SUBSTITUTE(SUBSTITUTE(SUBSTITUTE('Dashboard'!$B$7,"~","~~"),"*","~*"),"?","~?"))+COUNTIFS('Calculations'!$IE$13:$IE$512,"="&amp;SUBSTITUTE(SUBSTITUTE(SUBSTITUTE('Calculations'!HF337,"~","~~"),"*","~*"),"?","~?"),'Calculations'!$HN$13:$HN$512,"="&amp;SUBSTITUTE(SUBSTITUTE(SUBSTITUTE('Dashboard'!$B$7,"~","~~"),"*","~*"),"?","~?"))+COUNTIFS('Calculations'!$IF$13:$IF$512,"="&amp;SUBSTITUTE(SUBSTITUTE(SUBSTITUTE('Calculations'!HF337,"~","~~"),"*","~*"),"?","~?"),'Calculations'!$HN$13:$HN$512,"="&amp;SUBSTITUTE(SUBSTITUTE(SUBSTITUTE('Dashboard'!$B$7,"~","~~"),"*","~*"),"?","~?"))+COUNTIFS('Calculations'!$IG$13:$IG$512,"="&amp;SUBSTITUTE(SUBSTITUTE(SUBSTITUTE('Calculations'!HF337,"~","~~"),"*","~*"),"?","~?"),'Calculations'!$HN$13:$HN$512,"="&amp;SUBSTITUTE(SUBSTITUTE(SUBSTITUTE('Dashboard'!$B$7,"~","~~"),"*","~*"),"?","~?"))+COUNTIFS('Calculations'!$IH$13:$IH$512,"="&amp;SUBSTITUTE(SUBSTITUTE(SUBSTITUTE('Calculations'!HF337,"~","~~"),"*","~*"),"?","~?"),'Calculations'!$HN$13:$HN$512,"="&amp;SUBSTITUTE(SUBSTITUTE(SUBSTITUTE('Dashboard'!$B$7,"~","~~"),"*","~*"),"?","~?"))))</x:f>
        <x:v>0</x:v>
      </x:c>
      <x:c r="JD337" t="n">
        <x:f>IF('Calculations'!EM337="",0,IF('Dashboard'!$B$7="All",1,IF('Calculations'!HN337='Dashboard'!$B$7,1,0)+IFERROR(INDEX('Calculations'!$JC$13:$JC$512,MATCH('Calculations'!HE337,'Calculations'!$HF$13:$HF$512,0)),0)))</x:f>
        <x:v>0</x:v>
      </x:c>
      <x:c r="JE337" t="n">
        <x:f>IF(AND('Calculations'!EM337&lt;&gt;"",'Calculations'!$JJ$2&lt;&gt;"All",'Calculations'!$JJ$2&lt;&gt;"",'Calculations'!HF337='Calculations'!$JJ$2,'Calculations'!HL337=0,'Calculations'!JD337&gt;0),MAX('Calculations'!$JE$12:JE336)+1,0)</x:f>
        <x:v>0</x:v>
      </x:c>
      <x:c r="JF337" t="str">
        <x:f>IF('Calculations'!EM337="","",IFERROR(IF(INDEX(INDIRECT("'WCM Calibration Final'!$G$1:$G$2000"),'Calculations'!$EM337)="","",TRIM(INDEX(INDIRECT("'WCM Calibration Final'!$G$1:$G$2000"),'Calculations'!$EM337)&amp;"")),""))</x:f>
      </x:c>
      <x:c r="JQ337" t="n">
        <x:f>IF(OR('Calculations'!BM337=0,NOT('Calculations'!$AG$2),'Calculations'!$AG$8&gt;0),0,IF(OR('Dashboard'!$B$7="All",'Calculations'!HN337='Dashboard'!$B$7),IF('Calculations'!$JJ$2="All",1,IF(AND('Calculations'!HF337='Calculations'!$JJ$2,'Calculations'!HL337=0),1,0)),0))</x:f>
        <x:v>0</x:v>
      </x:c>
    </x:row>
    <x:row r="338">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t="n">
        <x:f>IF('Calculations'!$EM338="",0,IF(OR(IFERROR(INDEX(INDIRECT("'WCM Calibration Final'!$A$1:$A$2000"),'Calculations'!$EM338)&lt;&gt;"",FALSE),IFERROR(INDEX(INDIRECT("'WCM Calibration Final'!$B$1:$B$2000"),'Calculations'!$EM338)&lt;&gt;"",FALSE),IFERROR(INDEX(INDIRECT("'WCM Calibration Final'!$C$1:$C$2000"),'Calculations'!$EM338)&lt;&gt;"",FALSE)),1,0))</x:f>
        <x:v>0</x:v>
      </x:c>
      <x:c r="BN338" s="4" t="n">
        <x:f>IF(AND('Calculations'!BM338=1,'Calculations'!$AG$2,'Calculations'!$EN338=1),1,0)</x:f>
        <x:v>0</x:v>
      </x:c>
      <x:c r="BO338" s="4" t="str">
        <x:f>IF('Calculations'!BM338=0,"",IFERROR(IF(AND(VALUE(INDEX(INDIRECT("'WCM Calibration Final'!$K$1:$K$2000"),'Calculations'!$EM338))&gt;=1,VALUE(INDEX(INDIRECT("'WCM Calibration Final'!$K$1:$K$2000"),'Calculations'!$EM338))&lt;=4,MOD(VALUE(INDEX(INDIRECT("'WCM Calibration Final'!$K$1:$K$2000"),'Calculations'!$EM338)),1)=0),VALUE(INDEX(INDIRECT("'WCM Calibration Final'!$K$1:$K$2000"),'Calculations'!$EM338)),""),""))</x:f>
      </x:c>
      <x:c r="BP338" s="4" t="str">
        <x:f>IF('Calculations'!BM338=0,"",IFERROR(IF(AND(VALUE(INDEX(INDIRECT("'WCM Calibration Final'!$L$1:$L$2000"),'Calculations'!$EM338))&gt;=1,VALUE(INDEX(INDIRECT("'WCM Calibration Final'!$L$1:$L$2000"),'Calculations'!$EM338))&lt;=4,MOD(VALUE(INDEX(INDIRECT("'WCM Calibration Final'!$L$1:$L$2000"),'Calculations'!$EM338)),1)=0),VALUE(INDEX(INDIRECT("'WCM Calibration Final'!$L$1:$L$2000"),'Calculations'!$EM338)),""),""))</x:f>
      </x:c>
      <x:c r="BQ338" s="4"/>
      <x:c r="BR338" s="4"/>
      <x:c r="BS338" s="4"/>
      <x:c r="BT338" s="4" t="n">
        <x:f>IF(AND('Calculations'!BM338=1,ISNUMBER('Calculations'!BO338),ISNUMBER('Calculations'!BP338)),1,0)</x:f>
        <x:v>0</x:v>
      </x:c>
      <x:c r="BU338" s="4" t="str">
        <x:f>IF('Calculations'!BM338=0,"",'Calculations'!$EO338)</x:f>
      </x:c>
      <x:c r="BV338" s="4" t="str">
        <x:f>IF('Calculations'!BM338=0,"",IFERROR(IF(OR(INDEX(INDIRECT("'WCM Calibration Final'!$H$1:$H$2000"),'Calculations'!$EM338)="MANAGING DIRECTOR",INDEX(INDIRECT("'WCM Calibration Final'!$H$1:$H$2000"),'Calculations'!$EM338)="DIRECTOR",INDEX(INDIRECT("'WCM Calibration Final'!$H$1:$H$2000"),'Calculations'!$EM338)="SENIOR VICE PRESIDENT",INDEX(INDIRECT("'WCM Calibration Final'!$H$1:$H$2000"),'Calculations'!$EM338)="VICE PRESIDENT",INDEX(INDIRECT("'WCM Calibration Final'!$H$1:$H$2000"),'Calculations'!$EM338)="ASSISTANT VICE PRESIDENT",INDEX(INDIRECT("'WCM Calibration Final'!$H$1:$H$2000"),'Calculations'!$EM338)="OFFICER"),UPPER(INDEX(INDIRECT("'WCM Calibration Final'!$H$1:$H$2000"),'Calculations'!$EM338)),"Other"),"Other"))</x:f>
      </x:c>
      <x:c r="BW338" s="4"/>
      <x:c r="BX338" s="4"/>
      <x:c r="BY338" s="4" t="n">
        <x:f>IF(AND('Calculations'!BM338=1,'Calculations'!BU338&lt;&gt;"",COUNTIF('Calculations'!$BU$12:BU338,'Calculations'!BU338)=1),MAX('Calculations'!$BY$11:BY337)+1,0)</x:f>
        <x:v>0</x:v>
      </x:c>
      <x:c r="BZ338" s="4" t="str">
        <x:f>IF('Dashboard'!$E$67="What",'Calculations'!BO338,'Calculations'!BP338)</x:f>
      </x:c>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t="str">
        <x:f>IF(327&gt;MAX('Calculations'!$HI$13:$HI$512),"",INDEX('Calculations'!$HN$13:$HN$512,MATCH(327,'Calculations'!$HI$13:$HI$512,0)))</x:f>
      </x:c>
      <x:c r="DB338" s="4" t="str">
        <x:f>IF(327&gt;MAX('Calculations'!$HH$13:$HH$512),"",INDEX('Calculations'!$HJ$13:$HJ$512,MATCH(327,'Calculations'!$HH$13:$HH$512,0)))</x:f>
      </x:c>
      <x:c r="DC338" s="4" t="str">
        <x:f>IF(ROW()-11&gt;MAX('Calculations'!$BY$13:$BY$512),"",INDEX('Calculations'!$BU$13:$BU$512,MATCH(ROW()-11,'Calculations'!$BY$13:$BY$512,0)))</x:f>
      </x:c>
      <x:c r="DD338" s="4" t="str">
        <x:f>IF(327&gt;MAX('Calculations'!$IK$13:$IK$512),"",INDEX('Calculations'!$HK$13:$HK$512,MATCH(327,'Calculations'!$IK$13:$IK$512,0)))</x:f>
      </x:c>
      <x:c r="DE338" s="4" t="str">
        <x:f>'Calculations'!DC338</x:f>
      </x:c>
      <x:c r="DF338" s="4" t="str">
        <x:f>IF('Calculations'!DE338="","",COUNTIFS('Calculations'!$BN$13:$BN$512,1,'Calculations'!$BU$13:$BU$512,'Calculations'!DE338))</x:f>
      </x:c>
      <x:c r="DG338" s="4" t="str">
        <x:f>IF('Calculations'!DE338="","",COUNTIFS('Calculations'!$BN$13:$BN$512,1,'Calculations'!$BU$13:$BU$512,'Calculations'!DE338,'Calculations'!$BT$13:$BT$512,1))</x:f>
      </x:c>
      <x:c r="DH338" s="4" t="str">
        <x:f>IF('Calculations'!DE338="","",'Calculations'!DF338-'Calculations'!DG338)</x:f>
      </x:c>
      <x:c r="DI338" s="4" t="str">
        <x:f>IF(OR('Calculations'!DE338="",'Calculations'!DF338=0),"",'Calculations'!DG338/'Calculations'!DF338)</x:f>
      </x:c>
      <x:c r="DJ338" s="4" t="str">
        <x:f>IF('Calculations'!DE338="","",COUNTIFS('Calculations'!$BN$13:$BN$512,1,'Calculations'!$BU$13:$BU$512,'Calculations'!DE338,'Calculations'!$BT$13:$BT$512,1,'Calculations'!$EE$13:$EE$512,"High"))</x:f>
      </x:c>
      <x:c r="DK338" s="4" t="str">
        <x:f>IF('Calculations'!DE338="","",COUNTIFS('Calculations'!$BN$13:$BN$512,1,'Calculations'!$BU$13:$BU$512,'Calculations'!DE338,'Calculations'!$BT$13:$BT$512,1,'Calculations'!$EE$13:$EE$512,"Strong"))</x:f>
      </x:c>
      <x:c r="DL338" s="4" t="str">
        <x:f>IF('Calculations'!DE338="","",COUNTIFS('Calculations'!$BN$13:$BN$512,1,'Calculations'!$BU$13:$BU$512,'Calculations'!DE338,'Calculations'!$BT$13:$BT$512,1,'Calculations'!$EE$13:$EE$512,"Solid"))</x:f>
      </x:c>
      <x:c r="DM338" s="4" t="str">
        <x:f>IF('Calculations'!DE338="","",COUNTIFS('Calculations'!$BN$13:$BN$512,1,'Calculations'!$BU$13:$BU$512,'Calculations'!DE338,'Calculations'!$BT$13:$BT$512,1,'Calculations'!$EE$13:$EE$512,"Low"))</x:f>
      </x:c>
      <x:c r="DN338" s="4" t="str">
        <x:f>IF('Calculations'!DE338="","",COUNTIFS('Calculations'!$BN$13:$BN$512,1,'Calculations'!$BU$13:$BU$512,'Calculations'!DE338,'Calculations'!$EP$13:$EP$512,1))</x:f>
      </x:c>
      <x:c r="DO338" s="4" t="str">
        <x:f>IF(OR('Calculations'!DE338="",'Calculations'!DG338=0),"",('Calculations'!DJ338+'Calculations'!DK338)/'Calculations'!DG338)</x:f>
      </x:c>
      <x:c r="DP338" s="4" t="n">
        <x:f>IF(AND('Calculations'!DE338&lt;&gt;"",'Calculations'!DF338&gt;0),COUNTIF('Calculations'!$DF$12:DF338,"&gt;0"),0)</x:f>
        <x:v>0</x:v>
      </x:c>
      <x:c r="DQ338" s="4" t="str">
        <x:f>IF(327&gt;MAX('Calculations'!$HH$13:$HH$512),"",INDEX('Calculations'!$HF$13:$HF$512,MATCH(327,'Calculations'!$HH$13:$HH$512,0)))</x:f>
      </x:c>
      <x:c r="DR338" s="4" t="str">
        <x:f>IF(327&gt;MAX('Calculations'!$IK$13:$IK$512),"",INDEX('Calculations'!$HE$13:$HE$512,MATCH(327,'Calculations'!$IK$13:$IK$512,0)))</x:f>
      </x:c>
      <x:c r="DS338" s="4"/>
      <x:c r="DT338" s="4"/>
      <x:c r="DU338" s="4"/>
      <x:c r="DV338" s="4"/>
      <x:c r="DW338" s="4"/>
      <x:c r="DX338" s="4"/>
      <x:c r="DY338" s="4"/>
      <x:c r="DZ338" s="4"/>
      <x:c r="EA338" s="4"/>
      <x:c r="EB338" s="4"/>
      <x:c r="EC338" s="4"/>
      <x:c r="ED338" s="4"/>
      <x:c r="EE338" s="4" t="str">
        <x:f>IF('Calculations'!BT338=0,"Not Rated",IF(OR('Calculations'!BO338&gt;=4,'Calculations'!BP338&gt;=4),"Low",IF('Calculations'!BO338+'Calculations'!BP338&lt;=3,"High",IF('Calculations'!BO338+'Calculations'!BP338&lt;=4,"Strong","Solid"))))</x:f>
        <x:v>Not Rated</x:v>
      </x:c>
      <x:c r="EF338" s="4"/>
      <x:c r="EG338" s="4"/>
      <x:c r="EH338" s="4"/>
      <x:c r="EI338" s="4"/>
      <x:c r="EJ338" s="4"/>
      <x:c r="EK338" s="4"/>
      <x:c r="EL338" s="4"/>
      <x:c r="EM338" s="4" t="str">
        <x:f>IF(326&gt;'Calculations'!$JB$2000,"",INDEX('Calculations'!$JA$12:$JA$2000,MATCH(326,'Calculations'!$JB$12:$JB$2000,0)))</x:f>
      </x:c>
      <x:c r="EN338" s="4" t="n">
        <x:f>IF(OR('Calculations'!EM338="",'Calculations'!$AG$8&gt;0,AND('Calculations'!$EF$2&lt;&gt;"All",'Calculations'!HE338='Calculations'!$EF$2),AND('Calculations'!$EF$3&lt;&gt;"All",'Calculations'!HE338='Calculations'!$EF$3)),0,IF(OR('Dashboard'!$B$7="All",'Calculations'!HN338='Dashboard'!$B$7),IF('Calculations'!$EF$2="All",1,IF('Calculations'!HL338&gt;0,0,IF(COUNTIF('Calculations'!HO338:II338,"="&amp;SUBSTITUTE(SUBSTITUTE(SUBSTITUTE('Calculations'!$EF$2,"~","~~"),"*","~*"),"?","~?"))=0,0,IF('Calculations'!$EF$3="All",1,IF(COUNTIF('Calculations'!HO338:II338,"="&amp;SUBSTITUTE(SUBSTITUTE(SUBSTITUTE('Calculations'!$EF$3,"~","~~"),"*","~*"),"?","~?"))&gt;0,1,0))))),0))</x:f>
        <x:v>0</x:v>
      </x:c>
      <x:c r="EO338" s="4" t="str">
        <x:f>IF('Calculations'!IJ338="","",IF('Calculations'!IJ338="!UNRESOLVED","Unresolved hierarchy",IFERROR(INDEX('Calculations'!$HK$13:$HK$512,MATCH('Calculations'!IJ338,'Calculations'!$HE$13:$HE$512,0)),IFERROR(INDEX('Calculations'!$HJ$13:$HJ$512,MATCH('Calculations'!IJ338,'Calculations'!$HF$13:$HF$512,0)),'Calculations'!IJ338))))</x:f>
      </x:c>
      <x:c r="EP338" s="4" t="n">
        <x:f>IF(AND('Calculations'!EM338&lt;&gt;"",'Calculations'!HF338='Calculations'!IJ338),1,0)</x:f>
        <x:v>0</x:v>
      </x:c>
      <x:c r="EQ338" s="4"/>
      <x:c r="ER338" s="4"/>
      <x:c r="ES338" s="4"/>
      <x:c r="ET338" s="4"/>
      <x:c r="EU338" s="4"/>
      <x:c r="EV338" s="4"/>
      <x:c r="EW338" s="4"/>
      <x:c r="EX338" s="4"/>
      <x:c r="EY338" s="4"/>
      <x:c r="EZ338" s="4"/>
      <x:c r="FA338" s="4"/>
      <x:c r="FB338" s="4"/>
      <x:c r="FC338" s="4"/>
      <x:c r="FD338" s="4"/>
      <x:c r="FE338" s="4"/>
      <x:c r="FF338" s="4"/>
      <x:c r="FG338" s="4"/>
      <x:c r="FH338" s="4"/>
      <x:c r="FI338" s="4"/>
      <x:c r="FJ338" s="4"/>
      <x:c r="FK338" s="4"/>
      <x:c r="FL338" s="4"/>
      <x:c r="FM338" s="4"/>
      <x:c r="FN338" s="4"/>
      <x:c r="FO338" s="4"/>
      <x:c r="HE338" t="str">
        <x:f>IF('Calculations'!EM338="","",IF(IFERROR(IF(INDEX(INDIRECT("'WCM Calibration Final'!$A$1:$A$2000"),'Calculations'!$EM338)="","",TRIM(INDEX(INDIRECT("'WCM Calibration Final'!$A$1:$A$2000"),'Calculations'!$EM338)&amp;"")),"")&lt;&gt;"","G:"&amp;IFERROR(TEXT(1*INDEX(INDIRECT("'WCM Calibration Final'!$A$1:$A$2000"),'Calculations'!$EM338),"0"),UPPER(IFERROR(IF(INDEX(INDIRECT("'WCM Calibration Final'!$A$1:$A$2000"),'Calculations'!$EM338)="","",TRIM(INDEX(INDIRECT("'WCM Calibration Final'!$A$1:$A$2000"),'Calculations'!$EM338)&amp;"")),""))),IF(IFERROR(IF(INDEX(INDIRECT("'WCM Calibration Final'!$C$1:$C$2000"),'Calculations'!$EM338)="","",TRIM(INDEX(INDIRECT("'WCM Calibration Final'!$C$1:$C$2000"),'Calculations'!$EM338)&amp;"")),"")&lt;&gt;"","S:"&amp;UPPER(IFERROR(IF(INDEX(INDIRECT("'WCM Calibration Final'!$C$1:$C$2000"),'Calculations'!$EM338)="","",TRIM(INDEX(INDIRECT("'WCM Calibration Final'!$C$1:$C$2000"),'Calculations'!$EM338)&amp;"")),"")),"R:"&amp;'Calculations'!EM338)))</x:f>
      </x:c>
      <x:c r="HF338" t="str">
        <x:f>IF('Calculations'!EM338="","",IF(IFERROR(IF(INDEX(INDIRECT("'WCM Calibration Final'!$D$1:$D$2000"),'Calculations'!$EM338)="","",TRIM(INDEX(INDIRECT("'WCM Calibration Final'!$D$1:$D$2000"),'Calculations'!$EM338)&amp;"")),"")&lt;&gt;"","G:"&amp;IFERROR(TEXT(1*INDEX(INDIRECT("'WCM Calibration Final'!$D$1:$D$2000"),'Calculations'!$EM338),"0"),UPPER(IFERROR(IF(INDEX(INDIRECT("'WCM Calibration Final'!$D$1:$D$2000"),'Calculations'!$EM338)="","",TRIM(INDEX(INDIRECT("'WCM Calibration Final'!$D$1:$D$2000"),'Calculations'!$EM338)&amp;"")),""))),IF(IFERROR(IF(INDEX(INDIRECT("'WCM Calibration Final'!$E$1:$E$2000"),'Calculations'!$EM338)="","",TRIM(INDEX(INDIRECT("'WCM Calibration Final'!$E$1:$E$2000"),'Calculations'!$EM338)&amp;"")),"")="","",IF(COUNTIF('Calculations'!$HG$13:$HG$512,"="&amp;SUBSTITUTE(SUBSTITUTE(SUBSTITUTE(IFERROR(IF(INDEX(INDIRECT("'WCM Calibration Final'!$E$1:$E$2000"),'Calculations'!$EM338)="","",TRIM(INDEX(INDIRECT("'WCM Calibration Final'!$E$1:$E$2000"),'Calculations'!$EM338)&amp;"")),""),"~","~~"),"*","~*"),"?","~?"))=1,INDEX('Calculations'!$HE$13:$HE$512,MATCH(IFERROR(IF(INDEX(INDIRECT("'WCM Calibration Final'!$E$1:$E$2000"),'Calculations'!$EM338)="","",TRIM(INDEX(INDIRECT("'WCM Calibration Final'!$E$1:$E$2000"),'Calculations'!$EM338)&amp;"")),""),'Calculations'!$HG$13:$HG$512,0)),IF(COUNTIF('Calculations'!$HG$13:$HG$512,"="&amp;SUBSTITUTE(SUBSTITUTE(SUBSTITUTE(IFERROR(IF(INDEX(INDIRECT("'WCM Calibration Final'!$E$1:$E$2000"),'Calculations'!$EM338)="","",TRIM(INDEX(INDIRECT("'WCM Calibration Final'!$E$1:$E$2000"),'Calculations'!$EM338)&amp;"")),""),"~","~~"),"*","~*"),"?","~?"))&gt;1,"!AMBIG","X:"&amp;IFERROR(IF(INDEX(INDIRECT("'WCM Calibration Final'!$E$1:$E$2000"),'Calculations'!$EM338)="","",TRIM(INDEX(INDIRECT("'WCM Calibration Final'!$E$1:$E$2000"),'Calculations'!$EM338)&amp;"")),""))))))</x:f>
      </x:c>
      <x:c r="HG338" t="str">
        <x:f>IF('Calculations'!EM338="","",IFERROR(IF(INDEX(INDIRECT("'WCM Calibration Final'!$B$1:$B$2000"),'Calculations'!$EM338)="","",TRIM(INDEX(INDIRECT("'WCM Calibration Final'!$B$1:$B$2000"),'Calculations'!$EM338)&amp;"")),""))</x:f>
      </x:c>
      <x:c r="HH338" t="n">
        <x:f>IF(AND('Calculations'!JC338&gt;0,COUNTIF('Calculations'!$HF$12:HF338,"="&amp;SUBSTITUTE(SUBSTITUTE(SUBSTITUTE('Calculations'!HF338,"~","~~"),"*","~*"),"?","~?"))=1),MAX('Calculations'!$HH$12:HH337)+1,0)</x:f>
        <x:v>0</x:v>
      </x:c>
      <x:c r="HI338" t="n">
        <x:f>IF(AND('Calculations'!HN338&lt;&gt;"",COUNTIF('Calculations'!$HN$12:HN338,"="&amp;SUBSTITUTE(SUBSTITUTE(SUBSTITUTE('Calculations'!HN338,"~","~~"),"*","~*"),"?","~?"))=1),MAX('Calculations'!$HI$12:HI337)+1,0)</x:f>
        <x:v>0</x:v>
      </x:c>
      <x:c r="HJ338" t="str">
        <x:f>IF('Calculations'!HF338="","",IF(COUNTIF('Calculations'!$HE$13:$HE$512,"="&amp;SUBSTITUTE(SUBSTITUTE(SUBSTITUTE('Calculations'!HF338,"~","~~"),"*","~*"),"?","~?"))=1,INDEX('Calculations'!$HK$13:$HK$512,MATCH('Calculations'!HF338,'Calculations'!$HE$13:$HE$512,0)),IFERROR(IF(INDEX(INDIRECT("'WCM Calibration Final'!$E$1:$E$2000"),'Calculations'!$EM338)="","",TRIM(INDEX(INDIRECT("'WCM Calibration Final'!$E$1:$E$2000"),'Calculations'!$EM338)&amp;"")),"")&amp;" ["&amp;'Calculations'!HF338&amp;"]"))</x:f>
      </x:c>
      <x:c r="HK338" t="str">
        <x:f>IF('Calculations'!EM338="","",'Calculations'!HG338&amp;" ["&amp;'Calculations'!HE338&amp;"]")</x:f>
      </x:c>
      <x:c r="HL338" t="n">
        <x:f>IF('Calculations'!EM338="",0,IF(OR('Calculations'!II338&lt;&gt;"",COUNTIF('Calculations'!$HE$13:$HE$512,"="&amp;SUBSTITUTE(SUBSTITUTE(SUBSTITUTE('Calculations'!HE338,"~","~~"),"*","~*"),"?","~?"))&gt;1),1,0))</x:f>
        <x:v>0</x:v>
      </x:c>
      <x:c r="HM338" t="str">
        <x:f>IF('Calculations'!EM338="","",IF('Calculations'!HL338=1,"!UNRESOLVED",IF('Calculations'!IH338&lt;&gt;"",'Calculations'!IH338,IF('Calculations'!IG338&lt;&gt;"",'Calculations'!IG338,IF('Calculations'!IF338&lt;&gt;"",'Calculations'!IF338,IF('Calculations'!IE338&lt;&gt;"",'Calculations'!IE338,IF('Calculations'!ID338&lt;&gt;"",'Calculations'!ID338,IF('Calculations'!IC338&lt;&gt;"",'Calculations'!IC338,IF('Calculations'!IB338&lt;&gt;"",'Calculations'!IB338,IF('Calculations'!IA338&lt;&gt;"",'Calculations'!IA338,IF('Calculations'!HZ338&lt;&gt;"",'Calculations'!HZ338,IF('Calculations'!HY338&lt;&gt;"",'Calculations'!HY338,IF('Calculations'!HX338&lt;&gt;"",'Calculations'!HX338,IF('Calculations'!HW338&lt;&gt;"",'Calculations'!HW338,IF('Calculations'!HV338&lt;&gt;"",'Calculations'!HV338,IF('Calculations'!HU338&lt;&gt;"",'Calculations'!HU338,IF('Calculations'!HT338&lt;&gt;"",'Calculations'!HT338,IF('Calculations'!HS338&lt;&gt;"",'Calculations'!HS338,IF('Calculations'!HR338&lt;&gt;"",'Calculations'!HR338,IF('Calculations'!HQ338&lt;&gt;"",'Calculations'!HQ338,IF('Calculations'!HP338&lt;&gt;"",'Calculations'!HP338,IF('Calculations'!HO338&lt;&gt;"",'Calculations'!HO338,'Calculations'!HE338))))))))))))))))))))))</x:f>
      </x:c>
      <x:c r="HN338" t="str">
        <x:f>IF('Calculations'!EM338="","",IF(IFERROR(IF(INDEX(INDIRECT("'WCM Calibration Final'!$F$1:$F$2000"),'Calculations'!$EM338)="","",TRIM(INDEX(INDIRECT("'WCM Calibration Final'!$F$1:$F$2000"),'Calculations'!$EM338)&amp;"")),"")="","(Blank)",IFERROR(IF(INDEX(INDIRECT("'WCM Calibration Final'!$F$1:$F$2000"),'Calculations'!$EM338)="","",TRIM(INDEX(INDIRECT("'WCM Calibration Final'!$F$1:$F$2000"),'Calculations'!$EM338)&amp;"")),"")))</x:f>
      </x:c>
      <x:c r="HO338" t="str">
        <x:f>'Calculations'!HF338</x:f>
      </x:c>
      <x:c r="HP338" t="str">
        <x:f>IF('Calculations'!HO338="","",IF('Calculations'!HO338="!AMBIG","!AMBIG",IF(COUNTIF('Calculations'!$HE$13:$HE$512,"="&amp;SUBSTITUTE(SUBSTITUTE(SUBSTITUTE('Calculations'!HO338,"~","~~"),"*","~*"),"?","~?"))&gt;1,"!AMBIG",IFERROR(INDEX('Calculations'!$HF$13:$HF$512,MATCH('Calculations'!HO338,'Calculations'!$HE$13:$HE$512,0)),""))))</x:f>
      </x:c>
      <x:c r="HQ338" t="str">
        <x:f>IF('Calculations'!HP338="","",IF('Calculations'!HP338="!AMBIG","!AMBIG",IF(COUNTIF('Calculations'!$HE$13:$HE$512,"="&amp;SUBSTITUTE(SUBSTITUTE(SUBSTITUTE('Calculations'!HP338,"~","~~"),"*","~*"),"?","~?"))&gt;1,"!AMBIG",IFERROR(INDEX('Calculations'!$HF$13:$HF$512,MATCH('Calculations'!HP338,'Calculations'!$HE$13:$HE$512,0)),""))))</x:f>
      </x:c>
      <x:c r="HR338" t="str">
        <x:f>IF('Calculations'!HQ338="","",IF('Calculations'!HQ338="!AMBIG","!AMBIG",IF(COUNTIF('Calculations'!$HE$13:$HE$512,"="&amp;SUBSTITUTE(SUBSTITUTE(SUBSTITUTE('Calculations'!HQ338,"~","~~"),"*","~*"),"?","~?"))&gt;1,"!AMBIG",IFERROR(INDEX('Calculations'!$HF$13:$HF$512,MATCH('Calculations'!HQ338,'Calculations'!$HE$13:$HE$512,0)),""))))</x:f>
      </x:c>
      <x:c r="HS338" t="str">
        <x:f>IF('Calculations'!HR338="","",IF('Calculations'!HR338="!AMBIG","!AMBIG",IF(COUNTIF('Calculations'!$HE$13:$HE$512,"="&amp;SUBSTITUTE(SUBSTITUTE(SUBSTITUTE('Calculations'!HR338,"~","~~"),"*","~*"),"?","~?"))&gt;1,"!AMBIG",IFERROR(INDEX('Calculations'!$HF$13:$HF$512,MATCH('Calculations'!HR338,'Calculations'!$HE$13:$HE$512,0)),""))))</x:f>
      </x:c>
      <x:c r="HT338" t="str">
        <x:f>IF('Calculations'!HS338="","",IF('Calculations'!HS338="!AMBIG","!AMBIG",IF(COUNTIF('Calculations'!$HE$13:$HE$512,"="&amp;SUBSTITUTE(SUBSTITUTE(SUBSTITUTE('Calculations'!HS338,"~","~~"),"*","~*"),"?","~?"))&gt;1,"!AMBIG",IFERROR(INDEX('Calculations'!$HF$13:$HF$512,MATCH('Calculations'!HS338,'Calculations'!$HE$13:$HE$512,0)),""))))</x:f>
      </x:c>
      <x:c r="HU338" t="str">
        <x:f>IF('Calculations'!HT338="","",IF('Calculations'!HT338="!AMBIG","!AMBIG",IF(COUNTIF('Calculations'!$HE$13:$HE$512,"="&amp;SUBSTITUTE(SUBSTITUTE(SUBSTITUTE('Calculations'!HT338,"~","~~"),"*","~*"),"?","~?"))&gt;1,"!AMBIG",IFERROR(INDEX('Calculations'!$HF$13:$HF$512,MATCH('Calculations'!HT338,'Calculations'!$HE$13:$HE$512,0)),""))))</x:f>
      </x:c>
      <x:c r="HV338" t="str">
        <x:f>IF('Calculations'!HU338="","",IF('Calculations'!HU338="!AMBIG","!AMBIG",IF(COUNTIF('Calculations'!$HE$13:$HE$512,"="&amp;SUBSTITUTE(SUBSTITUTE(SUBSTITUTE('Calculations'!HU338,"~","~~"),"*","~*"),"?","~?"))&gt;1,"!AMBIG",IFERROR(INDEX('Calculations'!$HF$13:$HF$512,MATCH('Calculations'!HU338,'Calculations'!$HE$13:$HE$512,0)),""))))</x:f>
      </x:c>
      <x:c r="HW338" t="str">
        <x:f>IF('Calculations'!HV338="","",IF('Calculations'!HV338="!AMBIG","!AMBIG",IF(COUNTIF('Calculations'!$HE$13:$HE$512,"="&amp;SUBSTITUTE(SUBSTITUTE(SUBSTITUTE('Calculations'!HV338,"~","~~"),"*","~*"),"?","~?"))&gt;1,"!AMBIG",IFERROR(INDEX('Calculations'!$HF$13:$HF$512,MATCH('Calculations'!HV338,'Calculations'!$HE$13:$HE$512,0)),""))))</x:f>
      </x:c>
      <x:c r="HX338" t="str">
        <x:f>IF('Calculations'!HW338="","",IF('Calculations'!HW338="!AMBIG","!AMBIG",IF(COUNTIF('Calculations'!$HE$13:$HE$512,"="&amp;SUBSTITUTE(SUBSTITUTE(SUBSTITUTE('Calculations'!HW338,"~","~~"),"*","~*"),"?","~?"))&gt;1,"!AMBIG",IFERROR(INDEX('Calculations'!$HF$13:$HF$512,MATCH('Calculations'!HW338,'Calculations'!$HE$13:$HE$512,0)),""))))</x:f>
      </x:c>
      <x:c r="HY338" t="str">
        <x:f>IF('Calculations'!HX338="","",IF('Calculations'!HX338="!AMBIG","!AMBIG",IF(COUNTIF('Calculations'!$HE$13:$HE$512,"="&amp;SUBSTITUTE(SUBSTITUTE(SUBSTITUTE('Calculations'!HX338,"~","~~"),"*","~*"),"?","~?"))&gt;1,"!AMBIG",IFERROR(INDEX('Calculations'!$HF$13:$HF$512,MATCH('Calculations'!HX338,'Calculations'!$HE$13:$HE$512,0)),""))))</x:f>
      </x:c>
      <x:c r="HZ338" t="str">
        <x:f>IF('Calculations'!HY338="","",IF('Calculations'!HY338="!AMBIG","!AMBIG",IF(COUNTIF('Calculations'!$HE$13:$HE$512,"="&amp;SUBSTITUTE(SUBSTITUTE(SUBSTITUTE('Calculations'!HY338,"~","~~"),"*","~*"),"?","~?"))&gt;1,"!AMBIG",IFERROR(INDEX('Calculations'!$HF$13:$HF$512,MATCH('Calculations'!HY338,'Calculations'!$HE$13:$HE$512,0)),""))))</x:f>
      </x:c>
      <x:c r="IA338" t="str">
        <x:f>IF('Calculations'!HZ338="","",IF('Calculations'!HZ338="!AMBIG","!AMBIG",IF(COUNTIF('Calculations'!$HE$13:$HE$512,"="&amp;SUBSTITUTE(SUBSTITUTE(SUBSTITUTE('Calculations'!HZ338,"~","~~"),"*","~*"),"?","~?"))&gt;1,"!AMBIG",IFERROR(INDEX('Calculations'!$HF$13:$HF$512,MATCH('Calculations'!HZ338,'Calculations'!$HE$13:$HE$512,0)),""))))</x:f>
      </x:c>
      <x:c r="IB338" t="str">
        <x:f>IF('Calculations'!IA338="","",IF('Calculations'!IA338="!AMBIG","!AMBIG",IF(COUNTIF('Calculations'!$HE$13:$HE$512,"="&amp;SUBSTITUTE(SUBSTITUTE(SUBSTITUTE('Calculations'!IA338,"~","~~"),"*","~*"),"?","~?"))&gt;1,"!AMBIG",IFERROR(INDEX('Calculations'!$HF$13:$HF$512,MATCH('Calculations'!IA338,'Calculations'!$HE$13:$HE$512,0)),""))))</x:f>
      </x:c>
      <x:c r="IC338" t="str">
        <x:f>IF('Calculations'!IB338="","",IF('Calculations'!IB338="!AMBIG","!AMBIG",IF(COUNTIF('Calculations'!$HE$13:$HE$512,"="&amp;SUBSTITUTE(SUBSTITUTE(SUBSTITUTE('Calculations'!IB338,"~","~~"),"*","~*"),"?","~?"))&gt;1,"!AMBIG",IFERROR(INDEX('Calculations'!$HF$13:$HF$512,MATCH('Calculations'!IB338,'Calculations'!$HE$13:$HE$512,0)),""))))</x:f>
      </x:c>
      <x:c r="ID338" t="str">
        <x:f>IF('Calculations'!IC338="","",IF('Calculations'!IC338="!AMBIG","!AMBIG",IF(COUNTIF('Calculations'!$HE$13:$HE$512,"="&amp;SUBSTITUTE(SUBSTITUTE(SUBSTITUTE('Calculations'!IC338,"~","~~"),"*","~*"),"?","~?"))&gt;1,"!AMBIG",IFERROR(INDEX('Calculations'!$HF$13:$HF$512,MATCH('Calculations'!IC338,'Calculations'!$HE$13:$HE$512,0)),""))))</x:f>
      </x:c>
      <x:c r="IE338" t="str">
        <x:f>IF('Calculations'!ID338="","",IF('Calculations'!ID338="!AMBIG","!AMBIG",IF(COUNTIF('Calculations'!$HE$13:$HE$512,"="&amp;SUBSTITUTE(SUBSTITUTE(SUBSTITUTE('Calculations'!ID338,"~","~~"),"*","~*"),"?","~?"))&gt;1,"!AMBIG",IFERROR(INDEX('Calculations'!$HF$13:$HF$512,MATCH('Calculations'!ID338,'Calculations'!$HE$13:$HE$512,0)),""))))</x:f>
      </x:c>
      <x:c r="IF338" t="str">
        <x:f>IF('Calculations'!IE338="","",IF('Calculations'!IE338="!AMBIG","!AMBIG",IF(COUNTIF('Calculations'!$HE$13:$HE$512,"="&amp;SUBSTITUTE(SUBSTITUTE(SUBSTITUTE('Calculations'!IE338,"~","~~"),"*","~*"),"?","~?"))&gt;1,"!AMBIG",IFERROR(INDEX('Calculations'!$HF$13:$HF$512,MATCH('Calculations'!IE338,'Calculations'!$HE$13:$HE$512,0)),""))))</x:f>
      </x:c>
      <x:c r="IG338" t="str">
        <x:f>IF('Calculations'!IF338="","",IF('Calculations'!IF338="!AMBIG","!AMBIG",IF(COUNTIF('Calculations'!$HE$13:$HE$512,"="&amp;SUBSTITUTE(SUBSTITUTE(SUBSTITUTE('Calculations'!IF338,"~","~~"),"*","~*"),"?","~?"))&gt;1,"!AMBIG",IFERROR(INDEX('Calculations'!$HF$13:$HF$512,MATCH('Calculations'!IF338,'Calculations'!$HE$13:$HE$512,0)),""))))</x:f>
      </x:c>
      <x:c r="IH338" t="str">
        <x:f>IF('Calculations'!IG338="","",IF('Calculations'!IG338="!AMBIG","!AMBIG",IF(COUNTIF('Calculations'!$HE$13:$HE$512,"="&amp;SUBSTITUTE(SUBSTITUTE(SUBSTITUTE('Calculations'!IG338,"~","~~"),"*","~*"),"?","~?"))&gt;1,"!AMBIG",IFERROR(INDEX('Calculations'!$HF$13:$HF$512,MATCH('Calculations'!IG338,'Calculations'!$HE$13:$HE$512,0)),""))))</x:f>
      </x:c>
      <x:c r="II338" t="str">
        <x:f>IF('Calculations'!IH338="","",IF('Calculations'!IH338="!AMBIG","!AMBIG",IF(COUNTIF('Calculations'!$HE$13:$HE$512,"="&amp;SUBSTITUTE(SUBSTITUTE(SUBSTITUTE('Calculations'!IH338,"~","~~"),"*","~*"),"?","~?"))&gt;1,"!AMBIG",IFERROR(INDEX('Calculations'!$HF$13:$HF$512,MATCH('Calculations'!IH338,'Calculations'!$HE$13:$HE$512,0)),""))))</x:f>
      </x:c>
      <x:c r="IJ338" t="str">
        <x:f>IF('Calculations'!EM338="","",IF('Calculations'!$EF$2="All",'Calculations'!HM338,IF('Calculations'!HL338=1,"",IFERROR(IF(MATCH('Calculations'!$EF$2,'Calculations'!HO338:II338,0)=1,'Calculations'!HE338,INDEX('Calculations'!HO338:II338,1,MATCH('Calculations'!$EF$2,'Calculations'!HO338:II338,0)-1)),""))))</x:f>
      </x:c>
      <x:c r="IK338" t="n">
        <x:f>IF(AND('Calculations'!EM338&lt;&gt;"",'Calculations'!$EF$2&lt;&gt;"All",'Calculations'!HF338='Calculations'!$EF$2,'Calculations'!HL338=0,'Calculations'!JD338&gt;0),MAX('Calculations'!$IK$12:IK337)+1,0)</x:f>
        <x:v>0</x:v>
      </x:c>
      <x:c r="JA338" t="n">
        <x:f>IF(OR(IFERROR(INDIRECT("'WCM Calibration Final'!$A$338")&lt;&gt;"",FALSE),IFERROR(INDIRECT("'WCM Calibration Final'!$B$338")&lt;&gt;"",FALSE),IFERROR(INDIRECT("'WCM Calibration Final'!$C$338")&lt;&gt;"",FALSE)),338,0)</x:f>
        <x:v>0</x:v>
      </x:c>
      <x:c r="JB338" t="n">
        <x:f>'Calculations'!JB337+IF('Calculations'!JA338&gt;0,1,0)</x:f>
        <x:v>0</x:v>
      </x:c>
      <x:c r="JC338" t="n">
        <x:f>IF(OR('Calculations'!HF338="",'Calculations'!HF338="!AMBIG"),0,IF('Dashboard'!$B$7="All",1,COUNTIFS('Calculations'!$HO$13:$HO$512,"="&amp;SUBSTITUTE(SUBSTITUTE(SUBSTITUTE('Calculations'!HF338,"~","~~"),"*","~*"),"?","~?"),'Calculations'!$HN$13:$HN$512,"="&amp;SUBSTITUTE(SUBSTITUTE(SUBSTITUTE('Dashboard'!$B$7,"~","~~"),"*","~*"),"?","~?"))+COUNTIFS('Calculations'!$HP$13:$HP$512,"="&amp;SUBSTITUTE(SUBSTITUTE(SUBSTITUTE('Calculations'!HF338,"~","~~"),"*","~*"),"?","~?"),'Calculations'!$HN$13:$HN$512,"="&amp;SUBSTITUTE(SUBSTITUTE(SUBSTITUTE('Dashboard'!$B$7,"~","~~"),"*","~*"),"?","~?"))+COUNTIFS('Calculations'!$HQ$13:$HQ$512,"="&amp;SUBSTITUTE(SUBSTITUTE(SUBSTITUTE('Calculations'!HF338,"~","~~"),"*","~*"),"?","~?"),'Calculations'!$HN$13:$HN$512,"="&amp;SUBSTITUTE(SUBSTITUTE(SUBSTITUTE('Dashboard'!$B$7,"~","~~"),"*","~*"),"?","~?"))+COUNTIFS('Calculations'!$HR$13:$HR$512,"="&amp;SUBSTITUTE(SUBSTITUTE(SUBSTITUTE('Calculations'!HF338,"~","~~"),"*","~*"),"?","~?"),'Calculations'!$HN$13:$HN$512,"="&amp;SUBSTITUTE(SUBSTITUTE(SUBSTITUTE('Dashboard'!$B$7,"~","~~"),"*","~*"),"?","~?"))+COUNTIFS('Calculations'!$HS$13:$HS$512,"="&amp;SUBSTITUTE(SUBSTITUTE(SUBSTITUTE('Calculations'!HF338,"~","~~"),"*","~*"),"?","~?"),'Calculations'!$HN$13:$HN$512,"="&amp;SUBSTITUTE(SUBSTITUTE(SUBSTITUTE('Dashboard'!$B$7,"~","~~"),"*","~*"),"?","~?"))+COUNTIFS('Calculations'!$HT$13:$HT$512,"="&amp;SUBSTITUTE(SUBSTITUTE(SUBSTITUTE('Calculations'!HF338,"~","~~"),"*","~*"),"?","~?"),'Calculations'!$HN$13:$HN$512,"="&amp;SUBSTITUTE(SUBSTITUTE(SUBSTITUTE('Dashboard'!$B$7,"~","~~"),"*","~*"),"?","~?"))+COUNTIFS('Calculations'!$HU$13:$HU$512,"="&amp;SUBSTITUTE(SUBSTITUTE(SUBSTITUTE('Calculations'!HF338,"~","~~"),"*","~*"),"?","~?"),'Calculations'!$HN$13:$HN$512,"="&amp;SUBSTITUTE(SUBSTITUTE(SUBSTITUTE('Dashboard'!$B$7,"~","~~"),"*","~*"),"?","~?"))+COUNTIFS('Calculations'!$HV$13:$HV$512,"="&amp;SUBSTITUTE(SUBSTITUTE(SUBSTITUTE('Calculations'!HF338,"~","~~"),"*","~*"),"?","~?"),'Calculations'!$HN$13:$HN$512,"="&amp;SUBSTITUTE(SUBSTITUTE(SUBSTITUTE('Dashboard'!$B$7,"~","~~"),"*","~*"),"?","~?"))+COUNTIFS('Calculations'!$HW$13:$HW$512,"="&amp;SUBSTITUTE(SUBSTITUTE(SUBSTITUTE('Calculations'!HF338,"~","~~"),"*","~*"),"?","~?"),'Calculations'!$HN$13:$HN$512,"="&amp;SUBSTITUTE(SUBSTITUTE(SUBSTITUTE('Dashboard'!$B$7,"~","~~"),"*","~*"),"?","~?"))+COUNTIFS('Calculations'!$HX$13:$HX$512,"="&amp;SUBSTITUTE(SUBSTITUTE(SUBSTITUTE('Calculations'!HF338,"~","~~"),"*","~*"),"?","~?"),'Calculations'!$HN$13:$HN$512,"="&amp;SUBSTITUTE(SUBSTITUTE(SUBSTITUTE('Dashboard'!$B$7,"~","~~"),"*","~*"),"?","~?"))+COUNTIFS('Calculations'!$HY$13:$HY$512,"="&amp;SUBSTITUTE(SUBSTITUTE(SUBSTITUTE('Calculations'!HF338,"~","~~"),"*","~*"),"?","~?"),'Calculations'!$HN$13:$HN$512,"="&amp;SUBSTITUTE(SUBSTITUTE(SUBSTITUTE('Dashboard'!$B$7,"~","~~"),"*","~*"),"?","~?"))+COUNTIFS('Calculations'!$HZ$13:$HZ$512,"="&amp;SUBSTITUTE(SUBSTITUTE(SUBSTITUTE('Calculations'!HF338,"~","~~"),"*","~*"),"?","~?"),'Calculations'!$HN$13:$HN$512,"="&amp;SUBSTITUTE(SUBSTITUTE(SUBSTITUTE('Dashboard'!$B$7,"~","~~"),"*","~*"),"?","~?"))+COUNTIFS('Calculations'!$IA$13:$IA$512,"="&amp;SUBSTITUTE(SUBSTITUTE(SUBSTITUTE('Calculations'!HF338,"~","~~"),"*","~*"),"?","~?"),'Calculations'!$HN$13:$HN$512,"="&amp;SUBSTITUTE(SUBSTITUTE(SUBSTITUTE('Dashboard'!$B$7,"~","~~"),"*","~*"),"?","~?"))+COUNTIFS('Calculations'!$IB$13:$IB$512,"="&amp;SUBSTITUTE(SUBSTITUTE(SUBSTITUTE('Calculations'!HF338,"~","~~"),"*","~*"),"?","~?"),'Calculations'!$HN$13:$HN$512,"="&amp;SUBSTITUTE(SUBSTITUTE(SUBSTITUTE('Dashboard'!$B$7,"~","~~"),"*","~*"),"?","~?"))+COUNTIFS('Calculations'!$IC$13:$IC$512,"="&amp;SUBSTITUTE(SUBSTITUTE(SUBSTITUTE('Calculations'!HF338,"~","~~"),"*","~*"),"?","~?"),'Calculations'!$HN$13:$HN$512,"="&amp;SUBSTITUTE(SUBSTITUTE(SUBSTITUTE('Dashboard'!$B$7,"~","~~"),"*","~*"),"?","~?"))+COUNTIFS('Calculations'!$ID$13:$ID$512,"="&amp;SUBSTITUTE(SUBSTITUTE(SUBSTITUTE('Calculations'!HF338,"~","~~"),"*","~*"),"?","~?"),'Calculations'!$HN$13:$HN$512,"="&amp;SUBSTITUTE(SUBSTITUTE(SUBSTITUTE('Dashboard'!$B$7,"~","~~"),"*","~*"),"?","~?"))+COUNTIFS('Calculations'!$IE$13:$IE$512,"="&amp;SUBSTITUTE(SUBSTITUTE(SUBSTITUTE('Calculations'!HF338,"~","~~"),"*","~*"),"?","~?"),'Calculations'!$HN$13:$HN$512,"="&amp;SUBSTITUTE(SUBSTITUTE(SUBSTITUTE('Dashboard'!$B$7,"~","~~"),"*","~*"),"?","~?"))+COUNTIFS('Calculations'!$IF$13:$IF$512,"="&amp;SUBSTITUTE(SUBSTITUTE(SUBSTITUTE('Calculations'!HF338,"~","~~"),"*","~*"),"?","~?"),'Calculations'!$HN$13:$HN$512,"="&amp;SUBSTITUTE(SUBSTITUTE(SUBSTITUTE('Dashboard'!$B$7,"~","~~"),"*","~*"),"?","~?"))+COUNTIFS('Calculations'!$IG$13:$IG$512,"="&amp;SUBSTITUTE(SUBSTITUTE(SUBSTITUTE('Calculations'!HF338,"~","~~"),"*","~*"),"?","~?"),'Calculations'!$HN$13:$HN$512,"="&amp;SUBSTITUTE(SUBSTITUTE(SUBSTITUTE('Dashboard'!$B$7,"~","~~"),"*","~*"),"?","~?"))+COUNTIFS('Calculations'!$IH$13:$IH$512,"="&amp;SUBSTITUTE(SUBSTITUTE(SUBSTITUTE('Calculations'!HF338,"~","~~"),"*","~*"),"?","~?"),'Calculations'!$HN$13:$HN$512,"="&amp;SUBSTITUTE(SUBSTITUTE(SUBSTITUTE('Dashboard'!$B$7,"~","~~"),"*","~*"),"?","~?"))))</x:f>
        <x:v>0</x:v>
      </x:c>
      <x:c r="JD338" t="n">
        <x:f>IF('Calculations'!EM338="",0,IF('Dashboard'!$B$7="All",1,IF('Calculations'!HN338='Dashboard'!$B$7,1,0)+IFERROR(INDEX('Calculations'!$JC$13:$JC$512,MATCH('Calculations'!HE338,'Calculations'!$HF$13:$HF$512,0)),0)))</x:f>
        <x:v>0</x:v>
      </x:c>
      <x:c r="JE338" t="n">
        <x:f>IF(AND('Calculations'!EM338&lt;&gt;"",'Calculations'!$JJ$2&lt;&gt;"All",'Calculations'!$JJ$2&lt;&gt;"",'Calculations'!HF338='Calculations'!$JJ$2,'Calculations'!HL338=0,'Calculations'!JD338&gt;0),MAX('Calculations'!$JE$12:JE337)+1,0)</x:f>
        <x:v>0</x:v>
      </x:c>
      <x:c r="JF338" t="str">
        <x:f>IF('Calculations'!EM338="","",IFERROR(IF(INDEX(INDIRECT("'WCM Calibration Final'!$G$1:$G$2000"),'Calculations'!$EM338)="","",TRIM(INDEX(INDIRECT("'WCM Calibration Final'!$G$1:$G$2000"),'Calculations'!$EM338)&amp;"")),""))</x:f>
      </x:c>
      <x:c r="JQ338" t="n">
        <x:f>IF(OR('Calculations'!BM338=0,NOT('Calculations'!$AG$2),'Calculations'!$AG$8&gt;0),0,IF(OR('Dashboard'!$B$7="All",'Calculations'!HN338='Dashboard'!$B$7),IF('Calculations'!$JJ$2="All",1,IF(AND('Calculations'!HF338='Calculations'!$JJ$2,'Calculations'!HL338=0),1,0)),0))</x:f>
        <x:v>0</x:v>
      </x:c>
    </x:row>
    <x:row r="339">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t="n">
        <x:f>IF('Calculations'!$EM339="",0,IF(OR(IFERROR(INDEX(INDIRECT("'WCM Calibration Final'!$A$1:$A$2000"),'Calculations'!$EM339)&lt;&gt;"",FALSE),IFERROR(INDEX(INDIRECT("'WCM Calibration Final'!$B$1:$B$2000"),'Calculations'!$EM339)&lt;&gt;"",FALSE),IFERROR(INDEX(INDIRECT("'WCM Calibration Final'!$C$1:$C$2000"),'Calculations'!$EM339)&lt;&gt;"",FALSE)),1,0))</x:f>
        <x:v>0</x:v>
      </x:c>
      <x:c r="BN339" s="4" t="n">
        <x:f>IF(AND('Calculations'!BM339=1,'Calculations'!$AG$2,'Calculations'!$EN339=1),1,0)</x:f>
        <x:v>0</x:v>
      </x:c>
      <x:c r="BO339" s="4" t="str">
        <x:f>IF('Calculations'!BM339=0,"",IFERROR(IF(AND(VALUE(INDEX(INDIRECT("'WCM Calibration Final'!$K$1:$K$2000"),'Calculations'!$EM339))&gt;=1,VALUE(INDEX(INDIRECT("'WCM Calibration Final'!$K$1:$K$2000"),'Calculations'!$EM339))&lt;=4,MOD(VALUE(INDEX(INDIRECT("'WCM Calibration Final'!$K$1:$K$2000"),'Calculations'!$EM339)),1)=0),VALUE(INDEX(INDIRECT("'WCM Calibration Final'!$K$1:$K$2000"),'Calculations'!$EM339)),""),""))</x:f>
      </x:c>
      <x:c r="BP339" s="4" t="str">
        <x:f>IF('Calculations'!BM339=0,"",IFERROR(IF(AND(VALUE(INDEX(INDIRECT("'WCM Calibration Final'!$L$1:$L$2000"),'Calculations'!$EM339))&gt;=1,VALUE(INDEX(INDIRECT("'WCM Calibration Final'!$L$1:$L$2000"),'Calculations'!$EM339))&lt;=4,MOD(VALUE(INDEX(INDIRECT("'WCM Calibration Final'!$L$1:$L$2000"),'Calculations'!$EM339)),1)=0),VALUE(INDEX(INDIRECT("'WCM Calibration Final'!$L$1:$L$2000"),'Calculations'!$EM339)),""),""))</x:f>
      </x:c>
      <x:c r="BQ339" s="4"/>
      <x:c r="BR339" s="4"/>
      <x:c r="BS339" s="4"/>
      <x:c r="BT339" s="4" t="n">
        <x:f>IF(AND('Calculations'!BM339=1,ISNUMBER('Calculations'!BO339),ISNUMBER('Calculations'!BP339)),1,0)</x:f>
        <x:v>0</x:v>
      </x:c>
      <x:c r="BU339" s="4" t="str">
        <x:f>IF('Calculations'!BM339=0,"",'Calculations'!$EO339)</x:f>
      </x:c>
      <x:c r="BV339" s="4" t="str">
        <x:f>IF('Calculations'!BM339=0,"",IFERROR(IF(OR(INDEX(INDIRECT("'WCM Calibration Final'!$H$1:$H$2000"),'Calculations'!$EM339)="MANAGING DIRECTOR",INDEX(INDIRECT("'WCM Calibration Final'!$H$1:$H$2000"),'Calculations'!$EM339)="DIRECTOR",INDEX(INDIRECT("'WCM Calibration Final'!$H$1:$H$2000"),'Calculations'!$EM339)="SENIOR VICE PRESIDENT",INDEX(INDIRECT("'WCM Calibration Final'!$H$1:$H$2000"),'Calculations'!$EM339)="VICE PRESIDENT",INDEX(INDIRECT("'WCM Calibration Final'!$H$1:$H$2000"),'Calculations'!$EM339)="ASSISTANT VICE PRESIDENT",INDEX(INDIRECT("'WCM Calibration Final'!$H$1:$H$2000"),'Calculations'!$EM339)="OFFICER"),UPPER(INDEX(INDIRECT("'WCM Calibration Final'!$H$1:$H$2000"),'Calculations'!$EM339)),"Other"),"Other"))</x:f>
      </x:c>
      <x:c r="BW339" s="4"/>
      <x:c r="BX339" s="4"/>
      <x:c r="BY339" s="4" t="n">
        <x:f>IF(AND('Calculations'!BM339=1,'Calculations'!BU339&lt;&gt;"",COUNTIF('Calculations'!$BU$12:BU339,'Calculations'!BU339)=1),MAX('Calculations'!$BY$11:BY338)+1,0)</x:f>
        <x:v>0</x:v>
      </x:c>
      <x:c r="BZ339" s="4" t="str">
        <x:f>IF('Dashboard'!$E$67="What",'Calculations'!BO339,'Calculations'!BP339)</x:f>
      </x:c>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t="str">
        <x:f>IF(328&gt;MAX('Calculations'!$HI$13:$HI$512),"",INDEX('Calculations'!$HN$13:$HN$512,MATCH(328,'Calculations'!$HI$13:$HI$512,0)))</x:f>
      </x:c>
      <x:c r="DB339" s="4" t="str">
        <x:f>IF(328&gt;MAX('Calculations'!$HH$13:$HH$512),"",INDEX('Calculations'!$HJ$13:$HJ$512,MATCH(328,'Calculations'!$HH$13:$HH$512,0)))</x:f>
      </x:c>
      <x:c r="DC339" s="4" t="str">
        <x:f>IF(ROW()-11&gt;MAX('Calculations'!$BY$13:$BY$512),"",INDEX('Calculations'!$BU$13:$BU$512,MATCH(ROW()-11,'Calculations'!$BY$13:$BY$512,0)))</x:f>
      </x:c>
      <x:c r="DD339" s="4" t="str">
        <x:f>IF(328&gt;MAX('Calculations'!$IK$13:$IK$512),"",INDEX('Calculations'!$HK$13:$HK$512,MATCH(328,'Calculations'!$IK$13:$IK$512,0)))</x:f>
      </x:c>
      <x:c r="DE339" s="4" t="str">
        <x:f>'Calculations'!DC339</x:f>
      </x:c>
      <x:c r="DF339" s="4" t="str">
        <x:f>IF('Calculations'!DE339="","",COUNTIFS('Calculations'!$BN$13:$BN$512,1,'Calculations'!$BU$13:$BU$512,'Calculations'!DE339))</x:f>
      </x:c>
      <x:c r="DG339" s="4" t="str">
        <x:f>IF('Calculations'!DE339="","",COUNTIFS('Calculations'!$BN$13:$BN$512,1,'Calculations'!$BU$13:$BU$512,'Calculations'!DE339,'Calculations'!$BT$13:$BT$512,1))</x:f>
      </x:c>
      <x:c r="DH339" s="4" t="str">
        <x:f>IF('Calculations'!DE339="","",'Calculations'!DF339-'Calculations'!DG339)</x:f>
      </x:c>
      <x:c r="DI339" s="4" t="str">
        <x:f>IF(OR('Calculations'!DE339="",'Calculations'!DF339=0),"",'Calculations'!DG339/'Calculations'!DF339)</x:f>
      </x:c>
      <x:c r="DJ339" s="4" t="str">
        <x:f>IF('Calculations'!DE339="","",COUNTIFS('Calculations'!$BN$13:$BN$512,1,'Calculations'!$BU$13:$BU$512,'Calculations'!DE339,'Calculations'!$BT$13:$BT$512,1,'Calculations'!$EE$13:$EE$512,"High"))</x:f>
      </x:c>
      <x:c r="DK339" s="4" t="str">
        <x:f>IF('Calculations'!DE339="","",COUNTIFS('Calculations'!$BN$13:$BN$512,1,'Calculations'!$BU$13:$BU$512,'Calculations'!DE339,'Calculations'!$BT$13:$BT$512,1,'Calculations'!$EE$13:$EE$512,"Strong"))</x:f>
      </x:c>
      <x:c r="DL339" s="4" t="str">
        <x:f>IF('Calculations'!DE339="","",COUNTIFS('Calculations'!$BN$13:$BN$512,1,'Calculations'!$BU$13:$BU$512,'Calculations'!DE339,'Calculations'!$BT$13:$BT$512,1,'Calculations'!$EE$13:$EE$512,"Solid"))</x:f>
      </x:c>
      <x:c r="DM339" s="4" t="str">
        <x:f>IF('Calculations'!DE339="","",COUNTIFS('Calculations'!$BN$13:$BN$512,1,'Calculations'!$BU$13:$BU$512,'Calculations'!DE339,'Calculations'!$BT$13:$BT$512,1,'Calculations'!$EE$13:$EE$512,"Low"))</x:f>
      </x:c>
      <x:c r="DN339" s="4" t="str">
        <x:f>IF('Calculations'!DE339="","",COUNTIFS('Calculations'!$BN$13:$BN$512,1,'Calculations'!$BU$13:$BU$512,'Calculations'!DE339,'Calculations'!$EP$13:$EP$512,1))</x:f>
      </x:c>
      <x:c r="DO339" s="4" t="str">
        <x:f>IF(OR('Calculations'!DE339="",'Calculations'!DG339=0),"",('Calculations'!DJ339+'Calculations'!DK339)/'Calculations'!DG339)</x:f>
      </x:c>
      <x:c r="DP339" s="4" t="n">
        <x:f>IF(AND('Calculations'!DE339&lt;&gt;"",'Calculations'!DF339&gt;0),COUNTIF('Calculations'!$DF$12:DF339,"&gt;0"),0)</x:f>
        <x:v>0</x:v>
      </x:c>
      <x:c r="DQ339" s="4" t="str">
        <x:f>IF(328&gt;MAX('Calculations'!$HH$13:$HH$512),"",INDEX('Calculations'!$HF$13:$HF$512,MATCH(328,'Calculations'!$HH$13:$HH$512,0)))</x:f>
      </x:c>
      <x:c r="DR339" s="4" t="str">
        <x:f>IF(328&gt;MAX('Calculations'!$IK$13:$IK$512),"",INDEX('Calculations'!$HE$13:$HE$512,MATCH(328,'Calculations'!$IK$13:$IK$512,0)))</x:f>
      </x:c>
      <x:c r="DS339" s="4"/>
      <x:c r="DT339" s="4"/>
      <x:c r="DU339" s="4"/>
      <x:c r="DV339" s="4"/>
      <x:c r="DW339" s="4"/>
      <x:c r="DX339" s="4"/>
      <x:c r="DY339" s="4"/>
      <x:c r="DZ339" s="4"/>
      <x:c r="EA339" s="4"/>
      <x:c r="EB339" s="4"/>
      <x:c r="EC339" s="4"/>
      <x:c r="ED339" s="4"/>
      <x:c r="EE339" s="4" t="str">
        <x:f>IF('Calculations'!BT339=0,"Not Rated",IF(OR('Calculations'!BO339&gt;=4,'Calculations'!BP339&gt;=4),"Low",IF('Calculations'!BO339+'Calculations'!BP339&lt;=3,"High",IF('Calculations'!BO339+'Calculations'!BP339&lt;=4,"Strong","Solid"))))</x:f>
        <x:v>Not Rated</x:v>
      </x:c>
      <x:c r="EF339" s="4"/>
      <x:c r="EG339" s="4"/>
      <x:c r="EH339" s="4"/>
      <x:c r="EI339" s="4"/>
      <x:c r="EJ339" s="4"/>
      <x:c r="EK339" s="4"/>
      <x:c r="EL339" s="4"/>
      <x:c r="EM339" s="4" t="str">
        <x:f>IF(327&gt;'Calculations'!$JB$2000,"",INDEX('Calculations'!$JA$12:$JA$2000,MATCH(327,'Calculations'!$JB$12:$JB$2000,0)))</x:f>
      </x:c>
      <x:c r="EN339" s="4" t="n">
        <x:f>IF(OR('Calculations'!EM339="",'Calculations'!$AG$8&gt;0,AND('Calculations'!$EF$2&lt;&gt;"All",'Calculations'!HE339='Calculations'!$EF$2),AND('Calculations'!$EF$3&lt;&gt;"All",'Calculations'!HE339='Calculations'!$EF$3)),0,IF(OR('Dashboard'!$B$7="All",'Calculations'!HN339='Dashboard'!$B$7),IF('Calculations'!$EF$2="All",1,IF('Calculations'!HL339&gt;0,0,IF(COUNTIF('Calculations'!HO339:II339,"="&amp;SUBSTITUTE(SUBSTITUTE(SUBSTITUTE('Calculations'!$EF$2,"~","~~"),"*","~*"),"?","~?"))=0,0,IF('Calculations'!$EF$3="All",1,IF(COUNTIF('Calculations'!HO339:II339,"="&amp;SUBSTITUTE(SUBSTITUTE(SUBSTITUTE('Calculations'!$EF$3,"~","~~"),"*","~*"),"?","~?"))&gt;0,1,0))))),0))</x:f>
        <x:v>0</x:v>
      </x:c>
      <x:c r="EO339" s="4" t="str">
        <x:f>IF('Calculations'!IJ339="","",IF('Calculations'!IJ339="!UNRESOLVED","Unresolved hierarchy",IFERROR(INDEX('Calculations'!$HK$13:$HK$512,MATCH('Calculations'!IJ339,'Calculations'!$HE$13:$HE$512,0)),IFERROR(INDEX('Calculations'!$HJ$13:$HJ$512,MATCH('Calculations'!IJ339,'Calculations'!$HF$13:$HF$512,0)),'Calculations'!IJ339))))</x:f>
      </x:c>
      <x:c r="EP339" s="4" t="n">
        <x:f>IF(AND('Calculations'!EM339&lt;&gt;"",'Calculations'!HF339='Calculations'!IJ339),1,0)</x:f>
        <x:v>0</x:v>
      </x:c>
      <x:c r="EQ339" s="4"/>
      <x:c r="ER339" s="4"/>
      <x:c r="ES339" s="4"/>
      <x:c r="ET339" s="4"/>
      <x:c r="EU339" s="4"/>
      <x:c r="EV339" s="4"/>
      <x:c r="EW339" s="4"/>
      <x:c r="EX339" s="4"/>
      <x:c r="EY339" s="4"/>
      <x:c r="EZ339" s="4"/>
      <x:c r="FA339" s="4"/>
      <x:c r="FB339" s="4"/>
      <x:c r="FC339" s="4"/>
      <x:c r="FD339" s="4"/>
      <x:c r="FE339" s="4"/>
      <x:c r="FF339" s="4"/>
      <x:c r="FG339" s="4"/>
      <x:c r="FH339" s="4"/>
      <x:c r="FI339" s="4"/>
      <x:c r="FJ339" s="4"/>
      <x:c r="FK339" s="4"/>
      <x:c r="FL339" s="4"/>
      <x:c r="FM339" s="4"/>
      <x:c r="FN339" s="4"/>
      <x:c r="FO339" s="4"/>
      <x:c r="HE339" t="str">
        <x:f>IF('Calculations'!EM339="","",IF(IFERROR(IF(INDEX(INDIRECT("'WCM Calibration Final'!$A$1:$A$2000"),'Calculations'!$EM339)="","",TRIM(INDEX(INDIRECT("'WCM Calibration Final'!$A$1:$A$2000"),'Calculations'!$EM339)&amp;"")),"")&lt;&gt;"","G:"&amp;IFERROR(TEXT(1*INDEX(INDIRECT("'WCM Calibration Final'!$A$1:$A$2000"),'Calculations'!$EM339),"0"),UPPER(IFERROR(IF(INDEX(INDIRECT("'WCM Calibration Final'!$A$1:$A$2000"),'Calculations'!$EM339)="","",TRIM(INDEX(INDIRECT("'WCM Calibration Final'!$A$1:$A$2000"),'Calculations'!$EM339)&amp;"")),""))),IF(IFERROR(IF(INDEX(INDIRECT("'WCM Calibration Final'!$C$1:$C$2000"),'Calculations'!$EM339)="","",TRIM(INDEX(INDIRECT("'WCM Calibration Final'!$C$1:$C$2000"),'Calculations'!$EM339)&amp;"")),"")&lt;&gt;"","S:"&amp;UPPER(IFERROR(IF(INDEX(INDIRECT("'WCM Calibration Final'!$C$1:$C$2000"),'Calculations'!$EM339)="","",TRIM(INDEX(INDIRECT("'WCM Calibration Final'!$C$1:$C$2000"),'Calculations'!$EM339)&amp;"")),"")),"R:"&amp;'Calculations'!EM339)))</x:f>
      </x:c>
      <x:c r="HF339" t="str">
        <x:f>IF('Calculations'!EM339="","",IF(IFERROR(IF(INDEX(INDIRECT("'WCM Calibration Final'!$D$1:$D$2000"),'Calculations'!$EM339)="","",TRIM(INDEX(INDIRECT("'WCM Calibration Final'!$D$1:$D$2000"),'Calculations'!$EM339)&amp;"")),"")&lt;&gt;"","G:"&amp;IFERROR(TEXT(1*INDEX(INDIRECT("'WCM Calibration Final'!$D$1:$D$2000"),'Calculations'!$EM339),"0"),UPPER(IFERROR(IF(INDEX(INDIRECT("'WCM Calibration Final'!$D$1:$D$2000"),'Calculations'!$EM339)="","",TRIM(INDEX(INDIRECT("'WCM Calibration Final'!$D$1:$D$2000"),'Calculations'!$EM339)&amp;"")),""))),IF(IFERROR(IF(INDEX(INDIRECT("'WCM Calibration Final'!$E$1:$E$2000"),'Calculations'!$EM339)="","",TRIM(INDEX(INDIRECT("'WCM Calibration Final'!$E$1:$E$2000"),'Calculations'!$EM339)&amp;"")),"")="","",IF(COUNTIF('Calculations'!$HG$13:$HG$512,"="&amp;SUBSTITUTE(SUBSTITUTE(SUBSTITUTE(IFERROR(IF(INDEX(INDIRECT("'WCM Calibration Final'!$E$1:$E$2000"),'Calculations'!$EM339)="","",TRIM(INDEX(INDIRECT("'WCM Calibration Final'!$E$1:$E$2000"),'Calculations'!$EM339)&amp;"")),""),"~","~~"),"*","~*"),"?","~?"))=1,INDEX('Calculations'!$HE$13:$HE$512,MATCH(IFERROR(IF(INDEX(INDIRECT("'WCM Calibration Final'!$E$1:$E$2000"),'Calculations'!$EM339)="","",TRIM(INDEX(INDIRECT("'WCM Calibration Final'!$E$1:$E$2000"),'Calculations'!$EM339)&amp;"")),""),'Calculations'!$HG$13:$HG$512,0)),IF(COUNTIF('Calculations'!$HG$13:$HG$512,"="&amp;SUBSTITUTE(SUBSTITUTE(SUBSTITUTE(IFERROR(IF(INDEX(INDIRECT("'WCM Calibration Final'!$E$1:$E$2000"),'Calculations'!$EM339)="","",TRIM(INDEX(INDIRECT("'WCM Calibration Final'!$E$1:$E$2000"),'Calculations'!$EM339)&amp;"")),""),"~","~~"),"*","~*"),"?","~?"))&gt;1,"!AMBIG","X:"&amp;IFERROR(IF(INDEX(INDIRECT("'WCM Calibration Final'!$E$1:$E$2000"),'Calculations'!$EM339)="","",TRIM(INDEX(INDIRECT("'WCM Calibration Final'!$E$1:$E$2000"),'Calculations'!$EM339)&amp;"")),""))))))</x:f>
      </x:c>
      <x:c r="HG339" t="str">
        <x:f>IF('Calculations'!EM339="","",IFERROR(IF(INDEX(INDIRECT("'WCM Calibration Final'!$B$1:$B$2000"),'Calculations'!$EM339)="","",TRIM(INDEX(INDIRECT("'WCM Calibration Final'!$B$1:$B$2000"),'Calculations'!$EM339)&amp;"")),""))</x:f>
      </x:c>
      <x:c r="HH339" t="n">
        <x:f>IF(AND('Calculations'!JC339&gt;0,COUNTIF('Calculations'!$HF$12:HF339,"="&amp;SUBSTITUTE(SUBSTITUTE(SUBSTITUTE('Calculations'!HF339,"~","~~"),"*","~*"),"?","~?"))=1),MAX('Calculations'!$HH$12:HH338)+1,0)</x:f>
        <x:v>0</x:v>
      </x:c>
      <x:c r="HI339" t="n">
        <x:f>IF(AND('Calculations'!HN339&lt;&gt;"",COUNTIF('Calculations'!$HN$12:HN339,"="&amp;SUBSTITUTE(SUBSTITUTE(SUBSTITUTE('Calculations'!HN339,"~","~~"),"*","~*"),"?","~?"))=1),MAX('Calculations'!$HI$12:HI338)+1,0)</x:f>
        <x:v>0</x:v>
      </x:c>
      <x:c r="HJ339" t="str">
        <x:f>IF('Calculations'!HF339="","",IF(COUNTIF('Calculations'!$HE$13:$HE$512,"="&amp;SUBSTITUTE(SUBSTITUTE(SUBSTITUTE('Calculations'!HF339,"~","~~"),"*","~*"),"?","~?"))=1,INDEX('Calculations'!$HK$13:$HK$512,MATCH('Calculations'!HF339,'Calculations'!$HE$13:$HE$512,0)),IFERROR(IF(INDEX(INDIRECT("'WCM Calibration Final'!$E$1:$E$2000"),'Calculations'!$EM339)="","",TRIM(INDEX(INDIRECT("'WCM Calibration Final'!$E$1:$E$2000"),'Calculations'!$EM339)&amp;"")),"")&amp;" ["&amp;'Calculations'!HF339&amp;"]"))</x:f>
      </x:c>
      <x:c r="HK339" t="str">
        <x:f>IF('Calculations'!EM339="","",'Calculations'!HG339&amp;" ["&amp;'Calculations'!HE339&amp;"]")</x:f>
      </x:c>
      <x:c r="HL339" t="n">
        <x:f>IF('Calculations'!EM339="",0,IF(OR('Calculations'!II339&lt;&gt;"",COUNTIF('Calculations'!$HE$13:$HE$512,"="&amp;SUBSTITUTE(SUBSTITUTE(SUBSTITUTE('Calculations'!HE339,"~","~~"),"*","~*"),"?","~?"))&gt;1),1,0))</x:f>
        <x:v>0</x:v>
      </x:c>
      <x:c r="HM339" t="str">
        <x:f>IF('Calculations'!EM339="","",IF('Calculations'!HL339=1,"!UNRESOLVED",IF('Calculations'!IH339&lt;&gt;"",'Calculations'!IH339,IF('Calculations'!IG339&lt;&gt;"",'Calculations'!IG339,IF('Calculations'!IF339&lt;&gt;"",'Calculations'!IF339,IF('Calculations'!IE339&lt;&gt;"",'Calculations'!IE339,IF('Calculations'!ID339&lt;&gt;"",'Calculations'!ID339,IF('Calculations'!IC339&lt;&gt;"",'Calculations'!IC339,IF('Calculations'!IB339&lt;&gt;"",'Calculations'!IB339,IF('Calculations'!IA339&lt;&gt;"",'Calculations'!IA339,IF('Calculations'!HZ339&lt;&gt;"",'Calculations'!HZ339,IF('Calculations'!HY339&lt;&gt;"",'Calculations'!HY339,IF('Calculations'!HX339&lt;&gt;"",'Calculations'!HX339,IF('Calculations'!HW339&lt;&gt;"",'Calculations'!HW339,IF('Calculations'!HV339&lt;&gt;"",'Calculations'!HV339,IF('Calculations'!HU339&lt;&gt;"",'Calculations'!HU339,IF('Calculations'!HT339&lt;&gt;"",'Calculations'!HT339,IF('Calculations'!HS339&lt;&gt;"",'Calculations'!HS339,IF('Calculations'!HR339&lt;&gt;"",'Calculations'!HR339,IF('Calculations'!HQ339&lt;&gt;"",'Calculations'!HQ339,IF('Calculations'!HP339&lt;&gt;"",'Calculations'!HP339,IF('Calculations'!HO339&lt;&gt;"",'Calculations'!HO339,'Calculations'!HE339))))))))))))))))))))))</x:f>
      </x:c>
      <x:c r="HN339" t="str">
        <x:f>IF('Calculations'!EM339="","",IF(IFERROR(IF(INDEX(INDIRECT("'WCM Calibration Final'!$F$1:$F$2000"),'Calculations'!$EM339)="","",TRIM(INDEX(INDIRECT("'WCM Calibration Final'!$F$1:$F$2000"),'Calculations'!$EM339)&amp;"")),"")="","(Blank)",IFERROR(IF(INDEX(INDIRECT("'WCM Calibration Final'!$F$1:$F$2000"),'Calculations'!$EM339)="","",TRIM(INDEX(INDIRECT("'WCM Calibration Final'!$F$1:$F$2000"),'Calculations'!$EM339)&amp;"")),"")))</x:f>
      </x:c>
      <x:c r="HO339" t="str">
        <x:f>'Calculations'!HF339</x:f>
      </x:c>
      <x:c r="HP339" t="str">
        <x:f>IF('Calculations'!HO339="","",IF('Calculations'!HO339="!AMBIG","!AMBIG",IF(COUNTIF('Calculations'!$HE$13:$HE$512,"="&amp;SUBSTITUTE(SUBSTITUTE(SUBSTITUTE('Calculations'!HO339,"~","~~"),"*","~*"),"?","~?"))&gt;1,"!AMBIG",IFERROR(INDEX('Calculations'!$HF$13:$HF$512,MATCH('Calculations'!HO339,'Calculations'!$HE$13:$HE$512,0)),""))))</x:f>
      </x:c>
      <x:c r="HQ339" t="str">
        <x:f>IF('Calculations'!HP339="","",IF('Calculations'!HP339="!AMBIG","!AMBIG",IF(COUNTIF('Calculations'!$HE$13:$HE$512,"="&amp;SUBSTITUTE(SUBSTITUTE(SUBSTITUTE('Calculations'!HP339,"~","~~"),"*","~*"),"?","~?"))&gt;1,"!AMBIG",IFERROR(INDEX('Calculations'!$HF$13:$HF$512,MATCH('Calculations'!HP339,'Calculations'!$HE$13:$HE$512,0)),""))))</x:f>
      </x:c>
      <x:c r="HR339" t="str">
        <x:f>IF('Calculations'!HQ339="","",IF('Calculations'!HQ339="!AMBIG","!AMBIG",IF(COUNTIF('Calculations'!$HE$13:$HE$512,"="&amp;SUBSTITUTE(SUBSTITUTE(SUBSTITUTE('Calculations'!HQ339,"~","~~"),"*","~*"),"?","~?"))&gt;1,"!AMBIG",IFERROR(INDEX('Calculations'!$HF$13:$HF$512,MATCH('Calculations'!HQ339,'Calculations'!$HE$13:$HE$512,0)),""))))</x:f>
      </x:c>
      <x:c r="HS339" t="str">
        <x:f>IF('Calculations'!HR339="","",IF('Calculations'!HR339="!AMBIG","!AMBIG",IF(COUNTIF('Calculations'!$HE$13:$HE$512,"="&amp;SUBSTITUTE(SUBSTITUTE(SUBSTITUTE('Calculations'!HR339,"~","~~"),"*","~*"),"?","~?"))&gt;1,"!AMBIG",IFERROR(INDEX('Calculations'!$HF$13:$HF$512,MATCH('Calculations'!HR339,'Calculations'!$HE$13:$HE$512,0)),""))))</x:f>
      </x:c>
      <x:c r="HT339" t="str">
        <x:f>IF('Calculations'!HS339="","",IF('Calculations'!HS339="!AMBIG","!AMBIG",IF(COUNTIF('Calculations'!$HE$13:$HE$512,"="&amp;SUBSTITUTE(SUBSTITUTE(SUBSTITUTE('Calculations'!HS339,"~","~~"),"*","~*"),"?","~?"))&gt;1,"!AMBIG",IFERROR(INDEX('Calculations'!$HF$13:$HF$512,MATCH('Calculations'!HS339,'Calculations'!$HE$13:$HE$512,0)),""))))</x:f>
      </x:c>
      <x:c r="HU339" t="str">
        <x:f>IF('Calculations'!HT339="","",IF('Calculations'!HT339="!AMBIG","!AMBIG",IF(COUNTIF('Calculations'!$HE$13:$HE$512,"="&amp;SUBSTITUTE(SUBSTITUTE(SUBSTITUTE('Calculations'!HT339,"~","~~"),"*","~*"),"?","~?"))&gt;1,"!AMBIG",IFERROR(INDEX('Calculations'!$HF$13:$HF$512,MATCH('Calculations'!HT339,'Calculations'!$HE$13:$HE$512,0)),""))))</x:f>
      </x:c>
      <x:c r="HV339" t="str">
        <x:f>IF('Calculations'!HU339="","",IF('Calculations'!HU339="!AMBIG","!AMBIG",IF(COUNTIF('Calculations'!$HE$13:$HE$512,"="&amp;SUBSTITUTE(SUBSTITUTE(SUBSTITUTE('Calculations'!HU339,"~","~~"),"*","~*"),"?","~?"))&gt;1,"!AMBIG",IFERROR(INDEX('Calculations'!$HF$13:$HF$512,MATCH('Calculations'!HU339,'Calculations'!$HE$13:$HE$512,0)),""))))</x:f>
      </x:c>
      <x:c r="HW339" t="str">
        <x:f>IF('Calculations'!HV339="","",IF('Calculations'!HV339="!AMBIG","!AMBIG",IF(COUNTIF('Calculations'!$HE$13:$HE$512,"="&amp;SUBSTITUTE(SUBSTITUTE(SUBSTITUTE('Calculations'!HV339,"~","~~"),"*","~*"),"?","~?"))&gt;1,"!AMBIG",IFERROR(INDEX('Calculations'!$HF$13:$HF$512,MATCH('Calculations'!HV339,'Calculations'!$HE$13:$HE$512,0)),""))))</x:f>
      </x:c>
      <x:c r="HX339" t="str">
        <x:f>IF('Calculations'!HW339="","",IF('Calculations'!HW339="!AMBIG","!AMBIG",IF(COUNTIF('Calculations'!$HE$13:$HE$512,"="&amp;SUBSTITUTE(SUBSTITUTE(SUBSTITUTE('Calculations'!HW339,"~","~~"),"*","~*"),"?","~?"))&gt;1,"!AMBIG",IFERROR(INDEX('Calculations'!$HF$13:$HF$512,MATCH('Calculations'!HW339,'Calculations'!$HE$13:$HE$512,0)),""))))</x:f>
      </x:c>
      <x:c r="HY339" t="str">
        <x:f>IF('Calculations'!HX339="","",IF('Calculations'!HX339="!AMBIG","!AMBIG",IF(COUNTIF('Calculations'!$HE$13:$HE$512,"="&amp;SUBSTITUTE(SUBSTITUTE(SUBSTITUTE('Calculations'!HX339,"~","~~"),"*","~*"),"?","~?"))&gt;1,"!AMBIG",IFERROR(INDEX('Calculations'!$HF$13:$HF$512,MATCH('Calculations'!HX339,'Calculations'!$HE$13:$HE$512,0)),""))))</x:f>
      </x:c>
      <x:c r="HZ339" t="str">
        <x:f>IF('Calculations'!HY339="","",IF('Calculations'!HY339="!AMBIG","!AMBIG",IF(COUNTIF('Calculations'!$HE$13:$HE$512,"="&amp;SUBSTITUTE(SUBSTITUTE(SUBSTITUTE('Calculations'!HY339,"~","~~"),"*","~*"),"?","~?"))&gt;1,"!AMBIG",IFERROR(INDEX('Calculations'!$HF$13:$HF$512,MATCH('Calculations'!HY339,'Calculations'!$HE$13:$HE$512,0)),""))))</x:f>
      </x:c>
      <x:c r="IA339" t="str">
        <x:f>IF('Calculations'!HZ339="","",IF('Calculations'!HZ339="!AMBIG","!AMBIG",IF(COUNTIF('Calculations'!$HE$13:$HE$512,"="&amp;SUBSTITUTE(SUBSTITUTE(SUBSTITUTE('Calculations'!HZ339,"~","~~"),"*","~*"),"?","~?"))&gt;1,"!AMBIG",IFERROR(INDEX('Calculations'!$HF$13:$HF$512,MATCH('Calculations'!HZ339,'Calculations'!$HE$13:$HE$512,0)),""))))</x:f>
      </x:c>
      <x:c r="IB339" t="str">
        <x:f>IF('Calculations'!IA339="","",IF('Calculations'!IA339="!AMBIG","!AMBIG",IF(COUNTIF('Calculations'!$HE$13:$HE$512,"="&amp;SUBSTITUTE(SUBSTITUTE(SUBSTITUTE('Calculations'!IA339,"~","~~"),"*","~*"),"?","~?"))&gt;1,"!AMBIG",IFERROR(INDEX('Calculations'!$HF$13:$HF$512,MATCH('Calculations'!IA339,'Calculations'!$HE$13:$HE$512,0)),""))))</x:f>
      </x:c>
      <x:c r="IC339" t="str">
        <x:f>IF('Calculations'!IB339="","",IF('Calculations'!IB339="!AMBIG","!AMBIG",IF(COUNTIF('Calculations'!$HE$13:$HE$512,"="&amp;SUBSTITUTE(SUBSTITUTE(SUBSTITUTE('Calculations'!IB339,"~","~~"),"*","~*"),"?","~?"))&gt;1,"!AMBIG",IFERROR(INDEX('Calculations'!$HF$13:$HF$512,MATCH('Calculations'!IB339,'Calculations'!$HE$13:$HE$512,0)),""))))</x:f>
      </x:c>
      <x:c r="ID339" t="str">
        <x:f>IF('Calculations'!IC339="","",IF('Calculations'!IC339="!AMBIG","!AMBIG",IF(COUNTIF('Calculations'!$HE$13:$HE$512,"="&amp;SUBSTITUTE(SUBSTITUTE(SUBSTITUTE('Calculations'!IC339,"~","~~"),"*","~*"),"?","~?"))&gt;1,"!AMBIG",IFERROR(INDEX('Calculations'!$HF$13:$HF$512,MATCH('Calculations'!IC339,'Calculations'!$HE$13:$HE$512,0)),""))))</x:f>
      </x:c>
      <x:c r="IE339" t="str">
        <x:f>IF('Calculations'!ID339="","",IF('Calculations'!ID339="!AMBIG","!AMBIG",IF(COUNTIF('Calculations'!$HE$13:$HE$512,"="&amp;SUBSTITUTE(SUBSTITUTE(SUBSTITUTE('Calculations'!ID339,"~","~~"),"*","~*"),"?","~?"))&gt;1,"!AMBIG",IFERROR(INDEX('Calculations'!$HF$13:$HF$512,MATCH('Calculations'!ID339,'Calculations'!$HE$13:$HE$512,0)),""))))</x:f>
      </x:c>
      <x:c r="IF339" t="str">
        <x:f>IF('Calculations'!IE339="","",IF('Calculations'!IE339="!AMBIG","!AMBIG",IF(COUNTIF('Calculations'!$HE$13:$HE$512,"="&amp;SUBSTITUTE(SUBSTITUTE(SUBSTITUTE('Calculations'!IE339,"~","~~"),"*","~*"),"?","~?"))&gt;1,"!AMBIG",IFERROR(INDEX('Calculations'!$HF$13:$HF$512,MATCH('Calculations'!IE339,'Calculations'!$HE$13:$HE$512,0)),""))))</x:f>
      </x:c>
      <x:c r="IG339" t="str">
        <x:f>IF('Calculations'!IF339="","",IF('Calculations'!IF339="!AMBIG","!AMBIG",IF(COUNTIF('Calculations'!$HE$13:$HE$512,"="&amp;SUBSTITUTE(SUBSTITUTE(SUBSTITUTE('Calculations'!IF339,"~","~~"),"*","~*"),"?","~?"))&gt;1,"!AMBIG",IFERROR(INDEX('Calculations'!$HF$13:$HF$512,MATCH('Calculations'!IF339,'Calculations'!$HE$13:$HE$512,0)),""))))</x:f>
      </x:c>
      <x:c r="IH339" t="str">
        <x:f>IF('Calculations'!IG339="","",IF('Calculations'!IG339="!AMBIG","!AMBIG",IF(COUNTIF('Calculations'!$HE$13:$HE$512,"="&amp;SUBSTITUTE(SUBSTITUTE(SUBSTITUTE('Calculations'!IG339,"~","~~"),"*","~*"),"?","~?"))&gt;1,"!AMBIG",IFERROR(INDEX('Calculations'!$HF$13:$HF$512,MATCH('Calculations'!IG339,'Calculations'!$HE$13:$HE$512,0)),""))))</x:f>
      </x:c>
      <x:c r="II339" t="str">
        <x:f>IF('Calculations'!IH339="","",IF('Calculations'!IH339="!AMBIG","!AMBIG",IF(COUNTIF('Calculations'!$HE$13:$HE$512,"="&amp;SUBSTITUTE(SUBSTITUTE(SUBSTITUTE('Calculations'!IH339,"~","~~"),"*","~*"),"?","~?"))&gt;1,"!AMBIG",IFERROR(INDEX('Calculations'!$HF$13:$HF$512,MATCH('Calculations'!IH339,'Calculations'!$HE$13:$HE$512,0)),""))))</x:f>
      </x:c>
      <x:c r="IJ339" t="str">
        <x:f>IF('Calculations'!EM339="","",IF('Calculations'!$EF$2="All",'Calculations'!HM339,IF('Calculations'!HL339=1,"",IFERROR(IF(MATCH('Calculations'!$EF$2,'Calculations'!HO339:II339,0)=1,'Calculations'!HE339,INDEX('Calculations'!HO339:II339,1,MATCH('Calculations'!$EF$2,'Calculations'!HO339:II339,0)-1)),""))))</x:f>
      </x:c>
      <x:c r="IK339" t="n">
        <x:f>IF(AND('Calculations'!EM339&lt;&gt;"",'Calculations'!$EF$2&lt;&gt;"All",'Calculations'!HF339='Calculations'!$EF$2,'Calculations'!HL339=0,'Calculations'!JD339&gt;0),MAX('Calculations'!$IK$12:IK338)+1,0)</x:f>
        <x:v>0</x:v>
      </x:c>
      <x:c r="JA339" t="n">
        <x:f>IF(OR(IFERROR(INDIRECT("'WCM Calibration Final'!$A$339")&lt;&gt;"",FALSE),IFERROR(INDIRECT("'WCM Calibration Final'!$B$339")&lt;&gt;"",FALSE),IFERROR(INDIRECT("'WCM Calibration Final'!$C$339")&lt;&gt;"",FALSE)),339,0)</x:f>
        <x:v>0</x:v>
      </x:c>
      <x:c r="JB339" t="n">
        <x:f>'Calculations'!JB338+IF('Calculations'!JA339&gt;0,1,0)</x:f>
        <x:v>0</x:v>
      </x:c>
      <x:c r="JC339" t="n">
        <x:f>IF(OR('Calculations'!HF339="",'Calculations'!HF339="!AMBIG"),0,IF('Dashboard'!$B$7="All",1,COUNTIFS('Calculations'!$HO$13:$HO$512,"="&amp;SUBSTITUTE(SUBSTITUTE(SUBSTITUTE('Calculations'!HF339,"~","~~"),"*","~*"),"?","~?"),'Calculations'!$HN$13:$HN$512,"="&amp;SUBSTITUTE(SUBSTITUTE(SUBSTITUTE('Dashboard'!$B$7,"~","~~"),"*","~*"),"?","~?"))+COUNTIFS('Calculations'!$HP$13:$HP$512,"="&amp;SUBSTITUTE(SUBSTITUTE(SUBSTITUTE('Calculations'!HF339,"~","~~"),"*","~*"),"?","~?"),'Calculations'!$HN$13:$HN$512,"="&amp;SUBSTITUTE(SUBSTITUTE(SUBSTITUTE('Dashboard'!$B$7,"~","~~"),"*","~*"),"?","~?"))+COUNTIFS('Calculations'!$HQ$13:$HQ$512,"="&amp;SUBSTITUTE(SUBSTITUTE(SUBSTITUTE('Calculations'!HF339,"~","~~"),"*","~*"),"?","~?"),'Calculations'!$HN$13:$HN$512,"="&amp;SUBSTITUTE(SUBSTITUTE(SUBSTITUTE('Dashboard'!$B$7,"~","~~"),"*","~*"),"?","~?"))+COUNTIFS('Calculations'!$HR$13:$HR$512,"="&amp;SUBSTITUTE(SUBSTITUTE(SUBSTITUTE('Calculations'!HF339,"~","~~"),"*","~*"),"?","~?"),'Calculations'!$HN$13:$HN$512,"="&amp;SUBSTITUTE(SUBSTITUTE(SUBSTITUTE('Dashboard'!$B$7,"~","~~"),"*","~*"),"?","~?"))+COUNTIFS('Calculations'!$HS$13:$HS$512,"="&amp;SUBSTITUTE(SUBSTITUTE(SUBSTITUTE('Calculations'!HF339,"~","~~"),"*","~*"),"?","~?"),'Calculations'!$HN$13:$HN$512,"="&amp;SUBSTITUTE(SUBSTITUTE(SUBSTITUTE('Dashboard'!$B$7,"~","~~"),"*","~*"),"?","~?"))+COUNTIFS('Calculations'!$HT$13:$HT$512,"="&amp;SUBSTITUTE(SUBSTITUTE(SUBSTITUTE('Calculations'!HF339,"~","~~"),"*","~*"),"?","~?"),'Calculations'!$HN$13:$HN$512,"="&amp;SUBSTITUTE(SUBSTITUTE(SUBSTITUTE('Dashboard'!$B$7,"~","~~"),"*","~*"),"?","~?"))+COUNTIFS('Calculations'!$HU$13:$HU$512,"="&amp;SUBSTITUTE(SUBSTITUTE(SUBSTITUTE('Calculations'!HF339,"~","~~"),"*","~*"),"?","~?"),'Calculations'!$HN$13:$HN$512,"="&amp;SUBSTITUTE(SUBSTITUTE(SUBSTITUTE('Dashboard'!$B$7,"~","~~"),"*","~*"),"?","~?"))+COUNTIFS('Calculations'!$HV$13:$HV$512,"="&amp;SUBSTITUTE(SUBSTITUTE(SUBSTITUTE('Calculations'!HF339,"~","~~"),"*","~*"),"?","~?"),'Calculations'!$HN$13:$HN$512,"="&amp;SUBSTITUTE(SUBSTITUTE(SUBSTITUTE('Dashboard'!$B$7,"~","~~"),"*","~*"),"?","~?"))+COUNTIFS('Calculations'!$HW$13:$HW$512,"="&amp;SUBSTITUTE(SUBSTITUTE(SUBSTITUTE('Calculations'!HF339,"~","~~"),"*","~*"),"?","~?"),'Calculations'!$HN$13:$HN$512,"="&amp;SUBSTITUTE(SUBSTITUTE(SUBSTITUTE('Dashboard'!$B$7,"~","~~"),"*","~*"),"?","~?"))+COUNTIFS('Calculations'!$HX$13:$HX$512,"="&amp;SUBSTITUTE(SUBSTITUTE(SUBSTITUTE('Calculations'!HF339,"~","~~"),"*","~*"),"?","~?"),'Calculations'!$HN$13:$HN$512,"="&amp;SUBSTITUTE(SUBSTITUTE(SUBSTITUTE('Dashboard'!$B$7,"~","~~"),"*","~*"),"?","~?"))+COUNTIFS('Calculations'!$HY$13:$HY$512,"="&amp;SUBSTITUTE(SUBSTITUTE(SUBSTITUTE('Calculations'!HF339,"~","~~"),"*","~*"),"?","~?"),'Calculations'!$HN$13:$HN$512,"="&amp;SUBSTITUTE(SUBSTITUTE(SUBSTITUTE('Dashboard'!$B$7,"~","~~"),"*","~*"),"?","~?"))+COUNTIFS('Calculations'!$HZ$13:$HZ$512,"="&amp;SUBSTITUTE(SUBSTITUTE(SUBSTITUTE('Calculations'!HF339,"~","~~"),"*","~*"),"?","~?"),'Calculations'!$HN$13:$HN$512,"="&amp;SUBSTITUTE(SUBSTITUTE(SUBSTITUTE('Dashboard'!$B$7,"~","~~"),"*","~*"),"?","~?"))+COUNTIFS('Calculations'!$IA$13:$IA$512,"="&amp;SUBSTITUTE(SUBSTITUTE(SUBSTITUTE('Calculations'!HF339,"~","~~"),"*","~*"),"?","~?"),'Calculations'!$HN$13:$HN$512,"="&amp;SUBSTITUTE(SUBSTITUTE(SUBSTITUTE('Dashboard'!$B$7,"~","~~"),"*","~*"),"?","~?"))+COUNTIFS('Calculations'!$IB$13:$IB$512,"="&amp;SUBSTITUTE(SUBSTITUTE(SUBSTITUTE('Calculations'!HF339,"~","~~"),"*","~*"),"?","~?"),'Calculations'!$HN$13:$HN$512,"="&amp;SUBSTITUTE(SUBSTITUTE(SUBSTITUTE('Dashboard'!$B$7,"~","~~"),"*","~*"),"?","~?"))+COUNTIFS('Calculations'!$IC$13:$IC$512,"="&amp;SUBSTITUTE(SUBSTITUTE(SUBSTITUTE('Calculations'!HF339,"~","~~"),"*","~*"),"?","~?"),'Calculations'!$HN$13:$HN$512,"="&amp;SUBSTITUTE(SUBSTITUTE(SUBSTITUTE('Dashboard'!$B$7,"~","~~"),"*","~*"),"?","~?"))+COUNTIFS('Calculations'!$ID$13:$ID$512,"="&amp;SUBSTITUTE(SUBSTITUTE(SUBSTITUTE('Calculations'!HF339,"~","~~"),"*","~*"),"?","~?"),'Calculations'!$HN$13:$HN$512,"="&amp;SUBSTITUTE(SUBSTITUTE(SUBSTITUTE('Dashboard'!$B$7,"~","~~"),"*","~*"),"?","~?"))+COUNTIFS('Calculations'!$IE$13:$IE$512,"="&amp;SUBSTITUTE(SUBSTITUTE(SUBSTITUTE('Calculations'!HF339,"~","~~"),"*","~*"),"?","~?"),'Calculations'!$HN$13:$HN$512,"="&amp;SUBSTITUTE(SUBSTITUTE(SUBSTITUTE('Dashboard'!$B$7,"~","~~"),"*","~*"),"?","~?"))+COUNTIFS('Calculations'!$IF$13:$IF$512,"="&amp;SUBSTITUTE(SUBSTITUTE(SUBSTITUTE('Calculations'!HF339,"~","~~"),"*","~*"),"?","~?"),'Calculations'!$HN$13:$HN$512,"="&amp;SUBSTITUTE(SUBSTITUTE(SUBSTITUTE('Dashboard'!$B$7,"~","~~"),"*","~*"),"?","~?"))+COUNTIFS('Calculations'!$IG$13:$IG$512,"="&amp;SUBSTITUTE(SUBSTITUTE(SUBSTITUTE('Calculations'!HF339,"~","~~"),"*","~*"),"?","~?"),'Calculations'!$HN$13:$HN$512,"="&amp;SUBSTITUTE(SUBSTITUTE(SUBSTITUTE('Dashboard'!$B$7,"~","~~"),"*","~*"),"?","~?"))+COUNTIFS('Calculations'!$IH$13:$IH$512,"="&amp;SUBSTITUTE(SUBSTITUTE(SUBSTITUTE('Calculations'!HF339,"~","~~"),"*","~*"),"?","~?"),'Calculations'!$HN$13:$HN$512,"="&amp;SUBSTITUTE(SUBSTITUTE(SUBSTITUTE('Dashboard'!$B$7,"~","~~"),"*","~*"),"?","~?"))))</x:f>
        <x:v>0</x:v>
      </x:c>
      <x:c r="JD339" t="n">
        <x:f>IF('Calculations'!EM339="",0,IF('Dashboard'!$B$7="All",1,IF('Calculations'!HN339='Dashboard'!$B$7,1,0)+IFERROR(INDEX('Calculations'!$JC$13:$JC$512,MATCH('Calculations'!HE339,'Calculations'!$HF$13:$HF$512,0)),0)))</x:f>
        <x:v>0</x:v>
      </x:c>
      <x:c r="JE339" t="n">
        <x:f>IF(AND('Calculations'!EM339&lt;&gt;"",'Calculations'!$JJ$2&lt;&gt;"All",'Calculations'!$JJ$2&lt;&gt;"",'Calculations'!HF339='Calculations'!$JJ$2,'Calculations'!HL339=0,'Calculations'!JD339&gt;0),MAX('Calculations'!$JE$12:JE338)+1,0)</x:f>
        <x:v>0</x:v>
      </x:c>
      <x:c r="JF339" t="str">
        <x:f>IF('Calculations'!EM339="","",IFERROR(IF(INDEX(INDIRECT("'WCM Calibration Final'!$G$1:$G$2000"),'Calculations'!$EM339)="","",TRIM(INDEX(INDIRECT("'WCM Calibration Final'!$G$1:$G$2000"),'Calculations'!$EM339)&amp;"")),""))</x:f>
      </x:c>
      <x:c r="JQ339" t="n">
        <x:f>IF(OR('Calculations'!BM339=0,NOT('Calculations'!$AG$2),'Calculations'!$AG$8&gt;0),0,IF(OR('Dashboard'!$B$7="All",'Calculations'!HN339='Dashboard'!$B$7),IF('Calculations'!$JJ$2="All",1,IF(AND('Calculations'!HF339='Calculations'!$JJ$2,'Calculations'!HL339=0),1,0)),0))</x:f>
        <x:v>0</x:v>
      </x:c>
    </x:row>
    <x:row r="340">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t="n">
        <x:f>IF('Calculations'!$EM340="",0,IF(OR(IFERROR(INDEX(INDIRECT("'WCM Calibration Final'!$A$1:$A$2000"),'Calculations'!$EM340)&lt;&gt;"",FALSE),IFERROR(INDEX(INDIRECT("'WCM Calibration Final'!$B$1:$B$2000"),'Calculations'!$EM340)&lt;&gt;"",FALSE),IFERROR(INDEX(INDIRECT("'WCM Calibration Final'!$C$1:$C$2000"),'Calculations'!$EM340)&lt;&gt;"",FALSE)),1,0))</x:f>
        <x:v>0</x:v>
      </x:c>
      <x:c r="BN340" s="4" t="n">
        <x:f>IF(AND('Calculations'!BM340=1,'Calculations'!$AG$2,'Calculations'!$EN340=1),1,0)</x:f>
        <x:v>0</x:v>
      </x:c>
      <x:c r="BO340" s="4" t="str">
        <x:f>IF('Calculations'!BM340=0,"",IFERROR(IF(AND(VALUE(INDEX(INDIRECT("'WCM Calibration Final'!$K$1:$K$2000"),'Calculations'!$EM340))&gt;=1,VALUE(INDEX(INDIRECT("'WCM Calibration Final'!$K$1:$K$2000"),'Calculations'!$EM340))&lt;=4,MOD(VALUE(INDEX(INDIRECT("'WCM Calibration Final'!$K$1:$K$2000"),'Calculations'!$EM340)),1)=0),VALUE(INDEX(INDIRECT("'WCM Calibration Final'!$K$1:$K$2000"),'Calculations'!$EM340)),""),""))</x:f>
      </x:c>
      <x:c r="BP340" s="4" t="str">
        <x:f>IF('Calculations'!BM340=0,"",IFERROR(IF(AND(VALUE(INDEX(INDIRECT("'WCM Calibration Final'!$L$1:$L$2000"),'Calculations'!$EM340))&gt;=1,VALUE(INDEX(INDIRECT("'WCM Calibration Final'!$L$1:$L$2000"),'Calculations'!$EM340))&lt;=4,MOD(VALUE(INDEX(INDIRECT("'WCM Calibration Final'!$L$1:$L$2000"),'Calculations'!$EM340)),1)=0),VALUE(INDEX(INDIRECT("'WCM Calibration Final'!$L$1:$L$2000"),'Calculations'!$EM340)),""),""))</x:f>
      </x:c>
      <x:c r="BQ340" s="4"/>
      <x:c r="BR340" s="4"/>
      <x:c r="BS340" s="4"/>
      <x:c r="BT340" s="4" t="n">
        <x:f>IF(AND('Calculations'!BM340=1,ISNUMBER('Calculations'!BO340),ISNUMBER('Calculations'!BP340)),1,0)</x:f>
        <x:v>0</x:v>
      </x:c>
      <x:c r="BU340" s="4" t="str">
        <x:f>IF('Calculations'!BM340=0,"",'Calculations'!$EO340)</x:f>
      </x:c>
      <x:c r="BV340" s="4" t="str">
        <x:f>IF('Calculations'!BM340=0,"",IFERROR(IF(OR(INDEX(INDIRECT("'WCM Calibration Final'!$H$1:$H$2000"),'Calculations'!$EM340)="MANAGING DIRECTOR",INDEX(INDIRECT("'WCM Calibration Final'!$H$1:$H$2000"),'Calculations'!$EM340)="DIRECTOR",INDEX(INDIRECT("'WCM Calibration Final'!$H$1:$H$2000"),'Calculations'!$EM340)="SENIOR VICE PRESIDENT",INDEX(INDIRECT("'WCM Calibration Final'!$H$1:$H$2000"),'Calculations'!$EM340)="VICE PRESIDENT",INDEX(INDIRECT("'WCM Calibration Final'!$H$1:$H$2000"),'Calculations'!$EM340)="ASSISTANT VICE PRESIDENT",INDEX(INDIRECT("'WCM Calibration Final'!$H$1:$H$2000"),'Calculations'!$EM340)="OFFICER"),UPPER(INDEX(INDIRECT("'WCM Calibration Final'!$H$1:$H$2000"),'Calculations'!$EM340)),"Other"),"Other"))</x:f>
      </x:c>
      <x:c r="BW340" s="4"/>
      <x:c r="BX340" s="4"/>
      <x:c r="BY340" s="4" t="n">
        <x:f>IF(AND('Calculations'!BM340=1,'Calculations'!BU340&lt;&gt;"",COUNTIF('Calculations'!$BU$12:BU340,'Calculations'!BU340)=1),MAX('Calculations'!$BY$11:BY339)+1,0)</x:f>
        <x:v>0</x:v>
      </x:c>
      <x:c r="BZ340" s="4" t="str">
        <x:f>IF('Dashboard'!$E$67="What",'Calculations'!BO340,'Calculations'!BP340)</x:f>
      </x:c>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t="str">
        <x:f>IF(329&gt;MAX('Calculations'!$HI$13:$HI$512),"",INDEX('Calculations'!$HN$13:$HN$512,MATCH(329,'Calculations'!$HI$13:$HI$512,0)))</x:f>
      </x:c>
      <x:c r="DB340" s="4" t="str">
        <x:f>IF(329&gt;MAX('Calculations'!$HH$13:$HH$512),"",INDEX('Calculations'!$HJ$13:$HJ$512,MATCH(329,'Calculations'!$HH$13:$HH$512,0)))</x:f>
      </x:c>
      <x:c r="DC340" s="4" t="str">
        <x:f>IF(ROW()-11&gt;MAX('Calculations'!$BY$13:$BY$512),"",INDEX('Calculations'!$BU$13:$BU$512,MATCH(ROW()-11,'Calculations'!$BY$13:$BY$512,0)))</x:f>
      </x:c>
      <x:c r="DD340" s="4" t="str">
        <x:f>IF(329&gt;MAX('Calculations'!$IK$13:$IK$512),"",INDEX('Calculations'!$HK$13:$HK$512,MATCH(329,'Calculations'!$IK$13:$IK$512,0)))</x:f>
      </x:c>
      <x:c r="DE340" s="4" t="str">
        <x:f>'Calculations'!DC340</x:f>
      </x:c>
      <x:c r="DF340" s="4" t="str">
        <x:f>IF('Calculations'!DE340="","",COUNTIFS('Calculations'!$BN$13:$BN$512,1,'Calculations'!$BU$13:$BU$512,'Calculations'!DE340))</x:f>
      </x:c>
      <x:c r="DG340" s="4" t="str">
        <x:f>IF('Calculations'!DE340="","",COUNTIFS('Calculations'!$BN$13:$BN$512,1,'Calculations'!$BU$13:$BU$512,'Calculations'!DE340,'Calculations'!$BT$13:$BT$512,1))</x:f>
      </x:c>
      <x:c r="DH340" s="4" t="str">
        <x:f>IF('Calculations'!DE340="","",'Calculations'!DF340-'Calculations'!DG340)</x:f>
      </x:c>
      <x:c r="DI340" s="4" t="str">
        <x:f>IF(OR('Calculations'!DE340="",'Calculations'!DF340=0),"",'Calculations'!DG340/'Calculations'!DF340)</x:f>
      </x:c>
      <x:c r="DJ340" s="4" t="str">
        <x:f>IF('Calculations'!DE340="","",COUNTIFS('Calculations'!$BN$13:$BN$512,1,'Calculations'!$BU$13:$BU$512,'Calculations'!DE340,'Calculations'!$BT$13:$BT$512,1,'Calculations'!$EE$13:$EE$512,"High"))</x:f>
      </x:c>
      <x:c r="DK340" s="4" t="str">
        <x:f>IF('Calculations'!DE340="","",COUNTIFS('Calculations'!$BN$13:$BN$512,1,'Calculations'!$BU$13:$BU$512,'Calculations'!DE340,'Calculations'!$BT$13:$BT$512,1,'Calculations'!$EE$13:$EE$512,"Strong"))</x:f>
      </x:c>
      <x:c r="DL340" s="4" t="str">
        <x:f>IF('Calculations'!DE340="","",COUNTIFS('Calculations'!$BN$13:$BN$512,1,'Calculations'!$BU$13:$BU$512,'Calculations'!DE340,'Calculations'!$BT$13:$BT$512,1,'Calculations'!$EE$13:$EE$512,"Solid"))</x:f>
      </x:c>
      <x:c r="DM340" s="4" t="str">
        <x:f>IF('Calculations'!DE340="","",COUNTIFS('Calculations'!$BN$13:$BN$512,1,'Calculations'!$BU$13:$BU$512,'Calculations'!DE340,'Calculations'!$BT$13:$BT$512,1,'Calculations'!$EE$13:$EE$512,"Low"))</x:f>
      </x:c>
      <x:c r="DN340" s="4" t="str">
        <x:f>IF('Calculations'!DE340="","",COUNTIFS('Calculations'!$BN$13:$BN$512,1,'Calculations'!$BU$13:$BU$512,'Calculations'!DE340,'Calculations'!$EP$13:$EP$512,1))</x:f>
      </x:c>
      <x:c r="DO340" s="4" t="str">
        <x:f>IF(OR('Calculations'!DE340="",'Calculations'!DG340=0),"",('Calculations'!DJ340+'Calculations'!DK340)/'Calculations'!DG340)</x:f>
      </x:c>
      <x:c r="DP340" s="4" t="n">
        <x:f>IF(AND('Calculations'!DE340&lt;&gt;"",'Calculations'!DF340&gt;0),COUNTIF('Calculations'!$DF$12:DF340,"&gt;0"),0)</x:f>
        <x:v>0</x:v>
      </x:c>
      <x:c r="DQ340" s="4" t="str">
        <x:f>IF(329&gt;MAX('Calculations'!$HH$13:$HH$512),"",INDEX('Calculations'!$HF$13:$HF$512,MATCH(329,'Calculations'!$HH$13:$HH$512,0)))</x:f>
      </x:c>
      <x:c r="DR340" s="4" t="str">
        <x:f>IF(329&gt;MAX('Calculations'!$IK$13:$IK$512),"",INDEX('Calculations'!$HE$13:$HE$512,MATCH(329,'Calculations'!$IK$13:$IK$512,0)))</x:f>
      </x:c>
      <x:c r="DS340" s="4"/>
      <x:c r="DT340" s="4"/>
      <x:c r="DU340" s="4"/>
      <x:c r="DV340" s="4"/>
      <x:c r="DW340" s="4"/>
      <x:c r="DX340" s="4"/>
      <x:c r="DY340" s="4"/>
      <x:c r="DZ340" s="4"/>
      <x:c r="EA340" s="4"/>
      <x:c r="EB340" s="4"/>
      <x:c r="EC340" s="4"/>
      <x:c r="ED340" s="4"/>
      <x:c r="EE340" s="4" t="str">
        <x:f>IF('Calculations'!BT340=0,"Not Rated",IF(OR('Calculations'!BO340&gt;=4,'Calculations'!BP340&gt;=4),"Low",IF('Calculations'!BO340+'Calculations'!BP340&lt;=3,"High",IF('Calculations'!BO340+'Calculations'!BP340&lt;=4,"Strong","Solid"))))</x:f>
        <x:v>Not Rated</x:v>
      </x:c>
      <x:c r="EF340" s="4"/>
      <x:c r="EG340" s="4"/>
      <x:c r="EH340" s="4"/>
      <x:c r="EI340" s="4"/>
      <x:c r="EJ340" s="4"/>
      <x:c r="EK340" s="4"/>
      <x:c r="EL340" s="4"/>
      <x:c r="EM340" s="4" t="str">
        <x:f>IF(328&gt;'Calculations'!$JB$2000,"",INDEX('Calculations'!$JA$12:$JA$2000,MATCH(328,'Calculations'!$JB$12:$JB$2000,0)))</x:f>
      </x:c>
      <x:c r="EN340" s="4" t="n">
        <x:f>IF(OR('Calculations'!EM340="",'Calculations'!$AG$8&gt;0,AND('Calculations'!$EF$2&lt;&gt;"All",'Calculations'!HE340='Calculations'!$EF$2),AND('Calculations'!$EF$3&lt;&gt;"All",'Calculations'!HE340='Calculations'!$EF$3)),0,IF(OR('Dashboard'!$B$7="All",'Calculations'!HN340='Dashboard'!$B$7),IF('Calculations'!$EF$2="All",1,IF('Calculations'!HL340&gt;0,0,IF(COUNTIF('Calculations'!HO340:II340,"="&amp;SUBSTITUTE(SUBSTITUTE(SUBSTITUTE('Calculations'!$EF$2,"~","~~"),"*","~*"),"?","~?"))=0,0,IF('Calculations'!$EF$3="All",1,IF(COUNTIF('Calculations'!HO340:II340,"="&amp;SUBSTITUTE(SUBSTITUTE(SUBSTITUTE('Calculations'!$EF$3,"~","~~"),"*","~*"),"?","~?"))&gt;0,1,0))))),0))</x:f>
        <x:v>0</x:v>
      </x:c>
      <x:c r="EO340" s="4" t="str">
        <x:f>IF('Calculations'!IJ340="","",IF('Calculations'!IJ340="!UNRESOLVED","Unresolved hierarchy",IFERROR(INDEX('Calculations'!$HK$13:$HK$512,MATCH('Calculations'!IJ340,'Calculations'!$HE$13:$HE$512,0)),IFERROR(INDEX('Calculations'!$HJ$13:$HJ$512,MATCH('Calculations'!IJ340,'Calculations'!$HF$13:$HF$512,0)),'Calculations'!IJ340))))</x:f>
      </x:c>
      <x:c r="EP340" s="4" t="n">
        <x:f>IF(AND('Calculations'!EM340&lt;&gt;"",'Calculations'!HF340='Calculations'!IJ340),1,0)</x:f>
        <x:v>0</x:v>
      </x:c>
      <x:c r="EQ340" s="4"/>
      <x:c r="ER340" s="4"/>
      <x:c r="ES340" s="4"/>
      <x:c r="ET340" s="4"/>
      <x:c r="EU340" s="4"/>
      <x:c r="EV340" s="4"/>
      <x:c r="EW340" s="4"/>
      <x:c r="EX340" s="4"/>
      <x:c r="EY340" s="4"/>
      <x:c r="EZ340" s="4"/>
      <x:c r="FA340" s="4"/>
      <x:c r="FB340" s="4"/>
      <x:c r="FC340" s="4"/>
      <x:c r="FD340" s="4"/>
      <x:c r="FE340" s="4"/>
      <x:c r="FF340" s="4"/>
      <x:c r="FG340" s="4"/>
      <x:c r="FH340" s="4"/>
      <x:c r="FI340" s="4"/>
      <x:c r="FJ340" s="4"/>
      <x:c r="FK340" s="4"/>
      <x:c r="FL340" s="4"/>
      <x:c r="FM340" s="4"/>
      <x:c r="FN340" s="4"/>
      <x:c r="FO340" s="4"/>
      <x:c r="HE340" t="str">
        <x:f>IF('Calculations'!EM340="","",IF(IFERROR(IF(INDEX(INDIRECT("'WCM Calibration Final'!$A$1:$A$2000"),'Calculations'!$EM340)="","",TRIM(INDEX(INDIRECT("'WCM Calibration Final'!$A$1:$A$2000"),'Calculations'!$EM340)&amp;"")),"")&lt;&gt;"","G:"&amp;IFERROR(TEXT(1*INDEX(INDIRECT("'WCM Calibration Final'!$A$1:$A$2000"),'Calculations'!$EM340),"0"),UPPER(IFERROR(IF(INDEX(INDIRECT("'WCM Calibration Final'!$A$1:$A$2000"),'Calculations'!$EM340)="","",TRIM(INDEX(INDIRECT("'WCM Calibration Final'!$A$1:$A$2000"),'Calculations'!$EM340)&amp;"")),""))),IF(IFERROR(IF(INDEX(INDIRECT("'WCM Calibration Final'!$C$1:$C$2000"),'Calculations'!$EM340)="","",TRIM(INDEX(INDIRECT("'WCM Calibration Final'!$C$1:$C$2000"),'Calculations'!$EM340)&amp;"")),"")&lt;&gt;"","S:"&amp;UPPER(IFERROR(IF(INDEX(INDIRECT("'WCM Calibration Final'!$C$1:$C$2000"),'Calculations'!$EM340)="","",TRIM(INDEX(INDIRECT("'WCM Calibration Final'!$C$1:$C$2000"),'Calculations'!$EM340)&amp;"")),"")),"R:"&amp;'Calculations'!EM340)))</x:f>
      </x:c>
      <x:c r="HF340" t="str">
        <x:f>IF('Calculations'!EM340="","",IF(IFERROR(IF(INDEX(INDIRECT("'WCM Calibration Final'!$D$1:$D$2000"),'Calculations'!$EM340)="","",TRIM(INDEX(INDIRECT("'WCM Calibration Final'!$D$1:$D$2000"),'Calculations'!$EM340)&amp;"")),"")&lt;&gt;"","G:"&amp;IFERROR(TEXT(1*INDEX(INDIRECT("'WCM Calibration Final'!$D$1:$D$2000"),'Calculations'!$EM340),"0"),UPPER(IFERROR(IF(INDEX(INDIRECT("'WCM Calibration Final'!$D$1:$D$2000"),'Calculations'!$EM340)="","",TRIM(INDEX(INDIRECT("'WCM Calibration Final'!$D$1:$D$2000"),'Calculations'!$EM340)&amp;"")),""))),IF(IFERROR(IF(INDEX(INDIRECT("'WCM Calibration Final'!$E$1:$E$2000"),'Calculations'!$EM340)="","",TRIM(INDEX(INDIRECT("'WCM Calibration Final'!$E$1:$E$2000"),'Calculations'!$EM340)&amp;"")),"")="","",IF(COUNTIF('Calculations'!$HG$13:$HG$512,"="&amp;SUBSTITUTE(SUBSTITUTE(SUBSTITUTE(IFERROR(IF(INDEX(INDIRECT("'WCM Calibration Final'!$E$1:$E$2000"),'Calculations'!$EM340)="","",TRIM(INDEX(INDIRECT("'WCM Calibration Final'!$E$1:$E$2000"),'Calculations'!$EM340)&amp;"")),""),"~","~~"),"*","~*"),"?","~?"))=1,INDEX('Calculations'!$HE$13:$HE$512,MATCH(IFERROR(IF(INDEX(INDIRECT("'WCM Calibration Final'!$E$1:$E$2000"),'Calculations'!$EM340)="","",TRIM(INDEX(INDIRECT("'WCM Calibration Final'!$E$1:$E$2000"),'Calculations'!$EM340)&amp;"")),""),'Calculations'!$HG$13:$HG$512,0)),IF(COUNTIF('Calculations'!$HG$13:$HG$512,"="&amp;SUBSTITUTE(SUBSTITUTE(SUBSTITUTE(IFERROR(IF(INDEX(INDIRECT("'WCM Calibration Final'!$E$1:$E$2000"),'Calculations'!$EM340)="","",TRIM(INDEX(INDIRECT("'WCM Calibration Final'!$E$1:$E$2000"),'Calculations'!$EM340)&amp;"")),""),"~","~~"),"*","~*"),"?","~?"))&gt;1,"!AMBIG","X:"&amp;IFERROR(IF(INDEX(INDIRECT("'WCM Calibration Final'!$E$1:$E$2000"),'Calculations'!$EM340)="","",TRIM(INDEX(INDIRECT("'WCM Calibration Final'!$E$1:$E$2000"),'Calculations'!$EM340)&amp;"")),""))))))</x:f>
      </x:c>
      <x:c r="HG340" t="str">
        <x:f>IF('Calculations'!EM340="","",IFERROR(IF(INDEX(INDIRECT("'WCM Calibration Final'!$B$1:$B$2000"),'Calculations'!$EM340)="","",TRIM(INDEX(INDIRECT("'WCM Calibration Final'!$B$1:$B$2000"),'Calculations'!$EM340)&amp;"")),""))</x:f>
      </x:c>
      <x:c r="HH340" t="n">
        <x:f>IF(AND('Calculations'!JC340&gt;0,COUNTIF('Calculations'!$HF$12:HF340,"="&amp;SUBSTITUTE(SUBSTITUTE(SUBSTITUTE('Calculations'!HF340,"~","~~"),"*","~*"),"?","~?"))=1),MAX('Calculations'!$HH$12:HH339)+1,0)</x:f>
        <x:v>0</x:v>
      </x:c>
      <x:c r="HI340" t="n">
        <x:f>IF(AND('Calculations'!HN340&lt;&gt;"",COUNTIF('Calculations'!$HN$12:HN340,"="&amp;SUBSTITUTE(SUBSTITUTE(SUBSTITUTE('Calculations'!HN340,"~","~~"),"*","~*"),"?","~?"))=1),MAX('Calculations'!$HI$12:HI339)+1,0)</x:f>
        <x:v>0</x:v>
      </x:c>
      <x:c r="HJ340" t="str">
        <x:f>IF('Calculations'!HF340="","",IF(COUNTIF('Calculations'!$HE$13:$HE$512,"="&amp;SUBSTITUTE(SUBSTITUTE(SUBSTITUTE('Calculations'!HF340,"~","~~"),"*","~*"),"?","~?"))=1,INDEX('Calculations'!$HK$13:$HK$512,MATCH('Calculations'!HF340,'Calculations'!$HE$13:$HE$512,0)),IFERROR(IF(INDEX(INDIRECT("'WCM Calibration Final'!$E$1:$E$2000"),'Calculations'!$EM340)="","",TRIM(INDEX(INDIRECT("'WCM Calibration Final'!$E$1:$E$2000"),'Calculations'!$EM340)&amp;"")),"")&amp;" ["&amp;'Calculations'!HF340&amp;"]"))</x:f>
      </x:c>
      <x:c r="HK340" t="str">
        <x:f>IF('Calculations'!EM340="","",'Calculations'!HG340&amp;" ["&amp;'Calculations'!HE340&amp;"]")</x:f>
      </x:c>
      <x:c r="HL340" t="n">
        <x:f>IF('Calculations'!EM340="",0,IF(OR('Calculations'!II340&lt;&gt;"",COUNTIF('Calculations'!$HE$13:$HE$512,"="&amp;SUBSTITUTE(SUBSTITUTE(SUBSTITUTE('Calculations'!HE340,"~","~~"),"*","~*"),"?","~?"))&gt;1),1,0))</x:f>
        <x:v>0</x:v>
      </x:c>
      <x:c r="HM340" t="str">
        <x:f>IF('Calculations'!EM340="","",IF('Calculations'!HL340=1,"!UNRESOLVED",IF('Calculations'!IH340&lt;&gt;"",'Calculations'!IH340,IF('Calculations'!IG340&lt;&gt;"",'Calculations'!IG340,IF('Calculations'!IF340&lt;&gt;"",'Calculations'!IF340,IF('Calculations'!IE340&lt;&gt;"",'Calculations'!IE340,IF('Calculations'!ID340&lt;&gt;"",'Calculations'!ID340,IF('Calculations'!IC340&lt;&gt;"",'Calculations'!IC340,IF('Calculations'!IB340&lt;&gt;"",'Calculations'!IB340,IF('Calculations'!IA340&lt;&gt;"",'Calculations'!IA340,IF('Calculations'!HZ340&lt;&gt;"",'Calculations'!HZ340,IF('Calculations'!HY340&lt;&gt;"",'Calculations'!HY340,IF('Calculations'!HX340&lt;&gt;"",'Calculations'!HX340,IF('Calculations'!HW340&lt;&gt;"",'Calculations'!HW340,IF('Calculations'!HV340&lt;&gt;"",'Calculations'!HV340,IF('Calculations'!HU340&lt;&gt;"",'Calculations'!HU340,IF('Calculations'!HT340&lt;&gt;"",'Calculations'!HT340,IF('Calculations'!HS340&lt;&gt;"",'Calculations'!HS340,IF('Calculations'!HR340&lt;&gt;"",'Calculations'!HR340,IF('Calculations'!HQ340&lt;&gt;"",'Calculations'!HQ340,IF('Calculations'!HP340&lt;&gt;"",'Calculations'!HP340,IF('Calculations'!HO340&lt;&gt;"",'Calculations'!HO340,'Calculations'!HE340))))))))))))))))))))))</x:f>
      </x:c>
      <x:c r="HN340" t="str">
        <x:f>IF('Calculations'!EM340="","",IF(IFERROR(IF(INDEX(INDIRECT("'WCM Calibration Final'!$F$1:$F$2000"),'Calculations'!$EM340)="","",TRIM(INDEX(INDIRECT("'WCM Calibration Final'!$F$1:$F$2000"),'Calculations'!$EM340)&amp;"")),"")="","(Blank)",IFERROR(IF(INDEX(INDIRECT("'WCM Calibration Final'!$F$1:$F$2000"),'Calculations'!$EM340)="","",TRIM(INDEX(INDIRECT("'WCM Calibration Final'!$F$1:$F$2000"),'Calculations'!$EM340)&amp;"")),"")))</x:f>
      </x:c>
      <x:c r="HO340" t="str">
        <x:f>'Calculations'!HF340</x:f>
      </x:c>
      <x:c r="HP340" t="str">
        <x:f>IF('Calculations'!HO340="","",IF('Calculations'!HO340="!AMBIG","!AMBIG",IF(COUNTIF('Calculations'!$HE$13:$HE$512,"="&amp;SUBSTITUTE(SUBSTITUTE(SUBSTITUTE('Calculations'!HO340,"~","~~"),"*","~*"),"?","~?"))&gt;1,"!AMBIG",IFERROR(INDEX('Calculations'!$HF$13:$HF$512,MATCH('Calculations'!HO340,'Calculations'!$HE$13:$HE$512,0)),""))))</x:f>
      </x:c>
      <x:c r="HQ340" t="str">
        <x:f>IF('Calculations'!HP340="","",IF('Calculations'!HP340="!AMBIG","!AMBIG",IF(COUNTIF('Calculations'!$HE$13:$HE$512,"="&amp;SUBSTITUTE(SUBSTITUTE(SUBSTITUTE('Calculations'!HP340,"~","~~"),"*","~*"),"?","~?"))&gt;1,"!AMBIG",IFERROR(INDEX('Calculations'!$HF$13:$HF$512,MATCH('Calculations'!HP340,'Calculations'!$HE$13:$HE$512,0)),""))))</x:f>
      </x:c>
      <x:c r="HR340" t="str">
        <x:f>IF('Calculations'!HQ340="","",IF('Calculations'!HQ340="!AMBIG","!AMBIG",IF(COUNTIF('Calculations'!$HE$13:$HE$512,"="&amp;SUBSTITUTE(SUBSTITUTE(SUBSTITUTE('Calculations'!HQ340,"~","~~"),"*","~*"),"?","~?"))&gt;1,"!AMBIG",IFERROR(INDEX('Calculations'!$HF$13:$HF$512,MATCH('Calculations'!HQ340,'Calculations'!$HE$13:$HE$512,0)),""))))</x:f>
      </x:c>
      <x:c r="HS340" t="str">
        <x:f>IF('Calculations'!HR340="","",IF('Calculations'!HR340="!AMBIG","!AMBIG",IF(COUNTIF('Calculations'!$HE$13:$HE$512,"="&amp;SUBSTITUTE(SUBSTITUTE(SUBSTITUTE('Calculations'!HR340,"~","~~"),"*","~*"),"?","~?"))&gt;1,"!AMBIG",IFERROR(INDEX('Calculations'!$HF$13:$HF$512,MATCH('Calculations'!HR340,'Calculations'!$HE$13:$HE$512,0)),""))))</x:f>
      </x:c>
      <x:c r="HT340" t="str">
        <x:f>IF('Calculations'!HS340="","",IF('Calculations'!HS340="!AMBIG","!AMBIG",IF(COUNTIF('Calculations'!$HE$13:$HE$512,"="&amp;SUBSTITUTE(SUBSTITUTE(SUBSTITUTE('Calculations'!HS340,"~","~~"),"*","~*"),"?","~?"))&gt;1,"!AMBIG",IFERROR(INDEX('Calculations'!$HF$13:$HF$512,MATCH('Calculations'!HS340,'Calculations'!$HE$13:$HE$512,0)),""))))</x:f>
      </x:c>
      <x:c r="HU340" t="str">
        <x:f>IF('Calculations'!HT340="","",IF('Calculations'!HT340="!AMBIG","!AMBIG",IF(COUNTIF('Calculations'!$HE$13:$HE$512,"="&amp;SUBSTITUTE(SUBSTITUTE(SUBSTITUTE('Calculations'!HT340,"~","~~"),"*","~*"),"?","~?"))&gt;1,"!AMBIG",IFERROR(INDEX('Calculations'!$HF$13:$HF$512,MATCH('Calculations'!HT340,'Calculations'!$HE$13:$HE$512,0)),""))))</x:f>
      </x:c>
      <x:c r="HV340" t="str">
        <x:f>IF('Calculations'!HU340="","",IF('Calculations'!HU340="!AMBIG","!AMBIG",IF(COUNTIF('Calculations'!$HE$13:$HE$512,"="&amp;SUBSTITUTE(SUBSTITUTE(SUBSTITUTE('Calculations'!HU340,"~","~~"),"*","~*"),"?","~?"))&gt;1,"!AMBIG",IFERROR(INDEX('Calculations'!$HF$13:$HF$512,MATCH('Calculations'!HU340,'Calculations'!$HE$13:$HE$512,0)),""))))</x:f>
      </x:c>
      <x:c r="HW340" t="str">
        <x:f>IF('Calculations'!HV340="","",IF('Calculations'!HV340="!AMBIG","!AMBIG",IF(COUNTIF('Calculations'!$HE$13:$HE$512,"="&amp;SUBSTITUTE(SUBSTITUTE(SUBSTITUTE('Calculations'!HV340,"~","~~"),"*","~*"),"?","~?"))&gt;1,"!AMBIG",IFERROR(INDEX('Calculations'!$HF$13:$HF$512,MATCH('Calculations'!HV340,'Calculations'!$HE$13:$HE$512,0)),""))))</x:f>
      </x:c>
      <x:c r="HX340" t="str">
        <x:f>IF('Calculations'!HW340="","",IF('Calculations'!HW340="!AMBIG","!AMBIG",IF(COUNTIF('Calculations'!$HE$13:$HE$512,"="&amp;SUBSTITUTE(SUBSTITUTE(SUBSTITUTE('Calculations'!HW340,"~","~~"),"*","~*"),"?","~?"))&gt;1,"!AMBIG",IFERROR(INDEX('Calculations'!$HF$13:$HF$512,MATCH('Calculations'!HW340,'Calculations'!$HE$13:$HE$512,0)),""))))</x:f>
      </x:c>
      <x:c r="HY340" t="str">
        <x:f>IF('Calculations'!HX340="","",IF('Calculations'!HX340="!AMBIG","!AMBIG",IF(COUNTIF('Calculations'!$HE$13:$HE$512,"="&amp;SUBSTITUTE(SUBSTITUTE(SUBSTITUTE('Calculations'!HX340,"~","~~"),"*","~*"),"?","~?"))&gt;1,"!AMBIG",IFERROR(INDEX('Calculations'!$HF$13:$HF$512,MATCH('Calculations'!HX340,'Calculations'!$HE$13:$HE$512,0)),""))))</x:f>
      </x:c>
      <x:c r="HZ340" t="str">
        <x:f>IF('Calculations'!HY340="","",IF('Calculations'!HY340="!AMBIG","!AMBIG",IF(COUNTIF('Calculations'!$HE$13:$HE$512,"="&amp;SUBSTITUTE(SUBSTITUTE(SUBSTITUTE('Calculations'!HY340,"~","~~"),"*","~*"),"?","~?"))&gt;1,"!AMBIG",IFERROR(INDEX('Calculations'!$HF$13:$HF$512,MATCH('Calculations'!HY340,'Calculations'!$HE$13:$HE$512,0)),""))))</x:f>
      </x:c>
      <x:c r="IA340" t="str">
        <x:f>IF('Calculations'!HZ340="","",IF('Calculations'!HZ340="!AMBIG","!AMBIG",IF(COUNTIF('Calculations'!$HE$13:$HE$512,"="&amp;SUBSTITUTE(SUBSTITUTE(SUBSTITUTE('Calculations'!HZ340,"~","~~"),"*","~*"),"?","~?"))&gt;1,"!AMBIG",IFERROR(INDEX('Calculations'!$HF$13:$HF$512,MATCH('Calculations'!HZ340,'Calculations'!$HE$13:$HE$512,0)),""))))</x:f>
      </x:c>
      <x:c r="IB340" t="str">
        <x:f>IF('Calculations'!IA340="","",IF('Calculations'!IA340="!AMBIG","!AMBIG",IF(COUNTIF('Calculations'!$HE$13:$HE$512,"="&amp;SUBSTITUTE(SUBSTITUTE(SUBSTITUTE('Calculations'!IA340,"~","~~"),"*","~*"),"?","~?"))&gt;1,"!AMBIG",IFERROR(INDEX('Calculations'!$HF$13:$HF$512,MATCH('Calculations'!IA340,'Calculations'!$HE$13:$HE$512,0)),""))))</x:f>
      </x:c>
      <x:c r="IC340" t="str">
        <x:f>IF('Calculations'!IB340="","",IF('Calculations'!IB340="!AMBIG","!AMBIG",IF(COUNTIF('Calculations'!$HE$13:$HE$512,"="&amp;SUBSTITUTE(SUBSTITUTE(SUBSTITUTE('Calculations'!IB340,"~","~~"),"*","~*"),"?","~?"))&gt;1,"!AMBIG",IFERROR(INDEX('Calculations'!$HF$13:$HF$512,MATCH('Calculations'!IB340,'Calculations'!$HE$13:$HE$512,0)),""))))</x:f>
      </x:c>
      <x:c r="ID340" t="str">
        <x:f>IF('Calculations'!IC340="","",IF('Calculations'!IC340="!AMBIG","!AMBIG",IF(COUNTIF('Calculations'!$HE$13:$HE$512,"="&amp;SUBSTITUTE(SUBSTITUTE(SUBSTITUTE('Calculations'!IC340,"~","~~"),"*","~*"),"?","~?"))&gt;1,"!AMBIG",IFERROR(INDEX('Calculations'!$HF$13:$HF$512,MATCH('Calculations'!IC340,'Calculations'!$HE$13:$HE$512,0)),""))))</x:f>
      </x:c>
      <x:c r="IE340" t="str">
        <x:f>IF('Calculations'!ID340="","",IF('Calculations'!ID340="!AMBIG","!AMBIG",IF(COUNTIF('Calculations'!$HE$13:$HE$512,"="&amp;SUBSTITUTE(SUBSTITUTE(SUBSTITUTE('Calculations'!ID340,"~","~~"),"*","~*"),"?","~?"))&gt;1,"!AMBIG",IFERROR(INDEX('Calculations'!$HF$13:$HF$512,MATCH('Calculations'!ID340,'Calculations'!$HE$13:$HE$512,0)),""))))</x:f>
      </x:c>
      <x:c r="IF340" t="str">
        <x:f>IF('Calculations'!IE340="","",IF('Calculations'!IE340="!AMBIG","!AMBIG",IF(COUNTIF('Calculations'!$HE$13:$HE$512,"="&amp;SUBSTITUTE(SUBSTITUTE(SUBSTITUTE('Calculations'!IE340,"~","~~"),"*","~*"),"?","~?"))&gt;1,"!AMBIG",IFERROR(INDEX('Calculations'!$HF$13:$HF$512,MATCH('Calculations'!IE340,'Calculations'!$HE$13:$HE$512,0)),""))))</x:f>
      </x:c>
      <x:c r="IG340" t="str">
        <x:f>IF('Calculations'!IF340="","",IF('Calculations'!IF340="!AMBIG","!AMBIG",IF(COUNTIF('Calculations'!$HE$13:$HE$512,"="&amp;SUBSTITUTE(SUBSTITUTE(SUBSTITUTE('Calculations'!IF340,"~","~~"),"*","~*"),"?","~?"))&gt;1,"!AMBIG",IFERROR(INDEX('Calculations'!$HF$13:$HF$512,MATCH('Calculations'!IF340,'Calculations'!$HE$13:$HE$512,0)),""))))</x:f>
      </x:c>
      <x:c r="IH340" t="str">
        <x:f>IF('Calculations'!IG340="","",IF('Calculations'!IG340="!AMBIG","!AMBIG",IF(COUNTIF('Calculations'!$HE$13:$HE$512,"="&amp;SUBSTITUTE(SUBSTITUTE(SUBSTITUTE('Calculations'!IG340,"~","~~"),"*","~*"),"?","~?"))&gt;1,"!AMBIG",IFERROR(INDEX('Calculations'!$HF$13:$HF$512,MATCH('Calculations'!IG340,'Calculations'!$HE$13:$HE$512,0)),""))))</x:f>
      </x:c>
      <x:c r="II340" t="str">
        <x:f>IF('Calculations'!IH340="","",IF('Calculations'!IH340="!AMBIG","!AMBIG",IF(COUNTIF('Calculations'!$HE$13:$HE$512,"="&amp;SUBSTITUTE(SUBSTITUTE(SUBSTITUTE('Calculations'!IH340,"~","~~"),"*","~*"),"?","~?"))&gt;1,"!AMBIG",IFERROR(INDEX('Calculations'!$HF$13:$HF$512,MATCH('Calculations'!IH340,'Calculations'!$HE$13:$HE$512,0)),""))))</x:f>
      </x:c>
      <x:c r="IJ340" t="str">
        <x:f>IF('Calculations'!EM340="","",IF('Calculations'!$EF$2="All",'Calculations'!HM340,IF('Calculations'!HL340=1,"",IFERROR(IF(MATCH('Calculations'!$EF$2,'Calculations'!HO340:II340,0)=1,'Calculations'!HE340,INDEX('Calculations'!HO340:II340,1,MATCH('Calculations'!$EF$2,'Calculations'!HO340:II340,0)-1)),""))))</x:f>
      </x:c>
      <x:c r="IK340" t="n">
        <x:f>IF(AND('Calculations'!EM340&lt;&gt;"",'Calculations'!$EF$2&lt;&gt;"All",'Calculations'!HF340='Calculations'!$EF$2,'Calculations'!HL340=0,'Calculations'!JD340&gt;0),MAX('Calculations'!$IK$12:IK339)+1,0)</x:f>
        <x:v>0</x:v>
      </x:c>
      <x:c r="JA340" t="n">
        <x:f>IF(OR(IFERROR(INDIRECT("'WCM Calibration Final'!$A$340")&lt;&gt;"",FALSE),IFERROR(INDIRECT("'WCM Calibration Final'!$B$340")&lt;&gt;"",FALSE),IFERROR(INDIRECT("'WCM Calibration Final'!$C$340")&lt;&gt;"",FALSE)),340,0)</x:f>
        <x:v>0</x:v>
      </x:c>
      <x:c r="JB340" t="n">
        <x:f>'Calculations'!JB339+IF('Calculations'!JA340&gt;0,1,0)</x:f>
        <x:v>0</x:v>
      </x:c>
      <x:c r="JC340" t="n">
        <x:f>IF(OR('Calculations'!HF340="",'Calculations'!HF340="!AMBIG"),0,IF('Dashboard'!$B$7="All",1,COUNTIFS('Calculations'!$HO$13:$HO$512,"="&amp;SUBSTITUTE(SUBSTITUTE(SUBSTITUTE('Calculations'!HF340,"~","~~"),"*","~*"),"?","~?"),'Calculations'!$HN$13:$HN$512,"="&amp;SUBSTITUTE(SUBSTITUTE(SUBSTITUTE('Dashboard'!$B$7,"~","~~"),"*","~*"),"?","~?"))+COUNTIFS('Calculations'!$HP$13:$HP$512,"="&amp;SUBSTITUTE(SUBSTITUTE(SUBSTITUTE('Calculations'!HF340,"~","~~"),"*","~*"),"?","~?"),'Calculations'!$HN$13:$HN$512,"="&amp;SUBSTITUTE(SUBSTITUTE(SUBSTITUTE('Dashboard'!$B$7,"~","~~"),"*","~*"),"?","~?"))+COUNTIFS('Calculations'!$HQ$13:$HQ$512,"="&amp;SUBSTITUTE(SUBSTITUTE(SUBSTITUTE('Calculations'!HF340,"~","~~"),"*","~*"),"?","~?"),'Calculations'!$HN$13:$HN$512,"="&amp;SUBSTITUTE(SUBSTITUTE(SUBSTITUTE('Dashboard'!$B$7,"~","~~"),"*","~*"),"?","~?"))+COUNTIFS('Calculations'!$HR$13:$HR$512,"="&amp;SUBSTITUTE(SUBSTITUTE(SUBSTITUTE('Calculations'!HF340,"~","~~"),"*","~*"),"?","~?"),'Calculations'!$HN$13:$HN$512,"="&amp;SUBSTITUTE(SUBSTITUTE(SUBSTITUTE('Dashboard'!$B$7,"~","~~"),"*","~*"),"?","~?"))+COUNTIFS('Calculations'!$HS$13:$HS$512,"="&amp;SUBSTITUTE(SUBSTITUTE(SUBSTITUTE('Calculations'!HF340,"~","~~"),"*","~*"),"?","~?"),'Calculations'!$HN$13:$HN$512,"="&amp;SUBSTITUTE(SUBSTITUTE(SUBSTITUTE('Dashboard'!$B$7,"~","~~"),"*","~*"),"?","~?"))+COUNTIFS('Calculations'!$HT$13:$HT$512,"="&amp;SUBSTITUTE(SUBSTITUTE(SUBSTITUTE('Calculations'!HF340,"~","~~"),"*","~*"),"?","~?"),'Calculations'!$HN$13:$HN$512,"="&amp;SUBSTITUTE(SUBSTITUTE(SUBSTITUTE('Dashboard'!$B$7,"~","~~"),"*","~*"),"?","~?"))+COUNTIFS('Calculations'!$HU$13:$HU$512,"="&amp;SUBSTITUTE(SUBSTITUTE(SUBSTITUTE('Calculations'!HF340,"~","~~"),"*","~*"),"?","~?"),'Calculations'!$HN$13:$HN$512,"="&amp;SUBSTITUTE(SUBSTITUTE(SUBSTITUTE('Dashboard'!$B$7,"~","~~"),"*","~*"),"?","~?"))+COUNTIFS('Calculations'!$HV$13:$HV$512,"="&amp;SUBSTITUTE(SUBSTITUTE(SUBSTITUTE('Calculations'!HF340,"~","~~"),"*","~*"),"?","~?"),'Calculations'!$HN$13:$HN$512,"="&amp;SUBSTITUTE(SUBSTITUTE(SUBSTITUTE('Dashboard'!$B$7,"~","~~"),"*","~*"),"?","~?"))+COUNTIFS('Calculations'!$HW$13:$HW$512,"="&amp;SUBSTITUTE(SUBSTITUTE(SUBSTITUTE('Calculations'!HF340,"~","~~"),"*","~*"),"?","~?"),'Calculations'!$HN$13:$HN$512,"="&amp;SUBSTITUTE(SUBSTITUTE(SUBSTITUTE('Dashboard'!$B$7,"~","~~"),"*","~*"),"?","~?"))+COUNTIFS('Calculations'!$HX$13:$HX$512,"="&amp;SUBSTITUTE(SUBSTITUTE(SUBSTITUTE('Calculations'!HF340,"~","~~"),"*","~*"),"?","~?"),'Calculations'!$HN$13:$HN$512,"="&amp;SUBSTITUTE(SUBSTITUTE(SUBSTITUTE('Dashboard'!$B$7,"~","~~"),"*","~*"),"?","~?"))+COUNTIFS('Calculations'!$HY$13:$HY$512,"="&amp;SUBSTITUTE(SUBSTITUTE(SUBSTITUTE('Calculations'!HF340,"~","~~"),"*","~*"),"?","~?"),'Calculations'!$HN$13:$HN$512,"="&amp;SUBSTITUTE(SUBSTITUTE(SUBSTITUTE('Dashboard'!$B$7,"~","~~"),"*","~*"),"?","~?"))+COUNTIFS('Calculations'!$HZ$13:$HZ$512,"="&amp;SUBSTITUTE(SUBSTITUTE(SUBSTITUTE('Calculations'!HF340,"~","~~"),"*","~*"),"?","~?"),'Calculations'!$HN$13:$HN$512,"="&amp;SUBSTITUTE(SUBSTITUTE(SUBSTITUTE('Dashboard'!$B$7,"~","~~"),"*","~*"),"?","~?"))+COUNTIFS('Calculations'!$IA$13:$IA$512,"="&amp;SUBSTITUTE(SUBSTITUTE(SUBSTITUTE('Calculations'!HF340,"~","~~"),"*","~*"),"?","~?"),'Calculations'!$HN$13:$HN$512,"="&amp;SUBSTITUTE(SUBSTITUTE(SUBSTITUTE('Dashboard'!$B$7,"~","~~"),"*","~*"),"?","~?"))+COUNTIFS('Calculations'!$IB$13:$IB$512,"="&amp;SUBSTITUTE(SUBSTITUTE(SUBSTITUTE('Calculations'!HF340,"~","~~"),"*","~*"),"?","~?"),'Calculations'!$HN$13:$HN$512,"="&amp;SUBSTITUTE(SUBSTITUTE(SUBSTITUTE('Dashboard'!$B$7,"~","~~"),"*","~*"),"?","~?"))+COUNTIFS('Calculations'!$IC$13:$IC$512,"="&amp;SUBSTITUTE(SUBSTITUTE(SUBSTITUTE('Calculations'!HF340,"~","~~"),"*","~*"),"?","~?"),'Calculations'!$HN$13:$HN$512,"="&amp;SUBSTITUTE(SUBSTITUTE(SUBSTITUTE('Dashboard'!$B$7,"~","~~"),"*","~*"),"?","~?"))+COUNTIFS('Calculations'!$ID$13:$ID$512,"="&amp;SUBSTITUTE(SUBSTITUTE(SUBSTITUTE('Calculations'!HF340,"~","~~"),"*","~*"),"?","~?"),'Calculations'!$HN$13:$HN$512,"="&amp;SUBSTITUTE(SUBSTITUTE(SUBSTITUTE('Dashboard'!$B$7,"~","~~"),"*","~*"),"?","~?"))+COUNTIFS('Calculations'!$IE$13:$IE$512,"="&amp;SUBSTITUTE(SUBSTITUTE(SUBSTITUTE('Calculations'!HF340,"~","~~"),"*","~*"),"?","~?"),'Calculations'!$HN$13:$HN$512,"="&amp;SUBSTITUTE(SUBSTITUTE(SUBSTITUTE('Dashboard'!$B$7,"~","~~"),"*","~*"),"?","~?"))+COUNTIFS('Calculations'!$IF$13:$IF$512,"="&amp;SUBSTITUTE(SUBSTITUTE(SUBSTITUTE('Calculations'!HF340,"~","~~"),"*","~*"),"?","~?"),'Calculations'!$HN$13:$HN$512,"="&amp;SUBSTITUTE(SUBSTITUTE(SUBSTITUTE('Dashboard'!$B$7,"~","~~"),"*","~*"),"?","~?"))+COUNTIFS('Calculations'!$IG$13:$IG$512,"="&amp;SUBSTITUTE(SUBSTITUTE(SUBSTITUTE('Calculations'!HF340,"~","~~"),"*","~*"),"?","~?"),'Calculations'!$HN$13:$HN$512,"="&amp;SUBSTITUTE(SUBSTITUTE(SUBSTITUTE('Dashboard'!$B$7,"~","~~"),"*","~*"),"?","~?"))+COUNTIFS('Calculations'!$IH$13:$IH$512,"="&amp;SUBSTITUTE(SUBSTITUTE(SUBSTITUTE('Calculations'!HF340,"~","~~"),"*","~*"),"?","~?"),'Calculations'!$HN$13:$HN$512,"="&amp;SUBSTITUTE(SUBSTITUTE(SUBSTITUTE('Dashboard'!$B$7,"~","~~"),"*","~*"),"?","~?"))))</x:f>
        <x:v>0</x:v>
      </x:c>
      <x:c r="JD340" t="n">
        <x:f>IF('Calculations'!EM340="",0,IF('Dashboard'!$B$7="All",1,IF('Calculations'!HN340='Dashboard'!$B$7,1,0)+IFERROR(INDEX('Calculations'!$JC$13:$JC$512,MATCH('Calculations'!HE340,'Calculations'!$HF$13:$HF$512,0)),0)))</x:f>
        <x:v>0</x:v>
      </x:c>
      <x:c r="JE340" t="n">
        <x:f>IF(AND('Calculations'!EM340&lt;&gt;"",'Calculations'!$JJ$2&lt;&gt;"All",'Calculations'!$JJ$2&lt;&gt;"",'Calculations'!HF340='Calculations'!$JJ$2,'Calculations'!HL340=0,'Calculations'!JD340&gt;0),MAX('Calculations'!$JE$12:JE339)+1,0)</x:f>
        <x:v>0</x:v>
      </x:c>
      <x:c r="JF340" t="str">
        <x:f>IF('Calculations'!EM340="","",IFERROR(IF(INDEX(INDIRECT("'WCM Calibration Final'!$G$1:$G$2000"),'Calculations'!$EM340)="","",TRIM(INDEX(INDIRECT("'WCM Calibration Final'!$G$1:$G$2000"),'Calculations'!$EM340)&amp;"")),""))</x:f>
      </x:c>
      <x:c r="JQ340" t="n">
        <x:f>IF(OR('Calculations'!BM340=0,NOT('Calculations'!$AG$2),'Calculations'!$AG$8&gt;0),0,IF(OR('Dashboard'!$B$7="All",'Calculations'!HN340='Dashboard'!$B$7),IF('Calculations'!$JJ$2="All",1,IF(AND('Calculations'!HF340='Calculations'!$JJ$2,'Calculations'!HL340=0),1,0)),0))</x:f>
        <x:v>0</x:v>
      </x:c>
    </x:row>
    <x:row r="341">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t="n">
        <x:f>IF('Calculations'!$EM341="",0,IF(OR(IFERROR(INDEX(INDIRECT("'WCM Calibration Final'!$A$1:$A$2000"),'Calculations'!$EM341)&lt;&gt;"",FALSE),IFERROR(INDEX(INDIRECT("'WCM Calibration Final'!$B$1:$B$2000"),'Calculations'!$EM341)&lt;&gt;"",FALSE),IFERROR(INDEX(INDIRECT("'WCM Calibration Final'!$C$1:$C$2000"),'Calculations'!$EM341)&lt;&gt;"",FALSE)),1,0))</x:f>
        <x:v>0</x:v>
      </x:c>
      <x:c r="BN341" s="4" t="n">
        <x:f>IF(AND('Calculations'!BM341=1,'Calculations'!$AG$2,'Calculations'!$EN341=1),1,0)</x:f>
        <x:v>0</x:v>
      </x:c>
      <x:c r="BO341" s="4" t="str">
        <x:f>IF('Calculations'!BM341=0,"",IFERROR(IF(AND(VALUE(INDEX(INDIRECT("'WCM Calibration Final'!$K$1:$K$2000"),'Calculations'!$EM341))&gt;=1,VALUE(INDEX(INDIRECT("'WCM Calibration Final'!$K$1:$K$2000"),'Calculations'!$EM341))&lt;=4,MOD(VALUE(INDEX(INDIRECT("'WCM Calibration Final'!$K$1:$K$2000"),'Calculations'!$EM341)),1)=0),VALUE(INDEX(INDIRECT("'WCM Calibration Final'!$K$1:$K$2000"),'Calculations'!$EM341)),""),""))</x:f>
      </x:c>
      <x:c r="BP341" s="4" t="str">
        <x:f>IF('Calculations'!BM341=0,"",IFERROR(IF(AND(VALUE(INDEX(INDIRECT("'WCM Calibration Final'!$L$1:$L$2000"),'Calculations'!$EM341))&gt;=1,VALUE(INDEX(INDIRECT("'WCM Calibration Final'!$L$1:$L$2000"),'Calculations'!$EM341))&lt;=4,MOD(VALUE(INDEX(INDIRECT("'WCM Calibration Final'!$L$1:$L$2000"),'Calculations'!$EM341)),1)=0),VALUE(INDEX(INDIRECT("'WCM Calibration Final'!$L$1:$L$2000"),'Calculations'!$EM341)),""),""))</x:f>
      </x:c>
      <x:c r="BQ341" s="4"/>
      <x:c r="BR341" s="4"/>
      <x:c r="BS341" s="4"/>
      <x:c r="BT341" s="4" t="n">
        <x:f>IF(AND('Calculations'!BM341=1,ISNUMBER('Calculations'!BO341),ISNUMBER('Calculations'!BP341)),1,0)</x:f>
        <x:v>0</x:v>
      </x:c>
      <x:c r="BU341" s="4" t="str">
        <x:f>IF('Calculations'!BM341=0,"",'Calculations'!$EO341)</x:f>
      </x:c>
      <x:c r="BV341" s="4" t="str">
        <x:f>IF('Calculations'!BM341=0,"",IFERROR(IF(OR(INDEX(INDIRECT("'WCM Calibration Final'!$H$1:$H$2000"),'Calculations'!$EM341)="MANAGING DIRECTOR",INDEX(INDIRECT("'WCM Calibration Final'!$H$1:$H$2000"),'Calculations'!$EM341)="DIRECTOR",INDEX(INDIRECT("'WCM Calibration Final'!$H$1:$H$2000"),'Calculations'!$EM341)="SENIOR VICE PRESIDENT",INDEX(INDIRECT("'WCM Calibration Final'!$H$1:$H$2000"),'Calculations'!$EM341)="VICE PRESIDENT",INDEX(INDIRECT("'WCM Calibration Final'!$H$1:$H$2000"),'Calculations'!$EM341)="ASSISTANT VICE PRESIDENT",INDEX(INDIRECT("'WCM Calibration Final'!$H$1:$H$2000"),'Calculations'!$EM341)="OFFICER"),UPPER(INDEX(INDIRECT("'WCM Calibration Final'!$H$1:$H$2000"),'Calculations'!$EM341)),"Other"),"Other"))</x:f>
      </x:c>
      <x:c r="BW341" s="4"/>
      <x:c r="BX341" s="4"/>
      <x:c r="BY341" s="4" t="n">
        <x:f>IF(AND('Calculations'!BM341=1,'Calculations'!BU341&lt;&gt;"",COUNTIF('Calculations'!$BU$12:BU341,'Calculations'!BU341)=1),MAX('Calculations'!$BY$11:BY340)+1,0)</x:f>
        <x:v>0</x:v>
      </x:c>
      <x:c r="BZ341" s="4" t="str">
        <x:f>IF('Dashboard'!$E$67="What",'Calculations'!BO341,'Calculations'!BP341)</x:f>
      </x:c>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t="str">
        <x:f>IF(330&gt;MAX('Calculations'!$HI$13:$HI$512),"",INDEX('Calculations'!$HN$13:$HN$512,MATCH(330,'Calculations'!$HI$13:$HI$512,0)))</x:f>
      </x:c>
      <x:c r="DB341" s="4" t="str">
        <x:f>IF(330&gt;MAX('Calculations'!$HH$13:$HH$512),"",INDEX('Calculations'!$HJ$13:$HJ$512,MATCH(330,'Calculations'!$HH$13:$HH$512,0)))</x:f>
      </x:c>
      <x:c r="DC341" s="4" t="str">
        <x:f>IF(ROW()-11&gt;MAX('Calculations'!$BY$13:$BY$512),"",INDEX('Calculations'!$BU$13:$BU$512,MATCH(ROW()-11,'Calculations'!$BY$13:$BY$512,0)))</x:f>
      </x:c>
      <x:c r="DD341" s="4" t="str">
        <x:f>IF(330&gt;MAX('Calculations'!$IK$13:$IK$512),"",INDEX('Calculations'!$HK$13:$HK$512,MATCH(330,'Calculations'!$IK$13:$IK$512,0)))</x:f>
      </x:c>
      <x:c r="DE341" s="4" t="str">
        <x:f>'Calculations'!DC341</x:f>
      </x:c>
      <x:c r="DF341" s="4" t="str">
        <x:f>IF('Calculations'!DE341="","",COUNTIFS('Calculations'!$BN$13:$BN$512,1,'Calculations'!$BU$13:$BU$512,'Calculations'!DE341))</x:f>
      </x:c>
      <x:c r="DG341" s="4" t="str">
        <x:f>IF('Calculations'!DE341="","",COUNTIFS('Calculations'!$BN$13:$BN$512,1,'Calculations'!$BU$13:$BU$512,'Calculations'!DE341,'Calculations'!$BT$13:$BT$512,1))</x:f>
      </x:c>
      <x:c r="DH341" s="4" t="str">
        <x:f>IF('Calculations'!DE341="","",'Calculations'!DF341-'Calculations'!DG341)</x:f>
      </x:c>
      <x:c r="DI341" s="4" t="str">
        <x:f>IF(OR('Calculations'!DE341="",'Calculations'!DF341=0),"",'Calculations'!DG341/'Calculations'!DF341)</x:f>
      </x:c>
      <x:c r="DJ341" s="4" t="str">
        <x:f>IF('Calculations'!DE341="","",COUNTIFS('Calculations'!$BN$13:$BN$512,1,'Calculations'!$BU$13:$BU$512,'Calculations'!DE341,'Calculations'!$BT$13:$BT$512,1,'Calculations'!$EE$13:$EE$512,"High"))</x:f>
      </x:c>
      <x:c r="DK341" s="4" t="str">
        <x:f>IF('Calculations'!DE341="","",COUNTIFS('Calculations'!$BN$13:$BN$512,1,'Calculations'!$BU$13:$BU$512,'Calculations'!DE341,'Calculations'!$BT$13:$BT$512,1,'Calculations'!$EE$13:$EE$512,"Strong"))</x:f>
      </x:c>
      <x:c r="DL341" s="4" t="str">
        <x:f>IF('Calculations'!DE341="","",COUNTIFS('Calculations'!$BN$13:$BN$512,1,'Calculations'!$BU$13:$BU$512,'Calculations'!DE341,'Calculations'!$BT$13:$BT$512,1,'Calculations'!$EE$13:$EE$512,"Solid"))</x:f>
      </x:c>
      <x:c r="DM341" s="4" t="str">
        <x:f>IF('Calculations'!DE341="","",COUNTIFS('Calculations'!$BN$13:$BN$512,1,'Calculations'!$BU$13:$BU$512,'Calculations'!DE341,'Calculations'!$BT$13:$BT$512,1,'Calculations'!$EE$13:$EE$512,"Low"))</x:f>
      </x:c>
      <x:c r="DN341" s="4" t="str">
        <x:f>IF('Calculations'!DE341="","",COUNTIFS('Calculations'!$BN$13:$BN$512,1,'Calculations'!$BU$13:$BU$512,'Calculations'!DE341,'Calculations'!$EP$13:$EP$512,1))</x:f>
      </x:c>
      <x:c r="DO341" s="4" t="str">
        <x:f>IF(OR('Calculations'!DE341="",'Calculations'!DG341=0),"",('Calculations'!DJ341+'Calculations'!DK341)/'Calculations'!DG341)</x:f>
      </x:c>
      <x:c r="DP341" s="4" t="n">
        <x:f>IF(AND('Calculations'!DE341&lt;&gt;"",'Calculations'!DF341&gt;0),COUNTIF('Calculations'!$DF$12:DF341,"&gt;0"),0)</x:f>
        <x:v>0</x:v>
      </x:c>
      <x:c r="DQ341" s="4" t="str">
        <x:f>IF(330&gt;MAX('Calculations'!$HH$13:$HH$512),"",INDEX('Calculations'!$HF$13:$HF$512,MATCH(330,'Calculations'!$HH$13:$HH$512,0)))</x:f>
      </x:c>
      <x:c r="DR341" s="4" t="str">
        <x:f>IF(330&gt;MAX('Calculations'!$IK$13:$IK$512),"",INDEX('Calculations'!$HE$13:$HE$512,MATCH(330,'Calculations'!$IK$13:$IK$512,0)))</x:f>
      </x:c>
      <x:c r="DS341" s="4"/>
      <x:c r="DT341" s="4"/>
      <x:c r="DU341" s="4"/>
      <x:c r="DV341" s="4"/>
      <x:c r="DW341" s="4"/>
      <x:c r="DX341" s="4"/>
      <x:c r="DY341" s="4"/>
      <x:c r="DZ341" s="4"/>
      <x:c r="EA341" s="4"/>
      <x:c r="EB341" s="4"/>
      <x:c r="EC341" s="4"/>
      <x:c r="ED341" s="4"/>
      <x:c r="EE341" s="4" t="str">
        <x:f>IF('Calculations'!BT341=0,"Not Rated",IF(OR('Calculations'!BO341&gt;=4,'Calculations'!BP341&gt;=4),"Low",IF('Calculations'!BO341+'Calculations'!BP341&lt;=3,"High",IF('Calculations'!BO341+'Calculations'!BP341&lt;=4,"Strong","Solid"))))</x:f>
        <x:v>Not Rated</x:v>
      </x:c>
      <x:c r="EF341" s="4"/>
      <x:c r="EG341" s="4"/>
      <x:c r="EH341" s="4"/>
      <x:c r="EI341" s="4"/>
      <x:c r="EJ341" s="4"/>
      <x:c r="EK341" s="4"/>
      <x:c r="EL341" s="4"/>
      <x:c r="EM341" s="4" t="str">
        <x:f>IF(329&gt;'Calculations'!$JB$2000,"",INDEX('Calculations'!$JA$12:$JA$2000,MATCH(329,'Calculations'!$JB$12:$JB$2000,0)))</x:f>
      </x:c>
      <x:c r="EN341" s="4" t="n">
        <x:f>IF(OR('Calculations'!EM341="",'Calculations'!$AG$8&gt;0,AND('Calculations'!$EF$2&lt;&gt;"All",'Calculations'!HE341='Calculations'!$EF$2),AND('Calculations'!$EF$3&lt;&gt;"All",'Calculations'!HE341='Calculations'!$EF$3)),0,IF(OR('Dashboard'!$B$7="All",'Calculations'!HN341='Dashboard'!$B$7),IF('Calculations'!$EF$2="All",1,IF('Calculations'!HL341&gt;0,0,IF(COUNTIF('Calculations'!HO341:II341,"="&amp;SUBSTITUTE(SUBSTITUTE(SUBSTITUTE('Calculations'!$EF$2,"~","~~"),"*","~*"),"?","~?"))=0,0,IF('Calculations'!$EF$3="All",1,IF(COUNTIF('Calculations'!HO341:II341,"="&amp;SUBSTITUTE(SUBSTITUTE(SUBSTITUTE('Calculations'!$EF$3,"~","~~"),"*","~*"),"?","~?"))&gt;0,1,0))))),0))</x:f>
        <x:v>0</x:v>
      </x:c>
      <x:c r="EO341" s="4" t="str">
        <x:f>IF('Calculations'!IJ341="","",IF('Calculations'!IJ341="!UNRESOLVED","Unresolved hierarchy",IFERROR(INDEX('Calculations'!$HK$13:$HK$512,MATCH('Calculations'!IJ341,'Calculations'!$HE$13:$HE$512,0)),IFERROR(INDEX('Calculations'!$HJ$13:$HJ$512,MATCH('Calculations'!IJ341,'Calculations'!$HF$13:$HF$512,0)),'Calculations'!IJ341))))</x:f>
      </x:c>
      <x:c r="EP341" s="4" t="n">
        <x:f>IF(AND('Calculations'!EM341&lt;&gt;"",'Calculations'!HF341='Calculations'!IJ341),1,0)</x:f>
        <x:v>0</x:v>
      </x:c>
      <x:c r="EQ341" s="4"/>
      <x:c r="ER341" s="4"/>
      <x:c r="ES341" s="4"/>
      <x:c r="ET341" s="4"/>
      <x:c r="EU341" s="4"/>
      <x:c r="EV341" s="4"/>
      <x:c r="EW341" s="4"/>
      <x:c r="EX341" s="4"/>
      <x:c r="EY341" s="4"/>
      <x:c r="EZ341" s="4"/>
      <x:c r="FA341" s="4"/>
      <x:c r="FB341" s="4"/>
      <x:c r="FC341" s="4"/>
      <x:c r="FD341" s="4"/>
      <x:c r="FE341" s="4"/>
      <x:c r="FF341" s="4"/>
      <x:c r="FG341" s="4"/>
      <x:c r="FH341" s="4"/>
      <x:c r="FI341" s="4"/>
      <x:c r="FJ341" s="4"/>
      <x:c r="FK341" s="4"/>
      <x:c r="FL341" s="4"/>
      <x:c r="FM341" s="4"/>
      <x:c r="FN341" s="4"/>
      <x:c r="FO341" s="4"/>
      <x:c r="HE341" t="str">
        <x:f>IF('Calculations'!EM341="","",IF(IFERROR(IF(INDEX(INDIRECT("'WCM Calibration Final'!$A$1:$A$2000"),'Calculations'!$EM341)="","",TRIM(INDEX(INDIRECT("'WCM Calibration Final'!$A$1:$A$2000"),'Calculations'!$EM341)&amp;"")),"")&lt;&gt;"","G:"&amp;IFERROR(TEXT(1*INDEX(INDIRECT("'WCM Calibration Final'!$A$1:$A$2000"),'Calculations'!$EM341),"0"),UPPER(IFERROR(IF(INDEX(INDIRECT("'WCM Calibration Final'!$A$1:$A$2000"),'Calculations'!$EM341)="","",TRIM(INDEX(INDIRECT("'WCM Calibration Final'!$A$1:$A$2000"),'Calculations'!$EM341)&amp;"")),""))),IF(IFERROR(IF(INDEX(INDIRECT("'WCM Calibration Final'!$C$1:$C$2000"),'Calculations'!$EM341)="","",TRIM(INDEX(INDIRECT("'WCM Calibration Final'!$C$1:$C$2000"),'Calculations'!$EM341)&amp;"")),"")&lt;&gt;"","S:"&amp;UPPER(IFERROR(IF(INDEX(INDIRECT("'WCM Calibration Final'!$C$1:$C$2000"),'Calculations'!$EM341)="","",TRIM(INDEX(INDIRECT("'WCM Calibration Final'!$C$1:$C$2000"),'Calculations'!$EM341)&amp;"")),"")),"R:"&amp;'Calculations'!EM341)))</x:f>
      </x:c>
      <x:c r="HF341" t="str">
        <x:f>IF('Calculations'!EM341="","",IF(IFERROR(IF(INDEX(INDIRECT("'WCM Calibration Final'!$D$1:$D$2000"),'Calculations'!$EM341)="","",TRIM(INDEX(INDIRECT("'WCM Calibration Final'!$D$1:$D$2000"),'Calculations'!$EM341)&amp;"")),"")&lt;&gt;"","G:"&amp;IFERROR(TEXT(1*INDEX(INDIRECT("'WCM Calibration Final'!$D$1:$D$2000"),'Calculations'!$EM341),"0"),UPPER(IFERROR(IF(INDEX(INDIRECT("'WCM Calibration Final'!$D$1:$D$2000"),'Calculations'!$EM341)="","",TRIM(INDEX(INDIRECT("'WCM Calibration Final'!$D$1:$D$2000"),'Calculations'!$EM341)&amp;"")),""))),IF(IFERROR(IF(INDEX(INDIRECT("'WCM Calibration Final'!$E$1:$E$2000"),'Calculations'!$EM341)="","",TRIM(INDEX(INDIRECT("'WCM Calibration Final'!$E$1:$E$2000"),'Calculations'!$EM341)&amp;"")),"")="","",IF(COUNTIF('Calculations'!$HG$13:$HG$512,"="&amp;SUBSTITUTE(SUBSTITUTE(SUBSTITUTE(IFERROR(IF(INDEX(INDIRECT("'WCM Calibration Final'!$E$1:$E$2000"),'Calculations'!$EM341)="","",TRIM(INDEX(INDIRECT("'WCM Calibration Final'!$E$1:$E$2000"),'Calculations'!$EM341)&amp;"")),""),"~","~~"),"*","~*"),"?","~?"))=1,INDEX('Calculations'!$HE$13:$HE$512,MATCH(IFERROR(IF(INDEX(INDIRECT("'WCM Calibration Final'!$E$1:$E$2000"),'Calculations'!$EM341)="","",TRIM(INDEX(INDIRECT("'WCM Calibration Final'!$E$1:$E$2000"),'Calculations'!$EM341)&amp;"")),""),'Calculations'!$HG$13:$HG$512,0)),IF(COUNTIF('Calculations'!$HG$13:$HG$512,"="&amp;SUBSTITUTE(SUBSTITUTE(SUBSTITUTE(IFERROR(IF(INDEX(INDIRECT("'WCM Calibration Final'!$E$1:$E$2000"),'Calculations'!$EM341)="","",TRIM(INDEX(INDIRECT("'WCM Calibration Final'!$E$1:$E$2000"),'Calculations'!$EM341)&amp;"")),""),"~","~~"),"*","~*"),"?","~?"))&gt;1,"!AMBIG","X:"&amp;IFERROR(IF(INDEX(INDIRECT("'WCM Calibration Final'!$E$1:$E$2000"),'Calculations'!$EM341)="","",TRIM(INDEX(INDIRECT("'WCM Calibration Final'!$E$1:$E$2000"),'Calculations'!$EM341)&amp;"")),""))))))</x:f>
      </x:c>
      <x:c r="HG341" t="str">
        <x:f>IF('Calculations'!EM341="","",IFERROR(IF(INDEX(INDIRECT("'WCM Calibration Final'!$B$1:$B$2000"),'Calculations'!$EM341)="","",TRIM(INDEX(INDIRECT("'WCM Calibration Final'!$B$1:$B$2000"),'Calculations'!$EM341)&amp;"")),""))</x:f>
      </x:c>
      <x:c r="HH341" t="n">
        <x:f>IF(AND('Calculations'!JC341&gt;0,COUNTIF('Calculations'!$HF$12:HF341,"="&amp;SUBSTITUTE(SUBSTITUTE(SUBSTITUTE('Calculations'!HF341,"~","~~"),"*","~*"),"?","~?"))=1),MAX('Calculations'!$HH$12:HH340)+1,0)</x:f>
        <x:v>0</x:v>
      </x:c>
      <x:c r="HI341" t="n">
        <x:f>IF(AND('Calculations'!HN341&lt;&gt;"",COUNTIF('Calculations'!$HN$12:HN341,"="&amp;SUBSTITUTE(SUBSTITUTE(SUBSTITUTE('Calculations'!HN341,"~","~~"),"*","~*"),"?","~?"))=1),MAX('Calculations'!$HI$12:HI340)+1,0)</x:f>
        <x:v>0</x:v>
      </x:c>
      <x:c r="HJ341" t="str">
        <x:f>IF('Calculations'!HF341="","",IF(COUNTIF('Calculations'!$HE$13:$HE$512,"="&amp;SUBSTITUTE(SUBSTITUTE(SUBSTITUTE('Calculations'!HF341,"~","~~"),"*","~*"),"?","~?"))=1,INDEX('Calculations'!$HK$13:$HK$512,MATCH('Calculations'!HF341,'Calculations'!$HE$13:$HE$512,0)),IFERROR(IF(INDEX(INDIRECT("'WCM Calibration Final'!$E$1:$E$2000"),'Calculations'!$EM341)="","",TRIM(INDEX(INDIRECT("'WCM Calibration Final'!$E$1:$E$2000"),'Calculations'!$EM341)&amp;"")),"")&amp;" ["&amp;'Calculations'!HF341&amp;"]"))</x:f>
      </x:c>
      <x:c r="HK341" t="str">
        <x:f>IF('Calculations'!EM341="","",'Calculations'!HG341&amp;" ["&amp;'Calculations'!HE341&amp;"]")</x:f>
      </x:c>
      <x:c r="HL341" t="n">
        <x:f>IF('Calculations'!EM341="",0,IF(OR('Calculations'!II341&lt;&gt;"",COUNTIF('Calculations'!$HE$13:$HE$512,"="&amp;SUBSTITUTE(SUBSTITUTE(SUBSTITUTE('Calculations'!HE341,"~","~~"),"*","~*"),"?","~?"))&gt;1),1,0))</x:f>
        <x:v>0</x:v>
      </x:c>
      <x:c r="HM341" t="str">
        <x:f>IF('Calculations'!EM341="","",IF('Calculations'!HL341=1,"!UNRESOLVED",IF('Calculations'!IH341&lt;&gt;"",'Calculations'!IH341,IF('Calculations'!IG341&lt;&gt;"",'Calculations'!IG341,IF('Calculations'!IF341&lt;&gt;"",'Calculations'!IF341,IF('Calculations'!IE341&lt;&gt;"",'Calculations'!IE341,IF('Calculations'!ID341&lt;&gt;"",'Calculations'!ID341,IF('Calculations'!IC341&lt;&gt;"",'Calculations'!IC341,IF('Calculations'!IB341&lt;&gt;"",'Calculations'!IB341,IF('Calculations'!IA341&lt;&gt;"",'Calculations'!IA341,IF('Calculations'!HZ341&lt;&gt;"",'Calculations'!HZ341,IF('Calculations'!HY341&lt;&gt;"",'Calculations'!HY341,IF('Calculations'!HX341&lt;&gt;"",'Calculations'!HX341,IF('Calculations'!HW341&lt;&gt;"",'Calculations'!HW341,IF('Calculations'!HV341&lt;&gt;"",'Calculations'!HV341,IF('Calculations'!HU341&lt;&gt;"",'Calculations'!HU341,IF('Calculations'!HT341&lt;&gt;"",'Calculations'!HT341,IF('Calculations'!HS341&lt;&gt;"",'Calculations'!HS341,IF('Calculations'!HR341&lt;&gt;"",'Calculations'!HR341,IF('Calculations'!HQ341&lt;&gt;"",'Calculations'!HQ341,IF('Calculations'!HP341&lt;&gt;"",'Calculations'!HP341,IF('Calculations'!HO341&lt;&gt;"",'Calculations'!HO341,'Calculations'!HE341))))))))))))))))))))))</x:f>
      </x:c>
      <x:c r="HN341" t="str">
        <x:f>IF('Calculations'!EM341="","",IF(IFERROR(IF(INDEX(INDIRECT("'WCM Calibration Final'!$F$1:$F$2000"),'Calculations'!$EM341)="","",TRIM(INDEX(INDIRECT("'WCM Calibration Final'!$F$1:$F$2000"),'Calculations'!$EM341)&amp;"")),"")="","(Blank)",IFERROR(IF(INDEX(INDIRECT("'WCM Calibration Final'!$F$1:$F$2000"),'Calculations'!$EM341)="","",TRIM(INDEX(INDIRECT("'WCM Calibration Final'!$F$1:$F$2000"),'Calculations'!$EM341)&amp;"")),"")))</x:f>
      </x:c>
      <x:c r="HO341" t="str">
        <x:f>'Calculations'!HF341</x:f>
      </x:c>
      <x:c r="HP341" t="str">
        <x:f>IF('Calculations'!HO341="","",IF('Calculations'!HO341="!AMBIG","!AMBIG",IF(COUNTIF('Calculations'!$HE$13:$HE$512,"="&amp;SUBSTITUTE(SUBSTITUTE(SUBSTITUTE('Calculations'!HO341,"~","~~"),"*","~*"),"?","~?"))&gt;1,"!AMBIG",IFERROR(INDEX('Calculations'!$HF$13:$HF$512,MATCH('Calculations'!HO341,'Calculations'!$HE$13:$HE$512,0)),""))))</x:f>
      </x:c>
      <x:c r="HQ341" t="str">
        <x:f>IF('Calculations'!HP341="","",IF('Calculations'!HP341="!AMBIG","!AMBIG",IF(COUNTIF('Calculations'!$HE$13:$HE$512,"="&amp;SUBSTITUTE(SUBSTITUTE(SUBSTITUTE('Calculations'!HP341,"~","~~"),"*","~*"),"?","~?"))&gt;1,"!AMBIG",IFERROR(INDEX('Calculations'!$HF$13:$HF$512,MATCH('Calculations'!HP341,'Calculations'!$HE$13:$HE$512,0)),""))))</x:f>
      </x:c>
      <x:c r="HR341" t="str">
        <x:f>IF('Calculations'!HQ341="","",IF('Calculations'!HQ341="!AMBIG","!AMBIG",IF(COUNTIF('Calculations'!$HE$13:$HE$512,"="&amp;SUBSTITUTE(SUBSTITUTE(SUBSTITUTE('Calculations'!HQ341,"~","~~"),"*","~*"),"?","~?"))&gt;1,"!AMBIG",IFERROR(INDEX('Calculations'!$HF$13:$HF$512,MATCH('Calculations'!HQ341,'Calculations'!$HE$13:$HE$512,0)),""))))</x:f>
      </x:c>
      <x:c r="HS341" t="str">
        <x:f>IF('Calculations'!HR341="","",IF('Calculations'!HR341="!AMBIG","!AMBIG",IF(COUNTIF('Calculations'!$HE$13:$HE$512,"="&amp;SUBSTITUTE(SUBSTITUTE(SUBSTITUTE('Calculations'!HR341,"~","~~"),"*","~*"),"?","~?"))&gt;1,"!AMBIG",IFERROR(INDEX('Calculations'!$HF$13:$HF$512,MATCH('Calculations'!HR341,'Calculations'!$HE$13:$HE$512,0)),""))))</x:f>
      </x:c>
      <x:c r="HT341" t="str">
        <x:f>IF('Calculations'!HS341="","",IF('Calculations'!HS341="!AMBIG","!AMBIG",IF(COUNTIF('Calculations'!$HE$13:$HE$512,"="&amp;SUBSTITUTE(SUBSTITUTE(SUBSTITUTE('Calculations'!HS341,"~","~~"),"*","~*"),"?","~?"))&gt;1,"!AMBIG",IFERROR(INDEX('Calculations'!$HF$13:$HF$512,MATCH('Calculations'!HS341,'Calculations'!$HE$13:$HE$512,0)),""))))</x:f>
      </x:c>
      <x:c r="HU341" t="str">
        <x:f>IF('Calculations'!HT341="","",IF('Calculations'!HT341="!AMBIG","!AMBIG",IF(COUNTIF('Calculations'!$HE$13:$HE$512,"="&amp;SUBSTITUTE(SUBSTITUTE(SUBSTITUTE('Calculations'!HT341,"~","~~"),"*","~*"),"?","~?"))&gt;1,"!AMBIG",IFERROR(INDEX('Calculations'!$HF$13:$HF$512,MATCH('Calculations'!HT341,'Calculations'!$HE$13:$HE$512,0)),""))))</x:f>
      </x:c>
      <x:c r="HV341" t="str">
        <x:f>IF('Calculations'!HU341="","",IF('Calculations'!HU341="!AMBIG","!AMBIG",IF(COUNTIF('Calculations'!$HE$13:$HE$512,"="&amp;SUBSTITUTE(SUBSTITUTE(SUBSTITUTE('Calculations'!HU341,"~","~~"),"*","~*"),"?","~?"))&gt;1,"!AMBIG",IFERROR(INDEX('Calculations'!$HF$13:$HF$512,MATCH('Calculations'!HU341,'Calculations'!$HE$13:$HE$512,0)),""))))</x:f>
      </x:c>
      <x:c r="HW341" t="str">
        <x:f>IF('Calculations'!HV341="","",IF('Calculations'!HV341="!AMBIG","!AMBIG",IF(COUNTIF('Calculations'!$HE$13:$HE$512,"="&amp;SUBSTITUTE(SUBSTITUTE(SUBSTITUTE('Calculations'!HV341,"~","~~"),"*","~*"),"?","~?"))&gt;1,"!AMBIG",IFERROR(INDEX('Calculations'!$HF$13:$HF$512,MATCH('Calculations'!HV341,'Calculations'!$HE$13:$HE$512,0)),""))))</x:f>
      </x:c>
      <x:c r="HX341" t="str">
        <x:f>IF('Calculations'!HW341="","",IF('Calculations'!HW341="!AMBIG","!AMBIG",IF(COUNTIF('Calculations'!$HE$13:$HE$512,"="&amp;SUBSTITUTE(SUBSTITUTE(SUBSTITUTE('Calculations'!HW341,"~","~~"),"*","~*"),"?","~?"))&gt;1,"!AMBIG",IFERROR(INDEX('Calculations'!$HF$13:$HF$512,MATCH('Calculations'!HW341,'Calculations'!$HE$13:$HE$512,0)),""))))</x:f>
      </x:c>
      <x:c r="HY341" t="str">
        <x:f>IF('Calculations'!HX341="","",IF('Calculations'!HX341="!AMBIG","!AMBIG",IF(COUNTIF('Calculations'!$HE$13:$HE$512,"="&amp;SUBSTITUTE(SUBSTITUTE(SUBSTITUTE('Calculations'!HX341,"~","~~"),"*","~*"),"?","~?"))&gt;1,"!AMBIG",IFERROR(INDEX('Calculations'!$HF$13:$HF$512,MATCH('Calculations'!HX341,'Calculations'!$HE$13:$HE$512,0)),""))))</x:f>
      </x:c>
      <x:c r="HZ341" t="str">
        <x:f>IF('Calculations'!HY341="","",IF('Calculations'!HY341="!AMBIG","!AMBIG",IF(COUNTIF('Calculations'!$HE$13:$HE$512,"="&amp;SUBSTITUTE(SUBSTITUTE(SUBSTITUTE('Calculations'!HY341,"~","~~"),"*","~*"),"?","~?"))&gt;1,"!AMBIG",IFERROR(INDEX('Calculations'!$HF$13:$HF$512,MATCH('Calculations'!HY341,'Calculations'!$HE$13:$HE$512,0)),""))))</x:f>
      </x:c>
      <x:c r="IA341" t="str">
        <x:f>IF('Calculations'!HZ341="","",IF('Calculations'!HZ341="!AMBIG","!AMBIG",IF(COUNTIF('Calculations'!$HE$13:$HE$512,"="&amp;SUBSTITUTE(SUBSTITUTE(SUBSTITUTE('Calculations'!HZ341,"~","~~"),"*","~*"),"?","~?"))&gt;1,"!AMBIG",IFERROR(INDEX('Calculations'!$HF$13:$HF$512,MATCH('Calculations'!HZ341,'Calculations'!$HE$13:$HE$512,0)),""))))</x:f>
      </x:c>
      <x:c r="IB341" t="str">
        <x:f>IF('Calculations'!IA341="","",IF('Calculations'!IA341="!AMBIG","!AMBIG",IF(COUNTIF('Calculations'!$HE$13:$HE$512,"="&amp;SUBSTITUTE(SUBSTITUTE(SUBSTITUTE('Calculations'!IA341,"~","~~"),"*","~*"),"?","~?"))&gt;1,"!AMBIG",IFERROR(INDEX('Calculations'!$HF$13:$HF$512,MATCH('Calculations'!IA341,'Calculations'!$HE$13:$HE$512,0)),""))))</x:f>
      </x:c>
      <x:c r="IC341" t="str">
        <x:f>IF('Calculations'!IB341="","",IF('Calculations'!IB341="!AMBIG","!AMBIG",IF(COUNTIF('Calculations'!$HE$13:$HE$512,"="&amp;SUBSTITUTE(SUBSTITUTE(SUBSTITUTE('Calculations'!IB341,"~","~~"),"*","~*"),"?","~?"))&gt;1,"!AMBIG",IFERROR(INDEX('Calculations'!$HF$13:$HF$512,MATCH('Calculations'!IB341,'Calculations'!$HE$13:$HE$512,0)),""))))</x:f>
      </x:c>
      <x:c r="ID341" t="str">
        <x:f>IF('Calculations'!IC341="","",IF('Calculations'!IC341="!AMBIG","!AMBIG",IF(COUNTIF('Calculations'!$HE$13:$HE$512,"="&amp;SUBSTITUTE(SUBSTITUTE(SUBSTITUTE('Calculations'!IC341,"~","~~"),"*","~*"),"?","~?"))&gt;1,"!AMBIG",IFERROR(INDEX('Calculations'!$HF$13:$HF$512,MATCH('Calculations'!IC341,'Calculations'!$HE$13:$HE$512,0)),""))))</x:f>
      </x:c>
      <x:c r="IE341" t="str">
        <x:f>IF('Calculations'!ID341="","",IF('Calculations'!ID341="!AMBIG","!AMBIG",IF(COUNTIF('Calculations'!$HE$13:$HE$512,"="&amp;SUBSTITUTE(SUBSTITUTE(SUBSTITUTE('Calculations'!ID341,"~","~~"),"*","~*"),"?","~?"))&gt;1,"!AMBIG",IFERROR(INDEX('Calculations'!$HF$13:$HF$512,MATCH('Calculations'!ID341,'Calculations'!$HE$13:$HE$512,0)),""))))</x:f>
      </x:c>
      <x:c r="IF341" t="str">
        <x:f>IF('Calculations'!IE341="","",IF('Calculations'!IE341="!AMBIG","!AMBIG",IF(COUNTIF('Calculations'!$HE$13:$HE$512,"="&amp;SUBSTITUTE(SUBSTITUTE(SUBSTITUTE('Calculations'!IE341,"~","~~"),"*","~*"),"?","~?"))&gt;1,"!AMBIG",IFERROR(INDEX('Calculations'!$HF$13:$HF$512,MATCH('Calculations'!IE341,'Calculations'!$HE$13:$HE$512,0)),""))))</x:f>
      </x:c>
      <x:c r="IG341" t="str">
        <x:f>IF('Calculations'!IF341="","",IF('Calculations'!IF341="!AMBIG","!AMBIG",IF(COUNTIF('Calculations'!$HE$13:$HE$512,"="&amp;SUBSTITUTE(SUBSTITUTE(SUBSTITUTE('Calculations'!IF341,"~","~~"),"*","~*"),"?","~?"))&gt;1,"!AMBIG",IFERROR(INDEX('Calculations'!$HF$13:$HF$512,MATCH('Calculations'!IF341,'Calculations'!$HE$13:$HE$512,0)),""))))</x:f>
      </x:c>
      <x:c r="IH341" t="str">
        <x:f>IF('Calculations'!IG341="","",IF('Calculations'!IG341="!AMBIG","!AMBIG",IF(COUNTIF('Calculations'!$HE$13:$HE$512,"="&amp;SUBSTITUTE(SUBSTITUTE(SUBSTITUTE('Calculations'!IG341,"~","~~"),"*","~*"),"?","~?"))&gt;1,"!AMBIG",IFERROR(INDEX('Calculations'!$HF$13:$HF$512,MATCH('Calculations'!IG341,'Calculations'!$HE$13:$HE$512,0)),""))))</x:f>
      </x:c>
      <x:c r="II341" t="str">
        <x:f>IF('Calculations'!IH341="","",IF('Calculations'!IH341="!AMBIG","!AMBIG",IF(COUNTIF('Calculations'!$HE$13:$HE$512,"="&amp;SUBSTITUTE(SUBSTITUTE(SUBSTITUTE('Calculations'!IH341,"~","~~"),"*","~*"),"?","~?"))&gt;1,"!AMBIG",IFERROR(INDEX('Calculations'!$HF$13:$HF$512,MATCH('Calculations'!IH341,'Calculations'!$HE$13:$HE$512,0)),""))))</x:f>
      </x:c>
      <x:c r="IJ341" t="str">
        <x:f>IF('Calculations'!EM341="","",IF('Calculations'!$EF$2="All",'Calculations'!HM341,IF('Calculations'!HL341=1,"",IFERROR(IF(MATCH('Calculations'!$EF$2,'Calculations'!HO341:II341,0)=1,'Calculations'!HE341,INDEX('Calculations'!HO341:II341,1,MATCH('Calculations'!$EF$2,'Calculations'!HO341:II341,0)-1)),""))))</x:f>
      </x:c>
      <x:c r="IK341" t="n">
        <x:f>IF(AND('Calculations'!EM341&lt;&gt;"",'Calculations'!$EF$2&lt;&gt;"All",'Calculations'!HF341='Calculations'!$EF$2,'Calculations'!HL341=0,'Calculations'!JD341&gt;0),MAX('Calculations'!$IK$12:IK340)+1,0)</x:f>
        <x:v>0</x:v>
      </x:c>
      <x:c r="JA341" t="n">
        <x:f>IF(OR(IFERROR(INDIRECT("'WCM Calibration Final'!$A$341")&lt;&gt;"",FALSE),IFERROR(INDIRECT("'WCM Calibration Final'!$B$341")&lt;&gt;"",FALSE),IFERROR(INDIRECT("'WCM Calibration Final'!$C$341")&lt;&gt;"",FALSE)),341,0)</x:f>
        <x:v>0</x:v>
      </x:c>
      <x:c r="JB341" t="n">
        <x:f>'Calculations'!JB340+IF('Calculations'!JA341&gt;0,1,0)</x:f>
        <x:v>0</x:v>
      </x:c>
      <x:c r="JC341" t="n">
        <x:f>IF(OR('Calculations'!HF341="",'Calculations'!HF341="!AMBIG"),0,IF('Dashboard'!$B$7="All",1,COUNTIFS('Calculations'!$HO$13:$HO$512,"="&amp;SUBSTITUTE(SUBSTITUTE(SUBSTITUTE('Calculations'!HF341,"~","~~"),"*","~*"),"?","~?"),'Calculations'!$HN$13:$HN$512,"="&amp;SUBSTITUTE(SUBSTITUTE(SUBSTITUTE('Dashboard'!$B$7,"~","~~"),"*","~*"),"?","~?"))+COUNTIFS('Calculations'!$HP$13:$HP$512,"="&amp;SUBSTITUTE(SUBSTITUTE(SUBSTITUTE('Calculations'!HF341,"~","~~"),"*","~*"),"?","~?"),'Calculations'!$HN$13:$HN$512,"="&amp;SUBSTITUTE(SUBSTITUTE(SUBSTITUTE('Dashboard'!$B$7,"~","~~"),"*","~*"),"?","~?"))+COUNTIFS('Calculations'!$HQ$13:$HQ$512,"="&amp;SUBSTITUTE(SUBSTITUTE(SUBSTITUTE('Calculations'!HF341,"~","~~"),"*","~*"),"?","~?"),'Calculations'!$HN$13:$HN$512,"="&amp;SUBSTITUTE(SUBSTITUTE(SUBSTITUTE('Dashboard'!$B$7,"~","~~"),"*","~*"),"?","~?"))+COUNTIFS('Calculations'!$HR$13:$HR$512,"="&amp;SUBSTITUTE(SUBSTITUTE(SUBSTITUTE('Calculations'!HF341,"~","~~"),"*","~*"),"?","~?"),'Calculations'!$HN$13:$HN$512,"="&amp;SUBSTITUTE(SUBSTITUTE(SUBSTITUTE('Dashboard'!$B$7,"~","~~"),"*","~*"),"?","~?"))+COUNTIFS('Calculations'!$HS$13:$HS$512,"="&amp;SUBSTITUTE(SUBSTITUTE(SUBSTITUTE('Calculations'!HF341,"~","~~"),"*","~*"),"?","~?"),'Calculations'!$HN$13:$HN$512,"="&amp;SUBSTITUTE(SUBSTITUTE(SUBSTITUTE('Dashboard'!$B$7,"~","~~"),"*","~*"),"?","~?"))+COUNTIFS('Calculations'!$HT$13:$HT$512,"="&amp;SUBSTITUTE(SUBSTITUTE(SUBSTITUTE('Calculations'!HF341,"~","~~"),"*","~*"),"?","~?"),'Calculations'!$HN$13:$HN$512,"="&amp;SUBSTITUTE(SUBSTITUTE(SUBSTITUTE('Dashboard'!$B$7,"~","~~"),"*","~*"),"?","~?"))+COUNTIFS('Calculations'!$HU$13:$HU$512,"="&amp;SUBSTITUTE(SUBSTITUTE(SUBSTITUTE('Calculations'!HF341,"~","~~"),"*","~*"),"?","~?"),'Calculations'!$HN$13:$HN$512,"="&amp;SUBSTITUTE(SUBSTITUTE(SUBSTITUTE('Dashboard'!$B$7,"~","~~"),"*","~*"),"?","~?"))+COUNTIFS('Calculations'!$HV$13:$HV$512,"="&amp;SUBSTITUTE(SUBSTITUTE(SUBSTITUTE('Calculations'!HF341,"~","~~"),"*","~*"),"?","~?"),'Calculations'!$HN$13:$HN$512,"="&amp;SUBSTITUTE(SUBSTITUTE(SUBSTITUTE('Dashboard'!$B$7,"~","~~"),"*","~*"),"?","~?"))+COUNTIFS('Calculations'!$HW$13:$HW$512,"="&amp;SUBSTITUTE(SUBSTITUTE(SUBSTITUTE('Calculations'!HF341,"~","~~"),"*","~*"),"?","~?"),'Calculations'!$HN$13:$HN$512,"="&amp;SUBSTITUTE(SUBSTITUTE(SUBSTITUTE('Dashboard'!$B$7,"~","~~"),"*","~*"),"?","~?"))+COUNTIFS('Calculations'!$HX$13:$HX$512,"="&amp;SUBSTITUTE(SUBSTITUTE(SUBSTITUTE('Calculations'!HF341,"~","~~"),"*","~*"),"?","~?"),'Calculations'!$HN$13:$HN$512,"="&amp;SUBSTITUTE(SUBSTITUTE(SUBSTITUTE('Dashboard'!$B$7,"~","~~"),"*","~*"),"?","~?"))+COUNTIFS('Calculations'!$HY$13:$HY$512,"="&amp;SUBSTITUTE(SUBSTITUTE(SUBSTITUTE('Calculations'!HF341,"~","~~"),"*","~*"),"?","~?"),'Calculations'!$HN$13:$HN$512,"="&amp;SUBSTITUTE(SUBSTITUTE(SUBSTITUTE('Dashboard'!$B$7,"~","~~"),"*","~*"),"?","~?"))+COUNTIFS('Calculations'!$HZ$13:$HZ$512,"="&amp;SUBSTITUTE(SUBSTITUTE(SUBSTITUTE('Calculations'!HF341,"~","~~"),"*","~*"),"?","~?"),'Calculations'!$HN$13:$HN$512,"="&amp;SUBSTITUTE(SUBSTITUTE(SUBSTITUTE('Dashboard'!$B$7,"~","~~"),"*","~*"),"?","~?"))+COUNTIFS('Calculations'!$IA$13:$IA$512,"="&amp;SUBSTITUTE(SUBSTITUTE(SUBSTITUTE('Calculations'!HF341,"~","~~"),"*","~*"),"?","~?"),'Calculations'!$HN$13:$HN$512,"="&amp;SUBSTITUTE(SUBSTITUTE(SUBSTITUTE('Dashboard'!$B$7,"~","~~"),"*","~*"),"?","~?"))+COUNTIFS('Calculations'!$IB$13:$IB$512,"="&amp;SUBSTITUTE(SUBSTITUTE(SUBSTITUTE('Calculations'!HF341,"~","~~"),"*","~*"),"?","~?"),'Calculations'!$HN$13:$HN$512,"="&amp;SUBSTITUTE(SUBSTITUTE(SUBSTITUTE('Dashboard'!$B$7,"~","~~"),"*","~*"),"?","~?"))+COUNTIFS('Calculations'!$IC$13:$IC$512,"="&amp;SUBSTITUTE(SUBSTITUTE(SUBSTITUTE('Calculations'!HF341,"~","~~"),"*","~*"),"?","~?"),'Calculations'!$HN$13:$HN$512,"="&amp;SUBSTITUTE(SUBSTITUTE(SUBSTITUTE('Dashboard'!$B$7,"~","~~"),"*","~*"),"?","~?"))+COUNTIFS('Calculations'!$ID$13:$ID$512,"="&amp;SUBSTITUTE(SUBSTITUTE(SUBSTITUTE('Calculations'!HF341,"~","~~"),"*","~*"),"?","~?"),'Calculations'!$HN$13:$HN$512,"="&amp;SUBSTITUTE(SUBSTITUTE(SUBSTITUTE('Dashboard'!$B$7,"~","~~"),"*","~*"),"?","~?"))+COUNTIFS('Calculations'!$IE$13:$IE$512,"="&amp;SUBSTITUTE(SUBSTITUTE(SUBSTITUTE('Calculations'!HF341,"~","~~"),"*","~*"),"?","~?"),'Calculations'!$HN$13:$HN$512,"="&amp;SUBSTITUTE(SUBSTITUTE(SUBSTITUTE('Dashboard'!$B$7,"~","~~"),"*","~*"),"?","~?"))+COUNTIFS('Calculations'!$IF$13:$IF$512,"="&amp;SUBSTITUTE(SUBSTITUTE(SUBSTITUTE('Calculations'!HF341,"~","~~"),"*","~*"),"?","~?"),'Calculations'!$HN$13:$HN$512,"="&amp;SUBSTITUTE(SUBSTITUTE(SUBSTITUTE('Dashboard'!$B$7,"~","~~"),"*","~*"),"?","~?"))+COUNTIFS('Calculations'!$IG$13:$IG$512,"="&amp;SUBSTITUTE(SUBSTITUTE(SUBSTITUTE('Calculations'!HF341,"~","~~"),"*","~*"),"?","~?"),'Calculations'!$HN$13:$HN$512,"="&amp;SUBSTITUTE(SUBSTITUTE(SUBSTITUTE('Dashboard'!$B$7,"~","~~"),"*","~*"),"?","~?"))+COUNTIFS('Calculations'!$IH$13:$IH$512,"="&amp;SUBSTITUTE(SUBSTITUTE(SUBSTITUTE('Calculations'!HF341,"~","~~"),"*","~*"),"?","~?"),'Calculations'!$HN$13:$HN$512,"="&amp;SUBSTITUTE(SUBSTITUTE(SUBSTITUTE('Dashboard'!$B$7,"~","~~"),"*","~*"),"?","~?"))))</x:f>
        <x:v>0</x:v>
      </x:c>
      <x:c r="JD341" t="n">
        <x:f>IF('Calculations'!EM341="",0,IF('Dashboard'!$B$7="All",1,IF('Calculations'!HN341='Dashboard'!$B$7,1,0)+IFERROR(INDEX('Calculations'!$JC$13:$JC$512,MATCH('Calculations'!HE341,'Calculations'!$HF$13:$HF$512,0)),0)))</x:f>
        <x:v>0</x:v>
      </x:c>
      <x:c r="JE341" t="n">
        <x:f>IF(AND('Calculations'!EM341&lt;&gt;"",'Calculations'!$JJ$2&lt;&gt;"All",'Calculations'!$JJ$2&lt;&gt;"",'Calculations'!HF341='Calculations'!$JJ$2,'Calculations'!HL341=0,'Calculations'!JD341&gt;0),MAX('Calculations'!$JE$12:JE340)+1,0)</x:f>
        <x:v>0</x:v>
      </x:c>
      <x:c r="JF341" t="str">
        <x:f>IF('Calculations'!EM341="","",IFERROR(IF(INDEX(INDIRECT("'WCM Calibration Final'!$G$1:$G$2000"),'Calculations'!$EM341)="","",TRIM(INDEX(INDIRECT("'WCM Calibration Final'!$G$1:$G$2000"),'Calculations'!$EM341)&amp;"")),""))</x:f>
      </x:c>
      <x:c r="JQ341" t="n">
        <x:f>IF(OR('Calculations'!BM341=0,NOT('Calculations'!$AG$2),'Calculations'!$AG$8&gt;0),0,IF(OR('Dashboard'!$B$7="All",'Calculations'!HN341='Dashboard'!$B$7),IF('Calculations'!$JJ$2="All",1,IF(AND('Calculations'!HF341='Calculations'!$JJ$2,'Calculations'!HL341=0),1,0)),0))</x:f>
        <x:v>0</x:v>
      </x:c>
    </x:row>
    <x:row r="342">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t="n">
        <x:f>IF('Calculations'!$EM342="",0,IF(OR(IFERROR(INDEX(INDIRECT("'WCM Calibration Final'!$A$1:$A$2000"),'Calculations'!$EM342)&lt;&gt;"",FALSE),IFERROR(INDEX(INDIRECT("'WCM Calibration Final'!$B$1:$B$2000"),'Calculations'!$EM342)&lt;&gt;"",FALSE),IFERROR(INDEX(INDIRECT("'WCM Calibration Final'!$C$1:$C$2000"),'Calculations'!$EM342)&lt;&gt;"",FALSE)),1,0))</x:f>
        <x:v>0</x:v>
      </x:c>
      <x:c r="BN342" s="4" t="n">
        <x:f>IF(AND('Calculations'!BM342=1,'Calculations'!$AG$2,'Calculations'!$EN342=1),1,0)</x:f>
        <x:v>0</x:v>
      </x:c>
      <x:c r="BO342" s="4" t="str">
        <x:f>IF('Calculations'!BM342=0,"",IFERROR(IF(AND(VALUE(INDEX(INDIRECT("'WCM Calibration Final'!$K$1:$K$2000"),'Calculations'!$EM342))&gt;=1,VALUE(INDEX(INDIRECT("'WCM Calibration Final'!$K$1:$K$2000"),'Calculations'!$EM342))&lt;=4,MOD(VALUE(INDEX(INDIRECT("'WCM Calibration Final'!$K$1:$K$2000"),'Calculations'!$EM342)),1)=0),VALUE(INDEX(INDIRECT("'WCM Calibration Final'!$K$1:$K$2000"),'Calculations'!$EM342)),""),""))</x:f>
      </x:c>
      <x:c r="BP342" s="4" t="str">
        <x:f>IF('Calculations'!BM342=0,"",IFERROR(IF(AND(VALUE(INDEX(INDIRECT("'WCM Calibration Final'!$L$1:$L$2000"),'Calculations'!$EM342))&gt;=1,VALUE(INDEX(INDIRECT("'WCM Calibration Final'!$L$1:$L$2000"),'Calculations'!$EM342))&lt;=4,MOD(VALUE(INDEX(INDIRECT("'WCM Calibration Final'!$L$1:$L$2000"),'Calculations'!$EM342)),1)=0),VALUE(INDEX(INDIRECT("'WCM Calibration Final'!$L$1:$L$2000"),'Calculations'!$EM342)),""),""))</x:f>
      </x:c>
      <x:c r="BQ342" s="4"/>
      <x:c r="BR342" s="4"/>
      <x:c r="BS342" s="4"/>
      <x:c r="BT342" s="4" t="n">
        <x:f>IF(AND('Calculations'!BM342=1,ISNUMBER('Calculations'!BO342),ISNUMBER('Calculations'!BP342)),1,0)</x:f>
        <x:v>0</x:v>
      </x:c>
      <x:c r="BU342" s="4" t="str">
        <x:f>IF('Calculations'!BM342=0,"",'Calculations'!$EO342)</x:f>
      </x:c>
      <x:c r="BV342" s="4" t="str">
        <x:f>IF('Calculations'!BM342=0,"",IFERROR(IF(OR(INDEX(INDIRECT("'WCM Calibration Final'!$H$1:$H$2000"),'Calculations'!$EM342)="MANAGING DIRECTOR",INDEX(INDIRECT("'WCM Calibration Final'!$H$1:$H$2000"),'Calculations'!$EM342)="DIRECTOR",INDEX(INDIRECT("'WCM Calibration Final'!$H$1:$H$2000"),'Calculations'!$EM342)="SENIOR VICE PRESIDENT",INDEX(INDIRECT("'WCM Calibration Final'!$H$1:$H$2000"),'Calculations'!$EM342)="VICE PRESIDENT",INDEX(INDIRECT("'WCM Calibration Final'!$H$1:$H$2000"),'Calculations'!$EM342)="ASSISTANT VICE PRESIDENT",INDEX(INDIRECT("'WCM Calibration Final'!$H$1:$H$2000"),'Calculations'!$EM342)="OFFICER"),UPPER(INDEX(INDIRECT("'WCM Calibration Final'!$H$1:$H$2000"),'Calculations'!$EM342)),"Other"),"Other"))</x:f>
      </x:c>
      <x:c r="BW342" s="4"/>
      <x:c r="BX342" s="4"/>
      <x:c r="BY342" s="4" t="n">
        <x:f>IF(AND('Calculations'!BM342=1,'Calculations'!BU342&lt;&gt;"",COUNTIF('Calculations'!$BU$12:BU342,'Calculations'!BU342)=1),MAX('Calculations'!$BY$11:BY341)+1,0)</x:f>
        <x:v>0</x:v>
      </x:c>
      <x:c r="BZ342" s="4" t="str">
        <x:f>IF('Dashboard'!$E$67="What",'Calculations'!BO342,'Calculations'!BP342)</x:f>
      </x:c>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t="str">
        <x:f>IF(331&gt;MAX('Calculations'!$HI$13:$HI$512),"",INDEX('Calculations'!$HN$13:$HN$512,MATCH(331,'Calculations'!$HI$13:$HI$512,0)))</x:f>
      </x:c>
      <x:c r="DB342" s="4" t="str">
        <x:f>IF(331&gt;MAX('Calculations'!$HH$13:$HH$512),"",INDEX('Calculations'!$HJ$13:$HJ$512,MATCH(331,'Calculations'!$HH$13:$HH$512,0)))</x:f>
      </x:c>
      <x:c r="DC342" s="4" t="str">
        <x:f>IF(ROW()-11&gt;MAX('Calculations'!$BY$13:$BY$512),"",INDEX('Calculations'!$BU$13:$BU$512,MATCH(ROW()-11,'Calculations'!$BY$13:$BY$512,0)))</x:f>
      </x:c>
      <x:c r="DD342" s="4" t="str">
        <x:f>IF(331&gt;MAX('Calculations'!$IK$13:$IK$512),"",INDEX('Calculations'!$HK$13:$HK$512,MATCH(331,'Calculations'!$IK$13:$IK$512,0)))</x:f>
      </x:c>
      <x:c r="DE342" s="4" t="str">
        <x:f>'Calculations'!DC342</x:f>
      </x:c>
      <x:c r="DF342" s="4" t="str">
        <x:f>IF('Calculations'!DE342="","",COUNTIFS('Calculations'!$BN$13:$BN$512,1,'Calculations'!$BU$13:$BU$512,'Calculations'!DE342))</x:f>
      </x:c>
      <x:c r="DG342" s="4" t="str">
        <x:f>IF('Calculations'!DE342="","",COUNTIFS('Calculations'!$BN$13:$BN$512,1,'Calculations'!$BU$13:$BU$512,'Calculations'!DE342,'Calculations'!$BT$13:$BT$512,1))</x:f>
      </x:c>
      <x:c r="DH342" s="4" t="str">
        <x:f>IF('Calculations'!DE342="","",'Calculations'!DF342-'Calculations'!DG342)</x:f>
      </x:c>
      <x:c r="DI342" s="4" t="str">
        <x:f>IF(OR('Calculations'!DE342="",'Calculations'!DF342=0),"",'Calculations'!DG342/'Calculations'!DF342)</x:f>
      </x:c>
      <x:c r="DJ342" s="4" t="str">
        <x:f>IF('Calculations'!DE342="","",COUNTIFS('Calculations'!$BN$13:$BN$512,1,'Calculations'!$BU$13:$BU$512,'Calculations'!DE342,'Calculations'!$BT$13:$BT$512,1,'Calculations'!$EE$13:$EE$512,"High"))</x:f>
      </x:c>
      <x:c r="DK342" s="4" t="str">
        <x:f>IF('Calculations'!DE342="","",COUNTIFS('Calculations'!$BN$13:$BN$512,1,'Calculations'!$BU$13:$BU$512,'Calculations'!DE342,'Calculations'!$BT$13:$BT$512,1,'Calculations'!$EE$13:$EE$512,"Strong"))</x:f>
      </x:c>
      <x:c r="DL342" s="4" t="str">
        <x:f>IF('Calculations'!DE342="","",COUNTIFS('Calculations'!$BN$13:$BN$512,1,'Calculations'!$BU$13:$BU$512,'Calculations'!DE342,'Calculations'!$BT$13:$BT$512,1,'Calculations'!$EE$13:$EE$512,"Solid"))</x:f>
      </x:c>
      <x:c r="DM342" s="4" t="str">
        <x:f>IF('Calculations'!DE342="","",COUNTIFS('Calculations'!$BN$13:$BN$512,1,'Calculations'!$BU$13:$BU$512,'Calculations'!DE342,'Calculations'!$BT$13:$BT$512,1,'Calculations'!$EE$13:$EE$512,"Low"))</x:f>
      </x:c>
      <x:c r="DN342" s="4" t="str">
        <x:f>IF('Calculations'!DE342="","",COUNTIFS('Calculations'!$BN$13:$BN$512,1,'Calculations'!$BU$13:$BU$512,'Calculations'!DE342,'Calculations'!$EP$13:$EP$512,1))</x:f>
      </x:c>
      <x:c r="DO342" s="4" t="str">
        <x:f>IF(OR('Calculations'!DE342="",'Calculations'!DG342=0),"",('Calculations'!DJ342+'Calculations'!DK342)/'Calculations'!DG342)</x:f>
      </x:c>
      <x:c r="DP342" s="4" t="n">
        <x:f>IF(AND('Calculations'!DE342&lt;&gt;"",'Calculations'!DF342&gt;0),COUNTIF('Calculations'!$DF$12:DF342,"&gt;0"),0)</x:f>
        <x:v>0</x:v>
      </x:c>
      <x:c r="DQ342" s="4" t="str">
        <x:f>IF(331&gt;MAX('Calculations'!$HH$13:$HH$512),"",INDEX('Calculations'!$HF$13:$HF$512,MATCH(331,'Calculations'!$HH$13:$HH$512,0)))</x:f>
      </x:c>
      <x:c r="DR342" s="4" t="str">
        <x:f>IF(331&gt;MAX('Calculations'!$IK$13:$IK$512),"",INDEX('Calculations'!$HE$13:$HE$512,MATCH(331,'Calculations'!$IK$13:$IK$512,0)))</x:f>
      </x:c>
      <x:c r="DS342" s="4"/>
      <x:c r="DT342" s="4"/>
      <x:c r="DU342" s="4"/>
      <x:c r="DV342" s="4"/>
      <x:c r="DW342" s="4"/>
      <x:c r="DX342" s="4"/>
      <x:c r="DY342" s="4"/>
      <x:c r="DZ342" s="4"/>
      <x:c r="EA342" s="4"/>
      <x:c r="EB342" s="4"/>
      <x:c r="EC342" s="4"/>
      <x:c r="ED342" s="4"/>
      <x:c r="EE342" s="4" t="str">
        <x:f>IF('Calculations'!BT342=0,"Not Rated",IF(OR('Calculations'!BO342&gt;=4,'Calculations'!BP342&gt;=4),"Low",IF('Calculations'!BO342+'Calculations'!BP342&lt;=3,"High",IF('Calculations'!BO342+'Calculations'!BP342&lt;=4,"Strong","Solid"))))</x:f>
        <x:v>Not Rated</x:v>
      </x:c>
      <x:c r="EF342" s="4"/>
      <x:c r="EG342" s="4"/>
      <x:c r="EH342" s="4"/>
      <x:c r="EI342" s="4"/>
      <x:c r="EJ342" s="4"/>
      <x:c r="EK342" s="4"/>
      <x:c r="EL342" s="4"/>
      <x:c r="EM342" s="4" t="str">
        <x:f>IF(330&gt;'Calculations'!$JB$2000,"",INDEX('Calculations'!$JA$12:$JA$2000,MATCH(330,'Calculations'!$JB$12:$JB$2000,0)))</x:f>
      </x:c>
      <x:c r="EN342" s="4" t="n">
        <x:f>IF(OR('Calculations'!EM342="",'Calculations'!$AG$8&gt;0,AND('Calculations'!$EF$2&lt;&gt;"All",'Calculations'!HE342='Calculations'!$EF$2),AND('Calculations'!$EF$3&lt;&gt;"All",'Calculations'!HE342='Calculations'!$EF$3)),0,IF(OR('Dashboard'!$B$7="All",'Calculations'!HN342='Dashboard'!$B$7),IF('Calculations'!$EF$2="All",1,IF('Calculations'!HL342&gt;0,0,IF(COUNTIF('Calculations'!HO342:II342,"="&amp;SUBSTITUTE(SUBSTITUTE(SUBSTITUTE('Calculations'!$EF$2,"~","~~"),"*","~*"),"?","~?"))=0,0,IF('Calculations'!$EF$3="All",1,IF(COUNTIF('Calculations'!HO342:II342,"="&amp;SUBSTITUTE(SUBSTITUTE(SUBSTITUTE('Calculations'!$EF$3,"~","~~"),"*","~*"),"?","~?"))&gt;0,1,0))))),0))</x:f>
        <x:v>0</x:v>
      </x:c>
      <x:c r="EO342" s="4" t="str">
        <x:f>IF('Calculations'!IJ342="","",IF('Calculations'!IJ342="!UNRESOLVED","Unresolved hierarchy",IFERROR(INDEX('Calculations'!$HK$13:$HK$512,MATCH('Calculations'!IJ342,'Calculations'!$HE$13:$HE$512,0)),IFERROR(INDEX('Calculations'!$HJ$13:$HJ$512,MATCH('Calculations'!IJ342,'Calculations'!$HF$13:$HF$512,0)),'Calculations'!IJ342))))</x:f>
      </x:c>
      <x:c r="EP342" s="4" t="n">
        <x:f>IF(AND('Calculations'!EM342&lt;&gt;"",'Calculations'!HF342='Calculations'!IJ342),1,0)</x:f>
        <x:v>0</x:v>
      </x:c>
      <x:c r="EQ342" s="4"/>
      <x:c r="ER342" s="4"/>
      <x:c r="ES342" s="4"/>
      <x:c r="ET342" s="4"/>
      <x:c r="EU342" s="4"/>
      <x:c r="EV342" s="4"/>
      <x:c r="EW342" s="4"/>
      <x:c r="EX342" s="4"/>
      <x:c r="EY342" s="4"/>
      <x:c r="EZ342" s="4"/>
      <x:c r="FA342" s="4"/>
      <x:c r="FB342" s="4"/>
      <x:c r="FC342" s="4"/>
      <x:c r="FD342" s="4"/>
      <x:c r="FE342" s="4"/>
      <x:c r="FF342" s="4"/>
      <x:c r="FG342" s="4"/>
      <x:c r="FH342" s="4"/>
      <x:c r="FI342" s="4"/>
      <x:c r="FJ342" s="4"/>
      <x:c r="FK342" s="4"/>
      <x:c r="FL342" s="4"/>
      <x:c r="FM342" s="4"/>
      <x:c r="FN342" s="4"/>
      <x:c r="FO342" s="4"/>
      <x:c r="HE342" t="str">
        <x:f>IF('Calculations'!EM342="","",IF(IFERROR(IF(INDEX(INDIRECT("'WCM Calibration Final'!$A$1:$A$2000"),'Calculations'!$EM342)="","",TRIM(INDEX(INDIRECT("'WCM Calibration Final'!$A$1:$A$2000"),'Calculations'!$EM342)&amp;"")),"")&lt;&gt;"","G:"&amp;IFERROR(TEXT(1*INDEX(INDIRECT("'WCM Calibration Final'!$A$1:$A$2000"),'Calculations'!$EM342),"0"),UPPER(IFERROR(IF(INDEX(INDIRECT("'WCM Calibration Final'!$A$1:$A$2000"),'Calculations'!$EM342)="","",TRIM(INDEX(INDIRECT("'WCM Calibration Final'!$A$1:$A$2000"),'Calculations'!$EM342)&amp;"")),""))),IF(IFERROR(IF(INDEX(INDIRECT("'WCM Calibration Final'!$C$1:$C$2000"),'Calculations'!$EM342)="","",TRIM(INDEX(INDIRECT("'WCM Calibration Final'!$C$1:$C$2000"),'Calculations'!$EM342)&amp;"")),"")&lt;&gt;"","S:"&amp;UPPER(IFERROR(IF(INDEX(INDIRECT("'WCM Calibration Final'!$C$1:$C$2000"),'Calculations'!$EM342)="","",TRIM(INDEX(INDIRECT("'WCM Calibration Final'!$C$1:$C$2000"),'Calculations'!$EM342)&amp;"")),"")),"R:"&amp;'Calculations'!EM342)))</x:f>
      </x:c>
      <x:c r="HF342" t="str">
        <x:f>IF('Calculations'!EM342="","",IF(IFERROR(IF(INDEX(INDIRECT("'WCM Calibration Final'!$D$1:$D$2000"),'Calculations'!$EM342)="","",TRIM(INDEX(INDIRECT("'WCM Calibration Final'!$D$1:$D$2000"),'Calculations'!$EM342)&amp;"")),"")&lt;&gt;"","G:"&amp;IFERROR(TEXT(1*INDEX(INDIRECT("'WCM Calibration Final'!$D$1:$D$2000"),'Calculations'!$EM342),"0"),UPPER(IFERROR(IF(INDEX(INDIRECT("'WCM Calibration Final'!$D$1:$D$2000"),'Calculations'!$EM342)="","",TRIM(INDEX(INDIRECT("'WCM Calibration Final'!$D$1:$D$2000"),'Calculations'!$EM342)&amp;"")),""))),IF(IFERROR(IF(INDEX(INDIRECT("'WCM Calibration Final'!$E$1:$E$2000"),'Calculations'!$EM342)="","",TRIM(INDEX(INDIRECT("'WCM Calibration Final'!$E$1:$E$2000"),'Calculations'!$EM342)&amp;"")),"")="","",IF(COUNTIF('Calculations'!$HG$13:$HG$512,"="&amp;SUBSTITUTE(SUBSTITUTE(SUBSTITUTE(IFERROR(IF(INDEX(INDIRECT("'WCM Calibration Final'!$E$1:$E$2000"),'Calculations'!$EM342)="","",TRIM(INDEX(INDIRECT("'WCM Calibration Final'!$E$1:$E$2000"),'Calculations'!$EM342)&amp;"")),""),"~","~~"),"*","~*"),"?","~?"))=1,INDEX('Calculations'!$HE$13:$HE$512,MATCH(IFERROR(IF(INDEX(INDIRECT("'WCM Calibration Final'!$E$1:$E$2000"),'Calculations'!$EM342)="","",TRIM(INDEX(INDIRECT("'WCM Calibration Final'!$E$1:$E$2000"),'Calculations'!$EM342)&amp;"")),""),'Calculations'!$HG$13:$HG$512,0)),IF(COUNTIF('Calculations'!$HG$13:$HG$512,"="&amp;SUBSTITUTE(SUBSTITUTE(SUBSTITUTE(IFERROR(IF(INDEX(INDIRECT("'WCM Calibration Final'!$E$1:$E$2000"),'Calculations'!$EM342)="","",TRIM(INDEX(INDIRECT("'WCM Calibration Final'!$E$1:$E$2000"),'Calculations'!$EM342)&amp;"")),""),"~","~~"),"*","~*"),"?","~?"))&gt;1,"!AMBIG","X:"&amp;IFERROR(IF(INDEX(INDIRECT("'WCM Calibration Final'!$E$1:$E$2000"),'Calculations'!$EM342)="","",TRIM(INDEX(INDIRECT("'WCM Calibration Final'!$E$1:$E$2000"),'Calculations'!$EM342)&amp;"")),""))))))</x:f>
      </x:c>
      <x:c r="HG342" t="str">
        <x:f>IF('Calculations'!EM342="","",IFERROR(IF(INDEX(INDIRECT("'WCM Calibration Final'!$B$1:$B$2000"),'Calculations'!$EM342)="","",TRIM(INDEX(INDIRECT("'WCM Calibration Final'!$B$1:$B$2000"),'Calculations'!$EM342)&amp;"")),""))</x:f>
      </x:c>
      <x:c r="HH342" t="n">
        <x:f>IF(AND('Calculations'!JC342&gt;0,COUNTIF('Calculations'!$HF$12:HF342,"="&amp;SUBSTITUTE(SUBSTITUTE(SUBSTITUTE('Calculations'!HF342,"~","~~"),"*","~*"),"?","~?"))=1),MAX('Calculations'!$HH$12:HH341)+1,0)</x:f>
        <x:v>0</x:v>
      </x:c>
      <x:c r="HI342" t="n">
        <x:f>IF(AND('Calculations'!HN342&lt;&gt;"",COUNTIF('Calculations'!$HN$12:HN342,"="&amp;SUBSTITUTE(SUBSTITUTE(SUBSTITUTE('Calculations'!HN342,"~","~~"),"*","~*"),"?","~?"))=1),MAX('Calculations'!$HI$12:HI341)+1,0)</x:f>
        <x:v>0</x:v>
      </x:c>
      <x:c r="HJ342" t="str">
        <x:f>IF('Calculations'!HF342="","",IF(COUNTIF('Calculations'!$HE$13:$HE$512,"="&amp;SUBSTITUTE(SUBSTITUTE(SUBSTITUTE('Calculations'!HF342,"~","~~"),"*","~*"),"?","~?"))=1,INDEX('Calculations'!$HK$13:$HK$512,MATCH('Calculations'!HF342,'Calculations'!$HE$13:$HE$512,0)),IFERROR(IF(INDEX(INDIRECT("'WCM Calibration Final'!$E$1:$E$2000"),'Calculations'!$EM342)="","",TRIM(INDEX(INDIRECT("'WCM Calibration Final'!$E$1:$E$2000"),'Calculations'!$EM342)&amp;"")),"")&amp;" ["&amp;'Calculations'!HF342&amp;"]"))</x:f>
      </x:c>
      <x:c r="HK342" t="str">
        <x:f>IF('Calculations'!EM342="","",'Calculations'!HG342&amp;" ["&amp;'Calculations'!HE342&amp;"]")</x:f>
      </x:c>
      <x:c r="HL342" t="n">
        <x:f>IF('Calculations'!EM342="",0,IF(OR('Calculations'!II342&lt;&gt;"",COUNTIF('Calculations'!$HE$13:$HE$512,"="&amp;SUBSTITUTE(SUBSTITUTE(SUBSTITUTE('Calculations'!HE342,"~","~~"),"*","~*"),"?","~?"))&gt;1),1,0))</x:f>
        <x:v>0</x:v>
      </x:c>
      <x:c r="HM342" t="str">
        <x:f>IF('Calculations'!EM342="","",IF('Calculations'!HL342=1,"!UNRESOLVED",IF('Calculations'!IH342&lt;&gt;"",'Calculations'!IH342,IF('Calculations'!IG342&lt;&gt;"",'Calculations'!IG342,IF('Calculations'!IF342&lt;&gt;"",'Calculations'!IF342,IF('Calculations'!IE342&lt;&gt;"",'Calculations'!IE342,IF('Calculations'!ID342&lt;&gt;"",'Calculations'!ID342,IF('Calculations'!IC342&lt;&gt;"",'Calculations'!IC342,IF('Calculations'!IB342&lt;&gt;"",'Calculations'!IB342,IF('Calculations'!IA342&lt;&gt;"",'Calculations'!IA342,IF('Calculations'!HZ342&lt;&gt;"",'Calculations'!HZ342,IF('Calculations'!HY342&lt;&gt;"",'Calculations'!HY342,IF('Calculations'!HX342&lt;&gt;"",'Calculations'!HX342,IF('Calculations'!HW342&lt;&gt;"",'Calculations'!HW342,IF('Calculations'!HV342&lt;&gt;"",'Calculations'!HV342,IF('Calculations'!HU342&lt;&gt;"",'Calculations'!HU342,IF('Calculations'!HT342&lt;&gt;"",'Calculations'!HT342,IF('Calculations'!HS342&lt;&gt;"",'Calculations'!HS342,IF('Calculations'!HR342&lt;&gt;"",'Calculations'!HR342,IF('Calculations'!HQ342&lt;&gt;"",'Calculations'!HQ342,IF('Calculations'!HP342&lt;&gt;"",'Calculations'!HP342,IF('Calculations'!HO342&lt;&gt;"",'Calculations'!HO342,'Calculations'!HE342))))))))))))))))))))))</x:f>
      </x:c>
      <x:c r="HN342" t="str">
        <x:f>IF('Calculations'!EM342="","",IF(IFERROR(IF(INDEX(INDIRECT("'WCM Calibration Final'!$F$1:$F$2000"),'Calculations'!$EM342)="","",TRIM(INDEX(INDIRECT("'WCM Calibration Final'!$F$1:$F$2000"),'Calculations'!$EM342)&amp;"")),"")="","(Blank)",IFERROR(IF(INDEX(INDIRECT("'WCM Calibration Final'!$F$1:$F$2000"),'Calculations'!$EM342)="","",TRIM(INDEX(INDIRECT("'WCM Calibration Final'!$F$1:$F$2000"),'Calculations'!$EM342)&amp;"")),"")))</x:f>
      </x:c>
      <x:c r="HO342" t="str">
        <x:f>'Calculations'!HF342</x:f>
      </x:c>
      <x:c r="HP342" t="str">
        <x:f>IF('Calculations'!HO342="","",IF('Calculations'!HO342="!AMBIG","!AMBIG",IF(COUNTIF('Calculations'!$HE$13:$HE$512,"="&amp;SUBSTITUTE(SUBSTITUTE(SUBSTITUTE('Calculations'!HO342,"~","~~"),"*","~*"),"?","~?"))&gt;1,"!AMBIG",IFERROR(INDEX('Calculations'!$HF$13:$HF$512,MATCH('Calculations'!HO342,'Calculations'!$HE$13:$HE$512,0)),""))))</x:f>
      </x:c>
      <x:c r="HQ342" t="str">
        <x:f>IF('Calculations'!HP342="","",IF('Calculations'!HP342="!AMBIG","!AMBIG",IF(COUNTIF('Calculations'!$HE$13:$HE$512,"="&amp;SUBSTITUTE(SUBSTITUTE(SUBSTITUTE('Calculations'!HP342,"~","~~"),"*","~*"),"?","~?"))&gt;1,"!AMBIG",IFERROR(INDEX('Calculations'!$HF$13:$HF$512,MATCH('Calculations'!HP342,'Calculations'!$HE$13:$HE$512,0)),""))))</x:f>
      </x:c>
      <x:c r="HR342" t="str">
        <x:f>IF('Calculations'!HQ342="","",IF('Calculations'!HQ342="!AMBIG","!AMBIG",IF(COUNTIF('Calculations'!$HE$13:$HE$512,"="&amp;SUBSTITUTE(SUBSTITUTE(SUBSTITUTE('Calculations'!HQ342,"~","~~"),"*","~*"),"?","~?"))&gt;1,"!AMBIG",IFERROR(INDEX('Calculations'!$HF$13:$HF$512,MATCH('Calculations'!HQ342,'Calculations'!$HE$13:$HE$512,0)),""))))</x:f>
      </x:c>
      <x:c r="HS342" t="str">
        <x:f>IF('Calculations'!HR342="","",IF('Calculations'!HR342="!AMBIG","!AMBIG",IF(COUNTIF('Calculations'!$HE$13:$HE$512,"="&amp;SUBSTITUTE(SUBSTITUTE(SUBSTITUTE('Calculations'!HR342,"~","~~"),"*","~*"),"?","~?"))&gt;1,"!AMBIG",IFERROR(INDEX('Calculations'!$HF$13:$HF$512,MATCH('Calculations'!HR342,'Calculations'!$HE$13:$HE$512,0)),""))))</x:f>
      </x:c>
      <x:c r="HT342" t="str">
        <x:f>IF('Calculations'!HS342="","",IF('Calculations'!HS342="!AMBIG","!AMBIG",IF(COUNTIF('Calculations'!$HE$13:$HE$512,"="&amp;SUBSTITUTE(SUBSTITUTE(SUBSTITUTE('Calculations'!HS342,"~","~~"),"*","~*"),"?","~?"))&gt;1,"!AMBIG",IFERROR(INDEX('Calculations'!$HF$13:$HF$512,MATCH('Calculations'!HS342,'Calculations'!$HE$13:$HE$512,0)),""))))</x:f>
      </x:c>
      <x:c r="HU342" t="str">
        <x:f>IF('Calculations'!HT342="","",IF('Calculations'!HT342="!AMBIG","!AMBIG",IF(COUNTIF('Calculations'!$HE$13:$HE$512,"="&amp;SUBSTITUTE(SUBSTITUTE(SUBSTITUTE('Calculations'!HT342,"~","~~"),"*","~*"),"?","~?"))&gt;1,"!AMBIG",IFERROR(INDEX('Calculations'!$HF$13:$HF$512,MATCH('Calculations'!HT342,'Calculations'!$HE$13:$HE$512,0)),""))))</x:f>
      </x:c>
      <x:c r="HV342" t="str">
        <x:f>IF('Calculations'!HU342="","",IF('Calculations'!HU342="!AMBIG","!AMBIG",IF(COUNTIF('Calculations'!$HE$13:$HE$512,"="&amp;SUBSTITUTE(SUBSTITUTE(SUBSTITUTE('Calculations'!HU342,"~","~~"),"*","~*"),"?","~?"))&gt;1,"!AMBIG",IFERROR(INDEX('Calculations'!$HF$13:$HF$512,MATCH('Calculations'!HU342,'Calculations'!$HE$13:$HE$512,0)),""))))</x:f>
      </x:c>
      <x:c r="HW342" t="str">
        <x:f>IF('Calculations'!HV342="","",IF('Calculations'!HV342="!AMBIG","!AMBIG",IF(COUNTIF('Calculations'!$HE$13:$HE$512,"="&amp;SUBSTITUTE(SUBSTITUTE(SUBSTITUTE('Calculations'!HV342,"~","~~"),"*","~*"),"?","~?"))&gt;1,"!AMBIG",IFERROR(INDEX('Calculations'!$HF$13:$HF$512,MATCH('Calculations'!HV342,'Calculations'!$HE$13:$HE$512,0)),""))))</x:f>
      </x:c>
      <x:c r="HX342" t="str">
        <x:f>IF('Calculations'!HW342="","",IF('Calculations'!HW342="!AMBIG","!AMBIG",IF(COUNTIF('Calculations'!$HE$13:$HE$512,"="&amp;SUBSTITUTE(SUBSTITUTE(SUBSTITUTE('Calculations'!HW342,"~","~~"),"*","~*"),"?","~?"))&gt;1,"!AMBIG",IFERROR(INDEX('Calculations'!$HF$13:$HF$512,MATCH('Calculations'!HW342,'Calculations'!$HE$13:$HE$512,0)),""))))</x:f>
      </x:c>
      <x:c r="HY342" t="str">
        <x:f>IF('Calculations'!HX342="","",IF('Calculations'!HX342="!AMBIG","!AMBIG",IF(COUNTIF('Calculations'!$HE$13:$HE$512,"="&amp;SUBSTITUTE(SUBSTITUTE(SUBSTITUTE('Calculations'!HX342,"~","~~"),"*","~*"),"?","~?"))&gt;1,"!AMBIG",IFERROR(INDEX('Calculations'!$HF$13:$HF$512,MATCH('Calculations'!HX342,'Calculations'!$HE$13:$HE$512,0)),""))))</x:f>
      </x:c>
      <x:c r="HZ342" t="str">
        <x:f>IF('Calculations'!HY342="","",IF('Calculations'!HY342="!AMBIG","!AMBIG",IF(COUNTIF('Calculations'!$HE$13:$HE$512,"="&amp;SUBSTITUTE(SUBSTITUTE(SUBSTITUTE('Calculations'!HY342,"~","~~"),"*","~*"),"?","~?"))&gt;1,"!AMBIG",IFERROR(INDEX('Calculations'!$HF$13:$HF$512,MATCH('Calculations'!HY342,'Calculations'!$HE$13:$HE$512,0)),""))))</x:f>
      </x:c>
      <x:c r="IA342" t="str">
        <x:f>IF('Calculations'!HZ342="","",IF('Calculations'!HZ342="!AMBIG","!AMBIG",IF(COUNTIF('Calculations'!$HE$13:$HE$512,"="&amp;SUBSTITUTE(SUBSTITUTE(SUBSTITUTE('Calculations'!HZ342,"~","~~"),"*","~*"),"?","~?"))&gt;1,"!AMBIG",IFERROR(INDEX('Calculations'!$HF$13:$HF$512,MATCH('Calculations'!HZ342,'Calculations'!$HE$13:$HE$512,0)),""))))</x:f>
      </x:c>
      <x:c r="IB342" t="str">
        <x:f>IF('Calculations'!IA342="","",IF('Calculations'!IA342="!AMBIG","!AMBIG",IF(COUNTIF('Calculations'!$HE$13:$HE$512,"="&amp;SUBSTITUTE(SUBSTITUTE(SUBSTITUTE('Calculations'!IA342,"~","~~"),"*","~*"),"?","~?"))&gt;1,"!AMBIG",IFERROR(INDEX('Calculations'!$HF$13:$HF$512,MATCH('Calculations'!IA342,'Calculations'!$HE$13:$HE$512,0)),""))))</x:f>
      </x:c>
      <x:c r="IC342" t="str">
        <x:f>IF('Calculations'!IB342="","",IF('Calculations'!IB342="!AMBIG","!AMBIG",IF(COUNTIF('Calculations'!$HE$13:$HE$512,"="&amp;SUBSTITUTE(SUBSTITUTE(SUBSTITUTE('Calculations'!IB342,"~","~~"),"*","~*"),"?","~?"))&gt;1,"!AMBIG",IFERROR(INDEX('Calculations'!$HF$13:$HF$512,MATCH('Calculations'!IB342,'Calculations'!$HE$13:$HE$512,0)),""))))</x:f>
      </x:c>
      <x:c r="ID342" t="str">
        <x:f>IF('Calculations'!IC342="","",IF('Calculations'!IC342="!AMBIG","!AMBIG",IF(COUNTIF('Calculations'!$HE$13:$HE$512,"="&amp;SUBSTITUTE(SUBSTITUTE(SUBSTITUTE('Calculations'!IC342,"~","~~"),"*","~*"),"?","~?"))&gt;1,"!AMBIG",IFERROR(INDEX('Calculations'!$HF$13:$HF$512,MATCH('Calculations'!IC342,'Calculations'!$HE$13:$HE$512,0)),""))))</x:f>
      </x:c>
      <x:c r="IE342" t="str">
        <x:f>IF('Calculations'!ID342="","",IF('Calculations'!ID342="!AMBIG","!AMBIG",IF(COUNTIF('Calculations'!$HE$13:$HE$512,"="&amp;SUBSTITUTE(SUBSTITUTE(SUBSTITUTE('Calculations'!ID342,"~","~~"),"*","~*"),"?","~?"))&gt;1,"!AMBIG",IFERROR(INDEX('Calculations'!$HF$13:$HF$512,MATCH('Calculations'!ID342,'Calculations'!$HE$13:$HE$512,0)),""))))</x:f>
      </x:c>
      <x:c r="IF342" t="str">
        <x:f>IF('Calculations'!IE342="","",IF('Calculations'!IE342="!AMBIG","!AMBIG",IF(COUNTIF('Calculations'!$HE$13:$HE$512,"="&amp;SUBSTITUTE(SUBSTITUTE(SUBSTITUTE('Calculations'!IE342,"~","~~"),"*","~*"),"?","~?"))&gt;1,"!AMBIG",IFERROR(INDEX('Calculations'!$HF$13:$HF$512,MATCH('Calculations'!IE342,'Calculations'!$HE$13:$HE$512,0)),""))))</x:f>
      </x:c>
      <x:c r="IG342" t="str">
        <x:f>IF('Calculations'!IF342="","",IF('Calculations'!IF342="!AMBIG","!AMBIG",IF(COUNTIF('Calculations'!$HE$13:$HE$512,"="&amp;SUBSTITUTE(SUBSTITUTE(SUBSTITUTE('Calculations'!IF342,"~","~~"),"*","~*"),"?","~?"))&gt;1,"!AMBIG",IFERROR(INDEX('Calculations'!$HF$13:$HF$512,MATCH('Calculations'!IF342,'Calculations'!$HE$13:$HE$512,0)),""))))</x:f>
      </x:c>
      <x:c r="IH342" t="str">
        <x:f>IF('Calculations'!IG342="","",IF('Calculations'!IG342="!AMBIG","!AMBIG",IF(COUNTIF('Calculations'!$HE$13:$HE$512,"="&amp;SUBSTITUTE(SUBSTITUTE(SUBSTITUTE('Calculations'!IG342,"~","~~"),"*","~*"),"?","~?"))&gt;1,"!AMBIG",IFERROR(INDEX('Calculations'!$HF$13:$HF$512,MATCH('Calculations'!IG342,'Calculations'!$HE$13:$HE$512,0)),""))))</x:f>
      </x:c>
      <x:c r="II342" t="str">
        <x:f>IF('Calculations'!IH342="","",IF('Calculations'!IH342="!AMBIG","!AMBIG",IF(COUNTIF('Calculations'!$HE$13:$HE$512,"="&amp;SUBSTITUTE(SUBSTITUTE(SUBSTITUTE('Calculations'!IH342,"~","~~"),"*","~*"),"?","~?"))&gt;1,"!AMBIG",IFERROR(INDEX('Calculations'!$HF$13:$HF$512,MATCH('Calculations'!IH342,'Calculations'!$HE$13:$HE$512,0)),""))))</x:f>
      </x:c>
      <x:c r="IJ342" t="str">
        <x:f>IF('Calculations'!EM342="","",IF('Calculations'!$EF$2="All",'Calculations'!HM342,IF('Calculations'!HL342=1,"",IFERROR(IF(MATCH('Calculations'!$EF$2,'Calculations'!HO342:II342,0)=1,'Calculations'!HE342,INDEX('Calculations'!HO342:II342,1,MATCH('Calculations'!$EF$2,'Calculations'!HO342:II342,0)-1)),""))))</x:f>
      </x:c>
      <x:c r="IK342" t="n">
        <x:f>IF(AND('Calculations'!EM342&lt;&gt;"",'Calculations'!$EF$2&lt;&gt;"All",'Calculations'!HF342='Calculations'!$EF$2,'Calculations'!HL342=0,'Calculations'!JD342&gt;0),MAX('Calculations'!$IK$12:IK341)+1,0)</x:f>
        <x:v>0</x:v>
      </x:c>
      <x:c r="JA342" t="n">
        <x:f>IF(OR(IFERROR(INDIRECT("'WCM Calibration Final'!$A$342")&lt;&gt;"",FALSE),IFERROR(INDIRECT("'WCM Calibration Final'!$B$342")&lt;&gt;"",FALSE),IFERROR(INDIRECT("'WCM Calibration Final'!$C$342")&lt;&gt;"",FALSE)),342,0)</x:f>
        <x:v>0</x:v>
      </x:c>
      <x:c r="JB342" t="n">
        <x:f>'Calculations'!JB341+IF('Calculations'!JA342&gt;0,1,0)</x:f>
        <x:v>0</x:v>
      </x:c>
      <x:c r="JC342" t="n">
        <x:f>IF(OR('Calculations'!HF342="",'Calculations'!HF342="!AMBIG"),0,IF('Dashboard'!$B$7="All",1,COUNTIFS('Calculations'!$HO$13:$HO$512,"="&amp;SUBSTITUTE(SUBSTITUTE(SUBSTITUTE('Calculations'!HF342,"~","~~"),"*","~*"),"?","~?"),'Calculations'!$HN$13:$HN$512,"="&amp;SUBSTITUTE(SUBSTITUTE(SUBSTITUTE('Dashboard'!$B$7,"~","~~"),"*","~*"),"?","~?"))+COUNTIFS('Calculations'!$HP$13:$HP$512,"="&amp;SUBSTITUTE(SUBSTITUTE(SUBSTITUTE('Calculations'!HF342,"~","~~"),"*","~*"),"?","~?"),'Calculations'!$HN$13:$HN$512,"="&amp;SUBSTITUTE(SUBSTITUTE(SUBSTITUTE('Dashboard'!$B$7,"~","~~"),"*","~*"),"?","~?"))+COUNTIFS('Calculations'!$HQ$13:$HQ$512,"="&amp;SUBSTITUTE(SUBSTITUTE(SUBSTITUTE('Calculations'!HF342,"~","~~"),"*","~*"),"?","~?"),'Calculations'!$HN$13:$HN$512,"="&amp;SUBSTITUTE(SUBSTITUTE(SUBSTITUTE('Dashboard'!$B$7,"~","~~"),"*","~*"),"?","~?"))+COUNTIFS('Calculations'!$HR$13:$HR$512,"="&amp;SUBSTITUTE(SUBSTITUTE(SUBSTITUTE('Calculations'!HF342,"~","~~"),"*","~*"),"?","~?"),'Calculations'!$HN$13:$HN$512,"="&amp;SUBSTITUTE(SUBSTITUTE(SUBSTITUTE('Dashboard'!$B$7,"~","~~"),"*","~*"),"?","~?"))+COUNTIFS('Calculations'!$HS$13:$HS$512,"="&amp;SUBSTITUTE(SUBSTITUTE(SUBSTITUTE('Calculations'!HF342,"~","~~"),"*","~*"),"?","~?"),'Calculations'!$HN$13:$HN$512,"="&amp;SUBSTITUTE(SUBSTITUTE(SUBSTITUTE('Dashboard'!$B$7,"~","~~"),"*","~*"),"?","~?"))+COUNTIFS('Calculations'!$HT$13:$HT$512,"="&amp;SUBSTITUTE(SUBSTITUTE(SUBSTITUTE('Calculations'!HF342,"~","~~"),"*","~*"),"?","~?"),'Calculations'!$HN$13:$HN$512,"="&amp;SUBSTITUTE(SUBSTITUTE(SUBSTITUTE('Dashboard'!$B$7,"~","~~"),"*","~*"),"?","~?"))+COUNTIFS('Calculations'!$HU$13:$HU$512,"="&amp;SUBSTITUTE(SUBSTITUTE(SUBSTITUTE('Calculations'!HF342,"~","~~"),"*","~*"),"?","~?"),'Calculations'!$HN$13:$HN$512,"="&amp;SUBSTITUTE(SUBSTITUTE(SUBSTITUTE('Dashboard'!$B$7,"~","~~"),"*","~*"),"?","~?"))+COUNTIFS('Calculations'!$HV$13:$HV$512,"="&amp;SUBSTITUTE(SUBSTITUTE(SUBSTITUTE('Calculations'!HF342,"~","~~"),"*","~*"),"?","~?"),'Calculations'!$HN$13:$HN$512,"="&amp;SUBSTITUTE(SUBSTITUTE(SUBSTITUTE('Dashboard'!$B$7,"~","~~"),"*","~*"),"?","~?"))+COUNTIFS('Calculations'!$HW$13:$HW$512,"="&amp;SUBSTITUTE(SUBSTITUTE(SUBSTITUTE('Calculations'!HF342,"~","~~"),"*","~*"),"?","~?"),'Calculations'!$HN$13:$HN$512,"="&amp;SUBSTITUTE(SUBSTITUTE(SUBSTITUTE('Dashboard'!$B$7,"~","~~"),"*","~*"),"?","~?"))+COUNTIFS('Calculations'!$HX$13:$HX$512,"="&amp;SUBSTITUTE(SUBSTITUTE(SUBSTITUTE('Calculations'!HF342,"~","~~"),"*","~*"),"?","~?"),'Calculations'!$HN$13:$HN$512,"="&amp;SUBSTITUTE(SUBSTITUTE(SUBSTITUTE('Dashboard'!$B$7,"~","~~"),"*","~*"),"?","~?"))+COUNTIFS('Calculations'!$HY$13:$HY$512,"="&amp;SUBSTITUTE(SUBSTITUTE(SUBSTITUTE('Calculations'!HF342,"~","~~"),"*","~*"),"?","~?"),'Calculations'!$HN$13:$HN$512,"="&amp;SUBSTITUTE(SUBSTITUTE(SUBSTITUTE('Dashboard'!$B$7,"~","~~"),"*","~*"),"?","~?"))+COUNTIFS('Calculations'!$HZ$13:$HZ$512,"="&amp;SUBSTITUTE(SUBSTITUTE(SUBSTITUTE('Calculations'!HF342,"~","~~"),"*","~*"),"?","~?"),'Calculations'!$HN$13:$HN$512,"="&amp;SUBSTITUTE(SUBSTITUTE(SUBSTITUTE('Dashboard'!$B$7,"~","~~"),"*","~*"),"?","~?"))+COUNTIFS('Calculations'!$IA$13:$IA$512,"="&amp;SUBSTITUTE(SUBSTITUTE(SUBSTITUTE('Calculations'!HF342,"~","~~"),"*","~*"),"?","~?"),'Calculations'!$HN$13:$HN$512,"="&amp;SUBSTITUTE(SUBSTITUTE(SUBSTITUTE('Dashboard'!$B$7,"~","~~"),"*","~*"),"?","~?"))+COUNTIFS('Calculations'!$IB$13:$IB$512,"="&amp;SUBSTITUTE(SUBSTITUTE(SUBSTITUTE('Calculations'!HF342,"~","~~"),"*","~*"),"?","~?"),'Calculations'!$HN$13:$HN$512,"="&amp;SUBSTITUTE(SUBSTITUTE(SUBSTITUTE('Dashboard'!$B$7,"~","~~"),"*","~*"),"?","~?"))+COUNTIFS('Calculations'!$IC$13:$IC$512,"="&amp;SUBSTITUTE(SUBSTITUTE(SUBSTITUTE('Calculations'!HF342,"~","~~"),"*","~*"),"?","~?"),'Calculations'!$HN$13:$HN$512,"="&amp;SUBSTITUTE(SUBSTITUTE(SUBSTITUTE('Dashboard'!$B$7,"~","~~"),"*","~*"),"?","~?"))+COUNTIFS('Calculations'!$ID$13:$ID$512,"="&amp;SUBSTITUTE(SUBSTITUTE(SUBSTITUTE('Calculations'!HF342,"~","~~"),"*","~*"),"?","~?"),'Calculations'!$HN$13:$HN$512,"="&amp;SUBSTITUTE(SUBSTITUTE(SUBSTITUTE('Dashboard'!$B$7,"~","~~"),"*","~*"),"?","~?"))+COUNTIFS('Calculations'!$IE$13:$IE$512,"="&amp;SUBSTITUTE(SUBSTITUTE(SUBSTITUTE('Calculations'!HF342,"~","~~"),"*","~*"),"?","~?"),'Calculations'!$HN$13:$HN$512,"="&amp;SUBSTITUTE(SUBSTITUTE(SUBSTITUTE('Dashboard'!$B$7,"~","~~"),"*","~*"),"?","~?"))+COUNTIFS('Calculations'!$IF$13:$IF$512,"="&amp;SUBSTITUTE(SUBSTITUTE(SUBSTITUTE('Calculations'!HF342,"~","~~"),"*","~*"),"?","~?"),'Calculations'!$HN$13:$HN$512,"="&amp;SUBSTITUTE(SUBSTITUTE(SUBSTITUTE('Dashboard'!$B$7,"~","~~"),"*","~*"),"?","~?"))+COUNTIFS('Calculations'!$IG$13:$IG$512,"="&amp;SUBSTITUTE(SUBSTITUTE(SUBSTITUTE('Calculations'!HF342,"~","~~"),"*","~*"),"?","~?"),'Calculations'!$HN$13:$HN$512,"="&amp;SUBSTITUTE(SUBSTITUTE(SUBSTITUTE('Dashboard'!$B$7,"~","~~"),"*","~*"),"?","~?"))+COUNTIFS('Calculations'!$IH$13:$IH$512,"="&amp;SUBSTITUTE(SUBSTITUTE(SUBSTITUTE('Calculations'!HF342,"~","~~"),"*","~*"),"?","~?"),'Calculations'!$HN$13:$HN$512,"="&amp;SUBSTITUTE(SUBSTITUTE(SUBSTITUTE('Dashboard'!$B$7,"~","~~"),"*","~*"),"?","~?"))))</x:f>
        <x:v>0</x:v>
      </x:c>
      <x:c r="JD342" t="n">
        <x:f>IF('Calculations'!EM342="",0,IF('Dashboard'!$B$7="All",1,IF('Calculations'!HN342='Dashboard'!$B$7,1,0)+IFERROR(INDEX('Calculations'!$JC$13:$JC$512,MATCH('Calculations'!HE342,'Calculations'!$HF$13:$HF$512,0)),0)))</x:f>
        <x:v>0</x:v>
      </x:c>
      <x:c r="JE342" t="n">
        <x:f>IF(AND('Calculations'!EM342&lt;&gt;"",'Calculations'!$JJ$2&lt;&gt;"All",'Calculations'!$JJ$2&lt;&gt;"",'Calculations'!HF342='Calculations'!$JJ$2,'Calculations'!HL342=0,'Calculations'!JD342&gt;0),MAX('Calculations'!$JE$12:JE341)+1,0)</x:f>
        <x:v>0</x:v>
      </x:c>
      <x:c r="JF342" t="str">
        <x:f>IF('Calculations'!EM342="","",IFERROR(IF(INDEX(INDIRECT("'WCM Calibration Final'!$G$1:$G$2000"),'Calculations'!$EM342)="","",TRIM(INDEX(INDIRECT("'WCM Calibration Final'!$G$1:$G$2000"),'Calculations'!$EM342)&amp;"")),""))</x:f>
      </x:c>
      <x:c r="JQ342" t="n">
        <x:f>IF(OR('Calculations'!BM342=0,NOT('Calculations'!$AG$2),'Calculations'!$AG$8&gt;0),0,IF(OR('Dashboard'!$B$7="All",'Calculations'!HN342='Dashboard'!$B$7),IF('Calculations'!$JJ$2="All",1,IF(AND('Calculations'!HF342='Calculations'!$JJ$2,'Calculations'!HL342=0),1,0)),0))</x:f>
        <x:v>0</x:v>
      </x:c>
    </x:row>
    <x:row r="343">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t="n">
        <x:f>IF('Calculations'!$EM343="",0,IF(OR(IFERROR(INDEX(INDIRECT("'WCM Calibration Final'!$A$1:$A$2000"),'Calculations'!$EM343)&lt;&gt;"",FALSE),IFERROR(INDEX(INDIRECT("'WCM Calibration Final'!$B$1:$B$2000"),'Calculations'!$EM343)&lt;&gt;"",FALSE),IFERROR(INDEX(INDIRECT("'WCM Calibration Final'!$C$1:$C$2000"),'Calculations'!$EM343)&lt;&gt;"",FALSE)),1,0))</x:f>
        <x:v>0</x:v>
      </x:c>
      <x:c r="BN343" s="4" t="n">
        <x:f>IF(AND('Calculations'!BM343=1,'Calculations'!$AG$2,'Calculations'!$EN343=1),1,0)</x:f>
        <x:v>0</x:v>
      </x:c>
      <x:c r="BO343" s="4" t="str">
        <x:f>IF('Calculations'!BM343=0,"",IFERROR(IF(AND(VALUE(INDEX(INDIRECT("'WCM Calibration Final'!$K$1:$K$2000"),'Calculations'!$EM343))&gt;=1,VALUE(INDEX(INDIRECT("'WCM Calibration Final'!$K$1:$K$2000"),'Calculations'!$EM343))&lt;=4,MOD(VALUE(INDEX(INDIRECT("'WCM Calibration Final'!$K$1:$K$2000"),'Calculations'!$EM343)),1)=0),VALUE(INDEX(INDIRECT("'WCM Calibration Final'!$K$1:$K$2000"),'Calculations'!$EM343)),""),""))</x:f>
      </x:c>
      <x:c r="BP343" s="4" t="str">
        <x:f>IF('Calculations'!BM343=0,"",IFERROR(IF(AND(VALUE(INDEX(INDIRECT("'WCM Calibration Final'!$L$1:$L$2000"),'Calculations'!$EM343))&gt;=1,VALUE(INDEX(INDIRECT("'WCM Calibration Final'!$L$1:$L$2000"),'Calculations'!$EM343))&lt;=4,MOD(VALUE(INDEX(INDIRECT("'WCM Calibration Final'!$L$1:$L$2000"),'Calculations'!$EM343)),1)=0),VALUE(INDEX(INDIRECT("'WCM Calibration Final'!$L$1:$L$2000"),'Calculations'!$EM343)),""),""))</x:f>
      </x:c>
      <x:c r="BQ343" s="4"/>
      <x:c r="BR343" s="4"/>
      <x:c r="BS343" s="4"/>
      <x:c r="BT343" s="4" t="n">
        <x:f>IF(AND('Calculations'!BM343=1,ISNUMBER('Calculations'!BO343),ISNUMBER('Calculations'!BP343)),1,0)</x:f>
        <x:v>0</x:v>
      </x:c>
      <x:c r="BU343" s="4" t="str">
        <x:f>IF('Calculations'!BM343=0,"",'Calculations'!$EO343)</x:f>
      </x:c>
      <x:c r="BV343" s="4" t="str">
        <x:f>IF('Calculations'!BM343=0,"",IFERROR(IF(OR(INDEX(INDIRECT("'WCM Calibration Final'!$H$1:$H$2000"),'Calculations'!$EM343)="MANAGING DIRECTOR",INDEX(INDIRECT("'WCM Calibration Final'!$H$1:$H$2000"),'Calculations'!$EM343)="DIRECTOR",INDEX(INDIRECT("'WCM Calibration Final'!$H$1:$H$2000"),'Calculations'!$EM343)="SENIOR VICE PRESIDENT",INDEX(INDIRECT("'WCM Calibration Final'!$H$1:$H$2000"),'Calculations'!$EM343)="VICE PRESIDENT",INDEX(INDIRECT("'WCM Calibration Final'!$H$1:$H$2000"),'Calculations'!$EM343)="ASSISTANT VICE PRESIDENT",INDEX(INDIRECT("'WCM Calibration Final'!$H$1:$H$2000"),'Calculations'!$EM343)="OFFICER"),UPPER(INDEX(INDIRECT("'WCM Calibration Final'!$H$1:$H$2000"),'Calculations'!$EM343)),"Other"),"Other"))</x:f>
      </x:c>
      <x:c r="BW343" s="4"/>
      <x:c r="BX343" s="4"/>
      <x:c r="BY343" s="4" t="n">
        <x:f>IF(AND('Calculations'!BM343=1,'Calculations'!BU343&lt;&gt;"",COUNTIF('Calculations'!$BU$12:BU343,'Calculations'!BU343)=1),MAX('Calculations'!$BY$11:BY342)+1,0)</x:f>
        <x:v>0</x:v>
      </x:c>
      <x:c r="BZ343" s="4" t="str">
        <x:f>IF('Dashboard'!$E$67="What",'Calculations'!BO343,'Calculations'!BP343)</x:f>
      </x:c>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t="str">
        <x:f>IF(332&gt;MAX('Calculations'!$HI$13:$HI$512),"",INDEX('Calculations'!$HN$13:$HN$512,MATCH(332,'Calculations'!$HI$13:$HI$512,0)))</x:f>
      </x:c>
      <x:c r="DB343" s="4" t="str">
        <x:f>IF(332&gt;MAX('Calculations'!$HH$13:$HH$512),"",INDEX('Calculations'!$HJ$13:$HJ$512,MATCH(332,'Calculations'!$HH$13:$HH$512,0)))</x:f>
      </x:c>
      <x:c r="DC343" s="4" t="str">
        <x:f>IF(ROW()-11&gt;MAX('Calculations'!$BY$13:$BY$512),"",INDEX('Calculations'!$BU$13:$BU$512,MATCH(ROW()-11,'Calculations'!$BY$13:$BY$512,0)))</x:f>
      </x:c>
      <x:c r="DD343" s="4" t="str">
        <x:f>IF(332&gt;MAX('Calculations'!$IK$13:$IK$512),"",INDEX('Calculations'!$HK$13:$HK$512,MATCH(332,'Calculations'!$IK$13:$IK$512,0)))</x:f>
      </x:c>
      <x:c r="DE343" s="4" t="str">
        <x:f>'Calculations'!DC343</x:f>
      </x:c>
      <x:c r="DF343" s="4" t="str">
        <x:f>IF('Calculations'!DE343="","",COUNTIFS('Calculations'!$BN$13:$BN$512,1,'Calculations'!$BU$13:$BU$512,'Calculations'!DE343))</x:f>
      </x:c>
      <x:c r="DG343" s="4" t="str">
        <x:f>IF('Calculations'!DE343="","",COUNTIFS('Calculations'!$BN$13:$BN$512,1,'Calculations'!$BU$13:$BU$512,'Calculations'!DE343,'Calculations'!$BT$13:$BT$512,1))</x:f>
      </x:c>
      <x:c r="DH343" s="4" t="str">
        <x:f>IF('Calculations'!DE343="","",'Calculations'!DF343-'Calculations'!DG343)</x:f>
      </x:c>
      <x:c r="DI343" s="4" t="str">
        <x:f>IF(OR('Calculations'!DE343="",'Calculations'!DF343=0),"",'Calculations'!DG343/'Calculations'!DF343)</x:f>
      </x:c>
      <x:c r="DJ343" s="4" t="str">
        <x:f>IF('Calculations'!DE343="","",COUNTIFS('Calculations'!$BN$13:$BN$512,1,'Calculations'!$BU$13:$BU$512,'Calculations'!DE343,'Calculations'!$BT$13:$BT$512,1,'Calculations'!$EE$13:$EE$512,"High"))</x:f>
      </x:c>
      <x:c r="DK343" s="4" t="str">
        <x:f>IF('Calculations'!DE343="","",COUNTIFS('Calculations'!$BN$13:$BN$512,1,'Calculations'!$BU$13:$BU$512,'Calculations'!DE343,'Calculations'!$BT$13:$BT$512,1,'Calculations'!$EE$13:$EE$512,"Strong"))</x:f>
      </x:c>
      <x:c r="DL343" s="4" t="str">
        <x:f>IF('Calculations'!DE343="","",COUNTIFS('Calculations'!$BN$13:$BN$512,1,'Calculations'!$BU$13:$BU$512,'Calculations'!DE343,'Calculations'!$BT$13:$BT$512,1,'Calculations'!$EE$13:$EE$512,"Solid"))</x:f>
      </x:c>
      <x:c r="DM343" s="4" t="str">
        <x:f>IF('Calculations'!DE343="","",COUNTIFS('Calculations'!$BN$13:$BN$512,1,'Calculations'!$BU$13:$BU$512,'Calculations'!DE343,'Calculations'!$BT$13:$BT$512,1,'Calculations'!$EE$13:$EE$512,"Low"))</x:f>
      </x:c>
      <x:c r="DN343" s="4" t="str">
        <x:f>IF('Calculations'!DE343="","",COUNTIFS('Calculations'!$BN$13:$BN$512,1,'Calculations'!$BU$13:$BU$512,'Calculations'!DE343,'Calculations'!$EP$13:$EP$512,1))</x:f>
      </x:c>
      <x:c r="DO343" s="4" t="str">
        <x:f>IF(OR('Calculations'!DE343="",'Calculations'!DG343=0),"",('Calculations'!DJ343+'Calculations'!DK343)/'Calculations'!DG343)</x:f>
      </x:c>
      <x:c r="DP343" s="4" t="n">
        <x:f>IF(AND('Calculations'!DE343&lt;&gt;"",'Calculations'!DF343&gt;0),COUNTIF('Calculations'!$DF$12:DF343,"&gt;0"),0)</x:f>
        <x:v>0</x:v>
      </x:c>
      <x:c r="DQ343" s="4" t="str">
        <x:f>IF(332&gt;MAX('Calculations'!$HH$13:$HH$512),"",INDEX('Calculations'!$HF$13:$HF$512,MATCH(332,'Calculations'!$HH$13:$HH$512,0)))</x:f>
      </x:c>
      <x:c r="DR343" s="4" t="str">
        <x:f>IF(332&gt;MAX('Calculations'!$IK$13:$IK$512),"",INDEX('Calculations'!$HE$13:$HE$512,MATCH(332,'Calculations'!$IK$13:$IK$512,0)))</x:f>
      </x:c>
      <x:c r="DS343" s="4"/>
      <x:c r="DT343" s="4"/>
      <x:c r="DU343" s="4"/>
      <x:c r="DV343" s="4"/>
      <x:c r="DW343" s="4"/>
      <x:c r="DX343" s="4"/>
      <x:c r="DY343" s="4"/>
      <x:c r="DZ343" s="4"/>
      <x:c r="EA343" s="4"/>
      <x:c r="EB343" s="4"/>
      <x:c r="EC343" s="4"/>
      <x:c r="ED343" s="4"/>
      <x:c r="EE343" s="4" t="str">
        <x:f>IF('Calculations'!BT343=0,"Not Rated",IF(OR('Calculations'!BO343&gt;=4,'Calculations'!BP343&gt;=4),"Low",IF('Calculations'!BO343+'Calculations'!BP343&lt;=3,"High",IF('Calculations'!BO343+'Calculations'!BP343&lt;=4,"Strong","Solid"))))</x:f>
        <x:v>Not Rated</x:v>
      </x:c>
      <x:c r="EF343" s="4"/>
      <x:c r="EG343" s="4"/>
      <x:c r="EH343" s="4"/>
      <x:c r="EI343" s="4"/>
      <x:c r="EJ343" s="4"/>
      <x:c r="EK343" s="4"/>
      <x:c r="EL343" s="4"/>
      <x:c r="EM343" s="4" t="str">
        <x:f>IF(331&gt;'Calculations'!$JB$2000,"",INDEX('Calculations'!$JA$12:$JA$2000,MATCH(331,'Calculations'!$JB$12:$JB$2000,0)))</x:f>
      </x:c>
      <x:c r="EN343" s="4" t="n">
        <x:f>IF(OR('Calculations'!EM343="",'Calculations'!$AG$8&gt;0,AND('Calculations'!$EF$2&lt;&gt;"All",'Calculations'!HE343='Calculations'!$EF$2),AND('Calculations'!$EF$3&lt;&gt;"All",'Calculations'!HE343='Calculations'!$EF$3)),0,IF(OR('Dashboard'!$B$7="All",'Calculations'!HN343='Dashboard'!$B$7),IF('Calculations'!$EF$2="All",1,IF('Calculations'!HL343&gt;0,0,IF(COUNTIF('Calculations'!HO343:II343,"="&amp;SUBSTITUTE(SUBSTITUTE(SUBSTITUTE('Calculations'!$EF$2,"~","~~"),"*","~*"),"?","~?"))=0,0,IF('Calculations'!$EF$3="All",1,IF(COUNTIF('Calculations'!HO343:II343,"="&amp;SUBSTITUTE(SUBSTITUTE(SUBSTITUTE('Calculations'!$EF$3,"~","~~"),"*","~*"),"?","~?"))&gt;0,1,0))))),0))</x:f>
        <x:v>0</x:v>
      </x:c>
      <x:c r="EO343" s="4" t="str">
        <x:f>IF('Calculations'!IJ343="","",IF('Calculations'!IJ343="!UNRESOLVED","Unresolved hierarchy",IFERROR(INDEX('Calculations'!$HK$13:$HK$512,MATCH('Calculations'!IJ343,'Calculations'!$HE$13:$HE$512,0)),IFERROR(INDEX('Calculations'!$HJ$13:$HJ$512,MATCH('Calculations'!IJ343,'Calculations'!$HF$13:$HF$512,0)),'Calculations'!IJ343))))</x:f>
      </x:c>
      <x:c r="EP343" s="4" t="n">
        <x:f>IF(AND('Calculations'!EM343&lt;&gt;"",'Calculations'!HF343='Calculations'!IJ343),1,0)</x:f>
        <x:v>0</x:v>
      </x:c>
      <x:c r="EQ343" s="4"/>
      <x:c r="ER343" s="4"/>
      <x:c r="ES343" s="4"/>
      <x:c r="ET343" s="4"/>
      <x:c r="EU343" s="4"/>
      <x:c r="EV343" s="4"/>
      <x:c r="EW343" s="4"/>
      <x:c r="EX343" s="4"/>
      <x:c r="EY343" s="4"/>
      <x:c r="EZ343" s="4"/>
      <x:c r="FA343" s="4"/>
      <x:c r="FB343" s="4"/>
      <x:c r="FC343" s="4"/>
      <x:c r="FD343" s="4"/>
      <x:c r="FE343" s="4"/>
      <x:c r="FF343" s="4"/>
      <x:c r="FG343" s="4"/>
      <x:c r="FH343" s="4"/>
      <x:c r="FI343" s="4"/>
      <x:c r="FJ343" s="4"/>
      <x:c r="FK343" s="4"/>
      <x:c r="FL343" s="4"/>
      <x:c r="FM343" s="4"/>
      <x:c r="FN343" s="4"/>
      <x:c r="FO343" s="4"/>
      <x:c r="HE343" t="str">
        <x:f>IF('Calculations'!EM343="","",IF(IFERROR(IF(INDEX(INDIRECT("'WCM Calibration Final'!$A$1:$A$2000"),'Calculations'!$EM343)="","",TRIM(INDEX(INDIRECT("'WCM Calibration Final'!$A$1:$A$2000"),'Calculations'!$EM343)&amp;"")),"")&lt;&gt;"","G:"&amp;IFERROR(TEXT(1*INDEX(INDIRECT("'WCM Calibration Final'!$A$1:$A$2000"),'Calculations'!$EM343),"0"),UPPER(IFERROR(IF(INDEX(INDIRECT("'WCM Calibration Final'!$A$1:$A$2000"),'Calculations'!$EM343)="","",TRIM(INDEX(INDIRECT("'WCM Calibration Final'!$A$1:$A$2000"),'Calculations'!$EM343)&amp;"")),""))),IF(IFERROR(IF(INDEX(INDIRECT("'WCM Calibration Final'!$C$1:$C$2000"),'Calculations'!$EM343)="","",TRIM(INDEX(INDIRECT("'WCM Calibration Final'!$C$1:$C$2000"),'Calculations'!$EM343)&amp;"")),"")&lt;&gt;"","S:"&amp;UPPER(IFERROR(IF(INDEX(INDIRECT("'WCM Calibration Final'!$C$1:$C$2000"),'Calculations'!$EM343)="","",TRIM(INDEX(INDIRECT("'WCM Calibration Final'!$C$1:$C$2000"),'Calculations'!$EM343)&amp;"")),"")),"R:"&amp;'Calculations'!EM343)))</x:f>
      </x:c>
      <x:c r="HF343" t="str">
        <x:f>IF('Calculations'!EM343="","",IF(IFERROR(IF(INDEX(INDIRECT("'WCM Calibration Final'!$D$1:$D$2000"),'Calculations'!$EM343)="","",TRIM(INDEX(INDIRECT("'WCM Calibration Final'!$D$1:$D$2000"),'Calculations'!$EM343)&amp;"")),"")&lt;&gt;"","G:"&amp;IFERROR(TEXT(1*INDEX(INDIRECT("'WCM Calibration Final'!$D$1:$D$2000"),'Calculations'!$EM343),"0"),UPPER(IFERROR(IF(INDEX(INDIRECT("'WCM Calibration Final'!$D$1:$D$2000"),'Calculations'!$EM343)="","",TRIM(INDEX(INDIRECT("'WCM Calibration Final'!$D$1:$D$2000"),'Calculations'!$EM343)&amp;"")),""))),IF(IFERROR(IF(INDEX(INDIRECT("'WCM Calibration Final'!$E$1:$E$2000"),'Calculations'!$EM343)="","",TRIM(INDEX(INDIRECT("'WCM Calibration Final'!$E$1:$E$2000"),'Calculations'!$EM343)&amp;"")),"")="","",IF(COUNTIF('Calculations'!$HG$13:$HG$512,"="&amp;SUBSTITUTE(SUBSTITUTE(SUBSTITUTE(IFERROR(IF(INDEX(INDIRECT("'WCM Calibration Final'!$E$1:$E$2000"),'Calculations'!$EM343)="","",TRIM(INDEX(INDIRECT("'WCM Calibration Final'!$E$1:$E$2000"),'Calculations'!$EM343)&amp;"")),""),"~","~~"),"*","~*"),"?","~?"))=1,INDEX('Calculations'!$HE$13:$HE$512,MATCH(IFERROR(IF(INDEX(INDIRECT("'WCM Calibration Final'!$E$1:$E$2000"),'Calculations'!$EM343)="","",TRIM(INDEX(INDIRECT("'WCM Calibration Final'!$E$1:$E$2000"),'Calculations'!$EM343)&amp;"")),""),'Calculations'!$HG$13:$HG$512,0)),IF(COUNTIF('Calculations'!$HG$13:$HG$512,"="&amp;SUBSTITUTE(SUBSTITUTE(SUBSTITUTE(IFERROR(IF(INDEX(INDIRECT("'WCM Calibration Final'!$E$1:$E$2000"),'Calculations'!$EM343)="","",TRIM(INDEX(INDIRECT("'WCM Calibration Final'!$E$1:$E$2000"),'Calculations'!$EM343)&amp;"")),""),"~","~~"),"*","~*"),"?","~?"))&gt;1,"!AMBIG","X:"&amp;IFERROR(IF(INDEX(INDIRECT("'WCM Calibration Final'!$E$1:$E$2000"),'Calculations'!$EM343)="","",TRIM(INDEX(INDIRECT("'WCM Calibration Final'!$E$1:$E$2000"),'Calculations'!$EM343)&amp;"")),""))))))</x:f>
      </x:c>
      <x:c r="HG343" t="str">
        <x:f>IF('Calculations'!EM343="","",IFERROR(IF(INDEX(INDIRECT("'WCM Calibration Final'!$B$1:$B$2000"),'Calculations'!$EM343)="","",TRIM(INDEX(INDIRECT("'WCM Calibration Final'!$B$1:$B$2000"),'Calculations'!$EM343)&amp;"")),""))</x:f>
      </x:c>
      <x:c r="HH343" t="n">
        <x:f>IF(AND('Calculations'!JC343&gt;0,COUNTIF('Calculations'!$HF$12:HF343,"="&amp;SUBSTITUTE(SUBSTITUTE(SUBSTITUTE('Calculations'!HF343,"~","~~"),"*","~*"),"?","~?"))=1),MAX('Calculations'!$HH$12:HH342)+1,0)</x:f>
        <x:v>0</x:v>
      </x:c>
      <x:c r="HI343" t="n">
        <x:f>IF(AND('Calculations'!HN343&lt;&gt;"",COUNTIF('Calculations'!$HN$12:HN343,"="&amp;SUBSTITUTE(SUBSTITUTE(SUBSTITUTE('Calculations'!HN343,"~","~~"),"*","~*"),"?","~?"))=1),MAX('Calculations'!$HI$12:HI342)+1,0)</x:f>
        <x:v>0</x:v>
      </x:c>
      <x:c r="HJ343" t="str">
        <x:f>IF('Calculations'!HF343="","",IF(COUNTIF('Calculations'!$HE$13:$HE$512,"="&amp;SUBSTITUTE(SUBSTITUTE(SUBSTITUTE('Calculations'!HF343,"~","~~"),"*","~*"),"?","~?"))=1,INDEX('Calculations'!$HK$13:$HK$512,MATCH('Calculations'!HF343,'Calculations'!$HE$13:$HE$512,0)),IFERROR(IF(INDEX(INDIRECT("'WCM Calibration Final'!$E$1:$E$2000"),'Calculations'!$EM343)="","",TRIM(INDEX(INDIRECT("'WCM Calibration Final'!$E$1:$E$2000"),'Calculations'!$EM343)&amp;"")),"")&amp;" ["&amp;'Calculations'!HF343&amp;"]"))</x:f>
      </x:c>
      <x:c r="HK343" t="str">
        <x:f>IF('Calculations'!EM343="","",'Calculations'!HG343&amp;" ["&amp;'Calculations'!HE343&amp;"]")</x:f>
      </x:c>
      <x:c r="HL343" t="n">
        <x:f>IF('Calculations'!EM343="",0,IF(OR('Calculations'!II343&lt;&gt;"",COUNTIF('Calculations'!$HE$13:$HE$512,"="&amp;SUBSTITUTE(SUBSTITUTE(SUBSTITUTE('Calculations'!HE343,"~","~~"),"*","~*"),"?","~?"))&gt;1),1,0))</x:f>
        <x:v>0</x:v>
      </x:c>
      <x:c r="HM343" t="str">
        <x:f>IF('Calculations'!EM343="","",IF('Calculations'!HL343=1,"!UNRESOLVED",IF('Calculations'!IH343&lt;&gt;"",'Calculations'!IH343,IF('Calculations'!IG343&lt;&gt;"",'Calculations'!IG343,IF('Calculations'!IF343&lt;&gt;"",'Calculations'!IF343,IF('Calculations'!IE343&lt;&gt;"",'Calculations'!IE343,IF('Calculations'!ID343&lt;&gt;"",'Calculations'!ID343,IF('Calculations'!IC343&lt;&gt;"",'Calculations'!IC343,IF('Calculations'!IB343&lt;&gt;"",'Calculations'!IB343,IF('Calculations'!IA343&lt;&gt;"",'Calculations'!IA343,IF('Calculations'!HZ343&lt;&gt;"",'Calculations'!HZ343,IF('Calculations'!HY343&lt;&gt;"",'Calculations'!HY343,IF('Calculations'!HX343&lt;&gt;"",'Calculations'!HX343,IF('Calculations'!HW343&lt;&gt;"",'Calculations'!HW343,IF('Calculations'!HV343&lt;&gt;"",'Calculations'!HV343,IF('Calculations'!HU343&lt;&gt;"",'Calculations'!HU343,IF('Calculations'!HT343&lt;&gt;"",'Calculations'!HT343,IF('Calculations'!HS343&lt;&gt;"",'Calculations'!HS343,IF('Calculations'!HR343&lt;&gt;"",'Calculations'!HR343,IF('Calculations'!HQ343&lt;&gt;"",'Calculations'!HQ343,IF('Calculations'!HP343&lt;&gt;"",'Calculations'!HP343,IF('Calculations'!HO343&lt;&gt;"",'Calculations'!HO343,'Calculations'!HE343))))))))))))))))))))))</x:f>
      </x:c>
      <x:c r="HN343" t="str">
        <x:f>IF('Calculations'!EM343="","",IF(IFERROR(IF(INDEX(INDIRECT("'WCM Calibration Final'!$F$1:$F$2000"),'Calculations'!$EM343)="","",TRIM(INDEX(INDIRECT("'WCM Calibration Final'!$F$1:$F$2000"),'Calculations'!$EM343)&amp;"")),"")="","(Blank)",IFERROR(IF(INDEX(INDIRECT("'WCM Calibration Final'!$F$1:$F$2000"),'Calculations'!$EM343)="","",TRIM(INDEX(INDIRECT("'WCM Calibration Final'!$F$1:$F$2000"),'Calculations'!$EM343)&amp;"")),"")))</x:f>
      </x:c>
      <x:c r="HO343" t="str">
        <x:f>'Calculations'!HF343</x:f>
      </x:c>
      <x:c r="HP343" t="str">
        <x:f>IF('Calculations'!HO343="","",IF('Calculations'!HO343="!AMBIG","!AMBIG",IF(COUNTIF('Calculations'!$HE$13:$HE$512,"="&amp;SUBSTITUTE(SUBSTITUTE(SUBSTITUTE('Calculations'!HO343,"~","~~"),"*","~*"),"?","~?"))&gt;1,"!AMBIG",IFERROR(INDEX('Calculations'!$HF$13:$HF$512,MATCH('Calculations'!HO343,'Calculations'!$HE$13:$HE$512,0)),""))))</x:f>
      </x:c>
      <x:c r="HQ343" t="str">
        <x:f>IF('Calculations'!HP343="","",IF('Calculations'!HP343="!AMBIG","!AMBIG",IF(COUNTIF('Calculations'!$HE$13:$HE$512,"="&amp;SUBSTITUTE(SUBSTITUTE(SUBSTITUTE('Calculations'!HP343,"~","~~"),"*","~*"),"?","~?"))&gt;1,"!AMBIG",IFERROR(INDEX('Calculations'!$HF$13:$HF$512,MATCH('Calculations'!HP343,'Calculations'!$HE$13:$HE$512,0)),""))))</x:f>
      </x:c>
      <x:c r="HR343" t="str">
        <x:f>IF('Calculations'!HQ343="","",IF('Calculations'!HQ343="!AMBIG","!AMBIG",IF(COUNTIF('Calculations'!$HE$13:$HE$512,"="&amp;SUBSTITUTE(SUBSTITUTE(SUBSTITUTE('Calculations'!HQ343,"~","~~"),"*","~*"),"?","~?"))&gt;1,"!AMBIG",IFERROR(INDEX('Calculations'!$HF$13:$HF$512,MATCH('Calculations'!HQ343,'Calculations'!$HE$13:$HE$512,0)),""))))</x:f>
      </x:c>
      <x:c r="HS343" t="str">
        <x:f>IF('Calculations'!HR343="","",IF('Calculations'!HR343="!AMBIG","!AMBIG",IF(COUNTIF('Calculations'!$HE$13:$HE$512,"="&amp;SUBSTITUTE(SUBSTITUTE(SUBSTITUTE('Calculations'!HR343,"~","~~"),"*","~*"),"?","~?"))&gt;1,"!AMBIG",IFERROR(INDEX('Calculations'!$HF$13:$HF$512,MATCH('Calculations'!HR343,'Calculations'!$HE$13:$HE$512,0)),""))))</x:f>
      </x:c>
      <x:c r="HT343" t="str">
        <x:f>IF('Calculations'!HS343="","",IF('Calculations'!HS343="!AMBIG","!AMBIG",IF(COUNTIF('Calculations'!$HE$13:$HE$512,"="&amp;SUBSTITUTE(SUBSTITUTE(SUBSTITUTE('Calculations'!HS343,"~","~~"),"*","~*"),"?","~?"))&gt;1,"!AMBIG",IFERROR(INDEX('Calculations'!$HF$13:$HF$512,MATCH('Calculations'!HS343,'Calculations'!$HE$13:$HE$512,0)),""))))</x:f>
      </x:c>
      <x:c r="HU343" t="str">
        <x:f>IF('Calculations'!HT343="","",IF('Calculations'!HT343="!AMBIG","!AMBIG",IF(COUNTIF('Calculations'!$HE$13:$HE$512,"="&amp;SUBSTITUTE(SUBSTITUTE(SUBSTITUTE('Calculations'!HT343,"~","~~"),"*","~*"),"?","~?"))&gt;1,"!AMBIG",IFERROR(INDEX('Calculations'!$HF$13:$HF$512,MATCH('Calculations'!HT343,'Calculations'!$HE$13:$HE$512,0)),""))))</x:f>
      </x:c>
      <x:c r="HV343" t="str">
        <x:f>IF('Calculations'!HU343="","",IF('Calculations'!HU343="!AMBIG","!AMBIG",IF(COUNTIF('Calculations'!$HE$13:$HE$512,"="&amp;SUBSTITUTE(SUBSTITUTE(SUBSTITUTE('Calculations'!HU343,"~","~~"),"*","~*"),"?","~?"))&gt;1,"!AMBIG",IFERROR(INDEX('Calculations'!$HF$13:$HF$512,MATCH('Calculations'!HU343,'Calculations'!$HE$13:$HE$512,0)),""))))</x:f>
      </x:c>
      <x:c r="HW343" t="str">
        <x:f>IF('Calculations'!HV343="","",IF('Calculations'!HV343="!AMBIG","!AMBIG",IF(COUNTIF('Calculations'!$HE$13:$HE$512,"="&amp;SUBSTITUTE(SUBSTITUTE(SUBSTITUTE('Calculations'!HV343,"~","~~"),"*","~*"),"?","~?"))&gt;1,"!AMBIG",IFERROR(INDEX('Calculations'!$HF$13:$HF$512,MATCH('Calculations'!HV343,'Calculations'!$HE$13:$HE$512,0)),""))))</x:f>
      </x:c>
      <x:c r="HX343" t="str">
        <x:f>IF('Calculations'!HW343="","",IF('Calculations'!HW343="!AMBIG","!AMBIG",IF(COUNTIF('Calculations'!$HE$13:$HE$512,"="&amp;SUBSTITUTE(SUBSTITUTE(SUBSTITUTE('Calculations'!HW343,"~","~~"),"*","~*"),"?","~?"))&gt;1,"!AMBIG",IFERROR(INDEX('Calculations'!$HF$13:$HF$512,MATCH('Calculations'!HW343,'Calculations'!$HE$13:$HE$512,0)),""))))</x:f>
      </x:c>
      <x:c r="HY343" t="str">
        <x:f>IF('Calculations'!HX343="","",IF('Calculations'!HX343="!AMBIG","!AMBIG",IF(COUNTIF('Calculations'!$HE$13:$HE$512,"="&amp;SUBSTITUTE(SUBSTITUTE(SUBSTITUTE('Calculations'!HX343,"~","~~"),"*","~*"),"?","~?"))&gt;1,"!AMBIG",IFERROR(INDEX('Calculations'!$HF$13:$HF$512,MATCH('Calculations'!HX343,'Calculations'!$HE$13:$HE$512,0)),""))))</x:f>
      </x:c>
      <x:c r="HZ343" t="str">
        <x:f>IF('Calculations'!HY343="","",IF('Calculations'!HY343="!AMBIG","!AMBIG",IF(COUNTIF('Calculations'!$HE$13:$HE$512,"="&amp;SUBSTITUTE(SUBSTITUTE(SUBSTITUTE('Calculations'!HY343,"~","~~"),"*","~*"),"?","~?"))&gt;1,"!AMBIG",IFERROR(INDEX('Calculations'!$HF$13:$HF$512,MATCH('Calculations'!HY343,'Calculations'!$HE$13:$HE$512,0)),""))))</x:f>
      </x:c>
      <x:c r="IA343" t="str">
        <x:f>IF('Calculations'!HZ343="","",IF('Calculations'!HZ343="!AMBIG","!AMBIG",IF(COUNTIF('Calculations'!$HE$13:$HE$512,"="&amp;SUBSTITUTE(SUBSTITUTE(SUBSTITUTE('Calculations'!HZ343,"~","~~"),"*","~*"),"?","~?"))&gt;1,"!AMBIG",IFERROR(INDEX('Calculations'!$HF$13:$HF$512,MATCH('Calculations'!HZ343,'Calculations'!$HE$13:$HE$512,0)),""))))</x:f>
      </x:c>
      <x:c r="IB343" t="str">
        <x:f>IF('Calculations'!IA343="","",IF('Calculations'!IA343="!AMBIG","!AMBIG",IF(COUNTIF('Calculations'!$HE$13:$HE$512,"="&amp;SUBSTITUTE(SUBSTITUTE(SUBSTITUTE('Calculations'!IA343,"~","~~"),"*","~*"),"?","~?"))&gt;1,"!AMBIG",IFERROR(INDEX('Calculations'!$HF$13:$HF$512,MATCH('Calculations'!IA343,'Calculations'!$HE$13:$HE$512,0)),""))))</x:f>
      </x:c>
      <x:c r="IC343" t="str">
        <x:f>IF('Calculations'!IB343="","",IF('Calculations'!IB343="!AMBIG","!AMBIG",IF(COUNTIF('Calculations'!$HE$13:$HE$512,"="&amp;SUBSTITUTE(SUBSTITUTE(SUBSTITUTE('Calculations'!IB343,"~","~~"),"*","~*"),"?","~?"))&gt;1,"!AMBIG",IFERROR(INDEX('Calculations'!$HF$13:$HF$512,MATCH('Calculations'!IB343,'Calculations'!$HE$13:$HE$512,0)),""))))</x:f>
      </x:c>
      <x:c r="ID343" t="str">
        <x:f>IF('Calculations'!IC343="","",IF('Calculations'!IC343="!AMBIG","!AMBIG",IF(COUNTIF('Calculations'!$HE$13:$HE$512,"="&amp;SUBSTITUTE(SUBSTITUTE(SUBSTITUTE('Calculations'!IC343,"~","~~"),"*","~*"),"?","~?"))&gt;1,"!AMBIG",IFERROR(INDEX('Calculations'!$HF$13:$HF$512,MATCH('Calculations'!IC343,'Calculations'!$HE$13:$HE$512,0)),""))))</x:f>
      </x:c>
      <x:c r="IE343" t="str">
        <x:f>IF('Calculations'!ID343="","",IF('Calculations'!ID343="!AMBIG","!AMBIG",IF(COUNTIF('Calculations'!$HE$13:$HE$512,"="&amp;SUBSTITUTE(SUBSTITUTE(SUBSTITUTE('Calculations'!ID343,"~","~~"),"*","~*"),"?","~?"))&gt;1,"!AMBIG",IFERROR(INDEX('Calculations'!$HF$13:$HF$512,MATCH('Calculations'!ID343,'Calculations'!$HE$13:$HE$512,0)),""))))</x:f>
      </x:c>
      <x:c r="IF343" t="str">
        <x:f>IF('Calculations'!IE343="","",IF('Calculations'!IE343="!AMBIG","!AMBIG",IF(COUNTIF('Calculations'!$HE$13:$HE$512,"="&amp;SUBSTITUTE(SUBSTITUTE(SUBSTITUTE('Calculations'!IE343,"~","~~"),"*","~*"),"?","~?"))&gt;1,"!AMBIG",IFERROR(INDEX('Calculations'!$HF$13:$HF$512,MATCH('Calculations'!IE343,'Calculations'!$HE$13:$HE$512,0)),""))))</x:f>
      </x:c>
      <x:c r="IG343" t="str">
        <x:f>IF('Calculations'!IF343="","",IF('Calculations'!IF343="!AMBIG","!AMBIG",IF(COUNTIF('Calculations'!$HE$13:$HE$512,"="&amp;SUBSTITUTE(SUBSTITUTE(SUBSTITUTE('Calculations'!IF343,"~","~~"),"*","~*"),"?","~?"))&gt;1,"!AMBIG",IFERROR(INDEX('Calculations'!$HF$13:$HF$512,MATCH('Calculations'!IF343,'Calculations'!$HE$13:$HE$512,0)),""))))</x:f>
      </x:c>
      <x:c r="IH343" t="str">
        <x:f>IF('Calculations'!IG343="","",IF('Calculations'!IG343="!AMBIG","!AMBIG",IF(COUNTIF('Calculations'!$HE$13:$HE$512,"="&amp;SUBSTITUTE(SUBSTITUTE(SUBSTITUTE('Calculations'!IG343,"~","~~"),"*","~*"),"?","~?"))&gt;1,"!AMBIG",IFERROR(INDEX('Calculations'!$HF$13:$HF$512,MATCH('Calculations'!IG343,'Calculations'!$HE$13:$HE$512,0)),""))))</x:f>
      </x:c>
      <x:c r="II343" t="str">
        <x:f>IF('Calculations'!IH343="","",IF('Calculations'!IH343="!AMBIG","!AMBIG",IF(COUNTIF('Calculations'!$HE$13:$HE$512,"="&amp;SUBSTITUTE(SUBSTITUTE(SUBSTITUTE('Calculations'!IH343,"~","~~"),"*","~*"),"?","~?"))&gt;1,"!AMBIG",IFERROR(INDEX('Calculations'!$HF$13:$HF$512,MATCH('Calculations'!IH343,'Calculations'!$HE$13:$HE$512,0)),""))))</x:f>
      </x:c>
      <x:c r="IJ343" t="str">
        <x:f>IF('Calculations'!EM343="","",IF('Calculations'!$EF$2="All",'Calculations'!HM343,IF('Calculations'!HL343=1,"",IFERROR(IF(MATCH('Calculations'!$EF$2,'Calculations'!HO343:II343,0)=1,'Calculations'!HE343,INDEX('Calculations'!HO343:II343,1,MATCH('Calculations'!$EF$2,'Calculations'!HO343:II343,0)-1)),""))))</x:f>
      </x:c>
      <x:c r="IK343" t="n">
        <x:f>IF(AND('Calculations'!EM343&lt;&gt;"",'Calculations'!$EF$2&lt;&gt;"All",'Calculations'!HF343='Calculations'!$EF$2,'Calculations'!HL343=0,'Calculations'!JD343&gt;0),MAX('Calculations'!$IK$12:IK342)+1,0)</x:f>
        <x:v>0</x:v>
      </x:c>
      <x:c r="JA343" t="n">
        <x:f>IF(OR(IFERROR(INDIRECT("'WCM Calibration Final'!$A$343")&lt;&gt;"",FALSE),IFERROR(INDIRECT("'WCM Calibration Final'!$B$343")&lt;&gt;"",FALSE),IFERROR(INDIRECT("'WCM Calibration Final'!$C$343")&lt;&gt;"",FALSE)),343,0)</x:f>
        <x:v>0</x:v>
      </x:c>
      <x:c r="JB343" t="n">
        <x:f>'Calculations'!JB342+IF('Calculations'!JA343&gt;0,1,0)</x:f>
        <x:v>0</x:v>
      </x:c>
      <x:c r="JC343" t="n">
        <x:f>IF(OR('Calculations'!HF343="",'Calculations'!HF343="!AMBIG"),0,IF('Dashboard'!$B$7="All",1,COUNTIFS('Calculations'!$HO$13:$HO$512,"="&amp;SUBSTITUTE(SUBSTITUTE(SUBSTITUTE('Calculations'!HF343,"~","~~"),"*","~*"),"?","~?"),'Calculations'!$HN$13:$HN$512,"="&amp;SUBSTITUTE(SUBSTITUTE(SUBSTITUTE('Dashboard'!$B$7,"~","~~"),"*","~*"),"?","~?"))+COUNTIFS('Calculations'!$HP$13:$HP$512,"="&amp;SUBSTITUTE(SUBSTITUTE(SUBSTITUTE('Calculations'!HF343,"~","~~"),"*","~*"),"?","~?"),'Calculations'!$HN$13:$HN$512,"="&amp;SUBSTITUTE(SUBSTITUTE(SUBSTITUTE('Dashboard'!$B$7,"~","~~"),"*","~*"),"?","~?"))+COUNTIFS('Calculations'!$HQ$13:$HQ$512,"="&amp;SUBSTITUTE(SUBSTITUTE(SUBSTITUTE('Calculations'!HF343,"~","~~"),"*","~*"),"?","~?"),'Calculations'!$HN$13:$HN$512,"="&amp;SUBSTITUTE(SUBSTITUTE(SUBSTITUTE('Dashboard'!$B$7,"~","~~"),"*","~*"),"?","~?"))+COUNTIFS('Calculations'!$HR$13:$HR$512,"="&amp;SUBSTITUTE(SUBSTITUTE(SUBSTITUTE('Calculations'!HF343,"~","~~"),"*","~*"),"?","~?"),'Calculations'!$HN$13:$HN$512,"="&amp;SUBSTITUTE(SUBSTITUTE(SUBSTITUTE('Dashboard'!$B$7,"~","~~"),"*","~*"),"?","~?"))+COUNTIFS('Calculations'!$HS$13:$HS$512,"="&amp;SUBSTITUTE(SUBSTITUTE(SUBSTITUTE('Calculations'!HF343,"~","~~"),"*","~*"),"?","~?"),'Calculations'!$HN$13:$HN$512,"="&amp;SUBSTITUTE(SUBSTITUTE(SUBSTITUTE('Dashboard'!$B$7,"~","~~"),"*","~*"),"?","~?"))+COUNTIFS('Calculations'!$HT$13:$HT$512,"="&amp;SUBSTITUTE(SUBSTITUTE(SUBSTITUTE('Calculations'!HF343,"~","~~"),"*","~*"),"?","~?"),'Calculations'!$HN$13:$HN$512,"="&amp;SUBSTITUTE(SUBSTITUTE(SUBSTITUTE('Dashboard'!$B$7,"~","~~"),"*","~*"),"?","~?"))+COUNTIFS('Calculations'!$HU$13:$HU$512,"="&amp;SUBSTITUTE(SUBSTITUTE(SUBSTITUTE('Calculations'!HF343,"~","~~"),"*","~*"),"?","~?"),'Calculations'!$HN$13:$HN$512,"="&amp;SUBSTITUTE(SUBSTITUTE(SUBSTITUTE('Dashboard'!$B$7,"~","~~"),"*","~*"),"?","~?"))+COUNTIFS('Calculations'!$HV$13:$HV$512,"="&amp;SUBSTITUTE(SUBSTITUTE(SUBSTITUTE('Calculations'!HF343,"~","~~"),"*","~*"),"?","~?"),'Calculations'!$HN$13:$HN$512,"="&amp;SUBSTITUTE(SUBSTITUTE(SUBSTITUTE('Dashboard'!$B$7,"~","~~"),"*","~*"),"?","~?"))+COUNTIFS('Calculations'!$HW$13:$HW$512,"="&amp;SUBSTITUTE(SUBSTITUTE(SUBSTITUTE('Calculations'!HF343,"~","~~"),"*","~*"),"?","~?"),'Calculations'!$HN$13:$HN$512,"="&amp;SUBSTITUTE(SUBSTITUTE(SUBSTITUTE('Dashboard'!$B$7,"~","~~"),"*","~*"),"?","~?"))+COUNTIFS('Calculations'!$HX$13:$HX$512,"="&amp;SUBSTITUTE(SUBSTITUTE(SUBSTITUTE('Calculations'!HF343,"~","~~"),"*","~*"),"?","~?"),'Calculations'!$HN$13:$HN$512,"="&amp;SUBSTITUTE(SUBSTITUTE(SUBSTITUTE('Dashboard'!$B$7,"~","~~"),"*","~*"),"?","~?"))+COUNTIFS('Calculations'!$HY$13:$HY$512,"="&amp;SUBSTITUTE(SUBSTITUTE(SUBSTITUTE('Calculations'!HF343,"~","~~"),"*","~*"),"?","~?"),'Calculations'!$HN$13:$HN$512,"="&amp;SUBSTITUTE(SUBSTITUTE(SUBSTITUTE('Dashboard'!$B$7,"~","~~"),"*","~*"),"?","~?"))+COUNTIFS('Calculations'!$HZ$13:$HZ$512,"="&amp;SUBSTITUTE(SUBSTITUTE(SUBSTITUTE('Calculations'!HF343,"~","~~"),"*","~*"),"?","~?"),'Calculations'!$HN$13:$HN$512,"="&amp;SUBSTITUTE(SUBSTITUTE(SUBSTITUTE('Dashboard'!$B$7,"~","~~"),"*","~*"),"?","~?"))+COUNTIFS('Calculations'!$IA$13:$IA$512,"="&amp;SUBSTITUTE(SUBSTITUTE(SUBSTITUTE('Calculations'!HF343,"~","~~"),"*","~*"),"?","~?"),'Calculations'!$HN$13:$HN$512,"="&amp;SUBSTITUTE(SUBSTITUTE(SUBSTITUTE('Dashboard'!$B$7,"~","~~"),"*","~*"),"?","~?"))+COUNTIFS('Calculations'!$IB$13:$IB$512,"="&amp;SUBSTITUTE(SUBSTITUTE(SUBSTITUTE('Calculations'!HF343,"~","~~"),"*","~*"),"?","~?"),'Calculations'!$HN$13:$HN$512,"="&amp;SUBSTITUTE(SUBSTITUTE(SUBSTITUTE('Dashboard'!$B$7,"~","~~"),"*","~*"),"?","~?"))+COUNTIFS('Calculations'!$IC$13:$IC$512,"="&amp;SUBSTITUTE(SUBSTITUTE(SUBSTITUTE('Calculations'!HF343,"~","~~"),"*","~*"),"?","~?"),'Calculations'!$HN$13:$HN$512,"="&amp;SUBSTITUTE(SUBSTITUTE(SUBSTITUTE('Dashboard'!$B$7,"~","~~"),"*","~*"),"?","~?"))+COUNTIFS('Calculations'!$ID$13:$ID$512,"="&amp;SUBSTITUTE(SUBSTITUTE(SUBSTITUTE('Calculations'!HF343,"~","~~"),"*","~*"),"?","~?"),'Calculations'!$HN$13:$HN$512,"="&amp;SUBSTITUTE(SUBSTITUTE(SUBSTITUTE('Dashboard'!$B$7,"~","~~"),"*","~*"),"?","~?"))+COUNTIFS('Calculations'!$IE$13:$IE$512,"="&amp;SUBSTITUTE(SUBSTITUTE(SUBSTITUTE('Calculations'!HF343,"~","~~"),"*","~*"),"?","~?"),'Calculations'!$HN$13:$HN$512,"="&amp;SUBSTITUTE(SUBSTITUTE(SUBSTITUTE('Dashboard'!$B$7,"~","~~"),"*","~*"),"?","~?"))+COUNTIFS('Calculations'!$IF$13:$IF$512,"="&amp;SUBSTITUTE(SUBSTITUTE(SUBSTITUTE('Calculations'!HF343,"~","~~"),"*","~*"),"?","~?"),'Calculations'!$HN$13:$HN$512,"="&amp;SUBSTITUTE(SUBSTITUTE(SUBSTITUTE('Dashboard'!$B$7,"~","~~"),"*","~*"),"?","~?"))+COUNTIFS('Calculations'!$IG$13:$IG$512,"="&amp;SUBSTITUTE(SUBSTITUTE(SUBSTITUTE('Calculations'!HF343,"~","~~"),"*","~*"),"?","~?"),'Calculations'!$HN$13:$HN$512,"="&amp;SUBSTITUTE(SUBSTITUTE(SUBSTITUTE('Dashboard'!$B$7,"~","~~"),"*","~*"),"?","~?"))+COUNTIFS('Calculations'!$IH$13:$IH$512,"="&amp;SUBSTITUTE(SUBSTITUTE(SUBSTITUTE('Calculations'!HF343,"~","~~"),"*","~*"),"?","~?"),'Calculations'!$HN$13:$HN$512,"="&amp;SUBSTITUTE(SUBSTITUTE(SUBSTITUTE('Dashboard'!$B$7,"~","~~"),"*","~*"),"?","~?"))))</x:f>
        <x:v>0</x:v>
      </x:c>
      <x:c r="JD343" t="n">
        <x:f>IF('Calculations'!EM343="",0,IF('Dashboard'!$B$7="All",1,IF('Calculations'!HN343='Dashboard'!$B$7,1,0)+IFERROR(INDEX('Calculations'!$JC$13:$JC$512,MATCH('Calculations'!HE343,'Calculations'!$HF$13:$HF$512,0)),0)))</x:f>
        <x:v>0</x:v>
      </x:c>
      <x:c r="JE343" t="n">
        <x:f>IF(AND('Calculations'!EM343&lt;&gt;"",'Calculations'!$JJ$2&lt;&gt;"All",'Calculations'!$JJ$2&lt;&gt;"",'Calculations'!HF343='Calculations'!$JJ$2,'Calculations'!HL343=0,'Calculations'!JD343&gt;0),MAX('Calculations'!$JE$12:JE342)+1,0)</x:f>
        <x:v>0</x:v>
      </x:c>
      <x:c r="JF343" t="str">
        <x:f>IF('Calculations'!EM343="","",IFERROR(IF(INDEX(INDIRECT("'WCM Calibration Final'!$G$1:$G$2000"),'Calculations'!$EM343)="","",TRIM(INDEX(INDIRECT("'WCM Calibration Final'!$G$1:$G$2000"),'Calculations'!$EM343)&amp;"")),""))</x:f>
      </x:c>
      <x:c r="JQ343" t="n">
        <x:f>IF(OR('Calculations'!BM343=0,NOT('Calculations'!$AG$2),'Calculations'!$AG$8&gt;0),0,IF(OR('Dashboard'!$B$7="All",'Calculations'!HN343='Dashboard'!$B$7),IF('Calculations'!$JJ$2="All",1,IF(AND('Calculations'!HF343='Calculations'!$JJ$2,'Calculations'!HL343=0),1,0)),0))</x:f>
        <x:v>0</x:v>
      </x:c>
    </x:row>
    <x:row r="344">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t="n">
        <x:f>IF('Calculations'!$EM344="",0,IF(OR(IFERROR(INDEX(INDIRECT("'WCM Calibration Final'!$A$1:$A$2000"),'Calculations'!$EM344)&lt;&gt;"",FALSE),IFERROR(INDEX(INDIRECT("'WCM Calibration Final'!$B$1:$B$2000"),'Calculations'!$EM344)&lt;&gt;"",FALSE),IFERROR(INDEX(INDIRECT("'WCM Calibration Final'!$C$1:$C$2000"),'Calculations'!$EM344)&lt;&gt;"",FALSE)),1,0))</x:f>
        <x:v>0</x:v>
      </x:c>
      <x:c r="BN344" s="4" t="n">
        <x:f>IF(AND('Calculations'!BM344=1,'Calculations'!$AG$2,'Calculations'!$EN344=1),1,0)</x:f>
        <x:v>0</x:v>
      </x:c>
      <x:c r="BO344" s="4" t="str">
        <x:f>IF('Calculations'!BM344=0,"",IFERROR(IF(AND(VALUE(INDEX(INDIRECT("'WCM Calibration Final'!$K$1:$K$2000"),'Calculations'!$EM344))&gt;=1,VALUE(INDEX(INDIRECT("'WCM Calibration Final'!$K$1:$K$2000"),'Calculations'!$EM344))&lt;=4,MOD(VALUE(INDEX(INDIRECT("'WCM Calibration Final'!$K$1:$K$2000"),'Calculations'!$EM344)),1)=0),VALUE(INDEX(INDIRECT("'WCM Calibration Final'!$K$1:$K$2000"),'Calculations'!$EM344)),""),""))</x:f>
      </x:c>
      <x:c r="BP344" s="4" t="str">
        <x:f>IF('Calculations'!BM344=0,"",IFERROR(IF(AND(VALUE(INDEX(INDIRECT("'WCM Calibration Final'!$L$1:$L$2000"),'Calculations'!$EM344))&gt;=1,VALUE(INDEX(INDIRECT("'WCM Calibration Final'!$L$1:$L$2000"),'Calculations'!$EM344))&lt;=4,MOD(VALUE(INDEX(INDIRECT("'WCM Calibration Final'!$L$1:$L$2000"),'Calculations'!$EM344)),1)=0),VALUE(INDEX(INDIRECT("'WCM Calibration Final'!$L$1:$L$2000"),'Calculations'!$EM344)),""),""))</x:f>
      </x:c>
      <x:c r="BQ344" s="4"/>
      <x:c r="BR344" s="4"/>
      <x:c r="BS344" s="4"/>
      <x:c r="BT344" s="4" t="n">
        <x:f>IF(AND('Calculations'!BM344=1,ISNUMBER('Calculations'!BO344),ISNUMBER('Calculations'!BP344)),1,0)</x:f>
        <x:v>0</x:v>
      </x:c>
      <x:c r="BU344" s="4" t="str">
        <x:f>IF('Calculations'!BM344=0,"",'Calculations'!$EO344)</x:f>
      </x:c>
      <x:c r="BV344" s="4" t="str">
        <x:f>IF('Calculations'!BM344=0,"",IFERROR(IF(OR(INDEX(INDIRECT("'WCM Calibration Final'!$H$1:$H$2000"),'Calculations'!$EM344)="MANAGING DIRECTOR",INDEX(INDIRECT("'WCM Calibration Final'!$H$1:$H$2000"),'Calculations'!$EM344)="DIRECTOR",INDEX(INDIRECT("'WCM Calibration Final'!$H$1:$H$2000"),'Calculations'!$EM344)="SENIOR VICE PRESIDENT",INDEX(INDIRECT("'WCM Calibration Final'!$H$1:$H$2000"),'Calculations'!$EM344)="VICE PRESIDENT",INDEX(INDIRECT("'WCM Calibration Final'!$H$1:$H$2000"),'Calculations'!$EM344)="ASSISTANT VICE PRESIDENT",INDEX(INDIRECT("'WCM Calibration Final'!$H$1:$H$2000"),'Calculations'!$EM344)="OFFICER"),UPPER(INDEX(INDIRECT("'WCM Calibration Final'!$H$1:$H$2000"),'Calculations'!$EM344)),"Other"),"Other"))</x:f>
      </x:c>
      <x:c r="BW344" s="4"/>
      <x:c r="BX344" s="4"/>
      <x:c r="BY344" s="4" t="n">
        <x:f>IF(AND('Calculations'!BM344=1,'Calculations'!BU344&lt;&gt;"",COUNTIF('Calculations'!$BU$12:BU344,'Calculations'!BU344)=1),MAX('Calculations'!$BY$11:BY343)+1,0)</x:f>
        <x:v>0</x:v>
      </x:c>
      <x:c r="BZ344" s="4" t="str">
        <x:f>IF('Dashboard'!$E$67="What",'Calculations'!BO344,'Calculations'!BP344)</x:f>
      </x:c>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t="str">
        <x:f>IF(333&gt;MAX('Calculations'!$HI$13:$HI$512),"",INDEX('Calculations'!$HN$13:$HN$512,MATCH(333,'Calculations'!$HI$13:$HI$512,0)))</x:f>
      </x:c>
      <x:c r="DB344" s="4" t="str">
        <x:f>IF(333&gt;MAX('Calculations'!$HH$13:$HH$512),"",INDEX('Calculations'!$HJ$13:$HJ$512,MATCH(333,'Calculations'!$HH$13:$HH$512,0)))</x:f>
      </x:c>
      <x:c r="DC344" s="4" t="str">
        <x:f>IF(ROW()-11&gt;MAX('Calculations'!$BY$13:$BY$512),"",INDEX('Calculations'!$BU$13:$BU$512,MATCH(ROW()-11,'Calculations'!$BY$13:$BY$512,0)))</x:f>
      </x:c>
      <x:c r="DD344" s="4" t="str">
        <x:f>IF(333&gt;MAX('Calculations'!$IK$13:$IK$512),"",INDEX('Calculations'!$HK$13:$HK$512,MATCH(333,'Calculations'!$IK$13:$IK$512,0)))</x:f>
      </x:c>
      <x:c r="DE344" s="4" t="str">
        <x:f>'Calculations'!DC344</x:f>
      </x:c>
      <x:c r="DF344" s="4" t="str">
        <x:f>IF('Calculations'!DE344="","",COUNTIFS('Calculations'!$BN$13:$BN$512,1,'Calculations'!$BU$13:$BU$512,'Calculations'!DE344))</x:f>
      </x:c>
      <x:c r="DG344" s="4" t="str">
        <x:f>IF('Calculations'!DE344="","",COUNTIFS('Calculations'!$BN$13:$BN$512,1,'Calculations'!$BU$13:$BU$512,'Calculations'!DE344,'Calculations'!$BT$13:$BT$512,1))</x:f>
      </x:c>
      <x:c r="DH344" s="4" t="str">
        <x:f>IF('Calculations'!DE344="","",'Calculations'!DF344-'Calculations'!DG344)</x:f>
      </x:c>
      <x:c r="DI344" s="4" t="str">
        <x:f>IF(OR('Calculations'!DE344="",'Calculations'!DF344=0),"",'Calculations'!DG344/'Calculations'!DF344)</x:f>
      </x:c>
      <x:c r="DJ344" s="4" t="str">
        <x:f>IF('Calculations'!DE344="","",COUNTIFS('Calculations'!$BN$13:$BN$512,1,'Calculations'!$BU$13:$BU$512,'Calculations'!DE344,'Calculations'!$BT$13:$BT$512,1,'Calculations'!$EE$13:$EE$512,"High"))</x:f>
      </x:c>
      <x:c r="DK344" s="4" t="str">
        <x:f>IF('Calculations'!DE344="","",COUNTIFS('Calculations'!$BN$13:$BN$512,1,'Calculations'!$BU$13:$BU$512,'Calculations'!DE344,'Calculations'!$BT$13:$BT$512,1,'Calculations'!$EE$13:$EE$512,"Strong"))</x:f>
      </x:c>
      <x:c r="DL344" s="4" t="str">
        <x:f>IF('Calculations'!DE344="","",COUNTIFS('Calculations'!$BN$13:$BN$512,1,'Calculations'!$BU$13:$BU$512,'Calculations'!DE344,'Calculations'!$BT$13:$BT$512,1,'Calculations'!$EE$13:$EE$512,"Solid"))</x:f>
      </x:c>
      <x:c r="DM344" s="4" t="str">
        <x:f>IF('Calculations'!DE344="","",COUNTIFS('Calculations'!$BN$13:$BN$512,1,'Calculations'!$BU$13:$BU$512,'Calculations'!DE344,'Calculations'!$BT$13:$BT$512,1,'Calculations'!$EE$13:$EE$512,"Low"))</x:f>
      </x:c>
      <x:c r="DN344" s="4" t="str">
        <x:f>IF('Calculations'!DE344="","",COUNTIFS('Calculations'!$BN$13:$BN$512,1,'Calculations'!$BU$13:$BU$512,'Calculations'!DE344,'Calculations'!$EP$13:$EP$512,1))</x:f>
      </x:c>
      <x:c r="DO344" s="4" t="str">
        <x:f>IF(OR('Calculations'!DE344="",'Calculations'!DG344=0),"",('Calculations'!DJ344+'Calculations'!DK344)/'Calculations'!DG344)</x:f>
      </x:c>
      <x:c r="DP344" s="4" t="n">
        <x:f>IF(AND('Calculations'!DE344&lt;&gt;"",'Calculations'!DF344&gt;0),COUNTIF('Calculations'!$DF$12:DF344,"&gt;0"),0)</x:f>
        <x:v>0</x:v>
      </x:c>
      <x:c r="DQ344" s="4" t="str">
        <x:f>IF(333&gt;MAX('Calculations'!$HH$13:$HH$512),"",INDEX('Calculations'!$HF$13:$HF$512,MATCH(333,'Calculations'!$HH$13:$HH$512,0)))</x:f>
      </x:c>
      <x:c r="DR344" s="4" t="str">
        <x:f>IF(333&gt;MAX('Calculations'!$IK$13:$IK$512),"",INDEX('Calculations'!$HE$13:$HE$512,MATCH(333,'Calculations'!$IK$13:$IK$512,0)))</x:f>
      </x:c>
      <x:c r="DS344" s="4"/>
      <x:c r="DT344" s="4"/>
      <x:c r="DU344" s="4"/>
      <x:c r="DV344" s="4"/>
      <x:c r="DW344" s="4"/>
      <x:c r="DX344" s="4"/>
      <x:c r="DY344" s="4"/>
      <x:c r="DZ344" s="4"/>
      <x:c r="EA344" s="4"/>
      <x:c r="EB344" s="4"/>
      <x:c r="EC344" s="4"/>
      <x:c r="ED344" s="4"/>
      <x:c r="EE344" s="4" t="str">
        <x:f>IF('Calculations'!BT344=0,"Not Rated",IF(OR('Calculations'!BO344&gt;=4,'Calculations'!BP344&gt;=4),"Low",IF('Calculations'!BO344+'Calculations'!BP344&lt;=3,"High",IF('Calculations'!BO344+'Calculations'!BP344&lt;=4,"Strong","Solid"))))</x:f>
        <x:v>Not Rated</x:v>
      </x:c>
      <x:c r="EF344" s="4"/>
      <x:c r="EG344" s="4"/>
      <x:c r="EH344" s="4"/>
      <x:c r="EI344" s="4"/>
      <x:c r="EJ344" s="4"/>
      <x:c r="EK344" s="4"/>
      <x:c r="EL344" s="4"/>
      <x:c r="EM344" s="4" t="str">
        <x:f>IF(332&gt;'Calculations'!$JB$2000,"",INDEX('Calculations'!$JA$12:$JA$2000,MATCH(332,'Calculations'!$JB$12:$JB$2000,0)))</x:f>
      </x:c>
      <x:c r="EN344" s="4" t="n">
        <x:f>IF(OR('Calculations'!EM344="",'Calculations'!$AG$8&gt;0,AND('Calculations'!$EF$2&lt;&gt;"All",'Calculations'!HE344='Calculations'!$EF$2),AND('Calculations'!$EF$3&lt;&gt;"All",'Calculations'!HE344='Calculations'!$EF$3)),0,IF(OR('Dashboard'!$B$7="All",'Calculations'!HN344='Dashboard'!$B$7),IF('Calculations'!$EF$2="All",1,IF('Calculations'!HL344&gt;0,0,IF(COUNTIF('Calculations'!HO344:II344,"="&amp;SUBSTITUTE(SUBSTITUTE(SUBSTITUTE('Calculations'!$EF$2,"~","~~"),"*","~*"),"?","~?"))=0,0,IF('Calculations'!$EF$3="All",1,IF(COUNTIF('Calculations'!HO344:II344,"="&amp;SUBSTITUTE(SUBSTITUTE(SUBSTITUTE('Calculations'!$EF$3,"~","~~"),"*","~*"),"?","~?"))&gt;0,1,0))))),0))</x:f>
        <x:v>0</x:v>
      </x:c>
      <x:c r="EO344" s="4" t="str">
        <x:f>IF('Calculations'!IJ344="","",IF('Calculations'!IJ344="!UNRESOLVED","Unresolved hierarchy",IFERROR(INDEX('Calculations'!$HK$13:$HK$512,MATCH('Calculations'!IJ344,'Calculations'!$HE$13:$HE$512,0)),IFERROR(INDEX('Calculations'!$HJ$13:$HJ$512,MATCH('Calculations'!IJ344,'Calculations'!$HF$13:$HF$512,0)),'Calculations'!IJ344))))</x:f>
      </x:c>
      <x:c r="EP344" s="4" t="n">
        <x:f>IF(AND('Calculations'!EM344&lt;&gt;"",'Calculations'!HF344='Calculations'!IJ344),1,0)</x:f>
        <x:v>0</x:v>
      </x:c>
      <x:c r="EQ344" s="4"/>
      <x:c r="ER344" s="4"/>
      <x:c r="ES344" s="4"/>
      <x:c r="ET344" s="4"/>
      <x:c r="EU344" s="4"/>
      <x:c r="EV344" s="4"/>
      <x:c r="EW344" s="4"/>
      <x:c r="EX344" s="4"/>
      <x:c r="EY344" s="4"/>
      <x:c r="EZ344" s="4"/>
      <x:c r="FA344" s="4"/>
      <x:c r="FB344" s="4"/>
      <x:c r="FC344" s="4"/>
      <x:c r="FD344" s="4"/>
      <x:c r="FE344" s="4"/>
      <x:c r="FF344" s="4"/>
      <x:c r="FG344" s="4"/>
      <x:c r="FH344" s="4"/>
      <x:c r="FI344" s="4"/>
      <x:c r="FJ344" s="4"/>
      <x:c r="FK344" s="4"/>
      <x:c r="FL344" s="4"/>
      <x:c r="FM344" s="4"/>
      <x:c r="FN344" s="4"/>
      <x:c r="FO344" s="4"/>
      <x:c r="HE344" t="str">
        <x:f>IF('Calculations'!EM344="","",IF(IFERROR(IF(INDEX(INDIRECT("'WCM Calibration Final'!$A$1:$A$2000"),'Calculations'!$EM344)="","",TRIM(INDEX(INDIRECT("'WCM Calibration Final'!$A$1:$A$2000"),'Calculations'!$EM344)&amp;"")),"")&lt;&gt;"","G:"&amp;IFERROR(TEXT(1*INDEX(INDIRECT("'WCM Calibration Final'!$A$1:$A$2000"),'Calculations'!$EM344),"0"),UPPER(IFERROR(IF(INDEX(INDIRECT("'WCM Calibration Final'!$A$1:$A$2000"),'Calculations'!$EM344)="","",TRIM(INDEX(INDIRECT("'WCM Calibration Final'!$A$1:$A$2000"),'Calculations'!$EM344)&amp;"")),""))),IF(IFERROR(IF(INDEX(INDIRECT("'WCM Calibration Final'!$C$1:$C$2000"),'Calculations'!$EM344)="","",TRIM(INDEX(INDIRECT("'WCM Calibration Final'!$C$1:$C$2000"),'Calculations'!$EM344)&amp;"")),"")&lt;&gt;"","S:"&amp;UPPER(IFERROR(IF(INDEX(INDIRECT("'WCM Calibration Final'!$C$1:$C$2000"),'Calculations'!$EM344)="","",TRIM(INDEX(INDIRECT("'WCM Calibration Final'!$C$1:$C$2000"),'Calculations'!$EM344)&amp;"")),"")),"R:"&amp;'Calculations'!EM344)))</x:f>
      </x:c>
      <x:c r="HF344" t="str">
        <x:f>IF('Calculations'!EM344="","",IF(IFERROR(IF(INDEX(INDIRECT("'WCM Calibration Final'!$D$1:$D$2000"),'Calculations'!$EM344)="","",TRIM(INDEX(INDIRECT("'WCM Calibration Final'!$D$1:$D$2000"),'Calculations'!$EM344)&amp;"")),"")&lt;&gt;"","G:"&amp;IFERROR(TEXT(1*INDEX(INDIRECT("'WCM Calibration Final'!$D$1:$D$2000"),'Calculations'!$EM344),"0"),UPPER(IFERROR(IF(INDEX(INDIRECT("'WCM Calibration Final'!$D$1:$D$2000"),'Calculations'!$EM344)="","",TRIM(INDEX(INDIRECT("'WCM Calibration Final'!$D$1:$D$2000"),'Calculations'!$EM344)&amp;"")),""))),IF(IFERROR(IF(INDEX(INDIRECT("'WCM Calibration Final'!$E$1:$E$2000"),'Calculations'!$EM344)="","",TRIM(INDEX(INDIRECT("'WCM Calibration Final'!$E$1:$E$2000"),'Calculations'!$EM344)&amp;"")),"")="","",IF(COUNTIF('Calculations'!$HG$13:$HG$512,"="&amp;SUBSTITUTE(SUBSTITUTE(SUBSTITUTE(IFERROR(IF(INDEX(INDIRECT("'WCM Calibration Final'!$E$1:$E$2000"),'Calculations'!$EM344)="","",TRIM(INDEX(INDIRECT("'WCM Calibration Final'!$E$1:$E$2000"),'Calculations'!$EM344)&amp;"")),""),"~","~~"),"*","~*"),"?","~?"))=1,INDEX('Calculations'!$HE$13:$HE$512,MATCH(IFERROR(IF(INDEX(INDIRECT("'WCM Calibration Final'!$E$1:$E$2000"),'Calculations'!$EM344)="","",TRIM(INDEX(INDIRECT("'WCM Calibration Final'!$E$1:$E$2000"),'Calculations'!$EM344)&amp;"")),""),'Calculations'!$HG$13:$HG$512,0)),IF(COUNTIF('Calculations'!$HG$13:$HG$512,"="&amp;SUBSTITUTE(SUBSTITUTE(SUBSTITUTE(IFERROR(IF(INDEX(INDIRECT("'WCM Calibration Final'!$E$1:$E$2000"),'Calculations'!$EM344)="","",TRIM(INDEX(INDIRECT("'WCM Calibration Final'!$E$1:$E$2000"),'Calculations'!$EM344)&amp;"")),""),"~","~~"),"*","~*"),"?","~?"))&gt;1,"!AMBIG","X:"&amp;IFERROR(IF(INDEX(INDIRECT("'WCM Calibration Final'!$E$1:$E$2000"),'Calculations'!$EM344)="","",TRIM(INDEX(INDIRECT("'WCM Calibration Final'!$E$1:$E$2000"),'Calculations'!$EM344)&amp;"")),""))))))</x:f>
      </x:c>
      <x:c r="HG344" t="str">
        <x:f>IF('Calculations'!EM344="","",IFERROR(IF(INDEX(INDIRECT("'WCM Calibration Final'!$B$1:$B$2000"),'Calculations'!$EM344)="","",TRIM(INDEX(INDIRECT("'WCM Calibration Final'!$B$1:$B$2000"),'Calculations'!$EM344)&amp;"")),""))</x:f>
      </x:c>
      <x:c r="HH344" t="n">
        <x:f>IF(AND('Calculations'!JC344&gt;0,COUNTIF('Calculations'!$HF$12:HF344,"="&amp;SUBSTITUTE(SUBSTITUTE(SUBSTITUTE('Calculations'!HF344,"~","~~"),"*","~*"),"?","~?"))=1),MAX('Calculations'!$HH$12:HH343)+1,0)</x:f>
        <x:v>0</x:v>
      </x:c>
      <x:c r="HI344" t="n">
        <x:f>IF(AND('Calculations'!HN344&lt;&gt;"",COUNTIF('Calculations'!$HN$12:HN344,"="&amp;SUBSTITUTE(SUBSTITUTE(SUBSTITUTE('Calculations'!HN344,"~","~~"),"*","~*"),"?","~?"))=1),MAX('Calculations'!$HI$12:HI343)+1,0)</x:f>
        <x:v>0</x:v>
      </x:c>
      <x:c r="HJ344" t="str">
        <x:f>IF('Calculations'!HF344="","",IF(COUNTIF('Calculations'!$HE$13:$HE$512,"="&amp;SUBSTITUTE(SUBSTITUTE(SUBSTITUTE('Calculations'!HF344,"~","~~"),"*","~*"),"?","~?"))=1,INDEX('Calculations'!$HK$13:$HK$512,MATCH('Calculations'!HF344,'Calculations'!$HE$13:$HE$512,0)),IFERROR(IF(INDEX(INDIRECT("'WCM Calibration Final'!$E$1:$E$2000"),'Calculations'!$EM344)="","",TRIM(INDEX(INDIRECT("'WCM Calibration Final'!$E$1:$E$2000"),'Calculations'!$EM344)&amp;"")),"")&amp;" ["&amp;'Calculations'!HF344&amp;"]"))</x:f>
      </x:c>
      <x:c r="HK344" t="str">
        <x:f>IF('Calculations'!EM344="","",'Calculations'!HG344&amp;" ["&amp;'Calculations'!HE344&amp;"]")</x:f>
      </x:c>
      <x:c r="HL344" t="n">
        <x:f>IF('Calculations'!EM344="",0,IF(OR('Calculations'!II344&lt;&gt;"",COUNTIF('Calculations'!$HE$13:$HE$512,"="&amp;SUBSTITUTE(SUBSTITUTE(SUBSTITUTE('Calculations'!HE344,"~","~~"),"*","~*"),"?","~?"))&gt;1),1,0))</x:f>
        <x:v>0</x:v>
      </x:c>
      <x:c r="HM344" t="str">
        <x:f>IF('Calculations'!EM344="","",IF('Calculations'!HL344=1,"!UNRESOLVED",IF('Calculations'!IH344&lt;&gt;"",'Calculations'!IH344,IF('Calculations'!IG344&lt;&gt;"",'Calculations'!IG344,IF('Calculations'!IF344&lt;&gt;"",'Calculations'!IF344,IF('Calculations'!IE344&lt;&gt;"",'Calculations'!IE344,IF('Calculations'!ID344&lt;&gt;"",'Calculations'!ID344,IF('Calculations'!IC344&lt;&gt;"",'Calculations'!IC344,IF('Calculations'!IB344&lt;&gt;"",'Calculations'!IB344,IF('Calculations'!IA344&lt;&gt;"",'Calculations'!IA344,IF('Calculations'!HZ344&lt;&gt;"",'Calculations'!HZ344,IF('Calculations'!HY344&lt;&gt;"",'Calculations'!HY344,IF('Calculations'!HX344&lt;&gt;"",'Calculations'!HX344,IF('Calculations'!HW344&lt;&gt;"",'Calculations'!HW344,IF('Calculations'!HV344&lt;&gt;"",'Calculations'!HV344,IF('Calculations'!HU344&lt;&gt;"",'Calculations'!HU344,IF('Calculations'!HT344&lt;&gt;"",'Calculations'!HT344,IF('Calculations'!HS344&lt;&gt;"",'Calculations'!HS344,IF('Calculations'!HR344&lt;&gt;"",'Calculations'!HR344,IF('Calculations'!HQ344&lt;&gt;"",'Calculations'!HQ344,IF('Calculations'!HP344&lt;&gt;"",'Calculations'!HP344,IF('Calculations'!HO344&lt;&gt;"",'Calculations'!HO344,'Calculations'!HE344))))))))))))))))))))))</x:f>
      </x:c>
      <x:c r="HN344" t="str">
        <x:f>IF('Calculations'!EM344="","",IF(IFERROR(IF(INDEX(INDIRECT("'WCM Calibration Final'!$F$1:$F$2000"),'Calculations'!$EM344)="","",TRIM(INDEX(INDIRECT("'WCM Calibration Final'!$F$1:$F$2000"),'Calculations'!$EM344)&amp;"")),"")="","(Blank)",IFERROR(IF(INDEX(INDIRECT("'WCM Calibration Final'!$F$1:$F$2000"),'Calculations'!$EM344)="","",TRIM(INDEX(INDIRECT("'WCM Calibration Final'!$F$1:$F$2000"),'Calculations'!$EM344)&amp;"")),"")))</x:f>
      </x:c>
      <x:c r="HO344" t="str">
        <x:f>'Calculations'!HF344</x:f>
      </x:c>
      <x:c r="HP344" t="str">
        <x:f>IF('Calculations'!HO344="","",IF('Calculations'!HO344="!AMBIG","!AMBIG",IF(COUNTIF('Calculations'!$HE$13:$HE$512,"="&amp;SUBSTITUTE(SUBSTITUTE(SUBSTITUTE('Calculations'!HO344,"~","~~"),"*","~*"),"?","~?"))&gt;1,"!AMBIG",IFERROR(INDEX('Calculations'!$HF$13:$HF$512,MATCH('Calculations'!HO344,'Calculations'!$HE$13:$HE$512,0)),""))))</x:f>
      </x:c>
      <x:c r="HQ344" t="str">
        <x:f>IF('Calculations'!HP344="","",IF('Calculations'!HP344="!AMBIG","!AMBIG",IF(COUNTIF('Calculations'!$HE$13:$HE$512,"="&amp;SUBSTITUTE(SUBSTITUTE(SUBSTITUTE('Calculations'!HP344,"~","~~"),"*","~*"),"?","~?"))&gt;1,"!AMBIG",IFERROR(INDEX('Calculations'!$HF$13:$HF$512,MATCH('Calculations'!HP344,'Calculations'!$HE$13:$HE$512,0)),""))))</x:f>
      </x:c>
      <x:c r="HR344" t="str">
        <x:f>IF('Calculations'!HQ344="","",IF('Calculations'!HQ344="!AMBIG","!AMBIG",IF(COUNTIF('Calculations'!$HE$13:$HE$512,"="&amp;SUBSTITUTE(SUBSTITUTE(SUBSTITUTE('Calculations'!HQ344,"~","~~"),"*","~*"),"?","~?"))&gt;1,"!AMBIG",IFERROR(INDEX('Calculations'!$HF$13:$HF$512,MATCH('Calculations'!HQ344,'Calculations'!$HE$13:$HE$512,0)),""))))</x:f>
      </x:c>
      <x:c r="HS344" t="str">
        <x:f>IF('Calculations'!HR344="","",IF('Calculations'!HR344="!AMBIG","!AMBIG",IF(COUNTIF('Calculations'!$HE$13:$HE$512,"="&amp;SUBSTITUTE(SUBSTITUTE(SUBSTITUTE('Calculations'!HR344,"~","~~"),"*","~*"),"?","~?"))&gt;1,"!AMBIG",IFERROR(INDEX('Calculations'!$HF$13:$HF$512,MATCH('Calculations'!HR344,'Calculations'!$HE$13:$HE$512,0)),""))))</x:f>
      </x:c>
      <x:c r="HT344" t="str">
        <x:f>IF('Calculations'!HS344="","",IF('Calculations'!HS344="!AMBIG","!AMBIG",IF(COUNTIF('Calculations'!$HE$13:$HE$512,"="&amp;SUBSTITUTE(SUBSTITUTE(SUBSTITUTE('Calculations'!HS344,"~","~~"),"*","~*"),"?","~?"))&gt;1,"!AMBIG",IFERROR(INDEX('Calculations'!$HF$13:$HF$512,MATCH('Calculations'!HS344,'Calculations'!$HE$13:$HE$512,0)),""))))</x:f>
      </x:c>
      <x:c r="HU344" t="str">
        <x:f>IF('Calculations'!HT344="","",IF('Calculations'!HT344="!AMBIG","!AMBIG",IF(COUNTIF('Calculations'!$HE$13:$HE$512,"="&amp;SUBSTITUTE(SUBSTITUTE(SUBSTITUTE('Calculations'!HT344,"~","~~"),"*","~*"),"?","~?"))&gt;1,"!AMBIG",IFERROR(INDEX('Calculations'!$HF$13:$HF$512,MATCH('Calculations'!HT344,'Calculations'!$HE$13:$HE$512,0)),""))))</x:f>
      </x:c>
      <x:c r="HV344" t="str">
        <x:f>IF('Calculations'!HU344="","",IF('Calculations'!HU344="!AMBIG","!AMBIG",IF(COUNTIF('Calculations'!$HE$13:$HE$512,"="&amp;SUBSTITUTE(SUBSTITUTE(SUBSTITUTE('Calculations'!HU344,"~","~~"),"*","~*"),"?","~?"))&gt;1,"!AMBIG",IFERROR(INDEX('Calculations'!$HF$13:$HF$512,MATCH('Calculations'!HU344,'Calculations'!$HE$13:$HE$512,0)),""))))</x:f>
      </x:c>
      <x:c r="HW344" t="str">
        <x:f>IF('Calculations'!HV344="","",IF('Calculations'!HV344="!AMBIG","!AMBIG",IF(COUNTIF('Calculations'!$HE$13:$HE$512,"="&amp;SUBSTITUTE(SUBSTITUTE(SUBSTITUTE('Calculations'!HV344,"~","~~"),"*","~*"),"?","~?"))&gt;1,"!AMBIG",IFERROR(INDEX('Calculations'!$HF$13:$HF$512,MATCH('Calculations'!HV344,'Calculations'!$HE$13:$HE$512,0)),""))))</x:f>
      </x:c>
      <x:c r="HX344" t="str">
        <x:f>IF('Calculations'!HW344="","",IF('Calculations'!HW344="!AMBIG","!AMBIG",IF(COUNTIF('Calculations'!$HE$13:$HE$512,"="&amp;SUBSTITUTE(SUBSTITUTE(SUBSTITUTE('Calculations'!HW344,"~","~~"),"*","~*"),"?","~?"))&gt;1,"!AMBIG",IFERROR(INDEX('Calculations'!$HF$13:$HF$512,MATCH('Calculations'!HW344,'Calculations'!$HE$13:$HE$512,0)),""))))</x:f>
      </x:c>
      <x:c r="HY344" t="str">
        <x:f>IF('Calculations'!HX344="","",IF('Calculations'!HX344="!AMBIG","!AMBIG",IF(COUNTIF('Calculations'!$HE$13:$HE$512,"="&amp;SUBSTITUTE(SUBSTITUTE(SUBSTITUTE('Calculations'!HX344,"~","~~"),"*","~*"),"?","~?"))&gt;1,"!AMBIG",IFERROR(INDEX('Calculations'!$HF$13:$HF$512,MATCH('Calculations'!HX344,'Calculations'!$HE$13:$HE$512,0)),""))))</x:f>
      </x:c>
      <x:c r="HZ344" t="str">
        <x:f>IF('Calculations'!HY344="","",IF('Calculations'!HY344="!AMBIG","!AMBIG",IF(COUNTIF('Calculations'!$HE$13:$HE$512,"="&amp;SUBSTITUTE(SUBSTITUTE(SUBSTITUTE('Calculations'!HY344,"~","~~"),"*","~*"),"?","~?"))&gt;1,"!AMBIG",IFERROR(INDEX('Calculations'!$HF$13:$HF$512,MATCH('Calculations'!HY344,'Calculations'!$HE$13:$HE$512,0)),""))))</x:f>
      </x:c>
      <x:c r="IA344" t="str">
        <x:f>IF('Calculations'!HZ344="","",IF('Calculations'!HZ344="!AMBIG","!AMBIG",IF(COUNTIF('Calculations'!$HE$13:$HE$512,"="&amp;SUBSTITUTE(SUBSTITUTE(SUBSTITUTE('Calculations'!HZ344,"~","~~"),"*","~*"),"?","~?"))&gt;1,"!AMBIG",IFERROR(INDEX('Calculations'!$HF$13:$HF$512,MATCH('Calculations'!HZ344,'Calculations'!$HE$13:$HE$512,0)),""))))</x:f>
      </x:c>
      <x:c r="IB344" t="str">
        <x:f>IF('Calculations'!IA344="","",IF('Calculations'!IA344="!AMBIG","!AMBIG",IF(COUNTIF('Calculations'!$HE$13:$HE$512,"="&amp;SUBSTITUTE(SUBSTITUTE(SUBSTITUTE('Calculations'!IA344,"~","~~"),"*","~*"),"?","~?"))&gt;1,"!AMBIG",IFERROR(INDEX('Calculations'!$HF$13:$HF$512,MATCH('Calculations'!IA344,'Calculations'!$HE$13:$HE$512,0)),""))))</x:f>
      </x:c>
      <x:c r="IC344" t="str">
        <x:f>IF('Calculations'!IB344="","",IF('Calculations'!IB344="!AMBIG","!AMBIG",IF(COUNTIF('Calculations'!$HE$13:$HE$512,"="&amp;SUBSTITUTE(SUBSTITUTE(SUBSTITUTE('Calculations'!IB344,"~","~~"),"*","~*"),"?","~?"))&gt;1,"!AMBIG",IFERROR(INDEX('Calculations'!$HF$13:$HF$512,MATCH('Calculations'!IB344,'Calculations'!$HE$13:$HE$512,0)),""))))</x:f>
      </x:c>
      <x:c r="ID344" t="str">
        <x:f>IF('Calculations'!IC344="","",IF('Calculations'!IC344="!AMBIG","!AMBIG",IF(COUNTIF('Calculations'!$HE$13:$HE$512,"="&amp;SUBSTITUTE(SUBSTITUTE(SUBSTITUTE('Calculations'!IC344,"~","~~"),"*","~*"),"?","~?"))&gt;1,"!AMBIG",IFERROR(INDEX('Calculations'!$HF$13:$HF$512,MATCH('Calculations'!IC344,'Calculations'!$HE$13:$HE$512,0)),""))))</x:f>
      </x:c>
      <x:c r="IE344" t="str">
        <x:f>IF('Calculations'!ID344="","",IF('Calculations'!ID344="!AMBIG","!AMBIG",IF(COUNTIF('Calculations'!$HE$13:$HE$512,"="&amp;SUBSTITUTE(SUBSTITUTE(SUBSTITUTE('Calculations'!ID344,"~","~~"),"*","~*"),"?","~?"))&gt;1,"!AMBIG",IFERROR(INDEX('Calculations'!$HF$13:$HF$512,MATCH('Calculations'!ID344,'Calculations'!$HE$13:$HE$512,0)),""))))</x:f>
      </x:c>
      <x:c r="IF344" t="str">
        <x:f>IF('Calculations'!IE344="","",IF('Calculations'!IE344="!AMBIG","!AMBIG",IF(COUNTIF('Calculations'!$HE$13:$HE$512,"="&amp;SUBSTITUTE(SUBSTITUTE(SUBSTITUTE('Calculations'!IE344,"~","~~"),"*","~*"),"?","~?"))&gt;1,"!AMBIG",IFERROR(INDEX('Calculations'!$HF$13:$HF$512,MATCH('Calculations'!IE344,'Calculations'!$HE$13:$HE$512,0)),""))))</x:f>
      </x:c>
      <x:c r="IG344" t="str">
        <x:f>IF('Calculations'!IF344="","",IF('Calculations'!IF344="!AMBIG","!AMBIG",IF(COUNTIF('Calculations'!$HE$13:$HE$512,"="&amp;SUBSTITUTE(SUBSTITUTE(SUBSTITUTE('Calculations'!IF344,"~","~~"),"*","~*"),"?","~?"))&gt;1,"!AMBIG",IFERROR(INDEX('Calculations'!$HF$13:$HF$512,MATCH('Calculations'!IF344,'Calculations'!$HE$13:$HE$512,0)),""))))</x:f>
      </x:c>
      <x:c r="IH344" t="str">
        <x:f>IF('Calculations'!IG344="","",IF('Calculations'!IG344="!AMBIG","!AMBIG",IF(COUNTIF('Calculations'!$HE$13:$HE$512,"="&amp;SUBSTITUTE(SUBSTITUTE(SUBSTITUTE('Calculations'!IG344,"~","~~"),"*","~*"),"?","~?"))&gt;1,"!AMBIG",IFERROR(INDEX('Calculations'!$HF$13:$HF$512,MATCH('Calculations'!IG344,'Calculations'!$HE$13:$HE$512,0)),""))))</x:f>
      </x:c>
      <x:c r="II344" t="str">
        <x:f>IF('Calculations'!IH344="","",IF('Calculations'!IH344="!AMBIG","!AMBIG",IF(COUNTIF('Calculations'!$HE$13:$HE$512,"="&amp;SUBSTITUTE(SUBSTITUTE(SUBSTITUTE('Calculations'!IH344,"~","~~"),"*","~*"),"?","~?"))&gt;1,"!AMBIG",IFERROR(INDEX('Calculations'!$HF$13:$HF$512,MATCH('Calculations'!IH344,'Calculations'!$HE$13:$HE$512,0)),""))))</x:f>
      </x:c>
      <x:c r="IJ344" t="str">
        <x:f>IF('Calculations'!EM344="","",IF('Calculations'!$EF$2="All",'Calculations'!HM344,IF('Calculations'!HL344=1,"",IFERROR(IF(MATCH('Calculations'!$EF$2,'Calculations'!HO344:II344,0)=1,'Calculations'!HE344,INDEX('Calculations'!HO344:II344,1,MATCH('Calculations'!$EF$2,'Calculations'!HO344:II344,0)-1)),""))))</x:f>
      </x:c>
      <x:c r="IK344" t="n">
        <x:f>IF(AND('Calculations'!EM344&lt;&gt;"",'Calculations'!$EF$2&lt;&gt;"All",'Calculations'!HF344='Calculations'!$EF$2,'Calculations'!HL344=0,'Calculations'!JD344&gt;0),MAX('Calculations'!$IK$12:IK343)+1,0)</x:f>
        <x:v>0</x:v>
      </x:c>
      <x:c r="JA344" t="n">
        <x:f>IF(OR(IFERROR(INDIRECT("'WCM Calibration Final'!$A$344")&lt;&gt;"",FALSE),IFERROR(INDIRECT("'WCM Calibration Final'!$B$344")&lt;&gt;"",FALSE),IFERROR(INDIRECT("'WCM Calibration Final'!$C$344")&lt;&gt;"",FALSE)),344,0)</x:f>
        <x:v>0</x:v>
      </x:c>
      <x:c r="JB344" t="n">
        <x:f>'Calculations'!JB343+IF('Calculations'!JA344&gt;0,1,0)</x:f>
        <x:v>0</x:v>
      </x:c>
      <x:c r="JC344" t="n">
        <x:f>IF(OR('Calculations'!HF344="",'Calculations'!HF344="!AMBIG"),0,IF('Dashboard'!$B$7="All",1,COUNTIFS('Calculations'!$HO$13:$HO$512,"="&amp;SUBSTITUTE(SUBSTITUTE(SUBSTITUTE('Calculations'!HF344,"~","~~"),"*","~*"),"?","~?"),'Calculations'!$HN$13:$HN$512,"="&amp;SUBSTITUTE(SUBSTITUTE(SUBSTITUTE('Dashboard'!$B$7,"~","~~"),"*","~*"),"?","~?"))+COUNTIFS('Calculations'!$HP$13:$HP$512,"="&amp;SUBSTITUTE(SUBSTITUTE(SUBSTITUTE('Calculations'!HF344,"~","~~"),"*","~*"),"?","~?"),'Calculations'!$HN$13:$HN$512,"="&amp;SUBSTITUTE(SUBSTITUTE(SUBSTITUTE('Dashboard'!$B$7,"~","~~"),"*","~*"),"?","~?"))+COUNTIFS('Calculations'!$HQ$13:$HQ$512,"="&amp;SUBSTITUTE(SUBSTITUTE(SUBSTITUTE('Calculations'!HF344,"~","~~"),"*","~*"),"?","~?"),'Calculations'!$HN$13:$HN$512,"="&amp;SUBSTITUTE(SUBSTITUTE(SUBSTITUTE('Dashboard'!$B$7,"~","~~"),"*","~*"),"?","~?"))+COUNTIFS('Calculations'!$HR$13:$HR$512,"="&amp;SUBSTITUTE(SUBSTITUTE(SUBSTITUTE('Calculations'!HF344,"~","~~"),"*","~*"),"?","~?"),'Calculations'!$HN$13:$HN$512,"="&amp;SUBSTITUTE(SUBSTITUTE(SUBSTITUTE('Dashboard'!$B$7,"~","~~"),"*","~*"),"?","~?"))+COUNTIFS('Calculations'!$HS$13:$HS$512,"="&amp;SUBSTITUTE(SUBSTITUTE(SUBSTITUTE('Calculations'!HF344,"~","~~"),"*","~*"),"?","~?"),'Calculations'!$HN$13:$HN$512,"="&amp;SUBSTITUTE(SUBSTITUTE(SUBSTITUTE('Dashboard'!$B$7,"~","~~"),"*","~*"),"?","~?"))+COUNTIFS('Calculations'!$HT$13:$HT$512,"="&amp;SUBSTITUTE(SUBSTITUTE(SUBSTITUTE('Calculations'!HF344,"~","~~"),"*","~*"),"?","~?"),'Calculations'!$HN$13:$HN$512,"="&amp;SUBSTITUTE(SUBSTITUTE(SUBSTITUTE('Dashboard'!$B$7,"~","~~"),"*","~*"),"?","~?"))+COUNTIFS('Calculations'!$HU$13:$HU$512,"="&amp;SUBSTITUTE(SUBSTITUTE(SUBSTITUTE('Calculations'!HF344,"~","~~"),"*","~*"),"?","~?"),'Calculations'!$HN$13:$HN$512,"="&amp;SUBSTITUTE(SUBSTITUTE(SUBSTITUTE('Dashboard'!$B$7,"~","~~"),"*","~*"),"?","~?"))+COUNTIFS('Calculations'!$HV$13:$HV$512,"="&amp;SUBSTITUTE(SUBSTITUTE(SUBSTITUTE('Calculations'!HF344,"~","~~"),"*","~*"),"?","~?"),'Calculations'!$HN$13:$HN$512,"="&amp;SUBSTITUTE(SUBSTITUTE(SUBSTITUTE('Dashboard'!$B$7,"~","~~"),"*","~*"),"?","~?"))+COUNTIFS('Calculations'!$HW$13:$HW$512,"="&amp;SUBSTITUTE(SUBSTITUTE(SUBSTITUTE('Calculations'!HF344,"~","~~"),"*","~*"),"?","~?"),'Calculations'!$HN$13:$HN$512,"="&amp;SUBSTITUTE(SUBSTITUTE(SUBSTITUTE('Dashboard'!$B$7,"~","~~"),"*","~*"),"?","~?"))+COUNTIFS('Calculations'!$HX$13:$HX$512,"="&amp;SUBSTITUTE(SUBSTITUTE(SUBSTITUTE('Calculations'!HF344,"~","~~"),"*","~*"),"?","~?"),'Calculations'!$HN$13:$HN$512,"="&amp;SUBSTITUTE(SUBSTITUTE(SUBSTITUTE('Dashboard'!$B$7,"~","~~"),"*","~*"),"?","~?"))+COUNTIFS('Calculations'!$HY$13:$HY$512,"="&amp;SUBSTITUTE(SUBSTITUTE(SUBSTITUTE('Calculations'!HF344,"~","~~"),"*","~*"),"?","~?"),'Calculations'!$HN$13:$HN$512,"="&amp;SUBSTITUTE(SUBSTITUTE(SUBSTITUTE('Dashboard'!$B$7,"~","~~"),"*","~*"),"?","~?"))+COUNTIFS('Calculations'!$HZ$13:$HZ$512,"="&amp;SUBSTITUTE(SUBSTITUTE(SUBSTITUTE('Calculations'!HF344,"~","~~"),"*","~*"),"?","~?"),'Calculations'!$HN$13:$HN$512,"="&amp;SUBSTITUTE(SUBSTITUTE(SUBSTITUTE('Dashboard'!$B$7,"~","~~"),"*","~*"),"?","~?"))+COUNTIFS('Calculations'!$IA$13:$IA$512,"="&amp;SUBSTITUTE(SUBSTITUTE(SUBSTITUTE('Calculations'!HF344,"~","~~"),"*","~*"),"?","~?"),'Calculations'!$HN$13:$HN$512,"="&amp;SUBSTITUTE(SUBSTITUTE(SUBSTITUTE('Dashboard'!$B$7,"~","~~"),"*","~*"),"?","~?"))+COUNTIFS('Calculations'!$IB$13:$IB$512,"="&amp;SUBSTITUTE(SUBSTITUTE(SUBSTITUTE('Calculations'!HF344,"~","~~"),"*","~*"),"?","~?"),'Calculations'!$HN$13:$HN$512,"="&amp;SUBSTITUTE(SUBSTITUTE(SUBSTITUTE('Dashboard'!$B$7,"~","~~"),"*","~*"),"?","~?"))+COUNTIFS('Calculations'!$IC$13:$IC$512,"="&amp;SUBSTITUTE(SUBSTITUTE(SUBSTITUTE('Calculations'!HF344,"~","~~"),"*","~*"),"?","~?"),'Calculations'!$HN$13:$HN$512,"="&amp;SUBSTITUTE(SUBSTITUTE(SUBSTITUTE('Dashboard'!$B$7,"~","~~"),"*","~*"),"?","~?"))+COUNTIFS('Calculations'!$ID$13:$ID$512,"="&amp;SUBSTITUTE(SUBSTITUTE(SUBSTITUTE('Calculations'!HF344,"~","~~"),"*","~*"),"?","~?"),'Calculations'!$HN$13:$HN$512,"="&amp;SUBSTITUTE(SUBSTITUTE(SUBSTITUTE('Dashboard'!$B$7,"~","~~"),"*","~*"),"?","~?"))+COUNTIFS('Calculations'!$IE$13:$IE$512,"="&amp;SUBSTITUTE(SUBSTITUTE(SUBSTITUTE('Calculations'!HF344,"~","~~"),"*","~*"),"?","~?"),'Calculations'!$HN$13:$HN$512,"="&amp;SUBSTITUTE(SUBSTITUTE(SUBSTITUTE('Dashboard'!$B$7,"~","~~"),"*","~*"),"?","~?"))+COUNTIFS('Calculations'!$IF$13:$IF$512,"="&amp;SUBSTITUTE(SUBSTITUTE(SUBSTITUTE('Calculations'!HF344,"~","~~"),"*","~*"),"?","~?"),'Calculations'!$HN$13:$HN$512,"="&amp;SUBSTITUTE(SUBSTITUTE(SUBSTITUTE('Dashboard'!$B$7,"~","~~"),"*","~*"),"?","~?"))+COUNTIFS('Calculations'!$IG$13:$IG$512,"="&amp;SUBSTITUTE(SUBSTITUTE(SUBSTITUTE('Calculations'!HF344,"~","~~"),"*","~*"),"?","~?"),'Calculations'!$HN$13:$HN$512,"="&amp;SUBSTITUTE(SUBSTITUTE(SUBSTITUTE('Dashboard'!$B$7,"~","~~"),"*","~*"),"?","~?"))+COUNTIFS('Calculations'!$IH$13:$IH$512,"="&amp;SUBSTITUTE(SUBSTITUTE(SUBSTITUTE('Calculations'!HF344,"~","~~"),"*","~*"),"?","~?"),'Calculations'!$HN$13:$HN$512,"="&amp;SUBSTITUTE(SUBSTITUTE(SUBSTITUTE('Dashboard'!$B$7,"~","~~"),"*","~*"),"?","~?"))))</x:f>
        <x:v>0</x:v>
      </x:c>
      <x:c r="JD344" t="n">
        <x:f>IF('Calculations'!EM344="",0,IF('Dashboard'!$B$7="All",1,IF('Calculations'!HN344='Dashboard'!$B$7,1,0)+IFERROR(INDEX('Calculations'!$JC$13:$JC$512,MATCH('Calculations'!HE344,'Calculations'!$HF$13:$HF$512,0)),0)))</x:f>
        <x:v>0</x:v>
      </x:c>
      <x:c r="JE344" t="n">
        <x:f>IF(AND('Calculations'!EM344&lt;&gt;"",'Calculations'!$JJ$2&lt;&gt;"All",'Calculations'!$JJ$2&lt;&gt;"",'Calculations'!HF344='Calculations'!$JJ$2,'Calculations'!HL344=0,'Calculations'!JD344&gt;0),MAX('Calculations'!$JE$12:JE343)+1,0)</x:f>
        <x:v>0</x:v>
      </x:c>
      <x:c r="JF344" t="str">
        <x:f>IF('Calculations'!EM344="","",IFERROR(IF(INDEX(INDIRECT("'WCM Calibration Final'!$G$1:$G$2000"),'Calculations'!$EM344)="","",TRIM(INDEX(INDIRECT("'WCM Calibration Final'!$G$1:$G$2000"),'Calculations'!$EM344)&amp;"")),""))</x:f>
      </x:c>
      <x:c r="JQ344" t="n">
        <x:f>IF(OR('Calculations'!BM344=0,NOT('Calculations'!$AG$2),'Calculations'!$AG$8&gt;0),0,IF(OR('Dashboard'!$B$7="All",'Calculations'!HN344='Dashboard'!$B$7),IF('Calculations'!$JJ$2="All",1,IF(AND('Calculations'!HF344='Calculations'!$JJ$2,'Calculations'!HL344=0),1,0)),0))</x:f>
        <x:v>0</x:v>
      </x:c>
    </x:row>
    <x:row r="345">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t="n">
        <x:f>IF('Calculations'!$EM345="",0,IF(OR(IFERROR(INDEX(INDIRECT("'WCM Calibration Final'!$A$1:$A$2000"),'Calculations'!$EM345)&lt;&gt;"",FALSE),IFERROR(INDEX(INDIRECT("'WCM Calibration Final'!$B$1:$B$2000"),'Calculations'!$EM345)&lt;&gt;"",FALSE),IFERROR(INDEX(INDIRECT("'WCM Calibration Final'!$C$1:$C$2000"),'Calculations'!$EM345)&lt;&gt;"",FALSE)),1,0))</x:f>
        <x:v>0</x:v>
      </x:c>
      <x:c r="BN345" s="4" t="n">
        <x:f>IF(AND('Calculations'!BM345=1,'Calculations'!$AG$2,'Calculations'!$EN345=1),1,0)</x:f>
        <x:v>0</x:v>
      </x:c>
      <x:c r="BO345" s="4" t="str">
        <x:f>IF('Calculations'!BM345=0,"",IFERROR(IF(AND(VALUE(INDEX(INDIRECT("'WCM Calibration Final'!$K$1:$K$2000"),'Calculations'!$EM345))&gt;=1,VALUE(INDEX(INDIRECT("'WCM Calibration Final'!$K$1:$K$2000"),'Calculations'!$EM345))&lt;=4,MOD(VALUE(INDEX(INDIRECT("'WCM Calibration Final'!$K$1:$K$2000"),'Calculations'!$EM345)),1)=0),VALUE(INDEX(INDIRECT("'WCM Calibration Final'!$K$1:$K$2000"),'Calculations'!$EM345)),""),""))</x:f>
      </x:c>
      <x:c r="BP345" s="4" t="str">
        <x:f>IF('Calculations'!BM345=0,"",IFERROR(IF(AND(VALUE(INDEX(INDIRECT("'WCM Calibration Final'!$L$1:$L$2000"),'Calculations'!$EM345))&gt;=1,VALUE(INDEX(INDIRECT("'WCM Calibration Final'!$L$1:$L$2000"),'Calculations'!$EM345))&lt;=4,MOD(VALUE(INDEX(INDIRECT("'WCM Calibration Final'!$L$1:$L$2000"),'Calculations'!$EM345)),1)=0),VALUE(INDEX(INDIRECT("'WCM Calibration Final'!$L$1:$L$2000"),'Calculations'!$EM345)),""),""))</x:f>
      </x:c>
      <x:c r="BQ345" s="4"/>
      <x:c r="BR345" s="4"/>
      <x:c r="BS345" s="4"/>
      <x:c r="BT345" s="4" t="n">
        <x:f>IF(AND('Calculations'!BM345=1,ISNUMBER('Calculations'!BO345),ISNUMBER('Calculations'!BP345)),1,0)</x:f>
        <x:v>0</x:v>
      </x:c>
      <x:c r="BU345" s="4" t="str">
        <x:f>IF('Calculations'!BM345=0,"",'Calculations'!$EO345)</x:f>
      </x:c>
      <x:c r="BV345" s="4" t="str">
        <x:f>IF('Calculations'!BM345=0,"",IFERROR(IF(OR(INDEX(INDIRECT("'WCM Calibration Final'!$H$1:$H$2000"),'Calculations'!$EM345)="MANAGING DIRECTOR",INDEX(INDIRECT("'WCM Calibration Final'!$H$1:$H$2000"),'Calculations'!$EM345)="DIRECTOR",INDEX(INDIRECT("'WCM Calibration Final'!$H$1:$H$2000"),'Calculations'!$EM345)="SENIOR VICE PRESIDENT",INDEX(INDIRECT("'WCM Calibration Final'!$H$1:$H$2000"),'Calculations'!$EM345)="VICE PRESIDENT",INDEX(INDIRECT("'WCM Calibration Final'!$H$1:$H$2000"),'Calculations'!$EM345)="ASSISTANT VICE PRESIDENT",INDEX(INDIRECT("'WCM Calibration Final'!$H$1:$H$2000"),'Calculations'!$EM345)="OFFICER"),UPPER(INDEX(INDIRECT("'WCM Calibration Final'!$H$1:$H$2000"),'Calculations'!$EM345)),"Other"),"Other"))</x:f>
      </x:c>
      <x:c r="BW345" s="4"/>
      <x:c r="BX345" s="4"/>
      <x:c r="BY345" s="4" t="n">
        <x:f>IF(AND('Calculations'!BM345=1,'Calculations'!BU345&lt;&gt;"",COUNTIF('Calculations'!$BU$12:BU345,'Calculations'!BU345)=1),MAX('Calculations'!$BY$11:BY344)+1,0)</x:f>
        <x:v>0</x:v>
      </x:c>
      <x:c r="BZ345" s="4" t="str">
        <x:f>IF('Dashboard'!$E$67="What",'Calculations'!BO345,'Calculations'!BP345)</x:f>
      </x:c>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t="str">
        <x:f>IF(334&gt;MAX('Calculations'!$HI$13:$HI$512),"",INDEX('Calculations'!$HN$13:$HN$512,MATCH(334,'Calculations'!$HI$13:$HI$512,0)))</x:f>
      </x:c>
      <x:c r="DB345" s="4" t="str">
        <x:f>IF(334&gt;MAX('Calculations'!$HH$13:$HH$512),"",INDEX('Calculations'!$HJ$13:$HJ$512,MATCH(334,'Calculations'!$HH$13:$HH$512,0)))</x:f>
      </x:c>
      <x:c r="DC345" s="4" t="str">
        <x:f>IF(ROW()-11&gt;MAX('Calculations'!$BY$13:$BY$512),"",INDEX('Calculations'!$BU$13:$BU$512,MATCH(ROW()-11,'Calculations'!$BY$13:$BY$512,0)))</x:f>
      </x:c>
      <x:c r="DD345" s="4" t="str">
        <x:f>IF(334&gt;MAX('Calculations'!$IK$13:$IK$512),"",INDEX('Calculations'!$HK$13:$HK$512,MATCH(334,'Calculations'!$IK$13:$IK$512,0)))</x:f>
      </x:c>
      <x:c r="DE345" s="4" t="str">
        <x:f>'Calculations'!DC345</x:f>
      </x:c>
      <x:c r="DF345" s="4" t="str">
        <x:f>IF('Calculations'!DE345="","",COUNTIFS('Calculations'!$BN$13:$BN$512,1,'Calculations'!$BU$13:$BU$512,'Calculations'!DE345))</x:f>
      </x:c>
      <x:c r="DG345" s="4" t="str">
        <x:f>IF('Calculations'!DE345="","",COUNTIFS('Calculations'!$BN$13:$BN$512,1,'Calculations'!$BU$13:$BU$512,'Calculations'!DE345,'Calculations'!$BT$13:$BT$512,1))</x:f>
      </x:c>
      <x:c r="DH345" s="4" t="str">
        <x:f>IF('Calculations'!DE345="","",'Calculations'!DF345-'Calculations'!DG345)</x:f>
      </x:c>
      <x:c r="DI345" s="4" t="str">
        <x:f>IF(OR('Calculations'!DE345="",'Calculations'!DF345=0),"",'Calculations'!DG345/'Calculations'!DF345)</x:f>
      </x:c>
      <x:c r="DJ345" s="4" t="str">
        <x:f>IF('Calculations'!DE345="","",COUNTIFS('Calculations'!$BN$13:$BN$512,1,'Calculations'!$BU$13:$BU$512,'Calculations'!DE345,'Calculations'!$BT$13:$BT$512,1,'Calculations'!$EE$13:$EE$512,"High"))</x:f>
      </x:c>
      <x:c r="DK345" s="4" t="str">
        <x:f>IF('Calculations'!DE345="","",COUNTIFS('Calculations'!$BN$13:$BN$512,1,'Calculations'!$BU$13:$BU$512,'Calculations'!DE345,'Calculations'!$BT$13:$BT$512,1,'Calculations'!$EE$13:$EE$512,"Strong"))</x:f>
      </x:c>
      <x:c r="DL345" s="4" t="str">
        <x:f>IF('Calculations'!DE345="","",COUNTIFS('Calculations'!$BN$13:$BN$512,1,'Calculations'!$BU$13:$BU$512,'Calculations'!DE345,'Calculations'!$BT$13:$BT$512,1,'Calculations'!$EE$13:$EE$512,"Solid"))</x:f>
      </x:c>
      <x:c r="DM345" s="4" t="str">
        <x:f>IF('Calculations'!DE345="","",COUNTIFS('Calculations'!$BN$13:$BN$512,1,'Calculations'!$BU$13:$BU$512,'Calculations'!DE345,'Calculations'!$BT$13:$BT$512,1,'Calculations'!$EE$13:$EE$512,"Low"))</x:f>
      </x:c>
      <x:c r="DN345" s="4" t="str">
        <x:f>IF('Calculations'!DE345="","",COUNTIFS('Calculations'!$BN$13:$BN$512,1,'Calculations'!$BU$13:$BU$512,'Calculations'!DE345,'Calculations'!$EP$13:$EP$512,1))</x:f>
      </x:c>
      <x:c r="DO345" s="4" t="str">
        <x:f>IF(OR('Calculations'!DE345="",'Calculations'!DG345=0),"",('Calculations'!DJ345+'Calculations'!DK345)/'Calculations'!DG345)</x:f>
      </x:c>
      <x:c r="DP345" s="4" t="n">
        <x:f>IF(AND('Calculations'!DE345&lt;&gt;"",'Calculations'!DF345&gt;0),COUNTIF('Calculations'!$DF$12:DF345,"&gt;0"),0)</x:f>
        <x:v>0</x:v>
      </x:c>
      <x:c r="DQ345" s="4" t="str">
        <x:f>IF(334&gt;MAX('Calculations'!$HH$13:$HH$512),"",INDEX('Calculations'!$HF$13:$HF$512,MATCH(334,'Calculations'!$HH$13:$HH$512,0)))</x:f>
      </x:c>
      <x:c r="DR345" s="4" t="str">
        <x:f>IF(334&gt;MAX('Calculations'!$IK$13:$IK$512),"",INDEX('Calculations'!$HE$13:$HE$512,MATCH(334,'Calculations'!$IK$13:$IK$512,0)))</x:f>
      </x:c>
      <x:c r="DS345" s="4"/>
      <x:c r="DT345" s="4"/>
      <x:c r="DU345" s="4"/>
      <x:c r="DV345" s="4"/>
      <x:c r="DW345" s="4"/>
      <x:c r="DX345" s="4"/>
      <x:c r="DY345" s="4"/>
      <x:c r="DZ345" s="4"/>
      <x:c r="EA345" s="4"/>
      <x:c r="EB345" s="4"/>
      <x:c r="EC345" s="4"/>
      <x:c r="ED345" s="4"/>
      <x:c r="EE345" s="4" t="str">
        <x:f>IF('Calculations'!BT345=0,"Not Rated",IF(OR('Calculations'!BO345&gt;=4,'Calculations'!BP345&gt;=4),"Low",IF('Calculations'!BO345+'Calculations'!BP345&lt;=3,"High",IF('Calculations'!BO345+'Calculations'!BP345&lt;=4,"Strong","Solid"))))</x:f>
        <x:v>Not Rated</x:v>
      </x:c>
      <x:c r="EF345" s="4"/>
      <x:c r="EG345" s="4"/>
      <x:c r="EH345" s="4"/>
      <x:c r="EI345" s="4"/>
      <x:c r="EJ345" s="4"/>
      <x:c r="EK345" s="4"/>
      <x:c r="EL345" s="4"/>
      <x:c r="EM345" s="4" t="str">
        <x:f>IF(333&gt;'Calculations'!$JB$2000,"",INDEX('Calculations'!$JA$12:$JA$2000,MATCH(333,'Calculations'!$JB$12:$JB$2000,0)))</x:f>
      </x:c>
      <x:c r="EN345" s="4" t="n">
        <x:f>IF(OR('Calculations'!EM345="",'Calculations'!$AG$8&gt;0,AND('Calculations'!$EF$2&lt;&gt;"All",'Calculations'!HE345='Calculations'!$EF$2),AND('Calculations'!$EF$3&lt;&gt;"All",'Calculations'!HE345='Calculations'!$EF$3)),0,IF(OR('Dashboard'!$B$7="All",'Calculations'!HN345='Dashboard'!$B$7),IF('Calculations'!$EF$2="All",1,IF('Calculations'!HL345&gt;0,0,IF(COUNTIF('Calculations'!HO345:II345,"="&amp;SUBSTITUTE(SUBSTITUTE(SUBSTITUTE('Calculations'!$EF$2,"~","~~"),"*","~*"),"?","~?"))=0,0,IF('Calculations'!$EF$3="All",1,IF(COUNTIF('Calculations'!HO345:II345,"="&amp;SUBSTITUTE(SUBSTITUTE(SUBSTITUTE('Calculations'!$EF$3,"~","~~"),"*","~*"),"?","~?"))&gt;0,1,0))))),0))</x:f>
        <x:v>0</x:v>
      </x:c>
      <x:c r="EO345" s="4" t="str">
        <x:f>IF('Calculations'!IJ345="","",IF('Calculations'!IJ345="!UNRESOLVED","Unresolved hierarchy",IFERROR(INDEX('Calculations'!$HK$13:$HK$512,MATCH('Calculations'!IJ345,'Calculations'!$HE$13:$HE$512,0)),IFERROR(INDEX('Calculations'!$HJ$13:$HJ$512,MATCH('Calculations'!IJ345,'Calculations'!$HF$13:$HF$512,0)),'Calculations'!IJ345))))</x:f>
      </x:c>
      <x:c r="EP345" s="4" t="n">
        <x:f>IF(AND('Calculations'!EM345&lt;&gt;"",'Calculations'!HF345='Calculations'!IJ345),1,0)</x:f>
        <x:v>0</x:v>
      </x:c>
      <x:c r="EQ345" s="4"/>
      <x:c r="ER345" s="4"/>
      <x:c r="ES345" s="4"/>
      <x:c r="ET345" s="4"/>
      <x:c r="EU345" s="4"/>
      <x:c r="EV345" s="4"/>
      <x:c r="EW345" s="4"/>
      <x:c r="EX345" s="4"/>
      <x:c r="EY345" s="4"/>
      <x:c r="EZ345" s="4"/>
      <x:c r="FA345" s="4"/>
      <x:c r="FB345" s="4"/>
      <x:c r="FC345" s="4"/>
      <x:c r="FD345" s="4"/>
      <x:c r="FE345" s="4"/>
      <x:c r="FF345" s="4"/>
      <x:c r="FG345" s="4"/>
      <x:c r="FH345" s="4"/>
      <x:c r="FI345" s="4"/>
      <x:c r="FJ345" s="4"/>
      <x:c r="FK345" s="4"/>
      <x:c r="FL345" s="4"/>
      <x:c r="FM345" s="4"/>
      <x:c r="FN345" s="4"/>
      <x:c r="FO345" s="4"/>
      <x:c r="HE345" t="str">
        <x:f>IF('Calculations'!EM345="","",IF(IFERROR(IF(INDEX(INDIRECT("'WCM Calibration Final'!$A$1:$A$2000"),'Calculations'!$EM345)="","",TRIM(INDEX(INDIRECT("'WCM Calibration Final'!$A$1:$A$2000"),'Calculations'!$EM345)&amp;"")),"")&lt;&gt;"","G:"&amp;IFERROR(TEXT(1*INDEX(INDIRECT("'WCM Calibration Final'!$A$1:$A$2000"),'Calculations'!$EM345),"0"),UPPER(IFERROR(IF(INDEX(INDIRECT("'WCM Calibration Final'!$A$1:$A$2000"),'Calculations'!$EM345)="","",TRIM(INDEX(INDIRECT("'WCM Calibration Final'!$A$1:$A$2000"),'Calculations'!$EM345)&amp;"")),""))),IF(IFERROR(IF(INDEX(INDIRECT("'WCM Calibration Final'!$C$1:$C$2000"),'Calculations'!$EM345)="","",TRIM(INDEX(INDIRECT("'WCM Calibration Final'!$C$1:$C$2000"),'Calculations'!$EM345)&amp;"")),"")&lt;&gt;"","S:"&amp;UPPER(IFERROR(IF(INDEX(INDIRECT("'WCM Calibration Final'!$C$1:$C$2000"),'Calculations'!$EM345)="","",TRIM(INDEX(INDIRECT("'WCM Calibration Final'!$C$1:$C$2000"),'Calculations'!$EM345)&amp;"")),"")),"R:"&amp;'Calculations'!EM345)))</x:f>
      </x:c>
      <x:c r="HF345" t="str">
        <x:f>IF('Calculations'!EM345="","",IF(IFERROR(IF(INDEX(INDIRECT("'WCM Calibration Final'!$D$1:$D$2000"),'Calculations'!$EM345)="","",TRIM(INDEX(INDIRECT("'WCM Calibration Final'!$D$1:$D$2000"),'Calculations'!$EM345)&amp;"")),"")&lt;&gt;"","G:"&amp;IFERROR(TEXT(1*INDEX(INDIRECT("'WCM Calibration Final'!$D$1:$D$2000"),'Calculations'!$EM345),"0"),UPPER(IFERROR(IF(INDEX(INDIRECT("'WCM Calibration Final'!$D$1:$D$2000"),'Calculations'!$EM345)="","",TRIM(INDEX(INDIRECT("'WCM Calibration Final'!$D$1:$D$2000"),'Calculations'!$EM345)&amp;"")),""))),IF(IFERROR(IF(INDEX(INDIRECT("'WCM Calibration Final'!$E$1:$E$2000"),'Calculations'!$EM345)="","",TRIM(INDEX(INDIRECT("'WCM Calibration Final'!$E$1:$E$2000"),'Calculations'!$EM345)&amp;"")),"")="","",IF(COUNTIF('Calculations'!$HG$13:$HG$512,"="&amp;SUBSTITUTE(SUBSTITUTE(SUBSTITUTE(IFERROR(IF(INDEX(INDIRECT("'WCM Calibration Final'!$E$1:$E$2000"),'Calculations'!$EM345)="","",TRIM(INDEX(INDIRECT("'WCM Calibration Final'!$E$1:$E$2000"),'Calculations'!$EM345)&amp;"")),""),"~","~~"),"*","~*"),"?","~?"))=1,INDEX('Calculations'!$HE$13:$HE$512,MATCH(IFERROR(IF(INDEX(INDIRECT("'WCM Calibration Final'!$E$1:$E$2000"),'Calculations'!$EM345)="","",TRIM(INDEX(INDIRECT("'WCM Calibration Final'!$E$1:$E$2000"),'Calculations'!$EM345)&amp;"")),""),'Calculations'!$HG$13:$HG$512,0)),IF(COUNTIF('Calculations'!$HG$13:$HG$512,"="&amp;SUBSTITUTE(SUBSTITUTE(SUBSTITUTE(IFERROR(IF(INDEX(INDIRECT("'WCM Calibration Final'!$E$1:$E$2000"),'Calculations'!$EM345)="","",TRIM(INDEX(INDIRECT("'WCM Calibration Final'!$E$1:$E$2000"),'Calculations'!$EM345)&amp;"")),""),"~","~~"),"*","~*"),"?","~?"))&gt;1,"!AMBIG","X:"&amp;IFERROR(IF(INDEX(INDIRECT("'WCM Calibration Final'!$E$1:$E$2000"),'Calculations'!$EM345)="","",TRIM(INDEX(INDIRECT("'WCM Calibration Final'!$E$1:$E$2000"),'Calculations'!$EM345)&amp;"")),""))))))</x:f>
      </x:c>
      <x:c r="HG345" t="str">
        <x:f>IF('Calculations'!EM345="","",IFERROR(IF(INDEX(INDIRECT("'WCM Calibration Final'!$B$1:$B$2000"),'Calculations'!$EM345)="","",TRIM(INDEX(INDIRECT("'WCM Calibration Final'!$B$1:$B$2000"),'Calculations'!$EM345)&amp;"")),""))</x:f>
      </x:c>
      <x:c r="HH345" t="n">
        <x:f>IF(AND('Calculations'!JC345&gt;0,COUNTIF('Calculations'!$HF$12:HF345,"="&amp;SUBSTITUTE(SUBSTITUTE(SUBSTITUTE('Calculations'!HF345,"~","~~"),"*","~*"),"?","~?"))=1),MAX('Calculations'!$HH$12:HH344)+1,0)</x:f>
        <x:v>0</x:v>
      </x:c>
      <x:c r="HI345" t="n">
        <x:f>IF(AND('Calculations'!HN345&lt;&gt;"",COUNTIF('Calculations'!$HN$12:HN345,"="&amp;SUBSTITUTE(SUBSTITUTE(SUBSTITUTE('Calculations'!HN345,"~","~~"),"*","~*"),"?","~?"))=1),MAX('Calculations'!$HI$12:HI344)+1,0)</x:f>
        <x:v>0</x:v>
      </x:c>
      <x:c r="HJ345" t="str">
        <x:f>IF('Calculations'!HF345="","",IF(COUNTIF('Calculations'!$HE$13:$HE$512,"="&amp;SUBSTITUTE(SUBSTITUTE(SUBSTITUTE('Calculations'!HF345,"~","~~"),"*","~*"),"?","~?"))=1,INDEX('Calculations'!$HK$13:$HK$512,MATCH('Calculations'!HF345,'Calculations'!$HE$13:$HE$512,0)),IFERROR(IF(INDEX(INDIRECT("'WCM Calibration Final'!$E$1:$E$2000"),'Calculations'!$EM345)="","",TRIM(INDEX(INDIRECT("'WCM Calibration Final'!$E$1:$E$2000"),'Calculations'!$EM345)&amp;"")),"")&amp;" ["&amp;'Calculations'!HF345&amp;"]"))</x:f>
      </x:c>
      <x:c r="HK345" t="str">
        <x:f>IF('Calculations'!EM345="","",'Calculations'!HG345&amp;" ["&amp;'Calculations'!HE345&amp;"]")</x:f>
      </x:c>
      <x:c r="HL345" t="n">
        <x:f>IF('Calculations'!EM345="",0,IF(OR('Calculations'!II345&lt;&gt;"",COUNTIF('Calculations'!$HE$13:$HE$512,"="&amp;SUBSTITUTE(SUBSTITUTE(SUBSTITUTE('Calculations'!HE345,"~","~~"),"*","~*"),"?","~?"))&gt;1),1,0))</x:f>
        <x:v>0</x:v>
      </x:c>
      <x:c r="HM345" t="str">
        <x:f>IF('Calculations'!EM345="","",IF('Calculations'!HL345=1,"!UNRESOLVED",IF('Calculations'!IH345&lt;&gt;"",'Calculations'!IH345,IF('Calculations'!IG345&lt;&gt;"",'Calculations'!IG345,IF('Calculations'!IF345&lt;&gt;"",'Calculations'!IF345,IF('Calculations'!IE345&lt;&gt;"",'Calculations'!IE345,IF('Calculations'!ID345&lt;&gt;"",'Calculations'!ID345,IF('Calculations'!IC345&lt;&gt;"",'Calculations'!IC345,IF('Calculations'!IB345&lt;&gt;"",'Calculations'!IB345,IF('Calculations'!IA345&lt;&gt;"",'Calculations'!IA345,IF('Calculations'!HZ345&lt;&gt;"",'Calculations'!HZ345,IF('Calculations'!HY345&lt;&gt;"",'Calculations'!HY345,IF('Calculations'!HX345&lt;&gt;"",'Calculations'!HX345,IF('Calculations'!HW345&lt;&gt;"",'Calculations'!HW345,IF('Calculations'!HV345&lt;&gt;"",'Calculations'!HV345,IF('Calculations'!HU345&lt;&gt;"",'Calculations'!HU345,IF('Calculations'!HT345&lt;&gt;"",'Calculations'!HT345,IF('Calculations'!HS345&lt;&gt;"",'Calculations'!HS345,IF('Calculations'!HR345&lt;&gt;"",'Calculations'!HR345,IF('Calculations'!HQ345&lt;&gt;"",'Calculations'!HQ345,IF('Calculations'!HP345&lt;&gt;"",'Calculations'!HP345,IF('Calculations'!HO345&lt;&gt;"",'Calculations'!HO345,'Calculations'!HE345))))))))))))))))))))))</x:f>
      </x:c>
      <x:c r="HN345" t="str">
        <x:f>IF('Calculations'!EM345="","",IF(IFERROR(IF(INDEX(INDIRECT("'WCM Calibration Final'!$F$1:$F$2000"),'Calculations'!$EM345)="","",TRIM(INDEX(INDIRECT("'WCM Calibration Final'!$F$1:$F$2000"),'Calculations'!$EM345)&amp;"")),"")="","(Blank)",IFERROR(IF(INDEX(INDIRECT("'WCM Calibration Final'!$F$1:$F$2000"),'Calculations'!$EM345)="","",TRIM(INDEX(INDIRECT("'WCM Calibration Final'!$F$1:$F$2000"),'Calculations'!$EM345)&amp;"")),"")))</x:f>
      </x:c>
      <x:c r="HO345" t="str">
        <x:f>'Calculations'!HF345</x:f>
      </x:c>
      <x:c r="HP345" t="str">
        <x:f>IF('Calculations'!HO345="","",IF('Calculations'!HO345="!AMBIG","!AMBIG",IF(COUNTIF('Calculations'!$HE$13:$HE$512,"="&amp;SUBSTITUTE(SUBSTITUTE(SUBSTITUTE('Calculations'!HO345,"~","~~"),"*","~*"),"?","~?"))&gt;1,"!AMBIG",IFERROR(INDEX('Calculations'!$HF$13:$HF$512,MATCH('Calculations'!HO345,'Calculations'!$HE$13:$HE$512,0)),""))))</x:f>
      </x:c>
      <x:c r="HQ345" t="str">
        <x:f>IF('Calculations'!HP345="","",IF('Calculations'!HP345="!AMBIG","!AMBIG",IF(COUNTIF('Calculations'!$HE$13:$HE$512,"="&amp;SUBSTITUTE(SUBSTITUTE(SUBSTITUTE('Calculations'!HP345,"~","~~"),"*","~*"),"?","~?"))&gt;1,"!AMBIG",IFERROR(INDEX('Calculations'!$HF$13:$HF$512,MATCH('Calculations'!HP345,'Calculations'!$HE$13:$HE$512,0)),""))))</x:f>
      </x:c>
      <x:c r="HR345" t="str">
        <x:f>IF('Calculations'!HQ345="","",IF('Calculations'!HQ345="!AMBIG","!AMBIG",IF(COUNTIF('Calculations'!$HE$13:$HE$512,"="&amp;SUBSTITUTE(SUBSTITUTE(SUBSTITUTE('Calculations'!HQ345,"~","~~"),"*","~*"),"?","~?"))&gt;1,"!AMBIG",IFERROR(INDEX('Calculations'!$HF$13:$HF$512,MATCH('Calculations'!HQ345,'Calculations'!$HE$13:$HE$512,0)),""))))</x:f>
      </x:c>
      <x:c r="HS345" t="str">
        <x:f>IF('Calculations'!HR345="","",IF('Calculations'!HR345="!AMBIG","!AMBIG",IF(COUNTIF('Calculations'!$HE$13:$HE$512,"="&amp;SUBSTITUTE(SUBSTITUTE(SUBSTITUTE('Calculations'!HR345,"~","~~"),"*","~*"),"?","~?"))&gt;1,"!AMBIG",IFERROR(INDEX('Calculations'!$HF$13:$HF$512,MATCH('Calculations'!HR345,'Calculations'!$HE$13:$HE$512,0)),""))))</x:f>
      </x:c>
      <x:c r="HT345" t="str">
        <x:f>IF('Calculations'!HS345="","",IF('Calculations'!HS345="!AMBIG","!AMBIG",IF(COUNTIF('Calculations'!$HE$13:$HE$512,"="&amp;SUBSTITUTE(SUBSTITUTE(SUBSTITUTE('Calculations'!HS345,"~","~~"),"*","~*"),"?","~?"))&gt;1,"!AMBIG",IFERROR(INDEX('Calculations'!$HF$13:$HF$512,MATCH('Calculations'!HS345,'Calculations'!$HE$13:$HE$512,0)),""))))</x:f>
      </x:c>
      <x:c r="HU345" t="str">
        <x:f>IF('Calculations'!HT345="","",IF('Calculations'!HT345="!AMBIG","!AMBIG",IF(COUNTIF('Calculations'!$HE$13:$HE$512,"="&amp;SUBSTITUTE(SUBSTITUTE(SUBSTITUTE('Calculations'!HT345,"~","~~"),"*","~*"),"?","~?"))&gt;1,"!AMBIG",IFERROR(INDEX('Calculations'!$HF$13:$HF$512,MATCH('Calculations'!HT345,'Calculations'!$HE$13:$HE$512,0)),""))))</x:f>
      </x:c>
      <x:c r="HV345" t="str">
        <x:f>IF('Calculations'!HU345="","",IF('Calculations'!HU345="!AMBIG","!AMBIG",IF(COUNTIF('Calculations'!$HE$13:$HE$512,"="&amp;SUBSTITUTE(SUBSTITUTE(SUBSTITUTE('Calculations'!HU345,"~","~~"),"*","~*"),"?","~?"))&gt;1,"!AMBIG",IFERROR(INDEX('Calculations'!$HF$13:$HF$512,MATCH('Calculations'!HU345,'Calculations'!$HE$13:$HE$512,0)),""))))</x:f>
      </x:c>
      <x:c r="HW345" t="str">
        <x:f>IF('Calculations'!HV345="","",IF('Calculations'!HV345="!AMBIG","!AMBIG",IF(COUNTIF('Calculations'!$HE$13:$HE$512,"="&amp;SUBSTITUTE(SUBSTITUTE(SUBSTITUTE('Calculations'!HV345,"~","~~"),"*","~*"),"?","~?"))&gt;1,"!AMBIG",IFERROR(INDEX('Calculations'!$HF$13:$HF$512,MATCH('Calculations'!HV345,'Calculations'!$HE$13:$HE$512,0)),""))))</x:f>
      </x:c>
      <x:c r="HX345" t="str">
        <x:f>IF('Calculations'!HW345="","",IF('Calculations'!HW345="!AMBIG","!AMBIG",IF(COUNTIF('Calculations'!$HE$13:$HE$512,"="&amp;SUBSTITUTE(SUBSTITUTE(SUBSTITUTE('Calculations'!HW345,"~","~~"),"*","~*"),"?","~?"))&gt;1,"!AMBIG",IFERROR(INDEX('Calculations'!$HF$13:$HF$512,MATCH('Calculations'!HW345,'Calculations'!$HE$13:$HE$512,0)),""))))</x:f>
      </x:c>
      <x:c r="HY345" t="str">
        <x:f>IF('Calculations'!HX345="","",IF('Calculations'!HX345="!AMBIG","!AMBIG",IF(COUNTIF('Calculations'!$HE$13:$HE$512,"="&amp;SUBSTITUTE(SUBSTITUTE(SUBSTITUTE('Calculations'!HX345,"~","~~"),"*","~*"),"?","~?"))&gt;1,"!AMBIG",IFERROR(INDEX('Calculations'!$HF$13:$HF$512,MATCH('Calculations'!HX345,'Calculations'!$HE$13:$HE$512,0)),""))))</x:f>
      </x:c>
      <x:c r="HZ345" t="str">
        <x:f>IF('Calculations'!HY345="","",IF('Calculations'!HY345="!AMBIG","!AMBIG",IF(COUNTIF('Calculations'!$HE$13:$HE$512,"="&amp;SUBSTITUTE(SUBSTITUTE(SUBSTITUTE('Calculations'!HY345,"~","~~"),"*","~*"),"?","~?"))&gt;1,"!AMBIG",IFERROR(INDEX('Calculations'!$HF$13:$HF$512,MATCH('Calculations'!HY345,'Calculations'!$HE$13:$HE$512,0)),""))))</x:f>
      </x:c>
      <x:c r="IA345" t="str">
        <x:f>IF('Calculations'!HZ345="","",IF('Calculations'!HZ345="!AMBIG","!AMBIG",IF(COUNTIF('Calculations'!$HE$13:$HE$512,"="&amp;SUBSTITUTE(SUBSTITUTE(SUBSTITUTE('Calculations'!HZ345,"~","~~"),"*","~*"),"?","~?"))&gt;1,"!AMBIG",IFERROR(INDEX('Calculations'!$HF$13:$HF$512,MATCH('Calculations'!HZ345,'Calculations'!$HE$13:$HE$512,0)),""))))</x:f>
      </x:c>
      <x:c r="IB345" t="str">
        <x:f>IF('Calculations'!IA345="","",IF('Calculations'!IA345="!AMBIG","!AMBIG",IF(COUNTIF('Calculations'!$HE$13:$HE$512,"="&amp;SUBSTITUTE(SUBSTITUTE(SUBSTITUTE('Calculations'!IA345,"~","~~"),"*","~*"),"?","~?"))&gt;1,"!AMBIG",IFERROR(INDEX('Calculations'!$HF$13:$HF$512,MATCH('Calculations'!IA345,'Calculations'!$HE$13:$HE$512,0)),""))))</x:f>
      </x:c>
      <x:c r="IC345" t="str">
        <x:f>IF('Calculations'!IB345="","",IF('Calculations'!IB345="!AMBIG","!AMBIG",IF(COUNTIF('Calculations'!$HE$13:$HE$512,"="&amp;SUBSTITUTE(SUBSTITUTE(SUBSTITUTE('Calculations'!IB345,"~","~~"),"*","~*"),"?","~?"))&gt;1,"!AMBIG",IFERROR(INDEX('Calculations'!$HF$13:$HF$512,MATCH('Calculations'!IB345,'Calculations'!$HE$13:$HE$512,0)),""))))</x:f>
      </x:c>
      <x:c r="ID345" t="str">
        <x:f>IF('Calculations'!IC345="","",IF('Calculations'!IC345="!AMBIG","!AMBIG",IF(COUNTIF('Calculations'!$HE$13:$HE$512,"="&amp;SUBSTITUTE(SUBSTITUTE(SUBSTITUTE('Calculations'!IC345,"~","~~"),"*","~*"),"?","~?"))&gt;1,"!AMBIG",IFERROR(INDEX('Calculations'!$HF$13:$HF$512,MATCH('Calculations'!IC345,'Calculations'!$HE$13:$HE$512,0)),""))))</x:f>
      </x:c>
      <x:c r="IE345" t="str">
        <x:f>IF('Calculations'!ID345="","",IF('Calculations'!ID345="!AMBIG","!AMBIG",IF(COUNTIF('Calculations'!$HE$13:$HE$512,"="&amp;SUBSTITUTE(SUBSTITUTE(SUBSTITUTE('Calculations'!ID345,"~","~~"),"*","~*"),"?","~?"))&gt;1,"!AMBIG",IFERROR(INDEX('Calculations'!$HF$13:$HF$512,MATCH('Calculations'!ID345,'Calculations'!$HE$13:$HE$512,0)),""))))</x:f>
      </x:c>
      <x:c r="IF345" t="str">
        <x:f>IF('Calculations'!IE345="","",IF('Calculations'!IE345="!AMBIG","!AMBIG",IF(COUNTIF('Calculations'!$HE$13:$HE$512,"="&amp;SUBSTITUTE(SUBSTITUTE(SUBSTITUTE('Calculations'!IE345,"~","~~"),"*","~*"),"?","~?"))&gt;1,"!AMBIG",IFERROR(INDEX('Calculations'!$HF$13:$HF$512,MATCH('Calculations'!IE345,'Calculations'!$HE$13:$HE$512,0)),""))))</x:f>
      </x:c>
      <x:c r="IG345" t="str">
        <x:f>IF('Calculations'!IF345="","",IF('Calculations'!IF345="!AMBIG","!AMBIG",IF(COUNTIF('Calculations'!$HE$13:$HE$512,"="&amp;SUBSTITUTE(SUBSTITUTE(SUBSTITUTE('Calculations'!IF345,"~","~~"),"*","~*"),"?","~?"))&gt;1,"!AMBIG",IFERROR(INDEX('Calculations'!$HF$13:$HF$512,MATCH('Calculations'!IF345,'Calculations'!$HE$13:$HE$512,0)),""))))</x:f>
      </x:c>
      <x:c r="IH345" t="str">
        <x:f>IF('Calculations'!IG345="","",IF('Calculations'!IG345="!AMBIG","!AMBIG",IF(COUNTIF('Calculations'!$HE$13:$HE$512,"="&amp;SUBSTITUTE(SUBSTITUTE(SUBSTITUTE('Calculations'!IG345,"~","~~"),"*","~*"),"?","~?"))&gt;1,"!AMBIG",IFERROR(INDEX('Calculations'!$HF$13:$HF$512,MATCH('Calculations'!IG345,'Calculations'!$HE$13:$HE$512,0)),""))))</x:f>
      </x:c>
      <x:c r="II345" t="str">
        <x:f>IF('Calculations'!IH345="","",IF('Calculations'!IH345="!AMBIG","!AMBIG",IF(COUNTIF('Calculations'!$HE$13:$HE$512,"="&amp;SUBSTITUTE(SUBSTITUTE(SUBSTITUTE('Calculations'!IH345,"~","~~"),"*","~*"),"?","~?"))&gt;1,"!AMBIG",IFERROR(INDEX('Calculations'!$HF$13:$HF$512,MATCH('Calculations'!IH345,'Calculations'!$HE$13:$HE$512,0)),""))))</x:f>
      </x:c>
      <x:c r="IJ345" t="str">
        <x:f>IF('Calculations'!EM345="","",IF('Calculations'!$EF$2="All",'Calculations'!HM345,IF('Calculations'!HL345=1,"",IFERROR(IF(MATCH('Calculations'!$EF$2,'Calculations'!HO345:II345,0)=1,'Calculations'!HE345,INDEX('Calculations'!HO345:II345,1,MATCH('Calculations'!$EF$2,'Calculations'!HO345:II345,0)-1)),""))))</x:f>
      </x:c>
      <x:c r="IK345" t="n">
        <x:f>IF(AND('Calculations'!EM345&lt;&gt;"",'Calculations'!$EF$2&lt;&gt;"All",'Calculations'!HF345='Calculations'!$EF$2,'Calculations'!HL345=0,'Calculations'!JD345&gt;0),MAX('Calculations'!$IK$12:IK344)+1,0)</x:f>
        <x:v>0</x:v>
      </x:c>
      <x:c r="JA345" t="n">
        <x:f>IF(OR(IFERROR(INDIRECT("'WCM Calibration Final'!$A$345")&lt;&gt;"",FALSE),IFERROR(INDIRECT("'WCM Calibration Final'!$B$345")&lt;&gt;"",FALSE),IFERROR(INDIRECT("'WCM Calibration Final'!$C$345")&lt;&gt;"",FALSE)),345,0)</x:f>
        <x:v>0</x:v>
      </x:c>
      <x:c r="JB345" t="n">
        <x:f>'Calculations'!JB344+IF('Calculations'!JA345&gt;0,1,0)</x:f>
        <x:v>0</x:v>
      </x:c>
      <x:c r="JC345" t="n">
        <x:f>IF(OR('Calculations'!HF345="",'Calculations'!HF345="!AMBIG"),0,IF('Dashboard'!$B$7="All",1,COUNTIFS('Calculations'!$HO$13:$HO$512,"="&amp;SUBSTITUTE(SUBSTITUTE(SUBSTITUTE('Calculations'!HF345,"~","~~"),"*","~*"),"?","~?"),'Calculations'!$HN$13:$HN$512,"="&amp;SUBSTITUTE(SUBSTITUTE(SUBSTITUTE('Dashboard'!$B$7,"~","~~"),"*","~*"),"?","~?"))+COUNTIFS('Calculations'!$HP$13:$HP$512,"="&amp;SUBSTITUTE(SUBSTITUTE(SUBSTITUTE('Calculations'!HF345,"~","~~"),"*","~*"),"?","~?"),'Calculations'!$HN$13:$HN$512,"="&amp;SUBSTITUTE(SUBSTITUTE(SUBSTITUTE('Dashboard'!$B$7,"~","~~"),"*","~*"),"?","~?"))+COUNTIFS('Calculations'!$HQ$13:$HQ$512,"="&amp;SUBSTITUTE(SUBSTITUTE(SUBSTITUTE('Calculations'!HF345,"~","~~"),"*","~*"),"?","~?"),'Calculations'!$HN$13:$HN$512,"="&amp;SUBSTITUTE(SUBSTITUTE(SUBSTITUTE('Dashboard'!$B$7,"~","~~"),"*","~*"),"?","~?"))+COUNTIFS('Calculations'!$HR$13:$HR$512,"="&amp;SUBSTITUTE(SUBSTITUTE(SUBSTITUTE('Calculations'!HF345,"~","~~"),"*","~*"),"?","~?"),'Calculations'!$HN$13:$HN$512,"="&amp;SUBSTITUTE(SUBSTITUTE(SUBSTITUTE('Dashboard'!$B$7,"~","~~"),"*","~*"),"?","~?"))+COUNTIFS('Calculations'!$HS$13:$HS$512,"="&amp;SUBSTITUTE(SUBSTITUTE(SUBSTITUTE('Calculations'!HF345,"~","~~"),"*","~*"),"?","~?"),'Calculations'!$HN$13:$HN$512,"="&amp;SUBSTITUTE(SUBSTITUTE(SUBSTITUTE('Dashboard'!$B$7,"~","~~"),"*","~*"),"?","~?"))+COUNTIFS('Calculations'!$HT$13:$HT$512,"="&amp;SUBSTITUTE(SUBSTITUTE(SUBSTITUTE('Calculations'!HF345,"~","~~"),"*","~*"),"?","~?"),'Calculations'!$HN$13:$HN$512,"="&amp;SUBSTITUTE(SUBSTITUTE(SUBSTITUTE('Dashboard'!$B$7,"~","~~"),"*","~*"),"?","~?"))+COUNTIFS('Calculations'!$HU$13:$HU$512,"="&amp;SUBSTITUTE(SUBSTITUTE(SUBSTITUTE('Calculations'!HF345,"~","~~"),"*","~*"),"?","~?"),'Calculations'!$HN$13:$HN$512,"="&amp;SUBSTITUTE(SUBSTITUTE(SUBSTITUTE('Dashboard'!$B$7,"~","~~"),"*","~*"),"?","~?"))+COUNTIFS('Calculations'!$HV$13:$HV$512,"="&amp;SUBSTITUTE(SUBSTITUTE(SUBSTITUTE('Calculations'!HF345,"~","~~"),"*","~*"),"?","~?"),'Calculations'!$HN$13:$HN$512,"="&amp;SUBSTITUTE(SUBSTITUTE(SUBSTITUTE('Dashboard'!$B$7,"~","~~"),"*","~*"),"?","~?"))+COUNTIFS('Calculations'!$HW$13:$HW$512,"="&amp;SUBSTITUTE(SUBSTITUTE(SUBSTITUTE('Calculations'!HF345,"~","~~"),"*","~*"),"?","~?"),'Calculations'!$HN$13:$HN$512,"="&amp;SUBSTITUTE(SUBSTITUTE(SUBSTITUTE('Dashboard'!$B$7,"~","~~"),"*","~*"),"?","~?"))+COUNTIFS('Calculations'!$HX$13:$HX$512,"="&amp;SUBSTITUTE(SUBSTITUTE(SUBSTITUTE('Calculations'!HF345,"~","~~"),"*","~*"),"?","~?"),'Calculations'!$HN$13:$HN$512,"="&amp;SUBSTITUTE(SUBSTITUTE(SUBSTITUTE('Dashboard'!$B$7,"~","~~"),"*","~*"),"?","~?"))+COUNTIFS('Calculations'!$HY$13:$HY$512,"="&amp;SUBSTITUTE(SUBSTITUTE(SUBSTITUTE('Calculations'!HF345,"~","~~"),"*","~*"),"?","~?"),'Calculations'!$HN$13:$HN$512,"="&amp;SUBSTITUTE(SUBSTITUTE(SUBSTITUTE('Dashboard'!$B$7,"~","~~"),"*","~*"),"?","~?"))+COUNTIFS('Calculations'!$HZ$13:$HZ$512,"="&amp;SUBSTITUTE(SUBSTITUTE(SUBSTITUTE('Calculations'!HF345,"~","~~"),"*","~*"),"?","~?"),'Calculations'!$HN$13:$HN$512,"="&amp;SUBSTITUTE(SUBSTITUTE(SUBSTITUTE('Dashboard'!$B$7,"~","~~"),"*","~*"),"?","~?"))+COUNTIFS('Calculations'!$IA$13:$IA$512,"="&amp;SUBSTITUTE(SUBSTITUTE(SUBSTITUTE('Calculations'!HF345,"~","~~"),"*","~*"),"?","~?"),'Calculations'!$HN$13:$HN$512,"="&amp;SUBSTITUTE(SUBSTITUTE(SUBSTITUTE('Dashboard'!$B$7,"~","~~"),"*","~*"),"?","~?"))+COUNTIFS('Calculations'!$IB$13:$IB$512,"="&amp;SUBSTITUTE(SUBSTITUTE(SUBSTITUTE('Calculations'!HF345,"~","~~"),"*","~*"),"?","~?"),'Calculations'!$HN$13:$HN$512,"="&amp;SUBSTITUTE(SUBSTITUTE(SUBSTITUTE('Dashboard'!$B$7,"~","~~"),"*","~*"),"?","~?"))+COUNTIFS('Calculations'!$IC$13:$IC$512,"="&amp;SUBSTITUTE(SUBSTITUTE(SUBSTITUTE('Calculations'!HF345,"~","~~"),"*","~*"),"?","~?"),'Calculations'!$HN$13:$HN$512,"="&amp;SUBSTITUTE(SUBSTITUTE(SUBSTITUTE('Dashboard'!$B$7,"~","~~"),"*","~*"),"?","~?"))+COUNTIFS('Calculations'!$ID$13:$ID$512,"="&amp;SUBSTITUTE(SUBSTITUTE(SUBSTITUTE('Calculations'!HF345,"~","~~"),"*","~*"),"?","~?"),'Calculations'!$HN$13:$HN$512,"="&amp;SUBSTITUTE(SUBSTITUTE(SUBSTITUTE('Dashboard'!$B$7,"~","~~"),"*","~*"),"?","~?"))+COUNTIFS('Calculations'!$IE$13:$IE$512,"="&amp;SUBSTITUTE(SUBSTITUTE(SUBSTITUTE('Calculations'!HF345,"~","~~"),"*","~*"),"?","~?"),'Calculations'!$HN$13:$HN$512,"="&amp;SUBSTITUTE(SUBSTITUTE(SUBSTITUTE('Dashboard'!$B$7,"~","~~"),"*","~*"),"?","~?"))+COUNTIFS('Calculations'!$IF$13:$IF$512,"="&amp;SUBSTITUTE(SUBSTITUTE(SUBSTITUTE('Calculations'!HF345,"~","~~"),"*","~*"),"?","~?"),'Calculations'!$HN$13:$HN$512,"="&amp;SUBSTITUTE(SUBSTITUTE(SUBSTITUTE('Dashboard'!$B$7,"~","~~"),"*","~*"),"?","~?"))+COUNTIFS('Calculations'!$IG$13:$IG$512,"="&amp;SUBSTITUTE(SUBSTITUTE(SUBSTITUTE('Calculations'!HF345,"~","~~"),"*","~*"),"?","~?"),'Calculations'!$HN$13:$HN$512,"="&amp;SUBSTITUTE(SUBSTITUTE(SUBSTITUTE('Dashboard'!$B$7,"~","~~"),"*","~*"),"?","~?"))+COUNTIFS('Calculations'!$IH$13:$IH$512,"="&amp;SUBSTITUTE(SUBSTITUTE(SUBSTITUTE('Calculations'!HF345,"~","~~"),"*","~*"),"?","~?"),'Calculations'!$HN$13:$HN$512,"="&amp;SUBSTITUTE(SUBSTITUTE(SUBSTITUTE('Dashboard'!$B$7,"~","~~"),"*","~*"),"?","~?"))))</x:f>
        <x:v>0</x:v>
      </x:c>
      <x:c r="JD345" t="n">
        <x:f>IF('Calculations'!EM345="",0,IF('Dashboard'!$B$7="All",1,IF('Calculations'!HN345='Dashboard'!$B$7,1,0)+IFERROR(INDEX('Calculations'!$JC$13:$JC$512,MATCH('Calculations'!HE345,'Calculations'!$HF$13:$HF$512,0)),0)))</x:f>
        <x:v>0</x:v>
      </x:c>
      <x:c r="JE345" t="n">
        <x:f>IF(AND('Calculations'!EM345&lt;&gt;"",'Calculations'!$JJ$2&lt;&gt;"All",'Calculations'!$JJ$2&lt;&gt;"",'Calculations'!HF345='Calculations'!$JJ$2,'Calculations'!HL345=0,'Calculations'!JD345&gt;0),MAX('Calculations'!$JE$12:JE344)+1,0)</x:f>
        <x:v>0</x:v>
      </x:c>
      <x:c r="JF345" t="str">
        <x:f>IF('Calculations'!EM345="","",IFERROR(IF(INDEX(INDIRECT("'WCM Calibration Final'!$G$1:$G$2000"),'Calculations'!$EM345)="","",TRIM(INDEX(INDIRECT("'WCM Calibration Final'!$G$1:$G$2000"),'Calculations'!$EM345)&amp;"")),""))</x:f>
      </x:c>
      <x:c r="JQ345" t="n">
        <x:f>IF(OR('Calculations'!BM345=0,NOT('Calculations'!$AG$2),'Calculations'!$AG$8&gt;0),0,IF(OR('Dashboard'!$B$7="All",'Calculations'!HN345='Dashboard'!$B$7),IF('Calculations'!$JJ$2="All",1,IF(AND('Calculations'!HF345='Calculations'!$JJ$2,'Calculations'!HL345=0),1,0)),0))</x:f>
        <x:v>0</x:v>
      </x:c>
    </x:row>
    <x:row r="346">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t="n">
        <x:f>IF('Calculations'!$EM346="",0,IF(OR(IFERROR(INDEX(INDIRECT("'WCM Calibration Final'!$A$1:$A$2000"),'Calculations'!$EM346)&lt;&gt;"",FALSE),IFERROR(INDEX(INDIRECT("'WCM Calibration Final'!$B$1:$B$2000"),'Calculations'!$EM346)&lt;&gt;"",FALSE),IFERROR(INDEX(INDIRECT("'WCM Calibration Final'!$C$1:$C$2000"),'Calculations'!$EM346)&lt;&gt;"",FALSE)),1,0))</x:f>
        <x:v>0</x:v>
      </x:c>
      <x:c r="BN346" s="4" t="n">
        <x:f>IF(AND('Calculations'!BM346=1,'Calculations'!$AG$2,'Calculations'!$EN346=1),1,0)</x:f>
        <x:v>0</x:v>
      </x:c>
      <x:c r="BO346" s="4" t="str">
        <x:f>IF('Calculations'!BM346=0,"",IFERROR(IF(AND(VALUE(INDEX(INDIRECT("'WCM Calibration Final'!$K$1:$K$2000"),'Calculations'!$EM346))&gt;=1,VALUE(INDEX(INDIRECT("'WCM Calibration Final'!$K$1:$K$2000"),'Calculations'!$EM346))&lt;=4,MOD(VALUE(INDEX(INDIRECT("'WCM Calibration Final'!$K$1:$K$2000"),'Calculations'!$EM346)),1)=0),VALUE(INDEX(INDIRECT("'WCM Calibration Final'!$K$1:$K$2000"),'Calculations'!$EM346)),""),""))</x:f>
      </x:c>
      <x:c r="BP346" s="4" t="str">
        <x:f>IF('Calculations'!BM346=0,"",IFERROR(IF(AND(VALUE(INDEX(INDIRECT("'WCM Calibration Final'!$L$1:$L$2000"),'Calculations'!$EM346))&gt;=1,VALUE(INDEX(INDIRECT("'WCM Calibration Final'!$L$1:$L$2000"),'Calculations'!$EM346))&lt;=4,MOD(VALUE(INDEX(INDIRECT("'WCM Calibration Final'!$L$1:$L$2000"),'Calculations'!$EM346)),1)=0),VALUE(INDEX(INDIRECT("'WCM Calibration Final'!$L$1:$L$2000"),'Calculations'!$EM346)),""),""))</x:f>
      </x:c>
      <x:c r="BQ346" s="4"/>
      <x:c r="BR346" s="4"/>
      <x:c r="BS346" s="4"/>
      <x:c r="BT346" s="4" t="n">
        <x:f>IF(AND('Calculations'!BM346=1,ISNUMBER('Calculations'!BO346),ISNUMBER('Calculations'!BP346)),1,0)</x:f>
        <x:v>0</x:v>
      </x:c>
      <x:c r="BU346" s="4" t="str">
        <x:f>IF('Calculations'!BM346=0,"",'Calculations'!$EO346)</x:f>
      </x:c>
      <x:c r="BV346" s="4" t="str">
        <x:f>IF('Calculations'!BM346=0,"",IFERROR(IF(OR(INDEX(INDIRECT("'WCM Calibration Final'!$H$1:$H$2000"),'Calculations'!$EM346)="MANAGING DIRECTOR",INDEX(INDIRECT("'WCM Calibration Final'!$H$1:$H$2000"),'Calculations'!$EM346)="DIRECTOR",INDEX(INDIRECT("'WCM Calibration Final'!$H$1:$H$2000"),'Calculations'!$EM346)="SENIOR VICE PRESIDENT",INDEX(INDIRECT("'WCM Calibration Final'!$H$1:$H$2000"),'Calculations'!$EM346)="VICE PRESIDENT",INDEX(INDIRECT("'WCM Calibration Final'!$H$1:$H$2000"),'Calculations'!$EM346)="ASSISTANT VICE PRESIDENT",INDEX(INDIRECT("'WCM Calibration Final'!$H$1:$H$2000"),'Calculations'!$EM346)="OFFICER"),UPPER(INDEX(INDIRECT("'WCM Calibration Final'!$H$1:$H$2000"),'Calculations'!$EM346)),"Other"),"Other"))</x:f>
      </x:c>
      <x:c r="BW346" s="4"/>
      <x:c r="BX346" s="4"/>
      <x:c r="BY346" s="4" t="n">
        <x:f>IF(AND('Calculations'!BM346=1,'Calculations'!BU346&lt;&gt;"",COUNTIF('Calculations'!$BU$12:BU346,'Calculations'!BU346)=1),MAX('Calculations'!$BY$11:BY345)+1,0)</x:f>
        <x:v>0</x:v>
      </x:c>
      <x:c r="BZ346" s="4" t="str">
        <x:f>IF('Dashboard'!$E$67="What",'Calculations'!BO346,'Calculations'!BP346)</x:f>
      </x:c>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t="str">
        <x:f>IF(335&gt;MAX('Calculations'!$HI$13:$HI$512),"",INDEX('Calculations'!$HN$13:$HN$512,MATCH(335,'Calculations'!$HI$13:$HI$512,0)))</x:f>
      </x:c>
      <x:c r="DB346" s="4" t="str">
        <x:f>IF(335&gt;MAX('Calculations'!$HH$13:$HH$512),"",INDEX('Calculations'!$HJ$13:$HJ$512,MATCH(335,'Calculations'!$HH$13:$HH$512,0)))</x:f>
      </x:c>
      <x:c r="DC346" s="4" t="str">
        <x:f>IF(ROW()-11&gt;MAX('Calculations'!$BY$13:$BY$512),"",INDEX('Calculations'!$BU$13:$BU$512,MATCH(ROW()-11,'Calculations'!$BY$13:$BY$512,0)))</x:f>
      </x:c>
      <x:c r="DD346" s="4" t="str">
        <x:f>IF(335&gt;MAX('Calculations'!$IK$13:$IK$512),"",INDEX('Calculations'!$HK$13:$HK$512,MATCH(335,'Calculations'!$IK$13:$IK$512,0)))</x:f>
      </x:c>
      <x:c r="DE346" s="4" t="str">
        <x:f>'Calculations'!DC346</x:f>
      </x:c>
      <x:c r="DF346" s="4" t="str">
        <x:f>IF('Calculations'!DE346="","",COUNTIFS('Calculations'!$BN$13:$BN$512,1,'Calculations'!$BU$13:$BU$512,'Calculations'!DE346))</x:f>
      </x:c>
      <x:c r="DG346" s="4" t="str">
        <x:f>IF('Calculations'!DE346="","",COUNTIFS('Calculations'!$BN$13:$BN$512,1,'Calculations'!$BU$13:$BU$512,'Calculations'!DE346,'Calculations'!$BT$13:$BT$512,1))</x:f>
      </x:c>
      <x:c r="DH346" s="4" t="str">
        <x:f>IF('Calculations'!DE346="","",'Calculations'!DF346-'Calculations'!DG346)</x:f>
      </x:c>
      <x:c r="DI346" s="4" t="str">
        <x:f>IF(OR('Calculations'!DE346="",'Calculations'!DF346=0),"",'Calculations'!DG346/'Calculations'!DF346)</x:f>
      </x:c>
      <x:c r="DJ346" s="4" t="str">
        <x:f>IF('Calculations'!DE346="","",COUNTIFS('Calculations'!$BN$13:$BN$512,1,'Calculations'!$BU$13:$BU$512,'Calculations'!DE346,'Calculations'!$BT$13:$BT$512,1,'Calculations'!$EE$13:$EE$512,"High"))</x:f>
      </x:c>
      <x:c r="DK346" s="4" t="str">
        <x:f>IF('Calculations'!DE346="","",COUNTIFS('Calculations'!$BN$13:$BN$512,1,'Calculations'!$BU$13:$BU$512,'Calculations'!DE346,'Calculations'!$BT$13:$BT$512,1,'Calculations'!$EE$13:$EE$512,"Strong"))</x:f>
      </x:c>
      <x:c r="DL346" s="4" t="str">
        <x:f>IF('Calculations'!DE346="","",COUNTIFS('Calculations'!$BN$13:$BN$512,1,'Calculations'!$BU$13:$BU$512,'Calculations'!DE346,'Calculations'!$BT$13:$BT$512,1,'Calculations'!$EE$13:$EE$512,"Solid"))</x:f>
      </x:c>
      <x:c r="DM346" s="4" t="str">
        <x:f>IF('Calculations'!DE346="","",COUNTIFS('Calculations'!$BN$13:$BN$512,1,'Calculations'!$BU$13:$BU$512,'Calculations'!DE346,'Calculations'!$BT$13:$BT$512,1,'Calculations'!$EE$13:$EE$512,"Low"))</x:f>
      </x:c>
      <x:c r="DN346" s="4" t="str">
        <x:f>IF('Calculations'!DE346="","",COUNTIFS('Calculations'!$BN$13:$BN$512,1,'Calculations'!$BU$13:$BU$512,'Calculations'!DE346,'Calculations'!$EP$13:$EP$512,1))</x:f>
      </x:c>
      <x:c r="DO346" s="4" t="str">
        <x:f>IF(OR('Calculations'!DE346="",'Calculations'!DG346=0),"",('Calculations'!DJ346+'Calculations'!DK346)/'Calculations'!DG346)</x:f>
      </x:c>
      <x:c r="DP346" s="4" t="n">
        <x:f>IF(AND('Calculations'!DE346&lt;&gt;"",'Calculations'!DF346&gt;0),COUNTIF('Calculations'!$DF$12:DF346,"&gt;0"),0)</x:f>
        <x:v>0</x:v>
      </x:c>
      <x:c r="DQ346" s="4" t="str">
        <x:f>IF(335&gt;MAX('Calculations'!$HH$13:$HH$512),"",INDEX('Calculations'!$HF$13:$HF$512,MATCH(335,'Calculations'!$HH$13:$HH$512,0)))</x:f>
      </x:c>
      <x:c r="DR346" s="4" t="str">
        <x:f>IF(335&gt;MAX('Calculations'!$IK$13:$IK$512),"",INDEX('Calculations'!$HE$13:$HE$512,MATCH(335,'Calculations'!$IK$13:$IK$512,0)))</x:f>
      </x:c>
      <x:c r="DS346" s="4"/>
      <x:c r="DT346" s="4"/>
      <x:c r="DU346" s="4"/>
      <x:c r="DV346" s="4"/>
      <x:c r="DW346" s="4"/>
      <x:c r="DX346" s="4"/>
      <x:c r="DY346" s="4"/>
      <x:c r="DZ346" s="4"/>
      <x:c r="EA346" s="4"/>
      <x:c r="EB346" s="4"/>
      <x:c r="EC346" s="4"/>
      <x:c r="ED346" s="4"/>
      <x:c r="EE346" s="4" t="str">
        <x:f>IF('Calculations'!BT346=0,"Not Rated",IF(OR('Calculations'!BO346&gt;=4,'Calculations'!BP346&gt;=4),"Low",IF('Calculations'!BO346+'Calculations'!BP346&lt;=3,"High",IF('Calculations'!BO346+'Calculations'!BP346&lt;=4,"Strong","Solid"))))</x:f>
        <x:v>Not Rated</x:v>
      </x:c>
      <x:c r="EF346" s="4"/>
      <x:c r="EG346" s="4"/>
      <x:c r="EH346" s="4"/>
      <x:c r="EI346" s="4"/>
      <x:c r="EJ346" s="4"/>
      <x:c r="EK346" s="4"/>
      <x:c r="EL346" s="4"/>
      <x:c r="EM346" s="4" t="str">
        <x:f>IF(334&gt;'Calculations'!$JB$2000,"",INDEX('Calculations'!$JA$12:$JA$2000,MATCH(334,'Calculations'!$JB$12:$JB$2000,0)))</x:f>
      </x:c>
      <x:c r="EN346" s="4" t="n">
        <x:f>IF(OR('Calculations'!EM346="",'Calculations'!$AG$8&gt;0,AND('Calculations'!$EF$2&lt;&gt;"All",'Calculations'!HE346='Calculations'!$EF$2),AND('Calculations'!$EF$3&lt;&gt;"All",'Calculations'!HE346='Calculations'!$EF$3)),0,IF(OR('Dashboard'!$B$7="All",'Calculations'!HN346='Dashboard'!$B$7),IF('Calculations'!$EF$2="All",1,IF('Calculations'!HL346&gt;0,0,IF(COUNTIF('Calculations'!HO346:II346,"="&amp;SUBSTITUTE(SUBSTITUTE(SUBSTITUTE('Calculations'!$EF$2,"~","~~"),"*","~*"),"?","~?"))=0,0,IF('Calculations'!$EF$3="All",1,IF(COUNTIF('Calculations'!HO346:II346,"="&amp;SUBSTITUTE(SUBSTITUTE(SUBSTITUTE('Calculations'!$EF$3,"~","~~"),"*","~*"),"?","~?"))&gt;0,1,0))))),0))</x:f>
        <x:v>0</x:v>
      </x:c>
      <x:c r="EO346" s="4" t="str">
        <x:f>IF('Calculations'!IJ346="","",IF('Calculations'!IJ346="!UNRESOLVED","Unresolved hierarchy",IFERROR(INDEX('Calculations'!$HK$13:$HK$512,MATCH('Calculations'!IJ346,'Calculations'!$HE$13:$HE$512,0)),IFERROR(INDEX('Calculations'!$HJ$13:$HJ$512,MATCH('Calculations'!IJ346,'Calculations'!$HF$13:$HF$512,0)),'Calculations'!IJ346))))</x:f>
      </x:c>
      <x:c r="EP346" s="4" t="n">
        <x:f>IF(AND('Calculations'!EM346&lt;&gt;"",'Calculations'!HF346='Calculations'!IJ346),1,0)</x:f>
        <x:v>0</x:v>
      </x:c>
      <x:c r="EQ346" s="4"/>
      <x:c r="ER346" s="4"/>
      <x:c r="ES346" s="4"/>
      <x:c r="ET346" s="4"/>
      <x:c r="EU346" s="4"/>
      <x:c r="EV346" s="4"/>
      <x:c r="EW346" s="4"/>
      <x:c r="EX346" s="4"/>
      <x:c r="EY346" s="4"/>
      <x:c r="EZ346" s="4"/>
      <x:c r="FA346" s="4"/>
      <x:c r="FB346" s="4"/>
      <x:c r="FC346" s="4"/>
      <x:c r="FD346" s="4"/>
      <x:c r="FE346" s="4"/>
      <x:c r="FF346" s="4"/>
      <x:c r="FG346" s="4"/>
      <x:c r="FH346" s="4"/>
      <x:c r="FI346" s="4"/>
      <x:c r="FJ346" s="4"/>
      <x:c r="FK346" s="4"/>
      <x:c r="FL346" s="4"/>
      <x:c r="FM346" s="4"/>
      <x:c r="FN346" s="4"/>
      <x:c r="FO346" s="4"/>
      <x:c r="HE346" t="str">
        <x:f>IF('Calculations'!EM346="","",IF(IFERROR(IF(INDEX(INDIRECT("'WCM Calibration Final'!$A$1:$A$2000"),'Calculations'!$EM346)="","",TRIM(INDEX(INDIRECT("'WCM Calibration Final'!$A$1:$A$2000"),'Calculations'!$EM346)&amp;"")),"")&lt;&gt;"","G:"&amp;IFERROR(TEXT(1*INDEX(INDIRECT("'WCM Calibration Final'!$A$1:$A$2000"),'Calculations'!$EM346),"0"),UPPER(IFERROR(IF(INDEX(INDIRECT("'WCM Calibration Final'!$A$1:$A$2000"),'Calculations'!$EM346)="","",TRIM(INDEX(INDIRECT("'WCM Calibration Final'!$A$1:$A$2000"),'Calculations'!$EM346)&amp;"")),""))),IF(IFERROR(IF(INDEX(INDIRECT("'WCM Calibration Final'!$C$1:$C$2000"),'Calculations'!$EM346)="","",TRIM(INDEX(INDIRECT("'WCM Calibration Final'!$C$1:$C$2000"),'Calculations'!$EM346)&amp;"")),"")&lt;&gt;"","S:"&amp;UPPER(IFERROR(IF(INDEX(INDIRECT("'WCM Calibration Final'!$C$1:$C$2000"),'Calculations'!$EM346)="","",TRIM(INDEX(INDIRECT("'WCM Calibration Final'!$C$1:$C$2000"),'Calculations'!$EM346)&amp;"")),"")),"R:"&amp;'Calculations'!EM346)))</x:f>
      </x:c>
      <x:c r="HF346" t="str">
        <x:f>IF('Calculations'!EM346="","",IF(IFERROR(IF(INDEX(INDIRECT("'WCM Calibration Final'!$D$1:$D$2000"),'Calculations'!$EM346)="","",TRIM(INDEX(INDIRECT("'WCM Calibration Final'!$D$1:$D$2000"),'Calculations'!$EM346)&amp;"")),"")&lt;&gt;"","G:"&amp;IFERROR(TEXT(1*INDEX(INDIRECT("'WCM Calibration Final'!$D$1:$D$2000"),'Calculations'!$EM346),"0"),UPPER(IFERROR(IF(INDEX(INDIRECT("'WCM Calibration Final'!$D$1:$D$2000"),'Calculations'!$EM346)="","",TRIM(INDEX(INDIRECT("'WCM Calibration Final'!$D$1:$D$2000"),'Calculations'!$EM346)&amp;"")),""))),IF(IFERROR(IF(INDEX(INDIRECT("'WCM Calibration Final'!$E$1:$E$2000"),'Calculations'!$EM346)="","",TRIM(INDEX(INDIRECT("'WCM Calibration Final'!$E$1:$E$2000"),'Calculations'!$EM346)&amp;"")),"")="","",IF(COUNTIF('Calculations'!$HG$13:$HG$512,"="&amp;SUBSTITUTE(SUBSTITUTE(SUBSTITUTE(IFERROR(IF(INDEX(INDIRECT("'WCM Calibration Final'!$E$1:$E$2000"),'Calculations'!$EM346)="","",TRIM(INDEX(INDIRECT("'WCM Calibration Final'!$E$1:$E$2000"),'Calculations'!$EM346)&amp;"")),""),"~","~~"),"*","~*"),"?","~?"))=1,INDEX('Calculations'!$HE$13:$HE$512,MATCH(IFERROR(IF(INDEX(INDIRECT("'WCM Calibration Final'!$E$1:$E$2000"),'Calculations'!$EM346)="","",TRIM(INDEX(INDIRECT("'WCM Calibration Final'!$E$1:$E$2000"),'Calculations'!$EM346)&amp;"")),""),'Calculations'!$HG$13:$HG$512,0)),IF(COUNTIF('Calculations'!$HG$13:$HG$512,"="&amp;SUBSTITUTE(SUBSTITUTE(SUBSTITUTE(IFERROR(IF(INDEX(INDIRECT("'WCM Calibration Final'!$E$1:$E$2000"),'Calculations'!$EM346)="","",TRIM(INDEX(INDIRECT("'WCM Calibration Final'!$E$1:$E$2000"),'Calculations'!$EM346)&amp;"")),""),"~","~~"),"*","~*"),"?","~?"))&gt;1,"!AMBIG","X:"&amp;IFERROR(IF(INDEX(INDIRECT("'WCM Calibration Final'!$E$1:$E$2000"),'Calculations'!$EM346)="","",TRIM(INDEX(INDIRECT("'WCM Calibration Final'!$E$1:$E$2000"),'Calculations'!$EM346)&amp;"")),""))))))</x:f>
      </x:c>
      <x:c r="HG346" t="str">
        <x:f>IF('Calculations'!EM346="","",IFERROR(IF(INDEX(INDIRECT("'WCM Calibration Final'!$B$1:$B$2000"),'Calculations'!$EM346)="","",TRIM(INDEX(INDIRECT("'WCM Calibration Final'!$B$1:$B$2000"),'Calculations'!$EM346)&amp;"")),""))</x:f>
      </x:c>
      <x:c r="HH346" t="n">
        <x:f>IF(AND('Calculations'!JC346&gt;0,COUNTIF('Calculations'!$HF$12:HF346,"="&amp;SUBSTITUTE(SUBSTITUTE(SUBSTITUTE('Calculations'!HF346,"~","~~"),"*","~*"),"?","~?"))=1),MAX('Calculations'!$HH$12:HH345)+1,0)</x:f>
        <x:v>0</x:v>
      </x:c>
      <x:c r="HI346" t="n">
        <x:f>IF(AND('Calculations'!HN346&lt;&gt;"",COUNTIF('Calculations'!$HN$12:HN346,"="&amp;SUBSTITUTE(SUBSTITUTE(SUBSTITUTE('Calculations'!HN346,"~","~~"),"*","~*"),"?","~?"))=1),MAX('Calculations'!$HI$12:HI345)+1,0)</x:f>
        <x:v>0</x:v>
      </x:c>
      <x:c r="HJ346" t="str">
        <x:f>IF('Calculations'!HF346="","",IF(COUNTIF('Calculations'!$HE$13:$HE$512,"="&amp;SUBSTITUTE(SUBSTITUTE(SUBSTITUTE('Calculations'!HF346,"~","~~"),"*","~*"),"?","~?"))=1,INDEX('Calculations'!$HK$13:$HK$512,MATCH('Calculations'!HF346,'Calculations'!$HE$13:$HE$512,0)),IFERROR(IF(INDEX(INDIRECT("'WCM Calibration Final'!$E$1:$E$2000"),'Calculations'!$EM346)="","",TRIM(INDEX(INDIRECT("'WCM Calibration Final'!$E$1:$E$2000"),'Calculations'!$EM346)&amp;"")),"")&amp;" ["&amp;'Calculations'!HF346&amp;"]"))</x:f>
      </x:c>
      <x:c r="HK346" t="str">
        <x:f>IF('Calculations'!EM346="","",'Calculations'!HG346&amp;" ["&amp;'Calculations'!HE346&amp;"]")</x:f>
      </x:c>
      <x:c r="HL346" t="n">
        <x:f>IF('Calculations'!EM346="",0,IF(OR('Calculations'!II346&lt;&gt;"",COUNTIF('Calculations'!$HE$13:$HE$512,"="&amp;SUBSTITUTE(SUBSTITUTE(SUBSTITUTE('Calculations'!HE346,"~","~~"),"*","~*"),"?","~?"))&gt;1),1,0))</x:f>
        <x:v>0</x:v>
      </x:c>
      <x:c r="HM346" t="str">
        <x:f>IF('Calculations'!EM346="","",IF('Calculations'!HL346=1,"!UNRESOLVED",IF('Calculations'!IH346&lt;&gt;"",'Calculations'!IH346,IF('Calculations'!IG346&lt;&gt;"",'Calculations'!IG346,IF('Calculations'!IF346&lt;&gt;"",'Calculations'!IF346,IF('Calculations'!IE346&lt;&gt;"",'Calculations'!IE346,IF('Calculations'!ID346&lt;&gt;"",'Calculations'!ID346,IF('Calculations'!IC346&lt;&gt;"",'Calculations'!IC346,IF('Calculations'!IB346&lt;&gt;"",'Calculations'!IB346,IF('Calculations'!IA346&lt;&gt;"",'Calculations'!IA346,IF('Calculations'!HZ346&lt;&gt;"",'Calculations'!HZ346,IF('Calculations'!HY346&lt;&gt;"",'Calculations'!HY346,IF('Calculations'!HX346&lt;&gt;"",'Calculations'!HX346,IF('Calculations'!HW346&lt;&gt;"",'Calculations'!HW346,IF('Calculations'!HV346&lt;&gt;"",'Calculations'!HV346,IF('Calculations'!HU346&lt;&gt;"",'Calculations'!HU346,IF('Calculations'!HT346&lt;&gt;"",'Calculations'!HT346,IF('Calculations'!HS346&lt;&gt;"",'Calculations'!HS346,IF('Calculations'!HR346&lt;&gt;"",'Calculations'!HR346,IF('Calculations'!HQ346&lt;&gt;"",'Calculations'!HQ346,IF('Calculations'!HP346&lt;&gt;"",'Calculations'!HP346,IF('Calculations'!HO346&lt;&gt;"",'Calculations'!HO346,'Calculations'!HE346))))))))))))))))))))))</x:f>
      </x:c>
      <x:c r="HN346" t="str">
        <x:f>IF('Calculations'!EM346="","",IF(IFERROR(IF(INDEX(INDIRECT("'WCM Calibration Final'!$F$1:$F$2000"),'Calculations'!$EM346)="","",TRIM(INDEX(INDIRECT("'WCM Calibration Final'!$F$1:$F$2000"),'Calculations'!$EM346)&amp;"")),"")="","(Blank)",IFERROR(IF(INDEX(INDIRECT("'WCM Calibration Final'!$F$1:$F$2000"),'Calculations'!$EM346)="","",TRIM(INDEX(INDIRECT("'WCM Calibration Final'!$F$1:$F$2000"),'Calculations'!$EM346)&amp;"")),"")))</x:f>
      </x:c>
      <x:c r="HO346" t="str">
        <x:f>'Calculations'!HF346</x:f>
      </x:c>
      <x:c r="HP346" t="str">
        <x:f>IF('Calculations'!HO346="","",IF('Calculations'!HO346="!AMBIG","!AMBIG",IF(COUNTIF('Calculations'!$HE$13:$HE$512,"="&amp;SUBSTITUTE(SUBSTITUTE(SUBSTITUTE('Calculations'!HO346,"~","~~"),"*","~*"),"?","~?"))&gt;1,"!AMBIG",IFERROR(INDEX('Calculations'!$HF$13:$HF$512,MATCH('Calculations'!HO346,'Calculations'!$HE$13:$HE$512,0)),""))))</x:f>
      </x:c>
      <x:c r="HQ346" t="str">
        <x:f>IF('Calculations'!HP346="","",IF('Calculations'!HP346="!AMBIG","!AMBIG",IF(COUNTIF('Calculations'!$HE$13:$HE$512,"="&amp;SUBSTITUTE(SUBSTITUTE(SUBSTITUTE('Calculations'!HP346,"~","~~"),"*","~*"),"?","~?"))&gt;1,"!AMBIG",IFERROR(INDEX('Calculations'!$HF$13:$HF$512,MATCH('Calculations'!HP346,'Calculations'!$HE$13:$HE$512,0)),""))))</x:f>
      </x:c>
      <x:c r="HR346" t="str">
        <x:f>IF('Calculations'!HQ346="","",IF('Calculations'!HQ346="!AMBIG","!AMBIG",IF(COUNTIF('Calculations'!$HE$13:$HE$512,"="&amp;SUBSTITUTE(SUBSTITUTE(SUBSTITUTE('Calculations'!HQ346,"~","~~"),"*","~*"),"?","~?"))&gt;1,"!AMBIG",IFERROR(INDEX('Calculations'!$HF$13:$HF$512,MATCH('Calculations'!HQ346,'Calculations'!$HE$13:$HE$512,0)),""))))</x:f>
      </x:c>
      <x:c r="HS346" t="str">
        <x:f>IF('Calculations'!HR346="","",IF('Calculations'!HR346="!AMBIG","!AMBIG",IF(COUNTIF('Calculations'!$HE$13:$HE$512,"="&amp;SUBSTITUTE(SUBSTITUTE(SUBSTITUTE('Calculations'!HR346,"~","~~"),"*","~*"),"?","~?"))&gt;1,"!AMBIG",IFERROR(INDEX('Calculations'!$HF$13:$HF$512,MATCH('Calculations'!HR346,'Calculations'!$HE$13:$HE$512,0)),""))))</x:f>
      </x:c>
      <x:c r="HT346" t="str">
        <x:f>IF('Calculations'!HS346="","",IF('Calculations'!HS346="!AMBIG","!AMBIG",IF(COUNTIF('Calculations'!$HE$13:$HE$512,"="&amp;SUBSTITUTE(SUBSTITUTE(SUBSTITUTE('Calculations'!HS346,"~","~~"),"*","~*"),"?","~?"))&gt;1,"!AMBIG",IFERROR(INDEX('Calculations'!$HF$13:$HF$512,MATCH('Calculations'!HS346,'Calculations'!$HE$13:$HE$512,0)),""))))</x:f>
      </x:c>
      <x:c r="HU346" t="str">
        <x:f>IF('Calculations'!HT346="","",IF('Calculations'!HT346="!AMBIG","!AMBIG",IF(COUNTIF('Calculations'!$HE$13:$HE$512,"="&amp;SUBSTITUTE(SUBSTITUTE(SUBSTITUTE('Calculations'!HT346,"~","~~"),"*","~*"),"?","~?"))&gt;1,"!AMBIG",IFERROR(INDEX('Calculations'!$HF$13:$HF$512,MATCH('Calculations'!HT346,'Calculations'!$HE$13:$HE$512,0)),""))))</x:f>
      </x:c>
      <x:c r="HV346" t="str">
        <x:f>IF('Calculations'!HU346="","",IF('Calculations'!HU346="!AMBIG","!AMBIG",IF(COUNTIF('Calculations'!$HE$13:$HE$512,"="&amp;SUBSTITUTE(SUBSTITUTE(SUBSTITUTE('Calculations'!HU346,"~","~~"),"*","~*"),"?","~?"))&gt;1,"!AMBIG",IFERROR(INDEX('Calculations'!$HF$13:$HF$512,MATCH('Calculations'!HU346,'Calculations'!$HE$13:$HE$512,0)),""))))</x:f>
      </x:c>
      <x:c r="HW346" t="str">
        <x:f>IF('Calculations'!HV346="","",IF('Calculations'!HV346="!AMBIG","!AMBIG",IF(COUNTIF('Calculations'!$HE$13:$HE$512,"="&amp;SUBSTITUTE(SUBSTITUTE(SUBSTITUTE('Calculations'!HV346,"~","~~"),"*","~*"),"?","~?"))&gt;1,"!AMBIG",IFERROR(INDEX('Calculations'!$HF$13:$HF$512,MATCH('Calculations'!HV346,'Calculations'!$HE$13:$HE$512,0)),""))))</x:f>
      </x:c>
      <x:c r="HX346" t="str">
        <x:f>IF('Calculations'!HW346="","",IF('Calculations'!HW346="!AMBIG","!AMBIG",IF(COUNTIF('Calculations'!$HE$13:$HE$512,"="&amp;SUBSTITUTE(SUBSTITUTE(SUBSTITUTE('Calculations'!HW346,"~","~~"),"*","~*"),"?","~?"))&gt;1,"!AMBIG",IFERROR(INDEX('Calculations'!$HF$13:$HF$512,MATCH('Calculations'!HW346,'Calculations'!$HE$13:$HE$512,0)),""))))</x:f>
      </x:c>
      <x:c r="HY346" t="str">
        <x:f>IF('Calculations'!HX346="","",IF('Calculations'!HX346="!AMBIG","!AMBIG",IF(COUNTIF('Calculations'!$HE$13:$HE$512,"="&amp;SUBSTITUTE(SUBSTITUTE(SUBSTITUTE('Calculations'!HX346,"~","~~"),"*","~*"),"?","~?"))&gt;1,"!AMBIG",IFERROR(INDEX('Calculations'!$HF$13:$HF$512,MATCH('Calculations'!HX346,'Calculations'!$HE$13:$HE$512,0)),""))))</x:f>
      </x:c>
      <x:c r="HZ346" t="str">
        <x:f>IF('Calculations'!HY346="","",IF('Calculations'!HY346="!AMBIG","!AMBIG",IF(COUNTIF('Calculations'!$HE$13:$HE$512,"="&amp;SUBSTITUTE(SUBSTITUTE(SUBSTITUTE('Calculations'!HY346,"~","~~"),"*","~*"),"?","~?"))&gt;1,"!AMBIG",IFERROR(INDEX('Calculations'!$HF$13:$HF$512,MATCH('Calculations'!HY346,'Calculations'!$HE$13:$HE$512,0)),""))))</x:f>
      </x:c>
      <x:c r="IA346" t="str">
        <x:f>IF('Calculations'!HZ346="","",IF('Calculations'!HZ346="!AMBIG","!AMBIG",IF(COUNTIF('Calculations'!$HE$13:$HE$512,"="&amp;SUBSTITUTE(SUBSTITUTE(SUBSTITUTE('Calculations'!HZ346,"~","~~"),"*","~*"),"?","~?"))&gt;1,"!AMBIG",IFERROR(INDEX('Calculations'!$HF$13:$HF$512,MATCH('Calculations'!HZ346,'Calculations'!$HE$13:$HE$512,0)),""))))</x:f>
      </x:c>
      <x:c r="IB346" t="str">
        <x:f>IF('Calculations'!IA346="","",IF('Calculations'!IA346="!AMBIG","!AMBIG",IF(COUNTIF('Calculations'!$HE$13:$HE$512,"="&amp;SUBSTITUTE(SUBSTITUTE(SUBSTITUTE('Calculations'!IA346,"~","~~"),"*","~*"),"?","~?"))&gt;1,"!AMBIG",IFERROR(INDEX('Calculations'!$HF$13:$HF$512,MATCH('Calculations'!IA346,'Calculations'!$HE$13:$HE$512,0)),""))))</x:f>
      </x:c>
      <x:c r="IC346" t="str">
        <x:f>IF('Calculations'!IB346="","",IF('Calculations'!IB346="!AMBIG","!AMBIG",IF(COUNTIF('Calculations'!$HE$13:$HE$512,"="&amp;SUBSTITUTE(SUBSTITUTE(SUBSTITUTE('Calculations'!IB346,"~","~~"),"*","~*"),"?","~?"))&gt;1,"!AMBIG",IFERROR(INDEX('Calculations'!$HF$13:$HF$512,MATCH('Calculations'!IB346,'Calculations'!$HE$13:$HE$512,0)),""))))</x:f>
      </x:c>
      <x:c r="ID346" t="str">
        <x:f>IF('Calculations'!IC346="","",IF('Calculations'!IC346="!AMBIG","!AMBIG",IF(COUNTIF('Calculations'!$HE$13:$HE$512,"="&amp;SUBSTITUTE(SUBSTITUTE(SUBSTITUTE('Calculations'!IC346,"~","~~"),"*","~*"),"?","~?"))&gt;1,"!AMBIG",IFERROR(INDEX('Calculations'!$HF$13:$HF$512,MATCH('Calculations'!IC346,'Calculations'!$HE$13:$HE$512,0)),""))))</x:f>
      </x:c>
      <x:c r="IE346" t="str">
        <x:f>IF('Calculations'!ID346="","",IF('Calculations'!ID346="!AMBIG","!AMBIG",IF(COUNTIF('Calculations'!$HE$13:$HE$512,"="&amp;SUBSTITUTE(SUBSTITUTE(SUBSTITUTE('Calculations'!ID346,"~","~~"),"*","~*"),"?","~?"))&gt;1,"!AMBIG",IFERROR(INDEX('Calculations'!$HF$13:$HF$512,MATCH('Calculations'!ID346,'Calculations'!$HE$13:$HE$512,0)),""))))</x:f>
      </x:c>
      <x:c r="IF346" t="str">
        <x:f>IF('Calculations'!IE346="","",IF('Calculations'!IE346="!AMBIG","!AMBIG",IF(COUNTIF('Calculations'!$HE$13:$HE$512,"="&amp;SUBSTITUTE(SUBSTITUTE(SUBSTITUTE('Calculations'!IE346,"~","~~"),"*","~*"),"?","~?"))&gt;1,"!AMBIG",IFERROR(INDEX('Calculations'!$HF$13:$HF$512,MATCH('Calculations'!IE346,'Calculations'!$HE$13:$HE$512,0)),""))))</x:f>
      </x:c>
      <x:c r="IG346" t="str">
        <x:f>IF('Calculations'!IF346="","",IF('Calculations'!IF346="!AMBIG","!AMBIG",IF(COUNTIF('Calculations'!$HE$13:$HE$512,"="&amp;SUBSTITUTE(SUBSTITUTE(SUBSTITUTE('Calculations'!IF346,"~","~~"),"*","~*"),"?","~?"))&gt;1,"!AMBIG",IFERROR(INDEX('Calculations'!$HF$13:$HF$512,MATCH('Calculations'!IF346,'Calculations'!$HE$13:$HE$512,0)),""))))</x:f>
      </x:c>
      <x:c r="IH346" t="str">
        <x:f>IF('Calculations'!IG346="","",IF('Calculations'!IG346="!AMBIG","!AMBIG",IF(COUNTIF('Calculations'!$HE$13:$HE$512,"="&amp;SUBSTITUTE(SUBSTITUTE(SUBSTITUTE('Calculations'!IG346,"~","~~"),"*","~*"),"?","~?"))&gt;1,"!AMBIG",IFERROR(INDEX('Calculations'!$HF$13:$HF$512,MATCH('Calculations'!IG346,'Calculations'!$HE$13:$HE$512,0)),""))))</x:f>
      </x:c>
      <x:c r="II346" t="str">
        <x:f>IF('Calculations'!IH346="","",IF('Calculations'!IH346="!AMBIG","!AMBIG",IF(COUNTIF('Calculations'!$HE$13:$HE$512,"="&amp;SUBSTITUTE(SUBSTITUTE(SUBSTITUTE('Calculations'!IH346,"~","~~"),"*","~*"),"?","~?"))&gt;1,"!AMBIG",IFERROR(INDEX('Calculations'!$HF$13:$HF$512,MATCH('Calculations'!IH346,'Calculations'!$HE$13:$HE$512,0)),""))))</x:f>
      </x:c>
      <x:c r="IJ346" t="str">
        <x:f>IF('Calculations'!EM346="","",IF('Calculations'!$EF$2="All",'Calculations'!HM346,IF('Calculations'!HL346=1,"",IFERROR(IF(MATCH('Calculations'!$EF$2,'Calculations'!HO346:II346,0)=1,'Calculations'!HE346,INDEX('Calculations'!HO346:II346,1,MATCH('Calculations'!$EF$2,'Calculations'!HO346:II346,0)-1)),""))))</x:f>
      </x:c>
      <x:c r="IK346" t="n">
        <x:f>IF(AND('Calculations'!EM346&lt;&gt;"",'Calculations'!$EF$2&lt;&gt;"All",'Calculations'!HF346='Calculations'!$EF$2,'Calculations'!HL346=0,'Calculations'!JD346&gt;0),MAX('Calculations'!$IK$12:IK345)+1,0)</x:f>
        <x:v>0</x:v>
      </x:c>
      <x:c r="JA346" t="n">
        <x:f>IF(OR(IFERROR(INDIRECT("'WCM Calibration Final'!$A$346")&lt;&gt;"",FALSE),IFERROR(INDIRECT("'WCM Calibration Final'!$B$346")&lt;&gt;"",FALSE),IFERROR(INDIRECT("'WCM Calibration Final'!$C$346")&lt;&gt;"",FALSE)),346,0)</x:f>
        <x:v>0</x:v>
      </x:c>
      <x:c r="JB346" t="n">
        <x:f>'Calculations'!JB345+IF('Calculations'!JA346&gt;0,1,0)</x:f>
        <x:v>0</x:v>
      </x:c>
      <x:c r="JC346" t="n">
        <x:f>IF(OR('Calculations'!HF346="",'Calculations'!HF346="!AMBIG"),0,IF('Dashboard'!$B$7="All",1,COUNTIFS('Calculations'!$HO$13:$HO$512,"="&amp;SUBSTITUTE(SUBSTITUTE(SUBSTITUTE('Calculations'!HF346,"~","~~"),"*","~*"),"?","~?"),'Calculations'!$HN$13:$HN$512,"="&amp;SUBSTITUTE(SUBSTITUTE(SUBSTITUTE('Dashboard'!$B$7,"~","~~"),"*","~*"),"?","~?"))+COUNTIFS('Calculations'!$HP$13:$HP$512,"="&amp;SUBSTITUTE(SUBSTITUTE(SUBSTITUTE('Calculations'!HF346,"~","~~"),"*","~*"),"?","~?"),'Calculations'!$HN$13:$HN$512,"="&amp;SUBSTITUTE(SUBSTITUTE(SUBSTITUTE('Dashboard'!$B$7,"~","~~"),"*","~*"),"?","~?"))+COUNTIFS('Calculations'!$HQ$13:$HQ$512,"="&amp;SUBSTITUTE(SUBSTITUTE(SUBSTITUTE('Calculations'!HF346,"~","~~"),"*","~*"),"?","~?"),'Calculations'!$HN$13:$HN$512,"="&amp;SUBSTITUTE(SUBSTITUTE(SUBSTITUTE('Dashboard'!$B$7,"~","~~"),"*","~*"),"?","~?"))+COUNTIFS('Calculations'!$HR$13:$HR$512,"="&amp;SUBSTITUTE(SUBSTITUTE(SUBSTITUTE('Calculations'!HF346,"~","~~"),"*","~*"),"?","~?"),'Calculations'!$HN$13:$HN$512,"="&amp;SUBSTITUTE(SUBSTITUTE(SUBSTITUTE('Dashboard'!$B$7,"~","~~"),"*","~*"),"?","~?"))+COUNTIFS('Calculations'!$HS$13:$HS$512,"="&amp;SUBSTITUTE(SUBSTITUTE(SUBSTITUTE('Calculations'!HF346,"~","~~"),"*","~*"),"?","~?"),'Calculations'!$HN$13:$HN$512,"="&amp;SUBSTITUTE(SUBSTITUTE(SUBSTITUTE('Dashboard'!$B$7,"~","~~"),"*","~*"),"?","~?"))+COUNTIFS('Calculations'!$HT$13:$HT$512,"="&amp;SUBSTITUTE(SUBSTITUTE(SUBSTITUTE('Calculations'!HF346,"~","~~"),"*","~*"),"?","~?"),'Calculations'!$HN$13:$HN$512,"="&amp;SUBSTITUTE(SUBSTITUTE(SUBSTITUTE('Dashboard'!$B$7,"~","~~"),"*","~*"),"?","~?"))+COUNTIFS('Calculations'!$HU$13:$HU$512,"="&amp;SUBSTITUTE(SUBSTITUTE(SUBSTITUTE('Calculations'!HF346,"~","~~"),"*","~*"),"?","~?"),'Calculations'!$HN$13:$HN$512,"="&amp;SUBSTITUTE(SUBSTITUTE(SUBSTITUTE('Dashboard'!$B$7,"~","~~"),"*","~*"),"?","~?"))+COUNTIFS('Calculations'!$HV$13:$HV$512,"="&amp;SUBSTITUTE(SUBSTITUTE(SUBSTITUTE('Calculations'!HF346,"~","~~"),"*","~*"),"?","~?"),'Calculations'!$HN$13:$HN$512,"="&amp;SUBSTITUTE(SUBSTITUTE(SUBSTITUTE('Dashboard'!$B$7,"~","~~"),"*","~*"),"?","~?"))+COUNTIFS('Calculations'!$HW$13:$HW$512,"="&amp;SUBSTITUTE(SUBSTITUTE(SUBSTITUTE('Calculations'!HF346,"~","~~"),"*","~*"),"?","~?"),'Calculations'!$HN$13:$HN$512,"="&amp;SUBSTITUTE(SUBSTITUTE(SUBSTITUTE('Dashboard'!$B$7,"~","~~"),"*","~*"),"?","~?"))+COUNTIFS('Calculations'!$HX$13:$HX$512,"="&amp;SUBSTITUTE(SUBSTITUTE(SUBSTITUTE('Calculations'!HF346,"~","~~"),"*","~*"),"?","~?"),'Calculations'!$HN$13:$HN$512,"="&amp;SUBSTITUTE(SUBSTITUTE(SUBSTITUTE('Dashboard'!$B$7,"~","~~"),"*","~*"),"?","~?"))+COUNTIFS('Calculations'!$HY$13:$HY$512,"="&amp;SUBSTITUTE(SUBSTITUTE(SUBSTITUTE('Calculations'!HF346,"~","~~"),"*","~*"),"?","~?"),'Calculations'!$HN$13:$HN$512,"="&amp;SUBSTITUTE(SUBSTITUTE(SUBSTITUTE('Dashboard'!$B$7,"~","~~"),"*","~*"),"?","~?"))+COUNTIFS('Calculations'!$HZ$13:$HZ$512,"="&amp;SUBSTITUTE(SUBSTITUTE(SUBSTITUTE('Calculations'!HF346,"~","~~"),"*","~*"),"?","~?"),'Calculations'!$HN$13:$HN$512,"="&amp;SUBSTITUTE(SUBSTITUTE(SUBSTITUTE('Dashboard'!$B$7,"~","~~"),"*","~*"),"?","~?"))+COUNTIFS('Calculations'!$IA$13:$IA$512,"="&amp;SUBSTITUTE(SUBSTITUTE(SUBSTITUTE('Calculations'!HF346,"~","~~"),"*","~*"),"?","~?"),'Calculations'!$HN$13:$HN$512,"="&amp;SUBSTITUTE(SUBSTITUTE(SUBSTITUTE('Dashboard'!$B$7,"~","~~"),"*","~*"),"?","~?"))+COUNTIFS('Calculations'!$IB$13:$IB$512,"="&amp;SUBSTITUTE(SUBSTITUTE(SUBSTITUTE('Calculations'!HF346,"~","~~"),"*","~*"),"?","~?"),'Calculations'!$HN$13:$HN$512,"="&amp;SUBSTITUTE(SUBSTITUTE(SUBSTITUTE('Dashboard'!$B$7,"~","~~"),"*","~*"),"?","~?"))+COUNTIFS('Calculations'!$IC$13:$IC$512,"="&amp;SUBSTITUTE(SUBSTITUTE(SUBSTITUTE('Calculations'!HF346,"~","~~"),"*","~*"),"?","~?"),'Calculations'!$HN$13:$HN$512,"="&amp;SUBSTITUTE(SUBSTITUTE(SUBSTITUTE('Dashboard'!$B$7,"~","~~"),"*","~*"),"?","~?"))+COUNTIFS('Calculations'!$ID$13:$ID$512,"="&amp;SUBSTITUTE(SUBSTITUTE(SUBSTITUTE('Calculations'!HF346,"~","~~"),"*","~*"),"?","~?"),'Calculations'!$HN$13:$HN$512,"="&amp;SUBSTITUTE(SUBSTITUTE(SUBSTITUTE('Dashboard'!$B$7,"~","~~"),"*","~*"),"?","~?"))+COUNTIFS('Calculations'!$IE$13:$IE$512,"="&amp;SUBSTITUTE(SUBSTITUTE(SUBSTITUTE('Calculations'!HF346,"~","~~"),"*","~*"),"?","~?"),'Calculations'!$HN$13:$HN$512,"="&amp;SUBSTITUTE(SUBSTITUTE(SUBSTITUTE('Dashboard'!$B$7,"~","~~"),"*","~*"),"?","~?"))+COUNTIFS('Calculations'!$IF$13:$IF$512,"="&amp;SUBSTITUTE(SUBSTITUTE(SUBSTITUTE('Calculations'!HF346,"~","~~"),"*","~*"),"?","~?"),'Calculations'!$HN$13:$HN$512,"="&amp;SUBSTITUTE(SUBSTITUTE(SUBSTITUTE('Dashboard'!$B$7,"~","~~"),"*","~*"),"?","~?"))+COUNTIFS('Calculations'!$IG$13:$IG$512,"="&amp;SUBSTITUTE(SUBSTITUTE(SUBSTITUTE('Calculations'!HF346,"~","~~"),"*","~*"),"?","~?"),'Calculations'!$HN$13:$HN$512,"="&amp;SUBSTITUTE(SUBSTITUTE(SUBSTITUTE('Dashboard'!$B$7,"~","~~"),"*","~*"),"?","~?"))+COUNTIFS('Calculations'!$IH$13:$IH$512,"="&amp;SUBSTITUTE(SUBSTITUTE(SUBSTITUTE('Calculations'!HF346,"~","~~"),"*","~*"),"?","~?"),'Calculations'!$HN$13:$HN$512,"="&amp;SUBSTITUTE(SUBSTITUTE(SUBSTITUTE('Dashboard'!$B$7,"~","~~"),"*","~*"),"?","~?"))))</x:f>
        <x:v>0</x:v>
      </x:c>
      <x:c r="JD346" t="n">
        <x:f>IF('Calculations'!EM346="",0,IF('Dashboard'!$B$7="All",1,IF('Calculations'!HN346='Dashboard'!$B$7,1,0)+IFERROR(INDEX('Calculations'!$JC$13:$JC$512,MATCH('Calculations'!HE346,'Calculations'!$HF$13:$HF$512,0)),0)))</x:f>
        <x:v>0</x:v>
      </x:c>
      <x:c r="JE346" t="n">
        <x:f>IF(AND('Calculations'!EM346&lt;&gt;"",'Calculations'!$JJ$2&lt;&gt;"All",'Calculations'!$JJ$2&lt;&gt;"",'Calculations'!HF346='Calculations'!$JJ$2,'Calculations'!HL346=0,'Calculations'!JD346&gt;0),MAX('Calculations'!$JE$12:JE345)+1,0)</x:f>
        <x:v>0</x:v>
      </x:c>
      <x:c r="JF346" t="str">
        <x:f>IF('Calculations'!EM346="","",IFERROR(IF(INDEX(INDIRECT("'WCM Calibration Final'!$G$1:$G$2000"),'Calculations'!$EM346)="","",TRIM(INDEX(INDIRECT("'WCM Calibration Final'!$G$1:$G$2000"),'Calculations'!$EM346)&amp;"")),""))</x:f>
      </x:c>
      <x:c r="JQ346" t="n">
        <x:f>IF(OR('Calculations'!BM346=0,NOT('Calculations'!$AG$2),'Calculations'!$AG$8&gt;0),0,IF(OR('Dashboard'!$B$7="All",'Calculations'!HN346='Dashboard'!$B$7),IF('Calculations'!$JJ$2="All",1,IF(AND('Calculations'!HF346='Calculations'!$JJ$2,'Calculations'!HL346=0),1,0)),0))</x:f>
        <x:v>0</x:v>
      </x:c>
    </x:row>
    <x:row r="347">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t="n">
        <x:f>IF('Calculations'!$EM347="",0,IF(OR(IFERROR(INDEX(INDIRECT("'WCM Calibration Final'!$A$1:$A$2000"),'Calculations'!$EM347)&lt;&gt;"",FALSE),IFERROR(INDEX(INDIRECT("'WCM Calibration Final'!$B$1:$B$2000"),'Calculations'!$EM347)&lt;&gt;"",FALSE),IFERROR(INDEX(INDIRECT("'WCM Calibration Final'!$C$1:$C$2000"),'Calculations'!$EM347)&lt;&gt;"",FALSE)),1,0))</x:f>
        <x:v>0</x:v>
      </x:c>
      <x:c r="BN347" s="4" t="n">
        <x:f>IF(AND('Calculations'!BM347=1,'Calculations'!$AG$2,'Calculations'!$EN347=1),1,0)</x:f>
        <x:v>0</x:v>
      </x:c>
      <x:c r="BO347" s="4" t="str">
        <x:f>IF('Calculations'!BM347=0,"",IFERROR(IF(AND(VALUE(INDEX(INDIRECT("'WCM Calibration Final'!$K$1:$K$2000"),'Calculations'!$EM347))&gt;=1,VALUE(INDEX(INDIRECT("'WCM Calibration Final'!$K$1:$K$2000"),'Calculations'!$EM347))&lt;=4,MOD(VALUE(INDEX(INDIRECT("'WCM Calibration Final'!$K$1:$K$2000"),'Calculations'!$EM347)),1)=0),VALUE(INDEX(INDIRECT("'WCM Calibration Final'!$K$1:$K$2000"),'Calculations'!$EM347)),""),""))</x:f>
      </x:c>
      <x:c r="BP347" s="4" t="str">
        <x:f>IF('Calculations'!BM347=0,"",IFERROR(IF(AND(VALUE(INDEX(INDIRECT("'WCM Calibration Final'!$L$1:$L$2000"),'Calculations'!$EM347))&gt;=1,VALUE(INDEX(INDIRECT("'WCM Calibration Final'!$L$1:$L$2000"),'Calculations'!$EM347))&lt;=4,MOD(VALUE(INDEX(INDIRECT("'WCM Calibration Final'!$L$1:$L$2000"),'Calculations'!$EM347)),1)=0),VALUE(INDEX(INDIRECT("'WCM Calibration Final'!$L$1:$L$2000"),'Calculations'!$EM347)),""),""))</x:f>
      </x:c>
      <x:c r="BQ347" s="4"/>
      <x:c r="BR347" s="4"/>
      <x:c r="BS347" s="4"/>
      <x:c r="BT347" s="4" t="n">
        <x:f>IF(AND('Calculations'!BM347=1,ISNUMBER('Calculations'!BO347),ISNUMBER('Calculations'!BP347)),1,0)</x:f>
        <x:v>0</x:v>
      </x:c>
      <x:c r="BU347" s="4" t="str">
        <x:f>IF('Calculations'!BM347=0,"",'Calculations'!$EO347)</x:f>
      </x:c>
      <x:c r="BV347" s="4" t="str">
        <x:f>IF('Calculations'!BM347=0,"",IFERROR(IF(OR(INDEX(INDIRECT("'WCM Calibration Final'!$H$1:$H$2000"),'Calculations'!$EM347)="MANAGING DIRECTOR",INDEX(INDIRECT("'WCM Calibration Final'!$H$1:$H$2000"),'Calculations'!$EM347)="DIRECTOR",INDEX(INDIRECT("'WCM Calibration Final'!$H$1:$H$2000"),'Calculations'!$EM347)="SENIOR VICE PRESIDENT",INDEX(INDIRECT("'WCM Calibration Final'!$H$1:$H$2000"),'Calculations'!$EM347)="VICE PRESIDENT",INDEX(INDIRECT("'WCM Calibration Final'!$H$1:$H$2000"),'Calculations'!$EM347)="ASSISTANT VICE PRESIDENT",INDEX(INDIRECT("'WCM Calibration Final'!$H$1:$H$2000"),'Calculations'!$EM347)="OFFICER"),UPPER(INDEX(INDIRECT("'WCM Calibration Final'!$H$1:$H$2000"),'Calculations'!$EM347)),"Other"),"Other"))</x:f>
      </x:c>
      <x:c r="BW347" s="4"/>
      <x:c r="BX347" s="4"/>
      <x:c r="BY347" s="4" t="n">
        <x:f>IF(AND('Calculations'!BM347=1,'Calculations'!BU347&lt;&gt;"",COUNTIF('Calculations'!$BU$12:BU347,'Calculations'!BU347)=1),MAX('Calculations'!$BY$11:BY346)+1,0)</x:f>
        <x:v>0</x:v>
      </x:c>
      <x:c r="BZ347" s="4" t="str">
        <x:f>IF('Dashboard'!$E$67="What",'Calculations'!BO347,'Calculations'!BP347)</x:f>
      </x:c>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t="str">
        <x:f>IF(336&gt;MAX('Calculations'!$HI$13:$HI$512),"",INDEX('Calculations'!$HN$13:$HN$512,MATCH(336,'Calculations'!$HI$13:$HI$512,0)))</x:f>
      </x:c>
      <x:c r="DB347" s="4" t="str">
        <x:f>IF(336&gt;MAX('Calculations'!$HH$13:$HH$512),"",INDEX('Calculations'!$HJ$13:$HJ$512,MATCH(336,'Calculations'!$HH$13:$HH$512,0)))</x:f>
      </x:c>
      <x:c r="DC347" s="4" t="str">
        <x:f>IF(ROW()-11&gt;MAX('Calculations'!$BY$13:$BY$512),"",INDEX('Calculations'!$BU$13:$BU$512,MATCH(ROW()-11,'Calculations'!$BY$13:$BY$512,0)))</x:f>
      </x:c>
      <x:c r="DD347" s="4" t="str">
        <x:f>IF(336&gt;MAX('Calculations'!$IK$13:$IK$512),"",INDEX('Calculations'!$HK$13:$HK$512,MATCH(336,'Calculations'!$IK$13:$IK$512,0)))</x:f>
      </x:c>
      <x:c r="DE347" s="4" t="str">
        <x:f>'Calculations'!DC347</x:f>
      </x:c>
      <x:c r="DF347" s="4" t="str">
        <x:f>IF('Calculations'!DE347="","",COUNTIFS('Calculations'!$BN$13:$BN$512,1,'Calculations'!$BU$13:$BU$512,'Calculations'!DE347))</x:f>
      </x:c>
      <x:c r="DG347" s="4" t="str">
        <x:f>IF('Calculations'!DE347="","",COUNTIFS('Calculations'!$BN$13:$BN$512,1,'Calculations'!$BU$13:$BU$512,'Calculations'!DE347,'Calculations'!$BT$13:$BT$512,1))</x:f>
      </x:c>
      <x:c r="DH347" s="4" t="str">
        <x:f>IF('Calculations'!DE347="","",'Calculations'!DF347-'Calculations'!DG347)</x:f>
      </x:c>
      <x:c r="DI347" s="4" t="str">
        <x:f>IF(OR('Calculations'!DE347="",'Calculations'!DF347=0),"",'Calculations'!DG347/'Calculations'!DF347)</x:f>
      </x:c>
      <x:c r="DJ347" s="4" t="str">
        <x:f>IF('Calculations'!DE347="","",COUNTIFS('Calculations'!$BN$13:$BN$512,1,'Calculations'!$BU$13:$BU$512,'Calculations'!DE347,'Calculations'!$BT$13:$BT$512,1,'Calculations'!$EE$13:$EE$512,"High"))</x:f>
      </x:c>
      <x:c r="DK347" s="4" t="str">
        <x:f>IF('Calculations'!DE347="","",COUNTIFS('Calculations'!$BN$13:$BN$512,1,'Calculations'!$BU$13:$BU$512,'Calculations'!DE347,'Calculations'!$BT$13:$BT$512,1,'Calculations'!$EE$13:$EE$512,"Strong"))</x:f>
      </x:c>
      <x:c r="DL347" s="4" t="str">
        <x:f>IF('Calculations'!DE347="","",COUNTIFS('Calculations'!$BN$13:$BN$512,1,'Calculations'!$BU$13:$BU$512,'Calculations'!DE347,'Calculations'!$BT$13:$BT$512,1,'Calculations'!$EE$13:$EE$512,"Solid"))</x:f>
      </x:c>
      <x:c r="DM347" s="4" t="str">
        <x:f>IF('Calculations'!DE347="","",COUNTIFS('Calculations'!$BN$13:$BN$512,1,'Calculations'!$BU$13:$BU$512,'Calculations'!DE347,'Calculations'!$BT$13:$BT$512,1,'Calculations'!$EE$13:$EE$512,"Low"))</x:f>
      </x:c>
      <x:c r="DN347" s="4" t="str">
        <x:f>IF('Calculations'!DE347="","",COUNTIFS('Calculations'!$BN$13:$BN$512,1,'Calculations'!$BU$13:$BU$512,'Calculations'!DE347,'Calculations'!$EP$13:$EP$512,1))</x:f>
      </x:c>
      <x:c r="DO347" s="4" t="str">
        <x:f>IF(OR('Calculations'!DE347="",'Calculations'!DG347=0),"",('Calculations'!DJ347+'Calculations'!DK347)/'Calculations'!DG347)</x:f>
      </x:c>
      <x:c r="DP347" s="4" t="n">
        <x:f>IF(AND('Calculations'!DE347&lt;&gt;"",'Calculations'!DF347&gt;0),COUNTIF('Calculations'!$DF$12:DF347,"&gt;0"),0)</x:f>
        <x:v>0</x:v>
      </x:c>
      <x:c r="DQ347" s="4" t="str">
        <x:f>IF(336&gt;MAX('Calculations'!$HH$13:$HH$512),"",INDEX('Calculations'!$HF$13:$HF$512,MATCH(336,'Calculations'!$HH$13:$HH$512,0)))</x:f>
      </x:c>
      <x:c r="DR347" s="4" t="str">
        <x:f>IF(336&gt;MAX('Calculations'!$IK$13:$IK$512),"",INDEX('Calculations'!$HE$13:$HE$512,MATCH(336,'Calculations'!$IK$13:$IK$512,0)))</x:f>
      </x:c>
      <x:c r="DS347" s="4"/>
      <x:c r="DT347" s="4"/>
      <x:c r="DU347" s="4"/>
      <x:c r="DV347" s="4"/>
      <x:c r="DW347" s="4"/>
      <x:c r="DX347" s="4"/>
      <x:c r="DY347" s="4"/>
      <x:c r="DZ347" s="4"/>
      <x:c r="EA347" s="4"/>
      <x:c r="EB347" s="4"/>
      <x:c r="EC347" s="4"/>
      <x:c r="ED347" s="4"/>
      <x:c r="EE347" s="4" t="str">
        <x:f>IF('Calculations'!BT347=0,"Not Rated",IF(OR('Calculations'!BO347&gt;=4,'Calculations'!BP347&gt;=4),"Low",IF('Calculations'!BO347+'Calculations'!BP347&lt;=3,"High",IF('Calculations'!BO347+'Calculations'!BP347&lt;=4,"Strong","Solid"))))</x:f>
        <x:v>Not Rated</x:v>
      </x:c>
      <x:c r="EF347" s="4"/>
      <x:c r="EG347" s="4"/>
      <x:c r="EH347" s="4"/>
      <x:c r="EI347" s="4"/>
      <x:c r="EJ347" s="4"/>
      <x:c r="EK347" s="4"/>
      <x:c r="EL347" s="4"/>
      <x:c r="EM347" s="4" t="str">
        <x:f>IF(335&gt;'Calculations'!$JB$2000,"",INDEX('Calculations'!$JA$12:$JA$2000,MATCH(335,'Calculations'!$JB$12:$JB$2000,0)))</x:f>
      </x:c>
      <x:c r="EN347" s="4" t="n">
        <x:f>IF(OR('Calculations'!EM347="",'Calculations'!$AG$8&gt;0,AND('Calculations'!$EF$2&lt;&gt;"All",'Calculations'!HE347='Calculations'!$EF$2),AND('Calculations'!$EF$3&lt;&gt;"All",'Calculations'!HE347='Calculations'!$EF$3)),0,IF(OR('Dashboard'!$B$7="All",'Calculations'!HN347='Dashboard'!$B$7),IF('Calculations'!$EF$2="All",1,IF('Calculations'!HL347&gt;0,0,IF(COUNTIF('Calculations'!HO347:II347,"="&amp;SUBSTITUTE(SUBSTITUTE(SUBSTITUTE('Calculations'!$EF$2,"~","~~"),"*","~*"),"?","~?"))=0,0,IF('Calculations'!$EF$3="All",1,IF(COUNTIF('Calculations'!HO347:II347,"="&amp;SUBSTITUTE(SUBSTITUTE(SUBSTITUTE('Calculations'!$EF$3,"~","~~"),"*","~*"),"?","~?"))&gt;0,1,0))))),0))</x:f>
        <x:v>0</x:v>
      </x:c>
      <x:c r="EO347" s="4" t="str">
        <x:f>IF('Calculations'!IJ347="","",IF('Calculations'!IJ347="!UNRESOLVED","Unresolved hierarchy",IFERROR(INDEX('Calculations'!$HK$13:$HK$512,MATCH('Calculations'!IJ347,'Calculations'!$HE$13:$HE$512,0)),IFERROR(INDEX('Calculations'!$HJ$13:$HJ$512,MATCH('Calculations'!IJ347,'Calculations'!$HF$13:$HF$512,0)),'Calculations'!IJ347))))</x:f>
      </x:c>
      <x:c r="EP347" s="4" t="n">
        <x:f>IF(AND('Calculations'!EM347&lt;&gt;"",'Calculations'!HF347='Calculations'!IJ347),1,0)</x:f>
        <x:v>0</x:v>
      </x:c>
      <x:c r="EQ347" s="4"/>
      <x:c r="ER347" s="4"/>
      <x:c r="ES347" s="4"/>
      <x:c r="ET347" s="4"/>
      <x:c r="EU347" s="4"/>
      <x:c r="EV347" s="4"/>
      <x:c r="EW347" s="4"/>
      <x:c r="EX347" s="4"/>
      <x:c r="EY347" s="4"/>
      <x:c r="EZ347" s="4"/>
      <x:c r="FA347" s="4"/>
      <x:c r="FB347" s="4"/>
      <x:c r="FC347" s="4"/>
      <x:c r="FD347" s="4"/>
      <x:c r="FE347" s="4"/>
      <x:c r="FF347" s="4"/>
      <x:c r="FG347" s="4"/>
      <x:c r="FH347" s="4"/>
      <x:c r="FI347" s="4"/>
      <x:c r="FJ347" s="4"/>
      <x:c r="FK347" s="4"/>
      <x:c r="FL347" s="4"/>
      <x:c r="FM347" s="4"/>
      <x:c r="FN347" s="4"/>
      <x:c r="FO347" s="4"/>
      <x:c r="HE347" t="str">
        <x:f>IF('Calculations'!EM347="","",IF(IFERROR(IF(INDEX(INDIRECT("'WCM Calibration Final'!$A$1:$A$2000"),'Calculations'!$EM347)="","",TRIM(INDEX(INDIRECT("'WCM Calibration Final'!$A$1:$A$2000"),'Calculations'!$EM347)&amp;"")),"")&lt;&gt;"","G:"&amp;IFERROR(TEXT(1*INDEX(INDIRECT("'WCM Calibration Final'!$A$1:$A$2000"),'Calculations'!$EM347),"0"),UPPER(IFERROR(IF(INDEX(INDIRECT("'WCM Calibration Final'!$A$1:$A$2000"),'Calculations'!$EM347)="","",TRIM(INDEX(INDIRECT("'WCM Calibration Final'!$A$1:$A$2000"),'Calculations'!$EM347)&amp;"")),""))),IF(IFERROR(IF(INDEX(INDIRECT("'WCM Calibration Final'!$C$1:$C$2000"),'Calculations'!$EM347)="","",TRIM(INDEX(INDIRECT("'WCM Calibration Final'!$C$1:$C$2000"),'Calculations'!$EM347)&amp;"")),"")&lt;&gt;"","S:"&amp;UPPER(IFERROR(IF(INDEX(INDIRECT("'WCM Calibration Final'!$C$1:$C$2000"),'Calculations'!$EM347)="","",TRIM(INDEX(INDIRECT("'WCM Calibration Final'!$C$1:$C$2000"),'Calculations'!$EM347)&amp;"")),"")),"R:"&amp;'Calculations'!EM347)))</x:f>
      </x:c>
      <x:c r="HF347" t="str">
        <x:f>IF('Calculations'!EM347="","",IF(IFERROR(IF(INDEX(INDIRECT("'WCM Calibration Final'!$D$1:$D$2000"),'Calculations'!$EM347)="","",TRIM(INDEX(INDIRECT("'WCM Calibration Final'!$D$1:$D$2000"),'Calculations'!$EM347)&amp;"")),"")&lt;&gt;"","G:"&amp;IFERROR(TEXT(1*INDEX(INDIRECT("'WCM Calibration Final'!$D$1:$D$2000"),'Calculations'!$EM347),"0"),UPPER(IFERROR(IF(INDEX(INDIRECT("'WCM Calibration Final'!$D$1:$D$2000"),'Calculations'!$EM347)="","",TRIM(INDEX(INDIRECT("'WCM Calibration Final'!$D$1:$D$2000"),'Calculations'!$EM347)&amp;"")),""))),IF(IFERROR(IF(INDEX(INDIRECT("'WCM Calibration Final'!$E$1:$E$2000"),'Calculations'!$EM347)="","",TRIM(INDEX(INDIRECT("'WCM Calibration Final'!$E$1:$E$2000"),'Calculations'!$EM347)&amp;"")),"")="","",IF(COUNTIF('Calculations'!$HG$13:$HG$512,"="&amp;SUBSTITUTE(SUBSTITUTE(SUBSTITUTE(IFERROR(IF(INDEX(INDIRECT("'WCM Calibration Final'!$E$1:$E$2000"),'Calculations'!$EM347)="","",TRIM(INDEX(INDIRECT("'WCM Calibration Final'!$E$1:$E$2000"),'Calculations'!$EM347)&amp;"")),""),"~","~~"),"*","~*"),"?","~?"))=1,INDEX('Calculations'!$HE$13:$HE$512,MATCH(IFERROR(IF(INDEX(INDIRECT("'WCM Calibration Final'!$E$1:$E$2000"),'Calculations'!$EM347)="","",TRIM(INDEX(INDIRECT("'WCM Calibration Final'!$E$1:$E$2000"),'Calculations'!$EM347)&amp;"")),""),'Calculations'!$HG$13:$HG$512,0)),IF(COUNTIF('Calculations'!$HG$13:$HG$512,"="&amp;SUBSTITUTE(SUBSTITUTE(SUBSTITUTE(IFERROR(IF(INDEX(INDIRECT("'WCM Calibration Final'!$E$1:$E$2000"),'Calculations'!$EM347)="","",TRIM(INDEX(INDIRECT("'WCM Calibration Final'!$E$1:$E$2000"),'Calculations'!$EM347)&amp;"")),""),"~","~~"),"*","~*"),"?","~?"))&gt;1,"!AMBIG","X:"&amp;IFERROR(IF(INDEX(INDIRECT("'WCM Calibration Final'!$E$1:$E$2000"),'Calculations'!$EM347)="","",TRIM(INDEX(INDIRECT("'WCM Calibration Final'!$E$1:$E$2000"),'Calculations'!$EM347)&amp;"")),""))))))</x:f>
      </x:c>
      <x:c r="HG347" t="str">
        <x:f>IF('Calculations'!EM347="","",IFERROR(IF(INDEX(INDIRECT("'WCM Calibration Final'!$B$1:$B$2000"),'Calculations'!$EM347)="","",TRIM(INDEX(INDIRECT("'WCM Calibration Final'!$B$1:$B$2000"),'Calculations'!$EM347)&amp;"")),""))</x:f>
      </x:c>
      <x:c r="HH347" t="n">
        <x:f>IF(AND('Calculations'!JC347&gt;0,COUNTIF('Calculations'!$HF$12:HF347,"="&amp;SUBSTITUTE(SUBSTITUTE(SUBSTITUTE('Calculations'!HF347,"~","~~"),"*","~*"),"?","~?"))=1),MAX('Calculations'!$HH$12:HH346)+1,0)</x:f>
        <x:v>0</x:v>
      </x:c>
      <x:c r="HI347" t="n">
        <x:f>IF(AND('Calculations'!HN347&lt;&gt;"",COUNTIF('Calculations'!$HN$12:HN347,"="&amp;SUBSTITUTE(SUBSTITUTE(SUBSTITUTE('Calculations'!HN347,"~","~~"),"*","~*"),"?","~?"))=1),MAX('Calculations'!$HI$12:HI346)+1,0)</x:f>
        <x:v>0</x:v>
      </x:c>
      <x:c r="HJ347" t="str">
        <x:f>IF('Calculations'!HF347="","",IF(COUNTIF('Calculations'!$HE$13:$HE$512,"="&amp;SUBSTITUTE(SUBSTITUTE(SUBSTITUTE('Calculations'!HF347,"~","~~"),"*","~*"),"?","~?"))=1,INDEX('Calculations'!$HK$13:$HK$512,MATCH('Calculations'!HF347,'Calculations'!$HE$13:$HE$512,0)),IFERROR(IF(INDEX(INDIRECT("'WCM Calibration Final'!$E$1:$E$2000"),'Calculations'!$EM347)="","",TRIM(INDEX(INDIRECT("'WCM Calibration Final'!$E$1:$E$2000"),'Calculations'!$EM347)&amp;"")),"")&amp;" ["&amp;'Calculations'!HF347&amp;"]"))</x:f>
      </x:c>
      <x:c r="HK347" t="str">
        <x:f>IF('Calculations'!EM347="","",'Calculations'!HG347&amp;" ["&amp;'Calculations'!HE347&amp;"]")</x:f>
      </x:c>
      <x:c r="HL347" t="n">
        <x:f>IF('Calculations'!EM347="",0,IF(OR('Calculations'!II347&lt;&gt;"",COUNTIF('Calculations'!$HE$13:$HE$512,"="&amp;SUBSTITUTE(SUBSTITUTE(SUBSTITUTE('Calculations'!HE347,"~","~~"),"*","~*"),"?","~?"))&gt;1),1,0))</x:f>
        <x:v>0</x:v>
      </x:c>
      <x:c r="HM347" t="str">
        <x:f>IF('Calculations'!EM347="","",IF('Calculations'!HL347=1,"!UNRESOLVED",IF('Calculations'!IH347&lt;&gt;"",'Calculations'!IH347,IF('Calculations'!IG347&lt;&gt;"",'Calculations'!IG347,IF('Calculations'!IF347&lt;&gt;"",'Calculations'!IF347,IF('Calculations'!IE347&lt;&gt;"",'Calculations'!IE347,IF('Calculations'!ID347&lt;&gt;"",'Calculations'!ID347,IF('Calculations'!IC347&lt;&gt;"",'Calculations'!IC347,IF('Calculations'!IB347&lt;&gt;"",'Calculations'!IB347,IF('Calculations'!IA347&lt;&gt;"",'Calculations'!IA347,IF('Calculations'!HZ347&lt;&gt;"",'Calculations'!HZ347,IF('Calculations'!HY347&lt;&gt;"",'Calculations'!HY347,IF('Calculations'!HX347&lt;&gt;"",'Calculations'!HX347,IF('Calculations'!HW347&lt;&gt;"",'Calculations'!HW347,IF('Calculations'!HV347&lt;&gt;"",'Calculations'!HV347,IF('Calculations'!HU347&lt;&gt;"",'Calculations'!HU347,IF('Calculations'!HT347&lt;&gt;"",'Calculations'!HT347,IF('Calculations'!HS347&lt;&gt;"",'Calculations'!HS347,IF('Calculations'!HR347&lt;&gt;"",'Calculations'!HR347,IF('Calculations'!HQ347&lt;&gt;"",'Calculations'!HQ347,IF('Calculations'!HP347&lt;&gt;"",'Calculations'!HP347,IF('Calculations'!HO347&lt;&gt;"",'Calculations'!HO347,'Calculations'!HE347))))))))))))))))))))))</x:f>
      </x:c>
      <x:c r="HN347" t="str">
        <x:f>IF('Calculations'!EM347="","",IF(IFERROR(IF(INDEX(INDIRECT("'WCM Calibration Final'!$F$1:$F$2000"),'Calculations'!$EM347)="","",TRIM(INDEX(INDIRECT("'WCM Calibration Final'!$F$1:$F$2000"),'Calculations'!$EM347)&amp;"")),"")="","(Blank)",IFERROR(IF(INDEX(INDIRECT("'WCM Calibration Final'!$F$1:$F$2000"),'Calculations'!$EM347)="","",TRIM(INDEX(INDIRECT("'WCM Calibration Final'!$F$1:$F$2000"),'Calculations'!$EM347)&amp;"")),"")))</x:f>
      </x:c>
      <x:c r="HO347" t="str">
        <x:f>'Calculations'!HF347</x:f>
      </x:c>
      <x:c r="HP347" t="str">
        <x:f>IF('Calculations'!HO347="","",IF('Calculations'!HO347="!AMBIG","!AMBIG",IF(COUNTIF('Calculations'!$HE$13:$HE$512,"="&amp;SUBSTITUTE(SUBSTITUTE(SUBSTITUTE('Calculations'!HO347,"~","~~"),"*","~*"),"?","~?"))&gt;1,"!AMBIG",IFERROR(INDEX('Calculations'!$HF$13:$HF$512,MATCH('Calculations'!HO347,'Calculations'!$HE$13:$HE$512,0)),""))))</x:f>
      </x:c>
      <x:c r="HQ347" t="str">
        <x:f>IF('Calculations'!HP347="","",IF('Calculations'!HP347="!AMBIG","!AMBIG",IF(COUNTIF('Calculations'!$HE$13:$HE$512,"="&amp;SUBSTITUTE(SUBSTITUTE(SUBSTITUTE('Calculations'!HP347,"~","~~"),"*","~*"),"?","~?"))&gt;1,"!AMBIG",IFERROR(INDEX('Calculations'!$HF$13:$HF$512,MATCH('Calculations'!HP347,'Calculations'!$HE$13:$HE$512,0)),""))))</x:f>
      </x:c>
      <x:c r="HR347" t="str">
        <x:f>IF('Calculations'!HQ347="","",IF('Calculations'!HQ347="!AMBIG","!AMBIG",IF(COUNTIF('Calculations'!$HE$13:$HE$512,"="&amp;SUBSTITUTE(SUBSTITUTE(SUBSTITUTE('Calculations'!HQ347,"~","~~"),"*","~*"),"?","~?"))&gt;1,"!AMBIG",IFERROR(INDEX('Calculations'!$HF$13:$HF$512,MATCH('Calculations'!HQ347,'Calculations'!$HE$13:$HE$512,0)),""))))</x:f>
      </x:c>
      <x:c r="HS347" t="str">
        <x:f>IF('Calculations'!HR347="","",IF('Calculations'!HR347="!AMBIG","!AMBIG",IF(COUNTIF('Calculations'!$HE$13:$HE$512,"="&amp;SUBSTITUTE(SUBSTITUTE(SUBSTITUTE('Calculations'!HR347,"~","~~"),"*","~*"),"?","~?"))&gt;1,"!AMBIG",IFERROR(INDEX('Calculations'!$HF$13:$HF$512,MATCH('Calculations'!HR347,'Calculations'!$HE$13:$HE$512,0)),""))))</x:f>
      </x:c>
      <x:c r="HT347" t="str">
        <x:f>IF('Calculations'!HS347="","",IF('Calculations'!HS347="!AMBIG","!AMBIG",IF(COUNTIF('Calculations'!$HE$13:$HE$512,"="&amp;SUBSTITUTE(SUBSTITUTE(SUBSTITUTE('Calculations'!HS347,"~","~~"),"*","~*"),"?","~?"))&gt;1,"!AMBIG",IFERROR(INDEX('Calculations'!$HF$13:$HF$512,MATCH('Calculations'!HS347,'Calculations'!$HE$13:$HE$512,0)),""))))</x:f>
      </x:c>
      <x:c r="HU347" t="str">
        <x:f>IF('Calculations'!HT347="","",IF('Calculations'!HT347="!AMBIG","!AMBIG",IF(COUNTIF('Calculations'!$HE$13:$HE$512,"="&amp;SUBSTITUTE(SUBSTITUTE(SUBSTITUTE('Calculations'!HT347,"~","~~"),"*","~*"),"?","~?"))&gt;1,"!AMBIG",IFERROR(INDEX('Calculations'!$HF$13:$HF$512,MATCH('Calculations'!HT347,'Calculations'!$HE$13:$HE$512,0)),""))))</x:f>
      </x:c>
      <x:c r="HV347" t="str">
        <x:f>IF('Calculations'!HU347="","",IF('Calculations'!HU347="!AMBIG","!AMBIG",IF(COUNTIF('Calculations'!$HE$13:$HE$512,"="&amp;SUBSTITUTE(SUBSTITUTE(SUBSTITUTE('Calculations'!HU347,"~","~~"),"*","~*"),"?","~?"))&gt;1,"!AMBIG",IFERROR(INDEX('Calculations'!$HF$13:$HF$512,MATCH('Calculations'!HU347,'Calculations'!$HE$13:$HE$512,0)),""))))</x:f>
      </x:c>
      <x:c r="HW347" t="str">
        <x:f>IF('Calculations'!HV347="","",IF('Calculations'!HV347="!AMBIG","!AMBIG",IF(COUNTIF('Calculations'!$HE$13:$HE$512,"="&amp;SUBSTITUTE(SUBSTITUTE(SUBSTITUTE('Calculations'!HV347,"~","~~"),"*","~*"),"?","~?"))&gt;1,"!AMBIG",IFERROR(INDEX('Calculations'!$HF$13:$HF$512,MATCH('Calculations'!HV347,'Calculations'!$HE$13:$HE$512,0)),""))))</x:f>
      </x:c>
      <x:c r="HX347" t="str">
        <x:f>IF('Calculations'!HW347="","",IF('Calculations'!HW347="!AMBIG","!AMBIG",IF(COUNTIF('Calculations'!$HE$13:$HE$512,"="&amp;SUBSTITUTE(SUBSTITUTE(SUBSTITUTE('Calculations'!HW347,"~","~~"),"*","~*"),"?","~?"))&gt;1,"!AMBIG",IFERROR(INDEX('Calculations'!$HF$13:$HF$512,MATCH('Calculations'!HW347,'Calculations'!$HE$13:$HE$512,0)),""))))</x:f>
      </x:c>
      <x:c r="HY347" t="str">
        <x:f>IF('Calculations'!HX347="","",IF('Calculations'!HX347="!AMBIG","!AMBIG",IF(COUNTIF('Calculations'!$HE$13:$HE$512,"="&amp;SUBSTITUTE(SUBSTITUTE(SUBSTITUTE('Calculations'!HX347,"~","~~"),"*","~*"),"?","~?"))&gt;1,"!AMBIG",IFERROR(INDEX('Calculations'!$HF$13:$HF$512,MATCH('Calculations'!HX347,'Calculations'!$HE$13:$HE$512,0)),""))))</x:f>
      </x:c>
      <x:c r="HZ347" t="str">
        <x:f>IF('Calculations'!HY347="","",IF('Calculations'!HY347="!AMBIG","!AMBIG",IF(COUNTIF('Calculations'!$HE$13:$HE$512,"="&amp;SUBSTITUTE(SUBSTITUTE(SUBSTITUTE('Calculations'!HY347,"~","~~"),"*","~*"),"?","~?"))&gt;1,"!AMBIG",IFERROR(INDEX('Calculations'!$HF$13:$HF$512,MATCH('Calculations'!HY347,'Calculations'!$HE$13:$HE$512,0)),""))))</x:f>
      </x:c>
      <x:c r="IA347" t="str">
        <x:f>IF('Calculations'!HZ347="","",IF('Calculations'!HZ347="!AMBIG","!AMBIG",IF(COUNTIF('Calculations'!$HE$13:$HE$512,"="&amp;SUBSTITUTE(SUBSTITUTE(SUBSTITUTE('Calculations'!HZ347,"~","~~"),"*","~*"),"?","~?"))&gt;1,"!AMBIG",IFERROR(INDEX('Calculations'!$HF$13:$HF$512,MATCH('Calculations'!HZ347,'Calculations'!$HE$13:$HE$512,0)),""))))</x:f>
      </x:c>
      <x:c r="IB347" t="str">
        <x:f>IF('Calculations'!IA347="","",IF('Calculations'!IA347="!AMBIG","!AMBIG",IF(COUNTIF('Calculations'!$HE$13:$HE$512,"="&amp;SUBSTITUTE(SUBSTITUTE(SUBSTITUTE('Calculations'!IA347,"~","~~"),"*","~*"),"?","~?"))&gt;1,"!AMBIG",IFERROR(INDEX('Calculations'!$HF$13:$HF$512,MATCH('Calculations'!IA347,'Calculations'!$HE$13:$HE$512,0)),""))))</x:f>
      </x:c>
      <x:c r="IC347" t="str">
        <x:f>IF('Calculations'!IB347="","",IF('Calculations'!IB347="!AMBIG","!AMBIG",IF(COUNTIF('Calculations'!$HE$13:$HE$512,"="&amp;SUBSTITUTE(SUBSTITUTE(SUBSTITUTE('Calculations'!IB347,"~","~~"),"*","~*"),"?","~?"))&gt;1,"!AMBIG",IFERROR(INDEX('Calculations'!$HF$13:$HF$512,MATCH('Calculations'!IB347,'Calculations'!$HE$13:$HE$512,0)),""))))</x:f>
      </x:c>
      <x:c r="ID347" t="str">
        <x:f>IF('Calculations'!IC347="","",IF('Calculations'!IC347="!AMBIG","!AMBIG",IF(COUNTIF('Calculations'!$HE$13:$HE$512,"="&amp;SUBSTITUTE(SUBSTITUTE(SUBSTITUTE('Calculations'!IC347,"~","~~"),"*","~*"),"?","~?"))&gt;1,"!AMBIG",IFERROR(INDEX('Calculations'!$HF$13:$HF$512,MATCH('Calculations'!IC347,'Calculations'!$HE$13:$HE$512,0)),""))))</x:f>
      </x:c>
      <x:c r="IE347" t="str">
        <x:f>IF('Calculations'!ID347="","",IF('Calculations'!ID347="!AMBIG","!AMBIG",IF(COUNTIF('Calculations'!$HE$13:$HE$512,"="&amp;SUBSTITUTE(SUBSTITUTE(SUBSTITUTE('Calculations'!ID347,"~","~~"),"*","~*"),"?","~?"))&gt;1,"!AMBIG",IFERROR(INDEX('Calculations'!$HF$13:$HF$512,MATCH('Calculations'!ID347,'Calculations'!$HE$13:$HE$512,0)),""))))</x:f>
      </x:c>
      <x:c r="IF347" t="str">
        <x:f>IF('Calculations'!IE347="","",IF('Calculations'!IE347="!AMBIG","!AMBIG",IF(COUNTIF('Calculations'!$HE$13:$HE$512,"="&amp;SUBSTITUTE(SUBSTITUTE(SUBSTITUTE('Calculations'!IE347,"~","~~"),"*","~*"),"?","~?"))&gt;1,"!AMBIG",IFERROR(INDEX('Calculations'!$HF$13:$HF$512,MATCH('Calculations'!IE347,'Calculations'!$HE$13:$HE$512,0)),""))))</x:f>
      </x:c>
      <x:c r="IG347" t="str">
        <x:f>IF('Calculations'!IF347="","",IF('Calculations'!IF347="!AMBIG","!AMBIG",IF(COUNTIF('Calculations'!$HE$13:$HE$512,"="&amp;SUBSTITUTE(SUBSTITUTE(SUBSTITUTE('Calculations'!IF347,"~","~~"),"*","~*"),"?","~?"))&gt;1,"!AMBIG",IFERROR(INDEX('Calculations'!$HF$13:$HF$512,MATCH('Calculations'!IF347,'Calculations'!$HE$13:$HE$512,0)),""))))</x:f>
      </x:c>
      <x:c r="IH347" t="str">
        <x:f>IF('Calculations'!IG347="","",IF('Calculations'!IG347="!AMBIG","!AMBIG",IF(COUNTIF('Calculations'!$HE$13:$HE$512,"="&amp;SUBSTITUTE(SUBSTITUTE(SUBSTITUTE('Calculations'!IG347,"~","~~"),"*","~*"),"?","~?"))&gt;1,"!AMBIG",IFERROR(INDEX('Calculations'!$HF$13:$HF$512,MATCH('Calculations'!IG347,'Calculations'!$HE$13:$HE$512,0)),""))))</x:f>
      </x:c>
      <x:c r="II347" t="str">
        <x:f>IF('Calculations'!IH347="","",IF('Calculations'!IH347="!AMBIG","!AMBIG",IF(COUNTIF('Calculations'!$HE$13:$HE$512,"="&amp;SUBSTITUTE(SUBSTITUTE(SUBSTITUTE('Calculations'!IH347,"~","~~"),"*","~*"),"?","~?"))&gt;1,"!AMBIG",IFERROR(INDEX('Calculations'!$HF$13:$HF$512,MATCH('Calculations'!IH347,'Calculations'!$HE$13:$HE$512,0)),""))))</x:f>
      </x:c>
      <x:c r="IJ347" t="str">
        <x:f>IF('Calculations'!EM347="","",IF('Calculations'!$EF$2="All",'Calculations'!HM347,IF('Calculations'!HL347=1,"",IFERROR(IF(MATCH('Calculations'!$EF$2,'Calculations'!HO347:II347,0)=1,'Calculations'!HE347,INDEX('Calculations'!HO347:II347,1,MATCH('Calculations'!$EF$2,'Calculations'!HO347:II347,0)-1)),""))))</x:f>
      </x:c>
      <x:c r="IK347" t="n">
        <x:f>IF(AND('Calculations'!EM347&lt;&gt;"",'Calculations'!$EF$2&lt;&gt;"All",'Calculations'!HF347='Calculations'!$EF$2,'Calculations'!HL347=0,'Calculations'!JD347&gt;0),MAX('Calculations'!$IK$12:IK346)+1,0)</x:f>
        <x:v>0</x:v>
      </x:c>
      <x:c r="JA347" t="n">
        <x:f>IF(OR(IFERROR(INDIRECT("'WCM Calibration Final'!$A$347")&lt;&gt;"",FALSE),IFERROR(INDIRECT("'WCM Calibration Final'!$B$347")&lt;&gt;"",FALSE),IFERROR(INDIRECT("'WCM Calibration Final'!$C$347")&lt;&gt;"",FALSE)),347,0)</x:f>
        <x:v>0</x:v>
      </x:c>
      <x:c r="JB347" t="n">
        <x:f>'Calculations'!JB346+IF('Calculations'!JA347&gt;0,1,0)</x:f>
        <x:v>0</x:v>
      </x:c>
      <x:c r="JC347" t="n">
        <x:f>IF(OR('Calculations'!HF347="",'Calculations'!HF347="!AMBIG"),0,IF('Dashboard'!$B$7="All",1,COUNTIFS('Calculations'!$HO$13:$HO$512,"="&amp;SUBSTITUTE(SUBSTITUTE(SUBSTITUTE('Calculations'!HF347,"~","~~"),"*","~*"),"?","~?"),'Calculations'!$HN$13:$HN$512,"="&amp;SUBSTITUTE(SUBSTITUTE(SUBSTITUTE('Dashboard'!$B$7,"~","~~"),"*","~*"),"?","~?"))+COUNTIFS('Calculations'!$HP$13:$HP$512,"="&amp;SUBSTITUTE(SUBSTITUTE(SUBSTITUTE('Calculations'!HF347,"~","~~"),"*","~*"),"?","~?"),'Calculations'!$HN$13:$HN$512,"="&amp;SUBSTITUTE(SUBSTITUTE(SUBSTITUTE('Dashboard'!$B$7,"~","~~"),"*","~*"),"?","~?"))+COUNTIFS('Calculations'!$HQ$13:$HQ$512,"="&amp;SUBSTITUTE(SUBSTITUTE(SUBSTITUTE('Calculations'!HF347,"~","~~"),"*","~*"),"?","~?"),'Calculations'!$HN$13:$HN$512,"="&amp;SUBSTITUTE(SUBSTITUTE(SUBSTITUTE('Dashboard'!$B$7,"~","~~"),"*","~*"),"?","~?"))+COUNTIFS('Calculations'!$HR$13:$HR$512,"="&amp;SUBSTITUTE(SUBSTITUTE(SUBSTITUTE('Calculations'!HF347,"~","~~"),"*","~*"),"?","~?"),'Calculations'!$HN$13:$HN$512,"="&amp;SUBSTITUTE(SUBSTITUTE(SUBSTITUTE('Dashboard'!$B$7,"~","~~"),"*","~*"),"?","~?"))+COUNTIFS('Calculations'!$HS$13:$HS$512,"="&amp;SUBSTITUTE(SUBSTITUTE(SUBSTITUTE('Calculations'!HF347,"~","~~"),"*","~*"),"?","~?"),'Calculations'!$HN$13:$HN$512,"="&amp;SUBSTITUTE(SUBSTITUTE(SUBSTITUTE('Dashboard'!$B$7,"~","~~"),"*","~*"),"?","~?"))+COUNTIFS('Calculations'!$HT$13:$HT$512,"="&amp;SUBSTITUTE(SUBSTITUTE(SUBSTITUTE('Calculations'!HF347,"~","~~"),"*","~*"),"?","~?"),'Calculations'!$HN$13:$HN$512,"="&amp;SUBSTITUTE(SUBSTITUTE(SUBSTITUTE('Dashboard'!$B$7,"~","~~"),"*","~*"),"?","~?"))+COUNTIFS('Calculations'!$HU$13:$HU$512,"="&amp;SUBSTITUTE(SUBSTITUTE(SUBSTITUTE('Calculations'!HF347,"~","~~"),"*","~*"),"?","~?"),'Calculations'!$HN$13:$HN$512,"="&amp;SUBSTITUTE(SUBSTITUTE(SUBSTITUTE('Dashboard'!$B$7,"~","~~"),"*","~*"),"?","~?"))+COUNTIFS('Calculations'!$HV$13:$HV$512,"="&amp;SUBSTITUTE(SUBSTITUTE(SUBSTITUTE('Calculations'!HF347,"~","~~"),"*","~*"),"?","~?"),'Calculations'!$HN$13:$HN$512,"="&amp;SUBSTITUTE(SUBSTITUTE(SUBSTITUTE('Dashboard'!$B$7,"~","~~"),"*","~*"),"?","~?"))+COUNTIFS('Calculations'!$HW$13:$HW$512,"="&amp;SUBSTITUTE(SUBSTITUTE(SUBSTITUTE('Calculations'!HF347,"~","~~"),"*","~*"),"?","~?"),'Calculations'!$HN$13:$HN$512,"="&amp;SUBSTITUTE(SUBSTITUTE(SUBSTITUTE('Dashboard'!$B$7,"~","~~"),"*","~*"),"?","~?"))+COUNTIFS('Calculations'!$HX$13:$HX$512,"="&amp;SUBSTITUTE(SUBSTITUTE(SUBSTITUTE('Calculations'!HF347,"~","~~"),"*","~*"),"?","~?"),'Calculations'!$HN$13:$HN$512,"="&amp;SUBSTITUTE(SUBSTITUTE(SUBSTITUTE('Dashboard'!$B$7,"~","~~"),"*","~*"),"?","~?"))+COUNTIFS('Calculations'!$HY$13:$HY$512,"="&amp;SUBSTITUTE(SUBSTITUTE(SUBSTITUTE('Calculations'!HF347,"~","~~"),"*","~*"),"?","~?"),'Calculations'!$HN$13:$HN$512,"="&amp;SUBSTITUTE(SUBSTITUTE(SUBSTITUTE('Dashboard'!$B$7,"~","~~"),"*","~*"),"?","~?"))+COUNTIFS('Calculations'!$HZ$13:$HZ$512,"="&amp;SUBSTITUTE(SUBSTITUTE(SUBSTITUTE('Calculations'!HF347,"~","~~"),"*","~*"),"?","~?"),'Calculations'!$HN$13:$HN$512,"="&amp;SUBSTITUTE(SUBSTITUTE(SUBSTITUTE('Dashboard'!$B$7,"~","~~"),"*","~*"),"?","~?"))+COUNTIFS('Calculations'!$IA$13:$IA$512,"="&amp;SUBSTITUTE(SUBSTITUTE(SUBSTITUTE('Calculations'!HF347,"~","~~"),"*","~*"),"?","~?"),'Calculations'!$HN$13:$HN$512,"="&amp;SUBSTITUTE(SUBSTITUTE(SUBSTITUTE('Dashboard'!$B$7,"~","~~"),"*","~*"),"?","~?"))+COUNTIFS('Calculations'!$IB$13:$IB$512,"="&amp;SUBSTITUTE(SUBSTITUTE(SUBSTITUTE('Calculations'!HF347,"~","~~"),"*","~*"),"?","~?"),'Calculations'!$HN$13:$HN$512,"="&amp;SUBSTITUTE(SUBSTITUTE(SUBSTITUTE('Dashboard'!$B$7,"~","~~"),"*","~*"),"?","~?"))+COUNTIFS('Calculations'!$IC$13:$IC$512,"="&amp;SUBSTITUTE(SUBSTITUTE(SUBSTITUTE('Calculations'!HF347,"~","~~"),"*","~*"),"?","~?"),'Calculations'!$HN$13:$HN$512,"="&amp;SUBSTITUTE(SUBSTITUTE(SUBSTITUTE('Dashboard'!$B$7,"~","~~"),"*","~*"),"?","~?"))+COUNTIFS('Calculations'!$ID$13:$ID$512,"="&amp;SUBSTITUTE(SUBSTITUTE(SUBSTITUTE('Calculations'!HF347,"~","~~"),"*","~*"),"?","~?"),'Calculations'!$HN$13:$HN$512,"="&amp;SUBSTITUTE(SUBSTITUTE(SUBSTITUTE('Dashboard'!$B$7,"~","~~"),"*","~*"),"?","~?"))+COUNTIFS('Calculations'!$IE$13:$IE$512,"="&amp;SUBSTITUTE(SUBSTITUTE(SUBSTITUTE('Calculations'!HF347,"~","~~"),"*","~*"),"?","~?"),'Calculations'!$HN$13:$HN$512,"="&amp;SUBSTITUTE(SUBSTITUTE(SUBSTITUTE('Dashboard'!$B$7,"~","~~"),"*","~*"),"?","~?"))+COUNTIFS('Calculations'!$IF$13:$IF$512,"="&amp;SUBSTITUTE(SUBSTITUTE(SUBSTITUTE('Calculations'!HF347,"~","~~"),"*","~*"),"?","~?"),'Calculations'!$HN$13:$HN$512,"="&amp;SUBSTITUTE(SUBSTITUTE(SUBSTITUTE('Dashboard'!$B$7,"~","~~"),"*","~*"),"?","~?"))+COUNTIFS('Calculations'!$IG$13:$IG$512,"="&amp;SUBSTITUTE(SUBSTITUTE(SUBSTITUTE('Calculations'!HF347,"~","~~"),"*","~*"),"?","~?"),'Calculations'!$HN$13:$HN$512,"="&amp;SUBSTITUTE(SUBSTITUTE(SUBSTITUTE('Dashboard'!$B$7,"~","~~"),"*","~*"),"?","~?"))+COUNTIFS('Calculations'!$IH$13:$IH$512,"="&amp;SUBSTITUTE(SUBSTITUTE(SUBSTITUTE('Calculations'!HF347,"~","~~"),"*","~*"),"?","~?"),'Calculations'!$HN$13:$HN$512,"="&amp;SUBSTITUTE(SUBSTITUTE(SUBSTITUTE('Dashboard'!$B$7,"~","~~"),"*","~*"),"?","~?"))))</x:f>
        <x:v>0</x:v>
      </x:c>
      <x:c r="JD347" t="n">
        <x:f>IF('Calculations'!EM347="",0,IF('Dashboard'!$B$7="All",1,IF('Calculations'!HN347='Dashboard'!$B$7,1,0)+IFERROR(INDEX('Calculations'!$JC$13:$JC$512,MATCH('Calculations'!HE347,'Calculations'!$HF$13:$HF$512,0)),0)))</x:f>
        <x:v>0</x:v>
      </x:c>
      <x:c r="JE347" t="n">
        <x:f>IF(AND('Calculations'!EM347&lt;&gt;"",'Calculations'!$JJ$2&lt;&gt;"All",'Calculations'!$JJ$2&lt;&gt;"",'Calculations'!HF347='Calculations'!$JJ$2,'Calculations'!HL347=0,'Calculations'!JD347&gt;0),MAX('Calculations'!$JE$12:JE346)+1,0)</x:f>
        <x:v>0</x:v>
      </x:c>
      <x:c r="JF347" t="str">
        <x:f>IF('Calculations'!EM347="","",IFERROR(IF(INDEX(INDIRECT("'WCM Calibration Final'!$G$1:$G$2000"),'Calculations'!$EM347)="","",TRIM(INDEX(INDIRECT("'WCM Calibration Final'!$G$1:$G$2000"),'Calculations'!$EM347)&amp;"")),""))</x:f>
      </x:c>
      <x:c r="JQ347" t="n">
        <x:f>IF(OR('Calculations'!BM347=0,NOT('Calculations'!$AG$2),'Calculations'!$AG$8&gt;0),0,IF(OR('Dashboard'!$B$7="All",'Calculations'!HN347='Dashboard'!$B$7),IF('Calculations'!$JJ$2="All",1,IF(AND('Calculations'!HF347='Calculations'!$JJ$2,'Calculations'!HL347=0),1,0)),0))</x:f>
        <x:v>0</x:v>
      </x:c>
    </x:row>
    <x:row r="348">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t="n">
        <x:f>IF('Calculations'!$EM348="",0,IF(OR(IFERROR(INDEX(INDIRECT("'WCM Calibration Final'!$A$1:$A$2000"),'Calculations'!$EM348)&lt;&gt;"",FALSE),IFERROR(INDEX(INDIRECT("'WCM Calibration Final'!$B$1:$B$2000"),'Calculations'!$EM348)&lt;&gt;"",FALSE),IFERROR(INDEX(INDIRECT("'WCM Calibration Final'!$C$1:$C$2000"),'Calculations'!$EM348)&lt;&gt;"",FALSE)),1,0))</x:f>
        <x:v>0</x:v>
      </x:c>
      <x:c r="BN348" s="4" t="n">
        <x:f>IF(AND('Calculations'!BM348=1,'Calculations'!$AG$2,'Calculations'!$EN348=1),1,0)</x:f>
        <x:v>0</x:v>
      </x:c>
      <x:c r="BO348" s="4" t="str">
        <x:f>IF('Calculations'!BM348=0,"",IFERROR(IF(AND(VALUE(INDEX(INDIRECT("'WCM Calibration Final'!$K$1:$K$2000"),'Calculations'!$EM348))&gt;=1,VALUE(INDEX(INDIRECT("'WCM Calibration Final'!$K$1:$K$2000"),'Calculations'!$EM348))&lt;=4,MOD(VALUE(INDEX(INDIRECT("'WCM Calibration Final'!$K$1:$K$2000"),'Calculations'!$EM348)),1)=0),VALUE(INDEX(INDIRECT("'WCM Calibration Final'!$K$1:$K$2000"),'Calculations'!$EM348)),""),""))</x:f>
      </x:c>
      <x:c r="BP348" s="4" t="str">
        <x:f>IF('Calculations'!BM348=0,"",IFERROR(IF(AND(VALUE(INDEX(INDIRECT("'WCM Calibration Final'!$L$1:$L$2000"),'Calculations'!$EM348))&gt;=1,VALUE(INDEX(INDIRECT("'WCM Calibration Final'!$L$1:$L$2000"),'Calculations'!$EM348))&lt;=4,MOD(VALUE(INDEX(INDIRECT("'WCM Calibration Final'!$L$1:$L$2000"),'Calculations'!$EM348)),1)=0),VALUE(INDEX(INDIRECT("'WCM Calibration Final'!$L$1:$L$2000"),'Calculations'!$EM348)),""),""))</x:f>
      </x:c>
      <x:c r="BQ348" s="4"/>
      <x:c r="BR348" s="4"/>
      <x:c r="BS348" s="4"/>
      <x:c r="BT348" s="4" t="n">
        <x:f>IF(AND('Calculations'!BM348=1,ISNUMBER('Calculations'!BO348),ISNUMBER('Calculations'!BP348)),1,0)</x:f>
        <x:v>0</x:v>
      </x:c>
      <x:c r="BU348" s="4" t="str">
        <x:f>IF('Calculations'!BM348=0,"",'Calculations'!$EO348)</x:f>
      </x:c>
      <x:c r="BV348" s="4" t="str">
        <x:f>IF('Calculations'!BM348=0,"",IFERROR(IF(OR(INDEX(INDIRECT("'WCM Calibration Final'!$H$1:$H$2000"),'Calculations'!$EM348)="MANAGING DIRECTOR",INDEX(INDIRECT("'WCM Calibration Final'!$H$1:$H$2000"),'Calculations'!$EM348)="DIRECTOR",INDEX(INDIRECT("'WCM Calibration Final'!$H$1:$H$2000"),'Calculations'!$EM348)="SENIOR VICE PRESIDENT",INDEX(INDIRECT("'WCM Calibration Final'!$H$1:$H$2000"),'Calculations'!$EM348)="VICE PRESIDENT",INDEX(INDIRECT("'WCM Calibration Final'!$H$1:$H$2000"),'Calculations'!$EM348)="ASSISTANT VICE PRESIDENT",INDEX(INDIRECT("'WCM Calibration Final'!$H$1:$H$2000"),'Calculations'!$EM348)="OFFICER"),UPPER(INDEX(INDIRECT("'WCM Calibration Final'!$H$1:$H$2000"),'Calculations'!$EM348)),"Other"),"Other"))</x:f>
      </x:c>
      <x:c r="BW348" s="4"/>
      <x:c r="BX348" s="4"/>
      <x:c r="BY348" s="4" t="n">
        <x:f>IF(AND('Calculations'!BM348=1,'Calculations'!BU348&lt;&gt;"",COUNTIF('Calculations'!$BU$12:BU348,'Calculations'!BU348)=1),MAX('Calculations'!$BY$11:BY347)+1,0)</x:f>
        <x:v>0</x:v>
      </x:c>
      <x:c r="BZ348" s="4" t="str">
        <x:f>IF('Dashboard'!$E$67="What",'Calculations'!BO348,'Calculations'!BP348)</x:f>
      </x:c>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t="str">
        <x:f>IF(337&gt;MAX('Calculations'!$HI$13:$HI$512),"",INDEX('Calculations'!$HN$13:$HN$512,MATCH(337,'Calculations'!$HI$13:$HI$512,0)))</x:f>
      </x:c>
      <x:c r="DB348" s="4" t="str">
        <x:f>IF(337&gt;MAX('Calculations'!$HH$13:$HH$512),"",INDEX('Calculations'!$HJ$13:$HJ$512,MATCH(337,'Calculations'!$HH$13:$HH$512,0)))</x:f>
      </x:c>
      <x:c r="DC348" s="4" t="str">
        <x:f>IF(ROW()-11&gt;MAX('Calculations'!$BY$13:$BY$512),"",INDEX('Calculations'!$BU$13:$BU$512,MATCH(ROW()-11,'Calculations'!$BY$13:$BY$512,0)))</x:f>
      </x:c>
      <x:c r="DD348" s="4" t="str">
        <x:f>IF(337&gt;MAX('Calculations'!$IK$13:$IK$512),"",INDEX('Calculations'!$HK$13:$HK$512,MATCH(337,'Calculations'!$IK$13:$IK$512,0)))</x:f>
      </x:c>
      <x:c r="DE348" s="4" t="str">
        <x:f>'Calculations'!DC348</x:f>
      </x:c>
      <x:c r="DF348" s="4" t="str">
        <x:f>IF('Calculations'!DE348="","",COUNTIFS('Calculations'!$BN$13:$BN$512,1,'Calculations'!$BU$13:$BU$512,'Calculations'!DE348))</x:f>
      </x:c>
      <x:c r="DG348" s="4" t="str">
        <x:f>IF('Calculations'!DE348="","",COUNTIFS('Calculations'!$BN$13:$BN$512,1,'Calculations'!$BU$13:$BU$512,'Calculations'!DE348,'Calculations'!$BT$13:$BT$512,1))</x:f>
      </x:c>
      <x:c r="DH348" s="4" t="str">
        <x:f>IF('Calculations'!DE348="","",'Calculations'!DF348-'Calculations'!DG348)</x:f>
      </x:c>
      <x:c r="DI348" s="4" t="str">
        <x:f>IF(OR('Calculations'!DE348="",'Calculations'!DF348=0),"",'Calculations'!DG348/'Calculations'!DF348)</x:f>
      </x:c>
      <x:c r="DJ348" s="4" t="str">
        <x:f>IF('Calculations'!DE348="","",COUNTIFS('Calculations'!$BN$13:$BN$512,1,'Calculations'!$BU$13:$BU$512,'Calculations'!DE348,'Calculations'!$BT$13:$BT$512,1,'Calculations'!$EE$13:$EE$512,"High"))</x:f>
      </x:c>
      <x:c r="DK348" s="4" t="str">
        <x:f>IF('Calculations'!DE348="","",COUNTIFS('Calculations'!$BN$13:$BN$512,1,'Calculations'!$BU$13:$BU$512,'Calculations'!DE348,'Calculations'!$BT$13:$BT$512,1,'Calculations'!$EE$13:$EE$512,"Strong"))</x:f>
      </x:c>
      <x:c r="DL348" s="4" t="str">
        <x:f>IF('Calculations'!DE348="","",COUNTIFS('Calculations'!$BN$13:$BN$512,1,'Calculations'!$BU$13:$BU$512,'Calculations'!DE348,'Calculations'!$BT$13:$BT$512,1,'Calculations'!$EE$13:$EE$512,"Solid"))</x:f>
      </x:c>
      <x:c r="DM348" s="4" t="str">
        <x:f>IF('Calculations'!DE348="","",COUNTIFS('Calculations'!$BN$13:$BN$512,1,'Calculations'!$BU$13:$BU$512,'Calculations'!DE348,'Calculations'!$BT$13:$BT$512,1,'Calculations'!$EE$13:$EE$512,"Low"))</x:f>
      </x:c>
      <x:c r="DN348" s="4" t="str">
        <x:f>IF('Calculations'!DE348="","",COUNTIFS('Calculations'!$BN$13:$BN$512,1,'Calculations'!$BU$13:$BU$512,'Calculations'!DE348,'Calculations'!$EP$13:$EP$512,1))</x:f>
      </x:c>
      <x:c r="DO348" s="4" t="str">
        <x:f>IF(OR('Calculations'!DE348="",'Calculations'!DG348=0),"",('Calculations'!DJ348+'Calculations'!DK348)/'Calculations'!DG348)</x:f>
      </x:c>
      <x:c r="DP348" s="4" t="n">
        <x:f>IF(AND('Calculations'!DE348&lt;&gt;"",'Calculations'!DF348&gt;0),COUNTIF('Calculations'!$DF$12:DF348,"&gt;0"),0)</x:f>
        <x:v>0</x:v>
      </x:c>
      <x:c r="DQ348" s="4" t="str">
        <x:f>IF(337&gt;MAX('Calculations'!$HH$13:$HH$512),"",INDEX('Calculations'!$HF$13:$HF$512,MATCH(337,'Calculations'!$HH$13:$HH$512,0)))</x:f>
      </x:c>
      <x:c r="DR348" s="4" t="str">
        <x:f>IF(337&gt;MAX('Calculations'!$IK$13:$IK$512),"",INDEX('Calculations'!$HE$13:$HE$512,MATCH(337,'Calculations'!$IK$13:$IK$512,0)))</x:f>
      </x:c>
      <x:c r="DS348" s="4"/>
      <x:c r="DT348" s="4"/>
      <x:c r="DU348" s="4"/>
      <x:c r="DV348" s="4"/>
      <x:c r="DW348" s="4"/>
      <x:c r="DX348" s="4"/>
      <x:c r="DY348" s="4"/>
      <x:c r="DZ348" s="4"/>
      <x:c r="EA348" s="4"/>
      <x:c r="EB348" s="4"/>
      <x:c r="EC348" s="4"/>
      <x:c r="ED348" s="4"/>
      <x:c r="EE348" s="4" t="str">
        <x:f>IF('Calculations'!BT348=0,"Not Rated",IF(OR('Calculations'!BO348&gt;=4,'Calculations'!BP348&gt;=4),"Low",IF('Calculations'!BO348+'Calculations'!BP348&lt;=3,"High",IF('Calculations'!BO348+'Calculations'!BP348&lt;=4,"Strong","Solid"))))</x:f>
        <x:v>Not Rated</x:v>
      </x:c>
      <x:c r="EF348" s="4"/>
      <x:c r="EG348" s="4"/>
      <x:c r="EH348" s="4"/>
      <x:c r="EI348" s="4"/>
      <x:c r="EJ348" s="4"/>
      <x:c r="EK348" s="4"/>
      <x:c r="EL348" s="4"/>
      <x:c r="EM348" s="4" t="str">
        <x:f>IF(336&gt;'Calculations'!$JB$2000,"",INDEX('Calculations'!$JA$12:$JA$2000,MATCH(336,'Calculations'!$JB$12:$JB$2000,0)))</x:f>
      </x:c>
      <x:c r="EN348" s="4" t="n">
        <x:f>IF(OR('Calculations'!EM348="",'Calculations'!$AG$8&gt;0,AND('Calculations'!$EF$2&lt;&gt;"All",'Calculations'!HE348='Calculations'!$EF$2),AND('Calculations'!$EF$3&lt;&gt;"All",'Calculations'!HE348='Calculations'!$EF$3)),0,IF(OR('Dashboard'!$B$7="All",'Calculations'!HN348='Dashboard'!$B$7),IF('Calculations'!$EF$2="All",1,IF('Calculations'!HL348&gt;0,0,IF(COUNTIF('Calculations'!HO348:II348,"="&amp;SUBSTITUTE(SUBSTITUTE(SUBSTITUTE('Calculations'!$EF$2,"~","~~"),"*","~*"),"?","~?"))=0,0,IF('Calculations'!$EF$3="All",1,IF(COUNTIF('Calculations'!HO348:II348,"="&amp;SUBSTITUTE(SUBSTITUTE(SUBSTITUTE('Calculations'!$EF$3,"~","~~"),"*","~*"),"?","~?"))&gt;0,1,0))))),0))</x:f>
        <x:v>0</x:v>
      </x:c>
      <x:c r="EO348" s="4" t="str">
        <x:f>IF('Calculations'!IJ348="","",IF('Calculations'!IJ348="!UNRESOLVED","Unresolved hierarchy",IFERROR(INDEX('Calculations'!$HK$13:$HK$512,MATCH('Calculations'!IJ348,'Calculations'!$HE$13:$HE$512,0)),IFERROR(INDEX('Calculations'!$HJ$13:$HJ$512,MATCH('Calculations'!IJ348,'Calculations'!$HF$13:$HF$512,0)),'Calculations'!IJ348))))</x:f>
      </x:c>
      <x:c r="EP348" s="4" t="n">
        <x:f>IF(AND('Calculations'!EM348&lt;&gt;"",'Calculations'!HF348='Calculations'!IJ348),1,0)</x:f>
        <x:v>0</x:v>
      </x:c>
      <x:c r="EQ348" s="4"/>
      <x:c r="ER348" s="4"/>
      <x:c r="ES348" s="4"/>
      <x:c r="ET348" s="4"/>
      <x:c r="EU348" s="4"/>
      <x:c r="EV348" s="4"/>
      <x:c r="EW348" s="4"/>
      <x:c r="EX348" s="4"/>
      <x:c r="EY348" s="4"/>
      <x:c r="EZ348" s="4"/>
      <x:c r="FA348" s="4"/>
      <x:c r="FB348" s="4"/>
      <x:c r="FC348" s="4"/>
      <x:c r="FD348" s="4"/>
      <x:c r="FE348" s="4"/>
      <x:c r="FF348" s="4"/>
      <x:c r="FG348" s="4"/>
      <x:c r="FH348" s="4"/>
      <x:c r="FI348" s="4"/>
      <x:c r="FJ348" s="4"/>
      <x:c r="FK348" s="4"/>
      <x:c r="FL348" s="4"/>
      <x:c r="FM348" s="4"/>
      <x:c r="FN348" s="4"/>
      <x:c r="FO348" s="4"/>
      <x:c r="HE348" t="str">
        <x:f>IF('Calculations'!EM348="","",IF(IFERROR(IF(INDEX(INDIRECT("'WCM Calibration Final'!$A$1:$A$2000"),'Calculations'!$EM348)="","",TRIM(INDEX(INDIRECT("'WCM Calibration Final'!$A$1:$A$2000"),'Calculations'!$EM348)&amp;"")),"")&lt;&gt;"","G:"&amp;IFERROR(TEXT(1*INDEX(INDIRECT("'WCM Calibration Final'!$A$1:$A$2000"),'Calculations'!$EM348),"0"),UPPER(IFERROR(IF(INDEX(INDIRECT("'WCM Calibration Final'!$A$1:$A$2000"),'Calculations'!$EM348)="","",TRIM(INDEX(INDIRECT("'WCM Calibration Final'!$A$1:$A$2000"),'Calculations'!$EM348)&amp;"")),""))),IF(IFERROR(IF(INDEX(INDIRECT("'WCM Calibration Final'!$C$1:$C$2000"),'Calculations'!$EM348)="","",TRIM(INDEX(INDIRECT("'WCM Calibration Final'!$C$1:$C$2000"),'Calculations'!$EM348)&amp;"")),"")&lt;&gt;"","S:"&amp;UPPER(IFERROR(IF(INDEX(INDIRECT("'WCM Calibration Final'!$C$1:$C$2000"),'Calculations'!$EM348)="","",TRIM(INDEX(INDIRECT("'WCM Calibration Final'!$C$1:$C$2000"),'Calculations'!$EM348)&amp;"")),"")),"R:"&amp;'Calculations'!EM348)))</x:f>
      </x:c>
      <x:c r="HF348" t="str">
        <x:f>IF('Calculations'!EM348="","",IF(IFERROR(IF(INDEX(INDIRECT("'WCM Calibration Final'!$D$1:$D$2000"),'Calculations'!$EM348)="","",TRIM(INDEX(INDIRECT("'WCM Calibration Final'!$D$1:$D$2000"),'Calculations'!$EM348)&amp;"")),"")&lt;&gt;"","G:"&amp;IFERROR(TEXT(1*INDEX(INDIRECT("'WCM Calibration Final'!$D$1:$D$2000"),'Calculations'!$EM348),"0"),UPPER(IFERROR(IF(INDEX(INDIRECT("'WCM Calibration Final'!$D$1:$D$2000"),'Calculations'!$EM348)="","",TRIM(INDEX(INDIRECT("'WCM Calibration Final'!$D$1:$D$2000"),'Calculations'!$EM348)&amp;"")),""))),IF(IFERROR(IF(INDEX(INDIRECT("'WCM Calibration Final'!$E$1:$E$2000"),'Calculations'!$EM348)="","",TRIM(INDEX(INDIRECT("'WCM Calibration Final'!$E$1:$E$2000"),'Calculations'!$EM348)&amp;"")),"")="","",IF(COUNTIF('Calculations'!$HG$13:$HG$512,"="&amp;SUBSTITUTE(SUBSTITUTE(SUBSTITUTE(IFERROR(IF(INDEX(INDIRECT("'WCM Calibration Final'!$E$1:$E$2000"),'Calculations'!$EM348)="","",TRIM(INDEX(INDIRECT("'WCM Calibration Final'!$E$1:$E$2000"),'Calculations'!$EM348)&amp;"")),""),"~","~~"),"*","~*"),"?","~?"))=1,INDEX('Calculations'!$HE$13:$HE$512,MATCH(IFERROR(IF(INDEX(INDIRECT("'WCM Calibration Final'!$E$1:$E$2000"),'Calculations'!$EM348)="","",TRIM(INDEX(INDIRECT("'WCM Calibration Final'!$E$1:$E$2000"),'Calculations'!$EM348)&amp;"")),""),'Calculations'!$HG$13:$HG$512,0)),IF(COUNTIF('Calculations'!$HG$13:$HG$512,"="&amp;SUBSTITUTE(SUBSTITUTE(SUBSTITUTE(IFERROR(IF(INDEX(INDIRECT("'WCM Calibration Final'!$E$1:$E$2000"),'Calculations'!$EM348)="","",TRIM(INDEX(INDIRECT("'WCM Calibration Final'!$E$1:$E$2000"),'Calculations'!$EM348)&amp;"")),""),"~","~~"),"*","~*"),"?","~?"))&gt;1,"!AMBIG","X:"&amp;IFERROR(IF(INDEX(INDIRECT("'WCM Calibration Final'!$E$1:$E$2000"),'Calculations'!$EM348)="","",TRIM(INDEX(INDIRECT("'WCM Calibration Final'!$E$1:$E$2000"),'Calculations'!$EM348)&amp;"")),""))))))</x:f>
      </x:c>
      <x:c r="HG348" t="str">
        <x:f>IF('Calculations'!EM348="","",IFERROR(IF(INDEX(INDIRECT("'WCM Calibration Final'!$B$1:$B$2000"),'Calculations'!$EM348)="","",TRIM(INDEX(INDIRECT("'WCM Calibration Final'!$B$1:$B$2000"),'Calculations'!$EM348)&amp;"")),""))</x:f>
      </x:c>
      <x:c r="HH348" t="n">
        <x:f>IF(AND('Calculations'!JC348&gt;0,COUNTIF('Calculations'!$HF$12:HF348,"="&amp;SUBSTITUTE(SUBSTITUTE(SUBSTITUTE('Calculations'!HF348,"~","~~"),"*","~*"),"?","~?"))=1),MAX('Calculations'!$HH$12:HH347)+1,0)</x:f>
        <x:v>0</x:v>
      </x:c>
      <x:c r="HI348" t="n">
        <x:f>IF(AND('Calculations'!HN348&lt;&gt;"",COUNTIF('Calculations'!$HN$12:HN348,"="&amp;SUBSTITUTE(SUBSTITUTE(SUBSTITUTE('Calculations'!HN348,"~","~~"),"*","~*"),"?","~?"))=1),MAX('Calculations'!$HI$12:HI347)+1,0)</x:f>
        <x:v>0</x:v>
      </x:c>
      <x:c r="HJ348" t="str">
        <x:f>IF('Calculations'!HF348="","",IF(COUNTIF('Calculations'!$HE$13:$HE$512,"="&amp;SUBSTITUTE(SUBSTITUTE(SUBSTITUTE('Calculations'!HF348,"~","~~"),"*","~*"),"?","~?"))=1,INDEX('Calculations'!$HK$13:$HK$512,MATCH('Calculations'!HF348,'Calculations'!$HE$13:$HE$512,0)),IFERROR(IF(INDEX(INDIRECT("'WCM Calibration Final'!$E$1:$E$2000"),'Calculations'!$EM348)="","",TRIM(INDEX(INDIRECT("'WCM Calibration Final'!$E$1:$E$2000"),'Calculations'!$EM348)&amp;"")),"")&amp;" ["&amp;'Calculations'!HF348&amp;"]"))</x:f>
      </x:c>
      <x:c r="HK348" t="str">
        <x:f>IF('Calculations'!EM348="","",'Calculations'!HG348&amp;" ["&amp;'Calculations'!HE348&amp;"]")</x:f>
      </x:c>
      <x:c r="HL348" t="n">
        <x:f>IF('Calculations'!EM348="",0,IF(OR('Calculations'!II348&lt;&gt;"",COUNTIF('Calculations'!$HE$13:$HE$512,"="&amp;SUBSTITUTE(SUBSTITUTE(SUBSTITUTE('Calculations'!HE348,"~","~~"),"*","~*"),"?","~?"))&gt;1),1,0))</x:f>
        <x:v>0</x:v>
      </x:c>
      <x:c r="HM348" t="str">
        <x:f>IF('Calculations'!EM348="","",IF('Calculations'!HL348=1,"!UNRESOLVED",IF('Calculations'!IH348&lt;&gt;"",'Calculations'!IH348,IF('Calculations'!IG348&lt;&gt;"",'Calculations'!IG348,IF('Calculations'!IF348&lt;&gt;"",'Calculations'!IF348,IF('Calculations'!IE348&lt;&gt;"",'Calculations'!IE348,IF('Calculations'!ID348&lt;&gt;"",'Calculations'!ID348,IF('Calculations'!IC348&lt;&gt;"",'Calculations'!IC348,IF('Calculations'!IB348&lt;&gt;"",'Calculations'!IB348,IF('Calculations'!IA348&lt;&gt;"",'Calculations'!IA348,IF('Calculations'!HZ348&lt;&gt;"",'Calculations'!HZ348,IF('Calculations'!HY348&lt;&gt;"",'Calculations'!HY348,IF('Calculations'!HX348&lt;&gt;"",'Calculations'!HX348,IF('Calculations'!HW348&lt;&gt;"",'Calculations'!HW348,IF('Calculations'!HV348&lt;&gt;"",'Calculations'!HV348,IF('Calculations'!HU348&lt;&gt;"",'Calculations'!HU348,IF('Calculations'!HT348&lt;&gt;"",'Calculations'!HT348,IF('Calculations'!HS348&lt;&gt;"",'Calculations'!HS348,IF('Calculations'!HR348&lt;&gt;"",'Calculations'!HR348,IF('Calculations'!HQ348&lt;&gt;"",'Calculations'!HQ348,IF('Calculations'!HP348&lt;&gt;"",'Calculations'!HP348,IF('Calculations'!HO348&lt;&gt;"",'Calculations'!HO348,'Calculations'!HE348))))))))))))))))))))))</x:f>
      </x:c>
      <x:c r="HN348" t="str">
        <x:f>IF('Calculations'!EM348="","",IF(IFERROR(IF(INDEX(INDIRECT("'WCM Calibration Final'!$F$1:$F$2000"),'Calculations'!$EM348)="","",TRIM(INDEX(INDIRECT("'WCM Calibration Final'!$F$1:$F$2000"),'Calculations'!$EM348)&amp;"")),"")="","(Blank)",IFERROR(IF(INDEX(INDIRECT("'WCM Calibration Final'!$F$1:$F$2000"),'Calculations'!$EM348)="","",TRIM(INDEX(INDIRECT("'WCM Calibration Final'!$F$1:$F$2000"),'Calculations'!$EM348)&amp;"")),"")))</x:f>
      </x:c>
      <x:c r="HO348" t="str">
        <x:f>'Calculations'!HF348</x:f>
      </x:c>
      <x:c r="HP348" t="str">
        <x:f>IF('Calculations'!HO348="","",IF('Calculations'!HO348="!AMBIG","!AMBIG",IF(COUNTIF('Calculations'!$HE$13:$HE$512,"="&amp;SUBSTITUTE(SUBSTITUTE(SUBSTITUTE('Calculations'!HO348,"~","~~"),"*","~*"),"?","~?"))&gt;1,"!AMBIG",IFERROR(INDEX('Calculations'!$HF$13:$HF$512,MATCH('Calculations'!HO348,'Calculations'!$HE$13:$HE$512,0)),""))))</x:f>
      </x:c>
      <x:c r="HQ348" t="str">
        <x:f>IF('Calculations'!HP348="","",IF('Calculations'!HP348="!AMBIG","!AMBIG",IF(COUNTIF('Calculations'!$HE$13:$HE$512,"="&amp;SUBSTITUTE(SUBSTITUTE(SUBSTITUTE('Calculations'!HP348,"~","~~"),"*","~*"),"?","~?"))&gt;1,"!AMBIG",IFERROR(INDEX('Calculations'!$HF$13:$HF$512,MATCH('Calculations'!HP348,'Calculations'!$HE$13:$HE$512,0)),""))))</x:f>
      </x:c>
      <x:c r="HR348" t="str">
        <x:f>IF('Calculations'!HQ348="","",IF('Calculations'!HQ348="!AMBIG","!AMBIG",IF(COUNTIF('Calculations'!$HE$13:$HE$512,"="&amp;SUBSTITUTE(SUBSTITUTE(SUBSTITUTE('Calculations'!HQ348,"~","~~"),"*","~*"),"?","~?"))&gt;1,"!AMBIG",IFERROR(INDEX('Calculations'!$HF$13:$HF$512,MATCH('Calculations'!HQ348,'Calculations'!$HE$13:$HE$512,0)),""))))</x:f>
      </x:c>
      <x:c r="HS348" t="str">
        <x:f>IF('Calculations'!HR348="","",IF('Calculations'!HR348="!AMBIG","!AMBIG",IF(COUNTIF('Calculations'!$HE$13:$HE$512,"="&amp;SUBSTITUTE(SUBSTITUTE(SUBSTITUTE('Calculations'!HR348,"~","~~"),"*","~*"),"?","~?"))&gt;1,"!AMBIG",IFERROR(INDEX('Calculations'!$HF$13:$HF$512,MATCH('Calculations'!HR348,'Calculations'!$HE$13:$HE$512,0)),""))))</x:f>
      </x:c>
      <x:c r="HT348" t="str">
        <x:f>IF('Calculations'!HS348="","",IF('Calculations'!HS348="!AMBIG","!AMBIG",IF(COUNTIF('Calculations'!$HE$13:$HE$512,"="&amp;SUBSTITUTE(SUBSTITUTE(SUBSTITUTE('Calculations'!HS348,"~","~~"),"*","~*"),"?","~?"))&gt;1,"!AMBIG",IFERROR(INDEX('Calculations'!$HF$13:$HF$512,MATCH('Calculations'!HS348,'Calculations'!$HE$13:$HE$512,0)),""))))</x:f>
      </x:c>
      <x:c r="HU348" t="str">
        <x:f>IF('Calculations'!HT348="","",IF('Calculations'!HT348="!AMBIG","!AMBIG",IF(COUNTIF('Calculations'!$HE$13:$HE$512,"="&amp;SUBSTITUTE(SUBSTITUTE(SUBSTITUTE('Calculations'!HT348,"~","~~"),"*","~*"),"?","~?"))&gt;1,"!AMBIG",IFERROR(INDEX('Calculations'!$HF$13:$HF$512,MATCH('Calculations'!HT348,'Calculations'!$HE$13:$HE$512,0)),""))))</x:f>
      </x:c>
      <x:c r="HV348" t="str">
        <x:f>IF('Calculations'!HU348="","",IF('Calculations'!HU348="!AMBIG","!AMBIG",IF(COUNTIF('Calculations'!$HE$13:$HE$512,"="&amp;SUBSTITUTE(SUBSTITUTE(SUBSTITUTE('Calculations'!HU348,"~","~~"),"*","~*"),"?","~?"))&gt;1,"!AMBIG",IFERROR(INDEX('Calculations'!$HF$13:$HF$512,MATCH('Calculations'!HU348,'Calculations'!$HE$13:$HE$512,0)),""))))</x:f>
      </x:c>
      <x:c r="HW348" t="str">
        <x:f>IF('Calculations'!HV348="","",IF('Calculations'!HV348="!AMBIG","!AMBIG",IF(COUNTIF('Calculations'!$HE$13:$HE$512,"="&amp;SUBSTITUTE(SUBSTITUTE(SUBSTITUTE('Calculations'!HV348,"~","~~"),"*","~*"),"?","~?"))&gt;1,"!AMBIG",IFERROR(INDEX('Calculations'!$HF$13:$HF$512,MATCH('Calculations'!HV348,'Calculations'!$HE$13:$HE$512,0)),""))))</x:f>
      </x:c>
      <x:c r="HX348" t="str">
        <x:f>IF('Calculations'!HW348="","",IF('Calculations'!HW348="!AMBIG","!AMBIG",IF(COUNTIF('Calculations'!$HE$13:$HE$512,"="&amp;SUBSTITUTE(SUBSTITUTE(SUBSTITUTE('Calculations'!HW348,"~","~~"),"*","~*"),"?","~?"))&gt;1,"!AMBIG",IFERROR(INDEX('Calculations'!$HF$13:$HF$512,MATCH('Calculations'!HW348,'Calculations'!$HE$13:$HE$512,0)),""))))</x:f>
      </x:c>
      <x:c r="HY348" t="str">
        <x:f>IF('Calculations'!HX348="","",IF('Calculations'!HX348="!AMBIG","!AMBIG",IF(COUNTIF('Calculations'!$HE$13:$HE$512,"="&amp;SUBSTITUTE(SUBSTITUTE(SUBSTITUTE('Calculations'!HX348,"~","~~"),"*","~*"),"?","~?"))&gt;1,"!AMBIG",IFERROR(INDEX('Calculations'!$HF$13:$HF$512,MATCH('Calculations'!HX348,'Calculations'!$HE$13:$HE$512,0)),""))))</x:f>
      </x:c>
      <x:c r="HZ348" t="str">
        <x:f>IF('Calculations'!HY348="","",IF('Calculations'!HY348="!AMBIG","!AMBIG",IF(COUNTIF('Calculations'!$HE$13:$HE$512,"="&amp;SUBSTITUTE(SUBSTITUTE(SUBSTITUTE('Calculations'!HY348,"~","~~"),"*","~*"),"?","~?"))&gt;1,"!AMBIG",IFERROR(INDEX('Calculations'!$HF$13:$HF$512,MATCH('Calculations'!HY348,'Calculations'!$HE$13:$HE$512,0)),""))))</x:f>
      </x:c>
      <x:c r="IA348" t="str">
        <x:f>IF('Calculations'!HZ348="","",IF('Calculations'!HZ348="!AMBIG","!AMBIG",IF(COUNTIF('Calculations'!$HE$13:$HE$512,"="&amp;SUBSTITUTE(SUBSTITUTE(SUBSTITUTE('Calculations'!HZ348,"~","~~"),"*","~*"),"?","~?"))&gt;1,"!AMBIG",IFERROR(INDEX('Calculations'!$HF$13:$HF$512,MATCH('Calculations'!HZ348,'Calculations'!$HE$13:$HE$512,0)),""))))</x:f>
      </x:c>
      <x:c r="IB348" t="str">
        <x:f>IF('Calculations'!IA348="","",IF('Calculations'!IA348="!AMBIG","!AMBIG",IF(COUNTIF('Calculations'!$HE$13:$HE$512,"="&amp;SUBSTITUTE(SUBSTITUTE(SUBSTITUTE('Calculations'!IA348,"~","~~"),"*","~*"),"?","~?"))&gt;1,"!AMBIG",IFERROR(INDEX('Calculations'!$HF$13:$HF$512,MATCH('Calculations'!IA348,'Calculations'!$HE$13:$HE$512,0)),""))))</x:f>
      </x:c>
      <x:c r="IC348" t="str">
        <x:f>IF('Calculations'!IB348="","",IF('Calculations'!IB348="!AMBIG","!AMBIG",IF(COUNTIF('Calculations'!$HE$13:$HE$512,"="&amp;SUBSTITUTE(SUBSTITUTE(SUBSTITUTE('Calculations'!IB348,"~","~~"),"*","~*"),"?","~?"))&gt;1,"!AMBIG",IFERROR(INDEX('Calculations'!$HF$13:$HF$512,MATCH('Calculations'!IB348,'Calculations'!$HE$13:$HE$512,0)),""))))</x:f>
      </x:c>
      <x:c r="ID348" t="str">
        <x:f>IF('Calculations'!IC348="","",IF('Calculations'!IC348="!AMBIG","!AMBIG",IF(COUNTIF('Calculations'!$HE$13:$HE$512,"="&amp;SUBSTITUTE(SUBSTITUTE(SUBSTITUTE('Calculations'!IC348,"~","~~"),"*","~*"),"?","~?"))&gt;1,"!AMBIG",IFERROR(INDEX('Calculations'!$HF$13:$HF$512,MATCH('Calculations'!IC348,'Calculations'!$HE$13:$HE$512,0)),""))))</x:f>
      </x:c>
      <x:c r="IE348" t="str">
        <x:f>IF('Calculations'!ID348="","",IF('Calculations'!ID348="!AMBIG","!AMBIG",IF(COUNTIF('Calculations'!$HE$13:$HE$512,"="&amp;SUBSTITUTE(SUBSTITUTE(SUBSTITUTE('Calculations'!ID348,"~","~~"),"*","~*"),"?","~?"))&gt;1,"!AMBIG",IFERROR(INDEX('Calculations'!$HF$13:$HF$512,MATCH('Calculations'!ID348,'Calculations'!$HE$13:$HE$512,0)),""))))</x:f>
      </x:c>
      <x:c r="IF348" t="str">
        <x:f>IF('Calculations'!IE348="","",IF('Calculations'!IE348="!AMBIG","!AMBIG",IF(COUNTIF('Calculations'!$HE$13:$HE$512,"="&amp;SUBSTITUTE(SUBSTITUTE(SUBSTITUTE('Calculations'!IE348,"~","~~"),"*","~*"),"?","~?"))&gt;1,"!AMBIG",IFERROR(INDEX('Calculations'!$HF$13:$HF$512,MATCH('Calculations'!IE348,'Calculations'!$HE$13:$HE$512,0)),""))))</x:f>
      </x:c>
      <x:c r="IG348" t="str">
        <x:f>IF('Calculations'!IF348="","",IF('Calculations'!IF348="!AMBIG","!AMBIG",IF(COUNTIF('Calculations'!$HE$13:$HE$512,"="&amp;SUBSTITUTE(SUBSTITUTE(SUBSTITUTE('Calculations'!IF348,"~","~~"),"*","~*"),"?","~?"))&gt;1,"!AMBIG",IFERROR(INDEX('Calculations'!$HF$13:$HF$512,MATCH('Calculations'!IF348,'Calculations'!$HE$13:$HE$512,0)),""))))</x:f>
      </x:c>
      <x:c r="IH348" t="str">
        <x:f>IF('Calculations'!IG348="","",IF('Calculations'!IG348="!AMBIG","!AMBIG",IF(COUNTIF('Calculations'!$HE$13:$HE$512,"="&amp;SUBSTITUTE(SUBSTITUTE(SUBSTITUTE('Calculations'!IG348,"~","~~"),"*","~*"),"?","~?"))&gt;1,"!AMBIG",IFERROR(INDEX('Calculations'!$HF$13:$HF$512,MATCH('Calculations'!IG348,'Calculations'!$HE$13:$HE$512,0)),""))))</x:f>
      </x:c>
      <x:c r="II348" t="str">
        <x:f>IF('Calculations'!IH348="","",IF('Calculations'!IH348="!AMBIG","!AMBIG",IF(COUNTIF('Calculations'!$HE$13:$HE$512,"="&amp;SUBSTITUTE(SUBSTITUTE(SUBSTITUTE('Calculations'!IH348,"~","~~"),"*","~*"),"?","~?"))&gt;1,"!AMBIG",IFERROR(INDEX('Calculations'!$HF$13:$HF$512,MATCH('Calculations'!IH348,'Calculations'!$HE$13:$HE$512,0)),""))))</x:f>
      </x:c>
      <x:c r="IJ348" t="str">
        <x:f>IF('Calculations'!EM348="","",IF('Calculations'!$EF$2="All",'Calculations'!HM348,IF('Calculations'!HL348=1,"",IFERROR(IF(MATCH('Calculations'!$EF$2,'Calculations'!HO348:II348,0)=1,'Calculations'!HE348,INDEX('Calculations'!HO348:II348,1,MATCH('Calculations'!$EF$2,'Calculations'!HO348:II348,0)-1)),""))))</x:f>
      </x:c>
      <x:c r="IK348" t="n">
        <x:f>IF(AND('Calculations'!EM348&lt;&gt;"",'Calculations'!$EF$2&lt;&gt;"All",'Calculations'!HF348='Calculations'!$EF$2,'Calculations'!HL348=0,'Calculations'!JD348&gt;0),MAX('Calculations'!$IK$12:IK347)+1,0)</x:f>
        <x:v>0</x:v>
      </x:c>
      <x:c r="JA348" t="n">
        <x:f>IF(OR(IFERROR(INDIRECT("'WCM Calibration Final'!$A$348")&lt;&gt;"",FALSE),IFERROR(INDIRECT("'WCM Calibration Final'!$B$348")&lt;&gt;"",FALSE),IFERROR(INDIRECT("'WCM Calibration Final'!$C$348")&lt;&gt;"",FALSE)),348,0)</x:f>
        <x:v>0</x:v>
      </x:c>
      <x:c r="JB348" t="n">
        <x:f>'Calculations'!JB347+IF('Calculations'!JA348&gt;0,1,0)</x:f>
        <x:v>0</x:v>
      </x:c>
      <x:c r="JC348" t="n">
        <x:f>IF(OR('Calculations'!HF348="",'Calculations'!HF348="!AMBIG"),0,IF('Dashboard'!$B$7="All",1,COUNTIFS('Calculations'!$HO$13:$HO$512,"="&amp;SUBSTITUTE(SUBSTITUTE(SUBSTITUTE('Calculations'!HF348,"~","~~"),"*","~*"),"?","~?"),'Calculations'!$HN$13:$HN$512,"="&amp;SUBSTITUTE(SUBSTITUTE(SUBSTITUTE('Dashboard'!$B$7,"~","~~"),"*","~*"),"?","~?"))+COUNTIFS('Calculations'!$HP$13:$HP$512,"="&amp;SUBSTITUTE(SUBSTITUTE(SUBSTITUTE('Calculations'!HF348,"~","~~"),"*","~*"),"?","~?"),'Calculations'!$HN$13:$HN$512,"="&amp;SUBSTITUTE(SUBSTITUTE(SUBSTITUTE('Dashboard'!$B$7,"~","~~"),"*","~*"),"?","~?"))+COUNTIFS('Calculations'!$HQ$13:$HQ$512,"="&amp;SUBSTITUTE(SUBSTITUTE(SUBSTITUTE('Calculations'!HF348,"~","~~"),"*","~*"),"?","~?"),'Calculations'!$HN$13:$HN$512,"="&amp;SUBSTITUTE(SUBSTITUTE(SUBSTITUTE('Dashboard'!$B$7,"~","~~"),"*","~*"),"?","~?"))+COUNTIFS('Calculations'!$HR$13:$HR$512,"="&amp;SUBSTITUTE(SUBSTITUTE(SUBSTITUTE('Calculations'!HF348,"~","~~"),"*","~*"),"?","~?"),'Calculations'!$HN$13:$HN$512,"="&amp;SUBSTITUTE(SUBSTITUTE(SUBSTITUTE('Dashboard'!$B$7,"~","~~"),"*","~*"),"?","~?"))+COUNTIFS('Calculations'!$HS$13:$HS$512,"="&amp;SUBSTITUTE(SUBSTITUTE(SUBSTITUTE('Calculations'!HF348,"~","~~"),"*","~*"),"?","~?"),'Calculations'!$HN$13:$HN$512,"="&amp;SUBSTITUTE(SUBSTITUTE(SUBSTITUTE('Dashboard'!$B$7,"~","~~"),"*","~*"),"?","~?"))+COUNTIFS('Calculations'!$HT$13:$HT$512,"="&amp;SUBSTITUTE(SUBSTITUTE(SUBSTITUTE('Calculations'!HF348,"~","~~"),"*","~*"),"?","~?"),'Calculations'!$HN$13:$HN$512,"="&amp;SUBSTITUTE(SUBSTITUTE(SUBSTITUTE('Dashboard'!$B$7,"~","~~"),"*","~*"),"?","~?"))+COUNTIFS('Calculations'!$HU$13:$HU$512,"="&amp;SUBSTITUTE(SUBSTITUTE(SUBSTITUTE('Calculations'!HF348,"~","~~"),"*","~*"),"?","~?"),'Calculations'!$HN$13:$HN$512,"="&amp;SUBSTITUTE(SUBSTITUTE(SUBSTITUTE('Dashboard'!$B$7,"~","~~"),"*","~*"),"?","~?"))+COUNTIFS('Calculations'!$HV$13:$HV$512,"="&amp;SUBSTITUTE(SUBSTITUTE(SUBSTITUTE('Calculations'!HF348,"~","~~"),"*","~*"),"?","~?"),'Calculations'!$HN$13:$HN$512,"="&amp;SUBSTITUTE(SUBSTITUTE(SUBSTITUTE('Dashboard'!$B$7,"~","~~"),"*","~*"),"?","~?"))+COUNTIFS('Calculations'!$HW$13:$HW$512,"="&amp;SUBSTITUTE(SUBSTITUTE(SUBSTITUTE('Calculations'!HF348,"~","~~"),"*","~*"),"?","~?"),'Calculations'!$HN$13:$HN$512,"="&amp;SUBSTITUTE(SUBSTITUTE(SUBSTITUTE('Dashboard'!$B$7,"~","~~"),"*","~*"),"?","~?"))+COUNTIFS('Calculations'!$HX$13:$HX$512,"="&amp;SUBSTITUTE(SUBSTITUTE(SUBSTITUTE('Calculations'!HF348,"~","~~"),"*","~*"),"?","~?"),'Calculations'!$HN$13:$HN$512,"="&amp;SUBSTITUTE(SUBSTITUTE(SUBSTITUTE('Dashboard'!$B$7,"~","~~"),"*","~*"),"?","~?"))+COUNTIFS('Calculations'!$HY$13:$HY$512,"="&amp;SUBSTITUTE(SUBSTITUTE(SUBSTITUTE('Calculations'!HF348,"~","~~"),"*","~*"),"?","~?"),'Calculations'!$HN$13:$HN$512,"="&amp;SUBSTITUTE(SUBSTITUTE(SUBSTITUTE('Dashboard'!$B$7,"~","~~"),"*","~*"),"?","~?"))+COUNTIFS('Calculations'!$HZ$13:$HZ$512,"="&amp;SUBSTITUTE(SUBSTITUTE(SUBSTITUTE('Calculations'!HF348,"~","~~"),"*","~*"),"?","~?"),'Calculations'!$HN$13:$HN$512,"="&amp;SUBSTITUTE(SUBSTITUTE(SUBSTITUTE('Dashboard'!$B$7,"~","~~"),"*","~*"),"?","~?"))+COUNTIFS('Calculations'!$IA$13:$IA$512,"="&amp;SUBSTITUTE(SUBSTITUTE(SUBSTITUTE('Calculations'!HF348,"~","~~"),"*","~*"),"?","~?"),'Calculations'!$HN$13:$HN$512,"="&amp;SUBSTITUTE(SUBSTITUTE(SUBSTITUTE('Dashboard'!$B$7,"~","~~"),"*","~*"),"?","~?"))+COUNTIFS('Calculations'!$IB$13:$IB$512,"="&amp;SUBSTITUTE(SUBSTITUTE(SUBSTITUTE('Calculations'!HF348,"~","~~"),"*","~*"),"?","~?"),'Calculations'!$HN$13:$HN$512,"="&amp;SUBSTITUTE(SUBSTITUTE(SUBSTITUTE('Dashboard'!$B$7,"~","~~"),"*","~*"),"?","~?"))+COUNTIFS('Calculations'!$IC$13:$IC$512,"="&amp;SUBSTITUTE(SUBSTITUTE(SUBSTITUTE('Calculations'!HF348,"~","~~"),"*","~*"),"?","~?"),'Calculations'!$HN$13:$HN$512,"="&amp;SUBSTITUTE(SUBSTITUTE(SUBSTITUTE('Dashboard'!$B$7,"~","~~"),"*","~*"),"?","~?"))+COUNTIFS('Calculations'!$ID$13:$ID$512,"="&amp;SUBSTITUTE(SUBSTITUTE(SUBSTITUTE('Calculations'!HF348,"~","~~"),"*","~*"),"?","~?"),'Calculations'!$HN$13:$HN$512,"="&amp;SUBSTITUTE(SUBSTITUTE(SUBSTITUTE('Dashboard'!$B$7,"~","~~"),"*","~*"),"?","~?"))+COUNTIFS('Calculations'!$IE$13:$IE$512,"="&amp;SUBSTITUTE(SUBSTITUTE(SUBSTITUTE('Calculations'!HF348,"~","~~"),"*","~*"),"?","~?"),'Calculations'!$HN$13:$HN$512,"="&amp;SUBSTITUTE(SUBSTITUTE(SUBSTITUTE('Dashboard'!$B$7,"~","~~"),"*","~*"),"?","~?"))+COUNTIFS('Calculations'!$IF$13:$IF$512,"="&amp;SUBSTITUTE(SUBSTITUTE(SUBSTITUTE('Calculations'!HF348,"~","~~"),"*","~*"),"?","~?"),'Calculations'!$HN$13:$HN$512,"="&amp;SUBSTITUTE(SUBSTITUTE(SUBSTITUTE('Dashboard'!$B$7,"~","~~"),"*","~*"),"?","~?"))+COUNTIFS('Calculations'!$IG$13:$IG$512,"="&amp;SUBSTITUTE(SUBSTITUTE(SUBSTITUTE('Calculations'!HF348,"~","~~"),"*","~*"),"?","~?"),'Calculations'!$HN$13:$HN$512,"="&amp;SUBSTITUTE(SUBSTITUTE(SUBSTITUTE('Dashboard'!$B$7,"~","~~"),"*","~*"),"?","~?"))+COUNTIFS('Calculations'!$IH$13:$IH$512,"="&amp;SUBSTITUTE(SUBSTITUTE(SUBSTITUTE('Calculations'!HF348,"~","~~"),"*","~*"),"?","~?"),'Calculations'!$HN$13:$HN$512,"="&amp;SUBSTITUTE(SUBSTITUTE(SUBSTITUTE('Dashboard'!$B$7,"~","~~"),"*","~*"),"?","~?"))))</x:f>
        <x:v>0</x:v>
      </x:c>
      <x:c r="JD348" t="n">
        <x:f>IF('Calculations'!EM348="",0,IF('Dashboard'!$B$7="All",1,IF('Calculations'!HN348='Dashboard'!$B$7,1,0)+IFERROR(INDEX('Calculations'!$JC$13:$JC$512,MATCH('Calculations'!HE348,'Calculations'!$HF$13:$HF$512,0)),0)))</x:f>
        <x:v>0</x:v>
      </x:c>
      <x:c r="JE348" t="n">
        <x:f>IF(AND('Calculations'!EM348&lt;&gt;"",'Calculations'!$JJ$2&lt;&gt;"All",'Calculations'!$JJ$2&lt;&gt;"",'Calculations'!HF348='Calculations'!$JJ$2,'Calculations'!HL348=0,'Calculations'!JD348&gt;0),MAX('Calculations'!$JE$12:JE347)+1,0)</x:f>
        <x:v>0</x:v>
      </x:c>
      <x:c r="JF348" t="str">
        <x:f>IF('Calculations'!EM348="","",IFERROR(IF(INDEX(INDIRECT("'WCM Calibration Final'!$G$1:$G$2000"),'Calculations'!$EM348)="","",TRIM(INDEX(INDIRECT("'WCM Calibration Final'!$G$1:$G$2000"),'Calculations'!$EM348)&amp;"")),""))</x:f>
      </x:c>
      <x:c r="JQ348" t="n">
        <x:f>IF(OR('Calculations'!BM348=0,NOT('Calculations'!$AG$2),'Calculations'!$AG$8&gt;0),0,IF(OR('Dashboard'!$B$7="All",'Calculations'!HN348='Dashboard'!$B$7),IF('Calculations'!$JJ$2="All",1,IF(AND('Calculations'!HF348='Calculations'!$JJ$2,'Calculations'!HL348=0),1,0)),0))</x:f>
        <x:v>0</x:v>
      </x:c>
    </x:row>
    <x:row r="349">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t="n">
        <x:f>IF('Calculations'!$EM349="",0,IF(OR(IFERROR(INDEX(INDIRECT("'WCM Calibration Final'!$A$1:$A$2000"),'Calculations'!$EM349)&lt;&gt;"",FALSE),IFERROR(INDEX(INDIRECT("'WCM Calibration Final'!$B$1:$B$2000"),'Calculations'!$EM349)&lt;&gt;"",FALSE),IFERROR(INDEX(INDIRECT("'WCM Calibration Final'!$C$1:$C$2000"),'Calculations'!$EM349)&lt;&gt;"",FALSE)),1,0))</x:f>
        <x:v>0</x:v>
      </x:c>
      <x:c r="BN349" s="4" t="n">
        <x:f>IF(AND('Calculations'!BM349=1,'Calculations'!$AG$2,'Calculations'!$EN349=1),1,0)</x:f>
        <x:v>0</x:v>
      </x:c>
      <x:c r="BO349" s="4" t="str">
        <x:f>IF('Calculations'!BM349=0,"",IFERROR(IF(AND(VALUE(INDEX(INDIRECT("'WCM Calibration Final'!$K$1:$K$2000"),'Calculations'!$EM349))&gt;=1,VALUE(INDEX(INDIRECT("'WCM Calibration Final'!$K$1:$K$2000"),'Calculations'!$EM349))&lt;=4,MOD(VALUE(INDEX(INDIRECT("'WCM Calibration Final'!$K$1:$K$2000"),'Calculations'!$EM349)),1)=0),VALUE(INDEX(INDIRECT("'WCM Calibration Final'!$K$1:$K$2000"),'Calculations'!$EM349)),""),""))</x:f>
      </x:c>
      <x:c r="BP349" s="4" t="str">
        <x:f>IF('Calculations'!BM349=0,"",IFERROR(IF(AND(VALUE(INDEX(INDIRECT("'WCM Calibration Final'!$L$1:$L$2000"),'Calculations'!$EM349))&gt;=1,VALUE(INDEX(INDIRECT("'WCM Calibration Final'!$L$1:$L$2000"),'Calculations'!$EM349))&lt;=4,MOD(VALUE(INDEX(INDIRECT("'WCM Calibration Final'!$L$1:$L$2000"),'Calculations'!$EM349)),1)=0),VALUE(INDEX(INDIRECT("'WCM Calibration Final'!$L$1:$L$2000"),'Calculations'!$EM349)),""),""))</x:f>
      </x:c>
      <x:c r="BQ349" s="4"/>
      <x:c r="BR349" s="4"/>
      <x:c r="BS349" s="4"/>
      <x:c r="BT349" s="4" t="n">
        <x:f>IF(AND('Calculations'!BM349=1,ISNUMBER('Calculations'!BO349),ISNUMBER('Calculations'!BP349)),1,0)</x:f>
        <x:v>0</x:v>
      </x:c>
      <x:c r="BU349" s="4" t="str">
        <x:f>IF('Calculations'!BM349=0,"",'Calculations'!$EO349)</x:f>
      </x:c>
      <x:c r="BV349" s="4" t="str">
        <x:f>IF('Calculations'!BM349=0,"",IFERROR(IF(OR(INDEX(INDIRECT("'WCM Calibration Final'!$H$1:$H$2000"),'Calculations'!$EM349)="MANAGING DIRECTOR",INDEX(INDIRECT("'WCM Calibration Final'!$H$1:$H$2000"),'Calculations'!$EM349)="DIRECTOR",INDEX(INDIRECT("'WCM Calibration Final'!$H$1:$H$2000"),'Calculations'!$EM349)="SENIOR VICE PRESIDENT",INDEX(INDIRECT("'WCM Calibration Final'!$H$1:$H$2000"),'Calculations'!$EM349)="VICE PRESIDENT",INDEX(INDIRECT("'WCM Calibration Final'!$H$1:$H$2000"),'Calculations'!$EM349)="ASSISTANT VICE PRESIDENT",INDEX(INDIRECT("'WCM Calibration Final'!$H$1:$H$2000"),'Calculations'!$EM349)="OFFICER"),UPPER(INDEX(INDIRECT("'WCM Calibration Final'!$H$1:$H$2000"),'Calculations'!$EM349)),"Other"),"Other"))</x:f>
      </x:c>
      <x:c r="BW349" s="4"/>
      <x:c r="BX349" s="4"/>
      <x:c r="BY349" s="4" t="n">
        <x:f>IF(AND('Calculations'!BM349=1,'Calculations'!BU349&lt;&gt;"",COUNTIF('Calculations'!$BU$12:BU349,'Calculations'!BU349)=1),MAX('Calculations'!$BY$11:BY348)+1,0)</x:f>
        <x:v>0</x:v>
      </x:c>
      <x:c r="BZ349" s="4" t="str">
        <x:f>IF('Dashboard'!$E$67="What",'Calculations'!BO349,'Calculations'!BP349)</x:f>
      </x:c>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t="str">
        <x:f>IF(338&gt;MAX('Calculations'!$HI$13:$HI$512),"",INDEX('Calculations'!$HN$13:$HN$512,MATCH(338,'Calculations'!$HI$13:$HI$512,0)))</x:f>
      </x:c>
      <x:c r="DB349" s="4" t="str">
        <x:f>IF(338&gt;MAX('Calculations'!$HH$13:$HH$512),"",INDEX('Calculations'!$HJ$13:$HJ$512,MATCH(338,'Calculations'!$HH$13:$HH$512,0)))</x:f>
      </x:c>
      <x:c r="DC349" s="4" t="str">
        <x:f>IF(ROW()-11&gt;MAX('Calculations'!$BY$13:$BY$512),"",INDEX('Calculations'!$BU$13:$BU$512,MATCH(ROW()-11,'Calculations'!$BY$13:$BY$512,0)))</x:f>
      </x:c>
      <x:c r="DD349" s="4" t="str">
        <x:f>IF(338&gt;MAX('Calculations'!$IK$13:$IK$512),"",INDEX('Calculations'!$HK$13:$HK$512,MATCH(338,'Calculations'!$IK$13:$IK$512,0)))</x:f>
      </x:c>
      <x:c r="DE349" s="4" t="str">
        <x:f>'Calculations'!DC349</x:f>
      </x:c>
      <x:c r="DF349" s="4" t="str">
        <x:f>IF('Calculations'!DE349="","",COUNTIFS('Calculations'!$BN$13:$BN$512,1,'Calculations'!$BU$13:$BU$512,'Calculations'!DE349))</x:f>
      </x:c>
      <x:c r="DG349" s="4" t="str">
        <x:f>IF('Calculations'!DE349="","",COUNTIFS('Calculations'!$BN$13:$BN$512,1,'Calculations'!$BU$13:$BU$512,'Calculations'!DE349,'Calculations'!$BT$13:$BT$512,1))</x:f>
      </x:c>
      <x:c r="DH349" s="4" t="str">
        <x:f>IF('Calculations'!DE349="","",'Calculations'!DF349-'Calculations'!DG349)</x:f>
      </x:c>
      <x:c r="DI349" s="4" t="str">
        <x:f>IF(OR('Calculations'!DE349="",'Calculations'!DF349=0),"",'Calculations'!DG349/'Calculations'!DF349)</x:f>
      </x:c>
      <x:c r="DJ349" s="4" t="str">
        <x:f>IF('Calculations'!DE349="","",COUNTIFS('Calculations'!$BN$13:$BN$512,1,'Calculations'!$BU$13:$BU$512,'Calculations'!DE349,'Calculations'!$BT$13:$BT$512,1,'Calculations'!$EE$13:$EE$512,"High"))</x:f>
      </x:c>
      <x:c r="DK349" s="4" t="str">
        <x:f>IF('Calculations'!DE349="","",COUNTIFS('Calculations'!$BN$13:$BN$512,1,'Calculations'!$BU$13:$BU$512,'Calculations'!DE349,'Calculations'!$BT$13:$BT$512,1,'Calculations'!$EE$13:$EE$512,"Strong"))</x:f>
      </x:c>
      <x:c r="DL349" s="4" t="str">
        <x:f>IF('Calculations'!DE349="","",COUNTIFS('Calculations'!$BN$13:$BN$512,1,'Calculations'!$BU$13:$BU$512,'Calculations'!DE349,'Calculations'!$BT$13:$BT$512,1,'Calculations'!$EE$13:$EE$512,"Solid"))</x:f>
      </x:c>
      <x:c r="DM349" s="4" t="str">
        <x:f>IF('Calculations'!DE349="","",COUNTIFS('Calculations'!$BN$13:$BN$512,1,'Calculations'!$BU$13:$BU$512,'Calculations'!DE349,'Calculations'!$BT$13:$BT$512,1,'Calculations'!$EE$13:$EE$512,"Low"))</x:f>
      </x:c>
      <x:c r="DN349" s="4" t="str">
        <x:f>IF('Calculations'!DE349="","",COUNTIFS('Calculations'!$BN$13:$BN$512,1,'Calculations'!$BU$13:$BU$512,'Calculations'!DE349,'Calculations'!$EP$13:$EP$512,1))</x:f>
      </x:c>
      <x:c r="DO349" s="4" t="str">
        <x:f>IF(OR('Calculations'!DE349="",'Calculations'!DG349=0),"",('Calculations'!DJ349+'Calculations'!DK349)/'Calculations'!DG349)</x:f>
      </x:c>
      <x:c r="DP349" s="4" t="n">
        <x:f>IF(AND('Calculations'!DE349&lt;&gt;"",'Calculations'!DF349&gt;0),COUNTIF('Calculations'!$DF$12:DF349,"&gt;0"),0)</x:f>
        <x:v>0</x:v>
      </x:c>
      <x:c r="DQ349" s="4" t="str">
        <x:f>IF(338&gt;MAX('Calculations'!$HH$13:$HH$512),"",INDEX('Calculations'!$HF$13:$HF$512,MATCH(338,'Calculations'!$HH$13:$HH$512,0)))</x:f>
      </x:c>
      <x:c r="DR349" s="4" t="str">
        <x:f>IF(338&gt;MAX('Calculations'!$IK$13:$IK$512),"",INDEX('Calculations'!$HE$13:$HE$512,MATCH(338,'Calculations'!$IK$13:$IK$512,0)))</x:f>
      </x:c>
      <x:c r="DS349" s="4"/>
      <x:c r="DT349" s="4"/>
      <x:c r="DU349" s="4"/>
      <x:c r="DV349" s="4"/>
      <x:c r="DW349" s="4"/>
      <x:c r="DX349" s="4"/>
      <x:c r="DY349" s="4"/>
      <x:c r="DZ349" s="4"/>
      <x:c r="EA349" s="4"/>
      <x:c r="EB349" s="4"/>
      <x:c r="EC349" s="4"/>
      <x:c r="ED349" s="4"/>
      <x:c r="EE349" s="4" t="str">
        <x:f>IF('Calculations'!BT349=0,"Not Rated",IF(OR('Calculations'!BO349&gt;=4,'Calculations'!BP349&gt;=4),"Low",IF('Calculations'!BO349+'Calculations'!BP349&lt;=3,"High",IF('Calculations'!BO349+'Calculations'!BP349&lt;=4,"Strong","Solid"))))</x:f>
        <x:v>Not Rated</x:v>
      </x:c>
      <x:c r="EF349" s="4"/>
      <x:c r="EG349" s="4"/>
      <x:c r="EH349" s="4"/>
      <x:c r="EI349" s="4"/>
      <x:c r="EJ349" s="4"/>
      <x:c r="EK349" s="4"/>
      <x:c r="EL349" s="4"/>
      <x:c r="EM349" s="4" t="str">
        <x:f>IF(337&gt;'Calculations'!$JB$2000,"",INDEX('Calculations'!$JA$12:$JA$2000,MATCH(337,'Calculations'!$JB$12:$JB$2000,0)))</x:f>
      </x:c>
      <x:c r="EN349" s="4" t="n">
        <x:f>IF(OR('Calculations'!EM349="",'Calculations'!$AG$8&gt;0,AND('Calculations'!$EF$2&lt;&gt;"All",'Calculations'!HE349='Calculations'!$EF$2),AND('Calculations'!$EF$3&lt;&gt;"All",'Calculations'!HE349='Calculations'!$EF$3)),0,IF(OR('Dashboard'!$B$7="All",'Calculations'!HN349='Dashboard'!$B$7),IF('Calculations'!$EF$2="All",1,IF('Calculations'!HL349&gt;0,0,IF(COUNTIF('Calculations'!HO349:II349,"="&amp;SUBSTITUTE(SUBSTITUTE(SUBSTITUTE('Calculations'!$EF$2,"~","~~"),"*","~*"),"?","~?"))=0,0,IF('Calculations'!$EF$3="All",1,IF(COUNTIF('Calculations'!HO349:II349,"="&amp;SUBSTITUTE(SUBSTITUTE(SUBSTITUTE('Calculations'!$EF$3,"~","~~"),"*","~*"),"?","~?"))&gt;0,1,0))))),0))</x:f>
        <x:v>0</x:v>
      </x:c>
      <x:c r="EO349" s="4" t="str">
        <x:f>IF('Calculations'!IJ349="","",IF('Calculations'!IJ349="!UNRESOLVED","Unresolved hierarchy",IFERROR(INDEX('Calculations'!$HK$13:$HK$512,MATCH('Calculations'!IJ349,'Calculations'!$HE$13:$HE$512,0)),IFERROR(INDEX('Calculations'!$HJ$13:$HJ$512,MATCH('Calculations'!IJ349,'Calculations'!$HF$13:$HF$512,0)),'Calculations'!IJ349))))</x:f>
      </x:c>
      <x:c r="EP349" s="4" t="n">
        <x:f>IF(AND('Calculations'!EM349&lt;&gt;"",'Calculations'!HF349='Calculations'!IJ349),1,0)</x:f>
        <x:v>0</x:v>
      </x:c>
      <x:c r="EQ349" s="4"/>
      <x:c r="ER349" s="4"/>
      <x:c r="ES349" s="4"/>
      <x:c r="ET349" s="4"/>
      <x:c r="EU349" s="4"/>
      <x:c r="EV349" s="4"/>
      <x:c r="EW349" s="4"/>
      <x:c r="EX349" s="4"/>
      <x:c r="EY349" s="4"/>
      <x:c r="EZ349" s="4"/>
      <x:c r="FA349" s="4"/>
      <x:c r="FB349" s="4"/>
      <x:c r="FC349" s="4"/>
      <x:c r="FD349" s="4"/>
      <x:c r="FE349" s="4"/>
      <x:c r="FF349" s="4"/>
      <x:c r="FG349" s="4"/>
      <x:c r="FH349" s="4"/>
      <x:c r="FI349" s="4"/>
      <x:c r="FJ349" s="4"/>
      <x:c r="FK349" s="4"/>
      <x:c r="FL349" s="4"/>
      <x:c r="FM349" s="4"/>
      <x:c r="FN349" s="4"/>
      <x:c r="FO349" s="4"/>
      <x:c r="HE349" t="str">
        <x:f>IF('Calculations'!EM349="","",IF(IFERROR(IF(INDEX(INDIRECT("'WCM Calibration Final'!$A$1:$A$2000"),'Calculations'!$EM349)="","",TRIM(INDEX(INDIRECT("'WCM Calibration Final'!$A$1:$A$2000"),'Calculations'!$EM349)&amp;"")),"")&lt;&gt;"","G:"&amp;IFERROR(TEXT(1*INDEX(INDIRECT("'WCM Calibration Final'!$A$1:$A$2000"),'Calculations'!$EM349),"0"),UPPER(IFERROR(IF(INDEX(INDIRECT("'WCM Calibration Final'!$A$1:$A$2000"),'Calculations'!$EM349)="","",TRIM(INDEX(INDIRECT("'WCM Calibration Final'!$A$1:$A$2000"),'Calculations'!$EM349)&amp;"")),""))),IF(IFERROR(IF(INDEX(INDIRECT("'WCM Calibration Final'!$C$1:$C$2000"),'Calculations'!$EM349)="","",TRIM(INDEX(INDIRECT("'WCM Calibration Final'!$C$1:$C$2000"),'Calculations'!$EM349)&amp;"")),"")&lt;&gt;"","S:"&amp;UPPER(IFERROR(IF(INDEX(INDIRECT("'WCM Calibration Final'!$C$1:$C$2000"),'Calculations'!$EM349)="","",TRIM(INDEX(INDIRECT("'WCM Calibration Final'!$C$1:$C$2000"),'Calculations'!$EM349)&amp;"")),"")),"R:"&amp;'Calculations'!EM349)))</x:f>
      </x:c>
      <x:c r="HF349" t="str">
        <x:f>IF('Calculations'!EM349="","",IF(IFERROR(IF(INDEX(INDIRECT("'WCM Calibration Final'!$D$1:$D$2000"),'Calculations'!$EM349)="","",TRIM(INDEX(INDIRECT("'WCM Calibration Final'!$D$1:$D$2000"),'Calculations'!$EM349)&amp;"")),"")&lt;&gt;"","G:"&amp;IFERROR(TEXT(1*INDEX(INDIRECT("'WCM Calibration Final'!$D$1:$D$2000"),'Calculations'!$EM349),"0"),UPPER(IFERROR(IF(INDEX(INDIRECT("'WCM Calibration Final'!$D$1:$D$2000"),'Calculations'!$EM349)="","",TRIM(INDEX(INDIRECT("'WCM Calibration Final'!$D$1:$D$2000"),'Calculations'!$EM349)&amp;"")),""))),IF(IFERROR(IF(INDEX(INDIRECT("'WCM Calibration Final'!$E$1:$E$2000"),'Calculations'!$EM349)="","",TRIM(INDEX(INDIRECT("'WCM Calibration Final'!$E$1:$E$2000"),'Calculations'!$EM349)&amp;"")),"")="","",IF(COUNTIF('Calculations'!$HG$13:$HG$512,"="&amp;SUBSTITUTE(SUBSTITUTE(SUBSTITUTE(IFERROR(IF(INDEX(INDIRECT("'WCM Calibration Final'!$E$1:$E$2000"),'Calculations'!$EM349)="","",TRIM(INDEX(INDIRECT("'WCM Calibration Final'!$E$1:$E$2000"),'Calculations'!$EM349)&amp;"")),""),"~","~~"),"*","~*"),"?","~?"))=1,INDEX('Calculations'!$HE$13:$HE$512,MATCH(IFERROR(IF(INDEX(INDIRECT("'WCM Calibration Final'!$E$1:$E$2000"),'Calculations'!$EM349)="","",TRIM(INDEX(INDIRECT("'WCM Calibration Final'!$E$1:$E$2000"),'Calculations'!$EM349)&amp;"")),""),'Calculations'!$HG$13:$HG$512,0)),IF(COUNTIF('Calculations'!$HG$13:$HG$512,"="&amp;SUBSTITUTE(SUBSTITUTE(SUBSTITUTE(IFERROR(IF(INDEX(INDIRECT("'WCM Calibration Final'!$E$1:$E$2000"),'Calculations'!$EM349)="","",TRIM(INDEX(INDIRECT("'WCM Calibration Final'!$E$1:$E$2000"),'Calculations'!$EM349)&amp;"")),""),"~","~~"),"*","~*"),"?","~?"))&gt;1,"!AMBIG","X:"&amp;IFERROR(IF(INDEX(INDIRECT("'WCM Calibration Final'!$E$1:$E$2000"),'Calculations'!$EM349)="","",TRIM(INDEX(INDIRECT("'WCM Calibration Final'!$E$1:$E$2000"),'Calculations'!$EM349)&amp;"")),""))))))</x:f>
      </x:c>
      <x:c r="HG349" t="str">
        <x:f>IF('Calculations'!EM349="","",IFERROR(IF(INDEX(INDIRECT("'WCM Calibration Final'!$B$1:$B$2000"),'Calculations'!$EM349)="","",TRIM(INDEX(INDIRECT("'WCM Calibration Final'!$B$1:$B$2000"),'Calculations'!$EM349)&amp;"")),""))</x:f>
      </x:c>
      <x:c r="HH349" t="n">
        <x:f>IF(AND('Calculations'!JC349&gt;0,COUNTIF('Calculations'!$HF$12:HF349,"="&amp;SUBSTITUTE(SUBSTITUTE(SUBSTITUTE('Calculations'!HF349,"~","~~"),"*","~*"),"?","~?"))=1),MAX('Calculations'!$HH$12:HH348)+1,0)</x:f>
        <x:v>0</x:v>
      </x:c>
      <x:c r="HI349" t="n">
        <x:f>IF(AND('Calculations'!HN349&lt;&gt;"",COUNTIF('Calculations'!$HN$12:HN349,"="&amp;SUBSTITUTE(SUBSTITUTE(SUBSTITUTE('Calculations'!HN349,"~","~~"),"*","~*"),"?","~?"))=1),MAX('Calculations'!$HI$12:HI348)+1,0)</x:f>
        <x:v>0</x:v>
      </x:c>
      <x:c r="HJ349" t="str">
        <x:f>IF('Calculations'!HF349="","",IF(COUNTIF('Calculations'!$HE$13:$HE$512,"="&amp;SUBSTITUTE(SUBSTITUTE(SUBSTITUTE('Calculations'!HF349,"~","~~"),"*","~*"),"?","~?"))=1,INDEX('Calculations'!$HK$13:$HK$512,MATCH('Calculations'!HF349,'Calculations'!$HE$13:$HE$512,0)),IFERROR(IF(INDEX(INDIRECT("'WCM Calibration Final'!$E$1:$E$2000"),'Calculations'!$EM349)="","",TRIM(INDEX(INDIRECT("'WCM Calibration Final'!$E$1:$E$2000"),'Calculations'!$EM349)&amp;"")),"")&amp;" ["&amp;'Calculations'!HF349&amp;"]"))</x:f>
      </x:c>
      <x:c r="HK349" t="str">
        <x:f>IF('Calculations'!EM349="","",'Calculations'!HG349&amp;" ["&amp;'Calculations'!HE349&amp;"]")</x:f>
      </x:c>
      <x:c r="HL349" t="n">
        <x:f>IF('Calculations'!EM349="",0,IF(OR('Calculations'!II349&lt;&gt;"",COUNTIF('Calculations'!$HE$13:$HE$512,"="&amp;SUBSTITUTE(SUBSTITUTE(SUBSTITUTE('Calculations'!HE349,"~","~~"),"*","~*"),"?","~?"))&gt;1),1,0))</x:f>
        <x:v>0</x:v>
      </x:c>
      <x:c r="HM349" t="str">
        <x:f>IF('Calculations'!EM349="","",IF('Calculations'!HL349=1,"!UNRESOLVED",IF('Calculations'!IH349&lt;&gt;"",'Calculations'!IH349,IF('Calculations'!IG349&lt;&gt;"",'Calculations'!IG349,IF('Calculations'!IF349&lt;&gt;"",'Calculations'!IF349,IF('Calculations'!IE349&lt;&gt;"",'Calculations'!IE349,IF('Calculations'!ID349&lt;&gt;"",'Calculations'!ID349,IF('Calculations'!IC349&lt;&gt;"",'Calculations'!IC349,IF('Calculations'!IB349&lt;&gt;"",'Calculations'!IB349,IF('Calculations'!IA349&lt;&gt;"",'Calculations'!IA349,IF('Calculations'!HZ349&lt;&gt;"",'Calculations'!HZ349,IF('Calculations'!HY349&lt;&gt;"",'Calculations'!HY349,IF('Calculations'!HX349&lt;&gt;"",'Calculations'!HX349,IF('Calculations'!HW349&lt;&gt;"",'Calculations'!HW349,IF('Calculations'!HV349&lt;&gt;"",'Calculations'!HV349,IF('Calculations'!HU349&lt;&gt;"",'Calculations'!HU349,IF('Calculations'!HT349&lt;&gt;"",'Calculations'!HT349,IF('Calculations'!HS349&lt;&gt;"",'Calculations'!HS349,IF('Calculations'!HR349&lt;&gt;"",'Calculations'!HR349,IF('Calculations'!HQ349&lt;&gt;"",'Calculations'!HQ349,IF('Calculations'!HP349&lt;&gt;"",'Calculations'!HP349,IF('Calculations'!HO349&lt;&gt;"",'Calculations'!HO349,'Calculations'!HE349))))))))))))))))))))))</x:f>
      </x:c>
      <x:c r="HN349" t="str">
        <x:f>IF('Calculations'!EM349="","",IF(IFERROR(IF(INDEX(INDIRECT("'WCM Calibration Final'!$F$1:$F$2000"),'Calculations'!$EM349)="","",TRIM(INDEX(INDIRECT("'WCM Calibration Final'!$F$1:$F$2000"),'Calculations'!$EM349)&amp;"")),"")="","(Blank)",IFERROR(IF(INDEX(INDIRECT("'WCM Calibration Final'!$F$1:$F$2000"),'Calculations'!$EM349)="","",TRIM(INDEX(INDIRECT("'WCM Calibration Final'!$F$1:$F$2000"),'Calculations'!$EM349)&amp;"")),"")))</x:f>
      </x:c>
      <x:c r="HO349" t="str">
        <x:f>'Calculations'!HF349</x:f>
      </x:c>
      <x:c r="HP349" t="str">
        <x:f>IF('Calculations'!HO349="","",IF('Calculations'!HO349="!AMBIG","!AMBIG",IF(COUNTIF('Calculations'!$HE$13:$HE$512,"="&amp;SUBSTITUTE(SUBSTITUTE(SUBSTITUTE('Calculations'!HO349,"~","~~"),"*","~*"),"?","~?"))&gt;1,"!AMBIG",IFERROR(INDEX('Calculations'!$HF$13:$HF$512,MATCH('Calculations'!HO349,'Calculations'!$HE$13:$HE$512,0)),""))))</x:f>
      </x:c>
      <x:c r="HQ349" t="str">
        <x:f>IF('Calculations'!HP349="","",IF('Calculations'!HP349="!AMBIG","!AMBIG",IF(COUNTIF('Calculations'!$HE$13:$HE$512,"="&amp;SUBSTITUTE(SUBSTITUTE(SUBSTITUTE('Calculations'!HP349,"~","~~"),"*","~*"),"?","~?"))&gt;1,"!AMBIG",IFERROR(INDEX('Calculations'!$HF$13:$HF$512,MATCH('Calculations'!HP349,'Calculations'!$HE$13:$HE$512,0)),""))))</x:f>
      </x:c>
      <x:c r="HR349" t="str">
        <x:f>IF('Calculations'!HQ349="","",IF('Calculations'!HQ349="!AMBIG","!AMBIG",IF(COUNTIF('Calculations'!$HE$13:$HE$512,"="&amp;SUBSTITUTE(SUBSTITUTE(SUBSTITUTE('Calculations'!HQ349,"~","~~"),"*","~*"),"?","~?"))&gt;1,"!AMBIG",IFERROR(INDEX('Calculations'!$HF$13:$HF$512,MATCH('Calculations'!HQ349,'Calculations'!$HE$13:$HE$512,0)),""))))</x:f>
      </x:c>
      <x:c r="HS349" t="str">
        <x:f>IF('Calculations'!HR349="","",IF('Calculations'!HR349="!AMBIG","!AMBIG",IF(COUNTIF('Calculations'!$HE$13:$HE$512,"="&amp;SUBSTITUTE(SUBSTITUTE(SUBSTITUTE('Calculations'!HR349,"~","~~"),"*","~*"),"?","~?"))&gt;1,"!AMBIG",IFERROR(INDEX('Calculations'!$HF$13:$HF$512,MATCH('Calculations'!HR349,'Calculations'!$HE$13:$HE$512,0)),""))))</x:f>
      </x:c>
      <x:c r="HT349" t="str">
        <x:f>IF('Calculations'!HS349="","",IF('Calculations'!HS349="!AMBIG","!AMBIG",IF(COUNTIF('Calculations'!$HE$13:$HE$512,"="&amp;SUBSTITUTE(SUBSTITUTE(SUBSTITUTE('Calculations'!HS349,"~","~~"),"*","~*"),"?","~?"))&gt;1,"!AMBIG",IFERROR(INDEX('Calculations'!$HF$13:$HF$512,MATCH('Calculations'!HS349,'Calculations'!$HE$13:$HE$512,0)),""))))</x:f>
      </x:c>
      <x:c r="HU349" t="str">
        <x:f>IF('Calculations'!HT349="","",IF('Calculations'!HT349="!AMBIG","!AMBIG",IF(COUNTIF('Calculations'!$HE$13:$HE$512,"="&amp;SUBSTITUTE(SUBSTITUTE(SUBSTITUTE('Calculations'!HT349,"~","~~"),"*","~*"),"?","~?"))&gt;1,"!AMBIG",IFERROR(INDEX('Calculations'!$HF$13:$HF$512,MATCH('Calculations'!HT349,'Calculations'!$HE$13:$HE$512,0)),""))))</x:f>
      </x:c>
      <x:c r="HV349" t="str">
        <x:f>IF('Calculations'!HU349="","",IF('Calculations'!HU349="!AMBIG","!AMBIG",IF(COUNTIF('Calculations'!$HE$13:$HE$512,"="&amp;SUBSTITUTE(SUBSTITUTE(SUBSTITUTE('Calculations'!HU349,"~","~~"),"*","~*"),"?","~?"))&gt;1,"!AMBIG",IFERROR(INDEX('Calculations'!$HF$13:$HF$512,MATCH('Calculations'!HU349,'Calculations'!$HE$13:$HE$512,0)),""))))</x:f>
      </x:c>
      <x:c r="HW349" t="str">
        <x:f>IF('Calculations'!HV349="","",IF('Calculations'!HV349="!AMBIG","!AMBIG",IF(COUNTIF('Calculations'!$HE$13:$HE$512,"="&amp;SUBSTITUTE(SUBSTITUTE(SUBSTITUTE('Calculations'!HV349,"~","~~"),"*","~*"),"?","~?"))&gt;1,"!AMBIG",IFERROR(INDEX('Calculations'!$HF$13:$HF$512,MATCH('Calculations'!HV349,'Calculations'!$HE$13:$HE$512,0)),""))))</x:f>
      </x:c>
      <x:c r="HX349" t="str">
        <x:f>IF('Calculations'!HW349="","",IF('Calculations'!HW349="!AMBIG","!AMBIG",IF(COUNTIF('Calculations'!$HE$13:$HE$512,"="&amp;SUBSTITUTE(SUBSTITUTE(SUBSTITUTE('Calculations'!HW349,"~","~~"),"*","~*"),"?","~?"))&gt;1,"!AMBIG",IFERROR(INDEX('Calculations'!$HF$13:$HF$512,MATCH('Calculations'!HW349,'Calculations'!$HE$13:$HE$512,0)),""))))</x:f>
      </x:c>
      <x:c r="HY349" t="str">
        <x:f>IF('Calculations'!HX349="","",IF('Calculations'!HX349="!AMBIG","!AMBIG",IF(COUNTIF('Calculations'!$HE$13:$HE$512,"="&amp;SUBSTITUTE(SUBSTITUTE(SUBSTITUTE('Calculations'!HX349,"~","~~"),"*","~*"),"?","~?"))&gt;1,"!AMBIG",IFERROR(INDEX('Calculations'!$HF$13:$HF$512,MATCH('Calculations'!HX349,'Calculations'!$HE$13:$HE$512,0)),""))))</x:f>
      </x:c>
      <x:c r="HZ349" t="str">
        <x:f>IF('Calculations'!HY349="","",IF('Calculations'!HY349="!AMBIG","!AMBIG",IF(COUNTIF('Calculations'!$HE$13:$HE$512,"="&amp;SUBSTITUTE(SUBSTITUTE(SUBSTITUTE('Calculations'!HY349,"~","~~"),"*","~*"),"?","~?"))&gt;1,"!AMBIG",IFERROR(INDEX('Calculations'!$HF$13:$HF$512,MATCH('Calculations'!HY349,'Calculations'!$HE$13:$HE$512,0)),""))))</x:f>
      </x:c>
      <x:c r="IA349" t="str">
        <x:f>IF('Calculations'!HZ349="","",IF('Calculations'!HZ349="!AMBIG","!AMBIG",IF(COUNTIF('Calculations'!$HE$13:$HE$512,"="&amp;SUBSTITUTE(SUBSTITUTE(SUBSTITUTE('Calculations'!HZ349,"~","~~"),"*","~*"),"?","~?"))&gt;1,"!AMBIG",IFERROR(INDEX('Calculations'!$HF$13:$HF$512,MATCH('Calculations'!HZ349,'Calculations'!$HE$13:$HE$512,0)),""))))</x:f>
      </x:c>
      <x:c r="IB349" t="str">
        <x:f>IF('Calculations'!IA349="","",IF('Calculations'!IA349="!AMBIG","!AMBIG",IF(COUNTIF('Calculations'!$HE$13:$HE$512,"="&amp;SUBSTITUTE(SUBSTITUTE(SUBSTITUTE('Calculations'!IA349,"~","~~"),"*","~*"),"?","~?"))&gt;1,"!AMBIG",IFERROR(INDEX('Calculations'!$HF$13:$HF$512,MATCH('Calculations'!IA349,'Calculations'!$HE$13:$HE$512,0)),""))))</x:f>
      </x:c>
      <x:c r="IC349" t="str">
        <x:f>IF('Calculations'!IB349="","",IF('Calculations'!IB349="!AMBIG","!AMBIG",IF(COUNTIF('Calculations'!$HE$13:$HE$512,"="&amp;SUBSTITUTE(SUBSTITUTE(SUBSTITUTE('Calculations'!IB349,"~","~~"),"*","~*"),"?","~?"))&gt;1,"!AMBIG",IFERROR(INDEX('Calculations'!$HF$13:$HF$512,MATCH('Calculations'!IB349,'Calculations'!$HE$13:$HE$512,0)),""))))</x:f>
      </x:c>
      <x:c r="ID349" t="str">
        <x:f>IF('Calculations'!IC349="","",IF('Calculations'!IC349="!AMBIG","!AMBIG",IF(COUNTIF('Calculations'!$HE$13:$HE$512,"="&amp;SUBSTITUTE(SUBSTITUTE(SUBSTITUTE('Calculations'!IC349,"~","~~"),"*","~*"),"?","~?"))&gt;1,"!AMBIG",IFERROR(INDEX('Calculations'!$HF$13:$HF$512,MATCH('Calculations'!IC349,'Calculations'!$HE$13:$HE$512,0)),""))))</x:f>
      </x:c>
      <x:c r="IE349" t="str">
        <x:f>IF('Calculations'!ID349="","",IF('Calculations'!ID349="!AMBIG","!AMBIG",IF(COUNTIF('Calculations'!$HE$13:$HE$512,"="&amp;SUBSTITUTE(SUBSTITUTE(SUBSTITUTE('Calculations'!ID349,"~","~~"),"*","~*"),"?","~?"))&gt;1,"!AMBIG",IFERROR(INDEX('Calculations'!$HF$13:$HF$512,MATCH('Calculations'!ID349,'Calculations'!$HE$13:$HE$512,0)),""))))</x:f>
      </x:c>
      <x:c r="IF349" t="str">
        <x:f>IF('Calculations'!IE349="","",IF('Calculations'!IE349="!AMBIG","!AMBIG",IF(COUNTIF('Calculations'!$HE$13:$HE$512,"="&amp;SUBSTITUTE(SUBSTITUTE(SUBSTITUTE('Calculations'!IE349,"~","~~"),"*","~*"),"?","~?"))&gt;1,"!AMBIG",IFERROR(INDEX('Calculations'!$HF$13:$HF$512,MATCH('Calculations'!IE349,'Calculations'!$HE$13:$HE$512,0)),""))))</x:f>
      </x:c>
      <x:c r="IG349" t="str">
        <x:f>IF('Calculations'!IF349="","",IF('Calculations'!IF349="!AMBIG","!AMBIG",IF(COUNTIF('Calculations'!$HE$13:$HE$512,"="&amp;SUBSTITUTE(SUBSTITUTE(SUBSTITUTE('Calculations'!IF349,"~","~~"),"*","~*"),"?","~?"))&gt;1,"!AMBIG",IFERROR(INDEX('Calculations'!$HF$13:$HF$512,MATCH('Calculations'!IF349,'Calculations'!$HE$13:$HE$512,0)),""))))</x:f>
      </x:c>
      <x:c r="IH349" t="str">
        <x:f>IF('Calculations'!IG349="","",IF('Calculations'!IG349="!AMBIG","!AMBIG",IF(COUNTIF('Calculations'!$HE$13:$HE$512,"="&amp;SUBSTITUTE(SUBSTITUTE(SUBSTITUTE('Calculations'!IG349,"~","~~"),"*","~*"),"?","~?"))&gt;1,"!AMBIG",IFERROR(INDEX('Calculations'!$HF$13:$HF$512,MATCH('Calculations'!IG349,'Calculations'!$HE$13:$HE$512,0)),""))))</x:f>
      </x:c>
      <x:c r="II349" t="str">
        <x:f>IF('Calculations'!IH349="","",IF('Calculations'!IH349="!AMBIG","!AMBIG",IF(COUNTIF('Calculations'!$HE$13:$HE$512,"="&amp;SUBSTITUTE(SUBSTITUTE(SUBSTITUTE('Calculations'!IH349,"~","~~"),"*","~*"),"?","~?"))&gt;1,"!AMBIG",IFERROR(INDEX('Calculations'!$HF$13:$HF$512,MATCH('Calculations'!IH349,'Calculations'!$HE$13:$HE$512,0)),""))))</x:f>
      </x:c>
      <x:c r="IJ349" t="str">
        <x:f>IF('Calculations'!EM349="","",IF('Calculations'!$EF$2="All",'Calculations'!HM349,IF('Calculations'!HL349=1,"",IFERROR(IF(MATCH('Calculations'!$EF$2,'Calculations'!HO349:II349,0)=1,'Calculations'!HE349,INDEX('Calculations'!HO349:II349,1,MATCH('Calculations'!$EF$2,'Calculations'!HO349:II349,0)-1)),""))))</x:f>
      </x:c>
      <x:c r="IK349" t="n">
        <x:f>IF(AND('Calculations'!EM349&lt;&gt;"",'Calculations'!$EF$2&lt;&gt;"All",'Calculations'!HF349='Calculations'!$EF$2,'Calculations'!HL349=0,'Calculations'!JD349&gt;0),MAX('Calculations'!$IK$12:IK348)+1,0)</x:f>
        <x:v>0</x:v>
      </x:c>
      <x:c r="JA349" t="n">
        <x:f>IF(OR(IFERROR(INDIRECT("'WCM Calibration Final'!$A$349")&lt;&gt;"",FALSE),IFERROR(INDIRECT("'WCM Calibration Final'!$B$349")&lt;&gt;"",FALSE),IFERROR(INDIRECT("'WCM Calibration Final'!$C$349")&lt;&gt;"",FALSE)),349,0)</x:f>
        <x:v>0</x:v>
      </x:c>
      <x:c r="JB349" t="n">
        <x:f>'Calculations'!JB348+IF('Calculations'!JA349&gt;0,1,0)</x:f>
        <x:v>0</x:v>
      </x:c>
      <x:c r="JC349" t="n">
        <x:f>IF(OR('Calculations'!HF349="",'Calculations'!HF349="!AMBIG"),0,IF('Dashboard'!$B$7="All",1,COUNTIFS('Calculations'!$HO$13:$HO$512,"="&amp;SUBSTITUTE(SUBSTITUTE(SUBSTITUTE('Calculations'!HF349,"~","~~"),"*","~*"),"?","~?"),'Calculations'!$HN$13:$HN$512,"="&amp;SUBSTITUTE(SUBSTITUTE(SUBSTITUTE('Dashboard'!$B$7,"~","~~"),"*","~*"),"?","~?"))+COUNTIFS('Calculations'!$HP$13:$HP$512,"="&amp;SUBSTITUTE(SUBSTITUTE(SUBSTITUTE('Calculations'!HF349,"~","~~"),"*","~*"),"?","~?"),'Calculations'!$HN$13:$HN$512,"="&amp;SUBSTITUTE(SUBSTITUTE(SUBSTITUTE('Dashboard'!$B$7,"~","~~"),"*","~*"),"?","~?"))+COUNTIFS('Calculations'!$HQ$13:$HQ$512,"="&amp;SUBSTITUTE(SUBSTITUTE(SUBSTITUTE('Calculations'!HF349,"~","~~"),"*","~*"),"?","~?"),'Calculations'!$HN$13:$HN$512,"="&amp;SUBSTITUTE(SUBSTITUTE(SUBSTITUTE('Dashboard'!$B$7,"~","~~"),"*","~*"),"?","~?"))+COUNTIFS('Calculations'!$HR$13:$HR$512,"="&amp;SUBSTITUTE(SUBSTITUTE(SUBSTITUTE('Calculations'!HF349,"~","~~"),"*","~*"),"?","~?"),'Calculations'!$HN$13:$HN$512,"="&amp;SUBSTITUTE(SUBSTITUTE(SUBSTITUTE('Dashboard'!$B$7,"~","~~"),"*","~*"),"?","~?"))+COUNTIFS('Calculations'!$HS$13:$HS$512,"="&amp;SUBSTITUTE(SUBSTITUTE(SUBSTITUTE('Calculations'!HF349,"~","~~"),"*","~*"),"?","~?"),'Calculations'!$HN$13:$HN$512,"="&amp;SUBSTITUTE(SUBSTITUTE(SUBSTITUTE('Dashboard'!$B$7,"~","~~"),"*","~*"),"?","~?"))+COUNTIFS('Calculations'!$HT$13:$HT$512,"="&amp;SUBSTITUTE(SUBSTITUTE(SUBSTITUTE('Calculations'!HF349,"~","~~"),"*","~*"),"?","~?"),'Calculations'!$HN$13:$HN$512,"="&amp;SUBSTITUTE(SUBSTITUTE(SUBSTITUTE('Dashboard'!$B$7,"~","~~"),"*","~*"),"?","~?"))+COUNTIFS('Calculations'!$HU$13:$HU$512,"="&amp;SUBSTITUTE(SUBSTITUTE(SUBSTITUTE('Calculations'!HF349,"~","~~"),"*","~*"),"?","~?"),'Calculations'!$HN$13:$HN$512,"="&amp;SUBSTITUTE(SUBSTITUTE(SUBSTITUTE('Dashboard'!$B$7,"~","~~"),"*","~*"),"?","~?"))+COUNTIFS('Calculations'!$HV$13:$HV$512,"="&amp;SUBSTITUTE(SUBSTITUTE(SUBSTITUTE('Calculations'!HF349,"~","~~"),"*","~*"),"?","~?"),'Calculations'!$HN$13:$HN$512,"="&amp;SUBSTITUTE(SUBSTITUTE(SUBSTITUTE('Dashboard'!$B$7,"~","~~"),"*","~*"),"?","~?"))+COUNTIFS('Calculations'!$HW$13:$HW$512,"="&amp;SUBSTITUTE(SUBSTITUTE(SUBSTITUTE('Calculations'!HF349,"~","~~"),"*","~*"),"?","~?"),'Calculations'!$HN$13:$HN$512,"="&amp;SUBSTITUTE(SUBSTITUTE(SUBSTITUTE('Dashboard'!$B$7,"~","~~"),"*","~*"),"?","~?"))+COUNTIFS('Calculations'!$HX$13:$HX$512,"="&amp;SUBSTITUTE(SUBSTITUTE(SUBSTITUTE('Calculations'!HF349,"~","~~"),"*","~*"),"?","~?"),'Calculations'!$HN$13:$HN$512,"="&amp;SUBSTITUTE(SUBSTITUTE(SUBSTITUTE('Dashboard'!$B$7,"~","~~"),"*","~*"),"?","~?"))+COUNTIFS('Calculations'!$HY$13:$HY$512,"="&amp;SUBSTITUTE(SUBSTITUTE(SUBSTITUTE('Calculations'!HF349,"~","~~"),"*","~*"),"?","~?"),'Calculations'!$HN$13:$HN$512,"="&amp;SUBSTITUTE(SUBSTITUTE(SUBSTITUTE('Dashboard'!$B$7,"~","~~"),"*","~*"),"?","~?"))+COUNTIFS('Calculations'!$HZ$13:$HZ$512,"="&amp;SUBSTITUTE(SUBSTITUTE(SUBSTITUTE('Calculations'!HF349,"~","~~"),"*","~*"),"?","~?"),'Calculations'!$HN$13:$HN$512,"="&amp;SUBSTITUTE(SUBSTITUTE(SUBSTITUTE('Dashboard'!$B$7,"~","~~"),"*","~*"),"?","~?"))+COUNTIFS('Calculations'!$IA$13:$IA$512,"="&amp;SUBSTITUTE(SUBSTITUTE(SUBSTITUTE('Calculations'!HF349,"~","~~"),"*","~*"),"?","~?"),'Calculations'!$HN$13:$HN$512,"="&amp;SUBSTITUTE(SUBSTITUTE(SUBSTITUTE('Dashboard'!$B$7,"~","~~"),"*","~*"),"?","~?"))+COUNTIFS('Calculations'!$IB$13:$IB$512,"="&amp;SUBSTITUTE(SUBSTITUTE(SUBSTITUTE('Calculations'!HF349,"~","~~"),"*","~*"),"?","~?"),'Calculations'!$HN$13:$HN$512,"="&amp;SUBSTITUTE(SUBSTITUTE(SUBSTITUTE('Dashboard'!$B$7,"~","~~"),"*","~*"),"?","~?"))+COUNTIFS('Calculations'!$IC$13:$IC$512,"="&amp;SUBSTITUTE(SUBSTITUTE(SUBSTITUTE('Calculations'!HF349,"~","~~"),"*","~*"),"?","~?"),'Calculations'!$HN$13:$HN$512,"="&amp;SUBSTITUTE(SUBSTITUTE(SUBSTITUTE('Dashboard'!$B$7,"~","~~"),"*","~*"),"?","~?"))+COUNTIFS('Calculations'!$ID$13:$ID$512,"="&amp;SUBSTITUTE(SUBSTITUTE(SUBSTITUTE('Calculations'!HF349,"~","~~"),"*","~*"),"?","~?"),'Calculations'!$HN$13:$HN$512,"="&amp;SUBSTITUTE(SUBSTITUTE(SUBSTITUTE('Dashboard'!$B$7,"~","~~"),"*","~*"),"?","~?"))+COUNTIFS('Calculations'!$IE$13:$IE$512,"="&amp;SUBSTITUTE(SUBSTITUTE(SUBSTITUTE('Calculations'!HF349,"~","~~"),"*","~*"),"?","~?"),'Calculations'!$HN$13:$HN$512,"="&amp;SUBSTITUTE(SUBSTITUTE(SUBSTITUTE('Dashboard'!$B$7,"~","~~"),"*","~*"),"?","~?"))+COUNTIFS('Calculations'!$IF$13:$IF$512,"="&amp;SUBSTITUTE(SUBSTITUTE(SUBSTITUTE('Calculations'!HF349,"~","~~"),"*","~*"),"?","~?"),'Calculations'!$HN$13:$HN$512,"="&amp;SUBSTITUTE(SUBSTITUTE(SUBSTITUTE('Dashboard'!$B$7,"~","~~"),"*","~*"),"?","~?"))+COUNTIFS('Calculations'!$IG$13:$IG$512,"="&amp;SUBSTITUTE(SUBSTITUTE(SUBSTITUTE('Calculations'!HF349,"~","~~"),"*","~*"),"?","~?"),'Calculations'!$HN$13:$HN$512,"="&amp;SUBSTITUTE(SUBSTITUTE(SUBSTITUTE('Dashboard'!$B$7,"~","~~"),"*","~*"),"?","~?"))+COUNTIFS('Calculations'!$IH$13:$IH$512,"="&amp;SUBSTITUTE(SUBSTITUTE(SUBSTITUTE('Calculations'!HF349,"~","~~"),"*","~*"),"?","~?"),'Calculations'!$HN$13:$HN$512,"="&amp;SUBSTITUTE(SUBSTITUTE(SUBSTITUTE('Dashboard'!$B$7,"~","~~"),"*","~*"),"?","~?"))))</x:f>
        <x:v>0</x:v>
      </x:c>
      <x:c r="JD349" t="n">
        <x:f>IF('Calculations'!EM349="",0,IF('Dashboard'!$B$7="All",1,IF('Calculations'!HN349='Dashboard'!$B$7,1,0)+IFERROR(INDEX('Calculations'!$JC$13:$JC$512,MATCH('Calculations'!HE349,'Calculations'!$HF$13:$HF$512,0)),0)))</x:f>
        <x:v>0</x:v>
      </x:c>
      <x:c r="JE349" t="n">
        <x:f>IF(AND('Calculations'!EM349&lt;&gt;"",'Calculations'!$JJ$2&lt;&gt;"All",'Calculations'!$JJ$2&lt;&gt;"",'Calculations'!HF349='Calculations'!$JJ$2,'Calculations'!HL349=0,'Calculations'!JD349&gt;0),MAX('Calculations'!$JE$12:JE348)+1,0)</x:f>
        <x:v>0</x:v>
      </x:c>
      <x:c r="JF349" t="str">
        <x:f>IF('Calculations'!EM349="","",IFERROR(IF(INDEX(INDIRECT("'WCM Calibration Final'!$G$1:$G$2000"),'Calculations'!$EM349)="","",TRIM(INDEX(INDIRECT("'WCM Calibration Final'!$G$1:$G$2000"),'Calculations'!$EM349)&amp;"")),""))</x:f>
      </x:c>
      <x:c r="JQ349" t="n">
        <x:f>IF(OR('Calculations'!BM349=0,NOT('Calculations'!$AG$2),'Calculations'!$AG$8&gt;0),0,IF(OR('Dashboard'!$B$7="All",'Calculations'!HN349='Dashboard'!$B$7),IF('Calculations'!$JJ$2="All",1,IF(AND('Calculations'!HF349='Calculations'!$JJ$2,'Calculations'!HL349=0),1,0)),0))</x:f>
        <x:v>0</x:v>
      </x:c>
    </x:row>
    <x:row r="350">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t="n">
        <x:f>IF('Calculations'!$EM350="",0,IF(OR(IFERROR(INDEX(INDIRECT("'WCM Calibration Final'!$A$1:$A$2000"),'Calculations'!$EM350)&lt;&gt;"",FALSE),IFERROR(INDEX(INDIRECT("'WCM Calibration Final'!$B$1:$B$2000"),'Calculations'!$EM350)&lt;&gt;"",FALSE),IFERROR(INDEX(INDIRECT("'WCM Calibration Final'!$C$1:$C$2000"),'Calculations'!$EM350)&lt;&gt;"",FALSE)),1,0))</x:f>
        <x:v>0</x:v>
      </x:c>
      <x:c r="BN350" s="4" t="n">
        <x:f>IF(AND('Calculations'!BM350=1,'Calculations'!$AG$2,'Calculations'!$EN350=1),1,0)</x:f>
        <x:v>0</x:v>
      </x:c>
      <x:c r="BO350" s="4" t="str">
        <x:f>IF('Calculations'!BM350=0,"",IFERROR(IF(AND(VALUE(INDEX(INDIRECT("'WCM Calibration Final'!$K$1:$K$2000"),'Calculations'!$EM350))&gt;=1,VALUE(INDEX(INDIRECT("'WCM Calibration Final'!$K$1:$K$2000"),'Calculations'!$EM350))&lt;=4,MOD(VALUE(INDEX(INDIRECT("'WCM Calibration Final'!$K$1:$K$2000"),'Calculations'!$EM350)),1)=0),VALUE(INDEX(INDIRECT("'WCM Calibration Final'!$K$1:$K$2000"),'Calculations'!$EM350)),""),""))</x:f>
      </x:c>
      <x:c r="BP350" s="4" t="str">
        <x:f>IF('Calculations'!BM350=0,"",IFERROR(IF(AND(VALUE(INDEX(INDIRECT("'WCM Calibration Final'!$L$1:$L$2000"),'Calculations'!$EM350))&gt;=1,VALUE(INDEX(INDIRECT("'WCM Calibration Final'!$L$1:$L$2000"),'Calculations'!$EM350))&lt;=4,MOD(VALUE(INDEX(INDIRECT("'WCM Calibration Final'!$L$1:$L$2000"),'Calculations'!$EM350)),1)=0),VALUE(INDEX(INDIRECT("'WCM Calibration Final'!$L$1:$L$2000"),'Calculations'!$EM350)),""),""))</x:f>
      </x:c>
      <x:c r="BQ350" s="4"/>
      <x:c r="BR350" s="4"/>
      <x:c r="BS350" s="4"/>
      <x:c r="BT350" s="4" t="n">
        <x:f>IF(AND('Calculations'!BM350=1,ISNUMBER('Calculations'!BO350),ISNUMBER('Calculations'!BP350)),1,0)</x:f>
        <x:v>0</x:v>
      </x:c>
      <x:c r="BU350" s="4" t="str">
        <x:f>IF('Calculations'!BM350=0,"",'Calculations'!$EO350)</x:f>
      </x:c>
      <x:c r="BV350" s="4" t="str">
        <x:f>IF('Calculations'!BM350=0,"",IFERROR(IF(OR(INDEX(INDIRECT("'WCM Calibration Final'!$H$1:$H$2000"),'Calculations'!$EM350)="MANAGING DIRECTOR",INDEX(INDIRECT("'WCM Calibration Final'!$H$1:$H$2000"),'Calculations'!$EM350)="DIRECTOR",INDEX(INDIRECT("'WCM Calibration Final'!$H$1:$H$2000"),'Calculations'!$EM350)="SENIOR VICE PRESIDENT",INDEX(INDIRECT("'WCM Calibration Final'!$H$1:$H$2000"),'Calculations'!$EM350)="VICE PRESIDENT",INDEX(INDIRECT("'WCM Calibration Final'!$H$1:$H$2000"),'Calculations'!$EM350)="ASSISTANT VICE PRESIDENT",INDEX(INDIRECT("'WCM Calibration Final'!$H$1:$H$2000"),'Calculations'!$EM350)="OFFICER"),UPPER(INDEX(INDIRECT("'WCM Calibration Final'!$H$1:$H$2000"),'Calculations'!$EM350)),"Other"),"Other"))</x:f>
      </x:c>
      <x:c r="BW350" s="4"/>
      <x:c r="BX350" s="4"/>
      <x:c r="BY350" s="4" t="n">
        <x:f>IF(AND('Calculations'!BM350=1,'Calculations'!BU350&lt;&gt;"",COUNTIF('Calculations'!$BU$12:BU350,'Calculations'!BU350)=1),MAX('Calculations'!$BY$11:BY349)+1,0)</x:f>
        <x:v>0</x:v>
      </x:c>
      <x:c r="BZ350" s="4" t="str">
        <x:f>IF('Dashboard'!$E$67="What",'Calculations'!BO350,'Calculations'!BP350)</x:f>
      </x:c>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t="str">
        <x:f>IF(339&gt;MAX('Calculations'!$HI$13:$HI$512),"",INDEX('Calculations'!$HN$13:$HN$512,MATCH(339,'Calculations'!$HI$13:$HI$512,0)))</x:f>
      </x:c>
      <x:c r="DB350" s="4" t="str">
        <x:f>IF(339&gt;MAX('Calculations'!$HH$13:$HH$512),"",INDEX('Calculations'!$HJ$13:$HJ$512,MATCH(339,'Calculations'!$HH$13:$HH$512,0)))</x:f>
      </x:c>
      <x:c r="DC350" s="4" t="str">
        <x:f>IF(ROW()-11&gt;MAX('Calculations'!$BY$13:$BY$512),"",INDEX('Calculations'!$BU$13:$BU$512,MATCH(ROW()-11,'Calculations'!$BY$13:$BY$512,0)))</x:f>
      </x:c>
      <x:c r="DD350" s="4" t="str">
        <x:f>IF(339&gt;MAX('Calculations'!$IK$13:$IK$512),"",INDEX('Calculations'!$HK$13:$HK$512,MATCH(339,'Calculations'!$IK$13:$IK$512,0)))</x:f>
      </x:c>
      <x:c r="DE350" s="4" t="str">
        <x:f>'Calculations'!DC350</x:f>
      </x:c>
      <x:c r="DF350" s="4" t="str">
        <x:f>IF('Calculations'!DE350="","",COUNTIFS('Calculations'!$BN$13:$BN$512,1,'Calculations'!$BU$13:$BU$512,'Calculations'!DE350))</x:f>
      </x:c>
      <x:c r="DG350" s="4" t="str">
        <x:f>IF('Calculations'!DE350="","",COUNTIFS('Calculations'!$BN$13:$BN$512,1,'Calculations'!$BU$13:$BU$512,'Calculations'!DE350,'Calculations'!$BT$13:$BT$512,1))</x:f>
      </x:c>
      <x:c r="DH350" s="4" t="str">
        <x:f>IF('Calculations'!DE350="","",'Calculations'!DF350-'Calculations'!DG350)</x:f>
      </x:c>
      <x:c r="DI350" s="4" t="str">
        <x:f>IF(OR('Calculations'!DE350="",'Calculations'!DF350=0),"",'Calculations'!DG350/'Calculations'!DF350)</x:f>
      </x:c>
      <x:c r="DJ350" s="4" t="str">
        <x:f>IF('Calculations'!DE350="","",COUNTIFS('Calculations'!$BN$13:$BN$512,1,'Calculations'!$BU$13:$BU$512,'Calculations'!DE350,'Calculations'!$BT$13:$BT$512,1,'Calculations'!$EE$13:$EE$512,"High"))</x:f>
      </x:c>
      <x:c r="DK350" s="4" t="str">
        <x:f>IF('Calculations'!DE350="","",COUNTIFS('Calculations'!$BN$13:$BN$512,1,'Calculations'!$BU$13:$BU$512,'Calculations'!DE350,'Calculations'!$BT$13:$BT$512,1,'Calculations'!$EE$13:$EE$512,"Strong"))</x:f>
      </x:c>
      <x:c r="DL350" s="4" t="str">
        <x:f>IF('Calculations'!DE350="","",COUNTIFS('Calculations'!$BN$13:$BN$512,1,'Calculations'!$BU$13:$BU$512,'Calculations'!DE350,'Calculations'!$BT$13:$BT$512,1,'Calculations'!$EE$13:$EE$512,"Solid"))</x:f>
      </x:c>
      <x:c r="DM350" s="4" t="str">
        <x:f>IF('Calculations'!DE350="","",COUNTIFS('Calculations'!$BN$13:$BN$512,1,'Calculations'!$BU$13:$BU$512,'Calculations'!DE350,'Calculations'!$BT$13:$BT$512,1,'Calculations'!$EE$13:$EE$512,"Low"))</x:f>
      </x:c>
      <x:c r="DN350" s="4" t="str">
        <x:f>IF('Calculations'!DE350="","",COUNTIFS('Calculations'!$BN$13:$BN$512,1,'Calculations'!$BU$13:$BU$512,'Calculations'!DE350,'Calculations'!$EP$13:$EP$512,1))</x:f>
      </x:c>
      <x:c r="DO350" s="4" t="str">
        <x:f>IF(OR('Calculations'!DE350="",'Calculations'!DG350=0),"",('Calculations'!DJ350+'Calculations'!DK350)/'Calculations'!DG350)</x:f>
      </x:c>
      <x:c r="DP350" s="4" t="n">
        <x:f>IF(AND('Calculations'!DE350&lt;&gt;"",'Calculations'!DF350&gt;0),COUNTIF('Calculations'!$DF$12:DF350,"&gt;0"),0)</x:f>
        <x:v>0</x:v>
      </x:c>
      <x:c r="DQ350" s="4" t="str">
        <x:f>IF(339&gt;MAX('Calculations'!$HH$13:$HH$512),"",INDEX('Calculations'!$HF$13:$HF$512,MATCH(339,'Calculations'!$HH$13:$HH$512,0)))</x:f>
      </x:c>
      <x:c r="DR350" s="4" t="str">
        <x:f>IF(339&gt;MAX('Calculations'!$IK$13:$IK$512),"",INDEX('Calculations'!$HE$13:$HE$512,MATCH(339,'Calculations'!$IK$13:$IK$512,0)))</x:f>
      </x:c>
      <x:c r="DS350" s="4"/>
      <x:c r="DT350" s="4"/>
      <x:c r="DU350" s="4"/>
      <x:c r="DV350" s="4"/>
      <x:c r="DW350" s="4"/>
      <x:c r="DX350" s="4"/>
      <x:c r="DY350" s="4"/>
      <x:c r="DZ350" s="4"/>
      <x:c r="EA350" s="4"/>
      <x:c r="EB350" s="4"/>
      <x:c r="EC350" s="4"/>
      <x:c r="ED350" s="4"/>
      <x:c r="EE350" s="4" t="str">
        <x:f>IF('Calculations'!BT350=0,"Not Rated",IF(OR('Calculations'!BO350&gt;=4,'Calculations'!BP350&gt;=4),"Low",IF('Calculations'!BO350+'Calculations'!BP350&lt;=3,"High",IF('Calculations'!BO350+'Calculations'!BP350&lt;=4,"Strong","Solid"))))</x:f>
        <x:v>Not Rated</x:v>
      </x:c>
      <x:c r="EF350" s="4"/>
      <x:c r="EG350" s="4"/>
      <x:c r="EH350" s="4"/>
      <x:c r="EI350" s="4"/>
      <x:c r="EJ350" s="4"/>
      <x:c r="EK350" s="4"/>
      <x:c r="EL350" s="4"/>
      <x:c r="EM350" s="4" t="str">
        <x:f>IF(338&gt;'Calculations'!$JB$2000,"",INDEX('Calculations'!$JA$12:$JA$2000,MATCH(338,'Calculations'!$JB$12:$JB$2000,0)))</x:f>
      </x:c>
      <x:c r="EN350" s="4" t="n">
        <x:f>IF(OR('Calculations'!EM350="",'Calculations'!$AG$8&gt;0,AND('Calculations'!$EF$2&lt;&gt;"All",'Calculations'!HE350='Calculations'!$EF$2),AND('Calculations'!$EF$3&lt;&gt;"All",'Calculations'!HE350='Calculations'!$EF$3)),0,IF(OR('Dashboard'!$B$7="All",'Calculations'!HN350='Dashboard'!$B$7),IF('Calculations'!$EF$2="All",1,IF('Calculations'!HL350&gt;0,0,IF(COUNTIF('Calculations'!HO350:II350,"="&amp;SUBSTITUTE(SUBSTITUTE(SUBSTITUTE('Calculations'!$EF$2,"~","~~"),"*","~*"),"?","~?"))=0,0,IF('Calculations'!$EF$3="All",1,IF(COUNTIF('Calculations'!HO350:II350,"="&amp;SUBSTITUTE(SUBSTITUTE(SUBSTITUTE('Calculations'!$EF$3,"~","~~"),"*","~*"),"?","~?"))&gt;0,1,0))))),0))</x:f>
        <x:v>0</x:v>
      </x:c>
      <x:c r="EO350" s="4" t="str">
        <x:f>IF('Calculations'!IJ350="","",IF('Calculations'!IJ350="!UNRESOLVED","Unresolved hierarchy",IFERROR(INDEX('Calculations'!$HK$13:$HK$512,MATCH('Calculations'!IJ350,'Calculations'!$HE$13:$HE$512,0)),IFERROR(INDEX('Calculations'!$HJ$13:$HJ$512,MATCH('Calculations'!IJ350,'Calculations'!$HF$13:$HF$512,0)),'Calculations'!IJ350))))</x:f>
      </x:c>
      <x:c r="EP350" s="4" t="n">
        <x:f>IF(AND('Calculations'!EM350&lt;&gt;"",'Calculations'!HF350='Calculations'!IJ350),1,0)</x:f>
        <x:v>0</x:v>
      </x:c>
      <x:c r="EQ350" s="4"/>
      <x:c r="ER350" s="4"/>
      <x:c r="ES350" s="4"/>
      <x:c r="ET350" s="4"/>
      <x:c r="EU350" s="4"/>
      <x:c r="EV350" s="4"/>
      <x:c r="EW350" s="4"/>
      <x:c r="EX350" s="4"/>
      <x:c r="EY350" s="4"/>
      <x:c r="EZ350" s="4"/>
      <x:c r="FA350" s="4"/>
      <x:c r="FB350" s="4"/>
      <x:c r="FC350" s="4"/>
      <x:c r="FD350" s="4"/>
      <x:c r="FE350" s="4"/>
      <x:c r="FF350" s="4"/>
      <x:c r="FG350" s="4"/>
      <x:c r="FH350" s="4"/>
      <x:c r="FI350" s="4"/>
      <x:c r="FJ350" s="4"/>
      <x:c r="FK350" s="4"/>
      <x:c r="FL350" s="4"/>
      <x:c r="FM350" s="4"/>
      <x:c r="FN350" s="4"/>
      <x:c r="FO350" s="4"/>
      <x:c r="HE350" t="str">
        <x:f>IF('Calculations'!EM350="","",IF(IFERROR(IF(INDEX(INDIRECT("'WCM Calibration Final'!$A$1:$A$2000"),'Calculations'!$EM350)="","",TRIM(INDEX(INDIRECT("'WCM Calibration Final'!$A$1:$A$2000"),'Calculations'!$EM350)&amp;"")),"")&lt;&gt;"","G:"&amp;IFERROR(TEXT(1*INDEX(INDIRECT("'WCM Calibration Final'!$A$1:$A$2000"),'Calculations'!$EM350),"0"),UPPER(IFERROR(IF(INDEX(INDIRECT("'WCM Calibration Final'!$A$1:$A$2000"),'Calculations'!$EM350)="","",TRIM(INDEX(INDIRECT("'WCM Calibration Final'!$A$1:$A$2000"),'Calculations'!$EM350)&amp;"")),""))),IF(IFERROR(IF(INDEX(INDIRECT("'WCM Calibration Final'!$C$1:$C$2000"),'Calculations'!$EM350)="","",TRIM(INDEX(INDIRECT("'WCM Calibration Final'!$C$1:$C$2000"),'Calculations'!$EM350)&amp;"")),"")&lt;&gt;"","S:"&amp;UPPER(IFERROR(IF(INDEX(INDIRECT("'WCM Calibration Final'!$C$1:$C$2000"),'Calculations'!$EM350)="","",TRIM(INDEX(INDIRECT("'WCM Calibration Final'!$C$1:$C$2000"),'Calculations'!$EM350)&amp;"")),"")),"R:"&amp;'Calculations'!EM350)))</x:f>
      </x:c>
      <x:c r="HF350" t="str">
        <x:f>IF('Calculations'!EM350="","",IF(IFERROR(IF(INDEX(INDIRECT("'WCM Calibration Final'!$D$1:$D$2000"),'Calculations'!$EM350)="","",TRIM(INDEX(INDIRECT("'WCM Calibration Final'!$D$1:$D$2000"),'Calculations'!$EM350)&amp;"")),"")&lt;&gt;"","G:"&amp;IFERROR(TEXT(1*INDEX(INDIRECT("'WCM Calibration Final'!$D$1:$D$2000"),'Calculations'!$EM350),"0"),UPPER(IFERROR(IF(INDEX(INDIRECT("'WCM Calibration Final'!$D$1:$D$2000"),'Calculations'!$EM350)="","",TRIM(INDEX(INDIRECT("'WCM Calibration Final'!$D$1:$D$2000"),'Calculations'!$EM350)&amp;"")),""))),IF(IFERROR(IF(INDEX(INDIRECT("'WCM Calibration Final'!$E$1:$E$2000"),'Calculations'!$EM350)="","",TRIM(INDEX(INDIRECT("'WCM Calibration Final'!$E$1:$E$2000"),'Calculations'!$EM350)&amp;"")),"")="","",IF(COUNTIF('Calculations'!$HG$13:$HG$512,"="&amp;SUBSTITUTE(SUBSTITUTE(SUBSTITUTE(IFERROR(IF(INDEX(INDIRECT("'WCM Calibration Final'!$E$1:$E$2000"),'Calculations'!$EM350)="","",TRIM(INDEX(INDIRECT("'WCM Calibration Final'!$E$1:$E$2000"),'Calculations'!$EM350)&amp;"")),""),"~","~~"),"*","~*"),"?","~?"))=1,INDEX('Calculations'!$HE$13:$HE$512,MATCH(IFERROR(IF(INDEX(INDIRECT("'WCM Calibration Final'!$E$1:$E$2000"),'Calculations'!$EM350)="","",TRIM(INDEX(INDIRECT("'WCM Calibration Final'!$E$1:$E$2000"),'Calculations'!$EM350)&amp;"")),""),'Calculations'!$HG$13:$HG$512,0)),IF(COUNTIF('Calculations'!$HG$13:$HG$512,"="&amp;SUBSTITUTE(SUBSTITUTE(SUBSTITUTE(IFERROR(IF(INDEX(INDIRECT("'WCM Calibration Final'!$E$1:$E$2000"),'Calculations'!$EM350)="","",TRIM(INDEX(INDIRECT("'WCM Calibration Final'!$E$1:$E$2000"),'Calculations'!$EM350)&amp;"")),""),"~","~~"),"*","~*"),"?","~?"))&gt;1,"!AMBIG","X:"&amp;IFERROR(IF(INDEX(INDIRECT("'WCM Calibration Final'!$E$1:$E$2000"),'Calculations'!$EM350)="","",TRIM(INDEX(INDIRECT("'WCM Calibration Final'!$E$1:$E$2000"),'Calculations'!$EM350)&amp;"")),""))))))</x:f>
      </x:c>
      <x:c r="HG350" t="str">
        <x:f>IF('Calculations'!EM350="","",IFERROR(IF(INDEX(INDIRECT("'WCM Calibration Final'!$B$1:$B$2000"),'Calculations'!$EM350)="","",TRIM(INDEX(INDIRECT("'WCM Calibration Final'!$B$1:$B$2000"),'Calculations'!$EM350)&amp;"")),""))</x:f>
      </x:c>
      <x:c r="HH350" t="n">
        <x:f>IF(AND('Calculations'!JC350&gt;0,COUNTIF('Calculations'!$HF$12:HF350,"="&amp;SUBSTITUTE(SUBSTITUTE(SUBSTITUTE('Calculations'!HF350,"~","~~"),"*","~*"),"?","~?"))=1),MAX('Calculations'!$HH$12:HH349)+1,0)</x:f>
        <x:v>0</x:v>
      </x:c>
      <x:c r="HI350" t="n">
        <x:f>IF(AND('Calculations'!HN350&lt;&gt;"",COUNTIF('Calculations'!$HN$12:HN350,"="&amp;SUBSTITUTE(SUBSTITUTE(SUBSTITUTE('Calculations'!HN350,"~","~~"),"*","~*"),"?","~?"))=1),MAX('Calculations'!$HI$12:HI349)+1,0)</x:f>
        <x:v>0</x:v>
      </x:c>
      <x:c r="HJ350" t="str">
        <x:f>IF('Calculations'!HF350="","",IF(COUNTIF('Calculations'!$HE$13:$HE$512,"="&amp;SUBSTITUTE(SUBSTITUTE(SUBSTITUTE('Calculations'!HF350,"~","~~"),"*","~*"),"?","~?"))=1,INDEX('Calculations'!$HK$13:$HK$512,MATCH('Calculations'!HF350,'Calculations'!$HE$13:$HE$512,0)),IFERROR(IF(INDEX(INDIRECT("'WCM Calibration Final'!$E$1:$E$2000"),'Calculations'!$EM350)="","",TRIM(INDEX(INDIRECT("'WCM Calibration Final'!$E$1:$E$2000"),'Calculations'!$EM350)&amp;"")),"")&amp;" ["&amp;'Calculations'!HF350&amp;"]"))</x:f>
      </x:c>
      <x:c r="HK350" t="str">
        <x:f>IF('Calculations'!EM350="","",'Calculations'!HG350&amp;" ["&amp;'Calculations'!HE350&amp;"]")</x:f>
      </x:c>
      <x:c r="HL350" t="n">
        <x:f>IF('Calculations'!EM350="",0,IF(OR('Calculations'!II350&lt;&gt;"",COUNTIF('Calculations'!$HE$13:$HE$512,"="&amp;SUBSTITUTE(SUBSTITUTE(SUBSTITUTE('Calculations'!HE350,"~","~~"),"*","~*"),"?","~?"))&gt;1),1,0))</x:f>
        <x:v>0</x:v>
      </x:c>
      <x:c r="HM350" t="str">
        <x:f>IF('Calculations'!EM350="","",IF('Calculations'!HL350=1,"!UNRESOLVED",IF('Calculations'!IH350&lt;&gt;"",'Calculations'!IH350,IF('Calculations'!IG350&lt;&gt;"",'Calculations'!IG350,IF('Calculations'!IF350&lt;&gt;"",'Calculations'!IF350,IF('Calculations'!IE350&lt;&gt;"",'Calculations'!IE350,IF('Calculations'!ID350&lt;&gt;"",'Calculations'!ID350,IF('Calculations'!IC350&lt;&gt;"",'Calculations'!IC350,IF('Calculations'!IB350&lt;&gt;"",'Calculations'!IB350,IF('Calculations'!IA350&lt;&gt;"",'Calculations'!IA350,IF('Calculations'!HZ350&lt;&gt;"",'Calculations'!HZ350,IF('Calculations'!HY350&lt;&gt;"",'Calculations'!HY350,IF('Calculations'!HX350&lt;&gt;"",'Calculations'!HX350,IF('Calculations'!HW350&lt;&gt;"",'Calculations'!HW350,IF('Calculations'!HV350&lt;&gt;"",'Calculations'!HV350,IF('Calculations'!HU350&lt;&gt;"",'Calculations'!HU350,IF('Calculations'!HT350&lt;&gt;"",'Calculations'!HT350,IF('Calculations'!HS350&lt;&gt;"",'Calculations'!HS350,IF('Calculations'!HR350&lt;&gt;"",'Calculations'!HR350,IF('Calculations'!HQ350&lt;&gt;"",'Calculations'!HQ350,IF('Calculations'!HP350&lt;&gt;"",'Calculations'!HP350,IF('Calculations'!HO350&lt;&gt;"",'Calculations'!HO350,'Calculations'!HE350))))))))))))))))))))))</x:f>
      </x:c>
      <x:c r="HN350" t="str">
        <x:f>IF('Calculations'!EM350="","",IF(IFERROR(IF(INDEX(INDIRECT("'WCM Calibration Final'!$F$1:$F$2000"),'Calculations'!$EM350)="","",TRIM(INDEX(INDIRECT("'WCM Calibration Final'!$F$1:$F$2000"),'Calculations'!$EM350)&amp;"")),"")="","(Blank)",IFERROR(IF(INDEX(INDIRECT("'WCM Calibration Final'!$F$1:$F$2000"),'Calculations'!$EM350)="","",TRIM(INDEX(INDIRECT("'WCM Calibration Final'!$F$1:$F$2000"),'Calculations'!$EM350)&amp;"")),"")))</x:f>
      </x:c>
      <x:c r="HO350" t="str">
        <x:f>'Calculations'!HF350</x:f>
      </x:c>
      <x:c r="HP350" t="str">
        <x:f>IF('Calculations'!HO350="","",IF('Calculations'!HO350="!AMBIG","!AMBIG",IF(COUNTIF('Calculations'!$HE$13:$HE$512,"="&amp;SUBSTITUTE(SUBSTITUTE(SUBSTITUTE('Calculations'!HO350,"~","~~"),"*","~*"),"?","~?"))&gt;1,"!AMBIG",IFERROR(INDEX('Calculations'!$HF$13:$HF$512,MATCH('Calculations'!HO350,'Calculations'!$HE$13:$HE$512,0)),""))))</x:f>
      </x:c>
      <x:c r="HQ350" t="str">
        <x:f>IF('Calculations'!HP350="","",IF('Calculations'!HP350="!AMBIG","!AMBIG",IF(COUNTIF('Calculations'!$HE$13:$HE$512,"="&amp;SUBSTITUTE(SUBSTITUTE(SUBSTITUTE('Calculations'!HP350,"~","~~"),"*","~*"),"?","~?"))&gt;1,"!AMBIG",IFERROR(INDEX('Calculations'!$HF$13:$HF$512,MATCH('Calculations'!HP350,'Calculations'!$HE$13:$HE$512,0)),""))))</x:f>
      </x:c>
      <x:c r="HR350" t="str">
        <x:f>IF('Calculations'!HQ350="","",IF('Calculations'!HQ350="!AMBIG","!AMBIG",IF(COUNTIF('Calculations'!$HE$13:$HE$512,"="&amp;SUBSTITUTE(SUBSTITUTE(SUBSTITUTE('Calculations'!HQ350,"~","~~"),"*","~*"),"?","~?"))&gt;1,"!AMBIG",IFERROR(INDEX('Calculations'!$HF$13:$HF$512,MATCH('Calculations'!HQ350,'Calculations'!$HE$13:$HE$512,0)),""))))</x:f>
      </x:c>
      <x:c r="HS350" t="str">
        <x:f>IF('Calculations'!HR350="","",IF('Calculations'!HR350="!AMBIG","!AMBIG",IF(COUNTIF('Calculations'!$HE$13:$HE$512,"="&amp;SUBSTITUTE(SUBSTITUTE(SUBSTITUTE('Calculations'!HR350,"~","~~"),"*","~*"),"?","~?"))&gt;1,"!AMBIG",IFERROR(INDEX('Calculations'!$HF$13:$HF$512,MATCH('Calculations'!HR350,'Calculations'!$HE$13:$HE$512,0)),""))))</x:f>
      </x:c>
      <x:c r="HT350" t="str">
        <x:f>IF('Calculations'!HS350="","",IF('Calculations'!HS350="!AMBIG","!AMBIG",IF(COUNTIF('Calculations'!$HE$13:$HE$512,"="&amp;SUBSTITUTE(SUBSTITUTE(SUBSTITUTE('Calculations'!HS350,"~","~~"),"*","~*"),"?","~?"))&gt;1,"!AMBIG",IFERROR(INDEX('Calculations'!$HF$13:$HF$512,MATCH('Calculations'!HS350,'Calculations'!$HE$13:$HE$512,0)),""))))</x:f>
      </x:c>
      <x:c r="HU350" t="str">
        <x:f>IF('Calculations'!HT350="","",IF('Calculations'!HT350="!AMBIG","!AMBIG",IF(COUNTIF('Calculations'!$HE$13:$HE$512,"="&amp;SUBSTITUTE(SUBSTITUTE(SUBSTITUTE('Calculations'!HT350,"~","~~"),"*","~*"),"?","~?"))&gt;1,"!AMBIG",IFERROR(INDEX('Calculations'!$HF$13:$HF$512,MATCH('Calculations'!HT350,'Calculations'!$HE$13:$HE$512,0)),""))))</x:f>
      </x:c>
      <x:c r="HV350" t="str">
        <x:f>IF('Calculations'!HU350="","",IF('Calculations'!HU350="!AMBIG","!AMBIG",IF(COUNTIF('Calculations'!$HE$13:$HE$512,"="&amp;SUBSTITUTE(SUBSTITUTE(SUBSTITUTE('Calculations'!HU350,"~","~~"),"*","~*"),"?","~?"))&gt;1,"!AMBIG",IFERROR(INDEX('Calculations'!$HF$13:$HF$512,MATCH('Calculations'!HU350,'Calculations'!$HE$13:$HE$512,0)),""))))</x:f>
      </x:c>
      <x:c r="HW350" t="str">
        <x:f>IF('Calculations'!HV350="","",IF('Calculations'!HV350="!AMBIG","!AMBIG",IF(COUNTIF('Calculations'!$HE$13:$HE$512,"="&amp;SUBSTITUTE(SUBSTITUTE(SUBSTITUTE('Calculations'!HV350,"~","~~"),"*","~*"),"?","~?"))&gt;1,"!AMBIG",IFERROR(INDEX('Calculations'!$HF$13:$HF$512,MATCH('Calculations'!HV350,'Calculations'!$HE$13:$HE$512,0)),""))))</x:f>
      </x:c>
      <x:c r="HX350" t="str">
        <x:f>IF('Calculations'!HW350="","",IF('Calculations'!HW350="!AMBIG","!AMBIG",IF(COUNTIF('Calculations'!$HE$13:$HE$512,"="&amp;SUBSTITUTE(SUBSTITUTE(SUBSTITUTE('Calculations'!HW350,"~","~~"),"*","~*"),"?","~?"))&gt;1,"!AMBIG",IFERROR(INDEX('Calculations'!$HF$13:$HF$512,MATCH('Calculations'!HW350,'Calculations'!$HE$13:$HE$512,0)),""))))</x:f>
      </x:c>
      <x:c r="HY350" t="str">
        <x:f>IF('Calculations'!HX350="","",IF('Calculations'!HX350="!AMBIG","!AMBIG",IF(COUNTIF('Calculations'!$HE$13:$HE$512,"="&amp;SUBSTITUTE(SUBSTITUTE(SUBSTITUTE('Calculations'!HX350,"~","~~"),"*","~*"),"?","~?"))&gt;1,"!AMBIG",IFERROR(INDEX('Calculations'!$HF$13:$HF$512,MATCH('Calculations'!HX350,'Calculations'!$HE$13:$HE$512,0)),""))))</x:f>
      </x:c>
      <x:c r="HZ350" t="str">
        <x:f>IF('Calculations'!HY350="","",IF('Calculations'!HY350="!AMBIG","!AMBIG",IF(COUNTIF('Calculations'!$HE$13:$HE$512,"="&amp;SUBSTITUTE(SUBSTITUTE(SUBSTITUTE('Calculations'!HY350,"~","~~"),"*","~*"),"?","~?"))&gt;1,"!AMBIG",IFERROR(INDEX('Calculations'!$HF$13:$HF$512,MATCH('Calculations'!HY350,'Calculations'!$HE$13:$HE$512,0)),""))))</x:f>
      </x:c>
      <x:c r="IA350" t="str">
        <x:f>IF('Calculations'!HZ350="","",IF('Calculations'!HZ350="!AMBIG","!AMBIG",IF(COUNTIF('Calculations'!$HE$13:$HE$512,"="&amp;SUBSTITUTE(SUBSTITUTE(SUBSTITUTE('Calculations'!HZ350,"~","~~"),"*","~*"),"?","~?"))&gt;1,"!AMBIG",IFERROR(INDEX('Calculations'!$HF$13:$HF$512,MATCH('Calculations'!HZ350,'Calculations'!$HE$13:$HE$512,0)),""))))</x:f>
      </x:c>
      <x:c r="IB350" t="str">
        <x:f>IF('Calculations'!IA350="","",IF('Calculations'!IA350="!AMBIG","!AMBIG",IF(COUNTIF('Calculations'!$HE$13:$HE$512,"="&amp;SUBSTITUTE(SUBSTITUTE(SUBSTITUTE('Calculations'!IA350,"~","~~"),"*","~*"),"?","~?"))&gt;1,"!AMBIG",IFERROR(INDEX('Calculations'!$HF$13:$HF$512,MATCH('Calculations'!IA350,'Calculations'!$HE$13:$HE$512,0)),""))))</x:f>
      </x:c>
      <x:c r="IC350" t="str">
        <x:f>IF('Calculations'!IB350="","",IF('Calculations'!IB350="!AMBIG","!AMBIG",IF(COUNTIF('Calculations'!$HE$13:$HE$512,"="&amp;SUBSTITUTE(SUBSTITUTE(SUBSTITUTE('Calculations'!IB350,"~","~~"),"*","~*"),"?","~?"))&gt;1,"!AMBIG",IFERROR(INDEX('Calculations'!$HF$13:$HF$512,MATCH('Calculations'!IB350,'Calculations'!$HE$13:$HE$512,0)),""))))</x:f>
      </x:c>
      <x:c r="ID350" t="str">
        <x:f>IF('Calculations'!IC350="","",IF('Calculations'!IC350="!AMBIG","!AMBIG",IF(COUNTIF('Calculations'!$HE$13:$HE$512,"="&amp;SUBSTITUTE(SUBSTITUTE(SUBSTITUTE('Calculations'!IC350,"~","~~"),"*","~*"),"?","~?"))&gt;1,"!AMBIG",IFERROR(INDEX('Calculations'!$HF$13:$HF$512,MATCH('Calculations'!IC350,'Calculations'!$HE$13:$HE$512,0)),""))))</x:f>
      </x:c>
      <x:c r="IE350" t="str">
        <x:f>IF('Calculations'!ID350="","",IF('Calculations'!ID350="!AMBIG","!AMBIG",IF(COUNTIF('Calculations'!$HE$13:$HE$512,"="&amp;SUBSTITUTE(SUBSTITUTE(SUBSTITUTE('Calculations'!ID350,"~","~~"),"*","~*"),"?","~?"))&gt;1,"!AMBIG",IFERROR(INDEX('Calculations'!$HF$13:$HF$512,MATCH('Calculations'!ID350,'Calculations'!$HE$13:$HE$512,0)),""))))</x:f>
      </x:c>
      <x:c r="IF350" t="str">
        <x:f>IF('Calculations'!IE350="","",IF('Calculations'!IE350="!AMBIG","!AMBIG",IF(COUNTIF('Calculations'!$HE$13:$HE$512,"="&amp;SUBSTITUTE(SUBSTITUTE(SUBSTITUTE('Calculations'!IE350,"~","~~"),"*","~*"),"?","~?"))&gt;1,"!AMBIG",IFERROR(INDEX('Calculations'!$HF$13:$HF$512,MATCH('Calculations'!IE350,'Calculations'!$HE$13:$HE$512,0)),""))))</x:f>
      </x:c>
      <x:c r="IG350" t="str">
        <x:f>IF('Calculations'!IF350="","",IF('Calculations'!IF350="!AMBIG","!AMBIG",IF(COUNTIF('Calculations'!$HE$13:$HE$512,"="&amp;SUBSTITUTE(SUBSTITUTE(SUBSTITUTE('Calculations'!IF350,"~","~~"),"*","~*"),"?","~?"))&gt;1,"!AMBIG",IFERROR(INDEX('Calculations'!$HF$13:$HF$512,MATCH('Calculations'!IF350,'Calculations'!$HE$13:$HE$512,0)),""))))</x:f>
      </x:c>
      <x:c r="IH350" t="str">
        <x:f>IF('Calculations'!IG350="","",IF('Calculations'!IG350="!AMBIG","!AMBIG",IF(COUNTIF('Calculations'!$HE$13:$HE$512,"="&amp;SUBSTITUTE(SUBSTITUTE(SUBSTITUTE('Calculations'!IG350,"~","~~"),"*","~*"),"?","~?"))&gt;1,"!AMBIG",IFERROR(INDEX('Calculations'!$HF$13:$HF$512,MATCH('Calculations'!IG350,'Calculations'!$HE$13:$HE$512,0)),""))))</x:f>
      </x:c>
      <x:c r="II350" t="str">
        <x:f>IF('Calculations'!IH350="","",IF('Calculations'!IH350="!AMBIG","!AMBIG",IF(COUNTIF('Calculations'!$HE$13:$HE$512,"="&amp;SUBSTITUTE(SUBSTITUTE(SUBSTITUTE('Calculations'!IH350,"~","~~"),"*","~*"),"?","~?"))&gt;1,"!AMBIG",IFERROR(INDEX('Calculations'!$HF$13:$HF$512,MATCH('Calculations'!IH350,'Calculations'!$HE$13:$HE$512,0)),""))))</x:f>
      </x:c>
      <x:c r="IJ350" t="str">
        <x:f>IF('Calculations'!EM350="","",IF('Calculations'!$EF$2="All",'Calculations'!HM350,IF('Calculations'!HL350=1,"",IFERROR(IF(MATCH('Calculations'!$EF$2,'Calculations'!HO350:II350,0)=1,'Calculations'!HE350,INDEX('Calculations'!HO350:II350,1,MATCH('Calculations'!$EF$2,'Calculations'!HO350:II350,0)-1)),""))))</x:f>
      </x:c>
      <x:c r="IK350" t="n">
        <x:f>IF(AND('Calculations'!EM350&lt;&gt;"",'Calculations'!$EF$2&lt;&gt;"All",'Calculations'!HF350='Calculations'!$EF$2,'Calculations'!HL350=0,'Calculations'!JD350&gt;0),MAX('Calculations'!$IK$12:IK349)+1,0)</x:f>
        <x:v>0</x:v>
      </x:c>
      <x:c r="JA350" t="n">
        <x:f>IF(OR(IFERROR(INDIRECT("'WCM Calibration Final'!$A$350")&lt;&gt;"",FALSE),IFERROR(INDIRECT("'WCM Calibration Final'!$B$350")&lt;&gt;"",FALSE),IFERROR(INDIRECT("'WCM Calibration Final'!$C$350")&lt;&gt;"",FALSE)),350,0)</x:f>
        <x:v>0</x:v>
      </x:c>
      <x:c r="JB350" t="n">
        <x:f>'Calculations'!JB349+IF('Calculations'!JA350&gt;0,1,0)</x:f>
        <x:v>0</x:v>
      </x:c>
      <x:c r="JC350" t="n">
        <x:f>IF(OR('Calculations'!HF350="",'Calculations'!HF350="!AMBIG"),0,IF('Dashboard'!$B$7="All",1,COUNTIFS('Calculations'!$HO$13:$HO$512,"="&amp;SUBSTITUTE(SUBSTITUTE(SUBSTITUTE('Calculations'!HF350,"~","~~"),"*","~*"),"?","~?"),'Calculations'!$HN$13:$HN$512,"="&amp;SUBSTITUTE(SUBSTITUTE(SUBSTITUTE('Dashboard'!$B$7,"~","~~"),"*","~*"),"?","~?"))+COUNTIFS('Calculations'!$HP$13:$HP$512,"="&amp;SUBSTITUTE(SUBSTITUTE(SUBSTITUTE('Calculations'!HF350,"~","~~"),"*","~*"),"?","~?"),'Calculations'!$HN$13:$HN$512,"="&amp;SUBSTITUTE(SUBSTITUTE(SUBSTITUTE('Dashboard'!$B$7,"~","~~"),"*","~*"),"?","~?"))+COUNTIFS('Calculations'!$HQ$13:$HQ$512,"="&amp;SUBSTITUTE(SUBSTITUTE(SUBSTITUTE('Calculations'!HF350,"~","~~"),"*","~*"),"?","~?"),'Calculations'!$HN$13:$HN$512,"="&amp;SUBSTITUTE(SUBSTITUTE(SUBSTITUTE('Dashboard'!$B$7,"~","~~"),"*","~*"),"?","~?"))+COUNTIFS('Calculations'!$HR$13:$HR$512,"="&amp;SUBSTITUTE(SUBSTITUTE(SUBSTITUTE('Calculations'!HF350,"~","~~"),"*","~*"),"?","~?"),'Calculations'!$HN$13:$HN$512,"="&amp;SUBSTITUTE(SUBSTITUTE(SUBSTITUTE('Dashboard'!$B$7,"~","~~"),"*","~*"),"?","~?"))+COUNTIFS('Calculations'!$HS$13:$HS$512,"="&amp;SUBSTITUTE(SUBSTITUTE(SUBSTITUTE('Calculations'!HF350,"~","~~"),"*","~*"),"?","~?"),'Calculations'!$HN$13:$HN$512,"="&amp;SUBSTITUTE(SUBSTITUTE(SUBSTITUTE('Dashboard'!$B$7,"~","~~"),"*","~*"),"?","~?"))+COUNTIFS('Calculations'!$HT$13:$HT$512,"="&amp;SUBSTITUTE(SUBSTITUTE(SUBSTITUTE('Calculations'!HF350,"~","~~"),"*","~*"),"?","~?"),'Calculations'!$HN$13:$HN$512,"="&amp;SUBSTITUTE(SUBSTITUTE(SUBSTITUTE('Dashboard'!$B$7,"~","~~"),"*","~*"),"?","~?"))+COUNTIFS('Calculations'!$HU$13:$HU$512,"="&amp;SUBSTITUTE(SUBSTITUTE(SUBSTITUTE('Calculations'!HF350,"~","~~"),"*","~*"),"?","~?"),'Calculations'!$HN$13:$HN$512,"="&amp;SUBSTITUTE(SUBSTITUTE(SUBSTITUTE('Dashboard'!$B$7,"~","~~"),"*","~*"),"?","~?"))+COUNTIFS('Calculations'!$HV$13:$HV$512,"="&amp;SUBSTITUTE(SUBSTITUTE(SUBSTITUTE('Calculations'!HF350,"~","~~"),"*","~*"),"?","~?"),'Calculations'!$HN$13:$HN$512,"="&amp;SUBSTITUTE(SUBSTITUTE(SUBSTITUTE('Dashboard'!$B$7,"~","~~"),"*","~*"),"?","~?"))+COUNTIFS('Calculations'!$HW$13:$HW$512,"="&amp;SUBSTITUTE(SUBSTITUTE(SUBSTITUTE('Calculations'!HF350,"~","~~"),"*","~*"),"?","~?"),'Calculations'!$HN$13:$HN$512,"="&amp;SUBSTITUTE(SUBSTITUTE(SUBSTITUTE('Dashboard'!$B$7,"~","~~"),"*","~*"),"?","~?"))+COUNTIFS('Calculations'!$HX$13:$HX$512,"="&amp;SUBSTITUTE(SUBSTITUTE(SUBSTITUTE('Calculations'!HF350,"~","~~"),"*","~*"),"?","~?"),'Calculations'!$HN$13:$HN$512,"="&amp;SUBSTITUTE(SUBSTITUTE(SUBSTITUTE('Dashboard'!$B$7,"~","~~"),"*","~*"),"?","~?"))+COUNTIFS('Calculations'!$HY$13:$HY$512,"="&amp;SUBSTITUTE(SUBSTITUTE(SUBSTITUTE('Calculations'!HF350,"~","~~"),"*","~*"),"?","~?"),'Calculations'!$HN$13:$HN$512,"="&amp;SUBSTITUTE(SUBSTITUTE(SUBSTITUTE('Dashboard'!$B$7,"~","~~"),"*","~*"),"?","~?"))+COUNTIFS('Calculations'!$HZ$13:$HZ$512,"="&amp;SUBSTITUTE(SUBSTITUTE(SUBSTITUTE('Calculations'!HF350,"~","~~"),"*","~*"),"?","~?"),'Calculations'!$HN$13:$HN$512,"="&amp;SUBSTITUTE(SUBSTITUTE(SUBSTITUTE('Dashboard'!$B$7,"~","~~"),"*","~*"),"?","~?"))+COUNTIFS('Calculations'!$IA$13:$IA$512,"="&amp;SUBSTITUTE(SUBSTITUTE(SUBSTITUTE('Calculations'!HF350,"~","~~"),"*","~*"),"?","~?"),'Calculations'!$HN$13:$HN$512,"="&amp;SUBSTITUTE(SUBSTITUTE(SUBSTITUTE('Dashboard'!$B$7,"~","~~"),"*","~*"),"?","~?"))+COUNTIFS('Calculations'!$IB$13:$IB$512,"="&amp;SUBSTITUTE(SUBSTITUTE(SUBSTITUTE('Calculations'!HF350,"~","~~"),"*","~*"),"?","~?"),'Calculations'!$HN$13:$HN$512,"="&amp;SUBSTITUTE(SUBSTITUTE(SUBSTITUTE('Dashboard'!$B$7,"~","~~"),"*","~*"),"?","~?"))+COUNTIFS('Calculations'!$IC$13:$IC$512,"="&amp;SUBSTITUTE(SUBSTITUTE(SUBSTITUTE('Calculations'!HF350,"~","~~"),"*","~*"),"?","~?"),'Calculations'!$HN$13:$HN$512,"="&amp;SUBSTITUTE(SUBSTITUTE(SUBSTITUTE('Dashboard'!$B$7,"~","~~"),"*","~*"),"?","~?"))+COUNTIFS('Calculations'!$ID$13:$ID$512,"="&amp;SUBSTITUTE(SUBSTITUTE(SUBSTITUTE('Calculations'!HF350,"~","~~"),"*","~*"),"?","~?"),'Calculations'!$HN$13:$HN$512,"="&amp;SUBSTITUTE(SUBSTITUTE(SUBSTITUTE('Dashboard'!$B$7,"~","~~"),"*","~*"),"?","~?"))+COUNTIFS('Calculations'!$IE$13:$IE$512,"="&amp;SUBSTITUTE(SUBSTITUTE(SUBSTITUTE('Calculations'!HF350,"~","~~"),"*","~*"),"?","~?"),'Calculations'!$HN$13:$HN$512,"="&amp;SUBSTITUTE(SUBSTITUTE(SUBSTITUTE('Dashboard'!$B$7,"~","~~"),"*","~*"),"?","~?"))+COUNTIFS('Calculations'!$IF$13:$IF$512,"="&amp;SUBSTITUTE(SUBSTITUTE(SUBSTITUTE('Calculations'!HF350,"~","~~"),"*","~*"),"?","~?"),'Calculations'!$HN$13:$HN$512,"="&amp;SUBSTITUTE(SUBSTITUTE(SUBSTITUTE('Dashboard'!$B$7,"~","~~"),"*","~*"),"?","~?"))+COUNTIFS('Calculations'!$IG$13:$IG$512,"="&amp;SUBSTITUTE(SUBSTITUTE(SUBSTITUTE('Calculations'!HF350,"~","~~"),"*","~*"),"?","~?"),'Calculations'!$HN$13:$HN$512,"="&amp;SUBSTITUTE(SUBSTITUTE(SUBSTITUTE('Dashboard'!$B$7,"~","~~"),"*","~*"),"?","~?"))+COUNTIFS('Calculations'!$IH$13:$IH$512,"="&amp;SUBSTITUTE(SUBSTITUTE(SUBSTITUTE('Calculations'!HF350,"~","~~"),"*","~*"),"?","~?"),'Calculations'!$HN$13:$HN$512,"="&amp;SUBSTITUTE(SUBSTITUTE(SUBSTITUTE('Dashboard'!$B$7,"~","~~"),"*","~*"),"?","~?"))))</x:f>
        <x:v>0</x:v>
      </x:c>
      <x:c r="JD350" t="n">
        <x:f>IF('Calculations'!EM350="",0,IF('Dashboard'!$B$7="All",1,IF('Calculations'!HN350='Dashboard'!$B$7,1,0)+IFERROR(INDEX('Calculations'!$JC$13:$JC$512,MATCH('Calculations'!HE350,'Calculations'!$HF$13:$HF$512,0)),0)))</x:f>
        <x:v>0</x:v>
      </x:c>
      <x:c r="JE350" t="n">
        <x:f>IF(AND('Calculations'!EM350&lt;&gt;"",'Calculations'!$JJ$2&lt;&gt;"All",'Calculations'!$JJ$2&lt;&gt;"",'Calculations'!HF350='Calculations'!$JJ$2,'Calculations'!HL350=0,'Calculations'!JD350&gt;0),MAX('Calculations'!$JE$12:JE349)+1,0)</x:f>
        <x:v>0</x:v>
      </x:c>
      <x:c r="JF350" t="str">
        <x:f>IF('Calculations'!EM350="","",IFERROR(IF(INDEX(INDIRECT("'WCM Calibration Final'!$G$1:$G$2000"),'Calculations'!$EM350)="","",TRIM(INDEX(INDIRECT("'WCM Calibration Final'!$G$1:$G$2000"),'Calculations'!$EM350)&amp;"")),""))</x:f>
      </x:c>
      <x:c r="JQ350" t="n">
        <x:f>IF(OR('Calculations'!BM350=0,NOT('Calculations'!$AG$2),'Calculations'!$AG$8&gt;0),0,IF(OR('Dashboard'!$B$7="All",'Calculations'!HN350='Dashboard'!$B$7),IF('Calculations'!$JJ$2="All",1,IF(AND('Calculations'!HF350='Calculations'!$JJ$2,'Calculations'!HL350=0),1,0)),0))</x:f>
        <x:v>0</x:v>
      </x:c>
    </x:row>
    <x:row r="351">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t="n">
        <x:f>IF('Calculations'!$EM351="",0,IF(OR(IFERROR(INDEX(INDIRECT("'WCM Calibration Final'!$A$1:$A$2000"),'Calculations'!$EM351)&lt;&gt;"",FALSE),IFERROR(INDEX(INDIRECT("'WCM Calibration Final'!$B$1:$B$2000"),'Calculations'!$EM351)&lt;&gt;"",FALSE),IFERROR(INDEX(INDIRECT("'WCM Calibration Final'!$C$1:$C$2000"),'Calculations'!$EM351)&lt;&gt;"",FALSE)),1,0))</x:f>
        <x:v>0</x:v>
      </x:c>
      <x:c r="BN351" s="4" t="n">
        <x:f>IF(AND('Calculations'!BM351=1,'Calculations'!$AG$2,'Calculations'!$EN351=1),1,0)</x:f>
        <x:v>0</x:v>
      </x:c>
      <x:c r="BO351" s="4" t="str">
        <x:f>IF('Calculations'!BM351=0,"",IFERROR(IF(AND(VALUE(INDEX(INDIRECT("'WCM Calibration Final'!$K$1:$K$2000"),'Calculations'!$EM351))&gt;=1,VALUE(INDEX(INDIRECT("'WCM Calibration Final'!$K$1:$K$2000"),'Calculations'!$EM351))&lt;=4,MOD(VALUE(INDEX(INDIRECT("'WCM Calibration Final'!$K$1:$K$2000"),'Calculations'!$EM351)),1)=0),VALUE(INDEX(INDIRECT("'WCM Calibration Final'!$K$1:$K$2000"),'Calculations'!$EM351)),""),""))</x:f>
      </x:c>
      <x:c r="BP351" s="4" t="str">
        <x:f>IF('Calculations'!BM351=0,"",IFERROR(IF(AND(VALUE(INDEX(INDIRECT("'WCM Calibration Final'!$L$1:$L$2000"),'Calculations'!$EM351))&gt;=1,VALUE(INDEX(INDIRECT("'WCM Calibration Final'!$L$1:$L$2000"),'Calculations'!$EM351))&lt;=4,MOD(VALUE(INDEX(INDIRECT("'WCM Calibration Final'!$L$1:$L$2000"),'Calculations'!$EM351)),1)=0),VALUE(INDEX(INDIRECT("'WCM Calibration Final'!$L$1:$L$2000"),'Calculations'!$EM351)),""),""))</x:f>
      </x:c>
      <x:c r="BQ351" s="4"/>
      <x:c r="BR351" s="4"/>
      <x:c r="BS351" s="4"/>
      <x:c r="BT351" s="4" t="n">
        <x:f>IF(AND('Calculations'!BM351=1,ISNUMBER('Calculations'!BO351),ISNUMBER('Calculations'!BP351)),1,0)</x:f>
        <x:v>0</x:v>
      </x:c>
      <x:c r="BU351" s="4" t="str">
        <x:f>IF('Calculations'!BM351=0,"",'Calculations'!$EO351)</x:f>
      </x:c>
      <x:c r="BV351" s="4" t="str">
        <x:f>IF('Calculations'!BM351=0,"",IFERROR(IF(OR(INDEX(INDIRECT("'WCM Calibration Final'!$H$1:$H$2000"),'Calculations'!$EM351)="MANAGING DIRECTOR",INDEX(INDIRECT("'WCM Calibration Final'!$H$1:$H$2000"),'Calculations'!$EM351)="DIRECTOR",INDEX(INDIRECT("'WCM Calibration Final'!$H$1:$H$2000"),'Calculations'!$EM351)="SENIOR VICE PRESIDENT",INDEX(INDIRECT("'WCM Calibration Final'!$H$1:$H$2000"),'Calculations'!$EM351)="VICE PRESIDENT",INDEX(INDIRECT("'WCM Calibration Final'!$H$1:$H$2000"),'Calculations'!$EM351)="ASSISTANT VICE PRESIDENT",INDEX(INDIRECT("'WCM Calibration Final'!$H$1:$H$2000"),'Calculations'!$EM351)="OFFICER"),UPPER(INDEX(INDIRECT("'WCM Calibration Final'!$H$1:$H$2000"),'Calculations'!$EM351)),"Other"),"Other"))</x:f>
      </x:c>
      <x:c r="BW351" s="4"/>
      <x:c r="BX351" s="4"/>
      <x:c r="BY351" s="4" t="n">
        <x:f>IF(AND('Calculations'!BM351=1,'Calculations'!BU351&lt;&gt;"",COUNTIF('Calculations'!$BU$12:BU351,'Calculations'!BU351)=1),MAX('Calculations'!$BY$11:BY350)+1,0)</x:f>
        <x:v>0</x:v>
      </x:c>
      <x:c r="BZ351" s="4" t="str">
        <x:f>IF('Dashboard'!$E$67="What",'Calculations'!BO351,'Calculations'!BP351)</x:f>
      </x:c>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t="str">
        <x:f>IF(340&gt;MAX('Calculations'!$HI$13:$HI$512),"",INDEX('Calculations'!$HN$13:$HN$512,MATCH(340,'Calculations'!$HI$13:$HI$512,0)))</x:f>
      </x:c>
      <x:c r="DB351" s="4" t="str">
        <x:f>IF(340&gt;MAX('Calculations'!$HH$13:$HH$512),"",INDEX('Calculations'!$HJ$13:$HJ$512,MATCH(340,'Calculations'!$HH$13:$HH$512,0)))</x:f>
      </x:c>
      <x:c r="DC351" s="4" t="str">
        <x:f>IF(ROW()-11&gt;MAX('Calculations'!$BY$13:$BY$512),"",INDEX('Calculations'!$BU$13:$BU$512,MATCH(ROW()-11,'Calculations'!$BY$13:$BY$512,0)))</x:f>
      </x:c>
      <x:c r="DD351" s="4" t="str">
        <x:f>IF(340&gt;MAX('Calculations'!$IK$13:$IK$512),"",INDEX('Calculations'!$HK$13:$HK$512,MATCH(340,'Calculations'!$IK$13:$IK$512,0)))</x:f>
      </x:c>
      <x:c r="DE351" s="4" t="str">
        <x:f>'Calculations'!DC351</x:f>
      </x:c>
      <x:c r="DF351" s="4" t="str">
        <x:f>IF('Calculations'!DE351="","",COUNTIFS('Calculations'!$BN$13:$BN$512,1,'Calculations'!$BU$13:$BU$512,'Calculations'!DE351))</x:f>
      </x:c>
      <x:c r="DG351" s="4" t="str">
        <x:f>IF('Calculations'!DE351="","",COUNTIFS('Calculations'!$BN$13:$BN$512,1,'Calculations'!$BU$13:$BU$512,'Calculations'!DE351,'Calculations'!$BT$13:$BT$512,1))</x:f>
      </x:c>
      <x:c r="DH351" s="4" t="str">
        <x:f>IF('Calculations'!DE351="","",'Calculations'!DF351-'Calculations'!DG351)</x:f>
      </x:c>
      <x:c r="DI351" s="4" t="str">
        <x:f>IF(OR('Calculations'!DE351="",'Calculations'!DF351=0),"",'Calculations'!DG351/'Calculations'!DF351)</x:f>
      </x:c>
      <x:c r="DJ351" s="4" t="str">
        <x:f>IF('Calculations'!DE351="","",COUNTIFS('Calculations'!$BN$13:$BN$512,1,'Calculations'!$BU$13:$BU$512,'Calculations'!DE351,'Calculations'!$BT$13:$BT$512,1,'Calculations'!$EE$13:$EE$512,"High"))</x:f>
      </x:c>
      <x:c r="DK351" s="4" t="str">
        <x:f>IF('Calculations'!DE351="","",COUNTIFS('Calculations'!$BN$13:$BN$512,1,'Calculations'!$BU$13:$BU$512,'Calculations'!DE351,'Calculations'!$BT$13:$BT$512,1,'Calculations'!$EE$13:$EE$512,"Strong"))</x:f>
      </x:c>
      <x:c r="DL351" s="4" t="str">
        <x:f>IF('Calculations'!DE351="","",COUNTIFS('Calculations'!$BN$13:$BN$512,1,'Calculations'!$BU$13:$BU$512,'Calculations'!DE351,'Calculations'!$BT$13:$BT$512,1,'Calculations'!$EE$13:$EE$512,"Solid"))</x:f>
      </x:c>
      <x:c r="DM351" s="4" t="str">
        <x:f>IF('Calculations'!DE351="","",COUNTIFS('Calculations'!$BN$13:$BN$512,1,'Calculations'!$BU$13:$BU$512,'Calculations'!DE351,'Calculations'!$BT$13:$BT$512,1,'Calculations'!$EE$13:$EE$512,"Low"))</x:f>
      </x:c>
      <x:c r="DN351" s="4" t="str">
        <x:f>IF('Calculations'!DE351="","",COUNTIFS('Calculations'!$BN$13:$BN$512,1,'Calculations'!$BU$13:$BU$512,'Calculations'!DE351,'Calculations'!$EP$13:$EP$512,1))</x:f>
      </x:c>
      <x:c r="DO351" s="4" t="str">
        <x:f>IF(OR('Calculations'!DE351="",'Calculations'!DG351=0),"",('Calculations'!DJ351+'Calculations'!DK351)/'Calculations'!DG351)</x:f>
      </x:c>
      <x:c r="DP351" s="4" t="n">
        <x:f>IF(AND('Calculations'!DE351&lt;&gt;"",'Calculations'!DF351&gt;0),COUNTIF('Calculations'!$DF$12:DF351,"&gt;0"),0)</x:f>
        <x:v>0</x:v>
      </x:c>
      <x:c r="DQ351" s="4" t="str">
        <x:f>IF(340&gt;MAX('Calculations'!$HH$13:$HH$512),"",INDEX('Calculations'!$HF$13:$HF$512,MATCH(340,'Calculations'!$HH$13:$HH$512,0)))</x:f>
      </x:c>
      <x:c r="DR351" s="4" t="str">
        <x:f>IF(340&gt;MAX('Calculations'!$IK$13:$IK$512),"",INDEX('Calculations'!$HE$13:$HE$512,MATCH(340,'Calculations'!$IK$13:$IK$512,0)))</x:f>
      </x:c>
      <x:c r="DS351" s="4"/>
      <x:c r="DT351" s="4"/>
      <x:c r="DU351" s="4"/>
      <x:c r="DV351" s="4"/>
      <x:c r="DW351" s="4"/>
      <x:c r="DX351" s="4"/>
      <x:c r="DY351" s="4"/>
      <x:c r="DZ351" s="4"/>
      <x:c r="EA351" s="4"/>
      <x:c r="EB351" s="4"/>
      <x:c r="EC351" s="4"/>
      <x:c r="ED351" s="4"/>
      <x:c r="EE351" s="4" t="str">
        <x:f>IF('Calculations'!BT351=0,"Not Rated",IF(OR('Calculations'!BO351&gt;=4,'Calculations'!BP351&gt;=4),"Low",IF('Calculations'!BO351+'Calculations'!BP351&lt;=3,"High",IF('Calculations'!BO351+'Calculations'!BP351&lt;=4,"Strong","Solid"))))</x:f>
        <x:v>Not Rated</x:v>
      </x:c>
      <x:c r="EF351" s="4"/>
      <x:c r="EG351" s="4"/>
      <x:c r="EH351" s="4"/>
      <x:c r="EI351" s="4"/>
      <x:c r="EJ351" s="4"/>
      <x:c r="EK351" s="4"/>
      <x:c r="EL351" s="4"/>
      <x:c r="EM351" s="4" t="str">
        <x:f>IF(339&gt;'Calculations'!$JB$2000,"",INDEX('Calculations'!$JA$12:$JA$2000,MATCH(339,'Calculations'!$JB$12:$JB$2000,0)))</x:f>
      </x:c>
      <x:c r="EN351" s="4" t="n">
        <x:f>IF(OR('Calculations'!EM351="",'Calculations'!$AG$8&gt;0,AND('Calculations'!$EF$2&lt;&gt;"All",'Calculations'!HE351='Calculations'!$EF$2),AND('Calculations'!$EF$3&lt;&gt;"All",'Calculations'!HE351='Calculations'!$EF$3)),0,IF(OR('Dashboard'!$B$7="All",'Calculations'!HN351='Dashboard'!$B$7),IF('Calculations'!$EF$2="All",1,IF('Calculations'!HL351&gt;0,0,IF(COUNTIF('Calculations'!HO351:II351,"="&amp;SUBSTITUTE(SUBSTITUTE(SUBSTITUTE('Calculations'!$EF$2,"~","~~"),"*","~*"),"?","~?"))=0,0,IF('Calculations'!$EF$3="All",1,IF(COUNTIF('Calculations'!HO351:II351,"="&amp;SUBSTITUTE(SUBSTITUTE(SUBSTITUTE('Calculations'!$EF$3,"~","~~"),"*","~*"),"?","~?"))&gt;0,1,0))))),0))</x:f>
        <x:v>0</x:v>
      </x:c>
      <x:c r="EO351" s="4" t="str">
        <x:f>IF('Calculations'!IJ351="","",IF('Calculations'!IJ351="!UNRESOLVED","Unresolved hierarchy",IFERROR(INDEX('Calculations'!$HK$13:$HK$512,MATCH('Calculations'!IJ351,'Calculations'!$HE$13:$HE$512,0)),IFERROR(INDEX('Calculations'!$HJ$13:$HJ$512,MATCH('Calculations'!IJ351,'Calculations'!$HF$13:$HF$512,0)),'Calculations'!IJ351))))</x:f>
      </x:c>
      <x:c r="EP351" s="4" t="n">
        <x:f>IF(AND('Calculations'!EM351&lt;&gt;"",'Calculations'!HF351='Calculations'!IJ351),1,0)</x:f>
        <x:v>0</x:v>
      </x:c>
      <x:c r="EQ351" s="4"/>
      <x:c r="ER351" s="4"/>
      <x:c r="ES351" s="4"/>
      <x:c r="ET351" s="4"/>
      <x:c r="EU351" s="4"/>
      <x:c r="EV351" s="4"/>
      <x:c r="EW351" s="4"/>
      <x:c r="EX351" s="4"/>
      <x:c r="EY351" s="4"/>
      <x:c r="EZ351" s="4"/>
      <x:c r="FA351" s="4"/>
      <x:c r="FB351" s="4"/>
      <x:c r="FC351" s="4"/>
      <x:c r="FD351" s="4"/>
      <x:c r="FE351" s="4"/>
      <x:c r="FF351" s="4"/>
      <x:c r="FG351" s="4"/>
      <x:c r="FH351" s="4"/>
      <x:c r="FI351" s="4"/>
      <x:c r="FJ351" s="4"/>
      <x:c r="FK351" s="4"/>
      <x:c r="FL351" s="4"/>
      <x:c r="FM351" s="4"/>
      <x:c r="FN351" s="4"/>
      <x:c r="FO351" s="4"/>
      <x:c r="HE351" t="str">
        <x:f>IF('Calculations'!EM351="","",IF(IFERROR(IF(INDEX(INDIRECT("'WCM Calibration Final'!$A$1:$A$2000"),'Calculations'!$EM351)="","",TRIM(INDEX(INDIRECT("'WCM Calibration Final'!$A$1:$A$2000"),'Calculations'!$EM351)&amp;"")),"")&lt;&gt;"","G:"&amp;IFERROR(TEXT(1*INDEX(INDIRECT("'WCM Calibration Final'!$A$1:$A$2000"),'Calculations'!$EM351),"0"),UPPER(IFERROR(IF(INDEX(INDIRECT("'WCM Calibration Final'!$A$1:$A$2000"),'Calculations'!$EM351)="","",TRIM(INDEX(INDIRECT("'WCM Calibration Final'!$A$1:$A$2000"),'Calculations'!$EM351)&amp;"")),""))),IF(IFERROR(IF(INDEX(INDIRECT("'WCM Calibration Final'!$C$1:$C$2000"),'Calculations'!$EM351)="","",TRIM(INDEX(INDIRECT("'WCM Calibration Final'!$C$1:$C$2000"),'Calculations'!$EM351)&amp;"")),"")&lt;&gt;"","S:"&amp;UPPER(IFERROR(IF(INDEX(INDIRECT("'WCM Calibration Final'!$C$1:$C$2000"),'Calculations'!$EM351)="","",TRIM(INDEX(INDIRECT("'WCM Calibration Final'!$C$1:$C$2000"),'Calculations'!$EM351)&amp;"")),"")),"R:"&amp;'Calculations'!EM351)))</x:f>
      </x:c>
      <x:c r="HF351" t="str">
        <x:f>IF('Calculations'!EM351="","",IF(IFERROR(IF(INDEX(INDIRECT("'WCM Calibration Final'!$D$1:$D$2000"),'Calculations'!$EM351)="","",TRIM(INDEX(INDIRECT("'WCM Calibration Final'!$D$1:$D$2000"),'Calculations'!$EM351)&amp;"")),"")&lt;&gt;"","G:"&amp;IFERROR(TEXT(1*INDEX(INDIRECT("'WCM Calibration Final'!$D$1:$D$2000"),'Calculations'!$EM351),"0"),UPPER(IFERROR(IF(INDEX(INDIRECT("'WCM Calibration Final'!$D$1:$D$2000"),'Calculations'!$EM351)="","",TRIM(INDEX(INDIRECT("'WCM Calibration Final'!$D$1:$D$2000"),'Calculations'!$EM351)&amp;"")),""))),IF(IFERROR(IF(INDEX(INDIRECT("'WCM Calibration Final'!$E$1:$E$2000"),'Calculations'!$EM351)="","",TRIM(INDEX(INDIRECT("'WCM Calibration Final'!$E$1:$E$2000"),'Calculations'!$EM351)&amp;"")),"")="","",IF(COUNTIF('Calculations'!$HG$13:$HG$512,"="&amp;SUBSTITUTE(SUBSTITUTE(SUBSTITUTE(IFERROR(IF(INDEX(INDIRECT("'WCM Calibration Final'!$E$1:$E$2000"),'Calculations'!$EM351)="","",TRIM(INDEX(INDIRECT("'WCM Calibration Final'!$E$1:$E$2000"),'Calculations'!$EM351)&amp;"")),""),"~","~~"),"*","~*"),"?","~?"))=1,INDEX('Calculations'!$HE$13:$HE$512,MATCH(IFERROR(IF(INDEX(INDIRECT("'WCM Calibration Final'!$E$1:$E$2000"),'Calculations'!$EM351)="","",TRIM(INDEX(INDIRECT("'WCM Calibration Final'!$E$1:$E$2000"),'Calculations'!$EM351)&amp;"")),""),'Calculations'!$HG$13:$HG$512,0)),IF(COUNTIF('Calculations'!$HG$13:$HG$512,"="&amp;SUBSTITUTE(SUBSTITUTE(SUBSTITUTE(IFERROR(IF(INDEX(INDIRECT("'WCM Calibration Final'!$E$1:$E$2000"),'Calculations'!$EM351)="","",TRIM(INDEX(INDIRECT("'WCM Calibration Final'!$E$1:$E$2000"),'Calculations'!$EM351)&amp;"")),""),"~","~~"),"*","~*"),"?","~?"))&gt;1,"!AMBIG","X:"&amp;IFERROR(IF(INDEX(INDIRECT("'WCM Calibration Final'!$E$1:$E$2000"),'Calculations'!$EM351)="","",TRIM(INDEX(INDIRECT("'WCM Calibration Final'!$E$1:$E$2000"),'Calculations'!$EM351)&amp;"")),""))))))</x:f>
      </x:c>
      <x:c r="HG351" t="str">
        <x:f>IF('Calculations'!EM351="","",IFERROR(IF(INDEX(INDIRECT("'WCM Calibration Final'!$B$1:$B$2000"),'Calculations'!$EM351)="","",TRIM(INDEX(INDIRECT("'WCM Calibration Final'!$B$1:$B$2000"),'Calculations'!$EM351)&amp;"")),""))</x:f>
      </x:c>
      <x:c r="HH351" t="n">
        <x:f>IF(AND('Calculations'!JC351&gt;0,COUNTIF('Calculations'!$HF$12:HF351,"="&amp;SUBSTITUTE(SUBSTITUTE(SUBSTITUTE('Calculations'!HF351,"~","~~"),"*","~*"),"?","~?"))=1),MAX('Calculations'!$HH$12:HH350)+1,0)</x:f>
        <x:v>0</x:v>
      </x:c>
      <x:c r="HI351" t="n">
        <x:f>IF(AND('Calculations'!HN351&lt;&gt;"",COUNTIF('Calculations'!$HN$12:HN351,"="&amp;SUBSTITUTE(SUBSTITUTE(SUBSTITUTE('Calculations'!HN351,"~","~~"),"*","~*"),"?","~?"))=1),MAX('Calculations'!$HI$12:HI350)+1,0)</x:f>
        <x:v>0</x:v>
      </x:c>
      <x:c r="HJ351" t="str">
        <x:f>IF('Calculations'!HF351="","",IF(COUNTIF('Calculations'!$HE$13:$HE$512,"="&amp;SUBSTITUTE(SUBSTITUTE(SUBSTITUTE('Calculations'!HF351,"~","~~"),"*","~*"),"?","~?"))=1,INDEX('Calculations'!$HK$13:$HK$512,MATCH('Calculations'!HF351,'Calculations'!$HE$13:$HE$512,0)),IFERROR(IF(INDEX(INDIRECT("'WCM Calibration Final'!$E$1:$E$2000"),'Calculations'!$EM351)="","",TRIM(INDEX(INDIRECT("'WCM Calibration Final'!$E$1:$E$2000"),'Calculations'!$EM351)&amp;"")),"")&amp;" ["&amp;'Calculations'!HF351&amp;"]"))</x:f>
      </x:c>
      <x:c r="HK351" t="str">
        <x:f>IF('Calculations'!EM351="","",'Calculations'!HG351&amp;" ["&amp;'Calculations'!HE351&amp;"]")</x:f>
      </x:c>
      <x:c r="HL351" t="n">
        <x:f>IF('Calculations'!EM351="",0,IF(OR('Calculations'!II351&lt;&gt;"",COUNTIF('Calculations'!$HE$13:$HE$512,"="&amp;SUBSTITUTE(SUBSTITUTE(SUBSTITUTE('Calculations'!HE351,"~","~~"),"*","~*"),"?","~?"))&gt;1),1,0))</x:f>
        <x:v>0</x:v>
      </x:c>
      <x:c r="HM351" t="str">
        <x:f>IF('Calculations'!EM351="","",IF('Calculations'!HL351=1,"!UNRESOLVED",IF('Calculations'!IH351&lt;&gt;"",'Calculations'!IH351,IF('Calculations'!IG351&lt;&gt;"",'Calculations'!IG351,IF('Calculations'!IF351&lt;&gt;"",'Calculations'!IF351,IF('Calculations'!IE351&lt;&gt;"",'Calculations'!IE351,IF('Calculations'!ID351&lt;&gt;"",'Calculations'!ID351,IF('Calculations'!IC351&lt;&gt;"",'Calculations'!IC351,IF('Calculations'!IB351&lt;&gt;"",'Calculations'!IB351,IF('Calculations'!IA351&lt;&gt;"",'Calculations'!IA351,IF('Calculations'!HZ351&lt;&gt;"",'Calculations'!HZ351,IF('Calculations'!HY351&lt;&gt;"",'Calculations'!HY351,IF('Calculations'!HX351&lt;&gt;"",'Calculations'!HX351,IF('Calculations'!HW351&lt;&gt;"",'Calculations'!HW351,IF('Calculations'!HV351&lt;&gt;"",'Calculations'!HV351,IF('Calculations'!HU351&lt;&gt;"",'Calculations'!HU351,IF('Calculations'!HT351&lt;&gt;"",'Calculations'!HT351,IF('Calculations'!HS351&lt;&gt;"",'Calculations'!HS351,IF('Calculations'!HR351&lt;&gt;"",'Calculations'!HR351,IF('Calculations'!HQ351&lt;&gt;"",'Calculations'!HQ351,IF('Calculations'!HP351&lt;&gt;"",'Calculations'!HP351,IF('Calculations'!HO351&lt;&gt;"",'Calculations'!HO351,'Calculations'!HE351))))))))))))))))))))))</x:f>
      </x:c>
      <x:c r="HN351" t="str">
        <x:f>IF('Calculations'!EM351="","",IF(IFERROR(IF(INDEX(INDIRECT("'WCM Calibration Final'!$F$1:$F$2000"),'Calculations'!$EM351)="","",TRIM(INDEX(INDIRECT("'WCM Calibration Final'!$F$1:$F$2000"),'Calculations'!$EM351)&amp;"")),"")="","(Blank)",IFERROR(IF(INDEX(INDIRECT("'WCM Calibration Final'!$F$1:$F$2000"),'Calculations'!$EM351)="","",TRIM(INDEX(INDIRECT("'WCM Calibration Final'!$F$1:$F$2000"),'Calculations'!$EM351)&amp;"")),"")))</x:f>
      </x:c>
      <x:c r="HO351" t="str">
        <x:f>'Calculations'!HF351</x:f>
      </x:c>
      <x:c r="HP351" t="str">
        <x:f>IF('Calculations'!HO351="","",IF('Calculations'!HO351="!AMBIG","!AMBIG",IF(COUNTIF('Calculations'!$HE$13:$HE$512,"="&amp;SUBSTITUTE(SUBSTITUTE(SUBSTITUTE('Calculations'!HO351,"~","~~"),"*","~*"),"?","~?"))&gt;1,"!AMBIG",IFERROR(INDEX('Calculations'!$HF$13:$HF$512,MATCH('Calculations'!HO351,'Calculations'!$HE$13:$HE$512,0)),""))))</x:f>
      </x:c>
      <x:c r="HQ351" t="str">
        <x:f>IF('Calculations'!HP351="","",IF('Calculations'!HP351="!AMBIG","!AMBIG",IF(COUNTIF('Calculations'!$HE$13:$HE$512,"="&amp;SUBSTITUTE(SUBSTITUTE(SUBSTITUTE('Calculations'!HP351,"~","~~"),"*","~*"),"?","~?"))&gt;1,"!AMBIG",IFERROR(INDEX('Calculations'!$HF$13:$HF$512,MATCH('Calculations'!HP351,'Calculations'!$HE$13:$HE$512,0)),""))))</x:f>
      </x:c>
      <x:c r="HR351" t="str">
        <x:f>IF('Calculations'!HQ351="","",IF('Calculations'!HQ351="!AMBIG","!AMBIG",IF(COUNTIF('Calculations'!$HE$13:$HE$512,"="&amp;SUBSTITUTE(SUBSTITUTE(SUBSTITUTE('Calculations'!HQ351,"~","~~"),"*","~*"),"?","~?"))&gt;1,"!AMBIG",IFERROR(INDEX('Calculations'!$HF$13:$HF$512,MATCH('Calculations'!HQ351,'Calculations'!$HE$13:$HE$512,0)),""))))</x:f>
      </x:c>
      <x:c r="HS351" t="str">
        <x:f>IF('Calculations'!HR351="","",IF('Calculations'!HR351="!AMBIG","!AMBIG",IF(COUNTIF('Calculations'!$HE$13:$HE$512,"="&amp;SUBSTITUTE(SUBSTITUTE(SUBSTITUTE('Calculations'!HR351,"~","~~"),"*","~*"),"?","~?"))&gt;1,"!AMBIG",IFERROR(INDEX('Calculations'!$HF$13:$HF$512,MATCH('Calculations'!HR351,'Calculations'!$HE$13:$HE$512,0)),""))))</x:f>
      </x:c>
      <x:c r="HT351" t="str">
        <x:f>IF('Calculations'!HS351="","",IF('Calculations'!HS351="!AMBIG","!AMBIG",IF(COUNTIF('Calculations'!$HE$13:$HE$512,"="&amp;SUBSTITUTE(SUBSTITUTE(SUBSTITUTE('Calculations'!HS351,"~","~~"),"*","~*"),"?","~?"))&gt;1,"!AMBIG",IFERROR(INDEX('Calculations'!$HF$13:$HF$512,MATCH('Calculations'!HS351,'Calculations'!$HE$13:$HE$512,0)),""))))</x:f>
      </x:c>
      <x:c r="HU351" t="str">
        <x:f>IF('Calculations'!HT351="","",IF('Calculations'!HT351="!AMBIG","!AMBIG",IF(COUNTIF('Calculations'!$HE$13:$HE$512,"="&amp;SUBSTITUTE(SUBSTITUTE(SUBSTITUTE('Calculations'!HT351,"~","~~"),"*","~*"),"?","~?"))&gt;1,"!AMBIG",IFERROR(INDEX('Calculations'!$HF$13:$HF$512,MATCH('Calculations'!HT351,'Calculations'!$HE$13:$HE$512,0)),""))))</x:f>
      </x:c>
      <x:c r="HV351" t="str">
        <x:f>IF('Calculations'!HU351="","",IF('Calculations'!HU351="!AMBIG","!AMBIG",IF(COUNTIF('Calculations'!$HE$13:$HE$512,"="&amp;SUBSTITUTE(SUBSTITUTE(SUBSTITUTE('Calculations'!HU351,"~","~~"),"*","~*"),"?","~?"))&gt;1,"!AMBIG",IFERROR(INDEX('Calculations'!$HF$13:$HF$512,MATCH('Calculations'!HU351,'Calculations'!$HE$13:$HE$512,0)),""))))</x:f>
      </x:c>
      <x:c r="HW351" t="str">
        <x:f>IF('Calculations'!HV351="","",IF('Calculations'!HV351="!AMBIG","!AMBIG",IF(COUNTIF('Calculations'!$HE$13:$HE$512,"="&amp;SUBSTITUTE(SUBSTITUTE(SUBSTITUTE('Calculations'!HV351,"~","~~"),"*","~*"),"?","~?"))&gt;1,"!AMBIG",IFERROR(INDEX('Calculations'!$HF$13:$HF$512,MATCH('Calculations'!HV351,'Calculations'!$HE$13:$HE$512,0)),""))))</x:f>
      </x:c>
      <x:c r="HX351" t="str">
        <x:f>IF('Calculations'!HW351="","",IF('Calculations'!HW351="!AMBIG","!AMBIG",IF(COUNTIF('Calculations'!$HE$13:$HE$512,"="&amp;SUBSTITUTE(SUBSTITUTE(SUBSTITUTE('Calculations'!HW351,"~","~~"),"*","~*"),"?","~?"))&gt;1,"!AMBIG",IFERROR(INDEX('Calculations'!$HF$13:$HF$512,MATCH('Calculations'!HW351,'Calculations'!$HE$13:$HE$512,0)),""))))</x:f>
      </x:c>
      <x:c r="HY351" t="str">
        <x:f>IF('Calculations'!HX351="","",IF('Calculations'!HX351="!AMBIG","!AMBIG",IF(COUNTIF('Calculations'!$HE$13:$HE$512,"="&amp;SUBSTITUTE(SUBSTITUTE(SUBSTITUTE('Calculations'!HX351,"~","~~"),"*","~*"),"?","~?"))&gt;1,"!AMBIG",IFERROR(INDEX('Calculations'!$HF$13:$HF$512,MATCH('Calculations'!HX351,'Calculations'!$HE$13:$HE$512,0)),""))))</x:f>
      </x:c>
      <x:c r="HZ351" t="str">
        <x:f>IF('Calculations'!HY351="","",IF('Calculations'!HY351="!AMBIG","!AMBIG",IF(COUNTIF('Calculations'!$HE$13:$HE$512,"="&amp;SUBSTITUTE(SUBSTITUTE(SUBSTITUTE('Calculations'!HY351,"~","~~"),"*","~*"),"?","~?"))&gt;1,"!AMBIG",IFERROR(INDEX('Calculations'!$HF$13:$HF$512,MATCH('Calculations'!HY351,'Calculations'!$HE$13:$HE$512,0)),""))))</x:f>
      </x:c>
      <x:c r="IA351" t="str">
        <x:f>IF('Calculations'!HZ351="","",IF('Calculations'!HZ351="!AMBIG","!AMBIG",IF(COUNTIF('Calculations'!$HE$13:$HE$512,"="&amp;SUBSTITUTE(SUBSTITUTE(SUBSTITUTE('Calculations'!HZ351,"~","~~"),"*","~*"),"?","~?"))&gt;1,"!AMBIG",IFERROR(INDEX('Calculations'!$HF$13:$HF$512,MATCH('Calculations'!HZ351,'Calculations'!$HE$13:$HE$512,0)),""))))</x:f>
      </x:c>
      <x:c r="IB351" t="str">
        <x:f>IF('Calculations'!IA351="","",IF('Calculations'!IA351="!AMBIG","!AMBIG",IF(COUNTIF('Calculations'!$HE$13:$HE$512,"="&amp;SUBSTITUTE(SUBSTITUTE(SUBSTITUTE('Calculations'!IA351,"~","~~"),"*","~*"),"?","~?"))&gt;1,"!AMBIG",IFERROR(INDEX('Calculations'!$HF$13:$HF$512,MATCH('Calculations'!IA351,'Calculations'!$HE$13:$HE$512,0)),""))))</x:f>
      </x:c>
      <x:c r="IC351" t="str">
        <x:f>IF('Calculations'!IB351="","",IF('Calculations'!IB351="!AMBIG","!AMBIG",IF(COUNTIF('Calculations'!$HE$13:$HE$512,"="&amp;SUBSTITUTE(SUBSTITUTE(SUBSTITUTE('Calculations'!IB351,"~","~~"),"*","~*"),"?","~?"))&gt;1,"!AMBIG",IFERROR(INDEX('Calculations'!$HF$13:$HF$512,MATCH('Calculations'!IB351,'Calculations'!$HE$13:$HE$512,0)),""))))</x:f>
      </x:c>
      <x:c r="ID351" t="str">
        <x:f>IF('Calculations'!IC351="","",IF('Calculations'!IC351="!AMBIG","!AMBIG",IF(COUNTIF('Calculations'!$HE$13:$HE$512,"="&amp;SUBSTITUTE(SUBSTITUTE(SUBSTITUTE('Calculations'!IC351,"~","~~"),"*","~*"),"?","~?"))&gt;1,"!AMBIG",IFERROR(INDEX('Calculations'!$HF$13:$HF$512,MATCH('Calculations'!IC351,'Calculations'!$HE$13:$HE$512,0)),""))))</x:f>
      </x:c>
      <x:c r="IE351" t="str">
        <x:f>IF('Calculations'!ID351="","",IF('Calculations'!ID351="!AMBIG","!AMBIG",IF(COUNTIF('Calculations'!$HE$13:$HE$512,"="&amp;SUBSTITUTE(SUBSTITUTE(SUBSTITUTE('Calculations'!ID351,"~","~~"),"*","~*"),"?","~?"))&gt;1,"!AMBIG",IFERROR(INDEX('Calculations'!$HF$13:$HF$512,MATCH('Calculations'!ID351,'Calculations'!$HE$13:$HE$512,0)),""))))</x:f>
      </x:c>
      <x:c r="IF351" t="str">
        <x:f>IF('Calculations'!IE351="","",IF('Calculations'!IE351="!AMBIG","!AMBIG",IF(COUNTIF('Calculations'!$HE$13:$HE$512,"="&amp;SUBSTITUTE(SUBSTITUTE(SUBSTITUTE('Calculations'!IE351,"~","~~"),"*","~*"),"?","~?"))&gt;1,"!AMBIG",IFERROR(INDEX('Calculations'!$HF$13:$HF$512,MATCH('Calculations'!IE351,'Calculations'!$HE$13:$HE$512,0)),""))))</x:f>
      </x:c>
      <x:c r="IG351" t="str">
        <x:f>IF('Calculations'!IF351="","",IF('Calculations'!IF351="!AMBIG","!AMBIG",IF(COUNTIF('Calculations'!$HE$13:$HE$512,"="&amp;SUBSTITUTE(SUBSTITUTE(SUBSTITUTE('Calculations'!IF351,"~","~~"),"*","~*"),"?","~?"))&gt;1,"!AMBIG",IFERROR(INDEX('Calculations'!$HF$13:$HF$512,MATCH('Calculations'!IF351,'Calculations'!$HE$13:$HE$512,0)),""))))</x:f>
      </x:c>
      <x:c r="IH351" t="str">
        <x:f>IF('Calculations'!IG351="","",IF('Calculations'!IG351="!AMBIG","!AMBIG",IF(COUNTIF('Calculations'!$HE$13:$HE$512,"="&amp;SUBSTITUTE(SUBSTITUTE(SUBSTITUTE('Calculations'!IG351,"~","~~"),"*","~*"),"?","~?"))&gt;1,"!AMBIG",IFERROR(INDEX('Calculations'!$HF$13:$HF$512,MATCH('Calculations'!IG351,'Calculations'!$HE$13:$HE$512,0)),""))))</x:f>
      </x:c>
      <x:c r="II351" t="str">
        <x:f>IF('Calculations'!IH351="","",IF('Calculations'!IH351="!AMBIG","!AMBIG",IF(COUNTIF('Calculations'!$HE$13:$HE$512,"="&amp;SUBSTITUTE(SUBSTITUTE(SUBSTITUTE('Calculations'!IH351,"~","~~"),"*","~*"),"?","~?"))&gt;1,"!AMBIG",IFERROR(INDEX('Calculations'!$HF$13:$HF$512,MATCH('Calculations'!IH351,'Calculations'!$HE$13:$HE$512,0)),""))))</x:f>
      </x:c>
      <x:c r="IJ351" t="str">
        <x:f>IF('Calculations'!EM351="","",IF('Calculations'!$EF$2="All",'Calculations'!HM351,IF('Calculations'!HL351=1,"",IFERROR(IF(MATCH('Calculations'!$EF$2,'Calculations'!HO351:II351,0)=1,'Calculations'!HE351,INDEX('Calculations'!HO351:II351,1,MATCH('Calculations'!$EF$2,'Calculations'!HO351:II351,0)-1)),""))))</x:f>
      </x:c>
      <x:c r="IK351" t="n">
        <x:f>IF(AND('Calculations'!EM351&lt;&gt;"",'Calculations'!$EF$2&lt;&gt;"All",'Calculations'!HF351='Calculations'!$EF$2,'Calculations'!HL351=0,'Calculations'!JD351&gt;0),MAX('Calculations'!$IK$12:IK350)+1,0)</x:f>
        <x:v>0</x:v>
      </x:c>
      <x:c r="JA351" t="n">
        <x:f>IF(OR(IFERROR(INDIRECT("'WCM Calibration Final'!$A$351")&lt;&gt;"",FALSE),IFERROR(INDIRECT("'WCM Calibration Final'!$B$351")&lt;&gt;"",FALSE),IFERROR(INDIRECT("'WCM Calibration Final'!$C$351")&lt;&gt;"",FALSE)),351,0)</x:f>
        <x:v>0</x:v>
      </x:c>
      <x:c r="JB351" t="n">
        <x:f>'Calculations'!JB350+IF('Calculations'!JA351&gt;0,1,0)</x:f>
        <x:v>0</x:v>
      </x:c>
      <x:c r="JC351" t="n">
        <x:f>IF(OR('Calculations'!HF351="",'Calculations'!HF351="!AMBIG"),0,IF('Dashboard'!$B$7="All",1,COUNTIFS('Calculations'!$HO$13:$HO$512,"="&amp;SUBSTITUTE(SUBSTITUTE(SUBSTITUTE('Calculations'!HF351,"~","~~"),"*","~*"),"?","~?"),'Calculations'!$HN$13:$HN$512,"="&amp;SUBSTITUTE(SUBSTITUTE(SUBSTITUTE('Dashboard'!$B$7,"~","~~"),"*","~*"),"?","~?"))+COUNTIFS('Calculations'!$HP$13:$HP$512,"="&amp;SUBSTITUTE(SUBSTITUTE(SUBSTITUTE('Calculations'!HF351,"~","~~"),"*","~*"),"?","~?"),'Calculations'!$HN$13:$HN$512,"="&amp;SUBSTITUTE(SUBSTITUTE(SUBSTITUTE('Dashboard'!$B$7,"~","~~"),"*","~*"),"?","~?"))+COUNTIFS('Calculations'!$HQ$13:$HQ$512,"="&amp;SUBSTITUTE(SUBSTITUTE(SUBSTITUTE('Calculations'!HF351,"~","~~"),"*","~*"),"?","~?"),'Calculations'!$HN$13:$HN$512,"="&amp;SUBSTITUTE(SUBSTITUTE(SUBSTITUTE('Dashboard'!$B$7,"~","~~"),"*","~*"),"?","~?"))+COUNTIFS('Calculations'!$HR$13:$HR$512,"="&amp;SUBSTITUTE(SUBSTITUTE(SUBSTITUTE('Calculations'!HF351,"~","~~"),"*","~*"),"?","~?"),'Calculations'!$HN$13:$HN$512,"="&amp;SUBSTITUTE(SUBSTITUTE(SUBSTITUTE('Dashboard'!$B$7,"~","~~"),"*","~*"),"?","~?"))+COUNTIFS('Calculations'!$HS$13:$HS$512,"="&amp;SUBSTITUTE(SUBSTITUTE(SUBSTITUTE('Calculations'!HF351,"~","~~"),"*","~*"),"?","~?"),'Calculations'!$HN$13:$HN$512,"="&amp;SUBSTITUTE(SUBSTITUTE(SUBSTITUTE('Dashboard'!$B$7,"~","~~"),"*","~*"),"?","~?"))+COUNTIFS('Calculations'!$HT$13:$HT$512,"="&amp;SUBSTITUTE(SUBSTITUTE(SUBSTITUTE('Calculations'!HF351,"~","~~"),"*","~*"),"?","~?"),'Calculations'!$HN$13:$HN$512,"="&amp;SUBSTITUTE(SUBSTITUTE(SUBSTITUTE('Dashboard'!$B$7,"~","~~"),"*","~*"),"?","~?"))+COUNTIFS('Calculations'!$HU$13:$HU$512,"="&amp;SUBSTITUTE(SUBSTITUTE(SUBSTITUTE('Calculations'!HF351,"~","~~"),"*","~*"),"?","~?"),'Calculations'!$HN$13:$HN$512,"="&amp;SUBSTITUTE(SUBSTITUTE(SUBSTITUTE('Dashboard'!$B$7,"~","~~"),"*","~*"),"?","~?"))+COUNTIFS('Calculations'!$HV$13:$HV$512,"="&amp;SUBSTITUTE(SUBSTITUTE(SUBSTITUTE('Calculations'!HF351,"~","~~"),"*","~*"),"?","~?"),'Calculations'!$HN$13:$HN$512,"="&amp;SUBSTITUTE(SUBSTITUTE(SUBSTITUTE('Dashboard'!$B$7,"~","~~"),"*","~*"),"?","~?"))+COUNTIFS('Calculations'!$HW$13:$HW$512,"="&amp;SUBSTITUTE(SUBSTITUTE(SUBSTITUTE('Calculations'!HF351,"~","~~"),"*","~*"),"?","~?"),'Calculations'!$HN$13:$HN$512,"="&amp;SUBSTITUTE(SUBSTITUTE(SUBSTITUTE('Dashboard'!$B$7,"~","~~"),"*","~*"),"?","~?"))+COUNTIFS('Calculations'!$HX$13:$HX$512,"="&amp;SUBSTITUTE(SUBSTITUTE(SUBSTITUTE('Calculations'!HF351,"~","~~"),"*","~*"),"?","~?"),'Calculations'!$HN$13:$HN$512,"="&amp;SUBSTITUTE(SUBSTITUTE(SUBSTITUTE('Dashboard'!$B$7,"~","~~"),"*","~*"),"?","~?"))+COUNTIFS('Calculations'!$HY$13:$HY$512,"="&amp;SUBSTITUTE(SUBSTITUTE(SUBSTITUTE('Calculations'!HF351,"~","~~"),"*","~*"),"?","~?"),'Calculations'!$HN$13:$HN$512,"="&amp;SUBSTITUTE(SUBSTITUTE(SUBSTITUTE('Dashboard'!$B$7,"~","~~"),"*","~*"),"?","~?"))+COUNTIFS('Calculations'!$HZ$13:$HZ$512,"="&amp;SUBSTITUTE(SUBSTITUTE(SUBSTITUTE('Calculations'!HF351,"~","~~"),"*","~*"),"?","~?"),'Calculations'!$HN$13:$HN$512,"="&amp;SUBSTITUTE(SUBSTITUTE(SUBSTITUTE('Dashboard'!$B$7,"~","~~"),"*","~*"),"?","~?"))+COUNTIFS('Calculations'!$IA$13:$IA$512,"="&amp;SUBSTITUTE(SUBSTITUTE(SUBSTITUTE('Calculations'!HF351,"~","~~"),"*","~*"),"?","~?"),'Calculations'!$HN$13:$HN$512,"="&amp;SUBSTITUTE(SUBSTITUTE(SUBSTITUTE('Dashboard'!$B$7,"~","~~"),"*","~*"),"?","~?"))+COUNTIFS('Calculations'!$IB$13:$IB$512,"="&amp;SUBSTITUTE(SUBSTITUTE(SUBSTITUTE('Calculations'!HF351,"~","~~"),"*","~*"),"?","~?"),'Calculations'!$HN$13:$HN$512,"="&amp;SUBSTITUTE(SUBSTITUTE(SUBSTITUTE('Dashboard'!$B$7,"~","~~"),"*","~*"),"?","~?"))+COUNTIFS('Calculations'!$IC$13:$IC$512,"="&amp;SUBSTITUTE(SUBSTITUTE(SUBSTITUTE('Calculations'!HF351,"~","~~"),"*","~*"),"?","~?"),'Calculations'!$HN$13:$HN$512,"="&amp;SUBSTITUTE(SUBSTITUTE(SUBSTITUTE('Dashboard'!$B$7,"~","~~"),"*","~*"),"?","~?"))+COUNTIFS('Calculations'!$ID$13:$ID$512,"="&amp;SUBSTITUTE(SUBSTITUTE(SUBSTITUTE('Calculations'!HF351,"~","~~"),"*","~*"),"?","~?"),'Calculations'!$HN$13:$HN$512,"="&amp;SUBSTITUTE(SUBSTITUTE(SUBSTITUTE('Dashboard'!$B$7,"~","~~"),"*","~*"),"?","~?"))+COUNTIFS('Calculations'!$IE$13:$IE$512,"="&amp;SUBSTITUTE(SUBSTITUTE(SUBSTITUTE('Calculations'!HF351,"~","~~"),"*","~*"),"?","~?"),'Calculations'!$HN$13:$HN$512,"="&amp;SUBSTITUTE(SUBSTITUTE(SUBSTITUTE('Dashboard'!$B$7,"~","~~"),"*","~*"),"?","~?"))+COUNTIFS('Calculations'!$IF$13:$IF$512,"="&amp;SUBSTITUTE(SUBSTITUTE(SUBSTITUTE('Calculations'!HF351,"~","~~"),"*","~*"),"?","~?"),'Calculations'!$HN$13:$HN$512,"="&amp;SUBSTITUTE(SUBSTITUTE(SUBSTITUTE('Dashboard'!$B$7,"~","~~"),"*","~*"),"?","~?"))+COUNTIFS('Calculations'!$IG$13:$IG$512,"="&amp;SUBSTITUTE(SUBSTITUTE(SUBSTITUTE('Calculations'!HF351,"~","~~"),"*","~*"),"?","~?"),'Calculations'!$HN$13:$HN$512,"="&amp;SUBSTITUTE(SUBSTITUTE(SUBSTITUTE('Dashboard'!$B$7,"~","~~"),"*","~*"),"?","~?"))+COUNTIFS('Calculations'!$IH$13:$IH$512,"="&amp;SUBSTITUTE(SUBSTITUTE(SUBSTITUTE('Calculations'!HF351,"~","~~"),"*","~*"),"?","~?"),'Calculations'!$HN$13:$HN$512,"="&amp;SUBSTITUTE(SUBSTITUTE(SUBSTITUTE('Dashboard'!$B$7,"~","~~"),"*","~*"),"?","~?"))))</x:f>
        <x:v>0</x:v>
      </x:c>
      <x:c r="JD351" t="n">
        <x:f>IF('Calculations'!EM351="",0,IF('Dashboard'!$B$7="All",1,IF('Calculations'!HN351='Dashboard'!$B$7,1,0)+IFERROR(INDEX('Calculations'!$JC$13:$JC$512,MATCH('Calculations'!HE351,'Calculations'!$HF$13:$HF$512,0)),0)))</x:f>
        <x:v>0</x:v>
      </x:c>
      <x:c r="JE351" t="n">
        <x:f>IF(AND('Calculations'!EM351&lt;&gt;"",'Calculations'!$JJ$2&lt;&gt;"All",'Calculations'!$JJ$2&lt;&gt;"",'Calculations'!HF351='Calculations'!$JJ$2,'Calculations'!HL351=0,'Calculations'!JD351&gt;0),MAX('Calculations'!$JE$12:JE350)+1,0)</x:f>
        <x:v>0</x:v>
      </x:c>
      <x:c r="JF351" t="str">
        <x:f>IF('Calculations'!EM351="","",IFERROR(IF(INDEX(INDIRECT("'WCM Calibration Final'!$G$1:$G$2000"),'Calculations'!$EM351)="","",TRIM(INDEX(INDIRECT("'WCM Calibration Final'!$G$1:$G$2000"),'Calculations'!$EM351)&amp;"")),""))</x:f>
      </x:c>
      <x:c r="JQ351" t="n">
        <x:f>IF(OR('Calculations'!BM351=0,NOT('Calculations'!$AG$2),'Calculations'!$AG$8&gt;0),0,IF(OR('Dashboard'!$B$7="All",'Calculations'!HN351='Dashboard'!$B$7),IF('Calculations'!$JJ$2="All",1,IF(AND('Calculations'!HF351='Calculations'!$JJ$2,'Calculations'!HL351=0),1,0)),0))</x:f>
        <x:v>0</x:v>
      </x:c>
    </x:row>
    <x:row r="352">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t="n">
        <x:f>IF('Calculations'!$EM352="",0,IF(OR(IFERROR(INDEX(INDIRECT("'WCM Calibration Final'!$A$1:$A$2000"),'Calculations'!$EM352)&lt;&gt;"",FALSE),IFERROR(INDEX(INDIRECT("'WCM Calibration Final'!$B$1:$B$2000"),'Calculations'!$EM352)&lt;&gt;"",FALSE),IFERROR(INDEX(INDIRECT("'WCM Calibration Final'!$C$1:$C$2000"),'Calculations'!$EM352)&lt;&gt;"",FALSE)),1,0))</x:f>
        <x:v>0</x:v>
      </x:c>
      <x:c r="BN352" s="4" t="n">
        <x:f>IF(AND('Calculations'!BM352=1,'Calculations'!$AG$2,'Calculations'!$EN352=1),1,0)</x:f>
        <x:v>0</x:v>
      </x:c>
      <x:c r="BO352" s="4" t="str">
        <x:f>IF('Calculations'!BM352=0,"",IFERROR(IF(AND(VALUE(INDEX(INDIRECT("'WCM Calibration Final'!$K$1:$K$2000"),'Calculations'!$EM352))&gt;=1,VALUE(INDEX(INDIRECT("'WCM Calibration Final'!$K$1:$K$2000"),'Calculations'!$EM352))&lt;=4,MOD(VALUE(INDEX(INDIRECT("'WCM Calibration Final'!$K$1:$K$2000"),'Calculations'!$EM352)),1)=0),VALUE(INDEX(INDIRECT("'WCM Calibration Final'!$K$1:$K$2000"),'Calculations'!$EM352)),""),""))</x:f>
      </x:c>
      <x:c r="BP352" s="4" t="str">
        <x:f>IF('Calculations'!BM352=0,"",IFERROR(IF(AND(VALUE(INDEX(INDIRECT("'WCM Calibration Final'!$L$1:$L$2000"),'Calculations'!$EM352))&gt;=1,VALUE(INDEX(INDIRECT("'WCM Calibration Final'!$L$1:$L$2000"),'Calculations'!$EM352))&lt;=4,MOD(VALUE(INDEX(INDIRECT("'WCM Calibration Final'!$L$1:$L$2000"),'Calculations'!$EM352)),1)=0),VALUE(INDEX(INDIRECT("'WCM Calibration Final'!$L$1:$L$2000"),'Calculations'!$EM352)),""),""))</x:f>
      </x:c>
      <x:c r="BQ352" s="4"/>
      <x:c r="BR352" s="4"/>
      <x:c r="BS352" s="4"/>
      <x:c r="BT352" s="4" t="n">
        <x:f>IF(AND('Calculations'!BM352=1,ISNUMBER('Calculations'!BO352),ISNUMBER('Calculations'!BP352)),1,0)</x:f>
        <x:v>0</x:v>
      </x:c>
      <x:c r="BU352" s="4" t="str">
        <x:f>IF('Calculations'!BM352=0,"",'Calculations'!$EO352)</x:f>
      </x:c>
      <x:c r="BV352" s="4" t="str">
        <x:f>IF('Calculations'!BM352=0,"",IFERROR(IF(OR(INDEX(INDIRECT("'WCM Calibration Final'!$H$1:$H$2000"),'Calculations'!$EM352)="MANAGING DIRECTOR",INDEX(INDIRECT("'WCM Calibration Final'!$H$1:$H$2000"),'Calculations'!$EM352)="DIRECTOR",INDEX(INDIRECT("'WCM Calibration Final'!$H$1:$H$2000"),'Calculations'!$EM352)="SENIOR VICE PRESIDENT",INDEX(INDIRECT("'WCM Calibration Final'!$H$1:$H$2000"),'Calculations'!$EM352)="VICE PRESIDENT",INDEX(INDIRECT("'WCM Calibration Final'!$H$1:$H$2000"),'Calculations'!$EM352)="ASSISTANT VICE PRESIDENT",INDEX(INDIRECT("'WCM Calibration Final'!$H$1:$H$2000"),'Calculations'!$EM352)="OFFICER"),UPPER(INDEX(INDIRECT("'WCM Calibration Final'!$H$1:$H$2000"),'Calculations'!$EM352)),"Other"),"Other"))</x:f>
      </x:c>
      <x:c r="BW352" s="4"/>
      <x:c r="BX352" s="4"/>
      <x:c r="BY352" s="4" t="n">
        <x:f>IF(AND('Calculations'!BM352=1,'Calculations'!BU352&lt;&gt;"",COUNTIF('Calculations'!$BU$12:BU352,'Calculations'!BU352)=1),MAX('Calculations'!$BY$11:BY351)+1,0)</x:f>
        <x:v>0</x:v>
      </x:c>
      <x:c r="BZ352" s="4" t="str">
        <x:f>IF('Dashboard'!$E$67="What",'Calculations'!BO352,'Calculations'!BP352)</x:f>
      </x:c>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t="str">
        <x:f>IF(341&gt;MAX('Calculations'!$HI$13:$HI$512),"",INDEX('Calculations'!$HN$13:$HN$512,MATCH(341,'Calculations'!$HI$13:$HI$512,0)))</x:f>
      </x:c>
      <x:c r="DB352" s="4" t="str">
        <x:f>IF(341&gt;MAX('Calculations'!$HH$13:$HH$512),"",INDEX('Calculations'!$HJ$13:$HJ$512,MATCH(341,'Calculations'!$HH$13:$HH$512,0)))</x:f>
      </x:c>
      <x:c r="DC352" s="4" t="str">
        <x:f>IF(ROW()-11&gt;MAX('Calculations'!$BY$13:$BY$512),"",INDEX('Calculations'!$BU$13:$BU$512,MATCH(ROW()-11,'Calculations'!$BY$13:$BY$512,0)))</x:f>
      </x:c>
      <x:c r="DD352" s="4" t="str">
        <x:f>IF(341&gt;MAX('Calculations'!$IK$13:$IK$512),"",INDEX('Calculations'!$HK$13:$HK$512,MATCH(341,'Calculations'!$IK$13:$IK$512,0)))</x:f>
      </x:c>
      <x:c r="DE352" s="4" t="str">
        <x:f>'Calculations'!DC352</x:f>
      </x:c>
      <x:c r="DF352" s="4" t="str">
        <x:f>IF('Calculations'!DE352="","",COUNTIFS('Calculations'!$BN$13:$BN$512,1,'Calculations'!$BU$13:$BU$512,'Calculations'!DE352))</x:f>
      </x:c>
      <x:c r="DG352" s="4" t="str">
        <x:f>IF('Calculations'!DE352="","",COUNTIFS('Calculations'!$BN$13:$BN$512,1,'Calculations'!$BU$13:$BU$512,'Calculations'!DE352,'Calculations'!$BT$13:$BT$512,1))</x:f>
      </x:c>
      <x:c r="DH352" s="4" t="str">
        <x:f>IF('Calculations'!DE352="","",'Calculations'!DF352-'Calculations'!DG352)</x:f>
      </x:c>
      <x:c r="DI352" s="4" t="str">
        <x:f>IF(OR('Calculations'!DE352="",'Calculations'!DF352=0),"",'Calculations'!DG352/'Calculations'!DF352)</x:f>
      </x:c>
      <x:c r="DJ352" s="4" t="str">
        <x:f>IF('Calculations'!DE352="","",COUNTIFS('Calculations'!$BN$13:$BN$512,1,'Calculations'!$BU$13:$BU$512,'Calculations'!DE352,'Calculations'!$BT$13:$BT$512,1,'Calculations'!$EE$13:$EE$512,"High"))</x:f>
      </x:c>
      <x:c r="DK352" s="4" t="str">
        <x:f>IF('Calculations'!DE352="","",COUNTIFS('Calculations'!$BN$13:$BN$512,1,'Calculations'!$BU$13:$BU$512,'Calculations'!DE352,'Calculations'!$BT$13:$BT$512,1,'Calculations'!$EE$13:$EE$512,"Strong"))</x:f>
      </x:c>
      <x:c r="DL352" s="4" t="str">
        <x:f>IF('Calculations'!DE352="","",COUNTIFS('Calculations'!$BN$13:$BN$512,1,'Calculations'!$BU$13:$BU$512,'Calculations'!DE352,'Calculations'!$BT$13:$BT$512,1,'Calculations'!$EE$13:$EE$512,"Solid"))</x:f>
      </x:c>
      <x:c r="DM352" s="4" t="str">
        <x:f>IF('Calculations'!DE352="","",COUNTIFS('Calculations'!$BN$13:$BN$512,1,'Calculations'!$BU$13:$BU$512,'Calculations'!DE352,'Calculations'!$BT$13:$BT$512,1,'Calculations'!$EE$13:$EE$512,"Low"))</x:f>
      </x:c>
      <x:c r="DN352" s="4" t="str">
        <x:f>IF('Calculations'!DE352="","",COUNTIFS('Calculations'!$BN$13:$BN$512,1,'Calculations'!$BU$13:$BU$512,'Calculations'!DE352,'Calculations'!$EP$13:$EP$512,1))</x:f>
      </x:c>
      <x:c r="DO352" s="4" t="str">
        <x:f>IF(OR('Calculations'!DE352="",'Calculations'!DG352=0),"",('Calculations'!DJ352+'Calculations'!DK352)/'Calculations'!DG352)</x:f>
      </x:c>
      <x:c r="DP352" s="4" t="n">
        <x:f>IF(AND('Calculations'!DE352&lt;&gt;"",'Calculations'!DF352&gt;0),COUNTIF('Calculations'!$DF$12:DF352,"&gt;0"),0)</x:f>
        <x:v>0</x:v>
      </x:c>
      <x:c r="DQ352" s="4" t="str">
        <x:f>IF(341&gt;MAX('Calculations'!$HH$13:$HH$512),"",INDEX('Calculations'!$HF$13:$HF$512,MATCH(341,'Calculations'!$HH$13:$HH$512,0)))</x:f>
      </x:c>
      <x:c r="DR352" s="4" t="str">
        <x:f>IF(341&gt;MAX('Calculations'!$IK$13:$IK$512),"",INDEX('Calculations'!$HE$13:$HE$512,MATCH(341,'Calculations'!$IK$13:$IK$512,0)))</x:f>
      </x:c>
      <x:c r="DS352" s="4"/>
      <x:c r="DT352" s="4"/>
      <x:c r="DU352" s="4"/>
      <x:c r="DV352" s="4"/>
      <x:c r="DW352" s="4"/>
      <x:c r="DX352" s="4"/>
      <x:c r="DY352" s="4"/>
      <x:c r="DZ352" s="4"/>
      <x:c r="EA352" s="4"/>
      <x:c r="EB352" s="4"/>
      <x:c r="EC352" s="4"/>
      <x:c r="ED352" s="4"/>
      <x:c r="EE352" s="4" t="str">
        <x:f>IF('Calculations'!BT352=0,"Not Rated",IF(OR('Calculations'!BO352&gt;=4,'Calculations'!BP352&gt;=4),"Low",IF('Calculations'!BO352+'Calculations'!BP352&lt;=3,"High",IF('Calculations'!BO352+'Calculations'!BP352&lt;=4,"Strong","Solid"))))</x:f>
        <x:v>Not Rated</x:v>
      </x:c>
      <x:c r="EF352" s="4"/>
      <x:c r="EG352" s="4"/>
      <x:c r="EH352" s="4"/>
      <x:c r="EI352" s="4"/>
      <x:c r="EJ352" s="4"/>
      <x:c r="EK352" s="4"/>
      <x:c r="EL352" s="4"/>
      <x:c r="EM352" s="4" t="str">
        <x:f>IF(340&gt;'Calculations'!$JB$2000,"",INDEX('Calculations'!$JA$12:$JA$2000,MATCH(340,'Calculations'!$JB$12:$JB$2000,0)))</x:f>
      </x:c>
      <x:c r="EN352" s="4" t="n">
        <x:f>IF(OR('Calculations'!EM352="",'Calculations'!$AG$8&gt;0,AND('Calculations'!$EF$2&lt;&gt;"All",'Calculations'!HE352='Calculations'!$EF$2),AND('Calculations'!$EF$3&lt;&gt;"All",'Calculations'!HE352='Calculations'!$EF$3)),0,IF(OR('Dashboard'!$B$7="All",'Calculations'!HN352='Dashboard'!$B$7),IF('Calculations'!$EF$2="All",1,IF('Calculations'!HL352&gt;0,0,IF(COUNTIF('Calculations'!HO352:II352,"="&amp;SUBSTITUTE(SUBSTITUTE(SUBSTITUTE('Calculations'!$EF$2,"~","~~"),"*","~*"),"?","~?"))=0,0,IF('Calculations'!$EF$3="All",1,IF(COUNTIF('Calculations'!HO352:II352,"="&amp;SUBSTITUTE(SUBSTITUTE(SUBSTITUTE('Calculations'!$EF$3,"~","~~"),"*","~*"),"?","~?"))&gt;0,1,0))))),0))</x:f>
        <x:v>0</x:v>
      </x:c>
      <x:c r="EO352" s="4" t="str">
        <x:f>IF('Calculations'!IJ352="","",IF('Calculations'!IJ352="!UNRESOLVED","Unresolved hierarchy",IFERROR(INDEX('Calculations'!$HK$13:$HK$512,MATCH('Calculations'!IJ352,'Calculations'!$HE$13:$HE$512,0)),IFERROR(INDEX('Calculations'!$HJ$13:$HJ$512,MATCH('Calculations'!IJ352,'Calculations'!$HF$13:$HF$512,0)),'Calculations'!IJ352))))</x:f>
      </x:c>
      <x:c r="EP352" s="4" t="n">
        <x:f>IF(AND('Calculations'!EM352&lt;&gt;"",'Calculations'!HF352='Calculations'!IJ352),1,0)</x:f>
        <x:v>0</x:v>
      </x:c>
      <x:c r="EQ352" s="4"/>
      <x:c r="ER352" s="4"/>
      <x:c r="ES352" s="4"/>
      <x:c r="ET352" s="4"/>
      <x:c r="EU352" s="4"/>
      <x:c r="EV352" s="4"/>
      <x:c r="EW352" s="4"/>
      <x:c r="EX352" s="4"/>
      <x:c r="EY352" s="4"/>
      <x:c r="EZ352" s="4"/>
      <x:c r="FA352" s="4"/>
      <x:c r="FB352" s="4"/>
      <x:c r="FC352" s="4"/>
      <x:c r="FD352" s="4"/>
      <x:c r="FE352" s="4"/>
      <x:c r="FF352" s="4"/>
      <x:c r="FG352" s="4"/>
      <x:c r="FH352" s="4"/>
      <x:c r="FI352" s="4"/>
      <x:c r="FJ352" s="4"/>
      <x:c r="FK352" s="4"/>
      <x:c r="FL352" s="4"/>
      <x:c r="FM352" s="4"/>
      <x:c r="FN352" s="4"/>
      <x:c r="FO352" s="4"/>
      <x:c r="HE352" t="str">
        <x:f>IF('Calculations'!EM352="","",IF(IFERROR(IF(INDEX(INDIRECT("'WCM Calibration Final'!$A$1:$A$2000"),'Calculations'!$EM352)="","",TRIM(INDEX(INDIRECT("'WCM Calibration Final'!$A$1:$A$2000"),'Calculations'!$EM352)&amp;"")),"")&lt;&gt;"","G:"&amp;IFERROR(TEXT(1*INDEX(INDIRECT("'WCM Calibration Final'!$A$1:$A$2000"),'Calculations'!$EM352),"0"),UPPER(IFERROR(IF(INDEX(INDIRECT("'WCM Calibration Final'!$A$1:$A$2000"),'Calculations'!$EM352)="","",TRIM(INDEX(INDIRECT("'WCM Calibration Final'!$A$1:$A$2000"),'Calculations'!$EM352)&amp;"")),""))),IF(IFERROR(IF(INDEX(INDIRECT("'WCM Calibration Final'!$C$1:$C$2000"),'Calculations'!$EM352)="","",TRIM(INDEX(INDIRECT("'WCM Calibration Final'!$C$1:$C$2000"),'Calculations'!$EM352)&amp;"")),"")&lt;&gt;"","S:"&amp;UPPER(IFERROR(IF(INDEX(INDIRECT("'WCM Calibration Final'!$C$1:$C$2000"),'Calculations'!$EM352)="","",TRIM(INDEX(INDIRECT("'WCM Calibration Final'!$C$1:$C$2000"),'Calculations'!$EM352)&amp;"")),"")),"R:"&amp;'Calculations'!EM352)))</x:f>
      </x:c>
      <x:c r="HF352" t="str">
        <x:f>IF('Calculations'!EM352="","",IF(IFERROR(IF(INDEX(INDIRECT("'WCM Calibration Final'!$D$1:$D$2000"),'Calculations'!$EM352)="","",TRIM(INDEX(INDIRECT("'WCM Calibration Final'!$D$1:$D$2000"),'Calculations'!$EM352)&amp;"")),"")&lt;&gt;"","G:"&amp;IFERROR(TEXT(1*INDEX(INDIRECT("'WCM Calibration Final'!$D$1:$D$2000"),'Calculations'!$EM352),"0"),UPPER(IFERROR(IF(INDEX(INDIRECT("'WCM Calibration Final'!$D$1:$D$2000"),'Calculations'!$EM352)="","",TRIM(INDEX(INDIRECT("'WCM Calibration Final'!$D$1:$D$2000"),'Calculations'!$EM352)&amp;"")),""))),IF(IFERROR(IF(INDEX(INDIRECT("'WCM Calibration Final'!$E$1:$E$2000"),'Calculations'!$EM352)="","",TRIM(INDEX(INDIRECT("'WCM Calibration Final'!$E$1:$E$2000"),'Calculations'!$EM352)&amp;"")),"")="","",IF(COUNTIF('Calculations'!$HG$13:$HG$512,"="&amp;SUBSTITUTE(SUBSTITUTE(SUBSTITUTE(IFERROR(IF(INDEX(INDIRECT("'WCM Calibration Final'!$E$1:$E$2000"),'Calculations'!$EM352)="","",TRIM(INDEX(INDIRECT("'WCM Calibration Final'!$E$1:$E$2000"),'Calculations'!$EM352)&amp;"")),""),"~","~~"),"*","~*"),"?","~?"))=1,INDEX('Calculations'!$HE$13:$HE$512,MATCH(IFERROR(IF(INDEX(INDIRECT("'WCM Calibration Final'!$E$1:$E$2000"),'Calculations'!$EM352)="","",TRIM(INDEX(INDIRECT("'WCM Calibration Final'!$E$1:$E$2000"),'Calculations'!$EM352)&amp;"")),""),'Calculations'!$HG$13:$HG$512,0)),IF(COUNTIF('Calculations'!$HG$13:$HG$512,"="&amp;SUBSTITUTE(SUBSTITUTE(SUBSTITUTE(IFERROR(IF(INDEX(INDIRECT("'WCM Calibration Final'!$E$1:$E$2000"),'Calculations'!$EM352)="","",TRIM(INDEX(INDIRECT("'WCM Calibration Final'!$E$1:$E$2000"),'Calculations'!$EM352)&amp;"")),""),"~","~~"),"*","~*"),"?","~?"))&gt;1,"!AMBIG","X:"&amp;IFERROR(IF(INDEX(INDIRECT("'WCM Calibration Final'!$E$1:$E$2000"),'Calculations'!$EM352)="","",TRIM(INDEX(INDIRECT("'WCM Calibration Final'!$E$1:$E$2000"),'Calculations'!$EM352)&amp;"")),""))))))</x:f>
      </x:c>
      <x:c r="HG352" t="str">
        <x:f>IF('Calculations'!EM352="","",IFERROR(IF(INDEX(INDIRECT("'WCM Calibration Final'!$B$1:$B$2000"),'Calculations'!$EM352)="","",TRIM(INDEX(INDIRECT("'WCM Calibration Final'!$B$1:$B$2000"),'Calculations'!$EM352)&amp;"")),""))</x:f>
      </x:c>
      <x:c r="HH352" t="n">
        <x:f>IF(AND('Calculations'!JC352&gt;0,COUNTIF('Calculations'!$HF$12:HF352,"="&amp;SUBSTITUTE(SUBSTITUTE(SUBSTITUTE('Calculations'!HF352,"~","~~"),"*","~*"),"?","~?"))=1),MAX('Calculations'!$HH$12:HH351)+1,0)</x:f>
        <x:v>0</x:v>
      </x:c>
      <x:c r="HI352" t="n">
        <x:f>IF(AND('Calculations'!HN352&lt;&gt;"",COUNTIF('Calculations'!$HN$12:HN352,"="&amp;SUBSTITUTE(SUBSTITUTE(SUBSTITUTE('Calculations'!HN352,"~","~~"),"*","~*"),"?","~?"))=1),MAX('Calculations'!$HI$12:HI351)+1,0)</x:f>
        <x:v>0</x:v>
      </x:c>
      <x:c r="HJ352" t="str">
        <x:f>IF('Calculations'!HF352="","",IF(COUNTIF('Calculations'!$HE$13:$HE$512,"="&amp;SUBSTITUTE(SUBSTITUTE(SUBSTITUTE('Calculations'!HF352,"~","~~"),"*","~*"),"?","~?"))=1,INDEX('Calculations'!$HK$13:$HK$512,MATCH('Calculations'!HF352,'Calculations'!$HE$13:$HE$512,0)),IFERROR(IF(INDEX(INDIRECT("'WCM Calibration Final'!$E$1:$E$2000"),'Calculations'!$EM352)="","",TRIM(INDEX(INDIRECT("'WCM Calibration Final'!$E$1:$E$2000"),'Calculations'!$EM352)&amp;"")),"")&amp;" ["&amp;'Calculations'!HF352&amp;"]"))</x:f>
      </x:c>
      <x:c r="HK352" t="str">
        <x:f>IF('Calculations'!EM352="","",'Calculations'!HG352&amp;" ["&amp;'Calculations'!HE352&amp;"]")</x:f>
      </x:c>
      <x:c r="HL352" t="n">
        <x:f>IF('Calculations'!EM352="",0,IF(OR('Calculations'!II352&lt;&gt;"",COUNTIF('Calculations'!$HE$13:$HE$512,"="&amp;SUBSTITUTE(SUBSTITUTE(SUBSTITUTE('Calculations'!HE352,"~","~~"),"*","~*"),"?","~?"))&gt;1),1,0))</x:f>
        <x:v>0</x:v>
      </x:c>
      <x:c r="HM352" t="str">
        <x:f>IF('Calculations'!EM352="","",IF('Calculations'!HL352=1,"!UNRESOLVED",IF('Calculations'!IH352&lt;&gt;"",'Calculations'!IH352,IF('Calculations'!IG352&lt;&gt;"",'Calculations'!IG352,IF('Calculations'!IF352&lt;&gt;"",'Calculations'!IF352,IF('Calculations'!IE352&lt;&gt;"",'Calculations'!IE352,IF('Calculations'!ID352&lt;&gt;"",'Calculations'!ID352,IF('Calculations'!IC352&lt;&gt;"",'Calculations'!IC352,IF('Calculations'!IB352&lt;&gt;"",'Calculations'!IB352,IF('Calculations'!IA352&lt;&gt;"",'Calculations'!IA352,IF('Calculations'!HZ352&lt;&gt;"",'Calculations'!HZ352,IF('Calculations'!HY352&lt;&gt;"",'Calculations'!HY352,IF('Calculations'!HX352&lt;&gt;"",'Calculations'!HX352,IF('Calculations'!HW352&lt;&gt;"",'Calculations'!HW352,IF('Calculations'!HV352&lt;&gt;"",'Calculations'!HV352,IF('Calculations'!HU352&lt;&gt;"",'Calculations'!HU352,IF('Calculations'!HT352&lt;&gt;"",'Calculations'!HT352,IF('Calculations'!HS352&lt;&gt;"",'Calculations'!HS352,IF('Calculations'!HR352&lt;&gt;"",'Calculations'!HR352,IF('Calculations'!HQ352&lt;&gt;"",'Calculations'!HQ352,IF('Calculations'!HP352&lt;&gt;"",'Calculations'!HP352,IF('Calculations'!HO352&lt;&gt;"",'Calculations'!HO352,'Calculations'!HE352))))))))))))))))))))))</x:f>
      </x:c>
      <x:c r="HN352" t="str">
        <x:f>IF('Calculations'!EM352="","",IF(IFERROR(IF(INDEX(INDIRECT("'WCM Calibration Final'!$F$1:$F$2000"),'Calculations'!$EM352)="","",TRIM(INDEX(INDIRECT("'WCM Calibration Final'!$F$1:$F$2000"),'Calculations'!$EM352)&amp;"")),"")="","(Blank)",IFERROR(IF(INDEX(INDIRECT("'WCM Calibration Final'!$F$1:$F$2000"),'Calculations'!$EM352)="","",TRIM(INDEX(INDIRECT("'WCM Calibration Final'!$F$1:$F$2000"),'Calculations'!$EM352)&amp;"")),"")))</x:f>
      </x:c>
      <x:c r="HO352" t="str">
        <x:f>'Calculations'!HF352</x:f>
      </x:c>
      <x:c r="HP352" t="str">
        <x:f>IF('Calculations'!HO352="","",IF('Calculations'!HO352="!AMBIG","!AMBIG",IF(COUNTIF('Calculations'!$HE$13:$HE$512,"="&amp;SUBSTITUTE(SUBSTITUTE(SUBSTITUTE('Calculations'!HO352,"~","~~"),"*","~*"),"?","~?"))&gt;1,"!AMBIG",IFERROR(INDEX('Calculations'!$HF$13:$HF$512,MATCH('Calculations'!HO352,'Calculations'!$HE$13:$HE$512,0)),""))))</x:f>
      </x:c>
      <x:c r="HQ352" t="str">
        <x:f>IF('Calculations'!HP352="","",IF('Calculations'!HP352="!AMBIG","!AMBIG",IF(COUNTIF('Calculations'!$HE$13:$HE$512,"="&amp;SUBSTITUTE(SUBSTITUTE(SUBSTITUTE('Calculations'!HP352,"~","~~"),"*","~*"),"?","~?"))&gt;1,"!AMBIG",IFERROR(INDEX('Calculations'!$HF$13:$HF$512,MATCH('Calculations'!HP352,'Calculations'!$HE$13:$HE$512,0)),""))))</x:f>
      </x:c>
      <x:c r="HR352" t="str">
        <x:f>IF('Calculations'!HQ352="","",IF('Calculations'!HQ352="!AMBIG","!AMBIG",IF(COUNTIF('Calculations'!$HE$13:$HE$512,"="&amp;SUBSTITUTE(SUBSTITUTE(SUBSTITUTE('Calculations'!HQ352,"~","~~"),"*","~*"),"?","~?"))&gt;1,"!AMBIG",IFERROR(INDEX('Calculations'!$HF$13:$HF$512,MATCH('Calculations'!HQ352,'Calculations'!$HE$13:$HE$512,0)),""))))</x:f>
      </x:c>
      <x:c r="HS352" t="str">
        <x:f>IF('Calculations'!HR352="","",IF('Calculations'!HR352="!AMBIG","!AMBIG",IF(COUNTIF('Calculations'!$HE$13:$HE$512,"="&amp;SUBSTITUTE(SUBSTITUTE(SUBSTITUTE('Calculations'!HR352,"~","~~"),"*","~*"),"?","~?"))&gt;1,"!AMBIG",IFERROR(INDEX('Calculations'!$HF$13:$HF$512,MATCH('Calculations'!HR352,'Calculations'!$HE$13:$HE$512,0)),""))))</x:f>
      </x:c>
      <x:c r="HT352" t="str">
        <x:f>IF('Calculations'!HS352="","",IF('Calculations'!HS352="!AMBIG","!AMBIG",IF(COUNTIF('Calculations'!$HE$13:$HE$512,"="&amp;SUBSTITUTE(SUBSTITUTE(SUBSTITUTE('Calculations'!HS352,"~","~~"),"*","~*"),"?","~?"))&gt;1,"!AMBIG",IFERROR(INDEX('Calculations'!$HF$13:$HF$512,MATCH('Calculations'!HS352,'Calculations'!$HE$13:$HE$512,0)),""))))</x:f>
      </x:c>
      <x:c r="HU352" t="str">
        <x:f>IF('Calculations'!HT352="","",IF('Calculations'!HT352="!AMBIG","!AMBIG",IF(COUNTIF('Calculations'!$HE$13:$HE$512,"="&amp;SUBSTITUTE(SUBSTITUTE(SUBSTITUTE('Calculations'!HT352,"~","~~"),"*","~*"),"?","~?"))&gt;1,"!AMBIG",IFERROR(INDEX('Calculations'!$HF$13:$HF$512,MATCH('Calculations'!HT352,'Calculations'!$HE$13:$HE$512,0)),""))))</x:f>
      </x:c>
      <x:c r="HV352" t="str">
        <x:f>IF('Calculations'!HU352="","",IF('Calculations'!HU352="!AMBIG","!AMBIG",IF(COUNTIF('Calculations'!$HE$13:$HE$512,"="&amp;SUBSTITUTE(SUBSTITUTE(SUBSTITUTE('Calculations'!HU352,"~","~~"),"*","~*"),"?","~?"))&gt;1,"!AMBIG",IFERROR(INDEX('Calculations'!$HF$13:$HF$512,MATCH('Calculations'!HU352,'Calculations'!$HE$13:$HE$512,0)),""))))</x:f>
      </x:c>
      <x:c r="HW352" t="str">
        <x:f>IF('Calculations'!HV352="","",IF('Calculations'!HV352="!AMBIG","!AMBIG",IF(COUNTIF('Calculations'!$HE$13:$HE$512,"="&amp;SUBSTITUTE(SUBSTITUTE(SUBSTITUTE('Calculations'!HV352,"~","~~"),"*","~*"),"?","~?"))&gt;1,"!AMBIG",IFERROR(INDEX('Calculations'!$HF$13:$HF$512,MATCH('Calculations'!HV352,'Calculations'!$HE$13:$HE$512,0)),""))))</x:f>
      </x:c>
      <x:c r="HX352" t="str">
        <x:f>IF('Calculations'!HW352="","",IF('Calculations'!HW352="!AMBIG","!AMBIG",IF(COUNTIF('Calculations'!$HE$13:$HE$512,"="&amp;SUBSTITUTE(SUBSTITUTE(SUBSTITUTE('Calculations'!HW352,"~","~~"),"*","~*"),"?","~?"))&gt;1,"!AMBIG",IFERROR(INDEX('Calculations'!$HF$13:$HF$512,MATCH('Calculations'!HW352,'Calculations'!$HE$13:$HE$512,0)),""))))</x:f>
      </x:c>
      <x:c r="HY352" t="str">
        <x:f>IF('Calculations'!HX352="","",IF('Calculations'!HX352="!AMBIG","!AMBIG",IF(COUNTIF('Calculations'!$HE$13:$HE$512,"="&amp;SUBSTITUTE(SUBSTITUTE(SUBSTITUTE('Calculations'!HX352,"~","~~"),"*","~*"),"?","~?"))&gt;1,"!AMBIG",IFERROR(INDEX('Calculations'!$HF$13:$HF$512,MATCH('Calculations'!HX352,'Calculations'!$HE$13:$HE$512,0)),""))))</x:f>
      </x:c>
      <x:c r="HZ352" t="str">
        <x:f>IF('Calculations'!HY352="","",IF('Calculations'!HY352="!AMBIG","!AMBIG",IF(COUNTIF('Calculations'!$HE$13:$HE$512,"="&amp;SUBSTITUTE(SUBSTITUTE(SUBSTITUTE('Calculations'!HY352,"~","~~"),"*","~*"),"?","~?"))&gt;1,"!AMBIG",IFERROR(INDEX('Calculations'!$HF$13:$HF$512,MATCH('Calculations'!HY352,'Calculations'!$HE$13:$HE$512,0)),""))))</x:f>
      </x:c>
      <x:c r="IA352" t="str">
        <x:f>IF('Calculations'!HZ352="","",IF('Calculations'!HZ352="!AMBIG","!AMBIG",IF(COUNTIF('Calculations'!$HE$13:$HE$512,"="&amp;SUBSTITUTE(SUBSTITUTE(SUBSTITUTE('Calculations'!HZ352,"~","~~"),"*","~*"),"?","~?"))&gt;1,"!AMBIG",IFERROR(INDEX('Calculations'!$HF$13:$HF$512,MATCH('Calculations'!HZ352,'Calculations'!$HE$13:$HE$512,0)),""))))</x:f>
      </x:c>
      <x:c r="IB352" t="str">
        <x:f>IF('Calculations'!IA352="","",IF('Calculations'!IA352="!AMBIG","!AMBIG",IF(COUNTIF('Calculations'!$HE$13:$HE$512,"="&amp;SUBSTITUTE(SUBSTITUTE(SUBSTITUTE('Calculations'!IA352,"~","~~"),"*","~*"),"?","~?"))&gt;1,"!AMBIG",IFERROR(INDEX('Calculations'!$HF$13:$HF$512,MATCH('Calculations'!IA352,'Calculations'!$HE$13:$HE$512,0)),""))))</x:f>
      </x:c>
      <x:c r="IC352" t="str">
        <x:f>IF('Calculations'!IB352="","",IF('Calculations'!IB352="!AMBIG","!AMBIG",IF(COUNTIF('Calculations'!$HE$13:$HE$512,"="&amp;SUBSTITUTE(SUBSTITUTE(SUBSTITUTE('Calculations'!IB352,"~","~~"),"*","~*"),"?","~?"))&gt;1,"!AMBIG",IFERROR(INDEX('Calculations'!$HF$13:$HF$512,MATCH('Calculations'!IB352,'Calculations'!$HE$13:$HE$512,0)),""))))</x:f>
      </x:c>
      <x:c r="ID352" t="str">
        <x:f>IF('Calculations'!IC352="","",IF('Calculations'!IC352="!AMBIG","!AMBIG",IF(COUNTIF('Calculations'!$HE$13:$HE$512,"="&amp;SUBSTITUTE(SUBSTITUTE(SUBSTITUTE('Calculations'!IC352,"~","~~"),"*","~*"),"?","~?"))&gt;1,"!AMBIG",IFERROR(INDEX('Calculations'!$HF$13:$HF$512,MATCH('Calculations'!IC352,'Calculations'!$HE$13:$HE$512,0)),""))))</x:f>
      </x:c>
      <x:c r="IE352" t="str">
        <x:f>IF('Calculations'!ID352="","",IF('Calculations'!ID352="!AMBIG","!AMBIG",IF(COUNTIF('Calculations'!$HE$13:$HE$512,"="&amp;SUBSTITUTE(SUBSTITUTE(SUBSTITUTE('Calculations'!ID352,"~","~~"),"*","~*"),"?","~?"))&gt;1,"!AMBIG",IFERROR(INDEX('Calculations'!$HF$13:$HF$512,MATCH('Calculations'!ID352,'Calculations'!$HE$13:$HE$512,0)),""))))</x:f>
      </x:c>
      <x:c r="IF352" t="str">
        <x:f>IF('Calculations'!IE352="","",IF('Calculations'!IE352="!AMBIG","!AMBIG",IF(COUNTIF('Calculations'!$HE$13:$HE$512,"="&amp;SUBSTITUTE(SUBSTITUTE(SUBSTITUTE('Calculations'!IE352,"~","~~"),"*","~*"),"?","~?"))&gt;1,"!AMBIG",IFERROR(INDEX('Calculations'!$HF$13:$HF$512,MATCH('Calculations'!IE352,'Calculations'!$HE$13:$HE$512,0)),""))))</x:f>
      </x:c>
      <x:c r="IG352" t="str">
        <x:f>IF('Calculations'!IF352="","",IF('Calculations'!IF352="!AMBIG","!AMBIG",IF(COUNTIF('Calculations'!$HE$13:$HE$512,"="&amp;SUBSTITUTE(SUBSTITUTE(SUBSTITUTE('Calculations'!IF352,"~","~~"),"*","~*"),"?","~?"))&gt;1,"!AMBIG",IFERROR(INDEX('Calculations'!$HF$13:$HF$512,MATCH('Calculations'!IF352,'Calculations'!$HE$13:$HE$512,0)),""))))</x:f>
      </x:c>
      <x:c r="IH352" t="str">
        <x:f>IF('Calculations'!IG352="","",IF('Calculations'!IG352="!AMBIG","!AMBIG",IF(COUNTIF('Calculations'!$HE$13:$HE$512,"="&amp;SUBSTITUTE(SUBSTITUTE(SUBSTITUTE('Calculations'!IG352,"~","~~"),"*","~*"),"?","~?"))&gt;1,"!AMBIG",IFERROR(INDEX('Calculations'!$HF$13:$HF$512,MATCH('Calculations'!IG352,'Calculations'!$HE$13:$HE$512,0)),""))))</x:f>
      </x:c>
      <x:c r="II352" t="str">
        <x:f>IF('Calculations'!IH352="","",IF('Calculations'!IH352="!AMBIG","!AMBIG",IF(COUNTIF('Calculations'!$HE$13:$HE$512,"="&amp;SUBSTITUTE(SUBSTITUTE(SUBSTITUTE('Calculations'!IH352,"~","~~"),"*","~*"),"?","~?"))&gt;1,"!AMBIG",IFERROR(INDEX('Calculations'!$HF$13:$HF$512,MATCH('Calculations'!IH352,'Calculations'!$HE$13:$HE$512,0)),""))))</x:f>
      </x:c>
      <x:c r="IJ352" t="str">
        <x:f>IF('Calculations'!EM352="","",IF('Calculations'!$EF$2="All",'Calculations'!HM352,IF('Calculations'!HL352=1,"",IFERROR(IF(MATCH('Calculations'!$EF$2,'Calculations'!HO352:II352,0)=1,'Calculations'!HE352,INDEX('Calculations'!HO352:II352,1,MATCH('Calculations'!$EF$2,'Calculations'!HO352:II352,0)-1)),""))))</x:f>
      </x:c>
      <x:c r="IK352" t="n">
        <x:f>IF(AND('Calculations'!EM352&lt;&gt;"",'Calculations'!$EF$2&lt;&gt;"All",'Calculations'!HF352='Calculations'!$EF$2,'Calculations'!HL352=0,'Calculations'!JD352&gt;0),MAX('Calculations'!$IK$12:IK351)+1,0)</x:f>
        <x:v>0</x:v>
      </x:c>
      <x:c r="JA352" t="n">
        <x:f>IF(OR(IFERROR(INDIRECT("'WCM Calibration Final'!$A$352")&lt;&gt;"",FALSE),IFERROR(INDIRECT("'WCM Calibration Final'!$B$352")&lt;&gt;"",FALSE),IFERROR(INDIRECT("'WCM Calibration Final'!$C$352")&lt;&gt;"",FALSE)),352,0)</x:f>
        <x:v>0</x:v>
      </x:c>
      <x:c r="JB352" t="n">
        <x:f>'Calculations'!JB351+IF('Calculations'!JA352&gt;0,1,0)</x:f>
        <x:v>0</x:v>
      </x:c>
      <x:c r="JC352" t="n">
        <x:f>IF(OR('Calculations'!HF352="",'Calculations'!HF352="!AMBIG"),0,IF('Dashboard'!$B$7="All",1,COUNTIFS('Calculations'!$HO$13:$HO$512,"="&amp;SUBSTITUTE(SUBSTITUTE(SUBSTITUTE('Calculations'!HF352,"~","~~"),"*","~*"),"?","~?"),'Calculations'!$HN$13:$HN$512,"="&amp;SUBSTITUTE(SUBSTITUTE(SUBSTITUTE('Dashboard'!$B$7,"~","~~"),"*","~*"),"?","~?"))+COUNTIFS('Calculations'!$HP$13:$HP$512,"="&amp;SUBSTITUTE(SUBSTITUTE(SUBSTITUTE('Calculations'!HF352,"~","~~"),"*","~*"),"?","~?"),'Calculations'!$HN$13:$HN$512,"="&amp;SUBSTITUTE(SUBSTITUTE(SUBSTITUTE('Dashboard'!$B$7,"~","~~"),"*","~*"),"?","~?"))+COUNTIFS('Calculations'!$HQ$13:$HQ$512,"="&amp;SUBSTITUTE(SUBSTITUTE(SUBSTITUTE('Calculations'!HF352,"~","~~"),"*","~*"),"?","~?"),'Calculations'!$HN$13:$HN$512,"="&amp;SUBSTITUTE(SUBSTITUTE(SUBSTITUTE('Dashboard'!$B$7,"~","~~"),"*","~*"),"?","~?"))+COUNTIFS('Calculations'!$HR$13:$HR$512,"="&amp;SUBSTITUTE(SUBSTITUTE(SUBSTITUTE('Calculations'!HF352,"~","~~"),"*","~*"),"?","~?"),'Calculations'!$HN$13:$HN$512,"="&amp;SUBSTITUTE(SUBSTITUTE(SUBSTITUTE('Dashboard'!$B$7,"~","~~"),"*","~*"),"?","~?"))+COUNTIFS('Calculations'!$HS$13:$HS$512,"="&amp;SUBSTITUTE(SUBSTITUTE(SUBSTITUTE('Calculations'!HF352,"~","~~"),"*","~*"),"?","~?"),'Calculations'!$HN$13:$HN$512,"="&amp;SUBSTITUTE(SUBSTITUTE(SUBSTITUTE('Dashboard'!$B$7,"~","~~"),"*","~*"),"?","~?"))+COUNTIFS('Calculations'!$HT$13:$HT$512,"="&amp;SUBSTITUTE(SUBSTITUTE(SUBSTITUTE('Calculations'!HF352,"~","~~"),"*","~*"),"?","~?"),'Calculations'!$HN$13:$HN$512,"="&amp;SUBSTITUTE(SUBSTITUTE(SUBSTITUTE('Dashboard'!$B$7,"~","~~"),"*","~*"),"?","~?"))+COUNTIFS('Calculations'!$HU$13:$HU$512,"="&amp;SUBSTITUTE(SUBSTITUTE(SUBSTITUTE('Calculations'!HF352,"~","~~"),"*","~*"),"?","~?"),'Calculations'!$HN$13:$HN$512,"="&amp;SUBSTITUTE(SUBSTITUTE(SUBSTITUTE('Dashboard'!$B$7,"~","~~"),"*","~*"),"?","~?"))+COUNTIFS('Calculations'!$HV$13:$HV$512,"="&amp;SUBSTITUTE(SUBSTITUTE(SUBSTITUTE('Calculations'!HF352,"~","~~"),"*","~*"),"?","~?"),'Calculations'!$HN$13:$HN$512,"="&amp;SUBSTITUTE(SUBSTITUTE(SUBSTITUTE('Dashboard'!$B$7,"~","~~"),"*","~*"),"?","~?"))+COUNTIFS('Calculations'!$HW$13:$HW$512,"="&amp;SUBSTITUTE(SUBSTITUTE(SUBSTITUTE('Calculations'!HF352,"~","~~"),"*","~*"),"?","~?"),'Calculations'!$HN$13:$HN$512,"="&amp;SUBSTITUTE(SUBSTITUTE(SUBSTITUTE('Dashboard'!$B$7,"~","~~"),"*","~*"),"?","~?"))+COUNTIFS('Calculations'!$HX$13:$HX$512,"="&amp;SUBSTITUTE(SUBSTITUTE(SUBSTITUTE('Calculations'!HF352,"~","~~"),"*","~*"),"?","~?"),'Calculations'!$HN$13:$HN$512,"="&amp;SUBSTITUTE(SUBSTITUTE(SUBSTITUTE('Dashboard'!$B$7,"~","~~"),"*","~*"),"?","~?"))+COUNTIFS('Calculations'!$HY$13:$HY$512,"="&amp;SUBSTITUTE(SUBSTITUTE(SUBSTITUTE('Calculations'!HF352,"~","~~"),"*","~*"),"?","~?"),'Calculations'!$HN$13:$HN$512,"="&amp;SUBSTITUTE(SUBSTITUTE(SUBSTITUTE('Dashboard'!$B$7,"~","~~"),"*","~*"),"?","~?"))+COUNTIFS('Calculations'!$HZ$13:$HZ$512,"="&amp;SUBSTITUTE(SUBSTITUTE(SUBSTITUTE('Calculations'!HF352,"~","~~"),"*","~*"),"?","~?"),'Calculations'!$HN$13:$HN$512,"="&amp;SUBSTITUTE(SUBSTITUTE(SUBSTITUTE('Dashboard'!$B$7,"~","~~"),"*","~*"),"?","~?"))+COUNTIFS('Calculations'!$IA$13:$IA$512,"="&amp;SUBSTITUTE(SUBSTITUTE(SUBSTITUTE('Calculations'!HF352,"~","~~"),"*","~*"),"?","~?"),'Calculations'!$HN$13:$HN$512,"="&amp;SUBSTITUTE(SUBSTITUTE(SUBSTITUTE('Dashboard'!$B$7,"~","~~"),"*","~*"),"?","~?"))+COUNTIFS('Calculations'!$IB$13:$IB$512,"="&amp;SUBSTITUTE(SUBSTITUTE(SUBSTITUTE('Calculations'!HF352,"~","~~"),"*","~*"),"?","~?"),'Calculations'!$HN$13:$HN$512,"="&amp;SUBSTITUTE(SUBSTITUTE(SUBSTITUTE('Dashboard'!$B$7,"~","~~"),"*","~*"),"?","~?"))+COUNTIFS('Calculations'!$IC$13:$IC$512,"="&amp;SUBSTITUTE(SUBSTITUTE(SUBSTITUTE('Calculations'!HF352,"~","~~"),"*","~*"),"?","~?"),'Calculations'!$HN$13:$HN$512,"="&amp;SUBSTITUTE(SUBSTITUTE(SUBSTITUTE('Dashboard'!$B$7,"~","~~"),"*","~*"),"?","~?"))+COUNTIFS('Calculations'!$ID$13:$ID$512,"="&amp;SUBSTITUTE(SUBSTITUTE(SUBSTITUTE('Calculations'!HF352,"~","~~"),"*","~*"),"?","~?"),'Calculations'!$HN$13:$HN$512,"="&amp;SUBSTITUTE(SUBSTITUTE(SUBSTITUTE('Dashboard'!$B$7,"~","~~"),"*","~*"),"?","~?"))+COUNTIFS('Calculations'!$IE$13:$IE$512,"="&amp;SUBSTITUTE(SUBSTITUTE(SUBSTITUTE('Calculations'!HF352,"~","~~"),"*","~*"),"?","~?"),'Calculations'!$HN$13:$HN$512,"="&amp;SUBSTITUTE(SUBSTITUTE(SUBSTITUTE('Dashboard'!$B$7,"~","~~"),"*","~*"),"?","~?"))+COUNTIFS('Calculations'!$IF$13:$IF$512,"="&amp;SUBSTITUTE(SUBSTITUTE(SUBSTITUTE('Calculations'!HF352,"~","~~"),"*","~*"),"?","~?"),'Calculations'!$HN$13:$HN$512,"="&amp;SUBSTITUTE(SUBSTITUTE(SUBSTITUTE('Dashboard'!$B$7,"~","~~"),"*","~*"),"?","~?"))+COUNTIFS('Calculations'!$IG$13:$IG$512,"="&amp;SUBSTITUTE(SUBSTITUTE(SUBSTITUTE('Calculations'!HF352,"~","~~"),"*","~*"),"?","~?"),'Calculations'!$HN$13:$HN$512,"="&amp;SUBSTITUTE(SUBSTITUTE(SUBSTITUTE('Dashboard'!$B$7,"~","~~"),"*","~*"),"?","~?"))+COUNTIFS('Calculations'!$IH$13:$IH$512,"="&amp;SUBSTITUTE(SUBSTITUTE(SUBSTITUTE('Calculations'!HF352,"~","~~"),"*","~*"),"?","~?"),'Calculations'!$HN$13:$HN$512,"="&amp;SUBSTITUTE(SUBSTITUTE(SUBSTITUTE('Dashboard'!$B$7,"~","~~"),"*","~*"),"?","~?"))))</x:f>
        <x:v>0</x:v>
      </x:c>
      <x:c r="JD352" t="n">
        <x:f>IF('Calculations'!EM352="",0,IF('Dashboard'!$B$7="All",1,IF('Calculations'!HN352='Dashboard'!$B$7,1,0)+IFERROR(INDEX('Calculations'!$JC$13:$JC$512,MATCH('Calculations'!HE352,'Calculations'!$HF$13:$HF$512,0)),0)))</x:f>
        <x:v>0</x:v>
      </x:c>
      <x:c r="JE352" t="n">
        <x:f>IF(AND('Calculations'!EM352&lt;&gt;"",'Calculations'!$JJ$2&lt;&gt;"All",'Calculations'!$JJ$2&lt;&gt;"",'Calculations'!HF352='Calculations'!$JJ$2,'Calculations'!HL352=0,'Calculations'!JD352&gt;0),MAX('Calculations'!$JE$12:JE351)+1,0)</x:f>
        <x:v>0</x:v>
      </x:c>
      <x:c r="JF352" t="str">
        <x:f>IF('Calculations'!EM352="","",IFERROR(IF(INDEX(INDIRECT("'WCM Calibration Final'!$G$1:$G$2000"),'Calculations'!$EM352)="","",TRIM(INDEX(INDIRECT("'WCM Calibration Final'!$G$1:$G$2000"),'Calculations'!$EM352)&amp;"")),""))</x:f>
      </x:c>
      <x:c r="JQ352" t="n">
        <x:f>IF(OR('Calculations'!BM352=0,NOT('Calculations'!$AG$2),'Calculations'!$AG$8&gt;0),0,IF(OR('Dashboard'!$B$7="All",'Calculations'!HN352='Dashboard'!$B$7),IF('Calculations'!$JJ$2="All",1,IF(AND('Calculations'!HF352='Calculations'!$JJ$2,'Calculations'!HL352=0),1,0)),0))</x:f>
        <x:v>0</x:v>
      </x:c>
    </x:row>
    <x:row r="353">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t="n">
        <x:f>IF('Calculations'!$EM353="",0,IF(OR(IFERROR(INDEX(INDIRECT("'WCM Calibration Final'!$A$1:$A$2000"),'Calculations'!$EM353)&lt;&gt;"",FALSE),IFERROR(INDEX(INDIRECT("'WCM Calibration Final'!$B$1:$B$2000"),'Calculations'!$EM353)&lt;&gt;"",FALSE),IFERROR(INDEX(INDIRECT("'WCM Calibration Final'!$C$1:$C$2000"),'Calculations'!$EM353)&lt;&gt;"",FALSE)),1,0))</x:f>
        <x:v>0</x:v>
      </x:c>
      <x:c r="BN353" s="4" t="n">
        <x:f>IF(AND('Calculations'!BM353=1,'Calculations'!$AG$2,'Calculations'!$EN353=1),1,0)</x:f>
        <x:v>0</x:v>
      </x:c>
      <x:c r="BO353" s="4" t="str">
        <x:f>IF('Calculations'!BM353=0,"",IFERROR(IF(AND(VALUE(INDEX(INDIRECT("'WCM Calibration Final'!$K$1:$K$2000"),'Calculations'!$EM353))&gt;=1,VALUE(INDEX(INDIRECT("'WCM Calibration Final'!$K$1:$K$2000"),'Calculations'!$EM353))&lt;=4,MOD(VALUE(INDEX(INDIRECT("'WCM Calibration Final'!$K$1:$K$2000"),'Calculations'!$EM353)),1)=0),VALUE(INDEX(INDIRECT("'WCM Calibration Final'!$K$1:$K$2000"),'Calculations'!$EM353)),""),""))</x:f>
      </x:c>
      <x:c r="BP353" s="4" t="str">
        <x:f>IF('Calculations'!BM353=0,"",IFERROR(IF(AND(VALUE(INDEX(INDIRECT("'WCM Calibration Final'!$L$1:$L$2000"),'Calculations'!$EM353))&gt;=1,VALUE(INDEX(INDIRECT("'WCM Calibration Final'!$L$1:$L$2000"),'Calculations'!$EM353))&lt;=4,MOD(VALUE(INDEX(INDIRECT("'WCM Calibration Final'!$L$1:$L$2000"),'Calculations'!$EM353)),1)=0),VALUE(INDEX(INDIRECT("'WCM Calibration Final'!$L$1:$L$2000"),'Calculations'!$EM353)),""),""))</x:f>
      </x:c>
      <x:c r="BQ353" s="4"/>
      <x:c r="BR353" s="4"/>
      <x:c r="BS353" s="4"/>
      <x:c r="BT353" s="4" t="n">
        <x:f>IF(AND('Calculations'!BM353=1,ISNUMBER('Calculations'!BO353),ISNUMBER('Calculations'!BP353)),1,0)</x:f>
        <x:v>0</x:v>
      </x:c>
      <x:c r="BU353" s="4" t="str">
        <x:f>IF('Calculations'!BM353=0,"",'Calculations'!$EO353)</x:f>
      </x:c>
      <x:c r="BV353" s="4" t="str">
        <x:f>IF('Calculations'!BM353=0,"",IFERROR(IF(OR(INDEX(INDIRECT("'WCM Calibration Final'!$H$1:$H$2000"),'Calculations'!$EM353)="MANAGING DIRECTOR",INDEX(INDIRECT("'WCM Calibration Final'!$H$1:$H$2000"),'Calculations'!$EM353)="DIRECTOR",INDEX(INDIRECT("'WCM Calibration Final'!$H$1:$H$2000"),'Calculations'!$EM353)="SENIOR VICE PRESIDENT",INDEX(INDIRECT("'WCM Calibration Final'!$H$1:$H$2000"),'Calculations'!$EM353)="VICE PRESIDENT",INDEX(INDIRECT("'WCM Calibration Final'!$H$1:$H$2000"),'Calculations'!$EM353)="ASSISTANT VICE PRESIDENT",INDEX(INDIRECT("'WCM Calibration Final'!$H$1:$H$2000"),'Calculations'!$EM353)="OFFICER"),UPPER(INDEX(INDIRECT("'WCM Calibration Final'!$H$1:$H$2000"),'Calculations'!$EM353)),"Other"),"Other"))</x:f>
      </x:c>
      <x:c r="BW353" s="4"/>
      <x:c r="BX353" s="4"/>
      <x:c r="BY353" s="4" t="n">
        <x:f>IF(AND('Calculations'!BM353=1,'Calculations'!BU353&lt;&gt;"",COUNTIF('Calculations'!$BU$12:BU353,'Calculations'!BU353)=1),MAX('Calculations'!$BY$11:BY352)+1,0)</x:f>
        <x:v>0</x:v>
      </x:c>
      <x:c r="BZ353" s="4" t="str">
        <x:f>IF('Dashboard'!$E$67="What",'Calculations'!BO353,'Calculations'!BP353)</x:f>
      </x:c>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t="str">
        <x:f>IF(342&gt;MAX('Calculations'!$HI$13:$HI$512),"",INDEX('Calculations'!$HN$13:$HN$512,MATCH(342,'Calculations'!$HI$13:$HI$512,0)))</x:f>
      </x:c>
      <x:c r="DB353" s="4" t="str">
        <x:f>IF(342&gt;MAX('Calculations'!$HH$13:$HH$512),"",INDEX('Calculations'!$HJ$13:$HJ$512,MATCH(342,'Calculations'!$HH$13:$HH$512,0)))</x:f>
      </x:c>
      <x:c r="DC353" s="4" t="str">
        <x:f>IF(ROW()-11&gt;MAX('Calculations'!$BY$13:$BY$512),"",INDEX('Calculations'!$BU$13:$BU$512,MATCH(ROW()-11,'Calculations'!$BY$13:$BY$512,0)))</x:f>
      </x:c>
      <x:c r="DD353" s="4" t="str">
        <x:f>IF(342&gt;MAX('Calculations'!$IK$13:$IK$512),"",INDEX('Calculations'!$HK$13:$HK$512,MATCH(342,'Calculations'!$IK$13:$IK$512,0)))</x:f>
      </x:c>
      <x:c r="DE353" s="4" t="str">
        <x:f>'Calculations'!DC353</x:f>
      </x:c>
      <x:c r="DF353" s="4" t="str">
        <x:f>IF('Calculations'!DE353="","",COUNTIFS('Calculations'!$BN$13:$BN$512,1,'Calculations'!$BU$13:$BU$512,'Calculations'!DE353))</x:f>
      </x:c>
      <x:c r="DG353" s="4" t="str">
        <x:f>IF('Calculations'!DE353="","",COUNTIFS('Calculations'!$BN$13:$BN$512,1,'Calculations'!$BU$13:$BU$512,'Calculations'!DE353,'Calculations'!$BT$13:$BT$512,1))</x:f>
      </x:c>
      <x:c r="DH353" s="4" t="str">
        <x:f>IF('Calculations'!DE353="","",'Calculations'!DF353-'Calculations'!DG353)</x:f>
      </x:c>
      <x:c r="DI353" s="4" t="str">
        <x:f>IF(OR('Calculations'!DE353="",'Calculations'!DF353=0),"",'Calculations'!DG353/'Calculations'!DF353)</x:f>
      </x:c>
      <x:c r="DJ353" s="4" t="str">
        <x:f>IF('Calculations'!DE353="","",COUNTIFS('Calculations'!$BN$13:$BN$512,1,'Calculations'!$BU$13:$BU$512,'Calculations'!DE353,'Calculations'!$BT$13:$BT$512,1,'Calculations'!$EE$13:$EE$512,"High"))</x:f>
      </x:c>
      <x:c r="DK353" s="4" t="str">
        <x:f>IF('Calculations'!DE353="","",COUNTIFS('Calculations'!$BN$13:$BN$512,1,'Calculations'!$BU$13:$BU$512,'Calculations'!DE353,'Calculations'!$BT$13:$BT$512,1,'Calculations'!$EE$13:$EE$512,"Strong"))</x:f>
      </x:c>
      <x:c r="DL353" s="4" t="str">
        <x:f>IF('Calculations'!DE353="","",COUNTIFS('Calculations'!$BN$13:$BN$512,1,'Calculations'!$BU$13:$BU$512,'Calculations'!DE353,'Calculations'!$BT$13:$BT$512,1,'Calculations'!$EE$13:$EE$512,"Solid"))</x:f>
      </x:c>
      <x:c r="DM353" s="4" t="str">
        <x:f>IF('Calculations'!DE353="","",COUNTIFS('Calculations'!$BN$13:$BN$512,1,'Calculations'!$BU$13:$BU$512,'Calculations'!DE353,'Calculations'!$BT$13:$BT$512,1,'Calculations'!$EE$13:$EE$512,"Low"))</x:f>
      </x:c>
      <x:c r="DN353" s="4" t="str">
        <x:f>IF('Calculations'!DE353="","",COUNTIFS('Calculations'!$BN$13:$BN$512,1,'Calculations'!$BU$13:$BU$512,'Calculations'!DE353,'Calculations'!$EP$13:$EP$512,1))</x:f>
      </x:c>
      <x:c r="DO353" s="4" t="str">
        <x:f>IF(OR('Calculations'!DE353="",'Calculations'!DG353=0),"",('Calculations'!DJ353+'Calculations'!DK353)/'Calculations'!DG353)</x:f>
      </x:c>
      <x:c r="DP353" s="4" t="n">
        <x:f>IF(AND('Calculations'!DE353&lt;&gt;"",'Calculations'!DF353&gt;0),COUNTIF('Calculations'!$DF$12:DF353,"&gt;0"),0)</x:f>
        <x:v>0</x:v>
      </x:c>
      <x:c r="DQ353" s="4" t="str">
        <x:f>IF(342&gt;MAX('Calculations'!$HH$13:$HH$512),"",INDEX('Calculations'!$HF$13:$HF$512,MATCH(342,'Calculations'!$HH$13:$HH$512,0)))</x:f>
      </x:c>
      <x:c r="DR353" s="4" t="str">
        <x:f>IF(342&gt;MAX('Calculations'!$IK$13:$IK$512),"",INDEX('Calculations'!$HE$13:$HE$512,MATCH(342,'Calculations'!$IK$13:$IK$512,0)))</x:f>
      </x:c>
      <x:c r="DS353" s="4"/>
      <x:c r="DT353" s="4"/>
      <x:c r="DU353" s="4"/>
      <x:c r="DV353" s="4"/>
      <x:c r="DW353" s="4"/>
      <x:c r="DX353" s="4"/>
      <x:c r="DY353" s="4"/>
      <x:c r="DZ353" s="4"/>
      <x:c r="EA353" s="4"/>
      <x:c r="EB353" s="4"/>
      <x:c r="EC353" s="4"/>
      <x:c r="ED353" s="4"/>
      <x:c r="EE353" s="4" t="str">
        <x:f>IF('Calculations'!BT353=0,"Not Rated",IF(OR('Calculations'!BO353&gt;=4,'Calculations'!BP353&gt;=4),"Low",IF('Calculations'!BO353+'Calculations'!BP353&lt;=3,"High",IF('Calculations'!BO353+'Calculations'!BP353&lt;=4,"Strong","Solid"))))</x:f>
        <x:v>Not Rated</x:v>
      </x:c>
      <x:c r="EF353" s="4"/>
      <x:c r="EG353" s="4"/>
      <x:c r="EH353" s="4"/>
      <x:c r="EI353" s="4"/>
      <x:c r="EJ353" s="4"/>
      <x:c r="EK353" s="4"/>
      <x:c r="EL353" s="4"/>
      <x:c r="EM353" s="4" t="str">
        <x:f>IF(341&gt;'Calculations'!$JB$2000,"",INDEX('Calculations'!$JA$12:$JA$2000,MATCH(341,'Calculations'!$JB$12:$JB$2000,0)))</x:f>
      </x:c>
      <x:c r="EN353" s="4" t="n">
        <x:f>IF(OR('Calculations'!EM353="",'Calculations'!$AG$8&gt;0,AND('Calculations'!$EF$2&lt;&gt;"All",'Calculations'!HE353='Calculations'!$EF$2),AND('Calculations'!$EF$3&lt;&gt;"All",'Calculations'!HE353='Calculations'!$EF$3)),0,IF(OR('Dashboard'!$B$7="All",'Calculations'!HN353='Dashboard'!$B$7),IF('Calculations'!$EF$2="All",1,IF('Calculations'!HL353&gt;0,0,IF(COUNTIF('Calculations'!HO353:II353,"="&amp;SUBSTITUTE(SUBSTITUTE(SUBSTITUTE('Calculations'!$EF$2,"~","~~"),"*","~*"),"?","~?"))=0,0,IF('Calculations'!$EF$3="All",1,IF(COUNTIF('Calculations'!HO353:II353,"="&amp;SUBSTITUTE(SUBSTITUTE(SUBSTITUTE('Calculations'!$EF$3,"~","~~"),"*","~*"),"?","~?"))&gt;0,1,0))))),0))</x:f>
        <x:v>0</x:v>
      </x:c>
      <x:c r="EO353" s="4" t="str">
        <x:f>IF('Calculations'!IJ353="","",IF('Calculations'!IJ353="!UNRESOLVED","Unresolved hierarchy",IFERROR(INDEX('Calculations'!$HK$13:$HK$512,MATCH('Calculations'!IJ353,'Calculations'!$HE$13:$HE$512,0)),IFERROR(INDEX('Calculations'!$HJ$13:$HJ$512,MATCH('Calculations'!IJ353,'Calculations'!$HF$13:$HF$512,0)),'Calculations'!IJ353))))</x:f>
      </x:c>
      <x:c r="EP353" s="4" t="n">
        <x:f>IF(AND('Calculations'!EM353&lt;&gt;"",'Calculations'!HF353='Calculations'!IJ353),1,0)</x:f>
        <x:v>0</x:v>
      </x:c>
      <x:c r="EQ353" s="4"/>
      <x:c r="ER353" s="4"/>
      <x:c r="ES353" s="4"/>
      <x:c r="ET353" s="4"/>
      <x:c r="EU353" s="4"/>
      <x:c r="EV353" s="4"/>
      <x:c r="EW353" s="4"/>
      <x:c r="EX353" s="4"/>
      <x:c r="EY353" s="4"/>
      <x:c r="EZ353" s="4"/>
      <x:c r="FA353" s="4"/>
      <x:c r="FB353" s="4"/>
      <x:c r="FC353" s="4"/>
      <x:c r="FD353" s="4"/>
      <x:c r="FE353" s="4"/>
      <x:c r="FF353" s="4"/>
      <x:c r="FG353" s="4"/>
      <x:c r="FH353" s="4"/>
      <x:c r="FI353" s="4"/>
      <x:c r="FJ353" s="4"/>
      <x:c r="FK353" s="4"/>
      <x:c r="FL353" s="4"/>
      <x:c r="FM353" s="4"/>
      <x:c r="FN353" s="4"/>
      <x:c r="FO353" s="4"/>
      <x:c r="HE353" t="str">
        <x:f>IF('Calculations'!EM353="","",IF(IFERROR(IF(INDEX(INDIRECT("'WCM Calibration Final'!$A$1:$A$2000"),'Calculations'!$EM353)="","",TRIM(INDEX(INDIRECT("'WCM Calibration Final'!$A$1:$A$2000"),'Calculations'!$EM353)&amp;"")),"")&lt;&gt;"","G:"&amp;IFERROR(TEXT(1*INDEX(INDIRECT("'WCM Calibration Final'!$A$1:$A$2000"),'Calculations'!$EM353),"0"),UPPER(IFERROR(IF(INDEX(INDIRECT("'WCM Calibration Final'!$A$1:$A$2000"),'Calculations'!$EM353)="","",TRIM(INDEX(INDIRECT("'WCM Calibration Final'!$A$1:$A$2000"),'Calculations'!$EM353)&amp;"")),""))),IF(IFERROR(IF(INDEX(INDIRECT("'WCM Calibration Final'!$C$1:$C$2000"),'Calculations'!$EM353)="","",TRIM(INDEX(INDIRECT("'WCM Calibration Final'!$C$1:$C$2000"),'Calculations'!$EM353)&amp;"")),"")&lt;&gt;"","S:"&amp;UPPER(IFERROR(IF(INDEX(INDIRECT("'WCM Calibration Final'!$C$1:$C$2000"),'Calculations'!$EM353)="","",TRIM(INDEX(INDIRECT("'WCM Calibration Final'!$C$1:$C$2000"),'Calculations'!$EM353)&amp;"")),"")),"R:"&amp;'Calculations'!EM353)))</x:f>
      </x:c>
      <x:c r="HF353" t="str">
        <x:f>IF('Calculations'!EM353="","",IF(IFERROR(IF(INDEX(INDIRECT("'WCM Calibration Final'!$D$1:$D$2000"),'Calculations'!$EM353)="","",TRIM(INDEX(INDIRECT("'WCM Calibration Final'!$D$1:$D$2000"),'Calculations'!$EM353)&amp;"")),"")&lt;&gt;"","G:"&amp;IFERROR(TEXT(1*INDEX(INDIRECT("'WCM Calibration Final'!$D$1:$D$2000"),'Calculations'!$EM353),"0"),UPPER(IFERROR(IF(INDEX(INDIRECT("'WCM Calibration Final'!$D$1:$D$2000"),'Calculations'!$EM353)="","",TRIM(INDEX(INDIRECT("'WCM Calibration Final'!$D$1:$D$2000"),'Calculations'!$EM353)&amp;"")),""))),IF(IFERROR(IF(INDEX(INDIRECT("'WCM Calibration Final'!$E$1:$E$2000"),'Calculations'!$EM353)="","",TRIM(INDEX(INDIRECT("'WCM Calibration Final'!$E$1:$E$2000"),'Calculations'!$EM353)&amp;"")),"")="","",IF(COUNTIF('Calculations'!$HG$13:$HG$512,"="&amp;SUBSTITUTE(SUBSTITUTE(SUBSTITUTE(IFERROR(IF(INDEX(INDIRECT("'WCM Calibration Final'!$E$1:$E$2000"),'Calculations'!$EM353)="","",TRIM(INDEX(INDIRECT("'WCM Calibration Final'!$E$1:$E$2000"),'Calculations'!$EM353)&amp;"")),""),"~","~~"),"*","~*"),"?","~?"))=1,INDEX('Calculations'!$HE$13:$HE$512,MATCH(IFERROR(IF(INDEX(INDIRECT("'WCM Calibration Final'!$E$1:$E$2000"),'Calculations'!$EM353)="","",TRIM(INDEX(INDIRECT("'WCM Calibration Final'!$E$1:$E$2000"),'Calculations'!$EM353)&amp;"")),""),'Calculations'!$HG$13:$HG$512,0)),IF(COUNTIF('Calculations'!$HG$13:$HG$512,"="&amp;SUBSTITUTE(SUBSTITUTE(SUBSTITUTE(IFERROR(IF(INDEX(INDIRECT("'WCM Calibration Final'!$E$1:$E$2000"),'Calculations'!$EM353)="","",TRIM(INDEX(INDIRECT("'WCM Calibration Final'!$E$1:$E$2000"),'Calculations'!$EM353)&amp;"")),""),"~","~~"),"*","~*"),"?","~?"))&gt;1,"!AMBIG","X:"&amp;IFERROR(IF(INDEX(INDIRECT("'WCM Calibration Final'!$E$1:$E$2000"),'Calculations'!$EM353)="","",TRIM(INDEX(INDIRECT("'WCM Calibration Final'!$E$1:$E$2000"),'Calculations'!$EM353)&amp;"")),""))))))</x:f>
      </x:c>
      <x:c r="HG353" t="str">
        <x:f>IF('Calculations'!EM353="","",IFERROR(IF(INDEX(INDIRECT("'WCM Calibration Final'!$B$1:$B$2000"),'Calculations'!$EM353)="","",TRIM(INDEX(INDIRECT("'WCM Calibration Final'!$B$1:$B$2000"),'Calculations'!$EM353)&amp;"")),""))</x:f>
      </x:c>
      <x:c r="HH353" t="n">
        <x:f>IF(AND('Calculations'!JC353&gt;0,COUNTIF('Calculations'!$HF$12:HF353,"="&amp;SUBSTITUTE(SUBSTITUTE(SUBSTITUTE('Calculations'!HF353,"~","~~"),"*","~*"),"?","~?"))=1),MAX('Calculations'!$HH$12:HH352)+1,0)</x:f>
        <x:v>0</x:v>
      </x:c>
      <x:c r="HI353" t="n">
        <x:f>IF(AND('Calculations'!HN353&lt;&gt;"",COUNTIF('Calculations'!$HN$12:HN353,"="&amp;SUBSTITUTE(SUBSTITUTE(SUBSTITUTE('Calculations'!HN353,"~","~~"),"*","~*"),"?","~?"))=1),MAX('Calculations'!$HI$12:HI352)+1,0)</x:f>
        <x:v>0</x:v>
      </x:c>
      <x:c r="HJ353" t="str">
        <x:f>IF('Calculations'!HF353="","",IF(COUNTIF('Calculations'!$HE$13:$HE$512,"="&amp;SUBSTITUTE(SUBSTITUTE(SUBSTITUTE('Calculations'!HF353,"~","~~"),"*","~*"),"?","~?"))=1,INDEX('Calculations'!$HK$13:$HK$512,MATCH('Calculations'!HF353,'Calculations'!$HE$13:$HE$512,0)),IFERROR(IF(INDEX(INDIRECT("'WCM Calibration Final'!$E$1:$E$2000"),'Calculations'!$EM353)="","",TRIM(INDEX(INDIRECT("'WCM Calibration Final'!$E$1:$E$2000"),'Calculations'!$EM353)&amp;"")),"")&amp;" ["&amp;'Calculations'!HF353&amp;"]"))</x:f>
      </x:c>
      <x:c r="HK353" t="str">
        <x:f>IF('Calculations'!EM353="","",'Calculations'!HG353&amp;" ["&amp;'Calculations'!HE353&amp;"]")</x:f>
      </x:c>
      <x:c r="HL353" t="n">
        <x:f>IF('Calculations'!EM353="",0,IF(OR('Calculations'!II353&lt;&gt;"",COUNTIF('Calculations'!$HE$13:$HE$512,"="&amp;SUBSTITUTE(SUBSTITUTE(SUBSTITUTE('Calculations'!HE353,"~","~~"),"*","~*"),"?","~?"))&gt;1),1,0))</x:f>
        <x:v>0</x:v>
      </x:c>
      <x:c r="HM353" t="str">
        <x:f>IF('Calculations'!EM353="","",IF('Calculations'!HL353=1,"!UNRESOLVED",IF('Calculations'!IH353&lt;&gt;"",'Calculations'!IH353,IF('Calculations'!IG353&lt;&gt;"",'Calculations'!IG353,IF('Calculations'!IF353&lt;&gt;"",'Calculations'!IF353,IF('Calculations'!IE353&lt;&gt;"",'Calculations'!IE353,IF('Calculations'!ID353&lt;&gt;"",'Calculations'!ID353,IF('Calculations'!IC353&lt;&gt;"",'Calculations'!IC353,IF('Calculations'!IB353&lt;&gt;"",'Calculations'!IB353,IF('Calculations'!IA353&lt;&gt;"",'Calculations'!IA353,IF('Calculations'!HZ353&lt;&gt;"",'Calculations'!HZ353,IF('Calculations'!HY353&lt;&gt;"",'Calculations'!HY353,IF('Calculations'!HX353&lt;&gt;"",'Calculations'!HX353,IF('Calculations'!HW353&lt;&gt;"",'Calculations'!HW353,IF('Calculations'!HV353&lt;&gt;"",'Calculations'!HV353,IF('Calculations'!HU353&lt;&gt;"",'Calculations'!HU353,IF('Calculations'!HT353&lt;&gt;"",'Calculations'!HT353,IF('Calculations'!HS353&lt;&gt;"",'Calculations'!HS353,IF('Calculations'!HR353&lt;&gt;"",'Calculations'!HR353,IF('Calculations'!HQ353&lt;&gt;"",'Calculations'!HQ353,IF('Calculations'!HP353&lt;&gt;"",'Calculations'!HP353,IF('Calculations'!HO353&lt;&gt;"",'Calculations'!HO353,'Calculations'!HE353))))))))))))))))))))))</x:f>
      </x:c>
      <x:c r="HN353" t="str">
        <x:f>IF('Calculations'!EM353="","",IF(IFERROR(IF(INDEX(INDIRECT("'WCM Calibration Final'!$F$1:$F$2000"),'Calculations'!$EM353)="","",TRIM(INDEX(INDIRECT("'WCM Calibration Final'!$F$1:$F$2000"),'Calculations'!$EM353)&amp;"")),"")="","(Blank)",IFERROR(IF(INDEX(INDIRECT("'WCM Calibration Final'!$F$1:$F$2000"),'Calculations'!$EM353)="","",TRIM(INDEX(INDIRECT("'WCM Calibration Final'!$F$1:$F$2000"),'Calculations'!$EM353)&amp;"")),"")))</x:f>
      </x:c>
      <x:c r="HO353" t="str">
        <x:f>'Calculations'!HF353</x:f>
      </x:c>
      <x:c r="HP353" t="str">
        <x:f>IF('Calculations'!HO353="","",IF('Calculations'!HO353="!AMBIG","!AMBIG",IF(COUNTIF('Calculations'!$HE$13:$HE$512,"="&amp;SUBSTITUTE(SUBSTITUTE(SUBSTITUTE('Calculations'!HO353,"~","~~"),"*","~*"),"?","~?"))&gt;1,"!AMBIG",IFERROR(INDEX('Calculations'!$HF$13:$HF$512,MATCH('Calculations'!HO353,'Calculations'!$HE$13:$HE$512,0)),""))))</x:f>
      </x:c>
      <x:c r="HQ353" t="str">
        <x:f>IF('Calculations'!HP353="","",IF('Calculations'!HP353="!AMBIG","!AMBIG",IF(COUNTIF('Calculations'!$HE$13:$HE$512,"="&amp;SUBSTITUTE(SUBSTITUTE(SUBSTITUTE('Calculations'!HP353,"~","~~"),"*","~*"),"?","~?"))&gt;1,"!AMBIG",IFERROR(INDEX('Calculations'!$HF$13:$HF$512,MATCH('Calculations'!HP353,'Calculations'!$HE$13:$HE$512,0)),""))))</x:f>
      </x:c>
      <x:c r="HR353" t="str">
        <x:f>IF('Calculations'!HQ353="","",IF('Calculations'!HQ353="!AMBIG","!AMBIG",IF(COUNTIF('Calculations'!$HE$13:$HE$512,"="&amp;SUBSTITUTE(SUBSTITUTE(SUBSTITUTE('Calculations'!HQ353,"~","~~"),"*","~*"),"?","~?"))&gt;1,"!AMBIG",IFERROR(INDEX('Calculations'!$HF$13:$HF$512,MATCH('Calculations'!HQ353,'Calculations'!$HE$13:$HE$512,0)),""))))</x:f>
      </x:c>
      <x:c r="HS353" t="str">
        <x:f>IF('Calculations'!HR353="","",IF('Calculations'!HR353="!AMBIG","!AMBIG",IF(COUNTIF('Calculations'!$HE$13:$HE$512,"="&amp;SUBSTITUTE(SUBSTITUTE(SUBSTITUTE('Calculations'!HR353,"~","~~"),"*","~*"),"?","~?"))&gt;1,"!AMBIG",IFERROR(INDEX('Calculations'!$HF$13:$HF$512,MATCH('Calculations'!HR353,'Calculations'!$HE$13:$HE$512,0)),""))))</x:f>
      </x:c>
      <x:c r="HT353" t="str">
        <x:f>IF('Calculations'!HS353="","",IF('Calculations'!HS353="!AMBIG","!AMBIG",IF(COUNTIF('Calculations'!$HE$13:$HE$512,"="&amp;SUBSTITUTE(SUBSTITUTE(SUBSTITUTE('Calculations'!HS353,"~","~~"),"*","~*"),"?","~?"))&gt;1,"!AMBIG",IFERROR(INDEX('Calculations'!$HF$13:$HF$512,MATCH('Calculations'!HS353,'Calculations'!$HE$13:$HE$512,0)),""))))</x:f>
      </x:c>
      <x:c r="HU353" t="str">
        <x:f>IF('Calculations'!HT353="","",IF('Calculations'!HT353="!AMBIG","!AMBIG",IF(COUNTIF('Calculations'!$HE$13:$HE$512,"="&amp;SUBSTITUTE(SUBSTITUTE(SUBSTITUTE('Calculations'!HT353,"~","~~"),"*","~*"),"?","~?"))&gt;1,"!AMBIG",IFERROR(INDEX('Calculations'!$HF$13:$HF$512,MATCH('Calculations'!HT353,'Calculations'!$HE$13:$HE$512,0)),""))))</x:f>
      </x:c>
      <x:c r="HV353" t="str">
        <x:f>IF('Calculations'!HU353="","",IF('Calculations'!HU353="!AMBIG","!AMBIG",IF(COUNTIF('Calculations'!$HE$13:$HE$512,"="&amp;SUBSTITUTE(SUBSTITUTE(SUBSTITUTE('Calculations'!HU353,"~","~~"),"*","~*"),"?","~?"))&gt;1,"!AMBIG",IFERROR(INDEX('Calculations'!$HF$13:$HF$512,MATCH('Calculations'!HU353,'Calculations'!$HE$13:$HE$512,0)),""))))</x:f>
      </x:c>
      <x:c r="HW353" t="str">
        <x:f>IF('Calculations'!HV353="","",IF('Calculations'!HV353="!AMBIG","!AMBIG",IF(COUNTIF('Calculations'!$HE$13:$HE$512,"="&amp;SUBSTITUTE(SUBSTITUTE(SUBSTITUTE('Calculations'!HV353,"~","~~"),"*","~*"),"?","~?"))&gt;1,"!AMBIG",IFERROR(INDEX('Calculations'!$HF$13:$HF$512,MATCH('Calculations'!HV353,'Calculations'!$HE$13:$HE$512,0)),""))))</x:f>
      </x:c>
      <x:c r="HX353" t="str">
        <x:f>IF('Calculations'!HW353="","",IF('Calculations'!HW353="!AMBIG","!AMBIG",IF(COUNTIF('Calculations'!$HE$13:$HE$512,"="&amp;SUBSTITUTE(SUBSTITUTE(SUBSTITUTE('Calculations'!HW353,"~","~~"),"*","~*"),"?","~?"))&gt;1,"!AMBIG",IFERROR(INDEX('Calculations'!$HF$13:$HF$512,MATCH('Calculations'!HW353,'Calculations'!$HE$13:$HE$512,0)),""))))</x:f>
      </x:c>
      <x:c r="HY353" t="str">
        <x:f>IF('Calculations'!HX353="","",IF('Calculations'!HX353="!AMBIG","!AMBIG",IF(COUNTIF('Calculations'!$HE$13:$HE$512,"="&amp;SUBSTITUTE(SUBSTITUTE(SUBSTITUTE('Calculations'!HX353,"~","~~"),"*","~*"),"?","~?"))&gt;1,"!AMBIG",IFERROR(INDEX('Calculations'!$HF$13:$HF$512,MATCH('Calculations'!HX353,'Calculations'!$HE$13:$HE$512,0)),""))))</x:f>
      </x:c>
      <x:c r="HZ353" t="str">
        <x:f>IF('Calculations'!HY353="","",IF('Calculations'!HY353="!AMBIG","!AMBIG",IF(COUNTIF('Calculations'!$HE$13:$HE$512,"="&amp;SUBSTITUTE(SUBSTITUTE(SUBSTITUTE('Calculations'!HY353,"~","~~"),"*","~*"),"?","~?"))&gt;1,"!AMBIG",IFERROR(INDEX('Calculations'!$HF$13:$HF$512,MATCH('Calculations'!HY353,'Calculations'!$HE$13:$HE$512,0)),""))))</x:f>
      </x:c>
      <x:c r="IA353" t="str">
        <x:f>IF('Calculations'!HZ353="","",IF('Calculations'!HZ353="!AMBIG","!AMBIG",IF(COUNTIF('Calculations'!$HE$13:$HE$512,"="&amp;SUBSTITUTE(SUBSTITUTE(SUBSTITUTE('Calculations'!HZ353,"~","~~"),"*","~*"),"?","~?"))&gt;1,"!AMBIG",IFERROR(INDEX('Calculations'!$HF$13:$HF$512,MATCH('Calculations'!HZ353,'Calculations'!$HE$13:$HE$512,0)),""))))</x:f>
      </x:c>
      <x:c r="IB353" t="str">
        <x:f>IF('Calculations'!IA353="","",IF('Calculations'!IA353="!AMBIG","!AMBIG",IF(COUNTIF('Calculations'!$HE$13:$HE$512,"="&amp;SUBSTITUTE(SUBSTITUTE(SUBSTITUTE('Calculations'!IA353,"~","~~"),"*","~*"),"?","~?"))&gt;1,"!AMBIG",IFERROR(INDEX('Calculations'!$HF$13:$HF$512,MATCH('Calculations'!IA353,'Calculations'!$HE$13:$HE$512,0)),""))))</x:f>
      </x:c>
      <x:c r="IC353" t="str">
        <x:f>IF('Calculations'!IB353="","",IF('Calculations'!IB353="!AMBIG","!AMBIG",IF(COUNTIF('Calculations'!$HE$13:$HE$512,"="&amp;SUBSTITUTE(SUBSTITUTE(SUBSTITUTE('Calculations'!IB353,"~","~~"),"*","~*"),"?","~?"))&gt;1,"!AMBIG",IFERROR(INDEX('Calculations'!$HF$13:$HF$512,MATCH('Calculations'!IB353,'Calculations'!$HE$13:$HE$512,0)),""))))</x:f>
      </x:c>
      <x:c r="ID353" t="str">
        <x:f>IF('Calculations'!IC353="","",IF('Calculations'!IC353="!AMBIG","!AMBIG",IF(COUNTIF('Calculations'!$HE$13:$HE$512,"="&amp;SUBSTITUTE(SUBSTITUTE(SUBSTITUTE('Calculations'!IC353,"~","~~"),"*","~*"),"?","~?"))&gt;1,"!AMBIG",IFERROR(INDEX('Calculations'!$HF$13:$HF$512,MATCH('Calculations'!IC353,'Calculations'!$HE$13:$HE$512,0)),""))))</x:f>
      </x:c>
      <x:c r="IE353" t="str">
        <x:f>IF('Calculations'!ID353="","",IF('Calculations'!ID353="!AMBIG","!AMBIG",IF(COUNTIF('Calculations'!$HE$13:$HE$512,"="&amp;SUBSTITUTE(SUBSTITUTE(SUBSTITUTE('Calculations'!ID353,"~","~~"),"*","~*"),"?","~?"))&gt;1,"!AMBIG",IFERROR(INDEX('Calculations'!$HF$13:$HF$512,MATCH('Calculations'!ID353,'Calculations'!$HE$13:$HE$512,0)),""))))</x:f>
      </x:c>
      <x:c r="IF353" t="str">
        <x:f>IF('Calculations'!IE353="","",IF('Calculations'!IE353="!AMBIG","!AMBIG",IF(COUNTIF('Calculations'!$HE$13:$HE$512,"="&amp;SUBSTITUTE(SUBSTITUTE(SUBSTITUTE('Calculations'!IE353,"~","~~"),"*","~*"),"?","~?"))&gt;1,"!AMBIG",IFERROR(INDEX('Calculations'!$HF$13:$HF$512,MATCH('Calculations'!IE353,'Calculations'!$HE$13:$HE$512,0)),""))))</x:f>
      </x:c>
      <x:c r="IG353" t="str">
        <x:f>IF('Calculations'!IF353="","",IF('Calculations'!IF353="!AMBIG","!AMBIG",IF(COUNTIF('Calculations'!$HE$13:$HE$512,"="&amp;SUBSTITUTE(SUBSTITUTE(SUBSTITUTE('Calculations'!IF353,"~","~~"),"*","~*"),"?","~?"))&gt;1,"!AMBIG",IFERROR(INDEX('Calculations'!$HF$13:$HF$512,MATCH('Calculations'!IF353,'Calculations'!$HE$13:$HE$512,0)),""))))</x:f>
      </x:c>
      <x:c r="IH353" t="str">
        <x:f>IF('Calculations'!IG353="","",IF('Calculations'!IG353="!AMBIG","!AMBIG",IF(COUNTIF('Calculations'!$HE$13:$HE$512,"="&amp;SUBSTITUTE(SUBSTITUTE(SUBSTITUTE('Calculations'!IG353,"~","~~"),"*","~*"),"?","~?"))&gt;1,"!AMBIG",IFERROR(INDEX('Calculations'!$HF$13:$HF$512,MATCH('Calculations'!IG353,'Calculations'!$HE$13:$HE$512,0)),""))))</x:f>
      </x:c>
      <x:c r="II353" t="str">
        <x:f>IF('Calculations'!IH353="","",IF('Calculations'!IH353="!AMBIG","!AMBIG",IF(COUNTIF('Calculations'!$HE$13:$HE$512,"="&amp;SUBSTITUTE(SUBSTITUTE(SUBSTITUTE('Calculations'!IH353,"~","~~"),"*","~*"),"?","~?"))&gt;1,"!AMBIG",IFERROR(INDEX('Calculations'!$HF$13:$HF$512,MATCH('Calculations'!IH353,'Calculations'!$HE$13:$HE$512,0)),""))))</x:f>
      </x:c>
      <x:c r="IJ353" t="str">
        <x:f>IF('Calculations'!EM353="","",IF('Calculations'!$EF$2="All",'Calculations'!HM353,IF('Calculations'!HL353=1,"",IFERROR(IF(MATCH('Calculations'!$EF$2,'Calculations'!HO353:II353,0)=1,'Calculations'!HE353,INDEX('Calculations'!HO353:II353,1,MATCH('Calculations'!$EF$2,'Calculations'!HO353:II353,0)-1)),""))))</x:f>
      </x:c>
      <x:c r="IK353" t="n">
        <x:f>IF(AND('Calculations'!EM353&lt;&gt;"",'Calculations'!$EF$2&lt;&gt;"All",'Calculations'!HF353='Calculations'!$EF$2,'Calculations'!HL353=0,'Calculations'!JD353&gt;0),MAX('Calculations'!$IK$12:IK352)+1,0)</x:f>
        <x:v>0</x:v>
      </x:c>
      <x:c r="JA353" t="n">
        <x:f>IF(OR(IFERROR(INDIRECT("'WCM Calibration Final'!$A$353")&lt;&gt;"",FALSE),IFERROR(INDIRECT("'WCM Calibration Final'!$B$353")&lt;&gt;"",FALSE),IFERROR(INDIRECT("'WCM Calibration Final'!$C$353")&lt;&gt;"",FALSE)),353,0)</x:f>
        <x:v>0</x:v>
      </x:c>
      <x:c r="JB353" t="n">
        <x:f>'Calculations'!JB352+IF('Calculations'!JA353&gt;0,1,0)</x:f>
        <x:v>0</x:v>
      </x:c>
      <x:c r="JC353" t="n">
        <x:f>IF(OR('Calculations'!HF353="",'Calculations'!HF353="!AMBIG"),0,IF('Dashboard'!$B$7="All",1,COUNTIFS('Calculations'!$HO$13:$HO$512,"="&amp;SUBSTITUTE(SUBSTITUTE(SUBSTITUTE('Calculations'!HF353,"~","~~"),"*","~*"),"?","~?"),'Calculations'!$HN$13:$HN$512,"="&amp;SUBSTITUTE(SUBSTITUTE(SUBSTITUTE('Dashboard'!$B$7,"~","~~"),"*","~*"),"?","~?"))+COUNTIFS('Calculations'!$HP$13:$HP$512,"="&amp;SUBSTITUTE(SUBSTITUTE(SUBSTITUTE('Calculations'!HF353,"~","~~"),"*","~*"),"?","~?"),'Calculations'!$HN$13:$HN$512,"="&amp;SUBSTITUTE(SUBSTITUTE(SUBSTITUTE('Dashboard'!$B$7,"~","~~"),"*","~*"),"?","~?"))+COUNTIFS('Calculations'!$HQ$13:$HQ$512,"="&amp;SUBSTITUTE(SUBSTITUTE(SUBSTITUTE('Calculations'!HF353,"~","~~"),"*","~*"),"?","~?"),'Calculations'!$HN$13:$HN$512,"="&amp;SUBSTITUTE(SUBSTITUTE(SUBSTITUTE('Dashboard'!$B$7,"~","~~"),"*","~*"),"?","~?"))+COUNTIFS('Calculations'!$HR$13:$HR$512,"="&amp;SUBSTITUTE(SUBSTITUTE(SUBSTITUTE('Calculations'!HF353,"~","~~"),"*","~*"),"?","~?"),'Calculations'!$HN$13:$HN$512,"="&amp;SUBSTITUTE(SUBSTITUTE(SUBSTITUTE('Dashboard'!$B$7,"~","~~"),"*","~*"),"?","~?"))+COUNTIFS('Calculations'!$HS$13:$HS$512,"="&amp;SUBSTITUTE(SUBSTITUTE(SUBSTITUTE('Calculations'!HF353,"~","~~"),"*","~*"),"?","~?"),'Calculations'!$HN$13:$HN$512,"="&amp;SUBSTITUTE(SUBSTITUTE(SUBSTITUTE('Dashboard'!$B$7,"~","~~"),"*","~*"),"?","~?"))+COUNTIFS('Calculations'!$HT$13:$HT$512,"="&amp;SUBSTITUTE(SUBSTITUTE(SUBSTITUTE('Calculations'!HF353,"~","~~"),"*","~*"),"?","~?"),'Calculations'!$HN$13:$HN$512,"="&amp;SUBSTITUTE(SUBSTITUTE(SUBSTITUTE('Dashboard'!$B$7,"~","~~"),"*","~*"),"?","~?"))+COUNTIFS('Calculations'!$HU$13:$HU$512,"="&amp;SUBSTITUTE(SUBSTITUTE(SUBSTITUTE('Calculations'!HF353,"~","~~"),"*","~*"),"?","~?"),'Calculations'!$HN$13:$HN$512,"="&amp;SUBSTITUTE(SUBSTITUTE(SUBSTITUTE('Dashboard'!$B$7,"~","~~"),"*","~*"),"?","~?"))+COUNTIFS('Calculations'!$HV$13:$HV$512,"="&amp;SUBSTITUTE(SUBSTITUTE(SUBSTITUTE('Calculations'!HF353,"~","~~"),"*","~*"),"?","~?"),'Calculations'!$HN$13:$HN$512,"="&amp;SUBSTITUTE(SUBSTITUTE(SUBSTITUTE('Dashboard'!$B$7,"~","~~"),"*","~*"),"?","~?"))+COUNTIFS('Calculations'!$HW$13:$HW$512,"="&amp;SUBSTITUTE(SUBSTITUTE(SUBSTITUTE('Calculations'!HF353,"~","~~"),"*","~*"),"?","~?"),'Calculations'!$HN$13:$HN$512,"="&amp;SUBSTITUTE(SUBSTITUTE(SUBSTITUTE('Dashboard'!$B$7,"~","~~"),"*","~*"),"?","~?"))+COUNTIFS('Calculations'!$HX$13:$HX$512,"="&amp;SUBSTITUTE(SUBSTITUTE(SUBSTITUTE('Calculations'!HF353,"~","~~"),"*","~*"),"?","~?"),'Calculations'!$HN$13:$HN$512,"="&amp;SUBSTITUTE(SUBSTITUTE(SUBSTITUTE('Dashboard'!$B$7,"~","~~"),"*","~*"),"?","~?"))+COUNTIFS('Calculations'!$HY$13:$HY$512,"="&amp;SUBSTITUTE(SUBSTITUTE(SUBSTITUTE('Calculations'!HF353,"~","~~"),"*","~*"),"?","~?"),'Calculations'!$HN$13:$HN$512,"="&amp;SUBSTITUTE(SUBSTITUTE(SUBSTITUTE('Dashboard'!$B$7,"~","~~"),"*","~*"),"?","~?"))+COUNTIFS('Calculations'!$HZ$13:$HZ$512,"="&amp;SUBSTITUTE(SUBSTITUTE(SUBSTITUTE('Calculations'!HF353,"~","~~"),"*","~*"),"?","~?"),'Calculations'!$HN$13:$HN$512,"="&amp;SUBSTITUTE(SUBSTITUTE(SUBSTITUTE('Dashboard'!$B$7,"~","~~"),"*","~*"),"?","~?"))+COUNTIFS('Calculations'!$IA$13:$IA$512,"="&amp;SUBSTITUTE(SUBSTITUTE(SUBSTITUTE('Calculations'!HF353,"~","~~"),"*","~*"),"?","~?"),'Calculations'!$HN$13:$HN$512,"="&amp;SUBSTITUTE(SUBSTITUTE(SUBSTITUTE('Dashboard'!$B$7,"~","~~"),"*","~*"),"?","~?"))+COUNTIFS('Calculations'!$IB$13:$IB$512,"="&amp;SUBSTITUTE(SUBSTITUTE(SUBSTITUTE('Calculations'!HF353,"~","~~"),"*","~*"),"?","~?"),'Calculations'!$HN$13:$HN$512,"="&amp;SUBSTITUTE(SUBSTITUTE(SUBSTITUTE('Dashboard'!$B$7,"~","~~"),"*","~*"),"?","~?"))+COUNTIFS('Calculations'!$IC$13:$IC$512,"="&amp;SUBSTITUTE(SUBSTITUTE(SUBSTITUTE('Calculations'!HF353,"~","~~"),"*","~*"),"?","~?"),'Calculations'!$HN$13:$HN$512,"="&amp;SUBSTITUTE(SUBSTITUTE(SUBSTITUTE('Dashboard'!$B$7,"~","~~"),"*","~*"),"?","~?"))+COUNTIFS('Calculations'!$ID$13:$ID$512,"="&amp;SUBSTITUTE(SUBSTITUTE(SUBSTITUTE('Calculations'!HF353,"~","~~"),"*","~*"),"?","~?"),'Calculations'!$HN$13:$HN$512,"="&amp;SUBSTITUTE(SUBSTITUTE(SUBSTITUTE('Dashboard'!$B$7,"~","~~"),"*","~*"),"?","~?"))+COUNTIFS('Calculations'!$IE$13:$IE$512,"="&amp;SUBSTITUTE(SUBSTITUTE(SUBSTITUTE('Calculations'!HF353,"~","~~"),"*","~*"),"?","~?"),'Calculations'!$HN$13:$HN$512,"="&amp;SUBSTITUTE(SUBSTITUTE(SUBSTITUTE('Dashboard'!$B$7,"~","~~"),"*","~*"),"?","~?"))+COUNTIFS('Calculations'!$IF$13:$IF$512,"="&amp;SUBSTITUTE(SUBSTITUTE(SUBSTITUTE('Calculations'!HF353,"~","~~"),"*","~*"),"?","~?"),'Calculations'!$HN$13:$HN$512,"="&amp;SUBSTITUTE(SUBSTITUTE(SUBSTITUTE('Dashboard'!$B$7,"~","~~"),"*","~*"),"?","~?"))+COUNTIFS('Calculations'!$IG$13:$IG$512,"="&amp;SUBSTITUTE(SUBSTITUTE(SUBSTITUTE('Calculations'!HF353,"~","~~"),"*","~*"),"?","~?"),'Calculations'!$HN$13:$HN$512,"="&amp;SUBSTITUTE(SUBSTITUTE(SUBSTITUTE('Dashboard'!$B$7,"~","~~"),"*","~*"),"?","~?"))+COUNTIFS('Calculations'!$IH$13:$IH$512,"="&amp;SUBSTITUTE(SUBSTITUTE(SUBSTITUTE('Calculations'!HF353,"~","~~"),"*","~*"),"?","~?"),'Calculations'!$HN$13:$HN$512,"="&amp;SUBSTITUTE(SUBSTITUTE(SUBSTITUTE('Dashboard'!$B$7,"~","~~"),"*","~*"),"?","~?"))))</x:f>
        <x:v>0</x:v>
      </x:c>
      <x:c r="JD353" t="n">
        <x:f>IF('Calculations'!EM353="",0,IF('Dashboard'!$B$7="All",1,IF('Calculations'!HN353='Dashboard'!$B$7,1,0)+IFERROR(INDEX('Calculations'!$JC$13:$JC$512,MATCH('Calculations'!HE353,'Calculations'!$HF$13:$HF$512,0)),0)))</x:f>
        <x:v>0</x:v>
      </x:c>
      <x:c r="JE353" t="n">
        <x:f>IF(AND('Calculations'!EM353&lt;&gt;"",'Calculations'!$JJ$2&lt;&gt;"All",'Calculations'!$JJ$2&lt;&gt;"",'Calculations'!HF353='Calculations'!$JJ$2,'Calculations'!HL353=0,'Calculations'!JD353&gt;0),MAX('Calculations'!$JE$12:JE352)+1,0)</x:f>
        <x:v>0</x:v>
      </x:c>
      <x:c r="JF353" t="str">
        <x:f>IF('Calculations'!EM353="","",IFERROR(IF(INDEX(INDIRECT("'WCM Calibration Final'!$G$1:$G$2000"),'Calculations'!$EM353)="","",TRIM(INDEX(INDIRECT("'WCM Calibration Final'!$G$1:$G$2000"),'Calculations'!$EM353)&amp;"")),""))</x:f>
      </x:c>
      <x:c r="JQ353" t="n">
        <x:f>IF(OR('Calculations'!BM353=0,NOT('Calculations'!$AG$2),'Calculations'!$AG$8&gt;0),0,IF(OR('Dashboard'!$B$7="All",'Calculations'!HN353='Dashboard'!$B$7),IF('Calculations'!$JJ$2="All",1,IF(AND('Calculations'!HF353='Calculations'!$JJ$2,'Calculations'!HL353=0),1,0)),0))</x:f>
        <x:v>0</x:v>
      </x:c>
    </x:row>
    <x:row r="354">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t="n">
        <x:f>IF('Calculations'!$EM354="",0,IF(OR(IFERROR(INDEX(INDIRECT("'WCM Calibration Final'!$A$1:$A$2000"),'Calculations'!$EM354)&lt;&gt;"",FALSE),IFERROR(INDEX(INDIRECT("'WCM Calibration Final'!$B$1:$B$2000"),'Calculations'!$EM354)&lt;&gt;"",FALSE),IFERROR(INDEX(INDIRECT("'WCM Calibration Final'!$C$1:$C$2000"),'Calculations'!$EM354)&lt;&gt;"",FALSE)),1,0))</x:f>
        <x:v>0</x:v>
      </x:c>
      <x:c r="BN354" s="4" t="n">
        <x:f>IF(AND('Calculations'!BM354=1,'Calculations'!$AG$2,'Calculations'!$EN354=1),1,0)</x:f>
        <x:v>0</x:v>
      </x:c>
      <x:c r="BO354" s="4" t="str">
        <x:f>IF('Calculations'!BM354=0,"",IFERROR(IF(AND(VALUE(INDEX(INDIRECT("'WCM Calibration Final'!$K$1:$K$2000"),'Calculations'!$EM354))&gt;=1,VALUE(INDEX(INDIRECT("'WCM Calibration Final'!$K$1:$K$2000"),'Calculations'!$EM354))&lt;=4,MOD(VALUE(INDEX(INDIRECT("'WCM Calibration Final'!$K$1:$K$2000"),'Calculations'!$EM354)),1)=0),VALUE(INDEX(INDIRECT("'WCM Calibration Final'!$K$1:$K$2000"),'Calculations'!$EM354)),""),""))</x:f>
      </x:c>
      <x:c r="BP354" s="4" t="str">
        <x:f>IF('Calculations'!BM354=0,"",IFERROR(IF(AND(VALUE(INDEX(INDIRECT("'WCM Calibration Final'!$L$1:$L$2000"),'Calculations'!$EM354))&gt;=1,VALUE(INDEX(INDIRECT("'WCM Calibration Final'!$L$1:$L$2000"),'Calculations'!$EM354))&lt;=4,MOD(VALUE(INDEX(INDIRECT("'WCM Calibration Final'!$L$1:$L$2000"),'Calculations'!$EM354)),1)=0),VALUE(INDEX(INDIRECT("'WCM Calibration Final'!$L$1:$L$2000"),'Calculations'!$EM354)),""),""))</x:f>
      </x:c>
      <x:c r="BQ354" s="4"/>
      <x:c r="BR354" s="4"/>
      <x:c r="BS354" s="4"/>
      <x:c r="BT354" s="4" t="n">
        <x:f>IF(AND('Calculations'!BM354=1,ISNUMBER('Calculations'!BO354),ISNUMBER('Calculations'!BP354)),1,0)</x:f>
        <x:v>0</x:v>
      </x:c>
      <x:c r="BU354" s="4" t="str">
        <x:f>IF('Calculations'!BM354=0,"",'Calculations'!$EO354)</x:f>
      </x:c>
      <x:c r="BV354" s="4" t="str">
        <x:f>IF('Calculations'!BM354=0,"",IFERROR(IF(OR(INDEX(INDIRECT("'WCM Calibration Final'!$H$1:$H$2000"),'Calculations'!$EM354)="MANAGING DIRECTOR",INDEX(INDIRECT("'WCM Calibration Final'!$H$1:$H$2000"),'Calculations'!$EM354)="DIRECTOR",INDEX(INDIRECT("'WCM Calibration Final'!$H$1:$H$2000"),'Calculations'!$EM354)="SENIOR VICE PRESIDENT",INDEX(INDIRECT("'WCM Calibration Final'!$H$1:$H$2000"),'Calculations'!$EM354)="VICE PRESIDENT",INDEX(INDIRECT("'WCM Calibration Final'!$H$1:$H$2000"),'Calculations'!$EM354)="ASSISTANT VICE PRESIDENT",INDEX(INDIRECT("'WCM Calibration Final'!$H$1:$H$2000"),'Calculations'!$EM354)="OFFICER"),UPPER(INDEX(INDIRECT("'WCM Calibration Final'!$H$1:$H$2000"),'Calculations'!$EM354)),"Other"),"Other"))</x:f>
      </x:c>
      <x:c r="BW354" s="4"/>
      <x:c r="BX354" s="4"/>
      <x:c r="BY354" s="4" t="n">
        <x:f>IF(AND('Calculations'!BM354=1,'Calculations'!BU354&lt;&gt;"",COUNTIF('Calculations'!$BU$12:BU354,'Calculations'!BU354)=1),MAX('Calculations'!$BY$11:BY353)+1,0)</x:f>
        <x:v>0</x:v>
      </x:c>
      <x:c r="BZ354" s="4" t="str">
        <x:f>IF('Dashboard'!$E$67="What",'Calculations'!BO354,'Calculations'!BP354)</x:f>
      </x:c>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t="str">
        <x:f>IF(343&gt;MAX('Calculations'!$HI$13:$HI$512),"",INDEX('Calculations'!$HN$13:$HN$512,MATCH(343,'Calculations'!$HI$13:$HI$512,0)))</x:f>
      </x:c>
      <x:c r="DB354" s="4" t="str">
        <x:f>IF(343&gt;MAX('Calculations'!$HH$13:$HH$512),"",INDEX('Calculations'!$HJ$13:$HJ$512,MATCH(343,'Calculations'!$HH$13:$HH$512,0)))</x:f>
      </x:c>
      <x:c r="DC354" s="4" t="str">
        <x:f>IF(ROW()-11&gt;MAX('Calculations'!$BY$13:$BY$512),"",INDEX('Calculations'!$BU$13:$BU$512,MATCH(ROW()-11,'Calculations'!$BY$13:$BY$512,0)))</x:f>
      </x:c>
      <x:c r="DD354" s="4" t="str">
        <x:f>IF(343&gt;MAX('Calculations'!$IK$13:$IK$512),"",INDEX('Calculations'!$HK$13:$HK$512,MATCH(343,'Calculations'!$IK$13:$IK$512,0)))</x:f>
      </x:c>
      <x:c r="DE354" s="4" t="str">
        <x:f>'Calculations'!DC354</x:f>
      </x:c>
      <x:c r="DF354" s="4" t="str">
        <x:f>IF('Calculations'!DE354="","",COUNTIFS('Calculations'!$BN$13:$BN$512,1,'Calculations'!$BU$13:$BU$512,'Calculations'!DE354))</x:f>
      </x:c>
      <x:c r="DG354" s="4" t="str">
        <x:f>IF('Calculations'!DE354="","",COUNTIFS('Calculations'!$BN$13:$BN$512,1,'Calculations'!$BU$13:$BU$512,'Calculations'!DE354,'Calculations'!$BT$13:$BT$512,1))</x:f>
      </x:c>
      <x:c r="DH354" s="4" t="str">
        <x:f>IF('Calculations'!DE354="","",'Calculations'!DF354-'Calculations'!DG354)</x:f>
      </x:c>
      <x:c r="DI354" s="4" t="str">
        <x:f>IF(OR('Calculations'!DE354="",'Calculations'!DF354=0),"",'Calculations'!DG354/'Calculations'!DF354)</x:f>
      </x:c>
      <x:c r="DJ354" s="4" t="str">
        <x:f>IF('Calculations'!DE354="","",COUNTIFS('Calculations'!$BN$13:$BN$512,1,'Calculations'!$BU$13:$BU$512,'Calculations'!DE354,'Calculations'!$BT$13:$BT$512,1,'Calculations'!$EE$13:$EE$512,"High"))</x:f>
      </x:c>
      <x:c r="DK354" s="4" t="str">
        <x:f>IF('Calculations'!DE354="","",COUNTIFS('Calculations'!$BN$13:$BN$512,1,'Calculations'!$BU$13:$BU$512,'Calculations'!DE354,'Calculations'!$BT$13:$BT$512,1,'Calculations'!$EE$13:$EE$512,"Strong"))</x:f>
      </x:c>
      <x:c r="DL354" s="4" t="str">
        <x:f>IF('Calculations'!DE354="","",COUNTIFS('Calculations'!$BN$13:$BN$512,1,'Calculations'!$BU$13:$BU$512,'Calculations'!DE354,'Calculations'!$BT$13:$BT$512,1,'Calculations'!$EE$13:$EE$512,"Solid"))</x:f>
      </x:c>
      <x:c r="DM354" s="4" t="str">
        <x:f>IF('Calculations'!DE354="","",COUNTIFS('Calculations'!$BN$13:$BN$512,1,'Calculations'!$BU$13:$BU$512,'Calculations'!DE354,'Calculations'!$BT$13:$BT$512,1,'Calculations'!$EE$13:$EE$512,"Low"))</x:f>
      </x:c>
      <x:c r="DN354" s="4" t="str">
        <x:f>IF('Calculations'!DE354="","",COUNTIFS('Calculations'!$BN$13:$BN$512,1,'Calculations'!$BU$13:$BU$512,'Calculations'!DE354,'Calculations'!$EP$13:$EP$512,1))</x:f>
      </x:c>
      <x:c r="DO354" s="4" t="str">
        <x:f>IF(OR('Calculations'!DE354="",'Calculations'!DG354=0),"",('Calculations'!DJ354+'Calculations'!DK354)/'Calculations'!DG354)</x:f>
      </x:c>
      <x:c r="DP354" s="4" t="n">
        <x:f>IF(AND('Calculations'!DE354&lt;&gt;"",'Calculations'!DF354&gt;0),COUNTIF('Calculations'!$DF$12:DF354,"&gt;0"),0)</x:f>
        <x:v>0</x:v>
      </x:c>
      <x:c r="DQ354" s="4" t="str">
        <x:f>IF(343&gt;MAX('Calculations'!$HH$13:$HH$512),"",INDEX('Calculations'!$HF$13:$HF$512,MATCH(343,'Calculations'!$HH$13:$HH$512,0)))</x:f>
      </x:c>
      <x:c r="DR354" s="4" t="str">
        <x:f>IF(343&gt;MAX('Calculations'!$IK$13:$IK$512),"",INDEX('Calculations'!$HE$13:$HE$512,MATCH(343,'Calculations'!$IK$13:$IK$512,0)))</x:f>
      </x:c>
      <x:c r="DS354" s="4"/>
      <x:c r="DT354" s="4"/>
      <x:c r="DU354" s="4"/>
      <x:c r="DV354" s="4"/>
      <x:c r="DW354" s="4"/>
      <x:c r="DX354" s="4"/>
      <x:c r="DY354" s="4"/>
      <x:c r="DZ354" s="4"/>
      <x:c r="EA354" s="4"/>
      <x:c r="EB354" s="4"/>
      <x:c r="EC354" s="4"/>
      <x:c r="ED354" s="4"/>
      <x:c r="EE354" s="4" t="str">
        <x:f>IF('Calculations'!BT354=0,"Not Rated",IF(OR('Calculations'!BO354&gt;=4,'Calculations'!BP354&gt;=4),"Low",IF('Calculations'!BO354+'Calculations'!BP354&lt;=3,"High",IF('Calculations'!BO354+'Calculations'!BP354&lt;=4,"Strong","Solid"))))</x:f>
        <x:v>Not Rated</x:v>
      </x:c>
      <x:c r="EF354" s="4"/>
      <x:c r="EG354" s="4"/>
      <x:c r="EH354" s="4"/>
      <x:c r="EI354" s="4"/>
      <x:c r="EJ354" s="4"/>
      <x:c r="EK354" s="4"/>
      <x:c r="EL354" s="4"/>
      <x:c r="EM354" s="4" t="str">
        <x:f>IF(342&gt;'Calculations'!$JB$2000,"",INDEX('Calculations'!$JA$12:$JA$2000,MATCH(342,'Calculations'!$JB$12:$JB$2000,0)))</x:f>
      </x:c>
      <x:c r="EN354" s="4" t="n">
        <x:f>IF(OR('Calculations'!EM354="",'Calculations'!$AG$8&gt;0,AND('Calculations'!$EF$2&lt;&gt;"All",'Calculations'!HE354='Calculations'!$EF$2),AND('Calculations'!$EF$3&lt;&gt;"All",'Calculations'!HE354='Calculations'!$EF$3)),0,IF(OR('Dashboard'!$B$7="All",'Calculations'!HN354='Dashboard'!$B$7),IF('Calculations'!$EF$2="All",1,IF('Calculations'!HL354&gt;0,0,IF(COUNTIF('Calculations'!HO354:II354,"="&amp;SUBSTITUTE(SUBSTITUTE(SUBSTITUTE('Calculations'!$EF$2,"~","~~"),"*","~*"),"?","~?"))=0,0,IF('Calculations'!$EF$3="All",1,IF(COUNTIF('Calculations'!HO354:II354,"="&amp;SUBSTITUTE(SUBSTITUTE(SUBSTITUTE('Calculations'!$EF$3,"~","~~"),"*","~*"),"?","~?"))&gt;0,1,0))))),0))</x:f>
        <x:v>0</x:v>
      </x:c>
      <x:c r="EO354" s="4" t="str">
        <x:f>IF('Calculations'!IJ354="","",IF('Calculations'!IJ354="!UNRESOLVED","Unresolved hierarchy",IFERROR(INDEX('Calculations'!$HK$13:$HK$512,MATCH('Calculations'!IJ354,'Calculations'!$HE$13:$HE$512,0)),IFERROR(INDEX('Calculations'!$HJ$13:$HJ$512,MATCH('Calculations'!IJ354,'Calculations'!$HF$13:$HF$512,0)),'Calculations'!IJ354))))</x:f>
      </x:c>
      <x:c r="EP354" s="4" t="n">
        <x:f>IF(AND('Calculations'!EM354&lt;&gt;"",'Calculations'!HF354='Calculations'!IJ354),1,0)</x:f>
        <x:v>0</x:v>
      </x:c>
      <x:c r="EQ354" s="4"/>
      <x:c r="ER354" s="4"/>
      <x:c r="ES354" s="4"/>
      <x:c r="ET354" s="4"/>
      <x:c r="EU354" s="4"/>
      <x:c r="EV354" s="4"/>
      <x:c r="EW354" s="4"/>
      <x:c r="EX354" s="4"/>
      <x:c r="EY354" s="4"/>
      <x:c r="EZ354" s="4"/>
      <x:c r="FA354" s="4"/>
      <x:c r="FB354" s="4"/>
      <x:c r="FC354" s="4"/>
      <x:c r="FD354" s="4"/>
      <x:c r="FE354" s="4"/>
      <x:c r="FF354" s="4"/>
      <x:c r="FG354" s="4"/>
      <x:c r="FH354" s="4"/>
      <x:c r="FI354" s="4"/>
      <x:c r="FJ354" s="4"/>
      <x:c r="FK354" s="4"/>
      <x:c r="FL354" s="4"/>
      <x:c r="FM354" s="4"/>
      <x:c r="FN354" s="4"/>
      <x:c r="FO354" s="4"/>
      <x:c r="HE354" t="str">
        <x:f>IF('Calculations'!EM354="","",IF(IFERROR(IF(INDEX(INDIRECT("'WCM Calibration Final'!$A$1:$A$2000"),'Calculations'!$EM354)="","",TRIM(INDEX(INDIRECT("'WCM Calibration Final'!$A$1:$A$2000"),'Calculations'!$EM354)&amp;"")),"")&lt;&gt;"","G:"&amp;IFERROR(TEXT(1*INDEX(INDIRECT("'WCM Calibration Final'!$A$1:$A$2000"),'Calculations'!$EM354),"0"),UPPER(IFERROR(IF(INDEX(INDIRECT("'WCM Calibration Final'!$A$1:$A$2000"),'Calculations'!$EM354)="","",TRIM(INDEX(INDIRECT("'WCM Calibration Final'!$A$1:$A$2000"),'Calculations'!$EM354)&amp;"")),""))),IF(IFERROR(IF(INDEX(INDIRECT("'WCM Calibration Final'!$C$1:$C$2000"),'Calculations'!$EM354)="","",TRIM(INDEX(INDIRECT("'WCM Calibration Final'!$C$1:$C$2000"),'Calculations'!$EM354)&amp;"")),"")&lt;&gt;"","S:"&amp;UPPER(IFERROR(IF(INDEX(INDIRECT("'WCM Calibration Final'!$C$1:$C$2000"),'Calculations'!$EM354)="","",TRIM(INDEX(INDIRECT("'WCM Calibration Final'!$C$1:$C$2000"),'Calculations'!$EM354)&amp;"")),"")),"R:"&amp;'Calculations'!EM354)))</x:f>
      </x:c>
      <x:c r="HF354" t="str">
        <x:f>IF('Calculations'!EM354="","",IF(IFERROR(IF(INDEX(INDIRECT("'WCM Calibration Final'!$D$1:$D$2000"),'Calculations'!$EM354)="","",TRIM(INDEX(INDIRECT("'WCM Calibration Final'!$D$1:$D$2000"),'Calculations'!$EM354)&amp;"")),"")&lt;&gt;"","G:"&amp;IFERROR(TEXT(1*INDEX(INDIRECT("'WCM Calibration Final'!$D$1:$D$2000"),'Calculations'!$EM354),"0"),UPPER(IFERROR(IF(INDEX(INDIRECT("'WCM Calibration Final'!$D$1:$D$2000"),'Calculations'!$EM354)="","",TRIM(INDEX(INDIRECT("'WCM Calibration Final'!$D$1:$D$2000"),'Calculations'!$EM354)&amp;"")),""))),IF(IFERROR(IF(INDEX(INDIRECT("'WCM Calibration Final'!$E$1:$E$2000"),'Calculations'!$EM354)="","",TRIM(INDEX(INDIRECT("'WCM Calibration Final'!$E$1:$E$2000"),'Calculations'!$EM354)&amp;"")),"")="","",IF(COUNTIF('Calculations'!$HG$13:$HG$512,"="&amp;SUBSTITUTE(SUBSTITUTE(SUBSTITUTE(IFERROR(IF(INDEX(INDIRECT("'WCM Calibration Final'!$E$1:$E$2000"),'Calculations'!$EM354)="","",TRIM(INDEX(INDIRECT("'WCM Calibration Final'!$E$1:$E$2000"),'Calculations'!$EM354)&amp;"")),""),"~","~~"),"*","~*"),"?","~?"))=1,INDEX('Calculations'!$HE$13:$HE$512,MATCH(IFERROR(IF(INDEX(INDIRECT("'WCM Calibration Final'!$E$1:$E$2000"),'Calculations'!$EM354)="","",TRIM(INDEX(INDIRECT("'WCM Calibration Final'!$E$1:$E$2000"),'Calculations'!$EM354)&amp;"")),""),'Calculations'!$HG$13:$HG$512,0)),IF(COUNTIF('Calculations'!$HG$13:$HG$512,"="&amp;SUBSTITUTE(SUBSTITUTE(SUBSTITUTE(IFERROR(IF(INDEX(INDIRECT("'WCM Calibration Final'!$E$1:$E$2000"),'Calculations'!$EM354)="","",TRIM(INDEX(INDIRECT("'WCM Calibration Final'!$E$1:$E$2000"),'Calculations'!$EM354)&amp;"")),""),"~","~~"),"*","~*"),"?","~?"))&gt;1,"!AMBIG","X:"&amp;IFERROR(IF(INDEX(INDIRECT("'WCM Calibration Final'!$E$1:$E$2000"),'Calculations'!$EM354)="","",TRIM(INDEX(INDIRECT("'WCM Calibration Final'!$E$1:$E$2000"),'Calculations'!$EM354)&amp;"")),""))))))</x:f>
      </x:c>
      <x:c r="HG354" t="str">
        <x:f>IF('Calculations'!EM354="","",IFERROR(IF(INDEX(INDIRECT("'WCM Calibration Final'!$B$1:$B$2000"),'Calculations'!$EM354)="","",TRIM(INDEX(INDIRECT("'WCM Calibration Final'!$B$1:$B$2000"),'Calculations'!$EM354)&amp;"")),""))</x:f>
      </x:c>
      <x:c r="HH354" t="n">
        <x:f>IF(AND('Calculations'!JC354&gt;0,COUNTIF('Calculations'!$HF$12:HF354,"="&amp;SUBSTITUTE(SUBSTITUTE(SUBSTITUTE('Calculations'!HF354,"~","~~"),"*","~*"),"?","~?"))=1),MAX('Calculations'!$HH$12:HH353)+1,0)</x:f>
        <x:v>0</x:v>
      </x:c>
      <x:c r="HI354" t="n">
        <x:f>IF(AND('Calculations'!HN354&lt;&gt;"",COUNTIF('Calculations'!$HN$12:HN354,"="&amp;SUBSTITUTE(SUBSTITUTE(SUBSTITUTE('Calculations'!HN354,"~","~~"),"*","~*"),"?","~?"))=1),MAX('Calculations'!$HI$12:HI353)+1,0)</x:f>
        <x:v>0</x:v>
      </x:c>
      <x:c r="HJ354" t="str">
        <x:f>IF('Calculations'!HF354="","",IF(COUNTIF('Calculations'!$HE$13:$HE$512,"="&amp;SUBSTITUTE(SUBSTITUTE(SUBSTITUTE('Calculations'!HF354,"~","~~"),"*","~*"),"?","~?"))=1,INDEX('Calculations'!$HK$13:$HK$512,MATCH('Calculations'!HF354,'Calculations'!$HE$13:$HE$512,0)),IFERROR(IF(INDEX(INDIRECT("'WCM Calibration Final'!$E$1:$E$2000"),'Calculations'!$EM354)="","",TRIM(INDEX(INDIRECT("'WCM Calibration Final'!$E$1:$E$2000"),'Calculations'!$EM354)&amp;"")),"")&amp;" ["&amp;'Calculations'!HF354&amp;"]"))</x:f>
      </x:c>
      <x:c r="HK354" t="str">
        <x:f>IF('Calculations'!EM354="","",'Calculations'!HG354&amp;" ["&amp;'Calculations'!HE354&amp;"]")</x:f>
      </x:c>
      <x:c r="HL354" t="n">
        <x:f>IF('Calculations'!EM354="",0,IF(OR('Calculations'!II354&lt;&gt;"",COUNTIF('Calculations'!$HE$13:$HE$512,"="&amp;SUBSTITUTE(SUBSTITUTE(SUBSTITUTE('Calculations'!HE354,"~","~~"),"*","~*"),"?","~?"))&gt;1),1,0))</x:f>
        <x:v>0</x:v>
      </x:c>
      <x:c r="HM354" t="str">
        <x:f>IF('Calculations'!EM354="","",IF('Calculations'!HL354=1,"!UNRESOLVED",IF('Calculations'!IH354&lt;&gt;"",'Calculations'!IH354,IF('Calculations'!IG354&lt;&gt;"",'Calculations'!IG354,IF('Calculations'!IF354&lt;&gt;"",'Calculations'!IF354,IF('Calculations'!IE354&lt;&gt;"",'Calculations'!IE354,IF('Calculations'!ID354&lt;&gt;"",'Calculations'!ID354,IF('Calculations'!IC354&lt;&gt;"",'Calculations'!IC354,IF('Calculations'!IB354&lt;&gt;"",'Calculations'!IB354,IF('Calculations'!IA354&lt;&gt;"",'Calculations'!IA354,IF('Calculations'!HZ354&lt;&gt;"",'Calculations'!HZ354,IF('Calculations'!HY354&lt;&gt;"",'Calculations'!HY354,IF('Calculations'!HX354&lt;&gt;"",'Calculations'!HX354,IF('Calculations'!HW354&lt;&gt;"",'Calculations'!HW354,IF('Calculations'!HV354&lt;&gt;"",'Calculations'!HV354,IF('Calculations'!HU354&lt;&gt;"",'Calculations'!HU354,IF('Calculations'!HT354&lt;&gt;"",'Calculations'!HT354,IF('Calculations'!HS354&lt;&gt;"",'Calculations'!HS354,IF('Calculations'!HR354&lt;&gt;"",'Calculations'!HR354,IF('Calculations'!HQ354&lt;&gt;"",'Calculations'!HQ354,IF('Calculations'!HP354&lt;&gt;"",'Calculations'!HP354,IF('Calculations'!HO354&lt;&gt;"",'Calculations'!HO354,'Calculations'!HE354))))))))))))))))))))))</x:f>
      </x:c>
      <x:c r="HN354" t="str">
        <x:f>IF('Calculations'!EM354="","",IF(IFERROR(IF(INDEX(INDIRECT("'WCM Calibration Final'!$F$1:$F$2000"),'Calculations'!$EM354)="","",TRIM(INDEX(INDIRECT("'WCM Calibration Final'!$F$1:$F$2000"),'Calculations'!$EM354)&amp;"")),"")="","(Blank)",IFERROR(IF(INDEX(INDIRECT("'WCM Calibration Final'!$F$1:$F$2000"),'Calculations'!$EM354)="","",TRIM(INDEX(INDIRECT("'WCM Calibration Final'!$F$1:$F$2000"),'Calculations'!$EM354)&amp;"")),"")))</x:f>
      </x:c>
      <x:c r="HO354" t="str">
        <x:f>'Calculations'!HF354</x:f>
      </x:c>
      <x:c r="HP354" t="str">
        <x:f>IF('Calculations'!HO354="","",IF('Calculations'!HO354="!AMBIG","!AMBIG",IF(COUNTIF('Calculations'!$HE$13:$HE$512,"="&amp;SUBSTITUTE(SUBSTITUTE(SUBSTITUTE('Calculations'!HO354,"~","~~"),"*","~*"),"?","~?"))&gt;1,"!AMBIG",IFERROR(INDEX('Calculations'!$HF$13:$HF$512,MATCH('Calculations'!HO354,'Calculations'!$HE$13:$HE$512,0)),""))))</x:f>
      </x:c>
      <x:c r="HQ354" t="str">
        <x:f>IF('Calculations'!HP354="","",IF('Calculations'!HP354="!AMBIG","!AMBIG",IF(COUNTIF('Calculations'!$HE$13:$HE$512,"="&amp;SUBSTITUTE(SUBSTITUTE(SUBSTITUTE('Calculations'!HP354,"~","~~"),"*","~*"),"?","~?"))&gt;1,"!AMBIG",IFERROR(INDEX('Calculations'!$HF$13:$HF$512,MATCH('Calculations'!HP354,'Calculations'!$HE$13:$HE$512,0)),""))))</x:f>
      </x:c>
      <x:c r="HR354" t="str">
        <x:f>IF('Calculations'!HQ354="","",IF('Calculations'!HQ354="!AMBIG","!AMBIG",IF(COUNTIF('Calculations'!$HE$13:$HE$512,"="&amp;SUBSTITUTE(SUBSTITUTE(SUBSTITUTE('Calculations'!HQ354,"~","~~"),"*","~*"),"?","~?"))&gt;1,"!AMBIG",IFERROR(INDEX('Calculations'!$HF$13:$HF$512,MATCH('Calculations'!HQ354,'Calculations'!$HE$13:$HE$512,0)),""))))</x:f>
      </x:c>
      <x:c r="HS354" t="str">
        <x:f>IF('Calculations'!HR354="","",IF('Calculations'!HR354="!AMBIG","!AMBIG",IF(COUNTIF('Calculations'!$HE$13:$HE$512,"="&amp;SUBSTITUTE(SUBSTITUTE(SUBSTITUTE('Calculations'!HR354,"~","~~"),"*","~*"),"?","~?"))&gt;1,"!AMBIG",IFERROR(INDEX('Calculations'!$HF$13:$HF$512,MATCH('Calculations'!HR354,'Calculations'!$HE$13:$HE$512,0)),""))))</x:f>
      </x:c>
      <x:c r="HT354" t="str">
        <x:f>IF('Calculations'!HS354="","",IF('Calculations'!HS354="!AMBIG","!AMBIG",IF(COUNTIF('Calculations'!$HE$13:$HE$512,"="&amp;SUBSTITUTE(SUBSTITUTE(SUBSTITUTE('Calculations'!HS354,"~","~~"),"*","~*"),"?","~?"))&gt;1,"!AMBIG",IFERROR(INDEX('Calculations'!$HF$13:$HF$512,MATCH('Calculations'!HS354,'Calculations'!$HE$13:$HE$512,0)),""))))</x:f>
      </x:c>
      <x:c r="HU354" t="str">
        <x:f>IF('Calculations'!HT354="","",IF('Calculations'!HT354="!AMBIG","!AMBIG",IF(COUNTIF('Calculations'!$HE$13:$HE$512,"="&amp;SUBSTITUTE(SUBSTITUTE(SUBSTITUTE('Calculations'!HT354,"~","~~"),"*","~*"),"?","~?"))&gt;1,"!AMBIG",IFERROR(INDEX('Calculations'!$HF$13:$HF$512,MATCH('Calculations'!HT354,'Calculations'!$HE$13:$HE$512,0)),""))))</x:f>
      </x:c>
      <x:c r="HV354" t="str">
        <x:f>IF('Calculations'!HU354="","",IF('Calculations'!HU354="!AMBIG","!AMBIG",IF(COUNTIF('Calculations'!$HE$13:$HE$512,"="&amp;SUBSTITUTE(SUBSTITUTE(SUBSTITUTE('Calculations'!HU354,"~","~~"),"*","~*"),"?","~?"))&gt;1,"!AMBIG",IFERROR(INDEX('Calculations'!$HF$13:$HF$512,MATCH('Calculations'!HU354,'Calculations'!$HE$13:$HE$512,0)),""))))</x:f>
      </x:c>
      <x:c r="HW354" t="str">
        <x:f>IF('Calculations'!HV354="","",IF('Calculations'!HV354="!AMBIG","!AMBIG",IF(COUNTIF('Calculations'!$HE$13:$HE$512,"="&amp;SUBSTITUTE(SUBSTITUTE(SUBSTITUTE('Calculations'!HV354,"~","~~"),"*","~*"),"?","~?"))&gt;1,"!AMBIG",IFERROR(INDEX('Calculations'!$HF$13:$HF$512,MATCH('Calculations'!HV354,'Calculations'!$HE$13:$HE$512,0)),""))))</x:f>
      </x:c>
      <x:c r="HX354" t="str">
        <x:f>IF('Calculations'!HW354="","",IF('Calculations'!HW354="!AMBIG","!AMBIG",IF(COUNTIF('Calculations'!$HE$13:$HE$512,"="&amp;SUBSTITUTE(SUBSTITUTE(SUBSTITUTE('Calculations'!HW354,"~","~~"),"*","~*"),"?","~?"))&gt;1,"!AMBIG",IFERROR(INDEX('Calculations'!$HF$13:$HF$512,MATCH('Calculations'!HW354,'Calculations'!$HE$13:$HE$512,0)),""))))</x:f>
      </x:c>
      <x:c r="HY354" t="str">
        <x:f>IF('Calculations'!HX354="","",IF('Calculations'!HX354="!AMBIG","!AMBIG",IF(COUNTIF('Calculations'!$HE$13:$HE$512,"="&amp;SUBSTITUTE(SUBSTITUTE(SUBSTITUTE('Calculations'!HX354,"~","~~"),"*","~*"),"?","~?"))&gt;1,"!AMBIG",IFERROR(INDEX('Calculations'!$HF$13:$HF$512,MATCH('Calculations'!HX354,'Calculations'!$HE$13:$HE$512,0)),""))))</x:f>
      </x:c>
      <x:c r="HZ354" t="str">
        <x:f>IF('Calculations'!HY354="","",IF('Calculations'!HY354="!AMBIG","!AMBIG",IF(COUNTIF('Calculations'!$HE$13:$HE$512,"="&amp;SUBSTITUTE(SUBSTITUTE(SUBSTITUTE('Calculations'!HY354,"~","~~"),"*","~*"),"?","~?"))&gt;1,"!AMBIG",IFERROR(INDEX('Calculations'!$HF$13:$HF$512,MATCH('Calculations'!HY354,'Calculations'!$HE$13:$HE$512,0)),""))))</x:f>
      </x:c>
      <x:c r="IA354" t="str">
        <x:f>IF('Calculations'!HZ354="","",IF('Calculations'!HZ354="!AMBIG","!AMBIG",IF(COUNTIF('Calculations'!$HE$13:$HE$512,"="&amp;SUBSTITUTE(SUBSTITUTE(SUBSTITUTE('Calculations'!HZ354,"~","~~"),"*","~*"),"?","~?"))&gt;1,"!AMBIG",IFERROR(INDEX('Calculations'!$HF$13:$HF$512,MATCH('Calculations'!HZ354,'Calculations'!$HE$13:$HE$512,0)),""))))</x:f>
      </x:c>
      <x:c r="IB354" t="str">
        <x:f>IF('Calculations'!IA354="","",IF('Calculations'!IA354="!AMBIG","!AMBIG",IF(COUNTIF('Calculations'!$HE$13:$HE$512,"="&amp;SUBSTITUTE(SUBSTITUTE(SUBSTITUTE('Calculations'!IA354,"~","~~"),"*","~*"),"?","~?"))&gt;1,"!AMBIG",IFERROR(INDEX('Calculations'!$HF$13:$HF$512,MATCH('Calculations'!IA354,'Calculations'!$HE$13:$HE$512,0)),""))))</x:f>
      </x:c>
      <x:c r="IC354" t="str">
        <x:f>IF('Calculations'!IB354="","",IF('Calculations'!IB354="!AMBIG","!AMBIG",IF(COUNTIF('Calculations'!$HE$13:$HE$512,"="&amp;SUBSTITUTE(SUBSTITUTE(SUBSTITUTE('Calculations'!IB354,"~","~~"),"*","~*"),"?","~?"))&gt;1,"!AMBIG",IFERROR(INDEX('Calculations'!$HF$13:$HF$512,MATCH('Calculations'!IB354,'Calculations'!$HE$13:$HE$512,0)),""))))</x:f>
      </x:c>
      <x:c r="ID354" t="str">
        <x:f>IF('Calculations'!IC354="","",IF('Calculations'!IC354="!AMBIG","!AMBIG",IF(COUNTIF('Calculations'!$HE$13:$HE$512,"="&amp;SUBSTITUTE(SUBSTITUTE(SUBSTITUTE('Calculations'!IC354,"~","~~"),"*","~*"),"?","~?"))&gt;1,"!AMBIG",IFERROR(INDEX('Calculations'!$HF$13:$HF$512,MATCH('Calculations'!IC354,'Calculations'!$HE$13:$HE$512,0)),""))))</x:f>
      </x:c>
      <x:c r="IE354" t="str">
        <x:f>IF('Calculations'!ID354="","",IF('Calculations'!ID354="!AMBIG","!AMBIG",IF(COUNTIF('Calculations'!$HE$13:$HE$512,"="&amp;SUBSTITUTE(SUBSTITUTE(SUBSTITUTE('Calculations'!ID354,"~","~~"),"*","~*"),"?","~?"))&gt;1,"!AMBIG",IFERROR(INDEX('Calculations'!$HF$13:$HF$512,MATCH('Calculations'!ID354,'Calculations'!$HE$13:$HE$512,0)),""))))</x:f>
      </x:c>
      <x:c r="IF354" t="str">
        <x:f>IF('Calculations'!IE354="","",IF('Calculations'!IE354="!AMBIG","!AMBIG",IF(COUNTIF('Calculations'!$HE$13:$HE$512,"="&amp;SUBSTITUTE(SUBSTITUTE(SUBSTITUTE('Calculations'!IE354,"~","~~"),"*","~*"),"?","~?"))&gt;1,"!AMBIG",IFERROR(INDEX('Calculations'!$HF$13:$HF$512,MATCH('Calculations'!IE354,'Calculations'!$HE$13:$HE$512,0)),""))))</x:f>
      </x:c>
      <x:c r="IG354" t="str">
        <x:f>IF('Calculations'!IF354="","",IF('Calculations'!IF354="!AMBIG","!AMBIG",IF(COUNTIF('Calculations'!$HE$13:$HE$512,"="&amp;SUBSTITUTE(SUBSTITUTE(SUBSTITUTE('Calculations'!IF354,"~","~~"),"*","~*"),"?","~?"))&gt;1,"!AMBIG",IFERROR(INDEX('Calculations'!$HF$13:$HF$512,MATCH('Calculations'!IF354,'Calculations'!$HE$13:$HE$512,0)),""))))</x:f>
      </x:c>
      <x:c r="IH354" t="str">
        <x:f>IF('Calculations'!IG354="","",IF('Calculations'!IG354="!AMBIG","!AMBIG",IF(COUNTIF('Calculations'!$HE$13:$HE$512,"="&amp;SUBSTITUTE(SUBSTITUTE(SUBSTITUTE('Calculations'!IG354,"~","~~"),"*","~*"),"?","~?"))&gt;1,"!AMBIG",IFERROR(INDEX('Calculations'!$HF$13:$HF$512,MATCH('Calculations'!IG354,'Calculations'!$HE$13:$HE$512,0)),""))))</x:f>
      </x:c>
      <x:c r="II354" t="str">
        <x:f>IF('Calculations'!IH354="","",IF('Calculations'!IH354="!AMBIG","!AMBIG",IF(COUNTIF('Calculations'!$HE$13:$HE$512,"="&amp;SUBSTITUTE(SUBSTITUTE(SUBSTITUTE('Calculations'!IH354,"~","~~"),"*","~*"),"?","~?"))&gt;1,"!AMBIG",IFERROR(INDEX('Calculations'!$HF$13:$HF$512,MATCH('Calculations'!IH354,'Calculations'!$HE$13:$HE$512,0)),""))))</x:f>
      </x:c>
      <x:c r="IJ354" t="str">
        <x:f>IF('Calculations'!EM354="","",IF('Calculations'!$EF$2="All",'Calculations'!HM354,IF('Calculations'!HL354=1,"",IFERROR(IF(MATCH('Calculations'!$EF$2,'Calculations'!HO354:II354,0)=1,'Calculations'!HE354,INDEX('Calculations'!HO354:II354,1,MATCH('Calculations'!$EF$2,'Calculations'!HO354:II354,0)-1)),""))))</x:f>
      </x:c>
      <x:c r="IK354" t="n">
        <x:f>IF(AND('Calculations'!EM354&lt;&gt;"",'Calculations'!$EF$2&lt;&gt;"All",'Calculations'!HF354='Calculations'!$EF$2,'Calculations'!HL354=0,'Calculations'!JD354&gt;0),MAX('Calculations'!$IK$12:IK353)+1,0)</x:f>
        <x:v>0</x:v>
      </x:c>
      <x:c r="JA354" t="n">
        <x:f>IF(OR(IFERROR(INDIRECT("'WCM Calibration Final'!$A$354")&lt;&gt;"",FALSE),IFERROR(INDIRECT("'WCM Calibration Final'!$B$354")&lt;&gt;"",FALSE),IFERROR(INDIRECT("'WCM Calibration Final'!$C$354")&lt;&gt;"",FALSE)),354,0)</x:f>
        <x:v>0</x:v>
      </x:c>
      <x:c r="JB354" t="n">
        <x:f>'Calculations'!JB353+IF('Calculations'!JA354&gt;0,1,0)</x:f>
        <x:v>0</x:v>
      </x:c>
      <x:c r="JC354" t="n">
        <x:f>IF(OR('Calculations'!HF354="",'Calculations'!HF354="!AMBIG"),0,IF('Dashboard'!$B$7="All",1,COUNTIFS('Calculations'!$HO$13:$HO$512,"="&amp;SUBSTITUTE(SUBSTITUTE(SUBSTITUTE('Calculations'!HF354,"~","~~"),"*","~*"),"?","~?"),'Calculations'!$HN$13:$HN$512,"="&amp;SUBSTITUTE(SUBSTITUTE(SUBSTITUTE('Dashboard'!$B$7,"~","~~"),"*","~*"),"?","~?"))+COUNTIFS('Calculations'!$HP$13:$HP$512,"="&amp;SUBSTITUTE(SUBSTITUTE(SUBSTITUTE('Calculations'!HF354,"~","~~"),"*","~*"),"?","~?"),'Calculations'!$HN$13:$HN$512,"="&amp;SUBSTITUTE(SUBSTITUTE(SUBSTITUTE('Dashboard'!$B$7,"~","~~"),"*","~*"),"?","~?"))+COUNTIFS('Calculations'!$HQ$13:$HQ$512,"="&amp;SUBSTITUTE(SUBSTITUTE(SUBSTITUTE('Calculations'!HF354,"~","~~"),"*","~*"),"?","~?"),'Calculations'!$HN$13:$HN$512,"="&amp;SUBSTITUTE(SUBSTITUTE(SUBSTITUTE('Dashboard'!$B$7,"~","~~"),"*","~*"),"?","~?"))+COUNTIFS('Calculations'!$HR$13:$HR$512,"="&amp;SUBSTITUTE(SUBSTITUTE(SUBSTITUTE('Calculations'!HF354,"~","~~"),"*","~*"),"?","~?"),'Calculations'!$HN$13:$HN$512,"="&amp;SUBSTITUTE(SUBSTITUTE(SUBSTITUTE('Dashboard'!$B$7,"~","~~"),"*","~*"),"?","~?"))+COUNTIFS('Calculations'!$HS$13:$HS$512,"="&amp;SUBSTITUTE(SUBSTITUTE(SUBSTITUTE('Calculations'!HF354,"~","~~"),"*","~*"),"?","~?"),'Calculations'!$HN$13:$HN$512,"="&amp;SUBSTITUTE(SUBSTITUTE(SUBSTITUTE('Dashboard'!$B$7,"~","~~"),"*","~*"),"?","~?"))+COUNTIFS('Calculations'!$HT$13:$HT$512,"="&amp;SUBSTITUTE(SUBSTITUTE(SUBSTITUTE('Calculations'!HF354,"~","~~"),"*","~*"),"?","~?"),'Calculations'!$HN$13:$HN$512,"="&amp;SUBSTITUTE(SUBSTITUTE(SUBSTITUTE('Dashboard'!$B$7,"~","~~"),"*","~*"),"?","~?"))+COUNTIFS('Calculations'!$HU$13:$HU$512,"="&amp;SUBSTITUTE(SUBSTITUTE(SUBSTITUTE('Calculations'!HF354,"~","~~"),"*","~*"),"?","~?"),'Calculations'!$HN$13:$HN$512,"="&amp;SUBSTITUTE(SUBSTITUTE(SUBSTITUTE('Dashboard'!$B$7,"~","~~"),"*","~*"),"?","~?"))+COUNTIFS('Calculations'!$HV$13:$HV$512,"="&amp;SUBSTITUTE(SUBSTITUTE(SUBSTITUTE('Calculations'!HF354,"~","~~"),"*","~*"),"?","~?"),'Calculations'!$HN$13:$HN$512,"="&amp;SUBSTITUTE(SUBSTITUTE(SUBSTITUTE('Dashboard'!$B$7,"~","~~"),"*","~*"),"?","~?"))+COUNTIFS('Calculations'!$HW$13:$HW$512,"="&amp;SUBSTITUTE(SUBSTITUTE(SUBSTITUTE('Calculations'!HF354,"~","~~"),"*","~*"),"?","~?"),'Calculations'!$HN$13:$HN$512,"="&amp;SUBSTITUTE(SUBSTITUTE(SUBSTITUTE('Dashboard'!$B$7,"~","~~"),"*","~*"),"?","~?"))+COUNTIFS('Calculations'!$HX$13:$HX$512,"="&amp;SUBSTITUTE(SUBSTITUTE(SUBSTITUTE('Calculations'!HF354,"~","~~"),"*","~*"),"?","~?"),'Calculations'!$HN$13:$HN$512,"="&amp;SUBSTITUTE(SUBSTITUTE(SUBSTITUTE('Dashboard'!$B$7,"~","~~"),"*","~*"),"?","~?"))+COUNTIFS('Calculations'!$HY$13:$HY$512,"="&amp;SUBSTITUTE(SUBSTITUTE(SUBSTITUTE('Calculations'!HF354,"~","~~"),"*","~*"),"?","~?"),'Calculations'!$HN$13:$HN$512,"="&amp;SUBSTITUTE(SUBSTITUTE(SUBSTITUTE('Dashboard'!$B$7,"~","~~"),"*","~*"),"?","~?"))+COUNTIFS('Calculations'!$HZ$13:$HZ$512,"="&amp;SUBSTITUTE(SUBSTITUTE(SUBSTITUTE('Calculations'!HF354,"~","~~"),"*","~*"),"?","~?"),'Calculations'!$HN$13:$HN$512,"="&amp;SUBSTITUTE(SUBSTITUTE(SUBSTITUTE('Dashboard'!$B$7,"~","~~"),"*","~*"),"?","~?"))+COUNTIFS('Calculations'!$IA$13:$IA$512,"="&amp;SUBSTITUTE(SUBSTITUTE(SUBSTITUTE('Calculations'!HF354,"~","~~"),"*","~*"),"?","~?"),'Calculations'!$HN$13:$HN$512,"="&amp;SUBSTITUTE(SUBSTITUTE(SUBSTITUTE('Dashboard'!$B$7,"~","~~"),"*","~*"),"?","~?"))+COUNTIFS('Calculations'!$IB$13:$IB$512,"="&amp;SUBSTITUTE(SUBSTITUTE(SUBSTITUTE('Calculations'!HF354,"~","~~"),"*","~*"),"?","~?"),'Calculations'!$HN$13:$HN$512,"="&amp;SUBSTITUTE(SUBSTITUTE(SUBSTITUTE('Dashboard'!$B$7,"~","~~"),"*","~*"),"?","~?"))+COUNTIFS('Calculations'!$IC$13:$IC$512,"="&amp;SUBSTITUTE(SUBSTITUTE(SUBSTITUTE('Calculations'!HF354,"~","~~"),"*","~*"),"?","~?"),'Calculations'!$HN$13:$HN$512,"="&amp;SUBSTITUTE(SUBSTITUTE(SUBSTITUTE('Dashboard'!$B$7,"~","~~"),"*","~*"),"?","~?"))+COUNTIFS('Calculations'!$ID$13:$ID$512,"="&amp;SUBSTITUTE(SUBSTITUTE(SUBSTITUTE('Calculations'!HF354,"~","~~"),"*","~*"),"?","~?"),'Calculations'!$HN$13:$HN$512,"="&amp;SUBSTITUTE(SUBSTITUTE(SUBSTITUTE('Dashboard'!$B$7,"~","~~"),"*","~*"),"?","~?"))+COUNTIFS('Calculations'!$IE$13:$IE$512,"="&amp;SUBSTITUTE(SUBSTITUTE(SUBSTITUTE('Calculations'!HF354,"~","~~"),"*","~*"),"?","~?"),'Calculations'!$HN$13:$HN$512,"="&amp;SUBSTITUTE(SUBSTITUTE(SUBSTITUTE('Dashboard'!$B$7,"~","~~"),"*","~*"),"?","~?"))+COUNTIFS('Calculations'!$IF$13:$IF$512,"="&amp;SUBSTITUTE(SUBSTITUTE(SUBSTITUTE('Calculations'!HF354,"~","~~"),"*","~*"),"?","~?"),'Calculations'!$HN$13:$HN$512,"="&amp;SUBSTITUTE(SUBSTITUTE(SUBSTITUTE('Dashboard'!$B$7,"~","~~"),"*","~*"),"?","~?"))+COUNTIFS('Calculations'!$IG$13:$IG$512,"="&amp;SUBSTITUTE(SUBSTITUTE(SUBSTITUTE('Calculations'!HF354,"~","~~"),"*","~*"),"?","~?"),'Calculations'!$HN$13:$HN$512,"="&amp;SUBSTITUTE(SUBSTITUTE(SUBSTITUTE('Dashboard'!$B$7,"~","~~"),"*","~*"),"?","~?"))+COUNTIFS('Calculations'!$IH$13:$IH$512,"="&amp;SUBSTITUTE(SUBSTITUTE(SUBSTITUTE('Calculations'!HF354,"~","~~"),"*","~*"),"?","~?"),'Calculations'!$HN$13:$HN$512,"="&amp;SUBSTITUTE(SUBSTITUTE(SUBSTITUTE('Dashboard'!$B$7,"~","~~"),"*","~*"),"?","~?"))))</x:f>
        <x:v>0</x:v>
      </x:c>
      <x:c r="JD354" t="n">
        <x:f>IF('Calculations'!EM354="",0,IF('Dashboard'!$B$7="All",1,IF('Calculations'!HN354='Dashboard'!$B$7,1,0)+IFERROR(INDEX('Calculations'!$JC$13:$JC$512,MATCH('Calculations'!HE354,'Calculations'!$HF$13:$HF$512,0)),0)))</x:f>
        <x:v>0</x:v>
      </x:c>
      <x:c r="JE354" t="n">
        <x:f>IF(AND('Calculations'!EM354&lt;&gt;"",'Calculations'!$JJ$2&lt;&gt;"All",'Calculations'!$JJ$2&lt;&gt;"",'Calculations'!HF354='Calculations'!$JJ$2,'Calculations'!HL354=0,'Calculations'!JD354&gt;0),MAX('Calculations'!$JE$12:JE353)+1,0)</x:f>
        <x:v>0</x:v>
      </x:c>
      <x:c r="JF354" t="str">
        <x:f>IF('Calculations'!EM354="","",IFERROR(IF(INDEX(INDIRECT("'WCM Calibration Final'!$G$1:$G$2000"),'Calculations'!$EM354)="","",TRIM(INDEX(INDIRECT("'WCM Calibration Final'!$G$1:$G$2000"),'Calculations'!$EM354)&amp;"")),""))</x:f>
      </x:c>
      <x:c r="JQ354" t="n">
        <x:f>IF(OR('Calculations'!BM354=0,NOT('Calculations'!$AG$2),'Calculations'!$AG$8&gt;0),0,IF(OR('Dashboard'!$B$7="All",'Calculations'!HN354='Dashboard'!$B$7),IF('Calculations'!$JJ$2="All",1,IF(AND('Calculations'!HF354='Calculations'!$JJ$2,'Calculations'!HL354=0),1,0)),0))</x:f>
        <x:v>0</x:v>
      </x:c>
    </x:row>
    <x:row r="355">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t="n">
        <x:f>IF('Calculations'!$EM355="",0,IF(OR(IFERROR(INDEX(INDIRECT("'WCM Calibration Final'!$A$1:$A$2000"),'Calculations'!$EM355)&lt;&gt;"",FALSE),IFERROR(INDEX(INDIRECT("'WCM Calibration Final'!$B$1:$B$2000"),'Calculations'!$EM355)&lt;&gt;"",FALSE),IFERROR(INDEX(INDIRECT("'WCM Calibration Final'!$C$1:$C$2000"),'Calculations'!$EM355)&lt;&gt;"",FALSE)),1,0))</x:f>
        <x:v>0</x:v>
      </x:c>
      <x:c r="BN355" s="4" t="n">
        <x:f>IF(AND('Calculations'!BM355=1,'Calculations'!$AG$2,'Calculations'!$EN355=1),1,0)</x:f>
        <x:v>0</x:v>
      </x:c>
      <x:c r="BO355" s="4" t="str">
        <x:f>IF('Calculations'!BM355=0,"",IFERROR(IF(AND(VALUE(INDEX(INDIRECT("'WCM Calibration Final'!$K$1:$K$2000"),'Calculations'!$EM355))&gt;=1,VALUE(INDEX(INDIRECT("'WCM Calibration Final'!$K$1:$K$2000"),'Calculations'!$EM355))&lt;=4,MOD(VALUE(INDEX(INDIRECT("'WCM Calibration Final'!$K$1:$K$2000"),'Calculations'!$EM355)),1)=0),VALUE(INDEX(INDIRECT("'WCM Calibration Final'!$K$1:$K$2000"),'Calculations'!$EM355)),""),""))</x:f>
      </x:c>
      <x:c r="BP355" s="4" t="str">
        <x:f>IF('Calculations'!BM355=0,"",IFERROR(IF(AND(VALUE(INDEX(INDIRECT("'WCM Calibration Final'!$L$1:$L$2000"),'Calculations'!$EM355))&gt;=1,VALUE(INDEX(INDIRECT("'WCM Calibration Final'!$L$1:$L$2000"),'Calculations'!$EM355))&lt;=4,MOD(VALUE(INDEX(INDIRECT("'WCM Calibration Final'!$L$1:$L$2000"),'Calculations'!$EM355)),1)=0),VALUE(INDEX(INDIRECT("'WCM Calibration Final'!$L$1:$L$2000"),'Calculations'!$EM355)),""),""))</x:f>
      </x:c>
      <x:c r="BQ355" s="4"/>
      <x:c r="BR355" s="4"/>
      <x:c r="BS355" s="4"/>
      <x:c r="BT355" s="4" t="n">
        <x:f>IF(AND('Calculations'!BM355=1,ISNUMBER('Calculations'!BO355),ISNUMBER('Calculations'!BP355)),1,0)</x:f>
        <x:v>0</x:v>
      </x:c>
      <x:c r="BU355" s="4" t="str">
        <x:f>IF('Calculations'!BM355=0,"",'Calculations'!$EO355)</x:f>
      </x:c>
      <x:c r="BV355" s="4" t="str">
        <x:f>IF('Calculations'!BM355=0,"",IFERROR(IF(OR(INDEX(INDIRECT("'WCM Calibration Final'!$H$1:$H$2000"),'Calculations'!$EM355)="MANAGING DIRECTOR",INDEX(INDIRECT("'WCM Calibration Final'!$H$1:$H$2000"),'Calculations'!$EM355)="DIRECTOR",INDEX(INDIRECT("'WCM Calibration Final'!$H$1:$H$2000"),'Calculations'!$EM355)="SENIOR VICE PRESIDENT",INDEX(INDIRECT("'WCM Calibration Final'!$H$1:$H$2000"),'Calculations'!$EM355)="VICE PRESIDENT",INDEX(INDIRECT("'WCM Calibration Final'!$H$1:$H$2000"),'Calculations'!$EM355)="ASSISTANT VICE PRESIDENT",INDEX(INDIRECT("'WCM Calibration Final'!$H$1:$H$2000"),'Calculations'!$EM355)="OFFICER"),UPPER(INDEX(INDIRECT("'WCM Calibration Final'!$H$1:$H$2000"),'Calculations'!$EM355)),"Other"),"Other"))</x:f>
      </x:c>
      <x:c r="BW355" s="4"/>
      <x:c r="BX355" s="4"/>
      <x:c r="BY355" s="4" t="n">
        <x:f>IF(AND('Calculations'!BM355=1,'Calculations'!BU355&lt;&gt;"",COUNTIF('Calculations'!$BU$12:BU355,'Calculations'!BU355)=1),MAX('Calculations'!$BY$11:BY354)+1,0)</x:f>
        <x:v>0</x:v>
      </x:c>
      <x:c r="BZ355" s="4" t="str">
        <x:f>IF('Dashboard'!$E$67="What",'Calculations'!BO355,'Calculations'!BP355)</x:f>
      </x:c>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t="str">
        <x:f>IF(344&gt;MAX('Calculations'!$HI$13:$HI$512),"",INDEX('Calculations'!$HN$13:$HN$512,MATCH(344,'Calculations'!$HI$13:$HI$512,0)))</x:f>
      </x:c>
      <x:c r="DB355" s="4" t="str">
        <x:f>IF(344&gt;MAX('Calculations'!$HH$13:$HH$512),"",INDEX('Calculations'!$HJ$13:$HJ$512,MATCH(344,'Calculations'!$HH$13:$HH$512,0)))</x:f>
      </x:c>
      <x:c r="DC355" s="4" t="str">
        <x:f>IF(ROW()-11&gt;MAX('Calculations'!$BY$13:$BY$512),"",INDEX('Calculations'!$BU$13:$BU$512,MATCH(ROW()-11,'Calculations'!$BY$13:$BY$512,0)))</x:f>
      </x:c>
      <x:c r="DD355" s="4" t="str">
        <x:f>IF(344&gt;MAX('Calculations'!$IK$13:$IK$512),"",INDEX('Calculations'!$HK$13:$HK$512,MATCH(344,'Calculations'!$IK$13:$IK$512,0)))</x:f>
      </x:c>
      <x:c r="DE355" s="4" t="str">
        <x:f>'Calculations'!DC355</x:f>
      </x:c>
      <x:c r="DF355" s="4" t="str">
        <x:f>IF('Calculations'!DE355="","",COUNTIFS('Calculations'!$BN$13:$BN$512,1,'Calculations'!$BU$13:$BU$512,'Calculations'!DE355))</x:f>
      </x:c>
      <x:c r="DG355" s="4" t="str">
        <x:f>IF('Calculations'!DE355="","",COUNTIFS('Calculations'!$BN$13:$BN$512,1,'Calculations'!$BU$13:$BU$512,'Calculations'!DE355,'Calculations'!$BT$13:$BT$512,1))</x:f>
      </x:c>
      <x:c r="DH355" s="4" t="str">
        <x:f>IF('Calculations'!DE355="","",'Calculations'!DF355-'Calculations'!DG355)</x:f>
      </x:c>
      <x:c r="DI355" s="4" t="str">
        <x:f>IF(OR('Calculations'!DE355="",'Calculations'!DF355=0),"",'Calculations'!DG355/'Calculations'!DF355)</x:f>
      </x:c>
      <x:c r="DJ355" s="4" t="str">
        <x:f>IF('Calculations'!DE355="","",COUNTIFS('Calculations'!$BN$13:$BN$512,1,'Calculations'!$BU$13:$BU$512,'Calculations'!DE355,'Calculations'!$BT$13:$BT$512,1,'Calculations'!$EE$13:$EE$512,"High"))</x:f>
      </x:c>
      <x:c r="DK355" s="4" t="str">
        <x:f>IF('Calculations'!DE355="","",COUNTIFS('Calculations'!$BN$13:$BN$512,1,'Calculations'!$BU$13:$BU$512,'Calculations'!DE355,'Calculations'!$BT$13:$BT$512,1,'Calculations'!$EE$13:$EE$512,"Strong"))</x:f>
      </x:c>
      <x:c r="DL355" s="4" t="str">
        <x:f>IF('Calculations'!DE355="","",COUNTIFS('Calculations'!$BN$13:$BN$512,1,'Calculations'!$BU$13:$BU$512,'Calculations'!DE355,'Calculations'!$BT$13:$BT$512,1,'Calculations'!$EE$13:$EE$512,"Solid"))</x:f>
      </x:c>
      <x:c r="DM355" s="4" t="str">
        <x:f>IF('Calculations'!DE355="","",COUNTIFS('Calculations'!$BN$13:$BN$512,1,'Calculations'!$BU$13:$BU$512,'Calculations'!DE355,'Calculations'!$BT$13:$BT$512,1,'Calculations'!$EE$13:$EE$512,"Low"))</x:f>
      </x:c>
      <x:c r="DN355" s="4" t="str">
        <x:f>IF('Calculations'!DE355="","",COUNTIFS('Calculations'!$BN$13:$BN$512,1,'Calculations'!$BU$13:$BU$512,'Calculations'!DE355,'Calculations'!$EP$13:$EP$512,1))</x:f>
      </x:c>
      <x:c r="DO355" s="4" t="str">
        <x:f>IF(OR('Calculations'!DE355="",'Calculations'!DG355=0),"",('Calculations'!DJ355+'Calculations'!DK355)/'Calculations'!DG355)</x:f>
      </x:c>
      <x:c r="DP355" s="4" t="n">
        <x:f>IF(AND('Calculations'!DE355&lt;&gt;"",'Calculations'!DF355&gt;0),COUNTIF('Calculations'!$DF$12:DF355,"&gt;0"),0)</x:f>
        <x:v>0</x:v>
      </x:c>
      <x:c r="DQ355" s="4" t="str">
        <x:f>IF(344&gt;MAX('Calculations'!$HH$13:$HH$512),"",INDEX('Calculations'!$HF$13:$HF$512,MATCH(344,'Calculations'!$HH$13:$HH$512,0)))</x:f>
      </x:c>
      <x:c r="DR355" s="4" t="str">
        <x:f>IF(344&gt;MAX('Calculations'!$IK$13:$IK$512),"",INDEX('Calculations'!$HE$13:$HE$512,MATCH(344,'Calculations'!$IK$13:$IK$512,0)))</x:f>
      </x:c>
      <x:c r="DS355" s="4"/>
      <x:c r="DT355" s="4"/>
      <x:c r="DU355" s="4"/>
      <x:c r="DV355" s="4"/>
      <x:c r="DW355" s="4"/>
      <x:c r="DX355" s="4"/>
      <x:c r="DY355" s="4"/>
      <x:c r="DZ355" s="4"/>
      <x:c r="EA355" s="4"/>
      <x:c r="EB355" s="4"/>
      <x:c r="EC355" s="4"/>
      <x:c r="ED355" s="4"/>
      <x:c r="EE355" s="4" t="str">
        <x:f>IF('Calculations'!BT355=0,"Not Rated",IF(OR('Calculations'!BO355&gt;=4,'Calculations'!BP355&gt;=4),"Low",IF('Calculations'!BO355+'Calculations'!BP355&lt;=3,"High",IF('Calculations'!BO355+'Calculations'!BP355&lt;=4,"Strong","Solid"))))</x:f>
        <x:v>Not Rated</x:v>
      </x:c>
      <x:c r="EF355" s="4"/>
      <x:c r="EG355" s="4"/>
      <x:c r="EH355" s="4"/>
      <x:c r="EI355" s="4"/>
      <x:c r="EJ355" s="4"/>
      <x:c r="EK355" s="4"/>
      <x:c r="EL355" s="4"/>
      <x:c r="EM355" s="4" t="str">
        <x:f>IF(343&gt;'Calculations'!$JB$2000,"",INDEX('Calculations'!$JA$12:$JA$2000,MATCH(343,'Calculations'!$JB$12:$JB$2000,0)))</x:f>
      </x:c>
      <x:c r="EN355" s="4" t="n">
        <x:f>IF(OR('Calculations'!EM355="",'Calculations'!$AG$8&gt;0,AND('Calculations'!$EF$2&lt;&gt;"All",'Calculations'!HE355='Calculations'!$EF$2),AND('Calculations'!$EF$3&lt;&gt;"All",'Calculations'!HE355='Calculations'!$EF$3)),0,IF(OR('Dashboard'!$B$7="All",'Calculations'!HN355='Dashboard'!$B$7),IF('Calculations'!$EF$2="All",1,IF('Calculations'!HL355&gt;0,0,IF(COUNTIF('Calculations'!HO355:II355,"="&amp;SUBSTITUTE(SUBSTITUTE(SUBSTITUTE('Calculations'!$EF$2,"~","~~"),"*","~*"),"?","~?"))=0,0,IF('Calculations'!$EF$3="All",1,IF(COUNTIF('Calculations'!HO355:II355,"="&amp;SUBSTITUTE(SUBSTITUTE(SUBSTITUTE('Calculations'!$EF$3,"~","~~"),"*","~*"),"?","~?"))&gt;0,1,0))))),0))</x:f>
        <x:v>0</x:v>
      </x:c>
      <x:c r="EO355" s="4" t="str">
        <x:f>IF('Calculations'!IJ355="","",IF('Calculations'!IJ355="!UNRESOLVED","Unresolved hierarchy",IFERROR(INDEX('Calculations'!$HK$13:$HK$512,MATCH('Calculations'!IJ355,'Calculations'!$HE$13:$HE$512,0)),IFERROR(INDEX('Calculations'!$HJ$13:$HJ$512,MATCH('Calculations'!IJ355,'Calculations'!$HF$13:$HF$512,0)),'Calculations'!IJ355))))</x:f>
      </x:c>
      <x:c r="EP355" s="4" t="n">
        <x:f>IF(AND('Calculations'!EM355&lt;&gt;"",'Calculations'!HF355='Calculations'!IJ355),1,0)</x:f>
        <x:v>0</x:v>
      </x:c>
      <x:c r="EQ355" s="4"/>
      <x:c r="ER355" s="4"/>
      <x:c r="ES355" s="4"/>
      <x:c r="ET355" s="4"/>
      <x:c r="EU355" s="4"/>
      <x:c r="EV355" s="4"/>
      <x:c r="EW355" s="4"/>
      <x:c r="EX355" s="4"/>
      <x:c r="EY355" s="4"/>
      <x:c r="EZ355" s="4"/>
      <x:c r="FA355" s="4"/>
      <x:c r="FB355" s="4"/>
      <x:c r="FC355" s="4"/>
      <x:c r="FD355" s="4"/>
      <x:c r="FE355" s="4"/>
      <x:c r="FF355" s="4"/>
      <x:c r="FG355" s="4"/>
      <x:c r="FH355" s="4"/>
      <x:c r="FI355" s="4"/>
      <x:c r="FJ355" s="4"/>
      <x:c r="FK355" s="4"/>
      <x:c r="FL355" s="4"/>
      <x:c r="FM355" s="4"/>
      <x:c r="FN355" s="4"/>
      <x:c r="FO355" s="4"/>
      <x:c r="HE355" t="str">
        <x:f>IF('Calculations'!EM355="","",IF(IFERROR(IF(INDEX(INDIRECT("'WCM Calibration Final'!$A$1:$A$2000"),'Calculations'!$EM355)="","",TRIM(INDEX(INDIRECT("'WCM Calibration Final'!$A$1:$A$2000"),'Calculations'!$EM355)&amp;"")),"")&lt;&gt;"","G:"&amp;IFERROR(TEXT(1*INDEX(INDIRECT("'WCM Calibration Final'!$A$1:$A$2000"),'Calculations'!$EM355),"0"),UPPER(IFERROR(IF(INDEX(INDIRECT("'WCM Calibration Final'!$A$1:$A$2000"),'Calculations'!$EM355)="","",TRIM(INDEX(INDIRECT("'WCM Calibration Final'!$A$1:$A$2000"),'Calculations'!$EM355)&amp;"")),""))),IF(IFERROR(IF(INDEX(INDIRECT("'WCM Calibration Final'!$C$1:$C$2000"),'Calculations'!$EM355)="","",TRIM(INDEX(INDIRECT("'WCM Calibration Final'!$C$1:$C$2000"),'Calculations'!$EM355)&amp;"")),"")&lt;&gt;"","S:"&amp;UPPER(IFERROR(IF(INDEX(INDIRECT("'WCM Calibration Final'!$C$1:$C$2000"),'Calculations'!$EM355)="","",TRIM(INDEX(INDIRECT("'WCM Calibration Final'!$C$1:$C$2000"),'Calculations'!$EM355)&amp;"")),"")),"R:"&amp;'Calculations'!EM355)))</x:f>
      </x:c>
      <x:c r="HF355" t="str">
        <x:f>IF('Calculations'!EM355="","",IF(IFERROR(IF(INDEX(INDIRECT("'WCM Calibration Final'!$D$1:$D$2000"),'Calculations'!$EM355)="","",TRIM(INDEX(INDIRECT("'WCM Calibration Final'!$D$1:$D$2000"),'Calculations'!$EM355)&amp;"")),"")&lt;&gt;"","G:"&amp;IFERROR(TEXT(1*INDEX(INDIRECT("'WCM Calibration Final'!$D$1:$D$2000"),'Calculations'!$EM355),"0"),UPPER(IFERROR(IF(INDEX(INDIRECT("'WCM Calibration Final'!$D$1:$D$2000"),'Calculations'!$EM355)="","",TRIM(INDEX(INDIRECT("'WCM Calibration Final'!$D$1:$D$2000"),'Calculations'!$EM355)&amp;"")),""))),IF(IFERROR(IF(INDEX(INDIRECT("'WCM Calibration Final'!$E$1:$E$2000"),'Calculations'!$EM355)="","",TRIM(INDEX(INDIRECT("'WCM Calibration Final'!$E$1:$E$2000"),'Calculations'!$EM355)&amp;"")),"")="","",IF(COUNTIF('Calculations'!$HG$13:$HG$512,"="&amp;SUBSTITUTE(SUBSTITUTE(SUBSTITUTE(IFERROR(IF(INDEX(INDIRECT("'WCM Calibration Final'!$E$1:$E$2000"),'Calculations'!$EM355)="","",TRIM(INDEX(INDIRECT("'WCM Calibration Final'!$E$1:$E$2000"),'Calculations'!$EM355)&amp;"")),""),"~","~~"),"*","~*"),"?","~?"))=1,INDEX('Calculations'!$HE$13:$HE$512,MATCH(IFERROR(IF(INDEX(INDIRECT("'WCM Calibration Final'!$E$1:$E$2000"),'Calculations'!$EM355)="","",TRIM(INDEX(INDIRECT("'WCM Calibration Final'!$E$1:$E$2000"),'Calculations'!$EM355)&amp;"")),""),'Calculations'!$HG$13:$HG$512,0)),IF(COUNTIF('Calculations'!$HG$13:$HG$512,"="&amp;SUBSTITUTE(SUBSTITUTE(SUBSTITUTE(IFERROR(IF(INDEX(INDIRECT("'WCM Calibration Final'!$E$1:$E$2000"),'Calculations'!$EM355)="","",TRIM(INDEX(INDIRECT("'WCM Calibration Final'!$E$1:$E$2000"),'Calculations'!$EM355)&amp;"")),""),"~","~~"),"*","~*"),"?","~?"))&gt;1,"!AMBIG","X:"&amp;IFERROR(IF(INDEX(INDIRECT("'WCM Calibration Final'!$E$1:$E$2000"),'Calculations'!$EM355)="","",TRIM(INDEX(INDIRECT("'WCM Calibration Final'!$E$1:$E$2000"),'Calculations'!$EM355)&amp;"")),""))))))</x:f>
      </x:c>
      <x:c r="HG355" t="str">
        <x:f>IF('Calculations'!EM355="","",IFERROR(IF(INDEX(INDIRECT("'WCM Calibration Final'!$B$1:$B$2000"),'Calculations'!$EM355)="","",TRIM(INDEX(INDIRECT("'WCM Calibration Final'!$B$1:$B$2000"),'Calculations'!$EM355)&amp;"")),""))</x:f>
      </x:c>
      <x:c r="HH355" t="n">
        <x:f>IF(AND('Calculations'!JC355&gt;0,COUNTIF('Calculations'!$HF$12:HF355,"="&amp;SUBSTITUTE(SUBSTITUTE(SUBSTITUTE('Calculations'!HF355,"~","~~"),"*","~*"),"?","~?"))=1),MAX('Calculations'!$HH$12:HH354)+1,0)</x:f>
        <x:v>0</x:v>
      </x:c>
      <x:c r="HI355" t="n">
        <x:f>IF(AND('Calculations'!HN355&lt;&gt;"",COUNTIF('Calculations'!$HN$12:HN355,"="&amp;SUBSTITUTE(SUBSTITUTE(SUBSTITUTE('Calculations'!HN355,"~","~~"),"*","~*"),"?","~?"))=1),MAX('Calculations'!$HI$12:HI354)+1,0)</x:f>
        <x:v>0</x:v>
      </x:c>
      <x:c r="HJ355" t="str">
        <x:f>IF('Calculations'!HF355="","",IF(COUNTIF('Calculations'!$HE$13:$HE$512,"="&amp;SUBSTITUTE(SUBSTITUTE(SUBSTITUTE('Calculations'!HF355,"~","~~"),"*","~*"),"?","~?"))=1,INDEX('Calculations'!$HK$13:$HK$512,MATCH('Calculations'!HF355,'Calculations'!$HE$13:$HE$512,0)),IFERROR(IF(INDEX(INDIRECT("'WCM Calibration Final'!$E$1:$E$2000"),'Calculations'!$EM355)="","",TRIM(INDEX(INDIRECT("'WCM Calibration Final'!$E$1:$E$2000"),'Calculations'!$EM355)&amp;"")),"")&amp;" ["&amp;'Calculations'!HF355&amp;"]"))</x:f>
      </x:c>
      <x:c r="HK355" t="str">
        <x:f>IF('Calculations'!EM355="","",'Calculations'!HG355&amp;" ["&amp;'Calculations'!HE355&amp;"]")</x:f>
      </x:c>
      <x:c r="HL355" t="n">
        <x:f>IF('Calculations'!EM355="",0,IF(OR('Calculations'!II355&lt;&gt;"",COUNTIF('Calculations'!$HE$13:$HE$512,"="&amp;SUBSTITUTE(SUBSTITUTE(SUBSTITUTE('Calculations'!HE355,"~","~~"),"*","~*"),"?","~?"))&gt;1),1,0))</x:f>
        <x:v>0</x:v>
      </x:c>
      <x:c r="HM355" t="str">
        <x:f>IF('Calculations'!EM355="","",IF('Calculations'!HL355=1,"!UNRESOLVED",IF('Calculations'!IH355&lt;&gt;"",'Calculations'!IH355,IF('Calculations'!IG355&lt;&gt;"",'Calculations'!IG355,IF('Calculations'!IF355&lt;&gt;"",'Calculations'!IF355,IF('Calculations'!IE355&lt;&gt;"",'Calculations'!IE355,IF('Calculations'!ID355&lt;&gt;"",'Calculations'!ID355,IF('Calculations'!IC355&lt;&gt;"",'Calculations'!IC355,IF('Calculations'!IB355&lt;&gt;"",'Calculations'!IB355,IF('Calculations'!IA355&lt;&gt;"",'Calculations'!IA355,IF('Calculations'!HZ355&lt;&gt;"",'Calculations'!HZ355,IF('Calculations'!HY355&lt;&gt;"",'Calculations'!HY355,IF('Calculations'!HX355&lt;&gt;"",'Calculations'!HX355,IF('Calculations'!HW355&lt;&gt;"",'Calculations'!HW355,IF('Calculations'!HV355&lt;&gt;"",'Calculations'!HV355,IF('Calculations'!HU355&lt;&gt;"",'Calculations'!HU355,IF('Calculations'!HT355&lt;&gt;"",'Calculations'!HT355,IF('Calculations'!HS355&lt;&gt;"",'Calculations'!HS355,IF('Calculations'!HR355&lt;&gt;"",'Calculations'!HR355,IF('Calculations'!HQ355&lt;&gt;"",'Calculations'!HQ355,IF('Calculations'!HP355&lt;&gt;"",'Calculations'!HP355,IF('Calculations'!HO355&lt;&gt;"",'Calculations'!HO355,'Calculations'!HE355))))))))))))))))))))))</x:f>
      </x:c>
      <x:c r="HN355" t="str">
        <x:f>IF('Calculations'!EM355="","",IF(IFERROR(IF(INDEX(INDIRECT("'WCM Calibration Final'!$F$1:$F$2000"),'Calculations'!$EM355)="","",TRIM(INDEX(INDIRECT("'WCM Calibration Final'!$F$1:$F$2000"),'Calculations'!$EM355)&amp;"")),"")="","(Blank)",IFERROR(IF(INDEX(INDIRECT("'WCM Calibration Final'!$F$1:$F$2000"),'Calculations'!$EM355)="","",TRIM(INDEX(INDIRECT("'WCM Calibration Final'!$F$1:$F$2000"),'Calculations'!$EM355)&amp;"")),"")))</x:f>
      </x:c>
      <x:c r="HO355" t="str">
        <x:f>'Calculations'!HF355</x:f>
      </x:c>
      <x:c r="HP355" t="str">
        <x:f>IF('Calculations'!HO355="","",IF('Calculations'!HO355="!AMBIG","!AMBIG",IF(COUNTIF('Calculations'!$HE$13:$HE$512,"="&amp;SUBSTITUTE(SUBSTITUTE(SUBSTITUTE('Calculations'!HO355,"~","~~"),"*","~*"),"?","~?"))&gt;1,"!AMBIG",IFERROR(INDEX('Calculations'!$HF$13:$HF$512,MATCH('Calculations'!HO355,'Calculations'!$HE$13:$HE$512,0)),""))))</x:f>
      </x:c>
      <x:c r="HQ355" t="str">
        <x:f>IF('Calculations'!HP355="","",IF('Calculations'!HP355="!AMBIG","!AMBIG",IF(COUNTIF('Calculations'!$HE$13:$HE$512,"="&amp;SUBSTITUTE(SUBSTITUTE(SUBSTITUTE('Calculations'!HP355,"~","~~"),"*","~*"),"?","~?"))&gt;1,"!AMBIG",IFERROR(INDEX('Calculations'!$HF$13:$HF$512,MATCH('Calculations'!HP355,'Calculations'!$HE$13:$HE$512,0)),""))))</x:f>
      </x:c>
      <x:c r="HR355" t="str">
        <x:f>IF('Calculations'!HQ355="","",IF('Calculations'!HQ355="!AMBIG","!AMBIG",IF(COUNTIF('Calculations'!$HE$13:$HE$512,"="&amp;SUBSTITUTE(SUBSTITUTE(SUBSTITUTE('Calculations'!HQ355,"~","~~"),"*","~*"),"?","~?"))&gt;1,"!AMBIG",IFERROR(INDEX('Calculations'!$HF$13:$HF$512,MATCH('Calculations'!HQ355,'Calculations'!$HE$13:$HE$512,0)),""))))</x:f>
      </x:c>
      <x:c r="HS355" t="str">
        <x:f>IF('Calculations'!HR355="","",IF('Calculations'!HR355="!AMBIG","!AMBIG",IF(COUNTIF('Calculations'!$HE$13:$HE$512,"="&amp;SUBSTITUTE(SUBSTITUTE(SUBSTITUTE('Calculations'!HR355,"~","~~"),"*","~*"),"?","~?"))&gt;1,"!AMBIG",IFERROR(INDEX('Calculations'!$HF$13:$HF$512,MATCH('Calculations'!HR355,'Calculations'!$HE$13:$HE$512,0)),""))))</x:f>
      </x:c>
      <x:c r="HT355" t="str">
        <x:f>IF('Calculations'!HS355="","",IF('Calculations'!HS355="!AMBIG","!AMBIG",IF(COUNTIF('Calculations'!$HE$13:$HE$512,"="&amp;SUBSTITUTE(SUBSTITUTE(SUBSTITUTE('Calculations'!HS355,"~","~~"),"*","~*"),"?","~?"))&gt;1,"!AMBIG",IFERROR(INDEX('Calculations'!$HF$13:$HF$512,MATCH('Calculations'!HS355,'Calculations'!$HE$13:$HE$512,0)),""))))</x:f>
      </x:c>
      <x:c r="HU355" t="str">
        <x:f>IF('Calculations'!HT355="","",IF('Calculations'!HT355="!AMBIG","!AMBIG",IF(COUNTIF('Calculations'!$HE$13:$HE$512,"="&amp;SUBSTITUTE(SUBSTITUTE(SUBSTITUTE('Calculations'!HT355,"~","~~"),"*","~*"),"?","~?"))&gt;1,"!AMBIG",IFERROR(INDEX('Calculations'!$HF$13:$HF$512,MATCH('Calculations'!HT355,'Calculations'!$HE$13:$HE$512,0)),""))))</x:f>
      </x:c>
      <x:c r="HV355" t="str">
        <x:f>IF('Calculations'!HU355="","",IF('Calculations'!HU355="!AMBIG","!AMBIG",IF(COUNTIF('Calculations'!$HE$13:$HE$512,"="&amp;SUBSTITUTE(SUBSTITUTE(SUBSTITUTE('Calculations'!HU355,"~","~~"),"*","~*"),"?","~?"))&gt;1,"!AMBIG",IFERROR(INDEX('Calculations'!$HF$13:$HF$512,MATCH('Calculations'!HU355,'Calculations'!$HE$13:$HE$512,0)),""))))</x:f>
      </x:c>
      <x:c r="HW355" t="str">
        <x:f>IF('Calculations'!HV355="","",IF('Calculations'!HV355="!AMBIG","!AMBIG",IF(COUNTIF('Calculations'!$HE$13:$HE$512,"="&amp;SUBSTITUTE(SUBSTITUTE(SUBSTITUTE('Calculations'!HV355,"~","~~"),"*","~*"),"?","~?"))&gt;1,"!AMBIG",IFERROR(INDEX('Calculations'!$HF$13:$HF$512,MATCH('Calculations'!HV355,'Calculations'!$HE$13:$HE$512,0)),""))))</x:f>
      </x:c>
      <x:c r="HX355" t="str">
        <x:f>IF('Calculations'!HW355="","",IF('Calculations'!HW355="!AMBIG","!AMBIG",IF(COUNTIF('Calculations'!$HE$13:$HE$512,"="&amp;SUBSTITUTE(SUBSTITUTE(SUBSTITUTE('Calculations'!HW355,"~","~~"),"*","~*"),"?","~?"))&gt;1,"!AMBIG",IFERROR(INDEX('Calculations'!$HF$13:$HF$512,MATCH('Calculations'!HW355,'Calculations'!$HE$13:$HE$512,0)),""))))</x:f>
      </x:c>
      <x:c r="HY355" t="str">
        <x:f>IF('Calculations'!HX355="","",IF('Calculations'!HX355="!AMBIG","!AMBIG",IF(COUNTIF('Calculations'!$HE$13:$HE$512,"="&amp;SUBSTITUTE(SUBSTITUTE(SUBSTITUTE('Calculations'!HX355,"~","~~"),"*","~*"),"?","~?"))&gt;1,"!AMBIG",IFERROR(INDEX('Calculations'!$HF$13:$HF$512,MATCH('Calculations'!HX355,'Calculations'!$HE$13:$HE$512,0)),""))))</x:f>
      </x:c>
      <x:c r="HZ355" t="str">
        <x:f>IF('Calculations'!HY355="","",IF('Calculations'!HY355="!AMBIG","!AMBIG",IF(COUNTIF('Calculations'!$HE$13:$HE$512,"="&amp;SUBSTITUTE(SUBSTITUTE(SUBSTITUTE('Calculations'!HY355,"~","~~"),"*","~*"),"?","~?"))&gt;1,"!AMBIG",IFERROR(INDEX('Calculations'!$HF$13:$HF$512,MATCH('Calculations'!HY355,'Calculations'!$HE$13:$HE$512,0)),""))))</x:f>
      </x:c>
      <x:c r="IA355" t="str">
        <x:f>IF('Calculations'!HZ355="","",IF('Calculations'!HZ355="!AMBIG","!AMBIG",IF(COUNTIF('Calculations'!$HE$13:$HE$512,"="&amp;SUBSTITUTE(SUBSTITUTE(SUBSTITUTE('Calculations'!HZ355,"~","~~"),"*","~*"),"?","~?"))&gt;1,"!AMBIG",IFERROR(INDEX('Calculations'!$HF$13:$HF$512,MATCH('Calculations'!HZ355,'Calculations'!$HE$13:$HE$512,0)),""))))</x:f>
      </x:c>
      <x:c r="IB355" t="str">
        <x:f>IF('Calculations'!IA355="","",IF('Calculations'!IA355="!AMBIG","!AMBIG",IF(COUNTIF('Calculations'!$HE$13:$HE$512,"="&amp;SUBSTITUTE(SUBSTITUTE(SUBSTITUTE('Calculations'!IA355,"~","~~"),"*","~*"),"?","~?"))&gt;1,"!AMBIG",IFERROR(INDEX('Calculations'!$HF$13:$HF$512,MATCH('Calculations'!IA355,'Calculations'!$HE$13:$HE$512,0)),""))))</x:f>
      </x:c>
      <x:c r="IC355" t="str">
        <x:f>IF('Calculations'!IB355="","",IF('Calculations'!IB355="!AMBIG","!AMBIG",IF(COUNTIF('Calculations'!$HE$13:$HE$512,"="&amp;SUBSTITUTE(SUBSTITUTE(SUBSTITUTE('Calculations'!IB355,"~","~~"),"*","~*"),"?","~?"))&gt;1,"!AMBIG",IFERROR(INDEX('Calculations'!$HF$13:$HF$512,MATCH('Calculations'!IB355,'Calculations'!$HE$13:$HE$512,0)),""))))</x:f>
      </x:c>
      <x:c r="ID355" t="str">
        <x:f>IF('Calculations'!IC355="","",IF('Calculations'!IC355="!AMBIG","!AMBIG",IF(COUNTIF('Calculations'!$HE$13:$HE$512,"="&amp;SUBSTITUTE(SUBSTITUTE(SUBSTITUTE('Calculations'!IC355,"~","~~"),"*","~*"),"?","~?"))&gt;1,"!AMBIG",IFERROR(INDEX('Calculations'!$HF$13:$HF$512,MATCH('Calculations'!IC355,'Calculations'!$HE$13:$HE$512,0)),""))))</x:f>
      </x:c>
      <x:c r="IE355" t="str">
        <x:f>IF('Calculations'!ID355="","",IF('Calculations'!ID355="!AMBIG","!AMBIG",IF(COUNTIF('Calculations'!$HE$13:$HE$512,"="&amp;SUBSTITUTE(SUBSTITUTE(SUBSTITUTE('Calculations'!ID355,"~","~~"),"*","~*"),"?","~?"))&gt;1,"!AMBIG",IFERROR(INDEX('Calculations'!$HF$13:$HF$512,MATCH('Calculations'!ID355,'Calculations'!$HE$13:$HE$512,0)),""))))</x:f>
      </x:c>
      <x:c r="IF355" t="str">
        <x:f>IF('Calculations'!IE355="","",IF('Calculations'!IE355="!AMBIG","!AMBIG",IF(COUNTIF('Calculations'!$HE$13:$HE$512,"="&amp;SUBSTITUTE(SUBSTITUTE(SUBSTITUTE('Calculations'!IE355,"~","~~"),"*","~*"),"?","~?"))&gt;1,"!AMBIG",IFERROR(INDEX('Calculations'!$HF$13:$HF$512,MATCH('Calculations'!IE355,'Calculations'!$HE$13:$HE$512,0)),""))))</x:f>
      </x:c>
      <x:c r="IG355" t="str">
        <x:f>IF('Calculations'!IF355="","",IF('Calculations'!IF355="!AMBIG","!AMBIG",IF(COUNTIF('Calculations'!$HE$13:$HE$512,"="&amp;SUBSTITUTE(SUBSTITUTE(SUBSTITUTE('Calculations'!IF355,"~","~~"),"*","~*"),"?","~?"))&gt;1,"!AMBIG",IFERROR(INDEX('Calculations'!$HF$13:$HF$512,MATCH('Calculations'!IF355,'Calculations'!$HE$13:$HE$512,0)),""))))</x:f>
      </x:c>
      <x:c r="IH355" t="str">
        <x:f>IF('Calculations'!IG355="","",IF('Calculations'!IG355="!AMBIG","!AMBIG",IF(COUNTIF('Calculations'!$HE$13:$HE$512,"="&amp;SUBSTITUTE(SUBSTITUTE(SUBSTITUTE('Calculations'!IG355,"~","~~"),"*","~*"),"?","~?"))&gt;1,"!AMBIG",IFERROR(INDEX('Calculations'!$HF$13:$HF$512,MATCH('Calculations'!IG355,'Calculations'!$HE$13:$HE$512,0)),""))))</x:f>
      </x:c>
      <x:c r="II355" t="str">
        <x:f>IF('Calculations'!IH355="","",IF('Calculations'!IH355="!AMBIG","!AMBIG",IF(COUNTIF('Calculations'!$HE$13:$HE$512,"="&amp;SUBSTITUTE(SUBSTITUTE(SUBSTITUTE('Calculations'!IH355,"~","~~"),"*","~*"),"?","~?"))&gt;1,"!AMBIG",IFERROR(INDEX('Calculations'!$HF$13:$HF$512,MATCH('Calculations'!IH355,'Calculations'!$HE$13:$HE$512,0)),""))))</x:f>
      </x:c>
      <x:c r="IJ355" t="str">
        <x:f>IF('Calculations'!EM355="","",IF('Calculations'!$EF$2="All",'Calculations'!HM355,IF('Calculations'!HL355=1,"",IFERROR(IF(MATCH('Calculations'!$EF$2,'Calculations'!HO355:II355,0)=1,'Calculations'!HE355,INDEX('Calculations'!HO355:II355,1,MATCH('Calculations'!$EF$2,'Calculations'!HO355:II355,0)-1)),""))))</x:f>
      </x:c>
      <x:c r="IK355" t="n">
        <x:f>IF(AND('Calculations'!EM355&lt;&gt;"",'Calculations'!$EF$2&lt;&gt;"All",'Calculations'!HF355='Calculations'!$EF$2,'Calculations'!HL355=0,'Calculations'!JD355&gt;0),MAX('Calculations'!$IK$12:IK354)+1,0)</x:f>
        <x:v>0</x:v>
      </x:c>
      <x:c r="JA355" t="n">
        <x:f>IF(OR(IFERROR(INDIRECT("'WCM Calibration Final'!$A$355")&lt;&gt;"",FALSE),IFERROR(INDIRECT("'WCM Calibration Final'!$B$355")&lt;&gt;"",FALSE),IFERROR(INDIRECT("'WCM Calibration Final'!$C$355")&lt;&gt;"",FALSE)),355,0)</x:f>
        <x:v>0</x:v>
      </x:c>
      <x:c r="JB355" t="n">
        <x:f>'Calculations'!JB354+IF('Calculations'!JA355&gt;0,1,0)</x:f>
        <x:v>0</x:v>
      </x:c>
      <x:c r="JC355" t="n">
        <x:f>IF(OR('Calculations'!HF355="",'Calculations'!HF355="!AMBIG"),0,IF('Dashboard'!$B$7="All",1,COUNTIFS('Calculations'!$HO$13:$HO$512,"="&amp;SUBSTITUTE(SUBSTITUTE(SUBSTITUTE('Calculations'!HF355,"~","~~"),"*","~*"),"?","~?"),'Calculations'!$HN$13:$HN$512,"="&amp;SUBSTITUTE(SUBSTITUTE(SUBSTITUTE('Dashboard'!$B$7,"~","~~"),"*","~*"),"?","~?"))+COUNTIFS('Calculations'!$HP$13:$HP$512,"="&amp;SUBSTITUTE(SUBSTITUTE(SUBSTITUTE('Calculations'!HF355,"~","~~"),"*","~*"),"?","~?"),'Calculations'!$HN$13:$HN$512,"="&amp;SUBSTITUTE(SUBSTITUTE(SUBSTITUTE('Dashboard'!$B$7,"~","~~"),"*","~*"),"?","~?"))+COUNTIFS('Calculations'!$HQ$13:$HQ$512,"="&amp;SUBSTITUTE(SUBSTITUTE(SUBSTITUTE('Calculations'!HF355,"~","~~"),"*","~*"),"?","~?"),'Calculations'!$HN$13:$HN$512,"="&amp;SUBSTITUTE(SUBSTITUTE(SUBSTITUTE('Dashboard'!$B$7,"~","~~"),"*","~*"),"?","~?"))+COUNTIFS('Calculations'!$HR$13:$HR$512,"="&amp;SUBSTITUTE(SUBSTITUTE(SUBSTITUTE('Calculations'!HF355,"~","~~"),"*","~*"),"?","~?"),'Calculations'!$HN$13:$HN$512,"="&amp;SUBSTITUTE(SUBSTITUTE(SUBSTITUTE('Dashboard'!$B$7,"~","~~"),"*","~*"),"?","~?"))+COUNTIFS('Calculations'!$HS$13:$HS$512,"="&amp;SUBSTITUTE(SUBSTITUTE(SUBSTITUTE('Calculations'!HF355,"~","~~"),"*","~*"),"?","~?"),'Calculations'!$HN$13:$HN$512,"="&amp;SUBSTITUTE(SUBSTITUTE(SUBSTITUTE('Dashboard'!$B$7,"~","~~"),"*","~*"),"?","~?"))+COUNTIFS('Calculations'!$HT$13:$HT$512,"="&amp;SUBSTITUTE(SUBSTITUTE(SUBSTITUTE('Calculations'!HF355,"~","~~"),"*","~*"),"?","~?"),'Calculations'!$HN$13:$HN$512,"="&amp;SUBSTITUTE(SUBSTITUTE(SUBSTITUTE('Dashboard'!$B$7,"~","~~"),"*","~*"),"?","~?"))+COUNTIFS('Calculations'!$HU$13:$HU$512,"="&amp;SUBSTITUTE(SUBSTITUTE(SUBSTITUTE('Calculations'!HF355,"~","~~"),"*","~*"),"?","~?"),'Calculations'!$HN$13:$HN$512,"="&amp;SUBSTITUTE(SUBSTITUTE(SUBSTITUTE('Dashboard'!$B$7,"~","~~"),"*","~*"),"?","~?"))+COUNTIFS('Calculations'!$HV$13:$HV$512,"="&amp;SUBSTITUTE(SUBSTITUTE(SUBSTITUTE('Calculations'!HF355,"~","~~"),"*","~*"),"?","~?"),'Calculations'!$HN$13:$HN$512,"="&amp;SUBSTITUTE(SUBSTITUTE(SUBSTITUTE('Dashboard'!$B$7,"~","~~"),"*","~*"),"?","~?"))+COUNTIFS('Calculations'!$HW$13:$HW$512,"="&amp;SUBSTITUTE(SUBSTITUTE(SUBSTITUTE('Calculations'!HF355,"~","~~"),"*","~*"),"?","~?"),'Calculations'!$HN$13:$HN$512,"="&amp;SUBSTITUTE(SUBSTITUTE(SUBSTITUTE('Dashboard'!$B$7,"~","~~"),"*","~*"),"?","~?"))+COUNTIFS('Calculations'!$HX$13:$HX$512,"="&amp;SUBSTITUTE(SUBSTITUTE(SUBSTITUTE('Calculations'!HF355,"~","~~"),"*","~*"),"?","~?"),'Calculations'!$HN$13:$HN$512,"="&amp;SUBSTITUTE(SUBSTITUTE(SUBSTITUTE('Dashboard'!$B$7,"~","~~"),"*","~*"),"?","~?"))+COUNTIFS('Calculations'!$HY$13:$HY$512,"="&amp;SUBSTITUTE(SUBSTITUTE(SUBSTITUTE('Calculations'!HF355,"~","~~"),"*","~*"),"?","~?"),'Calculations'!$HN$13:$HN$512,"="&amp;SUBSTITUTE(SUBSTITUTE(SUBSTITUTE('Dashboard'!$B$7,"~","~~"),"*","~*"),"?","~?"))+COUNTIFS('Calculations'!$HZ$13:$HZ$512,"="&amp;SUBSTITUTE(SUBSTITUTE(SUBSTITUTE('Calculations'!HF355,"~","~~"),"*","~*"),"?","~?"),'Calculations'!$HN$13:$HN$512,"="&amp;SUBSTITUTE(SUBSTITUTE(SUBSTITUTE('Dashboard'!$B$7,"~","~~"),"*","~*"),"?","~?"))+COUNTIFS('Calculations'!$IA$13:$IA$512,"="&amp;SUBSTITUTE(SUBSTITUTE(SUBSTITUTE('Calculations'!HF355,"~","~~"),"*","~*"),"?","~?"),'Calculations'!$HN$13:$HN$512,"="&amp;SUBSTITUTE(SUBSTITUTE(SUBSTITUTE('Dashboard'!$B$7,"~","~~"),"*","~*"),"?","~?"))+COUNTIFS('Calculations'!$IB$13:$IB$512,"="&amp;SUBSTITUTE(SUBSTITUTE(SUBSTITUTE('Calculations'!HF355,"~","~~"),"*","~*"),"?","~?"),'Calculations'!$HN$13:$HN$512,"="&amp;SUBSTITUTE(SUBSTITUTE(SUBSTITUTE('Dashboard'!$B$7,"~","~~"),"*","~*"),"?","~?"))+COUNTIFS('Calculations'!$IC$13:$IC$512,"="&amp;SUBSTITUTE(SUBSTITUTE(SUBSTITUTE('Calculations'!HF355,"~","~~"),"*","~*"),"?","~?"),'Calculations'!$HN$13:$HN$512,"="&amp;SUBSTITUTE(SUBSTITUTE(SUBSTITUTE('Dashboard'!$B$7,"~","~~"),"*","~*"),"?","~?"))+COUNTIFS('Calculations'!$ID$13:$ID$512,"="&amp;SUBSTITUTE(SUBSTITUTE(SUBSTITUTE('Calculations'!HF355,"~","~~"),"*","~*"),"?","~?"),'Calculations'!$HN$13:$HN$512,"="&amp;SUBSTITUTE(SUBSTITUTE(SUBSTITUTE('Dashboard'!$B$7,"~","~~"),"*","~*"),"?","~?"))+COUNTIFS('Calculations'!$IE$13:$IE$512,"="&amp;SUBSTITUTE(SUBSTITUTE(SUBSTITUTE('Calculations'!HF355,"~","~~"),"*","~*"),"?","~?"),'Calculations'!$HN$13:$HN$512,"="&amp;SUBSTITUTE(SUBSTITUTE(SUBSTITUTE('Dashboard'!$B$7,"~","~~"),"*","~*"),"?","~?"))+COUNTIFS('Calculations'!$IF$13:$IF$512,"="&amp;SUBSTITUTE(SUBSTITUTE(SUBSTITUTE('Calculations'!HF355,"~","~~"),"*","~*"),"?","~?"),'Calculations'!$HN$13:$HN$512,"="&amp;SUBSTITUTE(SUBSTITUTE(SUBSTITUTE('Dashboard'!$B$7,"~","~~"),"*","~*"),"?","~?"))+COUNTIFS('Calculations'!$IG$13:$IG$512,"="&amp;SUBSTITUTE(SUBSTITUTE(SUBSTITUTE('Calculations'!HF355,"~","~~"),"*","~*"),"?","~?"),'Calculations'!$HN$13:$HN$512,"="&amp;SUBSTITUTE(SUBSTITUTE(SUBSTITUTE('Dashboard'!$B$7,"~","~~"),"*","~*"),"?","~?"))+COUNTIFS('Calculations'!$IH$13:$IH$512,"="&amp;SUBSTITUTE(SUBSTITUTE(SUBSTITUTE('Calculations'!HF355,"~","~~"),"*","~*"),"?","~?"),'Calculations'!$HN$13:$HN$512,"="&amp;SUBSTITUTE(SUBSTITUTE(SUBSTITUTE('Dashboard'!$B$7,"~","~~"),"*","~*"),"?","~?"))))</x:f>
        <x:v>0</x:v>
      </x:c>
      <x:c r="JD355" t="n">
        <x:f>IF('Calculations'!EM355="",0,IF('Dashboard'!$B$7="All",1,IF('Calculations'!HN355='Dashboard'!$B$7,1,0)+IFERROR(INDEX('Calculations'!$JC$13:$JC$512,MATCH('Calculations'!HE355,'Calculations'!$HF$13:$HF$512,0)),0)))</x:f>
        <x:v>0</x:v>
      </x:c>
      <x:c r="JE355" t="n">
        <x:f>IF(AND('Calculations'!EM355&lt;&gt;"",'Calculations'!$JJ$2&lt;&gt;"All",'Calculations'!$JJ$2&lt;&gt;"",'Calculations'!HF355='Calculations'!$JJ$2,'Calculations'!HL355=0,'Calculations'!JD355&gt;0),MAX('Calculations'!$JE$12:JE354)+1,0)</x:f>
        <x:v>0</x:v>
      </x:c>
      <x:c r="JF355" t="str">
        <x:f>IF('Calculations'!EM355="","",IFERROR(IF(INDEX(INDIRECT("'WCM Calibration Final'!$G$1:$G$2000"),'Calculations'!$EM355)="","",TRIM(INDEX(INDIRECT("'WCM Calibration Final'!$G$1:$G$2000"),'Calculations'!$EM355)&amp;"")),""))</x:f>
      </x:c>
      <x:c r="JQ355" t="n">
        <x:f>IF(OR('Calculations'!BM355=0,NOT('Calculations'!$AG$2),'Calculations'!$AG$8&gt;0),0,IF(OR('Dashboard'!$B$7="All",'Calculations'!HN355='Dashboard'!$B$7),IF('Calculations'!$JJ$2="All",1,IF(AND('Calculations'!HF355='Calculations'!$JJ$2,'Calculations'!HL355=0),1,0)),0))</x:f>
        <x:v>0</x:v>
      </x:c>
    </x:row>
    <x:row r="356">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t="n">
        <x:f>IF('Calculations'!$EM356="",0,IF(OR(IFERROR(INDEX(INDIRECT("'WCM Calibration Final'!$A$1:$A$2000"),'Calculations'!$EM356)&lt;&gt;"",FALSE),IFERROR(INDEX(INDIRECT("'WCM Calibration Final'!$B$1:$B$2000"),'Calculations'!$EM356)&lt;&gt;"",FALSE),IFERROR(INDEX(INDIRECT("'WCM Calibration Final'!$C$1:$C$2000"),'Calculations'!$EM356)&lt;&gt;"",FALSE)),1,0))</x:f>
        <x:v>0</x:v>
      </x:c>
      <x:c r="BN356" s="4" t="n">
        <x:f>IF(AND('Calculations'!BM356=1,'Calculations'!$AG$2,'Calculations'!$EN356=1),1,0)</x:f>
        <x:v>0</x:v>
      </x:c>
      <x:c r="BO356" s="4" t="str">
        <x:f>IF('Calculations'!BM356=0,"",IFERROR(IF(AND(VALUE(INDEX(INDIRECT("'WCM Calibration Final'!$K$1:$K$2000"),'Calculations'!$EM356))&gt;=1,VALUE(INDEX(INDIRECT("'WCM Calibration Final'!$K$1:$K$2000"),'Calculations'!$EM356))&lt;=4,MOD(VALUE(INDEX(INDIRECT("'WCM Calibration Final'!$K$1:$K$2000"),'Calculations'!$EM356)),1)=0),VALUE(INDEX(INDIRECT("'WCM Calibration Final'!$K$1:$K$2000"),'Calculations'!$EM356)),""),""))</x:f>
      </x:c>
      <x:c r="BP356" s="4" t="str">
        <x:f>IF('Calculations'!BM356=0,"",IFERROR(IF(AND(VALUE(INDEX(INDIRECT("'WCM Calibration Final'!$L$1:$L$2000"),'Calculations'!$EM356))&gt;=1,VALUE(INDEX(INDIRECT("'WCM Calibration Final'!$L$1:$L$2000"),'Calculations'!$EM356))&lt;=4,MOD(VALUE(INDEX(INDIRECT("'WCM Calibration Final'!$L$1:$L$2000"),'Calculations'!$EM356)),1)=0),VALUE(INDEX(INDIRECT("'WCM Calibration Final'!$L$1:$L$2000"),'Calculations'!$EM356)),""),""))</x:f>
      </x:c>
      <x:c r="BQ356" s="4"/>
      <x:c r="BR356" s="4"/>
      <x:c r="BS356" s="4"/>
      <x:c r="BT356" s="4" t="n">
        <x:f>IF(AND('Calculations'!BM356=1,ISNUMBER('Calculations'!BO356),ISNUMBER('Calculations'!BP356)),1,0)</x:f>
        <x:v>0</x:v>
      </x:c>
      <x:c r="BU356" s="4" t="str">
        <x:f>IF('Calculations'!BM356=0,"",'Calculations'!$EO356)</x:f>
      </x:c>
      <x:c r="BV356" s="4" t="str">
        <x:f>IF('Calculations'!BM356=0,"",IFERROR(IF(OR(INDEX(INDIRECT("'WCM Calibration Final'!$H$1:$H$2000"),'Calculations'!$EM356)="MANAGING DIRECTOR",INDEX(INDIRECT("'WCM Calibration Final'!$H$1:$H$2000"),'Calculations'!$EM356)="DIRECTOR",INDEX(INDIRECT("'WCM Calibration Final'!$H$1:$H$2000"),'Calculations'!$EM356)="SENIOR VICE PRESIDENT",INDEX(INDIRECT("'WCM Calibration Final'!$H$1:$H$2000"),'Calculations'!$EM356)="VICE PRESIDENT",INDEX(INDIRECT("'WCM Calibration Final'!$H$1:$H$2000"),'Calculations'!$EM356)="ASSISTANT VICE PRESIDENT",INDEX(INDIRECT("'WCM Calibration Final'!$H$1:$H$2000"),'Calculations'!$EM356)="OFFICER"),UPPER(INDEX(INDIRECT("'WCM Calibration Final'!$H$1:$H$2000"),'Calculations'!$EM356)),"Other"),"Other"))</x:f>
      </x:c>
      <x:c r="BW356" s="4"/>
      <x:c r="BX356" s="4"/>
      <x:c r="BY356" s="4" t="n">
        <x:f>IF(AND('Calculations'!BM356=1,'Calculations'!BU356&lt;&gt;"",COUNTIF('Calculations'!$BU$12:BU356,'Calculations'!BU356)=1),MAX('Calculations'!$BY$11:BY355)+1,0)</x:f>
        <x:v>0</x:v>
      </x:c>
      <x:c r="BZ356" s="4" t="str">
        <x:f>IF('Dashboard'!$E$67="What",'Calculations'!BO356,'Calculations'!BP356)</x:f>
      </x:c>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t="str">
        <x:f>IF(345&gt;MAX('Calculations'!$HI$13:$HI$512),"",INDEX('Calculations'!$HN$13:$HN$512,MATCH(345,'Calculations'!$HI$13:$HI$512,0)))</x:f>
      </x:c>
      <x:c r="DB356" s="4" t="str">
        <x:f>IF(345&gt;MAX('Calculations'!$HH$13:$HH$512),"",INDEX('Calculations'!$HJ$13:$HJ$512,MATCH(345,'Calculations'!$HH$13:$HH$512,0)))</x:f>
      </x:c>
      <x:c r="DC356" s="4" t="str">
        <x:f>IF(ROW()-11&gt;MAX('Calculations'!$BY$13:$BY$512),"",INDEX('Calculations'!$BU$13:$BU$512,MATCH(ROW()-11,'Calculations'!$BY$13:$BY$512,0)))</x:f>
      </x:c>
      <x:c r="DD356" s="4" t="str">
        <x:f>IF(345&gt;MAX('Calculations'!$IK$13:$IK$512),"",INDEX('Calculations'!$HK$13:$HK$512,MATCH(345,'Calculations'!$IK$13:$IK$512,0)))</x:f>
      </x:c>
      <x:c r="DE356" s="4" t="str">
        <x:f>'Calculations'!DC356</x:f>
      </x:c>
      <x:c r="DF356" s="4" t="str">
        <x:f>IF('Calculations'!DE356="","",COUNTIFS('Calculations'!$BN$13:$BN$512,1,'Calculations'!$BU$13:$BU$512,'Calculations'!DE356))</x:f>
      </x:c>
      <x:c r="DG356" s="4" t="str">
        <x:f>IF('Calculations'!DE356="","",COUNTIFS('Calculations'!$BN$13:$BN$512,1,'Calculations'!$BU$13:$BU$512,'Calculations'!DE356,'Calculations'!$BT$13:$BT$512,1))</x:f>
      </x:c>
      <x:c r="DH356" s="4" t="str">
        <x:f>IF('Calculations'!DE356="","",'Calculations'!DF356-'Calculations'!DG356)</x:f>
      </x:c>
      <x:c r="DI356" s="4" t="str">
        <x:f>IF(OR('Calculations'!DE356="",'Calculations'!DF356=0),"",'Calculations'!DG356/'Calculations'!DF356)</x:f>
      </x:c>
      <x:c r="DJ356" s="4" t="str">
        <x:f>IF('Calculations'!DE356="","",COUNTIFS('Calculations'!$BN$13:$BN$512,1,'Calculations'!$BU$13:$BU$512,'Calculations'!DE356,'Calculations'!$BT$13:$BT$512,1,'Calculations'!$EE$13:$EE$512,"High"))</x:f>
      </x:c>
      <x:c r="DK356" s="4" t="str">
        <x:f>IF('Calculations'!DE356="","",COUNTIFS('Calculations'!$BN$13:$BN$512,1,'Calculations'!$BU$13:$BU$512,'Calculations'!DE356,'Calculations'!$BT$13:$BT$512,1,'Calculations'!$EE$13:$EE$512,"Strong"))</x:f>
      </x:c>
      <x:c r="DL356" s="4" t="str">
        <x:f>IF('Calculations'!DE356="","",COUNTIFS('Calculations'!$BN$13:$BN$512,1,'Calculations'!$BU$13:$BU$512,'Calculations'!DE356,'Calculations'!$BT$13:$BT$512,1,'Calculations'!$EE$13:$EE$512,"Solid"))</x:f>
      </x:c>
      <x:c r="DM356" s="4" t="str">
        <x:f>IF('Calculations'!DE356="","",COUNTIFS('Calculations'!$BN$13:$BN$512,1,'Calculations'!$BU$13:$BU$512,'Calculations'!DE356,'Calculations'!$BT$13:$BT$512,1,'Calculations'!$EE$13:$EE$512,"Low"))</x:f>
      </x:c>
      <x:c r="DN356" s="4" t="str">
        <x:f>IF('Calculations'!DE356="","",COUNTIFS('Calculations'!$BN$13:$BN$512,1,'Calculations'!$BU$13:$BU$512,'Calculations'!DE356,'Calculations'!$EP$13:$EP$512,1))</x:f>
      </x:c>
      <x:c r="DO356" s="4" t="str">
        <x:f>IF(OR('Calculations'!DE356="",'Calculations'!DG356=0),"",('Calculations'!DJ356+'Calculations'!DK356)/'Calculations'!DG356)</x:f>
      </x:c>
      <x:c r="DP356" s="4" t="n">
        <x:f>IF(AND('Calculations'!DE356&lt;&gt;"",'Calculations'!DF356&gt;0),COUNTIF('Calculations'!$DF$12:DF356,"&gt;0"),0)</x:f>
        <x:v>0</x:v>
      </x:c>
      <x:c r="DQ356" s="4" t="str">
        <x:f>IF(345&gt;MAX('Calculations'!$HH$13:$HH$512),"",INDEX('Calculations'!$HF$13:$HF$512,MATCH(345,'Calculations'!$HH$13:$HH$512,0)))</x:f>
      </x:c>
      <x:c r="DR356" s="4" t="str">
        <x:f>IF(345&gt;MAX('Calculations'!$IK$13:$IK$512),"",INDEX('Calculations'!$HE$13:$HE$512,MATCH(345,'Calculations'!$IK$13:$IK$512,0)))</x:f>
      </x:c>
      <x:c r="DS356" s="4"/>
      <x:c r="DT356" s="4"/>
      <x:c r="DU356" s="4"/>
      <x:c r="DV356" s="4"/>
      <x:c r="DW356" s="4"/>
      <x:c r="DX356" s="4"/>
      <x:c r="DY356" s="4"/>
      <x:c r="DZ356" s="4"/>
      <x:c r="EA356" s="4"/>
      <x:c r="EB356" s="4"/>
      <x:c r="EC356" s="4"/>
      <x:c r="ED356" s="4"/>
      <x:c r="EE356" s="4" t="str">
        <x:f>IF('Calculations'!BT356=0,"Not Rated",IF(OR('Calculations'!BO356&gt;=4,'Calculations'!BP356&gt;=4),"Low",IF('Calculations'!BO356+'Calculations'!BP356&lt;=3,"High",IF('Calculations'!BO356+'Calculations'!BP356&lt;=4,"Strong","Solid"))))</x:f>
        <x:v>Not Rated</x:v>
      </x:c>
      <x:c r="EF356" s="4"/>
      <x:c r="EG356" s="4"/>
      <x:c r="EH356" s="4"/>
      <x:c r="EI356" s="4"/>
      <x:c r="EJ356" s="4"/>
      <x:c r="EK356" s="4"/>
      <x:c r="EL356" s="4"/>
      <x:c r="EM356" s="4" t="str">
        <x:f>IF(344&gt;'Calculations'!$JB$2000,"",INDEX('Calculations'!$JA$12:$JA$2000,MATCH(344,'Calculations'!$JB$12:$JB$2000,0)))</x:f>
      </x:c>
      <x:c r="EN356" s="4" t="n">
        <x:f>IF(OR('Calculations'!EM356="",'Calculations'!$AG$8&gt;0,AND('Calculations'!$EF$2&lt;&gt;"All",'Calculations'!HE356='Calculations'!$EF$2),AND('Calculations'!$EF$3&lt;&gt;"All",'Calculations'!HE356='Calculations'!$EF$3)),0,IF(OR('Dashboard'!$B$7="All",'Calculations'!HN356='Dashboard'!$B$7),IF('Calculations'!$EF$2="All",1,IF('Calculations'!HL356&gt;0,0,IF(COUNTIF('Calculations'!HO356:II356,"="&amp;SUBSTITUTE(SUBSTITUTE(SUBSTITUTE('Calculations'!$EF$2,"~","~~"),"*","~*"),"?","~?"))=0,0,IF('Calculations'!$EF$3="All",1,IF(COUNTIF('Calculations'!HO356:II356,"="&amp;SUBSTITUTE(SUBSTITUTE(SUBSTITUTE('Calculations'!$EF$3,"~","~~"),"*","~*"),"?","~?"))&gt;0,1,0))))),0))</x:f>
        <x:v>0</x:v>
      </x:c>
      <x:c r="EO356" s="4" t="str">
        <x:f>IF('Calculations'!IJ356="","",IF('Calculations'!IJ356="!UNRESOLVED","Unresolved hierarchy",IFERROR(INDEX('Calculations'!$HK$13:$HK$512,MATCH('Calculations'!IJ356,'Calculations'!$HE$13:$HE$512,0)),IFERROR(INDEX('Calculations'!$HJ$13:$HJ$512,MATCH('Calculations'!IJ356,'Calculations'!$HF$13:$HF$512,0)),'Calculations'!IJ356))))</x:f>
      </x:c>
      <x:c r="EP356" s="4" t="n">
        <x:f>IF(AND('Calculations'!EM356&lt;&gt;"",'Calculations'!HF356='Calculations'!IJ356),1,0)</x:f>
        <x:v>0</x:v>
      </x:c>
      <x:c r="EQ356" s="4"/>
      <x:c r="ER356" s="4"/>
      <x:c r="ES356" s="4"/>
      <x:c r="ET356" s="4"/>
      <x:c r="EU356" s="4"/>
      <x:c r="EV356" s="4"/>
      <x:c r="EW356" s="4"/>
      <x:c r="EX356" s="4"/>
      <x:c r="EY356" s="4"/>
      <x:c r="EZ356" s="4"/>
      <x:c r="FA356" s="4"/>
      <x:c r="FB356" s="4"/>
      <x:c r="FC356" s="4"/>
      <x:c r="FD356" s="4"/>
      <x:c r="FE356" s="4"/>
      <x:c r="FF356" s="4"/>
      <x:c r="FG356" s="4"/>
      <x:c r="FH356" s="4"/>
      <x:c r="FI356" s="4"/>
      <x:c r="FJ356" s="4"/>
      <x:c r="FK356" s="4"/>
      <x:c r="FL356" s="4"/>
      <x:c r="FM356" s="4"/>
      <x:c r="FN356" s="4"/>
      <x:c r="FO356" s="4"/>
      <x:c r="HE356" t="str">
        <x:f>IF('Calculations'!EM356="","",IF(IFERROR(IF(INDEX(INDIRECT("'WCM Calibration Final'!$A$1:$A$2000"),'Calculations'!$EM356)="","",TRIM(INDEX(INDIRECT("'WCM Calibration Final'!$A$1:$A$2000"),'Calculations'!$EM356)&amp;"")),"")&lt;&gt;"","G:"&amp;IFERROR(TEXT(1*INDEX(INDIRECT("'WCM Calibration Final'!$A$1:$A$2000"),'Calculations'!$EM356),"0"),UPPER(IFERROR(IF(INDEX(INDIRECT("'WCM Calibration Final'!$A$1:$A$2000"),'Calculations'!$EM356)="","",TRIM(INDEX(INDIRECT("'WCM Calibration Final'!$A$1:$A$2000"),'Calculations'!$EM356)&amp;"")),""))),IF(IFERROR(IF(INDEX(INDIRECT("'WCM Calibration Final'!$C$1:$C$2000"),'Calculations'!$EM356)="","",TRIM(INDEX(INDIRECT("'WCM Calibration Final'!$C$1:$C$2000"),'Calculations'!$EM356)&amp;"")),"")&lt;&gt;"","S:"&amp;UPPER(IFERROR(IF(INDEX(INDIRECT("'WCM Calibration Final'!$C$1:$C$2000"),'Calculations'!$EM356)="","",TRIM(INDEX(INDIRECT("'WCM Calibration Final'!$C$1:$C$2000"),'Calculations'!$EM356)&amp;"")),"")),"R:"&amp;'Calculations'!EM356)))</x:f>
      </x:c>
      <x:c r="HF356" t="str">
        <x:f>IF('Calculations'!EM356="","",IF(IFERROR(IF(INDEX(INDIRECT("'WCM Calibration Final'!$D$1:$D$2000"),'Calculations'!$EM356)="","",TRIM(INDEX(INDIRECT("'WCM Calibration Final'!$D$1:$D$2000"),'Calculations'!$EM356)&amp;"")),"")&lt;&gt;"","G:"&amp;IFERROR(TEXT(1*INDEX(INDIRECT("'WCM Calibration Final'!$D$1:$D$2000"),'Calculations'!$EM356),"0"),UPPER(IFERROR(IF(INDEX(INDIRECT("'WCM Calibration Final'!$D$1:$D$2000"),'Calculations'!$EM356)="","",TRIM(INDEX(INDIRECT("'WCM Calibration Final'!$D$1:$D$2000"),'Calculations'!$EM356)&amp;"")),""))),IF(IFERROR(IF(INDEX(INDIRECT("'WCM Calibration Final'!$E$1:$E$2000"),'Calculations'!$EM356)="","",TRIM(INDEX(INDIRECT("'WCM Calibration Final'!$E$1:$E$2000"),'Calculations'!$EM356)&amp;"")),"")="","",IF(COUNTIF('Calculations'!$HG$13:$HG$512,"="&amp;SUBSTITUTE(SUBSTITUTE(SUBSTITUTE(IFERROR(IF(INDEX(INDIRECT("'WCM Calibration Final'!$E$1:$E$2000"),'Calculations'!$EM356)="","",TRIM(INDEX(INDIRECT("'WCM Calibration Final'!$E$1:$E$2000"),'Calculations'!$EM356)&amp;"")),""),"~","~~"),"*","~*"),"?","~?"))=1,INDEX('Calculations'!$HE$13:$HE$512,MATCH(IFERROR(IF(INDEX(INDIRECT("'WCM Calibration Final'!$E$1:$E$2000"),'Calculations'!$EM356)="","",TRIM(INDEX(INDIRECT("'WCM Calibration Final'!$E$1:$E$2000"),'Calculations'!$EM356)&amp;"")),""),'Calculations'!$HG$13:$HG$512,0)),IF(COUNTIF('Calculations'!$HG$13:$HG$512,"="&amp;SUBSTITUTE(SUBSTITUTE(SUBSTITUTE(IFERROR(IF(INDEX(INDIRECT("'WCM Calibration Final'!$E$1:$E$2000"),'Calculations'!$EM356)="","",TRIM(INDEX(INDIRECT("'WCM Calibration Final'!$E$1:$E$2000"),'Calculations'!$EM356)&amp;"")),""),"~","~~"),"*","~*"),"?","~?"))&gt;1,"!AMBIG","X:"&amp;IFERROR(IF(INDEX(INDIRECT("'WCM Calibration Final'!$E$1:$E$2000"),'Calculations'!$EM356)="","",TRIM(INDEX(INDIRECT("'WCM Calibration Final'!$E$1:$E$2000"),'Calculations'!$EM356)&amp;"")),""))))))</x:f>
      </x:c>
      <x:c r="HG356" t="str">
        <x:f>IF('Calculations'!EM356="","",IFERROR(IF(INDEX(INDIRECT("'WCM Calibration Final'!$B$1:$B$2000"),'Calculations'!$EM356)="","",TRIM(INDEX(INDIRECT("'WCM Calibration Final'!$B$1:$B$2000"),'Calculations'!$EM356)&amp;"")),""))</x:f>
      </x:c>
      <x:c r="HH356" t="n">
        <x:f>IF(AND('Calculations'!JC356&gt;0,COUNTIF('Calculations'!$HF$12:HF356,"="&amp;SUBSTITUTE(SUBSTITUTE(SUBSTITUTE('Calculations'!HF356,"~","~~"),"*","~*"),"?","~?"))=1),MAX('Calculations'!$HH$12:HH355)+1,0)</x:f>
        <x:v>0</x:v>
      </x:c>
      <x:c r="HI356" t="n">
        <x:f>IF(AND('Calculations'!HN356&lt;&gt;"",COUNTIF('Calculations'!$HN$12:HN356,"="&amp;SUBSTITUTE(SUBSTITUTE(SUBSTITUTE('Calculations'!HN356,"~","~~"),"*","~*"),"?","~?"))=1),MAX('Calculations'!$HI$12:HI355)+1,0)</x:f>
        <x:v>0</x:v>
      </x:c>
      <x:c r="HJ356" t="str">
        <x:f>IF('Calculations'!HF356="","",IF(COUNTIF('Calculations'!$HE$13:$HE$512,"="&amp;SUBSTITUTE(SUBSTITUTE(SUBSTITUTE('Calculations'!HF356,"~","~~"),"*","~*"),"?","~?"))=1,INDEX('Calculations'!$HK$13:$HK$512,MATCH('Calculations'!HF356,'Calculations'!$HE$13:$HE$512,0)),IFERROR(IF(INDEX(INDIRECT("'WCM Calibration Final'!$E$1:$E$2000"),'Calculations'!$EM356)="","",TRIM(INDEX(INDIRECT("'WCM Calibration Final'!$E$1:$E$2000"),'Calculations'!$EM356)&amp;"")),"")&amp;" ["&amp;'Calculations'!HF356&amp;"]"))</x:f>
      </x:c>
      <x:c r="HK356" t="str">
        <x:f>IF('Calculations'!EM356="","",'Calculations'!HG356&amp;" ["&amp;'Calculations'!HE356&amp;"]")</x:f>
      </x:c>
      <x:c r="HL356" t="n">
        <x:f>IF('Calculations'!EM356="",0,IF(OR('Calculations'!II356&lt;&gt;"",COUNTIF('Calculations'!$HE$13:$HE$512,"="&amp;SUBSTITUTE(SUBSTITUTE(SUBSTITUTE('Calculations'!HE356,"~","~~"),"*","~*"),"?","~?"))&gt;1),1,0))</x:f>
        <x:v>0</x:v>
      </x:c>
      <x:c r="HM356" t="str">
        <x:f>IF('Calculations'!EM356="","",IF('Calculations'!HL356=1,"!UNRESOLVED",IF('Calculations'!IH356&lt;&gt;"",'Calculations'!IH356,IF('Calculations'!IG356&lt;&gt;"",'Calculations'!IG356,IF('Calculations'!IF356&lt;&gt;"",'Calculations'!IF356,IF('Calculations'!IE356&lt;&gt;"",'Calculations'!IE356,IF('Calculations'!ID356&lt;&gt;"",'Calculations'!ID356,IF('Calculations'!IC356&lt;&gt;"",'Calculations'!IC356,IF('Calculations'!IB356&lt;&gt;"",'Calculations'!IB356,IF('Calculations'!IA356&lt;&gt;"",'Calculations'!IA356,IF('Calculations'!HZ356&lt;&gt;"",'Calculations'!HZ356,IF('Calculations'!HY356&lt;&gt;"",'Calculations'!HY356,IF('Calculations'!HX356&lt;&gt;"",'Calculations'!HX356,IF('Calculations'!HW356&lt;&gt;"",'Calculations'!HW356,IF('Calculations'!HV356&lt;&gt;"",'Calculations'!HV356,IF('Calculations'!HU356&lt;&gt;"",'Calculations'!HU356,IF('Calculations'!HT356&lt;&gt;"",'Calculations'!HT356,IF('Calculations'!HS356&lt;&gt;"",'Calculations'!HS356,IF('Calculations'!HR356&lt;&gt;"",'Calculations'!HR356,IF('Calculations'!HQ356&lt;&gt;"",'Calculations'!HQ356,IF('Calculations'!HP356&lt;&gt;"",'Calculations'!HP356,IF('Calculations'!HO356&lt;&gt;"",'Calculations'!HO356,'Calculations'!HE356))))))))))))))))))))))</x:f>
      </x:c>
      <x:c r="HN356" t="str">
        <x:f>IF('Calculations'!EM356="","",IF(IFERROR(IF(INDEX(INDIRECT("'WCM Calibration Final'!$F$1:$F$2000"),'Calculations'!$EM356)="","",TRIM(INDEX(INDIRECT("'WCM Calibration Final'!$F$1:$F$2000"),'Calculations'!$EM356)&amp;"")),"")="","(Blank)",IFERROR(IF(INDEX(INDIRECT("'WCM Calibration Final'!$F$1:$F$2000"),'Calculations'!$EM356)="","",TRIM(INDEX(INDIRECT("'WCM Calibration Final'!$F$1:$F$2000"),'Calculations'!$EM356)&amp;"")),"")))</x:f>
      </x:c>
      <x:c r="HO356" t="str">
        <x:f>'Calculations'!HF356</x:f>
      </x:c>
      <x:c r="HP356" t="str">
        <x:f>IF('Calculations'!HO356="","",IF('Calculations'!HO356="!AMBIG","!AMBIG",IF(COUNTIF('Calculations'!$HE$13:$HE$512,"="&amp;SUBSTITUTE(SUBSTITUTE(SUBSTITUTE('Calculations'!HO356,"~","~~"),"*","~*"),"?","~?"))&gt;1,"!AMBIG",IFERROR(INDEX('Calculations'!$HF$13:$HF$512,MATCH('Calculations'!HO356,'Calculations'!$HE$13:$HE$512,0)),""))))</x:f>
      </x:c>
      <x:c r="HQ356" t="str">
        <x:f>IF('Calculations'!HP356="","",IF('Calculations'!HP356="!AMBIG","!AMBIG",IF(COUNTIF('Calculations'!$HE$13:$HE$512,"="&amp;SUBSTITUTE(SUBSTITUTE(SUBSTITUTE('Calculations'!HP356,"~","~~"),"*","~*"),"?","~?"))&gt;1,"!AMBIG",IFERROR(INDEX('Calculations'!$HF$13:$HF$512,MATCH('Calculations'!HP356,'Calculations'!$HE$13:$HE$512,0)),""))))</x:f>
      </x:c>
      <x:c r="HR356" t="str">
        <x:f>IF('Calculations'!HQ356="","",IF('Calculations'!HQ356="!AMBIG","!AMBIG",IF(COUNTIF('Calculations'!$HE$13:$HE$512,"="&amp;SUBSTITUTE(SUBSTITUTE(SUBSTITUTE('Calculations'!HQ356,"~","~~"),"*","~*"),"?","~?"))&gt;1,"!AMBIG",IFERROR(INDEX('Calculations'!$HF$13:$HF$512,MATCH('Calculations'!HQ356,'Calculations'!$HE$13:$HE$512,0)),""))))</x:f>
      </x:c>
      <x:c r="HS356" t="str">
        <x:f>IF('Calculations'!HR356="","",IF('Calculations'!HR356="!AMBIG","!AMBIG",IF(COUNTIF('Calculations'!$HE$13:$HE$512,"="&amp;SUBSTITUTE(SUBSTITUTE(SUBSTITUTE('Calculations'!HR356,"~","~~"),"*","~*"),"?","~?"))&gt;1,"!AMBIG",IFERROR(INDEX('Calculations'!$HF$13:$HF$512,MATCH('Calculations'!HR356,'Calculations'!$HE$13:$HE$512,0)),""))))</x:f>
      </x:c>
      <x:c r="HT356" t="str">
        <x:f>IF('Calculations'!HS356="","",IF('Calculations'!HS356="!AMBIG","!AMBIG",IF(COUNTIF('Calculations'!$HE$13:$HE$512,"="&amp;SUBSTITUTE(SUBSTITUTE(SUBSTITUTE('Calculations'!HS356,"~","~~"),"*","~*"),"?","~?"))&gt;1,"!AMBIG",IFERROR(INDEX('Calculations'!$HF$13:$HF$512,MATCH('Calculations'!HS356,'Calculations'!$HE$13:$HE$512,0)),""))))</x:f>
      </x:c>
      <x:c r="HU356" t="str">
        <x:f>IF('Calculations'!HT356="","",IF('Calculations'!HT356="!AMBIG","!AMBIG",IF(COUNTIF('Calculations'!$HE$13:$HE$512,"="&amp;SUBSTITUTE(SUBSTITUTE(SUBSTITUTE('Calculations'!HT356,"~","~~"),"*","~*"),"?","~?"))&gt;1,"!AMBIG",IFERROR(INDEX('Calculations'!$HF$13:$HF$512,MATCH('Calculations'!HT356,'Calculations'!$HE$13:$HE$512,0)),""))))</x:f>
      </x:c>
      <x:c r="HV356" t="str">
        <x:f>IF('Calculations'!HU356="","",IF('Calculations'!HU356="!AMBIG","!AMBIG",IF(COUNTIF('Calculations'!$HE$13:$HE$512,"="&amp;SUBSTITUTE(SUBSTITUTE(SUBSTITUTE('Calculations'!HU356,"~","~~"),"*","~*"),"?","~?"))&gt;1,"!AMBIG",IFERROR(INDEX('Calculations'!$HF$13:$HF$512,MATCH('Calculations'!HU356,'Calculations'!$HE$13:$HE$512,0)),""))))</x:f>
      </x:c>
      <x:c r="HW356" t="str">
        <x:f>IF('Calculations'!HV356="","",IF('Calculations'!HV356="!AMBIG","!AMBIG",IF(COUNTIF('Calculations'!$HE$13:$HE$512,"="&amp;SUBSTITUTE(SUBSTITUTE(SUBSTITUTE('Calculations'!HV356,"~","~~"),"*","~*"),"?","~?"))&gt;1,"!AMBIG",IFERROR(INDEX('Calculations'!$HF$13:$HF$512,MATCH('Calculations'!HV356,'Calculations'!$HE$13:$HE$512,0)),""))))</x:f>
      </x:c>
      <x:c r="HX356" t="str">
        <x:f>IF('Calculations'!HW356="","",IF('Calculations'!HW356="!AMBIG","!AMBIG",IF(COUNTIF('Calculations'!$HE$13:$HE$512,"="&amp;SUBSTITUTE(SUBSTITUTE(SUBSTITUTE('Calculations'!HW356,"~","~~"),"*","~*"),"?","~?"))&gt;1,"!AMBIG",IFERROR(INDEX('Calculations'!$HF$13:$HF$512,MATCH('Calculations'!HW356,'Calculations'!$HE$13:$HE$512,0)),""))))</x:f>
      </x:c>
      <x:c r="HY356" t="str">
        <x:f>IF('Calculations'!HX356="","",IF('Calculations'!HX356="!AMBIG","!AMBIG",IF(COUNTIF('Calculations'!$HE$13:$HE$512,"="&amp;SUBSTITUTE(SUBSTITUTE(SUBSTITUTE('Calculations'!HX356,"~","~~"),"*","~*"),"?","~?"))&gt;1,"!AMBIG",IFERROR(INDEX('Calculations'!$HF$13:$HF$512,MATCH('Calculations'!HX356,'Calculations'!$HE$13:$HE$512,0)),""))))</x:f>
      </x:c>
      <x:c r="HZ356" t="str">
        <x:f>IF('Calculations'!HY356="","",IF('Calculations'!HY356="!AMBIG","!AMBIG",IF(COUNTIF('Calculations'!$HE$13:$HE$512,"="&amp;SUBSTITUTE(SUBSTITUTE(SUBSTITUTE('Calculations'!HY356,"~","~~"),"*","~*"),"?","~?"))&gt;1,"!AMBIG",IFERROR(INDEX('Calculations'!$HF$13:$HF$512,MATCH('Calculations'!HY356,'Calculations'!$HE$13:$HE$512,0)),""))))</x:f>
      </x:c>
      <x:c r="IA356" t="str">
        <x:f>IF('Calculations'!HZ356="","",IF('Calculations'!HZ356="!AMBIG","!AMBIG",IF(COUNTIF('Calculations'!$HE$13:$HE$512,"="&amp;SUBSTITUTE(SUBSTITUTE(SUBSTITUTE('Calculations'!HZ356,"~","~~"),"*","~*"),"?","~?"))&gt;1,"!AMBIG",IFERROR(INDEX('Calculations'!$HF$13:$HF$512,MATCH('Calculations'!HZ356,'Calculations'!$HE$13:$HE$512,0)),""))))</x:f>
      </x:c>
      <x:c r="IB356" t="str">
        <x:f>IF('Calculations'!IA356="","",IF('Calculations'!IA356="!AMBIG","!AMBIG",IF(COUNTIF('Calculations'!$HE$13:$HE$512,"="&amp;SUBSTITUTE(SUBSTITUTE(SUBSTITUTE('Calculations'!IA356,"~","~~"),"*","~*"),"?","~?"))&gt;1,"!AMBIG",IFERROR(INDEX('Calculations'!$HF$13:$HF$512,MATCH('Calculations'!IA356,'Calculations'!$HE$13:$HE$512,0)),""))))</x:f>
      </x:c>
      <x:c r="IC356" t="str">
        <x:f>IF('Calculations'!IB356="","",IF('Calculations'!IB356="!AMBIG","!AMBIG",IF(COUNTIF('Calculations'!$HE$13:$HE$512,"="&amp;SUBSTITUTE(SUBSTITUTE(SUBSTITUTE('Calculations'!IB356,"~","~~"),"*","~*"),"?","~?"))&gt;1,"!AMBIG",IFERROR(INDEX('Calculations'!$HF$13:$HF$512,MATCH('Calculations'!IB356,'Calculations'!$HE$13:$HE$512,0)),""))))</x:f>
      </x:c>
      <x:c r="ID356" t="str">
        <x:f>IF('Calculations'!IC356="","",IF('Calculations'!IC356="!AMBIG","!AMBIG",IF(COUNTIF('Calculations'!$HE$13:$HE$512,"="&amp;SUBSTITUTE(SUBSTITUTE(SUBSTITUTE('Calculations'!IC356,"~","~~"),"*","~*"),"?","~?"))&gt;1,"!AMBIG",IFERROR(INDEX('Calculations'!$HF$13:$HF$512,MATCH('Calculations'!IC356,'Calculations'!$HE$13:$HE$512,0)),""))))</x:f>
      </x:c>
      <x:c r="IE356" t="str">
        <x:f>IF('Calculations'!ID356="","",IF('Calculations'!ID356="!AMBIG","!AMBIG",IF(COUNTIF('Calculations'!$HE$13:$HE$512,"="&amp;SUBSTITUTE(SUBSTITUTE(SUBSTITUTE('Calculations'!ID356,"~","~~"),"*","~*"),"?","~?"))&gt;1,"!AMBIG",IFERROR(INDEX('Calculations'!$HF$13:$HF$512,MATCH('Calculations'!ID356,'Calculations'!$HE$13:$HE$512,0)),""))))</x:f>
      </x:c>
      <x:c r="IF356" t="str">
        <x:f>IF('Calculations'!IE356="","",IF('Calculations'!IE356="!AMBIG","!AMBIG",IF(COUNTIF('Calculations'!$HE$13:$HE$512,"="&amp;SUBSTITUTE(SUBSTITUTE(SUBSTITUTE('Calculations'!IE356,"~","~~"),"*","~*"),"?","~?"))&gt;1,"!AMBIG",IFERROR(INDEX('Calculations'!$HF$13:$HF$512,MATCH('Calculations'!IE356,'Calculations'!$HE$13:$HE$512,0)),""))))</x:f>
      </x:c>
      <x:c r="IG356" t="str">
        <x:f>IF('Calculations'!IF356="","",IF('Calculations'!IF356="!AMBIG","!AMBIG",IF(COUNTIF('Calculations'!$HE$13:$HE$512,"="&amp;SUBSTITUTE(SUBSTITUTE(SUBSTITUTE('Calculations'!IF356,"~","~~"),"*","~*"),"?","~?"))&gt;1,"!AMBIG",IFERROR(INDEX('Calculations'!$HF$13:$HF$512,MATCH('Calculations'!IF356,'Calculations'!$HE$13:$HE$512,0)),""))))</x:f>
      </x:c>
      <x:c r="IH356" t="str">
        <x:f>IF('Calculations'!IG356="","",IF('Calculations'!IG356="!AMBIG","!AMBIG",IF(COUNTIF('Calculations'!$HE$13:$HE$512,"="&amp;SUBSTITUTE(SUBSTITUTE(SUBSTITUTE('Calculations'!IG356,"~","~~"),"*","~*"),"?","~?"))&gt;1,"!AMBIG",IFERROR(INDEX('Calculations'!$HF$13:$HF$512,MATCH('Calculations'!IG356,'Calculations'!$HE$13:$HE$512,0)),""))))</x:f>
      </x:c>
      <x:c r="II356" t="str">
        <x:f>IF('Calculations'!IH356="","",IF('Calculations'!IH356="!AMBIG","!AMBIG",IF(COUNTIF('Calculations'!$HE$13:$HE$512,"="&amp;SUBSTITUTE(SUBSTITUTE(SUBSTITUTE('Calculations'!IH356,"~","~~"),"*","~*"),"?","~?"))&gt;1,"!AMBIG",IFERROR(INDEX('Calculations'!$HF$13:$HF$512,MATCH('Calculations'!IH356,'Calculations'!$HE$13:$HE$512,0)),""))))</x:f>
      </x:c>
      <x:c r="IJ356" t="str">
        <x:f>IF('Calculations'!EM356="","",IF('Calculations'!$EF$2="All",'Calculations'!HM356,IF('Calculations'!HL356=1,"",IFERROR(IF(MATCH('Calculations'!$EF$2,'Calculations'!HO356:II356,0)=1,'Calculations'!HE356,INDEX('Calculations'!HO356:II356,1,MATCH('Calculations'!$EF$2,'Calculations'!HO356:II356,0)-1)),""))))</x:f>
      </x:c>
      <x:c r="IK356" t="n">
        <x:f>IF(AND('Calculations'!EM356&lt;&gt;"",'Calculations'!$EF$2&lt;&gt;"All",'Calculations'!HF356='Calculations'!$EF$2,'Calculations'!HL356=0,'Calculations'!JD356&gt;0),MAX('Calculations'!$IK$12:IK355)+1,0)</x:f>
        <x:v>0</x:v>
      </x:c>
      <x:c r="JA356" t="n">
        <x:f>IF(OR(IFERROR(INDIRECT("'WCM Calibration Final'!$A$356")&lt;&gt;"",FALSE),IFERROR(INDIRECT("'WCM Calibration Final'!$B$356")&lt;&gt;"",FALSE),IFERROR(INDIRECT("'WCM Calibration Final'!$C$356")&lt;&gt;"",FALSE)),356,0)</x:f>
        <x:v>0</x:v>
      </x:c>
      <x:c r="JB356" t="n">
        <x:f>'Calculations'!JB355+IF('Calculations'!JA356&gt;0,1,0)</x:f>
        <x:v>0</x:v>
      </x:c>
      <x:c r="JC356" t="n">
        <x:f>IF(OR('Calculations'!HF356="",'Calculations'!HF356="!AMBIG"),0,IF('Dashboard'!$B$7="All",1,COUNTIFS('Calculations'!$HO$13:$HO$512,"="&amp;SUBSTITUTE(SUBSTITUTE(SUBSTITUTE('Calculations'!HF356,"~","~~"),"*","~*"),"?","~?"),'Calculations'!$HN$13:$HN$512,"="&amp;SUBSTITUTE(SUBSTITUTE(SUBSTITUTE('Dashboard'!$B$7,"~","~~"),"*","~*"),"?","~?"))+COUNTIFS('Calculations'!$HP$13:$HP$512,"="&amp;SUBSTITUTE(SUBSTITUTE(SUBSTITUTE('Calculations'!HF356,"~","~~"),"*","~*"),"?","~?"),'Calculations'!$HN$13:$HN$512,"="&amp;SUBSTITUTE(SUBSTITUTE(SUBSTITUTE('Dashboard'!$B$7,"~","~~"),"*","~*"),"?","~?"))+COUNTIFS('Calculations'!$HQ$13:$HQ$512,"="&amp;SUBSTITUTE(SUBSTITUTE(SUBSTITUTE('Calculations'!HF356,"~","~~"),"*","~*"),"?","~?"),'Calculations'!$HN$13:$HN$512,"="&amp;SUBSTITUTE(SUBSTITUTE(SUBSTITUTE('Dashboard'!$B$7,"~","~~"),"*","~*"),"?","~?"))+COUNTIFS('Calculations'!$HR$13:$HR$512,"="&amp;SUBSTITUTE(SUBSTITUTE(SUBSTITUTE('Calculations'!HF356,"~","~~"),"*","~*"),"?","~?"),'Calculations'!$HN$13:$HN$512,"="&amp;SUBSTITUTE(SUBSTITUTE(SUBSTITUTE('Dashboard'!$B$7,"~","~~"),"*","~*"),"?","~?"))+COUNTIFS('Calculations'!$HS$13:$HS$512,"="&amp;SUBSTITUTE(SUBSTITUTE(SUBSTITUTE('Calculations'!HF356,"~","~~"),"*","~*"),"?","~?"),'Calculations'!$HN$13:$HN$512,"="&amp;SUBSTITUTE(SUBSTITUTE(SUBSTITUTE('Dashboard'!$B$7,"~","~~"),"*","~*"),"?","~?"))+COUNTIFS('Calculations'!$HT$13:$HT$512,"="&amp;SUBSTITUTE(SUBSTITUTE(SUBSTITUTE('Calculations'!HF356,"~","~~"),"*","~*"),"?","~?"),'Calculations'!$HN$13:$HN$512,"="&amp;SUBSTITUTE(SUBSTITUTE(SUBSTITUTE('Dashboard'!$B$7,"~","~~"),"*","~*"),"?","~?"))+COUNTIFS('Calculations'!$HU$13:$HU$512,"="&amp;SUBSTITUTE(SUBSTITUTE(SUBSTITUTE('Calculations'!HF356,"~","~~"),"*","~*"),"?","~?"),'Calculations'!$HN$13:$HN$512,"="&amp;SUBSTITUTE(SUBSTITUTE(SUBSTITUTE('Dashboard'!$B$7,"~","~~"),"*","~*"),"?","~?"))+COUNTIFS('Calculations'!$HV$13:$HV$512,"="&amp;SUBSTITUTE(SUBSTITUTE(SUBSTITUTE('Calculations'!HF356,"~","~~"),"*","~*"),"?","~?"),'Calculations'!$HN$13:$HN$512,"="&amp;SUBSTITUTE(SUBSTITUTE(SUBSTITUTE('Dashboard'!$B$7,"~","~~"),"*","~*"),"?","~?"))+COUNTIFS('Calculations'!$HW$13:$HW$512,"="&amp;SUBSTITUTE(SUBSTITUTE(SUBSTITUTE('Calculations'!HF356,"~","~~"),"*","~*"),"?","~?"),'Calculations'!$HN$13:$HN$512,"="&amp;SUBSTITUTE(SUBSTITUTE(SUBSTITUTE('Dashboard'!$B$7,"~","~~"),"*","~*"),"?","~?"))+COUNTIFS('Calculations'!$HX$13:$HX$512,"="&amp;SUBSTITUTE(SUBSTITUTE(SUBSTITUTE('Calculations'!HF356,"~","~~"),"*","~*"),"?","~?"),'Calculations'!$HN$13:$HN$512,"="&amp;SUBSTITUTE(SUBSTITUTE(SUBSTITUTE('Dashboard'!$B$7,"~","~~"),"*","~*"),"?","~?"))+COUNTIFS('Calculations'!$HY$13:$HY$512,"="&amp;SUBSTITUTE(SUBSTITUTE(SUBSTITUTE('Calculations'!HF356,"~","~~"),"*","~*"),"?","~?"),'Calculations'!$HN$13:$HN$512,"="&amp;SUBSTITUTE(SUBSTITUTE(SUBSTITUTE('Dashboard'!$B$7,"~","~~"),"*","~*"),"?","~?"))+COUNTIFS('Calculations'!$HZ$13:$HZ$512,"="&amp;SUBSTITUTE(SUBSTITUTE(SUBSTITUTE('Calculations'!HF356,"~","~~"),"*","~*"),"?","~?"),'Calculations'!$HN$13:$HN$512,"="&amp;SUBSTITUTE(SUBSTITUTE(SUBSTITUTE('Dashboard'!$B$7,"~","~~"),"*","~*"),"?","~?"))+COUNTIFS('Calculations'!$IA$13:$IA$512,"="&amp;SUBSTITUTE(SUBSTITUTE(SUBSTITUTE('Calculations'!HF356,"~","~~"),"*","~*"),"?","~?"),'Calculations'!$HN$13:$HN$512,"="&amp;SUBSTITUTE(SUBSTITUTE(SUBSTITUTE('Dashboard'!$B$7,"~","~~"),"*","~*"),"?","~?"))+COUNTIFS('Calculations'!$IB$13:$IB$512,"="&amp;SUBSTITUTE(SUBSTITUTE(SUBSTITUTE('Calculations'!HF356,"~","~~"),"*","~*"),"?","~?"),'Calculations'!$HN$13:$HN$512,"="&amp;SUBSTITUTE(SUBSTITUTE(SUBSTITUTE('Dashboard'!$B$7,"~","~~"),"*","~*"),"?","~?"))+COUNTIFS('Calculations'!$IC$13:$IC$512,"="&amp;SUBSTITUTE(SUBSTITUTE(SUBSTITUTE('Calculations'!HF356,"~","~~"),"*","~*"),"?","~?"),'Calculations'!$HN$13:$HN$512,"="&amp;SUBSTITUTE(SUBSTITUTE(SUBSTITUTE('Dashboard'!$B$7,"~","~~"),"*","~*"),"?","~?"))+COUNTIFS('Calculations'!$ID$13:$ID$512,"="&amp;SUBSTITUTE(SUBSTITUTE(SUBSTITUTE('Calculations'!HF356,"~","~~"),"*","~*"),"?","~?"),'Calculations'!$HN$13:$HN$512,"="&amp;SUBSTITUTE(SUBSTITUTE(SUBSTITUTE('Dashboard'!$B$7,"~","~~"),"*","~*"),"?","~?"))+COUNTIFS('Calculations'!$IE$13:$IE$512,"="&amp;SUBSTITUTE(SUBSTITUTE(SUBSTITUTE('Calculations'!HF356,"~","~~"),"*","~*"),"?","~?"),'Calculations'!$HN$13:$HN$512,"="&amp;SUBSTITUTE(SUBSTITUTE(SUBSTITUTE('Dashboard'!$B$7,"~","~~"),"*","~*"),"?","~?"))+COUNTIFS('Calculations'!$IF$13:$IF$512,"="&amp;SUBSTITUTE(SUBSTITUTE(SUBSTITUTE('Calculations'!HF356,"~","~~"),"*","~*"),"?","~?"),'Calculations'!$HN$13:$HN$512,"="&amp;SUBSTITUTE(SUBSTITUTE(SUBSTITUTE('Dashboard'!$B$7,"~","~~"),"*","~*"),"?","~?"))+COUNTIFS('Calculations'!$IG$13:$IG$512,"="&amp;SUBSTITUTE(SUBSTITUTE(SUBSTITUTE('Calculations'!HF356,"~","~~"),"*","~*"),"?","~?"),'Calculations'!$HN$13:$HN$512,"="&amp;SUBSTITUTE(SUBSTITUTE(SUBSTITUTE('Dashboard'!$B$7,"~","~~"),"*","~*"),"?","~?"))+COUNTIFS('Calculations'!$IH$13:$IH$512,"="&amp;SUBSTITUTE(SUBSTITUTE(SUBSTITUTE('Calculations'!HF356,"~","~~"),"*","~*"),"?","~?"),'Calculations'!$HN$13:$HN$512,"="&amp;SUBSTITUTE(SUBSTITUTE(SUBSTITUTE('Dashboard'!$B$7,"~","~~"),"*","~*"),"?","~?"))))</x:f>
        <x:v>0</x:v>
      </x:c>
      <x:c r="JD356" t="n">
        <x:f>IF('Calculations'!EM356="",0,IF('Dashboard'!$B$7="All",1,IF('Calculations'!HN356='Dashboard'!$B$7,1,0)+IFERROR(INDEX('Calculations'!$JC$13:$JC$512,MATCH('Calculations'!HE356,'Calculations'!$HF$13:$HF$512,0)),0)))</x:f>
        <x:v>0</x:v>
      </x:c>
      <x:c r="JE356" t="n">
        <x:f>IF(AND('Calculations'!EM356&lt;&gt;"",'Calculations'!$JJ$2&lt;&gt;"All",'Calculations'!$JJ$2&lt;&gt;"",'Calculations'!HF356='Calculations'!$JJ$2,'Calculations'!HL356=0,'Calculations'!JD356&gt;0),MAX('Calculations'!$JE$12:JE355)+1,0)</x:f>
        <x:v>0</x:v>
      </x:c>
      <x:c r="JF356" t="str">
        <x:f>IF('Calculations'!EM356="","",IFERROR(IF(INDEX(INDIRECT("'WCM Calibration Final'!$G$1:$G$2000"),'Calculations'!$EM356)="","",TRIM(INDEX(INDIRECT("'WCM Calibration Final'!$G$1:$G$2000"),'Calculations'!$EM356)&amp;"")),""))</x:f>
      </x:c>
      <x:c r="JQ356" t="n">
        <x:f>IF(OR('Calculations'!BM356=0,NOT('Calculations'!$AG$2),'Calculations'!$AG$8&gt;0),0,IF(OR('Dashboard'!$B$7="All",'Calculations'!HN356='Dashboard'!$B$7),IF('Calculations'!$JJ$2="All",1,IF(AND('Calculations'!HF356='Calculations'!$JJ$2,'Calculations'!HL356=0),1,0)),0))</x:f>
        <x:v>0</x:v>
      </x:c>
    </x:row>
    <x:row r="357">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t="n">
        <x:f>IF('Calculations'!$EM357="",0,IF(OR(IFERROR(INDEX(INDIRECT("'WCM Calibration Final'!$A$1:$A$2000"),'Calculations'!$EM357)&lt;&gt;"",FALSE),IFERROR(INDEX(INDIRECT("'WCM Calibration Final'!$B$1:$B$2000"),'Calculations'!$EM357)&lt;&gt;"",FALSE),IFERROR(INDEX(INDIRECT("'WCM Calibration Final'!$C$1:$C$2000"),'Calculations'!$EM357)&lt;&gt;"",FALSE)),1,0))</x:f>
        <x:v>0</x:v>
      </x:c>
      <x:c r="BN357" s="4" t="n">
        <x:f>IF(AND('Calculations'!BM357=1,'Calculations'!$AG$2,'Calculations'!$EN357=1),1,0)</x:f>
        <x:v>0</x:v>
      </x:c>
      <x:c r="BO357" s="4" t="str">
        <x:f>IF('Calculations'!BM357=0,"",IFERROR(IF(AND(VALUE(INDEX(INDIRECT("'WCM Calibration Final'!$K$1:$K$2000"),'Calculations'!$EM357))&gt;=1,VALUE(INDEX(INDIRECT("'WCM Calibration Final'!$K$1:$K$2000"),'Calculations'!$EM357))&lt;=4,MOD(VALUE(INDEX(INDIRECT("'WCM Calibration Final'!$K$1:$K$2000"),'Calculations'!$EM357)),1)=0),VALUE(INDEX(INDIRECT("'WCM Calibration Final'!$K$1:$K$2000"),'Calculations'!$EM357)),""),""))</x:f>
      </x:c>
      <x:c r="BP357" s="4" t="str">
        <x:f>IF('Calculations'!BM357=0,"",IFERROR(IF(AND(VALUE(INDEX(INDIRECT("'WCM Calibration Final'!$L$1:$L$2000"),'Calculations'!$EM357))&gt;=1,VALUE(INDEX(INDIRECT("'WCM Calibration Final'!$L$1:$L$2000"),'Calculations'!$EM357))&lt;=4,MOD(VALUE(INDEX(INDIRECT("'WCM Calibration Final'!$L$1:$L$2000"),'Calculations'!$EM357)),1)=0),VALUE(INDEX(INDIRECT("'WCM Calibration Final'!$L$1:$L$2000"),'Calculations'!$EM357)),""),""))</x:f>
      </x:c>
      <x:c r="BQ357" s="4"/>
      <x:c r="BR357" s="4"/>
      <x:c r="BS357" s="4"/>
      <x:c r="BT357" s="4" t="n">
        <x:f>IF(AND('Calculations'!BM357=1,ISNUMBER('Calculations'!BO357),ISNUMBER('Calculations'!BP357)),1,0)</x:f>
        <x:v>0</x:v>
      </x:c>
      <x:c r="BU357" s="4" t="str">
        <x:f>IF('Calculations'!BM357=0,"",'Calculations'!$EO357)</x:f>
      </x:c>
      <x:c r="BV357" s="4" t="str">
        <x:f>IF('Calculations'!BM357=0,"",IFERROR(IF(OR(INDEX(INDIRECT("'WCM Calibration Final'!$H$1:$H$2000"),'Calculations'!$EM357)="MANAGING DIRECTOR",INDEX(INDIRECT("'WCM Calibration Final'!$H$1:$H$2000"),'Calculations'!$EM357)="DIRECTOR",INDEX(INDIRECT("'WCM Calibration Final'!$H$1:$H$2000"),'Calculations'!$EM357)="SENIOR VICE PRESIDENT",INDEX(INDIRECT("'WCM Calibration Final'!$H$1:$H$2000"),'Calculations'!$EM357)="VICE PRESIDENT",INDEX(INDIRECT("'WCM Calibration Final'!$H$1:$H$2000"),'Calculations'!$EM357)="ASSISTANT VICE PRESIDENT",INDEX(INDIRECT("'WCM Calibration Final'!$H$1:$H$2000"),'Calculations'!$EM357)="OFFICER"),UPPER(INDEX(INDIRECT("'WCM Calibration Final'!$H$1:$H$2000"),'Calculations'!$EM357)),"Other"),"Other"))</x:f>
      </x:c>
      <x:c r="BW357" s="4"/>
      <x:c r="BX357" s="4"/>
      <x:c r="BY357" s="4" t="n">
        <x:f>IF(AND('Calculations'!BM357=1,'Calculations'!BU357&lt;&gt;"",COUNTIF('Calculations'!$BU$12:BU357,'Calculations'!BU357)=1),MAX('Calculations'!$BY$11:BY356)+1,0)</x:f>
        <x:v>0</x:v>
      </x:c>
      <x:c r="BZ357" s="4" t="str">
        <x:f>IF('Dashboard'!$E$67="What",'Calculations'!BO357,'Calculations'!BP357)</x:f>
      </x:c>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t="str">
        <x:f>IF(346&gt;MAX('Calculations'!$HI$13:$HI$512),"",INDEX('Calculations'!$HN$13:$HN$512,MATCH(346,'Calculations'!$HI$13:$HI$512,0)))</x:f>
      </x:c>
      <x:c r="DB357" s="4" t="str">
        <x:f>IF(346&gt;MAX('Calculations'!$HH$13:$HH$512),"",INDEX('Calculations'!$HJ$13:$HJ$512,MATCH(346,'Calculations'!$HH$13:$HH$512,0)))</x:f>
      </x:c>
      <x:c r="DC357" s="4" t="str">
        <x:f>IF(ROW()-11&gt;MAX('Calculations'!$BY$13:$BY$512),"",INDEX('Calculations'!$BU$13:$BU$512,MATCH(ROW()-11,'Calculations'!$BY$13:$BY$512,0)))</x:f>
      </x:c>
      <x:c r="DD357" s="4" t="str">
        <x:f>IF(346&gt;MAX('Calculations'!$IK$13:$IK$512),"",INDEX('Calculations'!$HK$13:$HK$512,MATCH(346,'Calculations'!$IK$13:$IK$512,0)))</x:f>
      </x:c>
      <x:c r="DE357" s="4" t="str">
        <x:f>'Calculations'!DC357</x:f>
      </x:c>
      <x:c r="DF357" s="4" t="str">
        <x:f>IF('Calculations'!DE357="","",COUNTIFS('Calculations'!$BN$13:$BN$512,1,'Calculations'!$BU$13:$BU$512,'Calculations'!DE357))</x:f>
      </x:c>
      <x:c r="DG357" s="4" t="str">
        <x:f>IF('Calculations'!DE357="","",COUNTIFS('Calculations'!$BN$13:$BN$512,1,'Calculations'!$BU$13:$BU$512,'Calculations'!DE357,'Calculations'!$BT$13:$BT$512,1))</x:f>
      </x:c>
      <x:c r="DH357" s="4" t="str">
        <x:f>IF('Calculations'!DE357="","",'Calculations'!DF357-'Calculations'!DG357)</x:f>
      </x:c>
      <x:c r="DI357" s="4" t="str">
        <x:f>IF(OR('Calculations'!DE357="",'Calculations'!DF357=0),"",'Calculations'!DG357/'Calculations'!DF357)</x:f>
      </x:c>
      <x:c r="DJ357" s="4" t="str">
        <x:f>IF('Calculations'!DE357="","",COUNTIFS('Calculations'!$BN$13:$BN$512,1,'Calculations'!$BU$13:$BU$512,'Calculations'!DE357,'Calculations'!$BT$13:$BT$512,1,'Calculations'!$EE$13:$EE$512,"High"))</x:f>
      </x:c>
      <x:c r="DK357" s="4" t="str">
        <x:f>IF('Calculations'!DE357="","",COUNTIFS('Calculations'!$BN$13:$BN$512,1,'Calculations'!$BU$13:$BU$512,'Calculations'!DE357,'Calculations'!$BT$13:$BT$512,1,'Calculations'!$EE$13:$EE$512,"Strong"))</x:f>
      </x:c>
      <x:c r="DL357" s="4" t="str">
        <x:f>IF('Calculations'!DE357="","",COUNTIFS('Calculations'!$BN$13:$BN$512,1,'Calculations'!$BU$13:$BU$512,'Calculations'!DE357,'Calculations'!$BT$13:$BT$512,1,'Calculations'!$EE$13:$EE$512,"Solid"))</x:f>
      </x:c>
      <x:c r="DM357" s="4" t="str">
        <x:f>IF('Calculations'!DE357="","",COUNTIFS('Calculations'!$BN$13:$BN$512,1,'Calculations'!$BU$13:$BU$512,'Calculations'!DE357,'Calculations'!$BT$13:$BT$512,1,'Calculations'!$EE$13:$EE$512,"Low"))</x:f>
      </x:c>
      <x:c r="DN357" s="4" t="str">
        <x:f>IF('Calculations'!DE357="","",COUNTIFS('Calculations'!$BN$13:$BN$512,1,'Calculations'!$BU$13:$BU$512,'Calculations'!DE357,'Calculations'!$EP$13:$EP$512,1))</x:f>
      </x:c>
      <x:c r="DO357" s="4" t="str">
        <x:f>IF(OR('Calculations'!DE357="",'Calculations'!DG357=0),"",('Calculations'!DJ357+'Calculations'!DK357)/'Calculations'!DG357)</x:f>
      </x:c>
      <x:c r="DP357" s="4" t="n">
        <x:f>IF(AND('Calculations'!DE357&lt;&gt;"",'Calculations'!DF357&gt;0),COUNTIF('Calculations'!$DF$12:DF357,"&gt;0"),0)</x:f>
        <x:v>0</x:v>
      </x:c>
      <x:c r="DQ357" s="4" t="str">
        <x:f>IF(346&gt;MAX('Calculations'!$HH$13:$HH$512),"",INDEX('Calculations'!$HF$13:$HF$512,MATCH(346,'Calculations'!$HH$13:$HH$512,0)))</x:f>
      </x:c>
      <x:c r="DR357" s="4" t="str">
        <x:f>IF(346&gt;MAX('Calculations'!$IK$13:$IK$512),"",INDEX('Calculations'!$HE$13:$HE$512,MATCH(346,'Calculations'!$IK$13:$IK$512,0)))</x:f>
      </x:c>
      <x:c r="DS357" s="4"/>
      <x:c r="DT357" s="4"/>
      <x:c r="DU357" s="4"/>
      <x:c r="DV357" s="4"/>
      <x:c r="DW357" s="4"/>
      <x:c r="DX357" s="4"/>
      <x:c r="DY357" s="4"/>
      <x:c r="DZ357" s="4"/>
      <x:c r="EA357" s="4"/>
      <x:c r="EB357" s="4"/>
      <x:c r="EC357" s="4"/>
      <x:c r="ED357" s="4"/>
      <x:c r="EE357" s="4" t="str">
        <x:f>IF('Calculations'!BT357=0,"Not Rated",IF(OR('Calculations'!BO357&gt;=4,'Calculations'!BP357&gt;=4),"Low",IF('Calculations'!BO357+'Calculations'!BP357&lt;=3,"High",IF('Calculations'!BO357+'Calculations'!BP357&lt;=4,"Strong","Solid"))))</x:f>
        <x:v>Not Rated</x:v>
      </x:c>
      <x:c r="EF357" s="4"/>
      <x:c r="EG357" s="4"/>
      <x:c r="EH357" s="4"/>
      <x:c r="EI357" s="4"/>
      <x:c r="EJ357" s="4"/>
      <x:c r="EK357" s="4"/>
      <x:c r="EL357" s="4"/>
      <x:c r="EM357" s="4" t="str">
        <x:f>IF(345&gt;'Calculations'!$JB$2000,"",INDEX('Calculations'!$JA$12:$JA$2000,MATCH(345,'Calculations'!$JB$12:$JB$2000,0)))</x:f>
      </x:c>
      <x:c r="EN357" s="4" t="n">
        <x:f>IF(OR('Calculations'!EM357="",'Calculations'!$AG$8&gt;0,AND('Calculations'!$EF$2&lt;&gt;"All",'Calculations'!HE357='Calculations'!$EF$2),AND('Calculations'!$EF$3&lt;&gt;"All",'Calculations'!HE357='Calculations'!$EF$3)),0,IF(OR('Dashboard'!$B$7="All",'Calculations'!HN357='Dashboard'!$B$7),IF('Calculations'!$EF$2="All",1,IF('Calculations'!HL357&gt;0,0,IF(COUNTIF('Calculations'!HO357:II357,"="&amp;SUBSTITUTE(SUBSTITUTE(SUBSTITUTE('Calculations'!$EF$2,"~","~~"),"*","~*"),"?","~?"))=0,0,IF('Calculations'!$EF$3="All",1,IF(COUNTIF('Calculations'!HO357:II357,"="&amp;SUBSTITUTE(SUBSTITUTE(SUBSTITUTE('Calculations'!$EF$3,"~","~~"),"*","~*"),"?","~?"))&gt;0,1,0))))),0))</x:f>
        <x:v>0</x:v>
      </x:c>
      <x:c r="EO357" s="4" t="str">
        <x:f>IF('Calculations'!IJ357="","",IF('Calculations'!IJ357="!UNRESOLVED","Unresolved hierarchy",IFERROR(INDEX('Calculations'!$HK$13:$HK$512,MATCH('Calculations'!IJ357,'Calculations'!$HE$13:$HE$512,0)),IFERROR(INDEX('Calculations'!$HJ$13:$HJ$512,MATCH('Calculations'!IJ357,'Calculations'!$HF$13:$HF$512,0)),'Calculations'!IJ357))))</x:f>
      </x:c>
      <x:c r="EP357" s="4" t="n">
        <x:f>IF(AND('Calculations'!EM357&lt;&gt;"",'Calculations'!HF357='Calculations'!IJ357),1,0)</x:f>
        <x:v>0</x:v>
      </x:c>
      <x:c r="EQ357" s="4"/>
      <x:c r="ER357" s="4"/>
      <x:c r="ES357" s="4"/>
      <x:c r="ET357" s="4"/>
      <x:c r="EU357" s="4"/>
      <x:c r="EV357" s="4"/>
      <x:c r="EW357" s="4"/>
      <x:c r="EX357" s="4"/>
      <x:c r="EY357" s="4"/>
      <x:c r="EZ357" s="4"/>
      <x:c r="FA357" s="4"/>
      <x:c r="FB357" s="4"/>
      <x:c r="FC357" s="4"/>
      <x:c r="FD357" s="4"/>
      <x:c r="FE357" s="4"/>
      <x:c r="FF357" s="4"/>
      <x:c r="FG357" s="4"/>
      <x:c r="FH357" s="4"/>
      <x:c r="FI357" s="4"/>
      <x:c r="FJ357" s="4"/>
      <x:c r="FK357" s="4"/>
      <x:c r="FL357" s="4"/>
      <x:c r="FM357" s="4"/>
      <x:c r="FN357" s="4"/>
      <x:c r="FO357" s="4"/>
      <x:c r="HE357" t="str">
        <x:f>IF('Calculations'!EM357="","",IF(IFERROR(IF(INDEX(INDIRECT("'WCM Calibration Final'!$A$1:$A$2000"),'Calculations'!$EM357)="","",TRIM(INDEX(INDIRECT("'WCM Calibration Final'!$A$1:$A$2000"),'Calculations'!$EM357)&amp;"")),"")&lt;&gt;"","G:"&amp;IFERROR(TEXT(1*INDEX(INDIRECT("'WCM Calibration Final'!$A$1:$A$2000"),'Calculations'!$EM357),"0"),UPPER(IFERROR(IF(INDEX(INDIRECT("'WCM Calibration Final'!$A$1:$A$2000"),'Calculations'!$EM357)="","",TRIM(INDEX(INDIRECT("'WCM Calibration Final'!$A$1:$A$2000"),'Calculations'!$EM357)&amp;"")),""))),IF(IFERROR(IF(INDEX(INDIRECT("'WCM Calibration Final'!$C$1:$C$2000"),'Calculations'!$EM357)="","",TRIM(INDEX(INDIRECT("'WCM Calibration Final'!$C$1:$C$2000"),'Calculations'!$EM357)&amp;"")),"")&lt;&gt;"","S:"&amp;UPPER(IFERROR(IF(INDEX(INDIRECT("'WCM Calibration Final'!$C$1:$C$2000"),'Calculations'!$EM357)="","",TRIM(INDEX(INDIRECT("'WCM Calibration Final'!$C$1:$C$2000"),'Calculations'!$EM357)&amp;"")),"")),"R:"&amp;'Calculations'!EM357)))</x:f>
      </x:c>
      <x:c r="HF357" t="str">
        <x:f>IF('Calculations'!EM357="","",IF(IFERROR(IF(INDEX(INDIRECT("'WCM Calibration Final'!$D$1:$D$2000"),'Calculations'!$EM357)="","",TRIM(INDEX(INDIRECT("'WCM Calibration Final'!$D$1:$D$2000"),'Calculations'!$EM357)&amp;"")),"")&lt;&gt;"","G:"&amp;IFERROR(TEXT(1*INDEX(INDIRECT("'WCM Calibration Final'!$D$1:$D$2000"),'Calculations'!$EM357),"0"),UPPER(IFERROR(IF(INDEX(INDIRECT("'WCM Calibration Final'!$D$1:$D$2000"),'Calculations'!$EM357)="","",TRIM(INDEX(INDIRECT("'WCM Calibration Final'!$D$1:$D$2000"),'Calculations'!$EM357)&amp;"")),""))),IF(IFERROR(IF(INDEX(INDIRECT("'WCM Calibration Final'!$E$1:$E$2000"),'Calculations'!$EM357)="","",TRIM(INDEX(INDIRECT("'WCM Calibration Final'!$E$1:$E$2000"),'Calculations'!$EM357)&amp;"")),"")="","",IF(COUNTIF('Calculations'!$HG$13:$HG$512,"="&amp;SUBSTITUTE(SUBSTITUTE(SUBSTITUTE(IFERROR(IF(INDEX(INDIRECT("'WCM Calibration Final'!$E$1:$E$2000"),'Calculations'!$EM357)="","",TRIM(INDEX(INDIRECT("'WCM Calibration Final'!$E$1:$E$2000"),'Calculations'!$EM357)&amp;"")),""),"~","~~"),"*","~*"),"?","~?"))=1,INDEX('Calculations'!$HE$13:$HE$512,MATCH(IFERROR(IF(INDEX(INDIRECT("'WCM Calibration Final'!$E$1:$E$2000"),'Calculations'!$EM357)="","",TRIM(INDEX(INDIRECT("'WCM Calibration Final'!$E$1:$E$2000"),'Calculations'!$EM357)&amp;"")),""),'Calculations'!$HG$13:$HG$512,0)),IF(COUNTIF('Calculations'!$HG$13:$HG$512,"="&amp;SUBSTITUTE(SUBSTITUTE(SUBSTITUTE(IFERROR(IF(INDEX(INDIRECT("'WCM Calibration Final'!$E$1:$E$2000"),'Calculations'!$EM357)="","",TRIM(INDEX(INDIRECT("'WCM Calibration Final'!$E$1:$E$2000"),'Calculations'!$EM357)&amp;"")),""),"~","~~"),"*","~*"),"?","~?"))&gt;1,"!AMBIG","X:"&amp;IFERROR(IF(INDEX(INDIRECT("'WCM Calibration Final'!$E$1:$E$2000"),'Calculations'!$EM357)="","",TRIM(INDEX(INDIRECT("'WCM Calibration Final'!$E$1:$E$2000"),'Calculations'!$EM357)&amp;"")),""))))))</x:f>
      </x:c>
      <x:c r="HG357" t="str">
        <x:f>IF('Calculations'!EM357="","",IFERROR(IF(INDEX(INDIRECT("'WCM Calibration Final'!$B$1:$B$2000"),'Calculations'!$EM357)="","",TRIM(INDEX(INDIRECT("'WCM Calibration Final'!$B$1:$B$2000"),'Calculations'!$EM357)&amp;"")),""))</x:f>
      </x:c>
      <x:c r="HH357" t="n">
        <x:f>IF(AND('Calculations'!JC357&gt;0,COUNTIF('Calculations'!$HF$12:HF357,"="&amp;SUBSTITUTE(SUBSTITUTE(SUBSTITUTE('Calculations'!HF357,"~","~~"),"*","~*"),"?","~?"))=1),MAX('Calculations'!$HH$12:HH356)+1,0)</x:f>
        <x:v>0</x:v>
      </x:c>
      <x:c r="HI357" t="n">
        <x:f>IF(AND('Calculations'!HN357&lt;&gt;"",COUNTIF('Calculations'!$HN$12:HN357,"="&amp;SUBSTITUTE(SUBSTITUTE(SUBSTITUTE('Calculations'!HN357,"~","~~"),"*","~*"),"?","~?"))=1),MAX('Calculations'!$HI$12:HI356)+1,0)</x:f>
        <x:v>0</x:v>
      </x:c>
      <x:c r="HJ357" t="str">
        <x:f>IF('Calculations'!HF357="","",IF(COUNTIF('Calculations'!$HE$13:$HE$512,"="&amp;SUBSTITUTE(SUBSTITUTE(SUBSTITUTE('Calculations'!HF357,"~","~~"),"*","~*"),"?","~?"))=1,INDEX('Calculations'!$HK$13:$HK$512,MATCH('Calculations'!HF357,'Calculations'!$HE$13:$HE$512,0)),IFERROR(IF(INDEX(INDIRECT("'WCM Calibration Final'!$E$1:$E$2000"),'Calculations'!$EM357)="","",TRIM(INDEX(INDIRECT("'WCM Calibration Final'!$E$1:$E$2000"),'Calculations'!$EM357)&amp;"")),"")&amp;" ["&amp;'Calculations'!HF357&amp;"]"))</x:f>
      </x:c>
      <x:c r="HK357" t="str">
        <x:f>IF('Calculations'!EM357="","",'Calculations'!HG357&amp;" ["&amp;'Calculations'!HE357&amp;"]")</x:f>
      </x:c>
      <x:c r="HL357" t="n">
        <x:f>IF('Calculations'!EM357="",0,IF(OR('Calculations'!II357&lt;&gt;"",COUNTIF('Calculations'!$HE$13:$HE$512,"="&amp;SUBSTITUTE(SUBSTITUTE(SUBSTITUTE('Calculations'!HE357,"~","~~"),"*","~*"),"?","~?"))&gt;1),1,0))</x:f>
        <x:v>0</x:v>
      </x:c>
      <x:c r="HM357" t="str">
        <x:f>IF('Calculations'!EM357="","",IF('Calculations'!HL357=1,"!UNRESOLVED",IF('Calculations'!IH357&lt;&gt;"",'Calculations'!IH357,IF('Calculations'!IG357&lt;&gt;"",'Calculations'!IG357,IF('Calculations'!IF357&lt;&gt;"",'Calculations'!IF357,IF('Calculations'!IE357&lt;&gt;"",'Calculations'!IE357,IF('Calculations'!ID357&lt;&gt;"",'Calculations'!ID357,IF('Calculations'!IC357&lt;&gt;"",'Calculations'!IC357,IF('Calculations'!IB357&lt;&gt;"",'Calculations'!IB357,IF('Calculations'!IA357&lt;&gt;"",'Calculations'!IA357,IF('Calculations'!HZ357&lt;&gt;"",'Calculations'!HZ357,IF('Calculations'!HY357&lt;&gt;"",'Calculations'!HY357,IF('Calculations'!HX357&lt;&gt;"",'Calculations'!HX357,IF('Calculations'!HW357&lt;&gt;"",'Calculations'!HW357,IF('Calculations'!HV357&lt;&gt;"",'Calculations'!HV357,IF('Calculations'!HU357&lt;&gt;"",'Calculations'!HU357,IF('Calculations'!HT357&lt;&gt;"",'Calculations'!HT357,IF('Calculations'!HS357&lt;&gt;"",'Calculations'!HS357,IF('Calculations'!HR357&lt;&gt;"",'Calculations'!HR357,IF('Calculations'!HQ357&lt;&gt;"",'Calculations'!HQ357,IF('Calculations'!HP357&lt;&gt;"",'Calculations'!HP357,IF('Calculations'!HO357&lt;&gt;"",'Calculations'!HO357,'Calculations'!HE357))))))))))))))))))))))</x:f>
      </x:c>
      <x:c r="HN357" t="str">
        <x:f>IF('Calculations'!EM357="","",IF(IFERROR(IF(INDEX(INDIRECT("'WCM Calibration Final'!$F$1:$F$2000"),'Calculations'!$EM357)="","",TRIM(INDEX(INDIRECT("'WCM Calibration Final'!$F$1:$F$2000"),'Calculations'!$EM357)&amp;"")),"")="","(Blank)",IFERROR(IF(INDEX(INDIRECT("'WCM Calibration Final'!$F$1:$F$2000"),'Calculations'!$EM357)="","",TRIM(INDEX(INDIRECT("'WCM Calibration Final'!$F$1:$F$2000"),'Calculations'!$EM357)&amp;"")),"")))</x:f>
      </x:c>
      <x:c r="HO357" t="str">
        <x:f>'Calculations'!HF357</x:f>
      </x:c>
      <x:c r="HP357" t="str">
        <x:f>IF('Calculations'!HO357="","",IF('Calculations'!HO357="!AMBIG","!AMBIG",IF(COUNTIF('Calculations'!$HE$13:$HE$512,"="&amp;SUBSTITUTE(SUBSTITUTE(SUBSTITUTE('Calculations'!HO357,"~","~~"),"*","~*"),"?","~?"))&gt;1,"!AMBIG",IFERROR(INDEX('Calculations'!$HF$13:$HF$512,MATCH('Calculations'!HO357,'Calculations'!$HE$13:$HE$512,0)),""))))</x:f>
      </x:c>
      <x:c r="HQ357" t="str">
        <x:f>IF('Calculations'!HP357="","",IF('Calculations'!HP357="!AMBIG","!AMBIG",IF(COUNTIF('Calculations'!$HE$13:$HE$512,"="&amp;SUBSTITUTE(SUBSTITUTE(SUBSTITUTE('Calculations'!HP357,"~","~~"),"*","~*"),"?","~?"))&gt;1,"!AMBIG",IFERROR(INDEX('Calculations'!$HF$13:$HF$512,MATCH('Calculations'!HP357,'Calculations'!$HE$13:$HE$512,0)),""))))</x:f>
      </x:c>
      <x:c r="HR357" t="str">
        <x:f>IF('Calculations'!HQ357="","",IF('Calculations'!HQ357="!AMBIG","!AMBIG",IF(COUNTIF('Calculations'!$HE$13:$HE$512,"="&amp;SUBSTITUTE(SUBSTITUTE(SUBSTITUTE('Calculations'!HQ357,"~","~~"),"*","~*"),"?","~?"))&gt;1,"!AMBIG",IFERROR(INDEX('Calculations'!$HF$13:$HF$512,MATCH('Calculations'!HQ357,'Calculations'!$HE$13:$HE$512,0)),""))))</x:f>
      </x:c>
      <x:c r="HS357" t="str">
        <x:f>IF('Calculations'!HR357="","",IF('Calculations'!HR357="!AMBIG","!AMBIG",IF(COUNTIF('Calculations'!$HE$13:$HE$512,"="&amp;SUBSTITUTE(SUBSTITUTE(SUBSTITUTE('Calculations'!HR357,"~","~~"),"*","~*"),"?","~?"))&gt;1,"!AMBIG",IFERROR(INDEX('Calculations'!$HF$13:$HF$512,MATCH('Calculations'!HR357,'Calculations'!$HE$13:$HE$512,0)),""))))</x:f>
      </x:c>
      <x:c r="HT357" t="str">
        <x:f>IF('Calculations'!HS357="","",IF('Calculations'!HS357="!AMBIG","!AMBIG",IF(COUNTIF('Calculations'!$HE$13:$HE$512,"="&amp;SUBSTITUTE(SUBSTITUTE(SUBSTITUTE('Calculations'!HS357,"~","~~"),"*","~*"),"?","~?"))&gt;1,"!AMBIG",IFERROR(INDEX('Calculations'!$HF$13:$HF$512,MATCH('Calculations'!HS357,'Calculations'!$HE$13:$HE$512,0)),""))))</x:f>
      </x:c>
      <x:c r="HU357" t="str">
        <x:f>IF('Calculations'!HT357="","",IF('Calculations'!HT357="!AMBIG","!AMBIG",IF(COUNTIF('Calculations'!$HE$13:$HE$512,"="&amp;SUBSTITUTE(SUBSTITUTE(SUBSTITUTE('Calculations'!HT357,"~","~~"),"*","~*"),"?","~?"))&gt;1,"!AMBIG",IFERROR(INDEX('Calculations'!$HF$13:$HF$512,MATCH('Calculations'!HT357,'Calculations'!$HE$13:$HE$512,0)),""))))</x:f>
      </x:c>
      <x:c r="HV357" t="str">
        <x:f>IF('Calculations'!HU357="","",IF('Calculations'!HU357="!AMBIG","!AMBIG",IF(COUNTIF('Calculations'!$HE$13:$HE$512,"="&amp;SUBSTITUTE(SUBSTITUTE(SUBSTITUTE('Calculations'!HU357,"~","~~"),"*","~*"),"?","~?"))&gt;1,"!AMBIG",IFERROR(INDEX('Calculations'!$HF$13:$HF$512,MATCH('Calculations'!HU357,'Calculations'!$HE$13:$HE$512,0)),""))))</x:f>
      </x:c>
      <x:c r="HW357" t="str">
        <x:f>IF('Calculations'!HV357="","",IF('Calculations'!HV357="!AMBIG","!AMBIG",IF(COUNTIF('Calculations'!$HE$13:$HE$512,"="&amp;SUBSTITUTE(SUBSTITUTE(SUBSTITUTE('Calculations'!HV357,"~","~~"),"*","~*"),"?","~?"))&gt;1,"!AMBIG",IFERROR(INDEX('Calculations'!$HF$13:$HF$512,MATCH('Calculations'!HV357,'Calculations'!$HE$13:$HE$512,0)),""))))</x:f>
      </x:c>
      <x:c r="HX357" t="str">
        <x:f>IF('Calculations'!HW357="","",IF('Calculations'!HW357="!AMBIG","!AMBIG",IF(COUNTIF('Calculations'!$HE$13:$HE$512,"="&amp;SUBSTITUTE(SUBSTITUTE(SUBSTITUTE('Calculations'!HW357,"~","~~"),"*","~*"),"?","~?"))&gt;1,"!AMBIG",IFERROR(INDEX('Calculations'!$HF$13:$HF$512,MATCH('Calculations'!HW357,'Calculations'!$HE$13:$HE$512,0)),""))))</x:f>
      </x:c>
      <x:c r="HY357" t="str">
        <x:f>IF('Calculations'!HX357="","",IF('Calculations'!HX357="!AMBIG","!AMBIG",IF(COUNTIF('Calculations'!$HE$13:$HE$512,"="&amp;SUBSTITUTE(SUBSTITUTE(SUBSTITUTE('Calculations'!HX357,"~","~~"),"*","~*"),"?","~?"))&gt;1,"!AMBIG",IFERROR(INDEX('Calculations'!$HF$13:$HF$512,MATCH('Calculations'!HX357,'Calculations'!$HE$13:$HE$512,0)),""))))</x:f>
      </x:c>
      <x:c r="HZ357" t="str">
        <x:f>IF('Calculations'!HY357="","",IF('Calculations'!HY357="!AMBIG","!AMBIG",IF(COUNTIF('Calculations'!$HE$13:$HE$512,"="&amp;SUBSTITUTE(SUBSTITUTE(SUBSTITUTE('Calculations'!HY357,"~","~~"),"*","~*"),"?","~?"))&gt;1,"!AMBIG",IFERROR(INDEX('Calculations'!$HF$13:$HF$512,MATCH('Calculations'!HY357,'Calculations'!$HE$13:$HE$512,0)),""))))</x:f>
      </x:c>
      <x:c r="IA357" t="str">
        <x:f>IF('Calculations'!HZ357="","",IF('Calculations'!HZ357="!AMBIG","!AMBIG",IF(COUNTIF('Calculations'!$HE$13:$HE$512,"="&amp;SUBSTITUTE(SUBSTITUTE(SUBSTITUTE('Calculations'!HZ357,"~","~~"),"*","~*"),"?","~?"))&gt;1,"!AMBIG",IFERROR(INDEX('Calculations'!$HF$13:$HF$512,MATCH('Calculations'!HZ357,'Calculations'!$HE$13:$HE$512,0)),""))))</x:f>
      </x:c>
      <x:c r="IB357" t="str">
        <x:f>IF('Calculations'!IA357="","",IF('Calculations'!IA357="!AMBIG","!AMBIG",IF(COUNTIF('Calculations'!$HE$13:$HE$512,"="&amp;SUBSTITUTE(SUBSTITUTE(SUBSTITUTE('Calculations'!IA357,"~","~~"),"*","~*"),"?","~?"))&gt;1,"!AMBIG",IFERROR(INDEX('Calculations'!$HF$13:$HF$512,MATCH('Calculations'!IA357,'Calculations'!$HE$13:$HE$512,0)),""))))</x:f>
      </x:c>
      <x:c r="IC357" t="str">
        <x:f>IF('Calculations'!IB357="","",IF('Calculations'!IB357="!AMBIG","!AMBIG",IF(COUNTIF('Calculations'!$HE$13:$HE$512,"="&amp;SUBSTITUTE(SUBSTITUTE(SUBSTITUTE('Calculations'!IB357,"~","~~"),"*","~*"),"?","~?"))&gt;1,"!AMBIG",IFERROR(INDEX('Calculations'!$HF$13:$HF$512,MATCH('Calculations'!IB357,'Calculations'!$HE$13:$HE$512,0)),""))))</x:f>
      </x:c>
      <x:c r="ID357" t="str">
        <x:f>IF('Calculations'!IC357="","",IF('Calculations'!IC357="!AMBIG","!AMBIG",IF(COUNTIF('Calculations'!$HE$13:$HE$512,"="&amp;SUBSTITUTE(SUBSTITUTE(SUBSTITUTE('Calculations'!IC357,"~","~~"),"*","~*"),"?","~?"))&gt;1,"!AMBIG",IFERROR(INDEX('Calculations'!$HF$13:$HF$512,MATCH('Calculations'!IC357,'Calculations'!$HE$13:$HE$512,0)),""))))</x:f>
      </x:c>
      <x:c r="IE357" t="str">
        <x:f>IF('Calculations'!ID357="","",IF('Calculations'!ID357="!AMBIG","!AMBIG",IF(COUNTIF('Calculations'!$HE$13:$HE$512,"="&amp;SUBSTITUTE(SUBSTITUTE(SUBSTITUTE('Calculations'!ID357,"~","~~"),"*","~*"),"?","~?"))&gt;1,"!AMBIG",IFERROR(INDEX('Calculations'!$HF$13:$HF$512,MATCH('Calculations'!ID357,'Calculations'!$HE$13:$HE$512,0)),""))))</x:f>
      </x:c>
      <x:c r="IF357" t="str">
        <x:f>IF('Calculations'!IE357="","",IF('Calculations'!IE357="!AMBIG","!AMBIG",IF(COUNTIF('Calculations'!$HE$13:$HE$512,"="&amp;SUBSTITUTE(SUBSTITUTE(SUBSTITUTE('Calculations'!IE357,"~","~~"),"*","~*"),"?","~?"))&gt;1,"!AMBIG",IFERROR(INDEX('Calculations'!$HF$13:$HF$512,MATCH('Calculations'!IE357,'Calculations'!$HE$13:$HE$512,0)),""))))</x:f>
      </x:c>
      <x:c r="IG357" t="str">
        <x:f>IF('Calculations'!IF357="","",IF('Calculations'!IF357="!AMBIG","!AMBIG",IF(COUNTIF('Calculations'!$HE$13:$HE$512,"="&amp;SUBSTITUTE(SUBSTITUTE(SUBSTITUTE('Calculations'!IF357,"~","~~"),"*","~*"),"?","~?"))&gt;1,"!AMBIG",IFERROR(INDEX('Calculations'!$HF$13:$HF$512,MATCH('Calculations'!IF357,'Calculations'!$HE$13:$HE$512,0)),""))))</x:f>
      </x:c>
      <x:c r="IH357" t="str">
        <x:f>IF('Calculations'!IG357="","",IF('Calculations'!IG357="!AMBIG","!AMBIG",IF(COUNTIF('Calculations'!$HE$13:$HE$512,"="&amp;SUBSTITUTE(SUBSTITUTE(SUBSTITUTE('Calculations'!IG357,"~","~~"),"*","~*"),"?","~?"))&gt;1,"!AMBIG",IFERROR(INDEX('Calculations'!$HF$13:$HF$512,MATCH('Calculations'!IG357,'Calculations'!$HE$13:$HE$512,0)),""))))</x:f>
      </x:c>
      <x:c r="II357" t="str">
        <x:f>IF('Calculations'!IH357="","",IF('Calculations'!IH357="!AMBIG","!AMBIG",IF(COUNTIF('Calculations'!$HE$13:$HE$512,"="&amp;SUBSTITUTE(SUBSTITUTE(SUBSTITUTE('Calculations'!IH357,"~","~~"),"*","~*"),"?","~?"))&gt;1,"!AMBIG",IFERROR(INDEX('Calculations'!$HF$13:$HF$512,MATCH('Calculations'!IH357,'Calculations'!$HE$13:$HE$512,0)),""))))</x:f>
      </x:c>
      <x:c r="IJ357" t="str">
        <x:f>IF('Calculations'!EM357="","",IF('Calculations'!$EF$2="All",'Calculations'!HM357,IF('Calculations'!HL357=1,"",IFERROR(IF(MATCH('Calculations'!$EF$2,'Calculations'!HO357:II357,0)=1,'Calculations'!HE357,INDEX('Calculations'!HO357:II357,1,MATCH('Calculations'!$EF$2,'Calculations'!HO357:II357,0)-1)),""))))</x:f>
      </x:c>
      <x:c r="IK357" t="n">
        <x:f>IF(AND('Calculations'!EM357&lt;&gt;"",'Calculations'!$EF$2&lt;&gt;"All",'Calculations'!HF357='Calculations'!$EF$2,'Calculations'!HL357=0,'Calculations'!JD357&gt;0),MAX('Calculations'!$IK$12:IK356)+1,0)</x:f>
        <x:v>0</x:v>
      </x:c>
      <x:c r="JA357" t="n">
        <x:f>IF(OR(IFERROR(INDIRECT("'WCM Calibration Final'!$A$357")&lt;&gt;"",FALSE),IFERROR(INDIRECT("'WCM Calibration Final'!$B$357")&lt;&gt;"",FALSE),IFERROR(INDIRECT("'WCM Calibration Final'!$C$357")&lt;&gt;"",FALSE)),357,0)</x:f>
        <x:v>0</x:v>
      </x:c>
      <x:c r="JB357" t="n">
        <x:f>'Calculations'!JB356+IF('Calculations'!JA357&gt;0,1,0)</x:f>
        <x:v>0</x:v>
      </x:c>
      <x:c r="JC357" t="n">
        <x:f>IF(OR('Calculations'!HF357="",'Calculations'!HF357="!AMBIG"),0,IF('Dashboard'!$B$7="All",1,COUNTIFS('Calculations'!$HO$13:$HO$512,"="&amp;SUBSTITUTE(SUBSTITUTE(SUBSTITUTE('Calculations'!HF357,"~","~~"),"*","~*"),"?","~?"),'Calculations'!$HN$13:$HN$512,"="&amp;SUBSTITUTE(SUBSTITUTE(SUBSTITUTE('Dashboard'!$B$7,"~","~~"),"*","~*"),"?","~?"))+COUNTIFS('Calculations'!$HP$13:$HP$512,"="&amp;SUBSTITUTE(SUBSTITUTE(SUBSTITUTE('Calculations'!HF357,"~","~~"),"*","~*"),"?","~?"),'Calculations'!$HN$13:$HN$512,"="&amp;SUBSTITUTE(SUBSTITUTE(SUBSTITUTE('Dashboard'!$B$7,"~","~~"),"*","~*"),"?","~?"))+COUNTIFS('Calculations'!$HQ$13:$HQ$512,"="&amp;SUBSTITUTE(SUBSTITUTE(SUBSTITUTE('Calculations'!HF357,"~","~~"),"*","~*"),"?","~?"),'Calculations'!$HN$13:$HN$512,"="&amp;SUBSTITUTE(SUBSTITUTE(SUBSTITUTE('Dashboard'!$B$7,"~","~~"),"*","~*"),"?","~?"))+COUNTIFS('Calculations'!$HR$13:$HR$512,"="&amp;SUBSTITUTE(SUBSTITUTE(SUBSTITUTE('Calculations'!HF357,"~","~~"),"*","~*"),"?","~?"),'Calculations'!$HN$13:$HN$512,"="&amp;SUBSTITUTE(SUBSTITUTE(SUBSTITUTE('Dashboard'!$B$7,"~","~~"),"*","~*"),"?","~?"))+COUNTIFS('Calculations'!$HS$13:$HS$512,"="&amp;SUBSTITUTE(SUBSTITUTE(SUBSTITUTE('Calculations'!HF357,"~","~~"),"*","~*"),"?","~?"),'Calculations'!$HN$13:$HN$512,"="&amp;SUBSTITUTE(SUBSTITUTE(SUBSTITUTE('Dashboard'!$B$7,"~","~~"),"*","~*"),"?","~?"))+COUNTIFS('Calculations'!$HT$13:$HT$512,"="&amp;SUBSTITUTE(SUBSTITUTE(SUBSTITUTE('Calculations'!HF357,"~","~~"),"*","~*"),"?","~?"),'Calculations'!$HN$13:$HN$512,"="&amp;SUBSTITUTE(SUBSTITUTE(SUBSTITUTE('Dashboard'!$B$7,"~","~~"),"*","~*"),"?","~?"))+COUNTIFS('Calculations'!$HU$13:$HU$512,"="&amp;SUBSTITUTE(SUBSTITUTE(SUBSTITUTE('Calculations'!HF357,"~","~~"),"*","~*"),"?","~?"),'Calculations'!$HN$13:$HN$512,"="&amp;SUBSTITUTE(SUBSTITUTE(SUBSTITUTE('Dashboard'!$B$7,"~","~~"),"*","~*"),"?","~?"))+COUNTIFS('Calculations'!$HV$13:$HV$512,"="&amp;SUBSTITUTE(SUBSTITUTE(SUBSTITUTE('Calculations'!HF357,"~","~~"),"*","~*"),"?","~?"),'Calculations'!$HN$13:$HN$512,"="&amp;SUBSTITUTE(SUBSTITUTE(SUBSTITUTE('Dashboard'!$B$7,"~","~~"),"*","~*"),"?","~?"))+COUNTIFS('Calculations'!$HW$13:$HW$512,"="&amp;SUBSTITUTE(SUBSTITUTE(SUBSTITUTE('Calculations'!HF357,"~","~~"),"*","~*"),"?","~?"),'Calculations'!$HN$13:$HN$512,"="&amp;SUBSTITUTE(SUBSTITUTE(SUBSTITUTE('Dashboard'!$B$7,"~","~~"),"*","~*"),"?","~?"))+COUNTIFS('Calculations'!$HX$13:$HX$512,"="&amp;SUBSTITUTE(SUBSTITUTE(SUBSTITUTE('Calculations'!HF357,"~","~~"),"*","~*"),"?","~?"),'Calculations'!$HN$13:$HN$512,"="&amp;SUBSTITUTE(SUBSTITUTE(SUBSTITUTE('Dashboard'!$B$7,"~","~~"),"*","~*"),"?","~?"))+COUNTIFS('Calculations'!$HY$13:$HY$512,"="&amp;SUBSTITUTE(SUBSTITUTE(SUBSTITUTE('Calculations'!HF357,"~","~~"),"*","~*"),"?","~?"),'Calculations'!$HN$13:$HN$512,"="&amp;SUBSTITUTE(SUBSTITUTE(SUBSTITUTE('Dashboard'!$B$7,"~","~~"),"*","~*"),"?","~?"))+COUNTIFS('Calculations'!$HZ$13:$HZ$512,"="&amp;SUBSTITUTE(SUBSTITUTE(SUBSTITUTE('Calculations'!HF357,"~","~~"),"*","~*"),"?","~?"),'Calculations'!$HN$13:$HN$512,"="&amp;SUBSTITUTE(SUBSTITUTE(SUBSTITUTE('Dashboard'!$B$7,"~","~~"),"*","~*"),"?","~?"))+COUNTIFS('Calculations'!$IA$13:$IA$512,"="&amp;SUBSTITUTE(SUBSTITUTE(SUBSTITUTE('Calculations'!HF357,"~","~~"),"*","~*"),"?","~?"),'Calculations'!$HN$13:$HN$512,"="&amp;SUBSTITUTE(SUBSTITUTE(SUBSTITUTE('Dashboard'!$B$7,"~","~~"),"*","~*"),"?","~?"))+COUNTIFS('Calculations'!$IB$13:$IB$512,"="&amp;SUBSTITUTE(SUBSTITUTE(SUBSTITUTE('Calculations'!HF357,"~","~~"),"*","~*"),"?","~?"),'Calculations'!$HN$13:$HN$512,"="&amp;SUBSTITUTE(SUBSTITUTE(SUBSTITUTE('Dashboard'!$B$7,"~","~~"),"*","~*"),"?","~?"))+COUNTIFS('Calculations'!$IC$13:$IC$512,"="&amp;SUBSTITUTE(SUBSTITUTE(SUBSTITUTE('Calculations'!HF357,"~","~~"),"*","~*"),"?","~?"),'Calculations'!$HN$13:$HN$512,"="&amp;SUBSTITUTE(SUBSTITUTE(SUBSTITUTE('Dashboard'!$B$7,"~","~~"),"*","~*"),"?","~?"))+COUNTIFS('Calculations'!$ID$13:$ID$512,"="&amp;SUBSTITUTE(SUBSTITUTE(SUBSTITUTE('Calculations'!HF357,"~","~~"),"*","~*"),"?","~?"),'Calculations'!$HN$13:$HN$512,"="&amp;SUBSTITUTE(SUBSTITUTE(SUBSTITUTE('Dashboard'!$B$7,"~","~~"),"*","~*"),"?","~?"))+COUNTIFS('Calculations'!$IE$13:$IE$512,"="&amp;SUBSTITUTE(SUBSTITUTE(SUBSTITUTE('Calculations'!HF357,"~","~~"),"*","~*"),"?","~?"),'Calculations'!$HN$13:$HN$512,"="&amp;SUBSTITUTE(SUBSTITUTE(SUBSTITUTE('Dashboard'!$B$7,"~","~~"),"*","~*"),"?","~?"))+COUNTIFS('Calculations'!$IF$13:$IF$512,"="&amp;SUBSTITUTE(SUBSTITUTE(SUBSTITUTE('Calculations'!HF357,"~","~~"),"*","~*"),"?","~?"),'Calculations'!$HN$13:$HN$512,"="&amp;SUBSTITUTE(SUBSTITUTE(SUBSTITUTE('Dashboard'!$B$7,"~","~~"),"*","~*"),"?","~?"))+COUNTIFS('Calculations'!$IG$13:$IG$512,"="&amp;SUBSTITUTE(SUBSTITUTE(SUBSTITUTE('Calculations'!HF357,"~","~~"),"*","~*"),"?","~?"),'Calculations'!$HN$13:$HN$512,"="&amp;SUBSTITUTE(SUBSTITUTE(SUBSTITUTE('Dashboard'!$B$7,"~","~~"),"*","~*"),"?","~?"))+COUNTIFS('Calculations'!$IH$13:$IH$512,"="&amp;SUBSTITUTE(SUBSTITUTE(SUBSTITUTE('Calculations'!HF357,"~","~~"),"*","~*"),"?","~?"),'Calculations'!$HN$13:$HN$512,"="&amp;SUBSTITUTE(SUBSTITUTE(SUBSTITUTE('Dashboard'!$B$7,"~","~~"),"*","~*"),"?","~?"))))</x:f>
        <x:v>0</x:v>
      </x:c>
      <x:c r="JD357" t="n">
        <x:f>IF('Calculations'!EM357="",0,IF('Dashboard'!$B$7="All",1,IF('Calculations'!HN357='Dashboard'!$B$7,1,0)+IFERROR(INDEX('Calculations'!$JC$13:$JC$512,MATCH('Calculations'!HE357,'Calculations'!$HF$13:$HF$512,0)),0)))</x:f>
        <x:v>0</x:v>
      </x:c>
      <x:c r="JE357" t="n">
        <x:f>IF(AND('Calculations'!EM357&lt;&gt;"",'Calculations'!$JJ$2&lt;&gt;"All",'Calculations'!$JJ$2&lt;&gt;"",'Calculations'!HF357='Calculations'!$JJ$2,'Calculations'!HL357=0,'Calculations'!JD357&gt;0),MAX('Calculations'!$JE$12:JE356)+1,0)</x:f>
        <x:v>0</x:v>
      </x:c>
      <x:c r="JF357" t="str">
        <x:f>IF('Calculations'!EM357="","",IFERROR(IF(INDEX(INDIRECT("'WCM Calibration Final'!$G$1:$G$2000"),'Calculations'!$EM357)="","",TRIM(INDEX(INDIRECT("'WCM Calibration Final'!$G$1:$G$2000"),'Calculations'!$EM357)&amp;"")),""))</x:f>
      </x:c>
      <x:c r="JQ357" t="n">
        <x:f>IF(OR('Calculations'!BM357=0,NOT('Calculations'!$AG$2),'Calculations'!$AG$8&gt;0),0,IF(OR('Dashboard'!$B$7="All",'Calculations'!HN357='Dashboard'!$B$7),IF('Calculations'!$JJ$2="All",1,IF(AND('Calculations'!HF357='Calculations'!$JJ$2,'Calculations'!HL357=0),1,0)),0))</x:f>
        <x:v>0</x:v>
      </x:c>
    </x:row>
    <x:row r="358">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t="n">
        <x:f>IF('Calculations'!$EM358="",0,IF(OR(IFERROR(INDEX(INDIRECT("'WCM Calibration Final'!$A$1:$A$2000"),'Calculations'!$EM358)&lt;&gt;"",FALSE),IFERROR(INDEX(INDIRECT("'WCM Calibration Final'!$B$1:$B$2000"),'Calculations'!$EM358)&lt;&gt;"",FALSE),IFERROR(INDEX(INDIRECT("'WCM Calibration Final'!$C$1:$C$2000"),'Calculations'!$EM358)&lt;&gt;"",FALSE)),1,0))</x:f>
        <x:v>0</x:v>
      </x:c>
      <x:c r="BN358" s="4" t="n">
        <x:f>IF(AND('Calculations'!BM358=1,'Calculations'!$AG$2,'Calculations'!$EN358=1),1,0)</x:f>
        <x:v>0</x:v>
      </x:c>
      <x:c r="BO358" s="4" t="str">
        <x:f>IF('Calculations'!BM358=0,"",IFERROR(IF(AND(VALUE(INDEX(INDIRECT("'WCM Calibration Final'!$K$1:$K$2000"),'Calculations'!$EM358))&gt;=1,VALUE(INDEX(INDIRECT("'WCM Calibration Final'!$K$1:$K$2000"),'Calculations'!$EM358))&lt;=4,MOD(VALUE(INDEX(INDIRECT("'WCM Calibration Final'!$K$1:$K$2000"),'Calculations'!$EM358)),1)=0),VALUE(INDEX(INDIRECT("'WCM Calibration Final'!$K$1:$K$2000"),'Calculations'!$EM358)),""),""))</x:f>
      </x:c>
      <x:c r="BP358" s="4" t="str">
        <x:f>IF('Calculations'!BM358=0,"",IFERROR(IF(AND(VALUE(INDEX(INDIRECT("'WCM Calibration Final'!$L$1:$L$2000"),'Calculations'!$EM358))&gt;=1,VALUE(INDEX(INDIRECT("'WCM Calibration Final'!$L$1:$L$2000"),'Calculations'!$EM358))&lt;=4,MOD(VALUE(INDEX(INDIRECT("'WCM Calibration Final'!$L$1:$L$2000"),'Calculations'!$EM358)),1)=0),VALUE(INDEX(INDIRECT("'WCM Calibration Final'!$L$1:$L$2000"),'Calculations'!$EM358)),""),""))</x:f>
      </x:c>
      <x:c r="BQ358" s="4"/>
      <x:c r="BR358" s="4"/>
      <x:c r="BS358" s="4"/>
      <x:c r="BT358" s="4" t="n">
        <x:f>IF(AND('Calculations'!BM358=1,ISNUMBER('Calculations'!BO358),ISNUMBER('Calculations'!BP358)),1,0)</x:f>
        <x:v>0</x:v>
      </x:c>
      <x:c r="BU358" s="4" t="str">
        <x:f>IF('Calculations'!BM358=0,"",'Calculations'!$EO358)</x:f>
      </x:c>
      <x:c r="BV358" s="4" t="str">
        <x:f>IF('Calculations'!BM358=0,"",IFERROR(IF(OR(INDEX(INDIRECT("'WCM Calibration Final'!$H$1:$H$2000"),'Calculations'!$EM358)="MANAGING DIRECTOR",INDEX(INDIRECT("'WCM Calibration Final'!$H$1:$H$2000"),'Calculations'!$EM358)="DIRECTOR",INDEX(INDIRECT("'WCM Calibration Final'!$H$1:$H$2000"),'Calculations'!$EM358)="SENIOR VICE PRESIDENT",INDEX(INDIRECT("'WCM Calibration Final'!$H$1:$H$2000"),'Calculations'!$EM358)="VICE PRESIDENT",INDEX(INDIRECT("'WCM Calibration Final'!$H$1:$H$2000"),'Calculations'!$EM358)="ASSISTANT VICE PRESIDENT",INDEX(INDIRECT("'WCM Calibration Final'!$H$1:$H$2000"),'Calculations'!$EM358)="OFFICER"),UPPER(INDEX(INDIRECT("'WCM Calibration Final'!$H$1:$H$2000"),'Calculations'!$EM358)),"Other"),"Other"))</x:f>
      </x:c>
      <x:c r="BW358" s="4"/>
      <x:c r="BX358" s="4"/>
      <x:c r="BY358" s="4" t="n">
        <x:f>IF(AND('Calculations'!BM358=1,'Calculations'!BU358&lt;&gt;"",COUNTIF('Calculations'!$BU$12:BU358,'Calculations'!BU358)=1),MAX('Calculations'!$BY$11:BY357)+1,0)</x:f>
        <x:v>0</x:v>
      </x:c>
      <x:c r="BZ358" s="4" t="str">
        <x:f>IF('Dashboard'!$E$67="What",'Calculations'!BO358,'Calculations'!BP358)</x:f>
      </x:c>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t="str">
        <x:f>IF(347&gt;MAX('Calculations'!$HI$13:$HI$512),"",INDEX('Calculations'!$HN$13:$HN$512,MATCH(347,'Calculations'!$HI$13:$HI$512,0)))</x:f>
      </x:c>
      <x:c r="DB358" s="4" t="str">
        <x:f>IF(347&gt;MAX('Calculations'!$HH$13:$HH$512),"",INDEX('Calculations'!$HJ$13:$HJ$512,MATCH(347,'Calculations'!$HH$13:$HH$512,0)))</x:f>
      </x:c>
      <x:c r="DC358" s="4" t="str">
        <x:f>IF(ROW()-11&gt;MAX('Calculations'!$BY$13:$BY$512),"",INDEX('Calculations'!$BU$13:$BU$512,MATCH(ROW()-11,'Calculations'!$BY$13:$BY$512,0)))</x:f>
      </x:c>
      <x:c r="DD358" s="4" t="str">
        <x:f>IF(347&gt;MAX('Calculations'!$IK$13:$IK$512),"",INDEX('Calculations'!$HK$13:$HK$512,MATCH(347,'Calculations'!$IK$13:$IK$512,0)))</x:f>
      </x:c>
      <x:c r="DE358" s="4" t="str">
        <x:f>'Calculations'!DC358</x:f>
      </x:c>
      <x:c r="DF358" s="4" t="str">
        <x:f>IF('Calculations'!DE358="","",COUNTIFS('Calculations'!$BN$13:$BN$512,1,'Calculations'!$BU$13:$BU$512,'Calculations'!DE358))</x:f>
      </x:c>
      <x:c r="DG358" s="4" t="str">
        <x:f>IF('Calculations'!DE358="","",COUNTIFS('Calculations'!$BN$13:$BN$512,1,'Calculations'!$BU$13:$BU$512,'Calculations'!DE358,'Calculations'!$BT$13:$BT$512,1))</x:f>
      </x:c>
      <x:c r="DH358" s="4" t="str">
        <x:f>IF('Calculations'!DE358="","",'Calculations'!DF358-'Calculations'!DG358)</x:f>
      </x:c>
      <x:c r="DI358" s="4" t="str">
        <x:f>IF(OR('Calculations'!DE358="",'Calculations'!DF358=0),"",'Calculations'!DG358/'Calculations'!DF358)</x:f>
      </x:c>
      <x:c r="DJ358" s="4" t="str">
        <x:f>IF('Calculations'!DE358="","",COUNTIFS('Calculations'!$BN$13:$BN$512,1,'Calculations'!$BU$13:$BU$512,'Calculations'!DE358,'Calculations'!$BT$13:$BT$512,1,'Calculations'!$EE$13:$EE$512,"High"))</x:f>
      </x:c>
      <x:c r="DK358" s="4" t="str">
        <x:f>IF('Calculations'!DE358="","",COUNTIFS('Calculations'!$BN$13:$BN$512,1,'Calculations'!$BU$13:$BU$512,'Calculations'!DE358,'Calculations'!$BT$13:$BT$512,1,'Calculations'!$EE$13:$EE$512,"Strong"))</x:f>
      </x:c>
      <x:c r="DL358" s="4" t="str">
        <x:f>IF('Calculations'!DE358="","",COUNTIFS('Calculations'!$BN$13:$BN$512,1,'Calculations'!$BU$13:$BU$512,'Calculations'!DE358,'Calculations'!$BT$13:$BT$512,1,'Calculations'!$EE$13:$EE$512,"Solid"))</x:f>
      </x:c>
      <x:c r="DM358" s="4" t="str">
        <x:f>IF('Calculations'!DE358="","",COUNTIFS('Calculations'!$BN$13:$BN$512,1,'Calculations'!$BU$13:$BU$512,'Calculations'!DE358,'Calculations'!$BT$13:$BT$512,1,'Calculations'!$EE$13:$EE$512,"Low"))</x:f>
      </x:c>
      <x:c r="DN358" s="4" t="str">
        <x:f>IF('Calculations'!DE358="","",COUNTIFS('Calculations'!$BN$13:$BN$512,1,'Calculations'!$BU$13:$BU$512,'Calculations'!DE358,'Calculations'!$EP$13:$EP$512,1))</x:f>
      </x:c>
      <x:c r="DO358" s="4" t="str">
        <x:f>IF(OR('Calculations'!DE358="",'Calculations'!DG358=0),"",('Calculations'!DJ358+'Calculations'!DK358)/'Calculations'!DG358)</x:f>
      </x:c>
      <x:c r="DP358" s="4" t="n">
        <x:f>IF(AND('Calculations'!DE358&lt;&gt;"",'Calculations'!DF358&gt;0),COUNTIF('Calculations'!$DF$12:DF358,"&gt;0"),0)</x:f>
        <x:v>0</x:v>
      </x:c>
      <x:c r="DQ358" s="4" t="str">
        <x:f>IF(347&gt;MAX('Calculations'!$HH$13:$HH$512),"",INDEX('Calculations'!$HF$13:$HF$512,MATCH(347,'Calculations'!$HH$13:$HH$512,0)))</x:f>
      </x:c>
      <x:c r="DR358" s="4" t="str">
        <x:f>IF(347&gt;MAX('Calculations'!$IK$13:$IK$512),"",INDEX('Calculations'!$HE$13:$HE$512,MATCH(347,'Calculations'!$IK$13:$IK$512,0)))</x:f>
      </x:c>
      <x:c r="DS358" s="4"/>
      <x:c r="DT358" s="4"/>
      <x:c r="DU358" s="4"/>
      <x:c r="DV358" s="4"/>
      <x:c r="DW358" s="4"/>
      <x:c r="DX358" s="4"/>
      <x:c r="DY358" s="4"/>
      <x:c r="DZ358" s="4"/>
      <x:c r="EA358" s="4"/>
      <x:c r="EB358" s="4"/>
      <x:c r="EC358" s="4"/>
      <x:c r="ED358" s="4"/>
      <x:c r="EE358" s="4" t="str">
        <x:f>IF('Calculations'!BT358=0,"Not Rated",IF(OR('Calculations'!BO358&gt;=4,'Calculations'!BP358&gt;=4),"Low",IF('Calculations'!BO358+'Calculations'!BP358&lt;=3,"High",IF('Calculations'!BO358+'Calculations'!BP358&lt;=4,"Strong","Solid"))))</x:f>
        <x:v>Not Rated</x:v>
      </x:c>
      <x:c r="EF358" s="4"/>
      <x:c r="EG358" s="4"/>
      <x:c r="EH358" s="4"/>
      <x:c r="EI358" s="4"/>
      <x:c r="EJ358" s="4"/>
      <x:c r="EK358" s="4"/>
      <x:c r="EL358" s="4"/>
      <x:c r="EM358" s="4" t="str">
        <x:f>IF(346&gt;'Calculations'!$JB$2000,"",INDEX('Calculations'!$JA$12:$JA$2000,MATCH(346,'Calculations'!$JB$12:$JB$2000,0)))</x:f>
      </x:c>
      <x:c r="EN358" s="4" t="n">
        <x:f>IF(OR('Calculations'!EM358="",'Calculations'!$AG$8&gt;0,AND('Calculations'!$EF$2&lt;&gt;"All",'Calculations'!HE358='Calculations'!$EF$2),AND('Calculations'!$EF$3&lt;&gt;"All",'Calculations'!HE358='Calculations'!$EF$3)),0,IF(OR('Dashboard'!$B$7="All",'Calculations'!HN358='Dashboard'!$B$7),IF('Calculations'!$EF$2="All",1,IF('Calculations'!HL358&gt;0,0,IF(COUNTIF('Calculations'!HO358:II358,"="&amp;SUBSTITUTE(SUBSTITUTE(SUBSTITUTE('Calculations'!$EF$2,"~","~~"),"*","~*"),"?","~?"))=0,0,IF('Calculations'!$EF$3="All",1,IF(COUNTIF('Calculations'!HO358:II358,"="&amp;SUBSTITUTE(SUBSTITUTE(SUBSTITUTE('Calculations'!$EF$3,"~","~~"),"*","~*"),"?","~?"))&gt;0,1,0))))),0))</x:f>
        <x:v>0</x:v>
      </x:c>
      <x:c r="EO358" s="4" t="str">
        <x:f>IF('Calculations'!IJ358="","",IF('Calculations'!IJ358="!UNRESOLVED","Unresolved hierarchy",IFERROR(INDEX('Calculations'!$HK$13:$HK$512,MATCH('Calculations'!IJ358,'Calculations'!$HE$13:$HE$512,0)),IFERROR(INDEX('Calculations'!$HJ$13:$HJ$512,MATCH('Calculations'!IJ358,'Calculations'!$HF$13:$HF$512,0)),'Calculations'!IJ358))))</x:f>
      </x:c>
      <x:c r="EP358" s="4" t="n">
        <x:f>IF(AND('Calculations'!EM358&lt;&gt;"",'Calculations'!HF358='Calculations'!IJ358),1,0)</x:f>
        <x:v>0</x:v>
      </x:c>
      <x:c r="EQ358" s="4"/>
      <x:c r="ER358" s="4"/>
      <x:c r="ES358" s="4"/>
      <x:c r="ET358" s="4"/>
      <x:c r="EU358" s="4"/>
      <x:c r="EV358" s="4"/>
      <x:c r="EW358" s="4"/>
      <x:c r="EX358" s="4"/>
      <x:c r="EY358" s="4"/>
      <x:c r="EZ358" s="4"/>
      <x:c r="FA358" s="4"/>
      <x:c r="FB358" s="4"/>
      <x:c r="FC358" s="4"/>
      <x:c r="FD358" s="4"/>
      <x:c r="FE358" s="4"/>
      <x:c r="FF358" s="4"/>
      <x:c r="FG358" s="4"/>
      <x:c r="FH358" s="4"/>
      <x:c r="FI358" s="4"/>
      <x:c r="FJ358" s="4"/>
      <x:c r="FK358" s="4"/>
      <x:c r="FL358" s="4"/>
      <x:c r="FM358" s="4"/>
      <x:c r="FN358" s="4"/>
      <x:c r="FO358" s="4"/>
      <x:c r="HE358" t="str">
        <x:f>IF('Calculations'!EM358="","",IF(IFERROR(IF(INDEX(INDIRECT("'WCM Calibration Final'!$A$1:$A$2000"),'Calculations'!$EM358)="","",TRIM(INDEX(INDIRECT("'WCM Calibration Final'!$A$1:$A$2000"),'Calculations'!$EM358)&amp;"")),"")&lt;&gt;"","G:"&amp;IFERROR(TEXT(1*INDEX(INDIRECT("'WCM Calibration Final'!$A$1:$A$2000"),'Calculations'!$EM358),"0"),UPPER(IFERROR(IF(INDEX(INDIRECT("'WCM Calibration Final'!$A$1:$A$2000"),'Calculations'!$EM358)="","",TRIM(INDEX(INDIRECT("'WCM Calibration Final'!$A$1:$A$2000"),'Calculations'!$EM358)&amp;"")),""))),IF(IFERROR(IF(INDEX(INDIRECT("'WCM Calibration Final'!$C$1:$C$2000"),'Calculations'!$EM358)="","",TRIM(INDEX(INDIRECT("'WCM Calibration Final'!$C$1:$C$2000"),'Calculations'!$EM358)&amp;"")),"")&lt;&gt;"","S:"&amp;UPPER(IFERROR(IF(INDEX(INDIRECT("'WCM Calibration Final'!$C$1:$C$2000"),'Calculations'!$EM358)="","",TRIM(INDEX(INDIRECT("'WCM Calibration Final'!$C$1:$C$2000"),'Calculations'!$EM358)&amp;"")),"")),"R:"&amp;'Calculations'!EM358)))</x:f>
      </x:c>
      <x:c r="HF358" t="str">
        <x:f>IF('Calculations'!EM358="","",IF(IFERROR(IF(INDEX(INDIRECT("'WCM Calibration Final'!$D$1:$D$2000"),'Calculations'!$EM358)="","",TRIM(INDEX(INDIRECT("'WCM Calibration Final'!$D$1:$D$2000"),'Calculations'!$EM358)&amp;"")),"")&lt;&gt;"","G:"&amp;IFERROR(TEXT(1*INDEX(INDIRECT("'WCM Calibration Final'!$D$1:$D$2000"),'Calculations'!$EM358),"0"),UPPER(IFERROR(IF(INDEX(INDIRECT("'WCM Calibration Final'!$D$1:$D$2000"),'Calculations'!$EM358)="","",TRIM(INDEX(INDIRECT("'WCM Calibration Final'!$D$1:$D$2000"),'Calculations'!$EM358)&amp;"")),""))),IF(IFERROR(IF(INDEX(INDIRECT("'WCM Calibration Final'!$E$1:$E$2000"),'Calculations'!$EM358)="","",TRIM(INDEX(INDIRECT("'WCM Calibration Final'!$E$1:$E$2000"),'Calculations'!$EM358)&amp;"")),"")="","",IF(COUNTIF('Calculations'!$HG$13:$HG$512,"="&amp;SUBSTITUTE(SUBSTITUTE(SUBSTITUTE(IFERROR(IF(INDEX(INDIRECT("'WCM Calibration Final'!$E$1:$E$2000"),'Calculations'!$EM358)="","",TRIM(INDEX(INDIRECT("'WCM Calibration Final'!$E$1:$E$2000"),'Calculations'!$EM358)&amp;"")),""),"~","~~"),"*","~*"),"?","~?"))=1,INDEX('Calculations'!$HE$13:$HE$512,MATCH(IFERROR(IF(INDEX(INDIRECT("'WCM Calibration Final'!$E$1:$E$2000"),'Calculations'!$EM358)="","",TRIM(INDEX(INDIRECT("'WCM Calibration Final'!$E$1:$E$2000"),'Calculations'!$EM358)&amp;"")),""),'Calculations'!$HG$13:$HG$512,0)),IF(COUNTIF('Calculations'!$HG$13:$HG$512,"="&amp;SUBSTITUTE(SUBSTITUTE(SUBSTITUTE(IFERROR(IF(INDEX(INDIRECT("'WCM Calibration Final'!$E$1:$E$2000"),'Calculations'!$EM358)="","",TRIM(INDEX(INDIRECT("'WCM Calibration Final'!$E$1:$E$2000"),'Calculations'!$EM358)&amp;"")),""),"~","~~"),"*","~*"),"?","~?"))&gt;1,"!AMBIG","X:"&amp;IFERROR(IF(INDEX(INDIRECT("'WCM Calibration Final'!$E$1:$E$2000"),'Calculations'!$EM358)="","",TRIM(INDEX(INDIRECT("'WCM Calibration Final'!$E$1:$E$2000"),'Calculations'!$EM358)&amp;"")),""))))))</x:f>
      </x:c>
      <x:c r="HG358" t="str">
        <x:f>IF('Calculations'!EM358="","",IFERROR(IF(INDEX(INDIRECT("'WCM Calibration Final'!$B$1:$B$2000"),'Calculations'!$EM358)="","",TRIM(INDEX(INDIRECT("'WCM Calibration Final'!$B$1:$B$2000"),'Calculations'!$EM358)&amp;"")),""))</x:f>
      </x:c>
      <x:c r="HH358" t="n">
        <x:f>IF(AND('Calculations'!JC358&gt;0,COUNTIF('Calculations'!$HF$12:HF358,"="&amp;SUBSTITUTE(SUBSTITUTE(SUBSTITUTE('Calculations'!HF358,"~","~~"),"*","~*"),"?","~?"))=1),MAX('Calculations'!$HH$12:HH357)+1,0)</x:f>
        <x:v>0</x:v>
      </x:c>
      <x:c r="HI358" t="n">
        <x:f>IF(AND('Calculations'!HN358&lt;&gt;"",COUNTIF('Calculations'!$HN$12:HN358,"="&amp;SUBSTITUTE(SUBSTITUTE(SUBSTITUTE('Calculations'!HN358,"~","~~"),"*","~*"),"?","~?"))=1),MAX('Calculations'!$HI$12:HI357)+1,0)</x:f>
        <x:v>0</x:v>
      </x:c>
      <x:c r="HJ358" t="str">
        <x:f>IF('Calculations'!HF358="","",IF(COUNTIF('Calculations'!$HE$13:$HE$512,"="&amp;SUBSTITUTE(SUBSTITUTE(SUBSTITUTE('Calculations'!HF358,"~","~~"),"*","~*"),"?","~?"))=1,INDEX('Calculations'!$HK$13:$HK$512,MATCH('Calculations'!HF358,'Calculations'!$HE$13:$HE$512,0)),IFERROR(IF(INDEX(INDIRECT("'WCM Calibration Final'!$E$1:$E$2000"),'Calculations'!$EM358)="","",TRIM(INDEX(INDIRECT("'WCM Calibration Final'!$E$1:$E$2000"),'Calculations'!$EM358)&amp;"")),"")&amp;" ["&amp;'Calculations'!HF358&amp;"]"))</x:f>
      </x:c>
      <x:c r="HK358" t="str">
        <x:f>IF('Calculations'!EM358="","",'Calculations'!HG358&amp;" ["&amp;'Calculations'!HE358&amp;"]")</x:f>
      </x:c>
      <x:c r="HL358" t="n">
        <x:f>IF('Calculations'!EM358="",0,IF(OR('Calculations'!II358&lt;&gt;"",COUNTIF('Calculations'!$HE$13:$HE$512,"="&amp;SUBSTITUTE(SUBSTITUTE(SUBSTITUTE('Calculations'!HE358,"~","~~"),"*","~*"),"?","~?"))&gt;1),1,0))</x:f>
        <x:v>0</x:v>
      </x:c>
      <x:c r="HM358" t="str">
        <x:f>IF('Calculations'!EM358="","",IF('Calculations'!HL358=1,"!UNRESOLVED",IF('Calculations'!IH358&lt;&gt;"",'Calculations'!IH358,IF('Calculations'!IG358&lt;&gt;"",'Calculations'!IG358,IF('Calculations'!IF358&lt;&gt;"",'Calculations'!IF358,IF('Calculations'!IE358&lt;&gt;"",'Calculations'!IE358,IF('Calculations'!ID358&lt;&gt;"",'Calculations'!ID358,IF('Calculations'!IC358&lt;&gt;"",'Calculations'!IC358,IF('Calculations'!IB358&lt;&gt;"",'Calculations'!IB358,IF('Calculations'!IA358&lt;&gt;"",'Calculations'!IA358,IF('Calculations'!HZ358&lt;&gt;"",'Calculations'!HZ358,IF('Calculations'!HY358&lt;&gt;"",'Calculations'!HY358,IF('Calculations'!HX358&lt;&gt;"",'Calculations'!HX358,IF('Calculations'!HW358&lt;&gt;"",'Calculations'!HW358,IF('Calculations'!HV358&lt;&gt;"",'Calculations'!HV358,IF('Calculations'!HU358&lt;&gt;"",'Calculations'!HU358,IF('Calculations'!HT358&lt;&gt;"",'Calculations'!HT358,IF('Calculations'!HS358&lt;&gt;"",'Calculations'!HS358,IF('Calculations'!HR358&lt;&gt;"",'Calculations'!HR358,IF('Calculations'!HQ358&lt;&gt;"",'Calculations'!HQ358,IF('Calculations'!HP358&lt;&gt;"",'Calculations'!HP358,IF('Calculations'!HO358&lt;&gt;"",'Calculations'!HO358,'Calculations'!HE358))))))))))))))))))))))</x:f>
      </x:c>
      <x:c r="HN358" t="str">
        <x:f>IF('Calculations'!EM358="","",IF(IFERROR(IF(INDEX(INDIRECT("'WCM Calibration Final'!$F$1:$F$2000"),'Calculations'!$EM358)="","",TRIM(INDEX(INDIRECT("'WCM Calibration Final'!$F$1:$F$2000"),'Calculations'!$EM358)&amp;"")),"")="","(Blank)",IFERROR(IF(INDEX(INDIRECT("'WCM Calibration Final'!$F$1:$F$2000"),'Calculations'!$EM358)="","",TRIM(INDEX(INDIRECT("'WCM Calibration Final'!$F$1:$F$2000"),'Calculations'!$EM358)&amp;"")),"")))</x:f>
      </x:c>
      <x:c r="HO358" t="str">
        <x:f>'Calculations'!HF358</x:f>
      </x:c>
      <x:c r="HP358" t="str">
        <x:f>IF('Calculations'!HO358="","",IF('Calculations'!HO358="!AMBIG","!AMBIG",IF(COUNTIF('Calculations'!$HE$13:$HE$512,"="&amp;SUBSTITUTE(SUBSTITUTE(SUBSTITUTE('Calculations'!HO358,"~","~~"),"*","~*"),"?","~?"))&gt;1,"!AMBIG",IFERROR(INDEX('Calculations'!$HF$13:$HF$512,MATCH('Calculations'!HO358,'Calculations'!$HE$13:$HE$512,0)),""))))</x:f>
      </x:c>
      <x:c r="HQ358" t="str">
        <x:f>IF('Calculations'!HP358="","",IF('Calculations'!HP358="!AMBIG","!AMBIG",IF(COUNTIF('Calculations'!$HE$13:$HE$512,"="&amp;SUBSTITUTE(SUBSTITUTE(SUBSTITUTE('Calculations'!HP358,"~","~~"),"*","~*"),"?","~?"))&gt;1,"!AMBIG",IFERROR(INDEX('Calculations'!$HF$13:$HF$512,MATCH('Calculations'!HP358,'Calculations'!$HE$13:$HE$512,0)),""))))</x:f>
      </x:c>
      <x:c r="HR358" t="str">
        <x:f>IF('Calculations'!HQ358="","",IF('Calculations'!HQ358="!AMBIG","!AMBIG",IF(COUNTIF('Calculations'!$HE$13:$HE$512,"="&amp;SUBSTITUTE(SUBSTITUTE(SUBSTITUTE('Calculations'!HQ358,"~","~~"),"*","~*"),"?","~?"))&gt;1,"!AMBIG",IFERROR(INDEX('Calculations'!$HF$13:$HF$512,MATCH('Calculations'!HQ358,'Calculations'!$HE$13:$HE$512,0)),""))))</x:f>
      </x:c>
      <x:c r="HS358" t="str">
        <x:f>IF('Calculations'!HR358="","",IF('Calculations'!HR358="!AMBIG","!AMBIG",IF(COUNTIF('Calculations'!$HE$13:$HE$512,"="&amp;SUBSTITUTE(SUBSTITUTE(SUBSTITUTE('Calculations'!HR358,"~","~~"),"*","~*"),"?","~?"))&gt;1,"!AMBIG",IFERROR(INDEX('Calculations'!$HF$13:$HF$512,MATCH('Calculations'!HR358,'Calculations'!$HE$13:$HE$512,0)),""))))</x:f>
      </x:c>
      <x:c r="HT358" t="str">
        <x:f>IF('Calculations'!HS358="","",IF('Calculations'!HS358="!AMBIG","!AMBIG",IF(COUNTIF('Calculations'!$HE$13:$HE$512,"="&amp;SUBSTITUTE(SUBSTITUTE(SUBSTITUTE('Calculations'!HS358,"~","~~"),"*","~*"),"?","~?"))&gt;1,"!AMBIG",IFERROR(INDEX('Calculations'!$HF$13:$HF$512,MATCH('Calculations'!HS358,'Calculations'!$HE$13:$HE$512,0)),""))))</x:f>
      </x:c>
      <x:c r="HU358" t="str">
        <x:f>IF('Calculations'!HT358="","",IF('Calculations'!HT358="!AMBIG","!AMBIG",IF(COUNTIF('Calculations'!$HE$13:$HE$512,"="&amp;SUBSTITUTE(SUBSTITUTE(SUBSTITUTE('Calculations'!HT358,"~","~~"),"*","~*"),"?","~?"))&gt;1,"!AMBIG",IFERROR(INDEX('Calculations'!$HF$13:$HF$512,MATCH('Calculations'!HT358,'Calculations'!$HE$13:$HE$512,0)),""))))</x:f>
      </x:c>
      <x:c r="HV358" t="str">
        <x:f>IF('Calculations'!HU358="","",IF('Calculations'!HU358="!AMBIG","!AMBIG",IF(COUNTIF('Calculations'!$HE$13:$HE$512,"="&amp;SUBSTITUTE(SUBSTITUTE(SUBSTITUTE('Calculations'!HU358,"~","~~"),"*","~*"),"?","~?"))&gt;1,"!AMBIG",IFERROR(INDEX('Calculations'!$HF$13:$HF$512,MATCH('Calculations'!HU358,'Calculations'!$HE$13:$HE$512,0)),""))))</x:f>
      </x:c>
      <x:c r="HW358" t="str">
        <x:f>IF('Calculations'!HV358="","",IF('Calculations'!HV358="!AMBIG","!AMBIG",IF(COUNTIF('Calculations'!$HE$13:$HE$512,"="&amp;SUBSTITUTE(SUBSTITUTE(SUBSTITUTE('Calculations'!HV358,"~","~~"),"*","~*"),"?","~?"))&gt;1,"!AMBIG",IFERROR(INDEX('Calculations'!$HF$13:$HF$512,MATCH('Calculations'!HV358,'Calculations'!$HE$13:$HE$512,0)),""))))</x:f>
      </x:c>
      <x:c r="HX358" t="str">
        <x:f>IF('Calculations'!HW358="","",IF('Calculations'!HW358="!AMBIG","!AMBIG",IF(COUNTIF('Calculations'!$HE$13:$HE$512,"="&amp;SUBSTITUTE(SUBSTITUTE(SUBSTITUTE('Calculations'!HW358,"~","~~"),"*","~*"),"?","~?"))&gt;1,"!AMBIG",IFERROR(INDEX('Calculations'!$HF$13:$HF$512,MATCH('Calculations'!HW358,'Calculations'!$HE$13:$HE$512,0)),""))))</x:f>
      </x:c>
      <x:c r="HY358" t="str">
        <x:f>IF('Calculations'!HX358="","",IF('Calculations'!HX358="!AMBIG","!AMBIG",IF(COUNTIF('Calculations'!$HE$13:$HE$512,"="&amp;SUBSTITUTE(SUBSTITUTE(SUBSTITUTE('Calculations'!HX358,"~","~~"),"*","~*"),"?","~?"))&gt;1,"!AMBIG",IFERROR(INDEX('Calculations'!$HF$13:$HF$512,MATCH('Calculations'!HX358,'Calculations'!$HE$13:$HE$512,0)),""))))</x:f>
      </x:c>
      <x:c r="HZ358" t="str">
        <x:f>IF('Calculations'!HY358="","",IF('Calculations'!HY358="!AMBIG","!AMBIG",IF(COUNTIF('Calculations'!$HE$13:$HE$512,"="&amp;SUBSTITUTE(SUBSTITUTE(SUBSTITUTE('Calculations'!HY358,"~","~~"),"*","~*"),"?","~?"))&gt;1,"!AMBIG",IFERROR(INDEX('Calculations'!$HF$13:$HF$512,MATCH('Calculations'!HY358,'Calculations'!$HE$13:$HE$512,0)),""))))</x:f>
      </x:c>
      <x:c r="IA358" t="str">
        <x:f>IF('Calculations'!HZ358="","",IF('Calculations'!HZ358="!AMBIG","!AMBIG",IF(COUNTIF('Calculations'!$HE$13:$HE$512,"="&amp;SUBSTITUTE(SUBSTITUTE(SUBSTITUTE('Calculations'!HZ358,"~","~~"),"*","~*"),"?","~?"))&gt;1,"!AMBIG",IFERROR(INDEX('Calculations'!$HF$13:$HF$512,MATCH('Calculations'!HZ358,'Calculations'!$HE$13:$HE$512,0)),""))))</x:f>
      </x:c>
      <x:c r="IB358" t="str">
        <x:f>IF('Calculations'!IA358="","",IF('Calculations'!IA358="!AMBIG","!AMBIG",IF(COUNTIF('Calculations'!$HE$13:$HE$512,"="&amp;SUBSTITUTE(SUBSTITUTE(SUBSTITUTE('Calculations'!IA358,"~","~~"),"*","~*"),"?","~?"))&gt;1,"!AMBIG",IFERROR(INDEX('Calculations'!$HF$13:$HF$512,MATCH('Calculations'!IA358,'Calculations'!$HE$13:$HE$512,0)),""))))</x:f>
      </x:c>
      <x:c r="IC358" t="str">
        <x:f>IF('Calculations'!IB358="","",IF('Calculations'!IB358="!AMBIG","!AMBIG",IF(COUNTIF('Calculations'!$HE$13:$HE$512,"="&amp;SUBSTITUTE(SUBSTITUTE(SUBSTITUTE('Calculations'!IB358,"~","~~"),"*","~*"),"?","~?"))&gt;1,"!AMBIG",IFERROR(INDEX('Calculations'!$HF$13:$HF$512,MATCH('Calculations'!IB358,'Calculations'!$HE$13:$HE$512,0)),""))))</x:f>
      </x:c>
      <x:c r="ID358" t="str">
        <x:f>IF('Calculations'!IC358="","",IF('Calculations'!IC358="!AMBIG","!AMBIG",IF(COUNTIF('Calculations'!$HE$13:$HE$512,"="&amp;SUBSTITUTE(SUBSTITUTE(SUBSTITUTE('Calculations'!IC358,"~","~~"),"*","~*"),"?","~?"))&gt;1,"!AMBIG",IFERROR(INDEX('Calculations'!$HF$13:$HF$512,MATCH('Calculations'!IC358,'Calculations'!$HE$13:$HE$512,0)),""))))</x:f>
      </x:c>
      <x:c r="IE358" t="str">
        <x:f>IF('Calculations'!ID358="","",IF('Calculations'!ID358="!AMBIG","!AMBIG",IF(COUNTIF('Calculations'!$HE$13:$HE$512,"="&amp;SUBSTITUTE(SUBSTITUTE(SUBSTITUTE('Calculations'!ID358,"~","~~"),"*","~*"),"?","~?"))&gt;1,"!AMBIG",IFERROR(INDEX('Calculations'!$HF$13:$HF$512,MATCH('Calculations'!ID358,'Calculations'!$HE$13:$HE$512,0)),""))))</x:f>
      </x:c>
      <x:c r="IF358" t="str">
        <x:f>IF('Calculations'!IE358="","",IF('Calculations'!IE358="!AMBIG","!AMBIG",IF(COUNTIF('Calculations'!$HE$13:$HE$512,"="&amp;SUBSTITUTE(SUBSTITUTE(SUBSTITUTE('Calculations'!IE358,"~","~~"),"*","~*"),"?","~?"))&gt;1,"!AMBIG",IFERROR(INDEX('Calculations'!$HF$13:$HF$512,MATCH('Calculations'!IE358,'Calculations'!$HE$13:$HE$512,0)),""))))</x:f>
      </x:c>
      <x:c r="IG358" t="str">
        <x:f>IF('Calculations'!IF358="","",IF('Calculations'!IF358="!AMBIG","!AMBIG",IF(COUNTIF('Calculations'!$HE$13:$HE$512,"="&amp;SUBSTITUTE(SUBSTITUTE(SUBSTITUTE('Calculations'!IF358,"~","~~"),"*","~*"),"?","~?"))&gt;1,"!AMBIG",IFERROR(INDEX('Calculations'!$HF$13:$HF$512,MATCH('Calculations'!IF358,'Calculations'!$HE$13:$HE$512,0)),""))))</x:f>
      </x:c>
      <x:c r="IH358" t="str">
        <x:f>IF('Calculations'!IG358="","",IF('Calculations'!IG358="!AMBIG","!AMBIG",IF(COUNTIF('Calculations'!$HE$13:$HE$512,"="&amp;SUBSTITUTE(SUBSTITUTE(SUBSTITUTE('Calculations'!IG358,"~","~~"),"*","~*"),"?","~?"))&gt;1,"!AMBIG",IFERROR(INDEX('Calculations'!$HF$13:$HF$512,MATCH('Calculations'!IG358,'Calculations'!$HE$13:$HE$512,0)),""))))</x:f>
      </x:c>
      <x:c r="II358" t="str">
        <x:f>IF('Calculations'!IH358="","",IF('Calculations'!IH358="!AMBIG","!AMBIG",IF(COUNTIF('Calculations'!$HE$13:$HE$512,"="&amp;SUBSTITUTE(SUBSTITUTE(SUBSTITUTE('Calculations'!IH358,"~","~~"),"*","~*"),"?","~?"))&gt;1,"!AMBIG",IFERROR(INDEX('Calculations'!$HF$13:$HF$512,MATCH('Calculations'!IH358,'Calculations'!$HE$13:$HE$512,0)),""))))</x:f>
      </x:c>
      <x:c r="IJ358" t="str">
        <x:f>IF('Calculations'!EM358="","",IF('Calculations'!$EF$2="All",'Calculations'!HM358,IF('Calculations'!HL358=1,"",IFERROR(IF(MATCH('Calculations'!$EF$2,'Calculations'!HO358:II358,0)=1,'Calculations'!HE358,INDEX('Calculations'!HO358:II358,1,MATCH('Calculations'!$EF$2,'Calculations'!HO358:II358,0)-1)),""))))</x:f>
      </x:c>
      <x:c r="IK358" t="n">
        <x:f>IF(AND('Calculations'!EM358&lt;&gt;"",'Calculations'!$EF$2&lt;&gt;"All",'Calculations'!HF358='Calculations'!$EF$2,'Calculations'!HL358=0,'Calculations'!JD358&gt;0),MAX('Calculations'!$IK$12:IK357)+1,0)</x:f>
        <x:v>0</x:v>
      </x:c>
      <x:c r="JA358" t="n">
        <x:f>IF(OR(IFERROR(INDIRECT("'WCM Calibration Final'!$A$358")&lt;&gt;"",FALSE),IFERROR(INDIRECT("'WCM Calibration Final'!$B$358")&lt;&gt;"",FALSE),IFERROR(INDIRECT("'WCM Calibration Final'!$C$358")&lt;&gt;"",FALSE)),358,0)</x:f>
        <x:v>0</x:v>
      </x:c>
      <x:c r="JB358" t="n">
        <x:f>'Calculations'!JB357+IF('Calculations'!JA358&gt;0,1,0)</x:f>
        <x:v>0</x:v>
      </x:c>
      <x:c r="JC358" t="n">
        <x:f>IF(OR('Calculations'!HF358="",'Calculations'!HF358="!AMBIG"),0,IF('Dashboard'!$B$7="All",1,COUNTIFS('Calculations'!$HO$13:$HO$512,"="&amp;SUBSTITUTE(SUBSTITUTE(SUBSTITUTE('Calculations'!HF358,"~","~~"),"*","~*"),"?","~?"),'Calculations'!$HN$13:$HN$512,"="&amp;SUBSTITUTE(SUBSTITUTE(SUBSTITUTE('Dashboard'!$B$7,"~","~~"),"*","~*"),"?","~?"))+COUNTIFS('Calculations'!$HP$13:$HP$512,"="&amp;SUBSTITUTE(SUBSTITUTE(SUBSTITUTE('Calculations'!HF358,"~","~~"),"*","~*"),"?","~?"),'Calculations'!$HN$13:$HN$512,"="&amp;SUBSTITUTE(SUBSTITUTE(SUBSTITUTE('Dashboard'!$B$7,"~","~~"),"*","~*"),"?","~?"))+COUNTIFS('Calculations'!$HQ$13:$HQ$512,"="&amp;SUBSTITUTE(SUBSTITUTE(SUBSTITUTE('Calculations'!HF358,"~","~~"),"*","~*"),"?","~?"),'Calculations'!$HN$13:$HN$512,"="&amp;SUBSTITUTE(SUBSTITUTE(SUBSTITUTE('Dashboard'!$B$7,"~","~~"),"*","~*"),"?","~?"))+COUNTIFS('Calculations'!$HR$13:$HR$512,"="&amp;SUBSTITUTE(SUBSTITUTE(SUBSTITUTE('Calculations'!HF358,"~","~~"),"*","~*"),"?","~?"),'Calculations'!$HN$13:$HN$512,"="&amp;SUBSTITUTE(SUBSTITUTE(SUBSTITUTE('Dashboard'!$B$7,"~","~~"),"*","~*"),"?","~?"))+COUNTIFS('Calculations'!$HS$13:$HS$512,"="&amp;SUBSTITUTE(SUBSTITUTE(SUBSTITUTE('Calculations'!HF358,"~","~~"),"*","~*"),"?","~?"),'Calculations'!$HN$13:$HN$512,"="&amp;SUBSTITUTE(SUBSTITUTE(SUBSTITUTE('Dashboard'!$B$7,"~","~~"),"*","~*"),"?","~?"))+COUNTIFS('Calculations'!$HT$13:$HT$512,"="&amp;SUBSTITUTE(SUBSTITUTE(SUBSTITUTE('Calculations'!HF358,"~","~~"),"*","~*"),"?","~?"),'Calculations'!$HN$13:$HN$512,"="&amp;SUBSTITUTE(SUBSTITUTE(SUBSTITUTE('Dashboard'!$B$7,"~","~~"),"*","~*"),"?","~?"))+COUNTIFS('Calculations'!$HU$13:$HU$512,"="&amp;SUBSTITUTE(SUBSTITUTE(SUBSTITUTE('Calculations'!HF358,"~","~~"),"*","~*"),"?","~?"),'Calculations'!$HN$13:$HN$512,"="&amp;SUBSTITUTE(SUBSTITUTE(SUBSTITUTE('Dashboard'!$B$7,"~","~~"),"*","~*"),"?","~?"))+COUNTIFS('Calculations'!$HV$13:$HV$512,"="&amp;SUBSTITUTE(SUBSTITUTE(SUBSTITUTE('Calculations'!HF358,"~","~~"),"*","~*"),"?","~?"),'Calculations'!$HN$13:$HN$512,"="&amp;SUBSTITUTE(SUBSTITUTE(SUBSTITUTE('Dashboard'!$B$7,"~","~~"),"*","~*"),"?","~?"))+COUNTIFS('Calculations'!$HW$13:$HW$512,"="&amp;SUBSTITUTE(SUBSTITUTE(SUBSTITUTE('Calculations'!HF358,"~","~~"),"*","~*"),"?","~?"),'Calculations'!$HN$13:$HN$512,"="&amp;SUBSTITUTE(SUBSTITUTE(SUBSTITUTE('Dashboard'!$B$7,"~","~~"),"*","~*"),"?","~?"))+COUNTIFS('Calculations'!$HX$13:$HX$512,"="&amp;SUBSTITUTE(SUBSTITUTE(SUBSTITUTE('Calculations'!HF358,"~","~~"),"*","~*"),"?","~?"),'Calculations'!$HN$13:$HN$512,"="&amp;SUBSTITUTE(SUBSTITUTE(SUBSTITUTE('Dashboard'!$B$7,"~","~~"),"*","~*"),"?","~?"))+COUNTIFS('Calculations'!$HY$13:$HY$512,"="&amp;SUBSTITUTE(SUBSTITUTE(SUBSTITUTE('Calculations'!HF358,"~","~~"),"*","~*"),"?","~?"),'Calculations'!$HN$13:$HN$512,"="&amp;SUBSTITUTE(SUBSTITUTE(SUBSTITUTE('Dashboard'!$B$7,"~","~~"),"*","~*"),"?","~?"))+COUNTIFS('Calculations'!$HZ$13:$HZ$512,"="&amp;SUBSTITUTE(SUBSTITUTE(SUBSTITUTE('Calculations'!HF358,"~","~~"),"*","~*"),"?","~?"),'Calculations'!$HN$13:$HN$512,"="&amp;SUBSTITUTE(SUBSTITUTE(SUBSTITUTE('Dashboard'!$B$7,"~","~~"),"*","~*"),"?","~?"))+COUNTIFS('Calculations'!$IA$13:$IA$512,"="&amp;SUBSTITUTE(SUBSTITUTE(SUBSTITUTE('Calculations'!HF358,"~","~~"),"*","~*"),"?","~?"),'Calculations'!$HN$13:$HN$512,"="&amp;SUBSTITUTE(SUBSTITUTE(SUBSTITUTE('Dashboard'!$B$7,"~","~~"),"*","~*"),"?","~?"))+COUNTIFS('Calculations'!$IB$13:$IB$512,"="&amp;SUBSTITUTE(SUBSTITUTE(SUBSTITUTE('Calculations'!HF358,"~","~~"),"*","~*"),"?","~?"),'Calculations'!$HN$13:$HN$512,"="&amp;SUBSTITUTE(SUBSTITUTE(SUBSTITUTE('Dashboard'!$B$7,"~","~~"),"*","~*"),"?","~?"))+COUNTIFS('Calculations'!$IC$13:$IC$512,"="&amp;SUBSTITUTE(SUBSTITUTE(SUBSTITUTE('Calculations'!HF358,"~","~~"),"*","~*"),"?","~?"),'Calculations'!$HN$13:$HN$512,"="&amp;SUBSTITUTE(SUBSTITUTE(SUBSTITUTE('Dashboard'!$B$7,"~","~~"),"*","~*"),"?","~?"))+COUNTIFS('Calculations'!$ID$13:$ID$512,"="&amp;SUBSTITUTE(SUBSTITUTE(SUBSTITUTE('Calculations'!HF358,"~","~~"),"*","~*"),"?","~?"),'Calculations'!$HN$13:$HN$512,"="&amp;SUBSTITUTE(SUBSTITUTE(SUBSTITUTE('Dashboard'!$B$7,"~","~~"),"*","~*"),"?","~?"))+COUNTIFS('Calculations'!$IE$13:$IE$512,"="&amp;SUBSTITUTE(SUBSTITUTE(SUBSTITUTE('Calculations'!HF358,"~","~~"),"*","~*"),"?","~?"),'Calculations'!$HN$13:$HN$512,"="&amp;SUBSTITUTE(SUBSTITUTE(SUBSTITUTE('Dashboard'!$B$7,"~","~~"),"*","~*"),"?","~?"))+COUNTIFS('Calculations'!$IF$13:$IF$512,"="&amp;SUBSTITUTE(SUBSTITUTE(SUBSTITUTE('Calculations'!HF358,"~","~~"),"*","~*"),"?","~?"),'Calculations'!$HN$13:$HN$512,"="&amp;SUBSTITUTE(SUBSTITUTE(SUBSTITUTE('Dashboard'!$B$7,"~","~~"),"*","~*"),"?","~?"))+COUNTIFS('Calculations'!$IG$13:$IG$512,"="&amp;SUBSTITUTE(SUBSTITUTE(SUBSTITUTE('Calculations'!HF358,"~","~~"),"*","~*"),"?","~?"),'Calculations'!$HN$13:$HN$512,"="&amp;SUBSTITUTE(SUBSTITUTE(SUBSTITUTE('Dashboard'!$B$7,"~","~~"),"*","~*"),"?","~?"))+COUNTIFS('Calculations'!$IH$13:$IH$512,"="&amp;SUBSTITUTE(SUBSTITUTE(SUBSTITUTE('Calculations'!HF358,"~","~~"),"*","~*"),"?","~?"),'Calculations'!$HN$13:$HN$512,"="&amp;SUBSTITUTE(SUBSTITUTE(SUBSTITUTE('Dashboard'!$B$7,"~","~~"),"*","~*"),"?","~?"))))</x:f>
        <x:v>0</x:v>
      </x:c>
      <x:c r="JD358" t="n">
        <x:f>IF('Calculations'!EM358="",0,IF('Dashboard'!$B$7="All",1,IF('Calculations'!HN358='Dashboard'!$B$7,1,0)+IFERROR(INDEX('Calculations'!$JC$13:$JC$512,MATCH('Calculations'!HE358,'Calculations'!$HF$13:$HF$512,0)),0)))</x:f>
        <x:v>0</x:v>
      </x:c>
      <x:c r="JE358" t="n">
        <x:f>IF(AND('Calculations'!EM358&lt;&gt;"",'Calculations'!$JJ$2&lt;&gt;"All",'Calculations'!$JJ$2&lt;&gt;"",'Calculations'!HF358='Calculations'!$JJ$2,'Calculations'!HL358=0,'Calculations'!JD358&gt;0),MAX('Calculations'!$JE$12:JE357)+1,0)</x:f>
        <x:v>0</x:v>
      </x:c>
      <x:c r="JF358" t="str">
        <x:f>IF('Calculations'!EM358="","",IFERROR(IF(INDEX(INDIRECT("'WCM Calibration Final'!$G$1:$G$2000"),'Calculations'!$EM358)="","",TRIM(INDEX(INDIRECT("'WCM Calibration Final'!$G$1:$G$2000"),'Calculations'!$EM358)&amp;"")),""))</x:f>
      </x:c>
      <x:c r="JQ358" t="n">
        <x:f>IF(OR('Calculations'!BM358=0,NOT('Calculations'!$AG$2),'Calculations'!$AG$8&gt;0),0,IF(OR('Dashboard'!$B$7="All",'Calculations'!HN358='Dashboard'!$B$7),IF('Calculations'!$JJ$2="All",1,IF(AND('Calculations'!HF358='Calculations'!$JJ$2,'Calculations'!HL358=0),1,0)),0))</x:f>
        <x:v>0</x:v>
      </x:c>
    </x:row>
    <x:row r="359">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t="n">
        <x:f>IF('Calculations'!$EM359="",0,IF(OR(IFERROR(INDEX(INDIRECT("'WCM Calibration Final'!$A$1:$A$2000"),'Calculations'!$EM359)&lt;&gt;"",FALSE),IFERROR(INDEX(INDIRECT("'WCM Calibration Final'!$B$1:$B$2000"),'Calculations'!$EM359)&lt;&gt;"",FALSE),IFERROR(INDEX(INDIRECT("'WCM Calibration Final'!$C$1:$C$2000"),'Calculations'!$EM359)&lt;&gt;"",FALSE)),1,0))</x:f>
        <x:v>0</x:v>
      </x:c>
      <x:c r="BN359" s="4" t="n">
        <x:f>IF(AND('Calculations'!BM359=1,'Calculations'!$AG$2,'Calculations'!$EN359=1),1,0)</x:f>
        <x:v>0</x:v>
      </x:c>
      <x:c r="BO359" s="4" t="str">
        <x:f>IF('Calculations'!BM359=0,"",IFERROR(IF(AND(VALUE(INDEX(INDIRECT("'WCM Calibration Final'!$K$1:$K$2000"),'Calculations'!$EM359))&gt;=1,VALUE(INDEX(INDIRECT("'WCM Calibration Final'!$K$1:$K$2000"),'Calculations'!$EM359))&lt;=4,MOD(VALUE(INDEX(INDIRECT("'WCM Calibration Final'!$K$1:$K$2000"),'Calculations'!$EM359)),1)=0),VALUE(INDEX(INDIRECT("'WCM Calibration Final'!$K$1:$K$2000"),'Calculations'!$EM359)),""),""))</x:f>
      </x:c>
      <x:c r="BP359" s="4" t="str">
        <x:f>IF('Calculations'!BM359=0,"",IFERROR(IF(AND(VALUE(INDEX(INDIRECT("'WCM Calibration Final'!$L$1:$L$2000"),'Calculations'!$EM359))&gt;=1,VALUE(INDEX(INDIRECT("'WCM Calibration Final'!$L$1:$L$2000"),'Calculations'!$EM359))&lt;=4,MOD(VALUE(INDEX(INDIRECT("'WCM Calibration Final'!$L$1:$L$2000"),'Calculations'!$EM359)),1)=0),VALUE(INDEX(INDIRECT("'WCM Calibration Final'!$L$1:$L$2000"),'Calculations'!$EM359)),""),""))</x:f>
      </x:c>
      <x:c r="BQ359" s="4"/>
      <x:c r="BR359" s="4"/>
      <x:c r="BS359" s="4"/>
      <x:c r="BT359" s="4" t="n">
        <x:f>IF(AND('Calculations'!BM359=1,ISNUMBER('Calculations'!BO359),ISNUMBER('Calculations'!BP359)),1,0)</x:f>
        <x:v>0</x:v>
      </x:c>
      <x:c r="BU359" s="4" t="str">
        <x:f>IF('Calculations'!BM359=0,"",'Calculations'!$EO359)</x:f>
      </x:c>
      <x:c r="BV359" s="4" t="str">
        <x:f>IF('Calculations'!BM359=0,"",IFERROR(IF(OR(INDEX(INDIRECT("'WCM Calibration Final'!$H$1:$H$2000"),'Calculations'!$EM359)="MANAGING DIRECTOR",INDEX(INDIRECT("'WCM Calibration Final'!$H$1:$H$2000"),'Calculations'!$EM359)="DIRECTOR",INDEX(INDIRECT("'WCM Calibration Final'!$H$1:$H$2000"),'Calculations'!$EM359)="SENIOR VICE PRESIDENT",INDEX(INDIRECT("'WCM Calibration Final'!$H$1:$H$2000"),'Calculations'!$EM359)="VICE PRESIDENT",INDEX(INDIRECT("'WCM Calibration Final'!$H$1:$H$2000"),'Calculations'!$EM359)="ASSISTANT VICE PRESIDENT",INDEX(INDIRECT("'WCM Calibration Final'!$H$1:$H$2000"),'Calculations'!$EM359)="OFFICER"),UPPER(INDEX(INDIRECT("'WCM Calibration Final'!$H$1:$H$2000"),'Calculations'!$EM359)),"Other"),"Other"))</x:f>
      </x:c>
      <x:c r="BW359" s="4"/>
      <x:c r="BX359" s="4"/>
      <x:c r="BY359" s="4" t="n">
        <x:f>IF(AND('Calculations'!BM359=1,'Calculations'!BU359&lt;&gt;"",COUNTIF('Calculations'!$BU$12:BU359,'Calculations'!BU359)=1),MAX('Calculations'!$BY$11:BY358)+1,0)</x:f>
        <x:v>0</x:v>
      </x:c>
      <x:c r="BZ359" s="4" t="str">
        <x:f>IF('Dashboard'!$E$67="What",'Calculations'!BO359,'Calculations'!BP359)</x:f>
      </x:c>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t="str">
        <x:f>IF(348&gt;MAX('Calculations'!$HI$13:$HI$512),"",INDEX('Calculations'!$HN$13:$HN$512,MATCH(348,'Calculations'!$HI$13:$HI$512,0)))</x:f>
      </x:c>
      <x:c r="DB359" s="4" t="str">
        <x:f>IF(348&gt;MAX('Calculations'!$HH$13:$HH$512),"",INDEX('Calculations'!$HJ$13:$HJ$512,MATCH(348,'Calculations'!$HH$13:$HH$512,0)))</x:f>
      </x:c>
      <x:c r="DC359" s="4" t="str">
        <x:f>IF(ROW()-11&gt;MAX('Calculations'!$BY$13:$BY$512),"",INDEX('Calculations'!$BU$13:$BU$512,MATCH(ROW()-11,'Calculations'!$BY$13:$BY$512,0)))</x:f>
      </x:c>
      <x:c r="DD359" s="4" t="str">
        <x:f>IF(348&gt;MAX('Calculations'!$IK$13:$IK$512),"",INDEX('Calculations'!$HK$13:$HK$512,MATCH(348,'Calculations'!$IK$13:$IK$512,0)))</x:f>
      </x:c>
      <x:c r="DE359" s="4" t="str">
        <x:f>'Calculations'!DC359</x:f>
      </x:c>
      <x:c r="DF359" s="4" t="str">
        <x:f>IF('Calculations'!DE359="","",COUNTIFS('Calculations'!$BN$13:$BN$512,1,'Calculations'!$BU$13:$BU$512,'Calculations'!DE359))</x:f>
      </x:c>
      <x:c r="DG359" s="4" t="str">
        <x:f>IF('Calculations'!DE359="","",COUNTIFS('Calculations'!$BN$13:$BN$512,1,'Calculations'!$BU$13:$BU$512,'Calculations'!DE359,'Calculations'!$BT$13:$BT$512,1))</x:f>
      </x:c>
      <x:c r="DH359" s="4" t="str">
        <x:f>IF('Calculations'!DE359="","",'Calculations'!DF359-'Calculations'!DG359)</x:f>
      </x:c>
      <x:c r="DI359" s="4" t="str">
        <x:f>IF(OR('Calculations'!DE359="",'Calculations'!DF359=0),"",'Calculations'!DG359/'Calculations'!DF359)</x:f>
      </x:c>
      <x:c r="DJ359" s="4" t="str">
        <x:f>IF('Calculations'!DE359="","",COUNTIFS('Calculations'!$BN$13:$BN$512,1,'Calculations'!$BU$13:$BU$512,'Calculations'!DE359,'Calculations'!$BT$13:$BT$512,1,'Calculations'!$EE$13:$EE$512,"High"))</x:f>
      </x:c>
      <x:c r="DK359" s="4" t="str">
        <x:f>IF('Calculations'!DE359="","",COUNTIFS('Calculations'!$BN$13:$BN$512,1,'Calculations'!$BU$13:$BU$512,'Calculations'!DE359,'Calculations'!$BT$13:$BT$512,1,'Calculations'!$EE$13:$EE$512,"Strong"))</x:f>
      </x:c>
      <x:c r="DL359" s="4" t="str">
        <x:f>IF('Calculations'!DE359="","",COUNTIFS('Calculations'!$BN$13:$BN$512,1,'Calculations'!$BU$13:$BU$512,'Calculations'!DE359,'Calculations'!$BT$13:$BT$512,1,'Calculations'!$EE$13:$EE$512,"Solid"))</x:f>
      </x:c>
      <x:c r="DM359" s="4" t="str">
        <x:f>IF('Calculations'!DE359="","",COUNTIFS('Calculations'!$BN$13:$BN$512,1,'Calculations'!$BU$13:$BU$512,'Calculations'!DE359,'Calculations'!$BT$13:$BT$512,1,'Calculations'!$EE$13:$EE$512,"Low"))</x:f>
      </x:c>
      <x:c r="DN359" s="4" t="str">
        <x:f>IF('Calculations'!DE359="","",COUNTIFS('Calculations'!$BN$13:$BN$512,1,'Calculations'!$BU$13:$BU$512,'Calculations'!DE359,'Calculations'!$EP$13:$EP$512,1))</x:f>
      </x:c>
      <x:c r="DO359" s="4" t="str">
        <x:f>IF(OR('Calculations'!DE359="",'Calculations'!DG359=0),"",('Calculations'!DJ359+'Calculations'!DK359)/'Calculations'!DG359)</x:f>
      </x:c>
      <x:c r="DP359" s="4" t="n">
        <x:f>IF(AND('Calculations'!DE359&lt;&gt;"",'Calculations'!DF359&gt;0),COUNTIF('Calculations'!$DF$12:DF359,"&gt;0"),0)</x:f>
        <x:v>0</x:v>
      </x:c>
      <x:c r="DQ359" s="4" t="str">
        <x:f>IF(348&gt;MAX('Calculations'!$HH$13:$HH$512),"",INDEX('Calculations'!$HF$13:$HF$512,MATCH(348,'Calculations'!$HH$13:$HH$512,0)))</x:f>
      </x:c>
      <x:c r="DR359" s="4" t="str">
        <x:f>IF(348&gt;MAX('Calculations'!$IK$13:$IK$512),"",INDEX('Calculations'!$HE$13:$HE$512,MATCH(348,'Calculations'!$IK$13:$IK$512,0)))</x:f>
      </x:c>
      <x:c r="DS359" s="4"/>
      <x:c r="DT359" s="4"/>
      <x:c r="DU359" s="4"/>
      <x:c r="DV359" s="4"/>
      <x:c r="DW359" s="4"/>
      <x:c r="DX359" s="4"/>
      <x:c r="DY359" s="4"/>
      <x:c r="DZ359" s="4"/>
      <x:c r="EA359" s="4"/>
      <x:c r="EB359" s="4"/>
      <x:c r="EC359" s="4"/>
      <x:c r="ED359" s="4"/>
      <x:c r="EE359" s="4" t="str">
        <x:f>IF('Calculations'!BT359=0,"Not Rated",IF(OR('Calculations'!BO359&gt;=4,'Calculations'!BP359&gt;=4),"Low",IF('Calculations'!BO359+'Calculations'!BP359&lt;=3,"High",IF('Calculations'!BO359+'Calculations'!BP359&lt;=4,"Strong","Solid"))))</x:f>
        <x:v>Not Rated</x:v>
      </x:c>
      <x:c r="EF359" s="4"/>
      <x:c r="EG359" s="4"/>
      <x:c r="EH359" s="4"/>
      <x:c r="EI359" s="4"/>
      <x:c r="EJ359" s="4"/>
      <x:c r="EK359" s="4"/>
      <x:c r="EL359" s="4"/>
      <x:c r="EM359" s="4" t="str">
        <x:f>IF(347&gt;'Calculations'!$JB$2000,"",INDEX('Calculations'!$JA$12:$JA$2000,MATCH(347,'Calculations'!$JB$12:$JB$2000,0)))</x:f>
      </x:c>
      <x:c r="EN359" s="4" t="n">
        <x:f>IF(OR('Calculations'!EM359="",'Calculations'!$AG$8&gt;0,AND('Calculations'!$EF$2&lt;&gt;"All",'Calculations'!HE359='Calculations'!$EF$2),AND('Calculations'!$EF$3&lt;&gt;"All",'Calculations'!HE359='Calculations'!$EF$3)),0,IF(OR('Dashboard'!$B$7="All",'Calculations'!HN359='Dashboard'!$B$7),IF('Calculations'!$EF$2="All",1,IF('Calculations'!HL359&gt;0,0,IF(COUNTIF('Calculations'!HO359:II359,"="&amp;SUBSTITUTE(SUBSTITUTE(SUBSTITUTE('Calculations'!$EF$2,"~","~~"),"*","~*"),"?","~?"))=0,0,IF('Calculations'!$EF$3="All",1,IF(COUNTIF('Calculations'!HO359:II359,"="&amp;SUBSTITUTE(SUBSTITUTE(SUBSTITUTE('Calculations'!$EF$3,"~","~~"),"*","~*"),"?","~?"))&gt;0,1,0))))),0))</x:f>
        <x:v>0</x:v>
      </x:c>
      <x:c r="EO359" s="4" t="str">
        <x:f>IF('Calculations'!IJ359="","",IF('Calculations'!IJ359="!UNRESOLVED","Unresolved hierarchy",IFERROR(INDEX('Calculations'!$HK$13:$HK$512,MATCH('Calculations'!IJ359,'Calculations'!$HE$13:$HE$512,0)),IFERROR(INDEX('Calculations'!$HJ$13:$HJ$512,MATCH('Calculations'!IJ359,'Calculations'!$HF$13:$HF$512,0)),'Calculations'!IJ359))))</x:f>
      </x:c>
      <x:c r="EP359" s="4" t="n">
        <x:f>IF(AND('Calculations'!EM359&lt;&gt;"",'Calculations'!HF359='Calculations'!IJ359),1,0)</x:f>
        <x:v>0</x:v>
      </x:c>
      <x:c r="EQ359" s="4"/>
      <x:c r="ER359" s="4"/>
      <x:c r="ES359" s="4"/>
      <x:c r="ET359" s="4"/>
      <x:c r="EU359" s="4"/>
      <x:c r="EV359" s="4"/>
      <x:c r="EW359" s="4"/>
      <x:c r="EX359" s="4"/>
      <x:c r="EY359" s="4"/>
      <x:c r="EZ359" s="4"/>
      <x:c r="FA359" s="4"/>
      <x:c r="FB359" s="4"/>
      <x:c r="FC359" s="4"/>
      <x:c r="FD359" s="4"/>
      <x:c r="FE359" s="4"/>
      <x:c r="FF359" s="4"/>
      <x:c r="FG359" s="4"/>
      <x:c r="FH359" s="4"/>
      <x:c r="FI359" s="4"/>
      <x:c r="FJ359" s="4"/>
      <x:c r="FK359" s="4"/>
      <x:c r="FL359" s="4"/>
      <x:c r="FM359" s="4"/>
      <x:c r="FN359" s="4"/>
      <x:c r="FO359" s="4"/>
      <x:c r="HE359" t="str">
        <x:f>IF('Calculations'!EM359="","",IF(IFERROR(IF(INDEX(INDIRECT("'WCM Calibration Final'!$A$1:$A$2000"),'Calculations'!$EM359)="","",TRIM(INDEX(INDIRECT("'WCM Calibration Final'!$A$1:$A$2000"),'Calculations'!$EM359)&amp;"")),"")&lt;&gt;"","G:"&amp;IFERROR(TEXT(1*INDEX(INDIRECT("'WCM Calibration Final'!$A$1:$A$2000"),'Calculations'!$EM359),"0"),UPPER(IFERROR(IF(INDEX(INDIRECT("'WCM Calibration Final'!$A$1:$A$2000"),'Calculations'!$EM359)="","",TRIM(INDEX(INDIRECT("'WCM Calibration Final'!$A$1:$A$2000"),'Calculations'!$EM359)&amp;"")),""))),IF(IFERROR(IF(INDEX(INDIRECT("'WCM Calibration Final'!$C$1:$C$2000"),'Calculations'!$EM359)="","",TRIM(INDEX(INDIRECT("'WCM Calibration Final'!$C$1:$C$2000"),'Calculations'!$EM359)&amp;"")),"")&lt;&gt;"","S:"&amp;UPPER(IFERROR(IF(INDEX(INDIRECT("'WCM Calibration Final'!$C$1:$C$2000"),'Calculations'!$EM359)="","",TRIM(INDEX(INDIRECT("'WCM Calibration Final'!$C$1:$C$2000"),'Calculations'!$EM359)&amp;"")),"")),"R:"&amp;'Calculations'!EM359)))</x:f>
      </x:c>
      <x:c r="HF359" t="str">
        <x:f>IF('Calculations'!EM359="","",IF(IFERROR(IF(INDEX(INDIRECT("'WCM Calibration Final'!$D$1:$D$2000"),'Calculations'!$EM359)="","",TRIM(INDEX(INDIRECT("'WCM Calibration Final'!$D$1:$D$2000"),'Calculations'!$EM359)&amp;"")),"")&lt;&gt;"","G:"&amp;IFERROR(TEXT(1*INDEX(INDIRECT("'WCM Calibration Final'!$D$1:$D$2000"),'Calculations'!$EM359),"0"),UPPER(IFERROR(IF(INDEX(INDIRECT("'WCM Calibration Final'!$D$1:$D$2000"),'Calculations'!$EM359)="","",TRIM(INDEX(INDIRECT("'WCM Calibration Final'!$D$1:$D$2000"),'Calculations'!$EM359)&amp;"")),""))),IF(IFERROR(IF(INDEX(INDIRECT("'WCM Calibration Final'!$E$1:$E$2000"),'Calculations'!$EM359)="","",TRIM(INDEX(INDIRECT("'WCM Calibration Final'!$E$1:$E$2000"),'Calculations'!$EM359)&amp;"")),"")="","",IF(COUNTIF('Calculations'!$HG$13:$HG$512,"="&amp;SUBSTITUTE(SUBSTITUTE(SUBSTITUTE(IFERROR(IF(INDEX(INDIRECT("'WCM Calibration Final'!$E$1:$E$2000"),'Calculations'!$EM359)="","",TRIM(INDEX(INDIRECT("'WCM Calibration Final'!$E$1:$E$2000"),'Calculations'!$EM359)&amp;"")),""),"~","~~"),"*","~*"),"?","~?"))=1,INDEX('Calculations'!$HE$13:$HE$512,MATCH(IFERROR(IF(INDEX(INDIRECT("'WCM Calibration Final'!$E$1:$E$2000"),'Calculations'!$EM359)="","",TRIM(INDEX(INDIRECT("'WCM Calibration Final'!$E$1:$E$2000"),'Calculations'!$EM359)&amp;"")),""),'Calculations'!$HG$13:$HG$512,0)),IF(COUNTIF('Calculations'!$HG$13:$HG$512,"="&amp;SUBSTITUTE(SUBSTITUTE(SUBSTITUTE(IFERROR(IF(INDEX(INDIRECT("'WCM Calibration Final'!$E$1:$E$2000"),'Calculations'!$EM359)="","",TRIM(INDEX(INDIRECT("'WCM Calibration Final'!$E$1:$E$2000"),'Calculations'!$EM359)&amp;"")),""),"~","~~"),"*","~*"),"?","~?"))&gt;1,"!AMBIG","X:"&amp;IFERROR(IF(INDEX(INDIRECT("'WCM Calibration Final'!$E$1:$E$2000"),'Calculations'!$EM359)="","",TRIM(INDEX(INDIRECT("'WCM Calibration Final'!$E$1:$E$2000"),'Calculations'!$EM359)&amp;"")),""))))))</x:f>
      </x:c>
      <x:c r="HG359" t="str">
        <x:f>IF('Calculations'!EM359="","",IFERROR(IF(INDEX(INDIRECT("'WCM Calibration Final'!$B$1:$B$2000"),'Calculations'!$EM359)="","",TRIM(INDEX(INDIRECT("'WCM Calibration Final'!$B$1:$B$2000"),'Calculations'!$EM359)&amp;"")),""))</x:f>
      </x:c>
      <x:c r="HH359" t="n">
        <x:f>IF(AND('Calculations'!JC359&gt;0,COUNTIF('Calculations'!$HF$12:HF359,"="&amp;SUBSTITUTE(SUBSTITUTE(SUBSTITUTE('Calculations'!HF359,"~","~~"),"*","~*"),"?","~?"))=1),MAX('Calculations'!$HH$12:HH358)+1,0)</x:f>
        <x:v>0</x:v>
      </x:c>
      <x:c r="HI359" t="n">
        <x:f>IF(AND('Calculations'!HN359&lt;&gt;"",COUNTIF('Calculations'!$HN$12:HN359,"="&amp;SUBSTITUTE(SUBSTITUTE(SUBSTITUTE('Calculations'!HN359,"~","~~"),"*","~*"),"?","~?"))=1),MAX('Calculations'!$HI$12:HI358)+1,0)</x:f>
        <x:v>0</x:v>
      </x:c>
      <x:c r="HJ359" t="str">
        <x:f>IF('Calculations'!HF359="","",IF(COUNTIF('Calculations'!$HE$13:$HE$512,"="&amp;SUBSTITUTE(SUBSTITUTE(SUBSTITUTE('Calculations'!HF359,"~","~~"),"*","~*"),"?","~?"))=1,INDEX('Calculations'!$HK$13:$HK$512,MATCH('Calculations'!HF359,'Calculations'!$HE$13:$HE$512,0)),IFERROR(IF(INDEX(INDIRECT("'WCM Calibration Final'!$E$1:$E$2000"),'Calculations'!$EM359)="","",TRIM(INDEX(INDIRECT("'WCM Calibration Final'!$E$1:$E$2000"),'Calculations'!$EM359)&amp;"")),"")&amp;" ["&amp;'Calculations'!HF359&amp;"]"))</x:f>
      </x:c>
      <x:c r="HK359" t="str">
        <x:f>IF('Calculations'!EM359="","",'Calculations'!HG359&amp;" ["&amp;'Calculations'!HE359&amp;"]")</x:f>
      </x:c>
      <x:c r="HL359" t="n">
        <x:f>IF('Calculations'!EM359="",0,IF(OR('Calculations'!II359&lt;&gt;"",COUNTIF('Calculations'!$HE$13:$HE$512,"="&amp;SUBSTITUTE(SUBSTITUTE(SUBSTITUTE('Calculations'!HE359,"~","~~"),"*","~*"),"?","~?"))&gt;1),1,0))</x:f>
        <x:v>0</x:v>
      </x:c>
      <x:c r="HM359" t="str">
        <x:f>IF('Calculations'!EM359="","",IF('Calculations'!HL359=1,"!UNRESOLVED",IF('Calculations'!IH359&lt;&gt;"",'Calculations'!IH359,IF('Calculations'!IG359&lt;&gt;"",'Calculations'!IG359,IF('Calculations'!IF359&lt;&gt;"",'Calculations'!IF359,IF('Calculations'!IE359&lt;&gt;"",'Calculations'!IE359,IF('Calculations'!ID359&lt;&gt;"",'Calculations'!ID359,IF('Calculations'!IC359&lt;&gt;"",'Calculations'!IC359,IF('Calculations'!IB359&lt;&gt;"",'Calculations'!IB359,IF('Calculations'!IA359&lt;&gt;"",'Calculations'!IA359,IF('Calculations'!HZ359&lt;&gt;"",'Calculations'!HZ359,IF('Calculations'!HY359&lt;&gt;"",'Calculations'!HY359,IF('Calculations'!HX359&lt;&gt;"",'Calculations'!HX359,IF('Calculations'!HW359&lt;&gt;"",'Calculations'!HW359,IF('Calculations'!HV359&lt;&gt;"",'Calculations'!HV359,IF('Calculations'!HU359&lt;&gt;"",'Calculations'!HU359,IF('Calculations'!HT359&lt;&gt;"",'Calculations'!HT359,IF('Calculations'!HS359&lt;&gt;"",'Calculations'!HS359,IF('Calculations'!HR359&lt;&gt;"",'Calculations'!HR359,IF('Calculations'!HQ359&lt;&gt;"",'Calculations'!HQ359,IF('Calculations'!HP359&lt;&gt;"",'Calculations'!HP359,IF('Calculations'!HO359&lt;&gt;"",'Calculations'!HO359,'Calculations'!HE359))))))))))))))))))))))</x:f>
      </x:c>
      <x:c r="HN359" t="str">
        <x:f>IF('Calculations'!EM359="","",IF(IFERROR(IF(INDEX(INDIRECT("'WCM Calibration Final'!$F$1:$F$2000"),'Calculations'!$EM359)="","",TRIM(INDEX(INDIRECT("'WCM Calibration Final'!$F$1:$F$2000"),'Calculations'!$EM359)&amp;"")),"")="","(Blank)",IFERROR(IF(INDEX(INDIRECT("'WCM Calibration Final'!$F$1:$F$2000"),'Calculations'!$EM359)="","",TRIM(INDEX(INDIRECT("'WCM Calibration Final'!$F$1:$F$2000"),'Calculations'!$EM359)&amp;"")),"")))</x:f>
      </x:c>
      <x:c r="HO359" t="str">
        <x:f>'Calculations'!HF359</x:f>
      </x:c>
      <x:c r="HP359" t="str">
        <x:f>IF('Calculations'!HO359="","",IF('Calculations'!HO359="!AMBIG","!AMBIG",IF(COUNTIF('Calculations'!$HE$13:$HE$512,"="&amp;SUBSTITUTE(SUBSTITUTE(SUBSTITUTE('Calculations'!HO359,"~","~~"),"*","~*"),"?","~?"))&gt;1,"!AMBIG",IFERROR(INDEX('Calculations'!$HF$13:$HF$512,MATCH('Calculations'!HO359,'Calculations'!$HE$13:$HE$512,0)),""))))</x:f>
      </x:c>
      <x:c r="HQ359" t="str">
        <x:f>IF('Calculations'!HP359="","",IF('Calculations'!HP359="!AMBIG","!AMBIG",IF(COUNTIF('Calculations'!$HE$13:$HE$512,"="&amp;SUBSTITUTE(SUBSTITUTE(SUBSTITUTE('Calculations'!HP359,"~","~~"),"*","~*"),"?","~?"))&gt;1,"!AMBIG",IFERROR(INDEX('Calculations'!$HF$13:$HF$512,MATCH('Calculations'!HP359,'Calculations'!$HE$13:$HE$512,0)),""))))</x:f>
      </x:c>
      <x:c r="HR359" t="str">
        <x:f>IF('Calculations'!HQ359="","",IF('Calculations'!HQ359="!AMBIG","!AMBIG",IF(COUNTIF('Calculations'!$HE$13:$HE$512,"="&amp;SUBSTITUTE(SUBSTITUTE(SUBSTITUTE('Calculations'!HQ359,"~","~~"),"*","~*"),"?","~?"))&gt;1,"!AMBIG",IFERROR(INDEX('Calculations'!$HF$13:$HF$512,MATCH('Calculations'!HQ359,'Calculations'!$HE$13:$HE$512,0)),""))))</x:f>
      </x:c>
      <x:c r="HS359" t="str">
        <x:f>IF('Calculations'!HR359="","",IF('Calculations'!HR359="!AMBIG","!AMBIG",IF(COUNTIF('Calculations'!$HE$13:$HE$512,"="&amp;SUBSTITUTE(SUBSTITUTE(SUBSTITUTE('Calculations'!HR359,"~","~~"),"*","~*"),"?","~?"))&gt;1,"!AMBIG",IFERROR(INDEX('Calculations'!$HF$13:$HF$512,MATCH('Calculations'!HR359,'Calculations'!$HE$13:$HE$512,0)),""))))</x:f>
      </x:c>
      <x:c r="HT359" t="str">
        <x:f>IF('Calculations'!HS359="","",IF('Calculations'!HS359="!AMBIG","!AMBIG",IF(COUNTIF('Calculations'!$HE$13:$HE$512,"="&amp;SUBSTITUTE(SUBSTITUTE(SUBSTITUTE('Calculations'!HS359,"~","~~"),"*","~*"),"?","~?"))&gt;1,"!AMBIG",IFERROR(INDEX('Calculations'!$HF$13:$HF$512,MATCH('Calculations'!HS359,'Calculations'!$HE$13:$HE$512,0)),""))))</x:f>
      </x:c>
      <x:c r="HU359" t="str">
        <x:f>IF('Calculations'!HT359="","",IF('Calculations'!HT359="!AMBIG","!AMBIG",IF(COUNTIF('Calculations'!$HE$13:$HE$512,"="&amp;SUBSTITUTE(SUBSTITUTE(SUBSTITUTE('Calculations'!HT359,"~","~~"),"*","~*"),"?","~?"))&gt;1,"!AMBIG",IFERROR(INDEX('Calculations'!$HF$13:$HF$512,MATCH('Calculations'!HT359,'Calculations'!$HE$13:$HE$512,0)),""))))</x:f>
      </x:c>
      <x:c r="HV359" t="str">
        <x:f>IF('Calculations'!HU359="","",IF('Calculations'!HU359="!AMBIG","!AMBIG",IF(COUNTIF('Calculations'!$HE$13:$HE$512,"="&amp;SUBSTITUTE(SUBSTITUTE(SUBSTITUTE('Calculations'!HU359,"~","~~"),"*","~*"),"?","~?"))&gt;1,"!AMBIG",IFERROR(INDEX('Calculations'!$HF$13:$HF$512,MATCH('Calculations'!HU359,'Calculations'!$HE$13:$HE$512,0)),""))))</x:f>
      </x:c>
      <x:c r="HW359" t="str">
        <x:f>IF('Calculations'!HV359="","",IF('Calculations'!HV359="!AMBIG","!AMBIG",IF(COUNTIF('Calculations'!$HE$13:$HE$512,"="&amp;SUBSTITUTE(SUBSTITUTE(SUBSTITUTE('Calculations'!HV359,"~","~~"),"*","~*"),"?","~?"))&gt;1,"!AMBIG",IFERROR(INDEX('Calculations'!$HF$13:$HF$512,MATCH('Calculations'!HV359,'Calculations'!$HE$13:$HE$512,0)),""))))</x:f>
      </x:c>
      <x:c r="HX359" t="str">
        <x:f>IF('Calculations'!HW359="","",IF('Calculations'!HW359="!AMBIG","!AMBIG",IF(COUNTIF('Calculations'!$HE$13:$HE$512,"="&amp;SUBSTITUTE(SUBSTITUTE(SUBSTITUTE('Calculations'!HW359,"~","~~"),"*","~*"),"?","~?"))&gt;1,"!AMBIG",IFERROR(INDEX('Calculations'!$HF$13:$HF$512,MATCH('Calculations'!HW359,'Calculations'!$HE$13:$HE$512,0)),""))))</x:f>
      </x:c>
      <x:c r="HY359" t="str">
        <x:f>IF('Calculations'!HX359="","",IF('Calculations'!HX359="!AMBIG","!AMBIG",IF(COUNTIF('Calculations'!$HE$13:$HE$512,"="&amp;SUBSTITUTE(SUBSTITUTE(SUBSTITUTE('Calculations'!HX359,"~","~~"),"*","~*"),"?","~?"))&gt;1,"!AMBIG",IFERROR(INDEX('Calculations'!$HF$13:$HF$512,MATCH('Calculations'!HX359,'Calculations'!$HE$13:$HE$512,0)),""))))</x:f>
      </x:c>
      <x:c r="HZ359" t="str">
        <x:f>IF('Calculations'!HY359="","",IF('Calculations'!HY359="!AMBIG","!AMBIG",IF(COUNTIF('Calculations'!$HE$13:$HE$512,"="&amp;SUBSTITUTE(SUBSTITUTE(SUBSTITUTE('Calculations'!HY359,"~","~~"),"*","~*"),"?","~?"))&gt;1,"!AMBIG",IFERROR(INDEX('Calculations'!$HF$13:$HF$512,MATCH('Calculations'!HY359,'Calculations'!$HE$13:$HE$512,0)),""))))</x:f>
      </x:c>
      <x:c r="IA359" t="str">
        <x:f>IF('Calculations'!HZ359="","",IF('Calculations'!HZ359="!AMBIG","!AMBIG",IF(COUNTIF('Calculations'!$HE$13:$HE$512,"="&amp;SUBSTITUTE(SUBSTITUTE(SUBSTITUTE('Calculations'!HZ359,"~","~~"),"*","~*"),"?","~?"))&gt;1,"!AMBIG",IFERROR(INDEX('Calculations'!$HF$13:$HF$512,MATCH('Calculations'!HZ359,'Calculations'!$HE$13:$HE$512,0)),""))))</x:f>
      </x:c>
      <x:c r="IB359" t="str">
        <x:f>IF('Calculations'!IA359="","",IF('Calculations'!IA359="!AMBIG","!AMBIG",IF(COUNTIF('Calculations'!$HE$13:$HE$512,"="&amp;SUBSTITUTE(SUBSTITUTE(SUBSTITUTE('Calculations'!IA359,"~","~~"),"*","~*"),"?","~?"))&gt;1,"!AMBIG",IFERROR(INDEX('Calculations'!$HF$13:$HF$512,MATCH('Calculations'!IA359,'Calculations'!$HE$13:$HE$512,0)),""))))</x:f>
      </x:c>
      <x:c r="IC359" t="str">
        <x:f>IF('Calculations'!IB359="","",IF('Calculations'!IB359="!AMBIG","!AMBIG",IF(COUNTIF('Calculations'!$HE$13:$HE$512,"="&amp;SUBSTITUTE(SUBSTITUTE(SUBSTITUTE('Calculations'!IB359,"~","~~"),"*","~*"),"?","~?"))&gt;1,"!AMBIG",IFERROR(INDEX('Calculations'!$HF$13:$HF$512,MATCH('Calculations'!IB359,'Calculations'!$HE$13:$HE$512,0)),""))))</x:f>
      </x:c>
      <x:c r="ID359" t="str">
        <x:f>IF('Calculations'!IC359="","",IF('Calculations'!IC359="!AMBIG","!AMBIG",IF(COUNTIF('Calculations'!$HE$13:$HE$512,"="&amp;SUBSTITUTE(SUBSTITUTE(SUBSTITUTE('Calculations'!IC359,"~","~~"),"*","~*"),"?","~?"))&gt;1,"!AMBIG",IFERROR(INDEX('Calculations'!$HF$13:$HF$512,MATCH('Calculations'!IC359,'Calculations'!$HE$13:$HE$512,0)),""))))</x:f>
      </x:c>
      <x:c r="IE359" t="str">
        <x:f>IF('Calculations'!ID359="","",IF('Calculations'!ID359="!AMBIG","!AMBIG",IF(COUNTIF('Calculations'!$HE$13:$HE$512,"="&amp;SUBSTITUTE(SUBSTITUTE(SUBSTITUTE('Calculations'!ID359,"~","~~"),"*","~*"),"?","~?"))&gt;1,"!AMBIG",IFERROR(INDEX('Calculations'!$HF$13:$HF$512,MATCH('Calculations'!ID359,'Calculations'!$HE$13:$HE$512,0)),""))))</x:f>
      </x:c>
      <x:c r="IF359" t="str">
        <x:f>IF('Calculations'!IE359="","",IF('Calculations'!IE359="!AMBIG","!AMBIG",IF(COUNTIF('Calculations'!$HE$13:$HE$512,"="&amp;SUBSTITUTE(SUBSTITUTE(SUBSTITUTE('Calculations'!IE359,"~","~~"),"*","~*"),"?","~?"))&gt;1,"!AMBIG",IFERROR(INDEX('Calculations'!$HF$13:$HF$512,MATCH('Calculations'!IE359,'Calculations'!$HE$13:$HE$512,0)),""))))</x:f>
      </x:c>
      <x:c r="IG359" t="str">
        <x:f>IF('Calculations'!IF359="","",IF('Calculations'!IF359="!AMBIG","!AMBIG",IF(COUNTIF('Calculations'!$HE$13:$HE$512,"="&amp;SUBSTITUTE(SUBSTITUTE(SUBSTITUTE('Calculations'!IF359,"~","~~"),"*","~*"),"?","~?"))&gt;1,"!AMBIG",IFERROR(INDEX('Calculations'!$HF$13:$HF$512,MATCH('Calculations'!IF359,'Calculations'!$HE$13:$HE$512,0)),""))))</x:f>
      </x:c>
      <x:c r="IH359" t="str">
        <x:f>IF('Calculations'!IG359="","",IF('Calculations'!IG359="!AMBIG","!AMBIG",IF(COUNTIF('Calculations'!$HE$13:$HE$512,"="&amp;SUBSTITUTE(SUBSTITUTE(SUBSTITUTE('Calculations'!IG359,"~","~~"),"*","~*"),"?","~?"))&gt;1,"!AMBIG",IFERROR(INDEX('Calculations'!$HF$13:$HF$512,MATCH('Calculations'!IG359,'Calculations'!$HE$13:$HE$512,0)),""))))</x:f>
      </x:c>
      <x:c r="II359" t="str">
        <x:f>IF('Calculations'!IH359="","",IF('Calculations'!IH359="!AMBIG","!AMBIG",IF(COUNTIF('Calculations'!$HE$13:$HE$512,"="&amp;SUBSTITUTE(SUBSTITUTE(SUBSTITUTE('Calculations'!IH359,"~","~~"),"*","~*"),"?","~?"))&gt;1,"!AMBIG",IFERROR(INDEX('Calculations'!$HF$13:$HF$512,MATCH('Calculations'!IH359,'Calculations'!$HE$13:$HE$512,0)),""))))</x:f>
      </x:c>
      <x:c r="IJ359" t="str">
        <x:f>IF('Calculations'!EM359="","",IF('Calculations'!$EF$2="All",'Calculations'!HM359,IF('Calculations'!HL359=1,"",IFERROR(IF(MATCH('Calculations'!$EF$2,'Calculations'!HO359:II359,0)=1,'Calculations'!HE359,INDEX('Calculations'!HO359:II359,1,MATCH('Calculations'!$EF$2,'Calculations'!HO359:II359,0)-1)),""))))</x:f>
      </x:c>
      <x:c r="IK359" t="n">
        <x:f>IF(AND('Calculations'!EM359&lt;&gt;"",'Calculations'!$EF$2&lt;&gt;"All",'Calculations'!HF359='Calculations'!$EF$2,'Calculations'!HL359=0,'Calculations'!JD359&gt;0),MAX('Calculations'!$IK$12:IK358)+1,0)</x:f>
        <x:v>0</x:v>
      </x:c>
      <x:c r="JA359" t="n">
        <x:f>IF(OR(IFERROR(INDIRECT("'WCM Calibration Final'!$A$359")&lt;&gt;"",FALSE),IFERROR(INDIRECT("'WCM Calibration Final'!$B$359")&lt;&gt;"",FALSE),IFERROR(INDIRECT("'WCM Calibration Final'!$C$359")&lt;&gt;"",FALSE)),359,0)</x:f>
        <x:v>0</x:v>
      </x:c>
      <x:c r="JB359" t="n">
        <x:f>'Calculations'!JB358+IF('Calculations'!JA359&gt;0,1,0)</x:f>
        <x:v>0</x:v>
      </x:c>
      <x:c r="JC359" t="n">
        <x:f>IF(OR('Calculations'!HF359="",'Calculations'!HF359="!AMBIG"),0,IF('Dashboard'!$B$7="All",1,COUNTIFS('Calculations'!$HO$13:$HO$512,"="&amp;SUBSTITUTE(SUBSTITUTE(SUBSTITUTE('Calculations'!HF359,"~","~~"),"*","~*"),"?","~?"),'Calculations'!$HN$13:$HN$512,"="&amp;SUBSTITUTE(SUBSTITUTE(SUBSTITUTE('Dashboard'!$B$7,"~","~~"),"*","~*"),"?","~?"))+COUNTIFS('Calculations'!$HP$13:$HP$512,"="&amp;SUBSTITUTE(SUBSTITUTE(SUBSTITUTE('Calculations'!HF359,"~","~~"),"*","~*"),"?","~?"),'Calculations'!$HN$13:$HN$512,"="&amp;SUBSTITUTE(SUBSTITUTE(SUBSTITUTE('Dashboard'!$B$7,"~","~~"),"*","~*"),"?","~?"))+COUNTIFS('Calculations'!$HQ$13:$HQ$512,"="&amp;SUBSTITUTE(SUBSTITUTE(SUBSTITUTE('Calculations'!HF359,"~","~~"),"*","~*"),"?","~?"),'Calculations'!$HN$13:$HN$512,"="&amp;SUBSTITUTE(SUBSTITUTE(SUBSTITUTE('Dashboard'!$B$7,"~","~~"),"*","~*"),"?","~?"))+COUNTIFS('Calculations'!$HR$13:$HR$512,"="&amp;SUBSTITUTE(SUBSTITUTE(SUBSTITUTE('Calculations'!HF359,"~","~~"),"*","~*"),"?","~?"),'Calculations'!$HN$13:$HN$512,"="&amp;SUBSTITUTE(SUBSTITUTE(SUBSTITUTE('Dashboard'!$B$7,"~","~~"),"*","~*"),"?","~?"))+COUNTIFS('Calculations'!$HS$13:$HS$512,"="&amp;SUBSTITUTE(SUBSTITUTE(SUBSTITUTE('Calculations'!HF359,"~","~~"),"*","~*"),"?","~?"),'Calculations'!$HN$13:$HN$512,"="&amp;SUBSTITUTE(SUBSTITUTE(SUBSTITUTE('Dashboard'!$B$7,"~","~~"),"*","~*"),"?","~?"))+COUNTIFS('Calculations'!$HT$13:$HT$512,"="&amp;SUBSTITUTE(SUBSTITUTE(SUBSTITUTE('Calculations'!HF359,"~","~~"),"*","~*"),"?","~?"),'Calculations'!$HN$13:$HN$512,"="&amp;SUBSTITUTE(SUBSTITUTE(SUBSTITUTE('Dashboard'!$B$7,"~","~~"),"*","~*"),"?","~?"))+COUNTIFS('Calculations'!$HU$13:$HU$512,"="&amp;SUBSTITUTE(SUBSTITUTE(SUBSTITUTE('Calculations'!HF359,"~","~~"),"*","~*"),"?","~?"),'Calculations'!$HN$13:$HN$512,"="&amp;SUBSTITUTE(SUBSTITUTE(SUBSTITUTE('Dashboard'!$B$7,"~","~~"),"*","~*"),"?","~?"))+COUNTIFS('Calculations'!$HV$13:$HV$512,"="&amp;SUBSTITUTE(SUBSTITUTE(SUBSTITUTE('Calculations'!HF359,"~","~~"),"*","~*"),"?","~?"),'Calculations'!$HN$13:$HN$512,"="&amp;SUBSTITUTE(SUBSTITUTE(SUBSTITUTE('Dashboard'!$B$7,"~","~~"),"*","~*"),"?","~?"))+COUNTIFS('Calculations'!$HW$13:$HW$512,"="&amp;SUBSTITUTE(SUBSTITUTE(SUBSTITUTE('Calculations'!HF359,"~","~~"),"*","~*"),"?","~?"),'Calculations'!$HN$13:$HN$512,"="&amp;SUBSTITUTE(SUBSTITUTE(SUBSTITUTE('Dashboard'!$B$7,"~","~~"),"*","~*"),"?","~?"))+COUNTIFS('Calculations'!$HX$13:$HX$512,"="&amp;SUBSTITUTE(SUBSTITUTE(SUBSTITUTE('Calculations'!HF359,"~","~~"),"*","~*"),"?","~?"),'Calculations'!$HN$13:$HN$512,"="&amp;SUBSTITUTE(SUBSTITUTE(SUBSTITUTE('Dashboard'!$B$7,"~","~~"),"*","~*"),"?","~?"))+COUNTIFS('Calculations'!$HY$13:$HY$512,"="&amp;SUBSTITUTE(SUBSTITUTE(SUBSTITUTE('Calculations'!HF359,"~","~~"),"*","~*"),"?","~?"),'Calculations'!$HN$13:$HN$512,"="&amp;SUBSTITUTE(SUBSTITUTE(SUBSTITUTE('Dashboard'!$B$7,"~","~~"),"*","~*"),"?","~?"))+COUNTIFS('Calculations'!$HZ$13:$HZ$512,"="&amp;SUBSTITUTE(SUBSTITUTE(SUBSTITUTE('Calculations'!HF359,"~","~~"),"*","~*"),"?","~?"),'Calculations'!$HN$13:$HN$512,"="&amp;SUBSTITUTE(SUBSTITUTE(SUBSTITUTE('Dashboard'!$B$7,"~","~~"),"*","~*"),"?","~?"))+COUNTIFS('Calculations'!$IA$13:$IA$512,"="&amp;SUBSTITUTE(SUBSTITUTE(SUBSTITUTE('Calculations'!HF359,"~","~~"),"*","~*"),"?","~?"),'Calculations'!$HN$13:$HN$512,"="&amp;SUBSTITUTE(SUBSTITUTE(SUBSTITUTE('Dashboard'!$B$7,"~","~~"),"*","~*"),"?","~?"))+COUNTIFS('Calculations'!$IB$13:$IB$512,"="&amp;SUBSTITUTE(SUBSTITUTE(SUBSTITUTE('Calculations'!HF359,"~","~~"),"*","~*"),"?","~?"),'Calculations'!$HN$13:$HN$512,"="&amp;SUBSTITUTE(SUBSTITUTE(SUBSTITUTE('Dashboard'!$B$7,"~","~~"),"*","~*"),"?","~?"))+COUNTIFS('Calculations'!$IC$13:$IC$512,"="&amp;SUBSTITUTE(SUBSTITUTE(SUBSTITUTE('Calculations'!HF359,"~","~~"),"*","~*"),"?","~?"),'Calculations'!$HN$13:$HN$512,"="&amp;SUBSTITUTE(SUBSTITUTE(SUBSTITUTE('Dashboard'!$B$7,"~","~~"),"*","~*"),"?","~?"))+COUNTIFS('Calculations'!$ID$13:$ID$512,"="&amp;SUBSTITUTE(SUBSTITUTE(SUBSTITUTE('Calculations'!HF359,"~","~~"),"*","~*"),"?","~?"),'Calculations'!$HN$13:$HN$512,"="&amp;SUBSTITUTE(SUBSTITUTE(SUBSTITUTE('Dashboard'!$B$7,"~","~~"),"*","~*"),"?","~?"))+COUNTIFS('Calculations'!$IE$13:$IE$512,"="&amp;SUBSTITUTE(SUBSTITUTE(SUBSTITUTE('Calculations'!HF359,"~","~~"),"*","~*"),"?","~?"),'Calculations'!$HN$13:$HN$512,"="&amp;SUBSTITUTE(SUBSTITUTE(SUBSTITUTE('Dashboard'!$B$7,"~","~~"),"*","~*"),"?","~?"))+COUNTIFS('Calculations'!$IF$13:$IF$512,"="&amp;SUBSTITUTE(SUBSTITUTE(SUBSTITUTE('Calculations'!HF359,"~","~~"),"*","~*"),"?","~?"),'Calculations'!$HN$13:$HN$512,"="&amp;SUBSTITUTE(SUBSTITUTE(SUBSTITUTE('Dashboard'!$B$7,"~","~~"),"*","~*"),"?","~?"))+COUNTIFS('Calculations'!$IG$13:$IG$512,"="&amp;SUBSTITUTE(SUBSTITUTE(SUBSTITUTE('Calculations'!HF359,"~","~~"),"*","~*"),"?","~?"),'Calculations'!$HN$13:$HN$512,"="&amp;SUBSTITUTE(SUBSTITUTE(SUBSTITUTE('Dashboard'!$B$7,"~","~~"),"*","~*"),"?","~?"))+COUNTIFS('Calculations'!$IH$13:$IH$512,"="&amp;SUBSTITUTE(SUBSTITUTE(SUBSTITUTE('Calculations'!HF359,"~","~~"),"*","~*"),"?","~?"),'Calculations'!$HN$13:$HN$512,"="&amp;SUBSTITUTE(SUBSTITUTE(SUBSTITUTE('Dashboard'!$B$7,"~","~~"),"*","~*"),"?","~?"))))</x:f>
        <x:v>0</x:v>
      </x:c>
      <x:c r="JD359" t="n">
        <x:f>IF('Calculations'!EM359="",0,IF('Dashboard'!$B$7="All",1,IF('Calculations'!HN359='Dashboard'!$B$7,1,0)+IFERROR(INDEX('Calculations'!$JC$13:$JC$512,MATCH('Calculations'!HE359,'Calculations'!$HF$13:$HF$512,0)),0)))</x:f>
        <x:v>0</x:v>
      </x:c>
      <x:c r="JE359" t="n">
        <x:f>IF(AND('Calculations'!EM359&lt;&gt;"",'Calculations'!$JJ$2&lt;&gt;"All",'Calculations'!$JJ$2&lt;&gt;"",'Calculations'!HF359='Calculations'!$JJ$2,'Calculations'!HL359=0,'Calculations'!JD359&gt;0),MAX('Calculations'!$JE$12:JE358)+1,0)</x:f>
        <x:v>0</x:v>
      </x:c>
      <x:c r="JF359" t="str">
        <x:f>IF('Calculations'!EM359="","",IFERROR(IF(INDEX(INDIRECT("'WCM Calibration Final'!$G$1:$G$2000"),'Calculations'!$EM359)="","",TRIM(INDEX(INDIRECT("'WCM Calibration Final'!$G$1:$G$2000"),'Calculations'!$EM359)&amp;"")),""))</x:f>
      </x:c>
      <x:c r="JQ359" t="n">
        <x:f>IF(OR('Calculations'!BM359=0,NOT('Calculations'!$AG$2),'Calculations'!$AG$8&gt;0),0,IF(OR('Dashboard'!$B$7="All",'Calculations'!HN359='Dashboard'!$B$7),IF('Calculations'!$JJ$2="All",1,IF(AND('Calculations'!HF359='Calculations'!$JJ$2,'Calculations'!HL359=0),1,0)),0))</x:f>
        <x:v>0</x:v>
      </x:c>
    </x:row>
    <x:row r="360">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t="n">
        <x:f>IF('Calculations'!$EM360="",0,IF(OR(IFERROR(INDEX(INDIRECT("'WCM Calibration Final'!$A$1:$A$2000"),'Calculations'!$EM360)&lt;&gt;"",FALSE),IFERROR(INDEX(INDIRECT("'WCM Calibration Final'!$B$1:$B$2000"),'Calculations'!$EM360)&lt;&gt;"",FALSE),IFERROR(INDEX(INDIRECT("'WCM Calibration Final'!$C$1:$C$2000"),'Calculations'!$EM360)&lt;&gt;"",FALSE)),1,0))</x:f>
        <x:v>0</x:v>
      </x:c>
      <x:c r="BN360" s="4" t="n">
        <x:f>IF(AND('Calculations'!BM360=1,'Calculations'!$AG$2,'Calculations'!$EN360=1),1,0)</x:f>
        <x:v>0</x:v>
      </x:c>
      <x:c r="BO360" s="4" t="str">
        <x:f>IF('Calculations'!BM360=0,"",IFERROR(IF(AND(VALUE(INDEX(INDIRECT("'WCM Calibration Final'!$K$1:$K$2000"),'Calculations'!$EM360))&gt;=1,VALUE(INDEX(INDIRECT("'WCM Calibration Final'!$K$1:$K$2000"),'Calculations'!$EM360))&lt;=4,MOD(VALUE(INDEX(INDIRECT("'WCM Calibration Final'!$K$1:$K$2000"),'Calculations'!$EM360)),1)=0),VALUE(INDEX(INDIRECT("'WCM Calibration Final'!$K$1:$K$2000"),'Calculations'!$EM360)),""),""))</x:f>
      </x:c>
      <x:c r="BP360" s="4" t="str">
        <x:f>IF('Calculations'!BM360=0,"",IFERROR(IF(AND(VALUE(INDEX(INDIRECT("'WCM Calibration Final'!$L$1:$L$2000"),'Calculations'!$EM360))&gt;=1,VALUE(INDEX(INDIRECT("'WCM Calibration Final'!$L$1:$L$2000"),'Calculations'!$EM360))&lt;=4,MOD(VALUE(INDEX(INDIRECT("'WCM Calibration Final'!$L$1:$L$2000"),'Calculations'!$EM360)),1)=0),VALUE(INDEX(INDIRECT("'WCM Calibration Final'!$L$1:$L$2000"),'Calculations'!$EM360)),""),""))</x:f>
      </x:c>
      <x:c r="BQ360" s="4"/>
      <x:c r="BR360" s="4"/>
      <x:c r="BS360" s="4"/>
      <x:c r="BT360" s="4" t="n">
        <x:f>IF(AND('Calculations'!BM360=1,ISNUMBER('Calculations'!BO360),ISNUMBER('Calculations'!BP360)),1,0)</x:f>
        <x:v>0</x:v>
      </x:c>
      <x:c r="BU360" s="4" t="str">
        <x:f>IF('Calculations'!BM360=0,"",'Calculations'!$EO360)</x:f>
      </x:c>
      <x:c r="BV360" s="4" t="str">
        <x:f>IF('Calculations'!BM360=0,"",IFERROR(IF(OR(INDEX(INDIRECT("'WCM Calibration Final'!$H$1:$H$2000"),'Calculations'!$EM360)="MANAGING DIRECTOR",INDEX(INDIRECT("'WCM Calibration Final'!$H$1:$H$2000"),'Calculations'!$EM360)="DIRECTOR",INDEX(INDIRECT("'WCM Calibration Final'!$H$1:$H$2000"),'Calculations'!$EM360)="SENIOR VICE PRESIDENT",INDEX(INDIRECT("'WCM Calibration Final'!$H$1:$H$2000"),'Calculations'!$EM360)="VICE PRESIDENT",INDEX(INDIRECT("'WCM Calibration Final'!$H$1:$H$2000"),'Calculations'!$EM360)="ASSISTANT VICE PRESIDENT",INDEX(INDIRECT("'WCM Calibration Final'!$H$1:$H$2000"),'Calculations'!$EM360)="OFFICER"),UPPER(INDEX(INDIRECT("'WCM Calibration Final'!$H$1:$H$2000"),'Calculations'!$EM360)),"Other"),"Other"))</x:f>
      </x:c>
      <x:c r="BW360" s="4"/>
      <x:c r="BX360" s="4"/>
      <x:c r="BY360" s="4" t="n">
        <x:f>IF(AND('Calculations'!BM360=1,'Calculations'!BU360&lt;&gt;"",COUNTIF('Calculations'!$BU$12:BU360,'Calculations'!BU360)=1),MAX('Calculations'!$BY$11:BY359)+1,0)</x:f>
        <x:v>0</x:v>
      </x:c>
      <x:c r="BZ360" s="4" t="str">
        <x:f>IF('Dashboard'!$E$67="What",'Calculations'!BO360,'Calculations'!BP360)</x:f>
      </x:c>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t="str">
        <x:f>IF(349&gt;MAX('Calculations'!$HI$13:$HI$512),"",INDEX('Calculations'!$HN$13:$HN$512,MATCH(349,'Calculations'!$HI$13:$HI$512,0)))</x:f>
      </x:c>
      <x:c r="DB360" s="4" t="str">
        <x:f>IF(349&gt;MAX('Calculations'!$HH$13:$HH$512),"",INDEX('Calculations'!$HJ$13:$HJ$512,MATCH(349,'Calculations'!$HH$13:$HH$512,0)))</x:f>
      </x:c>
      <x:c r="DC360" s="4" t="str">
        <x:f>IF(ROW()-11&gt;MAX('Calculations'!$BY$13:$BY$512),"",INDEX('Calculations'!$BU$13:$BU$512,MATCH(ROW()-11,'Calculations'!$BY$13:$BY$512,0)))</x:f>
      </x:c>
      <x:c r="DD360" s="4" t="str">
        <x:f>IF(349&gt;MAX('Calculations'!$IK$13:$IK$512),"",INDEX('Calculations'!$HK$13:$HK$512,MATCH(349,'Calculations'!$IK$13:$IK$512,0)))</x:f>
      </x:c>
      <x:c r="DE360" s="4" t="str">
        <x:f>'Calculations'!DC360</x:f>
      </x:c>
      <x:c r="DF360" s="4" t="str">
        <x:f>IF('Calculations'!DE360="","",COUNTIFS('Calculations'!$BN$13:$BN$512,1,'Calculations'!$BU$13:$BU$512,'Calculations'!DE360))</x:f>
      </x:c>
      <x:c r="DG360" s="4" t="str">
        <x:f>IF('Calculations'!DE360="","",COUNTIFS('Calculations'!$BN$13:$BN$512,1,'Calculations'!$BU$13:$BU$512,'Calculations'!DE360,'Calculations'!$BT$13:$BT$512,1))</x:f>
      </x:c>
      <x:c r="DH360" s="4" t="str">
        <x:f>IF('Calculations'!DE360="","",'Calculations'!DF360-'Calculations'!DG360)</x:f>
      </x:c>
      <x:c r="DI360" s="4" t="str">
        <x:f>IF(OR('Calculations'!DE360="",'Calculations'!DF360=0),"",'Calculations'!DG360/'Calculations'!DF360)</x:f>
      </x:c>
      <x:c r="DJ360" s="4" t="str">
        <x:f>IF('Calculations'!DE360="","",COUNTIFS('Calculations'!$BN$13:$BN$512,1,'Calculations'!$BU$13:$BU$512,'Calculations'!DE360,'Calculations'!$BT$13:$BT$512,1,'Calculations'!$EE$13:$EE$512,"High"))</x:f>
      </x:c>
      <x:c r="DK360" s="4" t="str">
        <x:f>IF('Calculations'!DE360="","",COUNTIFS('Calculations'!$BN$13:$BN$512,1,'Calculations'!$BU$13:$BU$512,'Calculations'!DE360,'Calculations'!$BT$13:$BT$512,1,'Calculations'!$EE$13:$EE$512,"Strong"))</x:f>
      </x:c>
      <x:c r="DL360" s="4" t="str">
        <x:f>IF('Calculations'!DE360="","",COUNTIFS('Calculations'!$BN$13:$BN$512,1,'Calculations'!$BU$13:$BU$512,'Calculations'!DE360,'Calculations'!$BT$13:$BT$512,1,'Calculations'!$EE$13:$EE$512,"Solid"))</x:f>
      </x:c>
      <x:c r="DM360" s="4" t="str">
        <x:f>IF('Calculations'!DE360="","",COUNTIFS('Calculations'!$BN$13:$BN$512,1,'Calculations'!$BU$13:$BU$512,'Calculations'!DE360,'Calculations'!$BT$13:$BT$512,1,'Calculations'!$EE$13:$EE$512,"Low"))</x:f>
      </x:c>
      <x:c r="DN360" s="4" t="str">
        <x:f>IF('Calculations'!DE360="","",COUNTIFS('Calculations'!$BN$13:$BN$512,1,'Calculations'!$BU$13:$BU$512,'Calculations'!DE360,'Calculations'!$EP$13:$EP$512,1))</x:f>
      </x:c>
      <x:c r="DO360" s="4" t="str">
        <x:f>IF(OR('Calculations'!DE360="",'Calculations'!DG360=0),"",('Calculations'!DJ360+'Calculations'!DK360)/'Calculations'!DG360)</x:f>
      </x:c>
      <x:c r="DP360" s="4" t="n">
        <x:f>IF(AND('Calculations'!DE360&lt;&gt;"",'Calculations'!DF360&gt;0),COUNTIF('Calculations'!$DF$12:DF360,"&gt;0"),0)</x:f>
        <x:v>0</x:v>
      </x:c>
      <x:c r="DQ360" s="4" t="str">
        <x:f>IF(349&gt;MAX('Calculations'!$HH$13:$HH$512),"",INDEX('Calculations'!$HF$13:$HF$512,MATCH(349,'Calculations'!$HH$13:$HH$512,0)))</x:f>
      </x:c>
      <x:c r="DR360" s="4" t="str">
        <x:f>IF(349&gt;MAX('Calculations'!$IK$13:$IK$512),"",INDEX('Calculations'!$HE$13:$HE$512,MATCH(349,'Calculations'!$IK$13:$IK$512,0)))</x:f>
      </x:c>
      <x:c r="DS360" s="4"/>
      <x:c r="DT360" s="4"/>
      <x:c r="DU360" s="4"/>
      <x:c r="DV360" s="4"/>
      <x:c r="DW360" s="4"/>
      <x:c r="DX360" s="4"/>
      <x:c r="DY360" s="4"/>
      <x:c r="DZ360" s="4"/>
      <x:c r="EA360" s="4"/>
      <x:c r="EB360" s="4"/>
      <x:c r="EC360" s="4"/>
      <x:c r="ED360" s="4"/>
      <x:c r="EE360" s="4" t="str">
        <x:f>IF('Calculations'!BT360=0,"Not Rated",IF(OR('Calculations'!BO360&gt;=4,'Calculations'!BP360&gt;=4),"Low",IF('Calculations'!BO360+'Calculations'!BP360&lt;=3,"High",IF('Calculations'!BO360+'Calculations'!BP360&lt;=4,"Strong","Solid"))))</x:f>
        <x:v>Not Rated</x:v>
      </x:c>
      <x:c r="EF360" s="4"/>
      <x:c r="EG360" s="4"/>
      <x:c r="EH360" s="4"/>
      <x:c r="EI360" s="4"/>
      <x:c r="EJ360" s="4"/>
      <x:c r="EK360" s="4"/>
      <x:c r="EL360" s="4"/>
      <x:c r="EM360" s="4" t="str">
        <x:f>IF(348&gt;'Calculations'!$JB$2000,"",INDEX('Calculations'!$JA$12:$JA$2000,MATCH(348,'Calculations'!$JB$12:$JB$2000,0)))</x:f>
      </x:c>
      <x:c r="EN360" s="4" t="n">
        <x:f>IF(OR('Calculations'!EM360="",'Calculations'!$AG$8&gt;0,AND('Calculations'!$EF$2&lt;&gt;"All",'Calculations'!HE360='Calculations'!$EF$2),AND('Calculations'!$EF$3&lt;&gt;"All",'Calculations'!HE360='Calculations'!$EF$3)),0,IF(OR('Dashboard'!$B$7="All",'Calculations'!HN360='Dashboard'!$B$7),IF('Calculations'!$EF$2="All",1,IF('Calculations'!HL360&gt;0,0,IF(COUNTIF('Calculations'!HO360:II360,"="&amp;SUBSTITUTE(SUBSTITUTE(SUBSTITUTE('Calculations'!$EF$2,"~","~~"),"*","~*"),"?","~?"))=0,0,IF('Calculations'!$EF$3="All",1,IF(COUNTIF('Calculations'!HO360:II360,"="&amp;SUBSTITUTE(SUBSTITUTE(SUBSTITUTE('Calculations'!$EF$3,"~","~~"),"*","~*"),"?","~?"))&gt;0,1,0))))),0))</x:f>
        <x:v>0</x:v>
      </x:c>
      <x:c r="EO360" s="4" t="str">
        <x:f>IF('Calculations'!IJ360="","",IF('Calculations'!IJ360="!UNRESOLVED","Unresolved hierarchy",IFERROR(INDEX('Calculations'!$HK$13:$HK$512,MATCH('Calculations'!IJ360,'Calculations'!$HE$13:$HE$512,0)),IFERROR(INDEX('Calculations'!$HJ$13:$HJ$512,MATCH('Calculations'!IJ360,'Calculations'!$HF$13:$HF$512,0)),'Calculations'!IJ360))))</x:f>
      </x:c>
      <x:c r="EP360" s="4" t="n">
        <x:f>IF(AND('Calculations'!EM360&lt;&gt;"",'Calculations'!HF360='Calculations'!IJ360),1,0)</x:f>
        <x:v>0</x:v>
      </x:c>
      <x:c r="EQ360" s="4"/>
      <x:c r="ER360" s="4"/>
      <x:c r="ES360" s="4"/>
      <x:c r="ET360" s="4"/>
      <x:c r="EU360" s="4"/>
      <x:c r="EV360" s="4"/>
      <x:c r="EW360" s="4"/>
      <x:c r="EX360" s="4"/>
      <x:c r="EY360" s="4"/>
      <x:c r="EZ360" s="4"/>
      <x:c r="FA360" s="4"/>
      <x:c r="FB360" s="4"/>
      <x:c r="FC360" s="4"/>
      <x:c r="FD360" s="4"/>
      <x:c r="FE360" s="4"/>
      <x:c r="FF360" s="4"/>
      <x:c r="FG360" s="4"/>
      <x:c r="FH360" s="4"/>
      <x:c r="FI360" s="4"/>
      <x:c r="FJ360" s="4"/>
      <x:c r="FK360" s="4"/>
      <x:c r="FL360" s="4"/>
      <x:c r="FM360" s="4"/>
      <x:c r="FN360" s="4"/>
      <x:c r="FO360" s="4"/>
      <x:c r="HE360" t="str">
        <x:f>IF('Calculations'!EM360="","",IF(IFERROR(IF(INDEX(INDIRECT("'WCM Calibration Final'!$A$1:$A$2000"),'Calculations'!$EM360)="","",TRIM(INDEX(INDIRECT("'WCM Calibration Final'!$A$1:$A$2000"),'Calculations'!$EM360)&amp;"")),"")&lt;&gt;"","G:"&amp;IFERROR(TEXT(1*INDEX(INDIRECT("'WCM Calibration Final'!$A$1:$A$2000"),'Calculations'!$EM360),"0"),UPPER(IFERROR(IF(INDEX(INDIRECT("'WCM Calibration Final'!$A$1:$A$2000"),'Calculations'!$EM360)="","",TRIM(INDEX(INDIRECT("'WCM Calibration Final'!$A$1:$A$2000"),'Calculations'!$EM360)&amp;"")),""))),IF(IFERROR(IF(INDEX(INDIRECT("'WCM Calibration Final'!$C$1:$C$2000"),'Calculations'!$EM360)="","",TRIM(INDEX(INDIRECT("'WCM Calibration Final'!$C$1:$C$2000"),'Calculations'!$EM360)&amp;"")),"")&lt;&gt;"","S:"&amp;UPPER(IFERROR(IF(INDEX(INDIRECT("'WCM Calibration Final'!$C$1:$C$2000"),'Calculations'!$EM360)="","",TRIM(INDEX(INDIRECT("'WCM Calibration Final'!$C$1:$C$2000"),'Calculations'!$EM360)&amp;"")),"")),"R:"&amp;'Calculations'!EM360)))</x:f>
      </x:c>
      <x:c r="HF360" t="str">
        <x:f>IF('Calculations'!EM360="","",IF(IFERROR(IF(INDEX(INDIRECT("'WCM Calibration Final'!$D$1:$D$2000"),'Calculations'!$EM360)="","",TRIM(INDEX(INDIRECT("'WCM Calibration Final'!$D$1:$D$2000"),'Calculations'!$EM360)&amp;"")),"")&lt;&gt;"","G:"&amp;IFERROR(TEXT(1*INDEX(INDIRECT("'WCM Calibration Final'!$D$1:$D$2000"),'Calculations'!$EM360),"0"),UPPER(IFERROR(IF(INDEX(INDIRECT("'WCM Calibration Final'!$D$1:$D$2000"),'Calculations'!$EM360)="","",TRIM(INDEX(INDIRECT("'WCM Calibration Final'!$D$1:$D$2000"),'Calculations'!$EM360)&amp;"")),""))),IF(IFERROR(IF(INDEX(INDIRECT("'WCM Calibration Final'!$E$1:$E$2000"),'Calculations'!$EM360)="","",TRIM(INDEX(INDIRECT("'WCM Calibration Final'!$E$1:$E$2000"),'Calculations'!$EM360)&amp;"")),"")="","",IF(COUNTIF('Calculations'!$HG$13:$HG$512,"="&amp;SUBSTITUTE(SUBSTITUTE(SUBSTITUTE(IFERROR(IF(INDEX(INDIRECT("'WCM Calibration Final'!$E$1:$E$2000"),'Calculations'!$EM360)="","",TRIM(INDEX(INDIRECT("'WCM Calibration Final'!$E$1:$E$2000"),'Calculations'!$EM360)&amp;"")),""),"~","~~"),"*","~*"),"?","~?"))=1,INDEX('Calculations'!$HE$13:$HE$512,MATCH(IFERROR(IF(INDEX(INDIRECT("'WCM Calibration Final'!$E$1:$E$2000"),'Calculations'!$EM360)="","",TRIM(INDEX(INDIRECT("'WCM Calibration Final'!$E$1:$E$2000"),'Calculations'!$EM360)&amp;"")),""),'Calculations'!$HG$13:$HG$512,0)),IF(COUNTIF('Calculations'!$HG$13:$HG$512,"="&amp;SUBSTITUTE(SUBSTITUTE(SUBSTITUTE(IFERROR(IF(INDEX(INDIRECT("'WCM Calibration Final'!$E$1:$E$2000"),'Calculations'!$EM360)="","",TRIM(INDEX(INDIRECT("'WCM Calibration Final'!$E$1:$E$2000"),'Calculations'!$EM360)&amp;"")),""),"~","~~"),"*","~*"),"?","~?"))&gt;1,"!AMBIG","X:"&amp;IFERROR(IF(INDEX(INDIRECT("'WCM Calibration Final'!$E$1:$E$2000"),'Calculations'!$EM360)="","",TRIM(INDEX(INDIRECT("'WCM Calibration Final'!$E$1:$E$2000"),'Calculations'!$EM360)&amp;"")),""))))))</x:f>
      </x:c>
      <x:c r="HG360" t="str">
        <x:f>IF('Calculations'!EM360="","",IFERROR(IF(INDEX(INDIRECT("'WCM Calibration Final'!$B$1:$B$2000"),'Calculations'!$EM360)="","",TRIM(INDEX(INDIRECT("'WCM Calibration Final'!$B$1:$B$2000"),'Calculations'!$EM360)&amp;"")),""))</x:f>
      </x:c>
      <x:c r="HH360" t="n">
        <x:f>IF(AND('Calculations'!JC360&gt;0,COUNTIF('Calculations'!$HF$12:HF360,"="&amp;SUBSTITUTE(SUBSTITUTE(SUBSTITUTE('Calculations'!HF360,"~","~~"),"*","~*"),"?","~?"))=1),MAX('Calculations'!$HH$12:HH359)+1,0)</x:f>
        <x:v>0</x:v>
      </x:c>
      <x:c r="HI360" t="n">
        <x:f>IF(AND('Calculations'!HN360&lt;&gt;"",COUNTIF('Calculations'!$HN$12:HN360,"="&amp;SUBSTITUTE(SUBSTITUTE(SUBSTITUTE('Calculations'!HN360,"~","~~"),"*","~*"),"?","~?"))=1),MAX('Calculations'!$HI$12:HI359)+1,0)</x:f>
        <x:v>0</x:v>
      </x:c>
      <x:c r="HJ360" t="str">
        <x:f>IF('Calculations'!HF360="","",IF(COUNTIF('Calculations'!$HE$13:$HE$512,"="&amp;SUBSTITUTE(SUBSTITUTE(SUBSTITUTE('Calculations'!HF360,"~","~~"),"*","~*"),"?","~?"))=1,INDEX('Calculations'!$HK$13:$HK$512,MATCH('Calculations'!HF360,'Calculations'!$HE$13:$HE$512,0)),IFERROR(IF(INDEX(INDIRECT("'WCM Calibration Final'!$E$1:$E$2000"),'Calculations'!$EM360)="","",TRIM(INDEX(INDIRECT("'WCM Calibration Final'!$E$1:$E$2000"),'Calculations'!$EM360)&amp;"")),"")&amp;" ["&amp;'Calculations'!HF360&amp;"]"))</x:f>
      </x:c>
      <x:c r="HK360" t="str">
        <x:f>IF('Calculations'!EM360="","",'Calculations'!HG360&amp;" ["&amp;'Calculations'!HE360&amp;"]")</x:f>
      </x:c>
      <x:c r="HL360" t="n">
        <x:f>IF('Calculations'!EM360="",0,IF(OR('Calculations'!II360&lt;&gt;"",COUNTIF('Calculations'!$HE$13:$HE$512,"="&amp;SUBSTITUTE(SUBSTITUTE(SUBSTITUTE('Calculations'!HE360,"~","~~"),"*","~*"),"?","~?"))&gt;1),1,0))</x:f>
        <x:v>0</x:v>
      </x:c>
      <x:c r="HM360" t="str">
        <x:f>IF('Calculations'!EM360="","",IF('Calculations'!HL360=1,"!UNRESOLVED",IF('Calculations'!IH360&lt;&gt;"",'Calculations'!IH360,IF('Calculations'!IG360&lt;&gt;"",'Calculations'!IG360,IF('Calculations'!IF360&lt;&gt;"",'Calculations'!IF360,IF('Calculations'!IE360&lt;&gt;"",'Calculations'!IE360,IF('Calculations'!ID360&lt;&gt;"",'Calculations'!ID360,IF('Calculations'!IC360&lt;&gt;"",'Calculations'!IC360,IF('Calculations'!IB360&lt;&gt;"",'Calculations'!IB360,IF('Calculations'!IA360&lt;&gt;"",'Calculations'!IA360,IF('Calculations'!HZ360&lt;&gt;"",'Calculations'!HZ360,IF('Calculations'!HY360&lt;&gt;"",'Calculations'!HY360,IF('Calculations'!HX360&lt;&gt;"",'Calculations'!HX360,IF('Calculations'!HW360&lt;&gt;"",'Calculations'!HW360,IF('Calculations'!HV360&lt;&gt;"",'Calculations'!HV360,IF('Calculations'!HU360&lt;&gt;"",'Calculations'!HU360,IF('Calculations'!HT360&lt;&gt;"",'Calculations'!HT360,IF('Calculations'!HS360&lt;&gt;"",'Calculations'!HS360,IF('Calculations'!HR360&lt;&gt;"",'Calculations'!HR360,IF('Calculations'!HQ360&lt;&gt;"",'Calculations'!HQ360,IF('Calculations'!HP360&lt;&gt;"",'Calculations'!HP360,IF('Calculations'!HO360&lt;&gt;"",'Calculations'!HO360,'Calculations'!HE360))))))))))))))))))))))</x:f>
      </x:c>
      <x:c r="HN360" t="str">
        <x:f>IF('Calculations'!EM360="","",IF(IFERROR(IF(INDEX(INDIRECT("'WCM Calibration Final'!$F$1:$F$2000"),'Calculations'!$EM360)="","",TRIM(INDEX(INDIRECT("'WCM Calibration Final'!$F$1:$F$2000"),'Calculations'!$EM360)&amp;"")),"")="","(Blank)",IFERROR(IF(INDEX(INDIRECT("'WCM Calibration Final'!$F$1:$F$2000"),'Calculations'!$EM360)="","",TRIM(INDEX(INDIRECT("'WCM Calibration Final'!$F$1:$F$2000"),'Calculations'!$EM360)&amp;"")),"")))</x:f>
      </x:c>
      <x:c r="HO360" t="str">
        <x:f>'Calculations'!HF360</x:f>
      </x:c>
      <x:c r="HP360" t="str">
        <x:f>IF('Calculations'!HO360="","",IF('Calculations'!HO360="!AMBIG","!AMBIG",IF(COUNTIF('Calculations'!$HE$13:$HE$512,"="&amp;SUBSTITUTE(SUBSTITUTE(SUBSTITUTE('Calculations'!HO360,"~","~~"),"*","~*"),"?","~?"))&gt;1,"!AMBIG",IFERROR(INDEX('Calculations'!$HF$13:$HF$512,MATCH('Calculations'!HO360,'Calculations'!$HE$13:$HE$512,0)),""))))</x:f>
      </x:c>
      <x:c r="HQ360" t="str">
        <x:f>IF('Calculations'!HP360="","",IF('Calculations'!HP360="!AMBIG","!AMBIG",IF(COUNTIF('Calculations'!$HE$13:$HE$512,"="&amp;SUBSTITUTE(SUBSTITUTE(SUBSTITUTE('Calculations'!HP360,"~","~~"),"*","~*"),"?","~?"))&gt;1,"!AMBIG",IFERROR(INDEX('Calculations'!$HF$13:$HF$512,MATCH('Calculations'!HP360,'Calculations'!$HE$13:$HE$512,0)),""))))</x:f>
      </x:c>
      <x:c r="HR360" t="str">
        <x:f>IF('Calculations'!HQ360="","",IF('Calculations'!HQ360="!AMBIG","!AMBIG",IF(COUNTIF('Calculations'!$HE$13:$HE$512,"="&amp;SUBSTITUTE(SUBSTITUTE(SUBSTITUTE('Calculations'!HQ360,"~","~~"),"*","~*"),"?","~?"))&gt;1,"!AMBIG",IFERROR(INDEX('Calculations'!$HF$13:$HF$512,MATCH('Calculations'!HQ360,'Calculations'!$HE$13:$HE$512,0)),""))))</x:f>
      </x:c>
      <x:c r="HS360" t="str">
        <x:f>IF('Calculations'!HR360="","",IF('Calculations'!HR360="!AMBIG","!AMBIG",IF(COUNTIF('Calculations'!$HE$13:$HE$512,"="&amp;SUBSTITUTE(SUBSTITUTE(SUBSTITUTE('Calculations'!HR360,"~","~~"),"*","~*"),"?","~?"))&gt;1,"!AMBIG",IFERROR(INDEX('Calculations'!$HF$13:$HF$512,MATCH('Calculations'!HR360,'Calculations'!$HE$13:$HE$512,0)),""))))</x:f>
      </x:c>
      <x:c r="HT360" t="str">
        <x:f>IF('Calculations'!HS360="","",IF('Calculations'!HS360="!AMBIG","!AMBIG",IF(COUNTIF('Calculations'!$HE$13:$HE$512,"="&amp;SUBSTITUTE(SUBSTITUTE(SUBSTITUTE('Calculations'!HS360,"~","~~"),"*","~*"),"?","~?"))&gt;1,"!AMBIG",IFERROR(INDEX('Calculations'!$HF$13:$HF$512,MATCH('Calculations'!HS360,'Calculations'!$HE$13:$HE$512,0)),""))))</x:f>
      </x:c>
      <x:c r="HU360" t="str">
        <x:f>IF('Calculations'!HT360="","",IF('Calculations'!HT360="!AMBIG","!AMBIG",IF(COUNTIF('Calculations'!$HE$13:$HE$512,"="&amp;SUBSTITUTE(SUBSTITUTE(SUBSTITUTE('Calculations'!HT360,"~","~~"),"*","~*"),"?","~?"))&gt;1,"!AMBIG",IFERROR(INDEX('Calculations'!$HF$13:$HF$512,MATCH('Calculations'!HT360,'Calculations'!$HE$13:$HE$512,0)),""))))</x:f>
      </x:c>
      <x:c r="HV360" t="str">
        <x:f>IF('Calculations'!HU360="","",IF('Calculations'!HU360="!AMBIG","!AMBIG",IF(COUNTIF('Calculations'!$HE$13:$HE$512,"="&amp;SUBSTITUTE(SUBSTITUTE(SUBSTITUTE('Calculations'!HU360,"~","~~"),"*","~*"),"?","~?"))&gt;1,"!AMBIG",IFERROR(INDEX('Calculations'!$HF$13:$HF$512,MATCH('Calculations'!HU360,'Calculations'!$HE$13:$HE$512,0)),""))))</x:f>
      </x:c>
      <x:c r="HW360" t="str">
        <x:f>IF('Calculations'!HV360="","",IF('Calculations'!HV360="!AMBIG","!AMBIG",IF(COUNTIF('Calculations'!$HE$13:$HE$512,"="&amp;SUBSTITUTE(SUBSTITUTE(SUBSTITUTE('Calculations'!HV360,"~","~~"),"*","~*"),"?","~?"))&gt;1,"!AMBIG",IFERROR(INDEX('Calculations'!$HF$13:$HF$512,MATCH('Calculations'!HV360,'Calculations'!$HE$13:$HE$512,0)),""))))</x:f>
      </x:c>
      <x:c r="HX360" t="str">
        <x:f>IF('Calculations'!HW360="","",IF('Calculations'!HW360="!AMBIG","!AMBIG",IF(COUNTIF('Calculations'!$HE$13:$HE$512,"="&amp;SUBSTITUTE(SUBSTITUTE(SUBSTITUTE('Calculations'!HW360,"~","~~"),"*","~*"),"?","~?"))&gt;1,"!AMBIG",IFERROR(INDEX('Calculations'!$HF$13:$HF$512,MATCH('Calculations'!HW360,'Calculations'!$HE$13:$HE$512,0)),""))))</x:f>
      </x:c>
      <x:c r="HY360" t="str">
        <x:f>IF('Calculations'!HX360="","",IF('Calculations'!HX360="!AMBIG","!AMBIG",IF(COUNTIF('Calculations'!$HE$13:$HE$512,"="&amp;SUBSTITUTE(SUBSTITUTE(SUBSTITUTE('Calculations'!HX360,"~","~~"),"*","~*"),"?","~?"))&gt;1,"!AMBIG",IFERROR(INDEX('Calculations'!$HF$13:$HF$512,MATCH('Calculations'!HX360,'Calculations'!$HE$13:$HE$512,0)),""))))</x:f>
      </x:c>
      <x:c r="HZ360" t="str">
        <x:f>IF('Calculations'!HY360="","",IF('Calculations'!HY360="!AMBIG","!AMBIG",IF(COUNTIF('Calculations'!$HE$13:$HE$512,"="&amp;SUBSTITUTE(SUBSTITUTE(SUBSTITUTE('Calculations'!HY360,"~","~~"),"*","~*"),"?","~?"))&gt;1,"!AMBIG",IFERROR(INDEX('Calculations'!$HF$13:$HF$512,MATCH('Calculations'!HY360,'Calculations'!$HE$13:$HE$512,0)),""))))</x:f>
      </x:c>
      <x:c r="IA360" t="str">
        <x:f>IF('Calculations'!HZ360="","",IF('Calculations'!HZ360="!AMBIG","!AMBIG",IF(COUNTIF('Calculations'!$HE$13:$HE$512,"="&amp;SUBSTITUTE(SUBSTITUTE(SUBSTITUTE('Calculations'!HZ360,"~","~~"),"*","~*"),"?","~?"))&gt;1,"!AMBIG",IFERROR(INDEX('Calculations'!$HF$13:$HF$512,MATCH('Calculations'!HZ360,'Calculations'!$HE$13:$HE$512,0)),""))))</x:f>
      </x:c>
      <x:c r="IB360" t="str">
        <x:f>IF('Calculations'!IA360="","",IF('Calculations'!IA360="!AMBIG","!AMBIG",IF(COUNTIF('Calculations'!$HE$13:$HE$512,"="&amp;SUBSTITUTE(SUBSTITUTE(SUBSTITUTE('Calculations'!IA360,"~","~~"),"*","~*"),"?","~?"))&gt;1,"!AMBIG",IFERROR(INDEX('Calculations'!$HF$13:$HF$512,MATCH('Calculations'!IA360,'Calculations'!$HE$13:$HE$512,0)),""))))</x:f>
      </x:c>
      <x:c r="IC360" t="str">
        <x:f>IF('Calculations'!IB360="","",IF('Calculations'!IB360="!AMBIG","!AMBIG",IF(COUNTIF('Calculations'!$HE$13:$HE$512,"="&amp;SUBSTITUTE(SUBSTITUTE(SUBSTITUTE('Calculations'!IB360,"~","~~"),"*","~*"),"?","~?"))&gt;1,"!AMBIG",IFERROR(INDEX('Calculations'!$HF$13:$HF$512,MATCH('Calculations'!IB360,'Calculations'!$HE$13:$HE$512,0)),""))))</x:f>
      </x:c>
      <x:c r="ID360" t="str">
        <x:f>IF('Calculations'!IC360="","",IF('Calculations'!IC360="!AMBIG","!AMBIG",IF(COUNTIF('Calculations'!$HE$13:$HE$512,"="&amp;SUBSTITUTE(SUBSTITUTE(SUBSTITUTE('Calculations'!IC360,"~","~~"),"*","~*"),"?","~?"))&gt;1,"!AMBIG",IFERROR(INDEX('Calculations'!$HF$13:$HF$512,MATCH('Calculations'!IC360,'Calculations'!$HE$13:$HE$512,0)),""))))</x:f>
      </x:c>
      <x:c r="IE360" t="str">
        <x:f>IF('Calculations'!ID360="","",IF('Calculations'!ID360="!AMBIG","!AMBIG",IF(COUNTIF('Calculations'!$HE$13:$HE$512,"="&amp;SUBSTITUTE(SUBSTITUTE(SUBSTITUTE('Calculations'!ID360,"~","~~"),"*","~*"),"?","~?"))&gt;1,"!AMBIG",IFERROR(INDEX('Calculations'!$HF$13:$HF$512,MATCH('Calculations'!ID360,'Calculations'!$HE$13:$HE$512,0)),""))))</x:f>
      </x:c>
      <x:c r="IF360" t="str">
        <x:f>IF('Calculations'!IE360="","",IF('Calculations'!IE360="!AMBIG","!AMBIG",IF(COUNTIF('Calculations'!$HE$13:$HE$512,"="&amp;SUBSTITUTE(SUBSTITUTE(SUBSTITUTE('Calculations'!IE360,"~","~~"),"*","~*"),"?","~?"))&gt;1,"!AMBIG",IFERROR(INDEX('Calculations'!$HF$13:$HF$512,MATCH('Calculations'!IE360,'Calculations'!$HE$13:$HE$512,0)),""))))</x:f>
      </x:c>
      <x:c r="IG360" t="str">
        <x:f>IF('Calculations'!IF360="","",IF('Calculations'!IF360="!AMBIG","!AMBIG",IF(COUNTIF('Calculations'!$HE$13:$HE$512,"="&amp;SUBSTITUTE(SUBSTITUTE(SUBSTITUTE('Calculations'!IF360,"~","~~"),"*","~*"),"?","~?"))&gt;1,"!AMBIG",IFERROR(INDEX('Calculations'!$HF$13:$HF$512,MATCH('Calculations'!IF360,'Calculations'!$HE$13:$HE$512,0)),""))))</x:f>
      </x:c>
      <x:c r="IH360" t="str">
        <x:f>IF('Calculations'!IG360="","",IF('Calculations'!IG360="!AMBIG","!AMBIG",IF(COUNTIF('Calculations'!$HE$13:$HE$512,"="&amp;SUBSTITUTE(SUBSTITUTE(SUBSTITUTE('Calculations'!IG360,"~","~~"),"*","~*"),"?","~?"))&gt;1,"!AMBIG",IFERROR(INDEX('Calculations'!$HF$13:$HF$512,MATCH('Calculations'!IG360,'Calculations'!$HE$13:$HE$512,0)),""))))</x:f>
      </x:c>
      <x:c r="II360" t="str">
        <x:f>IF('Calculations'!IH360="","",IF('Calculations'!IH360="!AMBIG","!AMBIG",IF(COUNTIF('Calculations'!$HE$13:$HE$512,"="&amp;SUBSTITUTE(SUBSTITUTE(SUBSTITUTE('Calculations'!IH360,"~","~~"),"*","~*"),"?","~?"))&gt;1,"!AMBIG",IFERROR(INDEX('Calculations'!$HF$13:$HF$512,MATCH('Calculations'!IH360,'Calculations'!$HE$13:$HE$512,0)),""))))</x:f>
      </x:c>
      <x:c r="IJ360" t="str">
        <x:f>IF('Calculations'!EM360="","",IF('Calculations'!$EF$2="All",'Calculations'!HM360,IF('Calculations'!HL360=1,"",IFERROR(IF(MATCH('Calculations'!$EF$2,'Calculations'!HO360:II360,0)=1,'Calculations'!HE360,INDEX('Calculations'!HO360:II360,1,MATCH('Calculations'!$EF$2,'Calculations'!HO360:II360,0)-1)),""))))</x:f>
      </x:c>
      <x:c r="IK360" t="n">
        <x:f>IF(AND('Calculations'!EM360&lt;&gt;"",'Calculations'!$EF$2&lt;&gt;"All",'Calculations'!HF360='Calculations'!$EF$2,'Calculations'!HL360=0,'Calculations'!JD360&gt;0),MAX('Calculations'!$IK$12:IK359)+1,0)</x:f>
        <x:v>0</x:v>
      </x:c>
      <x:c r="JA360" t="n">
        <x:f>IF(OR(IFERROR(INDIRECT("'WCM Calibration Final'!$A$360")&lt;&gt;"",FALSE),IFERROR(INDIRECT("'WCM Calibration Final'!$B$360")&lt;&gt;"",FALSE),IFERROR(INDIRECT("'WCM Calibration Final'!$C$360")&lt;&gt;"",FALSE)),360,0)</x:f>
        <x:v>0</x:v>
      </x:c>
      <x:c r="JB360" t="n">
        <x:f>'Calculations'!JB359+IF('Calculations'!JA360&gt;0,1,0)</x:f>
        <x:v>0</x:v>
      </x:c>
      <x:c r="JC360" t="n">
        <x:f>IF(OR('Calculations'!HF360="",'Calculations'!HF360="!AMBIG"),0,IF('Dashboard'!$B$7="All",1,COUNTIFS('Calculations'!$HO$13:$HO$512,"="&amp;SUBSTITUTE(SUBSTITUTE(SUBSTITUTE('Calculations'!HF360,"~","~~"),"*","~*"),"?","~?"),'Calculations'!$HN$13:$HN$512,"="&amp;SUBSTITUTE(SUBSTITUTE(SUBSTITUTE('Dashboard'!$B$7,"~","~~"),"*","~*"),"?","~?"))+COUNTIFS('Calculations'!$HP$13:$HP$512,"="&amp;SUBSTITUTE(SUBSTITUTE(SUBSTITUTE('Calculations'!HF360,"~","~~"),"*","~*"),"?","~?"),'Calculations'!$HN$13:$HN$512,"="&amp;SUBSTITUTE(SUBSTITUTE(SUBSTITUTE('Dashboard'!$B$7,"~","~~"),"*","~*"),"?","~?"))+COUNTIFS('Calculations'!$HQ$13:$HQ$512,"="&amp;SUBSTITUTE(SUBSTITUTE(SUBSTITUTE('Calculations'!HF360,"~","~~"),"*","~*"),"?","~?"),'Calculations'!$HN$13:$HN$512,"="&amp;SUBSTITUTE(SUBSTITUTE(SUBSTITUTE('Dashboard'!$B$7,"~","~~"),"*","~*"),"?","~?"))+COUNTIFS('Calculations'!$HR$13:$HR$512,"="&amp;SUBSTITUTE(SUBSTITUTE(SUBSTITUTE('Calculations'!HF360,"~","~~"),"*","~*"),"?","~?"),'Calculations'!$HN$13:$HN$512,"="&amp;SUBSTITUTE(SUBSTITUTE(SUBSTITUTE('Dashboard'!$B$7,"~","~~"),"*","~*"),"?","~?"))+COUNTIFS('Calculations'!$HS$13:$HS$512,"="&amp;SUBSTITUTE(SUBSTITUTE(SUBSTITUTE('Calculations'!HF360,"~","~~"),"*","~*"),"?","~?"),'Calculations'!$HN$13:$HN$512,"="&amp;SUBSTITUTE(SUBSTITUTE(SUBSTITUTE('Dashboard'!$B$7,"~","~~"),"*","~*"),"?","~?"))+COUNTIFS('Calculations'!$HT$13:$HT$512,"="&amp;SUBSTITUTE(SUBSTITUTE(SUBSTITUTE('Calculations'!HF360,"~","~~"),"*","~*"),"?","~?"),'Calculations'!$HN$13:$HN$512,"="&amp;SUBSTITUTE(SUBSTITUTE(SUBSTITUTE('Dashboard'!$B$7,"~","~~"),"*","~*"),"?","~?"))+COUNTIFS('Calculations'!$HU$13:$HU$512,"="&amp;SUBSTITUTE(SUBSTITUTE(SUBSTITUTE('Calculations'!HF360,"~","~~"),"*","~*"),"?","~?"),'Calculations'!$HN$13:$HN$512,"="&amp;SUBSTITUTE(SUBSTITUTE(SUBSTITUTE('Dashboard'!$B$7,"~","~~"),"*","~*"),"?","~?"))+COUNTIFS('Calculations'!$HV$13:$HV$512,"="&amp;SUBSTITUTE(SUBSTITUTE(SUBSTITUTE('Calculations'!HF360,"~","~~"),"*","~*"),"?","~?"),'Calculations'!$HN$13:$HN$512,"="&amp;SUBSTITUTE(SUBSTITUTE(SUBSTITUTE('Dashboard'!$B$7,"~","~~"),"*","~*"),"?","~?"))+COUNTIFS('Calculations'!$HW$13:$HW$512,"="&amp;SUBSTITUTE(SUBSTITUTE(SUBSTITUTE('Calculations'!HF360,"~","~~"),"*","~*"),"?","~?"),'Calculations'!$HN$13:$HN$512,"="&amp;SUBSTITUTE(SUBSTITUTE(SUBSTITUTE('Dashboard'!$B$7,"~","~~"),"*","~*"),"?","~?"))+COUNTIFS('Calculations'!$HX$13:$HX$512,"="&amp;SUBSTITUTE(SUBSTITUTE(SUBSTITUTE('Calculations'!HF360,"~","~~"),"*","~*"),"?","~?"),'Calculations'!$HN$13:$HN$512,"="&amp;SUBSTITUTE(SUBSTITUTE(SUBSTITUTE('Dashboard'!$B$7,"~","~~"),"*","~*"),"?","~?"))+COUNTIFS('Calculations'!$HY$13:$HY$512,"="&amp;SUBSTITUTE(SUBSTITUTE(SUBSTITUTE('Calculations'!HF360,"~","~~"),"*","~*"),"?","~?"),'Calculations'!$HN$13:$HN$512,"="&amp;SUBSTITUTE(SUBSTITUTE(SUBSTITUTE('Dashboard'!$B$7,"~","~~"),"*","~*"),"?","~?"))+COUNTIFS('Calculations'!$HZ$13:$HZ$512,"="&amp;SUBSTITUTE(SUBSTITUTE(SUBSTITUTE('Calculations'!HF360,"~","~~"),"*","~*"),"?","~?"),'Calculations'!$HN$13:$HN$512,"="&amp;SUBSTITUTE(SUBSTITUTE(SUBSTITUTE('Dashboard'!$B$7,"~","~~"),"*","~*"),"?","~?"))+COUNTIFS('Calculations'!$IA$13:$IA$512,"="&amp;SUBSTITUTE(SUBSTITUTE(SUBSTITUTE('Calculations'!HF360,"~","~~"),"*","~*"),"?","~?"),'Calculations'!$HN$13:$HN$512,"="&amp;SUBSTITUTE(SUBSTITUTE(SUBSTITUTE('Dashboard'!$B$7,"~","~~"),"*","~*"),"?","~?"))+COUNTIFS('Calculations'!$IB$13:$IB$512,"="&amp;SUBSTITUTE(SUBSTITUTE(SUBSTITUTE('Calculations'!HF360,"~","~~"),"*","~*"),"?","~?"),'Calculations'!$HN$13:$HN$512,"="&amp;SUBSTITUTE(SUBSTITUTE(SUBSTITUTE('Dashboard'!$B$7,"~","~~"),"*","~*"),"?","~?"))+COUNTIFS('Calculations'!$IC$13:$IC$512,"="&amp;SUBSTITUTE(SUBSTITUTE(SUBSTITUTE('Calculations'!HF360,"~","~~"),"*","~*"),"?","~?"),'Calculations'!$HN$13:$HN$512,"="&amp;SUBSTITUTE(SUBSTITUTE(SUBSTITUTE('Dashboard'!$B$7,"~","~~"),"*","~*"),"?","~?"))+COUNTIFS('Calculations'!$ID$13:$ID$512,"="&amp;SUBSTITUTE(SUBSTITUTE(SUBSTITUTE('Calculations'!HF360,"~","~~"),"*","~*"),"?","~?"),'Calculations'!$HN$13:$HN$512,"="&amp;SUBSTITUTE(SUBSTITUTE(SUBSTITUTE('Dashboard'!$B$7,"~","~~"),"*","~*"),"?","~?"))+COUNTIFS('Calculations'!$IE$13:$IE$512,"="&amp;SUBSTITUTE(SUBSTITUTE(SUBSTITUTE('Calculations'!HF360,"~","~~"),"*","~*"),"?","~?"),'Calculations'!$HN$13:$HN$512,"="&amp;SUBSTITUTE(SUBSTITUTE(SUBSTITUTE('Dashboard'!$B$7,"~","~~"),"*","~*"),"?","~?"))+COUNTIFS('Calculations'!$IF$13:$IF$512,"="&amp;SUBSTITUTE(SUBSTITUTE(SUBSTITUTE('Calculations'!HF360,"~","~~"),"*","~*"),"?","~?"),'Calculations'!$HN$13:$HN$512,"="&amp;SUBSTITUTE(SUBSTITUTE(SUBSTITUTE('Dashboard'!$B$7,"~","~~"),"*","~*"),"?","~?"))+COUNTIFS('Calculations'!$IG$13:$IG$512,"="&amp;SUBSTITUTE(SUBSTITUTE(SUBSTITUTE('Calculations'!HF360,"~","~~"),"*","~*"),"?","~?"),'Calculations'!$HN$13:$HN$512,"="&amp;SUBSTITUTE(SUBSTITUTE(SUBSTITUTE('Dashboard'!$B$7,"~","~~"),"*","~*"),"?","~?"))+COUNTIFS('Calculations'!$IH$13:$IH$512,"="&amp;SUBSTITUTE(SUBSTITUTE(SUBSTITUTE('Calculations'!HF360,"~","~~"),"*","~*"),"?","~?"),'Calculations'!$HN$13:$HN$512,"="&amp;SUBSTITUTE(SUBSTITUTE(SUBSTITUTE('Dashboard'!$B$7,"~","~~"),"*","~*"),"?","~?"))))</x:f>
        <x:v>0</x:v>
      </x:c>
      <x:c r="JD360" t="n">
        <x:f>IF('Calculations'!EM360="",0,IF('Dashboard'!$B$7="All",1,IF('Calculations'!HN360='Dashboard'!$B$7,1,0)+IFERROR(INDEX('Calculations'!$JC$13:$JC$512,MATCH('Calculations'!HE360,'Calculations'!$HF$13:$HF$512,0)),0)))</x:f>
        <x:v>0</x:v>
      </x:c>
      <x:c r="JE360" t="n">
        <x:f>IF(AND('Calculations'!EM360&lt;&gt;"",'Calculations'!$JJ$2&lt;&gt;"All",'Calculations'!$JJ$2&lt;&gt;"",'Calculations'!HF360='Calculations'!$JJ$2,'Calculations'!HL360=0,'Calculations'!JD360&gt;0),MAX('Calculations'!$JE$12:JE359)+1,0)</x:f>
        <x:v>0</x:v>
      </x:c>
      <x:c r="JF360" t="str">
        <x:f>IF('Calculations'!EM360="","",IFERROR(IF(INDEX(INDIRECT("'WCM Calibration Final'!$G$1:$G$2000"),'Calculations'!$EM360)="","",TRIM(INDEX(INDIRECT("'WCM Calibration Final'!$G$1:$G$2000"),'Calculations'!$EM360)&amp;"")),""))</x:f>
      </x:c>
      <x:c r="JQ360" t="n">
        <x:f>IF(OR('Calculations'!BM360=0,NOT('Calculations'!$AG$2),'Calculations'!$AG$8&gt;0),0,IF(OR('Dashboard'!$B$7="All",'Calculations'!HN360='Dashboard'!$B$7),IF('Calculations'!$JJ$2="All",1,IF(AND('Calculations'!HF360='Calculations'!$JJ$2,'Calculations'!HL360=0),1,0)),0))</x:f>
        <x:v>0</x:v>
      </x:c>
    </x:row>
    <x:row r="361">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t="n">
        <x:f>IF('Calculations'!$EM361="",0,IF(OR(IFERROR(INDEX(INDIRECT("'WCM Calibration Final'!$A$1:$A$2000"),'Calculations'!$EM361)&lt;&gt;"",FALSE),IFERROR(INDEX(INDIRECT("'WCM Calibration Final'!$B$1:$B$2000"),'Calculations'!$EM361)&lt;&gt;"",FALSE),IFERROR(INDEX(INDIRECT("'WCM Calibration Final'!$C$1:$C$2000"),'Calculations'!$EM361)&lt;&gt;"",FALSE)),1,0))</x:f>
        <x:v>0</x:v>
      </x:c>
      <x:c r="BN361" s="4" t="n">
        <x:f>IF(AND('Calculations'!BM361=1,'Calculations'!$AG$2,'Calculations'!$EN361=1),1,0)</x:f>
        <x:v>0</x:v>
      </x:c>
      <x:c r="BO361" s="4" t="str">
        <x:f>IF('Calculations'!BM361=0,"",IFERROR(IF(AND(VALUE(INDEX(INDIRECT("'WCM Calibration Final'!$K$1:$K$2000"),'Calculations'!$EM361))&gt;=1,VALUE(INDEX(INDIRECT("'WCM Calibration Final'!$K$1:$K$2000"),'Calculations'!$EM361))&lt;=4,MOD(VALUE(INDEX(INDIRECT("'WCM Calibration Final'!$K$1:$K$2000"),'Calculations'!$EM361)),1)=0),VALUE(INDEX(INDIRECT("'WCM Calibration Final'!$K$1:$K$2000"),'Calculations'!$EM361)),""),""))</x:f>
      </x:c>
      <x:c r="BP361" s="4" t="str">
        <x:f>IF('Calculations'!BM361=0,"",IFERROR(IF(AND(VALUE(INDEX(INDIRECT("'WCM Calibration Final'!$L$1:$L$2000"),'Calculations'!$EM361))&gt;=1,VALUE(INDEX(INDIRECT("'WCM Calibration Final'!$L$1:$L$2000"),'Calculations'!$EM361))&lt;=4,MOD(VALUE(INDEX(INDIRECT("'WCM Calibration Final'!$L$1:$L$2000"),'Calculations'!$EM361)),1)=0),VALUE(INDEX(INDIRECT("'WCM Calibration Final'!$L$1:$L$2000"),'Calculations'!$EM361)),""),""))</x:f>
      </x:c>
      <x:c r="BQ361" s="4"/>
      <x:c r="BR361" s="4"/>
      <x:c r="BS361" s="4"/>
      <x:c r="BT361" s="4" t="n">
        <x:f>IF(AND('Calculations'!BM361=1,ISNUMBER('Calculations'!BO361),ISNUMBER('Calculations'!BP361)),1,0)</x:f>
        <x:v>0</x:v>
      </x:c>
      <x:c r="BU361" s="4" t="str">
        <x:f>IF('Calculations'!BM361=0,"",'Calculations'!$EO361)</x:f>
      </x:c>
      <x:c r="BV361" s="4" t="str">
        <x:f>IF('Calculations'!BM361=0,"",IFERROR(IF(OR(INDEX(INDIRECT("'WCM Calibration Final'!$H$1:$H$2000"),'Calculations'!$EM361)="MANAGING DIRECTOR",INDEX(INDIRECT("'WCM Calibration Final'!$H$1:$H$2000"),'Calculations'!$EM361)="DIRECTOR",INDEX(INDIRECT("'WCM Calibration Final'!$H$1:$H$2000"),'Calculations'!$EM361)="SENIOR VICE PRESIDENT",INDEX(INDIRECT("'WCM Calibration Final'!$H$1:$H$2000"),'Calculations'!$EM361)="VICE PRESIDENT",INDEX(INDIRECT("'WCM Calibration Final'!$H$1:$H$2000"),'Calculations'!$EM361)="ASSISTANT VICE PRESIDENT",INDEX(INDIRECT("'WCM Calibration Final'!$H$1:$H$2000"),'Calculations'!$EM361)="OFFICER"),UPPER(INDEX(INDIRECT("'WCM Calibration Final'!$H$1:$H$2000"),'Calculations'!$EM361)),"Other"),"Other"))</x:f>
      </x:c>
      <x:c r="BW361" s="4"/>
      <x:c r="BX361" s="4"/>
      <x:c r="BY361" s="4" t="n">
        <x:f>IF(AND('Calculations'!BM361=1,'Calculations'!BU361&lt;&gt;"",COUNTIF('Calculations'!$BU$12:BU361,'Calculations'!BU361)=1),MAX('Calculations'!$BY$11:BY360)+1,0)</x:f>
        <x:v>0</x:v>
      </x:c>
      <x:c r="BZ361" s="4" t="str">
        <x:f>IF('Dashboard'!$E$67="What",'Calculations'!BO361,'Calculations'!BP361)</x:f>
      </x:c>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t="str">
        <x:f>IF(350&gt;MAX('Calculations'!$HI$13:$HI$512),"",INDEX('Calculations'!$HN$13:$HN$512,MATCH(350,'Calculations'!$HI$13:$HI$512,0)))</x:f>
      </x:c>
      <x:c r="DB361" s="4" t="str">
        <x:f>IF(350&gt;MAX('Calculations'!$HH$13:$HH$512),"",INDEX('Calculations'!$HJ$13:$HJ$512,MATCH(350,'Calculations'!$HH$13:$HH$512,0)))</x:f>
      </x:c>
      <x:c r="DC361" s="4" t="str">
        <x:f>IF(ROW()-11&gt;MAX('Calculations'!$BY$13:$BY$512),"",INDEX('Calculations'!$BU$13:$BU$512,MATCH(ROW()-11,'Calculations'!$BY$13:$BY$512,0)))</x:f>
      </x:c>
      <x:c r="DD361" s="4" t="str">
        <x:f>IF(350&gt;MAX('Calculations'!$IK$13:$IK$512),"",INDEX('Calculations'!$HK$13:$HK$512,MATCH(350,'Calculations'!$IK$13:$IK$512,0)))</x:f>
      </x:c>
      <x:c r="DE361" s="4" t="str">
        <x:f>'Calculations'!DC361</x:f>
      </x:c>
      <x:c r="DF361" s="4" t="str">
        <x:f>IF('Calculations'!DE361="","",COUNTIFS('Calculations'!$BN$13:$BN$512,1,'Calculations'!$BU$13:$BU$512,'Calculations'!DE361))</x:f>
      </x:c>
      <x:c r="DG361" s="4" t="str">
        <x:f>IF('Calculations'!DE361="","",COUNTIFS('Calculations'!$BN$13:$BN$512,1,'Calculations'!$BU$13:$BU$512,'Calculations'!DE361,'Calculations'!$BT$13:$BT$512,1))</x:f>
      </x:c>
      <x:c r="DH361" s="4" t="str">
        <x:f>IF('Calculations'!DE361="","",'Calculations'!DF361-'Calculations'!DG361)</x:f>
      </x:c>
      <x:c r="DI361" s="4" t="str">
        <x:f>IF(OR('Calculations'!DE361="",'Calculations'!DF361=0),"",'Calculations'!DG361/'Calculations'!DF361)</x:f>
      </x:c>
      <x:c r="DJ361" s="4" t="str">
        <x:f>IF('Calculations'!DE361="","",COUNTIFS('Calculations'!$BN$13:$BN$512,1,'Calculations'!$BU$13:$BU$512,'Calculations'!DE361,'Calculations'!$BT$13:$BT$512,1,'Calculations'!$EE$13:$EE$512,"High"))</x:f>
      </x:c>
      <x:c r="DK361" s="4" t="str">
        <x:f>IF('Calculations'!DE361="","",COUNTIFS('Calculations'!$BN$13:$BN$512,1,'Calculations'!$BU$13:$BU$512,'Calculations'!DE361,'Calculations'!$BT$13:$BT$512,1,'Calculations'!$EE$13:$EE$512,"Strong"))</x:f>
      </x:c>
      <x:c r="DL361" s="4" t="str">
        <x:f>IF('Calculations'!DE361="","",COUNTIFS('Calculations'!$BN$13:$BN$512,1,'Calculations'!$BU$13:$BU$512,'Calculations'!DE361,'Calculations'!$BT$13:$BT$512,1,'Calculations'!$EE$13:$EE$512,"Solid"))</x:f>
      </x:c>
      <x:c r="DM361" s="4" t="str">
        <x:f>IF('Calculations'!DE361="","",COUNTIFS('Calculations'!$BN$13:$BN$512,1,'Calculations'!$BU$13:$BU$512,'Calculations'!DE361,'Calculations'!$BT$13:$BT$512,1,'Calculations'!$EE$13:$EE$512,"Low"))</x:f>
      </x:c>
      <x:c r="DN361" s="4" t="str">
        <x:f>IF('Calculations'!DE361="","",COUNTIFS('Calculations'!$BN$13:$BN$512,1,'Calculations'!$BU$13:$BU$512,'Calculations'!DE361,'Calculations'!$EP$13:$EP$512,1))</x:f>
      </x:c>
      <x:c r="DO361" s="4" t="str">
        <x:f>IF(OR('Calculations'!DE361="",'Calculations'!DG361=0),"",('Calculations'!DJ361+'Calculations'!DK361)/'Calculations'!DG361)</x:f>
      </x:c>
      <x:c r="DP361" s="4" t="n">
        <x:f>IF(AND('Calculations'!DE361&lt;&gt;"",'Calculations'!DF361&gt;0),COUNTIF('Calculations'!$DF$12:DF361,"&gt;0"),0)</x:f>
        <x:v>0</x:v>
      </x:c>
      <x:c r="DQ361" s="4" t="str">
        <x:f>IF(350&gt;MAX('Calculations'!$HH$13:$HH$512),"",INDEX('Calculations'!$HF$13:$HF$512,MATCH(350,'Calculations'!$HH$13:$HH$512,0)))</x:f>
      </x:c>
      <x:c r="DR361" s="4" t="str">
        <x:f>IF(350&gt;MAX('Calculations'!$IK$13:$IK$512),"",INDEX('Calculations'!$HE$13:$HE$512,MATCH(350,'Calculations'!$IK$13:$IK$512,0)))</x:f>
      </x:c>
      <x:c r="DS361" s="4"/>
      <x:c r="DT361" s="4"/>
      <x:c r="DU361" s="4"/>
      <x:c r="DV361" s="4"/>
      <x:c r="DW361" s="4"/>
      <x:c r="DX361" s="4"/>
      <x:c r="DY361" s="4"/>
      <x:c r="DZ361" s="4"/>
      <x:c r="EA361" s="4"/>
      <x:c r="EB361" s="4"/>
      <x:c r="EC361" s="4"/>
      <x:c r="ED361" s="4"/>
      <x:c r="EE361" s="4" t="str">
        <x:f>IF('Calculations'!BT361=0,"Not Rated",IF(OR('Calculations'!BO361&gt;=4,'Calculations'!BP361&gt;=4),"Low",IF('Calculations'!BO361+'Calculations'!BP361&lt;=3,"High",IF('Calculations'!BO361+'Calculations'!BP361&lt;=4,"Strong","Solid"))))</x:f>
        <x:v>Not Rated</x:v>
      </x:c>
      <x:c r="EF361" s="4"/>
      <x:c r="EG361" s="4"/>
      <x:c r="EH361" s="4"/>
      <x:c r="EI361" s="4"/>
      <x:c r="EJ361" s="4"/>
      <x:c r="EK361" s="4"/>
      <x:c r="EL361" s="4"/>
      <x:c r="EM361" s="4" t="str">
        <x:f>IF(349&gt;'Calculations'!$JB$2000,"",INDEX('Calculations'!$JA$12:$JA$2000,MATCH(349,'Calculations'!$JB$12:$JB$2000,0)))</x:f>
      </x:c>
      <x:c r="EN361" s="4" t="n">
        <x:f>IF(OR('Calculations'!EM361="",'Calculations'!$AG$8&gt;0,AND('Calculations'!$EF$2&lt;&gt;"All",'Calculations'!HE361='Calculations'!$EF$2),AND('Calculations'!$EF$3&lt;&gt;"All",'Calculations'!HE361='Calculations'!$EF$3)),0,IF(OR('Dashboard'!$B$7="All",'Calculations'!HN361='Dashboard'!$B$7),IF('Calculations'!$EF$2="All",1,IF('Calculations'!HL361&gt;0,0,IF(COUNTIF('Calculations'!HO361:II361,"="&amp;SUBSTITUTE(SUBSTITUTE(SUBSTITUTE('Calculations'!$EF$2,"~","~~"),"*","~*"),"?","~?"))=0,0,IF('Calculations'!$EF$3="All",1,IF(COUNTIF('Calculations'!HO361:II361,"="&amp;SUBSTITUTE(SUBSTITUTE(SUBSTITUTE('Calculations'!$EF$3,"~","~~"),"*","~*"),"?","~?"))&gt;0,1,0))))),0))</x:f>
        <x:v>0</x:v>
      </x:c>
      <x:c r="EO361" s="4" t="str">
        <x:f>IF('Calculations'!IJ361="","",IF('Calculations'!IJ361="!UNRESOLVED","Unresolved hierarchy",IFERROR(INDEX('Calculations'!$HK$13:$HK$512,MATCH('Calculations'!IJ361,'Calculations'!$HE$13:$HE$512,0)),IFERROR(INDEX('Calculations'!$HJ$13:$HJ$512,MATCH('Calculations'!IJ361,'Calculations'!$HF$13:$HF$512,0)),'Calculations'!IJ361))))</x:f>
      </x:c>
      <x:c r="EP361" s="4" t="n">
        <x:f>IF(AND('Calculations'!EM361&lt;&gt;"",'Calculations'!HF361='Calculations'!IJ361),1,0)</x:f>
        <x:v>0</x:v>
      </x:c>
      <x:c r="EQ361" s="4"/>
      <x:c r="ER361" s="4"/>
      <x:c r="ES361" s="4"/>
      <x:c r="ET361" s="4"/>
      <x:c r="EU361" s="4"/>
      <x:c r="EV361" s="4"/>
      <x:c r="EW361" s="4"/>
      <x:c r="EX361" s="4"/>
      <x:c r="EY361" s="4"/>
      <x:c r="EZ361" s="4"/>
      <x:c r="FA361" s="4"/>
      <x:c r="FB361" s="4"/>
      <x:c r="FC361" s="4"/>
      <x:c r="FD361" s="4"/>
      <x:c r="FE361" s="4"/>
      <x:c r="FF361" s="4"/>
      <x:c r="FG361" s="4"/>
      <x:c r="FH361" s="4"/>
      <x:c r="FI361" s="4"/>
      <x:c r="FJ361" s="4"/>
      <x:c r="FK361" s="4"/>
      <x:c r="FL361" s="4"/>
      <x:c r="FM361" s="4"/>
      <x:c r="FN361" s="4"/>
      <x:c r="FO361" s="4"/>
      <x:c r="HE361" t="str">
        <x:f>IF('Calculations'!EM361="","",IF(IFERROR(IF(INDEX(INDIRECT("'WCM Calibration Final'!$A$1:$A$2000"),'Calculations'!$EM361)="","",TRIM(INDEX(INDIRECT("'WCM Calibration Final'!$A$1:$A$2000"),'Calculations'!$EM361)&amp;"")),"")&lt;&gt;"","G:"&amp;IFERROR(TEXT(1*INDEX(INDIRECT("'WCM Calibration Final'!$A$1:$A$2000"),'Calculations'!$EM361),"0"),UPPER(IFERROR(IF(INDEX(INDIRECT("'WCM Calibration Final'!$A$1:$A$2000"),'Calculations'!$EM361)="","",TRIM(INDEX(INDIRECT("'WCM Calibration Final'!$A$1:$A$2000"),'Calculations'!$EM361)&amp;"")),""))),IF(IFERROR(IF(INDEX(INDIRECT("'WCM Calibration Final'!$C$1:$C$2000"),'Calculations'!$EM361)="","",TRIM(INDEX(INDIRECT("'WCM Calibration Final'!$C$1:$C$2000"),'Calculations'!$EM361)&amp;"")),"")&lt;&gt;"","S:"&amp;UPPER(IFERROR(IF(INDEX(INDIRECT("'WCM Calibration Final'!$C$1:$C$2000"),'Calculations'!$EM361)="","",TRIM(INDEX(INDIRECT("'WCM Calibration Final'!$C$1:$C$2000"),'Calculations'!$EM361)&amp;"")),"")),"R:"&amp;'Calculations'!EM361)))</x:f>
      </x:c>
      <x:c r="HF361" t="str">
        <x:f>IF('Calculations'!EM361="","",IF(IFERROR(IF(INDEX(INDIRECT("'WCM Calibration Final'!$D$1:$D$2000"),'Calculations'!$EM361)="","",TRIM(INDEX(INDIRECT("'WCM Calibration Final'!$D$1:$D$2000"),'Calculations'!$EM361)&amp;"")),"")&lt;&gt;"","G:"&amp;IFERROR(TEXT(1*INDEX(INDIRECT("'WCM Calibration Final'!$D$1:$D$2000"),'Calculations'!$EM361),"0"),UPPER(IFERROR(IF(INDEX(INDIRECT("'WCM Calibration Final'!$D$1:$D$2000"),'Calculations'!$EM361)="","",TRIM(INDEX(INDIRECT("'WCM Calibration Final'!$D$1:$D$2000"),'Calculations'!$EM361)&amp;"")),""))),IF(IFERROR(IF(INDEX(INDIRECT("'WCM Calibration Final'!$E$1:$E$2000"),'Calculations'!$EM361)="","",TRIM(INDEX(INDIRECT("'WCM Calibration Final'!$E$1:$E$2000"),'Calculations'!$EM361)&amp;"")),"")="","",IF(COUNTIF('Calculations'!$HG$13:$HG$512,"="&amp;SUBSTITUTE(SUBSTITUTE(SUBSTITUTE(IFERROR(IF(INDEX(INDIRECT("'WCM Calibration Final'!$E$1:$E$2000"),'Calculations'!$EM361)="","",TRIM(INDEX(INDIRECT("'WCM Calibration Final'!$E$1:$E$2000"),'Calculations'!$EM361)&amp;"")),""),"~","~~"),"*","~*"),"?","~?"))=1,INDEX('Calculations'!$HE$13:$HE$512,MATCH(IFERROR(IF(INDEX(INDIRECT("'WCM Calibration Final'!$E$1:$E$2000"),'Calculations'!$EM361)="","",TRIM(INDEX(INDIRECT("'WCM Calibration Final'!$E$1:$E$2000"),'Calculations'!$EM361)&amp;"")),""),'Calculations'!$HG$13:$HG$512,0)),IF(COUNTIF('Calculations'!$HG$13:$HG$512,"="&amp;SUBSTITUTE(SUBSTITUTE(SUBSTITUTE(IFERROR(IF(INDEX(INDIRECT("'WCM Calibration Final'!$E$1:$E$2000"),'Calculations'!$EM361)="","",TRIM(INDEX(INDIRECT("'WCM Calibration Final'!$E$1:$E$2000"),'Calculations'!$EM361)&amp;"")),""),"~","~~"),"*","~*"),"?","~?"))&gt;1,"!AMBIG","X:"&amp;IFERROR(IF(INDEX(INDIRECT("'WCM Calibration Final'!$E$1:$E$2000"),'Calculations'!$EM361)="","",TRIM(INDEX(INDIRECT("'WCM Calibration Final'!$E$1:$E$2000"),'Calculations'!$EM361)&amp;"")),""))))))</x:f>
      </x:c>
      <x:c r="HG361" t="str">
        <x:f>IF('Calculations'!EM361="","",IFERROR(IF(INDEX(INDIRECT("'WCM Calibration Final'!$B$1:$B$2000"),'Calculations'!$EM361)="","",TRIM(INDEX(INDIRECT("'WCM Calibration Final'!$B$1:$B$2000"),'Calculations'!$EM361)&amp;"")),""))</x:f>
      </x:c>
      <x:c r="HH361" t="n">
        <x:f>IF(AND('Calculations'!JC361&gt;0,COUNTIF('Calculations'!$HF$12:HF361,"="&amp;SUBSTITUTE(SUBSTITUTE(SUBSTITUTE('Calculations'!HF361,"~","~~"),"*","~*"),"?","~?"))=1),MAX('Calculations'!$HH$12:HH360)+1,0)</x:f>
        <x:v>0</x:v>
      </x:c>
      <x:c r="HI361" t="n">
        <x:f>IF(AND('Calculations'!HN361&lt;&gt;"",COUNTIF('Calculations'!$HN$12:HN361,"="&amp;SUBSTITUTE(SUBSTITUTE(SUBSTITUTE('Calculations'!HN361,"~","~~"),"*","~*"),"?","~?"))=1),MAX('Calculations'!$HI$12:HI360)+1,0)</x:f>
        <x:v>0</x:v>
      </x:c>
      <x:c r="HJ361" t="str">
        <x:f>IF('Calculations'!HF361="","",IF(COUNTIF('Calculations'!$HE$13:$HE$512,"="&amp;SUBSTITUTE(SUBSTITUTE(SUBSTITUTE('Calculations'!HF361,"~","~~"),"*","~*"),"?","~?"))=1,INDEX('Calculations'!$HK$13:$HK$512,MATCH('Calculations'!HF361,'Calculations'!$HE$13:$HE$512,0)),IFERROR(IF(INDEX(INDIRECT("'WCM Calibration Final'!$E$1:$E$2000"),'Calculations'!$EM361)="","",TRIM(INDEX(INDIRECT("'WCM Calibration Final'!$E$1:$E$2000"),'Calculations'!$EM361)&amp;"")),"")&amp;" ["&amp;'Calculations'!HF361&amp;"]"))</x:f>
      </x:c>
      <x:c r="HK361" t="str">
        <x:f>IF('Calculations'!EM361="","",'Calculations'!HG361&amp;" ["&amp;'Calculations'!HE361&amp;"]")</x:f>
      </x:c>
      <x:c r="HL361" t="n">
        <x:f>IF('Calculations'!EM361="",0,IF(OR('Calculations'!II361&lt;&gt;"",COUNTIF('Calculations'!$HE$13:$HE$512,"="&amp;SUBSTITUTE(SUBSTITUTE(SUBSTITUTE('Calculations'!HE361,"~","~~"),"*","~*"),"?","~?"))&gt;1),1,0))</x:f>
        <x:v>0</x:v>
      </x:c>
      <x:c r="HM361" t="str">
        <x:f>IF('Calculations'!EM361="","",IF('Calculations'!HL361=1,"!UNRESOLVED",IF('Calculations'!IH361&lt;&gt;"",'Calculations'!IH361,IF('Calculations'!IG361&lt;&gt;"",'Calculations'!IG361,IF('Calculations'!IF361&lt;&gt;"",'Calculations'!IF361,IF('Calculations'!IE361&lt;&gt;"",'Calculations'!IE361,IF('Calculations'!ID361&lt;&gt;"",'Calculations'!ID361,IF('Calculations'!IC361&lt;&gt;"",'Calculations'!IC361,IF('Calculations'!IB361&lt;&gt;"",'Calculations'!IB361,IF('Calculations'!IA361&lt;&gt;"",'Calculations'!IA361,IF('Calculations'!HZ361&lt;&gt;"",'Calculations'!HZ361,IF('Calculations'!HY361&lt;&gt;"",'Calculations'!HY361,IF('Calculations'!HX361&lt;&gt;"",'Calculations'!HX361,IF('Calculations'!HW361&lt;&gt;"",'Calculations'!HW361,IF('Calculations'!HV361&lt;&gt;"",'Calculations'!HV361,IF('Calculations'!HU361&lt;&gt;"",'Calculations'!HU361,IF('Calculations'!HT361&lt;&gt;"",'Calculations'!HT361,IF('Calculations'!HS361&lt;&gt;"",'Calculations'!HS361,IF('Calculations'!HR361&lt;&gt;"",'Calculations'!HR361,IF('Calculations'!HQ361&lt;&gt;"",'Calculations'!HQ361,IF('Calculations'!HP361&lt;&gt;"",'Calculations'!HP361,IF('Calculations'!HO361&lt;&gt;"",'Calculations'!HO361,'Calculations'!HE361))))))))))))))))))))))</x:f>
      </x:c>
      <x:c r="HN361" t="str">
        <x:f>IF('Calculations'!EM361="","",IF(IFERROR(IF(INDEX(INDIRECT("'WCM Calibration Final'!$F$1:$F$2000"),'Calculations'!$EM361)="","",TRIM(INDEX(INDIRECT("'WCM Calibration Final'!$F$1:$F$2000"),'Calculations'!$EM361)&amp;"")),"")="","(Blank)",IFERROR(IF(INDEX(INDIRECT("'WCM Calibration Final'!$F$1:$F$2000"),'Calculations'!$EM361)="","",TRIM(INDEX(INDIRECT("'WCM Calibration Final'!$F$1:$F$2000"),'Calculations'!$EM361)&amp;"")),"")))</x:f>
      </x:c>
      <x:c r="HO361" t="str">
        <x:f>'Calculations'!HF361</x:f>
      </x:c>
      <x:c r="HP361" t="str">
        <x:f>IF('Calculations'!HO361="","",IF('Calculations'!HO361="!AMBIG","!AMBIG",IF(COUNTIF('Calculations'!$HE$13:$HE$512,"="&amp;SUBSTITUTE(SUBSTITUTE(SUBSTITUTE('Calculations'!HO361,"~","~~"),"*","~*"),"?","~?"))&gt;1,"!AMBIG",IFERROR(INDEX('Calculations'!$HF$13:$HF$512,MATCH('Calculations'!HO361,'Calculations'!$HE$13:$HE$512,0)),""))))</x:f>
      </x:c>
      <x:c r="HQ361" t="str">
        <x:f>IF('Calculations'!HP361="","",IF('Calculations'!HP361="!AMBIG","!AMBIG",IF(COUNTIF('Calculations'!$HE$13:$HE$512,"="&amp;SUBSTITUTE(SUBSTITUTE(SUBSTITUTE('Calculations'!HP361,"~","~~"),"*","~*"),"?","~?"))&gt;1,"!AMBIG",IFERROR(INDEX('Calculations'!$HF$13:$HF$512,MATCH('Calculations'!HP361,'Calculations'!$HE$13:$HE$512,0)),""))))</x:f>
      </x:c>
      <x:c r="HR361" t="str">
        <x:f>IF('Calculations'!HQ361="","",IF('Calculations'!HQ361="!AMBIG","!AMBIG",IF(COUNTIF('Calculations'!$HE$13:$HE$512,"="&amp;SUBSTITUTE(SUBSTITUTE(SUBSTITUTE('Calculations'!HQ361,"~","~~"),"*","~*"),"?","~?"))&gt;1,"!AMBIG",IFERROR(INDEX('Calculations'!$HF$13:$HF$512,MATCH('Calculations'!HQ361,'Calculations'!$HE$13:$HE$512,0)),""))))</x:f>
      </x:c>
      <x:c r="HS361" t="str">
        <x:f>IF('Calculations'!HR361="","",IF('Calculations'!HR361="!AMBIG","!AMBIG",IF(COUNTIF('Calculations'!$HE$13:$HE$512,"="&amp;SUBSTITUTE(SUBSTITUTE(SUBSTITUTE('Calculations'!HR361,"~","~~"),"*","~*"),"?","~?"))&gt;1,"!AMBIG",IFERROR(INDEX('Calculations'!$HF$13:$HF$512,MATCH('Calculations'!HR361,'Calculations'!$HE$13:$HE$512,0)),""))))</x:f>
      </x:c>
      <x:c r="HT361" t="str">
        <x:f>IF('Calculations'!HS361="","",IF('Calculations'!HS361="!AMBIG","!AMBIG",IF(COUNTIF('Calculations'!$HE$13:$HE$512,"="&amp;SUBSTITUTE(SUBSTITUTE(SUBSTITUTE('Calculations'!HS361,"~","~~"),"*","~*"),"?","~?"))&gt;1,"!AMBIG",IFERROR(INDEX('Calculations'!$HF$13:$HF$512,MATCH('Calculations'!HS361,'Calculations'!$HE$13:$HE$512,0)),""))))</x:f>
      </x:c>
      <x:c r="HU361" t="str">
        <x:f>IF('Calculations'!HT361="","",IF('Calculations'!HT361="!AMBIG","!AMBIG",IF(COUNTIF('Calculations'!$HE$13:$HE$512,"="&amp;SUBSTITUTE(SUBSTITUTE(SUBSTITUTE('Calculations'!HT361,"~","~~"),"*","~*"),"?","~?"))&gt;1,"!AMBIG",IFERROR(INDEX('Calculations'!$HF$13:$HF$512,MATCH('Calculations'!HT361,'Calculations'!$HE$13:$HE$512,0)),""))))</x:f>
      </x:c>
      <x:c r="HV361" t="str">
        <x:f>IF('Calculations'!HU361="","",IF('Calculations'!HU361="!AMBIG","!AMBIG",IF(COUNTIF('Calculations'!$HE$13:$HE$512,"="&amp;SUBSTITUTE(SUBSTITUTE(SUBSTITUTE('Calculations'!HU361,"~","~~"),"*","~*"),"?","~?"))&gt;1,"!AMBIG",IFERROR(INDEX('Calculations'!$HF$13:$HF$512,MATCH('Calculations'!HU361,'Calculations'!$HE$13:$HE$512,0)),""))))</x:f>
      </x:c>
      <x:c r="HW361" t="str">
        <x:f>IF('Calculations'!HV361="","",IF('Calculations'!HV361="!AMBIG","!AMBIG",IF(COUNTIF('Calculations'!$HE$13:$HE$512,"="&amp;SUBSTITUTE(SUBSTITUTE(SUBSTITUTE('Calculations'!HV361,"~","~~"),"*","~*"),"?","~?"))&gt;1,"!AMBIG",IFERROR(INDEX('Calculations'!$HF$13:$HF$512,MATCH('Calculations'!HV361,'Calculations'!$HE$13:$HE$512,0)),""))))</x:f>
      </x:c>
      <x:c r="HX361" t="str">
        <x:f>IF('Calculations'!HW361="","",IF('Calculations'!HW361="!AMBIG","!AMBIG",IF(COUNTIF('Calculations'!$HE$13:$HE$512,"="&amp;SUBSTITUTE(SUBSTITUTE(SUBSTITUTE('Calculations'!HW361,"~","~~"),"*","~*"),"?","~?"))&gt;1,"!AMBIG",IFERROR(INDEX('Calculations'!$HF$13:$HF$512,MATCH('Calculations'!HW361,'Calculations'!$HE$13:$HE$512,0)),""))))</x:f>
      </x:c>
      <x:c r="HY361" t="str">
        <x:f>IF('Calculations'!HX361="","",IF('Calculations'!HX361="!AMBIG","!AMBIG",IF(COUNTIF('Calculations'!$HE$13:$HE$512,"="&amp;SUBSTITUTE(SUBSTITUTE(SUBSTITUTE('Calculations'!HX361,"~","~~"),"*","~*"),"?","~?"))&gt;1,"!AMBIG",IFERROR(INDEX('Calculations'!$HF$13:$HF$512,MATCH('Calculations'!HX361,'Calculations'!$HE$13:$HE$512,0)),""))))</x:f>
      </x:c>
      <x:c r="HZ361" t="str">
        <x:f>IF('Calculations'!HY361="","",IF('Calculations'!HY361="!AMBIG","!AMBIG",IF(COUNTIF('Calculations'!$HE$13:$HE$512,"="&amp;SUBSTITUTE(SUBSTITUTE(SUBSTITUTE('Calculations'!HY361,"~","~~"),"*","~*"),"?","~?"))&gt;1,"!AMBIG",IFERROR(INDEX('Calculations'!$HF$13:$HF$512,MATCH('Calculations'!HY361,'Calculations'!$HE$13:$HE$512,0)),""))))</x:f>
      </x:c>
      <x:c r="IA361" t="str">
        <x:f>IF('Calculations'!HZ361="","",IF('Calculations'!HZ361="!AMBIG","!AMBIG",IF(COUNTIF('Calculations'!$HE$13:$HE$512,"="&amp;SUBSTITUTE(SUBSTITUTE(SUBSTITUTE('Calculations'!HZ361,"~","~~"),"*","~*"),"?","~?"))&gt;1,"!AMBIG",IFERROR(INDEX('Calculations'!$HF$13:$HF$512,MATCH('Calculations'!HZ361,'Calculations'!$HE$13:$HE$512,0)),""))))</x:f>
      </x:c>
      <x:c r="IB361" t="str">
        <x:f>IF('Calculations'!IA361="","",IF('Calculations'!IA361="!AMBIG","!AMBIG",IF(COUNTIF('Calculations'!$HE$13:$HE$512,"="&amp;SUBSTITUTE(SUBSTITUTE(SUBSTITUTE('Calculations'!IA361,"~","~~"),"*","~*"),"?","~?"))&gt;1,"!AMBIG",IFERROR(INDEX('Calculations'!$HF$13:$HF$512,MATCH('Calculations'!IA361,'Calculations'!$HE$13:$HE$512,0)),""))))</x:f>
      </x:c>
      <x:c r="IC361" t="str">
        <x:f>IF('Calculations'!IB361="","",IF('Calculations'!IB361="!AMBIG","!AMBIG",IF(COUNTIF('Calculations'!$HE$13:$HE$512,"="&amp;SUBSTITUTE(SUBSTITUTE(SUBSTITUTE('Calculations'!IB361,"~","~~"),"*","~*"),"?","~?"))&gt;1,"!AMBIG",IFERROR(INDEX('Calculations'!$HF$13:$HF$512,MATCH('Calculations'!IB361,'Calculations'!$HE$13:$HE$512,0)),""))))</x:f>
      </x:c>
      <x:c r="ID361" t="str">
        <x:f>IF('Calculations'!IC361="","",IF('Calculations'!IC361="!AMBIG","!AMBIG",IF(COUNTIF('Calculations'!$HE$13:$HE$512,"="&amp;SUBSTITUTE(SUBSTITUTE(SUBSTITUTE('Calculations'!IC361,"~","~~"),"*","~*"),"?","~?"))&gt;1,"!AMBIG",IFERROR(INDEX('Calculations'!$HF$13:$HF$512,MATCH('Calculations'!IC361,'Calculations'!$HE$13:$HE$512,0)),""))))</x:f>
      </x:c>
      <x:c r="IE361" t="str">
        <x:f>IF('Calculations'!ID361="","",IF('Calculations'!ID361="!AMBIG","!AMBIG",IF(COUNTIF('Calculations'!$HE$13:$HE$512,"="&amp;SUBSTITUTE(SUBSTITUTE(SUBSTITUTE('Calculations'!ID361,"~","~~"),"*","~*"),"?","~?"))&gt;1,"!AMBIG",IFERROR(INDEX('Calculations'!$HF$13:$HF$512,MATCH('Calculations'!ID361,'Calculations'!$HE$13:$HE$512,0)),""))))</x:f>
      </x:c>
      <x:c r="IF361" t="str">
        <x:f>IF('Calculations'!IE361="","",IF('Calculations'!IE361="!AMBIG","!AMBIG",IF(COUNTIF('Calculations'!$HE$13:$HE$512,"="&amp;SUBSTITUTE(SUBSTITUTE(SUBSTITUTE('Calculations'!IE361,"~","~~"),"*","~*"),"?","~?"))&gt;1,"!AMBIG",IFERROR(INDEX('Calculations'!$HF$13:$HF$512,MATCH('Calculations'!IE361,'Calculations'!$HE$13:$HE$512,0)),""))))</x:f>
      </x:c>
      <x:c r="IG361" t="str">
        <x:f>IF('Calculations'!IF361="","",IF('Calculations'!IF361="!AMBIG","!AMBIG",IF(COUNTIF('Calculations'!$HE$13:$HE$512,"="&amp;SUBSTITUTE(SUBSTITUTE(SUBSTITUTE('Calculations'!IF361,"~","~~"),"*","~*"),"?","~?"))&gt;1,"!AMBIG",IFERROR(INDEX('Calculations'!$HF$13:$HF$512,MATCH('Calculations'!IF361,'Calculations'!$HE$13:$HE$512,0)),""))))</x:f>
      </x:c>
      <x:c r="IH361" t="str">
        <x:f>IF('Calculations'!IG361="","",IF('Calculations'!IG361="!AMBIG","!AMBIG",IF(COUNTIF('Calculations'!$HE$13:$HE$512,"="&amp;SUBSTITUTE(SUBSTITUTE(SUBSTITUTE('Calculations'!IG361,"~","~~"),"*","~*"),"?","~?"))&gt;1,"!AMBIG",IFERROR(INDEX('Calculations'!$HF$13:$HF$512,MATCH('Calculations'!IG361,'Calculations'!$HE$13:$HE$512,0)),""))))</x:f>
      </x:c>
      <x:c r="II361" t="str">
        <x:f>IF('Calculations'!IH361="","",IF('Calculations'!IH361="!AMBIG","!AMBIG",IF(COUNTIF('Calculations'!$HE$13:$HE$512,"="&amp;SUBSTITUTE(SUBSTITUTE(SUBSTITUTE('Calculations'!IH361,"~","~~"),"*","~*"),"?","~?"))&gt;1,"!AMBIG",IFERROR(INDEX('Calculations'!$HF$13:$HF$512,MATCH('Calculations'!IH361,'Calculations'!$HE$13:$HE$512,0)),""))))</x:f>
      </x:c>
      <x:c r="IJ361" t="str">
        <x:f>IF('Calculations'!EM361="","",IF('Calculations'!$EF$2="All",'Calculations'!HM361,IF('Calculations'!HL361=1,"",IFERROR(IF(MATCH('Calculations'!$EF$2,'Calculations'!HO361:II361,0)=1,'Calculations'!HE361,INDEX('Calculations'!HO361:II361,1,MATCH('Calculations'!$EF$2,'Calculations'!HO361:II361,0)-1)),""))))</x:f>
      </x:c>
      <x:c r="IK361" t="n">
        <x:f>IF(AND('Calculations'!EM361&lt;&gt;"",'Calculations'!$EF$2&lt;&gt;"All",'Calculations'!HF361='Calculations'!$EF$2,'Calculations'!HL361=0,'Calculations'!JD361&gt;0),MAX('Calculations'!$IK$12:IK360)+1,0)</x:f>
        <x:v>0</x:v>
      </x:c>
      <x:c r="JA361" t="n">
        <x:f>IF(OR(IFERROR(INDIRECT("'WCM Calibration Final'!$A$361")&lt;&gt;"",FALSE),IFERROR(INDIRECT("'WCM Calibration Final'!$B$361")&lt;&gt;"",FALSE),IFERROR(INDIRECT("'WCM Calibration Final'!$C$361")&lt;&gt;"",FALSE)),361,0)</x:f>
        <x:v>0</x:v>
      </x:c>
      <x:c r="JB361" t="n">
        <x:f>'Calculations'!JB360+IF('Calculations'!JA361&gt;0,1,0)</x:f>
        <x:v>0</x:v>
      </x:c>
      <x:c r="JC361" t="n">
        <x:f>IF(OR('Calculations'!HF361="",'Calculations'!HF361="!AMBIG"),0,IF('Dashboard'!$B$7="All",1,COUNTIFS('Calculations'!$HO$13:$HO$512,"="&amp;SUBSTITUTE(SUBSTITUTE(SUBSTITUTE('Calculations'!HF361,"~","~~"),"*","~*"),"?","~?"),'Calculations'!$HN$13:$HN$512,"="&amp;SUBSTITUTE(SUBSTITUTE(SUBSTITUTE('Dashboard'!$B$7,"~","~~"),"*","~*"),"?","~?"))+COUNTIFS('Calculations'!$HP$13:$HP$512,"="&amp;SUBSTITUTE(SUBSTITUTE(SUBSTITUTE('Calculations'!HF361,"~","~~"),"*","~*"),"?","~?"),'Calculations'!$HN$13:$HN$512,"="&amp;SUBSTITUTE(SUBSTITUTE(SUBSTITUTE('Dashboard'!$B$7,"~","~~"),"*","~*"),"?","~?"))+COUNTIFS('Calculations'!$HQ$13:$HQ$512,"="&amp;SUBSTITUTE(SUBSTITUTE(SUBSTITUTE('Calculations'!HF361,"~","~~"),"*","~*"),"?","~?"),'Calculations'!$HN$13:$HN$512,"="&amp;SUBSTITUTE(SUBSTITUTE(SUBSTITUTE('Dashboard'!$B$7,"~","~~"),"*","~*"),"?","~?"))+COUNTIFS('Calculations'!$HR$13:$HR$512,"="&amp;SUBSTITUTE(SUBSTITUTE(SUBSTITUTE('Calculations'!HF361,"~","~~"),"*","~*"),"?","~?"),'Calculations'!$HN$13:$HN$512,"="&amp;SUBSTITUTE(SUBSTITUTE(SUBSTITUTE('Dashboard'!$B$7,"~","~~"),"*","~*"),"?","~?"))+COUNTIFS('Calculations'!$HS$13:$HS$512,"="&amp;SUBSTITUTE(SUBSTITUTE(SUBSTITUTE('Calculations'!HF361,"~","~~"),"*","~*"),"?","~?"),'Calculations'!$HN$13:$HN$512,"="&amp;SUBSTITUTE(SUBSTITUTE(SUBSTITUTE('Dashboard'!$B$7,"~","~~"),"*","~*"),"?","~?"))+COUNTIFS('Calculations'!$HT$13:$HT$512,"="&amp;SUBSTITUTE(SUBSTITUTE(SUBSTITUTE('Calculations'!HF361,"~","~~"),"*","~*"),"?","~?"),'Calculations'!$HN$13:$HN$512,"="&amp;SUBSTITUTE(SUBSTITUTE(SUBSTITUTE('Dashboard'!$B$7,"~","~~"),"*","~*"),"?","~?"))+COUNTIFS('Calculations'!$HU$13:$HU$512,"="&amp;SUBSTITUTE(SUBSTITUTE(SUBSTITUTE('Calculations'!HF361,"~","~~"),"*","~*"),"?","~?"),'Calculations'!$HN$13:$HN$512,"="&amp;SUBSTITUTE(SUBSTITUTE(SUBSTITUTE('Dashboard'!$B$7,"~","~~"),"*","~*"),"?","~?"))+COUNTIFS('Calculations'!$HV$13:$HV$512,"="&amp;SUBSTITUTE(SUBSTITUTE(SUBSTITUTE('Calculations'!HF361,"~","~~"),"*","~*"),"?","~?"),'Calculations'!$HN$13:$HN$512,"="&amp;SUBSTITUTE(SUBSTITUTE(SUBSTITUTE('Dashboard'!$B$7,"~","~~"),"*","~*"),"?","~?"))+COUNTIFS('Calculations'!$HW$13:$HW$512,"="&amp;SUBSTITUTE(SUBSTITUTE(SUBSTITUTE('Calculations'!HF361,"~","~~"),"*","~*"),"?","~?"),'Calculations'!$HN$13:$HN$512,"="&amp;SUBSTITUTE(SUBSTITUTE(SUBSTITUTE('Dashboard'!$B$7,"~","~~"),"*","~*"),"?","~?"))+COUNTIFS('Calculations'!$HX$13:$HX$512,"="&amp;SUBSTITUTE(SUBSTITUTE(SUBSTITUTE('Calculations'!HF361,"~","~~"),"*","~*"),"?","~?"),'Calculations'!$HN$13:$HN$512,"="&amp;SUBSTITUTE(SUBSTITUTE(SUBSTITUTE('Dashboard'!$B$7,"~","~~"),"*","~*"),"?","~?"))+COUNTIFS('Calculations'!$HY$13:$HY$512,"="&amp;SUBSTITUTE(SUBSTITUTE(SUBSTITUTE('Calculations'!HF361,"~","~~"),"*","~*"),"?","~?"),'Calculations'!$HN$13:$HN$512,"="&amp;SUBSTITUTE(SUBSTITUTE(SUBSTITUTE('Dashboard'!$B$7,"~","~~"),"*","~*"),"?","~?"))+COUNTIFS('Calculations'!$HZ$13:$HZ$512,"="&amp;SUBSTITUTE(SUBSTITUTE(SUBSTITUTE('Calculations'!HF361,"~","~~"),"*","~*"),"?","~?"),'Calculations'!$HN$13:$HN$512,"="&amp;SUBSTITUTE(SUBSTITUTE(SUBSTITUTE('Dashboard'!$B$7,"~","~~"),"*","~*"),"?","~?"))+COUNTIFS('Calculations'!$IA$13:$IA$512,"="&amp;SUBSTITUTE(SUBSTITUTE(SUBSTITUTE('Calculations'!HF361,"~","~~"),"*","~*"),"?","~?"),'Calculations'!$HN$13:$HN$512,"="&amp;SUBSTITUTE(SUBSTITUTE(SUBSTITUTE('Dashboard'!$B$7,"~","~~"),"*","~*"),"?","~?"))+COUNTIFS('Calculations'!$IB$13:$IB$512,"="&amp;SUBSTITUTE(SUBSTITUTE(SUBSTITUTE('Calculations'!HF361,"~","~~"),"*","~*"),"?","~?"),'Calculations'!$HN$13:$HN$512,"="&amp;SUBSTITUTE(SUBSTITUTE(SUBSTITUTE('Dashboard'!$B$7,"~","~~"),"*","~*"),"?","~?"))+COUNTIFS('Calculations'!$IC$13:$IC$512,"="&amp;SUBSTITUTE(SUBSTITUTE(SUBSTITUTE('Calculations'!HF361,"~","~~"),"*","~*"),"?","~?"),'Calculations'!$HN$13:$HN$512,"="&amp;SUBSTITUTE(SUBSTITUTE(SUBSTITUTE('Dashboard'!$B$7,"~","~~"),"*","~*"),"?","~?"))+COUNTIFS('Calculations'!$ID$13:$ID$512,"="&amp;SUBSTITUTE(SUBSTITUTE(SUBSTITUTE('Calculations'!HF361,"~","~~"),"*","~*"),"?","~?"),'Calculations'!$HN$13:$HN$512,"="&amp;SUBSTITUTE(SUBSTITUTE(SUBSTITUTE('Dashboard'!$B$7,"~","~~"),"*","~*"),"?","~?"))+COUNTIFS('Calculations'!$IE$13:$IE$512,"="&amp;SUBSTITUTE(SUBSTITUTE(SUBSTITUTE('Calculations'!HF361,"~","~~"),"*","~*"),"?","~?"),'Calculations'!$HN$13:$HN$512,"="&amp;SUBSTITUTE(SUBSTITUTE(SUBSTITUTE('Dashboard'!$B$7,"~","~~"),"*","~*"),"?","~?"))+COUNTIFS('Calculations'!$IF$13:$IF$512,"="&amp;SUBSTITUTE(SUBSTITUTE(SUBSTITUTE('Calculations'!HF361,"~","~~"),"*","~*"),"?","~?"),'Calculations'!$HN$13:$HN$512,"="&amp;SUBSTITUTE(SUBSTITUTE(SUBSTITUTE('Dashboard'!$B$7,"~","~~"),"*","~*"),"?","~?"))+COUNTIFS('Calculations'!$IG$13:$IG$512,"="&amp;SUBSTITUTE(SUBSTITUTE(SUBSTITUTE('Calculations'!HF361,"~","~~"),"*","~*"),"?","~?"),'Calculations'!$HN$13:$HN$512,"="&amp;SUBSTITUTE(SUBSTITUTE(SUBSTITUTE('Dashboard'!$B$7,"~","~~"),"*","~*"),"?","~?"))+COUNTIFS('Calculations'!$IH$13:$IH$512,"="&amp;SUBSTITUTE(SUBSTITUTE(SUBSTITUTE('Calculations'!HF361,"~","~~"),"*","~*"),"?","~?"),'Calculations'!$HN$13:$HN$512,"="&amp;SUBSTITUTE(SUBSTITUTE(SUBSTITUTE('Dashboard'!$B$7,"~","~~"),"*","~*"),"?","~?"))))</x:f>
        <x:v>0</x:v>
      </x:c>
      <x:c r="JD361" t="n">
        <x:f>IF('Calculations'!EM361="",0,IF('Dashboard'!$B$7="All",1,IF('Calculations'!HN361='Dashboard'!$B$7,1,0)+IFERROR(INDEX('Calculations'!$JC$13:$JC$512,MATCH('Calculations'!HE361,'Calculations'!$HF$13:$HF$512,0)),0)))</x:f>
        <x:v>0</x:v>
      </x:c>
      <x:c r="JE361" t="n">
        <x:f>IF(AND('Calculations'!EM361&lt;&gt;"",'Calculations'!$JJ$2&lt;&gt;"All",'Calculations'!$JJ$2&lt;&gt;"",'Calculations'!HF361='Calculations'!$JJ$2,'Calculations'!HL361=0,'Calculations'!JD361&gt;0),MAX('Calculations'!$JE$12:JE360)+1,0)</x:f>
        <x:v>0</x:v>
      </x:c>
      <x:c r="JF361" t="str">
        <x:f>IF('Calculations'!EM361="","",IFERROR(IF(INDEX(INDIRECT("'WCM Calibration Final'!$G$1:$G$2000"),'Calculations'!$EM361)="","",TRIM(INDEX(INDIRECT("'WCM Calibration Final'!$G$1:$G$2000"),'Calculations'!$EM361)&amp;"")),""))</x:f>
      </x:c>
      <x:c r="JQ361" t="n">
        <x:f>IF(OR('Calculations'!BM361=0,NOT('Calculations'!$AG$2),'Calculations'!$AG$8&gt;0),0,IF(OR('Dashboard'!$B$7="All",'Calculations'!HN361='Dashboard'!$B$7),IF('Calculations'!$JJ$2="All",1,IF(AND('Calculations'!HF361='Calculations'!$JJ$2,'Calculations'!HL361=0),1,0)),0))</x:f>
        <x:v>0</x:v>
      </x:c>
    </x:row>
    <x:row r="362">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t="n">
        <x:f>IF('Calculations'!$EM362="",0,IF(OR(IFERROR(INDEX(INDIRECT("'WCM Calibration Final'!$A$1:$A$2000"),'Calculations'!$EM362)&lt;&gt;"",FALSE),IFERROR(INDEX(INDIRECT("'WCM Calibration Final'!$B$1:$B$2000"),'Calculations'!$EM362)&lt;&gt;"",FALSE),IFERROR(INDEX(INDIRECT("'WCM Calibration Final'!$C$1:$C$2000"),'Calculations'!$EM362)&lt;&gt;"",FALSE)),1,0))</x:f>
        <x:v>0</x:v>
      </x:c>
      <x:c r="BN362" s="4" t="n">
        <x:f>IF(AND('Calculations'!BM362=1,'Calculations'!$AG$2,'Calculations'!$EN362=1),1,0)</x:f>
        <x:v>0</x:v>
      </x:c>
      <x:c r="BO362" s="4" t="str">
        <x:f>IF('Calculations'!BM362=0,"",IFERROR(IF(AND(VALUE(INDEX(INDIRECT("'WCM Calibration Final'!$K$1:$K$2000"),'Calculations'!$EM362))&gt;=1,VALUE(INDEX(INDIRECT("'WCM Calibration Final'!$K$1:$K$2000"),'Calculations'!$EM362))&lt;=4,MOD(VALUE(INDEX(INDIRECT("'WCM Calibration Final'!$K$1:$K$2000"),'Calculations'!$EM362)),1)=0),VALUE(INDEX(INDIRECT("'WCM Calibration Final'!$K$1:$K$2000"),'Calculations'!$EM362)),""),""))</x:f>
      </x:c>
      <x:c r="BP362" s="4" t="str">
        <x:f>IF('Calculations'!BM362=0,"",IFERROR(IF(AND(VALUE(INDEX(INDIRECT("'WCM Calibration Final'!$L$1:$L$2000"),'Calculations'!$EM362))&gt;=1,VALUE(INDEX(INDIRECT("'WCM Calibration Final'!$L$1:$L$2000"),'Calculations'!$EM362))&lt;=4,MOD(VALUE(INDEX(INDIRECT("'WCM Calibration Final'!$L$1:$L$2000"),'Calculations'!$EM362)),1)=0),VALUE(INDEX(INDIRECT("'WCM Calibration Final'!$L$1:$L$2000"),'Calculations'!$EM362)),""),""))</x:f>
      </x:c>
      <x:c r="BQ362" s="4"/>
      <x:c r="BR362" s="4"/>
      <x:c r="BS362" s="4"/>
      <x:c r="BT362" s="4" t="n">
        <x:f>IF(AND('Calculations'!BM362=1,ISNUMBER('Calculations'!BO362),ISNUMBER('Calculations'!BP362)),1,0)</x:f>
        <x:v>0</x:v>
      </x:c>
      <x:c r="BU362" s="4" t="str">
        <x:f>IF('Calculations'!BM362=0,"",'Calculations'!$EO362)</x:f>
      </x:c>
      <x:c r="BV362" s="4" t="str">
        <x:f>IF('Calculations'!BM362=0,"",IFERROR(IF(OR(INDEX(INDIRECT("'WCM Calibration Final'!$H$1:$H$2000"),'Calculations'!$EM362)="MANAGING DIRECTOR",INDEX(INDIRECT("'WCM Calibration Final'!$H$1:$H$2000"),'Calculations'!$EM362)="DIRECTOR",INDEX(INDIRECT("'WCM Calibration Final'!$H$1:$H$2000"),'Calculations'!$EM362)="SENIOR VICE PRESIDENT",INDEX(INDIRECT("'WCM Calibration Final'!$H$1:$H$2000"),'Calculations'!$EM362)="VICE PRESIDENT",INDEX(INDIRECT("'WCM Calibration Final'!$H$1:$H$2000"),'Calculations'!$EM362)="ASSISTANT VICE PRESIDENT",INDEX(INDIRECT("'WCM Calibration Final'!$H$1:$H$2000"),'Calculations'!$EM362)="OFFICER"),UPPER(INDEX(INDIRECT("'WCM Calibration Final'!$H$1:$H$2000"),'Calculations'!$EM362)),"Other"),"Other"))</x:f>
      </x:c>
      <x:c r="BW362" s="4"/>
      <x:c r="BX362" s="4"/>
      <x:c r="BY362" s="4" t="n">
        <x:f>IF(AND('Calculations'!BM362=1,'Calculations'!BU362&lt;&gt;"",COUNTIF('Calculations'!$BU$12:BU362,'Calculations'!BU362)=1),MAX('Calculations'!$BY$11:BY361)+1,0)</x:f>
        <x:v>0</x:v>
      </x:c>
      <x:c r="BZ362" s="4" t="str">
        <x:f>IF('Dashboard'!$E$67="What",'Calculations'!BO362,'Calculations'!BP362)</x:f>
      </x:c>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t="str">
        <x:f>IF(351&gt;MAX('Calculations'!$HI$13:$HI$512),"",INDEX('Calculations'!$HN$13:$HN$512,MATCH(351,'Calculations'!$HI$13:$HI$512,0)))</x:f>
      </x:c>
      <x:c r="DB362" s="4" t="str">
        <x:f>IF(351&gt;MAX('Calculations'!$HH$13:$HH$512),"",INDEX('Calculations'!$HJ$13:$HJ$512,MATCH(351,'Calculations'!$HH$13:$HH$512,0)))</x:f>
      </x:c>
      <x:c r="DC362" s="4" t="str">
        <x:f>IF(ROW()-11&gt;MAX('Calculations'!$BY$13:$BY$512),"",INDEX('Calculations'!$BU$13:$BU$512,MATCH(ROW()-11,'Calculations'!$BY$13:$BY$512,0)))</x:f>
      </x:c>
      <x:c r="DD362" s="4" t="str">
        <x:f>IF(351&gt;MAX('Calculations'!$IK$13:$IK$512),"",INDEX('Calculations'!$HK$13:$HK$512,MATCH(351,'Calculations'!$IK$13:$IK$512,0)))</x:f>
      </x:c>
      <x:c r="DE362" s="4" t="str">
        <x:f>'Calculations'!DC362</x:f>
      </x:c>
      <x:c r="DF362" s="4" t="str">
        <x:f>IF('Calculations'!DE362="","",COUNTIFS('Calculations'!$BN$13:$BN$512,1,'Calculations'!$BU$13:$BU$512,'Calculations'!DE362))</x:f>
      </x:c>
      <x:c r="DG362" s="4" t="str">
        <x:f>IF('Calculations'!DE362="","",COUNTIFS('Calculations'!$BN$13:$BN$512,1,'Calculations'!$BU$13:$BU$512,'Calculations'!DE362,'Calculations'!$BT$13:$BT$512,1))</x:f>
      </x:c>
      <x:c r="DH362" s="4" t="str">
        <x:f>IF('Calculations'!DE362="","",'Calculations'!DF362-'Calculations'!DG362)</x:f>
      </x:c>
      <x:c r="DI362" s="4" t="str">
        <x:f>IF(OR('Calculations'!DE362="",'Calculations'!DF362=0),"",'Calculations'!DG362/'Calculations'!DF362)</x:f>
      </x:c>
      <x:c r="DJ362" s="4" t="str">
        <x:f>IF('Calculations'!DE362="","",COUNTIFS('Calculations'!$BN$13:$BN$512,1,'Calculations'!$BU$13:$BU$512,'Calculations'!DE362,'Calculations'!$BT$13:$BT$512,1,'Calculations'!$EE$13:$EE$512,"High"))</x:f>
      </x:c>
      <x:c r="DK362" s="4" t="str">
        <x:f>IF('Calculations'!DE362="","",COUNTIFS('Calculations'!$BN$13:$BN$512,1,'Calculations'!$BU$13:$BU$512,'Calculations'!DE362,'Calculations'!$BT$13:$BT$512,1,'Calculations'!$EE$13:$EE$512,"Strong"))</x:f>
      </x:c>
      <x:c r="DL362" s="4" t="str">
        <x:f>IF('Calculations'!DE362="","",COUNTIFS('Calculations'!$BN$13:$BN$512,1,'Calculations'!$BU$13:$BU$512,'Calculations'!DE362,'Calculations'!$BT$13:$BT$512,1,'Calculations'!$EE$13:$EE$512,"Solid"))</x:f>
      </x:c>
      <x:c r="DM362" s="4" t="str">
        <x:f>IF('Calculations'!DE362="","",COUNTIFS('Calculations'!$BN$13:$BN$512,1,'Calculations'!$BU$13:$BU$512,'Calculations'!DE362,'Calculations'!$BT$13:$BT$512,1,'Calculations'!$EE$13:$EE$512,"Low"))</x:f>
      </x:c>
      <x:c r="DN362" s="4" t="str">
        <x:f>IF('Calculations'!DE362="","",COUNTIFS('Calculations'!$BN$13:$BN$512,1,'Calculations'!$BU$13:$BU$512,'Calculations'!DE362,'Calculations'!$EP$13:$EP$512,1))</x:f>
      </x:c>
      <x:c r="DO362" s="4" t="str">
        <x:f>IF(OR('Calculations'!DE362="",'Calculations'!DG362=0),"",('Calculations'!DJ362+'Calculations'!DK362)/'Calculations'!DG362)</x:f>
      </x:c>
      <x:c r="DP362" s="4" t="n">
        <x:f>IF(AND('Calculations'!DE362&lt;&gt;"",'Calculations'!DF362&gt;0),COUNTIF('Calculations'!$DF$12:DF362,"&gt;0"),0)</x:f>
        <x:v>0</x:v>
      </x:c>
      <x:c r="DQ362" s="4" t="str">
        <x:f>IF(351&gt;MAX('Calculations'!$HH$13:$HH$512),"",INDEX('Calculations'!$HF$13:$HF$512,MATCH(351,'Calculations'!$HH$13:$HH$512,0)))</x:f>
      </x:c>
      <x:c r="DR362" s="4" t="str">
        <x:f>IF(351&gt;MAX('Calculations'!$IK$13:$IK$512),"",INDEX('Calculations'!$HE$13:$HE$512,MATCH(351,'Calculations'!$IK$13:$IK$512,0)))</x:f>
      </x:c>
      <x:c r="DS362" s="4"/>
      <x:c r="DT362" s="4"/>
      <x:c r="DU362" s="4"/>
      <x:c r="DV362" s="4"/>
      <x:c r="DW362" s="4"/>
      <x:c r="DX362" s="4"/>
      <x:c r="DY362" s="4"/>
      <x:c r="DZ362" s="4"/>
      <x:c r="EA362" s="4"/>
      <x:c r="EB362" s="4"/>
      <x:c r="EC362" s="4"/>
      <x:c r="ED362" s="4"/>
      <x:c r="EE362" s="4" t="str">
        <x:f>IF('Calculations'!BT362=0,"Not Rated",IF(OR('Calculations'!BO362&gt;=4,'Calculations'!BP362&gt;=4),"Low",IF('Calculations'!BO362+'Calculations'!BP362&lt;=3,"High",IF('Calculations'!BO362+'Calculations'!BP362&lt;=4,"Strong","Solid"))))</x:f>
        <x:v>Not Rated</x:v>
      </x:c>
      <x:c r="EF362" s="4"/>
      <x:c r="EG362" s="4"/>
      <x:c r="EH362" s="4"/>
      <x:c r="EI362" s="4"/>
      <x:c r="EJ362" s="4"/>
      <x:c r="EK362" s="4"/>
      <x:c r="EL362" s="4"/>
      <x:c r="EM362" s="4" t="str">
        <x:f>IF(350&gt;'Calculations'!$JB$2000,"",INDEX('Calculations'!$JA$12:$JA$2000,MATCH(350,'Calculations'!$JB$12:$JB$2000,0)))</x:f>
      </x:c>
      <x:c r="EN362" s="4" t="n">
        <x:f>IF(OR('Calculations'!EM362="",'Calculations'!$AG$8&gt;0,AND('Calculations'!$EF$2&lt;&gt;"All",'Calculations'!HE362='Calculations'!$EF$2),AND('Calculations'!$EF$3&lt;&gt;"All",'Calculations'!HE362='Calculations'!$EF$3)),0,IF(OR('Dashboard'!$B$7="All",'Calculations'!HN362='Dashboard'!$B$7),IF('Calculations'!$EF$2="All",1,IF('Calculations'!HL362&gt;0,0,IF(COUNTIF('Calculations'!HO362:II362,"="&amp;SUBSTITUTE(SUBSTITUTE(SUBSTITUTE('Calculations'!$EF$2,"~","~~"),"*","~*"),"?","~?"))=0,0,IF('Calculations'!$EF$3="All",1,IF(COUNTIF('Calculations'!HO362:II362,"="&amp;SUBSTITUTE(SUBSTITUTE(SUBSTITUTE('Calculations'!$EF$3,"~","~~"),"*","~*"),"?","~?"))&gt;0,1,0))))),0))</x:f>
        <x:v>0</x:v>
      </x:c>
      <x:c r="EO362" s="4" t="str">
        <x:f>IF('Calculations'!IJ362="","",IF('Calculations'!IJ362="!UNRESOLVED","Unresolved hierarchy",IFERROR(INDEX('Calculations'!$HK$13:$HK$512,MATCH('Calculations'!IJ362,'Calculations'!$HE$13:$HE$512,0)),IFERROR(INDEX('Calculations'!$HJ$13:$HJ$512,MATCH('Calculations'!IJ362,'Calculations'!$HF$13:$HF$512,0)),'Calculations'!IJ362))))</x:f>
      </x:c>
      <x:c r="EP362" s="4" t="n">
        <x:f>IF(AND('Calculations'!EM362&lt;&gt;"",'Calculations'!HF362='Calculations'!IJ362),1,0)</x:f>
        <x:v>0</x:v>
      </x:c>
      <x:c r="EQ362" s="4"/>
      <x:c r="ER362" s="4"/>
      <x:c r="ES362" s="4"/>
      <x:c r="ET362" s="4"/>
      <x:c r="EU362" s="4"/>
      <x:c r="EV362" s="4"/>
      <x:c r="EW362" s="4"/>
      <x:c r="EX362" s="4"/>
      <x:c r="EY362" s="4"/>
      <x:c r="EZ362" s="4"/>
      <x:c r="FA362" s="4"/>
      <x:c r="FB362" s="4"/>
      <x:c r="FC362" s="4"/>
      <x:c r="FD362" s="4"/>
      <x:c r="FE362" s="4"/>
      <x:c r="FF362" s="4"/>
      <x:c r="FG362" s="4"/>
      <x:c r="FH362" s="4"/>
      <x:c r="FI362" s="4"/>
      <x:c r="FJ362" s="4"/>
      <x:c r="FK362" s="4"/>
      <x:c r="FL362" s="4"/>
      <x:c r="FM362" s="4"/>
      <x:c r="FN362" s="4"/>
      <x:c r="FO362" s="4"/>
      <x:c r="HE362" t="str">
        <x:f>IF('Calculations'!EM362="","",IF(IFERROR(IF(INDEX(INDIRECT("'WCM Calibration Final'!$A$1:$A$2000"),'Calculations'!$EM362)="","",TRIM(INDEX(INDIRECT("'WCM Calibration Final'!$A$1:$A$2000"),'Calculations'!$EM362)&amp;"")),"")&lt;&gt;"","G:"&amp;IFERROR(TEXT(1*INDEX(INDIRECT("'WCM Calibration Final'!$A$1:$A$2000"),'Calculations'!$EM362),"0"),UPPER(IFERROR(IF(INDEX(INDIRECT("'WCM Calibration Final'!$A$1:$A$2000"),'Calculations'!$EM362)="","",TRIM(INDEX(INDIRECT("'WCM Calibration Final'!$A$1:$A$2000"),'Calculations'!$EM362)&amp;"")),""))),IF(IFERROR(IF(INDEX(INDIRECT("'WCM Calibration Final'!$C$1:$C$2000"),'Calculations'!$EM362)="","",TRIM(INDEX(INDIRECT("'WCM Calibration Final'!$C$1:$C$2000"),'Calculations'!$EM362)&amp;"")),"")&lt;&gt;"","S:"&amp;UPPER(IFERROR(IF(INDEX(INDIRECT("'WCM Calibration Final'!$C$1:$C$2000"),'Calculations'!$EM362)="","",TRIM(INDEX(INDIRECT("'WCM Calibration Final'!$C$1:$C$2000"),'Calculations'!$EM362)&amp;"")),"")),"R:"&amp;'Calculations'!EM362)))</x:f>
      </x:c>
      <x:c r="HF362" t="str">
        <x:f>IF('Calculations'!EM362="","",IF(IFERROR(IF(INDEX(INDIRECT("'WCM Calibration Final'!$D$1:$D$2000"),'Calculations'!$EM362)="","",TRIM(INDEX(INDIRECT("'WCM Calibration Final'!$D$1:$D$2000"),'Calculations'!$EM362)&amp;"")),"")&lt;&gt;"","G:"&amp;IFERROR(TEXT(1*INDEX(INDIRECT("'WCM Calibration Final'!$D$1:$D$2000"),'Calculations'!$EM362),"0"),UPPER(IFERROR(IF(INDEX(INDIRECT("'WCM Calibration Final'!$D$1:$D$2000"),'Calculations'!$EM362)="","",TRIM(INDEX(INDIRECT("'WCM Calibration Final'!$D$1:$D$2000"),'Calculations'!$EM362)&amp;"")),""))),IF(IFERROR(IF(INDEX(INDIRECT("'WCM Calibration Final'!$E$1:$E$2000"),'Calculations'!$EM362)="","",TRIM(INDEX(INDIRECT("'WCM Calibration Final'!$E$1:$E$2000"),'Calculations'!$EM362)&amp;"")),"")="","",IF(COUNTIF('Calculations'!$HG$13:$HG$512,"="&amp;SUBSTITUTE(SUBSTITUTE(SUBSTITUTE(IFERROR(IF(INDEX(INDIRECT("'WCM Calibration Final'!$E$1:$E$2000"),'Calculations'!$EM362)="","",TRIM(INDEX(INDIRECT("'WCM Calibration Final'!$E$1:$E$2000"),'Calculations'!$EM362)&amp;"")),""),"~","~~"),"*","~*"),"?","~?"))=1,INDEX('Calculations'!$HE$13:$HE$512,MATCH(IFERROR(IF(INDEX(INDIRECT("'WCM Calibration Final'!$E$1:$E$2000"),'Calculations'!$EM362)="","",TRIM(INDEX(INDIRECT("'WCM Calibration Final'!$E$1:$E$2000"),'Calculations'!$EM362)&amp;"")),""),'Calculations'!$HG$13:$HG$512,0)),IF(COUNTIF('Calculations'!$HG$13:$HG$512,"="&amp;SUBSTITUTE(SUBSTITUTE(SUBSTITUTE(IFERROR(IF(INDEX(INDIRECT("'WCM Calibration Final'!$E$1:$E$2000"),'Calculations'!$EM362)="","",TRIM(INDEX(INDIRECT("'WCM Calibration Final'!$E$1:$E$2000"),'Calculations'!$EM362)&amp;"")),""),"~","~~"),"*","~*"),"?","~?"))&gt;1,"!AMBIG","X:"&amp;IFERROR(IF(INDEX(INDIRECT("'WCM Calibration Final'!$E$1:$E$2000"),'Calculations'!$EM362)="","",TRIM(INDEX(INDIRECT("'WCM Calibration Final'!$E$1:$E$2000"),'Calculations'!$EM362)&amp;"")),""))))))</x:f>
      </x:c>
      <x:c r="HG362" t="str">
        <x:f>IF('Calculations'!EM362="","",IFERROR(IF(INDEX(INDIRECT("'WCM Calibration Final'!$B$1:$B$2000"),'Calculations'!$EM362)="","",TRIM(INDEX(INDIRECT("'WCM Calibration Final'!$B$1:$B$2000"),'Calculations'!$EM362)&amp;"")),""))</x:f>
      </x:c>
      <x:c r="HH362" t="n">
        <x:f>IF(AND('Calculations'!JC362&gt;0,COUNTIF('Calculations'!$HF$12:HF362,"="&amp;SUBSTITUTE(SUBSTITUTE(SUBSTITUTE('Calculations'!HF362,"~","~~"),"*","~*"),"?","~?"))=1),MAX('Calculations'!$HH$12:HH361)+1,0)</x:f>
        <x:v>0</x:v>
      </x:c>
      <x:c r="HI362" t="n">
        <x:f>IF(AND('Calculations'!HN362&lt;&gt;"",COUNTIF('Calculations'!$HN$12:HN362,"="&amp;SUBSTITUTE(SUBSTITUTE(SUBSTITUTE('Calculations'!HN362,"~","~~"),"*","~*"),"?","~?"))=1),MAX('Calculations'!$HI$12:HI361)+1,0)</x:f>
        <x:v>0</x:v>
      </x:c>
      <x:c r="HJ362" t="str">
        <x:f>IF('Calculations'!HF362="","",IF(COUNTIF('Calculations'!$HE$13:$HE$512,"="&amp;SUBSTITUTE(SUBSTITUTE(SUBSTITUTE('Calculations'!HF362,"~","~~"),"*","~*"),"?","~?"))=1,INDEX('Calculations'!$HK$13:$HK$512,MATCH('Calculations'!HF362,'Calculations'!$HE$13:$HE$512,0)),IFERROR(IF(INDEX(INDIRECT("'WCM Calibration Final'!$E$1:$E$2000"),'Calculations'!$EM362)="","",TRIM(INDEX(INDIRECT("'WCM Calibration Final'!$E$1:$E$2000"),'Calculations'!$EM362)&amp;"")),"")&amp;" ["&amp;'Calculations'!HF362&amp;"]"))</x:f>
      </x:c>
      <x:c r="HK362" t="str">
        <x:f>IF('Calculations'!EM362="","",'Calculations'!HG362&amp;" ["&amp;'Calculations'!HE362&amp;"]")</x:f>
      </x:c>
      <x:c r="HL362" t="n">
        <x:f>IF('Calculations'!EM362="",0,IF(OR('Calculations'!II362&lt;&gt;"",COUNTIF('Calculations'!$HE$13:$HE$512,"="&amp;SUBSTITUTE(SUBSTITUTE(SUBSTITUTE('Calculations'!HE362,"~","~~"),"*","~*"),"?","~?"))&gt;1),1,0))</x:f>
        <x:v>0</x:v>
      </x:c>
      <x:c r="HM362" t="str">
        <x:f>IF('Calculations'!EM362="","",IF('Calculations'!HL362=1,"!UNRESOLVED",IF('Calculations'!IH362&lt;&gt;"",'Calculations'!IH362,IF('Calculations'!IG362&lt;&gt;"",'Calculations'!IG362,IF('Calculations'!IF362&lt;&gt;"",'Calculations'!IF362,IF('Calculations'!IE362&lt;&gt;"",'Calculations'!IE362,IF('Calculations'!ID362&lt;&gt;"",'Calculations'!ID362,IF('Calculations'!IC362&lt;&gt;"",'Calculations'!IC362,IF('Calculations'!IB362&lt;&gt;"",'Calculations'!IB362,IF('Calculations'!IA362&lt;&gt;"",'Calculations'!IA362,IF('Calculations'!HZ362&lt;&gt;"",'Calculations'!HZ362,IF('Calculations'!HY362&lt;&gt;"",'Calculations'!HY362,IF('Calculations'!HX362&lt;&gt;"",'Calculations'!HX362,IF('Calculations'!HW362&lt;&gt;"",'Calculations'!HW362,IF('Calculations'!HV362&lt;&gt;"",'Calculations'!HV362,IF('Calculations'!HU362&lt;&gt;"",'Calculations'!HU362,IF('Calculations'!HT362&lt;&gt;"",'Calculations'!HT362,IF('Calculations'!HS362&lt;&gt;"",'Calculations'!HS362,IF('Calculations'!HR362&lt;&gt;"",'Calculations'!HR362,IF('Calculations'!HQ362&lt;&gt;"",'Calculations'!HQ362,IF('Calculations'!HP362&lt;&gt;"",'Calculations'!HP362,IF('Calculations'!HO362&lt;&gt;"",'Calculations'!HO362,'Calculations'!HE362))))))))))))))))))))))</x:f>
      </x:c>
      <x:c r="HN362" t="str">
        <x:f>IF('Calculations'!EM362="","",IF(IFERROR(IF(INDEX(INDIRECT("'WCM Calibration Final'!$F$1:$F$2000"),'Calculations'!$EM362)="","",TRIM(INDEX(INDIRECT("'WCM Calibration Final'!$F$1:$F$2000"),'Calculations'!$EM362)&amp;"")),"")="","(Blank)",IFERROR(IF(INDEX(INDIRECT("'WCM Calibration Final'!$F$1:$F$2000"),'Calculations'!$EM362)="","",TRIM(INDEX(INDIRECT("'WCM Calibration Final'!$F$1:$F$2000"),'Calculations'!$EM362)&amp;"")),"")))</x:f>
      </x:c>
      <x:c r="HO362" t="str">
        <x:f>'Calculations'!HF362</x:f>
      </x:c>
      <x:c r="HP362" t="str">
        <x:f>IF('Calculations'!HO362="","",IF('Calculations'!HO362="!AMBIG","!AMBIG",IF(COUNTIF('Calculations'!$HE$13:$HE$512,"="&amp;SUBSTITUTE(SUBSTITUTE(SUBSTITUTE('Calculations'!HO362,"~","~~"),"*","~*"),"?","~?"))&gt;1,"!AMBIG",IFERROR(INDEX('Calculations'!$HF$13:$HF$512,MATCH('Calculations'!HO362,'Calculations'!$HE$13:$HE$512,0)),""))))</x:f>
      </x:c>
      <x:c r="HQ362" t="str">
        <x:f>IF('Calculations'!HP362="","",IF('Calculations'!HP362="!AMBIG","!AMBIG",IF(COUNTIF('Calculations'!$HE$13:$HE$512,"="&amp;SUBSTITUTE(SUBSTITUTE(SUBSTITUTE('Calculations'!HP362,"~","~~"),"*","~*"),"?","~?"))&gt;1,"!AMBIG",IFERROR(INDEX('Calculations'!$HF$13:$HF$512,MATCH('Calculations'!HP362,'Calculations'!$HE$13:$HE$512,0)),""))))</x:f>
      </x:c>
      <x:c r="HR362" t="str">
        <x:f>IF('Calculations'!HQ362="","",IF('Calculations'!HQ362="!AMBIG","!AMBIG",IF(COUNTIF('Calculations'!$HE$13:$HE$512,"="&amp;SUBSTITUTE(SUBSTITUTE(SUBSTITUTE('Calculations'!HQ362,"~","~~"),"*","~*"),"?","~?"))&gt;1,"!AMBIG",IFERROR(INDEX('Calculations'!$HF$13:$HF$512,MATCH('Calculations'!HQ362,'Calculations'!$HE$13:$HE$512,0)),""))))</x:f>
      </x:c>
      <x:c r="HS362" t="str">
        <x:f>IF('Calculations'!HR362="","",IF('Calculations'!HR362="!AMBIG","!AMBIG",IF(COUNTIF('Calculations'!$HE$13:$HE$512,"="&amp;SUBSTITUTE(SUBSTITUTE(SUBSTITUTE('Calculations'!HR362,"~","~~"),"*","~*"),"?","~?"))&gt;1,"!AMBIG",IFERROR(INDEX('Calculations'!$HF$13:$HF$512,MATCH('Calculations'!HR362,'Calculations'!$HE$13:$HE$512,0)),""))))</x:f>
      </x:c>
      <x:c r="HT362" t="str">
        <x:f>IF('Calculations'!HS362="","",IF('Calculations'!HS362="!AMBIG","!AMBIG",IF(COUNTIF('Calculations'!$HE$13:$HE$512,"="&amp;SUBSTITUTE(SUBSTITUTE(SUBSTITUTE('Calculations'!HS362,"~","~~"),"*","~*"),"?","~?"))&gt;1,"!AMBIG",IFERROR(INDEX('Calculations'!$HF$13:$HF$512,MATCH('Calculations'!HS362,'Calculations'!$HE$13:$HE$512,0)),""))))</x:f>
      </x:c>
      <x:c r="HU362" t="str">
        <x:f>IF('Calculations'!HT362="","",IF('Calculations'!HT362="!AMBIG","!AMBIG",IF(COUNTIF('Calculations'!$HE$13:$HE$512,"="&amp;SUBSTITUTE(SUBSTITUTE(SUBSTITUTE('Calculations'!HT362,"~","~~"),"*","~*"),"?","~?"))&gt;1,"!AMBIG",IFERROR(INDEX('Calculations'!$HF$13:$HF$512,MATCH('Calculations'!HT362,'Calculations'!$HE$13:$HE$512,0)),""))))</x:f>
      </x:c>
      <x:c r="HV362" t="str">
        <x:f>IF('Calculations'!HU362="","",IF('Calculations'!HU362="!AMBIG","!AMBIG",IF(COUNTIF('Calculations'!$HE$13:$HE$512,"="&amp;SUBSTITUTE(SUBSTITUTE(SUBSTITUTE('Calculations'!HU362,"~","~~"),"*","~*"),"?","~?"))&gt;1,"!AMBIG",IFERROR(INDEX('Calculations'!$HF$13:$HF$512,MATCH('Calculations'!HU362,'Calculations'!$HE$13:$HE$512,0)),""))))</x:f>
      </x:c>
      <x:c r="HW362" t="str">
        <x:f>IF('Calculations'!HV362="","",IF('Calculations'!HV362="!AMBIG","!AMBIG",IF(COUNTIF('Calculations'!$HE$13:$HE$512,"="&amp;SUBSTITUTE(SUBSTITUTE(SUBSTITUTE('Calculations'!HV362,"~","~~"),"*","~*"),"?","~?"))&gt;1,"!AMBIG",IFERROR(INDEX('Calculations'!$HF$13:$HF$512,MATCH('Calculations'!HV362,'Calculations'!$HE$13:$HE$512,0)),""))))</x:f>
      </x:c>
      <x:c r="HX362" t="str">
        <x:f>IF('Calculations'!HW362="","",IF('Calculations'!HW362="!AMBIG","!AMBIG",IF(COUNTIF('Calculations'!$HE$13:$HE$512,"="&amp;SUBSTITUTE(SUBSTITUTE(SUBSTITUTE('Calculations'!HW362,"~","~~"),"*","~*"),"?","~?"))&gt;1,"!AMBIG",IFERROR(INDEX('Calculations'!$HF$13:$HF$512,MATCH('Calculations'!HW362,'Calculations'!$HE$13:$HE$512,0)),""))))</x:f>
      </x:c>
      <x:c r="HY362" t="str">
        <x:f>IF('Calculations'!HX362="","",IF('Calculations'!HX362="!AMBIG","!AMBIG",IF(COUNTIF('Calculations'!$HE$13:$HE$512,"="&amp;SUBSTITUTE(SUBSTITUTE(SUBSTITUTE('Calculations'!HX362,"~","~~"),"*","~*"),"?","~?"))&gt;1,"!AMBIG",IFERROR(INDEX('Calculations'!$HF$13:$HF$512,MATCH('Calculations'!HX362,'Calculations'!$HE$13:$HE$512,0)),""))))</x:f>
      </x:c>
      <x:c r="HZ362" t="str">
        <x:f>IF('Calculations'!HY362="","",IF('Calculations'!HY362="!AMBIG","!AMBIG",IF(COUNTIF('Calculations'!$HE$13:$HE$512,"="&amp;SUBSTITUTE(SUBSTITUTE(SUBSTITUTE('Calculations'!HY362,"~","~~"),"*","~*"),"?","~?"))&gt;1,"!AMBIG",IFERROR(INDEX('Calculations'!$HF$13:$HF$512,MATCH('Calculations'!HY362,'Calculations'!$HE$13:$HE$512,0)),""))))</x:f>
      </x:c>
      <x:c r="IA362" t="str">
        <x:f>IF('Calculations'!HZ362="","",IF('Calculations'!HZ362="!AMBIG","!AMBIG",IF(COUNTIF('Calculations'!$HE$13:$HE$512,"="&amp;SUBSTITUTE(SUBSTITUTE(SUBSTITUTE('Calculations'!HZ362,"~","~~"),"*","~*"),"?","~?"))&gt;1,"!AMBIG",IFERROR(INDEX('Calculations'!$HF$13:$HF$512,MATCH('Calculations'!HZ362,'Calculations'!$HE$13:$HE$512,0)),""))))</x:f>
      </x:c>
      <x:c r="IB362" t="str">
        <x:f>IF('Calculations'!IA362="","",IF('Calculations'!IA362="!AMBIG","!AMBIG",IF(COUNTIF('Calculations'!$HE$13:$HE$512,"="&amp;SUBSTITUTE(SUBSTITUTE(SUBSTITUTE('Calculations'!IA362,"~","~~"),"*","~*"),"?","~?"))&gt;1,"!AMBIG",IFERROR(INDEX('Calculations'!$HF$13:$HF$512,MATCH('Calculations'!IA362,'Calculations'!$HE$13:$HE$512,0)),""))))</x:f>
      </x:c>
      <x:c r="IC362" t="str">
        <x:f>IF('Calculations'!IB362="","",IF('Calculations'!IB362="!AMBIG","!AMBIG",IF(COUNTIF('Calculations'!$HE$13:$HE$512,"="&amp;SUBSTITUTE(SUBSTITUTE(SUBSTITUTE('Calculations'!IB362,"~","~~"),"*","~*"),"?","~?"))&gt;1,"!AMBIG",IFERROR(INDEX('Calculations'!$HF$13:$HF$512,MATCH('Calculations'!IB362,'Calculations'!$HE$13:$HE$512,0)),""))))</x:f>
      </x:c>
      <x:c r="ID362" t="str">
        <x:f>IF('Calculations'!IC362="","",IF('Calculations'!IC362="!AMBIG","!AMBIG",IF(COUNTIF('Calculations'!$HE$13:$HE$512,"="&amp;SUBSTITUTE(SUBSTITUTE(SUBSTITUTE('Calculations'!IC362,"~","~~"),"*","~*"),"?","~?"))&gt;1,"!AMBIG",IFERROR(INDEX('Calculations'!$HF$13:$HF$512,MATCH('Calculations'!IC362,'Calculations'!$HE$13:$HE$512,0)),""))))</x:f>
      </x:c>
      <x:c r="IE362" t="str">
        <x:f>IF('Calculations'!ID362="","",IF('Calculations'!ID362="!AMBIG","!AMBIG",IF(COUNTIF('Calculations'!$HE$13:$HE$512,"="&amp;SUBSTITUTE(SUBSTITUTE(SUBSTITUTE('Calculations'!ID362,"~","~~"),"*","~*"),"?","~?"))&gt;1,"!AMBIG",IFERROR(INDEX('Calculations'!$HF$13:$HF$512,MATCH('Calculations'!ID362,'Calculations'!$HE$13:$HE$512,0)),""))))</x:f>
      </x:c>
      <x:c r="IF362" t="str">
        <x:f>IF('Calculations'!IE362="","",IF('Calculations'!IE362="!AMBIG","!AMBIG",IF(COUNTIF('Calculations'!$HE$13:$HE$512,"="&amp;SUBSTITUTE(SUBSTITUTE(SUBSTITUTE('Calculations'!IE362,"~","~~"),"*","~*"),"?","~?"))&gt;1,"!AMBIG",IFERROR(INDEX('Calculations'!$HF$13:$HF$512,MATCH('Calculations'!IE362,'Calculations'!$HE$13:$HE$512,0)),""))))</x:f>
      </x:c>
      <x:c r="IG362" t="str">
        <x:f>IF('Calculations'!IF362="","",IF('Calculations'!IF362="!AMBIG","!AMBIG",IF(COUNTIF('Calculations'!$HE$13:$HE$512,"="&amp;SUBSTITUTE(SUBSTITUTE(SUBSTITUTE('Calculations'!IF362,"~","~~"),"*","~*"),"?","~?"))&gt;1,"!AMBIG",IFERROR(INDEX('Calculations'!$HF$13:$HF$512,MATCH('Calculations'!IF362,'Calculations'!$HE$13:$HE$512,0)),""))))</x:f>
      </x:c>
      <x:c r="IH362" t="str">
        <x:f>IF('Calculations'!IG362="","",IF('Calculations'!IG362="!AMBIG","!AMBIG",IF(COUNTIF('Calculations'!$HE$13:$HE$512,"="&amp;SUBSTITUTE(SUBSTITUTE(SUBSTITUTE('Calculations'!IG362,"~","~~"),"*","~*"),"?","~?"))&gt;1,"!AMBIG",IFERROR(INDEX('Calculations'!$HF$13:$HF$512,MATCH('Calculations'!IG362,'Calculations'!$HE$13:$HE$512,0)),""))))</x:f>
      </x:c>
      <x:c r="II362" t="str">
        <x:f>IF('Calculations'!IH362="","",IF('Calculations'!IH362="!AMBIG","!AMBIG",IF(COUNTIF('Calculations'!$HE$13:$HE$512,"="&amp;SUBSTITUTE(SUBSTITUTE(SUBSTITUTE('Calculations'!IH362,"~","~~"),"*","~*"),"?","~?"))&gt;1,"!AMBIG",IFERROR(INDEX('Calculations'!$HF$13:$HF$512,MATCH('Calculations'!IH362,'Calculations'!$HE$13:$HE$512,0)),""))))</x:f>
      </x:c>
      <x:c r="IJ362" t="str">
        <x:f>IF('Calculations'!EM362="","",IF('Calculations'!$EF$2="All",'Calculations'!HM362,IF('Calculations'!HL362=1,"",IFERROR(IF(MATCH('Calculations'!$EF$2,'Calculations'!HO362:II362,0)=1,'Calculations'!HE362,INDEX('Calculations'!HO362:II362,1,MATCH('Calculations'!$EF$2,'Calculations'!HO362:II362,0)-1)),""))))</x:f>
      </x:c>
      <x:c r="IK362" t="n">
        <x:f>IF(AND('Calculations'!EM362&lt;&gt;"",'Calculations'!$EF$2&lt;&gt;"All",'Calculations'!HF362='Calculations'!$EF$2,'Calculations'!HL362=0,'Calculations'!JD362&gt;0),MAX('Calculations'!$IK$12:IK361)+1,0)</x:f>
        <x:v>0</x:v>
      </x:c>
      <x:c r="JA362" t="n">
        <x:f>IF(OR(IFERROR(INDIRECT("'WCM Calibration Final'!$A$362")&lt;&gt;"",FALSE),IFERROR(INDIRECT("'WCM Calibration Final'!$B$362")&lt;&gt;"",FALSE),IFERROR(INDIRECT("'WCM Calibration Final'!$C$362")&lt;&gt;"",FALSE)),362,0)</x:f>
        <x:v>0</x:v>
      </x:c>
      <x:c r="JB362" t="n">
        <x:f>'Calculations'!JB361+IF('Calculations'!JA362&gt;0,1,0)</x:f>
        <x:v>0</x:v>
      </x:c>
      <x:c r="JC362" t="n">
        <x:f>IF(OR('Calculations'!HF362="",'Calculations'!HF362="!AMBIG"),0,IF('Dashboard'!$B$7="All",1,COUNTIFS('Calculations'!$HO$13:$HO$512,"="&amp;SUBSTITUTE(SUBSTITUTE(SUBSTITUTE('Calculations'!HF362,"~","~~"),"*","~*"),"?","~?"),'Calculations'!$HN$13:$HN$512,"="&amp;SUBSTITUTE(SUBSTITUTE(SUBSTITUTE('Dashboard'!$B$7,"~","~~"),"*","~*"),"?","~?"))+COUNTIFS('Calculations'!$HP$13:$HP$512,"="&amp;SUBSTITUTE(SUBSTITUTE(SUBSTITUTE('Calculations'!HF362,"~","~~"),"*","~*"),"?","~?"),'Calculations'!$HN$13:$HN$512,"="&amp;SUBSTITUTE(SUBSTITUTE(SUBSTITUTE('Dashboard'!$B$7,"~","~~"),"*","~*"),"?","~?"))+COUNTIFS('Calculations'!$HQ$13:$HQ$512,"="&amp;SUBSTITUTE(SUBSTITUTE(SUBSTITUTE('Calculations'!HF362,"~","~~"),"*","~*"),"?","~?"),'Calculations'!$HN$13:$HN$512,"="&amp;SUBSTITUTE(SUBSTITUTE(SUBSTITUTE('Dashboard'!$B$7,"~","~~"),"*","~*"),"?","~?"))+COUNTIFS('Calculations'!$HR$13:$HR$512,"="&amp;SUBSTITUTE(SUBSTITUTE(SUBSTITUTE('Calculations'!HF362,"~","~~"),"*","~*"),"?","~?"),'Calculations'!$HN$13:$HN$512,"="&amp;SUBSTITUTE(SUBSTITUTE(SUBSTITUTE('Dashboard'!$B$7,"~","~~"),"*","~*"),"?","~?"))+COUNTIFS('Calculations'!$HS$13:$HS$512,"="&amp;SUBSTITUTE(SUBSTITUTE(SUBSTITUTE('Calculations'!HF362,"~","~~"),"*","~*"),"?","~?"),'Calculations'!$HN$13:$HN$512,"="&amp;SUBSTITUTE(SUBSTITUTE(SUBSTITUTE('Dashboard'!$B$7,"~","~~"),"*","~*"),"?","~?"))+COUNTIFS('Calculations'!$HT$13:$HT$512,"="&amp;SUBSTITUTE(SUBSTITUTE(SUBSTITUTE('Calculations'!HF362,"~","~~"),"*","~*"),"?","~?"),'Calculations'!$HN$13:$HN$512,"="&amp;SUBSTITUTE(SUBSTITUTE(SUBSTITUTE('Dashboard'!$B$7,"~","~~"),"*","~*"),"?","~?"))+COUNTIFS('Calculations'!$HU$13:$HU$512,"="&amp;SUBSTITUTE(SUBSTITUTE(SUBSTITUTE('Calculations'!HF362,"~","~~"),"*","~*"),"?","~?"),'Calculations'!$HN$13:$HN$512,"="&amp;SUBSTITUTE(SUBSTITUTE(SUBSTITUTE('Dashboard'!$B$7,"~","~~"),"*","~*"),"?","~?"))+COUNTIFS('Calculations'!$HV$13:$HV$512,"="&amp;SUBSTITUTE(SUBSTITUTE(SUBSTITUTE('Calculations'!HF362,"~","~~"),"*","~*"),"?","~?"),'Calculations'!$HN$13:$HN$512,"="&amp;SUBSTITUTE(SUBSTITUTE(SUBSTITUTE('Dashboard'!$B$7,"~","~~"),"*","~*"),"?","~?"))+COUNTIFS('Calculations'!$HW$13:$HW$512,"="&amp;SUBSTITUTE(SUBSTITUTE(SUBSTITUTE('Calculations'!HF362,"~","~~"),"*","~*"),"?","~?"),'Calculations'!$HN$13:$HN$512,"="&amp;SUBSTITUTE(SUBSTITUTE(SUBSTITUTE('Dashboard'!$B$7,"~","~~"),"*","~*"),"?","~?"))+COUNTIFS('Calculations'!$HX$13:$HX$512,"="&amp;SUBSTITUTE(SUBSTITUTE(SUBSTITUTE('Calculations'!HF362,"~","~~"),"*","~*"),"?","~?"),'Calculations'!$HN$13:$HN$512,"="&amp;SUBSTITUTE(SUBSTITUTE(SUBSTITUTE('Dashboard'!$B$7,"~","~~"),"*","~*"),"?","~?"))+COUNTIFS('Calculations'!$HY$13:$HY$512,"="&amp;SUBSTITUTE(SUBSTITUTE(SUBSTITUTE('Calculations'!HF362,"~","~~"),"*","~*"),"?","~?"),'Calculations'!$HN$13:$HN$512,"="&amp;SUBSTITUTE(SUBSTITUTE(SUBSTITUTE('Dashboard'!$B$7,"~","~~"),"*","~*"),"?","~?"))+COUNTIFS('Calculations'!$HZ$13:$HZ$512,"="&amp;SUBSTITUTE(SUBSTITUTE(SUBSTITUTE('Calculations'!HF362,"~","~~"),"*","~*"),"?","~?"),'Calculations'!$HN$13:$HN$512,"="&amp;SUBSTITUTE(SUBSTITUTE(SUBSTITUTE('Dashboard'!$B$7,"~","~~"),"*","~*"),"?","~?"))+COUNTIFS('Calculations'!$IA$13:$IA$512,"="&amp;SUBSTITUTE(SUBSTITUTE(SUBSTITUTE('Calculations'!HF362,"~","~~"),"*","~*"),"?","~?"),'Calculations'!$HN$13:$HN$512,"="&amp;SUBSTITUTE(SUBSTITUTE(SUBSTITUTE('Dashboard'!$B$7,"~","~~"),"*","~*"),"?","~?"))+COUNTIFS('Calculations'!$IB$13:$IB$512,"="&amp;SUBSTITUTE(SUBSTITUTE(SUBSTITUTE('Calculations'!HF362,"~","~~"),"*","~*"),"?","~?"),'Calculations'!$HN$13:$HN$512,"="&amp;SUBSTITUTE(SUBSTITUTE(SUBSTITUTE('Dashboard'!$B$7,"~","~~"),"*","~*"),"?","~?"))+COUNTIFS('Calculations'!$IC$13:$IC$512,"="&amp;SUBSTITUTE(SUBSTITUTE(SUBSTITUTE('Calculations'!HF362,"~","~~"),"*","~*"),"?","~?"),'Calculations'!$HN$13:$HN$512,"="&amp;SUBSTITUTE(SUBSTITUTE(SUBSTITUTE('Dashboard'!$B$7,"~","~~"),"*","~*"),"?","~?"))+COUNTIFS('Calculations'!$ID$13:$ID$512,"="&amp;SUBSTITUTE(SUBSTITUTE(SUBSTITUTE('Calculations'!HF362,"~","~~"),"*","~*"),"?","~?"),'Calculations'!$HN$13:$HN$512,"="&amp;SUBSTITUTE(SUBSTITUTE(SUBSTITUTE('Dashboard'!$B$7,"~","~~"),"*","~*"),"?","~?"))+COUNTIFS('Calculations'!$IE$13:$IE$512,"="&amp;SUBSTITUTE(SUBSTITUTE(SUBSTITUTE('Calculations'!HF362,"~","~~"),"*","~*"),"?","~?"),'Calculations'!$HN$13:$HN$512,"="&amp;SUBSTITUTE(SUBSTITUTE(SUBSTITUTE('Dashboard'!$B$7,"~","~~"),"*","~*"),"?","~?"))+COUNTIFS('Calculations'!$IF$13:$IF$512,"="&amp;SUBSTITUTE(SUBSTITUTE(SUBSTITUTE('Calculations'!HF362,"~","~~"),"*","~*"),"?","~?"),'Calculations'!$HN$13:$HN$512,"="&amp;SUBSTITUTE(SUBSTITUTE(SUBSTITUTE('Dashboard'!$B$7,"~","~~"),"*","~*"),"?","~?"))+COUNTIFS('Calculations'!$IG$13:$IG$512,"="&amp;SUBSTITUTE(SUBSTITUTE(SUBSTITUTE('Calculations'!HF362,"~","~~"),"*","~*"),"?","~?"),'Calculations'!$HN$13:$HN$512,"="&amp;SUBSTITUTE(SUBSTITUTE(SUBSTITUTE('Dashboard'!$B$7,"~","~~"),"*","~*"),"?","~?"))+COUNTIFS('Calculations'!$IH$13:$IH$512,"="&amp;SUBSTITUTE(SUBSTITUTE(SUBSTITUTE('Calculations'!HF362,"~","~~"),"*","~*"),"?","~?"),'Calculations'!$HN$13:$HN$512,"="&amp;SUBSTITUTE(SUBSTITUTE(SUBSTITUTE('Dashboard'!$B$7,"~","~~"),"*","~*"),"?","~?"))))</x:f>
        <x:v>0</x:v>
      </x:c>
      <x:c r="JD362" t="n">
        <x:f>IF('Calculations'!EM362="",0,IF('Dashboard'!$B$7="All",1,IF('Calculations'!HN362='Dashboard'!$B$7,1,0)+IFERROR(INDEX('Calculations'!$JC$13:$JC$512,MATCH('Calculations'!HE362,'Calculations'!$HF$13:$HF$512,0)),0)))</x:f>
        <x:v>0</x:v>
      </x:c>
      <x:c r="JE362" t="n">
        <x:f>IF(AND('Calculations'!EM362&lt;&gt;"",'Calculations'!$JJ$2&lt;&gt;"All",'Calculations'!$JJ$2&lt;&gt;"",'Calculations'!HF362='Calculations'!$JJ$2,'Calculations'!HL362=0,'Calculations'!JD362&gt;0),MAX('Calculations'!$JE$12:JE361)+1,0)</x:f>
        <x:v>0</x:v>
      </x:c>
      <x:c r="JF362" t="str">
        <x:f>IF('Calculations'!EM362="","",IFERROR(IF(INDEX(INDIRECT("'WCM Calibration Final'!$G$1:$G$2000"),'Calculations'!$EM362)="","",TRIM(INDEX(INDIRECT("'WCM Calibration Final'!$G$1:$G$2000"),'Calculations'!$EM362)&amp;"")),""))</x:f>
      </x:c>
      <x:c r="JQ362" t="n">
        <x:f>IF(OR('Calculations'!BM362=0,NOT('Calculations'!$AG$2),'Calculations'!$AG$8&gt;0),0,IF(OR('Dashboard'!$B$7="All",'Calculations'!HN362='Dashboard'!$B$7),IF('Calculations'!$JJ$2="All",1,IF(AND('Calculations'!HF362='Calculations'!$JJ$2,'Calculations'!HL362=0),1,0)),0))</x:f>
        <x:v>0</x:v>
      </x:c>
    </x:row>
    <x:row r="363">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t="n">
        <x:f>IF('Calculations'!$EM363="",0,IF(OR(IFERROR(INDEX(INDIRECT("'WCM Calibration Final'!$A$1:$A$2000"),'Calculations'!$EM363)&lt;&gt;"",FALSE),IFERROR(INDEX(INDIRECT("'WCM Calibration Final'!$B$1:$B$2000"),'Calculations'!$EM363)&lt;&gt;"",FALSE),IFERROR(INDEX(INDIRECT("'WCM Calibration Final'!$C$1:$C$2000"),'Calculations'!$EM363)&lt;&gt;"",FALSE)),1,0))</x:f>
        <x:v>0</x:v>
      </x:c>
      <x:c r="BN363" s="4" t="n">
        <x:f>IF(AND('Calculations'!BM363=1,'Calculations'!$AG$2,'Calculations'!$EN363=1),1,0)</x:f>
        <x:v>0</x:v>
      </x:c>
      <x:c r="BO363" s="4" t="str">
        <x:f>IF('Calculations'!BM363=0,"",IFERROR(IF(AND(VALUE(INDEX(INDIRECT("'WCM Calibration Final'!$K$1:$K$2000"),'Calculations'!$EM363))&gt;=1,VALUE(INDEX(INDIRECT("'WCM Calibration Final'!$K$1:$K$2000"),'Calculations'!$EM363))&lt;=4,MOD(VALUE(INDEX(INDIRECT("'WCM Calibration Final'!$K$1:$K$2000"),'Calculations'!$EM363)),1)=0),VALUE(INDEX(INDIRECT("'WCM Calibration Final'!$K$1:$K$2000"),'Calculations'!$EM363)),""),""))</x:f>
      </x:c>
      <x:c r="BP363" s="4" t="str">
        <x:f>IF('Calculations'!BM363=0,"",IFERROR(IF(AND(VALUE(INDEX(INDIRECT("'WCM Calibration Final'!$L$1:$L$2000"),'Calculations'!$EM363))&gt;=1,VALUE(INDEX(INDIRECT("'WCM Calibration Final'!$L$1:$L$2000"),'Calculations'!$EM363))&lt;=4,MOD(VALUE(INDEX(INDIRECT("'WCM Calibration Final'!$L$1:$L$2000"),'Calculations'!$EM363)),1)=0),VALUE(INDEX(INDIRECT("'WCM Calibration Final'!$L$1:$L$2000"),'Calculations'!$EM363)),""),""))</x:f>
      </x:c>
      <x:c r="BQ363" s="4"/>
      <x:c r="BR363" s="4"/>
      <x:c r="BS363" s="4"/>
      <x:c r="BT363" s="4" t="n">
        <x:f>IF(AND('Calculations'!BM363=1,ISNUMBER('Calculations'!BO363),ISNUMBER('Calculations'!BP363)),1,0)</x:f>
        <x:v>0</x:v>
      </x:c>
      <x:c r="BU363" s="4" t="str">
        <x:f>IF('Calculations'!BM363=0,"",'Calculations'!$EO363)</x:f>
      </x:c>
      <x:c r="BV363" s="4" t="str">
        <x:f>IF('Calculations'!BM363=0,"",IFERROR(IF(OR(INDEX(INDIRECT("'WCM Calibration Final'!$H$1:$H$2000"),'Calculations'!$EM363)="MANAGING DIRECTOR",INDEX(INDIRECT("'WCM Calibration Final'!$H$1:$H$2000"),'Calculations'!$EM363)="DIRECTOR",INDEX(INDIRECT("'WCM Calibration Final'!$H$1:$H$2000"),'Calculations'!$EM363)="SENIOR VICE PRESIDENT",INDEX(INDIRECT("'WCM Calibration Final'!$H$1:$H$2000"),'Calculations'!$EM363)="VICE PRESIDENT",INDEX(INDIRECT("'WCM Calibration Final'!$H$1:$H$2000"),'Calculations'!$EM363)="ASSISTANT VICE PRESIDENT",INDEX(INDIRECT("'WCM Calibration Final'!$H$1:$H$2000"),'Calculations'!$EM363)="OFFICER"),UPPER(INDEX(INDIRECT("'WCM Calibration Final'!$H$1:$H$2000"),'Calculations'!$EM363)),"Other"),"Other"))</x:f>
      </x:c>
      <x:c r="BW363" s="4"/>
      <x:c r="BX363" s="4"/>
      <x:c r="BY363" s="4" t="n">
        <x:f>IF(AND('Calculations'!BM363=1,'Calculations'!BU363&lt;&gt;"",COUNTIF('Calculations'!$BU$12:BU363,'Calculations'!BU363)=1),MAX('Calculations'!$BY$11:BY362)+1,0)</x:f>
        <x:v>0</x:v>
      </x:c>
      <x:c r="BZ363" s="4" t="str">
        <x:f>IF('Dashboard'!$E$67="What",'Calculations'!BO363,'Calculations'!BP363)</x:f>
      </x:c>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t="str">
        <x:f>IF(352&gt;MAX('Calculations'!$HI$13:$HI$512),"",INDEX('Calculations'!$HN$13:$HN$512,MATCH(352,'Calculations'!$HI$13:$HI$512,0)))</x:f>
      </x:c>
      <x:c r="DB363" s="4" t="str">
        <x:f>IF(352&gt;MAX('Calculations'!$HH$13:$HH$512),"",INDEX('Calculations'!$HJ$13:$HJ$512,MATCH(352,'Calculations'!$HH$13:$HH$512,0)))</x:f>
      </x:c>
      <x:c r="DC363" s="4" t="str">
        <x:f>IF(ROW()-11&gt;MAX('Calculations'!$BY$13:$BY$512),"",INDEX('Calculations'!$BU$13:$BU$512,MATCH(ROW()-11,'Calculations'!$BY$13:$BY$512,0)))</x:f>
      </x:c>
      <x:c r="DD363" s="4" t="str">
        <x:f>IF(352&gt;MAX('Calculations'!$IK$13:$IK$512),"",INDEX('Calculations'!$HK$13:$HK$512,MATCH(352,'Calculations'!$IK$13:$IK$512,0)))</x:f>
      </x:c>
      <x:c r="DE363" s="4" t="str">
        <x:f>'Calculations'!DC363</x:f>
      </x:c>
      <x:c r="DF363" s="4" t="str">
        <x:f>IF('Calculations'!DE363="","",COUNTIFS('Calculations'!$BN$13:$BN$512,1,'Calculations'!$BU$13:$BU$512,'Calculations'!DE363))</x:f>
      </x:c>
      <x:c r="DG363" s="4" t="str">
        <x:f>IF('Calculations'!DE363="","",COUNTIFS('Calculations'!$BN$13:$BN$512,1,'Calculations'!$BU$13:$BU$512,'Calculations'!DE363,'Calculations'!$BT$13:$BT$512,1))</x:f>
      </x:c>
      <x:c r="DH363" s="4" t="str">
        <x:f>IF('Calculations'!DE363="","",'Calculations'!DF363-'Calculations'!DG363)</x:f>
      </x:c>
      <x:c r="DI363" s="4" t="str">
        <x:f>IF(OR('Calculations'!DE363="",'Calculations'!DF363=0),"",'Calculations'!DG363/'Calculations'!DF363)</x:f>
      </x:c>
      <x:c r="DJ363" s="4" t="str">
        <x:f>IF('Calculations'!DE363="","",COUNTIFS('Calculations'!$BN$13:$BN$512,1,'Calculations'!$BU$13:$BU$512,'Calculations'!DE363,'Calculations'!$BT$13:$BT$512,1,'Calculations'!$EE$13:$EE$512,"High"))</x:f>
      </x:c>
      <x:c r="DK363" s="4" t="str">
        <x:f>IF('Calculations'!DE363="","",COUNTIFS('Calculations'!$BN$13:$BN$512,1,'Calculations'!$BU$13:$BU$512,'Calculations'!DE363,'Calculations'!$BT$13:$BT$512,1,'Calculations'!$EE$13:$EE$512,"Strong"))</x:f>
      </x:c>
      <x:c r="DL363" s="4" t="str">
        <x:f>IF('Calculations'!DE363="","",COUNTIFS('Calculations'!$BN$13:$BN$512,1,'Calculations'!$BU$13:$BU$512,'Calculations'!DE363,'Calculations'!$BT$13:$BT$512,1,'Calculations'!$EE$13:$EE$512,"Solid"))</x:f>
      </x:c>
      <x:c r="DM363" s="4" t="str">
        <x:f>IF('Calculations'!DE363="","",COUNTIFS('Calculations'!$BN$13:$BN$512,1,'Calculations'!$BU$13:$BU$512,'Calculations'!DE363,'Calculations'!$BT$13:$BT$512,1,'Calculations'!$EE$13:$EE$512,"Low"))</x:f>
      </x:c>
      <x:c r="DN363" s="4" t="str">
        <x:f>IF('Calculations'!DE363="","",COUNTIFS('Calculations'!$BN$13:$BN$512,1,'Calculations'!$BU$13:$BU$512,'Calculations'!DE363,'Calculations'!$EP$13:$EP$512,1))</x:f>
      </x:c>
      <x:c r="DO363" s="4" t="str">
        <x:f>IF(OR('Calculations'!DE363="",'Calculations'!DG363=0),"",('Calculations'!DJ363+'Calculations'!DK363)/'Calculations'!DG363)</x:f>
      </x:c>
      <x:c r="DP363" s="4" t="n">
        <x:f>IF(AND('Calculations'!DE363&lt;&gt;"",'Calculations'!DF363&gt;0),COUNTIF('Calculations'!$DF$12:DF363,"&gt;0"),0)</x:f>
        <x:v>0</x:v>
      </x:c>
      <x:c r="DQ363" s="4" t="str">
        <x:f>IF(352&gt;MAX('Calculations'!$HH$13:$HH$512),"",INDEX('Calculations'!$HF$13:$HF$512,MATCH(352,'Calculations'!$HH$13:$HH$512,0)))</x:f>
      </x:c>
      <x:c r="DR363" s="4" t="str">
        <x:f>IF(352&gt;MAX('Calculations'!$IK$13:$IK$512),"",INDEX('Calculations'!$HE$13:$HE$512,MATCH(352,'Calculations'!$IK$13:$IK$512,0)))</x:f>
      </x:c>
      <x:c r="DS363" s="4"/>
      <x:c r="DT363" s="4"/>
      <x:c r="DU363" s="4"/>
      <x:c r="DV363" s="4"/>
      <x:c r="DW363" s="4"/>
      <x:c r="DX363" s="4"/>
      <x:c r="DY363" s="4"/>
      <x:c r="DZ363" s="4"/>
      <x:c r="EA363" s="4"/>
      <x:c r="EB363" s="4"/>
      <x:c r="EC363" s="4"/>
      <x:c r="ED363" s="4"/>
      <x:c r="EE363" s="4" t="str">
        <x:f>IF('Calculations'!BT363=0,"Not Rated",IF(OR('Calculations'!BO363&gt;=4,'Calculations'!BP363&gt;=4),"Low",IF('Calculations'!BO363+'Calculations'!BP363&lt;=3,"High",IF('Calculations'!BO363+'Calculations'!BP363&lt;=4,"Strong","Solid"))))</x:f>
        <x:v>Not Rated</x:v>
      </x:c>
      <x:c r="EF363" s="4"/>
      <x:c r="EG363" s="4"/>
      <x:c r="EH363" s="4"/>
      <x:c r="EI363" s="4"/>
      <x:c r="EJ363" s="4"/>
      <x:c r="EK363" s="4"/>
      <x:c r="EL363" s="4"/>
      <x:c r="EM363" s="4" t="str">
        <x:f>IF(351&gt;'Calculations'!$JB$2000,"",INDEX('Calculations'!$JA$12:$JA$2000,MATCH(351,'Calculations'!$JB$12:$JB$2000,0)))</x:f>
      </x:c>
      <x:c r="EN363" s="4" t="n">
        <x:f>IF(OR('Calculations'!EM363="",'Calculations'!$AG$8&gt;0,AND('Calculations'!$EF$2&lt;&gt;"All",'Calculations'!HE363='Calculations'!$EF$2),AND('Calculations'!$EF$3&lt;&gt;"All",'Calculations'!HE363='Calculations'!$EF$3)),0,IF(OR('Dashboard'!$B$7="All",'Calculations'!HN363='Dashboard'!$B$7),IF('Calculations'!$EF$2="All",1,IF('Calculations'!HL363&gt;0,0,IF(COUNTIF('Calculations'!HO363:II363,"="&amp;SUBSTITUTE(SUBSTITUTE(SUBSTITUTE('Calculations'!$EF$2,"~","~~"),"*","~*"),"?","~?"))=0,0,IF('Calculations'!$EF$3="All",1,IF(COUNTIF('Calculations'!HO363:II363,"="&amp;SUBSTITUTE(SUBSTITUTE(SUBSTITUTE('Calculations'!$EF$3,"~","~~"),"*","~*"),"?","~?"))&gt;0,1,0))))),0))</x:f>
        <x:v>0</x:v>
      </x:c>
      <x:c r="EO363" s="4" t="str">
        <x:f>IF('Calculations'!IJ363="","",IF('Calculations'!IJ363="!UNRESOLVED","Unresolved hierarchy",IFERROR(INDEX('Calculations'!$HK$13:$HK$512,MATCH('Calculations'!IJ363,'Calculations'!$HE$13:$HE$512,0)),IFERROR(INDEX('Calculations'!$HJ$13:$HJ$512,MATCH('Calculations'!IJ363,'Calculations'!$HF$13:$HF$512,0)),'Calculations'!IJ363))))</x:f>
      </x:c>
      <x:c r="EP363" s="4" t="n">
        <x:f>IF(AND('Calculations'!EM363&lt;&gt;"",'Calculations'!HF363='Calculations'!IJ363),1,0)</x:f>
        <x:v>0</x:v>
      </x:c>
      <x:c r="EQ363" s="4"/>
      <x:c r="ER363" s="4"/>
      <x:c r="ES363" s="4"/>
      <x:c r="ET363" s="4"/>
      <x:c r="EU363" s="4"/>
      <x:c r="EV363" s="4"/>
      <x:c r="EW363" s="4"/>
      <x:c r="EX363" s="4"/>
      <x:c r="EY363" s="4"/>
      <x:c r="EZ363" s="4"/>
      <x:c r="FA363" s="4"/>
      <x:c r="FB363" s="4"/>
      <x:c r="FC363" s="4"/>
      <x:c r="FD363" s="4"/>
      <x:c r="FE363" s="4"/>
      <x:c r="FF363" s="4"/>
      <x:c r="FG363" s="4"/>
      <x:c r="FH363" s="4"/>
      <x:c r="FI363" s="4"/>
      <x:c r="FJ363" s="4"/>
      <x:c r="FK363" s="4"/>
      <x:c r="FL363" s="4"/>
      <x:c r="FM363" s="4"/>
      <x:c r="FN363" s="4"/>
      <x:c r="FO363" s="4"/>
      <x:c r="HE363" t="str">
        <x:f>IF('Calculations'!EM363="","",IF(IFERROR(IF(INDEX(INDIRECT("'WCM Calibration Final'!$A$1:$A$2000"),'Calculations'!$EM363)="","",TRIM(INDEX(INDIRECT("'WCM Calibration Final'!$A$1:$A$2000"),'Calculations'!$EM363)&amp;"")),"")&lt;&gt;"","G:"&amp;IFERROR(TEXT(1*INDEX(INDIRECT("'WCM Calibration Final'!$A$1:$A$2000"),'Calculations'!$EM363),"0"),UPPER(IFERROR(IF(INDEX(INDIRECT("'WCM Calibration Final'!$A$1:$A$2000"),'Calculations'!$EM363)="","",TRIM(INDEX(INDIRECT("'WCM Calibration Final'!$A$1:$A$2000"),'Calculations'!$EM363)&amp;"")),""))),IF(IFERROR(IF(INDEX(INDIRECT("'WCM Calibration Final'!$C$1:$C$2000"),'Calculations'!$EM363)="","",TRIM(INDEX(INDIRECT("'WCM Calibration Final'!$C$1:$C$2000"),'Calculations'!$EM363)&amp;"")),"")&lt;&gt;"","S:"&amp;UPPER(IFERROR(IF(INDEX(INDIRECT("'WCM Calibration Final'!$C$1:$C$2000"),'Calculations'!$EM363)="","",TRIM(INDEX(INDIRECT("'WCM Calibration Final'!$C$1:$C$2000"),'Calculations'!$EM363)&amp;"")),"")),"R:"&amp;'Calculations'!EM363)))</x:f>
      </x:c>
      <x:c r="HF363" t="str">
        <x:f>IF('Calculations'!EM363="","",IF(IFERROR(IF(INDEX(INDIRECT("'WCM Calibration Final'!$D$1:$D$2000"),'Calculations'!$EM363)="","",TRIM(INDEX(INDIRECT("'WCM Calibration Final'!$D$1:$D$2000"),'Calculations'!$EM363)&amp;"")),"")&lt;&gt;"","G:"&amp;IFERROR(TEXT(1*INDEX(INDIRECT("'WCM Calibration Final'!$D$1:$D$2000"),'Calculations'!$EM363),"0"),UPPER(IFERROR(IF(INDEX(INDIRECT("'WCM Calibration Final'!$D$1:$D$2000"),'Calculations'!$EM363)="","",TRIM(INDEX(INDIRECT("'WCM Calibration Final'!$D$1:$D$2000"),'Calculations'!$EM363)&amp;"")),""))),IF(IFERROR(IF(INDEX(INDIRECT("'WCM Calibration Final'!$E$1:$E$2000"),'Calculations'!$EM363)="","",TRIM(INDEX(INDIRECT("'WCM Calibration Final'!$E$1:$E$2000"),'Calculations'!$EM363)&amp;"")),"")="","",IF(COUNTIF('Calculations'!$HG$13:$HG$512,"="&amp;SUBSTITUTE(SUBSTITUTE(SUBSTITUTE(IFERROR(IF(INDEX(INDIRECT("'WCM Calibration Final'!$E$1:$E$2000"),'Calculations'!$EM363)="","",TRIM(INDEX(INDIRECT("'WCM Calibration Final'!$E$1:$E$2000"),'Calculations'!$EM363)&amp;"")),""),"~","~~"),"*","~*"),"?","~?"))=1,INDEX('Calculations'!$HE$13:$HE$512,MATCH(IFERROR(IF(INDEX(INDIRECT("'WCM Calibration Final'!$E$1:$E$2000"),'Calculations'!$EM363)="","",TRIM(INDEX(INDIRECT("'WCM Calibration Final'!$E$1:$E$2000"),'Calculations'!$EM363)&amp;"")),""),'Calculations'!$HG$13:$HG$512,0)),IF(COUNTIF('Calculations'!$HG$13:$HG$512,"="&amp;SUBSTITUTE(SUBSTITUTE(SUBSTITUTE(IFERROR(IF(INDEX(INDIRECT("'WCM Calibration Final'!$E$1:$E$2000"),'Calculations'!$EM363)="","",TRIM(INDEX(INDIRECT("'WCM Calibration Final'!$E$1:$E$2000"),'Calculations'!$EM363)&amp;"")),""),"~","~~"),"*","~*"),"?","~?"))&gt;1,"!AMBIG","X:"&amp;IFERROR(IF(INDEX(INDIRECT("'WCM Calibration Final'!$E$1:$E$2000"),'Calculations'!$EM363)="","",TRIM(INDEX(INDIRECT("'WCM Calibration Final'!$E$1:$E$2000"),'Calculations'!$EM363)&amp;"")),""))))))</x:f>
      </x:c>
      <x:c r="HG363" t="str">
        <x:f>IF('Calculations'!EM363="","",IFERROR(IF(INDEX(INDIRECT("'WCM Calibration Final'!$B$1:$B$2000"),'Calculations'!$EM363)="","",TRIM(INDEX(INDIRECT("'WCM Calibration Final'!$B$1:$B$2000"),'Calculations'!$EM363)&amp;"")),""))</x:f>
      </x:c>
      <x:c r="HH363" t="n">
        <x:f>IF(AND('Calculations'!JC363&gt;0,COUNTIF('Calculations'!$HF$12:HF363,"="&amp;SUBSTITUTE(SUBSTITUTE(SUBSTITUTE('Calculations'!HF363,"~","~~"),"*","~*"),"?","~?"))=1),MAX('Calculations'!$HH$12:HH362)+1,0)</x:f>
        <x:v>0</x:v>
      </x:c>
      <x:c r="HI363" t="n">
        <x:f>IF(AND('Calculations'!HN363&lt;&gt;"",COUNTIF('Calculations'!$HN$12:HN363,"="&amp;SUBSTITUTE(SUBSTITUTE(SUBSTITUTE('Calculations'!HN363,"~","~~"),"*","~*"),"?","~?"))=1),MAX('Calculations'!$HI$12:HI362)+1,0)</x:f>
        <x:v>0</x:v>
      </x:c>
      <x:c r="HJ363" t="str">
        <x:f>IF('Calculations'!HF363="","",IF(COUNTIF('Calculations'!$HE$13:$HE$512,"="&amp;SUBSTITUTE(SUBSTITUTE(SUBSTITUTE('Calculations'!HF363,"~","~~"),"*","~*"),"?","~?"))=1,INDEX('Calculations'!$HK$13:$HK$512,MATCH('Calculations'!HF363,'Calculations'!$HE$13:$HE$512,0)),IFERROR(IF(INDEX(INDIRECT("'WCM Calibration Final'!$E$1:$E$2000"),'Calculations'!$EM363)="","",TRIM(INDEX(INDIRECT("'WCM Calibration Final'!$E$1:$E$2000"),'Calculations'!$EM363)&amp;"")),"")&amp;" ["&amp;'Calculations'!HF363&amp;"]"))</x:f>
      </x:c>
      <x:c r="HK363" t="str">
        <x:f>IF('Calculations'!EM363="","",'Calculations'!HG363&amp;" ["&amp;'Calculations'!HE363&amp;"]")</x:f>
      </x:c>
      <x:c r="HL363" t="n">
        <x:f>IF('Calculations'!EM363="",0,IF(OR('Calculations'!II363&lt;&gt;"",COUNTIF('Calculations'!$HE$13:$HE$512,"="&amp;SUBSTITUTE(SUBSTITUTE(SUBSTITUTE('Calculations'!HE363,"~","~~"),"*","~*"),"?","~?"))&gt;1),1,0))</x:f>
        <x:v>0</x:v>
      </x:c>
      <x:c r="HM363" t="str">
        <x:f>IF('Calculations'!EM363="","",IF('Calculations'!HL363=1,"!UNRESOLVED",IF('Calculations'!IH363&lt;&gt;"",'Calculations'!IH363,IF('Calculations'!IG363&lt;&gt;"",'Calculations'!IG363,IF('Calculations'!IF363&lt;&gt;"",'Calculations'!IF363,IF('Calculations'!IE363&lt;&gt;"",'Calculations'!IE363,IF('Calculations'!ID363&lt;&gt;"",'Calculations'!ID363,IF('Calculations'!IC363&lt;&gt;"",'Calculations'!IC363,IF('Calculations'!IB363&lt;&gt;"",'Calculations'!IB363,IF('Calculations'!IA363&lt;&gt;"",'Calculations'!IA363,IF('Calculations'!HZ363&lt;&gt;"",'Calculations'!HZ363,IF('Calculations'!HY363&lt;&gt;"",'Calculations'!HY363,IF('Calculations'!HX363&lt;&gt;"",'Calculations'!HX363,IF('Calculations'!HW363&lt;&gt;"",'Calculations'!HW363,IF('Calculations'!HV363&lt;&gt;"",'Calculations'!HV363,IF('Calculations'!HU363&lt;&gt;"",'Calculations'!HU363,IF('Calculations'!HT363&lt;&gt;"",'Calculations'!HT363,IF('Calculations'!HS363&lt;&gt;"",'Calculations'!HS363,IF('Calculations'!HR363&lt;&gt;"",'Calculations'!HR363,IF('Calculations'!HQ363&lt;&gt;"",'Calculations'!HQ363,IF('Calculations'!HP363&lt;&gt;"",'Calculations'!HP363,IF('Calculations'!HO363&lt;&gt;"",'Calculations'!HO363,'Calculations'!HE363))))))))))))))))))))))</x:f>
      </x:c>
      <x:c r="HN363" t="str">
        <x:f>IF('Calculations'!EM363="","",IF(IFERROR(IF(INDEX(INDIRECT("'WCM Calibration Final'!$F$1:$F$2000"),'Calculations'!$EM363)="","",TRIM(INDEX(INDIRECT("'WCM Calibration Final'!$F$1:$F$2000"),'Calculations'!$EM363)&amp;"")),"")="","(Blank)",IFERROR(IF(INDEX(INDIRECT("'WCM Calibration Final'!$F$1:$F$2000"),'Calculations'!$EM363)="","",TRIM(INDEX(INDIRECT("'WCM Calibration Final'!$F$1:$F$2000"),'Calculations'!$EM363)&amp;"")),"")))</x:f>
      </x:c>
      <x:c r="HO363" t="str">
        <x:f>'Calculations'!HF363</x:f>
      </x:c>
      <x:c r="HP363" t="str">
        <x:f>IF('Calculations'!HO363="","",IF('Calculations'!HO363="!AMBIG","!AMBIG",IF(COUNTIF('Calculations'!$HE$13:$HE$512,"="&amp;SUBSTITUTE(SUBSTITUTE(SUBSTITUTE('Calculations'!HO363,"~","~~"),"*","~*"),"?","~?"))&gt;1,"!AMBIG",IFERROR(INDEX('Calculations'!$HF$13:$HF$512,MATCH('Calculations'!HO363,'Calculations'!$HE$13:$HE$512,0)),""))))</x:f>
      </x:c>
      <x:c r="HQ363" t="str">
        <x:f>IF('Calculations'!HP363="","",IF('Calculations'!HP363="!AMBIG","!AMBIG",IF(COUNTIF('Calculations'!$HE$13:$HE$512,"="&amp;SUBSTITUTE(SUBSTITUTE(SUBSTITUTE('Calculations'!HP363,"~","~~"),"*","~*"),"?","~?"))&gt;1,"!AMBIG",IFERROR(INDEX('Calculations'!$HF$13:$HF$512,MATCH('Calculations'!HP363,'Calculations'!$HE$13:$HE$512,0)),""))))</x:f>
      </x:c>
      <x:c r="HR363" t="str">
        <x:f>IF('Calculations'!HQ363="","",IF('Calculations'!HQ363="!AMBIG","!AMBIG",IF(COUNTIF('Calculations'!$HE$13:$HE$512,"="&amp;SUBSTITUTE(SUBSTITUTE(SUBSTITUTE('Calculations'!HQ363,"~","~~"),"*","~*"),"?","~?"))&gt;1,"!AMBIG",IFERROR(INDEX('Calculations'!$HF$13:$HF$512,MATCH('Calculations'!HQ363,'Calculations'!$HE$13:$HE$512,0)),""))))</x:f>
      </x:c>
      <x:c r="HS363" t="str">
        <x:f>IF('Calculations'!HR363="","",IF('Calculations'!HR363="!AMBIG","!AMBIG",IF(COUNTIF('Calculations'!$HE$13:$HE$512,"="&amp;SUBSTITUTE(SUBSTITUTE(SUBSTITUTE('Calculations'!HR363,"~","~~"),"*","~*"),"?","~?"))&gt;1,"!AMBIG",IFERROR(INDEX('Calculations'!$HF$13:$HF$512,MATCH('Calculations'!HR363,'Calculations'!$HE$13:$HE$512,0)),""))))</x:f>
      </x:c>
      <x:c r="HT363" t="str">
        <x:f>IF('Calculations'!HS363="","",IF('Calculations'!HS363="!AMBIG","!AMBIG",IF(COUNTIF('Calculations'!$HE$13:$HE$512,"="&amp;SUBSTITUTE(SUBSTITUTE(SUBSTITUTE('Calculations'!HS363,"~","~~"),"*","~*"),"?","~?"))&gt;1,"!AMBIG",IFERROR(INDEX('Calculations'!$HF$13:$HF$512,MATCH('Calculations'!HS363,'Calculations'!$HE$13:$HE$512,0)),""))))</x:f>
      </x:c>
      <x:c r="HU363" t="str">
        <x:f>IF('Calculations'!HT363="","",IF('Calculations'!HT363="!AMBIG","!AMBIG",IF(COUNTIF('Calculations'!$HE$13:$HE$512,"="&amp;SUBSTITUTE(SUBSTITUTE(SUBSTITUTE('Calculations'!HT363,"~","~~"),"*","~*"),"?","~?"))&gt;1,"!AMBIG",IFERROR(INDEX('Calculations'!$HF$13:$HF$512,MATCH('Calculations'!HT363,'Calculations'!$HE$13:$HE$512,0)),""))))</x:f>
      </x:c>
      <x:c r="HV363" t="str">
        <x:f>IF('Calculations'!HU363="","",IF('Calculations'!HU363="!AMBIG","!AMBIG",IF(COUNTIF('Calculations'!$HE$13:$HE$512,"="&amp;SUBSTITUTE(SUBSTITUTE(SUBSTITUTE('Calculations'!HU363,"~","~~"),"*","~*"),"?","~?"))&gt;1,"!AMBIG",IFERROR(INDEX('Calculations'!$HF$13:$HF$512,MATCH('Calculations'!HU363,'Calculations'!$HE$13:$HE$512,0)),""))))</x:f>
      </x:c>
      <x:c r="HW363" t="str">
        <x:f>IF('Calculations'!HV363="","",IF('Calculations'!HV363="!AMBIG","!AMBIG",IF(COUNTIF('Calculations'!$HE$13:$HE$512,"="&amp;SUBSTITUTE(SUBSTITUTE(SUBSTITUTE('Calculations'!HV363,"~","~~"),"*","~*"),"?","~?"))&gt;1,"!AMBIG",IFERROR(INDEX('Calculations'!$HF$13:$HF$512,MATCH('Calculations'!HV363,'Calculations'!$HE$13:$HE$512,0)),""))))</x:f>
      </x:c>
      <x:c r="HX363" t="str">
        <x:f>IF('Calculations'!HW363="","",IF('Calculations'!HW363="!AMBIG","!AMBIG",IF(COUNTIF('Calculations'!$HE$13:$HE$512,"="&amp;SUBSTITUTE(SUBSTITUTE(SUBSTITUTE('Calculations'!HW363,"~","~~"),"*","~*"),"?","~?"))&gt;1,"!AMBIG",IFERROR(INDEX('Calculations'!$HF$13:$HF$512,MATCH('Calculations'!HW363,'Calculations'!$HE$13:$HE$512,0)),""))))</x:f>
      </x:c>
      <x:c r="HY363" t="str">
        <x:f>IF('Calculations'!HX363="","",IF('Calculations'!HX363="!AMBIG","!AMBIG",IF(COUNTIF('Calculations'!$HE$13:$HE$512,"="&amp;SUBSTITUTE(SUBSTITUTE(SUBSTITUTE('Calculations'!HX363,"~","~~"),"*","~*"),"?","~?"))&gt;1,"!AMBIG",IFERROR(INDEX('Calculations'!$HF$13:$HF$512,MATCH('Calculations'!HX363,'Calculations'!$HE$13:$HE$512,0)),""))))</x:f>
      </x:c>
      <x:c r="HZ363" t="str">
        <x:f>IF('Calculations'!HY363="","",IF('Calculations'!HY363="!AMBIG","!AMBIG",IF(COUNTIF('Calculations'!$HE$13:$HE$512,"="&amp;SUBSTITUTE(SUBSTITUTE(SUBSTITUTE('Calculations'!HY363,"~","~~"),"*","~*"),"?","~?"))&gt;1,"!AMBIG",IFERROR(INDEX('Calculations'!$HF$13:$HF$512,MATCH('Calculations'!HY363,'Calculations'!$HE$13:$HE$512,0)),""))))</x:f>
      </x:c>
      <x:c r="IA363" t="str">
        <x:f>IF('Calculations'!HZ363="","",IF('Calculations'!HZ363="!AMBIG","!AMBIG",IF(COUNTIF('Calculations'!$HE$13:$HE$512,"="&amp;SUBSTITUTE(SUBSTITUTE(SUBSTITUTE('Calculations'!HZ363,"~","~~"),"*","~*"),"?","~?"))&gt;1,"!AMBIG",IFERROR(INDEX('Calculations'!$HF$13:$HF$512,MATCH('Calculations'!HZ363,'Calculations'!$HE$13:$HE$512,0)),""))))</x:f>
      </x:c>
      <x:c r="IB363" t="str">
        <x:f>IF('Calculations'!IA363="","",IF('Calculations'!IA363="!AMBIG","!AMBIG",IF(COUNTIF('Calculations'!$HE$13:$HE$512,"="&amp;SUBSTITUTE(SUBSTITUTE(SUBSTITUTE('Calculations'!IA363,"~","~~"),"*","~*"),"?","~?"))&gt;1,"!AMBIG",IFERROR(INDEX('Calculations'!$HF$13:$HF$512,MATCH('Calculations'!IA363,'Calculations'!$HE$13:$HE$512,0)),""))))</x:f>
      </x:c>
      <x:c r="IC363" t="str">
        <x:f>IF('Calculations'!IB363="","",IF('Calculations'!IB363="!AMBIG","!AMBIG",IF(COUNTIF('Calculations'!$HE$13:$HE$512,"="&amp;SUBSTITUTE(SUBSTITUTE(SUBSTITUTE('Calculations'!IB363,"~","~~"),"*","~*"),"?","~?"))&gt;1,"!AMBIG",IFERROR(INDEX('Calculations'!$HF$13:$HF$512,MATCH('Calculations'!IB363,'Calculations'!$HE$13:$HE$512,0)),""))))</x:f>
      </x:c>
      <x:c r="ID363" t="str">
        <x:f>IF('Calculations'!IC363="","",IF('Calculations'!IC363="!AMBIG","!AMBIG",IF(COUNTIF('Calculations'!$HE$13:$HE$512,"="&amp;SUBSTITUTE(SUBSTITUTE(SUBSTITUTE('Calculations'!IC363,"~","~~"),"*","~*"),"?","~?"))&gt;1,"!AMBIG",IFERROR(INDEX('Calculations'!$HF$13:$HF$512,MATCH('Calculations'!IC363,'Calculations'!$HE$13:$HE$512,0)),""))))</x:f>
      </x:c>
      <x:c r="IE363" t="str">
        <x:f>IF('Calculations'!ID363="","",IF('Calculations'!ID363="!AMBIG","!AMBIG",IF(COUNTIF('Calculations'!$HE$13:$HE$512,"="&amp;SUBSTITUTE(SUBSTITUTE(SUBSTITUTE('Calculations'!ID363,"~","~~"),"*","~*"),"?","~?"))&gt;1,"!AMBIG",IFERROR(INDEX('Calculations'!$HF$13:$HF$512,MATCH('Calculations'!ID363,'Calculations'!$HE$13:$HE$512,0)),""))))</x:f>
      </x:c>
      <x:c r="IF363" t="str">
        <x:f>IF('Calculations'!IE363="","",IF('Calculations'!IE363="!AMBIG","!AMBIG",IF(COUNTIF('Calculations'!$HE$13:$HE$512,"="&amp;SUBSTITUTE(SUBSTITUTE(SUBSTITUTE('Calculations'!IE363,"~","~~"),"*","~*"),"?","~?"))&gt;1,"!AMBIG",IFERROR(INDEX('Calculations'!$HF$13:$HF$512,MATCH('Calculations'!IE363,'Calculations'!$HE$13:$HE$512,0)),""))))</x:f>
      </x:c>
      <x:c r="IG363" t="str">
        <x:f>IF('Calculations'!IF363="","",IF('Calculations'!IF363="!AMBIG","!AMBIG",IF(COUNTIF('Calculations'!$HE$13:$HE$512,"="&amp;SUBSTITUTE(SUBSTITUTE(SUBSTITUTE('Calculations'!IF363,"~","~~"),"*","~*"),"?","~?"))&gt;1,"!AMBIG",IFERROR(INDEX('Calculations'!$HF$13:$HF$512,MATCH('Calculations'!IF363,'Calculations'!$HE$13:$HE$512,0)),""))))</x:f>
      </x:c>
      <x:c r="IH363" t="str">
        <x:f>IF('Calculations'!IG363="","",IF('Calculations'!IG363="!AMBIG","!AMBIG",IF(COUNTIF('Calculations'!$HE$13:$HE$512,"="&amp;SUBSTITUTE(SUBSTITUTE(SUBSTITUTE('Calculations'!IG363,"~","~~"),"*","~*"),"?","~?"))&gt;1,"!AMBIG",IFERROR(INDEX('Calculations'!$HF$13:$HF$512,MATCH('Calculations'!IG363,'Calculations'!$HE$13:$HE$512,0)),""))))</x:f>
      </x:c>
      <x:c r="II363" t="str">
        <x:f>IF('Calculations'!IH363="","",IF('Calculations'!IH363="!AMBIG","!AMBIG",IF(COUNTIF('Calculations'!$HE$13:$HE$512,"="&amp;SUBSTITUTE(SUBSTITUTE(SUBSTITUTE('Calculations'!IH363,"~","~~"),"*","~*"),"?","~?"))&gt;1,"!AMBIG",IFERROR(INDEX('Calculations'!$HF$13:$HF$512,MATCH('Calculations'!IH363,'Calculations'!$HE$13:$HE$512,0)),""))))</x:f>
      </x:c>
      <x:c r="IJ363" t="str">
        <x:f>IF('Calculations'!EM363="","",IF('Calculations'!$EF$2="All",'Calculations'!HM363,IF('Calculations'!HL363=1,"",IFERROR(IF(MATCH('Calculations'!$EF$2,'Calculations'!HO363:II363,0)=1,'Calculations'!HE363,INDEX('Calculations'!HO363:II363,1,MATCH('Calculations'!$EF$2,'Calculations'!HO363:II363,0)-1)),""))))</x:f>
      </x:c>
      <x:c r="IK363" t="n">
        <x:f>IF(AND('Calculations'!EM363&lt;&gt;"",'Calculations'!$EF$2&lt;&gt;"All",'Calculations'!HF363='Calculations'!$EF$2,'Calculations'!HL363=0,'Calculations'!JD363&gt;0),MAX('Calculations'!$IK$12:IK362)+1,0)</x:f>
        <x:v>0</x:v>
      </x:c>
      <x:c r="JA363" t="n">
        <x:f>IF(OR(IFERROR(INDIRECT("'WCM Calibration Final'!$A$363")&lt;&gt;"",FALSE),IFERROR(INDIRECT("'WCM Calibration Final'!$B$363")&lt;&gt;"",FALSE),IFERROR(INDIRECT("'WCM Calibration Final'!$C$363")&lt;&gt;"",FALSE)),363,0)</x:f>
        <x:v>0</x:v>
      </x:c>
      <x:c r="JB363" t="n">
        <x:f>'Calculations'!JB362+IF('Calculations'!JA363&gt;0,1,0)</x:f>
        <x:v>0</x:v>
      </x:c>
      <x:c r="JC363" t="n">
        <x:f>IF(OR('Calculations'!HF363="",'Calculations'!HF363="!AMBIG"),0,IF('Dashboard'!$B$7="All",1,COUNTIFS('Calculations'!$HO$13:$HO$512,"="&amp;SUBSTITUTE(SUBSTITUTE(SUBSTITUTE('Calculations'!HF363,"~","~~"),"*","~*"),"?","~?"),'Calculations'!$HN$13:$HN$512,"="&amp;SUBSTITUTE(SUBSTITUTE(SUBSTITUTE('Dashboard'!$B$7,"~","~~"),"*","~*"),"?","~?"))+COUNTIFS('Calculations'!$HP$13:$HP$512,"="&amp;SUBSTITUTE(SUBSTITUTE(SUBSTITUTE('Calculations'!HF363,"~","~~"),"*","~*"),"?","~?"),'Calculations'!$HN$13:$HN$512,"="&amp;SUBSTITUTE(SUBSTITUTE(SUBSTITUTE('Dashboard'!$B$7,"~","~~"),"*","~*"),"?","~?"))+COUNTIFS('Calculations'!$HQ$13:$HQ$512,"="&amp;SUBSTITUTE(SUBSTITUTE(SUBSTITUTE('Calculations'!HF363,"~","~~"),"*","~*"),"?","~?"),'Calculations'!$HN$13:$HN$512,"="&amp;SUBSTITUTE(SUBSTITUTE(SUBSTITUTE('Dashboard'!$B$7,"~","~~"),"*","~*"),"?","~?"))+COUNTIFS('Calculations'!$HR$13:$HR$512,"="&amp;SUBSTITUTE(SUBSTITUTE(SUBSTITUTE('Calculations'!HF363,"~","~~"),"*","~*"),"?","~?"),'Calculations'!$HN$13:$HN$512,"="&amp;SUBSTITUTE(SUBSTITUTE(SUBSTITUTE('Dashboard'!$B$7,"~","~~"),"*","~*"),"?","~?"))+COUNTIFS('Calculations'!$HS$13:$HS$512,"="&amp;SUBSTITUTE(SUBSTITUTE(SUBSTITUTE('Calculations'!HF363,"~","~~"),"*","~*"),"?","~?"),'Calculations'!$HN$13:$HN$512,"="&amp;SUBSTITUTE(SUBSTITUTE(SUBSTITUTE('Dashboard'!$B$7,"~","~~"),"*","~*"),"?","~?"))+COUNTIFS('Calculations'!$HT$13:$HT$512,"="&amp;SUBSTITUTE(SUBSTITUTE(SUBSTITUTE('Calculations'!HF363,"~","~~"),"*","~*"),"?","~?"),'Calculations'!$HN$13:$HN$512,"="&amp;SUBSTITUTE(SUBSTITUTE(SUBSTITUTE('Dashboard'!$B$7,"~","~~"),"*","~*"),"?","~?"))+COUNTIFS('Calculations'!$HU$13:$HU$512,"="&amp;SUBSTITUTE(SUBSTITUTE(SUBSTITUTE('Calculations'!HF363,"~","~~"),"*","~*"),"?","~?"),'Calculations'!$HN$13:$HN$512,"="&amp;SUBSTITUTE(SUBSTITUTE(SUBSTITUTE('Dashboard'!$B$7,"~","~~"),"*","~*"),"?","~?"))+COUNTIFS('Calculations'!$HV$13:$HV$512,"="&amp;SUBSTITUTE(SUBSTITUTE(SUBSTITUTE('Calculations'!HF363,"~","~~"),"*","~*"),"?","~?"),'Calculations'!$HN$13:$HN$512,"="&amp;SUBSTITUTE(SUBSTITUTE(SUBSTITUTE('Dashboard'!$B$7,"~","~~"),"*","~*"),"?","~?"))+COUNTIFS('Calculations'!$HW$13:$HW$512,"="&amp;SUBSTITUTE(SUBSTITUTE(SUBSTITUTE('Calculations'!HF363,"~","~~"),"*","~*"),"?","~?"),'Calculations'!$HN$13:$HN$512,"="&amp;SUBSTITUTE(SUBSTITUTE(SUBSTITUTE('Dashboard'!$B$7,"~","~~"),"*","~*"),"?","~?"))+COUNTIFS('Calculations'!$HX$13:$HX$512,"="&amp;SUBSTITUTE(SUBSTITUTE(SUBSTITUTE('Calculations'!HF363,"~","~~"),"*","~*"),"?","~?"),'Calculations'!$HN$13:$HN$512,"="&amp;SUBSTITUTE(SUBSTITUTE(SUBSTITUTE('Dashboard'!$B$7,"~","~~"),"*","~*"),"?","~?"))+COUNTIFS('Calculations'!$HY$13:$HY$512,"="&amp;SUBSTITUTE(SUBSTITUTE(SUBSTITUTE('Calculations'!HF363,"~","~~"),"*","~*"),"?","~?"),'Calculations'!$HN$13:$HN$512,"="&amp;SUBSTITUTE(SUBSTITUTE(SUBSTITUTE('Dashboard'!$B$7,"~","~~"),"*","~*"),"?","~?"))+COUNTIFS('Calculations'!$HZ$13:$HZ$512,"="&amp;SUBSTITUTE(SUBSTITUTE(SUBSTITUTE('Calculations'!HF363,"~","~~"),"*","~*"),"?","~?"),'Calculations'!$HN$13:$HN$512,"="&amp;SUBSTITUTE(SUBSTITUTE(SUBSTITUTE('Dashboard'!$B$7,"~","~~"),"*","~*"),"?","~?"))+COUNTIFS('Calculations'!$IA$13:$IA$512,"="&amp;SUBSTITUTE(SUBSTITUTE(SUBSTITUTE('Calculations'!HF363,"~","~~"),"*","~*"),"?","~?"),'Calculations'!$HN$13:$HN$512,"="&amp;SUBSTITUTE(SUBSTITUTE(SUBSTITUTE('Dashboard'!$B$7,"~","~~"),"*","~*"),"?","~?"))+COUNTIFS('Calculations'!$IB$13:$IB$512,"="&amp;SUBSTITUTE(SUBSTITUTE(SUBSTITUTE('Calculations'!HF363,"~","~~"),"*","~*"),"?","~?"),'Calculations'!$HN$13:$HN$512,"="&amp;SUBSTITUTE(SUBSTITUTE(SUBSTITUTE('Dashboard'!$B$7,"~","~~"),"*","~*"),"?","~?"))+COUNTIFS('Calculations'!$IC$13:$IC$512,"="&amp;SUBSTITUTE(SUBSTITUTE(SUBSTITUTE('Calculations'!HF363,"~","~~"),"*","~*"),"?","~?"),'Calculations'!$HN$13:$HN$512,"="&amp;SUBSTITUTE(SUBSTITUTE(SUBSTITUTE('Dashboard'!$B$7,"~","~~"),"*","~*"),"?","~?"))+COUNTIFS('Calculations'!$ID$13:$ID$512,"="&amp;SUBSTITUTE(SUBSTITUTE(SUBSTITUTE('Calculations'!HF363,"~","~~"),"*","~*"),"?","~?"),'Calculations'!$HN$13:$HN$512,"="&amp;SUBSTITUTE(SUBSTITUTE(SUBSTITUTE('Dashboard'!$B$7,"~","~~"),"*","~*"),"?","~?"))+COUNTIFS('Calculations'!$IE$13:$IE$512,"="&amp;SUBSTITUTE(SUBSTITUTE(SUBSTITUTE('Calculations'!HF363,"~","~~"),"*","~*"),"?","~?"),'Calculations'!$HN$13:$HN$512,"="&amp;SUBSTITUTE(SUBSTITUTE(SUBSTITUTE('Dashboard'!$B$7,"~","~~"),"*","~*"),"?","~?"))+COUNTIFS('Calculations'!$IF$13:$IF$512,"="&amp;SUBSTITUTE(SUBSTITUTE(SUBSTITUTE('Calculations'!HF363,"~","~~"),"*","~*"),"?","~?"),'Calculations'!$HN$13:$HN$512,"="&amp;SUBSTITUTE(SUBSTITUTE(SUBSTITUTE('Dashboard'!$B$7,"~","~~"),"*","~*"),"?","~?"))+COUNTIFS('Calculations'!$IG$13:$IG$512,"="&amp;SUBSTITUTE(SUBSTITUTE(SUBSTITUTE('Calculations'!HF363,"~","~~"),"*","~*"),"?","~?"),'Calculations'!$HN$13:$HN$512,"="&amp;SUBSTITUTE(SUBSTITUTE(SUBSTITUTE('Dashboard'!$B$7,"~","~~"),"*","~*"),"?","~?"))+COUNTIFS('Calculations'!$IH$13:$IH$512,"="&amp;SUBSTITUTE(SUBSTITUTE(SUBSTITUTE('Calculations'!HF363,"~","~~"),"*","~*"),"?","~?"),'Calculations'!$HN$13:$HN$512,"="&amp;SUBSTITUTE(SUBSTITUTE(SUBSTITUTE('Dashboard'!$B$7,"~","~~"),"*","~*"),"?","~?"))))</x:f>
        <x:v>0</x:v>
      </x:c>
      <x:c r="JD363" t="n">
        <x:f>IF('Calculations'!EM363="",0,IF('Dashboard'!$B$7="All",1,IF('Calculations'!HN363='Dashboard'!$B$7,1,0)+IFERROR(INDEX('Calculations'!$JC$13:$JC$512,MATCH('Calculations'!HE363,'Calculations'!$HF$13:$HF$512,0)),0)))</x:f>
        <x:v>0</x:v>
      </x:c>
      <x:c r="JE363" t="n">
        <x:f>IF(AND('Calculations'!EM363&lt;&gt;"",'Calculations'!$JJ$2&lt;&gt;"All",'Calculations'!$JJ$2&lt;&gt;"",'Calculations'!HF363='Calculations'!$JJ$2,'Calculations'!HL363=0,'Calculations'!JD363&gt;0),MAX('Calculations'!$JE$12:JE362)+1,0)</x:f>
        <x:v>0</x:v>
      </x:c>
      <x:c r="JF363" t="str">
        <x:f>IF('Calculations'!EM363="","",IFERROR(IF(INDEX(INDIRECT("'WCM Calibration Final'!$G$1:$G$2000"),'Calculations'!$EM363)="","",TRIM(INDEX(INDIRECT("'WCM Calibration Final'!$G$1:$G$2000"),'Calculations'!$EM363)&amp;"")),""))</x:f>
      </x:c>
      <x:c r="JQ363" t="n">
        <x:f>IF(OR('Calculations'!BM363=0,NOT('Calculations'!$AG$2),'Calculations'!$AG$8&gt;0),0,IF(OR('Dashboard'!$B$7="All",'Calculations'!HN363='Dashboard'!$B$7),IF('Calculations'!$JJ$2="All",1,IF(AND('Calculations'!HF363='Calculations'!$JJ$2,'Calculations'!HL363=0),1,0)),0))</x:f>
        <x:v>0</x:v>
      </x:c>
    </x:row>
    <x:row r="364">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t="n">
        <x:f>IF('Calculations'!$EM364="",0,IF(OR(IFERROR(INDEX(INDIRECT("'WCM Calibration Final'!$A$1:$A$2000"),'Calculations'!$EM364)&lt;&gt;"",FALSE),IFERROR(INDEX(INDIRECT("'WCM Calibration Final'!$B$1:$B$2000"),'Calculations'!$EM364)&lt;&gt;"",FALSE),IFERROR(INDEX(INDIRECT("'WCM Calibration Final'!$C$1:$C$2000"),'Calculations'!$EM364)&lt;&gt;"",FALSE)),1,0))</x:f>
        <x:v>0</x:v>
      </x:c>
      <x:c r="BN364" s="4" t="n">
        <x:f>IF(AND('Calculations'!BM364=1,'Calculations'!$AG$2,'Calculations'!$EN364=1),1,0)</x:f>
        <x:v>0</x:v>
      </x:c>
      <x:c r="BO364" s="4" t="str">
        <x:f>IF('Calculations'!BM364=0,"",IFERROR(IF(AND(VALUE(INDEX(INDIRECT("'WCM Calibration Final'!$K$1:$K$2000"),'Calculations'!$EM364))&gt;=1,VALUE(INDEX(INDIRECT("'WCM Calibration Final'!$K$1:$K$2000"),'Calculations'!$EM364))&lt;=4,MOD(VALUE(INDEX(INDIRECT("'WCM Calibration Final'!$K$1:$K$2000"),'Calculations'!$EM364)),1)=0),VALUE(INDEX(INDIRECT("'WCM Calibration Final'!$K$1:$K$2000"),'Calculations'!$EM364)),""),""))</x:f>
      </x:c>
      <x:c r="BP364" s="4" t="str">
        <x:f>IF('Calculations'!BM364=0,"",IFERROR(IF(AND(VALUE(INDEX(INDIRECT("'WCM Calibration Final'!$L$1:$L$2000"),'Calculations'!$EM364))&gt;=1,VALUE(INDEX(INDIRECT("'WCM Calibration Final'!$L$1:$L$2000"),'Calculations'!$EM364))&lt;=4,MOD(VALUE(INDEX(INDIRECT("'WCM Calibration Final'!$L$1:$L$2000"),'Calculations'!$EM364)),1)=0),VALUE(INDEX(INDIRECT("'WCM Calibration Final'!$L$1:$L$2000"),'Calculations'!$EM364)),""),""))</x:f>
      </x:c>
      <x:c r="BQ364" s="4"/>
      <x:c r="BR364" s="4"/>
      <x:c r="BS364" s="4"/>
      <x:c r="BT364" s="4" t="n">
        <x:f>IF(AND('Calculations'!BM364=1,ISNUMBER('Calculations'!BO364),ISNUMBER('Calculations'!BP364)),1,0)</x:f>
        <x:v>0</x:v>
      </x:c>
      <x:c r="BU364" s="4" t="str">
        <x:f>IF('Calculations'!BM364=0,"",'Calculations'!$EO364)</x:f>
      </x:c>
      <x:c r="BV364" s="4" t="str">
        <x:f>IF('Calculations'!BM364=0,"",IFERROR(IF(OR(INDEX(INDIRECT("'WCM Calibration Final'!$H$1:$H$2000"),'Calculations'!$EM364)="MANAGING DIRECTOR",INDEX(INDIRECT("'WCM Calibration Final'!$H$1:$H$2000"),'Calculations'!$EM364)="DIRECTOR",INDEX(INDIRECT("'WCM Calibration Final'!$H$1:$H$2000"),'Calculations'!$EM364)="SENIOR VICE PRESIDENT",INDEX(INDIRECT("'WCM Calibration Final'!$H$1:$H$2000"),'Calculations'!$EM364)="VICE PRESIDENT",INDEX(INDIRECT("'WCM Calibration Final'!$H$1:$H$2000"),'Calculations'!$EM364)="ASSISTANT VICE PRESIDENT",INDEX(INDIRECT("'WCM Calibration Final'!$H$1:$H$2000"),'Calculations'!$EM364)="OFFICER"),UPPER(INDEX(INDIRECT("'WCM Calibration Final'!$H$1:$H$2000"),'Calculations'!$EM364)),"Other"),"Other"))</x:f>
      </x:c>
      <x:c r="BW364" s="4"/>
      <x:c r="BX364" s="4"/>
      <x:c r="BY364" s="4" t="n">
        <x:f>IF(AND('Calculations'!BM364=1,'Calculations'!BU364&lt;&gt;"",COUNTIF('Calculations'!$BU$12:BU364,'Calculations'!BU364)=1),MAX('Calculations'!$BY$11:BY363)+1,0)</x:f>
        <x:v>0</x:v>
      </x:c>
      <x:c r="BZ364" s="4" t="str">
        <x:f>IF('Dashboard'!$E$67="What",'Calculations'!BO364,'Calculations'!BP364)</x:f>
      </x:c>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t="str">
        <x:f>IF(353&gt;MAX('Calculations'!$HI$13:$HI$512),"",INDEX('Calculations'!$HN$13:$HN$512,MATCH(353,'Calculations'!$HI$13:$HI$512,0)))</x:f>
      </x:c>
      <x:c r="DB364" s="4" t="str">
        <x:f>IF(353&gt;MAX('Calculations'!$HH$13:$HH$512),"",INDEX('Calculations'!$HJ$13:$HJ$512,MATCH(353,'Calculations'!$HH$13:$HH$512,0)))</x:f>
      </x:c>
      <x:c r="DC364" s="4" t="str">
        <x:f>IF(ROW()-11&gt;MAX('Calculations'!$BY$13:$BY$512),"",INDEX('Calculations'!$BU$13:$BU$512,MATCH(ROW()-11,'Calculations'!$BY$13:$BY$512,0)))</x:f>
      </x:c>
      <x:c r="DD364" s="4" t="str">
        <x:f>IF(353&gt;MAX('Calculations'!$IK$13:$IK$512),"",INDEX('Calculations'!$HK$13:$HK$512,MATCH(353,'Calculations'!$IK$13:$IK$512,0)))</x:f>
      </x:c>
      <x:c r="DE364" s="4" t="str">
        <x:f>'Calculations'!DC364</x:f>
      </x:c>
      <x:c r="DF364" s="4" t="str">
        <x:f>IF('Calculations'!DE364="","",COUNTIFS('Calculations'!$BN$13:$BN$512,1,'Calculations'!$BU$13:$BU$512,'Calculations'!DE364))</x:f>
      </x:c>
      <x:c r="DG364" s="4" t="str">
        <x:f>IF('Calculations'!DE364="","",COUNTIFS('Calculations'!$BN$13:$BN$512,1,'Calculations'!$BU$13:$BU$512,'Calculations'!DE364,'Calculations'!$BT$13:$BT$512,1))</x:f>
      </x:c>
      <x:c r="DH364" s="4" t="str">
        <x:f>IF('Calculations'!DE364="","",'Calculations'!DF364-'Calculations'!DG364)</x:f>
      </x:c>
      <x:c r="DI364" s="4" t="str">
        <x:f>IF(OR('Calculations'!DE364="",'Calculations'!DF364=0),"",'Calculations'!DG364/'Calculations'!DF364)</x:f>
      </x:c>
      <x:c r="DJ364" s="4" t="str">
        <x:f>IF('Calculations'!DE364="","",COUNTIFS('Calculations'!$BN$13:$BN$512,1,'Calculations'!$BU$13:$BU$512,'Calculations'!DE364,'Calculations'!$BT$13:$BT$512,1,'Calculations'!$EE$13:$EE$512,"High"))</x:f>
      </x:c>
      <x:c r="DK364" s="4" t="str">
        <x:f>IF('Calculations'!DE364="","",COUNTIFS('Calculations'!$BN$13:$BN$512,1,'Calculations'!$BU$13:$BU$512,'Calculations'!DE364,'Calculations'!$BT$13:$BT$512,1,'Calculations'!$EE$13:$EE$512,"Strong"))</x:f>
      </x:c>
      <x:c r="DL364" s="4" t="str">
        <x:f>IF('Calculations'!DE364="","",COUNTIFS('Calculations'!$BN$13:$BN$512,1,'Calculations'!$BU$13:$BU$512,'Calculations'!DE364,'Calculations'!$BT$13:$BT$512,1,'Calculations'!$EE$13:$EE$512,"Solid"))</x:f>
      </x:c>
      <x:c r="DM364" s="4" t="str">
        <x:f>IF('Calculations'!DE364="","",COUNTIFS('Calculations'!$BN$13:$BN$512,1,'Calculations'!$BU$13:$BU$512,'Calculations'!DE364,'Calculations'!$BT$13:$BT$512,1,'Calculations'!$EE$13:$EE$512,"Low"))</x:f>
      </x:c>
      <x:c r="DN364" s="4" t="str">
        <x:f>IF('Calculations'!DE364="","",COUNTIFS('Calculations'!$BN$13:$BN$512,1,'Calculations'!$BU$13:$BU$512,'Calculations'!DE364,'Calculations'!$EP$13:$EP$512,1))</x:f>
      </x:c>
      <x:c r="DO364" s="4" t="str">
        <x:f>IF(OR('Calculations'!DE364="",'Calculations'!DG364=0),"",('Calculations'!DJ364+'Calculations'!DK364)/'Calculations'!DG364)</x:f>
      </x:c>
      <x:c r="DP364" s="4" t="n">
        <x:f>IF(AND('Calculations'!DE364&lt;&gt;"",'Calculations'!DF364&gt;0),COUNTIF('Calculations'!$DF$12:DF364,"&gt;0"),0)</x:f>
        <x:v>0</x:v>
      </x:c>
      <x:c r="DQ364" s="4" t="str">
        <x:f>IF(353&gt;MAX('Calculations'!$HH$13:$HH$512),"",INDEX('Calculations'!$HF$13:$HF$512,MATCH(353,'Calculations'!$HH$13:$HH$512,0)))</x:f>
      </x:c>
      <x:c r="DR364" s="4" t="str">
        <x:f>IF(353&gt;MAX('Calculations'!$IK$13:$IK$512),"",INDEX('Calculations'!$HE$13:$HE$512,MATCH(353,'Calculations'!$IK$13:$IK$512,0)))</x:f>
      </x:c>
      <x:c r="DS364" s="4"/>
      <x:c r="DT364" s="4"/>
      <x:c r="DU364" s="4"/>
      <x:c r="DV364" s="4"/>
      <x:c r="DW364" s="4"/>
      <x:c r="DX364" s="4"/>
      <x:c r="DY364" s="4"/>
      <x:c r="DZ364" s="4"/>
      <x:c r="EA364" s="4"/>
      <x:c r="EB364" s="4"/>
      <x:c r="EC364" s="4"/>
      <x:c r="ED364" s="4"/>
      <x:c r="EE364" s="4" t="str">
        <x:f>IF('Calculations'!BT364=0,"Not Rated",IF(OR('Calculations'!BO364&gt;=4,'Calculations'!BP364&gt;=4),"Low",IF('Calculations'!BO364+'Calculations'!BP364&lt;=3,"High",IF('Calculations'!BO364+'Calculations'!BP364&lt;=4,"Strong","Solid"))))</x:f>
        <x:v>Not Rated</x:v>
      </x:c>
      <x:c r="EF364" s="4"/>
      <x:c r="EG364" s="4"/>
      <x:c r="EH364" s="4"/>
      <x:c r="EI364" s="4"/>
      <x:c r="EJ364" s="4"/>
      <x:c r="EK364" s="4"/>
      <x:c r="EL364" s="4"/>
      <x:c r="EM364" s="4" t="str">
        <x:f>IF(352&gt;'Calculations'!$JB$2000,"",INDEX('Calculations'!$JA$12:$JA$2000,MATCH(352,'Calculations'!$JB$12:$JB$2000,0)))</x:f>
      </x:c>
      <x:c r="EN364" s="4" t="n">
        <x:f>IF(OR('Calculations'!EM364="",'Calculations'!$AG$8&gt;0,AND('Calculations'!$EF$2&lt;&gt;"All",'Calculations'!HE364='Calculations'!$EF$2),AND('Calculations'!$EF$3&lt;&gt;"All",'Calculations'!HE364='Calculations'!$EF$3)),0,IF(OR('Dashboard'!$B$7="All",'Calculations'!HN364='Dashboard'!$B$7),IF('Calculations'!$EF$2="All",1,IF('Calculations'!HL364&gt;0,0,IF(COUNTIF('Calculations'!HO364:II364,"="&amp;SUBSTITUTE(SUBSTITUTE(SUBSTITUTE('Calculations'!$EF$2,"~","~~"),"*","~*"),"?","~?"))=0,0,IF('Calculations'!$EF$3="All",1,IF(COUNTIF('Calculations'!HO364:II364,"="&amp;SUBSTITUTE(SUBSTITUTE(SUBSTITUTE('Calculations'!$EF$3,"~","~~"),"*","~*"),"?","~?"))&gt;0,1,0))))),0))</x:f>
        <x:v>0</x:v>
      </x:c>
      <x:c r="EO364" s="4" t="str">
        <x:f>IF('Calculations'!IJ364="","",IF('Calculations'!IJ364="!UNRESOLVED","Unresolved hierarchy",IFERROR(INDEX('Calculations'!$HK$13:$HK$512,MATCH('Calculations'!IJ364,'Calculations'!$HE$13:$HE$512,0)),IFERROR(INDEX('Calculations'!$HJ$13:$HJ$512,MATCH('Calculations'!IJ364,'Calculations'!$HF$13:$HF$512,0)),'Calculations'!IJ364))))</x:f>
      </x:c>
      <x:c r="EP364" s="4" t="n">
        <x:f>IF(AND('Calculations'!EM364&lt;&gt;"",'Calculations'!HF364='Calculations'!IJ364),1,0)</x:f>
        <x:v>0</x:v>
      </x:c>
      <x:c r="EQ364" s="4"/>
      <x:c r="ER364" s="4"/>
      <x:c r="ES364" s="4"/>
      <x:c r="ET364" s="4"/>
      <x:c r="EU364" s="4"/>
      <x:c r="EV364" s="4"/>
      <x:c r="EW364" s="4"/>
      <x:c r="EX364" s="4"/>
      <x:c r="EY364" s="4"/>
      <x:c r="EZ364" s="4"/>
      <x:c r="FA364" s="4"/>
      <x:c r="FB364" s="4"/>
      <x:c r="FC364" s="4"/>
      <x:c r="FD364" s="4"/>
      <x:c r="FE364" s="4"/>
      <x:c r="FF364" s="4"/>
      <x:c r="FG364" s="4"/>
      <x:c r="FH364" s="4"/>
      <x:c r="FI364" s="4"/>
      <x:c r="FJ364" s="4"/>
      <x:c r="FK364" s="4"/>
      <x:c r="FL364" s="4"/>
      <x:c r="FM364" s="4"/>
      <x:c r="FN364" s="4"/>
      <x:c r="FO364" s="4"/>
      <x:c r="HE364" t="str">
        <x:f>IF('Calculations'!EM364="","",IF(IFERROR(IF(INDEX(INDIRECT("'WCM Calibration Final'!$A$1:$A$2000"),'Calculations'!$EM364)="","",TRIM(INDEX(INDIRECT("'WCM Calibration Final'!$A$1:$A$2000"),'Calculations'!$EM364)&amp;"")),"")&lt;&gt;"","G:"&amp;IFERROR(TEXT(1*INDEX(INDIRECT("'WCM Calibration Final'!$A$1:$A$2000"),'Calculations'!$EM364),"0"),UPPER(IFERROR(IF(INDEX(INDIRECT("'WCM Calibration Final'!$A$1:$A$2000"),'Calculations'!$EM364)="","",TRIM(INDEX(INDIRECT("'WCM Calibration Final'!$A$1:$A$2000"),'Calculations'!$EM364)&amp;"")),""))),IF(IFERROR(IF(INDEX(INDIRECT("'WCM Calibration Final'!$C$1:$C$2000"),'Calculations'!$EM364)="","",TRIM(INDEX(INDIRECT("'WCM Calibration Final'!$C$1:$C$2000"),'Calculations'!$EM364)&amp;"")),"")&lt;&gt;"","S:"&amp;UPPER(IFERROR(IF(INDEX(INDIRECT("'WCM Calibration Final'!$C$1:$C$2000"),'Calculations'!$EM364)="","",TRIM(INDEX(INDIRECT("'WCM Calibration Final'!$C$1:$C$2000"),'Calculations'!$EM364)&amp;"")),"")),"R:"&amp;'Calculations'!EM364)))</x:f>
      </x:c>
      <x:c r="HF364" t="str">
        <x:f>IF('Calculations'!EM364="","",IF(IFERROR(IF(INDEX(INDIRECT("'WCM Calibration Final'!$D$1:$D$2000"),'Calculations'!$EM364)="","",TRIM(INDEX(INDIRECT("'WCM Calibration Final'!$D$1:$D$2000"),'Calculations'!$EM364)&amp;"")),"")&lt;&gt;"","G:"&amp;IFERROR(TEXT(1*INDEX(INDIRECT("'WCM Calibration Final'!$D$1:$D$2000"),'Calculations'!$EM364),"0"),UPPER(IFERROR(IF(INDEX(INDIRECT("'WCM Calibration Final'!$D$1:$D$2000"),'Calculations'!$EM364)="","",TRIM(INDEX(INDIRECT("'WCM Calibration Final'!$D$1:$D$2000"),'Calculations'!$EM364)&amp;"")),""))),IF(IFERROR(IF(INDEX(INDIRECT("'WCM Calibration Final'!$E$1:$E$2000"),'Calculations'!$EM364)="","",TRIM(INDEX(INDIRECT("'WCM Calibration Final'!$E$1:$E$2000"),'Calculations'!$EM364)&amp;"")),"")="","",IF(COUNTIF('Calculations'!$HG$13:$HG$512,"="&amp;SUBSTITUTE(SUBSTITUTE(SUBSTITUTE(IFERROR(IF(INDEX(INDIRECT("'WCM Calibration Final'!$E$1:$E$2000"),'Calculations'!$EM364)="","",TRIM(INDEX(INDIRECT("'WCM Calibration Final'!$E$1:$E$2000"),'Calculations'!$EM364)&amp;"")),""),"~","~~"),"*","~*"),"?","~?"))=1,INDEX('Calculations'!$HE$13:$HE$512,MATCH(IFERROR(IF(INDEX(INDIRECT("'WCM Calibration Final'!$E$1:$E$2000"),'Calculations'!$EM364)="","",TRIM(INDEX(INDIRECT("'WCM Calibration Final'!$E$1:$E$2000"),'Calculations'!$EM364)&amp;"")),""),'Calculations'!$HG$13:$HG$512,0)),IF(COUNTIF('Calculations'!$HG$13:$HG$512,"="&amp;SUBSTITUTE(SUBSTITUTE(SUBSTITUTE(IFERROR(IF(INDEX(INDIRECT("'WCM Calibration Final'!$E$1:$E$2000"),'Calculations'!$EM364)="","",TRIM(INDEX(INDIRECT("'WCM Calibration Final'!$E$1:$E$2000"),'Calculations'!$EM364)&amp;"")),""),"~","~~"),"*","~*"),"?","~?"))&gt;1,"!AMBIG","X:"&amp;IFERROR(IF(INDEX(INDIRECT("'WCM Calibration Final'!$E$1:$E$2000"),'Calculations'!$EM364)="","",TRIM(INDEX(INDIRECT("'WCM Calibration Final'!$E$1:$E$2000"),'Calculations'!$EM364)&amp;"")),""))))))</x:f>
      </x:c>
      <x:c r="HG364" t="str">
        <x:f>IF('Calculations'!EM364="","",IFERROR(IF(INDEX(INDIRECT("'WCM Calibration Final'!$B$1:$B$2000"),'Calculations'!$EM364)="","",TRIM(INDEX(INDIRECT("'WCM Calibration Final'!$B$1:$B$2000"),'Calculations'!$EM364)&amp;"")),""))</x:f>
      </x:c>
      <x:c r="HH364" t="n">
        <x:f>IF(AND('Calculations'!JC364&gt;0,COUNTIF('Calculations'!$HF$12:HF364,"="&amp;SUBSTITUTE(SUBSTITUTE(SUBSTITUTE('Calculations'!HF364,"~","~~"),"*","~*"),"?","~?"))=1),MAX('Calculations'!$HH$12:HH363)+1,0)</x:f>
        <x:v>0</x:v>
      </x:c>
      <x:c r="HI364" t="n">
        <x:f>IF(AND('Calculations'!HN364&lt;&gt;"",COUNTIF('Calculations'!$HN$12:HN364,"="&amp;SUBSTITUTE(SUBSTITUTE(SUBSTITUTE('Calculations'!HN364,"~","~~"),"*","~*"),"?","~?"))=1),MAX('Calculations'!$HI$12:HI363)+1,0)</x:f>
        <x:v>0</x:v>
      </x:c>
      <x:c r="HJ364" t="str">
        <x:f>IF('Calculations'!HF364="","",IF(COUNTIF('Calculations'!$HE$13:$HE$512,"="&amp;SUBSTITUTE(SUBSTITUTE(SUBSTITUTE('Calculations'!HF364,"~","~~"),"*","~*"),"?","~?"))=1,INDEX('Calculations'!$HK$13:$HK$512,MATCH('Calculations'!HF364,'Calculations'!$HE$13:$HE$512,0)),IFERROR(IF(INDEX(INDIRECT("'WCM Calibration Final'!$E$1:$E$2000"),'Calculations'!$EM364)="","",TRIM(INDEX(INDIRECT("'WCM Calibration Final'!$E$1:$E$2000"),'Calculations'!$EM364)&amp;"")),"")&amp;" ["&amp;'Calculations'!HF364&amp;"]"))</x:f>
      </x:c>
      <x:c r="HK364" t="str">
        <x:f>IF('Calculations'!EM364="","",'Calculations'!HG364&amp;" ["&amp;'Calculations'!HE364&amp;"]")</x:f>
      </x:c>
      <x:c r="HL364" t="n">
        <x:f>IF('Calculations'!EM364="",0,IF(OR('Calculations'!II364&lt;&gt;"",COUNTIF('Calculations'!$HE$13:$HE$512,"="&amp;SUBSTITUTE(SUBSTITUTE(SUBSTITUTE('Calculations'!HE364,"~","~~"),"*","~*"),"?","~?"))&gt;1),1,0))</x:f>
        <x:v>0</x:v>
      </x:c>
      <x:c r="HM364" t="str">
        <x:f>IF('Calculations'!EM364="","",IF('Calculations'!HL364=1,"!UNRESOLVED",IF('Calculations'!IH364&lt;&gt;"",'Calculations'!IH364,IF('Calculations'!IG364&lt;&gt;"",'Calculations'!IG364,IF('Calculations'!IF364&lt;&gt;"",'Calculations'!IF364,IF('Calculations'!IE364&lt;&gt;"",'Calculations'!IE364,IF('Calculations'!ID364&lt;&gt;"",'Calculations'!ID364,IF('Calculations'!IC364&lt;&gt;"",'Calculations'!IC364,IF('Calculations'!IB364&lt;&gt;"",'Calculations'!IB364,IF('Calculations'!IA364&lt;&gt;"",'Calculations'!IA364,IF('Calculations'!HZ364&lt;&gt;"",'Calculations'!HZ364,IF('Calculations'!HY364&lt;&gt;"",'Calculations'!HY364,IF('Calculations'!HX364&lt;&gt;"",'Calculations'!HX364,IF('Calculations'!HW364&lt;&gt;"",'Calculations'!HW364,IF('Calculations'!HV364&lt;&gt;"",'Calculations'!HV364,IF('Calculations'!HU364&lt;&gt;"",'Calculations'!HU364,IF('Calculations'!HT364&lt;&gt;"",'Calculations'!HT364,IF('Calculations'!HS364&lt;&gt;"",'Calculations'!HS364,IF('Calculations'!HR364&lt;&gt;"",'Calculations'!HR364,IF('Calculations'!HQ364&lt;&gt;"",'Calculations'!HQ364,IF('Calculations'!HP364&lt;&gt;"",'Calculations'!HP364,IF('Calculations'!HO364&lt;&gt;"",'Calculations'!HO364,'Calculations'!HE364))))))))))))))))))))))</x:f>
      </x:c>
      <x:c r="HN364" t="str">
        <x:f>IF('Calculations'!EM364="","",IF(IFERROR(IF(INDEX(INDIRECT("'WCM Calibration Final'!$F$1:$F$2000"),'Calculations'!$EM364)="","",TRIM(INDEX(INDIRECT("'WCM Calibration Final'!$F$1:$F$2000"),'Calculations'!$EM364)&amp;"")),"")="","(Blank)",IFERROR(IF(INDEX(INDIRECT("'WCM Calibration Final'!$F$1:$F$2000"),'Calculations'!$EM364)="","",TRIM(INDEX(INDIRECT("'WCM Calibration Final'!$F$1:$F$2000"),'Calculations'!$EM364)&amp;"")),"")))</x:f>
      </x:c>
      <x:c r="HO364" t="str">
        <x:f>'Calculations'!HF364</x:f>
      </x:c>
      <x:c r="HP364" t="str">
        <x:f>IF('Calculations'!HO364="","",IF('Calculations'!HO364="!AMBIG","!AMBIG",IF(COUNTIF('Calculations'!$HE$13:$HE$512,"="&amp;SUBSTITUTE(SUBSTITUTE(SUBSTITUTE('Calculations'!HO364,"~","~~"),"*","~*"),"?","~?"))&gt;1,"!AMBIG",IFERROR(INDEX('Calculations'!$HF$13:$HF$512,MATCH('Calculations'!HO364,'Calculations'!$HE$13:$HE$512,0)),""))))</x:f>
      </x:c>
      <x:c r="HQ364" t="str">
        <x:f>IF('Calculations'!HP364="","",IF('Calculations'!HP364="!AMBIG","!AMBIG",IF(COUNTIF('Calculations'!$HE$13:$HE$512,"="&amp;SUBSTITUTE(SUBSTITUTE(SUBSTITUTE('Calculations'!HP364,"~","~~"),"*","~*"),"?","~?"))&gt;1,"!AMBIG",IFERROR(INDEX('Calculations'!$HF$13:$HF$512,MATCH('Calculations'!HP364,'Calculations'!$HE$13:$HE$512,0)),""))))</x:f>
      </x:c>
      <x:c r="HR364" t="str">
        <x:f>IF('Calculations'!HQ364="","",IF('Calculations'!HQ364="!AMBIG","!AMBIG",IF(COUNTIF('Calculations'!$HE$13:$HE$512,"="&amp;SUBSTITUTE(SUBSTITUTE(SUBSTITUTE('Calculations'!HQ364,"~","~~"),"*","~*"),"?","~?"))&gt;1,"!AMBIG",IFERROR(INDEX('Calculations'!$HF$13:$HF$512,MATCH('Calculations'!HQ364,'Calculations'!$HE$13:$HE$512,0)),""))))</x:f>
      </x:c>
      <x:c r="HS364" t="str">
        <x:f>IF('Calculations'!HR364="","",IF('Calculations'!HR364="!AMBIG","!AMBIG",IF(COUNTIF('Calculations'!$HE$13:$HE$512,"="&amp;SUBSTITUTE(SUBSTITUTE(SUBSTITUTE('Calculations'!HR364,"~","~~"),"*","~*"),"?","~?"))&gt;1,"!AMBIG",IFERROR(INDEX('Calculations'!$HF$13:$HF$512,MATCH('Calculations'!HR364,'Calculations'!$HE$13:$HE$512,0)),""))))</x:f>
      </x:c>
      <x:c r="HT364" t="str">
        <x:f>IF('Calculations'!HS364="","",IF('Calculations'!HS364="!AMBIG","!AMBIG",IF(COUNTIF('Calculations'!$HE$13:$HE$512,"="&amp;SUBSTITUTE(SUBSTITUTE(SUBSTITUTE('Calculations'!HS364,"~","~~"),"*","~*"),"?","~?"))&gt;1,"!AMBIG",IFERROR(INDEX('Calculations'!$HF$13:$HF$512,MATCH('Calculations'!HS364,'Calculations'!$HE$13:$HE$512,0)),""))))</x:f>
      </x:c>
      <x:c r="HU364" t="str">
        <x:f>IF('Calculations'!HT364="","",IF('Calculations'!HT364="!AMBIG","!AMBIG",IF(COUNTIF('Calculations'!$HE$13:$HE$512,"="&amp;SUBSTITUTE(SUBSTITUTE(SUBSTITUTE('Calculations'!HT364,"~","~~"),"*","~*"),"?","~?"))&gt;1,"!AMBIG",IFERROR(INDEX('Calculations'!$HF$13:$HF$512,MATCH('Calculations'!HT364,'Calculations'!$HE$13:$HE$512,0)),""))))</x:f>
      </x:c>
      <x:c r="HV364" t="str">
        <x:f>IF('Calculations'!HU364="","",IF('Calculations'!HU364="!AMBIG","!AMBIG",IF(COUNTIF('Calculations'!$HE$13:$HE$512,"="&amp;SUBSTITUTE(SUBSTITUTE(SUBSTITUTE('Calculations'!HU364,"~","~~"),"*","~*"),"?","~?"))&gt;1,"!AMBIG",IFERROR(INDEX('Calculations'!$HF$13:$HF$512,MATCH('Calculations'!HU364,'Calculations'!$HE$13:$HE$512,0)),""))))</x:f>
      </x:c>
      <x:c r="HW364" t="str">
        <x:f>IF('Calculations'!HV364="","",IF('Calculations'!HV364="!AMBIG","!AMBIG",IF(COUNTIF('Calculations'!$HE$13:$HE$512,"="&amp;SUBSTITUTE(SUBSTITUTE(SUBSTITUTE('Calculations'!HV364,"~","~~"),"*","~*"),"?","~?"))&gt;1,"!AMBIG",IFERROR(INDEX('Calculations'!$HF$13:$HF$512,MATCH('Calculations'!HV364,'Calculations'!$HE$13:$HE$512,0)),""))))</x:f>
      </x:c>
      <x:c r="HX364" t="str">
        <x:f>IF('Calculations'!HW364="","",IF('Calculations'!HW364="!AMBIG","!AMBIG",IF(COUNTIF('Calculations'!$HE$13:$HE$512,"="&amp;SUBSTITUTE(SUBSTITUTE(SUBSTITUTE('Calculations'!HW364,"~","~~"),"*","~*"),"?","~?"))&gt;1,"!AMBIG",IFERROR(INDEX('Calculations'!$HF$13:$HF$512,MATCH('Calculations'!HW364,'Calculations'!$HE$13:$HE$512,0)),""))))</x:f>
      </x:c>
      <x:c r="HY364" t="str">
        <x:f>IF('Calculations'!HX364="","",IF('Calculations'!HX364="!AMBIG","!AMBIG",IF(COUNTIF('Calculations'!$HE$13:$HE$512,"="&amp;SUBSTITUTE(SUBSTITUTE(SUBSTITUTE('Calculations'!HX364,"~","~~"),"*","~*"),"?","~?"))&gt;1,"!AMBIG",IFERROR(INDEX('Calculations'!$HF$13:$HF$512,MATCH('Calculations'!HX364,'Calculations'!$HE$13:$HE$512,0)),""))))</x:f>
      </x:c>
      <x:c r="HZ364" t="str">
        <x:f>IF('Calculations'!HY364="","",IF('Calculations'!HY364="!AMBIG","!AMBIG",IF(COUNTIF('Calculations'!$HE$13:$HE$512,"="&amp;SUBSTITUTE(SUBSTITUTE(SUBSTITUTE('Calculations'!HY364,"~","~~"),"*","~*"),"?","~?"))&gt;1,"!AMBIG",IFERROR(INDEX('Calculations'!$HF$13:$HF$512,MATCH('Calculations'!HY364,'Calculations'!$HE$13:$HE$512,0)),""))))</x:f>
      </x:c>
      <x:c r="IA364" t="str">
        <x:f>IF('Calculations'!HZ364="","",IF('Calculations'!HZ364="!AMBIG","!AMBIG",IF(COUNTIF('Calculations'!$HE$13:$HE$512,"="&amp;SUBSTITUTE(SUBSTITUTE(SUBSTITUTE('Calculations'!HZ364,"~","~~"),"*","~*"),"?","~?"))&gt;1,"!AMBIG",IFERROR(INDEX('Calculations'!$HF$13:$HF$512,MATCH('Calculations'!HZ364,'Calculations'!$HE$13:$HE$512,0)),""))))</x:f>
      </x:c>
      <x:c r="IB364" t="str">
        <x:f>IF('Calculations'!IA364="","",IF('Calculations'!IA364="!AMBIG","!AMBIG",IF(COUNTIF('Calculations'!$HE$13:$HE$512,"="&amp;SUBSTITUTE(SUBSTITUTE(SUBSTITUTE('Calculations'!IA364,"~","~~"),"*","~*"),"?","~?"))&gt;1,"!AMBIG",IFERROR(INDEX('Calculations'!$HF$13:$HF$512,MATCH('Calculations'!IA364,'Calculations'!$HE$13:$HE$512,0)),""))))</x:f>
      </x:c>
      <x:c r="IC364" t="str">
        <x:f>IF('Calculations'!IB364="","",IF('Calculations'!IB364="!AMBIG","!AMBIG",IF(COUNTIF('Calculations'!$HE$13:$HE$512,"="&amp;SUBSTITUTE(SUBSTITUTE(SUBSTITUTE('Calculations'!IB364,"~","~~"),"*","~*"),"?","~?"))&gt;1,"!AMBIG",IFERROR(INDEX('Calculations'!$HF$13:$HF$512,MATCH('Calculations'!IB364,'Calculations'!$HE$13:$HE$512,0)),""))))</x:f>
      </x:c>
      <x:c r="ID364" t="str">
        <x:f>IF('Calculations'!IC364="","",IF('Calculations'!IC364="!AMBIG","!AMBIG",IF(COUNTIF('Calculations'!$HE$13:$HE$512,"="&amp;SUBSTITUTE(SUBSTITUTE(SUBSTITUTE('Calculations'!IC364,"~","~~"),"*","~*"),"?","~?"))&gt;1,"!AMBIG",IFERROR(INDEX('Calculations'!$HF$13:$HF$512,MATCH('Calculations'!IC364,'Calculations'!$HE$13:$HE$512,0)),""))))</x:f>
      </x:c>
      <x:c r="IE364" t="str">
        <x:f>IF('Calculations'!ID364="","",IF('Calculations'!ID364="!AMBIG","!AMBIG",IF(COUNTIF('Calculations'!$HE$13:$HE$512,"="&amp;SUBSTITUTE(SUBSTITUTE(SUBSTITUTE('Calculations'!ID364,"~","~~"),"*","~*"),"?","~?"))&gt;1,"!AMBIG",IFERROR(INDEX('Calculations'!$HF$13:$HF$512,MATCH('Calculations'!ID364,'Calculations'!$HE$13:$HE$512,0)),""))))</x:f>
      </x:c>
      <x:c r="IF364" t="str">
        <x:f>IF('Calculations'!IE364="","",IF('Calculations'!IE364="!AMBIG","!AMBIG",IF(COUNTIF('Calculations'!$HE$13:$HE$512,"="&amp;SUBSTITUTE(SUBSTITUTE(SUBSTITUTE('Calculations'!IE364,"~","~~"),"*","~*"),"?","~?"))&gt;1,"!AMBIG",IFERROR(INDEX('Calculations'!$HF$13:$HF$512,MATCH('Calculations'!IE364,'Calculations'!$HE$13:$HE$512,0)),""))))</x:f>
      </x:c>
      <x:c r="IG364" t="str">
        <x:f>IF('Calculations'!IF364="","",IF('Calculations'!IF364="!AMBIG","!AMBIG",IF(COUNTIF('Calculations'!$HE$13:$HE$512,"="&amp;SUBSTITUTE(SUBSTITUTE(SUBSTITUTE('Calculations'!IF364,"~","~~"),"*","~*"),"?","~?"))&gt;1,"!AMBIG",IFERROR(INDEX('Calculations'!$HF$13:$HF$512,MATCH('Calculations'!IF364,'Calculations'!$HE$13:$HE$512,0)),""))))</x:f>
      </x:c>
      <x:c r="IH364" t="str">
        <x:f>IF('Calculations'!IG364="","",IF('Calculations'!IG364="!AMBIG","!AMBIG",IF(COUNTIF('Calculations'!$HE$13:$HE$512,"="&amp;SUBSTITUTE(SUBSTITUTE(SUBSTITUTE('Calculations'!IG364,"~","~~"),"*","~*"),"?","~?"))&gt;1,"!AMBIG",IFERROR(INDEX('Calculations'!$HF$13:$HF$512,MATCH('Calculations'!IG364,'Calculations'!$HE$13:$HE$512,0)),""))))</x:f>
      </x:c>
      <x:c r="II364" t="str">
        <x:f>IF('Calculations'!IH364="","",IF('Calculations'!IH364="!AMBIG","!AMBIG",IF(COUNTIF('Calculations'!$HE$13:$HE$512,"="&amp;SUBSTITUTE(SUBSTITUTE(SUBSTITUTE('Calculations'!IH364,"~","~~"),"*","~*"),"?","~?"))&gt;1,"!AMBIG",IFERROR(INDEX('Calculations'!$HF$13:$HF$512,MATCH('Calculations'!IH364,'Calculations'!$HE$13:$HE$512,0)),""))))</x:f>
      </x:c>
      <x:c r="IJ364" t="str">
        <x:f>IF('Calculations'!EM364="","",IF('Calculations'!$EF$2="All",'Calculations'!HM364,IF('Calculations'!HL364=1,"",IFERROR(IF(MATCH('Calculations'!$EF$2,'Calculations'!HO364:II364,0)=1,'Calculations'!HE364,INDEX('Calculations'!HO364:II364,1,MATCH('Calculations'!$EF$2,'Calculations'!HO364:II364,0)-1)),""))))</x:f>
      </x:c>
      <x:c r="IK364" t="n">
        <x:f>IF(AND('Calculations'!EM364&lt;&gt;"",'Calculations'!$EF$2&lt;&gt;"All",'Calculations'!HF364='Calculations'!$EF$2,'Calculations'!HL364=0,'Calculations'!JD364&gt;0),MAX('Calculations'!$IK$12:IK363)+1,0)</x:f>
        <x:v>0</x:v>
      </x:c>
      <x:c r="JA364" t="n">
        <x:f>IF(OR(IFERROR(INDIRECT("'WCM Calibration Final'!$A$364")&lt;&gt;"",FALSE),IFERROR(INDIRECT("'WCM Calibration Final'!$B$364")&lt;&gt;"",FALSE),IFERROR(INDIRECT("'WCM Calibration Final'!$C$364")&lt;&gt;"",FALSE)),364,0)</x:f>
        <x:v>0</x:v>
      </x:c>
      <x:c r="JB364" t="n">
        <x:f>'Calculations'!JB363+IF('Calculations'!JA364&gt;0,1,0)</x:f>
        <x:v>0</x:v>
      </x:c>
      <x:c r="JC364" t="n">
        <x:f>IF(OR('Calculations'!HF364="",'Calculations'!HF364="!AMBIG"),0,IF('Dashboard'!$B$7="All",1,COUNTIFS('Calculations'!$HO$13:$HO$512,"="&amp;SUBSTITUTE(SUBSTITUTE(SUBSTITUTE('Calculations'!HF364,"~","~~"),"*","~*"),"?","~?"),'Calculations'!$HN$13:$HN$512,"="&amp;SUBSTITUTE(SUBSTITUTE(SUBSTITUTE('Dashboard'!$B$7,"~","~~"),"*","~*"),"?","~?"))+COUNTIFS('Calculations'!$HP$13:$HP$512,"="&amp;SUBSTITUTE(SUBSTITUTE(SUBSTITUTE('Calculations'!HF364,"~","~~"),"*","~*"),"?","~?"),'Calculations'!$HN$13:$HN$512,"="&amp;SUBSTITUTE(SUBSTITUTE(SUBSTITUTE('Dashboard'!$B$7,"~","~~"),"*","~*"),"?","~?"))+COUNTIFS('Calculations'!$HQ$13:$HQ$512,"="&amp;SUBSTITUTE(SUBSTITUTE(SUBSTITUTE('Calculations'!HF364,"~","~~"),"*","~*"),"?","~?"),'Calculations'!$HN$13:$HN$512,"="&amp;SUBSTITUTE(SUBSTITUTE(SUBSTITUTE('Dashboard'!$B$7,"~","~~"),"*","~*"),"?","~?"))+COUNTIFS('Calculations'!$HR$13:$HR$512,"="&amp;SUBSTITUTE(SUBSTITUTE(SUBSTITUTE('Calculations'!HF364,"~","~~"),"*","~*"),"?","~?"),'Calculations'!$HN$13:$HN$512,"="&amp;SUBSTITUTE(SUBSTITUTE(SUBSTITUTE('Dashboard'!$B$7,"~","~~"),"*","~*"),"?","~?"))+COUNTIFS('Calculations'!$HS$13:$HS$512,"="&amp;SUBSTITUTE(SUBSTITUTE(SUBSTITUTE('Calculations'!HF364,"~","~~"),"*","~*"),"?","~?"),'Calculations'!$HN$13:$HN$512,"="&amp;SUBSTITUTE(SUBSTITUTE(SUBSTITUTE('Dashboard'!$B$7,"~","~~"),"*","~*"),"?","~?"))+COUNTIFS('Calculations'!$HT$13:$HT$512,"="&amp;SUBSTITUTE(SUBSTITUTE(SUBSTITUTE('Calculations'!HF364,"~","~~"),"*","~*"),"?","~?"),'Calculations'!$HN$13:$HN$512,"="&amp;SUBSTITUTE(SUBSTITUTE(SUBSTITUTE('Dashboard'!$B$7,"~","~~"),"*","~*"),"?","~?"))+COUNTIFS('Calculations'!$HU$13:$HU$512,"="&amp;SUBSTITUTE(SUBSTITUTE(SUBSTITUTE('Calculations'!HF364,"~","~~"),"*","~*"),"?","~?"),'Calculations'!$HN$13:$HN$512,"="&amp;SUBSTITUTE(SUBSTITUTE(SUBSTITUTE('Dashboard'!$B$7,"~","~~"),"*","~*"),"?","~?"))+COUNTIFS('Calculations'!$HV$13:$HV$512,"="&amp;SUBSTITUTE(SUBSTITUTE(SUBSTITUTE('Calculations'!HF364,"~","~~"),"*","~*"),"?","~?"),'Calculations'!$HN$13:$HN$512,"="&amp;SUBSTITUTE(SUBSTITUTE(SUBSTITUTE('Dashboard'!$B$7,"~","~~"),"*","~*"),"?","~?"))+COUNTIFS('Calculations'!$HW$13:$HW$512,"="&amp;SUBSTITUTE(SUBSTITUTE(SUBSTITUTE('Calculations'!HF364,"~","~~"),"*","~*"),"?","~?"),'Calculations'!$HN$13:$HN$512,"="&amp;SUBSTITUTE(SUBSTITUTE(SUBSTITUTE('Dashboard'!$B$7,"~","~~"),"*","~*"),"?","~?"))+COUNTIFS('Calculations'!$HX$13:$HX$512,"="&amp;SUBSTITUTE(SUBSTITUTE(SUBSTITUTE('Calculations'!HF364,"~","~~"),"*","~*"),"?","~?"),'Calculations'!$HN$13:$HN$512,"="&amp;SUBSTITUTE(SUBSTITUTE(SUBSTITUTE('Dashboard'!$B$7,"~","~~"),"*","~*"),"?","~?"))+COUNTIFS('Calculations'!$HY$13:$HY$512,"="&amp;SUBSTITUTE(SUBSTITUTE(SUBSTITUTE('Calculations'!HF364,"~","~~"),"*","~*"),"?","~?"),'Calculations'!$HN$13:$HN$512,"="&amp;SUBSTITUTE(SUBSTITUTE(SUBSTITUTE('Dashboard'!$B$7,"~","~~"),"*","~*"),"?","~?"))+COUNTIFS('Calculations'!$HZ$13:$HZ$512,"="&amp;SUBSTITUTE(SUBSTITUTE(SUBSTITUTE('Calculations'!HF364,"~","~~"),"*","~*"),"?","~?"),'Calculations'!$HN$13:$HN$512,"="&amp;SUBSTITUTE(SUBSTITUTE(SUBSTITUTE('Dashboard'!$B$7,"~","~~"),"*","~*"),"?","~?"))+COUNTIFS('Calculations'!$IA$13:$IA$512,"="&amp;SUBSTITUTE(SUBSTITUTE(SUBSTITUTE('Calculations'!HF364,"~","~~"),"*","~*"),"?","~?"),'Calculations'!$HN$13:$HN$512,"="&amp;SUBSTITUTE(SUBSTITUTE(SUBSTITUTE('Dashboard'!$B$7,"~","~~"),"*","~*"),"?","~?"))+COUNTIFS('Calculations'!$IB$13:$IB$512,"="&amp;SUBSTITUTE(SUBSTITUTE(SUBSTITUTE('Calculations'!HF364,"~","~~"),"*","~*"),"?","~?"),'Calculations'!$HN$13:$HN$512,"="&amp;SUBSTITUTE(SUBSTITUTE(SUBSTITUTE('Dashboard'!$B$7,"~","~~"),"*","~*"),"?","~?"))+COUNTIFS('Calculations'!$IC$13:$IC$512,"="&amp;SUBSTITUTE(SUBSTITUTE(SUBSTITUTE('Calculations'!HF364,"~","~~"),"*","~*"),"?","~?"),'Calculations'!$HN$13:$HN$512,"="&amp;SUBSTITUTE(SUBSTITUTE(SUBSTITUTE('Dashboard'!$B$7,"~","~~"),"*","~*"),"?","~?"))+COUNTIFS('Calculations'!$ID$13:$ID$512,"="&amp;SUBSTITUTE(SUBSTITUTE(SUBSTITUTE('Calculations'!HF364,"~","~~"),"*","~*"),"?","~?"),'Calculations'!$HN$13:$HN$512,"="&amp;SUBSTITUTE(SUBSTITUTE(SUBSTITUTE('Dashboard'!$B$7,"~","~~"),"*","~*"),"?","~?"))+COUNTIFS('Calculations'!$IE$13:$IE$512,"="&amp;SUBSTITUTE(SUBSTITUTE(SUBSTITUTE('Calculations'!HF364,"~","~~"),"*","~*"),"?","~?"),'Calculations'!$HN$13:$HN$512,"="&amp;SUBSTITUTE(SUBSTITUTE(SUBSTITUTE('Dashboard'!$B$7,"~","~~"),"*","~*"),"?","~?"))+COUNTIFS('Calculations'!$IF$13:$IF$512,"="&amp;SUBSTITUTE(SUBSTITUTE(SUBSTITUTE('Calculations'!HF364,"~","~~"),"*","~*"),"?","~?"),'Calculations'!$HN$13:$HN$512,"="&amp;SUBSTITUTE(SUBSTITUTE(SUBSTITUTE('Dashboard'!$B$7,"~","~~"),"*","~*"),"?","~?"))+COUNTIFS('Calculations'!$IG$13:$IG$512,"="&amp;SUBSTITUTE(SUBSTITUTE(SUBSTITUTE('Calculations'!HF364,"~","~~"),"*","~*"),"?","~?"),'Calculations'!$HN$13:$HN$512,"="&amp;SUBSTITUTE(SUBSTITUTE(SUBSTITUTE('Dashboard'!$B$7,"~","~~"),"*","~*"),"?","~?"))+COUNTIFS('Calculations'!$IH$13:$IH$512,"="&amp;SUBSTITUTE(SUBSTITUTE(SUBSTITUTE('Calculations'!HF364,"~","~~"),"*","~*"),"?","~?"),'Calculations'!$HN$13:$HN$512,"="&amp;SUBSTITUTE(SUBSTITUTE(SUBSTITUTE('Dashboard'!$B$7,"~","~~"),"*","~*"),"?","~?"))))</x:f>
        <x:v>0</x:v>
      </x:c>
      <x:c r="JD364" t="n">
        <x:f>IF('Calculations'!EM364="",0,IF('Dashboard'!$B$7="All",1,IF('Calculations'!HN364='Dashboard'!$B$7,1,0)+IFERROR(INDEX('Calculations'!$JC$13:$JC$512,MATCH('Calculations'!HE364,'Calculations'!$HF$13:$HF$512,0)),0)))</x:f>
        <x:v>0</x:v>
      </x:c>
      <x:c r="JE364" t="n">
        <x:f>IF(AND('Calculations'!EM364&lt;&gt;"",'Calculations'!$JJ$2&lt;&gt;"All",'Calculations'!$JJ$2&lt;&gt;"",'Calculations'!HF364='Calculations'!$JJ$2,'Calculations'!HL364=0,'Calculations'!JD364&gt;0),MAX('Calculations'!$JE$12:JE363)+1,0)</x:f>
        <x:v>0</x:v>
      </x:c>
      <x:c r="JF364" t="str">
        <x:f>IF('Calculations'!EM364="","",IFERROR(IF(INDEX(INDIRECT("'WCM Calibration Final'!$G$1:$G$2000"),'Calculations'!$EM364)="","",TRIM(INDEX(INDIRECT("'WCM Calibration Final'!$G$1:$G$2000"),'Calculations'!$EM364)&amp;"")),""))</x:f>
      </x:c>
      <x:c r="JQ364" t="n">
        <x:f>IF(OR('Calculations'!BM364=0,NOT('Calculations'!$AG$2),'Calculations'!$AG$8&gt;0),0,IF(OR('Dashboard'!$B$7="All",'Calculations'!HN364='Dashboard'!$B$7),IF('Calculations'!$JJ$2="All",1,IF(AND('Calculations'!HF364='Calculations'!$JJ$2,'Calculations'!HL364=0),1,0)),0))</x:f>
        <x:v>0</x:v>
      </x:c>
    </x:row>
    <x:row r="365">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t="n">
        <x:f>IF('Calculations'!$EM365="",0,IF(OR(IFERROR(INDEX(INDIRECT("'WCM Calibration Final'!$A$1:$A$2000"),'Calculations'!$EM365)&lt;&gt;"",FALSE),IFERROR(INDEX(INDIRECT("'WCM Calibration Final'!$B$1:$B$2000"),'Calculations'!$EM365)&lt;&gt;"",FALSE),IFERROR(INDEX(INDIRECT("'WCM Calibration Final'!$C$1:$C$2000"),'Calculations'!$EM365)&lt;&gt;"",FALSE)),1,0))</x:f>
        <x:v>0</x:v>
      </x:c>
      <x:c r="BN365" s="4" t="n">
        <x:f>IF(AND('Calculations'!BM365=1,'Calculations'!$AG$2,'Calculations'!$EN365=1),1,0)</x:f>
        <x:v>0</x:v>
      </x:c>
      <x:c r="BO365" s="4" t="str">
        <x:f>IF('Calculations'!BM365=0,"",IFERROR(IF(AND(VALUE(INDEX(INDIRECT("'WCM Calibration Final'!$K$1:$K$2000"),'Calculations'!$EM365))&gt;=1,VALUE(INDEX(INDIRECT("'WCM Calibration Final'!$K$1:$K$2000"),'Calculations'!$EM365))&lt;=4,MOD(VALUE(INDEX(INDIRECT("'WCM Calibration Final'!$K$1:$K$2000"),'Calculations'!$EM365)),1)=0),VALUE(INDEX(INDIRECT("'WCM Calibration Final'!$K$1:$K$2000"),'Calculations'!$EM365)),""),""))</x:f>
      </x:c>
      <x:c r="BP365" s="4" t="str">
        <x:f>IF('Calculations'!BM365=0,"",IFERROR(IF(AND(VALUE(INDEX(INDIRECT("'WCM Calibration Final'!$L$1:$L$2000"),'Calculations'!$EM365))&gt;=1,VALUE(INDEX(INDIRECT("'WCM Calibration Final'!$L$1:$L$2000"),'Calculations'!$EM365))&lt;=4,MOD(VALUE(INDEX(INDIRECT("'WCM Calibration Final'!$L$1:$L$2000"),'Calculations'!$EM365)),1)=0),VALUE(INDEX(INDIRECT("'WCM Calibration Final'!$L$1:$L$2000"),'Calculations'!$EM365)),""),""))</x:f>
      </x:c>
      <x:c r="BQ365" s="4"/>
      <x:c r="BR365" s="4"/>
      <x:c r="BS365" s="4"/>
      <x:c r="BT365" s="4" t="n">
        <x:f>IF(AND('Calculations'!BM365=1,ISNUMBER('Calculations'!BO365),ISNUMBER('Calculations'!BP365)),1,0)</x:f>
        <x:v>0</x:v>
      </x:c>
      <x:c r="BU365" s="4" t="str">
        <x:f>IF('Calculations'!BM365=0,"",'Calculations'!$EO365)</x:f>
      </x:c>
      <x:c r="BV365" s="4" t="str">
        <x:f>IF('Calculations'!BM365=0,"",IFERROR(IF(OR(INDEX(INDIRECT("'WCM Calibration Final'!$H$1:$H$2000"),'Calculations'!$EM365)="MANAGING DIRECTOR",INDEX(INDIRECT("'WCM Calibration Final'!$H$1:$H$2000"),'Calculations'!$EM365)="DIRECTOR",INDEX(INDIRECT("'WCM Calibration Final'!$H$1:$H$2000"),'Calculations'!$EM365)="SENIOR VICE PRESIDENT",INDEX(INDIRECT("'WCM Calibration Final'!$H$1:$H$2000"),'Calculations'!$EM365)="VICE PRESIDENT",INDEX(INDIRECT("'WCM Calibration Final'!$H$1:$H$2000"),'Calculations'!$EM365)="ASSISTANT VICE PRESIDENT",INDEX(INDIRECT("'WCM Calibration Final'!$H$1:$H$2000"),'Calculations'!$EM365)="OFFICER"),UPPER(INDEX(INDIRECT("'WCM Calibration Final'!$H$1:$H$2000"),'Calculations'!$EM365)),"Other"),"Other"))</x:f>
      </x:c>
      <x:c r="BW365" s="4"/>
      <x:c r="BX365" s="4"/>
      <x:c r="BY365" s="4" t="n">
        <x:f>IF(AND('Calculations'!BM365=1,'Calculations'!BU365&lt;&gt;"",COUNTIF('Calculations'!$BU$12:BU365,'Calculations'!BU365)=1),MAX('Calculations'!$BY$11:BY364)+1,0)</x:f>
        <x:v>0</x:v>
      </x:c>
      <x:c r="BZ365" s="4" t="str">
        <x:f>IF('Dashboard'!$E$67="What",'Calculations'!BO365,'Calculations'!BP365)</x:f>
      </x:c>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t="str">
        <x:f>IF(354&gt;MAX('Calculations'!$HI$13:$HI$512),"",INDEX('Calculations'!$HN$13:$HN$512,MATCH(354,'Calculations'!$HI$13:$HI$512,0)))</x:f>
      </x:c>
      <x:c r="DB365" s="4" t="str">
        <x:f>IF(354&gt;MAX('Calculations'!$HH$13:$HH$512),"",INDEX('Calculations'!$HJ$13:$HJ$512,MATCH(354,'Calculations'!$HH$13:$HH$512,0)))</x:f>
      </x:c>
      <x:c r="DC365" s="4" t="str">
        <x:f>IF(ROW()-11&gt;MAX('Calculations'!$BY$13:$BY$512),"",INDEX('Calculations'!$BU$13:$BU$512,MATCH(ROW()-11,'Calculations'!$BY$13:$BY$512,0)))</x:f>
      </x:c>
      <x:c r="DD365" s="4" t="str">
        <x:f>IF(354&gt;MAX('Calculations'!$IK$13:$IK$512),"",INDEX('Calculations'!$HK$13:$HK$512,MATCH(354,'Calculations'!$IK$13:$IK$512,0)))</x:f>
      </x:c>
      <x:c r="DE365" s="4" t="str">
        <x:f>'Calculations'!DC365</x:f>
      </x:c>
      <x:c r="DF365" s="4" t="str">
        <x:f>IF('Calculations'!DE365="","",COUNTIFS('Calculations'!$BN$13:$BN$512,1,'Calculations'!$BU$13:$BU$512,'Calculations'!DE365))</x:f>
      </x:c>
      <x:c r="DG365" s="4" t="str">
        <x:f>IF('Calculations'!DE365="","",COUNTIFS('Calculations'!$BN$13:$BN$512,1,'Calculations'!$BU$13:$BU$512,'Calculations'!DE365,'Calculations'!$BT$13:$BT$512,1))</x:f>
      </x:c>
      <x:c r="DH365" s="4" t="str">
        <x:f>IF('Calculations'!DE365="","",'Calculations'!DF365-'Calculations'!DG365)</x:f>
      </x:c>
      <x:c r="DI365" s="4" t="str">
        <x:f>IF(OR('Calculations'!DE365="",'Calculations'!DF365=0),"",'Calculations'!DG365/'Calculations'!DF365)</x:f>
      </x:c>
      <x:c r="DJ365" s="4" t="str">
        <x:f>IF('Calculations'!DE365="","",COUNTIFS('Calculations'!$BN$13:$BN$512,1,'Calculations'!$BU$13:$BU$512,'Calculations'!DE365,'Calculations'!$BT$13:$BT$512,1,'Calculations'!$EE$13:$EE$512,"High"))</x:f>
      </x:c>
      <x:c r="DK365" s="4" t="str">
        <x:f>IF('Calculations'!DE365="","",COUNTIFS('Calculations'!$BN$13:$BN$512,1,'Calculations'!$BU$13:$BU$512,'Calculations'!DE365,'Calculations'!$BT$13:$BT$512,1,'Calculations'!$EE$13:$EE$512,"Strong"))</x:f>
      </x:c>
      <x:c r="DL365" s="4" t="str">
        <x:f>IF('Calculations'!DE365="","",COUNTIFS('Calculations'!$BN$13:$BN$512,1,'Calculations'!$BU$13:$BU$512,'Calculations'!DE365,'Calculations'!$BT$13:$BT$512,1,'Calculations'!$EE$13:$EE$512,"Solid"))</x:f>
      </x:c>
      <x:c r="DM365" s="4" t="str">
        <x:f>IF('Calculations'!DE365="","",COUNTIFS('Calculations'!$BN$13:$BN$512,1,'Calculations'!$BU$13:$BU$512,'Calculations'!DE365,'Calculations'!$BT$13:$BT$512,1,'Calculations'!$EE$13:$EE$512,"Low"))</x:f>
      </x:c>
      <x:c r="DN365" s="4" t="str">
        <x:f>IF('Calculations'!DE365="","",COUNTIFS('Calculations'!$BN$13:$BN$512,1,'Calculations'!$BU$13:$BU$512,'Calculations'!DE365,'Calculations'!$EP$13:$EP$512,1))</x:f>
      </x:c>
      <x:c r="DO365" s="4" t="str">
        <x:f>IF(OR('Calculations'!DE365="",'Calculations'!DG365=0),"",('Calculations'!DJ365+'Calculations'!DK365)/'Calculations'!DG365)</x:f>
      </x:c>
      <x:c r="DP365" s="4" t="n">
        <x:f>IF(AND('Calculations'!DE365&lt;&gt;"",'Calculations'!DF365&gt;0),COUNTIF('Calculations'!$DF$12:DF365,"&gt;0"),0)</x:f>
        <x:v>0</x:v>
      </x:c>
      <x:c r="DQ365" s="4" t="str">
        <x:f>IF(354&gt;MAX('Calculations'!$HH$13:$HH$512),"",INDEX('Calculations'!$HF$13:$HF$512,MATCH(354,'Calculations'!$HH$13:$HH$512,0)))</x:f>
      </x:c>
      <x:c r="DR365" s="4" t="str">
        <x:f>IF(354&gt;MAX('Calculations'!$IK$13:$IK$512),"",INDEX('Calculations'!$HE$13:$HE$512,MATCH(354,'Calculations'!$IK$13:$IK$512,0)))</x:f>
      </x:c>
      <x:c r="DS365" s="4"/>
      <x:c r="DT365" s="4"/>
      <x:c r="DU365" s="4"/>
      <x:c r="DV365" s="4"/>
      <x:c r="DW365" s="4"/>
      <x:c r="DX365" s="4"/>
      <x:c r="DY365" s="4"/>
      <x:c r="DZ365" s="4"/>
      <x:c r="EA365" s="4"/>
      <x:c r="EB365" s="4"/>
      <x:c r="EC365" s="4"/>
      <x:c r="ED365" s="4"/>
      <x:c r="EE365" s="4" t="str">
        <x:f>IF('Calculations'!BT365=0,"Not Rated",IF(OR('Calculations'!BO365&gt;=4,'Calculations'!BP365&gt;=4),"Low",IF('Calculations'!BO365+'Calculations'!BP365&lt;=3,"High",IF('Calculations'!BO365+'Calculations'!BP365&lt;=4,"Strong","Solid"))))</x:f>
        <x:v>Not Rated</x:v>
      </x:c>
      <x:c r="EF365" s="4"/>
      <x:c r="EG365" s="4"/>
      <x:c r="EH365" s="4"/>
      <x:c r="EI365" s="4"/>
      <x:c r="EJ365" s="4"/>
      <x:c r="EK365" s="4"/>
      <x:c r="EL365" s="4"/>
      <x:c r="EM365" s="4" t="str">
        <x:f>IF(353&gt;'Calculations'!$JB$2000,"",INDEX('Calculations'!$JA$12:$JA$2000,MATCH(353,'Calculations'!$JB$12:$JB$2000,0)))</x:f>
      </x:c>
      <x:c r="EN365" s="4" t="n">
        <x:f>IF(OR('Calculations'!EM365="",'Calculations'!$AG$8&gt;0,AND('Calculations'!$EF$2&lt;&gt;"All",'Calculations'!HE365='Calculations'!$EF$2),AND('Calculations'!$EF$3&lt;&gt;"All",'Calculations'!HE365='Calculations'!$EF$3)),0,IF(OR('Dashboard'!$B$7="All",'Calculations'!HN365='Dashboard'!$B$7),IF('Calculations'!$EF$2="All",1,IF('Calculations'!HL365&gt;0,0,IF(COUNTIF('Calculations'!HO365:II365,"="&amp;SUBSTITUTE(SUBSTITUTE(SUBSTITUTE('Calculations'!$EF$2,"~","~~"),"*","~*"),"?","~?"))=0,0,IF('Calculations'!$EF$3="All",1,IF(COUNTIF('Calculations'!HO365:II365,"="&amp;SUBSTITUTE(SUBSTITUTE(SUBSTITUTE('Calculations'!$EF$3,"~","~~"),"*","~*"),"?","~?"))&gt;0,1,0))))),0))</x:f>
        <x:v>0</x:v>
      </x:c>
      <x:c r="EO365" s="4" t="str">
        <x:f>IF('Calculations'!IJ365="","",IF('Calculations'!IJ365="!UNRESOLVED","Unresolved hierarchy",IFERROR(INDEX('Calculations'!$HK$13:$HK$512,MATCH('Calculations'!IJ365,'Calculations'!$HE$13:$HE$512,0)),IFERROR(INDEX('Calculations'!$HJ$13:$HJ$512,MATCH('Calculations'!IJ365,'Calculations'!$HF$13:$HF$512,0)),'Calculations'!IJ365))))</x:f>
      </x:c>
      <x:c r="EP365" s="4" t="n">
        <x:f>IF(AND('Calculations'!EM365&lt;&gt;"",'Calculations'!HF365='Calculations'!IJ365),1,0)</x:f>
        <x:v>0</x:v>
      </x:c>
      <x:c r="EQ365" s="4"/>
      <x:c r="ER365" s="4"/>
      <x:c r="ES365" s="4"/>
      <x:c r="ET365" s="4"/>
      <x:c r="EU365" s="4"/>
      <x:c r="EV365" s="4"/>
      <x:c r="EW365" s="4"/>
      <x:c r="EX365" s="4"/>
      <x:c r="EY365" s="4"/>
      <x:c r="EZ365" s="4"/>
      <x:c r="FA365" s="4"/>
      <x:c r="FB365" s="4"/>
      <x:c r="FC365" s="4"/>
      <x:c r="FD365" s="4"/>
      <x:c r="FE365" s="4"/>
      <x:c r="FF365" s="4"/>
      <x:c r="FG365" s="4"/>
      <x:c r="FH365" s="4"/>
      <x:c r="FI365" s="4"/>
      <x:c r="FJ365" s="4"/>
      <x:c r="FK365" s="4"/>
      <x:c r="FL365" s="4"/>
      <x:c r="FM365" s="4"/>
      <x:c r="FN365" s="4"/>
      <x:c r="FO365" s="4"/>
      <x:c r="HE365" t="str">
        <x:f>IF('Calculations'!EM365="","",IF(IFERROR(IF(INDEX(INDIRECT("'WCM Calibration Final'!$A$1:$A$2000"),'Calculations'!$EM365)="","",TRIM(INDEX(INDIRECT("'WCM Calibration Final'!$A$1:$A$2000"),'Calculations'!$EM365)&amp;"")),"")&lt;&gt;"","G:"&amp;IFERROR(TEXT(1*INDEX(INDIRECT("'WCM Calibration Final'!$A$1:$A$2000"),'Calculations'!$EM365),"0"),UPPER(IFERROR(IF(INDEX(INDIRECT("'WCM Calibration Final'!$A$1:$A$2000"),'Calculations'!$EM365)="","",TRIM(INDEX(INDIRECT("'WCM Calibration Final'!$A$1:$A$2000"),'Calculations'!$EM365)&amp;"")),""))),IF(IFERROR(IF(INDEX(INDIRECT("'WCM Calibration Final'!$C$1:$C$2000"),'Calculations'!$EM365)="","",TRIM(INDEX(INDIRECT("'WCM Calibration Final'!$C$1:$C$2000"),'Calculations'!$EM365)&amp;"")),"")&lt;&gt;"","S:"&amp;UPPER(IFERROR(IF(INDEX(INDIRECT("'WCM Calibration Final'!$C$1:$C$2000"),'Calculations'!$EM365)="","",TRIM(INDEX(INDIRECT("'WCM Calibration Final'!$C$1:$C$2000"),'Calculations'!$EM365)&amp;"")),"")),"R:"&amp;'Calculations'!EM365)))</x:f>
      </x:c>
      <x:c r="HF365" t="str">
        <x:f>IF('Calculations'!EM365="","",IF(IFERROR(IF(INDEX(INDIRECT("'WCM Calibration Final'!$D$1:$D$2000"),'Calculations'!$EM365)="","",TRIM(INDEX(INDIRECT("'WCM Calibration Final'!$D$1:$D$2000"),'Calculations'!$EM365)&amp;"")),"")&lt;&gt;"","G:"&amp;IFERROR(TEXT(1*INDEX(INDIRECT("'WCM Calibration Final'!$D$1:$D$2000"),'Calculations'!$EM365),"0"),UPPER(IFERROR(IF(INDEX(INDIRECT("'WCM Calibration Final'!$D$1:$D$2000"),'Calculations'!$EM365)="","",TRIM(INDEX(INDIRECT("'WCM Calibration Final'!$D$1:$D$2000"),'Calculations'!$EM365)&amp;"")),""))),IF(IFERROR(IF(INDEX(INDIRECT("'WCM Calibration Final'!$E$1:$E$2000"),'Calculations'!$EM365)="","",TRIM(INDEX(INDIRECT("'WCM Calibration Final'!$E$1:$E$2000"),'Calculations'!$EM365)&amp;"")),"")="","",IF(COUNTIF('Calculations'!$HG$13:$HG$512,"="&amp;SUBSTITUTE(SUBSTITUTE(SUBSTITUTE(IFERROR(IF(INDEX(INDIRECT("'WCM Calibration Final'!$E$1:$E$2000"),'Calculations'!$EM365)="","",TRIM(INDEX(INDIRECT("'WCM Calibration Final'!$E$1:$E$2000"),'Calculations'!$EM365)&amp;"")),""),"~","~~"),"*","~*"),"?","~?"))=1,INDEX('Calculations'!$HE$13:$HE$512,MATCH(IFERROR(IF(INDEX(INDIRECT("'WCM Calibration Final'!$E$1:$E$2000"),'Calculations'!$EM365)="","",TRIM(INDEX(INDIRECT("'WCM Calibration Final'!$E$1:$E$2000"),'Calculations'!$EM365)&amp;"")),""),'Calculations'!$HG$13:$HG$512,0)),IF(COUNTIF('Calculations'!$HG$13:$HG$512,"="&amp;SUBSTITUTE(SUBSTITUTE(SUBSTITUTE(IFERROR(IF(INDEX(INDIRECT("'WCM Calibration Final'!$E$1:$E$2000"),'Calculations'!$EM365)="","",TRIM(INDEX(INDIRECT("'WCM Calibration Final'!$E$1:$E$2000"),'Calculations'!$EM365)&amp;"")),""),"~","~~"),"*","~*"),"?","~?"))&gt;1,"!AMBIG","X:"&amp;IFERROR(IF(INDEX(INDIRECT("'WCM Calibration Final'!$E$1:$E$2000"),'Calculations'!$EM365)="","",TRIM(INDEX(INDIRECT("'WCM Calibration Final'!$E$1:$E$2000"),'Calculations'!$EM365)&amp;"")),""))))))</x:f>
      </x:c>
      <x:c r="HG365" t="str">
        <x:f>IF('Calculations'!EM365="","",IFERROR(IF(INDEX(INDIRECT("'WCM Calibration Final'!$B$1:$B$2000"),'Calculations'!$EM365)="","",TRIM(INDEX(INDIRECT("'WCM Calibration Final'!$B$1:$B$2000"),'Calculations'!$EM365)&amp;"")),""))</x:f>
      </x:c>
      <x:c r="HH365" t="n">
        <x:f>IF(AND('Calculations'!JC365&gt;0,COUNTIF('Calculations'!$HF$12:HF365,"="&amp;SUBSTITUTE(SUBSTITUTE(SUBSTITUTE('Calculations'!HF365,"~","~~"),"*","~*"),"?","~?"))=1),MAX('Calculations'!$HH$12:HH364)+1,0)</x:f>
        <x:v>0</x:v>
      </x:c>
      <x:c r="HI365" t="n">
        <x:f>IF(AND('Calculations'!HN365&lt;&gt;"",COUNTIF('Calculations'!$HN$12:HN365,"="&amp;SUBSTITUTE(SUBSTITUTE(SUBSTITUTE('Calculations'!HN365,"~","~~"),"*","~*"),"?","~?"))=1),MAX('Calculations'!$HI$12:HI364)+1,0)</x:f>
        <x:v>0</x:v>
      </x:c>
      <x:c r="HJ365" t="str">
        <x:f>IF('Calculations'!HF365="","",IF(COUNTIF('Calculations'!$HE$13:$HE$512,"="&amp;SUBSTITUTE(SUBSTITUTE(SUBSTITUTE('Calculations'!HF365,"~","~~"),"*","~*"),"?","~?"))=1,INDEX('Calculations'!$HK$13:$HK$512,MATCH('Calculations'!HF365,'Calculations'!$HE$13:$HE$512,0)),IFERROR(IF(INDEX(INDIRECT("'WCM Calibration Final'!$E$1:$E$2000"),'Calculations'!$EM365)="","",TRIM(INDEX(INDIRECT("'WCM Calibration Final'!$E$1:$E$2000"),'Calculations'!$EM365)&amp;"")),"")&amp;" ["&amp;'Calculations'!HF365&amp;"]"))</x:f>
      </x:c>
      <x:c r="HK365" t="str">
        <x:f>IF('Calculations'!EM365="","",'Calculations'!HG365&amp;" ["&amp;'Calculations'!HE365&amp;"]")</x:f>
      </x:c>
      <x:c r="HL365" t="n">
        <x:f>IF('Calculations'!EM365="",0,IF(OR('Calculations'!II365&lt;&gt;"",COUNTIF('Calculations'!$HE$13:$HE$512,"="&amp;SUBSTITUTE(SUBSTITUTE(SUBSTITUTE('Calculations'!HE365,"~","~~"),"*","~*"),"?","~?"))&gt;1),1,0))</x:f>
        <x:v>0</x:v>
      </x:c>
      <x:c r="HM365" t="str">
        <x:f>IF('Calculations'!EM365="","",IF('Calculations'!HL365=1,"!UNRESOLVED",IF('Calculations'!IH365&lt;&gt;"",'Calculations'!IH365,IF('Calculations'!IG365&lt;&gt;"",'Calculations'!IG365,IF('Calculations'!IF365&lt;&gt;"",'Calculations'!IF365,IF('Calculations'!IE365&lt;&gt;"",'Calculations'!IE365,IF('Calculations'!ID365&lt;&gt;"",'Calculations'!ID365,IF('Calculations'!IC365&lt;&gt;"",'Calculations'!IC365,IF('Calculations'!IB365&lt;&gt;"",'Calculations'!IB365,IF('Calculations'!IA365&lt;&gt;"",'Calculations'!IA365,IF('Calculations'!HZ365&lt;&gt;"",'Calculations'!HZ365,IF('Calculations'!HY365&lt;&gt;"",'Calculations'!HY365,IF('Calculations'!HX365&lt;&gt;"",'Calculations'!HX365,IF('Calculations'!HW365&lt;&gt;"",'Calculations'!HW365,IF('Calculations'!HV365&lt;&gt;"",'Calculations'!HV365,IF('Calculations'!HU365&lt;&gt;"",'Calculations'!HU365,IF('Calculations'!HT365&lt;&gt;"",'Calculations'!HT365,IF('Calculations'!HS365&lt;&gt;"",'Calculations'!HS365,IF('Calculations'!HR365&lt;&gt;"",'Calculations'!HR365,IF('Calculations'!HQ365&lt;&gt;"",'Calculations'!HQ365,IF('Calculations'!HP365&lt;&gt;"",'Calculations'!HP365,IF('Calculations'!HO365&lt;&gt;"",'Calculations'!HO365,'Calculations'!HE365))))))))))))))))))))))</x:f>
      </x:c>
      <x:c r="HN365" t="str">
        <x:f>IF('Calculations'!EM365="","",IF(IFERROR(IF(INDEX(INDIRECT("'WCM Calibration Final'!$F$1:$F$2000"),'Calculations'!$EM365)="","",TRIM(INDEX(INDIRECT("'WCM Calibration Final'!$F$1:$F$2000"),'Calculations'!$EM365)&amp;"")),"")="","(Blank)",IFERROR(IF(INDEX(INDIRECT("'WCM Calibration Final'!$F$1:$F$2000"),'Calculations'!$EM365)="","",TRIM(INDEX(INDIRECT("'WCM Calibration Final'!$F$1:$F$2000"),'Calculations'!$EM365)&amp;"")),"")))</x:f>
      </x:c>
      <x:c r="HO365" t="str">
        <x:f>'Calculations'!HF365</x:f>
      </x:c>
      <x:c r="HP365" t="str">
        <x:f>IF('Calculations'!HO365="","",IF('Calculations'!HO365="!AMBIG","!AMBIG",IF(COUNTIF('Calculations'!$HE$13:$HE$512,"="&amp;SUBSTITUTE(SUBSTITUTE(SUBSTITUTE('Calculations'!HO365,"~","~~"),"*","~*"),"?","~?"))&gt;1,"!AMBIG",IFERROR(INDEX('Calculations'!$HF$13:$HF$512,MATCH('Calculations'!HO365,'Calculations'!$HE$13:$HE$512,0)),""))))</x:f>
      </x:c>
      <x:c r="HQ365" t="str">
        <x:f>IF('Calculations'!HP365="","",IF('Calculations'!HP365="!AMBIG","!AMBIG",IF(COUNTIF('Calculations'!$HE$13:$HE$512,"="&amp;SUBSTITUTE(SUBSTITUTE(SUBSTITUTE('Calculations'!HP365,"~","~~"),"*","~*"),"?","~?"))&gt;1,"!AMBIG",IFERROR(INDEX('Calculations'!$HF$13:$HF$512,MATCH('Calculations'!HP365,'Calculations'!$HE$13:$HE$512,0)),""))))</x:f>
      </x:c>
      <x:c r="HR365" t="str">
        <x:f>IF('Calculations'!HQ365="","",IF('Calculations'!HQ365="!AMBIG","!AMBIG",IF(COUNTIF('Calculations'!$HE$13:$HE$512,"="&amp;SUBSTITUTE(SUBSTITUTE(SUBSTITUTE('Calculations'!HQ365,"~","~~"),"*","~*"),"?","~?"))&gt;1,"!AMBIG",IFERROR(INDEX('Calculations'!$HF$13:$HF$512,MATCH('Calculations'!HQ365,'Calculations'!$HE$13:$HE$512,0)),""))))</x:f>
      </x:c>
      <x:c r="HS365" t="str">
        <x:f>IF('Calculations'!HR365="","",IF('Calculations'!HR365="!AMBIG","!AMBIG",IF(COUNTIF('Calculations'!$HE$13:$HE$512,"="&amp;SUBSTITUTE(SUBSTITUTE(SUBSTITUTE('Calculations'!HR365,"~","~~"),"*","~*"),"?","~?"))&gt;1,"!AMBIG",IFERROR(INDEX('Calculations'!$HF$13:$HF$512,MATCH('Calculations'!HR365,'Calculations'!$HE$13:$HE$512,0)),""))))</x:f>
      </x:c>
      <x:c r="HT365" t="str">
        <x:f>IF('Calculations'!HS365="","",IF('Calculations'!HS365="!AMBIG","!AMBIG",IF(COUNTIF('Calculations'!$HE$13:$HE$512,"="&amp;SUBSTITUTE(SUBSTITUTE(SUBSTITUTE('Calculations'!HS365,"~","~~"),"*","~*"),"?","~?"))&gt;1,"!AMBIG",IFERROR(INDEX('Calculations'!$HF$13:$HF$512,MATCH('Calculations'!HS365,'Calculations'!$HE$13:$HE$512,0)),""))))</x:f>
      </x:c>
      <x:c r="HU365" t="str">
        <x:f>IF('Calculations'!HT365="","",IF('Calculations'!HT365="!AMBIG","!AMBIG",IF(COUNTIF('Calculations'!$HE$13:$HE$512,"="&amp;SUBSTITUTE(SUBSTITUTE(SUBSTITUTE('Calculations'!HT365,"~","~~"),"*","~*"),"?","~?"))&gt;1,"!AMBIG",IFERROR(INDEX('Calculations'!$HF$13:$HF$512,MATCH('Calculations'!HT365,'Calculations'!$HE$13:$HE$512,0)),""))))</x:f>
      </x:c>
      <x:c r="HV365" t="str">
        <x:f>IF('Calculations'!HU365="","",IF('Calculations'!HU365="!AMBIG","!AMBIG",IF(COUNTIF('Calculations'!$HE$13:$HE$512,"="&amp;SUBSTITUTE(SUBSTITUTE(SUBSTITUTE('Calculations'!HU365,"~","~~"),"*","~*"),"?","~?"))&gt;1,"!AMBIG",IFERROR(INDEX('Calculations'!$HF$13:$HF$512,MATCH('Calculations'!HU365,'Calculations'!$HE$13:$HE$512,0)),""))))</x:f>
      </x:c>
      <x:c r="HW365" t="str">
        <x:f>IF('Calculations'!HV365="","",IF('Calculations'!HV365="!AMBIG","!AMBIG",IF(COUNTIF('Calculations'!$HE$13:$HE$512,"="&amp;SUBSTITUTE(SUBSTITUTE(SUBSTITUTE('Calculations'!HV365,"~","~~"),"*","~*"),"?","~?"))&gt;1,"!AMBIG",IFERROR(INDEX('Calculations'!$HF$13:$HF$512,MATCH('Calculations'!HV365,'Calculations'!$HE$13:$HE$512,0)),""))))</x:f>
      </x:c>
      <x:c r="HX365" t="str">
        <x:f>IF('Calculations'!HW365="","",IF('Calculations'!HW365="!AMBIG","!AMBIG",IF(COUNTIF('Calculations'!$HE$13:$HE$512,"="&amp;SUBSTITUTE(SUBSTITUTE(SUBSTITUTE('Calculations'!HW365,"~","~~"),"*","~*"),"?","~?"))&gt;1,"!AMBIG",IFERROR(INDEX('Calculations'!$HF$13:$HF$512,MATCH('Calculations'!HW365,'Calculations'!$HE$13:$HE$512,0)),""))))</x:f>
      </x:c>
      <x:c r="HY365" t="str">
        <x:f>IF('Calculations'!HX365="","",IF('Calculations'!HX365="!AMBIG","!AMBIG",IF(COUNTIF('Calculations'!$HE$13:$HE$512,"="&amp;SUBSTITUTE(SUBSTITUTE(SUBSTITUTE('Calculations'!HX365,"~","~~"),"*","~*"),"?","~?"))&gt;1,"!AMBIG",IFERROR(INDEX('Calculations'!$HF$13:$HF$512,MATCH('Calculations'!HX365,'Calculations'!$HE$13:$HE$512,0)),""))))</x:f>
      </x:c>
      <x:c r="HZ365" t="str">
        <x:f>IF('Calculations'!HY365="","",IF('Calculations'!HY365="!AMBIG","!AMBIG",IF(COUNTIF('Calculations'!$HE$13:$HE$512,"="&amp;SUBSTITUTE(SUBSTITUTE(SUBSTITUTE('Calculations'!HY365,"~","~~"),"*","~*"),"?","~?"))&gt;1,"!AMBIG",IFERROR(INDEX('Calculations'!$HF$13:$HF$512,MATCH('Calculations'!HY365,'Calculations'!$HE$13:$HE$512,0)),""))))</x:f>
      </x:c>
      <x:c r="IA365" t="str">
        <x:f>IF('Calculations'!HZ365="","",IF('Calculations'!HZ365="!AMBIG","!AMBIG",IF(COUNTIF('Calculations'!$HE$13:$HE$512,"="&amp;SUBSTITUTE(SUBSTITUTE(SUBSTITUTE('Calculations'!HZ365,"~","~~"),"*","~*"),"?","~?"))&gt;1,"!AMBIG",IFERROR(INDEX('Calculations'!$HF$13:$HF$512,MATCH('Calculations'!HZ365,'Calculations'!$HE$13:$HE$512,0)),""))))</x:f>
      </x:c>
      <x:c r="IB365" t="str">
        <x:f>IF('Calculations'!IA365="","",IF('Calculations'!IA365="!AMBIG","!AMBIG",IF(COUNTIF('Calculations'!$HE$13:$HE$512,"="&amp;SUBSTITUTE(SUBSTITUTE(SUBSTITUTE('Calculations'!IA365,"~","~~"),"*","~*"),"?","~?"))&gt;1,"!AMBIG",IFERROR(INDEX('Calculations'!$HF$13:$HF$512,MATCH('Calculations'!IA365,'Calculations'!$HE$13:$HE$512,0)),""))))</x:f>
      </x:c>
      <x:c r="IC365" t="str">
        <x:f>IF('Calculations'!IB365="","",IF('Calculations'!IB365="!AMBIG","!AMBIG",IF(COUNTIF('Calculations'!$HE$13:$HE$512,"="&amp;SUBSTITUTE(SUBSTITUTE(SUBSTITUTE('Calculations'!IB365,"~","~~"),"*","~*"),"?","~?"))&gt;1,"!AMBIG",IFERROR(INDEX('Calculations'!$HF$13:$HF$512,MATCH('Calculations'!IB365,'Calculations'!$HE$13:$HE$512,0)),""))))</x:f>
      </x:c>
      <x:c r="ID365" t="str">
        <x:f>IF('Calculations'!IC365="","",IF('Calculations'!IC365="!AMBIG","!AMBIG",IF(COUNTIF('Calculations'!$HE$13:$HE$512,"="&amp;SUBSTITUTE(SUBSTITUTE(SUBSTITUTE('Calculations'!IC365,"~","~~"),"*","~*"),"?","~?"))&gt;1,"!AMBIG",IFERROR(INDEX('Calculations'!$HF$13:$HF$512,MATCH('Calculations'!IC365,'Calculations'!$HE$13:$HE$512,0)),""))))</x:f>
      </x:c>
      <x:c r="IE365" t="str">
        <x:f>IF('Calculations'!ID365="","",IF('Calculations'!ID365="!AMBIG","!AMBIG",IF(COUNTIF('Calculations'!$HE$13:$HE$512,"="&amp;SUBSTITUTE(SUBSTITUTE(SUBSTITUTE('Calculations'!ID365,"~","~~"),"*","~*"),"?","~?"))&gt;1,"!AMBIG",IFERROR(INDEX('Calculations'!$HF$13:$HF$512,MATCH('Calculations'!ID365,'Calculations'!$HE$13:$HE$512,0)),""))))</x:f>
      </x:c>
      <x:c r="IF365" t="str">
        <x:f>IF('Calculations'!IE365="","",IF('Calculations'!IE365="!AMBIG","!AMBIG",IF(COUNTIF('Calculations'!$HE$13:$HE$512,"="&amp;SUBSTITUTE(SUBSTITUTE(SUBSTITUTE('Calculations'!IE365,"~","~~"),"*","~*"),"?","~?"))&gt;1,"!AMBIG",IFERROR(INDEX('Calculations'!$HF$13:$HF$512,MATCH('Calculations'!IE365,'Calculations'!$HE$13:$HE$512,0)),""))))</x:f>
      </x:c>
      <x:c r="IG365" t="str">
        <x:f>IF('Calculations'!IF365="","",IF('Calculations'!IF365="!AMBIG","!AMBIG",IF(COUNTIF('Calculations'!$HE$13:$HE$512,"="&amp;SUBSTITUTE(SUBSTITUTE(SUBSTITUTE('Calculations'!IF365,"~","~~"),"*","~*"),"?","~?"))&gt;1,"!AMBIG",IFERROR(INDEX('Calculations'!$HF$13:$HF$512,MATCH('Calculations'!IF365,'Calculations'!$HE$13:$HE$512,0)),""))))</x:f>
      </x:c>
      <x:c r="IH365" t="str">
        <x:f>IF('Calculations'!IG365="","",IF('Calculations'!IG365="!AMBIG","!AMBIG",IF(COUNTIF('Calculations'!$HE$13:$HE$512,"="&amp;SUBSTITUTE(SUBSTITUTE(SUBSTITUTE('Calculations'!IG365,"~","~~"),"*","~*"),"?","~?"))&gt;1,"!AMBIG",IFERROR(INDEX('Calculations'!$HF$13:$HF$512,MATCH('Calculations'!IG365,'Calculations'!$HE$13:$HE$512,0)),""))))</x:f>
      </x:c>
      <x:c r="II365" t="str">
        <x:f>IF('Calculations'!IH365="","",IF('Calculations'!IH365="!AMBIG","!AMBIG",IF(COUNTIF('Calculations'!$HE$13:$HE$512,"="&amp;SUBSTITUTE(SUBSTITUTE(SUBSTITUTE('Calculations'!IH365,"~","~~"),"*","~*"),"?","~?"))&gt;1,"!AMBIG",IFERROR(INDEX('Calculations'!$HF$13:$HF$512,MATCH('Calculations'!IH365,'Calculations'!$HE$13:$HE$512,0)),""))))</x:f>
      </x:c>
      <x:c r="IJ365" t="str">
        <x:f>IF('Calculations'!EM365="","",IF('Calculations'!$EF$2="All",'Calculations'!HM365,IF('Calculations'!HL365=1,"",IFERROR(IF(MATCH('Calculations'!$EF$2,'Calculations'!HO365:II365,0)=1,'Calculations'!HE365,INDEX('Calculations'!HO365:II365,1,MATCH('Calculations'!$EF$2,'Calculations'!HO365:II365,0)-1)),""))))</x:f>
      </x:c>
      <x:c r="IK365" t="n">
        <x:f>IF(AND('Calculations'!EM365&lt;&gt;"",'Calculations'!$EF$2&lt;&gt;"All",'Calculations'!HF365='Calculations'!$EF$2,'Calculations'!HL365=0,'Calculations'!JD365&gt;0),MAX('Calculations'!$IK$12:IK364)+1,0)</x:f>
        <x:v>0</x:v>
      </x:c>
      <x:c r="JA365" t="n">
        <x:f>IF(OR(IFERROR(INDIRECT("'WCM Calibration Final'!$A$365")&lt;&gt;"",FALSE),IFERROR(INDIRECT("'WCM Calibration Final'!$B$365")&lt;&gt;"",FALSE),IFERROR(INDIRECT("'WCM Calibration Final'!$C$365")&lt;&gt;"",FALSE)),365,0)</x:f>
        <x:v>0</x:v>
      </x:c>
      <x:c r="JB365" t="n">
        <x:f>'Calculations'!JB364+IF('Calculations'!JA365&gt;0,1,0)</x:f>
        <x:v>0</x:v>
      </x:c>
      <x:c r="JC365" t="n">
        <x:f>IF(OR('Calculations'!HF365="",'Calculations'!HF365="!AMBIG"),0,IF('Dashboard'!$B$7="All",1,COUNTIFS('Calculations'!$HO$13:$HO$512,"="&amp;SUBSTITUTE(SUBSTITUTE(SUBSTITUTE('Calculations'!HF365,"~","~~"),"*","~*"),"?","~?"),'Calculations'!$HN$13:$HN$512,"="&amp;SUBSTITUTE(SUBSTITUTE(SUBSTITUTE('Dashboard'!$B$7,"~","~~"),"*","~*"),"?","~?"))+COUNTIFS('Calculations'!$HP$13:$HP$512,"="&amp;SUBSTITUTE(SUBSTITUTE(SUBSTITUTE('Calculations'!HF365,"~","~~"),"*","~*"),"?","~?"),'Calculations'!$HN$13:$HN$512,"="&amp;SUBSTITUTE(SUBSTITUTE(SUBSTITUTE('Dashboard'!$B$7,"~","~~"),"*","~*"),"?","~?"))+COUNTIFS('Calculations'!$HQ$13:$HQ$512,"="&amp;SUBSTITUTE(SUBSTITUTE(SUBSTITUTE('Calculations'!HF365,"~","~~"),"*","~*"),"?","~?"),'Calculations'!$HN$13:$HN$512,"="&amp;SUBSTITUTE(SUBSTITUTE(SUBSTITUTE('Dashboard'!$B$7,"~","~~"),"*","~*"),"?","~?"))+COUNTIFS('Calculations'!$HR$13:$HR$512,"="&amp;SUBSTITUTE(SUBSTITUTE(SUBSTITUTE('Calculations'!HF365,"~","~~"),"*","~*"),"?","~?"),'Calculations'!$HN$13:$HN$512,"="&amp;SUBSTITUTE(SUBSTITUTE(SUBSTITUTE('Dashboard'!$B$7,"~","~~"),"*","~*"),"?","~?"))+COUNTIFS('Calculations'!$HS$13:$HS$512,"="&amp;SUBSTITUTE(SUBSTITUTE(SUBSTITUTE('Calculations'!HF365,"~","~~"),"*","~*"),"?","~?"),'Calculations'!$HN$13:$HN$512,"="&amp;SUBSTITUTE(SUBSTITUTE(SUBSTITUTE('Dashboard'!$B$7,"~","~~"),"*","~*"),"?","~?"))+COUNTIFS('Calculations'!$HT$13:$HT$512,"="&amp;SUBSTITUTE(SUBSTITUTE(SUBSTITUTE('Calculations'!HF365,"~","~~"),"*","~*"),"?","~?"),'Calculations'!$HN$13:$HN$512,"="&amp;SUBSTITUTE(SUBSTITUTE(SUBSTITUTE('Dashboard'!$B$7,"~","~~"),"*","~*"),"?","~?"))+COUNTIFS('Calculations'!$HU$13:$HU$512,"="&amp;SUBSTITUTE(SUBSTITUTE(SUBSTITUTE('Calculations'!HF365,"~","~~"),"*","~*"),"?","~?"),'Calculations'!$HN$13:$HN$512,"="&amp;SUBSTITUTE(SUBSTITUTE(SUBSTITUTE('Dashboard'!$B$7,"~","~~"),"*","~*"),"?","~?"))+COUNTIFS('Calculations'!$HV$13:$HV$512,"="&amp;SUBSTITUTE(SUBSTITUTE(SUBSTITUTE('Calculations'!HF365,"~","~~"),"*","~*"),"?","~?"),'Calculations'!$HN$13:$HN$512,"="&amp;SUBSTITUTE(SUBSTITUTE(SUBSTITUTE('Dashboard'!$B$7,"~","~~"),"*","~*"),"?","~?"))+COUNTIFS('Calculations'!$HW$13:$HW$512,"="&amp;SUBSTITUTE(SUBSTITUTE(SUBSTITUTE('Calculations'!HF365,"~","~~"),"*","~*"),"?","~?"),'Calculations'!$HN$13:$HN$512,"="&amp;SUBSTITUTE(SUBSTITUTE(SUBSTITUTE('Dashboard'!$B$7,"~","~~"),"*","~*"),"?","~?"))+COUNTIFS('Calculations'!$HX$13:$HX$512,"="&amp;SUBSTITUTE(SUBSTITUTE(SUBSTITUTE('Calculations'!HF365,"~","~~"),"*","~*"),"?","~?"),'Calculations'!$HN$13:$HN$512,"="&amp;SUBSTITUTE(SUBSTITUTE(SUBSTITUTE('Dashboard'!$B$7,"~","~~"),"*","~*"),"?","~?"))+COUNTIFS('Calculations'!$HY$13:$HY$512,"="&amp;SUBSTITUTE(SUBSTITUTE(SUBSTITUTE('Calculations'!HF365,"~","~~"),"*","~*"),"?","~?"),'Calculations'!$HN$13:$HN$512,"="&amp;SUBSTITUTE(SUBSTITUTE(SUBSTITUTE('Dashboard'!$B$7,"~","~~"),"*","~*"),"?","~?"))+COUNTIFS('Calculations'!$HZ$13:$HZ$512,"="&amp;SUBSTITUTE(SUBSTITUTE(SUBSTITUTE('Calculations'!HF365,"~","~~"),"*","~*"),"?","~?"),'Calculations'!$HN$13:$HN$512,"="&amp;SUBSTITUTE(SUBSTITUTE(SUBSTITUTE('Dashboard'!$B$7,"~","~~"),"*","~*"),"?","~?"))+COUNTIFS('Calculations'!$IA$13:$IA$512,"="&amp;SUBSTITUTE(SUBSTITUTE(SUBSTITUTE('Calculations'!HF365,"~","~~"),"*","~*"),"?","~?"),'Calculations'!$HN$13:$HN$512,"="&amp;SUBSTITUTE(SUBSTITUTE(SUBSTITUTE('Dashboard'!$B$7,"~","~~"),"*","~*"),"?","~?"))+COUNTIFS('Calculations'!$IB$13:$IB$512,"="&amp;SUBSTITUTE(SUBSTITUTE(SUBSTITUTE('Calculations'!HF365,"~","~~"),"*","~*"),"?","~?"),'Calculations'!$HN$13:$HN$512,"="&amp;SUBSTITUTE(SUBSTITUTE(SUBSTITUTE('Dashboard'!$B$7,"~","~~"),"*","~*"),"?","~?"))+COUNTIFS('Calculations'!$IC$13:$IC$512,"="&amp;SUBSTITUTE(SUBSTITUTE(SUBSTITUTE('Calculations'!HF365,"~","~~"),"*","~*"),"?","~?"),'Calculations'!$HN$13:$HN$512,"="&amp;SUBSTITUTE(SUBSTITUTE(SUBSTITUTE('Dashboard'!$B$7,"~","~~"),"*","~*"),"?","~?"))+COUNTIFS('Calculations'!$ID$13:$ID$512,"="&amp;SUBSTITUTE(SUBSTITUTE(SUBSTITUTE('Calculations'!HF365,"~","~~"),"*","~*"),"?","~?"),'Calculations'!$HN$13:$HN$512,"="&amp;SUBSTITUTE(SUBSTITUTE(SUBSTITUTE('Dashboard'!$B$7,"~","~~"),"*","~*"),"?","~?"))+COUNTIFS('Calculations'!$IE$13:$IE$512,"="&amp;SUBSTITUTE(SUBSTITUTE(SUBSTITUTE('Calculations'!HF365,"~","~~"),"*","~*"),"?","~?"),'Calculations'!$HN$13:$HN$512,"="&amp;SUBSTITUTE(SUBSTITUTE(SUBSTITUTE('Dashboard'!$B$7,"~","~~"),"*","~*"),"?","~?"))+COUNTIFS('Calculations'!$IF$13:$IF$512,"="&amp;SUBSTITUTE(SUBSTITUTE(SUBSTITUTE('Calculations'!HF365,"~","~~"),"*","~*"),"?","~?"),'Calculations'!$HN$13:$HN$512,"="&amp;SUBSTITUTE(SUBSTITUTE(SUBSTITUTE('Dashboard'!$B$7,"~","~~"),"*","~*"),"?","~?"))+COUNTIFS('Calculations'!$IG$13:$IG$512,"="&amp;SUBSTITUTE(SUBSTITUTE(SUBSTITUTE('Calculations'!HF365,"~","~~"),"*","~*"),"?","~?"),'Calculations'!$HN$13:$HN$512,"="&amp;SUBSTITUTE(SUBSTITUTE(SUBSTITUTE('Dashboard'!$B$7,"~","~~"),"*","~*"),"?","~?"))+COUNTIFS('Calculations'!$IH$13:$IH$512,"="&amp;SUBSTITUTE(SUBSTITUTE(SUBSTITUTE('Calculations'!HF365,"~","~~"),"*","~*"),"?","~?"),'Calculations'!$HN$13:$HN$512,"="&amp;SUBSTITUTE(SUBSTITUTE(SUBSTITUTE('Dashboard'!$B$7,"~","~~"),"*","~*"),"?","~?"))))</x:f>
        <x:v>0</x:v>
      </x:c>
      <x:c r="JD365" t="n">
        <x:f>IF('Calculations'!EM365="",0,IF('Dashboard'!$B$7="All",1,IF('Calculations'!HN365='Dashboard'!$B$7,1,0)+IFERROR(INDEX('Calculations'!$JC$13:$JC$512,MATCH('Calculations'!HE365,'Calculations'!$HF$13:$HF$512,0)),0)))</x:f>
        <x:v>0</x:v>
      </x:c>
      <x:c r="JE365" t="n">
        <x:f>IF(AND('Calculations'!EM365&lt;&gt;"",'Calculations'!$JJ$2&lt;&gt;"All",'Calculations'!$JJ$2&lt;&gt;"",'Calculations'!HF365='Calculations'!$JJ$2,'Calculations'!HL365=0,'Calculations'!JD365&gt;0),MAX('Calculations'!$JE$12:JE364)+1,0)</x:f>
        <x:v>0</x:v>
      </x:c>
      <x:c r="JF365" t="str">
        <x:f>IF('Calculations'!EM365="","",IFERROR(IF(INDEX(INDIRECT("'WCM Calibration Final'!$G$1:$G$2000"),'Calculations'!$EM365)="","",TRIM(INDEX(INDIRECT("'WCM Calibration Final'!$G$1:$G$2000"),'Calculations'!$EM365)&amp;"")),""))</x:f>
      </x:c>
      <x:c r="JQ365" t="n">
        <x:f>IF(OR('Calculations'!BM365=0,NOT('Calculations'!$AG$2),'Calculations'!$AG$8&gt;0),0,IF(OR('Dashboard'!$B$7="All",'Calculations'!HN365='Dashboard'!$B$7),IF('Calculations'!$JJ$2="All",1,IF(AND('Calculations'!HF365='Calculations'!$JJ$2,'Calculations'!HL365=0),1,0)),0))</x:f>
        <x:v>0</x:v>
      </x:c>
    </x:row>
    <x:row r="366">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t="n">
        <x:f>IF('Calculations'!$EM366="",0,IF(OR(IFERROR(INDEX(INDIRECT("'WCM Calibration Final'!$A$1:$A$2000"),'Calculations'!$EM366)&lt;&gt;"",FALSE),IFERROR(INDEX(INDIRECT("'WCM Calibration Final'!$B$1:$B$2000"),'Calculations'!$EM366)&lt;&gt;"",FALSE),IFERROR(INDEX(INDIRECT("'WCM Calibration Final'!$C$1:$C$2000"),'Calculations'!$EM366)&lt;&gt;"",FALSE)),1,0))</x:f>
        <x:v>0</x:v>
      </x:c>
      <x:c r="BN366" s="4" t="n">
        <x:f>IF(AND('Calculations'!BM366=1,'Calculations'!$AG$2,'Calculations'!$EN366=1),1,0)</x:f>
        <x:v>0</x:v>
      </x:c>
      <x:c r="BO366" s="4" t="str">
        <x:f>IF('Calculations'!BM366=0,"",IFERROR(IF(AND(VALUE(INDEX(INDIRECT("'WCM Calibration Final'!$K$1:$K$2000"),'Calculations'!$EM366))&gt;=1,VALUE(INDEX(INDIRECT("'WCM Calibration Final'!$K$1:$K$2000"),'Calculations'!$EM366))&lt;=4,MOD(VALUE(INDEX(INDIRECT("'WCM Calibration Final'!$K$1:$K$2000"),'Calculations'!$EM366)),1)=0),VALUE(INDEX(INDIRECT("'WCM Calibration Final'!$K$1:$K$2000"),'Calculations'!$EM366)),""),""))</x:f>
      </x:c>
      <x:c r="BP366" s="4" t="str">
        <x:f>IF('Calculations'!BM366=0,"",IFERROR(IF(AND(VALUE(INDEX(INDIRECT("'WCM Calibration Final'!$L$1:$L$2000"),'Calculations'!$EM366))&gt;=1,VALUE(INDEX(INDIRECT("'WCM Calibration Final'!$L$1:$L$2000"),'Calculations'!$EM366))&lt;=4,MOD(VALUE(INDEX(INDIRECT("'WCM Calibration Final'!$L$1:$L$2000"),'Calculations'!$EM366)),1)=0),VALUE(INDEX(INDIRECT("'WCM Calibration Final'!$L$1:$L$2000"),'Calculations'!$EM366)),""),""))</x:f>
      </x:c>
      <x:c r="BQ366" s="4"/>
      <x:c r="BR366" s="4"/>
      <x:c r="BS366" s="4"/>
      <x:c r="BT366" s="4" t="n">
        <x:f>IF(AND('Calculations'!BM366=1,ISNUMBER('Calculations'!BO366),ISNUMBER('Calculations'!BP366)),1,0)</x:f>
        <x:v>0</x:v>
      </x:c>
      <x:c r="BU366" s="4" t="str">
        <x:f>IF('Calculations'!BM366=0,"",'Calculations'!$EO366)</x:f>
      </x:c>
      <x:c r="BV366" s="4" t="str">
        <x:f>IF('Calculations'!BM366=0,"",IFERROR(IF(OR(INDEX(INDIRECT("'WCM Calibration Final'!$H$1:$H$2000"),'Calculations'!$EM366)="MANAGING DIRECTOR",INDEX(INDIRECT("'WCM Calibration Final'!$H$1:$H$2000"),'Calculations'!$EM366)="DIRECTOR",INDEX(INDIRECT("'WCM Calibration Final'!$H$1:$H$2000"),'Calculations'!$EM366)="SENIOR VICE PRESIDENT",INDEX(INDIRECT("'WCM Calibration Final'!$H$1:$H$2000"),'Calculations'!$EM366)="VICE PRESIDENT",INDEX(INDIRECT("'WCM Calibration Final'!$H$1:$H$2000"),'Calculations'!$EM366)="ASSISTANT VICE PRESIDENT",INDEX(INDIRECT("'WCM Calibration Final'!$H$1:$H$2000"),'Calculations'!$EM366)="OFFICER"),UPPER(INDEX(INDIRECT("'WCM Calibration Final'!$H$1:$H$2000"),'Calculations'!$EM366)),"Other"),"Other"))</x:f>
      </x:c>
      <x:c r="BW366" s="4"/>
      <x:c r="BX366" s="4"/>
      <x:c r="BY366" s="4" t="n">
        <x:f>IF(AND('Calculations'!BM366=1,'Calculations'!BU366&lt;&gt;"",COUNTIF('Calculations'!$BU$12:BU366,'Calculations'!BU366)=1),MAX('Calculations'!$BY$11:BY365)+1,0)</x:f>
        <x:v>0</x:v>
      </x:c>
      <x:c r="BZ366" s="4" t="str">
        <x:f>IF('Dashboard'!$E$67="What",'Calculations'!BO366,'Calculations'!BP366)</x:f>
      </x:c>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t="str">
        <x:f>IF(355&gt;MAX('Calculations'!$HI$13:$HI$512),"",INDEX('Calculations'!$HN$13:$HN$512,MATCH(355,'Calculations'!$HI$13:$HI$512,0)))</x:f>
      </x:c>
      <x:c r="DB366" s="4" t="str">
        <x:f>IF(355&gt;MAX('Calculations'!$HH$13:$HH$512),"",INDEX('Calculations'!$HJ$13:$HJ$512,MATCH(355,'Calculations'!$HH$13:$HH$512,0)))</x:f>
      </x:c>
      <x:c r="DC366" s="4" t="str">
        <x:f>IF(ROW()-11&gt;MAX('Calculations'!$BY$13:$BY$512),"",INDEX('Calculations'!$BU$13:$BU$512,MATCH(ROW()-11,'Calculations'!$BY$13:$BY$512,0)))</x:f>
      </x:c>
      <x:c r="DD366" s="4" t="str">
        <x:f>IF(355&gt;MAX('Calculations'!$IK$13:$IK$512),"",INDEX('Calculations'!$HK$13:$HK$512,MATCH(355,'Calculations'!$IK$13:$IK$512,0)))</x:f>
      </x:c>
      <x:c r="DE366" s="4" t="str">
        <x:f>'Calculations'!DC366</x:f>
      </x:c>
      <x:c r="DF366" s="4" t="str">
        <x:f>IF('Calculations'!DE366="","",COUNTIFS('Calculations'!$BN$13:$BN$512,1,'Calculations'!$BU$13:$BU$512,'Calculations'!DE366))</x:f>
      </x:c>
      <x:c r="DG366" s="4" t="str">
        <x:f>IF('Calculations'!DE366="","",COUNTIFS('Calculations'!$BN$13:$BN$512,1,'Calculations'!$BU$13:$BU$512,'Calculations'!DE366,'Calculations'!$BT$13:$BT$512,1))</x:f>
      </x:c>
      <x:c r="DH366" s="4" t="str">
        <x:f>IF('Calculations'!DE366="","",'Calculations'!DF366-'Calculations'!DG366)</x:f>
      </x:c>
      <x:c r="DI366" s="4" t="str">
        <x:f>IF(OR('Calculations'!DE366="",'Calculations'!DF366=0),"",'Calculations'!DG366/'Calculations'!DF366)</x:f>
      </x:c>
      <x:c r="DJ366" s="4" t="str">
        <x:f>IF('Calculations'!DE366="","",COUNTIFS('Calculations'!$BN$13:$BN$512,1,'Calculations'!$BU$13:$BU$512,'Calculations'!DE366,'Calculations'!$BT$13:$BT$512,1,'Calculations'!$EE$13:$EE$512,"High"))</x:f>
      </x:c>
      <x:c r="DK366" s="4" t="str">
        <x:f>IF('Calculations'!DE366="","",COUNTIFS('Calculations'!$BN$13:$BN$512,1,'Calculations'!$BU$13:$BU$512,'Calculations'!DE366,'Calculations'!$BT$13:$BT$512,1,'Calculations'!$EE$13:$EE$512,"Strong"))</x:f>
      </x:c>
      <x:c r="DL366" s="4" t="str">
        <x:f>IF('Calculations'!DE366="","",COUNTIFS('Calculations'!$BN$13:$BN$512,1,'Calculations'!$BU$13:$BU$512,'Calculations'!DE366,'Calculations'!$BT$13:$BT$512,1,'Calculations'!$EE$13:$EE$512,"Solid"))</x:f>
      </x:c>
      <x:c r="DM366" s="4" t="str">
        <x:f>IF('Calculations'!DE366="","",COUNTIFS('Calculations'!$BN$13:$BN$512,1,'Calculations'!$BU$13:$BU$512,'Calculations'!DE366,'Calculations'!$BT$13:$BT$512,1,'Calculations'!$EE$13:$EE$512,"Low"))</x:f>
      </x:c>
      <x:c r="DN366" s="4" t="str">
        <x:f>IF('Calculations'!DE366="","",COUNTIFS('Calculations'!$BN$13:$BN$512,1,'Calculations'!$BU$13:$BU$512,'Calculations'!DE366,'Calculations'!$EP$13:$EP$512,1))</x:f>
      </x:c>
      <x:c r="DO366" s="4" t="str">
        <x:f>IF(OR('Calculations'!DE366="",'Calculations'!DG366=0),"",('Calculations'!DJ366+'Calculations'!DK366)/'Calculations'!DG366)</x:f>
      </x:c>
      <x:c r="DP366" s="4" t="n">
        <x:f>IF(AND('Calculations'!DE366&lt;&gt;"",'Calculations'!DF366&gt;0),COUNTIF('Calculations'!$DF$12:DF366,"&gt;0"),0)</x:f>
        <x:v>0</x:v>
      </x:c>
      <x:c r="DQ366" s="4" t="str">
        <x:f>IF(355&gt;MAX('Calculations'!$HH$13:$HH$512),"",INDEX('Calculations'!$HF$13:$HF$512,MATCH(355,'Calculations'!$HH$13:$HH$512,0)))</x:f>
      </x:c>
      <x:c r="DR366" s="4" t="str">
        <x:f>IF(355&gt;MAX('Calculations'!$IK$13:$IK$512),"",INDEX('Calculations'!$HE$13:$HE$512,MATCH(355,'Calculations'!$IK$13:$IK$512,0)))</x:f>
      </x:c>
      <x:c r="DS366" s="4"/>
      <x:c r="DT366" s="4"/>
      <x:c r="DU366" s="4"/>
      <x:c r="DV366" s="4"/>
      <x:c r="DW366" s="4"/>
      <x:c r="DX366" s="4"/>
      <x:c r="DY366" s="4"/>
      <x:c r="DZ366" s="4"/>
      <x:c r="EA366" s="4"/>
      <x:c r="EB366" s="4"/>
      <x:c r="EC366" s="4"/>
      <x:c r="ED366" s="4"/>
      <x:c r="EE366" s="4" t="str">
        <x:f>IF('Calculations'!BT366=0,"Not Rated",IF(OR('Calculations'!BO366&gt;=4,'Calculations'!BP366&gt;=4),"Low",IF('Calculations'!BO366+'Calculations'!BP366&lt;=3,"High",IF('Calculations'!BO366+'Calculations'!BP366&lt;=4,"Strong","Solid"))))</x:f>
        <x:v>Not Rated</x:v>
      </x:c>
      <x:c r="EF366" s="4"/>
      <x:c r="EG366" s="4"/>
      <x:c r="EH366" s="4"/>
      <x:c r="EI366" s="4"/>
      <x:c r="EJ366" s="4"/>
      <x:c r="EK366" s="4"/>
      <x:c r="EL366" s="4"/>
      <x:c r="EM366" s="4" t="str">
        <x:f>IF(354&gt;'Calculations'!$JB$2000,"",INDEX('Calculations'!$JA$12:$JA$2000,MATCH(354,'Calculations'!$JB$12:$JB$2000,0)))</x:f>
      </x:c>
      <x:c r="EN366" s="4" t="n">
        <x:f>IF(OR('Calculations'!EM366="",'Calculations'!$AG$8&gt;0,AND('Calculations'!$EF$2&lt;&gt;"All",'Calculations'!HE366='Calculations'!$EF$2),AND('Calculations'!$EF$3&lt;&gt;"All",'Calculations'!HE366='Calculations'!$EF$3)),0,IF(OR('Dashboard'!$B$7="All",'Calculations'!HN366='Dashboard'!$B$7),IF('Calculations'!$EF$2="All",1,IF('Calculations'!HL366&gt;0,0,IF(COUNTIF('Calculations'!HO366:II366,"="&amp;SUBSTITUTE(SUBSTITUTE(SUBSTITUTE('Calculations'!$EF$2,"~","~~"),"*","~*"),"?","~?"))=0,0,IF('Calculations'!$EF$3="All",1,IF(COUNTIF('Calculations'!HO366:II366,"="&amp;SUBSTITUTE(SUBSTITUTE(SUBSTITUTE('Calculations'!$EF$3,"~","~~"),"*","~*"),"?","~?"))&gt;0,1,0))))),0))</x:f>
        <x:v>0</x:v>
      </x:c>
      <x:c r="EO366" s="4" t="str">
        <x:f>IF('Calculations'!IJ366="","",IF('Calculations'!IJ366="!UNRESOLVED","Unresolved hierarchy",IFERROR(INDEX('Calculations'!$HK$13:$HK$512,MATCH('Calculations'!IJ366,'Calculations'!$HE$13:$HE$512,0)),IFERROR(INDEX('Calculations'!$HJ$13:$HJ$512,MATCH('Calculations'!IJ366,'Calculations'!$HF$13:$HF$512,0)),'Calculations'!IJ366))))</x:f>
      </x:c>
      <x:c r="EP366" s="4" t="n">
        <x:f>IF(AND('Calculations'!EM366&lt;&gt;"",'Calculations'!HF366='Calculations'!IJ366),1,0)</x:f>
        <x:v>0</x:v>
      </x:c>
      <x:c r="EQ366" s="4"/>
      <x:c r="ER366" s="4"/>
      <x:c r="ES366" s="4"/>
      <x:c r="ET366" s="4"/>
      <x:c r="EU366" s="4"/>
      <x:c r="EV366" s="4"/>
      <x:c r="EW366" s="4"/>
      <x:c r="EX366" s="4"/>
      <x:c r="EY366" s="4"/>
      <x:c r="EZ366" s="4"/>
      <x:c r="FA366" s="4"/>
      <x:c r="FB366" s="4"/>
      <x:c r="FC366" s="4"/>
      <x:c r="FD366" s="4"/>
      <x:c r="FE366" s="4"/>
      <x:c r="FF366" s="4"/>
      <x:c r="FG366" s="4"/>
      <x:c r="FH366" s="4"/>
      <x:c r="FI366" s="4"/>
      <x:c r="FJ366" s="4"/>
      <x:c r="FK366" s="4"/>
      <x:c r="FL366" s="4"/>
      <x:c r="FM366" s="4"/>
      <x:c r="FN366" s="4"/>
      <x:c r="FO366" s="4"/>
      <x:c r="HE366" t="str">
        <x:f>IF('Calculations'!EM366="","",IF(IFERROR(IF(INDEX(INDIRECT("'WCM Calibration Final'!$A$1:$A$2000"),'Calculations'!$EM366)="","",TRIM(INDEX(INDIRECT("'WCM Calibration Final'!$A$1:$A$2000"),'Calculations'!$EM366)&amp;"")),"")&lt;&gt;"","G:"&amp;IFERROR(TEXT(1*INDEX(INDIRECT("'WCM Calibration Final'!$A$1:$A$2000"),'Calculations'!$EM366),"0"),UPPER(IFERROR(IF(INDEX(INDIRECT("'WCM Calibration Final'!$A$1:$A$2000"),'Calculations'!$EM366)="","",TRIM(INDEX(INDIRECT("'WCM Calibration Final'!$A$1:$A$2000"),'Calculations'!$EM366)&amp;"")),""))),IF(IFERROR(IF(INDEX(INDIRECT("'WCM Calibration Final'!$C$1:$C$2000"),'Calculations'!$EM366)="","",TRIM(INDEX(INDIRECT("'WCM Calibration Final'!$C$1:$C$2000"),'Calculations'!$EM366)&amp;"")),"")&lt;&gt;"","S:"&amp;UPPER(IFERROR(IF(INDEX(INDIRECT("'WCM Calibration Final'!$C$1:$C$2000"),'Calculations'!$EM366)="","",TRIM(INDEX(INDIRECT("'WCM Calibration Final'!$C$1:$C$2000"),'Calculations'!$EM366)&amp;"")),"")),"R:"&amp;'Calculations'!EM366)))</x:f>
      </x:c>
      <x:c r="HF366" t="str">
        <x:f>IF('Calculations'!EM366="","",IF(IFERROR(IF(INDEX(INDIRECT("'WCM Calibration Final'!$D$1:$D$2000"),'Calculations'!$EM366)="","",TRIM(INDEX(INDIRECT("'WCM Calibration Final'!$D$1:$D$2000"),'Calculations'!$EM366)&amp;"")),"")&lt;&gt;"","G:"&amp;IFERROR(TEXT(1*INDEX(INDIRECT("'WCM Calibration Final'!$D$1:$D$2000"),'Calculations'!$EM366),"0"),UPPER(IFERROR(IF(INDEX(INDIRECT("'WCM Calibration Final'!$D$1:$D$2000"),'Calculations'!$EM366)="","",TRIM(INDEX(INDIRECT("'WCM Calibration Final'!$D$1:$D$2000"),'Calculations'!$EM366)&amp;"")),""))),IF(IFERROR(IF(INDEX(INDIRECT("'WCM Calibration Final'!$E$1:$E$2000"),'Calculations'!$EM366)="","",TRIM(INDEX(INDIRECT("'WCM Calibration Final'!$E$1:$E$2000"),'Calculations'!$EM366)&amp;"")),"")="","",IF(COUNTIF('Calculations'!$HG$13:$HG$512,"="&amp;SUBSTITUTE(SUBSTITUTE(SUBSTITUTE(IFERROR(IF(INDEX(INDIRECT("'WCM Calibration Final'!$E$1:$E$2000"),'Calculations'!$EM366)="","",TRIM(INDEX(INDIRECT("'WCM Calibration Final'!$E$1:$E$2000"),'Calculations'!$EM366)&amp;"")),""),"~","~~"),"*","~*"),"?","~?"))=1,INDEX('Calculations'!$HE$13:$HE$512,MATCH(IFERROR(IF(INDEX(INDIRECT("'WCM Calibration Final'!$E$1:$E$2000"),'Calculations'!$EM366)="","",TRIM(INDEX(INDIRECT("'WCM Calibration Final'!$E$1:$E$2000"),'Calculations'!$EM366)&amp;"")),""),'Calculations'!$HG$13:$HG$512,0)),IF(COUNTIF('Calculations'!$HG$13:$HG$512,"="&amp;SUBSTITUTE(SUBSTITUTE(SUBSTITUTE(IFERROR(IF(INDEX(INDIRECT("'WCM Calibration Final'!$E$1:$E$2000"),'Calculations'!$EM366)="","",TRIM(INDEX(INDIRECT("'WCM Calibration Final'!$E$1:$E$2000"),'Calculations'!$EM366)&amp;"")),""),"~","~~"),"*","~*"),"?","~?"))&gt;1,"!AMBIG","X:"&amp;IFERROR(IF(INDEX(INDIRECT("'WCM Calibration Final'!$E$1:$E$2000"),'Calculations'!$EM366)="","",TRIM(INDEX(INDIRECT("'WCM Calibration Final'!$E$1:$E$2000"),'Calculations'!$EM366)&amp;"")),""))))))</x:f>
      </x:c>
      <x:c r="HG366" t="str">
        <x:f>IF('Calculations'!EM366="","",IFERROR(IF(INDEX(INDIRECT("'WCM Calibration Final'!$B$1:$B$2000"),'Calculations'!$EM366)="","",TRIM(INDEX(INDIRECT("'WCM Calibration Final'!$B$1:$B$2000"),'Calculations'!$EM366)&amp;"")),""))</x:f>
      </x:c>
      <x:c r="HH366" t="n">
        <x:f>IF(AND('Calculations'!JC366&gt;0,COUNTIF('Calculations'!$HF$12:HF366,"="&amp;SUBSTITUTE(SUBSTITUTE(SUBSTITUTE('Calculations'!HF366,"~","~~"),"*","~*"),"?","~?"))=1),MAX('Calculations'!$HH$12:HH365)+1,0)</x:f>
        <x:v>0</x:v>
      </x:c>
      <x:c r="HI366" t="n">
        <x:f>IF(AND('Calculations'!HN366&lt;&gt;"",COUNTIF('Calculations'!$HN$12:HN366,"="&amp;SUBSTITUTE(SUBSTITUTE(SUBSTITUTE('Calculations'!HN366,"~","~~"),"*","~*"),"?","~?"))=1),MAX('Calculations'!$HI$12:HI365)+1,0)</x:f>
        <x:v>0</x:v>
      </x:c>
      <x:c r="HJ366" t="str">
        <x:f>IF('Calculations'!HF366="","",IF(COUNTIF('Calculations'!$HE$13:$HE$512,"="&amp;SUBSTITUTE(SUBSTITUTE(SUBSTITUTE('Calculations'!HF366,"~","~~"),"*","~*"),"?","~?"))=1,INDEX('Calculations'!$HK$13:$HK$512,MATCH('Calculations'!HF366,'Calculations'!$HE$13:$HE$512,0)),IFERROR(IF(INDEX(INDIRECT("'WCM Calibration Final'!$E$1:$E$2000"),'Calculations'!$EM366)="","",TRIM(INDEX(INDIRECT("'WCM Calibration Final'!$E$1:$E$2000"),'Calculations'!$EM366)&amp;"")),"")&amp;" ["&amp;'Calculations'!HF366&amp;"]"))</x:f>
      </x:c>
      <x:c r="HK366" t="str">
        <x:f>IF('Calculations'!EM366="","",'Calculations'!HG366&amp;" ["&amp;'Calculations'!HE366&amp;"]")</x:f>
      </x:c>
      <x:c r="HL366" t="n">
        <x:f>IF('Calculations'!EM366="",0,IF(OR('Calculations'!II366&lt;&gt;"",COUNTIF('Calculations'!$HE$13:$HE$512,"="&amp;SUBSTITUTE(SUBSTITUTE(SUBSTITUTE('Calculations'!HE366,"~","~~"),"*","~*"),"?","~?"))&gt;1),1,0))</x:f>
        <x:v>0</x:v>
      </x:c>
      <x:c r="HM366" t="str">
        <x:f>IF('Calculations'!EM366="","",IF('Calculations'!HL366=1,"!UNRESOLVED",IF('Calculations'!IH366&lt;&gt;"",'Calculations'!IH366,IF('Calculations'!IG366&lt;&gt;"",'Calculations'!IG366,IF('Calculations'!IF366&lt;&gt;"",'Calculations'!IF366,IF('Calculations'!IE366&lt;&gt;"",'Calculations'!IE366,IF('Calculations'!ID366&lt;&gt;"",'Calculations'!ID366,IF('Calculations'!IC366&lt;&gt;"",'Calculations'!IC366,IF('Calculations'!IB366&lt;&gt;"",'Calculations'!IB366,IF('Calculations'!IA366&lt;&gt;"",'Calculations'!IA366,IF('Calculations'!HZ366&lt;&gt;"",'Calculations'!HZ366,IF('Calculations'!HY366&lt;&gt;"",'Calculations'!HY366,IF('Calculations'!HX366&lt;&gt;"",'Calculations'!HX366,IF('Calculations'!HW366&lt;&gt;"",'Calculations'!HW366,IF('Calculations'!HV366&lt;&gt;"",'Calculations'!HV366,IF('Calculations'!HU366&lt;&gt;"",'Calculations'!HU366,IF('Calculations'!HT366&lt;&gt;"",'Calculations'!HT366,IF('Calculations'!HS366&lt;&gt;"",'Calculations'!HS366,IF('Calculations'!HR366&lt;&gt;"",'Calculations'!HR366,IF('Calculations'!HQ366&lt;&gt;"",'Calculations'!HQ366,IF('Calculations'!HP366&lt;&gt;"",'Calculations'!HP366,IF('Calculations'!HO366&lt;&gt;"",'Calculations'!HO366,'Calculations'!HE366))))))))))))))))))))))</x:f>
      </x:c>
      <x:c r="HN366" t="str">
        <x:f>IF('Calculations'!EM366="","",IF(IFERROR(IF(INDEX(INDIRECT("'WCM Calibration Final'!$F$1:$F$2000"),'Calculations'!$EM366)="","",TRIM(INDEX(INDIRECT("'WCM Calibration Final'!$F$1:$F$2000"),'Calculations'!$EM366)&amp;"")),"")="","(Blank)",IFERROR(IF(INDEX(INDIRECT("'WCM Calibration Final'!$F$1:$F$2000"),'Calculations'!$EM366)="","",TRIM(INDEX(INDIRECT("'WCM Calibration Final'!$F$1:$F$2000"),'Calculations'!$EM366)&amp;"")),"")))</x:f>
      </x:c>
      <x:c r="HO366" t="str">
        <x:f>'Calculations'!HF366</x:f>
      </x:c>
      <x:c r="HP366" t="str">
        <x:f>IF('Calculations'!HO366="","",IF('Calculations'!HO366="!AMBIG","!AMBIG",IF(COUNTIF('Calculations'!$HE$13:$HE$512,"="&amp;SUBSTITUTE(SUBSTITUTE(SUBSTITUTE('Calculations'!HO366,"~","~~"),"*","~*"),"?","~?"))&gt;1,"!AMBIG",IFERROR(INDEX('Calculations'!$HF$13:$HF$512,MATCH('Calculations'!HO366,'Calculations'!$HE$13:$HE$512,0)),""))))</x:f>
      </x:c>
      <x:c r="HQ366" t="str">
        <x:f>IF('Calculations'!HP366="","",IF('Calculations'!HP366="!AMBIG","!AMBIG",IF(COUNTIF('Calculations'!$HE$13:$HE$512,"="&amp;SUBSTITUTE(SUBSTITUTE(SUBSTITUTE('Calculations'!HP366,"~","~~"),"*","~*"),"?","~?"))&gt;1,"!AMBIG",IFERROR(INDEX('Calculations'!$HF$13:$HF$512,MATCH('Calculations'!HP366,'Calculations'!$HE$13:$HE$512,0)),""))))</x:f>
      </x:c>
      <x:c r="HR366" t="str">
        <x:f>IF('Calculations'!HQ366="","",IF('Calculations'!HQ366="!AMBIG","!AMBIG",IF(COUNTIF('Calculations'!$HE$13:$HE$512,"="&amp;SUBSTITUTE(SUBSTITUTE(SUBSTITUTE('Calculations'!HQ366,"~","~~"),"*","~*"),"?","~?"))&gt;1,"!AMBIG",IFERROR(INDEX('Calculations'!$HF$13:$HF$512,MATCH('Calculations'!HQ366,'Calculations'!$HE$13:$HE$512,0)),""))))</x:f>
      </x:c>
      <x:c r="HS366" t="str">
        <x:f>IF('Calculations'!HR366="","",IF('Calculations'!HR366="!AMBIG","!AMBIG",IF(COUNTIF('Calculations'!$HE$13:$HE$512,"="&amp;SUBSTITUTE(SUBSTITUTE(SUBSTITUTE('Calculations'!HR366,"~","~~"),"*","~*"),"?","~?"))&gt;1,"!AMBIG",IFERROR(INDEX('Calculations'!$HF$13:$HF$512,MATCH('Calculations'!HR366,'Calculations'!$HE$13:$HE$512,0)),""))))</x:f>
      </x:c>
      <x:c r="HT366" t="str">
        <x:f>IF('Calculations'!HS366="","",IF('Calculations'!HS366="!AMBIG","!AMBIG",IF(COUNTIF('Calculations'!$HE$13:$HE$512,"="&amp;SUBSTITUTE(SUBSTITUTE(SUBSTITUTE('Calculations'!HS366,"~","~~"),"*","~*"),"?","~?"))&gt;1,"!AMBIG",IFERROR(INDEX('Calculations'!$HF$13:$HF$512,MATCH('Calculations'!HS366,'Calculations'!$HE$13:$HE$512,0)),""))))</x:f>
      </x:c>
      <x:c r="HU366" t="str">
        <x:f>IF('Calculations'!HT366="","",IF('Calculations'!HT366="!AMBIG","!AMBIG",IF(COUNTIF('Calculations'!$HE$13:$HE$512,"="&amp;SUBSTITUTE(SUBSTITUTE(SUBSTITUTE('Calculations'!HT366,"~","~~"),"*","~*"),"?","~?"))&gt;1,"!AMBIG",IFERROR(INDEX('Calculations'!$HF$13:$HF$512,MATCH('Calculations'!HT366,'Calculations'!$HE$13:$HE$512,0)),""))))</x:f>
      </x:c>
      <x:c r="HV366" t="str">
        <x:f>IF('Calculations'!HU366="","",IF('Calculations'!HU366="!AMBIG","!AMBIG",IF(COUNTIF('Calculations'!$HE$13:$HE$512,"="&amp;SUBSTITUTE(SUBSTITUTE(SUBSTITUTE('Calculations'!HU366,"~","~~"),"*","~*"),"?","~?"))&gt;1,"!AMBIG",IFERROR(INDEX('Calculations'!$HF$13:$HF$512,MATCH('Calculations'!HU366,'Calculations'!$HE$13:$HE$512,0)),""))))</x:f>
      </x:c>
      <x:c r="HW366" t="str">
        <x:f>IF('Calculations'!HV366="","",IF('Calculations'!HV366="!AMBIG","!AMBIG",IF(COUNTIF('Calculations'!$HE$13:$HE$512,"="&amp;SUBSTITUTE(SUBSTITUTE(SUBSTITUTE('Calculations'!HV366,"~","~~"),"*","~*"),"?","~?"))&gt;1,"!AMBIG",IFERROR(INDEX('Calculations'!$HF$13:$HF$512,MATCH('Calculations'!HV366,'Calculations'!$HE$13:$HE$512,0)),""))))</x:f>
      </x:c>
      <x:c r="HX366" t="str">
        <x:f>IF('Calculations'!HW366="","",IF('Calculations'!HW366="!AMBIG","!AMBIG",IF(COUNTIF('Calculations'!$HE$13:$HE$512,"="&amp;SUBSTITUTE(SUBSTITUTE(SUBSTITUTE('Calculations'!HW366,"~","~~"),"*","~*"),"?","~?"))&gt;1,"!AMBIG",IFERROR(INDEX('Calculations'!$HF$13:$HF$512,MATCH('Calculations'!HW366,'Calculations'!$HE$13:$HE$512,0)),""))))</x:f>
      </x:c>
      <x:c r="HY366" t="str">
        <x:f>IF('Calculations'!HX366="","",IF('Calculations'!HX366="!AMBIG","!AMBIG",IF(COUNTIF('Calculations'!$HE$13:$HE$512,"="&amp;SUBSTITUTE(SUBSTITUTE(SUBSTITUTE('Calculations'!HX366,"~","~~"),"*","~*"),"?","~?"))&gt;1,"!AMBIG",IFERROR(INDEX('Calculations'!$HF$13:$HF$512,MATCH('Calculations'!HX366,'Calculations'!$HE$13:$HE$512,0)),""))))</x:f>
      </x:c>
      <x:c r="HZ366" t="str">
        <x:f>IF('Calculations'!HY366="","",IF('Calculations'!HY366="!AMBIG","!AMBIG",IF(COUNTIF('Calculations'!$HE$13:$HE$512,"="&amp;SUBSTITUTE(SUBSTITUTE(SUBSTITUTE('Calculations'!HY366,"~","~~"),"*","~*"),"?","~?"))&gt;1,"!AMBIG",IFERROR(INDEX('Calculations'!$HF$13:$HF$512,MATCH('Calculations'!HY366,'Calculations'!$HE$13:$HE$512,0)),""))))</x:f>
      </x:c>
      <x:c r="IA366" t="str">
        <x:f>IF('Calculations'!HZ366="","",IF('Calculations'!HZ366="!AMBIG","!AMBIG",IF(COUNTIF('Calculations'!$HE$13:$HE$512,"="&amp;SUBSTITUTE(SUBSTITUTE(SUBSTITUTE('Calculations'!HZ366,"~","~~"),"*","~*"),"?","~?"))&gt;1,"!AMBIG",IFERROR(INDEX('Calculations'!$HF$13:$HF$512,MATCH('Calculations'!HZ366,'Calculations'!$HE$13:$HE$512,0)),""))))</x:f>
      </x:c>
      <x:c r="IB366" t="str">
        <x:f>IF('Calculations'!IA366="","",IF('Calculations'!IA366="!AMBIG","!AMBIG",IF(COUNTIF('Calculations'!$HE$13:$HE$512,"="&amp;SUBSTITUTE(SUBSTITUTE(SUBSTITUTE('Calculations'!IA366,"~","~~"),"*","~*"),"?","~?"))&gt;1,"!AMBIG",IFERROR(INDEX('Calculations'!$HF$13:$HF$512,MATCH('Calculations'!IA366,'Calculations'!$HE$13:$HE$512,0)),""))))</x:f>
      </x:c>
      <x:c r="IC366" t="str">
        <x:f>IF('Calculations'!IB366="","",IF('Calculations'!IB366="!AMBIG","!AMBIG",IF(COUNTIF('Calculations'!$HE$13:$HE$512,"="&amp;SUBSTITUTE(SUBSTITUTE(SUBSTITUTE('Calculations'!IB366,"~","~~"),"*","~*"),"?","~?"))&gt;1,"!AMBIG",IFERROR(INDEX('Calculations'!$HF$13:$HF$512,MATCH('Calculations'!IB366,'Calculations'!$HE$13:$HE$512,0)),""))))</x:f>
      </x:c>
      <x:c r="ID366" t="str">
        <x:f>IF('Calculations'!IC366="","",IF('Calculations'!IC366="!AMBIG","!AMBIG",IF(COUNTIF('Calculations'!$HE$13:$HE$512,"="&amp;SUBSTITUTE(SUBSTITUTE(SUBSTITUTE('Calculations'!IC366,"~","~~"),"*","~*"),"?","~?"))&gt;1,"!AMBIG",IFERROR(INDEX('Calculations'!$HF$13:$HF$512,MATCH('Calculations'!IC366,'Calculations'!$HE$13:$HE$512,0)),""))))</x:f>
      </x:c>
      <x:c r="IE366" t="str">
        <x:f>IF('Calculations'!ID366="","",IF('Calculations'!ID366="!AMBIG","!AMBIG",IF(COUNTIF('Calculations'!$HE$13:$HE$512,"="&amp;SUBSTITUTE(SUBSTITUTE(SUBSTITUTE('Calculations'!ID366,"~","~~"),"*","~*"),"?","~?"))&gt;1,"!AMBIG",IFERROR(INDEX('Calculations'!$HF$13:$HF$512,MATCH('Calculations'!ID366,'Calculations'!$HE$13:$HE$512,0)),""))))</x:f>
      </x:c>
      <x:c r="IF366" t="str">
        <x:f>IF('Calculations'!IE366="","",IF('Calculations'!IE366="!AMBIG","!AMBIG",IF(COUNTIF('Calculations'!$HE$13:$HE$512,"="&amp;SUBSTITUTE(SUBSTITUTE(SUBSTITUTE('Calculations'!IE366,"~","~~"),"*","~*"),"?","~?"))&gt;1,"!AMBIG",IFERROR(INDEX('Calculations'!$HF$13:$HF$512,MATCH('Calculations'!IE366,'Calculations'!$HE$13:$HE$512,0)),""))))</x:f>
      </x:c>
      <x:c r="IG366" t="str">
        <x:f>IF('Calculations'!IF366="","",IF('Calculations'!IF366="!AMBIG","!AMBIG",IF(COUNTIF('Calculations'!$HE$13:$HE$512,"="&amp;SUBSTITUTE(SUBSTITUTE(SUBSTITUTE('Calculations'!IF366,"~","~~"),"*","~*"),"?","~?"))&gt;1,"!AMBIG",IFERROR(INDEX('Calculations'!$HF$13:$HF$512,MATCH('Calculations'!IF366,'Calculations'!$HE$13:$HE$512,0)),""))))</x:f>
      </x:c>
      <x:c r="IH366" t="str">
        <x:f>IF('Calculations'!IG366="","",IF('Calculations'!IG366="!AMBIG","!AMBIG",IF(COUNTIF('Calculations'!$HE$13:$HE$512,"="&amp;SUBSTITUTE(SUBSTITUTE(SUBSTITUTE('Calculations'!IG366,"~","~~"),"*","~*"),"?","~?"))&gt;1,"!AMBIG",IFERROR(INDEX('Calculations'!$HF$13:$HF$512,MATCH('Calculations'!IG366,'Calculations'!$HE$13:$HE$512,0)),""))))</x:f>
      </x:c>
      <x:c r="II366" t="str">
        <x:f>IF('Calculations'!IH366="","",IF('Calculations'!IH366="!AMBIG","!AMBIG",IF(COUNTIF('Calculations'!$HE$13:$HE$512,"="&amp;SUBSTITUTE(SUBSTITUTE(SUBSTITUTE('Calculations'!IH366,"~","~~"),"*","~*"),"?","~?"))&gt;1,"!AMBIG",IFERROR(INDEX('Calculations'!$HF$13:$HF$512,MATCH('Calculations'!IH366,'Calculations'!$HE$13:$HE$512,0)),""))))</x:f>
      </x:c>
      <x:c r="IJ366" t="str">
        <x:f>IF('Calculations'!EM366="","",IF('Calculations'!$EF$2="All",'Calculations'!HM366,IF('Calculations'!HL366=1,"",IFERROR(IF(MATCH('Calculations'!$EF$2,'Calculations'!HO366:II366,0)=1,'Calculations'!HE366,INDEX('Calculations'!HO366:II366,1,MATCH('Calculations'!$EF$2,'Calculations'!HO366:II366,0)-1)),""))))</x:f>
      </x:c>
      <x:c r="IK366" t="n">
        <x:f>IF(AND('Calculations'!EM366&lt;&gt;"",'Calculations'!$EF$2&lt;&gt;"All",'Calculations'!HF366='Calculations'!$EF$2,'Calculations'!HL366=0,'Calculations'!JD366&gt;0),MAX('Calculations'!$IK$12:IK365)+1,0)</x:f>
        <x:v>0</x:v>
      </x:c>
      <x:c r="JA366" t="n">
        <x:f>IF(OR(IFERROR(INDIRECT("'WCM Calibration Final'!$A$366")&lt;&gt;"",FALSE),IFERROR(INDIRECT("'WCM Calibration Final'!$B$366")&lt;&gt;"",FALSE),IFERROR(INDIRECT("'WCM Calibration Final'!$C$366")&lt;&gt;"",FALSE)),366,0)</x:f>
        <x:v>0</x:v>
      </x:c>
      <x:c r="JB366" t="n">
        <x:f>'Calculations'!JB365+IF('Calculations'!JA366&gt;0,1,0)</x:f>
        <x:v>0</x:v>
      </x:c>
      <x:c r="JC366" t="n">
        <x:f>IF(OR('Calculations'!HF366="",'Calculations'!HF366="!AMBIG"),0,IF('Dashboard'!$B$7="All",1,COUNTIFS('Calculations'!$HO$13:$HO$512,"="&amp;SUBSTITUTE(SUBSTITUTE(SUBSTITUTE('Calculations'!HF366,"~","~~"),"*","~*"),"?","~?"),'Calculations'!$HN$13:$HN$512,"="&amp;SUBSTITUTE(SUBSTITUTE(SUBSTITUTE('Dashboard'!$B$7,"~","~~"),"*","~*"),"?","~?"))+COUNTIFS('Calculations'!$HP$13:$HP$512,"="&amp;SUBSTITUTE(SUBSTITUTE(SUBSTITUTE('Calculations'!HF366,"~","~~"),"*","~*"),"?","~?"),'Calculations'!$HN$13:$HN$512,"="&amp;SUBSTITUTE(SUBSTITUTE(SUBSTITUTE('Dashboard'!$B$7,"~","~~"),"*","~*"),"?","~?"))+COUNTIFS('Calculations'!$HQ$13:$HQ$512,"="&amp;SUBSTITUTE(SUBSTITUTE(SUBSTITUTE('Calculations'!HF366,"~","~~"),"*","~*"),"?","~?"),'Calculations'!$HN$13:$HN$512,"="&amp;SUBSTITUTE(SUBSTITUTE(SUBSTITUTE('Dashboard'!$B$7,"~","~~"),"*","~*"),"?","~?"))+COUNTIFS('Calculations'!$HR$13:$HR$512,"="&amp;SUBSTITUTE(SUBSTITUTE(SUBSTITUTE('Calculations'!HF366,"~","~~"),"*","~*"),"?","~?"),'Calculations'!$HN$13:$HN$512,"="&amp;SUBSTITUTE(SUBSTITUTE(SUBSTITUTE('Dashboard'!$B$7,"~","~~"),"*","~*"),"?","~?"))+COUNTIFS('Calculations'!$HS$13:$HS$512,"="&amp;SUBSTITUTE(SUBSTITUTE(SUBSTITUTE('Calculations'!HF366,"~","~~"),"*","~*"),"?","~?"),'Calculations'!$HN$13:$HN$512,"="&amp;SUBSTITUTE(SUBSTITUTE(SUBSTITUTE('Dashboard'!$B$7,"~","~~"),"*","~*"),"?","~?"))+COUNTIFS('Calculations'!$HT$13:$HT$512,"="&amp;SUBSTITUTE(SUBSTITUTE(SUBSTITUTE('Calculations'!HF366,"~","~~"),"*","~*"),"?","~?"),'Calculations'!$HN$13:$HN$512,"="&amp;SUBSTITUTE(SUBSTITUTE(SUBSTITUTE('Dashboard'!$B$7,"~","~~"),"*","~*"),"?","~?"))+COUNTIFS('Calculations'!$HU$13:$HU$512,"="&amp;SUBSTITUTE(SUBSTITUTE(SUBSTITUTE('Calculations'!HF366,"~","~~"),"*","~*"),"?","~?"),'Calculations'!$HN$13:$HN$512,"="&amp;SUBSTITUTE(SUBSTITUTE(SUBSTITUTE('Dashboard'!$B$7,"~","~~"),"*","~*"),"?","~?"))+COUNTIFS('Calculations'!$HV$13:$HV$512,"="&amp;SUBSTITUTE(SUBSTITUTE(SUBSTITUTE('Calculations'!HF366,"~","~~"),"*","~*"),"?","~?"),'Calculations'!$HN$13:$HN$512,"="&amp;SUBSTITUTE(SUBSTITUTE(SUBSTITUTE('Dashboard'!$B$7,"~","~~"),"*","~*"),"?","~?"))+COUNTIFS('Calculations'!$HW$13:$HW$512,"="&amp;SUBSTITUTE(SUBSTITUTE(SUBSTITUTE('Calculations'!HF366,"~","~~"),"*","~*"),"?","~?"),'Calculations'!$HN$13:$HN$512,"="&amp;SUBSTITUTE(SUBSTITUTE(SUBSTITUTE('Dashboard'!$B$7,"~","~~"),"*","~*"),"?","~?"))+COUNTIFS('Calculations'!$HX$13:$HX$512,"="&amp;SUBSTITUTE(SUBSTITUTE(SUBSTITUTE('Calculations'!HF366,"~","~~"),"*","~*"),"?","~?"),'Calculations'!$HN$13:$HN$512,"="&amp;SUBSTITUTE(SUBSTITUTE(SUBSTITUTE('Dashboard'!$B$7,"~","~~"),"*","~*"),"?","~?"))+COUNTIFS('Calculations'!$HY$13:$HY$512,"="&amp;SUBSTITUTE(SUBSTITUTE(SUBSTITUTE('Calculations'!HF366,"~","~~"),"*","~*"),"?","~?"),'Calculations'!$HN$13:$HN$512,"="&amp;SUBSTITUTE(SUBSTITUTE(SUBSTITUTE('Dashboard'!$B$7,"~","~~"),"*","~*"),"?","~?"))+COUNTIFS('Calculations'!$HZ$13:$HZ$512,"="&amp;SUBSTITUTE(SUBSTITUTE(SUBSTITUTE('Calculations'!HF366,"~","~~"),"*","~*"),"?","~?"),'Calculations'!$HN$13:$HN$512,"="&amp;SUBSTITUTE(SUBSTITUTE(SUBSTITUTE('Dashboard'!$B$7,"~","~~"),"*","~*"),"?","~?"))+COUNTIFS('Calculations'!$IA$13:$IA$512,"="&amp;SUBSTITUTE(SUBSTITUTE(SUBSTITUTE('Calculations'!HF366,"~","~~"),"*","~*"),"?","~?"),'Calculations'!$HN$13:$HN$512,"="&amp;SUBSTITUTE(SUBSTITUTE(SUBSTITUTE('Dashboard'!$B$7,"~","~~"),"*","~*"),"?","~?"))+COUNTIFS('Calculations'!$IB$13:$IB$512,"="&amp;SUBSTITUTE(SUBSTITUTE(SUBSTITUTE('Calculations'!HF366,"~","~~"),"*","~*"),"?","~?"),'Calculations'!$HN$13:$HN$512,"="&amp;SUBSTITUTE(SUBSTITUTE(SUBSTITUTE('Dashboard'!$B$7,"~","~~"),"*","~*"),"?","~?"))+COUNTIFS('Calculations'!$IC$13:$IC$512,"="&amp;SUBSTITUTE(SUBSTITUTE(SUBSTITUTE('Calculations'!HF366,"~","~~"),"*","~*"),"?","~?"),'Calculations'!$HN$13:$HN$512,"="&amp;SUBSTITUTE(SUBSTITUTE(SUBSTITUTE('Dashboard'!$B$7,"~","~~"),"*","~*"),"?","~?"))+COUNTIFS('Calculations'!$ID$13:$ID$512,"="&amp;SUBSTITUTE(SUBSTITUTE(SUBSTITUTE('Calculations'!HF366,"~","~~"),"*","~*"),"?","~?"),'Calculations'!$HN$13:$HN$512,"="&amp;SUBSTITUTE(SUBSTITUTE(SUBSTITUTE('Dashboard'!$B$7,"~","~~"),"*","~*"),"?","~?"))+COUNTIFS('Calculations'!$IE$13:$IE$512,"="&amp;SUBSTITUTE(SUBSTITUTE(SUBSTITUTE('Calculations'!HF366,"~","~~"),"*","~*"),"?","~?"),'Calculations'!$HN$13:$HN$512,"="&amp;SUBSTITUTE(SUBSTITUTE(SUBSTITUTE('Dashboard'!$B$7,"~","~~"),"*","~*"),"?","~?"))+COUNTIFS('Calculations'!$IF$13:$IF$512,"="&amp;SUBSTITUTE(SUBSTITUTE(SUBSTITUTE('Calculations'!HF366,"~","~~"),"*","~*"),"?","~?"),'Calculations'!$HN$13:$HN$512,"="&amp;SUBSTITUTE(SUBSTITUTE(SUBSTITUTE('Dashboard'!$B$7,"~","~~"),"*","~*"),"?","~?"))+COUNTIFS('Calculations'!$IG$13:$IG$512,"="&amp;SUBSTITUTE(SUBSTITUTE(SUBSTITUTE('Calculations'!HF366,"~","~~"),"*","~*"),"?","~?"),'Calculations'!$HN$13:$HN$512,"="&amp;SUBSTITUTE(SUBSTITUTE(SUBSTITUTE('Dashboard'!$B$7,"~","~~"),"*","~*"),"?","~?"))+COUNTIFS('Calculations'!$IH$13:$IH$512,"="&amp;SUBSTITUTE(SUBSTITUTE(SUBSTITUTE('Calculations'!HF366,"~","~~"),"*","~*"),"?","~?"),'Calculations'!$HN$13:$HN$512,"="&amp;SUBSTITUTE(SUBSTITUTE(SUBSTITUTE('Dashboard'!$B$7,"~","~~"),"*","~*"),"?","~?"))))</x:f>
        <x:v>0</x:v>
      </x:c>
      <x:c r="JD366" t="n">
        <x:f>IF('Calculations'!EM366="",0,IF('Dashboard'!$B$7="All",1,IF('Calculations'!HN366='Dashboard'!$B$7,1,0)+IFERROR(INDEX('Calculations'!$JC$13:$JC$512,MATCH('Calculations'!HE366,'Calculations'!$HF$13:$HF$512,0)),0)))</x:f>
        <x:v>0</x:v>
      </x:c>
      <x:c r="JE366" t="n">
        <x:f>IF(AND('Calculations'!EM366&lt;&gt;"",'Calculations'!$JJ$2&lt;&gt;"All",'Calculations'!$JJ$2&lt;&gt;"",'Calculations'!HF366='Calculations'!$JJ$2,'Calculations'!HL366=0,'Calculations'!JD366&gt;0),MAX('Calculations'!$JE$12:JE365)+1,0)</x:f>
        <x:v>0</x:v>
      </x:c>
      <x:c r="JF366" t="str">
        <x:f>IF('Calculations'!EM366="","",IFERROR(IF(INDEX(INDIRECT("'WCM Calibration Final'!$G$1:$G$2000"),'Calculations'!$EM366)="","",TRIM(INDEX(INDIRECT("'WCM Calibration Final'!$G$1:$G$2000"),'Calculations'!$EM366)&amp;"")),""))</x:f>
      </x:c>
      <x:c r="JQ366" t="n">
        <x:f>IF(OR('Calculations'!BM366=0,NOT('Calculations'!$AG$2),'Calculations'!$AG$8&gt;0),0,IF(OR('Dashboard'!$B$7="All",'Calculations'!HN366='Dashboard'!$B$7),IF('Calculations'!$JJ$2="All",1,IF(AND('Calculations'!HF366='Calculations'!$JJ$2,'Calculations'!HL366=0),1,0)),0))</x:f>
        <x:v>0</x:v>
      </x:c>
    </x:row>
    <x:row r="367">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t="n">
        <x:f>IF('Calculations'!$EM367="",0,IF(OR(IFERROR(INDEX(INDIRECT("'WCM Calibration Final'!$A$1:$A$2000"),'Calculations'!$EM367)&lt;&gt;"",FALSE),IFERROR(INDEX(INDIRECT("'WCM Calibration Final'!$B$1:$B$2000"),'Calculations'!$EM367)&lt;&gt;"",FALSE),IFERROR(INDEX(INDIRECT("'WCM Calibration Final'!$C$1:$C$2000"),'Calculations'!$EM367)&lt;&gt;"",FALSE)),1,0))</x:f>
        <x:v>0</x:v>
      </x:c>
      <x:c r="BN367" s="4" t="n">
        <x:f>IF(AND('Calculations'!BM367=1,'Calculations'!$AG$2,'Calculations'!$EN367=1),1,0)</x:f>
        <x:v>0</x:v>
      </x:c>
      <x:c r="BO367" s="4" t="str">
        <x:f>IF('Calculations'!BM367=0,"",IFERROR(IF(AND(VALUE(INDEX(INDIRECT("'WCM Calibration Final'!$K$1:$K$2000"),'Calculations'!$EM367))&gt;=1,VALUE(INDEX(INDIRECT("'WCM Calibration Final'!$K$1:$K$2000"),'Calculations'!$EM367))&lt;=4,MOD(VALUE(INDEX(INDIRECT("'WCM Calibration Final'!$K$1:$K$2000"),'Calculations'!$EM367)),1)=0),VALUE(INDEX(INDIRECT("'WCM Calibration Final'!$K$1:$K$2000"),'Calculations'!$EM367)),""),""))</x:f>
      </x:c>
      <x:c r="BP367" s="4" t="str">
        <x:f>IF('Calculations'!BM367=0,"",IFERROR(IF(AND(VALUE(INDEX(INDIRECT("'WCM Calibration Final'!$L$1:$L$2000"),'Calculations'!$EM367))&gt;=1,VALUE(INDEX(INDIRECT("'WCM Calibration Final'!$L$1:$L$2000"),'Calculations'!$EM367))&lt;=4,MOD(VALUE(INDEX(INDIRECT("'WCM Calibration Final'!$L$1:$L$2000"),'Calculations'!$EM367)),1)=0),VALUE(INDEX(INDIRECT("'WCM Calibration Final'!$L$1:$L$2000"),'Calculations'!$EM367)),""),""))</x:f>
      </x:c>
      <x:c r="BQ367" s="4"/>
      <x:c r="BR367" s="4"/>
      <x:c r="BS367" s="4"/>
      <x:c r="BT367" s="4" t="n">
        <x:f>IF(AND('Calculations'!BM367=1,ISNUMBER('Calculations'!BO367),ISNUMBER('Calculations'!BP367)),1,0)</x:f>
        <x:v>0</x:v>
      </x:c>
      <x:c r="BU367" s="4" t="str">
        <x:f>IF('Calculations'!BM367=0,"",'Calculations'!$EO367)</x:f>
      </x:c>
      <x:c r="BV367" s="4" t="str">
        <x:f>IF('Calculations'!BM367=0,"",IFERROR(IF(OR(INDEX(INDIRECT("'WCM Calibration Final'!$H$1:$H$2000"),'Calculations'!$EM367)="MANAGING DIRECTOR",INDEX(INDIRECT("'WCM Calibration Final'!$H$1:$H$2000"),'Calculations'!$EM367)="DIRECTOR",INDEX(INDIRECT("'WCM Calibration Final'!$H$1:$H$2000"),'Calculations'!$EM367)="SENIOR VICE PRESIDENT",INDEX(INDIRECT("'WCM Calibration Final'!$H$1:$H$2000"),'Calculations'!$EM367)="VICE PRESIDENT",INDEX(INDIRECT("'WCM Calibration Final'!$H$1:$H$2000"),'Calculations'!$EM367)="ASSISTANT VICE PRESIDENT",INDEX(INDIRECT("'WCM Calibration Final'!$H$1:$H$2000"),'Calculations'!$EM367)="OFFICER"),UPPER(INDEX(INDIRECT("'WCM Calibration Final'!$H$1:$H$2000"),'Calculations'!$EM367)),"Other"),"Other"))</x:f>
      </x:c>
      <x:c r="BW367" s="4"/>
      <x:c r="BX367" s="4"/>
      <x:c r="BY367" s="4" t="n">
        <x:f>IF(AND('Calculations'!BM367=1,'Calculations'!BU367&lt;&gt;"",COUNTIF('Calculations'!$BU$12:BU367,'Calculations'!BU367)=1),MAX('Calculations'!$BY$11:BY366)+1,0)</x:f>
        <x:v>0</x:v>
      </x:c>
      <x:c r="BZ367" s="4" t="str">
        <x:f>IF('Dashboard'!$E$67="What",'Calculations'!BO367,'Calculations'!BP367)</x:f>
      </x:c>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t="str">
        <x:f>IF(356&gt;MAX('Calculations'!$HI$13:$HI$512),"",INDEX('Calculations'!$HN$13:$HN$512,MATCH(356,'Calculations'!$HI$13:$HI$512,0)))</x:f>
      </x:c>
      <x:c r="DB367" s="4" t="str">
        <x:f>IF(356&gt;MAX('Calculations'!$HH$13:$HH$512),"",INDEX('Calculations'!$HJ$13:$HJ$512,MATCH(356,'Calculations'!$HH$13:$HH$512,0)))</x:f>
      </x:c>
      <x:c r="DC367" s="4" t="str">
        <x:f>IF(ROW()-11&gt;MAX('Calculations'!$BY$13:$BY$512),"",INDEX('Calculations'!$BU$13:$BU$512,MATCH(ROW()-11,'Calculations'!$BY$13:$BY$512,0)))</x:f>
      </x:c>
      <x:c r="DD367" s="4" t="str">
        <x:f>IF(356&gt;MAX('Calculations'!$IK$13:$IK$512),"",INDEX('Calculations'!$HK$13:$HK$512,MATCH(356,'Calculations'!$IK$13:$IK$512,0)))</x:f>
      </x:c>
      <x:c r="DE367" s="4" t="str">
        <x:f>'Calculations'!DC367</x:f>
      </x:c>
      <x:c r="DF367" s="4" t="str">
        <x:f>IF('Calculations'!DE367="","",COUNTIFS('Calculations'!$BN$13:$BN$512,1,'Calculations'!$BU$13:$BU$512,'Calculations'!DE367))</x:f>
      </x:c>
      <x:c r="DG367" s="4" t="str">
        <x:f>IF('Calculations'!DE367="","",COUNTIFS('Calculations'!$BN$13:$BN$512,1,'Calculations'!$BU$13:$BU$512,'Calculations'!DE367,'Calculations'!$BT$13:$BT$512,1))</x:f>
      </x:c>
      <x:c r="DH367" s="4" t="str">
        <x:f>IF('Calculations'!DE367="","",'Calculations'!DF367-'Calculations'!DG367)</x:f>
      </x:c>
      <x:c r="DI367" s="4" t="str">
        <x:f>IF(OR('Calculations'!DE367="",'Calculations'!DF367=0),"",'Calculations'!DG367/'Calculations'!DF367)</x:f>
      </x:c>
      <x:c r="DJ367" s="4" t="str">
        <x:f>IF('Calculations'!DE367="","",COUNTIFS('Calculations'!$BN$13:$BN$512,1,'Calculations'!$BU$13:$BU$512,'Calculations'!DE367,'Calculations'!$BT$13:$BT$512,1,'Calculations'!$EE$13:$EE$512,"High"))</x:f>
      </x:c>
      <x:c r="DK367" s="4" t="str">
        <x:f>IF('Calculations'!DE367="","",COUNTIFS('Calculations'!$BN$13:$BN$512,1,'Calculations'!$BU$13:$BU$512,'Calculations'!DE367,'Calculations'!$BT$13:$BT$512,1,'Calculations'!$EE$13:$EE$512,"Strong"))</x:f>
      </x:c>
      <x:c r="DL367" s="4" t="str">
        <x:f>IF('Calculations'!DE367="","",COUNTIFS('Calculations'!$BN$13:$BN$512,1,'Calculations'!$BU$13:$BU$512,'Calculations'!DE367,'Calculations'!$BT$13:$BT$512,1,'Calculations'!$EE$13:$EE$512,"Solid"))</x:f>
      </x:c>
      <x:c r="DM367" s="4" t="str">
        <x:f>IF('Calculations'!DE367="","",COUNTIFS('Calculations'!$BN$13:$BN$512,1,'Calculations'!$BU$13:$BU$512,'Calculations'!DE367,'Calculations'!$BT$13:$BT$512,1,'Calculations'!$EE$13:$EE$512,"Low"))</x:f>
      </x:c>
      <x:c r="DN367" s="4" t="str">
        <x:f>IF('Calculations'!DE367="","",COUNTIFS('Calculations'!$BN$13:$BN$512,1,'Calculations'!$BU$13:$BU$512,'Calculations'!DE367,'Calculations'!$EP$13:$EP$512,1))</x:f>
      </x:c>
      <x:c r="DO367" s="4" t="str">
        <x:f>IF(OR('Calculations'!DE367="",'Calculations'!DG367=0),"",('Calculations'!DJ367+'Calculations'!DK367)/'Calculations'!DG367)</x:f>
      </x:c>
      <x:c r="DP367" s="4" t="n">
        <x:f>IF(AND('Calculations'!DE367&lt;&gt;"",'Calculations'!DF367&gt;0),COUNTIF('Calculations'!$DF$12:DF367,"&gt;0"),0)</x:f>
        <x:v>0</x:v>
      </x:c>
      <x:c r="DQ367" s="4" t="str">
        <x:f>IF(356&gt;MAX('Calculations'!$HH$13:$HH$512),"",INDEX('Calculations'!$HF$13:$HF$512,MATCH(356,'Calculations'!$HH$13:$HH$512,0)))</x:f>
      </x:c>
      <x:c r="DR367" s="4" t="str">
        <x:f>IF(356&gt;MAX('Calculations'!$IK$13:$IK$512),"",INDEX('Calculations'!$HE$13:$HE$512,MATCH(356,'Calculations'!$IK$13:$IK$512,0)))</x:f>
      </x:c>
      <x:c r="DS367" s="4"/>
      <x:c r="DT367" s="4"/>
      <x:c r="DU367" s="4"/>
      <x:c r="DV367" s="4"/>
      <x:c r="DW367" s="4"/>
      <x:c r="DX367" s="4"/>
      <x:c r="DY367" s="4"/>
      <x:c r="DZ367" s="4"/>
      <x:c r="EA367" s="4"/>
      <x:c r="EB367" s="4"/>
      <x:c r="EC367" s="4"/>
      <x:c r="ED367" s="4"/>
      <x:c r="EE367" s="4" t="str">
        <x:f>IF('Calculations'!BT367=0,"Not Rated",IF(OR('Calculations'!BO367&gt;=4,'Calculations'!BP367&gt;=4),"Low",IF('Calculations'!BO367+'Calculations'!BP367&lt;=3,"High",IF('Calculations'!BO367+'Calculations'!BP367&lt;=4,"Strong","Solid"))))</x:f>
        <x:v>Not Rated</x:v>
      </x:c>
      <x:c r="EF367" s="4"/>
      <x:c r="EG367" s="4"/>
      <x:c r="EH367" s="4"/>
      <x:c r="EI367" s="4"/>
      <x:c r="EJ367" s="4"/>
      <x:c r="EK367" s="4"/>
      <x:c r="EL367" s="4"/>
      <x:c r="EM367" s="4" t="str">
        <x:f>IF(355&gt;'Calculations'!$JB$2000,"",INDEX('Calculations'!$JA$12:$JA$2000,MATCH(355,'Calculations'!$JB$12:$JB$2000,0)))</x:f>
      </x:c>
      <x:c r="EN367" s="4" t="n">
        <x:f>IF(OR('Calculations'!EM367="",'Calculations'!$AG$8&gt;0,AND('Calculations'!$EF$2&lt;&gt;"All",'Calculations'!HE367='Calculations'!$EF$2),AND('Calculations'!$EF$3&lt;&gt;"All",'Calculations'!HE367='Calculations'!$EF$3)),0,IF(OR('Dashboard'!$B$7="All",'Calculations'!HN367='Dashboard'!$B$7),IF('Calculations'!$EF$2="All",1,IF('Calculations'!HL367&gt;0,0,IF(COUNTIF('Calculations'!HO367:II367,"="&amp;SUBSTITUTE(SUBSTITUTE(SUBSTITUTE('Calculations'!$EF$2,"~","~~"),"*","~*"),"?","~?"))=0,0,IF('Calculations'!$EF$3="All",1,IF(COUNTIF('Calculations'!HO367:II367,"="&amp;SUBSTITUTE(SUBSTITUTE(SUBSTITUTE('Calculations'!$EF$3,"~","~~"),"*","~*"),"?","~?"))&gt;0,1,0))))),0))</x:f>
        <x:v>0</x:v>
      </x:c>
      <x:c r="EO367" s="4" t="str">
        <x:f>IF('Calculations'!IJ367="","",IF('Calculations'!IJ367="!UNRESOLVED","Unresolved hierarchy",IFERROR(INDEX('Calculations'!$HK$13:$HK$512,MATCH('Calculations'!IJ367,'Calculations'!$HE$13:$HE$512,0)),IFERROR(INDEX('Calculations'!$HJ$13:$HJ$512,MATCH('Calculations'!IJ367,'Calculations'!$HF$13:$HF$512,0)),'Calculations'!IJ367))))</x:f>
      </x:c>
      <x:c r="EP367" s="4" t="n">
        <x:f>IF(AND('Calculations'!EM367&lt;&gt;"",'Calculations'!HF367='Calculations'!IJ367),1,0)</x:f>
        <x:v>0</x:v>
      </x:c>
      <x:c r="EQ367" s="4"/>
      <x:c r="ER367" s="4"/>
      <x:c r="ES367" s="4"/>
      <x:c r="ET367" s="4"/>
      <x:c r="EU367" s="4"/>
      <x:c r="EV367" s="4"/>
      <x:c r="EW367" s="4"/>
      <x:c r="EX367" s="4"/>
      <x:c r="EY367" s="4"/>
      <x:c r="EZ367" s="4"/>
      <x:c r="FA367" s="4"/>
      <x:c r="FB367" s="4"/>
      <x:c r="FC367" s="4"/>
      <x:c r="FD367" s="4"/>
      <x:c r="FE367" s="4"/>
      <x:c r="FF367" s="4"/>
      <x:c r="FG367" s="4"/>
      <x:c r="FH367" s="4"/>
      <x:c r="FI367" s="4"/>
      <x:c r="FJ367" s="4"/>
      <x:c r="FK367" s="4"/>
      <x:c r="FL367" s="4"/>
      <x:c r="FM367" s="4"/>
      <x:c r="FN367" s="4"/>
      <x:c r="FO367" s="4"/>
      <x:c r="HE367" t="str">
        <x:f>IF('Calculations'!EM367="","",IF(IFERROR(IF(INDEX(INDIRECT("'WCM Calibration Final'!$A$1:$A$2000"),'Calculations'!$EM367)="","",TRIM(INDEX(INDIRECT("'WCM Calibration Final'!$A$1:$A$2000"),'Calculations'!$EM367)&amp;"")),"")&lt;&gt;"","G:"&amp;IFERROR(TEXT(1*INDEX(INDIRECT("'WCM Calibration Final'!$A$1:$A$2000"),'Calculations'!$EM367),"0"),UPPER(IFERROR(IF(INDEX(INDIRECT("'WCM Calibration Final'!$A$1:$A$2000"),'Calculations'!$EM367)="","",TRIM(INDEX(INDIRECT("'WCM Calibration Final'!$A$1:$A$2000"),'Calculations'!$EM367)&amp;"")),""))),IF(IFERROR(IF(INDEX(INDIRECT("'WCM Calibration Final'!$C$1:$C$2000"),'Calculations'!$EM367)="","",TRIM(INDEX(INDIRECT("'WCM Calibration Final'!$C$1:$C$2000"),'Calculations'!$EM367)&amp;"")),"")&lt;&gt;"","S:"&amp;UPPER(IFERROR(IF(INDEX(INDIRECT("'WCM Calibration Final'!$C$1:$C$2000"),'Calculations'!$EM367)="","",TRIM(INDEX(INDIRECT("'WCM Calibration Final'!$C$1:$C$2000"),'Calculations'!$EM367)&amp;"")),"")),"R:"&amp;'Calculations'!EM367)))</x:f>
      </x:c>
      <x:c r="HF367" t="str">
        <x:f>IF('Calculations'!EM367="","",IF(IFERROR(IF(INDEX(INDIRECT("'WCM Calibration Final'!$D$1:$D$2000"),'Calculations'!$EM367)="","",TRIM(INDEX(INDIRECT("'WCM Calibration Final'!$D$1:$D$2000"),'Calculations'!$EM367)&amp;"")),"")&lt;&gt;"","G:"&amp;IFERROR(TEXT(1*INDEX(INDIRECT("'WCM Calibration Final'!$D$1:$D$2000"),'Calculations'!$EM367),"0"),UPPER(IFERROR(IF(INDEX(INDIRECT("'WCM Calibration Final'!$D$1:$D$2000"),'Calculations'!$EM367)="","",TRIM(INDEX(INDIRECT("'WCM Calibration Final'!$D$1:$D$2000"),'Calculations'!$EM367)&amp;"")),""))),IF(IFERROR(IF(INDEX(INDIRECT("'WCM Calibration Final'!$E$1:$E$2000"),'Calculations'!$EM367)="","",TRIM(INDEX(INDIRECT("'WCM Calibration Final'!$E$1:$E$2000"),'Calculations'!$EM367)&amp;"")),"")="","",IF(COUNTIF('Calculations'!$HG$13:$HG$512,"="&amp;SUBSTITUTE(SUBSTITUTE(SUBSTITUTE(IFERROR(IF(INDEX(INDIRECT("'WCM Calibration Final'!$E$1:$E$2000"),'Calculations'!$EM367)="","",TRIM(INDEX(INDIRECT("'WCM Calibration Final'!$E$1:$E$2000"),'Calculations'!$EM367)&amp;"")),""),"~","~~"),"*","~*"),"?","~?"))=1,INDEX('Calculations'!$HE$13:$HE$512,MATCH(IFERROR(IF(INDEX(INDIRECT("'WCM Calibration Final'!$E$1:$E$2000"),'Calculations'!$EM367)="","",TRIM(INDEX(INDIRECT("'WCM Calibration Final'!$E$1:$E$2000"),'Calculations'!$EM367)&amp;"")),""),'Calculations'!$HG$13:$HG$512,0)),IF(COUNTIF('Calculations'!$HG$13:$HG$512,"="&amp;SUBSTITUTE(SUBSTITUTE(SUBSTITUTE(IFERROR(IF(INDEX(INDIRECT("'WCM Calibration Final'!$E$1:$E$2000"),'Calculations'!$EM367)="","",TRIM(INDEX(INDIRECT("'WCM Calibration Final'!$E$1:$E$2000"),'Calculations'!$EM367)&amp;"")),""),"~","~~"),"*","~*"),"?","~?"))&gt;1,"!AMBIG","X:"&amp;IFERROR(IF(INDEX(INDIRECT("'WCM Calibration Final'!$E$1:$E$2000"),'Calculations'!$EM367)="","",TRIM(INDEX(INDIRECT("'WCM Calibration Final'!$E$1:$E$2000"),'Calculations'!$EM367)&amp;"")),""))))))</x:f>
      </x:c>
      <x:c r="HG367" t="str">
        <x:f>IF('Calculations'!EM367="","",IFERROR(IF(INDEX(INDIRECT("'WCM Calibration Final'!$B$1:$B$2000"),'Calculations'!$EM367)="","",TRIM(INDEX(INDIRECT("'WCM Calibration Final'!$B$1:$B$2000"),'Calculations'!$EM367)&amp;"")),""))</x:f>
      </x:c>
      <x:c r="HH367" t="n">
        <x:f>IF(AND('Calculations'!JC367&gt;0,COUNTIF('Calculations'!$HF$12:HF367,"="&amp;SUBSTITUTE(SUBSTITUTE(SUBSTITUTE('Calculations'!HF367,"~","~~"),"*","~*"),"?","~?"))=1),MAX('Calculations'!$HH$12:HH366)+1,0)</x:f>
        <x:v>0</x:v>
      </x:c>
      <x:c r="HI367" t="n">
        <x:f>IF(AND('Calculations'!HN367&lt;&gt;"",COUNTIF('Calculations'!$HN$12:HN367,"="&amp;SUBSTITUTE(SUBSTITUTE(SUBSTITUTE('Calculations'!HN367,"~","~~"),"*","~*"),"?","~?"))=1),MAX('Calculations'!$HI$12:HI366)+1,0)</x:f>
        <x:v>0</x:v>
      </x:c>
      <x:c r="HJ367" t="str">
        <x:f>IF('Calculations'!HF367="","",IF(COUNTIF('Calculations'!$HE$13:$HE$512,"="&amp;SUBSTITUTE(SUBSTITUTE(SUBSTITUTE('Calculations'!HF367,"~","~~"),"*","~*"),"?","~?"))=1,INDEX('Calculations'!$HK$13:$HK$512,MATCH('Calculations'!HF367,'Calculations'!$HE$13:$HE$512,0)),IFERROR(IF(INDEX(INDIRECT("'WCM Calibration Final'!$E$1:$E$2000"),'Calculations'!$EM367)="","",TRIM(INDEX(INDIRECT("'WCM Calibration Final'!$E$1:$E$2000"),'Calculations'!$EM367)&amp;"")),"")&amp;" ["&amp;'Calculations'!HF367&amp;"]"))</x:f>
      </x:c>
      <x:c r="HK367" t="str">
        <x:f>IF('Calculations'!EM367="","",'Calculations'!HG367&amp;" ["&amp;'Calculations'!HE367&amp;"]")</x:f>
      </x:c>
      <x:c r="HL367" t="n">
        <x:f>IF('Calculations'!EM367="",0,IF(OR('Calculations'!II367&lt;&gt;"",COUNTIF('Calculations'!$HE$13:$HE$512,"="&amp;SUBSTITUTE(SUBSTITUTE(SUBSTITUTE('Calculations'!HE367,"~","~~"),"*","~*"),"?","~?"))&gt;1),1,0))</x:f>
        <x:v>0</x:v>
      </x:c>
      <x:c r="HM367" t="str">
        <x:f>IF('Calculations'!EM367="","",IF('Calculations'!HL367=1,"!UNRESOLVED",IF('Calculations'!IH367&lt;&gt;"",'Calculations'!IH367,IF('Calculations'!IG367&lt;&gt;"",'Calculations'!IG367,IF('Calculations'!IF367&lt;&gt;"",'Calculations'!IF367,IF('Calculations'!IE367&lt;&gt;"",'Calculations'!IE367,IF('Calculations'!ID367&lt;&gt;"",'Calculations'!ID367,IF('Calculations'!IC367&lt;&gt;"",'Calculations'!IC367,IF('Calculations'!IB367&lt;&gt;"",'Calculations'!IB367,IF('Calculations'!IA367&lt;&gt;"",'Calculations'!IA367,IF('Calculations'!HZ367&lt;&gt;"",'Calculations'!HZ367,IF('Calculations'!HY367&lt;&gt;"",'Calculations'!HY367,IF('Calculations'!HX367&lt;&gt;"",'Calculations'!HX367,IF('Calculations'!HW367&lt;&gt;"",'Calculations'!HW367,IF('Calculations'!HV367&lt;&gt;"",'Calculations'!HV367,IF('Calculations'!HU367&lt;&gt;"",'Calculations'!HU367,IF('Calculations'!HT367&lt;&gt;"",'Calculations'!HT367,IF('Calculations'!HS367&lt;&gt;"",'Calculations'!HS367,IF('Calculations'!HR367&lt;&gt;"",'Calculations'!HR367,IF('Calculations'!HQ367&lt;&gt;"",'Calculations'!HQ367,IF('Calculations'!HP367&lt;&gt;"",'Calculations'!HP367,IF('Calculations'!HO367&lt;&gt;"",'Calculations'!HO367,'Calculations'!HE367))))))))))))))))))))))</x:f>
      </x:c>
      <x:c r="HN367" t="str">
        <x:f>IF('Calculations'!EM367="","",IF(IFERROR(IF(INDEX(INDIRECT("'WCM Calibration Final'!$F$1:$F$2000"),'Calculations'!$EM367)="","",TRIM(INDEX(INDIRECT("'WCM Calibration Final'!$F$1:$F$2000"),'Calculations'!$EM367)&amp;"")),"")="","(Blank)",IFERROR(IF(INDEX(INDIRECT("'WCM Calibration Final'!$F$1:$F$2000"),'Calculations'!$EM367)="","",TRIM(INDEX(INDIRECT("'WCM Calibration Final'!$F$1:$F$2000"),'Calculations'!$EM367)&amp;"")),"")))</x:f>
      </x:c>
      <x:c r="HO367" t="str">
        <x:f>'Calculations'!HF367</x:f>
      </x:c>
      <x:c r="HP367" t="str">
        <x:f>IF('Calculations'!HO367="","",IF('Calculations'!HO367="!AMBIG","!AMBIG",IF(COUNTIF('Calculations'!$HE$13:$HE$512,"="&amp;SUBSTITUTE(SUBSTITUTE(SUBSTITUTE('Calculations'!HO367,"~","~~"),"*","~*"),"?","~?"))&gt;1,"!AMBIG",IFERROR(INDEX('Calculations'!$HF$13:$HF$512,MATCH('Calculations'!HO367,'Calculations'!$HE$13:$HE$512,0)),""))))</x:f>
      </x:c>
      <x:c r="HQ367" t="str">
        <x:f>IF('Calculations'!HP367="","",IF('Calculations'!HP367="!AMBIG","!AMBIG",IF(COUNTIF('Calculations'!$HE$13:$HE$512,"="&amp;SUBSTITUTE(SUBSTITUTE(SUBSTITUTE('Calculations'!HP367,"~","~~"),"*","~*"),"?","~?"))&gt;1,"!AMBIG",IFERROR(INDEX('Calculations'!$HF$13:$HF$512,MATCH('Calculations'!HP367,'Calculations'!$HE$13:$HE$512,0)),""))))</x:f>
      </x:c>
      <x:c r="HR367" t="str">
        <x:f>IF('Calculations'!HQ367="","",IF('Calculations'!HQ367="!AMBIG","!AMBIG",IF(COUNTIF('Calculations'!$HE$13:$HE$512,"="&amp;SUBSTITUTE(SUBSTITUTE(SUBSTITUTE('Calculations'!HQ367,"~","~~"),"*","~*"),"?","~?"))&gt;1,"!AMBIG",IFERROR(INDEX('Calculations'!$HF$13:$HF$512,MATCH('Calculations'!HQ367,'Calculations'!$HE$13:$HE$512,0)),""))))</x:f>
      </x:c>
      <x:c r="HS367" t="str">
        <x:f>IF('Calculations'!HR367="","",IF('Calculations'!HR367="!AMBIG","!AMBIG",IF(COUNTIF('Calculations'!$HE$13:$HE$512,"="&amp;SUBSTITUTE(SUBSTITUTE(SUBSTITUTE('Calculations'!HR367,"~","~~"),"*","~*"),"?","~?"))&gt;1,"!AMBIG",IFERROR(INDEX('Calculations'!$HF$13:$HF$512,MATCH('Calculations'!HR367,'Calculations'!$HE$13:$HE$512,0)),""))))</x:f>
      </x:c>
      <x:c r="HT367" t="str">
        <x:f>IF('Calculations'!HS367="","",IF('Calculations'!HS367="!AMBIG","!AMBIG",IF(COUNTIF('Calculations'!$HE$13:$HE$512,"="&amp;SUBSTITUTE(SUBSTITUTE(SUBSTITUTE('Calculations'!HS367,"~","~~"),"*","~*"),"?","~?"))&gt;1,"!AMBIG",IFERROR(INDEX('Calculations'!$HF$13:$HF$512,MATCH('Calculations'!HS367,'Calculations'!$HE$13:$HE$512,0)),""))))</x:f>
      </x:c>
      <x:c r="HU367" t="str">
        <x:f>IF('Calculations'!HT367="","",IF('Calculations'!HT367="!AMBIG","!AMBIG",IF(COUNTIF('Calculations'!$HE$13:$HE$512,"="&amp;SUBSTITUTE(SUBSTITUTE(SUBSTITUTE('Calculations'!HT367,"~","~~"),"*","~*"),"?","~?"))&gt;1,"!AMBIG",IFERROR(INDEX('Calculations'!$HF$13:$HF$512,MATCH('Calculations'!HT367,'Calculations'!$HE$13:$HE$512,0)),""))))</x:f>
      </x:c>
      <x:c r="HV367" t="str">
        <x:f>IF('Calculations'!HU367="","",IF('Calculations'!HU367="!AMBIG","!AMBIG",IF(COUNTIF('Calculations'!$HE$13:$HE$512,"="&amp;SUBSTITUTE(SUBSTITUTE(SUBSTITUTE('Calculations'!HU367,"~","~~"),"*","~*"),"?","~?"))&gt;1,"!AMBIG",IFERROR(INDEX('Calculations'!$HF$13:$HF$512,MATCH('Calculations'!HU367,'Calculations'!$HE$13:$HE$512,0)),""))))</x:f>
      </x:c>
      <x:c r="HW367" t="str">
        <x:f>IF('Calculations'!HV367="","",IF('Calculations'!HV367="!AMBIG","!AMBIG",IF(COUNTIF('Calculations'!$HE$13:$HE$512,"="&amp;SUBSTITUTE(SUBSTITUTE(SUBSTITUTE('Calculations'!HV367,"~","~~"),"*","~*"),"?","~?"))&gt;1,"!AMBIG",IFERROR(INDEX('Calculations'!$HF$13:$HF$512,MATCH('Calculations'!HV367,'Calculations'!$HE$13:$HE$512,0)),""))))</x:f>
      </x:c>
      <x:c r="HX367" t="str">
        <x:f>IF('Calculations'!HW367="","",IF('Calculations'!HW367="!AMBIG","!AMBIG",IF(COUNTIF('Calculations'!$HE$13:$HE$512,"="&amp;SUBSTITUTE(SUBSTITUTE(SUBSTITUTE('Calculations'!HW367,"~","~~"),"*","~*"),"?","~?"))&gt;1,"!AMBIG",IFERROR(INDEX('Calculations'!$HF$13:$HF$512,MATCH('Calculations'!HW367,'Calculations'!$HE$13:$HE$512,0)),""))))</x:f>
      </x:c>
      <x:c r="HY367" t="str">
        <x:f>IF('Calculations'!HX367="","",IF('Calculations'!HX367="!AMBIG","!AMBIG",IF(COUNTIF('Calculations'!$HE$13:$HE$512,"="&amp;SUBSTITUTE(SUBSTITUTE(SUBSTITUTE('Calculations'!HX367,"~","~~"),"*","~*"),"?","~?"))&gt;1,"!AMBIG",IFERROR(INDEX('Calculations'!$HF$13:$HF$512,MATCH('Calculations'!HX367,'Calculations'!$HE$13:$HE$512,0)),""))))</x:f>
      </x:c>
      <x:c r="HZ367" t="str">
        <x:f>IF('Calculations'!HY367="","",IF('Calculations'!HY367="!AMBIG","!AMBIG",IF(COUNTIF('Calculations'!$HE$13:$HE$512,"="&amp;SUBSTITUTE(SUBSTITUTE(SUBSTITUTE('Calculations'!HY367,"~","~~"),"*","~*"),"?","~?"))&gt;1,"!AMBIG",IFERROR(INDEX('Calculations'!$HF$13:$HF$512,MATCH('Calculations'!HY367,'Calculations'!$HE$13:$HE$512,0)),""))))</x:f>
      </x:c>
      <x:c r="IA367" t="str">
        <x:f>IF('Calculations'!HZ367="","",IF('Calculations'!HZ367="!AMBIG","!AMBIG",IF(COUNTIF('Calculations'!$HE$13:$HE$512,"="&amp;SUBSTITUTE(SUBSTITUTE(SUBSTITUTE('Calculations'!HZ367,"~","~~"),"*","~*"),"?","~?"))&gt;1,"!AMBIG",IFERROR(INDEX('Calculations'!$HF$13:$HF$512,MATCH('Calculations'!HZ367,'Calculations'!$HE$13:$HE$512,0)),""))))</x:f>
      </x:c>
      <x:c r="IB367" t="str">
        <x:f>IF('Calculations'!IA367="","",IF('Calculations'!IA367="!AMBIG","!AMBIG",IF(COUNTIF('Calculations'!$HE$13:$HE$512,"="&amp;SUBSTITUTE(SUBSTITUTE(SUBSTITUTE('Calculations'!IA367,"~","~~"),"*","~*"),"?","~?"))&gt;1,"!AMBIG",IFERROR(INDEX('Calculations'!$HF$13:$HF$512,MATCH('Calculations'!IA367,'Calculations'!$HE$13:$HE$512,0)),""))))</x:f>
      </x:c>
      <x:c r="IC367" t="str">
        <x:f>IF('Calculations'!IB367="","",IF('Calculations'!IB367="!AMBIG","!AMBIG",IF(COUNTIF('Calculations'!$HE$13:$HE$512,"="&amp;SUBSTITUTE(SUBSTITUTE(SUBSTITUTE('Calculations'!IB367,"~","~~"),"*","~*"),"?","~?"))&gt;1,"!AMBIG",IFERROR(INDEX('Calculations'!$HF$13:$HF$512,MATCH('Calculations'!IB367,'Calculations'!$HE$13:$HE$512,0)),""))))</x:f>
      </x:c>
      <x:c r="ID367" t="str">
        <x:f>IF('Calculations'!IC367="","",IF('Calculations'!IC367="!AMBIG","!AMBIG",IF(COUNTIF('Calculations'!$HE$13:$HE$512,"="&amp;SUBSTITUTE(SUBSTITUTE(SUBSTITUTE('Calculations'!IC367,"~","~~"),"*","~*"),"?","~?"))&gt;1,"!AMBIG",IFERROR(INDEX('Calculations'!$HF$13:$HF$512,MATCH('Calculations'!IC367,'Calculations'!$HE$13:$HE$512,0)),""))))</x:f>
      </x:c>
      <x:c r="IE367" t="str">
        <x:f>IF('Calculations'!ID367="","",IF('Calculations'!ID367="!AMBIG","!AMBIG",IF(COUNTIF('Calculations'!$HE$13:$HE$512,"="&amp;SUBSTITUTE(SUBSTITUTE(SUBSTITUTE('Calculations'!ID367,"~","~~"),"*","~*"),"?","~?"))&gt;1,"!AMBIG",IFERROR(INDEX('Calculations'!$HF$13:$HF$512,MATCH('Calculations'!ID367,'Calculations'!$HE$13:$HE$512,0)),""))))</x:f>
      </x:c>
      <x:c r="IF367" t="str">
        <x:f>IF('Calculations'!IE367="","",IF('Calculations'!IE367="!AMBIG","!AMBIG",IF(COUNTIF('Calculations'!$HE$13:$HE$512,"="&amp;SUBSTITUTE(SUBSTITUTE(SUBSTITUTE('Calculations'!IE367,"~","~~"),"*","~*"),"?","~?"))&gt;1,"!AMBIG",IFERROR(INDEX('Calculations'!$HF$13:$HF$512,MATCH('Calculations'!IE367,'Calculations'!$HE$13:$HE$512,0)),""))))</x:f>
      </x:c>
      <x:c r="IG367" t="str">
        <x:f>IF('Calculations'!IF367="","",IF('Calculations'!IF367="!AMBIG","!AMBIG",IF(COUNTIF('Calculations'!$HE$13:$HE$512,"="&amp;SUBSTITUTE(SUBSTITUTE(SUBSTITUTE('Calculations'!IF367,"~","~~"),"*","~*"),"?","~?"))&gt;1,"!AMBIG",IFERROR(INDEX('Calculations'!$HF$13:$HF$512,MATCH('Calculations'!IF367,'Calculations'!$HE$13:$HE$512,0)),""))))</x:f>
      </x:c>
      <x:c r="IH367" t="str">
        <x:f>IF('Calculations'!IG367="","",IF('Calculations'!IG367="!AMBIG","!AMBIG",IF(COUNTIF('Calculations'!$HE$13:$HE$512,"="&amp;SUBSTITUTE(SUBSTITUTE(SUBSTITUTE('Calculations'!IG367,"~","~~"),"*","~*"),"?","~?"))&gt;1,"!AMBIG",IFERROR(INDEX('Calculations'!$HF$13:$HF$512,MATCH('Calculations'!IG367,'Calculations'!$HE$13:$HE$512,0)),""))))</x:f>
      </x:c>
      <x:c r="II367" t="str">
        <x:f>IF('Calculations'!IH367="","",IF('Calculations'!IH367="!AMBIG","!AMBIG",IF(COUNTIF('Calculations'!$HE$13:$HE$512,"="&amp;SUBSTITUTE(SUBSTITUTE(SUBSTITUTE('Calculations'!IH367,"~","~~"),"*","~*"),"?","~?"))&gt;1,"!AMBIG",IFERROR(INDEX('Calculations'!$HF$13:$HF$512,MATCH('Calculations'!IH367,'Calculations'!$HE$13:$HE$512,0)),""))))</x:f>
      </x:c>
      <x:c r="IJ367" t="str">
        <x:f>IF('Calculations'!EM367="","",IF('Calculations'!$EF$2="All",'Calculations'!HM367,IF('Calculations'!HL367=1,"",IFERROR(IF(MATCH('Calculations'!$EF$2,'Calculations'!HO367:II367,0)=1,'Calculations'!HE367,INDEX('Calculations'!HO367:II367,1,MATCH('Calculations'!$EF$2,'Calculations'!HO367:II367,0)-1)),""))))</x:f>
      </x:c>
      <x:c r="IK367" t="n">
        <x:f>IF(AND('Calculations'!EM367&lt;&gt;"",'Calculations'!$EF$2&lt;&gt;"All",'Calculations'!HF367='Calculations'!$EF$2,'Calculations'!HL367=0,'Calculations'!JD367&gt;0),MAX('Calculations'!$IK$12:IK366)+1,0)</x:f>
        <x:v>0</x:v>
      </x:c>
      <x:c r="JA367" t="n">
        <x:f>IF(OR(IFERROR(INDIRECT("'WCM Calibration Final'!$A$367")&lt;&gt;"",FALSE),IFERROR(INDIRECT("'WCM Calibration Final'!$B$367")&lt;&gt;"",FALSE),IFERROR(INDIRECT("'WCM Calibration Final'!$C$367")&lt;&gt;"",FALSE)),367,0)</x:f>
        <x:v>0</x:v>
      </x:c>
      <x:c r="JB367" t="n">
        <x:f>'Calculations'!JB366+IF('Calculations'!JA367&gt;0,1,0)</x:f>
        <x:v>0</x:v>
      </x:c>
      <x:c r="JC367" t="n">
        <x:f>IF(OR('Calculations'!HF367="",'Calculations'!HF367="!AMBIG"),0,IF('Dashboard'!$B$7="All",1,COUNTIFS('Calculations'!$HO$13:$HO$512,"="&amp;SUBSTITUTE(SUBSTITUTE(SUBSTITUTE('Calculations'!HF367,"~","~~"),"*","~*"),"?","~?"),'Calculations'!$HN$13:$HN$512,"="&amp;SUBSTITUTE(SUBSTITUTE(SUBSTITUTE('Dashboard'!$B$7,"~","~~"),"*","~*"),"?","~?"))+COUNTIFS('Calculations'!$HP$13:$HP$512,"="&amp;SUBSTITUTE(SUBSTITUTE(SUBSTITUTE('Calculations'!HF367,"~","~~"),"*","~*"),"?","~?"),'Calculations'!$HN$13:$HN$512,"="&amp;SUBSTITUTE(SUBSTITUTE(SUBSTITUTE('Dashboard'!$B$7,"~","~~"),"*","~*"),"?","~?"))+COUNTIFS('Calculations'!$HQ$13:$HQ$512,"="&amp;SUBSTITUTE(SUBSTITUTE(SUBSTITUTE('Calculations'!HF367,"~","~~"),"*","~*"),"?","~?"),'Calculations'!$HN$13:$HN$512,"="&amp;SUBSTITUTE(SUBSTITUTE(SUBSTITUTE('Dashboard'!$B$7,"~","~~"),"*","~*"),"?","~?"))+COUNTIFS('Calculations'!$HR$13:$HR$512,"="&amp;SUBSTITUTE(SUBSTITUTE(SUBSTITUTE('Calculations'!HF367,"~","~~"),"*","~*"),"?","~?"),'Calculations'!$HN$13:$HN$512,"="&amp;SUBSTITUTE(SUBSTITUTE(SUBSTITUTE('Dashboard'!$B$7,"~","~~"),"*","~*"),"?","~?"))+COUNTIFS('Calculations'!$HS$13:$HS$512,"="&amp;SUBSTITUTE(SUBSTITUTE(SUBSTITUTE('Calculations'!HF367,"~","~~"),"*","~*"),"?","~?"),'Calculations'!$HN$13:$HN$512,"="&amp;SUBSTITUTE(SUBSTITUTE(SUBSTITUTE('Dashboard'!$B$7,"~","~~"),"*","~*"),"?","~?"))+COUNTIFS('Calculations'!$HT$13:$HT$512,"="&amp;SUBSTITUTE(SUBSTITUTE(SUBSTITUTE('Calculations'!HF367,"~","~~"),"*","~*"),"?","~?"),'Calculations'!$HN$13:$HN$512,"="&amp;SUBSTITUTE(SUBSTITUTE(SUBSTITUTE('Dashboard'!$B$7,"~","~~"),"*","~*"),"?","~?"))+COUNTIFS('Calculations'!$HU$13:$HU$512,"="&amp;SUBSTITUTE(SUBSTITUTE(SUBSTITUTE('Calculations'!HF367,"~","~~"),"*","~*"),"?","~?"),'Calculations'!$HN$13:$HN$512,"="&amp;SUBSTITUTE(SUBSTITUTE(SUBSTITUTE('Dashboard'!$B$7,"~","~~"),"*","~*"),"?","~?"))+COUNTIFS('Calculations'!$HV$13:$HV$512,"="&amp;SUBSTITUTE(SUBSTITUTE(SUBSTITUTE('Calculations'!HF367,"~","~~"),"*","~*"),"?","~?"),'Calculations'!$HN$13:$HN$512,"="&amp;SUBSTITUTE(SUBSTITUTE(SUBSTITUTE('Dashboard'!$B$7,"~","~~"),"*","~*"),"?","~?"))+COUNTIFS('Calculations'!$HW$13:$HW$512,"="&amp;SUBSTITUTE(SUBSTITUTE(SUBSTITUTE('Calculations'!HF367,"~","~~"),"*","~*"),"?","~?"),'Calculations'!$HN$13:$HN$512,"="&amp;SUBSTITUTE(SUBSTITUTE(SUBSTITUTE('Dashboard'!$B$7,"~","~~"),"*","~*"),"?","~?"))+COUNTIFS('Calculations'!$HX$13:$HX$512,"="&amp;SUBSTITUTE(SUBSTITUTE(SUBSTITUTE('Calculations'!HF367,"~","~~"),"*","~*"),"?","~?"),'Calculations'!$HN$13:$HN$512,"="&amp;SUBSTITUTE(SUBSTITUTE(SUBSTITUTE('Dashboard'!$B$7,"~","~~"),"*","~*"),"?","~?"))+COUNTIFS('Calculations'!$HY$13:$HY$512,"="&amp;SUBSTITUTE(SUBSTITUTE(SUBSTITUTE('Calculations'!HF367,"~","~~"),"*","~*"),"?","~?"),'Calculations'!$HN$13:$HN$512,"="&amp;SUBSTITUTE(SUBSTITUTE(SUBSTITUTE('Dashboard'!$B$7,"~","~~"),"*","~*"),"?","~?"))+COUNTIFS('Calculations'!$HZ$13:$HZ$512,"="&amp;SUBSTITUTE(SUBSTITUTE(SUBSTITUTE('Calculations'!HF367,"~","~~"),"*","~*"),"?","~?"),'Calculations'!$HN$13:$HN$512,"="&amp;SUBSTITUTE(SUBSTITUTE(SUBSTITUTE('Dashboard'!$B$7,"~","~~"),"*","~*"),"?","~?"))+COUNTIFS('Calculations'!$IA$13:$IA$512,"="&amp;SUBSTITUTE(SUBSTITUTE(SUBSTITUTE('Calculations'!HF367,"~","~~"),"*","~*"),"?","~?"),'Calculations'!$HN$13:$HN$512,"="&amp;SUBSTITUTE(SUBSTITUTE(SUBSTITUTE('Dashboard'!$B$7,"~","~~"),"*","~*"),"?","~?"))+COUNTIFS('Calculations'!$IB$13:$IB$512,"="&amp;SUBSTITUTE(SUBSTITUTE(SUBSTITUTE('Calculations'!HF367,"~","~~"),"*","~*"),"?","~?"),'Calculations'!$HN$13:$HN$512,"="&amp;SUBSTITUTE(SUBSTITUTE(SUBSTITUTE('Dashboard'!$B$7,"~","~~"),"*","~*"),"?","~?"))+COUNTIFS('Calculations'!$IC$13:$IC$512,"="&amp;SUBSTITUTE(SUBSTITUTE(SUBSTITUTE('Calculations'!HF367,"~","~~"),"*","~*"),"?","~?"),'Calculations'!$HN$13:$HN$512,"="&amp;SUBSTITUTE(SUBSTITUTE(SUBSTITUTE('Dashboard'!$B$7,"~","~~"),"*","~*"),"?","~?"))+COUNTIFS('Calculations'!$ID$13:$ID$512,"="&amp;SUBSTITUTE(SUBSTITUTE(SUBSTITUTE('Calculations'!HF367,"~","~~"),"*","~*"),"?","~?"),'Calculations'!$HN$13:$HN$512,"="&amp;SUBSTITUTE(SUBSTITUTE(SUBSTITUTE('Dashboard'!$B$7,"~","~~"),"*","~*"),"?","~?"))+COUNTIFS('Calculations'!$IE$13:$IE$512,"="&amp;SUBSTITUTE(SUBSTITUTE(SUBSTITUTE('Calculations'!HF367,"~","~~"),"*","~*"),"?","~?"),'Calculations'!$HN$13:$HN$512,"="&amp;SUBSTITUTE(SUBSTITUTE(SUBSTITUTE('Dashboard'!$B$7,"~","~~"),"*","~*"),"?","~?"))+COUNTIFS('Calculations'!$IF$13:$IF$512,"="&amp;SUBSTITUTE(SUBSTITUTE(SUBSTITUTE('Calculations'!HF367,"~","~~"),"*","~*"),"?","~?"),'Calculations'!$HN$13:$HN$512,"="&amp;SUBSTITUTE(SUBSTITUTE(SUBSTITUTE('Dashboard'!$B$7,"~","~~"),"*","~*"),"?","~?"))+COUNTIFS('Calculations'!$IG$13:$IG$512,"="&amp;SUBSTITUTE(SUBSTITUTE(SUBSTITUTE('Calculations'!HF367,"~","~~"),"*","~*"),"?","~?"),'Calculations'!$HN$13:$HN$512,"="&amp;SUBSTITUTE(SUBSTITUTE(SUBSTITUTE('Dashboard'!$B$7,"~","~~"),"*","~*"),"?","~?"))+COUNTIFS('Calculations'!$IH$13:$IH$512,"="&amp;SUBSTITUTE(SUBSTITUTE(SUBSTITUTE('Calculations'!HF367,"~","~~"),"*","~*"),"?","~?"),'Calculations'!$HN$13:$HN$512,"="&amp;SUBSTITUTE(SUBSTITUTE(SUBSTITUTE('Dashboard'!$B$7,"~","~~"),"*","~*"),"?","~?"))))</x:f>
        <x:v>0</x:v>
      </x:c>
      <x:c r="JD367" t="n">
        <x:f>IF('Calculations'!EM367="",0,IF('Dashboard'!$B$7="All",1,IF('Calculations'!HN367='Dashboard'!$B$7,1,0)+IFERROR(INDEX('Calculations'!$JC$13:$JC$512,MATCH('Calculations'!HE367,'Calculations'!$HF$13:$HF$512,0)),0)))</x:f>
        <x:v>0</x:v>
      </x:c>
      <x:c r="JE367" t="n">
        <x:f>IF(AND('Calculations'!EM367&lt;&gt;"",'Calculations'!$JJ$2&lt;&gt;"All",'Calculations'!$JJ$2&lt;&gt;"",'Calculations'!HF367='Calculations'!$JJ$2,'Calculations'!HL367=0,'Calculations'!JD367&gt;0),MAX('Calculations'!$JE$12:JE366)+1,0)</x:f>
        <x:v>0</x:v>
      </x:c>
      <x:c r="JF367" t="str">
        <x:f>IF('Calculations'!EM367="","",IFERROR(IF(INDEX(INDIRECT("'WCM Calibration Final'!$G$1:$G$2000"),'Calculations'!$EM367)="","",TRIM(INDEX(INDIRECT("'WCM Calibration Final'!$G$1:$G$2000"),'Calculations'!$EM367)&amp;"")),""))</x:f>
      </x:c>
      <x:c r="JQ367" t="n">
        <x:f>IF(OR('Calculations'!BM367=0,NOT('Calculations'!$AG$2),'Calculations'!$AG$8&gt;0),0,IF(OR('Dashboard'!$B$7="All",'Calculations'!HN367='Dashboard'!$B$7),IF('Calculations'!$JJ$2="All",1,IF(AND('Calculations'!HF367='Calculations'!$JJ$2,'Calculations'!HL367=0),1,0)),0))</x:f>
        <x:v>0</x:v>
      </x:c>
    </x:row>
    <x:row r="368">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t="n">
        <x:f>IF('Calculations'!$EM368="",0,IF(OR(IFERROR(INDEX(INDIRECT("'WCM Calibration Final'!$A$1:$A$2000"),'Calculations'!$EM368)&lt;&gt;"",FALSE),IFERROR(INDEX(INDIRECT("'WCM Calibration Final'!$B$1:$B$2000"),'Calculations'!$EM368)&lt;&gt;"",FALSE),IFERROR(INDEX(INDIRECT("'WCM Calibration Final'!$C$1:$C$2000"),'Calculations'!$EM368)&lt;&gt;"",FALSE)),1,0))</x:f>
        <x:v>0</x:v>
      </x:c>
      <x:c r="BN368" s="4" t="n">
        <x:f>IF(AND('Calculations'!BM368=1,'Calculations'!$AG$2,'Calculations'!$EN368=1),1,0)</x:f>
        <x:v>0</x:v>
      </x:c>
      <x:c r="BO368" s="4" t="str">
        <x:f>IF('Calculations'!BM368=0,"",IFERROR(IF(AND(VALUE(INDEX(INDIRECT("'WCM Calibration Final'!$K$1:$K$2000"),'Calculations'!$EM368))&gt;=1,VALUE(INDEX(INDIRECT("'WCM Calibration Final'!$K$1:$K$2000"),'Calculations'!$EM368))&lt;=4,MOD(VALUE(INDEX(INDIRECT("'WCM Calibration Final'!$K$1:$K$2000"),'Calculations'!$EM368)),1)=0),VALUE(INDEX(INDIRECT("'WCM Calibration Final'!$K$1:$K$2000"),'Calculations'!$EM368)),""),""))</x:f>
      </x:c>
      <x:c r="BP368" s="4" t="str">
        <x:f>IF('Calculations'!BM368=0,"",IFERROR(IF(AND(VALUE(INDEX(INDIRECT("'WCM Calibration Final'!$L$1:$L$2000"),'Calculations'!$EM368))&gt;=1,VALUE(INDEX(INDIRECT("'WCM Calibration Final'!$L$1:$L$2000"),'Calculations'!$EM368))&lt;=4,MOD(VALUE(INDEX(INDIRECT("'WCM Calibration Final'!$L$1:$L$2000"),'Calculations'!$EM368)),1)=0),VALUE(INDEX(INDIRECT("'WCM Calibration Final'!$L$1:$L$2000"),'Calculations'!$EM368)),""),""))</x:f>
      </x:c>
      <x:c r="BQ368" s="4"/>
      <x:c r="BR368" s="4"/>
      <x:c r="BS368" s="4"/>
      <x:c r="BT368" s="4" t="n">
        <x:f>IF(AND('Calculations'!BM368=1,ISNUMBER('Calculations'!BO368),ISNUMBER('Calculations'!BP368)),1,0)</x:f>
        <x:v>0</x:v>
      </x:c>
      <x:c r="BU368" s="4" t="str">
        <x:f>IF('Calculations'!BM368=0,"",'Calculations'!$EO368)</x:f>
      </x:c>
      <x:c r="BV368" s="4" t="str">
        <x:f>IF('Calculations'!BM368=0,"",IFERROR(IF(OR(INDEX(INDIRECT("'WCM Calibration Final'!$H$1:$H$2000"),'Calculations'!$EM368)="MANAGING DIRECTOR",INDEX(INDIRECT("'WCM Calibration Final'!$H$1:$H$2000"),'Calculations'!$EM368)="DIRECTOR",INDEX(INDIRECT("'WCM Calibration Final'!$H$1:$H$2000"),'Calculations'!$EM368)="SENIOR VICE PRESIDENT",INDEX(INDIRECT("'WCM Calibration Final'!$H$1:$H$2000"),'Calculations'!$EM368)="VICE PRESIDENT",INDEX(INDIRECT("'WCM Calibration Final'!$H$1:$H$2000"),'Calculations'!$EM368)="ASSISTANT VICE PRESIDENT",INDEX(INDIRECT("'WCM Calibration Final'!$H$1:$H$2000"),'Calculations'!$EM368)="OFFICER"),UPPER(INDEX(INDIRECT("'WCM Calibration Final'!$H$1:$H$2000"),'Calculations'!$EM368)),"Other"),"Other"))</x:f>
      </x:c>
      <x:c r="BW368" s="4"/>
      <x:c r="BX368" s="4"/>
      <x:c r="BY368" s="4" t="n">
        <x:f>IF(AND('Calculations'!BM368=1,'Calculations'!BU368&lt;&gt;"",COUNTIF('Calculations'!$BU$12:BU368,'Calculations'!BU368)=1),MAX('Calculations'!$BY$11:BY367)+1,0)</x:f>
        <x:v>0</x:v>
      </x:c>
      <x:c r="BZ368" s="4" t="str">
        <x:f>IF('Dashboard'!$E$67="What",'Calculations'!BO368,'Calculations'!BP368)</x:f>
      </x:c>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t="str">
        <x:f>IF(357&gt;MAX('Calculations'!$HI$13:$HI$512),"",INDEX('Calculations'!$HN$13:$HN$512,MATCH(357,'Calculations'!$HI$13:$HI$512,0)))</x:f>
      </x:c>
      <x:c r="DB368" s="4" t="str">
        <x:f>IF(357&gt;MAX('Calculations'!$HH$13:$HH$512),"",INDEX('Calculations'!$HJ$13:$HJ$512,MATCH(357,'Calculations'!$HH$13:$HH$512,0)))</x:f>
      </x:c>
      <x:c r="DC368" s="4" t="str">
        <x:f>IF(ROW()-11&gt;MAX('Calculations'!$BY$13:$BY$512),"",INDEX('Calculations'!$BU$13:$BU$512,MATCH(ROW()-11,'Calculations'!$BY$13:$BY$512,0)))</x:f>
      </x:c>
      <x:c r="DD368" s="4" t="str">
        <x:f>IF(357&gt;MAX('Calculations'!$IK$13:$IK$512),"",INDEX('Calculations'!$HK$13:$HK$512,MATCH(357,'Calculations'!$IK$13:$IK$512,0)))</x:f>
      </x:c>
      <x:c r="DE368" s="4" t="str">
        <x:f>'Calculations'!DC368</x:f>
      </x:c>
      <x:c r="DF368" s="4" t="str">
        <x:f>IF('Calculations'!DE368="","",COUNTIFS('Calculations'!$BN$13:$BN$512,1,'Calculations'!$BU$13:$BU$512,'Calculations'!DE368))</x:f>
      </x:c>
      <x:c r="DG368" s="4" t="str">
        <x:f>IF('Calculations'!DE368="","",COUNTIFS('Calculations'!$BN$13:$BN$512,1,'Calculations'!$BU$13:$BU$512,'Calculations'!DE368,'Calculations'!$BT$13:$BT$512,1))</x:f>
      </x:c>
      <x:c r="DH368" s="4" t="str">
        <x:f>IF('Calculations'!DE368="","",'Calculations'!DF368-'Calculations'!DG368)</x:f>
      </x:c>
      <x:c r="DI368" s="4" t="str">
        <x:f>IF(OR('Calculations'!DE368="",'Calculations'!DF368=0),"",'Calculations'!DG368/'Calculations'!DF368)</x:f>
      </x:c>
      <x:c r="DJ368" s="4" t="str">
        <x:f>IF('Calculations'!DE368="","",COUNTIFS('Calculations'!$BN$13:$BN$512,1,'Calculations'!$BU$13:$BU$512,'Calculations'!DE368,'Calculations'!$BT$13:$BT$512,1,'Calculations'!$EE$13:$EE$512,"High"))</x:f>
      </x:c>
      <x:c r="DK368" s="4" t="str">
        <x:f>IF('Calculations'!DE368="","",COUNTIFS('Calculations'!$BN$13:$BN$512,1,'Calculations'!$BU$13:$BU$512,'Calculations'!DE368,'Calculations'!$BT$13:$BT$512,1,'Calculations'!$EE$13:$EE$512,"Strong"))</x:f>
      </x:c>
      <x:c r="DL368" s="4" t="str">
        <x:f>IF('Calculations'!DE368="","",COUNTIFS('Calculations'!$BN$13:$BN$512,1,'Calculations'!$BU$13:$BU$512,'Calculations'!DE368,'Calculations'!$BT$13:$BT$512,1,'Calculations'!$EE$13:$EE$512,"Solid"))</x:f>
      </x:c>
      <x:c r="DM368" s="4" t="str">
        <x:f>IF('Calculations'!DE368="","",COUNTIFS('Calculations'!$BN$13:$BN$512,1,'Calculations'!$BU$13:$BU$512,'Calculations'!DE368,'Calculations'!$BT$13:$BT$512,1,'Calculations'!$EE$13:$EE$512,"Low"))</x:f>
      </x:c>
      <x:c r="DN368" s="4" t="str">
        <x:f>IF('Calculations'!DE368="","",COUNTIFS('Calculations'!$BN$13:$BN$512,1,'Calculations'!$BU$13:$BU$512,'Calculations'!DE368,'Calculations'!$EP$13:$EP$512,1))</x:f>
      </x:c>
      <x:c r="DO368" s="4" t="str">
        <x:f>IF(OR('Calculations'!DE368="",'Calculations'!DG368=0),"",('Calculations'!DJ368+'Calculations'!DK368)/'Calculations'!DG368)</x:f>
      </x:c>
      <x:c r="DP368" s="4" t="n">
        <x:f>IF(AND('Calculations'!DE368&lt;&gt;"",'Calculations'!DF368&gt;0),COUNTIF('Calculations'!$DF$12:DF368,"&gt;0"),0)</x:f>
        <x:v>0</x:v>
      </x:c>
      <x:c r="DQ368" s="4" t="str">
        <x:f>IF(357&gt;MAX('Calculations'!$HH$13:$HH$512),"",INDEX('Calculations'!$HF$13:$HF$512,MATCH(357,'Calculations'!$HH$13:$HH$512,0)))</x:f>
      </x:c>
      <x:c r="DR368" s="4" t="str">
        <x:f>IF(357&gt;MAX('Calculations'!$IK$13:$IK$512),"",INDEX('Calculations'!$HE$13:$HE$512,MATCH(357,'Calculations'!$IK$13:$IK$512,0)))</x:f>
      </x:c>
      <x:c r="DS368" s="4"/>
      <x:c r="DT368" s="4"/>
      <x:c r="DU368" s="4"/>
      <x:c r="DV368" s="4"/>
      <x:c r="DW368" s="4"/>
      <x:c r="DX368" s="4"/>
      <x:c r="DY368" s="4"/>
      <x:c r="DZ368" s="4"/>
      <x:c r="EA368" s="4"/>
      <x:c r="EB368" s="4"/>
      <x:c r="EC368" s="4"/>
      <x:c r="ED368" s="4"/>
      <x:c r="EE368" s="4" t="str">
        <x:f>IF('Calculations'!BT368=0,"Not Rated",IF(OR('Calculations'!BO368&gt;=4,'Calculations'!BP368&gt;=4),"Low",IF('Calculations'!BO368+'Calculations'!BP368&lt;=3,"High",IF('Calculations'!BO368+'Calculations'!BP368&lt;=4,"Strong","Solid"))))</x:f>
        <x:v>Not Rated</x:v>
      </x:c>
      <x:c r="EF368" s="4"/>
      <x:c r="EG368" s="4"/>
      <x:c r="EH368" s="4"/>
      <x:c r="EI368" s="4"/>
      <x:c r="EJ368" s="4"/>
      <x:c r="EK368" s="4"/>
      <x:c r="EL368" s="4"/>
      <x:c r="EM368" s="4" t="str">
        <x:f>IF(356&gt;'Calculations'!$JB$2000,"",INDEX('Calculations'!$JA$12:$JA$2000,MATCH(356,'Calculations'!$JB$12:$JB$2000,0)))</x:f>
      </x:c>
      <x:c r="EN368" s="4" t="n">
        <x:f>IF(OR('Calculations'!EM368="",'Calculations'!$AG$8&gt;0,AND('Calculations'!$EF$2&lt;&gt;"All",'Calculations'!HE368='Calculations'!$EF$2),AND('Calculations'!$EF$3&lt;&gt;"All",'Calculations'!HE368='Calculations'!$EF$3)),0,IF(OR('Dashboard'!$B$7="All",'Calculations'!HN368='Dashboard'!$B$7),IF('Calculations'!$EF$2="All",1,IF('Calculations'!HL368&gt;0,0,IF(COUNTIF('Calculations'!HO368:II368,"="&amp;SUBSTITUTE(SUBSTITUTE(SUBSTITUTE('Calculations'!$EF$2,"~","~~"),"*","~*"),"?","~?"))=0,0,IF('Calculations'!$EF$3="All",1,IF(COUNTIF('Calculations'!HO368:II368,"="&amp;SUBSTITUTE(SUBSTITUTE(SUBSTITUTE('Calculations'!$EF$3,"~","~~"),"*","~*"),"?","~?"))&gt;0,1,0))))),0))</x:f>
        <x:v>0</x:v>
      </x:c>
      <x:c r="EO368" s="4" t="str">
        <x:f>IF('Calculations'!IJ368="","",IF('Calculations'!IJ368="!UNRESOLVED","Unresolved hierarchy",IFERROR(INDEX('Calculations'!$HK$13:$HK$512,MATCH('Calculations'!IJ368,'Calculations'!$HE$13:$HE$512,0)),IFERROR(INDEX('Calculations'!$HJ$13:$HJ$512,MATCH('Calculations'!IJ368,'Calculations'!$HF$13:$HF$512,0)),'Calculations'!IJ368))))</x:f>
      </x:c>
      <x:c r="EP368" s="4" t="n">
        <x:f>IF(AND('Calculations'!EM368&lt;&gt;"",'Calculations'!HF368='Calculations'!IJ368),1,0)</x:f>
        <x:v>0</x:v>
      </x:c>
      <x:c r="EQ368" s="4"/>
      <x:c r="ER368" s="4"/>
      <x:c r="ES368" s="4"/>
      <x:c r="ET368" s="4"/>
      <x:c r="EU368" s="4"/>
      <x:c r="EV368" s="4"/>
      <x:c r="EW368" s="4"/>
      <x:c r="EX368" s="4"/>
      <x:c r="EY368" s="4"/>
      <x:c r="EZ368" s="4"/>
      <x:c r="FA368" s="4"/>
      <x:c r="FB368" s="4"/>
      <x:c r="FC368" s="4"/>
      <x:c r="FD368" s="4"/>
      <x:c r="FE368" s="4"/>
      <x:c r="FF368" s="4"/>
      <x:c r="FG368" s="4"/>
      <x:c r="FH368" s="4"/>
      <x:c r="FI368" s="4"/>
      <x:c r="FJ368" s="4"/>
      <x:c r="FK368" s="4"/>
      <x:c r="FL368" s="4"/>
      <x:c r="FM368" s="4"/>
      <x:c r="FN368" s="4"/>
      <x:c r="FO368" s="4"/>
      <x:c r="HE368" t="str">
        <x:f>IF('Calculations'!EM368="","",IF(IFERROR(IF(INDEX(INDIRECT("'WCM Calibration Final'!$A$1:$A$2000"),'Calculations'!$EM368)="","",TRIM(INDEX(INDIRECT("'WCM Calibration Final'!$A$1:$A$2000"),'Calculations'!$EM368)&amp;"")),"")&lt;&gt;"","G:"&amp;IFERROR(TEXT(1*INDEX(INDIRECT("'WCM Calibration Final'!$A$1:$A$2000"),'Calculations'!$EM368),"0"),UPPER(IFERROR(IF(INDEX(INDIRECT("'WCM Calibration Final'!$A$1:$A$2000"),'Calculations'!$EM368)="","",TRIM(INDEX(INDIRECT("'WCM Calibration Final'!$A$1:$A$2000"),'Calculations'!$EM368)&amp;"")),""))),IF(IFERROR(IF(INDEX(INDIRECT("'WCM Calibration Final'!$C$1:$C$2000"),'Calculations'!$EM368)="","",TRIM(INDEX(INDIRECT("'WCM Calibration Final'!$C$1:$C$2000"),'Calculations'!$EM368)&amp;"")),"")&lt;&gt;"","S:"&amp;UPPER(IFERROR(IF(INDEX(INDIRECT("'WCM Calibration Final'!$C$1:$C$2000"),'Calculations'!$EM368)="","",TRIM(INDEX(INDIRECT("'WCM Calibration Final'!$C$1:$C$2000"),'Calculations'!$EM368)&amp;"")),"")),"R:"&amp;'Calculations'!EM368)))</x:f>
      </x:c>
      <x:c r="HF368" t="str">
        <x:f>IF('Calculations'!EM368="","",IF(IFERROR(IF(INDEX(INDIRECT("'WCM Calibration Final'!$D$1:$D$2000"),'Calculations'!$EM368)="","",TRIM(INDEX(INDIRECT("'WCM Calibration Final'!$D$1:$D$2000"),'Calculations'!$EM368)&amp;"")),"")&lt;&gt;"","G:"&amp;IFERROR(TEXT(1*INDEX(INDIRECT("'WCM Calibration Final'!$D$1:$D$2000"),'Calculations'!$EM368),"0"),UPPER(IFERROR(IF(INDEX(INDIRECT("'WCM Calibration Final'!$D$1:$D$2000"),'Calculations'!$EM368)="","",TRIM(INDEX(INDIRECT("'WCM Calibration Final'!$D$1:$D$2000"),'Calculations'!$EM368)&amp;"")),""))),IF(IFERROR(IF(INDEX(INDIRECT("'WCM Calibration Final'!$E$1:$E$2000"),'Calculations'!$EM368)="","",TRIM(INDEX(INDIRECT("'WCM Calibration Final'!$E$1:$E$2000"),'Calculations'!$EM368)&amp;"")),"")="","",IF(COUNTIF('Calculations'!$HG$13:$HG$512,"="&amp;SUBSTITUTE(SUBSTITUTE(SUBSTITUTE(IFERROR(IF(INDEX(INDIRECT("'WCM Calibration Final'!$E$1:$E$2000"),'Calculations'!$EM368)="","",TRIM(INDEX(INDIRECT("'WCM Calibration Final'!$E$1:$E$2000"),'Calculations'!$EM368)&amp;"")),""),"~","~~"),"*","~*"),"?","~?"))=1,INDEX('Calculations'!$HE$13:$HE$512,MATCH(IFERROR(IF(INDEX(INDIRECT("'WCM Calibration Final'!$E$1:$E$2000"),'Calculations'!$EM368)="","",TRIM(INDEX(INDIRECT("'WCM Calibration Final'!$E$1:$E$2000"),'Calculations'!$EM368)&amp;"")),""),'Calculations'!$HG$13:$HG$512,0)),IF(COUNTIF('Calculations'!$HG$13:$HG$512,"="&amp;SUBSTITUTE(SUBSTITUTE(SUBSTITUTE(IFERROR(IF(INDEX(INDIRECT("'WCM Calibration Final'!$E$1:$E$2000"),'Calculations'!$EM368)="","",TRIM(INDEX(INDIRECT("'WCM Calibration Final'!$E$1:$E$2000"),'Calculations'!$EM368)&amp;"")),""),"~","~~"),"*","~*"),"?","~?"))&gt;1,"!AMBIG","X:"&amp;IFERROR(IF(INDEX(INDIRECT("'WCM Calibration Final'!$E$1:$E$2000"),'Calculations'!$EM368)="","",TRIM(INDEX(INDIRECT("'WCM Calibration Final'!$E$1:$E$2000"),'Calculations'!$EM368)&amp;"")),""))))))</x:f>
      </x:c>
      <x:c r="HG368" t="str">
        <x:f>IF('Calculations'!EM368="","",IFERROR(IF(INDEX(INDIRECT("'WCM Calibration Final'!$B$1:$B$2000"),'Calculations'!$EM368)="","",TRIM(INDEX(INDIRECT("'WCM Calibration Final'!$B$1:$B$2000"),'Calculations'!$EM368)&amp;"")),""))</x:f>
      </x:c>
      <x:c r="HH368" t="n">
        <x:f>IF(AND('Calculations'!JC368&gt;0,COUNTIF('Calculations'!$HF$12:HF368,"="&amp;SUBSTITUTE(SUBSTITUTE(SUBSTITUTE('Calculations'!HF368,"~","~~"),"*","~*"),"?","~?"))=1),MAX('Calculations'!$HH$12:HH367)+1,0)</x:f>
        <x:v>0</x:v>
      </x:c>
      <x:c r="HI368" t="n">
        <x:f>IF(AND('Calculations'!HN368&lt;&gt;"",COUNTIF('Calculations'!$HN$12:HN368,"="&amp;SUBSTITUTE(SUBSTITUTE(SUBSTITUTE('Calculations'!HN368,"~","~~"),"*","~*"),"?","~?"))=1),MAX('Calculations'!$HI$12:HI367)+1,0)</x:f>
        <x:v>0</x:v>
      </x:c>
      <x:c r="HJ368" t="str">
        <x:f>IF('Calculations'!HF368="","",IF(COUNTIF('Calculations'!$HE$13:$HE$512,"="&amp;SUBSTITUTE(SUBSTITUTE(SUBSTITUTE('Calculations'!HF368,"~","~~"),"*","~*"),"?","~?"))=1,INDEX('Calculations'!$HK$13:$HK$512,MATCH('Calculations'!HF368,'Calculations'!$HE$13:$HE$512,0)),IFERROR(IF(INDEX(INDIRECT("'WCM Calibration Final'!$E$1:$E$2000"),'Calculations'!$EM368)="","",TRIM(INDEX(INDIRECT("'WCM Calibration Final'!$E$1:$E$2000"),'Calculations'!$EM368)&amp;"")),"")&amp;" ["&amp;'Calculations'!HF368&amp;"]"))</x:f>
      </x:c>
      <x:c r="HK368" t="str">
        <x:f>IF('Calculations'!EM368="","",'Calculations'!HG368&amp;" ["&amp;'Calculations'!HE368&amp;"]")</x:f>
      </x:c>
      <x:c r="HL368" t="n">
        <x:f>IF('Calculations'!EM368="",0,IF(OR('Calculations'!II368&lt;&gt;"",COUNTIF('Calculations'!$HE$13:$HE$512,"="&amp;SUBSTITUTE(SUBSTITUTE(SUBSTITUTE('Calculations'!HE368,"~","~~"),"*","~*"),"?","~?"))&gt;1),1,0))</x:f>
        <x:v>0</x:v>
      </x:c>
      <x:c r="HM368" t="str">
        <x:f>IF('Calculations'!EM368="","",IF('Calculations'!HL368=1,"!UNRESOLVED",IF('Calculations'!IH368&lt;&gt;"",'Calculations'!IH368,IF('Calculations'!IG368&lt;&gt;"",'Calculations'!IG368,IF('Calculations'!IF368&lt;&gt;"",'Calculations'!IF368,IF('Calculations'!IE368&lt;&gt;"",'Calculations'!IE368,IF('Calculations'!ID368&lt;&gt;"",'Calculations'!ID368,IF('Calculations'!IC368&lt;&gt;"",'Calculations'!IC368,IF('Calculations'!IB368&lt;&gt;"",'Calculations'!IB368,IF('Calculations'!IA368&lt;&gt;"",'Calculations'!IA368,IF('Calculations'!HZ368&lt;&gt;"",'Calculations'!HZ368,IF('Calculations'!HY368&lt;&gt;"",'Calculations'!HY368,IF('Calculations'!HX368&lt;&gt;"",'Calculations'!HX368,IF('Calculations'!HW368&lt;&gt;"",'Calculations'!HW368,IF('Calculations'!HV368&lt;&gt;"",'Calculations'!HV368,IF('Calculations'!HU368&lt;&gt;"",'Calculations'!HU368,IF('Calculations'!HT368&lt;&gt;"",'Calculations'!HT368,IF('Calculations'!HS368&lt;&gt;"",'Calculations'!HS368,IF('Calculations'!HR368&lt;&gt;"",'Calculations'!HR368,IF('Calculations'!HQ368&lt;&gt;"",'Calculations'!HQ368,IF('Calculations'!HP368&lt;&gt;"",'Calculations'!HP368,IF('Calculations'!HO368&lt;&gt;"",'Calculations'!HO368,'Calculations'!HE368))))))))))))))))))))))</x:f>
      </x:c>
      <x:c r="HN368" t="str">
        <x:f>IF('Calculations'!EM368="","",IF(IFERROR(IF(INDEX(INDIRECT("'WCM Calibration Final'!$F$1:$F$2000"),'Calculations'!$EM368)="","",TRIM(INDEX(INDIRECT("'WCM Calibration Final'!$F$1:$F$2000"),'Calculations'!$EM368)&amp;"")),"")="","(Blank)",IFERROR(IF(INDEX(INDIRECT("'WCM Calibration Final'!$F$1:$F$2000"),'Calculations'!$EM368)="","",TRIM(INDEX(INDIRECT("'WCM Calibration Final'!$F$1:$F$2000"),'Calculations'!$EM368)&amp;"")),"")))</x:f>
      </x:c>
      <x:c r="HO368" t="str">
        <x:f>'Calculations'!HF368</x:f>
      </x:c>
      <x:c r="HP368" t="str">
        <x:f>IF('Calculations'!HO368="","",IF('Calculations'!HO368="!AMBIG","!AMBIG",IF(COUNTIF('Calculations'!$HE$13:$HE$512,"="&amp;SUBSTITUTE(SUBSTITUTE(SUBSTITUTE('Calculations'!HO368,"~","~~"),"*","~*"),"?","~?"))&gt;1,"!AMBIG",IFERROR(INDEX('Calculations'!$HF$13:$HF$512,MATCH('Calculations'!HO368,'Calculations'!$HE$13:$HE$512,0)),""))))</x:f>
      </x:c>
      <x:c r="HQ368" t="str">
        <x:f>IF('Calculations'!HP368="","",IF('Calculations'!HP368="!AMBIG","!AMBIG",IF(COUNTIF('Calculations'!$HE$13:$HE$512,"="&amp;SUBSTITUTE(SUBSTITUTE(SUBSTITUTE('Calculations'!HP368,"~","~~"),"*","~*"),"?","~?"))&gt;1,"!AMBIG",IFERROR(INDEX('Calculations'!$HF$13:$HF$512,MATCH('Calculations'!HP368,'Calculations'!$HE$13:$HE$512,0)),""))))</x:f>
      </x:c>
      <x:c r="HR368" t="str">
        <x:f>IF('Calculations'!HQ368="","",IF('Calculations'!HQ368="!AMBIG","!AMBIG",IF(COUNTIF('Calculations'!$HE$13:$HE$512,"="&amp;SUBSTITUTE(SUBSTITUTE(SUBSTITUTE('Calculations'!HQ368,"~","~~"),"*","~*"),"?","~?"))&gt;1,"!AMBIG",IFERROR(INDEX('Calculations'!$HF$13:$HF$512,MATCH('Calculations'!HQ368,'Calculations'!$HE$13:$HE$512,0)),""))))</x:f>
      </x:c>
      <x:c r="HS368" t="str">
        <x:f>IF('Calculations'!HR368="","",IF('Calculations'!HR368="!AMBIG","!AMBIG",IF(COUNTIF('Calculations'!$HE$13:$HE$512,"="&amp;SUBSTITUTE(SUBSTITUTE(SUBSTITUTE('Calculations'!HR368,"~","~~"),"*","~*"),"?","~?"))&gt;1,"!AMBIG",IFERROR(INDEX('Calculations'!$HF$13:$HF$512,MATCH('Calculations'!HR368,'Calculations'!$HE$13:$HE$512,0)),""))))</x:f>
      </x:c>
      <x:c r="HT368" t="str">
        <x:f>IF('Calculations'!HS368="","",IF('Calculations'!HS368="!AMBIG","!AMBIG",IF(COUNTIF('Calculations'!$HE$13:$HE$512,"="&amp;SUBSTITUTE(SUBSTITUTE(SUBSTITUTE('Calculations'!HS368,"~","~~"),"*","~*"),"?","~?"))&gt;1,"!AMBIG",IFERROR(INDEX('Calculations'!$HF$13:$HF$512,MATCH('Calculations'!HS368,'Calculations'!$HE$13:$HE$512,0)),""))))</x:f>
      </x:c>
      <x:c r="HU368" t="str">
        <x:f>IF('Calculations'!HT368="","",IF('Calculations'!HT368="!AMBIG","!AMBIG",IF(COUNTIF('Calculations'!$HE$13:$HE$512,"="&amp;SUBSTITUTE(SUBSTITUTE(SUBSTITUTE('Calculations'!HT368,"~","~~"),"*","~*"),"?","~?"))&gt;1,"!AMBIG",IFERROR(INDEX('Calculations'!$HF$13:$HF$512,MATCH('Calculations'!HT368,'Calculations'!$HE$13:$HE$512,0)),""))))</x:f>
      </x:c>
      <x:c r="HV368" t="str">
        <x:f>IF('Calculations'!HU368="","",IF('Calculations'!HU368="!AMBIG","!AMBIG",IF(COUNTIF('Calculations'!$HE$13:$HE$512,"="&amp;SUBSTITUTE(SUBSTITUTE(SUBSTITUTE('Calculations'!HU368,"~","~~"),"*","~*"),"?","~?"))&gt;1,"!AMBIG",IFERROR(INDEX('Calculations'!$HF$13:$HF$512,MATCH('Calculations'!HU368,'Calculations'!$HE$13:$HE$512,0)),""))))</x:f>
      </x:c>
      <x:c r="HW368" t="str">
        <x:f>IF('Calculations'!HV368="","",IF('Calculations'!HV368="!AMBIG","!AMBIG",IF(COUNTIF('Calculations'!$HE$13:$HE$512,"="&amp;SUBSTITUTE(SUBSTITUTE(SUBSTITUTE('Calculations'!HV368,"~","~~"),"*","~*"),"?","~?"))&gt;1,"!AMBIG",IFERROR(INDEX('Calculations'!$HF$13:$HF$512,MATCH('Calculations'!HV368,'Calculations'!$HE$13:$HE$512,0)),""))))</x:f>
      </x:c>
      <x:c r="HX368" t="str">
        <x:f>IF('Calculations'!HW368="","",IF('Calculations'!HW368="!AMBIG","!AMBIG",IF(COUNTIF('Calculations'!$HE$13:$HE$512,"="&amp;SUBSTITUTE(SUBSTITUTE(SUBSTITUTE('Calculations'!HW368,"~","~~"),"*","~*"),"?","~?"))&gt;1,"!AMBIG",IFERROR(INDEX('Calculations'!$HF$13:$HF$512,MATCH('Calculations'!HW368,'Calculations'!$HE$13:$HE$512,0)),""))))</x:f>
      </x:c>
      <x:c r="HY368" t="str">
        <x:f>IF('Calculations'!HX368="","",IF('Calculations'!HX368="!AMBIG","!AMBIG",IF(COUNTIF('Calculations'!$HE$13:$HE$512,"="&amp;SUBSTITUTE(SUBSTITUTE(SUBSTITUTE('Calculations'!HX368,"~","~~"),"*","~*"),"?","~?"))&gt;1,"!AMBIG",IFERROR(INDEX('Calculations'!$HF$13:$HF$512,MATCH('Calculations'!HX368,'Calculations'!$HE$13:$HE$512,0)),""))))</x:f>
      </x:c>
      <x:c r="HZ368" t="str">
        <x:f>IF('Calculations'!HY368="","",IF('Calculations'!HY368="!AMBIG","!AMBIG",IF(COUNTIF('Calculations'!$HE$13:$HE$512,"="&amp;SUBSTITUTE(SUBSTITUTE(SUBSTITUTE('Calculations'!HY368,"~","~~"),"*","~*"),"?","~?"))&gt;1,"!AMBIG",IFERROR(INDEX('Calculations'!$HF$13:$HF$512,MATCH('Calculations'!HY368,'Calculations'!$HE$13:$HE$512,0)),""))))</x:f>
      </x:c>
      <x:c r="IA368" t="str">
        <x:f>IF('Calculations'!HZ368="","",IF('Calculations'!HZ368="!AMBIG","!AMBIG",IF(COUNTIF('Calculations'!$HE$13:$HE$512,"="&amp;SUBSTITUTE(SUBSTITUTE(SUBSTITUTE('Calculations'!HZ368,"~","~~"),"*","~*"),"?","~?"))&gt;1,"!AMBIG",IFERROR(INDEX('Calculations'!$HF$13:$HF$512,MATCH('Calculations'!HZ368,'Calculations'!$HE$13:$HE$512,0)),""))))</x:f>
      </x:c>
      <x:c r="IB368" t="str">
        <x:f>IF('Calculations'!IA368="","",IF('Calculations'!IA368="!AMBIG","!AMBIG",IF(COUNTIF('Calculations'!$HE$13:$HE$512,"="&amp;SUBSTITUTE(SUBSTITUTE(SUBSTITUTE('Calculations'!IA368,"~","~~"),"*","~*"),"?","~?"))&gt;1,"!AMBIG",IFERROR(INDEX('Calculations'!$HF$13:$HF$512,MATCH('Calculations'!IA368,'Calculations'!$HE$13:$HE$512,0)),""))))</x:f>
      </x:c>
      <x:c r="IC368" t="str">
        <x:f>IF('Calculations'!IB368="","",IF('Calculations'!IB368="!AMBIG","!AMBIG",IF(COUNTIF('Calculations'!$HE$13:$HE$512,"="&amp;SUBSTITUTE(SUBSTITUTE(SUBSTITUTE('Calculations'!IB368,"~","~~"),"*","~*"),"?","~?"))&gt;1,"!AMBIG",IFERROR(INDEX('Calculations'!$HF$13:$HF$512,MATCH('Calculations'!IB368,'Calculations'!$HE$13:$HE$512,0)),""))))</x:f>
      </x:c>
      <x:c r="ID368" t="str">
        <x:f>IF('Calculations'!IC368="","",IF('Calculations'!IC368="!AMBIG","!AMBIG",IF(COUNTIF('Calculations'!$HE$13:$HE$512,"="&amp;SUBSTITUTE(SUBSTITUTE(SUBSTITUTE('Calculations'!IC368,"~","~~"),"*","~*"),"?","~?"))&gt;1,"!AMBIG",IFERROR(INDEX('Calculations'!$HF$13:$HF$512,MATCH('Calculations'!IC368,'Calculations'!$HE$13:$HE$512,0)),""))))</x:f>
      </x:c>
      <x:c r="IE368" t="str">
        <x:f>IF('Calculations'!ID368="","",IF('Calculations'!ID368="!AMBIG","!AMBIG",IF(COUNTIF('Calculations'!$HE$13:$HE$512,"="&amp;SUBSTITUTE(SUBSTITUTE(SUBSTITUTE('Calculations'!ID368,"~","~~"),"*","~*"),"?","~?"))&gt;1,"!AMBIG",IFERROR(INDEX('Calculations'!$HF$13:$HF$512,MATCH('Calculations'!ID368,'Calculations'!$HE$13:$HE$512,0)),""))))</x:f>
      </x:c>
      <x:c r="IF368" t="str">
        <x:f>IF('Calculations'!IE368="","",IF('Calculations'!IE368="!AMBIG","!AMBIG",IF(COUNTIF('Calculations'!$HE$13:$HE$512,"="&amp;SUBSTITUTE(SUBSTITUTE(SUBSTITUTE('Calculations'!IE368,"~","~~"),"*","~*"),"?","~?"))&gt;1,"!AMBIG",IFERROR(INDEX('Calculations'!$HF$13:$HF$512,MATCH('Calculations'!IE368,'Calculations'!$HE$13:$HE$512,0)),""))))</x:f>
      </x:c>
      <x:c r="IG368" t="str">
        <x:f>IF('Calculations'!IF368="","",IF('Calculations'!IF368="!AMBIG","!AMBIG",IF(COUNTIF('Calculations'!$HE$13:$HE$512,"="&amp;SUBSTITUTE(SUBSTITUTE(SUBSTITUTE('Calculations'!IF368,"~","~~"),"*","~*"),"?","~?"))&gt;1,"!AMBIG",IFERROR(INDEX('Calculations'!$HF$13:$HF$512,MATCH('Calculations'!IF368,'Calculations'!$HE$13:$HE$512,0)),""))))</x:f>
      </x:c>
      <x:c r="IH368" t="str">
        <x:f>IF('Calculations'!IG368="","",IF('Calculations'!IG368="!AMBIG","!AMBIG",IF(COUNTIF('Calculations'!$HE$13:$HE$512,"="&amp;SUBSTITUTE(SUBSTITUTE(SUBSTITUTE('Calculations'!IG368,"~","~~"),"*","~*"),"?","~?"))&gt;1,"!AMBIG",IFERROR(INDEX('Calculations'!$HF$13:$HF$512,MATCH('Calculations'!IG368,'Calculations'!$HE$13:$HE$512,0)),""))))</x:f>
      </x:c>
      <x:c r="II368" t="str">
        <x:f>IF('Calculations'!IH368="","",IF('Calculations'!IH368="!AMBIG","!AMBIG",IF(COUNTIF('Calculations'!$HE$13:$HE$512,"="&amp;SUBSTITUTE(SUBSTITUTE(SUBSTITUTE('Calculations'!IH368,"~","~~"),"*","~*"),"?","~?"))&gt;1,"!AMBIG",IFERROR(INDEX('Calculations'!$HF$13:$HF$512,MATCH('Calculations'!IH368,'Calculations'!$HE$13:$HE$512,0)),""))))</x:f>
      </x:c>
      <x:c r="IJ368" t="str">
        <x:f>IF('Calculations'!EM368="","",IF('Calculations'!$EF$2="All",'Calculations'!HM368,IF('Calculations'!HL368=1,"",IFERROR(IF(MATCH('Calculations'!$EF$2,'Calculations'!HO368:II368,0)=1,'Calculations'!HE368,INDEX('Calculations'!HO368:II368,1,MATCH('Calculations'!$EF$2,'Calculations'!HO368:II368,0)-1)),""))))</x:f>
      </x:c>
      <x:c r="IK368" t="n">
        <x:f>IF(AND('Calculations'!EM368&lt;&gt;"",'Calculations'!$EF$2&lt;&gt;"All",'Calculations'!HF368='Calculations'!$EF$2,'Calculations'!HL368=0,'Calculations'!JD368&gt;0),MAX('Calculations'!$IK$12:IK367)+1,0)</x:f>
        <x:v>0</x:v>
      </x:c>
      <x:c r="JA368" t="n">
        <x:f>IF(OR(IFERROR(INDIRECT("'WCM Calibration Final'!$A$368")&lt;&gt;"",FALSE),IFERROR(INDIRECT("'WCM Calibration Final'!$B$368")&lt;&gt;"",FALSE),IFERROR(INDIRECT("'WCM Calibration Final'!$C$368")&lt;&gt;"",FALSE)),368,0)</x:f>
        <x:v>0</x:v>
      </x:c>
      <x:c r="JB368" t="n">
        <x:f>'Calculations'!JB367+IF('Calculations'!JA368&gt;0,1,0)</x:f>
        <x:v>0</x:v>
      </x:c>
      <x:c r="JC368" t="n">
        <x:f>IF(OR('Calculations'!HF368="",'Calculations'!HF368="!AMBIG"),0,IF('Dashboard'!$B$7="All",1,COUNTIFS('Calculations'!$HO$13:$HO$512,"="&amp;SUBSTITUTE(SUBSTITUTE(SUBSTITUTE('Calculations'!HF368,"~","~~"),"*","~*"),"?","~?"),'Calculations'!$HN$13:$HN$512,"="&amp;SUBSTITUTE(SUBSTITUTE(SUBSTITUTE('Dashboard'!$B$7,"~","~~"),"*","~*"),"?","~?"))+COUNTIFS('Calculations'!$HP$13:$HP$512,"="&amp;SUBSTITUTE(SUBSTITUTE(SUBSTITUTE('Calculations'!HF368,"~","~~"),"*","~*"),"?","~?"),'Calculations'!$HN$13:$HN$512,"="&amp;SUBSTITUTE(SUBSTITUTE(SUBSTITUTE('Dashboard'!$B$7,"~","~~"),"*","~*"),"?","~?"))+COUNTIFS('Calculations'!$HQ$13:$HQ$512,"="&amp;SUBSTITUTE(SUBSTITUTE(SUBSTITUTE('Calculations'!HF368,"~","~~"),"*","~*"),"?","~?"),'Calculations'!$HN$13:$HN$512,"="&amp;SUBSTITUTE(SUBSTITUTE(SUBSTITUTE('Dashboard'!$B$7,"~","~~"),"*","~*"),"?","~?"))+COUNTIFS('Calculations'!$HR$13:$HR$512,"="&amp;SUBSTITUTE(SUBSTITUTE(SUBSTITUTE('Calculations'!HF368,"~","~~"),"*","~*"),"?","~?"),'Calculations'!$HN$13:$HN$512,"="&amp;SUBSTITUTE(SUBSTITUTE(SUBSTITUTE('Dashboard'!$B$7,"~","~~"),"*","~*"),"?","~?"))+COUNTIFS('Calculations'!$HS$13:$HS$512,"="&amp;SUBSTITUTE(SUBSTITUTE(SUBSTITUTE('Calculations'!HF368,"~","~~"),"*","~*"),"?","~?"),'Calculations'!$HN$13:$HN$512,"="&amp;SUBSTITUTE(SUBSTITUTE(SUBSTITUTE('Dashboard'!$B$7,"~","~~"),"*","~*"),"?","~?"))+COUNTIFS('Calculations'!$HT$13:$HT$512,"="&amp;SUBSTITUTE(SUBSTITUTE(SUBSTITUTE('Calculations'!HF368,"~","~~"),"*","~*"),"?","~?"),'Calculations'!$HN$13:$HN$512,"="&amp;SUBSTITUTE(SUBSTITUTE(SUBSTITUTE('Dashboard'!$B$7,"~","~~"),"*","~*"),"?","~?"))+COUNTIFS('Calculations'!$HU$13:$HU$512,"="&amp;SUBSTITUTE(SUBSTITUTE(SUBSTITUTE('Calculations'!HF368,"~","~~"),"*","~*"),"?","~?"),'Calculations'!$HN$13:$HN$512,"="&amp;SUBSTITUTE(SUBSTITUTE(SUBSTITUTE('Dashboard'!$B$7,"~","~~"),"*","~*"),"?","~?"))+COUNTIFS('Calculations'!$HV$13:$HV$512,"="&amp;SUBSTITUTE(SUBSTITUTE(SUBSTITUTE('Calculations'!HF368,"~","~~"),"*","~*"),"?","~?"),'Calculations'!$HN$13:$HN$512,"="&amp;SUBSTITUTE(SUBSTITUTE(SUBSTITUTE('Dashboard'!$B$7,"~","~~"),"*","~*"),"?","~?"))+COUNTIFS('Calculations'!$HW$13:$HW$512,"="&amp;SUBSTITUTE(SUBSTITUTE(SUBSTITUTE('Calculations'!HF368,"~","~~"),"*","~*"),"?","~?"),'Calculations'!$HN$13:$HN$512,"="&amp;SUBSTITUTE(SUBSTITUTE(SUBSTITUTE('Dashboard'!$B$7,"~","~~"),"*","~*"),"?","~?"))+COUNTIFS('Calculations'!$HX$13:$HX$512,"="&amp;SUBSTITUTE(SUBSTITUTE(SUBSTITUTE('Calculations'!HF368,"~","~~"),"*","~*"),"?","~?"),'Calculations'!$HN$13:$HN$512,"="&amp;SUBSTITUTE(SUBSTITUTE(SUBSTITUTE('Dashboard'!$B$7,"~","~~"),"*","~*"),"?","~?"))+COUNTIFS('Calculations'!$HY$13:$HY$512,"="&amp;SUBSTITUTE(SUBSTITUTE(SUBSTITUTE('Calculations'!HF368,"~","~~"),"*","~*"),"?","~?"),'Calculations'!$HN$13:$HN$512,"="&amp;SUBSTITUTE(SUBSTITUTE(SUBSTITUTE('Dashboard'!$B$7,"~","~~"),"*","~*"),"?","~?"))+COUNTIFS('Calculations'!$HZ$13:$HZ$512,"="&amp;SUBSTITUTE(SUBSTITUTE(SUBSTITUTE('Calculations'!HF368,"~","~~"),"*","~*"),"?","~?"),'Calculations'!$HN$13:$HN$512,"="&amp;SUBSTITUTE(SUBSTITUTE(SUBSTITUTE('Dashboard'!$B$7,"~","~~"),"*","~*"),"?","~?"))+COUNTIFS('Calculations'!$IA$13:$IA$512,"="&amp;SUBSTITUTE(SUBSTITUTE(SUBSTITUTE('Calculations'!HF368,"~","~~"),"*","~*"),"?","~?"),'Calculations'!$HN$13:$HN$512,"="&amp;SUBSTITUTE(SUBSTITUTE(SUBSTITUTE('Dashboard'!$B$7,"~","~~"),"*","~*"),"?","~?"))+COUNTIFS('Calculations'!$IB$13:$IB$512,"="&amp;SUBSTITUTE(SUBSTITUTE(SUBSTITUTE('Calculations'!HF368,"~","~~"),"*","~*"),"?","~?"),'Calculations'!$HN$13:$HN$512,"="&amp;SUBSTITUTE(SUBSTITUTE(SUBSTITUTE('Dashboard'!$B$7,"~","~~"),"*","~*"),"?","~?"))+COUNTIFS('Calculations'!$IC$13:$IC$512,"="&amp;SUBSTITUTE(SUBSTITUTE(SUBSTITUTE('Calculations'!HF368,"~","~~"),"*","~*"),"?","~?"),'Calculations'!$HN$13:$HN$512,"="&amp;SUBSTITUTE(SUBSTITUTE(SUBSTITUTE('Dashboard'!$B$7,"~","~~"),"*","~*"),"?","~?"))+COUNTIFS('Calculations'!$ID$13:$ID$512,"="&amp;SUBSTITUTE(SUBSTITUTE(SUBSTITUTE('Calculations'!HF368,"~","~~"),"*","~*"),"?","~?"),'Calculations'!$HN$13:$HN$512,"="&amp;SUBSTITUTE(SUBSTITUTE(SUBSTITUTE('Dashboard'!$B$7,"~","~~"),"*","~*"),"?","~?"))+COUNTIFS('Calculations'!$IE$13:$IE$512,"="&amp;SUBSTITUTE(SUBSTITUTE(SUBSTITUTE('Calculations'!HF368,"~","~~"),"*","~*"),"?","~?"),'Calculations'!$HN$13:$HN$512,"="&amp;SUBSTITUTE(SUBSTITUTE(SUBSTITUTE('Dashboard'!$B$7,"~","~~"),"*","~*"),"?","~?"))+COUNTIFS('Calculations'!$IF$13:$IF$512,"="&amp;SUBSTITUTE(SUBSTITUTE(SUBSTITUTE('Calculations'!HF368,"~","~~"),"*","~*"),"?","~?"),'Calculations'!$HN$13:$HN$512,"="&amp;SUBSTITUTE(SUBSTITUTE(SUBSTITUTE('Dashboard'!$B$7,"~","~~"),"*","~*"),"?","~?"))+COUNTIFS('Calculations'!$IG$13:$IG$512,"="&amp;SUBSTITUTE(SUBSTITUTE(SUBSTITUTE('Calculations'!HF368,"~","~~"),"*","~*"),"?","~?"),'Calculations'!$HN$13:$HN$512,"="&amp;SUBSTITUTE(SUBSTITUTE(SUBSTITUTE('Dashboard'!$B$7,"~","~~"),"*","~*"),"?","~?"))+COUNTIFS('Calculations'!$IH$13:$IH$512,"="&amp;SUBSTITUTE(SUBSTITUTE(SUBSTITUTE('Calculations'!HF368,"~","~~"),"*","~*"),"?","~?"),'Calculations'!$HN$13:$HN$512,"="&amp;SUBSTITUTE(SUBSTITUTE(SUBSTITUTE('Dashboard'!$B$7,"~","~~"),"*","~*"),"?","~?"))))</x:f>
        <x:v>0</x:v>
      </x:c>
      <x:c r="JD368" t="n">
        <x:f>IF('Calculations'!EM368="",0,IF('Dashboard'!$B$7="All",1,IF('Calculations'!HN368='Dashboard'!$B$7,1,0)+IFERROR(INDEX('Calculations'!$JC$13:$JC$512,MATCH('Calculations'!HE368,'Calculations'!$HF$13:$HF$512,0)),0)))</x:f>
        <x:v>0</x:v>
      </x:c>
      <x:c r="JE368" t="n">
        <x:f>IF(AND('Calculations'!EM368&lt;&gt;"",'Calculations'!$JJ$2&lt;&gt;"All",'Calculations'!$JJ$2&lt;&gt;"",'Calculations'!HF368='Calculations'!$JJ$2,'Calculations'!HL368=0,'Calculations'!JD368&gt;0),MAX('Calculations'!$JE$12:JE367)+1,0)</x:f>
        <x:v>0</x:v>
      </x:c>
      <x:c r="JF368" t="str">
        <x:f>IF('Calculations'!EM368="","",IFERROR(IF(INDEX(INDIRECT("'WCM Calibration Final'!$G$1:$G$2000"),'Calculations'!$EM368)="","",TRIM(INDEX(INDIRECT("'WCM Calibration Final'!$G$1:$G$2000"),'Calculations'!$EM368)&amp;"")),""))</x:f>
      </x:c>
      <x:c r="JQ368" t="n">
        <x:f>IF(OR('Calculations'!BM368=0,NOT('Calculations'!$AG$2),'Calculations'!$AG$8&gt;0),0,IF(OR('Dashboard'!$B$7="All",'Calculations'!HN368='Dashboard'!$B$7),IF('Calculations'!$JJ$2="All",1,IF(AND('Calculations'!HF368='Calculations'!$JJ$2,'Calculations'!HL368=0),1,0)),0))</x:f>
        <x:v>0</x:v>
      </x:c>
    </x:row>
    <x:row r="369">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t="n">
        <x:f>IF('Calculations'!$EM369="",0,IF(OR(IFERROR(INDEX(INDIRECT("'WCM Calibration Final'!$A$1:$A$2000"),'Calculations'!$EM369)&lt;&gt;"",FALSE),IFERROR(INDEX(INDIRECT("'WCM Calibration Final'!$B$1:$B$2000"),'Calculations'!$EM369)&lt;&gt;"",FALSE),IFERROR(INDEX(INDIRECT("'WCM Calibration Final'!$C$1:$C$2000"),'Calculations'!$EM369)&lt;&gt;"",FALSE)),1,0))</x:f>
        <x:v>0</x:v>
      </x:c>
      <x:c r="BN369" s="4" t="n">
        <x:f>IF(AND('Calculations'!BM369=1,'Calculations'!$AG$2,'Calculations'!$EN369=1),1,0)</x:f>
        <x:v>0</x:v>
      </x:c>
      <x:c r="BO369" s="4" t="str">
        <x:f>IF('Calculations'!BM369=0,"",IFERROR(IF(AND(VALUE(INDEX(INDIRECT("'WCM Calibration Final'!$K$1:$K$2000"),'Calculations'!$EM369))&gt;=1,VALUE(INDEX(INDIRECT("'WCM Calibration Final'!$K$1:$K$2000"),'Calculations'!$EM369))&lt;=4,MOD(VALUE(INDEX(INDIRECT("'WCM Calibration Final'!$K$1:$K$2000"),'Calculations'!$EM369)),1)=0),VALUE(INDEX(INDIRECT("'WCM Calibration Final'!$K$1:$K$2000"),'Calculations'!$EM369)),""),""))</x:f>
      </x:c>
      <x:c r="BP369" s="4" t="str">
        <x:f>IF('Calculations'!BM369=0,"",IFERROR(IF(AND(VALUE(INDEX(INDIRECT("'WCM Calibration Final'!$L$1:$L$2000"),'Calculations'!$EM369))&gt;=1,VALUE(INDEX(INDIRECT("'WCM Calibration Final'!$L$1:$L$2000"),'Calculations'!$EM369))&lt;=4,MOD(VALUE(INDEX(INDIRECT("'WCM Calibration Final'!$L$1:$L$2000"),'Calculations'!$EM369)),1)=0),VALUE(INDEX(INDIRECT("'WCM Calibration Final'!$L$1:$L$2000"),'Calculations'!$EM369)),""),""))</x:f>
      </x:c>
      <x:c r="BQ369" s="4"/>
      <x:c r="BR369" s="4"/>
      <x:c r="BS369" s="4"/>
      <x:c r="BT369" s="4" t="n">
        <x:f>IF(AND('Calculations'!BM369=1,ISNUMBER('Calculations'!BO369),ISNUMBER('Calculations'!BP369)),1,0)</x:f>
        <x:v>0</x:v>
      </x:c>
      <x:c r="BU369" s="4" t="str">
        <x:f>IF('Calculations'!BM369=0,"",'Calculations'!$EO369)</x:f>
      </x:c>
      <x:c r="BV369" s="4" t="str">
        <x:f>IF('Calculations'!BM369=0,"",IFERROR(IF(OR(INDEX(INDIRECT("'WCM Calibration Final'!$H$1:$H$2000"),'Calculations'!$EM369)="MANAGING DIRECTOR",INDEX(INDIRECT("'WCM Calibration Final'!$H$1:$H$2000"),'Calculations'!$EM369)="DIRECTOR",INDEX(INDIRECT("'WCM Calibration Final'!$H$1:$H$2000"),'Calculations'!$EM369)="SENIOR VICE PRESIDENT",INDEX(INDIRECT("'WCM Calibration Final'!$H$1:$H$2000"),'Calculations'!$EM369)="VICE PRESIDENT",INDEX(INDIRECT("'WCM Calibration Final'!$H$1:$H$2000"),'Calculations'!$EM369)="ASSISTANT VICE PRESIDENT",INDEX(INDIRECT("'WCM Calibration Final'!$H$1:$H$2000"),'Calculations'!$EM369)="OFFICER"),UPPER(INDEX(INDIRECT("'WCM Calibration Final'!$H$1:$H$2000"),'Calculations'!$EM369)),"Other"),"Other"))</x:f>
      </x:c>
      <x:c r="BW369" s="4"/>
      <x:c r="BX369" s="4"/>
      <x:c r="BY369" s="4" t="n">
        <x:f>IF(AND('Calculations'!BM369=1,'Calculations'!BU369&lt;&gt;"",COUNTIF('Calculations'!$BU$12:BU369,'Calculations'!BU369)=1),MAX('Calculations'!$BY$11:BY368)+1,0)</x:f>
        <x:v>0</x:v>
      </x:c>
      <x:c r="BZ369" s="4" t="str">
        <x:f>IF('Dashboard'!$E$67="What",'Calculations'!BO369,'Calculations'!BP369)</x:f>
      </x:c>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t="str">
        <x:f>IF(358&gt;MAX('Calculations'!$HI$13:$HI$512),"",INDEX('Calculations'!$HN$13:$HN$512,MATCH(358,'Calculations'!$HI$13:$HI$512,0)))</x:f>
      </x:c>
      <x:c r="DB369" s="4" t="str">
        <x:f>IF(358&gt;MAX('Calculations'!$HH$13:$HH$512),"",INDEX('Calculations'!$HJ$13:$HJ$512,MATCH(358,'Calculations'!$HH$13:$HH$512,0)))</x:f>
      </x:c>
      <x:c r="DC369" s="4" t="str">
        <x:f>IF(ROW()-11&gt;MAX('Calculations'!$BY$13:$BY$512),"",INDEX('Calculations'!$BU$13:$BU$512,MATCH(ROW()-11,'Calculations'!$BY$13:$BY$512,0)))</x:f>
      </x:c>
      <x:c r="DD369" s="4" t="str">
        <x:f>IF(358&gt;MAX('Calculations'!$IK$13:$IK$512),"",INDEX('Calculations'!$HK$13:$HK$512,MATCH(358,'Calculations'!$IK$13:$IK$512,0)))</x:f>
      </x:c>
      <x:c r="DE369" s="4" t="str">
        <x:f>'Calculations'!DC369</x:f>
      </x:c>
      <x:c r="DF369" s="4" t="str">
        <x:f>IF('Calculations'!DE369="","",COUNTIFS('Calculations'!$BN$13:$BN$512,1,'Calculations'!$BU$13:$BU$512,'Calculations'!DE369))</x:f>
      </x:c>
      <x:c r="DG369" s="4" t="str">
        <x:f>IF('Calculations'!DE369="","",COUNTIFS('Calculations'!$BN$13:$BN$512,1,'Calculations'!$BU$13:$BU$512,'Calculations'!DE369,'Calculations'!$BT$13:$BT$512,1))</x:f>
      </x:c>
      <x:c r="DH369" s="4" t="str">
        <x:f>IF('Calculations'!DE369="","",'Calculations'!DF369-'Calculations'!DG369)</x:f>
      </x:c>
      <x:c r="DI369" s="4" t="str">
        <x:f>IF(OR('Calculations'!DE369="",'Calculations'!DF369=0),"",'Calculations'!DG369/'Calculations'!DF369)</x:f>
      </x:c>
      <x:c r="DJ369" s="4" t="str">
        <x:f>IF('Calculations'!DE369="","",COUNTIFS('Calculations'!$BN$13:$BN$512,1,'Calculations'!$BU$13:$BU$512,'Calculations'!DE369,'Calculations'!$BT$13:$BT$512,1,'Calculations'!$EE$13:$EE$512,"High"))</x:f>
      </x:c>
      <x:c r="DK369" s="4" t="str">
        <x:f>IF('Calculations'!DE369="","",COUNTIFS('Calculations'!$BN$13:$BN$512,1,'Calculations'!$BU$13:$BU$512,'Calculations'!DE369,'Calculations'!$BT$13:$BT$512,1,'Calculations'!$EE$13:$EE$512,"Strong"))</x:f>
      </x:c>
      <x:c r="DL369" s="4" t="str">
        <x:f>IF('Calculations'!DE369="","",COUNTIFS('Calculations'!$BN$13:$BN$512,1,'Calculations'!$BU$13:$BU$512,'Calculations'!DE369,'Calculations'!$BT$13:$BT$512,1,'Calculations'!$EE$13:$EE$512,"Solid"))</x:f>
      </x:c>
      <x:c r="DM369" s="4" t="str">
        <x:f>IF('Calculations'!DE369="","",COUNTIFS('Calculations'!$BN$13:$BN$512,1,'Calculations'!$BU$13:$BU$512,'Calculations'!DE369,'Calculations'!$BT$13:$BT$512,1,'Calculations'!$EE$13:$EE$512,"Low"))</x:f>
      </x:c>
      <x:c r="DN369" s="4" t="str">
        <x:f>IF('Calculations'!DE369="","",COUNTIFS('Calculations'!$BN$13:$BN$512,1,'Calculations'!$BU$13:$BU$512,'Calculations'!DE369,'Calculations'!$EP$13:$EP$512,1))</x:f>
      </x:c>
      <x:c r="DO369" s="4" t="str">
        <x:f>IF(OR('Calculations'!DE369="",'Calculations'!DG369=0),"",('Calculations'!DJ369+'Calculations'!DK369)/'Calculations'!DG369)</x:f>
      </x:c>
      <x:c r="DP369" s="4" t="n">
        <x:f>IF(AND('Calculations'!DE369&lt;&gt;"",'Calculations'!DF369&gt;0),COUNTIF('Calculations'!$DF$12:DF369,"&gt;0"),0)</x:f>
        <x:v>0</x:v>
      </x:c>
      <x:c r="DQ369" s="4" t="str">
        <x:f>IF(358&gt;MAX('Calculations'!$HH$13:$HH$512),"",INDEX('Calculations'!$HF$13:$HF$512,MATCH(358,'Calculations'!$HH$13:$HH$512,0)))</x:f>
      </x:c>
      <x:c r="DR369" s="4" t="str">
        <x:f>IF(358&gt;MAX('Calculations'!$IK$13:$IK$512),"",INDEX('Calculations'!$HE$13:$HE$512,MATCH(358,'Calculations'!$IK$13:$IK$512,0)))</x:f>
      </x:c>
      <x:c r="DS369" s="4"/>
      <x:c r="DT369" s="4"/>
      <x:c r="DU369" s="4"/>
      <x:c r="DV369" s="4"/>
      <x:c r="DW369" s="4"/>
      <x:c r="DX369" s="4"/>
      <x:c r="DY369" s="4"/>
      <x:c r="DZ369" s="4"/>
      <x:c r="EA369" s="4"/>
      <x:c r="EB369" s="4"/>
      <x:c r="EC369" s="4"/>
      <x:c r="ED369" s="4"/>
      <x:c r="EE369" s="4" t="str">
        <x:f>IF('Calculations'!BT369=0,"Not Rated",IF(OR('Calculations'!BO369&gt;=4,'Calculations'!BP369&gt;=4),"Low",IF('Calculations'!BO369+'Calculations'!BP369&lt;=3,"High",IF('Calculations'!BO369+'Calculations'!BP369&lt;=4,"Strong","Solid"))))</x:f>
        <x:v>Not Rated</x:v>
      </x:c>
      <x:c r="EF369" s="4"/>
      <x:c r="EG369" s="4"/>
      <x:c r="EH369" s="4"/>
      <x:c r="EI369" s="4"/>
      <x:c r="EJ369" s="4"/>
      <x:c r="EK369" s="4"/>
      <x:c r="EL369" s="4"/>
      <x:c r="EM369" s="4" t="str">
        <x:f>IF(357&gt;'Calculations'!$JB$2000,"",INDEX('Calculations'!$JA$12:$JA$2000,MATCH(357,'Calculations'!$JB$12:$JB$2000,0)))</x:f>
      </x:c>
      <x:c r="EN369" s="4" t="n">
        <x:f>IF(OR('Calculations'!EM369="",'Calculations'!$AG$8&gt;0,AND('Calculations'!$EF$2&lt;&gt;"All",'Calculations'!HE369='Calculations'!$EF$2),AND('Calculations'!$EF$3&lt;&gt;"All",'Calculations'!HE369='Calculations'!$EF$3)),0,IF(OR('Dashboard'!$B$7="All",'Calculations'!HN369='Dashboard'!$B$7),IF('Calculations'!$EF$2="All",1,IF('Calculations'!HL369&gt;0,0,IF(COUNTIF('Calculations'!HO369:II369,"="&amp;SUBSTITUTE(SUBSTITUTE(SUBSTITUTE('Calculations'!$EF$2,"~","~~"),"*","~*"),"?","~?"))=0,0,IF('Calculations'!$EF$3="All",1,IF(COUNTIF('Calculations'!HO369:II369,"="&amp;SUBSTITUTE(SUBSTITUTE(SUBSTITUTE('Calculations'!$EF$3,"~","~~"),"*","~*"),"?","~?"))&gt;0,1,0))))),0))</x:f>
        <x:v>0</x:v>
      </x:c>
      <x:c r="EO369" s="4" t="str">
        <x:f>IF('Calculations'!IJ369="","",IF('Calculations'!IJ369="!UNRESOLVED","Unresolved hierarchy",IFERROR(INDEX('Calculations'!$HK$13:$HK$512,MATCH('Calculations'!IJ369,'Calculations'!$HE$13:$HE$512,0)),IFERROR(INDEX('Calculations'!$HJ$13:$HJ$512,MATCH('Calculations'!IJ369,'Calculations'!$HF$13:$HF$512,0)),'Calculations'!IJ369))))</x:f>
      </x:c>
      <x:c r="EP369" s="4" t="n">
        <x:f>IF(AND('Calculations'!EM369&lt;&gt;"",'Calculations'!HF369='Calculations'!IJ369),1,0)</x:f>
        <x:v>0</x:v>
      </x:c>
      <x:c r="EQ369" s="4"/>
      <x:c r="ER369" s="4"/>
      <x:c r="ES369" s="4"/>
      <x:c r="ET369" s="4"/>
      <x:c r="EU369" s="4"/>
      <x:c r="EV369" s="4"/>
      <x:c r="EW369" s="4"/>
      <x:c r="EX369" s="4"/>
      <x:c r="EY369" s="4"/>
      <x:c r="EZ369" s="4"/>
      <x:c r="FA369" s="4"/>
      <x:c r="FB369" s="4"/>
      <x:c r="FC369" s="4"/>
      <x:c r="FD369" s="4"/>
      <x:c r="FE369" s="4"/>
      <x:c r="FF369" s="4"/>
      <x:c r="FG369" s="4"/>
      <x:c r="FH369" s="4"/>
      <x:c r="FI369" s="4"/>
      <x:c r="FJ369" s="4"/>
      <x:c r="FK369" s="4"/>
      <x:c r="FL369" s="4"/>
      <x:c r="FM369" s="4"/>
      <x:c r="FN369" s="4"/>
      <x:c r="FO369" s="4"/>
      <x:c r="HE369" t="str">
        <x:f>IF('Calculations'!EM369="","",IF(IFERROR(IF(INDEX(INDIRECT("'WCM Calibration Final'!$A$1:$A$2000"),'Calculations'!$EM369)="","",TRIM(INDEX(INDIRECT("'WCM Calibration Final'!$A$1:$A$2000"),'Calculations'!$EM369)&amp;"")),"")&lt;&gt;"","G:"&amp;IFERROR(TEXT(1*INDEX(INDIRECT("'WCM Calibration Final'!$A$1:$A$2000"),'Calculations'!$EM369),"0"),UPPER(IFERROR(IF(INDEX(INDIRECT("'WCM Calibration Final'!$A$1:$A$2000"),'Calculations'!$EM369)="","",TRIM(INDEX(INDIRECT("'WCM Calibration Final'!$A$1:$A$2000"),'Calculations'!$EM369)&amp;"")),""))),IF(IFERROR(IF(INDEX(INDIRECT("'WCM Calibration Final'!$C$1:$C$2000"),'Calculations'!$EM369)="","",TRIM(INDEX(INDIRECT("'WCM Calibration Final'!$C$1:$C$2000"),'Calculations'!$EM369)&amp;"")),"")&lt;&gt;"","S:"&amp;UPPER(IFERROR(IF(INDEX(INDIRECT("'WCM Calibration Final'!$C$1:$C$2000"),'Calculations'!$EM369)="","",TRIM(INDEX(INDIRECT("'WCM Calibration Final'!$C$1:$C$2000"),'Calculations'!$EM369)&amp;"")),"")),"R:"&amp;'Calculations'!EM369)))</x:f>
      </x:c>
      <x:c r="HF369" t="str">
        <x:f>IF('Calculations'!EM369="","",IF(IFERROR(IF(INDEX(INDIRECT("'WCM Calibration Final'!$D$1:$D$2000"),'Calculations'!$EM369)="","",TRIM(INDEX(INDIRECT("'WCM Calibration Final'!$D$1:$D$2000"),'Calculations'!$EM369)&amp;"")),"")&lt;&gt;"","G:"&amp;IFERROR(TEXT(1*INDEX(INDIRECT("'WCM Calibration Final'!$D$1:$D$2000"),'Calculations'!$EM369),"0"),UPPER(IFERROR(IF(INDEX(INDIRECT("'WCM Calibration Final'!$D$1:$D$2000"),'Calculations'!$EM369)="","",TRIM(INDEX(INDIRECT("'WCM Calibration Final'!$D$1:$D$2000"),'Calculations'!$EM369)&amp;"")),""))),IF(IFERROR(IF(INDEX(INDIRECT("'WCM Calibration Final'!$E$1:$E$2000"),'Calculations'!$EM369)="","",TRIM(INDEX(INDIRECT("'WCM Calibration Final'!$E$1:$E$2000"),'Calculations'!$EM369)&amp;"")),"")="","",IF(COUNTIF('Calculations'!$HG$13:$HG$512,"="&amp;SUBSTITUTE(SUBSTITUTE(SUBSTITUTE(IFERROR(IF(INDEX(INDIRECT("'WCM Calibration Final'!$E$1:$E$2000"),'Calculations'!$EM369)="","",TRIM(INDEX(INDIRECT("'WCM Calibration Final'!$E$1:$E$2000"),'Calculations'!$EM369)&amp;"")),""),"~","~~"),"*","~*"),"?","~?"))=1,INDEX('Calculations'!$HE$13:$HE$512,MATCH(IFERROR(IF(INDEX(INDIRECT("'WCM Calibration Final'!$E$1:$E$2000"),'Calculations'!$EM369)="","",TRIM(INDEX(INDIRECT("'WCM Calibration Final'!$E$1:$E$2000"),'Calculations'!$EM369)&amp;"")),""),'Calculations'!$HG$13:$HG$512,0)),IF(COUNTIF('Calculations'!$HG$13:$HG$512,"="&amp;SUBSTITUTE(SUBSTITUTE(SUBSTITUTE(IFERROR(IF(INDEX(INDIRECT("'WCM Calibration Final'!$E$1:$E$2000"),'Calculations'!$EM369)="","",TRIM(INDEX(INDIRECT("'WCM Calibration Final'!$E$1:$E$2000"),'Calculations'!$EM369)&amp;"")),""),"~","~~"),"*","~*"),"?","~?"))&gt;1,"!AMBIG","X:"&amp;IFERROR(IF(INDEX(INDIRECT("'WCM Calibration Final'!$E$1:$E$2000"),'Calculations'!$EM369)="","",TRIM(INDEX(INDIRECT("'WCM Calibration Final'!$E$1:$E$2000"),'Calculations'!$EM369)&amp;"")),""))))))</x:f>
      </x:c>
      <x:c r="HG369" t="str">
        <x:f>IF('Calculations'!EM369="","",IFERROR(IF(INDEX(INDIRECT("'WCM Calibration Final'!$B$1:$B$2000"),'Calculations'!$EM369)="","",TRIM(INDEX(INDIRECT("'WCM Calibration Final'!$B$1:$B$2000"),'Calculations'!$EM369)&amp;"")),""))</x:f>
      </x:c>
      <x:c r="HH369" t="n">
        <x:f>IF(AND('Calculations'!JC369&gt;0,COUNTIF('Calculations'!$HF$12:HF369,"="&amp;SUBSTITUTE(SUBSTITUTE(SUBSTITUTE('Calculations'!HF369,"~","~~"),"*","~*"),"?","~?"))=1),MAX('Calculations'!$HH$12:HH368)+1,0)</x:f>
        <x:v>0</x:v>
      </x:c>
      <x:c r="HI369" t="n">
        <x:f>IF(AND('Calculations'!HN369&lt;&gt;"",COUNTIF('Calculations'!$HN$12:HN369,"="&amp;SUBSTITUTE(SUBSTITUTE(SUBSTITUTE('Calculations'!HN369,"~","~~"),"*","~*"),"?","~?"))=1),MAX('Calculations'!$HI$12:HI368)+1,0)</x:f>
        <x:v>0</x:v>
      </x:c>
      <x:c r="HJ369" t="str">
        <x:f>IF('Calculations'!HF369="","",IF(COUNTIF('Calculations'!$HE$13:$HE$512,"="&amp;SUBSTITUTE(SUBSTITUTE(SUBSTITUTE('Calculations'!HF369,"~","~~"),"*","~*"),"?","~?"))=1,INDEX('Calculations'!$HK$13:$HK$512,MATCH('Calculations'!HF369,'Calculations'!$HE$13:$HE$512,0)),IFERROR(IF(INDEX(INDIRECT("'WCM Calibration Final'!$E$1:$E$2000"),'Calculations'!$EM369)="","",TRIM(INDEX(INDIRECT("'WCM Calibration Final'!$E$1:$E$2000"),'Calculations'!$EM369)&amp;"")),"")&amp;" ["&amp;'Calculations'!HF369&amp;"]"))</x:f>
      </x:c>
      <x:c r="HK369" t="str">
        <x:f>IF('Calculations'!EM369="","",'Calculations'!HG369&amp;" ["&amp;'Calculations'!HE369&amp;"]")</x:f>
      </x:c>
      <x:c r="HL369" t="n">
        <x:f>IF('Calculations'!EM369="",0,IF(OR('Calculations'!II369&lt;&gt;"",COUNTIF('Calculations'!$HE$13:$HE$512,"="&amp;SUBSTITUTE(SUBSTITUTE(SUBSTITUTE('Calculations'!HE369,"~","~~"),"*","~*"),"?","~?"))&gt;1),1,0))</x:f>
        <x:v>0</x:v>
      </x:c>
      <x:c r="HM369" t="str">
        <x:f>IF('Calculations'!EM369="","",IF('Calculations'!HL369=1,"!UNRESOLVED",IF('Calculations'!IH369&lt;&gt;"",'Calculations'!IH369,IF('Calculations'!IG369&lt;&gt;"",'Calculations'!IG369,IF('Calculations'!IF369&lt;&gt;"",'Calculations'!IF369,IF('Calculations'!IE369&lt;&gt;"",'Calculations'!IE369,IF('Calculations'!ID369&lt;&gt;"",'Calculations'!ID369,IF('Calculations'!IC369&lt;&gt;"",'Calculations'!IC369,IF('Calculations'!IB369&lt;&gt;"",'Calculations'!IB369,IF('Calculations'!IA369&lt;&gt;"",'Calculations'!IA369,IF('Calculations'!HZ369&lt;&gt;"",'Calculations'!HZ369,IF('Calculations'!HY369&lt;&gt;"",'Calculations'!HY369,IF('Calculations'!HX369&lt;&gt;"",'Calculations'!HX369,IF('Calculations'!HW369&lt;&gt;"",'Calculations'!HW369,IF('Calculations'!HV369&lt;&gt;"",'Calculations'!HV369,IF('Calculations'!HU369&lt;&gt;"",'Calculations'!HU369,IF('Calculations'!HT369&lt;&gt;"",'Calculations'!HT369,IF('Calculations'!HS369&lt;&gt;"",'Calculations'!HS369,IF('Calculations'!HR369&lt;&gt;"",'Calculations'!HR369,IF('Calculations'!HQ369&lt;&gt;"",'Calculations'!HQ369,IF('Calculations'!HP369&lt;&gt;"",'Calculations'!HP369,IF('Calculations'!HO369&lt;&gt;"",'Calculations'!HO369,'Calculations'!HE369))))))))))))))))))))))</x:f>
      </x:c>
      <x:c r="HN369" t="str">
        <x:f>IF('Calculations'!EM369="","",IF(IFERROR(IF(INDEX(INDIRECT("'WCM Calibration Final'!$F$1:$F$2000"),'Calculations'!$EM369)="","",TRIM(INDEX(INDIRECT("'WCM Calibration Final'!$F$1:$F$2000"),'Calculations'!$EM369)&amp;"")),"")="","(Blank)",IFERROR(IF(INDEX(INDIRECT("'WCM Calibration Final'!$F$1:$F$2000"),'Calculations'!$EM369)="","",TRIM(INDEX(INDIRECT("'WCM Calibration Final'!$F$1:$F$2000"),'Calculations'!$EM369)&amp;"")),"")))</x:f>
      </x:c>
      <x:c r="HO369" t="str">
        <x:f>'Calculations'!HF369</x:f>
      </x:c>
      <x:c r="HP369" t="str">
        <x:f>IF('Calculations'!HO369="","",IF('Calculations'!HO369="!AMBIG","!AMBIG",IF(COUNTIF('Calculations'!$HE$13:$HE$512,"="&amp;SUBSTITUTE(SUBSTITUTE(SUBSTITUTE('Calculations'!HO369,"~","~~"),"*","~*"),"?","~?"))&gt;1,"!AMBIG",IFERROR(INDEX('Calculations'!$HF$13:$HF$512,MATCH('Calculations'!HO369,'Calculations'!$HE$13:$HE$512,0)),""))))</x:f>
      </x:c>
      <x:c r="HQ369" t="str">
        <x:f>IF('Calculations'!HP369="","",IF('Calculations'!HP369="!AMBIG","!AMBIG",IF(COUNTIF('Calculations'!$HE$13:$HE$512,"="&amp;SUBSTITUTE(SUBSTITUTE(SUBSTITUTE('Calculations'!HP369,"~","~~"),"*","~*"),"?","~?"))&gt;1,"!AMBIG",IFERROR(INDEX('Calculations'!$HF$13:$HF$512,MATCH('Calculations'!HP369,'Calculations'!$HE$13:$HE$512,0)),""))))</x:f>
      </x:c>
      <x:c r="HR369" t="str">
        <x:f>IF('Calculations'!HQ369="","",IF('Calculations'!HQ369="!AMBIG","!AMBIG",IF(COUNTIF('Calculations'!$HE$13:$HE$512,"="&amp;SUBSTITUTE(SUBSTITUTE(SUBSTITUTE('Calculations'!HQ369,"~","~~"),"*","~*"),"?","~?"))&gt;1,"!AMBIG",IFERROR(INDEX('Calculations'!$HF$13:$HF$512,MATCH('Calculations'!HQ369,'Calculations'!$HE$13:$HE$512,0)),""))))</x:f>
      </x:c>
      <x:c r="HS369" t="str">
        <x:f>IF('Calculations'!HR369="","",IF('Calculations'!HR369="!AMBIG","!AMBIG",IF(COUNTIF('Calculations'!$HE$13:$HE$512,"="&amp;SUBSTITUTE(SUBSTITUTE(SUBSTITUTE('Calculations'!HR369,"~","~~"),"*","~*"),"?","~?"))&gt;1,"!AMBIG",IFERROR(INDEX('Calculations'!$HF$13:$HF$512,MATCH('Calculations'!HR369,'Calculations'!$HE$13:$HE$512,0)),""))))</x:f>
      </x:c>
      <x:c r="HT369" t="str">
        <x:f>IF('Calculations'!HS369="","",IF('Calculations'!HS369="!AMBIG","!AMBIG",IF(COUNTIF('Calculations'!$HE$13:$HE$512,"="&amp;SUBSTITUTE(SUBSTITUTE(SUBSTITUTE('Calculations'!HS369,"~","~~"),"*","~*"),"?","~?"))&gt;1,"!AMBIG",IFERROR(INDEX('Calculations'!$HF$13:$HF$512,MATCH('Calculations'!HS369,'Calculations'!$HE$13:$HE$512,0)),""))))</x:f>
      </x:c>
      <x:c r="HU369" t="str">
        <x:f>IF('Calculations'!HT369="","",IF('Calculations'!HT369="!AMBIG","!AMBIG",IF(COUNTIF('Calculations'!$HE$13:$HE$512,"="&amp;SUBSTITUTE(SUBSTITUTE(SUBSTITUTE('Calculations'!HT369,"~","~~"),"*","~*"),"?","~?"))&gt;1,"!AMBIG",IFERROR(INDEX('Calculations'!$HF$13:$HF$512,MATCH('Calculations'!HT369,'Calculations'!$HE$13:$HE$512,0)),""))))</x:f>
      </x:c>
      <x:c r="HV369" t="str">
        <x:f>IF('Calculations'!HU369="","",IF('Calculations'!HU369="!AMBIG","!AMBIG",IF(COUNTIF('Calculations'!$HE$13:$HE$512,"="&amp;SUBSTITUTE(SUBSTITUTE(SUBSTITUTE('Calculations'!HU369,"~","~~"),"*","~*"),"?","~?"))&gt;1,"!AMBIG",IFERROR(INDEX('Calculations'!$HF$13:$HF$512,MATCH('Calculations'!HU369,'Calculations'!$HE$13:$HE$512,0)),""))))</x:f>
      </x:c>
      <x:c r="HW369" t="str">
        <x:f>IF('Calculations'!HV369="","",IF('Calculations'!HV369="!AMBIG","!AMBIG",IF(COUNTIF('Calculations'!$HE$13:$HE$512,"="&amp;SUBSTITUTE(SUBSTITUTE(SUBSTITUTE('Calculations'!HV369,"~","~~"),"*","~*"),"?","~?"))&gt;1,"!AMBIG",IFERROR(INDEX('Calculations'!$HF$13:$HF$512,MATCH('Calculations'!HV369,'Calculations'!$HE$13:$HE$512,0)),""))))</x:f>
      </x:c>
      <x:c r="HX369" t="str">
        <x:f>IF('Calculations'!HW369="","",IF('Calculations'!HW369="!AMBIG","!AMBIG",IF(COUNTIF('Calculations'!$HE$13:$HE$512,"="&amp;SUBSTITUTE(SUBSTITUTE(SUBSTITUTE('Calculations'!HW369,"~","~~"),"*","~*"),"?","~?"))&gt;1,"!AMBIG",IFERROR(INDEX('Calculations'!$HF$13:$HF$512,MATCH('Calculations'!HW369,'Calculations'!$HE$13:$HE$512,0)),""))))</x:f>
      </x:c>
      <x:c r="HY369" t="str">
        <x:f>IF('Calculations'!HX369="","",IF('Calculations'!HX369="!AMBIG","!AMBIG",IF(COUNTIF('Calculations'!$HE$13:$HE$512,"="&amp;SUBSTITUTE(SUBSTITUTE(SUBSTITUTE('Calculations'!HX369,"~","~~"),"*","~*"),"?","~?"))&gt;1,"!AMBIG",IFERROR(INDEX('Calculations'!$HF$13:$HF$512,MATCH('Calculations'!HX369,'Calculations'!$HE$13:$HE$512,0)),""))))</x:f>
      </x:c>
      <x:c r="HZ369" t="str">
        <x:f>IF('Calculations'!HY369="","",IF('Calculations'!HY369="!AMBIG","!AMBIG",IF(COUNTIF('Calculations'!$HE$13:$HE$512,"="&amp;SUBSTITUTE(SUBSTITUTE(SUBSTITUTE('Calculations'!HY369,"~","~~"),"*","~*"),"?","~?"))&gt;1,"!AMBIG",IFERROR(INDEX('Calculations'!$HF$13:$HF$512,MATCH('Calculations'!HY369,'Calculations'!$HE$13:$HE$512,0)),""))))</x:f>
      </x:c>
      <x:c r="IA369" t="str">
        <x:f>IF('Calculations'!HZ369="","",IF('Calculations'!HZ369="!AMBIG","!AMBIG",IF(COUNTIF('Calculations'!$HE$13:$HE$512,"="&amp;SUBSTITUTE(SUBSTITUTE(SUBSTITUTE('Calculations'!HZ369,"~","~~"),"*","~*"),"?","~?"))&gt;1,"!AMBIG",IFERROR(INDEX('Calculations'!$HF$13:$HF$512,MATCH('Calculations'!HZ369,'Calculations'!$HE$13:$HE$512,0)),""))))</x:f>
      </x:c>
      <x:c r="IB369" t="str">
        <x:f>IF('Calculations'!IA369="","",IF('Calculations'!IA369="!AMBIG","!AMBIG",IF(COUNTIF('Calculations'!$HE$13:$HE$512,"="&amp;SUBSTITUTE(SUBSTITUTE(SUBSTITUTE('Calculations'!IA369,"~","~~"),"*","~*"),"?","~?"))&gt;1,"!AMBIG",IFERROR(INDEX('Calculations'!$HF$13:$HF$512,MATCH('Calculations'!IA369,'Calculations'!$HE$13:$HE$512,0)),""))))</x:f>
      </x:c>
      <x:c r="IC369" t="str">
        <x:f>IF('Calculations'!IB369="","",IF('Calculations'!IB369="!AMBIG","!AMBIG",IF(COUNTIF('Calculations'!$HE$13:$HE$512,"="&amp;SUBSTITUTE(SUBSTITUTE(SUBSTITUTE('Calculations'!IB369,"~","~~"),"*","~*"),"?","~?"))&gt;1,"!AMBIG",IFERROR(INDEX('Calculations'!$HF$13:$HF$512,MATCH('Calculations'!IB369,'Calculations'!$HE$13:$HE$512,0)),""))))</x:f>
      </x:c>
      <x:c r="ID369" t="str">
        <x:f>IF('Calculations'!IC369="","",IF('Calculations'!IC369="!AMBIG","!AMBIG",IF(COUNTIF('Calculations'!$HE$13:$HE$512,"="&amp;SUBSTITUTE(SUBSTITUTE(SUBSTITUTE('Calculations'!IC369,"~","~~"),"*","~*"),"?","~?"))&gt;1,"!AMBIG",IFERROR(INDEX('Calculations'!$HF$13:$HF$512,MATCH('Calculations'!IC369,'Calculations'!$HE$13:$HE$512,0)),""))))</x:f>
      </x:c>
      <x:c r="IE369" t="str">
        <x:f>IF('Calculations'!ID369="","",IF('Calculations'!ID369="!AMBIG","!AMBIG",IF(COUNTIF('Calculations'!$HE$13:$HE$512,"="&amp;SUBSTITUTE(SUBSTITUTE(SUBSTITUTE('Calculations'!ID369,"~","~~"),"*","~*"),"?","~?"))&gt;1,"!AMBIG",IFERROR(INDEX('Calculations'!$HF$13:$HF$512,MATCH('Calculations'!ID369,'Calculations'!$HE$13:$HE$512,0)),""))))</x:f>
      </x:c>
      <x:c r="IF369" t="str">
        <x:f>IF('Calculations'!IE369="","",IF('Calculations'!IE369="!AMBIG","!AMBIG",IF(COUNTIF('Calculations'!$HE$13:$HE$512,"="&amp;SUBSTITUTE(SUBSTITUTE(SUBSTITUTE('Calculations'!IE369,"~","~~"),"*","~*"),"?","~?"))&gt;1,"!AMBIG",IFERROR(INDEX('Calculations'!$HF$13:$HF$512,MATCH('Calculations'!IE369,'Calculations'!$HE$13:$HE$512,0)),""))))</x:f>
      </x:c>
      <x:c r="IG369" t="str">
        <x:f>IF('Calculations'!IF369="","",IF('Calculations'!IF369="!AMBIG","!AMBIG",IF(COUNTIF('Calculations'!$HE$13:$HE$512,"="&amp;SUBSTITUTE(SUBSTITUTE(SUBSTITUTE('Calculations'!IF369,"~","~~"),"*","~*"),"?","~?"))&gt;1,"!AMBIG",IFERROR(INDEX('Calculations'!$HF$13:$HF$512,MATCH('Calculations'!IF369,'Calculations'!$HE$13:$HE$512,0)),""))))</x:f>
      </x:c>
      <x:c r="IH369" t="str">
        <x:f>IF('Calculations'!IG369="","",IF('Calculations'!IG369="!AMBIG","!AMBIG",IF(COUNTIF('Calculations'!$HE$13:$HE$512,"="&amp;SUBSTITUTE(SUBSTITUTE(SUBSTITUTE('Calculations'!IG369,"~","~~"),"*","~*"),"?","~?"))&gt;1,"!AMBIG",IFERROR(INDEX('Calculations'!$HF$13:$HF$512,MATCH('Calculations'!IG369,'Calculations'!$HE$13:$HE$512,0)),""))))</x:f>
      </x:c>
      <x:c r="II369" t="str">
        <x:f>IF('Calculations'!IH369="","",IF('Calculations'!IH369="!AMBIG","!AMBIG",IF(COUNTIF('Calculations'!$HE$13:$HE$512,"="&amp;SUBSTITUTE(SUBSTITUTE(SUBSTITUTE('Calculations'!IH369,"~","~~"),"*","~*"),"?","~?"))&gt;1,"!AMBIG",IFERROR(INDEX('Calculations'!$HF$13:$HF$512,MATCH('Calculations'!IH369,'Calculations'!$HE$13:$HE$512,0)),""))))</x:f>
      </x:c>
      <x:c r="IJ369" t="str">
        <x:f>IF('Calculations'!EM369="","",IF('Calculations'!$EF$2="All",'Calculations'!HM369,IF('Calculations'!HL369=1,"",IFERROR(IF(MATCH('Calculations'!$EF$2,'Calculations'!HO369:II369,0)=1,'Calculations'!HE369,INDEX('Calculations'!HO369:II369,1,MATCH('Calculations'!$EF$2,'Calculations'!HO369:II369,0)-1)),""))))</x:f>
      </x:c>
      <x:c r="IK369" t="n">
        <x:f>IF(AND('Calculations'!EM369&lt;&gt;"",'Calculations'!$EF$2&lt;&gt;"All",'Calculations'!HF369='Calculations'!$EF$2,'Calculations'!HL369=0,'Calculations'!JD369&gt;0),MAX('Calculations'!$IK$12:IK368)+1,0)</x:f>
        <x:v>0</x:v>
      </x:c>
      <x:c r="JA369" t="n">
        <x:f>IF(OR(IFERROR(INDIRECT("'WCM Calibration Final'!$A$369")&lt;&gt;"",FALSE),IFERROR(INDIRECT("'WCM Calibration Final'!$B$369")&lt;&gt;"",FALSE),IFERROR(INDIRECT("'WCM Calibration Final'!$C$369")&lt;&gt;"",FALSE)),369,0)</x:f>
        <x:v>0</x:v>
      </x:c>
      <x:c r="JB369" t="n">
        <x:f>'Calculations'!JB368+IF('Calculations'!JA369&gt;0,1,0)</x:f>
        <x:v>0</x:v>
      </x:c>
      <x:c r="JC369" t="n">
        <x:f>IF(OR('Calculations'!HF369="",'Calculations'!HF369="!AMBIG"),0,IF('Dashboard'!$B$7="All",1,COUNTIFS('Calculations'!$HO$13:$HO$512,"="&amp;SUBSTITUTE(SUBSTITUTE(SUBSTITUTE('Calculations'!HF369,"~","~~"),"*","~*"),"?","~?"),'Calculations'!$HN$13:$HN$512,"="&amp;SUBSTITUTE(SUBSTITUTE(SUBSTITUTE('Dashboard'!$B$7,"~","~~"),"*","~*"),"?","~?"))+COUNTIFS('Calculations'!$HP$13:$HP$512,"="&amp;SUBSTITUTE(SUBSTITUTE(SUBSTITUTE('Calculations'!HF369,"~","~~"),"*","~*"),"?","~?"),'Calculations'!$HN$13:$HN$512,"="&amp;SUBSTITUTE(SUBSTITUTE(SUBSTITUTE('Dashboard'!$B$7,"~","~~"),"*","~*"),"?","~?"))+COUNTIFS('Calculations'!$HQ$13:$HQ$512,"="&amp;SUBSTITUTE(SUBSTITUTE(SUBSTITUTE('Calculations'!HF369,"~","~~"),"*","~*"),"?","~?"),'Calculations'!$HN$13:$HN$512,"="&amp;SUBSTITUTE(SUBSTITUTE(SUBSTITUTE('Dashboard'!$B$7,"~","~~"),"*","~*"),"?","~?"))+COUNTIFS('Calculations'!$HR$13:$HR$512,"="&amp;SUBSTITUTE(SUBSTITUTE(SUBSTITUTE('Calculations'!HF369,"~","~~"),"*","~*"),"?","~?"),'Calculations'!$HN$13:$HN$512,"="&amp;SUBSTITUTE(SUBSTITUTE(SUBSTITUTE('Dashboard'!$B$7,"~","~~"),"*","~*"),"?","~?"))+COUNTIFS('Calculations'!$HS$13:$HS$512,"="&amp;SUBSTITUTE(SUBSTITUTE(SUBSTITUTE('Calculations'!HF369,"~","~~"),"*","~*"),"?","~?"),'Calculations'!$HN$13:$HN$512,"="&amp;SUBSTITUTE(SUBSTITUTE(SUBSTITUTE('Dashboard'!$B$7,"~","~~"),"*","~*"),"?","~?"))+COUNTIFS('Calculations'!$HT$13:$HT$512,"="&amp;SUBSTITUTE(SUBSTITUTE(SUBSTITUTE('Calculations'!HF369,"~","~~"),"*","~*"),"?","~?"),'Calculations'!$HN$13:$HN$512,"="&amp;SUBSTITUTE(SUBSTITUTE(SUBSTITUTE('Dashboard'!$B$7,"~","~~"),"*","~*"),"?","~?"))+COUNTIFS('Calculations'!$HU$13:$HU$512,"="&amp;SUBSTITUTE(SUBSTITUTE(SUBSTITUTE('Calculations'!HF369,"~","~~"),"*","~*"),"?","~?"),'Calculations'!$HN$13:$HN$512,"="&amp;SUBSTITUTE(SUBSTITUTE(SUBSTITUTE('Dashboard'!$B$7,"~","~~"),"*","~*"),"?","~?"))+COUNTIFS('Calculations'!$HV$13:$HV$512,"="&amp;SUBSTITUTE(SUBSTITUTE(SUBSTITUTE('Calculations'!HF369,"~","~~"),"*","~*"),"?","~?"),'Calculations'!$HN$13:$HN$512,"="&amp;SUBSTITUTE(SUBSTITUTE(SUBSTITUTE('Dashboard'!$B$7,"~","~~"),"*","~*"),"?","~?"))+COUNTIFS('Calculations'!$HW$13:$HW$512,"="&amp;SUBSTITUTE(SUBSTITUTE(SUBSTITUTE('Calculations'!HF369,"~","~~"),"*","~*"),"?","~?"),'Calculations'!$HN$13:$HN$512,"="&amp;SUBSTITUTE(SUBSTITUTE(SUBSTITUTE('Dashboard'!$B$7,"~","~~"),"*","~*"),"?","~?"))+COUNTIFS('Calculations'!$HX$13:$HX$512,"="&amp;SUBSTITUTE(SUBSTITUTE(SUBSTITUTE('Calculations'!HF369,"~","~~"),"*","~*"),"?","~?"),'Calculations'!$HN$13:$HN$512,"="&amp;SUBSTITUTE(SUBSTITUTE(SUBSTITUTE('Dashboard'!$B$7,"~","~~"),"*","~*"),"?","~?"))+COUNTIFS('Calculations'!$HY$13:$HY$512,"="&amp;SUBSTITUTE(SUBSTITUTE(SUBSTITUTE('Calculations'!HF369,"~","~~"),"*","~*"),"?","~?"),'Calculations'!$HN$13:$HN$512,"="&amp;SUBSTITUTE(SUBSTITUTE(SUBSTITUTE('Dashboard'!$B$7,"~","~~"),"*","~*"),"?","~?"))+COUNTIFS('Calculations'!$HZ$13:$HZ$512,"="&amp;SUBSTITUTE(SUBSTITUTE(SUBSTITUTE('Calculations'!HF369,"~","~~"),"*","~*"),"?","~?"),'Calculations'!$HN$13:$HN$512,"="&amp;SUBSTITUTE(SUBSTITUTE(SUBSTITUTE('Dashboard'!$B$7,"~","~~"),"*","~*"),"?","~?"))+COUNTIFS('Calculations'!$IA$13:$IA$512,"="&amp;SUBSTITUTE(SUBSTITUTE(SUBSTITUTE('Calculations'!HF369,"~","~~"),"*","~*"),"?","~?"),'Calculations'!$HN$13:$HN$512,"="&amp;SUBSTITUTE(SUBSTITUTE(SUBSTITUTE('Dashboard'!$B$7,"~","~~"),"*","~*"),"?","~?"))+COUNTIFS('Calculations'!$IB$13:$IB$512,"="&amp;SUBSTITUTE(SUBSTITUTE(SUBSTITUTE('Calculations'!HF369,"~","~~"),"*","~*"),"?","~?"),'Calculations'!$HN$13:$HN$512,"="&amp;SUBSTITUTE(SUBSTITUTE(SUBSTITUTE('Dashboard'!$B$7,"~","~~"),"*","~*"),"?","~?"))+COUNTIFS('Calculations'!$IC$13:$IC$512,"="&amp;SUBSTITUTE(SUBSTITUTE(SUBSTITUTE('Calculations'!HF369,"~","~~"),"*","~*"),"?","~?"),'Calculations'!$HN$13:$HN$512,"="&amp;SUBSTITUTE(SUBSTITUTE(SUBSTITUTE('Dashboard'!$B$7,"~","~~"),"*","~*"),"?","~?"))+COUNTIFS('Calculations'!$ID$13:$ID$512,"="&amp;SUBSTITUTE(SUBSTITUTE(SUBSTITUTE('Calculations'!HF369,"~","~~"),"*","~*"),"?","~?"),'Calculations'!$HN$13:$HN$512,"="&amp;SUBSTITUTE(SUBSTITUTE(SUBSTITUTE('Dashboard'!$B$7,"~","~~"),"*","~*"),"?","~?"))+COUNTIFS('Calculations'!$IE$13:$IE$512,"="&amp;SUBSTITUTE(SUBSTITUTE(SUBSTITUTE('Calculations'!HF369,"~","~~"),"*","~*"),"?","~?"),'Calculations'!$HN$13:$HN$512,"="&amp;SUBSTITUTE(SUBSTITUTE(SUBSTITUTE('Dashboard'!$B$7,"~","~~"),"*","~*"),"?","~?"))+COUNTIFS('Calculations'!$IF$13:$IF$512,"="&amp;SUBSTITUTE(SUBSTITUTE(SUBSTITUTE('Calculations'!HF369,"~","~~"),"*","~*"),"?","~?"),'Calculations'!$HN$13:$HN$512,"="&amp;SUBSTITUTE(SUBSTITUTE(SUBSTITUTE('Dashboard'!$B$7,"~","~~"),"*","~*"),"?","~?"))+COUNTIFS('Calculations'!$IG$13:$IG$512,"="&amp;SUBSTITUTE(SUBSTITUTE(SUBSTITUTE('Calculations'!HF369,"~","~~"),"*","~*"),"?","~?"),'Calculations'!$HN$13:$HN$512,"="&amp;SUBSTITUTE(SUBSTITUTE(SUBSTITUTE('Dashboard'!$B$7,"~","~~"),"*","~*"),"?","~?"))+COUNTIFS('Calculations'!$IH$13:$IH$512,"="&amp;SUBSTITUTE(SUBSTITUTE(SUBSTITUTE('Calculations'!HF369,"~","~~"),"*","~*"),"?","~?"),'Calculations'!$HN$13:$HN$512,"="&amp;SUBSTITUTE(SUBSTITUTE(SUBSTITUTE('Dashboard'!$B$7,"~","~~"),"*","~*"),"?","~?"))))</x:f>
        <x:v>0</x:v>
      </x:c>
      <x:c r="JD369" t="n">
        <x:f>IF('Calculations'!EM369="",0,IF('Dashboard'!$B$7="All",1,IF('Calculations'!HN369='Dashboard'!$B$7,1,0)+IFERROR(INDEX('Calculations'!$JC$13:$JC$512,MATCH('Calculations'!HE369,'Calculations'!$HF$13:$HF$512,0)),0)))</x:f>
        <x:v>0</x:v>
      </x:c>
      <x:c r="JE369" t="n">
        <x:f>IF(AND('Calculations'!EM369&lt;&gt;"",'Calculations'!$JJ$2&lt;&gt;"All",'Calculations'!$JJ$2&lt;&gt;"",'Calculations'!HF369='Calculations'!$JJ$2,'Calculations'!HL369=0,'Calculations'!JD369&gt;0),MAX('Calculations'!$JE$12:JE368)+1,0)</x:f>
        <x:v>0</x:v>
      </x:c>
      <x:c r="JF369" t="str">
        <x:f>IF('Calculations'!EM369="","",IFERROR(IF(INDEX(INDIRECT("'WCM Calibration Final'!$G$1:$G$2000"),'Calculations'!$EM369)="","",TRIM(INDEX(INDIRECT("'WCM Calibration Final'!$G$1:$G$2000"),'Calculations'!$EM369)&amp;"")),""))</x:f>
      </x:c>
      <x:c r="JQ369" t="n">
        <x:f>IF(OR('Calculations'!BM369=0,NOT('Calculations'!$AG$2),'Calculations'!$AG$8&gt;0),0,IF(OR('Dashboard'!$B$7="All",'Calculations'!HN369='Dashboard'!$B$7),IF('Calculations'!$JJ$2="All",1,IF(AND('Calculations'!HF369='Calculations'!$JJ$2,'Calculations'!HL369=0),1,0)),0))</x:f>
        <x:v>0</x:v>
      </x:c>
    </x:row>
    <x:row r="370">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t="n">
        <x:f>IF('Calculations'!$EM370="",0,IF(OR(IFERROR(INDEX(INDIRECT("'WCM Calibration Final'!$A$1:$A$2000"),'Calculations'!$EM370)&lt;&gt;"",FALSE),IFERROR(INDEX(INDIRECT("'WCM Calibration Final'!$B$1:$B$2000"),'Calculations'!$EM370)&lt;&gt;"",FALSE),IFERROR(INDEX(INDIRECT("'WCM Calibration Final'!$C$1:$C$2000"),'Calculations'!$EM370)&lt;&gt;"",FALSE)),1,0))</x:f>
        <x:v>0</x:v>
      </x:c>
      <x:c r="BN370" s="4" t="n">
        <x:f>IF(AND('Calculations'!BM370=1,'Calculations'!$AG$2,'Calculations'!$EN370=1),1,0)</x:f>
        <x:v>0</x:v>
      </x:c>
      <x:c r="BO370" s="4" t="str">
        <x:f>IF('Calculations'!BM370=0,"",IFERROR(IF(AND(VALUE(INDEX(INDIRECT("'WCM Calibration Final'!$K$1:$K$2000"),'Calculations'!$EM370))&gt;=1,VALUE(INDEX(INDIRECT("'WCM Calibration Final'!$K$1:$K$2000"),'Calculations'!$EM370))&lt;=4,MOD(VALUE(INDEX(INDIRECT("'WCM Calibration Final'!$K$1:$K$2000"),'Calculations'!$EM370)),1)=0),VALUE(INDEX(INDIRECT("'WCM Calibration Final'!$K$1:$K$2000"),'Calculations'!$EM370)),""),""))</x:f>
      </x:c>
      <x:c r="BP370" s="4" t="str">
        <x:f>IF('Calculations'!BM370=0,"",IFERROR(IF(AND(VALUE(INDEX(INDIRECT("'WCM Calibration Final'!$L$1:$L$2000"),'Calculations'!$EM370))&gt;=1,VALUE(INDEX(INDIRECT("'WCM Calibration Final'!$L$1:$L$2000"),'Calculations'!$EM370))&lt;=4,MOD(VALUE(INDEX(INDIRECT("'WCM Calibration Final'!$L$1:$L$2000"),'Calculations'!$EM370)),1)=0),VALUE(INDEX(INDIRECT("'WCM Calibration Final'!$L$1:$L$2000"),'Calculations'!$EM370)),""),""))</x:f>
      </x:c>
      <x:c r="BQ370" s="4"/>
      <x:c r="BR370" s="4"/>
      <x:c r="BS370" s="4"/>
      <x:c r="BT370" s="4" t="n">
        <x:f>IF(AND('Calculations'!BM370=1,ISNUMBER('Calculations'!BO370),ISNUMBER('Calculations'!BP370)),1,0)</x:f>
        <x:v>0</x:v>
      </x:c>
      <x:c r="BU370" s="4" t="str">
        <x:f>IF('Calculations'!BM370=0,"",'Calculations'!$EO370)</x:f>
      </x:c>
      <x:c r="BV370" s="4" t="str">
        <x:f>IF('Calculations'!BM370=0,"",IFERROR(IF(OR(INDEX(INDIRECT("'WCM Calibration Final'!$H$1:$H$2000"),'Calculations'!$EM370)="MANAGING DIRECTOR",INDEX(INDIRECT("'WCM Calibration Final'!$H$1:$H$2000"),'Calculations'!$EM370)="DIRECTOR",INDEX(INDIRECT("'WCM Calibration Final'!$H$1:$H$2000"),'Calculations'!$EM370)="SENIOR VICE PRESIDENT",INDEX(INDIRECT("'WCM Calibration Final'!$H$1:$H$2000"),'Calculations'!$EM370)="VICE PRESIDENT",INDEX(INDIRECT("'WCM Calibration Final'!$H$1:$H$2000"),'Calculations'!$EM370)="ASSISTANT VICE PRESIDENT",INDEX(INDIRECT("'WCM Calibration Final'!$H$1:$H$2000"),'Calculations'!$EM370)="OFFICER"),UPPER(INDEX(INDIRECT("'WCM Calibration Final'!$H$1:$H$2000"),'Calculations'!$EM370)),"Other"),"Other"))</x:f>
      </x:c>
      <x:c r="BW370" s="4"/>
      <x:c r="BX370" s="4"/>
      <x:c r="BY370" s="4" t="n">
        <x:f>IF(AND('Calculations'!BM370=1,'Calculations'!BU370&lt;&gt;"",COUNTIF('Calculations'!$BU$12:BU370,'Calculations'!BU370)=1),MAX('Calculations'!$BY$11:BY369)+1,0)</x:f>
        <x:v>0</x:v>
      </x:c>
      <x:c r="BZ370" s="4" t="str">
        <x:f>IF('Dashboard'!$E$67="What",'Calculations'!BO370,'Calculations'!BP370)</x:f>
      </x:c>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t="str">
        <x:f>IF(359&gt;MAX('Calculations'!$HI$13:$HI$512),"",INDEX('Calculations'!$HN$13:$HN$512,MATCH(359,'Calculations'!$HI$13:$HI$512,0)))</x:f>
      </x:c>
      <x:c r="DB370" s="4" t="str">
        <x:f>IF(359&gt;MAX('Calculations'!$HH$13:$HH$512),"",INDEX('Calculations'!$HJ$13:$HJ$512,MATCH(359,'Calculations'!$HH$13:$HH$512,0)))</x:f>
      </x:c>
      <x:c r="DC370" s="4" t="str">
        <x:f>IF(ROW()-11&gt;MAX('Calculations'!$BY$13:$BY$512),"",INDEX('Calculations'!$BU$13:$BU$512,MATCH(ROW()-11,'Calculations'!$BY$13:$BY$512,0)))</x:f>
      </x:c>
      <x:c r="DD370" s="4" t="str">
        <x:f>IF(359&gt;MAX('Calculations'!$IK$13:$IK$512),"",INDEX('Calculations'!$HK$13:$HK$512,MATCH(359,'Calculations'!$IK$13:$IK$512,0)))</x:f>
      </x:c>
      <x:c r="DE370" s="4" t="str">
        <x:f>'Calculations'!DC370</x:f>
      </x:c>
      <x:c r="DF370" s="4" t="str">
        <x:f>IF('Calculations'!DE370="","",COUNTIFS('Calculations'!$BN$13:$BN$512,1,'Calculations'!$BU$13:$BU$512,'Calculations'!DE370))</x:f>
      </x:c>
      <x:c r="DG370" s="4" t="str">
        <x:f>IF('Calculations'!DE370="","",COUNTIFS('Calculations'!$BN$13:$BN$512,1,'Calculations'!$BU$13:$BU$512,'Calculations'!DE370,'Calculations'!$BT$13:$BT$512,1))</x:f>
      </x:c>
      <x:c r="DH370" s="4" t="str">
        <x:f>IF('Calculations'!DE370="","",'Calculations'!DF370-'Calculations'!DG370)</x:f>
      </x:c>
      <x:c r="DI370" s="4" t="str">
        <x:f>IF(OR('Calculations'!DE370="",'Calculations'!DF370=0),"",'Calculations'!DG370/'Calculations'!DF370)</x:f>
      </x:c>
      <x:c r="DJ370" s="4" t="str">
        <x:f>IF('Calculations'!DE370="","",COUNTIFS('Calculations'!$BN$13:$BN$512,1,'Calculations'!$BU$13:$BU$512,'Calculations'!DE370,'Calculations'!$BT$13:$BT$512,1,'Calculations'!$EE$13:$EE$512,"High"))</x:f>
      </x:c>
      <x:c r="DK370" s="4" t="str">
        <x:f>IF('Calculations'!DE370="","",COUNTIFS('Calculations'!$BN$13:$BN$512,1,'Calculations'!$BU$13:$BU$512,'Calculations'!DE370,'Calculations'!$BT$13:$BT$512,1,'Calculations'!$EE$13:$EE$512,"Strong"))</x:f>
      </x:c>
      <x:c r="DL370" s="4" t="str">
        <x:f>IF('Calculations'!DE370="","",COUNTIFS('Calculations'!$BN$13:$BN$512,1,'Calculations'!$BU$13:$BU$512,'Calculations'!DE370,'Calculations'!$BT$13:$BT$512,1,'Calculations'!$EE$13:$EE$512,"Solid"))</x:f>
      </x:c>
      <x:c r="DM370" s="4" t="str">
        <x:f>IF('Calculations'!DE370="","",COUNTIFS('Calculations'!$BN$13:$BN$512,1,'Calculations'!$BU$13:$BU$512,'Calculations'!DE370,'Calculations'!$BT$13:$BT$512,1,'Calculations'!$EE$13:$EE$512,"Low"))</x:f>
      </x:c>
      <x:c r="DN370" s="4" t="str">
        <x:f>IF('Calculations'!DE370="","",COUNTIFS('Calculations'!$BN$13:$BN$512,1,'Calculations'!$BU$13:$BU$512,'Calculations'!DE370,'Calculations'!$EP$13:$EP$512,1))</x:f>
      </x:c>
      <x:c r="DO370" s="4" t="str">
        <x:f>IF(OR('Calculations'!DE370="",'Calculations'!DG370=0),"",('Calculations'!DJ370+'Calculations'!DK370)/'Calculations'!DG370)</x:f>
      </x:c>
      <x:c r="DP370" s="4" t="n">
        <x:f>IF(AND('Calculations'!DE370&lt;&gt;"",'Calculations'!DF370&gt;0),COUNTIF('Calculations'!$DF$12:DF370,"&gt;0"),0)</x:f>
        <x:v>0</x:v>
      </x:c>
      <x:c r="DQ370" s="4" t="str">
        <x:f>IF(359&gt;MAX('Calculations'!$HH$13:$HH$512),"",INDEX('Calculations'!$HF$13:$HF$512,MATCH(359,'Calculations'!$HH$13:$HH$512,0)))</x:f>
      </x:c>
      <x:c r="DR370" s="4" t="str">
        <x:f>IF(359&gt;MAX('Calculations'!$IK$13:$IK$512),"",INDEX('Calculations'!$HE$13:$HE$512,MATCH(359,'Calculations'!$IK$13:$IK$512,0)))</x:f>
      </x:c>
      <x:c r="DS370" s="4"/>
      <x:c r="DT370" s="4"/>
      <x:c r="DU370" s="4"/>
      <x:c r="DV370" s="4"/>
      <x:c r="DW370" s="4"/>
      <x:c r="DX370" s="4"/>
      <x:c r="DY370" s="4"/>
      <x:c r="DZ370" s="4"/>
      <x:c r="EA370" s="4"/>
      <x:c r="EB370" s="4"/>
      <x:c r="EC370" s="4"/>
      <x:c r="ED370" s="4"/>
      <x:c r="EE370" s="4" t="str">
        <x:f>IF('Calculations'!BT370=0,"Not Rated",IF(OR('Calculations'!BO370&gt;=4,'Calculations'!BP370&gt;=4),"Low",IF('Calculations'!BO370+'Calculations'!BP370&lt;=3,"High",IF('Calculations'!BO370+'Calculations'!BP370&lt;=4,"Strong","Solid"))))</x:f>
        <x:v>Not Rated</x:v>
      </x:c>
      <x:c r="EF370" s="4"/>
      <x:c r="EG370" s="4"/>
      <x:c r="EH370" s="4"/>
      <x:c r="EI370" s="4"/>
      <x:c r="EJ370" s="4"/>
      <x:c r="EK370" s="4"/>
      <x:c r="EL370" s="4"/>
      <x:c r="EM370" s="4" t="str">
        <x:f>IF(358&gt;'Calculations'!$JB$2000,"",INDEX('Calculations'!$JA$12:$JA$2000,MATCH(358,'Calculations'!$JB$12:$JB$2000,0)))</x:f>
      </x:c>
      <x:c r="EN370" s="4" t="n">
        <x:f>IF(OR('Calculations'!EM370="",'Calculations'!$AG$8&gt;0,AND('Calculations'!$EF$2&lt;&gt;"All",'Calculations'!HE370='Calculations'!$EF$2),AND('Calculations'!$EF$3&lt;&gt;"All",'Calculations'!HE370='Calculations'!$EF$3)),0,IF(OR('Dashboard'!$B$7="All",'Calculations'!HN370='Dashboard'!$B$7),IF('Calculations'!$EF$2="All",1,IF('Calculations'!HL370&gt;0,0,IF(COUNTIF('Calculations'!HO370:II370,"="&amp;SUBSTITUTE(SUBSTITUTE(SUBSTITUTE('Calculations'!$EF$2,"~","~~"),"*","~*"),"?","~?"))=0,0,IF('Calculations'!$EF$3="All",1,IF(COUNTIF('Calculations'!HO370:II370,"="&amp;SUBSTITUTE(SUBSTITUTE(SUBSTITUTE('Calculations'!$EF$3,"~","~~"),"*","~*"),"?","~?"))&gt;0,1,0))))),0))</x:f>
        <x:v>0</x:v>
      </x:c>
      <x:c r="EO370" s="4" t="str">
        <x:f>IF('Calculations'!IJ370="","",IF('Calculations'!IJ370="!UNRESOLVED","Unresolved hierarchy",IFERROR(INDEX('Calculations'!$HK$13:$HK$512,MATCH('Calculations'!IJ370,'Calculations'!$HE$13:$HE$512,0)),IFERROR(INDEX('Calculations'!$HJ$13:$HJ$512,MATCH('Calculations'!IJ370,'Calculations'!$HF$13:$HF$512,0)),'Calculations'!IJ370))))</x:f>
      </x:c>
      <x:c r="EP370" s="4" t="n">
        <x:f>IF(AND('Calculations'!EM370&lt;&gt;"",'Calculations'!HF370='Calculations'!IJ370),1,0)</x:f>
        <x:v>0</x:v>
      </x:c>
      <x:c r="EQ370" s="4"/>
      <x:c r="ER370" s="4"/>
      <x:c r="ES370" s="4"/>
      <x:c r="ET370" s="4"/>
      <x:c r="EU370" s="4"/>
      <x:c r="EV370" s="4"/>
      <x:c r="EW370" s="4"/>
      <x:c r="EX370" s="4"/>
      <x:c r="EY370" s="4"/>
      <x:c r="EZ370" s="4"/>
      <x:c r="FA370" s="4"/>
      <x:c r="FB370" s="4"/>
      <x:c r="FC370" s="4"/>
      <x:c r="FD370" s="4"/>
      <x:c r="FE370" s="4"/>
      <x:c r="FF370" s="4"/>
      <x:c r="FG370" s="4"/>
      <x:c r="FH370" s="4"/>
      <x:c r="FI370" s="4"/>
      <x:c r="FJ370" s="4"/>
      <x:c r="FK370" s="4"/>
      <x:c r="FL370" s="4"/>
      <x:c r="FM370" s="4"/>
      <x:c r="FN370" s="4"/>
      <x:c r="FO370" s="4"/>
      <x:c r="HE370" t="str">
        <x:f>IF('Calculations'!EM370="","",IF(IFERROR(IF(INDEX(INDIRECT("'WCM Calibration Final'!$A$1:$A$2000"),'Calculations'!$EM370)="","",TRIM(INDEX(INDIRECT("'WCM Calibration Final'!$A$1:$A$2000"),'Calculations'!$EM370)&amp;"")),"")&lt;&gt;"","G:"&amp;IFERROR(TEXT(1*INDEX(INDIRECT("'WCM Calibration Final'!$A$1:$A$2000"),'Calculations'!$EM370),"0"),UPPER(IFERROR(IF(INDEX(INDIRECT("'WCM Calibration Final'!$A$1:$A$2000"),'Calculations'!$EM370)="","",TRIM(INDEX(INDIRECT("'WCM Calibration Final'!$A$1:$A$2000"),'Calculations'!$EM370)&amp;"")),""))),IF(IFERROR(IF(INDEX(INDIRECT("'WCM Calibration Final'!$C$1:$C$2000"),'Calculations'!$EM370)="","",TRIM(INDEX(INDIRECT("'WCM Calibration Final'!$C$1:$C$2000"),'Calculations'!$EM370)&amp;"")),"")&lt;&gt;"","S:"&amp;UPPER(IFERROR(IF(INDEX(INDIRECT("'WCM Calibration Final'!$C$1:$C$2000"),'Calculations'!$EM370)="","",TRIM(INDEX(INDIRECT("'WCM Calibration Final'!$C$1:$C$2000"),'Calculations'!$EM370)&amp;"")),"")),"R:"&amp;'Calculations'!EM370)))</x:f>
      </x:c>
      <x:c r="HF370" t="str">
        <x:f>IF('Calculations'!EM370="","",IF(IFERROR(IF(INDEX(INDIRECT("'WCM Calibration Final'!$D$1:$D$2000"),'Calculations'!$EM370)="","",TRIM(INDEX(INDIRECT("'WCM Calibration Final'!$D$1:$D$2000"),'Calculations'!$EM370)&amp;"")),"")&lt;&gt;"","G:"&amp;IFERROR(TEXT(1*INDEX(INDIRECT("'WCM Calibration Final'!$D$1:$D$2000"),'Calculations'!$EM370),"0"),UPPER(IFERROR(IF(INDEX(INDIRECT("'WCM Calibration Final'!$D$1:$D$2000"),'Calculations'!$EM370)="","",TRIM(INDEX(INDIRECT("'WCM Calibration Final'!$D$1:$D$2000"),'Calculations'!$EM370)&amp;"")),""))),IF(IFERROR(IF(INDEX(INDIRECT("'WCM Calibration Final'!$E$1:$E$2000"),'Calculations'!$EM370)="","",TRIM(INDEX(INDIRECT("'WCM Calibration Final'!$E$1:$E$2000"),'Calculations'!$EM370)&amp;"")),"")="","",IF(COUNTIF('Calculations'!$HG$13:$HG$512,"="&amp;SUBSTITUTE(SUBSTITUTE(SUBSTITUTE(IFERROR(IF(INDEX(INDIRECT("'WCM Calibration Final'!$E$1:$E$2000"),'Calculations'!$EM370)="","",TRIM(INDEX(INDIRECT("'WCM Calibration Final'!$E$1:$E$2000"),'Calculations'!$EM370)&amp;"")),""),"~","~~"),"*","~*"),"?","~?"))=1,INDEX('Calculations'!$HE$13:$HE$512,MATCH(IFERROR(IF(INDEX(INDIRECT("'WCM Calibration Final'!$E$1:$E$2000"),'Calculations'!$EM370)="","",TRIM(INDEX(INDIRECT("'WCM Calibration Final'!$E$1:$E$2000"),'Calculations'!$EM370)&amp;"")),""),'Calculations'!$HG$13:$HG$512,0)),IF(COUNTIF('Calculations'!$HG$13:$HG$512,"="&amp;SUBSTITUTE(SUBSTITUTE(SUBSTITUTE(IFERROR(IF(INDEX(INDIRECT("'WCM Calibration Final'!$E$1:$E$2000"),'Calculations'!$EM370)="","",TRIM(INDEX(INDIRECT("'WCM Calibration Final'!$E$1:$E$2000"),'Calculations'!$EM370)&amp;"")),""),"~","~~"),"*","~*"),"?","~?"))&gt;1,"!AMBIG","X:"&amp;IFERROR(IF(INDEX(INDIRECT("'WCM Calibration Final'!$E$1:$E$2000"),'Calculations'!$EM370)="","",TRIM(INDEX(INDIRECT("'WCM Calibration Final'!$E$1:$E$2000"),'Calculations'!$EM370)&amp;"")),""))))))</x:f>
      </x:c>
      <x:c r="HG370" t="str">
        <x:f>IF('Calculations'!EM370="","",IFERROR(IF(INDEX(INDIRECT("'WCM Calibration Final'!$B$1:$B$2000"),'Calculations'!$EM370)="","",TRIM(INDEX(INDIRECT("'WCM Calibration Final'!$B$1:$B$2000"),'Calculations'!$EM370)&amp;"")),""))</x:f>
      </x:c>
      <x:c r="HH370" t="n">
        <x:f>IF(AND('Calculations'!JC370&gt;0,COUNTIF('Calculations'!$HF$12:HF370,"="&amp;SUBSTITUTE(SUBSTITUTE(SUBSTITUTE('Calculations'!HF370,"~","~~"),"*","~*"),"?","~?"))=1),MAX('Calculations'!$HH$12:HH369)+1,0)</x:f>
        <x:v>0</x:v>
      </x:c>
      <x:c r="HI370" t="n">
        <x:f>IF(AND('Calculations'!HN370&lt;&gt;"",COUNTIF('Calculations'!$HN$12:HN370,"="&amp;SUBSTITUTE(SUBSTITUTE(SUBSTITUTE('Calculations'!HN370,"~","~~"),"*","~*"),"?","~?"))=1),MAX('Calculations'!$HI$12:HI369)+1,0)</x:f>
        <x:v>0</x:v>
      </x:c>
      <x:c r="HJ370" t="str">
        <x:f>IF('Calculations'!HF370="","",IF(COUNTIF('Calculations'!$HE$13:$HE$512,"="&amp;SUBSTITUTE(SUBSTITUTE(SUBSTITUTE('Calculations'!HF370,"~","~~"),"*","~*"),"?","~?"))=1,INDEX('Calculations'!$HK$13:$HK$512,MATCH('Calculations'!HF370,'Calculations'!$HE$13:$HE$512,0)),IFERROR(IF(INDEX(INDIRECT("'WCM Calibration Final'!$E$1:$E$2000"),'Calculations'!$EM370)="","",TRIM(INDEX(INDIRECT("'WCM Calibration Final'!$E$1:$E$2000"),'Calculations'!$EM370)&amp;"")),"")&amp;" ["&amp;'Calculations'!HF370&amp;"]"))</x:f>
      </x:c>
      <x:c r="HK370" t="str">
        <x:f>IF('Calculations'!EM370="","",'Calculations'!HG370&amp;" ["&amp;'Calculations'!HE370&amp;"]")</x:f>
      </x:c>
      <x:c r="HL370" t="n">
        <x:f>IF('Calculations'!EM370="",0,IF(OR('Calculations'!II370&lt;&gt;"",COUNTIF('Calculations'!$HE$13:$HE$512,"="&amp;SUBSTITUTE(SUBSTITUTE(SUBSTITUTE('Calculations'!HE370,"~","~~"),"*","~*"),"?","~?"))&gt;1),1,0))</x:f>
        <x:v>0</x:v>
      </x:c>
      <x:c r="HM370" t="str">
        <x:f>IF('Calculations'!EM370="","",IF('Calculations'!HL370=1,"!UNRESOLVED",IF('Calculations'!IH370&lt;&gt;"",'Calculations'!IH370,IF('Calculations'!IG370&lt;&gt;"",'Calculations'!IG370,IF('Calculations'!IF370&lt;&gt;"",'Calculations'!IF370,IF('Calculations'!IE370&lt;&gt;"",'Calculations'!IE370,IF('Calculations'!ID370&lt;&gt;"",'Calculations'!ID370,IF('Calculations'!IC370&lt;&gt;"",'Calculations'!IC370,IF('Calculations'!IB370&lt;&gt;"",'Calculations'!IB370,IF('Calculations'!IA370&lt;&gt;"",'Calculations'!IA370,IF('Calculations'!HZ370&lt;&gt;"",'Calculations'!HZ370,IF('Calculations'!HY370&lt;&gt;"",'Calculations'!HY370,IF('Calculations'!HX370&lt;&gt;"",'Calculations'!HX370,IF('Calculations'!HW370&lt;&gt;"",'Calculations'!HW370,IF('Calculations'!HV370&lt;&gt;"",'Calculations'!HV370,IF('Calculations'!HU370&lt;&gt;"",'Calculations'!HU370,IF('Calculations'!HT370&lt;&gt;"",'Calculations'!HT370,IF('Calculations'!HS370&lt;&gt;"",'Calculations'!HS370,IF('Calculations'!HR370&lt;&gt;"",'Calculations'!HR370,IF('Calculations'!HQ370&lt;&gt;"",'Calculations'!HQ370,IF('Calculations'!HP370&lt;&gt;"",'Calculations'!HP370,IF('Calculations'!HO370&lt;&gt;"",'Calculations'!HO370,'Calculations'!HE370))))))))))))))))))))))</x:f>
      </x:c>
      <x:c r="HN370" t="str">
        <x:f>IF('Calculations'!EM370="","",IF(IFERROR(IF(INDEX(INDIRECT("'WCM Calibration Final'!$F$1:$F$2000"),'Calculations'!$EM370)="","",TRIM(INDEX(INDIRECT("'WCM Calibration Final'!$F$1:$F$2000"),'Calculations'!$EM370)&amp;"")),"")="","(Blank)",IFERROR(IF(INDEX(INDIRECT("'WCM Calibration Final'!$F$1:$F$2000"),'Calculations'!$EM370)="","",TRIM(INDEX(INDIRECT("'WCM Calibration Final'!$F$1:$F$2000"),'Calculations'!$EM370)&amp;"")),"")))</x:f>
      </x:c>
      <x:c r="HO370" t="str">
        <x:f>'Calculations'!HF370</x:f>
      </x:c>
      <x:c r="HP370" t="str">
        <x:f>IF('Calculations'!HO370="","",IF('Calculations'!HO370="!AMBIG","!AMBIG",IF(COUNTIF('Calculations'!$HE$13:$HE$512,"="&amp;SUBSTITUTE(SUBSTITUTE(SUBSTITUTE('Calculations'!HO370,"~","~~"),"*","~*"),"?","~?"))&gt;1,"!AMBIG",IFERROR(INDEX('Calculations'!$HF$13:$HF$512,MATCH('Calculations'!HO370,'Calculations'!$HE$13:$HE$512,0)),""))))</x:f>
      </x:c>
      <x:c r="HQ370" t="str">
        <x:f>IF('Calculations'!HP370="","",IF('Calculations'!HP370="!AMBIG","!AMBIG",IF(COUNTIF('Calculations'!$HE$13:$HE$512,"="&amp;SUBSTITUTE(SUBSTITUTE(SUBSTITUTE('Calculations'!HP370,"~","~~"),"*","~*"),"?","~?"))&gt;1,"!AMBIG",IFERROR(INDEX('Calculations'!$HF$13:$HF$512,MATCH('Calculations'!HP370,'Calculations'!$HE$13:$HE$512,0)),""))))</x:f>
      </x:c>
      <x:c r="HR370" t="str">
        <x:f>IF('Calculations'!HQ370="","",IF('Calculations'!HQ370="!AMBIG","!AMBIG",IF(COUNTIF('Calculations'!$HE$13:$HE$512,"="&amp;SUBSTITUTE(SUBSTITUTE(SUBSTITUTE('Calculations'!HQ370,"~","~~"),"*","~*"),"?","~?"))&gt;1,"!AMBIG",IFERROR(INDEX('Calculations'!$HF$13:$HF$512,MATCH('Calculations'!HQ370,'Calculations'!$HE$13:$HE$512,0)),""))))</x:f>
      </x:c>
      <x:c r="HS370" t="str">
        <x:f>IF('Calculations'!HR370="","",IF('Calculations'!HR370="!AMBIG","!AMBIG",IF(COUNTIF('Calculations'!$HE$13:$HE$512,"="&amp;SUBSTITUTE(SUBSTITUTE(SUBSTITUTE('Calculations'!HR370,"~","~~"),"*","~*"),"?","~?"))&gt;1,"!AMBIG",IFERROR(INDEX('Calculations'!$HF$13:$HF$512,MATCH('Calculations'!HR370,'Calculations'!$HE$13:$HE$512,0)),""))))</x:f>
      </x:c>
      <x:c r="HT370" t="str">
        <x:f>IF('Calculations'!HS370="","",IF('Calculations'!HS370="!AMBIG","!AMBIG",IF(COUNTIF('Calculations'!$HE$13:$HE$512,"="&amp;SUBSTITUTE(SUBSTITUTE(SUBSTITUTE('Calculations'!HS370,"~","~~"),"*","~*"),"?","~?"))&gt;1,"!AMBIG",IFERROR(INDEX('Calculations'!$HF$13:$HF$512,MATCH('Calculations'!HS370,'Calculations'!$HE$13:$HE$512,0)),""))))</x:f>
      </x:c>
      <x:c r="HU370" t="str">
        <x:f>IF('Calculations'!HT370="","",IF('Calculations'!HT370="!AMBIG","!AMBIG",IF(COUNTIF('Calculations'!$HE$13:$HE$512,"="&amp;SUBSTITUTE(SUBSTITUTE(SUBSTITUTE('Calculations'!HT370,"~","~~"),"*","~*"),"?","~?"))&gt;1,"!AMBIG",IFERROR(INDEX('Calculations'!$HF$13:$HF$512,MATCH('Calculations'!HT370,'Calculations'!$HE$13:$HE$512,0)),""))))</x:f>
      </x:c>
      <x:c r="HV370" t="str">
        <x:f>IF('Calculations'!HU370="","",IF('Calculations'!HU370="!AMBIG","!AMBIG",IF(COUNTIF('Calculations'!$HE$13:$HE$512,"="&amp;SUBSTITUTE(SUBSTITUTE(SUBSTITUTE('Calculations'!HU370,"~","~~"),"*","~*"),"?","~?"))&gt;1,"!AMBIG",IFERROR(INDEX('Calculations'!$HF$13:$HF$512,MATCH('Calculations'!HU370,'Calculations'!$HE$13:$HE$512,0)),""))))</x:f>
      </x:c>
      <x:c r="HW370" t="str">
        <x:f>IF('Calculations'!HV370="","",IF('Calculations'!HV370="!AMBIG","!AMBIG",IF(COUNTIF('Calculations'!$HE$13:$HE$512,"="&amp;SUBSTITUTE(SUBSTITUTE(SUBSTITUTE('Calculations'!HV370,"~","~~"),"*","~*"),"?","~?"))&gt;1,"!AMBIG",IFERROR(INDEX('Calculations'!$HF$13:$HF$512,MATCH('Calculations'!HV370,'Calculations'!$HE$13:$HE$512,0)),""))))</x:f>
      </x:c>
      <x:c r="HX370" t="str">
        <x:f>IF('Calculations'!HW370="","",IF('Calculations'!HW370="!AMBIG","!AMBIG",IF(COUNTIF('Calculations'!$HE$13:$HE$512,"="&amp;SUBSTITUTE(SUBSTITUTE(SUBSTITUTE('Calculations'!HW370,"~","~~"),"*","~*"),"?","~?"))&gt;1,"!AMBIG",IFERROR(INDEX('Calculations'!$HF$13:$HF$512,MATCH('Calculations'!HW370,'Calculations'!$HE$13:$HE$512,0)),""))))</x:f>
      </x:c>
      <x:c r="HY370" t="str">
        <x:f>IF('Calculations'!HX370="","",IF('Calculations'!HX370="!AMBIG","!AMBIG",IF(COUNTIF('Calculations'!$HE$13:$HE$512,"="&amp;SUBSTITUTE(SUBSTITUTE(SUBSTITUTE('Calculations'!HX370,"~","~~"),"*","~*"),"?","~?"))&gt;1,"!AMBIG",IFERROR(INDEX('Calculations'!$HF$13:$HF$512,MATCH('Calculations'!HX370,'Calculations'!$HE$13:$HE$512,0)),""))))</x:f>
      </x:c>
      <x:c r="HZ370" t="str">
        <x:f>IF('Calculations'!HY370="","",IF('Calculations'!HY370="!AMBIG","!AMBIG",IF(COUNTIF('Calculations'!$HE$13:$HE$512,"="&amp;SUBSTITUTE(SUBSTITUTE(SUBSTITUTE('Calculations'!HY370,"~","~~"),"*","~*"),"?","~?"))&gt;1,"!AMBIG",IFERROR(INDEX('Calculations'!$HF$13:$HF$512,MATCH('Calculations'!HY370,'Calculations'!$HE$13:$HE$512,0)),""))))</x:f>
      </x:c>
      <x:c r="IA370" t="str">
        <x:f>IF('Calculations'!HZ370="","",IF('Calculations'!HZ370="!AMBIG","!AMBIG",IF(COUNTIF('Calculations'!$HE$13:$HE$512,"="&amp;SUBSTITUTE(SUBSTITUTE(SUBSTITUTE('Calculations'!HZ370,"~","~~"),"*","~*"),"?","~?"))&gt;1,"!AMBIG",IFERROR(INDEX('Calculations'!$HF$13:$HF$512,MATCH('Calculations'!HZ370,'Calculations'!$HE$13:$HE$512,0)),""))))</x:f>
      </x:c>
      <x:c r="IB370" t="str">
        <x:f>IF('Calculations'!IA370="","",IF('Calculations'!IA370="!AMBIG","!AMBIG",IF(COUNTIF('Calculations'!$HE$13:$HE$512,"="&amp;SUBSTITUTE(SUBSTITUTE(SUBSTITUTE('Calculations'!IA370,"~","~~"),"*","~*"),"?","~?"))&gt;1,"!AMBIG",IFERROR(INDEX('Calculations'!$HF$13:$HF$512,MATCH('Calculations'!IA370,'Calculations'!$HE$13:$HE$512,0)),""))))</x:f>
      </x:c>
      <x:c r="IC370" t="str">
        <x:f>IF('Calculations'!IB370="","",IF('Calculations'!IB370="!AMBIG","!AMBIG",IF(COUNTIF('Calculations'!$HE$13:$HE$512,"="&amp;SUBSTITUTE(SUBSTITUTE(SUBSTITUTE('Calculations'!IB370,"~","~~"),"*","~*"),"?","~?"))&gt;1,"!AMBIG",IFERROR(INDEX('Calculations'!$HF$13:$HF$512,MATCH('Calculations'!IB370,'Calculations'!$HE$13:$HE$512,0)),""))))</x:f>
      </x:c>
      <x:c r="ID370" t="str">
        <x:f>IF('Calculations'!IC370="","",IF('Calculations'!IC370="!AMBIG","!AMBIG",IF(COUNTIF('Calculations'!$HE$13:$HE$512,"="&amp;SUBSTITUTE(SUBSTITUTE(SUBSTITUTE('Calculations'!IC370,"~","~~"),"*","~*"),"?","~?"))&gt;1,"!AMBIG",IFERROR(INDEX('Calculations'!$HF$13:$HF$512,MATCH('Calculations'!IC370,'Calculations'!$HE$13:$HE$512,0)),""))))</x:f>
      </x:c>
      <x:c r="IE370" t="str">
        <x:f>IF('Calculations'!ID370="","",IF('Calculations'!ID370="!AMBIG","!AMBIG",IF(COUNTIF('Calculations'!$HE$13:$HE$512,"="&amp;SUBSTITUTE(SUBSTITUTE(SUBSTITUTE('Calculations'!ID370,"~","~~"),"*","~*"),"?","~?"))&gt;1,"!AMBIG",IFERROR(INDEX('Calculations'!$HF$13:$HF$512,MATCH('Calculations'!ID370,'Calculations'!$HE$13:$HE$512,0)),""))))</x:f>
      </x:c>
      <x:c r="IF370" t="str">
        <x:f>IF('Calculations'!IE370="","",IF('Calculations'!IE370="!AMBIG","!AMBIG",IF(COUNTIF('Calculations'!$HE$13:$HE$512,"="&amp;SUBSTITUTE(SUBSTITUTE(SUBSTITUTE('Calculations'!IE370,"~","~~"),"*","~*"),"?","~?"))&gt;1,"!AMBIG",IFERROR(INDEX('Calculations'!$HF$13:$HF$512,MATCH('Calculations'!IE370,'Calculations'!$HE$13:$HE$512,0)),""))))</x:f>
      </x:c>
      <x:c r="IG370" t="str">
        <x:f>IF('Calculations'!IF370="","",IF('Calculations'!IF370="!AMBIG","!AMBIG",IF(COUNTIF('Calculations'!$HE$13:$HE$512,"="&amp;SUBSTITUTE(SUBSTITUTE(SUBSTITUTE('Calculations'!IF370,"~","~~"),"*","~*"),"?","~?"))&gt;1,"!AMBIG",IFERROR(INDEX('Calculations'!$HF$13:$HF$512,MATCH('Calculations'!IF370,'Calculations'!$HE$13:$HE$512,0)),""))))</x:f>
      </x:c>
      <x:c r="IH370" t="str">
        <x:f>IF('Calculations'!IG370="","",IF('Calculations'!IG370="!AMBIG","!AMBIG",IF(COUNTIF('Calculations'!$HE$13:$HE$512,"="&amp;SUBSTITUTE(SUBSTITUTE(SUBSTITUTE('Calculations'!IG370,"~","~~"),"*","~*"),"?","~?"))&gt;1,"!AMBIG",IFERROR(INDEX('Calculations'!$HF$13:$HF$512,MATCH('Calculations'!IG370,'Calculations'!$HE$13:$HE$512,0)),""))))</x:f>
      </x:c>
      <x:c r="II370" t="str">
        <x:f>IF('Calculations'!IH370="","",IF('Calculations'!IH370="!AMBIG","!AMBIG",IF(COUNTIF('Calculations'!$HE$13:$HE$512,"="&amp;SUBSTITUTE(SUBSTITUTE(SUBSTITUTE('Calculations'!IH370,"~","~~"),"*","~*"),"?","~?"))&gt;1,"!AMBIG",IFERROR(INDEX('Calculations'!$HF$13:$HF$512,MATCH('Calculations'!IH370,'Calculations'!$HE$13:$HE$512,0)),""))))</x:f>
      </x:c>
      <x:c r="IJ370" t="str">
        <x:f>IF('Calculations'!EM370="","",IF('Calculations'!$EF$2="All",'Calculations'!HM370,IF('Calculations'!HL370=1,"",IFERROR(IF(MATCH('Calculations'!$EF$2,'Calculations'!HO370:II370,0)=1,'Calculations'!HE370,INDEX('Calculations'!HO370:II370,1,MATCH('Calculations'!$EF$2,'Calculations'!HO370:II370,0)-1)),""))))</x:f>
      </x:c>
      <x:c r="IK370" t="n">
        <x:f>IF(AND('Calculations'!EM370&lt;&gt;"",'Calculations'!$EF$2&lt;&gt;"All",'Calculations'!HF370='Calculations'!$EF$2,'Calculations'!HL370=0,'Calculations'!JD370&gt;0),MAX('Calculations'!$IK$12:IK369)+1,0)</x:f>
        <x:v>0</x:v>
      </x:c>
      <x:c r="JA370" t="n">
        <x:f>IF(OR(IFERROR(INDIRECT("'WCM Calibration Final'!$A$370")&lt;&gt;"",FALSE),IFERROR(INDIRECT("'WCM Calibration Final'!$B$370")&lt;&gt;"",FALSE),IFERROR(INDIRECT("'WCM Calibration Final'!$C$370")&lt;&gt;"",FALSE)),370,0)</x:f>
        <x:v>0</x:v>
      </x:c>
      <x:c r="JB370" t="n">
        <x:f>'Calculations'!JB369+IF('Calculations'!JA370&gt;0,1,0)</x:f>
        <x:v>0</x:v>
      </x:c>
      <x:c r="JC370" t="n">
        <x:f>IF(OR('Calculations'!HF370="",'Calculations'!HF370="!AMBIG"),0,IF('Dashboard'!$B$7="All",1,COUNTIFS('Calculations'!$HO$13:$HO$512,"="&amp;SUBSTITUTE(SUBSTITUTE(SUBSTITUTE('Calculations'!HF370,"~","~~"),"*","~*"),"?","~?"),'Calculations'!$HN$13:$HN$512,"="&amp;SUBSTITUTE(SUBSTITUTE(SUBSTITUTE('Dashboard'!$B$7,"~","~~"),"*","~*"),"?","~?"))+COUNTIFS('Calculations'!$HP$13:$HP$512,"="&amp;SUBSTITUTE(SUBSTITUTE(SUBSTITUTE('Calculations'!HF370,"~","~~"),"*","~*"),"?","~?"),'Calculations'!$HN$13:$HN$512,"="&amp;SUBSTITUTE(SUBSTITUTE(SUBSTITUTE('Dashboard'!$B$7,"~","~~"),"*","~*"),"?","~?"))+COUNTIFS('Calculations'!$HQ$13:$HQ$512,"="&amp;SUBSTITUTE(SUBSTITUTE(SUBSTITUTE('Calculations'!HF370,"~","~~"),"*","~*"),"?","~?"),'Calculations'!$HN$13:$HN$512,"="&amp;SUBSTITUTE(SUBSTITUTE(SUBSTITUTE('Dashboard'!$B$7,"~","~~"),"*","~*"),"?","~?"))+COUNTIFS('Calculations'!$HR$13:$HR$512,"="&amp;SUBSTITUTE(SUBSTITUTE(SUBSTITUTE('Calculations'!HF370,"~","~~"),"*","~*"),"?","~?"),'Calculations'!$HN$13:$HN$512,"="&amp;SUBSTITUTE(SUBSTITUTE(SUBSTITUTE('Dashboard'!$B$7,"~","~~"),"*","~*"),"?","~?"))+COUNTIFS('Calculations'!$HS$13:$HS$512,"="&amp;SUBSTITUTE(SUBSTITUTE(SUBSTITUTE('Calculations'!HF370,"~","~~"),"*","~*"),"?","~?"),'Calculations'!$HN$13:$HN$512,"="&amp;SUBSTITUTE(SUBSTITUTE(SUBSTITUTE('Dashboard'!$B$7,"~","~~"),"*","~*"),"?","~?"))+COUNTIFS('Calculations'!$HT$13:$HT$512,"="&amp;SUBSTITUTE(SUBSTITUTE(SUBSTITUTE('Calculations'!HF370,"~","~~"),"*","~*"),"?","~?"),'Calculations'!$HN$13:$HN$512,"="&amp;SUBSTITUTE(SUBSTITUTE(SUBSTITUTE('Dashboard'!$B$7,"~","~~"),"*","~*"),"?","~?"))+COUNTIFS('Calculations'!$HU$13:$HU$512,"="&amp;SUBSTITUTE(SUBSTITUTE(SUBSTITUTE('Calculations'!HF370,"~","~~"),"*","~*"),"?","~?"),'Calculations'!$HN$13:$HN$512,"="&amp;SUBSTITUTE(SUBSTITUTE(SUBSTITUTE('Dashboard'!$B$7,"~","~~"),"*","~*"),"?","~?"))+COUNTIFS('Calculations'!$HV$13:$HV$512,"="&amp;SUBSTITUTE(SUBSTITUTE(SUBSTITUTE('Calculations'!HF370,"~","~~"),"*","~*"),"?","~?"),'Calculations'!$HN$13:$HN$512,"="&amp;SUBSTITUTE(SUBSTITUTE(SUBSTITUTE('Dashboard'!$B$7,"~","~~"),"*","~*"),"?","~?"))+COUNTIFS('Calculations'!$HW$13:$HW$512,"="&amp;SUBSTITUTE(SUBSTITUTE(SUBSTITUTE('Calculations'!HF370,"~","~~"),"*","~*"),"?","~?"),'Calculations'!$HN$13:$HN$512,"="&amp;SUBSTITUTE(SUBSTITUTE(SUBSTITUTE('Dashboard'!$B$7,"~","~~"),"*","~*"),"?","~?"))+COUNTIFS('Calculations'!$HX$13:$HX$512,"="&amp;SUBSTITUTE(SUBSTITUTE(SUBSTITUTE('Calculations'!HF370,"~","~~"),"*","~*"),"?","~?"),'Calculations'!$HN$13:$HN$512,"="&amp;SUBSTITUTE(SUBSTITUTE(SUBSTITUTE('Dashboard'!$B$7,"~","~~"),"*","~*"),"?","~?"))+COUNTIFS('Calculations'!$HY$13:$HY$512,"="&amp;SUBSTITUTE(SUBSTITUTE(SUBSTITUTE('Calculations'!HF370,"~","~~"),"*","~*"),"?","~?"),'Calculations'!$HN$13:$HN$512,"="&amp;SUBSTITUTE(SUBSTITUTE(SUBSTITUTE('Dashboard'!$B$7,"~","~~"),"*","~*"),"?","~?"))+COUNTIFS('Calculations'!$HZ$13:$HZ$512,"="&amp;SUBSTITUTE(SUBSTITUTE(SUBSTITUTE('Calculations'!HF370,"~","~~"),"*","~*"),"?","~?"),'Calculations'!$HN$13:$HN$512,"="&amp;SUBSTITUTE(SUBSTITUTE(SUBSTITUTE('Dashboard'!$B$7,"~","~~"),"*","~*"),"?","~?"))+COUNTIFS('Calculations'!$IA$13:$IA$512,"="&amp;SUBSTITUTE(SUBSTITUTE(SUBSTITUTE('Calculations'!HF370,"~","~~"),"*","~*"),"?","~?"),'Calculations'!$HN$13:$HN$512,"="&amp;SUBSTITUTE(SUBSTITUTE(SUBSTITUTE('Dashboard'!$B$7,"~","~~"),"*","~*"),"?","~?"))+COUNTIFS('Calculations'!$IB$13:$IB$512,"="&amp;SUBSTITUTE(SUBSTITUTE(SUBSTITUTE('Calculations'!HF370,"~","~~"),"*","~*"),"?","~?"),'Calculations'!$HN$13:$HN$512,"="&amp;SUBSTITUTE(SUBSTITUTE(SUBSTITUTE('Dashboard'!$B$7,"~","~~"),"*","~*"),"?","~?"))+COUNTIFS('Calculations'!$IC$13:$IC$512,"="&amp;SUBSTITUTE(SUBSTITUTE(SUBSTITUTE('Calculations'!HF370,"~","~~"),"*","~*"),"?","~?"),'Calculations'!$HN$13:$HN$512,"="&amp;SUBSTITUTE(SUBSTITUTE(SUBSTITUTE('Dashboard'!$B$7,"~","~~"),"*","~*"),"?","~?"))+COUNTIFS('Calculations'!$ID$13:$ID$512,"="&amp;SUBSTITUTE(SUBSTITUTE(SUBSTITUTE('Calculations'!HF370,"~","~~"),"*","~*"),"?","~?"),'Calculations'!$HN$13:$HN$512,"="&amp;SUBSTITUTE(SUBSTITUTE(SUBSTITUTE('Dashboard'!$B$7,"~","~~"),"*","~*"),"?","~?"))+COUNTIFS('Calculations'!$IE$13:$IE$512,"="&amp;SUBSTITUTE(SUBSTITUTE(SUBSTITUTE('Calculations'!HF370,"~","~~"),"*","~*"),"?","~?"),'Calculations'!$HN$13:$HN$512,"="&amp;SUBSTITUTE(SUBSTITUTE(SUBSTITUTE('Dashboard'!$B$7,"~","~~"),"*","~*"),"?","~?"))+COUNTIFS('Calculations'!$IF$13:$IF$512,"="&amp;SUBSTITUTE(SUBSTITUTE(SUBSTITUTE('Calculations'!HF370,"~","~~"),"*","~*"),"?","~?"),'Calculations'!$HN$13:$HN$512,"="&amp;SUBSTITUTE(SUBSTITUTE(SUBSTITUTE('Dashboard'!$B$7,"~","~~"),"*","~*"),"?","~?"))+COUNTIFS('Calculations'!$IG$13:$IG$512,"="&amp;SUBSTITUTE(SUBSTITUTE(SUBSTITUTE('Calculations'!HF370,"~","~~"),"*","~*"),"?","~?"),'Calculations'!$HN$13:$HN$512,"="&amp;SUBSTITUTE(SUBSTITUTE(SUBSTITUTE('Dashboard'!$B$7,"~","~~"),"*","~*"),"?","~?"))+COUNTIFS('Calculations'!$IH$13:$IH$512,"="&amp;SUBSTITUTE(SUBSTITUTE(SUBSTITUTE('Calculations'!HF370,"~","~~"),"*","~*"),"?","~?"),'Calculations'!$HN$13:$HN$512,"="&amp;SUBSTITUTE(SUBSTITUTE(SUBSTITUTE('Dashboard'!$B$7,"~","~~"),"*","~*"),"?","~?"))))</x:f>
        <x:v>0</x:v>
      </x:c>
      <x:c r="JD370" t="n">
        <x:f>IF('Calculations'!EM370="",0,IF('Dashboard'!$B$7="All",1,IF('Calculations'!HN370='Dashboard'!$B$7,1,0)+IFERROR(INDEX('Calculations'!$JC$13:$JC$512,MATCH('Calculations'!HE370,'Calculations'!$HF$13:$HF$512,0)),0)))</x:f>
        <x:v>0</x:v>
      </x:c>
      <x:c r="JE370" t="n">
        <x:f>IF(AND('Calculations'!EM370&lt;&gt;"",'Calculations'!$JJ$2&lt;&gt;"All",'Calculations'!$JJ$2&lt;&gt;"",'Calculations'!HF370='Calculations'!$JJ$2,'Calculations'!HL370=0,'Calculations'!JD370&gt;0),MAX('Calculations'!$JE$12:JE369)+1,0)</x:f>
        <x:v>0</x:v>
      </x:c>
      <x:c r="JF370" t="str">
        <x:f>IF('Calculations'!EM370="","",IFERROR(IF(INDEX(INDIRECT("'WCM Calibration Final'!$G$1:$G$2000"),'Calculations'!$EM370)="","",TRIM(INDEX(INDIRECT("'WCM Calibration Final'!$G$1:$G$2000"),'Calculations'!$EM370)&amp;"")),""))</x:f>
      </x:c>
      <x:c r="JQ370" t="n">
        <x:f>IF(OR('Calculations'!BM370=0,NOT('Calculations'!$AG$2),'Calculations'!$AG$8&gt;0),0,IF(OR('Dashboard'!$B$7="All",'Calculations'!HN370='Dashboard'!$B$7),IF('Calculations'!$JJ$2="All",1,IF(AND('Calculations'!HF370='Calculations'!$JJ$2,'Calculations'!HL370=0),1,0)),0))</x:f>
        <x:v>0</x:v>
      </x:c>
    </x:row>
    <x:row r="371">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t="n">
        <x:f>IF('Calculations'!$EM371="",0,IF(OR(IFERROR(INDEX(INDIRECT("'WCM Calibration Final'!$A$1:$A$2000"),'Calculations'!$EM371)&lt;&gt;"",FALSE),IFERROR(INDEX(INDIRECT("'WCM Calibration Final'!$B$1:$B$2000"),'Calculations'!$EM371)&lt;&gt;"",FALSE),IFERROR(INDEX(INDIRECT("'WCM Calibration Final'!$C$1:$C$2000"),'Calculations'!$EM371)&lt;&gt;"",FALSE)),1,0))</x:f>
        <x:v>0</x:v>
      </x:c>
      <x:c r="BN371" s="4" t="n">
        <x:f>IF(AND('Calculations'!BM371=1,'Calculations'!$AG$2,'Calculations'!$EN371=1),1,0)</x:f>
        <x:v>0</x:v>
      </x:c>
      <x:c r="BO371" s="4" t="str">
        <x:f>IF('Calculations'!BM371=0,"",IFERROR(IF(AND(VALUE(INDEX(INDIRECT("'WCM Calibration Final'!$K$1:$K$2000"),'Calculations'!$EM371))&gt;=1,VALUE(INDEX(INDIRECT("'WCM Calibration Final'!$K$1:$K$2000"),'Calculations'!$EM371))&lt;=4,MOD(VALUE(INDEX(INDIRECT("'WCM Calibration Final'!$K$1:$K$2000"),'Calculations'!$EM371)),1)=0),VALUE(INDEX(INDIRECT("'WCM Calibration Final'!$K$1:$K$2000"),'Calculations'!$EM371)),""),""))</x:f>
      </x:c>
      <x:c r="BP371" s="4" t="str">
        <x:f>IF('Calculations'!BM371=0,"",IFERROR(IF(AND(VALUE(INDEX(INDIRECT("'WCM Calibration Final'!$L$1:$L$2000"),'Calculations'!$EM371))&gt;=1,VALUE(INDEX(INDIRECT("'WCM Calibration Final'!$L$1:$L$2000"),'Calculations'!$EM371))&lt;=4,MOD(VALUE(INDEX(INDIRECT("'WCM Calibration Final'!$L$1:$L$2000"),'Calculations'!$EM371)),1)=0),VALUE(INDEX(INDIRECT("'WCM Calibration Final'!$L$1:$L$2000"),'Calculations'!$EM371)),""),""))</x:f>
      </x:c>
      <x:c r="BQ371" s="4"/>
      <x:c r="BR371" s="4"/>
      <x:c r="BS371" s="4"/>
      <x:c r="BT371" s="4" t="n">
        <x:f>IF(AND('Calculations'!BM371=1,ISNUMBER('Calculations'!BO371),ISNUMBER('Calculations'!BP371)),1,0)</x:f>
        <x:v>0</x:v>
      </x:c>
      <x:c r="BU371" s="4" t="str">
        <x:f>IF('Calculations'!BM371=0,"",'Calculations'!$EO371)</x:f>
      </x:c>
      <x:c r="BV371" s="4" t="str">
        <x:f>IF('Calculations'!BM371=0,"",IFERROR(IF(OR(INDEX(INDIRECT("'WCM Calibration Final'!$H$1:$H$2000"),'Calculations'!$EM371)="MANAGING DIRECTOR",INDEX(INDIRECT("'WCM Calibration Final'!$H$1:$H$2000"),'Calculations'!$EM371)="DIRECTOR",INDEX(INDIRECT("'WCM Calibration Final'!$H$1:$H$2000"),'Calculations'!$EM371)="SENIOR VICE PRESIDENT",INDEX(INDIRECT("'WCM Calibration Final'!$H$1:$H$2000"),'Calculations'!$EM371)="VICE PRESIDENT",INDEX(INDIRECT("'WCM Calibration Final'!$H$1:$H$2000"),'Calculations'!$EM371)="ASSISTANT VICE PRESIDENT",INDEX(INDIRECT("'WCM Calibration Final'!$H$1:$H$2000"),'Calculations'!$EM371)="OFFICER"),UPPER(INDEX(INDIRECT("'WCM Calibration Final'!$H$1:$H$2000"),'Calculations'!$EM371)),"Other"),"Other"))</x:f>
      </x:c>
      <x:c r="BW371" s="4"/>
      <x:c r="BX371" s="4"/>
      <x:c r="BY371" s="4" t="n">
        <x:f>IF(AND('Calculations'!BM371=1,'Calculations'!BU371&lt;&gt;"",COUNTIF('Calculations'!$BU$12:BU371,'Calculations'!BU371)=1),MAX('Calculations'!$BY$11:BY370)+1,0)</x:f>
        <x:v>0</x:v>
      </x:c>
      <x:c r="BZ371" s="4" t="str">
        <x:f>IF('Dashboard'!$E$67="What",'Calculations'!BO371,'Calculations'!BP371)</x:f>
      </x:c>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t="str">
        <x:f>IF(360&gt;MAX('Calculations'!$HI$13:$HI$512),"",INDEX('Calculations'!$HN$13:$HN$512,MATCH(360,'Calculations'!$HI$13:$HI$512,0)))</x:f>
      </x:c>
      <x:c r="DB371" s="4" t="str">
        <x:f>IF(360&gt;MAX('Calculations'!$HH$13:$HH$512),"",INDEX('Calculations'!$HJ$13:$HJ$512,MATCH(360,'Calculations'!$HH$13:$HH$512,0)))</x:f>
      </x:c>
      <x:c r="DC371" s="4" t="str">
        <x:f>IF(ROW()-11&gt;MAX('Calculations'!$BY$13:$BY$512),"",INDEX('Calculations'!$BU$13:$BU$512,MATCH(ROW()-11,'Calculations'!$BY$13:$BY$512,0)))</x:f>
      </x:c>
      <x:c r="DD371" s="4" t="str">
        <x:f>IF(360&gt;MAX('Calculations'!$IK$13:$IK$512),"",INDEX('Calculations'!$HK$13:$HK$512,MATCH(360,'Calculations'!$IK$13:$IK$512,0)))</x:f>
      </x:c>
      <x:c r="DE371" s="4" t="str">
        <x:f>'Calculations'!DC371</x:f>
      </x:c>
      <x:c r="DF371" s="4" t="str">
        <x:f>IF('Calculations'!DE371="","",COUNTIFS('Calculations'!$BN$13:$BN$512,1,'Calculations'!$BU$13:$BU$512,'Calculations'!DE371))</x:f>
      </x:c>
      <x:c r="DG371" s="4" t="str">
        <x:f>IF('Calculations'!DE371="","",COUNTIFS('Calculations'!$BN$13:$BN$512,1,'Calculations'!$BU$13:$BU$512,'Calculations'!DE371,'Calculations'!$BT$13:$BT$512,1))</x:f>
      </x:c>
      <x:c r="DH371" s="4" t="str">
        <x:f>IF('Calculations'!DE371="","",'Calculations'!DF371-'Calculations'!DG371)</x:f>
      </x:c>
      <x:c r="DI371" s="4" t="str">
        <x:f>IF(OR('Calculations'!DE371="",'Calculations'!DF371=0),"",'Calculations'!DG371/'Calculations'!DF371)</x:f>
      </x:c>
      <x:c r="DJ371" s="4" t="str">
        <x:f>IF('Calculations'!DE371="","",COUNTIFS('Calculations'!$BN$13:$BN$512,1,'Calculations'!$BU$13:$BU$512,'Calculations'!DE371,'Calculations'!$BT$13:$BT$512,1,'Calculations'!$EE$13:$EE$512,"High"))</x:f>
      </x:c>
      <x:c r="DK371" s="4" t="str">
        <x:f>IF('Calculations'!DE371="","",COUNTIFS('Calculations'!$BN$13:$BN$512,1,'Calculations'!$BU$13:$BU$512,'Calculations'!DE371,'Calculations'!$BT$13:$BT$512,1,'Calculations'!$EE$13:$EE$512,"Strong"))</x:f>
      </x:c>
      <x:c r="DL371" s="4" t="str">
        <x:f>IF('Calculations'!DE371="","",COUNTIFS('Calculations'!$BN$13:$BN$512,1,'Calculations'!$BU$13:$BU$512,'Calculations'!DE371,'Calculations'!$BT$13:$BT$512,1,'Calculations'!$EE$13:$EE$512,"Solid"))</x:f>
      </x:c>
      <x:c r="DM371" s="4" t="str">
        <x:f>IF('Calculations'!DE371="","",COUNTIFS('Calculations'!$BN$13:$BN$512,1,'Calculations'!$BU$13:$BU$512,'Calculations'!DE371,'Calculations'!$BT$13:$BT$512,1,'Calculations'!$EE$13:$EE$512,"Low"))</x:f>
      </x:c>
      <x:c r="DN371" s="4" t="str">
        <x:f>IF('Calculations'!DE371="","",COUNTIFS('Calculations'!$BN$13:$BN$512,1,'Calculations'!$BU$13:$BU$512,'Calculations'!DE371,'Calculations'!$EP$13:$EP$512,1))</x:f>
      </x:c>
      <x:c r="DO371" s="4" t="str">
        <x:f>IF(OR('Calculations'!DE371="",'Calculations'!DG371=0),"",('Calculations'!DJ371+'Calculations'!DK371)/'Calculations'!DG371)</x:f>
      </x:c>
      <x:c r="DP371" s="4" t="n">
        <x:f>IF(AND('Calculations'!DE371&lt;&gt;"",'Calculations'!DF371&gt;0),COUNTIF('Calculations'!$DF$12:DF371,"&gt;0"),0)</x:f>
        <x:v>0</x:v>
      </x:c>
      <x:c r="DQ371" s="4" t="str">
        <x:f>IF(360&gt;MAX('Calculations'!$HH$13:$HH$512),"",INDEX('Calculations'!$HF$13:$HF$512,MATCH(360,'Calculations'!$HH$13:$HH$512,0)))</x:f>
      </x:c>
      <x:c r="DR371" s="4" t="str">
        <x:f>IF(360&gt;MAX('Calculations'!$IK$13:$IK$512),"",INDEX('Calculations'!$HE$13:$HE$512,MATCH(360,'Calculations'!$IK$13:$IK$512,0)))</x:f>
      </x:c>
      <x:c r="DS371" s="4"/>
      <x:c r="DT371" s="4"/>
      <x:c r="DU371" s="4"/>
      <x:c r="DV371" s="4"/>
      <x:c r="DW371" s="4"/>
      <x:c r="DX371" s="4"/>
      <x:c r="DY371" s="4"/>
      <x:c r="DZ371" s="4"/>
      <x:c r="EA371" s="4"/>
      <x:c r="EB371" s="4"/>
      <x:c r="EC371" s="4"/>
      <x:c r="ED371" s="4"/>
      <x:c r="EE371" s="4" t="str">
        <x:f>IF('Calculations'!BT371=0,"Not Rated",IF(OR('Calculations'!BO371&gt;=4,'Calculations'!BP371&gt;=4),"Low",IF('Calculations'!BO371+'Calculations'!BP371&lt;=3,"High",IF('Calculations'!BO371+'Calculations'!BP371&lt;=4,"Strong","Solid"))))</x:f>
        <x:v>Not Rated</x:v>
      </x:c>
      <x:c r="EF371" s="4"/>
      <x:c r="EG371" s="4"/>
      <x:c r="EH371" s="4"/>
      <x:c r="EI371" s="4"/>
      <x:c r="EJ371" s="4"/>
      <x:c r="EK371" s="4"/>
      <x:c r="EL371" s="4"/>
      <x:c r="EM371" s="4" t="str">
        <x:f>IF(359&gt;'Calculations'!$JB$2000,"",INDEX('Calculations'!$JA$12:$JA$2000,MATCH(359,'Calculations'!$JB$12:$JB$2000,0)))</x:f>
      </x:c>
      <x:c r="EN371" s="4" t="n">
        <x:f>IF(OR('Calculations'!EM371="",'Calculations'!$AG$8&gt;0,AND('Calculations'!$EF$2&lt;&gt;"All",'Calculations'!HE371='Calculations'!$EF$2),AND('Calculations'!$EF$3&lt;&gt;"All",'Calculations'!HE371='Calculations'!$EF$3)),0,IF(OR('Dashboard'!$B$7="All",'Calculations'!HN371='Dashboard'!$B$7),IF('Calculations'!$EF$2="All",1,IF('Calculations'!HL371&gt;0,0,IF(COUNTIF('Calculations'!HO371:II371,"="&amp;SUBSTITUTE(SUBSTITUTE(SUBSTITUTE('Calculations'!$EF$2,"~","~~"),"*","~*"),"?","~?"))=0,0,IF('Calculations'!$EF$3="All",1,IF(COUNTIF('Calculations'!HO371:II371,"="&amp;SUBSTITUTE(SUBSTITUTE(SUBSTITUTE('Calculations'!$EF$3,"~","~~"),"*","~*"),"?","~?"))&gt;0,1,0))))),0))</x:f>
        <x:v>0</x:v>
      </x:c>
      <x:c r="EO371" s="4" t="str">
        <x:f>IF('Calculations'!IJ371="","",IF('Calculations'!IJ371="!UNRESOLVED","Unresolved hierarchy",IFERROR(INDEX('Calculations'!$HK$13:$HK$512,MATCH('Calculations'!IJ371,'Calculations'!$HE$13:$HE$512,0)),IFERROR(INDEX('Calculations'!$HJ$13:$HJ$512,MATCH('Calculations'!IJ371,'Calculations'!$HF$13:$HF$512,0)),'Calculations'!IJ371))))</x:f>
      </x:c>
      <x:c r="EP371" s="4" t="n">
        <x:f>IF(AND('Calculations'!EM371&lt;&gt;"",'Calculations'!HF371='Calculations'!IJ371),1,0)</x:f>
        <x:v>0</x:v>
      </x:c>
      <x:c r="EQ371" s="4"/>
      <x:c r="ER371" s="4"/>
      <x:c r="ES371" s="4"/>
      <x:c r="ET371" s="4"/>
      <x:c r="EU371" s="4"/>
      <x:c r="EV371" s="4"/>
      <x:c r="EW371" s="4"/>
      <x:c r="EX371" s="4"/>
      <x:c r="EY371" s="4"/>
      <x:c r="EZ371" s="4"/>
      <x:c r="FA371" s="4"/>
      <x:c r="FB371" s="4"/>
      <x:c r="FC371" s="4"/>
      <x:c r="FD371" s="4"/>
      <x:c r="FE371" s="4"/>
      <x:c r="FF371" s="4"/>
      <x:c r="FG371" s="4"/>
      <x:c r="FH371" s="4"/>
      <x:c r="FI371" s="4"/>
      <x:c r="FJ371" s="4"/>
      <x:c r="FK371" s="4"/>
      <x:c r="FL371" s="4"/>
      <x:c r="FM371" s="4"/>
      <x:c r="FN371" s="4"/>
      <x:c r="FO371" s="4"/>
      <x:c r="HE371" t="str">
        <x:f>IF('Calculations'!EM371="","",IF(IFERROR(IF(INDEX(INDIRECT("'WCM Calibration Final'!$A$1:$A$2000"),'Calculations'!$EM371)="","",TRIM(INDEX(INDIRECT("'WCM Calibration Final'!$A$1:$A$2000"),'Calculations'!$EM371)&amp;"")),"")&lt;&gt;"","G:"&amp;IFERROR(TEXT(1*INDEX(INDIRECT("'WCM Calibration Final'!$A$1:$A$2000"),'Calculations'!$EM371),"0"),UPPER(IFERROR(IF(INDEX(INDIRECT("'WCM Calibration Final'!$A$1:$A$2000"),'Calculations'!$EM371)="","",TRIM(INDEX(INDIRECT("'WCM Calibration Final'!$A$1:$A$2000"),'Calculations'!$EM371)&amp;"")),""))),IF(IFERROR(IF(INDEX(INDIRECT("'WCM Calibration Final'!$C$1:$C$2000"),'Calculations'!$EM371)="","",TRIM(INDEX(INDIRECT("'WCM Calibration Final'!$C$1:$C$2000"),'Calculations'!$EM371)&amp;"")),"")&lt;&gt;"","S:"&amp;UPPER(IFERROR(IF(INDEX(INDIRECT("'WCM Calibration Final'!$C$1:$C$2000"),'Calculations'!$EM371)="","",TRIM(INDEX(INDIRECT("'WCM Calibration Final'!$C$1:$C$2000"),'Calculations'!$EM371)&amp;"")),"")),"R:"&amp;'Calculations'!EM371)))</x:f>
      </x:c>
      <x:c r="HF371" t="str">
        <x:f>IF('Calculations'!EM371="","",IF(IFERROR(IF(INDEX(INDIRECT("'WCM Calibration Final'!$D$1:$D$2000"),'Calculations'!$EM371)="","",TRIM(INDEX(INDIRECT("'WCM Calibration Final'!$D$1:$D$2000"),'Calculations'!$EM371)&amp;"")),"")&lt;&gt;"","G:"&amp;IFERROR(TEXT(1*INDEX(INDIRECT("'WCM Calibration Final'!$D$1:$D$2000"),'Calculations'!$EM371),"0"),UPPER(IFERROR(IF(INDEX(INDIRECT("'WCM Calibration Final'!$D$1:$D$2000"),'Calculations'!$EM371)="","",TRIM(INDEX(INDIRECT("'WCM Calibration Final'!$D$1:$D$2000"),'Calculations'!$EM371)&amp;"")),""))),IF(IFERROR(IF(INDEX(INDIRECT("'WCM Calibration Final'!$E$1:$E$2000"),'Calculations'!$EM371)="","",TRIM(INDEX(INDIRECT("'WCM Calibration Final'!$E$1:$E$2000"),'Calculations'!$EM371)&amp;"")),"")="","",IF(COUNTIF('Calculations'!$HG$13:$HG$512,"="&amp;SUBSTITUTE(SUBSTITUTE(SUBSTITUTE(IFERROR(IF(INDEX(INDIRECT("'WCM Calibration Final'!$E$1:$E$2000"),'Calculations'!$EM371)="","",TRIM(INDEX(INDIRECT("'WCM Calibration Final'!$E$1:$E$2000"),'Calculations'!$EM371)&amp;"")),""),"~","~~"),"*","~*"),"?","~?"))=1,INDEX('Calculations'!$HE$13:$HE$512,MATCH(IFERROR(IF(INDEX(INDIRECT("'WCM Calibration Final'!$E$1:$E$2000"),'Calculations'!$EM371)="","",TRIM(INDEX(INDIRECT("'WCM Calibration Final'!$E$1:$E$2000"),'Calculations'!$EM371)&amp;"")),""),'Calculations'!$HG$13:$HG$512,0)),IF(COUNTIF('Calculations'!$HG$13:$HG$512,"="&amp;SUBSTITUTE(SUBSTITUTE(SUBSTITUTE(IFERROR(IF(INDEX(INDIRECT("'WCM Calibration Final'!$E$1:$E$2000"),'Calculations'!$EM371)="","",TRIM(INDEX(INDIRECT("'WCM Calibration Final'!$E$1:$E$2000"),'Calculations'!$EM371)&amp;"")),""),"~","~~"),"*","~*"),"?","~?"))&gt;1,"!AMBIG","X:"&amp;IFERROR(IF(INDEX(INDIRECT("'WCM Calibration Final'!$E$1:$E$2000"),'Calculations'!$EM371)="","",TRIM(INDEX(INDIRECT("'WCM Calibration Final'!$E$1:$E$2000"),'Calculations'!$EM371)&amp;"")),""))))))</x:f>
      </x:c>
      <x:c r="HG371" t="str">
        <x:f>IF('Calculations'!EM371="","",IFERROR(IF(INDEX(INDIRECT("'WCM Calibration Final'!$B$1:$B$2000"),'Calculations'!$EM371)="","",TRIM(INDEX(INDIRECT("'WCM Calibration Final'!$B$1:$B$2000"),'Calculations'!$EM371)&amp;"")),""))</x:f>
      </x:c>
      <x:c r="HH371" t="n">
        <x:f>IF(AND('Calculations'!JC371&gt;0,COUNTIF('Calculations'!$HF$12:HF371,"="&amp;SUBSTITUTE(SUBSTITUTE(SUBSTITUTE('Calculations'!HF371,"~","~~"),"*","~*"),"?","~?"))=1),MAX('Calculations'!$HH$12:HH370)+1,0)</x:f>
        <x:v>0</x:v>
      </x:c>
      <x:c r="HI371" t="n">
        <x:f>IF(AND('Calculations'!HN371&lt;&gt;"",COUNTIF('Calculations'!$HN$12:HN371,"="&amp;SUBSTITUTE(SUBSTITUTE(SUBSTITUTE('Calculations'!HN371,"~","~~"),"*","~*"),"?","~?"))=1),MAX('Calculations'!$HI$12:HI370)+1,0)</x:f>
        <x:v>0</x:v>
      </x:c>
      <x:c r="HJ371" t="str">
        <x:f>IF('Calculations'!HF371="","",IF(COUNTIF('Calculations'!$HE$13:$HE$512,"="&amp;SUBSTITUTE(SUBSTITUTE(SUBSTITUTE('Calculations'!HF371,"~","~~"),"*","~*"),"?","~?"))=1,INDEX('Calculations'!$HK$13:$HK$512,MATCH('Calculations'!HF371,'Calculations'!$HE$13:$HE$512,0)),IFERROR(IF(INDEX(INDIRECT("'WCM Calibration Final'!$E$1:$E$2000"),'Calculations'!$EM371)="","",TRIM(INDEX(INDIRECT("'WCM Calibration Final'!$E$1:$E$2000"),'Calculations'!$EM371)&amp;"")),"")&amp;" ["&amp;'Calculations'!HF371&amp;"]"))</x:f>
      </x:c>
      <x:c r="HK371" t="str">
        <x:f>IF('Calculations'!EM371="","",'Calculations'!HG371&amp;" ["&amp;'Calculations'!HE371&amp;"]")</x:f>
      </x:c>
      <x:c r="HL371" t="n">
        <x:f>IF('Calculations'!EM371="",0,IF(OR('Calculations'!II371&lt;&gt;"",COUNTIF('Calculations'!$HE$13:$HE$512,"="&amp;SUBSTITUTE(SUBSTITUTE(SUBSTITUTE('Calculations'!HE371,"~","~~"),"*","~*"),"?","~?"))&gt;1),1,0))</x:f>
        <x:v>0</x:v>
      </x:c>
      <x:c r="HM371" t="str">
        <x:f>IF('Calculations'!EM371="","",IF('Calculations'!HL371=1,"!UNRESOLVED",IF('Calculations'!IH371&lt;&gt;"",'Calculations'!IH371,IF('Calculations'!IG371&lt;&gt;"",'Calculations'!IG371,IF('Calculations'!IF371&lt;&gt;"",'Calculations'!IF371,IF('Calculations'!IE371&lt;&gt;"",'Calculations'!IE371,IF('Calculations'!ID371&lt;&gt;"",'Calculations'!ID371,IF('Calculations'!IC371&lt;&gt;"",'Calculations'!IC371,IF('Calculations'!IB371&lt;&gt;"",'Calculations'!IB371,IF('Calculations'!IA371&lt;&gt;"",'Calculations'!IA371,IF('Calculations'!HZ371&lt;&gt;"",'Calculations'!HZ371,IF('Calculations'!HY371&lt;&gt;"",'Calculations'!HY371,IF('Calculations'!HX371&lt;&gt;"",'Calculations'!HX371,IF('Calculations'!HW371&lt;&gt;"",'Calculations'!HW371,IF('Calculations'!HV371&lt;&gt;"",'Calculations'!HV371,IF('Calculations'!HU371&lt;&gt;"",'Calculations'!HU371,IF('Calculations'!HT371&lt;&gt;"",'Calculations'!HT371,IF('Calculations'!HS371&lt;&gt;"",'Calculations'!HS371,IF('Calculations'!HR371&lt;&gt;"",'Calculations'!HR371,IF('Calculations'!HQ371&lt;&gt;"",'Calculations'!HQ371,IF('Calculations'!HP371&lt;&gt;"",'Calculations'!HP371,IF('Calculations'!HO371&lt;&gt;"",'Calculations'!HO371,'Calculations'!HE371))))))))))))))))))))))</x:f>
      </x:c>
      <x:c r="HN371" t="str">
        <x:f>IF('Calculations'!EM371="","",IF(IFERROR(IF(INDEX(INDIRECT("'WCM Calibration Final'!$F$1:$F$2000"),'Calculations'!$EM371)="","",TRIM(INDEX(INDIRECT("'WCM Calibration Final'!$F$1:$F$2000"),'Calculations'!$EM371)&amp;"")),"")="","(Blank)",IFERROR(IF(INDEX(INDIRECT("'WCM Calibration Final'!$F$1:$F$2000"),'Calculations'!$EM371)="","",TRIM(INDEX(INDIRECT("'WCM Calibration Final'!$F$1:$F$2000"),'Calculations'!$EM371)&amp;"")),"")))</x:f>
      </x:c>
      <x:c r="HO371" t="str">
        <x:f>'Calculations'!HF371</x:f>
      </x:c>
      <x:c r="HP371" t="str">
        <x:f>IF('Calculations'!HO371="","",IF('Calculations'!HO371="!AMBIG","!AMBIG",IF(COUNTIF('Calculations'!$HE$13:$HE$512,"="&amp;SUBSTITUTE(SUBSTITUTE(SUBSTITUTE('Calculations'!HO371,"~","~~"),"*","~*"),"?","~?"))&gt;1,"!AMBIG",IFERROR(INDEX('Calculations'!$HF$13:$HF$512,MATCH('Calculations'!HO371,'Calculations'!$HE$13:$HE$512,0)),""))))</x:f>
      </x:c>
      <x:c r="HQ371" t="str">
        <x:f>IF('Calculations'!HP371="","",IF('Calculations'!HP371="!AMBIG","!AMBIG",IF(COUNTIF('Calculations'!$HE$13:$HE$512,"="&amp;SUBSTITUTE(SUBSTITUTE(SUBSTITUTE('Calculations'!HP371,"~","~~"),"*","~*"),"?","~?"))&gt;1,"!AMBIG",IFERROR(INDEX('Calculations'!$HF$13:$HF$512,MATCH('Calculations'!HP371,'Calculations'!$HE$13:$HE$512,0)),""))))</x:f>
      </x:c>
      <x:c r="HR371" t="str">
        <x:f>IF('Calculations'!HQ371="","",IF('Calculations'!HQ371="!AMBIG","!AMBIG",IF(COUNTIF('Calculations'!$HE$13:$HE$512,"="&amp;SUBSTITUTE(SUBSTITUTE(SUBSTITUTE('Calculations'!HQ371,"~","~~"),"*","~*"),"?","~?"))&gt;1,"!AMBIG",IFERROR(INDEX('Calculations'!$HF$13:$HF$512,MATCH('Calculations'!HQ371,'Calculations'!$HE$13:$HE$512,0)),""))))</x:f>
      </x:c>
      <x:c r="HS371" t="str">
        <x:f>IF('Calculations'!HR371="","",IF('Calculations'!HR371="!AMBIG","!AMBIG",IF(COUNTIF('Calculations'!$HE$13:$HE$512,"="&amp;SUBSTITUTE(SUBSTITUTE(SUBSTITUTE('Calculations'!HR371,"~","~~"),"*","~*"),"?","~?"))&gt;1,"!AMBIG",IFERROR(INDEX('Calculations'!$HF$13:$HF$512,MATCH('Calculations'!HR371,'Calculations'!$HE$13:$HE$512,0)),""))))</x:f>
      </x:c>
      <x:c r="HT371" t="str">
        <x:f>IF('Calculations'!HS371="","",IF('Calculations'!HS371="!AMBIG","!AMBIG",IF(COUNTIF('Calculations'!$HE$13:$HE$512,"="&amp;SUBSTITUTE(SUBSTITUTE(SUBSTITUTE('Calculations'!HS371,"~","~~"),"*","~*"),"?","~?"))&gt;1,"!AMBIG",IFERROR(INDEX('Calculations'!$HF$13:$HF$512,MATCH('Calculations'!HS371,'Calculations'!$HE$13:$HE$512,0)),""))))</x:f>
      </x:c>
      <x:c r="HU371" t="str">
        <x:f>IF('Calculations'!HT371="","",IF('Calculations'!HT371="!AMBIG","!AMBIG",IF(COUNTIF('Calculations'!$HE$13:$HE$512,"="&amp;SUBSTITUTE(SUBSTITUTE(SUBSTITUTE('Calculations'!HT371,"~","~~"),"*","~*"),"?","~?"))&gt;1,"!AMBIG",IFERROR(INDEX('Calculations'!$HF$13:$HF$512,MATCH('Calculations'!HT371,'Calculations'!$HE$13:$HE$512,0)),""))))</x:f>
      </x:c>
      <x:c r="HV371" t="str">
        <x:f>IF('Calculations'!HU371="","",IF('Calculations'!HU371="!AMBIG","!AMBIG",IF(COUNTIF('Calculations'!$HE$13:$HE$512,"="&amp;SUBSTITUTE(SUBSTITUTE(SUBSTITUTE('Calculations'!HU371,"~","~~"),"*","~*"),"?","~?"))&gt;1,"!AMBIG",IFERROR(INDEX('Calculations'!$HF$13:$HF$512,MATCH('Calculations'!HU371,'Calculations'!$HE$13:$HE$512,0)),""))))</x:f>
      </x:c>
      <x:c r="HW371" t="str">
        <x:f>IF('Calculations'!HV371="","",IF('Calculations'!HV371="!AMBIG","!AMBIG",IF(COUNTIF('Calculations'!$HE$13:$HE$512,"="&amp;SUBSTITUTE(SUBSTITUTE(SUBSTITUTE('Calculations'!HV371,"~","~~"),"*","~*"),"?","~?"))&gt;1,"!AMBIG",IFERROR(INDEX('Calculations'!$HF$13:$HF$512,MATCH('Calculations'!HV371,'Calculations'!$HE$13:$HE$512,0)),""))))</x:f>
      </x:c>
      <x:c r="HX371" t="str">
        <x:f>IF('Calculations'!HW371="","",IF('Calculations'!HW371="!AMBIG","!AMBIG",IF(COUNTIF('Calculations'!$HE$13:$HE$512,"="&amp;SUBSTITUTE(SUBSTITUTE(SUBSTITUTE('Calculations'!HW371,"~","~~"),"*","~*"),"?","~?"))&gt;1,"!AMBIG",IFERROR(INDEX('Calculations'!$HF$13:$HF$512,MATCH('Calculations'!HW371,'Calculations'!$HE$13:$HE$512,0)),""))))</x:f>
      </x:c>
      <x:c r="HY371" t="str">
        <x:f>IF('Calculations'!HX371="","",IF('Calculations'!HX371="!AMBIG","!AMBIG",IF(COUNTIF('Calculations'!$HE$13:$HE$512,"="&amp;SUBSTITUTE(SUBSTITUTE(SUBSTITUTE('Calculations'!HX371,"~","~~"),"*","~*"),"?","~?"))&gt;1,"!AMBIG",IFERROR(INDEX('Calculations'!$HF$13:$HF$512,MATCH('Calculations'!HX371,'Calculations'!$HE$13:$HE$512,0)),""))))</x:f>
      </x:c>
      <x:c r="HZ371" t="str">
        <x:f>IF('Calculations'!HY371="","",IF('Calculations'!HY371="!AMBIG","!AMBIG",IF(COUNTIF('Calculations'!$HE$13:$HE$512,"="&amp;SUBSTITUTE(SUBSTITUTE(SUBSTITUTE('Calculations'!HY371,"~","~~"),"*","~*"),"?","~?"))&gt;1,"!AMBIG",IFERROR(INDEX('Calculations'!$HF$13:$HF$512,MATCH('Calculations'!HY371,'Calculations'!$HE$13:$HE$512,0)),""))))</x:f>
      </x:c>
      <x:c r="IA371" t="str">
        <x:f>IF('Calculations'!HZ371="","",IF('Calculations'!HZ371="!AMBIG","!AMBIG",IF(COUNTIF('Calculations'!$HE$13:$HE$512,"="&amp;SUBSTITUTE(SUBSTITUTE(SUBSTITUTE('Calculations'!HZ371,"~","~~"),"*","~*"),"?","~?"))&gt;1,"!AMBIG",IFERROR(INDEX('Calculations'!$HF$13:$HF$512,MATCH('Calculations'!HZ371,'Calculations'!$HE$13:$HE$512,0)),""))))</x:f>
      </x:c>
      <x:c r="IB371" t="str">
        <x:f>IF('Calculations'!IA371="","",IF('Calculations'!IA371="!AMBIG","!AMBIG",IF(COUNTIF('Calculations'!$HE$13:$HE$512,"="&amp;SUBSTITUTE(SUBSTITUTE(SUBSTITUTE('Calculations'!IA371,"~","~~"),"*","~*"),"?","~?"))&gt;1,"!AMBIG",IFERROR(INDEX('Calculations'!$HF$13:$HF$512,MATCH('Calculations'!IA371,'Calculations'!$HE$13:$HE$512,0)),""))))</x:f>
      </x:c>
      <x:c r="IC371" t="str">
        <x:f>IF('Calculations'!IB371="","",IF('Calculations'!IB371="!AMBIG","!AMBIG",IF(COUNTIF('Calculations'!$HE$13:$HE$512,"="&amp;SUBSTITUTE(SUBSTITUTE(SUBSTITUTE('Calculations'!IB371,"~","~~"),"*","~*"),"?","~?"))&gt;1,"!AMBIG",IFERROR(INDEX('Calculations'!$HF$13:$HF$512,MATCH('Calculations'!IB371,'Calculations'!$HE$13:$HE$512,0)),""))))</x:f>
      </x:c>
      <x:c r="ID371" t="str">
        <x:f>IF('Calculations'!IC371="","",IF('Calculations'!IC371="!AMBIG","!AMBIG",IF(COUNTIF('Calculations'!$HE$13:$HE$512,"="&amp;SUBSTITUTE(SUBSTITUTE(SUBSTITUTE('Calculations'!IC371,"~","~~"),"*","~*"),"?","~?"))&gt;1,"!AMBIG",IFERROR(INDEX('Calculations'!$HF$13:$HF$512,MATCH('Calculations'!IC371,'Calculations'!$HE$13:$HE$512,0)),""))))</x:f>
      </x:c>
      <x:c r="IE371" t="str">
        <x:f>IF('Calculations'!ID371="","",IF('Calculations'!ID371="!AMBIG","!AMBIG",IF(COUNTIF('Calculations'!$HE$13:$HE$512,"="&amp;SUBSTITUTE(SUBSTITUTE(SUBSTITUTE('Calculations'!ID371,"~","~~"),"*","~*"),"?","~?"))&gt;1,"!AMBIG",IFERROR(INDEX('Calculations'!$HF$13:$HF$512,MATCH('Calculations'!ID371,'Calculations'!$HE$13:$HE$512,0)),""))))</x:f>
      </x:c>
      <x:c r="IF371" t="str">
        <x:f>IF('Calculations'!IE371="","",IF('Calculations'!IE371="!AMBIG","!AMBIG",IF(COUNTIF('Calculations'!$HE$13:$HE$512,"="&amp;SUBSTITUTE(SUBSTITUTE(SUBSTITUTE('Calculations'!IE371,"~","~~"),"*","~*"),"?","~?"))&gt;1,"!AMBIG",IFERROR(INDEX('Calculations'!$HF$13:$HF$512,MATCH('Calculations'!IE371,'Calculations'!$HE$13:$HE$512,0)),""))))</x:f>
      </x:c>
      <x:c r="IG371" t="str">
        <x:f>IF('Calculations'!IF371="","",IF('Calculations'!IF371="!AMBIG","!AMBIG",IF(COUNTIF('Calculations'!$HE$13:$HE$512,"="&amp;SUBSTITUTE(SUBSTITUTE(SUBSTITUTE('Calculations'!IF371,"~","~~"),"*","~*"),"?","~?"))&gt;1,"!AMBIG",IFERROR(INDEX('Calculations'!$HF$13:$HF$512,MATCH('Calculations'!IF371,'Calculations'!$HE$13:$HE$512,0)),""))))</x:f>
      </x:c>
      <x:c r="IH371" t="str">
        <x:f>IF('Calculations'!IG371="","",IF('Calculations'!IG371="!AMBIG","!AMBIG",IF(COUNTIF('Calculations'!$HE$13:$HE$512,"="&amp;SUBSTITUTE(SUBSTITUTE(SUBSTITUTE('Calculations'!IG371,"~","~~"),"*","~*"),"?","~?"))&gt;1,"!AMBIG",IFERROR(INDEX('Calculations'!$HF$13:$HF$512,MATCH('Calculations'!IG371,'Calculations'!$HE$13:$HE$512,0)),""))))</x:f>
      </x:c>
      <x:c r="II371" t="str">
        <x:f>IF('Calculations'!IH371="","",IF('Calculations'!IH371="!AMBIG","!AMBIG",IF(COUNTIF('Calculations'!$HE$13:$HE$512,"="&amp;SUBSTITUTE(SUBSTITUTE(SUBSTITUTE('Calculations'!IH371,"~","~~"),"*","~*"),"?","~?"))&gt;1,"!AMBIG",IFERROR(INDEX('Calculations'!$HF$13:$HF$512,MATCH('Calculations'!IH371,'Calculations'!$HE$13:$HE$512,0)),""))))</x:f>
      </x:c>
      <x:c r="IJ371" t="str">
        <x:f>IF('Calculations'!EM371="","",IF('Calculations'!$EF$2="All",'Calculations'!HM371,IF('Calculations'!HL371=1,"",IFERROR(IF(MATCH('Calculations'!$EF$2,'Calculations'!HO371:II371,0)=1,'Calculations'!HE371,INDEX('Calculations'!HO371:II371,1,MATCH('Calculations'!$EF$2,'Calculations'!HO371:II371,0)-1)),""))))</x:f>
      </x:c>
      <x:c r="IK371" t="n">
        <x:f>IF(AND('Calculations'!EM371&lt;&gt;"",'Calculations'!$EF$2&lt;&gt;"All",'Calculations'!HF371='Calculations'!$EF$2,'Calculations'!HL371=0,'Calculations'!JD371&gt;0),MAX('Calculations'!$IK$12:IK370)+1,0)</x:f>
        <x:v>0</x:v>
      </x:c>
      <x:c r="JA371" t="n">
        <x:f>IF(OR(IFERROR(INDIRECT("'WCM Calibration Final'!$A$371")&lt;&gt;"",FALSE),IFERROR(INDIRECT("'WCM Calibration Final'!$B$371")&lt;&gt;"",FALSE),IFERROR(INDIRECT("'WCM Calibration Final'!$C$371")&lt;&gt;"",FALSE)),371,0)</x:f>
        <x:v>0</x:v>
      </x:c>
      <x:c r="JB371" t="n">
        <x:f>'Calculations'!JB370+IF('Calculations'!JA371&gt;0,1,0)</x:f>
        <x:v>0</x:v>
      </x:c>
      <x:c r="JC371" t="n">
        <x:f>IF(OR('Calculations'!HF371="",'Calculations'!HF371="!AMBIG"),0,IF('Dashboard'!$B$7="All",1,COUNTIFS('Calculations'!$HO$13:$HO$512,"="&amp;SUBSTITUTE(SUBSTITUTE(SUBSTITUTE('Calculations'!HF371,"~","~~"),"*","~*"),"?","~?"),'Calculations'!$HN$13:$HN$512,"="&amp;SUBSTITUTE(SUBSTITUTE(SUBSTITUTE('Dashboard'!$B$7,"~","~~"),"*","~*"),"?","~?"))+COUNTIFS('Calculations'!$HP$13:$HP$512,"="&amp;SUBSTITUTE(SUBSTITUTE(SUBSTITUTE('Calculations'!HF371,"~","~~"),"*","~*"),"?","~?"),'Calculations'!$HN$13:$HN$512,"="&amp;SUBSTITUTE(SUBSTITUTE(SUBSTITUTE('Dashboard'!$B$7,"~","~~"),"*","~*"),"?","~?"))+COUNTIFS('Calculations'!$HQ$13:$HQ$512,"="&amp;SUBSTITUTE(SUBSTITUTE(SUBSTITUTE('Calculations'!HF371,"~","~~"),"*","~*"),"?","~?"),'Calculations'!$HN$13:$HN$512,"="&amp;SUBSTITUTE(SUBSTITUTE(SUBSTITUTE('Dashboard'!$B$7,"~","~~"),"*","~*"),"?","~?"))+COUNTIFS('Calculations'!$HR$13:$HR$512,"="&amp;SUBSTITUTE(SUBSTITUTE(SUBSTITUTE('Calculations'!HF371,"~","~~"),"*","~*"),"?","~?"),'Calculations'!$HN$13:$HN$512,"="&amp;SUBSTITUTE(SUBSTITUTE(SUBSTITUTE('Dashboard'!$B$7,"~","~~"),"*","~*"),"?","~?"))+COUNTIFS('Calculations'!$HS$13:$HS$512,"="&amp;SUBSTITUTE(SUBSTITUTE(SUBSTITUTE('Calculations'!HF371,"~","~~"),"*","~*"),"?","~?"),'Calculations'!$HN$13:$HN$512,"="&amp;SUBSTITUTE(SUBSTITUTE(SUBSTITUTE('Dashboard'!$B$7,"~","~~"),"*","~*"),"?","~?"))+COUNTIFS('Calculations'!$HT$13:$HT$512,"="&amp;SUBSTITUTE(SUBSTITUTE(SUBSTITUTE('Calculations'!HF371,"~","~~"),"*","~*"),"?","~?"),'Calculations'!$HN$13:$HN$512,"="&amp;SUBSTITUTE(SUBSTITUTE(SUBSTITUTE('Dashboard'!$B$7,"~","~~"),"*","~*"),"?","~?"))+COUNTIFS('Calculations'!$HU$13:$HU$512,"="&amp;SUBSTITUTE(SUBSTITUTE(SUBSTITUTE('Calculations'!HF371,"~","~~"),"*","~*"),"?","~?"),'Calculations'!$HN$13:$HN$512,"="&amp;SUBSTITUTE(SUBSTITUTE(SUBSTITUTE('Dashboard'!$B$7,"~","~~"),"*","~*"),"?","~?"))+COUNTIFS('Calculations'!$HV$13:$HV$512,"="&amp;SUBSTITUTE(SUBSTITUTE(SUBSTITUTE('Calculations'!HF371,"~","~~"),"*","~*"),"?","~?"),'Calculations'!$HN$13:$HN$512,"="&amp;SUBSTITUTE(SUBSTITUTE(SUBSTITUTE('Dashboard'!$B$7,"~","~~"),"*","~*"),"?","~?"))+COUNTIFS('Calculations'!$HW$13:$HW$512,"="&amp;SUBSTITUTE(SUBSTITUTE(SUBSTITUTE('Calculations'!HF371,"~","~~"),"*","~*"),"?","~?"),'Calculations'!$HN$13:$HN$512,"="&amp;SUBSTITUTE(SUBSTITUTE(SUBSTITUTE('Dashboard'!$B$7,"~","~~"),"*","~*"),"?","~?"))+COUNTIFS('Calculations'!$HX$13:$HX$512,"="&amp;SUBSTITUTE(SUBSTITUTE(SUBSTITUTE('Calculations'!HF371,"~","~~"),"*","~*"),"?","~?"),'Calculations'!$HN$13:$HN$512,"="&amp;SUBSTITUTE(SUBSTITUTE(SUBSTITUTE('Dashboard'!$B$7,"~","~~"),"*","~*"),"?","~?"))+COUNTIFS('Calculations'!$HY$13:$HY$512,"="&amp;SUBSTITUTE(SUBSTITUTE(SUBSTITUTE('Calculations'!HF371,"~","~~"),"*","~*"),"?","~?"),'Calculations'!$HN$13:$HN$512,"="&amp;SUBSTITUTE(SUBSTITUTE(SUBSTITUTE('Dashboard'!$B$7,"~","~~"),"*","~*"),"?","~?"))+COUNTIFS('Calculations'!$HZ$13:$HZ$512,"="&amp;SUBSTITUTE(SUBSTITUTE(SUBSTITUTE('Calculations'!HF371,"~","~~"),"*","~*"),"?","~?"),'Calculations'!$HN$13:$HN$512,"="&amp;SUBSTITUTE(SUBSTITUTE(SUBSTITUTE('Dashboard'!$B$7,"~","~~"),"*","~*"),"?","~?"))+COUNTIFS('Calculations'!$IA$13:$IA$512,"="&amp;SUBSTITUTE(SUBSTITUTE(SUBSTITUTE('Calculations'!HF371,"~","~~"),"*","~*"),"?","~?"),'Calculations'!$HN$13:$HN$512,"="&amp;SUBSTITUTE(SUBSTITUTE(SUBSTITUTE('Dashboard'!$B$7,"~","~~"),"*","~*"),"?","~?"))+COUNTIFS('Calculations'!$IB$13:$IB$512,"="&amp;SUBSTITUTE(SUBSTITUTE(SUBSTITUTE('Calculations'!HF371,"~","~~"),"*","~*"),"?","~?"),'Calculations'!$HN$13:$HN$512,"="&amp;SUBSTITUTE(SUBSTITUTE(SUBSTITUTE('Dashboard'!$B$7,"~","~~"),"*","~*"),"?","~?"))+COUNTIFS('Calculations'!$IC$13:$IC$512,"="&amp;SUBSTITUTE(SUBSTITUTE(SUBSTITUTE('Calculations'!HF371,"~","~~"),"*","~*"),"?","~?"),'Calculations'!$HN$13:$HN$512,"="&amp;SUBSTITUTE(SUBSTITUTE(SUBSTITUTE('Dashboard'!$B$7,"~","~~"),"*","~*"),"?","~?"))+COUNTIFS('Calculations'!$ID$13:$ID$512,"="&amp;SUBSTITUTE(SUBSTITUTE(SUBSTITUTE('Calculations'!HF371,"~","~~"),"*","~*"),"?","~?"),'Calculations'!$HN$13:$HN$512,"="&amp;SUBSTITUTE(SUBSTITUTE(SUBSTITUTE('Dashboard'!$B$7,"~","~~"),"*","~*"),"?","~?"))+COUNTIFS('Calculations'!$IE$13:$IE$512,"="&amp;SUBSTITUTE(SUBSTITUTE(SUBSTITUTE('Calculations'!HF371,"~","~~"),"*","~*"),"?","~?"),'Calculations'!$HN$13:$HN$512,"="&amp;SUBSTITUTE(SUBSTITUTE(SUBSTITUTE('Dashboard'!$B$7,"~","~~"),"*","~*"),"?","~?"))+COUNTIFS('Calculations'!$IF$13:$IF$512,"="&amp;SUBSTITUTE(SUBSTITUTE(SUBSTITUTE('Calculations'!HF371,"~","~~"),"*","~*"),"?","~?"),'Calculations'!$HN$13:$HN$512,"="&amp;SUBSTITUTE(SUBSTITUTE(SUBSTITUTE('Dashboard'!$B$7,"~","~~"),"*","~*"),"?","~?"))+COUNTIFS('Calculations'!$IG$13:$IG$512,"="&amp;SUBSTITUTE(SUBSTITUTE(SUBSTITUTE('Calculations'!HF371,"~","~~"),"*","~*"),"?","~?"),'Calculations'!$HN$13:$HN$512,"="&amp;SUBSTITUTE(SUBSTITUTE(SUBSTITUTE('Dashboard'!$B$7,"~","~~"),"*","~*"),"?","~?"))+COUNTIFS('Calculations'!$IH$13:$IH$512,"="&amp;SUBSTITUTE(SUBSTITUTE(SUBSTITUTE('Calculations'!HF371,"~","~~"),"*","~*"),"?","~?"),'Calculations'!$HN$13:$HN$512,"="&amp;SUBSTITUTE(SUBSTITUTE(SUBSTITUTE('Dashboard'!$B$7,"~","~~"),"*","~*"),"?","~?"))))</x:f>
        <x:v>0</x:v>
      </x:c>
      <x:c r="JD371" t="n">
        <x:f>IF('Calculations'!EM371="",0,IF('Dashboard'!$B$7="All",1,IF('Calculations'!HN371='Dashboard'!$B$7,1,0)+IFERROR(INDEX('Calculations'!$JC$13:$JC$512,MATCH('Calculations'!HE371,'Calculations'!$HF$13:$HF$512,0)),0)))</x:f>
        <x:v>0</x:v>
      </x:c>
      <x:c r="JE371" t="n">
        <x:f>IF(AND('Calculations'!EM371&lt;&gt;"",'Calculations'!$JJ$2&lt;&gt;"All",'Calculations'!$JJ$2&lt;&gt;"",'Calculations'!HF371='Calculations'!$JJ$2,'Calculations'!HL371=0,'Calculations'!JD371&gt;0),MAX('Calculations'!$JE$12:JE370)+1,0)</x:f>
        <x:v>0</x:v>
      </x:c>
      <x:c r="JF371" t="str">
        <x:f>IF('Calculations'!EM371="","",IFERROR(IF(INDEX(INDIRECT("'WCM Calibration Final'!$G$1:$G$2000"),'Calculations'!$EM371)="","",TRIM(INDEX(INDIRECT("'WCM Calibration Final'!$G$1:$G$2000"),'Calculations'!$EM371)&amp;"")),""))</x:f>
      </x:c>
      <x:c r="JQ371" t="n">
        <x:f>IF(OR('Calculations'!BM371=0,NOT('Calculations'!$AG$2),'Calculations'!$AG$8&gt;0),0,IF(OR('Dashboard'!$B$7="All",'Calculations'!HN371='Dashboard'!$B$7),IF('Calculations'!$JJ$2="All",1,IF(AND('Calculations'!HF371='Calculations'!$JJ$2,'Calculations'!HL371=0),1,0)),0))</x:f>
        <x:v>0</x:v>
      </x:c>
    </x:row>
    <x:row r="372">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t="n">
        <x:f>IF('Calculations'!$EM372="",0,IF(OR(IFERROR(INDEX(INDIRECT("'WCM Calibration Final'!$A$1:$A$2000"),'Calculations'!$EM372)&lt;&gt;"",FALSE),IFERROR(INDEX(INDIRECT("'WCM Calibration Final'!$B$1:$B$2000"),'Calculations'!$EM372)&lt;&gt;"",FALSE),IFERROR(INDEX(INDIRECT("'WCM Calibration Final'!$C$1:$C$2000"),'Calculations'!$EM372)&lt;&gt;"",FALSE)),1,0))</x:f>
        <x:v>0</x:v>
      </x:c>
      <x:c r="BN372" s="4" t="n">
        <x:f>IF(AND('Calculations'!BM372=1,'Calculations'!$AG$2,'Calculations'!$EN372=1),1,0)</x:f>
        <x:v>0</x:v>
      </x:c>
      <x:c r="BO372" s="4" t="str">
        <x:f>IF('Calculations'!BM372=0,"",IFERROR(IF(AND(VALUE(INDEX(INDIRECT("'WCM Calibration Final'!$K$1:$K$2000"),'Calculations'!$EM372))&gt;=1,VALUE(INDEX(INDIRECT("'WCM Calibration Final'!$K$1:$K$2000"),'Calculations'!$EM372))&lt;=4,MOD(VALUE(INDEX(INDIRECT("'WCM Calibration Final'!$K$1:$K$2000"),'Calculations'!$EM372)),1)=0),VALUE(INDEX(INDIRECT("'WCM Calibration Final'!$K$1:$K$2000"),'Calculations'!$EM372)),""),""))</x:f>
      </x:c>
      <x:c r="BP372" s="4" t="str">
        <x:f>IF('Calculations'!BM372=0,"",IFERROR(IF(AND(VALUE(INDEX(INDIRECT("'WCM Calibration Final'!$L$1:$L$2000"),'Calculations'!$EM372))&gt;=1,VALUE(INDEX(INDIRECT("'WCM Calibration Final'!$L$1:$L$2000"),'Calculations'!$EM372))&lt;=4,MOD(VALUE(INDEX(INDIRECT("'WCM Calibration Final'!$L$1:$L$2000"),'Calculations'!$EM372)),1)=0),VALUE(INDEX(INDIRECT("'WCM Calibration Final'!$L$1:$L$2000"),'Calculations'!$EM372)),""),""))</x:f>
      </x:c>
      <x:c r="BQ372" s="4"/>
      <x:c r="BR372" s="4"/>
      <x:c r="BS372" s="4"/>
      <x:c r="BT372" s="4" t="n">
        <x:f>IF(AND('Calculations'!BM372=1,ISNUMBER('Calculations'!BO372),ISNUMBER('Calculations'!BP372)),1,0)</x:f>
        <x:v>0</x:v>
      </x:c>
      <x:c r="BU372" s="4" t="str">
        <x:f>IF('Calculations'!BM372=0,"",'Calculations'!$EO372)</x:f>
      </x:c>
      <x:c r="BV372" s="4" t="str">
        <x:f>IF('Calculations'!BM372=0,"",IFERROR(IF(OR(INDEX(INDIRECT("'WCM Calibration Final'!$H$1:$H$2000"),'Calculations'!$EM372)="MANAGING DIRECTOR",INDEX(INDIRECT("'WCM Calibration Final'!$H$1:$H$2000"),'Calculations'!$EM372)="DIRECTOR",INDEX(INDIRECT("'WCM Calibration Final'!$H$1:$H$2000"),'Calculations'!$EM372)="SENIOR VICE PRESIDENT",INDEX(INDIRECT("'WCM Calibration Final'!$H$1:$H$2000"),'Calculations'!$EM372)="VICE PRESIDENT",INDEX(INDIRECT("'WCM Calibration Final'!$H$1:$H$2000"),'Calculations'!$EM372)="ASSISTANT VICE PRESIDENT",INDEX(INDIRECT("'WCM Calibration Final'!$H$1:$H$2000"),'Calculations'!$EM372)="OFFICER"),UPPER(INDEX(INDIRECT("'WCM Calibration Final'!$H$1:$H$2000"),'Calculations'!$EM372)),"Other"),"Other"))</x:f>
      </x:c>
      <x:c r="BW372" s="4"/>
      <x:c r="BX372" s="4"/>
      <x:c r="BY372" s="4" t="n">
        <x:f>IF(AND('Calculations'!BM372=1,'Calculations'!BU372&lt;&gt;"",COUNTIF('Calculations'!$BU$12:BU372,'Calculations'!BU372)=1),MAX('Calculations'!$BY$11:BY371)+1,0)</x:f>
        <x:v>0</x:v>
      </x:c>
      <x:c r="BZ372" s="4" t="str">
        <x:f>IF('Dashboard'!$E$67="What",'Calculations'!BO372,'Calculations'!BP372)</x:f>
      </x:c>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t="str">
        <x:f>IF(361&gt;MAX('Calculations'!$HI$13:$HI$512),"",INDEX('Calculations'!$HN$13:$HN$512,MATCH(361,'Calculations'!$HI$13:$HI$512,0)))</x:f>
      </x:c>
      <x:c r="DB372" s="4" t="str">
        <x:f>IF(361&gt;MAX('Calculations'!$HH$13:$HH$512),"",INDEX('Calculations'!$HJ$13:$HJ$512,MATCH(361,'Calculations'!$HH$13:$HH$512,0)))</x:f>
      </x:c>
      <x:c r="DC372" s="4" t="str">
        <x:f>IF(ROW()-11&gt;MAX('Calculations'!$BY$13:$BY$512),"",INDEX('Calculations'!$BU$13:$BU$512,MATCH(ROW()-11,'Calculations'!$BY$13:$BY$512,0)))</x:f>
      </x:c>
      <x:c r="DD372" s="4" t="str">
        <x:f>IF(361&gt;MAX('Calculations'!$IK$13:$IK$512),"",INDEX('Calculations'!$HK$13:$HK$512,MATCH(361,'Calculations'!$IK$13:$IK$512,0)))</x:f>
      </x:c>
      <x:c r="DE372" s="4" t="str">
        <x:f>'Calculations'!DC372</x:f>
      </x:c>
      <x:c r="DF372" s="4" t="str">
        <x:f>IF('Calculations'!DE372="","",COUNTIFS('Calculations'!$BN$13:$BN$512,1,'Calculations'!$BU$13:$BU$512,'Calculations'!DE372))</x:f>
      </x:c>
      <x:c r="DG372" s="4" t="str">
        <x:f>IF('Calculations'!DE372="","",COUNTIFS('Calculations'!$BN$13:$BN$512,1,'Calculations'!$BU$13:$BU$512,'Calculations'!DE372,'Calculations'!$BT$13:$BT$512,1))</x:f>
      </x:c>
      <x:c r="DH372" s="4" t="str">
        <x:f>IF('Calculations'!DE372="","",'Calculations'!DF372-'Calculations'!DG372)</x:f>
      </x:c>
      <x:c r="DI372" s="4" t="str">
        <x:f>IF(OR('Calculations'!DE372="",'Calculations'!DF372=0),"",'Calculations'!DG372/'Calculations'!DF372)</x:f>
      </x:c>
      <x:c r="DJ372" s="4" t="str">
        <x:f>IF('Calculations'!DE372="","",COUNTIFS('Calculations'!$BN$13:$BN$512,1,'Calculations'!$BU$13:$BU$512,'Calculations'!DE372,'Calculations'!$BT$13:$BT$512,1,'Calculations'!$EE$13:$EE$512,"High"))</x:f>
      </x:c>
      <x:c r="DK372" s="4" t="str">
        <x:f>IF('Calculations'!DE372="","",COUNTIFS('Calculations'!$BN$13:$BN$512,1,'Calculations'!$BU$13:$BU$512,'Calculations'!DE372,'Calculations'!$BT$13:$BT$512,1,'Calculations'!$EE$13:$EE$512,"Strong"))</x:f>
      </x:c>
      <x:c r="DL372" s="4" t="str">
        <x:f>IF('Calculations'!DE372="","",COUNTIFS('Calculations'!$BN$13:$BN$512,1,'Calculations'!$BU$13:$BU$512,'Calculations'!DE372,'Calculations'!$BT$13:$BT$512,1,'Calculations'!$EE$13:$EE$512,"Solid"))</x:f>
      </x:c>
      <x:c r="DM372" s="4" t="str">
        <x:f>IF('Calculations'!DE372="","",COUNTIFS('Calculations'!$BN$13:$BN$512,1,'Calculations'!$BU$13:$BU$512,'Calculations'!DE372,'Calculations'!$BT$13:$BT$512,1,'Calculations'!$EE$13:$EE$512,"Low"))</x:f>
      </x:c>
      <x:c r="DN372" s="4" t="str">
        <x:f>IF('Calculations'!DE372="","",COUNTIFS('Calculations'!$BN$13:$BN$512,1,'Calculations'!$BU$13:$BU$512,'Calculations'!DE372,'Calculations'!$EP$13:$EP$512,1))</x:f>
      </x:c>
      <x:c r="DO372" s="4" t="str">
        <x:f>IF(OR('Calculations'!DE372="",'Calculations'!DG372=0),"",('Calculations'!DJ372+'Calculations'!DK372)/'Calculations'!DG372)</x:f>
      </x:c>
      <x:c r="DP372" s="4" t="n">
        <x:f>IF(AND('Calculations'!DE372&lt;&gt;"",'Calculations'!DF372&gt;0),COUNTIF('Calculations'!$DF$12:DF372,"&gt;0"),0)</x:f>
        <x:v>0</x:v>
      </x:c>
      <x:c r="DQ372" s="4" t="str">
        <x:f>IF(361&gt;MAX('Calculations'!$HH$13:$HH$512),"",INDEX('Calculations'!$HF$13:$HF$512,MATCH(361,'Calculations'!$HH$13:$HH$512,0)))</x:f>
      </x:c>
      <x:c r="DR372" s="4" t="str">
        <x:f>IF(361&gt;MAX('Calculations'!$IK$13:$IK$512),"",INDEX('Calculations'!$HE$13:$HE$512,MATCH(361,'Calculations'!$IK$13:$IK$512,0)))</x:f>
      </x:c>
      <x:c r="DS372" s="4"/>
      <x:c r="DT372" s="4"/>
      <x:c r="DU372" s="4"/>
      <x:c r="DV372" s="4"/>
      <x:c r="DW372" s="4"/>
      <x:c r="DX372" s="4"/>
      <x:c r="DY372" s="4"/>
      <x:c r="DZ372" s="4"/>
      <x:c r="EA372" s="4"/>
      <x:c r="EB372" s="4"/>
      <x:c r="EC372" s="4"/>
      <x:c r="ED372" s="4"/>
      <x:c r="EE372" s="4" t="str">
        <x:f>IF('Calculations'!BT372=0,"Not Rated",IF(OR('Calculations'!BO372&gt;=4,'Calculations'!BP372&gt;=4),"Low",IF('Calculations'!BO372+'Calculations'!BP372&lt;=3,"High",IF('Calculations'!BO372+'Calculations'!BP372&lt;=4,"Strong","Solid"))))</x:f>
        <x:v>Not Rated</x:v>
      </x:c>
      <x:c r="EF372" s="4"/>
      <x:c r="EG372" s="4"/>
      <x:c r="EH372" s="4"/>
      <x:c r="EI372" s="4"/>
      <x:c r="EJ372" s="4"/>
      <x:c r="EK372" s="4"/>
      <x:c r="EL372" s="4"/>
      <x:c r="EM372" s="4" t="str">
        <x:f>IF(360&gt;'Calculations'!$JB$2000,"",INDEX('Calculations'!$JA$12:$JA$2000,MATCH(360,'Calculations'!$JB$12:$JB$2000,0)))</x:f>
      </x:c>
      <x:c r="EN372" s="4" t="n">
        <x:f>IF(OR('Calculations'!EM372="",'Calculations'!$AG$8&gt;0,AND('Calculations'!$EF$2&lt;&gt;"All",'Calculations'!HE372='Calculations'!$EF$2),AND('Calculations'!$EF$3&lt;&gt;"All",'Calculations'!HE372='Calculations'!$EF$3)),0,IF(OR('Dashboard'!$B$7="All",'Calculations'!HN372='Dashboard'!$B$7),IF('Calculations'!$EF$2="All",1,IF('Calculations'!HL372&gt;0,0,IF(COUNTIF('Calculations'!HO372:II372,"="&amp;SUBSTITUTE(SUBSTITUTE(SUBSTITUTE('Calculations'!$EF$2,"~","~~"),"*","~*"),"?","~?"))=0,0,IF('Calculations'!$EF$3="All",1,IF(COUNTIF('Calculations'!HO372:II372,"="&amp;SUBSTITUTE(SUBSTITUTE(SUBSTITUTE('Calculations'!$EF$3,"~","~~"),"*","~*"),"?","~?"))&gt;0,1,0))))),0))</x:f>
        <x:v>0</x:v>
      </x:c>
      <x:c r="EO372" s="4" t="str">
        <x:f>IF('Calculations'!IJ372="","",IF('Calculations'!IJ372="!UNRESOLVED","Unresolved hierarchy",IFERROR(INDEX('Calculations'!$HK$13:$HK$512,MATCH('Calculations'!IJ372,'Calculations'!$HE$13:$HE$512,0)),IFERROR(INDEX('Calculations'!$HJ$13:$HJ$512,MATCH('Calculations'!IJ372,'Calculations'!$HF$13:$HF$512,0)),'Calculations'!IJ372))))</x:f>
      </x:c>
      <x:c r="EP372" s="4" t="n">
        <x:f>IF(AND('Calculations'!EM372&lt;&gt;"",'Calculations'!HF372='Calculations'!IJ372),1,0)</x:f>
        <x:v>0</x:v>
      </x:c>
      <x:c r="EQ372" s="4"/>
      <x:c r="ER372" s="4"/>
      <x:c r="ES372" s="4"/>
      <x:c r="ET372" s="4"/>
      <x:c r="EU372" s="4"/>
      <x:c r="EV372" s="4"/>
      <x:c r="EW372" s="4"/>
      <x:c r="EX372" s="4"/>
      <x:c r="EY372" s="4"/>
      <x:c r="EZ372" s="4"/>
      <x:c r="FA372" s="4"/>
      <x:c r="FB372" s="4"/>
      <x:c r="FC372" s="4"/>
      <x:c r="FD372" s="4"/>
      <x:c r="FE372" s="4"/>
      <x:c r="FF372" s="4"/>
      <x:c r="FG372" s="4"/>
      <x:c r="FH372" s="4"/>
      <x:c r="FI372" s="4"/>
      <x:c r="FJ372" s="4"/>
      <x:c r="FK372" s="4"/>
      <x:c r="FL372" s="4"/>
      <x:c r="FM372" s="4"/>
      <x:c r="FN372" s="4"/>
      <x:c r="FO372" s="4"/>
      <x:c r="HE372" t="str">
        <x:f>IF('Calculations'!EM372="","",IF(IFERROR(IF(INDEX(INDIRECT("'WCM Calibration Final'!$A$1:$A$2000"),'Calculations'!$EM372)="","",TRIM(INDEX(INDIRECT("'WCM Calibration Final'!$A$1:$A$2000"),'Calculations'!$EM372)&amp;"")),"")&lt;&gt;"","G:"&amp;IFERROR(TEXT(1*INDEX(INDIRECT("'WCM Calibration Final'!$A$1:$A$2000"),'Calculations'!$EM372),"0"),UPPER(IFERROR(IF(INDEX(INDIRECT("'WCM Calibration Final'!$A$1:$A$2000"),'Calculations'!$EM372)="","",TRIM(INDEX(INDIRECT("'WCM Calibration Final'!$A$1:$A$2000"),'Calculations'!$EM372)&amp;"")),""))),IF(IFERROR(IF(INDEX(INDIRECT("'WCM Calibration Final'!$C$1:$C$2000"),'Calculations'!$EM372)="","",TRIM(INDEX(INDIRECT("'WCM Calibration Final'!$C$1:$C$2000"),'Calculations'!$EM372)&amp;"")),"")&lt;&gt;"","S:"&amp;UPPER(IFERROR(IF(INDEX(INDIRECT("'WCM Calibration Final'!$C$1:$C$2000"),'Calculations'!$EM372)="","",TRIM(INDEX(INDIRECT("'WCM Calibration Final'!$C$1:$C$2000"),'Calculations'!$EM372)&amp;"")),"")),"R:"&amp;'Calculations'!EM372)))</x:f>
      </x:c>
      <x:c r="HF372" t="str">
        <x:f>IF('Calculations'!EM372="","",IF(IFERROR(IF(INDEX(INDIRECT("'WCM Calibration Final'!$D$1:$D$2000"),'Calculations'!$EM372)="","",TRIM(INDEX(INDIRECT("'WCM Calibration Final'!$D$1:$D$2000"),'Calculations'!$EM372)&amp;"")),"")&lt;&gt;"","G:"&amp;IFERROR(TEXT(1*INDEX(INDIRECT("'WCM Calibration Final'!$D$1:$D$2000"),'Calculations'!$EM372),"0"),UPPER(IFERROR(IF(INDEX(INDIRECT("'WCM Calibration Final'!$D$1:$D$2000"),'Calculations'!$EM372)="","",TRIM(INDEX(INDIRECT("'WCM Calibration Final'!$D$1:$D$2000"),'Calculations'!$EM372)&amp;"")),""))),IF(IFERROR(IF(INDEX(INDIRECT("'WCM Calibration Final'!$E$1:$E$2000"),'Calculations'!$EM372)="","",TRIM(INDEX(INDIRECT("'WCM Calibration Final'!$E$1:$E$2000"),'Calculations'!$EM372)&amp;"")),"")="","",IF(COUNTIF('Calculations'!$HG$13:$HG$512,"="&amp;SUBSTITUTE(SUBSTITUTE(SUBSTITUTE(IFERROR(IF(INDEX(INDIRECT("'WCM Calibration Final'!$E$1:$E$2000"),'Calculations'!$EM372)="","",TRIM(INDEX(INDIRECT("'WCM Calibration Final'!$E$1:$E$2000"),'Calculations'!$EM372)&amp;"")),""),"~","~~"),"*","~*"),"?","~?"))=1,INDEX('Calculations'!$HE$13:$HE$512,MATCH(IFERROR(IF(INDEX(INDIRECT("'WCM Calibration Final'!$E$1:$E$2000"),'Calculations'!$EM372)="","",TRIM(INDEX(INDIRECT("'WCM Calibration Final'!$E$1:$E$2000"),'Calculations'!$EM372)&amp;"")),""),'Calculations'!$HG$13:$HG$512,0)),IF(COUNTIF('Calculations'!$HG$13:$HG$512,"="&amp;SUBSTITUTE(SUBSTITUTE(SUBSTITUTE(IFERROR(IF(INDEX(INDIRECT("'WCM Calibration Final'!$E$1:$E$2000"),'Calculations'!$EM372)="","",TRIM(INDEX(INDIRECT("'WCM Calibration Final'!$E$1:$E$2000"),'Calculations'!$EM372)&amp;"")),""),"~","~~"),"*","~*"),"?","~?"))&gt;1,"!AMBIG","X:"&amp;IFERROR(IF(INDEX(INDIRECT("'WCM Calibration Final'!$E$1:$E$2000"),'Calculations'!$EM372)="","",TRIM(INDEX(INDIRECT("'WCM Calibration Final'!$E$1:$E$2000"),'Calculations'!$EM372)&amp;"")),""))))))</x:f>
      </x:c>
      <x:c r="HG372" t="str">
        <x:f>IF('Calculations'!EM372="","",IFERROR(IF(INDEX(INDIRECT("'WCM Calibration Final'!$B$1:$B$2000"),'Calculations'!$EM372)="","",TRIM(INDEX(INDIRECT("'WCM Calibration Final'!$B$1:$B$2000"),'Calculations'!$EM372)&amp;"")),""))</x:f>
      </x:c>
      <x:c r="HH372" t="n">
        <x:f>IF(AND('Calculations'!JC372&gt;0,COUNTIF('Calculations'!$HF$12:HF372,"="&amp;SUBSTITUTE(SUBSTITUTE(SUBSTITUTE('Calculations'!HF372,"~","~~"),"*","~*"),"?","~?"))=1),MAX('Calculations'!$HH$12:HH371)+1,0)</x:f>
        <x:v>0</x:v>
      </x:c>
      <x:c r="HI372" t="n">
        <x:f>IF(AND('Calculations'!HN372&lt;&gt;"",COUNTIF('Calculations'!$HN$12:HN372,"="&amp;SUBSTITUTE(SUBSTITUTE(SUBSTITUTE('Calculations'!HN372,"~","~~"),"*","~*"),"?","~?"))=1),MAX('Calculations'!$HI$12:HI371)+1,0)</x:f>
        <x:v>0</x:v>
      </x:c>
      <x:c r="HJ372" t="str">
        <x:f>IF('Calculations'!HF372="","",IF(COUNTIF('Calculations'!$HE$13:$HE$512,"="&amp;SUBSTITUTE(SUBSTITUTE(SUBSTITUTE('Calculations'!HF372,"~","~~"),"*","~*"),"?","~?"))=1,INDEX('Calculations'!$HK$13:$HK$512,MATCH('Calculations'!HF372,'Calculations'!$HE$13:$HE$512,0)),IFERROR(IF(INDEX(INDIRECT("'WCM Calibration Final'!$E$1:$E$2000"),'Calculations'!$EM372)="","",TRIM(INDEX(INDIRECT("'WCM Calibration Final'!$E$1:$E$2000"),'Calculations'!$EM372)&amp;"")),"")&amp;" ["&amp;'Calculations'!HF372&amp;"]"))</x:f>
      </x:c>
      <x:c r="HK372" t="str">
        <x:f>IF('Calculations'!EM372="","",'Calculations'!HG372&amp;" ["&amp;'Calculations'!HE372&amp;"]")</x:f>
      </x:c>
      <x:c r="HL372" t="n">
        <x:f>IF('Calculations'!EM372="",0,IF(OR('Calculations'!II372&lt;&gt;"",COUNTIF('Calculations'!$HE$13:$HE$512,"="&amp;SUBSTITUTE(SUBSTITUTE(SUBSTITUTE('Calculations'!HE372,"~","~~"),"*","~*"),"?","~?"))&gt;1),1,0))</x:f>
        <x:v>0</x:v>
      </x:c>
      <x:c r="HM372" t="str">
        <x:f>IF('Calculations'!EM372="","",IF('Calculations'!HL372=1,"!UNRESOLVED",IF('Calculations'!IH372&lt;&gt;"",'Calculations'!IH372,IF('Calculations'!IG372&lt;&gt;"",'Calculations'!IG372,IF('Calculations'!IF372&lt;&gt;"",'Calculations'!IF372,IF('Calculations'!IE372&lt;&gt;"",'Calculations'!IE372,IF('Calculations'!ID372&lt;&gt;"",'Calculations'!ID372,IF('Calculations'!IC372&lt;&gt;"",'Calculations'!IC372,IF('Calculations'!IB372&lt;&gt;"",'Calculations'!IB372,IF('Calculations'!IA372&lt;&gt;"",'Calculations'!IA372,IF('Calculations'!HZ372&lt;&gt;"",'Calculations'!HZ372,IF('Calculations'!HY372&lt;&gt;"",'Calculations'!HY372,IF('Calculations'!HX372&lt;&gt;"",'Calculations'!HX372,IF('Calculations'!HW372&lt;&gt;"",'Calculations'!HW372,IF('Calculations'!HV372&lt;&gt;"",'Calculations'!HV372,IF('Calculations'!HU372&lt;&gt;"",'Calculations'!HU372,IF('Calculations'!HT372&lt;&gt;"",'Calculations'!HT372,IF('Calculations'!HS372&lt;&gt;"",'Calculations'!HS372,IF('Calculations'!HR372&lt;&gt;"",'Calculations'!HR372,IF('Calculations'!HQ372&lt;&gt;"",'Calculations'!HQ372,IF('Calculations'!HP372&lt;&gt;"",'Calculations'!HP372,IF('Calculations'!HO372&lt;&gt;"",'Calculations'!HO372,'Calculations'!HE372))))))))))))))))))))))</x:f>
      </x:c>
      <x:c r="HN372" t="str">
        <x:f>IF('Calculations'!EM372="","",IF(IFERROR(IF(INDEX(INDIRECT("'WCM Calibration Final'!$F$1:$F$2000"),'Calculations'!$EM372)="","",TRIM(INDEX(INDIRECT("'WCM Calibration Final'!$F$1:$F$2000"),'Calculations'!$EM372)&amp;"")),"")="","(Blank)",IFERROR(IF(INDEX(INDIRECT("'WCM Calibration Final'!$F$1:$F$2000"),'Calculations'!$EM372)="","",TRIM(INDEX(INDIRECT("'WCM Calibration Final'!$F$1:$F$2000"),'Calculations'!$EM372)&amp;"")),"")))</x:f>
      </x:c>
      <x:c r="HO372" t="str">
        <x:f>'Calculations'!HF372</x:f>
      </x:c>
      <x:c r="HP372" t="str">
        <x:f>IF('Calculations'!HO372="","",IF('Calculations'!HO372="!AMBIG","!AMBIG",IF(COUNTIF('Calculations'!$HE$13:$HE$512,"="&amp;SUBSTITUTE(SUBSTITUTE(SUBSTITUTE('Calculations'!HO372,"~","~~"),"*","~*"),"?","~?"))&gt;1,"!AMBIG",IFERROR(INDEX('Calculations'!$HF$13:$HF$512,MATCH('Calculations'!HO372,'Calculations'!$HE$13:$HE$512,0)),""))))</x:f>
      </x:c>
      <x:c r="HQ372" t="str">
        <x:f>IF('Calculations'!HP372="","",IF('Calculations'!HP372="!AMBIG","!AMBIG",IF(COUNTIF('Calculations'!$HE$13:$HE$512,"="&amp;SUBSTITUTE(SUBSTITUTE(SUBSTITUTE('Calculations'!HP372,"~","~~"),"*","~*"),"?","~?"))&gt;1,"!AMBIG",IFERROR(INDEX('Calculations'!$HF$13:$HF$512,MATCH('Calculations'!HP372,'Calculations'!$HE$13:$HE$512,0)),""))))</x:f>
      </x:c>
      <x:c r="HR372" t="str">
        <x:f>IF('Calculations'!HQ372="","",IF('Calculations'!HQ372="!AMBIG","!AMBIG",IF(COUNTIF('Calculations'!$HE$13:$HE$512,"="&amp;SUBSTITUTE(SUBSTITUTE(SUBSTITUTE('Calculations'!HQ372,"~","~~"),"*","~*"),"?","~?"))&gt;1,"!AMBIG",IFERROR(INDEX('Calculations'!$HF$13:$HF$512,MATCH('Calculations'!HQ372,'Calculations'!$HE$13:$HE$512,0)),""))))</x:f>
      </x:c>
      <x:c r="HS372" t="str">
        <x:f>IF('Calculations'!HR372="","",IF('Calculations'!HR372="!AMBIG","!AMBIG",IF(COUNTIF('Calculations'!$HE$13:$HE$512,"="&amp;SUBSTITUTE(SUBSTITUTE(SUBSTITUTE('Calculations'!HR372,"~","~~"),"*","~*"),"?","~?"))&gt;1,"!AMBIG",IFERROR(INDEX('Calculations'!$HF$13:$HF$512,MATCH('Calculations'!HR372,'Calculations'!$HE$13:$HE$512,0)),""))))</x:f>
      </x:c>
      <x:c r="HT372" t="str">
        <x:f>IF('Calculations'!HS372="","",IF('Calculations'!HS372="!AMBIG","!AMBIG",IF(COUNTIF('Calculations'!$HE$13:$HE$512,"="&amp;SUBSTITUTE(SUBSTITUTE(SUBSTITUTE('Calculations'!HS372,"~","~~"),"*","~*"),"?","~?"))&gt;1,"!AMBIG",IFERROR(INDEX('Calculations'!$HF$13:$HF$512,MATCH('Calculations'!HS372,'Calculations'!$HE$13:$HE$512,0)),""))))</x:f>
      </x:c>
      <x:c r="HU372" t="str">
        <x:f>IF('Calculations'!HT372="","",IF('Calculations'!HT372="!AMBIG","!AMBIG",IF(COUNTIF('Calculations'!$HE$13:$HE$512,"="&amp;SUBSTITUTE(SUBSTITUTE(SUBSTITUTE('Calculations'!HT372,"~","~~"),"*","~*"),"?","~?"))&gt;1,"!AMBIG",IFERROR(INDEX('Calculations'!$HF$13:$HF$512,MATCH('Calculations'!HT372,'Calculations'!$HE$13:$HE$512,0)),""))))</x:f>
      </x:c>
      <x:c r="HV372" t="str">
        <x:f>IF('Calculations'!HU372="","",IF('Calculations'!HU372="!AMBIG","!AMBIG",IF(COUNTIF('Calculations'!$HE$13:$HE$512,"="&amp;SUBSTITUTE(SUBSTITUTE(SUBSTITUTE('Calculations'!HU372,"~","~~"),"*","~*"),"?","~?"))&gt;1,"!AMBIG",IFERROR(INDEX('Calculations'!$HF$13:$HF$512,MATCH('Calculations'!HU372,'Calculations'!$HE$13:$HE$512,0)),""))))</x:f>
      </x:c>
      <x:c r="HW372" t="str">
        <x:f>IF('Calculations'!HV372="","",IF('Calculations'!HV372="!AMBIG","!AMBIG",IF(COUNTIF('Calculations'!$HE$13:$HE$512,"="&amp;SUBSTITUTE(SUBSTITUTE(SUBSTITUTE('Calculations'!HV372,"~","~~"),"*","~*"),"?","~?"))&gt;1,"!AMBIG",IFERROR(INDEX('Calculations'!$HF$13:$HF$512,MATCH('Calculations'!HV372,'Calculations'!$HE$13:$HE$512,0)),""))))</x:f>
      </x:c>
      <x:c r="HX372" t="str">
        <x:f>IF('Calculations'!HW372="","",IF('Calculations'!HW372="!AMBIG","!AMBIG",IF(COUNTIF('Calculations'!$HE$13:$HE$512,"="&amp;SUBSTITUTE(SUBSTITUTE(SUBSTITUTE('Calculations'!HW372,"~","~~"),"*","~*"),"?","~?"))&gt;1,"!AMBIG",IFERROR(INDEX('Calculations'!$HF$13:$HF$512,MATCH('Calculations'!HW372,'Calculations'!$HE$13:$HE$512,0)),""))))</x:f>
      </x:c>
      <x:c r="HY372" t="str">
        <x:f>IF('Calculations'!HX372="","",IF('Calculations'!HX372="!AMBIG","!AMBIG",IF(COUNTIF('Calculations'!$HE$13:$HE$512,"="&amp;SUBSTITUTE(SUBSTITUTE(SUBSTITUTE('Calculations'!HX372,"~","~~"),"*","~*"),"?","~?"))&gt;1,"!AMBIG",IFERROR(INDEX('Calculations'!$HF$13:$HF$512,MATCH('Calculations'!HX372,'Calculations'!$HE$13:$HE$512,0)),""))))</x:f>
      </x:c>
      <x:c r="HZ372" t="str">
        <x:f>IF('Calculations'!HY372="","",IF('Calculations'!HY372="!AMBIG","!AMBIG",IF(COUNTIF('Calculations'!$HE$13:$HE$512,"="&amp;SUBSTITUTE(SUBSTITUTE(SUBSTITUTE('Calculations'!HY372,"~","~~"),"*","~*"),"?","~?"))&gt;1,"!AMBIG",IFERROR(INDEX('Calculations'!$HF$13:$HF$512,MATCH('Calculations'!HY372,'Calculations'!$HE$13:$HE$512,0)),""))))</x:f>
      </x:c>
      <x:c r="IA372" t="str">
        <x:f>IF('Calculations'!HZ372="","",IF('Calculations'!HZ372="!AMBIG","!AMBIG",IF(COUNTIF('Calculations'!$HE$13:$HE$512,"="&amp;SUBSTITUTE(SUBSTITUTE(SUBSTITUTE('Calculations'!HZ372,"~","~~"),"*","~*"),"?","~?"))&gt;1,"!AMBIG",IFERROR(INDEX('Calculations'!$HF$13:$HF$512,MATCH('Calculations'!HZ372,'Calculations'!$HE$13:$HE$512,0)),""))))</x:f>
      </x:c>
      <x:c r="IB372" t="str">
        <x:f>IF('Calculations'!IA372="","",IF('Calculations'!IA372="!AMBIG","!AMBIG",IF(COUNTIF('Calculations'!$HE$13:$HE$512,"="&amp;SUBSTITUTE(SUBSTITUTE(SUBSTITUTE('Calculations'!IA372,"~","~~"),"*","~*"),"?","~?"))&gt;1,"!AMBIG",IFERROR(INDEX('Calculations'!$HF$13:$HF$512,MATCH('Calculations'!IA372,'Calculations'!$HE$13:$HE$512,0)),""))))</x:f>
      </x:c>
      <x:c r="IC372" t="str">
        <x:f>IF('Calculations'!IB372="","",IF('Calculations'!IB372="!AMBIG","!AMBIG",IF(COUNTIF('Calculations'!$HE$13:$HE$512,"="&amp;SUBSTITUTE(SUBSTITUTE(SUBSTITUTE('Calculations'!IB372,"~","~~"),"*","~*"),"?","~?"))&gt;1,"!AMBIG",IFERROR(INDEX('Calculations'!$HF$13:$HF$512,MATCH('Calculations'!IB372,'Calculations'!$HE$13:$HE$512,0)),""))))</x:f>
      </x:c>
      <x:c r="ID372" t="str">
        <x:f>IF('Calculations'!IC372="","",IF('Calculations'!IC372="!AMBIG","!AMBIG",IF(COUNTIF('Calculations'!$HE$13:$HE$512,"="&amp;SUBSTITUTE(SUBSTITUTE(SUBSTITUTE('Calculations'!IC372,"~","~~"),"*","~*"),"?","~?"))&gt;1,"!AMBIG",IFERROR(INDEX('Calculations'!$HF$13:$HF$512,MATCH('Calculations'!IC372,'Calculations'!$HE$13:$HE$512,0)),""))))</x:f>
      </x:c>
      <x:c r="IE372" t="str">
        <x:f>IF('Calculations'!ID372="","",IF('Calculations'!ID372="!AMBIG","!AMBIG",IF(COUNTIF('Calculations'!$HE$13:$HE$512,"="&amp;SUBSTITUTE(SUBSTITUTE(SUBSTITUTE('Calculations'!ID372,"~","~~"),"*","~*"),"?","~?"))&gt;1,"!AMBIG",IFERROR(INDEX('Calculations'!$HF$13:$HF$512,MATCH('Calculations'!ID372,'Calculations'!$HE$13:$HE$512,0)),""))))</x:f>
      </x:c>
      <x:c r="IF372" t="str">
        <x:f>IF('Calculations'!IE372="","",IF('Calculations'!IE372="!AMBIG","!AMBIG",IF(COUNTIF('Calculations'!$HE$13:$HE$512,"="&amp;SUBSTITUTE(SUBSTITUTE(SUBSTITUTE('Calculations'!IE372,"~","~~"),"*","~*"),"?","~?"))&gt;1,"!AMBIG",IFERROR(INDEX('Calculations'!$HF$13:$HF$512,MATCH('Calculations'!IE372,'Calculations'!$HE$13:$HE$512,0)),""))))</x:f>
      </x:c>
      <x:c r="IG372" t="str">
        <x:f>IF('Calculations'!IF372="","",IF('Calculations'!IF372="!AMBIG","!AMBIG",IF(COUNTIF('Calculations'!$HE$13:$HE$512,"="&amp;SUBSTITUTE(SUBSTITUTE(SUBSTITUTE('Calculations'!IF372,"~","~~"),"*","~*"),"?","~?"))&gt;1,"!AMBIG",IFERROR(INDEX('Calculations'!$HF$13:$HF$512,MATCH('Calculations'!IF372,'Calculations'!$HE$13:$HE$512,0)),""))))</x:f>
      </x:c>
      <x:c r="IH372" t="str">
        <x:f>IF('Calculations'!IG372="","",IF('Calculations'!IG372="!AMBIG","!AMBIG",IF(COUNTIF('Calculations'!$HE$13:$HE$512,"="&amp;SUBSTITUTE(SUBSTITUTE(SUBSTITUTE('Calculations'!IG372,"~","~~"),"*","~*"),"?","~?"))&gt;1,"!AMBIG",IFERROR(INDEX('Calculations'!$HF$13:$HF$512,MATCH('Calculations'!IG372,'Calculations'!$HE$13:$HE$512,0)),""))))</x:f>
      </x:c>
      <x:c r="II372" t="str">
        <x:f>IF('Calculations'!IH372="","",IF('Calculations'!IH372="!AMBIG","!AMBIG",IF(COUNTIF('Calculations'!$HE$13:$HE$512,"="&amp;SUBSTITUTE(SUBSTITUTE(SUBSTITUTE('Calculations'!IH372,"~","~~"),"*","~*"),"?","~?"))&gt;1,"!AMBIG",IFERROR(INDEX('Calculations'!$HF$13:$HF$512,MATCH('Calculations'!IH372,'Calculations'!$HE$13:$HE$512,0)),""))))</x:f>
      </x:c>
      <x:c r="IJ372" t="str">
        <x:f>IF('Calculations'!EM372="","",IF('Calculations'!$EF$2="All",'Calculations'!HM372,IF('Calculations'!HL372=1,"",IFERROR(IF(MATCH('Calculations'!$EF$2,'Calculations'!HO372:II372,0)=1,'Calculations'!HE372,INDEX('Calculations'!HO372:II372,1,MATCH('Calculations'!$EF$2,'Calculations'!HO372:II372,0)-1)),""))))</x:f>
      </x:c>
      <x:c r="IK372" t="n">
        <x:f>IF(AND('Calculations'!EM372&lt;&gt;"",'Calculations'!$EF$2&lt;&gt;"All",'Calculations'!HF372='Calculations'!$EF$2,'Calculations'!HL372=0,'Calculations'!JD372&gt;0),MAX('Calculations'!$IK$12:IK371)+1,0)</x:f>
        <x:v>0</x:v>
      </x:c>
      <x:c r="JA372" t="n">
        <x:f>IF(OR(IFERROR(INDIRECT("'WCM Calibration Final'!$A$372")&lt;&gt;"",FALSE),IFERROR(INDIRECT("'WCM Calibration Final'!$B$372")&lt;&gt;"",FALSE),IFERROR(INDIRECT("'WCM Calibration Final'!$C$372")&lt;&gt;"",FALSE)),372,0)</x:f>
        <x:v>0</x:v>
      </x:c>
      <x:c r="JB372" t="n">
        <x:f>'Calculations'!JB371+IF('Calculations'!JA372&gt;0,1,0)</x:f>
        <x:v>0</x:v>
      </x:c>
      <x:c r="JC372" t="n">
        <x:f>IF(OR('Calculations'!HF372="",'Calculations'!HF372="!AMBIG"),0,IF('Dashboard'!$B$7="All",1,COUNTIFS('Calculations'!$HO$13:$HO$512,"="&amp;SUBSTITUTE(SUBSTITUTE(SUBSTITUTE('Calculations'!HF372,"~","~~"),"*","~*"),"?","~?"),'Calculations'!$HN$13:$HN$512,"="&amp;SUBSTITUTE(SUBSTITUTE(SUBSTITUTE('Dashboard'!$B$7,"~","~~"),"*","~*"),"?","~?"))+COUNTIFS('Calculations'!$HP$13:$HP$512,"="&amp;SUBSTITUTE(SUBSTITUTE(SUBSTITUTE('Calculations'!HF372,"~","~~"),"*","~*"),"?","~?"),'Calculations'!$HN$13:$HN$512,"="&amp;SUBSTITUTE(SUBSTITUTE(SUBSTITUTE('Dashboard'!$B$7,"~","~~"),"*","~*"),"?","~?"))+COUNTIFS('Calculations'!$HQ$13:$HQ$512,"="&amp;SUBSTITUTE(SUBSTITUTE(SUBSTITUTE('Calculations'!HF372,"~","~~"),"*","~*"),"?","~?"),'Calculations'!$HN$13:$HN$512,"="&amp;SUBSTITUTE(SUBSTITUTE(SUBSTITUTE('Dashboard'!$B$7,"~","~~"),"*","~*"),"?","~?"))+COUNTIFS('Calculations'!$HR$13:$HR$512,"="&amp;SUBSTITUTE(SUBSTITUTE(SUBSTITUTE('Calculations'!HF372,"~","~~"),"*","~*"),"?","~?"),'Calculations'!$HN$13:$HN$512,"="&amp;SUBSTITUTE(SUBSTITUTE(SUBSTITUTE('Dashboard'!$B$7,"~","~~"),"*","~*"),"?","~?"))+COUNTIFS('Calculations'!$HS$13:$HS$512,"="&amp;SUBSTITUTE(SUBSTITUTE(SUBSTITUTE('Calculations'!HF372,"~","~~"),"*","~*"),"?","~?"),'Calculations'!$HN$13:$HN$512,"="&amp;SUBSTITUTE(SUBSTITUTE(SUBSTITUTE('Dashboard'!$B$7,"~","~~"),"*","~*"),"?","~?"))+COUNTIFS('Calculations'!$HT$13:$HT$512,"="&amp;SUBSTITUTE(SUBSTITUTE(SUBSTITUTE('Calculations'!HF372,"~","~~"),"*","~*"),"?","~?"),'Calculations'!$HN$13:$HN$512,"="&amp;SUBSTITUTE(SUBSTITUTE(SUBSTITUTE('Dashboard'!$B$7,"~","~~"),"*","~*"),"?","~?"))+COUNTIFS('Calculations'!$HU$13:$HU$512,"="&amp;SUBSTITUTE(SUBSTITUTE(SUBSTITUTE('Calculations'!HF372,"~","~~"),"*","~*"),"?","~?"),'Calculations'!$HN$13:$HN$512,"="&amp;SUBSTITUTE(SUBSTITUTE(SUBSTITUTE('Dashboard'!$B$7,"~","~~"),"*","~*"),"?","~?"))+COUNTIFS('Calculations'!$HV$13:$HV$512,"="&amp;SUBSTITUTE(SUBSTITUTE(SUBSTITUTE('Calculations'!HF372,"~","~~"),"*","~*"),"?","~?"),'Calculations'!$HN$13:$HN$512,"="&amp;SUBSTITUTE(SUBSTITUTE(SUBSTITUTE('Dashboard'!$B$7,"~","~~"),"*","~*"),"?","~?"))+COUNTIFS('Calculations'!$HW$13:$HW$512,"="&amp;SUBSTITUTE(SUBSTITUTE(SUBSTITUTE('Calculations'!HF372,"~","~~"),"*","~*"),"?","~?"),'Calculations'!$HN$13:$HN$512,"="&amp;SUBSTITUTE(SUBSTITUTE(SUBSTITUTE('Dashboard'!$B$7,"~","~~"),"*","~*"),"?","~?"))+COUNTIFS('Calculations'!$HX$13:$HX$512,"="&amp;SUBSTITUTE(SUBSTITUTE(SUBSTITUTE('Calculations'!HF372,"~","~~"),"*","~*"),"?","~?"),'Calculations'!$HN$13:$HN$512,"="&amp;SUBSTITUTE(SUBSTITUTE(SUBSTITUTE('Dashboard'!$B$7,"~","~~"),"*","~*"),"?","~?"))+COUNTIFS('Calculations'!$HY$13:$HY$512,"="&amp;SUBSTITUTE(SUBSTITUTE(SUBSTITUTE('Calculations'!HF372,"~","~~"),"*","~*"),"?","~?"),'Calculations'!$HN$13:$HN$512,"="&amp;SUBSTITUTE(SUBSTITUTE(SUBSTITUTE('Dashboard'!$B$7,"~","~~"),"*","~*"),"?","~?"))+COUNTIFS('Calculations'!$HZ$13:$HZ$512,"="&amp;SUBSTITUTE(SUBSTITUTE(SUBSTITUTE('Calculations'!HF372,"~","~~"),"*","~*"),"?","~?"),'Calculations'!$HN$13:$HN$512,"="&amp;SUBSTITUTE(SUBSTITUTE(SUBSTITUTE('Dashboard'!$B$7,"~","~~"),"*","~*"),"?","~?"))+COUNTIFS('Calculations'!$IA$13:$IA$512,"="&amp;SUBSTITUTE(SUBSTITUTE(SUBSTITUTE('Calculations'!HF372,"~","~~"),"*","~*"),"?","~?"),'Calculations'!$HN$13:$HN$512,"="&amp;SUBSTITUTE(SUBSTITUTE(SUBSTITUTE('Dashboard'!$B$7,"~","~~"),"*","~*"),"?","~?"))+COUNTIFS('Calculations'!$IB$13:$IB$512,"="&amp;SUBSTITUTE(SUBSTITUTE(SUBSTITUTE('Calculations'!HF372,"~","~~"),"*","~*"),"?","~?"),'Calculations'!$HN$13:$HN$512,"="&amp;SUBSTITUTE(SUBSTITUTE(SUBSTITUTE('Dashboard'!$B$7,"~","~~"),"*","~*"),"?","~?"))+COUNTIFS('Calculations'!$IC$13:$IC$512,"="&amp;SUBSTITUTE(SUBSTITUTE(SUBSTITUTE('Calculations'!HF372,"~","~~"),"*","~*"),"?","~?"),'Calculations'!$HN$13:$HN$512,"="&amp;SUBSTITUTE(SUBSTITUTE(SUBSTITUTE('Dashboard'!$B$7,"~","~~"),"*","~*"),"?","~?"))+COUNTIFS('Calculations'!$ID$13:$ID$512,"="&amp;SUBSTITUTE(SUBSTITUTE(SUBSTITUTE('Calculations'!HF372,"~","~~"),"*","~*"),"?","~?"),'Calculations'!$HN$13:$HN$512,"="&amp;SUBSTITUTE(SUBSTITUTE(SUBSTITUTE('Dashboard'!$B$7,"~","~~"),"*","~*"),"?","~?"))+COUNTIFS('Calculations'!$IE$13:$IE$512,"="&amp;SUBSTITUTE(SUBSTITUTE(SUBSTITUTE('Calculations'!HF372,"~","~~"),"*","~*"),"?","~?"),'Calculations'!$HN$13:$HN$512,"="&amp;SUBSTITUTE(SUBSTITUTE(SUBSTITUTE('Dashboard'!$B$7,"~","~~"),"*","~*"),"?","~?"))+COUNTIFS('Calculations'!$IF$13:$IF$512,"="&amp;SUBSTITUTE(SUBSTITUTE(SUBSTITUTE('Calculations'!HF372,"~","~~"),"*","~*"),"?","~?"),'Calculations'!$HN$13:$HN$512,"="&amp;SUBSTITUTE(SUBSTITUTE(SUBSTITUTE('Dashboard'!$B$7,"~","~~"),"*","~*"),"?","~?"))+COUNTIFS('Calculations'!$IG$13:$IG$512,"="&amp;SUBSTITUTE(SUBSTITUTE(SUBSTITUTE('Calculations'!HF372,"~","~~"),"*","~*"),"?","~?"),'Calculations'!$HN$13:$HN$512,"="&amp;SUBSTITUTE(SUBSTITUTE(SUBSTITUTE('Dashboard'!$B$7,"~","~~"),"*","~*"),"?","~?"))+COUNTIFS('Calculations'!$IH$13:$IH$512,"="&amp;SUBSTITUTE(SUBSTITUTE(SUBSTITUTE('Calculations'!HF372,"~","~~"),"*","~*"),"?","~?"),'Calculations'!$HN$13:$HN$512,"="&amp;SUBSTITUTE(SUBSTITUTE(SUBSTITUTE('Dashboard'!$B$7,"~","~~"),"*","~*"),"?","~?"))))</x:f>
        <x:v>0</x:v>
      </x:c>
      <x:c r="JD372" t="n">
        <x:f>IF('Calculations'!EM372="",0,IF('Dashboard'!$B$7="All",1,IF('Calculations'!HN372='Dashboard'!$B$7,1,0)+IFERROR(INDEX('Calculations'!$JC$13:$JC$512,MATCH('Calculations'!HE372,'Calculations'!$HF$13:$HF$512,0)),0)))</x:f>
        <x:v>0</x:v>
      </x:c>
      <x:c r="JE372" t="n">
        <x:f>IF(AND('Calculations'!EM372&lt;&gt;"",'Calculations'!$JJ$2&lt;&gt;"All",'Calculations'!$JJ$2&lt;&gt;"",'Calculations'!HF372='Calculations'!$JJ$2,'Calculations'!HL372=0,'Calculations'!JD372&gt;0),MAX('Calculations'!$JE$12:JE371)+1,0)</x:f>
        <x:v>0</x:v>
      </x:c>
      <x:c r="JF372" t="str">
        <x:f>IF('Calculations'!EM372="","",IFERROR(IF(INDEX(INDIRECT("'WCM Calibration Final'!$G$1:$G$2000"),'Calculations'!$EM372)="","",TRIM(INDEX(INDIRECT("'WCM Calibration Final'!$G$1:$G$2000"),'Calculations'!$EM372)&amp;"")),""))</x:f>
      </x:c>
      <x:c r="JQ372" t="n">
        <x:f>IF(OR('Calculations'!BM372=0,NOT('Calculations'!$AG$2),'Calculations'!$AG$8&gt;0),0,IF(OR('Dashboard'!$B$7="All",'Calculations'!HN372='Dashboard'!$B$7),IF('Calculations'!$JJ$2="All",1,IF(AND('Calculations'!HF372='Calculations'!$JJ$2,'Calculations'!HL372=0),1,0)),0))</x:f>
        <x:v>0</x:v>
      </x:c>
    </x:row>
    <x:row r="373">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t="n">
        <x:f>IF('Calculations'!$EM373="",0,IF(OR(IFERROR(INDEX(INDIRECT("'WCM Calibration Final'!$A$1:$A$2000"),'Calculations'!$EM373)&lt;&gt;"",FALSE),IFERROR(INDEX(INDIRECT("'WCM Calibration Final'!$B$1:$B$2000"),'Calculations'!$EM373)&lt;&gt;"",FALSE),IFERROR(INDEX(INDIRECT("'WCM Calibration Final'!$C$1:$C$2000"),'Calculations'!$EM373)&lt;&gt;"",FALSE)),1,0))</x:f>
        <x:v>0</x:v>
      </x:c>
      <x:c r="BN373" s="4" t="n">
        <x:f>IF(AND('Calculations'!BM373=1,'Calculations'!$AG$2,'Calculations'!$EN373=1),1,0)</x:f>
        <x:v>0</x:v>
      </x:c>
      <x:c r="BO373" s="4" t="str">
        <x:f>IF('Calculations'!BM373=0,"",IFERROR(IF(AND(VALUE(INDEX(INDIRECT("'WCM Calibration Final'!$K$1:$K$2000"),'Calculations'!$EM373))&gt;=1,VALUE(INDEX(INDIRECT("'WCM Calibration Final'!$K$1:$K$2000"),'Calculations'!$EM373))&lt;=4,MOD(VALUE(INDEX(INDIRECT("'WCM Calibration Final'!$K$1:$K$2000"),'Calculations'!$EM373)),1)=0),VALUE(INDEX(INDIRECT("'WCM Calibration Final'!$K$1:$K$2000"),'Calculations'!$EM373)),""),""))</x:f>
      </x:c>
      <x:c r="BP373" s="4" t="str">
        <x:f>IF('Calculations'!BM373=0,"",IFERROR(IF(AND(VALUE(INDEX(INDIRECT("'WCM Calibration Final'!$L$1:$L$2000"),'Calculations'!$EM373))&gt;=1,VALUE(INDEX(INDIRECT("'WCM Calibration Final'!$L$1:$L$2000"),'Calculations'!$EM373))&lt;=4,MOD(VALUE(INDEX(INDIRECT("'WCM Calibration Final'!$L$1:$L$2000"),'Calculations'!$EM373)),1)=0),VALUE(INDEX(INDIRECT("'WCM Calibration Final'!$L$1:$L$2000"),'Calculations'!$EM373)),""),""))</x:f>
      </x:c>
      <x:c r="BQ373" s="4"/>
      <x:c r="BR373" s="4"/>
      <x:c r="BS373" s="4"/>
      <x:c r="BT373" s="4" t="n">
        <x:f>IF(AND('Calculations'!BM373=1,ISNUMBER('Calculations'!BO373),ISNUMBER('Calculations'!BP373)),1,0)</x:f>
        <x:v>0</x:v>
      </x:c>
      <x:c r="BU373" s="4" t="str">
        <x:f>IF('Calculations'!BM373=0,"",'Calculations'!$EO373)</x:f>
      </x:c>
      <x:c r="BV373" s="4" t="str">
        <x:f>IF('Calculations'!BM373=0,"",IFERROR(IF(OR(INDEX(INDIRECT("'WCM Calibration Final'!$H$1:$H$2000"),'Calculations'!$EM373)="MANAGING DIRECTOR",INDEX(INDIRECT("'WCM Calibration Final'!$H$1:$H$2000"),'Calculations'!$EM373)="DIRECTOR",INDEX(INDIRECT("'WCM Calibration Final'!$H$1:$H$2000"),'Calculations'!$EM373)="SENIOR VICE PRESIDENT",INDEX(INDIRECT("'WCM Calibration Final'!$H$1:$H$2000"),'Calculations'!$EM373)="VICE PRESIDENT",INDEX(INDIRECT("'WCM Calibration Final'!$H$1:$H$2000"),'Calculations'!$EM373)="ASSISTANT VICE PRESIDENT",INDEX(INDIRECT("'WCM Calibration Final'!$H$1:$H$2000"),'Calculations'!$EM373)="OFFICER"),UPPER(INDEX(INDIRECT("'WCM Calibration Final'!$H$1:$H$2000"),'Calculations'!$EM373)),"Other"),"Other"))</x:f>
      </x:c>
      <x:c r="BW373" s="4"/>
      <x:c r="BX373" s="4"/>
      <x:c r="BY373" s="4" t="n">
        <x:f>IF(AND('Calculations'!BM373=1,'Calculations'!BU373&lt;&gt;"",COUNTIF('Calculations'!$BU$12:BU373,'Calculations'!BU373)=1),MAX('Calculations'!$BY$11:BY372)+1,0)</x:f>
        <x:v>0</x:v>
      </x:c>
      <x:c r="BZ373" s="4" t="str">
        <x:f>IF('Dashboard'!$E$67="What",'Calculations'!BO373,'Calculations'!BP373)</x:f>
      </x:c>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t="str">
        <x:f>IF(362&gt;MAX('Calculations'!$HI$13:$HI$512),"",INDEX('Calculations'!$HN$13:$HN$512,MATCH(362,'Calculations'!$HI$13:$HI$512,0)))</x:f>
      </x:c>
      <x:c r="DB373" s="4" t="str">
        <x:f>IF(362&gt;MAX('Calculations'!$HH$13:$HH$512),"",INDEX('Calculations'!$HJ$13:$HJ$512,MATCH(362,'Calculations'!$HH$13:$HH$512,0)))</x:f>
      </x:c>
      <x:c r="DC373" s="4" t="str">
        <x:f>IF(ROW()-11&gt;MAX('Calculations'!$BY$13:$BY$512),"",INDEX('Calculations'!$BU$13:$BU$512,MATCH(ROW()-11,'Calculations'!$BY$13:$BY$512,0)))</x:f>
      </x:c>
      <x:c r="DD373" s="4" t="str">
        <x:f>IF(362&gt;MAX('Calculations'!$IK$13:$IK$512),"",INDEX('Calculations'!$HK$13:$HK$512,MATCH(362,'Calculations'!$IK$13:$IK$512,0)))</x:f>
      </x:c>
      <x:c r="DE373" s="4" t="str">
        <x:f>'Calculations'!DC373</x:f>
      </x:c>
      <x:c r="DF373" s="4" t="str">
        <x:f>IF('Calculations'!DE373="","",COUNTIFS('Calculations'!$BN$13:$BN$512,1,'Calculations'!$BU$13:$BU$512,'Calculations'!DE373))</x:f>
      </x:c>
      <x:c r="DG373" s="4" t="str">
        <x:f>IF('Calculations'!DE373="","",COUNTIFS('Calculations'!$BN$13:$BN$512,1,'Calculations'!$BU$13:$BU$512,'Calculations'!DE373,'Calculations'!$BT$13:$BT$512,1))</x:f>
      </x:c>
      <x:c r="DH373" s="4" t="str">
        <x:f>IF('Calculations'!DE373="","",'Calculations'!DF373-'Calculations'!DG373)</x:f>
      </x:c>
      <x:c r="DI373" s="4" t="str">
        <x:f>IF(OR('Calculations'!DE373="",'Calculations'!DF373=0),"",'Calculations'!DG373/'Calculations'!DF373)</x:f>
      </x:c>
      <x:c r="DJ373" s="4" t="str">
        <x:f>IF('Calculations'!DE373="","",COUNTIFS('Calculations'!$BN$13:$BN$512,1,'Calculations'!$BU$13:$BU$512,'Calculations'!DE373,'Calculations'!$BT$13:$BT$512,1,'Calculations'!$EE$13:$EE$512,"High"))</x:f>
      </x:c>
      <x:c r="DK373" s="4" t="str">
        <x:f>IF('Calculations'!DE373="","",COUNTIFS('Calculations'!$BN$13:$BN$512,1,'Calculations'!$BU$13:$BU$512,'Calculations'!DE373,'Calculations'!$BT$13:$BT$512,1,'Calculations'!$EE$13:$EE$512,"Strong"))</x:f>
      </x:c>
      <x:c r="DL373" s="4" t="str">
        <x:f>IF('Calculations'!DE373="","",COUNTIFS('Calculations'!$BN$13:$BN$512,1,'Calculations'!$BU$13:$BU$512,'Calculations'!DE373,'Calculations'!$BT$13:$BT$512,1,'Calculations'!$EE$13:$EE$512,"Solid"))</x:f>
      </x:c>
      <x:c r="DM373" s="4" t="str">
        <x:f>IF('Calculations'!DE373="","",COUNTIFS('Calculations'!$BN$13:$BN$512,1,'Calculations'!$BU$13:$BU$512,'Calculations'!DE373,'Calculations'!$BT$13:$BT$512,1,'Calculations'!$EE$13:$EE$512,"Low"))</x:f>
      </x:c>
      <x:c r="DN373" s="4" t="str">
        <x:f>IF('Calculations'!DE373="","",COUNTIFS('Calculations'!$BN$13:$BN$512,1,'Calculations'!$BU$13:$BU$512,'Calculations'!DE373,'Calculations'!$EP$13:$EP$512,1))</x:f>
      </x:c>
      <x:c r="DO373" s="4" t="str">
        <x:f>IF(OR('Calculations'!DE373="",'Calculations'!DG373=0),"",('Calculations'!DJ373+'Calculations'!DK373)/'Calculations'!DG373)</x:f>
      </x:c>
      <x:c r="DP373" s="4" t="n">
        <x:f>IF(AND('Calculations'!DE373&lt;&gt;"",'Calculations'!DF373&gt;0),COUNTIF('Calculations'!$DF$12:DF373,"&gt;0"),0)</x:f>
        <x:v>0</x:v>
      </x:c>
      <x:c r="DQ373" s="4" t="str">
        <x:f>IF(362&gt;MAX('Calculations'!$HH$13:$HH$512),"",INDEX('Calculations'!$HF$13:$HF$512,MATCH(362,'Calculations'!$HH$13:$HH$512,0)))</x:f>
      </x:c>
      <x:c r="DR373" s="4" t="str">
        <x:f>IF(362&gt;MAX('Calculations'!$IK$13:$IK$512),"",INDEX('Calculations'!$HE$13:$HE$512,MATCH(362,'Calculations'!$IK$13:$IK$512,0)))</x:f>
      </x:c>
      <x:c r="DS373" s="4"/>
      <x:c r="DT373" s="4"/>
      <x:c r="DU373" s="4"/>
      <x:c r="DV373" s="4"/>
      <x:c r="DW373" s="4"/>
      <x:c r="DX373" s="4"/>
      <x:c r="DY373" s="4"/>
      <x:c r="DZ373" s="4"/>
      <x:c r="EA373" s="4"/>
      <x:c r="EB373" s="4"/>
      <x:c r="EC373" s="4"/>
      <x:c r="ED373" s="4"/>
      <x:c r="EE373" s="4" t="str">
        <x:f>IF('Calculations'!BT373=0,"Not Rated",IF(OR('Calculations'!BO373&gt;=4,'Calculations'!BP373&gt;=4),"Low",IF('Calculations'!BO373+'Calculations'!BP373&lt;=3,"High",IF('Calculations'!BO373+'Calculations'!BP373&lt;=4,"Strong","Solid"))))</x:f>
        <x:v>Not Rated</x:v>
      </x:c>
      <x:c r="EF373" s="4"/>
      <x:c r="EG373" s="4"/>
      <x:c r="EH373" s="4"/>
      <x:c r="EI373" s="4"/>
      <x:c r="EJ373" s="4"/>
      <x:c r="EK373" s="4"/>
      <x:c r="EL373" s="4"/>
      <x:c r="EM373" s="4" t="str">
        <x:f>IF(361&gt;'Calculations'!$JB$2000,"",INDEX('Calculations'!$JA$12:$JA$2000,MATCH(361,'Calculations'!$JB$12:$JB$2000,0)))</x:f>
      </x:c>
      <x:c r="EN373" s="4" t="n">
        <x:f>IF(OR('Calculations'!EM373="",'Calculations'!$AG$8&gt;0,AND('Calculations'!$EF$2&lt;&gt;"All",'Calculations'!HE373='Calculations'!$EF$2),AND('Calculations'!$EF$3&lt;&gt;"All",'Calculations'!HE373='Calculations'!$EF$3)),0,IF(OR('Dashboard'!$B$7="All",'Calculations'!HN373='Dashboard'!$B$7),IF('Calculations'!$EF$2="All",1,IF('Calculations'!HL373&gt;0,0,IF(COUNTIF('Calculations'!HO373:II373,"="&amp;SUBSTITUTE(SUBSTITUTE(SUBSTITUTE('Calculations'!$EF$2,"~","~~"),"*","~*"),"?","~?"))=0,0,IF('Calculations'!$EF$3="All",1,IF(COUNTIF('Calculations'!HO373:II373,"="&amp;SUBSTITUTE(SUBSTITUTE(SUBSTITUTE('Calculations'!$EF$3,"~","~~"),"*","~*"),"?","~?"))&gt;0,1,0))))),0))</x:f>
        <x:v>0</x:v>
      </x:c>
      <x:c r="EO373" s="4" t="str">
        <x:f>IF('Calculations'!IJ373="","",IF('Calculations'!IJ373="!UNRESOLVED","Unresolved hierarchy",IFERROR(INDEX('Calculations'!$HK$13:$HK$512,MATCH('Calculations'!IJ373,'Calculations'!$HE$13:$HE$512,0)),IFERROR(INDEX('Calculations'!$HJ$13:$HJ$512,MATCH('Calculations'!IJ373,'Calculations'!$HF$13:$HF$512,0)),'Calculations'!IJ373))))</x:f>
      </x:c>
      <x:c r="EP373" s="4" t="n">
        <x:f>IF(AND('Calculations'!EM373&lt;&gt;"",'Calculations'!HF373='Calculations'!IJ373),1,0)</x:f>
        <x:v>0</x:v>
      </x:c>
      <x:c r="EQ373" s="4"/>
      <x:c r="ER373" s="4"/>
      <x:c r="ES373" s="4"/>
      <x:c r="ET373" s="4"/>
      <x:c r="EU373" s="4"/>
      <x:c r="EV373" s="4"/>
      <x:c r="EW373" s="4"/>
      <x:c r="EX373" s="4"/>
      <x:c r="EY373" s="4"/>
      <x:c r="EZ373" s="4"/>
      <x:c r="FA373" s="4"/>
      <x:c r="FB373" s="4"/>
      <x:c r="FC373" s="4"/>
      <x:c r="FD373" s="4"/>
      <x:c r="FE373" s="4"/>
      <x:c r="FF373" s="4"/>
      <x:c r="FG373" s="4"/>
      <x:c r="FH373" s="4"/>
      <x:c r="FI373" s="4"/>
      <x:c r="FJ373" s="4"/>
      <x:c r="FK373" s="4"/>
      <x:c r="FL373" s="4"/>
      <x:c r="FM373" s="4"/>
      <x:c r="FN373" s="4"/>
      <x:c r="FO373" s="4"/>
      <x:c r="HE373" t="str">
        <x:f>IF('Calculations'!EM373="","",IF(IFERROR(IF(INDEX(INDIRECT("'WCM Calibration Final'!$A$1:$A$2000"),'Calculations'!$EM373)="","",TRIM(INDEX(INDIRECT("'WCM Calibration Final'!$A$1:$A$2000"),'Calculations'!$EM373)&amp;"")),"")&lt;&gt;"","G:"&amp;IFERROR(TEXT(1*INDEX(INDIRECT("'WCM Calibration Final'!$A$1:$A$2000"),'Calculations'!$EM373),"0"),UPPER(IFERROR(IF(INDEX(INDIRECT("'WCM Calibration Final'!$A$1:$A$2000"),'Calculations'!$EM373)="","",TRIM(INDEX(INDIRECT("'WCM Calibration Final'!$A$1:$A$2000"),'Calculations'!$EM373)&amp;"")),""))),IF(IFERROR(IF(INDEX(INDIRECT("'WCM Calibration Final'!$C$1:$C$2000"),'Calculations'!$EM373)="","",TRIM(INDEX(INDIRECT("'WCM Calibration Final'!$C$1:$C$2000"),'Calculations'!$EM373)&amp;"")),"")&lt;&gt;"","S:"&amp;UPPER(IFERROR(IF(INDEX(INDIRECT("'WCM Calibration Final'!$C$1:$C$2000"),'Calculations'!$EM373)="","",TRIM(INDEX(INDIRECT("'WCM Calibration Final'!$C$1:$C$2000"),'Calculations'!$EM373)&amp;"")),"")),"R:"&amp;'Calculations'!EM373)))</x:f>
      </x:c>
      <x:c r="HF373" t="str">
        <x:f>IF('Calculations'!EM373="","",IF(IFERROR(IF(INDEX(INDIRECT("'WCM Calibration Final'!$D$1:$D$2000"),'Calculations'!$EM373)="","",TRIM(INDEX(INDIRECT("'WCM Calibration Final'!$D$1:$D$2000"),'Calculations'!$EM373)&amp;"")),"")&lt;&gt;"","G:"&amp;IFERROR(TEXT(1*INDEX(INDIRECT("'WCM Calibration Final'!$D$1:$D$2000"),'Calculations'!$EM373),"0"),UPPER(IFERROR(IF(INDEX(INDIRECT("'WCM Calibration Final'!$D$1:$D$2000"),'Calculations'!$EM373)="","",TRIM(INDEX(INDIRECT("'WCM Calibration Final'!$D$1:$D$2000"),'Calculations'!$EM373)&amp;"")),""))),IF(IFERROR(IF(INDEX(INDIRECT("'WCM Calibration Final'!$E$1:$E$2000"),'Calculations'!$EM373)="","",TRIM(INDEX(INDIRECT("'WCM Calibration Final'!$E$1:$E$2000"),'Calculations'!$EM373)&amp;"")),"")="","",IF(COUNTIF('Calculations'!$HG$13:$HG$512,"="&amp;SUBSTITUTE(SUBSTITUTE(SUBSTITUTE(IFERROR(IF(INDEX(INDIRECT("'WCM Calibration Final'!$E$1:$E$2000"),'Calculations'!$EM373)="","",TRIM(INDEX(INDIRECT("'WCM Calibration Final'!$E$1:$E$2000"),'Calculations'!$EM373)&amp;"")),""),"~","~~"),"*","~*"),"?","~?"))=1,INDEX('Calculations'!$HE$13:$HE$512,MATCH(IFERROR(IF(INDEX(INDIRECT("'WCM Calibration Final'!$E$1:$E$2000"),'Calculations'!$EM373)="","",TRIM(INDEX(INDIRECT("'WCM Calibration Final'!$E$1:$E$2000"),'Calculations'!$EM373)&amp;"")),""),'Calculations'!$HG$13:$HG$512,0)),IF(COUNTIF('Calculations'!$HG$13:$HG$512,"="&amp;SUBSTITUTE(SUBSTITUTE(SUBSTITUTE(IFERROR(IF(INDEX(INDIRECT("'WCM Calibration Final'!$E$1:$E$2000"),'Calculations'!$EM373)="","",TRIM(INDEX(INDIRECT("'WCM Calibration Final'!$E$1:$E$2000"),'Calculations'!$EM373)&amp;"")),""),"~","~~"),"*","~*"),"?","~?"))&gt;1,"!AMBIG","X:"&amp;IFERROR(IF(INDEX(INDIRECT("'WCM Calibration Final'!$E$1:$E$2000"),'Calculations'!$EM373)="","",TRIM(INDEX(INDIRECT("'WCM Calibration Final'!$E$1:$E$2000"),'Calculations'!$EM373)&amp;"")),""))))))</x:f>
      </x:c>
      <x:c r="HG373" t="str">
        <x:f>IF('Calculations'!EM373="","",IFERROR(IF(INDEX(INDIRECT("'WCM Calibration Final'!$B$1:$B$2000"),'Calculations'!$EM373)="","",TRIM(INDEX(INDIRECT("'WCM Calibration Final'!$B$1:$B$2000"),'Calculations'!$EM373)&amp;"")),""))</x:f>
      </x:c>
      <x:c r="HH373" t="n">
        <x:f>IF(AND('Calculations'!JC373&gt;0,COUNTIF('Calculations'!$HF$12:HF373,"="&amp;SUBSTITUTE(SUBSTITUTE(SUBSTITUTE('Calculations'!HF373,"~","~~"),"*","~*"),"?","~?"))=1),MAX('Calculations'!$HH$12:HH372)+1,0)</x:f>
        <x:v>0</x:v>
      </x:c>
      <x:c r="HI373" t="n">
        <x:f>IF(AND('Calculations'!HN373&lt;&gt;"",COUNTIF('Calculations'!$HN$12:HN373,"="&amp;SUBSTITUTE(SUBSTITUTE(SUBSTITUTE('Calculations'!HN373,"~","~~"),"*","~*"),"?","~?"))=1),MAX('Calculations'!$HI$12:HI372)+1,0)</x:f>
        <x:v>0</x:v>
      </x:c>
      <x:c r="HJ373" t="str">
        <x:f>IF('Calculations'!HF373="","",IF(COUNTIF('Calculations'!$HE$13:$HE$512,"="&amp;SUBSTITUTE(SUBSTITUTE(SUBSTITUTE('Calculations'!HF373,"~","~~"),"*","~*"),"?","~?"))=1,INDEX('Calculations'!$HK$13:$HK$512,MATCH('Calculations'!HF373,'Calculations'!$HE$13:$HE$512,0)),IFERROR(IF(INDEX(INDIRECT("'WCM Calibration Final'!$E$1:$E$2000"),'Calculations'!$EM373)="","",TRIM(INDEX(INDIRECT("'WCM Calibration Final'!$E$1:$E$2000"),'Calculations'!$EM373)&amp;"")),"")&amp;" ["&amp;'Calculations'!HF373&amp;"]"))</x:f>
      </x:c>
      <x:c r="HK373" t="str">
        <x:f>IF('Calculations'!EM373="","",'Calculations'!HG373&amp;" ["&amp;'Calculations'!HE373&amp;"]")</x:f>
      </x:c>
      <x:c r="HL373" t="n">
        <x:f>IF('Calculations'!EM373="",0,IF(OR('Calculations'!II373&lt;&gt;"",COUNTIF('Calculations'!$HE$13:$HE$512,"="&amp;SUBSTITUTE(SUBSTITUTE(SUBSTITUTE('Calculations'!HE373,"~","~~"),"*","~*"),"?","~?"))&gt;1),1,0))</x:f>
        <x:v>0</x:v>
      </x:c>
      <x:c r="HM373" t="str">
        <x:f>IF('Calculations'!EM373="","",IF('Calculations'!HL373=1,"!UNRESOLVED",IF('Calculations'!IH373&lt;&gt;"",'Calculations'!IH373,IF('Calculations'!IG373&lt;&gt;"",'Calculations'!IG373,IF('Calculations'!IF373&lt;&gt;"",'Calculations'!IF373,IF('Calculations'!IE373&lt;&gt;"",'Calculations'!IE373,IF('Calculations'!ID373&lt;&gt;"",'Calculations'!ID373,IF('Calculations'!IC373&lt;&gt;"",'Calculations'!IC373,IF('Calculations'!IB373&lt;&gt;"",'Calculations'!IB373,IF('Calculations'!IA373&lt;&gt;"",'Calculations'!IA373,IF('Calculations'!HZ373&lt;&gt;"",'Calculations'!HZ373,IF('Calculations'!HY373&lt;&gt;"",'Calculations'!HY373,IF('Calculations'!HX373&lt;&gt;"",'Calculations'!HX373,IF('Calculations'!HW373&lt;&gt;"",'Calculations'!HW373,IF('Calculations'!HV373&lt;&gt;"",'Calculations'!HV373,IF('Calculations'!HU373&lt;&gt;"",'Calculations'!HU373,IF('Calculations'!HT373&lt;&gt;"",'Calculations'!HT373,IF('Calculations'!HS373&lt;&gt;"",'Calculations'!HS373,IF('Calculations'!HR373&lt;&gt;"",'Calculations'!HR373,IF('Calculations'!HQ373&lt;&gt;"",'Calculations'!HQ373,IF('Calculations'!HP373&lt;&gt;"",'Calculations'!HP373,IF('Calculations'!HO373&lt;&gt;"",'Calculations'!HO373,'Calculations'!HE373))))))))))))))))))))))</x:f>
      </x:c>
      <x:c r="HN373" t="str">
        <x:f>IF('Calculations'!EM373="","",IF(IFERROR(IF(INDEX(INDIRECT("'WCM Calibration Final'!$F$1:$F$2000"),'Calculations'!$EM373)="","",TRIM(INDEX(INDIRECT("'WCM Calibration Final'!$F$1:$F$2000"),'Calculations'!$EM373)&amp;"")),"")="","(Blank)",IFERROR(IF(INDEX(INDIRECT("'WCM Calibration Final'!$F$1:$F$2000"),'Calculations'!$EM373)="","",TRIM(INDEX(INDIRECT("'WCM Calibration Final'!$F$1:$F$2000"),'Calculations'!$EM373)&amp;"")),"")))</x:f>
      </x:c>
      <x:c r="HO373" t="str">
        <x:f>'Calculations'!HF373</x:f>
      </x:c>
      <x:c r="HP373" t="str">
        <x:f>IF('Calculations'!HO373="","",IF('Calculations'!HO373="!AMBIG","!AMBIG",IF(COUNTIF('Calculations'!$HE$13:$HE$512,"="&amp;SUBSTITUTE(SUBSTITUTE(SUBSTITUTE('Calculations'!HO373,"~","~~"),"*","~*"),"?","~?"))&gt;1,"!AMBIG",IFERROR(INDEX('Calculations'!$HF$13:$HF$512,MATCH('Calculations'!HO373,'Calculations'!$HE$13:$HE$512,0)),""))))</x:f>
      </x:c>
      <x:c r="HQ373" t="str">
        <x:f>IF('Calculations'!HP373="","",IF('Calculations'!HP373="!AMBIG","!AMBIG",IF(COUNTIF('Calculations'!$HE$13:$HE$512,"="&amp;SUBSTITUTE(SUBSTITUTE(SUBSTITUTE('Calculations'!HP373,"~","~~"),"*","~*"),"?","~?"))&gt;1,"!AMBIG",IFERROR(INDEX('Calculations'!$HF$13:$HF$512,MATCH('Calculations'!HP373,'Calculations'!$HE$13:$HE$512,0)),""))))</x:f>
      </x:c>
      <x:c r="HR373" t="str">
        <x:f>IF('Calculations'!HQ373="","",IF('Calculations'!HQ373="!AMBIG","!AMBIG",IF(COUNTIF('Calculations'!$HE$13:$HE$512,"="&amp;SUBSTITUTE(SUBSTITUTE(SUBSTITUTE('Calculations'!HQ373,"~","~~"),"*","~*"),"?","~?"))&gt;1,"!AMBIG",IFERROR(INDEX('Calculations'!$HF$13:$HF$512,MATCH('Calculations'!HQ373,'Calculations'!$HE$13:$HE$512,0)),""))))</x:f>
      </x:c>
      <x:c r="HS373" t="str">
        <x:f>IF('Calculations'!HR373="","",IF('Calculations'!HR373="!AMBIG","!AMBIG",IF(COUNTIF('Calculations'!$HE$13:$HE$512,"="&amp;SUBSTITUTE(SUBSTITUTE(SUBSTITUTE('Calculations'!HR373,"~","~~"),"*","~*"),"?","~?"))&gt;1,"!AMBIG",IFERROR(INDEX('Calculations'!$HF$13:$HF$512,MATCH('Calculations'!HR373,'Calculations'!$HE$13:$HE$512,0)),""))))</x:f>
      </x:c>
      <x:c r="HT373" t="str">
        <x:f>IF('Calculations'!HS373="","",IF('Calculations'!HS373="!AMBIG","!AMBIG",IF(COUNTIF('Calculations'!$HE$13:$HE$512,"="&amp;SUBSTITUTE(SUBSTITUTE(SUBSTITUTE('Calculations'!HS373,"~","~~"),"*","~*"),"?","~?"))&gt;1,"!AMBIG",IFERROR(INDEX('Calculations'!$HF$13:$HF$512,MATCH('Calculations'!HS373,'Calculations'!$HE$13:$HE$512,0)),""))))</x:f>
      </x:c>
      <x:c r="HU373" t="str">
        <x:f>IF('Calculations'!HT373="","",IF('Calculations'!HT373="!AMBIG","!AMBIG",IF(COUNTIF('Calculations'!$HE$13:$HE$512,"="&amp;SUBSTITUTE(SUBSTITUTE(SUBSTITUTE('Calculations'!HT373,"~","~~"),"*","~*"),"?","~?"))&gt;1,"!AMBIG",IFERROR(INDEX('Calculations'!$HF$13:$HF$512,MATCH('Calculations'!HT373,'Calculations'!$HE$13:$HE$512,0)),""))))</x:f>
      </x:c>
      <x:c r="HV373" t="str">
        <x:f>IF('Calculations'!HU373="","",IF('Calculations'!HU373="!AMBIG","!AMBIG",IF(COUNTIF('Calculations'!$HE$13:$HE$512,"="&amp;SUBSTITUTE(SUBSTITUTE(SUBSTITUTE('Calculations'!HU373,"~","~~"),"*","~*"),"?","~?"))&gt;1,"!AMBIG",IFERROR(INDEX('Calculations'!$HF$13:$HF$512,MATCH('Calculations'!HU373,'Calculations'!$HE$13:$HE$512,0)),""))))</x:f>
      </x:c>
      <x:c r="HW373" t="str">
        <x:f>IF('Calculations'!HV373="","",IF('Calculations'!HV373="!AMBIG","!AMBIG",IF(COUNTIF('Calculations'!$HE$13:$HE$512,"="&amp;SUBSTITUTE(SUBSTITUTE(SUBSTITUTE('Calculations'!HV373,"~","~~"),"*","~*"),"?","~?"))&gt;1,"!AMBIG",IFERROR(INDEX('Calculations'!$HF$13:$HF$512,MATCH('Calculations'!HV373,'Calculations'!$HE$13:$HE$512,0)),""))))</x:f>
      </x:c>
      <x:c r="HX373" t="str">
        <x:f>IF('Calculations'!HW373="","",IF('Calculations'!HW373="!AMBIG","!AMBIG",IF(COUNTIF('Calculations'!$HE$13:$HE$512,"="&amp;SUBSTITUTE(SUBSTITUTE(SUBSTITUTE('Calculations'!HW373,"~","~~"),"*","~*"),"?","~?"))&gt;1,"!AMBIG",IFERROR(INDEX('Calculations'!$HF$13:$HF$512,MATCH('Calculations'!HW373,'Calculations'!$HE$13:$HE$512,0)),""))))</x:f>
      </x:c>
      <x:c r="HY373" t="str">
        <x:f>IF('Calculations'!HX373="","",IF('Calculations'!HX373="!AMBIG","!AMBIG",IF(COUNTIF('Calculations'!$HE$13:$HE$512,"="&amp;SUBSTITUTE(SUBSTITUTE(SUBSTITUTE('Calculations'!HX373,"~","~~"),"*","~*"),"?","~?"))&gt;1,"!AMBIG",IFERROR(INDEX('Calculations'!$HF$13:$HF$512,MATCH('Calculations'!HX373,'Calculations'!$HE$13:$HE$512,0)),""))))</x:f>
      </x:c>
      <x:c r="HZ373" t="str">
        <x:f>IF('Calculations'!HY373="","",IF('Calculations'!HY373="!AMBIG","!AMBIG",IF(COUNTIF('Calculations'!$HE$13:$HE$512,"="&amp;SUBSTITUTE(SUBSTITUTE(SUBSTITUTE('Calculations'!HY373,"~","~~"),"*","~*"),"?","~?"))&gt;1,"!AMBIG",IFERROR(INDEX('Calculations'!$HF$13:$HF$512,MATCH('Calculations'!HY373,'Calculations'!$HE$13:$HE$512,0)),""))))</x:f>
      </x:c>
      <x:c r="IA373" t="str">
        <x:f>IF('Calculations'!HZ373="","",IF('Calculations'!HZ373="!AMBIG","!AMBIG",IF(COUNTIF('Calculations'!$HE$13:$HE$512,"="&amp;SUBSTITUTE(SUBSTITUTE(SUBSTITUTE('Calculations'!HZ373,"~","~~"),"*","~*"),"?","~?"))&gt;1,"!AMBIG",IFERROR(INDEX('Calculations'!$HF$13:$HF$512,MATCH('Calculations'!HZ373,'Calculations'!$HE$13:$HE$512,0)),""))))</x:f>
      </x:c>
      <x:c r="IB373" t="str">
        <x:f>IF('Calculations'!IA373="","",IF('Calculations'!IA373="!AMBIG","!AMBIG",IF(COUNTIF('Calculations'!$HE$13:$HE$512,"="&amp;SUBSTITUTE(SUBSTITUTE(SUBSTITUTE('Calculations'!IA373,"~","~~"),"*","~*"),"?","~?"))&gt;1,"!AMBIG",IFERROR(INDEX('Calculations'!$HF$13:$HF$512,MATCH('Calculations'!IA373,'Calculations'!$HE$13:$HE$512,0)),""))))</x:f>
      </x:c>
      <x:c r="IC373" t="str">
        <x:f>IF('Calculations'!IB373="","",IF('Calculations'!IB373="!AMBIG","!AMBIG",IF(COUNTIF('Calculations'!$HE$13:$HE$512,"="&amp;SUBSTITUTE(SUBSTITUTE(SUBSTITUTE('Calculations'!IB373,"~","~~"),"*","~*"),"?","~?"))&gt;1,"!AMBIG",IFERROR(INDEX('Calculations'!$HF$13:$HF$512,MATCH('Calculations'!IB373,'Calculations'!$HE$13:$HE$512,0)),""))))</x:f>
      </x:c>
      <x:c r="ID373" t="str">
        <x:f>IF('Calculations'!IC373="","",IF('Calculations'!IC373="!AMBIG","!AMBIG",IF(COUNTIF('Calculations'!$HE$13:$HE$512,"="&amp;SUBSTITUTE(SUBSTITUTE(SUBSTITUTE('Calculations'!IC373,"~","~~"),"*","~*"),"?","~?"))&gt;1,"!AMBIG",IFERROR(INDEX('Calculations'!$HF$13:$HF$512,MATCH('Calculations'!IC373,'Calculations'!$HE$13:$HE$512,0)),""))))</x:f>
      </x:c>
      <x:c r="IE373" t="str">
        <x:f>IF('Calculations'!ID373="","",IF('Calculations'!ID373="!AMBIG","!AMBIG",IF(COUNTIF('Calculations'!$HE$13:$HE$512,"="&amp;SUBSTITUTE(SUBSTITUTE(SUBSTITUTE('Calculations'!ID373,"~","~~"),"*","~*"),"?","~?"))&gt;1,"!AMBIG",IFERROR(INDEX('Calculations'!$HF$13:$HF$512,MATCH('Calculations'!ID373,'Calculations'!$HE$13:$HE$512,0)),""))))</x:f>
      </x:c>
      <x:c r="IF373" t="str">
        <x:f>IF('Calculations'!IE373="","",IF('Calculations'!IE373="!AMBIG","!AMBIG",IF(COUNTIF('Calculations'!$HE$13:$HE$512,"="&amp;SUBSTITUTE(SUBSTITUTE(SUBSTITUTE('Calculations'!IE373,"~","~~"),"*","~*"),"?","~?"))&gt;1,"!AMBIG",IFERROR(INDEX('Calculations'!$HF$13:$HF$512,MATCH('Calculations'!IE373,'Calculations'!$HE$13:$HE$512,0)),""))))</x:f>
      </x:c>
      <x:c r="IG373" t="str">
        <x:f>IF('Calculations'!IF373="","",IF('Calculations'!IF373="!AMBIG","!AMBIG",IF(COUNTIF('Calculations'!$HE$13:$HE$512,"="&amp;SUBSTITUTE(SUBSTITUTE(SUBSTITUTE('Calculations'!IF373,"~","~~"),"*","~*"),"?","~?"))&gt;1,"!AMBIG",IFERROR(INDEX('Calculations'!$HF$13:$HF$512,MATCH('Calculations'!IF373,'Calculations'!$HE$13:$HE$512,0)),""))))</x:f>
      </x:c>
      <x:c r="IH373" t="str">
        <x:f>IF('Calculations'!IG373="","",IF('Calculations'!IG373="!AMBIG","!AMBIG",IF(COUNTIF('Calculations'!$HE$13:$HE$512,"="&amp;SUBSTITUTE(SUBSTITUTE(SUBSTITUTE('Calculations'!IG373,"~","~~"),"*","~*"),"?","~?"))&gt;1,"!AMBIG",IFERROR(INDEX('Calculations'!$HF$13:$HF$512,MATCH('Calculations'!IG373,'Calculations'!$HE$13:$HE$512,0)),""))))</x:f>
      </x:c>
      <x:c r="II373" t="str">
        <x:f>IF('Calculations'!IH373="","",IF('Calculations'!IH373="!AMBIG","!AMBIG",IF(COUNTIF('Calculations'!$HE$13:$HE$512,"="&amp;SUBSTITUTE(SUBSTITUTE(SUBSTITUTE('Calculations'!IH373,"~","~~"),"*","~*"),"?","~?"))&gt;1,"!AMBIG",IFERROR(INDEX('Calculations'!$HF$13:$HF$512,MATCH('Calculations'!IH373,'Calculations'!$HE$13:$HE$512,0)),""))))</x:f>
      </x:c>
      <x:c r="IJ373" t="str">
        <x:f>IF('Calculations'!EM373="","",IF('Calculations'!$EF$2="All",'Calculations'!HM373,IF('Calculations'!HL373=1,"",IFERROR(IF(MATCH('Calculations'!$EF$2,'Calculations'!HO373:II373,0)=1,'Calculations'!HE373,INDEX('Calculations'!HO373:II373,1,MATCH('Calculations'!$EF$2,'Calculations'!HO373:II373,0)-1)),""))))</x:f>
      </x:c>
      <x:c r="IK373" t="n">
        <x:f>IF(AND('Calculations'!EM373&lt;&gt;"",'Calculations'!$EF$2&lt;&gt;"All",'Calculations'!HF373='Calculations'!$EF$2,'Calculations'!HL373=0,'Calculations'!JD373&gt;0),MAX('Calculations'!$IK$12:IK372)+1,0)</x:f>
        <x:v>0</x:v>
      </x:c>
      <x:c r="JA373" t="n">
        <x:f>IF(OR(IFERROR(INDIRECT("'WCM Calibration Final'!$A$373")&lt;&gt;"",FALSE),IFERROR(INDIRECT("'WCM Calibration Final'!$B$373")&lt;&gt;"",FALSE),IFERROR(INDIRECT("'WCM Calibration Final'!$C$373")&lt;&gt;"",FALSE)),373,0)</x:f>
        <x:v>0</x:v>
      </x:c>
      <x:c r="JB373" t="n">
        <x:f>'Calculations'!JB372+IF('Calculations'!JA373&gt;0,1,0)</x:f>
        <x:v>0</x:v>
      </x:c>
      <x:c r="JC373" t="n">
        <x:f>IF(OR('Calculations'!HF373="",'Calculations'!HF373="!AMBIG"),0,IF('Dashboard'!$B$7="All",1,COUNTIFS('Calculations'!$HO$13:$HO$512,"="&amp;SUBSTITUTE(SUBSTITUTE(SUBSTITUTE('Calculations'!HF373,"~","~~"),"*","~*"),"?","~?"),'Calculations'!$HN$13:$HN$512,"="&amp;SUBSTITUTE(SUBSTITUTE(SUBSTITUTE('Dashboard'!$B$7,"~","~~"),"*","~*"),"?","~?"))+COUNTIFS('Calculations'!$HP$13:$HP$512,"="&amp;SUBSTITUTE(SUBSTITUTE(SUBSTITUTE('Calculations'!HF373,"~","~~"),"*","~*"),"?","~?"),'Calculations'!$HN$13:$HN$512,"="&amp;SUBSTITUTE(SUBSTITUTE(SUBSTITUTE('Dashboard'!$B$7,"~","~~"),"*","~*"),"?","~?"))+COUNTIFS('Calculations'!$HQ$13:$HQ$512,"="&amp;SUBSTITUTE(SUBSTITUTE(SUBSTITUTE('Calculations'!HF373,"~","~~"),"*","~*"),"?","~?"),'Calculations'!$HN$13:$HN$512,"="&amp;SUBSTITUTE(SUBSTITUTE(SUBSTITUTE('Dashboard'!$B$7,"~","~~"),"*","~*"),"?","~?"))+COUNTIFS('Calculations'!$HR$13:$HR$512,"="&amp;SUBSTITUTE(SUBSTITUTE(SUBSTITUTE('Calculations'!HF373,"~","~~"),"*","~*"),"?","~?"),'Calculations'!$HN$13:$HN$512,"="&amp;SUBSTITUTE(SUBSTITUTE(SUBSTITUTE('Dashboard'!$B$7,"~","~~"),"*","~*"),"?","~?"))+COUNTIFS('Calculations'!$HS$13:$HS$512,"="&amp;SUBSTITUTE(SUBSTITUTE(SUBSTITUTE('Calculations'!HF373,"~","~~"),"*","~*"),"?","~?"),'Calculations'!$HN$13:$HN$512,"="&amp;SUBSTITUTE(SUBSTITUTE(SUBSTITUTE('Dashboard'!$B$7,"~","~~"),"*","~*"),"?","~?"))+COUNTIFS('Calculations'!$HT$13:$HT$512,"="&amp;SUBSTITUTE(SUBSTITUTE(SUBSTITUTE('Calculations'!HF373,"~","~~"),"*","~*"),"?","~?"),'Calculations'!$HN$13:$HN$512,"="&amp;SUBSTITUTE(SUBSTITUTE(SUBSTITUTE('Dashboard'!$B$7,"~","~~"),"*","~*"),"?","~?"))+COUNTIFS('Calculations'!$HU$13:$HU$512,"="&amp;SUBSTITUTE(SUBSTITUTE(SUBSTITUTE('Calculations'!HF373,"~","~~"),"*","~*"),"?","~?"),'Calculations'!$HN$13:$HN$512,"="&amp;SUBSTITUTE(SUBSTITUTE(SUBSTITUTE('Dashboard'!$B$7,"~","~~"),"*","~*"),"?","~?"))+COUNTIFS('Calculations'!$HV$13:$HV$512,"="&amp;SUBSTITUTE(SUBSTITUTE(SUBSTITUTE('Calculations'!HF373,"~","~~"),"*","~*"),"?","~?"),'Calculations'!$HN$13:$HN$512,"="&amp;SUBSTITUTE(SUBSTITUTE(SUBSTITUTE('Dashboard'!$B$7,"~","~~"),"*","~*"),"?","~?"))+COUNTIFS('Calculations'!$HW$13:$HW$512,"="&amp;SUBSTITUTE(SUBSTITUTE(SUBSTITUTE('Calculations'!HF373,"~","~~"),"*","~*"),"?","~?"),'Calculations'!$HN$13:$HN$512,"="&amp;SUBSTITUTE(SUBSTITUTE(SUBSTITUTE('Dashboard'!$B$7,"~","~~"),"*","~*"),"?","~?"))+COUNTIFS('Calculations'!$HX$13:$HX$512,"="&amp;SUBSTITUTE(SUBSTITUTE(SUBSTITUTE('Calculations'!HF373,"~","~~"),"*","~*"),"?","~?"),'Calculations'!$HN$13:$HN$512,"="&amp;SUBSTITUTE(SUBSTITUTE(SUBSTITUTE('Dashboard'!$B$7,"~","~~"),"*","~*"),"?","~?"))+COUNTIFS('Calculations'!$HY$13:$HY$512,"="&amp;SUBSTITUTE(SUBSTITUTE(SUBSTITUTE('Calculations'!HF373,"~","~~"),"*","~*"),"?","~?"),'Calculations'!$HN$13:$HN$512,"="&amp;SUBSTITUTE(SUBSTITUTE(SUBSTITUTE('Dashboard'!$B$7,"~","~~"),"*","~*"),"?","~?"))+COUNTIFS('Calculations'!$HZ$13:$HZ$512,"="&amp;SUBSTITUTE(SUBSTITUTE(SUBSTITUTE('Calculations'!HF373,"~","~~"),"*","~*"),"?","~?"),'Calculations'!$HN$13:$HN$512,"="&amp;SUBSTITUTE(SUBSTITUTE(SUBSTITUTE('Dashboard'!$B$7,"~","~~"),"*","~*"),"?","~?"))+COUNTIFS('Calculations'!$IA$13:$IA$512,"="&amp;SUBSTITUTE(SUBSTITUTE(SUBSTITUTE('Calculations'!HF373,"~","~~"),"*","~*"),"?","~?"),'Calculations'!$HN$13:$HN$512,"="&amp;SUBSTITUTE(SUBSTITUTE(SUBSTITUTE('Dashboard'!$B$7,"~","~~"),"*","~*"),"?","~?"))+COUNTIFS('Calculations'!$IB$13:$IB$512,"="&amp;SUBSTITUTE(SUBSTITUTE(SUBSTITUTE('Calculations'!HF373,"~","~~"),"*","~*"),"?","~?"),'Calculations'!$HN$13:$HN$512,"="&amp;SUBSTITUTE(SUBSTITUTE(SUBSTITUTE('Dashboard'!$B$7,"~","~~"),"*","~*"),"?","~?"))+COUNTIFS('Calculations'!$IC$13:$IC$512,"="&amp;SUBSTITUTE(SUBSTITUTE(SUBSTITUTE('Calculations'!HF373,"~","~~"),"*","~*"),"?","~?"),'Calculations'!$HN$13:$HN$512,"="&amp;SUBSTITUTE(SUBSTITUTE(SUBSTITUTE('Dashboard'!$B$7,"~","~~"),"*","~*"),"?","~?"))+COUNTIFS('Calculations'!$ID$13:$ID$512,"="&amp;SUBSTITUTE(SUBSTITUTE(SUBSTITUTE('Calculations'!HF373,"~","~~"),"*","~*"),"?","~?"),'Calculations'!$HN$13:$HN$512,"="&amp;SUBSTITUTE(SUBSTITUTE(SUBSTITUTE('Dashboard'!$B$7,"~","~~"),"*","~*"),"?","~?"))+COUNTIFS('Calculations'!$IE$13:$IE$512,"="&amp;SUBSTITUTE(SUBSTITUTE(SUBSTITUTE('Calculations'!HF373,"~","~~"),"*","~*"),"?","~?"),'Calculations'!$HN$13:$HN$512,"="&amp;SUBSTITUTE(SUBSTITUTE(SUBSTITUTE('Dashboard'!$B$7,"~","~~"),"*","~*"),"?","~?"))+COUNTIFS('Calculations'!$IF$13:$IF$512,"="&amp;SUBSTITUTE(SUBSTITUTE(SUBSTITUTE('Calculations'!HF373,"~","~~"),"*","~*"),"?","~?"),'Calculations'!$HN$13:$HN$512,"="&amp;SUBSTITUTE(SUBSTITUTE(SUBSTITUTE('Dashboard'!$B$7,"~","~~"),"*","~*"),"?","~?"))+COUNTIFS('Calculations'!$IG$13:$IG$512,"="&amp;SUBSTITUTE(SUBSTITUTE(SUBSTITUTE('Calculations'!HF373,"~","~~"),"*","~*"),"?","~?"),'Calculations'!$HN$13:$HN$512,"="&amp;SUBSTITUTE(SUBSTITUTE(SUBSTITUTE('Dashboard'!$B$7,"~","~~"),"*","~*"),"?","~?"))+COUNTIFS('Calculations'!$IH$13:$IH$512,"="&amp;SUBSTITUTE(SUBSTITUTE(SUBSTITUTE('Calculations'!HF373,"~","~~"),"*","~*"),"?","~?"),'Calculations'!$HN$13:$HN$512,"="&amp;SUBSTITUTE(SUBSTITUTE(SUBSTITUTE('Dashboard'!$B$7,"~","~~"),"*","~*"),"?","~?"))))</x:f>
        <x:v>0</x:v>
      </x:c>
      <x:c r="JD373" t="n">
        <x:f>IF('Calculations'!EM373="",0,IF('Dashboard'!$B$7="All",1,IF('Calculations'!HN373='Dashboard'!$B$7,1,0)+IFERROR(INDEX('Calculations'!$JC$13:$JC$512,MATCH('Calculations'!HE373,'Calculations'!$HF$13:$HF$512,0)),0)))</x:f>
        <x:v>0</x:v>
      </x:c>
      <x:c r="JE373" t="n">
        <x:f>IF(AND('Calculations'!EM373&lt;&gt;"",'Calculations'!$JJ$2&lt;&gt;"All",'Calculations'!$JJ$2&lt;&gt;"",'Calculations'!HF373='Calculations'!$JJ$2,'Calculations'!HL373=0,'Calculations'!JD373&gt;0),MAX('Calculations'!$JE$12:JE372)+1,0)</x:f>
        <x:v>0</x:v>
      </x:c>
      <x:c r="JF373" t="str">
        <x:f>IF('Calculations'!EM373="","",IFERROR(IF(INDEX(INDIRECT("'WCM Calibration Final'!$G$1:$G$2000"),'Calculations'!$EM373)="","",TRIM(INDEX(INDIRECT("'WCM Calibration Final'!$G$1:$G$2000"),'Calculations'!$EM373)&amp;"")),""))</x:f>
      </x:c>
      <x:c r="JQ373" t="n">
        <x:f>IF(OR('Calculations'!BM373=0,NOT('Calculations'!$AG$2),'Calculations'!$AG$8&gt;0),0,IF(OR('Dashboard'!$B$7="All",'Calculations'!HN373='Dashboard'!$B$7),IF('Calculations'!$JJ$2="All",1,IF(AND('Calculations'!HF373='Calculations'!$JJ$2,'Calculations'!HL373=0),1,0)),0))</x:f>
        <x:v>0</x:v>
      </x:c>
    </x:row>
    <x:row r="374">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t="n">
        <x:f>IF('Calculations'!$EM374="",0,IF(OR(IFERROR(INDEX(INDIRECT("'WCM Calibration Final'!$A$1:$A$2000"),'Calculations'!$EM374)&lt;&gt;"",FALSE),IFERROR(INDEX(INDIRECT("'WCM Calibration Final'!$B$1:$B$2000"),'Calculations'!$EM374)&lt;&gt;"",FALSE),IFERROR(INDEX(INDIRECT("'WCM Calibration Final'!$C$1:$C$2000"),'Calculations'!$EM374)&lt;&gt;"",FALSE)),1,0))</x:f>
        <x:v>0</x:v>
      </x:c>
      <x:c r="BN374" s="4" t="n">
        <x:f>IF(AND('Calculations'!BM374=1,'Calculations'!$AG$2,'Calculations'!$EN374=1),1,0)</x:f>
        <x:v>0</x:v>
      </x:c>
      <x:c r="BO374" s="4" t="str">
        <x:f>IF('Calculations'!BM374=0,"",IFERROR(IF(AND(VALUE(INDEX(INDIRECT("'WCM Calibration Final'!$K$1:$K$2000"),'Calculations'!$EM374))&gt;=1,VALUE(INDEX(INDIRECT("'WCM Calibration Final'!$K$1:$K$2000"),'Calculations'!$EM374))&lt;=4,MOD(VALUE(INDEX(INDIRECT("'WCM Calibration Final'!$K$1:$K$2000"),'Calculations'!$EM374)),1)=0),VALUE(INDEX(INDIRECT("'WCM Calibration Final'!$K$1:$K$2000"),'Calculations'!$EM374)),""),""))</x:f>
      </x:c>
      <x:c r="BP374" s="4" t="str">
        <x:f>IF('Calculations'!BM374=0,"",IFERROR(IF(AND(VALUE(INDEX(INDIRECT("'WCM Calibration Final'!$L$1:$L$2000"),'Calculations'!$EM374))&gt;=1,VALUE(INDEX(INDIRECT("'WCM Calibration Final'!$L$1:$L$2000"),'Calculations'!$EM374))&lt;=4,MOD(VALUE(INDEX(INDIRECT("'WCM Calibration Final'!$L$1:$L$2000"),'Calculations'!$EM374)),1)=0),VALUE(INDEX(INDIRECT("'WCM Calibration Final'!$L$1:$L$2000"),'Calculations'!$EM374)),""),""))</x:f>
      </x:c>
      <x:c r="BQ374" s="4"/>
      <x:c r="BR374" s="4"/>
      <x:c r="BS374" s="4"/>
      <x:c r="BT374" s="4" t="n">
        <x:f>IF(AND('Calculations'!BM374=1,ISNUMBER('Calculations'!BO374),ISNUMBER('Calculations'!BP374)),1,0)</x:f>
        <x:v>0</x:v>
      </x:c>
      <x:c r="BU374" s="4" t="str">
        <x:f>IF('Calculations'!BM374=0,"",'Calculations'!$EO374)</x:f>
      </x:c>
      <x:c r="BV374" s="4" t="str">
        <x:f>IF('Calculations'!BM374=0,"",IFERROR(IF(OR(INDEX(INDIRECT("'WCM Calibration Final'!$H$1:$H$2000"),'Calculations'!$EM374)="MANAGING DIRECTOR",INDEX(INDIRECT("'WCM Calibration Final'!$H$1:$H$2000"),'Calculations'!$EM374)="DIRECTOR",INDEX(INDIRECT("'WCM Calibration Final'!$H$1:$H$2000"),'Calculations'!$EM374)="SENIOR VICE PRESIDENT",INDEX(INDIRECT("'WCM Calibration Final'!$H$1:$H$2000"),'Calculations'!$EM374)="VICE PRESIDENT",INDEX(INDIRECT("'WCM Calibration Final'!$H$1:$H$2000"),'Calculations'!$EM374)="ASSISTANT VICE PRESIDENT",INDEX(INDIRECT("'WCM Calibration Final'!$H$1:$H$2000"),'Calculations'!$EM374)="OFFICER"),UPPER(INDEX(INDIRECT("'WCM Calibration Final'!$H$1:$H$2000"),'Calculations'!$EM374)),"Other"),"Other"))</x:f>
      </x:c>
      <x:c r="BW374" s="4"/>
      <x:c r="BX374" s="4"/>
      <x:c r="BY374" s="4" t="n">
        <x:f>IF(AND('Calculations'!BM374=1,'Calculations'!BU374&lt;&gt;"",COUNTIF('Calculations'!$BU$12:BU374,'Calculations'!BU374)=1),MAX('Calculations'!$BY$11:BY373)+1,0)</x:f>
        <x:v>0</x:v>
      </x:c>
      <x:c r="BZ374" s="4" t="str">
        <x:f>IF('Dashboard'!$E$67="What",'Calculations'!BO374,'Calculations'!BP374)</x:f>
      </x:c>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t="str">
        <x:f>IF(363&gt;MAX('Calculations'!$HI$13:$HI$512),"",INDEX('Calculations'!$HN$13:$HN$512,MATCH(363,'Calculations'!$HI$13:$HI$512,0)))</x:f>
      </x:c>
      <x:c r="DB374" s="4" t="str">
        <x:f>IF(363&gt;MAX('Calculations'!$HH$13:$HH$512),"",INDEX('Calculations'!$HJ$13:$HJ$512,MATCH(363,'Calculations'!$HH$13:$HH$512,0)))</x:f>
      </x:c>
      <x:c r="DC374" s="4" t="str">
        <x:f>IF(ROW()-11&gt;MAX('Calculations'!$BY$13:$BY$512),"",INDEX('Calculations'!$BU$13:$BU$512,MATCH(ROW()-11,'Calculations'!$BY$13:$BY$512,0)))</x:f>
      </x:c>
      <x:c r="DD374" s="4" t="str">
        <x:f>IF(363&gt;MAX('Calculations'!$IK$13:$IK$512),"",INDEX('Calculations'!$HK$13:$HK$512,MATCH(363,'Calculations'!$IK$13:$IK$512,0)))</x:f>
      </x:c>
      <x:c r="DE374" s="4" t="str">
        <x:f>'Calculations'!DC374</x:f>
      </x:c>
      <x:c r="DF374" s="4" t="str">
        <x:f>IF('Calculations'!DE374="","",COUNTIFS('Calculations'!$BN$13:$BN$512,1,'Calculations'!$BU$13:$BU$512,'Calculations'!DE374))</x:f>
      </x:c>
      <x:c r="DG374" s="4" t="str">
        <x:f>IF('Calculations'!DE374="","",COUNTIFS('Calculations'!$BN$13:$BN$512,1,'Calculations'!$BU$13:$BU$512,'Calculations'!DE374,'Calculations'!$BT$13:$BT$512,1))</x:f>
      </x:c>
      <x:c r="DH374" s="4" t="str">
        <x:f>IF('Calculations'!DE374="","",'Calculations'!DF374-'Calculations'!DG374)</x:f>
      </x:c>
      <x:c r="DI374" s="4" t="str">
        <x:f>IF(OR('Calculations'!DE374="",'Calculations'!DF374=0),"",'Calculations'!DG374/'Calculations'!DF374)</x:f>
      </x:c>
      <x:c r="DJ374" s="4" t="str">
        <x:f>IF('Calculations'!DE374="","",COUNTIFS('Calculations'!$BN$13:$BN$512,1,'Calculations'!$BU$13:$BU$512,'Calculations'!DE374,'Calculations'!$BT$13:$BT$512,1,'Calculations'!$EE$13:$EE$512,"High"))</x:f>
      </x:c>
      <x:c r="DK374" s="4" t="str">
        <x:f>IF('Calculations'!DE374="","",COUNTIFS('Calculations'!$BN$13:$BN$512,1,'Calculations'!$BU$13:$BU$512,'Calculations'!DE374,'Calculations'!$BT$13:$BT$512,1,'Calculations'!$EE$13:$EE$512,"Strong"))</x:f>
      </x:c>
      <x:c r="DL374" s="4" t="str">
        <x:f>IF('Calculations'!DE374="","",COUNTIFS('Calculations'!$BN$13:$BN$512,1,'Calculations'!$BU$13:$BU$512,'Calculations'!DE374,'Calculations'!$BT$13:$BT$512,1,'Calculations'!$EE$13:$EE$512,"Solid"))</x:f>
      </x:c>
      <x:c r="DM374" s="4" t="str">
        <x:f>IF('Calculations'!DE374="","",COUNTIFS('Calculations'!$BN$13:$BN$512,1,'Calculations'!$BU$13:$BU$512,'Calculations'!DE374,'Calculations'!$BT$13:$BT$512,1,'Calculations'!$EE$13:$EE$512,"Low"))</x:f>
      </x:c>
      <x:c r="DN374" s="4" t="str">
        <x:f>IF('Calculations'!DE374="","",COUNTIFS('Calculations'!$BN$13:$BN$512,1,'Calculations'!$BU$13:$BU$512,'Calculations'!DE374,'Calculations'!$EP$13:$EP$512,1))</x:f>
      </x:c>
      <x:c r="DO374" s="4" t="str">
        <x:f>IF(OR('Calculations'!DE374="",'Calculations'!DG374=0),"",('Calculations'!DJ374+'Calculations'!DK374)/'Calculations'!DG374)</x:f>
      </x:c>
      <x:c r="DP374" s="4" t="n">
        <x:f>IF(AND('Calculations'!DE374&lt;&gt;"",'Calculations'!DF374&gt;0),COUNTIF('Calculations'!$DF$12:DF374,"&gt;0"),0)</x:f>
        <x:v>0</x:v>
      </x:c>
      <x:c r="DQ374" s="4" t="str">
        <x:f>IF(363&gt;MAX('Calculations'!$HH$13:$HH$512),"",INDEX('Calculations'!$HF$13:$HF$512,MATCH(363,'Calculations'!$HH$13:$HH$512,0)))</x:f>
      </x:c>
      <x:c r="DR374" s="4" t="str">
        <x:f>IF(363&gt;MAX('Calculations'!$IK$13:$IK$512),"",INDEX('Calculations'!$HE$13:$HE$512,MATCH(363,'Calculations'!$IK$13:$IK$512,0)))</x:f>
      </x:c>
      <x:c r="DS374" s="4"/>
      <x:c r="DT374" s="4"/>
      <x:c r="DU374" s="4"/>
      <x:c r="DV374" s="4"/>
      <x:c r="DW374" s="4"/>
      <x:c r="DX374" s="4"/>
      <x:c r="DY374" s="4"/>
      <x:c r="DZ374" s="4"/>
      <x:c r="EA374" s="4"/>
      <x:c r="EB374" s="4"/>
      <x:c r="EC374" s="4"/>
      <x:c r="ED374" s="4"/>
      <x:c r="EE374" s="4" t="str">
        <x:f>IF('Calculations'!BT374=0,"Not Rated",IF(OR('Calculations'!BO374&gt;=4,'Calculations'!BP374&gt;=4),"Low",IF('Calculations'!BO374+'Calculations'!BP374&lt;=3,"High",IF('Calculations'!BO374+'Calculations'!BP374&lt;=4,"Strong","Solid"))))</x:f>
        <x:v>Not Rated</x:v>
      </x:c>
      <x:c r="EF374" s="4"/>
      <x:c r="EG374" s="4"/>
      <x:c r="EH374" s="4"/>
      <x:c r="EI374" s="4"/>
      <x:c r="EJ374" s="4"/>
      <x:c r="EK374" s="4"/>
      <x:c r="EL374" s="4"/>
      <x:c r="EM374" s="4" t="str">
        <x:f>IF(362&gt;'Calculations'!$JB$2000,"",INDEX('Calculations'!$JA$12:$JA$2000,MATCH(362,'Calculations'!$JB$12:$JB$2000,0)))</x:f>
      </x:c>
      <x:c r="EN374" s="4" t="n">
        <x:f>IF(OR('Calculations'!EM374="",'Calculations'!$AG$8&gt;0,AND('Calculations'!$EF$2&lt;&gt;"All",'Calculations'!HE374='Calculations'!$EF$2),AND('Calculations'!$EF$3&lt;&gt;"All",'Calculations'!HE374='Calculations'!$EF$3)),0,IF(OR('Dashboard'!$B$7="All",'Calculations'!HN374='Dashboard'!$B$7),IF('Calculations'!$EF$2="All",1,IF('Calculations'!HL374&gt;0,0,IF(COUNTIF('Calculations'!HO374:II374,"="&amp;SUBSTITUTE(SUBSTITUTE(SUBSTITUTE('Calculations'!$EF$2,"~","~~"),"*","~*"),"?","~?"))=0,0,IF('Calculations'!$EF$3="All",1,IF(COUNTIF('Calculations'!HO374:II374,"="&amp;SUBSTITUTE(SUBSTITUTE(SUBSTITUTE('Calculations'!$EF$3,"~","~~"),"*","~*"),"?","~?"))&gt;0,1,0))))),0))</x:f>
        <x:v>0</x:v>
      </x:c>
      <x:c r="EO374" s="4" t="str">
        <x:f>IF('Calculations'!IJ374="","",IF('Calculations'!IJ374="!UNRESOLVED","Unresolved hierarchy",IFERROR(INDEX('Calculations'!$HK$13:$HK$512,MATCH('Calculations'!IJ374,'Calculations'!$HE$13:$HE$512,0)),IFERROR(INDEX('Calculations'!$HJ$13:$HJ$512,MATCH('Calculations'!IJ374,'Calculations'!$HF$13:$HF$512,0)),'Calculations'!IJ374))))</x:f>
      </x:c>
      <x:c r="EP374" s="4" t="n">
        <x:f>IF(AND('Calculations'!EM374&lt;&gt;"",'Calculations'!HF374='Calculations'!IJ374),1,0)</x:f>
        <x:v>0</x:v>
      </x:c>
      <x:c r="EQ374" s="4"/>
      <x:c r="ER374" s="4"/>
      <x:c r="ES374" s="4"/>
      <x:c r="ET374" s="4"/>
      <x:c r="EU374" s="4"/>
      <x:c r="EV374" s="4"/>
      <x:c r="EW374" s="4"/>
      <x:c r="EX374" s="4"/>
      <x:c r="EY374" s="4"/>
      <x:c r="EZ374" s="4"/>
      <x:c r="FA374" s="4"/>
      <x:c r="FB374" s="4"/>
      <x:c r="FC374" s="4"/>
      <x:c r="FD374" s="4"/>
      <x:c r="FE374" s="4"/>
      <x:c r="FF374" s="4"/>
      <x:c r="FG374" s="4"/>
      <x:c r="FH374" s="4"/>
      <x:c r="FI374" s="4"/>
      <x:c r="FJ374" s="4"/>
      <x:c r="FK374" s="4"/>
      <x:c r="FL374" s="4"/>
      <x:c r="FM374" s="4"/>
      <x:c r="FN374" s="4"/>
      <x:c r="FO374" s="4"/>
      <x:c r="HE374" t="str">
        <x:f>IF('Calculations'!EM374="","",IF(IFERROR(IF(INDEX(INDIRECT("'WCM Calibration Final'!$A$1:$A$2000"),'Calculations'!$EM374)="","",TRIM(INDEX(INDIRECT("'WCM Calibration Final'!$A$1:$A$2000"),'Calculations'!$EM374)&amp;"")),"")&lt;&gt;"","G:"&amp;IFERROR(TEXT(1*INDEX(INDIRECT("'WCM Calibration Final'!$A$1:$A$2000"),'Calculations'!$EM374),"0"),UPPER(IFERROR(IF(INDEX(INDIRECT("'WCM Calibration Final'!$A$1:$A$2000"),'Calculations'!$EM374)="","",TRIM(INDEX(INDIRECT("'WCM Calibration Final'!$A$1:$A$2000"),'Calculations'!$EM374)&amp;"")),""))),IF(IFERROR(IF(INDEX(INDIRECT("'WCM Calibration Final'!$C$1:$C$2000"),'Calculations'!$EM374)="","",TRIM(INDEX(INDIRECT("'WCM Calibration Final'!$C$1:$C$2000"),'Calculations'!$EM374)&amp;"")),"")&lt;&gt;"","S:"&amp;UPPER(IFERROR(IF(INDEX(INDIRECT("'WCM Calibration Final'!$C$1:$C$2000"),'Calculations'!$EM374)="","",TRIM(INDEX(INDIRECT("'WCM Calibration Final'!$C$1:$C$2000"),'Calculations'!$EM374)&amp;"")),"")),"R:"&amp;'Calculations'!EM374)))</x:f>
      </x:c>
      <x:c r="HF374" t="str">
        <x:f>IF('Calculations'!EM374="","",IF(IFERROR(IF(INDEX(INDIRECT("'WCM Calibration Final'!$D$1:$D$2000"),'Calculations'!$EM374)="","",TRIM(INDEX(INDIRECT("'WCM Calibration Final'!$D$1:$D$2000"),'Calculations'!$EM374)&amp;"")),"")&lt;&gt;"","G:"&amp;IFERROR(TEXT(1*INDEX(INDIRECT("'WCM Calibration Final'!$D$1:$D$2000"),'Calculations'!$EM374),"0"),UPPER(IFERROR(IF(INDEX(INDIRECT("'WCM Calibration Final'!$D$1:$D$2000"),'Calculations'!$EM374)="","",TRIM(INDEX(INDIRECT("'WCM Calibration Final'!$D$1:$D$2000"),'Calculations'!$EM374)&amp;"")),""))),IF(IFERROR(IF(INDEX(INDIRECT("'WCM Calibration Final'!$E$1:$E$2000"),'Calculations'!$EM374)="","",TRIM(INDEX(INDIRECT("'WCM Calibration Final'!$E$1:$E$2000"),'Calculations'!$EM374)&amp;"")),"")="","",IF(COUNTIF('Calculations'!$HG$13:$HG$512,"="&amp;SUBSTITUTE(SUBSTITUTE(SUBSTITUTE(IFERROR(IF(INDEX(INDIRECT("'WCM Calibration Final'!$E$1:$E$2000"),'Calculations'!$EM374)="","",TRIM(INDEX(INDIRECT("'WCM Calibration Final'!$E$1:$E$2000"),'Calculations'!$EM374)&amp;"")),""),"~","~~"),"*","~*"),"?","~?"))=1,INDEX('Calculations'!$HE$13:$HE$512,MATCH(IFERROR(IF(INDEX(INDIRECT("'WCM Calibration Final'!$E$1:$E$2000"),'Calculations'!$EM374)="","",TRIM(INDEX(INDIRECT("'WCM Calibration Final'!$E$1:$E$2000"),'Calculations'!$EM374)&amp;"")),""),'Calculations'!$HG$13:$HG$512,0)),IF(COUNTIF('Calculations'!$HG$13:$HG$512,"="&amp;SUBSTITUTE(SUBSTITUTE(SUBSTITUTE(IFERROR(IF(INDEX(INDIRECT("'WCM Calibration Final'!$E$1:$E$2000"),'Calculations'!$EM374)="","",TRIM(INDEX(INDIRECT("'WCM Calibration Final'!$E$1:$E$2000"),'Calculations'!$EM374)&amp;"")),""),"~","~~"),"*","~*"),"?","~?"))&gt;1,"!AMBIG","X:"&amp;IFERROR(IF(INDEX(INDIRECT("'WCM Calibration Final'!$E$1:$E$2000"),'Calculations'!$EM374)="","",TRIM(INDEX(INDIRECT("'WCM Calibration Final'!$E$1:$E$2000"),'Calculations'!$EM374)&amp;"")),""))))))</x:f>
      </x:c>
      <x:c r="HG374" t="str">
        <x:f>IF('Calculations'!EM374="","",IFERROR(IF(INDEX(INDIRECT("'WCM Calibration Final'!$B$1:$B$2000"),'Calculations'!$EM374)="","",TRIM(INDEX(INDIRECT("'WCM Calibration Final'!$B$1:$B$2000"),'Calculations'!$EM374)&amp;"")),""))</x:f>
      </x:c>
      <x:c r="HH374" t="n">
        <x:f>IF(AND('Calculations'!JC374&gt;0,COUNTIF('Calculations'!$HF$12:HF374,"="&amp;SUBSTITUTE(SUBSTITUTE(SUBSTITUTE('Calculations'!HF374,"~","~~"),"*","~*"),"?","~?"))=1),MAX('Calculations'!$HH$12:HH373)+1,0)</x:f>
        <x:v>0</x:v>
      </x:c>
      <x:c r="HI374" t="n">
        <x:f>IF(AND('Calculations'!HN374&lt;&gt;"",COUNTIF('Calculations'!$HN$12:HN374,"="&amp;SUBSTITUTE(SUBSTITUTE(SUBSTITUTE('Calculations'!HN374,"~","~~"),"*","~*"),"?","~?"))=1),MAX('Calculations'!$HI$12:HI373)+1,0)</x:f>
        <x:v>0</x:v>
      </x:c>
      <x:c r="HJ374" t="str">
        <x:f>IF('Calculations'!HF374="","",IF(COUNTIF('Calculations'!$HE$13:$HE$512,"="&amp;SUBSTITUTE(SUBSTITUTE(SUBSTITUTE('Calculations'!HF374,"~","~~"),"*","~*"),"?","~?"))=1,INDEX('Calculations'!$HK$13:$HK$512,MATCH('Calculations'!HF374,'Calculations'!$HE$13:$HE$512,0)),IFERROR(IF(INDEX(INDIRECT("'WCM Calibration Final'!$E$1:$E$2000"),'Calculations'!$EM374)="","",TRIM(INDEX(INDIRECT("'WCM Calibration Final'!$E$1:$E$2000"),'Calculations'!$EM374)&amp;"")),"")&amp;" ["&amp;'Calculations'!HF374&amp;"]"))</x:f>
      </x:c>
      <x:c r="HK374" t="str">
        <x:f>IF('Calculations'!EM374="","",'Calculations'!HG374&amp;" ["&amp;'Calculations'!HE374&amp;"]")</x:f>
      </x:c>
      <x:c r="HL374" t="n">
        <x:f>IF('Calculations'!EM374="",0,IF(OR('Calculations'!II374&lt;&gt;"",COUNTIF('Calculations'!$HE$13:$HE$512,"="&amp;SUBSTITUTE(SUBSTITUTE(SUBSTITUTE('Calculations'!HE374,"~","~~"),"*","~*"),"?","~?"))&gt;1),1,0))</x:f>
        <x:v>0</x:v>
      </x:c>
      <x:c r="HM374" t="str">
        <x:f>IF('Calculations'!EM374="","",IF('Calculations'!HL374=1,"!UNRESOLVED",IF('Calculations'!IH374&lt;&gt;"",'Calculations'!IH374,IF('Calculations'!IG374&lt;&gt;"",'Calculations'!IG374,IF('Calculations'!IF374&lt;&gt;"",'Calculations'!IF374,IF('Calculations'!IE374&lt;&gt;"",'Calculations'!IE374,IF('Calculations'!ID374&lt;&gt;"",'Calculations'!ID374,IF('Calculations'!IC374&lt;&gt;"",'Calculations'!IC374,IF('Calculations'!IB374&lt;&gt;"",'Calculations'!IB374,IF('Calculations'!IA374&lt;&gt;"",'Calculations'!IA374,IF('Calculations'!HZ374&lt;&gt;"",'Calculations'!HZ374,IF('Calculations'!HY374&lt;&gt;"",'Calculations'!HY374,IF('Calculations'!HX374&lt;&gt;"",'Calculations'!HX374,IF('Calculations'!HW374&lt;&gt;"",'Calculations'!HW374,IF('Calculations'!HV374&lt;&gt;"",'Calculations'!HV374,IF('Calculations'!HU374&lt;&gt;"",'Calculations'!HU374,IF('Calculations'!HT374&lt;&gt;"",'Calculations'!HT374,IF('Calculations'!HS374&lt;&gt;"",'Calculations'!HS374,IF('Calculations'!HR374&lt;&gt;"",'Calculations'!HR374,IF('Calculations'!HQ374&lt;&gt;"",'Calculations'!HQ374,IF('Calculations'!HP374&lt;&gt;"",'Calculations'!HP374,IF('Calculations'!HO374&lt;&gt;"",'Calculations'!HO374,'Calculations'!HE374))))))))))))))))))))))</x:f>
      </x:c>
      <x:c r="HN374" t="str">
        <x:f>IF('Calculations'!EM374="","",IF(IFERROR(IF(INDEX(INDIRECT("'WCM Calibration Final'!$F$1:$F$2000"),'Calculations'!$EM374)="","",TRIM(INDEX(INDIRECT("'WCM Calibration Final'!$F$1:$F$2000"),'Calculations'!$EM374)&amp;"")),"")="","(Blank)",IFERROR(IF(INDEX(INDIRECT("'WCM Calibration Final'!$F$1:$F$2000"),'Calculations'!$EM374)="","",TRIM(INDEX(INDIRECT("'WCM Calibration Final'!$F$1:$F$2000"),'Calculations'!$EM374)&amp;"")),"")))</x:f>
      </x:c>
      <x:c r="HO374" t="str">
        <x:f>'Calculations'!HF374</x:f>
      </x:c>
      <x:c r="HP374" t="str">
        <x:f>IF('Calculations'!HO374="","",IF('Calculations'!HO374="!AMBIG","!AMBIG",IF(COUNTIF('Calculations'!$HE$13:$HE$512,"="&amp;SUBSTITUTE(SUBSTITUTE(SUBSTITUTE('Calculations'!HO374,"~","~~"),"*","~*"),"?","~?"))&gt;1,"!AMBIG",IFERROR(INDEX('Calculations'!$HF$13:$HF$512,MATCH('Calculations'!HO374,'Calculations'!$HE$13:$HE$512,0)),""))))</x:f>
      </x:c>
      <x:c r="HQ374" t="str">
        <x:f>IF('Calculations'!HP374="","",IF('Calculations'!HP374="!AMBIG","!AMBIG",IF(COUNTIF('Calculations'!$HE$13:$HE$512,"="&amp;SUBSTITUTE(SUBSTITUTE(SUBSTITUTE('Calculations'!HP374,"~","~~"),"*","~*"),"?","~?"))&gt;1,"!AMBIG",IFERROR(INDEX('Calculations'!$HF$13:$HF$512,MATCH('Calculations'!HP374,'Calculations'!$HE$13:$HE$512,0)),""))))</x:f>
      </x:c>
      <x:c r="HR374" t="str">
        <x:f>IF('Calculations'!HQ374="","",IF('Calculations'!HQ374="!AMBIG","!AMBIG",IF(COUNTIF('Calculations'!$HE$13:$HE$512,"="&amp;SUBSTITUTE(SUBSTITUTE(SUBSTITUTE('Calculations'!HQ374,"~","~~"),"*","~*"),"?","~?"))&gt;1,"!AMBIG",IFERROR(INDEX('Calculations'!$HF$13:$HF$512,MATCH('Calculations'!HQ374,'Calculations'!$HE$13:$HE$512,0)),""))))</x:f>
      </x:c>
      <x:c r="HS374" t="str">
        <x:f>IF('Calculations'!HR374="","",IF('Calculations'!HR374="!AMBIG","!AMBIG",IF(COUNTIF('Calculations'!$HE$13:$HE$512,"="&amp;SUBSTITUTE(SUBSTITUTE(SUBSTITUTE('Calculations'!HR374,"~","~~"),"*","~*"),"?","~?"))&gt;1,"!AMBIG",IFERROR(INDEX('Calculations'!$HF$13:$HF$512,MATCH('Calculations'!HR374,'Calculations'!$HE$13:$HE$512,0)),""))))</x:f>
      </x:c>
      <x:c r="HT374" t="str">
        <x:f>IF('Calculations'!HS374="","",IF('Calculations'!HS374="!AMBIG","!AMBIG",IF(COUNTIF('Calculations'!$HE$13:$HE$512,"="&amp;SUBSTITUTE(SUBSTITUTE(SUBSTITUTE('Calculations'!HS374,"~","~~"),"*","~*"),"?","~?"))&gt;1,"!AMBIG",IFERROR(INDEX('Calculations'!$HF$13:$HF$512,MATCH('Calculations'!HS374,'Calculations'!$HE$13:$HE$512,0)),""))))</x:f>
      </x:c>
      <x:c r="HU374" t="str">
        <x:f>IF('Calculations'!HT374="","",IF('Calculations'!HT374="!AMBIG","!AMBIG",IF(COUNTIF('Calculations'!$HE$13:$HE$512,"="&amp;SUBSTITUTE(SUBSTITUTE(SUBSTITUTE('Calculations'!HT374,"~","~~"),"*","~*"),"?","~?"))&gt;1,"!AMBIG",IFERROR(INDEX('Calculations'!$HF$13:$HF$512,MATCH('Calculations'!HT374,'Calculations'!$HE$13:$HE$512,0)),""))))</x:f>
      </x:c>
      <x:c r="HV374" t="str">
        <x:f>IF('Calculations'!HU374="","",IF('Calculations'!HU374="!AMBIG","!AMBIG",IF(COUNTIF('Calculations'!$HE$13:$HE$512,"="&amp;SUBSTITUTE(SUBSTITUTE(SUBSTITUTE('Calculations'!HU374,"~","~~"),"*","~*"),"?","~?"))&gt;1,"!AMBIG",IFERROR(INDEX('Calculations'!$HF$13:$HF$512,MATCH('Calculations'!HU374,'Calculations'!$HE$13:$HE$512,0)),""))))</x:f>
      </x:c>
      <x:c r="HW374" t="str">
        <x:f>IF('Calculations'!HV374="","",IF('Calculations'!HV374="!AMBIG","!AMBIG",IF(COUNTIF('Calculations'!$HE$13:$HE$512,"="&amp;SUBSTITUTE(SUBSTITUTE(SUBSTITUTE('Calculations'!HV374,"~","~~"),"*","~*"),"?","~?"))&gt;1,"!AMBIG",IFERROR(INDEX('Calculations'!$HF$13:$HF$512,MATCH('Calculations'!HV374,'Calculations'!$HE$13:$HE$512,0)),""))))</x:f>
      </x:c>
      <x:c r="HX374" t="str">
        <x:f>IF('Calculations'!HW374="","",IF('Calculations'!HW374="!AMBIG","!AMBIG",IF(COUNTIF('Calculations'!$HE$13:$HE$512,"="&amp;SUBSTITUTE(SUBSTITUTE(SUBSTITUTE('Calculations'!HW374,"~","~~"),"*","~*"),"?","~?"))&gt;1,"!AMBIG",IFERROR(INDEX('Calculations'!$HF$13:$HF$512,MATCH('Calculations'!HW374,'Calculations'!$HE$13:$HE$512,0)),""))))</x:f>
      </x:c>
      <x:c r="HY374" t="str">
        <x:f>IF('Calculations'!HX374="","",IF('Calculations'!HX374="!AMBIG","!AMBIG",IF(COUNTIF('Calculations'!$HE$13:$HE$512,"="&amp;SUBSTITUTE(SUBSTITUTE(SUBSTITUTE('Calculations'!HX374,"~","~~"),"*","~*"),"?","~?"))&gt;1,"!AMBIG",IFERROR(INDEX('Calculations'!$HF$13:$HF$512,MATCH('Calculations'!HX374,'Calculations'!$HE$13:$HE$512,0)),""))))</x:f>
      </x:c>
      <x:c r="HZ374" t="str">
        <x:f>IF('Calculations'!HY374="","",IF('Calculations'!HY374="!AMBIG","!AMBIG",IF(COUNTIF('Calculations'!$HE$13:$HE$512,"="&amp;SUBSTITUTE(SUBSTITUTE(SUBSTITUTE('Calculations'!HY374,"~","~~"),"*","~*"),"?","~?"))&gt;1,"!AMBIG",IFERROR(INDEX('Calculations'!$HF$13:$HF$512,MATCH('Calculations'!HY374,'Calculations'!$HE$13:$HE$512,0)),""))))</x:f>
      </x:c>
      <x:c r="IA374" t="str">
        <x:f>IF('Calculations'!HZ374="","",IF('Calculations'!HZ374="!AMBIG","!AMBIG",IF(COUNTIF('Calculations'!$HE$13:$HE$512,"="&amp;SUBSTITUTE(SUBSTITUTE(SUBSTITUTE('Calculations'!HZ374,"~","~~"),"*","~*"),"?","~?"))&gt;1,"!AMBIG",IFERROR(INDEX('Calculations'!$HF$13:$HF$512,MATCH('Calculations'!HZ374,'Calculations'!$HE$13:$HE$512,0)),""))))</x:f>
      </x:c>
      <x:c r="IB374" t="str">
        <x:f>IF('Calculations'!IA374="","",IF('Calculations'!IA374="!AMBIG","!AMBIG",IF(COUNTIF('Calculations'!$HE$13:$HE$512,"="&amp;SUBSTITUTE(SUBSTITUTE(SUBSTITUTE('Calculations'!IA374,"~","~~"),"*","~*"),"?","~?"))&gt;1,"!AMBIG",IFERROR(INDEX('Calculations'!$HF$13:$HF$512,MATCH('Calculations'!IA374,'Calculations'!$HE$13:$HE$512,0)),""))))</x:f>
      </x:c>
      <x:c r="IC374" t="str">
        <x:f>IF('Calculations'!IB374="","",IF('Calculations'!IB374="!AMBIG","!AMBIG",IF(COUNTIF('Calculations'!$HE$13:$HE$512,"="&amp;SUBSTITUTE(SUBSTITUTE(SUBSTITUTE('Calculations'!IB374,"~","~~"),"*","~*"),"?","~?"))&gt;1,"!AMBIG",IFERROR(INDEX('Calculations'!$HF$13:$HF$512,MATCH('Calculations'!IB374,'Calculations'!$HE$13:$HE$512,0)),""))))</x:f>
      </x:c>
      <x:c r="ID374" t="str">
        <x:f>IF('Calculations'!IC374="","",IF('Calculations'!IC374="!AMBIG","!AMBIG",IF(COUNTIF('Calculations'!$HE$13:$HE$512,"="&amp;SUBSTITUTE(SUBSTITUTE(SUBSTITUTE('Calculations'!IC374,"~","~~"),"*","~*"),"?","~?"))&gt;1,"!AMBIG",IFERROR(INDEX('Calculations'!$HF$13:$HF$512,MATCH('Calculations'!IC374,'Calculations'!$HE$13:$HE$512,0)),""))))</x:f>
      </x:c>
      <x:c r="IE374" t="str">
        <x:f>IF('Calculations'!ID374="","",IF('Calculations'!ID374="!AMBIG","!AMBIG",IF(COUNTIF('Calculations'!$HE$13:$HE$512,"="&amp;SUBSTITUTE(SUBSTITUTE(SUBSTITUTE('Calculations'!ID374,"~","~~"),"*","~*"),"?","~?"))&gt;1,"!AMBIG",IFERROR(INDEX('Calculations'!$HF$13:$HF$512,MATCH('Calculations'!ID374,'Calculations'!$HE$13:$HE$512,0)),""))))</x:f>
      </x:c>
      <x:c r="IF374" t="str">
        <x:f>IF('Calculations'!IE374="","",IF('Calculations'!IE374="!AMBIG","!AMBIG",IF(COUNTIF('Calculations'!$HE$13:$HE$512,"="&amp;SUBSTITUTE(SUBSTITUTE(SUBSTITUTE('Calculations'!IE374,"~","~~"),"*","~*"),"?","~?"))&gt;1,"!AMBIG",IFERROR(INDEX('Calculations'!$HF$13:$HF$512,MATCH('Calculations'!IE374,'Calculations'!$HE$13:$HE$512,0)),""))))</x:f>
      </x:c>
      <x:c r="IG374" t="str">
        <x:f>IF('Calculations'!IF374="","",IF('Calculations'!IF374="!AMBIG","!AMBIG",IF(COUNTIF('Calculations'!$HE$13:$HE$512,"="&amp;SUBSTITUTE(SUBSTITUTE(SUBSTITUTE('Calculations'!IF374,"~","~~"),"*","~*"),"?","~?"))&gt;1,"!AMBIG",IFERROR(INDEX('Calculations'!$HF$13:$HF$512,MATCH('Calculations'!IF374,'Calculations'!$HE$13:$HE$512,0)),""))))</x:f>
      </x:c>
      <x:c r="IH374" t="str">
        <x:f>IF('Calculations'!IG374="","",IF('Calculations'!IG374="!AMBIG","!AMBIG",IF(COUNTIF('Calculations'!$HE$13:$HE$512,"="&amp;SUBSTITUTE(SUBSTITUTE(SUBSTITUTE('Calculations'!IG374,"~","~~"),"*","~*"),"?","~?"))&gt;1,"!AMBIG",IFERROR(INDEX('Calculations'!$HF$13:$HF$512,MATCH('Calculations'!IG374,'Calculations'!$HE$13:$HE$512,0)),""))))</x:f>
      </x:c>
      <x:c r="II374" t="str">
        <x:f>IF('Calculations'!IH374="","",IF('Calculations'!IH374="!AMBIG","!AMBIG",IF(COUNTIF('Calculations'!$HE$13:$HE$512,"="&amp;SUBSTITUTE(SUBSTITUTE(SUBSTITUTE('Calculations'!IH374,"~","~~"),"*","~*"),"?","~?"))&gt;1,"!AMBIG",IFERROR(INDEX('Calculations'!$HF$13:$HF$512,MATCH('Calculations'!IH374,'Calculations'!$HE$13:$HE$512,0)),""))))</x:f>
      </x:c>
      <x:c r="IJ374" t="str">
        <x:f>IF('Calculations'!EM374="","",IF('Calculations'!$EF$2="All",'Calculations'!HM374,IF('Calculations'!HL374=1,"",IFERROR(IF(MATCH('Calculations'!$EF$2,'Calculations'!HO374:II374,0)=1,'Calculations'!HE374,INDEX('Calculations'!HO374:II374,1,MATCH('Calculations'!$EF$2,'Calculations'!HO374:II374,0)-1)),""))))</x:f>
      </x:c>
      <x:c r="IK374" t="n">
        <x:f>IF(AND('Calculations'!EM374&lt;&gt;"",'Calculations'!$EF$2&lt;&gt;"All",'Calculations'!HF374='Calculations'!$EF$2,'Calculations'!HL374=0,'Calculations'!JD374&gt;0),MAX('Calculations'!$IK$12:IK373)+1,0)</x:f>
        <x:v>0</x:v>
      </x:c>
      <x:c r="JA374" t="n">
        <x:f>IF(OR(IFERROR(INDIRECT("'WCM Calibration Final'!$A$374")&lt;&gt;"",FALSE),IFERROR(INDIRECT("'WCM Calibration Final'!$B$374")&lt;&gt;"",FALSE),IFERROR(INDIRECT("'WCM Calibration Final'!$C$374")&lt;&gt;"",FALSE)),374,0)</x:f>
        <x:v>0</x:v>
      </x:c>
      <x:c r="JB374" t="n">
        <x:f>'Calculations'!JB373+IF('Calculations'!JA374&gt;0,1,0)</x:f>
        <x:v>0</x:v>
      </x:c>
      <x:c r="JC374" t="n">
        <x:f>IF(OR('Calculations'!HF374="",'Calculations'!HF374="!AMBIG"),0,IF('Dashboard'!$B$7="All",1,COUNTIFS('Calculations'!$HO$13:$HO$512,"="&amp;SUBSTITUTE(SUBSTITUTE(SUBSTITUTE('Calculations'!HF374,"~","~~"),"*","~*"),"?","~?"),'Calculations'!$HN$13:$HN$512,"="&amp;SUBSTITUTE(SUBSTITUTE(SUBSTITUTE('Dashboard'!$B$7,"~","~~"),"*","~*"),"?","~?"))+COUNTIFS('Calculations'!$HP$13:$HP$512,"="&amp;SUBSTITUTE(SUBSTITUTE(SUBSTITUTE('Calculations'!HF374,"~","~~"),"*","~*"),"?","~?"),'Calculations'!$HN$13:$HN$512,"="&amp;SUBSTITUTE(SUBSTITUTE(SUBSTITUTE('Dashboard'!$B$7,"~","~~"),"*","~*"),"?","~?"))+COUNTIFS('Calculations'!$HQ$13:$HQ$512,"="&amp;SUBSTITUTE(SUBSTITUTE(SUBSTITUTE('Calculations'!HF374,"~","~~"),"*","~*"),"?","~?"),'Calculations'!$HN$13:$HN$512,"="&amp;SUBSTITUTE(SUBSTITUTE(SUBSTITUTE('Dashboard'!$B$7,"~","~~"),"*","~*"),"?","~?"))+COUNTIFS('Calculations'!$HR$13:$HR$512,"="&amp;SUBSTITUTE(SUBSTITUTE(SUBSTITUTE('Calculations'!HF374,"~","~~"),"*","~*"),"?","~?"),'Calculations'!$HN$13:$HN$512,"="&amp;SUBSTITUTE(SUBSTITUTE(SUBSTITUTE('Dashboard'!$B$7,"~","~~"),"*","~*"),"?","~?"))+COUNTIFS('Calculations'!$HS$13:$HS$512,"="&amp;SUBSTITUTE(SUBSTITUTE(SUBSTITUTE('Calculations'!HF374,"~","~~"),"*","~*"),"?","~?"),'Calculations'!$HN$13:$HN$512,"="&amp;SUBSTITUTE(SUBSTITUTE(SUBSTITUTE('Dashboard'!$B$7,"~","~~"),"*","~*"),"?","~?"))+COUNTIFS('Calculations'!$HT$13:$HT$512,"="&amp;SUBSTITUTE(SUBSTITUTE(SUBSTITUTE('Calculations'!HF374,"~","~~"),"*","~*"),"?","~?"),'Calculations'!$HN$13:$HN$512,"="&amp;SUBSTITUTE(SUBSTITUTE(SUBSTITUTE('Dashboard'!$B$7,"~","~~"),"*","~*"),"?","~?"))+COUNTIFS('Calculations'!$HU$13:$HU$512,"="&amp;SUBSTITUTE(SUBSTITUTE(SUBSTITUTE('Calculations'!HF374,"~","~~"),"*","~*"),"?","~?"),'Calculations'!$HN$13:$HN$512,"="&amp;SUBSTITUTE(SUBSTITUTE(SUBSTITUTE('Dashboard'!$B$7,"~","~~"),"*","~*"),"?","~?"))+COUNTIFS('Calculations'!$HV$13:$HV$512,"="&amp;SUBSTITUTE(SUBSTITUTE(SUBSTITUTE('Calculations'!HF374,"~","~~"),"*","~*"),"?","~?"),'Calculations'!$HN$13:$HN$512,"="&amp;SUBSTITUTE(SUBSTITUTE(SUBSTITUTE('Dashboard'!$B$7,"~","~~"),"*","~*"),"?","~?"))+COUNTIFS('Calculations'!$HW$13:$HW$512,"="&amp;SUBSTITUTE(SUBSTITUTE(SUBSTITUTE('Calculations'!HF374,"~","~~"),"*","~*"),"?","~?"),'Calculations'!$HN$13:$HN$512,"="&amp;SUBSTITUTE(SUBSTITUTE(SUBSTITUTE('Dashboard'!$B$7,"~","~~"),"*","~*"),"?","~?"))+COUNTIFS('Calculations'!$HX$13:$HX$512,"="&amp;SUBSTITUTE(SUBSTITUTE(SUBSTITUTE('Calculations'!HF374,"~","~~"),"*","~*"),"?","~?"),'Calculations'!$HN$13:$HN$512,"="&amp;SUBSTITUTE(SUBSTITUTE(SUBSTITUTE('Dashboard'!$B$7,"~","~~"),"*","~*"),"?","~?"))+COUNTIFS('Calculations'!$HY$13:$HY$512,"="&amp;SUBSTITUTE(SUBSTITUTE(SUBSTITUTE('Calculations'!HF374,"~","~~"),"*","~*"),"?","~?"),'Calculations'!$HN$13:$HN$512,"="&amp;SUBSTITUTE(SUBSTITUTE(SUBSTITUTE('Dashboard'!$B$7,"~","~~"),"*","~*"),"?","~?"))+COUNTIFS('Calculations'!$HZ$13:$HZ$512,"="&amp;SUBSTITUTE(SUBSTITUTE(SUBSTITUTE('Calculations'!HF374,"~","~~"),"*","~*"),"?","~?"),'Calculations'!$HN$13:$HN$512,"="&amp;SUBSTITUTE(SUBSTITUTE(SUBSTITUTE('Dashboard'!$B$7,"~","~~"),"*","~*"),"?","~?"))+COUNTIFS('Calculations'!$IA$13:$IA$512,"="&amp;SUBSTITUTE(SUBSTITUTE(SUBSTITUTE('Calculations'!HF374,"~","~~"),"*","~*"),"?","~?"),'Calculations'!$HN$13:$HN$512,"="&amp;SUBSTITUTE(SUBSTITUTE(SUBSTITUTE('Dashboard'!$B$7,"~","~~"),"*","~*"),"?","~?"))+COUNTIFS('Calculations'!$IB$13:$IB$512,"="&amp;SUBSTITUTE(SUBSTITUTE(SUBSTITUTE('Calculations'!HF374,"~","~~"),"*","~*"),"?","~?"),'Calculations'!$HN$13:$HN$512,"="&amp;SUBSTITUTE(SUBSTITUTE(SUBSTITUTE('Dashboard'!$B$7,"~","~~"),"*","~*"),"?","~?"))+COUNTIFS('Calculations'!$IC$13:$IC$512,"="&amp;SUBSTITUTE(SUBSTITUTE(SUBSTITUTE('Calculations'!HF374,"~","~~"),"*","~*"),"?","~?"),'Calculations'!$HN$13:$HN$512,"="&amp;SUBSTITUTE(SUBSTITUTE(SUBSTITUTE('Dashboard'!$B$7,"~","~~"),"*","~*"),"?","~?"))+COUNTIFS('Calculations'!$ID$13:$ID$512,"="&amp;SUBSTITUTE(SUBSTITUTE(SUBSTITUTE('Calculations'!HF374,"~","~~"),"*","~*"),"?","~?"),'Calculations'!$HN$13:$HN$512,"="&amp;SUBSTITUTE(SUBSTITUTE(SUBSTITUTE('Dashboard'!$B$7,"~","~~"),"*","~*"),"?","~?"))+COUNTIFS('Calculations'!$IE$13:$IE$512,"="&amp;SUBSTITUTE(SUBSTITUTE(SUBSTITUTE('Calculations'!HF374,"~","~~"),"*","~*"),"?","~?"),'Calculations'!$HN$13:$HN$512,"="&amp;SUBSTITUTE(SUBSTITUTE(SUBSTITUTE('Dashboard'!$B$7,"~","~~"),"*","~*"),"?","~?"))+COUNTIFS('Calculations'!$IF$13:$IF$512,"="&amp;SUBSTITUTE(SUBSTITUTE(SUBSTITUTE('Calculations'!HF374,"~","~~"),"*","~*"),"?","~?"),'Calculations'!$HN$13:$HN$512,"="&amp;SUBSTITUTE(SUBSTITUTE(SUBSTITUTE('Dashboard'!$B$7,"~","~~"),"*","~*"),"?","~?"))+COUNTIFS('Calculations'!$IG$13:$IG$512,"="&amp;SUBSTITUTE(SUBSTITUTE(SUBSTITUTE('Calculations'!HF374,"~","~~"),"*","~*"),"?","~?"),'Calculations'!$HN$13:$HN$512,"="&amp;SUBSTITUTE(SUBSTITUTE(SUBSTITUTE('Dashboard'!$B$7,"~","~~"),"*","~*"),"?","~?"))+COUNTIFS('Calculations'!$IH$13:$IH$512,"="&amp;SUBSTITUTE(SUBSTITUTE(SUBSTITUTE('Calculations'!HF374,"~","~~"),"*","~*"),"?","~?"),'Calculations'!$HN$13:$HN$512,"="&amp;SUBSTITUTE(SUBSTITUTE(SUBSTITUTE('Dashboard'!$B$7,"~","~~"),"*","~*"),"?","~?"))))</x:f>
        <x:v>0</x:v>
      </x:c>
      <x:c r="JD374" t="n">
        <x:f>IF('Calculations'!EM374="",0,IF('Dashboard'!$B$7="All",1,IF('Calculations'!HN374='Dashboard'!$B$7,1,0)+IFERROR(INDEX('Calculations'!$JC$13:$JC$512,MATCH('Calculations'!HE374,'Calculations'!$HF$13:$HF$512,0)),0)))</x:f>
        <x:v>0</x:v>
      </x:c>
      <x:c r="JE374" t="n">
        <x:f>IF(AND('Calculations'!EM374&lt;&gt;"",'Calculations'!$JJ$2&lt;&gt;"All",'Calculations'!$JJ$2&lt;&gt;"",'Calculations'!HF374='Calculations'!$JJ$2,'Calculations'!HL374=0,'Calculations'!JD374&gt;0),MAX('Calculations'!$JE$12:JE373)+1,0)</x:f>
        <x:v>0</x:v>
      </x:c>
      <x:c r="JF374" t="str">
        <x:f>IF('Calculations'!EM374="","",IFERROR(IF(INDEX(INDIRECT("'WCM Calibration Final'!$G$1:$G$2000"),'Calculations'!$EM374)="","",TRIM(INDEX(INDIRECT("'WCM Calibration Final'!$G$1:$G$2000"),'Calculations'!$EM374)&amp;"")),""))</x:f>
      </x:c>
      <x:c r="JQ374" t="n">
        <x:f>IF(OR('Calculations'!BM374=0,NOT('Calculations'!$AG$2),'Calculations'!$AG$8&gt;0),0,IF(OR('Dashboard'!$B$7="All",'Calculations'!HN374='Dashboard'!$B$7),IF('Calculations'!$JJ$2="All",1,IF(AND('Calculations'!HF374='Calculations'!$JJ$2,'Calculations'!HL374=0),1,0)),0))</x:f>
        <x:v>0</x:v>
      </x:c>
    </x:row>
    <x:row r="375">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t="n">
        <x:f>IF('Calculations'!$EM375="",0,IF(OR(IFERROR(INDEX(INDIRECT("'WCM Calibration Final'!$A$1:$A$2000"),'Calculations'!$EM375)&lt;&gt;"",FALSE),IFERROR(INDEX(INDIRECT("'WCM Calibration Final'!$B$1:$B$2000"),'Calculations'!$EM375)&lt;&gt;"",FALSE),IFERROR(INDEX(INDIRECT("'WCM Calibration Final'!$C$1:$C$2000"),'Calculations'!$EM375)&lt;&gt;"",FALSE)),1,0))</x:f>
        <x:v>0</x:v>
      </x:c>
      <x:c r="BN375" s="4" t="n">
        <x:f>IF(AND('Calculations'!BM375=1,'Calculations'!$AG$2,'Calculations'!$EN375=1),1,0)</x:f>
        <x:v>0</x:v>
      </x:c>
      <x:c r="BO375" s="4" t="str">
        <x:f>IF('Calculations'!BM375=0,"",IFERROR(IF(AND(VALUE(INDEX(INDIRECT("'WCM Calibration Final'!$K$1:$K$2000"),'Calculations'!$EM375))&gt;=1,VALUE(INDEX(INDIRECT("'WCM Calibration Final'!$K$1:$K$2000"),'Calculations'!$EM375))&lt;=4,MOD(VALUE(INDEX(INDIRECT("'WCM Calibration Final'!$K$1:$K$2000"),'Calculations'!$EM375)),1)=0),VALUE(INDEX(INDIRECT("'WCM Calibration Final'!$K$1:$K$2000"),'Calculations'!$EM375)),""),""))</x:f>
      </x:c>
      <x:c r="BP375" s="4" t="str">
        <x:f>IF('Calculations'!BM375=0,"",IFERROR(IF(AND(VALUE(INDEX(INDIRECT("'WCM Calibration Final'!$L$1:$L$2000"),'Calculations'!$EM375))&gt;=1,VALUE(INDEX(INDIRECT("'WCM Calibration Final'!$L$1:$L$2000"),'Calculations'!$EM375))&lt;=4,MOD(VALUE(INDEX(INDIRECT("'WCM Calibration Final'!$L$1:$L$2000"),'Calculations'!$EM375)),1)=0),VALUE(INDEX(INDIRECT("'WCM Calibration Final'!$L$1:$L$2000"),'Calculations'!$EM375)),""),""))</x:f>
      </x:c>
      <x:c r="BQ375" s="4"/>
      <x:c r="BR375" s="4"/>
      <x:c r="BS375" s="4"/>
      <x:c r="BT375" s="4" t="n">
        <x:f>IF(AND('Calculations'!BM375=1,ISNUMBER('Calculations'!BO375),ISNUMBER('Calculations'!BP375)),1,0)</x:f>
        <x:v>0</x:v>
      </x:c>
      <x:c r="BU375" s="4" t="str">
        <x:f>IF('Calculations'!BM375=0,"",'Calculations'!$EO375)</x:f>
      </x:c>
      <x:c r="BV375" s="4" t="str">
        <x:f>IF('Calculations'!BM375=0,"",IFERROR(IF(OR(INDEX(INDIRECT("'WCM Calibration Final'!$H$1:$H$2000"),'Calculations'!$EM375)="MANAGING DIRECTOR",INDEX(INDIRECT("'WCM Calibration Final'!$H$1:$H$2000"),'Calculations'!$EM375)="DIRECTOR",INDEX(INDIRECT("'WCM Calibration Final'!$H$1:$H$2000"),'Calculations'!$EM375)="SENIOR VICE PRESIDENT",INDEX(INDIRECT("'WCM Calibration Final'!$H$1:$H$2000"),'Calculations'!$EM375)="VICE PRESIDENT",INDEX(INDIRECT("'WCM Calibration Final'!$H$1:$H$2000"),'Calculations'!$EM375)="ASSISTANT VICE PRESIDENT",INDEX(INDIRECT("'WCM Calibration Final'!$H$1:$H$2000"),'Calculations'!$EM375)="OFFICER"),UPPER(INDEX(INDIRECT("'WCM Calibration Final'!$H$1:$H$2000"),'Calculations'!$EM375)),"Other"),"Other"))</x:f>
      </x:c>
      <x:c r="BW375" s="4"/>
      <x:c r="BX375" s="4"/>
      <x:c r="BY375" s="4" t="n">
        <x:f>IF(AND('Calculations'!BM375=1,'Calculations'!BU375&lt;&gt;"",COUNTIF('Calculations'!$BU$12:BU375,'Calculations'!BU375)=1),MAX('Calculations'!$BY$11:BY374)+1,0)</x:f>
        <x:v>0</x:v>
      </x:c>
      <x:c r="BZ375" s="4" t="str">
        <x:f>IF('Dashboard'!$E$67="What",'Calculations'!BO375,'Calculations'!BP375)</x:f>
      </x:c>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t="str">
        <x:f>IF(364&gt;MAX('Calculations'!$HI$13:$HI$512),"",INDEX('Calculations'!$HN$13:$HN$512,MATCH(364,'Calculations'!$HI$13:$HI$512,0)))</x:f>
      </x:c>
      <x:c r="DB375" s="4" t="str">
        <x:f>IF(364&gt;MAX('Calculations'!$HH$13:$HH$512),"",INDEX('Calculations'!$HJ$13:$HJ$512,MATCH(364,'Calculations'!$HH$13:$HH$512,0)))</x:f>
      </x:c>
      <x:c r="DC375" s="4" t="str">
        <x:f>IF(ROW()-11&gt;MAX('Calculations'!$BY$13:$BY$512),"",INDEX('Calculations'!$BU$13:$BU$512,MATCH(ROW()-11,'Calculations'!$BY$13:$BY$512,0)))</x:f>
      </x:c>
      <x:c r="DD375" s="4" t="str">
        <x:f>IF(364&gt;MAX('Calculations'!$IK$13:$IK$512),"",INDEX('Calculations'!$HK$13:$HK$512,MATCH(364,'Calculations'!$IK$13:$IK$512,0)))</x:f>
      </x:c>
      <x:c r="DE375" s="4" t="str">
        <x:f>'Calculations'!DC375</x:f>
      </x:c>
      <x:c r="DF375" s="4" t="str">
        <x:f>IF('Calculations'!DE375="","",COUNTIFS('Calculations'!$BN$13:$BN$512,1,'Calculations'!$BU$13:$BU$512,'Calculations'!DE375))</x:f>
      </x:c>
      <x:c r="DG375" s="4" t="str">
        <x:f>IF('Calculations'!DE375="","",COUNTIFS('Calculations'!$BN$13:$BN$512,1,'Calculations'!$BU$13:$BU$512,'Calculations'!DE375,'Calculations'!$BT$13:$BT$512,1))</x:f>
      </x:c>
      <x:c r="DH375" s="4" t="str">
        <x:f>IF('Calculations'!DE375="","",'Calculations'!DF375-'Calculations'!DG375)</x:f>
      </x:c>
      <x:c r="DI375" s="4" t="str">
        <x:f>IF(OR('Calculations'!DE375="",'Calculations'!DF375=0),"",'Calculations'!DG375/'Calculations'!DF375)</x:f>
      </x:c>
      <x:c r="DJ375" s="4" t="str">
        <x:f>IF('Calculations'!DE375="","",COUNTIFS('Calculations'!$BN$13:$BN$512,1,'Calculations'!$BU$13:$BU$512,'Calculations'!DE375,'Calculations'!$BT$13:$BT$512,1,'Calculations'!$EE$13:$EE$512,"High"))</x:f>
      </x:c>
      <x:c r="DK375" s="4" t="str">
        <x:f>IF('Calculations'!DE375="","",COUNTIFS('Calculations'!$BN$13:$BN$512,1,'Calculations'!$BU$13:$BU$512,'Calculations'!DE375,'Calculations'!$BT$13:$BT$512,1,'Calculations'!$EE$13:$EE$512,"Strong"))</x:f>
      </x:c>
      <x:c r="DL375" s="4" t="str">
        <x:f>IF('Calculations'!DE375="","",COUNTIFS('Calculations'!$BN$13:$BN$512,1,'Calculations'!$BU$13:$BU$512,'Calculations'!DE375,'Calculations'!$BT$13:$BT$512,1,'Calculations'!$EE$13:$EE$512,"Solid"))</x:f>
      </x:c>
      <x:c r="DM375" s="4" t="str">
        <x:f>IF('Calculations'!DE375="","",COUNTIFS('Calculations'!$BN$13:$BN$512,1,'Calculations'!$BU$13:$BU$512,'Calculations'!DE375,'Calculations'!$BT$13:$BT$512,1,'Calculations'!$EE$13:$EE$512,"Low"))</x:f>
      </x:c>
      <x:c r="DN375" s="4" t="str">
        <x:f>IF('Calculations'!DE375="","",COUNTIFS('Calculations'!$BN$13:$BN$512,1,'Calculations'!$BU$13:$BU$512,'Calculations'!DE375,'Calculations'!$EP$13:$EP$512,1))</x:f>
      </x:c>
      <x:c r="DO375" s="4" t="str">
        <x:f>IF(OR('Calculations'!DE375="",'Calculations'!DG375=0),"",('Calculations'!DJ375+'Calculations'!DK375)/'Calculations'!DG375)</x:f>
      </x:c>
      <x:c r="DP375" s="4" t="n">
        <x:f>IF(AND('Calculations'!DE375&lt;&gt;"",'Calculations'!DF375&gt;0),COUNTIF('Calculations'!$DF$12:DF375,"&gt;0"),0)</x:f>
        <x:v>0</x:v>
      </x:c>
      <x:c r="DQ375" s="4" t="str">
        <x:f>IF(364&gt;MAX('Calculations'!$HH$13:$HH$512),"",INDEX('Calculations'!$HF$13:$HF$512,MATCH(364,'Calculations'!$HH$13:$HH$512,0)))</x:f>
      </x:c>
      <x:c r="DR375" s="4" t="str">
        <x:f>IF(364&gt;MAX('Calculations'!$IK$13:$IK$512),"",INDEX('Calculations'!$HE$13:$HE$512,MATCH(364,'Calculations'!$IK$13:$IK$512,0)))</x:f>
      </x:c>
      <x:c r="DS375" s="4"/>
      <x:c r="DT375" s="4"/>
      <x:c r="DU375" s="4"/>
      <x:c r="DV375" s="4"/>
      <x:c r="DW375" s="4"/>
      <x:c r="DX375" s="4"/>
      <x:c r="DY375" s="4"/>
      <x:c r="DZ375" s="4"/>
      <x:c r="EA375" s="4"/>
      <x:c r="EB375" s="4"/>
      <x:c r="EC375" s="4"/>
      <x:c r="ED375" s="4"/>
      <x:c r="EE375" s="4" t="str">
        <x:f>IF('Calculations'!BT375=0,"Not Rated",IF(OR('Calculations'!BO375&gt;=4,'Calculations'!BP375&gt;=4),"Low",IF('Calculations'!BO375+'Calculations'!BP375&lt;=3,"High",IF('Calculations'!BO375+'Calculations'!BP375&lt;=4,"Strong","Solid"))))</x:f>
        <x:v>Not Rated</x:v>
      </x:c>
      <x:c r="EF375" s="4"/>
      <x:c r="EG375" s="4"/>
      <x:c r="EH375" s="4"/>
      <x:c r="EI375" s="4"/>
      <x:c r="EJ375" s="4"/>
      <x:c r="EK375" s="4"/>
      <x:c r="EL375" s="4"/>
      <x:c r="EM375" s="4" t="str">
        <x:f>IF(363&gt;'Calculations'!$JB$2000,"",INDEX('Calculations'!$JA$12:$JA$2000,MATCH(363,'Calculations'!$JB$12:$JB$2000,0)))</x:f>
      </x:c>
      <x:c r="EN375" s="4" t="n">
        <x:f>IF(OR('Calculations'!EM375="",'Calculations'!$AG$8&gt;0,AND('Calculations'!$EF$2&lt;&gt;"All",'Calculations'!HE375='Calculations'!$EF$2),AND('Calculations'!$EF$3&lt;&gt;"All",'Calculations'!HE375='Calculations'!$EF$3)),0,IF(OR('Dashboard'!$B$7="All",'Calculations'!HN375='Dashboard'!$B$7),IF('Calculations'!$EF$2="All",1,IF('Calculations'!HL375&gt;0,0,IF(COUNTIF('Calculations'!HO375:II375,"="&amp;SUBSTITUTE(SUBSTITUTE(SUBSTITUTE('Calculations'!$EF$2,"~","~~"),"*","~*"),"?","~?"))=0,0,IF('Calculations'!$EF$3="All",1,IF(COUNTIF('Calculations'!HO375:II375,"="&amp;SUBSTITUTE(SUBSTITUTE(SUBSTITUTE('Calculations'!$EF$3,"~","~~"),"*","~*"),"?","~?"))&gt;0,1,0))))),0))</x:f>
        <x:v>0</x:v>
      </x:c>
      <x:c r="EO375" s="4" t="str">
        <x:f>IF('Calculations'!IJ375="","",IF('Calculations'!IJ375="!UNRESOLVED","Unresolved hierarchy",IFERROR(INDEX('Calculations'!$HK$13:$HK$512,MATCH('Calculations'!IJ375,'Calculations'!$HE$13:$HE$512,0)),IFERROR(INDEX('Calculations'!$HJ$13:$HJ$512,MATCH('Calculations'!IJ375,'Calculations'!$HF$13:$HF$512,0)),'Calculations'!IJ375))))</x:f>
      </x:c>
      <x:c r="EP375" s="4" t="n">
        <x:f>IF(AND('Calculations'!EM375&lt;&gt;"",'Calculations'!HF375='Calculations'!IJ375),1,0)</x:f>
        <x:v>0</x:v>
      </x:c>
      <x:c r="EQ375" s="4"/>
      <x:c r="ER375" s="4"/>
      <x:c r="ES375" s="4"/>
      <x:c r="ET375" s="4"/>
      <x:c r="EU375" s="4"/>
      <x:c r="EV375" s="4"/>
      <x:c r="EW375" s="4"/>
      <x:c r="EX375" s="4"/>
      <x:c r="EY375" s="4"/>
      <x:c r="EZ375" s="4"/>
      <x:c r="FA375" s="4"/>
      <x:c r="FB375" s="4"/>
      <x:c r="FC375" s="4"/>
      <x:c r="FD375" s="4"/>
      <x:c r="FE375" s="4"/>
      <x:c r="FF375" s="4"/>
      <x:c r="FG375" s="4"/>
      <x:c r="FH375" s="4"/>
      <x:c r="FI375" s="4"/>
      <x:c r="FJ375" s="4"/>
      <x:c r="FK375" s="4"/>
      <x:c r="FL375" s="4"/>
      <x:c r="FM375" s="4"/>
      <x:c r="FN375" s="4"/>
      <x:c r="FO375" s="4"/>
      <x:c r="HE375" t="str">
        <x:f>IF('Calculations'!EM375="","",IF(IFERROR(IF(INDEX(INDIRECT("'WCM Calibration Final'!$A$1:$A$2000"),'Calculations'!$EM375)="","",TRIM(INDEX(INDIRECT("'WCM Calibration Final'!$A$1:$A$2000"),'Calculations'!$EM375)&amp;"")),"")&lt;&gt;"","G:"&amp;IFERROR(TEXT(1*INDEX(INDIRECT("'WCM Calibration Final'!$A$1:$A$2000"),'Calculations'!$EM375),"0"),UPPER(IFERROR(IF(INDEX(INDIRECT("'WCM Calibration Final'!$A$1:$A$2000"),'Calculations'!$EM375)="","",TRIM(INDEX(INDIRECT("'WCM Calibration Final'!$A$1:$A$2000"),'Calculations'!$EM375)&amp;"")),""))),IF(IFERROR(IF(INDEX(INDIRECT("'WCM Calibration Final'!$C$1:$C$2000"),'Calculations'!$EM375)="","",TRIM(INDEX(INDIRECT("'WCM Calibration Final'!$C$1:$C$2000"),'Calculations'!$EM375)&amp;"")),"")&lt;&gt;"","S:"&amp;UPPER(IFERROR(IF(INDEX(INDIRECT("'WCM Calibration Final'!$C$1:$C$2000"),'Calculations'!$EM375)="","",TRIM(INDEX(INDIRECT("'WCM Calibration Final'!$C$1:$C$2000"),'Calculations'!$EM375)&amp;"")),"")),"R:"&amp;'Calculations'!EM375)))</x:f>
      </x:c>
      <x:c r="HF375" t="str">
        <x:f>IF('Calculations'!EM375="","",IF(IFERROR(IF(INDEX(INDIRECT("'WCM Calibration Final'!$D$1:$D$2000"),'Calculations'!$EM375)="","",TRIM(INDEX(INDIRECT("'WCM Calibration Final'!$D$1:$D$2000"),'Calculations'!$EM375)&amp;"")),"")&lt;&gt;"","G:"&amp;IFERROR(TEXT(1*INDEX(INDIRECT("'WCM Calibration Final'!$D$1:$D$2000"),'Calculations'!$EM375),"0"),UPPER(IFERROR(IF(INDEX(INDIRECT("'WCM Calibration Final'!$D$1:$D$2000"),'Calculations'!$EM375)="","",TRIM(INDEX(INDIRECT("'WCM Calibration Final'!$D$1:$D$2000"),'Calculations'!$EM375)&amp;"")),""))),IF(IFERROR(IF(INDEX(INDIRECT("'WCM Calibration Final'!$E$1:$E$2000"),'Calculations'!$EM375)="","",TRIM(INDEX(INDIRECT("'WCM Calibration Final'!$E$1:$E$2000"),'Calculations'!$EM375)&amp;"")),"")="","",IF(COUNTIF('Calculations'!$HG$13:$HG$512,"="&amp;SUBSTITUTE(SUBSTITUTE(SUBSTITUTE(IFERROR(IF(INDEX(INDIRECT("'WCM Calibration Final'!$E$1:$E$2000"),'Calculations'!$EM375)="","",TRIM(INDEX(INDIRECT("'WCM Calibration Final'!$E$1:$E$2000"),'Calculations'!$EM375)&amp;"")),""),"~","~~"),"*","~*"),"?","~?"))=1,INDEX('Calculations'!$HE$13:$HE$512,MATCH(IFERROR(IF(INDEX(INDIRECT("'WCM Calibration Final'!$E$1:$E$2000"),'Calculations'!$EM375)="","",TRIM(INDEX(INDIRECT("'WCM Calibration Final'!$E$1:$E$2000"),'Calculations'!$EM375)&amp;"")),""),'Calculations'!$HG$13:$HG$512,0)),IF(COUNTIF('Calculations'!$HG$13:$HG$512,"="&amp;SUBSTITUTE(SUBSTITUTE(SUBSTITUTE(IFERROR(IF(INDEX(INDIRECT("'WCM Calibration Final'!$E$1:$E$2000"),'Calculations'!$EM375)="","",TRIM(INDEX(INDIRECT("'WCM Calibration Final'!$E$1:$E$2000"),'Calculations'!$EM375)&amp;"")),""),"~","~~"),"*","~*"),"?","~?"))&gt;1,"!AMBIG","X:"&amp;IFERROR(IF(INDEX(INDIRECT("'WCM Calibration Final'!$E$1:$E$2000"),'Calculations'!$EM375)="","",TRIM(INDEX(INDIRECT("'WCM Calibration Final'!$E$1:$E$2000"),'Calculations'!$EM375)&amp;"")),""))))))</x:f>
      </x:c>
      <x:c r="HG375" t="str">
        <x:f>IF('Calculations'!EM375="","",IFERROR(IF(INDEX(INDIRECT("'WCM Calibration Final'!$B$1:$B$2000"),'Calculations'!$EM375)="","",TRIM(INDEX(INDIRECT("'WCM Calibration Final'!$B$1:$B$2000"),'Calculations'!$EM375)&amp;"")),""))</x:f>
      </x:c>
      <x:c r="HH375" t="n">
        <x:f>IF(AND('Calculations'!JC375&gt;0,COUNTIF('Calculations'!$HF$12:HF375,"="&amp;SUBSTITUTE(SUBSTITUTE(SUBSTITUTE('Calculations'!HF375,"~","~~"),"*","~*"),"?","~?"))=1),MAX('Calculations'!$HH$12:HH374)+1,0)</x:f>
        <x:v>0</x:v>
      </x:c>
      <x:c r="HI375" t="n">
        <x:f>IF(AND('Calculations'!HN375&lt;&gt;"",COUNTIF('Calculations'!$HN$12:HN375,"="&amp;SUBSTITUTE(SUBSTITUTE(SUBSTITUTE('Calculations'!HN375,"~","~~"),"*","~*"),"?","~?"))=1),MAX('Calculations'!$HI$12:HI374)+1,0)</x:f>
        <x:v>0</x:v>
      </x:c>
      <x:c r="HJ375" t="str">
        <x:f>IF('Calculations'!HF375="","",IF(COUNTIF('Calculations'!$HE$13:$HE$512,"="&amp;SUBSTITUTE(SUBSTITUTE(SUBSTITUTE('Calculations'!HF375,"~","~~"),"*","~*"),"?","~?"))=1,INDEX('Calculations'!$HK$13:$HK$512,MATCH('Calculations'!HF375,'Calculations'!$HE$13:$HE$512,0)),IFERROR(IF(INDEX(INDIRECT("'WCM Calibration Final'!$E$1:$E$2000"),'Calculations'!$EM375)="","",TRIM(INDEX(INDIRECT("'WCM Calibration Final'!$E$1:$E$2000"),'Calculations'!$EM375)&amp;"")),"")&amp;" ["&amp;'Calculations'!HF375&amp;"]"))</x:f>
      </x:c>
      <x:c r="HK375" t="str">
        <x:f>IF('Calculations'!EM375="","",'Calculations'!HG375&amp;" ["&amp;'Calculations'!HE375&amp;"]")</x:f>
      </x:c>
      <x:c r="HL375" t="n">
        <x:f>IF('Calculations'!EM375="",0,IF(OR('Calculations'!II375&lt;&gt;"",COUNTIF('Calculations'!$HE$13:$HE$512,"="&amp;SUBSTITUTE(SUBSTITUTE(SUBSTITUTE('Calculations'!HE375,"~","~~"),"*","~*"),"?","~?"))&gt;1),1,0))</x:f>
        <x:v>0</x:v>
      </x:c>
      <x:c r="HM375" t="str">
        <x:f>IF('Calculations'!EM375="","",IF('Calculations'!HL375=1,"!UNRESOLVED",IF('Calculations'!IH375&lt;&gt;"",'Calculations'!IH375,IF('Calculations'!IG375&lt;&gt;"",'Calculations'!IG375,IF('Calculations'!IF375&lt;&gt;"",'Calculations'!IF375,IF('Calculations'!IE375&lt;&gt;"",'Calculations'!IE375,IF('Calculations'!ID375&lt;&gt;"",'Calculations'!ID375,IF('Calculations'!IC375&lt;&gt;"",'Calculations'!IC375,IF('Calculations'!IB375&lt;&gt;"",'Calculations'!IB375,IF('Calculations'!IA375&lt;&gt;"",'Calculations'!IA375,IF('Calculations'!HZ375&lt;&gt;"",'Calculations'!HZ375,IF('Calculations'!HY375&lt;&gt;"",'Calculations'!HY375,IF('Calculations'!HX375&lt;&gt;"",'Calculations'!HX375,IF('Calculations'!HW375&lt;&gt;"",'Calculations'!HW375,IF('Calculations'!HV375&lt;&gt;"",'Calculations'!HV375,IF('Calculations'!HU375&lt;&gt;"",'Calculations'!HU375,IF('Calculations'!HT375&lt;&gt;"",'Calculations'!HT375,IF('Calculations'!HS375&lt;&gt;"",'Calculations'!HS375,IF('Calculations'!HR375&lt;&gt;"",'Calculations'!HR375,IF('Calculations'!HQ375&lt;&gt;"",'Calculations'!HQ375,IF('Calculations'!HP375&lt;&gt;"",'Calculations'!HP375,IF('Calculations'!HO375&lt;&gt;"",'Calculations'!HO375,'Calculations'!HE375))))))))))))))))))))))</x:f>
      </x:c>
      <x:c r="HN375" t="str">
        <x:f>IF('Calculations'!EM375="","",IF(IFERROR(IF(INDEX(INDIRECT("'WCM Calibration Final'!$F$1:$F$2000"),'Calculations'!$EM375)="","",TRIM(INDEX(INDIRECT("'WCM Calibration Final'!$F$1:$F$2000"),'Calculations'!$EM375)&amp;"")),"")="","(Blank)",IFERROR(IF(INDEX(INDIRECT("'WCM Calibration Final'!$F$1:$F$2000"),'Calculations'!$EM375)="","",TRIM(INDEX(INDIRECT("'WCM Calibration Final'!$F$1:$F$2000"),'Calculations'!$EM375)&amp;"")),"")))</x:f>
      </x:c>
      <x:c r="HO375" t="str">
        <x:f>'Calculations'!HF375</x:f>
      </x:c>
      <x:c r="HP375" t="str">
        <x:f>IF('Calculations'!HO375="","",IF('Calculations'!HO375="!AMBIG","!AMBIG",IF(COUNTIF('Calculations'!$HE$13:$HE$512,"="&amp;SUBSTITUTE(SUBSTITUTE(SUBSTITUTE('Calculations'!HO375,"~","~~"),"*","~*"),"?","~?"))&gt;1,"!AMBIG",IFERROR(INDEX('Calculations'!$HF$13:$HF$512,MATCH('Calculations'!HO375,'Calculations'!$HE$13:$HE$512,0)),""))))</x:f>
      </x:c>
      <x:c r="HQ375" t="str">
        <x:f>IF('Calculations'!HP375="","",IF('Calculations'!HP375="!AMBIG","!AMBIG",IF(COUNTIF('Calculations'!$HE$13:$HE$512,"="&amp;SUBSTITUTE(SUBSTITUTE(SUBSTITUTE('Calculations'!HP375,"~","~~"),"*","~*"),"?","~?"))&gt;1,"!AMBIG",IFERROR(INDEX('Calculations'!$HF$13:$HF$512,MATCH('Calculations'!HP375,'Calculations'!$HE$13:$HE$512,0)),""))))</x:f>
      </x:c>
      <x:c r="HR375" t="str">
        <x:f>IF('Calculations'!HQ375="","",IF('Calculations'!HQ375="!AMBIG","!AMBIG",IF(COUNTIF('Calculations'!$HE$13:$HE$512,"="&amp;SUBSTITUTE(SUBSTITUTE(SUBSTITUTE('Calculations'!HQ375,"~","~~"),"*","~*"),"?","~?"))&gt;1,"!AMBIG",IFERROR(INDEX('Calculations'!$HF$13:$HF$512,MATCH('Calculations'!HQ375,'Calculations'!$HE$13:$HE$512,0)),""))))</x:f>
      </x:c>
      <x:c r="HS375" t="str">
        <x:f>IF('Calculations'!HR375="","",IF('Calculations'!HR375="!AMBIG","!AMBIG",IF(COUNTIF('Calculations'!$HE$13:$HE$512,"="&amp;SUBSTITUTE(SUBSTITUTE(SUBSTITUTE('Calculations'!HR375,"~","~~"),"*","~*"),"?","~?"))&gt;1,"!AMBIG",IFERROR(INDEX('Calculations'!$HF$13:$HF$512,MATCH('Calculations'!HR375,'Calculations'!$HE$13:$HE$512,0)),""))))</x:f>
      </x:c>
      <x:c r="HT375" t="str">
        <x:f>IF('Calculations'!HS375="","",IF('Calculations'!HS375="!AMBIG","!AMBIG",IF(COUNTIF('Calculations'!$HE$13:$HE$512,"="&amp;SUBSTITUTE(SUBSTITUTE(SUBSTITUTE('Calculations'!HS375,"~","~~"),"*","~*"),"?","~?"))&gt;1,"!AMBIG",IFERROR(INDEX('Calculations'!$HF$13:$HF$512,MATCH('Calculations'!HS375,'Calculations'!$HE$13:$HE$512,0)),""))))</x:f>
      </x:c>
      <x:c r="HU375" t="str">
        <x:f>IF('Calculations'!HT375="","",IF('Calculations'!HT375="!AMBIG","!AMBIG",IF(COUNTIF('Calculations'!$HE$13:$HE$512,"="&amp;SUBSTITUTE(SUBSTITUTE(SUBSTITUTE('Calculations'!HT375,"~","~~"),"*","~*"),"?","~?"))&gt;1,"!AMBIG",IFERROR(INDEX('Calculations'!$HF$13:$HF$512,MATCH('Calculations'!HT375,'Calculations'!$HE$13:$HE$512,0)),""))))</x:f>
      </x:c>
      <x:c r="HV375" t="str">
        <x:f>IF('Calculations'!HU375="","",IF('Calculations'!HU375="!AMBIG","!AMBIG",IF(COUNTIF('Calculations'!$HE$13:$HE$512,"="&amp;SUBSTITUTE(SUBSTITUTE(SUBSTITUTE('Calculations'!HU375,"~","~~"),"*","~*"),"?","~?"))&gt;1,"!AMBIG",IFERROR(INDEX('Calculations'!$HF$13:$HF$512,MATCH('Calculations'!HU375,'Calculations'!$HE$13:$HE$512,0)),""))))</x:f>
      </x:c>
      <x:c r="HW375" t="str">
        <x:f>IF('Calculations'!HV375="","",IF('Calculations'!HV375="!AMBIG","!AMBIG",IF(COUNTIF('Calculations'!$HE$13:$HE$512,"="&amp;SUBSTITUTE(SUBSTITUTE(SUBSTITUTE('Calculations'!HV375,"~","~~"),"*","~*"),"?","~?"))&gt;1,"!AMBIG",IFERROR(INDEX('Calculations'!$HF$13:$HF$512,MATCH('Calculations'!HV375,'Calculations'!$HE$13:$HE$512,0)),""))))</x:f>
      </x:c>
      <x:c r="HX375" t="str">
        <x:f>IF('Calculations'!HW375="","",IF('Calculations'!HW375="!AMBIG","!AMBIG",IF(COUNTIF('Calculations'!$HE$13:$HE$512,"="&amp;SUBSTITUTE(SUBSTITUTE(SUBSTITUTE('Calculations'!HW375,"~","~~"),"*","~*"),"?","~?"))&gt;1,"!AMBIG",IFERROR(INDEX('Calculations'!$HF$13:$HF$512,MATCH('Calculations'!HW375,'Calculations'!$HE$13:$HE$512,0)),""))))</x:f>
      </x:c>
      <x:c r="HY375" t="str">
        <x:f>IF('Calculations'!HX375="","",IF('Calculations'!HX375="!AMBIG","!AMBIG",IF(COUNTIF('Calculations'!$HE$13:$HE$512,"="&amp;SUBSTITUTE(SUBSTITUTE(SUBSTITUTE('Calculations'!HX375,"~","~~"),"*","~*"),"?","~?"))&gt;1,"!AMBIG",IFERROR(INDEX('Calculations'!$HF$13:$HF$512,MATCH('Calculations'!HX375,'Calculations'!$HE$13:$HE$512,0)),""))))</x:f>
      </x:c>
      <x:c r="HZ375" t="str">
        <x:f>IF('Calculations'!HY375="","",IF('Calculations'!HY375="!AMBIG","!AMBIG",IF(COUNTIF('Calculations'!$HE$13:$HE$512,"="&amp;SUBSTITUTE(SUBSTITUTE(SUBSTITUTE('Calculations'!HY375,"~","~~"),"*","~*"),"?","~?"))&gt;1,"!AMBIG",IFERROR(INDEX('Calculations'!$HF$13:$HF$512,MATCH('Calculations'!HY375,'Calculations'!$HE$13:$HE$512,0)),""))))</x:f>
      </x:c>
      <x:c r="IA375" t="str">
        <x:f>IF('Calculations'!HZ375="","",IF('Calculations'!HZ375="!AMBIG","!AMBIG",IF(COUNTIF('Calculations'!$HE$13:$HE$512,"="&amp;SUBSTITUTE(SUBSTITUTE(SUBSTITUTE('Calculations'!HZ375,"~","~~"),"*","~*"),"?","~?"))&gt;1,"!AMBIG",IFERROR(INDEX('Calculations'!$HF$13:$HF$512,MATCH('Calculations'!HZ375,'Calculations'!$HE$13:$HE$512,0)),""))))</x:f>
      </x:c>
      <x:c r="IB375" t="str">
        <x:f>IF('Calculations'!IA375="","",IF('Calculations'!IA375="!AMBIG","!AMBIG",IF(COUNTIF('Calculations'!$HE$13:$HE$512,"="&amp;SUBSTITUTE(SUBSTITUTE(SUBSTITUTE('Calculations'!IA375,"~","~~"),"*","~*"),"?","~?"))&gt;1,"!AMBIG",IFERROR(INDEX('Calculations'!$HF$13:$HF$512,MATCH('Calculations'!IA375,'Calculations'!$HE$13:$HE$512,0)),""))))</x:f>
      </x:c>
      <x:c r="IC375" t="str">
        <x:f>IF('Calculations'!IB375="","",IF('Calculations'!IB375="!AMBIG","!AMBIG",IF(COUNTIF('Calculations'!$HE$13:$HE$512,"="&amp;SUBSTITUTE(SUBSTITUTE(SUBSTITUTE('Calculations'!IB375,"~","~~"),"*","~*"),"?","~?"))&gt;1,"!AMBIG",IFERROR(INDEX('Calculations'!$HF$13:$HF$512,MATCH('Calculations'!IB375,'Calculations'!$HE$13:$HE$512,0)),""))))</x:f>
      </x:c>
      <x:c r="ID375" t="str">
        <x:f>IF('Calculations'!IC375="","",IF('Calculations'!IC375="!AMBIG","!AMBIG",IF(COUNTIF('Calculations'!$HE$13:$HE$512,"="&amp;SUBSTITUTE(SUBSTITUTE(SUBSTITUTE('Calculations'!IC375,"~","~~"),"*","~*"),"?","~?"))&gt;1,"!AMBIG",IFERROR(INDEX('Calculations'!$HF$13:$HF$512,MATCH('Calculations'!IC375,'Calculations'!$HE$13:$HE$512,0)),""))))</x:f>
      </x:c>
      <x:c r="IE375" t="str">
        <x:f>IF('Calculations'!ID375="","",IF('Calculations'!ID375="!AMBIG","!AMBIG",IF(COUNTIF('Calculations'!$HE$13:$HE$512,"="&amp;SUBSTITUTE(SUBSTITUTE(SUBSTITUTE('Calculations'!ID375,"~","~~"),"*","~*"),"?","~?"))&gt;1,"!AMBIG",IFERROR(INDEX('Calculations'!$HF$13:$HF$512,MATCH('Calculations'!ID375,'Calculations'!$HE$13:$HE$512,0)),""))))</x:f>
      </x:c>
      <x:c r="IF375" t="str">
        <x:f>IF('Calculations'!IE375="","",IF('Calculations'!IE375="!AMBIG","!AMBIG",IF(COUNTIF('Calculations'!$HE$13:$HE$512,"="&amp;SUBSTITUTE(SUBSTITUTE(SUBSTITUTE('Calculations'!IE375,"~","~~"),"*","~*"),"?","~?"))&gt;1,"!AMBIG",IFERROR(INDEX('Calculations'!$HF$13:$HF$512,MATCH('Calculations'!IE375,'Calculations'!$HE$13:$HE$512,0)),""))))</x:f>
      </x:c>
      <x:c r="IG375" t="str">
        <x:f>IF('Calculations'!IF375="","",IF('Calculations'!IF375="!AMBIG","!AMBIG",IF(COUNTIF('Calculations'!$HE$13:$HE$512,"="&amp;SUBSTITUTE(SUBSTITUTE(SUBSTITUTE('Calculations'!IF375,"~","~~"),"*","~*"),"?","~?"))&gt;1,"!AMBIG",IFERROR(INDEX('Calculations'!$HF$13:$HF$512,MATCH('Calculations'!IF375,'Calculations'!$HE$13:$HE$512,0)),""))))</x:f>
      </x:c>
      <x:c r="IH375" t="str">
        <x:f>IF('Calculations'!IG375="","",IF('Calculations'!IG375="!AMBIG","!AMBIG",IF(COUNTIF('Calculations'!$HE$13:$HE$512,"="&amp;SUBSTITUTE(SUBSTITUTE(SUBSTITUTE('Calculations'!IG375,"~","~~"),"*","~*"),"?","~?"))&gt;1,"!AMBIG",IFERROR(INDEX('Calculations'!$HF$13:$HF$512,MATCH('Calculations'!IG375,'Calculations'!$HE$13:$HE$512,0)),""))))</x:f>
      </x:c>
      <x:c r="II375" t="str">
        <x:f>IF('Calculations'!IH375="","",IF('Calculations'!IH375="!AMBIG","!AMBIG",IF(COUNTIF('Calculations'!$HE$13:$HE$512,"="&amp;SUBSTITUTE(SUBSTITUTE(SUBSTITUTE('Calculations'!IH375,"~","~~"),"*","~*"),"?","~?"))&gt;1,"!AMBIG",IFERROR(INDEX('Calculations'!$HF$13:$HF$512,MATCH('Calculations'!IH375,'Calculations'!$HE$13:$HE$512,0)),""))))</x:f>
      </x:c>
      <x:c r="IJ375" t="str">
        <x:f>IF('Calculations'!EM375="","",IF('Calculations'!$EF$2="All",'Calculations'!HM375,IF('Calculations'!HL375=1,"",IFERROR(IF(MATCH('Calculations'!$EF$2,'Calculations'!HO375:II375,0)=1,'Calculations'!HE375,INDEX('Calculations'!HO375:II375,1,MATCH('Calculations'!$EF$2,'Calculations'!HO375:II375,0)-1)),""))))</x:f>
      </x:c>
      <x:c r="IK375" t="n">
        <x:f>IF(AND('Calculations'!EM375&lt;&gt;"",'Calculations'!$EF$2&lt;&gt;"All",'Calculations'!HF375='Calculations'!$EF$2,'Calculations'!HL375=0,'Calculations'!JD375&gt;0),MAX('Calculations'!$IK$12:IK374)+1,0)</x:f>
        <x:v>0</x:v>
      </x:c>
      <x:c r="JA375" t="n">
        <x:f>IF(OR(IFERROR(INDIRECT("'WCM Calibration Final'!$A$375")&lt;&gt;"",FALSE),IFERROR(INDIRECT("'WCM Calibration Final'!$B$375")&lt;&gt;"",FALSE),IFERROR(INDIRECT("'WCM Calibration Final'!$C$375")&lt;&gt;"",FALSE)),375,0)</x:f>
        <x:v>0</x:v>
      </x:c>
      <x:c r="JB375" t="n">
        <x:f>'Calculations'!JB374+IF('Calculations'!JA375&gt;0,1,0)</x:f>
        <x:v>0</x:v>
      </x:c>
      <x:c r="JC375" t="n">
        <x:f>IF(OR('Calculations'!HF375="",'Calculations'!HF375="!AMBIG"),0,IF('Dashboard'!$B$7="All",1,COUNTIFS('Calculations'!$HO$13:$HO$512,"="&amp;SUBSTITUTE(SUBSTITUTE(SUBSTITUTE('Calculations'!HF375,"~","~~"),"*","~*"),"?","~?"),'Calculations'!$HN$13:$HN$512,"="&amp;SUBSTITUTE(SUBSTITUTE(SUBSTITUTE('Dashboard'!$B$7,"~","~~"),"*","~*"),"?","~?"))+COUNTIFS('Calculations'!$HP$13:$HP$512,"="&amp;SUBSTITUTE(SUBSTITUTE(SUBSTITUTE('Calculations'!HF375,"~","~~"),"*","~*"),"?","~?"),'Calculations'!$HN$13:$HN$512,"="&amp;SUBSTITUTE(SUBSTITUTE(SUBSTITUTE('Dashboard'!$B$7,"~","~~"),"*","~*"),"?","~?"))+COUNTIFS('Calculations'!$HQ$13:$HQ$512,"="&amp;SUBSTITUTE(SUBSTITUTE(SUBSTITUTE('Calculations'!HF375,"~","~~"),"*","~*"),"?","~?"),'Calculations'!$HN$13:$HN$512,"="&amp;SUBSTITUTE(SUBSTITUTE(SUBSTITUTE('Dashboard'!$B$7,"~","~~"),"*","~*"),"?","~?"))+COUNTIFS('Calculations'!$HR$13:$HR$512,"="&amp;SUBSTITUTE(SUBSTITUTE(SUBSTITUTE('Calculations'!HF375,"~","~~"),"*","~*"),"?","~?"),'Calculations'!$HN$13:$HN$512,"="&amp;SUBSTITUTE(SUBSTITUTE(SUBSTITUTE('Dashboard'!$B$7,"~","~~"),"*","~*"),"?","~?"))+COUNTIFS('Calculations'!$HS$13:$HS$512,"="&amp;SUBSTITUTE(SUBSTITUTE(SUBSTITUTE('Calculations'!HF375,"~","~~"),"*","~*"),"?","~?"),'Calculations'!$HN$13:$HN$512,"="&amp;SUBSTITUTE(SUBSTITUTE(SUBSTITUTE('Dashboard'!$B$7,"~","~~"),"*","~*"),"?","~?"))+COUNTIFS('Calculations'!$HT$13:$HT$512,"="&amp;SUBSTITUTE(SUBSTITUTE(SUBSTITUTE('Calculations'!HF375,"~","~~"),"*","~*"),"?","~?"),'Calculations'!$HN$13:$HN$512,"="&amp;SUBSTITUTE(SUBSTITUTE(SUBSTITUTE('Dashboard'!$B$7,"~","~~"),"*","~*"),"?","~?"))+COUNTIFS('Calculations'!$HU$13:$HU$512,"="&amp;SUBSTITUTE(SUBSTITUTE(SUBSTITUTE('Calculations'!HF375,"~","~~"),"*","~*"),"?","~?"),'Calculations'!$HN$13:$HN$512,"="&amp;SUBSTITUTE(SUBSTITUTE(SUBSTITUTE('Dashboard'!$B$7,"~","~~"),"*","~*"),"?","~?"))+COUNTIFS('Calculations'!$HV$13:$HV$512,"="&amp;SUBSTITUTE(SUBSTITUTE(SUBSTITUTE('Calculations'!HF375,"~","~~"),"*","~*"),"?","~?"),'Calculations'!$HN$13:$HN$512,"="&amp;SUBSTITUTE(SUBSTITUTE(SUBSTITUTE('Dashboard'!$B$7,"~","~~"),"*","~*"),"?","~?"))+COUNTIFS('Calculations'!$HW$13:$HW$512,"="&amp;SUBSTITUTE(SUBSTITUTE(SUBSTITUTE('Calculations'!HF375,"~","~~"),"*","~*"),"?","~?"),'Calculations'!$HN$13:$HN$512,"="&amp;SUBSTITUTE(SUBSTITUTE(SUBSTITUTE('Dashboard'!$B$7,"~","~~"),"*","~*"),"?","~?"))+COUNTIFS('Calculations'!$HX$13:$HX$512,"="&amp;SUBSTITUTE(SUBSTITUTE(SUBSTITUTE('Calculations'!HF375,"~","~~"),"*","~*"),"?","~?"),'Calculations'!$HN$13:$HN$512,"="&amp;SUBSTITUTE(SUBSTITUTE(SUBSTITUTE('Dashboard'!$B$7,"~","~~"),"*","~*"),"?","~?"))+COUNTIFS('Calculations'!$HY$13:$HY$512,"="&amp;SUBSTITUTE(SUBSTITUTE(SUBSTITUTE('Calculations'!HF375,"~","~~"),"*","~*"),"?","~?"),'Calculations'!$HN$13:$HN$512,"="&amp;SUBSTITUTE(SUBSTITUTE(SUBSTITUTE('Dashboard'!$B$7,"~","~~"),"*","~*"),"?","~?"))+COUNTIFS('Calculations'!$HZ$13:$HZ$512,"="&amp;SUBSTITUTE(SUBSTITUTE(SUBSTITUTE('Calculations'!HF375,"~","~~"),"*","~*"),"?","~?"),'Calculations'!$HN$13:$HN$512,"="&amp;SUBSTITUTE(SUBSTITUTE(SUBSTITUTE('Dashboard'!$B$7,"~","~~"),"*","~*"),"?","~?"))+COUNTIFS('Calculations'!$IA$13:$IA$512,"="&amp;SUBSTITUTE(SUBSTITUTE(SUBSTITUTE('Calculations'!HF375,"~","~~"),"*","~*"),"?","~?"),'Calculations'!$HN$13:$HN$512,"="&amp;SUBSTITUTE(SUBSTITUTE(SUBSTITUTE('Dashboard'!$B$7,"~","~~"),"*","~*"),"?","~?"))+COUNTIFS('Calculations'!$IB$13:$IB$512,"="&amp;SUBSTITUTE(SUBSTITUTE(SUBSTITUTE('Calculations'!HF375,"~","~~"),"*","~*"),"?","~?"),'Calculations'!$HN$13:$HN$512,"="&amp;SUBSTITUTE(SUBSTITUTE(SUBSTITUTE('Dashboard'!$B$7,"~","~~"),"*","~*"),"?","~?"))+COUNTIFS('Calculations'!$IC$13:$IC$512,"="&amp;SUBSTITUTE(SUBSTITUTE(SUBSTITUTE('Calculations'!HF375,"~","~~"),"*","~*"),"?","~?"),'Calculations'!$HN$13:$HN$512,"="&amp;SUBSTITUTE(SUBSTITUTE(SUBSTITUTE('Dashboard'!$B$7,"~","~~"),"*","~*"),"?","~?"))+COUNTIFS('Calculations'!$ID$13:$ID$512,"="&amp;SUBSTITUTE(SUBSTITUTE(SUBSTITUTE('Calculations'!HF375,"~","~~"),"*","~*"),"?","~?"),'Calculations'!$HN$13:$HN$512,"="&amp;SUBSTITUTE(SUBSTITUTE(SUBSTITUTE('Dashboard'!$B$7,"~","~~"),"*","~*"),"?","~?"))+COUNTIFS('Calculations'!$IE$13:$IE$512,"="&amp;SUBSTITUTE(SUBSTITUTE(SUBSTITUTE('Calculations'!HF375,"~","~~"),"*","~*"),"?","~?"),'Calculations'!$HN$13:$HN$512,"="&amp;SUBSTITUTE(SUBSTITUTE(SUBSTITUTE('Dashboard'!$B$7,"~","~~"),"*","~*"),"?","~?"))+COUNTIFS('Calculations'!$IF$13:$IF$512,"="&amp;SUBSTITUTE(SUBSTITUTE(SUBSTITUTE('Calculations'!HF375,"~","~~"),"*","~*"),"?","~?"),'Calculations'!$HN$13:$HN$512,"="&amp;SUBSTITUTE(SUBSTITUTE(SUBSTITUTE('Dashboard'!$B$7,"~","~~"),"*","~*"),"?","~?"))+COUNTIFS('Calculations'!$IG$13:$IG$512,"="&amp;SUBSTITUTE(SUBSTITUTE(SUBSTITUTE('Calculations'!HF375,"~","~~"),"*","~*"),"?","~?"),'Calculations'!$HN$13:$HN$512,"="&amp;SUBSTITUTE(SUBSTITUTE(SUBSTITUTE('Dashboard'!$B$7,"~","~~"),"*","~*"),"?","~?"))+COUNTIFS('Calculations'!$IH$13:$IH$512,"="&amp;SUBSTITUTE(SUBSTITUTE(SUBSTITUTE('Calculations'!HF375,"~","~~"),"*","~*"),"?","~?"),'Calculations'!$HN$13:$HN$512,"="&amp;SUBSTITUTE(SUBSTITUTE(SUBSTITUTE('Dashboard'!$B$7,"~","~~"),"*","~*"),"?","~?"))))</x:f>
        <x:v>0</x:v>
      </x:c>
      <x:c r="JD375" t="n">
        <x:f>IF('Calculations'!EM375="",0,IF('Dashboard'!$B$7="All",1,IF('Calculations'!HN375='Dashboard'!$B$7,1,0)+IFERROR(INDEX('Calculations'!$JC$13:$JC$512,MATCH('Calculations'!HE375,'Calculations'!$HF$13:$HF$512,0)),0)))</x:f>
        <x:v>0</x:v>
      </x:c>
      <x:c r="JE375" t="n">
        <x:f>IF(AND('Calculations'!EM375&lt;&gt;"",'Calculations'!$JJ$2&lt;&gt;"All",'Calculations'!$JJ$2&lt;&gt;"",'Calculations'!HF375='Calculations'!$JJ$2,'Calculations'!HL375=0,'Calculations'!JD375&gt;0),MAX('Calculations'!$JE$12:JE374)+1,0)</x:f>
        <x:v>0</x:v>
      </x:c>
      <x:c r="JF375" t="str">
        <x:f>IF('Calculations'!EM375="","",IFERROR(IF(INDEX(INDIRECT("'WCM Calibration Final'!$G$1:$G$2000"),'Calculations'!$EM375)="","",TRIM(INDEX(INDIRECT("'WCM Calibration Final'!$G$1:$G$2000"),'Calculations'!$EM375)&amp;"")),""))</x:f>
      </x:c>
      <x:c r="JQ375" t="n">
        <x:f>IF(OR('Calculations'!BM375=0,NOT('Calculations'!$AG$2),'Calculations'!$AG$8&gt;0),0,IF(OR('Dashboard'!$B$7="All",'Calculations'!HN375='Dashboard'!$B$7),IF('Calculations'!$JJ$2="All",1,IF(AND('Calculations'!HF375='Calculations'!$JJ$2,'Calculations'!HL375=0),1,0)),0))</x:f>
        <x:v>0</x:v>
      </x:c>
    </x:row>
    <x:row r="376">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t="n">
        <x:f>IF('Calculations'!$EM376="",0,IF(OR(IFERROR(INDEX(INDIRECT("'WCM Calibration Final'!$A$1:$A$2000"),'Calculations'!$EM376)&lt;&gt;"",FALSE),IFERROR(INDEX(INDIRECT("'WCM Calibration Final'!$B$1:$B$2000"),'Calculations'!$EM376)&lt;&gt;"",FALSE),IFERROR(INDEX(INDIRECT("'WCM Calibration Final'!$C$1:$C$2000"),'Calculations'!$EM376)&lt;&gt;"",FALSE)),1,0))</x:f>
        <x:v>0</x:v>
      </x:c>
      <x:c r="BN376" s="4" t="n">
        <x:f>IF(AND('Calculations'!BM376=1,'Calculations'!$AG$2,'Calculations'!$EN376=1),1,0)</x:f>
        <x:v>0</x:v>
      </x:c>
      <x:c r="BO376" s="4" t="str">
        <x:f>IF('Calculations'!BM376=0,"",IFERROR(IF(AND(VALUE(INDEX(INDIRECT("'WCM Calibration Final'!$K$1:$K$2000"),'Calculations'!$EM376))&gt;=1,VALUE(INDEX(INDIRECT("'WCM Calibration Final'!$K$1:$K$2000"),'Calculations'!$EM376))&lt;=4,MOD(VALUE(INDEX(INDIRECT("'WCM Calibration Final'!$K$1:$K$2000"),'Calculations'!$EM376)),1)=0),VALUE(INDEX(INDIRECT("'WCM Calibration Final'!$K$1:$K$2000"),'Calculations'!$EM376)),""),""))</x:f>
      </x:c>
      <x:c r="BP376" s="4" t="str">
        <x:f>IF('Calculations'!BM376=0,"",IFERROR(IF(AND(VALUE(INDEX(INDIRECT("'WCM Calibration Final'!$L$1:$L$2000"),'Calculations'!$EM376))&gt;=1,VALUE(INDEX(INDIRECT("'WCM Calibration Final'!$L$1:$L$2000"),'Calculations'!$EM376))&lt;=4,MOD(VALUE(INDEX(INDIRECT("'WCM Calibration Final'!$L$1:$L$2000"),'Calculations'!$EM376)),1)=0),VALUE(INDEX(INDIRECT("'WCM Calibration Final'!$L$1:$L$2000"),'Calculations'!$EM376)),""),""))</x:f>
      </x:c>
      <x:c r="BQ376" s="4"/>
      <x:c r="BR376" s="4"/>
      <x:c r="BS376" s="4"/>
      <x:c r="BT376" s="4" t="n">
        <x:f>IF(AND('Calculations'!BM376=1,ISNUMBER('Calculations'!BO376),ISNUMBER('Calculations'!BP376)),1,0)</x:f>
        <x:v>0</x:v>
      </x:c>
      <x:c r="BU376" s="4" t="str">
        <x:f>IF('Calculations'!BM376=0,"",'Calculations'!$EO376)</x:f>
      </x:c>
      <x:c r="BV376" s="4" t="str">
        <x:f>IF('Calculations'!BM376=0,"",IFERROR(IF(OR(INDEX(INDIRECT("'WCM Calibration Final'!$H$1:$H$2000"),'Calculations'!$EM376)="MANAGING DIRECTOR",INDEX(INDIRECT("'WCM Calibration Final'!$H$1:$H$2000"),'Calculations'!$EM376)="DIRECTOR",INDEX(INDIRECT("'WCM Calibration Final'!$H$1:$H$2000"),'Calculations'!$EM376)="SENIOR VICE PRESIDENT",INDEX(INDIRECT("'WCM Calibration Final'!$H$1:$H$2000"),'Calculations'!$EM376)="VICE PRESIDENT",INDEX(INDIRECT("'WCM Calibration Final'!$H$1:$H$2000"),'Calculations'!$EM376)="ASSISTANT VICE PRESIDENT",INDEX(INDIRECT("'WCM Calibration Final'!$H$1:$H$2000"),'Calculations'!$EM376)="OFFICER"),UPPER(INDEX(INDIRECT("'WCM Calibration Final'!$H$1:$H$2000"),'Calculations'!$EM376)),"Other"),"Other"))</x:f>
      </x:c>
      <x:c r="BW376" s="4"/>
      <x:c r="BX376" s="4"/>
      <x:c r="BY376" s="4" t="n">
        <x:f>IF(AND('Calculations'!BM376=1,'Calculations'!BU376&lt;&gt;"",COUNTIF('Calculations'!$BU$12:BU376,'Calculations'!BU376)=1),MAX('Calculations'!$BY$11:BY375)+1,0)</x:f>
        <x:v>0</x:v>
      </x:c>
      <x:c r="BZ376" s="4" t="str">
        <x:f>IF('Dashboard'!$E$67="What",'Calculations'!BO376,'Calculations'!BP376)</x:f>
      </x:c>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t="str">
        <x:f>IF(365&gt;MAX('Calculations'!$HI$13:$HI$512),"",INDEX('Calculations'!$HN$13:$HN$512,MATCH(365,'Calculations'!$HI$13:$HI$512,0)))</x:f>
      </x:c>
      <x:c r="DB376" s="4" t="str">
        <x:f>IF(365&gt;MAX('Calculations'!$HH$13:$HH$512),"",INDEX('Calculations'!$HJ$13:$HJ$512,MATCH(365,'Calculations'!$HH$13:$HH$512,0)))</x:f>
      </x:c>
      <x:c r="DC376" s="4" t="str">
        <x:f>IF(ROW()-11&gt;MAX('Calculations'!$BY$13:$BY$512),"",INDEX('Calculations'!$BU$13:$BU$512,MATCH(ROW()-11,'Calculations'!$BY$13:$BY$512,0)))</x:f>
      </x:c>
      <x:c r="DD376" s="4" t="str">
        <x:f>IF(365&gt;MAX('Calculations'!$IK$13:$IK$512),"",INDEX('Calculations'!$HK$13:$HK$512,MATCH(365,'Calculations'!$IK$13:$IK$512,0)))</x:f>
      </x:c>
      <x:c r="DE376" s="4" t="str">
        <x:f>'Calculations'!DC376</x:f>
      </x:c>
      <x:c r="DF376" s="4" t="str">
        <x:f>IF('Calculations'!DE376="","",COUNTIFS('Calculations'!$BN$13:$BN$512,1,'Calculations'!$BU$13:$BU$512,'Calculations'!DE376))</x:f>
      </x:c>
      <x:c r="DG376" s="4" t="str">
        <x:f>IF('Calculations'!DE376="","",COUNTIFS('Calculations'!$BN$13:$BN$512,1,'Calculations'!$BU$13:$BU$512,'Calculations'!DE376,'Calculations'!$BT$13:$BT$512,1))</x:f>
      </x:c>
      <x:c r="DH376" s="4" t="str">
        <x:f>IF('Calculations'!DE376="","",'Calculations'!DF376-'Calculations'!DG376)</x:f>
      </x:c>
      <x:c r="DI376" s="4" t="str">
        <x:f>IF(OR('Calculations'!DE376="",'Calculations'!DF376=0),"",'Calculations'!DG376/'Calculations'!DF376)</x:f>
      </x:c>
      <x:c r="DJ376" s="4" t="str">
        <x:f>IF('Calculations'!DE376="","",COUNTIFS('Calculations'!$BN$13:$BN$512,1,'Calculations'!$BU$13:$BU$512,'Calculations'!DE376,'Calculations'!$BT$13:$BT$512,1,'Calculations'!$EE$13:$EE$512,"High"))</x:f>
      </x:c>
      <x:c r="DK376" s="4" t="str">
        <x:f>IF('Calculations'!DE376="","",COUNTIFS('Calculations'!$BN$13:$BN$512,1,'Calculations'!$BU$13:$BU$512,'Calculations'!DE376,'Calculations'!$BT$13:$BT$512,1,'Calculations'!$EE$13:$EE$512,"Strong"))</x:f>
      </x:c>
      <x:c r="DL376" s="4" t="str">
        <x:f>IF('Calculations'!DE376="","",COUNTIFS('Calculations'!$BN$13:$BN$512,1,'Calculations'!$BU$13:$BU$512,'Calculations'!DE376,'Calculations'!$BT$13:$BT$512,1,'Calculations'!$EE$13:$EE$512,"Solid"))</x:f>
      </x:c>
      <x:c r="DM376" s="4" t="str">
        <x:f>IF('Calculations'!DE376="","",COUNTIFS('Calculations'!$BN$13:$BN$512,1,'Calculations'!$BU$13:$BU$512,'Calculations'!DE376,'Calculations'!$BT$13:$BT$512,1,'Calculations'!$EE$13:$EE$512,"Low"))</x:f>
      </x:c>
      <x:c r="DN376" s="4" t="str">
        <x:f>IF('Calculations'!DE376="","",COUNTIFS('Calculations'!$BN$13:$BN$512,1,'Calculations'!$BU$13:$BU$512,'Calculations'!DE376,'Calculations'!$EP$13:$EP$512,1))</x:f>
      </x:c>
      <x:c r="DO376" s="4" t="str">
        <x:f>IF(OR('Calculations'!DE376="",'Calculations'!DG376=0),"",('Calculations'!DJ376+'Calculations'!DK376)/'Calculations'!DG376)</x:f>
      </x:c>
      <x:c r="DP376" s="4" t="n">
        <x:f>IF(AND('Calculations'!DE376&lt;&gt;"",'Calculations'!DF376&gt;0),COUNTIF('Calculations'!$DF$12:DF376,"&gt;0"),0)</x:f>
        <x:v>0</x:v>
      </x:c>
      <x:c r="DQ376" s="4" t="str">
        <x:f>IF(365&gt;MAX('Calculations'!$HH$13:$HH$512),"",INDEX('Calculations'!$HF$13:$HF$512,MATCH(365,'Calculations'!$HH$13:$HH$512,0)))</x:f>
      </x:c>
      <x:c r="DR376" s="4" t="str">
        <x:f>IF(365&gt;MAX('Calculations'!$IK$13:$IK$512),"",INDEX('Calculations'!$HE$13:$HE$512,MATCH(365,'Calculations'!$IK$13:$IK$512,0)))</x:f>
      </x:c>
      <x:c r="DS376" s="4"/>
      <x:c r="DT376" s="4"/>
      <x:c r="DU376" s="4"/>
      <x:c r="DV376" s="4"/>
      <x:c r="DW376" s="4"/>
      <x:c r="DX376" s="4"/>
      <x:c r="DY376" s="4"/>
      <x:c r="DZ376" s="4"/>
      <x:c r="EA376" s="4"/>
      <x:c r="EB376" s="4"/>
      <x:c r="EC376" s="4"/>
      <x:c r="ED376" s="4"/>
      <x:c r="EE376" s="4" t="str">
        <x:f>IF('Calculations'!BT376=0,"Not Rated",IF(OR('Calculations'!BO376&gt;=4,'Calculations'!BP376&gt;=4),"Low",IF('Calculations'!BO376+'Calculations'!BP376&lt;=3,"High",IF('Calculations'!BO376+'Calculations'!BP376&lt;=4,"Strong","Solid"))))</x:f>
        <x:v>Not Rated</x:v>
      </x:c>
      <x:c r="EF376" s="4"/>
      <x:c r="EG376" s="4"/>
      <x:c r="EH376" s="4"/>
      <x:c r="EI376" s="4"/>
      <x:c r="EJ376" s="4"/>
      <x:c r="EK376" s="4"/>
      <x:c r="EL376" s="4"/>
      <x:c r="EM376" s="4" t="str">
        <x:f>IF(364&gt;'Calculations'!$JB$2000,"",INDEX('Calculations'!$JA$12:$JA$2000,MATCH(364,'Calculations'!$JB$12:$JB$2000,0)))</x:f>
      </x:c>
      <x:c r="EN376" s="4" t="n">
        <x:f>IF(OR('Calculations'!EM376="",'Calculations'!$AG$8&gt;0,AND('Calculations'!$EF$2&lt;&gt;"All",'Calculations'!HE376='Calculations'!$EF$2),AND('Calculations'!$EF$3&lt;&gt;"All",'Calculations'!HE376='Calculations'!$EF$3)),0,IF(OR('Dashboard'!$B$7="All",'Calculations'!HN376='Dashboard'!$B$7),IF('Calculations'!$EF$2="All",1,IF('Calculations'!HL376&gt;0,0,IF(COUNTIF('Calculations'!HO376:II376,"="&amp;SUBSTITUTE(SUBSTITUTE(SUBSTITUTE('Calculations'!$EF$2,"~","~~"),"*","~*"),"?","~?"))=0,0,IF('Calculations'!$EF$3="All",1,IF(COUNTIF('Calculations'!HO376:II376,"="&amp;SUBSTITUTE(SUBSTITUTE(SUBSTITUTE('Calculations'!$EF$3,"~","~~"),"*","~*"),"?","~?"))&gt;0,1,0))))),0))</x:f>
        <x:v>0</x:v>
      </x:c>
      <x:c r="EO376" s="4" t="str">
        <x:f>IF('Calculations'!IJ376="","",IF('Calculations'!IJ376="!UNRESOLVED","Unresolved hierarchy",IFERROR(INDEX('Calculations'!$HK$13:$HK$512,MATCH('Calculations'!IJ376,'Calculations'!$HE$13:$HE$512,0)),IFERROR(INDEX('Calculations'!$HJ$13:$HJ$512,MATCH('Calculations'!IJ376,'Calculations'!$HF$13:$HF$512,0)),'Calculations'!IJ376))))</x:f>
      </x:c>
      <x:c r="EP376" s="4" t="n">
        <x:f>IF(AND('Calculations'!EM376&lt;&gt;"",'Calculations'!HF376='Calculations'!IJ376),1,0)</x:f>
        <x:v>0</x:v>
      </x:c>
      <x:c r="EQ376" s="4"/>
      <x:c r="ER376" s="4"/>
      <x:c r="ES376" s="4"/>
      <x:c r="ET376" s="4"/>
      <x:c r="EU376" s="4"/>
      <x:c r="EV376" s="4"/>
      <x:c r="EW376" s="4"/>
      <x:c r="EX376" s="4"/>
      <x:c r="EY376" s="4"/>
      <x:c r="EZ376" s="4"/>
      <x:c r="FA376" s="4"/>
      <x:c r="FB376" s="4"/>
      <x:c r="FC376" s="4"/>
      <x:c r="FD376" s="4"/>
      <x:c r="FE376" s="4"/>
      <x:c r="FF376" s="4"/>
      <x:c r="FG376" s="4"/>
      <x:c r="FH376" s="4"/>
      <x:c r="FI376" s="4"/>
      <x:c r="FJ376" s="4"/>
      <x:c r="FK376" s="4"/>
      <x:c r="FL376" s="4"/>
      <x:c r="FM376" s="4"/>
      <x:c r="FN376" s="4"/>
      <x:c r="FO376" s="4"/>
      <x:c r="HE376" t="str">
        <x:f>IF('Calculations'!EM376="","",IF(IFERROR(IF(INDEX(INDIRECT("'WCM Calibration Final'!$A$1:$A$2000"),'Calculations'!$EM376)="","",TRIM(INDEX(INDIRECT("'WCM Calibration Final'!$A$1:$A$2000"),'Calculations'!$EM376)&amp;"")),"")&lt;&gt;"","G:"&amp;IFERROR(TEXT(1*INDEX(INDIRECT("'WCM Calibration Final'!$A$1:$A$2000"),'Calculations'!$EM376),"0"),UPPER(IFERROR(IF(INDEX(INDIRECT("'WCM Calibration Final'!$A$1:$A$2000"),'Calculations'!$EM376)="","",TRIM(INDEX(INDIRECT("'WCM Calibration Final'!$A$1:$A$2000"),'Calculations'!$EM376)&amp;"")),""))),IF(IFERROR(IF(INDEX(INDIRECT("'WCM Calibration Final'!$C$1:$C$2000"),'Calculations'!$EM376)="","",TRIM(INDEX(INDIRECT("'WCM Calibration Final'!$C$1:$C$2000"),'Calculations'!$EM376)&amp;"")),"")&lt;&gt;"","S:"&amp;UPPER(IFERROR(IF(INDEX(INDIRECT("'WCM Calibration Final'!$C$1:$C$2000"),'Calculations'!$EM376)="","",TRIM(INDEX(INDIRECT("'WCM Calibration Final'!$C$1:$C$2000"),'Calculations'!$EM376)&amp;"")),"")),"R:"&amp;'Calculations'!EM376)))</x:f>
      </x:c>
      <x:c r="HF376" t="str">
        <x:f>IF('Calculations'!EM376="","",IF(IFERROR(IF(INDEX(INDIRECT("'WCM Calibration Final'!$D$1:$D$2000"),'Calculations'!$EM376)="","",TRIM(INDEX(INDIRECT("'WCM Calibration Final'!$D$1:$D$2000"),'Calculations'!$EM376)&amp;"")),"")&lt;&gt;"","G:"&amp;IFERROR(TEXT(1*INDEX(INDIRECT("'WCM Calibration Final'!$D$1:$D$2000"),'Calculations'!$EM376),"0"),UPPER(IFERROR(IF(INDEX(INDIRECT("'WCM Calibration Final'!$D$1:$D$2000"),'Calculations'!$EM376)="","",TRIM(INDEX(INDIRECT("'WCM Calibration Final'!$D$1:$D$2000"),'Calculations'!$EM376)&amp;"")),""))),IF(IFERROR(IF(INDEX(INDIRECT("'WCM Calibration Final'!$E$1:$E$2000"),'Calculations'!$EM376)="","",TRIM(INDEX(INDIRECT("'WCM Calibration Final'!$E$1:$E$2000"),'Calculations'!$EM376)&amp;"")),"")="","",IF(COUNTIF('Calculations'!$HG$13:$HG$512,"="&amp;SUBSTITUTE(SUBSTITUTE(SUBSTITUTE(IFERROR(IF(INDEX(INDIRECT("'WCM Calibration Final'!$E$1:$E$2000"),'Calculations'!$EM376)="","",TRIM(INDEX(INDIRECT("'WCM Calibration Final'!$E$1:$E$2000"),'Calculations'!$EM376)&amp;"")),""),"~","~~"),"*","~*"),"?","~?"))=1,INDEX('Calculations'!$HE$13:$HE$512,MATCH(IFERROR(IF(INDEX(INDIRECT("'WCM Calibration Final'!$E$1:$E$2000"),'Calculations'!$EM376)="","",TRIM(INDEX(INDIRECT("'WCM Calibration Final'!$E$1:$E$2000"),'Calculations'!$EM376)&amp;"")),""),'Calculations'!$HG$13:$HG$512,0)),IF(COUNTIF('Calculations'!$HG$13:$HG$512,"="&amp;SUBSTITUTE(SUBSTITUTE(SUBSTITUTE(IFERROR(IF(INDEX(INDIRECT("'WCM Calibration Final'!$E$1:$E$2000"),'Calculations'!$EM376)="","",TRIM(INDEX(INDIRECT("'WCM Calibration Final'!$E$1:$E$2000"),'Calculations'!$EM376)&amp;"")),""),"~","~~"),"*","~*"),"?","~?"))&gt;1,"!AMBIG","X:"&amp;IFERROR(IF(INDEX(INDIRECT("'WCM Calibration Final'!$E$1:$E$2000"),'Calculations'!$EM376)="","",TRIM(INDEX(INDIRECT("'WCM Calibration Final'!$E$1:$E$2000"),'Calculations'!$EM376)&amp;"")),""))))))</x:f>
      </x:c>
      <x:c r="HG376" t="str">
        <x:f>IF('Calculations'!EM376="","",IFERROR(IF(INDEX(INDIRECT("'WCM Calibration Final'!$B$1:$B$2000"),'Calculations'!$EM376)="","",TRIM(INDEX(INDIRECT("'WCM Calibration Final'!$B$1:$B$2000"),'Calculations'!$EM376)&amp;"")),""))</x:f>
      </x:c>
      <x:c r="HH376" t="n">
        <x:f>IF(AND('Calculations'!JC376&gt;0,COUNTIF('Calculations'!$HF$12:HF376,"="&amp;SUBSTITUTE(SUBSTITUTE(SUBSTITUTE('Calculations'!HF376,"~","~~"),"*","~*"),"?","~?"))=1),MAX('Calculations'!$HH$12:HH375)+1,0)</x:f>
        <x:v>0</x:v>
      </x:c>
      <x:c r="HI376" t="n">
        <x:f>IF(AND('Calculations'!HN376&lt;&gt;"",COUNTIF('Calculations'!$HN$12:HN376,"="&amp;SUBSTITUTE(SUBSTITUTE(SUBSTITUTE('Calculations'!HN376,"~","~~"),"*","~*"),"?","~?"))=1),MAX('Calculations'!$HI$12:HI375)+1,0)</x:f>
        <x:v>0</x:v>
      </x:c>
      <x:c r="HJ376" t="str">
        <x:f>IF('Calculations'!HF376="","",IF(COUNTIF('Calculations'!$HE$13:$HE$512,"="&amp;SUBSTITUTE(SUBSTITUTE(SUBSTITUTE('Calculations'!HF376,"~","~~"),"*","~*"),"?","~?"))=1,INDEX('Calculations'!$HK$13:$HK$512,MATCH('Calculations'!HF376,'Calculations'!$HE$13:$HE$512,0)),IFERROR(IF(INDEX(INDIRECT("'WCM Calibration Final'!$E$1:$E$2000"),'Calculations'!$EM376)="","",TRIM(INDEX(INDIRECT("'WCM Calibration Final'!$E$1:$E$2000"),'Calculations'!$EM376)&amp;"")),"")&amp;" ["&amp;'Calculations'!HF376&amp;"]"))</x:f>
      </x:c>
      <x:c r="HK376" t="str">
        <x:f>IF('Calculations'!EM376="","",'Calculations'!HG376&amp;" ["&amp;'Calculations'!HE376&amp;"]")</x:f>
      </x:c>
      <x:c r="HL376" t="n">
        <x:f>IF('Calculations'!EM376="",0,IF(OR('Calculations'!II376&lt;&gt;"",COUNTIF('Calculations'!$HE$13:$HE$512,"="&amp;SUBSTITUTE(SUBSTITUTE(SUBSTITUTE('Calculations'!HE376,"~","~~"),"*","~*"),"?","~?"))&gt;1),1,0))</x:f>
        <x:v>0</x:v>
      </x:c>
      <x:c r="HM376" t="str">
        <x:f>IF('Calculations'!EM376="","",IF('Calculations'!HL376=1,"!UNRESOLVED",IF('Calculations'!IH376&lt;&gt;"",'Calculations'!IH376,IF('Calculations'!IG376&lt;&gt;"",'Calculations'!IG376,IF('Calculations'!IF376&lt;&gt;"",'Calculations'!IF376,IF('Calculations'!IE376&lt;&gt;"",'Calculations'!IE376,IF('Calculations'!ID376&lt;&gt;"",'Calculations'!ID376,IF('Calculations'!IC376&lt;&gt;"",'Calculations'!IC376,IF('Calculations'!IB376&lt;&gt;"",'Calculations'!IB376,IF('Calculations'!IA376&lt;&gt;"",'Calculations'!IA376,IF('Calculations'!HZ376&lt;&gt;"",'Calculations'!HZ376,IF('Calculations'!HY376&lt;&gt;"",'Calculations'!HY376,IF('Calculations'!HX376&lt;&gt;"",'Calculations'!HX376,IF('Calculations'!HW376&lt;&gt;"",'Calculations'!HW376,IF('Calculations'!HV376&lt;&gt;"",'Calculations'!HV376,IF('Calculations'!HU376&lt;&gt;"",'Calculations'!HU376,IF('Calculations'!HT376&lt;&gt;"",'Calculations'!HT376,IF('Calculations'!HS376&lt;&gt;"",'Calculations'!HS376,IF('Calculations'!HR376&lt;&gt;"",'Calculations'!HR376,IF('Calculations'!HQ376&lt;&gt;"",'Calculations'!HQ376,IF('Calculations'!HP376&lt;&gt;"",'Calculations'!HP376,IF('Calculations'!HO376&lt;&gt;"",'Calculations'!HO376,'Calculations'!HE376))))))))))))))))))))))</x:f>
      </x:c>
      <x:c r="HN376" t="str">
        <x:f>IF('Calculations'!EM376="","",IF(IFERROR(IF(INDEX(INDIRECT("'WCM Calibration Final'!$F$1:$F$2000"),'Calculations'!$EM376)="","",TRIM(INDEX(INDIRECT("'WCM Calibration Final'!$F$1:$F$2000"),'Calculations'!$EM376)&amp;"")),"")="","(Blank)",IFERROR(IF(INDEX(INDIRECT("'WCM Calibration Final'!$F$1:$F$2000"),'Calculations'!$EM376)="","",TRIM(INDEX(INDIRECT("'WCM Calibration Final'!$F$1:$F$2000"),'Calculations'!$EM376)&amp;"")),"")))</x:f>
      </x:c>
      <x:c r="HO376" t="str">
        <x:f>'Calculations'!HF376</x:f>
      </x:c>
      <x:c r="HP376" t="str">
        <x:f>IF('Calculations'!HO376="","",IF('Calculations'!HO376="!AMBIG","!AMBIG",IF(COUNTIF('Calculations'!$HE$13:$HE$512,"="&amp;SUBSTITUTE(SUBSTITUTE(SUBSTITUTE('Calculations'!HO376,"~","~~"),"*","~*"),"?","~?"))&gt;1,"!AMBIG",IFERROR(INDEX('Calculations'!$HF$13:$HF$512,MATCH('Calculations'!HO376,'Calculations'!$HE$13:$HE$512,0)),""))))</x:f>
      </x:c>
      <x:c r="HQ376" t="str">
        <x:f>IF('Calculations'!HP376="","",IF('Calculations'!HP376="!AMBIG","!AMBIG",IF(COUNTIF('Calculations'!$HE$13:$HE$512,"="&amp;SUBSTITUTE(SUBSTITUTE(SUBSTITUTE('Calculations'!HP376,"~","~~"),"*","~*"),"?","~?"))&gt;1,"!AMBIG",IFERROR(INDEX('Calculations'!$HF$13:$HF$512,MATCH('Calculations'!HP376,'Calculations'!$HE$13:$HE$512,0)),""))))</x:f>
      </x:c>
      <x:c r="HR376" t="str">
        <x:f>IF('Calculations'!HQ376="","",IF('Calculations'!HQ376="!AMBIG","!AMBIG",IF(COUNTIF('Calculations'!$HE$13:$HE$512,"="&amp;SUBSTITUTE(SUBSTITUTE(SUBSTITUTE('Calculations'!HQ376,"~","~~"),"*","~*"),"?","~?"))&gt;1,"!AMBIG",IFERROR(INDEX('Calculations'!$HF$13:$HF$512,MATCH('Calculations'!HQ376,'Calculations'!$HE$13:$HE$512,0)),""))))</x:f>
      </x:c>
      <x:c r="HS376" t="str">
        <x:f>IF('Calculations'!HR376="","",IF('Calculations'!HR376="!AMBIG","!AMBIG",IF(COUNTIF('Calculations'!$HE$13:$HE$512,"="&amp;SUBSTITUTE(SUBSTITUTE(SUBSTITUTE('Calculations'!HR376,"~","~~"),"*","~*"),"?","~?"))&gt;1,"!AMBIG",IFERROR(INDEX('Calculations'!$HF$13:$HF$512,MATCH('Calculations'!HR376,'Calculations'!$HE$13:$HE$512,0)),""))))</x:f>
      </x:c>
      <x:c r="HT376" t="str">
        <x:f>IF('Calculations'!HS376="","",IF('Calculations'!HS376="!AMBIG","!AMBIG",IF(COUNTIF('Calculations'!$HE$13:$HE$512,"="&amp;SUBSTITUTE(SUBSTITUTE(SUBSTITUTE('Calculations'!HS376,"~","~~"),"*","~*"),"?","~?"))&gt;1,"!AMBIG",IFERROR(INDEX('Calculations'!$HF$13:$HF$512,MATCH('Calculations'!HS376,'Calculations'!$HE$13:$HE$512,0)),""))))</x:f>
      </x:c>
      <x:c r="HU376" t="str">
        <x:f>IF('Calculations'!HT376="","",IF('Calculations'!HT376="!AMBIG","!AMBIG",IF(COUNTIF('Calculations'!$HE$13:$HE$512,"="&amp;SUBSTITUTE(SUBSTITUTE(SUBSTITUTE('Calculations'!HT376,"~","~~"),"*","~*"),"?","~?"))&gt;1,"!AMBIG",IFERROR(INDEX('Calculations'!$HF$13:$HF$512,MATCH('Calculations'!HT376,'Calculations'!$HE$13:$HE$512,0)),""))))</x:f>
      </x:c>
      <x:c r="HV376" t="str">
        <x:f>IF('Calculations'!HU376="","",IF('Calculations'!HU376="!AMBIG","!AMBIG",IF(COUNTIF('Calculations'!$HE$13:$HE$512,"="&amp;SUBSTITUTE(SUBSTITUTE(SUBSTITUTE('Calculations'!HU376,"~","~~"),"*","~*"),"?","~?"))&gt;1,"!AMBIG",IFERROR(INDEX('Calculations'!$HF$13:$HF$512,MATCH('Calculations'!HU376,'Calculations'!$HE$13:$HE$512,0)),""))))</x:f>
      </x:c>
      <x:c r="HW376" t="str">
        <x:f>IF('Calculations'!HV376="","",IF('Calculations'!HV376="!AMBIG","!AMBIG",IF(COUNTIF('Calculations'!$HE$13:$HE$512,"="&amp;SUBSTITUTE(SUBSTITUTE(SUBSTITUTE('Calculations'!HV376,"~","~~"),"*","~*"),"?","~?"))&gt;1,"!AMBIG",IFERROR(INDEX('Calculations'!$HF$13:$HF$512,MATCH('Calculations'!HV376,'Calculations'!$HE$13:$HE$512,0)),""))))</x:f>
      </x:c>
      <x:c r="HX376" t="str">
        <x:f>IF('Calculations'!HW376="","",IF('Calculations'!HW376="!AMBIG","!AMBIG",IF(COUNTIF('Calculations'!$HE$13:$HE$512,"="&amp;SUBSTITUTE(SUBSTITUTE(SUBSTITUTE('Calculations'!HW376,"~","~~"),"*","~*"),"?","~?"))&gt;1,"!AMBIG",IFERROR(INDEX('Calculations'!$HF$13:$HF$512,MATCH('Calculations'!HW376,'Calculations'!$HE$13:$HE$512,0)),""))))</x:f>
      </x:c>
      <x:c r="HY376" t="str">
        <x:f>IF('Calculations'!HX376="","",IF('Calculations'!HX376="!AMBIG","!AMBIG",IF(COUNTIF('Calculations'!$HE$13:$HE$512,"="&amp;SUBSTITUTE(SUBSTITUTE(SUBSTITUTE('Calculations'!HX376,"~","~~"),"*","~*"),"?","~?"))&gt;1,"!AMBIG",IFERROR(INDEX('Calculations'!$HF$13:$HF$512,MATCH('Calculations'!HX376,'Calculations'!$HE$13:$HE$512,0)),""))))</x:f>
      </x:c>
      <x:c r="HZ376" t="str">
        <x:f>IF('Calculations'!HY376="","",IF('Calculations'!HY376="!AMBIG","!AMBIG",IF(COUNTIF('Calculations'!$HE$13:$HE$512,"="&amp;SUBSTITUTE(SUBSTITUTE(SUBSTITUTE('Calculations'!HY376,"~","~~"),"*","~*"),"?","~?"))&gt;1,"!AMBIG",IFERROR(INDEX('Calculations'!$HF$13:$HF$512,MATCH('Calculations'!HY376,'Calculations'!$HE$13:$HE$512,0)),""))))</x:f>
      </x:c>
      <x:c r="IA376" t="str">
        <x:f>IF('Calculations'!HZ376="","",IF('Calculations'!HZ376="!AMBIG","!AMBIG",IF(COUNTIF('Calculations'!$HE$13:$HE$512,"="&amp;SUBSTITUTE(SUBSTITUTE(SUBSTITUTE('Calculations'!HZ376,"~","~~"),"*","~*"),"?","~?"))&gt;1,"!AMBIG",IFERROR(INDEX('Calculations'!$HF$13:$HF$512,MATCH('Calculations'!HZ376,'Calculations'!$HE$13:$HE$512,0)),""))))</x:f>
      </x:c>
      <x:c r="IB376" t="str">
        <x:f>IF('Calculations'!IA376="","",IF('Calculations'!IA376="!AMBIG","!AMBIG",IF(COUNTIF('Calculations'!$HE$13:$HE$512,"="&amp;SUBSTITUTE(SUBSTITUTE(SUBSTITUTE('Calculations'!IA376,"~","~~"),"*","~*"),"?","~?"))&gt;1,"!AMBIG",IFERROR(INDEX('Calculations'!$HF$13:$HF$512,MATCH('Calculations'!IA376,'Calculations'!$HE$13:$HE$512,0)),""))))</x:f>
      </x:c>
      <x:c r="IC376" t="str">
        <x:f>IF('Calculations'!IB376="","",IF('Calculations'!IB376="!AMBIG","!AMBIG",IF(COUNTIF('Calculations'!$HE$13:$HE$512,"="&amp;SUBSTITUTE(SUBSTITUTE(SUBSTITUTE('Calculations'!IB376,"~","~~"),"*","~*"),"?","~?"))&gt;1,"!AMBIG",IFERROR(INDEX('Calculations'!$HF$13:$HF$512,MATCH('Calculations'!IB376,'Calculations'!$HE$13:$HE$512,0)),""))))</x:f>
      </x:c>
      <x:c r="ID376" t="str">
        <x:f>IF('Calculations'!IC376="","",IF('Calculations'!IC376="!AMBIG","!AMBIG",IF(COUNTIF('Calculations'!$HE$13:$HE$512,"="&amp;SUBSTITUTE(SUBSTITUTE(SUBSTITUTE('Calculations'!IC376,"~","~~"),"*","~*"),"?","~?"))&gt;1,"!AMBIG",IFERROR(INDEX('Calculations'!$HF$13:$HF$512,MATCH('Calculations'!IC376,'Calculations'!$HE$13:$HE$512,0)),""))))</x:f>
      </x:c>
      <x:c r="IE376" t="str">
        <x:f>IF('Calculations'!ID376="","",IF('Calculations'!ID376="!AMBIG","!AMBIG",IF(COUNTIF('Calculations'!$HE$13:$HE$512,"="&amp;SUBSTITUTE(SUBSTITUTE(SUBSTITUTE('Calculations'!ID376,"~","~~"),"*","~*"),"?","~?"))&gt;1,"!AMBIG",IFERROR(INDEX('Calculations'!$HF$13:$HF$512,MATCH('Calculations'!ID376,'Calculations'!$HE$13:$HE$512,0)),""))))</x:f>
      </x:c>
      <x:c r="IF376" t="str">
        <x:f>IF('Calculations'!IE376="","",IF('Calculations'!IE376="!AMBIG","!AMBIG",IF(COUNTIF('Calculations'!$HE$13:$HE$512,"="&amp;SUBSTITUTE(SUBSTITUTE(SUBSTITUTE('Calculations'!IE376,"~","~~"),"*","~*"),"?","~?"))&gt;1,"!AMBIG",IFERROR(INDEX('Calculations'!$HF$13:$HF$512,MATCH('Calculations'!IE376,'Calculations'!$HE$13:$HE$512,0)),""))))</x:f>
      </x:c>
      <x:c r="IG376" t="str">
        <x:f>IF('Calculations'!IF376="","",IF('Calculations'!IF376="!AMBIG","!AMBIG",IF(COUNTIF('Calculations'!$HE$13:$HE$512,"="&amp;SUBSTITUTE(SUBSTITUTE(SUBSTITUTE('Calculations'!IF376,"~","~~"),"*","~*"),"?","~?"))&gt;1,"!AMBIG",IFERROR(INDEX('Calculations'!$HF$13:$HF$512,MATCH('Calculations'!IF376,'Calculations'!$HE$13:$HE$512,0)),""))))</x:f>
      </x:c>
      <x:c r="IH376" t="str">
        <x:f>IF('Calculations'!IG376="","",IF('Calculations'!IG376="!AMBIG","!AMBIG",IF(COUNTIF('Calculations'!$HE$13:$HE$512,"="&amp;SUBSTITUTE(SUBSTITUTE(SUBSTITUTE('Calculations'!IG376,"~","~~"),"*","~*"),"?","~?"))&gt;1,"!AMBIG",IFERROR(INDEX('Calculations'!$HF$13:$HF$512,MATCH('Calculations'!IG376,'Calculations'!$HE$13:$HE$512,0)),""))))</x:f>
      </x:c>
      <x:c r="II376" t="str">
        <x:f>IF('Calculations'!IH376="","",IF('Calculations'!IH376="!AMBIG","!AMBIG",IF(COUNTIF('Calculations'!$HE$13:$HE$512,"="&amp;SUBSTITUTE(SUBSTITUTE(SUBSTITUTE('Calculations'!IH376,"~","~~"),"*","~*"),"?","~?"))&gt;1,"!AMBIG",IFERROR(INDEX('Calculations'!$HF$13:$HF$512,MATCH('Calculations'!IH376,'Calculations'!$HE$13:$HE$512,0)),""))))</x:f>
      </x:c>
      <x:c r="IJ376" t="str">
        <x:f>IF('Calculations'!EM376="","",IF('Calculations'!$EF$2="All",'Calculations'!HM376,IF('Calculations'!HL376=1,"",IFERROR(IF(MATCH('Calculations'!$EF$2,'Calculations'!HO376:II376,0)=1,'Calculations'!HE376,INDEX('Calculations'!HO376:II376,1,MATCH('Calculations'!$EF$2,'Calculations'!HO376:II376,0)-1)),""))))</x:f>
      </x:c>
      <x:c r="IK376" t="n">
        <x:f>IF(AND('Calculations'!EM376&lt;&gt;"",'Calculations'!$EF$2&lt;&gt;"All",'Calculations'!HF376='Calculations'!$EF$2,'Calculations'!HL376=0,'Calculations'!JD376&gt;0),MAX('Calculations'!$IK$12:IK375)+1,0)</x:f>
        <x:v>0</x:v>
      </x:c>
      <x:c r="JA376" t="n">
        <x:f>IF(OR(IFERROR(INDIRECT("'WCM Calibration Final'!$A$376")&lt;&gt;"",FALSE),IFERROR(INDIRECT("'WCM Calibration Final'!$B$376")&lt;&gt;"",FALSE),IFERROR(INDIRECT("'WCM Calibration Final'!$C$376")&lt;&gt;"",FALSE)),376,0)</x:f>
        <x:v>0</x:v>
      </x:c>
      <x:c r="JB376" t="n">
        <x:f>'Calculations'!JB375+IF('Calculations'!JA376&gt;0,1,0)</x:f>
        <x:v>0</x:v>
      </x:c>
      <x:c r="JC376" t="n">
        <x:f>IF(OR('Calculations'!HF376="",'Calculations'!HF376="!AMBIG"),0,IF('Dashboard'!$B$7="All",1,COUNTIFS('Calculations'!$HO$13:$HO$512,"="&amp;SUBSTITUTE(SUBSTITUTE(SUBSTITUTE('Calculations'!HF376,"~","~~"),"*","~*"),"?","~?"),'Calculations'!$HN$13:$HN$512,"="&amp;SUBSTITUTE(SUBSTITUTE(SUBSTITUTE('Dashboard'!$B$7,"~","~~"),"*","~*"),"?","~?"))+COUNTIFS('Calculations'!$HP$13:$HP$512,"="&amp;SUBSTITUTE(SUBSTITUTE(SUBSTITUTE('Calculations'!HF376,"~","~~"),"*","~*"),"?","~?"),'Calculations'!$HN$13:$HN$512,"="&amp;SUBSTITUTE(SUBSTITUTE(SUBSTITUTE('Dashboard'!$B$7,"~","~~"),"*","~*"),"?","~?"))+COUNTIFS('Calculations'!$HQ$13:$HQ$512,"="&amp;SUBSTITUTE(SUBSTITUTE(SUBSTITUTE('Calculations'!HF376,"~","~~"),"*","~*"),"?","~?"),'Calculations'!$HN$13:$HN$512,"="&amp;SUBSTITUTE(SUBSTITUTE(SUBSTITUTE('Dashboard'!$B$7,"~","~~"),"*","~*"),"?","~?"))+COUNTIFS('Calculations'!$HR$13:$HR$512,"="&amp;SUBSTITUTE(SUBSTITUTE(SUBSTITUTE('Calculations'!HF376,"~","~~"),"*","~*"),"?","~?"),'Calculations'!$HN$13:$HN$512,"="&amp;SUBSTITUTE(SUBSTITUTE(SUBSTITUTE('Dashboard'!$B$7,"~","~~"),"*","~*"),"?","~?"))+COUNTIFS('Calculations'!$HS$13:$HS$512,"="&amp;SUBSTITUTE(SUBSTITUTE(SUBSTITUTE('Calculations'!HF376,"~","~~"),"*","~*"),"?","~?"),'Calculations'!$HN$13:$HN$512,"="&amp;SUBSTITUTE(SUBSTITUTE(SUBSTITUTE('Dashboard'!$B$7,"~","~~"),"*","~*"),"?","~?"))+COUNTIFS('Calculations'!$HT$13:$HT$512,"="&amp;SUBSTITUTE(SUBSTITUTE(SUBSTITUTE('Calculations'!HF376,"~","~~"),"*","~*"),"?","~?"),'Calculations'!$HN$13:$HN$512,"="&amp;SUBSTITUTE(SUBSTITUTE(SUBSTITUTE('Dashboard'!$B$7,"~","~~"),"*","~*"),"?","~?"))+COUNTIFS('Calculations'!$HU$13:$HU$512,"="&amp;SUBSTITUTE(SUBSTITUTE(SUBSTITUTE('Calculations'!HF376,"~","~~"),"*","~*"),"?","~?"),'Calculations'!$HN$13:$HN$512,"="&amp;SUBSTITUTE(SUBSTITUTE(SUBSTITUTE('Dashboard'!$B$7,"~","~~"),"*","~*"),"?","~?"))+COUNTIFS('Calculations'!$HV$13:$HV$512,"="&amp;SUBSTITUTE(SUBSTITUTE(SUBSTITUTE('Calculations'!HF376,"~","~~"),"*","~*"),"?","~?"),'Calculations'!$HN$13:$HN$512,"="&amp;SUBSTITUTE(SUBSTITUTE(SUBSTITUTE('Dashboard'!$B$7,"~","~~"),"*","~*"),"?","~?"))+COUNTIFS('Calculations'!$HW$13:$HW$512,"="&amp;SUBSTITUTE(SUBSTITUTE(SUBSTITUTE('Calculations'!HF376,"~","~~"),"*","~*"),"?","~?"),'Calculations'!$HN$13:$HN$512,"="&amp;SUBSTITUTE(SUBSTITUTE(SUBSTITUTE('Dashboard'!$B$7,"~","~~"),"*","~*"),"?","~?"))+COUNTIFS('Calculations'!$HX$13:$HX$512,"="&amp;SUBSTITUTE(SUBSTITUTE(SUBSTITUTE('Calculations'!HF376,"~","~~"),"*","~*"),"?","~?"),'Calculations'!$HN$13:$HN$512,"="&amp;SUBSTITUTE(SUBSTITUTE(SUBSTITUTE('Dashboard'!$B$7,"~","~~"),"*","~*"),"?","~?"))+COUNTIFS('Calculations'!$HY$13:$HY$512,"="&amp;SUBSTITUTE(SUBSTITUTE(SUBSTITUTE('Calculations'!HF376,"~","~~"),"*","~*"),"?","~?"),'Calculations'!$HN$13:$HN$512,"="&amp;SUBSTITUTE(SUBSTITUTE(SUBSTITUTE('Dashboard'!$B$7,"~","~~"),"*","~*"),"?","~?"))+COUNTIFS('Calculations'!$HZ$13:$HZ$512,"="&amp;SUBSTITUTE(SUBSTITUTE(SUBSTITUTE('Calculations'!HF376,"~","~~"),"*","~*"),"?","~?"),'Calculations'!$HN$13:$HN$512,"="&amp;SUBSTITUTE(SUBSTITUTE(SUBSTITUTE('Dashboard'!$B$7,"~","~~"),"*","~*"),"?","~?"))+COUNTIFS('Calculations'!$IA$13:$IA$512,"="&amp;SUBSTITUTE(SUBSTITUTE(SUBSTITUTE('Calculations'!HF376,"~","~~"),"*","~*"),"?","~?"),'Calculations'!$HN$13:$HN$512,"="&amp;SUBSTITUTE(SUBSTITUTE(SUBSTITUTE('Dashboard'!$B$7,"~","~~"),"*","~*"),"?","~?"))+COUNTIFS('Calculations'!$IB$13:$IB$512,"="&amp;SUBSTITUTE(SUBSTITUTE(SUBSTITUTE('Calculations'!HF376,"~","~~"),"*","~*"),"?","~?"),'Calculations'!$HN$13:$HN$512,"="&amp;SUBSTITUTE(SUBSTITUTE(SUBSTITUTE('Dashboard'!$B$7,"~","~~"),"*","~*"),"?","~?"))+COUNTIFS('Calculations'!$IC$13:$IC$512,"="&amp;SUBSTITUTE(SUBSTITUTE(SUBSTITUTE('Calculations'!HF376,"~","~~"),"*","~*"),"?","~?"),'Calculations'!$HN$13:$HN$512,"="&amp;SUBSTITUTE(SUBSTITUTE(SUBSTITUTE('Dashboard'!$B$7,"~","~~"),"*","~*"),"?","~?"))+COUNTIFS('Calculations'!$ID$13:$ID$512,"="&amp;SUBSTITUTE(SUBSTITUTE(SUBSTITUTE('Calculations'!HF376,"~","~~"),"*","~*"),"?","~?"),'Calculations'!$HN$13:$HN$512,"="&amp;SUBSTITUTE(SUBSTITUTE(SUBSTITUTE('Dashboard'!$B$7,"~","~~"),"*","~*"),"?","~?"))+COUNTIFS('Calculations'!$IE$13:$IE$512,"="&amp;SUBSTITUTE(SUBSTITUTE(SUBSTITUTE('Calculations'!HF376,"~","~~"),"*","~*"),"?","~?"),'Calculations'!$HN$13:$HN$512,"="&amp;SUBSTITUTE(SUBSTITUTE(SUBSTITUTE('Dashboard'!$B$7,"~","~~"),"*","~*"),"?","~?"))+COUNTIFS('Calculations'!$IF$13:$IF$512,"="&amp;SUBSTITUTE(SUBSTITUTE(SUBSTITUTE('Calculations'!HF376,"~","~~"),"*","~*"),"?","~?"),'Calculations'!$HN$13:$HN$512,"="&amp;SUBSTITUTE(SUBSTITUTE(SUBSTITUTE('Dashboard'!$B$7,"~","~~"),"*","~*"),"?","~?"))+COUNTIFS('Calculations'!$IG$13:$IG$512,"="&amp;SUBSTITUTE(SUBSTITUTE(SUBSTITUTE('Calculations'!HF376,"~","~~"),"*","~*"),"?","~?"),'Calculations'!$HN$13:$HN$512,"="&amp;SUBSTITUTE(SUBSTITUTE(SUBSTITUTE('Dashboard'!$B$7,"~","~~"),"*","~*"),"?","~?"))+COUNTIFS('Calculations'!$IH$13:$IH$512,"="&amp;SUBSTITUTE(SUBSTITUTE(SUBSTITUTE('Calculations'!HF376,"~","~~"),"*","~*"),"?","~?"),'Calculations'!$HN$13:$HN$512,"="&amp;SUBSTITUTE(SUBSTITUTE(SUBSTITUTE('Dashboard'!$B$7,"~","~~"),"*","~*"),"?","~?"))))</x:f>
        <x:v>0</x:v>
      </x:c>
      <x:c r="JD376" t="n">
        <x:f>IF('Calculations'!EM376="",0,IF('Dashboard'!$B$7="All",1,IF('Calculations'!HN376='Dashboard'!$B$7,1,0)+IFERROR(INDEX('Calculations'!$JC$13:$JC$512,MATCH('Calculations'!HE376,'Calculations'!$HF$13:$HF$512,0)),0)))</x:f>
        <x:v>0</x:v>
      </x:c>
      <x:c r="JE376" t="n">
        <x:f>IF(AND('Calculations'!EM376&lt;&gt;"",'Calculations'!$JJ$2&lt;&gt;"All",'Calculations'!$JJ$2&lt;&gt;"",'Calculations'!HF376='Calculations'!$JJ$2,'Calculations'!HL376=0,'Calculations'!JD376&gt;0),MAX('Calculations'!$JE$12:JE375)+1,0)</x:f>
        <x:v>0</x:v>
      </x:c>
      <x:c r="JF376" t="str">
        <x:f>IF('Calculations'!EM376="","",IFERROR(IF(INDEX(INDIRECT("'WCM Calibration Final'!$G$1:$G$2000"),'Calculations'!$EM376)="","",TRIM(INDEX(INDIRECT("'WCM Calibration Final'!$G$1:$G$2000"),'Calculations'!$EM376)&amp;"")),""))</x:f>
      </x:c>
      <x:c r="JQ376" t="n">
        <x:f>IF(OR('Calculations'!BM376=0,NOT('Calculations'!$AG$2),'Calculations'!$AG$8&gt;0),0,IF(OR('Dashboard'!$B$7="All",'Calculations'!HN376='Dashboard'!$B$7),IF('Calculations'!$JJ$2="All",1,IF(AND('Calculations'!HF376='Calculations'!$JJ$2,'Calculations'!HL376=0),1,0)),0))</x:f>
        <x:v>0</x:v>
      </x:c>
    </x:row>
    <x:row r="377">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t="n">
        <x:f>IF('Calculations'!$EM377="",0,IF(OR(IFERROR(INDEX(INDIRECT("'WCM Calibration Final'!$A$1:$A$2000"),'Calculations'!$EM377)&lt;&gt;"",FALSE),IFERROR(INDEX(INDIRECT("'WCM Calibration Final'!$B$1:$B$2000"),'Calculations'!$EM377)&lt;&gt;"",FALSE),IFERROR(INDEX(INDIRECT("'WCM Calibration Final'!$C$1:$C$2000"),'Calculations'!$EM377)&lt;&gt;"",FALSE)),1,0))</x:f>
        <x:v>0</x:v>
      </x:c>
      <x:c r="BN377" s="4" t="n">
        <x:f>IF(AND('Calculations'!BM377=1,'Calculations'!$AG$2,'Calculations'!$EN377=1),1,0)</x:f>
        <x:v>0</x:v>
      </x:c>
      <x:c r="BO377" s="4" t="str">
        <x:f>IF('Calculations'!BM377=0,"",IFERROR(IF(AND(VALUE(INDEX(INDIRECT("'WCM Calibration Final'!$K$1:$K$2000"),'Calculations'!$EM377))&gt;=1,VALUE(INDEX(INDIRECT("'WCM Calibration Final'!$K$1:$K$2000"),'Calculations'!$EM377))&lt;=4,MOD(VALUE(INDEX(INDIRECT("'WCM Calibration Final'!$K$1:$K$2000"),'Calculations'!$EM377)),1)=0),VALUE(INDEX(INDIRECT("'WCM Calibration Final'!$K$1:$K$2000"),'Calculations'!$EM377)),""),""))</x:f>
      </x:c>
      <x:c r="BP377" s="4" t="str">
        <x:f>IF('Calculations'!BM377=0,"",IFERROR(IF(AND(VALUE(INDEX(INDIRECT("'WCM Calibration Final'!$L$1:$L$2000"),'Calculations'!$EM377))&gt;=1,VALUE(INDEX(INDIRECT("'WCM Calibration Final'!$L$1:$L$2000"),'Calculations'!$EM377))&lt;=4,MOD(VALUE(INDEX(INDIRECT("'WCM Calibration Final'!$L$1:$L$2000"),'Calculations'!$EM377)),1)=0),VALUE(INDEX(INDIRECT("'WCM Calibration Final'!$L$1:$L$2000"),'Calculations'!$EM377)),""),""))</x:f>
      </x:c>
      <x:c r="BQ377" s="4"/>
      <x:c r="BR377" s="4"/>
      <x:c r="BS377" s="4"/>
      <x:c r="BT377" s="4" t="n">
        <x:f>IF(AND('Calculations'!BM377=1,ISNUMBER('Calculations'!BO377),ISNUMBER('Calculations'!BP377)),1,0)</x:f>
        <x:v>0</x:v>
      </x:c>
      <x:c r="BU377" s="4" t="str">
        <x:f>IF('Calculations'!BM377=0,"",'Calculations'!$EO377)</x:f>
      </x:c>
      <x:c r="BV377" s="4" t="str">
        <x:f>IF('Calculations'!BM377=0,"",IFERROR(IF(OR(INDEX(INDIRECT("'WCM Calibration Final'!$H$1:$H$2000"),'Calculations'!$EM377)="MANAGING DIRECTOR",INDEX(INDIRECT("'WCM Calibration Final'!$H$1:$H$2000"),'Calculations'!$EM377)="DIRECTOR",INDEX(INDIRECT("'WCM Calibration Final'!$H$1:$H$2000"),'Calculations'!$EM377)="SENIOR VICE PRESIDENT",INDEX(INDIRECT("'WCM Calibration Final'!$H$1:$H$2000"),'Calculations'!$EM377)="VICE PRESIDENT",INDEX(INDIRECT("'WCM Calibration Final'!$H$1:$H$2000"),'Calculations'!$EM377)="ASSISTANT VICE PRESIDENT",INDEX(INDIRECT("'WCM Calibration Final'!$H$1:$H$2000"),'Calculations'!$EM377)="OFFICER"),UPPER(INDEX(INDIRECT("'WCM Calibration Final'!$H$1:$H$2000"),'Calculations'!$EM377)),"Other"),"Other"))</x:f>
      </x:c>
      <x:c r="BW377" s="4"/>
      <x:c r="BX377" s="4"/>
      <x:c r="BY377" s="4" t="n">
        <x:f>IF(AND('Calculations'!BM377=1,'Calculations'!BU377&lt;&gt;"",COUNTIF('Calculations'!$BU$12:BU377,'Calculations'!BU377)=1),MAX('Calculations'!$BY$11:BY376)+1,0)</x:f>
        <x:v>0</x:v>
      </x:c>
      <x:c r="BZ377" s="4" t="str">
        <x:f>IF('Dashboard'!$E$67="What",'Calculations'!BO377,'Calculations'!BP377)</x:f>
      </x:c>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t="str">
        <x:f>IF(366&gt;MAX('Calculations'!$HI$13:$HI$512),"",INDEX('Calculations'!$HN$13:$HN$512,MATCH(366,'Calculations'!$HI$13:$HI$512,0)))</x:f>
      </x:c>
      <x:c r="DB377" s="4" t="str">
        <x:f>IF(366&gt;MAX('Calculations'!$HH$13:$HH$512),"",INDEX('Calculations'!$HJ$13:$HJ$512,MATCH(366,'Calculations'!$HH$13:$HH$512,0)))</x:f>
      </x:c>
      <x:c r="DC377" s="4" t="str">
        <x:f>IF(ROW()-11&gt;MAX('Calculations'!$BY$13:$BY$512),"",INDEX('Calculations'!$BU$13:$BU$512,MATCH(ROW()-11,'Calculations'!$BY$13:$BY$512,0)))</x:f>
      </x:c>
      <x:c r="DD377" s="4" t="str">
        <x:f>IF(366&gt;MAX('Calculations'!$IK$13:$IK$512),"",INDEX('Calculations'!$HK$13:$HK$512,MATCH(366,'Calculations'!$IK$13:$IK$512,0)))</x:f>
      </x:c>
      <x:c r="DE377" s="4" t="str">
        <x:f>'Calculations'!DC377</x:f>
      </x:c>
      <x:c r="DF377" s="4" t="str">
        <x:f>IF('Calculations'!DE377="","",COUNTIFS('Calculations'!$BN$13:$BN$512,1,'Calculations'!$BU$13:$BU$512,'Calculations'!DE377))</x:f>
      </x:c>
      <x:c r="DG377" s="4" t="str">
        <x:f>IF('Calculations'!DE377="","",COUNTIFS('Calculations'!$BN$13:$BN$512,1,'Calculations'!$BU$13:$BU$512,'Calculations'!DE377,'Calculations'!$BT$13:$BT$512,1))</x:f>
      </x:c>
      <x:c r="DH377" s="4" t="str">
        <x:f>IF('Calculations'!DE377="","",'Calculations'!DF377-'Calculations'!DG377)</x:f>
      </x:c>
      <x:c r="DI377" s="4" t="str">
        <x:f>IF(OR('Calculations'!DE377="",'Calculations'!DF377=0),"",'Calculations'!DG377/'Calculations'!DF377)</x:f>
      </x:c>
      <x:c r="DJ377" s="4" t="str">
        <x:f>IF('Calculations'!DE377="","",COUNTIFS('Calculations'!$BN$13:$BN$512,1,'Calculations'!$BU$13:$BU$512,'Calculations'!DE377,'Calculations'!$BT$13:$BT$512,1,'Calculations'!$EE$13:$EE$512,"High"))</x:f>
      </x:c>
      <x:c r="DK377" s="4" t="str">
        <x:f>IF('Calculations'!DE377="","",COUNTIFS('Calculations'!$BN$13:$BN$512,1,'Calculations'!$BU$13:$BU$512,'Calculations'!DE377,'Calculations'!$BT$13:$BT$512,1,'Calculations'!$EE$13:$EE$512,"Strong"))</x:f>
      </x:c>
      <x:c r="DL377" s="4" t="str">
        <x:f>IF('Calculations'!DE377="","",COUNTIFS('Calculations'!$BN$13:$BN$512,1,'Calculations'!$BU$13:$BU$512,'Calculations'!DE377,'Calculations'!$BT$13:$BT$512,1,'Calculations'!$EE$13:$EE$512,"Solid"))</x:f>
      </x:c>
      <x:c r="DM377" s="4" t="str">
        <x:f>IF('Calculations'!DE377="","",COUNTIFS('Calculations'!$BN$13:$BN$512,1,'Calculations'!$BU$13:$BU$512,'Calculations'!DE377,'Calculations'!$BT$13:$BT$512,1,'Calculations'!$EE$13:$EE$512,"Low"))</x:f>
      </x:c>
      <x:c r="DN377" s="4" t="str">
        <x:f>IF('Calculations'!DE377="","",COUNTIFS('Calculations'!$BN$13:$BN$512,1,'Calculations'!$BU$13:$BU$512,'Calculations'!DE377,'Calculations'!$EP$13:$EP$512,1))</x:f>
      </x:c>
      <x:c r="DO377" s="4" t="str">
        <x:f>IF(OR('Calculations'!DE377="",'Calculations'!DG377=0),"",('Calculations'!DJ377+'Calculations'!DK377)/'Calculations'!DG377)</x:f>
      </x:c>
      <x:c r="DP377" s="4" t="n">
        <x:f>IF(AND('Calculations'!DE377&lt;&gt;"",'Calculations'!DF377&gt;0),COUNTIF('Calculations'!$DF$12:DF377,"&gt;0"),0)</x:f>
        <x:v>0</x:v>
      </x:c>
      <x:c r="DQ377" s="4" t="str">
        <x:f>IF(366&gt;MAX('Calculations'!$HH$13:$HH$512),"",INDEX('Calculations'!$HF$13:$HF$512,MATCH(366,'Calculations'!$HH$13:$HH$512,0)))</x:f>
      </x:c>
      <x:c r="DR377" s="4" t="str">
        <x:f>IF(366&gt;MAX('Calculations'!$IK$13:$IK$512),"",INDEX('Calculations'!$HE$13:$HE$512,MATCH(366,'Calculations'!$IK$13:$IK$512,0)))</x:f>
      </x:c>
      <x:c r="DS377" s="4"/>
      <x:c r="DT377" s="4"/>
      <x:c r="DU377" s="4"/>
      <x:c r="DV377" s="4"/>
      <x:c r="DW377" s="4"/>
      <x:c r="DX377" s="4"/>
      <x:c r="DY377" s="4"/>
      <x:c r="DZ377" s="4"/>
      <x:c r="EA377" s="4"/>
      <x:c r="EB377" s="4"/>
      <x:c r="EC377" s="4"/>
      <x:c r="ED377" s="4"/>
      <x:c r="EE377" s="4" t="str">
        <x:f>IF('Calculations'!BT377=0,"Not Rated",IF(OR('Calculations'!BO377&gt;=4,'Calculations'!BP377&gt;=4),"Low",IF('Calculations'!BO377+'Calculations'!BP377&lt;=3,"High",IF('Calculations'!BO377+'Calculations'!BP377&lt;=4,"Strong","Solid"))))</x:f>
        <x:v>Not Rated</x:v>
      </x:c>
      <x:c r="EF377" s="4"/>
      <x:c r="EG377" s="4"/>
      <x:c r="EH377" s="4"/>
      <x:c r="EI377" s="4"/>
      <x:c r="EJ377" s="4"/>
      <x:c r="EK377" s="4"/>
      <x:c r="EL377" s="4"/>
      <x:c r="EM377" s="4" t="str">
        <x:f>IF(365&gt;'Calculations'!$JB$2000,"",INDEX('Calculations'!$JA$12:$JA$2000,MATCH(365,'Calculations'!$JB$12:$JB$2000,0)))</x:f>
      </x:c>
      <x:c r="EN377" s="4" t="n">
        <x:f>IF(OR('Calculations'!EM377="",'Calculations'!$AG$8&gt;0,AND('Calculations'!$EF$2&lt;&gt;"All",'Calculations'!HE377='Calculations'!$EF$2),AND('Calculations'!$EF$3&lt;&gt;"All",'Calculations'!HE377='Calculations'!$EF$3)),0,IF(OR('Dashboard'!$B$7="All",'Calculations'!HN377='Dashboard'!$B$7),IF('Calculations'!$EF$2="All",1,IF('Calculations'!HL377&gt;0,0,IF(COUNTIF('Calculations'!HO377:II377,"="&amp;SUBSTITUTE(SUBSTITUTE(SUBSTITUTE('Calculations'!$EF$2,"~","~~"),"*","~*"),"?","~?"))=0,0,IF('Calculations'!$EF$3="All",1,IF(COUNTIF('Calculations'!HO377:II377,"="&amp;SUBSTITUTE(SUBSTITUTE(SUBSTITUTE('Calculations'!$EF$3,"~","~~"),"*","~*"),"?","~?"))&gt;0,1,0))))),0))</x:f>
        <x:v>0</x:v>
      </x:c>
      <x:c r="EO377" s="4" t="str">
        <x:f>IF('Calculations'!IJ377="","",IF('Calculations'!IJ377="!UNRESOLVED","Unresolved hierarchy",IFERROR(INDEX('Calculations'!$HK$13:$HK$512,MATCH('Calculations'!IJ377,'Calculations'!$HE$13:$HE$512,0)),IFERROR(INDEX('Calculations'!$HJ$13:$HJ$512,MATCH('Calculations'!IJ377,'Calculations'!$HF$13:$HF$512,0)),'Calculations'!IJ377))))</x:f>
      </x:c>
      <x:c r="EP377" s="4" t="n">
        <x:f>IF(AND('Calculations'!EM377&lt;&gt;"",'Calculations'!HF377='Calculations'!IJ377),1,0)</x:f>
        <x:v>0</x:v>
      </x:c>
      <x:c r="EQ377" s="4"/>
      <x:c r="ER377" s="4"/>
      <x:c r="ES377" s="4"/>
      <x:c r="ET377" s="4"/>
      <x:c r="EU377" s="4"/>
      <x:c r="EV377" s="4"/>
      <x:c r="EW377" s="4"/>
      <x:c r="EX377" s="4"/>
      <x:c r="EY377" s="4"/>
      <x:c r="EZ377" s="4"/>
      <x:c r="FA377" s="4"/>
      <x:c r="FB377" s="4"/>
      <x:c r="FC377" s="4"/>
      <x:c r="FD377" s="4"/>
      <x:c r="FE377" s="4"/>
      <x:c r="FF377" s="4"/>
      <x:c r="FG377" s="4"/>
      <x:c r="FH377" s="4"/>
      <x:c r="FI377" s="4"/>
      <x:c r="FJ377" s="4"/>
      <x:c r="FK377" s="4"/>
      <x:c r="FL377" s="4"/>
      <x:c r="FM377" s="4"/>
      <x:c r="FN377" s="4"/>
      <x:c r="FO377" s="4"/>
      <x:c r="HE377" t="str">
        <x:f>IF('Calculations'!EM377="","",IF(IFERROR(IF(INDEX(INDIRECT("'WCM Calibration Final'!$A$1:$A$2000"),'Calculations'!$EM377)="","",TRIM(INDEX(INDIRECT("'WCM Calibration Final'!$A$1:$A$2000"),'Calculations'!$EM377)&amp;"")),"")&lt;&gt;"","G:"&amp;IFERROR(TEXT(1*INDEX(INDIRECT("'WCM Calibration Final'!$A$1:$A$2000"),'Calculations'!$EM377),"0"),UPPER(IFERROR(IF(INDEX(INDIRECT("'WCM Calibration Final'!$A$1:$A$2000"),'Calculations'!$EM377)="","",TRIM(INDEX(INDIRECT("'WCM Calibration Final'!$A$1:$A$2000"),'Calculations'!$EM377)&amp;"")),""))),IF(IFERROR(IF(INDEX(INDIRECT("'WCM Calibration Final'!$C$1:$C$2000"),'Calculations'!$EM377)="","",TRIM(INDEX(INDIRECT("'WCM Calibration Final'!$C$1:$C$2000"),'Calculations'!$EM377)&amp;"")),"")&lt;&gt;"","S:"&amp;UPPER(IFERROR(IF(INDEX(INDIRECT("'WCM Calibration Final'!$C$1:$C$2000"),'Calculations'!$EM377)="","",TRIM(INDEX(INDIRECT("'WCM Calibration Final'!$C$1:$C$2000"),'Calculations'!$EM377)&amp;"")),"")),"R:"&amp;'Calculations'!EM377)))</x:f>
      </x:c>
      <x:c r="HF377" t="str">
        <x:f>IF('Calculations'!EM377="","",IF(IFERROR(IF(INDEX(INDIRECT("'WCM Calibration Final'!$D$1:$D$2000"),'Calculations'!$EM377)="","",TRIM(INDEX(INDIRECT("'WCM Calibration Final'!$D$1:$D$2000"),'Calculations'!$EM377)&amp;"")),"")&lt;&gt;"","G:"&amp;IFERROR(TEXT(1*INDEX(INDIRECT("'WCM Calibration Final'!$D$1:$D$2000"),'Calculations'!$EM377),"0"),UPPER(IFERROR(IF(INDEX(INDIRECT("'WCM Calibration Final'!$D$1:$D$2000"),'Calculations'!$EM377)="","",TRIM(INDEX(INDIRECT("'WCM Calibration Final'!$D$1:$D$2000"),'Calculations'!$EM377)&amp;"")),""))),IF(IFERROR(IF(INDEX(INDIRECT("'WCM Calibration Final'!$E$1:$E$2000"),'Calculations'!$EM377)="","",TRIM(INDEX(INDIRECT("'WCM Calibration Final'!$E$1:$E$2000"),'Calculations'!$EM377)&amp;"")),"")="","",IF(COUNTIF('Calculations'!$HG$13:$HG$512,"="&amp;SUBSTITUTE(SUBSTITUTE(SUBSTITUTE(IFERROR(IF(INDEX(INDIRECT("'WCM Calibration Final'!$E$1:$E$2000"),'Calculations'!$EM377)="","",TRIM(INDEX(INDIRECT("'WCM Calibration Final'!$E$1:$E$2000"),'Calculations'!$EM377)&amp;"")),""),"~","~~"),"*","~*"),"?","~?"))=1,INDEX('Calculations'!$HE$13:$HE$512,MATCH(IFERROR(IF(INDEX(INDIRECT("'WCM Calibration Final'!$E$1:$E$2000"),'Calculations'!$EM377)="","",TRIM(INDEX(INDIRECT("'WCM Calibration Final'!$E$1:$E$2000"),'Calculations'!$EM377)&amp;"")),""),'Calculations'!$HG$13:$HG$512,0)),IF(COUNTIF('Calculations'!$HG$13:$HG$512,"="&amp;SUBSTITUTE(SUBSTITUTE(SUBSTITUTE(IFERROR(IF(INDEX(INDIRECT("'WCM Calibration Final'!$E$1:$E$2000"),'Calculations'!$EM377)="","",TRIM(INDEX(INDIRECT("'WCM Calibration Final'!$E$1:$E$2000"),'Calculations'!$EM377)&amp;"")),""),"~","~~"),"*","~*"),"?","~?"))&gt;1,"!AMBIG","X:"&amp;IFERROR(IF(INDEX(INDIRECT("'WCM Calibration Final'!$E$1:$E$2000"),'Calculations'!$EM377)="","",TRIM(INDEX(INDIRECT("'WCM Calibration Final'!$E$1:$E$2000"),'Calculations'!$EM377)&amp;"")),""))))))</x:f>
      </x:c>
      <x:c r="HG377" t="str">
        <x:f>IF('Calculations'!EM377="","",IFERROR(IF(INDEX(INDIRECT("'WCM Calibration Final'!$B$1:$B$2000"),'Calculations'!$EM377)="","",TRIM(INDEX(INDIRECT("'WCM Calibration Final'!$B$1:$B$2000"),'Calculations'!$EM377)&amp;"")),""))</x:f>
      </x:c>
      <x:c r="HH377" t="n">
        <x:f>IF(AND('Calculations'!JC377&gt;0,COUNTIF('Calculations'!$HF$12:HF377,"="&amp;SUBSTITUTE(SUBSTITUTE(SUBSTITUTE('Calculations'!HF377,"~","~~"),"*","~*"),"?","~?"))=1),MAX('Calculations'!$HH$12:HH376)+1,0)</x:f>
        <x:v>0</x:v>
      </x:c>
      <x:c r="HI377" t="n">
        <x:f>IF(AND('Calculations'!HN377&lt;&gt;"",COUNTIF('Calculations'!$HN$12:HN377,"="&amp;SUBSTITUTE(SUBSTITUTE(SUBSTITUTE('Calculations'!HN377,"~","~~"),"*","~*"),"?","~?"))=1),MAX('Calculations'!$HI$12:HI376)+1,0)</x:f>
        <x:v>0</x:v>
      </x:c>
      <x:c r="HJ377" t="str">
        <x:f>IF('Calculations'!HF377="","",IF(COUNTIF('Calculations'!$HE$13:$HE$512,"="&amp;SUBSTITUTE(SUBSTITUTE(SUBSTITUTE('Calculations'!HF377,"~","~~"),"*","~*"),"?","~?"))=1,INDEX('Calculations'!$HK$13:$HK$512,MATCH('Calculations'!HF377,'Calculations'!$HE$13:$HE$512,0)),IFERROR(IF(INDEX(INDIRECT("'WCM Calibration Final'!$E$1:$E$2000"),'Calculations'!$EM377)="","",TRIM(INDEX(INDIRECT("'WCM Calibration Final'!$E$1:$E$2000"),'Calculations'!$EM377)&amp;"")),"")&amp;" ["&amp;'Calculations'!HF377&amp;"]"))</x:f>
      </x:c>
      <x:c r="HK377" t="str">
        <x:f>IF('Calculations'!EM377="","",'Calculations'!HG377&amp;" ["&amp;'Calculations'!HE377&amp;"]")</x:f>
      </x:c>
      <x:c r="HL377" t="n">
        <x:f>IF('Calculations'!EM377="",0,IF(OR('Calculations'!II377&lt;&gt;"",COUNTIF('Calculations'!$HE$13:$HE$512,"="&amp;SUBSTITUTE(SUBSTITUTE(SUBSTITUTE('Calculations'!HE377,"~","~~"),"*","~*"),"?","~?"))&gt;1),1,0))</x:f>
        <x:v>0</x:v>
      </x:c>
      <x:c r="HM377" t="str">
        <x:f>IF('Calculations'!EM377="","",IF('Calculations'!HL377=1,"!UNRESOLVED",IF('Calculations'!IH377&lt;&gt;"",'Calculations'!IH377,IF('Calculations'!IG377&lt;&gt;"",'Calculations'!IG377,IF('Calculations'!IF377&lt;&gt;"",'Calculations'!IF377,IF('Calculations'!IE377&lt;&gt;"",'Calculations'!IE377,IF('Calculations'!ID377&lt;&gt;"",'Calculations'!ID377,IF('Calculations'!IC377&lt;&gt;"",'Calculations'!IC377,IF('Calculations'!IB377&lt;&gt;"",'Calculations'!IB377,IF('Calculations'!IA377&lt;&gt;"",'Calculations'!IA377,IF('Calculations'!HZ377&lt;&gt;"",'Calculations'!HZ377,IF('Calculations'!HY377&lt;&gt;"",'Calculations'!HY377,IF('Calculations'!HX377&lt;&gt;"",'Calculations'!HX377,IF('Calculations'!HW377&lt;&gt;"",'Calculations'!HW377,IF('Calculations'!HV377&lt;&gt;"",'Calculations'!HV377,IF('Calculations'!HU377&lt;&gt;"",'Calculations'!HU377,IF('Calculations'!HT377&lt;&gt;"",'Calculations'!HT377,IF('Calculations'!HS377&lt;&gt;"",'Calculations'!HS377,IF('Calculations'!HR377&lt;&gt;"",'Calculations'!HR377,IF('Calculations'!HQ377&lt;&gt;"",'Calculations'!HQ377,IF('Calculations'!HP377&lt;&gt;"",'Calculations'!HP377,IF('Calculations'!HO377&lt;&gt;"",'Calculations'!HO377,'Calculations'!HE377))))))))))))))))))))))</x:f>
      </x:c>
      <x:c r="HN377" t="str">
        <x:f>IF('Calculations'!EM377="","",IF(IFERROR(IF(INDEX(INDIRECT("'WCM Calibration Final'!$F$1:$F$2000"),'Calculations'!$EM377)="","",TRIM(INDEX(INDIRECT("'WCM Calibration Final'!$F$1:$F$2000"),'Calculations'!$EM377)&amp;"")),"")="","(Blank)",IFERROR(IF(INDEX(INDIRECT("'WCM Calibration Final'!$F$1:$F$2000"),'Calculations'!$EM377)="","",TRIM(INDEX(INDIRECT("'WCM Calibration Final'!$F$1:$F$2000"),'Calculations'!$EM377)&amp;"")),"")))</x:f>
      </x:c>
      <x:c r="HO377" t="str">
        <x:f>'Calculations'!HF377</x:f>
      </x:c>
      <x:c r="HP377" t="str">
        <x:f>IF('Calculations'!HO377="","",IF('Calculations'!HO377="!AMBIG","!AMBIG",IF(COUNTIF('Calculations'!$HE$13:$HE$512,"="&amp;SUBSTITUTE(SUBSTITUTE(SUBSTITUTE('Calculations'!HO377,"~","~~"),"*","~*"),"?","~?"))&gt;1,"!AMBIG",IFERROR(INDEX('Calculations'!$HF$13:$HF$512,MATCH('Calculations'!HO377,'Calculations'!$HE$13:$HE$512,0)),""))))</x:f>
      </x:c>
      <x:c r="HQ377" t="str">
        <x:f>IF('Calculations'!HP377="","",IF('Calculations'!HP377="!AMBIG","!AMBIG",IF(COUNTIF('Calculations'!$HE$13:$HE$512,"="&amp;SUBSTITUTE(SUBSTITUTE(SUBSTITUTE('Calculations'!HP377,"~","~~"),"*","~*"),"?","~?"))&gt;1,"!AMBIG",IFERROR(INDEX('Calculations'!$HF$13:$HF$512,MATCH('Calculations'!HP377,'Calculations'!$HE$13:$HE$512,0)),""))))</x:f>
      </x:c>
      <x:c r="HR377" t="str">
        <x:f>IF('Calculations'!HQ377="","",IF('Calculations'!HQ377="!AMBIG","!AMBIG",IF(COUNTIF('Calculations'!$HE$13:$HE$512,"="&amp;SUBSTITUTE(SUBSTITUTE(SUBSTITUTE('Calculations'!HQ377,"~","~~"),"*","~*"),"?","~?"))&gt;1,"!AMBIG",IFERROR(INDEX('Calculations'!$HF$13:$HF$512,MATCH('Calculations'!HQ377,'Calculations'!$HE$13:$HE$512,0)),""))))</x:f>
      </x:c>
      <x:c r="HS377" t="str">
        <x:f>IF('Calculations'!HR377="","",IF('Calculations'!HR377="!AMBIG","!AMBIG",IF(COUNTIF('Calculations'!$HE$13:$HE$512,"="&amp;SUBSTITUTE(SUBSTITUTE(SUBSTITUTE('Calculations'!HR377,"~","~~"),"*","~*"),"?","~?"))&gt;1,"!AMBIG",IFERROR(INDEX('Calculations'!$HF$13:$HF$512,MATCH('Calculations'!HR377,'Calculations'!$HE$13:$HE$512,0)),""))))</x:f>
      </x:c>
      <x:c r="HT377" t="str">
        <x:f>IF('Calculations'!HS377="","",IF('Calculations'!HS377="!AMBIG","!AMBIG",IF(COUNTIF('Calculations'!$HE$13:$HE$512,"="&amp;SUBSTITUTE(SUBSTITUTE(SUBSTITUTE('Calculations'!HS377,"~","~~"),"*","~*"),"?","~?"))&gt;1,"!AMBIG",IFERROR(INDEX('Calculations'!$HF$13:$HF$512,MATCH('Calculations'!HS377,'Calculations'!$HE$13:$HE$512,0)),""))))</x:f>
      </x:c>
      <x:c r="HU377" t="str">
        <x:f>IF('Calculations'!HT377="","",IF('Calculations'!HT377="!AMBIG","!AMBIG",IF(COUNTIF('Calculations'!$HE$13:$HE$512,"="&amp;SUBSTITUTE(SUBSTITUTE(SUBSTITUTE('Calculations'!HT377,"~","~~"),"*","~*"),"?","~?"))&gt;1,"!AMBIG",IFERROR(INDEX('Calculations'!$HF$13:$HF$512,MATCH('Calculations'!HT377,'Calculations'!$HE$13:$HE$512,0)),""))))</x:f>
      </x:c>
      <x:c r="HV377" t="str">
        <x:f>IF('Calculations'!HU377="","",IF('Calculations'!HU377="!AMBIG","!AMBIG",IF(COUNTIF('Calculations'!$HE$13:$HE$512,"="&amp;SUBSTITUTE(SUBSTITUTE(SUBSTITUTE('Calculations'!HU377,"~","~~"),"*","~*"),"?","~?"))&gt;1,"!AMBIG",IFERROR(INDEX('Calculations'!$HF$13:$HF$512,MATCH('Calculations'!HU377,'Calculations'!$HE$13:$HE$512,0)),""))))</x:f>
      </x:c>
      <x:c r="HW377" t="str">
        <x:f>IF('Calculations'!HV377="","",IF('Calculations'!HV377="!AMBIG","!AMBIG",IF(COUNTIF('Calculations'!$HE$13:$HE$512,"="&amp;SUBSTITUTE(SUBSTITUTE(SUBSTITUTE('Calculations'!HV377,"~","~~"),"*","~*"),"?","~?"))&gt;1,"!AMBIG",IFERROR(INDEX('Calculations'!$HF$13:$HF$512,MATCH('Calculations'!HV377,'Calculations'!$HE$13:$HE$512,0)),""))))</x:f>
      </x:c>
      <x:c r="HX377" t="str">
        <x:f>IF('Calculations'!HW377="","",IF('Calculations'!HW377="!AMBIG","!AMBIG",IF(COUNTIF('Calculations'!$HE$13:$HE$512,"="&amp;SUBSTITUTE(SUBSTITUTE(SUBSTITUTE('Calculations'!HW377,"~","~~"),"*","~*"),"?","~?"))&gt;1,"!AMBIG",IFERROR(INDEX('Calculations'!$HF$13:$HF$512,MATCH('Calculations'!HW377,'Calculations'!$HE$13:$HE$512,0)),""))))</x:f>
      </x:c>
      <x:c r="HY377" t="str">
        <x:f>IF('Calculations'!HX377="","",IF('Calculations'!HX377="!AMBIG","!AMBIG",IF(COUNTIF('Calculations'!$HE$13:$HE$512,"="&amp;SUBSTITUTE(SUBSTITUTE(SUBSTITUTE('Calculations'!HX377,"~","~~"),"*","~*"),"?","~?"))&gt;1,"!AMBIG",IFERROR(INDEX('Calculations'!$HF$13:$HF$512,MATCH('Calculations'!HX377,'Calculations'!$HE$13:$HE$512,0)),""))))</x:f>
      </x:c>
      <x:c r="HZ377" t="str">
        <x:f>IF('Calculations'!HY377="","",IF('Calculations'!HY377="!AMBIG","!AMBIG",IF(COUNTIF('Calculations'!$HE$13:$HE$512,"="&amp;SUBSTITUTE(SUBSTITUTE(SUBSTITUTE('Calculations'!HY377,"~","~~"),"*","~*"),"?","~?"))&gt;1,"!AMBIG",IFERROR(INDEX('Calculations'!$HF$13:$HF$512,MATCH('Calculations'!HY377,'Calculations'!$HE$13:$HE$512,0)),""))))</x:f>
      </x:c>
      <x:c r="IA377" t="str">
        <x:f>IF('Calculations'!HZ377="","",IF('Calculations'!HZ377="!AMBIG","!AMBIG",IF(COUNTIF('Calculations'!$HE$13:$HE$512,"="&amp;SUBSTITUTE(SUBSTITUTE(SUBSTITUTE('Calculations'!HZ377,"~","~~"),"*","~*"),"?","~?"))&gt;1,"!AMBIG",IFERROR(INDEX('Calculations'!$HF$13:$HF$512,MATCH('Calculations'!HZ377,'Calculations'!$HE$13:$HE$512,0)),""))))</x:f>
      </x:c>
      <x:c r="IB377" t="str">
        <x:f>IF('Calculations'!IA377="","",IF('Calculations'!IA377="!AMBIG","!AMBIG",IF(COUNTIF('Calculations'!$HE$13:$HE$512,"="&amp;SUBSTITUTE(SUBSTITUTE(SUBSTITUTE('Calculations'!IA377,"~","~~"),"*","~*"),"?","~?"))&gt;1,"!AMBIG",IFERROR(INDEX('Calculations'!$HF$13:$HF$512,MATCH('Calculations'!IA377,'Calculations'!$HE$13:$HE$512,0)),""))))</x:f>
      </x:c>
      <x:c r="IC377" t="str">
        <x:f>IF('Calculations'!IB377="","",IF('Calculations'!IB377="!AMBIG","!AMBIG",IF(COUNTIF('Calculations'!$HE$13:$HE$512,"="&amp;SUBSTITUTE(SUBSTITUTE(SUBSTITUTE('Calculations'!IB377,"~","~~"),"*","~*"),"?","~?"))&gt;1,"!AMBIG",IFERROR(INDEX('Calculations'!$HF$13:$HF$512,MATCH('Calculations'!IB377,'Calculations'!$HE$13:$HE$512,0)),""))))</x:f>
      </x:c>
      <x:c r="ID377" t="str">
        <x:f>IF('Calculations'!IC377="","",IF('Calculations'!IC377="!AMBIG","!AMBIG",IF(COUNTIF('Calculations'!$HE$13:$HE$512,"="&amp;SUBSTITUTE(SUBSTITUTE(SUBSTITUTE('Calculations'!IC377,"~","~~"),"*","~*"),"?","~?"))&gt;1,"!AMBIG",IFERROR(INDEX('Calculations'!$HF$13:$HF$512,MATCH('Calculations'!IC377,'Calculations'!$HE$13:$HE$512,0)),""))))</x:f>
      </x:c>
      <x:c r="IE377" t="str">
        <x:f>IF('Calculations'!ID377="","",IF('Calculations'!ID377="!AMBIG","!AMBIG",IF(COUNTIF('Calculations'!$HE$13:$HE$512,"="&amp;SUBSTITUTE(SUBSTITUTE(SUBSTITUTE('Calculations'!ID377,"~","~~"),"*","~*"),"?","~?"))&gt;1,"!AMBIG",IFERROR(INDEX('Calculations'!$HF$13:$HF$512,MATCH('Calculations'!ID377,'Calculations'!$HE$13:$HE$512,0)),""))))</x:f>
      </x:c>
      <x:c r="IF377" t="str">
        <x:f>IF('Calculations'!IE377="","",IF('Calculations'!IE377="!AMBIG","!AMBIG",IF(COUNTIF('Calculations'!$HE$13:$HE$512,"="&amp;SUBSTITUTE(SUBSTITUTE(SUBSTITUTE('Calculations'!IE377,"~","~~"),"*","~*"),"?","~?"))&gt;1,"!AMBIG",IFERROR(INDEX('Calculations'!$HF$13:$HF$512,MATCH('Calculations'!IE377,'Calculations'!$HE$13:$HE$512,0)),""))))</x:f>
      </x:c>
      <x:c r="IG377" t="str">
        <x:f>IF('Calculations'!IF377="","",IF('Calculations'!IF377="!AMBIG","!AMBIG",IF(COUNTIF('Calculations'!$HE$13:$HE$512,"="&amp;SUBSTITUTE(SUBSTITUTE(SUBSTITUTE('Calculations'!IF377,"~","~~"),"*","~*"),"?","~?"))&gt;1,"!AMBIG",IFERROR(INDEX('Calculations'!$HF$13:$HF$512,MATCH('Calculations'!IF377,'Calculations'!$HE$13:$HE$512,0)),""))))</x:f>
      </x:c>
      <x:c r="IH377" t="str">
        <x:f>IF('Calculations'!IG377="","",IF('Calculations'!IG377="!AMBIG","!AMBIG",IF(COUNTIF('Calculations'!$HE$13:$HE$512,"="&amp;SUBSTITUTE(SUBSTITUTE(SUBSTITUTE('Calculations'!IG377,"~","~~"),"*","~*"),"?","~?"))&gt;1,"!AMBIG",IFERROR(INDEX('Calculations'!$HF$13:$HF$512,MATCH('Calculations'!IG377,'Calculations'!$HE$13:$HE$512,0)),""))))</x:f>
      </x:c>
      <x:c r="II377" t="str">
        <x:f>IF('Calculations'!IH377="","",IF('Calculations'!IH377="!AMBIG","!AMBIG",IF(COUNTIF('Calculations'!$HE$13:$HE$512,"="&amp;SUBSTITUTE(SUBSTITUTE(SUBSTITUTE('Calculations'!IH377,"~","~~"),"*","~*"),"?","~?"))&gt;1,"!AMBIG",IFERROR(INDEX('Calculations'!$HF$13:$HF$512,MATCH('Calculations'!IH377,'Calculations'!$HE$13:$HE$512,0)),""))))</x:f>
      </x:c>
      <x:c r="IJ377" t="str">
        <x:f>IF('Calculations'!EM377="","",IF('Calculations'!$EF$2="All",'Calculations'!HM377,IF('Calculations'!HL377=1,"",IFERROR(IF(MATCH('Calculations'!$EF$2,'Calculations'!HO377:II377,0)=1,'Calculations'!HE377,INDEX('Calculations'!HO377:II377,1,MATCH('Calculations'!$EF$2,'Calculations'!HO377:II377,0)-1)),""))))</x:f>
      </x:c>
      <x:c r="IK377" t="n">
        <x:f>IF(AND('Calculations'!EM377&lt;&gt;"",'Calculations'!$EF$2&lt;&gt;"All",'Calculations'!HF377='Calculations'!$EF$2,'Calculations'!HL377=0,'Calculations'!JD377&gt;0),MAX('Calculations'!$IK$12:IK376)+1,0)</x:f>
        <x:v>0</x:v>
      </x:c>
      <x:c r="JA377" t="n">
        <x:f>IF(OR(IFERROR(INDIRECT("'WCM Calibration Final'!$A$377")&lt;&gt;"",FALSE),IFERROR(INDIRECT("'WCM Calibration Final'!$B$377")&lt;&gt;"",FALSE),IFERROR(INDIRECT("'WCM Calibration Final'!$C$377")&lt;&gt;"",FALSE)),377,0)</x:f>
        <x:v>0</x:v>
      </x:c>
      <x:c r="JB377" t="n">
        <x:f>'Calculations'!JB376+IF('Calculations'!JA377&gt;0,1,0)</x:f>
        <x:v>0</x:v>
      </x:c>
      <x:c r="JC377" t="n">
        <x:f>IF(OR('Calculations'!HF377="",'Calculations'!HF377="!AMBIG"),0,IF('Dashboard'!$B$7="All",1,COUNTIFS('Calculations'!$HO$13:$HO$512,"="&amp;SUBSTITUTE(SUBSTITUTE(SUBSTITUTE('Calculations'!HF377,"~","~~"),"*","~*"),"?","~?"),'Calculations'!$HN$13:$HN$512,"="&amp;SUBSTITUTE(SUBSTITUTE(SUBSTITUTE('Dashboard'!$B$7,"~","~~"),"*","~*"),"?","~?"))+COUNTIFS('Calculations'!$HP$13:$HP$512,"="&amp;SUBSTITUTE(SUBSTITUTE(SUBSTITUTE('Calculations'!HF377,"~","~~"),"*","~*"),"?","~?"),'Calculations'!$HN$13:$HN$512,"="&amp;SUBSTITUTE(SUBSTITUTE(SUBSTITUTE('Dashboard'!$B$7,"~","~~"),"*","~*"),"?","~?"))+COUNTIFS('Calculations'!$HQ$13:$HQ$512,"="&amp;SUBSTITUTE(SUBSTITUTE(SUBSTITUTE('Calculations'!HF377,"~","~~"),"*","~*"),"?","~?"),'Calculations'!$HN$13:$HN$512,"="&amp;SUBSTITUTE(SUBSTITUTE(SUBSTITUTE('Dashboard'!$B$7,"~","~~"),"*","~*"),"?","~?"))+COUNTIFS('Calculations'!$HR$13:$HR$512,"="&amp;SUBSTITUTE(SUBSTITUTE(SUBSTITUTE('Calculations'!HF377,"~","~~"),"*","~*"),"?","~?"),'Calculations'!$HN$13:$HN$512,"="&amp;SUBSTITUTE(SUBSTITUTE(SUBSTITUTE('Dashboard'!$B$7,"~","~~"),"*","~*"),"?","~?"))+COUNTIFS('Calculations'!$HS$13:$HS$512,"="&amp;SUBSTITUTE(SUBSTITUTE(SUBSTITUTE('Calculations'!HF377,"~","~~"),"*","~*"),"?","~?"),'Calculations'!$HN$13:$HN$512,"="&amp;SUBSTITUTE(SUBSTITUTE(SUBSTITUTE('Dashboard'!$B$7,"~","~~"),"*","~*"),"?","~?"))+COUNTIFS('Calculations'!$HT$13:$HT$512,"="&amp;SUBSTITUTE(SUBSTITUTE(SUBSTITUTE('Calculations'!HF377,"~","~~"),"*","~*"),"?","~?"),'Calculations'!$HN$13:$HN$512,"="&amp;SUBSTITUTE(SUBSTITUTE(SUBSTITUTE('Dashboard'!$B$7,"~","~~"),"*","~*"),"?","~?"))+COUNTIFS('Calculations'!$HU$13:$HU$512,"="&amp;SUBSTITUTE(SUBSTITUTE(SUBSTITUTE('Calculations'!HF377,"~","~~"),"*","~*"),"?","~?"),'Calculations'!$HN$13:$HN$512,"="&amp;SUBSTITUTE(SUBSTITUTE(SUBSTITUTE('Dashboard'!$B$7,"~","~~"),"*","~*"),"?","~?"))+COUNTIFS('Calculations'!$HV$13:$HV$512,"="&amp;SUBSTITUTE(SUBSTITUTE(SUBSTITUTE('Calculations'!HF377,"~","~~"),"*","~*"),"?","~?"),'Calculations'!$HN$13:$HN$512,"="&amp;SUBSTITUTE(SUBSTITUTE(SUBSTITUTE('Dashboard'!$B$7,"~","~~"),"*","~*"),"?","~?"))+COUNTIFS('Calculations'!$HW$13:$HW$512,"="&amp;SUBSTITUTE(SUBSTITUTE(SUBSTITUTE('Calculations'!HF377,"~","~~"),"*","~*"),"?","~?"),'Calculations'!$HN$13:$HN$512,"="&amp;SUBSTITUTE(SUBSTITUTE(SUBSTITUTE('Dashboard'!$B$7,"~","~~"),"*","~*"),"?","~?"))+COUNTIFS('Calculations'!$HX$13:$HX$512,"="&amp;SUBSTITUTE(SUBSTITUTE(SUBSTITUTE('Calculations'!HF377,"~","~~"),"*","~*"),"?","~?"),'Calculations'!$HN$13:$HN$512,"="&amp;SUBSTITUTE(SUBSTITUTE(SUBSTITUTE('Dashboard'!$B$7,"~","~~"),"*","~*"),"?","~?"))+COUNTIFS('Calculations'!$HY$13:$HY$512,"="&amp;SUBSTITUTE(SUBSTITUTE(SUBSTITUTE('Calculations'!HF377,"~","~~"),"*","~*"),"?","~?"),'Calculations'!$HN$13:$HN$512,"="&amp;SUBSTITUTE(SUBSTITUTE(SUBSTITUTE('Dashboard'!$B$7,"~","~~"),"*","~*"),"?","~?"))+COUNTIFS('Calculations'!$HZ$13:$HZ$512,"="&amp;SUBSTITUTE(SUBSTITUTE(SUBSTITUTE('Calculations'!HF377,"~","~~"),"*","~*"),"?","~?"),'Calculations'!$HN$13:$HN$512,"="&amp;SUBSTITUTE(SUBSTITUTE(SUBSTITUTE('Dashboard'!$B$7,"~","~~"),"*","~*"),"?","~?"))+COUNTIFS('Calculations'!$IA$13:$IA$512,"="&amp;SUBSTITUTE(SUBSTITUTE(SUBSTITUTE('Calculations'!HF377,"~","~~"),"*","~*"),"?","~?"),'Calculations'!$HN$13:$HN$512,"="&amp;SUBSTITUTE(SUBSTITUTE(SUBSTITUTE('Dashboard'!$B$7,"~","~~"),"*","~*"),"?","~?"))+COUNTIFS('Calculations'!$IB$13:$IB$512,"="&amp;SUBSTITUTE(SUBSTITUTE(SUBSTITUTE('Calculations'!HF377,"~","~~"),"*","~*"),"?","~?"),'Calculations'!$HN$13:$HN$512,"="&amp;SUBSTITUTE(SUBSTITUTE(SUBSTITUTE('Dashboard'!$B$7,"~","~~"),"*","~*"),"?","~?"))+COUNTIFS('Calculations'!$IC$13:$IC$512,"="&amp;SUBSTITUTE(SUBSTITUTE(SUBSTITUTE('Calculations'!HF377,"~","~~"),"*","~*"),"?","~?"),'Calculations'!$HN$13:$HN$512,"="&amp;SUBSTITUTE(SUBSTITUTE(SUBSTITUTE('Dashboard'!$B$7,"~","~~"),"*","~*"),"?","~?"))+COUNTIFS('Calculations'!$ID$13:$ID$512,"="&amp;SUBSTITUTE(SUBSTITUTE(SUBSTITUTE('Calculations'!HF377,"~","~~"),"*","~*"),"?","~?"),'Calculations'!$HN$13:$HN$512,"="&amp;SUBSTITUTE(SUBSTITUTE(SUBSTITUTE('Dashboard'!$B$7,"~","~~"),"*","~*"),"?","~?"))+COUNTIFS('Calculations'!$IE$13:$IE$512,"="&amp;SUBSTITUTE(SUBSTITUTE(SUBSTITUTE('Calculations'!HF377,"~","~~"),"*","~*"),"?","~?"),'Calculations'!$HN$13:$HN$512,"="&amp;SUBSTITUTE(SUBSTITUTE(SUBSTITUTE('Dashboard'!$B$7,"~","~~"),"*","~*"),"?","~?"))+COUNTIFS('Calculations'!$IF$13:$IF$512,"="&amp;SUBSTITUTE(SUBSTITUTE(SUBSTITUTE('Calculations'!HF377,"~","~~"),"*","~*"),"?","~?"),'Calculations'!$HN$13:$HN$512,"="&amp;SUBSTITUTE(SUBSTITUTE(SUBSTITUTE('Dashboard'!$B$7,"~","~~"),"*","~*"),"?","~?"))+COUNTIFS('Calculations'!$IG$13:$IG$512,"="&amp;SUBSTITUTE(SUBSTITUTE(SUBSTITUTE('Calculations'!HF377,"~","~~"),"*","~*"),"?","~?"),'Calculations'!$HN$13:$HN$512,"="&amp;SUBSTITUTE(SUBSTITUTE(SUBSTITUTE('Dashboard'!$B$7,"~","~~"),"*","~*"),"?","~?"))+COUNTIFS('Calculations'!$IH$13:$IH$512,"="&amp;SUBSTITUTE(SUBSTITUTE(SUBSTITUTE('Calculations'!HF377,"~","~~"),"*","~*"),"?","~?"),'Calculations'!$HN$13:$HN$512,"="&amp;SUBSTITUTE(SUBSTITUTE(SUBSTITUTE('Dashboard'!$B$7,"~","~~"),"*","~*"),"?","~?"))))</x:f>
        <x:v>0</x:v>
      </x:c>
      <x:c r="JD377" t="n">
        <x:f>IF('Calculations'!EM377="",0,IF('Dashboard'!$B$7="All",1,IF('Calculations'!HN377='Dashboard'!$B$7,1,0)+IFERROR(INDEX('Calculations'!$JC$13:$JC$512,MATCH('Calculations'!HE377,'Calculations'!$HF$13:$HF$512,0)),0)))</x:f>
        <x:v>0</x:v>
      </x:c>
      <x:c r="JE377" t="n">
        <x:f>IF(AND('Calculations'!EM377&lt;&gt;"",'Calculations'!$JJ$2&lt;&gt;"All",'Calculations'!$JJ$2&lt;&gt;"",'Calculations'!HF377='Calculations'!$JJ$2,'Calculations'!HL377=0,'Calculations'!JD377&gt;0),MAX('Calculations'!$JE$12:JE376)+1,0)</x:f>
        <x:v>0</x:v>
      </x:c>
      <x:c r="JF377" t="str">
        <x:f>IF('Calculations'!EM377="","",IFERROR(IF(INDEX(INDIRECT("'WCM Calibration Final'!$G$1:$G$2000"),'Calculations'!$EM377)="","",TRIM(INDEX(INDIRECT("'WCM Calibration Final'!$G$1:$G$2000"),'Calculations'!$EM377)&amp;"")),""))</x:f>
      </x:c>
      <x:c r="JQ377" t="n">
        <x:f>IF(OR('Calculations'!BM377=0,NOT('Calculations'!$AG$2),'Calculations'!$AG$8&gt;0),0,IF(OR('Dashboard'!$B$7="All",'Calculations'!HN377='Dashboard'!$B$7),IF('Calculations'!$JJ$2="All",1,IF(AND('Calculations'!HF377='Calculations'!$JJ$2,'Calculations'!HL377=0),1,0)),0))</x:f>
        <x:v>0</x:v>
      </x:c>
    </x:row>
    <x:row r="378">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t="n">
        <x:f>IF('Calculations'!$EM378="",0,IF(OR(IFERROR(INDEX(INDIRECT("'WCM Calibration Final'!$A$1:$A$2000"),'Calculations'!$EM378)&lt;&gt;"",FALSE),IFERROR(INDEX(INDIRECT("'WCM Calibration Final'!$B$1:$B$2000"),'Calculations'!$EM378)&lt;&gt;"",FALSE),IFERROR(INDEX(INDIRECT("'WCM Calibration Final'!$C$1:$C$2000"),'Calculations'!$EM378)&lt;&gt;"",FALSE)),1,0))</x:f>
        <x:v>0</x:v>
      </x:c>
      <x:c r="BN378" s="4" t="n">
        <x:f>IF(AND('Calculations'!BM378=1,'Calculations'!$AG$2,'Calculations'!$EN378=1),1,0)</x:f>
        <x:v>0</x:v>
      </x:c>
      <x:c r="BO378" s="4" t="str">
        <x:f>IF('Calculations'!BM378=0,"",IFERROR(IF(AND(VALUE(INDEX(INDIRECT("'WCM Calibration Final'!$K$1:$K$2000"),'Calculations'!$EM378))&gt;=1,VALUE(INDEX(INDIRECT("'WCM Calibration Final'!$K$1:$K$2000"),'Calculations'!$EM378))&lt;=4,MOD(VALUE(INDEX(INDIRECT("'WCM Calibration Final'!$K$1:$K$2000"),'Calculations'!$EM378)),1)=0),VALUE(INDEX(INDIRECT("'WCM Calibration Final'!$K$1:$K$2000"),'Calculations'!$EM378)),""),""))</x:f>
      </x:c>
      <x:c r="BP378" s="4" t="str">
        <x:f>IF('Calculations'!BM378=0,"",IFERROR(IF(AND(VALUE(INDEX(INDIRECT("'WCM Calibration Final'!$L$1:$L$2000"),'Calculations'!$EM378))&gt;=1,VALUE(INDEX(INDIRECT("'WCM Calibration Final'!$L$1:$L$2000"),'Calculations'!$EM378))&lt;=4,MOD(VALUE(INDEX(INDIRECT("'WCM Calibration Final'!$L$1:$L$2000"),'Calculations'!$EM378)),1)=0),VALUE(INDEX(INDIRECT("'WCM Calibration Final'!$L$1:$L$2000"),'Calculations'!$EM378)),""),""))</x:f>
      </x:c>
      <x:c r="BQ378" s="4"/>
      <x:c r="BR378" s="4"/>
      <x:c r="BS378" s="4"/>
      <x:c r="BT378" s="4" t="n">
        <x:f>IF(AND('Calculations'!BM378=1,ISNUMBER('Calculations'!BO378),ISNUMBER('Calculations'!BP378)),1,0)</x:f>
        <x:v>0</x:v>
      </x:c>
      <x:c r="BU378" s="4" t="str">
        <x:f>IF('Calculations'!BM378=0,"",'Calculations'!$EO378)</x:f>
      </x:c>
      <x:c r="BV378" s="4" t="str">
        <x:f>IF('Calculations'!BM378=0,"",IFERROR(IF(OR(INDEX(INDIRECT("'WCM Calibration Final'!$H$1:$H$2000"),'Calculations'!$EM378)="MANAGING DIRECTOR",INDEX(INDIRECT("'WCM Calibration Final'!$H$1:$H$2000"),'Calculations'!$EM378)="DIRECTOR",INDEX(INDIRECT("'WCM Calibration Final'!$H$1:$H$2000"),'Calculations'!$EM378)="SENIOR VICE PRESIDENT",INDEX(INDIRECT("'WCM Calibration Final'!$H$1:$H$2000"),'Calculations'!$EM378)="VICE PRESIDENT",INDEX(INDIRECT("'WCM Calibration Final'!$H$1:$H$2000"),'Calculations'!$EM378)="ASSISTANT VICE PRESIDENT",INDEX(INDIRECT("'WCM Calibration Final'!$H$1:$H$2000"),'Calculations'!$EM378)="OFFICER"),UPPER(INDEX(INDIRECT("'WCM Calibration Final'!$H$1:$H$2000"),'Calculations'!$EM378)),"Other"),"Other"))</x:f>
      </x:c>
      <x:c r="BW378" s="4"/>
      <x:c r="BX378" s="4"/>
      <x:c r="BY378" s="4" t="n">
        <x:f>IF(AND('Calculations'!BM378=1,'Calculations'!BU378&lt;&gt;"",COUNTIF('Calculations'!$BU$12:BU378,'Calculations'!BU378)=1),MAX('Calculations'!$BY$11:BY377)+1,0)</x:f>
        <x:v>0</x:v>
      </x:c>
      <x:c r="BZ378" s="4" t="str">
        <x:f>IF('Dashboard'!$E$67="What",'Calculations'!BO378,'Calculations'!BP378)</x:f>
      </x:c>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t="str">
        <x:f>IF(367&gt;MAX('Calculations'!$HI$13:$HI$512),"",INDEX('Calculations'!$HN$13:$HN$512,MATCH(367,'Calculations'!$HI$13:$HI$512,0)))</x:f>
      </x:c>
      <x:c r="DB378" s="4" t="str">
        <x:f>IF(367&gt;MAX('Calculations'!$HH$13:$HH$512),"",INDEX('Calculations'!$HJ$13:$HJ$512,MATCH(367,'Calculations'!$HH$13:$HH$512,0)))</x:f>
      </x:c>
      <x:c r="DC378" s="4" t="str">
        <x:f>IF(ROW()-11&gt;MAX('Calculations'!$BY$13:$BY$512),"",INDEX('Calculations'!$BU$13:$BU$512,MATCH(ROW()-11,'Calculations'!$BY$13:$BY$512,0)))</x:f>
      </x:c>
      <x:c r="DD378" s="4" t="str">
        <x:f>IF(367&gt;MAX('Calculations'!$IK$13:$IK$512),"",INDEX('Calculations'!$HK$13:$HK$512,MATCH(367,'Calculations'!$IK$13:$IK$512,0)))</x:f>
      </x:c>
      <x:c r="DE378" s="4" t="str">
        <x:f>'Calculations'!DC378</x:f>
      </x:c>
      <x:c r="DF378" s="4" t="str">
        <x:f>IF('Calculations'!DE378="","",COUNTIFS('Calculations'!$BN$13:$BN$512,1,'Calculations'!$BU$13:$BU$512,'Calculations'!DE378))</x:f>
      </x:c>
      <x:c r="DG378" s="4" t="str">
        <x:f>IF('Calculations'!DE378="","",COUNTIFS('Calculations'!$BN$13:$BN$512,1,'Calculations'!$BU$13:$BU$512,'Calculations'!DE378,'Calculations'!$BT$13:$BT$512,1))</x:f>
      </x:c>
      <x:c r="DH378" s="4" t="str">
        <x:f>IF('Calculations'!DE378="","",'Calculations'!DF378-'Calculations'!DG378)</x:f>
      </x:c>
      <x:c r="DI378" s="4" t="str">
        <x:f>IF(OR('Calculations'!DE378="",'Calculations'!DF378=0),"",'Calculations'!DG378/'Calculations'!DF378)</x:f>
      </x:c>
      <x:c r="DJ378" s="4" t="str">
        <x:f>IF('Calculations'!DE378="","",COUNTIFS('Calculations'!$BN$13:$BN$512,1,'Calculations'!$BU$13:$BU$512,'Calculations'!DE378,'Calculations'!$BT$13:$BT$512,1,'Calculations'!$EE$13:$EE$512,"High"))</x:f>
      </x:c>
      <x:c r="DK378" s="4" t="str">
        <x:f>IF('Calculations'!DE378="","",COUNTIFS('Calculations'!$BN$13:$BN$512,1,'Calculations'!$BU$13:$BU$512,'Calculations'!DE378,'Calculations'!$BT$13:$BT$512,1,'Calculations'!$EE$13:$EE$512,"Strong"))</x:f>
      </x:c>
      <x:c r="DL378" s="4" t="str">
        <x:f>IF('Calculations'!DE378="","",COUNTIFS('Calculations'!$BN$13:$BN$512,1,'Calculations'!$BU$13:$BU$512,'Calculations'!DE378,'Calculations'!$BT$13:$BT$512,1,'Calculations'!$EE$13:$EE$512,"Solid"))</x:f>
      </x:c>
      <x:c r="DM378" s="4" t="str">
        <x:f>IF('Calculations'!DE378="","",COUNTIFS('Calculations'!$BN$13:$BN$512,1,'Calculations'!$BU$13:$BU$512,'Calculations'!DE378,'Calculations'!$BT$13:$BT$512,1,'Calculations'!$EE$13:$EE$512,"Low"))</x:f>
      </x:c>
      <x:c r="DN378" s="4" t="str">
        <x:f>IF('Calculations'!DE378="","",COUNTIFS('Calculations'!$BN$13:$BN$512,1,'Calculations'!$BU$13:$BU$512,'Calculations'!DE378,'Calculations'!$EP$13:$EP$512,1))</x:f>
      </x:c>
      <x:c r="DO378" s="4" t="str">
        <x:f>IF(OR('Calculations'!DE378="",'Calculations'!DG378=0),"",('Calculations'!DJ378+'Calculations'!DK378)/'Calculations'!DG378)</x:f>
      </x:c>
      <x:c r="DP378" s="4" t="n">
        <x:f>IF(AND('Calculations'!DE378&lt;&gt;"",'Calculations'!DF378&gt;0),COUNTIF('Calculations'!$DF$12:DF378,"&gt;0"),0)</x:f>
        <x:v>0</x:v>
      </x:c>
      <x:c r="DQ378" s="4" t="str">
        <x:f>IF(367&gt;MAX('Calculations'!$HH$13:$HH$512),"",INDEX('Calculations'!$HF$13:$HF$512,MATCH(367,'Calculations'!$HH$13:$HH$512,0)))</x:f>
      </x:c>
      <x:c r="DR378" s="4" t="str">
        <x:f>IF(367&gt;MAX('Calculations'!$IK$13:$IK$512),"",INDEX('Calculations'!$HE$13:$HE$512,MATCH(367,'Calculations'!$IK$13:$IK$512,0)))</x:f>
      </x:c>
      <x:c r="DS378" s="4"/>
      <x:c r="DT378" s="4"/>
      <x:c r="DU378" s="4"/>
      <x:c r="DV378" s="4"/>
      <x:c r="DW378" s="4"/>
      <x:c r="DX378" s="4"/>
      <x:c r="DY378" s="4"/>
      <x:c r="DZ378" s="4"/>
      <x:c r="EA378" s="4"/>
      <x:c r="EB378" s="4"/>
      <x:c r="EC378" s="4"/>
      <x:c r="ED378" s="4"/>
      <x:c r="EE378" s="4" t="str">
        <x:f>IF('Calculations'!BT378=0,"Not Rated",IF(OR('Calculations'!BO378&gt;=4,'Calculations'!BP378&gt;=4),"Low",IF('Calculations'!BO378+'Calculations'!BP378&lt;=3,"High",IF('Calculations'!BO378+'Calculations'!BP378&lt;=4,"Strong","Solid"))))</x:f>
        <x:v>Not Rated</x:v>
      </x:c>
      <x:c r="EF378" s="4"/>
      <x:c r="EG378" s="4"/>
      <x:c r="EH378" s="4"/>
      <x:c r="EI378" s="4"/>
      <x:c r="EJ378" s="4"/>
      <x:c r="EK378" s="4"/>
      <x:c r="EL378" s="4"/>
      <x:c r="EM378" s="4" t="str">
        <x:f>IF(366&gt;'Calculations'!$JB$2000,"",INDEX('Calculations'!$JA$12:$JA$2000,MATCH(366,'Calculations'!$JB$12:$JB$2000,0)))</x:f>
      </x:c>
      <x:c r="EN378" s="4" t="n">
        <x:f>IF(OR('Calculations'!EM378="",'Calculations'!$AG$8&gt;0,AND('Calculations'!$EF$2&lt;&gt;"All",'Calculations'!HE378='Calculations'!$EF$2),AND('Calculations'!$EF$3&lt;&gt;"All",'Calculations'!HE378='Calculations'!$EF$3)),0,IF(OR('Dashboard'!$B$7="All",'Calculations'!HN378='Dashboard'!$B$7),IF('Calculations'!$EF$2="All",1,IF('Calculations'!HL378&gt;0,0,IF(COUNTIF('Calculations'!HO378:II378,"="&amp;SUBSTITUTE(SUBSTITUTE(SUBSTITUTE('Calculations'!$EF$2,"~","~~"),"*","~*"),"?","~?"))=0,0,IF('Calculations'!$EF$3="All",1,IF(COUNTIF('Calculations'!HO378:II378,"="&amp;SUBSTITUTE(SUBSTITUTE(SUBSTITUTE('Calculations'!$EF$3,"~","~~"),"*","~*"),"?","~?"))&gt;0,1,0))))),0))</x:f>
        <x:v>0</x:v>
      </x:c>
      <x:c r="EO378" s="4" t="str">
        <x:f>IF('Calculations'!IJ378="","",IF('Calculations'!IJ378="!UNRESOLVED","Unresolved hierarchy",IFERROR(INDEX('Calculations'!$HK$13:$HK$512,MATCH('Calculations'!IJ378,'Calculations'!$HE$13:$HE$512,0)),IFERROR(INDEX('Calculations'!$HJ$13:$HJ$512,MATCH('Calculations'!IJ378,'Calculations'!$HF$13:$HF$512,0)),'Calculations'!IJ378))))</x:f>
      </x:c>
      <x:c r="EP378" s="4" t="n">
        <x:f>IF(AND('Calculations'!EM378&lt;&gt;"",'Calculations'!HF378='Calculations'!IJ378),1,0)</x:f>
        <x:v>0</x:v>
      </x:c>
      <x:c r="EQ378" s="4"/>
      <x:c r="ER378" s="4"/>
      <x:c r="ES378" s="4"/>
      <x:c r="ET378" s="4"/>
      <x:c r="EU378" s="4"/>
      <x:c r="EV378" s="4"/>
      <x:c r="EW378" s="4"/>
      <x:c r="EX378" s="4"/>
      <x:c r="EY378" s="4"/>
      <x:c r="EZ378" s="4"/>
      <x:c r="FA378" s="4"/>
      <x:c r="FB378" s="4"/>
      <x:c r="FC378" s="4"/>
      <x:c r="FD378" s="4"/>
      <x:c r="FE378" s="4"/>
      <x:c r="FF378" s="4"/>
      <x:c r="FG378" s="4"/>
      <x:c r="FH378" s="4"/>
      <x:c r="FI378" s="4"/>
      <x:c r="FJ378" s="4"/>
      <x:c r="FK378" s="4"/>
      <x:c r="FL378" s="4"/>
      <x:c r="FM378" s="4"/>
      <x:c r="FN378" s="4"/>
      <x:c r="FO378" s="4"/>
      <x:c r="HE378" t="str">
        <x:f>IF('Calculations'!EM378="","",IF(IFERROR(IF(INDEX(INDIRECT("'WCM Calibration Final'!$A$1:$A$2000"),'Calculations'!$EM378)="","",TRIM(INDEX(INDIRECT("'WCM Calibration Final'!$A$1:$A$2000"),'Calculations'!$EM378)&amp;"")),"")&lt;&gt;"","G:"&amp;IFERROR(TEXT(1*INDEX(INDIRECT("'WCM Calibration Final'!$A$1:$A$2000"),'Calculations'!$EM378),"0"),UPPER(IFERROR(IF(INDEX(INDIRECT("'WCM Calibration Final'!$A$1:$A$2000"),'Calculations'!$EM378)="","",TRIM(INDEX(INDIRECT("'WCM Calibration Final'!$A$1:$A$2000"),'Calculations'!$EM378)&amp;"")),""))),IF(IFERROR(IF(INDEX(INDIRECT("'WCM Calibration Final'!$C$1:$C$2000"),'Calculations'!$EM378)="","",TRIM(INDEX(INDIRECT("'WCM Calibration Final'!$C$1:$C$2000"),'Calculations'!$EM378)&amp;"")),"")&lt;&gt;"","S:"&amp;UPPER(IFERROR(IF(INDEX(INDIRECT("'WCM Calibration Final'!$C$1:$C$2000"),'Calculations'!$EM378)="","",TRIM(INDEX(INDIRECT("'WCM Calibration Final'!$C$1:$C$2000"),'Calculations'!$EM378)&amp;"")),"")),"R:"&amp;'Calculations'!EM378)))</x:f>
      </x:c>
      <x:c r="HF378" t="str">
        <x:f>IF('Calculations'!EM378="","",IF(IFERROR(IF(INDEX(INDIRECT("'WCM Calibration Final'!$D$1:$D$2000"),'Calculations'!$EM378)="","",TRIM(INDEX(INDIRECT("'WCM Calibration Final'!$D$1:$D$2000"),'Calculations'!$EM378)&amp;"")),"")&lt;&gt;"","G:"&amp;IFERROR(TEXT(1*INDEX(INDIRECT("'WCM Calibration Final'!$D$1:$D$2000"),'Calculations'!$EM378),"0"),UPPER(IFERROR(IF(INDEX(INDIRECT("'WCM Calibration Final'!$D$1:$D$2000"),'Calculations'!$EM378)="","",TRIM(INDEX(INDIRECT("'WCM Calibration Final'!$D$1:$D$2000"),'Calculations'!$EM378)&amp;"")),""))),IF(IFERROR(IF(INDEX(INDIRECT("'WCM Calibration Final'!$E$1:$E$2000"),'Calculations'!$EM378)="","",TRIM(INDEX(INDIRECT("'WCM Calibration Final'!$E$1:$E$2000"),'Calculations'!$EM378)&amp;"")),"")="","",IF(COUNTIF('Calculations'!$HG$13:$HG$512,"="&amp;SUBSTITUTE(SUBSTITUTE(SUBSTITUTE(IFERROR(IF(INDEX(INDIRECT("'WCM Calibration Final'!$E$1:$E$2000"),'Calculations'!$EM378)="","",TRIM(INDEX(INDIRECT("'WCM Calibration Final'!$E$1:$E$2000"),'Calculations'!$EM378)&amp;"")),""),"~","~~"),"*","~*"),"?","~?"))=1,INDEX('Calculations'!$HE$13:$HE$512,MATCH(IFERROR(IF(INDEX(INDIRECT("'WCM Calibration Final'!$E$1:$E$2000"),'Calculations'!$EM378)="","",TRIM(INDEX(INDIRECT("'WCM Calibration Final'!$E$1:$E$2000"),'Calculations'!$EM378)&amp;"")),""),'Calculations'!$HG$13:$HG$512,0)),IF(COUNTIF('Calculations'!$HG$13:$HG$512,"="&amp;SUBSTITUTE(SUBSTITUTE(SUBSTITUTE(IFERROR(IF(INDEX(INDIRECT("'WCM Calibration Final'!$E$1:$E$2000"),'Calculations'!$EM378)="","",TRIM(INDEX(INDIRECT("'WCM Calibration Final'!$E$1:$E$2000"),'Calculations'!$EM378)&amp;"")),""),"~","~~"),"*","~*"),"?","~?"))&gt;1,"!AMBIG","X:"&amp;IFERROR(IF(INDEX(INDIRECT("'WCM Calibration Final'!$E$1:$E$2000"),'Calculations'!$EM378)="","",TRIM(INDEX(INDIRECT("'WCM Calibration Final'!$E$1:$E$2000"),'Calculations'!$EM378)&amp;"")),""))))))</x:f>
      </x:c>
      <x:c r="HG378" t="str">
        <x:f>IF('Calculations'!EM378="","",IFERROR(IF(INDEX(INDIRECT("'WCM Calibration Final'!$B$1:$B$2000"),'Calculations'!$EM378)="","",TRIM(INDEX(INDIRECT("'WCM Calibration Final'!$B$1:$B$2000"),'Calculations'!$EM378)&amp;"")),""))</x:f>
      </x:c>
      <x:c r="HH378" t="n">
        <x:f>IF(AND('Calculations'!JC378&gt;0,COUNTIF('Calculations'!$HF$12:HF378,"="&amp;SUBSTITUTE(SUBSTITUTE(SUBSTITUTE('Calculations'!HF378,"~","~~"),"*","~*"),"?","~?"))=1),MAX('Calculations'!$HH$12:HH377)+1,0)</x:f>
        <x:v>0</x:v>
      </x:c>
      <x:c r="HI378" t="n">
        <x:f>IF(AND('Calculations'!HN378&lt;&gt;"",COUNTIF('Calculations'!$HN$12:HN378,"="&amp;SUBSTITUTE(SUBSTITUTE(SUBSTITUTE('Calculations'!HN378,"~","~~"),"*","~*"),"?","~?"))=1),MAX('Calculations'!$HI$12:HI377)+1,0)</x:f>
        <x:v>0</x:v>
      </x:c>
      <x:c r="HJ378" t="str">
        <x:f>IF('Calculations'!HF378="","",IF(COUNTIF('Calculations'!$HE$13:$HE$512,"="&amp;SUBSTITUTE(SUBSTITUTE(SUBSTITUTE('Calculations'!HF378,"~","~~"),"*","~*"),"?","~?"))=1,INDEX('Calculations'!$HK$13:$HK$512,MATCH('Calculations'!HF378,'Calculations'!$HE$13:$HE$512,0)),IFERROR(IF(INDEX(INDIRECT("'WCM Calibration Final'!$E$1:$E$2000"),'Calculations'!$EM378)="","",TRIM(INDEX(INDIRECT("'WCM Calibration Final'!$E$1:$E$2000"),'Calculations'!$EM378)&amp;"")),"")&amp;" ["&amp;'Calculations'!HF378&amp;"]"))</x:f>
      </x:c>
      <x:c r="HK378" t="str">
        <x:f>IF('Calculations'!EM378="","",'Calculations'!HG378&amp;" ["&amp;'Calculations'!HE378&amp;"]")</x:f>
      </x:c>
      <x:c r="HL378" t="n">
        <x:f>IF('Calculations'!EM378="",0,IF(OR('Calculations'!II378&lt;&gt;"",COUNTIF('Calculations'!$HE$13:$HE$512,"="&amp;SUBSTITUTE(SUBSTITUTE(SUBSTITUTE('Calculations'!HE378,"~","~~"),"*","~*"),"?","~?"))&gt;1),1,0))</x:f>
        <x:v>0</x:v>
      </x:c>
      <x:c r="HM378" t="str">
        <x:f>IF('Calculations'!EM378="","",IF('Calculations'!HL378=1,"!UNRESOLVED",IF('Calculations'!IH378&lt;&gt;"",'Calculations'!IH378,IF('Calculations'!IG378&lt;&gt;"",'Calculations'!IG378,IF('Calculations'!IF378&lt;&gt;"",'Calculations'!IF378,IF('Calculations'!IE378&lt;&gt;"",'Calculations'!IE378,IF('Calculations'!ID378&lt;&gt;"",'Calculations'!ID378,IF('Calculations'!IC378&lt;&gt;"",'Calculations'!IC378,IF('Calculations'!IB378&lt;&gt;"",'Calculations'!IB378,IF('Calculations'!IA378&lt;&gt;"",'Calculations'!IA378,IF('Calculations'!HZ378&lt;&gt;"",'Calculations'!HZ378,IF('Calculations'!HY378&lt;&gt;"",'Calculations'!HY378,IF('Calculations'!HX378&lt;&gt;"",'Calculations'!HX378,IF('Calculations'!HW378&lt;&gt;"",'Calculations'!HW378,IF('Calculations'!HV378&lt;&gt;"",'Calculations'!HV378,IF('Calculations'!HU378&lt;&gt;"",'Calculations'!HU378,IF('Calculations'!HT378&lt;&gt;"",'Calculations'!HT378,IF('Calculations'!HS378&lt;&gt;"",'Calculations'!HS378,IF('Calculations'!HR378&lt;&gt;"",'Calculations'!HR378,IF('Calculations'!HQ378&lt;&gt;"",'Calculations'!HQ378,IF('Calculations'!HP378&lt;&gt;"",'Calculations'!HP378,IF('Calculations'!HO378&lt;&gt;"",'Calculations'!HO378,'Calculations'!HE378))))))))))))))))))))))</x:f>
      </x:c>
      <x:c r="HN378" t="str">
        <x:f>IF('Calculations'!EM378="","",IF(IFERROR(IF(INDEX(INDIRECT("'WCM Calibration Final'!$F$1:$F$2000"),'Calculations'!$EM378)="","",TRIM(INDEX(INDIRECT("'WCM Calibration Final'!$F$1:$F$2000"),'Calculations'!$EM378)&amp;"")),"")="","(Blank)",IFERROR(IF(INDEX(INDIRECT("'WCM Calibration Final'!$F$1:$F$2000"),'Calculations'!$EM378)="","",TRIM(INDEX(INDIRECT("'WCM Calibration Final'!$F$1:$F$2000"),'Calculations'!$EM378)&amp;"")),"")))</x:f>
      </x:c>
      <x:c r="HO378" t="str">
        <x:f>'Calculations'!HF378</x:f>
      </x:c>
      <x:c r="HP378" t="str">
        <x:f>IF('Calculations'!HO378="","",IF('Calculations'!HO378="!AMBIG","!AMBIG",IF(COUNTIF('Calculations'!$HE$13:$HE$512,"="&amp;SUBSTITUTE(SUBSTITUTE(SUBSTITUTE('Calculations'!HO378,"~","~~"),"*","~*"),"?","~?"))&gt;1,"!AMBIG",IFERROR(INDEX('Calculations'!$HF$13:$HF$512,MATCH('Calculations'!HO378,'Calculations'!$HE$13:$HE$512,0)),""))))</x:f>
      </x:c>
      <x:c r="HQ378" t="str">
        <x:f>IF('Calculations'!HP378="","",IF('Calculations'!HP378="!AMBIG","!AMBIG",IF(COUNTIF('Calculations'!$HE$13:$HE$512,"="&amp;SUBSTITUTE(SUBSTITUTE(SUBSTITUTE('Calculations'!HP378,"~","~~"),"*","~*"),"?","~?"))&gt;1,"!AMBIG",IFERROR(INDEX('Calculations'!$HF$13:$HF$512,MATCH('Calculations'!HP378,'Calculations'!$HE$13:$HE$512,0)),""))))</x:f>
      </x:c>
      <x:c r="HR378" t="str">
        <x:f>IF('Calculations'!HQ378="","",IF('Calculations'!HQ378="!AMBIG","!AMBIG",IF(COUNTIF('Calculations'!$HE$13:$HE$512,"="&amp;SUBSTITUTE(SUBSTITUTE(SUBSTITUTE('Calculations'!HQ378,"~","~~"),"*","~*"),"?","~?"))&gt;1,"!AMBIG",IFERROR(INDEX('Calculations'!$HF$13:$HF$512,MATCH('Calculations'!HQ378,'Calculations'!$HE$13:$HE$512,0)),""))))</x:f>
      </x:c>
      <x:c r="HS378" t="str">
        <x:f>IF('Calculations'!HR378="","",IF('Calculations'!HR378="!AMBIG","!AMBIG",IF(COUNTIF('Calculations'!$HE$13:$HE$512,"="&amp;SUBSTITUTE(SUBSTITUTE(SUBSTITUTE('Calculations'!HR378,"~","~~"),"*","~*"),"?","~?"))&gt;1,"!AMBIG",IFERROR(INDEX('Calculations'!$HF$13:$HF$512,MATCH('Calculations'!HR378,'Calculations'!$HE$13:$HE$512,0)),""))))</x:f>
      </x:c>
      <x:c r="HT378" t="str">
        <x:f>IF('Calculations'!HS378="","",IF('Calculations'!HS378="!AMBIG","!AMBIG",IF(COUNTIF('Calculations'!$HE$13:$HE$512,"="&amp;SUBSTITUTE(SUBSTITUTE(SUBSTITUTE('Calculations'!HS378,"~","~~"),"*","~*"),"?","~?"))&gt;1,"!AMBIG",IFERROR(INDEX('Calculations'!$HF$13:$HF$512,MATCH('Calculations'!HS378,'Calculations'!$HE$13:$HE$512,0)),""))))</x:f>
      </x:c>
      <x:c r="HU378" t="str">
        <x:f>IF('Calculations'!HT378="","",IF('Calculations'!HT378="!AMBIG","!AMBIG",IF(COUNTIF('Calculations'!$HE$13:$HE$512,"="&amp;SUBSTITUTE(SUBSTITUTE(SUBSTITUTE('Calculations'!HT378,"~","~~"),"*","~*"),"?","~?"))&gt;1,"!AMBIG",IFERROR(INDEX('Calculations'!$HF$13:$HF$512,MATCH('Calculations'!HT378,'Calculations'!$HE$13:$HE$512,0)),""))))</x:f>
      </x:c>
      <x:c r="HV378" t="str">
        <x:f>IF('Calculations'!HU378="","",IF('Calculations'!HU378="!AMBIG","!AMBIG",IF(COUNTIF('Calculations'!$HE$13:$HE$512,"="&amp;SUBSTITUTE(SUBSTITUTE(SUBSTITUTE('Calculations'!HU378,"~","~~"),"*","~*"),"?","~?"))&gt;1,"!AMBIG",IFERROR(INDEX('Calculations'!$HF$13:$HF$512,MATCH('Calculations'!HU378,'Calculations'!$HE$13:$HE$512,0)),""))))</x:f>
      </x:c>
      <x:c r="HW378" t="str">
        <x:f>IF('Calculations'!HV378="","",IF('Calculations'!HV378="!AMBIG","!AMBIG",IF(COUNTIF('Calculations'!$HE$13:$HE$512,"="&amp;SUBSTITUTE(SUBSTITUTE(SUBSTITUTE('Calculations'!HV378,"~","~~"),"*","~*"),"?","~?"))&gt;1,"!AMBIG",IFERROR(INDEX('Calculations'!$HF$13:$HF$512,MATCH('Calculations'!HV378,'Calculations'!$HE$13:$HE$512,0)),""))))</x:f>
      </x:c>
      <x:c r="HX378" t="str">
        <x:f>IF('Calculations'!HW378="","",IF('Calculations'!HW378="!AMBIG","!AMBIG",IF(COUNTIF('Calculations'!$HE$13:$HE$512,"="&amp;SUBSTITUTE(SUBSTITUTE(SUBSTITUTE('Calculations'!HW378,"~","~~"),"*","~*"),"?","~?"))&gt;1,"!AMBIG",IFERROR(INDEX('Calculations'!$HF$13:$HF$512,MATCH('Calculations'!HW378,'Calculations'!$HE$13:$HE$512,0)),""))))</x:f>
      </x:c>
      <x:c r="HY378" t="str">
        <x:f>IF('Calculations'!HX378="","",IF('Calculations'!HX378="!AMBIG","!AMBIG",IF(COUNTIF('Calculations'!$HE$13:$HE$512,"="&amp;SUBSTITUTE(SUBSTITUTE(SUBSTITUTE('Calculations'!HX378,"~","~~"),"*","~*"),"?","~?"))&gt;1,"!AMBIG",IFERROR(INDEX('Calculations'!$HF$13:$HF$512,MATCH('Calculations'!HX378,'Calculations'!$HE$13:$HE$512,0)),""))))</x:f>
      </x:c>
      <x:c r="HZ378" t="str">
        <x:f>IF('Calculations'!HY378="","",IF('Calculations'!HY378="!AMBIG","!AMBIG",IF(COUNTIF('Calculations'!$HE$13:$HE$512,"="&amp;SUBSTITUTE(SUBSTITUTE(SUBSTITUTE('Calculations'!HY378,"~","~~"),"*","~*"),"?","~?"))&gt;1,"!AMBIG",IFERROR(INDEX('Calculations'!$HF$13:$HF$512,MATCH('Calculations'!HY378,'Calculations'!$HE$13:$HE$512,0)),""))))</x:f>
      </x:c>
      <x:c r="IA378" t="str">
        <x:f>IF('Calculations'!HZ378="","",IF('Calculations'!HZ378="!AMBIG","!AMBIG",IF(COUNTIF('Calculations'!$HE$13:$HE$512,"="&amp;SUBSTITUTE(SUBSTITUTE(SUBSTITUTE('Calculations'!HZ378,"~","~~"),"*","~*"),"?","~?"))&gt;1,"!AMBIG",IFERROR(INDEX('Calculations'!$HF$13:$HF$512,MATCH('Calculations'!HZ378,'Calculations'!$HE$13:$HE$512,0)),""))))</x:f>
      </x:c>
      <x:c r="IB378" t="str">
        <x:f>IF('Calculations'!IA378="","",IF('Calculations'!IA378="!AMBIG","!AMBIG",IF(COUNTIF('Calculations'!$HE$13:$HE$512,"="&amp;SUBSTITUTE(SUBSTITUTE(SUBSTITUTE('Calculations'!IA378,"~","~~"),"*","~*"),"?","~?"))&gt;1,"!AMBIG",IFERROR(INDEX('Calculations'!$HF$13:$HF$512,MATCH('Calculations'!IA378,'Calculations'!$HE$13:$HE$512,0)),""))))</x:f>
      </x:c>
      <x:c r="IC378" t="str">
        <x:f>IF('Calculations'!IB378="","",IF('Calculations'!IB378="!AMBIG","!AMBIG",IF(COUNTIF('Calculations'!$HE$13:$HE$512,"="&amp;SUBSTITUTE(SUBSTITUTE(SUBSTITUTE('Calculations'!IB378,"~","~~"),"*","~*"),"?","~?"))&gt;1,"!AMBIG",IFERROR(INDEX('Calculations'!$HF$13:$HF$512,MATCH('Calculations'!IB378,'Calculations'!$HE$13:$HE$512,0)),""))))</x:f>
      </x:c>
      <x:c r="ID378" t="str">
        <x:f>IF('Calculations'!IC378="","",IF('Calculations'!IC378="!AMBIG","!AMBIG",IF(COUNTIF('Calculations'!$HE$13:$HE$512,"="&amp;SUBSTITUTE(SUBSTITUTE(SUBSTITUTE('Calculations'!IC378,"~","~~"),"*","~*"),"?","~?"))&gt;1,"!AMBIG",IFERROR(INDEX('Calculations'!$HF$13:$HF$512,MATCH('Calculations'!IC378,'Calculations'!$HE$13:$HE$512,0)),""))))</x:f>
      </x:c>
      <x:c r="IE378" t="str">
        <x:f>IF('Calculations'!ID378="","",IF('Calculations'!ID378="!AMBIG","!AMBIG",IF(COUNTIF('Calculations'!$HE$13:$HE$512,"="&amp;SUBSTITUTE(SUBSTITUTE(SUBSTITUTE('Calculations'!ID378,"~","~~"),"*","~*"),"?","~?"))&gt;1,"!AMBIG",IFERROR(INDEX('Calculations'!$HF$13:$HF$512,MATCH('Calculations'!ID378,'Calculations'!$HE$13:$HE$512,0)),""))))</x:f>
      </x:c>
      <x:c r="IF378" t="str">
        <x:f>IF('Calculations'!IE378="","",IF('Calculations'!IE378="!AMBIG","!AMBIG",IF(COUNTIF('Calculations'!$HE$13:$HE$512,"="&amp;SUBSTITUTE(SUBSTITUTE(SUBSTITUTE('Calculations'!IE378,"~","~~"),"*","~*"),"?","~?"))&gt;1,"!AMBIG",IFERROR(INDEX('Calculations'!$HF$13:$HF$512,MATCH('Calculations'!IE378,'Calculations'!$HE$13:$HE$512,0)),""))))</x:f>
      </x:c>
      <x:c r="IG378" t="str">
        <x:f>IF('Calculations'!IF378="","",IF('Calculations'!IF378="!AMBIG","!AMBIG",IF(COUNTIF('Calculations'!$HE$13:$HE$512,"="&amp;SUBSTITUTE(SUBSTITUTE(SUBSTITUTE('Calculations'!IF378,"~","~~"),"*","~*"),"?","~?"))&gt;1,"!AMBIG",IFERROR(INDEX('Calculations'!$HF$13:$HF$512,MATCH('Calculations'!IF378,'Calculations'!$HE$13:$HE$512,0)),""))))</x:f>
      </x:c>
      <x:c r="IH378" t="str">
        <x:f>IF('Calculations'!IG378="","",IF('Calculations'!IG378="!AMBIG","!AMBIG",IF(COUNTIF('Calculations'!$HE$13:$HE$512,"="&amp;SUBSTITUTE(SUBSTITUTE(SUBSTITUTE('Calculations'!IG378,"~","~~"),"*","~*"),"?","~?"))&gt;1,"!AMBIG",IFERROR(INDEX('Calculations'!$HF$13:$HF$512,MATCH('Calculations'!IG378,'Calculations'!$HE$13:$HE$512,0)),""))))</x:f>
      </x:c>
      <x:c r="II378" t="str">
        <x:f>IF('Calculations'!IH378="","",IF('Calculations'!IH378="!AMBIG","!AMBIG",IF(COUNTIF('Calculations'!$HE$13:$HE$512,"="&amp;SUBSTITUTE(SUBSTITUTE(SUBSTITUTE('Calculations'!IH378,"~","~~"),"*","~*"),"?","~?"))&gt;1,"!AMBIG",IFERROR(INDEX('Calculations'!$HF$13:$HF$512,MATCH('Calculations'!IH378,'Calculations'!$HE$13:$HE$512,0)),""))))</x:f>
      </x:c>
      <x:c r="IJ378" t="str">
        <x:f>IF('Calculations'!EM378="","",IF('Calculations'!$EF$2="All",'Calculations'!HM378,IF('Calculations'!HL378=1,"",IFERROR(IF(MATCH('Calculations'!$EF$2,'Calculations'!HO378:II378,0)=1,'Calculations'!HE378,INDEX('Calculations'!HO378:II378,1,MATCH('Calculations'!$EF$2,'Calculations'!HO378:II378,0)-1)),""))))</x:f>
      </x:c>
      <x:c r="IK378" t="n">
        <x:f>IF(AND('Calculations'!EM378&lt;&gt;"",'Calculations'!$EF$2&lt;&gt;"All",'Calculations'!HF378='Calculations'!$EF$2,'Calculations'!HL378=0,'Calculations'!JD378&gt;0),MAX('Calculations'!$IK$12:IK377)+1,0)</x:f>
        <x:v>0</x:v>
      </x:c>
      <x:c r="JA378" t="n">
        <x:f>IF(OR(IFERROR(INDIRECT("'WCM Calibration Final'!$A$378")&lt;&gt;"",FALSE),IFERROR(INDIRECT("'WCM Calibration Final'!$B$378")&lt;&gt;"",FALSE),IFERROR(INDIRECT("'WCM Calibration Final'!$C$378")&lt;&gt;"",FALSE)),378,0)</x:f>
        <x:v>0</x:v>
      </x:c>
      <x:c r="JB378" t="n">
        <x:f>'Calculations'!JB377+IF('Calculations'!JA378&gt;0,1,0)</x:f>
        <x:v>0</x:v>
      </x:c>
      <x:c r="JC378" t="n">
        <x:f>IF(OR('Calculations'!HF378="",'Calculations'!HF378="!AMBIG"),0,IF('Dashboard'!$B$7="All",1,COUNTIFS('Calculations'!$HO$13:$HO$512,"="&amp;SUBSTITUTE(SUBSTITUTE(SUBSTITUTE('Calculations'!HF378,"~","~~"),"*","~*"),"?","~?"),'Calculations'!$HN$13:$HN$512,"="&amp;SUBSTITUTE(SUBSTITUTE(SUBSTITUTE('Dashboard'!$B$7,"~","~~"),"*","~*"),"?","~?"))+COUNTIFS('Calculations'!$HP$13:$HP$512,"="&amp;SUBSTITUTE(SUBSTITUTE(SUBSTITUTE('Calculations'!HF378,"~","~~"),"*","~*"),"?","~?"),'Calculations'!$HN$13:$HN$512,"="&amp;SUBSTITUTE(SUBSTITUTE(SUBSTITUTE('Dashboard'!$B$7,"~","~~"),"*","~*"),"?","~?"))+COUNTIFS('Calculations'!$HQ$13:$HQ$512,"="&amp;SUBSTITUTE(SUBSTITUTE(SUBSTITUTE('Calculations'!HF378,"~","~~"),"*","~*"),"?","~?"),'Calculations'!$HN$13:$HN$512,"="&amp;SUBSTITUTE(SUBSTITUTE(SUBSTITUTE('Dashboard'!$B$7,"~","~~"),"*","~*"),"?","~?"))+COUNTIFS('Calculations'!$HR$13:$HR$512,"="&amp;SUBSTITUTE(SUBSTITUTE(SUBSTITUTE('Calculations'!HF378,"~","~~"),"*","~*"),"?","~?"),'Calculations'!$HN$13:$HN$512,"="&amp;SUBSTITUTE(SUBSTITUTE(SUBSTITUTE('Dashboard'!$B$7,"~","~~"),"*","~*"),"?","~?"))+COUNTIFS('Calculations'!$HS$13:$HS$512,"="&amp;SUBSTITUTE(SUBSTITUTE(SUBSTITUTE('Calculations'!HF378,"~","~~"),"*","~*"),"?","~?"),'Calculations'!$HN$13:$HN$512,"="&amp;SUBSTITUTE(SUBSTITUTE(SUBSTITUTE('Dashboard'!$B$7,"~","~~"),"*","~*"),"?","~?"))+COUNTIFS('Calculations'!$HT$13:$HT$512,"="&amp;SUBSTITUTE(SUBSTITUTE(SUBSTITUTE('Calculations'!HF378,"~","~~"),"*","~*"),"?","~?"),'Calculations'!$HN$13:$HN$512,"="&amp;SUBSTITUTE(SUBSTITUTE(SUBSTITUTE('Dashboard'!$B$7,"~","~~"),"*","~*"),"?","~?"))+COUNTIFS('Calculations'!$HU$13:$HU$512,"="&amp;SUBSTITUTE(SUBSTITUTE(SUBSTITUTE('Calculations'!HF378,"~","~~"),"*","~*"),"?","~?"),'Calculations'!$HN$13:$HN$512,"="&amp;SUBSTITUTE(SUBSTITUTE(SUBSTITUTE('Dashboard'!$B$7,"~","~~"),"*","~*"),"?","~?"))+COUNTIFS('Calculations'!$HV$13:$HV$512,"="&amp;SUBSTITUTE(SUBSTITUTE(SUBSTITUTE('Calculations'!HF378,"~","~~"),"*","~*"),"?","~?"),'Calculations'!$HN$13:$HN$512,"="&amp;SUBSTITUTE(SUBSTITUTE(SUBSTITUTE('Dashboard'!$B$7,"~","~~"),"*","~*"),"?","~?"))+COUNTIFS('Calculations'!$HW$13:$HW$512,"="&amp;SUBSTITUTE(SUBSTITUTE(SUBSTITUTE('Calculations'!HF378,"~","~~"),"*","~*"),"?","~?"),'Calculations'!$HN$13:$HN$512,"="&amp;SUBSTITUTE(SUBSTITUTE(SUBSTITUTE('Dashboard'!$B$7,"~","~~"),"*","~*"),"?","~?"))+COUNTIFS('Calculations'!$HX$13:$HX$512,"="&amp;SUBSTITUTE(SUBSTITUTE(SUBSTITUTE('Calculations'!HF378,"~","~~"),"*","~*"),"?","~?"),'Calculations'!$HN$13:$HN$512,"="&amp;SUBSTITUTE(SUBSTITUTE(SUBSTITUTE('Dashboard'!$B$7,"~","~~"),"*","~*"),"?","~?"))+COUNTIFS('Calculations'!$HY$13:$HY$512,"="&amp;SUBSTITUTE(SUBSTITUTE(SUBSTITUTE('Calculations'!HF378,"~","~~"),"*","~*"),"?","~?"),'Calculations'!$HN$13:$HN$512,"="&amp;SUBSTITUTE(SUBSTITUTE(SUBSTITUTE('Dashboard'!$B$7,"~","~~"),"*","~*"),"?","~?"))+COUNTIFS('Calculations'!$HZ$13:$HZ$512,"="&amp;SUBSTITUTE(SUBSTITUTE(SUBSTITUTE('Calculations'!HF378,"~","~~"),"*","~*"),"?","~?"),'Calculations'!$HN$13:$HN$512,"="&amp;SUBSTITUTE(SUBSTITUTE(SUBSTITUTE('Dashboard'!$B$7,"~","~~"),"*","~*"),"?","~?"))+COUNTIFS('Calculations'!$IA$13:$IA$512,"="&amp;SUBSTITUTE(SUBSTITUTE(SUBSTITUTE('Calculations'!HF378,"~","~~"),"*","~*"),"?","~?"),'Calculations'!$HN$13:$HN$512,"="&amp;SUBSTITUTE(SUBSTITUTE(SUBSTITUTE('Dashboard'!$B$7,"~","~~"),"*","~*"),"?","~?"))+COUNTIFS('Calculations'!$IB$13:$IB$512,"="&amp;SUBSTITUTE(SUBSTITUTE(SUBSTITUTE('Calculations'!HF378,"~","~~"),"*","~*"),"?","~?"),'Calculations'!$HN$13:$HN$512,"="&amp;SUBSTITUTE(SUBSTITUTE(SUBSTITUTE('Dashboard'!$B$7,"~","~~"),"*","~*"),"?","~?"))+COUNTIFS('Calculations'!$IC$13:$IC$512,"="&amp;SUBSTITUTE(SUBSTITUTE(SUBSTITUTE('Calculations'!HF378,"~","~~"),"*","~*"),"?","~?"),'Calculations'!$HN$13:$HN$512,"="&amp;SUBSTITUTE(SUBSTITUTE(SUBSTITUTE('Dashboard'!$B$7,"~","~~"),"*","~*"),"?","~?"))+COUNTIFS('Calculations'!$ID$13:$ID$512,"="&amp;SUBSTITUTE(SUBSTITUTE(SUBSTITUTE('Calculations'!HF378,"~","~~"),"*","~*"),"?","~?"),'Calculations'!$HN$13:$HN$512,"="&amp;SUBSTITUTE(SUBSTITUTE(SUBSTITUTE('Dashboard'!$B$7,"~","~~"),"*","~*"),"?","~?"))+COUNTIFS('Calculations'!$IE$13:$IE$512,"="&amp;SUBSTITUTE(SUBSTITUTE(SUBSTITUTE('Calculations'!HF378,"~","~~"),"*","~*"),"?","~?"),'Calculations'!$HN$13:$HN$512,"="&amp;SUBSTITUTE(SUBSTITUTE(SUBSTITUTE('Dashboard'!$B$7,"~","~~"),"*","~*"),"?","~?"))+COUNTIFS('Calculations'!$IF$13:$IF$512,"="&amp;SUBSTITUTE(SUBSTITUTE(SUBSTITUTE('Calculations'!HF378,"~","~~"),"*","~*"),"?","~?"),'Calculations'!$HN$13:$HN$512,"="&amp;SUBSTITUTE(SUBSTITUTE(SUBSTITUTE('Dashboard'!$B$7,"~","~~"),"*","~*"),"?","~?"))+COUNTIFS('Calculations'!$IG$13:$IG$512,"="&amp;SUBSTITUTE(SUBSTITUTE(SUBSTITUTE('Calculations'!HF378,"~","~~"),"*","~*"),"?","~?"),'Calculations'!$HN$13:$HN$512,"="&amp;SUBSTITUTE(SUBSTITUTE(SUBSTITUTE('Dashboard'!$B$7,"~","~~"),"*","~*"),"?","~?"))+COUNTIFS('Calculations'!$IH$13:$IH$512,"="&amp;SUBSTITUTE(SUBSTITUTE(SUBSTITUTE('Calculations'!HF378,"~","~~"),"*","~*"),"?","~?"),'Calculations'!$HN$13:$HN$512,"="&amp;SUBSTITUTE(SUBSTITUTE(SUBSTITUTE('Dashboard'!$B$7,"~","~~"),"*","~*"),"?","~?"))))</x:f>
        <x:v>0</x:v>
      </x:c>
      <x:c r="JD378" t="n">
        <x:f>IF('Calculations'!EM378="",0,IF('Dashboard'!$B$7="All",1,IF('Calculations'!HN378='Dashboard'!$B$7,1,0)+IFERROR(INDEX('Calculations'!$JC$13:$JC$512,MATCH('Calculations'!HE378,'Calculations'!$HF$13:$HF$512,0)),0)))</x:f>
        <x:v>0</x:v>
      </x:c>
      <x:c r="JE378" t="n">
        <x:f>IF(AND('Calculations'!EM378&lt;&gt;"",'Calculations'!$JJ$2&lt;&gt;"All",'Calculations'!$JJ$2&lt;&gt;"",'Calculations'!HF378='Calculations'!$JJ$2,'Calculations'!HL378=0,'Calculations'!JD378&gt;0),MAX('Calculations'!$JE$12:JE377)+1,0)</x:f>
        <x:v>0</x:v>
      </x:c>
      <x:c r="JF378" t="str">
        <x:f>IF('Calculations'!EM378="","",IFERROR(IF(INDEX(INDIRECT("'WCM Calibration Final'!$G$1:$G$2000"),'Calculations'!$EM378)="","",TRIM(INDEX(INDIRECT("'WCM Calibration Final'!$G$1:$G$2000"),'Calculations'!$EM378)&amp;"")),""))</x:f>
      </x:c>
      <x:c r="JQ378" t="n">
        <x:f>IF(OR('Calculations'!BM378=0,NOT('Calculations'!$AG$2),'Calculations'!$AG$8&gt;0),0,IF(OR('Dashboard'!$B$7="All",'Calculations'!HN378='Dashboard'!$B$7),IF('Calculations'!$JJ$2="All",1,IF(AND('Calculations'!HF378='Calculations'!$JJ$2,'Calculations'!HL378=0),1,0)),0))</x:f>
        <x:v>0</x:v>
      </x:c>
    </x:row>
    <x:row r="379">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t="n">
        <x:f>IF('Calculations'!$EM379="",0,IF(OR(IFERROR(INDEX(INDIRECT("'WCM Calibration Final'!$A$1:$A$2000"),'Calculations'!$EM379)&lt;&gt;"",FALSE),IFERROR(INDEX(INDIRECT("'WCM Calibration Final'!$B$1:$B$2000"),'Calculations'!$EM379)&lt;&gt;"",FALSE),IFERROR(INDEX(INDIRECT("'WCM Calibration Final'!$C$1:$C$2000"),'Calculations'!$EM379)&lt;&gt;"",FALSE)),1,0))</x:f>
        <x:v>0</x:v>
      </x:c>
      <x:c r="BN379" s="4" t="n">
        <x:f>IF(AND('Calculations'!BM379=1,'Calculations'!$AG$2,'Calculations'!$EN379=1),1,0)</x:f>
        <x:v>0</x:v>
      </x:c>
      <x:c r="BO379" s="4" t="str">
        <x:f>IF('Calculations'!BM379=0,"",IFERROR(IF(AND(VALUE(INDEX(INDIRECT("'WCM Calibration Final'!$K$1:$K$2000"),'Calculations'!$EM379))&gt;=1,VALUE(INDEX(INDIRECT("'WCM Calibration Final'!$K$1:$K$2000"),'Calculations'!$EM379))&lt;=4,MOD(VALUE(INDEX(INDIRECT("'WCM Calibration Final'!$K$1:$K$2000"),'Calculations'!$EM379)),1)=0),VALUE(INDEX(INDIRECT("'WCM Calibration Final'!$K$1:$K$2000"),'Calculations'!$EM379)),""),""))</x:f>
      </x:c>
      <x:c r="BP379" s="4" t="str">
        <x:f>IF('Calculations'!BM379=0,"",IFERROR(IF(AND(VALUE(INDEX(INDIRECT("'WCM Calibration Final'!$L$1:$L$2000"),'Calculations'!$EM379))&gt;=1,VALUE(INDEX(INDIRECT("'WCM Calibration Final'!$L$1:$L$2000"),'Calculations'!$EM379))&lt;=4,MOD(VALUE(INDEX(INDIRECT("'WCM Calibration Final'!$L$1:$L$2000"),'Calculations'!$EM379)),1)=0),VALUE(INDEX(INDIRECT("'WCM Calibration Final'!$L$1:$L$2000"),'Calculations'!$EM379)),""),""))</x:f>
      </x:c>
      <x:c r="BQ379" s="4"/>
      <x:c r="BR379" s="4"/>
      <x:c r="BS379" s="4"/>
      <x:c r="BT379" s="4" t="n">
        <x:f>IF(AND('Calculations'!BM379=1,ISNUMBER('Calculations'!BO379),ISNUMBER('Calculations'!BP379)),1,0)</x:f>
        <x:v>0</x:v>
      </x:c>
      <x:c r="BU379" s="4" t="str">
        <x:f>IF('Calculations'!BM379=0,"",'Calculations'!$EO379)</x:f>
      </x:c>
      <x:c r="BV379" s="4" t="str">
        <x:f>IF('Calculations'!BM379=0,"",IFERROR(IF(OR(INDEX(INDIRECT("'WCM Calibration Final'!$H$1:$H$2000"),'Calculations'!$EM379)="MANAGING DIRECTOR",INDEX(INDIRECT("'WCM Calibration Final'!$H$1:$H$2000"),'Calculations'!$EM379)="DIRECTOR",INDEX(INDIRECT("'WCM Calibration Final'!$H$1:$H$2000"),'Calculations'!$EM379)="SENIOR VICE PRESIDENT",INDEX(INDIRECT("'WCM Calibration Final'!$H$1:$H$2000"),'Calculations'!$EM379)="VICE PRESIDENT",INDEX(INDIRECT("'WCM Calibration Final'!$H$1:$H$2000"),'Calculations'!$EM379)="ASSISTANT VICE PRESIDENT",INDEX(INDIRECT("'WCM Calibration Final'!$H$1:$H$2000"),'Calculations'!$EM379)="OFFICER"),UPPER(INDEX(INDIRECT("'WCM Calibration Final'!$H$1:$H$2000"),'Calculations'!$EM379)),"Other"),"Other"))</x:f>
      </x:c>
      <x:c r="BW379" s="4"/>
      <x:c r="BX379" s="4"/>
      <x:c r="BY379" s="4" t="n">
        <x:f>IF(AND('Calculations'!BM379=1,'Calculations'!BU379&lt;&gt;"",COUNTIF('Calculations'!$BU$12:BU379,'Calculations'!BU379)=1),MAX('Calculations'!$BY$11:BY378)+1,0)</x:f>
        <x:v>0</x:v>
      </x:c>
      <x:c r="BZ379" s="4" t="str">
        <x:f>IF('Dashboard'!$E$67="What",'Calculations'!BO379,'Calculations'!BP379)</x:f>
      </x:c>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t="str">
        <x:f>IF(368&gt;MAX('Calculations'!$HI$13:$HI$512),"",INDEX('Calculations'!$HN$13:$HN$512,MATCH(368,'Calculations'!$HI$13:$HI$512,0)))</x:f>
      </x:c>
      <x:c r="DB379" s="4" t="str">
        <x:f>IF(368&gt;MAX('Calculations'!$HH$13:$HH$512),"",INDEX('Calculations'!$HJ$13:$HJ$512,MATCH(368,'Calculations'!$HH$13:$HH$512,0)))</x:f>
      </x:c>
      <x:c r="DC379" s="4" t="str">
        <x:f>IF(ROW()-11&gt;MAX('Calculations'!$BY$13:$BY$512),"",INDEX('Calculations'!$BU$13:$BU$512,MATCH(ROW()-11,'Calculations'!$BY$13:$BY$512,0)))</x:f>
      </x:c>
      <x:c r="DD379" s="4" t="str">
        <x:f>IF(368&gt;MAX('Calculations'!$IK$13:$IK$512),"",INDEX('Calculations'!$HK$13:$HK$512,MATCH(368,'Calculations'!$IK$13:$IK$512,0)))</x:f>
      </x:c>
      <x:c r="DE379" s="4" t="str">
        <x:f>'Calculations'!DC379</x:f>
      </x:c>
      <x:c r="DF379" s="4" t="str">
        <x:f>IF('Calculations'!DE379="","",COUNTIFS('Calculations'!$BN$13:$BN$512,1,'Calculations'!$BU$13:$BU$512,'Calculations'!DE379))</x:f>
      </x:c>
      <x:c r="DG379" s="4" t="str">
        <x:f>IF('Calculations'!DE379="","",COUNTIFS('Calculations'!$BN$13:$BN$512,1,'Calculations'!$BU$13:$BU$512,'Calculations'!DE379,'Calculations'!$BT$13:$BT$512,1))</x:f>
      </x:c>
      <x:c r="DH379" s="4" t="str">
        <x:f>IF('Calculations'!DE379="","",'Calculations'!DF379-'Calculations'!DG379)</x:f>
      </x:c>
      <x:c r="DI379" s="4" t="str">
        <x:f>IF(OR('Calculations'!DE379="",'Calculations'!DF379=0),"",'Calculations'!DG379/'Calculations'!DF379)</x:f>
      </x:c>
      <x:c r="DJ379" s="4" t="str">
        <x:f>IF('Calculations'!DE379="","",COUNTIFS('Calculations'!$BN$13:$BN$512,1,'Calculations'!$BU$13:$BU$512,'Calculations'!DE379,'Calculations'!$BT$13:$BT$512,1,'Calculations'!$EE$13:$EE$512,"High"))</x:f>
      </x:c>
      <x:c r="DK379" s="4" t="str">
        <x:f>IF('Calculations'!DE379="","",COUNTIFS('Calculations'!$BN$13:$BN$512,1,'Calculations'!$BU$13:$BU$512,'Calculations'!DE379,'Calculations'!$BT$13:$BT$512,1,'Calculations'!$EE$13:$EE$512,"Strong"))</x:f>
      </x:c>
      <x:c r="DL379" s="4" t="str">
        <x:f>IF('Calculations'!DE379="","",COUNTIFS('Calculations'!$BN$13:$BN$512,1,'Calculations'!$BU$13:$BU$512,'Calculations'!DE379,'Calculations'!$BT$13:$BT$512,1,'Calculations'!$EE$13:$EE$512,"Solid"))</x:f>
      </x:c>
      <x:c r="DM379" s="4" t="str">
        <x:f>IF('Calculations'!DE379="","",COUNTIFS('Calculations'!$BN$13:$BN$512,1,'Calculations'!$BU$13:$BU$512,'Calculations'!DE379,'Calculations'!$BT$13:$BT$512,1,'Calculations'!$EE$13:$EE$512,"Low"))</x:f>
      </x:c>
      <x:c r="DN379" s="4" t="str">
        <x:f>IF('Calculations'!DE379="","",COUNTIFS('Calculations'!$BN$13:$BN$512,1,'Calculations'!$BU$13:$BU$512,'Calculations'!DE379,'Calculations'!$EP$13:$EP$512,1))</x:f>
      </x:c>
      <x:c r="DO379" s="4" t="str">
        <x:f>IF(OR('Calculations'!DE379="",'Calculations'!DG379=0),"",('Calculations'!DJ379+'Calculations'!DK379)/'Calculations'!DG379)</x:f>
      </x:c>
      <x:c r="DP379" s="4" t="n">
        <x:f>IF(AND('Calculations'!DE379&lt;&gt;"",'Calculations'!DF379&gt;0),COUNTIF('Calculations'!$DF$12:DF379,"&gt;0"),0)</x:f>
        <x:v>0</x:v>
      </x:c>
      <x:c r="DQ379" s="4" t="str">
        <x:f>IF(368&gt;MAX('Calculations'!$HH$13:$HH$512),"",INDEX('Calculations'!$HF$13:$HF$512,MATCH(368,'Calculations'!$HH$13:$HH$512,0)))</x:f>
      </x:c>
      <x:c r="DR379" s="4" t="str">
        <x:f>IF(368&gt;MAX('Calculations'!$IK$13:$IK$512),"",INDEX('Calculations'!$HE$13:$HE$512,MATCH(368,'Calculations'!$IK$13:$IK$512,0)))</x:f>
      </x:c>
      <x:c r="DS379" s="4"/>
      <x:c r="DT379" s="4"/>
      <x:c r="DU379" s="4"/>
      <x:c r="DV379" s="4"/>
      <x:c r="DW379" s="4"/>
      <x:c r="DX379" s="4"/>
      <x:c r="DY379" s="4"/>
      <x:c r="DZ379" s="4"/>
      <x:c r="EA379" s="4"/>
      <x:c r="EB379" s="4"/>
      <x:c r="EC379" s="4"/>
      <x:c r="ED379" s="4"/>
      <x:c r="EE379" s="4" t="str">
        <x:f>IF('Calculations'!BT379=0,"Not Rated",IF(OR('Calculations'!BO379&gt;=4,'Calculations'!BP379&gt;=4),"Low",IF('Calculations'!BO379+'Calculations'!BP379&lt;=3,"High",IF('Calculations'!BO379+'Calculations'!BP379&lt;=4,"Strong","Solid"))))</x:f>
        <x:v>Not Rated</x:v>
      </x:c>
      <x:c r="EF379" s="4"/>
      <x:c r="EG379" s="4"/>
      <x:c r="EH379" s="4"/>
      <x:c r="EI379" s="4"/>
      <x:c r="EJ379" s="4"/>
      <x:c r="EK379" s="4"/>
      <x:c r="EL379" s="4"/>
      <x:c r="EM379" s="4" t="str">
        <x:f>IF(367&gt;'Calculations'!$JB$2000,"",INDEX('Calculations'!$JA$12:$JA$2000,MATCH(367,'Calculations'!$JB$12:$JB$2000,0)))</x:f>
      </x:c>
      <x:c r="EN379" s="4" t="n">
        <x:f>IF(OR('Calculations'!EM379="",'Calculations'!$AG$8&gt;0,AND('Calculations'!$EF$2&lt;&gt;"All",'Calculations'!HE379='Calculations'!$EF$2),AND('Calculations'!$EF$3&lt;&gt;"All",'Calculations'!HE379='Calculations'!$EF$3)),0,IF(OR('Dashboard'!$B$7="All",'Calculations'!HN379='Dashboard'!$B$7),IF('Calculations'!$EF$2="All",1,IF('Calculations'!HL379&gt;0,0,IF(COUNTIF('Calculations'!HO379:II379,"="&amp;SUBSTITUTE(SUBSTITUTE(SUBSTITUTE('Calculations'!$EF$2,"~","~~"),"*","~*"),"?","~?"))=0,0,IF('Calculations'!$EF$3="All",1,IF(COUNTIF('Calculations'!HO379:II379,"="&amp;SUBSTITUTE(SUBSTITUTE(SUBSTITUTE('Calculations'!$EF$3,"~","~~"),"*","~*"),"?","~?"))&gt;0,1,0))))),0))</x:f>
        <x:v>0</x:v>
      </x:c>
      <x:c r="EO379" s="4" t="str">
        <x:f>IF('Calculations'!IJ379="","",IF('Calculations'!IJ379="!UNRESOLVED","Unresolved hierarchy",IFERROR(INDEX('Calculations'!$HK$13:$HK$512,MATCH('Calculations'!IJ379,'Calculations'!$HE$13:$HE$512,0)),IFERROR(INDEX('Calculations'!$HJ$13:$HJ$512,MATCH('Calculations'!IJ379,'Calculations'!$HF$13:$HF$512,0)),'Calculations'!IJ379))))</x:f>
      </x:c>
      <x:c r="EP379" s="4" t="n">
        <x:f>IF(AND('Calculations'!EM379&lt;&gt;"",'Calculations'!HF379='Calculations'!IJ379),1,0)</x:f>
        <x:v>0</x:v>
      </x:c>
      <x:c r="EQ379" s="4"/>
      <x:c r="ER379" s="4"/>
      <x:c r="ES379" s="4"/>
      <x:c r="ET379" s="4"/>
      <x:c r="EU379" s="4"/>
      <x:c r="EV379" s="4"/>
      <x:c r="EW379" s="4"/>
      <x:c r="EX379" s="4"/>
      <x:c r="EY379" s="4"/>
      <x:c r="EZ379" s="4"/>
      <x:c r="FA379" s="4"/>
      <x:c r="FB379" s="4"/>
      <x:c r="FC379" s="4"/>
      <x:c r="FD379" s="4"/>
      <x:c r="FE379" s="4"/>
      <x:c r="FF379" s="4"/>
      <x:c r="FG379" s="4"/>
      <x:c r="FH379" s="4"/>
      <x:c r="FI379" s="4"/>
      <x:c r="FJ379" s="4"/>
      <x:c r="FK379" s="4"/>
      <x:c r="FL379" s="4"/>
      <x:c r="FM379" s="4"/>
      <x:c r="FN379" s="4"/>
      <x:c r="FO379" s="4"/>
      <x:c r="HE379" t="str">
        <x:f>IF('Calculations'!EM379="","",IF(IFERROR(IF(INDEX(INDIRECT("'WCM Calibration Final'!$A$1:$A$2000"),'Calculations'!$EM379)="","",TRIM(INDEX(INDIRECT("'WCM Calibration Final'!$A$1:$A$2000"),'Calculations'!$EM379)&amp;"")),"")&lt;&gt;"","G:"&amp;IFERROR(TEXT(1*INDEX(INDIRECT("'WCM Calibration Final'!$A$1:$A$2000"),'Calculations'!$EM379),"0"),UPPER(IFERROR(IF(INDEX(INDIRECT("'WCM Calibration Final'!$A$1:$A$2000"),'Calculations'!$EM379)="","",TRIM(INDEX(INDIRECT("'WCM Calibration Final'!$A$1:$A$2000"),'Calculations'!$EM379)&amp;"")),""))),IF(IFERROR(IF(INDEX(INDIRECT("'WCM Calibration Final'!$C$1:$C$2000"),'Calculations'!$EM379)="","",TRIM(INDEX(INDIRECT("'WCM Calibration Final'!$C$1:$C$2000"),'Calculations'!$EM379)&amp;"")),"")&lt;&gt;"","S:"&amp;UPPER(IFERROR(IF(INDEX(INDIRECT("'WCM Calibration Final'!$C$1:$C$2000"),'Calculations'!$EM379)="","",TRIM(INDEX(INDIRECT("'WCM Calibration Final'!$C$1:$C$2000"),'Calculations'!$EM379)&amp;"")),"")),"R:"&amp;'Calculations'!EM379)))</x:f>
      </x:c>
      <x:c r="HF379" t="str">
        <x:f>IF('Calculations'!EM379="","",IF(IFERROR(IF(INDEX(INDIRECT("'WCM Calibration Final'!$D$1:$D$2000"),'Calculations'!$EM379)="","",TRIM(INDEX(INDIRECT("'WCM Calibration Final'!$D$1:$D$2000"),'Calculations'!$EM379)&amp;"")),"")&lt;&gt;"","G:"&amp;IFERROR(TEXT(1*INDEX(INDIRECT("'WCM Calibration Final'!$D$1:$D$2000"),'Calculations'!$EM379),"0"),UPPER(IFERROR(IF(INDEX(INDIRECT("'WCM Calibration Final'!$D$1:$D$2000"),'Calculations'!$EM379)="","",TRIM(INDEX(INDIRECT("'WCM Calibration Final'!$D$1:$D$2000"),'Calculations'!$EM379)&amp;"")),""))),IF(IFERROR(IF(INDEX(INDIRECT("'WCM Calibration Final'!$E$1:$E$2000"),'Calculations'!$EM379)="","",TRIM(INDEX(INDIRECT("'WCM Calibration Final'!$E$1:$E$2000"),'Calculations'!$EM379)&amp;"")),"")="","",IF(COUNTIF('Calculations'!$HG$13:$HG$512,"="&amp;SUBSTITUTE(SUBSTITUTE(SUBSTITUTE(IFERROR(IF(INDEX(INDIRECT("'WCM Calibration Final'!$E$1:$E$2000"),'Calculations'!$EM379)="","",TRIM(INDEX(INDIRECT("'WCM Calibration Final'!$E$1:$E$2000"),'Calculations'!$EM379)&amp;"")),""),"~","~~"),"*","~*"),"?","~?"))=1,INDEX('Calculations'!$HE$13:$HE$512,MATCH(IFERROR(IF(INDEX(INDIRECT("'WCM Calibration Final'!$E$1:$E$2000"),'Calculations'!$EM379)="","",TRIM(INDEX(INDIRECT("'WCM Calibration Final'!$E$1:$E$2000"),'Calculations'!$EM379)&amp;"")),""),'Calculations'!$HG$13:$HG$512,0)),IF(COUNTIF('Calculations'!$HG$13:$HG$512,"="&amp;SUBSTITUTE(SUBSTITUTE(SUBSTITUTE(IFERROR(IF(INDEX(INDIRECT("'WCM Calibration Final'!$E$1:$E$2000"),'Calculations'!$EM379)="","",TRIM(INDEX(INDIRECT("'WCM Calibration Final'!$E$1:$E$2000"),'Calculations'!$EM379)&amp;"")),""),"~","~~"),"*","~*"),"?","~?"))&gt;1,"!AMBIG","X:"&amp;IFERROR(IF(INDEX(INDIRECT("'WCM Calibration Final'!$E$1:$E$2000"),'Calculations'!$EM379)="","",TRIM(INDEX(INDIRECT("'WCM Calibration Final'!$E$1:$E$2000"),'Calculations'!$EM379)&amp;"")),""))))))</x:f>
      </x:c>
      <x:c r="HG379" t="str">
        <x:f>IF('Calculations'!EM379="","",IFERROR(IF(INDEX(INDIRECT("'WCM Calibration Final'!$B$1:$B$2000"),'Calculations'!$EM379)="","",TRIM(INDEX(INDIRECT("'WCM Calibration Final'!$B$1:$B$2000"),'Calculations'!$EM379)&amp;"")),""))</x:f>
      </x:c>
      <x:c r="HH379" t="n">
        <x:f>IF(AND('Calculations'!JC379&gt;0,COUNTIF('Calculations'!$HF$12:HF379,"="&amp;SUBSTITUTE(SUBSTITUTE(SUBSTITUTE('Calculations'!HF379,"~","~~"),"*","~*"),"?","~?"))=1),MAX('Calculations'!$HH$12:HH378)+1,0)</x:f>
        <x:v>0</x:v>
      </x:c>
      <x:c r="HI379" t="n">
        <x:f>IF(AND('Calculations'!HN379&lt;&gt;"",COUNTIF('Calculations'!$HN$12:HN379,"="&amp;SUBSTITUTE(SUBSTITUTE(SUBSTITUTE('Calculations'!HN379,"~","~~"),"*","~*"),"?","~?"))=1),MAX('Calculations'!$HI$12:HI378)+1,0)</x:f>
        <x:v>0</x:v>
      </x:c>
      <x:c r="HJ379" t="str">
        <x:f>IF('Calculations'!HF379="","",IF(COUNTIF('Calculations'!$HE$13:$HE$512,"="&amp;SUBSTITUTE(SUBSTITUTE(SUBSTITUTE('Calculations'!HF379,"~","~~"),"*","~*"),"?","~?"))=1,INDEX('Calculations'!$HK$13:$HK$512,MATCH('Calculations'!HF379,'Calculations'!$HE$13:$HE$512,0)),IFERROR(IF(INDEX(INDIRECT("'WCM Calibration Final'!$E$1:$E$2000"),'Calculations'!$EM379)="","",TRIM(INDEX(INDIRECT("'WCM Calibration Final'!$E$1:$E$2000"),'Calculations'!$EM379)&amp;"")),"")&amp;" ["&amp;'Calculations'!HF379&amp;"]"))</x:f>
      </x:c>
      <x:c r="HK379" t="str">
        <x:f>IF('Calculations'!EM379="","",'Calculations'!HG379&amp;" ["&amp;'Calculations'!HE379&amp;"]")</x:f>
      </x:c>
      <x:c r="HL379" t="n">
        <x:f>IF('Calculations'!EM379="",0,IF(OR('Calculations'!II379&lt;&gt;"",COUNTIF('Calculations'!$HE$13:$HE$512,"="&amp;SUBSTITUTE(SUBSTITUTE(SUBSTITUTE('Calculations'!HE379,"~","~~"),"*","~*"),"?","~?"))&gt;1),1,0))</x:f>
        <x:v>0</x:v>
      </x:c>
      <x:c r="HM379" t="str">
        <x:f>IF('Calculations'!EM379="","",IF('Calculations'!HL379=1,"!UNRESOLVED",IF('Calculations'!IH379&lt;&gt;"",'Calculations'!IH379,IF('Calculations'!IG379&lt;&gt;"",'Calculations'!IG379,IF('Calculations'!IF379&lt;&gt;"",'Calculations'!IF379,IF('Calculations'!IE379&lt;&gt;"",'Calculations'!IE379,IF('Calculations'!ID379&lt;&gt;"",'Calculations'!ID379,IF('Calculations'!IC379&lt;&gt;"",'Calculations'!IC379,IF('Calculations'!IB379&lt;&gt;"",'Calculations'!IB379,IF('Calculations'!IA379&lt;&gt;"",'Calculations'!IA379,IF('Calculations'!HZ379&lt;&gt;"",'Calculations'!HZ379,IF('Calculations'!HY379&lt;&gt;"",'Calculations'!HY379,IF('Calculations'!HX379&lt;&gt;"",'Calculations'!HX379,IF('Calculations'!HW379&lt;&gt;"",'Calculations'!HW379,IF('Calculations'!HV379&lt;&gt;"",'Calculations'!HV379,IF('Calculations'!HU379&lt;&gt;"",'Calculations'!HU379,IF('Calculations'!HT379&lt;&gt;"",'Calculations'!HT379,IF('Calculations'!HS379&lt;&gt;"",'Calculations'!HS379,IF('Calculations'!HR379&lt;&gt;"",'Calculations'!HR379,IF('Calculations'!HQ379&lt;&gt;"",'Calculations'!HQ379,IF('Calculations'!HP379&lt;&gt;"",'Calculations'!HP379,IF('Calculations'!HO379&lt;&gt;"",'Calculations'!HO379,'Calculations'!HE379))))))))))))))))))))))</x:f>
      </x:c>
      <x:c r="HN379" t="str">
        <x:f>IF('Calculations'!EM379="","",IF(IFERROR(IF(INDEX(INDIRECT("'WCM Calibration Final'!$F$1:$F$2000"),'Calculations'!$EM379)="","",TRIM(INDEX(INDIRECT("'WCM Calibration Final'!$F$1:$F$2000"),'Calculations'!$EM379)&amp;"")),"")="","(Blank)",IFERROR(IF(INDEX(INDIRECT("'WCM Calibration Final'!$F$1:$F$2000"),'Calculations'!$EM379)="","",TRIM(INDEX(INDIRECT("'WCM Calibration Final'!$F$1:$F$2000"),'Calculations'!$EM379)&amp;"")),"")))</x:f>
      </x:c>
      <x:c r="HO379" t="str">
        <x:f>'Calculations'!HF379</x:f>
      </x:c>
      <x:c r="HP379" t="str">
        <x:f>IF('Calculations'!HO379="","",IF('Calculations'!HO379="!AMBIG","!AMBIG",IF(COUNTIF('Calculations'!$HE$13:$HE$512,"="&amp;SUBSTITUTE(SUBSTITUTE(SUBSTITUTE('Calculations'!HO379,"~","~~"),"*","~*"),"?","~?"))&gt;1,"!AMBIG",IFERROR(INDEX('Calculations'!$HF$13:$HF$512,MATCH('Calculations'!HO379,'Calculations'!$HE$13:$HE$512,0)),""))))</x:f>
      </x:c>
      <x:c r="HQ379" t="str">
        <x:f>IF('Calculations'!HP379="","",IF('Calculations'!HP379="!AMBIG","!AMBIG",IF(COUNTIF('Calculations'!$HE$13:$HE$512,"="&amp;SUBSTITUTE(SUBSTITUTE(SUBSTITUTE('Calculations'!HP379,"~","~~"),"*","~*"),"?","~?"))&gt;1,"!AMBIG",IFERROR(INDEX('Calculations'!$HF$13:$HF$512,MATCH('Calculations'!HP379,'Calculations'!$HE$13:$HE$512,0)),""))))</x:f>
      </x:c>
      <x:c r="HR379" t="str">
        <x:f>IF('Calculations'!HQ379="","",IF('Calculations'!HQ379="!AMBIG","!AMBIG",IF(COUNTIF('Calculations'!$HE$13:$HE$512,"="&amp;SUBSTITUTE(SUBSTITUTE(SUBSTITUTE('Calculations'!HQ379,"~","~~"),"*","~*"),"?","~?"))&gt;1,"!AMBIG",IFERROR(INDEX('Calculations'!$HF$13:$HF$512,MATCH('Calculations'!HQ379,'Calculations'!$HE$13:$HE$512,0)),""))))</x:f>
      </x:c>
      <x:c r="HS379" t="str">
        <x:f>IF('Calculations'!HR379="","",IF('Calculations'!HR379="!AMBIG","!AMBIG",IF(COUNTIF('Calculations'!$HE$13:$HE$512,"="&amp;SUBSTITUTE(SUBSTITUTE(SUBSTITUTE('Calculations'!HR379,"~","~~"),"*","~*"),"?","~?"))&gt;1,"!AMBIG",IFERROR(INDEX('Calculations'!$HF$13:$HF$512,MATCH('Calculations'!HR379,'Calculations'!$HE$13:$HE$512,0)),""))))</x:f>
      </x:c>
      <x:c r="HT379" t="str">
        <x:f>IF('Calculations'!HS379="","",IF('Calculations'!HS379="!AMBIG","!AMBIG",IF(COUNTIF('Calculations'!$HE$13:$HE$512,"="&amp;SUBSTITUTE(SUBSTITUTE(SUBSTITUTE('Calculations'!HS379,"~","~~"),"*","~*"),"?","~?"))&gt;1,"!AMBIG",IFERROR(INDEX('Calculations'!$HF$13:$HF$512,MATCH('Calculations'!HS379,'Calculations'!$HE$13:$HE$512,0)),""))))</x:f>
      </x:c>
      <x:c r="HU379" t="str">
        <x:f>IF('Calculations'!HT379="","",IF('Calculations'!HT379="!AMBIG","!AMBIG",IF(COUNTIF('Calculations'!$HE$13:$HE$512,"="&amp;SUBSTITUTE(SUBSTITUTE(SUBSTITUTE('Calculations'!HT379,"~","~~"),"*","~*"),"?","~?"))&gt;1,"!AMBIG",IFERROR(INDEX('Calculations'!$HF$13:$HF$512,MATCH('Calculations'!HT379,'Calculations'!$HE$13:$HE$512,0)),""))))</x:f>
      </x:c>
      <x:c r="HV379" t="str">
        <x:f>IF('Calculations'!HU379="","",IF('Calculations'!HU379="!AMBIG","!AMBIG",IF(COUNTIF('Calculations'!$HE$13:$HE$512,"="&amp;SUBSTITUTE(SUBSTITUTE(SUBSTITUTE('Calculations'!HU379,"~","~~"),"*","~*"),"?","~?"))&gt;1,"!AMBIG",IFERROR(INDEX('Calculations'!$HF$13:$HF$512,MATCH('Calculations'!HU379,'Calculations'!$HE$13:$HE$512,0)),""))))</x:f>
      </x:c>
      <x:c r="HW379" t="str">
        <x:f>IF('Calculations'!HV379="","",IF('Calculations'!HV379="!AMBIG","!AMBIG",IF(COUNTIF('Calculations'!$HE$13:$HE$512,"="&amp;SUBSTITUTE(SUBSTITUTE(SUBSTITUTE('Calculations'!HV379,"~","~~"),"*","~*"),"?","~?"))&gt;1,"!AMBIG",IFERROR(INDEX('Calculations'!$HF$13:$HF$512,MATCH('Calculations'!HV379,'Calculations'!$HE$13:$HE$512,0)),""))))</x:f>
      </x:c>
      <x:c r="HX379" t="str">
        <x:f>IF('Calculations'!HW379="","",IF('Calculations'!HW379="!AMBIG","!AMBIG",IF(COUNTIF('Calculations'!$HE$13:$HE$512,"="&amp;SUBSTITUTE(SUBSTITUTE(SUBSTITUTE('Calculations'!HW379,"~","~~"),"*","~*"),"?","~?"))&gt;1,"!AMBIG",IFERROR(INDEX('Calculations'!$HF$13:$HF$512,MATCH('Calculations'!HW379,'Calculations'!$HE$13:$HE$512,0)),""))))</x:f>
      </x:c>
      <x:c r="HY379" t="str">
        <x:f>IF('Calculations'!HX379="","",IF('Calculations'!HX379="!AMBIG","!AMBIG",IF(COUNTIF('Calculations'!$HE$13:$HE$512,"="&amp;SUBSTITUTE(SUBSTITUTE(SUBSTITUTE('Calculations'!HX379,"~","~~"),"*","~*"),"?","~?"))&gt;1,"!AMBIG",IFERROR(INDEX('Calculations'!$HF$13:$HF$512,MATCH('Calculations'!HX379,'Calculations'!$HE$13:$HE$512,0)),""))))</x:f>
      </x:c>
      <x:c r="HZ379" t="str">
        <x:f>IF('Calculations'!HY379="","",IF('Calculations'!HY379="!AMBIG","!AMBIG",IF(COUNTIF('Calculations'!$HE$13:$HE$512,"="&amp;SUBSTITUTE(SUBSTITUTE(SUBSTITUTE('Calculations'!HY379,"~","~~"),"*","~*"),"?","~?"))&gt;1,"!AMBIG",IFERROR(INDEX('Calculations'!$HF$13:$HF$512,MATCH('Calculations'!HY379,'Calculations'!$HE$13:$HE$512,0)),""))))</x:f>
      </x:c>
      <x:c r="IA379" t="str">
        <x:f>IF('Calculations'!HZ379="","",IF('Calculations'!HZ379="!AMBIG","!AMBIG",IF(COUNTIF('Calculations'!$HE$13:$HE$512,"="&amp;SUBSTITUTE(SUBSTITUTE(SUBSTITUTE('Calculations'!HZ379,"~","~~"),"*","~*"),"?","~?"))&gt;1,"!AMBIG",IFERROR(INDEX('Calculations'!$HF$13:$HF$512,MATCH('Calculations'!HZ379,'Calculations'!$HE$13:$HE$512,0)),""))))</x:f>
      </x:c>
      <x:c r="IB379" t="str">
        <x:f>IF('Calculations'!IA379="","",IF('Calculations'!IA379="!AMBIG","!AMBIG",IF(COUNTIF('Calculations'!$HE$13:$HE$512,"="&amp;SUBSTITUTE(SUBSTITUTE(SUBSTITUTE('Calculations'!IA379,"~","~~"),"*","~*"),"?","~?"))&gt;1,"!AMBIG",IFERROR(INDEX('Calculations'!$HF$13:$HF$512,MATCH('Calculations'!IA379,'Calculations'!$HE$13:$HE$512,0)),""))))</x:f>
      </x:c>
      <x:c r="IC379" t="str">
        <x:f>IF('Calculations'!IB379="","",IF('Calculations'!IB379="!AMBIG","!AMBIG",IF(COUNTIF('Calculations'!$HE$13:$HE$512,"="&amp;SUBSTITUTE(SUBSTITUTE(SUBSTITUTE('Calculations'!IB379,"~","~~"),"*","~*"),"?","~?"))&gt;1,"!AMBIG",IFERROR(INDEX('Calculations'!$HF$13:$HF$512,MATCH('Calculations'!IB379,'Calculations'!$HE$13:$HE$512,0)),""))))</x:f>
      </x:c>
      <x:c r="ID379" t="str">
        <x:f>IF('Calculations'!IC379="","",IF('Calculations'!IC379="!AMBIG","!AMBIG",IF(COUNTIF('Calculations'!$HE$13:$HE$512,"="&amp;SUBSTITUTE(SUBSTITUTE(SUBSTITUTE('Calculations'!IC379,"~","~~"),"*","~*"),"?","~?"))&gt;1,"!AMBIG",IFERROR(INDEX('Calculations'!$HF$13:$HF$512,MATCH('Calculations'!IC379,'Calculations'!$HE$13:$HE$512,0)),""))))</x:f>
      </x:c>
      <x:c r="IE379" t="str">
        <x:f>IF('Calculations'!ID379="","",IF('Calculations'!ID379="!AMBIG","!AMBIG",IF(COUNTIF('Calculations'!$HE$13:$HE$512,"="&amp;SUBSTITUTE(SUBSTITUTE(SUBSTITUTE('Calculations'!ID379,"~","~~"),"*","~*"),"?","~?"))&gt;1,"!AMBIG",IFERROR(INDEX('Calculations'!$HF$13:$HF$512,MATCH('Calculations'!ID379,'Calculations'!$HE$13:$HE$512,0)),""))))</x:f>
      </x:c>
      <x:c r="IF379" t="str">
        <x:f>IF('Calculations'!IE379="","",IF('Calculations'!IE379="!AMBIG","!AMBIG",IF(COUNTIF('Calculations'!$HE$13:$HE$512,"="&amp;SUBSTITUTE(SUBSTITUTE(SUBSTITUTE('Calculations'!IE379,"~","~~"),"*","~*"),"?","~?"))&gt;1,"!AMBIG",IFERROR(INDEX('Calculations'!$HF$13:$HF$512,MATCH('Calculations'!IE379,'Calculations'!$HE$13:$HE$512,0)),""))))</x:f>
      </x:c>
      <x:c r="IG379" t="str">
        <x:f>IF('Calculations'!IF379="","",IF('Calculations'!IF379="!AMBIG","!AMBIG",IF(COUNTIF('Calculations'!$HE$13:$HE$512,"="&amp;SUBSTITUTE(SUBSTITUTE(SUBSTITUTE('Calculations'!IF379,"~","~~"),"*","~*"),"?","~?"))&gt;1,"!AMBIG",IFERROR(INDEX('Calculations'!$HF$13:$HF$512,MATCH('Calculations'!IF379,'Calculations'!$HE$13:$HE$512,0)),""))))</x:f>
      </x:c>
      <x:c r="IH379" t="str">
        <x:f>IF('Calculations'!IG379="","",IF('Calculations'!IG379="!AMBIG","!AMBIG",IF(COUNTIF('Calculations'!$HE$13:$HE$512,"="&amp;SUBSTITUTE(SUBSTITUTE(SUBSTITUTE('Calculations'!IG379,"~","~~"),"*","~*"),"?","~?"))&gt;1,"!AMBIG",IFERROR(INDEX('Calculations'!$HF$13:$HF$512,MATCH('Calculations'!IG379,'Calculations'!$HE$13:$HE$512,0)),""))))</x:f>
      </x:c>
      <x:c r="II379" t="str">
        <x:f>IF('Calculations'!IH379="","",IF('Calculations'!IH379="!AMBIG","!AMBIG",IF(COUNTIF('Calculations'!$HE$13:$HE$512,"="&amp;SUBSTITUTE(SUBSTITUTE(SUBSTITUTE('Calculations'!IH379,"~","~~"),"*","~*"),"?","~?"))&gt;1,"!AMBIG",IFERROR(INDEX('Calculations'!$HF$13:$HF$512,MATCH('Calculations'!IH379,'Calculations'!$HE$13:$HE$512,0)),""))))</x:f>
      </x:c>
      <x:c r="IJ379" t="str">
        <x:f>IF('Calculations'!EM379="","",IF('Calculations'!$EF$2="All",'Calculations'!HM379,IF('Calculations'!HL379=1,"",IFERROR(IF(MATCH('Calculations'!$EF$2,'Calculations'!HO379:II379,0)=1,'Calculations'!HE379,INDEX('Calculations'!HO379:II379,1,MATCH('Calculations'!$EF$2,'Calculations'!HO379:II379,0)-1)),""))))</x:f>
      </x:c>
      <x:c r="IK379" t="n">
        <x:f>IF(AND('Calculations'!EM379&lt;&gt;"",'Calculations'!$EF$2&lt;&gt;"All",'Calculations'!HF379='Calculations'!$EF$2,'Calculations'!HL379=0,'Calculations'!JD379&gt;0),MAX('Calculations'!$IK$12:IK378)+1,0)</x:f>
        <x:v>0</x:v>
      </x:c>
      <x:c r="JA379" t="n">
        <x:f>IF(OR(IFERROR(INDIRECT("'WCM Calibration Final'!$A$379")&lt;&gt;"",FALSE),IFERROR(INDIRECT("'WCM Calibration Final'!$B$379")&lt;&gt;"",FALSE),IFERROR(INDIRECT("'WCM Calibration Final'!$C$379")&lt;&gt;"",FALSE)),379,0)</x:f>
        <x:v>0</x:v>
      </x:c>
      <x:c r="JB379" t="n">
        <x:f>'Calculations'!JB378+IF('Calculations'!JA379&gt;0,1,0)</x:f>
        <x:v>0</x:v>
      </x:c>
      <x:c r="JC379" t="n">
        <x:f>IF(OR('Calculations'!HF379="",'Calculations'!HF379="!AMBIG"),0,IF('Dashboard'!$B$7="All",1,COUNTIFS('Calculations'!$HO$13:$HO$512,"="&amp;SUBSTITUTE(SUBSTITUTE(SUBSTITUTE('Calculations'!HF379,"~","~~"),"*","~*"),"?","~?"),'Calculations'!$HN$13:$HN$512,"="&amp;SUBSTITUTE(SUBSTITUTE(SUBSTITUTE('Dashboard'!$B$7,"~","~~"),"*","~*"),"?","~?"))+COUNTIFS('Calculations'!$HP$13:$HP$512,"="&amp;SUBSTITUTE(SUBSTITUTE(SUBSTITUTE('Calculations'!HF379,"~","~~"),"*","~*"),"?","~?"),'Calculations'!$HN$13:$HN$512,"="&amp;SUBSTITUTE(SUBSTITUTE(SUBSTITUTE('Dashboard'!$B$7,"~","~~"),"*","~*"),"?","~?"))+COUNTIFS('Calculations'!$HQ$13:$HQ$512,"="&amp;SUBSTITUTE(SUBSTITUTE(SUBSTITUTE('Calculations'!HF379,"~","~~"),"*","~*"),"?","~?"),'Calculations'!$HN$13:$HN$512,"="&amp;SUBSTITUTE(SUBSTITUTE(SUBSTITUTE('Dashboard'!$B$7,"~","~~"),"*","~*"),"?","~?"))+COUNTIFS('Calculations'!$HR$13:$HR$512,"="&amp;SUBSTITUTE(SUBSTITUTE(SUBSTITUTE('Calculations'!HF379,"~","~~"),"*","~*"),"?","~?"),'Calculations'!$HN$13:$HN$512,"="&amp;SUBSTITUTE(SUBSTITUTE(SUBSTITUTE('Dashboard'!$B$7,"~","~~"),"*","~*"),"?","~?"))+COUNTIFS('Calculations'!$HS$13:$HS$512,"="&amp;SUBSTITUTE(SUBSTITUTE(SUBSTITUTE('Calculations'!HF379,"~","~~"),"*","~*"),"?","~?"),'Calculations'!$HN$13:$HN$512,"="&amp;SUBSTITUTE(SUBSTITUTE(SUBSTITUTE('Dashboard'!$B$7,"~","~~"),"*","~*"),"?","~?"))+COUNTIFS('Calculations'!$HT$13:$HT$512,"="&amp;SUBSTITUTE(SUBSTITUTE(SUBSTITUTE('Calculations'!HF379,"~","~~"),"*","~*"),"?","~?"),'Calculations'!$HN$13:$HN$512,"="&amp;SUBSTITUTE(SUBSTITUTE(SUBSTITUTE('Dashboard'!$B$7,"~","~~"),"*","~*"),"?","~?"))+COUNTIFS('Calculations'!$HU$13:$HU$512,"="&amp;SUBSTITUTE(SUBSTITUTE(SUBSTITUTE('Calculations'!HF379,"~","~~"),"*","~*"),"?","~?"),'Calculations'!$HN$13:$HN$512,"="&amp;SUBSTITUTE(SUBSTITUTE(SUBSTITUTE('Dashboard'!$B$7,"~","~~"),"*","~*"),"?","~?"))+COUNTIFS('Calculations'!$HV$13:$HV$512,"="&amp;SUBSTITUTE(SUBSTITUTE(SUBSTITUTE('Calculations'!HF379,"~","~~"),"*","~*"),"?","~?"),'Calculations'!$HN$13:$HN$512,"="&amp;SUBSTITUTE(SUBSTITUTE(SUBSTITUTE('Dashboard'!$B$7,"~","~~"),"*","~*"),"?","~?"))+COUNTIFS('Calculations'!$HW$13:$HW$512,"="&amp;SUBSTITUTE(SUBSTITUTE(SUBSTITUTE('Calculations'!HF379,"~","~~"),"*","~*"),"?","~?"),'Calculations'!$HN$13:$HN$512,"="&amp;SUBSTITUTE(SUBSTITUTE(SUBSTITUTE('Dashboard'!$B$7,"~","~~"),"*","~*"),"?","~?"))+COUNTIFS('Calculations'!$HX$13:$HX$512,"="&amp;SUBSTITUTE(SUBSTITUTE(SUBSTITUTE('Calculations'!HF379,"~","~~"),"*","~*"),"?","~?"),'Calculations'!$HN$13:$HN$512,"="&amp;SUBSTITUTE(SUBSTITUTE(SUBSTITUTE('Dashboard'!$B$7,"~","~~"),"*","~*"),"?","~?"))+COUNTIFS('Calculations'!$HY$13:$HY$512,"="&amp;SUBSTITUTE(SUBSTITUTE(SUBSTITUTE('Calculations'!HF379,"~","~~"),"*","~*"),"?","~?"),'Calculations'!$HN$13:$HN$512,"="&amp;SUBSTITUTE(SUBSTITUTE(SUBSTITUTE('Dashboard'!$B$7,"~","~~"),"*","~*"),"?","~?"))+COUNTIFS('Calculations'!$HZ$13:$HZ$512,"="&amp;SUBSTITUTE(SUBSTITUTE(SUBSTITUTE('Calculations'!HF379,"~","~~"),"*","~*"),"?","~?"),'Calculations'!$HN$13:$HN$512,"="&amp;SUBSTITUTE(SUBSTITUTE(SUBSTITUTE('Dashboard'!$B$7,"~","~~"),"*","~*"),"?","~?"))+COUNTIFS('Calculations'!$IA$13:$IA$512,"="&amp;SUBSTITUTE(SUBSTITUTE(SUBSTITUTE('Calculations'!HF379,"~","~~"),"*","~*"),"?","~?"),'Calculations'!$HN$13:$HN$512,"="&amp;SUBSTITUTE(SUBSTITUTE(SUBSTITUTE('Dashboard'!$B$7,"~","~~"),"*","~*"),"?","~?"))+COUNTIFS('Calculations'!$IB$13:$IB$512,"="&amp;SUBSTITUTE(SUBSTITUTE(SUBSTITUTE('Calculations'!HF379,"~","~~"),"*","~*"),"?","~?"),'Calculations'!$HN$13:$HN$512,"="&amp;SUBSTITUTE(SUBSTITUTE(SUBSTITUTE('Dashboard'!$B$7,"~","~~"),"*","~*"),"?","~?"))+COUNTIFS('Calculations'!$IC$13:$IC$512,"="&amp;SUBSTITUTE(SUBSTITUTE(SUBSTITUTE('Calculations'!HF379,"~","~~"),"*","~*"),"?","~?"),'Calculations'!$HN$13:$HN$512,"="&amp;SUBSTITUTE(SUBSTITUTE(SUBSTITUTE('Dashboard'!$B$7,"~","~~"),"*","~*"),"?","~?"))+COUNTIFS('Calculations'!$ID$13:$ID$512,"="&amp;SUBSTITUTE(SUBSTITUTE(SUBSTITUTE('Calculations'!HF379,"~","~~"),"*","~*"),"?","~?"),'Calculations'!$HN$13:$HN$512,"="&amp;SUBSTITUTE(SUBSTITUTE(SUBSTITUTE('Dashboard'!$B$7,"~","~~"),"*","~*"),"?","~?"))+COUNTIFS('Calculations'!$IE$13:$IE$512,"="&amp;SUBSTITUTE(SUBSTITUTE(SUBSTITUTE('Calculations'!HF379,"~","~~"),"*","~*"),"?","~?"),'Calculations'!$HN$13:$HN$512,"="&amp;SUBSTITUTE(SUBSTITUTE(SUBSTITUTE('Dashboard'!$B$7,"~","~~"),"*","~*"),"?","~?"))+COUNTIFS('Calculations'!$IF$13:$IF$512,"="&amp;SUBSTITUTE(SUBSTITUTE(SUBSTITUTE('Calculations'!HF379,"~","~~"),"*","~*"),"?","~?"),'Calculations'!$HN$13:$HN$512,"="&amp;SUBSTITUTE(SUBSTITUTE(SUBSTITUTE('Dashboard'!$B$7,"~","~~"),"*","~*"),"?","~?"))+COUNTIFS('Calculations'!$IG$13:$IG$512,"="&amp;SUBSTITUTE(SUBSTITUTE(SUBSTITUTE('Calculations'!HF379,"~","~~"),"*","~*"),"?","~?"),'Calculations'!$HN$13:$HN$512,"="&amp;SUBSTITUTE(SUBSTITUTE(SUBSTITUTE('Dashboard'!$B$7,"~","~~"),"*","~*"),"?","~?"))+COUNTIFS('Calculations'!$IH$13:$IH$512,"="&amp;SUBSTITUTE(SUBSTITUTE(SUBSTITUTE('Calculations'!HF379,"~","~~"),"*","~*"),"?","~?"),'Calculations'!$HN$13:$HN$512,"="&amp;SUBSTITUTE(SUBSTITUTE(SUBSTITUTE('Dashboard'!$B$7,"~","~~"),"*","~*"),"?","~?"))))</x:f>
        <x:v>0</x:v>
      </x:c>
      <x:c r="JD379" t="n">
        <x:f>IF('Calculations'!EM379="",0,IF('Dashboard'!$B$7="All",1,IF('Calculations'!HN379='Dashboard'!$B$7,1,0)+IFERROR(INDEX('Calculations'!$JC$13:$JC$512,MATCH('Calculations'!HE379,'Calculations'!$HF$13:$HF$512,0)),0)))</x:f>
        <x:v>0</x:v>
      </x:c>
      <x:c r="JE379" t="n">
        <x:f>IF(AND('Calculations'!EM379&lt;&gt;"",'Calculations'!$JJ$2&lt;&gt;"All",'Calculations'!$JJ$2&lt;&gt;"",'Calculations'!HF379='Calculations'!$JJ$2,'Calculations'!HL379=0,'Calculations'!JD379&gt;0),MAX('Calculations'!$JE$12:JE378)+1,0)</x:f>
        <x:v>0</x:v>
      </x:c>
      <x:c r="JF379" t="str">
        <x:f>IF('Calculations'!EM379="","",IFERROR(IF(INDEX(INDIRECT("'WCM Calibration Final'!$G$1:$G$2000"),'Calculations'!$EM379)="","",TRIM(INDEX(INDIRECT("'WCM Calibration Final'!$G$1:$G$2000"),'Calculations'!$EM379)&amp;"")),""))</x:f>
      </x:c>
      <x:c r="JQ379" t="n">
        <x:f>IF(OR('Calculations'!BM379=0,NOT('Calculations'!$AG$2),'Calculations'!$AG$8&gt;0),0,IF(OR('Dashboard'!$B$7="All",'Calculations'!HN379='Dashboard'!$B$7),IF('Calculations'!$JJ$2="All",1,IF(AND('Calculations'!HF379='Calculations'!$JJ$2,'Calculations'!HL379=0),1,0)),0))</x:f>
        <x:v>0</x:v>
      </x:c>
    </x:row>
    <x:row r="380">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t="n">
        <x:f>IF('Calculations'!$EM380="",0,IF(OR(IFERROR(INDEX(INDIRECT("'WCM Calibration Final'!$A$1:$A$2000"),'Calculations'!$EM380)&lt;&gt;"",FALSE),IFERROR(INDEX(INDIRECT("'WCM Calibration Final'!$B$1:$B$2000"),'Calculations'!$EM380)&lt;&gt;"",FALSE),IFERROR(INDEX(INDIRECT("'WCM Calibration Final'!$C$1:$C$2000"),'Calculations'!$EM380)&lt;&gt;"",FALSE)),1,0))</x:f>
        <x:v>0</x:v>
      </x:c>
      <x:c r="BN380" s="4" t="n">
        <x:f>IF(AND('Calculations'!BM380=1,'Calculations'!$AG$2,'Calculations'!$EN380=1),1,0)</x:f>
        <x:v>0</x:v>
      </x:c>
      <x:c r="BO380" s="4" t="str">
        <x:f>IF('Calculations'!BM380=0,"",IFERROR(IF(AND(VALUE(INDEX(INDIRECT("'WCM Calibration Final'!$K$1:$K$2000"),'Calculations'!$EM380))&gt;=1,VALUE(INDEX(INDIRECT("'WCM Calibration Final'!$K$1:$K$2000"),'Calculations'!$EM380))&lt;=4,MOD(VALUE(INDEX(INDIRECT("'WCM Calibration Final'!$K$1:$K$2000"),'Calculations'!$EM380)),1)=0),VALUE(INDEX(INDIRECT("'WCM Calibration Final'!$K$1:$K$2000"),'Calculations'!$EM380)),""),""))</x:f>
      </x:c>
      <x:c r="BP380" s="4" t="str">
        <x:f>IF('Calculations'!BM380=0,"",IFERROR(IF(AND(VALUE(INDEX(INDIRECT("'WCM Calibration Final'!$L$1:$L$2000"),'Calculations'!$EM380))&gt;=1,VALUE(INDEX(INDIRECT("'WCM Calibration Final'!$L$1:$L$2000"),'Calculations'!$EM380))&lt;=4,MOD(VALUE(INDEX(INDIRECT("'WCM Calibration Final'!$L$1:$L$2000"),'Calculations'!$EM380)),1)=0),VALUE(INDEX(INDIRECT("'WCM Calibration Final'!$L$1:$L$2000"),'Calculations'!$EM380)),""),""))</x:f>
      </x:c>
      <x:c r="BQ380" s="4"/>
      <x:c r="BR380" s="4"/>
      <x:c r="BS380" s="4"/>
      <x:c r="BT380" s="4" t="n">
        <x:f>IF(AND('Calculations'!BM380=1,ISNUMBER('Calculations'!BO380),ISNUMBER('Calculations'!BP380)),1,0)</x:f>
        <x:v>0</x:v>
      </x:c>
      <x:c r="BU380" s="4" t="str">
        <x:f>IF('Calculations'!BM380=0,"",'Calculations'!$EO380)</x:f>
      </x:c>
      <x:c r="BV380" s="4" t="str">
        <x:f>IF('Calculations'!BM380=0,"",IFERROR(IF(OR(INDEX(INDIRECT("'WCM Calibration Final'!$H$1:$H$2000"),'Calculations'!$EM380)="MANAGING DIRECTOR",INDEX(INDIRECT("'WCM Calibration Final'!$H$1:$H$2000"),'Calculations'!$EM380)="DIRECTOR",INDEX(INDIRECT("'WCM Calibration Final'!$H$1:$H$2000"),'Calculations'!$EM380)="SENIOR VICE PRESIDENT",INDEX(INDIRECT("'WCM Calibration Final'!$H$1:$H$2000"),'Calculations'!$EM380)="VICE PRESIDENT",INDEX(INDIRECT("'WCM Calibration Final'!$H$1:$H$2000"),'Calculations'!$EM380)="ASSISTANT VICE PRESIDENT",INDEX(INDIRECT("'WCM Calibration Final'!$H$1:$H$2000"),'Calculations'!$EM380)="OFFICER"),UPPER(INDEX(INDIRECT("'WCM Calibration Final'!$H$1:$H$2000"),'Calculations'!$EM380)),"Other"),"Other"))</x:f>
      </x:c>
      <x:c r="BW380" s="4"/>
      <x:c r="BX380" s="4"/>
      <x:c r="BY380" s="4" t="n">
        <x:f>IF(AND('Calculations'!BM380=1,'Calculations'!BU380&lt;&gt;"",COUNTIF('Calculations'!$BU$12:BU380,'Calculations'!BU380)=1),MAX('Calculations'!$BY$11:BY379)+1,0)</x:f>
        <x:v>0</x:v>
      </x:c>
      <x:c r="BZ380" s="4" t="str">
        <x:f>IF('Dashboard'!$E$67="What",'Calculations'!BO380,'Calculations'!BP380)</x:f>
      </x:c>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t="str">
        <x:f>IF(369&gt;MAX('Calculations'!$HI$13:$HI$512),"",INDEX('Calculations'!$HN$13:$HN$512,MATCH(369,'Calculations'!$HI$13:$HI$512,0)))</x:f>
      </x:c>
      <x:c r="DB380" s="4" t="str">
        <x:f>IF(369&gt;MAX('Calculations'!$HH$13:$HH$512),"",INDEX('Calculations'!$HJ$13:$HJ$512,MATCH(369,'Calculations'!$HH$13:$HH$512,0)))</x:f>
      </x:c>
      <x:c r="DC380" s="4" t="str">
        <x:f>IF(ROW()-11&gt;MAX('Calculations'!$BY$13:$BY$512),"",INDEX('Calculations'!$BU$13:$BU$512,MATCH(ROW()-11,'Calculations'!$BY$13:$BY$512,0)))</x:f>
      </x:c>
      <x:c r="DD380" s="4" t="str">
        <x:f>IF(369&gt;MAX('Calculations'!$IK$13:$IK$512),"",INDEX('Calculations'!$HK$13:$HK$512,MATCH(369,'Calculations'!$IK$13:$IK$512,0)))</x:f>
      </x:c>
      <x:c r="DE380" s="4" t="str">
        <x:f>'Calculations'!DC380</x:f>
      </x:c>
      <x:c r="DF380" s="4" t="str">
        <x:f>IF('Calculations'!DE380="","",COUNTIFS('Calculations'!$BN$13:$BN$512,1,'Calculations'!$BU$13:$BU$512,'Calculations'!DE380))</x:f>
      </x:c>
      <x:c r="DG380" s="4" t="str">
        <x:f>IF('Calculations'!DE380="","",COUNTIFS('Calculations'!$BN$13:$BN$512,1,'Calculations'!$BU$13:$BU$512,'Calculations'!DE380,'Calculations'!$BT$13:$BT$512,1))</x:f>
      </x:c>
      <x:c r="DH380" s="4" t="str">
        <x:f>IF('Calculations'!DE380="","",'Calculations'!DF380-'Calculations'!DG380)</x:f>
      </x:c>
      <x:c r="DI380" s="4" t="str">
        <x:f>IF(OR('Calculations'!DE380="",'Calculations'!DF380=0),"",'Calculations'!DG380/'Calculations'!DF380)</x:f>
      </x:c>
      <x:c r="DJ380" s="4" t="str">
        <x:f>IF('Calculations'!DE380="","",COUNTIFS('Calculations'!$BN$13:$BN$512,1,'Calculations'!$BU$13:$BU$512,'Calculations'!DE380,'Calculations'!$BT$13:$BT$512,1,'Calculations'!$EE$13:$EE$512,"High"))</x:f>
      </x:c>
      <x:c r="DK380" s="4" t="str">
        <x:f>IF('Calculations'!DE380="","",COUNTIFS('Calculations'!$BN$13:$BN$512,1,'Calculations'!$BU$13:$BU$512,'Calculations'!DE380,'Calculations'!$BT$13:$BT$512,1,'Calculations'!$EE$13:$EE$512,"Strong"))</x:f>
      </x:c>
      <x:c r="DL380" s="4" t="str">
        <x:f>IF('Calculations'!DE380="","",COUNTIFS('Calculations'!$BN$13:$BN$512,1,'Calculations'!$BU$13:$BU$512,'Calculations'!DE380,'Calculations'!$BT$13:$BT$512,1,'Calculations'!$EE$13:$EE$512,"Solid"))</x:f>
      </x:c>
      <x:c r="DM380" s="4" t="str">
        <x:f>IF('Calculations'!DE380="","",COUNTIFS('Calculations'!$BN$13:$BN$512,1,'Calculations'!$BU$13:$BU$512,'Calculations'!DE380,'Calculations'!$BT$13:$BT$512,1,'Calculations'!$EE$13:$EE$512,"Low"))</x:f>
      </x:c>
      <x:c r="DN380" s="4" t="str">
        <x:f>IF('Calculations'!DE380="","",COUNTIFS('Calculations'!$BN$13:$BN$512,1,'Calculations'!$BU$13:$BU$512,'Calculations'!DE380,'Calculations'!$EP$13:$EP$512,1))</x:f>
      </x:c>
      <x:c r="DO380" s="4" t="str">
        <x:f>IF(OR('Calculations'!DE380="",'Calculations'!DG380=0),"",('Calculations'!DJ380+'Calculations'!DK380)/'Calculations'!DG380)</x:f>
      </x:c>
      <x:c r="DP380" s="4" t="n">
        <x:f>IF(AND('Calculations'!DE380&lt;&gt;"",'Calculations'!DF380&gt;0),COUNTIF('Calculations'!$DF$12:DF380,"&gt;0"),0)</x:f>
        <x:v>0</x:v>
      </x:c>
      <x:c r="DQ380" s="4" t="str">
        <x:f>IF(369&gt;MAX('Calculations'!$HH$13:$HH$512),"",INDEX('Calculations'!$HF$13:$HF$512,MATCH(369,'Calculations'!$HH$13:$HH$512,0)))</x:f>
      </x:c>
      <x:c r="DR380" s="4" t="str">
        <x:f>IF(369&gt;MAX('Calculations'!$IK$13:$IK$512),"",INDEX('Calculations'!$HE$13:$HE$512,MATCH(369,'Calculations'!$IK$13:$IK$512,0)))</x:f>
      </x:c>
      <x:c r="DS380" s="4"/>
      <x:c r="DT380" s="4"/>
      <x:c r="DU380" s="4"/>
      <x:c r="DV380" s="4"/>
      <x:c r="DW380" s="4"/>
      <x:c r="DX380" s="4"/>
      <x:c r="DY380" s="4"/>
      <x:c r="DZ380" s="4"/>
      <x:c r="EA380" s="4"/>
      <x:c r="EB380" s="4"/>
      <x:c r="EC380" s="4"/>
      <x:c r="ED380" s="4"/>
      <x:c r="EE380" s="4" t="str">
        <x:f>IF('Calculations'!BT380=0,"Not Rated",IF(OR('Calculations'!BO380&gt;=4,'Calculations'!BP380&gt;=4),"Low",IF('Calculations'!BO380+'Calculations'!BP380&lt;=3,"High",IF('Calculations'!BO380+'Calculations'!BP380&lt;=4,"Strong","Solid"))))</x:f>
        <x:v>Not Rated</x:v>
      </x:c>
      <x:c r="EF380" s="4"/>
      <x:c r="EG380" s="4"/>
      <x:c r="EH380" s="4"/>
      <x:c r="EI380" s="4"/>
      <x:c r="EJ380" s="4"/>
      <x:c r="EK380" s="4"/>
      <x:c r="EL380" s="4"/>
      <x:c r="EM380" s="4" t="str">
        <x:f>IF(368&gt;'Calculations'!$JB$2000,"",INDEX('Calculations'!$JA$12:$JA$2000,MATCH(368,'Calculations'!$JB$12:$JB$2000,0)))</x:f>
      </x:c>
      <x:c r="EN380" s="4" t="n">
        <x:f>IF(OR('Calculations'!EM380="",'Calculations'!$AG$8&gt;0,AND('Calculations'!$EF$2&lt;&gt;"All",'Calculations'!HE380='Calculations'!$EF$2),AND('Calculations'!$EF$3&lt;&gt;"All",'Calculations'!HE380='Calculations'!$EF$3)),0,IF(OR('Dashboard'!$B$7="All",'Calculations'!HN380='Dashboard'!$B$7),IF('Calculations'!$EF$2="All",1,IF('Calculations'!HL380&gt;0,0,IF(COUNTIF('Calculations'!HO380:II380,"="&amp;SUBSTITUTE(SUBSTITUTE(SUBSTITUTE('Calculations'!$EF$2,"~","~~"),"*","~*"),"?","~?"))=0,0,IF('Calculations'!$EF$3="All",1,IF(COUNTIF('Calculations'!HO380:II380,"="&amp;SUBSTITUTE(SUBSTITUTE(SUBSTITUTE('Calculations'!$EF$3,"~","~~"),"*","~*"),"?","~?"))&gt;0,1,0))))),0))</x:f>
        <x:v>0</x:v>
      </x:c>
      <x:c r="EO380" s="4" t="str">
        <x:f>IF('Calculations'!IJ380="","",IF('Calculations'!IJ380="!UNRESOLVED","Unresolved hierarchy",IFERROR(INDEX('Calculations'!$HK$13:$HK$512,MATCH('Calculations'!IJ380,'Calculations'!$HE$13:$HE$512,0)),IFERROR(INDEX('Calculations'!$HJ$13:$HJ$512,MATCH('Calculations'!IJ380,'Calculations'!$HF$13:$HF$512,0)),'Calculations'!IJ380))))</x:f>
      </x:c>
      <x:c r="EP380" s="4" t="n">
        <x:f>IF(AND('Calculations'!EM380&lt;&gt;"",'Calculations'!HF380='Calculations'!IJ380),1,0)</x:f>
        <x:v>0</x:v>
      </x:c>
      <x:c r="EQ380" s="4"/>
      <x:c r="ER380" s="4"/>
      <x:c r="ES380" s="4"/>
      <x:c r="ET380" s="4"/>
      <x:c r="EU380" s="4"/>
      <x:c r="EV380" s="4"/>
      <x:c r="EW380" s="4"/>
      <x:c r="EX380" s="4"/>
      <x:c r="EY380" s="4"/>
      <x:c r="EZ380" s="4"/>
      <x:c r="FA380" s="4"/>
      <x:c r="FB380" s="4"/>
      <x:c r="FC380" s="4"/>
      <x:c r="FD380" s="4"/>
      <x:c r="FE380" s="4"/>
      <x:c r="FF380" s="4"/>
      <x:c r="FG380" s="4"/>
      <x:c r="FH380" s="4"/>
      <x:c r="FI380" s="4"/>
      <x:c r="FJ380" s="4"/>
      <x:c r="FK380" s="4"/>
      <x:c r="FL380" s="4"/>
      <x:c r="FM380" s="4"/>
      <x:c r="FN380" s="4"/>
      <x:c r="FO380" s="4"/>
      <x:c r="HE380" t="str">
        <x:f>IF('Calculations'!EM380="","",IF(IFERROR(IF(INDEX(INDIRECT("'WCM Calibration Final'!$A$1:$A$2000"),'Calculations'!$EM380)="","",TRIM(INDEX(INDIRECT("'WCM Calibration Final'!$A$1:$A$2000"),'Calculations'!$EM380)&amp;"")),"")&lt;&gt;"","G:"&amp;IFERROR(TEXT(1*INDEX(INDIRECT("'WCM Calibration Final'!$A$1:$A$2000"),'Calculations'!$EM380),"0"),UPPER(IFERROR(IF(INDEX(INDIRECT("'WCM Calibration Final'!$A$1:$A$2000"),'Calculations'!$EM380)="","",TRIM(INDEX(INDIRECT("'WCM Calibration Final'!$A$1:$A$2000"),'Calculations'!$EM380)&amp;"")),""))),IF(IFERROR(IF(INDEX(INDIRECT("'WCM Calibration Final'!$C$1:$C$2000"),'Calculations'!$EM380)="","",TRIM(INDEX(INDIRECT("'WCM Calibration Final'!$C$1:$C$2000"),'Calculations'!$EM380)&amp;"")),"")&lt;&gt;"","S:"&amp;UPPER(IFERROR(IF(INDEX(INDIRECT("'WCM Calibration Final'!$C$1:$C$2000"),'Calculations'!$EM380)="","",TRIM(INDEX(INDIRECT("'WCM Calibration Final'!$C$1:$C$2000"),'Calculations'!$EM380)&amp;"")),"")),"R:"&amp;'Calculations'!EM380)))</x:f>
      </x:c>
      <x:c r="HF380" t="str">
        <x:f>IF('Calculations'!EM380="","",IF(IFERROR(IF(INDEX(INDIRECT("'WCM Calibration Final'!$D$1:$D$2000"),'Calculations'!$EM380)="","",TRIM(INDEX(INDIRECT("'WCM Calibration Final'!$D$1:$D$2000"),'Calculations'!$EM380)&amp;"")),"")&lt;&gt;"","G:"&amp;IFERROR(TEXT(1*INDEX(INDIRECT("'WCM Calibration Final'!$D$1:$D$2000"),'Calculations'!$EM380),"0"),UPPER(IFERROR(IF(INDEX(INDIRECT("'WCM Calibration Final'!$D$1:$D$2000"),'Calculations'!$EM380)="","",TRIM(INDEX(INDIRECT("'WCM Calibration Final'!$D$1:$D$2000"),'Calculations'!$EM380)&amp;"")),""))),IF(IFERROR(IF(INDEX(INDIRECT("'WCM Calibration Final'!$E$1:$E$2000"),'Calculations'!$EM380)="","",TRIM(INDEX(INDIRECT("'WCM Calibration Final'!$E$1:$E$2000"),'Calculations'!$EM380)&amp;"")),"")="","",IF(COUNTIF('Calculations'!$HG$13:$HG$512,"="&amp;SUBSTITUTE(SUBSTITUTE(SUBSTITUTE(IFERROR(IF(INDEX(INDIRECT("'WCM Calibration Final'!$E$1:$E$2000"),'Calculations'!$EM380)="","",TRIM(INDEX(INDIRECT("'WCM Calibration Final'!$E$1:$E$2000"),'Calculations'!$EM380)&amp;"")),""),"~","~~"),"*","~*"),"?","~?"))=1,INDEX('Calculations'!$HE$13:$HE$512,MATCH(IFERROR(IF(INDEX(INDIRECT("'WCM Calibration Final'!$E$1:$E$2000"),'Calculations'!$EM380)="","",TRIM(INDEX(INDIRECT("'WCM Calibration Final'!$E$1:$E$2000"),'Calculations'!$EM380)&amp;"")),""),'Calculations'!$HG$13:$HG$512,0)),IF(COUNTIF('Calculations'!$HG$13:$HG$512,"="&amp;SUBSTITUTE(SUBSTITUTE(SUBSTITUTE(IFERROR(IF(INDEX(INDIRECT("'WCM Calibration Final'!$E$1:$E$2000"),'Calculations'!$EM380)="","",TRIM(INDEX(INDIRECT("'WCM Calibration Final'!$E$1:$E$2000"),'Calculations'!$EM380)&amp;"")),""),"~","~~"),"*","~*"),"?","~?"))&gt;1,"!AMBIG","X:"&amp;IFERROR(IF(INDEX(INDIRECT("'WCM Calibration Final'!$E$1:$E$2000"),'Calculations'!$EM380)="","",TRIM(INDEX(INDIRECT("'WCM Calibration Final'!$E$1:$E$2000"),'Calculations'!$EM380)&amp;"")),""))))))</x:f>
      </x:c>
      <x:c r="HG380" t="str">
        <x:f>IF('Calculations'!EM380="","",IFERROR(IF(INDEX(INDIRECT("'WCM Calibration Final'!$B$1:$B$2000"),'Calculations'!$EM380)="","",TRIM(INDEX(INDIRECT("'WCM Calibration Final'!$B$1:$B$2000"),'Calculations'!$EM380)&amp;"")),""))</x:f>
      </x:c>
      <x:c r="HH380" t="n">
        <x:f>IF(AND('Calculations'!JC380&gt;0,COUNTIF('Calculations'!$HF$12:HF380,"="&amp;SUBSTITUTE(SUBSTITUTE(SUBSTITUTE('Calculations'!HF380,"~","~~"),"*","~*"),"?","~?"))=1),MAX('Calculations'!$HH$12:HH379)+1,0)</x:f>
        <x:v>0</x:v>
      </x:c>
      <x:c r="HI380" t="n">
        <x:f>IF(AND('Calculations'!HN380&lt;&gt;"",COUNTIF('Calculations'!$HN$12:HN380,"="&amp;SUBSTITUTE(SUBSTITUTE(SUBSTITUTE('Calculations'!HN380,"~","~~"),"*","~*"),"?","~?"))=1),MAX('Calculations'!$HI$12:HI379)+1,0)</x:f>
        <x:v>0</x:v>
      </x:c>
      <x:c r="HJ380" t="str">
        <x:f>IF('Calculations'!HF380="","",IF(COUNTIF('Calculations'!$HE$13:$HE$512,"="&amp;SUBSTITUTE(SUBSTITUTE(SUBSTITUTE('Calculations'!HF380,"~","~~"),"*","~*"),"?","~?"))=1,INDEX('Calculations'!$HK$13:$HK$512,MATCH('Calculations'!HF380,'Calculations'!$HE$13:$HE$512,0)),IFERROR(IF(INDEX(INDIRECT("'WCM Calibration Final'!$E$1:$E$2000"),'Calculations'!$EM380)="","",TRIM(INDEX(INDIRECT("'WCM Calibration Final'!$E$1:$E$2000"),'Calculations'!$EM380)&amp;"")),"")&amp;" ["&amp;'Calculations'!HF380&amp;"]"))</x:f>
      </x:c>
      <x:c r="HK380" t="str">
        <x:f>IF('Calculations'!EM380="","",'Calculations'!HG380&amp;" ["&amp;'Calculations'!HE380&amp;"]")</x:f>
      </x:c>
      <x:c r="HL380" t="n">
        <x:f>IF('Calculations'!EM380="",0,IF(OR('Calculations'!II380&lt;&gt;"",COUNTIF('Calculations'!$HE$13:$HE$512,"="&amp;SUBSTITUTE(SUBSTITUTE(SUBSTITUTE('Calculations'!HE380,"~","~~"),"*","~*"),"?","~?"))&gt;1),1,0))</x:f>
        <x:v>0</x:v>
      </x:c>
      <x:c r="HM380" t="str">
        <x:f>IF('Calculations'!EM380="","",IF('Calculations'!HL380=1,"!UNRESOLVED",IF('Calculations'!IH380&lt;&gt;"",'Calculations'!IH380,IF('Calculations'!IG380&lt;&gt;"",'Calculations'!IG380,IF('Calculations'!IF380&lt;&gt;"",'Calculations'!IF380,IF('Calculations'!IE380&lt;&gt;"",'Calculations'!IE380,IF('Calculations'!ID380&lt;&gt;"",'Calculations'!ID380,IF('Calculations'!IC380&lt;&gt;"",'Calculations'!IC380,IF('Calculations'!IB380&lt;&gt;"",'Calculations'!IB380,IF('Calculations'!IA380&lt;&gt;"",'Calculations'!IA380,IF('Calculations'!HZ380&lt;&gt;"",'Calculations'!HZ380,IF('Calculations'!HY380&lt;&gt;"",'Calculations'!HY380,IF('Calculations'!HX380&lt;&gt;"",'Calculations'!HX380,IF('Calculations'!HW380&lt;&gt;"",'Calculations'!HW380,IF('Calculations'!HV380&lt;&gt;"",'Calculations'!HV380,IF('Calculations'!HU380&lt;&gt;"",'Calculations'!HU380,IF('Calculations'!HT380&lt;&gt;"",'Calculations'!HT380,IF('Calculations'!HS380&lt;&gt;"",'Calculations'!HS380,IF('Calculations'!HR380&lt;&gt;"",'Calculations'!HR380,IF('Calculations'!HQ380&lt;&gt;"",'Calculations'!HQ380,IF('Calculations'!HP380&lt;&gt;"",'Calculations'!HP380,IF('Calculations'!HO380&lt;&gt;"",'Calculations'!HO380,'Calculations'!HE380))))))))))))))))))))))</x:f>
      </x:c>
      <x:c r="HN380" t="str">
        <x:f>IF('Calculations'!EM380="","",IF(IFERROR(IF(INDEX(INDIRECT("'WCM Calibration Final'!$F$1:$F$2000"),'Calculations'!$EM380)="","",TRIM(INDEX(INDIRECT("'WCM Calibration Final'!$F$1:$F$2000"),'Calculations'!$EM380)&amp;"")),"")="","(Blank)",IFERROR(IF(INDEX(INDIRECT("'WCM Calibration Final'!$F$1:$F$2000"),'Calculations'!$EM380)="","",TRIM(INDEX(INDIRECT("'WCM Calibration Final'!$F$1:$F$2000"),'Calculations'!$EM380)&amp;"")),"")))</x:f>
      </x:c>
      <x:c r="HO380" t="str">
        <x:f>'Calculations'!HF380</x:f>
      </x:c>
      <x:c r="HP380" t="str">
        <x:f>IF('Calculations'!HO380="","",IF('Calculations'!HO380="!AMBIG","!AMBIG",IF(COUNTIF('Calculations'!$HE$13:$HE$512,"="&amp;SUBSTITUTE(SUBSTITUTE(SUBSTITUTE('Calculations'!HO380,"~","~~"),"*","~*"),"?","~?"))&gt;1,"!AMBIG",IFERROR(INDEX('Calculations'!$HF$13:$HF$512,MATCH('Calculations'!HO380,'Calculations'!$HE$13:$HE$512,0)),""))))</x:f>
      </x:c>
      <x:c r="HQ380" t="str">
        <x:f>IF('Calculations'!HP380="","",IF('Calculations'!HP380="!AMBIG","!AMBIG",IF(COUNTIF('Calculations'!$HE$13:$HE$512,"="&amp;SUBSTITUTE(SUBSTITUTE(SUBSTITUTE('Calculations'!HP380,"~","~~"),"*","~*"),"?","~?"))&gt;1,"!AMBIG",IFERROR(INDEX('Calculations'!$HF$13:$HF$512,MATCH('Calculations'!HP380,'Calculations'!$HE$13:$HE$512,0)),""))))</x:f>
      </x:c>
      <x:c r="HR380" t="str">
        <x:f>IF('Calculations'!HQ380="","",IF('Calculations'!HQ380="!AMBIG","!AMBIG",IF(COUNTIF('Calculations'!$HE$13:$HE$512,"="&amp;SUBSTITUTE(SUBSTITUTE(SUBSTITUTE('Calculations'!HQ380,"~","~~"),"*","~*"),"?","~?"))&gt;1,"!AMBIG",IFERROR(INDEX('Calculations'!$HF$13:$HF$512,MATCH('Calculations'!HQ380,'Calculations'!$HE$13:$HE$512,0)),""))))</x:f>
      </x:c>
      <x:c r="HS380" t="str">
        <x:f>IF('Calculations'!HR380="","",IF('Calculations'!HR380="!AMBIG","!AMBIG",IF(COUNTIF('Calculations'!$HE$13:$HE$512,"="&amp;SUBSTITUTE(SUBSTITUTE(SUBSTITUTE('Calculations'!HR380,"~","~~"),"*","~*"),"?","~?"))&gt;1,"!AMBIG",IFERROR(INDEX('Calculations'!$HF$13:$HF$512,MATCH('Calculations'!HR380,'Calculations'!$HE$13:$HE$512,0)),""))))</x:f>
      </x:c>
      <x:c r="HT380" t="str">
        <x:f>IF('Calculations'!HS380="","",IF('Calculations'!HS380="!AMBIG","!AMBIG",IF(COUNTIF('Calculations'!$HE$13:$HE$512,"="&amp;SUBSTITUTE(SUBSTITUTE(SUBSTITUTE('Calculations'!HS380,"~","~~"),"*","~*"),"?","~?"))&gt;1,"!AMBIG",IFERROR(INDEX('Calculations'!$HF$13:$HF$512,MATCH('Calculations'!HS380,'Calculations'!$HE$13:$HE$512,0)),""))))</x:f>
      </x:c>
      <x:c r="HU380" t="str">
        <x:f>IF('Calculations'!HT380="","",IF('Calculations'!HT380="!AMBIG","!AMBIG",IF(COUNTIF('Calculations'!$HE$13:$HE$512,"="&amp;SUBSTITUTE(SUBSTITUTE(SUBSTITUTE('Calculations'!HT380,"~","~~"),"*","~*"),"?","~?"))&gt;1,"!AMBIG",IFERROR(INDEX('Calculations'!$HF$13:$HF$512,MATCH('Calculations'!HT380,'Calculations'!$HE$13:$HE$512,0)),""))))</x:f>
      </x:c>
      <x:c r="HV380" t="str">
        <x:f>IF('Calculations'!HU380="","",IF('Calculations'!HU380="!AMBIG","!AMBIG",IF(COUNTIF('Calculations'!$HE$13:$HE$512,"="&amp;SUBSTITUTE(SUBSTITUTE(SUBSTITUTE('Calculations'!HU380,"~","~~"),"*","~*"),"?","~?"))&gt;1,"!AMBIG",IFERROR(INDEX('Calculations'!$HF$13:$HF$512,MATCH('Calculations'!HU380,'Calculations'!$HE$13:$HE$512,0)),""))))</x:f>
      </x:c>
      <x:c r="HW380" t="str">
        <x:f>IF('Calculations'!HV380="","",IF('Calculations'!HV380="!AMBIG","!AMBIG",IF(COUNTIF('Calculations'!$HE$13:$HE$512,"="&amp;SUBSTITUTE(SUBSTITUTE(SUBSTITUTE('Calculations'!HV380,"~","~~"),"*","~*"),"?","~?"))&gt;1,"!AMBIG",IFERROR(INDEX('Calculations'!$HF$13:$HF$512,MATCH('Calculations'!HV380,'Calculations'!$HE$13:$HE$512,0)),""))))</x:f>
      </x:c>
      <x:c r="HX380" t="str">
        <x:f>IF('Calculations'!HW380="","",IF('Calculations'!HW380="!AMBIG","!AMBIG",IF(COUNTIF('Calculations'!$HE$13:$HE$512,"="&amp;SUBSTITUTE(SUBSTITUTE(SUBSTITUTE('Calculations'!HW380,"~","~~"),"*","~*"),"?","~?"))&gt;1,"!AMBIG",IFERROR(INDEX('Calculations'!$HF$13:$HF$512,MATCH('Calculations'!HW380,'Calculations'!$HE$13:$HE$512,0)),""))))</x:f>
      </x:c>
      <x:c r="HY380" t="str">
        <x:f>IF('Calculations'!HX380="","",IF('Calculations'!HX380="!AMBIG","!AMBIG",IF(COUNTIF('Calculations'!$HE$13:$HE$512,"="&amp;SUBSTITUTE(SUBSTITUTE(SUBSTITUTE('Calculations'!HX380,"~","~~"),"*","~*"),"?","~?"))&gt;1,"!AMBIG",IFERROR(INDEX('Calculations'!$HF$13:$HF$512,MATCH('Calculations'!HX380,'Calculations'!$HE$13:$HE$512,0)),""))))</x:f>
      </x:c>
      <x:c r="HZ380" t="str">
        <x:f>IF('Calculations'!HY380="","",IF('Calculations'!HY380="!AMBIG","!AMBIG",IF(COUNTIF('Calculations'!$HE$13:$HE$512,"="&amp;SUBSTITUTE(SUBSTITUTE(SUBSTITUTE('Calculations'!HY380,"~","~~"),"*","~*"),"?","~?"))&gt;1,"!AMBIG",IFERROR(INDEX('Calculations'!$HF$13:$HF$512,MATCH('Calculations'!HY380,'Calculations'!$HE$13:$HE$512,0)),""))))</x:f>
      </x:c>
      <x:c r="IA380" t="str">
        <x:f>IF('Calculations'!HZ380="","",IF('Calculations'!HZ380="!AMBIG","!AMBIG",IF(COUNTIF('Calculations'!$HE$13:$HE$512,"="&amp;SUBSTITUTE(SUBSTITUTE(SUBSTITUTE('Calculations'!HZ380,"~","~~"),"*","~*"),"?","~?"))&gt;1,"!AMBIG",IFERROR(INDEX('Calculations'!$HF$13:$HF$512,MATCH('Calculations'!HZ380,'Calculations'!$HE$13:$HE$512,0)),""))))</x:f>
      </x:c>
      <x:c r="IB380" t="str">
        <x:f>IF('Calculations'!IA380="","",IF('Calculations'!IA380="!AMBIG","!AMBIG",IF(COUNTIF('Calculations'!$HE$13:$HE$512,"="&amp;SUBSTITUTE(SUBSTITUTE(SUBSTITUTE('Calculations'!IA380,"~","~~"),"*","~*"),"?","~?"))&gt;1,"!AMBIG",IFERROR(INDEX('Calculations'!$HF$13:$HF$512,MATCH('Calculations'!IA380,'Calculations'!$HE$13:$HE$512,0)),""))))</x:f>
      </x:c>
      <x:c r="IC380" t="str">
        <x:f>IF('Calculations'!IB380="","",IF('Calculations'!IB380="!AMBIG","!AMBIG",IF(COUNTIF('Calculations'!$HE$13:$HE$512,"="&amp;SUBSTITUTE(SUBSTITUTE(SUBSTITUTE('Calculations'!IB380,"~","~~"),"*","~*"),"?","~?"))&gt;1,"!AMBIG",IFERROR(INDEX('Calculations'!$HF$13:$HF$512,MATCH('Calculations'!IB380,'Calculations'!$HE$13:$HE$512,0)),""))))</x:f>
      </x:c>
      <x:c r="ID380" t="str">
        <x:f>IF('Calculations'!IC380="","",IF('Calculations'!IC380="!AMBIG","!AMBIG",IF(COUNTIF('Calculations'!$HE$13:$HE$512,"="&amp;SUBSTITUTE(SUBSTITUTE(SUBSTITUTE('Calculations'!IC380,"~","~~"),"*","~*"),"?","~?"))&gt;1,"!AMBIG",IFERROR(INDEX('Calculations'!$HF$13:$HF$512,MATCH('Calculations'!IC380,'Calculations'!$HE$13:$HE$512,0)),""))))</x:f>
      </x:c>
      <x:c r="IE380" t="str">
        <x:f>IF('Calculations'!ID380="","",IF('Calculations'!ID380="!AMBIG","!AMBIG",IF(COUNTIF('Calculations'!$HE$13:$HE$512,"="&amp;SUBSTITUTE(SUBSTITUTE(SUBSTITUTE('Calculations'!ID380,"~","~~"),"*","~*"),"?","~?"))&gt;1,"!AMBIG",IFERROR(INDEX('Calculations'!$HF$13:$HF$512,MATCH('Calculations'!ID380,'Calculations'!$HE$13:$HE$512,0)),""))))</x:f>
      </x:c>
      <x:c r="IF380" t="str">
        <x:f>IF('Calculations'!IE380="","",IF('Calculations'!IE380="!AMBIG","!AMBIG",IF(COUNTIF('Calculations'!$HE$13:$HE$512,"="&amp;SUBSTITUTE(SUBSTITUTE(SUBSTITUTE('Calculations'!IE380,"~","~~"),"*","~*"),"?","~?"))&gt;1,"!AMBIG",IFERROR(INDEX('Calculations'!$HF$13:$HF$512,MATCH('Calculations'!IE380,'Calculations'!$HE$13:$HE$512,0)),""))))</x:f>
      </x:c>
      <x:c r="IG380" t="str">
        <x:f>IF('Calculations'!IF380="","",IF('Calculations'!IF380="!AMBIG","!AMBIG",IF(COUNTIF('Calculations'!$HE$13:$HE$512,"="&amp;SUBSTITUTE(SUBSTITUTE(SUBSTITUTE('Calculations'!IF380,"~","~~"),"*","~*"),"?","~?"))&gt;1,"!AMBIG",IFERROR(INDEX('Calculations'!$HF$13:$HF$512,MATCH('Calculations'!IF380,'Calculations'!$HE$13:$HE$512,0)),""))))</x:f>
      </x:c>
      <x:c r="IH380" t="str">
        <x:f>IF('Calculations'!IG380="","",IF('Calculations'!IG380="!AMBIG","!AMBIG",IF(COUNTIF('Calculations'!$HE$13:$HE$512,"="&amp;SUBSTITUTE(SUBSTITUTE(SUBSTITUTE('Calculations'!IG380,"~","~~"),"*","~*"),"?","~?"))&gt;1,"!AMBIG",IFERROR(INDEX('Calculations'!$HF$13:$HF$512,MATCH('Calculations'!IG380,'Calculations'!$HE$13:$HE$512,0)),""))))</x:f>
      </x:c>
      <x:c r="II380" t="str">
        <x:f>IF('Calculations'!IH380="","",IF('Calculations'!IH380="!AMBIG","!AMBIG",IF(COUNTIF('Calculations'!$HE$13:$HE$512,"="&amp;SUBSTITUTE(SUBSTITUTE(SUBSTITUTE('Calculations'!IH380,"~","~~"),"*","~*"),"?","~?"))&gt;1,"!AMBIG",IFERROR(INDEX('Calculations'!$HF$13:$HF$512,MATCH('Calculations'!IH380,'Calculations'!$HE$13:$HE$512,0)),""))))</x:f>
      </x:c>
      <x:c r="IJ380" t="str">
        <x:f>IF('Calculations'!EM380="","",IF('Calculations'!$EF$2="All",'Calculations'!HM380,IF('Calculations'!HL380=1,"",IFERROR(IF(MATCH('Calculations'!$EF$2,'Calculations'!HO380:II380,0)=1,'Calculations'!HE380,INDEX('Calculations'!HO380:II380,1,MATCH('Calculations'!$EF$2,'Calculations'!HO380:II380,0)-1)),""))))</x:f>
      </x:c>
      <x:c r="IK380" t="n">
        <x:f>IF(AND('Calculations'!EM380&lt;&gt;"",'Calculations'!$EF$2&lt;&gt;"All",'Calculations'!HF380='Calculations'!$EF$2,'Calculations'!HL380=0,'Calculations'!JD380&gt;0),MAX('Calculations'!$IK$12:IK379)+1,0)</x:f>
        <x:v>0</x:v>
      </x:c>
      <x:c r="JA380" t="n">
        <x:f>IF(OR(IFERROR(INDIRECT("'WCM Calibration Final'!$A$380")&lt;&gt;"",FALSE),IFERROR(INDIRECT("'WCM Calibration Final'!$B$380")&lt;&gt;"",FALSE),IFERROR(INDIRECT("'WCM Calibration Final'!$C$380")&lt;&gt;"",FALSE)),380,0)</x:f>
        <x:v>0</x:v>
      </x:c>
      <x:c r="JB380" t="n">
        <x:f>'Calculations'!JB379+IF('Calculations'!JA380&gt;0,1,0)</x:f>
        <x:v>0</x:v>
      </x:c>
      <x:c r="JC380" t="n">
        <x:f>IF(OR('Calculations'!HF380="",'Calculations'!HF380="!AMBIG"),0,IF('Dashboard'!$B$7="All",1,COUNTIFS('Calculations'!$HO$13:$HO$512,"="&amp;SUBSTITUTE(SUBSTITUTE(SUBSTITUTE('Calculations'!HF380,"~","~~"),"*","~*"),"?","~?"),'Calculations'!$HN$13:$HN$512,"="&amp;SUBSTITUTE(SUBSTITUTE(SUBSTITUTE('Dashboard'!$B$7,"~","~~"),"*","~*"),"?","~?"))+COUNTIFS('Calculations'!$HP$13:$HP$512,"="&amp;SUBSTITUTE(SUBSTITUTE(SUBSTITUTE('Calculations'!HF380,"~","~~"),"*","~*"),"?","~?"),'Calculations'!$HN$13:$HN$512,"="&amp;SUBSTITUTE(SUBSTITUTE(SUBSTITUTE('Dashboard'!$B$7,"~","~~"),"*","~*"),"?","~?"))+COUNTIFS('Calculations'!$HQ$13:$HQ$512,"="&amp;SUBSTITUTE(SUBSTITUTE(SUBSTITUTE('Calculations'!HF380,"~","~~"),"*","~*"),"?","~?"),'Calculations'!$HN$13:$HN$512,"="&amp;SUBSTITUTE(SUBSTITUTE(SUBSTITUTE('Dashboard'!$B$7,"~","~~"),"*","~*"),"?","~?"))+COUNTIFS('Calculations'!$HR$13:$HR$512,"="&amp;SUBSTITUTE(SUBSTITUTE(SUBSTITUTE('Calculations'!HF380,"~","~~"),"*","~*"),"?","~?"),'Calculations'!$HN$13:$HN$512,"="&amp;SUBSTITUTE(SUBSTITUTE(SUBSTITUTE('Dashboard'!$B$7,"~","~~"),"*","~*"),"?","~?"))+COUNTIFS('Calculations'!$HS$13:$HS$512,"="&amp;SUBSTITUTE(SUBSTITUTE(SUBSTITUTE('Calculations'!HF380,"~","~~"),"*","~*"),"?","~?"),'Calculations'!$HN$13:$HN$512,"="&amp;SUBSTITUTE(SUBSTITUTE(SUBSTITUTE('Dashboard'!$B$7,"~","~~"),"*","~*"),"?","~?"))+COUNTIFS('Calculations'!$HT$13:$HT$512,"="&amp;SUBSTITUTE(SUBSTITUTE(SUBSTITUTE('Calculations'!HF380,"~","~~"),"*","~*"),"?","~?"),'Calculations'!$HN$13:$HN$512,"="&amp;SUBSTITUTE(SUBSTITUTE(SUBSTITUTE('Dashboard'!$B$7,"~","~~"),"*","~*"),"?","~?"))+COUNTIFS('Calculations'!$HU$13:$HU$512,"="&amp;SUBSTITUTE(SUBSTITUTE(SUBSTITUTE('Calculations'!HF380,"~","~~"),"*","~*"),"?","~?"),'Calculations'!$HN$13:$HN$512,"="&amp;SUBSTITUTE(SUBSTITUTE(SUBSTITUTE('Dashboard'!$B$7,"~","~~"),"*","~*"),"?","~?"))+COUNTIFS('Calculations'!$HV$13:$HV$512,"="&amp;SUBSTITUTE(SUBSTITUTE(SUBSTITUTE('Calculations'!HF380,"~","~~"),"*","~*"),"?","~?"),'Calculations'!$HN$13:$HN$512,"="&amp;SUBSTITUTE(SUBSTITUTE(SUBSTITUTE('Dashboard'!$B$7,"~","~~"),"*","~*"),"?","~?"))+COUNTIFS('Calculations'!$HW$13:$HW$512,"="&amp;SUBSTITUTE(SUBSTITUTE(SUBSTITUTE('Calculations'!HF380,"~","~~"),"*","~*"),"?","~?"),'Calculations'!$HN$13:$HN$512,"="&amp;SUBSTITUTE(SUBSTITUTE(SUBSTITUTE('Dashboard'!$B$7,"~","~~"),"*","~*"),"?","~?"))+COUNTIFS('Calculations'!$HX$13:$HX$512,"="&amp;SUBSTITUTE(SUBSTITUTE(SUBSTITUTE('Calculations'!HF380,"~","~~"),"*","~*"),"?","~?"),'Calculations'!$HN$13:$HN$512,"="&amp;SUBSTITUTE(SUBSTITUTE(SUBSTITUTE('Dashboard'!$B$7,"~","~~"),"*","~*"),"?","~?"))+COUNTIFS('Calculations'!$HY$13:$HY$512,"="&amp;SUBSTITUTE(SUBSTITUTE(SUBSTITUTE('Calculations'!HF380,"~","~~"),"*","~*"),"?","~?"),'Calculations'!$HN$13:$HN$512,"="&amp;SUBSTITUTE(SUBSTITUTE(SUBSTITUTE('Dashboard'!$B$7,"~","~~"),"*","~*"),"?","~?"))+COUNTIFS('Calculations'!$HZ$13:$HZ$512,"="&amp;SUBSTITUTE(SUBSTITUTE(SUBSTITUTE('Calculations'!HF380,"~","~~"),"*","~*"),"?","~?"),'Calculations'!$HN$13:$HN$512,"="&amp;SUBSTITUTE(SUBSTITUTE(SUBSTITUTE('Dashboard'!$B$7,"~","~~"),"*","~*"),"?","~?"))+COUNTIFS('Calculations'!$IA$13:$IA$512,"="&amp;SUBSTITUTE(SUBSTITUTE(SUBSTITUTE('Calculations'!HF380,"~","~~"),"*","~*"),"?","~?"),'Calculations'!$HN$13:$HN$512,"="&amp;SUBSTITUTE(SUBSTITUTE(SUBSTITUTE('Dashboard'!$B$7,"~","~~"),"*","~*"),"?","~?"))+COUNTIFS('Calculations'!$IB$13:$IB$512,"="&amp;SUBSTITUTE(SUBSTITUTE(SUBSTITUTE('Calculations'!HF380,"~","~~"),"*","~*"),"?","~?"),'Calculations'!$HN$13:$HN$512,"="&amp;SUBSTITUTE(SUBSTITUTE(SUBSTITUTE('Dashboard'!$B$7,"~","~~"),"*","~*"),"?","~?"))+COUNTIFS('Calculations'!$IC$13:$IC$512,"="&amp;SUBSTITUTE(SUBSTITUTE(SUBSTITUTE('Calculations'!HF380,"~","~~"),"*","~*"),"?","~?"),'Calculations'!$HN$13:$HN$512,"="&amp;SUBSTITUTE(SUBSTITUTE(SUBSTITUTE('Dashboard'!$B$7,"~","~~"),"*","~*"),"?","~?"))+COUNTIFS('Calculations'!$ID$13:$ID$512,"="&amp;SUBSTITUTE(SUBSTITUTE(SUBSTITUTE('Calculations'!HF380,"~","~~"),"*","~*"),"?","~?"),'Calculations'!$HN$13:$HN$512,"="&amp;SUBSTITUTE(SUBSTITUTE(SUBSTITUTE('Dashboard'!$B$7,"~","~~"),"*","~*"),"?","~?"))+COUNTIFS('Calculations'!$IE$13:$IE$512,"="&amp;SUBSTITUTE(SUBSTITUTE(SUBSTITUTE('Calculations'!HF380,"~","~~"),"*","~*"),"?","~?"),'Calculations'!$HN$13:$HN$512,"="&amp;SUBSTITUTE(SUBSTITUTE(SUBSTITUTE('Dashboard'!$B$7,"~","~~"),"*","~*"),"?","~?"))+COUNTIFS('Calculations'!$IF$13:$IF$512,"="&amp;SUBSTITUTE(SUBSTITUTE(SUBSTITUTE('Calculations'!HF380,"~","~~"),"*","~*"),"?","~?"),'Calculations'!$HN$13:$HN$512,"="&amp;SUBSTITUTE(SUBSTITUTE(SUBSTITUTE('Dashboard'!$B$7,"~","~~"),"*","~*"),"?","~?"))+COUNTIFS('Calculations'!$IG$13:$IG$512,"="&amp;SUBSTITUTE(SUBSTITUTE(SUBSTITUTE('Calculations'!HF380,"~","~~"),"*","~*"),"?","~?"),'Calculations'!$HN$13:$HN$512,"="&amp;SUBSTITUTE(SUBSTITUTE(SUBSTITUTE('Dashboard'!$B$7,"~","~~"),"*","~*"),"?","~?"))+COUNTIFS('Calculations'!$IH$13:$IH$512,"="&amp;SUBSTITUTE(SUBSTITUTE(SUBSTITUTE('Calculations'!HF380,"~","~~"),"*","~*"),"?","~?"),'Calculations'!$HN$13:$HN$512,"="&amp;SUBSTITUTE(SUBSTITUTE(SUBSTITUTE('Dashboard'!$B$7,"~","~~"),"*","~*"),"?","~?"))))</x:f>
        <x:v>0</x:v>
      </x:c>
      <x:c r="JD380" t="n">
        <x:f>IF('Calculations'!EM380="",0,IF('Dashboard'!$B$7="All",1,IF('Calculations'!HN380='Dashboard'!$B$7,1,0)+IFERROR(INDEX('Calculations'!$JC$13:$JC$512,MATCH('Calculations'!HE380,'Calculations'!$HF$13:$HF$512,0)),0)))</x:f>
        <x:v>0</x:v>
      </x:c>
      <x:c r="JE380" t="n">
        <x:f>IF(AND('Calculations'!EM380&lt;&gt;"",'Calculations'!$JJ$2&lt;&gt;"All",'Calculations'!$JJ$2&lt;&gt;"",'Calculations'!HF380='Calculations'!$JJ$2,'Calculations'!HL380=0,'Calculations'!JD380&gt;0),MAX('Calculations'!$JE$12:JE379)+1,0)</x:f>
        <x:v>0</x:v>
      </x:c>
      <x:c r="JF380" t="str">
        <x:f>IF('Calculations'!EM380="","",IFERROR(IF(INDEX(INDIRECT("'WCM Calibration Final'!$G$1:$G$2000"),'Calculations'!$EM380)="","",TRIM(INDEX(INDIRECT("'WCM Calibration Final'!$G$1:$G$2000"),'Calculations'!$EM380)&amp;"")),""))</x:f>
      </x:c>
      <x:c r="JQ380" t="n">
        <x:f>IF(OR('Calculations'!BM380=0,NOT('Calculations'!$AG$2),'Calculations'!$AG$8&gt;0),0,IF(OR('Dashboard'!$B$7="All",'Calculations'!HN380='Dashboard'!$B$7),IF('Calculations'!$JJ$2="All",1,IF(AND('Calculations'!HF380='Calculations'!$JJ$2,'Calculations'!HL380=0),1,0)),0))</x:f>
        <x:v>0</x:v>
      </x:c>
    </x:row>
    <x:row r="381">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t="n">
        <x:f>IF('Calculations'!$EM381="",0,IF(OR(IFERROR(INDEX(INDIRECT("'WCM Calibration Final'!$A$1:$A$2000"),'Calculations'!$EM381)&lt;&gt;"",FALSE),IFERROR(INDEX(INDIRECT("'WCM Calibration Final'!$B$1:$B$2000"),'Calculations'!$EM381)&lt;&gt;"",FALSE),IFERROR(INDEX(INDIRECT("'WCM Calibration Final'!$C$1:$C$2000"),'Calculations'!$EM381)&lt;&gt;"",FALSE)),1,0))</x:f>
        <x:v>0</x:v>
      </x:c>
      <x:c r="BN381" s="4" t="n">
        <x:f>IF(AND('Calculations'!BM381=1,'Calculations'!$AG$2,'Calculations'!$EN381=1),1,0)</x:f>
        <x:v>0</x:v>
      </x:c>
      <x:c r="BO381" s="4" t="str">
        <x:f>IF('Calculations'!BM381=0,"",IFERROR(IF(AND(VALUE(INDEX(INDIRECT("'WCM Calibration Final'!$K$1:$K$2000"),'Calculations'!$EM381))&gt;=1,VALUE(INDEX(INDIRECT("'WCM Calibration Final'!$K$1:$K$2000"),'Calculations'!$EM381))&lt;=4,MOD(VALUE(INDEX(INDIRECT("'WCM Calibration Final'!$K$1:$K$2000"),'Calculations'!$EM381)),1)=0),VALUE(INDEX(INDIRECT("'WCM Calibration Final'!$K$1:$K$2000"),'Calculations'!$EM381)),""),""))</x:f>
      </x:c>
      <x:c r="BP381" s="4" t="str">
        <x:f>IF('Calculations'!BM381=0,"",IFERROR(IF(AND(VALUE(INDEX(INDIRECT("'WCM Calibration Final'!$L$1:$L$2000"),'Calculations'!$EM381))&gt;=1,VALUE(INDEX(INDIRECT("'WCM Calibration Final'!$L$1:$L$2000"),'Calculations'!$EM381))&lt;=4,MOD(VALUE(INDEX(INDIRECT("'WCM Calibration Final'!$L$1:$L$2000"),'Calculations'!$EM381)),1)=0),VALUE(INDEX(INDIRECT("'WCM Calibration Final'!$L$1:$L$2000"),'Calculations'!$EM381)),""),""))</x:f>
      </x:c>
      <x:c r="BQ381" s="4"/>
      <x:c r="BR381" s="4"/>
      <x:c r="BS381" s="4"/>
      <x:c r="BT381" s="4" t="n">
        <x:f>IF(AND('Calculations'!BM381=1,ISNUMBER('Calculations'!BO381),ISNUMBER('Calculations'!BP381)),1,0)</x:f>
        <x:v>0</x:v>
      </x:c>
      <x:c r="BU381" s="4" t="str">
        <x:f>IF('Calculations'!BM381=0,"",'Calculations'!$EO381)</x:f>
      </x:c>
      <x:c r="BV381" s="4" t="str">
        <x:f>IF('Calculations'!BM381=0,"",IFERROR(IF(OR(INDEX(INDIRECT("'WCM Calibration Final'!$H$1:$H$2000"),'Calculations'!$EM381)="MANAGING DIRECTOR",INDEX(INDIRECT("'WCM Calibration Final'!$H$1:$H$2000"),'Calculations'!$EM381)="DIRECTOR",INDEX(INDIRECT("'WCM Calibration Final'!$H$1:$H$2000"),'Calculations'!$EM381)="SENIOR VICE PRESIDENT",INDEX(INDIRECT("'WCM Calibration Final'!$H$1:$H$2000"),'Calculations'!$EM381)="VICE PRESIDENT",INDEX(INDIRECT("'WCM Calibration Final'!$H$1:$H$2000"),'Calculations'!$EM381)="ASSISTANT VICE PRESIDENT",INDEX(INDIRECT("'WCM Calibration Final'!$H$1:$H$2000"),'Calculations'!$EM381)="OFFICER"),UPPER(INDEX(INDIRECT("'WCM Calibration Final'!$H$1:$H$2000"),'Calculations'!$EM381)),"Other"),"Other"))</x:f>
      </x:c>
      <x:c r="BW381" s="4"/>
      <x:c r="BX381" s="4"/>
      <x:c r="BY381" s="4" t="n">
        <x:f>IF(AND('Calculations'!BM381=1,'Calculations'!BU381&lt;&gt;"",COUNTIF('Calculations'!$BU$12:BU381,'Calculations'!BU381)=1),MAX('Calculations'!$BY$11:BY380)+1,0)</x:f>
        <x:v>0</x:v>
      </x:c>
      <x:c r="BZ381" s="4" t="str">
        <x:f>IF('Dashboard'!$E$67="What",'Calculations'!BO381,'Calculations'!BP381)</x:f>
      </x:c>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t="str">
        <x:f>IF(370&gt;MAX('Calculations'!$HI$13:$HI$512),"",INDEX('Calculations'!$HN$13:$HN$512,MATCH(370,'Calculations'!$HI$13:$HI$512,0)))</x:f>
      </x:c>
      <x:c r="DB381" s="4" t="str">
        <x:f>IF(370&gt;MAX('Calculations'!$HH$13:$HH$512),"",INDEX('Calculations'!$HJ$13:$HJ$512,MATCH(370,'Calculations'!$HH$13:$HH$512,0)))</x:f>
      </x:c>
      <x:c r="DC381" s="4" t="str">
        <x:f>IF(ROW()-11&gt;MAX('Calculations'!$BY$13:$BY$512),"",INDEX('Calculations'!$BU$13:$BU$512,MATCH(ROW()-11,'Calculations'!$BY$13:$BY$512,0)))</x:f>
      </x:c>
      <x:c r="DD381" s="4" t="str">
        <x:f>IF(370&gt;MAX('Calculations'!$IK$13:$IK$512),"",INDEX('Calculations'!$HK$13:$HK$512,MATCH(370,'Calculations'!$IK$13:$IK$512,0)))</x:f>
      </x:c>
      <x:c r="DE381" s="4" t="str">
        <x:f>'Calculations'!DC381</x:f>
      </x:c>
      <x:c r="DF381" s="4" t="str">
        <x:f>IF('Calculations'!DE381="","",COUNTIFS('Calculations'!$BN$13:$BN$512,1,'Calculations'!$BU$13:$BU$512,'Calculations'!DE381))</x:f>
      </x:c>
      <x:c r="DG381" s="4" t="str">
        <x:f>IF('Calculations'!DE381="","",COUNTIFS('Calculations'!$BN$13:$BN$512,1,'Calculations'!$BU$13:$BU$512,'Calculations'!DE381,'Calculations'!$BT$13:$BT$512,1))</x:f>
      </x:c>
      <x:c r="DH381" s="4" t="str">
        <x:f>IF('Calculations'!DE381="","",'Calculations'!DF381-'Calculations'!DG381)</x:f>
      </x:c>
      <x:c r="DI381" s="4" t="str">
        <x:f>IF(OR('Calculations'!DE381="",'Calculations'!DF381=0),"",'Calculations'!DG381/'Calculations'!DF381)</x:f>
      </x:c>
      <x:c r="DJ381" s="4" t="str">
        <x:f>IF('Calculations'!DE381="","",COUNTIFS('Calculations'!$BN$13:$BN$512,1,'Calculations'!$BU$13:$BU$512,'Calculations'!DE381,'Calculations'!$BT$13:$BT$512,1,'Calculations'!$EE$13:$EE$512,"High"))</x:f>
      </x:c>
      <x:c r="DK381" s="4" t="str">
        <x:f>IF('Calculations'!DE381="","",COUNTIFS('Calculations'!$BN$13:$BN$512,1,'Calculations'!$BU$13:$BU$512,'Calculations'!DE381,'Calculations'!$BT$13:$BT$512,1,'Calculations'!$EE$13:$EE$512,"Strong"))</x:f>
      </x:c>
      <x:c r="DL381" s="4" t="str">
        <x:f>IF('Calculations'!DE381="","",COUNTIFS('Calculations'!$BN$13:$BN$512,1,'Calculations'!$BU$13:$BU$512,'Calculations'!DE381,'Calculations'!$BT$13:$BT$512,1,'Calculations'!$EE$13:$EE$512,"Solid"))</x:f>
      </x:c>
      <x:c r="DM381" s="4" t="str">
        <x:f>IF('Calculations'!DE381="","",COUNTIFS('Calculations'!$BN$13:$BN$512,1,'Calculations'!$BU$13:$BU$512,'Calculations'!DE381,'Calculations'!$BT$13:$BT$512,1,'Calculations'!$EE$13:$EE$512,"Low"))</x:f>
      </x:c>
      <x:c r="DN381" s="4" t="str">
        <x:f>IF('Calculations'!DE381="","",COUNTIFS('Calculations'!$BN$13:$BN$512,1,'Calculations'!$BU$13:$BU$512,'Calculations'!DE381,'Calculations'!$EP$13:$EP$512,1))</x:f>
      </x:c>
      <x:c r="DO381" s="4" t="str">
        <x:f>IF(OR('Calculations'!DE381="",'Calculations'!DG381=0),"",('Calculations'!DJ381+'Calculations'!DK381)/'Calculations'!DG381)</x:f>
      </x:c>
      <x:c r="DP381" s="4" t="n">
        <x:f>IF(AND('Calculations'!DE381&lt;&gt;"",'Calculations'!DF381&gt;0),COUNTIF('Calculations'!$DF$12:DF381,"&gt;0"),0)</x:f>
        <x:v>0</x:v>
      </x:c>
      <x:c r="DQ381" s="4" t="str">
        <x:f>IF(370&gt;MAX('Calculations'!$HH$13:$HH$512),"",INDEX('Calculations'!$HF$13:$HF$512,MATCH(370,'Calculations'!$HH$13:$HH$512,0)))</x:f>
      </x:c>
      <x:c r="DR381" s="4" t="str">
        <x:f>IF(370&gt;MAX('Calculations'!$IK$13:$IK$512),"",INDEX('Calculations'!$HE$13:$HE$512,MATCH(370,'Calculations'!$IK$13:$IK$512,0)))</x:f>
      </x:c>
      <x:c r="DS381" s="4"/>
      <x:c r="DT381" s="4"/>
      <x:c r="DU381" s="4"/>
      <x:c r="DV381" s="4"/>
      <x:c r="DW381" s="4"/>
      <x:c r="DX381" s="4"/>
      <x:c r="DY381" s="4"/>
      <x:c r="DZ381" s="4"/>
      <x:c r="EA381" s="4"/>
      <x:c r="EB381" s="4"/>
      <x:c r="EC381" s="4"/>
      <x:c r="ED381" s="4"/>
      <x:c r="EE381" s="4" t="str">
        <x:f>IF('Calculations'!BT381=0,"Not Rated",IF(OR('Calculations'!BO381&gt;=4,'Calculations'!BP381&gt;=4),"Low",IF('Calculations'!BO381+'Calculations'!BP381&lt;=3,"High",IF('Calculations'!BO381+'Calculations'!BP381&lt;=4,"Strong","Solid"))))</x:f>
        <x:v>Not Rated</x:v>
      </x:c>
      <x:c r="EF381" s="4"/>
      <x:c r="EG381" s="4"/>
      <x:c r="EH381" s="4"/>
      <x:c r="EI381" s="4"/>
      <x:c r="EJ381" s="4"/>
      <x:c r="EK381" s="4"/>
      <x:c r="EL381" s="4"/>
      <x:c r="EM381" s="4" t="str">
        <x:f>IF(369&gt;'Calculations'!$JB$2000,"",INDEX('Calculations'!$JA$12:$JA$2000,MATCH(369,'Calculations'!$JB$12:$JB$2000,0)))</x:f>
      </x:c>
      <x:c r="EN381" s="4" t="n">
        <x:f>IF(OR('Calculations'!EM381="",'Calculations'!$AG$8&gt;0,AND('Calculations'!$EF$2&lt;&gt;"All",'Calculations'!HE381='Calculations'!$EF$2),AND('Calculations'!$EF$3&lt;&gt;"All",'Calculations'!HE381='Calculations'!$EF$3)),0,IF(OR('Dashboard'!$B$7="All",'Calculations'!HN381='Dashboard'!$B$7),IF('Calculations'!$EF$2="All",1,IF('Calculations'!HL381&gt;0,0,IF(COUNTIF('Calculations'!HO381:II381,"="&amp;SUBSTITUTE(SUBSTITUTE(SUBSTITUTE('Calculations'!$EF$2,"~","~~"),"*","~*"),"?","~?"))=0,0,IF('Calculations'!$EF$3="All",1,IF(COUNTIF('Calculations'!HO381:II381,"="&amp;SUBSTITUTE(SUBSTITUTE(SUBSTITUTE('Calculations'!$EF$3,"~","~~"),"*","~*"),"?","~?"))&gt;0,1,0))))),0))</x:f>
        <x:v>0</x:v>
      </x:c>
      <x:c r="EO381" s="4" t="str">
        <x:f>IF('Calculations'!IJ381="","",IF('Calculations'!IJ381="!UNRESOLVED","Unresolved hierarchy",IFERROR(INDEX('Calculations'!$HK$13:$HK$512,MATCH('Calculations'!IJ381,'Calculations'!$HE$13:$HE$512,0)),IFERROR(INDEX('Calculations'!$HJ$13:$HJ$512,MATCH('Calculations'!IJ381,'Calculations'!$HF$13:$HF$512,0)),'Calculations'!IJ381))))</x:f>
      </x:c>
      <x:c r="EP381" s="4" t="n">
        <x:f>IF(AND('Calculations'!EM381&lt;&gt;"",'Calculations'!HF381='Calculations'!IJ381),1,0)</x:f>
        <x:v>0</x:v>
      </x:c>
      <x:c r="EQ381" s="4"/>
      <x:c r="ER381" s="4"/>
      <x:c r="ES381" s="4"/>
      <x:c r="ET381" s="4"/>
      <x:c r="EU381" s="4"/>
      <x:c r="EV381" s="4"/>
      <x:c r="EW381" s="4"/>
      <x:c r="EX381" s="4"/>
      <x:c r="EY381" s="4"/>
      <x:c r="EZ381" s="4"/>
      <x:c r="FA381" s="4"/>
      <x:c r="FB381" s="4"/>
      <x:c r="FC381" s="4"/>
      <x:c r="FD381" s="4"/>
      <x:c r="FE381" s="4"/>
      <x:c r="FF381" s="4"/>
      <x:c r="FG381" s="4"/>
      <x:c r="FH381" s="4"/>
      <x:c r="FI381" s="4"/>
      <x:c r="FJ381" s="4"/>
      <x:c r="FK381" s="4"/>
      <x:c r="FL381" s="4"/>
      <x:c r="FM381" s="4"/>
      <x:c r="FN381" s="4"/>
      <x:c r="FO381" s="4"/>
      <x:c r="HE381" t="str">
        <x:f>IF('Calculations'!EM381="","",IF(IFERROR(IF(INDEX(INDIRECT("'WCM Calibration Final'!$A$1:$A$2000"),'Calculations'!$EM381)="","",TRIM(INDEX(INDIRECT("'WCM Calibration Final'!$A$1:$A$2000"),'Calculations'!$EM381)&amp;"")),"")&lt;&gt;"","G:"&amp;IFERROR(TEXT(1*INDEX(INDIRECT("'WCM Calibration Final'!$A$1:$A$2000"),'Calculations'!$EM381),"0"),UPPER(IFERROR(IF(INDEX(INDIRECT("'WCM Calibration Final'!$A$1:$A$2000"),'Calculations'!$EM381)="","",TRIM(INDEX(INDIRECT("'WCM Calibration Final'!$A$1:$A$2000"),'Calculations'!$EM381)&amp;"")),""))),IF(IFERROR(IF(INDEX(INDIRECT("'WCM Calibration Final'!$C$1:$C$2000"),'Calculations'!$EM381)="","",TRIM(INDEX(INDIRECT("'WCM Calibration Final'!$C$1:$C$2000"),'Calculations'!$EM381)&amp;"")),"")&lt;&gt;"","S:"&amp;UPPER(IFERROR(IF(INDEX(INDIRECT("'WCM Calibration Final'!$C$1:$C$2000"),'Calculations'!$EM381)="","",TRIM(INDEX(INDIRECT("'WCM Calibration Final'!$C$1:$C$2000"),'Calculations'!$EM381)&amp;"")),"")),"R:"&amp;'Calculations'!EM381)))</x:f>
      </x:c>
      <x:c r="HF381" t="str">
        <x:f>IF('Calculations'!EM381="","",IF(IFERROR(IF(INDEX(INDIRECT("'WCM Calibration Final'!$D$1:$D$2000"),'Calculations'!$EM381)="","",TRIM(INDEX(INDIRECT("'WCM Calibration Final'!$D$1:$D$2000"),'Calculations'!$EM381)&amp;"")),"")&lt;&gt;"","G:"&amp;IFERROR(TEXT(1*INDEX(INDIRECT("'WCM Calibration Final'!$D$1:$D$2000"),'Calculations'!$EM381),"0"),UPPER(IFERROR(IF(INDEX(INDIRECT("'WCM Calibration Final'!$D$1:$D$2000"),'Calculations'!$EM381)="","",TRIM(INDEX(INDIRECT("'WCM Calibration Final'!$D$1:$D$2000"),'Calculations'!$EM381)&amp;"")),""))),IF(IFERROR(IF(INDEX(INDIRECT("'WCM Calibration Final'!$E$1:$E$2000"),'Calculations'!$EM381)="","",TRIM(INDEX(INDIRECT("'WCM Calibration Final'!$E$1:$E$2000"),'Calculations'!$EM381)&amp;"")),"")="","",IF(COUNTIF('Calculations'!$HG$13:$HG$512,"="&amp;SUBSTITUTE(SUBSTITUTE(SUBSTITUTE(IFERROR(IF(INDEX(INDIRECT("'WCM Calibration Final'!$E$1:$E$2000"),'Calculations'!$EM381)="","",TRIM(INDEX(INDIRECT("'WCM Calibration Final'!$E$1:$E$2000"),'Calculations'!$EM381)&amp;"")),""),"~","~~"),"*","~*"),"?","~?"))=1,INDEX('Calculations'!$HE$13:$HE$512,MATCH(IFERROR(IF(INDEX(INDIRECT("'WCM Calibration Final'!$E$1:$E$2000"),'Calculations'!$EM381)="","",TRIM(INDEX(INDIRECT("'WCM Calibration Final'!$E$1:$E$2000"),'Calculations'!$EM381)&amp;"")),""),'Calculations'!$HG$13:$HG$512,0)),IF(COUNTIF('Calculations'!$HG$13:$HG$512,"="&amp;SUBSTITUTE(SUBSTITUTE(SUBSTITUTE(IFERROR(IF(INDEX(INDIRECT("'WCM Calibration Final'!$E$1:$E$2000"),'Calculations'!$EM381)="","",TRIM(INDEX(INDIRECT("'WCM Calibration Final'!$E$1:$E$2000"),'Calculations'!$EM381)&amp;"")),""),"~","~~"),"*","~*"),"?","~?"))&gt;1,"!AMBIG","X:"&amp;IFERROR(IF(INDEX(INDIRECT("'WCM Calibration Final'!$E$1:$E$2000"),'Calculations'!$EM381)="","",TRIM(INDEX(INDIRECT("'WCM Calibration Final'!$E$1:$E$2000"),'Calculations'!$EM381)&amp;"")),""))))))</x:f>
      </x:c>
      <x:c r="HG381" t="str">
        <x:f>IF('Calculations'!EM381="","",IFERROR(IF(INDEX(INDIRECT("'WCM Calibration Final'!$B$1:$B$2000"),'Calculations'!$EM381)="","",TRIM(INDEX(INDIRECT("'WCM Calibration Final'!$B$1:$B$2000"),'Calculations'!$EM381)&amp;"")),""))</x:f>
      </x:c>
      <x:c r="HH381" t="n">
        <x:f>IF(AND('Calculations'!JC381&gt;0,COUNTIF('Calculations'!$HF$12:HF381,"="&amp;SUBSTITUTE(SUBSTITUTE(SUBSTITUTE('Calculations'!HF381,"~","~~"),"*","~*"),"?","~?"))=1),MAX('Calculations'!$HH$12:HH380)+1,0)</x:f>
        <x:v>0</x:v>
      </x:c>
      <x:c r="HI381" t="n">
        <x:f>IF(AND('Calculations'!HN381&lt;&gt;"",COUNTIF('Calculations'!$HN$12:HN381,"="&amp;SUBSTITUTE(SUBSTITUTE(SUBSTITUTE('Calculations'!HN381,"~","~~"),"*","~*"),"?","~?"))=1),MAX('Calculations'!$HI$12:HI380)+1,0)</x:f>
        <x:v>0</x:v>
      </x:c>
      <x:c r="HJ381" t="str">
        <x:f>IF('Calculations'!HF381="","",IF(COUNTIF('Calculations'!$HE$13:$HE$512,"="&amp;SUBSTITUTE(SUBSTITUTE(SUBSTITUTE('Calculations'!HF381,"~","~~"),"*","~*"),"?","~?"))=1,INDEX('Calculations'!$HK$13:$HK$512,MATCH('Calculations'!HF381,'Calculations'!$HE$13:$HE$512,0)),IFERROR(IF(INDEX(INDIRECT("'WCM Calibration Final'!$E$1:$E$2000"),'Calculations'!$EM381)="","",TRIM(INDEX(INDIRECT("'WCM Calibration Final'!$E$1:$E$2000"),'Calculations'!$EM381)&amp;"")),"")&amp;" ["&amp;'Calculations'!HF381&amp;"]"))</x:f>
      </x:c>
      <x:c r="HK381" t="str">
        <x:f>IF('Calculations'!EM381="","",'Calculations'!HG381&amp;" ["&amp;'Calculations'!HE381&amp;"]")</x:f>
      </x:c>
      <x:c r="HL381" t="n">
        <x:f>IF('Calculations'!EM381="",0,IF(OR('Calculations'!II381&lt;&gt;"",COUNTIF('Calculations'!$HE$13:$HE$512,"="&amp;SUBSTITUTE(SUBSTITUTE(SUBSTITUTE('Calculations'!HE381,"~","~~"),"*","~*"),"?","~?"))&gt;1),1,0))</x:f>
        <x:v>0</x:v>
      </x:c>
      <x:c r="HM381" t="str">
        <x:f>IF('Calculations'!EM381="","",IF('Calculations'!HL381=1,"!UNRESOLVED",IF('Calculations'!IH381&lt;&gt;"",'Calculations'!IH381,IF('Calculations'!IG381&lt;&gt;"",'Calculations'!IG381,IF('Calculations'!IF381&lt;&gt;"",'Calculations'!IF381,IF('Calculations'!IE381&lt;&gt;"",'Calculations'!IE381,IF('Calculations'!ID381&lt;&gt;"",'Calculations'!ID381,IF('Calculations'!IC381&lt;&gt;"",'Calculations'!IC381,IF('Calculations'!IB381&lt;&gt;"",'Calculations'!IB381,IF('Calculations'!IA381&lt;&gt;"",'Calculations'!IA381,IF('Calculations'!HZ381&lt;&gt;"",'Calculations'!HZ381,IF('Calculations'!HY381&lt;&gt;"",'Calculations'!HY381,IF('Calculations'!HX381&lt;&gt;"",'Calculations'!HX381,IF('Calculations'!HW381&lt;&gt;"",'Calculations'!HW381,IF('Calculations'!HV381&lt;&gt;"",'Calculations'!HV381,IF('Calculations'!HU381&lt;&gt;"",'Calculations'!HU381,IF('Calculations'!HT381&lt;&gt;"",'Calculations'!HT381,IF('Calculations'!HS381&lt;&gt;"",'Calculations'!HS381,IF('Calculations'!HR381&lt;&gt;"",'Calculations'!HR381,IF('Calculations'!HQ381&lt;&gt;"",'Calculations'!HQ381,IF('Calculations'!HP381&lt;&gt;"",'Calculations'!HP381,IF('Calculations'!HO381&lt;&gt;"",'Calculations'!HO381,'Calculations'!HE381))))))))))))))))))))))</x:f>
      </x:c>
      <x:c r="HN381" t="str">
        <x:f>IF('Calculations'!EM381="","",IF(IFERROR(IF(INDEX(INDIRECT("'WCM Calibration Final'!$F$1:$F$2000"),'Calculations'!$EM381)="","",TRIM(INDEX(INDIRECT("'WCM Calibration Final'!$F$1:$F$2000"),'Calculations'!$EM381)&amp;"")),"")="","(Blank)",IFERROR(IF(INDEX(INDIRECT("'WCM Calibration Final'!$F$1:$F$2000"),'Calculations'!$EM381)="","",TRIM(INDEX(INDIRECT("'WCM Calibration Final'!$F$1:$F$2000"),'Calculations'!$EM381)&amp;"")),"")))</x:f>
      </x:c>
      <x:c r="HO381" t="str">
        <x:f>'Calculations'!HF381</x:f>
      </x:c>
      <x:c r="HP381" t="str">
        <x:f>IF('Calculations'!HO381="","",IF('Calculations'!HO381="!AMBIG","!AMBIG",IF(COUNTIF('Calculations'!$HE$13:$HE$512,"="&amp;SUBSTITUTE(SUBSTITUTE(SUBSTITUTE('Calculations'!HO381,"~","~~"),"*","~*"),"?","~?"))&gt;1,"!AMBIG",IFERROR(INDEX('Calculations'!$HF$13:$HF$512,MATCH('Calculations'!HO381,'Calculations'!$HE$13:$HE$512,0)),""))))</x:f>
      </x:c>
      <x:c r="HQ381" t="str">
        <x:f>IF('Calculations'!HP381="","",IF('Calculations'!HP381="!AMBIG","!AMBIG",IF(COUNTIF('Calculations'!$HE$13:$HE$512,"="&amp;SUBSTITUTE(SUBSTITUTE(SUBSTITUTE('Calculations'!HP381,"~","~~"),"*","~*"),"?","~?"))&gt;1,"!AMBIG",IFERROR(INDEX('Calculations'!$HF$13:$HF$512,MATCH('Calculations'!HP381,'Calculations'!$HE$13:$HE$512,0)),""))))</x:f>
      </x:c>
      <x:c r="HR381" t="str">
        <x:f>IF('Calculations'!HQ381="","",IF('Calculations'!HQ381="!AMBIG","!AMBIG",IF(COUNTIF('Calculations'!$HE$13:$HE$512,"="&amp;SUBSTITUTE(SUBSTITUTE(SUBSTITUTE('Calculations'!HQ381,"~","~~"),"*","~*"),"?","~?"))&gt;1,"!AMBIG",IFERROR(INDEX('Calculations'!$HF$13:$HF$512,MATCH('Calculations'!HQ381,'Calculations'!$HE$13:$HE$512,0)),""))))</x:f>
      </x:c>
      <x:c r="HS381" t="str">
        <x:f>IF('Calculations'!HR381="","",IF('Calculations'!HR381="!AMBIG","!AMBIG",IF(COUNTIF('Calculations'!$HE$13:$HE$512,"="&amp;SUBSTITUTE(SUBSTITUTE(SUBSTITUTE('Calculations'!HR381,"~","~~"),"*","~*"),"?","~?"))&gt;1,"!AMBIG",IFERROR(INDEX('Calculations'!$HF$13:$HF$512,MATCH('Calculations'!HR381,'Calculations'!$HE$13:$HE$512,0)),""))))</x:f>
      </x:c>
      <x:c r="HT381" t="str">
        <x:f>IF('Calculations'!HS381="","",IF('Calculations'!HS381="!AMBIG","!AMBIG",IF(COUNTIF('Calculations'!$HE$13:$HE$512,"="&amp;SUBSTITUTE(SUBSTITUTE(SUBSTITUTE('Calculations'!HS381,"~","~~"),"*","~*"),"?","~?"))&gt;1,"!AMBIG",IFERROR(INDEX('Calculations'!$HF$13:$HF$512,MATCH('Calculations'!HS381,'Calculations'!$HE$13:$HE$512,0)),""))))</x:f>
      </x:c>
      <x:c r="HU381" t="str">
        <x:f>IF('Calculations'!HT381="","",IF('Calculations'!HT381="!AMBIG","!AMBIG",IF(COUNTIF('Calculations'!$HE$13:$HE$512,"="&amp;SUBSTITUTE(SUBSTITUTE(SUBSTITUTE('Calculations'!HT381,"~","~~"),"*","~*"),"?","~?"))&gt;1,"!AMBIG",IFERROR(INDEX('Calculations'!$HF$13:$HF$512,MATCH('Calculations'!HT381,'Calculations'!$HE$13:$HE$512,0)),""))))</x:f>
      </x:c>
      <x:c r="HV381" t="str">
        <x:f>IF('Calculations'!HU381="","",IF('Calculations'!HU381="!AMBIG","!AMBIG",IF(COUNTIF('Calculations'!$HE$13:$HE$512,"="&amp;SUBSTITUTE(SUBSTITUTE(SUBSTITUTE('Calculations'!HU381,"~","~~"),"*","~*"),"?","~?"))&gt;1,"!AMBIG",IFERROR(INDEX('Calculations'!$HF$13:$HF$512,MATCH('Calculations'!HU381,'Calculations'!$HE$13:$HE$512,0)),""))))</x:f>
      </x:c>
      <x:c r="HW381" t="str">
        <x:f>IF('Calculations'!HV381="","",IF('Calculations'!HV381="!AMBIG","!AMBIG",IF(COUNTIF('Calculations'!$HE$13:$HE$512,"="&amp;SUBSTITUTE(SUBSTITUTE(SUBSTITUTE('Calculations'!HV381,"~","~~"),"*","~*"),"?","~?"))&gt;1,"!AMBIG",IFERROR(INDEX('Calculations'!$HF$13:$HF$512,MATCH('Calculations'!HV381,'Calculations'!$HE$13:$HE$512,0)),""))))</x:f>
      </x:c>
      <x:c r="HX381" t="str">
        <x:f>IF('Calculations'!HW381="","",IF('Calculations'!HW381="!AMBIG","!AMBIG",IF(COUNTIF('Calculations'!$HE$13:$HE$512,"="&amp;SUBSTITUTE(SUBSTITUTE(SUBSTITUTE('Calculations'!HW381,"~","~~"),"*","~*"),"?","~?"))&gt;1,"!AMBIG",IFERROR(INDEX('Calculations'!$HF$13:$HF$512,MATCH('Calculations'!HW381,'Calculations'!$HE$13:$HE$512,0)),""))))</x:f>
      </x:c>
      <x:c r="HY381" t="str">
        <x:f>IF('Calculations'!HX381="","",IF('Calculations'!HX381="!AMBIG","!AMBIG",IF(COUNTIF('Calculations'!$HE$13:$HE$512,"="&amp;SUBSTITUTE(SUBSTITUTE(SUBSTITUTE('Calculations'!HX381,"~","~~"),"*","~*"),"?","~?"))&gt;1,"!AMBIG",IFERROR(INDEX('Calculations'!$HF$13:$HF$512,MATCH('Calculations'!HX381,'Calculations'!$HE$13:$HE$512,0)),""))))</x:f>
      </x:c>
      <x:c r="HZ381" t="str">
        <x:f>IF('Calculations'!HY381="","",IF('Calculations'!HY381="!AMBIG","!AMBIG",IF(COUNTIF('Calculations'!$HE$13:$HE$512,"="&amp;SUBSTITUTE(SUBSTITUTE(SUBSTITUTE('Calculations'!HY381,"~","~~"),"*","~*"),"?","~?"))&gt;1,"!AMBIG",IFERROR(INDEX('Calculations'!$HF$13:$HF$512,MATCH('Calculations'!HY381,'Calculations'!$HE$13:$HE$512,0)),""))))</x:f>
      </x:c>
      <x:c r="IA381" t="str">
        <x:f>IF('Calculations'!HZ381="","",IF('Calculations'!HZ381="!AMBIG","!AMBIG",IF(COUNTIF('Calculations'!$HE$13:$HE$512,"="&amp;SUBSTITUTE(SUBSTITUTE(SUBSTITUTE('Calculations'!HZ381,"~","~~"),"*","~*"),"?","~?"))&gt;1,"!AMBIG",IFERROR(INDEX('Calculations'!$HF$13:$HF$512,MATCH('Calculations'!HZ381,'Calculations'!$HE$13:$HE$512,0)),""))))</x:f>
      </x:c>
      <x:c r="IB381" t="str">
        <x:f>IF('Calculations'!IA381="","",IF('Calculations'!IA381="!AMBIG","!AMBIG",IF(COUNTIF('Calculations'!$HE$13:$HE$512,"="&amp;SUBSTITUTE(SUBSTITUTE(SUBSTITUTE('Calculations'!IA381,"~","~~"),"*","~*"),"?","~?"))&gt;1,"!AMBIG",IFERROR(INDEX('Calculations'!$HF$13:$HF$512,MATCH('Calculations'!IA381,'Calculations'!$HE$13:$HE$512,0)),""))))</x:f>
      </x:c>
      <x:c r="IC381" t="str">
        <x:f>IF('Calculations'!IB381="","",IF('Calculations'!IB381="!AMBIG","!AMBIG",IF(COUNTIF('Calculations'!$HE$13:$HE$512,"="&amp;SUBSTITUTE(SUBSTITUTE(SUBSTITUTE('Calculations'!IB381,"~","~~"),"*","~*"),"?","~?"))&gt;1,"!AMBIG",IFERROR(INDEX('Calculations'!$HF$13:$HF$512,MATCH('Calculations'!IB381,'Calculations'!$HE$13:$HE$512,0)),""))))</x:f>
      </x:c>
      <x:c r="ID381" t="str">
        <x:f>IF('Calculations'!IC381="","",IF('Calculations'!IC381="!AMBIG","!AMBIG",IF(COUNTIF('Calculations'!$HE$13:$HE$512,"="&amp;SUBSTITUTE(SUBSTITUTE(SUBSTITUTE('Calculations'!IC381,"~","~~"),"*","~*"),"?","~?"))&gt;1,"!AMBIG",IFERROR(INDEX('Calculations'!$HF$13:$HF$512,MATCH('Calculations'!IC381,'Calculations'!$HE$13:$HE$512,0)),""))))</x:f>
      </x:c>
      <x:c r="IE381" t="str">
        <x:f>IF('Calculations'!ID381="","",IF('Calculations'!ID381="!AMBIG","!AMBIG",IF(COUNTIF('Calculations'!$HE$13:$HE$512,"="&amp;SUBSTITUTE(SUBSTITUTE(SUBSTITUTE('Calculations'!ID381,"~","~~"),"*","~*"),"?","~?"))&gt;1,"!AMBIG",IFERROR(INDEX('Calculations'!$HF$13:$HF$512,MATCH('Calculations'!ID381,'Calculations'!$HE$13:$HE$512,0)),""))))</x:f>
      </x:c>
      <x:c r="IF381" t="str">
        <x:f>IF('Calculations'!IE381="","",IF('Calculations'!IE381="!AMBIG","!AMBIG",IF(COUNTIF('Calculations'!$HE$13:$HE$512,"="&amp;SUBSTITUTE(SUBSTITUTE(SUBSTITUTE('Calculations'!IE381,"~","~~"),"*","~*"),"?","~?"))&gt;1,"!AMBIG",IFERROR(INDEX('Calculations'!$HF$13:$HF$512,MATCH('Calculations'!IE381,'Calculations'!$HE$13:$HE$512,0)),""))))</x:f>
      </x:c>
      <x:c r="IG381" t="str">
        <x:f>IF('Calculations'!IF381="","",IF('Calculations'!IF381="!AMBIG","!AMBIG",IF(COUNTIF('Calculations'!$HE$13:$HE$512,"="&amp;SUBSTITUTE(SUBSTITUTE(SUBSTITUTE('Calculations'!IF381,"~","~~"),"*","~*"),"?","~?"))&gt;1,"!AMBIG",IFERROR(INDEX('Calculations'!$HF$13:$HF$512,MATCH('Calculations'!IF381,'Calculations'!$HE$13:$HE$512,0)),""))))</x:f>
      </x:c>
      <x:c r="IH381" t="str">
        <x:f>IF('Calculations'!IG381="","",IF('Calculations'!IG381="!AMBIG","!AMBIG",IF(COUNTIF('Calculations'!$HE$13:$HE$512,"="&amp;SUBSTITUTE(SUBSTITUTE(SUBSTITUTE('Calculations'!IG381,"~","~~"),"*","~*"),"?","~?"))&gt;1,"!AMBIG",IFERROR(INDEX('Calculations'!$HF$13:$HF$512,MATCH('Calculations'!IG381,'Calculations'!$HE$13:$HE$512,0)),""))))</x:f>
      </x:c>
      <x:c r="II381" t="str">
        <x:f>IF('Calculations'!IH381="","",IF('Calculations'!IH381="!AMBIG","!AMBIG",IF(COUNTIF('Calculations'!$HE$13:$HE$512,"="&amp;SUBSTITUTE(SUBSTITUTE(SUBSTITUTE('Calculations'!IH381,"~","~~"),"*","~*"),"?","~?"))&gt;1,"!AMBIG",IFERROR(INDEX('Calculations'!$HF$13:$HF$512,MATCH('Calculations'!IH381,'Calculations'!$HE$13:$HE$512,0)),""))))</x:f>
      </x:c>
      <x:c r="IJ381" t="str">
        <x:f>IF('Calculations'!EM381="","",IF('Calculations'!$EF$2="All",'Calculations'!HM381,IF('Calculations'!HL381=1,"",IFERROR(IF(MATCH('Calculations'!$EF$2,'Calculations'!HO381:II381,0)=1,'Calculations'!HE381,INDEX('Calculations'!HO381:II381,1,MATCH('Calculations'!$EF$2,'Calculations'!HO381:II381,0)-1)),""))))</x:f>
      </x:c>
      <x:c r="IK381" t="n">
        <x:f>IF(AND('Calculations'!EM381&lt;&gt;"",'Calculations'!$EF$2&lt;&gt;"All",'Calculations'!HF381='Calculations'!$EF$2,'Calculations'!HL381=0,'Calculations'!JD381&gt;0),MAX('Calculations'!$IK$12:IK380)+1,0)</x:f>
        <x:v>0</x:v>
      </x:c>
      <x:c r="JA381" t="n">
        <x:f>IF(OR(IFERROR(INDIRECT("'WCM Calibration Final'!$A$381")&lt;&gt;"",FALSE),IFERROR(INDIRECT("'WCM Calibration Final'!$B$381")&lt;&gt;"",FALSE),IFERROR(INDIRECT("'WCM Calibration Final'!$C$381")&lt;&gt;"",FALSE)),381,0)</x:f>
        <x:v>0</x:v>
      </x:c>
      <x:c r="JB381" t="n">
        <x:f>'Calculations'!JB380+IF('Calculations'!JA381&gt;0,1,0)</x:f>
        <x:v>0</x:v>
      </x:c>
      <x:c r="JC381" t="n">
        <x:f>IF(OR('Calculations'!HF381="",'Calculations'!HF381="!AMBIG"),0,IF('Dashboard'!$B$7="All",1,COUNTIFS('Calculations'!$HO$13:$HO$512,"="&amp;SUBSTITUTE(SUBSTITUTE(SUBSTITUTE('Calculations'!HF381,"~","~~"),"*","~*"),"?","~?"),'Calculations'!$HN$13:$HN$512,"="&amp;SUBSTITUTE(SUBSTITUTE(SUBSTITUTE('Dashboard'!$B$7,"~","~~"),"*","~*"),"?","~?"))+COUNTIFS('Calculations'!$HP$13:$HP$512,"="&amp;SUBSTITUTE(SUBSTITUTE(SUBSTITUTE('Calculations'!HF381,"~","~~"),"*","~*"),"?","~?"),'Calculations'!$HN$13:$HN$512,"="&amp;SUBSTITUTE(SUBSTITUTE(SUBSTITUTE('Dashboard'!$B$7,"~","~~"),"*","~*"),"?","~?"))+COUNTIFS('Calculations'!$HQ$13:$HQ$512,"="&amp;SUBSTITUTE(SUBSTITUTE(SUBSTITUTE('Calculations'!HF381,"~","~~"),"*","~*"),"?","~?"),'Calculations'!$HN$13:$HN$512,"="&amp;SUBSTITUTE(SUBSTITUTE(SUBSTITUTE('Dashboard'!$B$7,"~","~~"),"*","~*"),"?","~?"))+COUNTIFS('Calculations'!$HR$13:$HR$512,"="&amp;SUBSTITUTE(SUBSTITUTE(SUBSTITUTE('Calculations'!HF381,"~","~~"),"*","~*"),"?","~?"),'Calculations'!$HN$13:$HN$512,"="&amp;SUBSTITUTE(SUBSTITUTE(SUBSTITUTE('Dashboard'!$B$7,"~","~~"),"*","~*"),"?","~?"))+COUNTIFS('Calculations'!$HS$13:$HS$512,"="&amp;SUBSTITUTE(SUBSTITUTE(SUBSTITUTE('Calculations'!HF381,"~","~~"),"*","~*"),"?","~?"),'Calculations'!$HN$13:$HN$512,"="&amp;SUBSTITUTE(SUBSTITUTE(SUBSTITUTE('Dashboard'!$B$7,"~","~~"),"*","~*"),"?","~?"))+COUNTIFS('Calculations'!$HT$13:$HT$512,"="&amp;SUBSTITUTE(SUBSTITUTE(SUBSTITUTE('Calculations'!HF381,"~","~~"),"*","~*"),"?","~?"),'Calculations'!$HN$13:$HN$512,"="&amp;SUBSTITUTE(SUBSTITUTE(SUBSTITUTE('Dashboard'!$B$7,"~","~~"),"*","~*"),"?","~?"))+COUNTIFS('Calculations'!$HU$13:$HU$512,"="&amp;SUBSTITUTE(SUBSTITUTE(SUBSTITUTE('Calculations'!HF381,"~","~~"),"*","~*"),"?","~?"),'Calculations'!$HN$13:$HN$512,"="&amp;SUBSTITUTE(SUBSTITUTE(SUBSTITUTE('Dashboard'!$B$7,"~","~~"),"*","~*"),"?","~?"))+COUNTIFS('Calculations'!$HV$13:$HV$512,"="&amp;SUBSTITUTE(SUBSTITUTE(SUBSTITUTE('Calculations'!HF381,"~","~~"),"*","~*"),"?","~?"),'Calculations'!$HN$13:$HN$512,"="&amp;SUBSTITUTE(SUBSTITUTE(SUBSTITUTE('Dashboard'!$B$7,"~","~~"),"*","~*"),"?","~?"))+COUNTIFS('Calculations'!$HW$13:$HW$512,"="&amp;SUBSTITUTE(SUBSTITUTE(SUBSTITUTE('Calculations'!HF381,"~","~~"),"*","~*"),"?","~?"),'Calculations'!$HN$13:$HN$512,"="&amp;SUBSTITUTE(SUBSTITUTE(SUBSTITUTE('Dashboard'!$B$7,"~","~~"),"*","~*"),"?","~?"))+COUNTIFS('Calculations'!$HX$13:$HX$512,"="&amp;SUBSTITUTE(SUBSTITUTE(SUBSTITUTE('Calculations'!HF381,"~","~~"),"*","~*"),"?","~?"),'Calculations'!$HN$13:$HN$512,"="&amp;SUBSTITUTE(SUBSTITUTE(SUBSTITUTE('Dashboard'!$B$7,"~","~~"),"*","~*"),"?","~?"))+COUNTIFS('Calculations'!$HY$13:$HY$512,"="&amp;SUBSTITUTE(SUBSTITUTE(SUBSTITUTE('Calculations'!HF381,"~","~~"),"*","~*"),"?","~?"),'Calculations'!$HN$13:$HN$512,"="&amp;SUBSTITUTE(SUBSTITUTE(SUBSTITUTE('Dashboard'!$B$7,"~","~~"),"*","~*"),"?","~?"))+COUNTIFS('Calculations'!$HZ$13:$HZ$512,"="&amp;SUBSTITUTE(SUBSTITUTE(SUBSTITUTE('Calculations'!HF381,"~","~~"),"*","~*"),"?","~?"),'Calculations'!$HN$13:$HN$512,"="&amp;SUBSTITUTE(SUBSTITUTE(SUBSTITUTE('Dashboard'!$B$7,"~","~~"),"*","~*"),"?","~?"))+COUNTIFS('Calculations'!$IA$13:$IA$512,"="&amp;SUBSTITUTE(SUBSTITUTE(SUBSTITUTE('Calculations'!HF381,"~","~~"),"*","~*"),"?","~?"),'Calculations'!$HN$13:$HN$512,"="&amp;SUBSTITUTE(SUBSTITUTE(SUBSTITUTE('Dashboard'!$B$7,"~","~~"),"*","~*"),"?","~?"))+COUNTIFS('Calculations'!$IB$13:$IB$512,"="&amp;SUBSTITUTE(SUBSTITUTE(SUBSTITUTE('Calculations'!HF381,"~","~~"),"*","~*"),"?","~?"),'Calculations'!$HN$13:$HN$512,"="&amp;SUBSTITUTE(SUBSTITUTE(SUBSTITUTE('Dashboard'!$B$7,"~","~~"),"*","~*"),"?","~?"))+COUNTIFS('Calculations'!$IC$13:$IC$512,"="&amp;SUBSTITUTE(SUBSTITUTE(SUBSTITUTE('Calculations'!HF381,"~","~~"),"*","~*"),"?","~?"),'Calculations'!$HN$13:$HN$512,"="&amp;SUBSTITUTE(SUBSTITUTE(SUBSTITUTE('Dashboard'!$B$7,"~","~~"),"*","~*"),"?","~?"))+COUNTIFS('Calculations'!$ID$13:$ID$512,"="&amp;SUBSTITUTE(SUBSTITUTE(SUBSTITUTE('Calculations'!HF381,"~","~~"),"*","~*"),"?","~?"),'Calculations'!$HN$13:$HN$512,"="&amp;SUBSTITUTE(SUBSTITUTE(SUBSTITUTE('Dashboard'!$B$7,"~","~~"),"*","~*"),"?","~?"))+COUNTIFS('Calculations'!$IE$13:$IE$512,"="&amp;SUBSTITUTE(SUBSTITUTE(SUBSTITUTE('Calculations'!HF381,"~","~~"),"*","~*"),"?","~?"),'Calculations'!$HN$13:$HN$512,"="&amp;SUBSTITUTE(SUBSTITUTE(SUBSTITUTE('Dashboard'!$B$7,"~","~~"),"*","~*"),"?","~?"))+COUNTIFS('Calculations'!$IF$13:$IF$512,"="&amp;SUBSTITUTE(SUBSTITUTE(SUBSTITUTE('Calculations'!HF381,"~","~~"),"*","~*"),"?","~?"),'Calculations'!$HN$13:$HN$512,"="&amp;SUBSTITUTE(SUBSTITUTE(SUBSTITUTE('Dashboard'!$B$7,"~","~~"),"*","~*"),"?","~?"))+COUNTIFS('Calculations'!$IG$13:$IG$512,"="&amp;SUBSTITUTE(SUBSTITUTE(SUBSTITUTE('Calculations'!HF381,"~","~~"),"*","~*"),"?","~?"),'Calculations'!$HN$13:$HN$512,"="&amp;SUBSTITUTE(SUBSTITUTE(SUBSTITUTE('Dashboard'!$B$7,"~","~~"),"*","~*"),"?","~?"))+COUNTIFS('Calculations'!$IH$13:$IH$512,"="&amp;SUBSTITUTE(SUBSTITUTE(SUBSTITUTE('Calculations'!HF381,"~","~~"),"*","~*"),"?","~?"),'Calculations'!$HN$13:$HN$512,"="&amp;SUBSTITUTE(SUBSTITUTE(SUBSTITUTE('Dashboard'!$B$7,"~","~~"),"*","~*"),"?","~?"))))</x:f>
        <x:v>0</x:v>
      </x:c>
      <x:c r="JD381" t="n">
        <x:f>IF('Calculations'!EM381="",0,IF('Dashboard'!$B$7="All",1,IF('Calculations'!HN381='Dashboard'!$B$7,1,0)+IFERROR(INDEX('Calculations'!$JC$13:$JC$512,MATCH('Calculations'!HE381,'Calculations'!$HF$13:$HF$512,0)),0)))</x:f>
        <x:v>0</x:v>
      </x:c>
      <x:c r="JE381" t="n">
        <x:f>IF(AND('Calculations'!EM381&lt;&gt;"",'Calculations'!$JJ$2&lt;&gt;"All",'Calculations'!$JJ$2&lt;&gt;"",'Calculations'!HF381='Calculations'!$JJ$2,'Calculations'!HL381=0,'Calculations'!JD381&gt;0),MAX('Calculations'!$JE$12:JE380)+1,0)</x:f>
        <x:v>0</x:v>
      </x:c>
      <x:c r="JF381" t="str">
        <x:f>IF('Calculations'!EM381="","",IFERROR(IF(INDEX(INDIRECT("'WCM Calibration Final'!$G$1:$G$2000"),'Calculations'!$EM381)="","",TRIM(INDEX(INDIRECT("'WCM Calibration Final'!$G$1:$G$2000"),'Calculations'!$EM381)&amp;"")),""))</x:f>
      </x:c>
      <x:c r="JQ381" t="n">
        <x:f>IF(OR('Calculations'!BM381=0,NOT('Calculations'!$AG$2),'Calculations'!$AG$8&gt;0),0,IF(OR('Dashboard'!$B$7="All",'Calculations'!HN381='Dashboard'!$B$7),IF('Calculations'!$JJ$2="All",1,IF(AND('Calculations'!HF381='Calculations'!$JJ$2,'Calculations'!HL381=0),1,0)),0))</x:f>
        <x:v>0</x:v>
      </x:c>
    </x:row>
    <x:row r="382">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t="n">
        <x:f>IF('Calculations'!$EM382="",0,IF(OR(IFERROR(INDEX(INDIRECT("'WCM Calibration Final'!$A$1:$A$2000"),'Calculations'!$EM382)&lt;&gt;"",FALSE),IFERROR(INDEX(INDIRECT("'WCM Calibration Final'!$B$1:$B$2000"),'Calculations'!$EM382)&lt;&gt;"",FALSE),IFERROR(INDEX(INDIRECT("'WCM Calibration Final'!$C$1:$C$2000"),'Calculations'!$EM382)&lt;&gt;"",FALSE)),1,0))</x:f>
        <x:v>0</x:v>
      </x:c>
      <x:c r="BN382" s="4" t="n">
        <x:f>IF(AND('Calculations'!BM382=1,'Calculations'!$AG$2,'Calculations'!$EN382=1),1,0)</x:f>
        <x:v>0</x:v>
      </x:c>
      <x:c r="BO382" s="4" t="str">
        <x:f>IF('Calculations'!BM382=0,"",IFERROR(IF(AND(VALUE(INDEX(INDIRECT("'WCM Calibration Final'!$K$1:$K$2000"),'Calculations'!$EM382))&gt;=1,VALUE(INDEX(INDIRECT("'WCM Calibration Final'!$K$1:$K$2000"),'Calculations'!$EM382))&lt;=4,MOD(VALUE(INDEX(INDIRECT("'WCM Calibration Final'!$K$1:$K$2000"),'Calculations'!$EM382)),1)=0),VALUE(INDEX(INDIRECT("'WCM Calibration Final'!$K$1:$K$2000"),'Calculations'!$EM382)),""),""))</x:f>
      </x:c>
      <x:c r="BP382" s="4" t="str">
        <x:f>IF('Calculations'!BM382=0,"",IFERROR(IF(AND(VALUE(INDEX(INDIRECT("'WCM Calibration Final'!$L$1:$L$2000"),'Calculations'!$EM382))&gt;=1,VALUE(INDEX(INDIRECT("'WCM Calibration Final'!$L$1:$L$2000"),'Calculations'!$EM382))&lt;=4,MOD(VALUE(INDEX(INDIRECT("'WCM Calibration Final'!$L$1:$L$2000"),'Calculations'!$EM382)),1)=0),VALUE(INDEX(INDIRECT("'WCM Calibration Final'!$L$1:$L$2000"),'Calculations'!$EM382)),""),""))</x:f>
      </x:c>
      <x:c r="BQ382" s="4"/>
      <x:c r="BR382" s="4"/>
      <x:c r="BS382" s="4"/>
      <x:c r="BT382" s="4" t="n">
        <x:f>IF(AND('Calculations'!BM382=1,ISNUMBER('Calculations'!BO382),ISNUMBER('Calculations'!BP382)),1,0)</x:f>
        <x:v>0</x:v>
      </x:c>
      <x:c r="BU382" s="4" t="str">
        <x:f>IF('Calculations'!BM382=0,"",'Calculations'!$EO382)</x:f>
      </x:c>
      <x:c r="BV382" s="4" t="str">
        <x:f>IF('Calculations'!BM382=0,"",IFERROR(IF(OR(INDEX(INDIRECT("'WCM Calibration Final'!$H$1:$H$2000"),'Calculations'!$EM382)="MANAGING DIRECTOR",INDEX(INDIRECT("'WCM Calibration Final'!$H$1:$H$2000"),'Calculations'!$EM382)="DIRECTOR",INDEX(INDIRECT("'WCM Calibration Final'!$H$1:$H$2000"),'Calculations'!$EM382)="SENIOR VICE PRESIDENT",INDEX(INDIRECT("'WCM Calibration Final'!$H$1:$H$2000"),'Calculations'!$EM382)="VICE PRESIDENT",INDEX(INDIRECT("'WCM Calibration Final'!$H$1:$H$2000"),'Calculations'!$EM382)="ASSISTANT VICE PRESIDENT",INDEX(INDIRECT("'WCM Calibration Final'!$H$1:$H$2000"),'Calculations'!$EM382)="OFFICER"),UPPER(INDEX(INDIRECT("'WCM Calibration Final'!$H$1:$H$2000"),'Calculations'!$EM382)),"Other"),"Other"))</x:f>
      </x:c>
      <x:c r="BW382" s="4"/>
      <x:c r="BX382" s="4"/>
      <x:c r="BY382" s="4" t="n">
        <x:f>IF(AND('Calculations'!BM382=1,'Calculations'!BU382&lt;&gt;"",COUNTIF('Calculations'!$BU$12:BU382,'Calculations'!BU382)=1),MAX('Calculations'!$BY$11:BY381)+1,0)</x:f>
        <x:v>0</x:v>
      </x:c>
      <x:c r="BZ382" s="4" t="str">
        <x:f>IF('Dashboard'!$E$67="What",'Calculations'!BO382,'Calculations'!BP382)</x:f>
      </x:c>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t="str">
        <x:f>IF(371&gt;MAX('Calculations'!$HI$13:$HI$512),"",INDEX('Calculations'!$HN$13:$HN$512,MATCH(371,'Calculations'!$HI$13:$HI$512,0)))</x:f>
      </x:c>
      <x:c r="DB382" s="4" t="str">
        <x:f>IF(371&gt;MAX('Calculations'!$HH$13:$HH$512),"",INDEX('Calculations'!$HJ$13:$HJ$512,MATCH(371,'Calculations'!$HH$13:$HH$512,0)))</x:f>
      </x:c>
      <x:c r="DC382" s="4" t="str">
        <x:f>IF(ROW()-11&gt;MAX('Calculations'!$BY$13:$BY$512),"",INDEX('Calculations'!$BU$13:$BU$512,MATCH(ROW()-11,'Calculations'!$BY$13:$BY$512,0)))</x:f>
      </x:c>
      <x:c r="DD382" s="4" t="str">
        <x:f>IF(371&gt;MAX('Calculations'!$IK$13:$IK$512),"",INDEX('Calculations'!$HK$13:$HK$512,MATCH(371,'Calculations'!$IK$13:$IK$512,0)))</x:f>
      </x:c>
      <x:c r="DE382" s="4" t="str">
        <x:f>'Calculations'!DC382</x:f>
      </x:c>
      <x:c r="DF382" s="4" t="str">
        <x:f>IF('Calculations'!DE382="","",COUNTIFS('Calculations'!$BN$13:$BN$512,1,'Calculations'!$BU$13:$BU$512,'Calculations'!DE382))</x:f>
      </x:c>
      <x:c r="DG382" s="4" t="str">
        <x:f>IF('Calculations'!DE382="","",COUNTIFS('Calculations'!$BN$13:$BN$512,1,'Calculations'!$BU$13:$BU$512,'Calculations'!DE382,'Calculations'!$BT$13:$BT$512,1))</x:f>
      </x:c>
      <x:c r="DH382" s="4" t="str">
        <x:f>IF('Calculations'!DE382="","",'Calculations'!DF382-'Calculations'!DG382)</x:f>
      </x:c>
      <x:c r="DI382" s="4" t="str">
        <x:f>IF(OR('Calculations'!DE382="",'Calculations'!DF382=0),"",'Calculations'!DG382/'Calculations'!DF382)</x:f>
      </x:c>
      <x:c r="DJ382" s="4" t="str">
        <x:f>IF('Calculations'!DE382="","",COUNTIFS('Calculations'!$BN$13:$BN$512,1,'Calculations'!$BU$13:$BU$512,'Calculations'!DE382,'Calculations'!$BT$13:$BT$512,1,'Calculations'!$EE$13:$EE$512,"High"))</x:f>
      </x:c>
      <x:c r="DK382" s="4" t="str">
        <x:f>IF('Calculations'!DE382="","",COUNTIFS('Calculations'!$BN$13:$BN$512,1,'Calculations'!$BU$13:$BU$512,'Calculations'!DE382,'Calculations'!$BT$13:$BT$512,1,'Calculations'!$EE$13:$EE$512,"Strong"))</x:f>
      </x:c>
      <x:c r="DL382" s="4" t="str">
        <x:f>IF('Calculations'!DE382="","",COUNTIFS('Calculations'!$BN$13:$BN$512,1,'Calculations'!$BU$13:$BU$512,'Calculations'!DE382,'Calculations'!$BT$13:$BT$512,1,'Calculations'!$EE$13:$EE$512,"Solid"))</x:f>
      </x:c>
      <x:c r="DM382" s="4" t="str">
        <x:f>IF('Calculations'!DE382="","",COUNTIFS('Calculations'!$BN$13:$BN$512,1,'Calculations'!$BU$13:$BU$512,'Calculations'!DE382,'Calculations'!$BT$13:$BT$512,1,'Calculations'!$EE$13:$EE$512,"Low"))</x:f>
      </x:c>
      <x:c r="DN382" s="4" t="str">
        <x:f>IF('Calculations'!DE382="","",COUNTIFS('Calculations'!$BN$13:$BN$512,1,'Calculations'!$BU$13:$BU$512,'Calculations'!DE382,'Calculations'!$EP$13:$EP$512,1))</x:f>
      </x:c>
      <x:c r="DO382" s="4" t="str">
        <x:f>IF(OR('Calculations'!DE382="",'Calculations'!DG382=0),"",('Calculations'!DJ382+'Calculations'!DK382)/'Calculations'!DG382)</x:f>
      </x:c>
      <x:c r="DP382" s="4" t="n">
        <x:f>IF(AND('Calculations'!DE382&lt;&gt;"",'Calculations'!DF382&gt;0),COUNTIF('Calculations'!$DF$12:DF382,"&gt;0"),0)</x:f>
        <x:v>0</x:v>
      </x:c>
      <x:c r="DQ382" s="4" t="str">
        <x:f>IF(371&gt;MAX('Calculations'!$HH$13:$HH$512),"",INDEX('Calculations'!$HF$13:$HF$512,MATCH(371,'Calculations'!$HH$13:$HH$512,0)))</x:f>
      </x:c>
      <x:c r="DR382" s="4" t="str">
        <x:f>IF(371&gt;MAX('Calculations'!$IK$13:$IK$512),"",INDEX('Calculations'!$HE$13:$HE$512,MATCH(371,'Calculations'!$IK$13:$IK$512,0)))</x:f>
      </x:c>
      <x:c r="DS382" s="4"/>
      <x:c r="DT382" s="4"/>
      <x:c r="DU382" s="4"/>
      <x:c r="DV382" s="4"/>
      <x:c r="DW382" s="4"/>
      <x:c r="DX382" s="4"/>
      <x:c r="DY382" s="4"/>
      <x:c r="DZ382" s="4"/>
      <x:c r="EA382" s="4"/>
      <x:c r="EB382" s="4"/>
      <x:c r="EC382" s="4"/>
      <x:c r="ED382" s="4"/>
      <x:c r="EE382" s="4" t="str">
        <x:f>IF('Calculations'!BT382=0,"Not Rated",IF(OR('Calculations'!BO382&gt;=4,'Calculations'!BP382&gt;=4),"Low",IF('Calculations'!BO382+'Calculations'!BP382&lt;=3,"High",IF('Calculations'!BO382+'Calculations'!BP382&lt;=4,"Strong","Solid"))))</x:f>
        <x:v>Not Rated</x:v>
      </x:c>
      <x:c r="EF382" s="4"/>
      <x:c r="EG382" s="4"/>
      <x:c r="EH382" s="4"/>
      <x:c r="EI382" s="4"/>
      <x:c r="EJ382" s="4"/>
      <x:c r="EK382" s="4"/>
      <x:c r="EL382" s="4"/>
      <x:c r="EM382" s="4" t="str">
        <x:f>IF(370&gt;'Calculations'!$JB$2000,"",INDEX('Calculations'!$JA$12:$JA$2000,MATCH(370,'Calculations'!$JB$12:$JB$2000,0)))</x:f>
      </x:c>
      <x:c r="EN382" s="4" t="n">
        <x:f>IF(OR('Calculations'!EM382="",'Calculations'!$AG$8&gt;0,AND('Calculations'!$EF$2&lt;&gt;"All",'Calculations'!HE382='Calculations'!$EF$2),AND('Calculations'!$EF$3&lt;&gt;"All",'Calculations'!HE382='Calculations'!$EF$3)),0,IF(OR('Dashboard'!$B$7="All",'Calculations'!HN382='Dashboard'!$B$7),IF('Calculations'!$EF$2="All",1,IF('Calculations'!HL382&gt;0,0,IF(COUNTIF('Calculations'!HO382:II382,"="&amp;SUBSTITUTE(SUBSTITUTE(SUBSTITUTE('Calculations'!$EF$2,"~","~~"),"*","~*"),"?","~?"))=0,0,IF('Calculations'!$EF$3="All",1,IF(COUNTIF('Calculations'!HO382:II382,"="&amp;SUBSTITUTE(SUBSTITUTE(SUBSTITUTE('Calculations'!$EF$3,"~","~~"),"*","~*"),"?","~?"))&gt;0,1,0))))),0))</x:f>
        <x:v>0</x:v>
      </x:c>
      <x:c r="EO382" s="4" t="str">
        <x:f>IF('Calculations'!IJ382="","",IF('Calculations'!IJ382="!UNRESOLVED","Unresolved hierarchy",IFERROR(INDEX('Calculations'!$HK$13:$HK$512,MATCH('Calculations'!IJ382,'Calculations'!$HE$13:$HE$512,0)),IFERROR(INDEX('Calculations'!$HJ$13:$HJ$512,MATCH('Calculations'!IJ382,'Calculations'!$HF$13:$HF$512,0)),'Calculations'!IJ382))))</x:f>
      </x:c>
      <x:c r="EP382" s="4" t="n">
        <x:f>IF(AND('Calculations'!EM382&lt;&gt;"",'Calculations'!HF382='Calculations'!IJ382),1,0)</x:f>
        <x:v>0</x:v>
      </x:c>
      <x:c r="EQ382" s="4"/>
      <x:c r="ER382" s="4"/>
      <x:c r="ES382" s="4"/>
      <x:c r="ET382" s="4"/>
      <x:c r="EU382" s="4"/>
      <x:c r="EV382" s="4"/>
      <x:c r="EW382" s="4"/>
      <x:c r="EX382" s="4"/>
      <x:c r="EY382" s="4"/>
      <x:c r="EZ382" s="4"/>
      <x:c r="FA382" s="4"/>
      <x:c r="FB382" s="4"/>
      <x:c r="FC382" s="4"/>
      <x:c r="FD382" s="4"/>
      <x:c r="FE382" s="4"/>
      <x:c r="FF382" s="4"/>
      <x:c r="FG382" s="4"/>
      <x:c r="FH382" s="4"/>
      <x:c r="FI382" s="4"/>
      <x:c r="FJ382" s="4"/>
      <x:c r="FK382" s="4"/>
      <x:c r="FL382" s="4"/>
      <x:c r="FM382" s="4"/>
      <x:c r="FN382" s="4"/>
      <x:c r="FO382" s="4"/>
      <x:c r="HE382" t="str">
        <x:f>IF('Calculations'!EM382="","",IF(IFERROR(IF(INDEX(INDIRECT("'WCM Calibration Final'!$A$1:$A$2000"),'Calculations'!$EM382)="","",TRIM(INDEX(INDIRECT("'WCM Calibration Final'!$A$1:$A$2000"),'Calculations'!$EM382)&amp;"")),"")&lt;&gt;"","G:"&amp;IFERROR(TEXT(1*INDEX(INDIRECT("'WCM Calibration Final'!$A$1:$A$2000"),'Calculations'!$EM382),"0"),UPPER(IFERROR(IF(INDEX(INDIRECT("'WCM Calibration Final'!$A$1:$A$2000"),'Calculations'!$EM382)="","",TRIM(INDEX(INDIRECT("'WCM Calibration Final'!$A$1:$A$2000"),'Calculations'!$EM382)&amp;"")),""))),IF(IFERROR(IF(INDEX(INDIRECT("'WCM Calibration Final'!$C$1:$C$2000"),'Calculations'!$EM382)="","",TRIM(INDEX(INDIRECT("'WCM Calibration Final'!$C$1:$C$2000"),'Calculations'!$EM382)&amp;"")),"")&lt;&gt;"","S:"&amp;UPPER(IFERROR(IF(INDEX(INDIRECT("'WCM Calibration Final'!$C$1:$C$2000"),'Calculations'!$EM382)="","",TRIM(INDEX(INDIRECT("'WCM Calibration Final'!$C$1:$C$2000"),'Calculations'!$EM382)&amp;"")),"")),"R:"&amp;'Calculations'!EM382)))</x:f>
      </x:c>
      <x:c r="HF382" t="str">
        <x:f>IF('Calculations'!EM382="","",IF(IFERROR(IF(INDEX(INDIRECT("'WCM Calibration Final'!$D$1:$D$2000"),'Calculations'!$EM382)="","",TRIM(INDEX(INDIRECT("'WCM Calibration Final'!$D$1:$D$2000"),'Calculations'!$EM382)&amp;"")),"")&lt;&gt;"","G:"&amp;IFERROR(TEXT(1*INDEX(INDIRECT("'WCM Calibration Final'!$D$1:$D$2000"),'Calculations'!$EM382),"0"),UPPER(IFERROR(IF(INDEX(INDIRECT("'WCM Calibration Final'!$D$1:$D$2000"),'Calculations'!$EM382)="","",TRIM(INDEX(INDIRECT("'WCM Calibration Final'!$D$1:$D$2000"),'Calculations'!$EM382)&amp;"")),""))),IF(IFERROR(IF(INDEX(INDIRECT("'WCM Calibration Final'!$E$1:$E$2000"),'Calculations'!$EM382)="","",TRIM(INDEX(INDIRECT("'WCM Calibration Final'!$E$1:$E$2000"),'Calculations'!$EM382)&amp;"")),"")="","",IF(COUNTIF('Calculations'!$HG$13:$HG$512,"="&amp;SUBSTITUTE(SUBSTITUTE(SUBSTITUTE(IFERROR(IF(INDEX(INDIRECT("'WCM Calibration Final'!$E$1:$E$2000"),'Calculations'!$EM382)="","",TRIM(INDEX(INDIRECT("'WCM Calibration Final'!$E$1:$E$2000"),'Calculations'!$EM382)&amp;"")),""),"~","~~"),"*","~*"),"?","~?"))=1,INDEX('Calculations'!$HE$13:$HE$512,MATCH(IFERROR(IF(INDEX(INDIRECT("'WCM Calibration Final'!$E$1:$E$2000"),'Calculations'!$EM382)="","",TRIM(INDEX(INDIRECT("'WCM Calibration Final'!$E$1:$E$2000"),'Calculations'!$EM382)&amp;"")),""),'Calculations'!$HG$13:$HG$512,0)),IF(COUNTIF('Calculations'!$HG$13:$HG$512,"="&amp;SUBSTITUTE(SUBSTITUTE(SUBSTITUTE(IFERROR(IF(INDEX(INDIRECT("'WCM Calibration Final'!$E$1:$E$2000"),'Calculations'!$EM382)="","",TRIM(INDEX(INDIRECT("'WCM Calibration Final'!$E$1:$E$2000"),'Calculations'!$EM382)&amp;"")),""),"~","~~"),"*","~*"),"?","~?"))&gt;1,"!AMBIG","X:"&amp;IFERROR(IF(INDEX(INDIRECT("'WCM Calibration Final'!$E$1:$E$2000"),'Calculations'!$EM382)="","",TRIM(INDEX(INDIRECT("'WCM Calibration Final'!$E$1:$E$2000"),'Calculations'!$EM382)&amp;"")),""))))))</x:f>
      </x:c>
      <x:c r="HG382" t="str">
        <x:f>IF('Calculations'!EM382="","",IFERROR(IF(INDEX(INDIRECT("'WCM Calibration Final'!$B$1:$B$2000"),'Calculations'!$EM382)="","",TRIM(INDEX(INDIRECT("'WCM Calibration Final'!$B$1:$B$2000"),'Calculations'!$EM382)&amp;"")),""))</x:f>
      </x:c>
      <x:c r="HH382" t="n">
        <x:f>IF(AND('Calculations'!JC382&gt;0,COUNTIF('Calculations'!$HF$12:HF382,"="&amp;SUBSTITUTE(SUBSTITUTE(SUBSTITUTE('Calculations'!HF382,"~","~~"),"*","~*"),"?","~?"))=1),MAX('Calculations'!$HH$12:HH381)+1,0)</x:f>
        <x:v>0</x:v>
      </x:c>
      <x:c r="HI382" t="n">
        <x:f>IF(AND('Calculations'!HN382&lt;&gt;"",COUNTIF('Calculations'!$HN$12:HN382,"="&amp;SUBSTITUTE(SUBSTITUTE(SUBSTITUTE('Calculations'!HN382,"~","~~"),"*","~*"),"?","~?"))=1),MAX('Calculations'!$HI$12:HI381)+1,0)</x:f>
        <x:v>0</x:v>
      </x:c>
      <x:c r="HJ382" t="str">
        <x:f>IF('Calculations'!HF382="","",IF(COUNTIF('Calculations'!$HE$13:$HE$512,"="&amp;SUBSTITUTE(SUBSTITUTE(SUBSTITUTE('Calculations'!HF382,"~","~~"),"*","~*"),"?","~?"))=1,INDEX('Calculations'!$HK$13:$HK$512,MATCH('Calculations'!HF382,'Calculations'!$HE$13:$HE$512,0)),IFERROR(IF(INDEX(INDIRECT("'WCM Calibration Final'!$E$1:$E$2000"),'Calculations'!$EM382)="","",TRIM(INDEX(INDIRECT("'WCM Calibration Final'!$E$1:$E$2000"),'Calculations'!$EM382)&amp;"")),"")&amp;" ["&amp;'Calculations'!HF382&amp;"]"))</x:f>
      </x:c>
      <x:c r="HK382" t="str">
        <x:f>IF('Calculations'!EM382="","",'Calculations'!HG382&amp;" ["&amp;'Calculations'!HE382&amp;"]")</x:f>
      </x:c>
      <x:c r="HL382" t="n">
        <x:f>IF('Calculations'!EM382="",0,IF(OR('Calculations'!II382&lt;&gt;"",COUNTIF('Calculations'!$HE$13:$HE$512,"="&amp;SUBSTITUTE(SUBSTITUTE(SUBSTITUTE('Calculations'!HE382,"~","~~"),"*","~*"),"?","~?"))&gt;1),1,0))</x:f>
        <x:v>0</x:v>
      </x:c>
      <x:c r="HM382" t="str">
        <x:f>IF('Calculations'!EM382="","",IF('Calculations'!HL382=1,"!UNRESOLVED",IF('Calculations'!IH382&lt;&gt;"",'Calculations'!IH382,IF('Calculations'!IG382&lt;&gt;"",'Calculations'!IG382,IF('Calculations'!IF382&lt;&gt;"",'Calculations'!IF382,IF('Calculations'!IE382&lt;&gt;"",'Calculations'!IE382,IF('Calculations'!ID382&lt;&gt;"",'Calculations'!ID382,IF('Calculations'!IC382&lt;&gt;"",'Calculations'!IC382,IF('Calculations'!IB382&lt;&gt;"",'Calculations'!IB382,IF('Calculations'!IA382&lt;&gt;"",'Calculations'!IA382,IF('Calculations'!HZ382&lt;&gt;"",'Calculations'!HZ382,IF('Calculations'!HY382&lt;&gt;"",'Calculations'!HY382,IF('Calculations'!HX382&lt;&gt;"",'Calculations'!HX382,IF('Calculations'!HW382&lt;&gt;"",'Calculations'!HW382,IF('Calculations'!HV382&lt;&gt;"",'Calculations'!HV382,IF('Calculations'!HU382&lt;&gt;"",'Calculations'!HU382,IF('Calculations'!HT382&lt;&gt;"",'Calculations'!HT382,IF('Calculations'!HS382&lt;&gt;"",'Calculations'!HS382,IF('Calculations'!HR382&lt;&gt;"",'Calculations'!HR382,IF('Calculations'!HQ382&lt;&gt;"",'Calculations'!HQ382,IF('Calculations'!HP382&lt;&gt;"",'Calculations'!HP382,IF('Calculations'!HO382&lt;&gt;"",'Calculations'!HO382,'Calculations'!HE382))))))))))))))))))))))</x:f>
      </x:c>
      <x:c r="HN382" t="str">
        <x:f>IF('Calculations'!EM382="","",IF(IFERROR(IF(INDEX(INDIRECT("'WCM Calibration Final'!$F$1:$F$2000"),'Calculations'!$EM382)="","",TRIM(INDEX(INDIRECT("'WCM Calibration Final'!$F$1:$F$2000"),'Calculations'!$EM382)&amp;"")),"")="","(Blank)",IFERROR(IF(INDEX(INDIRECT("'WCM Calibration Final'!$F$1:$F$2000"),'Calculations'!$EM382)="","",TRIM(INDEX(INDIRECT("'WCM Calibration Final'!$F$1:$F$2000"),'Calculations'!$EM382)&amp;"")),"")))</x:f>
      </x:c>
      <x:c r="HO382" t="str">
        <x:f>'Calculations'!HF382</x:f>
      </x:c>
      <x:c r="HP382" t="str">
        <x:f>IF('Calculations'!HO382="","",IF('Calculations'!HO382="!AMBIG","!AMBIG",IF(COUNTIF('Calculations'!$HE$13:$HE$512,"="&amp;SUBSTITUTE(SUBSTITUTE(SUBSTITUTE('Calculations'!HO382,"~","~~"),"*","~*"),"?","~?"))&gt;1,"!AMBIG",IFERROR(INDEX('Calculations'!$HF$13:$HF$512,MATCH('Calculations'!HO382,'Calculations'!$HE$13:$HE$512,0)),""))))</x:f>
      </x:c>
      <x:c r="HQ382" t="str">
        <x:f>IF('Calculations'!HP382="","",IF('Calculations'!HP382="!AMBIG","!AMBIG",IF(COUNTIF('Calculations'!$HE$13:$HE$512,"="&amp;SUBSTITUTE(SUBSTITUTE(SUBSTITUTE('Calculations'!HP382,"~","~~"),"*","~*"),"?","~?"))&gt;1,"!AMBIG",IFERROR(INDEX('Calculations'!$HF$13:$HF$512,MATCH('Calculations'!HP382,'Calculations'!$HE$13:$HE$512,0)),""))))</x:f>
      </x:c>
      <x:c r="HR382" t="str">
        <x:f>IF('Calculations'!HQ382="","",IF('Calculations'!HQ382="!AMBIG","!AMBIG",IF(COUNTIF('Calculations'!$HE$13:$HE$512,"="&amp;SUBSTITUTE(SUBSTITUTE(SUBSTITUTE('Calculations'!HQ382,"~","~~"),"*","~*"),"?","~?"))&gt;1,"!AMBIG",IFERROR(INDEX('Calculations'!$HF$13:$HF$512,MATCH('Calculations'!HQ382,'Calculations'!$HE$13:$HE$512,0)),""))))</x:f>
      </x:c>
      <x:c r="HS382" t="str">
        <x:f>IF('Calculations'!HR382="","",IF('Calculations'!HR382="!AMBIG","!AMBIG",IF(COUNTIF('Calculations'!$HE$13:$HE$512,"="&amp;SUBSTITUTE(SUBSTITUTE(SUBSTITUTE('Calculations'!HR382,"~","~~"),"*","~*"),"?","~?"))&gt;1,"!AMBIG",IFERROR(INDEX('Calculations'!$HF$13:$HF$512,MATCH('Calculations'!HR382,'Calculations'!$HE$13:$HE$512,0)),""))))</x:f>
      </x:c>
      <x:c r="HT382" t="str">
        <x:f>IF('Calculations'!HS382="","",IF('Calculations'!HS382="!AMBIG","!AMBIG",IF(COUNTIF('Calculations'!$HE$13:$HE$512,"="&amp;SUBSTITUTE(SUBSTITUTE(SUBSTITUTE('Calculations'!HS382,"~","~~"),"*","~*"),"?","~?"))&gt;1,"!AMBIG",IFERROR(INDEX('Calculations'!$HF$13:$HF$512,MATCH('Calculations'!HS382,'Calculations'!$HE$13:$HE$512,0)),""))))</x:f>
      </x:c>
      <x:c r="HU382" t="str">
        <x:f>IF('Calculations'!HT382="","",IF('Calculations'!HT382="!AMBIG","!AMBIG",IF(COUNTIF('Calculations'!$HE$13:$HE$512,"="&amp;SUBSTITUTE(SUBSTITUTE(SUBSTITUTE('Calculations'!HT382,"~","~~"),"*","~*"),"?","~?"))&gt;1,"!AMBIG",IFERROR(INDEX('Calculations'!$HF$13:$HF$512,MATCH('Calculations'!HT382,'Calculations'!$HE$13:$HE$512,0)),""))))</x:f>
      </x:c>
      <x:c r="HV382" t="str">
        <x:f>IF('Calculations'!HU382="","",IF('Calculations'!HU382="!AMBIG","!AMBIG",IF(COUNTIF('Calculations'!$HE$13:$HE$512,"="&amp;SUBSTITUTE(SUBSTITUTE(SUBSTITUTE('Calculations'!HU382,"~","~~"),"*","~*"),"?","~?"))&gt;1,"!AMBIG",IFERROR(INDEX('Calculations'!$HF$13:$HF$512,MATCH('Calculations'!HU382,'Calculations'!$HE$13:$HE$512,0)),""))))</x:f>
      </x:c>
      <x:c r="HW382" t="str">
        <x:f>IF('Calculations'!HV382="","",IF('Calculations'!HV382="!AMBIG","!AMBIG",IF(COUNTIF('Calculations'!$HE$13:$HE$512,"="&amp;SUBSTITUTE(SUBSTITUTE(SUBSTITUTE('Calculations'!HV382,"~","~~"),"*","~*"),"?","~?"))&gt;1,"!AMBIG",IFERROR(INDEX('Calculations'!$HF$13:$HF$512,MATCH('Calculations'!HV382,'Calculations'!$HE$13:$HE$512,0)),""))))</x:f>
      </x:c>
      <x:c r="HX382" t="str">
        <x:f>IF('Calculations'!HW382="","",IF('Calculations'!HW382="!AMBIG","!AMBIG",IF(COUNTIF('Calculations'!$HE$13:$HE$512,"="&amp;SUBSTITUTE(SUBSTITUTE(SUBSTITUTE('Calculations'!HW382,"~","~~"),"*","~*"),"?","~?"))&gt;1,"!AMBIG",IFERROR(INDEX('Calculations'!$HF$13:$HF$512,MATCH('Calculations'!HW382,'Calculations'!$HE$13:$HE$512,0)),""))))</x:f>
      </x:c>
      <x:c r="HY382" t="str">
        <x:f>IF('Calculations'!HX382="","",IF('Calculations'!HX382="!AMBIG","!AMBIG",IF(COUNTIF('Calculations'!$HE$13:$HE$512,"="&amp;SUBSTITUTE(SUBSTITUTE(SUBSTITUTE('Calculations'!HX382,"~","~~"),"*","~*"),"?","~?"))&gt;1,"!AMBIG",IFERROR(INDEX('Calculations'!$HF$13:$HF$512,MATCH('Calculations'!HX382,'Calculations'!$HE$13:$HE$512,0)),""))))</x:f>
      </x:c>
      <x:c r="HZ382" t="str">
        <x:f>IF('Calculations'!HY382="","",IF('Calculations'!HY382="!AMBIG","!AMBIG",IF(COUNTIF('Calculations'!$HE$13:$HE$512,"="&amp;SUBSTITUTE(SUBSTITUTE(SUBSTITUTE('Calculations'!HY382,"~","~~"),"*","~*"),"?","~?"))&gt;1,"!AMBIG",IFERROR(INDEX('Calculations'!$HF$13:$HF$512,MATCH('Calculations'!HY382,'Calculations'!$HE$13:$HE$512,0)),""))))</x:f>
      </x:c>
      <x:c r="IA382" t="str">
        <x:f>IF('Calculations'!HZ382="","",IF('Calculations'!HZ382="!AMBIG","!AMBIG",IF(COUNTIF('Calculations'!$HE$13:$HE$512,"="&amp;SUBSTITUTE(SUBSTITUTE(SUBSTITUTE('Calculations'!HZ382,"~","~~"),"*","~*"),"?","~?"))&gt;1,"!AMBIG",IFERROR(INDEX('Calculations'!$HF$13:$HF$512,MATCH('Calculations'!HZ382,'Calculations'!$HE$13:$HE$512,0)),""))))</x:f>
      </x:c>
      <x:c r="IB382" t="str">
        <x:f>IF('Calculations'!IA382="","",IF('Calculations'!IA382="!AMBIG","!AMBIG",IF(COUNTIF('Calculations'!$HE$13:$HE$512,"="&amp;SUBSTITUTE(SUBSTITUTE(SUBSTITUTE('Calculations'!IA382,"~","~~"),"*","~*"),"?","~?"))&gt;1,"!AMBIG",IFERROR(INDEX('Calculations'!$HF$13:$HF$512,MATCH('Calculations'!IA382,'Calculations'!$HE$13:$HE$512,0)),""))))</x:f>
      </x:c>
      <x:c r="IC382" t="str">
        <x:f>IF('Calculations'!IB382="","",IF('Calculations'!IB382="!AMBIG","!AMBIG",IF(COUNTIF('Calculations'!$HE$13:$HE$512,"="&amp;SUBSTITUTE(SUBSTITUTE(SUBSTITUTE('Calculations'!IB382,"~","~~"),"*","~*"),"?","~?"))&gt;1,"!AMBIG",IFERROR(INDEX('Calculations'!$HF$13:$HF$512,MATCH('Calculations'!IB382,'Calculations'!$HE$13:$HE$512,0)),""))))</x:f>
      </x:c>
      <x:c r="ID382" t="str">
        <x:f>IF('Calculations'!IC382="","",IF('Calculations'!IC382="!AMBIG","!AMBIG",IF(COUNTIF('Calculations'!$HE$13:$HE$512,"="&amp;SUBSTITUTE(SUBSTITUTE(SUBSTITUTE('Calculations'!IC382,"~","~~"),"*","~*"),"?","~?"))&gt;1,"!AMBIG",IFERROR(INDEX('Calculations'!$HF$13:$HF$512,MATCH('Calculations'!IC382,'Calculations'!$HE$13:$HE$512,0)),""))))</x:f>
      </x:c>
      <x:c r="IE382" t="str">
        <x:f>IF('Calculations'!ID382="","",IF('Calculations'!ID382="!AMBIG","!AMBIG",IF(COUNTIF('Calculations'!$HE$13:$HE$512,"="&amp;SUBSTITUTE(SUBSTITUTE(SUBSTITUTE('Calculations'!ID382,"~","~~"),"*","~*"),"?","~?"))&gt;1,"!AMBIG",IFERROR(INDEX('Calculations'!$HF$13:$HF$512,MATCH('Calculations'!ID382,'Calculations'!$HE$13:$HE$512,0)),""))))</x:f>
      </x:c>
      <x:c r="IF382" t="str">
        <x:f>IF('Calculations'!IE382="","",IF('Calculations'!IE382="!AMBIG","!AMBIG",IF(COUNTIF('Calculations'!$HE$13:$HE$512,"="&amp;SUBSTITUTE(SUBSTITUTE(SUBSTITUTE('Calculations'!IE382,"~","~~"),"*","~*"),"?","~?"))&gt;1,"!AMBIG",IFERROR(INDEX('Calculations'!$HF$13:$HF$512,MATCH('Calculations'!IE382,'Calculations'!$HE$13:$HE$512,0)),""))))</x:f>
      </x:c>
      <x:c r="IG382" t="str">
        <x:f>IF('Calculations'!IF382="","",IF('Calculations'!IF382="!AMBIG","!AMBIG",IF(COUNTIF('Calculations'!$HE$13:$HE$512,"="&amp;SUBSTITUTE(SUBSTITUTE(SUBSTITUTE('Calculations'!IF382,"~","~~"),"*","~*"),"?","~?"))&gt;1,"!AMBIG",IFERROR(INDEX('Calculations'!$HF$13:$HF$512,MATCH('Calculations'!IF382,'Calculations'!$HE$13:$HE$512,0)),""))))</x:f>
      </x:c>
      <x:c r="IH382" t="str">
        <x:f>IF('Calculations'!IG382="","",IF('Calculations'!IG382="!AMBIG","!AMBIG",IF(COUNTIF('Calculations'!$HE$13:$HE$512,"="&amp;SUBSTITUTE(SUBSTITUTE(SUBSTITUTE('Calculations'!IG382,"~","~~"),"*","~*"),"?","~?"))&gt;1,"!AMBIG",IFERROR(INDEX('Calculations'!$HF$13:$HF$512,MATCH('Calculations'!IG382,'Calculations'!$HE$13:$HE$512,0)),""))))</x:f>
      </x:c>
      <x:c r="II382" t="str">
        <x:f>IF('Calculations'!IH382="","",IF('Calculations'!IH382="!AMBIG","!AMBIG",IF(COUNTIF('Calculations'!$HE$13:$HE$512,"="&amp;SUBSTITUTE(SUBSTITUTE(SUBSTITUTE('Calculations'!IH382,"~","~~"),"*","~*"),"?","~?"))&gt;1,"!AMBIG",IFERROR(INDEX('Calculations'!$HF$13:$HF$512,MATCH('Calculations'!IH382,'Calculations'!$HE$13:$HE$512,0)),""))))</x:f>
      </x:c>
      <x:c r="IJ382" t="str">
        <x:f>IF('Calculations'!EM382="","",IF('Calculations'!$EF$2="All",'Calculations'!HM382,IF('Calculations'!HL382=1,"",IFERROR(IF(MATCH('Calculations'!$EF$2,'Calculations'!HO382:II382,0)=1,'Calculations'!HE382,INDEX('Calculations'!HO382:II382,1,MATCH('Calculations'!$EF$2,'Calculations'!HO382:II382,0)-1)),""))))</x:f>
      </x:c>
      <x:c r="IK382" t="n">
        <x:f>IF(AND('Calculations'!EM382&lt;&gt;"",'Calculations'!$EF$2&lt;&gt;"All",'Calculations'!HF382='Calculations'!$EF$2,'Calculations'!HL382=0,'Calculations'!JD382&gt;0),MAX('Calculations'!$IK$12:IK381)+1,0)</x:f>
        <x:v>0</x:v>
      </x:c>
      <x:c r="JA382" t="n">
        <x:f>IF(OR(IFERROR(INDIRECT("'WCM Calibration Final'!$A$382")&lt;&gt;"",FALSE),IFERROR(INDIRECT("'WCM Calibration Final'!$B$382")&lt;&gt;"",FALSE),IFERROR(INDIRECT("'WCM Calibration Final'!$C$382")&lt;&gt;"",FALSE)),382,0)</x:f>
        <x:v>0</x:v>
      </x:c>
      <x:c r="JB382" t="n">
        <x:f>'Calculations'!JB381+IF('Calculations'!JA382&gt;0,1,0)</x:f>
        <x:v>0</x:v>
      </x:c>
      <x:c r="JC382" t="n">
        <x:f>IF(OR('Calculations'!HF382="",'Calculations'!HF382="!AMBIG"),0,IF('Dashboard'!$B$7="All",1,COUNTIFS('Calculations'!$HO$13:$HO$512,"="&amp;SUBSTITUTE(SUBSTITUTE(SUBSTITUTE('Calculations'!HF382,"~","~~"),"*","~*"),"?","~?"),'Calculations'!$HN$13:$HN$512,"="&amp;SUBSTITUTE(SUBSTITUTE(SUBSTITUTE('Dashboard'!$B$7,"~","~~"),"*","~*"),"?","~?"))+COUNTIFS('Calculations'!$HP$13:$HP$512,"="&amp;SUBSTITUTE(SUBSTITUTE(SUBSTITUTE('Calculations'!HF382,"~","~~"),"*","~*"),"?","~?"),'Calculations'!$HN$13:$HN$512,"="&amp;SUBSTITUTE(SUBSTITUTE(SUBSTITUTE('Dashboard'!$B$7,"~","~~"),"*","~*"),"?","~?"))+COUNTIFS('Calculations'!$HQ$13:$HQ$512,"="&amp;SUBSTITUTE(SUBSTITUTE(SUBSTITUTE('Calculations'!HF382,"~","~~"),"*","~*"),"?","~?"),'Calculations'!$HN$13:$HN$512,"="&amp;SUBSTITUTE(SUBSTITUTE(SUBSTITUTE('Dashboard'!$B$7,"~","~~"),"*","~*"),"?","~?"))+COUNTIFS('Calculations'!$HR$13:$HR$512,"="&amp;SUBSTITUTE(SUBSTITUTE(SUBSTITUTE('Calculations'!HF382,"~","~~"),"*","~*"),"?","~?"),'Calculations'!$HN$13:$HN$512,"="&amp;SUBSTITUTE(SUBSTITUTE(SUBSTITUTE('Dashboard'!$B$7,"~","~~"),"*","~*"),"?","~?"))+COUNTIFS('Calculations'!$HS$13:$HS$512,"="&amp;SUBSTITUTE(SUBSTITUTE(SUBSTITUTE('Calculations'!HF382,"~","~~"),"*","~*"),"?","~?"),'Calculations'!$HN$13:$HN$512,"="&amp;SUBSTITUTE(SUBSTITUTE(SUBSTITUTE('Dashboard'!$B$7,"~","~~"),"*","~*"),"?","~?"))+COUNTIFS('Calculations'!$HT$13:$HT$512,"="&amp;SUBSTITUTE(SUBSTITUTE(SUBSTITUTE('Calculations'!HF382,"~","~~"),"*","~*"),"?","~?"),'Calculations'!$HN$13:$HN$512,"="&amp;SUBSTITUTE(SUBSTITUTE(SUBSTITUTE('Dashboard'!$B$7,"~","~~"),"*","~*"),"?","~?"))+COUNTIFS('Calculations'!$HU$13:$HU$512,"="&amp;SUBSTITUTE(SUBSTITUTE(SUBSTITUTE('Calculations'!HF382,"~","~~"),"*","~*"),"?","~?"),'Calculations'!$HN$13:$HN$512,"="&amp;SUBSTITUTE(SUBSTITUTE(SUBSTITUTE('Dashboard'!$B$7,"~","~~"),"*","~*"),"?","~?"))+COUNTIFS('Calculations'!$HV$13:$HV$512,"="&amp;SUBSTITUTE(SUBSTITUTE(SUBSTITUTE('Calculations'!HF382,"~","~~"),"*","~*"),"?","~?"),'Calculations'!$HN$13:$HN$512,"="&amp;SUBSTITUTE(SUBSTITUTE(SUBSTITUTE('Dashboard'!$B$7,"~","~~"),"*","~*"),"?","~?"))+COUNTIFS('Calculations'!$HW$13:$HW$512,"="&amp;SUBSTITUTE(SUBSTITUTE(SUBSTITUTE('Calculations'!HF382,"~","~~"),"*","~*"),"?","~?"),'Calculations'!$HN$13:$HN$512,"="&amp;SUBSTITUTE(SUBSTITUTE(SUBSTITUTE('Dashboard'!$B$7,"~","~~"),"*","~*"),"?","~?"))+COUNTIFS('Calculations'!$HX$13:$HX$512,"="&amp;SUBSTITUTE(SUBSTITUTE(SUBSTITUTE('Calculations'!HF382,"~","~~"),"*","~*"),"?","~?"),'Calculations'!$HN$13:$HN$512,"="&amp;SUBSTITUTE(SUBSTITUTE(SUBSTITUTE('Dashboard'!$B$7,"~","~~"),"*","~*"),"?","~?"))+COUNTIFS('Calculations'!$HY$13:$HY$512,"="&amp;SUBSTITUTE(SUBSTITUTE(SUBSTITUTE('Calculations'!HF382,"~","~~"),"*","~*"),"?","~?"),'Calculations'!$HN$13:$HN$512,"="&amp;SUBSTITUTE(SUBSTITUTE(SUBSTITUTE('Dashboard'!$B$7,"~","~~"),"*","~*"),"?","~?"))+COUNTIFS('Calculations'!$HZ$13:$HZ$512,"="&amp;SUBSTITUTE(SUBSTITUTE(SUBSTITUTE('Calculations'!HF382,"~","~~"),"*","~*"),"?","~?"),'Calculations'!$HN$13:$HN$512,"="&amp;SUBSTITUTE(SUBSTITUTE(SUBSTITUTE('Dashboard'!$B$7,"~","~~"),"*","~*"),"?","~?"))+COUNTIFS('Calculations'!$IA$13:$IA$512,"="&amp;SUBSTITUTE(SUBSTITUTE(SUBSTITUTE('Calculations'!HF382,"~","~~"),"*","~*"),"?","~?"),'Calculations'!$HN$13:$HN$512,"="&amp;SUBSTITUTE(SUBSTITUTE(SUBSTITUTE('Dashboard'!$B$7,"~","~~"),"*","~*"),"?","~?"))+COUNTIFS('Calculations'!$IB$13:$IB$512,"="&amp;SUBSTITUTE(SUBSTITUTE(SUBSTITUTE('Calculations'!HF382,"~","~~"),"*","~*"),"?","~?"),'Calculations'!$HN$13:$HN$512,"="&amp;SUBSTITUTE(SUBSTITUTE(SUBSTITUTE('Dashboard'!$B$7,"~","~~"),"*","~*"),"?","~?"))+COUNTIFS('Calculations'!$IC$13:$IC$512,"="&amp;SUBSTITUTE(SUBSTITUTE(SUBSTITUTE('Calculations'!HF382,"~","~~"),"*","~*"),"?","~?"),'Calculations'!$HN$13:$HN$512,"="&amp;SUBSTITUTE(SUBSTITUTE(SUBSTITUTE('Dashboard'!$B$7,"~","~~"),"*","~*"),"?","~?"))+COUNTIFS('Calculations'!$ID$13:$ID$512,"="&amp;SUBSTITUTE(SUBSTITUTE(SUBSTITUTE('Calculations'!HF382,"~","~~"),"*","~*"),"?","~?"),'Calculations'!$HN$13:$HN$512,"="&amp;SUBSTITUTE(SUBSTITUTE(SUBSTITUTE('Dashboard'!$B$7,"~","~~"),"*","~*"),"?","~?"))+COUNTIFS('Calculations'!$IE$13:$IE$512,"="&amp;SUBSTITUTE(SUBSTITUTE(SUBSTITUTE('Calculations'!HF382,"~","~~"),"*","~*"),"?","~?"),'Calculations'!$HN$13:$HN$512,"="&amp;SUBSTITUTE(SUBSTITUTE(SUBSTITUTE('Dashboard'!$B$7,"~","~~"),"*","~*"),"?","~?"))+COUNTIFS('Calculations'!$IF$13:$IF$512,"="&amp;SUBSTITUTE(SUBSTITUTE(SUBSTITUTE('Calculations'!HF382,"~","~~"),"*","~*"),"?","~?"),'Calculations'!$HN$13:$HN$512,"="&amp;SUBSTITUTE(SUBSTITUTE(SUBSTITUTE('Dashboard'!$B$7,"~","~~"),"*","~*"),"?","~?"))+COUNTIFS('Calculations'!$IG$13:$IG$512,"="&amp;SUBSTITUTE(SUBSTITUTE(SUBSTITUTE('Calculations'!HF382,"~","~~"),"*","~*"),"?","~?"),'Calculations'!$HN$13:$HN$512,"="&amp;SUBSTITUTE(SUBSTITUTE(SUBSTITUTE('Dashboard'!$B$7,"~","~~"),"*","~*"),"?","~?"))+COUNTIFS('Calculations'!$IH$13:$IH$512,"="&amp;SUBSTITUTE(SUBSTITUTE(SUBSTITUTE('Calculations'!HF382,"~","~~"),"*","~*"),"?","~?"),'Calculations'!$HN$13:$HN$512,"="&amp;SUBSTITUTE(SUBSTITUTE(SUBSTITUTE('Dashboard'!$B$7,"~","~~"),"*","~*"),"?","~?"))))</x:f>
        <x:v>0</x:v>
      </x:c>
      <x:c r="JD382" t="n">
        <x:f>IF('Calculations'!EM382="",0,IF('Dashboard'!$B$7="All",1,IF('Calculations'!HN382='Dashboard'!$B$7,1,0)+IFERROR(INDEX('Calculations'!$JC$13:$JC$512,MATCH('Calculations'!HE382,'Calculations'!$HF$13:$HF$512,0)),0)))</x:f>
        <x:v>0</x:v>
      </x:c>
      <x:c r="JE382" t="n">
        <x:f>IF(AND('Calculations'!EM382&lt;&gt;"",'Calculations'!$JJ$2&lt;&gt;"All",'Calculations'!$JJ$2&lt;&gt;"",'Calculations'!HF382='Calculations'!$JJ$2,'Calculations'!HL382=0,'Calculations'!JD382&gt;0),MAX('Calculations'!$JE$12:JE381)+1,0)</x:f>
        <x:v>0</x:v>
      </x:c>
      <x:c r="JF382" t="str">
        <x:f>IF('Calculations'!EM382="","",IFERROR(IF(INDEX(INDIRECT("'WCM Calibration Final'!$G$1:$G$2000"),'Calculations'!$EM382)="","",TRIM(INDEX(INDIRECT("'WCM Calibration Final'!$G$1:$G$2000"),'Calculations'!$EM382)&amp;"")),""))</x:f>
      </x:c>
      <x:c r="JQ382" t="n">
        <x:f>IF(OR('Calculations'!BM382=0,NOT('Calculations'!$AG$2),'Calculations'!$AG$8&gt;0),0,IF(OR('Dashboard'!$B$7="All",'Calculations'!HN382='Dashboard'!$B$7),IF('Calculations'!$JJ$2="All",1,IF(AND('Calculations'!HF382='Calculations'!$JJ$2,'Calculations'!HL382=0),1,0)),0))</x:f>
        <x:v>0</x:v>
      </x:c>
    </x:row>
    <x:row r="383">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t="n">
        <x:f>IF('Calculations'!$EM383="",0,IF(OR(IFERROR(INDEX(INDIRECT("'WCM Calibration Final'!$A$1:$A$2000"),'Calculations'!$EM383)&lt;&gt;"",FALSE),IFERROR(INDEX(INDIRECT("'WCM Calibration Final'!$B$1:$B$2000"),'Calculations'!$EM383)&lt;&gt;"",FALSE),IFERROR(INDEX(INDIRECT("'WCM Calibration Final'!$C$1:$C$2000"),'Calculations'!$EM383)&lt;&gt;"",FALSE)),1,0))</x:f>
        <x:v>0</x:v>
      </x:c>
      <x:c r="BN383" s="4" t="n">
        <x:f>IF(AND('Calculations'!BM383=1,'Calculations'!$AG$2,'Calculations'!$EN383=1),1,0)</x:f>
        <x:v>0</x:v>
      </x:c>
      <x:c r="BO383" s="4" t="str">
        <x:f>IF('Calculations'!BM383=0,"",IFERROR(IF(AND(VALUE(INDEX(INDIRECT("'WCM Calibration Final'!$K$1:$K$2000"),'Calculations'!$EM383))&gt;=1,VALUE(INDEX(INDIRECT("'WCM Calibration Final'!$K$1:$K$2000"),'Calculations'!$EM383))&lt;=4,MOD(VALUE(INDEX(INDIRECT("'WCM Calibration Final'!$K$1:$K$2000"),'Calculations'!$EM383)),1)=0),VALUE(INDEX(INDIRECT("'WCM Calibration Final'!$K$1:$K$2000"),'Calculations'!$EM383)),""),""))</x:f>
      </x:c>
      <x:c r="BP383" s="4" t="str">
        <x:f>IF('Calculations'!BM383=0,"",IFERROR(IF(AND(VALUE(INDEX(INDIRECT("'WCM Calibration Final'!$L$1:$L$2000"),'Calculations'!$EM383))&gt;=1,VALUE(INDEX(INDIRECT("'WCM Calibration Final'!$L$1:$L$2000"),'Calculations'!$EM383))&lt;=4,MOD(VALUE(INDEX(INDIRECT("'WCM Calibration Final'!$L$1:$L$2000"),'Calculations'!$EM383)),1)=0),VALUE(INDEX(INDIRECT("'WCM Calibration Final'!$L$1:$L$2000"),'Calculations'!$EM383)),""),""))</x:f>
      </x:c>
      <x:c r="BQ383" s="4"/>
      <x:c r="BR383" s="4"/>
      <x:c r="BS383" s="4"/>
      <x:c r="BT383" s="4" t="n">
        <x:f>IF(AND('Calculations'!BM383=1,ISNUMBER('Calculations'!BO383),ISNUMBER('Calculations'!BP383)),1,0)</x:f>
        <x:v>0</x:v>
      </x:c>
      <x:c r="BU383" s="4" t="str">
        <x:f>IF('Calculations'!BM383=0,"",'Calculations'!$EO383)</x:f>
      </x:c>
      <x:c r="BV383" s="4" t="str">
        <x:f>IF('Calculations'!BM383=0,"",IFERROR(IF(OR(INDEX(INDIRECT("'WCM Calibration Final'!$H$1:$H$2000"),'Calculations'!$EM383)="MANAGING DIRECTOR",INDEX(INDIRECT("'WCM Calibration Final'!$H$1:$H$2000"),'Calculations'!$EM383)="DIRECTOR",INDEX(INDIRECT("'WCM Calibration Final'!$H$1:$H$2000"),'Calculations'!$EM383)="SENIOR VICE PRESIDENT",INDEX(INDIRECT("'WCM Calibration Final'!$H$1:$H$2000"),'Calculations'!$EM383)="VICE PRESIDENT",INDEX(INDIRECT("'WCM Calibration Final'!$H$1:$H$2000"),'Calculations'!$EM383)="ASSISTANT VICE PRESIDENT",INDEX(INDIRECT("'WCM Calibration Final'!$H$1:$H$2000"),'Calculations'!$EM383)="OFFICER"),UPPER(INDEX(INDIRECT("'WCM Calibration Final'!$H$1:$H$2000"),'Calculations'!$EM383)),"Other"),"Other"))</x:f>
      </x:c>
      <x:c r="BW383" s="4"/>
      <x:c r="BX383" s="4"/>
      <x:c r="BY383" s="4" t="n">
        <x:f>IF(AND('Calculations'!BM383=1,'Calculations'!BU383&lt;&gt;"",COUNTIF('Calculations'!$BU$12:BU383,'Calculations'!BU383)=1),MAX('Calculations'!$BY$11:BY382)+1,0)</x:f>
        <x:v>0</x:v>
      </x:c>
      <x:c r="BZ383" s="4" t="str">
        <x:f>IF('Dashboard'!$E$67="What",'Calculations'!BO383,'Calculations'!BP383)</x:f>
      </x:c>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t="str">
        <x:f>IF(372&gt;MAX('Calculations'!$HI$13:$HI$512),"",INDEX('Calculations'!$HN$13:$HN$512,MATCH(372,'Calculations'!$HI$13:$HI$512,0)))</x:f>
      </x:c>
      <x:c r="DB383" s="4" t="str">
        <x:f>IF(372&gt;MAX('Calculations'!$HH$13:$HH$512),"",INDEX('Calculations'!$HJ$13:$HJ$512,MATCH(372,'Calculations'!$HH$13:$HH$512,0)))</x:f>
      </x:c>
      <x:c r="DC383" s="4" t="str">
        <x:f>IF(ROW()-11&gt;MAX('Calculations'!$BY$13:$BY$512),"",INDEX('Calculations'!$BU$13:$BU$512,MATCH(ROW()-11,'Calculations'!$BY$13:$BY$512,0)))</x:f>
      </x:c>
      <x:c r="DD383" s="4" t="str">
        <x:f>IF(372&gt;MAX('Calculations'!$IK$13:$IK$512),"",INDEX('Calculations'!$HK$13:$HK$512,MATCH(372,'Calculations'!$IK$13:$IK$512,0)))</x:f>
      </x:c>
      <x:c r="DE383" s="4" t="str">
        <x:f>'Calculations'!DC383</x:f>
      </x:c>
      <x:c r="DF383" s="4" t="str">
        <x:f>IF('Calculations'!DE383="","",COUNTIFS('Calculations'!$BN$13:$BN$512,1,'Calculations'!$BU$13:$BU$512,'Calculations'!DE383))</x:f>
      </x:c>
      <x:c r="DG383" s="4" t="str">
        <x:f>IF('Calculations'!DE383="","",COUNTIFS('Calculations'!$BN$13:$BN$512,1,'Calculations'!$BU$13:$BU$512,'Calculations'!DE383,'Calculations'!$BT$13:$BT$512,1))</x:f>
      </x:c>
      <x:c r="DH383" s="4" t="str">
        <x:f>IF('Calculations'!DE383="","",'Calculations'!DF383-'Calculations'!DG383)</x:f>
      </x:c>
      <x:c r="DI383" s="4" t="str">
        <x:f>IF(OR('Calculations'!DE383="",'Calculations'!DF383=0),"",'Calculations'!DG383/'Calculations'!DF383)</x:f>
      </x:c>
      <x:c r="DJ383" s="4" t="str">
        <x:f>IF('Calculations'!DE383="","",COUNTIFS('Calculations'!$BN$13:$BN$512,1,'Calculations'!$BU$13:$BU$512,'Calculations'!DE383,'Calculations'!$BT$13:$BT$512,1,'Calculations'!$EE$13:$EE$512,"High"))</x:f>
      </x:c>
      <x:c r="DK383" s="4" t="str">
        <x:f>IF('Calculations'!DE383="","",COUNTIFS('Calculations'!$BN$13:$BN$512,1,'Calculations'!$BU$13:$BU$512,'Calculations'!DE383,'Calculations'!$BT$13:$BT$512,1,'Calculations'!$EE$13:$EE$512,"Strong"))</x:f>
      </x:c>
      <x:c r="DL383" s="4" t="str">
        <x:f>IF('Calculations'!DE383="","",COUNTIFS('Calculations'!$BN$13:$BN$512,1,'Calculations'!$BU$13:$BU$512,'Calculations'!DE383,'Calculations'!$BT$13:$BT$512,1,'Calculations'!$EE$13:$EE$512,"Solid"))</x:f>
      </x:c>
      <x:c r="DM383" s="4" t="str">
        <x:f>IF('Calculations'!DE383="","",COUNTIFS('Calculations'!$BN$13:$BN$512,1,'Calculations'!$BU$13:$BU$512,'Calculations'!DE383,'Calculations'!$BT$13:$BT$512,1,'Calculations'!$EE$13:$EE$512,"Low"))</x:f>
      </x:c>
      <x:c r="DN383" s="4" t="str">
        <x:f>IF('Calculations'!DE383="","",COUNTIFS('Calculations'!$BN$13:$BN$512,1,'Calculations'!$BU$13:$BU$512,'Calculations'!DE383,'Calculations'!$EP$13:$EP$512,1))</x:f>
      </x:c>
      <x:c r="DO383" s="4" t="str">
        <x:f>IF(OR('Calculations'!DE383="",'Calculations'!DG383=0),"",('Calculations'!DJ383+'Calculations'!DK383)/'Calculations'!DG383)</x:f>
      </x:c>
      <x:c r="DP383" s="4" t="n">
        <x:f>IF(AND('Calculations'!DE383&lt;&gt;"",'Calculations'!DF383&gt;0),COUNTIF('Calculations'!$DF$12:DF383,"&gt;0"),0)</x:f>
        <x:v>0</x:v>
      </x:c>
      <x:c r="DQ383" s="4" t="str">
        <x:f>IF(372&gt;MAX('Calculations'!$HH$13:$HH$512),"",INDEX('Calculations'!$HF$13:$HF$512,MATCH(372,'Calculations'!$HH$13:$HH$512,0)))</x:f>
      </x:c>
      <x:c r="DR383" s="4" t="str">
        <x:f>IF(372&gt;MAX('Calculations'!$IK$13:$IK$512),"",INDEX('Calculations'!$HE$13:$HE$512,MATCH(372,'Calculations'!$IK$13:$IK$512,0)))</x:f>
      </x:c>
      <x:c r="DS383" s="4"/>
      <x:c r="DT383" s="4"/>
      <x:c r="DU383" s="4"/>
      <x:c r="DV383" s="4"/>
      <x:c r="DW383" s="4"/>
      <x:c r="DX383" s="4"/>
      <x:c r="DY383" s="4"/>
      <x:c r="DZ383" s="4"/>
      <x:c r="EA383" s="4"/>
      <x:c r="EB383" s="4"/>
      <x:c r="EC383" s="4"/>
      <x:c r="ED383" s="4"/>
      <x:c r="EE383" s="4" t="str">
        <x:f>IF('Calculations'!BT383=0,"Not Rated",IF(OR('Calculations'!BO383&gt;=4,'Calculations'!BP383&gt;=4),"Low",IF('Calculations'!BO383+'Calculations'!BP383&lt;=3,"High",IF('Calculations'!BO383+'Calculations'!BP383&lt;=4,"Strong","Solid"))))</x:f>
        <x:v>Not Rated</x:v>
      </x:c>
      <x:c r="EF383" s="4"/>
      <x:c r="EG383" s="4"/>
      <x:c r="EH383" s="4"/>
      <x:c r="EI383" s="4"/>
      <x:c r="EJ383" s="4"/>
      <x:c r="EK383" s="4"/>
      <x:c r="EL383" s="4"/>
      <x:c r="EM383" s="4" t="str">
        <x:f>IF(371&gt;'Calculations'!$JB$2000,"",INDEX('Calculations'!$JA$12:$JA$2000,MATCH(371,'Calculations'!$JB$12:$JB$2000,0)))</x:f>
      </x:c>
      <x:c r="EN383" s="4" t="n">
        <x:f>IF(OR('Calculations'!EM383="",'Calculations'!$AG$8&gt;0,AND('Calculations'!$EF$2&lt;&gt;"All",'Calculations'!HE383='Calculations'!$EF$2),AND('Calculations'!$EF$3&lt;&gt;"All",'Calculations'!HE383='Calculations'!$EF$3)),0,IF(OR('Dashboard'!$B$7="All",'Calculations'!HN383='Dashboard'!$B$7),IF('Calculations'!$EF$2="All",1,IF('Calculations'!HL383&gt;0,0,IF(COUNTIF('Calculations'!HO383:II383,"="&amp;SUBSTITUTE(SUBSTITUTE(SUBSTITUTE('Calculations'!$EF$2,"~","~~"),"*","~*"),"?","~?"))=0,0,IF('Calculations'!$EF$3="All",1,IF(COUNTIF('Calculations'!HO383:II383,"="&amp;SUBSTITUTE(SUBSTITUTE(SUBSTITUTE('Calculations'!$EF$3,"~","~~"),"*","~*"),"?","~?"))&gt;0,1,0))))),0))</x:f>
        <x:v>0</x:v>
      </x:c>
      <x:c r="EO383" s="4" t="str">
        <x:f>IF('Calculations'!IJ383="","",IF('Calculations'!IJ383="!UNRESOLVED","Unresolved hierarchy",IFERROR(INDEX('Calculations'!$HK$13:$HK$512,MATCH('Calculations'!IJ383,'Calculations'!$HE$13:$HE$512,0)),IFERROR(INDEX('Calculations'!$HJ$13:$HJ$512,MATCH('Calculations'!IJ383,'Calculations'!$HF$13:$HF$512,0)),'Calculations'!IJ383))))</x:f>
      </x:c>
      <x:c r="EP383" s="4" t="n">
        <x:f>IF(AND('Calculations'!EM383&lt;&gt;"",'Calculations'!HF383='Calculations'!IJ383),1,0)</x:f>
        <x:v>0</x:v>
      </x:c>
      <x:c r="EQ383" s="4"/>
      <x:c r="ER383" s="4"/>
      <x:c r="ES383" s="4"/>
      <x:c r="ET383" s="4"/>
      <x:c r="EU383" s="4"/>
      <x:c r="EV383" s="4"/>
      <x:c r="EW383" s="4"/>
      <x:c r="EX383" s="4"/>
      <x:c r="EY383" s="4"/>
      <x:c r="EZ383" s="4"/>
      <x:c r="FA383" s="4"/>
      <x:c r="FB383" s="4"/>
      <x:c r="FC383" s="4"/>
      <x:c r="FD383" s="4"/>
      <x:c r="FE383" s="4"/>
      <x:c r="FF383" s="4"/>
      <x:c r="FG383" s="4"/>
      <x:c r="FH383" s="4"/>
      <x:c r="FI383" s="4"/>
      <x:c r="FJ383" s="4"/>
      <x:c r="FK383" s="4"/>
      <x:c r="FL383" s="4"/>
      <x:c r="FM383" s="4"/>
      <x:c r="FN383" s="4"/>
      <x:c r="FO383" s="4"/>
      <x:c r="HE383" t="str">
        <x:f>IF('Calculations'!EM383="","",IF(IFERROR(IF(INDEX(INDIRECT("'WCM Calibration Final'!$A$1:$A$2000"),'Calculations'!$EM383)="","",TRIM(INDEX(INDIRECT("'WCM Calibration Final'!$A$1:$A$2000"),'Calculations'!$EM383)&amp;"")),"")&lt;&gt;"","G:"&amp;IFERROR(TEXT(1*INDEX(INDIRECT("'WCM Calibration Final'!$A$1:$A$2000"),'Calculations'!$EM383),"0"),UPPER(IFERROR(IF(INDEX(INDIRECT("'WCM Calibration Final'!$A$1:$A$2000"),'Calculations'!$EM383)="","",TRIM(INDEX(INDIRECT("'WCM Calibration Final'!$A$1:$A$2000"),'Calculations'!$EM383)&amp;"")),""))),IF(IFERROR(IF(INDEX(INDIRECT("'WCM Calibration Final'!$C$1:$C$2000"),'Calculations'!$EM383)="","",TRIM(INDEX(INDIRECT("'WCM Calibration Final'!$C$1:$C$2000"),'Calculations'!$EM383)&amp;"")),"")&lt;&gt;"","S:"&amp;UPPER(IFERROR(IF(INDEX(INDIRECT("'WCM Calibration Final'!$C$1:$C$2000"),'Calculations'!$EM383)="","",TRIM(INDEX(INDIRECT("'WCM Calibration Final'!$C$1:$C$2000"),'Calculations'!$EM383)&amp;"")),"")),"R:"&amp;'Calculations'!EM383)))</x:f>
      </x:c>
      <x:c r="HF383" t="str">
        <x:f>IF('Calculations'!EM383="","",IF(IFERROR(IF(INDEX(INDIRECT("'WCM Calibration Final'!$D$1:$D$2000"),'Calculations'!$EM383)="","",TRIM(INDEX(INDIRECT("'WCM Calibration Final'!$D$1:$D$2000"),'Calculations'!$EM383)&amp;"")),"")&lt;&gt;"","G:"&amp;IFERROR(TEXT(1*INDEX(INDIRECT("'WCM Calibration Final'!$D$1:$D$2000"),'Calculations'!$EM383),"0"),UPPER(IFERROR(IF(INDEX(INDIRECT("'WCM Calibration Final'!$D$1:$D$2000"),'Calculations'!$EM383)="","",TRIM(INDEX(INDIRECT("'WCM Calibration Final'!$D$1:$D$2000"),'Calculations'!$EM383)&amp;"")),""))),IF(IFERROR(IF(INDEX(INDIRECT("'WCM Calibration Final'!$E$1:$E$2000"),'Calculations'!$EM383)="","",TRIM(INDEX(INDIRECT("'WCM Calibration Final'!$E$1:$E$2000"),'Calculations'!$EM383)&amp;"")),"")="","",IF(COUNTIF('Calculations'!$HG$13:$HG$512,"="&amp;SUBSTITUTE(SUBSTITUTE(SUBSTITUTE(IFERROR(IF(INDEX(INDIRECT("'WCM Calibration Final'!$E$1:$E$2000"),'Calculations'!$EM383)="","",TRIM(INDEX(INDIRECT("'WCM Calibration Final'!$E$1:$E$2000"),'Calculations'!$EM383)&amp;"")),""),"~","~~"),"*","~*"),"?","~?"))=1,INDEX('Calculations'!$HE$13:$HE$512,MATCH(IFERROR(IF(INDEX(INDIRECT("'WCM Calibration Final'!$E$1:$E$2000"),'Calculations'!$EM383)="","",TRIM(INDEX(INDIRECT("'WCM Calibration Final'!$E$1:$E$2000"),'Calculations'!$EM383)&amp;"")),""),'Calculations'!$HG$13:$HG$512,0)),IF(COUNTIF('Calculations'!$HG$13:$HG$512,"="&amp;SUBSTITUTE(SUBSTITUTE(SUBSTITUTE(IFERROR(IF(INDEX(INDIRECT("'WCM Calibration Final'!$E$1:$E$2000"),'Calculations'!$EM383)="","",TRIM(INDEX(INDIRECT("'WCM Calibration Final'!$E$1:$E$2000"),'Calculations'!$EM383)&amp;"")),""),"~","~~"),"*","~*"),"?","~?"))&gt;1,"!AMBIG","X:"&amp;IFERROR(IF(INDEX(INDIRECT("'WCM Calibration Final'!$E$1:$E$2000"),'Calculations'!$EM383)="","",TRIM(INDEX(INDIRECT("'WCM Calibration Final'!$E$1:$E$2000"),'Calculations'!$EM383)&amp;"")),""))))))</x:f>
      </x:c>
      <x:c r="HG383" t="str">
        <x:f>IF('Calculations'!EM383="","",IFERROR(IF(INDEX(INDIRECT("'WCM Calibration Final'!$B$1:$B$2000"),'Calculations'!$EM383)="","",TRIM(INDEX(INDIRECT("'WCM Calibration Final'!$B$1:$B$2000"),'Calculations'!$EM383)&amp;"")),""))</x:f>
      </x:c>
      <x:c r="HH383" t="n">
        <x:f>IF(AND('Calculations'!JC383&gt;0,COUNTIF('Calculations'!$HF$12:HF383,"="&amp;SUBSTITUTE(SUBSTITUTE(SUBSTITUTE('Calculations'!HF383,"~","~~"),"*","~*"),"?","~?"))=1),MAX('Calculations'!$HH$12:HH382)+1,0)</x:f>
        <x:v>0</x:v>
      </x:c>
      <x:c r="HI383" t="n">
        <x:f>IF(AND('Calculations'!HN383&lt;&gt;"",COUNTIF('Calculations'!$HN$12:HN383,"="&amp;SUBSTITUTE(SUBSTITUTE(SUBSTITUTE('Calculations'!HN383,"~","~~"),"*","~*"),"?","~?"))=1),MAX('Calculations'!$HI$12:HI382)+1,0)</x:f>
        <x:v>0</x:v>
      </x:c>
      <x:c r="HJ383" t="str">
        <x:f>IF('Calculations'!HF383="","",IF(COUNTIF('Calculations'!$HE$13:$HE$512,"="&amp;SUBSTITUTE(SUBSTITUTE(SUBSTITUTE('Calculations'!HF383,"~","~~"),"*","~*"),"?","~?"))=1,INDEX('Calculations'!$HK$13:$HK$512,MATCH('Calculations'!HF383,'Calculations'!$HE$13:$HE$512,0)),IFERROR(IF(INDEX(INDIRECT("'WCM Calibration Final'!$E$1:$E$2000"),'Calculations'!$EM383)="","",TRIM(INDEX(INDIRECT("'WCM Calibration Final'!$E$1:$E$2000"),'Calculations'!$EM383)&amp;"")),"")&amp;" ["&amp;'Calculations'!HF383&amp;"]"))</x:f>
      </x:c>
      <x:c r="HK383" t="str">
        <x:f>IF('Calculations'!EM383="","",'Calculations'!HG383&amp;" ["&amp;'Calculations'!HE383&amp;"]")</x:f>
      </x:c>
      <x:c r="HL383" t="n">
        <x:f>IF('Calculations'!EM383="",0,IF(OR('Calculations'!II383&lt;&gt;"",COUNTIF('Calculations'!$HE$13:$HE$512,"="&amp;SUBSTITUTE(SUBSTITUTE(SUBSTITUTE('Calculations'!HE383,"~","~~"),"*","~*"),"?","~?"))&gt;1),1,0))</x:f>
        <x:v>0</x:v>
      </x:c>
      <x:c r="HM383" t="str">
        <x:f>IF('Calculations'!EM383="","",IF('Calculations'!HL383=1,"!UNRESOLVED",IF('Calculations'!IH383&lt;&gt;"",'Calculations'!IH383,IF('Calculations'!IG383&lt;&gt;"",'Calculations'!IG383,IF('Calculations'!IF383&lt;&gt;"",'Calculations'!IF383,IF('Calculations'!IE383&lt;&gt;"",'Calculations'!IE383,IF('Calculations'!ID383&lt;&gt;"",'Calculations'!ID383,IF('Calculations'!IC383&lt;&gt;"",'Calculations'!IC383,IF('Calculations'!IB383&lt;&gt;"",'Calculations'!IB383,IF('Calculations'!IA383&lt;&gt;"",'Calculations'!IA383,IF('Calculations'!HZ383&lt;&gt;"",'Calculations'!HZ383,IF('Calculations'!HY383&lt;&gt;"",'Calculations'!HY383,IF('Calculations'!HX383&lt;&gt;"",'Calculations'!HX383,IF('Calculations'!HW383&lt;&gt;"",'Calculations'!HW383,IF('Calculations'!HV383&lt;&gt;"",'Calculations'!HV383,IF('Calculations'!HU383&lt;&gt;"",'Calculations'!HU383,IF('Calculations'!HT383&lt;&gt;"",'Calculations'!HT383,IF('Calculations'!HS383&lt;&gt;"",'Calculations'!HS383,IF('Calculations'!HR383&lt;&gt;"",'Calculations'!HR383,IF('Calculations'!HQ383&lt;&gt;"",'Calculations'!HQ383,IF('Calculations'!HP383&lt;&gt;"",'Calculations'!HP383,IF('Calculations'!HO383&lt;&gt;"",'Calculations'!HO383,'Calculations'!HE383))))))))))))))))))))))</x:f>
      </x:c>
      <x:c r="HN383" t="str">
        <x:f>IF('Calculations'!EM383="","",IF(IFERROR(IF(INDEX(INDIRECT("'WCM Calibration Final'!$F$1:$F$2000"),'Calculations'!$EM383)="","",TRIM(INDEX(INDIRECT("'WCM Calibration Final'!$F$1:$F$2000"),'Calculations'!$EM383)&amp;"")),"")="","(Blank)",IFERROR(IF(INDEX(INDIRECT("'WCM Calibration Final'!$F$1:$F$2000"),'Calculations'!$EM383)="","",TRIM(INDEX(INDIRECT("'WCM Calibration Final'!$F$1:$F$2000"),'Calculations'!$EM383)&amp;"")),"")))</x:f>
      </x:c>
      <x:c r="HO383" t="str">
        <x:f>'Calculations'!HF383</x:f>
      </x:c>
      <x:c r="HP383" t="str">
        <x:f>IF('Calculations'!HO383="","",IF('Calculations'!HO383="!AMBIG","!AMBIG",IF(COUNTIF('Calculations'!$HE$13:$HE$512,"="&amp;SUBSTITUTE(SUBSTITUTE(SUBSTITUTE('Calculations'!HO383,"~","~~"),"*","~*"),"?","~?"))&gt;1,"!AMBIG",IFERROR(INDEX('Calculations'!$HF$13:$HF$512,MATCH('Calculations'!HO383,'Calculations'!$HE$13:$HE$512,0)),""))))</x:f>
      </x:c>
      <x:c r="HQ383" t="str">
        <x:f>IF('Calculations'!HP383="","",IF('Calculations'!HP383="!AMBIG","!AMBIG",IF(COUNTIF('Calculations'!$HE$13:$HE$512,"="&amp;SUBSTITUTE(SUBSTITUTE(SUBSTITUTE('Calculations'!HP383,"~","~~"),"*","~*"),"?","~?"))&gt;1,"!AMBIG",IFERROR(INDEX('Calculations'!$HF$13:$HF$512,MATCH('Calculations'!HP383,'Calculations'!$HE$13:$HE$512,0)),""))))</x:f>
      </x:c>
      <x:c r="HR383" t="str">
        <x:f>IF('Calculations'!HQ383="","",IF('Calculations'!HQ383="!AMBIG","!AMBIG",IF(COUNTIF('Calculations'!$HE$13:$HE$512,"="&amp;SUBSTITUTE(SUBSTITUTE(SUBSTITUTE('Calculations'!HQ383,"~","~~"),"*","~*"),"?","~?"))&gt;1,"!AMBIG",IFERROR(INDEX('Calculations'!$HF$13:$HF$512,MATCH('Calculations'!HQ383,'Calculations'!$HE$13:$HE$512,0)),""))))</x:f>
      </x:c>
      <x:c r="HS383" t="str">
        <x:f>IF('Calculations'!HR383="","",IF('Calculations'!HR383="!AMBIG","!AMBIG",IF(COUNTIF('Calculations'!$HE$13:$HE$512,"="&amp;SUBSTITUTE(SUBSTITUTE(SUBSTITUTE('Calculations'!HR383,"~","~~"),"*","~*"),"?","~?"))&gt;1,"!AMBIG",IFERROR(INDEX('Calculations'!$HF$13:$HF$512,MATCH('Calculations'!HR383,'Calculations'!$HE$13:$HE$512,0)),""))))</x:f>
      </x:c>
      <x:c r="HT383" t="str">
        <x:f>IF('Calculations'!HS383="","",IF('Calculations'!HS383="!AMBIG","!AMBIG",IF(COUNTIF('Calculations'!$HE$13:$HE$512,"="&amp;SUBSTITUTE(SUBSTITUTE(SUBSTITUTE('Calculations'!HS383,"~","~~"),"*","~*"),"?","~?"))&gt;1,"!AMBIG",IFERROR(INDEX('Calculations'!$HF$13:$HF$512,MATCH('Calculations'!HS383,'Calculations'!$HE$13:$HE$512,0)),""))))</x:f>
      </x:c>
      <x:c r="HU383" t="str">
        <x:f>IF('Calculations'!HT383="","",IF('Calculations'!HT383="!AMBIG","!AMBIG",IF(COUNTIF('Calculations'!$HE$13:$HE$512,"="&amp;SUBSTITUTE(SUBSTITUTE(SUBSTITUTE('Calculations'!HT383,"~","~~"),"*","~*"),"?","~?"))&gt;1,"!AMBIG",IFERROR(INDEX('Calculations'!$HF$13:$HF$512,MATCH('Calculations'!HT383,'Calculations'!$HE$13:$HE$512,0)),""))))</x:f>
      </x:c>
      <x:c r="HV383" t="str">
        <x:f>IF('Calculations'!HU383="","",IF('Calculations'!HU383="!AMBIG","!AMBIG",IF(COUNTIF('Calculations'!$HE$13:$HE$512,"="&amp;SUBSTITUTE(SUBSTITUTE(SUBSTITUTE('Calculations'!HU383,"~","~~"),"*","~*"),"?","~?"))&gt;1,"!AMBIG",IFERROR(INDEX('Calculations'!$HF$13:$HF$512,MATCH('Calculations'!HU383,'Calculations'!$HE$13:$HE$512,0)),""))))</x:f>
      </x:c>
      <x:c r="HW383" t="str">
        <x:f>IF('Calculations'!HV383="","",IF('Calculations'!HV383="!AMBIG","!AMBIG",IF(COUNTIF('Calculations'!$HE$13:$HE$512,"="&amp;SUBSTITUTE(SUBSTITUTE(SUBSTITUTE('Calculations'!HV383,"~","~~"),"*","~*"),"?","~?"))&gt;1,"!AMBIG",IFERROR(INDEX('Calculations'!$HF$13:$HF$512,MATCH('Calculations'!HV383,'Calculations'!$HE$13:$HE$512,0)),""))))</x:f>
      </x:c>
      <x:c r="HX383" t="str">
        <x:f>IF('Calculations'!HW383="","",IF('Calculations'!HW383="!AMBIG","!AMBIG",IF(COUNTIF('Calculations'!$HE$13:$HE$512,"="&amp;SUBSTITUTE(SUBSTITUTE(SUBSTITUTE('Calculations'!HW383,"~","~~"),"*","~*"),"?","~?"))&gt;1,"!AMBIG",IFERROR(INDEX('Calculations'!$HF$13:$HF$512,MATCH('Calculations'!HW383,'Calculations'!$HE$13:$HE$512,0)),""))))</x:f>
      </x:c>
      <x:c r="HY383" t="str">
        <x:f>IF('Calculations'!HX383="","",IF('Calculations'!HX383="!AMBIG","!AMBIG",IF(COUNTIF('Calculations'!$HE$13:$HE$512,"="&amp;SUBSTITUTE(SUBSTITUTE(SUBSTITUTE('Calculations'!HX383,"~","~~"),"*","~*"),"?","~?"))&gt;1,"!AMBIG",IFERROR(INDEX('Calculations'!$HF$13:$HF$512,MATCH('Calculations'!HX383,'Calculations'!$HE$13:$HE$512,0)),""))))</x:f>
      </x:c>
      <x:c r="HZ383" t="str">
        <x:f>IF('Calculations'!HY383="","",IF('Calculations'!HY383="!AMBIG","!AMBIG",IF(COUNTIF('Calculations'!$HE$13:$HE$512,"="&amp;SUBSTITUTE(SUBSTITUTE(SUBSTITUTE('Calculations'!HY383,"~","~~"),"*","~*"),"?","~?"))&gt;1,"!AMBIG",IFERROR(INDEX('Calculations'!$HF$13:$HF$512,MATCH('Calculations'!HY383,'Calculations'!$HE$13:$HE$512,0)),""))))</x:f>
      </x:c>
      <x:c r="IA383" t="str">
        <x:f>IF('Calculations'!HZ383="","",IF('Calculations'!HZ383="!AMBIG","!AMBIG",IF(COUNTIF('Calculations'!$HE$13:$HE$512,"="&amp;SUBSTITUTE(SUBSTITUTE(SUBSTITUTE('Calculations'!HZ383,"~","~~"),"*","~*"),"?","~?"))&gt;1,"!AMBIG",IFERROR(INDEX('Calculations'!$HF$13:$HF$512,MATCH('Calculations'!HZ383,'Calculations'!$HE$13:$HE$512,0)),""))))</x:f>
      </x:c>
      <x:c r="IB383" t="str">
        <x:f>IF('Calculations'!IA383="","",IF('Calculations'!IA383="!AMBIG","!AMBIG",IF(COUNTIF('Calculations'!$HE$13:$HE$512,"="&amp;SUBSTITUTE(SUBSTITUTE(SUBSTITUTE('Calculations'!IA383,"~","~~"),"*","~*"),"?","~?"))&gt;1,"!AMBIG",IFERROR(INDEX('Calculations'!$HF$13:$HF$512,MATCH('Calculations'!IA383,'Calculations'!$HE$13:$HE$512,0)),""))))</x:f>
      </x:c>
      <x:c r="IC383" t="str">
        <x:f>IF('Calculations'!IB383="","",IF('Calculations'!IB383="!AMBIG","!AMBIG",IF(COUNTIF('Calculations'!$HE$13:$HE$512,"="&amp;SUBSTITUTE(SUBSTITUTE(SUBSTITUTE('Calculations'!IB383,"~","~~"),"*","~*"),"?","~?"))&gt;1,"!AMBIG",IFERROR(INDEX('Calculations'!$HF$13:$HF$512,MATCH('Calculations'!IB383,'Calculations'!$HE$13:$HE$512,0)),""))))</x:f>
      </x:c>
      <x:c r="ID383" t="str">
        <x:f>IF('Calculations'!IC383="","",IF('Calculations'!IC383="!AMBIG","!AMBIG",IF(COUNTIF('Calculations'!$HE$13:$HE$512,"="&amp;SUBSTITUTE(SUBSTITUTE(SUBSTITUTE('Calculations'!IC383,"~","~~"),"*","~*"),"?","~?"))&gt;1,"!AMBIG",IFERROR(INDEX('Calculations'!$HF$13:$HF$512,MATCH('Calculations'!IC383,'Calculations'!$HE$13:$HE$512,0)),""))))</x:f>
      </x:c>
      <x:c r="IE383" t="str">
        <x:f>IF('Calculations'!ID383="","",IF('Calculations'!ID383="!AMBIG","!AMBIG",IF(COUNTIF('Calculations'!$HE$13:$HE$512,"="&amp;SUBSTITUTE(SUBSTITUTE(SUBSTITUTE('Calculations'!ID383,"~","~~"),"*","~*"),"?","~?"))&gt;1,"!AMBIG",IFERROR(INDEX('Calculations'!$HF$13:$HF$512,MATCH('Calculations'!ID383,'Calculations'!$HE$13:$HE$512,0)),""))))</x:f>
      </x:c>
      <x:c r="IF383" t="str">
        <x:f>IF('Calculations'!IE383="","",IF('Calculations'!IE383="!AMBIG","!AMBIG",IF(COUNTIF('Calculations'!$HE$13:$HE$512,"="&amp;SUBSTITUTE(SUBSTITUTE(SUBSTITUTE('Calculations'!IE383,"~","~~"),"*","~*"),"?","~?"))&gt;1,"!AMBIG",IFERROR(INDEX('Calculations'!$HF$13:$HF$512,MATCH('Calculations'!IE383,'Calculations'!$HE$13:$HE$512,0)),""))))</x:f>
      </x:c>
      <x:c r="IG383" t="str">
        <x:f>IF('Calculations'!IF383="","",IF('Calculations'!IF383="!AMBIG","!AMBIG",IF(COUNTIF('Calculations'!$HE$13:$HE$512,"="&amp;SUBSTITUTE(SUBSTITUTE(SUBSTITUTE('Calculations'!IF383,"~","~~"),"*","~*"),"?","~?"))&gt;1,"!AMBIG",IFERROR(INDEX('Calculations'!$HF$13:$HF$512,MATCH('Calculations'!IF383,'Calculations'!$HE$13:$HE$512,0)),""))))</x:f>
      </x:c>
      <x:c r="IH383" t="str">
        <x:f>IF('Calculations'!IG383="","",IF('Calculations'!IG383="!AMBIG","!AMBIG",IF(COUNTIF('Calculations'!$HE$13:$HE$512,"="&amp;SUBSTITUTE(SUBSTITUTE(SUBSTITUTE('Calculations'!IG383,"~","~~"),"*","~*"),"?","~?"))&gt;1,"!AMBIG",IFERROR(INDEX('Calculations'!$HF$13:$HF$512,MATCH('Calculations'!IG383,'Calculations'!$HE$13:$HE$512,0)),""))))</x:f>
      </x:c>
      <x:c r="II383" t="str">
        <x:f>IF('Calculations'!IH383="","",IF('Calculations'!IH383="!AMBIG","!AMBIG",IF(COUNTIF('Calculations'!$HE$13:$HE$512,"="&amp;SUBSTITUTE(SUBSTITUTE(SUBSTITUTE('Calculations'!IH383,"~","~~"),"*","~*"),"?","~?"))&gt;1,"!AMBIG",IFERROR(INDEX('Calculations'!$HF$13:$HF$512,MATCH('Calculations'!IH383,'Calculations'!$HE$13:$HE$512,0)),""))))</x:f>
      </x:c>
      <x:c r="IJ383" t="str">
        <x:f>IF('Calculations'!EM383="","",IF('Calculations'!$EF$2="All",'Calculations'!HM383,IF('Calculations'!HL383=1,"",IFERROR(IF(MATCH('Calculations'!$EF$2,'Calculations'!HO383:II383,0)=1,'Calculations'!HE383,INDEX('Calculations'!HO383:II383,1,MATCH('Calculations'!$EF$2,'Calculations'!HO383:II383,0)-1)),""))))</x:f>
      </x:c>
      <x:c r="IK383" t="n">
        <x:f>IF(AND('Calculations'!EM383&lt;&gt;"",'Calculations'!$EF$2&lt;&gt;"All",'Calculations'!HF383='Calculations'!$EF$2,'Calculations'!HL383=0,'Calculations'!JD383&gt;0),MAX('Calculations'!$IK$12:IK382)+1,0)</x:f>
        <x:v>0</x:v>
      </x:c>
      <x:c r="JA383" t="n">
        <x:f>IF(OR(IFERROR(INDIRECT("'WCM Calibration Final'!$A$383")&lt;&gt;"",FALSE),IFERROR(INDIRECT("'WCM Calibration Final'!$B$383")&lt;&gt;"",FALSE),IFERROR(INDIRECT("'WCM Calibration Final'!$C$383")&lt;&gt;"",FALSE)),383,0)</x:f>
        <x:v>0</x:v>
      </x:c>
      <x:c r="JB383" t="n">
        <x:f>'Calculations'!JB382+IF('Calculations'!JA383&gt;0,1,0)</x:f>
        <x:v>0</x:v>
      </x:c>
      <x:c r="JC383" t="n">
        <x:f>IF(OR('Calculations'!HF383="",'Calculations'!HF383="!AMBIG"),0,IF('Dashboard'!$B$7="All",1,COUNTIFS('Calculations'!$HO$13:$HO$512,"="&amp;SUBSTITUTE(SUBSTITUTE(SUBSTITUTE('Calculations'!HF383,"~","~~"),"*","~*"),"?","~?"),'Calculations'!$HN$13:$HN$512,"="&amp;SUBSTITUTE(SUBSTITUTE(SUBSTITUTE('Dashboard'!$B$7,"~","~~"),"*","~*"),"?","~?"))+COUNTIFS('Calculations'!$HP$13:$HP$512,"="&amp;SUBSTITUTE(SUBSTITUTE(SUBSTITUTE('Calculations'!HF383,"~","~~"),"*","~*"),"?","~?"),'Calculations'!$HN$13:$HN$512,"="&amp;SUBSTITUTE(SUBSTITUTE(SUBSTITUTE('Dashboard'!$B$7,"~","~~"),"*","~*"),"?","~?"))+COUNTIFS('Calculations'!$HQ$13:$HQ$512,"="&amp;SUBSTITUTE(SUBSTITUTE(SUBSTITUTE('Calculations'!HF383,"~","~~"),"*","~*"),"?","~?"),'Calculations'!$HN$13:$HN$512,"="&amp;SUBSTITUTE(SUBSTITUTE(SUBSTITUTE('Dashboard'!$B$7,"~","~~"),"*","~*"),"?","~?"))+COUNTIFS('Calculations'!$HR$13:$HR$512,"="&amp;SUBSTITUTE(SUBSTITUTE(SUBSTITUTE('Calculations'!HF383,"~","~~"),"*","~*"),"?","~?"),'Calculations'!$HN$13:$HN$512,"="&amp;SUBSTITUTE(SUBSTITUTE(SUBSTITUTE('Dashboard'!$B$7,"~","~~"),"*","~*"),"?","~?"))+COUNTIFS('Calculations'!$HS$13:$HS$512,"="&amp;SUBSTITUTE(SUBSTITUTE(SUBSTITUTE('Calculations'!HF383,"~","~~"),"*","~*"),"?","~?"),'Calculations'!$HN$13:$HN$512,"="&amp;SUBSTITUTE(SUBSTITUTE(SUBSTITUTE('Dashboard'!$B$7,"~","~~"),"*","~*"),"?","~?"))+COUNTIFS('Calculations'!$HT$13:$HT$512,"="&amp;SUBSTITUTE(SUBSTITUTE(SUBSTITUTE('Calculations'!HF383,"~","~~"),"*","~*"),"?","~?"),'Calculations'!$HN$13:$HN$512,"="&amp;SUBSTITUTE(SUBSTITUTE(SUBSTITUTE('Dashboard'!$B$7,"~","~~"),"*","~*"),"?","~?"))+COUNTIFS('Calculations'!$HU$13:$HU$512,"="&amp;SUBSTITUTE(SUBSTITUTE(SUBSTITUTE('Calculations'!HF383,"~","~~"),"*","~*"),"?","~?"),'Calculations'!$HN$13:$HN$512,"="&amp;SUBSTITUTE(SUBSTITUTE(SUBSTITUTE('Dashboard'!$B$7,"~","~~"),"*","~*"),"?","~?"))+COUNTIFS('Calculations'!$HV$13:$HV$512,"="&amp;SUBSTITUTE(SUBSTITUTE(SUBSTITUTE('Calculations'!HF383,"~","~~"),"*","~*"),"?","~?"),'Calculations'!$HN$13:$HN$512,"="&amp;SUBSTITUTE(SUBSTITUTE(SUBSTITUTE('Dashboard'!$B$7,"~","~~"),"*","~*"),"?","~?"))+COUNTIFS('Calculations'!$HW$13:$HW$512,"="&amp;SUBSTITUTE(SUBSTITUTE(SUBSTITUTE('Calculations'!HF383,"~","~~"),"*","~*"),"?","~?"),'Calculations'!$HN$13:$HN$512,"="&amp;SUBSTITUTE(SUBSTITUTE(SUBSTITUTE('Dashboard'!$B$7,"~","~~"),"*","~*"),"?","~?"))+COUNTIFS('Calculations'!$HX$13:$HX$512,"="&amp;SUBSTITUTE(SUBSTITUTE(SUBSTITUTE('Calculations'!HF383,"~","~~"),"*","~*"),"?","~?"),'Calculations'!$HN$13:$HN$512,"="&amp;SUBSTITUTE(SUBSTITUTE(SUBSTITUTE('Dashboard'!$B$7,"~","~~"),"*","~*"),"?","~?"))+COUNTIFS('Calculations'!$HY$13:$HY$512,"="&amp;SUBSTITUTE(SUBSTITUTE(SUBSTITUTE('Calculations'!HF383,"~","~~"),"*","~*"),"?","~?"),'Calculations'!$HN$13:$HN$512,"="&amp;SUBSTITUTE(SUBSTITUTE(SUBSTITUTE('Dashboard'!$B$7,"~","~~"),"*","~*"),"?","~?"))+COUNTIFS('Calculations'!$HZ$13:$HZ$512,"="&amp;SUBSTITUTE(SUBSTITUTE(SUBSTITUTE('Calculations'!HF383,"~","~~"),"*","~*"),"?","~?"),'Calculations'!$HN$13:$HN$512,"="&amp;SUBSTITUTE(SUBSTITUTE(SUBSTITUTE('Dashboard'!$B$7,"~","~~"),"*","~*"),"?","~?"))+COUNTIFS('Calculations'!$IA$13:$IA$512,"="&amp;SUBSTITUTE(SUBSTITUTE(SUBSTITUTE('Calculations'!HF383,"~","~~"),"*","~*"),"?","~?"),'Calculations'!$HN$13:$HN$512,"="&amp;SUBSTITUTE(SUBSTITUTE(SUBSTITUTE('Dashboard'!$B$7,"~","~~"),"*","~*"),"?","~?"))+COUNTIFS('Calculations'!$IB$13:$IB$512,"="&amp;SUBSTITUTE(SUBSTITUTE(SUBSTITUTE('Calculations'!HF383,"~","~~"),"*","~*"),"?","~?"),'Calculations'!$HN$13:$HN$512,"="&amp;SUBSTITUTE(SUBSTITUTE(SUBSTITUTE('Dashboard'!$B$7,"~","~~"),"*","~*"),"?","~?"))+COUNTIFS('Calculations'!$IC$13:$IC$512,"="&amp;SUBSTITUTE(SUBSTITUTE(SUBSTITUTE('Calculations'!HF383,"~","~~"),"*","~*"),"?","~?"),'Calculations'!$HN$13:$HN$512,"="&amp;SUBSTITUTE(SUBSTITUTE(SUBSTITUTE('Dashboard'!$B$7,"~","~~"),"*","~*"),"?","~?"))+COUNTIFS('Calculations'!$ID$13:$ID$512,"="&amp;SUBSTITUTE(SUBSTITUTE(SUBSTITUTE('Calculations'!HF383,"~","~~"),"*","~*"),"?","~?"),'Calculations'!$HN$13:$HN$512,"="&amp;SUBSTITUTE(SUBSTITUTE(SUBSTITUTE('Dashboard'!$B$7,"~","~~"),"*","~*"),"?","~?"))+COUNTIFS('Calculations'!$IE$13:$IE$512,"="&amp;SUBSTITUTE(SUBSTITUTE(SUBSTITUTE('Calculations'!HF383,"~","~~"),"*","~*"),"?","~?"),'Calculations'!$HN$13:$HN$512,"="&amp;SUBSTITUTE(SUBSTITUTE(SUBSTITUTE('Dashboard'!$B$7,"~","~~"),"*","~*"),"?","~?"))+COUNTIFS('Calculations'!$IF$13:$IF$512,"="&amp;SUBSTITUTE(SUBSTITUTE(SUBSTITUTE('Calculations'!HF383,"~","~~"),"*","~*"),"?","~?"),'Calculations'!$HN$13:$HN$512,"="&amp;SUBSTITUTE(SUBSTITUTE(SUBSTITUTE('Dashboard'!$B$7,"~","~~"),"*","~*"),"?","~?"))+COUNTIFS('Calculations'!$IG$13:$IG$512,"="&amp;SUBSTITUTE(SUBSTITUTE(SUBSTITUTE('Calculations'!HF383,"~","~~"),"*","~*"),"?","~?"),'Calculations'!$HN$13:$HN$512,"="&amp;SUBSTITUTE(SUBSTITUTE(SUBSTITUTE('Dashboard'!$B$7,"~","~~"),"*","~*"),"?","~?"))+COUNTIFS('Calculations'!$IH$13:$IH$512,"="&amp;SUBSTITUTE(SUBSTITUTE(SUBSTITUTE('Calculations'!HF383,"~","~~"),"*","~*"),"?","~?"),'Calculations'!$HN$13:$HN$512,"="&amp;SUBSTITUTE(SUBSTITUTE(SUBSTITUTE('Dashboard'!$B$7,"~","~~"),"*","~*"),"?","~?"))))</x:f>
        <x:v>0</x:v>
      </x:c>
      <x:c r="JD383" t="n">
        <x:f>IF('Calculations'!EM383="",0,IF('Dashboard'!$B$7="All",1,IF('Calculations'!HN383='Dashboard'!$B$7,1,0)+IFERROR(INDEX('Calculations'!$JC$13:$JC$512,MATCH('Calculations'!HE383,'Calculations'!$HF$13:$HF$512,0)),0)))</x:f>
        <x:v>0</x:v>
      </x:c>
      <x:c r="JE383" t="n">
        <x:f>IF(AND('Calculations'!EM383&lt;&gt;"",'Calculations'!$JJ$2&lt;&gt;"All",'Calculations'!$JJ$2&lt;&gt;"",'Calculations'!HF383='Calculations'!$JJ$2,'Calculations'!HL383=0,'Calculations'!JD383&gt;0),MAX('Calculations'!$JE$12:JE382)+1,0)</x:f>
        <x:v>0</x:v>
      </x:c>
      <x:c r="JF383" t="str">
        <x:f>IF('Calculations'!EM383="","",IFERROR(IF(INDEX(INDIRECT("'WCM Calibration Final'!$G$1:$G$2000"),'Calculations'!$EM383)="","",TRIM(INDEX(INDIRECT("'WCM Calibration Final'!$G$1:$G$2000"),'Calculations'!$EM383)&amp;"")),""))</x:f>
      </x:c>
      <x:c r="JQ383" t="n">
        <x:f>IF(OR('Calculations'!BM383=0,NOT('Calculations'!$AG$2),'Calculations'!$AG$8&gt;0),0,IF(OR('Dashboard'!$B$7="All",'Calculations'!HN383='Dashboard'!$B$7),IF('Calculations'!$JJ$2="All",1,IF(AND('Calculations'!HF383='Calculations'!$JJ$2,'Calculations'!HL383=0),1,0)),0))</x:f>
        <x:v>0</x:v>
      </x:c>
    </x:row>
    <x:row r="384">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t="n">
        <x:f>IF('Calculations'!$EM384="",0,IF(OR(IFERROR(INDEX(INDIRECT("'WCM Calibration Final'!$A$1:$A$2000"),'Calculations'!$EM384)&lt;&gt;"",FALSE),IFERROR(INDEX(INDIRECT("'WCM Calibration Final'!$B$1:$B$2000"),'Calculations'!$EM384)&lt;&gt;"",FALSE),IFERROR(INDEX(INDIRECT("'WCM Calibration Final'!$C$1:$C$2000"),'Calculations'!$EM384)&lt;&gt;"",FALSE)),1,0))</x:f>
        <x:v>0</x:v>
      </x:c>
      <x:c r="BN384" s="4" t="n">
        <x:f>IF(AND('Calculations'!BM384=1,'Calculations'!$AG$2,'Calculations'!$EN384=1),1,0)</x:f>
        <x:v>0</x:v>
      </x:c>
      <x:c r="BO384" s="4" t="str">
        <x:f>IF('Calculations'!BM384=0,"",IFERROR(IF(AND(VALUE(INDEX(INDIRECT("'WCM Calibration Final'!$K$1:$K$2000"),'Calculations'!$EM384))&gt;=1,VALUE(INDEX(INDIRECT("'WCM Calibration Final'!$K$1:$K$2000"),'Calculations'!$EM384))&lt;=4,MOD(VALUE(INDEX(INDIRECT("'WCM Calibration Final'!$K$1:$K$2000"),'Calculations'!$EM384)),1)=0),VALUE(INDEX(INDIRECT("'WCM Calibration Final'!$K$1:$K$2000"),'Calculations'!$EM384)),""),""))</x:f>
      </x:c>
      <x:c r="BP384" s="4" t="str">
        <x:f>IF('Calculations'!BM384=0,"",IFERROR(IF(AND(VALUE(INDEX(INDIRECT("'WCM Calibration Final'!$L$1:$L$2000"),'Calculations'!$EM384))&gt;=1,VALUE(INDEX(INDIRECT("'WCM Calibration Final'!$L$1:$L$2000"),'Calculations'!$EM384))&lt;=4,MOD(VALUE(INDEX(INDIRECT("'WCM Calibration Final'!$L$1:$L$2000"),'Calculations'!$EM384)),1)=0),VALUE(INDEX(INDIRECT("'WCM Calibration Final'!$L$1:$L$2000"),'Calculations'!$EM384)),""),""))</x:f>
      </x:c>
      <x:c r="BQ384" s="4"/>
      <x:c r="BR384" s="4"/>
      <x:c r="BS384" s="4"/>
      <x:c r="BT384" s="4" t="n">
        <x:f>IF(AND('Calculations'!BM384=1,ISNUMBER('Calculations'!BO384),ISNUMBER('Calculations'!BP384)),1,0)</x:f>
        <x:v>0</x:v>
      </x:c>
      <x:c r="BU384" s="4" t="str">
        <x:f>IF('Calculations'!BM384=0,"",'Calculations'!$EO384)</x:f>
      </x:c>
      <x:c r="BV384" s="4" t="str">
        <x:f>IF('Calculations'!BM384=0,"",IFERROR(IF(OR(INDEX(INDIRECT("'WCM Calibration Final'!$H$1:$H$2000"),'Calculations'!$EM384)="MANAGING DIRECTOR",INDEX(INDIRECT("'WCM Calibration Final'!$H$1:$H$2000"),'Calculations'!$EM384)="DIRECTOR",INDEX(INDIRECT("'WCM Calibration Final'!$H$1:$H$2000"),'Calculations'!$EM384)="SENIOR VICE PRESIDENT",INDEX(INDIRECT("'WCM Calibration Final'!$H$1:$H$2000"),'Calculations'!$EM384)="VICE PRESIDENT",INDEX(INDIRECT("'WCM Calibration Final'!$H$1:$H$2000"),'Calculations'!$EM384)="ASSISTANT VICE PRESIDENT",INDEX(INDIRECT("'WCM Calibration Final'!$H$1:$H$2000"),'Calculations'!$EM384)="OFFICER"),UPPER(INDEX(INDIRECT("'WCM Calibration Final'!$H$1:$H$2000"),'Calculations'!$EM384)),"Other"),"Other"))</x:f>
      </x:c>
      <x:c r="BW384" s="4"/>
      <x:c r="BX384" s="4"/>
      <x:c r="BY384" s="4" t="n">
        <x:f>IF(AND('Calculations'!BM384=1,'Calculations'!BU384&lt;&gt;"",COUNTIF('Calculations'!$BU$12:BU384,'Calculations'!BU384)=1),MAX('Calculations'!$BY$11:BY383)+1,0)</x:f>
        <x:v>0</x:v>
      </x:c>
      <x:c r="BZ384" s="4" t="str">
        <x:f>IF('Dashboard'!$E$67="What",'Calculations'!BO384,'Calculations'!BP384)</x:f>
      </x:c>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t="str">
        <x:f>IF(373&gt;MAX('Calculations'!$HI$13:$HI$512),"",INDEX('Calculations'!$HN$13:$HN$512,MATCH(373,'Calculations'!$HI$13:$HI$512,0)))</x:f>
      </x:c>
      <x:c r="DB384" s="4" t="str">
        <x:f>IF(373&gt;MAX('Calculations'!$HH$13:$HH$512),"",INDEX('Calculations'!$HJ$13:$HJ$512,MATCH(373,'Calculations'!$HH$13:$HH$512,0)))</x:f>
      </x:c>
      <x:c r="DC384" s="4" t="str">
        <x:f>IF(ROW()-11&gt;MAX('Calculations'!$BY$13:$BY$512),"",INDEX('Calculations'!$BU$13:$BU$512,MATCH(ROW()-11,'Calculations'!$BY$13:$BY$512,0)))</x:f>
      </x:c>
      <x:c r="DD384" s="4" t="str">
        <x:f>IF(373&gt;MAX('Calculations'!$IK$13:$IK$512),"",INDEX('Calculations'!$HK$13:$HK$512,MATCH(373,'Calculations'!$IK$13:$IK$512,0)))</x:f>
      </x:c>
      <x:c r="DE384" s="4" t="str">
        <x:f>'Calculations'!DC384</x:f>
      </x:c>
      <x:c r="DF384" s="4" t="str">
        <x:f>IF('Calculations'!DE384="","",COUNTIFS('Calculations'!$BN$13:$BN$512,1,'Calculations'!$BU$13:$BU$512,'Calculations'!DE384))</x:f>
      </x:c>
      <x:c r="DG384" s="4" t="str">
        <x:f>IF('Calculations'!DE384="","",COUNTIFS('Calculations'!$BN$13:$BN$512,1,'Calculations'!$BU$13:$BU$512,'Calculations'!DE384,'Calculations'!$BT$13:$BT$512,1))</x:f>
      </x:c>
      <x:c r="DH384" s="4" t="str">
        <x:f>IF('Calculations'!DE384="","",'Calculations'!DF384-'Calculations'!DG384)</x:f>
      </x:c>
      <x:c r="DI384" s="4" t="str">
        <x:f>IF(OR('Calculations'!DE384="",'Calculations'!DF384=0),"",'Calculations'!DG384/'Calculations'!DF384)</x:f>
      </x:c>
      <x:c r="DJ384" s="4" t="str">
        <x:f>IF('Calculations'!DE384="","",COUNTIFS('Calculations'!$BN$13:$BN$512,1,'Calculations'!$BU$13:$BU$512,'Calculations'!DE384,'Calculations'!$BT$13:$BT$512,1,'Calculations'!$EE$13:$EE$512,"High"))</x:f>
      </x:c>
      <x:c r="DK384" s="4" t="str">
        <x:f>IF('Calculations'!DE384="","",COUNTIFS('Calculations'!$BN$13:$BN$512,1,'Calculations'!$BU$13:$BU$512,'Calculations'!DE384,'Calculations'!$BT$13:$BT$512,1,'Calculations'!$EE$13:$EE$512,"Strong"))</x:f>
      </x:c>
      <x:c r="DL384" s="4" t="str">
        <x:f>IF('Calculations'!DE384="","",COUNTIFS('Calculations'!$BN$13:$BN$512,1,'Calculations'!$BU$13:$BU$512,'Calculations'!DE384,'Calculations'!$BT$13:$BT$512,1,'Calculations'!$EE$13:$EE$512,"Solid"))</x:f>
      </x:c>
      <x:c r="DM384" s="4" t="str">
        <x:f>IF('Calculations'!DE384="","",COUNTIFS('Calculations'!$BN$13:$BN$512,1,'Calculations'!$BU$13:$BU$512,'Calculations'!DE384,'Calculations'!$BT$13:$BT$512,1,'Calculations'!$EE$13:$EE$512,"Low"))</x:f>
      </x:c>
      <x:c r="DN384" s="4" t="str">
        <x:f>IF('Calculations'!DE384="","",COUNTIFS('Calculations'!$BN$13:$BN$512,1,'Calculations'!$BU$13:$BU$512,'Calculations'!DE384,'Calculations'!$EP$13:$EP$512,1))</x:f>
      </x:c>
      <x:c r="DO384" s="4" t="str">
        <x:f>IF(OR('Calculations'!DE384="",'Calculations'!DG384=0),"",('Calculations'!DJ384+'Calculations'!DK384)/'Calculations'!DG384)</x:f>
      </x:c>
      <x:c r="DP384" s="4" t="n">
        <x:f>IF(AND('Calculations'!DE384&lt;&gt;"",'Calculations'!DF384&gt;0),COUNTIF('Calculations'!$DF$12:DF384,"&gt;0"),0)</x:f>
        <x:v>0</x:v>
      </x:c>
      <x:c r="DQ384" s="4" t="str">
        <x:f>IF(373&gt;MAX('Calculations'!$HH$13:$HH$512),"",INDEX('Calculations'!$HF$13:$HF$512,MATCH(373,'Calculations'!$HH$13:$HH$512,0)))</x:f>
      </x:c>
      <x:c r="DR384" s="4" t="str">
        <x:f>IF(373&gt;MAX('Calculations'!$IK$13:$IK$512),"",INDEX('Calculations'!$HE$13:$HE$512,MATCH(373,'Calculations'!$IK$13:$IK$512,0)))</x:f>
      </x:c>
      <x:c r="DS384" s="4"/>
      <x:c r="DT384" s="4"/>
      <x:c r="DU384" s="4"/>
      <x:c r="DV384" s="4"/>
      <x:c r="DW384" s="4"/>
      <x:c r="DX384" s="4"/>
      <x:c r="DY384" s="4"/>
      <x:c r="DZ384" s="4"/>
      <x:c r="EA384" s="4"/>
      <x:c r="EB384" s="4"/>
      <x:c r="EC384" s="4"/>
      <x:c r="ED384" s="4"/>
      <x:c r="EE384" s="4" t="str">
        <x:f>IF('Calculations'!BT384=0,"Not Rated",IF(OR('Calculations'!BO384&gt;=4,'Calculations'!BP384&gt;=4),"Low",IF('Calculations'!BO384+'Calculations'!BP384&lt;=3,"High",IF('Calculations'!BO384+'Calculations'!BP384&lt;=4,"Strong","Solid"))))</x:f>
        <x:v>Not Rated</x:v>
      </x:c>
      <x:c r="EF384" s="4"/>
      <x:c r="EG384" s="4"/>
      <x:c r="EH384" s="4"/>
      <x:c r="EI384" s="4"/>
      <x:c r="EJ384" s="4"/>
      <x:c r="EK384" s="4"/>
      <x:c r="EL384" s="4"/>
      <x:c r="EM384" s="4" t="str">
        <x:f>IF(372&gt;'Calculations'!$JB$2000,"",INDEX('Calculations'!$JA$12:$JA$2000,MATCH(372,'Calculations'!$JB$12:$JB$2000,0)))</x:f>
      </x:c>
      <x:c r="EN384" s="4" t="n">
        <x:f>IF(OR('Calculations'!EM384="",'Calculations'!$AG$8&gt;0,AND('Calculations'!$EF$2&lt;&gt;"All",'Calculations'!HE384='Calculations'!$EF$2),AND('Calculations'!$EF$3&lt;&gt;"All",'Calculations'!HE384='Calculations'!$EF$3)),0,IF(OR('Dashboard'!$B$7="All",'Calculations'!HN384='Dashboard'!$B$7),IF('Calculations'!$EF$2="All",1,IF('Calculations'!HL384&gt;0,0,IF(COUNTIF('Calculations'!HO384:II384,"="&amp;SUBSTITUTE(SUBSTITUTE(SUBSTITUTE('Calculations'!$EF$2,"~","~~"),"*","~*"),"?","~?"))=0,0,IF('Calculations'!$EF$3="All",1,IF(COUNTIF('Calculations'!HO384:II384,"="&amp;SUBSTITUTE(SUBSTITUTE(SUBSTITUTE('Calculations'!$EF$3,"~","~~"),"*","~*"),"?","~?"))&gt;0,1,0))))),0))</x:f>
        <x:v>0</x:v>
      </x:c>
      <x:c r="EO384" s="4" t="str">
        <x:f>IF('Calculations'!IJ384="","",IF('Calculations'!IJ384="!UNRESOLVED","Unresolved hierarchy",IFERROR(INDEX('Calculations'!$HK$13:$HK$512,MATCH('Calculations'!IJ384,'Calculations'!$HE$13:$HE$512,0)),IFERROR(INDEX('Calculations'!$HJ$13:$HJ$512,MATCH('Calculations'!IJ384,'Calculations'!$HF$13:$HF$512,0)),'Calculations'!IJ384))))</x:f>
      </x:c>
      <x:c r="EP384" s="4" t="n">
        <x:f>IF(AND('Calculations'!EM384&lt;&gt;"",'Calculations'!HF384='Calculations'!IJ384),1,0)</x:f>
        <x:v>0</x:v>
      </x:c>
      <x:c r="EQ384" s="4"/>
      <x:c r="ER384" s="4"/>
      <x:c r="ES384" s="4"/>
      <x:c r="ET384" s="4"/>
      <x:c r="EU384" s="4"/>
      <x:c r="EV384" s="4"/>
      <x:c r="EW384" s="4"/>
      <x:c r="EX384" s="4"/>
      <x:c r="EY384" s="4"/>
      <x:c r="EZ384" s="4"/>
      <x:c r="FA384" s="4"/>
      <x:c r="FB384" s="4"/>
      <x:c r="FC384" s="4"/>
      <x:c r="FD384" s="4"/>
      <x:c r="FE384" s="4"/>
      <x:c r="FF384" s="4"/>
      <x:c r="FG384" s="4"/>
      <x:c r="FH384" s="4"/>
      <x:c r="FI384" s="4"/>
      <x:c r="FJ384" s="4"/>
      <x:c r="FK384" s="4"/>
      <x:c r="FL384" s="4"/>
      <x:c r="FM384" s="4"/>
      <x:c r="FN384" s="4"/>
      <x:c r="FO384" s="4"/>
      <x:c r="HE384" t="str">
        <x:f>IF('Calculations'!EM384="","",IF(IFERROR(IF(INDEX(INDIRECT("'WCM Calibration Final'!$A$1:$A$2000"),'Calculations'!$EM384)="","",TRIM(INDEX(INDIRECT("'WCM Calibration Final'!$A$1:$A$2000"),'Calculations'!$EM384)&amp;"")),"")&lt;&gt;"","G:"&amp;IFERROR(TEXT(1*INDEX(INDIRECT("'WCM Calibration Final'!$A$1:$A$2000"),'Calculations'!$EM384),"0"),UPPER(IFERROR(IF(INDEX(INDIRECT("'WCM Calibration Final'!$A$1:$A$2000"),'Calculations'!$EM384)="","",TRIM(INDEX(INDIRECT("'WCM Calibration Final'!$A$1:$A$2000"),'Calculations'!$EM384)&amp;"")),""))),IF(IFERROR(IF(INDEX(INDIRECT("'WCM Calibration Final'!$C$1:$C$2000"),'Calculations'!$EM384)="","",TRIM(INDEX(INDIRECT("'WCM Calibration Final'!$C$1:$C$2000"),'Calculations'!$EM384)&amp;"")),"")&lt;&gt;"","S:"&amp;UPPER(IFERROR(IF(INDEX(INDIRECT("'WCM Calibration Final'!$C$1:$C$2000"),'Calculations'!$EM384)="","",TRIM(INDEX(INDIRECT("'WCM Calibration Final'!$C$1:$C$2000"),'Calculations'!$EM384)&amp;"")),"")),"R:"&amp;'Calculations'!EM384)))</x:f>
      </x:c>
      <x:c r="HF384" t="str">
        <x:f>IF('Calculations'!EM384="","",IF(IFERROR(IF(INDEX(INDIRECT("'WCM Calibration Final'!$D$1:$D$2000"),'Calculations'!$EM384)="","",TRIM(INDEX(INDIRECT("'WCM Calibration Final'!$D$1:$D$2000"),'Calculations'!$EM384)&amp;"")),"")&lt;&gt;"","G:"&amp;IFERROR(TEXT(1*INDEX(INDIRECT("'WCM Calibration Final'!$D$1:$D$2000"),'Calculations'!$EM384),"0"),UPPER(IFERROR(IF(INDEX(INDIRECT("'WCM Calibration Final'!$D$1:$D$2000"),'Calculations'!$EM384)="","",TRIM(INDEX(INDIRECT("'WCM Calibration Final'!$D$1:$D$2000"),'Calculations'!$EM384)&amp;"")),""))),IF(IFERROR(IF(INDEX(INDIRECT("'WCM Calibration Final'!$E$1:$E$2000"),'Calculations'!$EM384)="","",TRIM(INDEX(INDIRECT("'WCM Calibration Final'!$E$1:$E$2000"),'Calculations'!$EM384)&amp;"")),"")="","",IF(COUNTIF('Calculations'!$HG$13:$HG$512,"="&amp;SUBSTITUTE(SUBSTITUTE(SUBSTITUTE(IFERROR(IF(INDEX(INDIRECT("'WCM Calibration Final'!$E$1:$E$2000"),'Calculations'!$EM384)="","",TRIM(INDEX(INDIRECT("'WCM Calibration Final'!$E$1:$E$2000"),'Calculations'!$EM384)&amp;"")),""),"~","~~"),"*","~*"),"?","~?"))=1,INDEX('Calculations'!$HE$13:$HE$512,MATCH(IFERROR(IF(INDEX(INDIRECT("'WCM Calibration Final'!$E$1:$E$2000"),'Calculations'!$EM384)="","",TRIM(INDEX(INDIRECT("'WCM Calibration Final'!$E$1:$E$2000"),'Calculations'!$EM384)&amp;"")),""),'Calculations'!$HG$13:$HG$512,0)),IF(COUNTIF('Calculations'!$HG$13:$HG$512,"="&amp;SUBSTITUTE(SUBSTITUTE(SUBSTITUTE(IFERROR(IF(INDEX(INDIRECT("'WCM Calibration Final'!$E$1:$E$2000"),'Calculations'!$EM384)="","",TRIM(INDEX(INDIRECT("'WCM Calibration Final'!$E$1:$E$2000"),'Calculations'!$EM384)&amp;"")),""),"~","~~"),"*","~*"),"?","~?"))&gt;1,"!AMBIG","X:"&amp;IFERROR(IF(INDEX(INDIRECT("'WCM Calibration Final'!$E$1:$E$2000"),'Calculations'!$EM384)="","",TRIM(INDEX(INDIRECT("'WCM Calibration Final'!$E$1:$E$2000"),'Calculations'!$EM384)&amp;"")),""))))))</x:f>
      </x:c>
      <x:c r="HG384" t="str">
        <x:f>IF('Calculations'!EM384="","",IFERROR(IF(INDEX(INDIRECT("'WCM Calibration Final'!$B$1:$B$2000"),'Calculations'!$EM384)="","",TRIM(INDEX(INDIRECT("'WCM Calibration Final'!$B$1:$B$2000"),'Calculations'!$EM384)&amp;"")),""))</x:f>
      </x:c>
      <x:c r="HH384" t="n">
        <x:f>IF(AND('Calculations'!JC384&gt;0,COUNTIF('Calculations'!$HF$12:HF384,"="&amp;SUBSTITUTE(SUBSTITUTE(SUBSTITUTE('Calculations'!HF384,"~","~~"),"*","~*"),"?","~?"))=1),MAX('Calculations'!$HH$12:HH383)+1,0)</x:f>
        <x:v>0</x:v>
      </x:c>
      <x:c r="HI384" t="n">
        <x:f>IF(AND('Calculations'!HN384&lt;&gt;"",COUNTIF('Calculations'!$HN$12:HN384,"="&amp;SUBSTITUTE(SUBSTITUTE(SUBSTITUTE('Calculations'!HN384,"~","~~"),"*","~*"),"?","~?"))=1),MAX('Calculations'!$HI$12:HI383)+1,0)</x:f>
        <x:v>0</x:v>
      </x:c>
      <x:c r="HJ384" t="str">
        <x:f>IF('Calculations'!HF384="","",IF(COUNTIF('Calculations'!$HE$13:$HE$512,"="&amp;SUBSTITUTE(SUBSTITUTE(SUBSTITUTE('Calculations'!HF384,"~","~~"),"*","~*"),"?","~?"))=1,INDEX('Calculations'!$HK$13:$HK$512,MATCH('Calculations'!HF384,'Calculations'!$HE$13:$HE$512,0)),IFERROR(IF(INDEX(INDIRECT("'WCM Calibration Final'!$E$1:$E$2000"),'Calculations'!$EM384)="","",TRIM(INDEX(INDIRECT("'WCM Calibration Final'!$E$1:$E$2000"),'Calculations'!$EM384)&amp;"")),"")&amp;" ["&amp;'Calculations'!HF384&amp;"]"))</x:f>
      </x:c>
      <x:c r="HK384" t="str">
        <x:f>IF('Calculations'!EM384="","",'Calculations'!HG384&amp;" ["&amp;'Calculations'!HE384&amp;"]")</x:f>
      </x:c>
      <x:c r="HL384" t="n">
        <x:f>IF('Calculations'!EM384="",0,IF(OR('Calculations'!II384&lt;&gt;"",COUNTIF('Calculations'!$HE$13:$HE$512,"="&amp;SUBSTITUTE(SUBSTITUTE(SUBSTITUTE('Calculations'!HE384,"~","~~"),"*","~*"),"?","~?"))&gt;1),1,0))</x:f>
        <x:v>0</x:v>
      </x:c>
      <x:c r="HM384" t="str">
        <x:f>IF('Calculations'!EM384="","",IF('Calculations'!HL384=1,"!UNRESOLVED",IF('Calculations'!IH384&lt;&gt;"",'Calculations'!IH384,IF('Calculations'!IG384&lt;&gt;"",'Calculations'!IG384,IF('Calculations'!IF384&lt;&gt;"",'Calculations'!IF384,IF('Calculations'!IE384&lt;&gt;"",'Calculations'!IE384,IF('Calculations'!ID384&lt;&gt;"",'Calculations'!ID384,IF('Calculations'!IC384&lt;&gt;"",'Calculations'!IC384,IF('Calculations'!IB384&lt;&gt;"",'Calculations'!IB384,IF('Calculations'!IA384&lt;&gt;"",'Calculations'!IA384,IF('Calculations'!HZ384&lt;&gt;"",'Calculations'!HZ384,IF('Calculations'!HY384&lt;&gt;"",'Calculations'!HY384,IF('Calculations'!HX384&lt;&gt;"",'Calculations'!HX384,IF('Calculations'!HW384&lt;&gt;"",'Calculations'!HW384,IF('Calculations'!HV384&lt;&gt;"",'Calculations'!HV384,IF('Calculations'!HU384&lt;&gt;"",'Calculations'!HU384,IF('Calculations'!HT384&lt;&gt;"",'Calculations'!HT384,IF('Calculations'!HS384&lt;&gt;"",'Calculations'!HS384,IF('Calculations'!HR384&lt;&gt;"",'Calculations'!HR384,IF('Calculations'!HQ384&lt;&gt;"",'Calculations'!HQ384,IF('Calculations'!HP384&lt;&gt;"",'Calculations'!HP384,IF('Calculations'!HO384&lt;&gt;"",'Calculations'!HO384,'Calculations'!HE384))))))))))))))))))))))</x:f>
      </x:c>
      <x:c r="HN384" t="str">
        <x:f>IF('Calculations'!EM384="","",IF(IFERROR(IF(INDEX(INDIRECT("'WCM Calibration Final'!$F$1:$F$2000"),'Calculations'!$EM384)="","",TRIM(INDEX(INDIRECT("'WCM Calibration Final'!$F$1:$F$2000"),'Calculations'!$EM384)&amp;"")),"")="","(Blank)",IFERROR(IF(INDEX(INDIRECT("'WCM Calibration Final'!$F$1:$F$2000"),'Calculations'!$EM384)="","",TRIM(INDEX(INDIRECT("'WCM Calibration Final'!$F$1:$F$2000"),'Calculations'!$EM384)&amp;"")),"")))</x:f>
      </x:c>
      <x:c r="HO384" t="str">
        <x:f>'Calculations'!HF384</x:f>
      </x:c>
      <x:c r="HP384" t="str">
        <x:f>IF('Calculations'!HO384="","",IF('Calculations'!HO384="!AMBIG","!AMBIG",IF(COUNTIF('Calculations'!$HE$13:$HE$512,"="&amp;SUBSTITUTE(SUBSTITUTE(SUBSTITUTE('Calculations'!HO384,"~","~~"),"*","~*"),"?","~?"))&gt;1,"!AMBIG",IFERROR(INDEX('Calculations'!$HF$13:$HF$512,MATCH('Calculations'!HO384,'Calculations'!$HE$13:$HE$512,0)),""))))</x:f>
      </x:c>
      <x:c r="HQ384" t="str">
        <x:f>IF('Calculations'!HP384="","",IF('Calculations'!HP384="!AMBIG","!AMBIG",IF(COUNTIF('Calculations'!$HE$13:$HE$512,"="&amp;SUBSTITUTE(SUBSTITUTE(SUBSTITUTE('Calculations'!HP384,"~","~~"),"*","~*"),"?","~?"))&gt;1,"!AMBIG",IFERROR(INDEX('Calculations'!$HF$13:$HF$512,MATCH('Calculations'!HP384,'Calculations'!$HE$13:$HE$512,0)),""))))</x:f>
      </x:c>
      <x:c r="HR384" t="str">
        <x:f>IF('Calculations'!HQ384="","",IF('Calculations'!HQ384="!AMBIG","!AMBIG",IF(COUNTIF('Calculations'!$HE$13:$HE$512,"="&amp;SUBSTITUTE(SUBSTITUTE(SUBSTITUTE('Calculations'!HQ384,"~","~~"),"*","~*"),"?","~?"))&gt;1,"!AMBIG",IFERROR(INDEX('Calculations'!$HF$13:$HF$512,MATCH('Calculations'!HQ384,'Calculations'!$HE$13:$HE$512,0)),""))))</x:f>
      </x:c>
      <x:c r="HS384" t="str">
        <x:f>IF('Calculations'!HR384="","",IF('Calculations'!HR384="!AMBIG","!AMBIG",IF(COUNTIF('Calculations'!$HE$13:$HE$512,"="&amp;SUBSTITUTE(SUBSTITUTE(SUBSTITUTE('Calculations'!HR384,"~","~~"),"*","~*"),"?","~?"))&gt;1,"!AMBIG",IFERROR(INDEX('Calculations'!$HF$13:$HF$512,MATCH('Calculations'!HR384,'Calculations'!$HE$13:$HE$512,0)),""))))</x:f>
      </x:c>
      <x:c r="HT384" t="str">
        <x:f>IF('Calculations'!HS384="","",IF('Calculations'!HS384="!AMBIG","!AMBIG",IF(COUNTIF('Calculations'!$HE$13:$HE$512,"="&amp;SUBSTITUTE(SUBSTITUTE(SUBSTITUTE('Calculations'!HS384,"~","~~"),"*","~*"),"?","~?"))&gt;1,"!AMBIG",IFERROR(INDEX('Calculations'!$HF$13:$HF$512,MATCH('Calculations'!HS384,'Calculations'!$HE$13:$HE$512,0)),""))))</x:f>
      </x:c>
      <x:c r="HU384" t="str">
        <x:f>IF('Calculations'!HT384="","",IF('Calculations'!HT384="!AMBIG","!AMBIG",IF(COUNTIF('Calculations'!$HE$13:$HE$512,"="&amp;SUBSTITUTE(SUBSTITUTE(SUBSTITUTE('Calculations'!HT384,"~","~~"),"*","~*"),"?","~?"))&gt;1,"!AMBIG",IFERROR(INDEX('Calculations'!$HF$13:$HF$512,MATCH('Calculations'!HT384,'Calculations'!$HE$13:$HE$512,0)),""))))</x:f>
      </x:c>
      <x:c r="HV384" t="str">
        <x:f>IF('Calculations'!HU384="","",IF('Calculations'!HU384="!AMBIG","!AMBIG",IF(COUNTIF('Calculations'!$HE$13:$HE$512,"="&amp;SUBSTITUTE(SUBSTITUTE(SUBSTITUTE('Calculations'!HU384,"~","~~"),"*","~*"),"?","~?"))&gt;1,"!AMBIG",IFERROR(INDEX('Calculations'!$HF$13:$HF$512,MATCH('Calculations'!HU384,'Calculations'!$HE$13:$HE$512,0)),""))))</x:f>
      </x:c>
      <x:c r="HW384" t="str">
        <x:f>IF('Calculations'!HV384="","",IF('Calculations'!HV384="!AMBIG","!AMBIG",IF(COUNTIF('Calculations'!$HE$13:$HE$512,"="&amp;SUBSTITUTE(SUBSTITUTE(SUBSTITUTE('Calculations'!HV384,"~","~~"),"*","~*"),"?","~?"))&gt;1,"!AMBIG",IFERROR(INDEX('Calculations'!$HF$13:$HF$512,MATCH('Calculations'!HV384,'Calculations'!$HE$13:$HE$512,0)),""))))</x:f>
      </x:c>
      <x:c r="HX384" t="str">
        <x:f>IF('Calculations'!HW384="","",IF('Calculations'!HW384="!AMBIG","!AMBIG",IF(COUNTIF('Calculations'!$HE$13:$HE$512,"="&amp;SUBSTITUTE(SUBSTITUTE(SUBSTITUTE('Calculations'!HW384,"~","~~"),"*","~*"),"?","~?"))&gt;1,"!AMBIG",IFERROR(INDEX('Calculations'!$HF$13:$HF$512,MATCH('Calculations'!HW384,'Calculations'!$HE$13:$HE$512,0)),""))))</x:f>
      </x:c>
      <x:c r="HY384" t="str">
        <x:f>IF('Calculations'!HX384="","",IF('Calculations'!HX384="!AMBIG","!AMBIG",IF(COUNTIF('Calculations'!$HE$13:$HE$512,"="&amp;SUBSTITUTE(SUBSTITUTE(SUBSTITUTE('Calculations'!HX384,"~","~~"),"*","~*"),"?","~?"))&gt;1,"!AMBIG",IFERROR(INDEX('Calculations'!$HF$13:$HF$512,MATCH('Calculations'!HX384,'Calculations'!$HE$13:$HE$512,0)),""))))</x:f>
      </x:c>
      <x:c r="HZ384" t="str">
        <x:f>IF('Calculations'!HY384="","",IF('Calculations'!HY384="!AMBIG","!AMBIG",IF(COUNTIF('Calculations'!$HE$13:$HE$512,"="&amp;SUBSTITUTE(SUBSTITUTE(SUBSTITUTE('Calculations'!HY384,"~","~~"),"*","~*"),"?","~?"))&gt;1,"!AMBIG",IFERROR(INDEX('Calculations'!$HF$13:$HF$512,MATCH('Calculations'!HY384,'Calculations'!$HE$13:$HE$512,0)),""))))</x:f>
      </x:c>
      <x:c r="IA384" t="str">
        <x:f>IF('Calculations'!HZ384="","",IF('Calculations'!HZ384="!AMBIG","!AMBIG",IF(COUNTIF('Calculations'!$HE$13:$HE$512,"="&amp;SUBSTITUTE(SUBSTITUTE(SUBSTITUTE('Calculations'!HZ384,"~","~~"),"*","~*"),"?","~?"))&gt;1,"!AMBIG",IFERROR(INDEX('Calculations'!$HF$13:$HF$512,MATCH('Calculations'!HZ384,'Calculations'!$HE$13:$HE$512,0)),""))))</x:f>
      </x:c>
      <x:c r="IB384" t="str">
        <x:f>IF('Calculations'!IA384="","",IF('Calculations'!IA384="!AMBIG","!AMBIG",IF(COUNTIF('Calculations'!$HE$13:$HE$512,"="&amp;SUBSTITUTE(SUBSTITUTE(SUBSTITUTE('Calculations'!IA384,"~","~~"),"*","~*"),"?","~?"))&gt;1,"!AMBIG",IFERROR(INDEX('Calculations'!$HF$13:$HF$512,MATCH('Calculations'!IA384,'Calculations'!$HE$13:$HE$512,0)),""))))</x:f>
      </x:c>
      <x:c r="IC384" t="str">
        <x:f>IF('Calculations'!IB384="","",IF('Calculations'!IB384="!AMBIG","!AMBIG",IF(COUNTIF('Calculations'!$HE$13:$HE$512,"="&amp;SUBSTITUTE(SUBSTITUTE(SUBSTITUTE('Calculations'!IB384,"~","~~"),"*","~*"),"?","~?"))&gt;1,"!AMBIG",IFERROR(INDEX('Calculations'!$HF$13:$HF$512,MATCH('Calculations'!IB384,'Calculations'!$HE$13:$HE$512,0)),""))))</x:f>
      </x:c>
      <x:c r="ID384" t="str">
        <x:f>IF('Calculations'!IC384="","",IF('Calculations'!IC384="!AMBIG","!AMBIG",IF(COUNTIF('Calculations'!$HE$13:$HE$512,"="&amp;SUBSTITUTE(SUBSTITUTE(SUBSTITUTE('Calculations'!IC384,"~","~~"),"*","~*"),"?","~?"))&gt;1,"!AMBIG",IFERROR(INDEX('Calculations'!$HF$13:$HF$512,MATCH('Calculations'!IC384,'Calculations'!$HE$13:$HE$512,0)),""))))</x:f>
      </x:c>
      <x:c r="IE384" t="str">
        <x:f>IF('Calculations'!ID384="","",IF('Calculations'!ID384="!AMBIG","!AMBIG",IF(COUNTIF('Calculations'!$HE$13:$HE$512,"="&amp;SUBSTITUTE(SUBSTITUTE(SUBSTITUTE('Calculations'!ID384,"~","~~"),"*","~*"),"?","~?"))&gt;1,"!AMBIG",IFERROR(INDEX('Calculations'!$HF$13:$HF$512,MATCH('Calculations'!ID384,'Calculations'!$HE$13:$HE$512,0)),""))))</x:f>
      </x:c>
      <x:c r="IF384" t="str">
        <x:f>IF('Calculations'!IE384="","",IF('Calculations'!IE384="!AMBIG","!AMBIG",IF(COUNTIF('Calculations'!$HE$13:$HE$512,"="&amp;SUBSTITUTE(SUBSTITUTE(SUBSTITUTE('Calculations'!IE384,"~","~~"),"*","~*"),"?","~?"))&gt;1,"!AMBIG",IFERROR(INDEX('Calculations'!$HF$13:$HF$512,MATCH('Calculations'!IE384,'Calculations'!$HE$13:$HE$512,0)),""))))</x:f>
      </x:c>
      <x:c r="IG384" t="str">
        <x:f>IF('Calculations'!IF384="","",IF('Calculations'!IF384="!AMBIG","!AMBIG",IF(COUNTIF('Calculations'!$HE$13:$HE$512,"="&amp;SUBSTITUTE(SUBSTITUTE(SUBSTITUTE('Calculations'!IF384,"~","~~"),"*","~*"),"?","~?"))&gt;1,"!AMBIG",IFERROR(INDEX('Calculations'!$HF$13:$HF$512,MATCH('Calculations'!IF384,'Calculations'!$HE$13:$HE$512,0)),""))))</x:f>
      </x:c>
      <x:c r="IH384" t="str">
        <x:f>IF('Calculations'!IG384="","",IF('Calculations'!IG384="!AMBIG","!AMBIG",IF(COUNTIF('Calculations'!$HE$13:$HE$512,"="&amp;SUBSTITUTE(SUBSTITUTE(SUBSTITUTE('Calculations'!IG384,"~","~~"),"*","~*"),"?","~?"))&gt;1,"!AMBIG",IFERROR(INDEX('Calculations'!$HF$13:$HF$512,MATCH('Calculations'!IG384,'Calculations'!$HE$13:$HE$512,0)),""))))</x:f>
      </x:c>
      <x:c r="II384" t="str">
        <x:f>IF('Calculations'!IH384="","",IF('Calculations'!IH384="!AMBIG","!AMBIG",IF(COUNTIF('Calculations'!$HE$13:$HE$512,"="&amp;SUBSTITUTE(SUBSTITUTE(SUBSTITUTE('Calculations'!IH384,"~","~~"),"*","~*"),"?","~?"))&gt;1,"!AMBIG",IFERROR(INDEX('Calculations'!$HF$13:$HF$512,MATCH('Calculations'!IH384,'Calculations'!$HE$13:$HE$512,0)),""))))</x:f>
      </x:c>
      <x:c r="IJ384" t="str">
        <x:f>IF('Calculations'!EM384="","",IF('Calculations'!$EF$2="All",'Calculations'!HM384,IF('Calculations'!HL384=1,"",IFERROR(IF(MATCH('Calculations'!$EF$2,'Calculations'!HO384:II384,0)=1,'Calculations'!HE384,INDEX('Calculations'!HO384:II384,1,MATCH('Calculations'!$EF$2,'Calculations'!HO384:II384,0)-1)),""))))</x:f>
      </x:c>
      <x:c r="IK384" t="n">
        <x:f>IF(AND('Calculations'!EM384&lt;&gt;"",'Calculations'!$EF$2&lt;&gt;"All",'Calculations'!HF384='Calculations'!$EF$2,'Calculations'!HL384=0,'Calculations'!JD384&gt;0),MAX('Calculations'!$IK$12:IK383)+1,0)</x:f>
        <x:v>0</x:v>
      </x:c>
      <x:c r="JA384" t="n">
        <x:f>IF(OR(IFERROR(INDIRECT("'WCM Calibration Final'!$A$384")&lt;&gt;"",FALSE),IFERROR(INDIRECT("'WCM Calibration Final'!$B$384")&lt;&gt;"",FALSE),IFERROR(INDIRECT("'WCM Calibration Final'!$C$384")&lt;&gt;"",FALSE)),384,0)</x:f>
        <x:v>0</x:v>
      </x:c>
      <x:c r="JB384" t="n">
        <x:f>'Calculations'!JB383+IF('Calculations'!JA384&gt;0,1,0)</x:f>
        <x:v>0</x:v>
      </x:c>
      <x:c r="JC384" t="n">
        <x:f>IF(OR('Calculations'!HF384="",'Calculations'!HF384="!AMBIG"),0,IF('Dashboard'!$B$7="All",1,COUNTIFS('Calculations'!$HO$13:$HO$512,"="&amp;SUBSTITUTE(SUBSTITUTE(SUBSTITUTE('Calculations'!HF384,"~","~~"),"*","~*"),"?","~?"),'Calculations'!$HN$13:$HN$512,"="&amp;SUBSTITUTE(SUBSTITUTE(SUBSTITUTE('Dashboard'!$B$7,"~","~~"),"*","~*"),"?","~?"))+COUNTIFS('Calculations'!$HP$13:$HP$512,"="&amp;SUBSTITUTE(SUBSTITUTE(SUBSTITUTE('Calculations'!HF384,"~","~~"),"*","~*"),"?","~?"),'Calculations'!$HN$13:$HN$512,"="&amp;SUBSTITUTE(SUBSTITUTE(SUBSTITUTE('Dashboard'!$B$7,"~","~~"),"*","~*"),"?","~?"))+COUNTIFS('Calculations'!$HQ$13:$HQ$512,"="&amp;SUBSTITUTE(SUBSTITUTE(SUBSTITUTE('Calculations'!HF384,"~","~~"),"*","~*"),"?","~?"),'Calculations'!$HN$13:$HN$512,"="&amp;SUBSTITUTE(SUBSTITUTE(SUBSTITUTE('Dashboard'!$B$7,"~","~~"),"*","~*"),"?","~?"))+COUNTIFS('Calculations'!$HR$13:$HR$512,"="&amp;SUBSTITUTE(SUBSTITUTE(SUBSTITUTE('Calculations'!HF384,"~","~~"),"*","~*"),"?","~?"),'Calculations'!$HN$13:$HN$512,"="&amp;SUBSTITUTE(SUBSTITUTE(SUBSTITUTE('Dashboard'!$B$7,"~","~~"),"*","~*"),"?","~?"))+COUNTIFS('Calculations'!$HS$13:$HS$512,"="&amp;SUBSTITUTE(SUBSTITUTE(SUBSTITUTE('Calculations'!HF384,"~","~~"),"*","~*"),"?","~?"),'Calculations'!$HN$13:$HN$512,"="&amp;SUBSTITUTE(SUBSTITUTE(SUBSTITUTE('Dashboard'!$B$7,"~","~~"),"*","~*"),"?","~?"))+COUNTIFS('Calculations'!$HT$13:$HT$512,"="&amp;SUBSTITUTE(SUBSTITUTE(SUBSTITUTE('Calculations'!HF384,"~","~~"),"*","~*"),"?","~?"),'Calculations'!$HN$13:$HN$512,"="&amp;SUBSTITUTE(SUBSTITUTE(SUBSTITUTE('Dashboard'!$B$7,"~","~~"),"*","~*"),"?","~?"))+COUNTIFS('Calculations'!$HU$13:$HU$512,"="&amp;SUBSTITUTE(SUBSTITUTE(SUBSTITUTE('Calculations'!HF384,"~","~~"),"*","~*"),"?","~?"),'Calculations'!$HN$13:$HN$512,"="&amp;SUBSTITUTE(SUBSTITUTE(SUBSTITUTE('Dashboard'!$B$7,"~","~~"),"*","~*"),"?","~?"))+COUNTIFS('Calculations'!$HV$13:$HV$512,"="&amp;SUBSTITUTE(SUBSTITUTE(SUBSTITUTE('Calculations'!HF384,"~","~~"),"*","~*"),"?","~?"),'Calculations'!$HN$13:$HN$512,"="&amp;SUBSTITUTE(SUBSTITUTE(SUBSTITUTE('Dashboard'!$B$7,"~","~~"),"*","~*"),"?","~?"))+COUNTIFS('Calculations'!$HW$13:$HW$512,"="&amp;SUBSTITUTE(SUBSTITUTE(SUBSTITUTE('Calculations'!HF384,"~","~~"),"*","~*"),"?","~?"),'Calculations'!$HN$13:$HN$512,"="&amp;SUBSTITUTE(SUBSTITUTE(SUBSTITUTE('Dashboard'!$B$7,"~","~~"),"*","~*"),"?","~?"))+COUNTIFS('Calculations'!$HX$13:$HX$512,"="&amp;SUBSTITUTE(SUBSTITUTE(SUBSTITUTE('Calculations'!HF384,"~","~~"),"*","~*"),"?","~?"),'Calculations'!$HN$13:$HN$512,"="&amp;SUBSTITUTE(SUBSTITUTE(SUBSTITUTE('Dashboard'!$B$7,"~","~~"),"*","~*"),"?","~?"))+COUNTIFS('Calculations'!$HY$13:$HY$512,"="&amp;SUBSTITUTE(SUBSTITUTE(SUBSTITUTE('Calculations'!HF384,"~","~~"),"*","~*"),"?","~?"),'Calculations'!$HN$13:$HN$512,"="&amp;SUBSTITUTE(SUBSTITUTE(SUBSTITUTE('Dashboard'!$B$7,"~","~~"),"*","~*"),"?","~?"))+COUNTIFS('Calculations'!$HZ$13:$HZ$512,"="&amp;SUBSTITUTE(SUBSTITUTE(SUBSTITUTE('Calculations'!HF384,"~","~~"),"*","~*"),"?","~?"),'Calculations'!$HN$13:$HN$512,"="&amp;SUBSTITUTE(SUBSTITUTE(SUBSTITUTE('Dashboard'!$B$7,"~","~~"),"*","~*"),"?","~?"))+COUNTIFS('Calculations'!$IA$13:$IA$512,"="&amp;SUBSTITUTE(SUBSTITUTE(SUBSTITUTE('Calculations'!HF384,"~","~~"),"*","~*"),"?","~?"),'Calculations'!$HN$13:$HN$512,"="&amp;SUBSTITUTE(SUBSTITUTE(SUBSTITUTE('Dashboard'!$B$7,"~","~~"),"*","~*"),"?","~?"))+COUNTIFS('Calculations'!$IB$13:$IB$512,"="&amp;SUBSTITUTE(SUBSTITUTE(SUBSTITUTE('Calculations'!HF384,"~","~~"),"*","~*"),"?","~?"),'Calculations'!$HN$13:$HN$512,"="&amp;SUBSTITUTE(SUBSTITUTE(SUBSTITUTE('Dashboard'!$B$7,"~","~~"),"*","~*"),"?","~?"))+COUNTIFS('Calculations'!$IC$13:$IC$512,"="&amp;SUBSTITUTE(SUBSTITUTE(SUBSTITUTE('Calculations'!HF384,"~","~~"),"*","~*"),"?","~?"),'Calculations'!$HN$13:$HN$512,"="&amp;SUBSTITUTE(SUBSTITUTE(SUBSTITUTE('Dashboard'!$B$7,"~","~~"),"*","~*"),"?","~?"))+COUNTIFS('Calculations'!$ID$13:$ID$512,"="&amp;SUBSTITUTE(SUBSTITUTE(SUBSTITUTE('Calculations'!HF384,"~","~~"),"*","~*"),"?","~?"),'Calculations'!$HN$13:$HN$512,"="&amp;SUBSTITUTE(SUBSTITUTE(SUBSTITUTE('Dashboard'!$B$7,"~","~~"),"*","~*"),"?","~?"))+COUNTIFS('Calculations'!$IE$13:$IE$512,"="&amp;SUBSTITUTE(SUBSTITUTE(SUBSTITUTE('Calculations'!HF384,"~","~~"),"*","~*"),"?","~?"),'Calculations'!$HN$13:$HN$512,"="&amp;SUBSTITUTE(SUBSTITUTE(SUBSTITUTE('Dashboard'!$B$7,"~","~~"),"*","~*"),"?","~?"))+COUNTIFS('Calculations'!$IF$13:$IF$512,"="&amp;SUBSTITUTE(SUBSTITUTE(SUBSTITUTE('Calculations'!HF384,"~","~~"),"*","~*"),"?","~?"),'Calculations'!$HN$13:$HN$512,"="&amp;SUBSTITUTE(SUBSTITUTE(SUBSTITUTE('Dashboard'!$B$7,"~","~~"),"*","~*"),"?","~?"))+COUNTIFS('Calculations'!$IG$13:$IG$512,"="&amp;SUBSTITUTE(SUBSTITUTE(SUBSTITUTE('Calculations'!HF384,"~","~~"),"*","~*"),"?","~?"),'Calculations'!$HN$13:$HN$512,"="&amp;SUBSTITUTE(SUBSTITUTE(SUBSTITUTE('Dashboard'!$B$7,"~","~~"),"*","~*"),"?","~?"))+COUNTIFS('Calculations'!$IH$13:$IH$512,"="&amp;SUBSTITUTE(SUBSTITUTE(SUBSTITUTE('Calculations'!HF384,"~","~~"),"*","~*"),"?","~?"),'Calculations'!$HN$13:$HN$512,"="&amp;SUBSTITUTE(SUBSTITUTE(SUBSTITUTE('Dashboard'!$B$7,"~","~~"),"*","~*"),"?","~?"))))</x:f>
        <x:v>0</x:v>
      </x:c>
      <x:c r="JD384" t="n">
        <x:f>IF('Calculations'!EM384="",0,IF('Dashboard'!$B$7="All",1,IF('Calculations'!HN384='Dashboard'!$B$7,1,0)+IFERROR(INDEX('Calculations'!$JC$13:$JC$512,MATCH('Calculations'!HE384,'Calculations'!$HF$13:$HF$512,0)),0)))</x:f>
        <x:v>0</x:v>
      </x:c>
      <x:c r="JE384" t="n">
        <x:f>IF(AND('Calculations'!EM384&lt;&gt;"",'Calculations'!$JJ$2&lt;&gt;"All",'Calculations'!$JJ$2&lt;&gt;"",'Calculations'!HF384='Calculations'!$JJ$2,'Calculations'!HL384=0,'Calculations'!JD384&gt;0),MAX('Calculations'!$JE$12:JE383)+1,0)</x:f>
        <x:v>0</x:v>
      </x:c>
      <x:c r="JF384" t="str">
        <x:f>IF('Calculations'!EM384="","",IFERROR(IF(INDEX(INDIRECT("'WCM Calibration Final'!$G$1:$G$2000"),'Calculations'!$EM384)="","",TRIM(INDEX(INDIRECT("'WCM Calibration Final'!$G$1:$G$2000"),'Calculations'!$EM384)&amp;"")),""))</x:f>
      </x:c>
      <x:c r="JQ384" t="n">
        <x:f>IF(OR('Calculations'!BM384=0,NOT('Calculations'!$AG$2),'Calculations'!$AG$8&gt;0),0,IF(OR('Dashboard'!$B$7="All",'Calculations'!HN384='Dashboard'!$B$7),IF('Calculations'!$JJ$2="All",1,IF(AND('Calculations'!HF384='Calculations'!$JJ$2,'Calculations'!HL384=0),1,0)),0))</x:f>
        <x:v>0</x:v>
      </x:c>
    </x:row>
    <x:row r="385">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t="n">
        <x:f>IF('Calculations'!$EM385="",0,IF(OR(IFERROR(INDEX(INDIRECT("'WCM Calibration Final'!$A$1:$A$2000"),'Calculations'!$EM385)&lt;&gt;"",FALSE),IFERROR(INDEX(INDIRECT("'WCM Calibration Final'!$B$1:$B$2000"),'Calculations'!$EM385)&lt;&gt;"",FALSE),IFERROR(INDEX(INDIRECT("'WCM Calibration Final'!$C$1:$C$2000"),'Calculations'!$EM385)&lt;&gt;"",FALSE)),1,0))</x:f>
        <x:v>0</x:v>
      </x:c>
      <x:c r="BN385" s="4" t="n">
        <x:f>IF(AND('Calculations'!BM385=1,'Calculations'!$AG$2,'Calculations'!$EN385=1),1,0)</x:f>
        <x:v>0</x:v>
      </x:c>
      <x:c r="BO385" s="4" t="str">
        <x:f>IF('Calculations'!BM385=0,"",IFERROR(IF(AND(VALUE(INDEX(INDIRECT("'WCM Calibration Final'!$K$1:$K$2000"),'Calculations'!$EM385))&gt;=1,VALUE(INDEX(INDIRECT("'WCM Calibration Final'!$K$1:$K$2000"),'Calculations'!$EM385))&lt;=4,MOD(VALUE(INDEX(INDIRECT("'WCM Calibration Final'!$K$1:$K$2000"),'Calculations'!$EM385)),1)=0),VALUE(INDEX(INDIRECT("'WCM Calibration Final'!$K$1:$K$2000"),'Calculations'!$EM385)),""),""))</x:f>
      </x:c>
      <x:c r="BP385" s="4" t="str">
        <x:f>IF('Calculations'!BM385=0,"",IFERROR(IF(AND(VALUE(INDEX(INDIRECT("'WCM Calibration Final'!$L$1:$L$2000"),'Calculations'!$EM385))&gt;=1,VALUE(INDEX(INDIRECT("'WCM Calibration Final'!$L$1:$L$2000"),'Calculations'!$EM385))&lt;=4,MOD(VALUE(INDEX(INDIRECT("'WCM Calibration Final'!$L$1:$L$2000"),'Calculations'!$EM385)),1)=0),VALUE(INDEX(INDIRECT("'WCM Calibration Final'!$L$1:$L$2000"),'Calculations'!$EM385)),""),""))</x:f>
      </x:c>
      <x:c r="BQ385" s="4"/>
      <x:c r="BR385" s="4"/>
      <x:c r="BS385" s="4"/>
      <x:c r="BT385" s="4" t="n">
        <x:f>IF(AND('Calculations'!BM385=1,ISNUMBER('Calculations'!BO385),ISNUMBER('Calculations'!BP385)),1,0)</x:f>
        <x:v>0</x:v>
      </x:c>
      <x:c r="BU385" s="4" t="str">
        <x:f>IF('Calculations'!BM385=0,"",'Calculations'!$EO385)</x:f>
      </x:c>
      <x:c r="BV385" s="4" t="str">
        <x:f>IF('Calculations'!BM385=0,"",IFERROR(IF(OR(INDEX(INDIRECT("'WCM Calibration Final'!$H$1:$H$2000"),'Calculations'!$EM385)="MANAGING DIRECTOR",INDEX(INDIRECT("'WCM Calibration Final'!$H$1:$H$2000"),'Calculations'!$EM385)="DIRECTOR",INDEX(INDIRECT("'WCM Calibration Final'!$H$1:$H$2000"),'Calculations'!$EM385)="SENIOR VICE PRESIDENT",INDEX(INDIRECT("'WCM Calibration Final'!$H$1:$H$2000"),'Calculations'!$EM385)="VICE PRESIDENT",INDEX(INDIRECT("'WCM Calibration Final'!$H$1:$H$2000"),'Calculations'!$EM385)="ASSISTANT VICE PRESIDENT",INDEX(INDIRECT("'WCM Calibration Final'!$H$1:$H$2000"),'Calculations'!$EM385)="OFFICER"),UPPER(INDEX(INDIRECT("'WCM Calibration Final'!$H$1:$H$2000"),'Calculations'!$EM385)),"Other"),"Other"))</x:f>
      </x:c>
      <x:c r="BW385" s="4"/>
      <x:c r="BX385" s="4"/>
      <x:c r="BY385" s="4" t="n">
        <x:f>IF(AND('Calculations'!BM385=1,'Calculations'!BU385&lt;&gt;"",COUNTIF('Calculations'!$BU$12:BU385,'Calculations'!BU385)=1),MAX('Calculations'!$BY$11:BY384)+1,0)</x:f>
        <x:v>0</x:v>
      </x:c>
      <x:c r="BZ385" s="4" t="str">
        <x:f>IF('Dashboard'!$E$67="What",'Calculations'!BO385,'Calculations'!BP385)</x:f>
      </x:c>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t="str">
        <x:f>IF(374&gt;MAX('Calculations'!$HI$13:$HI$512),"",INDEX('Calculations'!$HN$13:$HN$512,MATCH(374,'Calculations'!$HI$13:$HI$512,0)))</x:f>
      </x:c>
      <x:c r="DB385" s="4" t="str">
        <x:f>IF(374&gt;MAX('Calculations'!$HH$13:$HH$512),"",INDEX('Calculations'!$HJ$13:$HJ$512,MATCH(374,'Calculations'!$HH$13:$HH$512,0)))</x:f>
      </x:c>
      <x:c r="DC385" s="4" t="str">
        <x:f>IF(ROW()-11&gt;MAX('Calculations'!$BY$13:$BY$512),"",INDEX('Calculations'!$BU$13:$BU$512,MATCH(ROW()-11,'Calculations'!$BY$13:$BY$512,0)))</x:f>
      </x:c>
      <x:c r="DD385" s="4" t="str">
        <x:f>IF(374&gt;MAX('Calculations'!$IK$13:$IK$512),"",INDEX('Calculations'!$HK$13:$HK$512,MATCH(374,'Calculations'!$IK$13:$IK$512,0)))</x:f>
      </x:c>
      <x:c r="DE385" s="4" t="str">
        <x:f>'Calculations'!DC385</x:f>
      </x:c>
      <x:c r="DF385" s="4" t="str">
        <x:f>IF('Calculations'!DE385="","",COUNTIFS('Calculations'!$BN$13:$BN$512,1,'Calculations'!$BU$13:$BU$512,'Calculations'!DE385))</x:f>
      </x:c>
      <x:c r="DG385" s="4" t="str">
        <x:f>IF('Calculations'!DE385="","",COUNTIFS('Calculations'!$BN$13:$BN$512,1,'Calculations'!$BU$13:$BU$512,'Calculations'!DE385,'Calculations'!$BT$13:$BT$512,1))</x:f>
      </x:c>
      <x:c r="DH385" s="4" t="str">
        <x:f>IF('Calculations'!DE385="","",'Calculations'!DF385-'Calculations'!DG385)</x:f>
      </x:c>
      <x:c r="DI385" s="4" t="str">
        <x:f>IF(OR('Calculations'!DE385="",'Calculations'!DF385=0),"",'Calculations'!DG385/'Calculations'!DF385)</x:f>
      </x:c>
      <x:c r="DJ385" s="4" t="str">
        <x:f>IF('Calculations'!DE385="","",COUNTIFS('Calculations'!$BN$13:$BN$512,1,'Calculations'!$BU$13:$BU$512,'Calculations'!DE385,'Calculations'!$BT$13:$BT$512,1,'Calculations'!$EE$13:$EE$512,"High"))</x:f>
      </x:c>
      <x:c r="DK385" s="4" t="str">
        <x:f>IF('Calculations'!DE385="","",COUNTIFS('Calculations'!$BN$13:$BN$512,1,'Calculations'!$BU$13:$BU$512,'Calculations'!DE385,'Calculations'!$BT$13:$BT$512,1,'Calculations'!$EE$13:$EE$512,"Strong"))</x:f>
      </x:c>
      <x:c r="DL385" s="4" t="str">
        <x:f>IF('Calculations'!DE385="","",COUNTIFS('Calculations'!$BN$13:$BN$512,1,'Calculations'!$BU$13:$BU$512,'Calculations'!DE385,'Calculations'!$BT$13:$BT$512,1,'Calculations'!$EE$13:$EE$512,"Solid"))</x:f>
      </x:c>
      <x:c r="DM385" s="4" t="str">
        <x:f>IF('Calculations'!DE385="","",COUNTIFS('Calculations'!$BN$13:$BN$512,1,'Calculations'!$BU$13:$BU$512,'Calculations'!DE385,'Calculations'!$BT$13:$BT$512,1,'Calculations'!$EE$13:$EE$512,"Low"))</x:f>
      </x:c>
      <x:c r="DN385" s="4" t="str">
        <x:f>IF('Calculations'!DE385="","",COUNTIFS('Calculations'!$BN$13:$BN$512,1,'Calculations'!$BU$13:$BU$512,'Calculations'!DE385,'Calculations'!$EP$13:$EP$512,1))</x:f>
      </x:c>
      <x:c r="DO385" s="4" t="str">
        <x:f>IF(OR('Calculations'!DE385="",'Calculations'!DG385=0),"",('Calculations'!DJ385+'Calculations'!DK385)/'Calculations'!DG385)</x:f>
      </x:c>
      <x:c r="DP385" s="4" t="n">
        <x:f>IF(AND('Calculations'!DE385&lt;&gt;"",'Calculations'!DF385&gt;0),COUNTIF('Calculations'!$DF$12:DF385,"&gt;0"),0)</x:f>
        <x:v>0</x:v>
      </x:c>
      <x:c r="DQ385" s="4" t="str">
        <x:f>IF(374&gt;MAX('Calculations'!$HH$13:$HH$512),"",INDEX('Calculations'!$HF$13:$HF$512,MATCH(374,'Calculations'!$HH$13:$HH$512,0)))</x:f>
      </x:c>
      <x:c r="DR385" s="4" t="str">
        <x:f>IF(374&gt;MAX('Calculations'!$IK$13:$IK$512),"",INDEX('Calculations'!$HE$13:$HE$512,MATCH(374,'Calculations'!$IK$13:$IK$512,0)))</x:f>
      </x:c>
      <x:c r="DS385" s="4"/>
      <x:c r="DT385" s="4"/>
      <x:c r="DU385" s="4"/>
      <x:c r="DV385" s="4"/>
      <x:c r="DW385" s="4"/>
      <x:c r="DX385" s="4"/>
      <x:c r="DY385" s="4"/>
      <x:c r="DZ385" s="4"/>
      <x:c r="EA385" s="4"/>
      <x:c r="EB385" s="4"/>
      <x:c r="EC385" s="4"/>
      <x:c r="ED385" s="4"/>
      <x:c r="EE385" s="4" t="str">
        <x:f>IF('Calculations'!BT385=0,"Not Rated",IF(OR('Calculations'!BO385&gt;=4,'Calculations'!BP385&gt;=4),"Low",IF('Calculations'!BO385+'Calculations'!BP385&lt;=3,"High",IF('Calculations'!BO385+'Calculations'!BP385&lt;=4,"Strong","Solid"))))</x:f>
        <x:v>Not Rated</x:v>
      </x:c>
      <x:c r="EF385" s="4"/>
      <x:c r="EG385" s="4"/>
      <x:c r="EH385" s="4"/>
      <x:c r="EI385" s="4"/>
      <x:c r="EJ385" s="4"/>
      <x:c r="EK385" s="4"/>
      <x:c r="EL385" s="4"/>
      <x:c r="EM385" s="4" t="str">
        <x:f>IF(373&gt;'Calculations'!$JB$2000,"",INDEX('Calculations'!$JA$12:$JA$2000,MATCH(373,'Calculations'!$JB$12:$JB$2000,0)))</x:f>
      </x:c>
      <x:c r="EN385" s="4" t="n">
        <x:f>IF(OR('Calculations'!EM385="",'Calculations'!$AG$8&gt;0,AND('Calculations'!$EF$2&lt;&gt;"All",'Calculations'!HE385='Calculations'!$EF$2),AND('Calculations'!$EF$3&lt;&gt;"All",'Calculations'!HE385='Calculations'!$EF$3)),0,IF(OR('Dashboard'!$B$7="All",'Calculations'!HN385='Dashboard'!$B$7),IF('Calculations'!$EF$2="All",1,IF('Calculations'!HL385&gt;0,0,IF(COUNTIF('Calculations'!HO385:II385,"="&amp;SUBSTITUTE(SUBSTITUTE(SUBSTITUTE('Calculations'!$EF$2,"~","~~"),"*","~*"),"?","~?"))=0,0,IF('Calculations'!$EF$3="All",1,IF(COUNTIF('Calculations'!HO385:II385,"="&amp;SUBSTITUTE(SUBSTITUTE(SUBSTITUTE('Calculations'!$EF$3,"~","~~"),"*","~*"),"?","~?"))&gt;0,1,0))))),0))</x:f>
        <x:v>0</x:v>
      </x:c>
      <x:c r="EO385" s="4" t="str">
        <x:f>IF('Calculations'!IJ385="","",IF('Calculations'!IJ385="!UNRESOLVED","Unresolved hierarchy",IFERROR(INDEX('Calculations'!$HK$13:$HK$512,MATCH('Calculations'!IJ385,'Calculations'!$HE$13:$HE$512,0)),IFERROR(INDEX('Calculations'!$HJ$13:$HJ$512,MATCH('Calculations'!IJ385,'Calculations'!$HF$13:$HF$512,0)),'Calculations'!IJ385))))</x:f>
      </x:c>
      <x:c r="EP385" s="4" t="n">
        <x:f>IF(AND('Calculations'!EM385&lt;&gt;"",'Calculations'!HF385='Calculations'!IJ385),1,0)</x:f>
        <x:v>0</x:v>
      </x:c>
      <x:c r="EQ385" s="4"/>
      <x:c r="ER385" s="4"/>
      <x:c r="ES385" s="4"/>
      <x:c r="ET385" s="4"/>
      <x:c r="EU385" s="4"/>
      <x:c r="EV385" s="4"/>
      <x:c r="EW385" s="4"/>
      <x:c r="EX385" s="4"/>
      <x:c r="EY385" s="4"/>
      <x:c r="EZ385" s="4"/>
      <x:c r="FA385" s="4"/>
      <x:c r="FB385" s="4"/>
      <x:c r="FC385" s="4"/>
      <x:c r="FD385" s="4"/>
      <x:c r="FE385" s="4"/>
      <x:c r="FF385" s="4"/>
      <x:c r="FG385" s="4"/>
      <x:c r="FH385" s="4"/>
      <x:c r="FI385" s="4"/>
      <x:c r="FJ385" s="4"/>
      <x:c r="FK385" s="4"/>
      <x:c r="FL385" s="4"/>
      <x:c r="FM385" s="4"/>
      <x:c r="FN385" s="4"/>
      <x:c r="FO385" s="4"/>
      <x:c r="HE385" t="str">
        <x:f>IF('Calculations'!EM385="","",IF(IFERROR(IF(INDEX(INDIRECT("'WCM Calibration Final'!$A$1:$A$2000"),'Calculations'!$EM385)="","",TRIM(INDEX(INDIRECT("'WCM Calibration Final'!$A$1:$A$2000"),'Calculations'!$EM385)&amp;"")),"")&lt;&gt;"","G:"&amp;IFERROR(TEXT(1*INDEX(INDIRECT("'WCM Calibration Final'!$A$1:$A$2000"),'Calculations'!$EM385),"0"),UPPER(IFERROR(IF(INDEX(INDIRECT("'WCM Calibration Final'!$A$1:$A$2000"),'Calculations'!$EM385)="","",TRIM(INDEX(INDIRECT("'WCM Calibration Final'!$A$1:$A$2000"),'Calculations'!$EM385)&amp;"")),""))),IF(IFERROR(IF(INDEX(INDIRECT("'WCM Calibration Final'!$C$1:$C$2000"),'Calculations'!$EM385)="","",TRIM(INDEX(INDIRECT("'WCM Calibration Final'!$C$1:$C$2000"),'Calculations'!$EM385)&amp;"")),"")&lt;&gt;"","S:"&amp;UPPER(IFERROR(IF(INDEX(INDIRECT("'WCM Calibration Final'!$C$1:$C$2000"),'Calculations'!$EM385)="","",TRIM(INDEX(INDIRECT("'WCM Calibration Final'!$C$1:$C$2000"),'Calculations'!$EM385)&amp;"")),"")),"R:"&amp;'Calculations'!EM385)))</x:f>
      </x:c>
      <x:c r="HF385" t="str">
        <x:f>IF('Calculations'!EM385="","",IF(IFERROR(IF(INDEX(INDIRECT("'WCM Calibration Final'!$D$1:$D$2000"),'Calculations'!$EM385)="","",TRIM(INDEX(INDIRECT("'WCM Calibration Final'!$D$1:$D$2000"),'Calculations'!$EM385)&amp;"")),"")&lt;&gt;"","G:"&amp;IFERROR(TEXT(1*INDEX(INDIRECT("'WCM Calibration Final'!$D$1:$D$2000"),'Calculations'!$EM385),"0"),UPPER(IFERROR(IF(INDEX(INDIRECT("'WCM Calibration Final'!$D$1:$D$2000"),'Calculations'!$EM385)="","",TRIM(INDEX(INDIRECT("'WCM Calibration Final'!$D$1:$D$2000"),'Calculations'!$EM385)&amp;"")),""))),IF(IFERROR(IF(INDEX(INDIRECT("'WCM Calibration Final'!$E$1:$E$2000"),'Calculations'!$EM385)="","",TRIM(INDEX(INDIRECT("'WCM Calibration Final'!$E$1:$E$2000"),'Calculations'!$EM385)&amp;"")),"")="","",IF(COUNTIF('Calculations'!$HG$13:$HG$512,"="&amp;SUBSTITUTE(SUBSTITUTE(SUBSTITUTE(IFERROR(IF(INDEX(INDIRECT("'WCM Calibration Final'!$E$1:$E$2000"),'Calculations'!$EM385)="","",TRIM(INDEX(INDIRECT("'WCM Calibration Final'!$E$1:$E$2000"),'Calculations'!$EM385)&amp;"")),""),"~","~~"),"*","~*"),"?","~?"))=1,INDEX('Calculations'!$HE$13:$HE$512,MATCH(IFERROR(IF(INDEX(INDIRECT("'WCM Calibration Final'!$E$1:$E$2000"),'Calculations'!$EM385)="","",TRIM(INDEX(INDIRECT("'WCM Calibration Final'!$E$1:$E$2000"),'Calculations'!$EM385)&amp;"")),""),'Calculations'!$HG$13:$HG$512,0)),IF(COUNTIF('Calculations'!$HG$13:$HG$512,"="&amp;SUBSTITUTE(SUBSTITUTE(SUBSTITUTE(IFERROR(IF(INDEX(INDIRECT("'WCM Calibration Final'!$E$1:$E$2000"),'Calculations'!$EM385)="","",TRIM(INDEX(INDIRECT("'WCM Calibration Final'!$E$1:$E$2000"),'Calculations'!$EM385)&amp;"")),""),"~","~~"),"*","~*"),"?","~?"))&gt;1,"!AMBIG","X:"&amp;IFERROR(IF(INDEX(INDIRECT("'WCM Calibration Final'!$E$1:$E$2000"),'Calculations'!$EM385)="","",TRIM(INDEX(INDIRECT("'WCM Calibration Final'!$E$1:$E$2000"),'Calculations'!$EM385)&amp;"")),""))))))</x:f>
      </x:c>
      <x:c r="HG385" t="str">
        <x:f>IF('Calculations'!EM385="","",IFERROR(IF(INDEX(INDIRECT("'WCM Calibration Final'!$B$1:$B$2000"),'Calculations'!$EM385)="","",TRIM(INDEX(INDIRECT("'WCM Calibration Final'!$B$1:$B$2000"),'Calculations'!$EM385)&amp;"")),""))</x:f>
      </x:c>
      <x:c r="HH385" t="n">
        <x:f>IF(AND('Calculations'!JC385&gt;0,COUNTIF('Calculations'!$HF$12:HF385,"="&amp;SUBSTITUTE(SUBSTITUTE(SUBSTITUTE('Calculations'!HF385,"~","~~"),"*","~*"),"?","~?"))=1),MAX('Calculations'!$HH$12:HH384)+1,0)</x:f>
        <x:v>0</x:v>
      </x:c>
      <x:c r="HI385" t="n">
        <x:f>IF(AND('Calculations'!HN385&lt;&gt;"",COUNTIF('Calculations'!$HN$12:HN385,"="&amp;SUBSTITUTE(SUBSTITUTE(SUBSTITUTE('Calculations'!HN385,"~","~~"),"*","~*"),"?","~?"))=1),MAX('Calculations'!$HI$12:HI384)+1,0)</x:f>
        <x:v>0</x:v>
      </x:c>
      <x:c r="HJ385" t="str">
        <x:f>IF('Calculations'!HF385="","",IF(COUNTIF('Calculations'!$HE$13:$HE$512,"="&amp;SUBSTITUTE(SUBSTITUTE(SUBSTITUTE('Calculations'!HF385,"~","~~"),"*","~*"),"?","~?"))=1,INDEX('Calculations'!$HK$13:$HK$512,MATCH('Calculations'!HF385,'Calculations'!$HE$13:$HE$512,0)),IFERROR(IF(INDEX(INDIRECT("'WCM Calibration Final'!$E$1:$E$2000"),'Calculations'!$EM385)="","",TRIM(INDEX(INDIRECT("'WCM Calibration Final'!$E$1:$E$2000"),'Calculations'!$EM385)&amp;"")),"")&amp;" ["&amp;'Calculations'!HF385&amp;"]"))</x:f>
      </x:c>
      <x:c r="HK385" t="str">
        <x:f>IF('Calculations'!EM385="","",'Calculations'!HG385&amp;" ["&amp;'Calculations'!HE385&amp;"]")</x:f>
      </x:c>
      <x:c r="HL385" t="n">
        <x:f>IF('Calculations'!EM385="",0,IF(OR('Calculations'!II385&lt;&gt;"",COUNTIF('Calculations'!$HE$13:$HE$512,"="&amp;SUBSTITUTE(SUBSTITUTE(SUBSTITUTE('Calculations'!HE385,"~","~~"),"*","~*"),"?","~?"))&gt;1),1,0))</x:f>
        <x:v>0</x:v>
      </x:c>
      <x:c r="HM385" t="str">
        <x:f>IF('Calculations'!EM385="","",IF('Calculations'!HL385=1,"!UNRESOLVED",IF('Calculations'!IH385&lt;&gt;"",'Calculations'!IH385,IF('Calculations'!IG385&lt;&gt;"",'Calculations'!IG385,IF('Calculations'!IF385&lt;&gt;"",'Calculations'!IF385,IF('Calculations'!IE385&lt;&gt;"",'Calculations'!IE385,IF('Calculations'!ID385&lt;&gt;"",'Calculations'!ID385,IF('Calculations'!IC385&lt;&gt;"",'Calculations'!IC385,IF('Calculations'!IB385&lt;&gt;"",'Calculations'!IB385,IF('Calculations'!IA385&lt;&gt;"",'Calculations'!IA385,IF('Calculations'!HZ385&lt;&gt;"",'Calculations'!HZ385,IF('Calculations'!HY385&lt;&gt;"",'Calculations'!HY385,IF('Calculations'!HX385&lt;&gt;"",'Calculations'!HX385,IF('Calculations'!HW385&lt;&gt;"",'Calculations'!HW385,IF('Calculations'!HV385&lt;&gt;"",'Calculations'!HV385,IF('Calculations'!HU385&lt;&gt;"",'Calculations'!HU385,IF('Calculations'!HT385&lt;&gt;"",'Calculations'!HT385,IF('Calculations'!HS385&lt;&gt;"",'Calculations'!HS385,IF('Calculations'!HR385&lt;&gt;"",'Calculations'!HR385,IF('Calculations'!HQ385&lt;&gt;"",'Calculations'!HQ385,IF('Calculations'!HP385&lt;&gt;"",'Calculations'!HP385,IF('Calculations'!HO385&lt;&gt;"",'Calculations'!HO385,'Calculations'!HE385))))))))))))))))))))))</x:f>
      </x:c>
      <x:c r="HN385" t="str">
        <x:f>IF('Calculations'!EM385="","",IF(IFERROR(IF(INDEX(INDIRECT("'WCM Calibration Final'!$F$1:$F$2000"),'Calculations'!$EM385)="","",TRIM(INDEX(INDIRECT("'WCM Calibration Final'!$F$1:$F$2000"),'Calculations'!$EM385)&amp;"")),"")="","(Blank)",IFERROR(IF(INDEX(INDIRECT("'WCM Calibration Final'!$F$1:$F$2000"),'Calculations'!$EM385)="","",TRIM(INDEX(INDIRECT("'WCM Calibration Final'!$F$1:$F$2000"),'Calculations'!$EM385)&amp;"")),"")))</x:f>
      </x:c>
      <x:c r="HO385" t="str">
        <x:f>'Calculations'!HF385</x:f>
      </x:c>
      <x:c r="HP385" t="str">
        <x:f>IF('Calculations'!HO385="","",IF('Calculations'!HO385="!AMBIG","!AMBIG",IF(COUNTIF('Calculations'!$HE$13:$HE$512,"="&amp;SUBSTITUTE(SUBSTITUTE(SUBSTITUTE('Calculations'!HO385,"~","~~"),"*","~*"),"?","~?"))&gt;1,"!AMBIG",IFERROR(INDEX('Calculations'!$HF$13:$HF$512,MATCH('Calculations'!HO385,'Calculations'!$HE$13:$HE$512,0)),""))))</x:f>
      </x:c>
      <x:c r="HQ385" t="str">
        <x:f>IF('Calculations'!HP385="","",IF('Calculations'!HP385="!AMBIG","!AMBIG",IF(COUNTIF('Calculations'!$HE$13:$HE$512,"="&amp;SUBSTITUTE(SUBSTITUTE(SUBSTITUTE('Calculations'!HP385,"~","~~"),"*","~*"),"?","~?"))&gt;1,"!AMBIG",IFERROR(INDEX('Calculations'!$HF$13:$HF$512,MATCH('Calculations'!HP385,'Calculations'!$HE$13:$HE$512,0)),""))))</x:f>
      </x:c>
      <x:c r="HR385" t="str">
        <x:f>IF('Calculations'!HQ385="","",IF('Calculations'!HQ385="!AMBIG","!AMBIG",IF(COUNTIF('Calculations'!$HE$13:$HE$512,"="&amp;SUBSTITUTE(SUBSTITUTE(SUBSTITUTE('Calculations'!HQ385,"~","~~"),"*","~*"),"?","~?"))&gt;1,"!AMBIG",IFERROR(INDEX('Calculations'!$HF$13:$HF$512,MATCH('Calculations'!HQ385,'Calculations'!$HE$13:$HE$512,0)),""))))</x:f>
      </x:c>
      <x:c r="HS385" t="str">
        <x:f>IF('Calculations'!HR385="","",IF('Calculations'!HR385="!AMBIG","!AMBIG",IF(COUNTIF('Calculations'!$HE$13:$HE$512,"="&amp;SUBSTITUTE(SUBSTITUTE(SUBSTITUTE('Calculations'!HR385,"~","~~"),"*","~*"),"?","~?"))&gt;1,"!AMBIG",IFERROR(INDEX('Calculations'!$HF$13:$HF$512,MATCH('Calculations'!HR385,'Calculations'!$HE$13:$HE$512,0)),""))))</x:f>
      </x:c>
      <x:c r="HT385" t="str">
        <x:f>IF('Calculations'!HS385="","",IF('Calculations'!HS385="!AMBIG","!AMBIG",IF(COUNTIF('Calculations'!$HE$13:$HE$512,"="&amp;SUBSTITUTE(SUBSTITUTE(SUBSTITUTE('Calculations'!HS385,"~","~~"),"*","~*"),"?","~?"))&gt;1,"!AMBIG",IFERROR(INDEX('Calculations'!$HF$13:$HF$512,MATCH('Calculations'!HS385,'Calculations'!$HE$13:$HE$512,0)),""))))</x:f>
      </x:c>
      <x:c r="HU385" t="str">
        <x:f>IF('Calculations'!HT385="","",IF('Calculations'!HT385="!AMBIG","!AMBIG",IF(COUNTIF('Calculations'!$HE$13:$HE$512,"="&amp;SUBSTITUTE(SUBSTITUTE(SUBSTITUTE('Calculations'!HT385,"~","~~"),"*","~*"),"?","~?"))&gt;1,"!AMBIG",IFERROR(INDEX('Calculations'!$HF$13:$HF$512,MATCH('Calculations'!HT385,'Calculations'!$HE$13:$HE$512,0)),""))))</x:f>
      </x:c>
      <x:c r="HV385" t="str">
        <x:f>IF('Calculations'!HU385="","",IF('Calculations'!HU385="!AMBIG","!AMBIG",IF(COUNTIF('Calculations'!$HE$13:$HE$512,"="&amp;SUBSTITUTE(SUBSTITUTE(SUBSTITUTE('Calculations'!HU385,"~","~~"),"*","~*"),"?","~?"))&gt;1,"!AMBIG",IFERROR(INDEX('Calculations'!$HF$13:$HF$512,MATCH('Calculations'!HU385,'Calculations'!$HE$13:$HE$512,0)),""))))</x:f>
      </x:c>
      <x:c r="HW385" t="str">
        <x:f>IF('Calculations'!HV385="","",IF('Calculations'!HV385="!AMBIG","!AMBIG",IF(COUNTIF('Calculations'!$HE$13:$HE$512,"="&amp;SUBSTITUTE(SUBSTITUTE(SUBSTITUTE('Calculations'!HV385,"~","~~"),"*","~*"),"?","~?"))&gt;1,"!AMBIG",IFERROR(INDEX('Calculations'!$HF$13:$HF$512,MATCH('Calculations'!HV385,'Calculations'!$HE$13:$HE$512,0)),""))))</x:f>
      </x:c>
      <x:c r="HX385" t="str">
        <x:f>IF('Calculations'!HW385="","",IF('Calculations'!HW385="!AMBIG","!AMBIG",IF(COUNTIF('Calculations'!$HE$13:$HE$512,"="&amp;SUBSTITUTE(SUBSTITUTE(SUBSTITUTE('Calculations'!HW385,"~","~~"),"*","~*"),"?","~?"))&gt;1,"!AMBIG",IFERROR(INDEX('Calculations'!$HF$13:$HF$512,MATCH('Calculations'!HW385,'Calculations'!$HE$13:$HE$512,0)),""))))</x:f>
      </x:c>
      <x:c r="HY385" t="str">
        <x:f>IF('Calculations'!HX385="","",IF('Calculations'!HX385="!AMBIG","!AMBIG",IF(COUNTIF('Calculations'!$HE$13:$HE$512,"="&amp;SUBSTITUTE(SUBSTITUTE(SUBSTITUTE('Calculations'!HX385,"~","~~"),"*","~*"),"?","~?"))&gt;1,"!AMBIG",IFERROR(INDEX('Calculations'!$HF$13:$HF$512,MATCH('Calculations'!HX385,'Calculations'!$HE$13:$HE$512,0)),""))))</x:f>
      </x:c>
      <x:c r="HZ385" t="str">
        <x:f>IF('Calculations'!HY385="","",IF('Calculations'!HY385="!AMBIG","!AMBIG",IF(COUNTIF('Calculations'!$HE$13:$HE$512,"="&amp;SUBSTITUTE(SUBSTITUTE(SUBSTITUTE('Calculations'!HY385,"~","~~"),"*","~*"),"?","~?"))&gt;1,"!AMBIG",IFERROR(INDEX('Calculations'!$HF$13:$HF$512,MATCH('Calculations'!HY385,'Calculations'!$HE$13:$HE$512,0)),""))))</x:f>
      </x:c>
      <x:c r="IA385" t="str">
        <x:f>IF('Calculations'!HZ385="","",IF('Calculations'!HZ385="!AMBIG","!AMBIG",IF(COUNTIF('Calculations'!$HE$13:$HE$512,"="&amp;SUBSTITUTE(SUBSTITUTE(SUBSTITUTE('Calculations'!HZ385,"~","~~"),"*","~*"),"?","~?"))&gt;1,"!AMBIG",IFERROR(INDEX('Calculations'!$HF$13:$HF$512,MATCH('Calculations'!HZ385,'Calculations'!$HE$13:$HE$512,0)),""))))</x:f>
      </x:c>
      <x:c r="IB385" t="str">
        <x:f>IF('Calculations'!IA385="","",IF('Calculations'!IA385="!AMBIG","!AMBIG",IF(COUNTIF('Calculations'!$HE$13:$HE$512,"="&amp;SUBSTITUTE(SUBSTITUTE(SUBSTITUTE('Calculations'!IA385,"~","~~"),"*","~*"),"?","~?"))&gt;1,"!AMBIG",IFERROR(INDEX('Calculations'!$HF$13:$HF$512,MATCH('Calculations'!IA385,'Calculations'!$HE$13:$HE$512,0)),""))))</x:f>
      </x:c>
      <x:c r="IC385" t="str">
        <x:f>IF('Calculations'!IB385="","",IF('Calculations'!IB385="!AMBIG","!AMBIG",IF(COUNTIF('Calculations'!$HE$13:$HE$512,"="&amp;SUBSTITUTE(SUBSTITUTE(SUBSTITUTE('Calculations'!IB385,"~","~~"),"*","~*"),"?","~?"))&gt;1,"!AMBIG",IFERROR(INDEX('Calculations'!$HF$13:$HF$512,MATCH('Calculations'!IB385,'Calculations'!$HE$13:$HE$512,0)),""))))</x:f>
      </x:c>
      <x:c r="ID385" t="str">
        <x:f>IF('Calculations'!IC385="","",IF('Calculations'!IC385="!AMBIG","!AMBIG",IF(COUNTIF('Calculations'!$HE$13:$HE$512,"="&amp;SUBSTITUTE(SUBSTITUTE(SUBSTITUTE('Calculations'!IC385,"~","~~"),"*","~*"),"?","~?"))&gt;1,"!AMBIG",IFERROR(INDEX('Calculations'!$HF$13:$HF$512,MATCH('Calculations'!IC385,'Calculations'!$HE$13:$HE$512,0)),""))))</x:f>
      </x:c>
      <x:c r="IE385" t="str">
        <x:f>IF('Calculations'!ID385="","",IF('Calculations'!ID385="!AMBIG","!AMBIG",IF(COUNTIF('Calculations'!$HE$13:$HE$512,"="&amp;SUBSTITUTE(SUBSTITUTE(SUBSTITUTE('Calculations'!ID385,"~","~~"),"*","~*"),"?","~?"))&gt;1,"!AMBIG",IFERROR(INDEX('Calculations'!$HF$13:$HF$512,MATCH('Calculations'!ID385,'Calculations'!$HE$13:$HE$512,0)),""))))</x:f>
      </x:c>
      <x:c r="IF385" t="str">
        <x:f>IF('Calculations'!IE385="","",IF('Calculations'!IE385="!AMBIG","!AMBIG",IF(COUNTIF('Calculations'!$HE$13:$HE$512,"="&amp;SUBSTITUTE(SUBSTITUTE(SUBSTITUTE('Calculations'!IE385,"~","~~"),"*","~*"),"?","~?"))&gt;1,"!AMBIG",IFERROR(INDEX('Calculations'!$HF$13:$HF$512,MATCH('Calculations'!IE385,'Calculations'!$HE$13:$HE$512,0)),""))))</x:f>
      </x:c>
      <x:c r="IG385" t="str">
        <x:f>IF('Calculations'!IF385="","",IF('Calculations'!IF385="!AMBIG","!AMBIG",IF(COUNTIF('Calculations'!$HE$13:$HE$512,"="&amp;SUBSTITUTE(SUBSTITUTE(SUBSTITUTE('Calculations'!IF385,"~","~~"),"*","~*"),"?","~?"))&gt;1,"!AMBIG",IFERROR(INDEX('Calculations'!$HF$13:$HF$512,MATCH('Calculations'!IF385,'Calculations'!$HE$13:$HE$512,0)),""))))</x:f>
      </x:c>
      <x:c r="IH385" t="str">
        <x:f>IF('Calculations'!IG385="","",IF('Calculations'!IG385="!AMBIG","!AMBIG",IF(COUNTIF('Calculations'!$HE$13:$HE$512,"="&amp;SUBSTITUTE(SUBSTITUTE(SUBSTITUTE('Calculations'!IG385,"~","~~"),"*","~*"),"?","~?"))&gt;1,"!AMBIG",IFERROR(INDEX('Calculations'!$HF$13:$HF$512,MATCH('Calculations'!IG385,'Calculations'!$HE$13:$HE$512,0)),""))))</x:f>
      </x:c>
      <x:c r="II385" t="str">
        <x:f>IF('Calculations'!IH385="","",IF('Calculations'!IH385="!AMBIG","!AMBIG",IF(COUNTIF('Calculations'!$HE$13:$HE$512,"="&amp;SUBSTITUTE(SUBSTITUTE(SUBSTITUTE('Calculations'!IH385,"~","~~"),"*","~*"),"?","~?"))&gt;1,"!AMBIG",IFERROR(INDEX('Calculations'!$HF$13:$HF$512,MATCH('Calculations'!IH385,'Calculations'!$HE$13:$HE$512,0)),""))))</x:f>
      </x:c>
      <x:c r="IJ385" t="str">
        <x:f>IF('Calculations'!EM385="","",IF('Calculations'!$EF$2="All",'Calculations'!HM385,IF('Calculations'!HL385=1,"",IFERROR(IF(MATCH('Calculations'!$EF$2,'Calculations'!HO385:II385,0)=1,'Calculations'!HE385,INDEX('Calculations'!HO385:II385,1,MATCH('Calculations'!$EF$2,'Calculations'!HO385:II385,0)-1)),""))))</x:f>
      </x:c>
      <x:c r="IK385" t="n">
        <x:f>IF(AND('Calculations'!EM385&lt;&gt;"",'Calculations'!$EF$2&lt;&gt;"All",'Calculations'!HF385='Calculations'!$EF$2,'Calculations'!HL385=0,'Calculations'!JD385&gt;0),MAX('Calculations'!$IK$12:IK384)+1,0)</x:f>
        <x:v>0</x:v>
      </x:c>
      <x:c r="JA385" t="n">
        <x:f>IF(OR(IFERROR(INDIRECT("'WCM Calibration Final'!$A$385")&lt;&gt;"",FALSE),IFERROR(INDIRECT("'WCM Calibration Final'!$B$385")&lt;&gt;"",FALSE),IFERROR(INDIRECT("'WCM Calibration Final'!$C$385")&lt;&gt;"",FALSE)),385,0)</x:f>
        <x:v>0</x:v>
      </x:c>
      <x:c r="JB385" t="n">
        <x:f>'Calculations'!JB384+IF('Calculations'!JA385&gt;0,1,0)</x:f>
        <x:v>0</x:v>
      </x:c>
      <x:c r="JC385" t="n">
        <x:f>IF(OR('Calculations'!HF385="",'Calculations'!HF385="!AMBIG"),0,IF('Dashboard'!$B$7="All",1,COUNTIFS('Calculations'!$HO$13:$HO$512,"="&amp;SUBSTITUTE(SUBSTITUTE(SUBSTITUTE('Calculations'!HF385,"~","~~"),"*","~*"),"?","~?"),'Calculations'!$HN$13:$HN$512,"="&amp;SUBSTITUTE(SUBSTITUTE(SUBSTITUTE('Dashboard'!$B$7,"~","~~"),"*","~*"),"?","~?"))+COUNTIFS('Calculations'!$HP$13:$HP$512,"="&amp;SUBSTITUTE(SUBSTITUTE(SUBSTITUTE('Calculations'!HF385,"~","~~"),"*","~*"),"?","~?"),'Calculations'!$HN$13:$HN$512,"="&amp;SUBSTITUTE(SUBSTITUTE(SUBSTITUTE('Dashboard'!$B$7,"~","~~"),"*","~*"),"?","~?"))+COUNTIFS('Calculations'!$HQ$13:$HQ$512,"="&amp;SUBSTITUTE(SUBSTITUTE(SUBSTITUTE('Calculations'!HF385,"~","~~"),"*","~*"),"?","~?"),'Calculations'!$HN$13:$HN$512,"="&amp;SUBSTITUTE(SUBSTITUTE(SUBSTITUTE('Dashboard'!$B$7,"~","~~"),"*","~*"),"?","~?"))+COUNTIFS('Calculations'!$HR$13:$HR$512,"="&amp;SUBSTITUTE(SUBSTITUTE(SUBSTITUTE('Calculations'!HF385,"~","~~"),"*","~*"),"?","~?"),'Calculations'!$HN$13:$HN$512,"="&amp;SUBSTITUTE(SUBSTITUTE(SUBSTITUTE('Dashboard'!$B$7,"~","~~"),"*","~*"),"?","~?"))+COUNTIFS('Calculations'!$HS$13:$HS$512,"="&amp;SUBSTITUTE(SUBSTITUTE(SUBSTITUTE('Calculations'!HF385,"~","~~"),"*","~*"),"?","~?"),'Calculations'!$HN$13:$HN$512,"="&amp;SUBSTITUTE(SUBSTITUTE(SUBSTITUTE('Dashboard'!$B$7,"~","~~"),"*","~*"),"?","~?"))+COUNTIFS('Calculations'!$HT$13:$HT$512,"="&amp;SUBSTITUTE(SUBSTITUTE(SUBSTITUTE('Calculations'!HF385,"~","~~"),"*","~*"),"?","~?"),'Calculations'!$HN$13:$HN$512,"="&amp;SUBSTITUTE(SUBSTITUTE(SUBSTITUTE('Dashboard'!$B$7,"~","~~"),"*","~*"),"?","~?"))+COUNTIFS('Calculations'!$HU$13:$HU$512,"="&amp;SUBSTITUTE(SUBSTITUTE(SUBSTITUTE('Calculations'!HF385,"~","~~"),"*","~*"),"?","~?"),'Calculations'!$HN$13:$HN$512,"="&amp;SUBSTITUTE(SUBSTITUTE(SUBSTITUTE('Dashboard'!$B$7,"~","~~"),"*","~*"),"?","~?"))+COUNTIFS('Calculations'!$HV$13:$HV$512,"="&amp;SUBSTITUTE(SUBSTITUTE(SUBSTITUTE('Calculations'!HF385,"~","~~"),"*","~*"),"?","~?"),'Calculations'!$HN$13:$HN$512,"="&amp;SUBSTITUTE(SUBSTITUTE(SUBSTITUTE('Dashboard'!$B$7,"~","~~"),"*","~*"),"?","~?"))+COUNTIFS('Calculations'!$HW$13:$HW$512,"="&amp;SUBSTITUTE(SUBSTITUTE(SUBSTITUTE('Calculations'!HF385,"~","~~"),"*","~*"),"?","~?"),'Calculations'!$HN$13:$HN$512,"="&amp;SUBSTITUTE(SUBSTITUTE(SUBSTITUTE('Dashboard'!$B$7,"~","~~"),"*","~*"),"?","~?"))+COUNTIFS('Calculations'!$HX$13:$HX$512,"="&amp;SUBSTITUTE(SUBSTITUTE(SUBSTITUTE('Calculations'!HF385,"~","~~"),"*","~*"),"?","~?"),'Calculations'!$HN$13:$HN$512,"="&amp;SUBSTITUTE(SUBSTITUTE(SUBSTITUTE('Dashboard'!$B$7,"~","~~"),"*","~*"),"?","~?"))+COUNTIFS('Calculations'!$HY$13:$HY$512,"="&amp;SUBSTITUTE(SUBSTITUTE(SUBSTITUTE('Calculations'!HF385,"~","~~"),"*","~*"),"?","~?"),'Calculations'!$HN$13:$HN$512,"="&amp;SUBSTITUTE(SUBSTITUTE(SUBSTITUTE('Dashboard'!$B$7,"~","~~"),"*","~*"),"?","~?"))+COUNTIFS('Calculations'!$HZ$13:$HZ$512,"="&amp;SUBSTITUTE(SUBSTITUTE(SUBSTITUTE('Calculations'!HF385,"~","~~"),"*","~*"),"?","~?"),'Calculations'!$HN$13:$HN$512,"="&amp;SUBSTITUTE(SUBSTITUTE(SUBSTITUTE('Dashboard'!$B$7,"~","~~"),"*","~*"),"?","~?"))+COUNTIFS('Calculations'!$IA$13:$IA$512,"="&amp;SUBSTITUTE(SUBSTITUTE(SUBSTITUTE('Calculations'!HF385,"~","~~"),"*","~*"),"?","~?"),'Calculations'!$HN$13:$HN$512,"="&amp;SUBSTITUTE(SUBSTITUTE(SUBSTITUTE('Dashboard'!$B$7,"~","~~"),"*","~*"),"?","~?"))+COUNTIFS('Calculations'!$IB$13:$IB$512,"="&amp;SUBSTITUTE(SUBSTITUTE(SUBSTITUTE('Calculations'!HF385,"~","~~"),"*","~*"),"?","~?"),'Calculations'!$HN$13:$HN$512,"="&amp;SUBSTITUTE(SUBSTITUTE(SUBSTITUTE('Dashboard'!$B$7,"~","~~"),"*","~*"),"?","~?"))+COUNTIFS('Calculations'!$IC$13:$IC$512,"="&amp;SUBSTITUTE(SUBSTITUTE(SUBSTITUTE('Calculations'!HF385,"~","~~"),"*","~*"),"?","~?"),'Calculations'!$HN$13:$HN$512,"="&amp;SUBSTITUTE(SUBSTITUTE(SUBSTITUTE('Dashboard'!$B$7,"~","~~"),"*","~*"),"?","~?"))+COUNTIFS('Calculations'!$ID$13:$ID$512,"="&amp;SUBSTITUTE(SUBSTITUTE(SUBSTITUTE('Calculations'!HF385,"~","~~"),"*","~*"),"?","~?"),'Calculations'!$HN$13:$HN$512,"="&amp;SUBSTITUTE(SUBSTITUTE(SUBSTITUTE('Dashboard'!$B$7,"~","~~"),"*","~*"),"?","~?"))+COUNTIFS('Calculations'!$IE$13:$IE$512,"="&amp;SUBSTITUTE(SUBSTITUTE(SUBSTITUTE('Calculations'!HF385,"~","~~"),"*","~*"),"?","~?"),'Calculations'!$HN$13:$HN$512,"="&amp;SUBSTITUTE(SUBSTITUTE(SUBSTITUTE('Dashboard'!$B$7,"~","~~"),"*","~*"),"?","~?"))+COUNTIFS('Calculations'!$IF$13:$IF$512,"="&amp;SUBSTITUTE(SUBSTITUTE(SUBSTITUTE('Calculations'!HF385,"~","~~"),"*","~*"),"?","~?"),'Calculations'!$HN$13:$HN$512,"="&amp;SUBSTITUTE(SUBSTITUTE(SUBSTITUTE('Dashboard'!$B$7,"~","~~"),"*","~*"),"?","~?"))+COUNTIFS('Calculations'!$IG$13:$IG$512,"="&amp;SUBSTITUTE(SUBSTITUTE(SUBSTITUTE('Calculations'!HF385,"~","~~"),"*","~*"),"?","~?"),'Calculations'!$HN$13:$HN$512,"="&amp;SUBSTITUTE(SUBSTITUTE(SUBSTITUTE('Dashboard'!$B$7,"~","~~"),"*","~*"),"?","~?"))+COUNTIFS('Calculations'!$IH$13:$IH$512,"="&amp;SUBSTITUTE(SUBSTITUTE(SUBSTITUTE('Calculations'!HF385,"~","~~"),"*","~*"),"?","~?"),'Calculations'!$HN$13:$HN$512,"="&amp;SUBSTITUTE(SUBSTITUTE(SUBSTITUTE('Dashboard'!$B$7,"~","~~"),"*","~*"),"?","~?"))))</x:f>
        <x:v>0</x:v>
      </x:c>
      <x:c r="JD385" t="n">
        <x:f>IF('Calculations'!EM385="",0,IF('Dashboard'!$B$7="All",1,IF('Calculations'!HN385='Dashboard'!$B$7,1,0)+IFERROR(INDEX('Calculations'!$JC$13:$JC$512,MATCH('Calculations'!HE385,'Calculations'!$HF$13:$HF$512,0)),0)))</x:f>
        <x:v>0</x:v>
      </x:c>
      <x:c r="JE385" t="n">
        <x:f>IF(AND('Calculations'!EM385&lt;&gt;"",'Calculations'!$JJ$2&lt;&gt;"All",'Calculations'!$JJ$2&lt;&gt;"",'Calculations'!HF385='Calculations'!$JJ$2,'Calculations'!HL385=0,'Calculations'!JD385&gt;0),MAX('Calculations'!$JE$12:JE384)+1,0)</x:f>
        <x:v>0</x:v>
      </x:c>
      <x:c r="JF385" t="str">
        <x:f>IF('Calculations'!EM385="","",IFERROR(IF(INDEX(INDIRECT("'WCM Calibration Final'!$G$1:$G$2000"),'Calculations'!$EM385)="","",TRIM(INDEX(INDIRECT("'WCM Calibration Final'!$G$1:$G$2000"),'Calculations'!$EM385)&amp;"")),""))</x:f>
      </x:c>
      <x:c r="JQ385" t="n">
        <x:f>IF(OR('Calculations'!BM385=0,NOT('Calculations'!$AG$2),'Calculations'!$AG$8&gt;0),0,IF(OR('Dashboard'!$B$7="All",'Calculations'!HN385='Dashboard'!$B$7),IF('Calculations'!$JJ$2="All",1,IF(AND('Calculations'!HF385='Calculations'!$JJ$2,'Calculations'!HL385=0),1,0)),0))</x:f>
        <x:v>0</x:v>
      </x:c>
    </x:row>
    <x:row r="386">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t="n">
        <x:f>IF('Calculations'!$EM386="",0,IF(OR(IFERROR(INDEX(INDIRECT("'WCM Calibration Final'!$A$1:$A$2000"),'Calculations'!$EM386)&lt;&gt;"",FALSE),IFERROR(INDEX(INDIRECT("'WCM Calibration Final'!$B$1:$B$2000"),'Calculations'!$EM386)&lt;&gt;"",FALSE),IFERROR(INDEX(INDIRECT("'WCM Calibration Final'!$C$1:$C$2000"),'Calculations'!$EM386)&lt;&gt;"",FALSE)),1,0))</x:f>
        <x:v>0</x:v>
      </x:c>
      <x:c r="BN386" s="4" t="n">
        <x:f>IF(AND('Calculations'!BM386=1,'Calculations'!$AG$2,'Calculations'!$EN386=1),1,0)</x:f>
        <x:v>0</x:v>
      </x:c>
      <x:c r="BO386" s="4" t="str">
        <x:f>IF('Calculations'!BM386=0,"",IFERROR(IF(AND(VALUE(INDEX(INDIRECT("'WCM Calibration Final'!$K$1:$K$2000"),'Calculations'!$EM386))&gt;=1,VALUE(INDEX(INDIRECT("'WCM Calibration Final'!$K$1:$K$2000"),'Calculations'!$EM386))&lt;=4,MOD(VALUE(INDEX(INDIRECT("'WCM Calibration Final'!$K$1:$K$2000"),'Calculations'!$EM386)),1)=0),VALUE(INDEX(INDIRECT("'WCM Calibration Final'!$K$1:$K$2000"),'Calculations'!$EM386)),""),""))</x:f>
      </x:c>
      <x:c r="BP386" s="4" t="str">
        <x:f>IF('Calculations'!BM386=0,"",IFERROR(IF(AND(VALUE(INDEX(INDIRECT("'WCM Calibration Final'!$L$1:$L$2000"),'Calculations'!$EM386))&gt;=1,VALUE(INDEX(INDIRECT("'WCM Calibration Final'!$L$1:$L$2000"),'Calculations'!$EM386))&lt;=4,MOD(VALUE(INDEX(INDIRECT("'WCM Calibration Final'!$L$1:$L$2000"),'Calculations'!$EM386)),1)=0),VALUE(INDEX(INDIRECT("'WCM Calibration Final'!$L$1:$L$2000"),'Calculations'!$EM386)),""),""))</x:f>
      </x:c>
      <x:c r="BQ386" s="4"/>
      <x:c r="BR386" s="4"/>
      <x:c r="BS386" s="4"/>
      <x:c r="BT386" s="4" t="n">
        <x:f>IF(AND('Calculations'!BM386=1,ISNUMBER('Calculations'!BO386),ISNUMBER('Calculations'!BP386)),1,0)</x:f>
        <x:v>0</x:v>
      </x:c>
      <x:c r="BU386" s="4" t="str">
        <x:f>IF('Calculations'!BM386=0,"",'Calculations'!$EO386)</x:f>
      </x:c>
      <x:c r="BV386" s="4" t="str">
        <x:f>IF('Calculations'!BM386=0,"",IFERROR(IF(OR(INDEX(INDIRECT("'WCM Calibration Final'!$H$1:$H$2000"),'Calculations'!$EM386)="MANAGING DIRECTOR",INDEX(INDIRECT("'WCM Calibration Final'!$H$1:$H$2000"),'Calculations'!$EM386)="DIRECTOR",INDEX(INDIRECT("'WCM Calibration Final'!$H$1:$H$2000"),'Calculations'!$EM386)="SENIOR VICE PRESIDENT",INDEX(INDIRECT("'WCM Calibration Final'!$H$1:$H$2000"),'Calculations'!$EM386)="VICE PRESIDENT",INDEX(INDIRECT("'WCM Calibration Final'!$H$1:$H$2000"),'Calculations'!$EM386)="ASSISTANT VICE PRESIDENT",INDEX(INDIRECT("'WCM Calibration Final'!$H$1:$H$2000"),'Calculations'!$EM386)="OFFICER"),UPPER(INDEX(INDIRECT("'WCM Calibration Final'!$H$1:$H$2000"),'Calculations'!$EM386)),"Other"),"Other"))</x:f>
      </x:c>
      <x:c r="BW386" s="4"/>
      <x:c r="BX386" s="4"/>
      <x:c r="BY386" s="4" t="n">
        <x:f>IF(AND('Calculations'!BM386=1,'Calculations'!BU386&lt;&gt;"",COUNTIF('Calculations'!$BU$12:BU386,'Calculations'!BU386)=1),MAX('Calculations'!$BY$11:BY385)+1,0)</x:f>
        <x:v>0</x:v>
      </x:c>
      <x:c r="BZ386" s="4" t="str">
        <x:f>IF('Dashboard'!$E$67="What",'Calculations'!BO386,'Calculations'!BP386)</x:f>
      </x:c>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t="str">
        <x:f>IF(375&gt;MAX('Calculations'!$HI$13:$HI$512),"",INDEX('Calculations'!$HN$13:$HN$512,MATCH(375,'Calculations'!$HI$13:$HI$512,0)))</x:f>
      </x:c>
      <x:c r="DB386" s="4" t="str">
        <x:f>IF(375&gt;MAX('Calculations'!$HH$13:$HH$512),"",INDEX('Calculations'!$HJ$13:$HJ$512,MATCH(375,'Calculations'!$HH$13:$HH$512,0)))</x:f>
      </x:c>
      <x:c r="DC386" s="4" t="str">
        <x:f>IF(ROW()-11&gt;MAX('Calculations'!$BY$13:$BY$512),"",INDEX('Calculations'!$BU$13:$BU$512,MATCH(ROW()-11,'Calculations'!$BY$13:$BY$512,0)))</x:f>
      </x:c>
      <x:c r="DD386" s="4" t="str">
        <x:f>IF(375&gt;MAX('Calculations'!$IK$13:$IK$512),"",INDEX('Calculations'!$HK$13:$HK$512,MATCH(375,'Calculations'!$IK$13:$IK$512,0)))</x:f>
      </x:c>
      <x:c r="DE386" s="4" t="str">
        <x:f>'Calculations'!DC386</x:f>
      </x:c>
      <x:c r="DF386" s="4" t="str">
        <x:f>IF('Calculations'!DE386="","",COUNTIFS('Calculations'!$BN$13:$BN$512,1,'Calculations'!$BU$13:$BU$512,'Calculations'!DE386))</x:f>
      </x:c>
      <x:c r="DG386" s="4" t="str">
        <x:f>IF('Calculations'!DE386="","",COUNTIFS('Calculations'!$BN$13:$BN$512,1,'Calculations'!$BU$13:$BU$512,'Calculations'!DE386,'Calculations'!$BT$13:$BT$512,1))</x:f>
      </x:c>
      <x:c r="DH386" s="4" t="str">
        <x:f>IF('Calculations'!DE386="","",'Calculations'!DF386-'Calculations'!DG386)</x:f>
      </x:c>
      <x:c r="DI386" s="4" t="str">
        <x:f>IF(OR('Calculations'!DE386="",'Calculations'!DF386=0),"",'Calculations'!DG386/'Calculations'!DF386)</x:f>
      </x:c>
      <x:c r="DJ386" s="4" t="str">
        <x:f>IF('Calculations'!DE386="","",COUNTIFS('Calculations'!$BN$13:$BN$512,1,'Calculations'!$BU$13:$BU$512,'Calculations'!DE386,'Calculations'!$BT$13:$BT$512,1,'Calculations'!$EE$13:$EE$512,"High"))</x:f>
      </x:c>
      <x:c r="DK386" s="4" t="str">
        <x:f>IF('Calculations'!DE386="","",COUNTIFS('Calculations'!$BN$13:$BN$512,1,'Calculations'!$BU$13:$BU$512,'Calculations'!DE386,'Calculations'!$BT$13:$BT$512,1,'Calculations'!$EE$13:$EE$512,"Strong"))</x:f>
      </x:c>
      <x:c r="DL386" s="4" t="str">
        <x:f>IF('Calculations'!DE386="","",COUNTIFS('Calculations'!$BN$13:$BN$512,1,'Calculations'!$BU$13:$BU$512,'Calculations'!DE386,'Calculations'!$BT$13:$BT$512,1,'Calculations'!$EE$13:$EE$512,"Solid"))</x:f>
      </x:c>
      <x:c r="DM386" s="4" t="str">
        <x:f>IF('Calculations'!DE386="","",COUNTIFS('Calculations'!$BN$13:$BN$512,1,'Calculations'!$BU$13:$BU$512,'Calculations'!DE386,'Calculations'!$BT$13:$BT$512,1,'Calculations'!$EE$13:$EE$512,"Low"))</x:f>
      </x:c>
      <x:c r="DN386" s="4" t="str">
        <x:f>IF('Calculations'!DE386="","",COUNTIFS('Calculations'!$BN$13:$BN$512,1,'Calculations'!$BU$13:$BU$512,'Calculations'!DE386,'Calculations'!$EP$13:$EP$512,1))</x:f>
      </x:c>
      <x:c r="DO386" s="4" t="str">
        <x:f>IF(OR('Calculations'!DE386="",'Calculations'!DG386=0),"",('Calculations'!DJ386+'Calculations'!DK386)/'Calculations'!DG386)</x:f>
      </x:c>
      <x:c r="DP386" s="4" t="n">
        <x:f>IF(AND('Calculations'!DE386&lt;&gt;"",'Calculations'!DF386&gt;0),COUNTIF('Calculations'!$DF$12:DF386,"&gt;0"),0)</x:f>
        <x:v>0</x:v>
      </x:c>
      <x:c r="DQ386" s="4" t="str">
        <x:f>IF(375&gt;MAX('Calculations'!$HH$13:$HH$512),"",INDEX('Calculations'!$HF$13:$HF$512,MATCH(375,'Calculations'!$HH$13:$HH$512,0)))</x:f>
      </x:c>
      <x:c r="DR386" s="4" t="str">
        <x:f>IF(375&gt;MAX('Calculations'!$IK$13:$IK$512),"",INDEX('Calculations'!$HE$13:$HE$512,MATCH(375,'Calculations'!$IK$13:$IK$512,0)))</x:f>
      </x:c>
      <x:c r="DS386" s="4"/>
      <x:c r="DT386" s="4"/>
      <x:c r="DU386" s="4"/>
      <x:c r="DV386" s="4"/>
      <x:c r="DW386" s="4"/>
      <x:c r="DX386" s="4"/>
      <x:c r="DY386" s="4"/>
      <x:c r="DZ386" s="4"/>
      <x:c r="EA386" s="4"/>
      <x:c r="EB386" s="4"/>
      <x:c r="EC386" s="4"/>
      <x:c r="ED386" s="4"/>
      <x:c r="EE386" s="4" t="str">
        <x:f>IF('Calculations'!BT386=0,"Not Rated",IF(OR('Calculations'!BO386&gt;=4,'Calculations'!BP386&gt;=4),"Low",IF('Calculations'!BO386+'Calculations'!BP386&lt;=3,"High",IF('Calculations'!BO386+'Calculations'!BP386&lt;=4,"Strong","Solid"))))</x:f>
        <x:v>Not Rated</x:v>
      </x:c>
      <x:c r="EF386" s="4"/>
      <x:c r="EG386" s="4"/>
      <x:c r="EH386" s="4"/>
      <x:c r="EI386" s="4"/>
      <x:c r="EJ386" s="4"/>
      <x:c r="EK386" s="4"/>
      <x:c r="EL386" s="4"/>
      <x:c r="EM386" s="4" t="str">
        <x:f>IF(374&gt;'Calculations'!$JB$2000,"",INDEX('Calculations'!$JA$12:$JA$2000,MATCH(374,'Calculations'!$JB$12:$JB$2000,0)))</x:f>
      </x:c>
      <x:c r="EN386" s="4" t="n">
        <x:f>IF(OR('Calculations'!EM386="",'Calculations'!$AG$8&gt;0,AND('Calculations'!$EF$2&lt;&gt;"All",'Calculations'!HE386='Calculations'!$EF$2),AND('Calculations'!$EF$3&lt;&gt;"All",'Calculations'!HE386='Calculations'!$EF$3)),0,IF(OR('Dashboard'!$B$7="All",'Calculations'!HN386='Dashboard'!$B$7),IF('Calculations'!$EF$2="All",1,IF('Calculations'!HL386&gt;0,0,IF(COUNTIF('Calculations'!HO386:II386,"="&amp;SUBSTITUTE(SUBSTITUTE(SUBSTITUTE('Calculations'!$EF$2,"~","~~"),"*","~*"),"?","~?"))=0,0,IF('Calculations'!$EF$3="All",1,IF(COUNTIF('Calculations'!HO386:II386,"="&amp;SUBSTITUTE(SUBSTITUTE(SUBSTITUTE('Calculations'!$EF$3,"~","~~"),"*","~*"),"?","~?"))&gt;0,1,0))))),0))</x:f>
        <x:v>0</x:v>
      </x:c>
      <x:c r="EO386" s="4" t="str">
        <x:f>IF('Calculations'!IJ386="","",IF('Calculations'!IJ386="!UNRESOLVED","Unresolved hierarchy",IFERROR(INDEX('Calculations'!$HK$13:$HK$512,MATCH('Calculations'!IJ386,'Calculations'!$HE$13:$HE$512,0)),IFERROR(INDEX('Calculations'!$HJ$13:$HJ$512,MATCH('Calculations'!IJ386,'Calculations'!$HF$13:$HF$512,0)),'Calculations'!IJ386))))</x:f>
      </x:c>
      <x:c r="EP386" s="4" t="n">
        <x:f>IF(AND('Calculations'!EM386&lt;&gt;"",'Calculations'!HF386='Calculations'!IJ386),1,0)</x:f>
        <x:v>0</x:v>
      </x:c>
      <x:c r="EQ386" s="4"/>
      <x:c r="ER386" s="4"/>
      <x:c r="ES386" s="4"/>
      <x:c r="ET386" s="4"/>
      <x:c r="EU386" s="4"/>
      <x:c r="EV386" s="4"/>
      <x:c r="EW386" s="4"/>
      <x:c r="EX386" s="4"/>
      <x:c r="EY386" s="4"/>
      <x:c r="EZ386" s="4"/>
      <x:c r="FA386" s="4"/>
      <x:c r="FB386" s="4"/>
      <x:c r="FC386" s="4"/>
      <x:c r="FD386" s="4"/>
      <x:c r="FE386" s="4"/>
      <x:c r="FF386" s="4"/>
      <x:c r="FG386" s="4"/>
      <x:c r="FH386" s="4"/>
      <x:c r="FI386" s="4"/>
      <x:c r="FJ386" s="4"/>
      <x:c r="FK386" s="4"/>
      <x:c r="FL386" s="4"/>
      <x:c r="FM386" s="4"/>
      <x:c r="FN386" s="4"/>
      <x:c r="FO386" s="4"/>
      <x:c r="HE386" t="str">
        <x:f>IF('Calculations'!EM386="","",IF(IFERROR(IF(INDEX(INDIRECT("'WCM Calibration Final'!$A$1:$A$2000"),'Calculations'!$EM386)="","",TRIM(INDEX(INDIRECT("'WCM Calibration Final'!$A$1:$A$2000"),'Calculations'!$EM386)&amp;"")),"")&lt;&gt;"","G:"&amp;IFERROR(TEXT(1*INDEX(INDIRECT("'WCM Calibration Final'!$A$1:$A$2000"),'Calculations'!$EM386),"0"),UPPER(IFERROR(IF(INDEX(INDIRECT("'WCM Calibration Final'!$A$1:$A$2000"),'Calculations'!$EM386)="","",TRIM(INDEX(INDIRECT("'WCM Calibration Final'!$A$1:$A$2000"),'Calculations'!$EM386)&amp;"")),""))),IF(IFERROR(IF(INDEX(INDIRECT("'WCM Calibration Final'!$C$1:$C$2000"),'Calculations'!$EM386)="","",TRIM(INDEX(INDIRECT("'WCM Calibration Final'!$C$1:$C$2000"),'Calculations'!$EM386)&amp;"")),"")&lt;&gt;"","S:"&amp;UPPER(IFERROR(IF(INDEX(INDIRECT("'WCM Calibration Final'!$C$1:$C$2000"),'Calculations'!$EM386)="","",TRIM(INDEX(INDIRECT("'WCM Calibration Final'!$C$1:$C$2000"),'Calculations'!$EM386)&amp;"")),"")),"R:"&amp;'Calculations'!EM386)))</x:f>
      </x:c>
      <x:c r="HF386" t="str">
        <x:f>IF('Calculations'!EM386="","",IF(IFERROR(IF(INDEX(INDIRECT("'WCM Calibration Final'!$D$1:$D$2000"),'Calculations'!$EM386)="","",TRIM(INDEX(INDIRECT("'WCM Calibration Final'!$D$1:$D$2000"),'Calculations'!$EM386)&amp;"")),"")&lt;&gt;"","G:"&amp;IFERROR(TEXT(1*INDEX(INDIRECT("'WCM Calibration Final'!$D$1:$D$2000"),'Calculations'!$EM386),"0"),UPPER(IFERROR(IF(INDEX(INDIRECT("'WCM Calibration Final'!$D$1:$D$2000"),'Calculations'!$EM386)="","",TRIM(INDEX(INDIRECT("'WCM Calibration Final'!$D$1:$D$2000"),'Calculations'!$EM386)&amp;"")),""))),IF(IFERROR(IF(INDEX(INDIRECT("'WCM Calibration Final'!$E$1:$E$2000"),'Calculations'!$EM386)="","",TRIM(INDEX(INDIRECT("'WCM Calibration Final'!$E$1:$E$2000"),'Calculations'!$EM386)&amp;"")),"")="","",IF(COUNTIF('Calculations'!$HG$13:$HG$512,"="&amp;SUBSTITUTE(SUBSTITUTE(SUBSTITUTE(IFERROR(IF(INDEX(INDIRECT("'WCM Calibration Final'!$E$1:$E$2000"),'Calculations'!$EM386)="","",TRIM(INDEX(INDIRECT("'WCM Calibration Final'!$E$1:$E$2000"),'Calculations'!$EM386)&amp;"")),""),"~","~~"),"*","~*"),"?","~?"))=1,INDEX('Calculations'!$HE$13:$HE$512,MATCH(IFERROR(IF(INDEX(INDIRECT("'WCM Calibration Final'!$E$1:$E$2000"),'Calculations'!$EM386)="","",TRIM(INDEX(INDIRECT("'WCM Calibration Final'!$E$1:$E$2000"),'Calculations'!$EM386)&amp;"")),""),'Calculations'!$HG$13:$HG$512,0)),IF(COUNTIF('Calculations'!$HG$13:$HG$512,"="&amp;SUBSTITUTE(SUBSTITUTE(SUBSTITUTE(IFERROR(IF(INDEX(INDIRECT("'WCM Calibration Final'!$E$1:$E$2000"),'Calculations'!$EM386)="","",TRIM(INDEX(INDIRECT("'WCM Calibration Final'!$E$1:$E$2000"),'Calculations'!$EM386)&amp;"")),""),"~","~~"),"*","~*"),"?","~?"))&gt;1,"!AMBIG","X:"&amp;IFERROR(IF(INDEX(INDIRECT("'WCM Calibration Final'!$E$1:$E$2000"),'Calculations'!$EM386)="","",TRIM(INDEX(INDIRECT("'WCM Calibration Final'!$E$1:$E$2000"),'Calculations'!$EM386)&amp;"")),""))))))</x:f>
      </x:c>
      <x:c r="HG386" t="str">
        <x:f>IF('Calculations'!EM386="","",IFERROR(IF(INDEX(INDIRECT("'WCM Calibration Final'!$B$1:$B$2000"),'Calculations'!$EM386)="","",TRIM(INDEX(INDIRECT("'WCM Calibration Final'!$B$1:$B$2000"),'Calculations'!$EM386)&amp;"")),""))</x:f>
      </x:c>
      <x:c r="HH386" t="n">
        <x:f>IF(AND('Calculations'!JC386&gt;0,COUNTIF('Calculations'!$HF$12:HF386,"="&amp;SUBSTITUTE(SUBSTITUTE(SUBSTITUTE('Calculations'!HF386,"~","~~"),"*","~*"),"?","~?"))=1),MAX('Calculations'!$HH$12:HH385)+1,0)</x:f>
        <x:v>0</x:v>
      </x:c>
      <x:c r="HI386" t="n">
        <x:f>IF(AND('Calculations'!HN386&lt;&gt;"",COUNTIF('Calculations'!$HN$12:HN386,"="&amp;SUBSTITUTE(SUBSTITUTE(SUBSTITUTE('Calculations'!HN386,"~","~~"),"*","~*"),"?","~?"))=1),MAX('Calculations'!$HI$12:HI385)+1,0)</x:f>
        <x:v>0</x:v>
      </x:c>
      <x:c r="HJ386" t="str">
        <x:f>IF('Calculations'!HF386="","",IF(COUNTIF('Calculations'!$HE$13:$HE$512,"="&amp;SUBSTITUTE(SUBSTITUTE(SUBSTITUTE('Calculations'!HF386,"~","~~"),"*","~*"),"?","~?"))=1,INDEX('Calculations'!$HK$13:$HK$512,MATCH('Calculations'!HF386,'Calculations'!$HE$13:$HE$512,0)),IFERROR(IF(INDEX(INDIRECT("'WCM Calibration Final'!$E$1:$E$2000"),'Calculations'!$EM386)="","",TRIM(INDEX(INDIRECT("'WCM Calibration Final'!$E$1:$E$2000"),'Calculations'!$EM386)&amp;"")),"")&amp;" ["&amp;'Calculations'!HF386&amp;"]"))</x:f>
      </x:c>
      <x:c r="HK386" t="str">
        <x:f>IF('Calculations'!EM386="","",'Calculations'!HG386&amp;" ["&amp;'Calculations'!HE386&amp;"]")</x:f>
      </x:c>
      <x:c r="HL386" t="n">
        <x:f>IF('Calculations'!EM386="",0,IF(OR('Calculations'!II386&lt;&gt;"",COUNTIF('Calculations'!$HE$13:$HE$512,"="&amp;SUBSTITUTE(SUBSTITUTE(SUBSTITUTE('Calculations'!HE386,"~","~~"),"*","~*"),"?","~?"))&gt;1),1,0))</x:f>
        <x:v>0</x:v>
      </x:c>
      <x:c r="HM386" t="str">
        <x:f>IF('Calculations'!EM386="","",IF('Calculations'!HL386=1,"!UNRESOLVED",IF('Calculations'!IH386&lt;&gt;"",'Calculations'!IH386,IF('Calculations'!IG386&lt;&gt;"",'Calculations'!IG386,IF('Calculations'!IF386&lt;&gt;"",'Calculations'!IF386,IF('Calculations'!IE386&lt;&gt;"",'Calculations'!IE386,IF('Calculations'!ID386&lt;&gt;"",'Calculations'!ID386,IF('Calculations'!IC386&lt;&gt;"",'Calculations'!IC386,IF('Calculations'!IB386&lt;&gt;"",'Calculations'!IB386,IF('Calculations'!IA386&lt;&gt;"",'Calculations'!IA386,IF('Calculations'!HZ386&lt;&gt;"",'Calculations'!HZ386,IF('Calculations'!HY386&lt;&gt;"",'Calculations'!HY386,IF('Calculations'!HX386&lt;&gt;"",'Calculations'!HX386,IF('Calculations'!HW386&lt;&gt;"",'Calculations'!HW386,IF('Calculations'!HV386&lt;&gt;"",'Calculations'!HV386,IF('Calculations'!HU386&lt;&gt;"",'Calculations'!HU386,IF('Calculations'!HT386&lt;&gt;"",'Calculations'!HT386,IF('Calculations'!HS386&lt;&gt;"",'Calculations'!HS386,IF('Calculations'!HR386&lt;&gt;"",'Calculations'!HR386,IF('Calculations'!HQ386&lt;&gt;"",'Calculations'!HQ386,IF('Calculations'!HP386&lt;&gt;"",'Calculations'!HP386,IF('Calculations'!HO386&lt;&gt;"",'Calculations'!HO386,'Calculations'!HE386))))))))))))))))))))))</x:f>
      </x:c>
      <x:c r="HN386" t="str">
        <x:f>IF('Calculations'!EM386="","",IF(IFERROR(IF(INDEX(INDIRECT("'WCM Calibration Final'!$F$1:$F$2000"),'Calculations'!$EM386)="","",TRIM(INDEX(INDIRECT("'WCM Calibration Final'!$F$1:$F$2000"),'Calculations'!$EM386)&amp;"")),"")="","(Blank)",IFERROR(IF(INDEX(INDIRECT("'WCM Calibration Final'!$F$1:$F$2000"),'Calculations'!$EM386)="","",TRIM(INDEX(INDIRECT("'WCM Calibration Final'!$F$1:$F$2000"),'Calculations'!$EM386)&amp;"")),"")))</x:f>
      </x:c>
      <x:c r="HO386" t="str">
        <x:f>'Calculations'!HF386</x:f>
      </x:c>
      <x:c r="HP386" t="str">
        <x:f>IF('Calculations'!HO386="","",IF('Calculations'!HO386="!AMBIG","!AMBIG",IF(COUNTIF('Calculations'!$HE$13:$HE$512,"="&amp;SUBSTITUTE(SUBSTITUTE(SUBSTITUTE('Calculations'!HO386,"~","~~"),"*","~*"),"?","~?"))&gt;1,"!AMBIG",IFERROR(INDEX('Calculations'!$HF$13:$HF$512,MATCH('Calculations'!HO386,'Calculations'!$HE$13:$HE$512,0)),""))))</x:f>
      </x:c>
      <x:c r="HQ386" t="str">
        <x:f>IF('Calculations'!HP386="","",IF('Calculations'!HP386="!AMBIG","!AMBIG",IF(COUNTIF('Calculations'!$HE$13:$HE$512,"="&amp;SUBSTITUTE(SUBSTITUTE(SUBSTITUTE('Calculations'!HP386,"~","~~"),"*","~*"),"?","~?"))&gt;1,"!AMBIG",IFERROR(INDEX('Calculations'!$HF$13:$HF$512,MATCH('Calculations'!HP386,'Calculations'!$HE$13:$HE$512,0)),""))))</x:f>
      </x:c>
      <x:c r="HR386" t="str">
        <x:f>IF('Calculations'!HQ386="","",IF('Calculations'!HQ386="!AMBIG","!AMBIG",IF(COUNTIF('Calculations'!$HE$13:$HE$512,"="&amp;SUBSTITUTE(SUBSTITUTE(SUBSTITUTE('Calculations'!HQ386,"~","~~"),"*","~*"),"?","~?"))&gt;1,"!AMBIG",IFERROR(INDEX('Calculations'!$HF$13:$HF$512,MATCH('Calculations'!HQ386,'Calculations'!$HE$13:$HE$512,0)),""))))</x:f>
      </x:c>
      <x:c r="HS386" t="str">
        <x:f>IF('Calculations'!HR386="","",IF('Calculations'!HR386="!AMBIG","!AMBIG",IF(COUNTIF('Calculations'!$HE$13:$HE$512,"="&amp;SUBSTITUTE(SUBSTITUTE(SUBSTITUTE('Calculations'!HR386,"~","~~"),"*","~*"),"?","~?"))&gt;1,"!AMBIG",IFERROR(INDEX('Calculations'!$HF$13:$HF$512,MATCH('Calculations'!HR386,'Calculations'!$HE$13:$HE$512,0)),""))))</x:f>
      </x:c>
      <x:c r="HT386" t="str">
        <x:f>IF('Calculations'!HS386="","",IF('Calculations'!HS386="!AMBIG","!AMBIG",IF(COUNTIF('Calculations'!$HE$13:$HE$512,"="&amp;SUBSTITUTE(SUBSTITUTE(SUBSTITUTE('Calculations'!HS386,"~","~~"),"*","~*"),"?","~?"))&gt;1,"!AMBIG",IFERROR(INDEX('Calculations'!$HF$13:$HF$512,MATCH('Calculations'!HS386,'Calculations'!$HE$13:$HE$512,0)),""))))</x:f>
      </x:c>
      <x:c r="HU386" t="str">
        <x:f>IF('Calculations'!HT386="","",IF('Calculations'!HT386="!AMBIG","!AMBIG",IF(COUNTIF('Calculations'!$HE$13:$HE$512,"="&amp;SUBSTITUTE(SUBSTITUTE(SUBSTITUTE('Calculations'!HT386,"~","~~"),"*","~*"),"?","~?"))&gt;1,"!AMBIG",IFERROR(INDEX('Calculations'!$HF$13:$HF$512,MATCH('Calculations'!HT386,'Calculations'!$HE$13:$HE$512,0)),""))))</x:f>
      </x:c>
      <x:c r="HV386" t="str">
        <x:f>IF('Calculations'!HU386="","",IF('Calculations'!HU386="!AMBIG","!AMBIG",IF(COUNTIF('Calculations'!$HE$13:$HE$512,"="&amp;SUBSTITUTE(SUBSTITUTE(SUBSTITUTE('Calculations'!HU386,"~","~~"),"*","~*"),"?","~?"))&gt;1,"!AMBIG",IFERROR(INDEX('Calculations'!$HF$13:$HF$512,MATCH('Calculations'!HU386,'Calculations'!$HE$13:$HE$512,0)),""))))</x:f>
      </x:c>
      <x:c r="HW386" t="str">
        <x:f>IF('Calculations'!HV386="","",IF('Calculations'!HV386="!AMBIG","!AMBIG",IF(COUNTIF('Calculations'!$HE$13:$HE$512,"="&amp;SUBSTITUTE(SUBSTITUTE(SUBSTITUTE('Calculations'!HV386,"~","~~"),"*","~*"),"?","~?"))&gt;1,"!AMBIG",IFERROR(INDEX('Calculations'!$HF$13:$HF$512,MATCH('Calculations'!HV386,'Calculations'!$HE$13:$HE$512,0)),""))))</x:f>
      </x:c>
      <x:c r="HX386" t="str">
        <x:f>IF('Calculations'!HW386="","",IF('Calculations'!HW386="!AMBIG","!AMBIG",IF(COUNTIF('Calculations'!$HE$13:$HE$512,"="&amp;SUBSTITUTE(SUBSTITUTE(SUBSTITUTE('Calculations'!HW386,"~","~~"),"*","~*"),"?","~?"))&gt;1,"!AMBIG",IFERROR(INDEX('Calculations'!$HF$13:$HF$512,MATCH('Calculations'!HW386,'Calculations'!$HE$13:$HE$512,0)),""))))</x:f>
      </x:c>
      <x:c r="HY386" t="str">
        <x:f>IF('Calculations'!HX386="","",IF('Calculations'!HX386="!AMBIG","!AMBIG",IF(COUNTIF('Calculations'!$HE$13:$HE$512,"="&amp;SUBSTITUTE(SUBSTITUTE(SUBSTITUTE('Calculations'!HX386,"~","~~"),"*","~*"),"?","~?"))&gt;1,"!AMBIG",IFERROR(INDEX('Calculations'!$HF$13:$HF$512,MATCH('Calculations'!HX386,'Calculations'!$HE$13:$HE$512,0)),""))))</x:f>
      </x:c>
      <x:c r="HZ386" t="str">
        <x:f>IF('Calculations'!HY386="","",IF('Calculations'!HY386="!AMBIG","!AMBIG",IF(COUNTIF('Calculations'!$HE$13:$HE$512,"="&amp;SUBSTITUTE(SUBSTITUTE(SUBSTITUTE('Calculations'!HY386,"~","~~"),"*","~*"),"?","~?"))&gt;1,"!AMBIG",IFERROR(INDEX('Calculations'!$HF$13:$HF$512,MATCH('Calculations'!HY386,'Calculations'!$HE$13:$HE$512,0)),""))))</x:f>
      </x:c>
      <x:c r="IA386" t="str">
        <x:f>IF('Calculations'!HZ386="","",IF('Calculations'!HZ386="!AMBIG","!AMBIG",IF(COUNTIF('Calculations'!$HE$13:$HE$512,"="&amp;SUBSTITUTE(SUBSTITUTE(SUBSTITUTE('Calculations'!HZ386,"~","~~"),"*","~*"),"?","~?"))&gt;1,"!AMBIG",IFERROR(INDEX('Calculations'!$HF$13:$HF$512,MATCH('Calculations'!HZ386,'Calculations'!$HE$13:$HE$512,0)),""))))</x:f>
      </x:c>
      <x:c r="IB386" t="str">
        <x:f>IF('Calculations'!IA386="","",IF('Calculations'!IA386="!AMBIG","!AMBIG",IF(COUNTIF('Calculations'!$HE$13:$HE$512,"="&amp;SUBSTITUTE(SUBSTITUTE(SUBSTITUTE('Calculations'!IA386,"~","~~"),"*","~*"),"?","~?"))&gt;1,"!AMBIG",IFERROR(INDEX('Calculations'!$HF$13:$HF$512,MATCH('Calculations'!IA386,'Calculations'!$HE$13:$HE$512,0)),""))))</x:f>
      </x:c>
      <x:c r="IC386" t="str">
        <x:f>IF('Calculations'!IB386="","",IF('Calculations'!IB386="!AMBIG","!AMBIG",IF(COUNTIF('Calculations'!$HE$13:$HE$512,"="&amp;SUBSTITUTE(SUBSTITUTE(SUBSTITUTE('Calculations'!IB386,"~","~~"),"*","~*"),"?","~?"))&gt;1,"!AMBIG",IFERROR(INDEX('Calculations'!$HF$13:$HF$512,MATCH('Calculations'!IB386,'Calculations'!$HE$13:$HE$512,0)),""))))</x:f>
      </x:c>
      <x:c r="ID386" t="str">
        <x:f>IF('Calculations'!IC386="","",IF('Calculations'!IC386="!AMBIG","!AMBIG",IF(COUNTIF('Calculations'!$HE$13:$HE$512,"="&amp;SUBSTITUTE(SUBSTITUTE(SUBSTITUTE('Calculations'!IC386,"~","~~"),"*","~*"),"?","~?"))&gt;1,"!AMBIG",IFERROR(INDEX('Calculations'!$HF$13:$HF$512,MATCH('Calculations'!IC386,'Calculations'!$HE$13:$HE$512,0)),""))))</x:f>
      </x:c>
      <x:c r="IE386" t="str">
        <x:f>IF('Calculations'!ID386="","",IF('Calculations'!ID386="!AMBIG","!AMBIG",IF(COUNTIF('Calculations'!$HE$13:$HE$512,"="&amp;SUBSTITUTE(SUBSTITUTE(SUBSTITUTE('Calculations'!ID386,"~","~~"),"*","~*"),"?","~?"))&gt;1,"!AMBIG",IFERROR(INDEX('Calculations'!$HF$13:$HF$512,MATCH('Calculations'!ID386,'Calculations'!$HE$13:$HE$512,0)),""))))</x:f>
      </x:c>
      <x:c r="IF386" t="str">
        <x:f>IF('Calculations'!IE386="","",IF('Calculations'!IE386="!AMBIG","!AMBIG",IF(COUNTIF('Calculations'!$HE$13:$HE$512,"="&amp;SUBSTITUTE(SUBSTITUTE(SUBSTITUTE('Calculations'!IE386,"~","~~"),"*","~*"),"?","~?"))&gt;1,"!AMBIG",IFERROR(INDEX('Calculations'!$HF$13:$HF$512,MATCH('Calculations'!IE386,'Calculations'!$HE$13:$HE$512,0)),""))))</x:f>
      </x:c>
      <x:c r="IG386" t="str">
        <x:f>IF('Calculations'!IF386="","",IF('Calculations'!IF386="!AMBIG","!AMBIG",IF(COUNTIF('Calculations'!$HE$13:$HE$512,"="&amp;SUBSTITUTE(SUBSTITUTE(SUBSTITUTE('Calculations'!IF386,"~","~~"),"*","~*"),"?","~?"))&gt;1,"!AMBIG",IFERROR(INDEX('Calculations'!$HF$13:$HF$512,MATCH('Calculations'!IF386,'Calculations'!$HE$13:$HE$512,0)),""))))</x:f>
      </x:c>
      <x:c r="IH386" t="str">
        <x:f>IF('Calculations'!IG386="","",IF('Calculations'!IG386="!AMBIG","!AMBIG",IF(COUNTIF('Calculations'!$HE$13:$HE$512,"="&amp;SUBSTITUTE(SUBSTITUTE(SUBSTITUTE('Calculations'!IG386,"~","~~"),"*","~*"),"?","~?"))&gt;1,"!AMBIG",IFERROR(INDEX('Calculations'!$HF$13:$HF$512,MATCH('Calculations'!IG386,'Calculations'!$HE$13:$HE$512,0)),""))))</x:f>
      </x:c>
      <x:c r="II386" t="str">
        <x:f>IF('Calculations'!IH386="","",IF('Calculations'!IH386="!AMBIG","!AMBIG",IF(COUNTIF('Calculations'!$HE$13:$HE$512,"="&amp;SUBSTITUTE(SUBSTITUTE(SUBSTITUTE('Calculations'!IH386,"~","~~"),"*","~*"),"?","~?"))&gt;1,"!AMBIG",IFERROR(INDEX('Calculations'!$HF$13:$HF$512,MATCH('Calculations'!IH386,'Calculations'!$HE$13:$HE$512,0)),""))))</x:f>
      </x:c>
      <x:c r="IJ386" t="str">
        <x:f>IF('Calculations'!EM386="","",IF('Calculations'!$EF$2="All",'Calculations'!HM386,IF('Calculations'!HL386=1,"",IFERROR(IF(MATCH('Calculations'!$EF$2,'Calculations'!HO386:II386,0)=1,'Calculations'!HE386,INDEX('Calculations'!HO386:II386,1,MATCH('Calculations'!$EF$2,'Calculations'!HO386:II386,0)-1)),""))))</x:f>
      </x:c>
      <x:c r="IK386" t="n">
        <x:f>IF(AND('Calculations'!EM386&lt;&gt;"",'Calculations'!$EF$2&lt;&gt;"All",'Calculations'!HF386='Calculations'!$EF$2,'Calculations'!HL386=0,'Calculations'!JD386&gt;0),MAX('Calculations'!$IK$12:IK385)+1,0)</x:f>
        <x:v>0</x:v>
      </x:c>
      <x:c r="JA386" t="n">
        <x:f>IF(OR(IFERROR(INDIRECT("'WCM Calibration Final'!$A$386")&lt;&gt;"",FALSE),IFERROR(INDIRECT("'WCM Calibration Final'!$B$386")&lt;&gt;"",FALSE),IFERROR(INDIRECT("'WCM Calibration Final'!$C$386")&lt;&gt;"",FALSE)),386,0)</x:f>
        <x:v>0</x:v>
      </x:c>
      <x:c r="JB386" t="n">
        <x:f>'Calculations'!JB385+IF('Calculations'!JA386&gt;0,1,0)</x:f>
        <x:v>0</x:v>
      </x:c>
      <x:c r="JC386" t="n">
        <x:f>IF(OR('Calculations'!HF386="",'Calculations'!HF386="!AMBIG"),0,IF('Dashboard'!$B$7="All",1,COUNTIFS('Calculations'!$HO$13:$HO$512,"="&amp;SUBSTITUTE(SUBSTITUTE(SUBSTITUTE('Calculations'!HF386,"~","~~"),"*","~*"),"?","~?"),'Calculations'!$HN$13:$HN$512,"="&amp;SUBSTITUTE(SUBSTITUTE(SUBSTITUTE('Dashboard'!$B$7,"~","~~"),"*","~*"),"?","~?"))+COUNTIFS('Calculations'!$HP$13:$HP$512,"="&amp;SUBSTITUTE(SUBSTITUTE(SUBSTITUTE('Calculations'!HF386,"~","~~"),"*","~*"),"?","~?"),'Calculations'!$HN$13:$HN$512,"="&amp;SUBSTITUTE(SUBSTITUTE(SUBSTITUTE('Dashboard'!$B$7,"~","~~"),"*","~*"),"?","~?"))+COUNTIFS('Calculations'!$HQ$13:$HQ$512,"="&amp;SUBSTITUTE(SUBSTITUTE(SUBSTITUTE('Calculations'!HF386,"~","~~"),"*","~*"),"?","~?"),'Calculations'!$HN$13:$HN$512,"="&amp;SUBSTITUTE(SUBSTITUTE(SUBSTITUTE('Dashboard'!$B$7,"~","~~"),"*","~*"),"?","~?"))+COUNTIFS('Calculations'!$HR$13:$HR$512,"="&amp;SUBSTITUTE(SUBSTITUTE(SUBSTITUTE('Calculations'!HF386,"~","~~"),"*","~*"),"?","~?"),'Calculations'!$HN$13:$HN$512,"="&amp;SUBSTITUTE(SUBSTITUTE(SUBSTITUTE('Dashboard'!$B$7,"~","~~"),"*","~*"),"?","~?"))+COUNTIFS('Calculations'!$HS$13:$HS$512,"="&amp;SUBSTITUTE(SUBSTITUTE(SUBSTITUTE('Calculations'!HF386,"~","~~"),"*","~*"),"?","~?"),'Calculations'!$HN$13:$HN$512,"="&amp;SUBSTITUTE(SUBSTITUTE(SUBSTITUTE('Dashboard'!$B$7,"~","~~"),"*","~*"),"?","~?"))+COUNTIFS('Calculations'!$HT$13:$HT$512,"="&amp;SUBSTITUTE(SUBSTITUTE(SUBSTITUTE('Calculations'!HF386,"~","~~"),"*","~*"),"?","~?"),'Calculations'!$HN$13:$HN$512,"="&amp;SUBSTITUTE(SUBSTITUTE(SUBSTITUTE('Dashboard'!$B$7,"~","~~"),"*","~*"),"?","~?"))+COUNTIFS('Calculations'!$HU$13:$HU$512,"="&amp;SUBSTITUTE(SUBSTITUTE(SUBSTITUTE('Calculations'!HF386,"~","~~"),"*","~*"),"?","~?"),'Calculations'!$HN$13:$HN$512,"="&amp;SUBSTITUTE(SUBSTITUTE(SUBSTITUTE('Dashboard'!$B$7,"~","~~"),"*","~*"),"?","~?"))+COUNTIFS('Calculations'!$HV$13:$HV$512,"="&amp;SUBSTITUTE(SUBSTITUTE(SUBSTITUTE('Calculations'!HF386,"~","~~"),"*","~*"),"?","~?"),'Calculations'!$HN$13:$HN$512,"="&amp;SUBSTITUTE(SUBSTITUTE(SUBSTITUTE('Dashboard'!$B$7,"~","~~"),"*","~*"),"?","~?"))+COUNTIFS('Calculations'!$HW$13:$HW$512,"="&amp;SUBSTITUTE(SUBSTITUTE(SUBSTITUTE('Calculations'!HF386,"~","~~"),"*","~*"),"?","~?"),'Calculations'!$HN$13:$HN$512,"="&amp;SUBSTITUTE(SUBSTITUTE(SUBSTITUTE('Dashboard'!$B$7,"~","~~"),"*","~*"),"?","~?"))+COUNTIFS('Calculations'!$HX$13:$HX$512,"="&amp;SUBSTITUTE(SUBSTITUTE(SUBSTITUTE('Calculations'!HF386,"~","~~"),"*","~*"),"?","~?"),'Calculations'!$HN$13:$HN$512,"="&amp;SUBSTITUTE(SUBSTITUTE(SUBSTITUTE('Dashboard'!$B$7,"~","~~"),"*","~*"),"?","~?"))+COUNTIFS('Calculations'!$HY$13:$HY$512,"="&amp;SUBSTITUTE(SUBSTITUTE(SUBSTITUTE('Calculations'!HF386,"~","~~"),"*","~*"),"?","~?"),'Calculations'!$HN$13:$HN$512,"="&amp;SUBSTITUTE(SUBSTITUTE(SUBSTITUTE('Dashboard'!$B$7,"~","~~"),"*","~*"),"?","~?"))+COUNTIFS('Calculations'!$HZ$13:$HZ$512,"="&amp;SUBSTITUTE(SUBSTITUTE(SUBSTITUTE('Calculations'!HF386,"~","~~"),"*","~*"),"?","~?"),'Calculations'!$HN$13:$HN$512,"="&amp;SUBSTITUTE(SUBSTITUTE(SUBSTITUTE('Dashboard'!$B$7,"~","~~"),"*","~*"),"?","~?"))+COUNTIFS('Calculations'!$IA$13:$IA$512,"="&amp;SUBSTITUTE(SUBSTITUTE(SUBSTITUTE('Calculations'!HF386,"~","~~"),"*","~*"),"?","~?"),'Calculations'!$HN$13:$HN$512,"="&amp;SUBSTITUTE(SUBSTITUTE(SUBSTITUTE('Dashboard'!$B$7,"~","~~"),"*","~*"),"?","~?"))+COUNTIFS('Calculations'!$IB$13:$IB$512,"="&amp;SUBSTITUTE(SUBSTITUTE(SUBSTITUTE('Calculations'!HF386,"~","~~"),"*","~*"),"?","~?"),'Calculations'!$HN$13:$HN$512,"="&amp;SUBSTITUTE(SUBSTITUTE(SUBSTITUTE('Dashboard'!$B$7,"~","~~"),"*","~*"),"?","~?"))+COUNTIFS('Calculations'!$IC$13:$IC$512,"="&amp;SUBSTITUTE(SUBSTITUTE(SUBSTITUTE('Calculations'!HF386,"~","~~"),"*","~*"),"?","~?"),'Calculations'!$HN$13:$HN$512,"="&amp;SUBSTITUTE(SUBSTITUTE(SUBSTITUTE('Dashboard'!$B$7,"~","~~"),"*","~*"),"?","~?"))+COUNTIFS('Calculations'!$ID$13:$ID$512,"="&amp;SUBSTITUTE(SUBSTITUTE(SUBSTITUTE('Calculations'!HF386,"~","~~"),"*","~*"),"?","~?"),'Calculations'!$HN$13:$HN$512,"="&amp;SUBSTITUTE(SUBSTITUTE(SUBSTITUTE('Dashboard'!$B$7,"~","~~"),"*","~*"),"?","~?"))+COUNTIFS('Calculations'!$IE$13:$IE$512,"="&amp;SUBSTITUTE(SUBSTITUTE(SUBSTITUTE('Calculations'!HF386,"~","~~"),"*","~*"),"?","~?"),'Calculations'!$HN$13:$HN$512,"="&amp;SUBSTITUTE(SUBSTITUTE(SUBSTITUTE('Dashboard'!$B$7,"~","~~"),"*","~*"),"?","~?"))+COUNTIFS('Calculations'!$IF$13:$IF$512,"="&amp;SUBSTITUTE(SUBSTITUTE(SUBSTITUTE('Calculations'!HF386,"~","~~"),"*","~*"),"?","~?"),'Calculations'!$HN$13:$HN$512,"="&amp;SUBSTITUTE(SUBSTITUTE(SUBSTITUTE('Dashboard'!$B$7,"~","~~"),"*","~*"),"?","~?"))+COUNTIFS('Calculations'!$IG$13:$IG$512,"="&amp;SUBSTITUTE(SUBSTITUTE(SUBSTITUTE('Calculations'!HF386,"~","~~"),"*","~*"),"?","~?"),'Calculations'!$HN$13:$HN$512,"="&amp;SUBSTITUTE(SUBSTITUTE(SUBSTITUTE('Dashboard'!$B$7,"~","~~"),"*","~*"),"?","~?"))+COUNTIFS('Calculations'!$IH$13:$IH$512,"="&amp;SUBSTITUTE(SUBSTITUTE(SUBSTITUTE('Calculations'!HF386,"~","~~"),"*","~*"),"?","~?"),'Calculations'!$HN$13:$HN$512,"="&amp;SUBSTITUTE(SUBSTITUTE(SUBSTITUTE('Dashboard'!$B$7,"~","~~"),"*","~*"),"?","~?"))))</x:f>
        <x:v>0</x:v>
      </x:c>
      <x:c r="JD386" t="n">
        <x:f>IF('Calculations'!EM386="",0,IF('Dashboard'!$B$7="All",1,IF('Calculations'!HN386='Dashboard'!$B$7,1,0)+IFERROR(INDEX('Calculations'!$JC$13:$JC$512,MATCH('Calculations'!HE386,'Calculations'!$HF$13:$HF$512,0)),0)))</x:f>
        <x:v>0</x:v>
      </x:c>
      <x:c r="JE386" t="n">
        <x:f>IF(AND('Calculations'!EM386&lt;&gt;"",'Calculations'!$JJ$2&lt;&gt;"All",'Calculations'!$JJ$2&lt;&gt;"",'Calculations'!HF386='Calculations'!$JJ$2,'Calculations'!HL386=0,'Calculations'!JD386&gt;0),MAX('Calculations'!$JE$12:JE385)+1,0)</x:f>
        <x:v>0</x:v>
      </x:c>
      <x:c r="JF386" t="str">
        <x:f>IF('Calculations'!EM386="","",IFERROR(IF(INDEX(INDIRECT("'WCM Calibration Final'!$G$1:$G$2000"),'Calculations'!$EM386)="","",TRIM(INDEX(INDIRECT("'WCM Calibration Final'!$G$1:$G$2000"),'Calculations'!$EM386)&amp;"")),""))</x:f>
      </x:c>
      <x:c r="JQ386" t="n">
        <x:f>IF(OR('Calculations'!BM386=0,NOT('Calculations'!$AG$2),'Calculations'!$AG$8&gt;0),0,IF(OR('Dashboard'!$B$7="All",'Calculations'!HN386='Dashboard'!$B$7),IF('Calculations'!$JJ$2="All",1,IF(AND('Calculations'!HF386='Calculations'!$JJ$2,'Calculations'!HL386=0),1,0)),0))</x:f>
        <x:v>0</x:v>
      </x:c>
    </x:row>
    <x:row r="387">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t="n">
        <x:f>IF('Calculations'!$EM387="",0,IF(OR(IFERROR(INDEX(INDIRECT("'WCM Calibration Final'!$A$1:$A$2000"),'Calculations'!$EM387)&lt;&gt;"",FALSE),IFERROR(INDEX(INDIRECT("'WCM Calibration Final'!$B$1:$B$2000"),'Calculations'!$EM387)&lt;&gt;"",FALSE),IFERROR(INDEX(INDIRECT("'WCM Calibration Final'!$C$1:$C$2000"),'Calculations'!$EM387)&lt;&gt;"",FALSE)),1,0))</x:f>
        <x:v>0</x:v>
      </x:c>
      <x:c r="BN387" s="4" t="n">
        <x:f>IF(AND('Calculations'!BM387=1,'Calculations'!$AG$2,'Calculations'!$EN387=1),1,0)</x:f>
        <x:v>0</x:v>
      </x:c>
      <x:c r="BO387" s="4" t="str">
        <x:f>IF('Calculations'!BM387=0,"",IFERROR(IF(AND(VALUE(INDEX(INDIRECT("'WCM Calibration Final'!$K$1:$K$2000"),'Calculations'!$EM387))&gt;=1,VALUE(INDEX(INDIRECT("'WCM Calibration Final'!$K$1:$K$2000"),'Calculations'!$EM387))&lt;=4,MOD(VALUE(INDEX(INDIRECT("'WCM Calibration Final'!$K$1:$K$2000"),'Calculations'!$EM387)),1)=0),VALUE(INDEX(INDIRECT("'WCM Calibration Final'!$K$1:$K$2000"),'Calculations'!$EM387)),""),""))</x:f>
      </x:c>
      <x:c r="BP387" s="4" t="str">
        <x:f>IF('Calculations'!BM387=0,"",IFERROR(IF(AND(VALUE(INDEX(INDIRECT("'WCM Calibration Final'!$L$1:$L$2000"),'Calculations'!$EM387))&gt;=1,VALUE(INDEX(INDIRECT("'WCM Calibration Final'!$L$1:$L$2000"),'Calculations'!$EM387))&lt;=4,MOD(VALUE(INDEX(INDIRECT("'WCM Calibration Final'!$L$1:$L$2000"),'Calculations'!$EM387)),1)=0),VALUE(INDEX(INDIRECT("'WCM Calibration Final'!$L$1:$L$2000"),'Calculations'!$EM387)),""),""))</x:f>
      </x:c>
      <x:c r="BQ387" s="4"/>
      <x:c r="BR387" s="4"/>
      <x:c r="BS387" s="4"/>
      <x:c r="BT387" s="4" t="n">
        <x:f>IF(AND('Calculations'!BM387=1,ISNUMBER('Calculations'!BO387),ISNUMBER('Calculations'!BP387)),1,0)</x:f>
        <x:v>0</x:v>
      </x:c>
      <x:c r="BU387" s="4" t="str">
        <x:f>IF('Calculations'!BM387=0,"",'Calculations'!$EO387)</x:f>
      </x:c>
      <x:c r="BV387" s="4" t="str">
        <x:f>IF('Calculations'!BM387=0,"",IFERROR(IF(OR(INDEX(INDIRECT("'WCM Calibration Final'!$H$1:$H$2000"),'Calculations'!$EM387)="MANAGING DIRECTOR",INDEX(INDIRECT("'WCM Calibration Final'!$H$1:$H$2000"),'Calculations'!$EM387)="DIRECTOR",INDEX(INDIRECT("'WCM Calibration Final'!$H$1:$H$2000"),'Calculations'!$EM387)="SENIOR VICE PRESIDENT",INDEX(INDIRECT("'WCM Calibration Final'!$H$1:$H$2000"),'Calculations'!$EM387)="VICE PRESIDENT",INDEX(INDIRECT("'WCM Calibration Final'!$H$1:$H$2000"),'Calculations'!$EM387)="ASSISTANT VICE PRESIDENT",INDEX(INDIRECT("'WCM Calibration Final'!$H$1:$H$2000"),'Calculations'!$EM387)="OFFICER"),UPPER(INDEX(INDIRECT("'WCM Calibration Final'!$H$1:$H$2000"),'Calculations'!$EM387)),"Other"),"Other"))</x:f>
      </x:c>
      <x:c r="BW387" s="4"/>
      <x:c r="BX387" s="4"/>
      <x:c r="BY387" s="4" t="n">
        <x:f>IF(AND('Calculations'!BM387=1,'Calculations'!BU387&lt;&gt;"",COUNTIF('Calculations'!$BU$12:BU387,'Calculations'!BU387)=1),MAX('Calculations'!$BY$11:BY386)+1,0)</x:f>
        <x:v>0</x:v>
      </x:c>
      <x:c r="BZ387" s="4" t="str">
        <x:f>IF('Dashboard'!$E$67="What",'Calculations'!BO387,'Calculations'!BP387)</x:f>
      </x:c>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t="str">
        <x:f>IF(376&gt;MAX('Calculations'!$HI$13:$HI$512),"",INDEX('Calculations'!$HN$13:$HN$512,MATCH(376,'Calculations'!$HI$13:$HI$512,0)))</x:f>
      </x:c>
      <x:c r="DB387" s="4" t="str">
        <x:f>IF(376&gt;MAX('Calculations'!$HH$13:$HH$512),"",INDEX('Calculations'!$HJ$13:$HJ$512,MATCH(376,'Calculations'!$HH$13:$HH$512,0)))</x:f>
      </x:c>
      <x:c r="DC387" s="4" t="str">
        <x:f>IF(ROW()-11&gt;MAX('Calculations'!$BY$13:$BY$512),"",INDEX('Calculations'!$BU$13:$BU$512,MATCH(ROW()-11,'Calculations'!$BY$13:$BY$512,0)))</x:f>
      </x:c>
      <x:c r="DD387" s="4" t="str">
        <x:f>IF(376&gt;MAX('Calculations'!$IK$13:$IK$512),"",INDEX('Calculations'!$HK$13:$HK$512,MATCH(376,'Calculations'!$IK$13:$IK$512,0)))</x:f>
      </x:c>
      <x:c r="DE387" s="4" t="str">
        <x:f>'Calculations'!DC387</x:f>
      </x:c>
      <x:c r="DF387" s="4" t="str">
        <x:f>IF('Calculations'!DE387="","",COUNTIFS('Calculations'!$BN$13:$BN$512,1,'Calculations'!$BU$13:$BU$512,'Calculations'!DE387))</x:f>
      </x:c>
      <x:c r="DG387" s="4" t="str">
        <x:f>IF('Calculations'!DE387="","",COUNTIFS('Calculations'!$BN$13:$BN$512,1,'Calculations'!$BU$13:$BU$512,'Calculations'!DE387,'Calculations'!$BT$13:$BT$512,1))</x:f>
      </x:c>
      <x:c r="DH387" s="4" t="str">
        <x:f>IF('Calculations'!DE387="","",'Calculations'!DF387-'Calculations'!DG387)</x:f>
      </x:c>
      <x:c r="DI387" s="4" t="str">
        <x:f>IF(OR('Calculations'!DE387="",'Calculations'!DF387=0),"",'Calculations'!DG387/'Calculations'!DF387)</x:f>
      </x:c>
      <x:c r="DJ387" s="4" t="str">
        <x:f>IF('Calculations'!DE387="","",COUNTIFS('Calculations'!$BN$13:$BN$512,1,'Calculations'!$BU$13:$BU$512,'Calculations'!DE387,'Calculations'!$BT$13:$BT$512,1,'Calculations'!$EE$13:$EE$512,"High"))</x:f>
      </x:c>
      <x:c r="DK387" s="4" t="str">
        <x:f>IF('Calculations'!DE387="","",COUNTIFS('Calculations'!$BN$13:$BN$512,1,'Calculations'!$BU$13:$BU$512,'Calculations'!DE387,'Calculations'!$BT$13:$BT$512,1,'Calculations'!$EE$13:$EE$512,"Strong"))</x:f>
      </x:c>
      <x:c r="DL387" s="4" t="str">
        <x:f>IF('Calculations'!DE387="","",COUNTIFS('Calculations'!$BN$13:$BN$512,1,'Calculations'!$BU$13:$BU$512,'Calculations'!DE387,'Calculations'!$BT$13:$BT$512,1,'Calculations'!$EE$13:$EE$512,"Solid"))</x:f>
      </x:c>
      <x:c r="DM387" s="4" t="str">
        <x:f>IF('Calculations'!DE387="","",COUNTIFS('Calculations'!$BN$13:$BN$512,1,'Calculations'!$BU$13:$BU$512,'Calculations'!DE387,'Calculations'!$BT$13:$BT$512,1,'Calculations'!$EE$13:$EE$512,"Low"))</x:f>
      </x:c>
      <x:c r="DN387" s="4" t="str">
        <x:f>IF('Calculations'!DE387="","",COUNTIFS('Calculations'!$BN$13:$BN$512,1,'Calculations'!$BU$13:$BU$512,'Calculations'!DE387,'Calculations'!$EP$13:$EP$512,1))</x:f>
      </x:c>
      <x:c r="DO387" s="4" t="str">
        <x:f>IF(OR('Calculations'!DE387="",'Calculations'!DG387=0),"",('Calculations'!DJ387+'Calculations'!DK387)/'Calculations'!DG387)</x:f>
      </x:c>
      <x:c r="DP387" s="4" t="n">
        <x:f>IF(AND('Calculations'!DE387&lt;&gt;"",'Calculations'!DF387&gt;0),COUNTIF('Calculations'!$DF$12:DF387,"&gt;0"),0)</x:f>
        <x:v>0</x:v>
      </x:c>
      <x:c r="DQ387" s="4" t="str">
        <x:f>IF(376&gt;MAX('Calculations'!$HH$13:$HH$512),"",INDEX('Calculations'!$HF$13:$HF$512,MATCH(376,'Calculations'!$HH$13:$HH$512,0)))</x:f>
      </x:c>
      <x:c r="DR387" s="4" t="str">
        <x:f>IF(376&gt;MAX('Calculations'!$IK$13:$IK$512),"",INDEX('Calculations'!$HE$13:$HE$512,MATCH(376,'Calculations'!$IK$13:$IK$512,0)))</x:f>
      </x:c>
      <x:c r="DS387" s="4"/>
      <x:c r="DT387" s="4"/>
      <x:c r="DU387" s="4"/>
      <x:c r="DV387" s="4"/>
      <x:c r="DW387" s="4"/>
      <x:c r="DX387" s="4"/>
      <x:c r="DY387" s="4"/>
      <x:c r="DZ387" s="4"/>
      <x:c r="EA387" s="4"/>
      <x:c r="EB387" s="4"/>
      <x:c r="EC387" s="4"/>
      <x:c r="ED387" s="4"/>
      <x:c r="EE387" s="4" t="str">
        <x:f>IF('Calculations'!BT387=0,"Not Rated",IF(OR('Calculations'!BO387&gt;=4,'Calculations'!BP387&gt;=4),"Low",IF('Calculations'!BO387+'Calculations'!BP387&lt;=3,"High",IF('Calculations'!BO387+'Calculations'!BP387&lt;=4,"Strong","Solid"))))</x:f>
        <x:v>Not Rated</x:v>
      </x:c>
      <x:c r="EF387" s="4"/>
      <x:c r="EG387" s="4"/>
      <x:c r="EH387" s="4"/>
      <x:c r="EI387" s="4"/>
      <x:c r="EJ387" s="4"/>
      <x:c r="EK387" s="4"/>
      <x:c r="EL387" s="4"/>
      <x:c r="EM387" s="4" t="str">
        <x:f>IF(375&gt;'Calculations'!$JB$2000,"",INDEX('Calculations'!$JA$12:$JA$2000,MATCH(375,'Calculations'!$JB$12:$JB$2000,0)))</x:f>
      </x:c>
      <x:c r="EN387" s="4" t="n">
        <x:f>IF(OR('Calculations'!EM387="",'Calculations'!$AG$8&gt;0,AND('Calculations'!$EF$2&lt;&gt;"All",'Calculations'!HE387='Calculations'!$EF$2),AND('Calculations'!$EF$3&lt;&gt;"All",'Calculations'!HE387='Calculations'!$EF$3)),0,IF(OR('Dashboard'!$B$7="All",'Calculations'!HN387='Dashboard'!$B$7),IF('Calculations'!$EF$2="All",1,IF('Calculations'!HL387&gt;0,0,IF(COUNTIF('Calculations'!HO387:II387,"="&amp;SUBSTITUTE(SUBSTITUTE(SUBSTITUTE('Calculations'!$EF$2,"~","~~"),"*","~*"),"?","~?"))=0,0,IF('Calculations'!$EF$3="All",1,IF(COUNTIF('Calculations'!HO387:II387,"="&amp;SUBSTITUTE(SUBSTITUTE(SUBSTITUTE('Calculations'!$EF$3,"~","~~"),"*","~*"),"?","~?"))&gt;0,1,0))))),0))</x:f>
        <x:v>0</x:v>
      </x:c>
      <x:c r="EO387" s="4" t="str">
        <x:f>IF('Calculations'!IJ387="","",IF('Calculations'!IJ387="!UNRESOLVED","Unresolved hierarchy",IFERROR(INDEX('Calculations'!$HK$13:$HK$512,MATCH('Calculations'!IJ387,'Calculations'!$HE$13:$HE$512,0)),IFERROR(INDEX('Calculations'!$HJ$13:$HJ$512,MATCH('Calculations'!IJ387,'Calculations'!$HF$13:$HF$512,0)),'Calculations'!IJ387))))</x:f>
      </x:c>
      <x:c r="EP387" s="4" t="n">
        <x:f>IF(AND('Calculations'!EM387&lt;&gt;"",'Calculations'!HF387='Calculations'!IJ387),1,0)</x:f>
        <x:v>0</x:v>
      </x:c>
      <x:c r="EQ387" s="4"/>
      <x:c r="ER387" s="4"/>
      <x:c r="ES387" s="4"/>
      <x:c r="ET387" s="4"/>
      <x:c r="EU387" s="4"/>
      <x:c r="EV387" s="4"/>
      <x:c r="EW387" s="4"/>
      <x:c r="EX387" s="4"/>
      <x:c r="EY387" s="4"/>
      <x:c r="EZ387" s="4"/>
      <x:c r="FA387" s="4"/>
      <x:c r="FB387" s="4"/>
      <x:c r="FC387" s="4"/>
      <x:c r="FD387" s="4"/>
      <x:c r="FE387" s="4"/>
      <x:c r="FF387" s="4"/>
      <x:c r="FG387" s="4"/>
      <x:c r="FH387" s="4"/>
      <x:c r="FI387" s="4"/>
      <x:c r="FJ387" s="4"/>
      <x:c r="FK387" s="4"/>
      <x:c r="FL387" s="4"/>
      <x:c r="FM387" s="4"/>
      <x:c r="FN387" s="4"/>
      <x:c r="FO387" s="4"/>
      <x:c r="HE387" t="str">
        <x:f>IF('Calculations'!EM387="","",IF(IFERROR(IF(INDEX(INDIRECT("'WCM Calibration Final'!$A$1:$A$2000"),'Calculations'!$EM387)="","",TRIM(INDEX(INDIRECT("'WCM Calibration Final'!$A$1:$A$2000"),'Calculations'!$EM387)&amp;"")),"")&lt;&gt;"","G:"&amp;IFERROR(TEXT(1*INDEX(INDIRECT("'WCM Calibration Final'!$A$1:$A$2000"),'Calculations'!$EM387),"0"),UPPER(IFERROR(IF(INDEX(INDIRECT("'WCM Calibration Final'!$A$1:$A$2000"),'Calculations'!$EM387)="","",TRIM(INDEX(INDIRECT("'WCM Calibration Final'!$A$1:$A$2000"),'Calculations'!$EM387)&amp;"")),""))),IF(IFERROR(IF(INDEX(INDIRECT("'WCM Calibration Final'!$C$1:$C$2000"),'Calculations'!$EM387)="","",TRIM(INDEX(INDIRECT("'WCM Calibration Final'!$C$1:$C$2000"),'Calculations'!$EM387)&amp;"")),"")&lt;&gt;"","S:"&amp;UPPER(IFERROR(IF(INDEX(INDIRECT("'WCM Calibration Final'!$C$1:$C$2000"),'Calculations'!$EM387)="","",TRIM(INDEX(INDIRECT("'WCM Calibration Final'!$C$1:$C$2000"),'Calculations'!$EM387)&amp;"")),"")),"R:"&amp;'Calculations'!EM387)))</x:f>
      </x:c>
      <x:c r="HF387" t="str">
        <x:f>IF('Calculations'!EM387="","",IF(IFERROR(IF(INDEX(INDIRECT("'WCM Calibration Final'!$D$1:$D$2000"),'Calculations'!$EM387)="","",TRIM(INDEX(INDIRECT("'WCM Calibration Final'!$D$1:$D$2000"),'Calculations'!$EM387)&amp;"")),"")&lt;&gt;"","G:"&amp;IFERROR(TEXT(1*INDEX(INDIRECT("'WCM Calibration Final'!$D$1:$D$2000"),'Calculations'!$EM387),"0"),UPPER(IFERROR(IF(INDEX(INDIRECT("'WCM Calibration Final'!$D$1:$D$2000"),'Calculations'!$EM387)="","",TRIM(INDEX(INDIRECT("'WCM Calibration Final'!$D$1:$D$2000"),'Calculations'!$EM387)&amp;"")),""))),IF(IFERROR(IF(INDEX(INDIRECT("'WCM Calibration Final'!$E$1:$E$2000"),'Calculations'!$EM387)="","",TRIM(INDEX(INDIRECT("'WCM Calibration Final'!$E$1:$E$2000"),'Calculations'!$EM387)&amp;"")),"")="","",IF(COUNTIF('Calculations'!$HG$13:$HG$512,"="&amp;SUBSTITUTE(SUBSTITUTE(SUBSTITUTE(IFERROR(IF(INDEX(INDIRECT("'WCM Calibration Final'!$E$1:$E$2000"),'Calculations'!$EM387)="","",TRIM(INDEX(INDIRECT("'WCM Calibration Final'!$E$1:$E$2000"),'Calculations'!$EM387)&amp;"")),""),"~","~~"),"*","~*"),"?","~?"))=1,INDEX('Calculations'!$HE$13:$HE$512,MATCH(IFERROR(IF(INDEX(INDIRECT("'WCM Calibration Final'!$E$1:$E$2000"),'Calculations'!$EM387)="","",TRIM(INDEX(INDIRECT("'WCM Calibration Final'!$E$1:$E$2000"),'Calculations'!$EM387)&amp;"")),""),'Calculations'!$HG$13:$HG$512,0)),IF(COUNTIF('Calculations'!$HG$13:$HG$512,"="&amp;SUBSTITUTE(SUBSTITUTE(SUBSTITUTE(IFERROR(IF(INDEX(INDIRECT("'WCM Calibration Final'!$E$1:$E$2000"),'Calculations'!$EM387)="","",TRIM(INDEX(INDIRECT("'WCM Calibration Final'!$E$1:$E$2000"),'Calculations'!$EM387)&amp;"")),""),"~","~~"),"*","~*"),"?","~?"))&gt;1,"!AMBIG","X:"&amp;IFERROR(IF(INDEX(INDIRECT("'WCM Calibration Final'!$E$1:$E$2000"),'Calculations'!$EM387)="","",TRIM(INDEX(INDIRECT("'WCM Calibration Final'!$E$1:$E$2000"),'Calculations'!$EM387)&amp;"")),""))))))</x:f>
      </x:c>
      <x:c r="HG387" t="str">
        <x:f>IF('Calculations'!EM387="","",IFERROR(IF(INDEX(INDIRECT("'WCM Calibration Final'!$B$1:$B$2000"),'Calculations'!$EM387)="","",TRIM(INDEX(INDIRECT("'WCM Calibration Final'!$B$1:$B$2000"),'Calculations'!$EM387)&amp;"")),""))</x:f>
      </x:c>
      <x:c r="HH387" t="n">
        <x:f>IF(AND('Calculations'!JC387&gt;0,COUNTIF('Calculations'!$HF$12:HF387,"="&amp;SUBSTITUTE(SUBSTITUTE(SUBSTITUTE('Calculations'!HF387,"~","~~"),"*","~*"),"?","~?"))=1),MAX('Calculations'!$HH$12:HH386)+1,0)</x:f>
        <x:v>0</x:v>
      </x:c>
      <x:c r="HI387" t="n">
        <x:f>IF(AND('Calculations'!HN387&lt;&gt;"",COUNTIF('Calculations'!$HN$12:HN387,"="&amp;SUBSTITUTE(SUBSTITUTE(SUBSTITUTE('Calculations'!HN387,"~","~~"),"*","~*"),"?","~?"))=1),MAX('Calculations'!$HI$12:HI386)+1,0)</x:f>
        <x:v>0</x:v>
      </x:c>
      <x:c r="HJ387" t="str">
        <x:f>IF('Calculations'!HF387="","",IF(COUNTIF('Calculations'!$HE$13:$HE$512,"="&amp;SUBSTITUTE(SUBSTITUTE(SUBSTITUTE('Calculations'!HF387,"~","~~"),"*","~*"),"?","~?"))=1,INDEX('Calculations'!$HK$13:$HK$512,MATCH('Calculations'!HF387,'Calculations'!$HE$13:$HE$512,0)),IFERROR(IF(INDEX(INDIRECT("'WCM Calibration Final'!$E$1:$E$2000"),'Calculations'!$EM387)="","",TRIM(INDEX(INDIRECT("'WCM Calibration Final'!$E$1:$E$2000"),'Calculations'!$EM387)&amp;"")),"")&amp;" ["&amp;'Calculations'!HF387&amp;"]"))</x:f>
      </x:c>
      <x:c r="HK387" t="str">
        <x:f>IF('Calculations'!EM387="","",'Calculations'!HG387&amp;" ["&amp;'Calculations'!HE387&amp;"]")</x:f>
      </x:c>
      <x:c r="HL387" t="n">
        <x:f>IF('Calculations'!EM387="",0,IF(OR('Calculations'!II387&lt;&gt;"",COUNTIF('Calculations'!$HE$13:$HE$512,"="&amp;SUBSTITUTE(SUBSTITUTE(SUBSTITUTE('Calculations'!HE387,"~","~~"),"*","~*"),"?","~?"))&gt;1),1,0))</x:f>
        <x:v>0</x:v>
      </x:c>
      <x:c r="HM387" t="str">
        <x:f>IF('Calculations'!EM387="","",IF('Calculations'!HL387=1,"!UNRESOLVED",IF('Calculations'!IH387&lt;&gt;"",'Calculations'!IH387,IF('Calculations'!IG387&lt;&gt;"",'Calculations'!IG387,IF('Calculations'!IF387&lt;&gt;"",'Calculations'!IF387,IF('Calculations'!IE387&lt;&gt;"",'Calculations'!IE387,IF('Calculations'!ID387&lt;&gt;"",'Calculations'!ID387,IF('Calculations'!IC387&lt;&gt;"",'Calculations'!IC387,IF('Calculations'!IB387&lt;&gt;"",'Calculations'!IB387,IF('Calculations'!IA387&lt;&gt;"",'Calculations'!IA387,IF('Calculations'!HZ387&lt;&gt;"",'Calculations'!HZ387,IF('Calculations'!HY387&lt;&gt;"",'Calculations'!HY387,IF('Calculations'!HX387&lt;&gt;"",'Calculations'!HX387,IF('Calculations'!HW387&lt;&gt;"",'Calculations'!HW387,IF('Calculations'!HV387&lt;&gt;"",'Calculations'!HV387,IF('Calculations'!HU387&lt;&gt;"",'Calculations'!HU387,IF('Calculations'!HT387&lt;&gt;"",'Calculations'!HT387,IF('Calculations'!HS387&lt;&gt;"",'Calculations'!HS387,IF('Calculations'!HR387&lt;&gt;"",'Calculations'!HR387,IF('Calculations'!HQ387&lt;&gt;"",'Calculations'!HQ387,IF('Calculations'!HP387&lt;&gt;"",'Calculations'!HP387,IF('Calculations'!HO387&lt;&gt;"",'Calculations'!HO387,'Calculations'!HE387))))))))))))))))))))))</x:f>
      </x:c>
      <x:c r="HN387" t="str">
        <x:f>IF('Calculations'!EM387="","",IF(IFERROR(IF(INDEX(INDIRECT("'WCM Calibration Final'!$F$1:$F$2000"),'Calculations'!$EM387)="","",TRIM(INDEX(INDIRECT("'WCM Calibration Final'!$F$1:$F$2000"),'Calculations'!$EM387)&amp;"")),"")="","(Blank)",IFERROR(IF(INDEX(INDIRECT("'WCM Calibration Final'!$F$1:$F$2000"),'Calculations'!$EM387)="","",TRIM(INDEX(INDIRECT("'WCM Calibration Final'!$F$1:$F$2000"),'Calculations'!$EM387)&amp;"")),"")))</x:f>
      </x:c>
      <x:c r="HO387" t="str">
        <x:f>'Calculations'!HF387</x:f>
      </x:c>
      <x:c r="HP387" t="str">
        <x:f>IF('Calculations'!HO387="","",IF('Calculations'!HO387="!AMBIG","!AMBIG",IF(COUNTIF('Calculations'!$HE$13:$HE$512,"="&amp;SUBSTITUTE(SUBSTITUTE(SUBSTITUTE('Calculations'!HO387,"~","~~"),"*","~*"),"?","~?"))&gt;1,"!AMBIG",IFERROR(INDEX('Calculations'!$HF$13:$HF$512,MATCH('Calculations'!HO387,'Calculations'!$HE$13:$HE$512,0)),""))))</x:f>
      </x:c>
      <x:c r="HQ387" t="str">
        <x:f>IF('Calculations'!HP387="","",IF('Calculations'!HP387="!AMBIG","!AMBIG",IF(COUNTIF('Calculations'!$HE$13:$HE$512,"="&amp;SUBSTITUTE(SUBSTITUTE(SUBSTITUTE('Calculations'!HP387,"~","~~"),"*","~*"),"?","~?"))&gt;1,"!AMBIG",IFERROR(INDEX('Calculations'!$HF$13:$HF$512,MATCH('Calculations'!HP387,'Calculations'!$HE$13:$HE$512,0)),""))))</x:f>
      </x:c>
      <x:c r="HR387" t="str">
        <x:f>IF('Calculations'!HQ387="","",IF('Calculations'!HQ387="!AMBIG","!AMBIG",IF(COUNTIF('Calculations'!$HE$13:$HE$512,"="&amp;SUBSTITUTE(SUBSTITUTE(SUBSTITUTE('Calculations'!HQ387,"~","~~"),"*","~*"),"?","~?"))&gt;1,"!AMBIG",IFERROR(INDEX('Calculations'!$HF$13:$HF$512,MATCH('Calculations'!HQ387,'Calculations'!$HE$13:$HE$512,0)),""))))</x:f>
      </x:c>
      <x:c r="HS387" t="str">
        <x:f>IF('Calculations'!HR387="","",IF('Calculations'!HR387="!AMBIG","!AMBIG",IF(COUNTIF('Calculations'!$HE$13:$HE$512,"="&amp;SUBSTITUTE(SUBSTITUTE(SUBSTITUTE('Calculations'!HR387,"~","~~"),"*","~*"),"?","~?"))&gt;1,"!AMBIG",IFERROR(INDEX('Calculations'!$HF$13:$HF$512,MATCH('Calculations'!HR387,'Calculations'!$HE$13:$HE$512,0)),""))))</x:f>
      </x:c>
      <x:c r="HT387" t="str">
        <x:f>IF('Calculations'!HS387="","",IF('Calculations'!HS387="!AMBIG","!AMBIG",IF(COUNTIF('Calculations'!$HE$13:$HE$512,"="&amp;SUBSTITUTE(SUBSTITUTE(SUBSTITUTE('Calculations'!HS387,"~","~~"),"*","~*"),"?","~?"))&gt;1,"!AMBIG",IFERROR(INDEX('Calculations'!$HF$13:$HF$512,MATCH('Calculations'!HS387,'Calculations'!$HE$13:$HE$512,0)),""))))</x:f>
      </x:c>
      <x:c r="HU387" t="str">
        <x:f>IF('Calculations'!HT387="","",IF('Calculations'!HT387="!AMBIG","!AMBIG",IF(COUNTIF('Calculations'!$HE$13:$HE$512,"="&amp;SUBSTITUTE(SUBSTITUTE(SUBSTITUTE('Calculations'!HT387,"~","~~"),"*","~*"),"?","~?"))&gt;1,"!AMBIG",IFERROR(INDEX('Calculations'!$HF$13:$HF$512,MATCH('Calculations'!HT387,'Calculations'!$HE$13:$HE$512,0)),""))))</x:f>
      </x:c>
      <x:c r="HV387" t="str">
        <x:f>IF('Calculations'!HU387="","",IF('Calculations'!HU387="!AMBIG","!AMBIG",IF(COUNTIF('Calculations'!$HE$13:$HE$512,"="&amp;SUBSTITUTE(SUBSTITUTE(SUBSTITUTE('Calculations'!HU387,"~","~~"),"*","~*"),"?","~?"))&gt;1,"!AMBIG",IFERROR(INDEX('Calculations'!$HF$13:$HF$512,MATCH('Calculations'!HU387,'Calculations'!$HE$13:$HE$512,0)),""))))</x:f>
      </x:c>
      <x:c r="HW387" t="str">
        <x:f>IF('Calculations'!HV387="","",IF('Calculations'!HV387="!AMBIG","!AMBIG",IF(COUNTIF('Calculations'!$HE$13:$HE$512,"="&amp;SUBSTITUTE(SUBSTITUTE(SUBSTITUTE('Calculations'!HV387,"~","~~"),"*","~*"),"?","~?"))&gt;1,"!AMBIG",IFERROR(INDEX('Calculations'!$HF$13:$HF$512,MATCH('Calculations'!HV387,'Calculations'!$HE$13:$HE$512,0)),""))))</x:f>
      </x:c>
      <x:c r="HX387" t="str">
        <x:f>IF('Calculations'!HW387="","",IF('Calculations'!HW387="!AMBIG","!AMBIG",IF(COUNTIF('Calculations'!$HE$13:$HE$512,"="&amp;SUBSTITUTE(SUBSTITUTE(SUBSTITUTE('Calculations'!HW387,"~","~~"),"*","~*"),"?","~?"))&gt;1,"!AMBIG",IFERROR(INDEX('Calculations'!$HF$13:$HF$512,MATCH('Calculations'!HW387,'Calculations'!$HE$13:$HE$512,0)),""))))</x:f>
      </x:c>
      <x:c r="HY387" t="str">
        <x:f>IF('Calculations'!HX387="","",IF('Calculations'!HX387="!AMBIG","!AMBIG",IF(COUNTIF('Calculations'!$HE$13:$HE$512,"="&amp;SUBSTITUTE(SUBSTITUTE(SUBSTITUTE('Calculations'!HX387,"~","~~"),"*","~*"),"?","~?"))&gt;1,"!AMBIG",IFERROR(INDEX('Calculations'!$HF$13:$HF$512,MATCH('Calculations'!HX387,'Calculations'!$HE$13:$HE$512,0)),""))))</x:f>
      </x:c>
      <x:c r="HZ387" t="str">
        <x:f>IF('Calculations'!HY387="","",IF('Calculations'!HY387="!AMBIG","!AMBIG",IF(COUNTIF('Calculations'!$HE$13:$HE$512,"="&amp;SUBSTITUTE(SUBSTITUTE(SUBSTITUTE('Calculations'!HY387,"~","~~"),"*","~*"),"?","~?"))&gt;1,"!AMBIG",IFERROR(INDEX('Calculations'!$HF$13:$HF$512,MATCH('Calculations'!HY387,'Calculations'!$HE$13:$HE$512,0)),""))))</x:f>
      </x:c>
      <x:c r="IA387" t="str">
        <x:f>IF('Calculations'!HZ387="","",IF('Calculations'!HZ387="!AMBIG","!AMBIG",IF(COUNTIF('Calculations'!$HE$13:$HE$512,"="&amp;SUBSTITUTE(SUBSTITUTE(SUBSTITUTE('Calculations'!HZ387,"~","~~"),"*","~*"),"?","~?"))&gt;1,"!AMBIG",IFERROR(INDEX('Calculations'!$HF$13:$HF$512,MATCH('Calculations'!HZ387,'Calculations'!$HE$13:$HE$512,0)),""))))</x:f>
      </x:c>
      <x:c r="IB387" t="str">
        <x:f>IF('Calculations'!IA387="","",IF('Calculations'!IA387="!AMBIG","!AMBIG",IF(COUNTIF('Calculations'!$HE$13:$HE$512,"="&amp;SUBSTITUTE(SUBSTITUTE(SUBSTITUTE('Calculations'!IA387,"~","~~"),"*","~*"),"?","~?"))&gt;1,"!AMBIG",IFERROR(INDEX('Calculations'!$HF$13:$HF$512,MATCH('Calculations'!IA387,'Calculations'!$HE$13:$HE$512,0)),""))))</x:f>
      </x:c>
      <x:c r="IC387" t="str">
        <x:f>IF('Calculations'!IB387="","",IF('Calculations'!IB387="!AMBIG","!AMBIG",IF(COUNTIF('Calculations'!$HE$13:$HE$512,"="&amp;SUBSTITUTE(SUBSTITUTE(SUBSTITUTE('Calculations'!IB387,"~","~~"),"*","~*"),"?","~?"))&gt;1,"!AMBIG",IFERROR(INDEX('Calculations'!$HF$13:$HF$512,MATCH('Calculations'!IB387,'Calculations'!$HE$13:$HE$512,0)),""))))</x:f>
      </x:c>
      <x:c r="ID387" t="str">
        <x:f>IF('Calculations'!IC387="","",IF('Calculations'!IC387="!AMBIG","!AMBIG",IF(COUNTIF('Calculations'!$HE$13:$HE$512,"="&amp;SUBSTITUTE(SUBSTITUTE(SUBSTITUTE('Calculations'!IC387,"~","~~"),"*","~*"),"?","~?"))&gt;1,"!AMBIG",IFERROR(INDEX('Calculations'!$HF$13:$HF$512,MATCH('Calculations'!IC387,'Calculations'!$HE$13:$HE$512,0)),""))))</x:f>
      </x:c>
      <x:c r="IE387" t="str">
        <x:f>IF('Calculations'!ID387="","",IF('Calculations'!ID387="!AMBIG","!AMBIG",IF(COUNTIF('Calculations'!$HE$13:$HE$512,"="&amp;SUBSTITUTE(SUBSTITUTE(SUBSTITUTE('Calculations'!ID387,"~","~~"),"*","~*"),"?","~?"))&gt;1,"!AMBIG",IFERROR(INDEX('Calculations'!$HF$13:$HF$512,MATCH('Calculations'!ID387,'Calculations'!$HE$13:$HE$512,0)),""))))</x:f>
      </x:c>
      <x:c r="IF387" t="str">
        <x:f>IF('Calculations'!IE387="","",IF('Calculations'!IE387="!AMBIG","!AMBIG",IF(COUNTIF('Calculations'!$HE$13:$HE$512,"="&amp;SUBSTITUTE(SUBSTITUTE(SUBSTITUTE('Calculations'!IE387,"~","~~"),"*","~*"),"?","~?"))&gt;1,"!AMBIG",IFERROR(INDEX('Calculations'!$HF$13:$HF$512,MATCH('Calculations'!IE387,'Calculations'!$HE$13:$HE$512,0)),""))))</x:f>
      </x:c>
      <x:c r="IG387" t="str">
        <x:f>IF('Calculations'!IF387="","",IF('Calculations'!IF387="!AMBIG","!AMBIG",IF(COUNTIF('Calculations'!$HE$13:$HE$512,"="&amp;SUBSTITUTE(SUBSTITUTE(SUBSTITUTE('Calculations'!IF387,"~","~~"),"*","~*"),"?","~?"))&gt;1,"!AMBIG",IFERROR(INDEX('Calculations'!$HF$13:$HF$512,MATCH('Calculations'!IF387,'Calculations'!$HE$13:$HE$512,0)),""))))</x:f>
      </x:c>
      <x:c r="IH387" t="str">
        <x:f>IF('Calculations'!IG387="","",IF('Calculations'!IG387="!AMBIG","!AMBIG",IF(COUNTIF('Calculations'!$HE$13:$HE$512,"="&amp;SUBSTITUTE(SUBSTITUTE(SUBSTITUTE('Calculations'!IG387,"~","~~"),"*","~*"),"?","~?"))&gt;1,"!AMBIG",IFERROR(INDEX('Calculations'!$HF$13:$HF$512,MATCH('Calculations'!IG387,'Calculations'!$HE$13:$HE$512,0)),""))))</x:f>
      </x:c>
      <x:c r="II387" t="str">
        <x:f>IF('Calculations'!IH387="","",IF('Calculations'!IH387="!AMBIG","!AMBIG",IF(COUNTIF('Calculations'!$HE$13:$HE$512,"="&amp;SUBSTITUTE(SUBSTITUTE(SUBSTITUTE('Calculations'!IH387,"~","~~"),"*","~*"),"?","~?"))&gt;1,"!AMBIG",IFERROR(INDEX('Calculations'!$HF$13:$HF$512,MATCH('Calculations'!IH387,'Calculations'!$HE$13:$HE$512,0)),""))))</x:f>
      </x:c>
      <x:c r="IJ387" t="str">
        <x:f>IF('Calculations'!EM387="","",IF('Calculations'!$EF$2="All",'Calculations'!HM387,IF('Calculations'!HL387=1,"",IFERROR(IF(MATCH('Calculations'!$EF$2,'Calculations'!HO387:II387,0)=1,'Calculations'!HE387,INDEX('Calculations'!HO387:II387,1,MATCH('Calculations'!$EF$2,'Calculations'!HO387:II387,0)-1)),""))))</x:f>
      </x:c>
      <x:c r="IK387" t="n">
        <x:f>IF(AND('Calculations'!EM387&lt;&gt;"",'Calculations'!$EF$2&lt;&gt;"All",'Calculations'!HF387='Calculations'!$EF$2,'Calculations'!HL387=0,'Calculations'!JD387&gt;0),MAX('Calculations'!$IK$12:IK386)+1,0)</x:f>
        <x:v>0</x:v>
      </x:c>
      <x:c r="JA387" t="n">
        <x:f>IF(OR(IFERROR(INDIRECT("'WCM Calibration Final'!$A$387")&lt;&gt;"",FALSE),IFERROR(INDIRECT("'WCM Calibration Final'!$B$387")&lt;&gt;"",FALSE),IFERROR(INDIRECT("'WCM Calibration Final'!$C$387")&lt;&gt;"",FALSE)),387,0)</x:f>
        <x:v>0</x:v>
      </x:c>
      <x:c r="JB387" t="n">
        <x:f>'Calculations'!JB386+IF('Calculations'!JA387&gt;0,1,0)</x:f>
        <x:v>0</x:v>
      </x:c>
      <x:c r="JC387" t="n">
        <x:f>IF(OR('Calculations'!HF387="",'Calculations'!HF387="!AMBIG"),0,IF('Dashboard'!$B$7="All",1,COUNTIFS('Calculations'!$HO$13:$HO$512,"="&amp;SUBSTITUTE(SUBSTITUTE(SUBSTITUTE('Calculations'!HF387,"~","~~"),"*","~*"),"?","~?"),'Calculations'!$HN$13:$HN$512,"="&amp;SUBSTITUTE(SUBSTITUTE(SUBSTITUTE('Dashboard'!$B$7,"~","~~"),"*","~*"),"?","~?"))+COUNTIFS('Calculations'!$HP$13:$HP$512,"="&amp;SUBSTITUTE(SUBSTITUTE(SUBSTITUTE('Calculations'!HF387,"~","~~"),"*","~*"),"?","~?"),'Calculations'!$HN$13:$HN$512,"="&amp;SUBSTITUTE(SUBSTITUTE(SUBSTITUTE('Dashboard'!$B$7,"~","~~"),"*","~*"),"?","~?"))+COUNTIFS('Calculations'!$HQ$13:$HQ$512,"="&amp;SUBSTITUTE(SUBSTITUTE(SUBSTITUTE('Calculations'!HF387,"~","~~"),"*","~*"),"?","~?"),'Calculations'!$HN$13:$HN$512,"="&amp;SUBSTITUTE(SUBSTITUTE(SUBSTITUTE('Dashboard'!$B$7,"~","~~"),"*","~*"),"?","~?"))+COUNTIFS('Calculations'!$HR$13:$HR$512,"="&amp;SUBSTITUTE(SUBSTITUTE(SUBSTITUTE('Calculations'!HF387,"~","~~"),"*","~*"),"?","~?"),'Calculations'!$HN$13:$HN$512,"="&amp;SUBSTITUTE(SUBSTITUTE(SUBSTITUTE('Dashboard'!$B$7,"~","~~"),"*","~*"),"?","~?"))+COUNTIFS('Calculations'!$HS$13:$HS$512,"="&amp;SUBSTITUTE(SUBSTITUTE(SUBSTITUTE('Calculations'!HF387,"~","~~"),"*","~*"),"?","~?"),'Calculations'!$HN$13:$HN$512,"="&amp;SUBSTITUTE(SUBSTITUTE(SUBSTITUTE('Dashboard'!$B$7,"~","~~"),"*","~*"),"?","~?"))+COUNTIFS('Calculations'!$HT$13:$HT$512,"="&amp;SUBSTITUTE(SUBSTITUTE(SUBSTITUTE('Calculations'!HF387,"~","~~"),"*","~*"),"?","~?"),'Calculations'!$HN$13:$HN$512,"="&amp;SUBSTITUTE(SUBSTITUTE(SUBSTITUTE('Dashboard'!$B$7,"~","~~"),"*","~*"),"?","~?"))+COUNTIFS('Calculations'!$HU$13:$HU$512,"="&amp;SUBSTITUTE(SUBSTITUTE(SUBSTITUTE('Calculations'!HF387,"~","~~"),"*","~*"),"?","~?"),'Calculations'!$HN$13:$HN$512,"="&amp;SUBSTITUTE(SUBSTITUTE(SUBSTITUTE('Dashboard'!$B$7,"~","~~"),"*","~*"),"?","~?"))+COUNTIFS('Calculations'!$HV$13:$HV$512,"="&amp;SUBSTITUTE(SUBSTITUTE(SUBSTITUTE('Calculations'!HF387,"~","~~"),"*","~*"),"?","~?"),'Calculations'!$HN$13:$HN$512,"="&amp;SUBSTITUTE(SUBSTITUTE(SUBSTITUTE('Dashboard'!$B$7,"~","~~"),"*","~*"),"?","~?"))+COUNTIFS('Calculations'!$HW$13:$HW$512,"="&amp;SUBSTITUTE(SUBSTITUTE(SUBSTITUTE('Calculations'!HF387,"~","~~"),"*","~*"),"?","~?"),'Calculations'!$HN$13:$HN$512,"="&amp;SUBSTITUTE(SUBSTITUTE(SUBSTITUTE('Dashboard'!$B$7,"~","~~"),"*","~*"),"?","~?"))+COUNTIFS('Calculations'!$HX$13:$HX$512,"="&amp;SUBSTITUTE(SUBSTITUTE(SUBSTITUTE('Calculations'!HF387,"~","~~"),"*","~*"),"?","~?"),'Calculations'!$HN$13:$HN$512,"="&amp;SUBSTITUTE(SUBSTITUTE(SUBSTITUTE('Dashboard'!$B$7,"~","~~"),"*","~*"),"?","~?"))+COUNTIFS('Calculations'!$HY$13:$HY$512,"="&amp;SUBSTITUTE(SUBSTITUTE(SUBSTITUTE('Calculations'!HF387,"~","~~"),"*","~*"),"?","~?"),'Calculations'!$HN$13:$HN$512,"="&amp;SUBSTITUTE(SUBSTITUTE(SUBSTITUTE('Dashboard'!$B$7,"~","~~"),"*","~*"),"?","~?"))+COUNTIFS('Calculations'!$HZ$13:$HZ$512,"="&amp;SUBSTITUTE(SUBSTITUTE(SUBSTITUTE('Calculations'!HF387,"~","~~"),"*","~*"),"?","~?"),'Calculations'!$HN$13:$HN$512,"="&amp;SUBSTITUTE(SUBSTITUTE(SUBSTITUTE('Dashboard'!$B$7,"~","~~"),"*","~*"),"?","~?"))+COUNTIFS('Calculations'!$IA$13:$IA$512,"="&amp;SUBSTITUTE(SUBSTITUTE(SUBSTITUTE('Calculations'!HF387,"~","~~"),"*","~*"),"?","~?"),'Calculations'!$HN$13:$HN$512,"="&amp;SUBSTITUTE(SUBSTITUTE(SUBSTITUTE('Dashboard'!$B$7,"~","~~"),"*","~*"),"?","~?"))+COUNTIFS('Calculations'!$IB$13:$IB$512,"="&amp;SUBSTITUTE(SUBSTITUTE(SUBSTITUTE('Calculations'!HF387,"~","~~"),"*","~*"),"?","~?"),'Calculations'!$HN$13:$HN$512,"="&amp;SUBSTITUTE(SUBSTITUTE(SUBSTITUTE('Dashboard'!$B$7,"~","~~"),"*","~*"),"?","~?"))+COUNTIFS('Calculations'!$IC$13:$IC$512,"="&amp;SUBSTITUTE(SUBSTITUTE(SUBSTITUTE('Calculations'!HF387,"~","~~"),"*","~*"),"?","~?"),'Calculations'!$HN$13:$HN$512,"="&amp;SUBSTITUTE(SUBSTITUTE(SUBSTITUTE('Dashboard'!$B$7,"~","~~"),"*","~*"),"?","~?"))+COUNTIFS('Calculations'!$ID$13:$ID$512,"="&amp;SUBSTITUTE(SUBSTITUTE(SUBSTITUTE('Calculations'!HF387,"~","~~"),"*","~*"),"?","~?"),'Calculations'!$HN$13:$HN$512,"="&amp;SUBSTITUTE(SUBSTITUTE(SUBSTITUTE('Dashboard'!$B$7,"~","~~"),"*","~*"),"?","~?"))+COUNTIFS('Calculations'!$IE$13:$IE$512,"="&amp;SUBSTITUTE(SUBSTITUTE(SUBSTITUTE('Calculations'!HF387,"~","~~"),"*","~*"),"?","~?"),'Calculations'!$HN$13:$HN$512,"="&amp;SUBSTITUTE(SUBSTITUTE(SUBSTITUTE('Dashboard'!$B$7,"~","~~"),"*","~*"),"?","~?"))+COUNTIFS('Calculations'!$IF$13:$IF$512,"="&amp;SUBSTITUTE(SUBSTITUTE(SUBSTITUTE('Calculations'!HF387,"~","~~"),"*","~*"),"?","~?"),'Calculations'!$HN$13:$HN$512,"="&amp;SUBSTITUTE(SUBSTITUTE(SUBSTITUTE('Dashboard'!$B$7,"~","~~"),"*","~*"),"?","~?"))+COUNTIFS('Calculations'!$IG$13:$IG$512,"="&amp;SUBSTITUTE(SUBSTITUTE(SUBSTITUTE('Calculations'!HF387,"~","~~"),"*","~*"),"?","~?"),'Calculations'!$HN$13:$HN$512,"="&amp;SUBSTITUTE(SUBSTITUTE(SUBSTITUTE('Dashboard'!$B$7,"~","~~"),"*","~*"),"?","~?"))+COUNTIFS('Calculations'!$IH$13:$IH$512,"="&amp;SUBSTITUTE(SUBSTITUTE(SUBSTITUTE('Calculations'!HF387,"~","~~"),"*","~*"),"?","~?"),'Calculations'!$HN$13:$HN$512,"="&amp;SUBSTITUTE(SUBSTITUTE(SUBSTITUTE('Dashboard'!$B$7,"~","~~"),"*","~*"),"?","~?"))))</x:f>
        <x:v>0</x:v>
      </x:c>
      <x:c r="JD387" t="n">
        <x:f>IF('Calculations'!EM387="",0,IF('Dashboard'!$B$7="All",1,IF('Calculations'!HN387='Dashboard'!$B$7,1,0)+IFERROR(INDEX('Calculations'!$JC$13:$JC$512,MATCH('Calculations'!HE387,'Calculations'!$HF$13:$HF$512,0)),0)))</x:f>
        <x:v>0</x:v>
      </x:c>
      <x:c r="JE387" t="n">
        <x:f>IF(AND('Calculations'!EM387&lt;&gt;"",'Calculations'!$JJ$2&lt;&gt;"All",'Calculations'!$JJ$2&lt;&gt;"",'Calculations'!HF387='Calculations'!$JJ$2,'Calculations'!HL387=0,'Calculations'!JD387&gt;0),MAX('Calculations'!$JE$12:JE386)+1,0)</x:f>
        <x:v>0</x:v>
      </x:c>
      <x:c r="JF387" t="str">
        <x:f>IF('Calculations'!EM387="","",IFERROR(IF(INDEX(INDIRECT("'WCM Calibration Final'!$G$1:$G$2000"),'Calculations'!$EM387)="","",TRIM(INDEX(INDIRECT("'WCM Calibration Final'!$G$1:$G$2000"),'Calculations'!$EM387)&amp;"")),""))</x:f>
      </x:c>
      <x:c r="JQ387" t="n">
        <x:f>IF(OR('Calculations'!BM387=0,NOT('Calculations'!$AG$2),'Calculations'!$AG$8&gt;0),0,IF(OR('Dashboard'!$B$7="All",'Calculations'!HN387='Dashboard'!$B$7),IF('Calculations'!$JJ$2="All",1,IF(AND('Calculations'!HF387='Calculations'!$JJ$2,'Calculations'!HL387=0),1,0)),0))</x:f>
        <x:v>0</x:v>
      </x:c>
    </x:row>
    <x:row r="388">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t="n">
        <x:f>IF('Calculations'!$EM388="",0,IF(OR(IFERROR(INDEX(INDIRECT("'WCM Calibration Final'!$A$1:$A$2000"),'Calculations'!$EM388)&lt;&gt;"",FALSE),IFERROR(INDEX(INDIRECT("'WCM Calibration Final'!$B$1:$B$2000"),'Calculations'!$EM388)&lt;&gt;"",FALSE),IFERROR(INDEX(INDIRECT("'WCM Calibration Final'!$C$1:$C$2000"),'Calculations'!$EM388)&lt;&gt;"",FALSE)),1,0))</x:f>
        <x:v>0</x:v>
      </x:c>
      <x:c r="BN388" s="4" t="n">
        <x:f>IF(AND('Calculations'!BM388=1,'Calculations'!$AG$2,'Calculations'!$EN388=1),1,0)</x:f>
        <x:v>0</x:v>
      </x:c>
      <x:c r="BO388" s="4" t="str">
        <x:f>IF('Calculations'!BM388=0,"",IFERROR(IF(AND(VALUE(INDEX(INDIRECT("'WCM Calibration Final'!$K$1:$K$2000"),'Calculations'!$EM388))&gt;=1,VALUE(INDEX(INDIRECT("'WCM Calibration Final'!$K$1:$K$2000"),'Calculations'!$EM388))&lt;=4,MOD(VALUE(INDEX(INDIRECT("'WCM Calibration Final'!$K$1:$K$2000"),'Calculations'!$EM388)),1)=0),VALUE(INDEX(INDIRECT("'WCM Calibration Final'!$K$1:$K$2000"),'Calculations'!$EM388)),""),""))</x:f>
      </x:c>
      <x:c r="BP388" s="4" t="str">
        <x:f>IF('Calculations'!BM388=0,"",IFERROR(IF(AND(VALUE(INDEX(INDIRECT("'WCM Calibration Final'!$L$1:$L$2000"),'Calculations'!$EM388))&gt;=1,VALUE(INDEX(INDIRECT("'WCM Calibration Final'!$L$1:$L$2000"),'Calculations'!$EM388))&lt;=4,MOD(VALUE(INDEX(INDIRECT("'WCM Calibration Final'!$L$1:$L$2000"),'Calculations'!$EM388)),1)=0),VALUE(INDEX(INDIRECT("'WCM Calibration Final'!$L$1:$L$2000"),'Calculations'!$EM388)),""),""))</x:f>
      </x:c>
      <x:c r="BQ388" s="4"/>
      <x:c r="BR388" s="4"/>
      <x:c r="BS388" s="4"/>
      <x:c r="BT388" s="4" t="n">
        <x:f>IF(AND('Calculations'!BM388=1,ISNUMBER('Calculations'!BO388),ISNUMBER('Calculations'!BP388)),1,0)</x:f>
        <x:v>0</x:v>
      </x:c>
      <x:c r="BU388" s="4" t="str">
        <x:f>IF('Calculations'!BM388=0,"",'Calculations'!$EO388)</x:f>
      </x:c>
      <x:c r="BV388" s="4" t="str">
        <x:f>IF('Calculations'!BM388=0,"",IFERROR(IF(OR(INDEX(INDIRECT("'WCM Calibration Final'!$H$1:$H$2000"),'Calculations'!$EM388)="MANAGING DIRECTOR",INDEX(INDIRECT("'WCM Calibration Final'!$H$1:$H$2000"),'Calculations'!$EM388)="DIRECTOR",INDEX(INDIRECT("'WCM Calibration Final'!$H$1:$H$2000"),'Calculations'!$EM388)="SENIOR VICE PRESIDENT",INDEX(INDIRECT("'WCM Calibration Final'!$H$1:$H$2000"),'Calculations'!$EM388)="VICE PRESIDENT",INDEX(INDIRECT("'WCM Calibration Final'!$H$1:$H$2000"),'Calculations'!$EM388)="ASSISTANT VICE PRESIDENT",INDEX(INDIRECT("'WCM Calibration Final'!$H$1:$H$2000"),'Calculations'!$EM388)="OFFICER"),UPPER(INDEX(INDIRECT("'WCM Calibration Final'!$H$1:$H$2000"),'Calculations'!$EM388)),"Other"),"Other"))</x:f>
      </x:c>
      <x:c r="BW388" s="4"/>
      <x:c r="BX388" s="4"/>
      <x:c r="BY388" s="4" t="n">
        <x:f>IF(AND('Calculations'!BM388=1,'Calculations'!BU388&lt;&gt;"",COUNTIF('Calculations'!$BU$12:BU388,'Calculations'!BU388)=1),MAX('Calculations'!$BY$11:BY387)+1,0)</x:f>
        <x:v>0</x:v>
      </x:c>
      <x:c r="BZ388" s="4" t="str">
        <x:f>IF('Dashboard'!$E$67="What",'Calculations'!BO388,'Calculations'!BP388)</x:f>
      </x:c>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t="str">
        <x:f>IF(377&gt;MAX('Calculations'!$HI$13:$HI$512),"",INDEX('Calculations'!$HN$13:$HN$512,MATCH(377,'Calculations'!$HI$13:$HI$512,0)))</x:f>
      </x:c>
      <x:c r="DB388" s="4" t="str">
        <x:f>IF(377&gt;MAX('Calculations'!$HH$13:$HH$512),"",INDEX('Calculations'!$HJ$13:$HJ$512,MATCH(377,'Calculations'!$HH$13:$HH$512,0)))</x:f>
      </x:c>
      <x:c r="DC388" s="4" t="str">
        <x:f>IF(ROW()-11&gt;MAX('Calculations'!$BY$13:$BY$512),"",INDEX('Calculations'!$BU$13:$BU$512,MATCH(ROW()-11,'Calculations'!$BY$13:$BY$512,0)))</x:f>
      </x:c>
      <x:c r="DD388" s="4" t="str">
        <x:f>IF(377&gt;MAX('Calculations'!$IK$13:$IK$512),"",INDEX('Calculations'!$HK$13:$HK$512,MATCH(377,'Calculations'!$IK$13:$IK$512,0)))</x:f>
      </x:c>
      <x:c r="DE388" s="4" t="str">
        <x:f>'Calculations'!DC388</x:f>
      </x:c>
      <x:c r="DF388" s="4" t="str">
        <x:f>IF('Calculations'!DE388="","",COUNTIFS('Calculations'!$BN$13:$BN$512,1,'Calculations'!$BU$13:$BU$512,'Calculations'!DE388))</x:f>
      </x:c>
      <x:c r="DG388" s="4" t="str">
        <x:f>IF('Calculations'!DE388="","",COUNTIFS('Calculations'!$BN$13:$BN$512,1,'Calculations'!$BU$13:$BU$512,'Calculations'!DE388,'Calculations'!$BT$13:$BT$512,1))</x:f>
      </x:c>
      <x:c r="DH388" s="4" t="str">
        <x:f>IF('Calculations'!DE388="","",'Calculations'!DF388-'Calculations'!DG388)</x:f>
      </x:c>
      <x:c r="DI388" s="4" t="str">
        <x:f>IF(OR('Calculations'!DE388="",'Calculations'!DF388=0),"",'Calculations'!DG388/'Calculations'!DF388)</x:f>
      </x:c>
      <x:c r="DJ388" s="4" t="str">
        <x:f>IF('Calculations'!DE388="","",COUNTIFS('Calculations'!$BN$13:$BN$512,1,'Calculations'!$BU$13:$BU$512,'Calculations'!DE388,'Calculations'!$BT$13:$BT$512,1,'Calculations'!$EE$13:$EE$512,"High"))</x:f>
      </x:c>
      <x:c r="DK388" s="4" t="str">
        <x:f>IF('Calculations'!DE388="","",COUNTIFS('Calculations'!$BN$13:$BN$512,1,'Calculations'!$BU$13:$BU$512,'Calculations'!DE388,'Calculations'!$BT$13:$BT$512,1,'Calculations'!$EE$13:$EE$512,"Strong"))</x:f>
      </x:c>
      <x:c r="DL388" s="4" t="str">
        <x:f>IF('Calculations'!DE388="","",COUNTIFS('Calculations'!$BN$13:$BN$512,1,'Calculations'!$BU$13:$BU$512,'Calculations'!DE388,'Calculations'!$BT$13:$BT$512,1,'Calculations'!$EE$13:$EE$512,"Solid"))</x:f>
      </x:c>
      <x:c r="DM388" s="4" t="str">
        <x:f>IF('Calculations'!DE388="","",COUNTIFS('Calculations'!$BN$13:$BN$512,1,'Calculations'!$BU$13:$BU$512,'Calculations'!DE388,'Calculations'!$BT$13:$BT$512,1,'Calculations'!$EE$13:$EE$512,"Low"))</x:f>
      </x:c>
      <x:c r="DN388" s="4" t="str">
        <x:f>IF('Calculations'!DE388="","",COUNTIFS('Calculations'!$BN$13:$BN$512,1,'Calculations'!$BU$13:$BU$512,'Calculations'!DE388,'Calculations'!$EP$13:$EP$512,1))</x:f>
      </x:c>
      <x:c r="DO388" s="4" t="str">
        <x:f>IF(OR('Calculations'!DE388="",'Calculations'!DG388=0),"",('Calculations'!DJ388+'Calculations'!DK388)/'Calculations'!DG388)</x:f>
      </x:c>
      <x:c r="DP388" s="4" t="n">
        <x:f>IF(AND('Calculations'!DE388&lt;&gt;"",'Calculations'!DF388&gt;0),COUNTIF('Calculations'!$DF$12:DF388,"&gt;0"),0)</x:f>
        <x:v>0</x:v>
      </x:c>
      <x:c r="DQ388" s="4" t="str">
        <x:f>IF(377&gt;MAX('Calculations'!$HH$13:$HH$512),"",INDEX('Calculations'!$HF$13:$HF$512,MATCH(377,'Calculations'!$HH$13:$HH$512,0)))</x:f>
      </x:c>
      <x:c r="DR388" s="4" t="str">
        <x:f>IF(377&gt;MAX('Calculations'!$IK$13:$IK$512),"",INDEX('Calculations'!$HE$13:$HE$512,MATCH(377,'Calculations'!$IK$13:$IK$512,0)))</x:f>
      </x:c>
      <x:c r="DS388" s="4"/>
      <x:c r="DT388" s="4"/>
      <x:c r="DU388" s="4"/>
      <x:c r="DV388" s="4"/>
      <x:c r="DW388" s="4"/>
      <x:c r="DX388" s="4"/>
      <x:c r="DY388" s="4"/>
      <x:c r="DZ388" s="4"/>
      <x:c r="EA388" s="4"/>
      <x:c r="EB388" s="4"/>
      <x:c r="EC388" s="4"/>
      <x:c r="ED388" s="4"/>
      <x:c r="EE388" s="4" t="str">
        <x:f>IF('Calculations'!BT388=0,"Not Rated",IF(OR('Calculations'!BO388&gt;=4,'Calculations'!BP388&gt;=4),"Low",IF('Calculations'!BO388+'Calculations'!BP388&lt;=3,"High",IF('Calculations'!BO388+'Calculations'!BP388&lt;=4,"Strong","Solid"))))</x:f>
        <x:v>Not Rated</x:v>
      </x:c>
      <x:c r="EF388" s="4"/>
      <x:c r="EG388" s="4"/>
      <x:c r="EH388" s="4"/>
      <x:c r="EI388" s="4"/>
      <x:c r="EJ388" s="4"/>
      <x:c r="EK388" s="4"/>
      <x:c r="EL388" s="4"/>
      <x:c r="EM388" s="4" t="str">
        <x:f>IF(376&gt;'Calculations'!$JB$2000,"",INDEX('Calculations'!$JA$12:$JA$2000,MATCH(376,'Calculations'!$JB$12:$JB$2000,0)))</x:f>
      </x:c>
      <x:c r="EN388" s="4" t="n">
        <x:f>IF(OR('Calculations'!EM388="",'Calculations'!$AG$8&gt;0,AND('Calculations'!$EF$2&lt;&gt;"All",'Calculations'!HE388='Calculations'!$EF$2),AND('Calculations'!$EF$3&lt;&gt;"All",'Calculations'!HE388='Calculations'!$EF$3)),0,IF(OR('Dashboard'!$B$7="All",'Calculations'!HN388='Dashboard'!$B$7),IF('Calculations'!$EF$2="All",1,IF('Calculations'!HL388&gt;0,0,IF(COUNTIF('Calculations'!HO388:II388,"="&amp;SUBSTITUTE(SUBSTITUTE(SUBSTITUTE('Calculations'!$EF$2,"~","~~"),"*","~*"),"?","~?"))=0,0,IF('Calculations'!$EF$3="All",1,IF(COUNTIF('Calculations'!HO388:II388,"="&amp;SUBSTITUTE(SUBSTITUTE(SUBSTITUTE('Calculations'!$EF$3,"~","~~"),"*","~*"),"?","~?"))&gt;0,1,0))))),0))</x:f>
        <x:v>0</x:v>
      </x:c>
      <x:c r="EO388" s="4" t="str">
        <x:f>IF('Calculations'!IJ388="","",IF('Calculations'!IJ388="!UNRESOLVED","Unresolved hierarchy",IFERROR(INDEX('Calculations'!$HK$13:$HK$512,MATCH('Calculations'!IJ388,'Calculations'!$HE$13:$HE$512,0)),IFERROR(INDEX('Calculations'!$HJ$13:$HJ$512,MATCH('Calculations'!IJ388,'Calculations'!$HF$13:$HF$512,0)),'Calculations'!IJ388))))</x:f>
      </x:c>
      <x:c r="EP388" s="4" t="n">
        <x:f>IF(AND('Calculations'!EM388&lt;&gt;"",'Calculations'!HF388='Calculations'!IJ388),1,0)</x:f>
        <x:v>0</x:v>
      </x:c>
      <x:c r="EQ388" s="4"/>
      <x:c r="ER388" s="4"/>
      <x:c r="ES388" s="4"/>
      <x:c r="ET388" s="4"/>
      <x:c r="EU388" s="4"/>
      <x:c r="EV388" s="4"/>
      <x:c r="EW388" s="4"/>
      <x:c r="EX388" s="4"/>
      <x:c r="EY388" s="4"/>
      <x:c r="EZ388" s="4"/>
      <x:c r="FA388" s="4"/>
      <x:c r="FB388" s="4"/>
      <x:c r="FC388" s="4"/>
      <x:c r="FD388" s="4"/>
      <x:c r="FE388" s="4"/>
      <x:c r="FF388" s="4"/>
      <x:c r="FG388" s="4"/>
      <x:c r="FH388" s="4"/>
      <x:c r="FI388" s="4"/>
      <x:c r="FJ388" s="4"/>
      <x:c r="FK388" s="4"/>
      <x:c r="FL388" s="4"/>
      <x:c r="FM388" s="4"/>
      <x:c r="FN388" s="4"/>
      <x:c r="FO388" s="4"/>
      <x:c r="HE388" t="str">
        <x:f>IF('Calculations'!EM388="","",IF(IFERROR(IF(INDEX(INDIRECT("'WCM Calibration Final'!$A$1:$A$2000"),'Calculations'!$EM388)="","",TRIM(INDEX(INDIRECT("'WCM Calibration Final'!$A$1:$A$2000"),'Calculations'!$EM388)&amp;"")),"")&lt;&gt;"","G:"&amp;IFERROR(TEXT(1*INDEX(INDIRECT("'WCM Calibration Final'!$A$1:$A$2000"),'Calculations'!$EM388),"0"),UPPER(IFERROR(IF(INDEX(INDIRECT("'WCM Calibration Final'!$A$1:$A$2000"),'Calculations'!$EM388)="","",TRIM(INDEX(INDIRECT("'WCM Calibration Final'!$A$1:$A$2000"),'Calculations'!$EM388)&amp;"")),""))),IF(IFERROR(IF(INDEX(INDIRECT("'WCM Calibration Final'!$C$1:$C$2000"),'Calculations'!$EM388)="","",TRIM(INDEX(INDIRECT("'WCM Calibration Final'!$C$1:$C$2000"),'Calculations'!$EM388)&amp;"")),"")&lt;&gt;"","S:"&amp;UPPER(IFERROR(IF(INDEX(INDIRECT("'WCM Calibration Final'!$C$1:$C$2000"),'Calculations'!$EM388)="","",TRIM(INDEX(INDIRECT("'WCM Calibration Final'!$C$1:$C$2000"),'Calculations'!$EM388)&amp;"")),"")),"R:"&amp;'Calculations'!EM388)))</x:f>
      </x:c>
      <x:c r="HF388" t="str">
        <x:f>IF('Calculations'!EM388="","",IF(IFERROR(IF(INDEX(INDIRECT("'WCM Calibration Final'!$D$1:$D$2000"),'Calculations'!$EM388)="","",TRIM(INDEX(INDIRECT("'WCM Calibration Final'!$D$1:$D$2000"),'Calculations'!$EM388)&amp;"")),"")&lt;&gt;"","G:"&amp;IFERROR(TEXT(1*INDEX(INDIRECT("'WCM Calibration Final'!$D$1:$D$2000"),'Calculations'!$EM388),"0"),UPPER(IFERROR(IF(INDEX(INDIRECT("'WCM Calibration Final'!$D$1:$D$2000"),'Calculations'!$EM388)="","",TRIM(INDEX(INDIRECT("'WCM Calibration Final'!$D$1:$D$2000"),'Calculations'!$EM388)&amp;"")),""))),IF(IFERROR(IF(INDEX(INDIRECT("'WCM Calibration Final'!$E$1:$E$2000"),'Calculations'!$EM388)="","",TRIM(INDEX(INDIRECT("'WCM Calibration Final'!$E$1:$E$2000"),'Calculations'!$EM388)&amp;"")),"")="","",IF(COUNTIF('Calculations'!$HG$13:$HG$512,"="&amp;SUBSTITUTE(SUBSTITUTE(SUBSTITUTE(IFERROR(IF(INDEX(INDIRECT("'WCM Calibration Final'!$E$1:$E$2000"),'Calculations'!$EM388)="","",TRIM(INDEX(INDIRECT("'WCM Calibration Final'!$E$1:$E$2000"),'Calculations'!$EM388)&amp;"")),""),"~","~~"),"*","~*"),"?","~?"))=1,INDEX('Calculations'!$HE$13:$HE$512,MATCH(IFERROR(IF(INDEX(INDIRECT("'WCM Calibration Final'!$E$1:$E$2000"),'Calculations'!$EM388)="","",TRIM(INDEX(INDIRECT("'WCM Calibration Final'!$E$1:$E$2000"),'Calculations'!$EM388)&amp;"")),""),'Calculations'!$HG$13:$HG$512,0)),IF(COUNTIF('Calculations'!$HG$13:$HG$512,"="&amp;SUBSTITUTE(SUBSTITUTE(SUBSTITUTE(IFERROR(IF(INDEX(INDIRECT("'WCM Calibration Final'!$E$1:$E$2000"),'Calculations'!$EM388)="","",TRIM(INDEX(INDIRECT("'WCM Calibration Final'!$E$1:$E$2000"),'Calculations'!$EM388)&amp;"")),""),"~","~~"),"*","~*"),"?","~?"))&gt;1,"!AMBIG","X:"&amp;IFERROR(IF(INDEX(INDIRECT("'WCM Calibration Final'!$E$1:$E$2000"),'Calculations'!$EM388)="","",TRIM(INDEX(INDIRECT("'WCM Calibration Final'!$E$1:$E$2000"),'Calculations'!$EM388)&amp;"")),""))))))</x:f>
      </x:c>
      <x:c r="HG388" t="str">
        <x:f>IF('Calculations'!EM388="","",IFERROR(IF(INDEX(INDIRECT("'WCM Calibration Final'!$B$1:$B$2000"),'Calculations'!$EM388)="","",TRIM(INDEX(INDIRECT("'WCM Calibration Final'!$B$1:$B$2000"),'Calculations'!$EM388)&amp;"")),""))</x:f>
      </x:c>
      <x:c r="HH388" t="n">
        <x:f>IF(AND('Calculations'!JC388&gt;0,COUNTIF('Calculations'!$HF$12:HF388,"="&amp;SUBSTITUTE(SUBSTITUTE(SUBSTITUTE('Calculations'!HF388,"~","~~"),"*","~*"),"?","~?"))=1),MAX('Calculations'!$HH$12:HH387)+1,0)</x:f>
        <x:v>0</x:v>
      </x:c>
      <x:c r="HI388" t="n">
        <x:f>IF(AND('Calculations'!HN388&lt;&gt;"",COUNTIF('Calculations'!$HN$12:HN388,"="&amp;SUBSTITUTE(SUBSTITUTE(SUBSTITUTE('Calculations'!HN388,"~","~~"),"*","~*"),"?","~?"))=1),MAX('Calculations'!$HI$12:HI387)+1,0)</x:f>
        <x:v>0</x:v>
      </x:c>
      <x:c r="HJ388" t="str">
        <x:f>IF('Calculations'!HF388="","",IF(COUNTIF('Calculations'!$HE$13:$HE$512,"="&amp;SUBSTITUTE(SUBSTITUTE(SUBSTITUTE('Calculations'!HF388,"~","~~"),"*","~*"),"?","~?"))=1,INDEX('Calculations'!$HK$13:$HK$512,MATCH('Calculations'!HF388,'Calculations'!$HE$13:$HE$512,0)),IFERROR(IF(INDEX(INDIRECT("'WCM Calibration Final'!$E$1:$E$2000"),'Calculations'!$EM388)="","",TRIM(INDEX(INDIRECT("'WCM Calibration Final'!$E$1:$E$2000"),'Calculations'!$EM388)&amp;"")),"")&amp;" ["&amp;'Calculations'!HF388&amp;"]"))</x:f>
      </x:c>
      <x:c r="HK388" t="str">
        <x:f>IF('Calculations'!EM388="","",'Calculations'!HG388&amp;" ["&amp;'Calculations'!HE388&amp;"]")</x:f>
      </x:c>
      <x:c r="HL388" t="n">
        <x:f>IF('Calculations'!EM388="",0,IF(OR('Calculations'!II388&lt;&gt;"",COUNTIF('Calculations'!$HE$13:$HE$512,"="&amp;SUBSTITUTE(SUBSTITUTE(SUBSTITUTE('Calculations'!HE388,"~","~~"),"*","~*"),"?","~?"))&gt;1),1,0))</x:f>
        <x:v>0</x:v>
      </x:c>
      <x:c r="HM388" t="str">
        <x:f>IF('Calculations'!EM388="","",IF('Calculations'!HL388=1,"!UNRESOLVED",IF('Calculations'!IH388&lt;&gt;"",'Calculations'!IH388,IF('Calculations'!IG388&lt;&gt;"",'Calculations'!IG388,IF('Calculations'!IF388&lt;&gt;"",'Calculations'!IF388,IF('Calculations'!IE388&lt;&gt;"",'Calculations'!IE388,IF('Calculations'!ID388&lt;&gt;"",'Calculations'!ID388,IF('Calculations'!IC388&lt;&gt;"",'Calculations'!IC388,IF('Calculations'!IB388&lt;&gt;"",'Calculations'!IB388,IF('Calculations'!IA388&lt;&gt;"",'Calculations'!IA388,IF('Calculations'!HZ388&lt;&gt;"",'Calculations'!HZ388,IF('Calculations'!HY388&lt;&gt;"",'Calculations'!HY388,IF('Calculations'!HX388&lt;&gt;"",'Calculations'!HX388,IF('Calculations'!HW388&lt;&gt;"",'Calculations'!HW388,IF('Calculations'!HV388&lt;&gt;"",'Calculations'!HV388,IF('Calculations'!HU388&lt;&gt;"",'Calculations'!HU388,IF('Calculations'!HT388&lt;&gt;"",'Calculations'!HT388,IF('Calculations'!HS388&lt;&gt;"",'Calculations'!HS388,IF('Calculations'!HR388&lt;&gt;"",'Calculations'!HR388,IF('Calculations'!HQ388&lt;&gt;"",'Calculations'!HQ388,IF('Calculations'!HP388&lt;&gt;"",'Calculations'!HP388,IF('Calculations'!HO388&lt;&gt;"",'Calculations'!HO388,'Calculations'!HE388))))))))))))))))))))))</x:f>
      </x:c>
      <x:c r="HN388" t="str">
        <x:f>IF('Calculations'!EM388="","",IF(IFERROR(IF(INDEX(INDIRECT("'WCM Calibration Final'!$F$1:$F$2000"),'Calculations'!$EM388)="","",TRIM(INDEX(INDIRECT("'WCM Calibration Final'!$F$1:$F$2000"),'Calculations'!$EM388)&amp;"")),"")="","(Blank)",IFERROR(IF(INDEX(INDIRECT("'WCM Calibration Final'!$F$1:$F$2000"),'Calculations'!$EM388)="","",TRIM(INDEX(INDIRECT("'WCM Calibration Final'!$F$1:$F$2000"),'Calculations'!$EM388)&amp;"")),"")))</x:f>
      </x:c>
      <x:c r="HO388" t="str">
        <x:f>'Calculations'!HF388</x:f>
      </x:c>
      <x:c r="HP388" t="str">
        <x:f>IF('Calculations'!HO388="","",IF('Calculations'!HO388="!AMBIG","!AMBIG",IF(COUNTIF('Calculations'!$HE$13:$HE$512,"="&amp;SUBSTITUTE(SUBSTITUTE(SUBSTITUTE('Calculations'!HO388,"~","~~"),"*","~*"),"?","~?"))&gt;1,"!AMBIG",IFERROR(INDEX('Calculations'!$HF$13:$HF$512,MATCH('Calculations'!HO388,'Calculations'!$HE$13:$HE$512,0)),""))))</x:f>
      </x:c>
      <x:c r="HQ388" t="str">
        <x:f>IF('Calculations'!HP388="","",IF('Calculations'!HP388="!AMBIG","!AMBIG",IF(COUNTIF('Calculations'!$HE$13:$HE$512,"="&amp;SUBSTITUTE(SUBSTITUTE(SUBSTITUTE('Calculations'!HP388,"~","~~"),"*","~*"),"?","~?"))&gt;1,"!AMBIG",IFERROR(INDEX('Calculations'!$HF$13:$HF$512,MATCH('Calculations'!HP388,'Calculations'!$HE$13:$HE$512,0)),""))))</x:f>
      </x:c>
      <x:c r="HR388" t="str">
        <x:f>IF('Calculations'!HQ388="","",IF('Calculations'!HQ388="!AMBIG","!AMBIG",IF(COUNTIF('Calculations'!$HE$13:$HE$512,"="&amp;SUBSTITUTE(SUBSTITUTE(SUBSTITUTE('Calculations'!HQ388,"~","~~"),"*","~*"),"?","~?"))&gt;1,"!AMBIG",IFERROR(INDEX('Calculations'!$HF$13:$HF$512,MATCH('Calculations'!HQ388,'Calculations'!$HE$13:$HE$512,0)),""))))</x:f>
      </x:c>
      <x:c r="HS388" t="str">
        <x:f>IF('Calculations'!HR388="","",IF('Calculations'!HR388="!AMBIG","!AMBIG",IF(COUNTIF('Calculations'!$HE$13:$HE$512,"="&amp;SUBSTITUTE(SUBSTITUTE(SUBSTITUTE('Calculations'!HR388,"~","~~"),"*","~*"),"?","~?"))&gt;1,"!AMBIG",IFERROR(INDEX('Calculations'!$HF$13:$HF$512,MATCH('Calculations'!HR388,'Calculations'!$HE$13:$HE$512,0)),""))))</x:f>
      </x:c>
      <x:c r="HT388" t="str">
        <x:f>IF('Calculations'!HS388="","",IF('Calculations'!HS388="!AMBIG","!AMBIG",IF(COUNTIF('Calculations'!$HE$13:$HE$512,"="&amp;SUBSTITUTE(SUBSTITUTE(SUBSTITUTE('Calculations'!HS388,"~","~~"),"*","~*"),"?","~?"))&gt;1,"!AMBIG",IFERROR(INDEX('Calculations'!$HF$13:$HF$512,MATCH('Calculations'!HS388,'Calculations'!$HE$13:$HE$512,0)),""))))</x:f>
      </x:c>
      <x:c r="HU388" t="str">
        <x:f>IF('Calculations'!HT388="","",IF('Calculations'!HT388="!AMBIG","!AMBIG",IF(COUNTIF('Calculations'!$HE$13:$HE$512,"="&amp;SUBSTITUTE(SUBSTITUTE(SUBSTITUTE('Calculations'!HT388,"~","~~"),"*","~*"),"?","~?"))&gt;1,"!AMBIG",IFERROR(INDEX('Calculations'!$HF$13:$HF$512,MATCH('Calculations'!HT388,'Calculations'!$HE$13:$HE$512,0)),""))))</x:f>
      </x:c>
      <x:c r="HV388" t="str">
        <x:f>IF('Calculations'!HU388="","",IF('Calculations'!HU388="!AMBIG","!AMBIG",IF(COUNTIF('Calculations'!$HE$13:$HE$512,"="&amp;SUBSTITUTE(SUBSTITUTE(SUBSTITUTE('Calculations'!HU388,"~","~~"),"*","~*"),"?","~?"))&gt;1,"!AMBIG",IFERROR(INDEX('Calculations'!$HF$13:$HF$512,MATCH('Calculations'!HU388,'Calculations'!$HE$13:$HE$512,0)),""))))</x:f>
      </x:c>
      <x:c r="HW388" t="str">
        <x:f>IF('Calculations'!HV388="","",IF('Calculations'!HV388="!AMBIG","!AMBIG",IF(COUNTIF('Calculations'!$HE$13:$HE$512,"="&amp;SUBSTITUTE(SUBSTITUTE(SUBSTITUTE('Calculations'!HV388,"~","~~"),"*","~*"),"?","~?"))&gt;1,"!AMBIG",IFERROR(INDEX('Calculations'!$HF$13:$HF$512,MATCH('Calculations'!HV388,'Calculations'!$HE$13:$HE$512,0)),""))))</x:f>
      </x:c>
      <x:c r="HX388" t="str">
        <x:f>IF('Calculations'!HW388="","",IF('Calculations'!HW388="!AMBIG","!AMBIG",IF(COUNTIF('Calculations'!$HE$13:$HE$512,"="&amp;SUBSTITUTE(SUBSTITUTE(SUBSTITUTE('Calculations'!HW388,"~","~~"),"*","~*"),"?","~?"))&gt;1,"!AMBIG",IFERROR(INDEX('Calculations'!$HF$13:$HF$512,MATCH('Calculations'!HW388,'Calculations'!$HE$13:$HE$512,0)),""))))</x:f>
      </x:c>
      <x:c r="HY388" t="str">
        <x:f>IF('Calculations'!HX388="","",IF('Calculations'!HX388="!AMBIG","!AMBIG",IF(COUNTIF('Calculations'!$HE$13:$HE$512,"="&amp;SUBSTITUTE(SUBSTITUTE(SUBSTITUTE('Calculations'!HX388,"~","~~"),"*","~*"),"?","~?"))&gt;1,"!AMBIG",IFERROR(INDEX('Calculations'!$HF$13:$HF$512,MATCH('Calculations'!HX388,'Calculations'!$HE$13:$HE$512,0)),""))))</x:f>
      </x:c>
      <x:c r="HZ388" t="str">
        <x:f>IF('Calculations'!HY388="","",IF('Calculations'!HY388="!AMBIG","!AMBIG",IF(COUNTIF('Calculations'!$HE$13:$HE$512,"="&amp;SUBSTITUTE(SUBSTITUTE(SUBSTITUTE('Calculations'!HY388,"~","~~"),"*","~*"),"?","~?"))&gt;1,"!AMBIG",IFERROR(INDEX('Calculations'!$HF$13:$HF$512,MATCH('Calculations'!HY388,'Calculations'!$HE$13:$HE$512,0)),""))))</x:f>
      </x:c>
      <x:c r="IA388" t="str">
        <x:f>IF('Calculations'!HZ388="","",IF('Calculations'!HZ388="!AMBIG","!AMBIG",IF(COUNTIF('Calculations'!$HE$13:$HE$512,"="&amp;SUBSTITUTE(SUBSTITUTE(SUBSTITUTE('Calculations'!HZ388,"~","~~"),"*","~*"),"?","~?"))&gt;1,"!AMBIG",IFERROR(INDEX('Calculations'!$HF$13:$HF$512,MATCH('Calculations'!HZ388,'Calculations'!$HE$13:$HE$512,0)),""))))</x:f>
      </x:c>
      <x:c r="IB388" t="str">
        <x:f>IF('Calculations'!IA388="","",IF('Calculations'!IA388="!AMBIG","!AMBIG",IF(COUNTIF('Calculations'!$HE$13:$HE$512,"="&amp;SUBSTITUTE(SUBSTITUTE(SUBSTITUTE('Calculations'!IA388,"~","~~"),"*","~*"),"?","~?"))&gt;1,"!AMBIG",IFERROR(INDEX('Calculations'!$HF$13:$HF$512,MATCH('Calculations'!IA388,'Calculations'!$HE$13:$HE$512,0)),""))))</x:f>
      </x:c>
      <x:c r="IC388" t="str">
        <x:f>IF('Calculations'!IB388="","",IF('Calculations'!IB388="!AMBIG","!AMBIG",IF(COUNTIF('Calculations'!$HE$13:$HE$512,"="&amp;SUBSTITUTE(SUBSTITUTE(SUBSTITUTE('Calculations'!IB388,"~","~~"),"*","~*"),"?","~?"))&gt;1,"!AMBIG",IFERROR(INDEX('Calculations'!$HF$13:$HF$512,MATCH('Calculations'!IB388,'Calculations'!$HE$13:$HE$512,0)),""))))</x:f>
      </x:c>
      <x:c r="ID388" t="str">
        <x:f>IF('Calculations'!IC388="","",IF('Calculations'!IC388="!AMBIG","!AMBIG",IF(COUNTIF('Calculations'!$HE$13:$HE$512,"="&amp;SUBSTITUTE(SUBSTITUTE(SUBSTITUTE('Calculations'!IC388,"~","~~"),"*","~*"),"?","~?"))&gt;1,"!AMBIG",IFERROR(INDEX('Calculations'!$HF$13:$HF$512,MATCH('Calculations'!IC388,'Calculations'!$HE$13:$HE$512,0)),""))))</x:f>
      </x:c>
      <x:c r="IE388" t="str">
        <x:f>IF('Calculations'!ID388="","",IF('Calculations'!ID388="!AMBIG","!AMBIG",IF(COUNTIF('Calculations'!$HE$13:$HE$512,"="&amp;SUBSTITUTE(SUBSTITUTE(SUBSTITUTE('Calculations'!ID388,"~","~~"),"*","~*"),"?","~?"))&gt;1,"!AMBIG",IFERROR(INDEX('Calculations'!$HF$13:$HF$512,MATCH('Calculations'!ID388,'Calculations'!$HE$13:$HE$512,0)),""))))</x:f>
      </x:c>
      <x:c r="IF388" t="str">
        <x:f>IF('Calculations'!IE388="","",IF('Calculations'!IE388="!AMBIG","!AMBIG",IF(COUNTIF('Calculations'!$HE$13:$HE$512,"="&amp;SUBSTITUTE(SUBSTITUTE(SUBSTITUTE('Calculations'!IE388,"~","~~"),"*","~*"),"?","~?"))&gt;1,"!AMBIG",IFERROR(INDEX('Calculations'!$HF$13:$HF$512,MATCH('Calculations'!IE388,'Calculations'!$HE$13:$HE$512,0)),""))))</x:f>
      </x:c>
      <x:c r="IG388" t="str">
        <x:f>IF('Calculations'!IF388="","",IF('Calculations'!IF388="!AMBIG","!AMBIG",IF(COUNTIF('Calculations'!$HE$13:$HE$512,"="&amp;SUBSTITUTE(SUBSTITUTE(SUBSTITUTE('Calculations'!IF388,"~","~~"),"*","~*"),"?","~?"))&gt;1,"!AMBIG",IFERROR(INDEX('Calculations'!$HF$13:$HF$512,MATCH('Calculations'!IF388,'Calculations'!$HE$13:$HE$512,0)),""))))</x:f>
      </x:c>
      <x:c r="IH388" t="str">
        <x:f>IF('Calculations'!IG388="","",IF('Calculations'!IG388="!AMBIG","!AMBIG",IF(COUNTIF('Calculations'!$HE$13:$HE$512,"="&amp;SUBSTITUTE(SUBSTITUTE(SUBSTITUTE('Calculations'!IG388,"~","~~"),"*","~*"),"?","~?"))&gt;1,"!AMBIG",IFERROR(INDEX('Calculations'!$HF$13:$HF$512,MATCH('Calculations'!IG388,'Calculations'!$HE$13:$HE$512,0)),""))))</x:f>
      </x:c>
      <x:c r="II388" t="str">
        <x:f>IF('Calculations'!IH388="","",IF('Calculations'!IH388="!AMBIG","!AMBIG",IF(COUNTIF('Calculations'!$HE$13:$HE$512,"="&amp;SUBSTITUTE(SUBSTITUTE(SUBSTITUTE('Calculations'!IH388,"~","~~"),"*","~*"),"?","~?"))&gt;1,"!AMBIG",IFERROR(INDEX('Calculations'!$HF$13:$HF$512,MATCH('Calculations'!IH388,'Calculations'!$HE$13:$HE$512,0)),""))))</x:f>
      </x:c>
      <x:c r="IJ388" t="str">
        <x:f>IF('Calculations'!EM388="","",IF('Calculations'!$EF$2="All",'Calculations'!HM388,IF('Calculations'!HL388=1,"",IFERROR(IF(MATCH('Calculations'!$EF$2,'Calculations'!HO388:II388,0)=1,'Calculations'!HE388,INDEX('Calculations'!HO388:II388,1,MATCH('Calculations'!$EF$2,'Calculations'!HO388:II388,0)-1)),""))))</x:f>
      </x:c>
      <x:c r="IK388" t="n">
        <x:f>IF(AND('Calculations'!EM388&lt;&gt;"",'Calculations'!$EF$2&lt;&gt;"All",'Calculations'!HF388='Calculations'!$EF$2,'Calculations'!HL388=0,'Calculations'!JD388&gt;0),MAX('Calculations'!$IK$12:IK387)+1,0)</x:f>
        <x:v>0</x:v>
      </x:c>
      <x:c r="JA388" t="n">
        <x:f>IF(OR(IFERROR(INDIRECT("'WCM Calibration Final'!$A$388")&lt;&gt;"",FALSE),IFERROR(INDIRECT("'WCM Calibration Final'!$B$388")&lt;&gt;"",FALSE),IFERROR(INDIRECT("'WCM Calibration Final'!$C$388")&lt;&gt;"",FALSE)),388,0)</x:f>
        <x:v>0</x:v>
      </x:c>
      <x:c r="JB388" t="n">
        <x:f>'Calculations'!JB387+IF('Calculations'!JA388&gt;0,1,0)</x:f>
        <x:v>0</x:v>
      </x:c>
      <x:c r="JC388" t="n">
        <x:f>IF(OR('Calculations'!HF388="",'Calculations'!HF388="!AMBIG"),0,IF('Dashboard'!$B$7="All",1,COUNTIFS('Calculations'!$HO$13:$HO$512,"="&amp;SUBSTITUTE(SUBSTITUTE(SUBSTITUTE('Calculations'!HF388,"~","~~"),"*","~*"),"?","~?"),'Calculations'!$HN$13:$HN$512,"="&amp;SUBSTITUTE(SUBSTITUTE(SUBSTITUTE('Dashboard'!$B$7,"~","~~"),"*","~*"),"?","~?"))+COUNTIFS('Calculations'!$HP$13:$HP$512,"="&amp;SUBSTITUTE(SUBSTITUTE(SUBSTITUTE('Calculations'!HF388,"~","~~"),"*","~*"),"?","~?"),'Calculations'!$HN$13:$HN$512,"="&amp;SUBSTITUTE(SUBSTITUTE(SUBSTITUTE('Dashboard'!$B$7,"~","~~"),"*","~*"),"?","~?"))+COUNTIFS('Calculations'!$HQ$13:$HQ$512,"="&amp;SUBSTITUTE(SUBSTITUTE(SUBSTITUTE('Calculations'!HF388,"~","~~"),"*","~*"),"?","~?"),'Calculations'!$HN$13:$HN$512,"="&amp;SUBSTITUTE(SUBSTITUTE(SUBSTITUTE('Dashboard'!$B$7,"~","~~"),"*","~*"),"?","~?"))+COUNTIFS('Calculations'!$HR$13:$HR$512,"="&amp;SUBSTITUTE(SUBSTITUTE(SUBSTITUTE('Calculations'!HF388,"~","~~"),"*","~*"),"?","~?"),'Calculations'!$HN$13:$HN$512,"="&amp;SUBSTITUTE(SUBSTITUTE(SUBSTITUTE('Dashboard'!$B$7,"~","~~"),"*","~*"),"?","~?"))+COUNTIFS('Calculations'!$HS$13:$HS$512,"="&amp;SUBSTITUTE(SUBSTITUTE(SUBSTITUTE('Calculations'!HF388,"~","~~"),"*","~*"),"?","~?"),'Calculations'!$HN$13:$HN$512,"="&amp;SUBSTITUTE(SUBSTITUTE(SUBSTITUTE('Dashboard'!$B$7,"~","~~"),"*","~*"),"?","~?"))+COUNTIFS('Calculations'!$HT$13:$HT$512,"="&amp;SUBSTITUTE(SUBSTITUTE(SUBSTITUTE('Calculations'!HF388,"~","~~"),"*","~*"),"?","~?"),'Calculations'!$HN$13:$HN$512,"="&amp;SUBSTITUTE(SUBSTITUTE(SUBSTITUTE('Dashboard'!$B$7,"~","~~"),"*","~*"),"?","~?"))+COUNTIFS('Calculations'!$HU$13:$HU$512,"="&amp;SUBSTITUTE(SUBSTITUTE(SUBSTITUTE('Calculations'!HF388,"~","~~"),"*","~*"),"?","~?"),'Calculations'!$HN$13:$HN$512,"="&amp;SUBSTITUTE(SUBSTITUTE(SUBSTITUTE('Dashboard'!$B$7,"~","~~"),"*","~*"),"?","~?"))+COUNTIFS('Calculations'!$HV$13:$HV$512,"="&amp;SUBSTITUTE(SUBSTITUTE(SUBSTITUTE('Calculations'!HF388,"~","~~"),"*","~*"),"?","~?"),'Calculations'!$HN$13:$HN$512,"="&amp;SUBSTITUTE(SUBSTITUTE(SUBSTITUTE('Dashboard'!$B$7,"~","~~"),"*","~*"),"?","~?"))+COUNTIFS('Calculations'!$HW$13:$HW$512,"="&amp;SUBSTITUTE(SUBSTITUTE(SUBSTITUTE('Calculations'!HF388,"~","~~"),"*","~*"),"?","~?"),'Calculations'!$HN$13:$HN$512,"="&amp;SUBSTITUTE(SUBSTITUTE(SUBSTITUTE('Dashboard'!$B$7,"~","~~"),"*","~*"),"?","~?"))+COUNTIFS('Calculations'!$HX$13:$HX$512,"="&amp;SUBSTITUTE(SUBSTITUTE(SUBSTITUTE('Calculations'!HF388,"~","~~"),"*","~*"),"?","~?"),'Calculations'!$HN$13:$HN$512,"="&amp;SUBSTITUTE(SUBSTITUTE(SUBSTITUTE('Dashboard'!$B$7,"~","~~"),"*","~*"),"?","~?"))+COUNTIFS('Calculations'!$HY$13:$HY$512,"="&amp;SUBSTITUTE(SUBSTITUTE(SUBSTITUTE('Calculations'!HF388,"~","~~"),"*","~*"),"?","~?"),'Calculations'!$HN$13:$HN$512,"="&amp;SUBSTITUTE(SUBSTITUTE(SUBSTITUTE('Dashboard'!$B$7,"~","~~"),"*","~*"),"?","~?"))+COUNTIFS('Calculations'!$HZ$13:$HZ$512,"="&amp;SUBSTITUTE(SUBSTITUTE(SUBSTITUTE('Calculations'!HF388,"~","~~"),"*","~*"),"?","~?"),'Calculations'!$HN$13:$HN$512,"="&amp;SUBSTITUTE(SUBSTITUTE(SUBSTITUTE('Dashboard'!$B$7,"~","~~"),"*","~*"),"?","~?"))+COUNTIFS('Calculations'!$IA$13:$IA$512,"="&amp;SUBSTITUTE(SUBSTITUTE(SUBSTITUTE('Calculations'!HF388,"~","~~"),"*","~*"),"?","~?"),'Calculations'!$HN$13:$HN$512,"="&amp;SUBSTITUTE(SUBSTITUTE(SUBSTITUTE('Dashboard'!$B$7,"~","~~"),"*","~*"),"?","~?"))+COUNTIFS('Calculations'!$IB$13:$IB$512,"="&amp;SUBSTITUTE(SUBSTITUTE(SUBSTITUTE('Calculations'!HF388,"~","~~"),"*","~*"),"?","~?"),'Calculations'!$HN$13:$HN$512,"="&amp;SUBSTITUTE(SUBSTITUTE(SUBSTITUTE('Dashboard'!$B$7,"~","~~"),"*","~*"),"?","~?"))+COUNTIFS('Calculations'!$IC$13:$IC$512,"="&amp;SUBSTITUTE(SUBSTITUTE(SUBSTITUTE('Calculations'!HF388,"~","~~"),"*","~*"),"?","~?"),'Calculations'!$HN$13:$HN$512,"="&amp;SUBSTITUTE(SUBSTITUTE(SUBSTITUTE('Dashboard'!$B$7,"~","~~"),"*","~*"),"?","~?"))+COUNTIFS('Calculations'!$ID$13:$ID$512,"="&amp;SUBSTITUTE(SUBSTITUTE(SUBSTITUTE('Calculations'!HF388,"~","~~"),"*","~*"),"?","~?"),'Calculations'!$HN$13:$HN$512,"="&amp;SUBSTITUTE(SUBSTITUTE(SUBSTITUTE('Dashboard'!$B$7,"~","~~"),"*","~*"),"?","~?"))+COUNTIFS('Calculations'!$IE$13:$IE$512,"="&amp;SUBSTITUTE(SUBSTITUTE(SUBSTITUTE('Calculations'!HF388,"~","~~"),"*","~*"),"?","~?"),'Calculations'!$HN$13:$HN$512,"="&amp;SUBSTITUTE(SUBSTITUTE(SUBSTITUTE('Dashboard'!$B$7,"~","~~"),"*","~*"),"?","~?"))+COUNTIFS('Calculations'!$IF$13:$IF$512,"="&amp;SUBSTITUTE(SUBSTITUTE(SUBSTITUTE('Calculations'!HF388,"~","~~"),"*","~*"),"?","~?"),'Calculations'!$HN$13:$HN$512,"="&amp;SUBSTITUTE(SUBSTITUTE(SUBSTITUTE('Dashboard'!$B$7,"~","~~"),"*","~*"),"?","~?"))+COUNTIFS('Calculations'!$IG$13:$IG$512,"="&amp;SUBSTITUTE(SUBSTITUTE(SUBSTITUTE('Calculations'!HF388,"~","~~"),"*","~*"),"?","~?"),'Calculations'!$HN$13:$HN$512,"="&amp;SUBSTITUTE(SUBSTITUTE(SUBSTITUTE('Dashboard'!$B$7,"~","~~"),"*","~*"),"?","~?"))+COUNTIFS('Calculations'!$IH$13:$IH$512,"="&amp;SUBSTITUTE(SUBSTITUTE(SUBSTITUTE('Calculations'!HF388,"~","~~"),"*","~*"),"?","~?"),'Calculations'!$HN$13:$HN$512,"="&amp;SUBSTITUTE(SUBSTITUTE(SUBSTITUTE('Dashboard'!$B$7,"~","~~"),"*","~*"),"?","~?"))))</x:f>
        <x:v>0</x:v>
      </x:c>
      <x:c r="JD388" t="n">
        <x:f>IF('Calculations'!EM388="",0,IF('Dashboard'!$B$7="All",1,IF('Calculations'!HN388='Dashboard'!$B$7,1,0)+IFERROR(INDEX('Calculations'!$JC$13:$JC$512,MATCH('Calculations'!HE388,'Calculations'!$HF$13:$HF$512,0)),0)))</x:f>
        <x:v>0</x:v>
      </x:c>
      <x:c r="JE388" t="n">
        <x:f>IF(AND('Calculations'!EM388&lt;&gt;"",'Calculations'!$JJ$2&lt;&gt;"All",'Calculations'!$JJ$2&lt;&gt;"",'Calculations'!HF388='Calculations'!$JJ$2,'Calculations'!HL388=0,'Calculations'!JD388&gt;0),MAX('Calculations'!$JE$12:JE387)+1,0)</x:f>
        <x:v>0</x:v>
      </x:c>
      <x:c r="JF388" t="str">
        <x:f>IF('Calculations'!EM388="","",IFERROR(IF(INDEX(INDIRECT("'WCM Calibration Final'!$G$1:$G$2000"),'Calculations'!$EM388)="","",TRIM(INDEX(INDIRECT("'WCM Calibration Final'!$G$1:$G$2000"),'Calculations'!$EM388)&amp;"")),""))</x:f>
      </x:c>
      <x:c r="JQ388" t="n">
        <x:f>IF(OR('Calculations'!BM388=0,NOT('Calculations'!$AG$2),'Calculations'!$AG$8&gt;0),0,IF(OR('Dashboard'!$B$7="All",'Calculations'!HN388='Dashboard'!$B$7),IF('Calculations'!$JJ$2="All",1,IF(AND('Calculations'!HF388='Calculations'!$JJ$2,'Calculations'!HL388=0),1,0)),0))</x:f>
        <x:v>0</x:v>
      </x:c>
    </x:row>
    <x:row r="389">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t="n">
        <x:f>IF('Calculations'!$EM389="",0,IF(OR(IFERROR(INDEX(INDIRECT("'WCM Calibration Final'!$A$1:$A$2000"),'Calculations'!$EM389)&lt;&gt;"",FALSE),IFERROR(INDEX(INDIRECT("'WCM Calibration Final'!$B$1:$B$2000"),'Calculations'!$EM389)&lt;&gt;"",FALSE),IFERROR(INDEX(INDIRECT("'WCM Calibration Final'!$C$1:$C$2000"),'Calculations'!$EM389)&lt;&gt;"",FALSE)),1,0))</x:f>
        <x:v>0</x:v>
      </x:c>
      <x:c r="BN389" s="4" t="n">
        <x:f>IF(AND('Calculations'!BM389=1,'Calculations'!$AG$2,'Calculations'!$EN389=1),1,0)</x:f>
        <x:v>0</x:v>
      </x:c>
      <x:c r="BO389" s="4" t="str">
        <x:f>IF('Calculations'!BM389=0,"",IFERROR(IF(AND(VALUE(INDEX(INDIRECT("'WCM Calibration Final'!$K$1:$K$2000"),'Calculations'!$EM389))&gt;=1,VALUE(INDEX(INDIRECT("'WCM Calibration Final'!$K$1:$K$2000"),'Calculations'!$EM389))&lt;=4,MOD(VALUE(INDEX(INDIRECT("'WCM Calibration Final'!$K$1:$K$2000"),'Calculations'!$EM389)),1)=0),VALUE(INDEX(INDIRECT("'WCM Calibration Final'!$K$1:$K$2000"),'Calculations'!$EM389)),""),""))</x:f>
      </x:c>
      <x:c r="BP389" s="4" t="str">
        <x:f>IF('Calculations'!BM389=0,"",IFERROR(IF(AND(VALUE(INDEX(INDIRECT("'WCM Calibration Final'!$L$1:$L$2000"),'Calculations'!$EM389))&gt;=1,VALUE(INDEX(INDIRECT("'WCM Calibration Final'!$L$1:$L$2000"),'Calculations'!$EM389))&lt;=4,MOD(VALUE(INDEX(INDIRECT("'WCM Calibration Final'!$L$1:$L$2000"),'Calculations'!$EM389)),1)=0),VALUE(INDEX(INDIRECT("'WCM Calibration Final'!$L$1:$L$2000"),'Calculations'!$EM389)),""),""))</x:f>
      </x:c>
      <x:c r="BQ389" s="4"/>
      <x:c r="BR389" s="4"/>
      <x:c r="BS389" s="4"/>
      <x:c r="BT389" s="4" t="n">
        <x:f>IF(AND('Calculations'!BM389=1,ISNUMBER('Calculations'!BO389),ISNUMBER('Calculations'!BP389)),1,0)</x:f>
        <x:v>0</x:v>
      </x:c>
      <x:c r="BU389" s="4" t="str">
        <x:f>IF('Calculations'!BM389=0,"",'Calculations'!$EO389)</x:f>
      </x:c>
      <x:c r="BV389" s="4" t="str">
        <x:f>IF('Calculations'!BM389=0,"",IFERROR(IF(OR(INDEX(INDIRECT("'WCM Calibration Final'!$H$1:$H$2000"),'Calculations'!$EM389)="MANAGING DIRECTOR",INDEX(INDIRECT("'WCM Calibration Final'!$H$1:$H$2000"),'Calculations'!$EM389)="DIRECTOR",INDEX(INDIRECT("'WCM Calibration Final'!$H$1:$H$2000"),'Calculations'!$EM389)="SENIOR VICE PRESIDENT",INDEX(INDIRECT("'WCM Calibration Final'!$H$1:$H$2000"),'Calculations'!$EM389)="VICE PRESIDENT",INDEX(INDIRECT("'WCM Calibration Final'!$H$1:$H$2000"),'Calculations'!$EM389)="ASSISTANT VICE PRESIDENT",INDEX(INDIRECT("'WCM Calibration Final'!$H$1:$H$2000"),'Calculations'!$EM389)="OFFICER"),UPPER(INDEX(INDIRECT("'WCM Calibration Final'!$H$1:$H$2000"),'Calculations'!$EM389)),"Other"),"Other"))</x:f>
      </x:c>
      <x:c r="BW389" s="4"/>
      <x:c r="BX389" s="4"/>
      <x:c r="BY389" s="4" t="n">
        <x:f>IF(AND('Calculations'!BM389=1,'Calculations'!BU389&lt;&gt;"",COUNTIF('Calculations'!$BU$12:BU389,'Calculations'!BU389)=1),MAX('Calculations'!$BY$11:BY388)+1,0)</x:f>
        <x:v>0</x:v>
      </x:c>
      <x:c r="BZ389" s="4" t="str">
        <x:f>IF('Dashboard'!$E$67="What",'Calculations'!BO389,'Calculations'!BP389)</x:f>
      </x:c>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t="str">
        <x:f>IF(378&gt;MAX('Calculations'!$HI$13:$HI$512),"",INDEX('Calculations'!$HN$13:$HN$512,MATCH(378,'Calculations'!$HI$13:$HI$512,0)))</x:f>
      </x:c>
      <x:c r="DB389" s="4" t="str">
        <x:f>IF(378&gt;MAX('Calculations'!$HH$13:$HH$512),"",INDEX('Calculations'!$HJ$13:$HJ$512,MATCH(378,'Calculations'!$HH$13:$HH$512,0)))</x:f>
      </x:c>
      <x:c r="DC389" s="4" t="str">
        <x:f>IF(ROW()-11&gt;MAX('Calculations'!$BY$13:$BY$512),"",INDEX('Calculations'!$BU$13:$BU$512,MATCH(ROW()-11,'Calculations'!$BY$13:$BY$512,0)))</x:f>
      </x:c>
      <x:c r="DD389" s="4" t="str">
        <x:f>IF(378&gt;MAX('Calculations'!$IK$13:$IK$512),"",INDEX('Calculations'!$HK$13:$HK$512,MATCH(378,'Calculations'!$IK$13:$IK$512,0)))</x:f>
      </x:c>
      <x:c r="DE389" s="4" t="str">
        <x:f>'Calculations'!DC389</x:f>
      </x:c>
      <x:c r="DF389" s="4" t="str">
        <x:f>IF('Calculations'!DE389="","",COUNTIFS('Calculations'!$BN$13:$BN$512,1,'Calculations'!$BU$13:$BU$512,'Calculations'!DE389))</x:f>
      </x:c>
      <x:c r="DG389" s="4" t="str">
        <x:f>IF('Calculations'!DE389="","",COUNTIFS('Calculations'!$BN$13:$BN$512,1,'Calculations'!$BU$13:$BU$512,'Calculations'!DE389,'Calculations'!$BT$13:$BT$512,1))</x:f>
      </x:c>
      <x:c r="DH389" s="4" t="str">
        <x:f>IF('Calculations'!DE389="","",'Calculations'!DF389-'Calculations'!DG389)</x:f>
      </x:c>
      <x:c r="DI389" s="4" t="str">
        <x:f>IF(OR('Calculations'!DE389="",'Calculations'!DF389=0),"",'Calculations'!DG389/'Calculations'!DF389)</x:f>
      </x:c>
      <x:c r="DJ389" s="4" t="str">
        <x:f>IF('Calculations'!DE389="","",COUNTIFS('Calculations'!$BN$13:$BN$512,1,'Calculations'!$BU$13:$BU$512,'Calculations'!DE389,'Calculations'!$BT$13:$BT$512,1,'Calculations'!$EE$13:$EE$512,"High"))</x:f>
      </x:c>
      <x:c r="DK389" s="4" t="str">
        <x:f>IF('Calculations'!DE389="","",COUNTIFS('Calculations'!$BN$13:$BN$512,1,'Calculations'!$BU$13:$BU$512,'Calculations'!DE389,'Calculations'!$BT$13:$BT$512,1,'Calculations'!$EE$13:$EE$512,"Strong"))</x:f>
      </x:c>
      <x:c r="DL389" s="4" t="str">
        <x:f>IF('Calculations'!DE389="","",COUNTIFS('Calculations'!$BN$13:$BN$512,1,'Calculations'!$BU$13:$BU$512,'Calculations'!DE389,'Calculations'!$BT$13:$BT$512,1,'Calculations'!$EE$13:$EE$512,"Solid"))</x:f>
      </x:c>
      <x:c r="DM389" s="4" t="str">
        <x:f>IF('Calculations'!DE389="","",COUNTIFS('Calculations'!$BN$13:$BN$512,1,'Calculations'!$BU$13:$BU$512,'Calculations'!DE389,'Calculations'!$BT$13:$BT$512,1,'Calculations'!$EE$13:$EE$512,"Low"))</x:f>
      </x:c>
      <x:c r="DN389" s="4" t="str">
        <x:f>IF('Calculations'!DE389="","",COUNTIFS('Calculations'!$BN$13:$BN$512,1,'Calculations'!$BU$13:$BU$512,'Calculations'!DE389,'Calculations'!$EP$13:$EP$512,1))</x:f>
      </x:c>
      <x:c r="DO389" s="4" t="str">
        <x:f>IF(OR('Calculations'!DE389="",'Calculations'!DG389=0),"",('Calculations'!DJ389+'Calculations'!DK389)/'Calculations'!DG389)</x:f>
      </x:c>
      <x:c r="DP389" s="4" t="n">
        <x:f>IF(AND('Calculations'!DE389&lt;&gt;"",'Calculations'!DF389&gt;0),COUNTIF('Calculations'!$DF$12:DF389,"&gt;0"),0)</x:f>
        <x:v>0</x:v>
      </x:c>
      <x:c r="DQ389" s="4" t="str">
        <x:f>IF(378&gt;MAX('Calculations'!$HH$13:$HH$512),"",INDEX('Calculations'!$HF$13:$HF$512,MATCH(378,'Calculations'!$HH$13:$HH$512,0)))</x:f>
      </x:c>
      <x:c r="DR389" s="4" t="str">
        <x:f>IF(378&gt;MAX('Calculations'!$IK$13:$IK$512),"",INDEX('Calculations'!$HE$13:$HE$512,MATCH(378,'Calculations'!$IK$13:$IK$512,0)))</x:f>
      </x:c>
      <x:c r="DS389" s="4"/>
      <x:c r="DT389" s="4"/>
      <x:c r="DU389" s="4"/>
      <x:c r="DV389" s="4"/>
      <x:c r="DW389" s="4"/>
      <x:c r="DX389" s="4"/>
      <x:c r="DY389" s="4"/>
      <x:c r="DZ389" s="4"/>
      <x:c r="EA389" s="4"/>
      <x:c r="EB389" s="4"/>
      <x:c r="EC389" s="4"/>
      <x:c r="ED389" s="4"/>
      <x:c r="EE389" s="4" t="str">
        <x:f>IF('Calculations'!BT389=0,"Not Rated",IF(OR('Calculations'!BO389&gt;=4,'Calculations'!BP389&gt;=4),"Low",IF('Calculations'!BO389+'Calculations'!BP389&lt;=3,"High",IF('Calculations'!BO389+'Calculations'!BP389&lt;=4,"Strong","Solid"))))</x:f>
        <x:v>Not Rated</x:v>
      </x:c>
      <x:c r="EF389" s="4"/>
      <x:c r="EG389" s="4"/>
      <x:c r="EH389" s="4"/>
      <x:c r="EI389" s="4"/>
      <x:c r="EJ389" s="4"/>
      <x:c r="EK389" s="4"/>
      <x:c r="EL389" s="4"/>
      <x:c r="EM389" s="4" t="str">
        <x:f>IF(377&gt;'Calculations'!$JB$2000,"",INDEX('Calculations'!$JA$12:$JA$2000,MATCH(377,'Calculations'!$JB$12:$JB$2000,0)))</x:f>
      </x:c>
      <x:c r="EN389" s="4" t="n">
        <x:f>IF(OR('Calculations'!EM389="",'Calculations'!$AG$8&gt;0,AND('Calculations'!$EF$2&lt;&gt;"All",'Calculations'!HE389='Calculations'!$EF$2),AND('Calculations'!$EF$3&lt;&gt;"All",'Calculations'!HE389='Calculations'!$EF$3)),0,IF(OR('Dashboard'!$B$7="All",'Calculations'!HN389='Dashboard'!$B$7),IF('Calculations'!$EF$2="All",1,IF('Calculations'!HL389&gt;0,0,IF(COUNTIF('Calculations'!HO389:II389,"="&amp;SUBSTITUTE(SUBSTITUTE(SUBSTITUTE('Calculations'!$EF$2,"~","~~"),"*","~*"),"?","~?"))=0,0,IF('Calculations'!$EF$3="All",1,IF(COUNTIF('Calculations'!HO389:II389,"="&amp;SUBSTITUTE(SUBSTITUTE(SUBSTITUTE('Calculations'!$EF$3,"~","~~"),"*","~*"),"?","~?"))&gt;0,1,0))))),0))</x:f>
        <x:v>0</x:v>
      </x:c>
      <x:c r="EO389" s="4" t="str">
        <x:f>IF('Calculations'!IJ389="","",IF('Calculations'!IJ389="!UNRESOLVED","Unresolved hierarchy",IFERROR(INDEX('Calculations'!$HK$13:$HK$512,MATCH('Calculations'!IJ389,'Calculations'!$HE$13:$HE$512,0)),IFERROR(INDEX('Calculations'!$HJ$13:$HJ$512,MATCH('Calculations'!IJ389,'Calculations'!$HF$13:$HF$512,0)),'Calculations'!IJ389))))</x:f>
      </x:c>
      <x:c r="EP389" s="4" t="n">
        <x:f>IF(AND('Calculations'!EM389&lt;&gt;"",'Calculations'!HF389='Calculations'!IJ389),1,0)</x:f>
        <x:v>0</x:v>
      </x:c>
      <x:c r="EQ389" s="4"/>
      <x:c r="ER389" s="4"/>
      <x:c r="ES389" s="4"/>
      <x:c r="ET389" s="4"/>
      <x:c r="EU389" s="4"/>
      <x:c r="EV389" s="4"/>
      <x:c r="EW389" s="4"/>
      <x:c r="EX389" s="4"/>
      <x:c r="EY389" s="4"/>
      <x:c r="EZ389" s="4"/>
      <x:c r="FA389" s="4"/>
      <x:c r="FB389" s="4"/>
      <x:c r="FC389" s="4"/>
      <x:c r="FD389" s="4"/>
      <x:c r="FE389" s="4"/>
      <x:c r="FF389" s="4"/>
      <x:c r="FG389" s="4"/>
      <x:c r="FH389" s="4"/>
      <x:c r="FI389" s="4"/>
      <x:c r="FJ389" s="4"/>
      <x:c r="FK389" s="4"/>
      <x:c r="FL389" s="4"/>
      <x:c r="FM389" s="4"/>
      <x:c r="FN389" s="4"/>
      <x:c r="FO389" s="4"/>
      <x:c r="HE389" t="str">
        <x:f>IF('Calculations'!EM389="","",IF(IFERROR(IF(INDEX(INDIRECT("'WCM Calibration Final'!$A$1:$A$2000"),'Calculations'!$EM389)="","",TRIM(INDEX(INDIRECT("'WCM Calibration Final'!$A$1:$A$2000"),'Calculations'!$EM389)&amp;"")),"")&lt;&gt;"","G:"&amp;IFERROR(TEXT(1*INDEX(INDIRECT("'WCM Calibration Final'!$A$1:$A$2000"),'Calculations'!$EM389),"0"),UPPER(IFERROR(IF(INDEX(INDIRECT("'WCM Calibration Final'!$A$1:$A$2000"),'Calculations'!$EM389)="","",TRIM(INDEX(INDIRECT("'WCM Calibration Final'!$A$1:$A$2000"),'Calculations'!$EM389)&amp;"")),""))),IF(IFERROR(IF(INDEX(INDIRECT("'WCM Calibration Final'!$C$1:$C$2000"),'Calculations'!$EM389)="","",TRIM(INDEX(INDIRECT("'WCM Calibration Final'!$C$1:$C$2000"),'Calculations'!$EM389)&amp;"")),"")&lt;&gt;"","S:"&amp;UPPER(IFERROR(IF(INDEX(INDIRECT("'WCM Calibration Final'!$C$1:$C$2000"),'Calculations'!$EM389)="","",TRIM(INDEX(INDIRECT("'WCM Calibration Final'!$C$1:$C$2000"),'Calculations'!$EM389)&amp;"")),"")),"R:"&amp;'Calculations'!EM389)))</x:f>
      </x:c>
      <x:c r="HF389" t="str">
        <x:f>IF('Calculations'!EM389="","",IF(IFERROR(IF(INDEX(INDIRECT("'WCM Calibration Final'!$D$1:$D$2000"),'Calculations'!$EM389)="","",TRIM(INDEX(INDIRECT("'WCM Calibration Final'!$D$1:$D$2000"),'Calculations'!$EM389)&amp;"")),"")&lt;&gt;"","G:"&amp;IFERROR(TEXT(1*INDEX(INDIRECT("'WCM Calibration Final'!$D$1:$D$2000"),'Calculations'!$EM389),"0"),UPPER(IFERROR(IF(INDEX(INDIRECT("'WCM Calibration Final'!$D$1:$D$2000"),'Calculations'!$EM389)="","",TRIM(INDEX(INDIRECT("'WCM Calibration Final'!$D$1:$D$2000"),'Calculations'!$EM389)&amp;"")),""))),IF(IFERROR(IF(INDEX(INDIRECT("'WCM Calibration Final'!$E$1:$E$2000"),'Calculations'!$EM389)="","",TRIM(INDEX(INDIRECT("'WCM Calibration Final'!$E$1:$E$2000"),'Calculations'!$EM389)&amp;"")),"")="","",IF(COUNTIF('Calculations'!$HG$13:$HG$512,"="&amp;SUBSTITUTE(SUBSTITUTE(SUBSTITUTE(IFERROR(IF(INDEX(INDIRECT("'WCM Calibration Final'!$E$1:$E$2000"),'Calculations'!$EM389)="","",TRIM(INDEX(INDIRECT("'WCM Calibration Final'!$E$1:$E$2000"),'Calculations'!$EM389)&amp;"")),""),"~","~~"),"*","~*"),"?","~?"))=1,INDEX('Calculations'!$HE$13:$HE$512,MATCH(IFERROR(IF(INDEX(INDIRECT("'WCM Calibration Final'!$E$1:$E$2000"),'Calculations'!$EM389)="","",TRIM(INDEX(INDIRECT("'WCM Calibration Final'!$E$1:$E$2000"),'Calculations'!$EM389)&amp;"")),""),'Calculations'!$HG$13:$HG$512,0)),IF(COUNTIF('Calculations'!$HG$13:$HG$512,"="&amp;SUBSTITUTE(SUBSTITUTE(SUBSTITUTE(IFERROR(IF(INDEX(INDIRECT("'WCM Calibration Final'!$E$1:$E$2000"),'Calculations'!$EM389)="","",TRIM(INDEX(INDIRECT("'WCM Calibration Final'!$E$1:$E$2000"),'Calculations'!$EM389)&amp;"")),""),"~","~~"),"*","~*"),"?","~?"))&gt;1,"!AMBIG","X:"&amp;IFERROR(IF(INDEX(INDIRECT("'WCM Calibration Final'!$E$1:$E$2000"),'Calculations'!$EM389)="","",TRIM(INDEX(INDIRECT("'WCM Calibration Final'!$E$1:$E$2000"),'Calculations'!$EM389)&amp;"")),""))))))</x:f>
      </x:c>
      <x:c r="HG389" t="str">
        <x:f>IF('Calculations'!EM389="","",IFERROR(IF(INDEX(INDIRECT("'WCM Calibration Final'!$B$1:$B$2000"),'Calculations'!$EM389)="","",TRIM(INDEX(INDIRECT("'WCM Calibration Final'!$B$1:$B$2000"),'Calculations'!$EM389)&amp;"")),""))</x:f>
      </x:c>
      <x:c r="HH389" t="n">
        <x:f>IF(AND('Calculations'!JC389&gt;0,COUNTIF('Calculations'!$HF$12:HF389,"="&amp;SUBSTITUTE(SUBSTITUTE(SUBSTITUTE('Calculations'!HF389,"~","~~"),"*","~*"),"?","~?"))=1),MAX('Calculations'!$HH$12:HH388)+1,0)</x:f>
        <x:v>0</x:v>
      </x:c>
      <x:c r="HI389" t="n">
        <x:f>IF(AND('Calculations'!HN389&lt;&gt;"",COUNTIF('Calculations'!$HN$12:HN389,"="&amp;SUBSTITUTE(SUBSTITUTE(SUBSTITUTE('Calculations'!HN389,"~","~~"),"*","~*"),"?","~?"))=1),MAX('Calculations'!$HI$12:HI388)+1,0)</x:f>
        <x:v>0</x:v>
      </x:c>
      <x:c r="HJ389" t="str">
        <x:f>IF('Calculations'!HF389="","",IF(COUNTIF('Calculations'!$HE$13:$HE$512,"="&amp;SUBSTITUTE(SUBSTITUTE(SUBSTITUTE('Calculations'!HF389,"~","~~"),"*","~*"),"?","~?"))=1,INDEX('Calculations'!$HK$13:$HK$512,MATCH('Calculations'!HF389,'Calculations'!$HE$13:$HE$512,0)),IFERROR(IF(INDEX(INDIRECT("'WCM Calibration Final'!$E$1:$E$2000"),'Calculations'!$EM389)="","",TRIM(INDEX(INDIRECT("'WCM Calibration Final'!$E$1:$E$2000"),'Calculations'!$EM389)&amp;"")),"")&amp;" ["&amp;'Calculations'!HF389&amp;"]"))</x:f>
      </x:c>
      <x:c r="HK389" t="str">
        <x:f>IF('Calculations'!EM389="","",'Calculations'!HG389&amp;" ["&amp;'Calculations'!HE389&amp;"]")</x:f>
      </x:c>
      <x:c r="HL389" t="n">
        <x:f>IF('Calculations'!EM389="",0,IF(OR('Calculations'!II389&lt;&gt;"",COUNTIF('Calculations'!$HE$13:$HE$512,"="&amp;SUBSTITUTE(SUBSTITUTE(SUBSTITUTE('Calculations'!HE389,"~","~~"),"*","~*"),"?","~?"))&gt;1),1,0))</x:f>
        <x:v>0</x:v>
      </x:c>
      <x:c r="HM389" t="str">
        <x:f>IF('Calculations'!EM389="","",IF('Calculations'!HL389=1,"!UNRESOLVED",IF('Calculations'!IH389&lt;&gt;"",'Calculations'!IH389,IF('Calculations'!IG389&lt;&gt;"",'Calculations'!IG389,IF('Calculations'!IF389&lt;&gt;"",'Calculations'!IF389,IF('Calculations'!IE389&lt;&gt;"",'Calculations'!IE389,IF('Calculations'!ID389&lt;&gt;"",'Calculations'!ID389,IF('Calculations'!IC389&lt;&gt;"",'Calculations'!IC389,IF('Calculations'!IB389&lt;&gt;"",'Calculations'!IB389,IF('Calculations'!IA389&lt;&gt;"",'Calculations'!IA389,IF('Calculations'!HZ389&lt;&gt;"",'Calculations'!HZ389,IF('Calculations'!HY389&lt;&gt;"",'Calculations'!HY389,IF('Calculations'!HX389&lt;&gt;"",'Calculations'!HX389,IF('Calculations'!HW389&lt;&gt;"",'Calculations'!HW389,IF('Calculations'!HV389&lt;&gt;"",'Calculations'!HV389,IF('Calculations'!HU389&lt;&gt;"",'Calculations'!HU389,IF('Calculations'!HT389&lt;&gt;"",'Calculations'!HT389,IF('Calculations'!HS389&lt;&gt;"",'Calculations'!HS389,IF('Calculations'!HR389&lt;&gt;"",'Calculations'!HR389,IF('Calculations'!HQ389&lt;&gt;"",'Calculations'!HQ389,IF('Calculations'!HP389&lt;&gt;"",'Calculations'!HP389,IF('Calculations'!HO389&lt;&gt;"",'Calculations'!HO389,'Calculations'!HE389))))))))))))))))))))))</x:f>
      </x:c>
      <x:c r="HN389" t="str">
        <x:f>IF('Calculations'!EM389="","",IF(IFERROR(IF(INDEX(INDIRECT("'WCM Calibration Final'!$F$1:$F$2000"),'Calculations'!$EM389)="","",TRIM(INDEX(INDIRECT("'WCM Calibration Final'!$F$1:$F$2000"),'Calculations'!$EM389)&amp;"")),"")="","(Blank)",IFERROR(IF(INDEX(INDIRECT("'WCM Calibration Final'!$F$1:$F$2000"),'Calculations'!$EM389)="","",TRIM(INDEX(INDIRECT("'WCM Calibration Final'!$F$1:$F$2000"),'Calculations'!$EM389)&amp;"")),"")))</x:f>
      </x:c>
      <x:c r="HO389" t="str">
        <x:f>'Calculations'!HF389</x:f>
      </x:c>
      <x:c r="HP389" t="str">
        <x:f>IF('Calculations'!HO389="","",IF('Calculations'!HO389="!AMBIG","!AMBIG",IF(COUNTIF('Calculations'!$HE$13:$HE$512,"="&amp;SUBSTITUTE(SUBSTITUTE(SUBSTITUTE('Calculations'!HO389,"~","~~"),"*","~*"),"?","~?"))&gt;1,"!AMBIG",IFERROR(INDEX('Calculations'!$HF$13:$HF$512,MATCH('Calculations'!HO389,'Calculations'!$HE$13:$HE$512,0)),""))))</x:f>
      </x:c>
      <x:c r="HQ389" t="str">
        <x:f>IF('Calculations'!HP389="","",IF('Calculations'!HP389="!AMBIG","!AMBIG",IF(COUNTIF('Calculations'!$HE$13:$HE$512,"="&amp;SUBSTITUTE(SUBSTITUTE(SUBSTITUTE('Calculations'!HP389,"~","~~"),"*","~*"),"?","~?"))&gt;1,"!AMBIG",IFERROR(INDEX('Calculations'!$HF$13:$HF$512,MATCH('Calculations'!HP389,'Calculations'!$HE$13:$HE$512,0)),""))))</x:f>
      </x:c>
      <x:c r="HR389" t="str">
        <x:f>IF('Calculations'!HQ389="","",IF('Calculations'!HQ389="!AMBIG","!AMBIG",IF(COUNTIF('Calculations'!$HE$13:$HE$512,"="&amp;SUBSTITUTE(SUBSTITUTE(SUBSTITUTE('Calculations'!HQ389,"~","~~"),"*","~*"),"?","~?"))&gt;1,"!AMBIG",IFERROR(INDEX('Calculations'!$HF$13:$HF$512,MATCH('Calculations'!HQ389,'Calculations'!$HE$13:$HE$512,0)),""))))</x:f>
      </x:c>
      <x:c r="HS389" t="str">
        <x:f>IF('Calculations'!HR389="","",IF('Calculations'!HR389="!AMBIG","!AMBIG",IF(COUNTIF('Calculations'!$HE$13:$HE$512,"="&amp;SUBSTITUTE(SUBSTITUTE(SUBSTITUTE('Calculations'!HR389,"~","~~"),"*","~*"),"?","~?"))&gt;1,"!AMBIG",IFERROR(INDEX('Calculations'!$HF$13:$HF$512,MATCH('Calculations'!HR389,'Calculations'!$HE$13:$HE$512,0)),""))))</x:f>
      </x:c>
      <x:c r="HT389" t="str">
        <x:f>IF('Calculations'!HS389="","",IF('Calculations'!HS389="!AMBIG","!AMBIG",IF(COUNTIF('Calculations'!$HE$13:$HE$512,"="&amp;SUBSTITUTE(SUBSTITUTE(SUBSTITUTE('Calculations'!HS389,"~","~~"),"*","~*"),"?","~?"))&gt;1,"!AMBIG",IFERROR(INDEX('Calculations'!$HF$13:$HF$512,MATCH('Calculations'!HS389,'Calculations'!$HE$13:$HE$512,0)),""))))</x:f>
      </x:c>
      <x:c r="HU389" t="str">
        <x:f>IF('Calculations'!HT389="","",IF('Calculations'!HT389="!AMBIG","!AMBIG",IF(COUNTIF('Calculations'!$HE$13:$HE$512,"="&amp;SUBSTITUTE(SUBSTITUTE(SUBSTITUTE('Calculations'!HT389,"~","~~"),"*","~*"),"?","~?"))&gt;1,"!AMBIG",IFERROR(INDEX('Calculations'!$HF$13:$HF$512,MATCH('Calculations'!HT389,'Calculations'!$HE$13:$HE$512,0)),""))))</x:f>
      </x:c>
      <x:c r="HV389" t="str">
        <x:f>IF('Calculations'!HU389="","",IF('Calculations'!HU389="!AMBIG","!AMBIG",IF(COUNTIF('Calculations'!$HE$13:$HE$512,"="&amp;SUBSTITUTE(SUBSTITUTE(SUBSTITUTE('Calculations'!HU389,"~","~~"),"*","~*"),"?","~?"))&gt;1,"!AMBIG",IFERROR(INDEX('Calculations'!$HF$13:$HF$512,MATCH('Calculations'!HU389,'Calculations'!$HE$13:$HE$512,0)),""))))</x:f>
      </x:c>
      <x:c r="HW389" t="str">
        <x:f>IF('Calculations'!HV389="","",IF('Calculations'!HV389="!AMBIG","!AMBIG",IF(COUNTIF('Calculations'!$HE$13:$HE$512,"="&amp;SUBSTITUTE(SUBSTITUTE(SUBSTITUTE('Calculations'!HV389,"~","~~"),"*","~*"),"?","~?"))&gt;1,"!AMBIG",IFERROR(INDEX('Calculations'!$HF$13:$HF$512,MATCH('Calculations'!HV389,'Calculations'!$HE$13:$HE$512,0)),""))))</x:f>
      </x:c>
      <x:c r="HX389" t="str">
        <x:f>IF('Calculations'!HW389="","",IF('Calculations'!HW389="!AMBIG","!AMBIG",IF(COUNTIF('Calculations'!$HE$13:$HE$512,"="&amp;SUBSTITUTE(SUBSTITUTE(SUBSTITUTE('Calculations'!HW389,"~","~~"),"*","~*"),"?","~?"))&gt;1,"!AMBIG",IFERROR(INDEX('Calculations'!$HF$13:$HF$512,MATCH('Calculations'!HW389,'Calculations'!$HE$13:$HE$512,0)),""))))</x:f>
      </x:c>
      <x:c r="HY389" t="str">
        <x:f>IF('Calculations'!HX389="","",IF('Calculations'!HX389="!AMBIG","!AMBIG",IF(COUNTIF('Calculations'!$HE$13:$HE$512,"="&amp;SUBSTITUTE(SUBSTITUTE(SUBSTITUTE('Calculations'!HX389,"~","~~"),"*","~*"),"?","~?"))&gt;1,"!AMBIG",IFERROR(INDEX('Calculations'!$HF$13:$HF$512,MATCH('Calculations'!HX389,'Calculations'!$HE$13:$HE$512,0)),""))))</x:f>
      </x:c>
      <x:c r="HZ389" t="str">
        <x:f>IF('Calculations'!HY389="","",IF('Calculations'!HY389="!AMBIG","!AMBIG",IF(COUNTIF('Calculations'!$HE$13:$HE$512,"="&amp;SUBSTITUTE(SUBSTITUTE(SUBSTITUTE('Calculations'!HY389,"~","~~"),"*","~*"),"?","~?"))&gt;1,"!AMBIG",IFERROR(INDEX('Calculations'!$HF$13:$HF$512,MATCH('Calculations'!HY389,'Calculations'!$HE$13:$HE$512,0)),""))))</x:f>
      </x:c>
      <x:c r="IA389" t="str">
        <x:f>IF('Calculations'!HZ389="","",IF('Calculations'!HZ389="!AMBIG","!AMBIG",IF(COUNTIF('Calculations'!$HE$13:$HE$512,"="&amp;SUBSTITUTE(SUBSTITUTE(SUBSTITUTE('Calculations'!HZ389,"~","~~"),"*","~*"),"?","~?"))&gt;1,"!AMBIG",IFERROR(INDEX('Calculations'!$HF$13:$HF$512,MATCH('Calculations'!HZ389,'Calculations'!$HE$13:$HE$512,0)),""))))</x:f>
      </x:c>
      <x:c r="IB389" t="str">
        <x:f>IF('Calculations'!IA389="","",IF('Calculations'!IA389="!AMBIG","!AMBIG",IF(COUNTIF('Calculations'!$HE$13:$HE$512,"="&amp;SUBSTITUTE(SUBSTITUTE(SUBSTITUTE('Calculations'!IA389,"~","~~"),"*","~*"),"?","~?"))&gt;1,"!AMBIG",IFERROR(INDEX('Calculations'!$HF$13:$HF$512,MATCH('Calculations'!IA389,'Calculations'!$HE$13:$HE$512,0)),""))))</x:f>
      </x:c>
      <x:c r="IC389" t="str">
        <x:f>IF('Calculations'!IB389="","",IF('Calculations'!IB389="!AMBIG","!AMBIG",IF(COUNTIF('Calculations'!$HE$13:$HE$512,"="&amp;SUBSTITUTE(SUBSTITUTE(SUBSTITUTE('Calculations'!IB389,"~","~~"),"*","~*"),"?","~?"))&gt;1,"!AMBIG",IFERROR(INDEX('Calculations'!$HF$13:$HF$512,MATCH('Calculations'!IB389,'Calculations'!$HE$13:$HE$512,0)),""))))</x:f>
      </x:c>
      <x:c r="ID389" t="str">
        <x:f>IF('Calculations'!IC389="","",IF('Calculations'!IC389="!AMBIG","!AMBIG",IF(COUNTIF('Calculations'!$HE$13:$HE$512,"="&amp;SUBSTITUTE(SUBSTITUTE(SUBSTITUTE('Calculations'!IC389,"~","~~"),"*","~*"),"?","~?"))&gt;1,"!AMBIG",IFERROR(INDEX('Calculations'!$HF$13:$HF$512,MATCH('Calculations'!IC389,'Calculations'!$HE$13:$HE$512,0)),""))))</x:f>
      </x:c>
      <x:c r="IE389" t="str">
        <x:f>IF('Calculations'!ID389="","",IF('Calculations'!ID389="!AMBIG","!AMBIG",IF(COUNTIF('Calculations'!$HE$13:$HE$512,"="&amp;SUBSTITUTE(SUBSTITUTE(SUBSTITUTE('Calculations'!ID389,"~","~~"),"*","~*"),"?","~?"))&gt;1,"!AMBIG",IFERROR(INDEX('Calculations'!$HF$13:$HF$512,MATCH('Calculations'!ID389,'Calculations'!$HE$13:$HE$512,0)),""))))</x:f>
      </x:c>
      <x:c r="IF389" t="str">
        <x:f>IF('Calculations'!IE389="","",IF('Calculations'!IE389="!AMBIG","!AMBIG",IF(COUNTIF('Calculations'!$HE$13:$HE$512,"="&amp;SUBSTITUTE(SUBSTITUTE(SUBSTITUTE('Calculations'!IE389,"~","~~"),"*","~*"),"?","~?"))&gt;1,"!AMBIG",IFERROR(INDEX('Calculations'!$HF$13:$HF$512,MATCH('Calculations'!IE389,'Calculations'!$HE$13:$HE$512,0)),""))))</x:f>
      </x:c>
      <x:c r="IG389" t="str">
        <x:f>IF('Calculations'!IF389="","",IF('Calculations'!IF389="!AMBIG","!AMBIG",IF(COUNTIF('Calculations'!$HE$13:$HE$512,"="&amp;SUBSTITUTE(SUBSTITUTE(SUBSTITUTE('Calculations'!IF389,"~","~~"),"*","~*"),"?","~?"))&gt;1,"!AMBIG",IFERROR(INDEX('Calculations'!$HF$13:$HF$512,MATCH('Calculations'!IF389,'Calculations'!$HE$13:$HE$512,0)),""))))</x:f>
      </x:c>
      <x:c r="IH389" t="str">
        <x:f>IF('Calculations'!IG389="","",IF('Calculations'!IG389="!AMBIG","!AMBIG",IF(COUNTIF('Calculations'!$HE$13:$HE$512,"="&amp;SUBSTITUTE(SUBSTITUTE(SUBSTITUTE('Calculations'!IG389,"~","~~"),"*","~*"),"?","~?"))&gt;1,"!AMBIG",IFERROR(INDEX('Calculations'!$HF$13:$HF$512,MATCH('Calculations'!IG389,'Calculations'!$HE$13:$HE$512,0)),""))))</x:f>
      </x:c>
      <x:c r="II389" t="str">
        <x:f>IF('Calculations'!IH389="","",IF('Calculations'!IH389="!AMBIG","!AMBIG",IF(COUNTIF('Calculations'!$HE$13:$HE$512,"="&amp;SUBSTITUTE(SUBSTITUTE(SUBSTITUTE('Calculations'!IH389,"~","~~"),"*","~*"),"?","~?"))&gt;1,"!AMBIG",IFERROR(INDEX('Calculations'!$HF$13:$HF$512,MATCH('Calculations'!IH389,'Calculations'!$HE$13:$HE$512,0)),""))))</x:f>
      </x:c>
      <x:c r="IJ389" t="str">
        <x:f>IF('Calculations'!EM389="","",IF('Calculations'!$EF$2="All",'Calculations'!HM389,IF('Calculations'!HL389=1,"",IFERROR(IF(MATCH('Calculations'!$EF$2,'Calculations'!HO389:II389,0)=1,'Calculations'!HE389,INDEX('Calculations'!HO389:II389,1,MATCH('Calculations'!$EF$2,'Calculations'!HO389:II389,0)-1)),""))))</x:f>
      </x:c>
      <x:c r="IK389" t="n">
        <x:f>IF(AND('Calculations'!EM389&lt;&gt;"",'Calculations'!$EF$2&lt;&gt;"All",'Calculations'!HF389='Calculations'!$EF$2,'Calculations'!HL389=0,'Calculations'!JD389&gt;0),MAX('Calculations'!$IK$12:IK388)+1,0)</x:f>
        <x:v>0</x:v>
      </x:c>
      <x:c r="JA389" t="n">
        <x:f>IF(OR(IFERROR(INDIRECT("'WCM Calibration Final'!$A$389")&lt;&gt;"",FALSE),IFERROR(INDIRECT("'WCM Calibration Final'!$B$389")&lt;&gt;"",FALSE),IFERROR(INDIRECT("'WCM Calibration Final'!$C$389")&lt;&gt;"",FALSE)),389,0)</x:f>
        <x:v>0</x:v>
      </x:c>
      <x:c r="JB389" t="n">
        <x:f>'Calculations'!JB388+IF('Calculations'!JA389&gt;0,1,0)</x:f>
        <x:v>0</x:v>
      </x:c>
      <x:c r="JC389" t="n">
        <x:f>IF(OR('Calculations'!HF389="",'Calculations'!HF389="!AMBIG"),0,IF('Dashboard'!$B$7="All",1,COUNTIFS('Calculations'!$HO$13:$HO$512,"="&amp;SUBSTITUTE(SUBSTITUTE(SUBSTITUTE('Calculations'!HF389,"~","~~"),"*","~*"),"?","~?"),'Calculations'!$HN$13:$HN$512,"="&amp;SUBSTITUTE(SUBSTITUTE(SUBSTITUTE('Dashboard'!$B$7,"~","~~"),"*","~*"),"?","~?"))+COUNTIFS('Calculations'!$HP$13:$HP$512,"="&amp;SUBSTITUTE(SUBSTITUTE(SUBSTITUTE('Calculations'!HF389,"~","~~"),"*","~*"),"?","~?"),'Calculations'!$HN$13:$HN$512,"="&amp;SUBSTITUTE(SUBSTITUTE(SUBSTITUTE('Dashboard'!$B$7,"~","~~"),"*","~*"),"?","~?"))+COUNTIFS('Calculations'!$HQ$13:$HQ$512,"="&amp;SUBSTITUTE(SUBSTITUTE(SUBSTITUTE('Calculations'!HF389,"~","~~"),"*","~*"),"?","~?"),'Calculations'!$HN$13:$HN$512,"="&amp;SUBSTITUTE(SUBSTITUTE(SUBSTITUTE('Dashboard'!$B$7,"~","~~"),"*","~*"),"?","~?"))+COUNTIFS('Calculations'!$HR$13:$HR$512,"="&amp;SUBSTITUTE(SUBSTITUTE(SUBSTITUTE('Calculations'!HF389,"~","~~"),"*","~*"),"?","~?"),'Calculations'!$HN$13:$HN$512,"="&amp;SUBSTITUTE(SUBSTITUTE(SUBSTITUTE('Dashboard'!$B$7,"~","~~"),"*","~*"),"?","~?"))+COUNTIFS('Calculations'!$HS$13:$HS$512,"="&amp;SUBSTITUTE(SUBSTITUTE(SUBSTITUTE('Calculations'!HF389,"~","~~"),"*","~*"),"?","~?"),'Calculations'!$HN$13:$HN$512,"="&amp;SUBSTITUTE(SUBSTITUTE(SUBSTITUTE('Dashboard'!$B$7,"~","~~"),"*","~*"),"?","~?"))+COUNTIFS('Calculations'!$HT$13:$HT$512,"="&amp;SUBSTITUTE(SUBSTITUTE(SUBSTITUTE('Calculations'!HF389,"~","~~"),"*","~*"),"?","~?"),'Calculations'!$HN$13:$HN$512,"="&amp;SUBSTITUTE(SUBSTITUTE(SUBSTITUTE('Dashboard'!$B$7,"~","~~"),"*","~*"),"?","~?"))+COUNTIFS('Calculations'!$HU$13:$HU$512,"="&amp;SUBSTITUTE(SUBSTITUTE(SUBSTITUTE('Calculations'!HF389,"~","~~"),"*","~*"),"?","~?"),'Calculations'!$HN$13:$HN$512,"="&amp;SUBSTITUTE(SUBSTITUTE(SUBSTITUTE('Dashboard'!$B$7,"~","~~"),"*","~*"),"?","~?"))+COUNTIFS('Calculations'!$HV$13:$HV$512,"="&amp;SUBSTITUTE(SUBSTITUTE(SUBSTITUTE('Calculations'!HF389,"~","~~"),"*","~*"),"?","~?"),'Calculations'!$HN$13:$HN$512,"="&amp;SUBSTITUTE(SUBSTITUTE(SUBSTITUTE('Dashboard'!$B$7,"~","~~"),"*","~*"),"?","~?"))+COUNTIFS('Calculations'!$HW$13:$HW$512,"="&amp;SUBSTITUTE(SUBSTITUTE(SUBSTITUTE('Calculations'!HF389,"~","~~"),"*","~*"),"?","~?"),'Calculations'!$HN$13:$HN$512,"="&amp;SUBSTITUTE(SUBSTITUTE(SUBSTITUTE('Dashboard'!$B$7,"~","~~"),"*","~*"),"?","~?"))+COUNTIFS('Calculations'!$HX$13:$HX$512,"="&amp;SUBSTITUTE(SUBSTITUTE(SUBSTITUTE('Calculations'!HF389,"~","~~"),"*","~*"),"?","~?"),'Calculations'!$HN$13:$HN$512,"="&amp;SUBSTITUTE(SUBSTITUTE(SUBSTITUTE('Dashboard'!$B$7,"~","~~"),"*","~*"),"?","~?"))+COUNTIFS('Calculations'!$HY$13:$HY$512,"="&amp;SUBSTITUTE(SUBSTITUTE(SUBSTITUTE('Calculations'!HF389,"~","~~"),"*","~*"),"?","~?"),'Calculations'!$HN$13:$HN$512,"="&amp;SUBSTITUTE(SUBSTITUTE(SUBSTITUTE('Dashboard'!$B$7,"~","~~"),"*","~*"),"?","~?"))+COUNTIFS('Calculations'!$HZ$13:$HZ$512,"="&amp;SUBSTITUTE(SUBSTITUTE(SUBSTITUTE('Calculations'!HF389,"~","~~"),"*","~*"),"?","~?"),'Calculations'!$HN$13:$HN$512,"="&amp;SUBSTITUTE(SUBSTITUTE(SUBSTITUTE('Dashboard'!$B$7,"~","~~"),"*","~*"),"?","~?"))+COUNTIFS('Calculations'!$IA$13:$IA$512,"="&amp;SUBSTITUTE(SUBSTITUTE(SUBSTITUTE('Calculations'!HF389,"~","~~"),"*","~*"),"?","~?"),'Calculations'!$HN$13:$HN$512,"="&amp;SUBSTITUTE(SUBSTITUTE(SUBSTITUTE('Dashboard'!$B$7,"~","~~"),"*","~*"),"?","~?"))+COUNTIFS('Calculations'!$IB$13:$IB$512,"="&amp;SUBSTITUTE(SUBSTITUTE(SUBSTITUTE('Calculations'!HF389,"~","~~"),"*","~*"),"?","~?"),'Calculations'!$HN$13:$HN$512,"="&amp;SUBSTITUTE(SUBSTITUTE(SUBSTITUTE('Dashboard'!$B$7,"~","~~"),"*","~*"),"?","~?"))+COUNTIFS('Calculations'!$IC$13:$IC$512,"="&amp;SUBSTITUTE(SUBSTITUTE(SUBSTITUTE('Calculations'!HF389,"~","~~"),"*","~*"),"?","~?"),'Calculations'!$HN$13:$HN$512,"="&amp;SUBSTITUTE(SUBSTITUTE(SUBSTITUTE('Dashboard'!$B$7,"~","~~"),"*","~*"),"?","~?"))+COUNTIFS('Calculations'!$ID$13:$ID$512,"="&amp;SUBSTITUTE(SUBSTITUTE(SUBSTITUTE('Calculations'!HF389,"~","~~"),"*","~*"),"?","~?"),'Calculations'!$HN$13:$HN$512,"="&amp;SUBSTITUTE(SUBSTITUTE(SUBSTITUTE('Dashboard'!$B$7,"~","~~"),"*","~*"),"?","~?"))+COUNTIFS('Calculations'!$IE$13:$IE$512,"="&amp;SUBSTITUTE(SUBSTITUTE(SUBSTITUTE('Calculations'!HF389,"~","~~"),"*","~*"),"?","~?"),'Calculations'!$HN$13:$HN$512,"="&amp;SUBSTITUTE(SUBSTITUTE(SUBSTITUTE('Dashboard'!$B$7,"~","~~"),"*","~*"),"?","~?"))+COUNTIFS('Calculations'!$IF$13:$IF$512,"="&amp;SUBSTITUTE(SUBSTITUTE(SUBSTITUTE('Calculations'!HF389,"~","~~"),"*","~*"),"?","~?"),'Calculations'!$HN$13:$HN$512,"="&amp;SUBSTITUTE(SUBSTITUTE(SUBSTITUTE('Dashboard'!$B$7,"~","~~"),"*","~*"),"?","~?"))+COUNTIFS('Calculations'!$IG$13:$IG$512,"="&amp;SUBSTITUTE(SUBSTITUTE(SUBSTITUTE('Calculations'!HF389,"~","~~"),"*","~*"),"?","~?"),'Calculations'!$HN$13:$HN$512,"="&amp;SUBSTITUTE(SUBSTITUTE(SUBSTITUTE('Dashboard'!$B$7,"~","~~"),"*","~*"),"?","~?"))+COUNTIFS('Calculations'!$IH$13:$IH$512,"="&amp;SUBSTITUTE(SUBSTITUTE(SUBSTITUTE('Calculations'!HF389,"~","~~"),"*","~*"),"?","~?"),'Calculations'!$HN$13:$HN$512,"="&amp;SUBSTITUTE(SUBSTITUTE(SUBSTITUTE('Dashboard'!$B$7,"~","~~"),"*","~*"),"?","~?"))))</x:f>
        <x:v>0</x:v>
      </x:c>
      <x:c r="JD389" t="n">
        <x:f>IF('Calculations'!EM389="",0,IF('Dashboard'!$B$7="All",1,IF('Calculations'!HN389='Dashboard'!$B$7,1,0)+IFERROR(INDEX('Calculations'!$JC$13:$JC$512,MATCH('Calculations'!HE389,'Calculations'!$HF$13:$HF$512,0)),0)))</x:f>
        <x:v>0</x:v>
      </x:c>
      <x:c r="JE389" t="n">
        <x:f>IF(AND('Calculations'!EM389&lt;&gt;"",'Calculations'!$JJ$2&lt;&gt;"All",'Calculations'!$JJ$2&lt;&gt;"",'Calculations'!HF389='Calculations'!$JJ$2,'Calculations'!HL389=0,'Calculations'!JD389&gt;0),MAX('Calculations'!$JE$12:JE388)+1,0)</x:f>
        <x:v>0</x:v>
      </x:c>
      <x:c r="JF389" t="str">
        <x:f>IF('Calculations'!EM389="","",IFERROR(IF(INDEX(INDIRECT("'WCM Calibration Final'!$G$1:$G$2000"),'Calculations'!$EM389)="","",TRIM(INDEX(INDIRECT("'WCM Calibration Final'!$G$1:$G$2000"),'Calculations'!$EM389)&amp;"")),""))</x:f>
      </x:c>
      <x:c r="JQ389" t="n">
        <x:f>IF(OR('Calculations'!BM389=0,NOT('Calculations'!$AG$2),'Calculations'!$AG$8&gt;0),0,IF(OR('Dashboard'!$B$7="All",'Calculations'!HN389='Dashboard'!$B$7),IF('Calculations'!$JJ$2="All",1,IF(AND('Calculations'!HF389='Calculations'!$JJ$2,'Calculations'!HL389=0),1,0)),0))</x:f>
        <x:v>0</x:v>
      </x:c>
    </x:row>
    <x:row r="390">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t="n">
        <x:f>IF('Calculations'!$EM390="",0,IF(OR(IFERROR(INDEX(INDIRECT("'WCM Calibration Final'!$A$1:$A$2000"),'Calculations'!$EM390)&lt;&gt;"",FALSE),IFERROR(INDEX(INDIRECT("'WCM Calibration Final'!$B$1:$B$2000"),'Calculations'!$EM390)&lt;&gt;"",FALSE),IFERROR(INDEX(INDIRECT("'WCM Calibration Final'!$C$1:$C$2000"),'Calculations'!$EM390)&lt;&gt;"",FALSE)),1,0))</x:f>
        <x:v>0</x:v>
      </x:c>
      <x:c r="BN390" s="4" t="n">
        <x:f>IF(AND('Calculations'!BM390=1,'Calculations'!$AG$2,'Calculations'!$EN390=1),1,0)</x:f>
        <x:v>0</x:v>
      </x:c>
      <x:c r="BO390" s="4" t="str">
        <x:f>IF('Calculations'!BM390=0,"",IFERROR(IF(AND(VALUE(INDEX(INDIRECT("'WCM Calibration Final'!$K$1:$K$2000"),'Calculations'!$EM390))&gt;=1,VALUE(INDEX(INDIRECT("'WCM Calibration Final'!$K$1:$K$2000"),'Calculations'!$EM390))&lt;=4,MOD(VALUE(INDEX(INDIRECT("'WCM Calibration Final'!$K$1:$K$2000"),'Calculations'!$EM390)),1)=0),VALUE(INDEX(INDIRECT("'WCM Calibration Final'!$K$1:$K$2000"),'Calculations'!$EM390)),""),""))</x:f>
      </x:c>
      <x:c r="BP390" s="4" t="str">
        <x:f>IF('Calculations'!BM390=0,"",IFERROR(IF(AND(VALUE(INDEX(INDIRECT("'WCM Calibration Final'!$L$1:$L$2000"),'Calculations'!$EM390))&gt;=1,VALUE(INDEX(INDIRECT("'WCM Calibration Final'!$L$1:$L$2000"),'Calculations'!$EM390))&lt;=4,MOD(VALUE(INDEX(INDIRECT("'WCM Calibration Final'!$L$1:$L$2000"),'Calculations'!$EM390)),1)=0),VALUE(INDEX(INDIRECT("'WCM Calibration Final'!$L$1:$L$2000"),'Calculations'!$EM390)),""),""))</x:f>
      </x:c>
      <x:c r="BQ390" s="4"/>
      <x:c r="BR390" s="4"/>
      <x:c r="BS390" s="4"/>
      <x:c r="BT390" s="4" t="n">
        <x:f>IF(AND('Calculations'!BM390=1,ISNUMBER('Calculations'!BO390),ISNUMBER('Calculations'!BP390)),1,0)</x:f>
        <x:v>0</x:v>
      </x:c>
      <x:c r="BU390" s="4" t="str">
        <x:f>IF('Calculations'!BM390=0,"",'Calculations'!$EO390)</x:f>
      </x:c>
      <x:c r="BV390" s="4" t="str">
        <x:f>IF('Calculations'!BM390=0,"",IFERROR(IF(OR(INDEX(INDIRECT("'WCM Calibration Final'!$H$1:$H$2000"),'Calculations'!$EM390)="MANAGING DIRECTOR",INDEX(INDIRECT("'WCM Calibration Final'!$H$1:$H$2000"),'Calculations'!$EM390)="DIRECTOR",INDEX(INDIRECT("'WCM Calibration Final'!$H$1:$H$2000"),'Calculations'!$EM390)="SENIOR VICE PRESIDENT",INDEX(INDIRECT("'WCM Calibration Final'!$H$1:$H$2000"),'Calculations'!$EM390)="VICE PRESIDENT",INDEX(INDIRECT("'WCM Calibration Final'!$H$1:$H$2000"),'Calculations'!$EM390)="ASSISTANT VICE PRESIDENT",INDEX(INDIRECT("'WCM Calibration Final'!$H$1:$H$2000"),'Calculations'!$EM390)="OFFICER"),UPPER(INDEX(INDIRECT("'WCM Calibration Final'!$H$1:$H$2000"),'Calculations'!$EM390)),"Other"),"Other"))</x:f>
      </x:c>
      <x:c r="BW390" s="4"/>
      <x:c r="BX390" s="4"/>
      <x:c r="BY390" s="4" t="n">
        <x:f>IF(AND('Calculations'!BM390=1,'Calculations'!BU390&lt;&gt;"",COUNTIF('Calculations'!$BU$12:BU390,'Calculations'!BU390)=1),MAX('Calculations'!$BY$11:BY389)+1,0)</x:f>
        <x:v>0</x:v>
      </x:c>
      <x:c r="BZ390" s="4" t="str">
        <x:f>IF('Dashboard'!$E$67="What",'Calculations'!BO390,'Calculations'!BP390)</x:f>
      </x:c>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t="str">
        <x:f>IF(379&gt;MAX('Calculations'!$HI$13:$HI$512),"",INDEX('Calculations'!$HN$13:$HN$512,MATCH(379,'Calculations'!$HI$13:$HI$512,0)))</x:f>
      </x:c>
      <x:c r="DB390" s="4" t="str">
        <x:f>IF(379&gt;MAX('Calculations'!$HH$13:$HH$512),"",INDEX('Calculations'!$HJ$13:$HJ$512,MATCH(379,'Calculations'!$HH$13:$HH$512,0)))</x:f>
      </x:c>
      <x:c r="DC390" s="4" t="str">
        <x:f>IF(ROW()-11&gt;MAX('Calculations'!$BY$13:$BY$512),"",INDEX('Calculations'!$BU$13:$BU$512,MATCH(ROW()-11,'Calculations'!$BY$13:$BY$512,0)))</x:f>
      </x:c>
      <x:c r="DD390" s="4" t="str">
        <x:f>IF(379&gt;MAX('Calculations'!$IK$13:$IK$512),"",INDEX('Calculations'!$HK$13:$HK$512,MATCH(379,'Calculations'!$IK$13:$IK$512,0)))</x:f>
      </x:c>
      <x:c r="DE390" s="4" t="str">
        <x:f>'Calculations'!DC390</x:f>
      </x:c>
      <x:c r="DF390" s="4" t="str">
        <x:f>IF('Calculations'!DE390="","",COUNTIFS('Calculations'!$BN$13:$BN$512,1,'Calculations'!$BU$13:$BU$512,'Calculations'!DE390))</x:f>
      </x:c>
      <x:c r="DG390" s="4" t="str">
        <x:f>IF('Calculations'!DE390="","",COUNTIFS('Calculations'!$BN$13:$BN$512,1,'Calculations'!$BU$13:$BU$512,'Calculations'!DE390,'Calculations'!$BT$13:$BT$512,1))</x:f>
      </x:c>
      <x:c r="DH390" s="4" t="str">
        <x:f>IF('Calculations'!DE390="","",'Calculations'!DF390-'Calculations'!DG390)</x:f>
      </x:c>
      <x:c r="DI390" s="4" t="str">
        <x:f>IF(OR('Calculations'!DE390="",'Calculations'!DF390=0),"",'Calculations'!DG390/'Calculations'!DF390)</x:f>
      </x:c>
      <x:c r="DJ390" s="4" t="str">
        <x:f>IF('Calculations'!DE390="","",COUNTIFS('Calculations'!$BN$13:$BN$512,1,'Calculations'!$BU$13:$BU$512,'Calculations'!DE390,'Calculations'!$BT$13:$BT$512,1,'Calculations'!$EE$13:$EE$512,"High"))</x:f>
      </x:c>
      <x:c r="DK390" s="4" t="str">
        <x:f>IF('Calculations'!DE390="","",COUNTIFS('Calculations'!$BN$13:$BN$512,1,'Calculations'!$BU$13:$BU$512,'Calculations'!DE390,'Calculations'!$BT$13:$BT$512,1,'Calculations'!$EE$13:$EE$512,"Strong"))</x:f>
      </x:c>
      <x:c r="DL390" s="4" t="str">
        <x:f>IF('Calculations'!DE390="","",COUNTIFS('Calculations'!$BN$13:$BN$512,1,'Calculations'!$BU$13:$BU$512,'Calculations'!DE390,'Calculations'!$BT$13:$BT$512,1,'Calculations'!$EE$13:$EE$512,"Solid"))</x:f>
      </x:c>
      <x:c r="DM390" s="4" t="str">
        <x:f>IF('Calculations'!DE390="","",COUNTIFS('Calculations'!$BN$13:$BN$512,1,'Calculations'!$BU$13:$BU$512,'Calculations'!DE390,'Calculations'!$BT$13:$BT$512,1,'Calculations'!$EE$13:$EE$512,"Low"))</x:f>
      </x:c>
      <x:c r="DN390" s="4" t="str">
        <x:f>IF('Calculations'!DE390="","",COUNTIFS('Calculations'!$BN$13:$BN$512,1,'Calculations'!$BU$13:$BU$512,'Calculations'!DE390,'Calculations'!$EP$13:$EP$512,1))</x:f>
      </x:c>
      <x:c r="DO390" s="4" t="str">
        <x:f>IF(OR('Calculations'!DE390="",'Calculations'!DG390=0),"",('Calculations'!DJ390+'Calculations'!DK390)/'Calculations'!DG390)</x:f>
      </x:c>
      <x:c r="DP390" s="4" t="n">
        <x:f>IF(AND('Calculations'!DE390&lt;&gt;"",'Calculations'!DF390&gt;0),COUNTIF('Calculations'!$DF$12:DF390,"&gt;0"),0)</x:f>
        <x:v>0</x:v>
      </x:c>
      <x:c r="DQ390" s="4" t="str">
        <x:f>IF(379&gt;MAX('Calculations'!$HH$13:$HH$512),"",INDEX('Calculations'!$HF$13:$HF$512,MATCH(379,'Calculations'!$HH$13:$HH$512,0)))</x:f>
      </x:c>
      <x:c r="DR390" s="4" t="str">
        <x:f>IF(379&gt;MAX('Calculations'!$IK$13:$IK$512),"",INDEX('Calculations'!$HE$13:$HE$512,MATCH(379,'Calculations'!$IK$13:$IK$512,0)))</x:f>
      </x:c>
      <x:c r="DS390" s="4"/>
      <x:c r="DT390" s="4"/>
      <x:c r="DU390" s="4"/>
      <x:c r="DV390" s="4"/>
      <x:c r="DW390" s="4"/>
      <x:c r="DX390" s="4"/>
      <x:c r="DY390" s="4"/>
      <x:c r="DZ390" s="4"/>
      <x:c r="EA390" s="4"/>
      <x:c r="EB390" s="4"/>
      <x:c r="EC390" s="4"/>
      <x:c r="ED390" s="4"/>
      <x:c r="EE390" s="4" t="str">
        <x:f>IF('Calculations'!BT390=0,"Not Rated",IF(OR('Calculations'!BO390&gt;=4,'Calculations'!BP390&gt;=4),"Low",IF('Calculations'!BO390+'Calculations'!BP390&lt;=3,"High",IF('Calculations'!BO390+'Calculations'!BP390&lt;=4,"Strong","Solid"))))</x:f>
        <x:v>Not Rated</x:v>
      </x:c>
      <x:c r="EF390" s="4"/>
      <x:c r="EG390" s="4"/>
      <x:c r="EH390" s="4"/>
      <x:c r="EI390" s="4"/>
      <x:c r="EJ390" s="4"/>
      <x:c r="EK390" s="4"/>
      <x:c r="EL390" s="4"/>
      <x:c r="EM390" s="4" t="str">
        <x:f>IF(378&gt;'Calculations'!$JB$2000,"",INDEX('Calculations'!$JA$12:$JA$2000,MATCH(378,'Calculations'!$JB$12:$JB$2000,0)))</x:f>
      </x:c>
      <x:c r="EN390" s="4" t="n">
        <x:f>IF(OR('Calculations'!EM390="",'Calculations'!$AG$8&gt;0,AND('Calculations'!$EF$2&lt;&gt;"All",'Calculations'!HE390='Calculations'!$EF$2),AND('Calculations'!$EF$3&lt;&gt;"All",'Calculations'!HE390='Calculations'!$EF$3)),0,IF(OR('Dashboard'!$B$7="All",'Calculations'!HN390='Dashboard'!$B$7),IF('Calculations'!$EF$2="All",1,IF('Calculations'!HL390&gt;0,0,IF(COUNTIF('Calculations'!HO390:II390,"="&amp;SUBSTITUTE(SUBSTITUTE(SUBSTITUTE('Calculations'!$EF$2,"~","~~"),"*","~*"),"?","~?"))=0,0,IF('Calculations'!$EF$3="All",1,IF(COUNTIF('Calculations'!HO390:II390,"="&amp;SUBSTITUTE(SUBSTITUTE(SUBSTITUTE('Calculations'!$EF$3,"~","~~"),"*","~*"),"?","~?"))&gt;0,1,0))))),0))</x:f>
        <x:v>0</x:v>
      </x:c>
      <x:c r="EO390" s="4" t="str">
        <x:f>IF('Calculations'!IJ390="","",IF('Calculations'!IJ390="!UNRESOLVED","Unresolved hierarchy",IFERROR(INDEX('Calculations'!$HK$13:$HK$512,MATCH('Calculations'!IJ390,'Calculations'!$HE$13:$HE$512,0)),IFERROR(INDEX('Calculations'!$HJ$13:$HJ$512,MATCH('Calculations'!IJ390,'Calculations'!$HF$13:$HF$512,0)),'Calculations'!IJ390))))</x:f>
      </x:c>
      <x:c r="EP390" s="4" t="n">
        <x:f>IF(AND('Calculations'!EM390&lt;&gt;"",'Calculations'!HF390='Calculations'!IJ390),1,0)</x:f>
        <x:v>0</x:v>
      </x:c>
      <x:c r="EQ390" s="4"/>
      <x:c r="ER390" s="4"/>
      <x:c r="ES390" s="4"/>
      <x:c r="ET390" s="4"/>
      <x:c r="EU390" s="4"/>
      <x:c r="EV390" s="4"/>
      <x:c r="EW390" s="4"/>
      <x:c r="EX390" s="4"/>
      <x:c r="EY390" s="4"/>
      <x:c r="EZ390" s="4"/>
      <x:c r="FA390" s="4"/>
      <x:c r="FB390" s="4"/>
      <x:c r="FC390" s="4"/>
      <x:c r="FD390" s="4"/>
      <x:c r="FE390" s="4"/>
      <x:c r="FF390" s="4"/>
      <x:c r="FG390" s="4"/>
      <x:c r="FH390" s="4"/>
      <x:c r="FI390" s="4"/>
      <x:c r="FJ390" s="4"/>
      <x:c r="FK390" s="4"/>
      <x:c r="FL390" s="4"/>
      <x:c r="FM390" s="4"/>
      <x:c r="FN390" s="4"/>
      <x:c r="FO390" s="4"/>
      <x:c r="HE390" t="str">
        <x:f>IF('Calculations'!EM390="","",IF(IFERROR(IF(INDEX(INDIRECT("'WCM Calibration Final'!$A$1:$A$2000"),'Calculations'!$EM390)="","",TRIM(INDEX(INDIRECT("'WCM Calibration Final'!$A$1:$A$2000"),'Calculations'!$EM390)&amp;"")),"")&lt;&gt;"","G:"&amp;IFERROR(TEXT(1*INDEX(INDIRECT("'WCM Calibration Final'!$A$1:$A$2000"),'Calculations'!$EM390),"0"),UPPER(IFERROR(IF(INDEX(INDIRECT("'WCM Calibration Final'!$A$1:$A$2000"),'Calculations'!$EM390)="","",TRIM(INDEX(INDIRECT("'WCM Calibration Final'!$A$1:$A$2000"),'Calculations'!$EM390)&amp;"")),""))),IF(IFERROR(IF(INDEX(INDIRECT("'WCM Calibration Final'!$C$1:$C$2000"),'Calculations'!$EM390)="","",TRIM(INDEX(INDIRECT("'WCM Calibration Final'!$C$1:$C$2000"),'Calculations'!$EM390)&amp;"")),"")&lt;&gt;"","S:"&amp;UPPER(IFERROR(IF(INDEX(INDIRECT("'WCM Calibration Final'!$C$1:$C$2000"),'Calculations'!$EM390)="","",TRIM(INDEX(INDIRECT("'WCM Calibration Final'!$C$1:$C$2000"),'Calculations'!$EM390)&amp;"")),"")),"R:"&amp;'Calculations'!EM390)))</x:f>
      </x:c>
      <x:c r="HF390" t="str">
        <x:f>IF('Calculations'!EM390="","",IF(IFERROR(IF(INDEX(INDIRECT("'WCM Calibration Final'!$D$1:$D$2000"),'Calculations'!$EM390)="","",TRIM(INDEX(INDIRECT("'WCM Calibration Final'!$D$1:$D$2000"),'Calculations'!$EM390)&amp;"")),"")&lt;&gt;"","G:"&amp;IFERROR(TEXT(1*INDEX(INDIRECT("'WCM Calibration Final'!$D$1:$D$2000"),'Calculations'!$EM390),"0"),UPPER(IFERROR(IF(INDEX(INDIRECT("'WCM Calibration Final'!$D$1:$D$2000"),'Calculations'!$EM390)="","",TRIM(INDEX(INDIRECT("'WCM Calibration Final'!$D$1:$D$2000"),'Calculations'!$EM390)&amp;"")),""))),IF(IFERROR(IF(INDEX(INDIRECT("'WCM Calibration Final'!$E$1:$E$2000"),'Calculations'!$EM390)="","",TRIM(INDEX(INDIRECT("'WCM Calibration Final'!$E$1:$E$2000"),'Calculations'!$EM390)&amp;"")),"")="","",IF(COUNTIF('Calculations'!$HG$13:$HG$512,"="&amp;SUBSTITUTE(SUBSTITUTE(SUBSTITUTE(IFERROR(IF(INDEX(INDIRECT("'WCM Calibration Final'!$E$1:$E$2000"),'Calculations'!$EM390)="","",TRIM(INDEX(INDIRECT("'WCM Calibration Final'!$E$1:$E$2000"),'Calculations'!$EM390)&amp;"")),""),"~","~~"),"*","~*"),"?","~?"))=1,INDEX('Calculations'!$HE$13:$HE$512,MATCH(IFERROR(IF(INDEX(INDIRECT("'WCM Calibration Final'!$E$1:$E$2000"),'Calculations'!$EM390)="","",TRIM(INDEX(INDIRECT("'WCM Calibration Final'!$E$1:$E$2000"),'Calculations'!$EM390)&amp;"")),""),'Calculations'!$HG$13:$HG$512,0)),IF(COUNTIF('Calculations'!$HG$13:$HG$512,"="&amp;SUBSTITUTE(SUBSTITUTE(SUBSTITUTE(IFERROR(IF(INDEX(INDIRECT("'WCM Calibration Final'!$E$1:$E$2000"),'Calculations'!$EM390)="","",TRIM(INDEX(INDIRECT("'WCM Calibration Final'!$E$1:$E$2000"),'Calculations'!$EM390)&amp;"")),""),"~","~~"),"*","~*"),"?","~?"))&gt;1,"!AMBIG","X:"&amp;IFERROR(IF(INDEX(INDIRECT("'WCM Calibration Final'!$E$1:$E$2000"),'Calculations'!$EM390)="","",TRIM(INDEX(INDIRECT("'WCM Calibration Final'!$E$1:$E$2000"),'Calculations'!$EM390)&amp;"")),""))))))</x:f>
      </x:c>
      <x:c r="HG390" t="str">
        <x:f>IF('Calculations'!EM390="","",IFERROR(IF(INDEX(INDIRECT("'WCM Calibration Final'!$B$1:$B$2000"),'Calculations'!$EM390)="","",TRIM(INDEX(INDIRECT("'WCM Calibration Final'!$B$1:$B$2000"),'Calculations'!$EM390)&amp;"")),""))</x:f>
      </x:c>
      <x:c r="HH390" t="n">
        <x:f>IF(AND('Calculations'!JC390&gt;0,COUNTIF('Calculations'!$HF$12:HF390,"="&amp;SUBSTITUTE(SUBSTITUTE(SUBSTITUTE('Calculations'!HF390,"~","~~"),"*","~*"),"?","~?"))=1),MAX('Calculations'!$HH$12:HH389)+1,0)</x:f>
        <x:v>0</x:v>
      </x:c>
      <x:c r="HI390" t="n">
        <x:f>IF(AND('Calculations'!HN390&lt;&gt;"",COUNTIF('Calculations'!$HN$12:HN390,"="&amp;SUBSTITUTE(SUBSTITUTE(SUBSTITUTE('Calculations'!HN390,"~","~~"),"*","~*"),"?","~?"))=1),MAX('Calculations'!$HI$12:HI389)+1,0)</x:f>
        <x:v>0</x:v>
      </x:c>
      <x:c r="HJ390" t="str">
        <x:f>IF('Calculations'!HF390="","",IF(COUNTIF('Calculations'!$HE$13:$HE$512,"="&amp;SUBSTITUTE(SUBSTITUTE(SUBSTITUTE('Calculations'!HF390,"~","~~"),"*","~*"),"?","~?"))=1,INDEX('Calculations'!$HK$13:$HK$512,MATCH('Calculations'!HF390,'Calculations'!$HE$13:$HE$512,0)),IFERROR(IF(INDEX(INDIRECT("'WCM Calibration Final'!$E$1:$E$2000"),'Calculations'!$EM390)="","",TRIM(INDEX(INDIRECT("'WCM Calibration Final'!$E$1:$E$2000"),'Calculations'!$EM390)&amp;"")),"")&amp;" ["&amp;'Calculations'!HF390&amp;"]"))</x:f>
      </x:c>
      <x:c r="HK390" t="str">
        <x:f>IF('Calculations'!EM390="","",'Calculations'!HG390&amp;" ["&amp;'Calculations'!HE390&amp;"]")</x:f>
      </x:c>
      <x:c r="HL390" t="n">
        <x:f>IF('Calculations'!EM390="",0,IF(OR('Calculations'!II390&lt;&gt;"",COUNTIF('Calculations'!$HE$13:$HE$512,"="&amp;SUBSTITUTE(SUBSTITUTE(SUBSTITUTE('Calculations'!HE390,"~","~~"),"*","~*"),"?","~?"))&gt;1),1,0))</x:f>
        <x:v>0</x:v>
      </x:c>
      <x:c r="HM390" t="str">
        <x:f>IF('Calculations'!EM390="","",IF('Calculations'!HL390=1,"!UNRESOLVED",IF('Calculations'!IH390&lt;&gt;"",'Calculations'!IH390,IF('Calculations'!IG390&lt;&gt;"",'Calculations'!IG390,IF('Calculations'!IF390&lt;&gt;"",'Calculations'!IF390,IF('Calculations'!IE390&lt;&gt;"",'Calculations'!IE390,IF('Calculations'!ID390&lt;&gt;"",'Calculations'!ID390,IF('Calculations'!IC390&lt;&gt;"",'Calculations'!IC390,IF('Calculations'!IB390&lt;&gt;"",'Calculations'!IB390,IF('Calculations'!IA390&lt;&gt;"",'Calculations'!IA390,IF('Calculations'!HZ390&lt;&gt;"",'Calculations'!HZ390,IF('Calculations'!HY390&lt;&gt;"",'Calculations'!HY390,IF('Calculations'!HX390&lt;&gt;"",'Calculations'!HX390,IF('Calculations'!HW390&lt;&gt;"",'Calculations'!HW390,IF('Calculations'!HV390&lt;&gt;"",'Calculations'!HV390,IF('Calculations'!HU390&lt;&gt;"",'Calculations'!HU390,IF('Calculations'!HT390&lt;&gt;"",'Calculations'!HT390,IF('Calculations'!HS390&lt;&gt;"",'Calculations'!HS390,IF('Calculations'!HR390&lt;&gt;"",'Calculations'!HR390,IF('Calculations'!HQ390&lt;&gt;"",'Calculations'!HQ390,IF('Calculations'!HP390&lt;&gt;"",'Calculations'!HP390,IF('Calculations'!HO390&lt;&gt;"",'Calculations'!HO390,'Calculations'!HE390))))))))))))))))))))))</x:f>
      </x:c>
      <x:c r="HN390" t="str">
        <x:f>IF('Calculations'!EM390="","",IF(IFERROR(IF(INDEX(INDIRECT("'WCM Calibration Final'!$F$1:$F$2000"),'Calculations'!$EM390)="","",TRIM(INDEX(INDIRECT("'WCM Calibration Final'!$F$1:$F$2000"),'Calculations'!$EM390)&amp;"")),"")="","(Blank)",IFERROR(IF(INDEX(INDIRECT("'WCM Calibration Final'!$F$1:$F$2000"),'Calculations'!$EM390)="","",TRIM(INDEX(INDIRECT("'WCM Calibration Final'!$F$1:$F$2000"),'Calculations'!$EM390)&amp;"")),"")))</x:f>
      </x:c>
      <x:c r="HO390" t="str">
        <x:f>'Calculations'!HF390</x:f>
      </x:c>
      <x:c r="HP390" t="str">
        <x:f>IF('Calculations'!HO390="","",IF('Calculations'!HO390="!AMBIG","!AMBIG",IF(COUNTIF('Calculations'!$HE$13:$HE$512,"="&amp;SUBSTITUTE(SUBSTITUTE(SUBSTITUTE('Calculations'!HO390,"~","~~"),"*","~*"),"?","~?"))&gt;1,"!AMBIG",IFERROR(INDEX('Calculations'!$HF$13:$HF$512,MATCH('Calculations'!HO390,'Calculations'!$HE$13:$HE$512,0)),""))))</x:f>
      </x:c>
      <x:c r="HQ390" t="str">
        <x:f>IF('Calculations'!HP390="","",IF('Calculations'!HP390="!AMBIG","!AMBIG",IF(COUNTIF('Calculations'!$HE$13:$HE$512,"="&amp;SUBSTITUTE(SUBSTITUTE(SUBSTITUTE('Calculations'!HP390,"~","~~"),"*","~*"),"?","~?"))&gt;1,"!AMBIG",IFERROR(INDEX('Calculations'!$HF$13:$HF$512,MATCH('Calculations'!HP390,'Calculations'!$HE$13:$HE$512,0)),""))))</x:f>
      </x:c>
      <x:c r="HR390" t="str">
        <x:f>IF('Calculations'!HQ390="","",IF('Calculations'!HQ390="!AMBIG","!AMBIG",IF(COUNTIF('Calculations'!$HE$13:$HE$512,"="&amp;SUBSTITUTE(SUBSTITUTE(SUBSTITUTE('Calculations'!HQ390,"~","~~"),"*","~*"),"?","~?"))&gt;1,"!AMBIG",IFERROR(INDEX('Calculations'!$HF$13:$HF$512,MATCH('Calculations'!HQ390,'Calculations'!$HE$13:$HE$512,0)),""))))</x:f>
      </x:c>
      <x:c r="HS390" t="str">
        <x:f>IF('Calculations'!HR390="","",IF('Calculations'!HR390="!AMBIG","!AMBIG",IF(COUNTIF('Calculations'!$HE$13:$HE$512,"="&amp;SUBSTITUTE(SUBSTITUTE(SUBSTITUTE('Calculations'!HR390,"~","~~"),"*","~*"),"?","~?"))&gt;1,"!AMBIG",IFERROR(INDEX('Calculations'!$HF$13:$HF$512,MATCH('Calculations'!HR390,'Calculations'!$HE$13:$HE$512,0)),""))))</x:f>
      </x:c>
      <x:c r="HT390" t="str">
        <x:f>IF('Calculations'!HS390="","",IF('Calculations'!HS390="!AMBIG","!AMBIG",IF(COUNTIF('Calculations'!$HE$13:$HE$512,"="&amp;SUBSTITUTE(SUBSTITUTE(SUBSTITUTE('Calculations'!HS390,"~","~~"),"*","~*"),"?","~?"))&gt;1,"!AMBIG",IFERROR(INDEX('Calculations'!$HF$13:$HF$512,MATCH('Calculations'!HS390,'Calculations'!$HE$13:$HE$512,0)),""))))</x:f>
      </x:c>
      <x:c r="HU390" t="str">
        <x:f>IF('Calculations'!HT390="","",IF('Calculations'!HT390="!AMBIG","!AMBIG",IF(COUNTIF('Calculations'!$HE$13:$HE$512,"="&amp;SUBSTITUTE(SUBSTITUTE(SUBSTITUTE('Calculations'!HT390,"~","~~"),"*","~*"),"?","~?"))&gt;1,"!AMBIG",IFERROR(INDEX('Calculations'!$HF$13:$HF$512,MATCH('Calculations'!HT390,'Calculations'!$HE$13:$HE$512,0)),""))))</x:f>
      </x:c>
      <x:c r="HV390" t="str">
        <x:f>IF('Calculations'!HU390="","",IF('Calculations'!HU390="!AMBIG","!AMBIG",IF(COUNTIF('Calculations'!$HE$13:$HE$512,"="&amp;SUBSTITUTE(SUBSTITUTE(SUBSTITUTE('Calculations'!HU390,"~","~~"),"*","~*"),"?","~?"))&gt;1,"!AMBIG",IFERROR(INDEX('Calculations'!$HF$13:$HF$512,MATCH('Calculations'!HU390,'Calculations'!$HE$13:$HE$512,0)),""))))</x:f>
      </x:c>
      <x:c r="HW390" t="str">
        <x:f>IF('Calculations'!HV390="","",IF('Calculations'!HV390="!AMBIG","!AMBIG",IF(COUNTIF('Calculations'!$HE$13:$HE$512,"="&amp;SUBSTITUTE(SUBSTITUTE(SUBSTITUTE('Calculations'!HV390,"~","~~"),"*","~*"),"?","~?"))&gt;1,"!AMBIG",IFERROR(INDEX('Calculations'!$HF$13:$HF$512,MATCH('Calculations'!HV390,'Calculations'!$HE$13:$HE$512,0)),""))))</x:f>
      </x:c>
      <x:c r="HX390" t="str">
        <x:f>IF('Calculations'!HW390="","",IF('Calculations'!HW390="!AMBIG","!AMBIG",IF(COUNTIF('Calculations'!$HE$13:$HE$512,"="&amp;SUBSTITUTE(SUBSTITUTE(SUBSTITUTE('Calculations'!HW390,"~","~~"),"*","~*"),"?","~?"))&gt;1,"!AMBIG",IFERROR(INDEX('Calculations'!$HF$13:$HF$512,MATCH('Calculations'!HW390,'Calculations'!$HE$13:$HE$512,0)),""))))</x:f>
      </x:c>
      <x:c r="HY390" t="str">
        <x:f>IF('Calculations'!HX390="","",IF('Calculations'!HX390="!AMBIG","!AMBIG",IF(COUNTIF('Calculations'!$HE$13:$HE$512,"="&amp;SUBSTITUTE(SUBSTITUTE(SUBSTITUTE('Calculations'!HX390,"~","~~"),"*","~*"),"?","~?"))&gt;1,"!AMBIG",IFERROR(INDEX('Calculations'!$HF$13:$HF$512,MATCH('Calculations'!HX390,'Calculations'!$HE$13:$HE$512,0)),""))))</x:f>
      </x:c>
      <x:c r="HZ390" t="str">
        <x:f>IF('Calculations'!HY390="","",IF('Calculations'!HY390="!AMBIG","!AMBIG",IF(COUNTIF('Calculations'!$HE$13:$HE$512,"="&amp;SUBSTITUTE(SUBSTITUTE(SUBSTITUTE('Calculations'!HY390,"~","~~"),"*","~*"),"?","~?"))&gt;1,"!AMBIG",IFERROR(INDEX('Calculations'!$HF$13:$HF$512,MATCH('Calculations'!HY390,'Calculations'!$HE$13:$HE$512,0)),""))))</x:f>
      </x:c>
      <x:c r="IA390" t="str">
        <x:f>IF('Calculations'!HZ390="","",IF('Calculations'!HZ390="!AMBIG","!AMBIG",IF(COUNTIF('Calculations'!$HE$13:$HE$512,"="&amp;SUBSTITUTE(SUBSTITUTE(SUBSTITUTE('Calculations'!HZ390,"~","~~"),"*","~*"),"?","~?"))&gt;1,"!AMBIG",IFERROR(INDEX('Calculations'!$HF$13:$HF$512,MATCH('Calculations'!HZ390,'Calculations'!$HE$13:$HE$512,0)),""))))</x:f>
      </x:c>
      <x:c r="IB390" t="str">
        <x:f>IF('Calculations'!IA390="","",IF('Calculations'!IA390="!AMBIG","!AMBIG",IF(COUNTIF('Calculations'!$HE$13:$HE$512,"="&amp;SUBSTITUTE(SUBSTITUTE(SUBSTITUTE('Calculations'!IA390,"~","~~"),"*","~*"),"?","~?"))&gt;1,"!AMBIG",IFERROR(INDEX('Calculations'!$HF$13:$HF$512,MATCH('Calculations'!IA390,'Calculations'!$HE$13:$HE$512,0)),""))))</x:f>
      </x:c>
      <x:c r="IC390" t="str">
        <x:f>IF('Calculations'!IB390="","",IF('Calculations'!IB390="!AMBIG","!AMBIG",IF(COUNTIF('Calculations'!$HE$13:$HE$512,"="&amp;SUBSTITUTE(SUBSTITUTE(SUBSTITUTE('Calculations'!IB390,"~","~~"),"*","~*"),"?","~?"))&gt;1,"!AMBIG",IFERROR(INDEX('Calculations'!$HF$13:$HF$512,MATCH('Calculations'!IB390,'Calculations'!$HE$13:$HE$512,0)),""))))</x:f>
      </x:c>
      <x:c r="ID390" t="str">
        <x:f>IF('Calculations'!IC390="","",IF('Calculations'!IC390="!AMBIG","!AMBIG",IF(COUNTIF('Calculations'!$HE$13:$HE$512,"="&amp;SUBSTITUTE(SUBSTITUTE(SUBSTITUTE('Calculations'!IC390,"~","~~"),"*","~*"),"?","~?"))&gt;1,"!AMBIG",IFERROR(INDEX('Calculations'!$HF$13:$HF$512,MATCH('Calculations'!IC390,'Calculations'!$HE$13:$HE$512,0)),""))))</x:f>
      </x:c>
      <x:c r="IE390" t="str">
        <x:f>IF('Calculations'!ID390="","",IF('Calculations'!ID390="!AMBIG","!AMBIG",IF(COUNTIF('Calculations'!$HE$13:$HE$512,"="&amp;SUBSTITUTE(SUBSTITUTE(SUBSTITUTE('Calculations'!ID390,"~","~~"),"*","~*"),"?","~?"))&gt;1,"!AMBIG",IFERROR(INDEX('Calculations'!$HF$13:$HF$512,MATCH('Calculations'!ID390,'Calculations'!$HE$13:$HE$512,0)),""))))</x:f>
      </x:c>
      <x:c r="IF390" t="str">
        <x:f>IF('Calculations'!IE390="","",IF('Calculations'!IE390="!AMBIG","!AMBIG",IF(COUNTIF('Calculations'!$HE$13:$HE$512,"="&amp;SUBSTITUTE(SUBSTITUTE(SUBSTITUTE('Calculations'!IE390,"~","~~"),"*","~*"),"?","~?"))&gt;1,"!AMBIG",IFERROR(INDEX('Calculations'!$HF$13:$HF$512,MATCH('Calculations'!IE390,'Calculations'!$HE$13:$HE$512,0)),""))))</x:f>
      </x:c>
      <x:c r="IG390" t="str">
        <x:f>IF('Calculations'!IF390="","",IF('Calculations'!IF390="!AMBIG","!AMBIG",IF(COUNTIF('Calculations'!$HE$13:$HE$512,"="&amp;SUBSTITUTE(SUBSTITUTE(SUBSTITUTE('Calculations'!IF390,"~","~~"),"*","~*"),"?","~?"))&gt;1,"!AMBIG",IFERROR(INDEX('Calculations'!$HF$13:$HF$512,MATCH('Calculations'!IF390,'Calculations'!$HE$13:$HE$512,0)),""))))</x:f>
      </x:c>
      <x:c r="IH390" t="str">
        <x:f>IF('Calculations'!IG390="","",IF('Calculations'!IG390="!AMBIG","!AMBIG",IF(COUNTIF('Calculations'!$HE$13:$HE$512,"="&amp;SUBSTITUTE(SUBSTITUTE(SUBSTITUTE('Calculations'!IG390,"~","~~"),"*","~*"),"?","~?"))&gt;1,"!AMBIG",IFERROR(INDEX('Calculations'!$HF$13:$HF$512,MATCH('Calculations'!IG390,'Calculations'!$HE$13:$HE$512,0)),""))))</x:f>
      </x:c>
      <x:c r="II390" t="str">
        <x:f>IF('Calculations'!IH390="","",IF('Calculations'!IH390="!AMBIG","!AMBIG",IF(COUNTIF('Calculations'!$HE$13:$HE$512,"="&amp;SUBSTITUTE(SUBSTITUTE(SUBSTITUTE('Calculations'!IH390,"~","~~"),"*","~*"),"?","~?"))&gt;1,"!AMBIG",IFERROR(INDEX('Calculations'!$HF$13:$HF$512,MATCH('Calculations'!IH390,'Calculations'!$HE$13:$HE$512,0)),""))))</x:f>
      </x:c>
      <x:c r="IJ390" t="str">
        <x:f>IF('Calculations'!EM390="","",IF('Calculations'!$EF$2="All",'Calculations'!HM390,IF('Calculations'!HL390=1,"",IFERROR(IF(MATCH('Calculations'!$EF$2,'Calculations'!HO390:II390,0)=1,'Calculations'!HE390,INDEX('Calculations'!HO390:II390,1,MATCH('Calculations'!$EF$2,'Calculations'!HO390:II390,0)-1)),""))))</x:f>
      </x:c>
      <x:c r="IK390" t="n">
        <x:f>IF(AND('Calculations'!EM390&lt;&gt;"",'Calculations'!$EF$2&lt;&gt;"All",'Calculations'!HF390='Calculations'!$EF$2,'Calculations'!HL390=0,'Calculations'!JD390&gt;0),MAX('Calculations'!$IK$12:IK389)+1,0)</x:f>
        <x:v>0</x:v>
      </x:c>
      <x:c r="JA390" t="n">
        <x:f>IF(OR(IFERROR(INDIRECT("'WCM Calibration Final'!$A$390")&lt;&gt;"",FALSE),IFERROR(INDIRECT("'WCM Calibration Final'!$B$390")&lt;&gt;"",FALSE),IFERROR(INDIRECT("'WCM Calibration Final'!$C$390")&lt;&gt;"",FALSE)),390,0)</x:f>
        <x:v>0</x:v>
      </x:c>
      <x:c r="JB390" t="n">
        <x:f>'Calculations'!JB389+IF('Calculations'!JA390&gt;0,1,0)</x:f>
        <x:v>0</x:v>
      </x:c>
      <x:c r="JC390" t="n">
        <x:f>IF(OR('Calculations'!HF390="",'Calculations'!HF390="!AMBIG"),0,IF('Dashboard'!$B$7="All",1,COUNTIFS('Calculations'!$HO$13:$HO$512,"="&amp;SUBSTITUTE(SUBSTITUTE(SUBSTITUTE('Calculations'!HF390,"~","~~"),"*","~*"),"?","~?"),'Calculations'!$HN$13:$HN$512,"="&amp;SUBSTITUTE(SUBSTITUTE(SUBSTITUTE('Dashboard'!$B$7,"~","~~"),"*","~*"),"?","~?"))+COUNTIFS('Calculations'!$HP$13:$HP$512,"="&amp;SUBSTITUTE(SUBSTITUTE(SUBSTITUTE('Calculations'!HF390,"~","~~"),"*","~*"),"?","~?"),'Calculations'!$HN$13:$HN$512,"="&amp;SUBSTITUTE(SUBSTITUTE(SUBSTITUTE('Dashboard'!$B$7,"~","~~"),"*","~*"),"?","~?"))+COUNTIFS('Calculations'!$HQ$13:$HQ$512,"="&amp;SUBSTITUTE(SUBSTITUTE(SUBSTITUTE('Calculations'!HF390,"~","~~"),"*","~*"),"?","~?"),'Calculations'!$HN$13:$HN$512,"="&amp;SUBSTITUTE(SUBSTITUTE(SUBSTITUTE('Dashboard'!$B$7,"~","~~"),"*","~*"),"?","~?"))+COUNTIFS('Calculations'!$HR$13:$HR$512,"="&amp;SUBSTITUTE(SUBSTITUTE(SUBSTITUTE('Calculations'!HF390,"~","~~"),"*","~*"),"?","~?"),'Calculations'!$HN$13:$HN$512,"="&amp;SUBSTITUTE(SUBSTITUTE(SUBSTITUTE('Dashboard'!$B$7,"~","~~"),"*","~*"),"?","~?"))+COUNTIFS('Calculations'!$HS$13:$HS$512,"="&amp;SUBSTITUTE(SUBSTITUTE(SUBSTITUTE('Calculations'!HF390,"~","~~"),"*","~*"),"?","~?"),'Calculations'!$HN$13:$HN$512,"="&amp;SUBSTITUTE(SUBSTITUTE(SUBSTITUTE('Dashboard'!$B$7,"~","~~"),"*","~*"),"?","~?"))+COUNTIFS('Calculations'!$HT$13:$HT$512,"="&amp;SUBSTITUTE(SUBSTITUTE(SUBSTITUTE('Calculations'!HF390,"~","~~"),"*","~*"),"?","~?"),'Calculations'!$HN$13:$HN$512,"="&amp;SUBSTITUTE(SUBSTITUTE(SUBSTITUTE('Dashboard'!$B$7,"~","~~"),"*","~*"),"?","~?"))+COUNTIFS('Calculations'!$HU$13:$HU$512,"="&amp;SUBSTITUTE(SUBSTITUTE(SUBSTITUTE('Calculations'!HF390,"~","~~"),"*","~*"),"?","~?"),'Calculations'!$HN$13:$HN$512,"="&amp;SUBSTITUTE(SUBSTITUTE(SUBSTITUTE('Dashboard'!$B$7,"~","~~"),"*","~*"),"?","~?"))+COUNTIFS('Calculations'!$HV$13:$HV$512,"="&amp;SUBSTITUTE(SUBSTITUTE(SUBSTITUTE('Calculations'!HF390,"~","~~"),"*","~*"),"?","~?"),'Calculations'!$HN$13:$HN$512,"="&amp;SUBSTITUTE(SUBSTITUTE(SUBSTITUTE('Dashboard'!$B$7,"~","~~"),"*","~*"),"?","~?"))+COUNTIFS('Calculations'!$HW$13:$HW$512,"="&amp;SUBSTITUTE(SUBSTITUTE(SUBSTITUTE('Calculations'!HF390,"~","~~"),"*","~*"),"?","~?"),'Calculations'!$HN$13:$HN$512,"="&amp;SUBSTITUTE(SUBSTITUTE(SUBSTITUTE('Dashboard'!$B$7,"~","~~"),"*","~*"),"?","~?"))+COUNTIFS('Calculations'!$HX$13:$HX$512,"="&amp;SUBSTITUTE(SUBSTITUTE(SUBSTITUTE('Calculations'!HF390,"~","~~"),"*","~*"),"?","~?"),'Calculations'!$HN$13:$HN$512,"="&amp;SUBSTITUTE(SUBSTITUTE(SUBSTITUTE('Dashboard'!$B$7,"~","~~"),"*","~*"),"?","~?"))+COUNTIFS('Calculations'!$HY$13:$HY$512,"="&amp;SUBSTITUTE(SUBSTITUTE(SUBSTITUTE('Calculations'!HF390,"~","~~"),"*","~*"),"?","~?"),'Calculations'!$HN$13:$HN$512,"="&amp;SUBSTITUTE(SUBSTITUTE(SUBSTITUTE('Dashboard'!$B$7,"~","~~"),"*","~*"),"?","~?"))+COUNTIFS('Calculations'!$HZ$13:$HZ$512,"="&amp;SUBSTITUTE(SUBSTITUTE(SUBSTITUTE('Calculations'!HF390,"~","~~"),"*","~*"),"?","~?"),'Calculations'!$HN$13:$HN$512,"="&amp;SUBSTITUTE(SUBSTITUTE(SUBSTITUTE('Dashboard'!$B$7,"~","~~"),"*","~*"),"?","~?"))+COUNTIFS('Calculations'!$IA$13:$IA$512,"="&amp;SUBSTITUTE(SUBSTITUTE(SUBSTITUTE('Calculations'!HF390,"~","~~"),"*","~*"),"?","~?"),'Calculations'!$HN$13:$HN$512,"="&amp;SUBSTITUTE(SUBSTITUTE(SUBSTITUTE('Dashboard'!$B$7,"~","~~"),"*","~*"),"?","~?"))+COUNTIFS('Calculations'!$IB$13:$IB$512,"="&amp;SUBSTITUTE(SUBSTITUTE(SUBSTITUTE('Calculations'!HF390,"~","~~"),"*","~*"),"?","~?"),'Calculations'!$HN$13:$HN$512,"="&amp;SUBSTITUTE(SUBSTITUTE(SUBSTITUTE('Dashboard'!$B$7,"~","~~"),"*","~*"),"?","~?"))+COUNTIFS('Calculations'!$IC$13:$IC$512,"="&amp;SUBSTITUTE(SUBSTITUTE(SUBSTITUTE('Calculations'!HF390,"~","~~"),"*","~*"),"?","~?"),'Calculations'!$HN$13:$HN$512,"="&amp;SUBSTITUTE(SUBSTITUTE(SUBSTITUTE('Dashboard'!$B$7,"~","~~"),"*","~*"),"?","~?"))+COUNTIFS('Calculations'!$ID$13:$ID$512,"="&amp;SUBSTITUTE(SUBSTITUTE(SUBSTITUTE('Calculations'!HF390,"~","~~"),"*","~*"),"?","~?"),'Calculations'!$HN$13:$HN$512,"="&amp;SUBSTITUTE(SUBSTITUTE(SUBSTITUTE('Dashboard'!$B$7,"~","~~"),"*","~*"),"?","~?"))+COUNTIFS('Calculations'!$IE$13:$IE$512,"="&amp;SUBSTITUTE(SUBSTITUTE(SUBSTITUTE('Calculations'!HF390,"~","~~"),"*","~*"),"?","~?"),'Calculations'!$HN$13:$HN$512,"="&amp;SUBSTITUTE(SUBSTITUTE(SUBSTITUTE('Dashboard'!$B$7,"~","~~"),"*","~*"),"?","~?"))+COUNTIFS('Calculations'!$IF$13:$IF$512,"="&amp;SUBSTITUTE(SUBSTITUTE(SUBSTITUTE('Calculations'!HF390,"~","~~"),"*","~*"),"?","~?"),'Calculations'!$HN$13:$HN$512,"="&amp;SUBSTITUTE(SUBSTITUTE(SUBSTITUTE('Dashboard'!$B$7,"~","~~"),"*","~*"),"?","~?"))+COUNTIFS('Calculations'!$IG$13:$IG$512,"="&amp;SUBSTITUTE(SUBSTITUTE(SUBSTITUTE('Calculations'!HF390,"~","~~"),"*","~*"),"?","~?"),'Calculations'!$HN$13:$HN$512,"="&amp;SUBSTITUTE(SUBSTITUTE(SUBSTITUTE('Dashboard'!$B$7,"~","~~"),"*","~*"),"?","~?"))+COUNTIFS('Calculations'!$IH$13:$IH$512,"="&amp;SUBSTITUTE(SUBSTITUTE(SUBSTITUTE('Calculations'!HF390,"~","~~"),"*","~*"),"?","~?"),'Calculations'!$HN$13:$HN$512,"="&amp;SUBSTITUTE(SUBSTITUTE(SUBSTITUTE('Dashboard'!$B$7,"~","~~"),"*","~*"),"?","~?"))))</x:f>
        <x:v>0</x:v>
      </x:c>
      <x:c r="JD390" t="n">
        <x:f>IF('Calculations'!EM390="",0,IF('Dashboard'!$B$7="All",1,IF('Calculations'!HN390='Dashboard'!$B$7,1,0)+IFERROR(INDEX('Calculations'!$JC$13:$JC$512,MATCH('Calculations'!HE390,'Calculations'!$HF$13:$HF$512,0)),0)))</x:f>
        <x:v>0</x:v>
      </x:c>
      <x:c r="JE390" t="n">
        <x:f>IF(AND('Calculations'!EM390&lt;&gt;"",'Calculations'!$JJ$2&lt;&gt;"All",'Calculations'!$JJ$2&lt;&gt;"",'Calculations'!HF390='Calculations'!$JJ$2,'Calculations'!HL390=0,'Calculations'!JD390&gt;0),MAX('Calculations'!$JE$12:JE389)+1,0)</x:f>
        <x:v>0</x:v>
      </x:c>
      <x:c r="JF390" t="str">
        <x:f>IF('Calculations'!EM390="","",IFERROR(IF(INDEX(INDIRECT("'WCM Calibration Final'!$G$1:$G$2000"),'Calculations'!$EM390)="","",TRIM(INDEX(INDIRECT("'WCM Calibration Final'!$G$1:$G$2000"),'Calculations'!$EM390)&amp;"")),""))</x:f>
      </x:c>
      <x:c r="JQ390" t="n">
        <x:f>IF(OR('Calculations'!BM390=0,NOT('Calculations'!$AG$2),'Calculations'!$AG$8&gt;0),0,IF(OR('Dashboard'!$B$7="All",'Calculations'!HN390='Dashboard'!$B$7),IF('Calculations'!$JJ$2="All",1,IF(AND('Calculations'!HF390='Calculations'!$JJ$2,'Calculations'!HL390=0),1,0)),0))</x:f>
        <x:v>0</x:v>
      </x:c>
    </x:row>
    <x:row r="391">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t="n">
        <x:f>IF('Calculations'!$EM391="",0,IF(OR(IFERROR(INDEX(INDIRECT("'WCM Calibration Final'!$A$1:$A$2000"),'Calculations'!$EM391)&lt;&gt;"",FALSE),IFERROR(INDEX(INDIRECT("'WCM Calibration Final'!$B$1:$B$2000"),'Calculations'!$EM391)&lt;&gt;"",FALSE),IFERROR(INDEX(INDIRECT("'WCM Calibration Final'!$C$1:$C$2000"),'Calculations'!$EM391)&lt;&gt;"",FALSE)),1,0))</x:f>
        <x:v>0</x:v>
      </x:c>
      <x:c r="BN391" s="4" t="n">
        <x:f>IF(AND('Calculations'!BM391=1,'Calculations'!$AG$2,'Calculations'!$EN391=1),1,0)</x:f>
        <x:v>0</x:v>
      </x:c>
      <x:c r="BO391" s="4" t="str">
        <x:f>IF('Calculations'!BM391=0,"",IFERROR(IF(AND(VALUE(INDEX(INDIRECT("'WCM Calibration Final'!$K$1:$K$2000"),'Calculations'!$EM391))&gt;=1,VALUE(INDEX(INDIRECT("'WCM Calibration Final'!$K$1:$K$2000"),'Calculations'!$EM391))&lt;=4,MOD(VALUE(INDEX(INDIRECT("'WCM Calibration Final'!$K$1:$K$2000"),'Calculations'!$EM391)),1)=0),VALUE(INDEX(INDIRECT("'WCM Calibration Final'!$K$1:$K$2000"),'Calculations'!$EM391)),""),""))</x:f>
      </x:c>
      <x:c r="BP391" s="4" t="str">
        <x:f>IF('Calculations'!BM391=0,"",IFERROR(IF(AND(VALUE(INDEX(INDIRECT("'WCM Calibration Final'!$L$1:$L$2000"),'Calculations'!$EM391))&gt;=1,VALUE(INDEX(INDIRECT("'WCM Calibration Final'!$L$1:$L$2000"),'Calculations'!$EM391))&lt;=4,MOD(VALUE(INDEX(INDIRECT("'WCM Calibration Final'!$L$1:$L$2000"),'Calculations'!$EM391)),1)=0),VALUE(INDEX(INDIRECT("'WCM Calibration Final'!$L$1:$L$2000"),'Calculations'!$EM391)),""),""))</x:f>
      </x:c>
      <x:c r="BQ391" s="4"/>
      <x:c r="BR391" s="4"/>
      <x:c r="BS391" s="4"/>
      <x:c r="BT391" s="4" t="n">
        <x:f>IF(AND('Calculations'!BM391=1,ISNUMBER('Calculations'!BO391),ISNUMBER('Calculations'!BP391)),1,0)</x:f>
        <x:v>0</x:v>
      </x:c>
      <x:c r="BU391" s="4" t="str">
        <x:f>IF('Calculations'!BM391=0,"",'Calculations'!$EO391)</x:f>
      </x:c>
      <x:c r="BV391" s="4" t="str">
        <x:f>IF('Calculations'!BM391=0,"",IFERROR(IF(OR(INDEX(INDIRECT("'WCM Calibration Final'!$H$1:$H$2000"),'Calculations'!$EM391)="MANAGING DIRECTOR",INDEX(INDIRECT("'WCM Calibration Final'!$H$1:$H$2000"),'Calculations'!$EM391)="DIRECTOR",INDEX(INDIRECT("'WCM Calibration Final'!$H$1:$H$2000"),'Calculations'!$EM391)="SENIOR VICE PRESIDENT",INDEX(INDIRECT("'WCM Calibration Final'!$H$1:$H$2000"),'Calculations'!$EM391)="VICE PRESIDENT",INDEX(INDIRECT("'WCM Calibration Final'!$H$1:$H$2000"),'Calculations'!$EM391)="ASSISTANT VICE PRESIDENT",INDEX(INDIRECT("'WCM Calibration Final'!$H$1:$H$2000"),'Calculations'!$EM391)="OFFICER"),UPPER(INDEX(INDIRECT("'WCM Calibration Final'!$H$1:$H$2000"),'Calculations'!$EM391)),"Other"),"Other"))</x:f>
      </x:c>
      <x:c r="BW391" s="4"/>
      <x:c r="BX391" s="4"/>
      <x:c r="BY391" s="4" t="n">
        <x:f>IF(AND('Calculations'!BM391=1,'Calculations'!BU391&lt;&gt;"",COUNTIF('Calculations'!$BU$12:BU391,'Calculations'!BU391)=1),MAX('Calculations'!$BY$11:BY390)+1,0)</x:f>
        <x:v>0</x:v>
      </x:c>
      <x:c r="BZ391" s="4" t="str">
        <x:f>IF('Dashboard'!$E$67="What",'Calculations'!BO391,'Calculations'!BP391)</x:f>
      </x:c>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t="str">
        <x:f>IF(380&gt;MAX('Calculations'!$HI$13:$HI$512),"",INDEX('Calculations'!$HN$13:$HN$512,MATCH(380,'Calculations'!$HI$13:$HI$512,0)))</x:f>
      </x:c>
      <x:c r="DB391" s="4" t="str">
        <x:f>IF(380&gt;MAX('Calculations'!$HH$13:$HH$512),"",INDEX('Calculations'!$HJ$13:$HJ$512,MATCH(380,'Calculations'!$HH$13:$HH$512,0)))</x:f>
      </x:c>
      <x:c r="DC391" s="4" t="str">
        <x:f>IF(ROW()-11&gt;MAX('Calculations'!$BY$13:$BY$512),"",INDEX('Calculations'!$BU$13:$BU$512,MATCH(ROW()-11,'Calculations'!$BY$13:$BY$512,0)))</x:f>
      </x:c>
      <x:c r="DD391" s="4" t="str">
        <x:f>IF(380&gt;MAX('Calculations'!$IK$13:$IK$512),"",INDEX('Calculations'!$HK$13:$HK$512,MATCH(380,'Calculations'!$IK$13:$IK$512,0)))</x:f>
      </x:c>
      <x:c r="DE391" s="4" t="str">
        <x:f>'Calculations'!DC391</x:f>
      </x:c>
      <x:c r="DF391" s="4" t="str">
        <x:f>IF('Calculations'!DE391="","",COUNTIFS('Calculations'!$BN$13:$BN$512,1,'Calculations'!$BU$13:$BU$512,'Calculations'!DE391))</x:f>
      </x:c>
      <x:c r="DG391" s="4" t="str">
        <x:f>IF('Calculations'!DE391="","",COUNTIFS('Calculations'!$BN$13:$BN$512,1,'Calculations'!$BU$13:$BU$512,'Calculations'!DE391,'Calculations'!$BT$13:$BT$512,1))</x:f>
      </x:c>
      <x:c r="DH391" s="4" t="str">
        <x:f>IF('Calculations'!DE391="","",'Calculations'!DF391-'Calculations'!DG391)</x:f>
      </x:c>
      <x:c r="DI391" s="4" t="str">
        <x:f>IF(OR('Calculations'!DE391="",'Calculations'!DF391=0),"",'Calculations'!DG391/'Calculations'!DF391)</x:f>
      </x:c>
      <x:c r="DJ391" s="4" t="str">
        <x:f>IF('Calculations'!DE391="","",COUNTIFS('Calculations'!$BN$13:$BN$512,1,'Calculations'!$BU$13:$BU$512,'Calculations'!DE391,'Calculations'!$BT$13:$BT$512,1,'Calculations'!$EE$13:$EE$512,"High"))</x:f>
      </x:c>
      <x:c r="DK391" s="4" t="str">
        <x:f>IF('Calculations'!DE391="","",COUNTIFS('Calculations'!$BN$13:$BN$512,1,'Calculations'!$BU$13:$BU$512,'Calculations'!DE391,'Calculations'!$BT$13:$BT$512,1,'Calculations'!$EE$13:$EE$512,"Strong"))</x:f>
      </x:c>
      <x:c r="DL391" s="4" t="str">
        <x:f>IF('Calculations'!DE391="","",COUNTIFS('Calculations'!$BN$13:$BN$512,1,'Calculations'!$BU$13:$BU$512,'Calculations'!DE391,'Calculations'!$BT$13:$BT$512,1,'Calculations'!$EE$13:$EE$512,"Solid"))</x:f>
      </x:c>
      <x:c r="DM391" s="4" t="str">
        <x:f>IF('Calculations'!DE391="","",COUNTIFS('Calculations'!$BN$13:$BN$512,1,'Calculations'!$BU$13:$BU$512,'Calculations'!DE391,'Calculations'!$BT$13:$BT$512,1,'Calculations'!$EE$13:$EE$512,"Low"))</x:f>
      </x:c>
      <x:c r="DN391" s="4" t="str">
        <x:f>IF('Calculations'!DE391="","",COUNTIFS('Calculations'!$BN$13:$BN$512,1,'Calculations'!$BU$13:$BU$512,'Calculations'!DE391,'Calculations'!$EP$13:$EP$512,1))</x:f>
      </x:c>
      <x:c r="DO391" s="4" t="str">
        <x:f>IF(OR('Calculations'!DE391="",'Calculations'!DG391=0),"",('Calculations'!DJ391+'Calculations'!DK391)/'Calculations'!DG391)</x:f>
      </x:c>
      <x:c r="DP391" s="4" t="n">
        <x:f>IF(AND('Calculations'!DE391&lt;&gt;"",'Calculations'!DF391&gt;0),COUNTIF('Calculations'!$DF$12:DF391,"&gt;0"),0)</x:f>
        <x:v>0</x:v>
      </x:c>
      <x:c r="DQ391" s="4" t="str">
        <x:f>IF(380&gt;MAX('Calculations'!$HH$13:$HH$512),"",INDEX('Calculations'!$HF$13:$HF$512,MATCH(380,'Calculations'!$HH$13:$HH$512,0)))</x:f>
      </x:c>
      <x:c r="DR391" s="4" t="str">
        <x:f>IF(380&gt;MAX('Calculations'!$IK$13:$IK$512),"",INDEX('Calculations'!$HE$13:$HE$512,MATCH(380,'Calculations'!$IK$13:$IK$512,0)))</x:f>
      </x:c>
      <x:c r="DS391" s="4"/>
      <x:c r="DT391" s="4"/>
      <x:c r="DU391" s="4"/>
      <x:c r="DV391" s="4"/>
      <x:c r="DW391" s="4"/>
      <x:c r="DX391" s="4"/>
      <x:c r="DY391" s="4"/>
      <x:c r="DZ391" s="4"/>
      <x:c r="EA391" s="4"/>
      <x:c r="EB391" s="4"/>
      <x:c r="EC391" s="4"/>
      <x:c r="ED391" s="4"/>
      <x:c r="EE391" s="4" t="str">
        <x:f>IF('Calculations'!BT391=0,"Not Rated",IF(OR('Calculations'!BO391&gt;=4,'Calculations'!BP391&gt;=4),"Low",IF('Calculations'!BO391+'Calculations'!BP391&lt;=3,"High",IF('Calculations'!BO391+'Calculations'!BP391&lt;=4,"Strong","Solid"))))</x:f>
        <x:v>Not Rated</x:v>
      </x:c>
      <x:c r="EF391" s="4"/>
      <x:c r="EG391" s="4"/>
      <x:c r="EH391" s="4"/>
      <x:c r="EI391" s="4"/>
      <x:c r="EJ391" s="4"/>
      <x:c r="EK391" s="4"/>
      <x:c r="EL391" s="4"/>
      <x:c r="EM391" s="4" t="str">
        <x:f>IF(379&gt;'Calculations'!$JB$2000,"",INDEX('Calculations'!$JA$12:$JA$2000,MATCH(379,'Calculations'!$JB$12:$JB$2000,0)))</x:f>
      </x:c>
      <x:c r="EN391" s="4" t="n">
        <x:f>IF(OR('Calculations'!EM391="",'Calculations'!$AG$8&gt;0,AND('Calculations'!$EF$2&lt;&gt;"All",'Calculations'!HE391='Calculations'!$EF$2),AND('Calculations'!$EF$3&lt;&gt;"All",'Calculations'!HE391='Calculations'!$EF$3)),0,IF(OR('Dashboard'!$B$7="All",'Calculations'!HN391='Dashboard'!$B$7),IF('Calculations'!$EF$2="All",1,IF('Calculations'!HL391&gt;0,0,IF(COUNTIF('Calculations'!HO391:II391,"="&amp;SUBSTITUTE(SUBSTITUTE(SUBSTITUTE('Calculations'!$EF$2,"~","~~"),"*","~*"),"?","~?"))=0,0,IF('Calculations'!$EF$3="All",1,IF(COUNTIF('Calculations'!HO391:II391,"="&amp;SUBSTITUTE(SUBSTITUTE(SUBSTITUTE('Calculations'!$EF$3,"~","~~"),"*","~*"),"?","~?"))&gt;0,1,0))))),0))</x:f>
        <x:v>0</x:v>
      </x:c>
      <x:c r="EO391" s="4" t="str">
        <x:f>IF('Calculations'!IJ391="","",IF('Calculations'!IJ391="!UNRESOLVED","Unresolved hierarchy",IFERROR(INDEX('Calculations'!$HK$13:$HK$512,MATCH('Calculations'!IJ391,'Calculations'!$HE$13:$HE$512,0)),IFERROR(INDEX('Calculations'!$HJ$13:$HJ$512,MATCH('Calculations'!IJ391,'Calculations'!$HF$13:$HF$512,0)),'Calculations'!IJ391))))</x:f>
      </x:c>
      <x:c r="EP391" s="4" t="n">
        <x:f>IF(AND('Calculations'!EM391&lt;&gt;"",'Calculations'!HF391='Calculations'!IJ391),1,0)</x:f>
        <x:v>0</x:v>
      </x:c>
      <x:c r="EQ391" s="4"/>
      <x:c r="ER391" s="4"/>
      <x:c r="ES391" s="4"/>
      <x:c r="ET391" s="4"/>
      <x:c r="EU391" s="4"/>
      <x:c r="EV391" s="4"/>
      <x:c r="EW391" s="4"/>
      <x:c r="EX391" s="4"/>
      <x:c r="EY391" s="4"/>
      <x:c r="EZ391" s="4"/>
      <x:c r="FA391" s="4"/>
      <x:c r="FB391" s="4"/>
      <x:c r="FC391" s="4"/>
      <x:c r="FD391" s="4"/>
      <x:c r="FE391" s="4"/>
      <x:c r="FF391" s="4"/>
      <x:c r="FG391" s="4"/>
      <x:c r="FH391" s="4"/>
      <x:c r="FI391" s="4"/>
      <x:c r="FJ391" s="4"/>
      <x:c r="FK391" s="4"/>
      <x:c r="FL391" s="4"/>
      <x:c r="FM391" s="4"/>
      <x:c r="FN391" s="4"/>
      <x:c r="FO391" s="4"/>
      <x:c r="HE391" t="str">
        <x:f>IF('Calculations'!EM391="","",IF(IFERROR(IF(INDEX(INDIRECT("'WCM Calibration Final'!$A$1:$A$2000"),'Calculations'!$EM391)="","",TRIM(INDEX(INDIRECT("'WCM Calibration Final'!$A$1:$A$2000"),'Calculations'!$EM391)&amp;"")),"")&lt;&gt;"","G:"&amp;IFERROR(TEXT(1*INDEX(INDIRECT("'WCM Calibration Final'!$A$1:$A$2000"),'Calculations'!$EM391),"0"),UPPER(IFERROR(IF(INDEX(INDIRECT("'WCM Calibration Final'!$A$1:$A$2000"),'Calculations'!$EM391)="","",TRIM(INDEX(INDIRECT("'WCM Calibration Final'!$A$1:$A$2000"),'Calculations'!$EM391)&amp;"")),""))),IF(IFERROR(IF(INDEX(INDIRECT("'WCM Calibration Final'!$C$1:$C$2000"),'Calculations'!$EM391)="","",TRIM(INDEX(INDIRECT("'WCM Calibration Final'!$C$1:$C$2000"),'Calculations'!$EM391)&amp;"")),"")&lt;&gt;"","S:"&amp;UPPER(IFERROR(IF(INDEX(INDIRECT("'WCM Calibration Final'!$C$1:$C$2000"),'Calculations'!$EM391)="","",TRIM(INDEX(INDIRECT("'WCM Calibration Final'!$C$1:$C$2000"),'Calculations'!$EM391)&amp;"")),"")),"R:"&amp;'Calculations'!EM391)))</x:f>
      </x:c>
      <x:c r="HF391" t="str">
        <x:f>IF('Calculations'!EM391="","",IF(IFERROR(IF(INDEX(INDIRECT("'WCM Calibration Final'!$D$1:$D$2000"),'Calculations'!$EM391)="","",TRIM(INDEX(INDIRECT("'WCM Calibration Final'!$D$1:$D$2000"),'Calculations'!$EM391)&amp;"")),"")&lt;&gt;"","G:"&amp;IFERROR(TEXT(1*INDEX(INDIRECT("'WCM Calibration Final'!$D$1:$D$2000"),'Calculations'!$EM391),"0"),UPPER(IFERROR(IF(INDEX(INDIRECT("'WCM Calibration Final'!$D$1:$D$2000"),'Calculations'!$EM391)="","",TRIM(INDEX(INDIRECT("'WCM Calibration Final'!$D$1:$D$2000"),'Calculations'!$EM391)&amp;"")),""))),IF(IFERROR(IF(INDEX(INDIRECT("'WCM Calibration Final'!$E$1:$E$2000"),'Calculations'!$EM391)="","",TRIM(INDEX(INDIRECT("'WCM Calibration Final'!$E$1:$E$2000"),'Calculations'!$EM391)&amp;"")),"")="","",IF(COUNTIF('Calculations'!$HG$13:$HG$512,"="&amp;SUBSTITUTE(SUBSTITUTE(SUBSTITUTE(IFERROR(IF(INDEX(INDIRECT("'WCM Calibration Final'!$E$1:$E$2000"),'Calculations'!$EM391)="","",TRIM(INDEX(INDIRECT("'WCM Calibration Final'!$E$1:$E$2000"),'Calculations'!$EM391)&amp;"")),""),"~","~~"),"*","~*"),"?","~?"))=1,INDEX('Calculations'!$HE$13:$HE$512,MATCH(IFERROR(IF(INDEX(INDIRECT("'WCM Calibration Final'!$E$1:$E$2000"),'Calculations'!$EM391)="","",TRIM(INDEX(INDIRECT("'WCM Calibration Final'!$E$1:$E$2000"),'Calculations'!$EM391)&amp;"")),""),'Calculations'!$HG$13:$HG$512,0)),IF(COUNTIF('Calculations'!$HG$13:$HG$512,"="&amp;SUBSTITUTE(SUBSTITUTE(SUBSTITUTE(IFERROR(IF(INDEX(INDIRECT("'WCM Calibration Final'!$E$1:$E$2000"),'Calculations'!$EM391)="","",TRIM(INDEX(INDIRECT("'WCM Calibration Final'!$E$1:$E$2000"),'Calculations'!$EM391)&amp;"")),""),"~","~~"),"*","~*"),"?","~?"))&gt;1,"!AMBIG","X:"&amp;IFERROR(IF(INDEX(INDIRECT("'WCM Calibration Final'!$E$1:$E$2000"),'Calculations'!$EM391)="","",TRIM(INDEX(INDIRECT("'WCM Calibration Final'!$E$1:$E$2000"),'Calculations'!$EM391)&amp;"")),""))))))</x:f>
      </x:c>
      <x:c r="HG391" t="str">
        <x:f>IF('Calculations'!EM391="","",IFERROR(IF(INDEX(INDIRECT("'WCM Calibration Final'!$B$1:$B$2000"),'Calculations'!$EM391)="","",TRIM(INDEX(INDIRECT("'WCM Calibration Final'!$B$1:$B$2000"),'Calculations'!$EM391)&amp;"")),""))</x:f>
      </x:c>
      <x:c r="HH391" t="n">
        <x:f>IF(AND('Calculations'!JC391&gt;0,COUNTIF('Calculations'!$HF$12:HF391,"="&amp;SUBSTITUTE(SUBSTITUTE(SUBSTITUTE('Calculations'!HF391,"~","~~"),"*","~*"),"?","~?"))=1),MAX('Calculations'!$HH$12:HH390)+1,0)</x:f>
        <x:v>0</x:v>
      </x:c>
      <x:c r="HI391" t="n">
        <x:f>IF(AND('Calculations'!HN391&lt;&gt;"",COUNTIF('Calculations'!$HN$12:HN391,"="&amp;SUBSTITUTE(SUBSTITUTE(SUBSTITUTE('Calculations'!HN391,"~","~~"),"*","~*"),"?","~?"))=1),MAX('Calculations'!$HI$12:HI390)+1,0)</x:f>
        <x:v>0</x:v>
      </x:c>
      <x:c r="HJ391" t="str">
        <x:f>IF('Calculations'!HF391="","",IF(COUNTIF('Calculations'!$HE$13:$HE$512,"="&amp;SUBSTITUTE(SUBSTITUTE(SUBSTITUTE('Calculations'!HF391,"~","~~"),"*","~*"),"?","~?"))=1,INDEX('Calculations'!$HK$13:$HK$512,MATCH('Calculations'!HF391,'Calculations'!$HE$13:$HE$512,0)),IFERROR(IF(INDEX(INDIRECT("'WCM Calibration Final'!$E$1:$E$2000"),'Calculations'!$EM391)="","",TRIM(INDEX(INDIRECT("'WCM Calibration Final'!$E$1:$E$2000"),'Calculations'!$EM391)&amp;"")),"")&amp;" ["&amp;'Calculations'!HF391&amp;"]"))</x:f>
      </x:c>
      <x:c r="HK391" t="str">
        <x:f>IF('Calculations'!EM391="","",'Calculations'!HG391&amp;" ["&amp;'Calculations'!HE391&amp;"]")</x:f>
      </x:c>
      <x:c r="HL391" t="n">
        <x:f>IF('Calculations'!EM391="",0,IF(OR('Calculations'!II391&lt;&gt;"",COUNTIF('Calculations'!$HE$13:$HE$512,"="&amp;SUBSTITUTE(SUBSTITUTE(SUBSTITUTE('Calculations'!HE391,"~","~~"),"*","~*"),"?","~?"))&gt;1),1,0))</x:f>
        <x:v>0</x:v>
      </x:c>
      <x:c r="HM391" t="str">
        <x:f>IF('Calculations'!EM391="","",IF('Calculations'!HL391=1,"!UNRESOLVED",IF('Calculations'!IH391&lt;&gt;"",'Calculations'!IH391,IF('Calculations'!IG391&lt;&gt;"",'Calculations'!IG391,IF('Calculations'!IF391&lt;&gt;"",'Calculations'!IF391,IF('Calculations'!IE391&lt;&gt;"",'Calculations'!IE391,IF('Calculations'!ID391&lt;&gt;"",'Calculations'!ID391,IF('Calculations'!IC391&lt;&gt;"",'Calculations'!IC391,IF('Calculations'!IB391&lt;&gt;"",'Calculations'!IB391,IF('Calculations'!IA391&lt;&gt;"",'Calculations'!IA391,IF('Calculations'!HZ391&lt;&gt;"",'Calculations'!HZ391,IF('Calculations'!HY391&lt;&gt;"",'Calculations'!HY391,IF('Calculations'!HX391&lt;&gt;"",'Calculations'!HX391,IF('Calculations'!HW391&lt;&gt;"",'Calculations'!HW391,IF('Calculations'!HV391&lt;&gt;"",'Calculations'!HV391,IF('Calculations'!HU391&lt;&gt;"",'Calculations'!HU391,IF('Calculations'!HT391&lt;&gt;"",'Calculations'!HT391,IF('Calculations'!HS391&lt;&gt;"",'Calculations'!HS391,IF('Calculations'!HR391&lt;&gt;"",'Calculations'!HR391,IF('Calculations'!HQ391&lt;&gt;"",'Calculations'!HQ391,IF('Calculations'!HP391&lt;&gt;"",'Calculations'!HP391,IF('Calculations'!HO391&lt;&gt;"",'Calculations'!HO391,'Calculations'!HE391))))))))))))))))))))))</x:f>
      </x:c>
      <x:c r="HN391" t="str">
        <x:f>IF('Calculations'!EM391="","",IF(IFERROR(IF(INDEX(INDIRECT("'WCM Calibration Final'!$F$1:$F$2000"),'Calculations'!$EM391)="","",TRIM(INDEX(INDIRECT("'WCM Calibration Final'!$F$1:$F$2000"),'Calculations'!$EM391)&amp;"")),"")="","(Blank)",IFERROR(IF(INDEX(INDIRECT("'WCM Calibration Final'!$F$1:$F$2000"),'Calculations'!$EM391)="","",TRIM(INDEX(INDIRECT("'WCM Calibration Final'!$F$1:$F$2000"),'Calculations'!$EM391)&amp;"")),"")))</x:f>
      </x:c>
      <x:c r="HO391" t="str">
        <x:f>'Calculations'!HF391</x:f>
      </x:c>
      <x:c r="HP391" t="str">
        <x:f>IF('Calculations'!HO391="","",IF('Calculations'!HO391="!AMBIG","!AMBIG",IF(COUNTIF('Calculations'!$HE$13:$HE$512,"="&amp;SUBSTITUTE(SUBSTITUTE(SUBSTITUTE('Calculations'!HO391,"~","~~"),"*","~*"),"?","~?"))&gt;1,"!AMBIG",IFERROR(INDEX('Calculations'!$HF$13:$HF$512,MATCH('Calculations'!HO391,'Calculations'!$HE$13:$HE$512,0)),""))))</x:f>
      </x:c>
      <x:c r="HQ391" t="str">
        <x:f>IF('Calculations'!HP391="","",IF('Calculations'!HP391="!AMBIG","!AMBIG",IF(COUNTIF('Calculations'!$HE$13:$HE$512,"="&amp;SUBSTITUTE(SUBSTITUTE(SUBSTITUTE('Calculations'!HP391,"~","~~"),"*","~*"),"?","~?"))&gt;1,"!AMBIG",IFERROR(INDEX('Calculations'!$HF$13:$HF$512,MATCH('Calculations'!HP391,'Calculations'!$HE$13:$HE$512,0)),""))))</x:f>
      </x:c>
      <x:c r="HR391" t="str">
        <x:f>IF('Calculations'!HQ391="","",IF('Calculations'!HQ391="!AMBIG","!AMBIG",IF(COUNTIF('Calculations'!$HE$13:$HE$512,"="&amp;SUBSTITUTE(SUBSTITUTE(SUBSTITUTE('Calculations'!HQ391,"~","~~"),"*","~*"),"?","~?"))&gt;1,"!AMBIG",IFERROR(INDEX('Calculations'!$HF$13:$HF$512,MATCH('Calculations'!HQ391,'Calculations'!$HE$13:$HE$512,0)),""))))</x:f>
      </x:c>
      <x:c r="HS391" t="str">
        <x:f>IF('Calculations'!HR391="","",IF('Calculations'!HR391="!AMBIG","!AMBIG",IF(COUNTIF('Calculations'!$HE$13:$HE$512,"="&amp;SUBSTITUTE(SUBSTITUTE(SUBSTITUTE('Calculations'!HR391,"~","~~"),"*","~*"),"?","~?"))&gt;1,"!AMBIG",IFERROR(INDEX('Calculations'!$HF$13:$HF$512,MATCH('Calculations'!HR391,'Calculations'!$HE$13:$HE$512,0)),""))))</x:f>
      </x:c>
      <x:c r="HT391" t="str">
        <x:f>IF('Calculations'!HS391="","",IF('Calculations'!HS391="!AMBIG","!AMBIG",IF(COUNTIF('Calculations'!$HE$13:$HE$512,"="&amp;SUBSTITUTE(SUBSTITUTE(SUBSTITUTE('Calculations'!HS391,"~","~~"),"*","~*"),"?","~?"))&gt;1,"!AMBIG",IFERROR(INDEX('Calculations'!$HF$13:$HF$512,MATCH('Calculations'!HS391,'Calculations'!$HE$13:$HE$512,0)),""))))</x:f>
      </x:c>
      <x:c r="HU391" t="str">
        <x:f>IF('Calculations'!HT391="","",IF('Calculations'!HT391="!AMBIG","!AMBIG",IF(COUNTIF('Calculations'!$HE$13:$HE$512,"="&amp;SUBSTITUTE(SUBSTITUTE(SUBSTITUTE('Calculations'!HT391,"~","~~"),"*","~*"),"?","~?"))&gt;1,"!AMBIG",IFERROR(INDEX('Calculations'!$HF$13:$HF$512,MATCH('Calculations'!HT391,'Calculations'!$HE$13:$HE$512,0)),""))))</x:f>
      </x:c>
      <x:c r="HV391" t="str">
        <x:f>IF('Calculations'!HU391="","",IF('Calculations'!HU391="!AMBIG","!AMBIG",IF(COUNTIF('Calculations'!$HE$13:$HE$512,"="&amp;SUBSTITUTE(SUBSTITUTE(SUBSTITUTE('Calculations'!HU391,"~","~~"),"*","~*"),"?","~?"))&gt;1,"!AMBIG",IFERROR(INDEX('Calculations'!$HF$13:$HF$512,MATCH('Calculations'!HU391,'Calculations'!$HE$13:$HE$512,0)),""))))</x:f>
      </x:c>
      <x:c r="HW391" t="str">
        <x:f>IF('Calculations'!HV391="","",IF('Calculations'!HV391="!AMBIG","!AMBIG",IF(COUNTIF('Calculations'!$HE$13:$HE$512,"="&amp;SUBSTITUTE(SUBSTITUTE(SUBSTITUTE('Calculations'!HV391,"~","~~"),"*","~*"),"?","~?"))&gt;1,"!AMBIG",IFERROR(INDEX('Calculations'!$HF$13:$HF$512,MATCH('Calculations'!HV391,'Calculations'!$HE$13:$HE$512,0)),""))))</x:f>
      </x:c>
      <x:c r="HX391" t="str">
        <x:f>IF('Calculations'!HW391="","",IF('Calculations'!HW391="!AMBIG","!AMBIG",IF(COUNTIF('Calculations'!$HE$13:$HE$512,"="&amp;SUBSTITUTE(SUBSTITUTE(SUBSTITUTE('Calculations'!HW391,"~","~~"),"*","~*"),"?","~?"))&gt;1,"!AMBIG",IFERROR(INDEX('Calculations'!$HF$13:$HF$512,MATCH('Calculations'!HW391,'Calculations'!$HE$13:$HE$512,0)),""))))</x:f>
      </x:c>
      <x:c r="HY391" t="str">
        <x:f>IF('Calculations'!HX391="","",IF('Calculations'!HX391="!AMBIG","!AMBIG",IF(COUNTIF('Calculations'!$HE$13:$HE$512,"="&amp;SUBSTITUTE(SUBSTITUTE(SUBSTITUTE('Calculations'!HX391,"~","~~"),"*","~*"),"?","~?"))&gt;1,"!AMBIG",IFERROR(INDEX('Calculations'!$HF$13:$HF$512,MATCH('Calculations'!HX391,'Calculations'!$HE$13:$HE$512,0)),""))))</x:f>
      </x:c>
      <x:c r="HZ391" t="str">
        <x:f>IF('Calculations'!HY391="","",IF('Calculations'!HY391="!AMBIG","!AMBIG",IF(COUNTIF('Calculations'!$HE$13:$HE$512,"="&amp;SUBSTITUTE(SUBSTITUTE(SUBSTITUTE('Calculations'!HY391,"~","~~"),"*","~*"),"?","~?"))&gt;1,"!AMBIG",IFERROR(INDEX('Calculations'!$HF$13:$HF$512,MATCH('Calculations'!HY391,'Calculations'!$HE$13:$HE$512,0)),""))))</x:f>
      </x:c>
      <x:c r="IA391" t="str">
        <x:f>IF('Calculations'!HZ391="","",IF('Calculations'!HZ391="!AMBIG","!AMBIG",IF(COUNTIF('Calculations'!$HE$13:$HE$512,"="&amp;SUBSTITUTE(SUBSTITUTE(SUBSTITUTE('Calculations'!HZ391,"~","~~"),"*","~*"),"?","~?"))&gt;1,"!AMBIG",IFERROR(INDEX('Calculations'!$HF$13:$HF$512,MATCH('Calculations'!HZ391,'Calculations'!$HE$13:$HE$512,0)),""))))</x:f>
      </x:c>
      <x:c r="IB391" t="str">
        <x:f>IF('Calculations'!IA391="","",IF('Calculations'!IA391="!AMBIG","!AMBIG",IF(COUNTIF('Calculations'!$HE$13:$HE$512,"="&amp;SUBSTITUTE(SUBSTITUTE(SUBSTITUTE('Calculations'!IA391,"~","~~"),"*","~*"),"?","~?"))&gt;1,"!AMBIG",IFERROR(INDEX('Calculations'!$HF$13:$HF$512,MATCH('Calculations'!IA391,'Calculations'!$HE$13:$HE$512,0)),""))))</x:f>
      </x:c>
      <x:c r="IC391" t="str">
        <x:f>IF('Calculations'!IB391="","",IF('Calculations'!IB391="!AMBIG","!AMBIG",IF(COUNTIF('Calculations'!$HE$13:$HE$512,"="&amp;SUBSTITUTE(SUBSTITUTE(SUBSTITUTE('Calculations'!IB391,"~","~~"),"*","~*"),"?","~?"))&gt;1,"!AMBIG",IFERROR(INDEX('Calculations'!$HF$13:$HF$512,MATCH('Calculations'!IB391,'Calculations'!$HE$13:$HE$512,0)),""))))</x:f>
      </x:c>
      <x:c r="ID391" t="str">
        <x:f>IF('Calculations'!IC391="","",IF('Calculations'!IC391="!AMBIG","!AMBIG",IF(COUNTIF('Calculations'!$HE$13:$HE$512,"="&amp;SUBSTITUTE(SUBSTITUTE(SUBSTITUTE('Calculations'!IC391,"~","~~"),"*","~*"),"?","~?"))&gt;1,"!AMBIG",IFERROR(INDEX('Calculations'!$HF$13:$HF$512,MATCH('Calculations'!IC391,'Calculations'!$HE$13:$HE$512,0)),""))))</x:f>
      </x:c>
      <x:c r="IE391" t="str">
        <x:f>IF('Calculations'!ID391="","",IF('Calculations'!ID391="!AMBIG","!AMBIG",IF(COUNTIF('Calculations'!$HE$13:$HE$512,"="&amp;SUBSTITUTE(SUBSTITUTE(SUBSTITUTE('Calculations'!ID391,"~","~~"),"*","~*"),"?","~?"))&gt;1,"!AMBIG",IFERROR(INDEX('Calculations'!$HF$13:$HF$512,MATCH('Calculations'!ID391,'Calculations'!$HE$13:$HE$512,0)),""))))</x:f>
      </x:c>
      <x:c r="IF391" t="str">
        <x:f>IF('Calculations'!IE391="","",IF('Calculations'!IE391="!AMBIG","!AMBIG",IF(COUNTIF('Calculations'!$HE$13:$HE$512,"="&amp;SUBSTITUTE(SUBSTITUTE(SUBSTITUTE('Calculations'!IE391,"~","~~"),"*","~*"),"?","~?"))&gt;1,"!AMBIG",IFERROR(INDEX('Calculations'!$HF$13:$HF$512,MATCH('Calculations'!IE391,'Calculations'!$HE$13:$HE$512,0)),""))))</x:f>
      </x:c>
      <x:c r="IG391" t="str">
        <x:f>IF('Calculations'!IF391="","",IF('Calculations'!IF391="!AMBIG","!AMBIG",IF(COUNTIF('Calculations'!$HE$13:$HE$512,"="&amp;SUBSTITUTE(SUBSTITUTE(SUBSTITUTE('Calculations'!IF391,"~","~~"),"*","~*"),"?","~?"))&gt;1,"!AMBIG",IFERROR(INDEX('Calculations'!$HF$13:$HF$512,MATCH('Calculations'!IF391,'Calculations'!$HE$13:$HE$512,0)),""))))</x:f>
      </x:c>
      <x:c r="IH391" t="str">
        <x:f>IF('Calculations'!IG391="","",IF('Calculations'!IG391="!AMBIG","!AMBIG",IF(COUNTIF('Calculations'!$HE$13:$HE$512,"="&amp;SUBSTITUTE(SUBSTITUTE(SUBSTITUTE('Calculations'!IG391,"~","~~"),"*","~*"),"?","~?"))&gt;1,"!AMBIG",IFERROR(INDEX('Calculations'!$HF$13:$HF$512,MATCH('Calculations'!IG391,'Calculations'!$HE$13:$HE$512,0)),""))))</x:f>
      </x:c>
      <x:c r="II391" t="str">
        <x:f>IF('Calculations'!IH391="","",IF('Calculations'!IH391="!AMBIG","!AMBIG",IF(COUNTIF('Calculations'!$HE$13:$HE$512,"="&amp;SUBSTITUTE(SUBSTITUTE(SUBSTITUTE('Calculations'!IH391,"~","~~"),"*","~*"),"?","~?"))&gt;1,"!AMBIG",IFERROR(INDEX('Calculations'!$HF$13:$HF$512,MATCH('Calculations'!IH391,'Calculations'!$HE$13:$HE$512,0)),""))))</x:f>
      </x:c>
      <x:c r="IJ391" t="str">
        <x:f>IF('Calculations'!EM391="","",IF('Calculations'!$EF$2="All",'Calculations'!HM391,IF('Calculations'!HL391=1,"",IFERROR(IF(MATCH('Calculations'!$EF$2,'Calculations'!HO391:II391,0)=1,'Calculations'!HE391,INDEX('Calculations'!HO391:II391,1,MATCH('Calculations'!$EF$2,'Calculations'!HO391:II391,0)-1)),""))))</x:f>
      </x:c>
      <x:c r="IK391" t="n">
        <x:f>IF(AND('Calculations'!EM391&lt;&gt;"",'Calculations'!$EF$2&lt;&gt;"All",'Calculations'!HF391='Calculations'!$EF$2,'Calculations'!HL391=0,'Calculations'!JD391&gt;0),MAX('Calculations'!$IK$12:IK390)+1,0)</x:f>
        <x:v>0</x:v>
      </x:c>
      <x:c r="JA391" t="n">
        <x:f>IF(OR(IFERROR(INDIRECT("'WCM Calibration Final'!$A$391")&lt;&gt;"",FALSE),IFERROR(INDIRECT("'WCM Calibration Final'!$B$391")&lt;&gt;"",FALSE),IFERROR(INDIRECT("'WCM Calibration Final'!$C$391")&lt;&gt;"",FALSE)),391,0)</x:f>
        <x:v>0</x:v>
      </x:c>
      <x:c r="JB391" t="n">
        <x:f>'Calculations'!JB390+IF('Calculations'!JA391&gt;0,1,0)</x:f>
        <x:v>0</x:v>
      </x:c>
      <x:c r="JC391" t="n">
        <x:f>IF(OR('Calculations'!HF391="",'Calculations'!HF391="!AMBIG"),0,IF('Dashboard'!$B$7="All",1,COUNTIFS('Calculations'!$HO$13:$HO$512,"="&amp;SUBSTITUTE(SUBSTITUTE(SUBSTITUTE('Calculations'!HF391,"~","~~"),"*","~*"),"?","~?"),'Calculations'!$HN$13:$HN$512,"="&amp;SUBSTITUTE(SUBSTITUTE(SUBSTITUTE('Dashboard'!$B$7,"~","~~"),"*","~*"),"?","~?"))+COUNTIFS('Calculations'!$HP$13:$HP$512,"="&amp;SUBSTITUTE(SUBSTITUTE(SUBSTITUTE('Calculations'!HF391,"~","~~"),"*","~*"),"?","~?"),'Calculations'!$HN$13:$HN$512,"="&amp;SUBSTITUTE(SUBSTITUTE(SUBSTITUTE('Dashboard'!$B$7,"~","~~"),"*","~*"),"?","~?"))+COUNTIFS('Calculations'!$HQ$13:$HQ$512,"="&amp;SUBSTITUTE(SUBSTITUTE(SUBSTITUTE('Calculations'!HF391,"~","~~"),"*","~*"),"?","~?"),'Calculations'!$HN$13:$HN$512,"="&amp;SUBSTITUTE(SUBSTITUTE(SUBSTITUTE('Dashboard'!$B$7,"~","~~"),"*","~*"),"?","~?"))+COUNTIFS('Calculations'!$HR$13:$HR$512,"="&amp;SUBSTITUTE(SUBSTITUTE(SUBSTITUTE('Calculations'!HF391,"~","~~"),"*","~*"),"?","~?"),'Calculations'!$HN$13:$HN$512,"="&amp;SUBSTITUTE(SUBSTITUTE(SUBSTITUTE('Dashboard'!$B$7,"~","~~"),"*","~*"),"?","~?"))+COUNTIFS('Calculations'!$HS$13:$HS$512,"="&amp;SUBSTITUTE(SUBSTITUTE(SUBSTITUTE('Calculations'!HF391,"~","~~"),"*","~*"),"?","~?"),'Calculations'!$HN$13:$HN$512,"="&amp;SUBSTITUTE(SUBSTITUTE(SUBSTITUTE('Dashboard'!$B$7,"~","~~"),"*","~*"),"?","~?"))+COUNTIFS('Calculations'!$HT$13:$HT$512,"="&amp;SUBSTITUTE(SUBSTITUTE(SUBSTITUTE('Calculations'!HF391,"~","~~"),"*","~*"),"?","~?"),'Calculations'!$HN$13:$HN$512,"="&amp;SUBSTITUTE(SUBSTITUTE(SUBSTITUTE('Dashboard'!$B$7,"~","~~"),"*","~*"),"?","~?"))+COUNTIFS('Calculations'!$HU$13:$HU$512,"="&amp;SUBSTITUTE(SUBSTITUTE(SUBSTITUTE('Calculations'!HF391,"~","~~"),"*","~*"),"?","~?"),'Calculations'!$HN$13:$HN$512,"="&amp;SUBSTITUTE(SUBSTITUTE(SUBSTITUTE('Dashboard'!$B$7,"~","~~"),"*","~*"),"?","~?"))+COUNTIFS('Calculations'!$HV$13:$HV$512,"="&amp;SUBSTITUTE(SUBSTITUTE(SUBSTITUTE('Calculations'!HF391,"~","~~"),"*","~*"),"?","~?"),'Calculations'!$HN$13:$HN$512,"="&amp;SUBSTITUTE(SUBSTITUTE(SUBSTITUTE('Dashboard'!$B$7,"~","~~"),"*","~*"),"?","~?"))+COUNTIFS('Calculations'!$HW$13:$HW$512,"="&amp;SUBSTITUTE(SUBSTITUTE(SUBSTITUTE('Calculations'!HF391,"~","~~"),"*","~*"),"?","~?"),'Calculations'!$HN$13:$HN$512,"="&amp;SUBSTITUTE(SUBSTITUTE(SUBSTITUTE('Dashboard'!$B$7,"~","~~"),"*","~*"),"?","~?"))+COUNTIFS('Calculations'!$HX$13:$HX$512,"="&amp;SUBSTITUTE(SUBSTITUTE(SUBSTITUTE('Calculations'!HF391,"~","~~"),"*","~*"),"?","~?"),'Calculations'!$HN$13:$HN$512,"="&amp;SUBSTITUTE(SUBSTITUTE(SUBSTITUTE('Dashboard'!$B$7,"~","~~"),"*","~*"),"?","~?"))+COUNTIFS('Calculations'!$HY$13:$HY$512,"="&amp;SUBSTITUTE(SUBSTITUTE(SUBSTITUTE('Calculations'!HF391,"~","~~"),"*","~*"),"?","~?"),'Calculations'!$HN$13:$HN$512,"="&amp;SUBSTITUTE(SUBSTITUTE(SUBSTITUTE('Dashboard'!$B$7,"~","~~"),"*","~*"),"?","~?"))+COUNTIFS('Calculations'!$HZ$13:$HZ$512,"="&amp;SUBSTITUTE(SUBSTITUTE(SUBSTITUTE('Calculations'!HF391,"~","~~"),"*","~*"),"?","~?"),'Calculations'!$HN$13:$HN$512,"="&amp;SUBSTITUTE(SUBSTITUTE(SUBSTITUTE('Dashboard'!$B$7,"~","~~"),"*","~*"),"?","~?"))+COUNTIFS('Calculations'!$IA$13:$IA$512,"="&amp;SUBSTITUTE(SUBSTITUTE(SUBSTITUTE('Calculations'!HF391,"~","~~"),"*","~*"),"?","~?"),'Calculations'!$HN$13:$HN$512,"="&amp;SUBSTITUTE(SUBSTITUTE(SUBSTITUTE('Dashboard'!$B$7,"~","~~"),"*","~*"),"?","~?"))+COUNTIFS('Calculations'!$IB$13:$IB$512,"="&amp;SUBSTITUTE(SUBSTITUTE(SUBSTITUTE('Calculations'!HF391,"~","~~"),"*","~*"),"?","~?"),'Calculations'!$HN$13:$HN$512,"="&amp;SUBSTITUTE(SUBSTITUTE(SUBSTITUTE('Dashboard'!$B$7,"~","~~"),"*","~*"),"?","~?"))+COUNTIFS('Calculations'!$IC$13:$IC$512,"="&amp;SUBSTITUTE(SUBSTITUTE(SUBSTITUTE('Calculations'!HF391,"~","~~"),"*","~*"),"?","~?"),'Calculations'!$HN$13:$HN$512,"="&amp;SUBSTITUTE(SUBSTITUTE(SUBSTITUTE('Dashboard'!$B$7,"~","~~"),"*","~*"),"?","~?"))+COUNTIFS('Calculations'!$ID$13:$ID$512,"="&amp;SUBSTITUTE(SUBSTITUTE(SUBSTITUTE('Calculations'!HF391,"~","~~"),"*","~*"),"?","~?"),'Calculations'!$HN$13:$HN$512,"="&amp;SUBSTITUTE(SUBSTITUTE(SUBSTITUTE('Dashboard'!$B$7,"~","~~"),"*","~*"),"?","~?"))+COUNTIFS('Calculations'!$IE$13:$IE$512,"="&amp;SUBSTITUTE(SUBSTITUTE(SUBSTITUTE('Calculations'!HF391,"~","~~"),"*","~*"),"?","~?"),'Calculations'!$HN$13:$HN$512,"="&amp;SUBSTITUTE(SUBSTITUTE(SUBSTITUTE('Dashboard'!$B$7,"~","~~"),"*","~*"),"?","~?"))+COUNTIFS('Calculations'!$IF$13:$IF$512,"="&amp;SUBSTITUTE(SUBSTITUTE(SUBSTITUTE('Calculations'!HF391,"~","~~"),"*","~*"),"?","~?"),'Calculations'!$HN$13:$HN$512,"="&amp;SUBSTITUTE(SUBSTITUTE(SUBSTITUTE('Dashboard'!$B$7,"~","~~"),"*","~*"),"?","~?"))+COUNTIFS('Calculations'!$IG$13:$IG$512,"="&amp;SUBSTITUTE(SUBSTITUTE(SUBSTITUTE('Calculations'!HF391,"~","~~"),"*","~*"),"?","~?"),'Calculations'!$HN$13:$HN$512,"="&amp;SUBSTITUTE(SUBSTITUTE(SUBSTITUTE('Dashboard'!$B$7,"~","~~"),"*","~*"),"?","~?"))+COUNTIFS('Calculations'!$IH$13:$IH$512,"="&amp;SUBSTITUTE(SUBSTITUTE(SUBSTITUTE('Calculations'!HF391,"~","~~"),"*","~*"),"?","~?"),'Calculations'!$HN$13:$HN$512,"="&amp;SUBSTITUTE(SUBSTITUTE(SUBSTITUTE('Dashboard'!$B$7,"~","~~"),"*","~*"),"?","~?"))))</x:f>
        <x:v>0</x:v>
      </x:c>
      <x:c r="JD391" t="n">
        <x:f>IF('Calculations'!EM391="",0,IF('Dashboard'!$B$7="All",1,IF('Calculations'!HN391='Dashboard'!$B$7,1,0)+IFERROR(INDEX('Calculations'!$JC$13:$JC$512,MATCH('Calculations'!HE391,'Calculations'!$HF$13:$HF$512,0)),0)))</x:f>
        <x:v>0</x:v>
      </x:c>
      <x:c r="JE391" t="n">
        <x:f>IF(AND('Calculations'!EM391&lt;&gt;"",'Calculations'!$JJ$2&lt;&gt;"All",'Calculations'!$JJ$2&lt;&gt;"",'Calculations'!HF391='Calculations'!$JJ$2,'Calculations'!HL391=0,'Calculations'!JD391&gt;0),MAX('Calculations'!$JE$12:JE390)+1,0)</x:f>
        <x:v>0</x:v>
      </x:c>
      <x:c r="JF391" t="str">
        <x:f>IF('Calculations'!EM391="","",IFERROR(IF(INDEX(INDIRECT("'WCM Calibration Final'!$G$1:$G$2000"),'Calculations'!$EM391)="","",TRIM(INDEX(INDIRECT("'WCM Calibration Final'!$G$1:$G$2000"),'Calculations'!$EM391)&amp;"")),""))</x:f>
      </x:c>
      <x:c r="JQ391" t="n">
        <x:f>IF(OR('Calculations'!BM391=0,NOT('Calculations'!$AG$2),'Calculations'!$AG$8&gt;0),0,IF(OR('Dashboard'!$B$7="All",'Calculations'!HN391='Dashboard'!$B$7),IF('Calculations'!$JJ$2="All",1,IF(AND('Calculations'!HF391='Calculations'!$JJ$2,'Calculations'!HL391=0),1,0)),0))</x:f>
        <x:v>0</x:v>
      </x:c>
    </x:row>
    <x:row r="392">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t="n">
        <x:f>IF('Calculations'!$EM392="",0,IF(OR(IFERROR(INDEX(INDIRECT("'WCM Calibration Final'!$A$1:$A$2000"),'Calculations'!$EM392)&lt;&gt;"",FALSE),IFERROR(INDEX(INDIRECT("'WCM Calibration Final'!$B$1:$B$2000"),'Calculations'!$EM392)&lt;&gt;"",FALSE),IFERROR(INDEX(INDIRECT("'WCM Calibration Final'!$C$1:$C$2000"),'Calculations'!$EM392)&lt;&gt;"",FALSE)),1,0))</x:f>
        <x:v>0</x:v>
      </x:c>
      <x:c r="BN392" s="4" t="n">
        <x:f>IF(AND('Calculations'!BM392=1,'Calculations'!$AG$2,'Calculations'!$EN392=1),1,0)</x:f>
        <x:v>0</x:v>
      </x:c>
      <x:c r="BO392" s="4" t="str">
        <x:f>IF('Calculations'!BM392=0,"",IFERROR(IF(AND(VALUE(INDEX(INDIRECT("'WCM Calibration Final'!$K$1:$K$2000"),'Calculations'!$EM392))&gt;=1,VALUE(INDEX(INDIRECT("'WCM Calibration Final'!$K$1:$K$2000"),'Calculations'!$EM392))&lt;=4,MOD(VALUE(INDEX(INDIRECT("'WCM Calibration Final'!$K$1:$K$2000"),'Calculations'!$EM392)),1)=0),VALUE(INDEX(INDIRECT("'WCM Calibration Final'!$K$1:$K$2000"),'Calculations'!$EM392)),""),""))</x:f>
      </x:c>
      <x:c r="BP392" s="4" t="str">
        <x:f>IF('Calculations'!BM392=0,"",IFERROR(IF(AND(VALUE(INDEX(INDIRECT("'WCM Calibration Final'!$L$1:$L$2000"),'Calculations'!$EM392))&gt;=1,VALUE(INDEX(INDIRECT("'WCM Calibration Final'!$L$1:$L$2000"),'Calculations'!$EM392))&lt;=4,MOD(VALUE(INDEX(INDIRECT("'WCM Calibration Final'!$L$1:$L$2000"),'Calculations'!$EM392)),1)=0),VALUE(INDEX(INDIRECT("'WCM Calibration Final'!$L$1:$L$2000"),'Calculations'!$EM392)),""),""))</x:f>
      </x:c>
      <x:c r="BQ392" s="4"/>
      <x:c r="BR392" s="4"/>
      <x:c r="BS392" s="4"/>
      <x:c r="BT392" s="4" t="n">
        <x:f>IF(AND('Calculations'!BM392=1,ISNUMBER('Calculations'!BO392),ISNUMBER('Calculations'!BP392)),1,0)</x:f>
        <x:v>0</x:v>
      </x:c>
      <x:c r="BU392" s="4" t="str">
        <x:f>IF('Calculations'!BM392=0,"",'Calculations'!$EO392)</x:f>
      </x:c>
      <x:c r="BV392" s="4" t="str">
        <x:f>IF('Calculations'!BM392=0,"",IFERROR(IF(OR(INDEX(INDIRECT("'WCM Calibration Final'!$H$1:$H$2000"),'Calculations'!$EM392)="MANAGING DIRECTOR",INDEX(INDIRECT("'WCM Calibration Final'!$H$1:$H$2000"),'Calculations'!$EM392)="DIRECTOR",INDEX(INDIRECT("'WCM Calibration Final'!$H$1:$H$2000"),'Calculations'!$EM392)="SENIOR VICE PRESIDENT",INDEX(INDIRECT("'WCM Calibration Final'!$H$1:$H$2000"),'Calculations'!$EM392)="VICE PRESIDENT",INDEX(INDIRECT("'WCM Calibration Final'!$H$1:$H$2000"),'Calculations'!$EM392)="ASSISTANT VICE PRESIDENT",INDEX(INDIRECT("'WCM Calibration Final'!$H$1:$H$2000"),'Calculations'!$EM392)="OFFICER"),UPPER(INDEX(INDIRECT("'WCM Calibration Final'!$H$1:$H$2000"),'Calculations'!$EM392)),"Other"),"Other"))</x:f>
      </x:c>
      <x:c r="BW392" s="4"/>
      <x:c r="BX392" s="4"/>
      <x:c r="BY392" s="4" t="n">
        <x:f>IF(AND('Calculations'!BM392=1,'Calculations'!BU392&lt;&gt;"",COUNTIF('Calculations'!$BU$12:BU392,'Calculations'!BU392)=1),MAX('Calculations'!$BY$11:BY391)+1,0)</x:f>
        <x:v>0</x:v>
      </x:c>
      <x:c r="BZ392" s="4" t="str">
        <x:f>IF('Dashboard'!$E$67="What",'Calculations'!BO392,'Calculations'!BP392)</x:f>
      </x:c>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t="str">
        <x:f>IF(381&gt;MAX('Calculations'!$HI$13:$HI$512),"",INDEX('Calculations'!$HN$13:$HN$512,MATCH(381,'Calculations'!$HI$13:$HI$512,0)))</x:f>
      </x:c>
      <x:c r="DB392" s="4" t="str">
        <x:f>IF(381&gt;MAX('Calculations'!$HH$13:$HH$512),"",INDEX('Calculations'!$HJ$13:$HJ$512,MATCH(381,'Calculations'!$HH$13:$HH$512,0)))</x:f>
      </x:c>
      <x:c r="DC392" s="4" t="str">
        <x:f>IF(ROW()-11&gt;MAX('Calculations'!$BY$13:$BY$512),"",INDEX('Calculations'!$BU$13:$BU$512,MATCH(ROW()-11,'Calculations'!$BY$13:$BY$512,0)))</x:f>
      </x:c>
      <x:c r="DD392" s="4" t="str">
        <x:f>IF(381&gt;MAX('Calculations'!$IK$13:$IK$512),"",INDEX('Calculations'!$HK$13:$HK$512,MATCH(381,'Calculations'!$IK$13:$IK$512,0)))</x:f>
      </x:c>
      <x:c r="DE392" s="4" t="str">
        <x:f>'Calculations'!DC392</x:f>
      </x:c>
      <x:c r="DF392" s="4" t="str">
        <x:f>IF('Calculations'!DE392="","",COUNTIFS('Calculations'!$BN$13:$BN$512,1,'Calculations'!$BU$13:$BU$512,'Calculations'!DE392))</x:f>
      </x:c>
      <x:c r="DG392" s="4" t="str">
        <x:f>IF('Calculations'!DE392="","",COUNTIFS('Calculations'!$BN$13:$BN$512,1,'Calculations'!$BU$13:$BU$512,'Calculations'!DE392,'Calculations'!$BT$13:$BT$512,1))</x:f>
      </x:c>
      <x:c r="DH392" s="4" t="str">
        <x:f>IF('Calculations'!DE392="","",'Calculations'!DF392-'Calculations'!DG392)</x:f>
      </x:c>
      <x:c r="DI392" s="4" t="str">
        <x:f>IF(OR('Calculations'!DE392="",'Calculations'!DF392=0),"",'Calculations'!DG392/'Calculations'!DF392)</x:f>
      </x:c>
      <x:c r="DJ392" s="4" t="str">
        <x:f>IF('Calculations'!DE392="","",COUNTIFS('Calculations'!$BN$13:$BN$512,1,'Calculations'!$BU$13:$BU$512,'Calculations'!DE392,'Calculations'!$BT$13:$BT$512,1,'Calculations'!$EE$13:$EE$512,"High"))</x:f>
      </x:c>
      <x:c r="DK392" s="4" t="str">
        <x:f>IF('Calculations'!DE392="","",COUNTIFS('Calculations'!$BN$13:$BN$512,1,'Calculations'!$BU$13:$BU$512,'Calculations'!DE392,'Calculations'!$BT$13:$BT$512,1,'Calculations'!$EE$13:$EE$512,"Strong"))</x:f>
      </x:c>
      <x:c r="DL392" s="4" t="str">
        <x:f>IF('Calculations'!DE392="","",COUNTIFS('Calculations'!$BN$13:$BN$512,1,'Calculations'!$BU$13:$BU$512,'Calculations'!DE392,'Calculations'!$BT$13:$BT$512,1,'Calculations'!$EE$13:$EE$512,"Solid"))</x:f>
      </x:c>
      <x:c r="DM392" s="4" t="str">
        <x:f>IF('Calculations'!DE392="","",COUNTIFS('Calculations'!$BN$13:$BN$512,1,'Calculations'!$BU$13:$BU$512,'Calculations'!DE392,'Calculations'!$BT$13:$BT$512,1,'Calculations'!$EE$13:$EE$512,"Low"))</x:f>
      </x:c>
      <x:c r="DN392" s="4" t="str">
        <x:f>IF('Calculations'!DE392="","",COUNTIFS('Calculations'!$BN$13:$BN$512,1,'Calculations'!$BU$13:$BU$512,'Calculations'!DE392,'Calculations'!$EP$13:$EP$512,1))</x:f>
      </x:c>
      <x:c r="DO392" s="4" t="str">
        <x:f>IF(OR('Calculations'!DE392="",'Calculations'!DG392=0),"",('Calculations'!DJ392+'Calculations'!DK392)/'Calculations'!DG392)</x:f>
      </x:c>
      <x:c r="DP392" s="4" t="n">
        <x:f>IF(AND('Calculations'!DE392&lt;&gt;"",'Calculations'!DF392&gt;0),COUNTIF('Calculations'!$DF$12:DF392,"&gt;0"),0)</x:f>
        <x:v>0</x:v>
      </x:c>
      <x:c r="DQ392" s="4" t="str">
        <x:f>IF(381&gt;MAX('Calculations'!$HH$13:$HH$512),"",INDEX('Calculations'!$HF$13:$HF$512,MATCH(381,'Calculations'!$HH$13:$HH$512,0)))</x:f>
      </x:c>
      <x:c r="DR392" s="4" t="str">
        <x:f>IF(381&gt;MAX('Calculations'!$IK$13:$IK$512),"",INDEX('Calculations'!$HE$13:$HE$512,MATCH(381,'Calculations'!$IK$13:$IK$512,0)))</x:f>
      </x:c>
      <x:c r="DS392" s="4"/>
      <x:c r="DT392" s="4"/>
      <x:c r="DU392" s="4"/>
      <x:c r="DV392" s="4"/>
      <x:c r="DW392" s="4"/>
      <x:c r="DX392" s="4"/>
      <x:c r="DY392" s="4"/>
      <x:c r="DZ392" s="4"/>
      <x:c r="EA392" s="4"/>
      <x:c r="EB392" s="4"/>
      <x:c r="EC392" s="4"/>
      <x:c r="ED392" s="4"/>
      <x:c r="EE392" s="4" t="str">
        <x:f>IF('Calculations'!BT392=0,"Not Rated",IF(OR('Calculations'!BO392&gt;=4,'Calculations'!BP392&gt;=4),"Low",IF('Calculations'!BO392+'Calculations'!BP392&lt;=3,"High",IF('Calculations'!BO392+'Calculations'!BP392&lt;=4,"Strong","Solid"))))</x:f>
        <x:v>Not Rated</x:v>
      </x:c>
      <x:c r="EF392" s="4"/>
      <x:c r="EG392" s="4"/>
      <x:c r="EH392" s="4"/>
      <x:c r="EI392" s="4"/>
      <x:c r="EJ392" s="4"/>
      <x:c r="EK392" s="4"/>
      <x:c r="EL392" s="4"/>
      <x:c r="EM392" s="4" t="str">
        <x:f>IF(380&gt;'Calculations'!$JB$2000,"",INDEX('Calculations'!$JA$12:$JA$2000,MATCH(380,'Calculations'!$JB$12:$JB$2000,0)))</x:f>
      </x:c>
      <x:c r="EN392" s="4" t="n">
        <x:f>IF(OR('Calculations'!EM392="",'Calculations'!$AG$8&gt;0,AND('Calculations'!$EF$2&lt;&gt;"All",'Calculations'!HE392='Calculations'!$EF$2),AND('Calculations'!$EF$3&lt;&gt;"All",'Calculations'!HE392='Calculations'!$EF$3)),0,IF(OR('Dashboard'!$B$7="All",'Calculations'!HN392='Dashboard'!$B$7),IF('Calculations'!$EF$2="All",1,IF('Calculations'!HL392&gt;0,0,IF(COUNTIF('Calculations'!HO392:II392,"="&amp;SUBSTITUTE(SUBSTITUTE(SUBSTITUTE('Calculations'!$EF$2,"~","~~"),"*","~*"),"?","~?"))=0,0,IF('Calculations'!$EF$3="All",1,IF(COUNTIF('Calculations'!HO392:II392,"="&amp;SUBSTITUTE(SUBSTITUTE(SUBSTITUTE('Calculations'!$EF$3,"~","~~"),"*","~*"),"?","~?"))&gt;0,1,0))))),0))</x:f>
        <x:v>0</x:v>
      </x:c>
      <x:c r="EO392" s="4" t="str">
        <x:f>IF('Calculations'!IJ392="","",IF('Calculations'!IJ392="!UNRESOLVED","Unresolved hierarchy",IFERROR(INDEX('Calculations'!$HK$13:$HK$512,MATCH('Calculations'!IJ392,'Calculations'!$HE$13:$HE$512,0)),IFERROR(INDEX('Calculations'!$HJ$13:$HJ$512,MATCH('Calculations'!IJ392,'Calculations'!$HF$13:$HF$512,0)),'Calculations'!IJ392))))</x:f>
      </x:c>
      <x:c r="EP392" s="4" t="n">
        <x:f>IF(AND('Calculations'!EM392&lt;&gt;"",'Calculations'!HF392='Calculations'!IJ392),1,0)</x:f>
        <x:v>0</x:v>
      </x:c>
      <x:c r="EQ392" s="4"/>
      <x:c r="ER392" s="4"/>
      <x:c r="ES392" s="4"/>
      <x:c r="ET392" s="4"/>
      <x:c r="EU392" s="4"/>
      <x:c r="EV392" s="4"/>
      <x:c r="EW392" s="4"/>
      <x:c r="EX392" s="4"/>
      <x:c r="EY392" s="4"/>
      <x:c r="EZ392" s="4"/>
      <x:c r="FA392" s="4"/>
      <x:c r="FB392" s="4"/>
      <x:c r="FC392" s="4"/>
      <x:c r="FD392" s="4"/>
      <x:c r="FE392" s="4"/>
      <x:c r="FF392" s="4"/>
      <x:c r="FG392" s="4"/>
      <x:c r="FH392" s="4"/>
      <x:c r="FI392" s="4"/>
      <x:c r="FJ392" s="4"/>
      <x:c r="FK392" s="4"/>
      <x:c r="FL392" s="4"/>
      <x:c r="FM392" s="4"/>
      <x:c r="FN392" s="4"/>
      <x:c r="FO392" s="4"/>
      <x:c r="HE392" t="str">
        <x:f>IF('Calculations'!EM392="","",IF(IFERROR(IF(INDEX(INDIRECT("'WCM Calibration Final'!$A$1:$A$2000"),'Calculations'!$EM392)="","",TRIM(INDEX(INDIRECT("'WCM Calibration Final'!$A$1:$A$2000"),'Calculations'!$EM392)&amp;"")),"")&lt;&gt;"","G:"&amp;IFERROR(TEXT(1*INDEX(INDIRECT("'WCM Calibration Final'!$A$1:$A$2000"),'Calculations'!$EM392),"0"),UPPER(IFERROR(IF(INDEX(INDIRECT("'WCM Calibration Final'!$A$1:$A$2000"),'Calculations'!$EM392)="","",TRIM(INDEX(INDIRECT("'WCM Calibration Final'!$A$1:$A$2000"),'Calculations'!$EM392)&amp;"")),""))),IF(IFERROR(IF(INDEX(INDIRECT("'WCM Calibration Final'!$C$1:$C$2000"),'Calculations'!$EM392)="","",TRIM(INDEX(INDIRECT("'WCM Calibration Final'!$C$1:$C$2000"),'Calculations'!$EM392)&amp;"")),"")&lt;&gt;"","S:"&amp;UPPER(IFERROR(IF(INDEX(INDIRECT("'WCM Calibration Final'!$C$1:$C$2000"),'Calculations'!$EM392)="","",TRIM(INDEX(INDIRECT("'WCM Calibration Final'!$C$1:$C$2000"),'Calculations'!$EM392)&amp;"")),"")),"R:"&amp;'Calculations'!EM392)))</x:f>
      </x:c>
      <x:c r="HF392" t="str">
        <x:f>IF('Calculations'!EM392="","",IF(IFERROR(IF(INDEX(INDIRECT("'WCM Calibration Final'!$D$1:$D$2000"),'Calculations'!$EM392)="","",TRIM(INDEX(INDIRECT("'WCM Calibration Final'!$D$1:$D$2000"),'Calculations'!$EM392)&amp;"")),"")&lt;&gt;"","G:"&amp;IFERROR(TEXT(1*INDEX(INDIRECT("'WCM Calibration Final'!$D$1:$D$2000"),'Calculations'!$EM392),"0"),UPPER(IFERROR(IF(INDEX(INDIRECT("'WCM Calibration Final'!$D$1:$D$2000"),'Calculations'!$EM392)="","",TRIM(INDEX(INDIRECT("'WCM Calibration Final'!$D$1:$D$2000"),'Calculations'!$EM392)&amp;"")),""))),IF(IFERROR(IF(INDEX(INDIRECT("'WCM Calibration Final'!$E$1:$E$2000"),'Calculations'!$EM392)="","",TRIM(INDEX(INDIRECT("'WCM Calibration Final'!$E$1:$E$2000"),'Calculations'!$EM392)&amp;"")),"")="","",IF(COUNTIF('Calculations'!$HG$13:$HG$512,"="&amp;SUBSTITUTE(SUBSTITUTE(SUBSTITUTE(IFERROR(IF(INDEX(INDIRECT("'WCM Calibration Final'!$E$1:$E$2000"),'Calculations'!$EM392)="","",TRIM(INDEX(INDIRECT("'WCM Calibration Final'!$E$1:$E$2000"),'Calculations'!$EM392)&amp;"")),""),"~","~~"),"*","~*"),"?","~?"))=1,INDEX('Calculations'!$HE$13:$HE$512,MATCH(IFERROR(IF(INDEX(INDIRECT("'WCM Calibration Final'!$E$1:$E$2000"),'Calculations'!$EM392)="","",TRIM(INDEX(INDIRECT("'WCM Calibration Final'!$E$1:$E$2000"),'Calculations'!$EM392)&amp;"")),""),'Calculations'!$HG$13:$HG$512,0)),IF(COUNTIF('Calculations'!$HG$13:$HG$512,"="&amp;SUBSTITUTE(SUBSTITUTE(SUBSTITUTE(IFERROR(IF(INDEX(INDIRECT("'WCM Calibration Final'!$E$1:$E$2000"),'Calculations'!$EM392)="","",TRIM(INDEX(INDIRECT("'WCM Calibration Final'!$E$1:$E$2000"),'Calculations'!$EM392)&amp;"")),""),"~","~~"),"*","~*"),"?","~?"))&gt;1,"!AMBIG","X:"&amp;IFERROR(IF(INDEX(INDIRECT("'WCM Calibration Final'!$E$1:$E$2000"),'Calculations'!$EM392)="","",TRIM(INDEX(INDIRECT("'WCM Calibration Final'!$E$1:$E$2000"),'Calculations'!$EM392)&amp;"")),""))))))</x:f>
      </x:c>
      <x:c r="HG392" t="str">
        <x:f>IF('Calculations'!EM392="","",IFERROR(IF(INDEX(INDIRECT("'WCM Calibration Final'!$B$1:$B$2000"),'Calculations'!$EM392)="","",TRIM(INDEX(INDIRECT("'WCM Calibration Final'!$B$1:$B$2000"),'Calculations'!$EM392)&amp;"")),""))</x:f>
      </x:c>
      <x:c r="HH392" t="n">
        <x:f>IF(AND('Calculations'!JC392&gt;0,COUNTIF('Calculations'!$HF$12:HF392,"="&amp;SUBSTITUTE(SUBSTITUTE(SUBSTITUTE('Calculations'!HF392,"~","~~"),"*","~*"),"?","~?"))=1),MAX('Calculations'!$HH$12:HH391)+1,0)</x:f>
        <x:v>0</x:v>
      </x:c>
      <x:c r="HI392" t="n">
        <x:f>IF(AND('Calculations'!HN392&lt;&gt;"",COUNTIF('Calculations'!$HN$12:HN392,"="&amp;SUBSTITUTE(SUBSTITUTE(SUBSTITUTE('Calculations'!HN392,"~","~~"),"*","~*"),"?","~?"))=1),MAX('Calculations'!$HI$12:HI391)+1,0)</x:f>
        <x:v>0</x:v>
      </x:c>
      <x:c r="HJ392" t="str">
        <x:f>IF('Calculations'!HF392="","",IF(COUNTIF('Calculations'!$HE$13:$HE$512,"="&amp;SUBSTITUTE(SUBSTITUTE(SUBSTITUTE('Calculations'!HF392,"~","~~"),"*","~*"),"?","~?"))=1,INDEX('Calculations'!$HK$13:$HK$512,MATCH('Calculations'!HF392,'Calculations'!$HE$13:$HE$512,0)),IFERROR(IF(INDEX(INDIRECT("'WCM Calibration Final'!$E$1:$E$2000"),'Calculations'!$EM392)="","",TRIM(INDEX(INDIRECT("'WCM Calibration Final'!$E$1:$E$2000"),'Calculations'!$EM392)&amp;"")),"")&amp;" ["&amp;'Calculations'!HF392&amp;"]"))</x:f>
      </x:c>
      <x:c r="HK392" t="str">
        <x:f>IF('Calculations'!EM392="","",'Calculations'!HG392&amp;" ["&amp;'Calculations'!HE392&amp;"]")</x:f>
      </x:c>
      <x:c r="HL392" t="n">
        <x:f>IF('Calculations'!EM392="",0,IF(OR('Calculations'!II392&lt;&gt;"",COUNTIF('Calculations'!$HE$13:$HE$512,"="&amp;SUBSTITUTE(SUBSTITUTE(SUBSTITUTE('Calculations'!HE392,"~","~~"),"*","~*"),"?","~?"))&gt;1),1,0))</x:f>
        <x:v>0</x:v>
      </x:c>
      <x:c r="HM392" t="str">
        <x:f>IF('Calculations'!EM392="","",IF('Calculations'!HL392=1,"!UNRESOLVED",IF('Calculations'!IH392&lt;&gt;"",'Calculations'!IH392,IF('Calculations'!IG392&lt;&gt;"",'Calculations'!IG392,IF('Calculations'!IF392&lt;&gt;"",'Calculations'!IF392,IF('Calculations'!IE392&lt;&gt;"",'Calculations'!IE392,IF('Calculations'!ID392&lt;&gt;"",'Calculations'!ID392,IF('Calculations'!IC392&lt;&gt;"",'Calculations'!IC392,IF('Calculations'!IB392&lt;&gt;"",'Calculations'!IB392,IF('Calculations'!IA392&lt;&gt;"",'Calculations'!IA392,IF('Calculations'!HZ392&lt;&gt;"",'Calculations'!HZ392,IF('Calculations'!HY392&lt;&gt;"",'Calculations'!HY392,IF('Calculations'!HX392&lt;&gt;"",'Calculations'!HX392,IF('Calculations'!HW392&lt;&gt;"",'Calculations'!HW392,IF('Calculations'!HV392&lt;&gt;"",'Calculations'!HV392,IF('Calculations'!HU392&lt;&gt;"",'Calculations'!HU392,IF('Calculations'!HT392&lt;&gt;"",'Calculations'!HT392,IF('Calculations'!HS392&lt;&gt;"",'Calculations'!HS392,IF('Calculations'!HR392&lt;&gt;"",'Calculations'!HR392,IF('Calculations'!HQ392&lt;&gt;"",'Calculations'!HQ392,IF('Calculations'!HP392&lt;&gt;"",'Calculations'!HP392,IF('Calculations'!HO392&lt;&gt;"",'Calculations'!HO392,'Calculations'!HE392))))))))))))))))))))))</x:f>
      </x:c>
      <x:c r="HN392" t="str">
        <x:f>IF('Calculations'!EM392="","",IF(IFERROR(IF(INDEX(INDIRECT("'WCM Calibration Final'!$F$1:$F$2000"),'Calculations'!$EM392)="","",TRIM(INDEX(INDIRECT("'WCM Calibration Final'!$F$1:$F$2000"),'Calculations'!$EM392)&amp;"")),"")="","(Blank)",IFERROR(IF(INDEX(INDIRECT("'WCM Calibration Final'!$F$1:$F$2000"),'Calculations'!$EM392)="","",TRIM(INDEX(INDIRECT("'WCM Calibration Final'!$F$1:$F$2000"),'Calculations'!$EM392)&amp;"")),"")))</x:f>
      </x:c>
      <x:c r="HO392" t="str">
        <x:f>'Calculations'!HF392</x:f>
      </x:c>
      <x:c r="HP392" t="str">
        <x:f>IF('Calculations'!HO392="","",IF('Calculations'!HO392="!AMBIG","!AMBIG",IF(COUNTIF('Calculations'!$HE$13:$HE$512,"="&amp;SUBSTITUTE(SUBSTITUTE(SUBSTITUTE('Calculations'!HO392,"~","~~"),"*","~*"),"?","~?"))&gt;1,"!AMBIG",IFERROR(INDEX('Calculations'!$HF$13:$HF$512,MATCH('Calculations'!HO392,'Calculations'!$HE$13:$HE$512,0)),""))))</x:f>
      </x:c>
      <x:c r="HQ392" t="str">
        <x:f>IF('Calculations'!HP392="","",IF('Calculations'!HP392="!AMBIG","!AMBIG",IF(COUNTIF('Calculations'!$HE$13:$HE$512,"="&amp;SUBSTITUTE(SUBSTITUTE(SUBSTITUTE('Calculations'!HP392,"~","~~"),"*","~*"),"?","~?"))&gt;1,"!AMBIG",IFERROR(INDEX('Calculations'!$HF$13:$HF$512,MATCH('Calculations'!HP392,'Calculations'!$HE$13:$HE$512,0)),""))))</x:f>
      </x:c>
      <x:c r="HR392" t="str">
        <x:f>IF('Calculations'!HQ392="","",IF('Calculations'!HQ392="!AMBIG","!AMBIG",IF(COUNTIF('Calculations'!$HE$13:$HE$512,"="&amp;SUBSTITUTE(SUBSTITUTE(SUBSTITUTE('Calculations'!HQ392,"~","~~"),"*","~*"),"?","~?"))&gt;1,"!AMBIG",IFERROR(INDEX('Calculations'!$HF$13:$HF$512,MATCH('Calculations'!HQ392,'Calculations'!$HE$13:$HE$512,0)),""))))</x:f>
      </x:c>
      <x:c r="HS392" t="str">
        <x:f>IF('Calculations'!HR392="","",IF('Calculations'!HR392="!AMBIG","!AMBIG",IF(COUNTIF('Calculations'!$HE$13:$HE$512,"="&amp;SUBSTITUTE(SUBSTITUTE(SUBSTITUTE('Calculations'!HR392,"~","~~"),"*","~*"),"?","~?"))&gt;1,"!AMBIG",IFERROR(INDEX('Calculations'!$HF$13:$HF$512,MATCH('Calculations'!HR392,'Calculations'!$HE$13:$HE$512,0)),""))))</x:f>
      </x:c>
      <x:c r="HT392" t="str">
        <x:f>IF('Calculations'!HS392="","",IF('Calculations'!HS392="!AMBIG","!AMBIG",IF(COUNTIF('Calculations'!$HE$13:$HE$512,"="&amp;SUBSTITUTE(SUBSTITUTE(SUBSTITUTE('Calculations'!HS392,"~","~~"),"*","~*"),"?","~?"))&gt;1,"!AMBIG",IFERROR(INDEX('Calculations'!$HF$13:$HF$512,MATCH('Calculations'!HS392,'Calculations'!$HE$13:$HE$512,0)),""))))</x:f>
      </x:c>
      <x:c r="HU392" t="str">
        <x:f>IF('Calculations'!HT392="","",IF('Calculations'!HT392="!AMBIG","!AMBIG",IF(COUNTIF('Calculations'!$HE$13:$HE$512,"="&amp;SUBSTITUTE(SUBSTITUTE(SUBSTITUTE('Calculations'!HT392,"~","~~"),"*","~*"),"?","~?"))&gt;1,"!AMBIG",IFERROR(INDEX('Calculations'!$HF$13:$HF$512,MATCH('Calculations'!HT392,'Calculations'!$HE$13:$HE$512,0)),""))))</x:f>
      </x:c>
      <x:c r="HV392" t="str">
        <x:f>IF('Calculations'!HU392="","",IF('Calculations'!HU392="!AMBIG","!AMBIG",IF(COUNTIF('Calculations'!$HE$13:$HE$512,"="&amp;SUBSTITUTE(SUBSTITUTE(SUBSTITUTE('Calculations'!HU392,"~","~~"),"*","~*"),"?","~?"))&gt;1,"!AMBIG",IFERROR(INDEX('Calculations'!$HF$13:$HF$512,MATCH('Calculations'!HU392,'Calculations'!$HE$13:$HE$512,0)),""))))</x:f>
      </x:c>
      <x:c r="HW392" t="str">
        <x:f>IF('Calculations'!HV392="","",IF('Calculations'!HV392="!AMBIG","!AMBIG",IF(COUNTIF('Calculations'!$HE$13:$HE$512,"="&amp;SUBSTITUTE(SUBSTITUTE(SUBSTITUTE('Calculations'!HV392,"~","~~"),"*","~*"),"?","~?"))&gt;1,"!AMBIG",IFERROR(INDEX('Calculations'!$HF$13:$HF$512,MATCH('Calculations'!HV392,'Calculations'!$HE$13:$HE$512,0)),""))))</x:f>
      </x:c>
      <x:c r="HX392" t="str">
        <x:f>IF('Calculations'!HW392="","",IF('Calculations'!HW392="!AMBIG","!AMBIG",IF(COUNTIF('Calculations'!$HE$13:$HE$512,"="&amp;SUBSTITUTE(SUBSTITUTE(SUBSTITUTE('Calculations'!HW392,"~","~~"),"*","~*"),"?","~?"))&gt;1,"!AMBIG",IFERROR(INDEX('Calculations'!$HF$13:$HF$512,MATCH('Calculations'!HW392,'Calculations'!$HE$13:$HE$512,0)),""))))</x:f>
      </x:c>
      <x:c r="HY392" t="str">
        <x:f>IF('Calculations'!HX392="","",IF('Calculations'!HX392="!AMBIG","!AMBIG",IF(COUNTIF('Calculations'!$HE$13:$HE$512,"="&amp;SUBSTITUTE(SUBSTITUTE(SUBSTITUTE('Calculations'!HX392,"~","~~"),"*","~*"),"?","~?"))&gt;1,"!AMBIG",IFERROR(INDEX('Calculations'!$HF$13:$HF$512,MATCH('Calculations'!HX392,'Calculations'!$HE$13:$HE$512,0)),""))))</x:f>
      </x:c>
      <x:c r="HZ392" t="str">
        <x:f>IF('Calculations'!HY392="","",IF('Calculations'!HY392="!AMBIG","!AMBIG",IF(COUNTIF('Calculations'!$HE$13:$HE$512,"="&amp;SUBSTITUTE(SUBSTITUTE(SUBSTITUTE('Calculations'!HY392,"~","~~"),"*","~*"),"?","~?"))&gt;1,"!AMBIG",IFERROR(INDEX('Calculations'!$HF$13:$HF$512,MATCH('Calculations'!HY392,'Calculations'!$HE$13:$HE$512,0)),""))))</x:f>
      </x:c>
      <x:c r="IA392" t="str">
        <x:f>IF('Calculations'!HZ392="","",IF('Calculations'!HZ392="!AMBIG","!AMBIG",IF(COUNTIF('Calculations'!$HE$13:$HE$512,"="&amp;SUBSTITUTE(SUBSTITUTE(SUBSTITUTE('Calculations'!HZ392,"~","~~"),"*","~*"),"?","~?"))&gt;1,"!AMBIG",IFERROR(INDEX('Calculations'!$HF$13:$HF$512,MATCH('Calculations'!HZ392,'Calculations'!$HE$13:$HE$512,0)),""))))</x:f>
      </x:c>
      <x:c r="IB392" t="str">
        <x:f>IF('Calculations'!IA392="","",IF('Calculations'!IA392="!AMBIG","!AMBIG",IF(COUNTIF('Calculations'!$HE$13:$HE$512,"="&amp;SUBSTITUTE(SUBSTITUTE(SUBSTITUTE('Calculations'!IA392,"~","~~"),"*","~*"),"?","~?"))&gt;1,"!AMBIG",IFERROR(INDEX('Calculations'!$HF$13:$HF$512,MATCH('Calculations'!IA392,'Calculations'!$HE$13:$HE$512,0)),""))))</x:f>
      </x:c>
      <x:c r="IC392" t="str">
        <x:f>IF('Calculations'!IB392="","",IF('Calculations'!IB392="!AMBIG","!AMBIG",IF(COUNTIF('Calculations'!$HE$13:$HE$512,"="&amp;SUBSTITUTE(SUBSTITUTE(SUBSTITUTE('Calculations'!IB392,"~","~~"),"*","~*"),"?","~?"))&gt;1,"!AMBIG",IFERROR(INDEX('Calculations'!$HF$13:$HF$512,MATCH('Calculations'!IB392,'Calculations'!$HE$13:$HE$512,0)),""))))</x:f>
      </x:c>
      <x:c r="ID392" t="str">
        <x:f>IF('Calculations'!IC392="","",IF('Calculations'!IC392="!AMBIG","!AMBIG",IF(COUNTIF('Calculations'!$HE$13:$HE$512,"="&amp;SUBSTITUTE(SUBSTITUTE(SUBSTITUTE('Calculations'!IC392,"~","~~"),"*","~*"),"?","~?"))&gt;1,"!AMBIG",IFERROR(INDEX('Calculations'!$HF$13:$HF$512,MATCH('Calculations'!IC392,'Calculations'!$HE$13:$HE$512,0)),""))))</x:f>
      </x:c>
      <x:c r="IE392" t="str">
        <x:f>IF('Calculations'!ID392="","",IF('Calculations'!ID392="!AMBIG","!AMBIG",IF(COUNTIF('Calculations'!$HE$13:$HE$512,"="&amp;SUBSTITUTE(SUBSTITUTE(SUBSTITUTE('Calculations'!ID392,"~","~~"),"*","~*"),"?","~?"))&gt;1,"!AMBIG",IFERROR(INDEX('Calculations'!$HF$13:$HF$512,MATCH('Calculations'!ID392,'Calculations'!$HE$13:$HE$512,0)),""))))</x:f>
      </x:c>
      <x:c r="IF392" t="str">
        <x:f>IF('Calculations'!IE392="","",IF('Calculations'!IE392="!AMBIG","!AMBIG",IF(COUNTIF('Calculations'!$HE$13:$HE$512,"="&amp;SUBSTITUTE(SUBSTITUTE(SUBSTITUTE('Calculations'!IE392,"~","~~"),"*","~*"),"?","~?"))&gt;1,"!AMBIG",IFERROR(INDEX('Calculations'!$HF$13:$HF$512,MATCH('Calculations'!IE392,'Calculations'!$HE$13:$HE$512,0)),""))))</x:f>
      </x:c>
      <x:c r="IG392" t="str">
        <x:f>IF('Calculations'!IF392="","",IF('Calculations'!IF392="!AMBIG","!AMBIG",IF(COUNTIF('Calculations'!$HE$13:$HE$512,"="&amp;SUBSTITUTE(SUBSTITUTE(SUBSTITUTE('Calculations'!IF392,"~","~~"),"*","~*"),"?","~?"))&gt;1,"!AMBIG",IFERROR(INDEX('Calculations'!$HF$13:$HF$512,MATCH('Calculations'!IF392,'Calculations'!$HE$13:$HE$512,0)),""))))</x:f>
      </x:c>
      <x:c r="IH392" t="str">
        <x:f>IF('Calculations'!IG392="","",IF('Calculations'!IG392="!AMBIG","!AMBIG",IF(COUNTIF('Calculations'!$HE$13:$HE$512,"="&amp;SUBSTITUTE(SUBSTITUTE(SUBSTITUTE('Calculations'!IG392,"~","~~"),"*","~*"),"?","~?"))&gt;1,"!AMBIG",IFERROR(INDEX('Calculations'!$HF$13:$HF$512,MATCH('Calculations'!IG392,'Calculations'!$HE$13:$HE$512,0)),""))))</x:f>
      </x:c>
      <x:c r="II392" t="str">
        <x:f>IF('Calculations'!IH392="","",IF('Calculations'!IH392="!AMBIG","!AMBIG",IF(COUNTIF('Calculations'!$HE$13:$HE$512,"="&amp;SUBSTITUTE(SUBSTITUTE(SUBSTITUTE('Calculations'!IH392,"~","~~"),"*","~*"),"?","~?"))&gt;1,"!AMBIG",IFERROR(INDEX('Calculations'!$HF$13:$HF$512,MATCH('Calculations'!IH392,'Calculations'!$HE$13:$HE$512,0)),""))))</x:f>
      </x:c>
      <x:c r="IJ392" t="str">
        <x:f>IF('Calculations'!EM392="","",IF('Calculations'!$EF$2="All",'Calculations'!HM392,IF('Calculations'!HL392=1,"",IFERROR(IF(MATCH('Calculations'!$EF$2,'Calculations'!HO392:II392,0)=1,'Calculations'!HE392,INDEX('Calculations'!HO392:II392,1,MATCH('Calculations'!$EF$2,'Calculations'!HO392:II392,0)-1)),""))))</x:f>
      </x:c>
      <x:c r="IK392" t="n">
        <x:f>IF(AND('Calculations'!EM392&lt;&gt;"",'Calculations'!$EF$2&lt;&gt;"All",'Calculations'!HF392='Calculations'!$EF$2,'Calculations'!HL392=0,'Calculations'!JD392&gt;0),MAX('Calculations'!$IK$12:IK391)+1,0)</x:f>
        <x:v>0</x:v>
      </x:c>
      <x:c r="JA392" t="n">
        <x:f>IF(OR(IFERROR(INDIRECT("'WCM Calibration Final'!$A$392")&lt;&gt;"",FALSE),IFERROR(INDIRECT("'WCM Calibration Final'!$B$392")&lt;&gt;"",FALSE),IFERROR(INDIRECT("'WCM Calibration Final'!$C$392")&lt;&gt;"",FALSE)),392,0)</x:f>
        <x:v>0</x:v>
      </x:c>
      <x:c r="JB392" t="n">
        <x:f>'Calculations'!JB391+IF('Calculations'!JA392&gt;0,1,0)</x:f>
        <x:v>0</x:v>
      </x:c>
      <x:c r="JC392" t="n">
        <x:f>IF(OR('Calculations'!HF392="",'Calculations'!HF392="!AMBIG"),0,IF('Dashboard'!$B$7="All",1,COUNTIFS('Calculations'!$HO$13:$HO$512,"="&amp;SUBSTITUTE(SUBSTITUTE(SUBSTITUTE('Calculations'!HF392,"~","~~"),"*","~*"),"?","~?"),'Calculations'!$HN$13:$HN$512,"="&amp;SUBSTITUTE(SUBSTITUTE(SUBSTITUTE('Dashboard'!$B$7,"~","~~"),"*","~*"),"?","~?"))+COUNTIFS('Calculations'!$HP$13:$HP$512,"="&amp;SUBSTITUTE(SUBSTITUTE(SUBSTITUTE('Calculations'!HF392,"~","~~"),"*","~*"),"?","~?"),'Calculations'!$HN$13:$HN$512,"="&amp;SUBSTITUTE(SUBSTITUTE(SUBSTITUTE('Dashboard'!$B$7,"~","~~"),"*","~*"),"?","~?"))+COUNTIFS('Calculations'!$HQ$13:$HQ$512,"="&amp;SUBSTITUTE(SUBSTITUTE(SUBSTITUTE('Calculations'!HF392,"~","~~"),"*","~*"),"?","~?"),'Calculations'!$HN$13:$HN$512,"="&amp;SUBSTITUTE(SUBSTITUTE(SUBSTITUTE('Dashboard'!$B$7,"~","~~"),"*","~*"),"?","~?"))+COUNTIFS('Calculations'!$HR$13:$HR$512,"="&amp;SUBSTITUTE(SUBSTITUTE(SUBSTITUTE('Calculations'!HF392,"~","~~"),"*","~*"),"?","~?"),'Calculations'!$HN$13:$HN$512,"="&amp;SUBSTITUTE(SUBSTITUTE(SUBSTITUTE('Dashboard'!$B$7,"~","~~"),"*","~*"),"?","~?"))+COUNTIFS('Calculations'!$HS$13:$HS$512,"="&amp;SUBSTITUTE(SUBSTITUTE(SUBSTITUTE('Calculations'!HF392,"~","~~"),"*","~*"),"?","~?"),'Calculations'!$HN$13:$HN$512,"="&amp;SUBSTITUTE(SUBSTITUTE(SUBSTITUTE('Dashboard'!$B$7,"~","~~"),"*","~*"),"?","~?"))+COUNTIFS('Calculations'!$HT$13:$HT$512,"="&amp;SUBSTITUTE(SUBSTITUTE(SUBSTITUTE('Calculations'!HF392,"~","~~"),"*","~*"),"?","~?"),'Calculations'!$HN$13:$HN$512,"="&amp;SUBSTITUTE(SUBSTITUTE(SUBSTITUTE('Dashboard'!$B$7,"~","~~"),"*","~*"),"?","~?"))+COUNTIFS('Calculations'!$HU$13:$HU$512,"="&amp;SUBSTITUTE(SUBSTITUTE(SUBSTITUTE('Calculations'!HF392,"~","~~"),"*","~*"),"?","~?"),'Calculations'!$HN$13:$HN$512,"="&amp;SUBSTITUTE(SUBSTITUTE(SUBSTITUTE('Dashboard'!$B$7,"~","~~"),"*","~*"),"?","~?"))+COUNTIFS('Calculations'!$HV$13:$HV$512,"="&amp;SUBSTITUTE(SUBSTITUTE(SUBSTITUTE('Calculations'!HF392,"~","~~"),"*","~*"),"?","~?"),'Calculations'!$HN$13:$HN$512,"="&amp;SUBSTITUTE(SUBSTITUTE(SUBSTITUTE('Dashboard'!$B$7,"~","~~"),"*","~*"),"?","~?"))+COUNTIFS('Calculations'!$HW$13:$HW$512,"="&amp;SUBSTITUTE(SUBSTITUTE(SUBSTITUTE('Calculations'!HF392,"~","~~"),"*","~*"),"?","~?"),'Calculations'!$HN$13:$HN$512,"="&amp;SUBSTITUTE(SUBSTITUTE(SUBSTITUTE('Dashboard'!$B$7,"~","~~"),"*","~*"),"?","~?"))+COUNTIFS('Calculations'!$HX$13:$HX$512,"="&amp;SUBSTITUTE(SUBSTITUTE(SUBSTITUTE('Calculations'!HF392,"~","~~"),"*","~*"),"?","~?"),'Calculations'!$HN$13:$HN$512,"="&amp;SUBSTITUTE(SUBSTITUTE(SUBSTITUTE('Dashboard'!$B$7,"~","~~"),"*","~*"),"?","~?"))+COUNTIFS('Calculations'!$HY$13:$HY$512,"="&amp;SUBSTITUTE(SUBSTITUTE(SUBSTITUTE('Calculations'!HF392,"~","~~"),"*","~*"),"?","~?"),'Calculations'!$HN$13:$HN$512,"="&amp;SUBSTITUTE(SUBSTITUTE(SUBSTITUTE('Dashboard'!$B$7,"~","~~"),"*","~*"),"?","~?"))+COUNTIFS('Calculations'!$HZ$13:$HZ$512,"="&amp;SUBSTITUTE(SUBSTITUTE(SUBSTITUTE('Calculations'!HF392,"~","~~"),"*","~*"),"?","~?"),'Calculations'!$HN$13:$HN$512,"="&amp;SUBSTITUTE(SUBSTITUTE(SUBSTITUTE('Dashboard'!$B$7,"~","~~"),"*","~*"),"?","~?"))+COUNTIFS('Calculations'!$IA$13:$IA$512,"="&amp;SUBSTITUTE(SUBSTITUTE(SUBSTITUTE('Calculations'!HF392,"~","~~"),"*","~*"),"?","~?"),'Calculations'!$HN$13:$HN$512,"="&amp;SUBSTITUTE(SUBSTITUTE(SUBSTITUTE('Dashboard'!$B$7,"~","~~"),"*","~*"),"?","~?"))+COUNTIFS('Calculations'!$IB$13:$IB$512,"="&amp;SUBSTITUTE(SUBSTITUTE(SUBSTITUTE('Calculations'!HF392,"~","~~"),"*","~*"),"?","~?"),'Calculations'!$HN$13:$HN$512,"="&amp;SUBSTITUTE(SUBSTITUTE(SUBSTITUTE('Dashboard'!$B$7,"~","~~"),"*","~*"),"?","~?"))+COUNTIFS('Calculations'!$IC$13:$IC$512,"="&amp;SUBSTITUTE(SUBSTITUTE(SUBSTITUTE('Calculations'!HF392,"~","~~"),"*","~*"),"?","~?"),'Calculations'!$HN$13:$HN$512,"="&amp;SUBSTITUTE(SUBSTITUTE(SUBSTITUTE('Dashboard'!$B$7,"~","~~"),"*","~*"),"?","~?"))+COUNTIFS('Calculations'!$ID$13:$ID$512,"="&amp;SUBSTITUTE(SUBSTITUTE(SUBSTITUTE('Calculations'!HF392,"~","~~"),"*","~*"),"?","~?"),'Calculations'!$HN$13:$HN$512,"="&amp;SUBSTITUTE(SUBSTITUTE(SUBSTITUTE('Dashboard'!$B$7,"~","~~"),"*","~*"),"?","~?"))+COUNTIFS('Calculations'!$IE$13:$IE$512,"="&amp;SUBSTITUTE(SUBSTITUTE(SUBSTITUTE('Calculations'!HF392,"~","~~"),"*","~*"),"?","~?"),'Calculations'!$HN$13:$HN$512,"="&amp;SUBSTITUTE(SUBSTITUTE(SUBSTITUTE('Dashboard'!$B$7,"~","~~"),"*","~*"),"?","~?"))+COUNTIFS('Calculations'!$IF$13:$IF$512,"="&amp;SUBSTITUTE(SUBSTITUTE(SUBSTITUTE('Calculations'!HF392,"~","~~"),"*","~*"),"?","~?"),'Calculations'!$HN$13:$HN$512,"="&amp;SUBSTITUTE(SUBSTITUTE(SUBSTITUTE('Dashboard'!$B$7,"~","~~"),"*","~*"),"?","~?"))+COUNTIFS('Calculations'!$IG$13:$IG$512,"="&amp;SUBSTITUTE(SUBSTITUTE(SUBSTITUTE('Calculations'!HF392,"~","~~"),"*","~*"),"?","~?"),'Calculations'!$HN$13:$HN$512,"="&amp;SUBSTITUTE(SUBSTITUTE(SUBSTITUTE('Dashboard'!$B$7,"~","~~"),"*","~*"),"?","~?"))+COUNTIFS('Calculations'!$IH$13:$IH$512,"="&amp;SUBSTITUTE(SUBSTITUTE(SUBSTITUTE('Calculations'!HF392,"~","~~"),"*","~*"),"?","~?"),'Calculations'!$HN$13:$HN$512,"="&amp;SUBSTITUTE(SUBSTITUTE(SUBSTITUTE('Dashboard'!$B$7,"~","~~"),"*","~*"),"?","~?"))))</x:f>
        <x:v>0</x:v>
      </x:c>
      <x:c r="JD392" t="n">
        <x:f>IF('Calculations'!EM392="",0,IF('Dashboard'!$B$7="All",1,IF('Calculations'!HN392='Dashboard'!$B$7,1,0)+IFERROR(INDEX('Calculations'!$JC$13:$JC$512,MATCH('Calculations'!HE392,'Calculations'!$HF$13:$HF$512,0)),0)))</x:f>
        <x:v>0</x:v>
      </x:c>
      <x:c r="JE392" t="n">
        <x:f>IF(AND('Calculations'!EM392&lt;&gt;"",'Calculations'!$JJ$2&lt;&gt;"All",'Calculations'!$JJ$2&lt;&gt;"",'Calculations'!HF392='Calculations'!$JJ$2,'Calculations'!HL392=0,'Calculations'!JD392&gt;0),MAX('Calculations'!$JE$12:JE391)+1,0)</x:f>
        <x:v>0</x:v>
      </x:c>
      <x:c r="JF392" t="str">
        <x:f>IF('Calculations'!EM392="","",IFERROR(IF(INDEX(INDIRECT("'WCM Calibration Final'!$G$1:$G$2000"),'Calculations'!$EM392)="","",TRIM(INDEX(INDIRECT("'WCM Calibration Final'!$G$1:$G$2000"),'Calculations'!$EM392)&amp;"")),""))</x:f>
      </x:c>
      <x:c r="JQ392" t="n">
        <x:f>IF(OR('Calculations'!BM392=0,NOT('Calculations'!$AG$2),'Calculations'!$AG$8&gt;0),0,IF(OR('Dashboard'!$B$7="All",'Calculations'!HN392='Dashboard'!$B$7),IF('Calculations'!$JJ$2="All",1,IF(AND('Calculations'!HF392='Calculations'!$JJ$2,'Calculations'!HL392=0),1,0)),0))</x:f>
        <x:v>0</x:v>
      </x:c>
    </x:row>
    <x:row r="393">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t="n">
        <x:f>IF('Calculations'!$EM393="",0,IF(OR(IFERROR(INDEX(INDIRECT("'WCM Calibration Final'!$A$1:$A$2000"),'Calculations'!$EM393)&lt;&gt;"",FALSE),IFERROR(INDEX(INDIRECT("'WCM Calibration Final'!$B$1:$B$2000"),'Calculations'!$EM393)&lt;&gt;"",FALSE),IFERROR(INDEX(INDIRECT("'WCM Calibration Final'!$C$1:$C$2000"),'Calculations'!$EM393)&lt;&gt;"",FALSE)),1,0))</x:f>
        <x:v>0</x:v>
      </x:c>
      <x:c r="BN393" s="4" t="n">
        <x:f>IF(AND('Calculations'!BM393=1,'Calculations'!$AG$2,'Calculations'!$EN393=1),1,0)</x:f>
        <x:v>0</x:v>
      </x:c>
      <x:c r="BO393" s="4" t="str">
        <x:f>IF('Calculations'!BM393=0,"",IFERROR(IF(AND(VALUE(INDEX(INDIRECT("'WCM Calibration Final'!$K$1:$K$2000"),'Calculations'!$EM393))&gt;=1,VALUE(INDEX(INDIRECT("'WCM Calibration Final'!$K$1:$K$2000"),'Calculations'!$EM393))&lt;=4,MOD(VALUE(INDEX(INDIRECT("'WCM Calibration Final'!$K$1:$K$2000"),'Calculations'!$EM393)),1)=0),VALUE(INDEX(INDIRECT("'WCM Calibration Final'!$K$1:$K$2000"),'Calculations'!$EM393)),""),""))</x:f>
      </x:c>
      <x:c r="BP393" s="4" t="str">
        <x:f>IF('Calculations'!BM393=0,"",IFERROR(IF(AND(VALUE(INDEX(INDIRECT("'WCM Calibration Final'!$L$1:$L$2000"),'Calculations'!$EM393))&gt;=1,VALUE(INDEX(INDIRECT("'WCM Calibration Final'!$L$1:$L$2000"),'Calculations'!$EM393))&lt;=4,MOD(VALUE(INDEX(INDIRECT("'WCM Calibration Final'!$L$1:$L$2000"),'Calculations'!$EM393)),1)=0),VALUE(INDEX(INDIRECT("'WCM Calibration Final'!$L$1:$L$2000"),'Calculations'!$EM393)),""),""))</x:f>
      </x:c>
      <x:c r="BQ393" s="4"/>
      <x:c r="BR393" s="4"/>
      <x:c r="BS393" s="4"/>
      <x:c r="BT393" s="4" t="n">
        <x:f>IF(AND('Calculations'!BM393=1,ISNUMBER('Calculations'!BO393),ISNUMBER('Calculations'!BP393)),1,0)</x:f>
        <x:v>0</x:v>
      </x:c>
      <x:c r="BU393" s="4" t="str">
        <x:f>IF('Calculations'!BM393=0,"",'Calculations'!$EO393)</x:f>
      </x:c>
      <x:c r="BV393" s="4" t="str">
        <x:f>IF('Calculations'!BM393=0,"",IFERROR(IF(OR(INDEX(INDIRECT("'WCM Calibration Final'!$H$1:$H$2000"),'Calculations'!$EM393)="MANAGING DIRECTOR",INDEX(INDIRECT("'WCM Calibration Final'!$H$1:$H$2000"),'Calculations'!$EM393)="DIRECTOR",INDEX(INDIRECT("'WCM Calibration Final'!$H$1:$H$2000"),'Calculations'!$EM393)="SENIOR VICE PRESIDENT",INDEX(INDIRECT("'WCM Calibration Final'!$H$1:$H$2000"),'Calculations'!$EM393)="VICE PRESIDENT",INDEX(INDIRECT("'WCM Calibration Final'!$H$1:$H$2000"),'Calculations'!$EM393)="ASSISTANT VICE PRESIDENT",INDEX(INDIRECT("'WCM Calibration Final'!$H$1:$H$2000"),'Calculations'!$EM393)="OFFICER"),UPPER(INDEX(INDIRECT("'WCM Calibration Final'!$H$1:$H$2000"),'Calculations'!$EM393)),"Other"),"Other"))</x:f>
      </x:c>
      <x:c r="BW393" s="4"/>
      <x:c r="BX393" s="4"/>
      <x:c r="BY393" s="4" t="n">
        <x:f>IF(AND('Calculations'!BM393=1,'Calculations'!BU393&lt;&gt;"",COUNTIF('Calculations'!$BU$12:BU393,'Calculations'!BU393)=1),MAX('Calculations'!$BY$11:BY392)+1,0)</x:f>
        <x:v>0</x:v>
      </x:c>
      <x:c r="BZ393" s="4" t="str">
        <x:f>IF('Dashboard'!$E$67="What",'Calculations'!BO393,'Calculations'!BP393)</x:f>
      </x:c>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t="str">
        <x:f>IF(382&gt;MAX('Calculations'!$HI$13:$HI$512),"",INDEX('Calculations'!$HN$13:$HN$512,MATCH(382,'Calculations'!$HI$13:$HI$512,0)))</x:f>
      </x:c>
      <x:c r="DB393" s="4" t="str">
        <x:f>IF(382&gt;MAX('Calculations'!$HH$13:$HH$512),"",INDEX('Calculations'!$HJ$13:$HJ$512,MATCH(382,'Calculations'!$HH$13:$HH$512,0)))</x:f>
      </x:c>
      <x:c r="DC393" s="4" t="str">
        <x:f>IF(ROW()-11&gt;MAX('Calculations'!$BY$13:$BY$512),"",INDEX('Calculations'!$BU$13:$BU$512,MATCH(ROW()-11,'Calculations'!$BY$13:$BY$512,0)))</x:f>
      </x:c>
      <x:c r="DD393" s="4" t="str">
        <x:f>IF(382&gt;MAX('Calculations'!$IK$13:$IK$512),"",INDEX('Calculations'!$HK$13:$HK$512,MATCH(382,'Calculations'!$IK$13:$IK$512,0)))</x:f>
      </x:c>
      <x:c r="DE393" s="4" t="str">
        <x:f>'Calculations'!DC393</x:f>
      </x:c>
      <x:c r="DF393" s="4" t="str">
        <x:f>IF('Calculations'!DE393="","",COUNTIFS('Calculations'!$BN$13:$BN$512,1,'Calculations'!$BU$13:$BU$512,'Calculations'!DE393))</x:f>
      </x:c>
      <x:c r="DG393" s="4" t="str">
        <x:f>IF('Calculations'!DE393="","",COUNTIFS('Calculations'!$BN$13:$BN$512,1,'Calculations'!$BU$13:$BU$512,'Calculations'!DE393,'Calculations'!$BT$13:$BT$512,1))</x:f>
      </x:c>
      <x:c r="DH393" s="4" t="str">
        <x:f>IF('Calculations'!DE393="","",'Calculations'!DF393-'Calculations'!DG393)</x:f>
      </x:c>
      <x:c r="DI393" s="4" t="str">
        <x:f>IF(OR('Calculations'!DE393="",'Calculations'!DF393=0),"",'Calculations'!DG393/'Calculations'!DF393)</x:f>
      </x:c>
      <x:c r="DJ393" s="4" t="str">
        <x:f>IF('Calculations'!DE393="","",COUNTIFS('Calculations'!$BN$13:$BN$512,1,'Calculations'!$BU$13:$BU$512,'Calculations'!DE393,'Calculations'!$BT$13:$BT$512,1,'Calculations'!$EE$13:$EE$512,"High"))</x:f>
      </x:c>
      <x:c r="DK393" s="4" t="str">
        <x:f>IF('Calculations'!DE393="","",COUNTIFS('Calculations'!$BN$13:$BN$512,1,'Calculations'!$BU$13:$BU$512,'Calculations'!DE393,'Calculations'!$BT$13:$BT$512,1,'Calculations'!$EE$13:$EE$512,"Strong"))</x:f>
      </x:c>
      <x:c r="DL393" s="4" t="str">
        <x:f>IF('Calculations'!DE393="","",COUNTIFS('Calculations'!$BN$13:$BN$512,1,'Calculations'!$BU$13:$BU$512,'Calculations'!DE393,'Calculations'!$BT$13:$BT$512,1,'Calculations'!$EE$13:$EE$512,"Solid"))</x:f>
      </x:c>
      <x:c r="DM393" s="4" t="str">
        <x:f>IF('Calculations'!DE393="","",COUNTIFS('Calculations'!$BN$13:$BN$512,1,'Calculations'!$BU$13:$BU$512,'Calculations'!DE393,'Calculations'!$BT$13:$BT$512,1,'Calculations'!$EE$13:$EE$512,"Low"))</x:f>
      </x:c>
      <x:c r="DN393" s="4" t="str">
        <x:f>IF('Calculations'!DE393="","",COUNTIFS('Calculations'!$BN$13:$BN$512,1,'Calculations'!$BU$13:$BU$512,'Calculations'!DE393,'Calculations'!$EP$13:$EP$512,1))</x:f>
      </x:c>
      <x:c r="DO393" s="4" t="str">
        <x:f>IF(OR('Calculations'!DE393="",'Calculations'!DG393=0),"",('Calculations'!DJ393+'Calculations'!DK393)/'Calculations'!DG393)</x:f>
      </x:c>
      <x:c r="DP393" s="4" t="n">
        <x:f>IF(AND('Calculations'!DE393&lt;&gt;"",'Calculations'!DF393&gt;0),COUNTIF('Calculations'!$DF$12:DF393,"&gt;0"),0)</x:f>
        <x:v>0</x:v>
      </x:c>
      <x:c r="DQ393" s="4" t="str">
        <x:f>IF(382&gt;MAX('Calculations'!$HH$13:$HH$512),"",INDEX('Calculations'!$HF$13:$HF$512,MATCH(382,'Calculations'!$HH$13:$HH$512,0)))</x:f>
      </x:c>
      <x:c r="DR393" s="4" t="str">
        <x:f>IF(382&gt;MAX('Calculations'!$IK$13:$IK$512),"",INDEX('Calculations'!$HE$13:$HE$512,MATCH(382,'Calculations'!$IK$13:$IK$512,0)))</x:f>
      </x:c>
      <x:c r="DS393" s="4"/>
      <x:c r="DT393" s="4"/>
      <x:c r="DU393" s="4"/>
      <x:c r="DV393" s="4"/>
      <x:c r="DW393" s="4"/>
      <x:c r="DX393" s="4"/>
      <x:c r="DY393" s="4"/>
      <x:c r="DZ393" s="4"/>
      <x:c r="EA393" s="4"/>
      <x:c r="EB393" s="4"/>
      <x:c r="EC393" s="4"/>
      <x:c r="ED393" s="4"/>
      <x:c r="EE393" s="4" t="str">
        <x:f>IF('Calculations'!BT393=0,"Not Rated",IF(OR('Calculations'!BO393&gt;=4,'Calculations'!BP393&gt;=4),"Low",IF('Calculations'!BO393+'Calculations'!BP393&lt;=3,"High",IF('Calculations'!BO393+'Calculations'!BP393&lt;=4,"Strong","Solid"))))</x:f>
        <x:v>Not Rated</x:v>
      </x:c>
      <x:c r="EF393" s="4"/>
      <x:c r="EG393" s="4"/>
      <x:c r="EH393" s="4"/>
      <x:c r="EI393" s="4"/>
      <x:c r="EJ393" s="4"/>
      <x:c r="EK393" s="4"/>
      <x:c r="EL393" s="4"/>
      <x:c r="EM393" s="4" t="str">
        <x:f>IF(381&gt;'Calculations'!$JB$2000,"",INDEX('Calculations'!$JA$12:$JA$2000,MATCH(381,'Calculations'!$JB$12:$JB$2000,0)))</x:f>
      </x:c>
      <x:c r="EN393" s="4" t="n">
        <x:f>IF(OR('Calculations'!EM393="",'Calculations'!$AG$8&gt;0,AND('Calculations'!$EF$2&lt;&gt;"All",'Calculations'!HE393='Calculations'!$EF$2),AND('Calculations'!$EF$3&lt;&gt;"All",'Calculations'!HE393='Calculations'!$EF$3)),0,IF(OR('Dashboard'!$B$7="All",'Calculations'!HN393='Dashboard'!$B$7),IF('Calculations'!$EF$2="All",1,IF('Calculations'!HL393&gt;0,0,IF(COUNTIF('Calculations'!HO393:II393,"="&amp;SUBSTITUTE(SUBSTITUTE(SUBSTITUTE('Calculations'!$EF$2,"~","~~"),"*","~*"),"?","~?"))=0,0,IF('Calculations'!$EF$3="All",1,IF(COUNTIF('Calculations'!HO393:II393,"="&amp;SUBSTITUTE(SUBSTITUTE(SUBSTITUTE('Calculations'!$EF$3,"~","~~"),"*","~*"),"?","~?"))&gt;0,1,0))))),0))</x:f>
        <x:v>0</x:v>
      </x:c>
      <x:c r="EO393" s="4" t="str">
        <x:f>IF('Calculations'!IJ393="","",IF('Calculations'!IJ393="!UNRESOLVED","Unresolved hierarchy",IFERROR(INDEX('Calculations'!$HK$13:$HK$512,MATCH('Calculations'!IJ393,'Calculations'!$HE$13:$HE$512,0)),IFERROR(INDEX('Calculations'!$HJ$13:$HJ$512,MATCH('Calculations'!IJ393,'Calculations'!$HF$13:$HF$512,0)),'Calculations'!IJ393))))</x:f>
      </x:c>
      <x:c r="EP393" s="4" t="n">
        <x:f>IF(AND('Calculations'!EM393&lt;&gt;"",'Calculations'!HF393='Calculations'!IJ393),1,0)</x:f>
        <x:v>0</x:v>
      </x:c>
      <x:c r="EQ393" s="4"/>
      <x:c r="ER393" s="4"/>
      <x:c r="ES393" s="4"/>
      <x:c r="ET393" s="4"/>
      <x:c r="EU393" s="4"/>
      <x:c r="EV393" s="4"/>
      <x:c r="EW393" s="4"/>
      <x:c r="EX393" s="4"/>
      <x:c r="EY393" s="4"/>
      <x:c r="EZ393" s="4"/>
      <x:c r="FA393" s="4"/>
      <x:c r="FB393" s="4"/>
      <x:c r="FC393" s="4"/>
      <x:c r="FD393" s="4"/>
      <x:c r="FE393" s="4"/>
      <x:c r="FF393" s="4"/>
      <x:c r="FG393" s="4"/>
      <x:c r="FH393" s="4"/>
      <x:c r="FI393" s="4"/>
      <x:c r="FJ393" s="4"/>
      <x:c r="FK393" s="4"/>
      <x:c r="FL393" s="4"/>
      <x:c r="FM393" s="4"/>
      <x:c r="FN393" s="4"/>
      <x:c r="FO393" s="4"/>
      <x:c r="HE393" t="str">
        <x:f>IF('Calculations'!EM393="","",IF(IFERROR(IF(INDEX(INDIRECT("'WCM Calibration Final'!$A$1:$A$2000"),'Calculations'!$EM393)="","",TRIM(INDEX(INDIRECT("'WCM Calibration Final'!$A$1:$A$2000"),'Calculations'!$EM393)&amp;"")),"")&lt;&gt;"","G:"&amp;IFERROR(TEXT(1*INDEX(INDIRECT("'WCM Calibration Final'!$A$1:$A$2000"),'Calculations'!$EM393),"0"),UPPER(IFERROR(IF(INDEX(INDIRECT("'WCM Calibration Final'!$A$1:$A$2000"),'Calculations'!$EM393)="","",TRIM(INDEX(INDIRECT("'WCM Calibration Final'!$A$1:$A$2000"),'Calculations'!$EM393)&amp;"")),""))),IF(IFERROR(IF(INDEX(INDIRECT("'WCM Calibration Final'!$C$1:$C$2000"),'Calculations'!$EM393)="","",TRIM(INDEX(INDIRECT("'WCM Calibration Final'!$C$1:$C$2000"),'Calculations'!$EM393)&amp;"")),"")&lt;&gt;"","S:"&amp;UPPER(IFERROR(IF(INDEX(INDIRECT("'WCM Calibration Final'!$C$1:$C$2000"),'Calculations'!$EM393)="","",TRIM(INDEX(INDIRECT("'WCM Calibration Final'!$C$1:$C$2000"),'Calculations'!$EM393)&amp;"")),"")),"R:"&amp;'Calculations'!EM393)))</x:f>
      </x:c>
      <x:c r="HF393" t="str">
        <x:f>IF('Calculations'!EM393="","",IF(IFERROR(IF(INDEX(INDIRECT("'WCM Calibration Final'!$D$1:$D$2000"),'Calculations'!$EM393)="","",TRIM(INDEX(INDIRECT("'WCM Calibration Final'!$D$1:$D$2000"),'Calculations'!$EM393)&amp;"")),"")&lt;&gt;"","G:"&amp;IFERROR(TEXT(1*INDEX(INDIRECT("'WCM Calibration Final'!$D$1:$D$2000"),'Calculations'!$EM393),"0"),UPPER(IFERROR(IF(INDEX(INDIRECT("'WCM Calibration Final'!$D$1:$D$2000"),'Calculations'!$EM393)="","",TRIM(INDEX(INDIRECT("'WCM Calibration Final'!$D$1:$D$2000"),'Calculations'!$EM393)&amp;"")),""))),IF(IFERROR(IF(INDEX(INDIRECT("'WCM Calibration Final'!$E$1:$E$2000"),'Calculations'!$EM393)="","",TRIM(INDEX(INDIRECT("'WCM Calibration Final'!$E$1:$E$2000"),'Calculations'!$EM393)&amp;"")),"")="","",IF(COUNTIF('Calculations'!$HG$13:$HG$512,"="&amp;SUBSTITUTE(SUBSTITUTE(SUBSTITUTE(IFERROR(IF(INDEX(INDIRECT("'WCM Calibration Final'!$E$1:$E$2000"),'Calculations'!$EM393)="","",TRIM(INDEX(INDIRECT("'WCM Calibration Final'!$E$1:$E$2000"),'Calculations'!$EM393)&amp;"")),""),"~","~~"),"*","~*"),"?","~?"))=1,INDEX('Calculations'!$HE$13:$HE$512,MATCH(IFERROR(IF(INDEX(INDIRECT("'WCM Calibration Final'!$E$1:$E$2000"),'Calculations'!$EM393)="","",TRIM(INDEX(INDIRECT("'WCM Calibration Final'!$E$1:$E$2000"),'Calculations'!$EM393)&amp;"")),""),'Calculations'!$HG$13:$HG$512,0)),IF(COUNTIF('Calculations'!$HG$13:$HG$512,"="&amp;SUBSTITUTE(SUBSTITUTE(SUBSTITUTE(IFERROR(IF(INDEX(INDIRECT("'WCM Calibration Final'!$E$1:$E$2000"),'Calculations'!$EM393)="","",TRIM(INDEX(INDIRECT("'WCM Calibration Final'!$E$1:$E$2000"),'Calculations'!$EM393)&amp;"")),""),"~","~~"),"*","~*"),"?","~?"))&gt;1,"!AMBIG","X:"&amp;IFERROR(IF(INDEX(INDIRECT("'WCM Calibration Final'!$E$1:$E$2000"),'Calculations'!$EM393)="","",TRIM(INDEX(INDIRECT("'WCM Calibration Final'!$E$1:$E$2000"),'Calculations'!$EM393)&amp;"")),""))))))</x:f>
      </x:c>
      <x:c r="HG393" t="str">
        <x:f>IF('Calculations'!EM393="","",IFERROR(IF(INDEX(INDIRECT("'WCM Calibration Final'!$B$1:$B$2000"),'Calculations'!$EM393)="","",TRIM(INDEX(INDIRECT("'WCM Calibration Final'!$B$1:$B$2000"),'Calculations'!$EM393)&amp;"")),""))</x:f>
      </x:c>
      <x:c r="HH393" t="n">
        <x:f>IF(AND('Calculations'!JC393&gt;0,COUNTIF('Calculations'!$HF$12:HF393,"="&amp;SUBSTITUTE(SUBSTITUTE(SUBSTITUTE('Calculations'!HF393,"~","~~"),"*","~*"),"?","~?"))=1),MAX('Calculations'!$HH$12:HH392)+1,0)</x:f>
        <x:v>0</x:v>
      </x:c>
      <x:c r="HI393" t="n">
        <x:f>IF(AND('Calculations'!HN393&lt;&gt;"",COUNTIF('Calculations'!$HN$12:HN393,"="&amp;SUBSTITUTE(SUBSTITUTE(SUBSTITUTE('Calculations'!HN393,"~","~~"),"*","~*"),"?","~?"))=1),MAX('Calculations'!$HI$12:HI392)+1,0)</x:f>
        <x:v>0</x:v>
      </x:c>
      <x:c r="HJ393" t="str">
        <x:f>IF('Calculations'!HF393="","",IF(COUNTIF('Calculations'!$HE$13:$HE$512,"="&amp;SUBSTITUTE(SUBSTITUTE(SUBSTITUTE('Calculations'!HF393,"~","~~"),"*","~*"),"?","~?"))=1,INDEX('Calculations'!$HK$13:$HK$512,MATCH('Calculations'!HF393,'Calculations'!$HE$13:$HE$512,0)),IFERROR(IF(INDEX(INDIRECT("'WCM Calibration Final'!$E$1:$E$2000"),'Calculations'!$EM393)="","",TRIM(INDEX(INDIRECT("'WCM Calibration Final'!$E$1:$E$2000"),'Calculations'!$EM393)&amp;"")),"")&amp;" ["&amp;'Calculations'!HF393&amp;"]"))</x:f>
      </x:c>
      <x:c r="HK393" t="str">
        <x:f>IF('Calculations'!EM393="","",'Calculations'!HG393&amp;" ["&amp;'Calculations'!HE393&amp;"]")</x:f>
      </x:c>
      <x:c r="HL393" t="n">
        <x:f>IF('Calculations'!EM393="",0,IF(OR('Calculations'!II393&lt;&gt;"",COUNTIF('Calculations'!$HE$13:$HE$512,"="&amp;SUBSTITUTE(SUBSTITUTE(SUBSTITUTE('Calculations'!HE393,"~","~~"),"*","~*"),"?","~?"))&gt;1),1,0))</x:f>
        <x:v>0</x:v>
      </x:c>
      <x:c r="HM393" t="str">
        <x:f>IF('Calculations'!EM393="","",IF('Calculations'!HL393=1,"!UNRESOLVED",IF('Calculations'!IH393&lt;&gt;"",'Calculations'!IH393,IF('Calculations'!IG393&lt;&gt;"",'Calculations'!IG393,IF('Calculations'!IF393&lt;&gt;"",'Calculations'!IF393,IF('Calculations'!IE393&lt;&gt;"",'Calculations'!IE393,IF('Calculations'!ID393&lt;&gt;"",'Calculations'!ID393,IF('Calculations'!IC393&lt;&gt;"",'Calculations'!IC393,IF('Calculations'!IB393&lt;&gt;"",'Calculations'!IB393,IF('Calculations'!IA393&lt;&gt;"",'Calculations'!IA393,IF('Calculations'!HZ393&lt;&gt;"",'Calculations'!HZ393,IF('Calculations'!HY393&lt;&gt;"",'Calculations'!HY393,IF('Calculations'!HX393&lt;&gt;"",'Calculations'!HX393,IF('Calculations'!HW393&lt;&gt;"",'Calculations'!HW393,IF('Calculations'!HV393&lt;&gt;"",'Calculations'!HV393,IF('Calculations'!HU393&lt;&gt;"",'Calculations'!HU393,IF('Calculations'!HT393&lt;&gt;"",'Calculations'!HT393,IF('Calculations'!HS393&lt;&gt;"",'Calculations'!HS393,IF('Calculations'!HR393&lt;&gt;"",'Calculations'!HR393,IF('Calculations'!HQ393&lt;&gt;"",'Calculations'!HQ393,IF('Calculations'!HP393&lt;&gt;"",'Calculations'!HP393,IF('Calculations'!HO393&lt;&gt;"",'Calculations'!HO393,'Calculations'!HE393))))))))))))))))))))))</x:f>
      </x:c>
      <x:c r="HN393" t="str">
        <x:f>IF('Calculations'!EM393="","",IF(IFERROR(IF(INDEX(INDIRECT("'WCM Calibration Final'!$F$1:$F$2000"),'Calculations'!$EM393)="","",TRIM(INDEX(INDIRECT("'WCM Calibration Final'!$F$1:$F$2000"),'Calculations'!$EM393)&amp;"")),"")="","(Blank)",IFERROR(IF(INDEX(INDIRECT("'WCM Calibration Final'!$F$1:$F$2000"),'Calculations'!$EM393)="","",TRIM(INDEX(INDIRECT("'WCM Calibration Final'!$F$1:$F$2000"),'Calculations'!$EM393)&amp;"")),"")))</x:f>
      </x:c>
      <x:c r="HO393" t="str">
        <x:f>'Calculations'!HF393</x:f>
      </x:c>
      <x:c r="HP393" t="str">
        <x:f>IF('Calculations'!HO393="","",IF('Calculations'!HO393="!AMBIG","!AMBIG",IF(COUNTIF('Calculations'!$HE$13:$HE$512,"="&amp;SUBSTITUTE(SUBSTITUTE(SUBSTITUTE('Calculations'!HO393,"~","~~"),"*","~*"),"?","~?"))&gt;1,"!AMBIG",IFERROR(INDEX('Calculations'!$HF$13:$HF$512,MATCH('Calculations'!HO393,'Calculations'!$HE$13:$HE$512,0)),""))))</x:f>
      </x:c>
      <x:c r="HQ393" t="str">
        <x:f>IF('Calculations'!HP393="","",IF('Calculations'!HP393="!AMBIG","!AMBIG",IF(COUNTIF('Calculations'!$HE$13:$HE$512,"="&amp;SUBSTITUTE(SUBSTITUTE(SUBSTITUTE('Calculations'!HP393,"~","~~"),"*","~*"),"?","~?"))&gt;1,"!AMBIG",IFERROR(INDEX('Calculations'!$HF$13:$HF$512,MATCH('Calculations'!HP393,'Calculations'!$HE$13:$HE$512,0)),""))))</x:f>
      </x:c>
      <x:c r="HR393" t="str">
        <x:f>IF('Calculations'!HQ393="","",IF('Calculations'!HQ393="!AMBIG","!AMBIG",IF(COUNTIF('Calculations'!$HE$13:$HE$512,"="&amp;SUBSTITUTE(SUBSTITUTE(SUBSTITUTE('Calculations'!HQ393,"~","~~"),"*","~*"),"?","~?"))&gt;1,"!AMBIG",IFERROR(INDEX('Calculations'!$HF$13:$HF$512,MATCH('Calculations'!HQ393,'Calculations'!$HE$13:$HE$512,0)),""))))</x:f>
      </x:c>
      <x:c r="HS393" t="str">
        <x:f>IF('Calculations'!HR393="","",IF('Calculations'!HR393="!AMBIG","!AMBIG",IF(COUNTIF('Calculations'!$HE$13:$HE$512,"="&amp;SUBSTITUTE(SUBSTITUTE(SUBSTITUTE('Calculations'!HR393,"~","~~"),"*","~*"),"?","~?"))&gt;1,"!AMBIG",IFERROR(INDEX('Calculations'!$HF$13:$HF$512,MATCH('Calculations'!HR393,'Calculations'!$HE$13:$HE$512,0)),""))))</x:f>
      </x:c>
      <x:c r="HT393" t="str">
        <x:f>IF('Calculations'!HS393="","",IF('Calculations'!HS393="!AMBIG","!AMBIG",IF(COUNTIF('Calculations'!$HE$13:$HE$512,"="&amp;SUBSTITUTE(SUBSTITUTE(SUBSTITUTE('Calculations'!HS393,"~","~~"),"*","~*"),"?","~?"))&gt;1,"!AMBIG",IFERROR(INDEX('Calculations'!$HF$13:$HF$512,MATCH('Calculations'!HS393,'Calculations'!$HE$13:$HE$512,0)),""))))</x:f>
      </x:c>
      <x:c r="HU393" t="str">
        <x:f>IF('Calculations'!HT393="","",IF('Calculations'!HT393="!AMBIG","!AMBIG",IF(COUNTIF('Calculations'!$HE$13:$HE$512,"="&amp;SUBSTITUTE(SUBSTITUTE(SUBSTITUTE('Calculations'!HT393,"~","~~"),"*","~*"),"?","~?"))&gt;1,"!AMBIG",IFERROR(INDEX('Calculations'!$HF$13:$HF$512,MATCH('Calculations'!HT393,'Calculations'!$HE$13:$HE$512,0)),""))))</x:f>
      </x:c>
      <x:c r="HV393" t="str">
        <x:f>IF('Calculations'!HU393="","",IF('Calculations'!HU393="!AMBIG","!AMBIG",IF(COUNTIF('Calculations'!$HE$13:$HE$512,"="&amp;SUBSTITUTE(SUBSTITUTE(SUBSTITUTE('Calculations'!HU393,"~","~~"),"*","~*"),"?","~?"))&gt;1,"!AMBIG",IFERROR(INDEX('Calculations'!$HF$13:$HF$512,MATCH('Calculations'!HU393,'Calculations'!$HE$13:$HE$512,0)),""))))</x:f>
      </x:c>
      <x:c r="HW393" t="str">
        <x:f>IF('Calculations'!HV393="","",IF('Calculations'!HV393="!AMBIG","!AMBIG",IF(COUNTIF('Calculations'!$HE$13:$HE$512,"="&amp;SUBSTITUTE(SUBSTITUTE(SUBSTITUTE('Calculations'!HV393,"~","~~"),"*","~*"),"?","~?"))&gt;1,"!AMBIG",IFERROR(INDEX('Calculations'!$HF$13:$HF$512,MATCH('Calculations'!HV393,'Calculations'!$HE$13:$HE$512,0)),""))))</x:f>
      </x:c>
      <x:c r="HX393" t="str">
        <x:f>IF('Calculations'!HW393="","",IF('Calculations'!HW393="!AMBIG","!AMBIG",IF(COUNTIF('Calculations'!$HE$13:$HE$512,"="&amp;SUBSTITUTE(SUBSTITUTE(SUBSTITUTE('Calculations'!HW393,"~","~~"),"*","~*"),"?","~?"))&gt;1,"!AMBIG",IFERROR(INDEX('Calculations'!$HF$13:$HF$512,MATCH('Calculations'!HW393,'Calculations'!$HE$13:$HE$512,0)),""))))</x:f>
      </x:c>
      <x:c r="HY393" t="str">
        <x:f>IF('Calculations'!HX393="","",IF('Calculations'!HX393="!AMBIG","!AMBIG",IF(COUNTIF('Calculations'!$HE$13:$HE$512,"="&amp;SUBSTITUTE(SUBSTITUTE(SUBSTITUTE('Calculations'!HX393,"~","~~"),"*","~*"),"?","~?"))&gt;1,"!AMBIG",IFERROR(INDEX('Calculations'!$HF$13:$HF$512,MATCH('Calculations'!HX393,'Calculations'!$HE$13:$HE$512,0)),""))))</x:f>
      </x:c>
      <x:c r="HZ393" t="str">
        <x:f>IF('Calculations'!HY393="","",IF('Calculations'!HY393="!AMBIG","!AMBIG",IF(COUNTIF('Calculations'!$HE$13:$HE$512,"="&amp;SUBSTITUTE(SUBSTITUTE(SUBSTITUTE('Calculations'!HY393,"~","~~"),"*","~*"),"?","~?"))&gt;1,"!AMBIG",IFERROR(INDEX('Calculations'!$HF$13:$HF$512,MATCH('Calculations'!HY393,'Calculations'!$HE$13:$HE$512,0)),""))))</x:f>
      </x:c>
      <x:c r="IA393" t="str">
        <x:f>IF('Calculations'!HZ393="","",IF('Calculations'!HZ393="!AMBIG","!AMBIG",IF(COUNTIF('Calculations'!$HE$13:$HE$512,"="&amp;SUBSTITUTE(SUBSTITUTE(SUBSTITUTE('Calculations'!HZ393,"~","~~"),"*","~*"),"?","~?"))&gt;1,"!AMBIG",IFERROR(INDEX('Calculations'!$HF$13:$HF$512,MATCH('Calculations'!HZ393,'Calculations'!$HE$13:$HE$512,0)),""))))</x:f>
      </x:c>
      <x:c r="IB393" t="str">
        <x:f>IF('Calculations'!IA393="","",IF('Calculations'!IA393="!AMBIG","!AMBIG",IF(COUNTIF('Calculations'!$HE$13:$HE$512,"="&amp;SUBSTITUTE(SUBSTITUTE(SUBSTITUTE('Calculations'!IA393,"~","~~"),"*","~*"),"?","~?"))&gt;1,"!AMBIG",IFERROR(INDEX('Calculations'!$HF$13:$HF$512,MATCH('Calculations'!IA393,'Calculations'!$HE$13:$HE$512,0)),""))))</x:f>
      </x:c>
      <x:c r="IC393" t="str">
        <x:f>IF('Calculations'!IB393="","",IF('Calculations'!IB393="!AMBIG","!AMBIG",IF(COUNTIF('Calculations'!$HE$13:$HE$512,"="&amp;SUBSTITUTE(SUBSTITUTE(SUBSTITUTE('Calculations'!IB393,"~","~~"),"*","~*"),"?","~?"))&gt;1,"!AMBIG",IFERROR(INDEX('Calculations'!$HF$13:$HF$512,MATCH('Calculations'!IB393,'Calculations'!$HE$13:$HE$512,0)),""))))</x:f>
      </x:c>
      <x:c r="ID393" t="str">
        <x:f>IF('Calculations'!IC393="","",IF('Calculations'!IC393="!AMBIG","!AMBIG",IF(COUNTIF('Calculations'!$HE$13:$HE$512,"="&amp;SUBSTITUTE(SUBSTITUTE(SUBSTITUTE('Calculations'!IC393,"~","~~"),"*","~*"),"?","~?"))&gt;1,"!AMBIG",IFERROR(INDEX('Calculations'!$HF$13:$HF$512,MATCH('Calculations'!IC393,'Calculations'!$HE$13:$HE$512,0)),""))))</x:f>
      </x:c>
      <x:c r="IE393" t="str">
        <x:f>IF('Calculations'!ID393="","",IF('Calculations'!ID393="!AMBIG","!AMBIG",IF(COUNTIF('Calculations'!$HE$13:$HE$512,"="&amp;SUBSTITUTE(SUBSTITUTE(SUBSTITUTE('Calculations'!ID393,"~","~~"),"*","~*"),"?","~?"))&gt;1,"!AMBIG",IFERROR(INDEX('Calculations'!$HF$13:$HF$512,MATCH('Calculations'!ID393,'Calculations'!$HE$13:$HE$512,0)),""))))</x:f>
      </x:c>
      <x:c r="IF393" t="str">
        <x:f>IF('Calculations'!IE393="","",IF('Calculations'!IE393="!AMBIG","!AMBIG",IF(COUNTIF('Calculations'!$HE$13:$HE$512,"="&amp;SUBSTITUTE(SUBSTITUTE(SUBSTITUTE('Calculations'!IE393,"~","~~"),"*","~*"),"?","~?"))&gt;1,"!AMBIG",IFERROR(INDEX('Calculations'!$HF$13:$HF$512,MATCH('Calculations'!IE393,'Calculations'!$HE$13:$HE$512,0)),""))))</x:f>
      </x:c>
      <x:c r="IG393" t="str">
        <x:f>IF('Calculations'!IF393="","",IF('Calculations'!IF393="!AMBIG","!AMBIG",IF(COUNTIF('Calculations'!$HE$13:$HE$512,"="&amp;SUBSTITUTE(SUBSTITUTE(SUBSTITUTE('Calculations'!IF393,"~","~~"),"*","~*"),"?","~?"))&gt;1,"!AMBIG",IFERROR(INDEX('Calculations'!$HF$13:$HF$512,MATCH('Calculations'!IF393,'Calculations'!$HE$13:$HE$512,0)),""))))</x:f>
      </x:c>
      <x:c r="IH393" t="str">
        <x:f>IF('Calculations'!IG393="","",IF('Calculations'!IG393="!AMBIG","!AMBIG",IF(COUNTIF('Calculations'!$HE$13:$HE$512,"="&amp;SUBSTITUTE(SUBSTITUTE(SUBSTITUTE('Calculations'!IG393,"~","~~"),"*","~*"),"?","~?"))&gt;1,"!AMBIG",IFERROR(INDEX('Calculations'!$HF$13:$HF$512,MATCH('Calculations'!IG393,'Calculations'!$HE$13:$HE$512,0)),""))))</x:f>
      </x:c>
      <x:c r="II393" t="str">
        <x:f>IF('Calculations'!IH393="","",IF('Calculations'!IH393="!AMBIG","!AMBIG",IF(COUNTIF('Calculations'!$HE$13:$HE$512,"="&amp;SUBSTITUTE(SUBSTITUTE(SUBSTITUTE('Calculations'!IH393,"~","~~"),"*","~*"),"?","~?"))&gt;1,"!AMBIG",IFERROR(INDEX('Calculations'!$HF$13:$HF$512,MATCH('Calculations'!IH393,'Calculations'!$HE$13:$HE$512,0)),""))))</x:f>
      </x:c>
      <x:c r="IJ393" t="str">
        <x:f>IF('Calculations'!EM393="","",IF('Calculations'!$EF$2="All",'Calculations'!HM393,IF('Calculations'!HL393=1,"",IFERROR(IF(MATCH('Calculations'!$EF$2,'Calculations'!HO393:II393,0)=1,'Calculations'!HE393,INDEX('Calculations'!HO393:II393,1,MATCH('Calculations'!$EF$2,'Calculations'!HO393:II393,0)-1)),""))))</x:f>
      </x:c>
      <x:c r="IK393" t="n">
        <x:f>IF(AND('Calculations'!EM393&lt;&gt;"",'Calculations'!$EF$2&lt;&gt;"All",'Calculations'!HF393='Calculations'!$EF$2,'Calculations'!HL393=0,'Calculations'!JD393&gt;0),MAX('Calculations'!$IK$12:IK392)+1,0)</x:f>
        <x:v>0</x:v>
      </x:c>
      <x:c r="JA393" t="n">
        <x:f>IF(OR(IFERROR(INDIRECT("'WCM Calibration Final'!$A$393")&lt;&gt;"",FALSE),IFERROR(INDIRECT("'WCM Calibration Final'!$B$393")&lt;&gt;"",FALSE),IFERROR(INDIRECT("'WCM Calibration Final'!$C$393")&lt;&gt;"",FALSE)),393,0)</x:f>
        <x:v>0</x:v>
      </x:c>
      <x:c r="JB393" t="n">
        <x:f>'Calculations'!JB392+IF('Calculations'!JA393&gt;0,1,0)</x:f>
        <x:v>0</x:v>
      </x:c>
      <x:c r="JC393" t="n">
        <x:f>IF(OR('Calculations'!HF393="",'Calculations'!HF393="!AMBIG"),0,IF('Dashboard'!$B$7="All",1,COUNTIFS('Calculations'!$HO$13:$HO$512,"="&amp;SUBSTITUTE(SUBSTITUTE(SUBSTITUTE('Calculations'!HF393,"~","~~"),"*","~*"),"?","~?"),'Calculations'!$HN$13:$HN$512,"="&amp;SUBSTITUTE(SUBSTITUTE(SUBSTITUTE('Dashboard'!$B$7,"~","~~"),"*","~*"),"?","~?"))+COUNTIFS('Calculations'!$HP$13:$HP$512,"="&amp;SUBSTITUTE(SUBSTITUTE(SUBSTITUTE('Calculations'!HF393,"~","~~"),"*","~*"),"?","~?"),'Calculations'!$HN$13:$HN$512,"="&amp;SUBSTITUTE(SUBSTITUTE(SUBSTITUTE('Dashboard'!$B$7,"~","~~"),"*","~*"),"?","~?"))+COUNTIFS('Calculations'!$HQ$13:$HQ$512,"="&amp;SUBSTITUTE(SUBSTITUTE(SUBSTITUTE('Calculations'!HF393,"~","~~"),"*","~*"),"?","~?"),'Calculations'!$HN$13:$HN$512,"="&amp;SUBSTITUTE(SUBSTITUTE(SUBSTITUTE('Dashboard'!$B$7,"~","~~"),"*","~*"),"?","~?"))+COUNTIFS('Calculations'!$HR$13:$HR$512,"="&amp;SUBSTITUTE(SUBSTITUTE(SUBSTITUTE('Calculations'!HF393,"~","~~"),"*","~*"),"?","~?"),'Calculations'!$HN$13:$HN$512,"="&amp;SUBSTITUTE(SUBSTITUTE(SUBSTITUTE('Dashboard'!$B$7,"~","~~"),"*","~*"),"?","~?"))+COUNTIFS('Calculations'!$HS$13:$HS$512,"="&amp;SUBSTITUTE(SUBSTITUTE(SUBSTITUTE('Calculations'!HF393,"~","~~"),"*","~*"),"?","~?"),'Calculations'!$HN$13:$HN$512,"="&amp;SUBSTITUTE(SUBSTITUTE(SUBSTITUTE('Dashboard'!$B$7,"~","~~"),"*","~*"),"?","~?"))+COUNTIFS('Calculations'!$HT$13:$HT$512,"="&amp;SUBSTITUTE(SUBSTITUTE(SUBSTITUTE('Calculations'!HF393,"~","~~"),"*","~*"),"?","~?"),'Calculations'!$HN$13:$HN$512,"="&amp;SUBSTITUTE(SUBSTITUTE(SUBSTITUTE('Dashboard'!$B$7,"~","~~"),"*","~*"),"?","~?"))+COUNTIFS('Calculations'!$HU$13:$HU$512,"="&amp;SUBSTITUTE(SUBSTITUTE(SUBSTITUTE('Calculations'!HF393,"~","~~"),"*","~*"),"?","~?"),'Calculations'!$HN$13:$HN$512,"="&amp;SUBSTITUTE(SUBSTITUTE(SUBSTITUTE('Dashboard'!$B$7,"~","~~"),"*","~*"),"?","~?"))+COUNTIFS('Calculations'!$HV$13:$HV$512,"="&amp;SUBSTITUTE(SUBSTITUTE(SUBSTITUTE('Calculations'!HF393,"~","~~"),"*","~*"),"?","~?"),'Calculations'!$HN$13:$HN$512,"="&amp;SUBSTITUTE(SUBSTITUTE(SUBSTITUTE('Dashboard'!$B$7,"~","~~"),"*","~*"),"?","~?"))+COUNTIFS('Calculations'!$HW$13:$HW$512,"="&amp;SUBSTITUTE(SUBSTITUTE(SUBSTITUTE('Calculations'!HF393,"~","~~"),"*","~*"),"?","~?"),'Calculations'!$HN$13:$HN$512,"="&amp;SUBSTITUTE(SUBSTITUTE(SUBSTITUTE('Dashboard'!$B$7,"~","~~"),"*","~*"),"?","~?"))+COUNTIFS('Calculations'!$HX$13:$HX$512,"="&amp;SUBSTITUTE(SUBSTITUTE(SUBSTITUTE('Calculations'!HF393,"~","~~"),"*","~*"),"?","~?"),'Calculations'!$HN$13:$HN$512,"="&amp;SUBSTITUTE(SUBSTITUTE(SUBSTITUTE('Dashboard'!$B$7,"~","~~"),"*","~*"),"?","~?"))+COUNTIFS('Calculations'!$HY$13:$HY$512,"="&amp;SUBSTITUTE(SUBSTITUTE(SUBSTITUTE('Calculations'!HF393,"~","~~"),"*","~*"),"?","~?"),'Calculations'!$HN$13:$HN$512,"="&amp;SUBSTITUTE(SUBSTITUTE(SUBSTITUTE('Dashboard'!$B$7,"~","~~"),"*","~*"),"?","~?"))+COUNTIFS('Calculations'!$HZ$13:$HZ$512,"="&amp;SUBSTITUTE(SUBSTITUTE(SUBSTITUTE('Calculations'!HF393,"~","~~"),"*","~*"),"?","~?"),'Calculations'!$HN$13:$HN$512,"="&amp;SUBSTITUTE(SUBSTITUTE(SUBSTITUTE('Dashboard'!$B$7,"~","~~"),"*","~*"),"?","~?"))+COUNTIFS('Calculations'!$IA$13:$IA$512,"="&amp;SUBSTITUTE(SUBSTITUTE(SUBSTITUTE('Calculations'!HF393,"~","~~"),"*","~*"),"?","~?"),'Calculations'!$HN$13:$HN$512,"="&amp;SUBSTITUTE(SUBSTITUTE(SUBSTITUTE('Dashboard'!$B$7,"~","~~"),"*","~*"),"?","~?"))+COUNTIFS('Calculations'!$IB$13:$IB$512,"="&amp;SUBSTITUTE(SUBSTITUTE(SUBSTITUTE('Calculations'!HF393,"~","~~"),"*","~*"),"?","~?"),'Calculations'!$HN$13:$HN$512,"="&amp;SUBSTITUTE(SUBSTITUTE(SUBSTITUTE('Dashboard'!$B$7,"~","~~"),"*","~*"),"?","~?"))+COUNTIFS('Calculations'!$IC$13:$IC$512,"="&amp;SUBSTITUTE(SUBSTITUTE(SUBSTITUTE('Calculations'!HF393,"~","~~"),"*","~*"),"?","~?"),'Calculations'!$HN$13:$HN$512,"="&amp;SUBSTITUTE(SUBSTITUTE(SUBSTITUTE('Dashboard'!$B$7,"~","~~"),"*","~*"),"?","~?"))+COUNTIFS('Calculations'!$ID$13:$ID$512,"="&amp;SUBSTITUTE(SUBSTITUTE(SUBSTITUTE('Calculations'!HF393,"~","~~"),"*","~*"),"?","~?"),'Calculations'!$HN$13:$HN$512,"="&amp;SUBSTITUTE(SUBSTITUTE(SUBSTITUTE('Dashboard'!$B$7,"~","~~"),"*","~*"),"?","~?"))+COUNTIFS('Calculations'!$IE$13:$IE$512,"="&amp;SUBSTITUTE(SUBSTITUTE(SUBSTITUTE('Calculations'!HF393,"~","~~"),"*","~*"),"?","~?"),'Calculations'!$HN$13:$HN$512,"="&amp;SUBSTITUTE(SUBSTITUTE(SUBSTITUTE('Dashboard'!$B$7,"~","~~"),"*","~*"),"?","~?"))+COUNTIFS('Calculations'!$IF$13:$IF$512,"="&amp;SUBSTITUTE(SUBSTITUTE(SUBSTITUTE('Calculations'!HF393,"~","~~"),"*","~*"),"?","~?"),'Calculations'!$HN$13:$HN$512,"="&amp;SUBSTITUTE(SUBSTITUTE(SUBSTITUTE('Dashboard'!$B$7,"~","~~"),"*","~*"),"?","~?"))+COUNTIFS('Calculations'!$IG$13:$IG$512,"="&amp;SUBSTITUTE(SUBSTITUTE(SUBSTITUTE('Calculations'!HF393,"~","~~"),"*","~*"),"?","~?"),'Calculations'!$HN$13:$HN$512,"="&amp;SUBSTITUTE(SUBSTITUTE(SUBSTITUTE('Dashboard'!$B$7,"~","~~"),"*","~*"),"?","~?"))+COUNTIFS('Calculations'!$IH$13:$IH$512,"="&amp;SUBSTITUTE(SUBSTITUTE(SUBSTITUTE('Calculations'!HF393,"~","~~"),"*","~*"),"?","~?"),'Calculations'!$HN$13:$HN$512,"="&amp;SUBSTITUTE(SUBSTITUTE(SUBSTITUTE('Dashboard'!$B$7,"~","~~"),"*","~*"),"?","~?"))))</x:f>
        <x:v>0</x:v>
      </x:c>
      <x:c r="JD393" t="n">
        <x:f>IF('Calculations'!EM393="",0,IF('Dashboard'!$B$7="All",1,IF('Calculations'!HN393='Dashboard'!$B$7,1,0)+IFERROR(INDEX('Calculations'!$JC$13:$JC$512,MATCH('Calculations'!HE393,'Calculations'!$HF$13:$HF$512,0)),0)))</x:f>
        <x:v>0</x:v>
      </x:c>
      <x:c r="JE393" t="n">
        <x:f>IF(AND('Calculations'!EM393&lt;&gt;"",'Calculations'!$JJ$2&lt;&gt;"All",'Calculations'!$JJ$2&lt;&gt;"",'Calculations'!HF393='Calculations'!$JJ$2,'Calculations'!HL393=0,'Calculations'!JD393&gt;0),MAX('Calculations'!$JE$12:JE392)+1,0)</x:f>
        <x:v>0</x:v>
      </x:c>
      <x:c r="JF393" t="str">
        <x:f>IF('Calculations'!EM393="","",IFERROR(IF(INDEX(INDIRECT("'WCM Calibration Final'!$G$1:$G$2000"),'Calculations'!$EM393)="","",TRIM(INDEX(INDIRECT("'WCM Calibration Final'!$G$1:$G$2000"),'Calculations'!$EM393)&amp;"")),""))</x:f>
      </x:c>
      <x:c r="JQ393" t="n">
        <x:f>IF(OR('Calculations'!BM393=0,NOT('Calculations'!$AG$2),'Calculations'!$AG$8&gt;0),0,IF(OR('Dashboard'!$B$7="All",'Calculations'!HN393='Dashboard'!$B$7),IF('Calculations'!$JJ$2="All",1,IF(AND('Calculations'!HF393='Calculations'!$JJ$2,'Calculations'!HL393=0),1,0)),0))</x:f>
        <x:v>0</x:v>
      </x:c>
    </x:row>
    <x:row r="394">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t="n">
        <x:f>IF('Calculations'!$EM394="",0,IF(OR(IFERROR(INDEX(INDIRECT("'WCM Calibration Final'!$A$1:$A$2000"),'Calculations'!$EM394)&lt;&gt;"",FALSE),IFERROR(INDEX(INDIRECT("'WCM Calibration Final'!$B$1:$B$2000"),'Calculations'!$EM394)&lt;&gt;"",FALSE),IFERROR(INDEX(INDIRECT("'WCM Calibration Final'!$C$1:$C$2000"),'Calculations'!$EM394)&lt;&gt;"",FALSE)),1,0))</x:f>
        <x:v>0</x:v>
      </x:c>
      <x:c r="BN394" s="4" t="n">
        <x:f>IF(AND('Calculations'!BM394=1,'Calculations'!$AG$2,'Calculations'!$EN394=1),1,0)</x:f>
        <x:v>0</x:v>
      </x:c>
      <x:c r="BO394" s="4" t="str">
        <x:f>IF('Calculations'!BM394=0,"",IFERROR(IF(AND(VALUE(INDEX(INDIRECT("'WCM Calibration Final'!$K$1:$K$2000"),'Calculations'!$EM394))&gt;=1,VALUE(INDEX(INDIRECT("'WCM Calibration Final'!$K$1:$K$2000"),'Calculations'!$EM394))&lt;=4,MOD(VALUE(INDEX(INDIRECT("'WCM Calibration Final'!$K$1:$K$2000"),'Calculations'!$EM394)),1)=0),VALUE(INDEX(INDIRECT("'WCM Calibration Final'!$K$1:$K$2000"),'Calculations'!$EM394)),""),""))</x:f>
      </x:c>
      <x:c r="BP394" s="4" t="str">
        <x:f>IF('Calculations'!BM394=0,"",IFERROR(IF(AND(VALUE(INDEX(INDIRECT("'WCM Calibration Final'!$L$1:$L$2000"),'Calculations'!$EM394))&gt;=1,VALUE(INDEX(INDIRECT("'WCM Calibration Final'!$L$1:$L$2000"),'Calculations'!$EM394))&lt;=4,MOD(VALUE(INDEX(INDIRECT("'WCM Calibration Final'!$L$1:$L$2000"),'Calculations'!$EM394)),1)=0),VALUE(INDEX(INDIRECT("'WCM Calibration Final'!$L$1:$L$2000"),'Calculations'!$EM394)),""),""))</x:f>
      </x:c>
      <x:c r="BQ394" s="4"/>
      <x:c r="BR394" s="4"/>
      <x:c r="BS394" s="4"/>
      <x:c r="BT394" s="4" t="n">
        <x:f>IF(AND('Calculations'!BM394=1,ISNUMBER('Calculations'!BO394),ISNUMBER('Calculations'!BP394)),1,0)</x:f>
        <x:v>0</x:v>
      </x:c>
      <x:c r="BU394" s="4" t="str">
        <x:f>IF('Calculations'!BM394=0,"",'Calculations'!$EO394)</x:f>
      </x:c>
      <x:c r="BV394" s="4" t="str">
        <x:f>IF('Calculations'!BM394=0,"",IFERROR(IF(OR(INDEX(INDIRECT("'WCM Calibration Final'!$H$1:$H$2000"),'Calculations'!$EM394)="MANAGING DIRECTOR",INDEX(INDIRECT("'WCM Calibration Final'!$H$1:$H$2000"),'Calculations'!$EM394)="DIRECTOR",INDEX(INDIRECT("'WCM Calibration Final'!$H$1:$H$2000"),'Calculations'!$EM394)="SENIOR VICE PRESIDENT",INDEX(INDIRECT("'WCM Calibration Final'!$H$1:$H$2000"),'Calculations'!$EM394)="VICE PRESIDENT",INDEX(INDIRECT("'WCM Calibration Final'!$H$1:$H$2000"),'Calculations'!$EM394)="ASSISTANT VICE PRESIDENT",INDEX(INDIRECT("'WCM Calibration Final'!$H$1:$H$2000"),'Calculations'!$EM394)="OFFICER"),UPPER(INDEX(INDIRECT("'WCM Calibration Final'!$H$1:$H$2000"),'Calculations'!$EM394)),"Other"),"Other"))</x:f>
      </x:c>
      <x:c r="BW394" s="4"/>
      <x:c r="BX394" s="4"/>
      <x:c r="BY394" s="4" t="n">
        <x:f>IF(AND('Calculations'!BM394=1,'Calculations'!BU394&lt;&gt;"",COUNTIF('Calculations'!$BU$12:BU394,'Calculations'!BU394)=1),MAX('Calculations'!$BY$11:BY393)+1,0)</x:f>
        <x:v>0</x:v>
      </x:c>
      <x:c r="BZ394" s="4" t="str">
        <x:f>IF('Dashboard'!$E$67="What",'Calculations'!BO394,'Calculations'!BP394)</x:f>
      </x:c>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t="str">
        <x:f>IF(383&gt;MAX('Calculations'!$HI$13:$HI$512),"",INDEX('Calculations'!$HN$13:$HN$512,MATCH(383,'Calculations'!$HI$13:$HI$512,0)))</x:f>
      </x:c>
      <x:c r="DB394" s="4" t="str">
        <x:f>IF(383&gt;MAX('Calculations'!$HH$13:$HH$512),"",INDEX('Calculations'!$HJ$13:$HJ$512,MATCH(383,'Calculations'!$HH$13:$HH$512,0)))</x:f>
      </x:c>
      <x:c r="DC394" s="4" t="str">
        <x:f>IF(ROW()-11&gt;MAX('Calculations'!$BY$13:$BY$512),"",INDEX('Calculations'!$BU$13:$BU$512,MATCH(ROW()-11,'Calculations'!$BY$13:$BY$512,0)))</x:f>
      </x:c>
      <x:c r="DD394" s="4" t="str">
        <x:f>IF(383&gt;MAX('Calculations'!$IK$13:$IK$512),"",INDEX('Calculations'!$HK$13:$HK$512,MATCH(383,'Calculations'!$IK$13:$IK$512,0)))</x:f>
      </x:c>
      <x:c r="DE394" s="4" t="str">
        <x:f>'Calculations'!DC394</x:f>
      </x:c>
      <x:c r="DF394" s="4" t="str">
        <x:f>IF('Calculations'!DE394="","",COUNTIFS('Calculations'!$BN$13:$BN$512,1,'Calculations'!$BU$13:$BU$512,'Calculations'!DE394))</x:f>
      </x:c>
      <x:c r="DG394" s="4" t="str">
        <x:f>IF('Calculations'!DE394="","",COUNTIFS('Calculations'!$BN$13:$BN$512,1,'Calculations'!$BU$13:$BU$512,'Calculations'!DE394,'Calculations'!$BT$13:$BT$512,1))</x:f>
      </x:c>
      <x:c r="DH394" s="4" t="str">
        <x:f>IF('Calculations'!DE394="","",'Calculations'!DF394-'Calculations'!DG394)</x:f>
      </x:c>
      <x:c r="DI394" s="4" t="str">
        <x:f>IF(OR('Calculations'!DE394="",'Calculations'!DF394=0),"",'Calculations'!DG394/'Calculations'!DF394)</x:f>
      </x:c>
      <x:c r="DJ394" s="4" t="str">
        <x:f>IF('Calculations'!DE394="","",COUNTIFS('Calculations'!$BN$13:$BN$512,1,'Calculations'!$BU$13:$BU$512,'Calculations'!DE394,'Calculations'!$BT$13:$BT$512,1,'Calculations'!$EE$13:$EE$512,"High"))</x:f>
      </x:c>
      <x:c r="DK394" s="4" t="str">
        <x:f>IF('Calculations'!DE394="","",COUNTIFS('Calculations'!$BN$13:$BN$512,1,'Calculations'!$BU$13:$BU$512,'Calculations'!DE394,'Calculations'!$BT$13:$BT$512,1,'Calculations'!$EE$13:$EE$512,"Strong"))</x:f>
      </x:c>
      <x:c r="DL394" s="4" t="str">
        <x:f>IF('Calculations'!DE394="","",COUNTIFS('Calculations'!$BN$13:$BN$512,1,'Calculations'!$BU$13:$BU$512,'Calculations'!DE394,'Calculations'!$BT$13:$BT$512,1,'Calculations'!$EE$13:$EE$512,"Solid"))</x:f>
      </x:c>
      <x:c r="DM394" s="4" t="str">
        <x:f>IF('Calculations'!DE394="","",COUNTIFS('Calculations'!$BN$13:$BN$512,1,'Calculations'!$BU$13:$BU$512,'Calculations'!DE394,'Calculations'!$BT$13:$BT$512,1,'Calculations'!$EE$13:$EE$512,"Low"))</x:f>
      </x:c>
      <x:c r="DN394" s="4" t="str">
        <x:f>IF('Calculations'!DE394="","",COUNTIFS('Calculations'!$BN$13:$BN$512,1,'Calculations'!$BU$13:$BU$512,'Calculations'!DE394,'Calculations'!$EP$13:$EP$512,1))</x:f>
      </x:c>
      <x:c r="DO394" s="4" t="str">
        <x:f>IF(OR('Calculations'!DE394="",'Calculations'!DG394=0),"",('Calculations'!DJ394+'Calculations'!DK394)/'Calculations'!DG394)</x:f>
      </x:c>
      <x:c r="DP394" s="4" t="n">
        <x:f>IF(AND('Calculations'!DE394&lt;&gt;"",'Calculations'!DF394&gt;0),COUNTIF('Calculations'!$DF$12:DF394,"&gt;0"),0)</x:f>
        <x:v>0</x:v>
      </x:c>
      <x:c r="DQ394" s="4" t="str">
        <x:f>IF(383&gt;MAX('Calculations'!$HH$13:$HH$512),"",INDEX('Calculations'!$HF$13:$HF$512,MATCH(383,'Calculations'!$HH$13:$HH$512,0)))</x:f>
      </x:c>
      <x:c r="DR394" s="4" t="str">
        <x:f>IF(383&gt;MAX('Calculations'!$IK$13:$IK$512),"",INDEX('Calculations'!$HE$13:$HE$512,MATCH(383,'Calculations'!$IK$13:$IK$512,0)))</x:f>
      </x:c>
      <x:c r="DS394" s="4"/>
      <x:c r="DT394" s="4"/>
      <x:c r="DU394" s="4"/>
      <x:c r="DV394" s="4"/>
      <x:c r="DW394" s="4"/>
      <x:c r="DX394" s="4"/>
      <x:c r="DY394" s="4"/>
      <x:c r="DZ394" s="4"/>
      <x:c r="EA394" s="4"/>
      <x:c r="EB394" s="4"/>
      <x:c r="EC394" s="4"/>
      <x:c r="ED394" s="4"/>
      <x:c r="EE394" s="4" t="str">
        <x:f>IF('Calculations'!BT394=0,"Not Rated",IF(OR('Calculations'!BO394&gt;=4,'Calculations'!BP394&gt;=4),"Low",IF('Calculations'!BO394+'Calculations'!BP394&lt;=3,"High",IF('Calculations'!BO394+'Calculations'!BP394&lt;=4,"Strong","Solid"))))</x:f>
        <x:v>Not Rated</x:v>
      </x:c>
      <x:c r="EF394" s="4"/>
      <x:c r="EG394" s="4"/>
      <x:c r="EH394" s="4"/>
      <x:c r="EI394" s="4"/>
      <x:c r="EJ394" s="4"/>
      <x:c r="EK394" s="4"/>
      <x:c r="EL394" s="4"/>
      <x:c r="EM394" s="4" t="str">
        <x:f>IF(382&gt;'Calculations'!$JB$2000,"",INDEX('Calculations'!$JA$12:$JA$2000,MATCH(382,'Calculations'!$JB$12:$JB$2000,0)))</x:f>
      </x:c>
      <x:c r="EN394" s="4" t="n">
        <x:f>IF(OR('Calculations'!EM394="",'Calculations'!$AG$8&gt;0,AND('Calculations'!$EF$2&lt;&gt;"All",'Calculations'!HE394='Calculations'!$EF$2),AND('Calculations'!$EF$3&lt;&gt;"All",'Calculations'!HE394='Calculations'!$EF$3)),0,IF(OR('Dashboard'!$B$7="All",'Calculations'!HN394='Dashboard'!$B$7),IF('Calculations'!$EF$2="All",1,IF('Calculations'!HL394&gt;0,0,IF(COUNTIF('Calculations'!HO394:II394,"="&amp;SUBSTITUTE(SUBSTITUTE(SUBSTITUTE('Calculations'!$EF$2,"~","~~"),"*","~*"),"?","~?"))=0,0,IF('Calculations'!$EF$3="All",1,IF(COUNTIF('Calculations'!HO394:II394,"="&amp;SUBSTITUTE(SUBSTITUTE(SUBSTITUTE('Calculations'!$EF$3,"~","~~"),"*","~*"),"?","~?"))&gt;0,1,0))))),0))</x:f>
        <x:v>0</x:v>
      </x:c>
      <x:c r="EO394" s="4" t="str">
        <x:f>IF('Calculations'!IJ394="","",IF('Calculations'!IJ394="!UNRESOLVED","Unresolved hierarchy",IFERROR(INDEX('Calculations'!$HK$13:$HK$512,MATCH('Calculations'!IJ394,'Calculations'!$HE$13:$HE$512,0)),IFERROR(INDEX('Calculations'!$HJ$13:$HJ$512,MATCH('Calculations'!IJ394,'Calculations'!$HF$13:$HF$512,0)),'Calculations'!IJ394))))</x:f>
      </x:c>
      <x:c r="EP394" s="4" t="n">
        <x:f>IF(AND('Calculations'!EM394&lt;&gt;"",'Calculations'!HF394='Calculations'!IJ394),1,0)</x:f>
        <x:v>0</x:v>
      </x:c>
      <x:c r="EQ394" s="4"/>
      <x:c r="ER394" s="4"/>
      <x:c r="ES394" s="4"/>
      <x:c r="ET394" s="4"/>
      <x:c r="EU394" s="4"/>
      <x:c r="EV394" s="4"/>
      <x:c r="EW394" s="4"/>
      <x:c r="EX394" s="4"/>
      <x:c r="EY394" s="4"/>
      <x:c r="EZ394" s="4"/>
      <x:c r="FA394" s="4"/>
      <x:c r="FB394" s="4"/>
      <x:c r="FC394" s="4"/>
      <x:c r="FD394" s="4"/>
      <x:c r="FE394" s="4"/>
      <x:c r="FF394" s="4"/>
      <x:c r="FG394" s="4"/>
      <x:c r="FH394" s="4"/>
      <x:c r="FI394" s="4"/>
      <x:c r="FJ394" s="4"/>
      <x:c r="FK394" s="4"/>
      <x:c r="FL394" s="4"/>
      <x:c r="FM394" s="4"/>
      <x:c r="FN394" s="4"/>
      <x:c r="FO394" s="4"/>
      <x:c r="HE394" t="str">
        <x:f>IF('Calculations'!EM394="","",IF(IFERROR(IF(INDEX(INDIRECT("'WCM Calibration Final'!$A$1:$A$2000"),'Calculations'!$EM394)="","",TRIM(INDEX(INDIRECT("'WCM Calibration Final'!$A$1:$A$2000"),'Calculations'!$EM394)&amp;"")),"")&lt;&gt;"","G:"&amp;IFERROR(TEXT(1*INDEX(INDIRECT("'WCM Calibration Final'!$A$1:$A$2000"),'Calculations'!$EM394),"0"),UPPER(IFERROR(IF(INDEX(INDIRECT("'WCM Calibration Final'!$A$1:$A$2000"),'Calculations'!$EM394)="","",TRIM(INDEX(INDIRECT("'WCM Calibration Final'!$A$1:$A$2000"),'Calculations'!$EM394)&amp;"")),""))),IF(IFERROR(IF(INDEX(INDIRECT("'WCM Calibration Final'!$C$1:$C$2000"),'Calculations'!$EM394)="","",TRIM(INDEX(INDIRECT("'WCM Calibration Final'!$C$1:$C$2000"),'Calculations'!$EM394)&amp;"")),"")&lt;&gt;"","S:"&amp;UPPER(IFERROR(IF(INDEX(INDIRECT("'WCM Calibration Final'!$C$1:$C$2000"),'Calculations'!$EM394)="","",TRIM(INDEX(INDIRECT("'WCM Calibration Final'!$C$1:$C$2000"),'Calculations'!$EM394)&amp;"")),"")),"R:"&amp;'Calculations'!EM394)))</x:f>
      </x:c>
      <x:c r="HF394" t="str">
        <x:f>IF('Calculations'!EM394="","",IF(IFERROR(IF(INDEX(INDIRECT("'WCM Calibration Final'!$D$1:$D$2000"),'Calculations'!$EM394)="","",TRIM(INDEX(INDIRECT("'WCM Calibration Final'!$D$1:$D$2000"),'Calculations'!$EM394)&amp;"")),"")&lt;&gt;"","G:"&amp;IFERROR(TEXT(1*INDEX(INDIRECT("'WCM Calibration Final'!$D$1:$D$2000"),'Calculations'!$EM394),"0"),UPPER(IFERROR(IF(INDEX(INDIRECT("'WCM Calibration Final'!$D$1:$D$2000"),'Calculations'!$EM394)="","",TRIM(INDEX(INDIRECT("'WCM Calibration Final'!$D$1:$D$2000"),'Calculations'!$EM394)&amp;"")),""))),IF(IFERROR(IF(INDEX(INDIRECT("'WCM Calibration Final'!$E$1:$E$2000"),'Calculations'!$EM394)="","",TRIM(INDEX(INDIRECT("'WCM Calibration Final'!$E$1:$E$2000"),'Calculations'!$EM394)&amp;"")),"")="","",IF(COUNTIF('Calculations'!$HG$13:$HG$512,"="&amp;SUBSTITUTE(SUBSTITUTE(SUBSTITUTE(IFERROR(IF(INDEX(INDIRECT("'WCM Calibration Final'!$E$1:$E$2000"),'Calculations'!$EM394)="","",TRIM(INDEX(INDIRECT("'WCM Calibration Final'!$E$1:$E$2000"),'Calculations'!$EM394)&amp;"")),""),"~","~~"),"*","~*"),"?","~?"))=1,INDEX('Calculations'!$HE$13:$HE$512,MATCH(IFERROR(IF(INDEX(INDIRECT("'WCM Calibration Final'!$E$1:$E$2000"),'Calculations'!$EM394)="","",TRIM(INDEX(INDIRECT("'WCM Calibration Final'!$E$1:$E$2000"),'Calculations'!$EM394)&amp;"")),""),'Calculations'!$HG$13:$HG$512,0)),IF(COUNTIF('Calculations'!$HG$13:$HG$512,"="&amp;SUBSTITUTE(SUBSTITUTE(SUBSTITUTE(IFERROR(IF(INDEX(INDIRECT("'WCM Calibration Final'!$E$1:$E$2000"),'Calculations'!$EM394)="","",TRIM(INDEX(INDIRECT("'WCM Calibration Final'!$E$1:$E$2000"),'Calculations'!$EM394)&amp;"")),""),"~","~~"),"*","~*"),"?","~?"))&gt;1,"!AMBIG","X:"&amp;IFERROR(IF(INDEX(INDIRECT("'WCM Calibration Final'!$E$1:$E$2000"),'Calculations'!$EM394)="","",TRIM(INDEX(INDIRECT("'WCM Calibration Final'!$E$1:$E$2000"),'Calculations'!$EM394)&amp;"")),""))))))</x:f>
      </x:c>
      <x:c r="HG394" t="str">
        <x:f>IF('Calculations'!EM394="","",IFERROR(IF(INDEX(INDIRECT("'WCM Calibration Final'!$B$1:$B$2000"),'Calculations'!$EM394)="","",TRIM(INDEX(INDIRECT("'WCM Calibration Final'!$B$1:$B$2000"),'Calculations'!$EM394)&amp;"")),""))</x:f>
      </x:c>
      <x:c r="HH394" t="n">
        <x:f>IF(AND('Calculations'!JC394&gt;0,COUNTIF('Calculations'!$HF$12:HF394,"="&amp;SUBSTITUTE(SUBSTITUTE(SUBSTITUTE('Calculations'!HF394,"~","~~"),"*","~*"),"?","~?"))=1),MAX('Calculations'!$HH$12:HH393)+1,0)</x:f>
        <x:v>0</x:v>
      </x:c>
      <x:c r="HI394" t="n">
        <x:f>IF(AND('Calculations'!HN394&lt;&gt;"",COUNTIF('Calculations'!$HN$12:HN394,"="&amp;SUBSTITUTE(SUBSTITUTE(SUBSTITUTE('Calculations'!HN394,"~","~~"),"*","~*"),"?","~?"))=1),MAX('Calculations'!$HI$12:HI393)+1,0)</x:f>
        <x:v>0</x:v>
      </x:c>
      <x:c r="HJ394" t="str">
        <x:f>IF('Calculations'!HF394="","",IF(COUNTIF('Calculations'!$HE$13:$HE$512,"="&amp;SUBSTITUTE(SUBSTITUTE(SUBSTITUTE('Calculations'!HF394,"~","~~"),"*","~*"),"?","~?"))=1,INDEX('Calculations'!$HK$13:$HK$512,MATCH('Calculations'!HF394,'Calculations'!$HE$13:$HE$512,0)),IFERROR(IF(INDEX(INDIRECT("'WCM Calibration Final'!$E$1:$E$2000"),'Calculations'!$EM394)="","",TRIM(INDEX(INDIRECT("'WCM Calibration Final'!$E$1:$E$2000"),'Calculations'!$EM394)&amp;"")),"")&amp;" ["&amp;'Calculations'!HF394&amp;"]"))</x:f>
      </x:c>
      <x:c r="HK394" t="str">
        <x:f>IF('Calculations'!EM394="","",'Calculations'!HG394&amp;" ["&amp;'Calculations'!HE394&amp;"]")</x:f>
      </x:c>
      <x:c r="HL394" t="n">
        <x:f>IF('Calculations'!EM394="",0,IF(OR('Calculations'!II394&lt;&gt;"",COUNTIF('Calculations'!$HE$13:$HE$512,"="&amp;SUBSTITUTE(SUBSTITUTE(SUBSTITUTE('Calculations'!HE394,"~","~~"),"*","~*"),"?","~?"))&gt;1),1,0))</x:f>
        <x:v>0</x:v>
      </x:c>
      <x:c r="HM394" t="str">
        <x:f>IF('Calculations'!EM394="","",IF('Calculations'!HL394=1,"!UNRESOLVED",IF('Calculations'!IH394&lt;&gt;"",'Calculations'!IH394,IF('Calculations'!IG394&lt;&gt;"",'Calculations'!IG394,IF('Calculations'!IF394&lt;&gt;"",'Calculations'!IF394,IF('Calculations'!IE394&lt;&gt;"",'Calculations'!IE394,IF('Calculations'!ID394&lt;&gt;"",'Calculations'!ID394,IF('Calculations'!IC394&lt;&gt;"",'Calculations'!IC394,IF('Calculations'!IB394&lt;&gt;"",'Calculations'!IB394,IF('Calculations'!IA394&lt;&gt;"",'Calculations'!IA394,IF('Calculations'!HZ394&lt;&gt;"",'Calculations'!HZ394,IF('Calculations'!HY394&lt;&gt;"",'Calculations'!HY394,IF('Calculations'!HX394&lt;&gt;"",'Calculations'!HX394,IF('Calculations'!HW394&lt;&gt;"",'Calculations'!HW394,IF('Calculations'!HV394&lt;&gt;"",'Calculations'!HV394,IF('Calculations'!HU394&lt;&gt;"",'Calculations'!HU394,IF('Calculations'!HT394&lt;&gt;"",'Calculations'!HT394,IF('Calculations'!HS394&lt;&gt;"",'Calculations'!HS394,IF('Calculations'!HR394&lt;&gt;"",'Calculations'!HR394,IF('Calculations'!HQ394&lt;&gt;"",'Calculations'!HQ394,IF('Calculations'!HP394&lt;&gt;"",'Calculations'!HP394,IF('Calculations'!HO394&lt;&gt;"",'Calculations'!HO394,'Calculations'!HE394))))))))))))))))))))))</x:f>
      </x:c>
      <x:c r="HN394" t="str">
        <x:f>IF('Calculations'!EM394="","",IF(IFERROR(IF(INDEX(INDIRECT("'WCM Calibration Final'!$F$1:$F$2000"),'Calculations'!$EM394)="","",TRIM(INDEX(INDIRECT("'WCM Calibration Final'!$F$1:$F$2000"),'Calculations'!$EM394)&amp;"")),"")="","(Blank)",IFERROR(IF(INDEX(INDIRECT("'WCM Calibration Final'!$F$1:$F$2000"),'Calculations'!$EM394)="","",TRIM(INDEX(INDIRECT("'WCM Calibration Final'!$F$1:$F$2000"),'Calculations'!$EM394)&amp;"")),"")))</x:f>
      </x:c>
      <x:c r="HO394" t="str">
        <x:f>'Calculations'!HF394</x:f>
      </x:c>
      <x:c r="HP394" t="str">
        <x:f>IF('Calculations'!HO394="","",IF('Calculations'!HO394="!AMBIG","!AMBIG",IF(COUNTIF('Calculations'!$HE$13:$HE$512,"="&amp;SUBSTITUTE(SUBSTITUTE(SUBSTITUTE('Calculations'!HO394,"~","~~"),"*","~*"),"?","~?"))&gt;1,"!AMBIG",IFERROR(INDEX('Calculations'!$HF$13:$HF$512,MATCH('Calculations'!HO394,'Calculations'!$HE$13:$HE$512,0)),""))))</x:f>
      </x:c>
      <x:c r="HQ394" t="str">
        <x:f>IF('Calculations'!HP394="","",IF('Calculations'!HP394="!AMBIG","!AMBIG",IF(COUNTIF('Calculations'!$HE$13:$HE$512,"="&amp;SUBSTITUTE(SUBSTITUTE(SUBSTITUTE('Calculations'!HP394,"~","~~"),"*","~*"),"?","~?"))&gt;1,"!AMBIG",IFERROR(INDEX('Calculations'!$HF$13:$HF$512,MATCH('Calculations'!HP394,'Calculations'!$HE$13:$HE$512,0)),""))))</x:f>
      </x:c>
      <x:c r="HR394" t="str">
        <x:f>IF('Calculations'!HQ394="","",IF('Calculations'!HQ394="!AMBIG","!AMBIG",IF(COUNTIF('Calculations'!$HE$13:$HE$512,"="&amp;SUBSTITUTE(SUBSTITUTE(SUBSTITUTE('Calculations'!HQ394,"~","~~"),"*","~*"),"?","~?"))&gt;1,"!AMBIG",IFERROR(INDEX('Calculations'!$HF$13:$HF$512,MATCH('Calculations'!HQ394,'Calculations'!$HE$13:$HE$512,0)),""))))</x:f>
      </x:c>
      <x:c r="HS394" t="str">
        <x:f>IF('Calculations'!HR394="","",IF('Calculations'!HR394="!AMBIG","!AMBIG",IF(COUNTIF('Calculations'!$HE$13:$HE$512,"="&amp;SUBSTITUTE(SUBSTITUTE(SUBSTITUTE('Calculations'!HR394,"~","~~"),"*","~*"),"?","~?"))&gt;1,"!AMBIG",IFERROR(INDEX('Calculations'!$HF$13:$HF$512,MATCH('Calculations'!HR394,'Calculations'!$HE$13:$HE$512,0)),""))))</x:f>
      </x:c>
      <x:c r="HT394" t="str">
        <x:f>IF('Calculations'!HS394="","",IF('Calculations'!HS394="!AMBIG","!AMBIG",IF(COUNTIF('Calculations'!$HE$13:$HE$512,"="&amp;SUBSTITUTE(SUBSTITUTE(SUBSTITUTE('Calculations'!HS394,"~","~~"),"*","~*"),"?","~?"))&gt;1,"!AMBIG",IFERROR(INDEX('Calculations'!$HF$13:$HF$512,MATCH('Calculations'!HS394,'Calculations'!$HE$13:$HE$512,0)),""))))</x:f>
      </x:c>
      <x:c r="HU394" t="str">
        <x:f>IF('Calculations'!HT394="","",IF('Calculations'!HT394="!AMBIG","!AMBIG",IF(COUNTIF('Calculations'!$HE$13:$HE$512,"="&amp;SUBSTITUTE(SUBSTITUTE(SUBSTITUTE('Calculations'!HT394,"~","~~"),"*","~*"),"?","~?"))&gt;1,"!AMBIG",IFERROR(INDEX('Calculations'!$HF$13:$HF$512,MATCH('Calculations'!HT394,'Calculations'!$HE$13:$HE$512,0)),""))))</x:f>
      </x:c>
      <x:c r="HV394" t="str">
        <x:f>IF('Calculations'!HU394="","",IF('Calculations'!HU394="!AMBIG","!AMBIG",IF(COUNTIF('Calculations'!$HE$13:$HE$512,"="&amp;SUBSTITUTE(SUBSTITUTE(SUBSTITUTE('Calculations'!HU394,"~","~~"),"*","~*"),"?","~?"))&gt;1,"!AMBIG",IFERROR(INDEX('Calculations'!$HF$13:$HF$512,MATCH('Calculations'!HU394,'Calculations'!$HE$13:$HE$512,0)),""))))</x:f>
      </x:c>
      <x:c r="HW394" t="str">
        <x:f>IF('Calculations'!HV394="","",IF('Calculations'!HV394="!AMBIG","!AMBIG",IF(COUNTIF('Calculations'!$HE$13:$HE$512,"="&amp;SUBSTITUTE(SUBSTITUTE(SUBSTITUTE('Calculations'!HV394,"~","~~"),"*","~*"),"?","~?"))&gt;1,"!AMBIG",IFERROR(INDEX('Calculations'!$HF$13:$HF$512,MATCH('Calculations'!HV394,'Calculations'!$HE$13:$HE$512,0)),""))))</x:f>
      </x:c>
      <x:c r="HX394" t="str">
        <x:f>IF('Calculations'!HW394="","",IF('Calculations'!HW394="!AMBIG","!AMBIG",IF(COUNTIF('Calculations'!$HE$13:$HE$512,"="&amp;SUBSTITUTE(SUBSTITUTE(SUBSTITUTE('Calculations'!HW394,"~","~~"),"*","~*"),"?","~?"))&gt;1,"!AMBIG",IFERROR(INDEX('Calculations'!$HF$13:$HF$512,MATCH('Calculations'!HW394,'Calculations'!$HE$13:$HE$512,0)),""))))</x:f>
      </x:c>
      <x:c r="HY394" t="str">
        <x:f>IF('Calculations'!HX394="","",IF('Calculations'!HX394="!AMBIG","!AMBIG",IF(COUNTIF('Calculations'!$HE$13:$HE$512,"="&amp;SUBSTITUTE(SUBSTITUTE(SUBSTITUTE('Calculations'!HX394,"~","~~"),"*","~*"),"?","~?"))&gt;1,"!AMBIG",IFERROR(INDEX('Calculations'!$HF$13:$HF$512,MATCH('Calculations'!HX394,'Calculations'!$HE$13:$HE$512,0)),""))))</x:f>
      </x:c>
      <x:c r="HZ394" t="str">
        <x:f>IF('Calculations'!HY394="","",IF('Calculations'!HY394="!AMBIG","!AMBIG",IF(COUNTIF('Calculations'!$HE$13:$HE$512,"="&amp;SUBSTITUTE(SUBSTITUTE(SUBSTITUTE('Calculations'!HY394,"~","~~"),"*","~*"),"?","~?"))&gt;1,"!AMBIG",IFERROR(INDEX('Calculations'!$HF$13:$HF$512,MATCH('Calculations'!HY394,'Calculations'!$HE$13:$HE$512,0)),""))))</x:f>
      </x:c>
      <x:c r="IA394" t="str">
        <x:f>IF('Calculations'!HZ394="","",IF('Calculations'!HZ394="!AMBIG","!AMBIG",IF(COUNTIF('Calculations'!$HE$13:$HE$512,"="&amp;SUBSTITUTE(SUBSTITUTE(SUBSTITUTE('Calculations'!HZ394,"~","~~"),"*","~*"),"?","~?"))&gt;1,"!AMBIG",IFERROR(INDEX('Calculations'!$HF$13:$HF$512,MATCH('Calculations'!HZ394,'Calculations'!$HE$13:$HE$512,0)),""))))</x:f>
      </x:c>
      <x:c r="IB394" t="str">
        <x:f>IF('Calculations'!IA394="","",IF('Calculations'!IA394="!AMBIG","!AMBIG",IF(COUNTIF('Calculations'!$HE$13:$HE$512,"="&amp;SUBSTITUTE(SUBSTITUTE(SUBSTITUTE('Calculations'!IA394,"~","~~"),"*","~*"),"?","~?"))&gt;1,"!AMBIG",IFERROR(INDEX('Calculations'!$HF$13:$HF$512,MATCH('Calculations'!IA394,'Calculations'!$HE$13:$HE$512,0)),""))))</x:f>
      </x:c>
      <x:c r="IC394" t="str">
        <x:f>IF('Calculations'!IB394="","",IF('Calculations'!IB394="!AMBIG","!AMBIG",IF(COUNTIF('Calculations'!$HE$13:$HE$512,"="&amp;SUBSTITUTE(SUBSTITUTE(SUBSTITUTE('Calculations'!IB394,"~","~~"),"*","~*"),"?","~?"))&gt;1,"!AMBIG",IFERROR(INDEX('Calculations'!$HF$13:$HF$512,MATCH('Calculations'!IB394,'Calculations'!$HE$13:$HE$512,0)),""))))</x:f>
      </x:c>
      <x:c r="ID394" t="str">
        <x:f>IF('Calculations'!IC394="","",IF('Calculations'!IC394="!AMBIG","!AMBIG",IF(COUNTIF('Calculations'!$HE$13:$HE$512,"="&amp;SUBSTITUTE(SUBSTITUTE(SUBSTITUTE('Calculations'!IC394,"~","~~"),"*","~*"),"?","~?"))&gt;1,"!AMBIG",IFERROR(INDEX('Calculations'!$HF$13:$HF$512,MATCH('Calculations'!IC394,'Calculations'!$HE$13:$HE$512,0)),""))))</x:f>
      </x:c>
      <x:c r="IE394" t="str">
        <x:f>IF('Calculations'!ID394="","",IF('Calculations'!ID394="!AMBIG","!AMBIG",IF(COUNTIF('Calculations'!$HE$13:$HE$512,"="&amp;SUBSTITUTE(SUBSTITUTE(SUBSTITUTE('Calculations'!ID394,"~","~~"),"*","~*"),"?","~?"))&gt;1,"!AMBIG",IFERROR(INDEX('Calculations'!$HF$13:$HF$512,MATCH('Calculations'!ID394,'Calculations'!$HE$13:$HE$512,0)),""))))</x:f>
      </x:c>
      <x:c r="IF394" t="str">
        <x:f>IF('Calculations'!IE394="","",IF('Calculations'!IE394="!AMBIG","!AMBIG",IF(COUNTIF('Calculations'!$HE$13:$HE$512,"="&amp;SUBSTITUTE(SUBSTITUTE(SUBSTITUTE('Calculations'!IE394,"~","~~"),"*","~*"),"?","~?"))&gt;1,"!AMBIG",IFERROR(INDEX('Calculations'!$HF$13:$HF$512,MATCH('Calculations'!IE394,'Calculations'!$HE$13:$HE$512,0)),""))))</x:f>
      </x:c>
      <x:c r="IG394" t="str">
        <x:f>IF('Calculations'!IF394="","",IF('Calculations'!IF394="!AMBIG","!AMBIG",IF(COUNTIF('Calculations'!$HE$13:$HE$512,"="&amp;SUBSTITUTE(SUBSTITUTE(SUBSTITUTE('Calculations'!IF394,"~","~~"),"*","~*"),"?","~?"))&gt;1,"!AMBIG",IFERROR(INDEX('Calculations'!$HF$13:$HF$512,MATCH('Calculations'!IF394,'Calculations'!$HE$13:$HE$512,0)),""))))</x:f>
      </x:c>
      <x:c r="IH394" t="str">
        <x:f>IF('Calculations'!IG394="","",IF('Calculations'!IG394="!AMBIG","!AMBIG",IF(COUNTIF('Calculations'!$HE$13:$HE$512,"="&amp;SUBSTITUTE(SUBSTITUTE(SUBSTITUTE('Calculations'!IG394,"~","~~"),"*","~*"),"?","~?"))&gt;1,"!AMBIG",IFERROR(INDEX('Calculations'!$HF$13:$HF$512,MATCH('Calculations'!IG394,'Calculations'!$HE$13:$HE$512,0)),""))))</x:f>
      </x:c>
      <x:c r="II394" t="str">
        <x:f>IF('Calculations'!IH394="","",IF('Calculations'!IH394="!AMBIG","!AMBIG",IF(COUNTIF('Calculations'!$HE$13:$HE$512,"="&amp;SUBSTITUTE(SUBSTITUTE(SUBSTITUTE('Calculations'!IH394,"~","~~"),"*","~*"),"?","~?"))&gt;1,"!AMBIG",IFERROR(INDEX('Calculations'!$HF$13:$HF$512,MATCH('Calculations'!IH394,'Calculations'!$HE$13:$HE$512,0)),""))))</x:f>
      </x:c>
      <x:c r="IJ394" t="str">
        <x:f>IF('Calculations'!EM394="","",IF('Calculations'!$EF$2="All",'Calculations'!HM394,IF('Calculations'!HL394=1,"",IFERROR(IF(MATCH('Calculations'!$EF$2,'Calculations'!HO394:II394,0)=1,'Calculations'!HE394,INDEX('Calculations'!HO394:II394,1,MATCH('Calculations'!$EF$2,'Calculations'!HO394:II394,0)-1)),""))))</x:f>
      </x:c>
      <x:c r="IK394" t="n">
        <x:f>IF(AND('Calculations'!EM394&lt;&gt;"",'Calculations'!$EF$2&lt;&gt;"All",'Calculations'!HF394='Calculations'!$EF$2,'Calculations'!HL394=0,'Calculations'!JD394&gt;0),MAX('Calculations'!$IK$12:IK393)+1,0)</x:f>
        <x:v>0</x:v>
      </x:c>
      <x:c r="JA394" t="n">
        <x:f>IF(OR(IFERROR(INDIRECT("'WCM Calibration Final'!$A$394")&lt;&gt;"",FALSE),IFERROR(INDIRECT("'WCM Calibration Final'!$B$394")&lt;&gt;"",FALSE),IFERROR(INDIRECT("'WCM Calibration Final'!$C$394")&lt;&gt;"",FALSE)),394,0)</x:f>
        <x:v>0</x:v>
      </x:c>
      <x:c r="JB394" t="n">
        <x:f>'Calculations'!JB393+IF('Calculations'!JA394&gt;0,1,0)</x:f>
        <x:v>0</x:v>
      </x:c>
      <x:c r="JC394" t="n">
        <x:f>IF(OR('Calculations'!HF394="",'Calculations'!HF394="!AMBIG"),0,IF('Dashboard'!$B$7="All",1,COUNTIFS('Calculations'!$HO$13:$HO$512,"="&amp;SUBSTITUTE(SUBSTITUTE(SUBSTITUTE('Calculations'!HF394,"~","~~"),"*","~*"),"?","~?"),'Calculations'!$HN$13:$HN$512,"="&amp;SUBSTITUTE(SUBSTITUTE(SUBSTITUTE('Dashboard'!$B$7,"~","~~"),"*","~*"),"?","~?"))+COUNTIFS('Calculations'!$HP$13:$HP$512,"="&amp;SUBSTITUTE(SUBSTITUTE(SUBSTITUTE('Calculations'!HF394,"~","~~"),"*","~*"),"?","~?"),'Calculations'!$HN$13:$HN$512,"="&amp;SUBSTITUTE(SUBSTITUTE(SUBSTITUTE('Dashboard'!$B$7,"~","~~"),"*","~*"),"?","~?"))+COUNTIFS('Calculations'!$HQ$13:$HQ$512,"="&amp;SUBSTITUTE(SUBSTITUTE(SUBSTITUTE('Calculations'!HF394,"~","~~"),"*","~*"),"?","~?"),'Calculations'!$HN$13:$HN$512,"="&amp;SUBSTITUTE(SUBSTITUTE(SUBSTITUTE('Dashboard'!$B$7,"~","~~"),"*","~*"),"?","~?"))+COUNTIFS('Calculations'!$HR$13:$HR$512,"="&amp;SUBSTITUTE(SUBSTITUTE(SUBSTITUTE('Calculations'!HF394,"~","~~"),"*","~*"),"?","~?"),'Calculations'!$HN$13:$HN$512,"="&amp;SUBSTITUTE(SUBSTITUTE(SUBSTITUTE('Dashboard'!$B$7,"~","~~"),"*","~*"),"?","~?"))+COUNTIFS('Calculations'!$HS$13:$HS$512,"="&amp;SUBSTITUTE(SUBSTITUTE(SUBSTITUTE('Calculations'!HF394,"~","~~"),"*","~*"),"?","~?"),'Calculations'!$HN$13:$HN$512,"="&amp;SUBSTITUTE(SUBSTITUTE(SUBSTITUTE('Dashboard'!$B$7,"~","~~"),"*","~*"),"?","~?"))+COUNTIFS('Calculations'!$HT$13:$HT$512,"="&amp;SUBSTITUTE(SUBSTITUTE(SUBSTITUTE('Calculations'!HF394,"~","~~"),"*","~*"),"?","~?"),'Calculations'!$HN$13:$HN$512,"="&amp;SUBSTITUTE(SUBSTITUTE(SUBSTITUTE('Dashboard'!$B$7,"~","~~"),"*","~*"),"?","~?"))+COUNTIFS('Calculations'!$HU$13:$HU$512,"="&amp;SUBSTITUTE(SUBSTITUTE(SUBSTITUTE('Calculations'!HF394,"~","~~"),"*","~*"),"?","~?"),'Calculations'!$HN$13:$HN$512,"="&amp;SUBSTITUTE(SUBSTITUTE(SUBSTITUTE('Dashboard'!$B$7,"~","~~"),"*","~*"),"?","~?"))+COUNTIFS('Calculations'!$HV$13:$HV$512,"="&amp;SUBSTITUTE(SUBSTITUTE(SUBSTITUTE('Calculations'!HF394,"~","~~"),"*","~*"),"?","~?"),'Calculations'!$HN$13:$HN$512,"="&amp;SUBSTITUTE(SUBSTITUTE(SUBSTITUTE('Dashboard'!$B$7,"~","~~"),"*","~*"),"?","~?"))+COUNTIFS('Calculations'!$HW$13:$HW$512,"="&amp;SUBSTITUTE(SUBSTITUTE(SUBSTITUTE('Calculations'!HF394,"~","~~"),"*","~*"),"?","~?"),'Calculations'!$HN$13:$HN$512,"="&amp;SUBSTITUTE(SUBSTITUTE(SUBSTITUTE('Dashboard'!$B$7,"~","~~"),"*","~*"),"?","~?"))+COUNTIFS('Calculations'!$HX$13:$HX$512,"="&amp;SUBSTITUTE(SUBSTITUTE(SUBSTITUTE('Calculations'!HF394,"~","~~"),"*","~*"),"?","~?"),'Calculations'!$HN$13:$HN$512,"="&amp;SUBSTITUTE(SUBSTITUTE(SUBSTITUTE('Dashboard'!$B$7,"~","~~"),"*","~*"),"?","~?"))+COUNTIFS('Calculations'!$HY$13:$HY$512,"="&amp;SUBSTITUTE(SUBSTITUTE(SUBSTITUTE('Calculations'!HF394,"~","~~"),"*","~*"),"?","~?"),'Calculations'!$HN$13:$HN$512,"="&amp;SUBSTITUTE(SUBSTITUTE(SUBSTITUTE('Dashboard'!$B$7,"~","~~"),"*","~*"),"?","~?"))+COUNTIFS('Calculations'!$HZ$13:$HZ$512,"="&amp;SUBSTITUTE(SUBSTITUTE(SUBSTITUTE('Calculations'!HF394,"~","~~"),"*","~*"),"?","~?"),'Calculations'!$HN$13:$HN$512,"="&amp;SUBSTITUTE(SUBSTITUTE(SUBSTITUTE('Dashboard'!$B$7,"~","~~"),"*","~*"),"?","~?"))+COUNTIFS('Calculations'!$IA$13:$IA$512,"="&amp;SUBSTITUTE(SUBSTITUTE(SUBSTITUTE('Calculations'!HF394,"~","~~"),"*","~*"),"?","~?"),'Calculations'!$HN$13:$HN$512,"="&amp;SUBSTITUTE(SUBSTITUTE(SUBSTITUTE('Dashboard'!$B$7,"~","~~"),"*","~*"),"?","~?"))+COUNTIFS('Calculations'!$IB$13:$IB$512,"="&amp;SUBSTITUTE(SUBSTITUTE(SUBSTITUTE('Calculations'!HF394,"~","~~"),"*","~*"),"?","~?"),'Calculations'!$HN$13:$HN$512,"="&amp;SUBSTITUTE(SUBSTITUTE(SUBSTITUTE('Dashboard'!$B$7,"~","~~"),"*","~*"),"?","~?"))+COUNTIFS('Calculations'!$IC$13:$IC$512,"="&amp;SUBSTITUTE(SUBSTITUTE(SUBSTITUTE('Calculations'!HF394,"~","~~"),"*","~*"),"?","~?"),'Calculations'!$HN$13:$HN$512,"="&amp;SUBSTITUTE(SUBSTITUTE(SUBSTITUTE('Dashboard'!$B$7,"~","~~"),"*","~*"),"?","~?"))+COUNTIFS('Calculations'!$ID$13:$ID$512,"="&amp;SUBSTITUTE(SUBSTITUTE(SUBSTITUTE('Calculations'!HF394,"~","~~"),"*","~*"),"?","~?"),'Calculations'!$HN$13:$HN$512,"="&amp;SUBSTITUTE(SUBSTITUTE(SUBSTITUTE('Dashboard'!$B$7,"~","~~"),"*","~*"),"?","~?"))+COUNTIFS('Calculations'!$IE$13:$IE$512,"="&amp;SUBSTITUTE(SUBSTITUTE(SUBSTITUTE('Calculations'!HF394,"~","~~"),"*","~*"),"?","~?"),'Calculations'!$HN$13:$HN$512,"="&amp;SUBSTITUTE(SUBSTITUTE(SUBSTITUTE('Dashboard'!$B$7,"~","~~"),"*","~*"),"?","~?"))+COUNTIFS('Calculations'!$IF$13:$IF$512,"="&amp;SUBSTITUTE(SUBSTITUTE(SUBSTITUTE('Calculations'!HF394,"~","~~"),"*","~*"),"?","~?"),'Calculations'!$HN$13:$HN$512,"="&amp;SUBSTITUTE(SUBSTITUTE(SUBSTITUTE('Dashboard'!$B$7,"~","~~"),"*","~*"),"?","~?"))+COUNTIFS('Calculations'!$IG$13:$IG$512,"="&amp;SUBSTITUTE(SUBSTITUTE(SUBSTITUTE('Calculations'!HF394,"~","~~"),"*","~*"),"?","~?"),'Calculations'!$HN$13:$HN$512,"="&amp;SUBSTITUTE(SUBSTITUTE(SUBSTITUTE('Dashboard'!$B$7,"~","~~"),"*","~*"),"?","~?"))+COUNTIFS('Calculations'!$IH$13:$IH$512,"="&amp;SUBSTITUTE(SUBSTITUTE(SUBSTITUTE('Calculations'!HF394,"~","~~"),"*","~*"),"?","~?"),'Calculations'!$HN$13:$HN$512,"="&amp;SUBSTITUTE(SUBSTITUTE(SUBSTITUTE('Dashboard'!$B$7,"~","~~"),"*","~*"),"?","~?"))))</x:f>
        <x:v>0</x:v>
      </x:c>
      <x:c r="JD394" t="n">
        <x:f>IF('Calculations'!EM394="",0,IF('Dashboard'!$B$7="All",1,IF('Calculations'!HN394='Dashboard'!$B$7,1,0)+IFERROR(INDEX('Calculations'!$JC$13:$JC$512,MATCH('Calculations'!HE394,'Calculations'!$HF$13:$HF$512,0)),0)))</x:f>
        <x:v>0</x:v>
      </x:c>
      <x:c r="JE394" t="n">
        <x:f>IF(AND('Calculations'!EM394&lt;&gt;"",'Calculations'!$JJ$2&lt;&gt;"All",'Calculations'!$JJ$2&lt;&gt;"",'Calculations'!HF394='Calculations'!$JJ$2,'Calculations'!HL394=0,'Calculations'!JD394&gt;0),MAX('Calculations'!$JE$12:JE393)+1,0)</x:f>
        <x:v>0</x:v>
      </x:c>
      <x:c r="JF394" t="str">
        <x:f>IF('Calculations'!EM394="","",IFERROR(IF(INDEX(INDIRECT("'WCM Calibration Final'!$G$1:$G$2000"),'Calculations'!$EM394)="","",TRIM(INDEX(INDIRECT("'WCM Calibration Final'!$G$1:$G$2000"),'Calculations'!$EM394)&amp;"")),""))</x:f>
      </x:c>
      <x:c r="JQ394" t="n">
        <x:f>IF(OR('Calculations'!BM394=0,NOT('Calculations'!$AG$2),'Calculations'!$AG$8&gt;0),0,IF(OR('Dashboard'!$B$7="All",'Calculations'!HN394='Dashboard'!$B$7),IF('Calculations'!$JJ$2="All",1,IF(AND('Calculations'!HF394='Calculations'!$JJ$2,'Calculations'!HL394=0),1,0)),0))</x:f>
        <x:v>0</x:v>
      </x:c>
    </x:row>
    <x:row r="395">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t="n">
        <x:f>IF('Calculations'!$EM395="",0,IF(OR(IFERROR(INDEX(INDIRECT("'WCM Calibration Final'!$A$1:$A$2000"),'Calculations'!$EM395)&lt;&gt;"",FALSE),IFERROR(INDEX(INDIRECT("'WCM Calibration Final'!$B$1:$B$2000"),'Calculations'!$EM395)&lt;&gt;"",FALSE),IFERROR(INDEX(INDIRECT("'WCM Calibration Final'!$C$1:$C$2000"),'Calculations'!$EM395)&lt;&gt;"",FALSE)),1,0))</x:f>
        <x:v>0</x:v>
      </x:c>
      <x:c r="BN395" s="4" t="n">
        <x:f>IF(AND('Calculations'!BM395=1,'Calculations'!$AG$2,'Calculations'!$EN395=1),1,0)</x:f>
        <x:v>0</x:v>
      </x:c>
      <x:c r="BO395" s="4" t="str">
        <x:f>IF('Calculations'!BM395=0,"",IFERROR(IF(AND(VALUE(INDEX(INDIRECT("'WCM Calibration Final'!$K$1:$K$2000"),'Calculations'!$EM395))&gt;=1,VALUE(INDEX(INDIRECT("'WCM Calibration Final'!$K$1:$K$2000"),'Calculations'!$EM395))&lt;=4,MOD(VALUE(INDEX(INDIRECT("'WCM Calibration Final'!$K$1:$K$2000"),'Calculations'!$EM395)),1)=0),VALUE(INDEX(INDIRECT("'WCM Calibration Final'!$K$1:$K$2000"),'Calculations'!$EM395)),""),""))</x:f>
      </x:c>
      <x:c r="BP395" s="4" t="str">
        <x:f>IF('Calculations'!BM395=0,"",IFERROR(IF(AND(VALUE(INDEX(INDIRECT("'WCM Calibration Final'!$L$1:$L$2000"),'Calculations'!$EM395))&gt;=1,VALUE(INDEX(INDIRECT("'WCM Calibration Final'!$L$1:$L$2000"),'Calculations'!$EM395))&lt;=4,MOD(VALUE(INDEX(INDIRECT("'WCM Calibration Final'!$L$1:$L$2000"),'Calculations'!$EM395)),1)=0),VALUE(INDEX(INDIRECT("'WCM Calibration Final'!$L$1:$L$2000"),'Calculations'!$EM395)),""),""))</x:f>
      </x:c>
      <x:c r="BQ395" s="4"/>
      <x:c r="BR395" s="4"/>
      <x:c r="BS395" s="4"/>
      <x:c r="BT395" s="4" t="n">
        <x:f>IF(AND('Calculations'!BM395=1,ISNUMBER('Calculations'!BO395),ISNUMBER('Calculations'!BP395)),1,0)</x:f>
        <x:v>0</x:v>
      </x:c>
      <x:c r="BU395" s="4" t="str">
        <x:f>IF('Calculations'!BM395=0,"",'Calculations'!$EO395)</x:f>
      </x:c>
      <x:c r="BV395" s="4" t="str">
        <x:f>IF('Calculations'!BM395=0,"",IFERROR(IF(OR(INDEX(INDIRECT("'WCM Calibration Final'!$H$1:$H$2000"),'Calculations'!$EM395)="MANAGING DIRECTOR",INDEX(INDIRECT("'WCM Calibration Final'!$H$1:$H$2000"),'Calculations'!$EM395)="DIRECTOR",INDEX(INDIRECT("'WCM Calibration Final'!$H$1:$H$2000"),'Calculations'!$EM395)="SENIOR VICE PRESIDENT",INDEX(INDIRECT("'WCM Calibration Final'!$H$1:$H$2000"),'Calculations'!$EM395)="VICE PRESIDENT",INDEX(INDIRECT("'WCM Calibration Final'!$H$1:$H$2000"),'Calculations'!$EM395)="ASSISTANT VICE PRESIDENT",INDEX(INDIRECT("'WCM Calibration Final'!$H$1:$H$2000"),'Calculations'!$EM395)="OFFICER"),UPPER(INDEX(INDIRECT("'WCM Calibration Final'!$H$1:$H$2000"),'Calculations'!$EM395)),"Other"),"Other"))</x:f>
      </x:c>
      <x:c r="BW395" s="4"/>
      <x:c r="BX395" s="4"/>
      <x:c r="BY395" s="4" t="n">
        <x:f>IF(AND('Calculations'!BM395=1,'Calculations'!BU395&lt;&gt;"",COUNTIF('Calculations'!$BU$12:BU395,'Calculations'!BU395)=1),MAX('Calculations'!$BY$11:BY394)+1,0)</x:f>
        <x:v>0</x:v>
      </x:c>
      <x:c r="BZ395" s="4" t="str">
        <x:f>IF('Dashboard'!$E$67="What",'Calculations'!BO395,'Calculations'!BP395)</x:f>
      </x:c>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t="str">
        <x:f>IF(384&gt;MAX('Calculations'!$HI$13:$HI$512),"",INDEX('Calculations'!$HN$13:$HN$512,MATCH(384,'Calculations'!$HI$13:$HI$512,0)))</x:f>
      </x:c>
      <x:c r="DB395" s="4" t="str">
        <x:f>IF(384&gt;MAX('Calculations'!$HH$13:$HH$512),"",INDEX('Calculations'!$HJ$13:$HJ$512,MATCH(384,'Calculations'!$HH$13:$HH$512,0)))</x:f>
      </x:c>
      <x:c r="DC395" s="4" t="str">
        <x:f>IF(ROW()-11&gt;MAX('Calculations'!$BY$13:$BY$512),"",INDEX('Calculations'!$BU$13:$BU$512,MATCH(ROW()-11,'Calculations'!$BY$13:$BY$512,0)))</x:f>
      </x:c>
      <x:c r="DD395" s="4" t="str">
        <x:f>IF(384&gt;MAX('Calculations'!$IK$13:$IK$512),"",INDEX('Calculations'!$HK$13:$HK$512,MATCH(384,'Calculations'!$IK$13:$IK$512,0)))</x:f>
      </x:c>
      <x:c r="DE395" s="4" t="str">
        <x:f>'Calculations'!DC395</x:f>
      </x:c>
      <x:c r="DF395" s="4" t="str">
        <x:f>IF('Calculations'!DE395="","",COUNTIFS('Calculations'!$BN$13:$BN$512,1,'Calculations'!$BU$13:$BU$512,'Calculations'!DE395))</x:f>
      </x:c>
      <x:c r="DG395" s="4" t="str">
        <x:f>IF('Calculations'!DE395="","",COUNTIFS('Calculations'!$BN$13:$BN$512,1,'Calculations'!$BU$13:$BU$512,'Calculations'!DE395,'Calculations'!$BT$13:$BT$512,1))</x:f>
      </x:c>
      <x:c r="DH395" s="4" t="str">
        <x:f>IF('Calculations'!DE395="","",'Calculations'!DF395-'Calculations'!DG395)</x:f>
      </x:c>
      <x:c r="DI395" s="4" t="str">
        <x:f>IF(OR('Calculations'!DE395="",'Calculations'!DF395=0),"",'Calculations'!DG395/'Calculations'!DF395)</x:f>
      </x:c>
      <x:c r="DJ395" s="4" t="str">
        <x:f>IF('Calculations'!DE395="","",COUNTIFS('Calculations'!$BN$13:$BN$512,1,'Calculations'!$BU$13:$BU$512,'Calculations'!DE395,'Calculations'!$BT$13:$BT$512,1,'Calculations'!$EE$13:$EE$512,"High"))</x:f>
      </x:c>
      <x:c r="DK395" s="4" t="str">
        <x:f>IF('Calculations'!DE395="","",COUNTIFS('Calculations'!$BN$13:$BN$512,1,'Calculations'!$BU$13:$BU$512,'Calculations'!DE395,'Calculations'!$BT$13:$BT$512,1,'Calculations'!$EE$13:$EE$512,"Strong"))</x:f>
      </x:c>
      <x:c r="DL395" s="4" t="str">
        <x:f>IF('Calculations'!DE395="","",COUNTIFS('Calculations'!$BN$13:$BN$512,1,'Calculations'!$BU$13:$BU$512,'Calculations'!DE395,'Calculations'!$BT$13:$BT$512,1,'Calculations'!$EE$13:$EE$512,"Solid"))</x:f>
      </x:c>
      <x:c r="DM395" s="4" t="str">
        <x:f>IF('Calculations'!DE395="","",COUNTIFS('Calculations'!$BN$13:$BN$512,1,'Calculations'!$BU$13:$BU$512,'Calculations'!DE395,'Calculations'!$BT$13:$BT$512,1,'Calculations'!$EE$13:$EE$512,"Low"))</x:f>
      </x:c>
      <x:c r="DN395" s="4" t="str">
        <x:f>IF('Calculations'!DE395="","",COUNTIFS('Calculations'!$BN$13:$BN$512,1,'Calculations'!$BU$13:$BU$512,'Calculations'!DE395,'Calculations'!$EP$13:$EP$512,1))</x:f>
      </x:c>
      <x:c r="DO395" s="4" t="str">
        <x:f>IF(OR('Calculations'!DE395="",'Calculations'!DG395=0),"",('Calculations'!DJ395+'Calculations'!DK395)/'Calculations'!DG395)</x:f>
      </x:c>
      <x:c r="DP395" s="4" t="n">
        <x:f>IF(AND('Calculations'!DE395&lt;&gt;"",'Calculations'!DF395&gt;0),COUNTIF('Calculations'!$DF$12:DF395,"&gt;0"),0)</x:f>
        <x:v>0</x:v>
      </x:c>
      <x:c r="DQ395" s="4" t="str">
        <x:f>IF(384&gt;MAX('Calculations'!$HH$13:$HH$512),"",INDEX('Calculations'!$HF$13:$HF$512,MATCH(384,'Calculations'!$HH$13:$HH$512,0)))</x:f>
      </x:c>
      <x:c r="DR395" s="4" t="str">
        <x:f>IF(384&gt;MAX('Calculations'!$IK$13:$IK$512),"",INDEX('Calculations'!$HE$13:$HE$512,MATCH(384,'Calculations'!$IK$13:$IK$512,0)))</x:f>
      </x:c>
      <x:c r="DS395" s="4"/>
      <x:c r="DT395" s="4"/>
      <x:c r="DU395" s="4"/>
      <x:c r="DV395" s="4"/>
      <x:c r="DW395" s="4"/>
      <x:c r="DX395" s="4"/>
      <x:c r="DY395" s="4"/>
      <x:c r="DZ395" s="4"/>
      <x:c r="EA395" s="4"/>
      <x:c r="EB395" s="4"/>
      <x:c r="EC395" s="4"/>
      <x:c r="ED395" s="4"/>
      <x:c r="EE395" s="4" t="str">
        <x:f>IF('Calculations'!BT395=0,"Not Rated",IF(OR('Calculations'!BO395&gt;=4,'Calculations'!BP395&gt;=4),"Low",IF('Calculations'!BO395+'Calculations'!BP395&lt;=3,"High",IF('Calculations'!BO395+'Calculations'!BP395&lt;=4,"Strong","Solid"))))</x:f>
        <x:v>Not Rated</x:v>
      </x:c>
      <x:c r="EF395" s="4"/>
      <x:c r="EG395" s="4"/>
      <x:c r="EH395" s="4"/>
      <x:c r="EI395" s="4"/>
      <x:c r="EJ395" s="4"/>
      <x:c r="EK395" s="4"/>
      <x:c r="EL395" s="4"/>
      <x:c r="EM395" s="4" t="str">
        <x:f>IF(383&gt;'Calculations'!$JB$2000,"",INDEX('Calculations'!$JA$12:$JA$2000,MATCH(383,'Calculations'!$JB$12:$JB$2000,0)))</x:f>
      </x:c>
      <x:c r="EN395" s="4" t="n">
        <x:f>IF(OR('Calculations'!EM395="",'Calculations'!$AG$8&gt;0,AND('Calculations'!$EF$2&lt;&gt;"All",'Calculations'!HE395='Calculations'!$EF$2),AND('Calculations'!$EF$3&lt;&gt;"All",'Calculations'!HE395='Calculations'!$EF$3)),0,IF(OR('Dashboard'!$B$7="All",'Calculations'!HN395='Dashboard'!$B$7),IF('Calculations'!$EF$2="All",1,IF('Calculations'!HL395&gt;0,0,IF(COUNTIF('Calculations'!HO395:II395,"="&amp;SUBSTITUTE(SUBSTITUTE(SUBSTITUTE('Calculations'!$EF$2,"~","~~"),"*","~*"),"?","~?"))=0,0,IF('Calculations'!$EF$3="All",1,IF(COUNTIF('Calculations'!HO395:II395,"="&amp;SUBSTITUTE(SUBSTITUTE(SUBSTITUTE('Calculations'!$EF$3,"~","~~"),"*","~*"),"?","~?"))&gt;0,1,0))))),0))</x:f>
        <x:v>0</x:v>
      </x:c>
      <x:c r="EO395" s="4" t="str">
        <x:f>IF('Calculations'!IJ395="","",IF('Calculations'!IJ395="!UNRESOLVED","Unresolved hierarchy",IFERROR(INDEX('Calculations'!$HK$13:$HK$512,MATCH('Calculations'!IJ395,'Calculations'!$HE$13:$HE$512,0)),IFERROR(INDEX('Calculations'!$HJ$13:$HJ$512,MATCH('Calculations'!IJ395,'Calculations'!$HF$13:$HF$512,0)),'Calculations'!IJ395))))</x:f>
      </x:c>
      <x:c r="EP395" s="4" t="n">
        <x:f>IF(AND('Calculations'!EM395&lt;&gt;"",'Calculations'!HF395='Calculations'!IJ395),1,0)</x:f>
        <x:v>0</x:v>
      </x:c>
      <x:c r="EQ395" s="4"/>
      <x:c r="ER395" s="4"/>
      <x:c r="ES395" s="4"/>
      <x:c r="ET395" s="4"/>
      <x:c r="EU395" s="4"/>
      <x:c r="EV395" s="4"/>
      <x:c r="EW395" s="4"/>
      <x:c r="EX395" s="4"/>
      <x:c r="EY395" s="4"/>
      <x:c r="EZ395" s="4"/>
      <x:c r="FA395" s="4"/>
      <x:c r="FB395" s="4"/>
      <x:c r="FC395" s="4"/>
      <x:c r="FD395" s="4"/>
      <x:c r="FE395" s="4"/>
      <x:c r="FF395" s="4"/>
      <x:c r="FG395" s="4"/>
      <x:c r="FH395" s="4"/>
      <x:c r="FI395" s="4"/>
      <x:c r="FJ395" s="4"/>
      <x:c r="FK395" s="4"/>
      <x:c r="FL395" s="4"/>
      <x:c r="FM395" s="4"/>
      <x:c r="FN395" s="4"/>
      <x:c r="FO395" s="4"/>
      <x:c r="HE395" t="str">
        <x:f>IF('Calculations'!EM395="","",IF(IFERROR(IF(INDEX(INDIRECT("'WCM Calibration Final'!$A$1:$A$2000"),'Calculations'!$EM395)="","",TRIM(INDEX(INDIRECT("'WCM Calibration Final'!$A$1:$A$2000"),'Calculations'!$EM395)&amp;"")),"")&lt;&gt;"","G:"&amp;IFERROR(TEXT(1*INDEX(INDIRECT("'WCM Calibration Final'!$A$1:$A$2000"),'Calculations'!$EM395),"0"),UPPER(IFERROR(IF(INDEX(INDIRECT("'WCM Calibration Final'!$A$1:$A$2000"),'Calculations'!$EM395)="","",TRIM(INDEX(INDIRECT("'WCM Calibration Final'!$A$1:$A$2000"),'Calculations'!$EM395)&amp;"")),""))),IF(IFERROR(IF(INDEX(INDIRECT("'WCM Calibration Final'!$C$1:$C$2000"),'Calculations'!$EM395)="","",TRIM(INDEX(INDIRECT("'WCM Calibration Final'!$C$1:$C$2000"),'Calculations'!$EM395)&amp;"")),"")&lt;&gt;"","S:"&amp;UPPER(IFERROR(IF(INDEX(INDIRECT("'WCM Calibration Final'!$C$1:$C$2000"),'Calculations'!$EM395)="","",TRIM(INDEX(INDIRECT("'WCM Calibration Final'!$C$1:$C$2000"),'Calculations'!$EM395)&amp;"")),"")),"R:"&amp;'Calculations'!EM395)))</x:f>
      </x:c>
      <x:c r="HF395" t="str">
        <x:f>IF('Calculations'!EM395="","",IF(IFERROR(IF(INDEX(INDIRECT("'WCM Calibration Final'!$D$1:$D$2000"),'Calculations'!$EM395)="","",TRIM(INDEX(INDIRECT("'WCM Calibration Final'!$D$1:$D$2000"),'Calculations'!$EM395)&amp;"")),"")&lt;&gt;"","G:"&amp;IFERROR(TEXT(1*INDEX(INDIRECT("'WCM Calibration Final'!$D$1:$D$2000"),'Calculations'!$EM395),"0"),UPPER(IFERROR(IF(INDEX(INDIRECT("'WCM Calibration Final'!$D$1:$D$2000"),'Calculations'!$EM395)="","",TRIM(INDEX(INDIRECT("'WCM Calibration Final'!$D$1:$D$2000"),'Calculations'!$EM395)&amp;"")),""))),IF(IFERROR(IF(INDEX(INDIRECT("'WCM Calibration Final'!$E$1:$E$2000"),'Calculations'!$EM395)="","",TRIM(INDEX(INDIRECT("'WCM Calibration Final'!$E$1:$E$2000"),'Calculations'!$EM395)&amp;"")),"")="","",IF(COUNTIF('Calculations'!$HG$13:$HG$512,"="&amp;SUBSTITUTE(SUBSTITUTE(SUBSTITUTE(IFERROR(IF(INDEX(INDIRECT("'WCM Calibration Final'!$E$1:$E$2000"),'Calculations'!$EM395)="","",TRIM(INDEX(INDIRECT("'WCM Calibration Final'!$E$1:$E$2000"),'Calculations'!$EM395)&amp;"")),""),"~","~~"),"*","~*"),"?","~?"))=1,INDEX('Calculations'!$HE$13:$HE$512,MATCH(IFERROR(IF(INDEX(INDIRECT("'WCM Calibration Final'!$E$1:$E$2000"),'Calculations'!$EM395)="","",TRIM(INDEX(INDIRECT("'WCM Calibration Final'!$E$1:$E$2000"),'Calculations'!$EM395)&amp;"")),""),'Calculations'!$HG$13:$HG$512,0)),IF(COUNTIF('Calculations'!$HG$13:$HG$512,"="&amp;SUBSTITUTE(SUBSTITUTE(SUBSTITUTE(IFERROR(IF(INDEX(INDIRECT("'WCM Calibration Final'!$E$1:$E$2000"),'Calculations'!$EM395)="","",TRIM(INDEX(INDIRECT("'WCM Calibration Final'!$E$1:$E$2000"),'Calculations'!$EM395)&amp;"")),""),"~","~~"),"*","~*"),"?","~?"))&gt;1,"!AMBIG","X:"&amp;IFERROR(IF(INDEX(INDIRECT("'WCM Calibration Final'!$E$1:$E$2000"),'Calculations'!$EM395)="","",TRIM(INDEX(INDIRECT("'WCM Calibration Final'!$E$1:$E$2000"),'Calculations'!$EM395)&amp;"")),""))))))</x:f>
      </x:c>
      <x:c r="HG395" t="str">
        <x:f>IF('Calculations'!EM395="","",IFERROR(IF(INDEX(INDIRECT("'WCM Calibration Final'!$B$1:$B$2000"),'Calculations'!$EM395)="","",TRIM(INDEX(INDIRECT("'WCM Calibration Final'!$B$1:$B$2000"),'Calculations'!$EM395)&amp;"")),""))</x:f>
      </x:c>
      <x:c r="HH395" t="n">
        <x:f>IF(AND('Calculations'!JC395&gt;0,COUNTIF('Calculations'!$HF$12:HF395,"="&amp;SUBSTITUTE(SUBSTITUTE(SUBSTITUTE('Calculations'!HF395,"~","~~"),"*","~*"),"?","~?"))=1),MAX('Calculations'!$HH$12:HH394)+1,0)</x:f>
        <x:v>0</x:v>
      </x:c>
      <x:c r="HI395" t="n">
        <x:f>IF(AND('Calculations'!HN395&lt;&gt;"",COUNTIF('Calculations'!$HN$12:HN395,"="&amp;SUBSTITUTE(SUBSTITUTE(SUBSTITUTE('Calculations'!HN395,"~","~~"),"*","~*"),"?","~?"))=1),MAX('Calculations'!$HI$12:HI394)+1,0)</x:f>
        <x:v>0</x:v>
      </x:c>
      <x:c r="HJ395" t="str">
        <x:f>IF('Calculations'!HF395="","",IF(COUNTIF('Calculations'!$HE$13:$HE$512,"="&amp;SUBSTITUTE(SUBSTITUTE(SUBSTITUTE('Calculations'!HF395,"~","~~"),"*","~*"),"?","~?"))=1,INDEX('Calculations'!$HK$13:$HK$512,MATCH('Calculations'!HF395,'Calculations'!$HE$13:$HE$512,0)),IFERROR(IF(INDEX(INDIRECT("'WCM Calibration Final'!$E$1:$E$2000"),'Calculations'!$EM395)="","",TRIM(INDEX(INDIRECT("'WCM Calibration Final'!$E$1:$E$2000"),'Calculations'!$EM395)&amp;"")),"")&amp;" ["&amp;'Calculations'!HF395&amp;"]"))</x:f>
      </x:c>
      <x:c r="HK395" t="str">
        <x:f>IF('Calculations'!EM395="","",'Calculations'!HG395&amp;" ["&amp;'Calculations'!HE395&amp;"]")</x:f>
      </x:c>
      <x:c r="HL395" t="n">
        <x:f>IF('Calculations'!EM395="",0,IF(OR('Calculations'!II395&lt;&gt;"",COUNTIF('Calculations'!$HE$13:$HE$512,"="&amp;SUBSTITUTE(SUBSTITUTE(SUBSTITUTE('Calculations'!HE395,"~","~~"),"*","~*"),"?","~?"))&gt;1),1,0))</x:f>
        <x:v>0</x:v>
      </x:c>
      <x:c r="HM395" t="str">
        <x:f>IF('Calculations'!EM395="","",IF('Calculations'!HL395=1,"!UNRESOLVED",IF('Calculations'!IH395&lt;&gt;"",'Calculations'!IH395,IF('Calculations'!IG395&lt;&gt;"",'Calculations'!IG395,IF('Calculations'!IF395&lt;&gt;"",'Calculations'!IF395,IF('Calculations'!IE395&lt;&gt;"",'Calculations'!IE395,IF('Calculations'!ID395&lt;&gt;"",'Calculations'!ID395,IF('Calculations'!IC395&lt;&gt;"",'Calculations'!IC395,IF('Calculations'!IB395&lt;&gt;"",'Calculations'!IB395,IF('Calculations'!IA395&lt;&gt;"",'Calculations'!IA395,IF('Calculations'!HZ395&lt;&gt;"",'Calculations'!HZ395,IF('Calculations'!HY395&lt;&gt;"",'Calculations'!HY395,IF('Calculations'!HX395&lt;&gt;"",'Calculations'!HX395,IF('Calculations'!HW395&lt;&gt;"",'Calculations'!HW395,IF('Calculations'!HV395&lt;&gt;"",'Calculations'!HV395,IF('Calculations'!HU395&lt;&gt;"",'Calculations'!HU395,IF('Calculations'!HT395&lt;&gt;"",'Calculations'!HT395,IF('Calculations'!HS395&lt;&gt;"",'Calculations'!HS395,IF('Calculations'!HR395&lt;&gt;"",'Calculations'!HR395,IF('Calculations'!HQ395&lt;&gt;"",'Calculations'!HQ395,IF('Calculations'!HP395&lt;&gt;"",'Calculations'!HP395,IF('Calculations'!HO395&lt;&gt;"",'Calculations'!HO395,'Calculations'!HE395))))))))))))))))))))))</x:f>
      </x:c>
      <x:c r="HN395" t="str">
        <x:f>IF('Calculations'!EM395="","",IF(IFERROR(IF(INDEX(INDIRECT("'WCM Calibration Final'!$F$1:$F$2000"),'Calculations'!$EM395)="","",TRIM(INDEX(INDIRECT("'WCM Calibration Final'!$F$1:$F$2000"),'Calculations'!$EM395)&amp;"")),"")="","(Blank)",IFERROR(IF(INDEX(INDIRECT("'WCM Calibration Final'!$F$1:$F$2000"),'Calculations'!$EM395)="","",TRIM(INDEX(INDIRECT("'WCM Calibration Final'!$F$1:$F$2000"),'Calculations'!$EM395)&amp;"")),"")))</x:f>
      </x:c>
      <x:c r="HO395" t="str">
        <x:f>'Calculations'!HF395</x:f>
      </x:c>
      <x:c r="HP395" t="str">
        <x:f>IF('Calculations'!HO395="","",IF('Calculations'!HO395="!AMBIG","!AMBIG",IF(COUNTIF('Calculations'!$HE$13:$HE$512,"="&amp;SUBSTITUTE(SUBSTITUTE(SUBSTITUTE('Calculations'!HO395,"~","~~"),"*","~*"),"?","~?"))&gt;1,"!AMBIG",IFERROR(INDEX('Calculations'!$HF$13:$HF$512,MATCH('Calculations'!HO395,'Calculations'!$HE$13:$HE$512,0)),""))))</x:f>
      </x:c>
      <x:c r="HQ395" t="str">
        <x:f>IF('Calculations'!HP395="","",IF('Calculations'!HP395="!AMBIG","!AMBIG",IF(COUNTIF('Calculations'!$HE$13:$HE$512,"="&amp;SUBSTITUTE(SUBSTITUTE(SUBSTITUTE('Calculations'!HP395,"~","~~"),"*","~*"),"?","~?"))&gt;1,"!AMBIG",IFERROR(INDEX('Calculations'!$HF$13:$HF$512,MATCH('Calculations'!HP395,'Calculations'!$HE$13:$HE$512,0)),""))))</x:f>
      </x:c>
      <x:c r="HR395" t="str">
        <x:f>IF('Calculations'!HQ395="","",IF('Calculations'!HQ395="!AMBIG","!AMBIG",IF(COUNTIF('Calculations'!$HE$13:$HE$512,"="&amp;SUBSTITUTE(SUBSTITUTE(SUBSTITUTE('Calculations'!HQ395,"~","~~"),"*","~*"),"?","~?"))&gt;1,"!AMBIG",IFERROR(INDEX('Calculations'!$HF$13:$HF$512,MATCH('Calculations'!HQ395,'Calculations'!$HE$13:$HE$512,0)),""))))</x:f>
      </x:c>
      <x:c r="HS395" t="str">
        <x:f>IF('Calculations'!HR395="","",IF('Calculations'!HR395="!AMBIG","!AMBIG",IF(COUNTIF('Calculations'!$HE$13:$HE$512,"="&amp;SUBSTITUTE(SUBSTITUTE(SUBSTITUTE('Calculations'!HR395,"~","~~"),"*","~*"),"?","~?"))&gt;1,"!AMBIG",IFERROR(INDEX('Calculations'!$HF$13:$HF$512,MATCH('Calculations'!HR395,'Calculations'!$HE$13:$HE$512,0)),""))))</x:f>
      </x:c>
      <x:c r="HT395" t="str">
        <x:f>IF('Calculations'!HS395="","",IF('Calculations'!HS395="!AMBIG","!AMBIG",IF(COUNTIF('Calculations'!$HE$13:$HE$512,"="&amp;SUBSTITUTE(SUBSTITUTE(SUBSTITUTE('Calculations'!HS395,"~","~~"),"*","~*"),"?","~?"))&gt;1,"!AMBIG",IFERROR(INDEX('Calculations'!$HF$13:$HF$512,MATCH('Calculations'!HS395,'Calculations'!$HE$13:$HE$512,0)),""))))</x:f>
      </x:c>
      <x:c r="HU395" t="str">
        <x:f>IF('Calculations'!HT395="","",IF('Calculations'!HT395="!AMBIG","!AMBIG",IF(COUNTIF('Calculations'!$HE$13:$HE$512,"="&amp;SUBSTITUTE(SUBSTITUTE(SUBSTITUTE('Calculations'!HT395,"~","~~"),"*","~*"),"?","~?"))&gt;1,"!AMBIG",IFERROR(INDEX('Calculations'!$HF$13:$HF$512,MATCH('Calculations'!HT395,'Calculations'!$HE$13:$HE$512,0)),""))))</x:f>
      </x:c>
      <x:c r="HV395" t="str">
        <x:f>IF('Calculations'!HU395="","",IF('Calculations'!HU395="!AMBIG","!AMBIG",IF(COUNTIF('Calculations'!$HE$13:$HE$512,"="&amp;SUBSTITUTE(SUBSTITUTE(SUBSTITUTE('Calculations'!HU395,"~","~~"),"*","~*"),"?","~?"))&gt;1,"!AMBIG",IFERROR(INDEX('Calculations'!$HF$13:$HF$512,MATCH('Calculations'!HU395,'Calculations'!$HE$13:$HE$512,0)),""))))</x:f>
      </x:c>
      <x:c r="HW395" t="str">
        <x:f>IF('Calculations'!HV395="","",IF('Calculations'!HV395="!AMBIG","!AMBIG",IF(COUNTIF('Calculations'!$HE$13:$HE$512,"="&amp;SUBSTITUTE(SUBSTITUTE(SUBSTITUTE('Calculations'!HV395,"~","~~"),"*","~*"),"?","~?"))&gt;1,"!AMBIG",IFERROR(INDEX('Calculations'!$HF$13:$HF$512,MATCH('Calculations'!HV395,'Calculations'!$HE$13:$HE$512,0)),""))))</x:f>
      </x:c>
      <x:c r="HX395" t="str">
        <x:f>IF('Calculations'!HW395="","",IF('Calculations'!HW395="!AMBIG","!AMBIG",IF(COUNTIF('Calculations'!$HE$13:$HE$512,"="&amp;SUBSTITUTE(SUBSTITUTE(SUBSTITUTE('Calculations'!HW395,"~","~~"),"*","~*"),"?","~?"))&gt;1,"!AMBIG",IFERROR(INDEX('Calculations'!$HF$13:$HF$512,MATCH('Calculations'!HW395,'Calculations'!$HE$13:$HE$512,0)),""))))</x:f>
      </x:c>
      <x:c r="HY395" t="str">
        <x:f>IF('Calculations'!HX395="","",IF('Calculations'!HX395="!AMBIG","!AMBIG",IF(COUNTIF('Calculations'!$HE$13:$HE$512,"="&amp;SUBSTITUTE(SUBSTITUTE(SUBSTITUTE('Calculations'!HX395,"~","~~"),"*","~*"),"?","~?"))&gt;1,"!AMBIG",IFERROR(INDEX('Calculations'!$HF$13:$HF$512,MATCH('Calculations'!HX395,'Calculations'!$HE$13:$HE$512,0)),""))))</x:f>
      </x:c>
      <x:c r="HZ395" t="str">
        <x:f>IF('Calculations'!HY395="","",IF('Calculations'!HY395="!AMBIG","!AMBIG",IF(COUNTIF('Calculations'!$HE$13:$HE$512,"="&amp;SUBSTITUTE(SUBSTITUTE(SUBSTITUTE('Calculations'!HY395,"~","~~"),"*","~*"),"?","~?"))&gt;1,"!AMBIG",IFERROR(INDEX('Calculations'!$HF$13:$HF$512,MATCH('Calculations'!HY395,'Calculations'!$HE$13:$HE$512,0)),""))))</x:f>
      </x:c>
      <x:c r="IA395" t="str">
        <x:f>IF('Calculations'!HZ395="","",IF('Calculations'!HZ395="!AMBIG","!AMBIG",IF(COUNTIF('Calculations'!$HE$13:$HE$512,"="&amp;SUBSTITUTE(SUBSTITUTE(SUBSTITUTE('Calculations'!HZ395,"~","~~"),"*","~*"),"?","~?"))&gt;1,"!AMBIG",IFERROR(INDEX('Calculations'!$HF$13:$HF$512,MATCH('Calculations'!HZ395,'Calculations'!$HE$13:$HE$512,0)),""))))</x:f>
      </x:c>
      <x:c r="IB395" t="str">
        <x:f>IF('Calculations'!IA395="","",IF('Calculations'!IA395="!AMBIG","!AMBIG",IF(COUNTIF('Calculations'!$HE$13:$HE$512,"="&amp;SUBSTITUTE(SUBSTITUTE(SUBSTITUTE('Calculations'!IA395,"~","~~"),"*","~*"),"?","~?"))&gt;1,"!AMBIG",IFERROR(INDEX('Calculations'!$HF$13:$HF$512,MATCH('Calculations'!IA395,'Calculations'!$HE$13:$HE$512,0)),""))))</x:f>
      </x:c>
      <x:c r="IC395" t="str">
        <x:f>IF('Calculations'!IB395="","",IF('Calculations'!IB395="!AMBIG","!AMBIG",IF(COUNTIF('Calculations'!$HE$13:$HE$512,"="&amp;SUBSTITUTE(SUBSTITUTE(SUBSTITUTE('Calculations'!IB395,"~","~~"),"*","~*"),"?","~?"))&gt;1,"!AMBIG",IFERROR(INDEX('Calculations'!$HF$13:$HF$512,MATCH('Calculations'!IB395,'Calculations'!$HE$13:$HE$512,0)),""))))</x:f>
      </x:c>
      <x:c r="ID395" t="str">
        <x:f>IF('Calculations'!IC395="","",IF('Calculations'!IC395="!AMBIG","!AMBIG",IF(COUNTIF('Calculations'!$HE$13:$HE$512,"="&amp;SUBSTITUTE(SUBSTITUTE(SUBSTITUTE('Calculations'!IC395,"~","~~"),"*","~*"),"?","~?"))&gt;1,"!AMBIG",IFERROR(INDEX('Calculations'!$HF$13:$HF$512,MATCH('Calculations'!IC395,'Calculations'!$HE$13:$HE$512,0)),""))))</x:f>
      </x:c>
      <x:c r="IE395" t="str">
        <x:f>IF('Calculations'!ID395="","",IF('Calculations'!ID395="!AMBIG","!AMBIG",IF(COUNTIF('Calculations'!$HE$13:$HE$512,"="&amp;SUBSTITUTE(SUBSTITUTE(SUBSTITUTE('Calculations'!ID395,"~","~~"),"*","~*"),"?","~?"))&gt;1,"!AMBIG",IFERROR(INDEX('Calculations'!$HF$13:$HF$512,MATCH('Calculations'!ID395,'Calculations'!$HE$13:$HE$512,0)),""))))</x:f>
      </x:c>
      <x:c r="IF395" t="str">
        <x:f>IF('Calculations'!IE395="","",IF('Calculations'!IE395="!AMBIG","!AMBIG",IF(COUNTIF('Calculations'!$HE$13:$HE$512,"="&amp;SUBSTITUTE(SUBSTITUTE(SUBSTITUTE('Calculations'!IE395,"~","~~"),"*","~*"),"?","~?"))&gt;1,"!AMBIG",IFERROR(INDEX('Calculations'!$HF$13:$HF$512,MATCH('Calculations'!IE395,'Calculations'!$HE$13:$HE$512,0)),""))))</x:f>
      </x:c>
      <x:c r="IG395" t="str">
        <x:f>IF('Calculations'!IF395="","",IF('Calculations'!IF395="!AMBIG","!AMBIG",IF(COUNTIF('Calculations'!$HE$13:$HE$512,"="&amp;SUBSTITUTE(SUBSTITUTE(SUBSTITUTE('Calculations'!IF395,"~","~~"),"*","~*"),"?","~?"))&gt;1,"!AMBIG",IFERROR(INDEX('Calculations'!$HF$13:$HF$512,MATCH('Calculations'!IF395,'Calculations'!$HE$13:$HE$512,0)),""))))</x:f>
      </x:c>
      <x:c r="IH395" t="str">
        <x:f>IF('Calculations'!IG395="","",IF('Calculations'!IG395="!AMBIG","!AMBIG",IF(COUNTIF('Calculations'!$HE$13:$HE$512,"="&amp;SUBSTITUTE(SUBSTITUTE(SUBSTITUTE('Calculations'!IG395,"~","~~"),"*","~*"),"?","~?"))&gt;1,"!AMBIG",IFERROR(INDEX('Calculations'!$HF$13:$HF$512,MATCH('Calculations'!IG395,'Calculations'!$HE$13:$HE$512,0)),""))))</x:f>
      </x:c>
      <x:c r="II395" t="str">
        <x:f>IF('Calculations'!IH395="","",IF('Calculations'!IH395="!AMBIG","!AMBIG",IF(COUNTIF('Calculations'!$HE$13:$HE$512,"="&amp;SUBSTITUTE(SUBSTITUTE(SUBSTITUTE('Calculations'!IH395,"~","~~"),"*","~*"),"?","~?"))&gt;1,"!AMBIG",IFERROR(INDEX('Calculations'!$HF$13:$HF$512,MATCH('Calculations'!IH395,'Calculations'!$HE$13:$HE$512,0)),""))))</x:f>
      </x:c>
      <x:c r="IJ395" t="str">
        <x:f>IF('Calculations'!EM395="","",IF('Calculations'!$EF$2="All",'Calculations'!HM395,IF('Calculations'!HL395=1,"",IFERROR(IF(MATCH('Calculations'!$EF$2,'Calculations'!HO395:II395,0)=1,'Calculations'!HE395,INDEX('Calculations'!HO395:II395,1,MATCH('Calculations'!$EF$2,'Calculations'!HO395:II395,0)-1)),""))))</x:f>
      </x:c>
      <x:c r="IK395" t="n">
        <x:f>IF(AND('Calculations'!EM395&lt;&gt;"",'Calculations'!$EF$2&lt;&gt;"All",'Calculations'!HF395='Calculations'!$EF$2,'Calculations'!HL395=0,'Calculations'!JD395&gt;0),MAX('Calculations'!$IK$12:IK394)+1,0)</x:f>
        <x:v>0</x:v>
      </x:c>
      <x:c r="JA395" t="n">
        <x:f>IF(OR(IFERROR(INDIRECT("'WCM Calibration Final'!$A$395")&lt;&gt;"",FALSE),IFERROR(INDIRECT("'WCM Calibration Final'!$B$395")&lt;&gt;"",FALSE),IFERROR(INDIRECT("'WCM Calibration Final'!$C$395")&lt;&gt;"",FALSE)),395,0)</x:f>
        <x:v>0</x:v>
      </x:c>
      <x:c r="JB395" t="n">
        <x:f>'Calculations'!JB394+IF('Calculations'!JA395&gt;0,1,0)</x:f>
        <x:v>0</x:v>
      </x:c>
      <x:c r="JC395" t="n">
        <x:f>IF(OR('Calculations'!HF395="",'Calculations'!HF395="!AMBIG"),0,IF('Dashboard'!$B$7="All",1,COUNTIFS('Calculations'!$HO$13:$HO$512,"="&amp;SUBSTITUTE(SUBSTITUTE(SUBSTITUTE('Calculations'!HF395,"~","~~"),"*","~*"),"?","~?"),'Calculations'!$HN$13:$HN$512,"="&amp;SUBSTITUTE(SUBSTITUTE(SUBSTITUTE('Dashboard'!$B$7,"~","~~"),"*","~*"),"?","~?"))+COUNTIFS('Calculations'!$HP$13:$HP$512,"="&amp;SUBSTITUTE(SUBSTITUTE(SUBSTITUTE('Calculations'!HF395,"~","~~"),"*","~*"),"?","~?"),'Calculations'!$HN$13:$HN$512,"="&amp;SUBSTITUTE(SUBSTITUTE(SUBSTITUTE('Dashboard'!$B$7,"~","~~"),"*","~*"),"?","~?"))+COUNTIFS('Calculations'!$HQ$13:$HQ$512,"="&amp;SUBSTITUTE(SUBSTITUTE(SUBSTITUTE('Calculations'!HF395,"~","~~"),"*","~*"),"?","~?"),'Calculations'!$HN$13:$HN$512,"="&amp;SUBSTITUTE(SUBSTITUTE(SUBSTITUTE('Dashboard'!$B$7,"~","~~"),"*","~*"),"?","~?"))+COUNTIFS('Calculations'!$HR$13:$HR$512,"="&amp;SUBSTITUTE(SUBSTITUTE(SUBSTITUTE('Calculations'!HF395,"~","~~"),"*","~*"),"?","~?"),'Calculations'!$HN$13:$HN$512,"="&amp;SUBSTITUTE(SUBSTITUTE(SUBSTITUTE('Dashboard'!$B$7,"~","~~"),"*","~*"),"?","~?"))+COUNTIFS('Calculations'!$HS$13:$HS$512,"="&amp;SUBSTITUTE(SUBSTITUTE(SUBSTITUTE('Calculations'!HF395,"~","~~"),"*","~*"),"?","~?"),'Calculations'!$HN$13:$HN$512,"="&amp;SUBSTITUTE(SUBSTITUTE(SUBSTITUTE('Dashboard'!$B$7,"~","~~"),"*","~*"),"?","~?"))+COUNTIFS('Calculations'!$HT$13:$HT$512,"="&amp;SUBSTITUTE(SUBSTITUTE(SUBSTITUTE('Calculations'!HF395,"~","~~"),"*","~*"),"?","~?"),'Calculations'!$HN$13:$HN$512,"="&amp;SUBSTITUTE(SUBSTITUTE(SUBSTITUTE('Dashboard'!$B$7,"~","~~"),"*","~*"),"?","~?"))+COUNTIFS('Calculations'!$HU$13:$HU$512,"="&amp;SUBSTITUTE(SUBSTITUTE(SUBSTITUTE('Calculations'!HF395,"~","~~"),"*","~*"),"?","~?"),'Calculations'!$HN$13:$HN$512,"="&amp;SUBSTITUTE(SUBSTITUTE(SUBSTITUTE('Dashboard'!$B$7,"~","~~"),"*","~*"),"?","~?"))+COUNTIFS('Calculations'!$HV$13:$HV$512,"="&amp;SUBSTITUTE(SUBSTITUTE(SUBSTITUTE('Calculations'!HF395,"~","~~"),"*","~*"),"?","~?"),'Calculations'!$HN$13:$HN$512,"="&amp;SUBSTITUTE(SUBSTITUTE(SUBSTITUTE('Dashboard'!$B$7,"~","~~"),"*","~*"),"?","~?"))+COUNTIFS('Calculations'!$HW$13:$HW$512,"="&amp;SUBSTITUTE(SUBSTITUTE(SUBSTITUTE('Calculations'!HF395,"~","~~"),"*","~*"),"?","~?"),'Calculations'!$HN$13:$HN$512,"="&amp;SUBSTITUTE(SUBSTITUTE(SUBSTITUTE('Dashboard'!$B$7,"~","~~"),"*","~*"),"?","~?"))+COUNTIFS('Calculations'!$HX$13:$HX$512,"="&amp;SUBSTITUTE(SUBSTITUTE(SUBSTITUTE('Calculations'!HF395,"~","~~"),"*","~*"),"?","~?"),'Calculations'!$HN$13:$HN$512,"="&amp;SUBSTITUTE(SUBSTITUTE(SUBSTITUTE('Dashboard'!$B$7,"~","~~"),"*","~*"),"?","~?"))+COUNTIFS('Calculations'!$HY$13:$HY$512,"="&amp;SUBSTITUTE(SUBSTITUTE(SUBSTITUTE('Calculations'!HF395,"~","~~"),"*","~*"),"?","~?"),'Calculations'!$HN$13:$HN$512,"="&amp;SUBSTITUTE(SUBSTITUTE(SUBSTITUTE('Dashboard'!$B$7,"~","~~"),"*","~*"),"?","~?"))+COUNTIFS('Calculations'!$HZ$13:$HZ$512,"="&amp;SUBSTITUTE(SUBSTITUTE(SUBSTITUTE('Calculations'!HF395,"~","~~"),"*","~*"),"?","~?"),'Calculations'!$HN$13:$HN$512,"="&amp;SUBSTITUTE(SUBSTITUTE(SUBSTITUTE('Dashboard'!$B$7,"~","~~"),"*","~*"),"?","~?"))+COUNTIFS('Calculations'!$IA$13:$IA$512,"="&amp;SUBSTITUTE(SUBSTITUTE(SUBSTITUTE('Calculations'!HF395,"~","~~"),"*","~*"),"?","~?"),'Calculations'!$HN$13:$HN$512,"="&amp;SUBSTITUTE(SUBSTITUTE(SUBSTITUTE('Dashboard'!$B$7,"~","~~"),"*","~*"),"?","~?"))+COUNTIFS('Calculations'!$IB$13:$IB$512,"="&amp;SUBSTITUTE(SUBSTITUTE(SUBSTITUTE('Calculations'!HF395,"~","~~"),"*","~*"),"?","~?"),'Calculations'!$HN$13:$HN$512,"="&amp;SUBSTITUTE(SUBSTITUTE(SUBSTITUTE('Dashboard'!$B$7,"~","~~"),"*","~*"),"?","~?"))+COUNTIFS('Calculations'!$IC$13:$IC$512,"="&amp;SUBSTITUTE(SUBSTITUTE(SUBSTITUTE('Calculations'!HF395,"~","~~"),"*","~*"),"?","~?"),'Calculations'!$HN$13:$HN$512,"="&amp;SUBSTITUTE(SUBSTITUTE(SUBSTITUTE('Dashboard'!$B$7,"~","~~"),"*","~*"),"?","~?"))+COUNTIFS('Calculations'!$ID$13:$ID$512,"="&amp;SUBSTITUTE(SUBSTITUTE(SUBSTITUTE('Calculations'!HF395,"~","~~"),"*","~*"),"?","~?"),'Calculations'!$HN$13:$HN$512,"="&amp;SUBSTITUTE(SUBSTITUTE(SUBSTITUTE('Dashboard'!$B$7,"~","~~"),"*","~*"),"?","~?"))+COUNTIFS('Calculations'!$IE$13:$IE$512,"="&amp;SUBSTITUTE(SUBSTITUTE(SUBSTITUTE('Calculations'!HF395,"~","~~"),"*","~*"),"?","~?"),'Calculations'!$HN$13:$HN$512,"="&amp;SUBSTITUTE(SUBSTITUTE(SUBSTITUTE('Dashboard'!$B$7,"~","~~"),"*","~*"),"?","~?"))+COUNTIFS('Calculations'!$IF$13:$IF$512,"="&amp;SUBSTITUTE(SUBSTITUTE(SUBSTITUTE('Calculations'!HF395,"~","~~"),"*","~*"),"?","~?"),'Calculations'!$HN$13:$HN$512,"="&amp;SUBSTITUTE(SUBSTITUTE(SUBSTITUTE('Dashboard'!$B$7,"~","~~"),"*","~*"),"?","~?"))+COUNTIFS('Calculations'!$IG$13:$IG$512,"="&amp;SUBSTITUTE(SUBSTITUTE(SUBSTITUTE('Calculations'!HF395,"~","~~"),"*","~*"),"?","~?"),'Calculations'!$HN$13:$HN$512,"="&amp;SUBSTITUTE(SUBSTITUTE(SUBSTITUTE('Dashboard'!$B$7,"~","~~"),"*","~*"),"?","~?"))+COUNTIFS('Calculations'!$IH$13:$IH$512,"="&amp;SUBSTITUTE(SUBSTITUTE(SUBSTITUTE('Calculations'!HF395,"~","~~"),"*","~*"),"?","~?"),'Calculations'!$HN$13:$HN$512,"="&amp;SUBSTITUTE(SUBSTITUTE(SUBSTITUTE('Dashboard'!$B$7,"~","~~"),"*","~*"),"?","~?"))))</x:f>
        <x:v>0</x:v>
      </x:c>
      <x:c r="JD395" t="n">
        <x:f>IF('Calculations'!EM395="",0,IF('Dashboard'!$B$7="All",1,IF('Calculations'!HN395='Dashboard'!$B$7,1,0)+IFERROR(INDEX('Calculations'!$JC$13:$JC$512,MATCH('Calculations'!HE395,'Calculations'!$HF$13:$HF$512,0)),0)))</x:f>
        <x:v>0</x:v>
      </x:c>
      <x:c r="JE395" t="n">
        <x:f>IF(AND('Calculations'!EM395&lt;&gt;"",'Calculations'!$JJ$2&lt;&gt;"All",'Calculations'!$JJ$2&lt;&gt;"",'Calculations'!HF395='Calculations'!$JJ$2,'Calculations'!HL395=0,'Calculations'!JD395&gt;0),MAX('Calculations'!$JE$12:JE394)+1,0)</x:f>
        <x:v>0</x:v>
      </x:c>
      <x:c r="JF395" t="str">
        <x:f>IF('Calculations'!EM395="","",IFERROR(IF(INDEX(INDIRECT("'WCM Calibration Final'!$G$1:$G$2000"),'Calculations'!$EM395)="","",TRIM(INDEX(INDIRECT("'WCM Calibration Final'!$G$1:$G$2000"),'Calculations'!$EM395)&amp;"")),""))</x:f>
      </x:c>
      <x:c r="JQ395" t="n">
        <x:f>IF(OR('Calculations'!BM395=0,NOT('Calculations'!$AG$2),'Calculations'!$AG$8&gt;0),0,IF(OR('Dashboard'!$B$7="All",'Calculations'!HN395='Dashboard'!$B$7),IF('Calculations'!$JJ$2="All",1,IF(AND('Calculations'!HF395='Calculations'!$JJ$2,'Calculations'!HL395=0),1,0)),0))</x:f>
        <x:v>0</x:v>
      </x:c>
    </x:row>
    <x:row r="396">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t="n">
        <x:f>IF('Calculations'!$EM396="",0,IF(OR(IFERROR(INDEX(INDIRECT("'WCM Calibration Final'!$A$1:$A$2000"),'Calculations'!$EM396)&lt;&gt;"",FALSE),IFERROR(INDEX(INDIRECT("'WCM Calibration Final'!$B$1:$B$2000"),'Calculations'!$EM396)&lt;&gt;"",FALSE),IFERROR(INDEX(INDIRECT("'WCM Calibration Final'!$C$1:$C$2000"),'Calculations'!$EM396)&lt;&gt;"",FALSE)),1,0))</x:f>
        <x:v>0</x:v>
      </x:c>
      <x:c r="BN396" s="4" t="n">
        <x:f>IF(AND('Calculations'!BM396=1,'Calculations'!$AG$2,'Calculations'!$EN396=1),1,0)</x:f>
        <x:v>0</x:v>
      </x:c>
      <x:c r="BO396" s="4" t="str">
        <x:f>IF('Calculations'!BM396=0,"",IFERROR(IF(AND(VALUE(INDEX(INDIRECT("'WCM Calibration Final'!$K$1:$K$2000"),'Calculations'!$EM396))&gt;=1,VALUE(INDEX(INDIRECT("'WCM Calibration Final'!$K$1:$K$2000"),'Calculations'!$EM396))&lt;=4,MOD(VALUE(INDEX(INDIRECT("'WCM Calibration Final'!$K$1:$K$2000"),'Calculations'!$EM396)),1)=0),VALUE(INDEX(INDIRECT("'WCM Calibration Final'!$K$1:$K$2000"),'Calculations'!$EM396)),""),""))</x:f>
      </x:c>
      <x:c r="BP396" s="4" t="str">
        <x:f>IF('Calculations'!BM396=0,"",IFERROR(IF(AND(VALUE(INDEX(INDIRECT("'WCM Calibration Final'!$L$1:$L$2000"),'Calculations'!$EM396))&gt;=1,VALUE(INDEX(INDIRECT("'WCM Calibration Final'!$L$1:$L$2000"),'Calculations'!$EM396))&lt;=4,MOD(VALUE(INDEX(INDIRECT("'WCM Calibration Final'!$L$1:$L$2000"),'Calculations'!$EM396)),1)=0),VALUE(INDEX(INDIRECT("'WCM Calibration Final'!$L$1:$L$2000"),'Calculations'!$EM396)),""),""))</x:f>
      </x:c>
      <x:c r="BQ396" s="4"/>
      <x:c r="BR396" s="4"/>
      <x:c r="BS396" s="4"/>
      <x:c r="BT396" s="4" t="n">
        <x:f>IF(AND('Calculations'!BM396=1,ISNUMBER('Calculations'!BO396),ISNUMBER('Calculations'!BP396)),1,0)</x:f>
        <x:v>0</x:v>
      </x:c>
      <x:c r="BU396" s="4" t="str">
        <x:f>IF('Calculations'!BM396=0,"",'Calculations'!$EO396)</x:f>
      </x:c>
      <x:c r="BV396" s="4" t="str">
        <x:f>IF('Calculations'!BM396=0,"",IFERROR(IF(OR(INDEX(INDIRECT("'WCM Calibration Final'!$H$1:$H$2000"),'Calculations'!$EM396)="MANAGING DIRECTOR",INDEX(INDIRECT("'WCM Calibration Final'!$H$1:$H$2000"),'Calculations'!$EM396)="DIRECTOR",INDEX(INDIRECT("'WCM Calibration Final'!$H$1:$H$2000"),'Calculations'!$EM396)="SENIOR VICE PRESIDENT",INDEX(INDIRECT("'WCM Calibration Final'!$H$1:$H$2000"),'Calculations'!$EM396)="VICE PRESIDENT",INDEX(INDIRECT("'WCM Calibration Final'!$H$1:$H$2000"),'Calculations'!$EM396)="ASSISTANT VICE PRESIDENT",INDEX(INDIRECT("'WCM Calibration Final'!$H$1:$H$2000"),'Calculations'!$EM396)="OFFICER"),UPPER(INDEX(INDIRECT("'WCM Calibration Final'!$H$1:$H$2000"),'Calculations'!$EM396)),"Other"),"Other"))</x:f>
      </x:c>
      <x:c r="BW396" s="4"/>
      <x:c r="BX396" s="4"/>
      <x:c r="BY396" s="4" t="n">
        <x:f>IF(AND('Calculations'!BM396=1,'Calculations'!BU396&lt;&gt;"",COUNTIF('Calculations'!$BU$12:BU396,'Calculations'!BU396)=1),MAX('Calculations'!$BY$11:BY395)+1,0)</x:f>
        <x:v>0</x:v>
      </x:c>
      <x:c r="BZ396" s="4" t="str">
        <x:f>IF('Dashboard'!$E$67="What",'Calculations'!BO396,'Calculations'!BP396)</x:f>
      </x:c>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t="str">
        <x:f>IF(385&gt;MAX('Calculations'!$HI$13:$HI$512),"",INDEX('Calculations'!$HN$13:$HN$512,MATCH(385,'Calculations'!$HI$13:$HI$512,0)))</x:f>
      </x:c>
      <x:c r="DB396" s="4" t="str">
        <x:f>IF(385&gt;MAX('Calculations'!$HH$13:$HH$512),"",INDEX('Calculations'!$HJ$13:$HJ$512,MATCH(385,'Calculations'!$HH$13:$HH$512,0)))</x:f>
      </x:c>
      <x:c r="DC396" s="4" t="str">
        <x:f>IF(ROW()-11&gt;MAX('Calculations'!$BY$13:$BY$512),"",INDEX('Calculations'!$BU$13:$BU$512,MATCH(ROW()-11,'Calculations'!$BY$13:$BY$512,0)))</x:f>
      </x:c>
      <x:c r="DD396" s="4" t="str">
        <x:f>IF(385&gt;MAX('Calculations'!$IK$13:$IK$512),"",INDEX('Calculations'!$HK$13:$HK$512,MATCH(385,'Calculations'!$IK$13:$IK$512,0)))</x:f>
      </x:c>
      <x:c r="DE396" s="4" t="str">
        <x:f>'Calculations'!DC396</x:f>
      </x:c>
      <x:c r="DF396" s="4" t="str">
        <x:f>IF('Calculations'!DE396="","",COUNTIFS('Calculations'!$BN$13:$BN$512,1,'Calculations'!$BU$13:$BU$512,'Calculations'!DE396))</x:f>
      </x:c>
      <x:c r="DG396" s="4" t="str">
        <x:f>IF('Calculations'!DE396="","",COUNTIFS('Calculations'!$BN$13:$BN$512,1,'Calculations'!$BU$13:$BU$512,'Calculations'!DE396,'Calculations'!$BT$13:$BT$512,1))</x:f>
      </x:c>
      <x:c r="DH396" s="4" t="str">
        <x:f>IF('Calculations'!DE396="","",'Calculations'!DF396-'Calculations'!DG396)</x:f>
      </x:c>
      <x:c r="DI396" s="4" t="str">
        <x:f>IF(OR('Calculations'!DE396="",'Calculations'!DF396=0),"",'Calculations'!DG396/'Calculations'!DF396)</x:f>
      </x:c>
      <x:c r="DJ396" s="4" t="str">
        <x:f>IF('Calculations'!DE396="","",COUNTIFS('Calculations'!$BN$13:$BN$512,1,'Calculations'!$BU$13:$BU$512,'Calculations'!DE396,'Calculations'!$BT$13:$BT$512,1,'Calculations'!$EE$13:$EE$512,"High"))</x:f>
      </x:c>
      <x:c r="DK396" s="4" t="str">
        <x:f>IF('Calculations'!DE396="","",COUNTIFS('Calculations'!$BN$13:$BN$512,1,'Calculations'!$BU$13:$BU$512,'Calculations'!DE396,'Calculations'!$BT$13:$BT$512,1,'Calculations'!$EE$13:$EE$512,"Strong"))</x:f>
      </x:c>
      <x:c r="DL396" s="4" t="str">
        <x:f>IF('Calculations'!DE396="","",COUNTIFS('Calculations'!$BN$13:$BN$512,1,'Calculations'!$BU$13:$BU$512,'Calculations'!DE396,'Calculations'!$BT$13:$BT$512,1,'Calculations'!$EE$13:$EE$512,"Solid"))</x:f>
      </x:c>
      <x:c r="DM396" s="4" t="str">
        <x:f>IF('Calculations'!DE396="","",COUNTIFS('Calculations'!$BN$13:$BN$512,1,'Calculations'!$BU$13:$BU$512,'Calculations'!DE396,'Calculations'!$BT$13:$BT$512,1,'Calculations'!$EE$13:$EE$512,"Low"))</x:f>
      </x:c>
      <x:c r="DN396" s="4" t="str">
        <x:f>IF('Calculations'!DE396="","",COUNTIFS('Calculations'!$BN$13:$BN$512,1,'Calculations'!$BU$13:$BU$512,'Calculations'!DE396,'Calculations'!$EP$13:$EP$512,1))</x:f>
      </x:c>
      <x:c r="DO396" s="4" t="str">
        <x:f>IF(OR('Calculations'!DE396="",'Calculations'!DG396=0),"",('Calculations'!DJ396+'Calculations'!DK396)/'Calculations'!DG396)</x:f>
      </x:c>
      <x:c r="DP396" s="4" t="n">
        <x:f>IF(AND('Calculations'!DE396&lt;&gt;"",'Calculations'!DF396&gt;0),COUNTIF('Calculations'!$DF$12:DF396,"&gt;0"),0)</x:f>
        <x:v>0</x:v>
      </x:c>
      <x:c r="DQ396" s="4" t="str">
        <x:f>IF(385&gt;MAX('Calculations'!$HH$13:$HH$512),"",INDEX('Calculations'!$HF$13:$HF$512,MATCH(385,'Calculations'!$HH$13:$HH$512,0)))</x:f>
      </x:c>
      <x:c r="DR396" s="4" t="str">
        <x:f>IF(385&gt;MAX('Calculations'!$IK$13:$IK$512),"",INDEX('Calculations'!$HE$13:$HE$512,MATCH(385,'Calculations'!$IK$13:$IK$512,0)))</x:f>
      </x:c>
      <x:c r="DS396" s="4"/>
      <x:c r="DT396" s="4"/>
      <x:c r="DU396" s="4"/>
      <x:c r="DV396" s="4"/>
      <x:c r="DW396" s="4"/>
      <x:c r="DX396" s="4"/>
      <x:c r="DY396" s="4"/>
      <x:c r="DZ396" s="4"/>
      <x:c r="EA396" s="4"/>
      <x:c r="EB396" s="4"/>
      <x:c r="EC396" s="4"/>
      <x:c r="ED396" s="4"/>
      <x:c r="EE396" s="4" t="str">
        <x:f>IF('Calculations'!BT396=0,"Not Rated",IF(OR('Calculations'!BO396&gt;=4,'Calculations'!BP396&gt;=4),"Low",IF('Calculations'!BO396+'Calculations'!BP396&lt;=3,"High",IF('Calculations'!BO396+'Calculations'!BP396&lt;=4,"Strong","Solid"))))</x:f>
        <x:v>Not Rated</x:v>
      </x:c>
      <x:c r="EF396" s="4"/>
      <x:c r="EG396" s="4"/>
      <x:c r="EH396" s="4"/>
      <x:c r="EI396" s="4"/>
      <x:c r="EJ396" s="4"/>
      <x:c r="EK396" s="4"/>
      <x:c r="EL396" s="4"/>
      <x:c r="EM396" s="4" t="str">
        <x:f>IF(384&gt;'Calculations'!$JB$2000,"",INDEX('Calculations'!$JA$12:$JA$2000,MATCH(384,'Calculations'!$JB$12:$JB$2000,0)))</x:f>
      </x:c>
      <x:c r="EN396" s="4" t="n">
        <x:f>IF(OR('Calculations'!EM396="",'Calculations'!$AG$8&gt;0,AND('Calculations'!$EF$2&lt;&gt;"All",'Calculations'!HE396='Calculations'!$EF$2),AND('Calculations'!$EF$3&lt;&gt;"All",'Calculations'!HE396='Calculations'!$EF$3)),0,IF(OR('Dashboard'!$B$7="All",'Calculations'!HN396='Dashboard'!$B$7),IF('Calculations'!$EF$2="All",1,IF('Calculations'!HL396&gt;0,0,IF(COUNTIF('Calculations'!HO396:II396,"="&amp;SUBSTITUTE(SUBSTITUTE(SUBSTITUTE('Calculations'!$EF$2,"~","~~"),"*","~*"),"?","~?"))=0,0,IF('Calculations'!$EF$3="All",1,IF(COUNTIF('Calculations'!HO396:II396,"="&amp;SUBSTITUTE(SUBSTITUTE(SUBSTITUTE('Calculations'!$EF$3,"~","~~"),"*","~*"),"?","~?"))&gt;0,1,0))))),0))</x:f>
        <x:v>0</x:v>
      </x:c>
      <x:c r="EO396" s="4" t="str">
        <x:f>IF('Calculations'!IJ396="","",IF('Calculations'!IJ396="!UNRESOLVED","Unresolved hierarchy",IFERROR(INDEX('Calculations'!$HK$13:$HK$512,MATCH('Calculations'!IJ396,'Calculations'!$HE$13:$HE$512,0)),IFERROR(INDEX('Calculations'!$HJ$13:$HJ$512,MATCH('Calculations'!IJ396,'Calculations'!$HF$13:$HF$512,0)),'Calculations'!IJ396))))</x:f>
      </x:c>
      <x:c r="EP396" s="4" t="n">
        <x:f>IF(AND('Calculations'!EM396&lt;&gt;"",'Calculations'!HF396='Calculations'!IJ396),1,0)</x:f>
        <x:v>0</x:v>
      </x:c>
      <x:c r="EQ396" s="4"/>
      <x:c r="ER396" s="4"/>
      <x:c r="ES396" s="4"/>
      <x:c r="ET396" s="4"/>
      <x:c r="EU396" s="4"/>
      <x:c r="EV396" s="4"/>
      <x:c r="EW396" s="4"/>
      <x:c r="EX396" s="4"/>
      <x:c r="EY396" s="4"/>
      <x:c r="EZ396" s="4"/>
      <x:c r="FA396" s="4"/>
      <x:c r="FB396" s="4"/>
      <x:c r="FC396" s="4"/>
      <x:c r="FD396" s="4"/>
      <x:c r="FE396" s="4"/>
      <x:c r="FF396" s="4"/>
      <x:c r="FG396" s="4"/>
      <x:c r="FH396" s="4"/>
      <x:c r="FI396" s="4"/>
      <x:c r="FJ396" s="4"/>
      <x:c r="FK396" s="4"/>
      <x:c r="FL396" s="4"/>
      <x:c r="FM396" s="4"/>
      <x:c r="FN396" s="4"/>
      <x:c r="FO396" s="4"/>
      <x:c r="HE396" t="str">
        <x:f>IF('Calculations'!EM396="","",IF(IFERROR(IF(INDEX(INDIRECT("'WCM Calibration Final'!$A$1:$A$2000"),'Calculations'!$EM396)="","",TRIM(INDEX(INDIRECT("'WCM Calibration Final'!$A$1:$A$2000"),'Calculations'!$EM396)&amp;"")),"")&lt;&gt;"","G:"&amp;IFERROR(TEXT(1*INDEX(INDIRECT("'WCM Calibration Final'!$A$1:$A$2000"),'Calculations'!$EM396),"0"),UPPER(IFERROR(IF(INDEX(INDIRECT("'WCM Calibration Final'!$A$1:$A$2000"),'Calculations'!$EM396)="","",TRIM(INDEX(INDIRECT("'WCM Calibration Final'!$A$1:$A$2000"),'Calculations'!$EM396)&amp;"")),""))),IF(IFERROR(IF(INDEX(INDIRECT("'WCM Calibration Final'!$C$1:$C$2000"),'Calculations'!$EM396)="","",TRIM(INDEX(INDIRECT("'WCM Calibration Final'!$C$1:$C$2000"),'Calculations'!$EM396)&amp;"")),"")&lt;&gt;"","S:"&amp;UPPER(IFERROR(IF(INDEX(INDIRECT("'WCM Calibration Final'!$C$1:$C$2000"),'Calculations'!$EM396)="","",TRIM(INDEX(INDIRECT("'WCM Calibration Final'!$C$1:$C$2000"),'Calculations'!$EM396)&amp;"")),"")),"R:"&amp;'Calculations'!EM396)))</x:f>
      </x:c>
      <x:c r="HF396" t="str">
        <x:f>IF('Calculations'!EM396="","",IF(IFERROR(IF(INDEX(INDIRECT("'WCM Calibration Final'!$D$1:$D$2000"),'Calculations'!$EM396)="","",TRIM(INDEX(INDIRECT("'WCM Calibration Final'!$D$1:$D$2000"),'Calculations'!$EM396)&amp;"")),"")&lt;&gt;"","G:"&amp;IFERROR(TEXT(1*INDEX(INDIRECT("'WCM Calibration Final'!$D$1:$D$2000"),'Calculations'!$EM396),"0"),UPPER(IFERROR(IF(INDEX(INDIRECT("'WCM Calibration Final'!$D$1:$D$2000"),'Calculations'!$EM396)="","",TRIM(INDEX(INDIRECT("'WCM Calibration Final'!$D$1:$D$2000"),'Calculations'!$EM396)&amp;"")),""))),IF(IFERROR(IF(INDEX(INDIRECT("'WCM Calibration Final'!$E$1:$E$2000"),'Calculations'!$EM396)="","",TRIM(INDEX(INDIRECT("'WCM Calibration Final'!$E$1:$E$2000"),'Calculations'!$EM396)&amp;"")),"")="","",IF(COUNTIF('Calculations'!$HG$13:$HG$512,"="&amp;SUBSTITUTE(SUBSTITUTE(SUBSTITUTE(IFERROR(IF(INDEX(INDIRECT("'WCM Calibration Final'!$E$1:$E$2000"),'Calculations'!$EM396)="","",TRIM(INDEX(INDIRECT("'WCM Calibration Final'!$E$1:$E$2000"),'Calculations'!$EM396)&amp;"")),""),"~","~~"),"*","~*"),"?","~?"))=1,INDEX('Calculations'!$HE$13:$HE$512,MATCH(IFERROR(IF(INDEX(INDIRECT("'WCM Calibration Final'!$E$1:$E$2000"),'Calculations'!$EM396)="","",TRIM(INDEX(INDIRECT("'WCM Calibration Final'!$E$1:$E$2000"),'Calculations'!$EM396)&amp;"")),""),'Calculations'!$HG$13:$HG$512,0)),IF(COUNTIF('Calculations'!$HG$13:$HG$512,"="&amp;SUBSTITUTE(SUBSTITUTE(SUBSTITUTE(IFERROR(IF(INDEX(INDIRECT("'WCM Calibration Final'!$E$1:$E$2000"),'Calculations'!$EM396)="","",TRIM(INDEX(INDIRECT("'WCM Calibration Final'!$E$1:$E$2000"),'Calculations'!$EM396)&amp;"")),""),"~","~~"),"*","~*"),"?","~?"))&gt;1,"!AMBIG","X:"&amp;IFERROR(IF(INDEX(INDIRECT("'WCM Calibration Final'!$E$1:$E$2000"),'Calculations'!$EM396)="","",TRIM(INDEX(INDIRECT("'WCM Calibration Final'!$E$1:$E$2000"),'Calculations'!$EM396)&amp;"")),""))))))</x:f>
      </x:c>
      <x:c r="HG396" t="str">
        <x:f>IF('Calculations'!EM396="","",IFERROR(IF(INDEX(INDIRECT("'WCM Calibration Final'!$B$1:$B$2000"),'Calculations'!$EM396)="","",TRIM(INDEX(INDIRECT("'WCM Calibration Final'!$B$1:$B$2000"),'Calculations'!$EM396)&amp;"")),""))</x:f>
      </x:c>
      <x:c r="HH396" t="n">
        <x:f>IF(AND('Calculations'!JC396&gt;0,COUNTIF('Calculations'!$HF$12:HF396,"="&amp;SUBSTITUTE(SUBSTITUTE(SUBSTITUTE('Calculations'!HF396,"~","~~"),"*","~*"),"?","~?"))=1),MAX('Calculations'!$HH$12:HH395)+1,0)</x:f>
        <x:v>0</x:v>
      </x:c>
      <x:c r="HI396" t="n">
        <x:f>IF(AND('Calculations'!HN396&lt;&gt;"",COUNTIF('Calculations'!$HN$12:HN396,"="&amp;SUBSTITUTE(SUBSTITUTE(SUBSTITUTE('Calculations'!HN396,"~","~~"),"*","~*"),"?","~?"))=1),MAX('Calculations'!$HI$12:HI395)+1,0)</x:f>
        <x:v>0</x:v>
      </x:c>
      <x:c r="HJ396" t="str">
        <x:f>IF('Calculations'!HF396="","",IF(COUNTIF('Calculations'!$HE$13:$HE$512,"="&amp;SUBSTITUTE(SUBSTITUTE(SUBSTITUTE('Calculations'!HF396,"~","~~"),"*","~*"),"?","~?"))=1,INDEX('Calculations'!$HK$13:$HK$512,MATCH('Calculations'!HF396,'Calculations'!$HE$13:$HE$512,0)),IFERROR(IF(INDEX(INDIRECT("'WCM Calibration Final'!$E$1:$E$2000"),'Calculations'!$EM396)="","",TRIM(INDEX(INDIRECT("'WCM Calibration Final'!$E$1:$E$2000"),'Calculations'!$EM396)&amp;"")),"")&amp;" ["&amp;'Calculations'!HF396&amp;"]"))</x:f>
      </x:c>
      <x:c r="HK396" t="str">
        <x:f>IF('Calculations'!EM396="","",'Calculations'!HG396&amp;" ["&amp;'Calculations'!HE396&amp;"]")</x:f>
      </x:c>
      <x:c r="HL396" t="n">
        <x:f>IF('Calculations'!EM396="",0,IF(OR('Calculations'!II396&lt;&gt;"",COUNTIF('Calculations'!$HE$13:$HE$512,"="&amp;SUBSTITUTE(SUBSTITUTE(SUBSTITUTE('Calculations'!HE396,"~","~~"),"*","~*"),"?","~?"))&gt;1),1,0))</x:f>
        <x:v>0</x:v>
      </x:c>
      <x:c r="HM396" t="str">
        <x:f>IF('Calculations'!EM396="","",IF('Calculations'!HL396=1,"!UNRESOLVED",IF('Calculations'!IH396&lt;&gt;"",'Calculations'!IH396,IF('Calculations'!IG396&lt;&gt;"",'Calculations'!IG396,IF('Calculations'!IF396&lt;&gt;"",'Calculations'!IF396,IF('Calculations'!IE396&lt;&gt;"",'Calculations'!IE396,IF('Calculations'!ID396&lt;&gt;"",'Calculations'!ID396,IF('Calculations'!IC396&lt;&gt;"",'Calculations'!IC396,IF('Calculations'!IB396&lt;&gt;"",'Calculations'!IB396,IF('Calculations'!IA396&lt;&gt;"",'Calculations'!IA396,IF('Calculations'!HZ396&lt;&gt;"",'Calculations'!HZ396,IF('Calculations'!HY396&lt;&gt;"",'Calculations'!HY396,IF('Calculations'!HX396&lt;&gt;"",'Calculations'!HX396,IF('Calculations'!HW396&lt;&gt;"",'Calculations'!HW396,IF('Calculations'!HV396&lt;&gt;"",'Calculations'!HV396,IF('Calculations'!HU396&lt;&gt;"",'Calculations'!HU396,IF('Calculations'!HT396&lt;&gt;"",'Calculations'!HT396,IF('Calculations'!HS396&lt;&gt;"",'Calculations'!HS396,IF('Calculations'!HR396&lt;&gt;"",'Calculations'!HR396,IF('Calculations'!HQ396&lt;&gt;"",'Calculations'!HQ396,IF('Calculations'!HP396&lt;&gt;"",'Calculations'!HP396,IF('Calculations'!HO396&lt;&gt;"",'Calculations'!HO396,'Calculations'!HE396))))))))))))))))))))))</x:f>
      </x:c>
      <x:c r="HN396" t="str">
        <x:f>IF('Calculations'!EM396="","",IF(IFERROR(IF(INDEX(INDIRECT("'WCM Calibration Final'!$F$1:$F$2000"),'Calculations'!$EM396)="","",TRIM(INDEX(INDIRECT("'WCM Calibration Final'!$F$1:$F$2000"),'Calculations'!$EM396)&amp;"")),"")="","(Blank)",IFERROR(IF(INDEX(INDIRECT("'WCM Calibration Final'!$F$1:$F$2000"),'Calculations'!$EM396)="","",TRIM(INDEX(INDIRECT("'WCM Calibration Final'!$F$1:$F$2000"),'Calculations'!$EM396)&amp;"")),"")))</x:f>
      </x:c>
      <x:c r="HO396" t="str">
        <x:f>'Calculations'!HF396</x:f>
      </x:c>
      <x:c r="HP396" t="str">
        <x:f>IF('Calculations'!HO396="","",IF('Calculations'!HO396="!AMBIG","!AMBIG",IF(COUNTIF('Calculations'!$HE$13:$HE$512,"="&amp;SUBSTITUTE(SUBSTITUTE(SUBSTITUTE('Calculations'!HO396,"~","~~"),"*","~*"),"?","~?"))&gt;1,"!AMBIG",IFERROR(INDEX('Calculations'!$HF$13:$HF$512,MATCH('Calculations'!HO396,'Calculations'!$HE$13:$HE$512,0)),""))))</x:f>
      </x:c>
      <x:c r="HQ396" t="str">
        <x:f>IF('Calculations'!HP396="","",IF('Calculations'!HP396="!AMBIG","!AMBIG",IF(COUNTIF('Calculations'!$HE$13:$HE$512,"="&amp;SUBSTITUTE(SUBSTITUTE(SUBSTITUTE('Calculations'!HP396,"~","~~"),"*","~*"),"?","~?"))&gt;1,"!AMBIG",IFERROR(INDEX('Calculations'!$HF$13:$HF$512,MATCH('Calculations'!HP396,'Calculations'!$HE$13:$HE$512,0)),""))))</x:f>
      </x:c>
      <x:c r="HR396" t="str">
        <x:f>IF('Calculations'!HQ396="","",IF('Calculations'!HQ396="!AMBIG","!AMBIG",IF(COUNTIF('Calculations'!$HE$13:$HE$512,"="&amp;SUBSTITUTE(SUBSTITUTE(SUBSTITUTE('Calculations'!HQ396,"~","~~"),"*","~*"),"?","~?"))&gt;1,"!AMBIG",IFERROR(INDEX('Calculations'!$HF$13:$HF$512,MATCH('Calculations'!HQ396,'Calculations'!$HE$13:$HE$512,0)),""))))</x:f>
      </x:c>
      <x:c r="HS396" t="str">
        <x:f>IF('Calculations'!HR396="","",IF('Calculations'!HR396="!AMBIG","!AMBIG",IF(COUNTIF('Calculations'!$HE$13:$HE$512,"="&amp;SUBSTITUTE(SUBSTITUTE(SUBSTITUTE('Calculations'!HR396,"~","~~"),"*","~*"),"?","~?"))&gt;1,"!AMBIG",IFERROR(INDEX('Calculations'!$HF$13:$HF$512,MATCH('Calculations'!HR396,'Calculations'!$HE$13:$HE$512,0)),""))))</x:f>
      </x:c>
      <x:c r="HT396" t="str">
        <x:f>IF('Calculations'!HS396="","",IF('Calculations'!HS396="!AMBIG","!AMBIG",IF(COUNTIF('Calculations'!$HE$13:$HE$512,"="&amp;SUBSTITUTE(SUBSTITUTE(SUBSTITUTE('Calculations'!HS396,"~","~~"),"*","~*"),"?","~?"))&gt;1,"!AMBIG",IFERROR(INDEX('Calculations'!$HF$13:$HF$512,MATCH('Calculations'!HS396,'Calculations'!$HE$13:$HE$512,0)),""))))</x:f>
      </x:c>
      <x:c r="HU396" t="str">
        <x:f>IF('Calculations'!HT396="","",IF('Calculations'!HT396="!AMBIG","!AMBIG",IF(COUNTIF('Calculations'!$HE$13:$HE$512,"="&amp;SUBSTITUTE(SUBSTITUTE(SUBSTITUTE('Calculations'!HT396,"~","~~"),"*","~*"),"?","~?"))&gt;1,"!AMBIG",IFERROR(INDEX('Calculations'!$HF$13:$HF$512,MATCH('Calculations'!HT396,'Calculations'!$HE$13:$HE$512,0)),""))))</x:f>
      </x:c>
      <x:c r="HV396" t="str">
        <x:f>IF('Calculations'!HU396="","",IF('Calculations'!HU396="!AMBIG","!AMBIG",IF(COUNTIF('Calculations'!$HE$13:$HE$512,"="&amp;SUBSTITUTE(SUBSTITUTE(SUBSTITUTE('Calculations'!HU396,"~","~~"),"*","~*"),"?","~?"))&gt;1,"!AMBIG",IFERROR(INDEX('Calculations'!$HF$13:$HF$512,MATCH('Calculations'!HU396,'Calculations'!$HE$13:$HE$512,0)),""))))</x:f>
      </x:c>
      <x:c r="HW396" t="str">
        <x:f>IF('Calculations'!HV396="","",IF('Calculations'!HV396="!AMBIG","!AMBIG",IF(COUNTIF('Calculations'!$HE$13:$HE$512,"="&amp;SUBSTITUTE(SUBSTITUTE(SUBSTITUTE('Calculations'!HV396,"~","~~"),"*","~*"),"?","~?"))&gt;1,"!AMBIG",IFERROR(INDEX('Calculations'!$HF$13:$HF$512,MATCH('Calculations'!HV396,'Calculations'!$HE$13:$HE$512,0)),""))))</x:f>
      </x:c>
      <x:c r="HX396" t="str">
        <x:f>IF('Calculations'!HW396="","",IF('Calculations'!HW396="!AMBIG","!AMBIG",IF(COUNTIF('Calculations'!$HE$13:$HE$512,"="&amp;SUBSTITUTE(SUBSTITUTE(SUBSTITUTE('Calculations'!HW396,"~","~~"),"*","~*"),"?","~?"))&gt;1,"!AMBIG",IFERROR(INDEX('Calculations'!$HF$13:$HF$512,MATCH('Calculations'!HW396,'Calculations'!$HE$13:$HE$512,0)),""))))</x:f>
      </x:c>
      <x:c r="HY396" t="str">
        <x:f>IF('Calculations'!HX396="","",IF('Calculations'!HX396="!AMBIG","!AMBIG",IF(COUNTIF('Calculations'!$HE$13:$HE$512,"="&amp;SUBSTITUTE(SUBSTITUTE(SUBSTITUTE('Calculations'!HX396,"~","~~"),"*","~*"),"?","~?"))&gt;1,"!AMBIG",IFERROR(INDEX('Calculations'!$HF$13:$HF$512,MATCH('Calculations'!HX396,'Calculations'!$HE$13:$HE$512,0)),""))))</x:f>
      </x:c>
      <x:c r="HZ396" t="str">
        <x:f>IF('Calculations'!HY396="","",IF('Calculations'!HY396="!AMBIG","!AMBIG",IF(COUNTIF('Calculations'!$HE$13:$HE$512,"="&amp;SUBSTITUTE(SUBSTITUTE(SUBSTITUTE('Calculations'!HY396,"~","~~"),"*","~*"),"?","~?"))&gt;1,"!AMBIG",IFERROR(INDEX('Calculations'!$HF$13:$HF$512,MATCH('Calculations'!HY396,'Calculations'!$HE$13:$HE$512,0)),""))))</x:f>
      </x:c>
      <x:c r="IA396" t="str">
        <x:f>IF('Calculations'!HZ396="","",IF('Calculations'!HZ396="!AMBIG","!AMBIG",IF(COUNTIF('Calculations'!$HE$13:$HE$512,"="&amp;SUBSTITUTE(SUBSTITUTE(SUBSTITUTE('Calculations'!HZ396,"~","~~"),"*","~*"),"?","~?"))&gt;1,"!AMBIG",IFERROR(INDEX('Calculations'!$HF$13:$HF$512,MATCH('Calculations'!HZ396,'Calculations'!$HE$13:$HE$512,0)),""))))</x:f>
      </x:c>
      <x:c r="IB396" t="str">
        <x:f>IF('Calculations'!IA396="","",IF('Calculations'!IA396="!AMBIG","!AMBIG",IF(COUNTIF('Calculations'!$HE$13:$HE$512,"="&amp;SUBSTITUTE(SUBSTITUTE(SUBSTITUTE('Calculations'!IA396,"~","~~"),"*","~*"),"?","~?"))&gt;1,"!AMBIG",IFERROR(INDEX('Calculations'!$HF$13:$HF$512,MATCH('Calculations'!IA396,'Calculations'!$HE$13:$HE$512,0)),""))))</x:f>
      </x:c>
      <x:c r="IC396" t="str">
        <x:f>IF('Calculations'!IB396="","",IF('Calculations'!IB396="!AMBIG","!AMBIG",IF(COUNTIF('Calculations'!$HE$13:$HE$512,"="&amp;SUBSTITUTE(SUBSTITUTE(SUBSTITUTE('Calculations'!IB396,"~","~~"),"*","~*"),"?","~?"))&gt;1,"!AMBIG",IFERROR(INDEX('Calculations'!$HF$13:$HF$512,MATCH('Calculations'!IB396,'Calculations'!$HE$13:$HE$512,0)),""))))</x:f>
      </x:c>
      <x:c r="ID396" t="str">
        <x:f>IF('Calculations'!IC396="","",IF('Calculations'!IC396="!AMBIG","!AMBIG",IF(COUNTIF('Calculations'!$HE$13:$HE$512,"="&amp;SUBSTITUTE(SUBSTITUTE(SUBSTITUTE('Calculations'!IC396,"~","~~"),"*","~*"),"?","~?"))&gt;1,"!AMBIG",IFERROR(INDEX('Calculations'!$HF$13:$HF$512,MATCH('Calculations'!IC396,'Calculations'!$HE$13:$HE$512,0)),""))))</x:f>
      </x:c>
      <x:c r="IE396" t="str">
        <x:f>IF('Calculations'!ID396="","",IF('Calculations'!ID396="!AMBIG","!AMBIG",IF(COUNTIF('Calculations'!$HE$13:$HE$512,"="&amp;SUBSTITUTE(SUBSTITUTE(SUBSTITUTE('Calculations'!ID396,"~","~~"),"*","~*"),"?","~?"))&gt;1,"!AMBIG",IFERROR(INDEX('Calculations'!$HF$13:$HF$512,MATCH('Calculations'!ID396,'Calculations'!$HE$13:$HE$512,0)),""))))</x:f>
      </x:c>
      <x:c r="IF396" t="str">
        <x:f>IF('Calculations'!IE396="","",IF('Calculations'!IE396="!AMBIG","!AMBIG",IF(COUNTIF('Calculations'!$HE$13:$HE$512,"="&amp;SUBSTITUTE(SUBSTITUTE(SUBSTITUTE('Calculations'!IE396,"~","~~"),"*","~*"),"?","~?"))&gt;1,"!AMBIG",IFERROR(INDEX('Calculations'!$HF$13:$HF$512,MATCH('Calculations'!IE396,'Calculations'!$HE$13:$HE$512,0)),""))))</x:f>
      </x:c>
      <x:c r="IG396" t="str">
        <x:f>IF('Calculations'!IF396="","",IF('Calculations'!IF396="!AMBIG","!AMBIG",IF(COUNTIF('Calculations'!$HE$13:$HE$512,"="&amp;SUBSTITUTE(SUBSTITUTE(SUBSTITUTE('Calculations'!IF396,"~","~~"),"*","~*"),"?","~?"))&gt;1,"!AMBIG",IFERROR(INDEX('Calculations'!$HF$13:$HF$512,MATCH('Calculations'!IF396,'Calculations'!$HE$13:$HE$512,0)),""))))</x:f>
      </x:c>
      <x:c r="IH396" t="str">
        <x:f>IF('Calculations'!IG396="","",IF('Calculations'!IG396="!AMBIG","!AMBIG",IF(COUNTIF('Calculations'!$HE$13:$HE$512,"="&amp;SUBSTITUTE(SUBSTITUTE(SUBSTITUTE('Calculations'!IG396,"~","~~"),"*","~*"),"?","~?"))&gt;1,"!AMBIG",IFERROR(INDEX('Calculations'!$HF$13:$HF$512,MATCH('Calculations'!IG396,'Calculations'!$HE$13:$HE$512,0)),""))))</x:f>
      </x:c>
      <x:c r="II396" t="str">
        <x:f>IF('Calculations'!IH396="","",IF('Calculations'!IH396="!AMBIG","!AMBIG",IF(COUNTIF('Calculations'!$HE$13:$HE$512,"="&amp;SUBSTITUTE(SUBSTITUTE(SUBSTITUTE('Calculations'!IH396,"~","~~"),"*","~*"),"?","~?"))&gt;1,"!AMBIG",IFERROR(INDEX('Calculations'!$HF$13:$HF$512,MATCH('Calculations'!IH396,'Calculations'!$HE$13:$HE$512,0)),""))))</x:f>
      </x:c>
      <x:c r="IJ396" t="str">
        <x:f>IF('Calculations'!EM396="","",IF('Calculations'!$EF$2="All",'Calculations'!HM396,IF('Calculations'!HL396=1,"",IFERROR(IF(MATCH('Calculations'!$EF$2,'Calculations'!HO396:II396,0)=1,'Calculations'!HE396,INDEX('Calculations'!HO396:II396,1,MATCH('Calculations'!$EF$2,'Calculations'!HO396:II396,0)-1)),""))))</x:f>
      </x:c>
      <x:c r="IK396" t="n">
        <x:f>IF(AND('Calculations'!EM396&lt;&gt;"",'Calculations'!$EF$2&lt;&gt;"All",'Calculations'!HF396='Calculations'!$EF$2,'Calculations'!HL396=0,'Calculations'!JD396&gt;0),MAX('Calculations'!$IK$12:IK395)+1,0)</x:f>
        <x:v>0</x:v>
      </x:c>
      <x:c r="JA396" t="n">
        <x:f>IF(OR(IFERROR(INDIRECT("'WCM Calibration Final'!$A$396")&lt;&gt;"",FALSE),IFERROR(INDIRECT("'WCM Calibration Final'!$B$396")&lt;&gt;"",FALSE),IFERROR(INDIRECT("'WCM Calibration Final'!$C$396")&lt;&gt;"",FALSE)),396,0)</x:f>
        <x:v>0</x:v>
      </x:c>
      <x:c r="JB396" t="n">
        <x:f>'Calculations'!JB395+IF('Calculations'!JA396&gt;0,1,0)</x:f>
        <x:v>0</x:v>
      </x:c>
      <x:c r="JC396" t="n">
        <x:f>IF(OR('Calculations'!HF396="",'Calculations'!HF396="!AMBIG"),0,IF('Dashboard'!$B$7="All",1,COUNTIFS('Calculations'!$HO$13:$HO$512,"="&amp;SUBSTITUTE(SUBSTITUTE(SUBSTITUTE('Calculations'!HF396,"~","~~"),"*","~*"),"?","~?"),'Calculations'!$HN$13:$HN$512,"="&amp;SUBSTITUTE(SUBSTITUTE(SUBSTITUTE('Dashboard'!$B$7,"~","~~"),"*","~*"),"?","~?"))+COUNTIFS('Calculations'!$HP$13:$HP$512,"="&amp;SUBSTITUTE(SUBSTITUTE(SUBSTITUTE('Calculations'!HF396,"~","~~"),"*","~*"),"?","~?"),'Calculations'!$HN$13:$HN$512,"="&amp;SUBSTITUTE(SUBSTITUTE(SUBSTITUTE('Dashboard'!$B$7,"~","~~"),"*","~*"),"?","~?"))+COUNTIFS('Calculations'!$HQ$13:$HQ$512,"="&amp;SUBSTITUTE(SUBSTITUTE(SUBSTITUTE('Calculations'!HF396,"~","~~"),"*","~*"),"?","~?"),'Calculations'!$HN$13:$HN$512,"="&amp;SUBSTITUTE(SUBSTITUTE(SUBSTITUTE('Dashboard'!$B$7,"~","~~"),"*","~*"),"?","~?"))+COUNTIFS('Calculations'!$HR$13:$HR$512,"="&amp;SUBSTITUTE(SUBSTITUTE(SUBSTITUTE('Calculations'!HF396,"~","~~"),"*","~*"),"?","~?"),'Calculations'!$HN$13:$HN$512,"="&amp;SUBSTITUTE(SUBSTITUTE(SUBSTITUTE('Dashboard'!$B$7,"~","~~"),"*","~*"),"?","~?"))+COUNTIFS('Calculations'!$HS$13:$HS$512,"="&amp;SUBSTITUTE(SUBSTITUTE(SUBSTITUTE('Calculations'!HF396,"~","~~"),"*","~*"),"?","~?"),'Calculations'!$HN$13:$HN$512,"="&amp;SUBSTITUTE(SUBSTITUTE(SUBSTITUTE('Dashboard'!$B$7,"~","~~"),"*","~*"),"?","~?"))+COUNTIFS('Calculations'!$HT$13:$HT$512,"="&amp;SUBSTITUTE(SUBSTITUTE(SUBSTITUTE('Calculations'!HF396,"~","~~"),"*","~*"),"?","~?"),'Calculations'!$HN$13:$HN$512,"="&amp;SUBSTITUTE(SUBSTITUTE(SUBSTITUTE('Dashboard'!$B$7,"~","~~"),"*","~*"),"?","~?"))+COUNTIFS('Calculations'!$HU$13:$HU$512,"="&amp;SUBSTITUTE(SUBSTITUTE(SUBSTITUTE('Calculations'!HF396,"~","~~"),"*","~*"),"?","~?"),'Calculations'!$HN$13:$HN$512,"="&amp;SUBSTITUTE(SUBSTITUTE(SUBSTITUTE('Dashboard'!$B$7,"~","~~"),"*","~*"),"?","~?"))+COUNTIFS('Calculations'!$HV$13:$HV$512,"="&amp;SUBSTITUTE(SUBSTITUTE(SUBSTITUTE('Calculations'!HF396,"~","~~"),"*","~*"),"?","~?"),'Calculations'!$HN$13:$HN$512,"="&amp;SUBSTITUTE(SUBSTITUTE(SUBSTITUTE('Dashboard'!$B$7,"~","~~"),"*","~*"),"?","~?"))+COUNTIFS('Calculations'!$HW$13:$HW$512,"="&amp;SUBSTITUTE(SUBSTITUTE(SUBSTITUTE('Calculations'!HF396,"~","~~"),"*","~*"),"?","~?"),'Calculations'!$HN$13:$HN$512,"="&amp;SUBSTITUTE(SUBSTITUTE(SUBSTITUTE('Dashboard'!$B$7,"~","~~"),"*","~*"),"?","~?"))+COUNTIFS('Calculations'!$HX$13:$HX$512,"="&amp;SUBSTITUTE(SUBSTITUTE(SUBSTITUTE('Calculations'!HF396,"~","~~"),"*","~*"),"?","~?"),'Calculations'!$HN$13:$HN$512,"="&amp;SUBSTITUTE(SUBSTITUTE(SUBSTITUTE('Dashboard'!$B$7,"~","~~"),"*","~*"),"?","~?"))+COUNTIFS('Calculations'!$HY$13:$HY$512,"="&amp;SUBSTITUTE(SUBSTITUTE(SUBSTITUTE('Calculations'!HF396,"~","~~"),"*","~*"),"?","~?"),'Calculations'!$HN$13:$HN$512,"="&amp;SUBSTITUTE(SUBSTITUTE(SUBSTITUTE('Dashboard'!$B$7,"~","~~"),"*","~*"),"?","~?"))+COUNTIFS('Calculations'!$HZ$13:$HZ$512,"="&amp;SUBSTITUTE(SUBSTITUTE(SUBSTITUTE('Calculations'!HF396,"~","~~"),"*","~*"),"?","~?"),'Calculations'!$HN$13:$HN$512,"="&amp;SUBSTITUTE(SUBSTITUTE(SUBSTITUTE('Dashboard'!$B$7,"~","~~"),"*","~*"),"?","~?"))+COUNTIFS('Calculations'!$IA$13:$IA$512,"="&amp;SUBSTITUTE(SUBSTITUTE(SUBSTITUTE('Calculations'!HF396,"~","~~"),"*","~*"),"?","~?"),'Calculations'!$HN$13:$HN$512,"="&amp;SUBSTITUTE(SUBSTITUTE(SUBSTITUTE('Dashboard'!$B$7,"~","~~"),"*","~*"),"?","~?"))+COUNTIFS('Calculations'!$IB$13:$IB$512,"="&amp;SUBSTITUTE(SUBSTITUTE(SUBSTITUTE('Calculations'!HF396,"~","~~"),"*","~*"),"?","~?"),'Calculations'!$HN$13:$HN$512,"="&amp;SUBSTITUTE(SUBSTITUTE(SUBSTITUTE('Dashboard'!$B$7,"~","~~"),"*","~*"),"?","~?"))+COUNTIFS('Calculations'!$IC$13:$IC$512,"="&amp;SUBSTITUTE(SUBSTITUTE(SUBSTITUTE('Calculations'!HF396,"~","~~"),"*","~*"),"?","~?"),'Calculations'!$HN$13:$HN$512,"="&amp;SUBSTITUTE(SUBSTITUTE(SUBSTITUTE('Dashboard'!$B$7,"~","~~"),"*","~*"),"?","~?"))+COUNTIFS('Calculations'!$ID$13:$ID$512,"="&amp;SUBSTITUTE(SUBSTITUTE(SUBSTITUTE('Calculations'!HF396,"~","~~"),"*","~*"),"?","~?"),'Calculations'!$HN$13:$HN$512,"="&amp;SUBSTITUTE(SUBSTITUTE(SUBSTITUTE('Dashboard'!$B$7,"~","~~"),"*","~*"),"?","~?"))+COUNTIFS('Calculations'!$IE$13:$IE$512,"="&amp;SUBSTITUTE(SUBSTITUTE(SUBSTITUTE('Calculations'!HF396,"~","~~"),"*","~*"),"?","~?"),'Calculations'!$HN$13:$HN$512,"="&amp;SUBSTITUTE(SUBSTITUTE(SUBSTITUTE('Dashboard'!$B$7,"~","~~"),"*","~*"),"?","~?"))+COUNTIFS('Calculations'!$IF$13:$IF$512,"="&amp;SUBSTITUTE(SUBSTITUTE(SUBSTITUTE('Calculations'!HF396,"~","~~"),"*","~*"),"?","~?"),'Calculations'!$HN$13:$HN$512,"="&amp;SUBSTITUTE(SUBSTITUTE(SUBSTITUTE('Dashboard'!$B$7,"~","~~"),"*","~*"),"?","~?"))+COUNTIFS('Calculations'!$IG$13:$IG$512,"="&amp;SUBSTITUTE(SUBSTITUTE(SUBSTITUTE('Calculations'!HF396,"~","~~"),"*","~*"),"?","~?"),'Calculations'!$HN$13:$HN$512,"="&amp;SUBSTITUTE(SUBSTITUTE(SUBSTITUTE('Dashboard'!$B$7,"~","~~"),"*","~*"),"?","~?"))+COUNTIFS('Calculations'!$IH$13:$IH$512,"="&amp;SUBSTITUTE(SUBSTITUTE(SUBSTITUTE('Calculations'!HF396,"~","~~"),"*","~*"),"?","~?"),'Calculations'!$HN$13:$HN$512,"="&amp;SUBSTITUTE(SUBSTITUTE(SUBSTITUTE('Dashboard'!$B$7,"~","~~"),"*","~*"),"?","~?"))))</x:f>
        <x:v>0</x:v>
      </x:c>
      <x:c r="JD396" t="n">
        <x:f>IF('Calculations'!EM396="",0,IF('Dashboard'!$B$7="All",1,IF('Calculations'!HN396='Dashboard'!$B$7,1,0)+IFERROR(INDEX('Calculations'!$JC$13:$JC$512,MATCH('Calculations'!HE396,'Calculations'!$HF$13:$HF$512,0)),0)))</x:f>
        <x:v>0</x:v>
      </x:c>
      <x:c r="JE396" t="n">
        <x:f>IF(AND('Calculations'!EM396&lt;&gt;"",'Calculations'!$JJ$2&lt;&gt;"All",'Calculations'!$JJ$2&lt;&gt;"",'Calculations'!HF396='Calculations'!$JJ$2,'Calculations'!HL396=0,'Calculations'!JD396&gt;0),MAX('Calculations'!$JE$12:JE395)+1,0)</x:f>
        <x:v>0</x:v>
      </x:c>
      <x:c r="JF396" t="str">
        <x:f>IF('Calculations'!EM396="","",IFERROR(IF(INDEX(INDIRECT("'WCM Calibration Final'!$G$1:$G$2000"),'Calculations'!$EM396)="","",TRIM(INDEX(INDIRECT("'WCM Calibration Final'!$G$1:$G$2000"),'Calculations'!$EM396)&amp;"")),""))</x:f>
      </x:c>
      <x:c r="JQ396" t="n">
        <x:f>IF(OR('Calculations'!BM396=0,NOT('Calculations'!$AG$2),'Calculations'!$AG$8&gt;0),0,IF(OR('Dashboard'!$B$7="All",'Calculations'!HN396='Dashboard'!$B$7),IF('Calculations'!$JJ$2="All",1,IF(AND('Calculations'!HF396='Calculations'!$JJ$2,'Calculations'!HL396=0),1,0)),0))</x:f>
        <x:v>0</x:v>
      </x:c>
    </x:row>
    <x:row r="397">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t="n">
        <x:f>IF('Calculations'!$EM397="",0,IF(OR(IFERROR(INDEX(INDIRECT("'WCM Calibration Final'!$A$1:$A$2000"),'Calculations'!$EM397)&lt;&gt;"",FALSE),IFERROR(INDEX(INDIRECT("'WCM Calibration Final'!$B$1:$B$2000"),'Calculations'!$EM397)&lt;&gt;"",FALSE),IFERROR(INDEX(INDIRECT("'WCM Calibration Final'!$C$1:$C$2000"),'Calculations'!$EM397)&lt;&gt;"",FALSE)),1,0))</x:f>
        <x:v>0</x:v>
      </x:c>
      <x:c r="BN397" s="4" t="n">
        <x:f>IF(AND('Calculations'!BM397=1,'Calculations'!$AG$2,'Calculations'!$EN397=1),1,0)</x:f>
        <x:v>0</x:v>
      </x:c>
      <x:c r="BO397" s="4" t="str">
        <x:f>IF('Calculations'!BM397=0,"",IFERROR(IF(AND(VALUE(INDEX(INDIRECT("'WCM Calibration Final'!$K$1:$K$2000"),'Calculations'!$EM397))&gt;=1,VALUE(INDEX(INDIRECT("'WCM Calibration Final'!$K$1:$K$2000"),'Calculations'!$EM397))&lt;=4,MOD(VALUE(INDEX(INDIRECT("'WCM Calibration Final'!$K$1:$K$2000"),'Calculations'!$EM397)),1)=0),VALUE(INDEX(INDIRECT("'WCM Calibration Final'!$K$1:$K$2000"),'Calculations'!$EM397)),""),""))</x:f>
      </x:c>
      <x:c r="BP397" s="4" t="str">
        <x:f>IF('Calculations'!BM397=0,"",IFERROR(IF(AND(VALUE(INDEX(INDIRECT("'WCM Calibration Final'!$L$1:$L$2000"),'Calculations'!$EM397))&gt;=1,VALUE(INDEX(INDIRECT("'WCM Calibration Final'!$L$1:$L$2000"),'Calculations'!$EM397))&lt;=4,MOD(VALUE(INDEX(INDIRECT("'WCM Calibration Final'!$L$1:$L$2000"),'Calculations'!$EM397)),1)=0),VALUE(INDEX(INDIRECT("'WCM Calibration Final'!$L$1:$L$2000"),'Calculations'!$EM397)),""),""))</x:f>
      </x:c>
      <x:c r="BQ397" s="4"/>
      <x:c r="BR397" s="4"/>
      <x:c r="BS397" s="4"/>
      <x:c r="BT397" s="4" t="n">
        <x:f>IF(AND('Calculations'!BM397=1,ISNUMBER('Calculations'!BO397),ISNUMBER('Calculations'!BP397)),1,0)</x:f>
        <x:v>0</x:v>
      </x:c>
      <x:c r="BU397" s="4" t="str">
        <x:f>IF('Calculations'!BM397=0,"",'Calculations'!$EO397)</x:f>
      </x:c>
      <x:c r="BV397" s="4" t="str">
        <x:f>IF('Calculations'!BM397=0,"",IFERROR(IF(OR(INDEX(INDIRECT("'WCM Calibration Final'!$H$1:$H$2000"),'Calculations'!$EM397)="MANAGING DIRECTOR",INDEX(INDIRECT("'WCM Calibration Final'!$H$1:$H$2000"),'Calculations'!$EM397)="DIRECTOR",INDEX(INDIRECT("'WCM Calibration Final'!$H$1:$H$2000"),'Calculations'!$EM397)="SENIOR VICE PRESIDENT",INDEX(INDIRECT("'WCM Calibration Final'!$H$1:$H$2000"),'Calculations'!$EM397)="VICE PRESIDENT",INDEX(INDIRECT("'WCM Calibration Final'!$H$1:$H$2000"),'Calculations'!$EM397)="ASSISTANT VICE PRESIDENT",INDEX(INDIRECT("'WCM Calibration Final'!$H$1:$H$2000"),'Calculations'!$EM397)="OFFICER"),UPPER(INDEX(INDIRECT("'WCM Calibration Final'!$H$1:$H$2000"),'Calculations'!$EM397)),"Other"),"Other"))</x:f>
      </x:c>
      <x:c r="BW397" s="4"/>
      <x:c r="BX397" s="4"/>
      <x:c r="BY397" s="4" t="n">
        <x:f>IF(AND('Calculations'!BM397=1,'Calculations'!BU397&lt;&gt;"",COUNTIF('Calculations'!$BU$12:BU397,'Calculations'!BU397)=1),MAX('Calculations'!$BY$11:BY396)+1,0)</x:f>
        <x:v>0</x:v>
      </x:c>
      <x:c r="BZ397" s="4" t="str">
        <x:f>IF('Dashboard'!$E$67="What",'Calculations'!BO397,'Calculations'!BP397)</x:f>
      </x:c>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t="str">
        <x:f>IF(386&gt;MAX('Calculations'!$HI$13:$HI$512),"",INDEX('Calculations'!$HN$13:$HN$512,MATCH(386,'Calculations'!$HI$13:$HI$512,0)))</x:f>
      </x:c>
      <x:c r="DB397" s="4" t="str">
        <x:f>IF(386&gt;MAX('Calculations'!$HH$13:$HH$512),"",INDEX('Calculations'!$HJ$13:$HJ$512,MATCH(386,'Calculations'!$HH$13:$HH$512,0)))</x:f>
      </x:c>
      <x:c r="DC397" s="4" t="str">
        <x:f>IF(ROW()-11&gt;MAX('Calculations'!$BY$13:$BY$512),"",INDEX('Calculations'!$BU$13:$BU$512,MATCH(ROW()-11,'Calculations'!$BY$13:$BY$512,0)))</x:f>
      </x:c>
      <x:c r="DD397" s="4" t="str">
        <x:f>IF(386&gt;MAX('Calculations'!$IK$13:$IK$512),"",INDEX('Calculations'!$HK$13:$HK$512,MATCH(386,'Calculations'!$IK$13:$IK$512,0)))</x:f>
      </x:c>
      <x:c r="DE397" s="4" t="str">
        <x:f>'Calculations'!DC397</x:f>
      </x:c>
      <x:c r="DF397" s="4" t="str">
        <x:f>IF('Calculations'!DE397="","",COUNTIFS('Calculations'!$BN$13:$BN$512,1,'Calculations'!$BU$13:$BU$512,'Calculations'!DE397))</x:f>
      </x:c>
      <x:c r="DG397" s="4" t="str">
        <x:f>IF('Calculations'!DE397="","",COUNTIFS('Calculations'!$BN$13:$BN$512,1,'Calculations'!$BU$13:$BU$512,'Calculations'!DE397,'Calculations'!$BT$13:$BT$512,1))</x:f>
      </x:c>
      <x:c r="DH397" s="4" t="str">
        <x:f>IF('Calculations'!DE397="","",'Calculations'!DF397-'Calculations'!DG397)</x:f>
      </x:c>
      <x:c r="DI397" s="4" t="str">
        <x:f>IF(OR('Calculations'!DE397="",'Calculations'!DF397=0),"",'Calculations'!DG397/'Calculations'!DF397)</x:f>
      </x:c>
      <x:c r="DJ397" s="4" t="str">
        <x:f>IF('Calculations'!DE397="","",COUNTIFS('Calculations'!$BN$13:$BN$512,1,'Calculations'!$BU$13:$BU$512,'Calculations'!DE397,'Calculations'!$BT$13:$BT$512,1,'Calculations'!$EE$13:$EE$512,"High"))</x:f>
      </x:c>
      <x:c r="DK397" s="4" t="str">
        <x:f>IF('Calculations'!DE397="","",COUNTIFS('Calculations'!$BN$13:$BN$512,1,'Calculations'!$BU$13:$BU$512,'Calculations'!DE397,'Calculations'!$BT$13:$BT$512,1,'Calculations'!$EE$13:$EE$512,"Strong"))</x:f>
      </x:c>
      <x:c r="DL397" s="4" t="str">
        <x:f>IF('Calculations'!DE397="","",COUNTIFS('Calculations'!$BN$13:$BN$512,1,'Calculations'!$BU$13:$BU$512,'Calculations'!DE397,'Calculations'!$BT$13:$BT$512,1,'Calculations'!$EE$13:$EE$512,"Solid"))</x:f>
      </x:c>
      <x:c r="DM397" s="4" t="str">
        <x:f>IF('Calculations'!DE397="","",COUNTIFS('Calculations'!$BN$13:$BN$512,1,'Calculations'!$BU$13:$BU$512,'Calculations'!DE397,'Calculations'!$BT$13:$BT$512,1,'Calculations'!$EE$13:$EE$512,"Low"))</x:f>
      </x:c>
      <x:c r="DN397" s="4" t="str">
        <x:f>IF('Calculations'!DE397="","",COUNTIFS('Calculations'!$BN$13:$BN$512,1,'Calculations'!$BU$13:$BU$512,'Calculations'!DE397,'Calculations'!$EP$13:$EP$512,1))</x:f>
      </x:c>
      <x:c r="DO397" s="4" t="str">
        <x:f>IF(OR('Calculations'!DE397="",'Calculations'!DG397=0),"",('Calculations'!DJ397+'Calculations'!DK397)/'Calculations'!DG397)</x:f>
      </x:c>
      <x:c r="DP397" s="4" t="n">
        <x:f>IF(AND('Calculations'!DE397&lt;&gt;"",'Calculations'!DF397&gt;0),COUNTIF('Calculations'!$DF$12:DF397,"&gt;0"),0)</x:f>
        <x:v>0</x:v>
      </x:c>
      <x:c r="DQ397" s="4" t="str">
        <x:f>IF(386&gt;MAX('Calculations'!$HH$13:$HH$512),"",INDEX('Calculations'!$HF$13:$HF$512,MATCH(386,'Calculations'!$HH$13:$HH$512,0)))</x:f>
      </x:c>
      <x:c r="DR397" s="4" t="str">
        <x:f>IF(386&gt;MAX('Calculations'!$IK$13:$IK$512),"",INDEX('Calculations'!$HE$13:$HE$512,MATCH(386,'Calculations'!$IK$13:$IK$512,0)))</x:f>
      </x:c>
      <x:c r="DS397" s="4"/>
      <x:c r="DT397" s="4"/>
      <x:c r="DU397" s="4"/>
      <x:c r="DV397" s="4"/>
      <x:c r="DW397" s="4"/>
      <x:c r="DX397" s="4"/>
      <x:c r="DY397" s="4"/>
      <x:c r="DZ397" s="4"/>
      <x:c r="EA397" s="4"/>
      <x:c r="EB397" s="4"/>
      <x:c r="EC397" s="4"/>
      <x:c r="ED397" s="4"/>
      <x:c r="EE397" s="4" t="str">
        <x:f>IF('Calculations'!BT397=0,"Not Rated",IF(OR('Calculations'!BO397&gt;=4,'Calculations'!BP397&gt;=4),"Low",IF('Calculations'!BO397+'Calculations'!BP397&lt;=3,"High",IF('Calculations'!BO397+'Calculations'!BP397&lt;=4,"Strong","Solid"))))</x:f>
        <x:v>Not Rated</x:v>
      </x:c>
      <x:c r="EF397" s="4"/>
      <x:c r="EG397" s="4"/>
      <x:c r="EH397" s="4"/>
      <x:c r="EI397" s="4"/>
      <x:c r="EJ397" s="4"/>
      <x:c r="EK397" s="4"/>
      <x:c r="EL397" s="4"/>
      <x:c r="EM397" s="4" t="str">
        <x:f>IF(385&gt;'Calculations'!$JB$2000,"",INDEX('Calculations'!$JA$12:$JA$2000,MATCH(385,'Calculations'!$JB$12:$JB$2000,0)))</x:f>
      </x:c>
      <x:c r="EN397" s="4" t="n">
        <x:f>IF(OR('Calculations'!EM397="",'Calculations'!$AG$8&gt;0,AND('Calculations'!$EF$2&lt;&gt;"All",'Calculations'!HE397='Calculations'!$EF$2),AND('Calculations'!$EF$3&lt;&gt;"All",'Calculations'!HE397='Calculations'!$EF$3)),0,IF(OR('Dashboard'!$B$7="All",'Calculations'!HN397='Dashboard'!$B$7),IF('Calculations'!$EF$2="All",1,IF('Calculations'!HL397&gt;0,0,IF(COUNTIF('Calculations'!HO397:II397,"="&amp;SUBSTITUTE(SUBSTITUTE(SUBSTITUTE('Calculations'!$EF$2,"~","~~"),"*","~*"),"?","~?"))=0,0,IF('Calculations'!$EF$3="All",1,IF(COUNTIF('Calculations'!HO397:II397,"="&amp;SUBSTITUTE(SUBSTITUTE(SUBSTITUTE('Calculations'!$EF$3,"~","~~"),"*","~*"),"?","~?"))&gt;0,1,0))))),0))</x:f>
        <x:v>0</x:v>
      </x:c>
      <x:c r="EO397" s="4" t="str">
        <x:f>IF('Calculations'!IJ397="","",IF('Calculations'!IJ397="!UNRESOLVED","Unresolved hierarchy",IFERROR(INDEX('Calculations'!$HK$13:$HK$512,MATCH('Calculations'!IJ397,'Calculations'!$HE$13:$HE$512,0)),IFERROR(INDEX('Calculations'!$HJ$13:$HJ$512,MATCH('Calculations'!IJ397,'Calculations'!$HF$13:$HF$512,0)),'Calculations'!IJ397))))</x:f>
      </x:c>
      <x:c r="EP397" s="4" t="n">
        <x:f>IF(AND('Calculations'!EM397&lt;&gt;"",'Calculations'!HF397='Calculations'!IJ397),1,0)</x:f>
        <x:v>0</x:v>
      </x:c>
      <x:c r="EQ397" s="4"/>
      <x:c r="ER397" s="4"/>
      <x:c r="ES397" s="4"/>
      <x:c r="ET397" s="4"/>
      <x:c r="EU397" s="4"/>
      <x:c r="EV397" s="4"/>
      <x:c r="EW397" s="4"/>
      <x:c r="EX397" s="4"/>
      <x:c r="EY397" s="4"/>
      <x:c r="EZ397" s="4"/>
      <x:c r="FA397" s="4"/>
      <x:c r="FB397" s="4"/>
      <x:c r="FC397" s="4"/>
      <x:c r="FD397" s="4"/>
      <x:c r="FE397" s="4"/>
      <x:c r="FF397" s="4"/>
      <x:c r="FG397" s="4"/>
      <x:c r="FH397" s="4"/>
      <x:c r="FI397" s="4"/>
      <x:c r="FJ397" s="4"/>
      <x:c r="FK397" s="4"/>
      <x:c r="FL397" s="4"/>
      <x:c r="FM397" s="4"/>
      <x:c r="FN397" s="4"/>
      <x:c r="FO397" s="4"/>
      <x:c r="HE397" t="str">
        <x:f>IF('Calculations'!EM397="","",IF(IFERROR(IF(INDEX(INDIRECT("'WCM Calibration Final'!$A$1:$A$2000"),'Calculations'!$EM397)="","",TRIM(INDEX(INDIRECT("'WCM Calibration Final'!$A$1:$A$2000"),'Calculations'!$EM397)&amp;"")),"")&lt;&gt;"","G:"&amp;IFERROR(TEXT(1*INDEX(INDIRECT("'WCM Calibration Final'!$A$1:$A$2000"),'Calculations'!$EM397),"0"),UPPER(IFERROR(IF(INDEX(INDIRECT("'WCM Calibration Final'!$A$1:$A$2000"),'Calculations'!$EM397)="","",TRIM(INDEX(INDIRECT("'WCM Calibration Final'!$A$1:$A$2000"),'Calculations'!$EM397)&amp;"")),""))),IF(IFERROR(IF(INDEX(INDIRECT("'WCM Calibration Final'!$C$1:$C$2000"),'Calculations'!$EM397)="","",TRIM(INDEX(INDIRECT("'WCM Calibration Final'!$C$1:$C$2000"),'Calculations'!$EM397)&amp;"")),"")&lt;&gt;"","S:"&amp;UPPER(IFERROR(IF(INDEX(INDIRECT("'WCM Calibration Final'!$C$1:$C$2000"),'Calculations'!$EM397)="","",TRIM(INDEX(INDIRECT("'WCM Calibration Final'!$C$1:$C$2000"),'Calculations'!$EM397)&amp;"")),"")),"R:"&amp;'Calculations'!EM397)))</x:f>
      </x:c>
      <x:c r="HF397" t="str">
        <x:f>IF('Calculations'!EM397="","",IF(IFERROR(IF(INDEX(INDIRECT("'WCM Calibration Final'!$D$1:$D$2000"),'Calculations'!$EM397)="","",TRIM(INDEX(INDIRECT("'WCM Calibration Final'!$D$1:$D$2000"),'Calculations'!$EM397)&amp;"")),"")&lt;&gt;"","G:"&amp;IFERROR(TEXT(1*INDEX(INDIRECT("'WCM Calibration Final'!$D$1:$D$2000"),'Calculations'!$EM397),"0"),UPPER(IFERROR(IF(INDEX(INDIRECT("'WCM Calibration Final'!$D$1:$D$2000"),'Calculations'!$EM397)="","",TRIM(INDEX(INDIRECT("'WCM Calibration Final'!$D$1:$D$2000"),'Calculations'!$EM397)&amp;"")),""))),IF(IFERROR(IF(INDEX(INDIRECT("'WCM Calibration Final'!$E$1:$E$2000"),'Calculations'!$EM397)="","",TRIM(INDEX(INDIRECT("'WCM Calibration Final'!$E$1:$E$2000"),'Calculations'!$EM397)&amp;"")),"")="","",IF(COUNTIF('Calculations'!$HG$13:$HG$512,"="&amp;SUBSTITUTE(SUBSTITUTE(SUBSTITUTE(IFERROR(IF(INDEX(INDIRECT("'WCM Calibration Final'!$E$1:$E$2000"),'Calculations'!$EM397)="","",TRIM(INDEX(INDIRECT("'WCM Calibration Final'!$E$1:$E$2000"),'Calculations'!$EM397)&amp;"")),""),"~","~~"),"*","~*"),"?","~?"))=1,INDEX('Calculations'!$HE$13:$HE$512,MATCH(IFERROR(IF(INDEX(INDIRECT("'WCM Calibration Final'!$E$1:$E$2000"),'Calculations'!$EM397)="","",TRIM(INDEX(INDIRECT("'WCM Calibration Final'!$E$1:$E$2000"),'Calculations'!$EM397)&amp;"")),""),'Calculations'!$HG$13:$HG$512,0)),IF(COUNTIF('Calculations'!$HG$13:$HG$512,"="&amp;SUBSTITUTE(SUBSTITUTE(SUBSTITUTE(IFERROR(IF(INDEX(INDIRECT("'WCM Calibration Final'!$E$1:$E$2000"),'Calculations'!$EM397)="","",TRIM(INDEX(INDIRECT("'WCM Calibration Final'!$E$1:$E$2000"),'Calculations'!$EM397)&amp;"")),""),"~","~~"),"*","~*"),"?","~?"))&gt;1,"!AMBIG","X:"&amp;IFERROR(IF(INDEX(INDIRECT("'WCM Calibration Final'!$E$1:$E$2000"),'Calculations'!$EM397)="","",TRIM(INDEX(INDIRECT("'WCM Calibration Final'!$E$1:$E$2000"),'Calculations'!$EM397)&amp;"")),""))))))</x:f>
      </x:c>
      <x:c r="HG397" t="str">
        <x:f>IF('Calculations'!EM397="","",IFERROR(IF(INDEX(INDIRECT("'WCM Calibration Final'!$B$1:$B$2000"),'Calculations'!$EM397)="","",TRIM(INDEX(INDIRECT("'WCM Calibration Final'!$B$1:$B$2000"),'Calculations'!$EM397)&amp;"")),""))</x:f>
      </x:c>
      <x:c r="HH397" t="n">
        <x:f>IF(AND('Calculations'!JC397&gt;0,COUNTIF('Calculations'!$HF$12:HF397,"="&amp;SUBSTITUTE(SUBSTITUTE(SUBSTITUTE('Calculations'!HF397,"~","~~"),"*","~*"),"?","~?"))=1),MAX('Calculations'!$HH$12:HH396)+1,0)</x:f>
        <x:v>0</x:v>
      </x:c>
      <x:c r="HI397" t="n">
        <x:f>IF(AND('Calculations'!HN397&lt;&gt;"",COUNTIF('Calculations'!$HN$12:HN397,"="&amp;SUBSTITUTE(SUBSTITUTE(SUBSTITUTE('Calculations'!HN397,"~","~~"),"*","~*"),"?","~?"))=1),MAX('Calculations'!$HI$12:HI396)+1,0)</x:f>
        <x:v>0</x:v>
      </x:c>
      <x:c r="HJ397" t="str">
        <x:f>IF('Calculations'!HF397="","",IF(COUNTIF('Calculations'!$HE$13:$HE$512,"="&amp;SUBSTITUTE(SUBSTITUTE(SUBSTITUTE('Calculations'!HF397,"~","~~"),"*","~*"),"?","~?"))=1,INDEX('Calculations'!$HK$13:$HK$512,MATCH('Calculations'!HF397,'Calculations'!$HE$13:$HE$512,0)),IFERROR(IF(INDEX(INDIRECT("'WCM Calibration Final'!$E$1:$E$2000"),'Calculations'!$EM397)="","",TRIM(INDEX(INDIRECT("'WCM Calibration Final'!$E$1:$E$2000"),'Calculations'!$EM397)&amp;"")),"")&amp;" ["&amp;'Calculations'!HF397&amp;"]"))</x:f>
      </x:c>
      <x:c r="HK397" t="str">
        <x:f>IF('Calculations'!EM397="","",'Calculations'!HG397&amp;" ["&amp;'Calculations'!HE397&amp;"]")</x:f>
      </x:c>
      <x:c r="HL397" t="n">
        <x:f>IF('Calculations'!EM397="",0,IF(OR('Calculations'!II397&lt;&gt;"",COUNTIF('Calculations'!$HE$13:$HE$512,"="&amp;SUBSTITUTE(SUBSTITUTE(SUBSTITUTE('Calculations'!HE397,"~","~~"),"*","~*"),"?","~?"))&gt;1),1,0))</x:f>
        <x:v>0</x:v>
      </x:c>
      <x:c r="HM397" t="str">
        <x:f>IF('Calculations'!EM397="","",IF('Calculations'!HL397=1,"!UNRESOLVED",IF('Calculations'!IH397&lt;&gt;"",'Calculations'!IH397,IF('Calculations'!IG397&lt;&gt;"",'Calculations'!IG397,IF('Calculations'!IF397&lt;&gt;"",'Calculations'!IF397,IF('Calculations'!IE397&lt;&gt;"",'Calculations'!IE397,IF('Calculations'!ID397&lt;&gt;"",'Calculations'!ID397,IF('Calculations'!IC397&lt;&gt;"",'Calculations'!IC397,IF('Calculations'!IB397&lt;&gt;"",'Calculations'!IB397,IF('Calculations'!IA397&lt;&gt;"",'Calculations'!IA397,IF('Calculations'!HZ397&lt;&gt;"",'Calculations'!HZ397,IF('Calculations'!HY397&lt;&gt;"",'Calculations'!HY397,IF('Calculations'!HX397&lt;&gt;"",'Calculations'!HX397,IF('Calculations'!HW397&lt;&gt;"",'Calculations'!HW397,IF('Calculations'!HV397&lt;&gt;"",'Calculations'!HV397,IF('Calculations'!HU397&lt;&gt;"",'Calculations'!HU397,IF('Calculations'!HT397&lt;&gt;"",'Calculations'!HT397,IF('Calculations'!HS397&lt;&gt;"",'Calculations'!HS397,IF('Calculations'!HR397&lt;&gt;"",'Calculations'!HR397,IF('Calculations'!HQ397&lt;&gt;"",'Calculations'!HQ397,IF('Calculations'!HP397&lt;&gt;"",'Calculations'!HP397,IF('Calculations'!HO397&lt;&gt;"",'Calculations'!HO397,'Calculations'!HE397))))))))))))))))))))))</x:f>
      </x:c>
      <x:c r="HN397" t="str">
        <x:f>IF('Calculations'!EM397="","",IF(IFERROR(IF(INDEX(INDIRECT("'WCM Calibration Final'!$F$1:$F$2000"),'Calculations'!$EM397)="","",TRIM(INDEX(INDIRECT("'WCM Calibration Final'!$F$1:$F$2000"),'Calculations'!$EM397)&amp;"")),"")="","(Blank)",IFERROR(IF(INDEX(INDIRECT("'WCM Calibration Final'!$F$1:$F$2000"),'Calculations'!$EM397)="","",TRIM(INDEX(INDIRECT("'WCM Calibration Final'!$F$1:$F$2000"),'Calculations'!$EM397)&amp;"")),"")))</x:f>
      </x:c>
      <x:c r="HO397" t="str">
        <x:f>'Calculations'!HF397</x:f>
      </x:c>
      <x:c r="HP397" t="str">
        <x:f>IF('Calculations'!HO397="","",IF('Calculations'!HO397="!AMBIG","!AMBIG",IF(COUNTIF('Calculations'!$HE$13:$HE$512,"="&amp;SUBSTITUTE(SUBSTITUTE(SUBSTITUTE('Calculations'!HO397,"~","~~"),"*","~*"),"?","~?"))&gt;1,"!AMBIG",IFERROR(INDEX('Calculations'!$HF$13:$HF$512,MATCH('Calculations'!HO397,'Calculations'!$HE$13:$HE$512,0)),""))))</x:f>
      </x:c>
      <x:c r="HQ397" t="str">
        <x:f>IF('Calculations'!HP397="","",IF('Calculations'!HP397="!AMBIG","!AMBIG",IF(COUNTIF('Calculations'!$HE$13:$HE$512,"="&amp;SUBSTITUTE(SUBSTITUTE(SUBSTITUTE('Calculations'!HP397,"~","~~"),"*","~*"),"?","~?"))&gt;1,"!AMBIG",IFERROR(INDEX('Calculations'!$HF$13:$HF$512,MATCH('Calculations'!HP397,'Calculations'!$HE$13:$HE$512,0)),""))))</x:f>
      </x:c>
      <x:c r="HR397" t="str">
        <x:f>IF('Calculations'!HQ397="","",IF('Calculations'!HQ397="!AMBIG","!AMBIG",IF(COUNTIF('Calculations'!$HE$13:$HE$512,"="&amp;SUBSTITUTE(SUBSTITUTE(SUBSTITUTE('Calculations'!HQ397,"~","~~"),"*","~*"),"?","~?"))&gt;1,"!AMBIG",IFERROR(INDEX('Calculations'!$HF$13:$HF$512,MATCH('Calculations'!HQ397,'Calculations'!$HE$13:$HE$512,0)),""))))</x:f>
      </x:c>
      <x:c r="HS397" t="str">
        <x:f>IF('Calculations'!HR397="","",IF('Calculations'!HR397="!AMBIG","!AMBIG",IF(COUNTIF('Calculations'!$HE$13:$HE$512,"="&amp;SUBSTITUTE(SUBSTITUTE(SUBSTITUTE('Calculations'!HR397,"~","~~"),"*","~*"),"?","~?"))&gt;1,"!AMBIG",IFERROR(INDEX('Calculations'!$HF$13:$HF$512,MATCH('Calculations'!HR397,'Calculations'!$HE$13:$HE$512,0)),""))))</x:f>
      </x:c>
      <x:c r="HT397" t="str">
        <x:f>IF('Calculations'!HS397="","",IF('Calculations'!HS397="!AMBIG","!AMBIG",IF(COUNTIF('Calculations'!$HE$13:$HE$512,"="&amp;SUBSTITUTE(SUBSTITUTE(SUBSTITUTE('Calculations'!HS397,"~","~~"),"*","~*"),"?","~?"))&gt;1,"!AMBIG",IFERROR(INDEX('Calculations'!$HF$13:$HF$512,MATCH('Calculations'!HS397,'Calculations'!$HE$13:$HE$512,0)),""))))</x:f>
      </x:c>
      <x:c r="HU397" t="str">
        <x:f>IF('Calculations'!HT397="","",IF('Calculations'!HT397="!AMBIG","!AMBIG",IF(COUNTIF('Calculations'!$HE$13:$HE$512,"="&amp;SUBSTITUTE(SUBSTITUTE(SUBSTITUTE('Calculations'!HT397,"~","~~"),"*","~*"),"?","~?"))&gt;1,"!AMBIG",IFERROR(INDEX('Calculations'!$HF$13:$HF$512,MATCH('Calculations'!HT397,'Calculations'!$HE$13:$HE$512,0)),""))))</x:f>
      </x:c>
      <x:c r="HV397" t="str">
        <x:f>IF('Calculations'!HU397="","",IF('Calculations'!HU397="!AMBIG","!AMBIG",IF(COUNTIF('Calculations'!$HE$13:$HE$512,"="&amp;SUBSTITUTE(SUBSTITUTE(SUBSTITUTE('Calculations'!HU397,"~","~~"),"*","~*"),"?","~?"))&gt;1,"!AMBIG",IFERROR(INDEX('Calculations'!$HF$13:$HF$512,MATCH('Calculations'!HU397,'Calculations'!$HE$13:$HE$512,0)),""))))</x:f>
      </x:c>
      <x:c r="HW397" t="str">
        <x:f>IF('Calculations'!HV397="","",IF('Calculations'!HV397="!AMBIG","!AMBIG",IF(COUNTIF('Calculations'!$HE$13:$HE$512,"="&amp;SUBSTITUTE(SUBSTITUTE(SUBSTITUTE('Calculations'!HV397,"~","~~"),"*","~*"),"?","~?"))&gt;1,"!AMBIG",IFERROR(INDEX('Calculations'!$HF$13:$HF$512,MATCH('Calculations'!HV397,'Calculations'!$HE$13:$HE$512,0)),""))))</x:f>
      </x:c>
      <x:c r="HX397" t="str">
        <x:f>IF('Calculations'!HW397="","",IF('Calculations'!HW397="!AMBIG","!AMBIG",IF(COUNTIF('Calculations'!$HE$13:$HE$512,"="&amp;SUBSTITUTE(SUBSTITUTE(SUBSTITUTE('Calculations'!HW397,"~","~~"),"*","~*"),"?","~?"))&gt;1,"!AMBIG",IFERROR(INDEX('Calculations'!$HF$13:$HF$512,MATCH('Calculations'!HW397,'Calculations'!$HE$13:$HE$512,0)),""))))</x:f>
      </x:c>
      <x:c r="HY397" t="str">
        <x:f>IF('Calculations'!HX397="","",IF('Calculations'!HX397="!AMBIG","!AMBIG",IF(COUNTIF('Calculations'!$HE$13:$HE$512,"="&amp;SUBSTITUTE(SUBSTITUTE(SUBSTITUTE('Calculations'!HX397,"~","~~"),"*","~*"),"?","~?"))&gt;1,"!AMBIG",IFERROR(INDEX('Calculations'!$HF$13:$HF$512,MATCH('Calculations'!HX397,'Calculations'!$HE$13:$HE$512,0)),""))))</x:f>
      </x:c>
      <x:c r="HZ397" t="str">
        <x:f>IF('Calculations'!HY397="","",IF('Calculations'!HY397="!AMBIG","!AMBIG",IF(COUNTIF('Calculations'!$HE$13:$HE$512,"="&amp;SUBSTITUTE(SUBSTITUTE(SUBSTITUTE('Calculations'!HY397,"~","~~"),"*","~*"),"?","~?"))&gt;1,"!AMBIG",IFERROR(INDEX('Calculations'!$HF$13:$HF$512,MATCH('Calculations'!HY397,'Calculations'!$HE$13:$HE$512,0)),""))))</x:f>
      </x:c>
      <x:c r="IA397" t="str">
        <x:f>IF('Calculations'!HZ397="","",IF('Calculations'!HZ397="!AMBIG","!AMBIG",IF(COUNTIF('Calculations'!$HE$13:$HE$512,"="&amp;SUBSTITUTE(SUBSTITUTE(SUBSTITUTE('Calculations'!HZ397,"~","~~"),"*","~*"),"?","~?"))&gt;1,"!AMBIG",IFERROR(INDEX('Calculations'!$HF$13:$HF$512,MATCH('Calculations'!HZ397,'Calculations'!$HE$13:$HE$512,0)),""))))</x:f>
      </x:c>
      <x:c r="IB397" t="str">
        <x:f>IF('Calculations'!IA397="","",IF('Calculations'!IA397="!AMBIG","!AMBIG",IF(COUNTIF('Calculations'!$HE$13:$HE$512,"="&amp;SUBSTITUTE(SUBSTITUTE(SUBSTITUTE('Calculations'!IA397,"~","~~"),"*","~*"),"?","~?"))&gt;1,"!AMBIG",IFERROR(INDEX('Calculations'!$HF$13:$HF$512,MATCH('Calculations'!IA397,'Calculations'!$HE$13:$HE$512,0)),""))))</x:f>
      </x:c>
      <x:c r="IC397" t="str">
        <x:f>IF('Calculations'!IB397="","",IF('Calculations'!IB397="!AMBIG","!AMBIG",IF(COUNTIF('Calculations'!$HE$13:$HE$512,"="&amp;SUBSTITUTE(SUBSTITUTE(SUBSTITUTE('Calculations'!IB397,"~","~~"),"*","~*"),"?","~?"))&gt;1,"!AMBIG",IFERROR(INDEX('Calculations'!$HF$13:$HF$512,MATCH('Calculations'!IB397,'Calculations'!$HE$13:$HE$512,0)),""))))</x:f>
      </x:c>
      <x:c r="ID397" t="str">
        <x:f>IF('Calculations'!IC397="","",IF('Calculations'!IC397="!AMBIG","!AMBIG",IF(COUNTIF('Calculations'!$HE$13:$HE$512,"="&amp;SUBSTITUTE(SUBSTITUTE(SUBSTITUTE('Calculations'!IC397,"~","~~"),"*","~*"),"?","~?"))&gt;1,"!AMBIG",IFERROR(INDEX('Calculations'!$HF$13:$HF$512,MATCH('Calculations'!IC397,'Calculations'!$HE$13:$HE$512,0)),""))))</x:f>
      </x:c>
      <x:c r="IE397" t="str">
        <x:f>IF('Calculations'!ID397="","",IF('Calculations'!ID397="!AMBIG","!AMBIG",IF(COUNTIF('Calculations'!$HE$13:$HE$512,"="&amp;SUBSTITUTE(SUBSTITUTE(SUBSTITUTE('Calculations'!ID397,"~","~~"),"*","~*"),"?","~?"))&gt;1,"!AMBIG",IFERROR(INDEX('Calculations'!$HF$13:$HF$512,MATCH('Calculations'!ID397,'Calculations'!$HE$13:$HE$512,0)),""))))</x:f>
      </x:c>
      <x:c r="IF397" t="str">
        <x:f>IF('Calculations'!IE397="","",IF('Calculations'!IE397="!AMBIG","!AMBIG",IF(COUNTIF('Calculations'!$HE$13:$HE$512,"="&amp;SUBSTITUTE(SUBSTITUTE(SUBSTITUTE('Calculations'!IE397,"~","~~"),"*","~*"),"?","~?"))&gt;1,"!AMBIG",IFERROR(INDEX('Calculations'!$HF$13:$HF$512,MATCH('Calculations'!IE397,'Calculations'!$HE$13:$HE$512,0)),""))))</x:f>
      </x:c>
      <x:c r="IG397" t="str">
        <x:f>IF('Calculations'!IF397="","",IF('Calculations'!IF397="!AMBIG","!AMBIG",IF(COUNTIF('Calculations'!$HE$13:$HE$512,"="&amp;SUBSTITUTE(SUBSTITUTE(SUBSTITUTE('Calculations'!IF397,"~","~~"),"*","~*"),"?","~?"))&gt;1,"!AMBIG",IFERROR(INDEX('Calculations'!$HF$13:$HF$512,MATCH('Calculations'!IF397,'Calculations'!$HE$13:$HE$512,0)),""))))</x:f>
      </x:c>
      <x:c r="IH397" t="str">
        <x:f>IF('Calculations'!IG397="","",IF('Calculations'!IG397="!AMBIG","!AMBIG",IF(COUNTIF('Calculations'!$HE$13:$HE$512,"="&amp;SUBSTITUTE(SUBSTITUTE(SUBSTITUTE('Calculations'!IG397,"~","~~"),"*","~*"),"?","~?"))&gt;1,"!AMBIG",IFERROR(INDEX('Calculations'!$HF$13:$HF$512,MATCH('Calculations'!IG397,'Calculations'!$HE$13:$HE$512,0)),""))))</x:f>
      </x:c>
      <x:c r="II397" t="str">
        <x:f>IF('Calculations'!IH397="","",IF('Calculations'!IH397="!AMBIG","!AMBIG",IF(COUNTIF('Calculations'!$HE$13:$HE$512,"="&amp;SUBSTITUTE(SUBSTITUTE(SUBSTITUTE('Calculations'!IH397,"~","~~"),"*","~*"),"?","~?"))&gt;1,"!AMBIG",IFERROR(INDEX('Calculations'!$HF$13:$HF$512,MATCH('Calculations'!IH397,'Calculations'!$HE$13:$HE$512,0)),""))))</x:f>
      </x:c>
      <x:c r="IJ397" t="str">
        <x:f>IF('Calculations'!EM397="","",IF('Calculations'!$EF$2="All",'Calculations'!HM397,IF('Calculations'!HL397=1,"",IFERROR(IF(MATCH('Calculations'!$EF$2,'Calculations'!HO397:II397,0)=1,'Calculations'!HE397,INDEX('Calculations'!HO397:II397,1,MATCH('Calculations'!$EF$2,'Calculations'!HO397:II397,0)-1)),""))))</x:f>
      </x:c>
      <x:c r="IK397" t="n">
        <x:f>IF(AND('Calculations'!EM397&lt;&gt;"",'Calculations'!$EF$2&lt;&gt;"All",'Calculations'!HF397='Calculations'!$EF$2,'Calculations'!HL397=0,'Calculations'!JD397&gt;0),MAX('Calculations'!$IK$12:IK396)+1,0)</x:f>
        <x:v>0</x:v>
      </x:c>
      <x:c r="JA397" t="n">
        <x:f>IF(OR(IFERROR(INDIRECT("'WCM Calibration Final'!$A$397")&lt;&gt;"",FALSE),IFERROR(INDIRECT("'WCM Calibration Final'!$B$397")&lt;&gt;"",FALSE),IFERROR(INDIRECT("'WCM Calibration Final'!$C$397")&lt;&gt;"",FALSE)),397,0)</x:f>
        <x:v>0</x:v>
      </x:c>
      <x:c r="JB397" t="n">
        <x:f>'Calculations'!JB396+IF('Calculations'!JA397&gt;0,1,0)</x:f>
        <x:v>0</x:v>
      </x:c>
      <x:c r="JC397" t="n">
        <x:f>IF(OR('Calculations'!HF397="",'Calculations'!HF397="!AMBIG"),0,IF('Dashboard'!$B$7="All",1,COUNTIFS('Calculations'!$HO$13:$HO$512,"="&amp;SUBSTITUTE(SUBSTITUTE(SUBSTITUTE('Calculations'!HF397,"~","~~"),"*","~*"),"?","~?"),'Calculations'!$HN$13:$HN$512,"="&amp;SUBSTITUTE(SUBSTITUTE(SUBSTITUTE('Dashboard'!$B$7,"~","~~"),"*","~*"),"?","~?"))+COUNTIFS('Calculations'!$HP$13:$HP$512,"="&amp;SUBSTITUTE(SUBSTITUTE(SUBSTITUTE('Calculations'!HF397,"~","~~"),"*","~*"),"?","~?"),'Calculations'!$HN$13:$HN$512,"="&amp;SUBSTITUTE(SUBSTITUTE(SUBSTITUTE('Dashboard'!$B$7,"~","~~"),"*","~*"),"?","~?"))+COUNTIFS('Calculations'!$HQ$13:$HQ$512,"="&amp;SUBSTITUTE(SUBSTITUTE(SUBSTITUTE('Calculations'!HF397,"~","~~"),"*","~*"),"?","~?"),'Calculations'!$HN$13:$HN$512,"="&amp;SUBSTITUTE(SUBSTITUTE(SUBSTITUTE('Dashboard'!$B$7,"~","~~"),"*","~*"),"?","~?"))+COUNTIFS('Calculations'!$HR$13:$HR$512,"="&amp;SUBSTITUTE(SUBSTITUTE(SUBSTITUTE('Calculations'!HF397,"~","~~"),"*","~*"),"?","~?"),'Calculations'!$HN$13:$HN$512,"="&amp;SUBSTITUTE(SUBSTITUTE(SUBSTITUTE('Dashboard'!$B$7,"~","~~"),"*","~*"),"?","~?"))+COUNTIFS('Calculations'!$HS$13:$HS$512,"="&amp;SUBSTITUTE(SUBSTITUTE(SUBSTITUTE('Calculations'!HF397,"~","~~"),"*","~*"),"?","~?"),'Calculations'!$HN$13:$HN$512,"="&amp;SUBSTITUTE(SUBSTITUTE(SUBSTITUTE('Dashboard'!$B$7,"~","~~"),"*","~*"),"?","~?"))+COUNTIFS('Calculations'!$HT$13:$HT$512,"="&amp;SUBSTITUTE(SUBSTITUTE(SUBSTITUTE('Calculations'!HF397,"~","~~"),"*","~*"),"?","~?"),'Calculations'!$HN$13:$HN$512,"="&amp;SUBSTITUTE(SUBSTITUTE(SUBSTITUTE('Dashboard'!$B$7,"~","~~"),"*","~*"),"?","~?"))+COUNTIFS('Calculations'!$HU$13:$HU$512,"="&amp;SUBSTITUTE(SUBSTITUTE(SUBSTITUTE('Calculations'!HF397,"~","~~"),"*","~*"),"?","~?"),'Calculations'!$HN$13:$HN$512,"="&amp;SUBSTITUTE(SUBSTITUTE(SUBSTITUTE('Dashboard'!$B$7,"~","~~"),"*","~*"),"?","~?"))+COUNTIFS('Calculations'!$HV$13:$HV$512,"="&amp;SUBSTITUTE(SUBSTITUTE(SUBSTITUTE('Calculations'!HF397,"~","~~"),"*","~*"),"?","~?"),'Calculations'!$HN$13:$HN$512,"="&amp;SUBSTITUTE(SUBSTITUTE(SUBSTITUTE('Dashboard'!$B$7,"~","~~"),"*","~*"),"?","~?"))+COUNTIFS('Calculations'!$HW$13:$HW$512,"="&amp;SUBSTITUTE(SUBSTITUTE(SUBSTITUTE('Calculations'!HF397,"~","~~"),"*","~*"),"?","~?"),'Calculations'!$HN$13:$HN$512,"="&amp;SUBSTITUTE(SUBSTITUTE(SUBSTITUTE('Dashboard'!$B$7,"~","~~"),"*","~*"),"?","~?"))+COUNTIFS('Calculations'!$HX$13:$HX$512,"="&amp;SUBSTITUTE(SUBSTITUTE(SUBSTITUTE('Calculations'!HF397,"~","~~"),"*","~*"),"?","~?"),'Calculations'!$HN$13:$HN$512,"="&amp;SUBSTITUTE(SUBSTITUTE(SUBSTITUTE('Dashboard'!$B$7,"~","~~"),"*","~*"),"?","~?"))+COUNTIFS('Calculations'!$HY$13:$HY$512,"="&amp;SUBSTITUTE(SUBSTITUTE(SUBSTITUTE('Calculations'!HF397,"~","~~"),"*","~*"),"?","~?"),'Calculations'!$HN$13:$HN$512,"="&amp;SUBSTITUTE(SUBSTITUTE(SUBSTITUTE('Dashboard'!$B$7,"~","~~"),"*","~*"),"?","~?"))+COUNTIFS('Calculations'!$HZ$13:$HZ$512,"="&amp;SUBSTITUTE(SUBSTITUTE(SUBSTITUTE('Calculations'!HF397,"~","~~"),"*","~*"),"?","~?"),'Calculations'!$HN$13:$HN$512,"="&amp;SUBSTITUTE(SUBSTITUTE(SUBSTITUTE('Dashboard'!$B$7,"~","~~"),"*","~*"),"?","~?"))+COUNTIFS('Calculations'!$IA$13:$IA$512,"="&amp;SUBSTITUTE(SUBSTITUTE(SUBSTITUTE('Calculations'!HF397,"~","~~"),"*","~*"),"?","~?"),'Calculations'!$HN$13:$HN$512,"="&amp;SUBSTITUTE(SUBSTITUTE(SUBSTITUTE('Dashboard'!$B$7,"~","~~"),"*","~*"),"?","~?"))+COUNTIFS('Calculations'!$IB$13:$IB$512,"="&amp;SUBSTITUTE(SUBSTITUTE(SUBSTITUTE('Calculations'!HF397,"~","~~"),"*","~*"),"?","~?"),'Calculations'!$HN$13:$HN$512,"="&amp;SUBSTITUTE(SUBSTITUTE(SUBSTITUTE('Dashboard'!$B$7,"~","~~"),"*","~*"),"?","~?"))+COUNTIFS('Calculations'!$IC$13:$IC$512,"="&amp;SUBSTITUTE(SUBSTITUTE(SUBSTITUTE('Calculations'!HF397,"~","~~"),"*","~*"),"?","~?"),'Calculations'!$HN$13:$HN$512,"="&amp;SUBSTITUTE(SUBSTITUTE(SUBSTITUTE('Dashboard'!$B$7,"~","~~"),"*","~*"),"?","~?"))+COUNTIFS('Calculations'!$ID$13:$ID$512,"="&amp;SUBSTITUTE(SUBSTITUTE(SUBSTITUTE('Calculations'!HF397,"~","~~"),"*","~*"),"?","~?"),'Calculations'!$HN$13:$HN$512,"="&amp;SUBSTITUTE(SUBSTITUTE(SUBSTITUTE('Dashboard'!$B$7,"~","~~"),"*","~*"),"?","~?"))+COUNTIFS('Calculations'!$IE$13:$IE$512,"="&amp;SUBSTITUTE(SUBSTITUTE(SUBSTITUTE('Calculations'!HF397,"~","~~"),"*","~*"),"?","~?"),'Calculations'!$HN$13:$HN$512,"="&amp;SUBSTITUTE(SUBSTITUTE(SUBSTITUTE('Dashboard'!$B$7,"~","~~"),"*","~*"),"?","~?"))+COUNTIFS('Calculations'!$IF$13:$IF$512,"="&amp;SUBSTITUTE(SUBSTITUTE(SUBSTITUTE('Calculations'!HF397,"~","~~"),"*","~*"),"?","~?"),'Calculations'!$HN$13:$HN$512,"="&amp;SUBSTITUTE(SUBSTITUTE(SUBSTITUTE('Dashboard'!$B$7,"~","~~"),"*","~*"),"?","~?"))+COUNTIFS('Calculations'!$IG$13:$IG$512,"="&amp;SUBSTITUTE(SUBSTITUTE(SUBSTITUTE('Calculations'!HF397,"~","~~"),"*","~*"),"?","~?"),'Calculations'!$HN$13:$HN$512,"="&amp;SUBSTITUTE(SUBSTITUTE(SUBSTITUTE('Dashboard'!$B$7,"~","~~"),"*","~*"),"?","~?"))+COUNTIFS('Calculations'!$IH$13:$IH$512,"="&amp;SUBSTITUTE(SUBSTITUTE(SUBSTITUTE('Calculations'!HF397,"~","~~"),"*","~*"),"?","~?"),'Calculations'!$HN$13:$HN$512,"="&amp;SUBSTITUTE(SUBSTITUTE(SUBSTITUTE('Dashboard'!$B$7,"~","~~"),"*","~*"),"?","~?"))))</x:f>
        <x:v>0</x:v>
      </x:c>
      <x:c r="JD397" t="n">
        <x:f>IF('Calculations'!EM397="",0,IF('Dashboard'!$B$7="All",1,IF('Calculations'!HN397='Dashboard'!$B$7,1,0)+IFERROR(INDEX('Calculations'!$JC$13:$JC$512,MATCH('Calculations'!HE397,'Calculations'!$HF$13:$HF$512,0)),0)))</x:f>
        <x:v>0</x:v>
      </x:c>
      <x:c r="JE397" t="n">
        <x:f>IF(AND('Calculations'!EM397&lt;&gt;"",'Calculations'!$JJ$2&lt;&gt;"All",'Calculations'!$JJ$2&lt;&gt;"",'Calculations'!HF397='Calculations'!$JJ$2,'Calculations'!HL397=0,'Calculations'!JD397&gt;0),MAX('Calculations'!$JE$12:JE396)+1,0)</x:f>
        <x:v>0</x:v>
      </x:c>
      <x:c r="JF397" t="str">
        <x:f>IF('Calculations'!EM397="","",IFERROR(IF(INDEX(INDIRECT("'WCM Calibration Final'!$G$1:$G$2000"),'Calculations'!$EM397)="","",TRIM(INDEX(INDIRECT("'WCM Calibration Final'!$G$1:$G$2000"),'Calculations'!$EM397)&amp;"")),""))</x:f>
      </x:c>
      <x:c r="JQ397" t="n">
        <x:f>IF(OR('Calculations'!BM397=0,NOT('Calculations'!$AG$2),'Calculations'!$AG$8&gt;0),0,IF(OR('Dashboard'!$B$7="All",'Calculations'!HN397='Dashboard'!$B$7),IF('Calculations'!$JJ$2="All",1,IF(AND('Calculations'!HF397='Calculations'!$JJ$2,'Calculations'!HL397=0),1,0)),0))</x:f>
        <x:v>0</x:v>
      </x:c>
    </x:row>
    <x:row r="398">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t="n">
        <x:f>IF('Calculations'!$EM398="",0,IF(OR(IFERROR(INDEX(INDIRECT("'WCM Calibration Final'!$A$1:$A$2000"),'Calculations'!$EM398)&lt;&gt;"",FALSE),IFERROR(INDEX(INDIRECT("'WCM Calibration Final'!$B$1:$B$2000"),'Calculations'!$EM398)&lt;&gt;"",FALSE),IFERROR(INDEX(INDIRECT("'WCM Calibration Final'!$C$1:$C$2000"),'Calculations'!$EM398)&lt;&gt;"",FALSE)),1,0))</x:f>
        <x:v>0</x:v>
      </x:c>
      <x:c r="BN398" s="4" t="n">
        <x:f>IF(AND('Calculations'!BM398=1,'Calculations'!$AG$2,'Calculations'!$EN398=1),1,0)</x:f>
        <x:v>0</x:v>
      </x:c>
      <x:c r="BO398" s="4" t="str">
        <x:f>IF('Calculations'!BM398=0,"",IFERROR(IF(AND(VALUE(INDEX(INDIRECT("'WCM Calibration Final'!$K$1:$K$2000"),'Calculations'!$EM398))&gt;=1,VALUE(INDEX(INDIRECT("'WCM Calibration Final'!$K$1:$K$2000"),'Calculations'!$EM398))&lt;=4,MOD(VALUE(INDEX(INDIRECT("'WCM Calibration Final'!$K$1:$K$2000"),'Calculations'!$EM398)),1)=0),VALUE(INDEX(INDIRECT("'WCM Calibration Final'!$K$1:$K$2000"),'Calculations'!$EM398)),""),""))</x:f>
      </x:c>
      <x:c r="BP398" s="4" t="str">
        <x:f>IF('Calculations'!BM398=0,"",IFERROR(IF(AND(VALUE(INDEX(INDIRECT("'WCM Calibration Final'!$L$1:$L$2000"),'Calculations'!$EM398))&gt;=1,VALUE(INDEX(INDIRECT("'WCM Calibration Final'!$L$1:$L$2000"),'Calculations'!$EM398))&lt;=4,MOD(VALUE(INDEX(INDIRECT("'WCM Calibration Final'!$L$1:$L$2000"),'Calculations'!$EM398)),1)=0),VALUE(INDEX(INDIRECT("'WCM Calibration Final'!$L$1:$L$2000"),'Calculations'!$EM398)),""),""))</x:f>
      </x:c>
      <x:c r="BQ398" s="4"/>
      <x:c r="BR398" s="4"/>
      <x:c r="BS398" s="4"/>
      <x:c r="BT398" s="4" t="n">
        <x:f>IF(AND('Calculations'!BM398=1,ISNUMBER('Calculations'!BO398),ISNUMBER('Calculations'!BP398)),1,0)</x:f>
        <x:v>0</x:v>
      </x:c>
      <x:c r="BU398" s="4" t="str">
        <x:f>IF('Calculations'!BM398=0,"",'Calculations'!$EO398)</x:f>
      </x:c>
      <x:c r="BV398" s="4" t="str">
        <x:f>IF('Calculations'!BM398=0,"",IFERROR(IF(OR(INDEX(INDIRECT("'WCM Calibration Final'!$H$1:$H$2000"),'Calculations'!$EM398)="MANAGING DIRECTOR",INDEX(INDIRECT("'WCM Calibration Final'!$H$1:$H$2000"),'Calculations'!$EM398)="DIRECTOR",INDEX(INDIRECT("'WCM Calibration Final'!$H$1:$H$2000"),'Calculations'!$EM398)="SENIOR VICE PRESIDENT",INDEX(INDIRECT("'WCM Calibration Final'!$H$1:$H$2000"),'Calculations'!$EM398)="VICE PRESIDENT",INDEX(INDIRECT("'WCM Calibration Final'!$H$1:$H$2000"),'Calculations'!$EM398)="ASSISTANT VICE PRESIDENT",INDEX(INDIRECT("'WCM Calibration Final'!$H$1:$H$2000"),'Calculations'!$EM398)="OFFICER"),UPPER(INDEX(INDIRECT("'WCM Calibration Final'!$H$1:$H$2000"),'Calculations'!$EM398)),"Other"),"Other"))</x:f>
      </x:c>
      <x:c r="BW398" s="4"/>
      <x:c r="BX398" s="4"/>
      <x:c r="BY398" s="4" t="n">
        <x:f>IF(AND('Calculations'!BM398=1,'Calculations'!BU398&lt;&gt;"",COUNTIF('Calculations'!$BU$12:BU398,'Calculations'!BU398)=1),MAX('Calculations'!$BY$11:BY397)+1,0)</x:f>
        <x:v>0</x:v>
      </x:c>
      <x:c r="BZ398" s="4" t="str">
        <x:f>IF('Dashboard'!$E$67="What",'Calculations'!BO398,'Calculations'!BP398)</x:f>
      </x:c>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t="str">
        <x:f>IF(387&gt;MAX('Calculations'!$HI$13:$HI$512),"",INDEX('Calculations'!$HN$13:$HN$512,MATCH(387,'Calculations'!$HI$13:$HI$512,0)))</x:f>
      </x:c>
      <x:c r="DB398" s="4" t="str">
        <x:f>IF(387&gt;MAX('Calculations'!$HH$13:$HH$512),"",INDEX('Calculations'!$HJ$13:$HJ$512,MATCH(387,'Calculations'!$HH$13:$HH$512,0)))</x:f>
      </x:c>
      <x:c r="DC398" s="4" t="str">
        <x:f>IF(ROW()-11&gt;MAX('Calculations'!$BY$13:$BY$512),"",INDEX('Calculations'!$BU$13:$BU$512,MATCH(ROW()-11,'Calculations'!$BY$13:$BY$512,0)))</x:f>
      </x:c>
      <x:c r="DD398" s="4" t="str">
        <x:f>IF(387&gt;MAX('Calculations'!$IK$13:$IK$512),"",INDEX('Calculations'!$HK$13:$HK$512,MATCH(387,'Calculations'!$IK$13:$IK$512,0)))</x:f>
      </x:c>
      <x:c r="DE398" s="4" t="str">
        <x:f>'Calculations'!DC398</x:f>
      </x:c>
      <x:c r="DF398" s="4" t="str">
        <x:f>IF('Calculations'!DE398="","",COUNTIFS('Calculations'!$BN$13:$BN$512,1,'Calculations'!$BU$13:$BU$512,'Calculations'!DE398))</x:f>
      </x:c>
      <x:c r="DG398" s="4" t="str">
        <x:f>IF('Calculations'!DE398="","",COUNTIFS('Calculations'!$BN$13:$BN$512,1,'Calculations'!$BU$13:$BU$512,'Calculations'!DE398,'Calculations'!$BT$13:$BT$512,1))</x:f>
      </x:c>
      <x:c r="DH398" s="4" t="str">
        <x:f>IF('Calculations'!DE398="","",'Calculations'!DF398-'Calculations'!DG398)</x:f>
      </x:c>
      <x:c r="DI398" s="4" t="str">
        <x:f>IF(OR('Calculations'!DE398="",'Calculations'!DF398=0),"",'Calculations'!DG398/'Calculations'!DF398)</x:f>
      </x:c>
      <x:c r="DJ398" s="4" t="str">
        <x:f>IF('Calculations'!DE398="","",COUNTIFS('Calculations'!$BN$13:$BN$512,1,'Calculations'!$BU$13:$BU$512,'Calculations'!DE398,'Calculations'!$BT$13:$BT$512,1,'Calculations'!$EE$13:$EE$512,"High"))</x:f>
      </x:c>
      <x:c r="DK398" s="4" t="str">
        <x:f>IF('Calculations'!DE398="","",COUNTIFS('Calculations'!$BN$13:$BN$512,1,'Calculations'!$BU$13:$BU$512,'Calculations'!DE398,'Calculations'!$BT$13:$BT$512,1,'Calculations'!$EE$13:$EE$512,"Strong"))</x:f>
      </x:c>
      <x:c r="DL398" s="4" t="str">
        <x:f>IF('Calculations'!DE398="","",COUNTIFS('Calculations'!$BN$13:$BN$512,1,'Calculations'!$BU$13:$BU$512,'Calculations'!DE398,'Calculations'!$BT$13:$BT$512,1,'Calculations'!$EE$13:$EE$512,"Solid"))</x:f>
      </x:c>
      <x:c r="DM398" s="4" t="str">
        <x:f>IF('Calculations'!DE398="","",COUNTIFS('Calculations'!$BN$13:$BN$512,1,'Calculations'!$BU$13:$BU$512,'Calculations'!DE398,'Calculations'!$BT$13:$BT$512,1,'Calculations'!$EE$13:$EE$512,"Low"))</x:f>
      </x:c>
      <x:c r="DN398" s="4" t="str">
        <x:f>IF('Calculations'!DE398="","",COUNTIFS('Calculations'!$BN$13:$BN$512,1,'Calculations'!$BU$13:$BU$512,'Calculations'!DE398,'Calculations'!$EP$13:$EP$512,1))</x:f>
      </x:c>
      <x:c r="DO398" s="4" t="str">
        <x:f>IF(OR('Calculations'!DE398="",'Calculations'!DG398=0),"",('Calculations'!DJ398+'Calculations'!DK398)/'Calculations'!DG398)</x:f>
      </x:c>
      <x:c r="DP398" s="4" t="n">
        <x:f>IF(AND('Calculations'!DE398&lt;&gt;"",'Calculations'!DF398&gt;0),COUNTIF('Calculations'!$DF$12:DF398,"&gt;0"),0)</x:f>
        <x:v>0</x:v>
      </x:c>
      <x:c r="DQ398" s="4" t="str">
        <x:f>IF(387&gt;MAX('Calculations'!$HH$13:$HH$512),"",INDEX('Calculations'!$HF$13:$HF$512,MATCH(387,'Calculations'!$HH$13:$HH$512,0)))</x:f>
      </x:c>
      <x:c r="DR398" s="4" t="str">
        <x:f>IF(387&gt;MAX('Calculations'!$IK$13:$IK$512),"",INDEX('Calculations'!$HE$13:$HE$512,MATCH(387,'Calculations'!$IK$13:$IK$512,0)))</x:f>
      </x:c>
      <x:c r="DS398" s="4"/>
      <x:c r="DT398" s="4"/>
      <x:c r="DU398" s="4"/>
      <x:c r="DV398" s="4"/>
      <x:c r="DW398" s="4"/>
      <x:c r="DX398" s="4"/>
      <x:c r="DY398" s="4"/>
      <x:c r="DZ398" s="4"/>
      <x:c r="EA398" s="4"/>
      <x:c r="EB398" s="4"/>
      <x:c r="EC398" s="4"/>
      <x:c r="ED398" s="4"/>
      <x:c r="EE398" s="4" t="str">
        <x:f>IF('Calculations'!BT398=0,"Not Rated",IF(OR('Calculations'!BO398&gt;=4,'Calculations'!BP398&gt;=4),"Low",IF('Calculations'!BO398+'Calculations'!BP398&lt;=3,"High",IF('Calculations'!BO398+'Calculations'!BP398&lt;=4,"Strong","Solid"))))</x:f>
        <x:v>Not Rated</x:v>
      </x:c>
      <x:c r="EF398" s="4"/>
      <x:c r="EG398" s="4"/>
      <x:c r="EH398" s="4"/>
      <x:c r="EI398" s="4"/>
      <x:c r="EJ398" s="4"/>
      <x:c r="EK398" s="4"/>
      <x:c r="EL398" s="4"/>
      <x:c r="EM398" s="4" t="str">
        <x:f>IF(386&gt;'Calculations'!$JB$2000,"",INDEX('Calculations'!$JA$12:$JA$2000,MATCH(386,'Calculations'!$JB$12:$JB$2000,0)))</x:f>
      </x:c>
      <x:c r="EN398" s="4" t="n">
        <x:f>IF(OR('Calculations'!EM398="",'Calculations'!$AG$8&gt;0,AND('Calculations'!$EF$2&lt;&gt;"All",'Calculations'!HE398='Calculations'!$EF$2),AND('Calculations'!$EF$3&lt;&gt;"All",'Calculations'!HE398='Calculations'!$EF$3)),0,IF(OR('Dashboard'!$B$7="All",'Calculations'!HN398='Dashboard'!$B$7),IF('Calculations'!$EF$2="All",1,IF('Calculations'!HL398&gt;0,0,IF(COUNTIF('Calculations'!HO398:II398,"="&amp;SUBSTITUTE(SUBSTITUTE(SUBSTITUTE('Calculations'!$EF$2,"~","~~"),"*","~*"),"?","~?"))=0,0,IF('Calculations'!$EF$3="All",1,IF(COUNTIF('Calculations'!HO398:II398,"="&amp;SUBSTITUTE(SUBSTITUTE(SUBSTITUTE('Calculations'!$EF$3,"~","~~"),"*","~*"),"?","~?"))&gt;0,1,0))))),0))</x:f>
        <x:v>0</x:v>
      </x:c>
      <x:c r="EO398" s="4" t="str">
        <x:f>IF('Calculations'!IJ398="","",IF('Calculations'!IJ398="!UNRESOLVED","Unresolved hierarchy",IFERROR(INDEX('Calculations'!$HK$13:$HK$512,MATCH('Calculations'!IJ398,'Calculations'!$HE$13:$HE$512,0)),IFERROR(INDEX('Calculations'!$HJ$13:$HJ$512,MATCH('Calculations'!IJ398,'Calculations'!$HF$13:$HF$512,0)),'Calculations'!IJ398))))</x:f>
      </x:c>
      <x:c r="EP398" s="4" t="n">
        <x:f>IF(AND('Calculations'!EM398&lt;&gt;"",'Calculations'!HF398='Calculations'!IJ398),1,0)</x:f>
        <x:v>0</x:v>
      </x:c>
      <x:c r="EQ398" s="4"/>
      <x:c r="ER398" s="4"/>
      <x:c r="ES398" s="4"/>
      <x:c r="ET398" s="4"/>
      <x:c r="EU398" s="4"/>
      <x:c r="EV398" s="4"/>
      <x:c r="EW398" s="4"/>
      <x:c r="EX398" s="4"/>
      <x:c r="EY398" s="4"/>
      <x:c r="EZ398" s="4"/>
      <x:c r="FA398" s="4"/>
      <x:c r="FB398" s="4"/>
      <x:c r="FC398" s="4"/>
      <x:c r="FD398" s="4"/>
      <x:c r="FE398" s="4"/>
      <x:c r="FF398" s="4"/>
      <x:c r="FG398" s="4"/>
      <x:c r="FH398" s="4"/>
      <x:c r="FI398" s="4"/>
      <x:c r="FJ398" s="4"/>
      <x:c r="FK398" s="4"/>
      <x:c r="FL398" s="4"/>
      <x:c r="FM398" s="4"/>
      <x:c r="FN398" s="4"/>
      <x:c r="FO398" s="4"/>
      <x:c r="HE398" t="str">
        <x:f>IF('Calculations'!EM398="","",IF(IFERROR(IF(INDEX(INDIRECT("'WCM Calibration Final'!$A$1:$A$2000"),'Calculations'!$EM398)="","",TRIM(INDEX(INDIRECT("'WCM Calibration Final'!$A$1:$A$2000"),'Calculations'!$EM398)&amp;"")),"")&lt;&gt;"","G:"&amp;IFERROR(TEXT(1*INDEX(INDIRECT("'WCM Calibration Final'!$A$1:$A$2000"),'Calculations'!$EM398),"0"),UPPER(IFERROR(IF(INDEX(INDIRECT("'WCM Calibration Final'!$A$1:$A$2000"),'Calculations'!$EM398)="","",TRIM(INDEX(INDIRECT("'WCM Calibration Final'!$A$1:$A$2000"),'Calculations'!$EM398)&amp;"")),""))),IF(IFERROR(IF(INDEX(INDIRECT("'WCM Calibration Final'!$C$1:$C$2000"),'Calculations'!$EM398)="","",TRIM(INDEX(INDIRECT("'WCM Calibration Final'!$C$1:$C$2000"),'Calculations'!$EM398)&amp;"")),"")&lt;&gt;"","S:"&amp;UPPER(IFERROR(IF(INDEX(INDIRECT("'WCM Calibration Final'!$C$1:$C$2000"),'Calculations'!$EM398)="","",TRIM(INDEX(INDIRECT("'WCM Calibration Final'!$C$1:$C$2000"),'Calculations'!$EM398)&amp;"")),"")),"R:"&amp;'Calculations'!EM398)))</x:f>
      </x:c>
      <x:c r="HF398" t="str">
        <x:f>IF('Calculations'!EM398="","",IF(IFERROR(IF(INDEX(INDIRECT("'WCM Calibration Final'!$D$1:$D$2000"),'Calculations'!$EM398)="","",TRIM(INDEX(INDIRECT("'WCM Calibration Final'!$D$1:$D$2000"),'Calculations'!$EM398)&amp;"")),"")&lt;&gt;"","G:"&amp;IFERROR(TEXT(1*INDEX(INDIRECT("'WCM Calibration Final'!$D$1:$D$2000"),'Calculations'!$EM398),"0"),UPPER(IFERROR(IF(INDEX(INDIRECT("'WCM Calibration Final'!$D$1:$D$2000"),'Calculations'!$EM398)="","",TRIM(INDEX(INDIRECT("'WCM Calibration Final'!$D$1:$D$2000"),'Calculations'!$EM398)&amp;"")),""))),IF(IFERROR(IF(INDEX(INDIRECT("'WCM Calibration Final'!$E$1:$E$2000"),'Calculations'!$EM398)="","",TRIM(INDEX(INDIRECT("'WCM Calibration Final'!$E$1:$E$2000"),'Calculations'!$EM398)&amp;"")),"")="","",IF(COUNTIF('Calculations'!$HG$13:$HG$512,"="&amp;SUBSTITUTE(SUBSTITUTE(SUBSTITUTE(IFERROR(IF(INDEX(INDIRECT("'WCM Calibration Final'!$E$1:$E$2000"),'Calculations'!$EM398)="","",TRIM(INDEX(INDIRECT("'WCM Calibration Final'!$E$1:$E$2000"),'Calculations'!$EM398)&amp;"")),""),"~","~~"),"*","~*"),"?","~?"))=1,INDEX('Calculations'!$HE$13:$HE$512,MATCH(IFERROR(IF(INDEX(INDIRECT("'WCM Calibration Final'!$E$1:$E$2000"),'Calculations'!$EM398)="","",TRIM(INDEX(INDIRECT("'WCM Calibration Final'!$E$1:$E$2000"),'Calculations'!$EM398)&amp;"")),""),'Calculations'!$HG$13:$HG$512,0)),IF(COUNTIF('Calculations'!$HG$13:$HG$512,"="&amp;SUBSTITUTE(SUBSTITUTE(SUBSTITUTE(IFERROR(IF(INDEX(INDIRECT("'WCM Calibration Final'!$E$1:$E$2000"),'Calculations'!$EM398)="","",TRIM(INDEX(INDIRECT("'WCM Calibration Final'!$E$1:$E$2000"),'Calculations'!$EM398)&amp;"")),""),"~","~~"),"*","~*"),"?","~?"))&gt;1,"!AMBIG","X:"&amp;IFERROR(IF(INDEX(INDIRECT("'WCM Calibration Final'!$E$1:$E$2000"),'Calculations'!$EM398)="","",TRIM(INDEX(INDIRECT("'WCM Calibration Final'!$E$1:$E$2000"),'Calculations'!$EM398)&amp;"")),""))))))</x:f>
      </x:c>
      <x:c r="HG398" t="str">
        <x:f>IF('Calculations'!EM398="","",IFERROR(IF(INDEX(INDIRECT("'WCM Calibration Final'!$B$1:$B$2000"),'Calculations'!$EM398)="","",TRIM(INDEX(INDIRECT("'WCM Calibration Final'!$B$1:$B$2000"),'Calculations'!$EM398)&amp;"")),""))</x:f>
      </x:c>
      <x:c r="HH398" t="n">
        <x:f>IF(AND('Calculations'!JC398&gt;0,COUNTIF('Calculations'!$HF$12:HF398,"="&amp;SUBSTITUTE(SUBSTITUTE(SUBSTITUTE('Calculations'!HF398,"~","~~"),"*","~*"),"?","~?"))=1),MAX('Calculations'!$HH$12:HH397)+1,0)</x:f>
        <x:v>0</x:v>
      </x:c>
      <x:c r="HI398" t="n">
        <x:f>IF(AND('Calculations'!HN398&lt;&gt;"",COUNTIF('Calculations'!$HN$12:HN398,"="&amp;SUBSTITUTE(SUBSTITUTE(SUBSTITUTE('Calculations'!HN398,"~","~~"),"*","~*"),"?","~?"))=1),MAX('Calculations'!$HI$12:HI397)+1,0)</x:f>
        <x:v>0</x:v>
      </x:c>
      <x:c r="HJ398" t="str">
        <x:f>IF('Calculations'!HF398="","",IF(COUNTIF('Calculations'!$HE$13:$HE$512,"="&amp;SUBSTITUTE(SUBSTITUTE(SUBSTITUTE('Calculations'!HF398,"~","~~"),"*","~*"),"?","~?"))=1,INDEX('Calculations'!$HK$13:$HK$512,MATCH('Calculations'!HF398,'Calculations'!$HE$13:$HE$512,0)),IFERROR(IF(INDEX(INDIRECT("'WCM Calibration Final'!$E$1:$E$2000"),'Calculations'!$EM398)="","",TRIM(INDEX(INDIRECT("'WCM Calibration Final'!$E$1:$E$2000"),'Calculations'!$EM398)&amp;"")),"")&amp;" ["&amp;'Calculations'!HF398&amp;"]"))</x:f>
      </x:c>
      <x:c r="HK398" t="str">
        <x:f>IF('Calculations'!EM398="","",'Calculations'!HG398&amp;" ["&amp;'Calculations'!HE398&amp;"]")</x:f>
      </x:c>
      <x:c r="HL398" t="n">
        <x:f>IF('Calculations'!EM398="",0,IF(OR('Calculations'!II398&lt;&gt;"",COUNTIF('Calculations'!$HE$13:$HE$512,"="&amp;SUBSTITUTE(SUBSTITUTE(SUBSTITUTE('Calculations'!HE398,"~","~~"),"*","~*"),"?","~?"))&gt;1),1,0))</x:f>
        <x:v>0</x:v>
      </x:c>
      <x:c r="HM398" t="str">
        <x:f>IF('Calculations'!EM398="","",IF('Calculations'!HL398=1,"!UNRESOLVED",IF('Calculations'!IH398&lt;&gt;"",'Calculations'!IH398,IF('Calculations'!IG398&lt;&gt;"",'Calculations'!IG398,IF('Calculations'!IF398&lt;&gt;"",'Calculations'!IF398,IF('Calculations'!IE398&lt;&gt;"",'Calculations'!IE398,IF('Calculations'!ID398&lt;&gt;"",'Calculations'!ID398,IF('Calculations'!IC398&lt;&gt;"",'Calculations'!IC398,IF('Calculations'!IB398&lt;&gt;"",'Calculations'!IB398,IF('Calculations'!IA398&lt;&gt;"",'Calculations'!IA398,IF('Calculations'!HZ398&lt;&gt;"",'Calculations'!HZ398,IF('Calculations'!HY398&lt;&gt;"",'Calculations'!HY398,IF('Calculations'!HX398&lt;&gt;"",'Calculations'!HX398,IF('Calculations'!HW398&lt;&gt;"",'Calculations'!HW398,IF('Calculations'!HV398&lt;&gt;"",'Calculations'!HV398,IF('Calculations'!HU398&lt;&gt;"",'Calculations'!HU398,IF('Calculations'!HT398&lt;&gt;"",'Calculations'!HT398,IF('Calculations'!HS398&lt;&gt;"",'Calculations'!HS398,IF('Calculations'!HR398&lt;&gt;"",'Calculations'!HR398,IF('Calculations'!HQ398&lt;&gt;"",'Calculations'!HQ398,IF('Calculations'!HP398&lt;&gt;"",'Calculations'!HP398,IF('Calculations'!HO398&lt;&gt;"",'Calculations'!HO398,'Calculations'!HE398))))))))))))))))))))))</x:f>
      </x:c>
      <x:c r="HN398" t="str">
        <x:f>IF('Calculations'!EM398="","",IF(IFERROR(IF(INDEX(INDIRECT("'WCM Calibration Final'!$F$1:$F$2000"),'Calculations'!$EM398)="","",TRIM(INDEX(INDIRECT("'WCM Calibration Final'!$F$1:$F$2000"),'Calculations'!$EM398)&amp;"")),"")="","(Blank)",IFERROR(IF(INDEX(INDIRECT("'WCM Calibration Final'!$F$1:$F$2000"),'Calculations'!$EM398)="","",TRIM(INDEX(INDIRECT("'WCM Calibration Final'!$F$1:$F$2000"),'Calculations'!$EM398)&amp;"")),"")))</x:f>
      </x:c>
      <x:c r="HO398" t="str">
        <x:f>'Calculations'!HF398</x:f>
      </x:c>
      <x:c r="HP398" t="str">
        <x:f>IF('Calculations'!HO398="","",IF('Calculations'!HO398="!AMBIG","!AMBIG",IF(COUNTIF('Calculations'!$HE$13:$HE$512,"="&amp;SUBSTITUTE(SUBSTITUTE(SUBSTITUTE('Calculations'!HO398,"~","~~"),"*","~*"),"?","~?"))&gt;1,"!AMBIG",IFERROR(INDEX('Calculations'!$HF$13:$HF$512,MATCH('Calculations'!HO398,'Calculations'!$HE$13:$HE$512,0)),""))))</x:f>
      </x:c>
      <x:c r="HQ398" t="str">
        <x:f>IF('Calculations'!HP398="","",IF('Calculations'!HP398="!AMBIG","!AMBIG",IF(COUNTIF('Calculations'!$HE$13:$HE$512,"="&amp;SUBSTITUTE(SUBSTITUTE(SUBSTITUTE('Calculations'!HP398,"~","~~"),"*","~*"),"?","~?"))&gt;1,"!AMBIG",IFERROR(INDEX('Calculations'!$HF$13:$HF$512,MATCH('Calculations'!HP398,'Calculations'!$HE$13:$HE$512,0)),""))))</x:f>
      </x:c>
      <x:c r="HR398" t="str">
        <x:f>IF('Calculations'!HQ398="","",IF('Calculations'!HQ398="!AMBIG","!AMBIG",IF(COUNTIF('Calculations'!$HE$13:$HE$512,"="&amp;SUBSTITUTE(SUBSTITUTE(SUBSTITUTE('Calculations'!HQ398,"~","~~"),"*","~*"),"?","~?"))&gt;1,"!AMBIG",IFERROR(INDEX('Calculations'!$HF$13:$HF$512,MATCH('Calculations'!HQ398,'Calculations'!$HE$13:$HE$512,0)),""))))</x:f>
      </x:c>
      <x:c r="HS398" t="str">
        <x:f>IF('Calculations'!HR398="","",IF('Calculations'!HR398="!AMBIG","!AMBIG",IF(COUNTIF('Calculations'!$HE$13:$HE$512,"="&amp;SUBSTITUTE(SUBSTITUTE(SUBSTITUTE('Calculations'!HR398,"~","~~"),"*","~*"),"?","~?"))&gt;1,"!AMBIG",IFERROR(INDEX('Calculations'!$HF$13:$HF$512,MATCH('Calculations'!HR398,'Calculations'!$HE$13:$HE$512,0)),""))))</x:f>
      </x:c>
      <x:c r="HT398" t="str">
        <x:f>IF('Calculations'!HS398="","",IF('Calculations'!HS398="!AMBIG","!AMBIG",IF(COUNTIF('Calculations'!$HE$13:$HE$512,"="&amp;SUBSTITUTE(SUBSTITUTE(SUBSTITUTE('Calculations'!HS398,"~","~~"),"*","~*"),"?","~?"))&gt;1,"!AMBIG",IFERROR(INDEX('Calculations'!$HF$13:$HF$512,MATCH('Calculations'!HS398,'Calculations'!$HE$13:$HE$512,0)),""))))</x:f>
      </x:c>
      <x:c r="HU398" t="str">
        <x:f>IF('Calculations'!HT398="","",IF('Calculations'!HT398="!AMBIG","!AMBIG",IF(COUNTIF('Calculations'!$HE$13:$HE$512,"="&amp;SUBSTITUTE(SUBSTITUTE(SUBSTITUTE('Calculations'!HT398,"~","~~"),"*","~*"),"?","~?"))&gt;1,"!AMBIG",IFERROR(INDEX('Calculations'!$HF$13:$HF$512,MATCH('Calculations'!HT398,'Calculations'!$HE$13:$HE$512,0)),""))))</x:f>
      </x:c>
      <x:c r="HV398" t="str">
        <x:f>IF('Calculations'!HU398="","",IF('Calculations'!HU398="!AMBIG","!AMBIG",IF(COUNTIF('Calculations'!$HE$13:$HE$512,"="&amp;SUBSTITUTE(SUBSTITUTE(SUBSTITUTE('Calculations'!HU398,"~","~~"),"*","~*"),"?","~?"))&gt;1,"!AMBIG",IFERROR(INDEX('Calculations'!$HF$13:$HF$512,MATCH('Calculations'!HU398,'Calculations'!$HE$13:$HE$512,0)),""))))</x:f>
      </x:c>
      <x:c r="HW398" t="str">
        <x:f>IF('Calculations'!HV398="","",IF('Calculations'!HV398="!AMBIG","!AMBIG",IF(COUNTIF('Calculations'!$HE$13:$HE$512,"="&amp;SUBSTITUTE(SUBSTITUTE(SUBSTITUTE('Calculations'!HV398,"~","~~"),"*","~*"),"?","~?"))&gt;1,"!AMBIG",IFERROR(INDEX('Calculations'!$HF$13:$HF$512,MATCH('Calculations'!HV398,'Calculations'!$HE$13:$HE$512,0)),""))))</x:f>
      </x:c>
      <x:c r="HX398" t="str">
        <x:f>IF('Calculations'!HW398="","",IF('Calculations'!HW398="!AMBIG","!AMBIG",IF(COUNTIF('Calculations'!$HE$13:$HE$512,"="&amp;SUBSTITUTE(SUBSTITUTE(SUBSTITUTE('Calculations'!HW398,"~","~~"),"*","~*"),"?","~?"))&gt;1,"!AMBIG",IFERROR(INDEX('Calculations'!$HF$13:$HF$512,MATCH('Calculations'!HW398,'Calculations'!$HE$13:$HE$512,0)),""))))</x:f>
      </x:c>
      <x:c r="HY398" t="str">
        <x:f>IF('Calculations'!HX398="","",IF('Calculations'!HX398="!AMBIG","!AMBIG",IF(COUNTIF('Calculations'!$HE$13:$HE$512,"="&amp;SUBSTITUTE(SUBSTITUTE(SUBSTITUTE('Calculations'!HX398,"~","~~"),"*","~*"),"?","~?"))&gt;1,"!AMBIG",IFERROR(INDEX('Calculations'!$HF$13:$HF$512,MATCH('Calculations'!HX398,'Calculations'!$HE$13:$HE$512,0)),""))))</x:f>
      </x:c>
      <x:c r="HZ398" t="str">
        <x:f>IF('Calculations'!HY398="","",IF('Calculations'!HY398="!AMBIG","!AMBIG",IF(COUNTIF('Calculations'!$HE$13:$HE$512,"="&amp;SUBSTITUTE(SUBSTITUTE(SUBSTITUTE('Calculations'!HY398,"~","~~"),"*","~*"),"?","~?"))&gt;1,"!AMBIG",IFERROR(INDEX('Calculations'!$HF$13:$HF$512,MATCH('Calculations'!HY398,'Calculations'!$HE$13:$HE$512,0)),""))))</x:f>
      </x:c>
      <x:c r="IA398" t="str">
        <x:f>IF('Calculations'!HZ398="","",IF('Calculations'!HZ398="!AMBIG","!AMBIG",IF(COUNTIF('Calculations'!$HE$13:$HE$512,"="&amp;SUBSTITUTE(SUBSTITUTE(SUBSTITUTE('Calculations'!HZ398,"~","~~"),"*","~*"),"?","~?"))&gt;1,"!AMBIG",IFERROR(INDEX('Calculations'!$HF$13:$HF$512,MATCH('Calculations'!HZ398,'Calculations'!$HE$13:$HE$512,0)),""))))</x:f>
      </x:c>
      <x:c r="IB398" t="str">
        <x:f>IF('Calculations'!IA398="","",IF('Calculations'!IA398="!AMBIG","!AMBIG",IF(COUNTIF('Calculations'!$HE$13:$HE$512,"="&amp;SUBSTITUTE(SUBSTITUTE(SUBSTITUTE('Calculations'!IA398,"~","~~"),"*","~*"),"?","~?"))&gt;1,"!AMBIG",IFERROR(INDEX('Calculations'!$HF$13:$HF$512,MATCH('Calculations'!IA398,'Calculations'!$HE$13:$HE$512,0)),""))))</x:f>
      </x:c>
      <x:c r="IC398" t="str">
        <x:f>IF('Calculations'!IB398="","",IF('Calculations'!IB398="!AMBIG","!AMBIG",IF(COUNTIF('Calculations'!$HE$13:$HE$512,"="&amp;SUBSTITUTE(SUBSTITUTE(SUBSTITUTE('Calculations'!IB398,"~","~~"),"*","~*"),"?","~?"))&gt;1,"!AMBIG",IFERROR(INDEX('Calculations'!$HF$13:$HF$512,MATCH('Calculations'!IB398,'Calculations'!$HE$13:$HE$512,0)),""))))</x:f>
      </x:c>
      <x:c r="ID398" t="str">
        <x:f>IF('Calculations'!IC398="","",IF('Calculations'!IC398="!AMBIG","!AMBIG",IF(COUNTIF('Calculations'!$HE$13:$HE$512,"="&amp;SUBSTITUTE(SUBSTITUTE(SUBSTITUTE('Calculations'!IC398,"~","~~"),"*","~*"),"?","~?"))&gt;1,"!AMBIG",IFERROR(INDEX('Calculations'!$HF$13:$HF$512,MATCH('Calculations'!IC398,'Calculations'!$HE$13:$HE$512,0)),""))))</x:f>
      </x:c>
      <x:c r="IE398" t="str">
        <x:f>IF('Calculations'!ID398="","",IF('Calculations'!ID398="!AMBIG","!AMBIG",IF(COUNTIF('Calculations'!$HE$13:$HE$512,"="&amp;SUBSTITUTE(SUBSTITUTE(SUBSTITUTE('Calculations'!ID398,"~","~~"),"*","~*"),"?","~?"))&gt;1,"!AMBIG",IFERROR(INDEX('Calculations'!$HF$13:$HF$512,MATCH('Calculations'!ID398,'Calculations'!$HE$13:$HE$512,0)),""))))</x:f>
      </x:c>
      <x:c r="IF398" t="str">
        <x:f>IF('Calculations'!IE398="","",IF('Calculations'!IE398="!AMBIG","!AMBIG",IF(COUNTIF('Calculations'!$HE$13:$HE$512,"="&amp;SUBSTITUTE(SUBSTITUTE(SUBSTITUTE('Calculations'!IE398,"~","~~"),"*","~*"),"?","~?"))&gt;1,"!AMBIG",IFERROR(INDEX('Calculations'!$HF$13:$HF$512,MATCH('Calculations'!IE398,'Calculations'!$HE$13:$HE$512,0)),""))))</x:f>
      </x:c>
      <x:c r="IG398" t="str">
        <x:f>IF('Calculations'!IF398="","",IF('Calculations'!IF398="!AMBIG","!AMBIG",IF(COUNTIF('Calculations'!$HE$13:$HE$512,"="&amp;SUBSTITUTE(SUBSTITUTE(SUBSTITUTE('Calculations'!IF398,"~","~~"),"*","~*"),"?","~?"))&gt;1,"!AMBIG",IFERROR(INDEX('Calculations'!$HF$13:$HF$512,MATCH('Calculations'!IF398,'Calculations'!$HE$13:$HE$512,0)),""))))</x:f>
      </x:c>
      <x:c r="IH398" t="str">
        <x:f>IF('Calculations'!IG398="","",IF('Calculations'!IG398="!AMBIG","!AMBIG",IF(COUNTIF('Calculations'!$HE$13:$HE$512,"="&amp;SUBSTITUTE(SUBSTITUTE(SUBSTITUTE('Calculations'!IG398,"~","~~"),"*","~*"),"?","~?"))&gt;1,"!AMBIG",IFERROR(INDEX('Calculations'!$HF$13:$HF$512,MATCH('Calculations'!IG398,'Calculations'!$HE$13:$HE$512,0)),""))))</x:f>
      </x:c>
      <x:c r="II398" t="str">
        <x:f>IF('Calculations'!IH398="","",IF('Calculations'!IH398="!AMBIG","!AMBIG",IF(COUNTIF('Calculations'!$HE$13:$HE$512,"="&amp;SUBSTITUTE(SUBSTITUTE(SUBSTITUTE('Calculations'!IH398,"~","~~"),"*","~*"),"?","~?"))&gt;1,"!AMBIG",IFERROR(INDEX('Calculations'!$HF$13:$HF$512,MATCH('Calculations'!IH398,'Calculations'!$HE$13:$HE$512,0)),""))))</x:f>
      </x:c>
      <x:c r="IJ398" t="str">
        <x:f>IF('Calculations'!EM398="","",IF('Calculations'!$EF$2="All",'Calculations'!HM398,IF('Calculations'!HL398=1,"",IFERROR(IF(MATCH('Calculations'!$EF$2,'Calculations'!HO398:II398,0)=1,'Calculations'!HE398,INDEX('Calculations'!HO398:II398,1,MATCH('Calculations'!$EF$2,'Calculations'!HO398:II398,0)-1)),""))))</x:f>
      </x:c>
      <x:c r="IK398" t="n">
        <x:f>IF(AND('Calculations'!EM398&lt;&gt;"",'Calculations'!$EF$2&lt;&gt;"All",'Calculations'!HF398='Calculations'!$EF$2,'Calculations'!HL398=0,'Calculations'!JD398&gt;0),MAX('Calculations'!$IK$12:IK397)+1,0)</x:f>
        <x:v>0</x:v>
      </x:c>
      <x:c r="JA398" t="n">
        <x:f>IF(OR(IFERROR(INDIRECT("'WCM Calibration Final'!$A$398")&lt;&gt;"",FALSE),IFERROR(INDIRECT("'WCM Calibration Final'!$B$398")&lt;&gt;"",FALSE),IFERROR(INDIRECT("'WCM Calibration Final'!$C$398")&lt;&gt;"",FALSE)),398,0)</x:f>
        <x:v>0</x:v>
      </x:c>
      <x:c r="JB398" t="n">
        <x:f>'Calculations'!JB397+IF('Calculations'!JA398&gt;0,1,0)</x:f>
        <x:v>0</x:v>
      </x:c>
      <x:c r="JC398" t="n">
        <x:f>IF(OR('Calculations'!HF398="",'Calculations'!HF398="!AMBIG"),0,IF('Dashboard'!$B$7="All",1,COUNTIFS('Calculations'!$HO$13:$HO$512,"="&amp;SUBSTITUTE(SUBSTITUTE(SUBSTITUTE('Calculations'!HF398,"~","~~"),"*","~*"),"?","~?"),'Calculations'!$HN$13:$HN$512,"="&amp;SUBSTITUTE(SUBSTITUTE(SUBSTITUTE('Dashboard'!$B$7,"~","~~"),"*","~*"),"?","~?"))+COUNTIFS('Calculations'!$HP$13:$HP$512,"="&amp;SUBSTITUTE(SUBSTITUTE(SUBSTITUTE('Calculations'!HF398,"~","~~"),"*","~*"),"?","~?"),'Calculations'!$HN$13:$HN$512,"="&amp;SUBSTITUTE(SUBSTITUTE(SUBSTITUTE('Dashboard'!$B$7,"~","~~"),"*","~*"),"?","~?"))+COUNTIFS('Calculations'!$HQ$13:$HQ$512,"="&amp;SUBSTITUTE(SUBSTITUTE(SUBSTITUTE('Calculations'!HF398,"~","~~"),"*","~*"),"?","~?"),'Calculations'!$HN$13:$HN$512,"="&amp;SUBSTITUTE(SUBSTITUTE(SUBSTITUTE('Dashboard'!$B$7,"~","~~"),"*","~*"),"?","~?"))+COUNTIFS('Calculations'!$HR$13:$HR$512,"="&amp;SUBSTITUTE(SUBSTITUTE(SUBSTITUTE('Calculations'!HF398,"~","~~"),"*","~*"),"?","~?"),'Calculations'!$HN$13:$HN$512,"="&amp;SUBSTITUTE(SUBSTITUTE(SUBSTITUTE('Dashboard'!$B$7,"~","~~"),"*","~*"),"?","~?"))+COUNTIFS('Calculations'!$HS$13:$HS$512,"="&amp;SUBSTITUTE(SUBSTITUTE(SUBSTITUTE('Calculations'!HF398,"~","~~"),"*","~*"),"?","~?"),'Calculations'!$HN$13:$HN$512,"="&amp;SUBSTITUTE(SUBSTITUTE(SUBSTITUTE('Dashboard'!$B$7,"~","~~"),"*","~*"),"?","~?"))+COUNTIFS('Calculations'!$HT$13:$HT$512,"="&amp;SUBSTITUTE(SUBSTITUTE(SUBSTITUTE('Calculations'!HF398,"~","~~"),"*","~*"),"?","~?"),'Calculations'!$HN$13:$HN$512,"="&amp;SUBSTITUTE(SUBSTITUTE(SUBSTITUTE('Dashboard'!$B$7,"~","~~"),"*","~*"),"?","~?"))+COUNTIFS('Calculations'!$HU$13:$HU$512,"="&amp;SUBSTITUTE(SUBSTITUTE(SUBSTITUTE('Calculations'!HF398,"~","~~"),"*","~*"),"?","~?"),'Calculations'!$HN$13:$HN$512,"="&amp;SUBSTITUTE(SUBSTITUTE(SUBSTITUTE('Dashboard'!$B$7,"~","~~"),"*","~*"),"?","~?"))+COUNTIFS('Calculations'!$HV$13:$HV$512,"="&amp;SUBSTITUTE(SUBSTITUTE(SUBSTITUTE('Calculations'!HF398,"~","~~"),"*","~*"),"?","~?"),'Calculations'!$HN$13:$HN$512,"="&amp;SUBSTITUTE(SUBSTITUTE(SUBSTITUTE('Dashboard'!$B$7,"~","~~"),"*","~*"),"?","~?"))+COUNTIFS('Calculations'!$HW$13:$HW$512,"="&amp;SUBSTITUTE(SUBSTITUTE(SUBSTITUTE('Calculations'!HF398,"~","~~"),"*","~*"),"?","~?"),'Calculations'!$HN$13:$HN$512,"="&amp;SUBSTITUTE(SUBSTITUTE(SUBSTITUTE('Dashboard'!$B$7,"~","~~"),"*","~*"),"?","~?"))+COUNTIFS('Calculations'!$HX$13:$HX$512,"="&amp;SUBSTITUTE(SUBSTITUTE(SUBSTITUTE('Calculations'!HF398,"~","~~"),"*","~*"),"?","~?"),'Calculations'!$HN$13:$HN$512,"="&amp;SUBSTITUTE(SUBSTITUTE(SUBSTITUTE('Dashboard'!$B$7,"~","~~"),"*","~*"),"?","~?"))+COUNTIFS('Calculations'!$HY$13:$HY$512,"="&amp;SUBSTITUTE(SUBSTITUTE(SUBSTITUTE('Calculations'!HF398,"~","~~"),"*","~*"),"?","~?"),'Calculations'!$HN$13:$HN$512,"="&amp;SUBSTITUTE(SUBSTITUTE(SUBSTITUTE('Dashboard'!$B$7,"~","~~"),"*","~*"),"?","~?"))+COUNTIFS('Calculations'!$HZ$13:$HZ$512,"="&amp;SUBSTITUTE(SUBSTITUTE(SUBSTITUTE('Calculations'!HF398,"~","~~"),"*","~*"),"?","~?"),'Calculations'!$HN$13:$HN$512,"="&amp;SUBSTITUTE(SUBSTITUTE(SUBSTITUTE('Dashboard'!$B$7,"~","~~"),"*","~*"),"?","~?"))+COUNTIFS('Calculations'!$IA$13:$IA$512,"="&amp;SUBSTITUTE(SUBSTITUTE(SUBSTITUTE('Calculations'!HF398,"~","~~"),"*","~*"),"?","~?"),'Calculations'!$HN$13:$HN$512,"="&amp;SUBSTITUTE(SUBSTITUTE(SUBSTITUTE('Dashboard'!$B$7,"~","~~"),"*","~*"),"?","~?"))+COUNTIFS('Calculations'!$IB$13:$IB$512,"="&amp;SUBSTITUTE(SUBSTITUTE(SUBSTITUTE('Calculations'!HF398,"~","~~"),"*","~*"),"?","~?"),'Calculations'!$HN$13:$HN$512,"="&amp;SUBSTITUTE(SUBSTITUTE(SUBSTITUTE('Dashboard'!$B$7,"~","~~"),"*","~*"),"?","~?"))+COUNTIFS('Calculations'!$IC$13:$IC$512,"="&amp;SUBSTITUTE(SUBSTITUTE(SUBSTITUTE('Calculations'!HF398,"~","~~"),"*","~*"),"?","~?"),'Calculations'!$HN$13:$HN$512,"="&amp;SUBSTITUTE(SUBSTITUTE(SUBSTITUTE('Dashboard'!$B$7,"~","~~"),"*","~*"),"?","~?"))+COUNTIFS('Calculations'!$ID$13:$ID$512,"="&amp;SUBSTITUTE(SUBSTITUTE(SUBSTITUTE('Calculations'!HF398,"~","~~"),"*","~*"),"?","~?"),'Calculations'!$HN$13:$HN$512,"="&amp;SUBSTITUTE(SUBSTITUTE(SUBSTITUTE('Dashboard'!$B$7,"~","~~"),"*","~*"),"?","~?"))+COUNTIFS('Calculations'!$IE$13:$IE$512,"="&amp;SUBSTITUTE(SUBSTITUTE(SUBSTITUTE('Calculations'!HF398,"~","~~"),"*","~*"),"?","~?"),'Calculations'!$HN$13:$HN$512,"="&amp;SUBSTITUTE(SUBSTITUTE(SUBSTITUTE('Dashboard'!$B$7,"~","~~"),"*","~*"),"?","~?"))+COUNTIFS('Calculations'!$IF$13:$IF$512,"="&amp;SUBSTITUTE(SUBSTITUTE(SUBSTITUTE('Calculations'!HF398,"~","~~"),"*","~*"),"?","~?"),'Calculations'!$HN$13:$HN$512,"="&amp;SUBSTITUTE(SUBSTITUTE(SUBSTITUTE('Dashboard'!$B$7,"~","~~"),"*","~*"),"?","~?"))+COUNTIFS('Calculations'!$IG$13:$IG$512,"="&amp;SUBSTITUTE(SUBSTITUTE(SUBSTITUTE('Calculations'!HF398,"~","~~"),"*","~*"),"?","~?"),'Calculations'!$HN$13:$HN$512,"="&amp;SUBSTITUTE(SUBSTITUTE(SUBSTITUTE('Dashboard'!$B$7,"~","~~"),"*","~*"),"?","~?"))+COUNTIFS('Calculations'!$IH$13:$IH$512,"="&amp;SUBSTITUTE(SUBSTITUTE(SUBSTITUTE('Calculations'!HF398,"~","~~"),"*","~*"),"?","~?"),'Calculations'!$HN$13:$HN$512,"="&amp;SUBSTITUTE(SUBSTITUTE(SUBSTITUTE('Dashboard'!$B$7,"~","~~"),"*","~*"),"?","~?"))))</x:f>
        <x:v>0</x:v>
      </x:c>
      <x:c r="JD398" t="n">
        <x:f>IF('Calculations'!EM398="",0,IF('Dashboard'!$B$7="All",1,IF('Calculations'!HN398='Dashboard'!$B$7,1,0)+IFERROR(INDEX('Calculations'!$JC$13:$JC$512,MATCH('Calculations'!HE398,'Calculations'!$HF$13:$HF$512,0)),0)))</x:f>
        <x:v>0</x:v>
      </x:c>
      <x:c r="JE398" t="n">
        <x:f>IF(AND('Calculations'!EM398&lt;&gt;"",'Calculations'!$JJ$2&lt;&gt;"All",'Calculations'!$JJ$2&lt;&gt;"",'Calculations'!HF398='Calculations'!$JJ$2,'Calculations'!HL398=0,'Calculations'!JD398&gt;0),MAX('Calculations'!$JE$12:JE397)+1,0)</x:f>
        <x:v>0</x:v>
      </x:c>
      <x:c r="JF398" t="str">
        <x:f>IF('Calculations'!EM398="","",IFERROR(IF(INDEX(INDIRECT("'WCM Calibration Final'!$G$1:$G$2000"),'Calculations'!$EM398)="","",TRIM(INDEX(INDIRECT("'WCM Calibration Final'!$G$1:$G$2000"),'Calculations'!$EM398)&amp;"")),""))</x:f>
      </x:c>
      <x:c r="JQ398" t="n">
        <x:f>IF(OR('Calculations'!BM398=0,NOT('Calculations'!$AG$2),'Calculations'!$AG$8&gt;0),0,IF(OR('Dashboard'!$B$7="All",'Calculations'!HN398='Dashboard'!$B$7),IF('Calculations'!$JJ$2="All",1,IF(AND('Calculations'!HF398='Calculations'!$JJ$2,'Calculations'!HL398=0),1,0)),0))</x:f>
        <x:v>0</x:v>
      </x:c>
    </x:row>
    <x:row r="399">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t="n">
        <x:f>IF('Calculations'!$EM399="",0,IF(OR(IFERROR(INDEX(INDIRECT("'WCM Calibration Final'!$A$1:$A$2000"),'Calculations'!$EM399)&lt;&gt;"",FALSE),IFERROR(INDEX(INDIRECT("'WCM Calibration Final'!$B$1:$B$2000"),'Calculations'!$EM399)&lt;&gt;"",FALSE),IFERROR(INDEX(INDIRECT("'WCM Calibration Final'!$C$1:$C$2000"),'Calculations'!$EM399)&lt;&gt;"",FALSE)),1,0))</x:f>
        <x:v>0</x:v>
      </x:c>
      <x:c r="BN399" s="4" t="n">
        <x:f>IF(AND('Calculations'!BM399=1,'Calculations'!$AG$2,'Calculations'!$EN399=1),1,0)</x:f>
        <x:v>0</x:v>
      </x:c>
      <x:c r="BO399" s="4" t="str">
        <x:f>IF('Calculations'!BM399=0,"",IFERROR(IF(AND(VALUE(INDEX(INDIRECT("'WCM Calibration Final'!$K$1:$K$2000"),'Calculations'!$EM399))&gt;=1,VALUE(INDEX(INDIRECT("'WCM Calibration Final'!$K$1:$K$2000"),'Calculations'!$EM399))&lt;=4,MOD(VALUE(INDEX(INDIRECT("'WCM Calibration Final'!$K$1:$K$2000"),'Calculations'!$EM399)),1)=0),VALUE(INDEX(INDIRECT("'WCM Calibration Final'!$K$1:$K$2000"),'Calculations'!$EM399)),""),""))</x:f>
      </x:c>
      <x:c r="BP399" s="4" t="str">
        <x:f>IF('Calculations'!BM399=0,"",IFERROR(IF(AND(VALUE(INDEX(INDIRECT("'WCM Calibration Final'!$L$1:$L$2000"),'Calculations'!$EM399))&gt;=1,VALUE(INDEX(INDIRECT("'WCM Calibration Final'!$L$1:$L$2000"),'Calculations'!$EM399))&lt;=4,MOD(VALUE(INDEX(INDIRECT("'WCM Calibration Final'!$L$1:$L$2000"),'Calculations'!$EM399)),1)=0),VALUE(INDEX(INDIRECT("'WCM Calibration Final'!$L$1:$L$2000"),'Calculations'!$EM399)),""),""))</x:f>
      </x:c>
      <x:c r="BQ399" s="4"/>
      <x:c r="BR399" s="4"/>
      <x:c r="BS399" s="4"/>
      <x:c r="BT399" s="4" t="n">
        <x:f>IF(AND('Calculations'!BM399=1,ISNUMBER('Calculations'!BO399),ISNUMBER('Calculations'!BP399)),1,0)</x:f>
        <x:v>0</x:v>
      </x:c>
      <x:c r="BU399" s="4" t="str">
        <x:f>IF('Calculations'!BM399=0,"",'Calculations'!$EO399)</x:f>
      </x:c>
      <x:c r="BV399" s="4" t="str">
        <x:f>IF('Calculations'!BM399=0,"",IFERROR(IF(OR(INDEX(INDIRECT("'WCM Calibration Final'!$H$1:$H$2000"),'Calculations'!$EM399)="MANAGING DIRECTOR",INDEX(INDIRECT("'WCM Calibration Final'!$H$1:$H$2000"),'Calculations'!$EM399)="DIRECTOR",INDEX(INDIRECT("'WCM Calibration Final'!$H$1:$H$2000"),'Calculations'!$EM399)="SENIOR VICE PRESIDENT",INDEX(INDIRECT("'WCM Calibration Final'!$H$1:$H$2000"),'Calculations'!$EM399)="VICE PRESIDENT",INDEX(INDIRECT("'WCM Calibration Final'!$H$1:$H$2000"),'Calculations'!$EM399)="ASSISTANT VICE PRESIDENT",INDEX(INDIRECT("'WCM Calibration Final'!$H$1:$H$2000"),'Calculations'!$EM399)="OFFICER"),UPPER(INDEX(INDIRECT("'WCM Calibration Final'!$H$1:$H$2000"),'Calculations'!$EM399)),"Other"),"Other"))</x:f>
      </x:c>
      <x:c r="BW399" s="4"/>
      <x:c r="BX399" s="4"/>
      <x:c r="BY399" s="4" t="n">
        <x:f>IF(AND('Calculations'!BM399=1,'Calculations'!BU399&lt;&gt;"",COUNTIF('Calculations'!$BU$12:BU399,'Calculations'!BU399)=1),MAX('Calculations'!$BY$11:BY398)+1,0)</x:f>
        <x:v>0</x:v>
      </x:c>
      <x:c r="BZ399" s="4" t="str">
        <x:f>IF('Dashboard'!$E$67="What",'Calculations'!BO399,'Calculations'!BP399)</x:f>
      </x:c>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t="str">
        <x:f>IF(388&gt;MAX('Calculations'!$HI$13:$HI$512),"",INDEX('Calculations'!$HN$13:$HN$512,MATCH(388,'Calculations'!$HI$13:$HI$512,0)))</x:f>
      </x:c>
      <x:c r="DB399" s="4" t="str">
        <x:f>IF(388&gt;MAX('Calculations'!$HH$13:$HH$512),"",INDEX('Calculations'!$HJ$13:$HJ$512,MATCH(388,'Calculations'!$HH$13:$HH$512,0)))</x:f>
      </x:c>
      <x:c r="DC399" s="4" t="str">
        <x:f>IF(ROW()-11&gt;MAX('Calculations'!$BY$13:$BY$512),"",INDEX('Calculations'!$BU$13:$BU$512,MATCH(ROW()-11,'Calculations'!$BY$13:$BY$512,0)))</x:f>
      </x:c>
      <x:c r="DD399" s="4" t="str">
        <x:f>IF(388&gt;MAX('Calculations'!$IK$13:$IK$512),"",INDEX('Calculations'!$HK$13:$HK$512,MATCH(388,'Calculations'!$IK$13:$IK$512,0)))</x:f>
      </x:c>
      <x:c r="DE399" s="4" t="str">
        <x:f>'Calculations'!DC399</x:f>
      </x:c>
      <x:c r="DF399" s="4" t="str">
        <x:f>IF('Calculations'!DE399="","",COUNTIFS('Calculations'!$BN$13:$BN$512,1,'Calculations'!$BU$13:$BU$512,'Calculations'!DE399))</x:f>
      </x:c>
      <x:c r="DG399" s="4" t="str">
        <x:f>IF('Calculations'!DE399="","",COUNTIFS('Calculations'!$BN$13:$BN$512,1,'Calculations'!$BU$13:$BU$512,'Calculations'!DE399,'Calculations'!$BT$13:$BT$512,1))</x:f>
      </x:c>
      <x:c r="DH399" s="4" t="str">
        <x:f>IF('Calculations'!DE399="","",'Calculations'!DF399-'Calculations'!DG399)</x:f>
      </x:c>
      <x:c r="DI399" s="4" t="str">
        <x:f>IF(OR('Calculations'!DE399="",'Calculations'!DF399=0),"",'Calculations'!DG399/'Calculations'!DF399)</x:f>
      </x:c>
      <x:c r="DJ399" s="4" t="str">
        <x:f>IF('Calculations'!DE399="","",COUNTIFS('Calculations'!$BN$13:$BN$512,1,'Calculations'!$BU$13:$BU$512,'Calculations'!DE399,'Calculations'!$BT$13:$BT$512,1,'Calculations'!$EE$13:$EE$512,"High"))</x:f>
      </x:c>
      <x:c r="DK399" s="4" t="str">
        <x:f>IF('Calculations'!DE399="","",COUNTIFS('Calculations'!$BN$13:$BN$512,1,'Calculations'!$BU$13:$BU$512,'Calculations'!DE399,'Calculations'!$BT$13:$BT$512,1,'Calculations'!$EE$13:$EE$512,"Strong"))</x:f>
      </x:c>
      <x:c r="DL399" s="4" t="str">
        <x:f>IF('Calculations'!DE399="","",COUNTIFS('Calculations'!$BN$13:$BN$512,1,'Calculations'!$BU$13:$BU$512,'Calculations'!DE399,'Calculations'!$BT$13:$BT$512,1,'Calculations'!$EE$13:$EE$512,"Solid"))</x:f>
      </x:c>
      <x:c r="DM399" s="4" t="str">
        <x:f>IF('Calculations'!DE399="","",COUNTIFS('Calculations'!$BN$13:$BN$512,1,'Calculations'!$BU$13:$BU$512,'Calculations'!DE399,'Calculations'!$BT$13:$BT$512,1,'Calculations'!$EE$13:$EE$512,"Low"))</x:f>
      </x:c>
      <x:c r="DN399" s="4" t="str">
        <x:f>IF('Calculations'!DE399="","",COUNTIFS('Calculations'!$BN$13:$BN$512,1,'Calculations'!$BU$13:$BU$512,'Calculations'!DE399,'Calculations'!$EP$13:$EP$512,1))</x:f>
      </x:c>
      <x:c r="DO399" s="4" t="str">
        <x:f>IF(OR('Calculations'!DE399="",'Calculations'!DG399=0),"",('Calculations'!DJ399+'Calculations'!DK399)/'Calculations'!DG399)</x:f>
      </x:c>
      <x:c r="DP399" s="4" t="n">
        <x:f>IF(AND('Calculations'!DE399&lt;&gt;"",'Calculations'!DF399&gt;0),COUNTIF('Calculations'!$DF$12:DF399,"&gt;0"),0)</x:f>
        <x:v>0</x:v>
      </x:c>
      <x:c r="DQ399" s="4" t="str">
        <x:f>IF(388&gt;MAX('Calculations'!$HH$13:$HH$512),"",INDEX('Calculations'!$HF$13:$HF$512,MATCH(388,'Calculations'!$HH$13:$HH$512,0)))</x:f>
      </x:c>
      <x:c r="DR399" s="4" t="str">
        <x:f>IF(388&gt;MAX('Calculations'!$IK$13:$IK$512),"",INDEX('Calculations'!$HE$13:$HE$512,MATCH(388,'Calculations'!$IK$13:$IK$512,0)))</x:f>
      </x:c>
      <x:c r="DS399" s="4"/>
      <x:c r="DT399" s="4"/>
      <x:c r="DU399" s="4"/>
      <x:c r="DV399" s="4"/>
      <x:c r="DW399" s="4"/>
      <x:c r="DX399" s="4"/>
      <x:c r="DY399" s="4"/>
      <x:c r="DZ399" s="4"/>
      <x:c r="EA399" s="4"/>
      <x:c r="EB399" s="4"/>
      <x:c r="EC399" s="4"/>
      <x:c r="ED399" s="4"/>
      <x:c r="EE399" s="4" t="str">
        <x:f>IF('Calculations'!BT399=0,"Not Rated",IF(OR('Calculations'!BO399&gt;=4,'Calculations'!BP399&gt;=4),"Low",IF('Calculations'!BO399+'Calculations'!BP399&lt;=3,"High",IF('Calculations'!BO399+'Calculations'!BP399&lt;=4,"Strong","Solid"))))</x:f>
        <x:v>Not Rated</x:v>
      </x:c>
      <x:c r="EF399" s="4"/>
      <x:c r="EG399" s="4"/>
      <x:c r="EH399" s="4"/>
      <x:c r="EI399" s="4"/>
      <x:c r="EJ399" s="4"/>
      <x:c r="EK399" s="4"/>
      <x:c r="EL399" s="4"/>
      <x:c r="EM399" s="4" t="str">
        <x:f>IF(387&gt;'Calculations'!$JB$2000,"",INDEX('Calculations'!$JA$12:$JA$2000,MATCH(387,'Calculations'!$JB$12:$JB$2000,0)))</x:f>
      </x:c>
      <x:c r="EN399" s="4" t="n">
        <x:f>IF(OR('Calculations'!EM399="",'Calculations'!$AG$8&gt;0,AND('Calculations'!$EF$2&lt;&gt;"All",'Calculations'!HE399='Calculations'!$EF$2),AND('Calculations'!$EF$3&lt;&gt;"All",'Calculations'!HE399='Calculations'!$EF$3)),0,IF(OR('Dashboard'!$B$7="All",'Calculations'!HN399='Dashboard'!$B$7),IF('Calculations'!$EF$2="All",1,IF('Calculations'!HL399&gt;0,0,IF(COUNTIF('Calculations'!HO399:II399,"="&amp;SUBSTITUTE(SUBSTITUTE(SUBSTITUTE('Calculations'!$EF$2,"~","~~"),"*","~*"),"?","~?"))=0,0,IF('Calculations'!$EF$3="All",1,IF(COUNTIF('Calculations'!HO399:II399,"="&amp;SUBSTITUTE(SUBSTITUTE(SUBSTITUTE('Calculations'!$EF$3,"~","~~"),"*","~*"),"?","~?"))&gt;0,1,0))))),0))</x:f>
        <x:v>0</x:v>
      </x:c>
      <x:c r="EO399" s="4" t="str">
        <x:f>IF('Calculations'!IJ399="","",IF('Calculations'!IJ399="!UNRESOLVED","Unresolved hierarchy",IFERROR(INDEX('Calculations'!$HK$13:$HK$512,MATCH('Calculations'!IJ399,'Calculations'!$HE$13:$HE$512,0)),IFERROR(INDEX('Calculations'!$HJ$13:$HJ$512,MATCH('Calculations'!IJ399,'Calculations'!$HF$13:$HF$512,0)),'Calculations'!IJ399))))</x:f>
      </x:c>
      <x:c r="EP399" s="4" t="n">
        <x:f>IF(AND('Calculations'!EM399&lt;&gt;"",'Calculations'!HF399='Calculations'!IJ399),1,0)</x:f>
        <x:v>0</x:v>
      </x:c>
      <x:c r="EQ399" s="4"/>
      <x:c r="ER399" s="4"/>
      <x:c r="ES399" s="4"/>
      <x:c r="ET399" s="4"/>
      <x:c r="EU399" s="4"/>
      <x:c r="EV399" s="4"/>
      <x:c r="EW399" s="4"/>
      <x:c r="EX399" s="4"/>
      <x:c r="EY399" s="4"/>
      <x:c r="EZ399" s="4"/>
      <x:c r="FA399" s="4"/>
      <x:c r="FB399" s="4"/>
      <x:c r="FC399" s="4"/>
      <x:c r="FD399" s="4"/>
      <x:c r="FE399" s="4"/>
      <x:c r="FF399" s="4"/>
      <x:c r="FG399" s="4"/>
      <x:c r="FH399" s="4"/>
      <x:c r="FI399" s="4"/>
      <x:c r="FJ399" s="4"/>
      <x:c r="FK399" s="4"/>
      <x:c r="FL399" s="4"/>
      <x:c r="FM399" s="4"/>
      <x:c r="FN399" s="4"/>
      <x:c r="FO399" s="4"/>
      <x:c r="HE399" t="str">
        <x:f>IF('Calculations'!EM399="","",IF(IFERROR(IF(INDEX(INDIRECT("'WCM Calibration Final'!$A$1:$A$2000"),'Calculations'!$EM399)="","",TRIM(INDEX(INDIRECT("'WCM Calibration Final'!$A$1:$A$2000"),'Calculations'!$EM399)&amp;"")),"")&lt;&gt;"","G:"&amp;IFERROR(TEXT(1*INDEX(INDIRECT("'WCM Calibration Final'!$A$1:$A$2000"),'Calculations'!$EM399),"0"),UPPER(IFERROR(IF(INDEX(INDIRECT("'WCM Calibration Final'!$A$1:$A$2000"),'Calculations'!$EM399)="","",TRIM(INDEX(INDIRECT("'WCM Calibration Final'!$A$1:$A$2000"),'Calculations'!$EM399)&amp;"")),""))),IF(IFERROR(IF(INDEX(INDIRECT("'WCM Calibration Final'!$C$1:$C$2000"),'Calculations'!$EM399)="","",TRIM(INDEX(INDIRECT("'WCM Calibration Final'!$C$1:$C$2000"),'Calculations'!$EM399)&amp;"")),"")&lt;&gt;"","S:"&amp;UPPER(IFERROR(IF(INDEX(INDIRECT("'WCM Calibration Final'!$C$1:$C$2000"),'Calculations'!$EM399)="","",TRIM(INDEX(INDIRECT("'WCM Calibration Final'!$C$1:$C$2000"),'Calculations'!$EM399)&amp;"")),"")),"R:"&amp;'Calculations'!EM399)))</x:f>
      </x:c>
      <x:c r="HF399" t="str">
        <x:f>IF('Calculations'!EM399="","",IF(IFERROR(IF(INDEX(INDIRECT("'WCM Calibration Final'!$D$1:$D$2000"),'Calculations'!$EM399)="","",TRIM(INDEX(INDIRECT("'WCM Calibration Final'!$D$1:$D$2000"),'Calculations'!$EM399)&amp;"")),"")&lt;&gt;"","G:"&amp;IFERROR(TEXT(1*INDEX(INDIRECT("'WCM Calibration Final'!$D$1:$D$2000"),'Calculations'!$EM399),"0"),UPPER(IFERROR(IF(INDEX(INDIRECT("'WCM Calibration Final'!$D$1:$D$2000"),'Calculations'!$EM399)="","",TRIM(INDEX(INDIRECT("'WCM Calibration Final'!$D$1:$D$2000"),'Calculations'!$EM399)&amp;"")),""))),IF(IFERROR(IF(INDEX(INDIRECT("'WCM Calibration Final'!$E$1:$E$2000"),'Calculations'!$EM399)="","",TRIM(INDEX(INDIRECT("'WCM Calibration Final'!$E$1:$E$2000"),'Calculations'!$EM399)&amp;"")),"")="","",IF(COUNTIF('Calculations'!$HG$13:$HG$512,"="&amp;SUBSTITUTE(SUBSTITUTE(SUBSTITUTE(IFERROR(IF(INDEX(INDIRECT("'WCM Calibration Final'!$E$1:$E$2000"),'Calculations'!$EM399)="","",TRIM(INDEX(INDIRECT("'WCM Calibration Final'!$E$1:$E$2000"),'Calculations'!$EM399)&amp;"")),""),"~","~~"),"*","~*"),"?","~?"))=1,INDEX('Calculations'!$HE$13:$HE$512,MATCH(IFERROR(IF(INDEX(INDIRECT("'WCM Calibration Final'!$E$1:$E$2000"),'Calculations'!$EM399)="","",TRIM(INDEX(INDIRECT("'WCM Calibration Final'!$E$1:$E$2000"),'Calculations'!$EM399)&amp;"")),""),'Calculations'!$HG$13:$HG$512,0)),IF(COUNTIF('Calculations'!$HG$13:$HG$512,"="&amp;SUBSTITUTE(SUBSTITUTE(SUBSTITUTE(IFERROR(IF(INDEX(INDIRECT("'WCM Calibration Final'!$E$1:$E$2000"),'Calculations'!$EM399)="","",TRIM(INDEX(INDIRECT("'WCM Calibration Final'!$E$1:$E$2000"),'Calculations'!$EM399)&amp;"")),""),"~","~~"),"*","~*"),"?","~?"))&gt;1,"!AMBIG","X:"&amp;IFERROR(IF(INDEX(INDIRECT("'WCM Calibration Final'!$E$1:$E$2000"),'Calculations'!$EM399)="","",TRIM(INDEX(INDIRECT("'WCM Calibration Final'!$E$1:$E$2000"),'Calculations'!$EM399)&amp;"")),""))))))</x:f>
      </x:c>
      <x:c r="HG399" t="str">
        <x:f>IF('Calculations'!EM399="","",IFERROR(IF(INDEX(INDIRECT("'WCM Calibration Final'!$B$1:$B$2000"),'Calculations'!$EM399)="","",TRIM(INDEX(INDIRECT("'WCM Calibration Final'!$B$1:$B$2000"),'Calculations'!$EM399)&amp;"")),""))</x:f>
      </x:c>
      <x:c r="HH399" t="n">
        <x:f>IF(AND('Calculations'!JC399&gt;0,COUNTIF('Calculations'!$HF$12:HF399,"="&amp;SUBSTITUTE(SUBSTITUTE(SUBSTITUTE('Calculations'!HF399,"~","~~"),"*","~*"),"?","~?"))=1),MAX('Calculations'!$HH$12:HH398)+1,0)</x:f>
        <x:v>0</x:v>
      </x:c>
      <x:c r="HI399" t="n">
        <x:f>IF(AND('Calculations'!HN399&lt;&gt;"",COUNTIF('Calculations'!$HN$12:HN399,"="&amp;SUBSTITUTE(SUBSTITUTE(SUBSTITUTE('Calculations'!HN399,"~","~~"),"*","~*"),"?","~?"))=1),MAX('Calculations'!$HI$12:HI398)+1,0)</x:f>
        <x:v>0</x:v>
      </x:c>
      <x:c r="HJ399" t="str">
        <x:f>IF('Calculations'!HF399="","",IF(COUNTIF('Calculations'!$HE$13:$HE$512,"="&amp;SUBSTITUTE(SUBSTITUTE(SUBSTITUTE('Calculations'!HF399,"~","~~"),"*","~*"),"?","~?"))=1,INDEX('Calculations'!$HK$13:$HK$512,MATCH('Calculations'!HF399,'Calculations'!$HE$13:$HE$512,0)),IFERROR(IF(INDEX(INDIRECT("'WCM Calibration Final'!$E$1:$E$2000"),'Calculations'!$EM399)="","",TRIM(INDEX(INDIRECT("'WCM Calibration Final'!$E$1:$E$2000"),'Calculations'!$EM399)&amp;"")),"")&amp;" ["&amp;'Calculations'!HF399&amp;"]"))</x:f>
      </x:c>
      <x:c r="HK399" t="str">
        <x:f>IF('Calculations'!EM399="","",'Calculations'!HG399&amp;" ["&amp;'Calculations'!HE399&amp;"]")</x:f>
      </x:c>
      <x:c r="HL399" t="n">
        <x:f>IF('Calculations'!EM399="",0,IF(OR('Calculations'!II399&lt;&gt;"",COUNTIF('Calculations'!$HE$13:$HE$512,"="&amp;SUBSTITUTE(SUBSTITUTE(SUBSTITUTE('Calculations'!HE399,"~","~~"),"*","~*"),"?","~?"))&gt;1),1,0))</x:f>
        <x:v>0</x:v>
      </x:c>
      <x:c r="HM399" t="str">
        <x:f>IF('Calculations'!EM399="","",IF('Calculations'!HL399=1,"!UNRESOLVED",IF('Calculations'!IH399&lt;&gt;"",'Calculations'!IH399,IF('Calculations'!IG399&lt;&gt;"",'Calculations'!IG399,IF('Calculations'!IF399&lt;&gt;"",'Calculations'!IF399,IF('Calculations'!IE399&lt;&gt;"",'Calculations'!IE399,IF('Calculations'!ID399&lt;&gt;"",'Calculations'!ID399,IF('Calculations'!IC399&lt;&gt;"",'Calculations'!IC399,IF('Calculations'!IB399&lt;&gt;"",'Calculations'!IB399,IF('Calculations'!IA399&lt;&gt;"",'Calculations'!IA399,IF('Calculations'!HZ399&lt;&gt;"",'Calculations'!HZ399,IF('Calculations'!HY399&lt;&gt;"",'Calculations'!HY399,IF('Calculations'!HX399&lt;&gt;"",'Calculations'!HX399,IF('Calculations'!HW399&lt;&gt;"",'Calculations'!HW399,IF('Calculations'!HV399&lt;&gt;"",'Calculations'!HV399,IF('Calculations'!HU399&lt;&gt;"",'Calculations'!HU399,IF('Calculations'!HT399&lt;&gt;"",'Calculations'!HT399,IF('Calculations'!HS399&lt;&gt;"",'Calculations'!HS399,IF('Calculations'!HR399&lt;&gt;"",'Calculations'!HR399,IF('Calculations'!HQ399&lt;&gt;"",'Calculations'!HQ399,IF('Calculations'!HP399&lt;&gt;"",'Calculations'!HP399,IF('Calculations'!HO399&lt;&gt;"",'Calculations'!HO399,'Calculations'!HE399))))))))))))))))))))))</x:f>
      </x:c>
      <x:c r="HN399" t="str">
        <x:f>IF('Calculations'!EM399="","",IF(IFERROR(IF(INDEX(INDIRECT("'WCM Calibration Final'!$F$1:$F$2000"),'Calculations'!$EM399)="","",TRIM(INDEX(INDIRECT("'WCM Calibration Final'!$F$1:$F$2000"),'Calculations'!$EM399)&amp;"")),"")="","(Blank)",IFERROR(IF(INDEX(INDIRECT("'WCM Calibration Final'!$F$1:$F$2000"),'Calculations'!$EM399)="","",TRIM(INDEX(INDIRECT("'WCM Calibration Final'!$F$1:$F$2000"),'Calculations'!$EM399)&amp;"")),"")))</x:f>
      </x:c>
      <x:c r="HO399" t="str">
        <x:f>'Calculations'!HF399</x:f>
      </x:c>
      <x:c r="HP399" t="str">
        <x:f>IF('Calculations'!HO399="","",IF('Calculations'!HO399="!AMBIG","!AMBIG",IF(COUNTIF('Calculations'!$HE$13:$HE$512,"="&amp;SUBSTITUTE(SUBSTITUTE(SUBSTITUTE('Calculations'!HO399,"~","~~"),"*","~*"),"?","~?"))&gt;1,"!AMBIG",IFERROR(INDEX('Calculations'!$HF$13:$HF$512,MATCH('Calculations'!HO399,'Calculations'!$HE$13:$HE$512,0)),""))))</x:f>
      </x:c>
      <x:c r="HQ399" t="str">
        <x:f>IF('Calculations'!HP399="","",IF('Calculations'!HP399="!AMBIG","!AMBIG",IF(COUNTIF('Calculations'!$HE$13:$HE$512,"="&amp;SUBSTITUTE(SUBSTITUTE(SUBSTITUTE('Calculations'!HP399,"~","~~"),"*","~*"),"?","~?"))&gt;1,"!AMBIG",IFERROR(INDEX('Calculations'!$HF$13:$HF$512,MATCH('Calculations'!HP399,'Calculations'!$HE$13:$HE$512,0)),""))))</x:f>
      </x:c>
      <x:c r="HR399" t="str">
        <x:f>IF('Calculations'!HQ399="","",IF('Calculations'!HQ399="!AMBIG","!AMBIG",IF(COUNTIF('Calculations'!$HE$13:$HE$512,"="&amp;SUBSTITUTE(SUBSTITUTE(SUBSTITUTE('Calculations'!HQ399,"~","~~"),"*","~*"),"?","~?"))&gt;1,"!AMBIG",IFERROR(INDEX('Calculations'!$HF$13:$HF$512,MATCH('Calculations'!HQ399,'Calculations'!$HE$13:$HE$512,0)),""))))</x:f>
      </x:c>
      <x:c r="HS399" t="str">
        <x:f>IF('Calculations'!HR399="","",IF('Calculations'!HR399="!AMBIG","!AMBIG",IF(COUNTIF('Calculations'!$HE$13:$HE$512,"="&amp;SUBSTITUTE(SUBSTITUTE(SUBSTITUTE('Calculations'!HR399,"~","~~"),"*","~*"),"?","~?"))&gt;1,"!AMBIG",IFERROR(INDEX('Calculations'!$HF$13:$HF$512,MATCH('Calculations'!HR399,'Calculations'!$HE$13:$HE$512,0)),""))))</x:f>
      </x:c>
      <x:c r="HT399" t="str">
        <x:f>IF('Calculations'!HS399="","",IF('Calculations'!HS399="!AMBIG","!AMBIG",IF(COUNTIF('Calculations'!$HE$13:$HE$512,"="&amp;SUBSTITUTE(SUBSTITUTE(SUBSTITUTE('Calculations'!HS399,"~","~~"),"*","~*"),"?","~?"))&gt;1,"!AMBIG",IFERROR(INDEX('Calculations'!$HF$13:$HF$512,MATCH('Calculations'!HS399,'Calculations'!$HE$13:$HE$512,0)),""))))</x:f>
      </x:c>
      <x:c r="HU399" t="str">
        <x:f>IF('Calculations'!HT399="","",IF('Calculations'!HT399="!AMBIG","!AMBIG",IF(COUNTIF('Calculations'!$HE$13:$HE$512,"="&amp;SUBSTITUTE(SUBSTITUTE(SUBSTITUTE('Calculations'!HT399,"~","~~"),"*","~*"),"?","~?"))&gt;1,"!AMBIG",IFERROR(INDEX('Calculations'!$HF$13:$HF$512,MATCH('Calculations'!HT399,'Calculations'!$HE$13:$HE$512,0)),""))))</x:f>
      </x:c>
      <x:c r="HV399" t="str">
        <x:f>IF('Calculations'!HU399="","",IF('Calculations'!HU399="!AMBIG","!AMBIG",IF(COUNTIF('Calculations'!$HE$13:$HE$512,"="&amp;SUBSTITUTE(SUBSTITUTE(SUBSTITUTE('Calculations'!HU399,"~","~~"),"*","~*"),"?","~?"))&gt;1,"!AMBIG",IFERROR(INDEX('Calculations'!$HF$13:$HF$512,MATCH('Calculations'!HU399,'Calculations'!$HE$13:$HE$512,0)),""))))</x:f>
      </x:c>
      <x:c r="HW399" t="str">
        <x:f>IF('Calculations'!HV399="","",IF('Calculations'!HV399="!AMBIG","!AMBIG",IF(COUNTIF('Calculations'!$HE$13:$HE$512,"="&amp;SUBSTITUTE(SUBSTITUTE(SUBSTITUTE('Calculations'!HV399,"~","~~"),"*","~*"),"?","~?"))&gt;1,"!AMBIG",IFERROR(INDEX('Calculations'!$HF$13:$HF$512,MATCH('Calculations'!HV399,'Calculations'!$HE$13:$HE$512,0)),""))))</x:f>
      </x:c>
      <x:c r="HX399" t="str">
        <x:f>IF('Calculations'!HW399="","",IF('Calculations'!HW399="!AMBIG","!AMBIG",IF(COUNTIF('Calculations'!$HE$13:$HE$512,"="&amp;SUBSTITUTE(SUBSTITUTE(SUBSTITUTE('Calculations'!HW399,"~","~~"),"*","~*"),"?","~?"))&gt;1,"!AMBIG",IFERROR(INDEX('Calculations'!$HF$13:$HF$512,MATCH('Calculations'!HW399,'Calculations'!$HE$13:$HE$512,0)),""))))</x:f>
      </x:c>
      <x:c r="HY399" t="str">
        <x:f>IF('Calculations'!HX399="","",IF('Calculations'!HX399="!AMBIG","!AMBIG",IF(COUNTIF('Calculations'!$HE$13:$HE$512,"="&amp;SUBSTITUTE(SUBSTITUTE(SUBSTITUTE('Calculations'!HX399,"~","~~"),"*","~*"),"?","~?"))&gt;1,"!AMBIG",IFERROR(INDEX('Calculations'!$HF$13:$HF$512,MATCH('Calculations'!HX399,'Calculations'!$HE$13:$HE$512,0)),""))))</x:f>
      </x:c>
      <x:c r="HZ399" t="str">
        <x:f>IF('Calculations'!HY399="","",IF('Calculations'!HY399="!AMBIG","!AMBIG",IF(COUNTIF('Calculations'!$HE$13:$HE$512,"="&amp;SUBSTITUTE(SUBSTITUTE(SUBSTITUTE('Calculations'!HY399,"~","~~"),"*","~*"),"?","~?"))&gt;1,"!AMBIG",IFERROR(INDEX('Calculations'!$HF$13:$HF$512,MATCH('Calculations'!HY399,'Calculations'!$HE$13:$HE$512,0)),""))))</x:f>
      </x:c>
      <x:c r="IA399" t="str">
        <x:f>IF('Calculations'!HZ399="","",IF('Calculations'!HZ399="!AMBIG","!AMBIG",IF(COUNTIF('Calculations'!$HE$13:$HE$512,"="&amp;SUBSTITUTE(SUBSTITUTE(SUBSTITUTE('Calculations'!HZ399,"~","~~"),"*","~*"),"?","~?"))&gt;1,"!AMBIG",IFERROR(INDEX('Calculations'!$HF$13:$HF$512,MATCH('Calculations'!HZ399,'Calculations'!$HE$13:$HE$512,0)),""))))</x:f>
      </x:c>
      <x:c r="IB399" t="str">
        <x:f>IF('Calculations'!IA399="","",IF('Calculations'!IA399="!AMBIG","!AMBIG",IF(COUNTIF('Calculations'!$HE$13:$HE$512,"="&amp;SUBSTITUTE(SUBSTITUTE(SUBSTITUTE('Calculations'!IA399,"~","~~"),"*","~*"),"?","~?"))&gt;1,"!AMBIG",IFERROR(INDEX('Calculations'!$HF$13:$HF$512,MATCH('Calculations'!IA399,'Calculations'!$HE$13:$HE$512,0)),""))))</x:f>
      </x:c>
      <x:c r="IC399" t="str">
        <x:f>IF('Calculations'!IB399="","",IF('Calculations'!IB399="!AMBIG","!AMBIG",IF(COUNTIF('Calculations'!$HE$13:$HE$512,"="&amp;SUBSTITUTE(SUBSTITUTE(SUBSTITUTE('Calculations'!IB399,"~","~~"),"*","~*"),"?","~?"))&gt;1,"!AMBIG",IFERROR(INDEX('Calculations'!$HF$13:$HF$512,MATCH('Calculations'!IB399,'Calculations'!$HE$13:$HE$512,0)),""))))</x:f>
      </x:c>
      <x:c r="ID399" t="str">
        <x:f>IF('Calculations'!IC399="","",IF('Calculations'!IC399="!AMBIG","!AMBIG",IF(COUNTIF('Calculations'!$HE$13:$HE$512,"="&amp;SUBSTITUTE(SUBSTITUTE(SUBSTITUTE('Calculations'!IC399,"~","~~"),"*","~*"),"?","~?"))&gt;1,"!AMBIG",IFERROR(INDEX('Calculations'!$HF$13:$HF$512,MATCH('Calculations'!IC399,'Calculations'!$HE$13:$HE$512,0)),""))))</x:f>
      </x:c>
      <x:c r="IE399" t="str">
        <x:f>IF('Calculations'!ID399="","",IF('Calculations'!ID399="!AMBIG","!AMBIG",IF(COUNTIF('Calculations'!$HE$13:$HE$512,"="&amp;SUBSTITUTE(SUBSTITUTE(SUBSTITUTE('Calculations'!ID399,"~","~~"),"*","~*"),"?","~?"))&gt;1,"!AMBIG",IFERROR(INDEX('Calculations'!$HF$13:$HF$512,MATCH('Calculations'!ID399,'Calculations'!$HE$13:$HE$512,0)),""))))</x:f>
      </x:c>
      <x:c r="IF399" t="str">
        <x:f>IF('Calculations'!IE399="","",IF('Calculations'!IE399="!AMBIG","!AMBIG",IF(COUNTIF('Calculations'!$HE$13:$HE$512,"="&amp;SUBSTITUTE(SUBSTITUTE(SUBSTITUTE('Calculations'!IE399,"~","~~"),"*","~*"),"?","~?"))&gt;1,"!AMBIG",IFERROR(INDEX('Calculations'!$HF$13:$HF$512,MATCH('Calculations'!IE399,'Calculations'!$HE$13:$HE$512,0)),""))))</x:f>
      </x:c>
      <x:c r="IG399" t="str">
        <x:f>IF('Calculations'!IF399="","",IF('Calculations'!IF399="!AMBIG","!AMBIG",IF(COUNTIF('Calculations'!$HE$13:$HE$512,"="&amp;SUBSTITUTE(SUBSTITUTE(SUBSTITUTE('Calculations'!IF399,"~","~~"),"*","~*"),"?","~?"))&gt;1,"!AMBIG",IFERROR(INDEX('Calculations'!$HF$13:$HF$512,MATCH('Calculations'!IF399,'Calculations'!$HE$13:$HE$512,0)),""))))</x:f>
      </x:c>
      <x:c r="IH399" t="str">
        <x:f>IF('Calculations'!IG399="","",IF('Calculations'!IG399="!AMBIG","!AMBIG",IF(COUNTIF('Calculations'!$HE$13:$HE$512,"="&amp;SUBSTITUTE(SUBSTITUTE(SUBSTITUTE('Calculations'!IG399,"~","~~"),"*","~*"),"?","~?"))&gt;1,"!AMBIG",IFERROR(INDEX('Calculations'!$HF$13:$HF$512,MATCH('Calculations'!IG399,'Calculations'!$HE$13:$HE$512,0)),""))))</x:f>
      </x:c>
      <x:c r="II399" t="str">
        <x:f>IF('Calculations'!IH399="","",IF('Calculations'!IH399="!AMBIG","!AMBIG",IF(COUNTIF('Calculations'!$HE$13:$HE$512,"="&amp;SUBSTITUTE(SUBSTITUTE(SUBSTITUTE('Calculations'!IH399,"~","~~"),"*","~*"),"?","~?"))&gt;1,"!AMBIG",IFERROR(INDEX('Calculations'!$HF$13:$HF$512,MATCH('Calculations'!IH399,'Calculations'!$HE$13:$HE$512,0)),""))))</x:f>
      </x:c>
      <x:c r="IJ399" t="str">
        <x:f>IF('Calculations'!EM399="","",IF('Calculations'!$EF$2="All",'Calculations'!HM399,IF('Calculations'!HL399=1,"",IFERROR(IF(MATCH('Calculations'!$EF$2,'Calculations'!HO399:II399,0)=1,'Calculations'!HE399,INDEX('Calculations'!HO399:II399,1,MATCH('Calculations'!$EF$2,'Calculations'!HO399:II399,0)-1)),""))))</x:f>
      </x:c>
      <x:c r="IK399" t="n">
        <x:f>IF(AND('Calculations'!EM399&lt;&gt;"",'Calculations'!$EF$2&lt;&gt;"All",'Calculations'!HF399='Calculations'!$EF$2,'Calculations'!HL399=0,'Calculations'!JD399&gt;0),MAX('Calculations'!$IK$12:IK398)+1,0)</x:f>
        <x:v>0</x:v>
      </x:c>
      <x:c r="JA399" t="n">
        <x:f>IF(OR(IFERROR(INDIRECT("'WCM Calibration Final'!$A$399")&lt;&gt;"",FALSE),IFERROR(INDIRECT("'WCM Calibration Final'!$B$399")&lt;&gt;"",FALSE),IFERROR(INDIRECT("'WCM Calibration Final'!$C$399")&lt;&gt;"",FALSE)),399,0)</x:f>
        <x:v>0</x:v>
      </x:c>
      <x:c r="JB399" t="n">
        <x:f>'Calculations'!JB398+IF('Calculations'!JA399&gt;0,1,0)</x:f>
        <x:v>0</x:v>
      </x:c>
      <x:c r="JC399" t="n">
        <x:f>IF(OR('Calculations'!HF399="",'Calculations'!HF399="!AMBIG"),0,IF('Dashboard'!$B$7="All",1,COUNTIFS('Calculations'!$HO$13:$HO$512,"="&amp;SUBSTITUTE(SUBSTITUTE(SUBSTITUTE('Calculations'!HF399,"~","~~"),"*","~*"),"?","~?"),'Calculations'!$HN$13:$HN$512,"="&amp;SUBSTITUTE(SUBSTITUTE(SUBSTITUTE('Dashboard'!$B$7,"~","~~"),"*","~*"),"?","~?"))+COUNTIFS('Calculations'!$HP$13:$HP$512,"="&amp;SUBSTITUTE(SUBSTITUTE(SUBSTITUTE('Calculations'!HF399,"~","~~"),"*","~*"),"?","~?"),'Calculations'!$HN$13:$HN$512,"="&amp;SUBSTITUTE(SUBSTITUTE(SUBSTITUTE('Dashboard'!$B$7,"~","~~"),"*","~*"),"?","~?"))+COUNTIFS('Calculations'!$HQ$13:$HQ$512,"="&amp;SUBSTITUTE(SUBSTITUTE(SUBSTITUTE('Calculations'!HF399,"~","~~"),"*","~*"),"?","~?"),'Calculations'!$HN$13:$HN$512,"="&amp;SUBSTITUTE(SUBSTITUTE(SUBSTITUTE('Dashboard'!$B$7,"~","~~"),"*","~*"),"?","~?"))+COUNTIFS('Calculations'!$HR$13:$HR$512,"="&amp;SUBSTITUTE(SUBSTITUTE(SUBSTITUTE('Calculations'!HF399,"~","~~"),"*","~*"),"?","~?"),'Calculations'!$HN$13:$HN$512,"="&amp;SUBSTITUTE(SUBSTITUTE(SUBSTITUTE('Dashboard'!$B$7,"~","~~"),"*","~*"),"?","~?"))+COUNTIFS('Calculations'!$HS$13:$HS$512,"="&amp;SUBSTITUTE(SUBSTITUTE(SUBSTITUTE('Calculations'!HF399,"~","~~"),"*","~*"),"?","~?"),'Calculations'!$HN$13:$HN$512,"="&amp;SUBSTITUTE(SUBSTITUTE(SUBSTITUTE('Dashboard'!$B$7,"~","~~"),"*","~*"),"?","~?"))+COUNTIFS('Calculations'!$HT$13:$HT$512,"="&amp;SUBSTITUTE(SUBSTITUTE(SUBSTITUTE('Calculations'!HF399,"~","~~"),"*","~*"),"?","~?"),'Calculations'!$HN$13:$HN$512,"="&amp;SUBSTITUTE(SUBSTITUTE(SUBSTITUTE('Dashboard'!$B$7,"~","~~"),"*","~*"),"?","~?"))+COUNTIFS('Calculations'!$HU$13:$HU$512,"="&amp;SUBSTITUTE(SUBSTITUTE(SUBSTITUTE('Calculations'!HF399,"~","~~"),"*","~*"),"?","~?"),'Calculations'!$HN$13:$HN$512,"="&amp;SUBSTITUTE(SUBSTITUTE(SUBSTITUTE('Dashboard'!$B$7,"~","~~"),"*","~*"),"?","~?"))+COUNTIFS('Calculations'!$HV$13:$HV$512,"="&amp;SUBSTITUTE(SUBSTITUTE(SUBSTITUTE('Calculations'!HF399,"~","~~"),"*","~*"),"?","~?"),'Calculations'!$HN$13:$HN$512,"="&amp;SUBSTITUTE(SUBSTITUTE(SUBSTITUTE('Dashboard'!$B$7,"~","~~"),"*","~*"),"?","~?"))+COUNTIFS('Calculations'!$HW$13:$HW$512,"="&amp;SUBSTITUTE(SUBSTITUTE(SUBSTITUTE('Calculations'!HF399,"~","~~"),"*","~*"),"?","~?"),'Calculations'!$HN$13:$HN$512,"="&amp;SUBSTITUTE(SUBSTITUTE(SUBSTITUTE('Dashboard'!$B$7,"~","~~"),"*","~*"),"?","~?"))+COUNTIFS('Calculations'!$HX$13:$HX$512,"="&amp;SUBSTITUTE(SUBSTITUTE(SUBSTITUTE('Calculations'!HF399,"~","~~"),"*","~*"),"?","~?"),'Calculations'!$HN$13:$HN$512,"="&amp;SUBSTITUTE(SUBSTITUTE(SUBSTITUTE('Dashboard'!$B$7,"~","~~"),"*","~*"),"?","~?"))+COUNTIFS('Calculations'!$HY$13:$HY$512,"="&amp;SUBSTITUTE(SUBSTITUTE(SUBSTITUTE('Calculations'!HF399,"~","~~"),"*","~*"),"?","~?"),'Calculations'!$HN$13:$HN$512,"="&amp;SUBSTITUTE(SUBSTITUTE(SUBSTITUTE('Dashboard'!$B$7,"~","~~"),"*","~*"),"?","~?"))+COUNTIFS('Calculations'!$HZ$13:$HZ$512,"="&amp;SUBSTITUTE(SUBSTITUTE(SUBSTITUTE('Calculations'!HF399,"~","~~"),"*","~*"),"?","~?"),'Calculations'!$HN$13:$HN$512,"="&amp;SUBSTITUTE(SUBSTITUTE(SUBSTITUTE('Dashboard'!$B$7,"~","~~"),"*","~*"),"?","~?"))+COUNTIFS('Calculations'!$IA$13:$IA$512,"="&amp;SUBSTITUTE(SUBSTITUTE(SUBSTITUTE('Calculations'!HF399,"~","~~"),"*","~*"),"?","~?"),'Calculations'!$HN$13:$HN$512,"="&amp;SUBSTITUTE(SUBSTITUTE(SUBSTITUTE('Dashboard'!$B$7,"~","~~"),"*","~*"),"?","~?"))+COUNTIFS('Calculations'!$IB$13:$IB$512,"="&amp;SUBSTITUTE(SUBSTITUTE(SUBSTITUTE('Calculations'!HF399,"~","~~"),"*","~*"),"?","~?"),'Calculations'!$HN$13:$HN$512,"="&amp;SUBSTITUTE(SUBSTITUTE(SUBSTITUTE('Dashboard'!$B$7,"~","~~"),"*","~*"),"?","~?"))+COUNTIFS('Calculations'!$IC$13:$IC$512,"="&amp;SUBSTITUTE(SUBSTITUTE(SUBSTITUTE('Calculations'!HF399,"~","~~"),"*","~*"),"?","~?"),'Calculations'!$HN$13:$HN$512,"="&amp;SUBSTITUTE(SUBSTITUTE(SUBSTITUTE('Dashboard'!$B$7,"~","~~"),"*","~*"),"?","~?"))+COUNTIFS('Calculations'!$ID$13:$ID$512,"="&amp;SUBSTITUTE(SUBSTITUTE(SUBSTITUTE('Calculations'!HF399,"~","~~"),"*","~*"),"?","~?"),'Calculations'!$HN$13:$HN$512,"="&amp;SUBSTITUTE(SUBSTITUTE(SUBSTITUTE('Dashboard'!$B$7,"~","~~"),"*","~*"),"?","~?"))+COUNTIFS('Calculations'!$IE$13:$IE$512,"="&amp;SUBSTITUTE(SUBSTITUTE(SUBSTITUTE('Calculations'!HF399,"~","~~"),"*","~*"),"?","~?"),'Calculations'!$HN$13:$HN$512,"="&amp;SUBSTITUTE(SUBSTITUTE(SUBSTITUTE('Dashboard'!$B$7,"~","~~"),"*","~*"),"?","~?"))+COUNTIFS('Calculations'!$IF$13:$IF$512,"="&amp;SUBSTITUTE(SUBSTITUTE(SUBSTITUTE('Calculations'!HF399,"~","~~"),"*","~*"),"?","~?"),'Calculations'!$HN$13:$HN$512,"="&amp;SUBSTITUTE(SUBSTITUTE(SUBSTITUTE('Dashboard'!$B$7,"~","~~"),"*","~*"),"?","~?"))+COUNTIFS('Calculations'!$IG$13:$IG$512,"="&amp;SUBSTITUTE(SUBSTITUTE(SUBSTITUTE('Calculations'!HF399,"~","~~"),"*","~*"),"?","~?"),'Calculations'!$HN$13:$HN$512,"="&amp;SUBSTITUTE(SUBSTITUTE(SUBSTITUTE('Dashboard'!$B$7,"~","~~"),"*","~*"),"?","~?"))+COUNTIFS('Calculations'!$IH$13:$IH$512,"="&amp;SUBSTITUTE(SUBSTITUTE(SUBSTITUTE('Calculations'!HF399,"~","~~"),"*","~*"),"?","~?"),'Calculations'!$HN$13:$HN$512,"="&amp;SUBSTITUTE(SUBSTITUTE(SUBSTITUTE('Dashboard'!$B$7,"~","~~"),"*","~*"),"?","~?"))))</x:f>
        <x:v>0</x:v>
      </x:c>
      <x:c r="JD399" t="n">
        <x:f>IF('Calculations'!EM399="",0,IF('Dashboard'!$B$7="All",1,IF('Calculations'!HN399='Dashboard'!$B$7,1,0)+IFERROR(INDEX('Calculations'!$JC$13:$JC$512,MATCH('Calculations'!HE399,'Calculations'!$HF$13:$HF$512,0)),0)))</x:f>
        <x:v>0</x:v>
      </x:c>
      <x:c r="JE399" t="n">
        <x:f>IF(AND('Calculations'!EM399&lt;&gt;"",'Calculations'!$JJ$2&lt;&gt;"All",'Calculations'!$JJ$2&lt;&gt;"",'Calculations'!HF399='Calculations'!$JJ$2,'Calculations'!HL399=0,'Calculations'!JD399&gt;0),MAX('Calculations'!$JE$12:JE398)+1,0)</x:f>
        <x:v>0</x:v>
      </x:c>
      <x:c r="JF399" t="str">
        <x:f>IF('Calculations'!EM399="","",IFERROR(IF(INDEX(INDIRECT("'WCM Calibration Final'!$G$1:$G$2000"),'Calculations'!$EM399)="","",TRIM(INDEX(INDIRECT("'WCM Calibration Final'!$G$1:$G$2000"),'Calculations'!$EM399)&amp;"")),""))</x:f>
      </x:c>
      <x:c r="JQ399" t="n">
        <x:f>IF(OR('Calculations'!BM399=0,NOT('Calculations'!$AG$2),'Calculations'!$AG$8&gt;0),0,IF(OR('Dashboard'!$B$7="All",'Calculations'!HN399='Dashboard'!$B$7),IF('Calculations'!$JJ$2="All",1,IF(AND('Calculations'!HF399='Calculations'!$JJ$2,'Calculations'!HL399=0),1,0)),0))</x:f>
        <x:v>0</x:v>
      </x:c>
    </x:row>
    <x:row r="400">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t="n">
        <x:f>IF('Calculations'!$EM400="",0,IF(OR(IFERROR(INDEX(INDIRECT("'WCM Calibration Final'!$A$1:$A$2000"),'Calculations'!$EM400)&lt;&gt;"",FALSE),IFERROR(INDEX(INDIRECT("'WCM Calibration Final'!$B$1:$B$2000"),'Calculations'!$EM400)&lt;&gt;"",FALSE),IFERROR(INDEX(INDIRECT("'WCM Calibration Final'!$C$1:$C$2000"),'Calculations'!$EM400)&lt;&gt;"",FALSE)),1,0))</x:f>
        <x:v>0</x:v>
      </x:c>
      <x:c r="BN400" s="4" t="n">
        <x:f>IF(AND('Calculations'!BM400=1,'Calculations'!$AG$2,'Calculations'!$EN400=1),1,0)</x:f>
        <x:v>0</x:v>
      </x:c>
      <x:c r="BO400" s="4" t="str">
        <x:f>IF('Calculations'!BM400=0,"",IFERROR(IF(AND(VALUE(INDEX(INDIRECT("'WCM Calibration Final'!$K$1:$K$2000"),'Calculations'!$EM400))&gt;=1,VALUE(INDEX(INDIRECT("'WCM Calibration Final'!$K$1:$K$2000"),'Calculations'!$EM400))&lt;=4,MOD(VALUE(INDEX(INDIRECT("'WCM Calibration Final'!$K$1:$K$2000"),'Calculations'!$EM400)),1)=0),VALUE(INDEX(INDIRECT("'WCM Calibration Final'!$K$1:$K$2000"),'Calculations'!$EM400)),""),""))</x:f>
      </x:c>
      <x:c r="BP400" s="4" t="str">
        <x:f>IF('Calculations'!BM400=0,"",IFERROR(IF(AND(VALUE(INDEX(INDIRECT("'WCM Calibration Final'!$L$1:$L$2000"),'Calculations'!$EM400))&gt;=1,VALUE(INDEX(INDIRECT("'WCM Calibration Final'!$L$1:$L$2000"),'Calculations'!$EM400))&lt;=4,MOD(VALUE(INDEX(INDIRECT("'WCM Calibration Final'!$L$1:$L$2000"),'Calculations'!$EM400)),1)=0),VALUE(INDEX(INDIRECT("'WCM Calibration Final'!$L$1:$L$2000"),'Calculations'!$EM400)),""),""))</x:f>
      </x:c>
      <x:c r="BQ400" s="4"/>
      <x:c r="BR400" s="4"/>
      <x:c r="BS400" s="4"/>
      <x:c r="BT400" s="4" t="n">
        <x:f>IF(AND('Calculations'!BM400=1,ISNUMBER('Calculations'!BO400),ISNUMBER('Calculations'!BP400)),1,0)</x:f>
        <x:v>0</x:v>
      </x:c>
      <x:c r="BU400" s="4" t="str">
        <x:f>IF('Calculations'!BM400=0,"",'Calculations'!$EO400)</x:f>
      </x:c>
      <x:c r="BV400" s="4" t="str">
        <x:f>IF('Calculations'!BM400=0,"",IFERROR(IF(OR(INDEX(INDIRECT("'WCM Calibration Final'!$H$1:$H$2000"),'Calculations'!$EM400)="MANAGING DIRECTOR",INDEX(INDIRECT("'WCM Calibration Final'!$H$1:$H$2000"),'Calculations'!$EM400)="DIRECTOR",INDEX(INDIRECT("'WCM Calibration Final'!$H$1:$H$2000"),'Calculations'!$EM400)="SENIOR VICE PRESIDENT",INDEX(INDIRECT("'WCM Calibration Final'!$H$1:$H$2000"),'Calculations'!$EM400)="VICE PRESIDENT",INDEX(INDIRECT("'WCM Calibration Final'!$H$1:$H$2000"),'Calculations'!$EM400)="ASSISTANT VICE PRESIDENT",INDEX(INDIRECT("'WCM Calibration Final'!$H$1:$H$2000"),'Calculations'!$EM400)="OFFICER"),UPPER(INDEX(INDIRECT("'WCM Calibration Final'!$H$1:$H$2000"),'Calculations'!$EM400)),"Other"),"Other"))</x:f>
      </x:c>
      <x:c r="BW400" s="4"/>
      <x:c r="BX400" s="4"/>
      <x:c r="BY400" s="4" t="n">
        <x:f>IF(AND('Calculations'!BM400=1,'Calculations'!BU400&lt;&gt;"",COUNTIF('Calculations'!$BU$12:BU400,'Calculations'!BU400)=1),MAX('Calculations'!$BY$11:BY399)+1,0)</x:f>
        <x:v>0</x:v>
      </x:c>
      <x:c r="BZ400" s="4" t="str">
        <x:f>IF('Dashboard'!$E$67="What",'Calculations'!BO400,'Calculations'!BP400)</x:f>
      </x:c>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t="str">
        <x:f>IF(389&gt;MAX('Calculations'!$HI$13:$HI$512),"",INDEX('Calculations'!$HN$13:$HN$512,MATCH(389,'Calculations'!$HI$13:$HI$512,0)))</x:f>
      </x:c>
      <x:c r="DB400" s="4" t="str">
        <x:f>IF(389&gt;MAX('Calculations'!$HH$13:$HH$512),"",INDEX('Calculations'!$HJ$13:$HJ$512,MATCH(389,'Calculations'!$HH$13:$HH$512,0)))</x:f>
      </x:c>
      <x:c r="DC400" s="4" t="str">
        <x:f>IF(ROW()-11&gt;MAX('Calculations'!$BY$13:$BY$512),"",INDEX('Calculations'!$BU$13:$BU$512,MATCH(ROW()-11,'Calculations'!$BY$13:$BY$512,0)))</x:f>
      </x:c>
      <x:c r="DD400" s="4" t="str">
        <x:f>IF(389&gt;MAX('Calculations'!$IK$13:$IK$512),"",INDEX('Calculations'!$HK$13:$HK$512,MATCH(389,'Calculations'!$IK$13:$IK$512,0)))</x:f>
      </x:c>
      <x:c r="DE400" s="4" t="str">
        <x:f>'Calculations'!DC400</x:f>
      </x:c>
      <x:c r="DF400" s="4" t="str">
        <x:f>IF('Calculations'!DE400="","",COUNTIFS('Calculations'!$BN$13:$BN$512,1,'Calculations'!$BU$13:$BU$512,'Calculations'!DE400))</x:f>
      </x:c>
      <x:c r="DG400" s="4" t="str">
        <x:f>IF('Calculations'!DE400="","",COUNTIFS('Calculations'!$BN$13:$BN$512,1,'Calculations'!$BU$13:$BU$512,'Calculations'!DE400,'Calculations'!$BT$13:$BT$512,1))</x:f>
      </x:c>
      <x:c r="DH400" s="4" t="str">
        <x:f>IF('Calculations'!DE400="","",'Calculations'!DF400-'Calculations'!DG400)</x:f>
      </x:c>
      <x:c r="DI400" s="4" t="str">
        <x:f>IF(OR('Calculations'!DE400="",'Calculations'!DF400=0),"",'Calculations'!DG400/'Calculations'!DF400)</x:f>
      </x:c>
      <x:c r="DJ400" s="4" t="str">
        <x:f>IF('Calculations'!DE400="","",COUNTIFS('Calculations'!$BN$13:$BN$512,1,'Calculations'!$BU$13:$BU$512,'Calculations'!DE400,'Calculations'!$BT$13:$BT$512,1,'Calculations'!$EE$13:$EE$512,"High"))</x:f>
      </x:c>
      <x:c r="DK400" s="4" t="str">
        <x:f>IF('Calculations'!DE400="","",COUNTIFS('Calculations'!$BN$13:$BN$512,1,'Calculations'!$BU$13:$BU$512,'Calculations'!DE400,'Calculations'!$BT$13:$BT$512,1,'Calculations'!$EE$13:$EE$512,"Strong"))</x:f>
      </x:c>
      <x:c r="DL400" s="4" t="str">
        <x:f>IF('Calculations'!DE400="","",COUNTIFS('Calculations'!$BN$13:$BN$512,1,'Calculations'!$BU$13:$BU$512,'Calculations'!DE400,'Calculations'!$BT$13:$BT$512,1,'Calculations'!$EE$13:$EE$512,"Solid"))</x:f>
      </x:c>
      <x:c r="DM400" s="4" t="str">
        <x:f>IF('Calculations'!DE400="","",COUNTIFS('Calculations'!$BN$13:$BN$512,1,'Calculations'!$BU$13:$BU$512,'Calculations'!DE400,'Calculations'!$BT$13:$BT$512,1,'Calculations'!$EE$13:$EE$512,"Low"))</x:f>
      </x:c>
      <x:c r="DN400" s="4" t="str">
        <x:f>IF('Calculations'!DE400="","",COUNTIFS('Calculations'!$BN$13:$BN$512,1,'Calculations'!$BU$13:$BU$512,'Calculations'!DE400,'Calculations'!$EP$13:$EP$512,1))</x:f>
      </x:c>
      <x:c r="DO400" s="4" t="str">
        <x:f>IF(OR('Calculations'!DE400="",'Calculations'!DG400=0),"",('Calculations'!DJ400+'Calculations'!DK400)/'Calculations'!DG400)</x:f>
      </x:c>
      <x:c r="DP400" s="4" t="n">
        <x:f>IF(AND('Calculations'!DE400&lt;&gt;"",'Calculations'!DF400&gt;0),COUNTIF('Calculations'!$DF$12:DF400,"&gt;0"),0)</x:f>
        <x:v>0</x:v>
      </x:c>
      <x:c r="DQ400" s="4" t="str">
        <x:f>IF(389&gt;MAX('Calculations'!$HH$13:$HH$512),"",INDEX('Calculations'!$HF$13:$HF$512,MATCH(389,'Calculations'!$HH$13:$HH$512,0)))</x:f>
      </x:c>
      <x:c r="DR400" s="4" t="str">
        <x:f>IF(389&gt;MAX('Calculations'!$IK$13:$IK$512),"",INDEX('Calculations'!$HE$13:$HE$512,MATCH(389,'Calculations'!$IK$13:$IK$512,0)))</x:f>
      </x:c>
      <x:c r="DS400" s="4"/>
      <x:c r="DT400" s="4"/>
      <x:c r="DU400" s="4"/>
      <x:c r="DV400" s="4"/>
      <x:c r="DW400" s="4"/>
      <x:c r="DX400" s="4"/>
      <x:c r="DY400" s="4"/>
      <x:c r="DZ400" s="4"/>
      <x:c r="EA400" s="4"/>
      <x:c r="EB400" s="4"/>
      <x:c r="EC400" s="4"/>
      <x:c r="ED400" s="4"/>
      <x:c r="EE400" s="4" t="str">
        <x:f>IF('Calculations'!BT400=0,"Not Rated",IF(OR('Calculations'!BO400&gt;=4,'Calculations'!BP400&gt;=4),"Low",IF('Calculations'!BO400+'Calculations'!BP400&lt;=3,"High",IF('Calculations'!BO400+'Calculations'!BP400&lt;=4,"Strong","Solid"))))</x:f>
        <x:v>Not Rated</x:v>
      </x:c>
      <x:c r="EF400" s="4"/>
      <x:c r="EG400" s="4"/>
      <x:c r="EH400" s="4"/>
      <x:c r="EI400" s="4"/>
      <x:c r="EJ400" s="4"/>
      <x:c r="EK400" s="4"/>
      <x:c r="EL400" s="4"/>
      <x:c r="EM400" s="4" t="str">
        <x:f>IF(388&gt;'Calculations'!$JB$2000,"",INDEX('Calculations'!$JA$12:$JA$2000,MATCH(388,'Calculations'!$JB$12:$JB$2000,0)))</x:f>
      </x:c>
      <x:c r="EN400" s="4" t="n">
        <x:f>IF(OR('Calculations'!EM400="",'Calculations'!$AG$8&gt;0,AND('Calculations'!$EF$2&lt;&gt;"All",'Calculations'!HE400='Calculations'!$EF$2),AND('Calculations'!$EF$3&lt;&gt;"All",'Calculations'!HE400='Calculations'!$EF$3)),0,IF(OR('Dashboard'!$B$7="All",'Calculations'!HN400='Dashboard'!$B$7),IF('Calculations'!$EF$2="All",1,IF('Calculations'!HL400&gt;0,0,IF(COUNTIF('Calculations'!HO400:II400,"="&amp;SUBSTITUTE(SUBSTITUTE(SUBSTITUTE('Calculations'!$EF$2,"~","~~"),"*","~*"),"?","~?"))=0,0,IF('Calculations'!$EF$3="All",1,IF(COUNTIF('Calculations'!HO400:II400,"="&amp;SUBSTITUTE(SUBSTITUTE(SUBSTITUTE('Calculations'!$EF$3,"~","~~"),"*","~*"),"?","~?"))&gt;0,1,0))))),0))</x:f>
        <x:v>0</x:v>
      </x:c>
      <x:c r="EO400" s="4" t="str">
        <x:f>IF('Calculations'!IJ400="","",IF('Calculations'!IJ400="!UNRESOLVED","Unresolved hierarchy",IFERROR(INDEX('Calculations'!$HK$13:$HK$512,MATCH('Calculations'!IJ400,'Calculations'!$HE$13:$HE$512,0)),IFERROR(INDEX('Calculations'!$HJ$13:$HJ$512,MATCH('Calculations'!IJ400,'Calculations'!$HF$13:$HF$512,0)),'Calculations'!IJ400))))</x:f>
      </x:c>
      <x:c r="EP400" s="4" t="n">
        <x:f>IF(AND('Calculations'!EM400&lt;&gt;"",'Calculations'!HF400='Calculations'!IJ400),1,0)</x:f>
        <x:v>0</x:v>
      </x:c>
      <x:c r="EQ400" s="4"/>
      <x:c r="ER400" s="4"/>
      <x:c r="ES400" s="4"/>
      <x:c r="ET400" s="4"/>
      <x:c r="EU400" s="4"/>
      <x:c r="EV400" s="4"/>
      <x:c r="EW400" s="4"/>
      <x:c r="EX400" s="4"/>
      <x:c r="EY400" s="4"/>
      <x:c r="EZ400" s="4"/>
      <x:c r="FA400" s="4"/>
      <x:c r="FB400" s="4"/>
      <x:c r="FC400" s="4"/>
      <x:c r="FD400" s="4"/>
      <x:c r="FE400" s="4"/>
      <x:c r="FF400" s="4"/>
      <x:c r="FG400" s="4"/>
      <x:c r="FH400" s="4"/>
      <x:c r="FI400" s="4"/>
      <x:c r="FJ400" s="4"/>
      <x:c r="FK400" s="4"/>
      <x:c r="FL400" s="4"/>
      <x:c r="FM400" s="4"/>
      <x:c r="FN400" s="4"/>
      <x:c r="FO400" s="4"/>
      <x:c r="HE400" t="str">
        <x:f>IF('Calculations'!EM400="","",IF(IFERROR(IF(INDEX(INDIRECT("'WCM Calibration Final'!$A$1:$A$2000"),'Calculations'!$EM400)="","",TRIM(INDEX(INDIRECT("'WCM Calibration Final'!$A$1:$A$2000"),'Calculations'!$EM400)&amp;"")),"")&lt;&gt;"","G:"&amp;IFERROR(TEXT(1*INDEX(INDIRECT("'WCM Calibration Final'!$A$1:$A$2000"),'Calculations'!$EM400),"0"),UPPER(IFERROR(IF(INDEX(INDIRECT("'WCM Calibration Final'!$A$1:$A$2000"),'Calculations'!$EM400)="","",TRIM(INDEX(INDIRECT("'WCM Calibration Final'!$A$1:$A$2000"),'Calculations'!$EM400)&amp;"")),""))),IF(IFERROR(IF(INDEX(INDIRECT("'WCM Calibration Final'!$C$1:$C$2000"),'Calculations'!$EM400)="","",TRIM(INDEX(INDIRECT("'WCM Calibration Final'!$C$1:$C$2000"),'Calculations'!$EM400)&amp;"")),"")&lt;&gt;"","S:"&amp;UPPER(IFERROR(IF(INDEX(INDIRECT("'WCM Calibration Final'!$C$1:$C$2000"),'Calculations'!$EM400)="","",TRIM(INDEX(INDIRECT("'WCM Calibration Final'!$C$1:$C$2000"),'Calculations'!$EM400)&amp;"")),"")),"R:"&amp;'Calculations'!EM400)))</x:f>
      </x:c>
      <x:c r="HF400" t="str">
        <x:f>IF('Calculations'!EM400="","",IF(IFERROR(IF(INDEX(INDIRECT("'WCM Calibration Final'!$D$1:$D$2000"),'Calculations'!$EM400)="","",TRIM(INDEX(INDIRECT("'WCM Calibration Final'!$D$1:$D$2000"),'Calculations'!$EM400)&amp;"")),"")&lt;&gt;"","G:"&amp;IFERROR(TEXT(1*INDEX(INDIRECT("'WCM Calibration Final'!$D$1:$D$2000"),'Calculations'!$EM400),"0"),UPPER(IFERROR(IF(INDEX(INDIRECT("'WCM Calibration Final'!$D$1:$D$2000"),'Calculations'!$EM400)="","",TRIM(INDEX(INDIRECT("'WCM Calibration Final'!$D$1:$D$2000"),'Calculations'!$EM400)&amp;"")),""))),IF(IFERROR(IF(INDEX(INDIRECT("'WCM Calibration Final'!$E$1:$E$2000"),'Calculations'!$EM400)="","",TRIM(INDEX(INDIRECT("'WCM Calibration Final'!$E$1:$E$2000"),'Calculations'!$EM400)&amp;"")),"")="","",IF(COUNTIF('Calculations'!$HG$13:$HG$512,"="&amp;SUBSTITUTE(SUBSTITUTE(SUBSTITUTE(IFERROR(IF(INDEX(INDIRECT("'WCM Calibration Final'!$E$1:$E$2000"),'Calculations'!$EM400)="","",TRIM(INDEX(INDIRECT("'WCM Calibration Final'!$E$1:$E$2000"),'Calculations'!$EM400)&amp;"")),""),"~","~~"),"*","~*"),"?","~?"))=1,INDEX('Calculations'!$HE$13:$HE$512,MATCH(IFERROR(IF(INDEX(INDIRECT("'WCM Calibration Final'!$E$1:$E$2000"),'Calculations'!$EM400)="","",TRIM(INDEX(INDIRECT("'WCM Calibration Final'!$E$1:$E$2000"),'Calculations'!$EM400)&amp;"")),""),'Calculations'!$HG$13:$HG$512,0)),IF(COUNTIF('Calculations'!$HG$13:$HG$512,"="&amp;SUBSTITUTE(SUBSTITUTE(SUBSTITUTE(IFERROR(IF(INDEX(INDIRECT("'WCM Calibration Final'!$E$1:$E$2000"),'Calculations'!$EM400)="","",TRIM(INDEX(INDIRECT("'WCM Calibration Final'!$E$1:$E$2000"),'Calculations'!$EM400)&amp;"")),""),"~","~~"),"*","~*"),"?","~?"))&gt;1,"!AMBIG","X:"&amp;IFERROR(IF(INDEX(INDIRECT("'WCM Calibration Final'!$E$1:$E$2000"),'Calculations'!$EM400)="","",TRIM(INDEX(INDIRECT("'WCM Calibration Final'!$E$1:$E$2000"),'Calculations'!$EM400)&amp;"")),""))))))</x:f>
      </x:c>
      <x:c r="HG400" t="str">
        <x:f>IF('Calculations'!EM400="","",IFERROR(IF(INDEX(INDIRECT("'WCM Calibration Final'!$B$1:$B$2000"),'Calculations'!$EM400)="","",TRIM(INDEX(INDIRECT("'WCM Calibration Final'!$B$1:$B$2000"),'Calculations'!$EM400)&amp;"")),""))</x:f>
      </x:c>
      <x:c r="HH400" t="n">
        <x:f>IF(AND('Calculations'!JC400&gt;0,COUNTIF('Calculations'!$HF$12:HF400,"="&amp;SUBSTITUTE(SUBSTITUTE(SUBSTITUTE('Calculations'!HF400,"~","~~"),"*","~*"),"?","~?"))=1),MAX('Calculations'!$HH$12:HH399)+1,0)</x:f>
        <x:v>0</x:v>
      </x:c>
      <x:c r="HI400" t="n">
        <x:f>IF(AND('Calculations'!HN400&lt;&gt;"",COUNTIF('Calculations'!$HN$12:HN400,"="&amp;SUBSTITUTE(SUBSTITUTE(SUBSTITUTE('Calculations'!HN400,"~","~~"),"*","~*"),"?","~?"))=1),MAX('Calculations'!$HI$12:HI399)+1,0)</x:f>
        <x:v>0</x:v>
      </x:c>
      <x:c r="HJ400" t="str">
        <x:f>IF('Calculations'!HF400="","",IF(COUNTIF('Calculations'!$HE$13:$HE$512,"="&amp;SUBSTITUTE(SUBSTITUTE(SUBSTITUTE('Calculations'!HF400,"~","~~"),"*","~*"),"?","~?"))=1,INDEX('Calculations'!$HK$13:$HK$512,MATCH('Calculations'!HF400,'Calculations'!$HE$13:$HE$512,0)),IFERROR(IF(INDEX(INDIRECT("'WCM Calibration Final'!$E$1:$E$2000"),'Calculations'!$EM400)="","",TRIM(INDEX(INDIRECT("'WCM Calibration Final'!$E$1:$E$2000"),'Calculations'!$EM400)&amp;"")),"")&amp;" ["&amp;'Calculations'!HF400&amp;"]"))</x:f>
      </x:c>
      <x:c r="HK400" t="str">
        <x:f>IF('Calculations'!EM400="","",'Calculations'!HG400&amp;" ["&amp;'Calculations'!HE400&amp;"]")</x:f>
      </x:c>
      <x:c r="HL400" t="n">
        <x:f>IF('Calculations'!EM400="",0,IF(OR('Calculations'!II400&lt;&gt;"",COUNTIF('Calculations'!$HE$13:$HE$512,"="&amp;SUBSTITUTE(SUBSTITUTE(SUBSTITUTE('Calculations'!HE400,"~","~~"),"*","~*"),"?","~?"))&gt;1),1,0))</x:f>
        <x:v>0</x:v>
      </x:c>
      <x:c r="HM400" t="str">
        <x:f>IF('Calculations'!EM400="","",IF('Calculations'!HL400=1,"!UNRESOLVED",IF('Calculations'!IH400&lt;&gt;"",'Calculations'!IH400,IF('Calculations'!IG400&lt;&gt;"",'Calculations'!IG400,IF('Calculations'!IF400&lt;&gt;"",'Calculations'!IF400,IF('Calculations'!IE400&lt;&gt;"",'Calculations'!IE400,IF('Calculations'!ID400&lt;&gt;"",'Calculations'!ID400,IF('Calculations'!IC400&lt;&gt;"",'Calculations'!IC400,IF('Calculations'!IB400&lt;&gt;"",'Calculations'!IB400,IF('Calculations'!IA400&lt;&gt;"",'Calculations'!IA400,IF('Calculations'!HZ400&lt;&gt;"",'Calculations'!HZ400,IF('Calculations'!HY400&lt;&gt;"",'Calculations'!HY400,IF('Calculations'!HX400&lt;&gt;"",'Calculations'!HX400,IF('Calculations'!HW400&lt;&gt;"",'Calculations'!HW400,IF('Calculations'!HV400&lt;&gt;"",'Calculations'!HV400,IF('Calculations'!HU400&lt;&gt;"",'Calculations'!HU400,IF('Calculations'!HT400&lt;&gt;"",'Calculations'!HT400,IF('Calculations'!HS400&lt;&gt;"",'Calculations'!HS400,IF('Calculations'!HR400&lt;&gt;"",'Calculations'!HR400,IF('Calculations'!HQ400&lt;&gt;"",'Calculations'!HQ400,IF('Calculations'!HP400&lt;&gt;"",'Calculations'!HP400,IF('Calculations'!HO400&lt;&gt;"",'Calculations'!HO400,'Calculations'!HE400))))))))))))))))))))))</x:f>
      </x:c>
      <x:c r="HN400" t="str">
        <x:f>IF('Calculations'!EM400="","",IF(IFERROR(IF(INDEX(INDIRECT("'WCM Calibration Final'!$F$1:$F$2000"),'Calculations'!$EM400)="","",TRIM(INDEX(INDIRECT("'WCM Calibration Final'!$F$1:$F$2000"),'Calculations'!$EM400)&amp;"")),"")="","(Blank)",IFERROR(IF(INDEX(INDIRECT("'WCM Calibration Final'!$F$1:$F$2000"),'Calculations'!$EM400)="","",TRIM(INDEX(INDIRECT("'WCM Calibration Final'!$F$1:$F$2000"),'Calculations'!$EM400)&amp;"")),"")))</x:f>
      </x:c>
      <x:c r="HO400" t="str">
        <x:f>'Calculations'!HF400</x:f>
      </x:c>
      <x:c r="HP400" t="str">
        <x:f>IF('Calculations'!HO400="","",IF('Calculations'!HO400="!AMBIG","!AMBIG",IF(COUNTIF('Calculations'!$HE$13:$HE$512,"="&amp;SUBSTITUTE(SUBSTITUTE(SUBSTITUTE('Calculations'!HO400,"~","~~"),"*","~*"),"?","~?"))&gt;1,"!AMBIG",IFERROR(INDEX('Calculations'!$HF$13:$HF$512,MATCH('Calculations'!HO400,'Calculations'!$HE$13:$HE$512,0)),""))))</x:f>
      </x:c>
      <x:c r="HQ400" t="str">
        <x:f>IF('Calculations'!HP400="","",IF('Calculations'!HP400="!AMBIG","!AMBIG",IF(COUNTIF('Calculations'!$HE$13:$HE$512,"="&amp;SUBSTITUTE(SUBSTITUTE(SUBSTITUTE('Calculations'!HP400,"~","~~"),"*","~*"),"?","~?"))&gt;1,"!AMBIG",IFERROR(INDEX('Calculations'!$HF$13:$HF$512,MATCH('Calculations'!HP400,'Calculations'!$HE$13:$HE$512,0)),""))))</x:f>
      </x:c>
      <x:c r="HR400" t="str">
        <x:f>IF('Calculations'!HQ400="","",IF('Calculations'!HQ400="!AMBIG","!AMBIG",IF(COUNTIF('Calculations'!$HE$13:$HE$512,"="&amp;SUBSTITUTE(SUBSTITUTE(SUBSTITUTE('Calculations'!HQ400,"~","~~"),"*","~*"),"?","~?"))&gt;1,"!AMBIG",IFERROR(INDEX('Calculations'!$HF$13:$HF$512,MATCH('Calculations'!HQ400,'Calculations'!$HE$13:$HE$512,0)),""))))</x:f>
      </x:c>
      <x:c r="HS400" t="str">
        <x:f>IF('Calculations'!HR400="","",IF('Calculations'!HR400="!AMBIG","!AMBIG",IF(COUNTIF('Calculations'!$HE$13:$HE$512,"="&amp;SUBSTITUTE(SUBSTITUTE(SUBSTITUTE('Calculations'!HR400,"~","~~"),"*","~*"),"?","~?"))&gt;1,"!AMBIG",IFERROR(INDEX('Calculations'!$HF$13:$HF$512,MATCH('Calculations'!HR400,'Calculations'!$HE$13:$HE$512,0)),""))))</x:f>
      </x:c>
      <x:c r="HT400" t="str">
        <x:f>IF('Calculations'!HS400="","",IF('Calculations'!HS400="!AMBIG","!AMBIG",IF(COUNTIF('Calculations'!$HE$13:$HE$512,"="&amp;SUBSTITUTE(SUBSTITUTE(SUBSTITUTE('Calculations'!HS400,"~","~~"),"*","~*"),"?","~?"))&gt;1,"!AMBIG",IFERROR(INDEX('Calculations'!$HF$13:$HF$512,MATCH('Calculations'!HS400,'Calculations'!$HE$13:$HE$512,0)),""))))</x:f>
      </x:c>
      <x:c r="HU400" t="str">
        <x:f>IF('Calculations'!HT400="","",IF('Calculations'!HT400="!AMBIG","!AMBIG",IF(COUNTIF('Calculations'!$HE$13:$HE$512,"="&amp;SUBSTITUTE(SUBSTITUTE(SUBSTITUTE('Calculations'!HT400,"~","~~"),"*","~*"),"?","~?"))&gt;1,"!AMBIG",IFERROR(INDEX('Calculations'!$HF$13:$HF$512,MATCH('Calculations'!HT400,'Calculations'!$HE$13:$HE$512,0)),""))))</x:f>
      </x:c>
      <x:c r="HV400" t="str">
        <x:f>IF('Calculations'!HU400="","",IF('Calculations'!HU400="!AMBIG","!AMBIG",IF(COUNTIF('Calculations'!$HE$13:$HE$512,"="&amp;SUBSTITUTE(SUBSTITUTE(SUBSTITUTE('Calculations'!HU400,"~","~~"),"*","~*"),"?","~?"))&gt;1,"!AMBIG",IFERROR(INDEX('Calculations'!$HF$13:$HF$512,MATCH('Calculations'!HU400,'Calculations'!$HE$13:$HE$512,0)),""))))</x:f>
      </x:c>
      <x:c r="HW400" t="str">
        <x:f>IF('Calculations'!HV400="","",IF('Calculations'!HV400="!AMBIG","!AMBIG",IF(COUNTIF('Calculations'!$HE$13:$HE$512,"="&amp;SUBSTITUTE(SUBSTITUTE(SUBSTITUTE('Calculations'!HV400,"~","~~"),"*","~*"),"?","~?"))&gt;1,"!AMBIG",IFERROR(INDEX('Calculations'!$HF$13:$HF$512,MATCH('Calculations'!HV400,'Calculations'!$HE$13:$HE$512,0)),""))))</x:f>
      </x:c>
      <x:c r="HX400" t="str">
        <x:f>IF('Calculations'!HW400="","",IF('Calculations'!HW400="!AMBIG","!AMBIG",IF(COUNTIF('Calculations'!$HE$13:$HE$512,"="&amp;SUBSTITUTE(SUBSTITUTE(SUBSTITUTE('Calculations'!HW400,"~","~~"),"*","~*"),"?","~?"))&gt;1,"!AMBIG",IFERROR(INDEX('Calculations'!$HF$13:$HF$512,MATCH('Calculations'!HW400,'Calculations'!$HE$13:$HE$512,0)),""))))</x:f>
      </x:c>
      <x:c r="HY400" t="str">
        <x:f>IF('Calculations'!HX400="","",IF('Calculations'!HX400="!AMBIG","!AMBIG",IF(COUNTIF('Calculations'!$HE$13:$HE$512,"="&amp;SUBSTITUTE(SUBSTITUTE(SUBSTITUTE('Calculations'!HX400,"~","~~"),"*","~*"),"?","~?"))&gt;1,"!AMBIG",IFERROR(INDEX('Calculations'!$HF$13:$HF$512,MATCH('Calculations'!HX400,'Calculations'!$HE$13:$HE$512,0)),""))))</x:f>
      </x:c>
      <x:c r="HZ400" t="str">
        <x:f>IF('Calculations'!HY400="","",IF('Calculations'!HY400="!AMBIG","!AMBIG",IF(COUNTIF('Calculations'!$HE$13:$HE$512,"="&amp;SUBSTITUTE(SUBSTITUTE(SUBSTITUTE('Calculations'!HY400,"~","~~"),"*","~*"),"?","~?"))&gt;1,"!AMBIG",IFERROR(INDEX('Calculations'!$HF$13:$HF$512,MATCH('Calculations'!HY400,'Calculations'!$HE$13:$HE$512,0)),""))))</x:f>
      </x:c>
      <x:c r="IA400" t="str">
        <x:f>IF('Calculations'!HZ400="","",IF('Calculations'!HZ400="!AMBIG","!AMBIG",IF(COUNTIF('Calculations'!$HE$13:$HE$512,"="&amp;SUBSTITUTE(SUBSTITUTE(SUBSTITUTE('Calculations'!HZ400,"~","~~"),"*","~*"),"?","~?"))&gt;1,"!AMBIG",IFERROR(INDEX('Calculations'!$HF$13:$HF$512,MATCH('Calculations'!HZ400,'Calculations'!$HE$13:$HE$512,0)),""))))</x:f>
      </x:c>
      <x:c r="IB400" t="str">
        <x:f>IF('Calculations'!IA400="","",IF('Calculations'!IA400="!AMBIG","!AMBIG",IF(COUNTIF('Calculations'!$HE$13:$HE$512,"="&amp;SUBSTITUTE(SUBSTITUTE(SUBSTITUTE('Calculations'!IA400,"~","~~"),"*","~*"),"?","~?"))&gt;1,"!AMBIG",IFERROR(INDEX('Calculations'!$HF$13:$HF$512,MATCH('Calculations'!IA400,'Calculations'!$HE$13:$HE$512,0)),""))))</x:f>
      </x:c>
      <x:c r="IC400" t="str">
        <x:f>IF('Calculations'!IB400="","",IF('Calculations'!IB400="!AMBIG","!AMBIG",IF(COUNTIF('Calculations'!$HE$13:$HE$512,"="&amp;SUBSTITUTE(SUBSTITUTE(SUBSTITUTE('Calculations'!IB400,"~","~~"),"*","~*"),"?","~?"))&gt;1,"!AMBIG",IFERROR(INDEX('Calculations'!$HF$13:$HF$512,MATCH('Calculations'!IB400,'Calculations'!$HE$13:$HE$512,0)),""))))</x:f>
      </x:c>
      <x:c r="ID400" t="str">
        <x:f>IF('Calculations'!IC400="","",IF('Calculations'!IC400="!AMBIG","!AMBIG",IF(COUNTIF('Calculations'!$HE$13:$HE$512,"="&amp;SUBSTITUTE(SUBSTITUTE(SUBSTITUTE('Calculations'!IC400,"~","~~"),"*","~*"),"?","~?"))&gt;1,"!AMBIG",IFERROR(INDEX('Calculations'!$HF$13:$HF$512,MATCH('Calculations'!IC400,'Calculations'!$HE$13:$HE$512,0)),""))))</x:f>
      </x:c>
      <x:c r="IE400" t="str">
        <x:f>IF('Calculations'!ID400="","",IF('Calculations'!ID400="!AMBIG","!AMBIG",IF(COUNTIF('Calculations'!$HE$13:$HE$512,"="&amp;SUBSTITUTE(SUBSTITUTE(SUBSTITUTE('Calculations'!ID400,"~","~~"),"*","~*"),"?","~?"))&gt;1,"!AMBIG",IFERROR(INDEX('Calculations'!$HF$13:$HF$512,MATCH('Calculations'!ID400,'Calculations'!$HE$13:$HE$512,0)),""))))</x:f>
      </x:c>
      <x:c r="IF400" t="str">
        <x:f>IF('Calculations'!IE400="","",IF('Calculations'!IE400="!AMBIG","!AMBIG",IF(COUNTIF('Calculations'!$HE$13:$HE$512,"="&amp;SUBSTITUTE(SUBSTITUTE(SUBSTITUTE('Calculations'!IE400,"~","~~"),"*","~*"),"?","~?"))&gt;1,"!AMBIG",IFERROR(INDEX('Calculations'!$HF$13:$HF$512,MATCH('Calculations'!IE400,'Calculations'!$HE$13:$HE$512,0)),""))))</x:f>
      </x:c>
      <x:c r="IG400" t="str">
        <x:f>IF('Calculations'!IF400="","",IF('Calculations'!IF400="!AMBIG","!AMBIG",IF(COUNTIF('Calculations'!$HE$13:$HE$512,"="&amp;SUBSTITUTE(SUBSTITUTE(SUBSTITUTE('Calculations'!IF400,"~","~~"),"*","~*"),"?","~?"))&gt;1,"!AMBIG",IFERROR(INDEX('Calculations'!$HF$13:$HF$512,MATCH('Calculations'!IF400,'Calculations'!$HE$13:$HE$512,0)),""))))</x:f>
      </x:c>
      <x:c r="IH400" t="str">
        <x:f>IF('Calculations'!IG400="","",IF('Calculations'!IG400="!AMBIG","!AMBIG",IF(COUNTIF('Calculations'!$HE$13:$HE$512,"="&amp;SUBSTITUTE(SUBSTITUTE(SUBSTITUTE('Calculations'!IG400,"~","~~"),"*","~*"),"?","~?"))&gt;1,"!AMBIG",IFERROR(INDEX('Calculations'!$HF$13:$HF$512,MATCH('Calculations'!IG400,'Calculations'!$HE$13:$HE$512,0)),""))))</x:f>
      </x:c>
      <x:c r="II400" t="str">
        <x:f>IF('Calculations'!IH400="","",IF('Calculations'!IH400="!AMBIG","!AMBIG",IF(COUNTIF('Calculations'!$HE$13:$HE$512,"="&amp;SUBSTITUTE(SUBSTITUTE(SUBSTITUTE('Calculations'!IH400,"~","~~"),"*","~*"),"?","~?"))&gt;1,"!AMBIG",IFERROR(INDEX('Calculations'!$HF$13:$HF$512,MATCH('Calculations'!IH400,'Calculations'!$HE$13:$HE$512,0)),""))))</x:f>
      </x:c>
      <x:c r="IJ400" t="str">
        <x:f>IF('Calculations'!EM400="","",IF('Calculations'!$EF$2="All",'Calculations'!HM400,IF('Calculations'!HL400=1,"",IFERROR(IF(MATCH('Calculations'!$EF$2,'Calculations'!HO400:II400,0)=1,'Calculations'!HE400,INDEX('Calculations'!HO400:II400,1,MATCH('Calculations'!$EF$2,'Calculations'!HO400:II400,0)-1)),""))))</x:f>
      </x:c>
      <x:c r="IK400" t="n">
        <x:f>IF(AND('Calculations'!EM400&lt;&gt;"",'Calculations'!$EF$2&lt;&gt;"All",'Calculations'!HF400='Calculations'!$EF$2,'Calculations'!HL400=0,'Calculations'!JD400&gt;0),MAX('Calculations'!$IK$12:IK399)+1,0)</x:f>
        <x:v>0</x:v>
      </x:c>
      <x:c r="JA400" t="n">
        <x:f>IF(OR(IFERROR(INDIRECT("'WCM Calibration Final'!$A$400")&lt;&gt;"",FALSE),IFERROR(INDIRECT("'WCM Calibration Final'!$B$400")&lt;&gt;"",FALSE),IFERROR(INDIRECT("'WCM Calibration Final'!$C$400")&lt;&gt;"",FALSE)),400,0)</x:f>
        <x:v>0</x:v>
      </x:c>
      <x:c r="JB400" t="n">
        <x:f>'Calculations'!JB399+IF('Calculations'!JA400&gt;0,1,0)</x:f>
        <x:v>0</x:v>
      </x:c>
      <x:c r="JC400" t="n">
        <x:f>IF(OR('Calculations'!HF400="",'Calculations'!HF400="!AMBIG"),0,IF('Dashboard'!$B$7="All",1,COUNTIFS('Calculations'!$HO$13:$HO$512,"="&amp;SUBSTITUTE(SUBSTITUTE(SUBSTITUTE('Calculations'!HF400,"~","~~"),"*","~*"),"?","~?"),'Calculations'!$HN$13:$HN$512,"="&amp;SUBSTITUTE(SUBSTITUTE(SUBSTITUTE('Dashboard'!$B$7,"~","~~"),"*","~*"),"?","~?"))+COUNTIFS('Calculations'!$HP$13:$HP$512,"="&amp;SUBSTITUTE(SUBSTITUTE(SUBSTITUTE('Calculations'!HF400,"~","~~"),"*","~*"),"?","~?"),'Calculations'!$HN$13:$HN$512,"="&amp;SUBSTITUTE(SUBSTITUTE(SUBSTITUTE('Dashboard'!$B$7,"~","~~"),"*","~*"),"?","~?"))+COUNTIFS('Calculations'!$HQ$13:$HQ$512,"="&amp;SUBSTITUTE(SUBSTITUTE(SUBSTITUTE('Calculations'!HF400,"~","~~"),"*","~*"),"?","~?"),'Calculations'!$HN$13:$HN$512,"="&amp;SUBSTITUTE(SUBSTITUTE(SUBSTITUTE('Dashboard'!$B$7,"~","~~"),"*","~*"),"?","~?"))+COUNTIFS('Calculations'!$HR$13:$HR$512,"="&amp;SUBSTITUTE(SUBSTITUTE(SUBSTITUTE('Calculations'!HF400,"~","~~"),"*","~*"),"?","~?"),'Calculations'!$HN$13:$HN$512,"="&amp;SUBSTITUTE(SUBSTITUTE(SUBSTITUTE('Dashboard'!$B$7,"~","~~"),"*","~*"),"?","~?"))+COUNTIFS('Calculations'!$HS$13:$HS$512,"="&amp;SUBSTITUTE(SUBSTITUTE(SUBSTITUTE('Calculations'!HF400,"~","~~"),"*","~*"),"?","~?"),'Calculations'!$HN$13:$HN$512,"="&amp;SUBSTITUTE(SUBSTITUTE(SUBSTITUTE('Dashboard'!$B$7,"~","~~"),"*","~*"),"?","~?"))+COUNTIFS('Calculations'!$HT$13:$HT$512,"="&amp;SUBSTITUTE(SUBSTITUTE(SUBSTITUTE('Calculations'!HF400,"~","~~"),"*","~*"),"?","~?"),'Calculations'!$HN$13:$HN$512,"="&amp;SUBSTITUTE(SUBSTITUTE(SUBSTITUTE('Dashboard'!$B$7,"~","~~"),"*","~*"),"?","~?"))+COUNTIFS('Calculations'!$HU$13:$HU$512,"="&amp;SUBSTITUTE(SUBSTITUTE(SUBSTITUTE('Calculations'!HF400,"~","~~"),"*","~*"),"?","~?"),'Calculations'!$HN$13:$HN$512,"="&amp;SUBSTITUTE(SUBSTITUTE(SUBSTITUTE('Dashboard'!$B$7,"~","~~"),"*","~*"),"?","~?"))+COUNTIFS('Calculations'!$HV$13:$HV$512,"="&amp;SUBSTITUTE(SUBSTITUTE(SUBSTITUTE('Calculations'!HF400,"~","~~"),"*","~*"),"?","~?"),'Calculations'!$HN$13:$HN$512,"="&amp;SUBSTITUTE(SUBSTITUTE(SUBSTITUTE('Dashboard'!$B$7,"~","~~"),"*","~*"),"?","~?"))+COUNTIFS('Calculations'!$HW$13:$HW$512,"="&amp;SUBSTITUTE(SUBSTITUTE(SUBSTITUTE('Calculations'!HF400,"~","~~"),"*","~*"),"?","~?"),'Calculations'!$HN$13:$HN$512,"="&amp;SUBSTITUTE(SUBSTITUTE(SUBSTITUTE('Dashboard'!$B$7,"~","~~"),"*","~*"),"?","~?"))+COUNTIFS('Calculations'!$HX$13:$HX$512,"="&amp;SUBSTITUTE(SUBSTITUTE(SUBSTITUTE('Calculations'!HF400,"~","~~"),"*","~*"),"?","~?"),'Calculations'!$HN$13:$HN$512,"="&amp;SUBSTITUTE(SUBSTITUTE(SUBSTITUTE('Dashboard'!$B$7,"~","~~"),"*","~*"),"?","~?"))+COUNTIFS('Calculations'!$HY$13:$HY$512,"="&amp;SUBSTITUTE(SUBSTITUTE(SUBSTITUTE('Calculations'!HF400,"~","~~"),"*","~*"),"?","~?"),'Calculations'!$HN$13:$HN$512,"="&amp;SUBSTITUTE(SUBSTITUTE(SUBSTITUTE('Dashboard'!$B$7,"~","~~"),"*","~*"),"?","~?"))+COUNTIFS('Calculations'!$HZ$13:$HZ$512,"="&amp;SUBSTITUTE(SUBSTITUTE(SUBSTITUTE('Calculations'!HF400,"~","~~"),"*","~*"),"?","~?"),'Calculations'!$HN$13:$HN$512,"="&amp;SUBSTITUTE(SUBSTITUTE(SUBSTITUTE('Dashboard'!$B$7,"~","~~"),"*","~*"),"?","~?"))+COUNTIFS('Calculations'!$IA$13:$IA$512,"="&amp;SUBSTITUTE(SUBSTITUTE(SUBSTITUTE('Calculations'!HF400,"~","~~"),"*","~*"),"?","~?"),'Calculations'!$HN$13:$HN$512,"="&amp;SUBSTITUTE(SUBSTITUTE(SUBSTITUTE('Dashboard'!$B$7,"~","~~"),"*","~*"),"?","~?"))+COUNTIFS('Calculations'!$IB$13:$IB$512,"="&amp;SUBSTITUTE(SUBSTITUTE(SUBSTITUTE('Calculations'!HF400,"~","~~"),"*","~*"),"?","~?"),'Calculations'!$HN$13:$HN$512,"="&amp;SUBSTITUTE(SUBSTITUTE(SUBSTITUTE('Dashboard'!$B$7,"~","~~"),"*","~*"),"?","~?"))+COUNTIFS('Calculations'!$IC$13:$IC$512,"="&amp;SUBSTITUTE(SUBSTITUTE(SUBSTITUTE('Calculations'!HF400,"~","~~"),"*","~*"),"?","~?"),'Calculations'!$HN$13:$HN$512,"="&amp;SUBSTITUTE(SUBSTITUTE(SUBSTITUTE('Dashboard'!$B$7,"~","~~"),"*","~*"),"?","~?"))+COUNTIFS('Calculations'!$ID$13:$ID$512,"="&amp;SUBSTITUTE(SUBSTITUTE(SUBSTITUTE('Calculations'!HF400,"~","~~"),"*","~*"),"?","~?"),'Calculations'!$HN$13:$HN$512,"="&amp;SUBSTITUTE(SUBSTITUTE(SUBSTITUTE('Dashboard'!$B$7,"~","~~"),"*","~*"),"?","~?"))+COUNTIFS('Calculations'!$IE$13:$IE$512,"="&amp;SUBSTITUTE(SUBSTITUTE(SUBSTITUTE('Calculations'!HF400,"~","~~"),"*","~*"),"?","~?"),'Calculations'!$HN$13:$HN$512,"="&amp;SUBSTITUTE(SUBSTITUTE(SUBSTITUTE('Dashboard'!$B$7,"~","~~"),"*","~*"),"?","~?"))+COUNTIFS('Calculations'!$IF$13:$IF$512,"="&amp;SUBSTITUTE(SUBSTITUTE(SUBSTITUTE('Calculations'!HF400,"~","~~"),"*","~*"),"?","~?"),'Calculations'!$HN$13:$HN$512,"="&amp;SUBSTITUTE(SUBSTITUTE(SUBSTITUTE('Dashboard'!$B$7,"~","~~"),"*","~*"),"?","~?"))+COUNTIFS('Calculations'!$IG$13:$IG$512,"="&amp;SUBSTITUTE(SUBSTITUTE(SUBSTITUTE('Calculations'!HF400,"~","~~"),"*","~*"),"?","~?"),'Calculations'!$HN$13:$HN$512,"="&amp;SUBSTITUTE(SUBSTITUTE(SUBSTITUTE('Dashboard'!$B$7,"~","~~"),"*","~*"),"?","~?"))+COUNTIFS('Calculations'!$IH$13:$IH$512,"="&amp;SUBSTITUTE(SUBSTITUTE(SUBSTITUTE('Calculations'!HF400,"~","~~"),"*","~*"),"?","~?"),'Calculations'!$HN$13:$HN$512,"="&amp;SUBSTITUTE(SUBSTITUTE(SUBSTITUTE('Dashboard'!$B$7,"~","~~"),"*","~*"),"?","~?"))))</x:f>
        <x:v>0</x:v>
      </x:c>
      <x:c r="JD400" t="n">
        <x:f>IF('Calculations'!EM400="",0,IF('Dashboard'!$B$7="All",1,IF('Calculations'!HN400='Dashboard'!$B$7,1,0)+IFERROR(INDEX('Calculations'!$JC$13:$JC$512,MATCH('Calculations'!HE400,'Calculations'!$HF$13:$HF$512,0)),0)))</x:f>
        <x:v>0</x:v>
      </x:c>
      <x:c r="JE400" t="n">
        <x:f>IF(AND('Calculations'!EM400&lt;&gt;"",'Calculations'!$JJ$2&lt;&gt;"All",'Calculations'!$JJ$2&lt;&gt;"",'Calculations'!HF400='Calculations'!$JJ$2,'Calculations'!HL400=0,'Calculations'!JD400&gt;0),MAX('Calculations'!$JE$12:JE399)+1,0)</x:f>
        <x:v>0</x:v>
      </x:c>
      <x:c r="JF400" t="str">
        <x:f>IF('Calculations'!EM400="","",IFERROR(IF(INDEX(INDIRECT("'WCM Calibration Final'!$G$1:$G$2000"),'Calculations'!$EM400)="","",TRIM(INDEX(INDIRECT("'WCM Calibration Final'!$G$1:$G$2000"),'Calculations'!$EM400)&amp;"")),""))</x:f>
      </x:c>
      <x:c r="JQ400" t="n">
        <x:f>IF(OR('Calculations'!BM400=0,NOT('Calculations'!$AG$2),'Calculations'!$AG$8&gt;0),0,IF(OR('Dashboard'!$B$7="All",'Calculations'!HN400='Dashboard'!$B$7),IF('Calculations'!$JJ$2="All",1,IF(AND('Calculations'!HF400='Calculations'!$JJ$2,'Calculations'!HL400=0),1,0)),0))</x:f>
        <x:v>0</x:v>
      </x:c>
    </x:row>
    <x:row r="401">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t="n">
        <x:f>IF('Calculations'!$EM401="",0,IF(OR(IFERROR(INDEX(INDIRECT("'WCM Calibration Final'!$A$1:$A$2000"),'Calculations'!$EM401)&lt;&gt;"",FALSE),IFERROR(INDEX(INDIRECT("'WCM Calibration Final'!$B$1:$B$2000"),'Calculations'!$EM401)&lt;&gt;"",FALSE),IFERROR(INDEX(INDIRECT("'WCM Calibration Final'!$C$1:$C$2000"),'Calculations'!$EM401)&lt;&gt;"",FALSE)),1,0))</x:f>
        <x:v>0</x:v>
      </x:c>
      <x:c r="BN401" s="4" t="n">
        <x:f>IF(AND('Calculations'!BM401=1,'Calculations'!$AG$2,'Calculations'!$EN401=1),1,0)</x:f>
        <x:v>0</x:v>
      </x:c>
      <x:c r="BO401" s="4" t="str">
        <x:f>IF('Calculations'!BM401=0,"",IFERROR(IF(AND(VALUE(INDEX(INDIRECT("'WCM Calibration Final'!$K$1:$K$2000"),'Calculations'!$EM401))&gt;=1,VALUE(INDEX(INDIRECT("'WCM Calibration Final'!$K$1:$K$2000"),'Calculations'!$EM401))&lt;=4,MOD(VALUE(INDEX(INDIRECT("'WCM Calibration Final'!$K$1:$K$2000"),'Calculations'!$EM401)),1)=0),VALUE(INDEX(INDIRECT("'WCM Calibration Final'!$K$1:$K$2000"),'Calculations'!$EM401)),""),""))</x:f>
      </x:c>
      <x:c r="BP401" s="4" t="str">
        <x:f>IF('Calculations'!BM401=0,"",IFERROR(IF(AND(VALUE(INDEX(INDIRECT("'WCM Calibration Final'!$L$1:$L$2000"),'Calculations'!$EM401))&gt;=1,VALUE(INDEX(INDIRECT("'WCM Calibration Final'!$L$1:$L$2000"),'Calculations'!$EM401))&lt;=4,MOD(VALUE(INDEX(INDIRECT("'WCM Calibration Final'!$L$1:$L$2000"),'Calculations'!$EM401)),1)=0),VALUE(INDEX(INDIRECT("'WCM Calibration Final'!$L$1:$L$2000"),'Calculations'!$EM401)),""),""))</x:f>
      </x:c>
      <x:c r="BQ401" s="4"/>
      <x:c r="BR401" s="4"/>
      <x:c r="BS401" s="4"/>
      <x:c r="BT401" s="4" t="n">
        <x:f>IF(AND('Calculations'!BM401=1,ISNUMBER('Calculations'!BO401),ISNUMBER('Calculations'!BP401)),1,0)</x:f>
        <x:v>0</x:v>
      </x:c>
      <x:c r="BU401" s="4" t="str">
        <x:f>IF('Calculations'!BM401=0,"",'Calculations'!$EO401)</x:f>
      </x:c>
      <x:c r="BV401" s="4" t="str">
        <x:f>IF('Calculations'!BM401=0,"",IFERROR(IF(OR(INDEX(INDIRECT("'WCM Calibration Final'!$H$1:$H$2000"),'Calculations'!$EM401)="MANAGING DIRECTOR",INDEX(INDIRECT("'WCM Calibration Final'!$H$1:$H$2000"),'Calculations'!$EM401)="DIRECTOR",INDEX(INDIRECT("'WCM Calibration Final'!$H$1:$H$2000"),'Calculations'!$EM401)="SENIOR VICE PRESIDENT",INDEX(INDIRECT("'WCM Calibration Final'!$H$1:$H$2000"),'Calculations'!$EM401)="VICE PRESIDENT",INDEX(INDIRECT("'WCM Calibration Final'!$H$1:$H$2000"),'Calculations'!$EM401)="ASSISTANT VICE PRESIDENT",INDEX(INDIRECT("'WCM Calibration Final'!$H$1:$H$2000"),'Calculations'!$EM401)="OFFICER"),UPPER(INDEX(INDIRECT("'WCM Calibration Final'!$H$1:$H$2000"),'Calculations'!$EM401)),"Other"),"Other"))</x:f>
      </x:c>
      <x:c r="BW401" s="4"/>
      <x:c r="BX401" s="4"/>
      <x:c r="BY401" s="4" t="n">
        <x:f>IF(AND('Calculations'!BM401=1,'Calculations'!BU401&lt;&gt;"",COUNTIF('Calculations'!$BU$12:BU401,'Calculations'!BU401)=1),MAX('Calculations'!$BY$11:BY400)+1,0)</x:f>
        <x:v>0</x:v>
      </x:c>
      <x:c r="BZ401" s="4" t="str">
        <x:f>IF('Dashboard'!$E$67="What",'Calculations'!BO401,'Calculations'!BP401)</x:f>
      </x:c>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t="str">
        <x:f>IF(390&gt;MAX('Calculations'!$HI$13:$HI$512),"",INDEX('Calculations'!$HN$13:$HN$512,MATCH(390,'Calculations'!$HI$13:$HI$512,0)))</x:f>
      </x:c>
      <x:c r="DB401" s="4" t="str">
        <x:f>IF(390&gt;MAX('Calculations'!$HH$13:$HH$512),"",INDEX('Calculations'!$HJ$13:$HJ$512,MATCH(390,'Calculations'!$HH$13:$HH$512,0)))</x:f>
      </x:c>
      <x:c r="DC401" s="4" t="str">
        <x:f>IF(ROW()-11&gt;MAX('Calculations'!$BY$13:$BY$512),"",INDEX('Calculations'!$BU$13:$BU$512,MATCH(ROW()-11,'Calculations'!$BY$13:$BY$512,0)))</x:f>
      </x:c>
      <x:c r="DD401" s="4" t="str">
        <x:f>IF(390&gt;MAX('Calculations'!$IK$13:$IK$512),"",INDEX('Calculations'!$HK$13:$HK$512,MATCH(390,'Calculations'!$IK$13:$IK$512,0)))</x:f>
      </x:c>
      <x:c r="DE401" s="4" t="str">
        <x:f>'Calculations'!DC401</x:f>
      </x:c>
      <x:c r="DF401" s="4" t="str">
        <x:f>IF('Calculations'!DE401="","",COUNTIFS('Calculations'!$BN$13:$BN$512,1,'Calculations'!$BU$13:$BU$512,'Calculations'!DE401))</x:f>
      </x:c>
      <x:c r="DG401" s="4" t="str">
        <x:f>IF('Calculations'!DE401="","",COUNTIFS('Calculations'!$BN$13:$BN$512,1,'Calculations'!$BU$13:$BU$512,'Calculations'!DE401,'Calculations'!$BT$13:$BT$512,1))</x:f>
      </x:c>
      <x:c r="DH401" s="4" t="str">
        <x:f>IF('Calculations'!DE401="","",'Calculations'!DF401-'Calculations'!DG401)</x:f>
      </x:c>
      <x:c r="DI401" s="4" t="str">
        <x:f>IF(OR('Calculations'!DE401="",'Calculations'!DF401=0),"",'Calculations'!DG401/'Calculations'!DF401)</x:f>
      </x:c>
      <x:c r="DJ401" s="4" t="str">
        <x:f>IF('Calculations'!DE401="","",COUNTIFS('Calculations'!$BN$13:$BN$512,1,'Calculations'!$BU$13:$BU$512,'Calculations'!DE401,'Calculations'!$BT$13:$BT$512,1,'Calculations'!$EE$13:$EE$512,"High"))</x:f>
      </x:c>
      <x:c r="DK401" s="4" t="str">
        <x:f>IF('Calculations'!DE401="","",COUNTIFS('Calculations'!$BN$13:$BN$512,1,'Calculations'!$BU$13:$BU$512,'Calculations'!DE401,'Calculations'!$BT$13:$BT$512,1,'Calculations'!$EE$13:$EE$512,"Strong"))</x:f>
      </x:c>
      <x:c r="DL401" s="4" t="str">
        <x:f>IF('Calculations'!DE401="","",COUNTIFS('Calculations'!$BN$13:$BN$512,1,'Calculations'!$BU$13:$BU$512,'Calculations'!DE401,'Calculations'!$BT$13:$BT$512,1,'Calculations'!$EE$13:$EE$512,"Solid"))</x:f>
      </x:c>
      <x:c r="DM401" s="4" t="str">
        <x:f>IF('Calculations'!DE401="","",COUNTIFS('Calculations'!$BN$13:$BN$512,1,'Calculations'!$BU$13:$BU$512,'Calculations'!DE401,'Calculations'!$BT$13:$BT$512,1,'Calculations'!$EE$13:$EE$512,"Low"))</x:f>
      </x:c>
      <x:c r="DN401" s="4" t="str">
        <x:f>IF('Calculations'!DE401="","",COUNTIFS('Calculations'!$BN$13:$BN$512,1,'Calculations'!$BU$13:$BU$512,'Calculations'!DE401,'Calculations'!$EP$13:$EP$512,1))</x:f>
      </x:c>
      <x:c r="DO401" s="4" t="str">
        <x:f>IF(OR('Calculations'!DE401="",'Calculations'!DG401=0),"",('Calculations'!DJ401+'Calculations'!DK401)/'Calculations'!DG401)</x:f>
      </x:c>
      <x:c r="DP401" s="4" t="n">
        <x:f>IF(AND('Calculations'!DE401&lt;&gt;"",'Calculations'!DF401&gt;0),COUNTIF('Calculations'!$DF$12:DF401,"&gt;0"),0)</x:f>
        <x:v>0</x:v>
      </x:c>
      <x:c r="DQ401" s="4" t="str">
        <x:f>IF(390&gt;MAX('Calculations'!$HH$13:$HH$512),"",INDEX('Calculations'!$HF$13:$HF$512,MATCH(390,'Calculations'!$HH$13:$HH$512,0)))</x:f>
      </x:c>
      <x:c r="DR401" s="4" t="str">
        <x:f>IF(390&gt;MAX('Calculations'!$IK$13:$IK$512),"",INDEX('Calculations'!$HE$13:$HE$512,MATCH(390,'Calculations'!$IK$13:$IK$512,0)))</x:f>
      </x:c>
      <x:c r="DS401" s="4"/>
      <x:c r="DT401" s="4"/>
      <x:c r="DU401" s="4"/>
      <x:c r="DV401" s="4"/>
      <x:c r="DW401" s="4"/>
      <x:c r="DX401" s="4"/>
      <x:c r="DY401" s="4"/>
      <x:c r="DZ401" s="4"/>
      <x:c r="EA401" s="4"/>
      <x:c r="EB401" s="4"/>
      <x:c r="EC401" s="4"/>
      <x:c r="ED401" s="4"/>
      <x:c r="EE401" s="4" t="str">
        <x:f>IF('Calculations'!BT401=0,"Not Rated",IF(OR('Calculations'!BO401&gt;=4,'Calculations'!BP401&gt;=4),"Low",IF('Calculations'!BO401+'Calculations'!BP401&lt;=3,"High",IF('Calculations'!BO401+'Calculations'!BP401&lt;=4,"Strong","Solid"))))</x:f>
        <x:v>Not Rated</x:v>
      </x:c>
      <x:c r="EF401" s="4"/>
      <x:c r="EG401" s="4"/>
      <x:c r="EH401" s="4"/>
      <x:c r="EI401" s="4"/>
      <x:c r="EJ401" s="4"/>
      <x:c r="EK401" s="4"/>
      <x:c r="EL401" s="4"/>
      <x:c r="EM401" s="4" t="str">
        <x:f>IF(389&gt;'Calculations'!$JB$2000,"",INDEX('Calculations'!$JA$12:$JA$2000,MATCH(389,'Calculations'!$JB$12:$JB$2000,0)))</x:f>
      </x:c>
      <x:c r="EN401" s="4" t="n">
        <x:f>IF(OR('Calculations'!EM401="",'Calculations'!$AG$8&gt;0,AND('Calculations'!$EF$2&lt;&gt;"All",'Calculations'!HE401='Calculations'!$EF$2),AND('Calculations'!$EF$3&lt;&gt;"All",'Calculations'!HE401='Calculations'!$EF$3)),0,IF(OR('Dashboard'!$B$7="All",'Calculations'!HN401='Dashboard'!$B$7),IF('Calculations'!$EF$2="All",1,IF('Calculations'!HL401&gt;0,0,IF(COUNTIF('Calculations'!HO401:II401,"="&amp;SUBSTITUTE(SUBSTITUTE(SUBSTITUTE('Calculations'!$EF$2,"~","~~"),"*","~*"),"?","~?"))=0,0,IF('Calculations'!$EF$3="All",1,IF(COUNTIF('Calculations'!HO401:II401,"="&amp;SUBSTITUTE(SUBSTITUTE(SUBSTITUTE('Calculations'!$EF$3,"~","~~"),"*","~*"),"?","~?"))&gt;0,1,0))))),0))</x:f>
        <x:v>0</x:v>
      </x:c>
      <x:c r="EO401" s="4" t="str">
        <x:f>IF('Calculations'!IJ401="","",IF('Calculations'!IJ401="!UNRESOLVED","Unresolved hierarchy",IFERROR(INDEX('Calculations'!$HK$13:$HK$512,MATCH('Calculations'!IJ401,'Calculations'!$HE$13:$HE$512,0)),IFERROR(INDEX('Calculations'!$HJ$13:$HJ$512,MATCH('Calculations'!IJ401,'Calculations'!$HF$13:$HF$512,0)),'Calculations'!IJ401))))</x:f>
      </x:c>
      <x:c r="EP401" s="4" t="n">
        <x:f>IF(AND('Calculations'!EM401&lt;&gt;"",'Calculations'!HF401='Calculations'!IJ401),1,0)</x:f>
        <x:v>0</x:v>
      </x:c>
      <x:c r="EQ401" s="4"/>
      <x:c r="ER401" s="4"/>
      <x:c r="ES401" s="4"/>
      <x:c r="ET401" s="4"/>
      <x:c r="EU401" s="4"/>
      <x:c r="EV401" s="4"/>
      <x:c r="EW401" s="4"/>
      <x:c r="EX401" s="4"/>
      <x:c r="EY401" s="4"/>
      <x:c r="EZ401" s="4"/>
      <x:c r="FA401" s="4"/>
      <x:c r="FB401" s="4"/>
      <x:c r="FC401" s="4"/>
      <x:c r="FD401" s="4"/>
      <x:c r="FE401" s="4"/>
      <x:c r="FF401" s="4"/>
      <x:c r="FG401" s="4"/>
      <x:c r="FH401" s="4"/>
      <x:c r="FI401" s="4"/>
      <x:c r="FJ401" s="4"/>
      <x:c r="FK401" s="4"/>
      <x:c r="FL401" s="4"/>
      <x:c r="FM401" s="4"/>
      <x:c r="FN401" s="4"/>
      <x:c r="FO401" s="4"/>
      <x:c r="HE401" t="str">
        <x:f>IF('Calculations'!EM401="","",IF(IFERROR(IF(INDEX(INDIRECT("'WCM Calibration Final'!$A$1:$A$2000"),'Calculations'!$EM401)="","",TRIM(INDEX(INDIRECT("'WCM Calibration Final'!$A$1:$A$2000"),'Calculations'!$EM401)&amp;"")),"")&lt;&gt;"","G:"&amp;IFERROR(TEXT(1*INDEX(INDIRECT("'WCM Calibration Final'!$A$1:$A$2000"),'Calculations'!$EM401),"0"),UPPER(IFERROR(IF(INDEX(INDIRECT("'WCM Calibration Final'!$A$1:$A$2000"),'Calculations'!$EM401)="","",TRIM(INDEX(INDIRECT("'WCM Calibration Final'!$A$1:$A$2000"),'Calculations'!$EM401)&amp;"")),""))),IF(IFERROR(IF(INDEX(INDIRECT("'WCM Calibration Final'!$C$1:$C$2000"),'Calculations'!$EM401)="","",TRIM(INDEX(INDIRECT("'WCM Calibration Final'!$C$1:$C$2000"),'Calculations'!$EM401)&amp;"")),"")&lt;&gt;"","S:"&amp;UPPER(IFERROR(IF(INDEX(INDIRECT("'WCM Calibration Final'!$C$1:$C$2000"),'Calculations'!$EM401)="","",TRIM(INDEX(INDIRECT("'WCM Calibration Final'!$C$1:$C$2000"),'Calculations'!$EM401)&amp;"")),"")),"R:"&amp;'Calculations'!EM401)))</x:f>
      </x:c>
      <x:c r="HF401" t="str">
        <x:f>IF('Calculations'!EM401="","",IF(IFERROR(IF(INDEX(INDIRECT("'WCM Calibration Final'!$D$1:$D$2000"),'Calculations'!$EM401)="","",TRIM(INDEX(INDIRECT("'WCM Calibration Final'!$D$1:$D$2000"),'Calculations'!$EM401)&amp;"")),"")&lt;&gt;"","G:"&amp;IFERROR(TEXT(1*INDEX(INDIRECT("'WCM Calibration Final'!$D$1:$D$2000"),'Calculations'!$EM401),"0"),UPPER(IFERROR(IF(INDEX(INDIRECT("'WCM Calibration Final'!$D$1:$D$2000"),'Calculations'!$EM401)="","",TRIM(INDEX(INDIRECT("'WCM Calibration Final'!$D$1:$D$2000"),'Calculations'!$EM401)&amp;"")),""))),IF(IFERROR(IF(INDEX(INDIRECT("'WCM Calibration Final'!$E$1:$E$2000"),'Calculations'!$EM401)="","",TRIM(INDEX(INDIRECT("'WCM Calibration Final'!$E$1:$E$2000"),'Calculations'!$EM401)&amp;"")),"")="","",IF(COUNTIF('Calculations'!$HG$13:$HG$512,"="&amp;SUBSTITUTE(SUBSTITUTE(SUBSTITUTE(IFERROR(IF(INDEX(INDIRECT("'WCM Calibration Final'!$E$1:$E$2000"),'Calculations'!$EM401)="","",TRIM(INDEX(INDIRECT("'WCM Calibration Final'!$E$1:$E$2000"),'Calculations'!$EM401)&amp;"")),""),"~","~~"),"*","~*"),"?","~?"))=1,INDEX('Calculations'!$HE$13:$HE$512,MATCH(IFERROR(IF(INDEX(INDIRECT("'WCM Calibration Final'!$E$1:$E$2000"),'Calculations'!$EM401)="","",TRIM(INDEX(INDIRECT("'WCM Calibration Final'!$E$1:$E$2000"),'Calculations'!$EM401)&amp;"")),""),'Calculations'!$HG$13:$HG$512,0)),IF(COUNTIF('Calculations'!$HG$13:$HG$512,"="&amp;SUBSTITUTE(SUBSTITUTE(SUBSTITUTE(IFERROR(IF(INDEX(INDIRECT("'WCM Calibration Final'!$E$1:$E$2000"),'Calculations'!$EM401)="","",TRIM(INDEX(INDIRECT("'WCM Calibration Final'!$E$1:$E$2000"),'Calculations'!$EM401)&amp;"")),""),"~","~~"),"*","~*"),"?","~?"))&gt;1,"!AMBIG","X:"&amp;IFERROR(IF(INDEX(INDIRECT("'WCM Calibration Final'!$E$1:$E$2000"),'Calculations'!$EM401)="","",TRIM(INDEX(INDIRECT("'WCM Calibration Final'!$E$1:$E$2000"),'Calculations'!$EM401)&amp;"")),""))))))</x:f>
      </x:c>
      <x:c r="HG401" t="str">
        <x:f>IF('Calculations'!EM401="","",IFERROR(IF(INDEX(INDIRECT("'WCM Calibration Final'!$B$1:$B$2000"),'Calculations'!$EM401)="","",TRIM(INDEX(INDIRECT("'WCM Calibration Final'!$B$1:$B$2000"),'Calculations'!$EM401)&amp;"")),""))</x:f>
      </x:c>
      <x:c r="HH401" t="n">
        <x:f>IF(AND('Calculations'!JC401&gt;0,COUNTIF('Calculations'!$HF$12:HF401,"="&amp;SUBSTITUTE(SUBSTITUTE(SUBSTITUTE('Calculations'!HF401,"~","~~"),"*","~*"),"?","~?"))=1),MAX('Calculations'!$HH$12:HH400)+1,0)</x:f>
        <x:v>0</x:v>
      </x:c>
      <x:c r="HI401" t="n">
        <x:f>IF(AND('Calculations'!HN401&lt;&gt;"",COUNTIF('Calculations'!$HN$12:HN401,"="&amp;SUBSTITUTE(SUBSTITUTE(SUBSTITUTE('Calculations'!HN401,"~","~~"),"*","~*"),"?","~?"))=1),MAX('Calculations'!$HI$12:HI400)+1,0)</x:f>
        <x:v>0</x:v>
      </x:c>
      <x:c r="HJ401" t="str">
        <x:f>IF('Calculations'!HF401="","",IF(COUNTIF('Calculations'!$HE$13:$HE$512,"="&amp;SUBSTITUTE(SUBSTITUTE(SUBSTITUTE('Calculations'!HF401,"~","~~"),"*","~*"),"?","~?"))=1,INDEX('Calculations'!$HK$13:$HK$512,MATCH('Calculations'!HF401,'Calculations'!$HE$13:$HE$512,0)),IFERROR(IF(INDEX(INDIRECT("'WCM Calibration Final'!$E$1:$E$2000"),'Calculations'!$EM401)="","",TRIM(INDEX(INDIRECT("'WCM Calibration Final'!$E$1:$E$2000"),'Calculations'!$EM401)&amp;"")),"")&amp;" ["&amp;'Calculations'!HF401&amp;"]"))</x:f>
      </x:c>
      <x:c r="HK401" t="str">
        <x:f>IF('Calculations'!EM401="","",'Calculations'!HG401&amp;" ["&amp;'Calculations'!HE401&amp;"]")</x:f>
      </x:c>
      <x:c r="HL401" t="n">
        <x:f>IF('Calculations'!EM401="",0,IF(OR('Calculations'!II401&lt;&gt;"",COUNTIF('Calculations'!$HE$13:$HE$512,"="&amp;SUBSTITUTE(SUBSTITUTE(SUBSTITUTE('Calculations'!HE401,"~","~~"),"*","~*"),"?","~?"))&gt;1),1,0))</x:f>
        <x:v>0</x:v>
      </x:c>
      <x:c r="HM401" t="str">
        <x:f>IF('Calculations'!EM401="","",IF('Calculations'!HL401=1,"!UNRESOLVED",IF('Calculations'!IH401&lt;&gt;"",'Calculations'!IH401,IF('Calculations'!IG401&lt;&gt;"",'Calculations'!IG401,IF('Calculations'!IF401&lt;&gt;"",'Calculations'!IF401,IF('Calculations'!IE401&lt;&gt;"",'Calculations'!IE401,IF('Calculations'!ID401&lt;&gt;"",'Calculations'!ID401,IF('Calculations'!IC401&lt;&gt;"",'Calculations'!IC401,IF('Calculations'!IB401&lt;&gt;"",'Calculations'!IB401,IF('Calculations'!IA401&lt;&gt;"",'Calculations'!IA401,IF('Calculations'!HZ401&lt;&gt;"",'Calculations'!HZ401,IF('Calculations'!HY401&lt;&gt;"",'Calculations'!HY401,IF('Calculations'!HX401&lt;&gt;"",'Calculations'!HX401,IF('Calculations'!HW401&lt;&gt;"",'Calculations'!HW401,IF('Calculations'!HV401&lt;&gt;"",'Calculations'!HV401,IF('Calculations'!HU401&lt;&gt;"",'Calculations'!HU401,IF('Calculations'!HT401&lt;&gt;"",'Calculations'!HT401,IF('Calculations'!HS401&lt;&gt;"",'Calculations'!HS401,IF('Calculations'!HR401&lt;&gt;"",'Calculations'!HR401,IF('Calculations'!HQ401&lt;&gt;"",'Calculations'!HQ401,IF('Calculations'!HP401&lt;&gt;"",'Calculations'!HP401,IF('Calculations'!HO401&lt;&gt;"",'Calculations'!HO401,'Calculations'!HE401))))))))))))))))))))))</x:f>
      </x:c>
      <x:c r="HN401" t="str">
        <x:f>IF('Calculations'!EM401="","",IF(IFERROR(IF(INDEX(INDIRECT("'WCM Calibration Final'!$F$1:$F$2000"),'Calculations'!$EM401)="","",TRIM(INDEX(INDIRECT("'WCM Calibration Final'!$F$1:$F$2000"),'Calculations'!$EM401)&amp;"")),"")="","(Blank)",IFERROR(IF(INDEX(INDIRECT("'WCM Calibration Final'!$F$1:$F$2000"),'Calculations'!$EM401)="","",TRIM(INDEX(INDIRECT("'WCM Calibration Final'!$F$1:$F$2000"),'Calculations'!$EM401)&amp;"")),"")))</x:f>
      </x:c>
      <x:c r="HO401" t="str">
        <x:f>'Calculations'!HF401</x:f>
      </x:c>
      <x:c r="HP401" t="str">
        <x:f>IF('Calculations'!HO401="","",IF('Calculations'!HO401="!AMBIG","!AMBIG",IF(COUNTIF('Calculations'!$HE$13:$HE$512,"="&amp;SUBSTITUTE(SUBSTITUTE(SUBSTITUTE('Calculations'!HO401,"~","~~"),"*","~*"),"?","~?"))&gt;1,"!AMBIG",IFERROR(INDEX('Calculations'!$HF$13:$HF$512,MATCH('Calculations'!HO401,'Calculations'!$HE$13:$HE$512,0)),""))))</x:f>
      </x:c>
      <x:c r="HQ401" t="str">
        <x:f>IF('Calculations'!HP401="","",IF('Calculations'!HP401="!AMBIG","!AMBIG",IF(COUNTIF('Calculations'!$HE$13:$HE$512,"="&amp;SUBSTITUTE(SUBSTITUTE(SUBSTITUTE('Calculations'!HP401,"~","~~"),"*","~*"),"?","~?"))&gt;1,"!AMBIG",IFERROR(INDEX('Calculations'!$HF$13:$HF$512,MATCH('Calculations'!HP401,'Calculations'!$HE$13:$HE$512,0)),""))))</x:f>
      </x:c>
      <x:c r="HR401" t="str">
        <x:f>IF('Calculations'!HQ401="","",IF('Calculations'!HQ401="!AMBIG","!AMBIG",IF(COUNTIF('Calculations'!$HE$13:$HE$512,"="&amp;SUBSTITUTE(SUBSTITUTE(SUBSTITUTE('Calculations'!HQ401,"~","~~"),"*","~*"),"?","~?"))&gt;1,"!AMBIG",IFERROR(INDEX('Calculations'!$HF$13:$HF$512,MATCH('Calculations'!HQ401,'Calculations'!$HE$13:$HE$512,0)),""))))</x:f>
      </x:c>
      <x:c r="HS401" t="str">
        <x:f>IF('Calculations'!HR401="","",IF('Calculations'!HR401="!AMBIG","!AMBIG",IF(COUNTIF('Calculations'!$HE$13:$HE$512,"="&amp;SUBSTITUTE(SUBSTITUTE(SUBSTITUTE('Calculations'!HR401,"~","~~"),"*","~*"),"?","~?"))&gt;1,"!AMBIG",IFERROR(INDEX('Calculations'!$HF$13:$HF$512,MATCH('Calculations'!HR401,'Calculations'!$HE$13:$HE$512,0)),""))))</x:f>
      </x:c>
      <x:c r="HT401" t="str">
        <x:f>IF('Calculations'!HS401="","",IF('Calculations'!HS401="!AMBIG","!AMBIG",IF(COUNTIF('Calculations'!$HE$13:$HE$512,"="&amp;SUBSTITUTE(SUBSTITUTE(SUBSTITUTE('Calculations'!HS401,"~","~~"),"*","~*"),"?","~?"))&gt;1,"!AMBIG",IFERROR(INDEX('Calculations'!$HF$13:$HF$512,MATCH('Calculations'!HS401,'Calculations'!$HE$13:$HE$512,0)),""))))</x:f>
      </x:c>
      <x:c r="HU401" t="str">
        <x:f>IF('Calculations'!HT401="","",IF('Calculations'!HT401="!AMBIG","!AMBIG",IF(COUNTIF('Calculations'!$HE$13:$HE$512,"="&amp;SUBSTITUTE(SUBSTITUTE(SUBSTITUTE('Calculations'!HT401,"~","~~"),"*","~*"),"?","~?"))&gt;1,"!AMBIG",IFERROR(INDEX('Calculations'!$HF$13:$HF$512,MATCH('Calculations'!HT401,'Calculations'!$HE$13:$HE$512,0)),""))))</x:f>
      </x:c>
      <x:c r="HV401" t="str">
        <x:f>IF('Calculations'!HU401="","",IF('Calculations'!HU401="!AMBIG","!AMBIG",IF(COUNTIF('Calculations'!$HE$13:$HE$512,"="&amp;SUBSTITUTE(SUBSTITUTE(SUBSTITUTE('Calculations'!HU401,"~","~~"),"*","~*"),"?","~?"))&gt;1,"!AMBIG",IFERROR(INDEX('Calculations'!$HF$13:$HF$512,MATCH('Calculations'!HU401,'Calculations'!$HE$13:$HE$512,0)),""))))</x:f>
      </x:c>
      <x:c r="HW401" t="str">
        <x:f>IF('Calculations'!HV401="","",IF('Calculations'!HV401="!AMBIG","!AMBIG",IF(COUNTIF('Calculations'!$HE$13:$HE$512,"="&amp;SUBSTITUTE(SUBSTITUTE(SUBSTITUTE('Calculations'!HV401,"~","~~"),"*","~*"),"?","~?"))&gt;1,"!AMBIG",IFERROR(INDEX('Calculations'!$HF$13:$HF$512,MATCH('Calculations'!HV401,'Calculations'!$HE$13:$HE$512,0)),""))))</x:f>
      </x:c>
      <x:c r="HX401" t="str">
        <x:f>IF('Calculations'!HW401="","",IF('Calculations'!HW401="!AMBIG","!AMBIG",IF(COUNTIF('Calculations'!$HE$13:$HE$512,"="&amp;SUBSTITUTE(SUBSTITUTE(SUBSTITUTE('Calculations'!HW401,"~","~~"),"*","~*"),"?","~?"))&gt;1,"!AMBIG",IFERROR(INDEX('Calculations'!$HF$13:$HF$512,MATCH('Calculations'!HW401,'Calculations'!$HE$13:$HE$512,0)),""))))</x:f>
      </x:c>
      <x:c r="HY401" t="str">
        <x:f>IF('Calculations'!HX401="","",IF('Calculations'!HX401="!AMBIG","!AMBIG",IF(COUNTIF('Calculations'!$HE$13:$HE$512,"="&amp;SUBSTITUTE(SUBSTITUTE(SUBSTITUTE('Calculations'!HX401,"~","~~"),"*","~*"),"?","~?"))&gt;1,"!AMBIG",IFERROR(INDEX('Calculations'!$HF$13:$HF$512,MATCH('Calculations'!HX401,'Calculations'!$HE$13:$HE$512,0)),""))))</x:f>
      </x:c>
      <x:c r="HZ401" t="str">
        <x:f>IF('Calculations'!HY401="","",IF('Calculations'!HY401="!AMBIG","!AMBIG",IF(COUNTIF('Calculations'!$HE$13:$HE$512,"="&amp;SUBSTITUTE(SUBSTITUTE(SUBSTITUTE('Calculations'!HY401,"~","~~"),"*","~*"),"?","~?"))&gt;1,"!AMBIG",IFERROR(INDEX('Calculations'!$HF$13:$HF$512,MATCH('Calculations'!HY401,'Calculations'!$HE$13:$HE$512,0)),""))))</x:f>
      </x:c>
      <x:c r="IA401" t="str">
        <x:f>IF('Calculations'!HZ401="","",IF('Calculations'!HZ401="!AMBIG","!AMBIG",IF(COUNTIF('Calculations'!$HE$13:$HE$512,"="&amp;SUBSTITUTE(SUBSTITUTE(SUBSTITUTE('Calculations'!HZ401,"~","~~"),"*","~*"),"?","~?"))&gt;1,"!AMBIG",IFERROR(INDEX('Calculations'!$HF$13:$HF$512,MATCH('Calculations'!HZ401,'Calculations'!$HE$13:$HE$512,0)),""))))</x:f>
      </x:c>
      <x:c r="IB401" t="str">
        <x:f>IF('Calculations'!IA401="","",IF('Calculations'!IA401="!AMBIG","!AMBIG",IF(COUNTIF('Calculations'!$HE$13:$HE$512,"="&amp;SUBSTITUTE(SUBSTITUTE(SUBSTITUTE('Calculations'!IA401,"~","~~"),"*","~*"),"?","~?"))&gt;1,"!AMBIG",IFERROR(INDEX('Calculations'!$HF$13:$HF$512,MATCH('Calculations'!IA401,'Calculations'!$HE$13:$HE$512,0)),""))))</x:f>
      </x:c>
      <x:c r="IC401" t="str">
        <x:f>IF('Calculations'!IB401="","",IF('Calculations'!IB401="!AMBIG","!AMBIG",IF(COUNTIF('Calculations'!$HE$13:$HE$512,"="&amp;SUBSTITUTE(SUBSTITUTE(SUBSTITUTE('Calculations'!IB401,"~","~~"),"*","~*"),"?","~?"))&gt;1,"!AMBIG",IFERROR(INDEX('Calculations'!$HF$13:$HF$512,MATCH('Calculations'!IB401,'Calculations'!$HE$13:$HE$512,0)),""))))</x:f>
      </x:c>
      <x:c r="ID401" t="str">
        <x:f>IF('Calculations'!IC401="","",IF('Calculations'!IC401="!AMBIG","!AMBIG",IF(COUNTIF('Calculations'!$HE$13:$HE$512,"="&amp;SUBSTITUTE(SUBSTITUTE(SUBSTITUTE('Calculations'!IC401,"~","~~"),"*","~*"),"?","~?"))&gt;1,"!AMBIG",IFERROR(INDEX('Calculations'!$HF$13:$HF$512,MATCH('Calculations'!IC401,'Calculations'!$HE$13:$HE$512,0)),""))))</x:f>
      </x:c>
      <x:c r="IE401" t="str">
        <x:f>IF('Calculations'!ID401="","",IF('Calculations'!ID401="!AMBIG","!AMBIG",IF(COUNTIF('Calculations'!$HE$13:$HE$512,"="&amp;SUBSTITUTE(SUBSTITUTE(SUBSTITUTE('Calculations'!ID401,"~","~~"),"*","~*"),"?","~?"))&gt;1,"!AMBIG",IFERROR(INDEX('Calculations'!$HF$13:$HF$512,MATCH('Calculations'!ID401,'Calculations'!$HE$13:$HE$512,0)),""))))</x:f>
      </x:c>
      <x:c r="IF401" t="str">
        <x:f>IF('Calculations'!IE401="","",IF('Calculations'!IE401="!AMBIG","!AMBIG",IF(COUNTIF('Calculations'!$HE$13:$HE$512,"="&amp;SUBSTITUTE(SUBSTITUTE(SUBSTITUTE('Calculations'!IE401,"~","~~"),"*","~*"),"?","~?"))&gt;1,"!AMBIG",IFERROR(INDEX('Calculations'!$HF$13:$HF$512,MATCH('Calculations'!IE401,'Calculations'!$HE$13:$HE$512,0)),""))))</x:f>
      </x:c>
      <x:c r="IG401" t="str">
        <x:f>IF('Calculations'!IF401="","",IF('Calculations'!IF401="!AMBIG","!AMBIG",IF(COUNTIF('Calculations'!$HE$13:$HE$512,"="&amp;SUBSTITUTE(SUBSTITUTE(SUBSTITUTE('Calculations'!IF401,"~","~~"),"*","~*"),"?","~?"))&gt;1,"!AMBIG",IFERROR(INDEX('Calculations'!$HF$13:$HF$512,MATCH('Calculations'!IF401,'Calculations'!$HE$13:$HE$512,0)),""))))</x:f>
      </x:c>
      <x:c r="IH401" t="str">
        <x:f>IF('Calculations'!IG401="","",IF('Calculations'!IG401="!AMBIG","!AMBIG",IF(COUNTIF('Calculations'!$HE$13:$HE$512,"="&amp;SUBSTITUTE(SUBSTITUTE(SUBSTITUTE('Calculations'!IG401,"~","~~"),"*","~*"),"?","~?"))&gt;1,"!AMBIG",IFERROR(INDEX('Calculations'!$HF$13:$HF$512,MATCH('Calculations'!IG401,'Calculations'!$HE$13:$HE$512,0)),""))))</x:f>
      </x:c>
      <x:c r="II401" t="str">
        <x:f>IF('Calculations'!IH401="","",IF('Calculations'!IH401="!AMBIG","!AMBIG",IF(COUNTIF('Calculations'!$HE$13:$HE$512,"="&amp;SUBSTITUTE(SUBSTITUTE(SUBSTITUTE('Calculations'!IH401,"~","~~"),"*","~*"),"?","~?"))&gt;1,"!AMBIG",IFERROR(INDEX('Calculations'!$HF$13:$HF$512,MATCH('Calculations'!IH401,'Calculations'!$HE$13:$HE$512,0)),""))))</x:f>
      </x:c>
      <x:c r="IJ401" t="str">
        <x:f>IF('Calculations'!EM401="","",IF('Calculations'!$EF$2="All",'Calculations'!HM401,IF('Calculations'!HL401=1,"",IFERROR(IF(MATCH('Calculations'!$EF$2,'Calculations'!HO401:II401,0)=1,'Calculations'!HE401,INDEX('Calculations'!HO401:II401,1,MATCH('Calculations'!$EF$2,'Calculations'!HO401:II401,0)-1)),""))))</x:f>
      </x:c>
      <x:c r="IK401" t="n">
        <x:f>IF(AND('Calculations'!EM401&lt;&gt;"",'Calculations'!$EF$2&lt;&gt;"All",'Calculations'!HF401='Calculations'!$EF$2,'Calculations'!HL401=0,'Calculations'!JD401&gt;0),MAX('Calculations'!$IK$12:IK400)+1,0)</x:f>
        <x:v>0</x:v>
      </x:c>
      <x:c r="JA401" t="n">
        <x:f>IF(OR(IFERROR(INDIRECT("'WCM Calibration Final'!$A$401")&lt;&gt;"",FALSE),IFERROR(INDIRECT("'WCM Calibration Final'!$B$401")&lt;&gt;"",FALSE),IFERROR(INDIRECT("'WCM Calibration Final'!$C$401")&lt;&gt;"",FALSE)),401,0)</x:f>
        <x:v>0</x:v>
      </x:c>
      <x:c r="JB401" t="n">
        <x:f>'Calculations'!JB400+IF('Calculations'!JA401&gt;0,1,0)</x:f>
        <x:v>0</x:v>
      </x:c>
      <x:c r="JC401" t="n">
        <x:f>IF(OR('Calculations'!HF401="",'Calculations'!HF401="!AMBIG"),0,IF('Dashboard'!$B$7="All",1,COUNTIFS('Calculations'!$HO$13:$HO$512,"="&amp;SUBSTITUTE(SUBSTITUTE(SUBSTITUTE('Calculations'!HF401,"~","~~"),"*","~*"),"?","~?"),'Calculations'!$HN$13:$HN$512,"="&amp;SUBSTITUTE(SUBSTITUTE(SUBSTITUTE('Dashboard'!$B$7,"~","~~"),"*","~*"),"?","~?"))+COUNTIFS('Calculations'!$HP$13:$HP$512,"="&amp;SUBSTITUTE(SUBSTITUTE(SUBSTITUTE('Calculations'!HF401,"~","~~"),"*","~*"),"?","~?"),'Calculations'!$HN$13:$HN$512,"="&amp;SUBSTITUTE(SUBSTITUTE(SUBSTITUTE('Dashboard'!$B$7,"~","~~"),"*","~*"),"?","~?"))+COUNTIFS('Calculations'!$HQ$13:$HQ$512,"="&amp;SUBSTITUTE(SUBSTITUTE(SUBSTITUTE('Calculations'!HF401,"~","~~"),"*","~*"),"?","~?"),'Calculations'!$HN$13:$HN$512,"="&amp;SUBSTITUTE(SUBSTITUTE(SUBSTITUTE('Dashboard'!$B$7,"~","~~"),"*","~*"),"?","~?"))+COUNTIFS('Calculations'!$HR$13:$HR$512,"="&amp;SUBSTITUTE(SUBSTITUTE(SUBSTITUTE('Calculations'!HF401,"~","~~"),"*","~*"),"?","~?"),'Calculations'!$HN$13:$HN$512,"="&amp;SUBSTITUTE(SUBSTITUTE(SUBSTITUTE('Dashboard'!$B$7,"~","~~"),"*","~*"),"?","~?"))+COUNTIFS('Calculations'!$HS$13:$HS$512,"="&amp;SUBSTITUTE(SUBSTITUTE(SUBSTITUTE('Calculations'!HF401,"~","~~"),"*","~*"),"?","~?"),'Calculations'!$HN$13:$HN$512,"="&amp;SUBSTITUTE(SUBSTITUTE(SUBSTITUTE('Dashboard'!$B$7,"~","~~"),"*","~*"),"?","~?"))+COUNTIFS('Calculations'!$HT$13:$HT$512,"="&amp;SUBSTITUTE(SUBSTITUTE(SUBSTITUTE('Calculations'!HF401,"~","~~"),"*","~*"),"?","~?"),'Calculations'!$HN$13:$HN$512,"="&amp;SUBSTITUTE(SUBSTITUTE(SUBSTITUTE('Dashboard'!$B$7,"~","~~"),"*","~*"),"?","~?"))+COUNTIFS('Calculations'!$HU$13:$HU$512,"="&amp;SUBSTITUTE(SUBSTITUTE(SUBSTITUTE('Calculations'!HF401,"~","~~"),"*","~*"),"?","~?"),'Calculations'!$HN$13:$HN$512,"="&amp;SUBSTITUTE(SUBSTITUTE(SUBSTITUTE('Dashboard'!$B$7,"~","~~"),"*","~*"),"?","~?"))+COUNTIFS('Calculations'!$HV$13:$HV$512,"="&amp;SUBSTITUTE(SUBSTITUTE(SUBSTITUTE('Calculations'!HF401,"~","~~"),"*","~*"),"?","~?"),'Calculations'!$HN$13:$HN$512,"="&amp;SUBSTITUTE(SUBSTITUTE(SUBSTITUTE('Dashboard'!$B$7,"~","~~"),"*","~*"),"?","~?"))+COUNTIFS('Calculations'!$HW$13:$HW$512,"="&amp;SUBSTITUTE(SUBSTITUTE(SUBSTITUTE('Calculations'!HF401,"~","~~"),"*","~*"),"?","~?"),'Calculations'!$HN$13:$HN$512,"="&amp;SUBSTITUTE(SUBSTITUTE(SUBSTITUTE('Dashboard'!$B$7,"~","~~"),"*","~*"),"?","~?"))+COUNTIFS('Calculations'!$HX$13:$HX$512,"="&amp;SUBSTITUTE(SUBSTITUTE(SUBSTITUTE('Calculations'!HF401,"~","~~"),"*","~*"),"?","~?"),'Calculations'!$HN$13:$HN$512,"="&amp;SUBSTITUTE(SUBSTITUTE(SUBSTITUTE('Dashboard'!$B$7,"~","~~"),"*","~*"),"?","~?"))+COUNTIFS('Calculations'!$HY$13:$HY$512,"="&amp;SUBSTITUTE(SUBSTITUTE(SUBSTITUTE('Calculations'!HF401,"~","~~"),"*","~*"),"?","~?"),'Calculations'!$HN$13:$HN$512,"="&amp;SUBSTITUTE(SUBSTITUTE(SUBSTITUTE('Dashboard'!$B$7,"~","~~"),"*","~*"),"?","~?"))+COUNTIFS('Calculations'!$HZ$13:$HZ$512,"="&amp;SUBSTITUTE(SUBSTITUTE(SUBSTITUTE('Calculations'!HF401,"~","~~"),"*","~*"),"?","~?"),'Calculations'!$HN$13:$HN$512,"="&amp;SUBSTITUTE(SUBSTITUTE(SUBSTITUTE('Dashboard'!$B$7,"~","~~"),"*","~*"),"?","~?"))+COUNTIFS('Calculations'!$IA$13:$IA$512,"="&amp;SUBSTITUTE(SUBSTITUTE(SUBSTITUTE('Calculations'!HF401,"~","~~"),"*","~*"),"?","~?"),'Calculations'!$HN$13:$HN$512,"="&amp;SUBSTITUTE(SUBSTITUTE(SUBSTITUTE('Dashboard'!$B$7,"~","~~"),"*","~*"),"?","~?"))+COUNTIFS('Calculations'!$IB$13:$IB$512,"="&amp;SUBSTITUTE(SUBSTITUTE(SUBSTITUTE('Calculations'!HF401,"~","~~"),"*","~*"),"?","~?"),'Calculations'!$HN$13:$HN$512,"="&amp;SUBSTITUTE(SUBSTITUTE(SUBSTITUTE('Dashboard'!$B$7,"~","~~"),"*","~*"),"?","~?"))+COUNTIFS('Calculations'!$IC$13:$IC$512,"="&amp;SUBSTITUTE(SUBSTITUTE(SUBSTITUTE('Calculations'!HF401,"~","~~"),"*","~*"),"?","~?"),'Calculations'!$HN$13:$HN$512,"="&amp;SUBSTITUTE(SUBSTITUTE(SUBSTITUTE('Dashboard'!$B$7,"~","~~"),"*","~*"),"?","~?"))+COUNTIFS('Calculations'!$ID$13:$ID$512,"="&amp;SUBSTITUTE(SUBSTITUTE(SUBSTITUTE('Calculations'!HF401,"~","~~"),"*","~*"),"?","~?"),'Calculations'!$HN$13:$HN$512,"="&amp;SUBSTITUTE(SUBSTITUTE(SUBSTITUTE('Dashboard'!$B$7,"~","~~"),"*","~*"),"?","~?"))+COUNTIFS('Calculations'!$IE$13:$IE$512,"="&amp;SUBSTITUTE(SUBSTITUTE(SUBSTITUTE('Calculations'!HF401,"~","~~"),"*","~*"),"?","~?"),'Calculations'!$HN$13:$HN$512,"="&amp;SUBSTITUTE(SUBSTITUTE(SUBSTITUTE('Dashboard'!$B$7,"~","~~"),"*","~*"),"?","~?"))+COUNTIFS('Calculations'!$IF$13:$IF$512,"="&amp;SUBSTITUTE(SUBSTITUTE(SUBSTITUTE('Calculations'!HF401,"~","~~"),"*","~*"),"?","~?"),'Calculations'!$HN$13:$HN$512,"="&amp;SUBSTITUTE(SUBSTITUTE(SUBSTITUTE('Dashboard'!$B$7,"~","~~"),"*","~*"),"?","~?"))+COUNTIFS('Calculations'!$IG$13:$IG$512,"="&amp;SUBSTITUTE(SUBSTITUTE(SUBSTITUTE('Calculations'!HF401,"~","~~"),"*","~*"),"?","~?"),'Calculations'!$HN$13:$HN$512,"="&amp;SUBSTITUTE(SUBSTITUTE(SUBSTITUTE('Dashboard'!$B$7,"~","~~"),"*","~*"),"?","~?"))+COUNTIFS('Calculations'!$IH$13:$IH$512,"="&amp;SUBSTITUTE(SUBSTITUTE(SUBSTITUTE('Calculations'!HF401,"~","~~"),"*","~*"),"?","~?"),'Calculations'!$HN$13:$HN$512,"="&amp;SUBSTITUTE(SUBSTITUTE(SUBSTITUTE('Dashboard'!$B$7,"~","~~"),"*","~*"),"?","~?"))))</x:f>
        <x:v>0</x:v>
      </x:c>
      <x:c r="JD401" t="n">
        <x:f>IF('Calculations'!EM401="",0,IF('Dashboard'!$B$7="All",1,IF('Calculations'!HN401='Dashboard'!$B$7,1,0)+IFERROR(INDEX('Calculations'!$JC$13:$JC$512,MATCH('Calculations'!HE401,'Calculations'!$HF$13:$HF$512,0)),0)))</x:f>
        <x:v>0</x:v>
      </x:c>
      <x:c r="JE401" t="n">
        <x:f>IF(AND('Calculations'!EM401&lt;&gt;"",'Calculations'!$JJ$2&lt;&gt;"All",'Calculations'!$JJ$2&lt;&gt;"",'Calculations'!HF401='Calculations'!$JJ$2,'Calculations'!HL401=0,'Calculations'!JD401&gt;0),MAX('Calculations'!$JE$12:JE400)+1,0)</x:f>
        <x:v>0</x:v>
      </x:c>
      <x:c r="JF401" t="str">
        <x:f>IF('Calculations'!EM401="","",IFERROR(IF(INDEX(INDIRECT("'WCM Calibration Final'!$G$1:$G$2000"),'Calculations'!$EM401)="","",TRIM(INDEX(INDIRECT("'WCM Calibration Final'!$G$1:$G$2000"),'Calculations'!$EM401)&amp;"")),""))</x:f>
      </x:c>
      <x:c r="JQ401" t="n">
        <x:f>IF(OR('Calculations'!BM401=0,NOT('Calculations'!$AG$2),'Calculations'!$AG$8&gt;0),0,IF(OR('Dashboard'!$B$7="All",'Calculations'!HN401='Dashboard'!$B$7),IF('Calculations'!$JJ$2="All",1,IF(AND('Calculations'!HF401='Calculations'!$JJ$2,'Calculations'!HL401=0),1,0)),0))</x:f>
        <x:v>0</x:v>
      </x:c>
    </x:row>
    <x:row r="402">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t="n">
        <x:f>IF('Calculations'!$EM402="",0,IF(OR(IFERROR(INDEX(INDIRECT("'WCM Calibration Final'!$A$1:$A$2000"),'Calculations'!$EM402)&lt;&gt;"",FALSE),IFERROR(INDEX(INDIRECT("'WCM Calibration Final'!$B$1:$B$2000"),'Calculations'!$EM402)&lt;&gt;"",FALSE),IFERROR(INDEX(INDIRECT("'WCM Calibration Final'!$C$1:$C$2000"),'Calculations'!$EM402)&lt;&gt;"",FALSE)),1,0))</x:f>
        <x:v>0</x:v>
      </x:c>
      <x:c r="BN402" s="4" t="n">
        <x:f>IF(AND('Calculations'!BM402=1,'Calculations'!$AG$2,'Calculations'!$EN402=1),1,0)</x:f>
        <x:v>0</x:v>
      </x:c>
      <x:c r="BO402" s="4" t="str">
        <x:f>IF('Calculations'!BM402=0,"",IFERROR(IF(AND(VALUE(INDEX(INDIRECT("'WCM Calibration Final'!$K$1:$K$2000"),'Calculations'!$EM402))&gt;=1,VALUE(INDEX(INDIRECT("'WCM Calibration Final'!$K$1:$K$2000"),'Calculations'!$EM402))&lt;=4,MOD(VALUE(INDEX(INDIRECT("'WCM Calibration Final'!$K$1:$K$2000"),'Calculations'!$EM402)),1)=0),VALUE(INDEX(INDIRECT("'WCM Calibration Final'!$K$1:$K$2000"),'Calculations'!$EM402)),""),""))</x:f>
      </x:c>
      <x:c r="BP402" s="4" t="str">
        <x:f>IF('Calculations'!BM402=0,"",IFERROR(IF(AND(VALUE(INDEX(INDIRECT("'WCM Calibration Final'!$L$1:$L$2000"),'Calculations'!$EM402))&gt;=1,VALUE(INDEX(INDIRECT("'WCM Calibration Final'!$L$1:$L$2000"),'Calculations'!$EM402))&lt;=4,MOD(VALUE(INDEX(INDIRECT("'WCM Calibration Final'!$L$1:$L$2000"),'Calculations'!$EM402)),1)=0),VALUE(INDEX(INDIRECT("'WCM Calibration Final'!$L$1:$L$2000"),'Calculations'!$EM402)),""),""))</x:f>
      </x:c>
      <x:c r="BQ402" s="4"/>
      <x:c r="BR402" s="4"/>
      <x:c r="BS402" s="4"/>
      <x:c r="BT402" s="4" t="n">
        <x:f>IF(AND('Calculations'!BM402=1,ISNUMBER('Calculations'!BO402),ISNUMBER('Calculations'!BP402)),1,0)</x:f>
        <x:v>0</x:v>
      </x:c>
      <x:c r="BU402" s="4" t="str">
        <x:f>IF('Calculations'!BM402=0,"",'Calculations'!$EO402)</x:f>
      </x:c>
      <x:c r="BV402" s="4" t="str">
        <x:f>IF('Calculations'!BM402=0,"",IFERROR(IF(OR(INDEX(INDIRECT("'WCM Calibration Final'!$H$1:$H$2000"),'Calculations'!$EM402)="MANAGING DIRECTOR",INDEX(INDIRECT("'WCM Calibration Final'!$H$1:$H$2000"),'Calculations'!$EM402)="DIRECTOR",INDEX(INDIRECT("'WCM Calibration Final'!$H$1:$H$2000"),'Calculations'!$EM402)="SENIOR VICE PRESIDENT",INDEX(INDIRECT("'WCM Calibration Final'!$H$1:$H$2000"),'Calculations'!$EM402)="VICE PRESIDENT",INDEX(INDIRECT("'WCM Calibration Final'!$H$1:$H$2000"),'Calculations'!$EM402)="ASSISTANT VICE PRESIDENT",INDEX(INDIRECT("'WCM Calibration Final'!$H$1:$H$2000"),'Calculations'!$EM402)="OFFICER"),UPPER(INDEX(INDIRECT("'WCM Calibration Final'!$H$1:$H$2000"),'Calculations'!$EM402)),"Other"),"Other"))</x:f>
      </x:c>
      <x:c r="BW402" s="4"/>
      <x:c r="BX402" s="4"/>
      <x:c r="BY402" s="4" t="n">
        <x:f>IF(AND('Calculations'!BM402=1,'Calculations'!BU402&lt;&gt;"",COUNTIF('Calculations'!$BU$12:BU402,'Calculations'!BU402)=1),MAX('Calculations'!$BY$11:BY401)+1,0)</x:f>
        <x:v>0</x:v>
      </x:c>
      <x:c r="BZ402" s="4" t="str">
        <x:f>IF('Dashboard'!$E$67="What",'Calculations'!BO402,'Calculations'!BP402)</x:f>
      </x:c>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t="str">
        <x:f>IF(391&gt;MAX('Calculations'!$HI$13:$HI$512),"",INDEX('Calculations'!$HN$13:$HN$512,MATCH(391,'Calculations'!$HI$13:$HI$512,0)))</x:f>
      </x:c>
      <x:c r="DB402" s="4" t="str">
        <x:f>IF(391&gt;MAX('Calculations'!$HH$13:$HH$512),"",INDEX('Calculations'!$HJ$13:$HJ$512,MATCH(391,'Calculations'!$HH$13:$HH$512,0)))</x:f>
      </x:c>
      <x:c r="DC402" s="4" t="str">
        <x:f>IF(ROW()-11&gt;MAX('Calculations'!$BY$13:$BY$512),"",INDEX('Calculations'!$BU$13:$BU$512,MATCH(ROW()-11,'Calculations'!$BY$13:$BY$512,0)))</x:f>
      </x:c>
      <x:c r="DD402" s="4" t="str">
        <x:f>IF(391&gt;MAX('Calculations'!$IK$13:$IK$512),"",INDEX('Calculations'!$HK$13:$HK$512,MATCH(391,'Calculations'!$IK$13:$IK$512,0)))</x:f>
      </x:c>
      <x:c r="DE402" s="4" t="str">
        <x:f>'Calculations'!DC402</x:f>
      </x:c>
      <x:c r="DF402" s="4" t="str">
        <x:f>IF('Calculations'!DE402="","",COUNTIFS('Calculations'!$BN$13:$BN$512,1,'Calculations'!$BU$13:$BU$512,'Calculations'!DE402))</x:f>
      </x:c>
      <x:c r="DG402" s="4" t="str">
        <x:f>IF('Calculations'!DE402="","",COUNTIFS('Calculations'!$BN$13:$BN$512,1,'Calculations'!$BU$13:$BU$512,'Calculations'!DE402,'Calculations'!$BT$13:$BT$512,1))</x:f>
      </x:c>
      <x:c r="DH402" s="4" t="str">
        <x:f>IF('Calculations'!DE402="","",'Calculations'!DF402-'Calculations'!DG402)</x:f>
      </x:c>
      <x:c r="DI402" s="4" t="str">
        <x:f>IF(OR('Calculations'!DE402="",'Calculations'!DF402=0),"",'Calculations'!DG402/'Calculations'!DF402)</x:f>
      </x:c>
      <x:c r="DJ402" s="4" t="str">
        <x:f>IF('Calculations'!DE402="","",COUNTIFS('Calculations'!$BN$13:$BN$512,1,'Calculations'!$BU$13:$BU$512,'Calculations'!DE402,'Calculations'!$BT$13:$BT$512,1,'Calculations'!$EE$13:$EE$512,"High"))</x:f>
      </x:c>
      <x:c r="DK402" s="4" t="str">
        <x:f>IF('Calculations'!DE402="","",COUNTIFS('Calculations'!$BN$13:$BN$512,1,'Calculations'!$BU$13:$BU$512,'Calculations'!DE402,'Calculations'!$BT$13:$BT$512,1,'Calculations'!$EE$13:$EE$512,"Strong"))</x:f>
      </x:c>
      <x:c r="DL402" s="4" t="str">
        <x:f>IF('Calculations'!DE402="","",COUNTIFS('Calculations'!$BN$13:$BN$512,1,'Calculations'!$BU$13:$BU$512,'Calculations'!DE402,'Calculations'!$BT$13:$BT$512,1,'Calculations'!$EE$13:$EE$512,"Solid"))</x:f>
      </x:c>
      <x:c r="DM402" s="4" t="str">
        <x:f>IF('Calculations'!DE402="","",COUNTIFS('Calculations'!$BN$13:$BN$512,1,'Calculations'!$BU$13:$BU$512,'Calculations'!DE402,'Calculations'!$BT$13:$BT$512,1,'Calculations'!$EE$13:$EE$512,"Low"))</x:f>
      </x:c>
      <x:c r="DN402" s="4" t="str">
        <x:f>IF('Calculations'!DE402="","",COUNTIFS('Calculations'!$BN$13:$BN$512,1,'Calculations'!$BU$13:$BU$512,'Calculations'!DE402,'Calculations'!$EP$13:$EP$512,1))</x:f>
      </x:c>
      <x:c r="DO402" s="4" t="str">
        <x:f>IF(OR('Calculations'!DE402="",'Calculations'!DG402=0),"",('Calculations'!DJ402+'Calculations'!DK402)/'Calculations'!DG402)</x:f>
      </x:c>
      <x:c r="DP402" s="4" t="n">
        <x:f>IF(AND('Calculations'!DE402&lt;&gt;"",'Calculations'!DF402&gt;0),COUNTIF('Calculations'!$DF$12:DF402,"&gt;0"),0)</x:f>
        <x:v>0</x:v>
      </x:c>
      <x:c r="DQ402" s="4" t="str">
        <x:f>IF(391&gt;MAX('Calculations'!$HH$13:$HH$512),"",INDEX('Calculations'!$HF$13:$HF$512,MATCH(391,'Calculations'!$HH$13:$HH$512,0)))</x:f>
      </x:c>
      <x:c r="DR402" s="4" t="str">
        <x:f>IF(391&gt;MAX('Calculations'!$IK$13:$IK$512),"",INDEX('Calculations'!$HE$13:$HE$512,MATCH(391,'Calculations'!$IK$13:$IK$512,0)))</x:f>
      </x:c>
      <x:c r="DS402" s="4"/>
      <x:c r="DT402" s="4"/>
      <x:c r="DU402" s="4"/>
      <x:c r="DV402" s="4"/>
      <x:c r="DW402" s="4"/>
      <x:c r="DX402" s="4"/>
      <x:c r="DY402" s="4"/>
      <x:c r="DZ402" s="4"/>
      <x:c r="EA402" s="4"/>
      <x:c r="EB402" s="4"/>
      <x:c r="EC402" s="4"/>
      <x:c r="ED402" s="4"/>
      <x:c r="EE402" s="4" t="str">
        <x:f>IF('Calculations'!BT402=0,"Not Rated",IF(OR('Calculations'!BO402&gt;=4,'Calculations'!BP402&gt;=4),"Low",IF('Calculations'!BO402+'Calculations'!BP402&lt;=3,"High",IF('Calculations'!BO402+'Calculations'!BP402&lt;=4,"Strong","Solid"))))</x:f>
        <x:v>Not Rated</x:v>
      </x:c>
      <x:c r="EF402" s="4"/>
      <x:c r="EG402" s="4"/>
      <x:c r="EH402" s="4"/>
      <x:c r="EI402" s="4"/>
      <x:c r="EJ402" s="4"/>
      <x:c r="EK402" s="4"/>
      <x:c r="EL402" s="4"/>
      <x:c r="EM402" s="4" t="str">
        <x:f>IF(390&gt;'Calculations'!$JB$2000,"",INDEX('Calculations'!$JA$12:$JA$2000,MATCH(390,'Calculations'!$JB$12:$JB$2000,0)))</x:f>
      </x:c>
      <x:c r="EN402" s="4" t="n">
        <x:f>IF(OR('Calculations'!EM402="",'Calculations'!$AG$8&gt;0,AND('Calculations'!$EF$2&lt;&gt;"All",'Calculations'!HE402='Calculations'!$EF$2),AND('Calculations'!$EF$3&lt;&gt;"All",'Calculations'!HE402='Calculations'!$EF$3)),0,IF(OR('Dashboard'!$B$7="All",'Calculations'!HN402='Dashboard'!$B$7),IF('Calculations'!$EF$2="All",1,IF('Calculations'!HL402&gt;0,0,IF(COUNTIF('Calculations'!HO402:II402,"="&amp;SUBSTITUTE(SUBSTITUTE(SUBSTITUTE('Calculations'!$EF$2,"~","~~"),"*","~*"),"?","~?"))=0,0,IF('Calculations'!$EF$3="All",1,IF(COUNTIF('Calculations'!HO402:II402,"="&amp;SUBSTITUTE(SUBSTITUTE(SUBSTITUTE('Calculations'!$EF$3,"~","~~"),"*","~*"),"?","~?"))&gt;0,1,0))))),0))</x:f>
        <x:v>0</x:v>
      </x:c>
      <x:c r="EO402" s="4" t="str">
        <x:f>IF('Calculations'!IJ402="","",IF('Calculations'!IJ402="!UNRESOLVED","Unresolved hierarchy",IFERROR(INDEX('Calculations'!$HK$13:$HK$512,MATCH('Calculations'!IJ402,'Calculations'!$HE$13:$HE$512,0)),IFERROR(INDEX('Calculations'!$HJ$13:$HJ$512,MATCH('Calculations'!IJ402,'Calculations'!$HF$13:$HF$512,0)),'Calculations'!IJ402))))</x:f>
      </x:c>
      <x:c r="EP402" s="4" t="n">
        <x:f>IF(AND('Calculations'!EM402&lt;&gt;"",'Calculations'!HF402='Calculations'!IJ402),1,0)</x:f>
        <x:v>0</x:v>
      </x:c>
      <x:c r="EQ402" s="4"/>
      <x:c r="ER402" s="4"/>
      <x:c r="ES402" s="4"/>
      <x:c r="ET402" s="4"/>
      <x:c r="EU402" s="4"/>
      <x:c r="EV402" s="4"/>
      <x:c r="EW402" s="4"/>
      <x:c r="EX402" s="4"/>
      <x:c r="EY402" s="4"/>
      <x:c r="EZ402" s="4"/>
      <x:c r="FA402" s="4"/>
      <x:c r="FB402" s="4"/>
      <x:c r="FC402" s="4"/>
      <x:c r="FD402" s="4"/>
      <x:c r="FE402" s="4"/>
      <x:c r="FF402" s="4"/>
      <x:c r="FG402" s="4"/>
      <x:c r="FH402" s="4"/>
      <x:c r="FI402" s="4"/>
      <x:c r="FJ402" s="4"/>
      <x:c r="FK402" s="4"/>
      <x:c r="FL402" s="4"/>
      <x:c r="FM402" s="4"/>
      <x:c r="FN402" s="4"/>
      <x:c r="FO402" s="4"/>
      <x:c r="HE402" t="str">
        <x:f>IF('Calculations'!EM402="","",IF(IFERROR(IF(INDEX(INDIRECT("'WCM Calibration Final'!$A$1:$A$2000"),'Calculations'!$EM402)="","",TRIM(INDEX(INDIRECT("'WCM Calibration Final'!$A$1:$A$2000"),'Calculations'!$EM402)&amp;"")),"")&lt;&gt;"","G:"&amp;IFERROR(TEXT(1*INDEX(INDIRECT("'WCM Calibration Final'!$A$1:$A$2000"),'Calculations'!$EM402),"0"),UPPER(IFERROR(IF(INDEX(INDIRECT("'WCM Calibration Final'!$A$1:$A$2000"),'Calculations'!$EM402)="","",TRIM(INDEX(INDIRECT("'WCM Calibration Final'!$A$1:$A$2000"),'Calculations'!$EM402)&amp;"")),""))),IF(IFERROR(IF(INDEX(INDIRECT("'WCM Calibration Final'!$C$1:$C$2000"),'Calculations'!$EM402)="","",TRIM(INDEX(INDIRECT("'WCM Calibration Final'!$C$1:$C$2000"),'Calculations'!$EM402)&amp;"")),"")&lt;&gt;"","S:"&amp;UPPER(IFERROR(IF(INDEX(INDIRECT("'WCM Calibration Final'!$C$1:$C$2000"),'Calculations'!$EM402)="","",TRIM(INDEX(INDIRECT("'WCM Calibration Final'!$C$1:$C$2000"),'Calculations'!$EM402)&amp;"")),"")),"R:"&amp;'Calculations'!EM402)))</x:f>
      </x:c>
      <x:c r="HF402" t="str">
        <x:f>IF('Calculations'!EM402="","",IF(IFERROR(IF(INDEX(INDIRECT("'WCM Calibration Final'!$D$1:$D$2000"),'Calculations'!$EM402)="","",TRIM(INDEX(INDIRECT("'WCM Calibration Final'!$D$1:$D$2000"),'Calculations'!$EM402)&amp;"")),"")&lt;&gt;"","G:"&amp;IFERROR(TEXT(1*INDEX(INDIRECT("'WCM Calibration Final'!$D$1:$D$2000"),'Calculations'!$EM402),"0"),UPPER(IFERROR(IF(INDEX(INDIRECT("'WCM Calibration Final'!$D$1:$D$2000"),'Calculations'!$EM402)="","",TRIM(INDEX(INDIRECT("'WCM Calibration Final'!$D$1:$D$2000"),'Calculations'!$EM402)&amp;"")),""))),IF(IFERROR(IF(INDEX(INDIRECT("'WCM Calibration Final'!$E$1:$E$2000"),'Calculations'!$EM402)="","",TRIM(INDEX(INDIRECT("'WCM Calibration Final'!$E$1:$E$2000"),'Calculations'!$EM402)&amp;"")),"")="","",IF(COUNTIF('Calculations'!$HG$13:$HG$512,"="&amp;SUBSTITUTE(SUBSTITUTE(SUBSTITUTE(IFERROR(IF(INDEX(INDIRECT("'WCM Calibration Final'!$E$1:$E$2000"),'Calculations'!$EM402)="","",TRIM(INDEX(INDIRECT("'WCM Calibration Final'!$E$1:$E$2000"),'Calculations'!$EM402)&amp;"")),""),"~","~~"),"*","~*"),"?","~?"))=1,INDEX('Calculations'!$HE$13:$HE$512,MATCH(IFERROR(IF(INDEX(INDIRECT("'WCM Calibration Final'!$E$1:$E$2000"),'Calculations'!$EM402)="","",TRIM(INDEX(INDIRECT("'WCM Calibration Final'!$E$1:$E$2000"),'Calculations'!$EM402)&amp;"")),""),'Calculations'!$HG$13:$HG$512,0)),IF(COUNTIF('Calculations'!$HG$13:$HG$512,"="&amp;SUBSTITUTE(SUBSTITUTE(SUBSTITUTE(IFERROR(IF(INDEX(INDIRECT("'WCM Calibration Final'!$E$1:$E$2000"),'Calculations'!$EM402)="","",TRIM(INDEX(INDIRECT("'WCM Calibration Final'!$E$1:$E$2000"),'Calculations'!$EM402)&amp;"")),""),"~","~~"),"*","~*"),"?","~?"))&gt;1,"!AMBIG","X:"&amp;IFERROR(IF(INDEX(INDIRECT("'WCM Calibration Final'!$E$1:$E$2000"),'Calculations'!$EM402)="","",TRIM(INDEX(INDIRECT("'WCM Calibration Final'!$E$1:$E$2000"),'Calculations'!$EM402)&amp;"")),""))))))</x:f>
      </x:c>
      <x:c r="HG402" t="str">
        <x:f>IF('Calculations'!EM402="","",IFERROR(IF(INDEX(INDIRECT("'WCM Calibration Final'!$B$1:$B$2000"),'Calculations'!$EM402)="","",TRIM(INDEX(INDIRECT("'WCM Calibration Final'!$B$1:$B$2000"),'Calculations'!$EM402)&amp;"")),""))</x:f>
      </x:c>
      <x:c r="HH402" t="n">
        <x:f>IF(AND('Calculations'!JC402&gt;0,COUNTIF('Calculations'!$HF$12:HF402,"="&amp;SUBSTITUTE(SUBSTITUTE(SUBSTITUTE('Calculations'!HF402,"~","~~"),"*","~*"),"?","~?"))=1),MAX('Calculations'!$HH$12:HH401)+1,0)</x:f>
        <x:v>0</x:v>
      </x:c>
      <x:c r="HI402" t="n">
        <x:f>IF(AND('Calculations'!HN402&lt;&gt;"",COUNTIF('Calculations'!$HN$12:HN402,"="&amp;SUBSTITUTE(SUBSTITUTE(SUBSTITUTE('Calculations'!HN402,"~","~~"),"*","~*"),"?","~?"))=1),MAX('Calculations'!$HI$12:HI401)+1,0)</x:f>
        <x:v>0</x:v>
      </x:c>
      <x:c r="HJ402" t="str">
        <x:f>IF('Calculations'!HF402="","",IF(COUNTIF('Calculations'!$HE$13:$HE$512,"="&amp;SUBSTITUTE(SUBSTITUTE(SUBSTITUTE('Calculations'!HF402,"~","~~"),"*","~*"),"?","~?"))=1,INDEX('Calculations'!$HK$13:$HK$512,MATCH('Calculations'!HF402,'Calculations'!$HE$13:$HE$512,0)),IFERROR(IF(INDEX(INDIRECT("'WCM Calibration Final'!$E$1:$E$2000"),'Calculations'!$EM402)="","",TRIM(INDEX(INDIRECT("'WCM Calibration Final'!$E$1:$E$2000"),'Calculations'!$EM402)&amp;"")),"")&amp;" ["&amp;'Calculations'!HF402&amp;"]"))</x:f>
      </x:c>
      <x:c r="HK402" t="str">
        <x:f>IF('Calculations'!EM402="","",'Calculations'!HG402&amp;" ["&amp;'Calculations'!HE402&amp;"]")</x:f>
      </x:c>
      <x:c r="HL402" t="n">
        <x:f>IF('Calculations'!EM402="",0,IF(OR('Calculations'!II402&lt;&gt;"",COUNTIF('Calculations'!$HE$13:$HE$512,"="&amp;SUBSTITUTE(SUBSTITUTE(SUBSTITUTE('Calculations'!HE402,"~","~~"),"*","~*"),"?","~?"))&gt;1),1,0))</x:f>
        <x:v>0</x:v>
      </x:c>
      <x:c r="HM402" t="str">
        <x:f>IF('Calculations'!EM402="","",IF('Calculations'!HL402=1,"!UNRESOLVED",IF('Calculations'!IH402&lt;&gt;"",'Calculations'!IH402,IF('Calculations'!IG402&lt;&gt;"",'Calculations'!IG402,IF('Calculations'!IF402&lt;&gt;"",'Calculations'!IF402,IF('Calculations'!IE402&lt;&gt;"",'Calculations'!IE402,IF('Calculations'!ID402&lt;&gt;"",'Calculations'!ID402,IF('Calculations'!IC402&lt;&gt;"",'Calculations'!IC402,IF('Calculations'!IB402&lt;&gt;"",'Calculations'!IB402,IF('Calculations'!IA402&lt;&gt;"",'Calculations'!IA402,IF('Calculations'!HZ402&lt;&gt;"",'Calculations'!HZ402,IF('Calculations'!HY402&lt;&gt;"",'Calculations'!HY402,IF('Calculations'!HX402&lt;&gt;"",'Calculations'!HX402,IF('Calculations'!HW402&lt;&gt;"",'Calculations'!HW402,IF('Calculations'!HV402&lt;&gt;"",'Calculations'!HV402,IF('Calculations'!HU402&lt;&gt;"",'Calculations'!HU402,IF('Calculations'!HT402&lt;&gt;"",'Calculations'!HT402,IF('Calculations'!HS402&lt;&gt;"",'Calculations'!HS402,IF('Calculations'!HR402&lt;&gt;"",'Calculations'!HR402,IF('Calculations'!HQ402&lt;&gt;"",'Calculations'!HQ402,IF('Calculations'!HP402&lt;&gt;"",'Calculations'!HP402,IF('Calculations'!HO402&lt;&gt;"",'Calculations'!HO402,'Calculations'!HE402))))))))))))))))))))))</x:f>
      </x:c>
      <x:c r="HN402" t="str">
        <x:f>IF('Calculations'!EM402="","",IF(IFERROR(IF(INDEX(INDIRECT("'WCM Calibration Final'!$F$1:$F$2000"),'Calculations'!$EM402)="","",TRIM(INDEX(INDIRECT("'WCM Calibration Final'!$F$1:$F$2000"),'Calculations'!$EM402)&amp;"")),"")="","(Blank)",IFERROR(IF(INDEX(INDIRECT("'WCM Calibration Final'!$F$1:$F$2000"),'Calculations'!$EM402)="","",TRIM(INDEX(INDIRECT("'WCM Calibration Final'!$F$1:$F$2000"),'Calculations'!$EM402)&amp;"")),"")))</x:f>
      </x:c>
      <x:c r="HO402" t="str">
        <x:f>'Calculations'!HF402</x:f>
      </x:c>
      <x:c r="HP402" t="str">
        <x:f>IF('Calculations'!HO402="","",IF('Calculations'!HO402="!AMBIG","!AMBIG",IF(COUNTIF('Calculations'!$HE$13:$HE$512,"="&amp;SUBSTITUTE(SUBSTITUTE(SUBSTITUTE('Calculations'!HO402,"~","~~"),"*","~*"),"?","~?"))&gt;1,"!AMBIG",IFERROR(INDEX('Calculations'!$HF$13:$HF$512,MATCH('Calculations'!HO402,'Calculations'!$HE$13:$HE$512,0)),""))))</x:f>
      </x:c>
      <x:c r="HQ402" t="str">
        <x:f>IF('Calculations'!HP402="","",IF('Calculations'!HP402="!AMBIG","!AMBIG",IF(COUNTIF('Calculations'!$HE$13:$HE$512,"="&amp;SUBSTITUTE(SUBSTITUTE(SUBSTITUTE('Calculations'!HP402,"~","~~"),"*","~*"),"?","~?"))&gt;1,"!AMBIG",IFERROR(INDEX('Calculations'!$HF$13:$HF$512,MATCH('Calculations'!HP402,'Calculations'!$HE$13:$HE$512,0)),""))))</x:f>
      </x:c>
      <x:c r="HR402" t="str">
        <x:f>IF('Calculations'!HQ402="","",IF('Calculations'!HQ402="!AMBIG","!AMBIG",IF(COUNTIF('Calculations'!$HE$13:$HE$512,"="&amp;SUBSTITUTE(SUBSTITUTE(SUBSTITUTE('Calculations'!HQ402,"~","~~"),"*","~*"),"?","~?"))&gt;1,"!AMBIG",IFERROR(INDEX('Calculations'!$HF$13:$HF$512,MATCH('Calculations'!HQ402,'Calculations'!$HE$13:$HE$512,0)),""))))</x:f>
      </x:c>
      <x:c r="HS402" t="str">
        <x:f>IF('Calculations'!HR402="","",IF('Calculations'!HR402="!AMBIG","!AMBIG",IF(COUNTIF('Calculations'!$HE$13:$HE$512,"="&amp;SUBSTITUTE(SUBSTITUTE(SUBSTITUTE('Calculations'!HR402,"~","~~"),"*","~*"),"?","~?"))&gt;1,"!AMBIG",IFERROR(INDEX('Calculations'!$HF$13:$HF$512,MATCH('Calculations'!HR402,'Calculations'!$HE$13:$HE$512,0)),""))))</x:f>
      </x:c>
      <x:c r="HT402" t="str">
        <x:f>IF('Calculations'!HS402="","",IF('Calculations'!HS402="!AMBIG","!AMBIG",IF(COUNTIF('Calculations'!$HE$13:$HE$512,"="&amp;SUBSTITUTE(SUBSTITUTE(SUBSTITUTE('Calculations'!HS402,"~","~~"),"*","~*"),"?","~?"))&gt;1,"!AMBIG",IFERROR(INDEX('Calculations'!$HF$13:$HF$512,MATCH('Calculations'!HS402,'Calculations'!$HE$13:$HE$512,0)),""))))</x:f>
      </x:c>
      <x:c r="HU402" t="str">
        <x:f>IF('Calculations'!HT402="","",IF('Calculations'!HT402="!AMBIG","!AMBIG",IF(COUNTIF('Calculations'!$HE$13:$HE$512,"="&amp;SUBSTITUTE(SUBSTITUTE(SUBSTITUTE('Calculations'!HT402,"~","~~"),"*","~*"),"?","~?"))&gt;1,"!AMBIG",IFERROR(INDEX('Calculations'!$HF$13:$HF$512,MATCH('Calculations'!HT402,'Calculations'!$HE$13:$HE$512,0)),""))))</x:f>
      </x:c>
      <x:c r="HV402" t="str">
        <x:f>IF('Calculations'!HU402="","",IF('Calculations'!HU402="!AMBIG","!AMBIG",IF(COUNTIF('Calculations'!$HE$13:$HE$512,"="&amp;SUBSTITUTE(SUBSTITUTE(SUBSTITUTE('Calculations'!HU402,"~","~~"),"*","~*"),"?","~?"))&gt;1,"!AMBIG",IFERROR(INDEX('Calculations'!$HF$13:$HF$512,MATCH('Calculations'!HU402,'Calculations'!$HE$13:$HE$512,0)),""))))</x:f>
      </x:c>
      <x:c r="HW402" t="str">
        <x:f>IF('Calculations'!HV402="","",IF('Calculations'!HV402="!AMBIG","!AMBIG",IF(COUNTIF('Calculations'!$HE$13:$HE$512,"="&amp;SUBSTITUTE(SUBSTITUTE(SUBSTITUTE('Calculations'!HV402,"~","~~"),"*","~*"),"?","~?"))&gt;1,"!AMBIG",IFERROR(INDEX('Calculations'!$HF$13:$HF$512,MATCH('Calculations'!HV402,'Calculations'!$HE$13:$HE$512,0)),""))))</x:f>
      </x:c>
      <x:c r="HX402" t="str">
        <x:f>IF('Calculations'!HW402="","",IF('Calculations'!HW402="!AMBIG","!AMBIG",IF(COUNTIF('Calculations'!$HE$13:$HE$512,"="&amp;SUBSTITUTE(SUBSTITUTE(SUBSTITUTE('Calculations'!HW402,"~","~~"),"*","~*"),"?","~?"))&gt;1,"!AMBIG",IFERROR(INDEX('Calculations'!$HF$13:$HF$512,MATCH('Calculations'!HW402,'Calculations'!$HE$13:$HE$512,0)),""))))</x:f>
      </x:c>
      <x:c r="HY402" t="str">
        <x:f>IF('Calculations'!HX402="","",IF('Calculations'!HX402="!AMBIG","!AMBIG",IF(COUNTIF('Calculations'!$HE$13:$HE$512,"="&amp;SUBSTITUTE(SUBSTITUTE(SUBSTITUTE('Calculations'!HX402,"~","~~"),"*","~*"),"?","~?"))&gt;1,"!AMBIG",IFERROR(INDEX('Calculations'!$HF$13:$HF$512,MATCH('Calculations'!HX402,'Calculations'!$HE$13:$HE$512,0)),""))))</x:f>
      </x:c>
      <x:c r="HZ402" t="str">
        <x:f>IF('Calculations'!HY402="","",IF('Calculations'!HY402="!AMBIG","!AMBIG",IF(COUNTIF('Calculations'!$HE$13:$HE$512,"="&amp;SUBSTITUTE(SUBSTITUTE(SUBSTITUTE('Calculations'!HY402,"~","~~"),"*","~*"),"?","~?"))&gt;1,"!AMBIG",IFERROR(INDEX('Calculations'!$HF$13:$HF$512,MATCH('Calculations'!HY402,'Calculations'!$HE$13:$HE$512,0)),""))))</x:f>
      </x:c>
      <x:c r="IA402" t="str">
        <x:f>IF('Calculations'!HZ402="","",IF('Calculations'!HZ402="!AMBIG","!AMBIG",IF(COUNTIF('Calculations'!$HE$13:$HE$512,"="&amp;SUBSTITUTE(SUBSTITUTE(SUBSTITUTE('Calculations'!HZ402,"~","~~"),"*","~*"),"?","~?"))&gt;1,"!AMBIG",IFERROR(INDEX('Calculations'!$HF$13:$HF$512,MATCH('Calculations'!HZ402,'Calculations'!$HE$13:$HE$512,0)),""))))</x:f>
      </x:c>
      <x:c r="IB402" t="str">
        <x:f>IF('Calculations'!IA402="","",IF('Calculations'!IA402="!AMBIG","!AMBIG",IF(COUNTIF('Calculations'!$HE$13:$HE$512,"="&amp;SUBSTITUTE(SUBSTITUTE(SUBSTITUTE('Calculations'!IA402,"~","~~"),"*","~*"),"?","~?"))&gt;1,"!AMBIG",IFERROR(INDEX('Calculations'!$HF$13:$HF$512,MATCH('Calculations'!IA402,'Calculations'!$HE$13:$HE$512,0)),""))))</x:f>
      </x:c>
      <x:c r="IC402" t="str">
        <x:f>IF('Calculations'!IB402="","",IF('Calculations'!IB402="!AMBIG","!AMBIG",IF(COUNTIF('Calculations'!$HE$13:$HE$512,"="&amp;SUBSTITUTE(SUBSTITUTE(SUBSTITUTE('Calculations'!IB402,"~","~~"),"*","~*"),"?","~?"))&gt;1,"!AMBIG",IFERROR(INDEX('Calculations'!$HF$13:$HF$512,MATCH('Calculations'!IB402,'Calculations'!$HE$13:$HE$512,0)),""))))</x:f>
      </x:c>
      <x:c r="ID402" t="str">
        <x:f>IF('Calculations'!IC402="","",IF('Calculations'!IC402="!AMBIG","!AMBIG",IF(COUNTIF('Calculations'!$HE$13:$HE$512,"="&amp;SUBSTITUTE(SUBSTITUTE(SUBSTITUTE('Calculations'!IC402,"~","~~"),"*","~*"),"?","~?"))&gt;1,"!AMBIG",IFERROR(INDEX('Calculations'!$HF$13:$HF$512,MATCH('Calculations'!IC402,'Calculations'!$HE$13:$HE$512,0)),""))))</x:f>
      </x:c>
      <x:c r="IE402" t="str">
        <x:f>IF('Calculations'!ID402="","",IF('Calculations'!ID402="!AMBIG","!AMBIG",IF(COUNTIF('Calculations'!$HE$13:$HE$512,"="&amp;SUBSTITUTE(SUBSTITUTE(SUBSTITUTE('Calculations'!ID402,"~","~~"),"*","~*"),"?","~?"))&gt;1,"!AMBIG",IFERROR(INDEX('Calculations'!$HF$13:$HF$512,MATCH('Calculations'!ID402,'Calculations'!$HE$13:$HE$512,0)),""))))</x:f>
      </x:c>
      <x:c r="IF402" t="str">
        <x:f>IF('Calculations'!IE402="","",IF('Calculations'!IE402="!AMBIG","!AMBIG",IF(COUNTIF('Calculations'!$HE$13:$HE$512,"="&amp;SUBSTITUTE(SUBSTITUTE(SUBSTITUTE('Calculations'!IE402,"~","~~"),"*","~*"),"?","~?"))&gt;1,"!AMBIG",IFERROR(INDEX('Calculations'!$HF$13:$HF$512,MATCH('Calculations'!IE402,'Calculations'!$HE$13:$HE$512,0)),""))))</x:f>
      </x:c>
      <x:c r="IG402" t="str">
        <x:f>IF('Calculations'!IF402="","",IF('Calculations'!IF402="!AMBIG","!AMBIG",IF(COUNTIF('Calculations'!$HE$13:$HE$512,"="&amp;SUBSTITUTE(SUBSTITUTE(SUBSTITUTE('Calculations'!IF402,"~","~~"),"*","~*"),"?","~?"))&gt;1,"!AMBIG",IFERROR(INDEX('Calculations'!$HF$13:$HF$512,MATCH('Calculations'!IF402,'Calculations'!$HE$13:$HE$512,0)),""))))</x:f>
      </x:c>
      <x:c r="IH402" t="str">
        <x:f>IF('Calculations'!IG402="","",IF('Calculations'!IG402="!AMBIG","!AMBIG",IF(COUNTIF('Calculations'!$HE$13:$HE$512,"="&amp;SUBSTITUTE(SUBSTITUTE(SUBSTITUTE('Calculations'!IG402,"~","~~"),"*","~*"),"?","~?"))&gt;1,"!AMBIG",IFERROR(INDEX('Calculations'!$HF$13:$HF$512,MATCH('Calculations'!IG402,'Calculations'!$HE$13:$HE$512,0)),""))))</x:f>
      </x:c>
      <x:c r="II402" t="str">
        <x:f>IF('Calculations'!IH402="","",IF('Calculations'!IH402="!AMBIG","!AMBIG",IF(COUNTIF('Calculations'!$HE$13:$HE$512,"="&amp;SUBSTITUTE(SUBSTITUTE(SUBSTITUTE('Calculations'!IH402,"~","~~"),"*","~*"),"?","~?"))&gt;1,"!AMBIG",IFERROR(INDEX('Calculations'!$HF$13:$HF$512,MATCH('Calculations'!IH402,'Calculations'!$HE$13:$HE$512,0)),""))))</x:f>
      </x:c>
      <x:c r="IJ402" t="str">
        <x:f>IF('Calculations'!EM402="","",IF('Calculations'!$EF$2="All",'Calculations'!HM402,IF('Calculations'!HL402=1,"",IFERROR(IF(MATCH('Calculations'!$EF$2,'Calculations'!HO402:II402,0)=1,'Calculations'!HE402,INDEX('Calculations'!HO402:II402,1,MATCH('Calculations'!$EF$2,'Calculations'!HO402:II402,0)-1)),""))))</x:f>
      </x:c>
      <x:c r="IK402" t="n">
        <x:f>IF(AND('Calculations'!EM402&lt;&gt;"",'Calculations'!$EF$2&lt;&gt;"All",'Calculations'!HF402='Calculations'!$EF$2,'Calculations'!HL402=0,'Calculations'!JD402&gt;0),MAX('Calculations'!$IK$12:IK401)+1,0)</x:f>
        <x:v>0</x:v>
      </x:c>
      <x:c r="JA402" t="n">
        <x:f>IF(OR(IFERROR(INDIRECT("'WCM Calibration Final'!$A$402")&lt;&gt;"",FALSE),IFERROR(INDIRECT("'WCM Calibration Final'!$B$402")&lt;&gt;"",FALSE),IFERROR(INDIRECT("'WCM Calibration Final'!$C$402")&lt;&gt;"",FALSE)),402,0)</x:f>
        <x:v>0</x:v>
      </x:c>
      <x:c r="JB402" t="n">
        <x:f>'Calculations'!JB401+IF('Calculations'!JA402&gt;0,1,0)</x:f>
        <x:v>0</x:v>
      </x:c>
      <x:c r="JC402" t="n">
        <x:f>IF(OR('Calculations'!HF402="",'Calculations'!HF402="!AMBIG"),0,IF('Dashboard'!$B$7="All",1,COUNTIFS('Calculations'!$HO$13:$HO$512,"="&amp;SUBSTITUTE(SUBSTITUTE(SUBSTITUTE('Calculations'!HF402,"~","~~"),"*","~*"),"?","~?"),'Calculations'!$HN$13:$HN$512,"="&amp;SUBSTITUTE(SUBSTITUTE(SUBSTITUTE('Dashboard'!$B$7,"~","~~"),"*","~*"),"?","~?"))+COUNTIFS('Calculations'!$HP$13:$HP$512,"="&amp;SUBSTITUTE(SUBSTITUTE(SUBSTITUTE('Calculations'!HF402,"~","~~"),"*","~*"),"?","~?"),'Calculations'!$HN$13:$HN$512,"="&amp;SUBSTITUTE(SUBSTITUTE(SUBSTITUTE('Dashboard'!$B$7,"~","~~"),"*","~*"),"?","~?"))+COUNTIFS('Calculations'!$HQ$13:$HQ$512,"="&amp;SUBSTITUTE(SUBSTITUTE(SUBSTITUTE('Calculations'!HF402,"~","~~"),"*","~*"),"?","~?"),'Calculations'!$HN$13:$HN$512,"="&amp;SUBSTITUTE(SUBSTITUTE(SUBSTITUTE('Dashboard'!$B$7,"~","~~"),"*","~*"),"?","~?"))+COUNTIFS('Calculations'!$HR$13:$HR$512,"="&amp;SUBSTITUTE(SUBSTITUTE(SUBSTITUTE('Calculations'!HF402,"~","~~"),"*","~*"),"?","~?"),'Calculations'!$HN$13:$HN$512,"="&amp;SUBSTITUTE(SUBSTITUTE(SUBSTITUTE('Dashboard'!$B$7,"~","~~"),"*","~*"),"?","~?"))+COUNTIFS('Calculations'!$HS$13:$HS$512,"="&amp;SUBSTITUTE(SUBSTITUTE(SUBSTITUTE('Calculations'!HF402,"~","~~"),"*","~*"),"?","~?"),'Calculations'!$HN$13:$HN$512,"="&amp;SUBSTITUTE(SUBSTITUTE(SUBSTITUTE('Dashboard'!$B$7,"~","~~"),"*","~*"),"?","~?"))+COUNTIFS('Calculations'!$HT$13:$HT$512,"="&amp;SUBSTITUTE(SUBSTITUTE(SUBSTITUTE('Calculations'!HF402,"~","~~"),"*","~*"),"?","~?"),'Calculations'!$HN$13:$HN$512,"="&amp;SUBSTITUTE(SUBSTITUTE(SUBSTITUTE('Dashboard'!$B$7,"~","~~"),"*","~*"),"?","~?"))+COUNTIFS('Calculations'!$HU$13:$HU$512,"="&amp;SUBSTITUTE(SUBSTITUTE(SUBSTITUTE('Calculations'!HF402,"~","~~"),"*","~*"),"?","~?"),'Calculations'!$HN$13:$HN$512,"="&amp;SUBSTITUTE(SUBSTITUTE(SUBSTITUTE('Dashboard'!$B$7,"~","~~"),"*","~*"),"?","~?"))+COUNTIFS('Calculations'!$HV$13:$HV$512,"="&amp;SUBSTITUTE(SUBSTITUTE(SUBSTITUTE('Calculations'!HF402,"~","~~"),"*","~*"),"?","~?"),'Calculations'!$HN$13:$HN$512,"="&amp;SUBSTITUTE(SUBSTITUTE(SUBSTITUTE('Dashboard'!$B$7,"~","~~"),"*","~*"),"?","~?"))+COUNTIFS('Calculations'!$HW$13:$HW$512,"="&amp;SUBSTITUTE(SUBSTITUTE(SUBSTITUTE('Calculations'!HF402,"~","~~"),"*","~*"),"?","~?"),'Calculations'!$HN$13:$HN$512,"="&amp;SUBSTITUTE(SUBSTITUTE(SUBSTITUTE('Dashboard'!$B$7,"~","~~"),"*","~*"),"?","~?"))+COUNTIFS('Calculations'!$HX$13:$HX$512,"="&amp;SUBSTITUTE(SUBSTITUTE(SUBSTITUTE('Calculations'!HF402,"~","~~"),"*","~*"),"?","~?"),'Calculations'!$HN$13:$HN$512,"="&amp;SUBSTITUTE(SUBSTITUTE(SUBSTITUTE('Dashboard'!$B$7,"~","~~"),"*","~*"),"?","~?"))+COUNTIFS('Calculations'!$HY$13:$HY$512,"="&amp;SUBSTITUTE(SUBSTITUTE(SUBSTITUTE('Calculations'!HF402,"~","~~"),"*","~*"),"?","~?"),'Calculations'!$HN$13:$HN$512,"="&amp;SUBSTITUTE(SUBSTITUTE(SUBSTITUTE('Dashboard'!$B$7,"~","~~"),"*","~*"),"?","~?"))+COUNTIFS('Calculations'!$HZ$13:$HZ$512,"="&amp;SUBSTITUTE(SUBSTITUTE(SUBSTITUTE('Calculations'!HF402,"~","~~"),"*","~*"),"?","~?"),'Calculations'!$HN$13:$HN$512,"="&amp;SUBSTITUTE(SUBSTITUTE(SUBSTITUTE('Dashboard'!$B$7,"~","~~"),"*","~*"),"?","~?"))+COUNTIFS('Calculations'!$IA$13:$IA$512,"="&amp;SUBSTITUTE(SUBSTITUTE(SUBSTITUTE('Calculations'!HF402,"~","~~"),"*","~*"),"?","~?"),'Calculations'!$HN$13:$HN$512,"="&amp;SUBSTITUTE(SUBSTITUTE(SUBSTITUTE('Dashboard'!$B$7,"~","~~"),"*","~*"),"?","~?"))+COUNTIFS('Calculations'!$IB$13:$IB$512,"="&amp;SUBSTITUTE(SUBSTITUTE(SUBSTITUTE('Calculations'!HF402,"~","~~"),"*","~*"),"?","~?"),'Calculations'!$HN$13:$HN$512,"="&amp;SUBSTITUTE(SUBSTITUTE(SUBSTITUTE('Dashboard'!$B$7,"~","~~"),"*","~*"),"?","~?"))+COUNTIFS('Calculations'!$IC$13:$IC$512,"="&amp;SUBSTITUTE(SUBSTITUTE(SUBSTITUTE('Calculations'!HF402,"~","~~"),"*","~*"),"?","~?"),'Calculations'!$HN$13:$HN$512,"="&amp;SUBSTITUTE(SUBSTITUTE(SUBSTITUTE('Dashboard'!$B$7,"~","~~"),"*","~*"),"?","~?"))+COUNTIFS('Calculations'!$ID$13:$ID$512,"="&amp;SUBSTITUTE(SUBSTITUTE(SUBSTITUTE('Calculations'!HF402,"~","~~"),"*","~*"),"?","~?"),'Calculations'!$HN$13:$HN$512,"="&amp;SUBSTITUTE(SUBSTITUTE(SUBSTITUTE('Dashboard'!$B$7,"~","~~"),"*","~*"),"?","~?"))+COUNTIFS('Calculations'!$IE$13:$IE$512,"="&amp;SUBSTITUTE(SUBSTITUTE(SUBSTITUTE('Calculations'!HF402,"~","~~"),"*","~*"),"?","~?"),'Calculations'!$HN$13:$HN$512,"="&amp;SUBSTITUTE(SUBSTITUTE(SUBSTITUTE('Dashboard'!$B$7,"~","~~"),"*","~*"),"?","~?"))+COUNTIFS('Calculations'!$IF$13:$IF$512,"="&amp;SUBSTITUTE(SUBSTITUTE(SUBSTITUTE('Calculations'!HF402,"~","~~"),"*","~*"),"?","~?"),'Calculations'!$HN$13:$HN$512,"="&amp;SUBSTITUTE(SUBSTITUTE(SUBSTITUTE('Dashboard'!$B$7,"~","~~"),"*","~*"),"?","~?"))+COUNTIFS('Calculations'!$IG$13:$IG$512,"="&amp;SUBSTITUTE(SUBSTITUTE(SUBSTITUTE('Calculations'!HF402,"~","~~"),"*","~*"),"?","~?"),'Calculations'!$HN$13:$HN$512,"="&amp;SUBSTITUTE(SUBSTITUTE(SUBSTITUTE('Dashboard'!$B$7,"~","~~"),"*","~*"),"?","~?"))+COUNTIFS('Calculations'!$IH$13:$IH$512,"="&amp;SUBSTITUTE(SUBSTITUTE(SUBSTITUTE('Calculations'!HF402,"~","~~"),"*","~*"),"?","~?"),'Calculations'!$HN$13:$HN$512,"="&amp;SUBSTITUTE(SUBSTITUTE(SUBSTITUTE('Dashboard'!$B$7,"~","~~"),"*","~*"),"?","~?"))))</x:f>
        <x:v>0</x:v>
      </x:c>
      <x:c r="JD402" t="n">
        <x:f>IF('Calculations'!EM402="",0,IF('Dashboard'!$B$7="All",1,IF('Calculations'!HN402='Dashboard'!$B$7,1,0)+IFERROR(INDEX('Calculations'!$JC$13:$JC$512,MATCH('Calculations'!HE402,'Calculations'!$HF$13:$HF$512,0)),0)))</x:f>
        <x:v>0</x:v>
      </x:c>
      <x:c r="JE402" t="n">
        <x:f>IF(AND('Calculations'!EM402&lt;&gt;"",'Calculations'!$JJ$2&lt;&gt;"All",'Calculations'!$JJ$2&lt;&gt;"",'Calculations'!HF402='Calculations'!$JJ$2,'Calculations'!HL402=0,'Calculations'!JD402&gt;0),MAX('Calculations'!$JE$12:JE401)+1,0)</x:f>
        <x:v>0</x:v>
      </x:c>
      <x:c r="JF402" t="str">
        <x:f>IF('Calculations'!EM402="","",IFERROR(IF(INDEX(INDIRECT("'WCM Calibration Final'!$G$1:$G$2000"),'Calculations'!$EM402)="","",TRIM(INDEX(INDIRECT("'WCM Calibration Final'!$G$1:$G$2000"),'Calculations'!$EM402)&amp;"")),""))</x:f>
      </x:c>
      <x:c r="JQ402" t="n">
        <x:f>IF(OR('Calculations'!BM402=0,NOT('Calculations'!$AG$2),'Calculations'!$AG$8&gt;0),0,IF(OR('Dashboard'!$B$7="All",'Calculations'!HN402='Dashboard'!$B$7),IF('Calculations'!$JJ$2="All",1,IF(AND('Calculations'!HF402='Calculations'!$JJ$2,'Calculations'!HL402=0),1,0)),0))</x:f>
        <x:v>0</x:v>
      </x:c>
    </x:row>
    <x:row r="403">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t="n">
        <x:f>IF('Calculations'!$EM403="",0,IF(OR(IFERROR(INDEX(INDIRECT("'WCM Calibration Final'!$A$1:$A$2000"),'Calculations'!$EM403)&lt;&gt;"",FALSE),IFERROR(INDEX(INDIRECT("'WCM Calibration Final'!$B$1:$B$2000"),'Calculations'!$EM403)&lt;&gt;"",FALSE),IFERROR(INDEX(INDIRECT("'WCM Calibration Final'!$C$1:$C$2000"),'Calculations'!$EM403)&lt;&gt;"",FALSE)),1,0))</x:f>
        <x:v>0</x:v>
      </x:c>
      <x:c r="BN403" s="4" t="n">
        <x:f>IF(AND('Calculations'!BM403=1,'Calculations'!$AG$2,'Calculations'!$EN403=1),1,0)</x:f>
        <x:v>0</x:v>
      </x:c>
      <x:c r="BO403" s="4" t="str">
        <x:f>IF('Calculations'!BM403=0,"",IFERROR(IF(AND(VALUE(INDEX(INDIRECT("'WCM Calibration Final'!$K$1:$K$2000"),'Calculations'!$EM403))&gt;=1,VALUE(INDEX(INDIRECT("'WCM Calibration Final'!$K$1:$K$2000"),'Calculations'!$EM403))&lt;=4,MOD(VALUE(INDEX(INDIRECT("'WCM Calibration Final'!$K$1:$K$2000"),'Calculations'!$EM403)),1)=0),VALUE(INDEX(INDIRECT("'WCM Calibration Final'!$K$1:$K$2000"),'Calculations'!$EM403)),""),""))</x:f>
      </x:c>
      <x:c r="BP403" s="4" t="str">
        <x:f>IF('Calculations'!BM403=0,"",IFERROR(IF(AND(VALUE(INDEX(INDIRECT("'WCM Calibration Final'!$L$1:$L$2000"),'Calculations'!$EM403))&gt;=1,VALUE(INDEX(INDIRECT("'WCM Calibration Final'!$L$1:$L$2000"),'Calculations'!$EM403))&lt;=4,MOD(VALUE(INDEX(INDIRECT("'WCM Calibration Final'!$L$1:$L$2000"),'Calculations'!$EM403)),1)=0),VALUE(INDEX(INDIRECT("'WCM Calibration Final'!$L$1:$L$2000"),'Calculations'!$EM403)),""),""))</x:f>
      </x:c>
      <x:c r="BQ403" s="4"/>
      <x:c r="BR403" s="4"/>
      <x:c r="BS403" s="4"/>
      <x:c r="BT403" s="4" t="n">
        <x:f>IF(AND('Calculations'!BM403=1,ISNUMBER('Calculations'!BO403),ISNUMBER('Calculations'!BP403)),1,0)</x:f>
        <x:v>0</x:v>
      </x:c>
      <x:c r="BU403" s="4" t="str">
        <x:f>IF('Calculations'!BM403=0,"",'Calculations'!$EO403)</x:f>
      </x:c>
      <x:c r="BV403" s="4" t="str">
        <x:f>IF('Calculations'!BM403=0,"",IFERROR(IF(OR(INDEX(INDIRECT("'WCM Calibration Final'!$H$1:$H$2000"),'Calculations'!$EM403)="MANAGING DIRECTOR",INDEX(INDIRECT("'WCM Calibration Final'!$H$1:$H$2000"),'Calculations'!$EM403)="DIRECTOR",INDEX(INDIRECT("'WCM Calibration Final'!$H$1:$H$2000"),'Calculations'!$EM403)="SENIOR VICE PRESIDENT",INDEX(INDIRECT("'WCM Calibration Final'!$H$1:$H$2000"),'Calculations'!$EM403)="VICE PRESIDENT",INDEX(INDIRECT("'WCM Calibration Final'!$H$1:$H$2000"),'Calculations'!$EM403)="ASSISTANT VICE PRESIDENT",INDEX(INDIRECT("'WCM Calibration Final'!$H$1:$H$2000"),'Calculations'!$EM403)="OFFICER"),UPPER(INDEX(INDIRECT("'WCM Calibration Final'!$H$1:$H$2000"),'Calculations'!$EM403)),"Other"),"Other"))</x:f>
      </x:c>
      <x:c r="BW403" s="4"/>
      <x:c r="BX403" s="4"/>
      <x:c r="BY403" s="4" t="n">
        <x:f>IF(AND('Calculations'!BM403=1,'Calculations'!BU403&lt;&gt;"",COUNTIF('Calculations'!$BU$12:BU403,'Calculations'!BU403)=1),MAX('Calculations'!$BY$11:BY402)+1,0)</x:f>
        <x:v>0</x:v>
      </x:c>
      <x:c r="BZ403" s="4" t="str">
        <x:f>IF('Dashboard'!$E$67="What",'Calculations'!BO403,'Calculations'!BP403)</x:f>
      </x:c>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t="str">
        <x:f>IF(392&gt;MAX('Calculations'!$HI$13:$HI$512),"",INDEX('Calculations'!$HN$13:$HN$512,MATCH(392,'Calculations'!$HI$13:$HI$512,0)))</x:f>
      </x:c>
      <x:c r="DB403" s="4" t="str">
        <x:f>IF(392&gt;MAX('Calculations'!$HH$13:$HH$512),"",INDEX('Calculations'!$HJ$13:$HJ$512,MATCH(392,'Calculations'!$HH$13:$HH$512,0)))</x:f>
      </x:c>
      <x:c r="DC403" s="4" t="str">
        <x:f>IF(ROW()-11&gt;MAX('Calculations'!$BY$13:$BY$512),"",INDEX('Calculations'!$BU$13:$BU$512,MATCH(ROW()-11,'Calculations'!$BY$13:$BY$512,0)))</x:f>
      </x:c>
      <x:c r="DD403" s="4" t="str">
        <x:f>IF(392&gt;MAX('Calculations'!$IK$13:$IK$512),"",INDEX('Calculations'!$HK$13:$HK$512,MATCH(392,'Calculations'!$IK$13:$IK$512,0)))</x:f>
      </x:c>
      <x:c r="DE403" s="4" t="str">
        <x:f>'Calculations'!DC403</x:f>
      </x:c>
      <x:c r="DF403" s="4" t="str">
        <x:f>IF('Calculations'!DE403="","",COUNTIFS('Calculations'!$BN$13:$BN$512,1,'Calculations'!$BU$13:$BU$512,'Calculations'!DE403))</x:f>
      </x:c>
      <x:c r="DG403" s="4" t="str">
        <x:f>IF('Calculations'!DE403="","",COUNTIFS('Calculations'!$BN$13:$BN$512,1,'Calculations'!$BU$13:$BU$512,'Calculations'!DE403,'Calculations'!$BT$13:$BT$512,1))</x:f>
      </x:c>
      <x:c r="DH403" s="4" t="str">
        <x:f>IF('Calculations'!DE403="","",'Calculations'!DF403-'Calculations'!DG403)</x:f>
      </x:c>
      <x:c r="DI403" s="4" t="str">
        <x:f>IF(OR('Calculations'!DE403="",'Calculations'!DF403=0),"",'Calculations'!DG403/'Calculations'!DF403)</x:f>
      </x:c>
      <x:c r="DJ403" s="4" t="str">
        <x:f>IF('Calculations'!DE403="","",COUNTIFS('Calculations'!$BN$13:$BN$512,1,'Calculations'!$BU$13:$BU$512,'Calculations'!DE403,'Calculations'!$BT$13:$BT$512,1,'Calculations'!$EE$13:$EE$512,"High"))</x:f>
      </x:c>
      <x:c r="DK403" s="4" t="str">
        <x:f>IF('Calculations'!DE403="","",COUNTIFS('Calculations'!$BN$13:$BN$512,1,'Calculations'!$BU$13:$BU$512,'Calculations'!DE403,'Calculations'!$BT$13:$BT$512,1,'Calculations'!$EE$13:$EE$512,"Strong"))</x:f>
      </x:c>
      <x:c r="DL403" s="4" t="str">
        <x:f>IF('Calculations'!DE403="","",COUNTIFS('Calculations'!$BN$13:$BN$512,1,'Calculations'!$BU$13:$BU$512,'Calculations'!DE403,'Calculations'!$BT$13:$BT$512,1,'Calculations'!$EE$13:$EE$512,"Solid"))</x:f>
      </x:c>
      <x:c r="DM403" s="4" t="str">
        <x:f>IF('Calculations'!DE403="","",COUNTIFS('Calculations'!$BN$13:$BN$512,1,'Calculations'!$BU$13:$BU$512,'Calculations'!DE403,'Calculations'!$BT$13:$BT$512,1,'Calculations'!$EE$13:$EE$512,"Low"))</x:f>
      </x:c>
      <x:c r="DN403" s="4" t="str">
        <x:f>IF('Calculations'!DE403="","",COUNTIFS('Calculations'!$BN$13:$BN$512,1,'Calculations'!$BU$13:$BU$512,'Calculations'!DE403,'Calculations'!$EP$13:$EP$512,1))</x:f>
      </x:c>
      <x:c r="DO403" s="4" t="str">
        <x:f>IF(OR('Calculations'!DE403="",'Calculations'!DG403=0),"",('Calculations'!DJ403+'Calculations'!DK403)/'Calculations'!DG403)</x:f>
      </x:c>
      <x:c r="DP403" s="4" t="n">
        <x:f>IF(AND('Calculations'!DE403&lt;&gt;"",'Calculations'!DF403&gt;0),COUNTIF('Calculations'!$DF$12:DF403,"&gt;0"),0)</x:f>
        <x:v>0</x:v>
      </x:c>
      <x:c r="DQ403" s="4" t="str">
        <x:f>IF(392&gt;MAX('Calculations'!$HH$13:$HH$512),"",INDEX('Calculations'!$HF$13:$HF$512,MATCH(392,'Calculations'!$HH$13:$HH$512,0)))</x:f>
      </x:c>
      <x:c r="DR403" s="4" t="str">
        <x:f>IF(392&gt;MAX('Calculations'!$IK$13:$IK$512),"",INDEX('Calculations'!$HE$13:$HE$512,MATCH(392,'Calculations'!$IK$13:$IK$512,0)))</x:f>
      </x:c>
      <x:c r="DS403" s="4"/>
      <x:c r="DT403" s="4"/>
      <x:c r="DU403" s="4"/>
      <x:c r="DV403" s="4"/>
      <x:c r="DW403" s="4"/>
      <x:c r="DX403" s="4"/>
      <x:c r="DY403" s="4"/>
      <x:c r="DZ403" s="4"/>
      <x:c r="EA403" s="4"/>
      <x:c r="EB403" s="4"/>
      <x:c r="EC403" s="4"/>
      <x:c r="ED403" s="4"/>
      <x:c r="EE403" s="4" t="str">
        <x:f>IF('Calculations'!BT403=0,"Not Rated",IF(OR('Calculations'!BO403&gt;=4,'Calculations'!BP403&gt;=4),"Low",IF('Calculations'!BO403+'Calculations'!BP403&lt;=3,"High",IF('Calculations'!BO403+'Calculations'!BP403&lt;=4,"Strong","Solid"))))</x:f>
        <x:v>Not Rated</x:v>
      </x:c>
      <x:c r="EF403" s="4"/>
      <x:c r="EG403" s="4"/>
      <x:c r="EH403" s="4"/>
      <x:c r="EI403" s="4"/>
      <x:c r="EJ403" s="4"/>
      <x:c r="EK403" s="4"/>
      <x:c r="EL403" s="4"/>
      <x:c r="EM403" s="4" t="str">
        <x:f>IF(391&gt;'Calculations'!$JB$2000,"",INDEX('Calculations'!$JA$12:$JA$2000,MATCH(391,'Calculations'!$JB$12:$JB$2000,0)))</x:f>
      </x:c>
      <x:c r="EN403" s="4" t="n">
        <x:f>IF(OR('Calculations'!EM403="",'Calculations'!$AG$8&gt;0,AND('Calculations'!$EF$2&lt;&gt;"All",'Calculations'!HE403='Calculations'!$EF$2),AND('Calculations'!$EF$3&lt;&gt;"All",'Calculations'!HE403='Calculations'!$EF$3)),0,IF(OR('Dashboard'!$B$7="All",'Calculations'!HN403='Dashboard'!$B$7),IF('Calculations'!$EF$2="All",1,IF('Calculations'!HL403&gt;0,0,IF(COUNTIF('Calculations'!HO403:II403,"="&amp;SUBSTITUTE(SUBSTITUTE(SUBSTITUTE('Calculations'!$EF$2,"~","~~"),"*","~*"),"?","~?"))=0,0,IF('Calculations'!$EF$3="All",1,IF(COUNTIF('Calculations'!HO403:II403,"="&amp;SUBSTITUTE(SUBSTITUTE(SUBSTITUTE('Calculations'!$EF$3,"~","~~"),"*","~*"),"?","~?"))&gt;0,1,0))))),0))</x:f>
        <x:v>0</x:v>
      </x:c>
      <x:c r="EO403" s="4" t="str">
        <x:f>IF('Calculations'!IJ403="","",IF('Calculations'!IJ403="!UNRESOLVED","Unresolved hierarchy",IFERROR(INDEX('Calculations'!$HK$13:$HK$512,MATCH('Calculations'!IJ403,'Calculations'!$HE$13:$HE$512,0)),IFERROR(INDEX('Calculations'!$HJ$13:$HJ$512,MATCH('Calculations'!IJ403,'Calculations'!$HF$13:$HF$512,0)),'Calculations'!IJ403))))</x:f>
      </x:c>
      <x:c r="EP403" s="4" t="n">
        <x:f>IF(AND('Calculations'!EM403&lt;&gt;"",'Calculations'!HF403='Calculations'!IJ403),1,0)</x:f>
        <x:v>0</x:v>
      </x:c>
      <x:c r="EQ403" s="4"/>
      <x:c r="ER403" s="4"/>
      <x:c r="ES403" s="4"/>
      <x:c r="ET403" s="4"/>
      <x:c r="EU403" s="4"/>
      <x:c r="EV403" s="4"/>
      <x:c r="EW403" s="4"/>
      <x:c r="EX403" s="4"/>
      <x:c r="EY403" s="4"/>
      <x:c r="EZ403" s="4"/>
      <x:c r="FA403" s="4"/>
      <x:c r="FB403" s="4"/>
      <x:c r="FC403" s="4"/>
      <x:c r="FD403" s="4"/>
      <x:c r="FE403" s="4"/>
      <x:c r="FF403" s="4"/>
      <x:c r="FG403" s="4"/>
      <x:c r="FH403" s="4"/>
      <x:c r="FI403" s="4"/>
      <x:c r="FJ403" s="4"/>
      <x:c r="FK403" s="4"/>
      <x:c r="FL403" s="4"/>
      <x:c r="FM403" s="4"/>
      <x:c r="FN403" s="4"/>
      <x:c r="FO403" s="4"/>
      <x:c r="HE403" t="str">
        <x:f>IF('Calculations'!EM403="","",IF(IFERROR(IF(INDEX(INDIRECT("'WCM Calibration Final'!$A$1:$A$2000"),'Calculations'!$EM403)="","",TRIM(INDEX(INDIRECT("'WCM Calibration Final'!$A$1:$A$2000"),'Calculations'!$EM403)&amp;"")),"")&lt;&gt;"","G:"&amp;IFERROR(TEXT(1*INDEX(INDIRECT("'WCM Calibration Final'!$A$1:$A$2000"),'Calculations'!$EM403),"0"),UPPER(IFERROR(IF(INDEX(INDIRECT("'WCM Calibration Final'!$A$1:$A$2000"),'Calculations'!$EM403)="","",TRIM(INDEX(INDIRECT("'WCM Calibration Final'!$A$1:$A$2000"),'Calculations'!$EM403)&amp;"")),""))),IF(IFERROR(IF(INDEX(INDIRECT("'WCM Calibration Final'!$C$1:$C$2000"),'Calculations'!$EM403)="","",TRIM(INDEX(INDIRECT("'WCM Calibration Final'!$C$1:$C$2000"),'Calculations'!$EM403)&amp;"")),"")&lt;&gt;"","S:"&amp;UPPER(IFERROR(IF(INDEX(INDIRECT("'WCM Calibration Final'!$C$1:$C$2000"),'Calculations'!$EM403)="","",TRIM(INDEX(INDIRECT("'WCM Calibration Final'!$C$1:$C$2000"),'Calculations'!$EM403)&amp;"")),"")),"R:"&amp;'Calculations'!EM403)))</x:f>
      </x:c>
      <x:c r="HF403" t="str">
        <x:f>IF('Calculations'!EM403="","",IF(IFERROR(IF(INDEX(INDIRECT("'WCM Calibration Final'!$D$1:$D$2000"),'Calculations'!$EM403)="","",TRIM(INDEX(INDIRECT("'WCM Calibration Final'!$D$1:$D$2000"),'Calculations'!$EM403)&amp;"")),"")&lt;&gt;"","G:"&amp;IFERROR(TEXT(1*INDEX(INDIRECT("'WCM Calibration Final'!$D$1:$D$2000"),'Calculations'!$EM403),"0"),UPPER(IFERROR(IF(INDEX(INDIRECT("'WCM Calibration Final'!$D$1:$D$2000"),'Calculations'!$EM403)="","",TRIM(INDEX(INDIRECT("'WCM Calibration Final'!$D$1:$D$2000"),'Calculations'!$EM403)&amp;"")),""))),IF(IFERROR(IF(INDEX(INDIRECT("'WCM Calibration Final'!$E$1:$E$2000"),'Calculations'!$EM403)="","",TRIM(INDEX(INDIRECT("'WCM Calibration Final'!$E$1:$E$2000"),'Calculations'!$EM403)&amp;"")),"")="","",IF(COUNTIF('Calculations'!$HG$13:$HG$512,"="&amp;SUBSTITUTE(SUBSTITUTE(SUBSTITUTE(IFERROR(IF(INDEX(INDIRECT("'WCM Calibration Final'!$E$1:$E$2000"),'Calculations'!$EM403)="","",TRIM(INDEX(INDIRECT("'WCM Calibration Final'!$E$1:$E$2000"),'Calculations'!$EM403)&amp;"")),""),"~","~~"),"*","~*"),"?","~?"))=1,INDEX('Calculations'!$HE$13:$HE$512,MATCH(IFERROR(IF(INDEX(INDIRECT("'WCM Calibration Final'!$E$1:$E$2000"),'Calculations'!$EM403)="","",TRIM(INDEX(INDIRECT("'WCM Calibration Final'!$E$1:$E$2000"),'Calculations'!$EM403)&amp;"")),""),'Calculations'!$HG$13:$HG$512,0)),IF(COUNTIF('Calculations'!$HG$13:$HG$512,"="&amp;SUBSTITUTE(SUBSTITUTE(SUBSTITUTE(IFERROR(IF(INDEX(INDIRECT("'WCM Calibration Final'!$E$1:$E$2000"),'Calculations'!$EM403)="","",TRIM(INDEX(INDIRECT("'WCM Calibration Final'!$E$1:$E$2000"),'Calculations'!$EM403)&amp;"")),""),"~","~~"),"*","~*"),"?","~?"))&gt;1,"!AMBIG","X:"&amp;IFERROR(IF(INDEX(INDIRECT("'WCM Calibration Final'!$E$1:$E$2000"),'Calculations'!$EM403)="","",TRIM(INDEX(INDIRECT("'WCM Calibration Final'!$E$1:$E$2000"),'Calculations'!$EM403)&amp;"")),""))))))</x:f>
      </x:c>
      <x:c r="HG403" t="str">
        <x:f>IF('Calculations'!EM403="","",IFERROR(IF(INDEX(INDIRECT("'WCM Calibration Final'!$B$1:$B$2000"),'Calculations'!$EM403)="","",TRIM(INDEX(INDIRECT("'WCM Calibration Final'!$B$1:$B$2000"),'Calculations'!$EM403)&amp;"")),""))</x:f>
      </x:c>
      <x:c r="HH403" t="n">
        <x:f>IF(AND('Calculations'!JC403&gt;0,COUNTIF('Calculations'!$HF$12:HF403,"="&amp;SUBSTITUTE(SUBSTITUTE(SUBSTITUTE('Calculations'!HF403,"~","~~"),"*","~*"),"?","~?"))=1),MAX('Calculations'!$HH$12:HH402)+1,0)</x:f>
        <x:v>0</x:v>
      </x:c>
      <x:c r="HI403" t="n">
        <x:f>IF(AND('Calculations'!HN403&lt;&gt;"",COUNTIF('Calculations'!$HN$12:HN403,"="&amp;SUBSTITUTE(SUBSTITUTE(SUBSTITUTE('Calculations'!HN403,"~","~~"),"*","~*"),"?","~?"))=1),MAX('Calculations'!$HI$12:HI402)+1,0)</x:f>
        <x:v>0</x:v>
      </x:c>
      <x:c r="HJ403" t="str">
        <x:f>IF('Calculations'!HF403="","",IF(COUNTIF('Calculations'!$HE$13:$HE$512,"="&amp;SUBSTITUTE(SUBSTITUTE(SUBSTITUTE('Calculations'!HF403,"~","~~"),"*","~*"),"?","~?"))=1,INDEX('Calculations'!$HK$13:$HK$512,MATCH('Calculations'!HF403,'Calculations'!$HE$13:$HE$512,0)),IFERROR(IF(INDEX(INDIRECT("'WCM Calibration Final'!$E$1:$E$2000"),'Calculations'!$EM403)="","",TRIM(INDEX(INDIRECT("'WCM Calibration Final'!$E$1:$E$2000"),'Calculations'!$EM403)&amp;"")),"")&amp;" ["&amp;'Calculations'!HF403&amp;"]"))</x:f>
      </x:c>
      <x:c r="HK403" t="str">
        <x:f>IF('Calculations'!EM403="","",'Calculations'!HG403&amp;" ["&amp;'Calculations'!HE403&amp;"]")</x:f>
      </x:c>
      <x:c r="HL403" t="n">
        <x:f>IF('Calculations'!EM403="",0,IF(OR('Calculations'!II403&lt;&gt;"",COUNTIF('Calculations'!$HE$13:$HE$512,"="&amp;SUBSTITUTE(SUBSTITUTE(SUBSTITUTE('Calculations'!HE403,"~","~~"),"*","~*"),"?","~?"))&gt;1),1,0))</x:f>
        <x:v>0</x:v>
      </x:c>
      <x:c r="HM403" t="str">
        <x:f>IF('Calculations'!EM403="","",IF('Calculations'!HL403=1,"!UNRESOLVED",IF('Calculations'!IH403&lt;&gt;"",'Calculations'!IH403,IF('Calculations'!IG403&lt;&gt;"",'Calculations'!IG403,IF('Calculations'!IF403&lt;&gt;"",'Calculations'!IF403,IF('Calculations'!IE403&lt;&gt;"",'Calculations'!IE403,IF('Calculations'!ID403&lt;&gt;"",'Calculations'!ID403,IF('Calculations'!IC403&lt;&gt;"",'Calculations'!IC403,IF('Calculations'!IB403&lt;&gt;"",'Calculations'!IB403,IF('Calculations'!IA403&lt;&gt;"",'Calculations'!IA403,IF('Calculations'!HZ403&lt;&gt;"",'Calculations'!HZ403,IF('Calculations'!HY403&lt;&gt;"",'Calculations'!HY403,IF('Calculations'!HX403&lt;&gt;"",'Calculations'!HX403,IF('Calculations'!HW403&lt;&gt;"",'Calculations'!HW403,IF('Calculations'!HV403&lt;&gt;"",'Calculations'!HV403,IF('Calculations'!HU403&lt;&gt;"",'Calculations'!HU403,IF('Calculations'!HT403&lt;&gt;"",'Calculations'!HT403,IF('Calculations'!HS403&lt;&gt;"",'Calculations'!HS403,IF('Calculations'!HR403&lt;&gt;"",'Calculations'!HR403,IF('Calculations'!HQ403&lt;&gt;"",'Calculations'!HQ403,IF('Calculations'!HP403&lt;&gt;"",'Calculations'!HP403,IF('Calculations'!HO403&lt;&gt;"",'Calculations'!HO403,'Calculations'!HE403))))))))))))))))))))))</x:f>
      </x:c>
      <x:c r="HN403" t="str">
        <x:f>IF('Calculations'!EM403="","",IF(IFERROR(IF(INDEX(INDIRECT("'WCM Calibration Final'!$F$1:$F$2000"),'Calculations'!$EM403)="","",TRIM(INDEX(INDIRECT("'WCM Calibration Final'!$F$1:$F$2000"),'Calculations'!$EM403)&amp;"")),"")="","(Blank)",IFERROR(IF(INDEX(INDIRECT("'WCM Calibration Final'!$F$1:$F$2000"),'Calculations'!$EM403)="","",TRIM(INDEX(INDIRECT("'WCM Calibration Final'!$F$1:$F$2000"),'Calculations'!$EM403)&amp;"")),"")))</x:f>
      </x:c>
      <x:c r="HO403" t="str">
        <x:f>'Calculations'!HF403</x:f>
      </x:c>
      <x:c r="HP403" t="str">
        <x:f>IF('Calculations'!HO403="","",IF('Calculations'!HO403="!AMBIG","!AMBIG",IF(COUNTIF('Calculations'!$HE$13:$HE$512,"="&amp;SUBSTITUTE(SUBSTITUTE(SUBSTITUTE('Calculations'!HO403,"~","~~"),"*","~*"),"?","~?"))&gt;1,"!AMBIG",IFERROR(INDEX('Calculations'!$HF$13:$HF$512,MATCH('Calculations'!HO403,'Calculations'!$HE$13:$HE$512,0)),""))))</x:f>
      </x:c>
      <x:c r="HQ403" t="str">
        <x:f>IF('Calculations'!HP403="","",IF('Calculations'!HP403="!AMBIG","!AMBIG",IF(COUNTIF('Calculations'!$HE$13:$HE$512,"="&amp;SUBSTITUTE(SUBSTITUTE(SUBSTITUTE('Calculations'!HP403,"~","~~"),"*","~*"),"?","~?"))&gt;1,"!AMBIG",IFERROR(INDEX('Calculations'!$HF$13:$HF$512,MATCH('Calculations'!HP403,'Calculations'!$HE$13:$HE$512,0)),""))))</x:f>
      </x:c>
      <x:c r="HR403" t="str">
        <x:f>IF('Calculations'!HQ403="","",IF('Calculations'!HQ403="!AMBIG","!AMBIG",IF(COUNTIF('Calculations'!$HE$13:$HE$512,"="&amp;SUBSTITUTE(SUBSTITUTE(SUBSTITUTE('Calculations'!HQ403,"~","~~"),"*","~*"),"?","~?"))&gt;1,"!AMBIG",IFERROR(INDEX('Calculations'!$HF$13:$HF$512,MATCH('Calculations'!HQ403,'Calculations'!$HE$13:$HE$512,0)),""))))</x:f>
      </x:c>
      <x:c r="HS403" t="str">
        <x:f>IF('Calculations'!HR403="","",IF('Calculations'!HR403="!AMBIG","!AMBIG",IF(COUNTIF('Calculations'!$HE$13:$HE$512,"="&amp;SUBSTITUTE(SUBSTITUTE(SUBSTITUTE('Calculations'!HR403,"~","~~"),"*","~*"),"?","~?"))&gt;1,"!AMBIG",IFERROR(INDEX('Calculations'!$HF$13:$HF$512,MATCH('Calculations'!HR403,'Calculations'!$HE$13:$HE$512,0)),""))))</x:f>
      </x:c>
      <x:c r="HT403" t="str">
        <x:f>IF('Calculations'!HS403="","",IF('Calculations'!HS403="!AMBIG","!AMBIG",IF(COUNTIF('Calculations'!$HE$13:$HE$512,"="&amp;SUBSTITUTE(SUBSTITUTE(SUBSTITUTE('Calculations'!HS403,"~","~~"),"*","~*"),"?","~?"))&gt;1,"!AMBIG",IFERROR(INDEX('Calculations'!$HF$13:$HF$512,MATCH('Calculations'!HS403,'Calculations'!$HE$13:$HE$512,0)),""))))</x:f>
      </x:c>
      <x:c r="HU403" t="str">
        <x:f>IF('Calculations'!HT403="","",IF('Calculations'!HT403="!AMBIG","!AMBIG",IF(COUNTIF('Calculations'!$HE$13:$HE$512,"="&amp;SUBSTITUTE(SUBSTITUTE(SUBSTITUTE('Calculations'!HT403,"~","~~"),"*","~*"),"?","~?"))&gt;1,"!AMBIG",IFERROR(INDEX('Calculations'!$HF$13:$HF$512,MATCH('Calculations'!HT403,'Calculations'!$HE$13:$HE$512,0)),""))))</x:f>
      </x:c>
      <x:c r="HV403" t="str">
        <x:f>IF('Calculations'!HU403="","",IF('Calculations'!HU403="!AMBIG","!AMBIG",IF(COUNTIF('Calculations'!$HE$13:$HE$512,"="&amp;SUBSTITUTE(SUBSTITUTE(SUBSTITUTE('Calculations'!HU403,"~","~~"),"*","~*"),"?","~?"))&gt;1,"!AMBIG",IFERROR(INDEX('Calculations'!$HF$13:$HF$512,MATCH('Calculations'!HU403,'Calculations'!$HE$13:$HE$512,0)),""))))</x:f>
      </x:c>
      <x:c r="HW403" t="str">
        <x:f>IF('Calculations'!HV403="","",IF('Calculations'!HV403="!AMBIG","!AMBIG",IF(COUNTIF('Calculations'!$HE$13:$HE$512,"="&amp;SUBSTITUTE(SUBSTITUTE(SUBSTITUTE('Calculations'!HV403,"~","~~"),"*","~*"),"?","~?"))&gt;1,"!AMBIG",IFERROR(INDEX('Calculations'!$HF$13:$HF$512,MATCH('Calculations'!HV403,'Calculations'!$HE$13:$HE$512,0)),""))))</x:f>
      </x:c>
      <x:c r="HX403" t="str">
        <x:f>IF('Calculations'!HW403="","",IF('Calculations'!HW403="!AMBIG","!AMBIG",IF(COUNTIF('Calculations'!$HE$13:$HE$512,"="&amp;SUBSTITUTE(SUBSTITUTE(SUBSTITUTE('Calculations'!HW403,"~","~~"),"*","~*"),"?","~?"))&gt;1,"!AMBIG",IFERROR(INDEX('Calculations'!$HF$13:$HF$512,MATCH('Calculations'!HW403,'Calculations'!$HE$13:$HE$512,0)),""))))</x:f>
      </x:c>
      <x:c r="HY403" t="str">
        <x:f>IF('Calculations'!HX403="","",IF('Calculations'!HX403="!AMBIG","!AMBIG",IF(COUNTIF('Calculations'!$HE$13:$HE$512,"="&amp;SUBSTITUTE(SUBSTITUTE(SUBSTITUTE('Calculations'!HX403,"~","~~"),"*","~*"),"?","~?"))&gt;1,"!AMBIG",IFERROR(INDEX('Calculations'!$HF$13:$HF$512,MATCH('Calculations'!HX403,'Calculations'!$HE$13:$HE$512,0)),""))))</x:f>
      </x:c>
      <x:c r="HZ403" t="str">
        <x:f>IF('Calculations'!HY403="","",IF('Calculations'!HY403="!AMBIG","!AMBIG",IF(COUNTIF('Calculations'!$HE$13:$HE$512,"="&amp;SUBSTITUTE(SUBSTITUTE(SUBSTITUTE('Calculations'!HY403,"~","~~"),"*","~*"),"?","~?"))&gt;1,"!AMBIG",IFERROR(INDEX('Calculations'!$HF$13:$HF$512,MATCH('Calculations'!HY403,'Calculations'!$HE$13:$HE$512,0)),""))))</x:f>
      </x:c>
      <x:c r="IA403" t="str">
        <x:f>IF('Calculations'!HZ403="","",IF('Calculations'!HZ403="!AMBIG","!AMBIG",IF(COUNTIF('Calculations'!$HE$13:$HE$512,"="&amp;SUBSTITUTE(SUBSTITUTE(SUBSTITUTE('Calculations'!HZ403,"~","~~"),"*","~*"),"?","~?"))&gt;1,"!AMBIG",IFERROR(INDEX('Calculations'!$HF$13:$HF$512,MATCH('Calculations'!HZ403,'Calculations'!$HE$13:$HE$512,0)),""))))</x:f>
      </x:c>
      <x:c r="IB403" t="str">
        <x:f>IF('Calculations'!IA403="","",IF('Calculations'!IA403="!AMBIG","!AMBIG",IF(COUNTIF('Calculations'!$HE$13:$HE$512,"="&amp;SUBSTITUTE(SUBSTITUTE(SUBSTITUTE('Calculations'!IA403,"~","~~"),"*","~*"),"?","~?"))&gt;1,"!AMBIG",IFERROR(INDEX('Calculations'!$HF$13:$HF$512,MATCH('Calculations'!IA403,'Calculations'!$HE$13:$HE$512,0)),""))))</x:f>
      </x:c>
      <x:c r="IC403" t="str">
        <x:f>IF('Calculations'!IB403="","",IF('Calculations'!IB403="!AMBIG","!AMBIG",IF(COUNTIF('Calculations'!$HE$13:$HE$512,"="&amp;SUBSTITUTE(SUBSTITUTE(SUBSTITUTE('Calculations'!IB403,"~","~~"),"*","~*"),"?","~?"))&gt;1,"!AMBIG",IFERROR(INDEX('Calculations'!$HF$13:$HF$512,MATCH('Calculations'!IB403,'Calculations'!$HE$13:$HE$512,0)),""))))</x:f>
      </x:c>
      <x:c r="ID403" t="str">
        <x:f>IF('Calculations'!IC403="","",IF('Calculations'!IC403="!AMBIG","!AMBIG",IF(COUNTIF('Calculations'!$HE$13:$HE$512,"="&amp;SUBSTITUTE(SUBSTITUTE(SUBSTITUTE('Calculations'!IC403,"~","~~"),"*","~*"),"?","~?"))&gt;1,"!AMBIG",IFERROR(INDEX('Calculations'!$HF$13:$HF$512,MATCH('Calculations'!IC403,'Calculations'!$HE$13:$HE$512,0)),""))))</x:f>
      </x:c>
      <x:c r="IE403" t="str">
        <x:f>IF('Calculations'!ID403="","",IF('Calculations'!ID403="!AMBIG","!AMBIG",IF(COUNTIF('Calculations'!$HE$13:$HE$512,"="&amp;SUBSTITUTE(SUBSTITUTE(SUBSTITUTE('Calculations'!ID403,"~","~~"),"*","~*"),"?","~?"))&gt;1,"!AMBIG",IFERROR(INDEX('Calculations'!$HF$13:$HF$512,MATCH('Calculations'!ID403,'Calculations'!$HE$13:$HE$512,0)),""))))</x:f>
      </x:c>
      <x:c r="IF403" t="str">
        <x:f>IF('Calculations'!IE403="","",IF('Calculations'!IE403="!AMBIG","!AMBIG",IF(COUNTIF('Calculations'!$HE$13:$HE$512,"="&amp;SUBSTITUTE(SUBSTITUTE(SUBSTITUTE('Calculations'!IE403,"~","~~"),"*","~*"),"?","~?"))&gt;1,"!AMBIG",IFERROR(INDEX('Calculations'!$HF$13:$HF$512,MATCH('Calculations'!IE403,'Calculations'!$HE$13:$HE$512,0)),""))))</x:f>
      </x:c>
      <x:c r="IG403" t="str">
        <x:f>IF('Calculations'!IF403="","",IF('Calculations'!IF403="!AMBIG","!AMBIG",IF(COUNTIF('Calculations'!$HE$13:$HE$512,"="&amp;SUBSTITUTE(SUBSTITUTE(SUBSTITUTE('Calculations'!IF403,"~","~~"),"*","~*"),"?","~?"))&gt;1,"!AMBIG",IFERROR(INDEX('Calculations'!$HF$13:$HF$512,MATCH('Calculations'!IF403,'Calculations'!$HE$13:$HE$512,0)),""))))</x:f>
      </x:c>
      <x:c r="IH403" t="str">
        <x:f>IF('Calculations'!IG403="","",IF('Calculations'!IG403="!AMBIG","!AMBIG",IF(COUNTIF('Calculations'!$HE$13:$HE$512,"="&amp;SUBSTITUTE(SUBSTITUTE(SUBSTITUTE('Calculations'!IG403,"~","~~"),"*","~*"),"?","~?"))&gt;1,"!AMBIG",IFERROR(INDEX('Calculations'!$HF$13:$HF$512,MATCH('Calculations'!IG403,'Calculations'!$HE$13:$HE$512,0)),""))))</x:f>
      </x:c>
      <x:c r="II403" t="str">
        <x:f>IF('Calculations'!IH403="","",IF('Calculations'!IH403="!AMBIG","!AMBIG",IF(COUNTIF('Calculations'!$HE$13:$HE$512,"="&amp;SUBSTITUTE(SUBSTITUTE(SUBSTITUTE('Calculations'!IH403,"~","~~"),"*","~*"),"?","~?"))&gt;1,"!AMBIG",IFERROR(INDEX('Calculations'!$HF$13:$HF$512,MATCH('Calculations'!IH403,'Calculations'!$HE$13:$HE$512,0)),""))))</x:f>
      </x:c>
      <x:c r="IJ403" t="str">
        <x:f>IF('Calculations'!EM403="","",IF('Calculations'!$EF$2="All",'Calculations'!HM403,IF('Calculations'!HL403=1,"",IFERROR(IF(MATCH('Calculations'!$EF$2,'Calculations'!HO403:II403,0)=1,'Calculations'!HE403,INDEX('Calculations'!HO403:II403,1,MATCH('Calculations'!$EF$2,'Calculations'!HO403:II403,0)-1)),""))))</x:f>
      </x:c>
      <x:c r="IK403" t="n">
        <x:f>IF(AND('Calculations'!EM403&lt;&gt;"",'Calculations'!$EF$2&lt;&gt;"All",'Calculations'!HF403='Calculations'!$EF$2,'Calculations'!HL403=0,'Calculations'!JD403&gt;0),MAX('Calculations'!$IK$12:IK402)+1,0)</x:f>
        <x:v>0</x:v>
      </x:c>
      <x:c r="JA403" t="n">
        <x:f>IF(OR(IFERROR(INDIRECT("'WCM Calibration Final'!$A$403")&lt;&gt;"",FALSE),IFERROR(INDIRECT("'WCM Calibration Final'!$B$403")&lt;&gt;"",FALSE),IFERROR(INDIRECT("'WCM Calibration Final'!$C$403")&lt;&gt;"",FALSE)),403,0)</x:f>
        <x:v>0</x:v>
      </x:c>
      <x:c r="JB403" t="n">
        <x:f>'Calculations'!JB402+IF('Calculations'!JA403&gt;0,1,0)</x:f>
        <x:v>0</x:v>
      </x:c>
      <x:c r="JC403" t="n">
        <x:f>IF(OR('Calculations'!HF403="",'Calculations'!HF403="!AMBIG"),0,IF('Dashboard'!$B$7="All",1,COUNTIFS('Calculations'!$HO$13:$HO$512,"="&amp;SUBSTITUTE(SUBSTITUTE(SUBSTITUTE('Calculations'!HF403,"~","~~"),"*","~*"),"?","~?"),'Calculations'!$HN$13:$HN$512,"="&amp;SUBSTITUTE(SUBSTITUTE(SUBSTITUTE('Dashboard'!$B$7,"~","~~"),"*","~*"),"?","~?"))+COUNTIFS('Calculations'!$HP$13:$HP$512,"="&amp;SUBSTITUTE(SUBSTITUTE(SUBSTITUTE('Calculations'!HF403,"~","~~"),"*","~*"),"?","~?"),'Calculations'!$HN$13:$HN$512,"="&amp;SUBSTITUTE(SUBSTITUTE(SUBSTITUTE('Dashboard'!$B$7,"~","~~"),"*","~*"),"?","~?"))+COUNTIFS('Calculations'!$HQ$13:$HQ$512,"="&amp;SUBSTITUTE(SUBSTITUTE(SUBSTITUTE('Calculations'!HF403,"~","~~"),"*","~*"),"?","~?"),'Calculations'!$HN$13:$HN$512,"="&amp;SUBSTITUTE(SUBSTITUTE(SUBSTITUTE('Dashboard'!$B$7,"~","~~"),"*","~*"),"?","~?"))+COUNTIFS('Calculations'!$HR$13:$HR$512,"="&amp;SUBSTITUTE(SUBSTITUTE(SUBSTITUTE('Calculations'!HF403,"~","~~"),"*","~*"),"?","~?"),'Calculations'!$HN$13:$HN$512,"="&amp;SUBSTITUTE(SUBSTITUTE(SUBSTITUTE('Dashboard'!$B$7,"~","~~"),"*","~*"),"?","~?"))+COUNTIFS('Calculations'!$HS$13:$HS$512,"="&amp;SUBSTITUTE(SUBSTITUTE(SUBSTITUTE('Calculations'!HF403,"~","~~"),"*","~*"),"?","~?"),'Calculations'!$HN$13:$HN$512,"="&amp;SUBSTITUTE(SUBSTITUTE(SUBSTITUTE('Dashboard'!$B$7,"~","~~"),"*","~*"),"?","~?"))+COUNTIFS('Calculations'!$HT$13:$HT$512,"="&amp;SUBSTITUTE(SUBSTITUTE(SUBSTITUTE('Calculations'!HF403,"~","~~"),"*","~*"),"?","~?"),'Calculations'!$HN$13:$HN$512,"="&amp;SUBSTITUTE(SUBSTITUTE(SUBSTITUTE('Dashboard'!$B$7,"~","~~"),"*","~*"),"?","~?"))+COUNTIFS('Calculations'!$HU$13:$HU$512,"="&amp;SUBSTITUTE(SUBSTITUTE(SUBSTITUTE('Calculations'!HF403,"~","~~"),"*","~*"),"?","~?"),'Calculations'!$HN$13:$HN$512,"="&amp;SUBSTITUTE(SUBSTITUTE(SUBSTITUTE('Dashboard'!$B$7,"~","~~"),"*","~*"),"?","~?"))+COUNTIFS('Calculations'!$HV$13:$HV$512,"="&amp;SUBSTITUTE(SUBSTITUTE(SUBSTITUTE('Calculations'!HF403,"~","~~"),"*","~*"),"?","~?"),'Calculations'!$HN$13:$HN$512,"="&amp;SUBSTITUTE(SUBSTITUTE(SUBSTITUTE('Dashboard'!$B$7,"~","~~"),"*","~*"),"?","~?"))+COUNTIFS('Calculations'!$HW$13:$HW$512,"="&amp;SUBSTITUTE(SUBSTITUTE(SUBSTITUTE('Calculations'!HF403,"~","~~"),"*","~*"),"?","~?"),'Calculations'!$HN$13:$HN$512,"="&amp;SUBSTITUTE(SUBSTITUTE(SUBSTITUTE('Dashboard'!$B$7,"~","~~"),"*","~*"),"?","~?"))+COUNTIFS('Calculations'!$HX$13:$HX$512,"="&amp;SUBSTITUTE(SUBSTITUTE(SUBSTITUTE('Calculations'!HF403,"~","~~"),"*","~*"),"?","~?"),'Calculations'!$HN$13:$HN$512,"="&amp;SUBSTITUTE(SUBSTITUTE(SUBSTITUTE('Dashboard'!$B$7,"~","~~"),"*","~*"),"?","~?"))+COUNTIFS('Calculations'!$HY$13:$HY$512,"="&amp;SUBSTITUTE(SUBSTITUTE(SUBSTITUTE('Calculations'!HF403,"~","~~"),"*","~*"),"?","~?"),'Calculations'!$HN$13:$HN$512,"="&amp;SUBSTITUTE(SUBSTITUTE(SUBSTITUTE('Dashboard'!$B$7,"~","~~"),"*","~*"),"?","~?"))+COUNTIFS('Calculations'!$HZ$13:$HZ$512,"="&amp;SUBSTITUTE(SUBSTITUTE(SUBSTITUTE('Calculations'!HF403,"~","~~"),"*","~*"),"?","~?"),'Calculations'!$HN$13:$HN$512,"="&amp;SUBSTITUTE(SUBSTITUTE(SUBSTITUTE('Dashboard'!$B$7,"~","~~"),"*","~*"),"?","~?"))+COUNTIFS('Calculations'!$IA$13:$IA$512,"="&amp;SUBSTITUTE(SUBSTITUTE(SUBSTITUTE('Calculations'!HF403,"~","~~"),"*","~*"),"?","~?"),'Calculations'!$HN$13:$HN$512,"="&amp;SUBSTITUTE(SUBSTITUTE(SUBSTITUTE('Dashboard'!$B$7,"~","~~"),"*","~*"),"?","~?"))+COUNTIFS('Calculations'!$IB$13:$IB$512,"="&amp;SUBSTITUTE(SUBSTITUTE(SUBSTITUTE('Calculations'!HF403,"~","~~"),"*","~*"),"?","~?"),'Calculations'!$HN$13:$HN$512,"="&amp;SUBSTITUTE(SUBSTITUTE(SUBSTITUTE('Dashboard'!$B$7,"~","~~"),"*","~*"),"?","~?"))+COUNTIFS('Calculations'!$IC$13:$IC$512,"="&amp;SUBSTITUTE(SUBSTITUTE(SUBSTITUTE('Calculations'!HF403,"~","~~"),"*","~*"),"?","~?"),'Calculations'!$HN$13:$HN$512,"="&amp;SUBSTITUTE(SUBSTITUTE(SUBSTITUTE('Dashboard'!$B$7,"~","~~"),"*","~*"),"?","~?"))+COUNTIFS('Calculations'!$ID$13:$ID$512,"="&amp;SUBSTITUTE(SUBSTITUTE(SUBSTITUTE('Calculations'!HF403,"~","~~"),"*","~*"),"?","~?"),'Calculations'!$HN$13:$HN$512,"="&amp;SUBSTITUTE(SUBSTITUTE(SUBSTITUTE('Dashboard'!$B$7,"~","~~"),"*","~*"),"?","~?"))+COUNTIFS('Calculations'!$IE$13:$IE$512,"="&amp;SUBSTITUTE(SUBSTITUTE(SUBSTITUTE('Calculations'!HF403,"~","~~"),"*","~*"),"?","~?"),'Calculations'!$HN$13:$HN$512,"="&amp;SUBSTITUTE(SUBSTITUTE(SUBSTITUTE('Dashboard'!$B$7,"~","~~"),"*","~*"),"?","~?"))+COUNTIFS('Calculations'!$IF$13:$IF$512,"="&amp;SUBSTITUTE(SUBSTITUTE(SUBSTITUTE('Calculations'!HF403,"~","~~"),"*","~*"),"?","~?"),'Calculations'!$HN$13:$HN$512,"="&amp;SUBSTITUTE(SUBSTITUTE(SUBSTITUTE('Dashboard'!$B$7,"~","~~"),"*","~*"),"?","~?"))+COUNTIFS('Calculations'!$IG$13:$IG$512,"="&amp;SUBSTITUTE(SUBSTITUTE(SUBSTITUTE('Calculations'!HF403,"~","~~"),"*","~*"),"?","~?"),'Calculations'!$HN$13:$HN$512,"="&amp;SUBSTITUTE(SUBSTITUTE(SUBSTITUTE('Dashboard'!$B$7,"~","~~"),"*","~*"),"?","~?"))+COUNTIFS('Calculations'!$IH$13:$IH$512,"="&amp;SUBSTITUTE(SUBSTITUTE(SUBSTITUTE('Calculations'!HF403,"~","~~"),"*","~*"),"?","~?"),'Calculations'!$HN$13:$HN$512,"="&amp;SUBSTITUTE(SUBSTITUTE(SUBSTITUTE('Dashboard'!$B$7,"~","~~"),"*","~*"),"?","~?"))))</x:f>
        <x:v>0</x:v>
      </x:c>
      <x:c r="JD403" t="n">
        <x:f>IF('Calculations'!EM403="",0,IF('Dashboard'!$B$7="All",1,IF('Calculations'!HN403='Dashboard'!$B$7,1,0)+IFERROR(INDEX('Calculations'!$JC$13:$JC$512,MATCH('Calculations'!HE403,'Calculations'!$HF$13:$HF$512,0)),0)))</x:f>
        <x:v>0</x:v>
      </x:c>
      <x:c r="JE403" t="n">
        <x:f>IF(AND('Calculations'!EM403&lt;&gt;"",'Calculations'!$JJ$2&lt;&gt;"All",'Calculations'!$JJ$2&lt;&gt;"",'Calculations'!HF403='Calculations'!$JJ$2,'Calculations'!HL403=0,'Calculations'!JD403&gt;0),MAX('Calculations'!$JE$12:JE402)+1,0)</x:f>
        <x:v>0</x:v>
      </x:c>
      <x:c r="JF403" t="str">
        <x:f>IF('Calculations'!EM403="","",IFERROR(IF(INDEX(INDIRECT("'WCM Calibration Final'!$G$1:$G$2000"),'Calculations'!$EM403)="","",TRIM(INDEX(INDIRECT("'WCM Calibration Final'!$G$1:$G$2000"),'Calculations'!$EM403)&amp;"")),""))</x:f>
      </x:c>
      <x:c r="JQ403" t="n">
        <x:f>IF(OR('Calculations'!BM403=0,NOT('Calculations'!$AG$2),'Calculations'!$AG$8&gt;0),0,IF(OR('Dashboard'!$B$7="All",'Calculations'!HN403='Dashboard'!$B$7),IF('Calculations'!$JJ$2="All",1,IF(AND('Calculations'!HF403='Calculations'!$JJ$2,'Calculations'!HL403=0),1,0)),0))</x:f>
        <x:v>0</x:v>
      </x:c>
    </x:row>
    <x:row r="404">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t="n">
        <x:f>IF('Calculations'!$EM404="",0,IF(OR(IFERROR(INDEX(INDIRECT("'WCM Calibration Final'!$A$1:$A$2000"),'Calculations'!$EM404)&lt;&gt;"",FALSE),IFERROR(INDEX(INDIRECT("'WCM Calibration Final'!$B$1:$B$2000"),'Calculations'!$EM404)&lt;&gt;"",FALSE),IFERROR(INDEX(INDIRECT("'WCM Calibration Final'!$C$1:$C$2000"),'Calculations'!$EM404)&lt;&gt;"",FALSE)),1,0))</x:f>
        <x:v>0</x:v>
      </x:c>
      <x:c r="BN404" s="4" t="n">
        <x:f>IF(AND('Calculations'!BM404=1,'Calculations'!$AG$2,'Calculations'!$EN404=1),1,0)</x:f>
        <x:v>0</x:v>
      </x:c>
      <x:c r="BO404" s="4" t="str">
        <x:f>IF('Calculations'!BM404=0,"",IFERROR(IF(AND(VALUE(INDEX(INDIRECT("'WCM Calibration Final'!$K$1:$K$2000"),'Calculations'!$EM404))&gt;=1,VALUE(INDEX(INDIRECT("'WCM Calibration Final'!$K$1:$K$2000"),'Calculations'!$EM404))&lt;=4,MOD(VALUE(INDEX(INDIRECT("'WCM Calibration Final'!$K$1:$K$2000"),'Calculations'!$EM404)),1)=0),VALUE(INDEX(INDIRECT("'WCM Calibration Final'!$K$1:$K$2000"),'Calculations'!$EM404)),""),""))</x:f>
      </x:c>
      <x:c r="BP404" s="4" t="str">
        <x:f>IF('Calculations'!BM404=0,"",IFERROR(IF(AND(VALUE(INDEX(INDIRECT("'WCM Calibration Final'!$L$1:$L$2000"),'Calculations'!$EM404))&gt;=1,VALUE(INDEX(INDIRECT("'WCM Calibration Final'!$L$1:$L$2000"),'Calculations'!$EM404))&lt;=4,MOD(VALUE(INDEX(INDIRECT("'WCM Calibration Final'!$L$1:$L$2000"),'Calculations'!$EM404)),1)=0),VALUE(INDEX(INDIRECT("'WCM Calibration Final'!$L$1:$L$2000"),'Calculations'!$EM404)),""),""))</x:f>
      </x:c>
      <x:c r="BQ404" s="4"/>
      <x:c r="BR404" s="4"/>
      <x:c r="BS404" s="4"/>
      <x:c r="BT404" s="4" t="n">
        <x:f>IF(AND('Calculations'!BM404=1,ISNUMBER('Calculations'!BO404),ISNUMBER('Calculations'!BP404)),1,0)</x:f>
        <x:v>0</x:v>
      </x:c>
      <x:c r="BU404" s="4" t="str">
        <x:f>IF('Calculations'!BM404=0,"",'Calculations'!$EO404)</x:f>
      </x:c>
      <x:c r="BV404" s="4" t="str">
        <x:f>IF('Calculations'!BM404=0,"",IFERROR(IF(OR(INDEX(INDIRECT("'WCM Calibration Final'!$H$1:$H$2000"),'Calculations'!$EM404)="MANAGING DIRECTOR",INDEX(INDIRECT("'WCM Calibration Final'!$H$1:$H$2000"),'Calculations'!$EM404)="DIRECTOR",INDEX(INDIRECT("'WCM Calibration Final'!$H$1:$H$2000"),'Calculations'!$EM404)="SENIOR VICE PRESIDENT",INDEX(INDIRECT("'WCM Calibration Final'!$H$1:$H$2000"),'Calculations'!$EM404)="VICE PRESIDENT",INDEX(INDIRECT("'WCM Calibration Final'!$H$1:$H$2000"),'Calculations'!$EM404)="ASSISTANT VICE PRESIDENT",INDEX(INDIRECT("'WCM Calibration Final'!$H$1:$H$2000"),'Calculations'!$EM404)="OFFICER"),UPPER(INDEX(INDIRECT("'WCM Calibration Final'!$H$1:$H$2000"),'Calculations'!$EM404)),"Other"),"Other"))</x:f>
      </x:c>
      <x:c r="BW404" s="4"/>
      <x:c r="BX404" s="4"/>
      <x:c r="BY404" s="4" t="n">
        <x:f>IF(AND('Calculations'!BM404=1,'Calculations'!BU404&lt;&gt;"",COUNTIF('Calculations'!$BU$12:BU404,'Calculations'!BU404)=1),MAX('Calculations'!$BY$11:BY403)+1,0)</x:f>
        <x:v>0</x:v>
      </x:c>
      <x:c r="BZ404" s="4" t="str">
        <x:f>IF('Dashboard'!$E$67="What",'Calculations'!BO404,'Calculations'!BP404)</x:f>
      </x:c>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t="str">
        <x:f>IF(393&gt;MAX('Calculations'!$HI$13:$HI$512),"",INDEX('Calculations'!$HN$13:$HN$512,MATCH(393,'Calculations'!$HI$13:$HI$512,0)))</x:f>
      </x:c>
      <x:c r="DB404" s="4" t="str">
        <x:f>IF(393&gt;MAX('Calculations'!$HH$13:$HH$512),"",INDEX('Calculations'!$HJ$13:$HJ$512,MATCH(393,'Calculations'!$HH$13:$HH$512,0)))</x:f>
      </x:c>
      <x:c r="DC404" s="4" t="str">
        <x:f>IF(ROW()-11&gt;MAX('Calculations'!$BY$13:$BY$512),"",INDEX('Calculations'!$BU$13:$BU$512,MATCH(ROW()-11,'Calculations'!$BY$13:$BY$512,0)))</x:f>
      </x:c>
      <x:c r="DD404" s="4" t="str">
        <x:f>IF(393&gt;MAX('Calculations'!$IK$13:$IK$512),"",INDEX('Calculations'!$HK$13:$HK$512,MATCH(393,'Calculations'!$IK$13:$IK$512,0)))</x:f>
      </x:c>
      <x:c r="DE404" s="4" t="str">
        <x:f>'Calculations'!DC404</x:f>
      </x:c>
      <x:c r="DF404" s="4" t="str">
        <x:f>IF('Calculations'!DE404="","",COUNTIFS('Calculations'!$BN$13:$BN$512,1,'Calculations'!$BU$13:$BU$512,'Calculations'!DE404))</x:f>
      </x:c>
      <x:c r="DG404" s="4" t="str">
        <x:f>IF('Calculations'!DE404="","",COUNTIFS('Calculations'!$BN$13:$BN$512,1,'Calculations'!$BU$13:$BU$512,'Calculations'!DE404,'Calculations'!$BT$13:$BT$512,1))</x:f>
      </x:c>
      <x:c r="DH404" s="4" t="str">
        <x:f>IF('Calculations'!DE404="","",'Calculations'!DF404-'Calculations'!DG404)</x:f>
      </x:c>
      <x:c r="DI404" s="4" t="str">
        <x:f>IF(OR('Calculations'!DE404="",'Calculations'!DF404=0),"",'Calculations'!DG404/'Calculations'!DF404)</x:f>
      </x:c>
      <x:c r="DJ404" s="4" t="str">
        <x:f>IF('Calculations'!DE404="","",COUNTIFS('Calculations'!$BN$13:$BN$512,1,'Calculations'!$BU$13:$BU$512,'Calculations'!DE404,'Calculations'!$BT$13:$BT$512,1,'Calculations'!$EE$13:$EE$512,"High"))</x:f>
      </x:c>
      <x:c r="DK404" s="4" t="str">
        <x:f>IF('Calculations'!DE404="","",COUNTIFS('Calculations'!$BN$13:$BN$512,1,'Calculations'!$BU$13:$BU$512,'Calculations'!DE404,'Calculations'!$BT$13:$BT$512,1,'Calculations'!$EE$13:$EE$512,"Strong"))</x:f>
      </x:c>
      <x:c r="DL404" s="4" t="str">
        <x:f>IF('Calculations'!DE404="","",COUNTIFS('Calculations'!$BN$13:$BN$512,1,'Calculations'!$BU$13:$BU$512,'Calculations'!DE404,'Calculations'!$BT$13:$BT$512,1,'Calculations'!$EE$13:$EE$512,"Solid"))</x:f>
      </x:c>
      <x:c r="DM404" s="4" t="str">
        <x:f>IF('Calculations'!DE404="","",COUNTIFS('Calculations'!$BN$13:$BN$512,1,'Calculations'!$BU$13:$BU$512,'Calculations'!DE404,'Calculations'!$BT$13:$BT$512,1,'Calculations'!$EE$13:$EE$512,"Low"))</x:f>
      </x:c>
      <x:c r="DN404" s="4" t="str">
        <x:f>IF('Calculations'!DE404="","",COUNTIFS('Calculations'!$BN$13:$BN$512,1,'Calculations'!$BU$13:$BU$512,'Calculations'!DE404,'Calculations'!$EP$13:$EP$512,1))</x:f>
      </x:c>
      <x:c r="DO404" s="4" t="str">
        <x:f>IF(OR('Calculations'!DE404="",'Calculations'!DG404=0),"",('Calculations'!DJ404+'Calculations'!DK404)/'Calculations'!DG404)</x:f>
      </x:c>
      <x:c r="DP404" s="4" t="n">
        <x:f>IF(AND('Calculations'!DE404&lt;&gt;"",'Calculations'!DF404&gt;0),COUNTIF('Calculations'!$DF$12:DF404,"&gt;0"),0)</x:f>
        <x:v>0</x:v>
      </x:c>
      <x:c r="DQ404" s="4" t="str">
        <x:f>IF(393&gt;MAX('Calculations'!$HH$13:$HH$512),"",INDEX('Calculations'!$HF$13:$HF$512,MATCH(393,'Calculations'!$HH$13:$HH$512,0)))</x:f>
      </x:c>
      <x:c r="DR404" s="4" t="str">
        <x:f>IF(393&gt;MAX('Calculations'!$IK$13:$IK$512),"",INDEX('Calculations'!$HE$13:$HE$512,MATCH(393,'Calculations'!$IK$13:$IK$512,0)))</x:f>
      </x:c>
      <x:c r="DS404" s="4"/>
      <x:c r="DT404" s="4"/>
      <x:c r="DU404" s="4"/>
      <x:c r="DV404" s="4"/>
      <x:c r="DW404" s="4"/>
      <x:c r="DX404" s="4"/>
      <x:c r="DY404" s="4"/>
      <x:c r="DZ404" s="4"/>
      <x:c r="EA404" s="4"/>
      <x:c r="EB404" s="4"/>
      <x:c r="EC404" s="4"/>
      <x:c r="ED404" s="4"/>
      <x:c r="EE404" s="4" t="str">
        <x:f>IF('Calculations'!BT404=0,"Not Rated",IF(OR('Calculations'!BO404&gt;=4,'Calculations'!BP404&gt;=4),"Low",IF('Calculations'!BO404+'Calculations'!BP404&lt;=3,"High",IF('Calculations'!BO404+'Calculations'!BP404&lt;=4,"Strong","Solid"))))</x:f>
        <x:v>Not Rated</x:v>
      </x:c>
      <x:c r="EF404" s="4"/>
      <x:c r="EG404" s="4"/>
      <x:c r="EH404" s="4"/>
      <x:c r="EI404" s="4"/>
      <x:c r="EJ404" s="4"/>
      <x:c r="EK404" s="4"/>
      <x:c r="EL404" s="4"/>
      <x:c r="EM404" s="4" t="str">
        <x:f>IF(392&gt;'Calculations'!$JB$2000,"",INDEX('Calculations'!$JA$12:$JA$2000,MATCH(392,'Calculations'!$JB$12:$JB$2000,0)))</x:f>
      </x:c>
      <x:c r="EN404" s="4" t="n">
        <x:f>IF(OR('Calculations'!EM404="",'Calculations'!$AG$8&gt;0,AND('Calculations'!$EF$2&lt;&gt;"All",'Calculations'!HE404='Calculations'!$EF$2),AND('Calculations'!$EF$3&lt;&gt;"All",'Calculations'!HE404='Calculations'!$EF$3)),0,IF(OR('Dashboard'!$B$7="All",'Calculations'!HN404='Dashboard'!$B$7),IF('Calculations'!$EF$2="All",1,IF('Calculations'!HL404&gt;0,0,IF(COUNTIF('Calculations'!HO404:II404,"="&amp;SUBSTITUTE(SUBSTITUTE(SUBSTITUTE('Calculations'!$EF$2,"~","~~"),"*","~*"),"?","~?"))=0,0,IF('Calculations'!$EF$3="All",1,IF(COUNTIF('Calculations'!HO404:II404,"="&amp;SUBSTITUTE(SUBSTITUTE(SUBSTITUTE('Calculations'!$EF$3,"~","~~"),"*","~*"),"?","~?"))&gt;0,1,0))))),0))</x:f>
        <x:v>0</x:v>
      </x:c>
      <x:c r="EO404" s="4" t="str">
        <x:f>IF('Calculations'!IJ404="","",IF('Calculations'!IJ404="!UNRESOLVED","Unresolved hierarchy",IFERROR(INDEX('Calculations'!$HK$13:$HK$512,MATCH('Calculations'!IJ404,'Calculations'!$HE$13:$HE$512,0)),IFERROR(INDEX('Calculations'!$HJ$13:$HJ$512,MATCH('Calculations'!IJ404,'Calculations'!$HF$13:$HF$512,0)),'Calculations'!IJ404))))</x:f>
      </x:c>
      <x:c r="EP404" s="4" t="n">
        <x:f>IF(AND('Calculations'!EM404&lt;&gt;"",'Calculations'!HF404='Calculations'!IJ404),1,0)</x:f>
        <x:v>0</x:v>
      </x:c>
      <x:c r="EQ404" s="4"/>
      <x:c r="ER404" s="4"/>
      <x:c r="ES404" s="4"/>
      <x:c r="ET404" s="4"/>
      <x:c r="EU404" s="4"/>
      <x:c r="EV404" s="4"/>
      <x:c r="EW404" s="4"/>
      <x:c r="EX404" s="4"/>
      <x:c r="EY404" s="4"/>
      <x:c r="EZ404" s="4"/>
      <x:c r="FA404" s="4"/>
      <x:c r="FB404" s="4"/>
      <x:c r="FC404" s="4"/>
      <x:c r="FD404" s="4"/>
      <x:c r="FE404" s="4"/>
      <x:c r="FF404" s="4"/>
      <x:c r="FG404" s="4"/>
      <x:c r="FH404" s="4"/>
      <x:c r="FI404" s="4"/>
      <x:c r="FJ404" s="4"/>
      <x:c r="FK404" s="4"/>
      <x:c r="FL404" s="4"/>
      <x:c r="FM404" s="4"/>
      <x:c r="FN404" s="4"/>
      <x:c r="FO404" s="4"/>
      <x:c r="HE404" t="str">
        <x:f>IF('Calculations'!EM404="","",IF(IFERROR(IF(INDEX(INDIRECT("'WCM Calibration Final'!$A$1:$A$2000"),'Calculations'!$EM404)="","",TRIM(INDEX(INDIRECT("'WCM Calibration Final'!$A$1:$A$2000"),'Calculations'!$EM404)&amp;"")),"")&lt;&gt;"","G:"&amp;IFERROR(TEXT(1*INDEX(INDIRECT("'WCM Calibration Final'!$A$1:$A$2000"),'Calculations'!$EM404),"0"),UPPER(IFERROR(IF(INDEX(INDIRECT("'WCM Calibration Final'!$A$1:$A$2000"),'Calculations'!$EM404)="","",TRIM(INDEX(INDIRECT("'WCM Calibration Final'!$A$1:$A$2000"),'Calculations'!$EM404)&amp;"")),""))),IF(IFERROR(IF(INDEX(INDIRECT("'WCM Calibration Final'!$C$1:$C$2000"),'Calculations'!$EM404)="","",TRIM(INDEX(INDIRECT("'WCM Calibration Final'!$C$1:$C$2000"),'Calculations'!$EM404)&amp;"")),"")&lt;&gt;"","S:"&amp;UPPER(IFERROR(IF(INDEX(INDIRECT("'WCM Calibration Final'!$C$1:$C$2000"),'Calculations'!$EM404)="","",TRIM(INDEX(INDIRECT("'WCM Calibration Final'!$C$1:$C$2000"),'Calculations'!$EM404)&amp;"")),"")),"R:"&amp;'Calculations'!EM404)))</x:f>
      </x:c>
      <x:c r="HF404" t="str">
        <x:f>IF('Calculations'!EM404="","",IF(IFERROR(IF(INDEX(INDIRECT("'WCM Calibration Final'!$D$1:$D$2000"),'Calculations'!$EM404)="","",TRIM(INDEX(INDIRECT("'WCM Calibration Final'!$D$1:$D$2000"),'Calculations'!$EM404)&amp;"")),"")&lt;&gt;"","G:"&amp;IFERROR(TEXT(1*INDEX(INDIRECT("'WCM Calibration Final'!$D$1:$D$2000"),'Calculations'!$EM404),"0"),UPPER(IFERROR(IF(INDEX(INDIRECT("'WCM Calibration Final'!$D$1:$D$2000"),'Calculations'!$EM404)="","",TRIM(INDEX(INDIRECT("'WCM Calibration Final'!$D$1:$D$2000"),'Calculations'!$EM404)&amp;"")),""))),IF(IFERROR(IF(INDEX(INDIRECT("'WCM Calibration Final'!$E$1:$E$2000"),'Calculations'!$EM404)="","",TRIM(INDEX(INDIRECT("'WCM Calibration Final'!$E$1:$E$2000"),'Calculations'!$EM404)&amp;"")),"")="","",IF(COUNTIF('Calculations'!$HG$13:$HG$512,"="&amp;SUBSTITUTE(SUBSTITUTE(SUBSTITUTE(IFERROR(IF(INDEX(INDIRECT("'WCM Calibration Final'!$E$1:$E$2000"),'Calculations'!$EM404)="","",TRIM(INDEX(INDIRECT("'WCM Calibration Final'!$E$1:$E$2000"),'Calculations'!$EM404)&amp;"")),""),"~","~~"),"*","~*"),"?","~?"))=1,INDEX('Calculations'!$HE$13:$HE$512,MATCH(IFERROR(IF(INDEX(INDIRECT("'WCM Calibration Final'!$E$1:$E$2000"),'Calculations'!$EM404)="","",TRIM(INDEX(INDIRECT("'WCM Calibration Final'!$E$1:$E$2000"),'Calculations'!$EM404)&amp;"")),""),'Calculations'!$HG$13:$HG$512,0)),IF(COUNTIF('Calculations'!$HG$13:$HG$512,"="&amp;SUBSTITUTE(SUBSTITUTE(SUBSTITUTE(IFERROR(IF(INDEX(INDIRECT("'WCM Calibration Final'!$E$1:$E$2000"),'Calculations'!$EM404)="","",TRIM(INDEX(INDIRECT("'WCM Calibration Final'!$E$1:$E$2000"),'Calculations'!$EM404)&amp;"")),""),"~","~~"),"*","~*"),"?","~?"))&gt;1,"!AMBIG","X:"&amp;IFERROR(IF(INDEX(INDIRECT("'WCM Calibration Final'!$E$1:$E$2000"),'Calculations'!$EM404)="","",TRIM(INDEX(INDIRECT("'WCM Calibration Final'!$E$1:$E$2000"),'Calculations'!$EM404)&amp;"")),""))))))</x:f>
      </x:c>
      <x:c r="HG404" t="str">
        <x:f>IF('Calculations'!EM404="","",IFERROR(IF(INDEX(INDIRECT("'WCM Calibration Final'!$B$1:$B$2000"),'Calculations'!$EM404)="","",TRIM(INDEX(INDIRECT("'WCM Calibration Final'!$B$1:$B$2000"),'Calculations'!$EM404)&amp;"")),""))</x:f>
      </x:c>
      <x:c r="HH404" t="n">
        <x:f>IF(AND('Calculations'!JC404&gt;0,COUNTIF('Calculations'!$HF$12:HF404,"="&amp;SUBSTITUTE(SUBSTITUTE(SUBSTITUTE('Calculations'!HF404,"~","~~"),"*","~*"),"?","~?"))=1),MAX('Calculations'!$HH$12:HH403)+1,0)</x:f>
        <x:v>0</x:v>
      </x:c>
      <x:c r="HI404" t="n">
        <x:f>IF(AND('Calculations'!HN404&lt;&gt;"",COUNTIF('Calculations'!$HN$12:HN404,"="&amp;SUBSTITUTE(SUBSTITUTE(SUBSTITUTE('Calculations'!HN404,"~","~~"),"*","~*"),"?","~?"))=1),MAX('Calculations'!$HI$12:HI403)+1,0)</x:f>
        <x:v>0</x:v>
      </x:c>
      <x:c r="HJ404" t="str">
        <x:f>IF('Calculations'!HF404="","",IF(COUNTIF('Calculations'!$HE$13:$HE$512,"="&amp;SUBSTITUTE(SUBSTITUTE(SUBSTITUTE('Calculations'!HF404,"~","~~"),"*","~*"),"?","~?"))=1,INDEX('Calculations'!$HK$13:$HK$512,MATCH('Calculations'!HF404,'Calculations'!$HE$13:$HE$512,0)),IFERROR(IF(INDEX(INDIRECT("'WCM Calibration Final'!$E$1:$E$2000"),'Calculations'!$EM404)="","",TRIM(INDEX(INDIRECT("'WCM Calibration Final'!$E$1:$E$2000"),'Calculations'!$EM404)&amp;"")),"")&amp;" ["&amp;'Calculations'!HF404&amp;"]"))</x:f>
      </x:c>
      <x:c r="HK404" t="str">
        <x:f>IF('Calculations'!EM404="","",'Calculations'!HG404&amp;" ["&amp;'Calculations'!HE404&amp;"]")</x:f>
      </x:c>
      <x:c r="HL404" t="n">
        <x:f>IF('Calculations'!EM404="",0,IF(OR('Calculations'!II404&lt;&gt;"",COUNTIF('Calculations'!$HE$13:$HE$512,"="&amp;SUBSTITUTE(SUBSTITUTE(SUBSTITUTE('Calculations'!HE404,"~","~~"),"*","~*"),"?","~?"))&gt;1),1,0))</x:f>
        <x:v>0</x:v>
      </x:c>
      <x:c r="HM404" t="str">
        <x:f>IF('Calculations'!EM404="","",IF('Calculations'!HL404=1,"!UNRESOLVED",IF('Calculations'!IH404&lt;&gt;"",'Calculations'!IH404,IF('Calculations'!IG404&lt;&gt;"",'Calculations'!IG404,IF('Calculations'!IF404&lt;&gt;"",'Calculations'!IF404,IF('Calculations'!IE404&lt;&gt;"",'Calculations'!IE404,IF('Calculations'!ID404&lt;&gt;"",'Calculations'!ID404,IF('Calculations'!IC404&lt;&gt;"",'Calculations'!IC404,IF('Calculations'!IB404&lt;&gt;"",'Calculations'!IB404,IF('Calculations'!IA404&lt;&gt;"",'Calculations'!IA404,IF('Calculations'!HZ404&lt;&gt;"",'Calculations'!HZ404,IF('Calculations'!HY404&lt;&gt;"",'Calculations'!HY404,IF('Calculations'!HX404&lt;&gt;"",'Calculations'!HX404,IF('Calculations'!HW404&lt;&gt;"",'Calculations'!HW404,IF('Calculations'!HV404&lt;&gt;"",'Calculations'!HV404,IF('Calculations'!HU404&lt;&gt;"",'Calculations'!HU404,IF('Calculations'!HT404&lt;&gt;"",'Calculations'!HT404,IF('Calculations'!HS404&lt;&gt;"",'Calculations'!HS404,IF('Calculations'!HR404&lt;&gt;"",'Calculations'!HR404,IF('Calculations'!HQ404&lt;&gt;"",'Calculations'!HQ404,IF('Calculations'!HP404&lt;&gt;"",'Calculations'!HP404,IF('Calculations'!HO404&lt;&gt;"",'Calculations'!HO404,'Calculations'!HE404))))))))))))))))))))))</x:f>
      </x:c>
      <x:c r="HN404" t="str">
        <x:f>IF('Calculations'!EM404="","",IF(IFERROR(IF(INDEX(INDIRECT("'WCM Calibration Final'!$F$1:$F$2000"),'Calculations'!$EM404)="","",TRIM(INDEX(INDIRECT("'WCM Calibration Final'!$F$1:$F$2000"),'Calculations'!$EM404)&amp;"")),"")="","(Blank)",IFERROR(IF(INDEX(INDIRECT("'WCM Calibration Final'!$F$1:$F$2000"),'Calculations'!$EM404)="","",TRIM(INDEX(INDIRECT("'WCM Calibration Final'!$F$1:$F$2000"),'Calculations'!$EM404)&amp;"")),"")))</x:f>
      </x:c>
      <x:c r="HO404" t="str">
        <x:f>'Calculations'!HF404</x:f>
      </x:c>
      <x:c r="HP404" t="str">
        <x:f>IF('Calculations'!HO404="","",IF('Calculations'!HO404="!AMBIG","!AMBIG",IF(COUNTIF('Calculations'!$HE$13:$HE$512,"="&amp;SUBSTITUTE(SUBSTITUTE(SUBSTITUTE('Calculations'!HO404,"~","~~"),"*","~*"),"?","~?"))&gt;1,"!AMBIG",IFERROR(INDEX('Calculations'!$HF$13:$HF$512,MATCH('Calculations'!HO404,'Calculations'!$HE$13:$HE$512,0)),""))))</x:f>
      </x:c>
      <x:c r="HQ404" t="str">
        <x:f>IF('Calculations'!HP404="","",IF('Calculations'!HP404="!AMBIG","!AMBIG",IF(COUNTIF('Calculations'!$HE$13:$HE$512,"="&amp;SUBSTITUTE(SUBSTITUTE(SUBSTITUTE('Calculations'!HP404,"~","~~"),"*","~*"),"?","~?"))&gt;1,"!AMBIG",IFERROR(INDEX('Calculations'!$HF$13:$HF$512,MATCH('Calculations'!HP404,'Calculations'!$HE$13:$HE$512,0)),""))))</x:f>
      </x:c>
      <x:c r="HR404" t="str">
        <x:f>IF('Calculations'!HQ404="","",IF('Calculations'!HQ404="!AMBIG","!AMBIG",IF(COUNTIF('Calculations'!$HE$13:$HE$512,"="&amp;SUBSTITUTE(SUBSTITUTE(SUBSTITUTE('Calculations'!HQ404,"~","~~"),"*","~*"),"?","~?"))&gt;1,"!AMBIG",IFERROR(INDEX('Calculations'!$HF$13:$HF$512,MATCH('Calculations'!HQ404,'Calculations'!$HE$13:$HE$512,0)),""))))</x:f>
      </x:c>
      <x:c r="HS404" t="str">
        <x:f>IF('Calculations'!HR404="","",IF('Calculations'!HR404="!AMBIG","!AMBIG",IF(COUNTIF('Calculations'!$HE$13:$HE$512,"="&amp;SUBSTITUTE(SUBSTITUTE(SUBSTITUTE('Calculations'!HR404,"~","~~"),"*","~*"),"?","~?"))&gt;1,"!AMBIG",IFERROR(INDEX('Calculations'!$HF$13:$HF$512,MATCH('Calculations'!HR404,'Calculations'!$HE$13:$HE$512,0)),""))))</x:f>
      </x:c>
      <x:c r="HT404" t="str">
        <x:f>IF('Calculations'!HS404="","",IF('Calculations'!HS404="!AMBIG","!AMBIG",IF(COUNTIF('Calculations'!$HE$13:$HE$512,"="&amp;SUBSTITUTE(SUBSTITUTE(SUBSTITUTE('Calculations'!HS404,"~","~~"),"*","~*"),"?","~?"))&gt;1,"!AMBIG",IFERROR(INDEX('Calculations'!$HF$13:$HF$512,MATCH('Calculations'!HS404,'Calculations'!$HE$13:$HE$512,0)),""))))</x:f>
      </x:c>
      <x:c r="HU404" t="str">
        <x:f>IF('Calculations'!HT404="","",IF('Calculations'!HT404="!AMBIG","!AMBIG",IF(COUNTIF('Calculations'!$HE$13:$HE$512,"="&amp;SUBSTITUTE(SUBSTITUTE(SUBSTITUTE('Calculations'!HT404,"~","~~"),"*","~*"),"?","~?"))&gt;1,"!AMBIG",IFERROR(INDEX('Calculations'!$HF$13:$HF$512,MATCH('Calculations'!HT404,'Calculations'!$HE$13:$HE$512,0)),""))))</x:f>
      </x:c>
      <x:c r="HV404" t="str">
        <x:f>IF('Calculations'!HU404="","",IF('Calculations'!HU404="!AMBIG","!AMBIG",IF(COUNTIF('Calculations'!$HE$13:$HE$512,"="&amp;SUBSTITUTE(SUBSTITUTE(SUBSTITUTE('Calculations'!HU404,"~","~~"),"*","~*"),"?","~?"))&gt;1,"!AMBIG",IFERROR(INDEX('Calculations'!$HF$13:$HF$512,MATCH('Calculations'!HU404,'Calculations'!$HE$13:$HE$512,0)),""))))</x:f>
      </x:c>
      <x:c r="HW404" t="str">
        <x:f>IF('Calculations'!HV404="","",IF('Calculations'!HV404="!AMBIG","!AMBIG",IF(COUNTIF('Calculations'!$HE$13:$HE$512,"="&amp;SUBSTITUTE(SUBSTITUTE(SUBSTITUTE('Calculations'!HV404,"~","~~"),"*","~*"),"?","~?"))&gt;1,"!AMBIG",IFERROR(INDEX('Calculations'!$HF$13:$HF$512,MATCH('Calculations'!HV404,'Calculations'!$HE$13:$HE$512,0)),""))))</x:f>
      </x:c>
      <x:c r="HX404" t="str">
        <x:f>IF('Calculations'!HW404="","",IF('Calculations'!HW404="!AMBIG","!AMBIG",IF(COUNTIF('Calculations'!$HE$13:$HE$512,"="&amp;SUBSTITUTE(SUBSTITUTE(SUBSTITUTE('Calculations'!HW404,"~","~~"),"*","~*"),"?","~?"))&gt;1,"!AMBIG",IFERROR(INDEX('Calculations'!$HF$13:$HF$512,MATCH('Calculations'!HW404,'Calculations'!$HE$13:$HE$512,0)),""))))</x:f>
      </x:c>
      <x:c r="HY404" t="str">
        <x:f>IF('Calculations'!HX404="","",IF('Calculations'!HX404="!AMBIG","!AMBIG",IF(COUNTIF('Calculations'!$HE$13:$HE$512,"="&amp;SUBSTITUTE(SUBSTITUTE(SUBSTITUTE('Calculations'!HX404,"~","~~"),"*","~*"),"?","~?"))&gt;1,"!AMBIG",IFERROR(INDEX('Calculations'!$HF$13:$HF$512,MATCH('Calculations'!HX404,'Calculations'!$HE$13:$HE$512,0)),""))))</x:f>
      </x:c>
      <x:c r="HZ404" t="str">
        <x:f>IF('Calculations'!HY404="","",IF('Calculations'!HY404="!AMBIG","!AMBIG",IF(COUNTIF('Calculations'!$HE$13:$HE$512,"="&amp;SUBSTITUTE(SUBSTITUTE(SUBSTITUTE('Calculations'!HY404,"~","~~"),"*","~*"),"?","~?"))&gt;1,"!AMBIG",IFERROR(INDEX('Calculations'!$HF$13:$HF$512,MATCH('Calculations'!HY404,'Calculations'!$HE$13:$HE$512,0)),""))))</x:f>
      </x:c>
      <x:c r="IA404" t="str">
        <x:f>IF('Calculations'!HZ404="","",IF('Calculations'!HZ404="!AMBIG","!AMBIG",IF(COUNTIF('Calculations'!$HE$13:$HE$512,"="&amp;SUBSTITUTE(SUBSTITUTE(SUBSTITUTE('Calculations'!HZ404,"~","~~"),"*","~*"),"?","~?"))&gt;1,"!AMBIG",IFERROR(INDEX('Calculations'!$HF$13:$HF$512,MATCH('Calculations'!HZ404,'Calculations'!$HE$13:$HE$512,0)),""))))</x:f>
      </x:c>
      <x:c r="IB404" t="str">
        <x:f>IF('Calculations'!IA404="","",IF('Calculations'!IA404="!AMBIG","!AMBIG",IF(COUNTIF('Calculations'!$HE$13:$HE$512,"="&amp;SUBSTITUTE(SUBSTITUTE(SUBSTITUTE('Calculations'!IA404,"~","~~"),"*","~*"),"?","~?"))&gt;1,"!AMBIG",IFERROR(INDEX('Calculations'!$HF$13:$HF$512,MATCH('Calculations'!IA404,'Calculations'!$HE$13:$HE$512,0)),""))))</x:f>
      </x:c>
      <x:c r="IC404" t="str">
        <x:f>IF('Calculations'!IB404="","",IF('Calculations'!IB404="!AMBIG","!AMBIG",IF(COUNTIF('Calculations'!$HE$13:$HE$512,"="&amp;SUBSTITUTE(SUBSTITUTE(SUBSTITUTE('Calculations'!IB404,"~","~~"),"*","~*"),"?","~?"))&gt;1,"!AMBIG",IFERROR(INDEX('Calculations'!$HF$13:$HF$512,MATCH('Calculations'!IB404,'Calculations'!$HE$13:$HE$512,0)),""))))</x:f>
      </x:c>
      <x:c r="ID404" t="str">
        <x:f>IF('Calculations'!IC404="","",IF('Calculations'!IC404="!AMBIG","!AMBIG",IF(COUNTIF('Calculations'!$HE$13:$HE$512,"="&amp;SUBSTITUTE(SUBSTITUTE(SUBSTITUTE('Calculations'!IC404,"~","~~"),"*","~*"),"?","~?"))&gt;1,"!AMBIG",IFERROR(INDEX('Calculations'!$HF$13:$HF$512,MATCH('Calculations'!IC404,'Calculations'!$HE$13:$HE$512,0)),""))))</x:f>
      </x:c>
      <x:c r="IE404" t="str">
        <x:f>IF('Calculations'!ID404="","",IF('Calculations'!ID404="!AMBIG","!AMBIG",IF(COUNTIF('Calculations'!$HE$13:$HE$512,"="&amp;SUBSTITUTE(SUBSTITUTE(SUBSTITUTE('Calculations'!ID404,"~","~~"),"*","~*"),"?","~?"))&gt;1,"!AMBIG",IFERROR(INDEX('Calculations'!$HF$13:$HF$512,MATCH('Calculations'!ID404,'Calculations'!$HE$13:$HE$512,0)),""))))</x:f>
      </x:c>
      <x:c r="IF404" t="str">
        <x:f>IF('Calculations'!IE404="","",IF('Calculations'!IE404="!AMBIG","!AMBIG",IF(COUNTIF('Calculations'!$HE$13:$HE$512,"="&amp;SUBSTITUTE(SUBSTITUTE(SUBSTITUTE('Calculations'!IE404,"~","~~"),"*","~*"),"?","~?"))&gt;1,"!AMBIG",IFERROR(INDEX('Calculations'!$HF$13:$HF$512,MATCH('Calculations'!IE404,'Calculations'!$HE$13:$HE$512,0)),""))))</x:f>
      </x:c>
      <x:c r="IG404" t="str">
        <x:f>IF('Calculations'!IF404="","",IF('Calculations'!IF404="!AMBIG","!AMBIG",IF(COUNTIF('Calculations'!$HE$13:$HE$512,"="&amp;SUBSTITUTE(SUBSTITUTE(SUBSTITUTE('Calculations'!IF404,"~","~~"),"*","~*"),"?","~?"))&gt;1,"!AMBIG",IFERROR(INDEX('Calculations'!$HF$13:$HF$512,MATCH('Calculations'!IF404,'Calculations'!$HE$13:$HE$512,0)),""))))</x:f>
      </x:c>
      <x:c r="IH404" t="str">
        <x:f>IF('Calculations'!IG404="","",IF('Calculations'!IG404="!AMBIG","!AMBIG",IF(COUNTIF('Calculations'!$HE$13:$HE$512,"="&amp;SUBSTITUTE(SUBSTITUTE(SUBSTITUTE('Calculations'!IG404,"~","~~"),"*","~*"),"?","~?"))&gt;1,"!AMBIG",IFERROR(INDEX('Calculations'!$HF$13:$HF$512,MATCH('Calculations'!IG404,'Calculations'!$HE$13:$HE$512,0)),""))))</x:f>
      </x:c>
      <x:c r="II404" t="str">
        <x:f>IF('Calculations'!IH404="","",IF('Calculations'!IH404="!AMBIG","!AMBIG",IF(COUNTIF('Calculations'!$HE$13:$HE$512,"="&amp;SUBSTITUTE(SUBSTITUTE(SUBSTITUTE('Calculations'!IH404,"~","~~"),"*","~*"),"?","~?"))&gt;1,"!AMBIG",IFERROR(INDEX('Calculations'!$HF$13:$HF$512,MATCH('Calculations'!IH404,'Calculations'!$HE$13:$HE$512,0)),""))))</x:f>
      </x:c>
      <x:c r="IJ404" t="str">
        <x:f>IF('Calculations'!EM404="","",IF('Calculations'!$EF$2="All",'Calculations'!HM404,IF('Calculations'!HL404=1,"",IFERROR(IF(MATCH('Calculations'!$EF$2,'Calculations'!HO404:II404,0)=1,'Calculations'!HE404,INDEX('Calculations'!HO404:II404,1,MATCH('Calculations'!$EF$2,'Calculations'!HO404:II404,0)-1)),""))))</x:f>
      </x:c>
      <x:c r="IK404" t="n">
        <x:f>IF(AND('Calculations'!EM404&lt;&gt;"",'Calculations'!$EF$2&lt;&gt;"All",'Calculations'!HF404='Calculations'!$EF$2,'Calculations'!HL404=0,'Calculations'!JD404&gt;0),MAX('Calculations'!$IK$12:IK403)+1,0)</x:f>
        <x:v>0</x:v>
      </x:c>
      <x:c r="JA404" t="n">
        <x:f>IF(OR(IFERROR(INDIRECT("'WCM Calibration Final'!$A$404")&lt;&gt;"",FALSE),IFERROR(INDIRECT("'WCM Calibration Final'!$B$404")&lt;&gt;"",FALSE),IFERROR(INDIRECT("'WCM Calibration Final'!$C$404")&lt;&gt;"",FALSE)),404,0)</x:f>
        <x:v>0</x:v>
      </x:c>
      <x:c r="JB404" t="n">
        <x:f>'Calculations'!JB403+IF('Calculations'!JA404&gt;0,1,0)</x:f>
        <x:v>0</x:v>
      </x:c>
      <x:c r="JC404" t="n">
        <x:f>IF(OR('Calculations'!HF404="",'Calculations'!HF404="!AMBIG"),0,IF('Dashboard'!$B$7="All",1,COUNTIFS('Calculations'!$HO$13:$HO$512,"="&amp;SUBSTITUTE(SUBSTITUTE(SUBSTITUTE('Calculations'!HF404,"~","~~"),"*","~*"),"?","~?"),'Calculations'!$HN$13:$HN$512,"="&amp;SUBSTITUTE(SUBSTITUTE(SUBSTITUTE('Dashboard'!$B$7,"~","~~"),"*","~*"),"?","~?"))+COUNTIFS('Calculations'!$HP$13:$HP$512,"="&amp;SUBSTITUTE(SUBSTITUTE(SUBSTITUTE('Calculations'!HF404,"~","~~"),"*","~*"),"?","~?"),'Calculations'!$HN$13:$HN$512,"="&amp;SUBSTITUTE(SUBSTITUTE(SUBSTITUTE('Dashboard'!$B$7,"~","~~"),"*","~*"),"?","~?"))+COUNTIFS('Calculations'!$HQ$13:$HQ$512,"="&amp;SUBSTITUTE(SUBSTITUTE(SUBSTITUTE('Calculations'!HF404,"~","~~"),"*","~*"),"?","~?"),'Calculations'!$HN$13:$HN$512,"="&amp;SUBSTITUTE(SUBSTITUTE(SUBSTITUTE('Dashboard'!$B$7,"~","~~"),"*","~*"),"?","~?"))+COUNTIFS('Calculations'!$HR$13:$HR$512,"="&amp;SUBSTITUTE(SUBSTITUTE(SUBSTITUTE('Calculations'!HF404,"~","~~"),"*","~*"),"?","~?"),'Calculations'!$HN$13:$HN$512,"="&amp;SUBSTITUTE(SUBSTITUTE(SUBSTITUTE('Dashboard'!$B$7,"~","~~"),"*","~*"),"?","~?"))+COUNTIFS('Calculations'!$HS$13:$HS$512,"="&amp;SUBSTITUTE(SUBSTITUTE(SUBSTITUTE('Calculations'!HF404,"~","~~"),"*","~*"),"?","~?"),'Calculations'!$HN$13:$HN$512,"="&amp;SUBSTITUTE(SUBSTITUTE(SUBSTITUTE('Dashboard'!$B$7,"~","~~"),"*","~*"),"?","~?"))+COUNTIFS('Calculations'!$HT$13:$HT$512,"="&amp;SUBSTITUTE(SUBSTITUTE(SUBSTITUTE('Calculations'!HF404,"~","~~"),"*","~*"),"?","~?"),'Calculations'!$HN$13:$HN$512,"="&amp;SUBSTITUTE(SUBSTITUTE(SUBSTITUTE('Dashboard'!$B$7,"~","~~"),"*","~*"),"?","~?"))+COUNTIFS('Calculations'!$HU$13:$HU$512,"="&amp;SUBSTITUTE(SUBSTITUTE(SUBSTITUTE('Calculations'!HF404,"~","~~"),"*","~*"),"?","~?"),'Calculations'!$HN$13:$HN$512,"="&amp;SUBSTITUTE(SUBSTITUTE(SUBSTITUTE('Dashboard'!$B$7,"~","~~"),"*","~*"),"?","~?"))+COUNTIFS('Calculations'!$HV$13:$HV$512,"="&amp;SUBSTITUTE(SUBSTITUTE(SUBSTITUTE('Calculations'!HF404,"~","~~"),"*","~*"),"?","~?"),'Calculations'!$HN$13:$HN$512,"="&amp;SUBSTITUTE(SUBSTITUTE(SUBSTITUTE('Dashboard'!$B$7,"~","~~"),"*","~*"),"?","~?"))+COUNTIFS('Calculations'!$HW$13:$HW$512,"="&amp;SUBSTITUTE(SUBSTITUTE(SUBSTITUTE('Calculations'!HF404,"~","~~"),"*","~*"),"?","~?"),'Calculations'!$HN$13:$HN$512,"="&amp;SUBSTITUTE(SUBSTITUTE(SUBSTITUTE('Dashboard'!$B$7,"~","~~"),"*","~*"),"?","~?"))+COUNTIFS('Calculations'!$HX$13:$HX$512,"="&amp;SUBSTITUTE(SUBSTITUTE(SUBSTITUTE('Calculations'!HF404,"~","~~"),"*","~*"),"?","~?"),'Calculations'!$HN$13:$HN$512,"="&amp;SUBSTITUTE(SUBSTITUTE(SUBSTITUTE('Dashboard'!$B$7,"~","~~"),"*","~*"),"?","~?"))+COUNTIFS('Calculations'!$HY$13:$HY$512,"="&amp;SUBSTITUTE(SUBSTITUTE(SUBSTITUTE('Calculations'!HF404,"~","~~"),"*","~*"),"?","~?"),'Calculations'!$HN$13:$HN$512,"="&amp;SUBSTITUTE(SUBSTITUTE(SUBSTITUTE('Dashboard'!$B$7,"~","~~"),"*","~*"),"?","~?"))+COUNTIFS('Calculations'!$HZ$13:$HZ$512,"="&amp;SUBSTITUTE(SUBSTITUTE(SUBSTITUTE('Calculations'!HF404,"~","~~"),"*","~*"),"?","~?"),'Calculations'!$HN$13:$HN$512,"="&amp;SUBSTITUTE(SUBSTITUTE(SUBSTITUTE('Dashboard'!$B$7,"~","~~"),"*","~*"),"?","~?"))+COUNTIFS('Calculations'!$IA$13:$IA$512,"="&amp;SUBSTITUTE(SUBSTITUTE(SUBSTITUTE('Calculations'!HF404,"~","~~"),"*","~*"),"?","~?"),'Calculations'!$HN$13:$HN$512,"="&amp;SUBSTITUTE(SUBSTITUTE(SUBSTITUTE('Dashboard'!$B$7,"~","~~"),"*","~*"),"?","~?"))+COUNTIFS('Calculations'!$IB$13:$IB$512,"="&amp;SUBSTITUTE(SUBSTITUTE(SUBSTITUTE('Calculations'!HF404,"~","~~"),"*","~*"),"?","~?"),'Calculations'!$HN$13:$HN$512,"="&amp;SUBSTITUTE(SUBSTITUTE(SUBSTITUTE('Dashboard'!$B$7,"~","~~"),"*","~*"),"?","~?"))+COUNTIFS('Calculations'!$IC$13:$IC$512,"="&amp;SUBSTITUTE(SUBSTITUTE(SUBSTITUTE('Calculations'!HF404,"~","~~"),"*","~*"),"?","~?"),'Calculations'!$HN$13:$HN$512,"="&amp;SUBSTITUTE(SUBSTITUTE(SUBSTITUTE('Dashboard'!$B$7,"~","~~"),"*","~*"),"?","~?"))+COUNTIFS('Calculations'!$ID$13:$ID$512,"="&amp;SUBSTITUTE(SUBSTITUTE(SUBSTITUTE('Calculations'!HF404,"~","~~"),"*","~*"),"?","~?"),'Calculations'!$HN$13:$HN$512,"="&amp;SUBSTITUTE(SUBSTITUTE(SUBSTITUTE('Dashboard'!$B$7,"~","~~"),"*","~*"),"?","~?"))+COUNTIFS('Calculations'!$IE$13:$IE$512,"="&amp;SUBSTITUTE(SUBSTITUTE(SUBSTITUTE('Calculations'!HF404,"~","~~"),"*","~*"),"?","~?"),'Calculations'!$HN$13:$HN$512,"="&amp;SUBSTITUTE(SUBSTITUTE(SUBSTITUTE('Dashboard'!$B$7,"~","~~"),"*","~*"),"?","~?"))+COUNTIFS('Calculations'!$IF$13:$IF$512,"="&amp;SUBSTITUTE(SUBSTITUTE(SUBSTITUTE('Calculations'!HF404,"~","~~"),"*","~*"),"?","~?"),'Calculations'!$HN$13:$HN$512,"="&amp;SUBSTITUTE(SUBSTITUTE(SUBSTITUTE('Dashboard'!$B$7,"~","~~"),"*","~*"),"?","~?"))+COUNTIFS('Calculations'!$IG$13:$IG$512,"="&amp;SUBSTITUTE(SUBSTITUTE(SUBSTITUTE('Calculations'!HF404,"~","~~"),"*","~*"),"?","~?"),'Calculations'!$HN$13:$HN$512,"="&amp;SUBSTITUTE(SUBSTITUTE(SUBSTITUTE('Dashboard'!$B$7,"~","~~"),"*","~*"),"?","~?"))+COUNTIFS('Calculations'!$IH$13:$IH$512,"="&amp;SUBSTITUTE(SUBSTITUTE(SUBSTITUTE('Calculations'!HF404,"~","~~"),"*","~*"),"?","~?"),'Calculations'!$HN$13:$HN$512,"="&amp;SUBSTITUTE(SUBSTITUTE(SUBSTITUTE('Dashboard'!$B$7,"~","~~"),"*","~*"),"?","~?"))))</x:f>
        <x:v>0</x:v>
      </x:c>
      <x:c r="JD404" t="n">
        <x:f>IF('Calculations'!EM404="",0,IF('Dashboard'!$B$7="All",1,IF('Calculations'!HN404='Dashboard'!$B$7,1,0)+IFERROR(INDEX('Calculations'!$JC$13:$JC$512,MATCH('Calculations'!HE404,'Calculations'!$HF$13:$HF$512,0)),0)))</x:f>
        <x:v>0</x:v>
      </x:c>
      <x:c r="JE404" t="n">
        <x:f>IF(AND('Calculations'!EM404&lt;&gt;"",'Calculations'!$JJ$2&lt;&gt;"All",'Calculations'!$JJ$2&lt;&gt;"",'Calculations'!HF404='Calculations'!$JJ$2,'Calculations'!HL404=0,'Calculations'!JD404&gt;0),MAX('Calculations'!$JE$12:JE403)+1,0)</x:f>
        <x:v>0</x:v>
      </x:c>
      <x:c r="JF404" t="str">
        <x:f>IF('Calculations'!EM404="","",IFERROR(IF(INDEX(INDIRECT("'WCM Calibration Final'!$G$1:$G$2000"),'Calculations'!$EM404)="","",TRIM(INDEX(INDIRECT("'WCM Calibration Final'!$G$1:$G$2000"),'Calculations'!$EM404)&amp;"")),""))</x:f>
      </x:c>
      <x:c r="JQ404" t="n">
        <x:f>IF(OR('Calculations'!BM404=0,NOT('Calculations'!$AG$2),'Calculations'!$AG$8&gt;0),0,IF(OR('Dashboard'!$B$7="All",'Calculations'!HN404='Dashboard'!$B$7),IF('Calculations'!$JJ$2="All",1,IF(AND('Calculations'!HF404='Calculations'!$JJ$2,'Calculations'!HL404=0),1,0)),0))</x:f>
        <x:v>0</x:v>
      </x:c>
    </x:row>
    <x:row r="405">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t="n">
        <x:f>IF('Calculations'!$EM405="",0,IF(OR(IFERROR(INDEX(INDIRECT("'WCM Calibration Final'!$A$1:$A$2000"),'Calculations'!$EM405)&lt;&gt;"",FALSE),IFERROR(INDEX(INDIRECT("'WCM Calibration Final'!$B$1:$B$2000"),'Calculations'!$EM405)&lt;&gt;"",FALSE),IFERROR(INDEX(INDIRECT("'WCM Calibration Final'!$C$1:$C$2000"),'Calculations'!$EM405)&lt;&gt;"",FALSE)),1,0))</x:f>
        <x:v>0</x:v>
      </x:c>
      <x:c r="BN405" s="4" t="n">
        <x:f>IF(AND('Calculations'!BM405=1,'Calculations'!$AG$2,'Calculations'!$EN405=1),1,0)</x:f>
        <x:v>0</x:v>
      </x:c>
      <x:c r="BO405" s="4" t="str">
        <x:f>IF('Calculations'!BM405=0,"",IFERROR(IF(AND(VALUE(INDEX(INDIRECT("'WCM Calibration Final'!$K$1:$K$2000"),'Calculations'!$EM405))&gt;=1,VALUE(INDEX(INDIRECT("'WCM Calibration Final'!$K$1:$K$2000"),'Calculations'!$EM405))&lt;=4,MOD(VALUE(INDEX(INDIRECT("'WCM Calibration Final'!$K$1:$K$2000"),'Calculations'!$EM405)),1)=0),VALUE(INDEX(INDIRECT("'WCM Calibration Final'!$K$1:$K$2000"),'Calculations'!$EM405)),""),""))</x:f>
      </x:c>
      <x:c r="BP405" s="4" t="str">
        <x:f>IF('Calculations'!BM405=0,"",IFERROR(IF(AND(VALUE(INDEX(INDIRECT("'WCM Calibration Final'!$L$1:$L$2000"),'Calculations'!$EM405))&gt;=1,VALUE(INDEX(INDIRECT("'WCM Calibration Final'!$L$1:$L$2000"),'Calculations'!$EM405))&lt;=4,MOD(VALUE(INDEX(INDIRECT("'WCM Calibration Final'!$L$1:$L$2000"),'Calculations'!$EM405)),1)=0),VALUE(INDEX(INDIRECT("'WCM Calibration Final'!$L$1:$L$2000"),'Calculations'!$EM405)),""),""))</x:f>
      </x:c>
      <x:c r="BQ405" s="4"/>
      <x:c r="BR405" s="4"/>
      <x:c r="BS405" s="4"/>
      <x:c r="BT405" s="4" t="n">
        <x:f>IF(AND('Calculations'!BM405=1,ISNUMBER('Calculations'!BO405),ISNUMBER('Calculations'!BP405)),1,0)</x:f>
        <x:v>0</x:v>
      </x:c>
      <x:c r="BU405" s="4" t="str">
        <x:f>IF('Calculations'!BM405=0,"",'Calculations'!$EO405)</x:f>
      </x:c>
      <x:c r="BV405" s="4" t="str">
        <x:f>IF('Calculations'!BM405=0,"",IFERROR(IF(OR(INDEX(INDIRECT("'WCM Calibration Final'!$H$1:$H$2000"),'Calculations'!$EM405)="MANAGING DIRECTOR",INDEX(INDIRECT("'WCM Calibration Final'!$H$1:$H$2000"),'Calculations'!$EM405)="DIRECTOR",INDEX(INDIRECT("'WCM Calibration Final'!$H$1:$H$2000"),'Calculations'!$EM405)="SENIOR VICE PRESIDENT",INDEX(INDIRECT("'WCM Calibration Final'!$H$1:$H$2000"),'Calculations'!$EM405)="VICE PRESIDENT",INDEX(INDIRECT("'WCM Calibration Final'!$H$1:$H$2000"),'Calculations'!$EM405)="ASSISTANT VICE PRESIDENT",INDEX(INDIRECT("'WCM Calibration Final'!$H$1:$H$2000"),'Calculations'!$EM405)="OFFICER"),UPPER(INDEX(INDIRECT("'WCM Calibration Final'!$H$1:$H$2000"),'Calculations'!$EM405)),"Other"),"Other"))</x:f>
      </x:c>
      <x:c r="BW405" s="4"/>
      <x:c r="BX405" s="4"/>
      <x:c r="BY405" s="4" t="n">
        <x:f>IF(AND('Calculations'!BM405=1,'Calculations'!BU405&lt;&gt;"",COUNTIF('Calculations'!$BU$12:BU405,'Calculations'!BU405)=1),MAX('Calculations'!$BY$11:BY404)+1,0)</x:f>
        <x:v>0</x:v>
      </x:c>
      <x:c r="BZ405" s="4" t="str">
        <x:f>IF('Dashboard'!$E$67="What",'Calculations'!BO405,'Calculations'!BP405)</x:f>
      </x:c>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t="str">
        <x:f>IF(394&gt;MAX('Calculations'!$HI$13:$HI$512),"",INDEX('Calculations'!$HN$13:$HN$512,MATCH(394,'Calculations'!$HI$13:$HI$512,0)))</x:f>
      </x:c>
      <x:c r="DB405" s="4" t="str">
        <x:f>IF(394&gt;MAX('Calculations'!$HH$13:$HH$512),"",INDEX('Calculations'!$HJ$13:$HJ$512,MATCH(394,'Calculations'!$HH$13:$HH$512,0)))</x:f>
      </x:c>
      <x:c r="DC405" s="4" t="str">
        <x:f>IF(ROW()-11&gt;MAX('Calculations'!$BY$13:$BY$512),"",INDEX('Calculations'!$BU$13:$BU$512,MATCH(ROW()-11,'Calculations'!$BY$13:$BY$512,0)))</x:f>
      </x:c>
      <x:c r="DD405" s="4" t="str">
        <x:f>IF(394&gt;MAX('Calculations'!$IK$13:$IK$512),"",INDEX('Calculations'!$HK$13:$HK$512,MATCH(394,'Calculations'!$IK$13:$IK$512,0)))</x:f>
      </x:c>
      <x:c r="DE405" s="4" t="str">
        <x:f>'Calculations'!DC405</x:f>
      </x:c>
      <x:c r="DF405" s="4" t="str">
        <x:f>IF('Calculations'!DE405="","",COUNTIFS('Calculations'!$BN$13:$BN$512,1,'Calculations'!$BU$13:$BU$512,'Calculations'!DE405))</x:f>
      </x:c>
      <x:c r="DG405" s="4" t="str">
        <x:f>IF('Calculations'!DE405="","",COUNTIFS('Calculations'!$BN$13:$BN$512,1,'Calculations'!$BU$13:$BU$512,'Calculations'!DE405,'Calculations'!$BT$13:$BT$512,1))</x:f>
      </x:c>
      <x:c r="DH405" s="4" t="str">
        <x:f>IF('Calculations'!DE405="","",'Calculations'!DF405-'Calculations'!DG405)</x:f>
      </x:c>
      <x:c r="DI405" s="4" t="str">
        <x:f>IF(OR('Calculations'!DE405="",'Calculations'!DF405=0),"",'Calculations'!DG405/'Calculations'!DF405)</x:f>
      </x:c>
      <x:c r="DJ405" s="4" t="str">
        <x:f>IF('Calculations'!DE405="","",COUNTIFS('Calculations'!$BN$13:$BN$512,1,'Calculations'!$BU$13:$BU$512,'Calculations'!DE405,'Calculations'!$BT$13:$BT$512,1,'Calculations'!$EE$13:$EE$512,"High"))</x:f>
      </x:c>
      <x:c r="DK405" s="4" t="str">
        <x:f>IF('Calculations'!DE405="","",COUNTIFS('Calculations'!$BN$13:$BN$512,1,'Calculations'!$BU$13:$BU$512,'Calculations'!DE405,'Calculations'!$BT$13:$BT$512,1,'Calculations'!$EE$13:$EE$512,"Strong"))</x:f>
      </x:c>
      <x:c r="DL405" s="4" t="str">
        <x:f>IF('Calculations'!DE405="","",COUNTIFS('Calculations'!$BN$13:$BN$512,1,'Calculations'!$BU$13:$BU$512,'Calculations'!DE405,'Calculations'!$BT$13:$BT$512,1,'Calculations'!$EE$13:$EE$512,"Solid"))</x:f>
      </x:c>
      <x:c r="DM405" s="4" t="str">
        <x:f>IF('Calculations'!DE405="","",COUNTIFS('Calculations'!$BN$13:$BN$512,1,'Calculations'!$BU$13:$BU$512,'Calculations'!DE405,'Calculations'!$BT$13:$BT$512,1,'Calculations'!$EE$13:$EE$512,"Low"))</x:f>
      </x:c>
      <x:c r="DN405" s="4" t="str">
        <x:f>IF('Calculations'!DE405="","",COUNTIFS('Calculations'!$BN$13:$BN$512,1,'Calculations'!$BU$13:$BU$512,'Calculations'!DE405,'Calculations'!$EP$13:$EP$512,1))</x:f>
      </x:c>
      <x:c r="DO405" s="4" t="str">
        <x:f>IF(OR('Calculations'!DE405="",'Calculations'!DG405=0),"",('Calculations'!DJ405+'Calculations'!DK405)/'Calculations'!DG405)</x:f>
      </x:c>
      <x:c r="DP405" s="4" t="n">
        <x:f>IF(AND('Calculations'!DE405&lt;&gt;"",'Calculations'!DF405&gt;0),COUNTIF('Calculations'!$DF$12:DF405,"&gt;0"),0)</x:f>
        <x:v>0</x:v>
      </x:c>
      <x:c r="DQ405" s="4" t="str">
        <x:f>IF(394&gt;MAX('Calculations'!$HH$13:$HH$512),"",INDEX('Calculations'!$HF$13:$HF$512,MATCH(394,'Calculations'!$HH$13:$HH$512,0)))</x:f>
      </x:c>
      <x:c r="DR405" s="4" t="str">
        <x:f>IF(394&gt;MAX('Calculations'!$IK$13:$IK$512),"",INDEX('Calculations'!$HE$13:$HE$512,MATCH(394,'Calculations'!$IK$13:$IK$512,0)))</x:f>
      </x:c>
      <x:c r="DS405" s="4"/>
      <x:c r="DT405" s="4"/>
      <x:c r="DU405" s="4"/>
      <x:c r="DV405" s="4"/>
      <x:c r="DW405" s="4"/>
      <x:c r="DX405" s="4"/>
      <x:c r="DY405" s="4"/>
      <x:c r="DZ405" s="4"/>
      <x:c r="EA405" s="4"/>
      <x:c r="EB405" s="4"/>
      <x:c r="EC405" s="4"/>
      <x:c r="ED405" s="4"/>
      <x:c r="EE405" s="4" t="str">
        <x:f>IF('Calculations'!BT405=0,"Not Rated",IF(OR('Calculations'!BO405&gt;=4,'Calculations'!BP405&gt;=4),"Low",IF('Calculations'!BO405+'Calculations'!BP405&lt;=3,"High",IF('Calculations'!BO405+'Calculations'!BP405&lt;=4,"Strong","Solid"))))</x:f>
        <x:v>Not Rated</x:v>
      </x:c>
      <x:c r="EF405" s="4"/>
      <x:c r="EG405" s="4"/>
      <x:c r="EH405" s="4"/>
      <x:c r="EI405" s="4"/>
      <x:c r="EJ405" s="4"/>
      <x:c r="EK405" s="4"/>
      <x:c r="EL405" s="4"/>
      <x:c r="EM405" s="4" t="str">
        <x:f>IF(393&gt;'Calculations'!$JB$2000,"",INDEX('Calculations'!$JA$12:$JA$2000,MATCH(393,'Calculations'!$JB$12:$JB$2000,0)))</x:f>
      </x:c>
      <x:c r="EN405" s="4" t="n">
        <x:f>IF(OR('Calculations'!EM405="",'Calculations'!$AG$8&gt;0,AND('Calculations'!$EF$2&lt;&gt;"All",'Calculations'!HE405='Calculations'!$EF$2),AND('Calculations'!$EF$3&lt;&gt;"All",'Calculations'!HE405='Calculations'!$EF$3)),0,IF(OR('Dashboard'!$B$7="All",'Calculations'!HN405='Dashboard'!$B$7),IF('Calculations'!$EF$2="All",1,IF('Calculations'!HL405&gt;0,0,IF(COUNTIF('Calculations'!HO405:II405,"="&amp;SUBSTITUTE(SUBSTITUTE(SUBSTITUTE('Calculations'!$EF$2,"~","~~"),"*","~*"),"?","~?"))=0,0,IF('Calculations'!$EF$3="All",1,IF(COUNTIF('Calculations'!HO405:II405,"="&amp;SUBSTITUTE(SUBSTITUTE(SUBSTITUTE('Calculations'!$EF$3,"~","~~"),"*","~*"),"?","~?"))&gt;0,1,0))))),0))</x:f>
        <x:v>0</x:v>
      </x:c>
      <x:c r="EO405" s="4" t="str">
        <x:f>IF('Calculations'!IJ405="","",IF('Calculations'!IJ405="!UNRESOLVED","Unresolved hierarchy",IFERROR(INDEX('Calculations'!$HK$13:$HK$512,MATCH('Calculations'!IJ405,'Calculations'!$HE$13:$HE$512,0)),IFERROR(INDEX('Calculations'!$HJ$13:$HJ$512,MATCH('Calculations'!IJ405,'Calculations'!$HF$13:$HF$512,0)),'Calculations'!IJ405))))</x:f>
      </x:c>
      <x:c r="EP405" s="4" t="n">
        <x:f>IF(AND('Calculations'!EM405&lt;&gt;"",'Calculations'!HF405='Calculations'!IJ405),1,0)</x:f>
        <x:v>0</x:v>
      </x:c>
      <x:c r="EQ405" s="4"/>
      <x:c r="ER405" s="4"/>
      <x:c r="ES405" s="4"/>
      <x:c r="ET405" s="4"/>
      <x:c r="EU405" s="4"/>
      <x:c r="EV405" s="4"/>
      <x:c r="EW405" s="4"/>
      <x:c r="EX405" s="4"/>
      <x:c r="EY405" s="4"/>
      <x:c r="EZ405" s="4"/>
      <x:c r="FA405" s="4"/>
      <x:c r="FB405" s="4"/>
      <x:c r="FC405" s="4"/>
      <x:c r="FD405" s="4"/>
      <x:c r="FE405" s="4"/>
      <x:c r="FF405" s="4"/>
      <x:c r="FG405" s="4"/>
      <x:c r="FH405" s="4"/>
      <x:c r="FI405" s="4"/>
      <x:c r="FJ405" s="4"/>
      <x:c r="FK405" s="4"/>
      <x:c r="FL405" s="4"/>
      <x:c r="FM405" s="4"/>
      <x:c r="FN405" s="4"/>
      <x:c r="FO405" s="4"/>
      <x:c r="HE405" t="str">
        <x:f>IF('Calculations'!EM405="","",IF(IFERROR(IF(INDEX(INDIRECT("'WCM Calibration Final'!$A$1:$A$2000"),'Calculations'!$EM405)="","",TRIM(INDEX(INDIRECT("'WCM Calibration Final'!$A$1:$A$2000"),'Calculations'!$EM405)&amp;"")),"")&lt;&gt;"","G:"&amp;IFERROR(TEXT(1*INDEX(INDIRECT("'WCM Calibration Final'!$A$1:$A$2000"),'Calculations'!$EM405),"0"),UPPER(IFERROR(IF(INDEX(INDIRECT("'WCM Calibration Final'!$A$1:$A$2000"),'Calculations'!$EM405)="","",TRIM(INDEX(INDIRECT("'WCM Calibration Final'!$A$1:$A$2000"),'Calculations'!$EM405)&amp;"")),""))),IF(IFERROR(IF(INDEX(INDIRECT("'WCM Calibration Final'!$C$1:$C$2000"),'Calculations'!$EM405)="","",TRIM(INDEX(INDIRECT("'WCM Calibration Final'!$C$1:$C$2000"),'Calculations'!$EM405)&amp;"")),"")&lt;&gt;"","S:"&amp;UPPER(IFERROR(IF(INDEX(INDIRECT("'WCM Calibration Final'!$C$1:$C$2000"),'Calculations'!$EM405)="","",TRIM(INDEX(INDIRECT("'WCM Calibration Final'!$C$1:$C$2000"),'Calculations'!$EM405)&amp;"")),"")),"R:"&amp;'Calculations'!EM405)))</x:f>
      </x:c>
      <x:c r="HF405" t="str">
        <x:f>IF('Calculations'!EM405="","",IF(IFERROR(IF(INDEX(INDIRECT("'WCM Calibration Final'!$D$1:$D$2000"),'Calculations'!$EM405)="","",TRIM(INDEX(INDIRECT("'WCM Calibration Final'!$D$1:$D$2000"),'Calculations'!$EM405)&amp;"")),"")&lt;&gt;"","G:"&amp;IFERROR(TEXT(1*INDEX(INDIRECT("'WCM Calibration Final'!$D$1:$D$2000"),'Calculations'!$EM405),"0"),UPPER(IFERROR(IF(INDEX(INDIRECT("'WCM Calibration Final'!$D$1:$D$2000"),'Calculations'!$EM405)="","",TRIM(INDEX(INDIRECT("'WCM Calibration Final'!$D$1:$D$2000"),'Calculations'!$EM405)&amp;"")),""))),IF(IFERROR(IF(INDEX(INDIRECT("'WCM Calibration Final'!$E$1:$E$2000"),'Calculations'!$EM405)="","",TRIM(INDEX(INDIRECT("'WCM Calibration Final'!$E$1:$E$2000"),'Calculations'!$EM405)&amp;"")),"")="","",IF(COUNTIF('Calculations'!$HG$13:$HG$512,"="&amp;SUBSTITUTE(SUBSTITUTE(SUBSTITUTE(IFERROR(IF(INDEX(INDIRECT("'WCM Calibration Final'!$E$1:$E$2000"),'Calculations'!$EM405)="","",TRIM(INDEX(INDIRECT("'WCM Calibration Final'!$E$1:$E$2000"),'Calculations'!$EM405)&amp;"")),""),"~","~~"),"*","~*"),"?","~?"))=1,INDEX('Calculations'!$HE$13:$HE$512,MATCH(IFERROR(IF(INDEX(INDIRECT("'WCM Calibration Final'!$E$1:$E$2000"),'Calculations'!$EM405)="","",TRIM(INDEX(INDIRECT("'WCM Calibration Final'!$E$1:$E$2000"),'Calculations'!$EM405)&amp;"")),""),'Calculations'!$HG$13:$HG$512,0)),IF(COUNTIF('Calculations'!$HG$13:$HG$512,"="&amp;SUBSTITUTE(SUBSTITUTE(SUBSTITUTE(IFERROR(IF(INDEX(INDIRECT("'WCM Calibration Final'!$E$1:$E$2000"),'Calculations'!$EM405)="","",TRIM(INDEX(INDIRECT("'WCM Calibration Final'!$E$1:$E$2000"),'Calculations'!$EM405)&amp;"")),""),"~","~~"),"*","~*"),"?","~?"))&gt;1,"!AMBIG","X:"&amp;IFERROR(IF(INDEX(INDIRECT("'WCM Calibration Final'!$E$1:$E$2000"),'Calculations'!$EM405)="","",TRIM(INDEX(INDIRECT("'WCM Calibration Final'!$E$1:$E$2000"),'Calculations'!$EM405)&amp;"")),""))))))</x:f>
      </x:c>
      <x:c r="HG405" t="str">
        <x:f>IF('Calculations'!EM405="","",IFERROR(IF(INDEX(INDIRECT("'WCM Calibration Final'!$B$1:$B$2000"),'Calculations'!$EM405)="","",TRIM(INDEX(INDIRECT("'WCM Calibration Final'!$B$1:$B$2000"),'Calculations'!$EM405)&amp;"")),""))</x:f>
      </x:c>
      <x:c r="HH405" t="n">
        <x:f>IF(AND('Calculations'!JC405&gt;0,COUNTIF('Calculations'!$HF$12:HF405,"="&amp;SUBSTITUTE(SUBSTITUTE(SUBSTITUTE('Calculations'!HF405,"~","~~"),"*","~*"),"?","~?"))=1),MAX('Calculations'!$HH$12:HH404)+1,0)</x:f>
        <x:v>0</x:v>
      </x:c>
      <x:c r="HI405" t="n">
        <x:f>IF(AND('Calculations'!HN405&lt;&gt;"",COUNTIF('Calculations'!$HN$12:HN405,"="&amp;SUBSTITUTE(SUBSTITUTE(SUBSTITUTE('Calculations'!HN405,"~","~~"),"*","~*"),"?","~?"))=1),MAX('Calculations'!$HI$12:HI404)+1,0)</x:f>
        <x:v>0</x:v>
      </x:c>
      <x:c r="HJ405" t="str">
        <x:f>IF('Calculations'!HF405="","",IF(COUNTIF('Calculations'!$HE$13:$HE$512,"="&amp;SUBSTITUTE(SUBSTITUTE(SUBSTITUTE('Calculations'!HF405,"~","~~"),"*","~*"),"?","~?"))=1,INDEX('Calculations'!$HK$13:$HK$512,MATCH('Calculations'!HF405,'Calculations'!$HE$13:$HE$512,0)),IFERROR(IF(INDEX(INDIRECT("'WCM Calibration Final'!$E$1:$E$2000"),'Calculations'!$EM405)="","",TRIM(INDEX(INDIRECT("'WCM Calibration Final'!$E$1:$E$2000"),'Calculations'!$EM405)&amp;"")),"")&amp;" ["&amp;'Calculations'!HF405&amp;"]"))</x:f>
      </x:c>
      <x:c r="HK405" t="str">
        <x:f>IF('Calculations'!EM405="","",'Calculations'!HG405&amp;" ["&amp;'Calculations'!HE405&amp;"]")</x:f>
      </x:c>
      <x:c r="HL405" t="n">
        <x:f>IF('Calculations'!EM405="",0,IF(OR('Calculations'!II405&lt;&gt;"",COUNTIF('Calculations'!$HE$13:$HE$512,"="&amp;SUBSTITUTE(SUBSTITUTE(SUBSTITUTE('Calculations'!HE405,"~","~~"),"*","~*"),"?","~?"))&gt;1),1,0))</x:f>
        <x:v>0</x:v>
      </x:c>
      <x:c r="HM405" t="str">
        <x:f>IF('Calculations'!EM405="","",IF('Calculations'!HL405=1,"!UNRESOLVED",IF('Calculations'!IH405&lt;&gt;"",'Calculations'!IH405,IF('Calculations'!IG405&lt;&gt;"",'Calculations'!IG405,IF('Calculations'!IF405&lt;&gt;"",'Calculations'!IF405,IF('Calculations'!IE405&lt;&gt;"",'Calculations'!IE405,IF('Calculations'!ID405&lt;&gt;"",'Calculations'!ID405,IF('Calculations'!IC405&lt;&gt;"",'Calculations'!IC405,IF('Calculations'!IB405&lt;&gt;"",'Calculations'!IB405,IF('Calculations'!IA405&lt;&gt;"",'Calculations'!IA405,IF('Calculations'!HZ405&lt;&gt;"",'Calculations'!HZ405,IF('Calculations'!HY405&lt;&gt;"",'Calculations'!HY405,IF('Calculations'!HX405&lt;&gt;"",'Calculations'!HX405,IF('Calculations'!HW405&lt;&gt;"",'Calculations'!HW405,IF('Calculations'!HV405&lt;&gt;"",'Calculations'!HV405,IF('Calculations'!HU405&lt;&gt;"",'Calculations'!HU405,IF('Calculations'!HT405&lt;&gt;"",'Calculations'!HT405,IF('Calculations'!HS405&lt;&gt;"",'Calculations'!HS405,IF('Calculations'!HR405&lt;&gt;"",'Calculations'!HR405,IF('Calculations'!HQ405&lt;&gt;"",'Calculations'!HQ405,IF('Calculations'!HP405&lt;&gt;"",'Calculations'!HP405,IF('Calculations'!HO405&lt;&gt;"",'Calculations'!HO405,'Calculations'!HE405))))))))))))))))))))))</x:f>
      </x:c>
      <x:c r="HN405" t="str">
        <x:f>IF('Calculations'!EM405="","",IF(IFERROR(IF(INDEX(INDIRECT("'WCM Calibration Final'!$F$1:$F$2000"),'Calculations'!$EM405)="","",TRIM(INDEX(INDIRECT("'WCM Calibration Final'!$F$1:$F$2000"),'Calculations'!$EM405)&amp;"")),"")="","(Blank)",IFERROR(IF(INDEX(INDIRECT("'WCM Calibration Final'!$F$1:$F$2000"),'Calculations'!$EM405)="","",TRIM(INDEX(INDIRECT("'WCM Calibration Final'!$F$1:$F$2000"),'Calculations'!$EM405)&amp;"")),"")))</x:f>
      </x:c>
      <x:c r="HO405" t="str">
        <x:f>'Calculations'!HF405</x:f>
      </x:c>
      <x:c r="HP405" t="str">
        <x:f>IF('Calculations'!HO405="","",IF('Calculations'!HO405="!AMBIG","!AMBIG",IF(COUNTIF('Calculations'!$HE$13:$HE$512,"="&amp;SUBSTITUTE(SUBSTITUTE(SUBSTITUTE('Calculations'!HO405,"~","~~"),"*","~*"),"?","~?"))&gt;1,"!AMBIG",IFERROR(INDEX('Calculations'!$HF$13:$HF$512,MATCH('Calculations'!HO405,'Calculations'!$HE$13:$HE$512,0)),""))))</x:f>
      </x:c>
      <x:c r="HQ405" t="str">
        <x:f>IF('Calculations'!HP405="","",IF('Calculations'!HP405="!AMBIG","!AMBIG",IF(COUNTIF('Calculations'!$HE$13:$HE$512,"="&amp;SUBSTITUTE(SUBSTITUTE(SUBSTITUTE('Calculations'!HP405,"~","~~"),"*","~*"),"?","~?"))&gt;1,"!AMBIG",IFERROR(INDEX('Calculations'!$HF$13:$HF$512,MATCH('Calculations'!HP405,'Calculations'!$HE$13:$HE$512,0)),""))))</x:f>
      </x:c>
      <x:c r="HR405" t="str">
        <x:f>IF('Calculations'!HQ405="","",IF('Calculations'!HQ405="!AMBIG","!AMBIG",IF(COUNTIF('Calculations'!$HE$13:$HE$512,"="&amp;SUBSTITUTE(SUBSTITUTE(SUBSTITUTE('Calculations'!HQ405,"~","~~"),"*","~*"),"?","~?"))&gt;1,"!AMBIG",IFERROR(INDEX('Calculations'!$HF$13:$HF$512,MATCH('Calculations'!HQ405,'Calculations'!$HE$13:$HE$512,0)),""))))</x:f>
      </x:c>
      <x:c r="HS405" t="str">
        <x:f>IF('Calculations'!HR405="","",IF('Calculations'!HR405="!AMBIG","!AMBIG",IF(COUNTIF('Calculations'!$HE$13:$HE$512,"="&amp;SUBSTITUTE(SUBSTITUTE(SUBSTITUTE('Calculations'!HR405,"~","~~"),"*","~*"),"?","~?"))&gt;1,"!AMBIG",IFERROR(INDEX('Calculations'!$HF$13:$HF$512,MATCH('Calculations'!HR405,'Calculations'!$HE$13:$HE$512,0)),""))))</x:f>
      </x:c>
      <x:c r="HT405" t="str">
        <x:f>IF('Calculations'!HS405="","",IF('Calculations'!HS405="!AMBIG","!AMBIG",IF(COUNTIF('Calculations'!$HE$13:$HE$512,"="&amp;SUBSTITUTE(SUBSTITUTE(SUBSTITUTE('Calculations'!HS405,"~","~~"),"*","~*"),"?","~?"))&gt;1,"!AMBIG",IFERROR(INDEX('Calculations'!$HF$13:$HF$512,MATCH('Calculations'!HS405,'Calculations'!$HE$13:$HE$512,0)),""))))</x:f>
      </x:c>
      <x:c r="HU405" t="str">
        <x:f>IF('Calculations'!HT405="","",IF('Calculations'!HT405="!AMBIG","!AMBIG",IF(COUNTIF('Calculations'!$HE$13:$HE$512,"="&amp;SUBSTITUTE(SUBSTITUTE(SUBSTITUTE('Calculations'!HT405,"~","~~"),"*","~*"),"?","~?"))&gt;1,"!AMBIG",IFERROR(INDEX('Calculations'!$HF$13:$HF$512,MATCH('Calculations'!HT405,'Calculations'!$HE$13:$HE$512,0)),""))))</x:f>
      </x:c>
      <x:c r="HV405" t="str">
        <x:f>IF('Calculations'!HU405="","",IF('Calculations'!HU405="!AMBIG","!AMBIG",IF(COUNTIF('Calculations'!$HE$13:$HE$512,"="&amp;SUBSTITUTE(SUBSTITUTE(SUBSTITUTE('Calculations'!HU405,"~","~~"),"*","~*"),"?","~?"))&gt;1,"!AMBIG",IFERROR(INDEX('Calculations'!$HF$13:$HF$512,MATCH('Calculations'!HU405,'Calculations'!$HE$13:$HE$512,0)),""))))</x:f>
      </x:c>
      <x:c r="HW405" t="str">
        <x:f>IF('Calculations'!HV405="","",IF('Calculations'!HV405="!AMBIG","!AMBIG",IF(COUNTIF('Calculations'!$HE$13:$HE$512,"="&amp;SUBSTITUTE(SUBSTITUTE(SUBSTITUTE('Calculations'!HV405,"~","~~"),"*","~*"),"?","~?"))&gt;1,"!AMBIG",IFERROR(INDEX('Calculations'!$HF$13:$HF$512,MATCH('Calculations'!HV405,'Calculations'!$HE$13:$HE$512,0)),""))))</x:f>
      </x:c>
      <x:c r="HX405" t="str">
        <x:f>IF('Calculations'!HW405="","",IF('Calculations'!HW405="!AMBIG","!AMBIG",IF(COUNTIF('Calculations'!$HE$13:$HE$512,"="&amp;SUBSTITUTE(SUBSTITUTE(SUBSTITUTE('Calculations'!HW405,"~","~~"),"*","~*"),"?","~?"))&gt;1,"!AMBIG",IFERROR(INDEX('Calculations'!$HF$13:$HF$512,MATCH('Calculations'!HW405,'Calculations'!$HE$13:$HE$512,0)),""))))</x:f>
      </x:c>
      <x:c r="HY405" t="str">
        <x:f>IF('Calculations'!HX405="","",IF('Calculations'!HX405="!AMBIG","!AMBIG",IF(COUNTIF('Calculations'!$HE$13:$HE$512,"="&amp;SUBSTITUTE(SUBSTITUTE(SUBSTITUTE('Calculations'!HX405,"~","~~"),"*","~*"),"?","~?"))&gt;1,"!AMBIG",IFERROR(INDEX('Calculations'!$HF$13:$HF$512,MATCH('Calculations'!HX405,'Calculations'!$HE$13:$HE$512,0)),""))))</x:f>
      </x:c>
      <x:c r="HZ405" t="str">
        <x:f>IF('Calculations'!HY405="","",IF('Calculations'!HY405="!AMBIG","!AMBIG",IF(COUNTIF('Calculations'!$HE$13:$HE$512,"="&amp;SUBSTITUTE(SUBSTITUTE(SUBSTITUTE('Calculations'!HY405,"~","~~"),"*","~*"),"?","~?"))&gt;1,"!AMBIG",IFERROR(INDEX('Calculations'!$HF$13:$HF$512,MATCH('Calculations'!HY405,'Calculations'!$HE$13:$HE$512,0)),""))))</x:f>
      </x:c>
      <x:c r="IA405" t="str">
        <x:f>IF('Calculations'!HZ405="","",IF('Calculations'!HZ405="!AMBIG","!AMBIG",IF(COUNTIF('Calculations'!$HE$13:$HE$512,"="&amp;SUBSTITUTE(SUBSTITUTE(SUBSTITUTE('Calculations'!HZ405,"~","~~"),"*","~*"),"?","~?"))&gt;1,"!AMBIG",IFERROR(INDEX('Calculations'!$HF$13:$HF$512,MATCH('Calculations'!HZ405,'Calculations'!$HE$13:$HE$512,0)),""))))</x:f>
      </x:c>
      <x:c r="IB405" t="str">
        <x:f>IF('Calculations'!IA405="","",IF('Calculations'!IA405="!AMBIG","!AMBIG",IF(COUNTIF('Calculations'!$HE$13:$HE$512,"="&amp;SUBSTITUTE(SUBSTITUTE(SUBSTITUTE('Calculations'!IA405,"~","~~"),"*","~*"),"?","~?"))&gt;1,"!AMBIG",IFERROR(INDEX('Calculations'!$HF$13:$HF$512,MATCH('Calculations'!IA405,'Calculations'!$HE$13:$HE$512,0)),""))))</x:f>
      </x:c>
      <x:c r="IC405" t="str">
        <x:f>IF('Calculations'!IB405="","",IF('Calculations'!IB405="!AMBIG","!AMBIG",IF(COUNTIF('Calculations'!$HE$13:$HE$512,"="&amp;SUBSTITUTE(SUBSTITUTE(SUBSTITUTE('Calculations'!IB405,"~","~~"),"*","~*"),"?","~?"))&gt;1,"!AMBIG",IFERROR(INDEX('Calculations'!$HF$13:$HF$512,MATCH('Calculations'!IB405,'Calculations'!$HE$13:$HE$512,0)),""))))</x:f>
      </x:c>
      <x:c r="ID405" t="str">
        <x:f>IF('Calculations'!IC405="","",IF('Calculations'!IC405="!AMBIG","!AMBIG",IF(COUNTIF('Calculations'!$HE$13:$HE$512,"="&amp;SUBSTITUTE(SUBSTITUTE(SUBSTITUTE('Calculations'!IC405,"~","~~"),"*","~*"),"?","~?"))&gt;1,"!AMBIG",IFERROR(INDEX('Calculations'!$HF$13:$HF$512,MATCH('Calculations'!IC405,'Calculations'!$HE$13:$HE$512,0)),""))))</x:f>
      </x:c>
      <x:c r="IE405" t="str">
        <x:f>IF('Calculations'!ID405="","",IF('Calculations'!ID405="!AMBIG","!AMBIG",IF(COUNTIF('Calculations'!$HE$13:$HE$512,"="&amp;SUBSTITUTE(SUBSTITUTE(SUBSTITUTE('Calculations'!ID405,"~","~~"),"*","~*"),"?","~?"))&gt;1,"!AMBIG",IFERROR(INDEX('Calculations'!$HF$13:$HF$512,MATCH('Calculations'!ID405,'Calculations'!$HE$13:$HE$512,0)),""))))</x:f>
      </x:c>
      <x:c r="IF405" t="str">
        <x:f>IF('Calculations'!IE405="","",IF('Calculations'!IE405="!AMBIG","!AMBIG",IF(COUNTIF('Calculations'!$HE$13:$HE$512,"="&amp;SUBSTITUTE(SUBSTITUTE(SUBSTITUTE('Calculations'!IE405,"~","~~"),"*","~*"),"?","~?"))&gt;1,"!AMBIG",IFERROR(INDEX('Calculations'!$HF$13:$HF$512,MATCH('Calculations'!IE405,'Calculations'!$HE$13:$HE$512,0)),""))))</x:f>
      </x:c>
      <x:c r="IG405" t="str">
        <x:f>IF('Calculations'!IF405="","",IF('Calculations'!IF405="!AMBIG","!AMBIG",IF(COUNTIF('Calculations'!$HE$13:$HE$512,"="&amp;SUBSTITUTE(SUBSTITUTE(SUBSTITUTE('Calculations'!IF405,"~","~~"),"*","~*"),"?","~?"))&gt;1,"!AMBIG",IFERROR(INDEX('Calculations'!$HF$13:$HF$512,MATCH('Calculations'!IF405,'Calculations'!$HE$13:$HE$512,0)),""))))</x:f>
      </x:c>
      <x:c r="IH405" t="str">
        <x:f>IF('Calculations'!IG405="","",IF('Calculations'!IG405="!AMBIG","!AMBIG",IF(COUNTIF('Calculations'!$HE$13:$HE$512,"="&amp;SUBSTITUTE(SUBSTITUTE(SUBSTITUTE('Calculations'!IG405,"~","~~"),"*","~*"),"?","~?"))&gt;1,"!AMBIG",IFERROR(INDEX('Calculations'!$HF$13:$HF$512,MATCH('Calculations'!IG405,'Calculations'!$HE$13:$HE$512,0)),""))))</x:f>
      </x:c>
      <x:c r="II405" t="str">
        <x:f>IF('Calculations'!IH405="","",IF('Calculations'!IH405="!AMBIG","!AMBIG",IF(COUNTIF('Calculations'!$HE$13:$HE$512,"="&amp;SUBSTITUTE(SUBSTITUTE(SUBSTITUTE('Calculations'!IH405,"~","~~"),"*","~*"),"?","~?"))&gt;1,"!AMBIG",IFERROR(INDEX('Calculations'!$HF$13:$HF$512,MATCH('Calculations'!IH405,'Calculations'!$HE$13:$HE$512,0)),""))))</x:f>
      </x:c>
      <x:c r="IJ405" t="str">
        <x:f>IF('Calculations'!EM405="","",IF('Calculations'!$EF$2="All",'Calculations'!HM405,IF('Calculations'!HL405=1,"",IFERROR(IF(MATCH('Calculations'!$EF$2,'Calculations'!HO405:II405,0)=1,'Calculations'!HE405,INDEX('Calculations'!HO405:II405,1,MATCH('Calculations'!$EF$2,'Calculations'!HO405:II405,0)-1)),""))))</x:f>
      </x:c>
      <x:c r="IK405" t="n">
        <x:f>IF(AND('Calculations'!EM405&lt;&gt;"",'Calculations'!$EF$2&lt;&gt;"All",'Calculations'!HF405='Calculations'!$EF$2,'Calculations'!HL405=0,'Calculations'!JD405&gt;0),MAX('Calculations'!$IK$12:IK404)+1,0)</x:f>
        <x:v>0</x:v>
      </x:c>
      <x:c r="JA405" t="n">
        <x:f>IF(OR(IFERROR(INDIRECT("'WCM Calibration Final'!$A$405")&lt;&gt;"",FALSE),IFERROR(INDIRECT("'WCM Calibration Final'!$B$405")&lt;&gt;"",FALSE),IFERROR(INDIRECT("'WCM Calibration Final'!$C$405")&lt;&gt;"",FALSE)),405,0)</x:f>
        <x:v>0</x:v>
      </x:c>
      <x:c r="JB405" t="n">
        <x:f>'Calculations'!JB404+IF('Calculations'!JA405&gt;0,1,0)</x:f>
        <x:v>0</x:v>
      </x:c>
      <x:c r="JC405" t="n">
        <x:f>IF(OR('Calculations'!HF405="",'Calculations'!HF405="!AMBIG"),0,IF('Dashboard'!$B$7="All",1,COUNTIFS('Calculations'!$HO$13:$HO$512,"="&amp;SUBSTITUTE(SUBSTITUTE(SUBSTITUTE('Calculations'!HF405,"~","~~"),"*","~*"),"?","~?"),'Calculations'!$HN$13:$HN$512,"="&amp;SUBSTITUTE(SUBSTITUTE(SUBSTITUTE('Dashboard'!$B$7,"~","~~"),"*","~*"),"?","~?"))+COUNTIFS('Calculations'!$HP$13:$HP$512,"="&amp;SUBSTITUTE(SUBSTITUTE(SUBSTITUTE('Calculations'!HF405,"~","~~"),"*","~*"),"?","~?"),'Calculations'!$HN$13:$HN$512,"="&amp;SUBSTITUTE(SUBSTITUTE(SUBSTITUTE('Dashboard'!$B$7,"~","~~"),"*","~*"),"?","~?"))+COUNTIFS('Calculations'!$HQ$13:$HQ$512,"="&amp;SUBSTITUTE(SUBSTITUTE(SUBSTITUTE('Calculations'!HF405,"~","~~"),"*","~*"),"?","~?"),'Calculations'!$HN$13:$HN$512,"="&amp;SUBSTITUTE(SUBSTITUTE(SUBSTITUTE('Dashboard'!$B$7,"~","~~"),"*","~*"),"?","~?"))+COUNTIFS('Calculations'!$HR$13:$HR$512,"="&amp;SUBSTITUTE(SUBSTITUTE(SUBSTITUTE('Calculations'!HF405,"~","~~"),"*","~*"),"?","~?"),'Calculations'!$HN$13:$HN$512,"="&amp;SUBSTITUTE(SUBSTITUTE(SUBSTITUTE('Dashboard'!$B$7,"~","~~"),"*","~*"),"?","~?"))+COUNTIFS('Calculations'!$HS$13:$HS$512,"="&amp;SUBSTITUTE(SUBSTITUTE(SUBSTITUTE('Calculations'!HF405,"~","~~"),"*","~*"),"?","~?"),'Calculations'!$HN$13:$HN$512,"="&amp;SUBSTITUTE(SUBSTITUTE(SUBSTITUTE('Dashboard'!$B$7,"~","~~"),"*","~*"),"?","~?"))+COUNTIFS('Calculations'!$HT$13:$HT$512,"="&amp;SUBSTITUTE(SUBSTITUTE(SUBSTITUTE('Calculations'!HF405,"~","~~"),"*","~*"),"?","~?"),'Calculations'!$HN$13:$HN$512,"="&amp;SUBSTITUTE(SUBSTITUTE(SUBSTITUTE('Dashboard'!$B$7,"~","~~"),"*","~*"),"?","~?"))+COUNTIFS('Calculations'!$HU$13:$HU$512,"="&amp;SUBSTITUTE(SUBSTITUTE(SUBSTITUTE('Calculations'!HF405,"~","~~"),"*","~*"),"?","~?"),'Calculations'!$HN$13:$HN$512,"="&amp;SUBSTITUTE(SUBSTITUTE(SUBSTITUTE('Dashboard'!$B$7,"~","~~"),"*","~*"),"?","~?"))+COUNTIFS('Calculations'!$HV$13:$HV$512,"="&amp;SUBSTITUTE(SUBSTITUTE(SUBSTITUTE('Calculations'!HF405,"~","~~"),"*","~*"),"?","~?"),'Calculations'!$HN$13:$HN$512,"="&amp;SUBSTITUTE(SUBSTITUTE(SUBSTITUTE('Dashboard'!$B$7,"~","~~"),"*","~*"),"?","~?"))+COUNTIFS('Calculations'!$HW$13:$HW$512,"="&amp;SUBSTITUTE(SUBSTITUTE(SUBSTITUTE('Calculations'!HF405,"~","~~"),"*","~*"),"?","~?"),'Calculations'!$HN$13:$HN$512,"="&amp;SUBSTITUTE(SUBSTITUTE(SUBSTITUTE('Dashboard'!$B$7,"~","~~"),"*","~*"),"?","~?"))+COUNTIFS('Calculations'!$HX$13:$HX$512,"="&amp;SUBSTITUTE(SUBSTITUTE(SUBSTITUTE('Calculations'!HF405,"~","~~"),"*","~*"),"?","~?"),'Calculations'!$HN$13:$HN$512,"="&amp;SUBSTITUTE(SUBSTITUTE(SUBSTITUTE('Dashboard'!$B$7,"~","~~"),"*","~*"),"?","~?"))+COUNTIFS('Calculations'!$HY$13:$HY$512,"="&amp;SUBSTITUTE(SUBSTITUTE(SUBSTITUTE('Calculations'!HF405,"~","~~"),"*","~*"),"?","~?"),'Calculations'!$HN$13:$HN$512,"="&amp;SUBSTITUTE(SUBSTITUTE(SUBSTITUTE('Dashboard'!$B$7,"~","~~"),"*","~*"),"?","~?"))+COUNTIFS('Calculations'!$HZ$13:$HZ$512,"="&amp;SUBSTITUTE(SUBSTITUTE(SUBSTITUTE('Calculations'!HF405,"~","~~"),"*","~*"),"?","~?"),'Calculations'!$HN$13:$HN$512,"="&amp;SUBSTITUTE(SUBSTITUTE(SUBSTITUTE('Dashboard'!$B$7,"~","~~"),"*","~*"),"?","~?"))+COUNTIFS('Calculations'!$IA$13:$IA$512,"="&amp;SUBSTITUTE(SUBSTITUTE(SUBSTITUTE('Calculations'!HF405,"~","~~"),"*","~*"),"?","~?"),'Calculations'!$HN$13:$HN$512,"="&amp;SUBSTITUTE(SUBSTITUTE(SUBSTITUTE('Dashboard'!$B$7,"~","~~"),"*","~*"),"?","~?"))+COUNTIFS('Calculations'!$IB$13:$IB$512,"="&amp;SUBSTITUTE(SUBSTITUTE(SUBSTITUTE('Calculations'!HF405,"~","~~"),"*","~*"),"?","~?"),'Calculations'!$HN$13:$HN$512,"="&amp;SUBSTITUTE(SUBSTITUTE(SUBSTITUTE('Dashboard'!$B$7,"~","~~"),"*","~*"),"?","~?"))+COUNTIFS('Calculations'!$IC$13:$IC$512,"="&amp;SUBSTITUTE(SUBSTITUTE(SUBSTITUTE('Calculations'!HF405,"~","~~"),"*","~*"),"?","~?"),'Calculations'!$HN$13:$HN$512,"="&amp;SUBSTITUTE(SUBSTITUTE(SUBSTITUTE('Dashboard'!$B$7,"~","~~"),"*","~*"),"?","~?"))+COUNTIFS('Calculations'!$ID$13:$ID$512,"="&amp;SUBSTITUTE(SUBSTITUTE(SUBSTITUTE('Calculations'!HF405,"~","~~"),"*","~*"),"?","~?"),'Calculations'!$HN$13:$HN$512,"="&amp;SUBSTITUTE(SUBSTITUTE(SUBSTITUTE('Dashboard'!$B$7,"~","~~"),"*","~*"),"?","~?"))+COUNTIFS('Calculations'!$IE$13:$IE$512,"="&amp;SUBSTITUTE(SUBSTITUTE(SUBSTITUTE('Calculations'!HF405,"~","~~"),"*","~*"),"?","~?"),'Calculations'!$HN$13:$HN$512,"="&amp;SUBSTITUTE(SUBSTITUTE(SUBSTITUTE('Dashboard'!$B$7,"~","~~"),"*","~*"),"?","~?"))+COUNTIFS('Calculations'!$IF$13:$IF$512,"="&amp;SUBSTITUTE(SUBSTITUTE(SUBSTITUTE('Calculations'!HF405,"~","~~"),"*","~*"),"?","~?"),'Calculations'!$HN$13:$HN$512,"="&amp;SUBSTITUTE(SUBSTITUTE(SUBSTITUTE('Dashboard'!$B$7,"~","~~"),"*","~*"),"?","~?"))+COUNTIFS('Calculations'!$IG$13:$IG$512,"="&amp;SUBSTITUTE(SUBSTITUTE(SUBSTITUTE('Calculations'!HF405,"~","~~"),"*","~*"),"?","~?"),'Calculations'!$HN$13:$HN$512,"="&amp;SUBSTITUTE(SUBSTITUTE(SUBSTITUTE('Dashboard'!$B$7,"~","~~"),"*","~*"),"?","~?"))+COUNTIFS('Calculations'!$IH$13:$IH$512,"="&amp;SUBSTITUTE(SUBSTITUTE(SUBSTITUTE('Calculations'!HF405,"~","~~"),"*","~*"),"?","~?"),'Calculations'!$HN$13:$HN$512,"="&amp;SUBSTITUTE(SUBSTITUTE(SUBSTITUTE('Dashboard'!$B$7,"~","~~"),"*","~*"),"?","~?"))))</x:f>
        <x:v>0</x:v>
      </x:c>
      <x:c r="JD405" t="n">
        <x:f>IF('Calculations'!EM405="",0,IF('Dashboard'!$B$7="All",1,IF('Calculations'!HN405='Dashboard'!$B$7,1,0)+IFERROR(INDEX('Calculations'!$JC$13:$JC$512,MATCH('Calculations'!HE405,'Calculations'!$HF$13:$HF$512,0)),0)))</x:f>
        <x:v>0</x:v>
      </x:c>
      <x:c r="JE405" t="n">
        <x:f>IF(AND('Calculations'!EM405&lt;&gt;"",'Calculations'!$JJ$2&lt;&gt;"All",'Calculations'!$JJ$2&lt;&gt;"",'Calculations'!HF405='Calculations'!$JJ$2,'Calculations'!HL405=0,'Calculations'!JD405&gt;0),MAX('Calculations'!$JE$12:JE404)+1,0)</x:f>
        <x:v>0</x:v>
      </x:c>
      <x:c r="JF405" t="str">
        <x:f>IF('Calculations'!EM405="","",IFERROR(IF(INDEX(INDIRECT("'WCM Calibration Final'!$G$1:$G$2000"),'Calculations'!$EM405)="","",TRIM(INDEX(INDIRECT("'WCM Calibration Final'!$G$1:$G$2000"),'Calculations'!$EM405)&amp;"")),""))</x:f>
      </x:c>
      <x:c r="JQ405" t="n">
        <x:f>IF(OR('Calculations'!BM405=0,NOT('Calculations'!$AG$2),'Calculations'!$AG$8&gt;0),0,IF(OR('Dashboard'!$B$7="All",'Calculations'!HN405='Dashboard'!$B$7),IF('Calculations'!$JJ$2="All",1,IF(AND('Calculations'!HF405='Calculations'!$JJ$2,'Calculations'!HL405=0),1,0)),0))</x:f>
        <x:v>0</x:v>
      </x:c>
    </x:row>
    <x:row r="406">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t="n">
        <x:f>IF('Calculations'!$EM406="",0,IF(OR(IFERROR(INDEX(INDIRECT("'WCM Calibration Final'!$A$1:$A$2000"),'Calculations'!$EM406)&lt;&gt;"",FALSE),IFERROR(INDEX(INDIRECT("'WCM Calibration Final'!$B$1:$B$2000"),'Calculations'!$EM406)&lt;&gt;"",FALSE),IFERROR(INDEX(INDIRECT("'WCM Calibration Final'!$C$1:$C$2000"),'Calculations'!$EM406)&lt;&gt;"",FALSE)),1,0))</x:f>
        <x:v>0</x:v>
      </x:c>
      <x:c r="BN406" s="4" t="n">
        <x:f>IF(AND('Calculations'!BM406=1,'Calculations'!$AG$2,'Calculations'!$EN406=1),1,0)</x:f>
        <x:v>0</x:v>
      </x:c>
      <x:c r="BO406" s="4" t="str">
        <x:f>IF('Calculations'!BM406=0,"",IFERROR(IF(AND(VALUE(INDEX(INDIRECT("'WCM Calibration Final'!$K$1:$K$2000"),'Calculations'!$EM406))&gt;=1,VALUE(INDEX(INDIRECT("'WCM Calibration Final'!$K$1:$K$2000"),'Calculations'!$EM406))&lt;=4,MOD(VALUE(INDEX(INDIRECT("'WCM Calibration Final'!$K$1:$K$2000"),'Calculations'!$EM406)),1)=0),VALUE(INDEX(INDIRECT("'WCM Calibration Final'!$K$1:$K$2000"),'Calculations'!$EM406)),""),""))</x:f>
      </x:c>
      <x:c r="BP406" s="4" t="str">
        <x:f>IF('Calculations'!BM406=0,"",IFERROR(IF(AND(VALUE(INDEX(INDIRECT("'WCM Calibration Final'!$L$1:$L$2000"),'Calculations'!$EM406))&gt;=1,VALUE(INDEX(INDIRECT("'WCM Calibration Final'!$L$1:$L$2000"),'Calculations'!$EM406))&lt;=4,MOD(VALUE(INDEX(INDIRECT("'WCM Calibration Final'!$L$1:$L$2000"),'Calculations'!$EM406)),1)=0),VALUE(INDEX(INDIRECT("'WCM Calibration Final'!$L$1:$L$2000"),'Calculations'!$EM406)),""),""))</x:f>
      </x:c>
      <x:c r="BQ406" s="4"/>
      <x:c r="BR406" s="4"/>
      <x:c r="BS406" s="4"/>
      <x:c r="BT406" s="4" t="n">
        <x:f>IF(AND('Calculations'!BM406=1,ISNUMBER('Calculations'!BO406),ISNUMBER('Calculations'!BP406)),1,0)</x:f>
        <x:v>0</x:v>
      </x:c>
      <x:c r="BU406" s="4" t="str">
        <x:f>IF('Calculations'!BM406=0,"",'Calculations'!$EO406)</x:f>
      </x:c>
      <x:c r="BV406" s="4" t="str">
        <x:f>IF('Calculations'!BM406=0,"",IFERROR(IF(OR(INDEX(INDIRECT("'WCM Calibration Final'!$H$1:$H$2000"),'Calculations'!$EM406)="MANAGING DIRECTOR",INDEX(INDIRECT("'WCM Calibration Final'!$H$1:$H$2000"),'Calculations'!$EM406)="DIRECTOR",INDEX(INDIRECT("'WCM Calibration Final'!$H$1:$H$2000"),'Calculations'!$EM406)="SENIOR VICE PRESIDENT",INDEX(INDIRECT("'WCM Calibration Final'!$H$1:$H$2000"),'Calculations'!$EM406)="VICE PRESIDENT",INDEX(INDIRECT("'WCM Calibration Final'!$H$1:$H$2000"),'Calculations'!$EM406)="ASSISTANT VICE PRESIDENT",INDEX(INDIRECT("'WCM Calibration Final'!$H$1:$H$2000"),'Calculations'!$EM406)="OFFICER"),UPPER(INDEX(INDIRECT("'WCM Calibration Final'!$H$1:$H$2000"),'Calculations'!$EM406)),"Other"),"Other"))</x:f>
      </x:c>
      <x:c r="BW406" s="4"/>
      <x:c r="BX406" s="4"/>
      <x:c r="BY406" s="4" t="n">
        <x:f>IF(AND('Calculations'!BM406=1,'Calculations'!BU406&lt;&gt;"",COUNTIF('Calculations'!$BU$12:BU406,'Calculations'!BU406)=1),MAX('Calculations'!$BY$11:BY405)+1,0)</x:f>
        <x:v>0</x:v>
      </x:c>
      <x:c r="BZ406" s="4" t="str">
        <x:f>IF('Dashboard'!$E$67="What",'Calculations'!BO406,'Calculations'!BP406)</x:f>
      </x:c>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t="str">
        <x:f>IF(395&gt;MAX('Calculations'!$HI$13:$HI$512),"",INDEX('Calculations'!$HN$13:$HN$512,MATCH(395,'Calculations'!$HI$13:$HI$512,0)))</x:f>
      </x:c>
      <x:c r="DB406" s="4" t="str">
        <x:f>IF(395&gt;MAX('Calculations'!$HH$13:$HH$512),"",INDEX('Calculations'!$HJ$13:$HJ$512,MATCH(395,'Calculations'!$HH$13:$HH$512,0)))</x:f>
      </x:c>
      <x:c r="DC406" s="4" t="str">
        <x:f>IF(ROW()-11&gt;MAX('Calculations'!$BY$13:$BY$512),"",INDEX('Calculations'!$BU$13:$BU$512,MATCH(ROW()-11,'Calculations'!$BY$13:$BY$512,0)))</x:f>
      </x:c>
      <x:c r="DD406" s="4" t="str">
        <x:f>IF(395&gt;MAX('Calculations'!$IK$13:$IK$512),"",INDEX('Calculations'!$HK$13:$HK$512,MATCH(395,'Calculations'!$IK$13:$IK$512,0)))</x:f>
      </x:c>
      <x:c r="DE406" s="4" t="str">
        <x:f>'Calculations'!DC406</x:f>
      </x:c>
      <x:c r="DF406" s="4" t="str">
        <x:f>IF('Calculations'!DE406="","",COUNTIFS('Calculations'!$BN$13:$BN$512,1,'Calculations'!$BU$13:$BU$512,'Calculations'!DE406))</x:f>
      </x:c>
      <x:c r="DG406" s="4" t="str">
        <x:f>IF('Calculations'!DE406="","",COUNTIFS('Calculations'!$BN$13:$BN$512,1,'Calculations'!$BU$13:$BU$512,'Calculations'!DE406,'Calculations'!$BT$13:$BT$512,1))</x:f>
      </x:c>
      <x:c r="DH406" s="4" t="str">
        <x:f>IF('Calculations'!DE406="","",'Calculations'!DF406-'Calculations'!DG406)</x:f>
      </x:c>
      <x:c r="DI406" s="4" t="str">
        <x:f>IF(OR('Calculations'!DE406="",'Calculations'!DF406=0),"",'Calculations'!DG406/'Calculations'!DF406)</x:f>
      </x:c>
      <x:c r="DJ406" s="4" t="str">
        <x:f>IF('Calculations'!DE406="","",COUNTIFS('Calculations'!$BN$13:$BN$512,1,'Calculations'!$BU$13:$BU$512,'Calculations'!DE406,'Calculations'!$BT$13:$BT$512,1,'Calculations'!$EE$13:$EE$512,"High"))</x:f>
      </x:c>
      <x:c r="DK406" s="4" t="str">
        <x:f>IF('Calculations'!DE406="","",COUNTIFS('Calculations'!$BN$13:$BN$512,1,'Calculations'!$BU$13:$BU$512,'Calculations'!DE406,'Calculations'!$BT$13:$BT$512,1,'Calculations'!$EE$13:$EE$512,"Strong"))</x:f>
      </x:c>
      <x:c r="DL406" s="4" t="str">
        <x:f>IF('Calculations'!DE406="","",COUNTIFS('Calculations'!$BN$13:$BN$512,1,'Calculations'!$BU$13:$BU$512,'Calculations'!DE406,'Calculations'!$BT$13:$BT$512,1,'Calculations'!$EE$13:$EE$512,"Solid"))</x:f>
      </x:c>
      <x:c r="DM406" s="4" t="str">
        <x:f>IF('Calculations'!DE406="","",COUNTIFS('Calculations'!$BN$13:$BN$512,1,'Calculations'!$BU$13:$BU$512,'Calculations'!DE406,'Calculations'!$BT$13:$BT$512,1,'Calculations'!$EE$13:$EE$512,"Low"))</x:f>
      </x:c>
      <x:c r="DN406" s="4" t="str">
        <x:f>IF('Calculations'!DE406="","",COUNTIFS('Calculations'!$BN$13:$BN$512,1,'Calculations'!$BU$13:$BU$512,'Calculations'!DE406,'Calculations'!$EP$13:$EP$512,1))</x:f>
      </x:c>
      <x:c r="DO406" s="4" t="str">
        <x:f>IF(OR('Calculations'!DE406="",'Calculations'!DG406=0),"",('Calculations'!DJ406+'Calculations'!DK406)/'Calculations'!DG406)</x:f>
      </x:c>
      <x:c r="DP406" s="4" t="n">
        <x:f>IF(AND('Calculations'!DE406&lt;&gt;"",'Calculations'!DF406&gt;0),COUNTIF('Calculations'!$DF$12:DF406,"&gt;0"),0)</x:f>
        <x:v>0</x:v>
      </x:c>
      <x:c r="DQ406" s="4" t="str">
        <x:f>IF(395&gt;MAX('Calculations'!$HH$13:$HH$512),"",INDEX('Calculations'!$HF$13:$HF$512,MATCH(395,'Calculations'!$HH$13:$HH$512,0)))</x:f>
      </x:c>
      <x:c r="DR406" s="4" t="str">
        <x:f>IF(395&gt;MAX('Calculations'!$IK$13:$IK$512),"",INDEX('Calculations'!$HE$13:$HE$512,MATCH(395,'Calculations'!$IK$13:$IK$512,0)))</x:f>
      </x:c>
      <x:c r="DS406" s="4"/>
      <x:c r="DT406" s="4"/>
      <x:c r="DU406" s="4"/>
      <x:c r="DV406" s="4"/>
      <x:c r="DW406" s="4"/>
      <x:c r="DX406" s="4"/>
      <x:c r="DY406" s="4"/>
      <x:c r="DZ406" s="4"/>
      <x:c r="EA406" s="4"/>
      <x:c r="EB406" s="4"/>
      <x:c r="EC406" s="4"/>
      <x:c r="ED406" s="4"/>
      <x:c r="EE406" s="4" t="str">
        <x:f>IF('Calculations'!BT406=0,"Not Rated",IF(OR('Calculations'!BO406&gt;=4,'Calculations'!BP406&gt;=4),"Low",IF('Calculations'!BO406+'Calculations'!BP406&lt;=3,"High",IF('Calculations'!BO406+'Calculations'!BP406&lt;=4,"Strong","Solid"))))</x:f>
        <x:v>Not Rated</x:v>
      </x:c>
      <x:c r="EF406" s="4"/>
      <x:c r="EG406" s="4"/>
      <x:c r="EH406" s="4"/>
      <x:c r="EI406" s="4"/>
      <x:c r="EJ406" s="4"/>
      <x:c r="EK406" s="4"/>
      <x:c r="EL406" s="4"/>
      <x:c r="EM406" s="4" t="str">
        <x:f>IF(394&gt;'Calculations'!$JB$2000,"",INDEX('Calculations'!$JA$12:$JA$2000,MATCH(394,'Calculations'!$JB$12:$JB$2000,0)))</x:f>
      </x:c>
      <x:c r="EN406" s="4" t="n">
        <x:f>IF(OR('Calculations'!EM406="",'Calculations'!$AG$8&gt;0,AND('Calculations'!$EF$2&lt;&gt;"All",'Calculations'!HE406='Calculations'!$EF$2),AND('Calculations'!$EF$3&lt;&gt;"All",'Calculations'!HE406='Calculations'!$EF$3)),0,IF(OR('Dashboard'!$B$7="All",'Calculations'!HN406='Dashboard'!$B$7),IF('Calculations'!$EF$2="All",1,IF('Calculations'!HL406&gt;0,0,IF(COUNTIF('Calculations'!HO406:II406,"="&amp;SUBSTITUTE(SUBSTITUTE(SUBSTITUTE('Calculations'!$EF$2,"~","~~"),"*","~*"),"?","~?"))=0,0,IF('Calculations'!$EF$3="All",1,IF(COUNTIF('Calculations'!HO406:II406,"="&amp;SUBSTITUTE(SUBSTITUTE(SUBSTITUTE('Calculations'!$EF$3,"~","~~"),"*","~*"),"?","~?"))&gt;0,1,0))))),0))</x:f>
        <x:v>0</x:v>
      </x:c>
      <x:c r="EO406" s="4" t="str">
        <x:f>IF('Calculations'!IJ406="","",IF('Calculations'!IJ406="!UNRESOLVED","Unresolved hierarchy",IFERROR(INDEX('Calculations'!$HK$13:$HK$512,MATCH('Calculations'!IJ406,'Calculations'!$HE$13:$HE$512,0)),IFERROR(INDEX('Calculations'!$HJ$13:$HJ$512,MATCH('Calculations'!IJ406,'Calculations'!$HF$13:$HF$512,0)),'Calculations'!IJ406))))</x:f>
      </x:c>
      <x:c r="EP406" s="4" t="n">
        <x:f>IF(AND('Calculations'!EM406&lt;&gt;"",'Calculations'!HF406='Calculations'!IJ406),1,0)</x:f>
        <x:v>0</x:v>
      </x:c>
      <x:c r="EQ406" s="4"/>
      <x:c r="ER406" s="4"/>
      <x:c r="ES406" s="4"/>
      <x:c r="ET406" s="4"/>
      <x:c r="EU406" s="4"/>
      <x:c r="EV406" s="4"/>
      <x:c r="EW406" s="4"/>
      <x:c r="EX406" s="4"/>
      <x:c r="EY406" s="4"/>
      <x:c r="EZ406" s="4"/>
      <x:c r="FA406" s="4"/>
      <x:c r="FB406" s="4"/>
      <x:c r="FC406" s="4"/>
      <x:c r="FD406" s="4"/>
      <x:c r="FE406" s="4"/>
      <x:c r="FF406" s="4"/>
      <x:c r="FG406" s="4"/>
      <x:c r="FH406" s="4"/>
      <x:c r="FI406" s="4"/>
      <x:c r="FJ406" s="4"/>
      <x:c r="FK406" s="4"/>
      <x:c r="FL406" s="4"/>
      <x:c r="FM406" s="4"/>
      <x:c r="FN406" s="4"/>
      <x:c r="FO406" s="4"/>
      <x:c r="HE406" t="str">
        <x:f>IF('Calculations'!EM406="","",IF(IFERROR(IF(INDEX(INDIRECT("'WCM Calibration Final'!$A$1:$A$2000"),'Calculations'!$EM406)="","",TRIM(INDEX(INDIRECT("'WCM Calibration Final'!$A$1:$A$2000"),'Calculations'!$EM406)&amp;"")),"")&lt;&gt;"","G:"&amp;IFERROR(TEXT(1*INDEX(INDIRECT("'WCM Calibration Final'!$A$1:$A$2000"),'Calculations'!$EM406),"0"),UPPER(IFERROR(IF(INDEX(INDIRECT("'WCM Calibration Final'!$A$1:$A$2000"),'Calculations'!$EM406)="","",TRIM(INDEX(INDIRECT("'WCM Calibration Final'!$A$1:$A$2000"),'Calculations'!$EM406)&amp;"")),""))),IF(IFERROR(IF(INDEX(INDIRECT("'WCM Calibration Final'!$C$1:$C$2000"),'Calculations'!$EM406)="","",TRIM(INDEX(INDIRECT("'WCM Calibration Final'!$C$1:$C$2000"),'Calculations'!$EM406)&amp;"")),"")&lt;&gt;"","S:"&amp;UPPER(IFERROR(IF(INDEX(INDIRECT("'WCM Calibration Final'!$C$1:$C$2000"),'Calculations'!$EM406)="","",TRIM(INDEX(INDIRECT("'WCM Calibration Final'!$C$1:$C$2000"),'Calculations'!$EM406)&amp;"")),"")),"R:"&amp;'Calculations'!EM406)))</x:f>
      </x:c>
      <x:c r="HF406" t="str">
        <x:f>IF('Calculations'!EM406="","",IF(IFERROR(IF(INDEX(INDIRECT("'WCM Calibration Final'!$D$1:$D$2000"),'Calculations'!$EM406)="","",TRIM(INDEX(INDIRECT("'WCM Calibration Final'!$D$1:$D$2000"),'Calculations'!$EM406)&amp;"")),"")&lt;&gt;"","G:"&amp;IFERROR(TEXT(1*INDEX(INDIRECT("'WCM Calibration Final'!$D$1:$D$2000"),'Calculations'!$EM406),"0"),UPPER(IFERROR(IF(INDEX(INDIRECT("'WCM Calibration Final'!$D$1:$D$2000"),'Calculations'!$EM406)="","",TRIM(INDEX(INDIRECT("'WCM Calibration Final'!$D$1:$D$2000"),'Calculations'!$EM406)&amp;"")),""))),IF(IFERROR(IF(INDEX(INDIRECT("'WCM Calibration Final'!$E$1:$E$2000"),'Calculations'!$EM406)="","",TRIM(INDEX(INDIRECT("'WCM Calibration Final'!$E$1:$E$2000"),'Calculations'!$EM406)&amp;"")),"")="","",IF(COUNTIF('Calculations'!$HG$13:$HG$512,"="&amp;SUBSTITUTE(SUBSTITUTE(SUBSTITUTE(IFERROR(IF(INDEX(INDIRECT("'WCM Calibration Final'!$E$1:$E$2000"),'Calculations'!$EM406)="","",TRIM(INDEX(INDIRECT("'WCM Calibration Final'!$E$1:$E$2000"),'Calculations'!$EM406)&amp;"")),""),"~","~~"),"*","~*"),"?","~?"))=1,INDEX('Calculations'!$HE$13:$HE$512,MATCH(IFERROR(IF(INDEX(INDIRECT("'WCM Calibration Final'!$E$1:$E$2000"),'Calculations'!$EM406)="","",TRIM(INDEX(INDIRECT("'WCM Calibration Final'!$E$1:$E$2000"),'Calculations'!$EM406)&amp;"")),""),'Calculations'!$HG$13:$HG$512,0)),IF(COUNTIF('Calculations'!$HG$13:$HG$512,"="&amp;SUBSTITUTE(SUBSTITUTE(SUBSTITUTE(IFERROR(IF(INDEX(INDIRECT("'WCM Calibration Final'!$E$1:$E$2000"),'Calculations'!$EM406)="","",TRIM(INDEX(INDIRECT("'WCM Calibration Final'!$E$1:$E$2000"),'Calculations'!$EM406)&amp;"")),""),"~","~~"),"*","~*"),"?","~?"))&gt;1,"!AMBIG","X:"&amp;IFERROR(IF(INDEX(INDIRECT("'WCM Calibration Final'!$E$1:$E$2000"),'Calculations'!$EM406)="","",TRIM(INDEX(INDIRECT("'WCM Calibration Final'!$E$1:$E$2000"),'Calculations'!$EM406)&amp;"")),""))))))</x:f>
      </x:c>
      <x:c r="HG406" t="str">
        <x:f>IF('Calculations'!EM406="","",IFERROR(IF(INDEX(INDIRECT("'WCM Calibration Final'!$B$1:$B$2000"),'Calculations'!$EM406)="","",TRIM(INDEX(INDIRECT("'WCM Calibration Final'!$B$1:$B$2000"),'Calculations'!$EM406)&amp;"")),""))</x:f>
      </x:c>
      <x:c r="HH406" t="n">
        <x:f>IF(AND('Calculations'!JC406&gt;0,COUNTIF('Calculations'!$HF$12:HF406,"="&amp;SUBSTITUTE(SUBSTITUTE(SUBSTITUTE('Calculations'!HF406,"~","~~"),"*","~*"),"?","~?"))=1),MAX('Calculations'!$HH$12:HH405)+1,0)</x:f>
        <x:v>0</x:v>
      </x:c>
      <x:c r="HI406" t="n">
        <x:f>IF(AND('Calculations'!HN406&lt;&gt;"",COUNTIF('Calculations'!$HN$12:HN406,"="&amp;SUBSTITUTE(SUBSTITUTE(SUBSTITUTE('Calculations'!HN406,"~","~~"),"*","~*"),"?","~?"))=1),MAX('Calculations'!$HI$12:HI405)+1,0)</x:f>
        <x:v>0</x:v>
      </x:c>
      <x:c r="HJ406" t="str">
        <x:f>IF('Calculations'!HF406="","",IF(COUNTIF('Calculations'!$HE$13:$HE$512,"="&amp;SUBSTITUTE(SUBSTITUTE(SUBSTITUTE('Calculations'!HF406,"~","~~"),"*","~*"),"?","~?"))=1,INDEX('Calculations'!$HK$13:$HK$512,MATCH('Calculations'!HF406,'Calculations'!$HE$13:$HE$512,0)),IFERROR(IF(INDEX(INDIRECT("'WCM Calibration Final'!$E$1:$E$2000"),'Calculations'!$EM406)="","",TRIM(INDEX(INDIRECT("'WCM Calibration Final'!$E$1:$E$2000"),'Calculations'!$EM406)&amp;"")),"")&amp;" ["&amp;'Calculations'!HF406&amp;"]"))</x:f>
      </x:c>
      <x:c r="HK406" t="str">
        <x:f>IF('Calculations'!EM406="","",'Calculations'!HG406&amp;" ["&amp;'Calculations'!HE406&amp;"]")</x:f>
      </x:c>
      <x:c r="HL406" t="n">
        <x:f>IF('Calculations'!EM406="",0,IF(OR('Calculations'!II406&lt;&gt;"",COUNTIF('Calculations'!$HE$13:$HE$512,"="&amp;SUBSTITUTE(SUBSTITUTE(SUBSTITUTE('Calculations'!HE406,"~","~~"),"*","~*"),"?","~?"))&gt;1),1,0))</x:f>
        <x:v>0</x:v>
      </x:c>
      <x:c r="HM406" t="str">
        <x:f>IF('Calculations'!EM406="","",IF('Calculations'!HL406=1,"!UNRESOLVED",IF('Calculations'!IH406&lt;&gt;"",'Calculations'!IH406,IF('Calculations'!IG406&lt;&gt;"",'Calculations'!IG406,IF('Calculations'!IF406&lt;&gt;"",'Calculations'!IF406,IF('Calculations'!IE406&lt;&gt;"",'Calculations'!IE406,IF('Calculations'!ID406&lt;&gt;"",'Calculations'!ID406,IF('Calculations'!IC406&lt;&gt;"",'Calculations'!IC406,IF('Calculations'!IB406&lt;&gt;"",'Calculations'!IB406,IF('Calculations'!IA406&lt;&gt;"",'Calculations'!IA406,IF('Calculations'!HZ406&lt;&gt;"",'Calculations'!HZ406,IF('Calculations'!HY406&lt;&gt;"",'Calculations'!HY406,IF('Calculations'!HX406&lt;&gt;"",'Calculations'!HX406,IF('Calculations'!HW406&lt;&gt;"",'Calculations'!HW406,IF('Calculations'!HV406&lt;&gt;"",'Calculations'!HV406,IF('Calculations'!HU406&lt;&gt;"",'Calculations'!HU406,IF('Calculations'!HT406&lt;&gt;"",'Calculations'!HT406,IF('Calculations'!HS406&lt;&gt;"",'Calculations'!HS406,IF('Calculations'!HR406&lt;&gt;"",'Calculations'!HR406,IF('Calculations'!HQ406&lt;&gt;"",'Calculations'!HQ406,IF('Calculations'!HP406&lt;&gt;"",'Calculations'!HP406,IF('Calculations'!HO406&lt;&gt;"",'Calculations'!HO406,'Calculations'!HE406))))))))))))))))))))))</x:f>
      </x:c>
      <x:c r="HN406" t="str">
        <x:f>IF('Calculations'!EM406="","",IF(IFERROR(IF(INDEX(INDIRECT("'WCM Calibration Final'!$F$1:$F$2000"),'Calculations'!$EM406)="","",TRIM(INDEX(INDIRECT("'WCM Calibration Final'!$F$1:$F$2000"),'Calculations'!$EM406)&amp;"")),"")="","(Blank)",IFERROR(IF(INDEX(INDIRECT("'WCM Calibration Final'!$F$1:$F$2000"),'Calculations'!$EM406)="","",TRIM(INDEX(INDIRECT("'WCM Calibration Final'!$F$1:$F$2000"),'Calculations'!$EM406)&amp;"")),"")))</x:f>
      </x:c>
      <x:c r="HO406" t="str">
        <x:f>'Calculations'!HF406</x:f>
      </x:c>
      <x:c r="HP406" t="str">
        <x:f>IF('Calculations'!HO406="","",IF('Calculations'!HO406="!AMBIG","!AMBIG",IF(COUNTIF('Calculations'!$HE$13:$HE$512,"="&amp;SUBSTITUTE(SUBSTITUTE(SUBSTITUTE('Calculations'!HO406,"~","~~"),"*","~*"),"?","~?"))&gt;1,"!AMBIG",IFERROR(INDEX('Calculations'!$HF$13:$HF$512,MATCH('Calculations'!HO406,'Calculations'!$HE$13:$HE$512,0)),""))))</x:f>
      </x:c>
      <x:c r="HQ406" t="str">
        <x:f>IF('Calculations'!HP406="","",IF('Calculations'!HP406="!AMBIG","!AMBIG",IF(COUNTIF('Calculations'!$HE$13:$HE$512,"="&amp;SUBSTITUTE(SUBSTITUTE(SUBSTITUTE('Calculations'!HP406,"~","~~"),"*","~*"),"?","~?"))&gt;1,"!AMBIG",IFERROR(INDEX('Calculations'!$HF$13:$HF$512,MATCH('Calculations'!HP406,'Calculations'!$HE$13:$HE$512,0)),""))))</x:f>
      </x:c>
      <x:c r="HR406" t="str">
        <x:f>IF('Calculations'!HQ406="","",IF('Calculations'!HQ406="!AMBIG","!AMBIG",IF(COUNTIF('Calculations'!$HE$13:$HE$512,"="&amp;SUBSTITUTE(SUBSTITUTE(SUBSTITUTE('Calculations'!HQ406,"~","~~"),"*","~*"),"?","~?"))&gt;1,"!AMBIG",IFERROR(INDEX('Calculations'!$HF$13:$HF$512,MATCH('Calculations'!HQ406,'Calculations'!$HE$13:$HE$512,0)),""))))</x:f>
      </x:c>
      <x:c r="HS406" t="str">
        <x:f>IF('Calculations'!HR406="","",IF('Calculations'!HR406="!AMBIG","!AMBIG",IF(COUNTIF('Calculations'!$HE$13:$HE$512,"="&amp;SUBSTITUTE(SUBSTITUTE(SUBSTITUTE('Calculations'!HR406,"~","~~"),"*","~*"),"?","~?"))&gt;1,"!AMBIG",IFERROR(INDEX('Calculations'!$HF$13:$HF$512,MATCH('Calculations'!HR406,'Calculations'!$HE$13:$HE$512,0)),""))))</x:f>
      </x:c>
      <x:c r="HT406" t="str">
        <x:f>IF('Calculations'!HS406="","",IF('Calculations'!HS406="!AMBIG","!AMBIG",IF(COUNTIF('Calculations'!$HE$13:$HE$512,"="&amp;SUBSTITUTE(SUBSTITUTE(SUBSTITUTE('Calculations'!HS406,"~","~~"),"*","~*"),"?","~?"))&gt;1,"!AMBIG",IFERROR(INDEX('Calculations'!$HF$13:$HF$512,MATCH('Calculations'!HS406,'Calculations'!$HE$13:$HE$512,0)),""))))</x:f>
      </x:c>
      <x:c r="HU406" t="str">
        <x:f>IF('Calculations'!HT406="","",IF('Calculations'!HT406="!AMBIG","!AMBIG",IF(COUNTIF('Calculations'!$HE$13:$HE$512,"="&amp;SUBSTITUTE(SUBSTITUTE(SUBSTITUTE('Calculations'!HT406,"~","~~"),"*","~*"),"?","~?"))&gt;1,"!AMBIG",IFERROR(INDEX('Calculations'!$HF$13:$HF$512,MATCH('Calculations'!HT406,'Calculations'!$HE$13:$HE$512,0)),""))))</x:f>
      </x:c>
      <x:c r="HV406" t="str">
        <x:f>IF('Calculations'!HU406="","",IF('Calculations'!HU406="!AMBIG","!AMBIG",IF(COUNTIF('Calculations'!$HE$13:$HE$512,"="&amp;SUBSTITUTE(SUBSTITUTE(SUBSTITUTE('Calculations'!HU406,"~","~~"),"*","~*"),"?","~?"))&gt;1,"!AMBIG",IFERROR(INDEX('Calculations'!$HF$13:$HF$512,MATCH('Calculations'!HU406,'Calculations'!$HE$13:$HE$512,0)),""))))</x:f>
      </x:c>
      <x:c r="HW406" t="str">
        <x:f>IF('Calculations'!HV406="","",IF('Calculations'!HV406="!AMBIG","!AMBIG",IF(COUNTIF('Calculations'!$HE$13:$HE$512,"="&amp;SUBSTITUTE(SUBSTITUTE(SUBSTITUTE('Calculations'!HV406,"~","~~"),"*","~*"),"?","~?"))&gt;1,"!AMBIG",IFERROR(INDEX('Calculations'!$HF$13:$HF$512,MATCH('Calculations'!HV406,'Calculations'!$HE$13:$HE$512,0)),""))))</x:f>
      </x:c>
      <x:c r="HX406" t="str">
        <x:f>IF('Calculations'!HW406="","",IF('Calculations'!HW406="!AMBIG","!AMBIG",IF(COUNTIF('Calculations'!$HE$13:$HE$512,"="&amp;SUBSTITUTE(SUBSTITUTE(SUBSTITUTE('Calculations'!HW406,"~","~~"),"*","~*"),"?","~?"))&gt;1,"!AMBIG",IFERROR(INDEX('Calculations'!$HF$13:$HF$512,MATCH('Calculations'!HW406,'Calculations'!$HE$13:$HE$512,0)),""))))</x:f>
      </x:c>
      <x:c r="HY406" t="str">
        <x:f>IF('Calculations'!HX406="","",IF('Calculations'!HX406="!AMBIG","!AMBIG",IF(COUNTIF('Calculations'!$HE$13:$HE$512,"="&amp;SUBSTITUTE(SUBSTITUTE(SUBSTITUTE('Calculations'!HX406,"~","~~"),"*","~*"),"?","~?"))&gt;1,"!AMBIG",IFERROR(INDEX('Calculations'!$HF$13:$HF$512,MATCH('Calculations'!HX406,'Calculations'!$HE$13:$HE$512,0)),""))))</x:f>
      </x:c>
      <x:c r="HZ406" t="str">
        <x:f>IF('Calculations'!HY406="","",IF('Calculations'!HY406="!AMBIG","!AMBIG",IF(COUNTIF('Calculations'!$HE$13:$HE$512,"="&amp;SUBSTITUTE(SUBSTITUTE(SUBSTITUTE('Calculations'!HY406,"~","~~"),"*","~*"),"?","~?"))&gt;1,"!AMBIG",IFERROR(INDEX('Calculations'!$HF$13:$HF$512,MATCH('Calculations'!HY406,'Calculations'!$HE$13:$HE$512,0)),""))))</x:f>
      </x:c>
      <x:c r="IA406" t="str">
        <x:f>IF('Calculations'!HZ406="","",IF('Calculations'!HZ406="!AMBIG","!AMBIG",IF(COUNTIF('Calculations'!$HE$13:$HE$512,"="&amp;SUBSTITUTE(SUBSTITUTE(SUBSTITUTE('Calculations'!HZ406,"~","~~"),"*","~*"),"?","~?"))&gt;1,"!AMBIG",IFERROR(INDEX('Calculations'!$HF$13:$HF$512,MATCH('Calculations'!HZ406,'Calculations'!$HE$13:$HE$512,0)),""))))</x:f>
      </x:c>
      <x:c r="IB406" t="str">
        <x:f>IF('Calculations'!IA406="","",IF('Calculations'!IA406="!AMBIG","!AMBIG",IF(COUNTIF('Calculations'!$HE$13:$HE$512,"="&amp;SUBSTITUTE(SUBSTITUTE(SUBSTITUTE('Calculations'!IA406,"~","~~"),"*","~*"),"?","~?"))&gt;1,"!AMBIG",IFERROR(INDEX('Calculations'!$HF$13:$HF$512,MATCH('Calculations'!IA406,'Calculations'!$HE$13:$HE$512,0)),""))))</x:f>
      </x:c>
      <x:c r="IC406" t="str">
        <x:f>IF('Calculations'!IB406="","",IF('Calculations'!IB406="!AMBIG","!AMBIG",IF(COUNTIF('Calculations'!$HE$13:$HE$512,"="&amp;SUBSTITUTE(SUBSTITUTE(SUBSTITUTE('Calculations'!IB406,"~","~~"),"*","~*"),"?","~?"))&gt;1,"!AMBIG",IFERROR(INDEX('Calculations'!$HF$13:$HF$512,MATCH('Calculations'!IB406,'Calculations'!$HE$13:$HE$512,0)),""))))</x:f>
      </x:c>
      <x:c r="ID406" t="str">
        <x:f>IF('Calculations'!IC406="","",IF('Calculations'!IC406="!AMBIG","!AMBIG",IF(COUNTIF('Calculations'!$HE$13:$HE$512,"="&amp;SUBSTITUTE(SUBSTITUTE(SUBSTITUTE('Calculations'!IC406,"~","~~"),"*","~*"),"?","~?"))&gt;1,"!AMBIG",IFERROR(INDEX('Calculations'!$HF$13:$HF$512,MATCH('Calculations'!IC406,'Calculations'!$HE$13:$HE$512,0)),""))))</x:f>
      </x:c>
      <x:c r="IE406" t="str">
        <x:f>IF('Calculations'!ID406="","",IF('Calculations'!ID406="!AMBIG","!AMBIG",IF(COUNTIF('Calculations'!$HE$13:$HE$512,"="&amp;SUBSTITUTE(SUBSTITUTE(SUBSTITUTE('Calculations'!ID406,"~","~~"),"*","~*"),"?","~?"))&gt;1,"!AMBIG",IFERROR(INDEX('Calculations'!$HF$13:$HF$512,MATCH('Calculations'!ID406,'Calculations'!$HE$13:$HE$512,0)),""))))</x:f>
      </x:c>
      <x:c r="IF406" t="str">
        <x:f>IF('Calculations'!IE406="","",IF('Calculations'!IE406="!AMBIG","!AMBIG",IF(COUNTIF('Calculations'!$HE$13:$HE$512,"="&amp;SUBSTITUTE(SUBSTITUTE(SUBSTITUTE('Calculations'!IE406,"~","~~"),"*","~*"),"?","~?"))&gt;1,"!AMBIG",IFERROR(INDEX('Calculations'!$HF$13:$HF$512,MATCH('Calculations'!IE406,'Calculations'!$HE$13:$HE$512,0)),""))))</x:f>
      </x:c>
      <x:c r="IG406" t="str">
        <x:f>IF('Calculations'!IF406="","",IF('Calculations'!IF406="!AMBIG","!AMBIG",IF(COUNTIF('Calculations'!$HE$13:$HE$512,"="&amp;SUBSTITUTE(SUBSTITUTE(SUBSTITUTE('Calculations'!IF406,"~","~~"),"*","~*"),"?","~?"))&gt;1,"!AMBIG",IFERROR(INDEX('Calculations'!$HF$13:$HF$512,MATCH('Calculations'!IF406,'Calculations'!$HE$13:$HE$512,0)),""))))</x:f>
      </x:c>
      <x:c r="IH406" t="str">
        <x:f>IF('Calculations'!IG406="","",IF('Calculations'!IG406="!AMBIG","!AMBIG",IF(COUNTIF('Calculations'!$HE$13:$HE$512,"="&amp;SUBSTITUTE(SUBSTITUTE(SUBSTITUTE('Calculations'!IG406,"~","~~"),"*","~*"),"?","~?"))&gt;1,"!AMBIG",IFERROR(INDEX('Calculations'!$HF$13:$HF$512,MATCH('Calculations'!IG406,'Calculations'!$HE$13:$HE$512,0)),""))))</x:f>
      </x:c>
      <x:c r="II406" t="str">
        <x:f>IF('Calculations'!IH406="","",IF('Calculations'!IH406="!AMBIG","!AMBIG",IF(COUNTIF('Calculations'!$HE$13:$HE$512,"="&amp;SUBSTITUTE(SUBSTITUTE(SUBSTITUTE('Calculations'!IH406,"~","~~"),"*","~*"),"?","~?"))&gt;1,"!AMBIG",IFERROR(INDEX('Calculations'!$HF$13:$HF$512,MATCH('Calculations'!IH406,'Calculations'!$HE$13:$HE$512,0)),""))))</x:f>
      </x:c>
      <x:c r="IJ406" t="str">
        <x:f>IF('Calculations'!EM406="","",IF('Calculations'!$EF$2="All",'Calculations'!HM406,IF('Calculations'!HL406=1,"",IFERROR(IF(MATCH('Calculations'!$EF$2,'Calculations'!HO406:II406,0)=1,'Calculations'!HE406,INDEX('Calculations'!HO406:II406,1,MATCH('Calculations'!$EF$2,'Calculations'!HO406:II406,0)-1)),""))))</x:f>
      </x:c>
      <x:c r="IK406" t="n">
        <x:f>IF(AND('Calculations'!EM406&lt;&gt;"",'Calculations'!$EF$2&lt;&gt;"All",'Calculations'!HF406='Calculations'!$EF$2,'Calculations'!HL406=0,'Calculations'!JD406&gt;0),MAX('Calculations'!$IK$12:IK405)+1,0)</x:f>
        <x:v>0</x:v>
      </x:c>
      <x:c r="JA406" t="n">
        <x:f>IF(OR(IFERROR(INDIRECT("'WCM Calibration Final'!$A$406")&lt;&gt;"",FALSE),IFERROR(INDIRECT("'WCM Calibration Final'!$B$406")&lt;&gt;"",FALSE),IFERROR(INDIRECT("'WCM Calibration Final'!$C$406")&lt;&gt;"",FALSE)),406,0)</x:f>
        <x:v>0</x:v>
      </x:c>
      <x:c r="JB406" t="n">
        <x:f>'Calculations'!JB405+IF('Calculations'!JA406&gt;0,1,0)</x:f>
        <x:v>0</x:v>
      </x:c>
      <x:c r="JC406" t="n">
        <x:f>IF(OR('Calculations'!HF406="",'Calculations'!HF406="!AMBIG"),0,IF('Dashboard'!$B$7="All",1,COUNTIFS('Calculations'!$HO$13:$HO$512,"="&amp;SUBSTITUTE(SUBSTITUTE(SUBSTITUTE('Calculations'!HF406,"~","~~"),"*","~*"),"?","~?"),'Calculations'!$HN$13:$HN$512,"="&amp;SUBSTITUTE(SUBSTITUTE(SUBSTITUTE('Dashboard'!$B$7,"~","~~"),"*","~*"),"?","~?"))+COUNTIFS('Calculations'!$HP$13:$HP$512,"="&amp;SUBSTITUTE(SUBSTITUTE(SUBSTITUTE('Calculations'!HF406,"~","~~"),"*","~*"),"?","~?"),'Calculations'!$HN$13:$HN$512,"="&amp;SUBSTITUTE(SUBSTITUTE(SUBSTITUTE('Dashboard'!$B$7,"~","~~"),"*","~*"),"?","~?"))+COUNTIFS('Calculations'!$HQ$13:$HQ$512,"="&amp;SUBSTITUTE(SUBSTITUTE(SUBSTITUTE('Calculations'!HF406,"~","~~"),"*","~*"),"?","~?"),'Calculations'!$HN$13:$HN$512,"="&amp;SUBSTITUTE(SUBSTITUTE(SUBSTITUTE('Dashboard'!$B$7,"~","~~"),"*","~*"),"?","~?"))+COUNTIFS('Calculations'!$HR$13:$HR$512,"="&amp;SUBSTITUTE(SUBSTITUTE(SUBSTITUTE('Calculations'!HF406,"~","~~"),"*","~*"),"?","~?"),'Calculations'!$HN$13:$HN$512,"="&amp;SUBSTITUTE(SUBSTITUTE(SUBSTITUTE('Dashboard'!$B$7,"~","~~"),"*","~*"),"?","~?"))+COUNTIFS('Calculations'!$HS$13:$HS$512,"="&amp;SUBSTITUTE(SUBSTITUTE(SUBSTITUTE('Calculations'!HF406,"~","~~"),"*","~*"),"?","~?"),'Calculations'!$HN$13:$HN$512,"="&amp;SUBSTITUTE(SUBSTITUTE(SUBSTITUTE('Dashboard'!$B$7,"~","~~"),"*","~*"),"?","~?"))+COUNTIFS('Calculations'!$HT$13:$HT$512,"="&amp;SUBSTITUTE(SUBSTITUTE(SUBSTITUTE('Calculations'!HF406,"~","~~"),"*","~*"),"?","~?"),'Calculations'!$HN$13:$HN$512,"="&amp;SUBSTITUTE(SUBSTITUTE(SUBSTITUTE('Dashboard'!$B$7,"~","~~"),"*","~*"),"?","~?"))+COUNTIFS('Calculations'!$HU$13:$HU$512,"="&amp;SUBSTITUTE(SUBSTITUTE(SUBSTITUTE('Calculations'!HF406,"~","~~"),"*","~*"),"?","~?"),'Calculations'!$HN$13:$HN$512,"="&amp;SUBSTITUTE(SUBSTITUTE(SUBSTITUTE('Dashboard'!$B$7,"~","~~"),"*","~*"),"?","~?"))+COUNTIFS('Calculations'!$HV$13:$HV$512,"="&amp;SUBSTITUTE(SUBSTITUTE(SUBSTITUTE('Calculations'!HF406,"~","~~"),"*","~*"),"?","~?"),'Calculations'!$HN$13:$HN$512,"="&amp;SUBSTITUTE(SUBSTITUTE(SUBSTITUTE('Dashboard'!$B$7,"~","~~"),"*","~*"),"?","~?"))+COUNTIFS('Calculations'!$HW$13:$HW$512,"="&amp;SUBSTITUTE(SUBSTITUTE(SUBSTITUTE('Calculations'!HF406,"~","~~"),"*","~*"),"?","~?"),'Calculations'!$HN$13:$HN$512,"="&amp;SUBSTITUTE(SUBSTITUTE(SUBSTITUTE('Dashboard'!$B$7,"~","~~"),"*","~*"),"?","~?"))+COUNTIFS('Calculations'!$HX$13:$HX$512,"="&amp;SUBSTITUTE(SUBSTITUTE(SUBSTITUTE('Calculations'!HF406,"~","~~"),"*","~*"),"?","~?"),'Calculations'!$HN$13:$HN$512,"="&amp;SUBSTITUTE(SUBSTITUTE(SUBSTITUTE('Dashboard'!$B$7,"~","~~"),"*","~*"),"?","~?"))+COUNTIFS('Calculations'!$HY$13:$HY$512,"="&amp;SUBSTITUTE(SUBSTITUTE(SUBSTITUTE('Calculations'!HF406,"~","~~"),"*","~*"),"?","~?"),'Calculations'!$HN$13:$HN$512,"="&amp;SUBSTITUTE(SUBSTITUTE(SUBSTITUTE('Dashboard'!$B$7,"~","~~"),"*","~*"),"?","~?"))+COUNTIFS('Calculations'!$HZ$13:$HZ$512,"="&amp;SUBSTITUTE(SUBSTITUTE(SUBSTITUTE('Calculations'!HF406,"~","~~"),"*","~*"),"?","~?"),'Calculations'!$HN$13:$HN$512,"="&amp;SUBSTITUTE(SUBSTITUTE(SUBSTITUTE('Dashboard'!$B$7,"~","~~"),"*","~*"),"?","~?"))+COUNTIFS('Calculations'!$IA$13:$IA$512,"="&amp;SUBSTITUTE(SUBSTITUTE(SUBSTITUTE('Calculations'!HF406,"~","~~"),"*","~*"),"?","~?"),'Calculations'!$HN$13:$HN$512,"="&amp;SUBSTITUTE(SUBSTITUTE(SUBSTITUTE('Dashboard'!$B$7,"~","~~"),"*","~*"),"?","~?"))+COUNTIFS('Calculations'!$IB$13:$IB$512,"="&amp;SUBSTITUTE(SUBSTITUTE(SUBSTITUTE('Calculations'!HF406,"~","~~"),"*","~*"),"?","~?"),'Calculations'!$HN$13:$HN$512,"="&amp;SUBSTITUTE(SUBSTITUTE(SUBSTITUTE('Dashboard'!$B$7,"~","~~"),"*","~*"),"?","~?"))+COUNTIFS('Calculations'!$IC$13:$IC$512,"="&amp;SUBSTITUTE(SUBSTITUTE(SUBSTITUTE('Calculations'!HF406,"~","~~"),"*","~*"),"?","~?"),'Calculations'!$HN$13:$HN$512,"="&amp;SUBSTITUTE(SUBSTITUTE(SUBSTITUTE('Dashboard'!$B$7,"~","~~"),"*","~*"),"?","~?"))+COUNTIFS('Calculations'!$ID$13:$ID$512,"="&amp;SUBSTITUTE(SUBSTITUTE(SUBSTITUTE('Calculations'!HF406,"~","~~"),"*","~*"),"?","~?"),'Calculations'!$HN$13:$HN$512,"="&amp;SUBSTITUTE(SUBSTITUTE(SUBSTITUTE('Dashboard'!$B$7,"~","~~"),"*","~*"),"?","~?"))+COUNTIFS('Calculations'!$IE$13:$IE$512,"="&amp;SUBSTITUTE(SUBSTITUTE(SUBSTITUTE('Calculations'!HF406,"~","~~"),"*","~*"),"?","~?"),'Calculations'!$HN$13:$HN$512,"="&amp;SUBSTITUTE(SUBSTITUTE(SUBSTITUTE('Dashboard'!$B$7,"~","~~"),"*","~*"),"?","~?"))+COUNTIFS('Calculations'!$IF$13:$IF$512,"="&amp;SUBSTITUTE(SUBSTITUTE(SUBSTITUTE('Calculations'!HF406,"~","~~"),"*","~*"),"?","~?"),'Calculations'!$HN$13:$HN$512,"="&amp;SUBSTITUTE(SUBSTITUTE(SUBSTITUTE('Dashboard'!$B$7,"~","~~"),"*","~*"),"?","~?"))+COUNTIFS('Calculations'!$IG$13:$IG$512,"="&amp;SUBSTITUTE(SUBSTITUTE(SUBSTITUTE('Calculations'!HF406,"~","~~"),"*","~*"),"?","~?"),'Calculations'!$HN$13:$HN$512,"="&amp;SUBSTITUTE(SUBSTITUTE(SUBSTITUTE('Dashboard'!$B$7,"~","~~"),"*","~*"),"?","~?"))+COUNTIFS('Calculations'!$IH$13:$IH$512,"="&amp;SUBSTITUTE(SUBSTITUTE(SUBSTITUTE('Calculations'!HF406,"~","~~"),"*","~*"),"?","~?"),'Calculations'!$HN$13:$HN$512,"="&amp;SUBSTITUTE(SUBSTITUTE(SUBSTITUTE('Dashboard'!$B$7,"~","~~"),"*","~*"),"?","~?"))))</x:f>
        <x:v>0</x:v>
      </x:c>
      <x:c r="JD406" t="n">
        <x:f>IF('Calculations'!EM406="",0,IF('Dashboard'!$B$7="All",1,IF('Calculations'!HN406='Dashboard'!$B$7,1,0)+IFERROR(INDEX('Calculations'!$JC$13:$JC$512,MATCH('Calculations'!HE406,'Calculations'!$HF$13:$HF$512,0)),0)))</x:f>
        <x:v>0</x:v>
      </x:c>
      <x:c r="JE406" t="n">
        <x:f>IF(AND('Calculations'!EM406&lt;&gt;"",'Calculations'!$JJ$2&lt;&gt;"All",'Calculations'!$JJ$2&lt;&gt;"",'Calculations'!HF406='Calculations'!$JJ$2,'Calculations'!HL406=0,'Calculations'!JD406&gt;0),MAX('Calculations'!$JE$12:JE405)+1,0)</x:f>
        <x:v>0</x:v>
      </x:c>
      <x:c r="JF406" t="str">
        <x:f>IF('Calculations'!EM406="","",IFERROR(IF(INDEX(INDIRECT("'WCM Calibration Final'!$G$1:$G$2000"),'Calculations'!$EM406)="","",TRIM(INDEX(INDIRECT("'WCM Calibration Final'!$G$1:$G$2000"),'Calculations'!$EM406)&amp;"")),""))</x:f>
      </x:c>
      <x:c r="JQ406" t="n">
        <x:f>IF(OR('Calculations'!BM406=0,NOT('Calculations'!$AG$2),'Calculations'!$AG$8&gt;0),0,IF(OR('Dashboard'!$B$7="All",'Calculations'!HN406='Dashboard'!$B$7),IF('Calculations'!$JJ$2="All",1,IF(AND('Calculations'!HF406='Calculations'!$JJ$2,'Calculations'!HL406=0),1,0)),0))</x:f>
        <x:v>0</x:v>
      </x:c>
    </x:row>
    <x:row r="407">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t="n">
        <x:f>IF('Calculations'!$EM407="",0,IF(OR(IFERROR(INDEX(INDIRECT("'WCM Calibration Final'!$A$1:$A$2000"),'Calculations'!$EM407)&lt;&gt;"",FALSE),IFERROR(INDEX(INDIRECT("'WCM Calibration Final'!$B$1:$B$2000"),'Calculations'!$EM407)&lt;&gt;"",FALSE),IFERROR(INDEX(INDIRECT("'WCM Calibration Final'!$C$1:$C$2000"),'Calculations'!$EM407)&lt;&gt;"",FALSE)),1,0))</x:f>
        <x:v>0</x:v>
      </x:c>
      <x:c r="BN407" s="4" t="n">
        <x:f>IF(AND('Calculations'!BM407=1,'Calculations'!$AG$2,'Calculations'!$EN407=1),1,0)</x:f>
        <x:v>0</x:v>
      </x:c>
      <x:c r="BO407" s="4" t="str">
        <x:f>IF('Calculations'!BM407=0,"",IFERROR(IF(AND(VALUE(INDEX(INDIRECT("'WCM Calibration Final'!$K$1:$K$2000"),'Calculations'!$EM407))&gt;=1,VALUE(INDEX(INDIRECT("'WCM Calibration Final'!$K$1:$K$2000"),'Calculations'!$EM407))&lt;=4,MOD(VALUE(INDEX(INDIRECT("'WCM Calibration Final'!$K$1:$K$2000"),'Calculations'!$EM407)),1)=0),VALUE(INDEX(INDIRECT("'WCM Calibration Final'!$K$1:$K$2000"),'Calculations'!$EM407)),""),""))</x:f>
      </x:c>
      <x:c r="BP407" s="4" t="str">
        <x:f>IF('Calculations'!BM407=0,"",IFERROR(IF(AND(VALUE(INDEX(INDIRECT("'WCM Calibration Final'!$L$1:$L$2000"),'Calculations'!$EM407))&gt;=1,VALUE(INDEX(INDIRECT("'WCM Calibration Final'!$L$1:$L$2000"),'Calculations'!$EM407))&lt;=4,MOD(VALUE(INDEX(INDIRECT("'WCM Calibration Final'!$L$1:$L$2000"),'Calculations'!$EM407)),1)=0),VALUE(INDEX(INDIRECT("'WCM Calibration Final'!$L$1:$L$2000"),'Calculations'!$EM407)),""),""))</x:f>
      </x:c>
      <x:c r="BQ407" s="4"/>
      <x:c r="BR407" s="4"/>
      <x:c r="BS407" s="4"/>
      <x:c r="BT407" s="4" t="n">
        <x:f>IF(AND('Calculations'!BM407=1,ISNUMBER('Calculations'!BO407),ISNUMBER('Calculations'!BP407)),1,0)</x:f>
        <x:v>0</x:v>
      </x:c>
      <x:c r="BU407" s="4" t="str">
        <x:f>IF('Calculations'!BM407=0,"",'Calculations'!$EO407)</x:f>
      </x:c>
      <x:c r="BV407" s="4" t="str">
        <x:f>IF('Calculations'!BM407=0,"",IFERROR(IF(OR(INDEX(INDIRECT("'WCM Calibration Final'!$H$1:$H$2000"),'Calculations'!$EM407)="MANAGING DIRECTOR",INDEX(INDIRECT("'WCM Calibration Final'!$H$1:$H$2000"),'Calculations'!$EM407)="DIRECTOR",INDEX(INDIRECT("'WCM Calibration Final'!$H$1:$H$2000"),'Calculations'!$EM407)="SENIOR VICE PRESIDENT",INDEX(INDIRECT("'WCM Calibration Final'!$H$1:$H$2000"),'Calculations'!$EM407)="VICE PRESIDENT",INDEX(INDIRECT("'WCM Calibration Final'!$H$1:$H$2000"),'Calculations'!$EM407)="ASSISTANT VICE PRESIDENT",INDEX(INDIRECT("'WCM Calibration Final'!$H$1:$H$2000"),'Calculations'!$EM407)="OFFICER"),UPPER(INDEX(INDIRECT("'WCM Calibration Final'!$H$1:$H$2000"),'Calculations'!$EM407)),"Other"),"Other"))</x:f>
      </x:c>
      <x:c r="BW407" s="4"/>
      <x:c r="BX407" s="4"/>
      <x:c r="BY407" s="4" t="n">
        <x:f>IF(AND('Calculations'!BM407=1,'Calculations'!BU407&lt;&gt;"",COUNTIF('Calculations'!$BU$12:BU407,'Calculations'!BU407)=1),MAX('Calculations'!$BY$11:BY406)+1,0)</x:f>
        <x:v>0</x:v>
      </x:c>
      <x:c r="BZ407" s="4" t="str">
        <x:f>IF('Dashboard'!$E$67="What",'Calculations'!BO407,'Calculations'!BP407)</x:f>
      </x:c>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t="str">
        <x:f>IF(396&gt;MAX('Calculations'!$HI$13:$HI$512),"",INDEX('Calculations'!$HN$13:$HN$512,MATCH(396,'Calculations'!$HI$13:$HI$512,0)))</x:f>
      </x:c>
      <x:c r="DB407" s="4" t="str">
        <x:f>IF(396&gt;MAX('Calculations'!$HH$13:$HH$512),"",INDEX('Calculations'!$HJ$13:$HJ$512,MATCH(396,'Calculations'!$HH$13:$HH$512,0)))</x:f>
      </x:c>
      <x:c r="DC407" s="4" t="str">
        <x:f>IF(ROW()-11&gt;MAX('Calculations'!$BY$13:$BY$512),"",INDEX('Calculations'!$BU$13:$BU$512,MATCH(ROW()-11,'Calculations'!$BY$13:$BY$512,0)))</x:f>
      </x:c>
      <x:c r="DD407" s="4" t="str">
        <x:f>IF(396&gt;MAX('Calculations'!$IK$13:$IK$512),"",INDEX('Calculations'!$HK$13:$HK$512,MATCH(396,'Calculations'!$IK$13:$IK$512,0)))</x:f>
      </x:c>
      <x:c r="DE407" s="4" t="str">
        <x:f>'Calculations'!DC407</x:f>
      </x:c>
      <x:c r="DF407" s="4" t="str">
        <x:f>IF('Calculations'!DE407="","",COUNTIFS('Calculations'!$BN$13:$BN$512,1,'Calculations'!$BU$13:$BU$512,'Calculations'!DE407))</x:f>
      </x:c>
      <x:c r="DG407" s="4" t="str">
        <x:f>IF('Calculations'!DE407="","",COUNTIFS('Calculations'!$BN$13:$BN$512,1,'Calculations'!$BU$13:$BU$512,'Calculations'!DE407,'Calculations'!$BT$13:$BT$512,1))</x:f>
      </x:c>
      <x:c r="DH407" s="4" t="str">
        <x:f>IF('Calculations'!DE407="","",'Calculations'!DF407-'Calculations'!DG407)</x:f>
      </x:c>
      <x:c r="DI407" s="4" t="str">
        <x:f>IF(OR('Calculations'!DE407="",'Calculations'!DF407=0),"",'Calculations'!DG407/'Calculations'!DF407)</x:f>
      </x:c>
      <x:c r="DJ407" s="4" t="str">
        <x:f>IF('Calculations'!DE407="","",COUNTIFS('Calculations'!$BN$13:$BN$512,1,'Calculations'!$BU$13:$BU$512,'Calculations'!DE407,'Calculations'!$BT$13:$BT$512,1,'Calculations'!$EE$13:$EE$512,"High"))</x:f>
      </x:c>
      <x:c r="DK407" s="4" t="str">
        <x:f>IF('Calculations'!DE407="","",COUNTIFS('Calculations'!$BN$13:$BN$512,1,'Calculations'!$BU$13:$BU$512,'Calculations'!DE407,'Calculations'!$BT$13:$BT$512,1,'Calculations'!$EE$13:$EE$512,"Strong"))</x:f>
      </x:c>
      <x:c r="DL407" s="4" t="str">
        <x:f>IF('Calculations'!DE407="","",COUNTIFS('Calculations'!$BN$13:$BN$512,1,'Calculations'!$BU$13:$BU$512,'Calculations'!DE407,'Calculations'!$BT$13:$BT$512,1,'Calculations'!$EE$13:$EE$512,"Solid"))</x:f>
      </x:c>
      <x:c r="DM407" s="4" t="str">
        <x:f>IF('Calculations'!DE407="","",COUNTIFS('Calculations'!$BN$13:$BN$512,1,'Calculations'!$BU$13:$BU$512,'Calculations'!DE407,'Calculations'!$BT$13:$BT$512,1,'Calculations'!$EE$13:$EE$512,"Low"))</x:f>
      </x:c>
      <x:c r="DN407" s="4" t="str">
        <x:f>IF('Calculations'!DE407="","",COUNTIFS('Calculations'!$BN$13:$BN$512,1,'Calculations'!$BU$13:$BU$512,'Calculations'!DE407,'Calculations'!$EP$13:$EP$512,1))</x:f>
      </x:c>
      <x:c r="DO407" s="4" t="str">
        <x:f>IF(OR('Calculations'!DE407="",'Calculations'!DG407=0),"",('Calculations'!DJ407+'Calculations'!DK407)/'Calculations'!DG407)</x:f>
      </x:c>
      <x:c r="DP407" s="4" t="n">
        <x:f>IF(AND('Calculations'!DE407&lt;&gt;"",'Calculations'!DF407&gt;0),COUNTIF('Calculations'!$DF$12:DF407,"&gt;0"),0)</x:f>
        <x:v>0</x:v>
      </x:c>
      <x:c r="DQ407" s="4" t="str">
        <x:f>IF(396&gt;MAX('Calculations'!$HH$13:$HH$512),"",INDEX('Calculations'!$HF$13:$HF$512,MATCH(396,'Calculations'!$HH$13:$HH$512,0)))</x:f>
      </x:c>
      <x:c r="DR407" s="4" t="str">
        <x:f>IF(396&gt;MAX('Calculations'!$IK$13:$IK$512),"",INDEX('Calculations'!$HE$13:$HE$512,MATCH(396,'Calculations'!$IK$13:$IK$512,0)))</x:f>
      </x:c>
      <x:c r="DS407" s="4"/>
      <x:c r="DT407" s="4"/>
      <x:c r="DU407" s="4"/>
      <x:c r="DV407" s="4"/>
      <x:c r="DW407" s="4"/>
      <x:c r="DX407" s="4"/>
      <x:c r="DY407" s="4"/>
      <x:c r="DZ407" s="4"/>
      <x:c r="EA407" s="4"/>
      <x:c r="EB407" s="4"/>
      <x:c r="EC407" s="4"/>
      <x:c r="ED407" s="4"/>
      <x:c r="EE407" s="4" t="str">
        <x:f>IF('Calculations'!BT407=0,"Not Rated",IF(OR('Calculations'!BO407&gt;=4,'Calculations'!BP407&gt;=4),"Low",IF('Calculations'!BO407+'Calculations'!BP407&lt;=3,"High",IF('Calculations'!BO407+'Calculations'!BP407&lt;=4,"Strong","Solid"))))</x:f>
        <x:v>Not Rated</x:v>
      </x:c>
      <x:c r="EF407" s="4"/>
      <x:c r="EG407" s="4"/>
      <x:c r="EH407" s="4"/>
      <x:c r="EI407" s="4"/>
      <x:c r="EJ407" s="4"/>
      <x:c r="EK407" s="4"/>
      <x:c r="EL407" s="4"/>
      <x:c r="EM407" s="4" t="str">
        <x:f>IF(395&gt;'Calculations'!$JB$2000,"",INDEX('Calculations'!$JA$12:$JA$2000,MATCH(395,'Calculations'!$JB$12:$JB$2000,0)))</x:f>
      </x:c>
      <x:c r="EN407" s="4" t="n">
        <x:f>IF(OR('Calculations'!EM407="",'Calculations'!$AG$8&gt;0,AND('Calculations'!$EF$2&lt;&gt;"All",'Calculations'!HE407='Calculations'!$EF$2),AND('Calculations'!$EF$3&lt;&gt;"All",'Calculations'!HE407='Calculations'!$EF$3)),0,IF(OR('Dashboard'!$B$7="All",'Calculations'!HN407='Dashboard'!$B$7),IF('Calculations'!$EF$2="All",1,IF('Calculations'!HL407&gt;0,0,IF(COUNTIF('Calculations'!HO407:II407,"="&amp;SUBSTITUTE(SUBSTITUTE(SUBSTITUTE('Calculations'!$EF$2,"~","~~"),"*","~*"),"?","~?"))=0,0,IF('Calculations'!$EF$3="All",1,IF(COUNTIF('Calculations'!HO407:II407,"="&amp;SUBSTITUTE(SUBSTITUTE(SUBSTITUTE('Calculations'!$EF$3,"~","~~"),"*","~*"),"?","~?"))&gt;0,1,0))))),0))</x:f>
        <x:v>0</x:v>
      </x:c>
      <x:c r="EO407" s="4" t="str">
        <x:f>IF('Calculations'!IJ407="","",IF('Calculations'!IJ407="!UNRESOLVED","Unresolved hierarchy",IFERROR(INDEX('Calculations'!$HK$13:$HK$512,MATCH('Calculations'!IJ407,'Calculations'!$HE$13:$HE$512,0)),IFERROR(INDEX('Calculations'!$HJ$13:$HJ$512,MATCH('Calculations'!IJ407,'Calculations'!$HF$13:$HF$512,0)),'Calculations'!IJ407))))</x:f>
      </x:c>
      <x:c r="EP407" s="4" t="n">
        <x:f>IF(AND('Calculations'!EM407&lt;&gt;"",'Calculations'!HF407='Calculations'!IJ407),1,0)</x:f>
        <x:v>0</x:v>
      </x:c>
      <x:c r="EQ407" s="4"/>
      <x:c r="ER407" s="4"/>
      <x:c r="ES407" s="4"/>
      <x:c r="ET407" s="4"/>
      <x:c r="EU407" s="4"/>
      <x:c r="EV407" s="4"/>
      <x:c r="EW407" s="4"/>
      <x:c r="EX407" s="4"/>
      <x:c r="EY407" s="4"/>
      <x:c r="EZ407" s="4"/>
      <x:c r="FA407" s="4"/>
      <x:c r="FB407" s="4"/>
      <x:c r="FC407" s="4"/>
      <x:c r="FD407" s="4"/>
      <x:c r="FE407" s="4"/>
      <x:c r="FF407" s="4"/>
      <x:c r="FG407" s="4"/>
      <x:c r="FH407" s="4"/>
      <x:c r="FI407" s="4"/>
      <x:c r="FJ407" s="4"/>
      <x:c r="FK407" s="4"/>
      <x:c r="FL407" s="4"/>
      <x:c r="FM407" s="4"/>
      <x:c r="FN407" s="4"/>
      <x:c r="FO407" s="4"/>
      <x:c r="HE407" t="str">
        <x:f>IF('Calculations'!EM407="","",IF(IFERROR(IF(INDEX(INDIRECT("'WCM Calibration Final'!$A$1:$A$2000"),'Calculations'!$EM407)="","",TRIM(INDEX(INDIRECT("'WCM Calibration Final'!$A$1:$A$2000"),'Calculations'!$EM407)&amp;"")),"")&lt;&gt;"","G:"&amp;IFERROR(TEXT(1*INDEX(INDIRECT("'WCM Calibration Final'!$A$1:$A$2000"),'Calculations'!$EM407),"0"),UPPER(IFERROR(IF(INDEX(INDIRECT("'WCM Calibration Final'!$A$1:$A$2000"),'Calculations'!$EM407)="","",TRIM(INDEX(INDIRECT("'WCM Calibration Final'!$A$1:$A$2000"),'Calculations'!$EM407)&amp;"")),""))),IF(IFERROR(IF(INDEX(INDIRECT("'WCM Calibration Final'!$C$1:$C$2000"),'Calculations'!$EM407)="","",TRIM(INDEX(INDIRECT("'WCM Calibration Final'!$C$1:$C$2000"),'Calculations'!$EM407)&amp;"")),"")&lt;&gt;"","S:"&amp;UPPER(IFERROR(IF(INDEX(INDIRECT("'WCM Calibration Final'!$C$1:$C$2000"),'Calculations'!$EM407)="","",TRIM(INDEX(INDIRECT("'WCM Calibration Final'!$C$1:$C$2000"),'Calculations'!$EM407)&amp;"")),"")),"R:"&amp;'Calculations'!EM407)))</x:f>
      </x:c>
      <x:c r="HF407" t="str">
        <x:f>IF('Calculations'!EM407="","",IF(IFERROR(IF(INDEX(INDIRECT("'WCM Calibration Final'!$D$1:$D$2000"),'Calculations'!$EM407)="","",TRIM(INDEX(INDIRECT("'WCM Calibration Final'!$D$1:$D$2000"),'Calculations'!$EM407)&amp;"")),"")&lt;&gt;"","G:"&amp;IFERROR(TEXT(1*INDEX(INDIRECT("'WCM Calibration Final'!$D$1:$D$2000"),'Calculations'!$EM407),"0"),UPPER(IFERROR(IF(INDEX(INDIRECT("'WCM Calibration Final'!$D$1:$D$2000"),'Calculations'!$EM407)="","",TRIM(INDEX(INDIRECT("'WCM Calibration Final'!$D$1:$D$2000"),'Calculations'!$EM407)&amp;"")),""))),IF(IFERROR(IF(INDEX(INDIRECT("'WCM Calibration Final'!$E$1:$E$2000"),'Calculations'!$EM407)="","",TRIM(INDEX(INDIRECT("'WCM Calibration Final'!$E$1:$E$2000"),'Calculations'!$EM407)&amp;"")),"")="","",IF(COUNTIF('Calculations'!$HG$13:$HG$512,"="&amp;SUBSTITUTE(SUBSTITUTE(SUBSTITUTE(IFERROR(IF(INDEX(INDIRECT("'WCM Calibration Final'!$E$1:$E$2000"),'Calculations'!$EM407)="","",TRIM(INDEX(INDIRECT("'WCM Calibration Final'!$E$1:$E$2000"),'Calculations'!$EM407)&amp;"")),""),"~","~~"),"*","~*"),"?","~?"))=1,INDEX('Calculations'!$HE$13:$HE$512,MATCH(IFERROR(IF(INDEX(INDIRECT("'WCM Calibration Final'!$E$1:$E$2000"),'Calculations'!$EM407)="","",TRIM(INDEX(INDIRECT("'WCM Calibration Final'!$E$1:$E$2000"),'Calculations'!$EM407)&amp;"")),""),'Calculations'!$HG$13:$HG$512,0)),IF(COUNTIF('Calculations'!$HG$13:$HG$512,"="&amp;SUBSTITUTE(SUBSTITUTE(SUBSTITUTE(IFERROR(IF(INDEX(INDIRECT("'WCM Calibration Final'!$E$1:$E$2000"),'Calculations'!$EM407)="","",TRIM(INDEX(INDIRECT("'WCM Calibration Final'!$E$1:$E$2000"),'Calculations'!$EM407)&amp;"")),""),"~","~~"),"*","~*"),"?","~?"))&gt;1,"!AMBIG","X:"&amp;IFERROR(IF(INDEX(INDIRECT("'WCM Calibration Final'!$E$1:$E$2000"),'Calculations'!$EM407)="","",TRIM(INDEX(INDIRECT("'WCM Calibration Final'!$E$1:$E$2000"),'Calculations'!$EM407)&amp;"")),""))))))</x:f>
      </x:c>
      <x:c r="HG407" t="str">
        <x:f>IF('Calculations'!EM407="","",IFERROR(IF(INDEX(INDIRECT("'WCM Calibration Final'!$B$1:$B$2000"),'Calculations'!$EM407)="","",TRIM(INDEX(INDIRECT("'WCM Calibration Final'!$B$1:$B$2000"),'Calculations'!$EM407)&amp;"")),""))</x:f>
      </x:c>
      <x:c r="HH407" t="n">
        <x:f>IF(AND('Calculations'!JC407&gt;0,COUNTIF('Calculations'!$HF$12:HF407,"="&amp;SUBSTITUTE(SUBSTITUTE(SUBSTITUTE('Calculations'!HF407,"~","~~"),"*","~*"),"?","~?"))=1),MAX('Calculations'!$HH$12:HH406)+1,0)</x:f>
        <x:v>0</x:v>
      </x:c>
      <x:c r="HI407" t="n">
        <x:f>IF(AND('Calculations'!HN407&lt;&gt;"",COUNTIF('Calculations'!$HN$12:HN407,"="&amp;SUBSTITUTE(SUBSTITUTE(SUBSTITUTE('Calculations'!HN407,"~","~~"),"*","~*"),"?","~?"))=1),MAX('Calculations'!$HI$12:HI406)+1,0)</x:f>
        <x:v>0</x:v>
      </x:c>
      <x:c r="HJ407" t="str">
        <x:f>IF('Calculations'!HF407="","",IF(COUNTIF('Calculations'!$HE$13:$HE$512,"="&amp;SUBSTITUTE(SUBSTITUTE(SUBSTITUTE('Calculations'!HF407,"~","~~"),"*","~*"),"?","~?"))=1,INDEX('Calculations'!$HK$13:$HK$512,MATCH('Calculations'!HF407,'Calculations'!$HE$13:$HE$512,0)),IFERROR(IF(INDEX(INDIRECT("'WCM Calibration Final'!$E$1:$E$2000"),'Calculations'!$EM407)="","",TRIM(INDEX(INDIRECT("'WCM Calibration Final'!$E$1:$E$2000"),'Calculations'!$EM407)&amp;"")),"")&amp;" ["&amp;'Calculations'!HF407&amp;"]"))</x:f>
      </x:c>
      <x:c r="HK407" t="str">
        <x:f>IF('Calculations'!EM407="","",'Calculations'!HG407&amp;" ["&amp;'Calculations'!HE407&amp;"]")</x:f>
      </x:c>
      <x:c r="HL407" t="n">
        <x:f>IF('Calculations'!EM407="",0,IF(OR('Calculations'!II407&lt;&gt;"",COUNTIF('Calculations'!$HE$13:$HE$512,"="&amp;SUBSTITUTE(SUBSTITUTE(SUBSTITUTE('Calculations'!HE407,"~","~~"),"*","~*"),"?","~?"))&gt;1),1,0))</x:f>
        <x:v>0</x:v>
      </x:c>
      <x:c r="HM407" t="str">
        <x:f>IF('Calculations'!EM407="","",IF('Calculations'!HL407=1,"!UNRESOLVED",IF('Calculations'!IH407&lt;&gt;"",'Calculations'!IH407,IF('Calculations'!IG407&lt;&gt;"",'Calculations'!IG407,IF('Calculations'!IF407&lt;&gt;"",'Calculations'!IF407,IF('Calculations'!IE407&lt;&gt;"",'Calculations'!IE407,IF('Calculations'!ID407&lt;&gt;"",'Calculations'!ID407,IF('Calculations'!IC407&lt;&gt;"",'Calculations'!IC407,IF('Calculations'!IB407&lt;&gt;"",'Calculations'!IB407,IF('Calculations'!IA407&lt;&gt;"",'Calculations'!IA407,IF('Calculations'!HZ407&lt;&gt;"",'Calculations'!HZ407,IF('Calculations'!HY407&lt;&gt;"",'Calculations'!HY407,IF('Calculations'!HX407&lt;&gt;"",'Calculations'!HX407,IF('Calculations'!HW407&lt;&gt;"",'Calculations'!HW407,IF('Calculations'!HV407&lt;&gt;"",'Calculations'!HV407,IF('Calculations'!HU407&lt;&gt;"",'Calculations'!HU407,IF('Calculations'!HT407&lt;&gt;"",'Calculations'!HT407,IF('Calculations'!HS407&lt;&gt;"",'Calculations'!HS407,IF('Calculations'!HR407&lt;&gt;"",'Calculations'!HR407,IF('Calculations'!HQ407&lt;&gt;"",'Calculations'!HQ407,IF('Calculations'!HP407&lt;&gt;"",'Calculations'!HP407,IF('Calculations'!HO407&lt;&gt;"",'Calculations'!HO407,'Calculations'!HE407))))))))))))))))))))))</x:f>
      </x:c>
      <x:c r="HN407" t="str">
        <x:f>IF('Calculations'!EM407="","",IF(IFERROR(IF(INDEX(INDIRECT("'WCM Calibration Final'!$F$1:$F$2000"),'Calculations'!$EM407)="","",TRIM(INDEX(INDIRECT("'WCM Calibration Final'!$F$1:$F$2000"),'Calculations'!$EM407)&amp;"")),"")="","(Blank)",IFERROR(IF(INDEX(INDIRECT("'WCM Calibration Final'!$F$1:$F$2000"),'Calculations'!$EM407)="","",TRIM(INDEX(INDIRECT("'WCM Calibration Final'!$F$1:$F$2000"),'Calculations'!$EM407)&amp;"")),"")))</x:f>
      </x:c>
      <x:c r="HO407" t="str">
        <x:f>'Calculations'!HF407</x:f>
      </x:c>
      <x:c r="HP407" t="str">
        <x:f>IF('Calculations'!HO407="","",IF('Calculations'!HO407="!AMBIG","!AMBIG",IF(COUNTIF('Calculations'!$HE$13:$HE$512,"="&amp;SUBSTITUTE(SUBSTITUTE(SUBSTITUTE('Calculations'!HO407,"~","~~"),"*","~*"),"?","~?"))&gt;1,"!AMBIG",IFERROR(INDEX('Calculations'!$HF$13:$HF$512,MATCH('Calculations'!HO407,'Calculations'!$HE$13:$HE$512,0)),""))))</x:f>
      </x:c>
      <x:c r="HQ407" t="str">
        <x:f>IF('Calculations'!HP407="","",IF('Calculations'!HP407="!AMBIG","!AMBIG",IF(COUNTIF('Calculations'!$HE$13:$HE$512,"="&amp;SUBSTITUTE(SUBSTITUTE(SUBSTITUTE('Calculations'!HP407,"~","~~"),"*","~*"),"?","~?"))&gt;1,"!AMBIG",IFERROR(INDEX('Calculations'!$HF$13:$HF$512,MATCH('Calculations'!HP407,'Calculations'!$HE$13:$HE$512,0)),""))))</x:f>
      </x:c>
      <x:c r="HR407" t="str">
        <x:f>IF('Calculations'!HQ407="","",IF('Calculations'!HQ407="!AMBIG","!AMBIG",IF(COUNTIF('Calculations'!$HE$13:$HE$512,"="&amp;SUBSTITUTE(SUBSTITUTE(SUBSTITUTE('Calculations'!HQ407,"~","~~"),"*","~*"),"?","~?"))&gt;1,"!AMBIG",IFERROR(INDEX('Calculations'!$HF$13:$HF$512,MATCH('Calculations'!HQ407,'Calculations'!$HE$13:$HE$512,0)),""))))</x:f>
      </x:c>
      <x:c r="HS407" t="str">
        <x:f>IF('Calculations'!HR407="","",IF('Calculations'!HR407="!AMBIG","!AMBIG",IF(COUNTIF('Calculations'!$HE$13:$HE$512,"="&amp;SUBSTITUTE(SUBSTITUTE(SUBSTITUTE('Calculations'!HR407,"~","~~"),"*","~*"),"?","~?"))&gt;1,"!AMBIG",IFERROR(INDEX('Calculations'!$HF$13:$HF$512,MATCH('Calculations'!HR407,'Calculations'!$HE$13:$HE$512,0)),""))))</x:f>
      </x:c>
      <x:c r="HT407" t="str">
        <x:f>IF('Calculations'!HS407="","",IF('Calculations'!HS407="!AMBIG","!AMBIG",IF(COUNTIF('Calculations'!$HE$13:$HE$512,"="&amp;SUBSTITUTE(SUBSTITUTE(SUBSTITUTE('Calculations'!HS407,"~","~~"),"*","~*"),"?","~?"))&gt;1,"!AMBIG",IFERROR(INDEX('Calculations'!$HF$13:$HF$512,MATCH('Calculations'!HS407,'Calculations'!$HE$13:$HE$512,0)),""))))</x:f>
      </x:c>
      <x:c r="HU407" t="str">
        <x:f>IF('Calculations'!HT407="","",IF('Calculations'!HT407="!AMBIG","!AMBIG",IF(COUNTIF('Calculations'!$HE$13:$HE$512,"="&amp;SUBSTITUTE(SUBSTITUTE(SUBSTITUTE('Calculations'!HT407,"~","~~"),"*","~*"),"?","~?"))&gt;1,"!AMBIG",IFERROR(INDEX('Calculations'!$HF$13:$HF$512,MATCH('Calculations'!HT407,'Calculations'!$HE$13:$HE$512,0)),""))))</x:f>
      </x:c>
      <x:c r="HV407" t="str">
        <x:f>IF('Calculations'!HU407="","",IF('Calculations'!HU407="!AMBIG","!AMBIG",IF(COUNTIF('Calculations'!$HE$13:$HE$512,"="&amp;SUBSTITUTE(SUBSTITUTE(SUBSTITUTE('Calculations'!HU407,"~","~~"),"*","~*"),"?","~?"))&gt;1,"!AMBIG",IFERROR(INDEX('Calculations'!$HF$13:$HF$512,MATCH('Calculations'!HU407,'Calculations'!$HE$13:$HE$512,0)),""))))</x:f>
      </x:c>
      <x:c r="HW407" t="str">
        <x:f>IF('Calculations'!HV407="","",IF('Calculations'!HV407="!AMBIG","!AMBIG",IF(COUNTIF('Calculations'!$HE$13:$HE$512,"="&amp;SUBSTITUTE(SUBSTITUTE(SUBSTITUTE('Calculations'!HV407,"~","~~"),"*","~*"),"?","~?"))&gt;1,"!AMBIG",IFERROR(INDEX('Calculations'!$HF$13:$HF$512,MATCH('Calculations'!HV407,'Calculations'!$HE$13:$HE$512,0)),""))))</x:f>
      </x:c>
      <x:c r="HX407" t="str">
        <x:f>IF('Calculations'!HW407="","",IF('Calculations'!HW407="!AMBIG","!AMBIG",IF(COUNTIF('Calculations'!$HE$13:$HE$512,"="&amp;SUBSTITUTE(SUBSTITUTE(SUBSTITUTE('Calculations'!HW407,"~","~~"),"*","~*"),"?","~?"))&gt;1,"!AMBIG",IFERROR(INDEX('Calculations'!$HF$13:$HF$512,MATCH('Calculations'!HW407,'Calculations'!$HE$13:$HE$512,0)),""))))</x:f>
      </x:c>
      <x:c r="HY407" t="str">
        <x:f>IF('Calculations'!HX407="","",IF('Calculations'!HX407="!AMBIG","!AMBIG",IF(COUNTIF('Calculations'!$HE$13:$HE$512,"="&amp;SUBSTITUTE(SUBSTITUTE(SUBSTITUTE('Calculations'!HX407,"~","~~"),"*","~*"),"?","~?"))&gt;1,"!AMBIG",IFERROR(INDEX('Calculations'!$HF$13:$HF$512,MATCH('Calculations'!HX407,'Calculations'!$HE$13:$HE$512,0)),""))))</x:f>
      </x:c>
      <x:c r="HZ407" t="str">
        <x:f>IF('Calculations'!HY407="","",IF('Calculations'!HY407="!AMBIG","!AMBIG",IF(COUNTIF('Calculations'!$HE$13:$HE$512,"="&amp;SUBSTITUTE(SUBSTITUTE(SUBSTITUTE('Calculations'!HY407,"~","~~"),"*","~*"),"?","~?"))&gt;1,"!AMBIG",IFERROR(INDEX('Calculations'!$HF$13:$HF$512,MATCH('Calculations'!HY407,'Calculations'!$HE$13:$HE$512,0)),""))))</x:f>
      </x:c>
      <x:c r="IA407" t="str">
        <x:f>IF('Calculations'!HZ407="","",IF('Calculations'!HZ407="!AMBIG","!AMBIG",IF(COUNTIF('Calculations'!$HE$13:$HE$512,"="&amp;SUBSTITUTE(SUBSTITUTE(SUBSTITUTE('Calculations'!HZ407,"~","~~"),"*","~*"),"?","~?"))&gt;1,"!AMBIG",IFERROR(INDEX('Calculations'!$HF$13:$HF$512,MATCH('Calculations'!HZ407,'Calculations'!$HE$13:$HE$512,0)),""))))</x:f>
      </x:c>
      <x:c r="IB407" t="str">
        <x:f>IF('Calculations'!IA407="","",IF('Calculations'!IA407="!AMBIG","!AMBIG",IF(COUNTIF('Calculations'!$HE$13:$HE$512,"="&amp;SUBSTITUTE(SUBSTITUTE(SUBSTITUTE('Calculations'!IA407,"~","~~"),"*","~*"),"?","~?"))&gt;1,"!AMBIG",IFERROR(INDEX('Calculations'!$HF$13:$HF$512,MATCH('Calculations'!IA407,'Calculations'!$HE$13:$HE$512,0)),""))))</x:f>
      </x:c>
      <x:c r="IC407" t="str">
        <x:f>IF('Calculations'!IB407="","",IF('Calculations'!IB407="!AMBIG","!AMBIG",IF(COUNTIF('Calculations'!$HE$13:$HE$512,"="&amp;SUBSTITUTE(SUBSTITUTE(SUBSTITUTE('Calculations'!IB407,"~","~~"),"*","~*"),"?","~?"))&gt;1,"!AMBIG",IFERROR(INDEX('Calculations'!$HF$13:$HF$512,MATCH('Calculations'!IB407,'Calculations'!$HE$13:$HE$512,0)),""))))</x:f>
      </x:c>
      <x:c r="ID407" t="str">
        <x:f>IF('Calculations'!IC407="","",IF('Calculations'!IC407="!AMBIG","!AMBIG",IF(COUNTIF('Calculations'!$HE$13:$HE$512,"="&amp;SUBSTITUTE(SUBSTITUTE(SUBSTITUTE('Calculations'!IC407,"~","~~"),"*","~*"),"?","~?"))&gt;1,"!AMBIG",IFERROR(INDEX('Calculations'!$HF$13:$HF$512,MATCH('Calculations'!IC407,'Calculations'!$HE$13:$HE$512,0)),""))))</x:f>
      </x:c>
      <x:c r="IE407" t="str">
        <x:f>IF('Calculations'!ID407="","",IF('Calculations'!ID407="!AMBIG","!AMBIG",IF(COUNTIF('Calculations'!$HE$13:$HE$512,"="&amp;SUBSTITUTE(SUBSTITUTE(SUBSTITUTE('Calculations'!ID407,"~","~~"),"*","~*"),"?","~?"))&gt;1,"!AMBIG",IFERROR(INDEX('Calculations'!$HF$13:$HF$512,MATCH('Calculations'!ID407,'Calculations'!$HE$13:$HE$512,0)),""))))</x:f>
      </x:c>
      <x:c r="IF407" t="str">
        <x:f>IF('Calculations'!IE407="","",IF('Calculations'!IE407="!AMBIG","!AMBIG",IF(COUNTIF('Calculations'!$HE$13:$HE$512,"="&amp;SUBSTITUTE(SUBSTITUTE(SUBSTITUTE('Calculations'!IE407,"~","~~"),"*","~*"),"?","~?"))&gt;1,"!AMBIG",IFERROR(INDEX('Calculations'!$HF$13:$HF$512,MATCH('Calculations'!IE407,'Calculations'!$HE$13:$HE$512,0)),""))))</x:f>
      </x:c>
      <x:c r="IG407" t="str">
        <x:f>IF('Calculations'!IF407="","",IF('Calculations'!IF407="!AMBIG","!AMBIG",IF(COUNTIF('Calculations'!$HE$13:$HE$512,"="&amp;SUBSTITUTE(SUBSTITUTE(SUBSTITUTE('Calculations'!IF407,"~","~~"),"*","~*"),"?","~?"))&gt;1,"!AMBIG",IFERROR(INDEX('Calculations'!$HF$13:$HF$512,MATCH('Calculations'!IF407,'Calculations'!$HE$13:$HE$512,0)),""))))</x:f>
      </x:c>
      <x:c r="IH407" t="str">
        <x:f>IF('Calculations'!IG407="","",IF('Calculations'!IG407="!AMBIG","!AMBIG",IF(COUNTIF('Calculations'!$HE$13:$HE$512,"="&amp;SUBSTITUTE(SUBSTITUTE(SUBSTITUTE('Calculations'!IG407,"~","~~"),"*","~*"),"?","~?"))&gt;1,"!AMBIG",IFERROR(INDEX('Calculations'!$HF$13:$HF$512,MATCH('Calculations'!IG407,'Calculations'!$HE$13:$HE$512,0)),""))))</x:f>
      </x:c>
      <x:c r="II407" t="str">
        <x:f>IF('Calculations'!IH407="","",IF('Calculations'!IH407="!AMBIG","!AMBIG",IF(COUNTIF('Calculations'!$HE$13:$HE$512,"="&amp;SUBSTITUTE(SUBSTITUTE(SUBSTITUTE('Calculations'!IH407,"~","~~"),"*","~*"),"?","~?"))&gt;1,"!AMBIG",IFERROR(INDEX('Calculations'!$HF$13:$HF$512,MATCH('Calculations'!IH407,'Calculations'!$HE$13:$HE$512,0)),""))))</x:f>
      </x:c>
      <x:c r="IJ407" t="str">
        <x:f>IF('Calculations'!EM407="","",IF('Calculations'!$EF$2="All",'Calculations'!HM407,IF('Calculations'!HL407=1,"",IFERROR(IF(MATCH('Calculations'!$EF$2,'Calculations'!HO407:II407,0)=1,'Calculations'!HE407,INDEX('Calculations'!HO407:II407,1,MATCH('Calculations'!$EF$2,'Calculations'!HO407:II407,0)-1)),""))))</x:f>
      </x:c>
      <x:c r="IK407" t="n">
        <x:f>IF(AND('Calculations'!EM407&lt;&gt;"",'Calculations'!$EF$2&lt;&gt;"All",'Calculations'!HF407='Calculations'!$EF$2,'Calculations'!HL407=0,'Calculations'!JD407&gt;0),MAX('Calculations'!$IK$12:IK406)+1,0)</x:f>
        <x:v>0</x:v>
      </x:c>
      <x:c r="JA407" t="n">
        <x:f>IF(OR(IFERROR(INDIRECT("'WCM Calibration Final'!$A$407")&lt;&gt;"",FALSE),IFERROR(INDIRECT("'WCM Calibration Final'!$B$407")&lt;&gt;"",FALSE),IFERROR(INDIRECT("'WCM Calibration Final'!$C$407")&lt;&gt;"",FALSE)),407,0)</x:f>
        <x:v>0</x:v>
      </x:c>
      <x:c r="JB407" t="n">
        <x:f>'Calculations'!JB406+IF('Calculations'!JA407&gt;0,1,0)</x:f>
        <x:v>0</x:v>
      </x:c>
      <x:c r="JC407" t="n">
        <x:f>IF(OR('Calculations'!HF407="",'Calculations'!HF407="!AMBIG"),0,IF('Dashboard'!$B$7="All",1,COUNTIFS('Calculations'!$HO$13:$HO$512,"="&amp;SUBSTITUTE(SUBSTITUTE(SUBSTITUTE('Calculations'!HF407,"~","~~"),"*","~*"),"?","~?"),'Calculations'!$HN$13:$HN$512,"="&amp;SUBSTITUTE(SUBSTITUTE(SUBSTITUTE('Dashboard'!$B$7,"~","~~"),"*","~*"),"?","~?"))+COUNTIFS('Calculations'!$HP$13:$HP$512,"="&amp;SUBSTITUTE(SUBSTITUTE(SUBSTITUTE('Calculations'!HF407,"~","~~"),"*","~*"),"?","~?"),'Calculations'!$HN$13:$HN$512,"="&amp;SUBSTITUTE(SUBSTITUTE(SUBSTITUTE('Dashboard'!$B$7,"~","~~"),"*","~*"),"?","~?"))+COUNTIFS('Calculations'!$HQ$13:$HQ$512,"="&amp;SUBSTITUTE(SUBSTITUTE(SUBSTITUTE('Calculations'!HF407,"~","~~"),"*","~*"),"?","~?"),'Calculations'!$HN$13:$HN$512,"="&amp;SUBSTITUTE(SUBSTITUTE(SUBSTITUTE('Dashboard'!$B$7,"~","~~"),"*","~*"),"?","~?"))+COUNTIFS('Calculations'!$HR$13:$HR$512,"="&amp;SUBSTITUTE(SUBSTITUTE(SUBSTITUTE('Calculations'!HF407,"~","~~"),"*","~*"),"?","~?"),'Calculations'!$HN$13:$HN$512,"="&amp;SUBSTITUTE(SUBSTITUTE(SUBSTITUTE('Dashboard'!$B$7,"~","~~"),"*","~*"),"?","~?"))+COUNTIFS('Calculations'!$HS$13:$HS$512,"="&amp;SUBSTITUTE(SUBSTITUTE(SUBSTITUTE('Calculations'!HF407,"~","~~"),"*","~*"),"?","~?"),'Calculations'!$HN$13:$HN$512,"="&amp;SUBSTITUTE(SUBSTITUTE(SUBSTITUTE('Dashboard'!$B$7,"~","~~"),"*","~*"),"?","~?"))+COUNTIFS('Calculations'!$HT$13:$HT$512,"="&amp;SUBSTITUTE(SUBSTITUTE(SUBSTITUTE('Calculations'!HF407,"~","~~"),"*","~*"),"?","~?"),'Calculations'!$HN$13:$HN$512,"="&amp;SUBSTITUTE(SUBSTITUTE(SUBSTITUTE('Dashboard'!$B$7,"~","~~"),"*","~*"),"?","~?"))+COUNTIFS('Calculations'!$HU$13:$HU$512,"="&amp;SUBSTITUTE(SUBSTITUTE(SUBSTITUTE('Calculations'!HF407,"~","~~"),"*","~*"),"?","~?"),'Calculations'!$HN$13:$HN$512,"="&amp;SUBSTITUTE(SUBSTITUTE(SUBSTITUTE('Dashboard'!$B$7,"~","~~"),"*","~*"),"?","~?"))+COUNTIFS('Calculations'!$HV$13:$HV$512,"="&amp;SUBSTITUTE(SUBSTITUTE(SUBSTITUTE('Calculations'!HF407,"~","~~"),"*","~*"),"?","~?"),'Calculations'!$HN$13:$HN$512,"="&amp;SUBSTITUTE(SUBSTITUTE(SUBSTITUTE('Dashboard'!$B$7,"~","~~"),"*","~*"),"?","~?"))+COUNTIFS('Calculations'!$HW$13:$HW$512,"="&amp;SUBSTITUTE(SUBSTITUTE(SUBSTITUTE('Calculations'!HF407,"~","~~"),"*","~*"),"?","~?"),'Calculations'!$HN$13:$HN$512,"="&amp;SUBSTITUTE(SUBSTITUTE(SUBSTITUTE('Dashboard'!$B$7,"~","~~"),"*","~*"),"?","~?"))+COUNTIFS('Calculations'!$HX$13:$HX$512,"="&amp;SUBSTITUTE(SUBSTITUTE(SUBSTITUTE('Calculations'!HF407,"~","~~"),"*","~*"),"?","~?"),'Calculations'!$HN$13:$HN$512,"="&amp;SUBSTITUTE(SUBSTITUTE(SUBSTITUTE('Dashboard'!$B$7,"~","~~"),"*","~*"),"?","~?"))+COUNTIFS('Calculations'!$HY$13:$HY$512,"="&amp;SUBSTITUTE(SUBSTITUTE(SUBSTITUTE('Calculations'!HF407,"~","~~"),"*","~*"),"?","~?"),'Calculations'!$HN$13:$HN$512,"="&amp;SUBSTITUTE(SUBSTITUTE(SUBSTITUTE('Dashboard'!$B$7,"~","~~"),"*","~*"),"?","~?"))+COUNTIFS('Calculations'!$HZ$13:$HZ$512,"="&amp;SUBSTITUTE(SUBSTITUTE(SUBSTITUTE('Calculations'!HF407,"~","~~"),"*","~*"),"?","~?"),'Calculations'!$HN$13:$HN$512,"="&amp;SUBSTITUTE(SUBSTITUTE(SUBSTITUTE('Dashboard'!$B$7,"~","~~"),"*","~*"),"?","~?"))+COUNTIFS('Calculations'!$IA$13:$IA$512,"="&amp;SUBSTITUTE(SUBSTITUTE(SUBSTITUTE('Calculations'!HF407,"~","~~"),"*","~*"),"?","~?"),'Calculations'!$HN$13:$HN$512,"="&amp;SUBSTITUTE(SUBSTITUTE(SUBSTITUTE('Dashboard'!$B$7,"~","~~"),"*","~*"),"?","~?"))+COUNTIFS('Calculations'!$IB$13:$IB$512,"="&amp;SUBSTITUTE(SUBSTITUTE(SUBSTITUTE('Calculations'!HF407,"~","~~"),"*","~*"),"?","~?"),'Calculations'!$HN$13:$HN$512,"="&amp;SUBSTITUTE(SUBSTITUTE(SUBSTITUTE('Dashboard'!$B$7,"~","~~"),"*","~*"),"?","~?"))+COUNTIFS('Calculations'!$IC$13:$IC$512,"="&amp;SUBSTITUTE(SUBSTITUTE(SUBSTITUTE('Calculations'!HF407,"~","~~"),"*","~*"),"?","~?"),'Calculations'!$HN$13:$HN$512,"="&amp;SUBSTITUTE(SUBSTITUTE(SUBSTITUTE('Dashboard'!$B$7,"~","~~"),"*","~*"),"?","~?"))+COUNTIFS('Calculations'!$ID$13:$ID$512,"="&amp;SUBSTITUTE(SUBSTITUTE(SUBSTITUTE('Calculations'!HF407,"~","~~"),"*","~*"),"?","~?"),'Calculations'!$HN$13:$HN$512,"="&amp;SUBSTITUTE(SUBSTITUTE(SUBSTITUTE('Dashboard'!$B$7,"~","~~"),"*","~*"),"?","~?"))+COUNTIFS('Calculations'!$IE$13:$IE$512,"="&amp;SUBSTITUTE(SUBSTITUTE(SUBSTITUTE('Calculations'!HF407,"~","~~"),"*","~*"),"?","~?"),'Calculations'!$HN$13:$HN$512,"="&amp;SUBSTITUTE(SUBSTITUTE(SUBSTITUTE('Dashboard'!$B$7,"~","~~"),"*","~*"),"?","~?"))+COUNTIFS('Calculations'!$IF$13:$IF$512,"="&amp;SUBSTITUTE(SUBSTITUTE(SUBSTITUTE('Calculations'!HF407,"~","~~"),"*","~*"),"?","~?"),'Calculations'!$HN$13:$HN$512,"="&amp;SUBSTITUTE(SUBSTITUTE(SUBSTITUTE('Dashboard'!$B$7,"~","~~"),"*","~*"),"?","~?"))+COUNTIFS('Calculations'!$IG$13:$IG$512,"="&amp;SUBSTITUTE(SUBSTITUTE(SUBSTITUTE('Calculations'!HF407,"~","~~"),"*","~*"),"?","~?"),'Calculations'!$HN$13:$HN$512,"="&amp;SUBSTITUTE(SUBSTITUTE(SUBSTITUTE('Dashboard'!$B$7,"~","~~"),"*","~*"),"?","~?"))+COUNTIFS('Calculations'!$IH$13:$IH$512,"="&amp;SUBSTITUTE(SUBSTITUTE(SUBSTITUTE('Calculations'!HF407,"~","~~"),"*","~*"),"?","~?"),'Calculations'!$HN$13:$HN$512,"="&amp;SUBSTITUTE(SUBSTITUTE(SUBSTITUTE('Dashboard'!$B$7,"~","~~"),"*","~*"),"?","~?"))))</x:f>
        <x:v>0</x:v>
      </x:c>
      <x:c r="JD407" t="n">
        <x:f>IF('Calculations'!EM407="",0,IF('Dashboard'!$B$7="All",1,IF('Calculations'!HN407='Dashboard'!$B$7,1,0)+IFERROR(INDEX('Calculations'!$JC$13:$JC$512,MATCH('Calculations'!HE407,'Calculations'!$HF$13:$HF$512,0)),0)))</x:f>
        <x:v>0</x:v>
      </x:c>
      <x:c r="JE407" t="n">
        <x:f>IF(AND('Calculations'!EM407&lt;&gt;"",'Calculations'!$JJ$2&lt;&gt;"All",'Calculations'!$JJ$2&lt;&gt;"",'Calculations'!HF407='Calculations'!$JJ$2,'Calculations'!HL407=0,'Calculations'!JD407&gt;0),MAX('Calculations'!$JE$12:JE406)+1,0)</x:f>
        <x:v>0</x:v>
      </x:c>
      <x:c r="JF407" t="str">
        <x:f>IF('Calculations'!EM407="","",IFERROR(IF(INDEX(INDIRECT("'WCM Calibration Final'!$G$1:$G$2000"),'Calculations'!$EM407)="","",TRIM(INDEX(INDIRECT("'WCM Calibration Final'!$G$1:$G$2000"),'Calculations'!$EM407)&amp;"")),""))</x:f>
      </x:c>
      <x:c r="JQ407" t="n">
        <x:f>IF(OR('Calculations'!BM407=0,NOT('Calculations'!$AG$2),'Calculations'!$AG$8&gt;0),0,IF(OR('Dashboard'!$B$7="All",'Calculations'!HN407='Dashboard'!$B$7),IF('Calculations'!$JJ$2="All",1,IF(AND('Calculations'!HF407='Calculations'!$JJ$2,'Calculations'!HL407=0),1,0)),0))</x:f>
        <x:v>0</x:v>
      </x:c>
    </x:row>
    <x:row r="408">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t="n">
        <x:f>IF('Calculations'!$EM408="",0,IF(OR(IFERROR(INDEX(INDIRECT("'WCM Calibration Final'!$A$1:$A$2000"),'Calculations'!$EM408)&lt;&gt;"",FALSE),IFERROR(INDEX(INDIRECT("'WCM Calibration Final'!$B$1:$B$2000"),'Calculations'!$EM408)&lt;&gt;"",FALSE),IFERROR(INDEX(INDIRECT("'WCM Calibration Final'!$C$1:$C$2000"),'Calculations'!$EM408)&lt;&gt;"",FALSE)),1,0))</x:f>
        <x:v>0</x:v>
      </x:c>
      <x:c r="BN408" s="4" t="n">
        <x:f>IF(AND('Calculations'!BM408=1,'Calculations'!$AG$2,'Calculations'!$EN408=1),1,0)</x:f>
        <x:v>0</x:v>
      </x:c>
      <x:c r="BO408" s="4" t="str">
        <x:f>IF('Calculations'!BM408=0,"",IFERROR(IF(AND(VALUE(INDEX(INDIRECT("'WCM Calibration Final'!$K$1:$K$2000"),'Calculations'!$EM408))&gt;=1,VALUE(INDEX(INDIRECT("'WCM Calibration Final'!$K$1:$K$2000"),'Calculations'!$EM408))&lt;=4,MOD(VALUE(INDEX(INDIRECT("'WCM Calibration Final'!$K$1:$K$2000"),'Calculations'!$EM408)),1)=0),VALUE(INDEX(INDIRECT("'WCM Calibration Final'!$K$1:$K$2000"),'Calculations'!$EM408)),""),""))</x:f>
      </x:c>
      <x:c r="BP408" s="4" t="str">
        <x:f>IF('Calculations'!BM408=0,"",IFERROR(IF(AND(VALUE(INDEX(INDIRECT("'WCM Calibration Final'!$L$1:$L$2000"),'Calculations'!$EM408))&gt;=1,VALUE(INDEX(INDIRECT("'WCM Calibration Final'!$L$1:$L$2000"),'Calculations'!$EM408))&lt;=4,MOD(VALUE(INDEX(INDIRECT("'WCM Calibration Final'!$L$1:$L$2000"),'Calculations'!$EM408)),1)=0),VALUE(INDEX(INDIRECT("'WCM Calibration Final'!$L$1:$L$2000"),'Calculations'!$EM408)),""),""))</x:f>
      </x:c>
      <x:c r="BQ408" s="4"/>
      <x:c r="BR408" s="4"/>
      <x:c r="BS408" s="4"/>
      <x:c r="BT408" s="4" t="n">
        <x:f>IF(AND('Calculations'!BM408=1,ISNUMBER('Calculations'!BO408),ISNUMBER('Calculations'!BP408)),1,0)</x:f>
        <x:v>0</x:v>
      </x:c>
      <x:c r="BU408" s="4" t="str">
        <x:f>IF('Calculations'!BM408=0,"",'Calculations'!$EO408)</x:f>
      </x:c>
      <x:c r="BV408" s="4" t="str">
        <x:f>IF('Calculations'!BM408=0,"",IFERROR(IF(OR(INDEX(INDIRECT("'WCM Calibration Final'!$H$1:$H$2000"),'Calculations'!$EM408)="MANAGING DIRECTOR",INDEX(INDIRECT("'WCM Calibration Final'!$H$1:$H$2000"),'Calculations'!$EM408)="DIRECTOR",INDEX(INDIRECT("'WCM Calibration Final'!$H$1:$H$2000"),'Calculations'!$EM408)="SENIOR VICE PRESIDENT",INDEX(INDIRECT("'WCM Calibration Final'!$H$1:$H$2000"),'Calculations'!$EM408)="VICE PRESIDENT",INDEX(INDIRECT("'WCM Calibration Final'!$H$1:$H$2000"),'Calculations'!$EM408)="ASSISTANT VICE PRESIDENT",INDEX(INDIRECT("'WCM Calibration Final'!$H$1:$H$2000"),'Calculations'!$EM408)="OFFICER"),UPPER(INDEX(INDIRECT("'WCM Calibration Final'!$H$1:$H$2000"),'Calculations'!$EM408)),"Other"),"Other"))</x:f>
      </x:c>
      <x:c r="BW408" s="4"/>
      <x:c r="BX408" s="4"/>
      <x:c r="BY408" s="4" t="n">
        <x:f>IF(AND('Calculations'!BM408=1,'Calculations'!BU408&lt;&gt;"",COUNTIF('Calculations'!$BU$12:BU408,'Calculations'!BU408)=1),MAX('Calculations'!$BY$11:BY407)+1,0)</x:f>
        <x:v>0</x:v>
      </x:c>
      <x:c r="BZ408" s="4" t="str">
        <x:f>IF('Dashboard'!$E$67="What",'Calculations'!BO408,'Calculations'!BP408)</x:f>
      </x:c>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t="str">
        <x:f>IF(397&gt;MAX('Calculations'!$HI$13:$HI$512),"",INDEX('Calculations'!$HN$13:$HN$512,MATCH(397,'Calculations'!$HI$13:$HI$512,0)))</x:f>
      </x:c>
      <x:c r="DB408" s="4" t="str">
        <x:f>IF(397&gt;MAX('Calculations'!$HH$13:$HH$512),"",INDEX('Calculations'!$HJ$13:$HJ$512,MATCH(397,'Calculations'!$HH$13:$HH$512,0)))</x:f>
      </x:c>
      <x:c r="DC408" s="4" t="str">
        <x:f>IF(ROW()-11&gt;MAX('Calculations'!$BY$13:$BY$512),"",INDEX('Calculations'!$BU$13:$BU$512,MATCH(ROW()-11,'Calculations'!$BY$13:$BY$512,0)))</x:f>
      </x:c>
      <x:c r="DD408" s="4" t="str">
        <x:f>IF(397&gt;MAX('Calculations'!$IK$13:$IK$512),"",INDEX('Calculations'!$HK$13:$HK$512,MATCH(397,'Calculations'!$IK$13:$IK$512,0)))</x:f>
      </x:c>
      <x:c r="DE408" s="4" t="str">
        <x:f>'Calculations'!DC408</x:f>
      </x:c>
      <x:c r="DF408" s="4" t="str">
        <x:f>IF('Calculations'!DE408="","",COUNTIFS('Calculations'!$BN$13:$BN$512,1,'Calculations'!$BU$13:$BU$512,'Calculations'!DE408))</x:f>
      </x:c>
      <x:c r="DG408" s="4" t="str">
        <x:f>IF('Calculations'!DE408="","",COUNTIFS('Calculations'!$BN$13:$BN$512,1,'Calculations'!$BU$13:$BU$512,'Calculations'!DE408,'Calculations'!$BT$13:$BT$512,1))</x:f>
      </x:c>
      <x:c r="DH408" s="4" t="str">
        <x:f>IF('Calculations'!DE408="","",'Calculations'!DF408-'Calculations'!DG408)</x:f>
      </x:c>
      <x:c r="DI408" s="4" t="str">
        <x:f>IF(OR('Calculations'!DE408="",'Calculations'!DF408=0),"",'Calculations'!DG408/'Calculations'!DF408)</x:f>
      </x:c>
      <x:c r="DJ408" s="4" t="str">
        <x:f>IF('Calculations'!DE408="","",COUNTIFS('Calculations'!$BN$13:$BN$512,1,'Calculations'!$BU$13:$BU$512,'Calculations'!DE408,'Calculations'!$BT$13:$BT$512,1,'Calculations'!$EE$13:$EE$512,"High"))</x:f>
      </x:c>
      <x:c r="DK408" s="4" t="str">
        <x:f>IF('Calculations'!DE408="","",COUNTIFS('Calculations'!$BN$13:$BN$512,1,'Calculations'!$BU$13:$BU$512,'Calculations'!DE408,'Calculations'!$BT$13:$BT$512,1,'Calculations'!$EE$13:$EE$512,"Strong"))</x:f>
      </x:c>
      <x:c r="DL408" s="4" t="str">
        <x:f>IF('Calculations'!DE408="","",COUNTIFS('Calculations'!$BN$13:$BN$512,1,'Calculations'!$BU$13:$BU$512,'Calculations'!DE408,'Calculations'!$BT$13:$BT$512,1,'Calculations'!$EE$13:$EE$512,"Solid"))</x:f>
      </x:c>
      <x:c r="DM408" s="4" t="str">
        <x:f>IF('Calculations'!DE408="","",COUNTIFS('Calculations'!$BN$13:$BN$512,1,'Calculations'!$BU$13:$BU$512,'Calculations'!DE408,'Calculations'!$BT$13:$BT$512,1,'Calculations'!$EE$13:$EE$512,"Low"))</x:f>
      </x:c>
      <x:c r="DN408" s="4" t="str">
        <x:f>IF('Calculations'!DE408="","",COUNTIFS('Calculations'!$BN$13:$BN$512,1,'Calculations'!$BU$13:$BU$512,'Calculations'!DE408,'Calculations'!$EP$13:$EP$512,1))</x:f>
      </x:c>
      <x:c r="DO408" s="4" t="str">
        <x:f>IF(OR('Calculations'!DE408="",'Calculations'!DG408=0),"",('Calculations'!DJ408+'Calculations'!DK408)/'Calculations'!DG408)</x:f>
      </x:c>
      <x:c r="DP408" s="4" t="n">
        <x:f>IF(AND('Calculations'!DE408&lt;&gt;"",'Calculations'!DF408&gt;0),COUNTIF('Calculations'!$DF$12:DF408,"&gt;0"),0)</x:f>
        <x:v>0</x:v>
      </x:c>
      <x:c r="DQ408" s="4" t="str">
        <x:f>IF(397&gt;MAX('Calculations'!$HH$13:$HH$512),"",INDEX('Calculations'!$HF$13:$HF$512,MATCH(397,'Calculations'!$HH$13:$HH$512,0)))</x:f>
      </x:c>
      <x:c r="DR408" s="4" t="str">
        <x:f>IF(397&gt;MAX('Calculations'!$IK$13:$IK$512),"",INDEX('Calculations'!$HE$13:$HE$512,MATCH(397,'Calculations'!$IK$13:$IK$512,0)))</x:f>
      </x:c>
      <x:c r="DS408" s="4"/>
      <x:c r="DT408" s="4"/>
      <x:c r="DU408" s="4"/>
      <x:c r="DV408" s="4"/>
      <x:c r="DW408" s="4"/>
      <x:c r="DX408" s="4"/>
      <x:c r="DY408" s="4"/>
      <x:c r="DZ408" s="4"/>
      <x:c r="EA408" s="4"/>
      <x:c r="EB408" s="4"/>
      <x:c r="EC408" s="4"/>
      <x:c r="ED408" s="4"/>
      <x:c r="EE408" s="4" t="str">
        <x:f>IF('Calculations'!BT408=0,"Not Rated",IF(OR('Calculations'!BO408&gt;=4,'Calculations'!BP408&gt;=4),"Low",IF('Calculations'!BO408+'Calculations'!BP408&lt;=3,"High",IF('Calculations'!BO408+'Calculations'!BP408&lt;=4,"Strong","Solid"))))</x:f>
        <x:v>Not Rated</x:v>
      </x:c>
      <x:c r="EF408" s="4"/>
      <x:c r="EG408" s="4"/>
      <x:c r="EH408" s="4"/>
      <x:c r="EI408" s="4"/>
      <x:c r="EJ408" s="4"/>
      <x:c r="EK408" s="4"/>
      <x:c r="EL408" s="4"/>
      <x:c r="EM408" s="4" t="str">
        <x:f>IF(396&gt;'Calculations'!$JB$2000,"",INDEX('Calculations'!$JA$12:$JA$2000,MATCH(396,'Calculations'!$JB$12:$JB$2000,0)))</x:f>
      </x:c>
      <x:c r="EN408" s="4" t="n">
        <x:f>IF(OR('Calculations'!EM408="",'Calculations'!$AG$8&gt;0,AND('Calculations'!$EF$2&lt;&gt;"All",'Calculations'!HE408='Calculations'!$EF$2),AND('Calculations'!$EF$3&lt;&gt;"All",'Calculations'!HE408='Calculations'!$EF$3)),0,IF(OR('Dashboard'!$B$7="All",'Calculations'!HN408='Dashboard'!$B$7),IF('Calculations'!$EF$2="All",1,IF('Calculations'!HL408&gt;0,0,IF(COUNTIF('Calculations'!HO408:II408,"="&amp;SUBSTITUTE(SUBSTITUTE(SUBSTITUTE('Calculations'!$EF$2,"~","~~"),"*","~*"),"?","~?"))=0,0,IF('Calculations'!$EF$3="All",1,IF(COUNTIF('Calculations'!HO408:II408,"="&amp;SUBSTITUTE(SUBSTITUTE(SUBSTITUTE('Calculations'!$EF$3,"~","~~"),"*","~*"),"?","~?"))&gt;0,1,0))))),0))</x:f>
        <x:v>0</x:v>
      </x:c>
      <x:c r="EO408" s="4" t="str">
        <x:f>IF('Calculations'!IJ408="","",IF('Calculations'!IJ408="!UNRESOLVED","Unresolved hierarchy",IFERROR(INDEX('Calculations'!$HK$13:$HK$512,MATCH('Calculations'!IJ408,'Calculations'!$HE$13:$HE$512,0)),IFERROR(INDEX('Calculations'!$HJ$13:$HJ$512,MATCH('Calculations'!IJ408,'Calculations'!$HF$13:$HF$512,0)),'Calculations'!IJ408))))</x:f>
      </x:c>
      <x:c r="EP408" s="4" t="n">
        <x:f>IF(AND('Calculations'!EM408&lt;&gt;"",'Calculations'!HF408='Calculations'!IJ408),1,0)</x:f>
        <x:v>0</x:v>
      </x:c>
      <x:c r="EQ408" s="4"/>
      <x:c r="ER408" s="4"/>
      <x:c r="ES408" s="4"/>
      <x:c r="ET408" s="4"/>
      <x:c r="EU408" s="4"/>
      <x:c r="EV408" s="4"/>
      <x:c r="EW408" s="4"/>
      <x:c r="EX408" s="4"/>
      <x:c r="EY408" s="4"/>
      <x:c r="EZ408" s="4"/>
      <x:c r="FA408" s="4"/>
      <x:c r="FB408" s="4"/>
      <x:c r="FC408" s="4"/>
      <x:c r="FD408" s="4"/>
      <x:c r="FE408" s="4"/>
      <x:c r="FF408" s="4"/>
      <x:c r="FG408" s="4"/>
      <x:c r="FH408" s="4"/>
      <x:c r="FI408" s="4"/>
      <x:c r="FJ408" s="4"/>
      <x:c r="FK408" s="4"/>
      <x:c r="FL408" s="4"/>
      <x:c r="FM408" s="4"/>
      <x:c r="FN408" s="4"/>
      <x:c r="FO408" s="4"/>
      <x:c r="HE408" t="str">
        <x:f>IF('Calculations'!EM408="","",IF(IFERROR(IF(INDEX(INDIRECT("'WCM Calibration Final'!$A$1:$A$2000"),'Calculations'!$EM408)="","",TRIM(INDEX(INDIRECT("'WCM Calibration Final'!$A$1:$A$2000"),'Calculations'!$EM408)&amp;"")),"")&lt;&gt;"","G:"&amp;IFERROR(TEXT(1*INDEX(INDIRECT("'WCM Calibration Final'!$A$1:$A$2000"),'Calculations'!$EM408),"0"),UPPER(IFERROR(IF(INDEX(INDIRECT("'WCM Calibration Final'!$A$1:$A$2000"),'Calculations'!$EM408)="","",TRIM(INDEX(INDIRECT("'WCM Calibration Final'!$A$1:$A$2000"),'Calculations'!$EM408)&amp;"")),""))),IF(IFERROR(IF(INDEX(INDIRECT("'WCM Calibration Final'!$C$1:$C$2000"),'Calculations'!$EM408)="","",TRIM(INDEX(INDIRECT("'WCM Calibration Final'!$C$1:$C$2000"),'Calculations'!$EM408)&amp;"")),"")&lt;&gt;"","S:"&amp;UPPER(IFERROR(IF(INDEX(INDIRECT("'WCM Calibration Final'!$C$1:$C$2000"),'Calculations'!$EM408)="","",TRIM(INDEX(INDIRECT("'WCM Calibration Final'!$C$1:$C$2000"),'Calculations'!$EM408)&amp;"")),"")),"R:"&amp;'Calculations'!EM408)))</x:f>
      </x:c>
      <x:c r="HF408" t="str">
        <x:f>IF('Calculations'!EM408="","",IF(IFERROR(IF(INDEX(INDIRECT("'WCM Calibration Final'!$D$1:$D$2000"),'Calculations'!$EM408)="","",TRIM(INDEX(INDIRECT("'WCM Calibration Final'!$D$1:$D$2000"),'Calculations'!$EM408)&amp;"")),"")&lt;&gt;"","G:"&amp;IFERROR(TEXT(1*INDEX(INDIRECT("'WCM Calibration Final'!$D$1:$D$2000"),'Calculations'!$EM408),"0"),UPPER(IFERROR(IF(INDEX(INDIRECT("'WCM Calibration Final'!$D$1:$D$2000"),'Calculations'!$EM408)="","",TRIM(INDEX(INDIRECT("'WCM Calibration Final'!$D$1:$D$2000"),'Calculations'!$EM408)&amp;"")),""))),IF(IFERROR(IF(INDEX(INDIRECT("'WCM Calibration Final'!$E$1:$E$2000"),'Calculations'!$EM408)="","",TRIM(INDEX(INDIRECT("'WCM Calibration Final'!$E$1:$E$2000"),'Calculations'!$EM408)&amp;"")),"")="","",IF(COUNTIF('Calculations'!$HG$13:$HG$512,"="&amp;SUBSTITUTE(SUBSTITUTE(SUBSTITUTE(IFERROR(IF(INDEX(INDIRECT("'WCM Calibration Final'!$E$1:$E$2000"),'Calculations'!$EM408)="","",TRIM(INDEX(INDIRECT("'WCM Calibration Final'!$E$1:$E$2000"),'Calculations'!$EM408)&amp;"")),""),"~","~~"),"*","~*"),"?","~?"))=1,INDEX('Calculations'!$HE$13:$HE$512,MATCH(IFERROR(IF(INDEX(INDIRECT("'WCM Calibration Final'!$E$1:$E$2000"),'Calculations'!$EM408)="","",TRIM(INDEX(INDIRECT("'WCM Calibration Final'!$E$1:$E$2000"),'Calculations'!$EM408)&amp;"")),""),'Calculations'!$HG$13:$HG$512,0)),IF(COUNTIF('Calculations'!$HG$13:$HG$512,"="&amp;SUBSTITUTE(SUBSTITUTE(SUBSTITUTE(IFERROR(IF(INDEX(INDIRECT("'WCM Calibration Final'!$E$1:$E$2000"),'Calculations'!$EM408)="","",TRIM(INDEX(INDIRECT("'WCM Calibration Final'!$E$1:$E$2000"),'Calculations'!$EM408)&amp;"")),""),"~","~~"),"*","~*"),"?","~?"))&gt;1,"!AMBIG","X:"&amp;IFERROR(IF(INDEX(INDIRECT("'WCM Calibration Final'!$E$1:$E$2000"),'Calculations'!$EM408)="","",TRIM(INDEX(INDIRECT("'WCM Calibration Final'!$E$1:$E$2000"),'Calculations'!$EM408)&amp;"")),""))))))</x:f>
      </x:c>
      <x:c r="HG408" t="str">
        <x:f>IF('Calculations'!EM408="","",IFERROR(IF(INDEX(INDIRECT("'WCM Calibration Final'!$B$1:$B$2000"),'Calculations'!$EM408)="","",TRIM(INDEX(INDIRECT("'WCM Calibration Final'!$B$1:$B$2000"),'Calculations'!$EM408)&amp;"")),""))</x:f>
      </x:c>
      <x:c r="HH408" t="n">
        <x:f>IF(AND('Calculations'!JC408&gt;0,COUNTIF('Calculations'!$HF$12:HF408,"="&amp;SUBSTITUTE(SUBSTITUTE(SUBSTITUTE('Calculations'!HF408,"~","~~"),"*","~*"),"?","~?"))=1),MAX('Calculations'!$HH$12:HH407)+1,0)</x:f>
        <x:v>0</x:v>
      </x:c>
      <x:c r="HI408" t="n">
        <x:f>IF(AND('Calculations'!HN408&lt;&gt;"",COUNTIF('Calculations'!$HN$12:HN408,"="&amp;SUBSTITUTE(SUBSTITUTE(SUBSTITUTE('Calculations'!HN408,"~","~~"),"*","~*"),"?","~?"))=1),MAX('Calculations'!$HI$12:HI407)+1,0)</x:f>
        <x:v>0</x:v>
      </x:c>
      <x:c r="HJ408" t="str">
        <x:f>IF('Calculations'!HF408="","",IF(COUNTIF('Calculations'!$HE$13:$HE$512,"="&amp;SUBSTITUTE(SUBSTITUTE(SUBSTITUTE('Calculations'!HF408,"~","~~"),"*","~*"),"?","~?"))=1,INDEX('Calculations'!$HK$13:$HK$512,MATCH('Calculations'!HF408,'Calculations'!$HE$13:$HE$512,0)),IFERROR(IF(INDEX(INDIRECT("'WCM Calibration Final'!$E$1:$E$2000"),'Calculations'!$EM408)="","",TRIM(INDEX(INDIRECT("'WCM Calibration Final'!$E$1:$E$2000"),'Calculations'!$EM408)&amp;"")),"")&amp;" ["&amp;'Calculations'!HF408&amp;"]"))</x:f>
      </x:c>
      <x:c r="HK408" t="str">
        <x:f>IF('Calculations'!EM408="","",'Calculations'!HG408&amp;" ["&amp;'Calculations'!HE408&amp;"]")</x:f>
      </x:c>
      <x:c r="HL408" t="n">
        <x:f>IF('Calculations'!EM408="",0,IF(OR('Calculations'!II408&lt;&gt;"",COUNTIF('Calculations'!$HE$13:$HE$512,"="&amp;SUBSTITUTE(SUBSTITUTE(SUBSTITUTE('Calculations'!HE408,"~","~~"),"*","~*"),"?","~?"))&gt;1),1,0))</x:f>
        <x:v>0</x:v>
      </x:c>
      <x:c r="HM408" t="str">
        <x:f>IF('Calculations'!EM408="","",IF('Calculations'!HL408=1,"!UNRESOLVED",IF('Calculations'!IH408&lt;&gt;"",'Calculations'!IH408,IF('Calculations'!IG408&lt;&gt;"",'Calculations'!IG408,IF('Calculations'!IF408&lt;&gt;"",'Calculations'!IF408,IF('Calculations'!IE408&lt;&gt;"",'Calculations'!IE408,IF('Calculations'!ID408&lt;&gt;"",'Calculations'!ID408,IF('Calculations'!IC408&lt;&gt;"",'Calculations'!IC408,IF('Calculations'!IB408&lt;&gt;"",'Calculations'!IB408,IF('Calculations'!IA408&lt;&gt;"",'Calculations'!IA408,IF('Calculations'!HZ408&lt;&gt;"",'Calculations'!HZ408,IF('Calculations'!HY408&lt;&gt;"",'Calculations'!HY408,IF('Calculations'!HX408&lt;&gt;"",'Calculations'!HX408,IF('Calculations'!HW408&lt;&gt;"",'Calculations'!HW408,IF('Calculations'!HV408&lt;&gt;"",'Calculations'!HV408,IF('Calculations'!HU408&lt;&gt;"",'Calculations'!HU408,IF('Calculations'!HT408&lt;&gt;"",'Calculations'!HT408,IF('Calculations'!HS408&lt;&gt;"",'Calculations'!HS408,IF('Calculations'!HR408&lt;&gt;"",'Calculations'!HR408,IF('Calculations'!HQ408&lt;&gt;"",'Calculations'!HQ408,IF('Calculations'!HP408&lt;&gt;"",'Calculations'!HP408,IF('Calculations'!HO408&lt;&gt;"",'Calculations'!HO408,'Calculations'!HE408))))))))))))))))))))))</x:f>
      </x:c>
      <x:c r="HN408" t="str">
        <x:f>IF('Calculations'!EM408="","",IF(IFERROR(IF(INDEX(INDIRECT("'WCM Calibration Final'!$F$1:$F$2000"),'Calculations'!$EM408)="","",TRIM(INDEX(INDIRECT("'WCM Calibration Final'!$F$1:$F$2000"),'Calculations'!$EM408)&amp;"")),"")="","(Blank)",IFERROR(IF(INDEX(INDIRECT("'WCM Calibration Final'!$F$1:$F$2000"),'Calculations'!$EM408)="","",TRIM(INDEX(INDIRECT("'WCM Calibration Final'!$F$1:$F$2000"),'Calculations'!$EM408)&amp;"")),"")))</x:f>
      </x:c>
      <x:c r="HO408" t="str">
        <x:f>'Calculations'!HF408</x:f>
      </x:c>
      <x:c r="HP408" t="str">
        <x:f>IF('Calculations'!HO408="","",IF('Calculations'!HO408="!AMBIG","!AMBIG",IF(COUNTIF('Calculations'!$HE$13:$HE$512,"="&amp;SUBSTITUTE(SUBSTITUTE(SUBSTITUTE('Calculations'!HO408,"~","~~"),"*","~*"),"?","~?"))&gt;1,"!AMBIG",IFERROR(INDEX('Calculations'!$HF$13:$HF$512,MATCH('Calculations'!HO408,'Calculations'!$HE$13:$HE$512,0)),""))))</x:f>
      </x:c>
      <x:c r="HQ408" t="str">
        <x:f>IF('Calculations'!HP408="","",IF('Calculations'!HP408="!AMBIG","!AMBIG",IF(COUNTIF('Calculations'!$HE$13:$HE$512,"="&amp;SUBSTITUTE(SUBSTITUTE(SUBSTITUTE('Calculations'!HP408,"~","~~"),"*","~*"),"?","~?"))&gt;1,"!AMBIG",IFERROR(INDEX('Calculations'!$HF$13:$HF$512,MATCH('Calculations'!HP408,'Calculations'!$HE$13:$HE$512,0)),""))))</x:f>
      </x:c>
      <x:c r="HR408" t="str">
        <x:f>IF('Calculations'!HQ408="","",IF('Calculations'!HQ408="!AMBIG","!AMBIG",IF(COUNTIF('Calculations'!$HE$13:$HE$512,"="&amp;SUBSTITUTE(SUBSTITUTE(SUBSTITUTE('Calculations'!HQ408,"~","~~"),"*","~*"),"?","~?"))&gt;1,"!AMBIG",IFERROR(INDEX('Calculations'!$HF$13:$HF$512,MATCH('Calculations'!HQ408,'Calculations'!$HE$13:$HE$512,0)),""))))</x:f>
      </x:c>
      <x:c r="HS408" t="str">
        <x:f>IF('Calculations'!HR408="","",IF('Calculations'!HR408="!AMBIG","!AMBIG",IF(COUNTIF('Calculations'!$HE$13:$HE$512,"="&amp;SUBSTITUTE(SUBSTITUTE(SUBSTITUTE('Calculations'!HR408,"~","~~"),"*","~*"),"?","~?"))&gt;1,"!AMBIG",IFERROR(INDEX('Calculations'!$HF$13:$HF$512,MATCH('Calculations'!HR408,'Calculations'!$HE$13:$HE$512,0)),""))))</x:f>
      </x:c>
      <x:c r="HT408" t="str">
        <x:f>IF('Calculations'!HS408="","",IF('Calculations'!HS408="!AMBIG","!AMBIG",IF(COUNTIF('Calculations'!$HE$13:$HE$512,"="&amp;SUBSTITUTE(SUBSTITUTE(SUBSTITUTE('Calculations'!HS408,"~","~~"),"*","~*"),"?","~?"))&gt;1,"!AMBIG",IFERROR(INDEX('Calculations'!$HF$13:$HF$512,MATCH('Calculations'!HS408,'Calculations'!$HE$13:$HE$512,0)),""))))</x:f>
      </x:c>
      <x:c r="HU408" t="str">
        <x:f>IF('Calculations'!HT408="","",IF('Calculations'!HT408="!AMBIG","!AMBIG",IF(COUNTIF('Calculations'!$HE$13:$HE$512,"="&amp;SUBSTITUTE(SUBSTITUTE(SUBSTITUTE('Calculations'!HT408,"~","~~"),"*","~*"),"?","~?"))&gt;1,"!AMBIG",IFERROR(INDEX('Calculations'!$HF$13:$HF$512,MATCH('Calculations'!HT408,'Calculations'!$HE$13:$HE$512,0)),""))))</x:f>
      </x:c>
      <x:c r="HV408" t="str">
        <x:f>IF('Calculations'!HU408="","",IF('Calculations'!HU408="!AMBIG","!AMBIG",IF(COUNTIF('Calculations'!$HE$13:$HE$512,"="&amp;SUBSTITUTE(SUBSTITUTE(SUBSTITUTE('Calculations'!HU408,"~","~~"),"*","~*"),"?","~?"))&gt;1,"!AMBIG",IFERROR(INDEX('Calculations'!$HF$13:$HF$512,MATCH('Calculations'!HU408,'Calculations'!$HE$13:$HE$512,0)),""))))</x:f>
      </x:c>
      <x:c r="HW408" t="str">
        <x:f>IF('Calculations'!HV408="","",IF('Calculations'!HV408="!AMBIG","!AMBIG",IF(COUNTIF('Calculations'!$HE$13:$HE$512,"="&amp;SUBSTITUTE(SUBSTITUTE(SUBSTITUTE('Calculations'!HV408,"~","~~"),"*","~*"),"?","~?"))&gt;1,"!AMBIG",IFERROR(INDEX('Calculations'!$HF$13:$HF$512,MATCH('Calculations'!HV408,'Calculations'!$HE$13:$HE$512,0)),""))))</x:f>
      </x:c>
      <x:c r="HX408" t="str">
        <x:f>IF('Calculations'!HW408="","",IF('Calculations'!HW408="!AMBIG","!AMBIG",IF(COUNTIF('Calculations'!$HE$13:$HE$512,"="&amp;SUBSTITUTE(SUBSTITUTE(SUBSTITUTE('Calculations'!HW408,"~","~~"),"*","~*"),"?","~?"))&gt;1,"!AMBIG",IFERROR(INDEX('Calculations'!$HF$13:$HF$512,MATCH('Calculations'!HW408,'Calculations'!$HE$13:$HE$512,0)),""))))</x:f>
      </x:c>
      <x:c r="HY408" t="str">
        <x:f>IF('Calculations'!HX408="","",IF('Calculations'!HX408="!AMBIG","!AMBIG",IF(COUNTIF('Calculations'!$HE$13:$HE$512,"="&amp;SUBSTITUTE(SUBSTITUTE(SUBSTITUTE('Calculations'!HX408,"~","~~"),"*","~*"),"?","~?"))&gt;1,"!AMBIG",IFERROR(INDEX('Calculations'!$HF$13:$HF$512,MATCH('Calculations'!HX408,'Calculations'!$HE$13:$HE$512,0)),""))))</x:f>
      </x:c>
      <x:c r="HZ408" t="str">
        <x:f>IF('Calculations'!HY408="","",IF('Calculations'!HY408="!AMBIG","!AMBIG",IF(COUNTIF('Calculations'!$HE$13:$HE$512,"="&amp;SUBSTITUTE(SUBSTITUTE(SUBSTITUTE('Calculations'!HY408,"~","~~"),"*","~*"),"?","~?"))&gt;1,"!AMBIG",IFERROR(INDEX('Calculations'!$HF$13:$HF$512,MATCH('Calculations'!HY408,'Calculations'!$HE$13:$HE$512,0)),""))))</x:f>
      </x:c>
      <x:c r="IA408" t="str">
        <x:f>IF('Calculations'!HZ408="","",IF('Calculations'!HZ408="!AMBIG","!AMBIG",IF(COUNTIF('Calculations'!$HE$13:$HE$512,"="&amp;SUBSTITUTE(SUBSTITUTE(SUBSTITUTE('Calculations'!HZ408,"~","~~"),"*","~*"),"?","~?"))&gt;1,"!AMBIG",IFERROR(INDEX('Calculations'!$HF$13:$HF$512,MATCH('Calculations'!HZ408,'Calculations'!$HE$13:$HE$512,0)),""))))</x:f>
      </x:c>
      <x:c r="IB408" t="str">
        <x:f>IF('Calculations'!IA408="","",IF('Calculations'!IA408="!AMBIG","!AMBIG",IF(COUNTIF('Calculations'!$HE$13:$HE$512,"="&amp;SUBSTITUTE(SUBSTITUTE(SUBSTITUTE('Calculations'!IA408,"~","~~"),"*","~*"),"?","~?"))&gt;1,"!AMBIG",IFERROR(INDEX('Calculations'!$HF$13:$HF$512,MATCH('Calculations'!IA408,'Calculations'!$HE$13:$HE$512,0)),""))))</x:f>
      </x:c>
      <x:c r="IC408" t="str">
        <x:f>IF('Calculations'!IB408="","",IF('Calculations'!IB408="!AMBIG","!AMBIG",IF(COUNTIF('Calculations'!$HE$13:$HE$512,"="&amp;SUBSTITUTE(SUBSTITUTE(SUBSTITUTE('Calculations'!IB408,"~","~~"),"*","~*"),"?","~?"))&gt;1,"!AMBIG",IFERROR(INDEX('Calculations'!$HF$13:$HF$512,MATCH('Calculations'!IB408,'Calculations'!$HE$13:$HE$512,0)),""))))</x:f>
      </x:c>
      <x:c r="ID408" t="str">
        <x:f>IF('Calculations'!IC408="","",IF('Calculations'!IC408="!AMBIG","!AMBIG",IF(COUNTIF('Calculations'!$HE$13:$HE$512,"="&amp;SUBSTITUTE(SUBSTITUTE(SUBSTITUTE('Calculations'!IC408,"~","~~"),"*","~*"),"?","~?"))&gt;1,"!AMBIG",IFERROR(INDEX('Calculations'!$HF$13:$HF$512,MATCH('Calculations'!IC408,'Calculations'!$HE$13:$HE$512,0)),""))))</x:f>
      </x:c>
      <x:c r="IE408" t="str">
        <x:f>IF('Calculations'!ID408="","",IF('Calculations'!ID408="!AMBIG","!AMBIG",IF(COUNTIF('Calculations'!$HE$13:$HE$512,"="&amp;SUBSTITUTE(SUBSTITUTE(SUBSTITUTE('Calculations'!ID408,"~","~~"),"*","~*"),"?","~?"))&gt;1,"!AMBIG",IFERROR(INDEX('Calculations'!$HF$13:$HF$512,MATCH('Calculations'!ID408,'Calculations'!$HE$13:$HE$512,0)),""))))</x:f>
      </x:c>
      <x:c r="IF408" t="str">
        <x:f>IF('Calculations'!IE408="","",IF('Calculations'!IE408="!AMBIG","!AMBIG",IF(COUNTIF('Calculations'!$HE$13:$HE$512,"="&amp;SUBSTITUTE(SUBSTITUTE(SUBSTITUTE('Calculations'!IE408,"~","~~"),"*","~*"),"?","~?"))&gt;1,"!AMBIG",IFERROR(INDEX('Calculations'!$HF$13:$HF$512,MATCH('Calculations'!IE408,'Calculations'!$HE$13:$HE$512,0)),""))))</x:f>
      </x:c>
      <x:c r="IG408" t="str">
        <x:f>IF('Calculations'!IF408="","",IF('Calculations'!IF408="!AMBIG","!AMBIG",IF(COUNTIF('Calculations'!$HE$13:$HE$512,"="&amp;SUBSTITUTE(SUBSTITUTE(SUBSTITUTE('Calculations'!IF408,"~","~~"),"*","~*"),"?","~?"))&gt;1,"!AMBIG",IFERROR(INDEX('Calculations'!$HF$13:$HF$512,MATCH('Calculations'!IF408,'Calculations'!$HE$13:$HE$512,0)),""))))</x:f>
      </x:c>
      <x:c r="IH408" t="str">
        <x:f>IF('Calculations'!IG408="","",IF('Calculations'!IG408="!AMBIG","!AMBIG",IF(COUNTIF('Calculations'!$HE$13:$HE$512,"="&amp;SUBSTITUTE(SUBSTITUTE(SUBSTITUTE('Calculations'!IG408,"~","~~"),"*","~*"),"?","~?"))&gt;1,"!AMBIG",IFERROR(INDEX('Calculations'!$HF$13:$HF$512,MATCH('Calculations'!IG408,'Calculations'!$HE$13:$HE$512,0)),""))))</x:f>
      </x:c>
      <x:c r="II408" t="str">
        <x:f>IF('Calculations'!IH408="","",IF('Calculations'!IH408="!AMBIG","!AMBIG",IF(COUNTIF('Calculations'!$HE$13:$HE$512,"="&amp;SUBSTITUTE(SUBSTITUTE(SUBSTITUTE('Calculations'!IH408,"~","~~"),"*","~*"),"?","~?"))&gt;1,"!AMBIG",IFERROR(INDEX('Calculations'!$HF$13:$HF$512,MATCH('Calculations'!IH408,'Calculations'!$HE$13:$HE$512,0)),""))))</x:f>
      </x:c>
      <x:c r="IJ408" t="str">
        <x:f>IF('Calculations'!EM408="","",IF('Calculations'!$EF$2="All",'Calculations'!HM408,IF('Calculations'!HL408=1,"",IFERROR(IF(MATCH('Calculations'!$EF$2,'Calculations'!HO408:II408,0)=1,'Calculations'!HE408,INDEX('Calculations'!HO408:II408,1,MATCH('Calculations'!$EF$2,'Calculations'!HO408:II408,0)-1)),""))))</x:f>
      </x:c>
      <x:c r="IK408" t="n">
        <x:f>IF(AND('Calculations'!EM408&lt;&gt;"",'Calculations'!$EF$2&lt;&gt;"All",'Calculations'!HF408='Calculations'!$EF$2,'Calculations'!HL408=0,'Calculations'!JD408&gt;0),MAX('Calculations'!$IK$12:IK407)+1,0)</x:f>
        <x:v>0</x:v>
      </x:c>
      <x:c r="JA408" t="n">
        <x:f>IF(OR(IFERROR(INDIRECT("'WCM Calibration Final'!$A$408")&lt;&gt;"",FALSE),IFERROR(INDIRECT("'WCM Calibration Final'!$B$408")&lt;&gt;"",FALSE),IFERROR(INDIRECT("'WCM Calibration Final'!$C$408")&lt;&gt;"",FALSE)),408,0)</x:f>
        <x:v>0</x:v>
      </x:c>
      <x:c r="JB408" t="n">
        <x:f>'Calculations'!JB407+IF('Calculations'!JA408&gt;0,1,0)</x:f>
        <x:v>0</x:v>
      </x:c>
      <x:c r="JC408" t="n">
        <x:f>IF(OR('Calculations'!HF408="",'Calculations'!HF408="!AMBIG"),0,IF('Dashboard'!$B$7="All",1,COUNTIFS('Calculations'!$HO$13:$HO$512,"="&amp;SUBSTITUTE(SUBSTITUTE(SUBSTITUTE('Calculations'!HF408,"~","~~"),"*","~*"),"?","~?"),'Calculations'!$HN$13:$HN$512,"="&amp;SUBSTITUTE(SUBSTITUTE(SUBSTITUTE('Dashboard'!$B$7,"~","~~"),"*","~*"),"?","~?"))+COUNTIFS('Calculations'!$HP$13:$HP$512,"="&amp;SUBSTITUTE(SUBSTITUTE(SUBSTITUTE('Calculations'!HF408,"~","~~"),"*","~*"),"?","~?"),'Calculations'!$HN$13:$HN$512,"="&amp;SUBSTITUTE(SUBSTITUTE(SUBSTITUTE('Dashboard'!$B$7,"~","~~"),"*","~*"),"?","~?"))+COUNTIFS('Calculations'!$HQ$13:$HQ$512,"="&amp;SUBSTITUTE(SUBSTITUTE(SUBSTITUTE('Calculations'!HF408,"~","~~"),"*","~*"),"?","~?"),'Calculations'!$HN$13:$HN$512,"="&amp;SUBSTITUTE(SUBSTITUTE(SUBSTITUTE('Dashboard'!$B$7,"~","~~"),"*","~*"),"?","~?"))+COUNTIFS('Calculations'!$HR$13:$HR$512,"="&amp;SUBSTITUTE(SUBSTITUTE(SUBSTITUTE('Calculations'!HF408,"~","~~"),"*","~*"),"?","~?"),'Calculations'!$HN$13:$HN$512,"="&amp;SUBSTITUTE(SUBSTITUTE(SUBSTITUTE('Dashboard'!$B$7,"~","~~"),"*","~*"),"?","~?"))+COUNTIFS('Calculations'!$HS$13:$HS$512,"="&amp;SUBSTITUTE(SUBSTITUTE(SUBSTITUTE('Calculations'!HF408,"~","~~"),"*","~*"),"?","~?"),'Calculations'!$HN$13:$HN$512,"="&amp;SUBSTITUTE(SUBSTITUTE(SUBSTITUTE('Dashboard'!$B$7,"~","~~"),"*","~*"),"?","~?"))+COUNTIFS('Calculations'!$HT$13:$HT$512,"="&amp;SUBSTITUTE(SUBSTITUTE(SUBSTITUTE('Calculations'!HF408,"~","~~"),"*","~*"),"?","~?"),'Calculations'!$HN$13:$HN$512,"="&amp;SUBSTITUTE(SUBSTITUTE(SUBSTITUTE('Dashboard'!$B$7,"~","~~"),"*","~*"),"?","~?"))+COUNTIFS('Calculations'!$HU$13:$HU$512,"="&amp;SUBSTITUTE(SUBSTITUTE(SUBSTITUTE('Calculations'!HF408,"~","~~"),"*","~*"),"?","~?"),'Calculations'!$HN$13:$HN$512,"="&amp;SUBSTITUTE(SUBSTITUTE(SUBSTITUTE('Dashboard'!$B$7,"~","~~"),"*","~*"),"?","~?"))+COUNTIFS('Calculations'!$HV$13:$HV$512,"="&amp;SUBSTITUTE(SUBSTITUTE(SUBSTITUTE('Calculations'!HF408,"~","~~"),"*","~*"),"?","~?"),'Calculations'!$HN$13:$HN$512,"="&amp;SUBSTITUTE(SUBSTITUTE(SUBSTITUTE('Dashboard'!$B$7,"~","~~"),"*","~*"),"?","~?"))+COUNTIFS('Calculations'!$HW$13:$HW$512,"="&amp;SUBSTITUTE(SUBSTITUTE(SUBSTITUTE('Calculations'!HF408,"~","~~"),"*","~*"),"?","~?"),'Calculations'!$HN$13:$HN$512,"="&amp;SUBSTITUTE(SUBSTITUTE(SUBSTITUTE('Dashboard'!$B$7,"~","~~"),"*","~*"),"?","~?"))+COUNTIFS('Calculations'!$HX$13:$HX$512,"="&amp;SUBSTITUTE(SUBSTITUTE(SUBSTITUTE('Calculations'!HF408,"~","~~"),"*","~*"),"?","~?"),'Calculations'!$HN$13:$HN$512,"="&amp;SUBSTITUTE(SUBSTITUTE(SUBSTITUTE('Dashboard'!$B$7,"~","~~"),"*","~*"),"?","~?"))+COUNTIFS('Calculations'!$HY$13:$HY$512,"="&amp;SUBSTITUTE(SUBSTITUTE(SUBSTITUTE('Calculations'!HF408,"~","~~"),"*","~*"),"?","~?"),'Calculations'!$HN$13:$HN$512,"="&amp;SUBSTITUTE(SUBSTITUTE(SUBSTITUTE('Dashboard'!$B$7,"~","~~"),"*","~*"),"?","~?"))+COUNTIFS('Calculations'!$HZ$13:$HZ$512,"="&amp;SUBSTITUTE(SUBSTITUTE(SUBSTITUTE('Calculations'!HF408,"~","~~"),"*","~*"),"?","~?"),'Calculations'!$HN$13:$HN$512,"="&amp;SUBSTITUTE(SUBSTITUTE(SUBSTITUTE('Dashboard'!$B$7,"~","~~"),"*","~*"),"?","~?"))+COUNTIFS('Calculations'!$IA$13:$IA$512,"="&amp;SUBSTITUTE(SUBSTITUTE(SUBSTITUTE('Calculations'!HF408,"~","~~"),"*","~*"),"?","~?"),'Calculations'!$HN$13:$HN$512,"="&amp;SUBSTITUTE(SUBSTITUTE(SUBSTITUTE('Dashboard'!$B$7,"~","~~"),"*","~*"),"?","~?"))+COUNTIFS('Calculations'!$IB$13:$IB$512,"="&amp;SUBSTITUTE(SUBSTITUTE(SUBSTITUTE('Calculations'!HF408,"~","~~"),"*","~*"),"?","~?"),'Calculations'!$HN$13:$HN$512,"="&amp;SUBSTITUTE(SUBSTITUTE(SUBSTITUTE('Dashboard'!$B$7,"~","~~"),"*","~*"),"?","~?"))+COUNTIFS('Calculations'!$IC$13:$IC$512,"="&amp;SUBSTITUTE(SUBSTITUTE(SUBSTITUTE('Calculations'!HF408,"~","~~"),"*","~*"),"?","~?"),'Calculations'!$HN$13:$HN$512,"="&amp;SUBSTITUTE(SUBSTITUTE(SUBSTITUTE('Dashboard'!$B$7,"~","~~"),"*","~*"),"?","~?"))+COUNTIFS('Calculations'!$ID$13:$ID$512,"="&amp;SUBSTITUTE(SUBSTITUTE(SUBSTITUTE('Calculations'!HF408,"~","~~"),"*","~*"),"?","~?"),'Calculations'!$HN$13:$HN$512,"="&amp;SUBSTITUTE(SUBSTITUTE(SUBSTITUTE('Dashboard'!$B$7,"~","~~"),"*","~*"),"?","~?"))+COUNTIFS('Calculations'!$IE$13:$IE$512,"="&amp;SUBSTITUTE(SUBSTITUTE(SUBSTITUTE('Calculations'!HF408,"~","~~"),"*","~*"),"?","~?"),'Calculations'!$HN$13:$HN$512,"="&amp;SUBSTITUTE(SUBSTITUTE(SUBSTITUTE('Dashboard'!$B$7,"~","~~"),"*","~*"),"?","~?"))+COUNTIFS('Calculations'!$IF$13:$IF$512,"="&amp;SUBSTITUTE(SUBSTITUTE(SUBSTITUTE('Calculations'!HF408,"~","~~"),"*","~*"),"?","~?"),'Calculations'!$HN$13:$HN$512,"="&amp;SUBSTITUTE(SUBSTITUTE(SUBSTITUTE('Dashboard'!$B$7,"~","~~"),"*","~*"),"?","~?"))+COUNTIFS('Calculations'!$IG$13:$IG$512,"="&amp;SUBSTITUTE(SUBSTITUTE(SUBSTITUTE('Calculations'!HF408,"~","~~"),"*","~*"),"?","~?"),'Calculations'!$HN$13:$HN$512,"="&amp;SUBSTITUTE(SUBSTITUTE(SUBSTITUTE('Dashboard'!$B$7,"~","~~"),"*","~*"),"?","~?"))+COUNTIFS('Calculations'!$IH$13:$IH$512,"="&amp;SUBSTITUTE(SUBSTITUTE(SUBSTITUTE('Calculations'!HF408,"~","~~"),"*","~*"),"?","~?"),'Calculations'!$HN$13:$HN$512,"="&amp;SUBSTITUTE(SUBSTITUTE(SUBSTITUTE('Dashboard'!$B$7,"~","~~"),"*","~*"),"?","~?"))))</x:f>
        <x:v>0</x:v>
      </x:c>
      <x:c r="JD408" t="n">
        <x:f>IF('Calculations'!EM408="",0,IF('Dashboard'!$B$7="All",1,IF('Calculations'!HN408='Dashboard'!$B$7,1,0)+IFERROR(INDEX('Calculations'!$JC$13:$JC$512,MATCH('Calculations'!HE408,'Calculations'!$HF$13:$HF$512,0)),0)))</x:f>
        <x:v>0</x:v>
      </x:c>
      <x:c r="JE408" t="n">
        <x:f>IF(AND('Calculations'!EM408&lt;&gt;"",'Calculations'!$JJ$2&lt;&gt;"All",'Calculations'!$JJ$2&lt;&gt;"",'Calculations'!HF408='Calculations'!$JJ$2,'Calculations'!HL408=0,'Calculations'!JD408&gt;0),MAX('Calculations'!$JE$12:JE407)+1,0)</x:f>
        <x:v>0</x:v>
      </x:c>
      <x:c r="JF408" t="str">
        <x:f>IF('Calculations'!EM408="","",IFERROR(IF(INDEX(INDIRECT("'WCM Calibration Final'!$G$1:$G$2000"),'Calculations'!$EM408)="","",TRIM(INDEX(INDIRECT("'WCM Calibration Final'!$G$1:$G$2000"),'Calculations'!$EM408)&amp;"")),""))</x:f>
      </x:c>
      <x:c r="JQ408" t="n">
        <x:f>IF(OR('Calculations'!BM408=0,NOT('Calculations'!$AG$2),'Calculations'!$AG$8&gt;0),0,IF(OR('Dashboard'!$B$7="All",'Calculations'!HN408='Dashboard'!$B$7),IF('Calculations'!$JJ$2="All",1,IF(AND('Calculations'!HF408='Calculations'!$JJ$2,'Calculations'!HL408=0),1,0)),0))</x:f>
        <x:v>0</x:v>
      </x:c>
    </x:row>
    <x:row r="409">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t="n">
        <x:f>IF('Calculations'!$EM409="",0,IF(OR(IFERROR(INDEX(INDIRECT("'WCM Calibration Final'!$A$1:$A$2000"),'Calculations'!$EM409)&lt;&gt;"",FALSE),IFERROR(INDEX(INDIRECT("'WCM Calibration Final'!$B$1:$B$2000"),'Calculations'!$EM409)&lt;&gt;"",FALSE),IFERROR(INDEX(INDIRECT("'WCM Calibration Final'!$C$1:$C$2000"),'Calculations'!$EM409)&lt;&gt;"",FALSE)),1,0))</x:f>
        <x:v>0</x:v>
      </x:c>
      <x:c r="BN409" s="4" t="n">
        <x:f>IF(AND('Calculations'!BM409=1,'Calculations'!$AG$2,'Calculations'!$EN409=1),1,0)</x:f>
        <x:v>0</x:v>
      </x:c>
      <x:c r="BO409" s="4" t="str">
        <x:f>IF('Calculations'!BM409=0,"",IFERROR(IF(AND(VALUE(INDEX(INDIRECT("'WCM Calibration Final'!$K$1:$K$2000"),'Calculations'!$EM409))&gt;=1,VALUE(INDEX(INDIRECT("'WCM Calibration Final'!$K$1:$K$2000"),'Calculations'!$EM409))&lt;=4,MOD(VALUE(INDEX(INDIRECT("'WCM Calibration Final'!$K$1:$K$2000"),'Calculations'!$EM409)),1)=0),VALUE(INDEX(INDIRECT("'WCM Calibration Final'!$K$1:$K$2000"),'Calculations'!$EM409)),""),""))</x:f>
      </x:c>
      <x:c r="BP409" s="4" t="str">
        <x:f>IF('Calculations'!BM409=0,"",IFERROR(IF(AND(VALUE(INDEX(INDIRECT("'WCM Calibration Final'!$L$1:$L$2000"),'Calculations'!$EM409))&gt;=1,VALUE(INDEX(INDIRECT("'WCM Calibration Final'!$L$1:$L$2000"),'Calculations'!$EM409))&lt;=4,MOD(VALUE(INDEX(INDIRECT("'WCM Calibration Final'!$L$1:$L$2000"),'Calculations'!$EM409)),1)=0),VALUE(INDEX(INDIRECT("'WCM Calibration Final'!$L$1:$L$2000"),'Calculations'!$EM409)),""),""))</x:f>
      </x:c>
      <x:c r="BQ409" s="4"/>
      <x:c r="BR409" s="4"/>
      <x:c r="BS409" s="4"/>
      <x:c r="BT409" s="4" t="n">
        <x:f>IF(AND('Calculations'!BM409=1,ISNUMBER('Calculations'!BO409),ISNUMBER('Calculations'!BP409)),1,0)</x:f>
        <x:v>0</x:v>
      </x:c>
      <x:c r="BU409" s="4" t="str">
        <x:f>IF('Calculations'!BM409=0,"",'Calculations'!$EO409)</x:f>
      </x:c>
      <x:c r="BV409" s="4" t="str">
        <x:f>IF('Calculations'!BM409=0,"",IFERROR(IF(OR(INDEX(INDIRECT("'WCM Calibration Final'!$H$1:$H$2000"),'Calculations'!$EM409)="MANAGING DIRECTOR",INDEX(INDIRECT("'WCM Calibration Final'!$H$1:$H$2000"),'Calculations'!$EM409)="DIRECTOR",INDEX(INDIRECT("'WCM Calibration Final'!$H$1:$H$2000"),'Calculations'!$EM409)="SENIOR VICE PRESIDENT",INDEX(INDIRECT("'WCM Calibration Final'!$H$1:$H$2000"),'Calculations'!$EM409)="VICE PRESIDENT",INDEX(INDIRECT("'WCM Calibration Final'!$H$1:$H$2000"),'Calculations'!$EM409)="ASSISTANT VICE PRESIDENT",INDEX(INDIRECT("'WCM Calibration Final'!$H$1:$H$2000"),'Calculations'!$EM409)="OFFICER"),UPPER(INDEX(INDIRECT("'WCM Calibration Final'!$H$1:$H$2000"),'Calculations'!$EM409)),"Other"),"Other"))</x:f>
      </x:c>
      <x:c r="BW409" s="4"/>
      <x:c r="BX409" s="4"/>
      <x:c r="BY409" s="4" t="n">
        <x:f>IF(AND('Calculations'!BM409=1,'Calculations'!BU409&lt;&gt;"",COUNTIF('Calculations'!$BU$12:BU409,'Calculations'!BU409)=1),MAX('Calculations'!$BY$11:BY408)+1,0)</x:f>
        <x:v>0</x:v>
      </x:c>
      <x:c r="BZ409" s="4" t="str">
        <x:f>IF('Dashboard'!$E$67="What",'Calculations'!BO409,'Calculations'!BP409)</x:f>
      </x:c>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t="str">
        <x:f>IF(398&gt;MAX('Calculations'!$HI$13:$HI$512),"",INDEX('Calculations'!$HN$13:$HN$512,MATCH(398,'Calculations'!$HI$13:$HI$512,0)))</x:f>
      </x:c>
      <x:c r="DB409" s="4" t="str">
        <x:f>IF(398&gt;MAX('Calculations'!$HH$13:$HH$512),"",INDEX('Calculations'!$HJ$13:$HJ$512,MATCH(398,'Calculations'!$HH$13:$HH$512,0)))</x:f>
      </x:c>
      <x:c r="DC409" s="4" t="str">
        <x:f>IF(ROW()-11&gt;MAX('Calculations'!$BY$13:$BY$512),"",INDEX('Calculations'!$BU$13:$BU$512,MATCH(ROW()-11,'Calculations'!$BY$13:$BY$512,0)))</x:f>
      </x:c>
      <x:c r="DD409" s="4" t="str">
        <x:f>IF(398&gt;MAX('Calculations'!$IK$13:$IK$512),"",INDEX('Calculations'!$HK$13:$HK$512,MATCH(398,'Calculations'!$IK$13:$IK$512,0)))</x:f>
      </x:c>
      <x:c r="DE409" s="4" t="str">
        <x:f>'Calculations'!DC409</x:f>
      </x:c>
      <x:c r="DF409" s="4" t="str">
        <x:f>IF('Calculations'!DE409="","",COUNTIFS('Calculations'!$BN$13:$BN$512,1,'Calculations'!$BU$13:$BU$512,'Calculations'!DE409))</x:f>
      </x:c>
      <x:c r="DG409" s="4" t="str">
        <x:f>IF('Calculations'!DE409="","",COUNTIFS('Calculations'!$BN$13:$BN$512,1,'Calculations'!$BU$13:$BU$512,'Calculations'!DE409,'Calculations'!$BT$13:$BT$512,1))</x:f>
      </x:c>
      <x:c r="DH409" s="4" t="str">
        <x:f>IF('Calculations'!DE409="","",'Calculations'!DF409-'Calculations'!DG409)</x:f>
      </x:c>
      <x:c r="DI409" s="4" t="str">
        <x:f>IF(OR('Calculations'!DE409="",'Calculations'!DF409=0),"",'Calculations'!DG409/'Calculations'!DF409)</x:f>
      </x:c>
      <x:c r="DJ409" s="4" t="str">
        <x:f>IF('Calculations'!DE409="","",COUNTIFS('Calculations'!$BN$13:$BN$512,1,'Calculations'!$BU$13:$BU$512,'Calculations'!DE409,'Calculations'!$BT$13:$BT$512,1,'Calculations'!$EE$13:$EE$512,"High"))</x:f>
      </x:c>
      <x:c r="DK409" s="4" t="str">
        <x:f>IF('Calculations'!DE409="","",COUNTIFS('Calculations'!$BN$13:$BN$512,1,'Calculations'!$BU$13:$BU$512,'Calculations'!DE409,'Calculations'!$BT$13:$BT$512,1,'Calculations'!$EE$13:$EE$512,"Strong"))</x:f>
      </x:c>
      <x:c r="DL409" s="4" t="str">
        <x:f>IF('Calculations'!DE409="","",COUNTIFS('Calculations'!$BN$13:$BN$512,1,'Calculations'!$BU$13:$BU$512,'Calculations'!DE409,'Calculations'!$BT$13:$BT$512,1,'Calculations'!$EE$13:$EE$512,"Solid"))</x:f>
      </x:c>
      <x:c r="DM409" s="4" t="str">
        <x:f>IF('Calculations'!DE409="","",COUNTIFS('Calculations'!$BN$13:$BN$512,1,'Calculations'!$BU$13:$BU$512,'Calculations'!DE409,'Calculations'!$BT$13:$BT$512,1,'Calculations'!$EE$13:$EE$512,"Low"))</x:f>
      </x:c>
      <x:c r="DN409" s="4" t="str">
        <x:f>IF('Calculations'!DE409="","",COUNTIFS('Calculations'!$BN$13:$BN$512,1,'Calculations'!$BU$13:$BU$512,'Calculations'!DE409,'Calculations'!$EP$13:$EP$512,1))</x:f>
      </x:c>
      <x:c r="DO409" s="4" t="str">
        <x:f>IF(OR('Calculations'!DE409="",'Calculations'!DG409=0),"",('Calculations'!DJ409+'Calculations'!DK409)/'Calculations'!DG409)</x:f>
      </x:c>
      <x:c r="DP409" s="4" t="n">
        <x:f>IF(AND('Calculations'!DE409&lt;&gt;"",'Calculations'!DF409&gt;0),COUNTIF('Calculations'!$DF$12:DF409,"&gt;0"),0)</x:f>
        <x:v>0</x:v>
      </x:c>
      <x:c r="DQ409" s="4" t="str">
        <x:f>IF(398&gt;MAX('Calculations'!$HH$13:$HH$512),"",INDEX('Calculations'!$HF$13:$HF$512,MATCH(398,'Calculations'!$HH$13:$HH$512,0)))</x:f>
      </x:c>
      <x:c r="DR409" s="4" t="str">
        <x:f>IF(398&gt;MAX('Calculations'!$IK$13:$IK$512),"",INDEX('Calculations'!$HE$13:$HE$512,MATCH(398,'Calculations'!$IK$13:$IK$512,0)))</x:f>
      </x:c>
      <x:c r="DS409" s="4"/>
      <x:c r="DT409" s="4"/>
      <x:c r="DU409" s="4"/>
      <x:c r="DV409" s="4"/>
      <x:c r="DW409" s="4"/>
      <x:c r="DX409" s="4"/>
      <x:c r="DY409" s="4"/>
      <x:c r="DZ409" s="4"/>
      <x:c r="EA409" s="4"/>
      <x:c r="EB409" s="4"/>
      <x:c r="EC409" s="4"/>
      <x:c r="ED409" s="4"/>
      <x:c r="EE409" s="4" t="str">
        <x:f>IF('Calculations'!BT409=0,"Not Rated",IF(OR('Calculations'!BO409&gt;=4,'Calculations'!BP409&gt;=4),"Low",IF('Calculations'!BO409+'Calculations'!BP409&lt;=3,"High",IF('Calculations'!BO409+'Calculations'!BP409&lt;=4,"Strong","Solid"))))</x:f>
        <x:v>Not Rated</x:v>
      </x:c>
      <x:c r="EF409" s="4"/>
      <x:c r="EG409" s="4"/>
      <x:c r="EH409" s="4"/>
      <x:c r="EI409" s="4"/>
      <x:c r="EJ409" s="4"/>
      <x:c r="EK409" s="4"/>
      <x:c r="EL409" s="4"/>
      <x:c r="EM409" s="4" t="str">
        <x:f>IF(397&gt;'Calculations'!$JB$2000,"",INDEX('Calculations'!$JA$12:$JA$2000,MATCH(397,'Calculations'!$JB$12:$JB$2000,0)))</x:f>
      </x:c>
      <x:c r="EN409" s="4" t="n">
        <x:f>IF(OR('Calculations'!EM409="",'Calculations'!$AG$8&gt;0,AND('Calculations'!$EF$2&lt;&gt;"All",'Calculations'!HE409='Calculations'!$EF$2),AND('Calculations'!$EF$3&lt;&gt;"All",'Calculations'!HE409='Calculations'!$EF$3)),0,IF(OR('Dashboard'!$B$7="All",'Calculations'!HN409='Dashboard'!$B$7),IF('Calculations'!$EF$2="All",1,IF('Calculations'!HL409&gt;0,0,IF(COUNTIF('Calculations'!HO409:II409,"="&amp;SUBSTITUTE(SUBSTITUTE(SUBSTITUTE('Calculations'!$EF$2,"~","~~"),"*","~*"),"?","~?"))=0,0,IF('Calculations'!$EF$3="All",1,IF(COUNTIF('Calculations'!HO409:II409,"="&amp;SUBSTITUTE(SUBSTITUTE(SUBSTITUTE('Calculations'!$EF$3,"~","~~"),"*","~*"),"?","~?"))&gt;0,1,0))))),0))</x:f>
        <x:v>0</x:v>
      </x:c>
      <x:c r="EO409" s="4" t="str">
        <x:f>IF('Calculations'!IJ409="","",IF('Calculations'!IJ409="!UNRESOLVED","Unresolved hierarchy",IFERROR(INDEX('Calculations'!$HK$13:$HK$512,MATCH('Calculations'!IJ409,'Calculations'!$HE$13:$HE$512,0)),IFERROR(INDEX('Calculations'!$HJ$13:$HJ$512,MATCH('Calculations'!IJ409,'Calculations'!$HF$13:$HF$512,0)),'Calculations'!IJ409))))</x:f>
      </x:c>
      <x:c r="EP409" s="4" t="n">
        <x:f>IF(AND('Calculations'!EM409&lt;&gt;"",'Calculations'!HF409='Calculations'!IJ409),1,0)</x:f>
        <x:v>0</x:v>
      </x:c>
      <x:c r="EQ409" s="4"/>
      <x:c r="ER409" s="4"/>
      <x:c r="ES409" s="4"/>
      <x:c r="ET409" s="4"/>
      <x:c r="EU409" s="4"/>
      <x:c r="EV409" s="4"/>
      <x:c r="EW409" s="4"/>
      <x:c r="EX409" s="4"/>
      <x:c r="EY409" s="4"/>
      <x:c r="EZ409" s="4"/>
      <x:c r="FA409" s="4"/>
      <x:c r="FB409" s="4"/>
      <x:c r="FC409" s="4"/>
      <x:c r="FD409" s="4"/>
      <x:c r="FE409" s="4"/>
      <x:c r="FF409" s="4"/>
      <x:c r="FG409" s="4"/>
      <x:c r="FH409" s="4"/>
      <x:c r="FI409" s="4"/>
      <x:c r="FJ409" s="4"/>
      <x:c r="FK409" s="4"/>
      <x:c r="FL409" s="4"/>
      <x:c r="FM409" s="4"/>
      <x:c r="FN409" s="4"/>
      <x:c r="FO409" s="4"/>
      <x:c r="HE409" t="str">
        <x:f>IF('Calculations'!EM409="","",IF(IFERROR(IF(INDEX(INDIRECT("'WCM Calibration Final'!$A$1:$A$2000"),'Calculations'!$EM409)="","",TRIM(INDEX(INDIRECT("'WCM Calibration Final'!$A$1:$A$2000"),'Calculations'!$EM409)&amp;"")),"")&lt;&gt;"","G:"&amp;IFERROR(TEXT(1*INDEX(INDIRECT("'WCM Calibration Final'!$A$1:$A$2000"),'Calculations'!$EM409),"0"),UPPER(IFERROR(IF(INDEX(INDIRECT("'WCM Calibration Final'!$A$1:$A$2000"),'Calculations'!$EM409)="","",TRIM(INDEX(INDIRECT("'WCM Calibration Final'!$A$1:$A$2000"),'Calculations'!$EM409)&amp;"")),""))),IF(IFERROR(IF(INDEX(INDIRECT("'WCM Calibration Final'!$C$1:$C$2000"),'Calculations'!$EM409)="","",TRIM(INDEX(INDIRECT("'WCM Calibration Final'!$C$1:$C$2000"),'Calculations'!$EM409)&amp;"")),"")&lt;&gt;"","S:"&amp;UPPER(IFERROR(IF(INDEX(INDIRECT("'WCM Calibration Final'!$C$1:$C$2000"),'Calculations'!$EM409)="","",TRIM(INDEX(INDIRECT("'WCM Calibration Final'!$C$1:$C$2000"),'Calculations'!$EM409)&amp;"")),"")),"R:"&amp;'Calculations'!EM409)))</x:f>
      </x:c>
      <x:c r="HF409" t="str">
        <x:f>IF('Calculations'!EM409="","",IF(IFERROR(IF(INDEX(INDIRECT("'WCM Calibration Final'!$D$1:$D$2000"),'Calculations'!$EM409)="","",TRIM(INDEX(INDIRECT("'WCM Calibration Final'!$D$1:$D$2000"),'Calculations'!$EM409)&amp;"")),"")&lt;&gt;"","G:"&amp;IFERROR(TEXT(1*INDEX(INDIRECT("'WCM Calibration Final'!$D$1:$D$2000"),'Calculations'!$EM409),"0"),UPPER(IFERROR(IF(INDEX(INDIRECT("'WCM Calibration Final'!$D$1:$D$2000"),'Calculations'!$EM409)="","",TRIM(INDEX(INDIRECT("'WCM Calibration Final'!$D$1:$D$2000"),'Calculations'!$EM409)&amp;"")),""))),IF(IFERROR(IF(INDEX(INDIRECT("'WCM Calibration Final'!$E$1:$E$2000"),'Calculations'!$EM409)="","",TRIM(INDEX(INDIRECT("'WCM Calibration Final'!$E$1:$E$2000"),'Calculations'!$EM409)&amp;"")),"")="","",IF(COUNTIF('Calculations'!$HG$13:$HG$512,"="&amp;SUBSTITUTE(SUBSTITUTE(SUBSTITUTE(IFERROR(IF(INDEX(INDIRECT("'WCM Calibration Final'!$E$1:$E$2000"),'Calculations'!$EM409)="","",TRIM(INDEX(INDIRECT("'WCM Calibration Final'!$E$1:$E$2000"),'Calculations'!$EM409)&amp;"")),""),"~","~~"),"*","~*"),"?","~?"))=1,INDEX('Calculations'!$HE$13:$HE$512,MATCH(IFERROR(IF(INDEX(INDIRECT("'WCM Calibration Final'!$E$1:$E$2000"),'Calculations'!$EM409)="","",TRIM(INDEX(INDIRECT("'WCM Calibration Final'!$E$1:$E$2000"),'Calculations'!$EM409)&amp;"")),""),'Calculations'!$HG$13:$HG$512,0)),IF(COUNTIF('Calculations'!$HG$13:$HG$512,"="&amp;SUBSTITUTE(SUBSTITUTE(SUBSTITUTE(IFERROR(IF(INDEX(INDIRECT("'WCM Calibration Final'!$E$1:$E$2000"),'Calculations'!$EM409)="","",TRIM(INDEX(INDIRECT("'WCM Calibration Final'!$E$1:$E$2000"),'Calculations'!$EM409)&amp;"")),""),"~","~~"),"*","~*"),"?","~?"))&gt;1,"!AMBIG","X:"&amp;IFERROR(IF(INDEX(INDIRECT("'WCM Calibration Final'!$E$1:$E$2000"),'Calculations'!$EM409)="","",TRIM(INDEX(INDIRECT("'WCM Calibration Final'!$E$1:$E$2000"),'Calculations'!$EM409)&amp;"")),""))))))</x:f>
      </x:c>
      <x:c r="HG409" t="str">
        <x:f>IF('Calculations'!EM409="","",IFERROR(IF(INDEX(INDIRECT("'WCM Calibration Final'!$B$1:$B$2000"),'Calculations'!$EM409)="","",TRIM(INDEX(INDIRECT("'WCM Calibration Final'!$B$1:$B$2000"),'Calculations'!$EM409)&amp;"")),""))</x:f>
      </x:c>
      <x:c r="HH409" t="n">
        <x:f>IF(AND('Calculations'!JC409&gt;0,COUNTIF('Calculations'!$HF$12:HF409,"="&amp;SUBSTITUTE(SUBSTITUTE(SUBSTITUTE('Calculations'!HF409,"~","~~"),"*","~*"),"?","~?"))=1),MAX('Calculations'!$HH$12:HH408)+1,0)</x:f>
        <x:v>0</x:v>
      </x:c>
      <x:c r="HI409" t="n">
        <x:f>IF(AND('Calculations'!HN409&lt;&gt;"",COUNTIF('Calculations'!$HN$12:HN409,"="&amp;SUBSTITUTE(SUBSTITUTE(SUBSTITUTE('Calculations'!HN409,"~","~~"),"*","~*"),"?","~?"))=1),MAX('Calculations'!$HI$12:HI408)+1,0)</x:f>
        <x:v>0</x:v>
      </x:c>
      <x:c r="HJ409" t="str">
        <x:f>IF('Calculations'!HF409="","",IF(COUNTIF('Calculations'!$HE$13:$HE$512,"="&amp;SUBSTITUTE(SUBSTITUTE(SUBSTITUTE('Calculations'!HF409,"~","~~"),"*","~*"),"?","~?"))=1,INDEX('Calculations'!$HK$13:$HK$512,MATCH('Calculations'!HF409,'Calculations'!$HE$13:$HE$512,0)),IFERROR(IF(INDEX(INDIRECT("'WCM Calibration Final'!$E$1:$E$2000"),'Calculations'!$EM409)="","",TRIM(INDEX(INDIRECT("'WCM Calibration Final'!$E$1:$E$2000"),'Calculations'!$EM409)&amp;"")),"")&amp;" ["&amp;'Calculations'!HF409&amp;"]"))</x:f>
      </x:c>
      <x:c r="HK409" t="str">
        <x:f>IF('Calculations'!EM409="","",'Calculations'!HG409&amp;" ["&amp;'Calculations'!HE409&amp;"]")</x:f>
      </x:c>
      <x:c r="HL409" t="n">
        <x:f>IF('Calculations'!EM409="",0,IF(OR('Calculations'!II409&lt;&gt;"",COUNTIF('Calculations'!$HE$13:$HE$512,"="&amp;SUBSTITUTE(SUBSTITUTE(SUBSTITUTE('Calculations'!HE409,"~","~~"),"*","~*"),"?","~?"))&gt;1),1,0))</x:f>
        <x:v>0</x:v>
      </x:c>
      <x:c r="HM409" t="str">
        <x:f>IF('Calculations'!EM409="","",IF('Calculations'!HL409=1,"!UNRESOLVED",IF('Calculations'!IH409&lt;&gt;"",'Calculations'!IH409,IF('Calculations'!IG409&lt;&gt;"",'Calculations'!IG409,IF('Calculations'!IF409&lt;&gt;"",'Calculations'!IF409,IF('Calculations'!IE409&lt;&gt;"",'Calculations'!IE409,IF('Calculations'!ID409&lt;&gt;"",'Calculations'!ID409,IF('Calculations'!IC409&lt;&gt;"",'Calculations'!IC409,IF('Calculations'!IB409&lt;&gt;"",'Calculations'!IB409,IF('Calculations'!IA409&lt;&gt;"",'Calculations'!IA409,IF('Calculations'!HZ409&lt;&gt;"",'Calculations'!HZ409,IF('Calculations'!HY409&lt;&gt;"",'Calculations'!HY409,IF('Calculations'!HX409&lt;&gt;"",'Calculations'!HX409,IF('Calculations'!HW409&lt;&gt;"",'Calculations'!HW409,IF('Calculations'!HV409&lt;&gt;"",'Calculations'!HV409,IF('Calculations'!HU409&lt;&gt;"",'Calculations'!HU409,IF('Calculations'!HT409&lt;&gt;"",'Calculations'!HT409,IF('Calculations'!HS409&lt;&gt;"",'Calculations'!HS409,IF('Calculations'!HR409&lt;&gt;"",'Calculations'!HR409,IF('Calculations'!HQ409&lt;&gt;"",'Calculations'!HQ409,IF('Calculations'!HP409&lt;&gt;"",'Calculations'!HP409,IF('Calculations'!HO409&lt;&gt;"",'Calculations'!HO409,'Calculations'!HE409))))))))))))))))))))))</x:f>
      </x:c>
      <x:c r="HN409" t="str">
        <x:f>IF('Calculations'!EM409="","",IF(IFERROR(IF(INDEX(INDIRECT("'WCM Calibration Final'!$F$1:$F$2000"),'Calculations'!$EM409)="","",TRIM(INDEX(INDIRECT("'WCM Calibration Final'!$F$1:$F$2000"),'Calculations'!$EM409)&amp;"")),"")="","(Blank)",IFERROR(IF(INDEX(INDIRECT("'WCM Calibration Final'!$F$1:$F$2000"),'Calculations'!$EM409)="","",TRIM(INDEX(INDIRECT("'WCM Calibration Final'!$F$1:$F$2000"),'Calculations'!$EM409)&amp;"")),"")))</x:f>
      </x:c>
      <x:c r="HO409" t="str">
        <x:f>'Calculations'!HF409</x:f>
      </x:c>
      <x:c r="HP409" t="str">
        <x:f>IF('Calculations'!HO409="","",IF('Calculations'!HO409="!AMBIG","!AMBIG",IF(COUNTIF('Calculations'!$HE$13:$HE$512,"="&amp;SUBSTITUTE(SUBSTITUTE(SUBSTITUTE('Calculations'!HO409,"~","~~"),"*","~*"),"?","~?"))&gt;1,"!AMBIG",IFERROR(INDEX('Calculations'!$HF$13:$HF$512,MATCH('Calculations'!HO409,'Calculations'!$HE$13:$HE$512,0)),""))))</x:f>
      </x:c>
      <x:c r="HQ409" t="str">
        <x:f>IF('Calculations'!HP409="","",IF('Calculations'!HP409="!AMBIG","!AMBIG",IF(COUNTIF('Calculations'!$HE$13:$HE$512,"="&amp;SUBSTITUTE(SUBSTITUTE(SUBSTITUTE('Calculations'!HP409,"~","~~"),"*","~*"),"?","~?"))&gt;1,"!AMBIG",IFERROR(INDEX('Calculations'!$HF$13:$HF$512,MATCH('Calculations'!HP409,'Calculations'!$HE$13:$HE$512,0)),""))))</x:f>
      </x:c>
      <x:c r="HR409" t="str">
        <x:f>IF('Calculations'!HQ409="","",IF('Calculations'!HQ409="!AMBIG","!AMBIG",IF(COUNTIF('Calculations'!$HE$13:$HE$512,"="&amp;SUBSTITUTE(SUBSTITUTE(SUBSTITUTE('Calculations'!HQ409,"~","~~"),"*","~*"),"?","~?"))&gt;1,"!AMBIG",IFERROR(INDEX('Calculations'!$HF$13:$HF$512,MATCH('Calculations'!HQ409,'Calculations'!$HE$13:$HE$512,0)),""))))</x:f>
      </x:c>
      <x:c r="HS409" t="str">
        <x:f>IF('Calculations'!HR409="","",IF('Calculations'!HR409="!AMBIG","!AMBIG",IF(COUNTIF('Calculations'!$HE$13:$HE$512,"="&amp;SUBSTITUTE(SUBSTITUTE(SUBSTITUTE('Calculations'!HR409,"~","~~"),"*","~*"),"?","~?"))&gt;1,"!AMBIG",IFERROR(INDEX('Calculations'!$HF$13:$HF$512,MATCH('Calculations'!HR409,'Calculations'!$HE$13:$HE$512,0)),""))))</x:f>
      </x:c>
      <x:c r="HT409" t="str">
        <x:f>IF('Calculations'!HS409="","",IF('Calculations'!HS409="!AMBIG","!AMBIG",IF(COUNTIF('Calculations'!$HE$13:$HE$512,"="&amp;SUBSTITUTE(SUBSTITUTE(SUBSTITUTE('Calculations'!HS409,"~","~~"),"*","~*"),"?","~?"))&gt;1,"!AMBIG",IFERROR(INDEX('Calculations'!$HF$13:$HF$512,MATCH('Calculations'!HS409,'Calculations'!$HE$13:$HE$512,0)),""))))</x:f>
      </x:c>
      <x:c r="HU409" t="str">
        <x:f>IF('Calculations'!HT409="","",IF('Calculations'!HT409="!AMBIG","!AMBIG",IF(COUNTIF('Calculations'!$HE$13:$HE$512,"="&amp;SUBSTITUTE(SUBSTITUTE(SUBSTITUTE('Calculations'!HT409,"~","~~"),"*","~*"),"?","~?"))&gt;1,"!AMBIG",IFERROR(INDEX('Calculations'!$HF$13:$HF$512,MATCH('Calculations'!HT409,'Calculations'!$HE$13:$HE$512,0)),""))))</x:f>
      </x:c>
      <x:c r="HV409" t="str">
        <x:f>IF('Calculations'!HU409="","",IF('Calculations'!HU409="!AMBIG","!AMBIG",IF(COUNTIF('Calculations'!$HE$13:$HE$512,"="&amp;SUBSTITUTE(SUBSTITUTE(SUBSTITUTE('Calculations'!HU409,"~","~~"),"*","~*"),"?","~?"))&gt;1,"!AMBIG",IFERROR(INDEX('Calculations'!$HF$13:$HF$512,MATCH('Calculations'!HU409,'Calculations'!$HE$13:$HE$512,0)),""))))</x:f>
      </x:c>
      <x:c r="HW409" t="str">
        <x:f>IF('Calculations'!HV409="","",IF('Calculations'!HV409="!AMBIG","!AMBIG",IF(COUNTIF('Calculations'!$HE$13:$HE$512,"="&amp;SUBSTITUTE(SUBSTITUTE(SUBSTITUTE('Calculations'!HV409,"~","~~"),"*","~*"),"?","~?"))&gt;1,"!AMBIG",IFERROR(INDEX('Calculations'!$HF$13:$HF$512,MATCH('Calculations'!HV409,'Calculations'!$HE$13:$HE$512,0)),""))))</x:f>
      </x:c>
      <x:c r="HX409" t="str">
        <x:f>IF('Calculations'!HW409="","",IF('Calculations'!HW409="!AMBIG","!AMBIG",IF(COUNTIF('Calculations'!$HE$13:$HE$512,"="&amp;SUBSTITUTE(SUBSTITUTE(SUBSTITUTE('Calculations'!HW409,"~","~~"),"*","~*"),"?","~?"))&gt;1,"!AMBIG",IFERROR(INDEX('Calculations'!$HF$13:$HF$512,MATCH('Calculations'!HW409,'Calculations'!$HE$13:$HE$512,0)),""))))</x:f>
      </x:c>
      <x:c r="HY409" t="str">
        <x:f>IF('Calculations'!HX409="","",IF('Calculations'!HX409="!AMBIG","!AMBIG",IF(COUNTIF('Calculations'!$HE$13:$HE$512,"="&amp;SUBSTITUTE(SUBSTITUTE(SUBSTITUTE('Calculations'!HX409,"~","~~"),"*","~*"),"?","~?"))&gt;1,"!AMBIG",IFERROR(INDEX('Calculations'!$HF$13:$HF$512,MATCH('Calculations'!HX409,'Calculations'!$HE$13:$HE$512,0)),""))))</x:f>
      </x:c>
      <x:c r="HZ409" t="str">
        <x:f>IF('Calculations'!HY409="","",IF('Calculations'!HY409="!AMBIG","!AMBIG",IF(COUNTIF('Calculations'!$HE$13:$HE$512,"="&amp;SUBSTITUTE(SUBSTITUTE(SUBSTITUTE('Calculations'!HY409,"~","~~"),"*","~*"),"?","~?"))&gt;1,"!AMBIG",IFERROR(INDEX('Calculations'!$HF$13:$HF$512,MATCH('Calculations'!HY409,'Calculations'!$HE$13:$HE$512,0)),""))))</x:f>
      </x:c>
      <x:c r="IA409" t="str">
        <x:f>IF('Calculations'!HZ409="","",IF('Calculations'!HZ409="!AMBIG","!AMBIG",IF(COUNTIF('Calculations'!$HE$13:$HE$512,"="&amp;SUBSTITUTE(SUBSTITUTE(SUBSTITUTE('Calculations'!HZ409,"~","~~"),"*","~*"),"?","~?"))&gt;1,"!AMBIG",IFERROR(INDEX('Calculations'!$HF$13:$HF$512,MATCH('Calculations'!HZ409,'Calculations'!$HE$13:$HE$512,0)),""))))</x:f>
      </x:c>
      <x:c r="IB409" t="str">
        <x:f>IF('Calculations'!IA409="","",IF('Calculations'!IA409="!AMBIG","!AMBIG",IF(COUNTIF('Calculations'!$HE$13:$HE$512,"="&amp;SUBSTITUTE(SUBSTITUTE(SUBSTITUTE('Calculations'!IA409,"~","~~"),"*","~*"),"?","~?"))&gt;1,"!AMBIG",IFERROR(INDEX('Calculations'!$HF$13:$HF$512,MATCH('Calculations'!IA409,'Calculations'!$HE$13:$HE$512,0)),""))))</x:f>
      </x:c>
      <x:c r="IC409" t="str">
        <x:f>IF('Calculations'!IB409="","",IF('Calculations'!IB409="!AMBIG","!AMBIG",IF(COUNTIF('Calculations'!$HE$13:$HE$512,"="&amp;SUBSTITUTE(SUBSTITUTE(SUBSTITUTE('Calculations'!IB409,"~","~~"),"*","~*"),"?","~?"))&gt;1,"!AMBIG",IFERROR(INDEX('Calculations'!$HF$13:$HF$512,MATCH('Calculations'!IB409,'Calculations'!$HE$13:$HE$512,0)),""))))</x:f>
      </x:c>
      <x:c r="ID409" t="str">
        <x:f>IF('Calculations'!IC409="","",IF('Calculations'!IC409="!AMBIG","!AMBIG",IF(COUNTIF('Calculations'!$HE$13:$HE$512,"="&amp;SUBSTITUTE(SUBSTITUTE(SUBSTITUTE('Calculations'!IC409,"~","~~"),"*","~*"),"?","~?"))&gt;1,"!AMBIG",IFERROR(INDEX('Calculations'!$HF$13:$HF$512,MATCH('Calculations'!IC409,'Calculations'!$HE$13:$HE$512,0)),""))))</x:f>
      </x:c>
      <x:c r="IE409" t="str">
        <x:f>IF('Calculations'!ID409="","",IF('Calculations'!ID409="!AMBIG","!AMBIG",IF(COUNTIF('Calculations'!$HE$13:$HE$512,"="&amp;SUBSTITUTE(SUBSTITUTE(SUBSTITUTE('Calculations'!ID409,"~","~~"),"*","~*"),"?","~?"))&gt;1,"!AMBIG",IFERROR(INDEX('Calculations'!$HF$13:$HF$512,MATCH('Calculations'!ID409,'Calculations'!$HE$13:$HE$512,0)),""))))</x:f>
      </x:c>
      <x:c r="IF409" t="str">
        <x:f>IF('Calculations'!IE409="","",IF('Calculations'!IE409="!AMBIG","!AMBIG",IF(COUNTIF('Calculations'!$HE$13:$HE$512,"="&amp;SUBSTITUTE(SUBSTITUTE(SUBSTITUTE('Calculations'!IE409,"~","~~"),"*","~*"),"?","~?"))&gt;1,"!AMBIG",IFERROR(INDEX('Calculations'!$HF$13:$HF$512,MATCH('Calculations'!IE409,'Calculations'!$HE$13:$HE$512,0)),""))))</x:f>
      </x:c>
      <x:c r="IG409" t="str">
        <x:f>IF('Calculations'!IF409="","",IF('Calculations'!IF409="!AMBIG","!AMBIG",IF(COUNTIF('Calculations'!$HE$13:$HE$512,"="&amp;SUBSTITUTE(SUBSTITUTE(SUBSTITUTE('Calculations'!IF409,"~","~~"),"*","~*"),"?","~?"))&gt;1,"!AMBIG",IFERROR(INDEX('Calculations'!$HF$13:$HF$512,MATCH('Calculations'!IF409,'Calculations'!$HE$13:$HE$512,0)),""))))</x:f>
      </x:c>
      <x:c r="IH409" t="str">
        <x:f>IF('Calculations'!IG409="","",IF('Calculations'!IG409="!AMBIG","!AMBIG",IF(COUNTIF('Calculations'!$HE$13:$HE$512,"="&amp;SUBSTITUTE(SUBSTITUTE(SUBSTITUTE('Calculations'!IG409,"~","~~"),"*","~*"),"?","~?"))&gt;1,"!AMBIG",IFERROR(INDEX('Calculations'!$HF$13:$HF$512,MATCH('Calculations'!IG409,'Calculations'!$HE$13:$HE$512,0)),""))))</x:f>
      </x:c>
      <x:c r="II409" t="str">
        <x:f>IF('Calculations'!IH409="","",IF('Calculations'!IH409="!AMBIG","!AMBIG",IF(COUNTIF('Calculations'!$HE$13:$HE$512,"="&amp;SUBSTITUTE(SUBSTITUTE(SUBSTITUTE('Calculations'!IH409,"~","~~"),"*","~*"),"?","~?"))&gt;1,"!AMBIG",IFERROR(INDEX('Calculations'!$HF$13:$HF$512,MATCH('Calculations'!IH409,'Calculations'!$HE$13:$HE$512,0)),""))))</x:f>
      </x:c>
      <x:c r="IJ409" t="str">
        <x:f>IF('Calculations'!EM409="","",IF('Calculations'!$EF$2="All",'Calculations'!HM409,IF('Calculations'!HL409=1,"",IFERROR(IF(MATCH('Calculations'!$EF$2,'Calculations'!HO409:II409,0)=1,'Calculations'!HE409,INDEX('Calculations'!HO409:II409,1,MATCH('Calculations'!$EF$2,'Calculations'!HO409:II409,0)-1)),""))))</x:f>
      </x:c>
      <x:c r="IK409" t="n">
        <x:f>IF(AND('Calculations'!EM409&lt;&gt;"",'Calculations'!$EF$2&lt;&gt;"All",'Calculations'!HF409='Calculations'!$EF$2,'Calculations'!HL409=0,'Calculations'!JD409&gt;0),MAX('Calculations'!$IK$12:IK408)+1,0)</x:f>
        <x:v>0</x:v>
      </x:c>
      <x:c r="JA409" t="n">
        <x:f>IF(OR(IFERROR(INDIRECT("'WCM Calibration Final'!$A$409")&lt;&gt;"",FALSE),IFERROR(INDIRECT("'WCM Calibration Final'!$B$409")&lt;&gt;"",FALSE),IFERROR(INDIRECT("'WCM Calibration Final'!$C$409")&lt;&gt;"",FALSE)),409,0)</x:f>
        <x:v>0</x:v>
      </x:c>
      <x:c r="JB409" t="n">
        <x:f>'Calculations'!JB408+IF('Calculations'!JA409&gt;0,1,0)</x:f>
        <x:v>0</x:v>
      </x:c>
      <x:c r="JC409" t="n">
        <x:f>IF(OR('Calculations'!HF409="",'Calculations'!HF409="!AMBIG"),0,IF('Dashboard'!$B$7="All",1,COUNTIFS('Calculations'!$HO$13:$HO$512,"="&amp;SUBSTITUTE(SUBSTITUTE(SUBSTITUTE('Calculations'!HF409,"~","~~"),"*","~*"),"?","~?"),'Calculations'!$HN$13:$HN$512,"="&amp;SUBSTITUTE(SUBSTITUTE(SUBSTITUTE('Dashboard'!$B$7,"~","~~"),"*","~*"),"?","~?"))+COUNTIFS('Calculations'!$HP$13:$HP$512,"="&amp;SUBSTITUTE(SUBSTITUTE(SUBSTITUTE('Calculations'!HF409,"~","~~"),"*","~*"),"?","~?"),'Calculations'!$HN$13:$HN$512,"="&amp;SUBSTITUTE(SUBSTITUTE(SUBSTITUTE('Dashboard'!$B$7,"~","~~"),"*","~*"),"?","~?"))+COUNTIFS('Calculations'!$HQ$13:$HQ$512,"="&amp;SUBSTITUTE(SUBSTITUTE(SUBSTITUTE('Calculations'!HF409,"~","~~"),"*","~*"),"?","~?"),'Calculations'!$HN$13:$HN$512,"="&amp;SUBSTITUTE(SUBSTITUTE(SUBSTITUTE('Dashboard'!$B$7,"~","~~"),"*","~*"),"?","~?"))+COUNTIFS('Calculations'!$HR$13:$HR$512,"="&amp;SUBSTITUTE(SUBSTITUTE(SUBSTITUTE('Calculations'!HF409,"~","~~"),"*","~*"),"?","~?"),'Calculations'!$HN$13:$HN$512,"="&amp;SUBSTITUTE(SUBSTITUTE(SUBSTITUTE('Dashboard'!$B$7,"~","~~"),"*","~*"),"?","~?"))+COUNTIFS('Calculations'!$HS$13:$HS$512,"="&amp;SUBSTITUTE(SUBSTITUTE(SUBSTITUTE('Calculations'!HF409,"~","~~"),"*","~*"),"?","~?"),'Calculations'!$HN$13:$HN$512,"="&amp;SUBSTITUTE(SUBSTITUTE(SUBSTITUTE('Dashboard'!$B$7,"~","~~"),"*","~*"),"?","~?"))+COUNTIFS('Calculations'!$HT$13:$HT$512,"="&amp;SUBSTITUTE(SUBSTITUTE(SUBSTITUTE('Calculations'!HF409,"~","~~"),"*","~*"),"?","~?"),'Calculations'!$HN$13:$HN$512,"="&amp;SUBSTITUTE(SUBSTITUTE(SUBSTITUTE('Dashboard'!$B$7,"~","~~"),"*","~*"),"?","~?"))+COUNTIFS('Calculations'!$HU$13:$HU$512,"="&amp;SUBSTITUTE(SUBSTITUTE(SUBSTITUTE('Calculations'!HF409,"~","~~"),"*","~*"),"?","~?"),'Calculations'!$HN$13:$HN$512,"="&amp;SUBSTITUTE(SUBSTITUTE(SUBSTITUTE('Dashboard'!$B$7,"~","~~"),"*","~*"),"?","~?"))+COUNTIFS('Calculations'!$HV$13:$HV$512,"="&amp;SUBSTITUTE(SUBSTITUTE(SUBSTITUTE('Calculations'!HF409,"~","~~"),"*","~*"),"?","~?"),'Calculations'!$HN$13:$HN$512,"="&amp;SUBSTITUTE(SUBSTITUTE(SUBSTITUTE('Dashboard'!$B$7,"~","~~"),"*","~*"),"?","~?"))+COUNTIFS('Calculations'!$HW$13:$HW$512,"="&amp;SUBSTITUTE(SUBSTITUTE(SUBSTITUTE('Calculations'!HF409,"~","~~"),"*","~*"),"?","~?"),'Calculations'!$HN$13:$HN$512,"="&amp;SUBSTITUTE(SUBSTITUTE(SUBSTITUTE('Dashboard'!$B$7,"~","~~"),"*","~*"),"?","~?"))+COUNTIFS('Calculations'!$HX$13:$HX$512,"="&amp;SUBSTITUTE(SUBSTITUTE(SUBSTITUTE('Calculations'!HF409,"~","~~"),"*","~*"),"?","~?"),'Calculations'!$HN$13:$HN$512,"="&amp;SUBSTITUTE(SUBSTITUTE(SUBSTITUTE('Dashboard'!$B$7,"~","~~"),"*","~*"),"?","~?"))+COUNTIFS('Calculations'!$HY$13:$HY$512,"="&amp;SUBSTITUTE(SUBSTITUTE(SUBSTITUTE('Calculations'!HF409,"~","~~"),"*","~*"),"?","~?"),'Calculations'!$HN$13:$HN$512,"="&amp;SUBSTITUTE(SUBSTITUTE(SUBSTITUTE('Dashboard'!$B$7,"~","~~"),"*","~*"),"?","~?"))+COUNTIFS('Calculations'!$HZ$13:$HZ$512,"="&amp;SUBSTITUTE(SUBSTITUTE(SUBSTITUTE('Calculations'!HF409,"~","~~"),"*","~*"),"?","~?"),'Calculations'!$HN$13:$HN$512,"="&amp;SUBSTITUTE(SUBSTITUTE(SUBSTITUTE('Dashboard'!$B$7,"~","~~"),"*","~*"),"?","~?"))+COUNTIFS('Calculations'!$IA$13:$IA$512,"="&amp;SUBSTITUTE(SUBSTITUTE(SUBSTITUTE('Calculations'!HF409,"~","~~"),"*","~*"),"?","~?"),'Calculations'!$HN$13:$HN$512,"="&amp;SUBSTITUTE(SUBSTITUTE(SUBSTITUTE('Dashboard'!$B$7,"~","~~"),"*","~*"),"?","~?"))+COUNTIFS('Calculations'!$IB$13:$IB$512,"="&amp;SUBSTITUTE(SUBSTITUTE(SUBSTITUTE('Calculations'!HF409,"~","~~"),"*","~*"),"?","~?"),'Calculations'!$HN$13:$HN$512,"="&amp;SUBSTITUTE(SUBSTITUTE(SUBSTITUTE('Dashboard'!$B$7,"~","~~"),"*","~*"),"?","~?"))+COUNTIFS('Calculations'!$IC$13:$IC$512,"="&amp;SUBSTITUTE(SUBSTITUTE(SUBSTITUTE('Calculations'!HF409,"~","~~"),"*","~*"),"?","~?"),'Calculations'!$HN$13:$HN$512,"="&amp;SUBSTITUTE(SUBSTITUTE(SUBSTITUTE('Dashboard'!$B$7,"~","~~"),"*","~*"),"?","~?"))+COUNTIFS('Calculations'!$ID$13:$ID$512,"="&amp;SUBSTITUTE(SUBSTITUTE(SUBSTITUTE('Calculations'!HF409,"~","~~"),"*","~*"),"?","~?"),'Calculations'!$HN$13:$HN$512,"="&amp;SUBSTITUTE(SUBSTITUTE(SUBSTITUTE('Dashboard'!$B$7,"~","~~"),"*","~*"),"?","~?"))+COUNTIFS('Calculations'!$IE$13:$IE$512,"="&amp;SUBSTITUTE(SUBSTITUTE(SUBSTITUTE('Calculations'!HF409,"~","~~"),"*","~*"),"?","~?"),'Calculations'!$HN$13:$HN$512,"="&amp;SUBSTITUTE(SUBSTITUTE(SUBSTITUTE('Dashboard'!$B$7,"~","~~"),"*","~*"),"?","~?"))+COUNTIFS('Calculations'!$IF$13:$IF$512,"="&amp;SUBSTITUTE(SUBSTITUTE(SUBSTITUTE('Calculations'!HF409,"~","~~"),"*","~*"),"?","~?"),'Calculations'!$HN$13:$HN$512,"="&amp;SUBSTITUTE(SUBSTITUTE(SUBSTITUTE('Dashboard'!$B$7,"~","~~"),"*","~*"),"?","~?"))+COUNTIFS('Calculations'!$IG$13:$IG$512,"="&amp;SUBSTITUTE(SUBSTITUTE(SUBSTITUTE('Calculations'!HF409,"~","~~"),"*","~*"),"?","~?"),'Calculations'!$HN$13:$HN$512,"="&amp;SUBSTITUTE(SUBSTITUTE(SUBSTITUTE('Dashboard'!$B$7,"~","~~"),"*","~*"),"?","~?"))+COUNTIFS('Calculations'!$IH$13:$IH$512,"="&amp;SUBSTITUTE(SUBSTITUTE(SUBSTITUTE('Calculations'!HF409,"~","~~"),"*","~*"),"?","~?"),'Calculations'!$HN$13:$HN$512,"="&amp;SUBSTITUTE(SUBSTITUTE(SUBSTITUTE('Dashboard'!$B$7,"~","~~"),"*","~*"),"?","~?"))))</x:f>
        <x:v>0</x:v>
      </x:c>
      <x:c r="JD409" t="n">
        <x:f>IF('Calculations'!EM409="",0,IF('Dashboard'!$B$7="All",1,IF('Calculations'!HN409='Dashboard'!$B$7,1,0)+IFERROR(INDEX('Calculations'!$JC$13:$JC$512,MATCH('Calculations'!HE409,'Calculations'!$HF$13:$HF$512,0)),0)))</x:f>
        <x:v>0</x:v>
      </x:c>
      <x:c r="JE409" t="n">
        <x:f>IF(AND('Calculations'!EM409&lt;&gt;"",'Calculations'!$JJ$2&lt;&gt;"All",'Calculations'!$JJ$2&lt;&gt;"",'Calculations'!HF409='Calculations'!$JJ$2,'Calculations'!HL409=0,'Calculations'!JD409&gt;0),MAX('Calculations'!$JE$12:JE408)+1,0)</x:f>
        <x:v>0</x:v>
      </x:c>
      <x:c r="JF409" t="str">
        <x:f>IF('Calculations'!EM409="","",IFERROR(IF(INDEX(INDIRECT("'WCM Calibration Final'!$G$1:$G$2000"),'Calculations'!$EM409)="","",TRIM(INDEX(INDIRECT("'WCM Calibration Final'!$G$1:$G$2000"),'Calculations'!$EM409)&amp;"")),""))</x:f>
      </x:c>
      <x:c r="JQ409" t="n">
        <x:f>IF(OR('Calculations'!BM409=0,NOT('Calculations'!$AG$2),'Calculations'!$AG$8&gt;0),0,IF(OR('Dashboard'!$B$7="All",'Calculations'!HN409='Dashboard'!$B$7),IF('Calculations'!$JJ$2="All",1,IF(AND('Calculations'!HF409='Calculations'!$JJ$2,'Calculations'!HL409=0),1,0)),0))</x:f>
        <x:v>0</x:v>
      </x:c>
    </x:row>
    <x:row r="410">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t="n">
        <x:f>IF('Calculations'!$EM410="",0,IF(OR(IFERROR(INDEX(INDIRECT("'WCM Calibration Final'!$A$1:$A$2000"),'Calculations'!$EM410)&lt;&gt;"",FALSE),IFERROR(INDEX(INDIRECT("'WCM Calibration Final'!$B$1:$B$2000"),'Calculations'!$EM410)&lt;&gt;"",FALSE),IFERROR(INDEX(INDIRECT("'WCM Calibration Final'!$C$1:$C$2000"),'Calculations'!$EM410)&lt;&gt;"",FALSE)),1,0))</x:f>
        <x:v>0</x:v>
      </x:c>
      <x:c r="BN410" s="4" t="n">
        <x:f>IF(AND('Calculations'!BM410=1,'Calculations'!$AG$2,'Calculations'!$EN410=1),1,0)</x:f>
        <x:v>0</x:v>
      </x:c>
      <x:c r="BO410" s="4" t="str">
        <x:f>IF('Calculations'!BM410=0,"",IFERROR(IF(AND(VALUE(INDEX(INDIRECT("'WCM Calibration Final'!$K$1:$K$2000"),'Calculations'!$EM410))&gt;=1,VALUE(INDEX(INDIRECT("'WCM Calibration Final'!$K$1:$K$2000"),'Calculations'!$EM410))&lt;=4,MOD(VALUE(INDEX(INDIRECT("'WCM Calibration Final'!$K$1:$K$2000"),'Calculations'!$EM410)),1)=0),VALUE(INDEX(INDIRECT("'WCM Calibration Final'!$K$1:$K$2000"),'Calculations'!$EM410)),""),""))</x:f>
      </x:c>
      <x:c r="BP410" s="4" t="str">
        <x:f>IF('Calculations'!BM410=0,"",IFERROR(IF(AND(VALUE(INDEX(INDIRECT("'WCM Calibration Final'!$L$1:$L$2000"),'Calculations'!$EM410))&gt;=1,VALUE(INDEX(INDIRECT("'WCM Calibration Final'!$L$1:$L$2000"),'Calculations'!$EM410))&lt;=4,MOD(VALUE(INDEX(INDIRECT("'WCM Calibration Final'!$L$1:$L$2000"),'Calculations'!$EM410)),1)=0),VALUE(INDEX(INDIRECT("'WCM Calibration Final'!$L$1:$L$2000"),'Calculations'!$EM410)),""),""))</x:f>
      </x:c>
      <x:c r="BQ410" s="4"/>
      <x:c r="BR410" s="4"/>
      <x:c r="BS410" s="4"/>
      <x:c r="BT410" s="4" t="n">
        <x:f>IF(AND('Calculations'!BM410=1,ISNUMBER('Calculations'!BO410),ISNUMBER('Calculations'!BP410)),1,0)</x:f>
        <x:v>0</x:v>
      </x:c>
      <x:c r="BU410" s="4" t="str">
        <x:f>IF('Calculations'!BM410=0,"",'Calculations'!$EO410)</x:f>
      </x:c>
      <x:c r="BV410" s="4" t="str">
        <x:f>IF('Calculations'!BM410=0,"",IFERROR(IF(OR(INDEX(INDIRECT("'WCM Calibration Final'!$H$1:$H$2000"),'Calculations'!$EM410)="MANAGING DIRECTOR",INDEX(INDIRECT("'WCM Calibration Final'!$H$1:$H$2000"),'Calculations'!$EM410)="DIRECTOR",INDEX(INDIRECT("'WCM Calibration Final'!$H$1:$H$2000"),'Calculations'!$EM410)="SENIOR VICE PRESIDENT",INDEX(INDIRECT("'WCM Calibration Final'!$H$1:$H$2000"),'Calculations'!$EM410)="VICE PRESIDENT",INDEX(INDIRECT("'WCM Calibration Final'!$H$1:$H$2000"),'Calculations'!$EM410)="ASSISTANT VICE PRESIDENT",INDEX(INDIRECT("'WCM Calibration Final'!$H$1:$H$2000"),'Calculations'!$EM410)="OFFICER"),UPPER(INDEX(INDIRECT("'WCM Calibration Final'!$H$1:$H$2000"),'Calculations'!$EM410)),"Other"),"Other"))</x:f>
      </x:c>
      <x:c r="BW410" s="4"/>
      <x:c r="BX410" s="4"/>
      <x:c r="BY410" s="4" t="n">
        <x:f>IF(AND('Calculations'!BM410=1,'Calculations'!BU410&lt;&gt;"",COUNTIF('Calculations'!$BU$12:BU410,'Calculations'!BU410)=1),MAX('Calculations'!$BY$11:BY409)+1,0)</x:f>
        <x:v>0</x:v>
      </x:c>
      <x:c r="BZ410" s="4" t="str">
        <x:f>IF('Dashboard'!$E$67="What",'Calculations'!BO410,'Calculations'!BP410)</x:f>
      </x:c>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t="str">
        <x:f>IF(399&gt;MAX('Calculations'!$HI$13:$HI$512),"",INDEX('Calculations'!$HN$13:$HN$512,MATCH(399,'Calculations'!$HI$13:$HI$512,0)))</x:f>
      </x:c>
      <x:c r="DB410" s="4" t="str">
        <x:f>IF(399&gt;MAX('Calculations'!$HH$13:$HH$512),"",INDEX('Calculations'!$HJ$13:$HJ$512,MATCH(399,'Calculations'!$HH$13:$HH$512,0)))</x:f>
      </x:c>
      <x:c r="DC410" s="4" t="str">
        <x:f>IF(ROW()-11&gt;MAX('Calculations'!$BY$13:$BY$512),"",INDEX('Calculations'!$BU$13:$BU$512,MATCH(ROW()-11,'Calculations'!$BY$13:$BY$512,0)))</x:f>
      </x:c>
      <x:c r="DD410" s="4" t="str">
        <x:f>IF(399&gt;MAX('Calculations'!$IK$13:$IK$512),"",INDEX('Calculations'!$HK$13:$HK$512,MATCH(399,'Calculations'!$IK$13:$IK$512,0)))</x:f>
      </x:c>
      <x:c r="DE410" s="4" t="str">
        <x:f>'Calculations'!DC410</x:f>
      </x:c>
      <x:c r="DF410" s="4" t="str">
        <x:f>IF('Calculations'!DE410="","",COUNTIFS('Calculations'!$BN$13:$BN$512,1,'Calculations'!$BU$13:$BU$512,'Calculations'!DE410))</x:f>
      </x:c>
      <x:c r="DG410" s="4" t="str">
        <x:f>IF('Calculations'!DE410="","",COUNTIFS('Calculations'!$BN$13:$BN$512,1,'Calculations'!$BU$13:$BU$512,'Calculations'!DE410,'Calculations'!$BT$13:$BT$512,1))</x:f>
      </x:c>
      <x:c r="DH410" s="4" t="str">
        <x:f>IF('Calculations'!DE410="","",'Calculations'!DF410-'Calculations'!DG410)</x:f>
      </x:c>
      <x:c r="DI410" s="4" t="str">
        <x:f>IF(OR('Calculations'!DE410="",'Calculations'!DF410=0),"",'Calculations'!DG410/'Calculations'!DF410)</x:f>
      </x:c>
      <x:c r="DJ410" s="4" t="str">
        <x:f>IF('Calculations'!DE410="","",COUNTIFS('Calculations'!$BN$13:$BN$512,1,'Calculations'!$BU$13:$BU$512,'Calculations'!DE410,'Calculations'!$BT$13:$BT$512,1,'Calculations'!$EE$13:$EE$512,"High"))</x:f>
      </x:c>
      <x:c r="DK410" s="4" t="str">
        <x:f>IF('Calculations'!DE410="","",COUNTIFS('Calculations'!$BN$13:$BN$512,1,'Calculations'!$BU$13:$BU$512,'Calculations'!DE410,'Calculations'!$BT$13:$BT$512,1,'Calculations'!$EE$13:$EE$512,"Strong"))</x:f>
      </x:c>
      <x:c r="DL410" s="4" t="str">
        <x:f>IF('Calculations'!DE410="","",COUNTIFS('Calculations'!$BN$13:$BN$512,1,'Calculations'!$BU$13:$BU$512,'Calculations'!DE410,'Calculations'!$BT$13:$BT$512,1,'Calculations'!$EE$13:$EE$512,"Solid"))</x:f>
      </x:c>
      <x:c r="DM410" s="4" t="str">
        <x:f>IF('Calculations'!DE410="","",COUNTIFS('Calculations'!$BN$13:$BN$512,1,'Calculations'!$BU$13:$BU$512,'Calculations'!DE410,'Calculations'!$BT$13:$BT$512,1,'Calculations'!$EE$13:$EE$512,"Low"))</x:f>
      </x:c>
      <x:c r="DN410" s="4" t="str">
        <x:f>IF('Calculations'!DE410="","",COUNTIFS('Calculations'!$BN$13:$BN$512,1,'Calculations'!$BU$13:$BU$512,'Calculations'!DE410,'Calculations'!$EP$13:$EP$512,1))</x:f>
      </x:c>
      <x:c r="DO410" s="4" t="str">
        <x:f>IF(OR('Calculations'!DE410="",'Calculations'!DG410=0),"",('Calculations'!DJ410+'Calculations'!DK410)/'Calculations'!DG410)</x:f>
      </x:c>
      <x:c r="DP410" s="4" t="n">
        <x:f>IF(AND('Calculations'!DE410&lt;&gt;"",'Calculations'!DF410&gt;0),COUNTIF('Calculations'!$DF$12:DF410,"&gt;0"),0)</x:f>
        <x:v>0</x:v>
      </x:c>
      <x:c r="DQ410" s="4" t="str">
        <x:f>IF(399&gt;MAX('Calculations'!$HH$13:$HH$512),"",INDEX('Calculations'!$HF$13:$HF$512,MATCH(399,'Calculations'!$HH$13:$HH$512,0)))</x:f>
      </x:c>
      <x:c r="DR410" s="4" t="str">
        <x:f>IF(399&gt;MAX('Calculations'!$IK$13:$IK$512),"",INDEX('Calculations'!$HE$13:$HE$512,MATCH(399,'Calculations'!$IK$13:$IK$512,0)))</x:f>
      </x:c>
      <x:c r="DS410" s="4"/>
      <x:c r="DT410" s="4"/>
      <x:c r="DU410" s="4"/>
      <x:c r="DV410" s="4"/>
      <x:c r="DW410" s="4"/>
      <x:c r="DX410" s="4"/>
      <x:c r="DY410" s="4"/>
      <x:c r="DZ410" s="4"/>
      <x:c r="EA410" s="4"/>
      <x:c r="EB410" s="4"/>
      <x:c r="EC410" s="4"/>
      <x:c r="ED410" s="4"/>
      <x:c r="EE410" s="4" t="str">
        <x:f>IF('Calculations'!BT410=0,"Not Rated",IF(OR('Calculations'!BO410&gt;=4,'Calculations'!BP410&gt;=4),"Low",IF('Calculations'!BO410+'Calculations'!BP410&lt;=3,"High",IF('Calculations'!BO410+'Calculations'!BP410&lt;=4,"Strong","Solid"))))</x:f>
        <x:v>Not Rated</x:v>
      </x:c>
      <x:c r="EF410" s="4"/>
      <x:c r="EG410" s="4"/>
      <x:c r="EH410" s="4"/>
      <x:c r="EI410" s="4"/>
      <x:c r="EJ410" s="4"/>
      <x:c r="EK410" s="4"/>
      <x:c r="EL410" s="4"/>
      <x:c r="EM410" s="4" t="str">
        <x:f>IF(398&gt;'Calculations'!$JB$2000,"",INDEX('Calculations'!$JA$12:$JA$2000,MATCH(398,'Calculations'!$JB$12:$JB$2000,0)))</x:f>
      </x:c>
      <x:c r="EN410" s="4" t="n">
        <x:f>IF(OR('Calculations'!EM410="",'Calculations'!$AG$8&gt;0,AND('Calculations'!$EF$2&lt;&gt;"All",'Calculations'!HE410='Calculations'!$EF$2),AND('Calculations'!$EF$3&lt;&gt;"All",'Calculations'!HE410='Calculations'!$EF$3)),0,IF(OR('Dashboard'!$B$7="All",'Calculations'!HN410='Dashboard'!$B$7),IF('Calculations'!$EF$2="All",1,IF('Calculations'!HL410&gt;0,0,IF(COUNTIF('Calculations'!HO410:II410,"="&amp;SUBSTITUTE(SUBSTITUTE(SUBSTITUTE('Calculations'!$EF$2,"~","~~"),"*","~*"),"?","~?"))=0,0,IF('Calculations'!$EF$3="All",1,IF(COUNTIF('Calculations'!HO410:II410,"="&amp;SUBSTITUTE(SUBSTITUTE(SUBSTITUTE('Calculations'!$EF$3,"~","~~"),"*","~*"),"?","~?"))&gt;0,1,0))))),0))</x:f>
        <x:v>0</x:v>
      </x:c>
      <x:c r="EO410" s="4" t="str">
        <x:f>IF('Calculations'!IJ410="","",IF('Calculations'!IJ410="!UNRESOLVED","Unresolved hierarchy",IFERROR(INDEX('Calculations'!$HK$13:$HK$512,MATCH('Calculations'!IJ410,'Calculations'!$HE$13:$HE$512,0)),IFERROR(INDEX('Calculations'!$HJ$13:$HJ$512,MATCH('Calculations'!IJ410,'Calculations'!$HF$13:$HF$512,0)),'Calculations'!IJ410))))</x:f>
      </x:c>
      <x:c r="EP410" s="4" t="n">
        <x:f>IF(AND('Calculations'!EM410&lt;&gt;"",'Calculations'!HF410='Calculations'!IJ410),1,0)</x:f>
        <x:v>0</x:v>
      </x:c>
      <x:c r="EQ410" s="4"/>
      <x:c r="ER410" s="4"/>
      <x:c r="ES410" s="4"/>
      <x:c r="ET410" s="4"/>
      <x:c r="EU410" s="4"/>
      <x:c r="EV410" s="4"/>
      <x:c r="EW410" s="4"/>
      <x:c r="EX410" s="4"/>
      <x:c r="EY410" s="4"/>
      <x:c r="EZ410" s="4"/>
      <x:c r="FA410" s="4"/>
      <x:c r="FB410" s="4"/>
      <x:c r="FC410" s="4"/>
      <x:c r="FD410" s="4"/>
      <x:c r="FE410" s="4"/>
      <x:c r="FF410" s="4"/>
      <x:c r="FG410" s="4"/>
      <x:c r="FH410" s="4"/>
      <x:c r="FI410" s="4"/>
      <x:c r="FJ410" s="4"/>
      <x:c r="FK410" s="4"/>
      <x:c r="FL410" s="4"/>
      <x:c r="FM410" s="4"/>
      <x:c r="FN410" s="4"/>
      <x:c r="FO410" s="4"/>
      <x:c r="HE410" t="str">
        <x:f>IF('Calculations'!EM410="","",IF(IFERROR(IF(INDEX(INDIRECT("'WCM Calibration Final'!$A$1:$A$2000"),'Calculations'!$EM410)="","",TRIM(INDEX(INDIRECT("'WCM Calibration Final'!$A$1:$A$2000"),'Calculations'!$EM410)&amp;"")),"")&lt;&gt;"","G:"&amp;IFERROR(TEXT(1*INDEX(INDIRECT("'WCM Calibration Final'!$A$1:$A$2000"),'Calculations'!$EM410),"0"),UPPER(IFERROR(IF(INDEX(INDIRECT("'WCM Calibration Final'!$A$1:$A$2000"),'Calculations'!$EM410)="","",TRIM(INDEX(INDIRECT("'WCM Calibration Final'!$A$1:$A$2000"),'Calculations'!$EM410)&amp;"")),""))),IF(IFERROR(IF(INDEX(INDIRECT("'WCM Calibration Final'!$C$1:$C$2000"),'Calculations'!$EM410)="","",TRIM(INDEX(INDIRECT("'WCM Calibration Final'!$C$1:$C$2000"),'Calculations'!$EM410)&amp;"")),"")&lt;&gt;"","S:"&amp;UPPER(IFERROR(IF(INDEX(INDIRECT("'WCM Calibration Final'!$C$1:$C$2000"),'Calculations'!$EM410)="","",TRIM(INDEX(INDIRECT("'WCM Calibration Final'!$C$1:$C$2000"),'Calculations'!$EM410)&amp;"")),"")),"R:"&amp;'Calculations'!EM410)))</x:f>
      </x:c>
      <x:c r="HF410" t="str">
        <x:f>IF('Calculations'!EM410="","",IF(IFERROR(IF(INDEX(INDIRECT("'WCM Calibration Final'!$D$1:$D$2000"),'Calculations'!$EM410)="","",TRIM(INDEX(INDIRECT("'WCM Calibration Final'!$D$1:$D$2000"),'Calculations'!$EM410)&amp;"")),"")&lt;&gt;"","G:"&amp;IFERROR(TEXT(1*INDEX(INDIRECT("'WCM Calibration Final'!$D$1:$D$2000"),'Calculations'!$EM410),"0"),UPPER(IFERROR(IF(INDEX(INDIRECT("'WCM Calibration Final'!$D$1:$D$2000"),'Calculations'!$EM410)="","",TRIM(INDEX(INDIRECT("'WCM Calibration Final'!$D$1:$D$2000"),'Calculations'!$EM410)&amp;"")),""))),IF(IFERROR(IF(INDEX(INDIRECT("'WCM Calibration Final'!$E$1:$E$2000"),'Calculations'!$EM410)="","",TRIM(INDEX(INDIRECT("'WCM Calibration Final'!$E$1:$E$2000"),'Calculations'!$EM410)&amp;"")),"")="","",IF(COUNTIF('Calculations'!$HG$13:$HG$512,"="&amp;SUBSTITUTE(SUBSTITUTE(SUBSTITUTE(IFERROR(IF(INDEX(INDIRECT("'WCM Calibration Final'!$E$1:$E$2000"),'Calculations'!$EM410)="","",TRIM(INDEX(INDIRECT("'WCM Calibration Final'!$E$1:$E$2000"),'Calculations'!$EM410)&amp;"")),""),"~","~~"),"*","~*"),"?","~?"))=1,INDEX('Calculations'!$HE$13:$HE$512,MATCH(IFERROR(IF(INDEX(INDIRECT("'WCM Calibration Final'!$E$1:$E$2000"),'Calculations'!$EM410)="","",TRIM(INDEX(INDIRECT("'WCM Calibration Final'!$E$1:$E$2000"),'Calculations'!$EM410)&amp;"")),""),'Calculations'!$HG$13:$HG$512,0)),IF(COUNTIF('Calculations'!$HG$13:$HG$512,"="&amp;SUBSTITUTE(SUBSTITUTE(SUBSTITUTE(IFERROR(IF(INDEX(INDIRECT("'WCM Calibration Final'!$E$1:$E$2000"),'Calculations'!$EM410)="","",TRIM(INDEX(INDIRECT("'WCM Calibration Final'!$E$1:$E$2000"),'Calculations'!$EM410)&amp;"")),""),"~","~~"),"*","~*"),"?","~?"))&gt;1,"!AMBIG","X:"&amp;IFERROR(IF(INDEX(INDIRECT("'WCM Calibration Final'!$E$1:$E$2000"),'Calculations'!$EM410)="","",TRIM(INDEX(INDIRECT("'WCM Calibration Final'!$E$1:$E$2000"),'Calculations'!$EM410)&amp;"")),""))))))</x:f>
      </x:c>
      <x:c r="HG410" t="str">
        <x:f>IF('Calculations'!EM410="","",IFERROR(IF(INDEX(INDIRECT("'WCM Calibration Final'!$B$1:$B$2000"),'Calculations'!$EM410)="","",TRIM(INDEX(INDIRECT("'WCM Calibration Final'!$B$1:$B$2000"),'Calculations'!$EM410)&amp;"")),""))</x:f>
      </x:c>
      <x:c r="HH410" t="n">
        <x:f>IF(AND('Calculations'!JC410&gt;0,COUNTIF('Calculations'!$HF$12:HF410,"="&amp;SUBSTITUTE(SUBSTITUTE(SUBSTITUTE('Calculations'!HF410,"~","~~"),"*","~*"),"?","~?"))=1),MAX('Calculations'!$HH$12:HH409)+1,0)</x:f>
        <x:v>0</x:v>
      </x:c>
      <x:c r="HI410" t="n">
        <x:f>IF(AND('Calculations'!HN410&lt;&gt;"",COUNTIF('Calculations'!$HN$12:HN410,"="&amp;SUBSTITUTE(SUBSTITUTE(SUBSTITUTE('Calculations'!HN410,"~","~~"),"*","~*"),"?","~?"))=1),MAX('Calculations'!$HI$12:HI409)+1,0)</x:f>
        <x:v>0</x:v>
      </x:c>
      <x:c r="HJ410" t="str">
        <x:f>IF('Calculations'!HF410="","",IF(COUNTIF('Calculations'!$HE$13:$HE$512,"="&amp;SUBSTITUTE(SUBSTITUTE(SUBSTITUTE('Calculations'!HF410,"~","~~"),"*","~*"),"?","~?"))=1,INDEX('Calculations'!$HK$13:$HK$512,MATCH('Calculations'!HF410,'Calculations'!$HE$13:$HE$512,0)),IFERROR(IF(INDEX(INDIRECT("'WCM Calibration Final'!$E$1:$E$2000"),'Calculations'!$EM410)="","",TRIM(INDEX(INDIRECT("'WCM Calibration Final'!$E$1:$E$2000"),'Calculations'!$EM410)&amp;"")),"")&amp;" ["&amp;'Calculations'!HF410&amp;"]"))</x:f>
      </x:c>
      <x:c r="HK410" t="str">
        <x:f>IF('Calculations'!EM410="","",'Calculations'!HG410&amp;" ["&amp;'Calculations'!HE410&amp;"]")</x:f>
      </x:c>
      <x:c r="HL410" t="n">
        <x:f>IF('Calculations'!EM410="",0,IF(OR('Calculations'!II410&lt;&gt;"",COUNTIF('Calculations'!$HE$13:$HE$512,"="&amp;SUBSTITUTE(SUBSTITUTE(SUBSTITUTE('Calculations'!HE410,"~","~~"),"*","~*"),"?","~?"))&gt;1),1,0))</x:f>
        <x:v>0</x:v>
      </x:c>
      <x:c r="HM410" t="str">
        <x:f>IF('Calculations'!EM410="","",IF('Calculations'!HL410=1,"!UNRESOLVED",IF('Calculations'!IH410&lt;&gt;"",'Calculations'!IH410,IF('Calculations'!IG410&lt;&gt;"",'Calculations'!IG410,IF('Calculations'!IF410&lt;&gt;"",'Calculations'!IF410,IF('Calculations'!IE410&lt;&gt;"",'Calculations'!IE410,IF('Calculations'!ID410&lt;&gt;"",'Calculations'!ID410,IF('Calculations'!IC410&lt;&gt;"",'Calculations'!IC410,IF('Calculations'!IB410&lt;&gt;"",'Calculations'!IB410,IF('Calculations'!IA410&lt;&gt;"",'Calculations'!IA410,IF('Calculations'!HZ410&lt;&gt;"",'Calculations'!HZ410,IF('Calculations'!HY410&lt;&gt;"",'Calculations'!HY410,IF('Calculations'!HX410&lt;&gt;"",'Calculations'!HX410,IF('Calculations'!HW410&lt;&gt;"",'Calculations'!HW410,IF('Calculations'!HV410&lt;&gt;"",'Calculations'!HV410,IF('Calculations'!HU410&lt;&gt;"",'Calculations'!HU410,IF('Calculations'!HT410&lt;&gt;"",'Calculations'!HT410,IF('Calculations'!HS410&lt;&gt;"",'Calculations'!HS410,IF('Calculations'!HR410&lt;&gt;"",'Calculations'!HR410,IF('Calculations'!HQ410&lt;&gt;"",'Calculations'!HQ410,IF('Calculations'!HP410&lt;&gt;"",'Calculations'!HP410,IF('Calculations'!HO410&lt;&gt;"",'Calculations'!HO410,'Calculations'!HE410))))))))))))))))))))))</x:f>
      </x:c>
      <x:c r="HN410" t="str">
        <x:f>IF('Calculations'!EM410="","",IF(IFERROR(IF(INDEX(INDIRECT("'WCM Calibration Final'!$F$1:$F$2000"),'Calculations'!$EM410)="","",TRIM(INDEX(INDIRECT("'WCM Calibration Final'!$F$1:$F$2000"),'Calculations'!$EM410)&amp;"")),"")="","(Blank)",IFERROR(IF(INDEX(INDIRECT("'WCM Calibration Final'!$F$1:$F$2000"),'Calculations'!$EM410)="","",TRIM(INDEX(INDIRECT("'WCM Calibration Final'!$F$1:$F$2000"),'Calculations'!$EM410)&amp;"")),"")))</x:f>
      </x:c>
      <x:c r="HO410" t="str">
        <x:f>'Calculations'!HF410</x:f>
      </x:c>
      <x:c r="HP410" t="str">
        <x:f>IF('Calculations'!HO410="","",IF('Calculations'!HO410="!AMBIG","!AMBIG",IF(COUNTIF('Calculations'!$HE$13:$HE$512,"="&amp;SUBSTITUTE(SUBSTITUTE(SUBSTITUTE('Calculations'!HO410,"~","~~"),"*","~*"),"?","~?"))&gt;1,"!AMBIG",IFERROR(INDEX('Calculations'!$HF$13:$HF$512,MATCH('Calculations'!HO410,'Calculations'!$HE$13:$HE$512,0)),""))))</x:f>
      </x:c>
      <x:c r="HQ410" t="str">
        <x:f>IF('Calculations'!HP410="","",IF('Calculations'!HP410="!AMBIG","!AMBIG",IF(COUNTIF('Calculations'!$HE$13:$HE$512,"="&amp;SUBSTITUTE(SUBSTITUTE(SUBSTITUTE('Calculations'!HP410,"~","~~"),"*","~*"),"?","~?"))&gt;1,"!AMBIG",IFERROR(INDEX('Calculations'!$HF$13:$HF$512,MATCH('Calculations'!HP410,'Calculations'!$HE$13:$HE$512,0)),""))))</x:f>
      </x:c>
      <x:c r="HR410" t="str">
        <x:f>IF('Calculations'!HQ410="","",IF('Calculations'!HQ410="!AMBIG","!AMBIG",IF(COUNTIF('Calculations'!$HE$13:$HE$512,"="&amp;SUBSTITUTE(SUBSTITUTE(SUBSTITUTE('Calculations'!HQ410,"~","~~"),"*","~*"),"?","~?"))&gt;1,"!AMBIG",IFERROR(INDEX('Calculations'!$HF$13:$HF$512,MATCH('Calculations'!HQ410,'Calculations'!$HE$13:$HE$512,0)),""))))</x:f>
      </x:c>
      <x:c r="HS410" t="str">
        <x:f>IF('Calculations'!HR410="","",IF('Calculations'!HR410="!AMBIG","!AMBIG",IF(COUNTIF('Calculations'!$HE$13:$HE$512,"="&amp;SUBSTITUTE(SUBSTITUTE(SUBSTITUTE('Calculations'!HR410,"~","~~"),"*","~*"),"?","~?"))&gt;1,"!AMBIG",IFERROR(INDEX('Calculations'!$HF$13:$HF$512,MATCH('Calculations'!HR410,'Calculations'!$HE$13:$HE$512,0)),""))))</x:f>
      </x:c>
      <x:c r="HT410" t="str">
        <x:f>IF('Calculations'!HS410="","",IF('Calculations'!HS410="!AMBIG","!AMBIG",IF(COUNTIF('Calculations'!$HE$13:$HE$512,"="&amp;SUBSTITUTE(SUBSTITUTE(SUBSTITUTE('Calculations'!HS410,"~","~~"),"*","~*"),"?","~?"))&gt;1,"!AMBIG",IFERROR(INDEX('Calculations'!$HF$13:$HF$512,MATCH('Calculations'!HS410,'Calculations'!$HE$13:$HE$512,0)),""))))</x:f>
      </x:c>
      <x:c r="HU410" t="str">
        <x:f>IF('Calculations'!HT410="","",IF('Calculations'!HT410="!AMBIG","!AMBIG",IF(COUNTIF('Calculations'!$HE$13:$HE$512,"="&amp;SUBSTITUTE(SUBSTITUTE(SUBSTITUTE('Calculations'!HT410,"~","~~"),"*","~*"),"?","~?"))&gt;1,"!AMBIG",IFERROR(INDEX('Calculations'!$HF$13:$HF$512,MATCH('Calculations'!HT410,'Calculations'!$HE$13:$HE$512,0)),""))))</x:f>
      </x:c>
      <x:c r="HV410" t="str">
        <x:f>IF('Calculations'!HU410="","",IF('Calculations'!HU410="!AMBIG","!AMBIG",IF(COUNTIF('Calculations'!$HE$13:$HE$512,"="&amp;SUBSTITUTE(SUBSTITUTE(SUBSTITUTE('Calculations'!HU410,"~","~~"),"*","~*"),"?","~?"))&gt;1,"!AMBIG",IFERROR(INDEX('Calculations'!$HF$13:$HF$512,MATCH('Calculations'!HU410,'Calculations'!$HE$13:$HE$512,0)),""))))</x:f>
      </x:c>
      <x:c r="HW410" t="str">
        <x:f>IF('Calculations'!HV410="","",IF('Calculations'!HV410="!AMBIG","!AMBIG",IF(COUNTIF('Calculations'!$HE$13:$HE$512,"="&amp;SUBSTITUTE(SUBSTITUTE(SUBSTITUTE('Calculations'!HV410,"~","~~"),"*","~*"),"?","~?"))&gt;1,"!AMBIG",IFERROR(INDEX('Calculations'!$HF$13:$HF$512,MATCH('Calculations'!HV410,'Calculations'!$HE$13:$HE$512,0)),""))))</x:f>
      </x:c>
      <x:c r="HX410" t="str">
        <x:f>IF('Calculations'!HW410="","",IF('Calculations'!HW410="!AMBIG","!AMBIG",IF(COUNTIF('Calculations'!$HE$13:$HE$512,"="&amp;SUBSTITUTE(SUBSTITUTE(SUBSTITUTE('Calculations'!HW410,"~","~~"),"*","~*"),"?","~?"))&gt;1,"!AMBIG",IFERROR(INDEX('Calculations'!$HF$13:$HF$512,MATCH('Calculations'!HW410,'Calculations'!$HE$13:$HE$512,0)),""))))</x:f>
      </x:c>
      <x:c r="HY410" t="str">
        <x:f>IF('Calculations'!HX410="","",IF('Calculations'!HX410="!AMBIG","!AMBIG",IF(COUNTIF('Calculations'!$HE$13:$HE$512,"="&amp;SUBSTITUTE(SUBSTITUTE(SUBSTITUTE('Calculations'!HX410,"~","~~"),"*","~*"),"?","~?"))&gt;1,"!AMBIG",IFERROR(INDEX('Calculations'!$HF$13:$HF$512,MATCH('Calculations'!HX410,'Calculations'!$HE$13:$HE$512,0)),""))))</x:f>
      </x:c>
      <x:c r="HZ410" t="str">
        <x:f>IF('Calculations'!HY410="","",IF('Calculations'!HY410="!AMBIG","!AMBIG",IF(COUNTIF('Calculations'!$HE$13:$HE$512,"="&amp;SUBSTITUTE(SUBSTITUTE(SUBSTITUTE('Calculations'!HY410,"~","~~"),"*","~*"),"?","~?"))&gt;1,"!AMBIG",IFERROR(INDEX('Calculations'!$HF$13:$HF$512,MATCH('Calculations'!HY410,'Calculations'!$HE$13:$HE$512,0)),""))))</x:f>
      </x:c>
      <x:c r="IA410" t="str">
        <x:f>IF('Calculations'!HZ410="","",IF('Calculations'!HZ410="!AMBIG","!AMBIG",IF(COUNTIF('Calculations'!$HE$13:$HE$512,"="&amp;SUBSTITUTE(SUBSTITUTE(SUBSTITUTE('Calculations'!HZ410,"~","~~"),"*","~*"),"?","~?"))&gt;1,"!AMBIG",IFERROR(INDEX('Calculations'!$HF$13:$HF$512,MATCH('Calculations'!HZ410,'Calculations'!$HE$13:$HE$512,0)),""))))</x:f>
      </x:c>
      <x:c r="IB410" t="str">
        <x:f>IF('Calculations'!IA410="","",IF('Calculations'!IA410="!AMBIG","!AMBIG",IF(COUNTIF('Calculations'!$HE$13:$HE$512,"="&amp;SUBSTITUTE(SUBSTITUTE(SUBSTITUTE('Calculations'!IA410,"~","~~"),"*","~*"),"?","~?"))&gt;1,"!AMBIG",IFERROR(INDEX('Calculations'!$HF$13:$HF$512,MATCH('Calculations'!IA410,'Calculations'!$HE$13:$HE$512,0)),""))))</x:f>
      </x:c>
      <x:c r="IC410" t="str">
        <x:f>IF('Calculations'!IB410="","",IF('Calculations'!IB410="!AMBIG","!AMBIG",IF(COUNTIF('Calculations'!$HE$13:$HE$512,"="&amp;SUBSTITUTE(SUBSTITUTE(SUBSTITUTE('Calculations'!IB410,"~","~~"),"*","~*"),"?","~?"))&gt;1,"!AMBIG",IFERROR(INDEX('Calculations'!$HF$13:$HF$512,MATCH('Calculations'!IB410,'Calculations'!$HE$13:$HE$512,0)),""))))</x:f>
      </x:c>
      <x:c r="ID410" t="str">
        <x:f>IF('Calculations'!IC410="","",IF('Calculations'!IC410="!AMBIG","!AMBIG",IF(COUNTIF('Calculations'!$HE$13:$HE$512,"="&amp;SUBSTITUTE(SUBSTITUTE(SUBSTITUTE('Calculations'!IC410,"~","~~"),"*","~*"),"?","~?"))&gt;1,"!AMBIG",IFERROR(INDEX('Calculations'!$HF$13:$HF$512,MATCH('Calculations'!IC410,'Calculations'!$HE$13:$HE$512,0)),""))))</x:f>
      </x:c>
      <x:c r="IE410" t="str">
        <x:f>IF('Calculations'!ID410="","",IF('Calculations'!ID410="!AMBIG","!AMBIG",IF(COUNTIF('Calculations'!$HE$13:$HE$512,"="&amp;SUBSTITUTE(SUBSTITUTE(SUBSTITUTE('Calculations'!ID410,"~","~~"),"*","~*"),"?","~?"))&gt;1,"!AMBIG",IFERROR(INDEX('Calculations'!$HF$13:$HF$512,MATCH('Calculations'!ID410,'Calculations'!$HE$13:$HE$512,0)),""))))</x:f>
      </x:c>
      <x:c r="IF410" t="str">
        <x:f>IF('Calculations'!IE410="","",IF('Calculations'!IE410="!AMBIG","!AMBIG",IF(COUNTIF('Calculations'!$HE$13:$HE$512,"="&amp;SUBSTITUTE(SUBSTITUTE(SUBSTITUTE('Calculations'!IE410,"~","~~"),"*","~*"),"?","~?"))&gt;1,"!AMBIG",IFERROR(INDEX('Calculations'!$HF$13:$HF$512,MATCH('Calculations'!IE410,'Calculations'!$HE$13:$HE$512,0)),""))))</x:f>
      </x:c>
      <x:c r="IG410" t="str">
        <x:f>IF('Calculations'!IF410="","",IF('Calculations'!IF410="!AMBIG","!AMBIG",IF(COUNTIF('Calculations'!$HE$13:$HE$512,"="&amp;SUBSTITUTE(SUBSTITUTE(SUBSTITUTE('Calculations'!IF410,"~","~~"),"*","~*"),"?","~?"))&gt;1,"!AMBIG",IFERROR(INDEX('Calculations'!$HF$13:$HF$512,MATCH('Calculations'!IF410,'Calculations'!$HE$13:$HE$512,0)),""))))</x:f>
      </x:c>
      <x:c r="IH410" t="str">
        <x:f>IF('Calculations'!IG410="","",IF('Calculations'!IG410="!AMBIG","!AMBIG",IF(COUNTIF('Calculations'!$HE$13:$HE$512,"="&amp;SUBSTITUTE(SUBSTITUTE(SUBSTITUTE('Calculations'!IG410,"~","~~"),"*","~*"),"?","~?"))&gt;1,"!AMBIG",IFERROR(INDEX('Calculations'!$HF$13:$HF$512,MATCH('Calculations'!IG410,'Calculations'!$HE$13:$HE$512,0)),""))))</x:f>
      </x:c>
      <x:c r="II410" t="str">
        <x:f>IF('Calculations'!IH410="","",IF('Calculations'!IH410="!AMBIG","!AMBIG",IF(COUNTIF('Calculations'!$HE$13:$HE$512,"="&amp;SUBSTITUTE(SUBSTITUTE(SUBSTITUTE('Calculations'!IH410,"~","~~"),"*","~*"),"?","~?"))&gt;1,"!AMBIG",IFERROR(INDEX('Calculations'!$HF$13:$HF$512,MATCH('Calculations'!IH410,'Calculations'!$HE$13:$HE$512,0)),""))))</x:f>
      </x:c>
      <x:c r="IJ410" t="str">
        <x:f>IF('Calculations'!EM410="","",IF('Calculations'!$EF$2="All",'Calculations'!HM410,IF('Calculations'!HL410=1,"",IFERROR(IF(MATCH('Calculations'!$EF$2,'Calculations'!HO410:II410,0)=1,'Calculations'!HE410,INDEX('Calculations'!HO410:II410,1,MATCH('Calculations'!$EF$2,'Calculations'!HO410:II410,0)-1)),""))))</x:f>
      </x:c>
      <x:c r="IK410" t="n">
        <x:f>IF(AND('Calculations'!EM410&lt;&gt;"",'Calculations'!$EF$2&lt;&gt;"All",'Calculations'!HF410='Calculations'!$EF$2,'Calculations'!HL410=0,'Calculations'!JD410&gt;0),MAX('Calculations'!$IK$12:IK409)+1,0)</x:f>
        <x:v>0</x:v>
      </x:c>
      <x:c r="JA410" t="n">
        <x:f>IF(OR(IFERROR(INDIRECT("'WCM Calibration Final'!$A$410")&lt;&gt;"",FALSE),IFERROR(INDIRECT("'WCM Calibration Final'!$B$410")&lt;&gt;"",FALSE),IFERROR(INDIRECT("'WCM Calibration Final'!$C$410")&lt;&gt;"",FALSE)),410,0)</x:f>
        <x:v>0</x:v>
      </x:c>
      <x:c r="JB410" t="n">
        <x:f>'Calculations'!JB409+IF('Calculations'!JA410&gt;0,1,0)</x:f>
        <x:v>0</x:v>
      </x:c>
      <x:c r="JC410" t="n">
        <x:f>IF(OR('Calculations'!HF410="",'Calculations'!HF410="!AMBIG"),0,IF('Dashboard'!$B$7="All",1,COUNTIFS('Calculations'!$HO$13:$HO$512,"="&amp;SUBSTITUTE(SUBSTITUTE(SUBSTITUTE('Calculations'!HF410,"~","~~"),"*","~*"),"?","~?"),'Calculations'!$HN$13:$HN$512,"="&amp;SUBSTITUTE(SUBSTITUTE(SUBSTITUTE('Dashboard'!$B$7,"~","~~"),"*","~*"),"?","~?"))+COUNTIFS('Calculations'!$HP$13:$HP$512,"="&amp;SUBSTITUTE(SUBSTITUTE(SUBSTITUTE('Calculations'!HF410,"~","~~"),"*","~*"),"?","~?"),'Calculations'!$HN$13:$HN$512,"="&amp;SUBSTITUTE(SUBSTITUTE(SUBSTITUTE('Dashboard'!$B$7,"~","~~"),"*","~*"),"?","~?"))+COUNTIFS('Calculations'!$HQ$13:$HQ$512,"="&amp;SUBSTITUTE(SUBSTITUTE(SUBSTITUTE('Calculations'!HF410,"~","~~"),"*","~*"),"?","~?"),'Calculations'!$HN$13:$HN$512,"="&amp;SUBSTITUTE(SUBSTITUTE(SUBSTITUTE('Dashboard'!$B$7,"~","~~"),"*","~*"),"?","~?"))+COUNTIFS('Calculations'!$HR$13:$HR$512,"="&amp;SUBSTITUTE(SUBSTITUTE(SUBSTITUTE('Calculations'!HF410,"~","~~"),"*","~*"),"?","~?"),'Calculations'!$HN$13:$HN$512,"="&amp;SUBSTITUTE(SUBSTITUTE(SUBSTITUTE('Dashboard'!$B$7,"~","~~"),"*","~*"),"?","~?"))+COUNTIFS('Calculations'!$HS$13:$HS$512,"="&amp;SUBSTITUTE(SUBSTITUTE(SUBSTITUTE('Calculations'!HF410,"~","~~"),"*","~*"),"?","~?"),'Calculations'!$HN$13:$HN$512,"="&amp;SUBSTITUTE(SUBSTITUTE(SUBSTITUTE('Dashboard'!$B$7,"~","~~"),"*","~*"),"?","~?"))+COUNTIFS('Calculations'!$HT$13:$HT$512,"="&amp;SUBSTITUTE(SUBSTITUTE(SUBSTITUTE('Calculations'!HF410,"~","~~"),"*","~*"),"?","~?"),'Calculations'!$HN$13:$HN$512,"="&amp;SUBSTITUTE(SUBSTITUTE(SUBSTITUTE('Dashboard'!$B$7,"~","~~"),"*","~*"),"?","~?"))+COUNTIFS('Calculations'!$HU$13:$HU$512,"="&amp;SUBSTITUTE(SUBSTITUTE(SUBSTITUTE('Calculations'!HF410,"~","~~"),"*","~*"),"?","~?"),'Calculations'!$HN$13:$HN$512,"="&amp;SUBSTITUTE(SUBSTITUTE(SUBSTITUTE('Dashboard'!$B$7,"~","~~"),"*","~*"),"?","~?"))+COUNTIFS('Calculations'!$HV$13:$HV$512,"="&amp;SUBSTITUTE(SUBSTITUTE(SUBSTITUTE('Calculations'!HF410,"~","~~"),"*","~*"),"?","~?"),'Calculations'!$HN$13:$HN$512,"="&amp;SUBSTITUTE(SUBSTITUTE(SUBSTITUTE('Dashboard'!$B$7,"~","~~"),"*","~*"),"?","~?"))+COUNTIFS('Calculations'!$HW$13:$HW$512,"="&amp;SUBSTITUTE(SUBSTITUTE(SUBSTITUTE('Calculations'!HF410,"~","~~"),"*","~*"),"?","~?"),'Calculations'!$HN$13:$HN$512,"="&amp;SUBSTITUTE(SUBSTITUTE(SUBSTITUTE('Dashboard'!$B$7,"~","~~"),"*","~*"),"?","~?"))+COUNTIFS('Calculations'!$HX$13:$HX$512,"="&amp;SUBSTITUTE(SUBSTITUTE(SUBSTITUTE('Calculations'!HF410,"~","~~"),"*","~*"),"?","~?"),'Calculations'!$HN$13:$HN$512,"="&amp;SUBSTITUTE(SUBSTITUTE(SUBSTITUTE('Dashboard'!$B$7,"~","~~"),"*","~*"),"?","~?"))+COUNTIFS('Calculations'!$HY$13:$HY$512,"="&amp;SUBSTITUTE(SUBSTITUTE(SUBSTITUTE('Calculations'!HF410,"~","~~"),"*","~*"),"?","~?"),'Calculations'!$HN$13:$HN$512,"="&amp;SUBSTITUTE(SUBSTITUTE(SUBSTITUTE('Dashboard'!$B$7,"~","~~"),"*","~*"),"?","~?"))+COUNTIFS('Calculations'!$HZ$13:$HZ$512,"="&amp;SUBSTITUTE(SUBSTITUTE(SUBSTITUTE('Calculations'!HF410,"~","~~"),"*","~*"),"?","~?"),'Calculations'!$HN$13:$HN$512,"="&amp;SUBSTITUTE(SUBSTITUTE(SUBSTITUTE('Dashboard'!$B$7,"~","~~"),"*","~*"),"?","~?"))+COUNTIFS('Calculations'!$IA$13:$IA$512,"="&amp;SUBSTITUTE(SUBSTITUTE(SUBSTITUTE('Calculations'!HF410,"~","~~"),"*","~*"),"?","~?"),'Calculations'!$HN$13:$HN$512,"="&amp;SUBSTITUTE(SUBSTITUTE(SUBSTITUTE('Dashboard'!$B$7,"~","~~"),"*","~*"),"?","~?"))+COUNTIFS('Calculations'!$IB$13:$IB$512,"="&amp;SUBSTITUTE(SUBSTITUTE(SUBSTITUTE('Calculations'!HF410,"~","~~"),"*","~*"),"?","~?"),'Calculations'!$HN$13:$HN$512,"="&amp;SUBSTITUTE(SUBSTITUTE(SUBSTITUTE('Dashboard'!$B$7,"~","~~"),"*","~*"),"?","~?"))+COUNTIFS('Calculations'!$IC$13:$IC$512,"="&amp;SUBSTITUTE(SUBSTITUTE(SUBSTITUTE('Calculations'!HF410,"~","~~"),"*","~*"),"?","~?"),'Calculations'!$HN$13:$HN$512,"="&amp;SUBSTITUTE(SUBSTITUTE(SUBSTITUTE('Dashboard'!$B$7,"~","~~"),"*","~*"),"?","~?"))+COUNTIFS('Calculations'!$ID$13:$ID$512,"="&amp;SUBSTITUTE(SUBSTITUTE(SUBSTITUTE('Calculations'!HF410,"~","~~"),"*","~*"),"?","~?"),'Calculations'!$HN$13:$HN$512,"="&amp;SUBSTITUTE(SUBSTITUTE(SUBSTITUTE('Dashboard'!$B$7,"~","~~"),"*","~*"),"?","~?"))+COUNTIFS('Calculations'!$IE$13:$IE$512,"="&amp;SUBSTITUTE(SUBSTITUTE(SUBSTITUTE('Calculations'!HF410,"~","~~"),"*","~*"),"?","~?"),'Calculations'!$HN$13:$HN$512,"="&amp;SUBSTITUTE(SUBSTITUTE(SUBSTITUTE('Dashboard'!$B$7,"~","~~"),"*","~*"),"?","~?"))+COUNTIFS('Calculations'!$IF$13:$IF$512,"="&amp;SUBSTITUTE(SUBSTITUTE(SUBSTITUTE('Calculations'!HF410,"~","~~"),"*","~*"),"?","~?"),'Calculations'!$HN$13:$HN$512,"="&amp;SUBSTITUTE(SUBSTITUTE(SUBSTITUTE('Dashboard'!$B$7,"~","~~"),"*","~*"),"?","~?"))+COUNTIFS('Calculations'!$IG$13:$IG$512,"="&amp;SUBSTITUTE(SUBSTITUTE(SUBSTITUTE('Calculations'!HF410,"~","~~"),"*","~*"),"?","~?"),'Calculations'!$HN$13:$HN$512,"="&amp;SUBSTITUTE(SUBSTITUTE(SUBSTITUTE('Dashboard'!$B$7,"~","~~"),"*","~*"),"?","~?"))+COUNTIFS('Calculations'!$IH$13:$IH$512,"="&amp;SUBSTITUTE(SUBSTITUTE(SUBSTITUTE('Calculations'!HF410,"~","~~"),"*","~*"),"?","~?"),'Calculations'!$HN$13:$HN$512,"="&amp;SUBSTITUTE(SUBSTITUTE(SUBSTITUTE('Dashboard'!$B$7,"~","~~"),"*","~*"),"?","~?"))))</x:f>
        <x:v>0</x:v>
      </x:c>
      <x:c r="JD410" t="n">
        <x:f>IF('Calculations'!EM410="",0,IF('Dashboard'!$B$7="All",1,IF('Calculations'!HN410='Dashboard'!$B$7,1,0)+IFERROR(INDEX('Calculations'!$JC$13:$JC$512,MATCH('Calculations'!HE410,'Calculations'!$HF$13:$HF$512,0)),0)))</x:f>
        <x:v>0</x:v>
      </x:c>
      <x:c r="JE410" t="n">
        <x:f>IF(AND('Calculations'!EM410&lt;&gt;"",'Calculations'!$JJ$2&lt;&gt;"All",'Calculations'!$JJ$2&lt;&gt;"",'Calculations'!HF410='Calculations'!$JJ$2,'Calculations'!HL410=0,'Calculations'!JD410&gt;0),MAX('Calculations'!$JE$12:JE409)+1,0)</x:f>
        <x:v>0</x:v>
      </x:c>
      <x:c r="JF410" t="str">
        <x:f>IF('Calculations'!EM410="","",IFERROR(IF(INDEX(INDIRECT("'WCM Calibration Final'!$G$1:$G$2000"),'Calculations'!$EM410)="","",TRIM(INDEX(INDIRECT("'WCM Calibration Final'!$G$1:$G$2000"),'Calculations'!$EM410)&amp;"")),""))</x:f>
      </x:c>
      <x:c r="JQ410" t="n">
        <x:f>IF(OR('Calculations'!BM410=0,NOT('Calculations'!$AG$2),'Calculations'!$AG$8&gt;0),0,IF(OR('Dashboard'!$B$7="All",'Calculations'!HN410='Dashboard'!$B$7),IF('Calculations'!$JJ$2="All",1,IF(AND('Calculations'!HF410='Calculations'!$JJ$2,'Calculations'!HL410=0),1,0)),0))</x:f>
        <x:v>0</x:v>
      </x:c>
    </x:row>
    <x:row r="411">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t="n">
        <x:f>IF('Calculations'!$EM411="",0,IF(OR(IFERROR(INDEX(INDIRECT("'WCM Calibration Final'!$A$1:$A$2000"),'Calculations'!$EM411)&lt;&gt;"",FALSE),IFERROR(INDEX(INDIRECT("'WCM Calibration Final'!$B$1:$B$2000"),'Calculations'!$EM411)&lt;&gt;"",FALSE),IFERROR(INDEX(INDIRECT("'WCM Calibration Final'!$C$1:$C$2000"),'Calculations'!$EM411)&lt;&gt;"",FALSE)),1,0))</x:f>
        <x:v>0</x:v>
      </x:c>
      <x:c r="BN411" s="4" t="n">
        <x:f>IF(AND('Calculations'!BM411=1,'Calculations'!$AG$2,'Calculations'!$EN411=1),1,0)</x:f>
        <x:v>0</x:v>
      </x:c>
      <x:c r="BO411" s="4" t="str">
        <x:f>IF('Calculations'!BM411=0,"",IFERROR(IF(AND(VALUE(INDEX(INDIRECT("'WCM Calibration Final'!$K$1:$K$2000"),'Calculations'!$EM411))&gt;=1,VALUE(INDEX(INDIRECT("'WCM Calibration Final'!$K$1:$K$2000"),'Calculations'!$EM411))&lt;=4,MOD(VALUE(INDEX(INDIRECT("'WCM Calibration Final'!$K$1:$K$2000"),'Calculations'!$EM411)),1)=0),VALUE(INDEX(INDIRECT("'WCM Calibration Final'!$K$1:$K$2000"),'Calculations'!$EM411)),""),""))</x:f>
      </x:c>
      <x:c r="BP411" s="4" t="str">
        <x:f>IF('Calculations'!BM411=0,"",IFERROR(IF(AND(VALUE(INDEX(INDIRECT("'WCM Calibration Final'!$L$1:$L$2000"),'Calculations'!$EM411))&gt;=1,VALUE(INDEX(INDIRECT("'WCM Calibration Final'!$L$1:$L$2000"),'Calculations'!$EM411))&lt;=4,MOD(VALUE(INDEX(INDIRECT("'WCM Calibration Final'!$L$1:$L$2000"),'Calculations'!$EM411)),1)=0),VALUE(INDEX(INDIRECT("'WCM Calibration Final'!$L$1:$L$2000"),'Calculations'!$EM411)),""),""))</x:f>
      </x:c>
      <x:c r="BQ411" s="4"/>
      <x:c r="BR411" s="4"/>
      <x:c r="BS411" s="4"/>
      <x:c r="BT411" s="4" t="n">
        <x:f>IF(AND('Calculations'!BM411=1,ISNUMBER('Calculations'!BO411),ISNUMBER('Calculations'!BP411)),1,0)</x:f>
        <x:v>0</x:v>
      </x:c>
      <x:c r="BU411" s="4" t="str">
        <x:f>IF('Calculations'!BM411=0,"",'Calculations'!$EO411)</x:f>
      </x:c>
      <x:c r="BV411" s="4" t="str">
        <x:f>IF('Calculations'!BM411=0,"",IFERROR(IF(OR(INDEX(INDIRECT("'WCM Calibration Final'!$H$1:$H$2000"),'Calculations'!$EM411)="MANAGING DIRECTOR",INDEX(INDIRECT("'WCM Calibration Final'!$H$1:$H$2000"),'Calculations'!$EM411)="DIRECTOR",INDEX(INDIRECT("'WCM Calibration Final'!$H$1:$H$2000"),'Calculations'!$EM411)="SENIOR VICE PRESIDENT",INDEX(INDIRECT("'WCM Calibration Final'!$H$1:$H$2000"),'Calculations'!$EM411)="VICE PRESIDENT",INDEX(INDIRECT("'WCM Calibration Final'!$H$1:$H$2000"),'Calculations'!$EM411)="ASSISTANT VICE PRESIDENT",INDEX(INDIRECT("'WCM Calibration Final'!$H$1:$H$2000"),'Calculations'!$EM411)="OFFICER"),UPPER(INDEX(INDIRECT("'WCM Calibration Final'!$H$1:$H$2000"),'Calculations'!$EM411)),"Other"),"Other"))</x:f>
      </x:c>
      <x:c r="BW411" s="4"/>
      <x:c r="BX411" s="4"/>
      <x:c r="BY411" s="4" t="n">
        <x:f>IF(AND('Calculations'!BM411=1,'Calculations'!BU411&lt;&gt;"",COUNTIF('Calculations'!$BU$12:BU411,'Calculations'!BU411)=1),MAX('Calculations'!$BY$11:BY410)+1,0)</x:f>
        <x:v>0</x:v>
      </x:c>
      <x:c r="BZ411" s="4" t="str">
        <x:f>IF('Dashboard'!$E$67="What",'Calculations'!BO411,'Calculations'!BP411)</x:f>
      </x:c>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t="str">
        <x:f>IF(400&gt;MAX('Calculations'!$HI$13:$HI$512),"",INDEX('Calculations'!$HN$13:$HN$512,MATCH(400,'Calculations'!$HI$13:$HI$512,0)))</x:f>
      </x:c>
      <x:c r="DB411" s="4" t="str">
        <x:f>IF(400&gt;MAX('Calculations'!$HH$13:$HH$512),"",INDEX('Calculations'!$HJ$13:$HJ$512,MATCH(400,'Calculations'!$HH$13:$HH$512,0)))</x:f>
      </x:c>
      <x:c r="DC411" s="4" t="str">
        <x:f>IF(ROW()-11&gt;MAX('Calculations'!$BY$13:$BY$512),"",INDEX('Calculations'!$BU$13:$BU$512,MATCH(ROW()-11,'Calculations'!$BY$13:$BY$512,0)))</x:f>
      </x:c>
      <x:c r="DD411" s="4" t="str">
        <x:f>IF(400&gt;MAX('Calculations'!$IK$13:$IK$512),"",INDEX('Calculations'!$HK$13:$HK$512,MATCH(400,'Calculations'!$IK$13:$IK$512,0)))</x:f>
      </x:c>
      <x:c r="DE411" s="4" t="str">
        <x:f>'Calculations'!DC411</x:f>
      </x:c>
      <x:c r="DF411" s="4" t="str">
        <x:f>IF('Calculations'!DE411="","",COUNTIFS('Calculations'!$BN$13:$BN$512,1,'Calculations'!$BU$13:$BU$512,'Calculations'!DE411))</x:f>
      </x:c>
      <x:c r="DG411" s="4" t="str">
        <x:f>IF('Calculations'!DE411="","",COUNTIFS('Calculations'!$BN$13:$BN$512,1,'Calculations'!$BU$13:$BU$512,'Calculations'!DE411,'Calculations'!$BT$13:$BT$512,1))</x:f>
      </x:c>
      <x:c r="DH411" s="4" t="str">
        <x:f>IF('Calculations'!DE411="","",'Calculations'!DF411-'Calculations'!DG411)</x:f>
      </x:c>
      <x:c r="DI411" s="4" t="str">
        <x:f>IF(OR('Calculations'!DE411="",'Calculations'!DF411=0),"",'Calculations'!DG411/'Calculations'!DF411)</x:f>
      </x:c>
      <x:c r="DJ411" s="4" t="str">
        <x:f>IF('Calculations'!DE411="","",COUNTIFS('Calculations'!$BN$13:$BN$512,1,'Calculations'!$BU$13:$BU$512,'Calculations'!DE411,'Calculations'!$BT$13:$BT$512,1,'Calculations'!$EE$13:$EE$512,"High"))</x:f>
      </x:c>
      <x:c r="DK411" s="4" t="str">
        <x:f>IF('Calculations'!DE411="","",COUNTIFS('Calculations'!$BN$13:$BN$512,1,'Calculations'!$BU$13:$BU$512,'Calculations'!DE411,'Calculations'!$BT$13:$BT$512,1,'Calculations'!$EE$13:$EE$512,"Strong"))</x:f>
      </x:c>
      <x:c r="DL411" s="4" t="str">
        <x:f>IF('Calculations'!DE411="","",COUNTIFS('Calculations'!$BN$13:$BN$512,1,'Calculations'!$BU$13:$BU$512,'Calculations'!DE411,'Calculations'!$BT$13:$BT$512,1,'Calculations'!$EE$13:$EE$512,"Solid"))</x:f>
      </x:c>
      <x:c r="DM411" s="4" t="str">
        <x:f>IF('Calculations'!DE411="","",COUNTIFS('Calculations'!$BN$13:$BN$512,1,'Calculations'!$BU$13:$BU$512,'Calculations'!DE411,'Calculations'!$BT$13:$BT$512,1,'Calculations'!$EE$13:$EE$512,"Low"))</x:f>
      </x:c>
      <x:c r="DN411" s="4" t="str">
        <x:f>IF('Calculations'!DE411="","",COUNTIFS('Calculations'!$BN$13:$BN$512,1,'Calculations'!$BU$13:$BU$512,'Calculations'!DE411,'Calculations'!$EP$13:$EP$512,1))</x:f>
      </x:c>
      <x:c r="DO411" s="4" t="str">
        <x:f>IF(OR('Calculations'!DE411="",'Calculations'!DG411=0),"",('Calculations'!DJ411+'Calculations'!DK411)/'Calculations'!DG411)</x:f>
      </x:c>
      <x:c r="DP411" s="4" t="n">
        <x:f>IF(AND('Calculations'!DE411&lt;&gt;"",'Calculations'!DF411&gt;0),COUNTIF('Calculations'!$DF$12:DF411,"&gt;0"),0)</x:f>
        <x:v>0</x:v>
      </x:c>
      <x:c r="DQ411" s="4" t="str">
        <x:f>IF(400&gt;MAX('Calculations'!$HH$13:$HH$512),"",INDEX('Calculations'!$HF$13:$HF$512,MATCH(400,'Calculations'!$HH$13:$HH$512,0)))</x:f>
      </x:c>
      <x:c r="DR411" s="4" t="str">
        <x:f>IF(400&gt;MAX('Calculations'!$IK$13:$IK$512),"",INDEX('Calculations'!$HE$13:$HE$512,MATCH(400,'Calculations'!$IK$13:$IK$512,0)))</x:f>
      </x:c>
      <x:c r="DS411" s="4"/>
      <x:c r="DT411" s="4"/>
      <x:c r="DU411" s="4"/>
      <x:c r="DV411" s="4"/>
      <x:c r="DW411" s="4"/>
      <x:c r="DX411" s="4"/>
      <x:c r="DY411" s="4"/>
      <x:c r="DZ411" s="4"/>
      <x:c r="EA411" s="4"/>
      <x:c r="EB411" s="4"/>
      <x:c r="EC411" s="4"/>
      <x:c r="ED411" s="4"/>
      <x:c r="EE411" s="4" t="str">
        <x:f>IF('Calculations'!BT411=0,"Not Rated",IF(OR('Calculations'!BO411&gt;=4,'Calculations'!BP411&gt;=4),"Low",IF('Calculations'!BO411+'Calculations'!BP411&lt;=3,"High",IF('Calculations'!BO411+'Calculations'!BP411&lt;=4,"Strong","Solid"))))</x:f>
        <x:v>Not Rated</x:v>
      </x:c>
      <x:c r="EF411" s="4"/>
      <x:c r="EG411" s="4"/>
      <x:c r="EH411" s="4"/>
      <x:c r="EI411" s="4"/>
      <x:c r="EJ411" s="4"/>
      <x:c r="EK411" s="4"/>
      <x:c r="EL411" s="4"/>
      <x:c r="EM411" s="4" t="str">
        <x:f>IF(399&gt;'Calculations'!$JB$2000,"",INDEX('Calculations'!$JA$12:$JA$2000,MATCH(399,'Calculations'!$JB$12:$JB$2000,0)))</x:f>
      </x:c>
      <x:c r="EN411" s="4" t="n">
        <x:f>IF(OR('Calculations'!EM411="",'Calculations'!$AG$8&gt;0,AND('Calculations'!$EF$2&lt;&gt;"All",'Calculations'!HE411='Calculations'!$EF$2),AND('Calculations'!$EF$3&lt;&gt;"All",'Calculations'!HE411='Calculations'!$EF$3)),0,IF(OR('Dashboard'!$B$7="All",'Calculations'!HN411='Dashboard'!$B$7),IF('Calculations'!$EF$2="All",1,IF('Calculations'!HL411&gt;0,0,IF(COUNTIF('Calculations'!HO411:II411,"="&amp;SUBSTITUTE(SUBSTITUTE(SUBSTITUTE('Calculations'!$EF$2,"~","~~"),"*","~*"),"?","~?"))=0,0,IF('Calculations'!$EF$3="All",1,IF(COUNTIF('Calculations'!HO411:II411,"="&amp;SUBSTITUTE(SUBSTITUTE(SUBSTITUTE('Calculations'!$EF$3,"~","~~"),"*","~*"),"?","~?"))&gt;0,1,0))))),0))</x:f>
        <x:v>0</x:v>
      </x:c>
      <x:c r="EO411" s="4" t="str">
        <x:f>IF('Calculations'!IJ411="","",IF('Calculations'!IJ411="!UNRESOLVED","Unresolved hierarchy",IFERROR(INDEX('Calculations'!$HK$13:$HK$512,MATCH('Calculations'!IJ411,'Calculations'!$HE$13:$HE$512,0)),IFERROR(INDEX('Calculations'!$HJ$13:$HJ$512,MATCH('Calculations'!IJ411,'Calculations'!$HF$13:$HF$512,0)),'Calculations'!IJ411))))</x:f>
      </x:c>
      <x:c r="EP411" s="4" t="n">
        <x:f>IF(AND('Calculations'!EM411&lt;&gt;"",'Calculations'!HF411='Calculations'!IJ411),1,0)</x:f>
        <x:v>0</x:v>
      </x:c>
      <x:c r="EQ411" s="4"/>
      <x:c r="ER411" s="4"/>
      <x:c r="ES411" s="4"/>
      <x:c r="ET411" s="4"/>
      <x:c r="EU411" s="4"/>
      <x:c r="EV411" s="4"/>
      <x:c r="EW411" s="4"/>
      <x:c r="EX411" s="4"/>
      <x:c r="EY411" s="4"/>
      <x:c r="EZ411" s="4"/>
      <x:c r="FA411" s="4"/>
      <x:c r="FB411" s="4"/>
      <x:c r="FC411" s="4"/>
      <x:c r="FD411" s="4"/>
      <x:c r="FE411" s="4"/>
      <x:c r="FF411" s="4"/>
      <x:c r="FG411" s="4"/>
      <x:c r="FH411" s="4"/>
      <x:c r="FI411" s="4"/>
      <x:c r="FJ411" s="4"/>
      <x:c r="FK411" s="4"/>
      <x:c r="FL411" s="4"/>
      <x:c r="FM411" s="4"/>
      <x:c r="FN411" s="4"/>
      <x:c r="FO411" s="4"/>
      <x:c r="HE411" t="str">
        <x:f>IF('Calculations'!EM411="","",IF(IFERROR(IF(INDEX(INDIRECT("'WCM Calibration Final'!$A$1:$A$2000"),'Calculations'!$EM411)="","",TRIM(INDEX(INDIRECT("'WCM Calibration Final'!$A$1:$A$2000"),'Calculations'!$EM411)&amp;"")),"")&lt;&gt;"","G:"&amp;IFERROR(TEXT(1*INDEX(INDIRECT("'WCM Calibration Final'!$A$1:$A$2000"),'Calculations'!$EM411),"0"),UPPER(IFERROR(IF(INDEX(INDIRECT("'WCM Calibration Final'!$A$1:$A$2000"),'Calculations'!$EM411)="","",TRIM(INDEX(INDIRECT("'WCM Calibration Final'!$A$1:$A$2000"),'Calculations'!$EM411)&amp;"")),""))),IF(IFERROR(IF(INDEX(INDIRECT("'WCM Calibration Final'!$C$1:$C$2000"),'Calculations'!$EM411)="","",TRIM(INDEX(INDIRECT("'WCM Calibration Final'!$C$1:$C$2000"),'Calculations'!$EM411)&amp;"")),"")&lt;&gt;"","S:"&amp;UPPER(IFERROR(IF(INDEX(INDIRECT("'WCM Calibration Final'!$C$1:$C$2000"),'Calculations'!$EM411)="","",TRIM(INDEX(INDIRECT("'WCM Calibration Final'!$C$1:$C$2000"),'Calculations'!$EM411)&amp;"")),"")),"R:"&amp;'Calculations'!EM411)))</x:f>
      </x:c>
      <x:c r="HF411" t="str">
        <x:f>IF('Calculations'!EM411="","",IF(IFERROR(IF(INDEX(INDIRECT("'WCM Calibration Final'!$D$1:$D$2000"),'Calculations'!$EM411)="","",TRIM(INDEX(INDIRECT("'WCM Calibration Final'!$D$1:$D$2000"),'Calculations'!$EM411)&amp;"")),"")&lt;&gt;"","G:"&amp;IFERROR(TEXT(1*INDEX(INDIRECT("'WCM Calibration Final'!$D$1:$D$2000"),'Calculations'!$EM411),"0"),UPPER(IFERROR(IF(INDEX(INDIRECT("'WCM Calibration Final'!$D$1:$D$2000"),'Calculations'!$EM411)="","",TRIM(INDEX(INDIRECT("'WCM Calibration Final'!$D$1:$D$2000"),'Calculations'!$EM411)&amp;"")),""))),IF(IFERROR(IF(INDEX(INDIRECT("'WCM Calibration Final'!$E$1:$E$2000"),'Calculations'!$EM411)="","",TRIM(INDEX(INDIRECT("'WCM Calibration Final'!$E$1:$E$2000"),'Calculations'!$EM411)&amp;"")),"")="","",IF(COUNTIF('Calculations'!$HG$13:$HG$512,"="&amp;SUBSTITUTE(SUBSTITUTE(SUBSTITUTE(IFERROR(IF(INDEX(INDIRECT("'WCM Calibration Final'!$E$1:$E$2000"),'Calculations'!$EM411)="","",TRIM(INDEX(INDIRECT("'WCM Calibration Final'!$E$1:$E$2000"),'Calculations'!$EM411)&amp;"")),""),"~","~~"),"*","~*"),"?","~?"))=1,INDEX('Calculations'!$HE$13:$HE$512,MATCH(IFERROR(IF(INDEX(INDIRECT("'WCM Calibration Final'!$E$1:$E$2000"),'Calculations'!$EM411)="","",TRIM(INDEX(INDIRECT("'WCM Calibration Final'!$E$1:$E$2000"),'Calculations'!$EM411)&amp;"")),""),'Calculations'!$HG$13:$HG$512,0)),IF(COUNTIF('Calculations'!$HG$13:$HG$512,"="&amp;SUBSTITUTE(SUBSTITUTE(SUBSTITUTE(IFERROR(IF(INDEX(INDIRECT("'WCM Calibration Final'!$E$1:$E$2000"),'Calculations'!$EM411)="","",TRIM(INDEX(INDIRECT("'WCM Calibration Final'!$E$1:$E$2000"),'Calculations'!$EM411)&amp;"")),""),"~","~~"),"*","~*"),"?","~?"))&gt;1,"!AMBIG","X:"&amp;IFERROR(IF(INDEX(INDIRECT("'WCM Calibration Final'!$E$1:$E$2000"),'Calculations'!$EM411)="","",TRIM(INDEX(INDIRECT("'WCM Calibration Final'!$E$1:$E$2000"),'Calculations'!$EM411)&amp;"")),""))))))</x:f>
      </x:c>
      <x:c r="HG411" t="str">
        <x:f>IF('Calculations'!EM411="","",IFERROR(IF(INDEX(INDIRECT("'WCM Calibration Final'!$B$1:$B$2000"),'Calculations'!$EM411)="","",TRIM(INDEX(INDIRECT("'WCM Calibration Final'!$B$1:$B$2000"),'Calculations'!$EM411)&amp;"")),""))</x:f>
      </x:c>
      <x:c r="HH411" t="n">
        <x:f>IF(AND('Calculations'!JC411&gt;0,COUNTIF('Calculations'!$HF$12:HF411,"="&amp;SUBSTITUTE(SUBSTITUTE(SUBSTITUTE('Calculations'!HF411,"~","~~"),"*","~*"),"?","~?"))=1),MAX('Calculations'!$HH$12:HH410)+1,0)</x:f>
        <x:v>0</x:v>
      </x:c>
      <x:c r="HI411" t="n">
        <x:f>IF(AND('Calculations'!HN411&lt;&gt;"",COUNTIF('Calculations'!$HN$12:HN411,"="&amp;SUBSTITUTE(SUBSTITUTE(SUBSTITUTE('Calculations'!HN411,"~","~~"),"*","~*"),"?","~?"))=1),MAX('Calculations'!$HI$12:HI410)+1,0)</x:f>
        <x:v>0</x:v>
      </x:c>
      <x:c r="HJ411" t="str">
        <x:f>IF('Calculations'!HF411="","",IF(COUNTIF('Calculations'!$HE$13:$HE$512,"="&amp;SUBSTITUTE(SUBSTITUTE(SUBSTITUTE('Calculations'!HF411,"~","~~"),"*","~*"),"?","~?"))=1,INDEX('Calculations'!$HK$13:$HK$512,MATCH('Calculations'!HF411,'Calculations'!$HE$13:$HE$512,0)),IFERROR(IF(INDEX(INDIRECT("'WCM Calibration Final'!$E$1:$E$2000"),'Calculations'!$EM411)="","",TRIM(INDEX(INDIRECT("'WCM Calibration Final'!$E$1:$E$2000"),'Calculations'!$EM411)&amp;"")),"")&amp;" ["&amp;'Calculations'!HF411&amp;"]"))</x:f>
      </x:c>
      <x:c r="HK411" t="str">
        <x:f>IF('Calculations'!EM411="","",'Calculations'!HG411&amp;" ["&amp;'Calculations'!HE411&amp;"]")</x:f>
      </x:c>
      <x:c r="HL411" t="n">
        <x:f>IF('Calculations'!EM411="",0,IF(OR('Calculations'!II411&lt;&gt;"",COUNTIF('Calculations'!$HE$13:$HE$512,"="&amp;SUBSTITUTE(SUBSTITUTE(SUBSTITUTE('Calculations'!HE411,"~","~~"),"*","~*"),"?","~?"))&gt;1),1,0))</x:f>
        <x:v>0</x:v>
      </x:c>
      <x:c r="HM411" t="str">
        <x:f>IF('Calculations'!EM411="","",IF('Calculations'!HL411=1,"!UNRESOLVED",IF('Calculations'!IH411&lt;&gt;"",'Calculations'!IH411,IF('Calculations'!IG411&lt;&gt;"",'Calculations'!IG411,IF('Calculations'!IF411&lt;&gt;"",'Calculations'!IF411,IF('Calculations'!IE411&lt;&gt;"",'Calculations'!IE411,IF('Calculations'!ID411&lt;&gt;"",'Calculations'!ID411,IF('Calculations'!IC411&lt;&gt;"",'Calculations'!IC411,IF('Calculations'!IB411&lt;&gt;"",'Calculations'!IB411,IF('Calculations'!IA411&lt;&gt;"",'Calculations'!IA411,IF('Calculations'!HZ411&lt;&gt;"",'Calculations'!HZ411,IF('Calculations'!HY411&lt;&gt;"",'Calculations'!HY411,IF('Calculations'!HX411&lt;&gt;"",'Calculations'!HX411,IF('Calculations'!HW411&lt;&gt;"",'Calculations'!HW411,IF('Calculations'!HV411&lt;&gt;"",'Calculations'!HV411,IF('Calculations'!HU411&lt;&gt;"",'Calculations'!HU411,IF('Calculations'!HT411&lt;&gt;"",'Calculations'!HT411,IF('Calculations'!HS411&lt;&gt;"",'Calculations'!HS411,IF('Calculations'!HR411&lt;&gt;"",'Calculations'!HR411,IF('Calculations'!HQ411&lt;&gt;"",'Calculations'!HQ411,IF('Calculations'!HP411&lt;&gt;"",'Calculations'!HP411,IF('Calculations'!HO411&lt;&gt;"",'Calculations'!HO411,'Calculations'!HE411))))))))))))))))))))))</x:f>
      </x:c>
      <x:c r="HN411" t="str">
        <x:f>IF('Calculations'!EM411="","",IF(IFERROR(IF(INDEX(INDIRECT("'WCM Calibration Final'!$F$1:$F$2000"),'Calculations'!$EM411)="","",TRIM(INDEX(INDIRECT("'WCM Calibration Final'!$F$1:$F$2000"),'Calculations'!$EM411)&amp;"")),"")="","(Blank)",IFERROR(IF(INDEX(INDIRECT("'WCM Calibration Final'!$F$1:$F$2000"),'Calculations'!$EM411)="","",TRIM(INDEX(INDIRECT("'WCM Calibration Final'!$F$1:$F$2000"),'Calculations'!$EM411)&amp;"")),"")))</x:f>
      </x:c>
      <x:c r="HO411" t="str">
        <x:f>'Calculations'!HF411</x:f>
      </x:c>
      <x:c r="HP411" t="str">
        <x:f>IF('Calculations'!HO411="","",IF('Calculations'!HO411="!AMBIG","!AMBIG",IF(COUNTIF('Calculations'!$HE$13:$HE$512,"="&amp;SUBSTITUTE(SUBSTITUTE(SUBSTITUTE('Calculations'!HO411,"~","~~"),"*","~*"),"?","~?"))&gt;1,"!AMBIG",IFERROR(INDEX('Calculations'!$HF$13:$HF$512,MATCH('Calculations'!HO411,'Calculations'!$HE$13:$HE$512,0)),""))))</x:f>
      </x:c>
      <x:c r="HQ411" t="str">
        <x:f>IF('Calculations'!HP411="","",IF('Calculations'!HP411="!AMBIG","!AMBIG",IF(COUNTIF('Calculations'!$HE$13:$HE$512,"="&amp;SUBSTITUTE(SUBSTITUTE(SUBSTITUTE('Calculations'!HP411,"~","~~"),"*","~*"),"?","~?"))&gt;1,"!AMBIG",IFERROR(INDEX('Calculations'!$HF$13:$HF$512,MATCH('Calculations'!HP411,'Calculations'!$HE$13:$HE$512,0)),""))))</x:f>
      </x:c>
      <x:c r="HR411" t="str">
        <x:f>IF('Calculations'!HQ411="","",IF('Calculations'!HQ411="!AMBIG","!AMBIG",IF(COUNTIF('Calculations'!$HE$13:$HE$512,"="&amp;SUBSTITUTE(SUBSTITUTE(SUBSTITUTE('Calculations'!HQ411,"~","~~"),"*","~*"),"?","~?"))&gt;1,"!AMBIG",IFERROR(INDEX('Calculations'!$HF$13:$HF$512,MATCH('Calculations'!HQ411,'Calculations'!$HE$13:$HE$512,0)),""))))</x:f>
      </x:c>
      <x:c r="HS411" t="str">
        <x:f>IF('Calculations'!HR411="","",IF('Calculations'!HR411="!AMBIG","!AMBIG",IF(COUNTIF('Calculations'!$HE$13:$HE$512,"="&amp;SUBSTITUTE(SUBSTITUTE(SUBSTITUTE('Calculations'!HR411,"~","~~"),"*","~*"),"?","~?"))&gt;1,"!AMBIG",IFERROR(INDEX('Calculations'!$HF$13:$HF$512,MATCH('Calculations'!HR411,'Calculations'!$HE$13:$HE$512,0)),""))))</x:f>
      </x:c>
      <x:c r="HT411" t="str">
        <x:f>IF('Calculations'!HS411="","",IF('Calculations'!HS411="!AMBIG","!AMBIG",IF(COUNTIF('Calculations'!$HE$13:$HE$512,"="&amp;SUBSTITUTE(SUBSTITUTE(SUBSTITUTE('Calculations'!HS411,"~","~~"),"*","~*"),"?","~?"))&gt;1,"!AMBIG",IFERROR(INDEX('Calculations'!$HF$13:$HF$512,MATCH('Calculations'!HS411,'Calculations'!$HE$13:$HE$512,0)),""))))</x:f>
      </x:c>
      <x:c r="HU411" t="str">
        <x:f>IF('Calculations'!HT411="","",IF('Calculations'!HT411="!AMBIG","!AMBIG",IF(COUNTIF('Calculations'!$HE$13:$HE$512,"="&amp;SUBSTITUTE(SUBSTITUTE(SUBSTITUTE('Calculations'!HT411,"~","~~"),"*","~*"),"?","~?"))&gt;1,"!AMBIG",IFERROR(INDEX('Calculations'!$HF$13:$HF$512,MATCH('Calculations'!HT411,'Calculations'!$HE$13:$HE$512,0)),""))))</x:f>
      </x:c>
      <x:c r="HV411" t="str">
        <x:f>IF('Calculations'!HU411="","",IF('Calculations'!HU411="!AMBIG","!AMBIG",IF(COUNTIF('Calculations'!$HE$13:$HE$512,"="&amp;SUBSTITUTE(SUBSTITUTE(SUBSTITUTE('Calculations'!HU411,"~","~~"),"*","~*"),"?","~?"))&gt;1,"!AMBIG",IFERROR(INDEX('Calculations'!$HF$13:$HF$512,MATCH('Calculations'!HU411,'Calculations'!$HE$13:$HE$512,0)),""))))</x:f>
      </x:c>
      <x:c r="HW411" t="str">
        <x:f>IF('Calculations'!HV411="","",IF('Calculations'!HV411="!AMBIG","!AMBIG",IF(COUNTIF('Calculations'!$HE$13:$HE$512,"="&amp;SUBSTITUTE(SUBSTITUTE(SUBSTITUTE('Calculations'!HV411,"~","~~"),"*","~*"),"?","~?"))&gt;1,"!AMBIG",IFERROR(INDEX('Calculations'!$HF$13:$HF$512,MATCH('Calculations'!HV411,'Calculations'!$HE$13:$HE$512,0)),""))))</x:f>
      </x:c>
      <x:c r="HX411" t="str">
        <x:f>IF('Calculations'!HW411="","",IF('Calculations'!HW411="!AMBIG","!AMBIG",IF(COUNTIF('Calculations'!$HE$13:$HE$512,"="&amp;SUBSTITUTE(SUBSTITUTE(SUBSTITUTE('Calculations'!HW411,"~","~~"),"*","~*"),"?","~?"))&gt;1,"!AMBIG",IFERROR(INDEX('Calculations'!$HF$13:$HF$512,MATCH('Calculations'!HW411,'Calculations'!$HE$13:$HE$512,0)),""))))</x:f>
      </x:c>
      <x:c r="HY411" t="str">
        <x:f>IF('Calculations'!HX411="","",IF('Calculations'!HX411="!AMBIG","!AMBIG",IF(COUNTIF('Calculations'!$HE$13:$HE$512,"="&amp;SUBSTITUTE(SUBSTITUTE(SUBSTITUTE('Calculations'!HX411,"~","~~"),"*","~*"),"?","~?"))&gt;1,"!AMBIG",IFERROR(INDEX('Calculations'!$HF$13:$HF$512,MATCH('Calculations'!HX411,'Calculations'!$HE$13:$HE$512,0)),""))))</x:f>
      </x:c>
      <x:c r="HZ411" t="str">
        <x:f>IF('Calculations'!HY411="","",IF('Calculations'!HY411="!AMBIG","!AMBIG",IF(COUNTIF('Calculations'!$HE$13:$HE$512,"="&amp;SUBSTITUTE(SUBSTITUTE(SUBSTITUTE('Calculations'!HY411,"~","~~"),"*","~*"),"?","~?"))&gt;1,"!AMBIG",IFERROR(INDEX('Calculations'!$HF$13:$HF$512,MATCH('Calculations'!HY411,'Calculations'!$HE$13:$HE$512,0)),""))))</x:f>
      </x:c>
      <x:c r="IA411" t="str">
        <x:f>IF('Calculations'!HZ411="","",IF('Calculations'!HZ411="!AMBIG","!AMBIG",IF(COUNTIF('Calculations'!$HE$13:$HE$512,"="&amp;SUBSTITUTE(SUBSTITUTE(SUBSTITUTE('Calculations'!HZ411,"~","~~"),"*","~*"),"?","~?"))&gt;1,"!AMBIG",IFERROR(INDEX('Calculations'!$HF$13:$HF$512,MATCH('Calculations'!HZ411,'Calculations'!$HE$13:$HE$512,0)),""))))</x:f>
      </x:c>
      <x:c r="IB411" t="str">
        <x:f>IF('Calculations'!IA411="","",IF('Calculations'!IA411="!AMBIG","!AMBIG",IF(COUNTIF('Calculations'!$HE$13:$HE$512,"="&amp;SUBSTITUTE(SUBSTITUTE(SUBSTITUTE('Calculations'!IA411,"~","~~"),"*","~*"),"?","~?"))&gt;1,"!AMBIG",IFERROR(INDEX('Calculations'!$HF$13:$HF$512,MATCH('Calculations'!IA411,'Calculations'!$HE$13:$HE$512,0)),""))))</x:f>
      </x:c>
      <x:c r="IC411" t="str">
        <x:f>IF('Calculations'!IB411="","",IF('Calculations'!IB411="!AMBIG","!AMBIG",IF(COUNTIF('Calculations'!$HE$13:$HE$512,"="&amp;SUBSTITUTE(SUBSTITUTE(SUBSTITUTE('Calculations'!IB411,"~","~~"),"*","~*"),"?","~?"))&gt;1,"!AMBIG",IFERROR(INDEX('Calculations'!$HF$13:$HF$512,MATCH('Calculations'!IB411,'Calculations'!$HE$13:$HE$512,0)),""))))</x:f>
      </x:c>
      <x:c r="ID411" t="str">
        <x:f>IF('Calculations'!IC411="","",IF('Calculations'!IC411="!AMBIG","!AMBIG",IF(COUNTIF('Calculations'!$HE$13:$HE$512,"="&amp;SUBSTITUTE(SUBSTITUTE(SUBSTITUTE('Calculations'!IC411,"~","~~"),"*","~*"),"?","~?"))&gt;1,"!AMBIG",IFERROR(INDEX('Calculations'!$HF$13:$HF$512,MATCH('Calculations'!IC411,'Calculations'!$HE$13:$HE$512,0)),""))))</x:f>
      </x:c>
      <x:c r="IE411" t="str">
        <x:f>IF('Calculations'!ID411="","",IF('Calculations'!ID411="!AMBIG","!AMBIG",IF(COUNTIF('Calculations'!$HE$13:$HE$512,"="&amp;SUBSTITUTE(SUBSTITUTE(SUBSTITUTE('Calculations'!ID411,"~","~~"),"*","~*"),"?","~?"))&gt;1,"!AMBIG",IFERROR(INDEX('Calculations'!$HF$13:$HF$512,MATCH('Calculations'!ID411,'Calculations'!$HE$13:$HE$512,0)),""))))</x:f>
      </x:c>
      <x:c r="IF411" t="str">
        <x:f>IF('Calculations'!IE411="","",IF('Calculations'!IE411="!AMBIG","!AMBIG",IF(COUNTIF('Calculations'!$HE$13:$HE$512,"="&amp;SUBSTITUTE(SUBSTITUTE(SUBSTITUTE('Calculations'!IE411,"~","~~"),"*","~*"),"?","~?"))&gt;1,"!AMBIG",IFERROR(INDEX('Calculations'!$HF$13:$HF$512,MATCH('Calculations'!IE411,'Calculations'!$HE$13:$HE$512,0)),""))))</x:f>
      </x:c>
      <x:c r="IG411" t="str">
        <x:f>IF('Calculations'!IF411="","",IF('Calculations'!IF411="!AMBIG","!AMBIG",IF(COUNTIF('Calculations'!$HE$13:$HE$512,"="&amp;SUBSTITUTE(SUBSTITUTE(SUBSTITUTE('Calculations'!IF411,"~","~~"),"*","~*"),"?","~?"))&gt;1,"!AMBIG",IFERROR(INDEX('Calculations'!$HF$13:$HF$512,MATCH('Calculations'!IF411,'Calculations'!$HE$13:$HE$512,0)),""))))</x:f>
      </x:c>
      <x:c r="IH411" t="str">
        <x:f>IF('Calculations'!IG411="","",IF('Calculations'!IG411="!AMBIG","!AMBIG",IF(COUNTIF('Calculations'!$HE$13:$HE$512,"="&amp;SUBSTITUTE(SUBSTITUTE(SUBSTITUTE('Calculations'!IG411,"~","~~"),"*","~*"),"?","~?"))&gt;1,"!AMBIG",IFERROR(INDEX('Calculations'!$HF$13:$HF$512,MATCH('Calculations'!IG411,'Calculations'!$HE$13:$HE$512,0)),""))))</x:f>
      </x:c>
      <x:c r="II411" t="str">
        <x:f>IF('Calculations'!IH411="","",IF('Calculations'!IH411="!AMBIG","!AMBIG",IF(COUNTIF('Calculations'!$HE$13:$HE$512,"="&amp;SUBSTITUTE(SUBSTITUTE(SUBSTITUTE('Calculations'!IH411,"~","~~"),"*","~*"),"?","~?"))&gt;1,"!AMBIG",IFERROR(INDEX('Calculations'!$HF$13:$HF$512,MATCH('Calculations'!IH411,'Calculations'!$HE$13:$HE$512,0)),""))))</x:f>
      </x:c>
      <x:c r="IJ411" t="str">
        <x:f>IF('Calculations'!EM411="","",IF('Calculations'!$EF$2="All",'Calculations'!HM411,IF('Calculations'!HL411=1,"",IFERROR(IF(MATCH('Calculations'!$EF$2,'Calculations'!HO411:II411,0)=1,'Calculations'!HE411,INDEX('Calculations'!HO411:II411,1,MATCH('Calculations'!$EF$2,'Calculations'!HO411:II411,0)-1)),""))))</x:f>
      </x:c>
      <x:c r="IK411" t="n">
        <x:f>IF(AND('Calculations'!EM411&lt;&gt;"",'Calculations'!$EF$2&lt;&gt;"All",'Calculations'!HF411='Calculations'!$EF$2,'Calculations'!HL411=0,'Calculations'!JD411&gt;0),MAX('Calculations'!$IK$12:IK410)+1,0)</x:f>
        <x:v>0</x:v>
      </x:c>
      <x:c r="JA411" t="n">
        <x:f>IF(OR(IFERROR(INDIRECT("'WCM Calibration Final'!$A$411")&lt;&gt;"",FALSE),IFERROR(INDIRECT("'WCM Calibration Final'!$B$411")&lt;&gt;"",FALSE),IFERROR(INDIRECT("'WCM Calibration Final'!$C$411")&lt;&gt;"",FALSE)),411,0)</x:f>
        <x:v>0</x:v>
      </x:c>
      <x:c r="JB411" t="n">
        <x:f>'Calculations'!JB410+IF('Calculations'!JA411&gt;0,1,0)</x:f>
        <x:v>0</x:v>
      </x:c>
      <x:c r="JC411" t="n">
        <x:f>IF(OR('Calculations'!HF411="",'Calculations'!HF411="!AMBIG"),0,IF('Dashboard'!$B$7="All",1,COUNTIFS('Calculations'!$HO$13:$HO$512,"="&amp;SUBSTITUTE(SUBSTITUTE(SUBSTITUTE('Calculations'!HF411,"~","~~"),"*","~*"),"?","~?"),'Calculations'!$HN$13:$HN$512,"="&amp;SUBSTITUTE(SUBSTITUTE(SUBSTITUTE('Dashboard'!$B$7,"~","~~"),"*","~*"),"?","~?"))+COUNTIFS('Calculations'!$HP$13:$HP$512,"="&amp;SUBSTITUTE(SUBSTITUTE(SUBSTITUTE('Calculations'!HF411,"~","~~"),"*","~*"),"?","~?"),'Calculations'!$HN$13:$HN$512,"="&amp;SUBSTITUTE(SUBSTITUTE(SUBSTITUTE('Dashboard'!$B$7,"~","~~"),"*","~*"),"?","~?"))+COUNTIFS('Calculations'!$HQ$13:$HQ$512,"="&amp;SUBSTITUTE(SUBSTITUTE(SUBSTITUTE('Calculations'!HF411,"~","~~"),"*","~*"),"?","~?"),'Calculations'!$HN$13:$HN$512,"="&amp;SUBSTITUTE(SUBSTITUTE(SUBSTITUTE('Dashboard'!$B$7,"~","~~"),"*","~*"),"?","~?"))+COUNTIFS('Calculations'!$HR$13:$HR$512,"="&amp;SUBSTITUTE(SUBSTITUTE(SUBSTITUTE('Calculations'!HF411,"~","~~"),"*","~*"),"?","~?"),'Calculations'!$HN$13:$HN$512,"="&amp;SUBSTITUTE(SUBSTITUTE(SUBSTITUTE('Dashboard'!$B$7,"~","~~"),"*","~*"),"?","~?"))+COUNTIFS('Calculations'!$HS$13:$HS$512,"="&amp;SUBSTITUTE(SUBSTITUTE(SUBSTITUTE('Calculations'!HF411,"~","~~"),"*","~*"),"?","~?"),'Calculations'!$HN$13:$HN$512,"="&amp;SUBSTITUTE(SUBSTITUTE(SUBSTITUTE('Dashboard'!$B$7,"~","~~"),"*","~*"),"?","~?"))+COUNTIFS('Calculations'!$HT$13:$HT$512,"="&amp;SUBSTITUTE(SUBSTITUTE(SUBSTITUTE('Calculations'!HF411,"~","~~"),"*","~*"),"?","~?"),'Calculations'!$HN$13:$HN$512,"="&amp;SUBSTITUTE(SUBSTITUTE(SUBSTITUTE('Dashboard'!$B$7,"~","~~"),"*","~*"),"?","~?"))+COUNTIFS('Calculations'!$HU$13:$HU$512,"="&amp;SUBSTITUTE(SUBSTITUTE(SUBSTITUTE('Calculations'!HF411,"~","~~"),"*","~*"),"?","~?"),'Calculations'!$HN$13:$HN$512,"="&amp;SUBSTITUTE(SUBSTITUTE(SUBSTITUTE('Dashboard'!$B$7,"~","~~"),"*","~*"),"?","~?"))+COUNTIFS('Calculations'!$HV$13:$HV$512,"="&amp;SUBSTITUTE(SUBSTITUTE(SUBSTITUTE('Calculations'!HF411,"~","~~"),"*","~*"),"?","~?"),'Calculations'!$HN$13:$HN$512,"="&amp;SUBSTITUTE(SUBSTITUTE(SUBSTITUTE('Dashboard'!$B$7,"~","~~"),"*","~*"),"?","~?"))+COUNTIFS('Calculations'!$HW$13:$HW$512,"="&amp;SUBSTITUTE(SUBSTITUTE(SUBSTITUTE('Calculations'!HF411,"~","~~"),"*","~*"),"?","~?"),'Calculations'!$HN$13:$HN$512,"="&amp;SUBSTITUTE(SUBSTITUTE(SUBSTITUTE('Dashboard'!$B$7,"~","~~"),"*","~*"),"?","~?"))+COUNTIFS('Calculations'!$HX$13:$HX$512,"="&amp;SUBSTITUTE(SUBSTITUTE(SUBSTITUTE('Calculations'!HF411,"~","~~"),"*","~*"),"?","~?"),'Calculations'!$HN$13:$HN$512,"="&amp;SUBSTITUTE(SUBSTITUTE(SUBSTITUTE('Dashboard'!$B$7,"~","~~"),"*","~*"),"?","~?"))+COUNTIFS('Calculations'!$HY$13:$HY$512,"="&amp;SUBSTITUTE(SUBSTITUTE(SUBSTITUTE('Calculations'!HF411,"~","~~"),"*","~*"),"?","~?"),'Calculations'!$HN$13:$HN$512,"="&amp;SUBSTITUTE(SUBSTITUTE(SUBSTITUTE('Dashboard'!$B$7,"~","~~"),"*","~*"),"?","~?"))+COUNTIFS('Calculations'!$HZ$13:$HZ$512,"="&amp;SUBSTITUTE(SUBSTITUTE(SUBSTITUTE('Calculations'!HF411,"~","~~"),"*","~*"),"?","~?"),'Calculations'!$HN$13:$HN$512,"="&amp;SUBSTITUTE(SUBSTITUTE(SUBSTITUTE('Dashboard'!$B$7,"~","~~"),"*","~*"),"?","~?"))+COUNTIFS('Calculations'!$IA$13:$IA$512,"="&amp;SUBSTITUTE(SUBSTITUTE(SUBSTITUTE('Calculations'!HF411,"~","~~"),"*","~*"),"?","~?"),'Calculations'!$HN$13:$HN$512,"="&amp;SUBSTITUTE(SUBSTITUTE(SUBSTITUTE('Dashboard'!$B$7,"~","~~"),"*","~*"),"?","~?"))+COUNTIFS('Calculations'!$IB$13:$IB$512,"="&amp;SUBSTITUTE(SUBSTITUTE(SUBSTITUTE('Calculations'!HF411,"~","~~"),"*","~*"),"?","~?"),'Calculations'!$HN$13:$HN$512,"="&amp;SUBSTITUTE(SUBSTITUTE(SUBSTITUTE('Dashboard'!$B$7,"~","~~"),"*","~*"),"?","~?"))+COUNTIFS('Calculations'!$IC$13:$IC$512,"="&amp;SUBSTITUTE(SUBSTITUTE(SUBSTITUTE('Calculations'!HF411,"~","~~"),"*","~*"),"?","~?"),'Calculations'!$HN$13:$HN$512,"="&amp;SUBSTITUTE(SUBSTITUTE(SUBSTITUTE('Dashboard'!$B$7,"~","~~"),"*","~*"),"?","~?"))+COUNTIFS('Calculations'!$ID$13:$ID$512,"="&amp;SUBSTITUTE(SUBSTITUTE(SUBSTITUTE('Calculations'!HF411,"~","~~"),"*","~*"),"?","~?"),'Calculations'!$HN$13:$HN$512,"="&amp;SUBSTITUTE(SUBSTITUTE(SUBSTITUTE('Dashboard'!$B$7,"~","~~"),"*","~*"),"?","~?"))+COUNTIFS('Calculations'!$IE$13:$IE$512,"="&amp;SUBSTITUTE(SUBSTITUTE(SUBSTITUTE('Calculations'!HF411,"~","~~"),"*","~*"),"?","~?"),'Calculations'!$HN$13:$HN$512,"="&amp;SUBSTITUTE(SUBSTITUTE(SUBSTITUTE('Dashboard'!$B$7,"~","~~"),"*","~*"),"?","~?"))+COUNTIFS('Calculations'!$IF$13:$IF$512,"="&amp;SUBSTITUTE(SUBSTITUTE(SUBSTITUTE('Calculations'!HF411,"~","~~"),"*","~*"),"?","~?"),'Calculations'!$HN$13:$HN$512,"="&amp;SUBSTITUTE(SUBSTITUTE(SUBSTITUTE('Dashboard'!$B$7,"~","~~"),"*","~*"),"?","~?"))+COUNTIFS('Calculations'!$IG$13:$IG$512,"="&amp;SUBSTITUTE(SUBSTITUTE(SUBSTITUTE('Calculations'!HF411,"~","~~"),"*","~*"),"?","~?"),'Calculations'!$HN$13:$HN$512,"="&amp;SUBSTITUTE(SUBSTITUTE(SUBSTITUTE('Dashboard'!$B$7,"~","~~"),"*","~*"),"?","~?"))+COUNTIFS('Calculations'!$IH$13:$IH$512,"="&amp;SUBSTITUTE(SUBSTITUTE(SUBSTITUTE('Calculations'!HF411,"~","~~"),"*","~*"),"?","~?"),'Calculations'!$HN$13:$HN$512,"="&amp;SUBSTITUTE(SUBSTITUTE(SUBSTITUTE('Dashboard'!$B$7,"~","~~"),"*","~*"),"?","~?"))))</x:f>
        <x:v>0</x:v>
      </x:c>
      <x:c r="JD411" t="n">
        <x:f>IF('Calculations'!EM411="",0,IF('Dashboard'!$B$7="All",1,IF('Calculations'!HN411='Dashboard'!$B$7,1,0)+IFERROR(INDEX('Calculations'!$JC$13:$JC$512,MATCH('Calculations'!HE411,'Calculations'!$HF$13:$HF$512,0)),0)))</x:f>
        <x:v>0</x:v>
      </x:c>
      <x:c r="JE411" t="n">
        <x:f>IF(AND('Calculations'!EM411&lt;&gt;"",'Calculations'!$JJ$2&lt;&gt;"All",'Calculations'!$JJ$2&lt;&gt;"",'Calculations'!HF411='Calculations'!$JJ$2,'Calculations'!HL411=0,'Calculations'!JD411&gt;0),MAX('Calculations'!$JE$12:JE410)+1,0)</x:f>
        <x:v>0</x:v>
      </x:c>
      <x:c r="JF411" t="str">
        <x:f>IF('Calculations'!EM411="","",IFERROR(IF(INDEX(INDIRECT("'WCM Calibration Final'!$G$1:$G$2000"),'Calculations'!$EM411)="","",TRIM(INDEX(INDIRECT("'WCM Calibration Final'!$G$1:$G$2000"),'Calculations'!$EM411)&amp;"")),""))</x:f>
      </x:c>
      <x:c r="JQ411" t="n">
        <x:f>IF(OR('Calculations'!BM411=0,NOT('Calculations'!$AG$2),'Calculations'!$AG$8&gt;0),0,IF(OR('Dashboard'!$B$7="All",'Calculations'!HN411='Dashboard'!$B$7),IF('Calculations'!$JJ$2="All",1,IF(AND('Calculations'!HF411='Calculations'!$JJ$2,'Calculations'!HL411=0),1,0)),0))</x:f>
        <x:v>0</x:v>
      </x:c>
    </x:row>
    <x:row r="412">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t="n">
        <x:f>IF('Calculations'!$EM412="",0,IF(OR(IFERROR(INDEX(INDIRECT("'WCM Calibration Final'!$A$1:$A$2000"),'Calculations'!$EM412)&lt;&gt;"",FALSE),IFERROR(INDEX(INDIRECT("'WCM Calibration Final'!$B$1:$B$2000"),'Calculations'!$EM412)&lt;&gt;"",FALSE),IFERROR(INDEX(INDIRECT("'WCM Calibration Final'!$C$1:$C$2000"),'Calculations'!$EM412)&lt;&gt;"",FALSE)),1,0))</x:f>
        <x:v>0</x:v>
      </x:c>
      <x:c r="BN412" s="4" t="n">
        <x:f>IF(AND('Calculations'!BM412=1,'Calculations'!$AG$2,'Calculations'!$EN412=1),1,0)</x:f>
        <x:v>0</x:v>
      </x:c>
      <x:c r="BO412" s="4" t="str">
        <x:f>IF('Calculations'!BM412=0,"",IFERROR(IF(AND(VALUE(INDEX(INDIRECT("'WCM Calibration Final'!$K$1:$K$2000"),'Calculations'!$EM412))&gt;=1,VALUE(INDEX(INDIRECT("'WCM Calibration Final'!$K$1:$K$2000"),'Calculations'!$EM412))&lt;=4,MOD(VALUE(INDEX(INDIRECT("'WCM Calibration Final'!$K$1:$K$2000"),'Calculations'!$EM412)),1)=0),VALUE(INDEX(INDIRECT("'WCM Calibration Final'!$K$1:$K$2000"),'Calculations'!$EM412)),""),""))</x:f>
      </x:c>
      <x:c r="BP412" s="4" t="str">
        <x:f>IF('Calculations'!BM412=0,"",IFERROR(IF(AND(VALUE(INDEX(INDIRECT("'WCM Calibration Final'!$L$1:$L$2000"),'Calculations'!$EM412))&gt;=1,VALUE(INDEX(INDIRECT("'WCM Calibration Final'!$L$1:$L$2000"),'Calculations'!$EM412))&lt;=4,MOD(VALUE(INDEX(INDIRECT("'WCM Calibration Final'!$L$1:$L$2000"),'Calculations'!$EM412)),1)=0),VALUE(INDEX(INDIRECT("'WCM Calibration Final'!$L$1:$L$2000"),'Calculations'!$EM412)),""),""))</x:f>
      </x:c>
      <x:c r="BQ412" s="4"/>
      <x:c r="BR412" s="4"/>
      <x:c r="BS412" s="4"/>
      <x:c r="BT412" s="4" t="n">
        <x:f>IF(AND('Calculations'!BM412=1,ISNUMBER('Calculations'!BO412),ISNUMBER('Calculations'!BP412)),1,0)</x:f>
        <x:v>0</x:v>
      </x:c>
      <x:c r="BU412" s="4" t="str">
        <x:f>IF('Calculations'!BM412=0,"",'Calculations'!$EO412)</x:f>
      </x:c>
      <x:c r="BV412" s="4" t="str">
        <x:f>IF('Calculations'!BM412=0,"",IFERROR(IF(OR(INDEX(INDIRECT("'WCM Calibration Final'!$H$1:$H$2000"),'Calculations'!$EM412)="MANAGING DIRECTOR",INDEX(INDIRECT("'WCM Calibration Final'!$H$1:$H$2000"),'Calculations'!$EM412)="DIRECTOR",INDEX(INDIRECT("'WCM Calibration Final'!$H$1:$H$2000"),'Calculations'!$EM412)="SENIOR VICE PRESIDENT",INDEX(INDIRECT("'WCM Calibration Final'!$H$1:$H$2000"),'Calculations'!$EM412)="VICE PRESIDENT",INDEX(INDIRECT("'WCM Calibration Final'!$H$1:$H$2000"),'Calculations'!$EM412)="ASSISTANT VICE PRESIDENT",INDEX(INDIRECT("'WCM Calibration Final'!$H$1:$H$2000"),'Calculations'!$EM412)="OFFICER"),UPPER(INDEX(INDIRECT("'WCM Calibration Final'!$H$1:$H$2000"),'Calculations'!$EM412)),"Other"),"Other"))</x:f>
      </x:c>
      <x:c r="BW412" s="4"/>
      <x:c r="BX412" s="4"/>
      <x:c r="BY412" s="4" t="n">
        <x:f>IF(AND('Calculations'!BM412=1,'Calculations'!BU412&lt;&gt;"",COUNTIF('Calculations'!$BU$12:BU412,'Calculations'!BU412)=1),MAX('Calculations'!$BY$11:BY411)+1,0)</x:f>
        <x:v>0</x:v>
      </x:c>
      <x:c r="BZ412" s="4" t="str">
        <x:f>IF('Dashboard'!$E$67="What",'Calculations'!BO412,'Calculations'!BP412)</x:f>
      </x:c>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t="str">
        <x:f>IF(401&gt;MAX('Calculations'!$HI$13:$HI$512),"",INDEX('Calculations'!$HN$13:$HN$512,MATCH(401,'Calculations'!$HI$13:$HI$512,0)))</x:f>
      </x:c>
      <x:c r="DB412" s="4" t="str">
        <x:f>IF(401&gt;MAX('Calculations'!$HH$13:$HH$512),"",INDEX('Calculations'!$HJ$13:$HJ$512,MATCH(401,'Calculations'!$HH$13:$HH$512,0)))</x:f>
      </x:c>
      <x:c r="DC412" s="4" t="str">
        <x:f>IF(ROW()-11&gt;MAX('Calculations'!$BY$13:$BY$512),"",INDEX('Calculations'!$BU$13:$BU$512,MATCH(ROW()-11,'Calculations'!$BY$13:$BY$512,0)))</x:f>
      </x:c>
      <x:c r="DD412" s="4" t="str">
        <x:f>IF(401&gt;MAX('Calculations'!$IK$13:$IK$512),"",INDEX('Calculations'!$HK$13:$HK$512,MATCH(401,'Calculations'!$IK$13:$IK$512,0)))</x:f>
      </x:c>
      <x:c r="DE412" s="4" t="str">
        <x:f>'Calculations'!DC412</x:f>
      </x:c>
      <x:c r="DF412" s="4" t="str">
        <x:f>IF('Calculations'!DE412="","",COUNTIFS('Calculations'!$BN$13:$BN$512,1,'Calculations'!$BU$13:$BU$512,'Calculations'!DE412))</x:f>
      </x:c>
      <x:c r="DG412" s="4" t="str">
        <x:f>IF('Calculations'!DE412="","",COUNTIFS('Calculations'!$BN$13:$BN$512,1,'Calculations'!$BU$13:$BU$512,'Calculations'!DE412,'Calculations'!$BT$13:$BT$512,1))</x:f>
      </x:c>
      <x:c r="DH412" s="4" t="str">
        <x:f>IF('Calculations'!DE412="","",'Calculations'!DF412-'Calculations'!DG412)</x:f>
      </x:c>
      <x:c r="DI412" s="4" t="str">
        <x:f>IF(OR('Calculations'!DE412="",'Calculations'!DF412=0),"",'Calculations'!DG412/'Calculations'!DF412)</x:f>
      </x:c>
      <x:c r="DJ412" s="4" t="str">
        <x:f>IF('Calculations'!DE412="","",COUNTIFS('Calculations'!$BN$13:$BN$512,1,'Calculations'!$BU$13:$BU$512,'Calculations'!DE412,'Calculations'!$BT$13:$BT$512,1,'Calculations'!$EE$13:$EE$512,"High"))</x:f>
      </x:c>
      <x:c r="DK412" s="4" t="str">
        <x:f>IF('Calculations'!DE412="","",COUNTIFS('Calculations'!$BN$13:$BN$512,1,'Calculations'!$BU$13:$BU$512,'Calculations'!DE412,'Calculations'!$BT$13:$BT$512,1,'Calculations'!$EE$13:$EE$512,"Strong"))</x:f>
      </x:c>
      <x:c r="DL412" s="4" t="str">
        <x:f>IF('Calculations'!DE412="","",COUNTIFS('Calculations'!$BN$13:$BN$512,1,'Calculations'!$BU$13:$BU$512,'Calculations'!DE412,'Calculations'!$BT$13:$BT$512,1,'Calculations'!$EE$13:$EE$512,"Solid"))</x:f>
      </x:c>
      <x:c r="DM412" s="4" t="str">
        <x:f>IF('Calculations'!DE412="","",COUNTIFS('Calculations'!$BN$13:$BN$512,1,'Calculations'!$BU$13:$BU$512,'Calculations'!DE412,'Calculations'!$BT$13:$BT$512,1,'Calculations'!$EE$13:$EE$512,"Low"))</x:f>
      </x:c>
      <x:c r="DN412" s="4" t="str">
        <x:f>IF('Calculations'!DE412="","",COUNTIFS('Calculations'!$BN$13:$BN$512,1,'Calculations'!$BU$13:$BU$512,'Calculations'!DE412,'Calculations'!$EP$13:$EP$512,1))</x:f>
      </x:c>
      <x:c r="DO412" s="4" t="str">
        <x:f>IF(OR('Calculations'!DE412="",'Calculations'!DG412=0),"",('Calculations'!DJ412+'Calculations'!DK412)/'Calculations'!DG412)</x:f>
      </x:c>
      <x:c r="DP412" s="4" t="n">
        <x:f>IF(AND('Calculations'!DE412&lt;&gt;"",'Calculations'!DF412&gt;0),COUNTIF('Calculations'!$DF$12:DF412,"&gt;0"),0)</x:f>
        <x:v>0</x:v>
      </x:c>
      <x:c r="DQ412" s="4" t="str">
        <x:f>IF(401&gt;MAX('Calculations'!$HH$13:$HH$512),"",INDEX('Calculations'!$HF$13:$HF$512,MATCH(401,'Calculations'!$HH$13:$HH$512,0)))</x:f>
      </x:c>
      <x:c r="DR412" s="4" t="str">
        <x:f>IF(401&gt;MAX('Calculations'!$IK$13:$IK$512),"",INDEX('Calculations'!$HE$13:$HE$512,MATCH(401,'Calculations'!$IK$13:$IK$512,0)))</x:f>
      </x:c>
      <x:c r="DS412" s="4"/>
      <x:c r="DT412" s="4"/>
      <x:c r="DU412" s="4"/>
      <x:c r="DV412" s="4"/>
      <x:c r="DW412" s="4"/>
      <x:c r="DX412" s="4"/>
      <x:c r="DY412" s="4"/>
      <x:c r="DZ412" s="4"/>
      <x:c r="EA412" s="4"/>
      <x:c r="EB412" s="4"/>
      <x:c r="EC412" s="4"/>
      <x:c r="ED412" s="4"/>
      <x:c r="EE412" s="4" t="str">
        <x:f>IF('Calculations'!BT412=0,"Not Rated",IF(OR('Calculations'!BO412&gt;=4,'Calculations'!BP412&gt;=4),"Low",IF('Calculations'!BO412+'Calculations'!BP412&lt;=3,"High",IF('Calculations'!BO412+'Calculations'!BP412&lt;=4,"Strong","Solid"))))</x:f>
        <x:v>Not Rated</x:v>
      </x:c>
      <x:c r="EF412" s="4"/>
      <x:c r="EG412" s="4"/>
      <x:c r="EH412" s="4"/>
      <x:c r="EI412" s="4"/>
      <x:c r="EJ412" s="4"/>
      <x:c r="EK412" s="4"/>
      <x:c r="EL412" s="4"/>
      <x:c r="EM412" s="4" t="str">
        <x:f>IF(400&gt;'Calculations'!$JB$2000,"",INDEX('Calculations'!$JA$12:$JA$2000,MATCH(400,'Calculations'!$JB$12:$JB$2000,0)))</x:f>
      </x:c>
      <x:c r="EN412" s="4" t="n">
        <x:f>IF(OR('Calculations'!EM412="",'Calculations'!$AG$8&gt;0,AND('Calculations'!$EF$2&lt;&gt;"All",'Calculations'!HE412='Calculations'!$EF$2),AND('Calculations'!$EF$3&lt;&gt;"All",'Calculations'!HE412='Calculations'!$EF$3)),0,IF(OR('Dashboard'!$B$7="All",'Calculations'!HN412='Dashboard'!$B$7),IF('Calculations'!$EF$2="All",1,IF('Calculations'!HL412&gt;0,0,IF(COUNTIF('Calculations'!HO412:II412,"="&amp;SUBSTITUTE(SUBSTITUTE(SUBSTITUTE('Calculations'!$EF$2,"~","~~"),"*","~*"),"?","~?"))=0,0,IF('Calculations'!$EF$3="All",1,IF(COUNTIF('Calculations'!HO412:II412,"="&amp;SUBSTITUTE(SUBSTITUTE(SUBSTITUTE('Calculations'!$EF$3,"~","~~"),"*","~*"),"?","~?"))&gt;0,1,0))))),0))</x:f>
        <x:v>0</x:v>
      </x:c>
      <x:c r="EO412" s="4" t="str">
        <x:f>IF('Calculations'!IJ412="","",IF('Calculations'!IJ412="!UNRESOLVED","Unresolved hierarchy",IFERROR(INDEX('Calculations'!$HK$13:$HK$512,MATCH('Calculations'!IJ412,'Calculations'!$HE$13:$HE$512,0)),IFERROR(INDEX('Calculations'!$HJ$13:$HJ$512,MATCH('Calculations'!IJ412,'Calculations'!$HF$13:$HF$512,0)),'Calculations'!IJ412))))</x:f>
      </x:c>
      <x:c r="EP412" s="4" t="n">
        <x:f>IF(AND('Calculations'!EM412&lt;&gt;"",'Calculations'!HF412='Calculations'!IJ412),1,0)</x:f>
        <x:v>0</x:v>
      </x:c>
      <x:c r="EQ412" s="4"/>
      <x:c r="ER412" s="4"/>
      <x:c r="ES412" s="4"/>
      <x:c r="ET412" s="4"/>
      <x:c r="EU412" s="4"/>
      <x:c r="EV412" s="4"/>
      <x:c r="EW412" s="4"/>
      <x:c r="EX412" s="4"/>
      <x:c r="EY412" s="4"/>
      <x:c r="EZ412" s="4"/>
      <x:c r="FA412" s="4"/>
      <x:c r="FB412" s="4"/>
      <x:c r="FC412" s="4"/>
      <x:c r="FD412" s="4"/>
      <x:c r="FE412" s="4"/>
      <x:c r="FF412" s="4"/>
      <x:c r="FG412" s="4"/>
      <x:c r="FH412" s="4"/>
      <x:c r="FI412" s="4"/>
      <x:c r="FJ412" s="4"/>
      <x:c r="FK412" s="4"/>
      <x:c r="FL412" s="4"/>
      <x:c r="FM412" s="4"/>
      <x:c r="FN412" s="4"/>
      <x:c r="FO412" s="4"/>
      <x:c r="HE412" t="str">
        <x:f>IF('Calculations'!EM412="","",IF(IFERROR(IF(INDEX(INDIRECT("'WCM Calibration Final'!$A$1:$A$2000"),'Calculations'!$EM412)="","",TRIM(INDEX(INDIRECT("'WCM Calibration Final'!$A$1:$A$2000"),'Calculations'!$EM412)&amp;"")),"")&lt;&gt;"","G:"&amp;IFERROR(TEXT(1*INDEX(INDIRECT("'WCM Calibration Final'!$A$1:$A$2000"),'Calculations'!$EM412),"0"),UPPER(IFERROR(IF(INDEX(INDIRECT("'WCM Calibration Final'!$A$1:$A$2000"),'Calculations'!$EM412)="","",TRIM(INDEX(INDIRECT("'WCM Calibration Final'!$A$1:$A$2000"),'Calculations'!$EM412)&amp;"")),""))),IF(IFERROR(IF(INDEX(INDIRECT("'WCM Calibration Final'!$C$1:$C$2000"),'Calculations'!$EM412)="","",TRIM(INDEX(INDIRECT("'WCM Calibration Final'!$C$1:$C$2000"),'Calculations'!$EM412)&amp;"")),"")&lt;&gt;"","S:"&amp;UPPER(IFERROR(IF(INDEX(INDIRECT("'WCM Calibration Final'!$C$1:$C$2000"),'Calculations'!$EM412)="","",TRIM(INDEX(INDIRECT("'WCM Calibration Final'!$C$1:$C$2000"),'Calculations'!$EM412)&amp;"")),"")),"R:"&amp;'Calculations'!EM412)))</x:f>
      </x:c>
      <x:c r="HF412" t="str">
        <x:f>IF('Calculations'!EM412="","",IF(IFERROR(IF(INDEX(INDIRECT("'WCM Calibration Final'!$D$1:$D$2000"),'Calculations'!$EM412)="","",TRIM(INDEX(INDIRECT("'WCM Calibration Final'!$D$1:$D$2000"),'Calculations'!$EM412)&amp;"")),"")&lt;&gt;"","G:"&amp;IFERROR(TEXT(1*INDEX(INDIRECT("'WCM Calibration Final'!$D$1:$D$2000"),'Calculations'!$EM412),"0"),UPPER(IFERROR(IF(INDEX(INDIRECT("'WCM Calibration Final'!$D$1:$D$2000"),'Calculations'!$EM412)="","",TRIM(INDEX(INDIRECT("'WCM Calibration Final'!$D$1:$D$2000"),'Calculations'!$EM412)&amp;"")),""))),IF(IFERROR(IF(INDEX(INDIRECT("'WCM Calibration Final'!$E$1:$E$2000"),'Calculations'!$EM412)="","",TRIM(INDEX(INDIRECT("'WCM Calibration Final'!$E$1:$E$2000"),'Calculations'!$EM412)&amp;"")),"")="","",IF(COUNTIF('Calculations'!$HG$13:$HG$512,"="&amp;SUBSTITUTE(SUBSTITUTE(SUBSTITUTE(IFERROR(IF(INDEX(INDIRECT("'WCM Calibration Final'!$E$1:$E$2000"),'Calculations'!$EM412)="","",TRIM(INDEX(INDIRECT("'WCM Calibration Final'!$E$1:$E$2000"),'Calculations'!$EM412)&amp;"")),""),"~","~~"),"*","~*"),"?","~?"))=1,INDEX('Calculations'!$HE$13:$HE$512,MATCH(IFERROR(IF(INDEX(INDIRECT("'WCM Calibration Final'!$E$1:$E$2000"),'Calculations'!$EM412)="","",TRIM(INDEX(INDIRECT("'WCM Calibration Final'!$E$1:$E$2000"),'Calculations'!$EM412)&amp;"")),""),'Calculations'!$HG$13:$HG$512,0)),IF(COUNTIF('Calculations'!$HG$13:$HG$512,"="&amp;SUBSTITUTE(SUBSTITUTE(SUBSTITUTE(IFERROR(IF(INDEX(INDIRECT("'WCM Calibration Final'!$E$1:$E$2000"),'Calculations'!$EM412)="","",TRIM(INDEX(INDIRECT("'WCM Calibration Final'!$E$1:$E$2000"),'Calculations'!$EM412)&amp;"")),""),"~","~~"),"*","~*"),"?","~?"))&gt;1,"!AMBIG","X:"&amp;IFERROR(IF(INDEX(INDIRECT("'WCM Calibration Final'!$E$1:$E$2000"),'Calculations'!$EM412)="","",TRIM(INDEX(INDIRECT("'WCM Calibration Final'!$E$1:$E$2000"),'Calculations'!$EM412)&amp;"")),""))))))</x:f>
      </x:c>
      <x:c r="HG412" t="str">
        <x:f>IF('Calculations'!EM412="","",IFERROR(IF(INDEX(INDIRECT("'WCM Calibration Final'!$B$1:$B$2000"),'Calculations'!$EM412)="","",TRIM(INDEX(INDIRECT("'WCM Calibration Final'!$B$1:$B$2000"),'Calculations'!$EM412)&amp;"")),""))</x:f>
      </x:c>
      <x:c r="HH412" t="n">
        <x:f>IF(AND('Calculations'!JC412&gt;0,COUNTIF('Calculations'!$HF$12:HF412,"="&amp;SUBSTITUTE(SUBSTITUTE(SUBSTITUTE('Calculations'!HF412,"~","~~"),"*","~*"),"?","~?"))=1),MAX('Calculations'!$HH$12:HH411)+1,0)</x:f>
        <x:v>0</x:v>
      </x:c>
      <x:c r="HI412" t="n">
        <x:f>IF(AND('Calculations'!HN412&lt;&gt;"",COUNTIF('Calculations'!$HN$12:HN412,"="&amp;SUBSTITUTE(SUBSTITUTE(SUBSTITUTE('Calculations'!HN412,"~","~~"),"*","~*"),"?","~?"))=1),MAX('Calculations'!$HI$12:HI411)+1,0)</x:f>
        <x:v>0</x:v>
      </x:c>
      <x:c r="HJ412" t="str">
        <x:f>IF('Calculations'!HF412="","",IF(COUNTIF('Calculations'!$HE$13:$HE$512,"="&amp;SUBSTITUTE(SUBSTITUTE(SUBSTITUTE('Calculations'!HF412,"~","~~"),"*","~*"),"?","~?"))=1,INDEX('Calculations'!$HK$13:$HK$512,MATCH('Calculations'!HF412,'Calculations'!$HE$13:$HE$512,0)),IFERROR(IF(INDEX(INDIRECT("'WCM Calibration Final'!$E$1:$E$2000"),'Calculations'!$EM412)="","",TRIM(INDEX(INDIRECT("'WCM Calibration Final'!$E$1:$E$2000"),'Calculations'!$EM412)&amp;"")),"")&amp;" ["&amp;'Calculations'!HF412&amp;"]"))</x:f>
      </x:c>
      <x:c r="HK412" t="str">
        <x:f>IF('Calculations'!EM412="","",'Calculations'!HG412&amp;" ["&amp;'Calculations'!HE412&amp;"]")</x:f>
      </x:c>
      <x:c r="HL412" t="n">
        <x:f>IF('Calculations'!EM412="",0,IF(OR('Calculations'!II412&lt;&gt;"",COUNTIF('Calculations'!$HE$13:$HE$512,"="&amp;SUBSTITUTE(SUBSTITUTE(SUBSTITUTE('Calculations'!HE412,"~","~~"),"*","~*"),"?","~?"))&gt;1),1,0))</x:f>
        <x:v>0</x:v>
      </x:c>
      <x:c r="HM412" t="str">
        <x:f>IF('Calculations'!EM412="","",IF('Calculations'!HL412=1,"!UNRESOLVED",IF('Calculations'!IH412&lt;&gt;"",'Calculations'!IH412,IF('Calculations'!IG412&lt;&gt;"",'Calculations'!IG412,IF('Calculations'!IF412&lt;&gt;"",'Calculations'!IF412,IF('Calculations'!IE412&lt;&gt;"",'Calculations'!IE412,IF('Calculations'!ID412&lt;&gt;"",'Calculations'!ID412,IF('Calculations'!IC412&lt;&gt;"",'Calculations'!IC412,IF('Calculations'!IB412&lt;&gt;"",'Calculations'!IB412,IF('Calculations'!IA412&lt;&gt;"",'Calculations'!IA412,IF('Calculations'!HZ412&lt;&gt;"",'Calculations'!HZ412,IF('Calculations'!HY412&lt;&gt;"",'Calculations'!HY412,IF('Calculations'!HX412&lt;&gt;"",'Calculations'!HX412,IF('Calculations'!HW412&lt;&gt;"",'Calculations'!HW412,IF('Calculations'!HV412&lt;&gt;"",'Calculations'!HV412,IF('Calculations'!HU412&lt;&gt;"",'Calculations'!HU412,IF('Calculations'!HT412&lt;&gt;"",'Calculations'!HT412,IF('Calculations'!HS412&lt;&gt;"",'Calculations'!HS412,IF('Calculations'!HR412&lt;&gt;"",'Calculations'!HR412,IF('Calculations'!HQ412&lt;&gt;"",'Calculations'!HQ412,IF('Calculations'!HP412&lt;&gt;"",'Calculations'!HP412,IF('Calculations'!HO412&lt;&gt;"",'Calculations'!HO412,'Calculations'!HE412))))))))))))))))))))))</x:f>
      </x:c>
      <x:c r="HN412" t="str">
        <x:f>IF('Calculations'!EM412="","",IF(IFERROR(IF(INDEX(INDIRECT("'WCM Calibration Final'!$F$1:$F$2000"),'Calculations'!$EM412)="","",TRIM(INDEX(INDIRECT("'WCM Calibration Final'!$F$1:$F$2000"),'Calculations'!$EM412)&amp;"")),"")="","(Blank)",IFERROR(IF(INDEX(INDIRECT("'WCM Calibration Final'!$F$1:$F$2000"),'Calculations'!$EM412)="","",TRIM(INDEX(INDIRECT("'WCM Calibration Final'!$F$1:$F$2000"),'Calculations'!$EM412)&amp;"")),"")))</x:f>
      </x:c>
      <x:c r="HO412" t="str">
        <x:f>'Calculations'!HF412</x:f>
      </x:c>
      <x:c r="HP412" t="str">
        <x:f>IF('Calculations'!HO412="","",IF('Calculations'!HO412="!AMBIG","!AMBIG",IF(COUNTIF('Calculations'!$HE$13:$HE$512,"="&amp;SUBSTITUTE(SUBSTITUTE(SUBSTITUTE('Calculations'!HO412,"~","~~"),"*","~*"),"?","~?"))&gt;1,"!AMBIG",IFERROR(INDEX('Calculations'!$HF$13:$HF$512,MATCH('Calculations'!HO412,'Calculations'!$HE$13:$HE$512,0)),""))))</x:f>
      </x:c>
      <x:c r="HQ412" t="str">
        <x:f>IF('Calculations'!HP412="","",IF('Calculations'!HP412="!AMBIG","!AMBIG",IF(COUNTIF('Calculations'!$HE$13:$HE$512,"="&amp;SUBSTITUTE(SUBSTITUTE(SUBSTITUTE('Calculations'!HP412,"~","~~"),"*","~*"),"?","~?"))&gt;1,"!AMBIG",IFERROR(INDEX('Calculations'!$HF$13:$HF$512,MATCH('Calculations'!HP412,'Calculations'!$HE$13:$HE$512,0)),""))))</x:f>
      </x:c>
      <x:c r="HR412" t="str">
        <x:f>IF('Calculations'!HQ412="","",IF('Calculations'!HQ412="!AMBIG","!AMBIG",IF(COUNTIF('Calculations'!$HE$13:$HE$512,"="&amp;SUBSTITUTE(SUBSTITUTE(SUBSTITUTE('Calculations'!HQ412,"~","~~"),"*","~*"),"?","~?"))&gt;1,"!AMBIG",IFERROR(INDEX('Calculations'!$HF$13:$HF$512,MATCH('Calculations'!HQ412,'Calculations'!$HE$13:$HE$512,0)),""))))</x:f>
      </x:c>
      <x:c r="HS412" t="str">
        <x:f>IF('Calculations'!HR412="","",IF('Calculations'!HR412="!AMBIG","!AMBIG",IF(COUNTIF('Calculations'!$HE$13:$HE$512,"="&amp;SUBSTITUTE(SUBSTITUTE(SUBSTITUTE('Calculations'!HR412,"~","~~"),"*","~*"),"?","~?"))&gt;1,"!AMBIG",IFERROR(INDEX('Calculations'!$HF$13:$HF$512,MATCH('Calculations'!HR412,'Calculations'!$HE$13:$HE$512,0)),""))))</x:f>
      </x:c>
      <x:c r="HT412" t="str">
        <x:f>IF('Calculations'!HS412="","",IF('Calculations'!HS412="!AMBIG","!AMBIG",IF(COUNTIF('Calculations'!$HE$13:$HE$512,"="&amp;SUBSTITUTE(SUBSTITUTE(SUBSTITUTE('Calculations'!HS412,"~","~~"),"*","~*"),"?","~?"))&gt;1,"!AMBIG",IFERROR(INDEX('Calculations'!$HF$13:$HF$512,MATCH('Calculations'!HS412,'Calculations'!$HE$13:$HE$512,0)),""))))</x:f>
      </x:c>
      <x:c r="HU412" t="str">
        <x:f>IF('Calculations'!HT412="","",IF('Calculations'!HT412="!AMBIG","!AMBIG",IF(COUNTIF('Calculations'!$HE$13:$HE$512,"="&amp;SUBSTITUTE(SUBSTITUTE(SUBSTITUTE('Calculations'!HT412,"~","~~"),"*","~*"),"?","~?"))&gt;1,"!AMBIG",IFERROR(INDEX('Calculations'!$HF$13:$HF$512,MATCH('Calculations'!HT412,'Calculations'!$HE$13:$HE$512,0)),""))))</x:f>
      </x:c>
      <x:c r="HV412" t="str">
        <x:f>IF('Calculations'!HU412="","",IF('Calculations'!HU412="!AMBIG","!AMBIG",IF(COUNTIF('Calculations'!$HE$13:$HE$512,"="&amp;SUBSTITUTE(SUBSTITUTE(SUBSTITUTE('Calculations'!HU412,"~","~~"),"*","~*"),"?","~?"))&gt;1,"!AMBIG",IFERROR(INDEX('Calculations'!$HF$13:$HF$512,MATCH('Calculations'!HU412,'Calculations'!$HE$13:$HE$512,0)),""))))</x:f>
      </x:c>
      <x:c r="HW412" t="str">
        <x:f>IF('Calculations'!HV412="","",IF('Calculations'!HV412="!AMBIG","!AMBIG",IF(COUNTIF('Calculations'!$HE$13:$HE$512,"="&amp;SUBSTITUTE(SUBSTITUTE(SUBSTITUTE('Calculations'!HV412,"~","~~"),"*","~*"),"?","~?"))&gt;1,"!AMBIG",IFERROR(INDEX('Calculations'!$HF$13:$HF$512,MATCH('Calculations'!HV412,'Calculations'!$HE$13:$HE$512,0)),""))))</x:f>
      </x:c>
      <x:c r="HX412" t="str">
        <x:f>IF('Calculations'!HW412="","",IF('Calculations'!HW412="!AMBIG","!AMBIG",IF(COUNTIF('Calculations'!$HE$13:$HE$512,"="&amp;SUBSTITUTE(SUBSTITUTE(SUBSTITUTE('Calculations'!HW412,"~","~~"),"*","~*"),"?","~?"))&gt;1,"!AMBIG",IFERROR(INDEX('Calculations'!$HF$13:$HF$512,MATCH('Calculations'!HW412,'Calculations'!$HE$13:$HE$512,0)),""))))</x:f>
      </x:c>
      <x:c r="HY412" t="str">
        <x:f>IF('Calculations'!HX412="","",IF('Calculations'!HX412="!AMBIG","!AMBIG",IF(COUNTIF('Calculations'!$HE$13:$HE$512,"="&amp;SUBSTITUTE(SUBSTITUTE(SUBSTITUTE('Calculations'!HX412,"~","~~"),"*","~*"),"?","~?"))&gt;1,"!AMBIG",IFERROR(INDEX('Calculations'!$HF$13:$HF$512,MATCH('Calculations'!HX412,'Calculations'!$HE$13:$HE$512,0)),""))))</x:f>
      </x:c>
      <x:c r="HZ412" t="str">
        <x:f>IF('Calculations'!HY412="","",IF('Calculations'!HY412="!AMBIG","!AMBIG",IF(COUNTIF('Calculations'!$HE$13:$HE$512,"="&amp;SUBSTITUTE(SUBSTITUTE(SUBSTITUTE('Calculations'!HY412,"~","~~"),"*","~*"),"?","~?"))&gt;1,"!AMBIG",IFERROR(INDEX('Calculations'!$HF$13:$HF$512,MATCH('Calculations'!HY412,'Calculations'!$HE$13:$HE$512,0)),""))))</x:f>
      </x:c>
      <x:c r="IA412" t="str">
        <x:f>IF('Calculations'!HZ412="","",IF('Calculations'!HZ412="!AMBIG","!AMBIG",IF(COUNTIF('Calculations'!$HE$13:$HE$512,"="&amp;SUBSTITUTE(SUBSTITUTE(SUBSTITUTE('Calculations'!HZ412,"~","~~"),"*","~*"),"?","~?"))&gt;1,"!AMBIG",IFERROR(INDEX('Calculations'!$HF$13:$HF$512,MATCH('Calculations'!HZ412,'Calculations'!$HE$13:$HE$512,0)),""))))</x:f>
      </x:c>
      <x:c r="IB412" t="str">
        <x:f>IF('Calculations'!IA412="","",IF('Calculations'!IA412="!AMBIG","!AMBIG",IF(COUNTIF('Calculations'!$HE$13:$HE$512,"="&amp;SUBSTITUTE(SUBSTITUTE(SUBSTITUTE('Calculations'!IA412,"~","~~"),"*","~*"),"?","~?"))&gt;1,"!AMBIG",IFERROR(INDEX('Calculations'!$HF$13:$HF$512,MATCH('Calculations'!IA412,'Calculations'!$HE$13:$HE$512,0)),""))))</x:f>
      </x:c>
      <x:c r="IC412" t="str">
        <x:f>IF('Calculations'!IB412="","",IF('Calculations'!IB412="!AMBIG","!AMBIG",IF(COUNTIF('Calculations'!$HE$13:$HE$512,"="&amp;SUBSTITUTE(SUBSTITUTE(SUBSTITUTE('Calculations'!IB412,"~","~~"),"*","~*"),"?","~?"))&gt;1,"!AMBIG",IFERROR(INDEX('Calculations'!$HF$13:$HF$512,MATCH('Calculations'!IB412,'Calculations'!$HE$13:$HE$512,0)),""))))</x:f>
      </x:c>
      <x:c r="ID412" t="str">
        <x:f>IF('Calculations'!IC412="","",IF('Calculations'!IC412="!AMBIG","!AMBIG",IF(COUNTIF('Calculations'!$HE$13:$HE$512,"="&amp;SUBSTITUTE(SUBSTITUTE(SUBSTITUTE('Calculations'!IC412,"~","~~"),"*","~*"),"?","~?"))&gt;1,"!AMBIG",IFERROR(INDEX('Calculations'!$HF$13:$HF$512,MATCH('Calculations'!IC412,'Calculations'!$HE$13:$HE$512,0)),""))))</x:f>
      </x:c>
      <x:c r="IE412" t="str">
        <x:f>IF('Calculations'!ID412="","",IF('Calculations'!ID412="!AMBIG","!AMBIG",IF(COUNTIF('Calculations'!$HE$13:$HE$512,"="&amp;SUBSTITUTE(SUBSTITUTE(SUBSTITUTE('Calculations'!ID412,"~","~~"),"*","~*"),"?","~?"))&gt;1,"!AMBIG",IFERROR(INDEX('Calculations'!$HF$13:$HF$512,MATCH('Calculations'!ID412,'Calculations'!$HE$13:$HE$512,0)),""))))</x:f>
      </x:c>
      <x:c r="IF412" t="str">
        <x:f>IF('Calculations'!IE412="","",IF('Calculations'!IE412="!AMBIG","!AMBIG",IF(COUNTIF('Calculations'!$HE$13:$HE$512,"="&amp;SUBSTITUTE(SUBSTITUTE(SUBSTITUTE('Calculations'!IE412,"~","~~"),"*","~*"),"?","~?"))&gt;1,"!AMBIG",IFERROR(INDEX('Calculations'!$HF$13:$HF$512,MATCH('Calculations'!IE412,'Calculations'!$HE$13:$HE$512,0)),""))))</x:f>
      </x:c>
      <x:c r="IG412" t="str">
        <x:f>IF('Calculations'!IF412="","",IF('Calculations'!IF412="!AMBIG","!AMBIG",IF(COUNTIF('Calculations'!$HE$13:$HE$512,"="&amp;SUBSTITUTE(SUBSTITUTE(SUBSTITUTE('Calculations'!IF412,"~","~~"),"*","~*"),"?","~?"))&gt;1,"!AMBIG",IFERROR(INDEX('Calculations'!$HF$13:$HF$512,MATCH('Calculations'!IF412,'Calculations'!$HE$13:$HE$512,0)),""))))</x:f>
      </x:c>
      <x:c r="IH412" t="str">
        <x:f>IF('Calculations'!IG412="","",IF('Calculations'!IG412="!AMBIG","!AMBIG",IF(COUNTIF('Calculations'!$HE$13:$HE$512,"="&amp;SUBSTITUTE(SUBSTITUTE(SUBSTITUTE('Calculations'!IG412,"~","~~"),"*","~*"),"?","~?"))&gt;1,"!AMBIG",IFERROR(INDEX('Calculations'!$HF$13:$HF$512,MATCH('Calculations'!IG412,'Calculations'!$HE$13:$HE$512,0)),""))))</x:f>
      </x:c>
      <x:c r="II412" t="str">
        <x:f>IF('Calculations'!IH412="","",IF('Calculations'!IH412="!AMBIG","!AMBIG",IF(COUNTIF('Calculations'!$HE$13:$HE$512,"="&amp;SUBSTITUTE(SUBSTITUTE(SUBSTITUTE('Calculations'!IH412,"~","~~"),"*","~*"),"?","~?"))&gt;1,"!AMBIG",IFERROR(INDEX('Calculations'!$HF$13:$HF$512,MATCH('Calculations'!IH412,'Calculations'!$HE$13:$HE$512,0)),""))))</x:f>
      </x:c>
      <x:c r="IJ412" t="str">
        <x:f>IF('Calculations'!EM412="","",IF('Calculations'!$EF$2="All",'Calculations'!HM412,IF('Calculations'!HL412=1,"",IFERROR(IF(MATCH('Calculations'!$EF$2,'Calculations'!HO412:II412,0)=1,'Calculations'!HE412,INDEX('Calculations'!HO412:II412,1,MATCH('Calculations'!$EF$2,'Calculations'!HO412:II412,0)-1)),""))))</x:f>
      </x:c>
      <x:c r="IK412" t="n">
        <x:f>IF(AND('Calculations'!EM412&lt;&gt;"",'Calculations'!$EF$2&lt;&gt;"All",'Calculations'!HF412='Calculations'!$EF$2,'Calculations'!HL412=0,'Calculations'!JD412&gt;0),MAX('Calculations'!$IK$12:IK411)+1,0)</x:f>
        <x:v>0</x:v>
      </x:c>
      <x:c r="JA412" t="n">
        <x:f>IF(OR(IFERROR(INDIRECT("'WCM Calibration Final'!$A$412")&lt;&gt;"",FALSE),IFERROR(INDIRECT("'WCM Calibration Final'!$B$412")&lt;&gt;"",FALSE),IFERROR(INDIRECT("'WCM Calibration Final'!$C$412")&lt;&gt;"",FALSE)),412,0)</x:f>
        <x:v>0</x:v>
      </x:c>
      <x:c r="JB412" t="n">
        <x:f>'Calculations'!JB411+IF('Calculations'!JA412&gt;0,1,0)</x:f>
        <x:v>0</x:v>
      </x:c>
      <x:c r="JC412" t="n">
        <x:f>IF(OR('Calculations'!HF412="",'Calculations'!HF412="!AMBIG"),0,IF('Dashboard'!$B$7="All",1,COUNTIFS('Calculations'!$HO$13:$HO$512,"="&amp;SUBSTITUTE(SUBSTITUTE(SUBSTITUTE('Calculations'!HF412,"~","~~"),"*","~*"),"?","~?"),'Calculations'!$HN$13:$HN$512,"="&amp;SUBSTITUTE(SUBSTITUTE(SUBSTITUTE('Dashboard'!$B$7,"~","~~"),"*","~*"),"?","~?"))+COUNTIFS('Calculations'!$HP$13:$HP$512,"="&amp;SUBSTITUTE(SUBSTITUTE(SUBSTITUTE('Calculations'!HF412,"~","~~"),"*","~*"),"?","~?"),'Calculations'!$HN$13:$HN$512,"="&amp;SUBSTITUTE(SUBSTITUTE(SUBSTITUTE('Dashboard'!$B$7,"~","~~"),"*","~*"),"?","~?"))+COUNTIFS('Calculations'!$HQ$13:$HQ$512,"="&amp;SUBSTITUTE(SUBSTITUTE(SUBSTITUTE('Calculations'!HF412,"~","~~"),"*","~*"),"?","~?"),'Calculations'!$HN$13:$HN$512,"="&amp;SUBSTITUTE(SUBSTITUTE(SUBSTITUTE('Dashboard'!$B$7,"~","~~"),"*","~*"),"?","~?"))+COUNTIFS('Calculations'!$HR$13:$HR$512,"="&amp;SUBSTITUTE(SUBSTITUTE(SUBSTITUTE('Calculations'!HF412,"~","~~"),"*","~*"),"?","~?"),'Calculations'!$HN$13:$HN$512,"="&amp;SUBSTITUTE(SUBSTITUTE(SUBSTITUTE('Dashboard'!$B$7,"~","~~"),"*","~*"),"?","~?"))+COUNTIFS('Calculations'!$HS$13:$HS$512,"="&amp;SUBSTITUTE(SUBSTITUTE(SUBSTITUTE('Calculations'!HF412,"~","~~"),"*","~*"),"?","~?"),'Calculations'!$HN$13:$HN$512,"="&amp;SUBSTITUTE(SUBSTITUTE(SUBSTITUTE('Dashboard'!$B$7,"~","~~"),"*","~*"),"?","~?"))+COUNTIFS('Calculations'!$HT$13:$HT$512,"="&amp;SUBSTITUTE(SUBSTITUTE(SUBSTITUTE('Calculations'!HF412,"~","~~"),"*","~*"),"?","~?"),'Calculations'!$HN$13:$HN$512,"="&amp;SUBSTITUTE(SUBSTITUTE(SUBSTITUTE('Dashboard'!$B$7,"~","~~"),"*","~*"),"?","~?"))+COUNTIFS('Calculations'!$HU$13:$HU$512,"="&amp;SUBSTITUTE(SUBSTITUTE(SUBSTITUTE('Calculations'!HF412,"~","~~"),"*","~*"),"?","~?"),'Calculations'!$HN$13:$HN$512,"="&amp;SUBSTITUTE(SUBSTITUTE(SUBSTITUTE('Dashboard'!$B$7,"~","~~"),"*","~*"),"?","~?"))+COUNTIFS('Calculations'!$HV$13:$HV$512,"="&amp;SUBSTITUTE(SUBSTITUTE(SUBSTITUTE('Calculations'!HF412,"~","~~"),"*","~*"),"?","~?"),'Calculations'!$HN$13:$HN$512,"="&amp;SUBSTITUTE(SUBSTITUTE(SUBSTITUTE('Dashboard'!$B$7,"~","~~"),"*","~*"),"?","~?"))+COUNTIFS('Calculations'!$HW$13:$HW$512,"="&amp;SUBSTITUTE(SUBSTITUTE(SUBSTITUTE('Calculations'!HF412,"~","~~"),"*","~*"),"?","~?"),'Calculations'!$HN$13:$HN$512,"="&amp;SUBSTITUTE(SUBSTITUTE(SUBSTITUTE('Dashboard'!$B$7,"~","~~"),"*","~*"),"?","~?"))+COUNTIFS('Calculations'!$HX$13:$HX$512,"="&amp;SUBSTITUTE(SUBSTITUTE(SUBSTITUTE('Calculations'!HF412,"~","~~"),"*","~*"),"?","~?"),'Calculations'!$HN$13:$HN$512,"="&amp;SUBSTITUTE(SUBSTITUTE(SUBSTITUTE('Dashboard'!$B$7,"~","~~"),"*","~*"),"?","~?"))+COUNTIFS('Calculations'!$HY$13:$HY$512,"="&amp;SUBSTITUTE(SUBSTITUTE(SUBSTITUTE('Calculations'!HF412,"~","~~"),"*","~*"),"?","~?"),'Calculations'!$HN$13:$HN$512,"="&amp;SUBSTITUTE(SUBSTITUTE(SUBSTITUTE('Dashboard'!$B$7,"~","~~"),"*","~*"),"?","~?"))+COUNTIFS('Calculations'!$HZ$13:$HZ$512,"="&amp;SUBSTITUTE(SUBSTITUTE(SUBSTITUTE('Calculations'!HF412,"~","~~"),"*","~*"),"?","~?"),'Calculations'!$HN$13:$HN$512,"="&amp;SUBSTITUTE(SUBSTITUTE(SUBSTITUTE('Dashboard'!$B$7,"~","~~"),"*","~*"),"?","~?"))+COUNTIFS('Calculations'!$IA$13:$IA$512,"="&amp;SUBSTITUTE(SUBSTITUTE(SUBSTITUTE('Calculations'!HF412,"~","~~"),"*","~*"),"?","~?"),'Calculations'!$HN$13:$HN$512,"="&amp;SUBSTITUTE(SUBSTITUTE(SUBSTITUTE('Dashboard'!$B$7,"~","~~"),"*","~*"),"?","~?"))+COUNTIFS('Calculations'!$IB$13:$IB$512,"="&amp;SUBSTITUTE(SUBSTITUTE(SUBSTITUTE('Calculations'!HF412,"~","~~"),"*","~*"),"?","~?"),'Calculations'!$HN$13:$HN$512,"="&amp;SUBSTITUTE(SUBSTITUTE(SUBSTITUTE('Dashboard'!$B$7,"~","~~"),"*","~*"),"?","~?"))+COUNTIFS('Calculations'!$IC$13:$IC$512,"="&amp;SUBSTITUTE(SUBSTITUTE(SUBSTITUTE('Calculations'!HF412,"~","~~"),"*","~*"),"?","~?"),'Calculations'!$HN$13:$HN$512,"="&amp;SUBSTITUTE(SUBSTITUTE(SUBSTITUTE('Dashboard'!$B$7,"~","~~"),"*","~*"),"?","~?"))+COUNTIFS('Calculations'!$ID$13:$ID$512,"="&amp;SUBSTITUTE(SUBSTITUTE(SUBSTITUTE('Calculations'!HF412,"~","~~"),"*","~*"),"?","~?"),'Calculations'!$HN$13:$HN$512,"="&amp;SUBSTITUTE(SUBSTITUTE(SUBSTITUTE('Dashboard'!$B$7,"~","~~"),"*","~*"),"?","~?"))+COUNTIFS('Calculations'!$IE$13:$IE$512,"="&amp;SUBSTITUTE(SUBSTITUTE(SUBSTITUTE('Calculations'!HF412,"~","~~"),"*","~*"),"?","~?"),'Calculations'!$HN$13:$HN$512,"="&amp;SUBSTITUTE(SUBSTITUTE(SUBSTITUTE('Dashboard'!$B$7,"~","~~"),"*","~*"),"?","~?"))+COUNTIFS('Calculations'!$IF$13:$IF$512,"="&amp;SUBSTITUTE(SUBSTITUTE(SUBSTITUTE('Calculations'!HF412,"~","~~"),"*","~*"),"?","~?"),'Calculations'!$HN$13:$HN$512,"="&amp;SUBSTITUTE(SUBSTITUTE(SUBSTITUTE('Dashboard'!$B$7,"~","~~"),"*","~*"),"?","~?"))+COUNTIFS('Calculations'!$IG$13:$IG$512,"="&amp;SUBSTITUTE(SUBSTITUTE(SUBSTITUTE('Calculations'!HF412,"~","~~"),"*","~*"),"?","~?"),'Calculations'!$HN$13:$HN$512,"="&amp;SUBSTITUTE(SUBSTITUTE(SUBSTITUTE('Dashboard'!$B$7,"~","~~"),"*","~*"),"?","~?"))+COUNTIFS('Calculations'!$IH$13:$IH$512,"="&amp;SUBSTITUTE(SUBSTITUTE(SUBSTITUTE('Calculations'!HF412,"~","~~"),"*","~*"),"?","~?"),'Calculations'!$HN$13:$HN$512,"="&amp;SUBSTITUTE(SUBSTITUTE(SUBSTITUTE('Dashboard'!$B$7,"~","~~"),"*","~*"),"?","~?"))))</x:f>
        <x:v>0</x:v>
      </x:c>
      <x:c r="JD412" t="n">
        <x:f>IF('Calculations'!EM412="",0,IF('Dashboard'!$B$7="All",1,IF('Calculations'!HN412='Dashboard'!$B$7,1,0)+IFERROR(INDEX('Calculations'!$JC$13:$JC$512,MATCH('Calculations'!HE412,'Calculations'!$HF$13:$HF$512,0)),0)))</x:f>
        <x:v>0</x:v>
      </x:c>
      <x:c r="JE412" t="n">
        <x:f>IF(AND('Calculations'!EM412&lt;&gt;"",'Calculations'!$JJ$2&lt;&gt;"All",'Calculations'!$JJ$2&lt;&gt;"",'Calculations'!HF412='Calculations'!$JJ$2,'Calculations'!HL412=0,'Calculations'!JD412&gt;0),MAX('Calculations'!$JE$12:JE411)+1,0)</x:f>
        <x:v>0</x:v>
      </x:c>
      <x:c r="JF412" t="str">
        <x:f>IF('Calculations'!EM412="","",IFERROR(IF(INDEX(INDIRECT("'WCM Calibration Final'!$G$1:$G$2000"),'Calculations'!$EM412)="","",TRIM(INDEX(INDIRECT("'WCM Calibration Final'!$G$1:$G$2000"),'Calculations'!$EM412)&amp;"")),""))</x:f>
      </x:c>
      <x:c r="JQ412" t="n">
        <x:f>IF(OR('Calculations'!BM412=0,NOT('Calculations'!$AG$2),'Calculations'!$AG$8&gt;0),0,IF(OR('Dashboard'!$B$7="All",'Calculations'!HN412='Dashboard'!$B$7),IF('Calculations'!$JJ$2="All",1,IF(AND('Calculations'!HF412='Calculations'!$JJ$2,'Calculations'!HL412=0),1,0)),0))</x:f>
        <x:v>0</x:v>
      </x:c>
    </x:row>
    <x:row r="413">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t="n">
        <x:f>IF('Calculations'!$EM413="",0,IF(OR(IFERROR(INDEX(INDIRECT("'WCM Calibration Final'!$A$1:$A$2000"),'Calculations'!$EM413)&lt;&gt;"",FALSE),IFERROR(INDEX(INDIRECT("'WCM Calibration Final'!$B$1:$B$2000"),'Calculations'!$EM413)&lt;&gt;"",FALSE),IFERROR(INDEX(INDIRECT("'WCM Calibration Final'!$C$1:$C$2000"),'Calculations'!$EM413)&lt;&gt;"",FALSE)),1,0))</x:f>
        <x:v>0</x:v>
      </x:c>
      <x:c r="BN413" s="4" t="n">
        <x:f>IF(AND('Calculations'!BM413=1,'Calculations'!$AG$2,'Calculations'!$EN413=1),1,0)</x:f>
        <x:v>0</x:v>
      </x:c>
      <x:c r="BO413" s="4" t="str">
        <x:f>IF('Calculations'!BM413=0,"",IFERROR(IF(AND(VALUE(INDEX(INDIRECT("'WCM Calibration Final'!$K$1:$K$2000"),'Calculations'!$EM413))&gt;=1,VALUE(INDEX(INDIRECT("'WCM Calibration Final'!$K$1:$K$2000"),'Calculations'!$EM413))&lt;=4,MOD(VALUE(INDEX(INDIRECT("'WCM Calibration Final'!$K$1:$K$2000"),'Calculations'!$EM413)),1)=0),VALUE(INDEX(INDIRECT("'WCM Calibration Final'!$K$1:$K$2000"),'Calculations'!$EM413)),""),""))</x:f>
      </x:c>
      <x:c r="BP413" s="4" t="str">
        <x:f>IF('Calculations'!BM413=0,"",IFERROR(IF(AND(VALUE(INDEX(INDIRECT("'WCM Calibration Final'!$L$1:$L$2000"),'Calculations'!$EM413))&gt;=1,VALUE(INDEX(INDIRECT("'WCM Calibration Final'!$L$1:$L$2000"),'Calculations'!$EM413))&lt;=4,MOD(VALUE(INDEX(INDIRECT("'WCM Calibration Final'!$L$1:$L$2000"),'Calculations'!$EM413)),1)=0),VALUE(INDEX(INDIRECT("'WCM Calibration Final'!$L$1:$L$2000"),'Calculations'!$EM413)),""),""))</x:f>
      </x:c>
      <x:c r="BQ413" s="4"/>
      <x:c r="BR413" s="4"/>
      <x:c r="BS413" s="4"/>
      <x:c r="BT413" s="4" t="n">
        <x:f>IF(AND('Calculations'!BM413=1,ISNUMBER('Calculations'!BO413),ISNUMBER('Calculations'!BP413)),1,0)</x:f>
        <x:v>0</x:v>
      </x:c>
      <x:c r="BU413" s="4" t="str">
        <x:f>IF('Calculations'!BM413=0,"",'Calculations'!$EO413)</x:f>
      </x:c>
      <x:c r="BV413" s="4" t="str">
        <x:f>IF('Calculations'!BM413=0,"",IFERROR(IF(OR(INDEX(INDIRECT("'WCM Calibration Final'!$H$1:$H$2000"),'Calculations'!$EM413)="MANAGING DIRECTOR",INDEX(INDIRECT("'WCM Calibration Final'!$H$1:$H$2000"),'Calculations'!$EM413)="DIRECTOR",INDEX(INDIRECT("'WCM Calibration Final'!$H$1:$H$2000"),'Calculations'!$EM413)="SENIOR VICE PRESIDENT",INDEX(INDIRECT("'WCM Calibration Final'!$H$1:$H$2000"),'Calculations'!$EM413)="VICE PRESIDENT",INDEX(INDIRECT("'WCM Calibration Final'!$H$1:$H$2000"),'Calculations'!$EM413)="ASSISTANT VICE PRESIDENT",INDEX(INDIRECT("'WCM Calibration Final'!$H$1:$H$2000"),'Calculations'!$EM413)="OFFICER"),UPPER(INDEX(INDIRECT("'WCM Calibration Final'!$H$1:$H$2000"),'Calculations'!$EM413)),"Other"),"Other"))</x:f>
      </x:c>
      <x:c r="BW413" s="4"/>
      <x:c r="BX413" s="4"/>
      <x:c r="BY413" s="4" t="n">
        <x:f>IF(AND('Calculations'!BM413=1,'Calculations'!BU413&lt;&gt;"",COUNTIF('Calculations'!$BU$12:BU413,'Calculations'!BU413)=1),MAX('Calculations'!$BY$11:BY412)+1,0)</x:f>
        <x:v>0</x:v>
      </x:c>
      <x:c r="BZ413" s="4" t="str">
        <x:f>IF('Dashboard'!$E$67="What",'Calculations'!BO413,'Calculations'!BP413)</x:f>
      </x:c>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t="str">
        <x:f>IF(402&gt;MAX('Calculations'!$HI$13:$HI$512),"",INDEX('Calculations'!$HN$13:$HN$512,MATCH(402,'Calculations'!$HI$13:$HI$512,0)))</x:f>
      </x:c>
      <x:c r="DB413" s="4" t="str">
        <x:f>IF(402&gt;MAX('Calculations'!$HH$13:$HH$512),"",INDEX('Calculations'!$HJ$13:$HJ$512,MATCH(402,'Calculations'!$HH$13:$HH$512,0)))</x:f>
      </x:c>
      <x:c r="DC413" s="4" t="str">
        <x:f>IF(ROW()-11&gt;MAX('Calculations'!$BY$13:$BY$512),"",INDEX('Calculations'!$BU$13:$BU$512,MATCH(ROW()-11,'Calculations'!$BY$13:$BY$512,0)))</x:f>
      </x:c>
      <x:c r="DD413" s="4" t="str">
        <x:f>IF(402&gt;MAX('Calculations'!$IK$13:$IK$512),"",INDEX('Calculations'!$HK$13:$HK$512,MATCH(402,'Calculations'!$IK$13:$IK$512,0)))</x:f>
      </x:c>
      <x:c r="DE413" s="4" t="str">
        <x:f>'Calculations'!DC413</x:f>
      </x:c>
      <x:c r="DF413" s="4" t="str">
        <x:f>IF('Calculations'!DE413="","",COUNTIFS('Calculations'!$BN$13:$BN$512,1,'Calculations'!$BU$13:$BU$512,'Calculations'!DE413))</x:f>
      </x:c>
      <x:c r="DG413" s="4" t="str">
        <x:f>IF('Calculations'!DE413="","",COUNTIFS('Calculations'!$BN$13:$BN$512,1,'Calculations'!$BU$13:$BU$512,'Calculations'!DE413,'Calculations'!$BT$13:$BT$512,1))</x:f>
      </x:c>
      <x:c r="DH413" s="4" t="str">
        <x:f>IF('Calculations'!DE413="","",'Calculations'!DF413-'Calculations'!DG413)</x:f>
      </x:c>
      <x:c r="DI413" s="4" t="str">
        <x:f>IF(OR('Calculations'!DE413="",'Calculations'!DF413=0),"",'Calculations'!DG413/'Calculations'!DF413)</x:f>
      </x:c>
      <x:c r="DJ413" s="4" t="str">
        <x:f>IF('Calculations'!DE413="","",COUNTIFS('Calculations'!$BN$13:$BN$512,1,'Calculations'!$BU$13:$BU$512,'Calculations'!DE413,'Calculations'!$BT$13:$BT$512,1,'Calculations'!$EE$13:$EE$512,"High"))</x:f>
      </x:c>
      <x:c r="DK413" s="4" t="str">
        <x:f>IF('Calculations'!DE413="","",COUNTIFS('Calculations'!$BN$13:$BN$512,1,'Calculations'!$BU$13:$BU$512,'Calculations'!DE413,'Calculations'!$BT$13:$BT$512,1,'Calculations'!$EE$13:$EE$512,"Strong"))</x:f>
      </x:c>
      <x:c r="DL413" s="4" t="str">
        <x:f>IF('Calculations'!DE413="","",COUNTIFS('Calculations'!$BN$13:$BN$512,1,'Calculations'!$BU$13:$BU$512,'Calculations'!DE413,'Calculations'!$BT$13:$BT$512,1,'Calculations'!$EE$13:$EE$512,"Solid"))</x:f>
      </x:c>
      <x:c r="DM413" s="4" t="str">
        <x:f>IF('Calculations'!DE413="","",COUNTIFS('Calculations'!$BN$13:$BN$512,1,'Calculations'!$BU$13:$BU$512,'Calculations'!DE413,'Calculations'!$BT$13:$BT$512,1,'Calculations'!$EE$13:$EE$512,"Low"))</x:f>
      </x:c>
      <x:c r="DN413" s="4" t="str">
        <x:f>IF('Calculations'!DE413="","",COUNTIFS('Calculations'!$BN$13:$BN$512,1,'Calculations'!$BU$13:$BU$512,'Calculations'!DE413,'Calculations'!$EP$13:$EP$512,1))</x:f>
      </x:c>
      <x:c r="DO413" s="4" t="str">
        <x:f>IF(OR('Calculations'!DE413="",'Calculations'!DG413=0),"",('Calculations'!DJ413+'Calculations'!DK413)/'Calculations'!DG413)</x:f>
      </x:c>
      <x:c r="DP413" s="4" t="n">
        <x:f>IF(AND('Calculations'!DE413&lt;&gt;"",'Calculations'!DF413&gt;0),COUNTIF('Calculations'!$DF$12:DF413,"&gt;0"),0)</x:f>
        <x:v>0</x:v>
      </x:c>
      <x:c r="DQ413" s="4" t="str">
        <x:f>IF(402&gt;MAX('Calculations'!$HH$13:$HH$512),"",INDEX('Calculations'!$HF$13:$HF$512,MATCH(402,'Calculations'!$HH$13:$HH$512,0)))</x:f>
      </x:c>
      <x:c r="DR413" s="4" t="str">
        <x:f>IF(402&gt;MAX('Calculations'!$IK$13:$IK$512),"",INDEX('Calculations'!$HE$13:$HE$512,MATCH(402,'Calculations'!$IK$13:$IK$512,0)))</x:f>
      </x:c>
      <x:c r="DS413" s="4"/>
      <x:c r="DT413" s="4"/>
      <x:c r="DU413" s="4"/>
      <x:c r="DV413" s="4"/>
      <x:c r="DW413" s="4"/>
      <x:c r="DX413" s="4"/>
      <x:c r="DY413" s="4"/>
      <x:c r="DZ413" s="4"/>
      <x:c r="EA413" s="4"/>
      <x:c r="EB413" s="4"/>
      <x:c r="EC413" s="4"/>
      <x:c r="ED413" s="4"/>
      <x:c r="EE413" s="4" t="str">
        <x:f>IF('Calculations'!BT413=0,"Not Rated",IF(OR('Calculations'!BO413&gt;=4,'Calculations'!BP413&gt;=4),"Low",IF('Calculations'!BO413+'Calculations'!BP413&lt;=3,"High",IF('Calculations'!BO413+'Calculations'!BP413&lt;=4,"Strong","Solid"))))</x:f>
        <x:v>Not Rated</x:v>
      </x:c>
      <x:c r="EF413" s="4"/>
      <x:c r="EG413" s="4"/>
      <x:c r="EH413" s="4"/>
      <x:c r="EI413" s="4"/>
      <x:c r="EJ413" s="4"/>
      <x:c r="EK413" s="4"/>
      <x:c r="EL413" s="4"/>
      <x:c r="EM413" s="4" t="str">
        <x:f>IF(401&gt;'Calculations'!$JB$2000,"",INDEX('Calculations'!$JA$12:$JA$2000,MATCH(401,'Calculations'!$JB$12:$JB$2000,0)))</x:f>
      </x:c>
      <x:c r="EN413" s="4" t="n">
        <x:f>IF(OR('Calculations'!EM413="",'Calculations'!$AG$8&gt;0,AND('Calculations'!$EF$2&lt;&gt;"All",'Calculations'!HE413='Calculations'!$EF$2),AND('Calculations'!$EF$3&lt;&gt;"All",'Calculations'!HE413='Calculations'!$EF$3)),0,IF(OR('Dashboard'!$B$7="All",'Calculations'!HN413='Dashboard'!$B$7),IF('Calculations'!$EF$2="All",1,IF('Calculations'!HL413&gt;0,0,IF(COUNTIF('Calculations'!HO413:II413,"="&amp;SUBSTITUTE(SUBSTITUTE(SUBSTITUTE('Calculations'!$EF$2,"~","~~"),"*","~*"),"?","~?"))=0,0,IF('Calculations'!$EF$3="All",1,IF(COUNTIF('Calculations'!HO413:II413,"="&amp;SUBSTITUTE(SUBSTITUTE(SUBSTITUTE('Calculations'!$EF$3,"~","~~"),"*","~*"),"?","~?"))&gt;0,1,0))))),0))</x:f>
        <x:v>0</x:v>
      </x:c>
      <x:c r="EO413" s="4" t="str">
        <x:f>IF('Calculations'!IJ413="","",IF('Calculations'!IJ413="!UNRESOLVED","Unresolved hierarchy",IFERROR(INDEX('Calculations'!$HK$13:$HK$512,MATCH('Calculations'!IJ413,'Calculations'!$HE$13:$HE$512,0)),IFERROR(INDEX('Calculations'!$HJ$13:$HJ$512,MATCH('Calculations'!IJ413,'Calculations'!$HF$13:$HF$512,0)),'Calculations'!IJ413))))</x:f>
      </x:c>
      <x:c r="EP413" s="4" t="n">
        <x:f>IF(AND('Calculations'!EM413&lt;&gt;"",'Calculations'!HF413='Calculations'!IJ413),1,0)</x:f>
        <x:v>0</x:v>
      </x:c>
      <x:c r="EQ413" s="4"/>
      <x:c r="ER413" s="4"/>
      <x:c r="ES413" s="4"/>
      <x:c r="ET413" s="4"/>
      <x:c r="EU413" s="4"/>
      <x:c r="EV413" s="4"/>
      <x:c r="EW413" s="4"/>
      <x:c r="EX413" s="4"/>
      <x:c r="EY413" s="4"/>
      <x:c r="EZ413" s="4"/>
      <x:c r="FA413" s="4"/>
      <x:c r="FB413" s="4"/>
      <x:c r="FC413" s="4"/>
      <x:c r="FD413" s="4"/>
      <x:c r="FE413" s="4"/>
      <x:c r="FF413" s="4"/>
      <x:c r="FG413" s="4"/>
      <x:c r="FH413" s="4"/>
      <x:c r="FI413" s="4"/>
      <x:c r="FJ413" s="4"/>
      <x:c r="FK413" s="4"/>
      <x:c r="FL413" s="4"/>
      <x:c r="FM413" s="4"/>
      <x:c r="FN413" s="4"/>
      <x:c r="FO413" s="4"/>
      <x:c r="HE413" t="str">
        <x:f>IF('Calculations'!EM413="","",IF(IFERROR(IF(INDEX(INDIRECT("'WCM Calibration Final'!$A$1:$A$2000"),'Calculations'!$EM413)="","",TRIM(INDEX(INDIRECT("'WCM Calibration Final'!$A$1:$A$2000"),'Calculations'!$EM413)&amp;"")),"")&lt;&gt;"","G:"&amp;IFERROR(TEXT(1*INDEX(INDIRECT("'WCM Calibration Final'!$A$1:$A$2000"),'Calculations'!$EM413),"0"),UPPER(IFERROR(IF(INDEX(INDIRECT("'WCM Calibration Final'!$A$1:$A$2000"),'Calculations'!$EM413)="","",TRIM(INDEX(INDIRECT("'WCM Calibration Final'!$A$1:$A$2000"),'Calculations'!$EM413)&amp;"")),""))),IF(IFERROR(IF(INDEX(INDIRECT("'WCM Calibration Final'!$C$1:$C$2000"),'Calculations'!$EM413)="","",TRIM(INDEX(INDIRECT("'WCM Calibration Final'!$C$1:$C$2000"),'Calculations'!$EM413)&amp;"")),"")&lt;&gt;"","S:"&amp;UPPER(IFERROR(IF(INDEX(INDIRECT("'WCM Calibration Final'!$C$1:$C$2000"),'Calculations'!$EM413)="","",TRIM(INDEX(INDIRECT("'WCM Calibration Final'!$C$1:$C$2000"),'Calculations'!$EM413)&amp;"")),"")),"R:"&amp;'Calculations'!EM413)))</x:f>
      </x:c>
      <x:c r="HF413" t="str">
        <x:f>IF('Calculations'!EM413="","",IF(IFERROR(IF(INDEX(INDIRECT("'WCM Calibration Final'!$D$1:$D$2000"),'Calculations'!$EM413)="","",TRIM(INDEX(INDIRECT("'WCM Calibration Final'!$D$1:$D$2000"),'Calculations'!$EM413)&amp;"")),"")&lt;&gt;"","G:"&amp;IFERROR(TEXT(1*INDEX(INDIRECT("'WCM Calibration Final'!$D$1:$D$2000"),'Calculations'!$EM413),"0"),UPPER(IFERROR(IF(INDEX(INDIRECT("'WCM Calibration Final'!$D$1:$D$2000"),'Calculations'!$EM413)="","",TRIM(INDEX(INDIRECT("'WCM Calibration Final'!$D$1:$D$2000"),'Calculations'!$EM413)&amp;"")),""))),IF(IFERROR(IF(INDEX(INDIRECT("'WCM Calibration Final'!$E$1:$E$2000"),'Calculations'!$EM413)="","",TRIM(INDEX(INDIRECT("'WCM Calibration Final'!$E$1:$E$2000"),'Calculations'!$EM413)&amp;"")),"")="","",IF(COUNTIF('Calculations'!$HG$13:$HG$512,"="&amp;SUBSTITUTE(SUBSTITUTE(SUBSTITUTE(IFERROR(IF(INDEX(INDIRECT("'WCM Calibration Final'!$E$1:$E$2000"),'Calculations'!$EM413)="","",TRIM(INDEX(INDIRECT("'WCM Calibration Final'!$E$1:$E$2000"),'Calculations'!$EM413)&amp;"")),""),"~","~~"),"*","~*"),"?","~?"))=1,INDEX('Calculations'!$HE$13:$HE$512,MATCH(IFERROR(IF(INDEX(INDIRECT("'WCM Calibration Final'!$E$1:$E$2000"),'Calculations'!$EM413)="","",TRIM(INDEX(INDIRECT("'WCM Calibration Final'!$E$1:$E$2000"),'Calculations'!$EM413)&amp;"")),""),'Calculations'!$HG$13:$HG$512,0)),IF(COUNTIF('Calculations'!$HG$13:$HG$512,"="&amp;SUBSTITUTE(SUBSTITUTE(SUBSTITUTE(IFERROR(IF(INDEX(INDIRECT("'WCM Calibration Final'!$E$1:$E$2000"),'Calculations'!$EM413)="","",TRIM(INDEX(INDIRECT("'WCM Calibration Final'!$E$1:$E$2000"),'Calculations'!$EM413)&amp;"")),""),"~","~~"),"*","~*"),"?","~?"))&gt;1,"!AMBIG","X:"&amp;IFERROR(IF(INDEX(INDIRECT("'WCM Calibration Final'!$E$1:$E$2000"),'Calculations'!$EM413)="","",TRIM(INDEX(INDIRECT("'WCM Calibration Final'!$E$1:$E$2000"),'Calculations'!$EM413)&amp;"")),""))))))</x:f>
      </x:c>
      <x:c r="HG413" t="str">
        <x:f>IF('Calculations'!EM413="","",IFERROR(IF(INDEX(INDIRECT("'WCM Calibration Final'!$B$1:$B$2000"),'Calculations'!$EM413)="","",TRIM(INDEX(INDIRECT("'WCM Calibration Final'!$B$1:$B$2000"),'Calculations'!$EM413)&amp;"")),""))</x:f>
      </x:c>
      <x:c r="HH413" t="n">
        <x:f>IF(AND('Calculations'!JC413&gt;0,COUNTIF('Calculations'!$HF$12:HF413,"="&amp;SUBSTITUTE(SUBSTITUTE(SUBSTITUTE('Calculations'!HF413,"~","~~"),"*","~*"),"?","~?"))=1),MAX('Calculations'!$HH$12:HH412)+1,0)</x:f>
        <x:v>0</x:v>
      </x:c>
      <x:c r="HI413" t="n">
        <x:f>IF(AND('Calculations'!HN413&lt;&gt;"",COUNTIF('Calculations'!$HN$12:HN413,"="&amp;SUBSTITUTE(SUBSTITUTE(SUBSTITUTE('Calculations'!HN413,"~","~~"),"*","~*"),"?","~?"))=1),MAX('Calculations'!$HI$12:HI412)+1,0)</x:f>
        <x:v>0</x:v>
      </x:c>
      <x:c r="HJ413" t="str">
        <x:f>IF('Calculations'!HF413="","",IF(COUNTIF('Calculations'!$HE$13:$HE$512,"="&amp;SUBSTITUTE(SUBSTITUTE(SUBSTITUTE('Calculations'!HF413,"~","~~"),"*","~*"),"?","~?"))=1,INDEX('Calculations'!$HK$13:$HK$512,MATCH('Calculations'!HF413,'Calculations'!$HE$13:$HE$512,0)),IFERROR(IF(INDEX(INDIRECT("'WCM Calibration Final'!$E$1:$E$2000"),'Calculations'!$EM413)="","",TRIM(INDEX(INDIRECT("'WCM Calibration Final'!$E$1:$E$2000"),'Calculations'!$EM413)&amp;"")),"")&amp;" ["&amp;'Calculations'!HF413&amp;"]"))</x:f>
      </x:c>
      <x:c r="HK413" t="str">
        <x:f>IF('Calculations'!EM413="","",'Calculations'!HG413&amp;" ["&amp;'Calculations'!HE413&amp;"]")</x:f>
      </x:c>
      <x:c r="HL413" t="n">
        <x:f>IF('Calculations'!EM413="",0,IF(OR('Calculations'!II413&lt;&gt;"",COUNTIF('Calculations'!$HE$13:$HE$512,"="&amp;SUBSTITUTE(SUBSTITUTE(SUBSTITUTE('Calculations'!HE413,"~","~~"),"*","~*"),"?","~?"))&gt;1),1,0))</x:f>
        <x:v>0</x:v>
      </x:c>
      <x:c r="HM413" t="str">
        <x:f>IF('Calculations'!EM413="","",IF('Calculations'!HL413=1,"!UNRESOLVED",IF('Calculations'!IH413&lt;&gt;"",'Calculations'!IH413,IF('Calculations'!IG413&lt;&gt;"",'Calculations'!IG413,IF('Calculations'!IF413&lt;&gt;"",'Calculations'!IF413,IF('Calculations'!IE413&lt;&gt;"",'Calculations'!IE413,IF('Calculations'!ID413&lt;&gt;"",'Calculations'!ID413,IF('Calculations'!IC413&lt;&gt;"",'Calculations'!IC413,IF('Calculations'!IB413&lt;&gt;"",'Calculations'!IB413,IF('Calculations'!IA413&lt;&gt;"",'Calculations'!IA413,IF('Calculations'!HZ413&lt;&gt;"",'Calculations'!HZ413,IF('Calculations'!HY413&lt;&gt;"",'Calculations'!HY413,IF('Calculations'!HX413&lt;&gt;"",'Calculations'!HX413,IF('Calculations'!HW413&lt;&gt;"",'Calculations'!HW413,IF('Calculations'!HV413&lt;&gt;"",'Calculations'!HV413,IF('Calculations'!HU413&lt;&gt;"",'Calculations'!HU413,IF('Calculations'!HT413&lt;&gt;"",'Calculations'!HT413,IF('Calculations'!HS413&lt;&gt;"",'Calculations'!HS413,IF('Calculations'!HR413&lt;&gt;"",'Calculations'!HR413,IF('Calculations'!HQ413&lt;&gt;"",'Calculations'!HQ413,IF('Calculations'!HP413&lt;&gt;"",'Calculations'!HP413,IF('Calculations'!HO413&lt;&gt;"",'Calculations'!HO413,'Calculations'!HE413))))))))))))))))))))))</x:f>
      </x:c>
      <x:c r="HN413" t="str">
        <x:f>IF('Calculations'!EM413="","",IF(IFERROR(IF(INDEX(INDIRECT("'WCM Calibration Final'!$F$1:$F$2000"),'Calculations'!$EM413)="","",TRIM(INDEX(INDIRECT("'WCM Calibration Final'!$F$1:$F$2000"),'Calculations'!$EM413)&amp;"")),"")="","(Blank)",IFERROR(IF(INDEX(INDIRECT("'WCM Calibration Final'!$F$1:$F$2000"),'Calculations'!$EM413)="","",TRIM(INDEX(INDIRECT("'WCM Calibration Final'!$F$1:$F$2000"),'Calculations'!$EM413)&amp;"")),"")))</x:f>
      </x:c>
      <x:c r="HO413" t="str">
        <x:f>'Calculations'!HF413</x:f>
      </x:c>
      <x:c r="HP413" t="str">
        <x:f>IF('Calculations'!HO413="","",IF('Calculations'!HO413="!AMBIG","!AMBIG",IF(COUNTIF('Calculations'!$HE$13:$HE$512,"="&amp;SUBSTITUTE(SUBSTITUTE(SUBSTITUTE('Calculations'!HO413,"~","~~"),"*","~*"),"?","~?"))&gt;1,"!AMBIG",IFERROR(INDEX('Calculations'!$HF$13:$HF$512,MATCH('Calculations'!HO413,'Calculations'!$HE$13:$HE$512,0)),""))))</x:f>
      </x:c>
      <x:c r="HQ413" t="str">
        <x:f>IF('Calculations'!HP413="","",IF('Calculations'!HP413="!AMBIG","!AMBIG",IF(COUNTIF('Calculations'!$HE$13:$HE$512,"="&amp;SUBSTITUTE(SUBSTITUTE(SUBSTITUTE('Calculations'!HP413,"~","~~"),"*","~*"),"?","~?"))&gt;1,"!AMBIG",IFERROR(INDEX('Calculations'!$HF$13:$HF$512,MATCH('Calculations'!HP413,'Calculations'!$HE$13:$HE$512,0)),""))))</x:f>
      </x:c>
      <x:c r="HR413" t="str">
        <x:f>IF('Calculations'!HQ413="","",IF('Calculations'!HQ413="!AMBIG","!AMBIG",IF(COUNTIF('Calculations'!$HE$13:$HE$512,"="&amp;SUBSTITUTE(SUBSTITUTE(SUBSTITUTE('Calculations'!HQ413,"~","~~"),"*","~*"),"?","~?"))&gt;1,"!AMBIG",IFERROR(INDEX('Calculations'!$HF$13:$HF$512,MATCH('Calculations'!HQ413,'Calculations'!$HE$13:$HE$512,0)),""))))</x:f>
      </x:c>
      <x:c r="HS413" t="str">
        <x:f>IF('Calculations'!HR413="","",IF('Calculations'!HR413="!AMBIG","!AMBIG",IF(COUNTIF('Calculations'!$HE$13:$HE$512,"="&amp;SUBSTITUTE(SUBSTITUTE(SUBSTITUTE('Calculations'!HR413,"~","~~"),"*","~*"),"?","~?"))&gt;1,"!AMBIG",IFERROR(INDEX('Calculations'!$HF$13:$HF$512,MATCH('Calculations'!HR413,'Calculations'!$HE$13:$HE$512,0)),""))))</x:f>
      </x:c>
      <x:c r="HT413" t="str">
        <x:f>IF('Calculations'!HS413="","",IF('Calculations'!HS413="!AMBIG","!AMBIG",IF(COUNTIF('Calculations'!$HE$13:$HE$512,"="&amp;SUBSTITUTE(SUBSTITUTE(SUBSTITUTE('Calculations'!HS413,"~","~~"),"*","~*"),"?","~?"))&gt;1,"!AMBIG",IFERROR(INDEX('Calculations'!$HF$13:$HF$512,MATCH('Calculations'!HS413,'Calculations'!$HE$13:$HE$512,0)),""))))</x:f>
      </x:c>
      <x:c r="HU413" t="str">
        <x:f>IF('Calculations'!HT413="","",IF('Calculations'!HT413="!AMBIG","!AMBIG",IF(COUNTIF('Calculations'!$HE$13:$HE$512,"="&amp;SUBSTITUTE(SUBSTITUTE(SUBSTITUTE('Calculations'!HT413,"~","~~"),"*","~*"),"?","~?"))&gt;1,"!AMBIG",IFERROR(INDEX('Calculations'!$HF$13:$HF$512,MATCH('Calculations'!HT413,'Calculations'!$HE$13:$HE$512,0)),""))))</x:f>
      </x:c>
      <x:c r="HV413" t="str">
        <x:f>IF('Calculations'!HU413="","",IF('Calculations'!HU413="!AMBIG","!AMBIG",IF(COUNTIF('Calculations'!$HE$13:$HE$512,"="&amp;SUBSTITUTE(SUBSTITUTE(SUBSTITUTE('Calculations'!HU413,"~","~~"),"*","~*"),"?","~?"))&gt;1,"!AMBIG",IFERROR(INDEX('Calculations'!$HF$13:$HF$512,MATCH('Calculations'!HU413,'Calculations'!$HE$13:$HE$512,0)),""))))</x:f>
      </x:c>
      <x:c r="HW413" t="str">
        <x:f>IF('Calculations'!HV413="","",IF('Calculations'!HV413="!AMBIG","!AMBIG",IF(COUNTIF('Calculations'!$HE$13:$HE$512,"="&amp;SUBSTITUTE(SUBSTITUTE(SUBSTITUTE('Calculations'!HV413,"~","~~"),"*","~*"),"?","~?"))&gt;1,"!AMBIG",IFERROR(INDEX('Calculations'!$HF$13:$HF$512,MATCH('Calculations'!HV413,'Calculations'!$HE$13:$HE$512,0)),""))))</x:f>
      </x:c>
      <x:c r="HX413" t="str">
        <x:f>IF('Calculations'!HW413="","",IF('Calculations'!HW413="!AMBIG","!AMBIG",IF(COUNTIF('Calculations'!$HE$13:$HE$512,"="&amp;SUBSTITUTE(SUBSTITUTE(SUBSTITUTE('Calculations'!HW413,"~","~~"),"*","~*"),"?","~?"))&gt;1,"!AMBIG",IFERROR(INDEX('Calculations'!$HF$13:$HF$512,MATCH('Calculations'!HW413,'Calculations'!$HE$13:$HE$512,0)),""))))</x:f>
      </x:c>
      <x:c r="HY413" t="str">
        <x:f>IF('Calculations'!HX413="","",IF('Calculations'!HX413="!AMBIG","!AMBIG",IF(COUNTIF('Calculations'!$HE$13:$HE$512,"="&amp;SUBSTITUTE(SUBSTITUTE(SUBSTITUTE('Calculations'!HX413,"~","~~"),"*","~*"),"?","~?"))&gt;1,"!AMBIG",IFERROR(INDEX('Calculations'!$HF$13:$HF$512,MATCH('Calculations'!HX413,'Calculations'!$HE$13:$HE$512,0)),""))))</x:f>
      </x:c>
      <x:c r="HZ413" t="str">
        <x:f>IF('Calculations'!HY413="","",IF('Calculations'!HY413="!AMBIG","!AMBIG",IF(COUNTIF('Calculations'!$HE$13:$HE$512,"="&amp;SUBSTITUTE(SUBSTITUTE(SUBSTITUTE('Calculations'!HY413,"~","~~"),"*","~*"),"?","~?"))&gt;1,"!AMBIG",IFERROR(INDEX('Calculations'!$HF$13:$HF$512,MATCH('Calculations'!HY413,'Calculations'!$HE$13:$HE$512,0)),""))))</x:f>
      </x:c>
      <x:c r="IA413" t="str">
        <x:f>IF('Calculations'!HZ413="","",IF('Calculations'!HZ413="!AMBIG","!AMBIG",IF(COUNTIF('Calculations'!$HE$13:$HE$512,"="&amp;SUBSTITUTE(SUBSTITUTE(SUBSTITUTE('Calculations'!HZ413,"~","~~"),"*","~*"),"?","~?"))&gt;1,"!AMBIG",IFERROR(INDEX('Calculations'!$HF$13:$HF$512,MATCH('Calculations'!HZ413,'Calculations'!$HE$13:$HE$512,0)),""))))</x:f>
      </x:c>
      <x:c r="IB413" t="str">
        <x:f>IF('Calculations'!IA413="","",IF('Calculations'!IA413="!AMBIG","!AMBIG",IF(COUNTIF('Calculations'!$HE$13:$HE$512,"="&amp;SUBSTITUTE(SUBSTITUTE(SUBSTITUTE('Calculations'!IA413,"~","~~"),"*","~*"),"?","~?"))&gt;1,"!AMBIG",IFERROR(INDEX('Calculations'!$HF$13:$HF$512,MATCH('Calculations'!IA413,'Calculations'!$HE$13:$HE$512,0)),""))))</x:f>
      </x:c>
      <x:c r="IC413" t="str">
        <x:f>IF('Calculations'!IB413="","",IF('Calculations'!IB413="!AMBIG","!AMBIG",IF(COUNTIF('Calculations'!$HE$13:$HE$512,"="&amp;SUBSTITUTE(SUBSTITUTE(SUBSTITUTE('Calculations'!IB413,"~","~~"),"*","~*"),"?","~?"))&gt;1,"!AMBIG",IFERROR(INDEX('Calculations'!$HF$13:$HF$512,MATCH('Calculations'!IB413,'Calculations'!$HE$13:$HE$512,0)),""))))</x:f>
      </x:c>
      <x:c r="ID413" t="str">
        <x:f>IF('Calculations'!IC413="","",IF('Calculations'!IC413="!AMBIG","!AMBIG",IF(COUNTIF('Calculations'!$HE$13:$HE$512,"="&amp;SUBSTITUTE(SUBSTITUTE(SUBSTITUTE('Calculations'!IC413,"~","~~"),"*","~*"),"?","~?"))&gt;1,"!AMBIG",IFERROR(INDEX('Calculations'!$HF$13:$HF$512,MATCH('Calculations'!IC413,'Calculations'!$HE$13:$HE$512,0)),""))))</x:f>
      </x:c>
      <x:c r="IE413" t="str">
        <x:f>IF('Calculations'!ID413="","",IF('Calculations'!ID413="!AMBIG","!AMBIG",IF(COUNTIF('Calculations'!$HE$13:$HE$512,"="&amp;SUBSTITUTE(SUBSTITUTE(SUBSTITUTE('Calculations'!ID413,"~","~~"),"*","~*"),"?","~?"))&gt;1,"!AMBIG",IFERROR(INDEX('Calculations'!$HF$13:$HF$512,MATCH('Calculations'!ID413,'Calculations'!$HE$13:$HE$512,0)),""))))</x:f>
      </x:c>
      <x:c r="IF413" t="str">
        <x:f>IF('Calculations'!IE413="","",IF('Calculations'!IE413="!AMBIG","!AMBIG",IF(COUNTIF('Calculations'!$HE$13:$HE$512,"="&amp;SUBSTITUTE(SUBSTITUTE(SUBSTITUTE('Calculations'!IE413,"~","~~"),"*","~*"),"?","~?"))&gt;1,"!AMBIG",IFERROR(INDEX('Calculations'!$HF$13:$HF$512,MATCH('Calculations'!IE413,'Calculations'!$HE$13:$HE$512,0)),""))))</x:f>
      </x:c>
      <x:c r="IG413" t="str">
        <x:f>IF('Calculations'!IF413="","",IF('Calculations'!IF413="!AMBIG","!AMBIG",IF(COUNTIF('Calculations'!$HE$13:$HE$512,"="&amp;SUBSTITUTE(SUBSTITUTE(SUBSTITUTE('Calculations'!IF413,"~","~~"),"*","~*"),"?","~?"))&gt;1,"!AMBIG",IFERROR(INDEX('Calculations'!$HF$13:$HF$512,MATCH('Calculations'!IF413,'Calculations'!$HE$13:$HE$512,0)),""))))</x:f>
      </x:c>
      <x:c r="IH413" t="str">
        <x:f>IF('Calculations'!IG413="","",IF('Calculations'!IG413="!AMBIG","!AMBIG",IF(COUNTIF('Calculations'!$HE$13:$HE$512,"="&amp;SUBSTITUTE(SUBSTITUTE(SUBSTITUTE('Calculations'!IG413,"~","~~"),"*","~*"),"?","~?"))&gt;1,"!AMBIG",IFERROR(INDEX('Calculations'!$HF$13:$HF$512,MATCH('Calculations'!IG413,'Calculations'!$HE$13:$HE$512,0)),""))))</x:f>
      </x:c>
      <x:c r="II413" t="str">
        <x:f>IF('Calculations'!IH413="","",IF('Calculations'!IH413="!AMBIG","!AMBIG",IF(COUNTIF('Calculations'!$HE$13:$HE$512,"="&amp;SUBSTITUTE(SUBSTITUTE(SUBSTITUTE('Calculations'!IH413,"~","~~"),"*","~*"),"?","~?"))&gt;1,"!AMBIG",IFERROR(INDEX('Calculations'!$HF$13:$HF$512,MATCH('Calculations'!IH413,'Calculations'!$HE$13:$HE$512,0)),""))))</x:f>
      </x:c>
      <x:c r="IJ413" t="str">
        <x:f>IF('Calculations'!EM413="","",IF('Calculations'!$EF$2="All",'Calculations'!HM413,IF('Calculations'!HL413=1,"",IFERROR(IF(MATCH('Calculations'!$EF$2,'Calculations'!HO413:II413,0)=1,'Calculations'!HE413,INDEX('Calculations'!HO413:II413,1,MATCH('Calculations'!$EF$2,'Calculations'!HO413:II413,0)-1)),""))))</x:f>
      </x:c>
      <x:c r="IK413" t="n">
        <x:f>IF(AND('Calculations'!EM413&lt;&gt;"",'Calculations'!$EF$2&lt;&gt;"All",'Calculations'!HF413='Calculations'!$EF$2,'Calculations'!HL413=0,'Calculations'!JD413&gt;0),MAX('Calculations'!$IK$12:IK412)+1,0)</x:f>
        <x:v>0</x:v>
      </x:c>
      <x:c r="JA413" t="n">
        <x:f>IF(OR(IFERROR(INDIRECT("'WCM Calibration Final'!$A$413")&lt;&gt;"",FALSE),IFERROR(INDIRECT("'WCM Calibration Final'!$B$413")&lt;&gt;"",FALSE),IFERROR(INDIRECT("'WCM Calibration Final'!$C$413")&lt;&gt;"",FALSE)),413,0)</x:f>
        <x:v>0</x:v>
      </x:c>
      <x:c r="JB413" t="n">
        <x:f>'Calculations'!JB412+IF('Calculations'!JA413&gt;0,1,0)</x:f>
        <x:v>0</x:v>
      </x:c>
      <x:c r="JC413" t="n">
        <x:f>IF(OR('Calculations'!HF413="",'Calculations'!HF413="!AMBIG"),0,IF('Dashboard'!$B$7="All",1,COUNTIFS('Calculations'!$HO$13:$HO$512,"="&amp;SUBSTITUTE(SUBSTITUTE(SUBSTITUTE('Calculations'!HF413,"~","~~"),"*","~*"),"?","~?"),'Calculations'!$HN$13:$HN$512,"="&amp;SUBSTITUTE(SUBSTITUTE(SUBSTITUTE('Dashboard'!$B$7,"~","~~"),"*","~*"),"?","~?"))+COUNTIFS('Calculations'!$HP$13:$HP$512,"="&amp;SUBSTITUTE(SUBSTITUTE(SUBSTITUTE('Calculations'!HF413,"~","~~"),"*","~*"),"?","~?"),'Calculations'!$HN$13:$HN$512,"="&amp;SUBSTITUTE(SUBSTITUTE(SUBSTITUTE('Dashboard'!$B$7,"~","~~"),"*","~*"),"?","~?"))+COUNTIFS('Calculations'!$HQ$13:$HQ$512,"="&amp;SUBSTITUTE(SUBSTITUTE(SUBSTITUTE('Calculations'!HF413,"~","~~"),"*","~*"),"?","~?"),'Calculations'!$HN$13:$HN$512,"="&amp;SUBSTITUTE(SUBSTITUTE(SUBSTITUTE('Dashboard'!$B$7,"~","~~"),"*","~*"),"?","~?"))+COUNTIFS('Calculations'!$HR$13:$HR$512,"="&amp;SUBSTITUTE(SUBSTITUTE(SUBSTITUTE('Calculations'!HF413,"~","~~"),"*","~*"),"?","~?"),'Calculations'!$HN$13:$HN$512,"="&amp;SUBSTITUTE(SUBSTITUTE(SUBSTITUTE('Dashboard'!$B$7,"~","~~"),"*","~*"),"?","~?"))+COUNTIFS('Calculations'!$HS$13:$HS$512,"="&amp;SUBSTITUTE(SUBSTITUTE(SUBSTITUTE('Calculations'!HF413,"~","~~"),"*","~*"),"?","~?"),'Calculations'!$HN$13:$HN$512,"="&amp;SUBSTITUTE(SUBSTITUTE(SUBSTITUTE('Dashboard'!$B$7,"~","~~"),"*","~*"),"?","~?"))+COUNTIFS('Calculations'!$HT$13:$HT$512,"="&amp;SUBSTITUTE(SUBSTITUTE(SUBSTITUTE('Calculations'!HF413,"~","~~"),"*","~*"),"?","~?"),'Calculations'!$HN$13:$HN$512,"="&amp;SUBSTITUTE(SUBSTITUTE(SUBSTITUTE('Dashboard'!$B$7,"~","~~"),"*","~*"),"?","~?"))+COUNTIFS('Calculations'!$HU$13:$HU$512,"="&amp;SUBSTITUTE(SUBSTITUTE(SUBSTITUTE('Calculations'!HF413,"~","~~"),"*","~*"),"?","~?"),'Calculations'!$HN$13:$HN$512,"="&amp;SUBSTITUTE(SUBSTITUTE(SUBSTITUTE('Dashboard'!$B$7,"~","~~"),"*","~*"),"?","~?"))+COUNTIFS('Calculations'!$HV$13:$HV$512,"="&amp;SUBSTITUTE(SUBSTITUTE(SUBSTITUTE('Calculations'!HF413,"~","~~"),"*","~*"),"?","~?"),'Calculations'!$HN$13:$HN$512,"="&amp;SUBSTITUTE(SUBSTITUTE(SUBSTITUTE('Dashboard'!$B$7,"~","~~"),"*","~*"),"?","~?"))+COUNTIFS('Calculations'!$HW$13:$HW$512,"="&amp;SUBSTITUTE(SUBSTITUTE(SUBSTITUTE('Calculations'!HF413,"~","~~"),"*","~*"),"?","~?"),'Calculations'!$HN$13:$HN$512,"="&amp;SUBSTITUTE(SUBSTITUTE(SUBSTITUTE('Dashboard'!$B$7,"~","~~"),"*","~*"),"?","~?"))+COUNTIFS('Calculations'!$HX$13:$HX$512,"="&amp;SUBSTITUTE(SUBSTITUTE(SUBSTITUTE('Calculations'!HF413,"~","~~"),"*","~*"),"?","~?"),'Calculations'!$HN$13:$HN$512,"="&amp;SUBSTITUTE(SUBSTITUTE(SUBSTITUTE('Dashboard'!$B$7,"~","~~"),"*","~*"),"?","~?"))+COUNTIFS('Calculations'!$HY$13:$HY$512,"="&amp;SUBSTITUTE(SUBSTITUTE(SUBSTITUTE('Calculations'!HF413,"~","~~"),"*","~*"),"?","~?"),'Calculations'!$HN$13:$HN$512,"="&amp;SUBSTITUTE(SUBSTITUTE(SUBSTITUTE('Dashboard'!$B$7,"~","~~"),"*","~*"),"?","~?"))+COUNTIFS('Calculations'!$HZ$13:$HZ$512,"="&amp;SUBSTITUTE(SUBSTITUTE(SUBSTITUTE('Calculations'!HF413,"~","~~"),"*","~*"),"?","~?"),'Calculations'!$HN$13:$HN$512,"="&amp;SUBSTITUTE(SUBSTITUTE(SUBSTITUTE('Dashboard'!$B$7,"~","~~"),"*","~*"),"?","~?"))+COUNTIFS('Calculations'!$IA$13:$IA$512,"="&amp;SUBSTITUTE(SUBSTITUTE(SUBSTITUTE('Calculations'!HF413,"~","~~"),"*","~*"),"?","~?"),'Calculations'!$HN$13:$HN$512,"="&amp;SUBSTITUTE(SUBSTITUTE(SUBSTITUTE('Dashboard'!$B$7,"~","~~"),"*","~*"),"?","~?"))+COUNTIFS('Calculations'!$IB$13:$IB$512,"="&amp;SUBSTITUTE(SUBSTITUTE(SUBSTITUTE('Calculations'!HF413,"~","~~"),"*","~*"),"?","~?"),'Calculations'!$HN$13:$HN$512,"="&amp;SUBSTITUTE(SUBSTITUTE(SUBSTITUTE('Dashboard'!$B$7,"~","~~"),"*","~*"),"?","~?"))+COUNTIFS('Calculations'!$IC$13:$IC$512,"="&amp;SUBSTITUTE(SUBSTITUTE(SUBSTITUTE('Calculations'!HF413,"~","~~"),"*","~*"),"?","~?"),'Calculations'!$HN$13:$HN$512,"="&amp;SUBSTITUTE(SUBSTITUTE(SUBSTITUTE('Dashboard'!$B$7,"~","~~"),"*","~*"),"?","~?"))+COUNTIFS('Calculations'!$ID$13:$ID$512,"="&amp;SUBSTITUTE(SUBSTITUTE(SUBSTITUTE('Calculations'!HF413,"~","~~"),"*","~*"),"?","~?"),'Calculations'!$HN$13:$HN$512,"="&amp;SUBSTITUTE(SUBSTITUTE(SUBSTITUTE('Dashboard'!$B$7,"~","~~"),"*","~*"),"?","~?"))+COUNTIFS('Calculations'!$IE$13:$IE$512,"="&amp;SUBSTITUTE(SUBSTITUTE(SUBSTITUTE('Calculations'!HF413,"~","~~"),"*","~*"),"?","~?"),'Calculations'!$HN$13:$HN$512,"="&amp;SUBSTITUTE(SUBSTITUTE(SUBSTITUTE('Dashboard'!$B$7,"~","~~"),"*","~*"),"?","~?"))+COUNTIFS('Calculations'!$IF$13:$IF$512,"="&amp;SUBSTITUTE(SUBSTITUTE(SUBSTITUTE('Calculations'!HF413,"~","~~"),"*","~*"),"?","~?"),'Calculations'!$HN$13:$HN$512,"="&amp;SUBSTITUTE(SUBSTITUTE(SUBSTITUTE('Dashboard'!$B$7,"~","~~"),"*","~*"),"?","~?"))+COUNTIFS('Calculations'!$IG$13:$IG$512,"="&amp;SUBSTITUTE(SUBSTITUTE(SUBSTITUTE('Calculations'!HF413,"~","~~"),"*","~*"),"?","~?"),'Calculations'!$HN$13:$HN$512,"="&amp;SUBSTITUTE(SUBSTITUTE(SUBSTITUTE('Dashboard'!$B$7,"~","~~"),"*","~*"),"?","~?"))+COUNTIFS('Calculations'!$IH$13:$IH$512,"="&amp;SUBSTITUTE(SUBSTITUTE(SUBSTITUTE('Calculations'!HF413,"~","~~"),"*","~*"),"?","~?"),'Calculations'!$HN$13:$HN$512,"="&amp;SUBSTITUTE(SUBSTITUTE(SUBSTITUTE('Dashboard'!$B$7,"~","~~"),"*","~*"),"?","~?"))))</x:f>
        <x:v>0</x:v>
      </x:c>
      <x:c r="JD413" t="n">
        <x:f>IF('Calculations'!EM413="",0,IF('Dashboard'!$B$7="All",1,IF('Calculations'!HN413='Dashboard'!$B$7,1,0)+IFERROR(INDEX('Calculations'!$JC$13:$JC$512,MATCH('Calculations'!HE413,'Calculations'!$HF$13:$HF$512,0)),0)))</x:f>
        <x:v>0</x:v>
      </x:c>
      <x:c r="JE413" t="n">
        <x:f>IF(AND('Calculations'!EM413&lt;&gt;"",'Calculations'!$JJ$2&lt;&gt;"All",'Calculations'!$JJ$2&lt;&gt;"",'Calculations'!HF413='Calculations'!$JJ$2,'Calculations'!HL413=0,'Calculations'!JD413&gt;0),MAX('Calculations'!$JE$12:JE412)+1,0)</x:f>
        <x:v>0</x:v>
      </x:c>
      <x:c r="JF413" t="str">
        <x:f>IF('Calculations'!EM413="","",IFERROR(IF(INDEX(INDIRECT("'WCM Calibration Final'!$G$1:$G$2000"),'Calculations'!$EM413)="","",TRIM(INDEX(INDIRECT("'WCM Calibration Final'!$G$1:$G$2000"),'Calculations'!$EM413)&amp;"")),""))</x:f>
      </x:c>
      <x:c r="JQ413" t="n">
        <x:f>IF(OR('Calculations'!BM413=0,NOT('Calculations'!$AG$2),'Calculations'!$AG$8&gt;0),0,IF(OR('Dashboard'!$B$7="All",'Calculations'!HN413='Dashboard'!$B$7),IF('Calculations'!$JJ$2="All",1,IF(AND('Calculations'!HF413='Calculations'!$JJ$2,'Calculations'!HL413=0),1,0)),0))</x:f>
        <x:v>0</x:v>
      </x:c>
    </x:row>
    <x:row r="414">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t="n">
        <x:f>IF('Calculations'!$EM414="",0,IF(OR(IFERROR(INDEX(INDIRECT("'WCM Calibration Final'!$A$1:$A$2000"),'Calculations'!$EM414)&lt;&gt;"",FALSE),IFERROR(INDEX(INDIRECT("'WCM Calibration Final'!$B$1:$B$2000"),'Calculations'!$EM414)&lt;&gt;"",FALSE),IFERROR(INDEX(INDIRECT("'WCM Calibration Final'!$C$1:$C$2000"),'Calculations'!$EM414)&lt;&gt;"",FALSE)),1,0))</x:f>
        <x:v>0</x:v>
      </x:c>
      <x:c r="BN414" s="4" t="n">
        <x:f>IF(AND('Calculations'!BM414=1,'Calculations'!$AG$2,'Calculations'!$EN414=1),1,0)</x:f>
        <x:v>0</x:v>
      </x:c>
      <x:c r="BO414" s="4" t="str">
        <x:f>IF('Calculations'!BM414=0,"",IFERROR(IF(AND(VALUE(INDEX(INDIRECT("'WCM Calibration Final'!$K$1:$K$2000"),'Calculations'!$EM414))&gt;=1,VALUE(INDEX(INDIRECT("'WCM Calibration Final'!$K$1:$K$2000"),'Calculations'!$EM414))&lt;=4,MOD(VALUE(INDEX(INDIRECT("'WCM Calibration Final'!$K$1:$K$2000"),'Calculations'!$EM414)),1)=0),VALUE(INDEX(INDIRECT("'WCM Calibration Final'!$K$1:$K$2000"),'Calculations'!$EM414)),""),""))</x:f>
      </x:c>
      <x:c r="BP414" s="4" t="str">
        <x:f>IF('Calculations'!BM414=0,"",IFERROR(IF(AND(VALUE(INDEX(INDIRECT("'WCM Calibration Final'!$L$1:$L$2000"),'Calculations'!$EM414))&gt;=1,VALUE(INDEX(INDIRECT("'WCM Calibration Final'!$L$1:$L$2000"),'Calculations'!$EM414))&lt;=4,MOD(VALUE(INDEX(INDIRECT("'WCM Calibration Final'!$L$1:$L$2000"),'Calculations'!$EM414)),1)=0),VALUE(INDEX(INDIRECT("'WCM Calibration Final'!$L$1:$L$2000"),'Calculations'!$EM414)),""),""))</x:f>
      </x:c>
      <x:c r="BQ414" s="4"/>
      <x:c r="BR414" s="4"/>
      <x:c r="BS414" s="4"/>
      <x:c r="BT414" s="4" t="n">
        <x:f>IF(AND('Calculations'!BM414=1,ISNUMBER('Calculations'!BO414),ISNUMBER('Calculations'!BP414)),1,0)</x:f>
        <x:v>0</x:v>
      </x:c>
      <x:c r="BU414" s="4" t="str">
        <x:f>IF('Calculations'!BM414=0,"",'Calculations'!$EO414)</x:f>
      </x:c>
      <x:c r="BV414" s="4" t="str">
        <x:f>IF('Calculations'!BM414=0,"",IFERROR(IF(OR(INDEX(INDIRECT("'WCM Calibration Final'!$H$1:$H$2000"),'Calculations'!$EM414)="MANAGING DIRECTOR",INDEX(INDIRECT("'WCM Calibration Final'!$H$1:$H$2000"),'Calculations'!$EM414)="DIRECTOR",INDEX(INDIRECT("'WCM Calibration Final'!$H$1:$H$2000"),'Calculations'!$EM414)="SENIOR VICE PRESIDENT",INDEX(INDIRECT("'WCM Calibration Final'!$H$1:$H$2000"),'Calculations'!$EM414)="VICE PRESIDENT",INDEX(INDIRECT("'WCM Calibration Final'!$H$1:$H$2000"),'Calculations'!$EM414)="ASSISTANT VICE PRESIDENT",INDEX(INDIRECT("'WCM Calibration Final'!$H$1:$H$2000"),'Calculations'!$EM414)="OFFICER"),UPPER(INDEX(INDIRECT("'WCM Calibration Final'!$H$1:$H$2000"),'Calculations'!$EM414)),"Other"),"Other"))</x:f>
      </x:c>
      <x:c r="BW414" s="4"/>
      <x:c r="BX414" s="4"/>
      <x:c r="BY414" s="4" t="n">
        <x:f>IF(AND('Calculations'!BM414=1,'Calculations'!BU414&lt;&gt;"",COUNTIF('Calculations'!$BU$12:BU414,'Calculations'!BU414)=1),MAX('Calculations'!$BY$11:BY413)+1,0)</x:f>
        <x:v>0</x:v>
      </x:c>
      <x:c r="BZ414" s="4" t="str">
        <x:f>IF('Dashboard'!$E$67="What",'Calculations'!BO414,'Calculations'!BP414)</x:f>
      </x:c>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t="str">
        <x:f>IF(403&gt;MAX('Calculations'!$HI$13:$HI$512),"",INDEX('Calculations'!$HN$13:$HN$512,MATCH(403,'Calculations'!$HI$13:$HI$512,0)))</x:f>
      </x:c>
      <x:c r="DB414" s="4" t="str">
        <x:f>IF(403&gt;MAX('Calculations'!$HH$13:$HH$512),"",INDEX('Calculations'!$HJ$13:$HJ$512,MATCH(403,'Calculations'!$HH$13:$HH$512,0)))</x:f>
      </x:c>
      <x:c r="DC414" s="4" t="str">
        <x:f>IF(ROW()-11&gt;MAX('Calculations'!$BY$13:$BY$512),"",INDEX('Calculations'!$BU$13:$BU$512,MATCH(ROW()-11,'Calculations'!$BY$13:$BY$512,0)))</x:f>
      </x:c>
      <x:c r="DD414" s="4" t="str">
        <x:f>IF(403&gt;MAX('Calculations'!$IK$13:$IK$512),"",INDEX('Calculations'!$HK$13:$HK$512,MATCH(403,'Calculations'!$IK$13:$IK$512,0)))</x:f>
      </x:c>
      <x:c r="DE414" s="4" t="str">
        <x:f>'Calculations'!DC414</x:f>
      </x:c>
      <x:c r="DF414" s="4" t="str">
        <x:f>IF('Calculations'!DE414="","",COUNTIFS('Calculations'!$BN$13:$BN$512,1,'Calculations'!$BU$13:$BU$512,'Calculations'!DE414))</x:f>
      </x:c>
      <x:c r="DG414" s="4" t="str">
        <x:f>IF('Calculations'!DE414="","",COUNTIFS('Calculations'!$BN$13:$BN$512,1,'Calculations'!$BU$13:$BU$512,'Calculations'!DE414,'Calculations'!$BT$13:$BT$512,1))</x:f>
      </x:c>
      <x:c r="DH414" s="4" t="str">
        <x:f>IF('Calculations'!DE414="","",'Calculations'!DF414-'Calculations'!DG414)</x:f>
      </x:c>
      <x:c r="DI414" s="4" t="str">
        <x:f>IF(OR('Calculations'!DE414="",'Calculations'!DF414=0),"",'Calculations'!DG414/'Calculations'!DF414)</x:f>
      </x:c>
      <x:c r="DJ414" s="4" t="str">
        <x:f>IF('Calculations'!DE414="","",COUNTIFS('Calculations'!$BN$13:$BN$512,1,'Calculations'!$BU$13:$BU$512,'Calculations'!DE414,'Calculations'!$BT$13:$BT$512,1,'Calculations'!$EE$13:$EE$512,"High"))</x:f>
      </x:c>
      <x:c r="DK414" s="4" t="str">
        <x:f>IF('Calculations'!DE414="","",COUNTIFS('Calculations'!$BN$13:$BN$512,1,'Calculations'!$BU$13:$BU$512,'Calculations'!DE414,'Calculations'!$BT$13:$BT$512,1,'Calculations'!$EE$13:$EE$512,"Strong"))</x:f>
      </x:c>
      <x:c r="DL414" s="4" t="str">
        <x:f>IF('Calculations'!DE414="","",COUNTIFS('Calculations'!$BN$13:$BN$512,1,'Calculations'!$BU$13:$BU$512,'Calculations'!DE414,'Calculations'!$BT$13:$BT$512,1,'Calculations'!$EE$13:$EE$512,"Solid"))</x:f>
      </x:c>
      <x:c r="DM414" s="4" t="str">
        <x:f>IF('Calculations'!DE414="","",COUNTIFS('Calculations'!$BN$13:$BN$512,1,'Calculations'!$BU$13:$BU$512,'Calculations'!DE414,'Calculations'!$BT$13:$BT$512,1,'Calculations'!$EE$13:$EE$512,"Low"))</x:f>
      </x:c>
      <x:c r="DN414" s="4" t="str">
        <x:f>IF('Calculations'!DE414="","",COUNTIFS('Calculations'!$BN$13:$BN$512,1,'Calculations'!$BU$13:$BU$512,'Calculations'!DE414,'Calculations'!$EP$13:$EP$512,1))</x:f>
      </x:c>
      <x:c r="DO414" s="4" t="str">
        <x:f>IF(OR('Calculations'!DE414="",'Calculations'!DG414=0),"",('Calculations'!DJ414+'Calculations'!DK414)/'Calculations'!DG414)</x:f>
      </x:c>
      <x:c r="DP414" s="4" t="n">
        <x:f>IF(AND('Calculations'!DE414&lt;&gt;"",'Calculations'!DF414&gt;0),COUNTIF('Calculations'!$DF$12:DF414,"&gt;0"),0)</x:f>
        <x:v>0</x:v>
      </x:c>
      <x:c r="DQ414" s="4" t="str">
        <x:f>IF(403&gt;MAX('Calculations'!$HH$13:$HH$512),"",INDEX('Calculations'!$HF$13:$HF$512,MATCH(403,'Calculations'!$HH$13:$HH$512,0)))</x:f>
      </x:c>
      <x:c r="DR414" s="4" t="str">
        <x:f>IF(403&gt;MAX('Calculations'!$IK$13:$IK$512),"",INDEX('Calculations'!$HE$13:$HE$512,MATCH(403,'Calculations'!$IK$13:$IK$512,0)))</x:f>
      </x:c>
      <x:c r="DS414" s="4"/>
      <x:c r="DT414" s="4"/>
      <x:c r="DU414" s="4"/>
      <x:c r="DV414" s="4"/>
      <x:c r="DW414" s="4"/>
      <x:c r="DX414" s="4"/>
      <x:c r="DY414" s="4"/>
      <x:c r="DZ414" s="4"/>
      <x:c r="EA414" s="4"/>
      <x:c r="EB414" s="4"/>
      <x:c r="EC414" s="4"/>
      <x:c r="ED414" s="4"/>
      <x:c r="EE414" s="4" t="str">
        <x:f>IF('Calculations'!BT414=0,"Not Rated",IF(OR('Calculations'!BO414&gt;=4,'Calculations'!BP414&gt;=4),"Low",IF('Calculations'!BO414+'Calculations'!BP414&lt;=3,"High",IF('Calculations'!BO414+'Calculations'!BP414&lt;=4,"Strong","Solid"))))</x:f>
        <x:v>Not Rated</x:v>
      </x:c>
      <x:c r="EF414" s="4"/>
      <x:c r="EG414" s="4"/>
      <x:c r="EH414" s="4"/>
      <x:c r="EI414" s="4"/>
      <x:c r="EJ414" s="4"/>
      <x:c r="EK414" s="4"/>
      <x:c r="EL414" s="4"/>
      <x:c r="EM414" s="4" t="str">
        <x:f>IF(402&gt;'Calculations'!$JB$2000,"",INDEX('Calculations'!$JA$12:$JA$2000,MATCH(402,'Calculations'!$JB$12:$JB$2000,0)))</x:f>
      </x:c>
      <x:c r="EN414" s="4" t="n">
        <x:f>IF(OR('Calculations'!EM414="",'Calculations'!$AG$8&gt;0,AND('Calculations'!$EF$2&lt;&gt;"All",'Calculations'!HE414='Calculations'!$EF$2),AND('Calculations'!$EF$3&lt;&gt;"All",'Calculations'!HE414='Calculations'!$EF$3)),0,IF(OR('Dashboard'!$B$7="All",'Calculations'!HN414='Dashboard'!$B$7),IF('Calculations'!$EF$2="All",1,IF('Calculations'!HL414&gt;0,0,IF(COUNTIF('Calculations'!HO414:II414,"="&amp;SUBSTITUTE(SUBSTITUTE(SUBSTITUTE('Calculations'!$EF$2,"~","~~"),"*","~*"),"?","~?"))=0,0,IF('Calculations'!$EF$3="All",1,IF(COUNTIF('Calculations'!HO414:II414,"="&amp;SUBSTITUTE(SUBSTITUTE(SUBSTITUTE('Calculations'!$EF$3,"~","~~"),"*","~*"),"?","~?"))&gt;0,1,0))))),0))</x:f>
        <x:v>0</x:v>
      </x:c>
      <x:c r="EO414" s="4" t="str">
        <x:f>IF('Calculations'!IJ414="","",IF('Calculations'!IJ414="!UNRESOLVED","Unresolved hierarchy",IFERROR(INDEX('Calculations'!$HK$13:$HK$512,MATCH('Calculations'!IJ414,'Calculations'!$HE$13:$HE$512,0)),IFERROR(INDEX('Calculations'!$HJ$13:$HJ$512,MATCH('Calculations'!IJ414,'Calculations'!$HF$13:$HF$512,0)),'Calculations'!IJ414))))</x:f>
      </x:c>
      <x:c r="EP414" s="4" t="n">
        <x:f>IF(AND('Calculations'!EM414&lt;&gt;"",'Calculations'!HF414='Calculations'!IJ414),1,0)</x:f>
        <x:v>0</x:v>
      </x:c>
      <x:c r="EQ414" s="4"/>
      <x:c r="ER414" s="4"/>
      <x:c r="ES414" s="4"/>
      <x:c r="ET414" s="4"/>
      <x:c r="EU414" s="4"/>
      <x:c r="EV414" s="4"/>
      <x:c r="EW414" s="4"/>
      <x:c r="EX414" s="4"/>
      <x:c r="EY414" s="4"/>
      <x:c r="EZ414" s="4"/>
      <x:c r="FA414" s="4"/>
      <x:c r="FB414" s="4"/>
      <x:c r="FC414" s="4"/>
      <x:c r="FD414" s="4"/>
      <x:c r="FE414" s="4"/>
      <x:c r="FF414" s="4"/>
      <x:c r="FG414" s="4"/>
      <x:c r="FH414" s="4"/>
      <x:c r="FI414" s="4"/>
      <x:c r="FJ414" s="4"/>
      <x:c r="FK414" s="4"/>
      <x:c r="FL414" s="4"/>
      <x:c r="FM414" s="4"/>
      <x:c r="FN414" s="4"/>
      <x:c r="FO414" s="4"/>
      <x:c r="HE414" t="str">
        <x:f>IF('Calculations'!EM414="","",IF(IFERROR(IF(INDEX(INDIRECT("'WCM Calibration Final'!$A$1:$A$2000"),'Calculations'!$EM414)="","",TRIM(INDEX(INDIRECT("'WCM Calibration Final'!$A$1:$A$2000"),'Calculations'!$EM414)&amp;"")),"")&lt;&gt;"","G:"&amp;IFERROR(TEXT(1*INDEX(INDIRECT("'WCM Calibration Final'!$A$1:$A$2000"),'Calculations'!$EM414),"0"),UPPER(IFERROR(IF(INDEX(INDIRECT("'WCM Calibration Final'!$A$1:$A$2000"),'Calculations'!$EM414)="","",TRIM(INDEX(INDIRECT("'WCM Calibration Final'!$A$1:$A$2000"),'Calculations'!$EM414)&amp;"")),""))),IF(IFERROR(IF(INDEX(INDIRECT("'WCM Calibration Final'!$C$1:$C$2000"),'Calculations'!$EM414)="","",TRIM(INDEX(INDIRECT("'WCM Calibration Final'!$C$1:$C$2000"),'Calculations'!$EM414)&amp;"")),"")&lt;&gt;"","S:"&amp;UPPER(IFERROR(IF(INDEX(INDIRECT("'WCM Calibration Final'!$C$1:$C$2000"),'Calculations'!$EM414)="","",TRIM(INDEX(INDIRECT("'WCM Calibration Final'!$C$1:$C$2000"),'Calculations'!$EM414)&amp;"")),"")),"R:"&amp;'Calculations'!EM414)))</x:f>
      </x:c>
      <x:c r="HF414" t="str">
        <x:f>IF('Calculations'!EM414="","",IF(IFERROR(IF(INDEX(INDIRECT("'WCM Calibration Final'!$D$1:$D$2000"),'Calculations'!$EM414)="","",TRIM(INDEX(INDIRECT("'WCM Calibration Final'!$D$1:$D$2000"),'Calculations'!$EM414)&amp;"")),"")&lt;&gt;"","G:"&amp;IFERROR(TEXT(1*INDEX(INDIRECT("'WCM Calibration Final'!$D$1:$D$2000"),'Calculations'!$EM414),"0"),UPPER(IFERROR(IF(INDEX(INDIRECT("'WCM Calibration Final'!$D$1:$D$2000"),'Calculations'!$EM414)="","",TRIM(INDEX(INDIRECT("'WCM Calibration Final'!$D$1:$D$2000"),'Calculations'!$EM414)&amp;"")),""))),IF(IFERROR(IF(INDEX(INDIRECT("'WCM Calibration Final'!$E$1:$E$2000"),'Calculations'!$EM414)="","",TRIM(INDEX(INDIRECT("'WCM Calibration Final'!$E$1:$E$2000"),'Calculations'!$EM414)&amp;"")),"")="","",IF(COUNTIF('Calculations'!$HG$13:$HG$512,"="&amp;SUBSTITUTE(SUBSTITUTE(SUBSTITUTE(IFERROR(IF(INDEX(INDIRECT("'WCM Calibration Final'!$E$1:$E$2000"),'Calculations'!$EM414)="","",TRIM(INDEX(INDIRECT("'WCM Calibration Final'!$E$1:$E$2000"),'Calculations'!$EM414)&amp;"")),""),"~","~~"),"*","~*"),"?","~?"))=1,INDEX('Calculations'!$HE$13:$HE$512,MATCH(IFERROR(IF(INDEX(INDIRECT("'WCM Calibration Final'!$E$1:$E$2000"),'Calculations'!$EM414)="","",TRIM(INDEX(INDIRECT("'WCM Calibration Final'!$E$1:$E$2000"),'Calculations'!$EM414)&amp;"")),""),'Calculations'!$HG$13:$HG$512,0)),IF(COUNTIF('Calculations'!$HG$13:$HG$512,"="&amp;SUBSTITUTE(SUBSTITUTE(SUBSTITUTE(IFERROR(IF(INDEX(INDIRECT("'WCM Calibration Final'!$E$1:$E$2000"),'Calculations'!$EM414)="","",TRIM(INDEX(INDIRECT("'WCM Calibration Final'!$E$1:$E$2000"),'Calculations'!$EM414)&amp;"")),""),"~","~~"),"*","~*"),"?","~?"))&gt;1,"!AMBIG","X:"&amp;IFERROR(IF(INDEX(INDIRECT("'WCM Calibration Final'!$E$1:$E$2000"),'Calculations'!$EM414)="","",TRIM(INDEX(INDIRECT("'WCM Calibration Final'!$E$1:$E$2000"),'Calculations'!$EM414)&amp;"")),""))))))</x:f>
      </x:c>
      <x:c r="HG414" t="str">
        <x:f>IF('Calculations'!EM414="","",IFERROR(IF(INDEX(INDIRECT("'WCM Calibration Final'!$B$1:$B$2000"),'Calculations'!$EM414)="","",TRIM(INDEX(INDIRECT("'WCM Calibration Final'!$B$1:$B$2000"),'Calculations'!$EM414)&amp;"")),""))</x:f>
      </x:c>
      <x:c r="HH414" t="n">
        <x:f>IF(AND('Calculations'!JC414&gt;0,COUNTIF('Calculations'!$HF$12:HF414,"="&amp;SUBSTITUTE(SUBSTITUTE(SUBSTITUTE('Calculations'!HF414,"~","~~"),"*","~*"),"?","~?"))=1),MAX('Calculations'!$HH$12:HH413)+1,0)</x:f>
        <x:v>0</x:v>
      </x:c>
      <x:c r="HI414" t="n">
        <x:f>IF(AND('Calculations'!HN414&lt;&gt;"",COUNTIF('Calculations'!$HN$12:HN414,"="&amp;SUBSTITUTE(SUBSTITUTE(SUBSTITUTE('Calculations'!HN414,"~","~~"),"*","~*"),"?","~?"))=1),MAX('Calculations'!$HI$12:HI413)+1,0)</x:f>
        <x:v>0</x:v>
      </x:c>
      <x:c r="HJ414" t="str">
        <x:f>IF('Calculations'!HF414="","",IF(COUNTIF('Calculations'!$HE$13:$HE$512,"="&amp;SUBSTITUTE(SUBSTITUTE(SUBSTITUTE('Calculations'!HF414,"~","~~"),"*","~*"),"?","~?"))=1,INDEX('Calculations'!$HK$13:$HK$512,MATCH('Calculations'!HF414,'Calculations'!$HE$13:$HE$512,0)),IFERROR(IF(INDEX(INDIRECT("'WCM Calibration Final'!$E$1:$E$2000"),'Calculations'!$EM414)="","",TRIM(INDEX(INDIRECT("'WCM Calibration Final'!$E$1:$E$2000"),'Calculations'!$EM414)&amp;"")),"")&amp;" ["&amp;'Calculations'!HF414&amp;"]"))</x:f>
      </x:c>
      <x:c r="HK414" t="str">
        <x:f>IF('Calculations'!EM414="","",'Calculations'!HG414&amp;" ["&amp;'Calculations'!HE414&amp;"]")</x:f>
      </x:c>
      <x:c r="HL414" t="n">
        <x:f>IF('Calculations'!EM414="",0,IF(OR('Calculations'!II414&lt;&gt;"",COUNTIF('Calculations'!$HE$13:$HE$512,"="&amp;SUBSTITUTE(SUBSTITUTE(SUBSTITUTE('Calculations'!HE414,"~","~~"),"*","~*"),"?","~?"))&gt;1),1,0))</x:f>
        <x:v>0</x:v>
      </x:c>
      <x:c r="HM414" t="str">
        <x:f>IF('Calculations'!EM414="","",IF('Calculations'!HL414=1,"!UNRESOLVED",IF('Calculations'!IH414&lt;&gt;"",'Calculations'!IH414,IF('Calculations'!IG414&lt;&gt;"",'Calculations'!IG414,IF('Calculations'!IF414&lt;&gt;"",'Calculations'!IF414,IF('Calculations'!IE414&lt;&gt;"",'Calculations'!IE414,IF('Calculations'!ID414&lt;&gt;"",'Calculations'!ID414,IF('Calculations'!IC414&lt;&gt;"",'Calculations'!IC414,IF('Calculations'!IB414&lt;&gt;"",'Calculations'!IB414,IF('Calculations'!IA414&lt;&gt;"",'Calculations'!IA414,IF('Calculations'!HZ414&lt;&gt;"",'Calculations'!HZ414,IF('Calculations'!HY414&lt;&gt;"",'Calculations'!HY414,IF('Calculations'!HX414&lt;&gt;"",'Calculations'!HX414,IF('Calculations'!HW414&lt;&gt;"",'Calculations'!HW414,IF('Calculations'!HV414&lt;&gt;"",'Calculations'!HV414,IF('Calculations'!HU414&lt;&gt;"",'Calculations'!HU414,IF('Calculations'!HT414&lt;&gt;"",'Calculations'!HT414,IF('Calculations'!HS414&lt;&gt;"",'Calculations'!HS414,IF('Calculations'!HR414&lt;&gt;"",'Calculations'!HR414,IF('Calculations'!HQ414&lt;&gt;"",'Calculations'!HQ414,IF('Calculations'!HP414&lt;&gt;"",'Calculations'!HP414,IF('Calculations'!HO414&lt;&gt;"",'Calculations'!HO414,'Calculations'!HE414))))))))))))))))))))))</x:f>
      </x:c>
      <x:c r="HN414" t="str">
        <x:f>IF('Calculations'!EM414="","",IF(IFERROR(IF(INDEX(INDIRECT("'WCM Calibration Final'!$F$1:$F$2000"),'Calculations'!$EM414)="","",TRIM(INDEX(INDIRECT("'WCM Calibration Final'!$F$1:$F$2000"),'Calculations'!$EM414)&amp;"")),"")="","(Blank)",IFERROR(IF(INDEX(INDIRECT("'WCM Calibration Final'!$F$1:$F$2000"),'Calculations'!$EM414)="","",TRIM(INDEX(INDIRECT("'WCM Calibration Final'!$F$1:$F$2000"),'Calculations'!$EM414)&amp;"")),"")))</x:f>
      </x:c>
      <x:c r="HO414" t="str">
        <x:f>'Calculations'!HF414</x:f>
      </x:c>
      <x:c r="HP414" t="str">
        <x:f>IF('Calculations'!HO414="","",IF('Calculations'!HO414="!AMBIG","!AMBIG",IF(COUNTIF('Calculations'!$HE$13:$HE$512,"="&amp;SUBSTITUTE(SUBSTITUTE(SUBSTITUTE('Calculations'!HO414,"~","~~"),"*","~*"),"?","~?"))&gt;1,"!AMBIG",IFERROR(INDEX('Calculations'!$HF$13:$HF$512,MATCH('Calculations'!HO414,'Calculations'!$HE$13:$HE$512,0)),""))))</x:f>
      </x:c>
      <x:c r="HQ414" t="str">
        <x:f>IF('Calculations'!HP414="","",IF('Calculations'!HP414="!AMBIG","!AMBIG",IF(COUNTIF('Calculations'!$HE$13:$HE$512,"="&amp;SUBSTITUTE(SUBSTITUTE(SUBSTITUTE('Calculations'!HP414,"~","~~"),"*","~*"),"?","~?"))&gt;1,"!AMBIG",IFERROR(INDEX('Calculations'!$HF$13:$HF$512,MATCH('Calculations'!HP414,'Calculations'!$HE$13:$HE$512,0)),""))))</x:f>
      </x:c>
      <x:c r="HR414" t="str">
        <x:f>IF('Calculations'!HQ414="","",IF('Calculations'!HQ414="!AMBIG","!AMBIG",IF(COUNTIF('Calculations'!$HE$13:$HE$512,"="&amp;SUBSTITUTE(SUBSTITUTE(SUBSTITUTE('Calculations'!HQ414,"~","~~"),"*","~*"),"?","~?"))&gt;1,"!AMBIG",IFERROR(INDEX('Calculations'!$HF$13:$HF$512,MATCH('Calculations'!HQ414,'Calculations'!$HE$13:$HE$512,0)),""))))</x:f>
      </x:c>
      <x:c r="HS414" t="str">
        <x:f>IF('Calculations'!HR414="","",IF('Calculations'!HR414="!AMBIG","!AMBIG",IF(COUNTIF('Calculations'!$HE$13:$HE$512,"="&amp;SUBSTITUTE(SUBSTITUTE(SUBSTITUTE('Calculations'!HR414,"~","~~"),"*","~*"),"?","~?"))&gt;1,"!AMBIG",IFERROR(INDEX('Calculations'!$HF$13:$HF$512,MATCH('Calculations'!HR414,'Calculations'!$HE$13:$HE$512,0)),""))))</x:f>
      </x:c>
      <x:c r="HT414" t="str">
        <x:f>IF('Calculations'!HS414="","",IF('Calculations'!HS414="!AMBIG","!AMBIG",IF(COUNTIF('Calculations'!$HE$13:$HE$512,"="&amp;SUBSTITUTE(SUBSTITUTE(SUBSTITUTE('Calculations'!HS414,"~","~~"),"*","~*"),"?","~?"))&gt;1,"!AMBIG",IFERROR(INDEX('Calculations'!$HF$13:$HF$512,MATCH('Calculations'!HS414,'Calculations'!$HE$13:$HE$512,0)),""))))</x:f>
      </x:c>
      <x:c r="HU414" t="str">
        <x:f>IF('Calculations'!HT414="","",IF('Calculations'!HT414="!AMBIG","!AMBIG",IF(COUNTIF('Calculations'!$HE$13:$HE$512,"="&amp;SUBSTITUTE(SUBSTITUTE(SUBSTITUTE('Calculations'!HT414,"~","~~"),"*","~*"),"?","~?"))&gt;1,"!AMBIG",IFERROR(INDEX('Calculations'!$HF$13:$HF$512,MATCH('Calculations'!HT414,'Calculations'!$HE$13:$HE$512,0)),""))))</x:f>
      </x:c>
      <x:c r="HV414" t="str">
        <x:f>IF('Calculations'!HU414="","",IF('Calculations'!HU414="!AMBIG","!AMBIG",IF(COUNTIF('Calculations'!$HE$13:$HE$512,"="&amp;SUBSTITUTE(SUBSTITUTE(SUBSTITUTE('Calculations'!HU414,"~","~~"),"*","~*"),"?","~?"))&gt;1,"!AMBIG",IFERROR(INDEX('Calculations'!$HF$13:$HF$512,MATCH('Calculations'!HU414,'Calculations'!$HE$13:$HE$512,0)),""))))</x:f>
      </x:c>
      <x:c r="HW414" t="str">
        <x:f>IF('Calculations'!HV414="","",IF('Calculations'!HV414="!AMBIG","!AMBIG",IF(COUNTIF('Calculations'!$HE$13:$HE$512,"="&amp;SUBSTITUTE(SUBSTITUTE(SUBSTITUTE('Calculations'!HV414,"~","~~"),"*","~*"),"?","~?"))&gt;1,"!AMBIG",IFERROR(INDEX('Calculations'!$HF$13:$HF$512,MATCH('Calculations'!HV414,'Calculations'!$HE$13:$HE$512,0)),""))))</x:f>
      </x:c>
      <x:c r="HX414" t="str">
        <x:f>IF('Calculations'!HW414="","",IF('Calculations'!HW414="!AMBIG","!AMBIG",IF(COUNTIF('Calculations'!$HE$13:$HE$512,"="&amp;SUBSTITUTE(SUBSTITUTE(SUBSTITUTE('Calculations'!HW414,"~","~~"),"*","~*"),"?","~?"))&gt;1,"!AMBIG",IFERROR(INDEX('Calculations'!$HF$13:$HF$512,MATCH('Calculations'!HW414,'Calculations'!$HE$13:$HE$512,0)),""))))</x:f>
      </x:c>
      <x:c r="HY414" t="str">
        <x:f>IF('Calculations'!HX414="","",IF('Calculations'!HX414="!AMBIG","!AMBIG",IF(COUNTIF('Calculations'!$HE$13:$HE$512,"="&amp;SUBSTITUTE(SUBSTITUTE(SUBSTITUTE('Calculations'!HX414,"~","~~"),"*","~*"),"?","~?"))&gt;1,"!AMBIG",IFERROR(INDEX('Calculations'!$HF$13:$HF$512,MATCH('Calculations'!HX414,'Calculations'!$HE$13:$HE$512,0)),""))))</x:f>
      </x:c>
      <x:c r="HZ414" t="str">
        <x:f>IF('Calculations'!HY414="","",IF('Calculations'!HY414="!AMBIG","!AMBIG",IF(COUNTIF('Calculations'!$HE$13:$HE$512,"="&amp;SUBSTITUTE(SUBSTITUTE(SUBSTITUTE('Calculations'!HY414,"~","~~"),"*","~*"),"?","~?"))&gt;1,"!AMBIG",IFERROR(INDEX('Calculations'!$HF$13:$HF$512,MATCH('Calculations'!HY414,'Calculations'!$HE$13:$HE$512,0)),""))))</x:f>
      </x:c>
      <x:c r="IA414" t="str">
        <x:f>IF('Calculations'!HZ414="","",IF('Calculations'!HZ414="!AMBIG","!AMBIG",IF(COUNTIF('Calculations'!$HE$13:$HE$512,"="&amp;SUBSTITUTE(SUBSTITUTE(SUBSTITUTE('Calculations'!HZ414,"~","~~"),"*","~*"),"?","~?"))&gt;1,"!AMBIG",IFERROR(INDEX('Calculations'!$HF$13:$HF$512,MATCH('Calculations'!HZ414,'Calculations'!$HE$13:$HE$512,0)),""))))</x:f>
      </x:c>
      <x:c r="IB414" t="str">
        <x:f>IF('Calculations'!IA414="","",IF('Calculations'!IA414="!AMBIG","!AMBIG",IF(COUNTIF('Calculations'!$HE$13:$HE$512,"="&amp;SUBSTITUTE(SUBSTITUTE(SUBSTITUTE('Calculations'!IA414,"~","~~"),"*","~*"),"?","~?"))&gt;1,"!AMBIG",IFERROR(INDEX('Calculations'!$HF$13:$HF$512,MATCH('Calculations'!IA414,'Calculations'!$HE$13:$HE$512,0)),""))))</x:f>
      </x:c>
      <x:c r="IC414" t="str">
        <x:f>IF('Calculations'!IB414="","",IF('Calculations'!IB414="!AMBIG","!AMBIG",IF(COUNTIF('Calculations'!$HE$13:$HE$512,"="&amp;SUBSTITUTE(SUBSTITUTE(SUBSTITUTE('Calculations'!IB414,"~","~~"),"*","~*"),"?","~?"))&gt;1,"!AMBIG",IFERROR(INDEX('Calculations'!$HF$13:$HF$512,MATCH('Calculations'!IB414,'Calculations'!$HE$13:$HE$512,0)),""))))</x:f>
      </x:c>
      <x:c r="ID414" t="str">
        <x:f>IF('Calculations'!IC414="","",IF('Calculations'!IC414="!AMBIG","!AMBIG",IF(COUNTIF('Calculations'!$HE$13:$HE$512,"="&amp;SUBSTITUTE(SUBSTITUTE(SUBSTITUTE('Calculations'!IC414,"~","~~"),"*","~*"),"?","~?"))&gt;1,"!AMBIG",IFERROR(INDEX('Calculations'!$HF$13:$HF$512,MATCH('Calculations'!IC414,'Calculations'!$HE$13:$HE$512,0)),""))))</x:f>
      </x:c>
      <x:c r="IE414" t="str">
        <x:f>IF('Calculations'!ID414="","",IF('Calculations'!ID414="!AMBIG","!AMBIG",IF(COUNTIF('Calculations'!$HE$13:$HE$512,"="&amp;SUBSTITUTE(SUBSTITUTE(SUBSTITUTE('Calculations'!ID414,"~","~~"),"*","~*"),"?","~?"))&gt;1,"!AMBIG",IFERROR(INDEX('Calculations'!$HF$13:$HF$512,MATCH('Calculations'!ID414,'Calculations'!$HE$13:$HE$512,0)),""))))</x:f>
      </x:c>
      <x:c r="IF414" t="str">
        <x:f>IF('Calculations'!IE414="","",IF('Calculations'!IE414="!AMBIG","!AMBIG",IF(COUNTIF('Calculations'!$HE$13:$HE$512,"="&amp;SUBSTITUTE(SUBSTITUTE(SUBSTITUTE('Calculations'!IE414,"~","~~"),"*","~*"),"?","~?"))&gt;1,"!AMBIG",IFERROR(INDEX('Calculations'!$HF$13:$HF$512,MATCH('Calculations'!IE414,'Calculations'!$HE$13:$HE$512,0)),""))))</x:f>
      </x:c>
      <x:c r="IG414" t="str">
        <x:f>IF('Calculations'!IF414="","",IF('Calculations'!IF414="!AMBIG","!AMBIG",IF(COUNTIF('Calculations'!$HE$13:$HE$512,"="&amp;SUBSTITUTE(SUBSTITUTE(SUBSTITUTE('Calculations'!IF414,"~","~~"),"*","~*"),"?","~?"))&gt;1,"!AMBIG",IFERROR(INDEX('Calculations'!$HF$13:$HF$512,MATCH('Calculations'!IF414,'Calculations'!$HE$13:$HE$512,0)),""))))</x:f>
      </x:c>
      <x:c r="IH414" t="str">
        <x:f>IF('Calculations'!IG414="","",IF('Calculations'!IG414="!AMBIG","!AMBIG",IF(COUNTIF('Calculations'!$HE$13:$HE$512,"="&amp;SUBSTITUTE(SUBSTITUTE(SUBSTITUTE('Calculations'!IG414,"~","~~"),"*","~*"),"?","~?"))&gt;1,"!AMBIG",IFERROR(INDEX('Calculations'!$HF$13:$HF$512,MATCH('Calculations'!IG414,'Calculations'!$HE$13:$HE$512,0)),""))))</x:f>
      </x:c>
      <x:c r="II414" t="str">
        <x:f>IF('Calculations'!IH414="","",IF('Calculations'!IH414="!AMBIG","!AMBIG",IF(COUNTIF('Calculations'!$HE$13:$HE$512,"="&amp;SUBSTITUTE(SUBSTITUTE(SUBSTITUTE('Calculations'!IH414,"~","~~"),"*","~*"),"?","~?"))&gt;1,"!AMBIG",IFERROR(INDEX('Calculations'!$HF$13:$HF$512,MATCH('Calculations'!IH414,'Calculations'!$HE$13:$HE$512,0)),""))))</x:f>
      </x:c>
      <x:c r="IJ414" t="str">
        <x:f>IF('Calculations'!EM414="","",IF('Calculations'!$EF$2="All",'Calculations'!HM414,IF('Calculations'!HL414=1,"",IFERROR(IF(MATCH('Calculations'!$EF$2,'Calculations'!HO414:II414,0)=1,'Calculations'!HE414,INDEX('Calculations'!HO414:II414,1,MATCH('Calculations'!$EF$2,'Calculations'!HO414:II414,0)-1)),""))))</x:f>
      </x:c>
      <x:c r="IK414" t="n">
        <x:f>IF(AND('Calculations'!EM414&lt;&gt;"",'Calculations'!$EF$2&lt;&gt;"All",'Calculations'!HF414='Calculations'!$EF$2,'Calculations'!HL414=0,'Calculations'!JD414&gt;0),MAX('Calculations'!$IK$12:IK413)+1,0)</x:f>
        <x:v>0</x:v>
      </x:c>
      <x:c r="JA414" t="n">
        <x:f>IF(OR(IFERROR(INDIRECT("'WCM Calibration Final'!$A$414")&lt;&gt;"",FALSE),IFERROR(INDIRECT("'WCM Calibration Final'!$B$414")&lt;&gt;"",FALSE),IFERROR(INDIRECT("'WCM Calibration Final'!$C$414")&lt;&gt;"",FALSE)),414,0)</x:f>
        <x:v>0</x:v>
      </x:c>
      <x:c r="JB414" t="n">
        <x:f>'Calculations'!JB413+IF('Calculations'!JA414&gt;0,1,0)</x:f>
        <x:v>0</x:v>
      </x:c>
      <x:c r="JC414" t="n">
        <x:f>IF(OR('Calculations'!HF414="",'Calculations'!HF414="!AMBIG"),0,IF('Dashboard'!$B$7="All",1,COUNTIFS('Calculations'!$HO$13:$HO$512,"="&amp;SUBSTITUTE(SUBSTITUTE(SUBSTITUTE('Calculations'!HF414,"~","~~"),"*","~*"),"?","~?"),'Calculations'!$HN$13:$HN$512,"="&amp;SUBSTITUTE(SUBSTITUTE(SUBSTITUTE('Dashboard'!$B$7,"~","~~"),"*","~*"),"?","~?"))+COUNTIFS('Calculations'!$HP$13:$HP$512,"="&amp;SUBSTITUTE(SUBSTITUTE(SUBSTITUTE('Calculations'!HF414,"~","~~"),"*","~*"),"?","~?"),'Calculations'!$HN$13:$HN$512,"="&amp;SUBSTITUTE(SUBSTITUTE(SUBSTITUTE('Dashboard'!$B$7,"~","~~"),"*","~*"),"?","~?"))+COUNTIFS('Calculations'!$HQ$13:$HQ$512,"="&amp;SUBSTITUTE(SUBSTITUTE(SUBSTITUTE('Calculations'!HF414,"~","~~"),"*","~*"),"?","~?"),'Calculations'!$HN$13:$HN$512,"="&amp;SUBSTITUTE(SUBSTITUTE(SUBSTITUTE('Dashboard'!$B$7,"~","~~"),"*","~*"),"?","~?"))+COUNTIFS('Calculations'!$HR$13:$HR$512,"="&amp;SUBSTITUTE(SUBSTITUTE(SUBSTITUTE('Calculations'!HF414,"~","~~"),"*","~*"),"?","~?"),'Calculations'!$HN$13:$HN$512,"="&amp;SUBSTITUTE(SUBSTITUTE(SUBSTITUTE('Dashboard'!$B$7,"~","~~"),"*","~*"),"?","~?"))+COUNTIFS('Calculations'!$HS$13:$HS$512,"="&amp;SUBSTITUTE(SUBSTITUTE(SUBSTITUTE('Calculations'!HF414,"~","~~"),"*","~*"),"?","~?"),'Calculations'!$HN$13:$HN$512,"="&amp;SUBSTITUTE(SUBSTITUTE(SUBSTITUTE('Dashboard'!$B$7,"~","~~"),"*","~*"),"?","~?"))+COUNTIFS('Calculations'!$HT$13:$HT$512,"="&amp;SUBSTITUTE(SUBSTITUTE(SUBSTITUTE('Calculations'!HF414,"~","~~"),"*","~*"),"?","~?"),'Calculations'!$HN$13:$HN$512,"="&amp;SUBSTITUTE(SUBSTITUTE(SUBSTITUTE('Dashboard'!$B$7,"~","~~"),"*","~*"),"?","~?"))+COUNTIFS('Calculations'!$HU$13:$HU$512,"="&amp;SUBSTITUTE(SUBSTITUTE(SUBSTITUTE('Calculations'!HF414,"~","~~"),"*","~*"),"?","~?"),'Calculations'!$HN$13:$HN$512,"="&amp;SUBSTITUTE(SUBSTITUTE(SUBSTITUTE('Dashboard'!$B$7,"~","~~"),"*","~*"),"?","~?"))+COUNTIFS('Calculations'!$HV$13:$HV$512,"="&amp;SUBSTITUTE(SUBSTITUTE(SUBSTITUTE('Calculations'!HF414,"~","~~"),"*","~*"),"?","~?"),'Calculations'!$HN$13:$HN$512,"="&amp;SUBSTITUTE(SUBSTITUTE(SUBSTITUTE('Dashboard'!$B$7,"~","~~"),"*","~*"),"?","~?"))+COUNTIFS('Calculations'!$HW$13:$HW$512,"="&amp;SUBSTITUTE(SUBSTITUTE(SUBSTITUTE('Calculations'!HF414,"~","~~"),"*","~*"),"?","~?"),'Calculations'!$HN$13:$HN$512,"="&amp;SUBSTITUTE(SUBSTITUTE(SUBSTITUTE('Dashboard'!$B$7,"~","~~"),"*","~*"),"?","~?"))+COUNTIFS('Calculations'!$HX$13:$HX$512,"="&amp;SUBSTITUTE(SUBSTITUTE(SUBSTITUTE('Calculations'!HF414,"~","~~"),"*","~*"),"?","~?"),'Calculations'!$HN$13:$HN$512,"="&amp;SUBSTITUTE(SUBSTITUTE(SUBSTITUTE('Dashboard'!$B$7,"~","~~"),"*","~*"),"?","~?"))+COUNTIFS('Calculations'!$HY$13:$HY$512,"="&amp;SUBSTITUTE(SUBSTITUTE(SUBSTITUTE('Calculations'!HF414,"~","~~"),"*","~*"),"?","~?"),'Calculations'!$HN$13:$HN$512,"="&amp;SUBSTITUTE(SUBSTITUTE(SUBSTITUTE('Dashboard'!$B$7,"~","~~"),"*","~*"),"?","~?"))+COUNTIFS('Calculations'!$HZ$13:$HZ$512,"="&amp;SUBSTITUTE(SUBSTITUTE(SUBSTITUTE('Calculations'!HF414,"~","~~"),"*","~*"),"?","~?"),'Calculations'!$HN$13:$HN$512,"="&amp;SUBSTITUTE(SUBSTITUTE(SUBSTITUTE('Dashboard'!$B$7,"~","~~"),"*","~*"),"?","~?"))+COUNTIFS('Calculations'!$IA$13:$IA$512,"="&amp;SUBSTITUTE(SUBSTITUTE(SUBSTITUTE('Calculations'!HF414,"~","~~"),"*","~*"),"?","~?"),'Calculations'!$HN$13:$HN$512,"="&amp;SUBSTITUTE(SUBSTITUTE(SUBSTITUTE('Dashboard'!$B$7,"~","~~"),"*","~*"),"?","~?"))+COUNTIFS('Calculations'!$IB$13:$IB$512,"="&amp;SUBSTITUTE(SUBSTITUTE(SUBSTITUTE('Calculations'!HF414,"~","~~"),"*","~*"),"?","~?"),'Calculations'!$HN$13:$HN$512,"="&amp;SUBSTITUTE(SUBSTITUTE(SUBSTITUTE('Dashboard'!$B$7,"~","~~"),"*","~*"),"?","~?"))+COUNTIFS('Calculations'!$IC$13:$IC$512,"="&amp;SUBSTITUTE(SUBSTITUTE(SUBSTITUTE('Calculations'!HF414,"~","~~"),"*","~*"),"?","~?"),'Calculations'!$HN$13:$HN$512,"="&amp;SUBSTITUTE(SUBSTITUTE(SUBSTITUTE('Dashboard'!$B$7,"~","~~"),"*","~*"),"?","~?"))+COUNTIFS('Calculations'!$ID$13:$ID$512,"="&amp;SUBSTITUTE(SUBSTITUTE(SUBSTITUTE('Calculations'!HF414,"~","~~"),"*","~*"),"?","~?"),'Calculations'!$HN$13:$HN$512,"="&amp;SUBSTITUTE(SUBSTITUTE(SUBSTITUTE('Dashboard'!$B$7,"~","~~"),"*","~*"),"?","~?"))+COUNTIFS('Calculations'!$IE$13:$IE$512,"="&amp;SUBSTITUTE(SUBSTITUTE(SUBSTITUTE('Calculations'!HF414,"~","~~"),"*","~*"),"?","~?"),'Calculations'!$HN$13:$HN$512,"="&amp;SUBSTITUTE(SUBSTITUTE(SUBSTITUTE('Dashboard'!$B$7,"~","~~"),"*","~*"),"?","~?"))+COUNTIFS('Calculations'!$IF$13:$IF$512,"="&amp;SUBSTITUTE(SUBSTITUTE(SUBSTITUTE('Calculations'!HF414,"~","~~"),"*","~*"),"?","~?"),'Calculations'!$HN$13:$HN$512,"="&amp;SUBSTITUTE(SUBSTITUTE(SUBSTITUTE('Dashboard'!$B$7,"~","~~"),"*","~*"),"?","~?"))+COUNTIFS('Calculations'!$IG$13:$IG$512,"="&amp;SUBSTITUTE(SUBSTITUTE(SUBSTITUTE('Calculations'!HF414,"~","~~"),"*","~*"),"?","~?"),'Calculations'!$HN$13:$HN$512,"="&amp;SUBSTITUTE(SUBSTITUTE(SUBSTITUTE('Dashboard'!$B$7,"~","~~"),"*","~*"),"?","~?"))+COUNTIFS('Calculations'!$IH$13:$IH$512,"="&amp;SUBSTITUTE(SUBSTITUTE(SUBSTITUTE('Calculations'!HF414,"~","~~"),"*","~*"),"?","~?"),'Calculations'!$HN$13:$HN$512,"="&amp;SUBSTITUTE(SUBSTITUTE(SUBSTITUTE('Dashboard'!$B$7,"~","~~"),"*","~*"),"?","~?"))))</x:f>
        <x:v>0</x:v>
      </x:c>
      <x:c r="JD414" t="n">
        <x:f>IF('Calculations'!EM414="",0,IF('Dashboard'!$B$7="All",1,IF('Calculations'!HN414='Dashboard'!$B$7,1,0)+IFERROR(INDEX('Calculations'!$JC$13:$JC$512,MATCH('Calculations'!HE414,'Calculations'!$HF$13:$HF$512,0)),0)))</x:f>
        <x:v>0</x:v>
      </x:c>
      <x:c r="JE414" t="n">
        <x:f>IF(AND('Calculations'!EM414&lt;&gt;"",'Calculations'!$JJ$2&lt;&gt;"All",'Calculations'!$JJ$2&lt;&gt;"",'Calculations'!HF414='Calculations'!$JJ$2,'Calculations'!HL414=0,'Calculations'!JD414&gt;0),MAX('Calculations'!$JE$12:JE413)+1,0)</x:f>
        <x:v>0</x:v>
      </x:c>
      <x:c r="JF414" t="str">
        <x:f>IF('Calculations'!EM414="","",IFERROR(IF(INDEX(INDIRECT("'WCM Calibration Final'!$G$1:$G$2000"),'Calculations'!$EM414)="","",TRIM(INDEX(INDIRECT("'WCM Calibration Final'!$G$1:$G$2000"),'Calculations'!$EM414)&amp;"")),""))</x:f>
      </x:c>
      <x:c r="JQ414" t="n">
        <x:f>IF(OR('Calculations'!BM414=0,NOT('Calculations'!$AG$2),'Calculations'!$AG$8&gt;0),0,IF(OR('Dashboard'!$B$7="All",'Calculations'!HN414='Dashboard'!$B$7),IF('Calculations'!$JJ$2="All",1,IF(AND('Calculations'!HF414='Calculations'!$JJ$2,'Calculations'!HL414=0),1,0)),0))</x:f>
        <x:v>0</x:v>
      </x:c>
    </x:row>
    <x:row r="415">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t="n">
        <x:f>IF('Calculations'!$EM415="",0,IF(OR(IFERROR(INDEX(INDIRECT("'WCM Calibration Final'!$A$1:$A$2000"),'Calculations'!$EM415)&lt;&gt;"",FALSE),IFERROR(INDEX(INDIRECT("'WCM Calibration Final'!$B$1:$B$2000"),'Calculations'!$EM415)&lt;&gt;"",FALSE),IFERROR(INDEX(INDIRECT("'WCM Calibration Final'!$C$1:$C$2000"),'Calculations'!$EM415)&lt;&gt;"",FALSE)),1,0))</x:f>
        <x:v>0</x:v>
      </x:c>
      <x:c r="BN415" s="4" t="n">
        <x:f>IF(AND('Calculations'!BM415=1,'Calculations'!$AG$2,'Calculations'!$EN415=1),1,0)</x:f>
        <x:v>0</x:v>
      </x:c>
      <x:c r="BO415" s="4" t="str">
        <x:f>IF('Calculations'!BM415=0,"",IFERROR(IF(AND(VALUE(INDEX(INDIRECT("'WCM Calibration Final'!$K$1:$K$2000"),'Calculations'!$EM415))&gt;=1,VALUE(INDEX(INDIRECT("'WCM Calibration Final'!$K$1:$K$2000"),'Calculations'!$EM415))&lt;=4,MOD(VALUE(INDEX(INDIRECT("'WCM Calibration Final'!$K$1:$K$2000"),'Calculations'!$EM415)),1)=0),VALUE(INDEX(INDIRECT("'WCM Calibration Final'!$K$1:$K$2000"),'Calculations'!$EM415)),""),""))</x:f>
      </x:c>
      <x:c r="BP415" s="4" t="str">
        <x:f>IF('Calculations'!BM415=0,"",IFERROR(IF(AND(VALUE(INDEX(INDIRECT("'WCM Calibration Final'!$L$1:$L$2000"),'Calculations'!$EM415))&gt;=1,VALUE(INDEX(INDIRECT("'WCM Calibration Final'!$L$1:$L$2000"),'Calculations'!$EM415))&lt;=4,MOD(VALUE(INDEX(INDIRECT("'WCM Calibration Final'!$L$1:$L$2000"),'Calculations'!$EM415)),1)=0),VALUE(INDEX(INDIRECT("'WCM Calibration Final'!$L$1:$L$2000"),'Calculations'!$EM415)),""),""))</x:f>
      </x:c>
      <x:c r="BQ415" s="4"/>
      <x:c r="BR415" s="4"/>
      <x:c r="BS415" s="4"/>
      <x:c r="BT415" s="4" t="n">
        <x:f>IF(AND('Calculations'!BM415=1,ISNUMBER('Calculations'!BO415),ISNUMBER('Calculations'!BP415)),1,0)</x:f>
        <x:v>0</x:v>
      </x:c>
      <x:c r="BU415" s="4" t="str">
        <x:f>IF('Calculations'!BM415=0,"",'Calculations'!$EO415)</x:f>
      </x:c>
      <x:c r="BV415" s="4" t="str">
        <x:f>IF('Calculations'!BM415=0,"",IFERROR(IF(OR(INDEX(INDIRECT("'WCM Calibration Final'!$H$1:$H$2000"),'Calculations'!$EM415)="MANAGING DIRECTOR",INDEX(INDIRECT("'WCM Calibration Final'!$H$1:$H$2000"),'Calculations'!$EM415)="DIRECTOR",INDEX(INDIRECT("'WCM Calibration Final'!$H$1:$H$2000"),'Calculations'!$EM415)="SENIOR VICE PRESIDENT",INDEX(INDIRECT("'WCM Calibration Final'!$H$1:$H$2000"),'Calculations'!$EM415)="VICE PRESIDENT",INDEX(INDIRECT("'WCM Calibration Final'!$H$1:$H$2000"),'Calculations'!$EM415)="ASSISTANT VICE PRESIDENT",INDEX(INDIRECT("'WCM Calibration Final'!$H$1:$H$2000"),'Calculations'!$EM415)="OFFICER"),UPPER(INDEX(INDIRECT("'WCM Calibration Final'!$H$1:$H$2000"),'Calculations'!$EM415)),"Other"),"Other"))</x:f>
      </x:c>
      <x:c r="BW415" s="4"/>
      <x:c r="BX415" s="4"/>
      <x:c r="BY415" s="4" t="n">
        <x:f>IF(AND('Calculations'!BM415=1,'Calculations'!BU415&lt;&gt;"",COUNTIF('Calculations'!$BU$12:BU415,'Calculations'!BU415)=1),MAX('Calculations'!$BY$11:BY414)+1,0)</x:f>
        <x:v>0</x:v>
      </x:c>
      <x:c r="BZ415" s="4" t="str">
        <x:f>IF('Dashboard'!$E$67="What",'Calculations'!BO415,'Calculations'!BP415)</x:f>
      </x:c>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t="str">
        <x:f>IF(404&gt;MAX('Calculations'!$HI$13:$HI$512),"",INDEX('Calculations'!$HN$13:$HN$512,MATCH(404,'Calculations'!$HI$13:$HI$512,0)))</x:f>
      </x:c>
      <x:c r="DB415" s="4" t="str">
        <x:f>IF(404&gt;MAX('Calculations'!$HH$13:$HH$512),"",INDEX('Calculations'!$HJ$13:$HJ$512,MATCH(404,'Calculations'!$HH$13:$HH$512,0)))</x:f>
      </x:c>
      <x:c r="DC415" s="4" t="str">
        <x:f>IF(ROW()-11&gt;MAX('Calculations'!$BY$13:$BY$512),"",INDEX('Calculations'!$BU$13:$BU$512,MATCH(ROW()-11,'Calculations'!$BY$13:$BY$512,0)))</x:f>
      </x:c>
      <x:c r="DD415" s="4" t="str">
        <x:f>IF(404&gt;MAX('Calculations'!$IK$13:$IK$512),"",INDEX('Calculations'!$HK$13:$HK$512,MATCH(404,'Calculations'!$IK$13:$IK$512,0)))</x:f>
      </x:c>
      <x:c r="DE415" s="4" t="str">
        <x:f>'Calculations'!DC415</x:f>
      </x:c>
      <x:c r="DF415" s="4" t="str">
        <x:f>IF('Calculations'!DE415="","",COUNTIFS('Calculations'!$BN$13:$BN$512,1,'Calculations'!$BU$13:$BU$512,'Calculations'!DE415))</x:f>
      </x:c>
      <x:c r="DG415" s="4" t="str">
        <x:f>IF('Calculations'!DE415="","",COUNTIFS('Calculations'!$BN$13:$BN$512,1,'Calculations'!$BU$13:$BU$512,'Calculations'!DE415,'Calculations'!$BT$13:$BT$512,1))</x:f>
      </x:c>
      <x:c r="DH415" s="4" t="str">
        <x:f>IF('Calculations'!DE415="","",'Calculations'!DF415-'Calculations'!DG415)</x:f>
      </x:c>
      <x:c r="DI415" s="4" t="str">
        <x:f>IF(OR('Calculations'!DE415="",'Calculations'!DF415=0),"",'Calculations'!DG415/'Calculations'!DF415)</x:f>
      </x:c>
      <x:c r="DJ415" s="4" t="str">
        <x:f>IF('Calculations'!DE415="","",COUNTIFS('Calculations'!$BN$13:$BN$512,1,'Calculations'!$BU$13:$BU$512,'Calculations'!DE415,'Calculations'!$BT$13:$BT$512,1,'Calculations'!$EE$13:$EE$512,"High"))</x:f>
      </x:c>
      <x:c r="DK415" s="4" t="str">
        <x:f>IF('Calculations'!DE415="","",COUNTIFS('Calculations'!$BN$13:$BN$512,1,'Calculations'!$BU$13:$BU$512,'Calculations'!DE415,'Calculations'!$BT$13:$BT$512,1,'Calculations'!$EE$13:$EE$512,"Strong"))</x:f>
      </x:c>
      <x:c r="DL415" s="4" t="str">
        <x:f>IF('Calculations'!DE415="","",COUNTIFS('Calculations'!$BN$13:$BN$512,1,'Calculations'!$BU$13:$BU$512,'Calculations'!DE415,'Calculations'!$BT$13:$BT$512,1,'Calculations'!$EE$13:$EE$512,"Solid"))</x:f>
      </x:c>
      <x:c r="DM415" s="4" t="str">
        <x:f>IF('Calculations'!DE415="","",COUNTIFS('Calculations'!$BN$13:$BN$512,1,'Calculations'!$BU$13:$BU$512,'Calculations'!DE415,'Calculations'!$BT$13:$BT$512,1,'Calculations'!$EE$13:$EE$512,"Low"))</x:f>
      </x:c>
      <x:c r="DN415" s="4" t="str">
        <x:f>IF('Calculations'!DE415="","",COUNTIFS('Calculations'!$BN$13:$BN$512,1,'Calculations'!$BU$13:$BU$512,'Calculations'!DE415,'Calculations'!$EP$13:$EP$512,1))</x:f>
      </x:c>
      <x:c r="DO415" s="4" t="str">
        <x:f>IF(OR('Calculations'!DE415="",'Calculations'!DG415=0),"",('Calculations'!DJ415+'Calculations'!DK415)/'Calculations'!DG415)</x:f>
      </x:c>
      <x:c r="DP415" s="4" t="n">
        <x:f>IF(AND('Calculations'!DE415&lt;&gt;"",'Calculations'!DF415&gt;0),COUNTIF('Calculations'!$DF$12:DF415,"&gt;0"),0)</x:f>
        <x:v>0</x:v>
      </x:c>
      <x:c r="DQ415" s="4" t="str">
        <x:f>IF(404&gt;MAX('Calculations'!$HH$13:$HH$512),"",INDEX('Calculations'!$HF$13:$HF$512,MATCH(404,'Calculations'!$HH$13:$HH$512,0)))</x:f>
      </x:c>
      <x:c r="DR415" s="4" t="str">
        <x:f>IF(404&gt;MAX('Calculations'!$IK$13:$IK$512),"",INDEX('Calculations'!$HE$13:$HE$512,MATCH(404,'Calculations'!$IK$13:$IK$512,0)))</x:f>
      </x:c>
      <x:c r="DS415" s="4"/>
      <x:c r="DT415" s="4"/>
      <x:c r="DU415" s="4"/>
      <x:c r="DV415" s="4"/>
      <x:c r="DW415" s="4"/>
      <x:c r="DX415" s="4"/>
      <x:c r="DY415" s="4"/>
      <x:c r="DZ415" s="4"/>
      <x:c r="EA415" s="4"/>
      <x:c r="EB415" s="4"/>
      <x:c r="EC415" s="4"/>
      <x:c r="ED415" s="4"/>
      <x:c r="EE415" s="4" t="str">
        <x:f>IF('Calculations'!BT415=0,"Not Rated",IF(OR('Calculations'!BO415&gt;=4,'Calculations'!BP415&gt;=4),"Low",IF('Calculations'!BO415+'Calculations'!BP415&lt;=3,"High",IF('Calculations'!BO415+'Calculations'!BP415&lt;=4,"Strong","Solid"))))</x:f>
        <x:v>Not Rated</x:v>
      </x:c>
      <x:c r="EF415" s="4"/>
      <x:c r="EG415" s="4"/>
      <x:c r="EH415" s="4"/>
      <x:c r="EI415" s="4"/>
      <x:c r="EJ415" s="4"/>
      <x:c r="EK415" s="4"/>
      <x:c r="EL415" s="4"/>
      <x:c r="EM415" s="4" t="str">
        <x:f>IF(403&gt;'Calculations'!$JB$2000,"",INDEX('Calculations'!$JA$12:$JA$2000,MATCH(403,'Calculations'!$JB$12:$JB$2000,0)))</x:f>
      </x:c>
      <x:c r="EN415" s="4" t="n">
        <x:f>IF(OR('Calculations'!EM415="",'Calculations'!$AG$8&gt;0,AND('Calculations'!$EF$2&lt;&gt;"All",'Calculations'!HE415='Calculations'!$EF$2),AND('Calculations'!$EF$3&lt;&gt;"All",'Calculations'!HE415='Calculations'!$EF$3)),0,IF(OR('Dashboard'!$B$7="All",'Calculations'!HN415='Dashboard'!$B$7),IF('Calculations'!$EF$2="All",1,IF('Calculations'!HL415&gt;0,0,IF(COUNTIF('Calculations'!HO415:II415,"="&amp;SUBSTITUTE(SUBSTITUTE(SUBSTITUTE('Calculations'!$EF$2,"~","~~"),"*","~*"),"?","~?"))=0,0,IF('Calculations'!$EF$3="All",1,IF(COUNTIF('Calculations'!HO415:II415,"="&amp;SUBSTITUTE(SUBSTITUTE(SUBSTITUTE('Calculations'!$EF$3,"~","~~"),"*","~*"),"?","~?"))&gt;0,1,0))))),0))</x:f>
        <x:v>0</x:v>
      </x:c>
      <x:c r="EO415" s="4" t="str">
        <x:f>IF('Calculations'!IJ415="","",IF('Calculations'!IJ415="!UNRESOLVED","Unresolved hierarchy",IFERROR(INDEX('Calculations'!$HK$13:$HK$512,MATCH('Calculations'!IJ415,'Calculations'!$HE$13:$HE$512,0)),IFERROR(INDEX('Calculations'!$HJ$13:$HJ$512,MATCH('Calculations'!IJ415,'Calculations'!$HF$13:$HF$512,0)),'Calculations'!IJ415))))</x:f>
      </x:c>
      <x:c r="EP415" s="4" t="n">
        <x:f>IF(AND('Calculations'!EM415&lt;&gt;"",'Calculations'!HF415='Calculations'!IJ415),1,0)</x:f>
        <x:v>0</x:v>
      </x:c>
      <x:c r="EQ415" s="4"/>
      <x:c r="ER415" s="4"/>
      <x:c r="ES415" s="4"/>
      <x:c r="ET415" s="4"/>
      <x:c r="EU415" s="4"/>
      <x:c r="EV415" s="4"/>
      <x:c r="EW415" s="4"/>
      <x:c r="EX415" s="4"/>
      <x:c r="EY415" s="4"/>
      <x:c r="EZ415" s="4"/>
      <x:c r="FA415" s="4"/>
      <x:c r="FB415" s="4"/>
      <x:c r="FC415" s="4"/>
      <x:c r="FD415" s="4"/>
      <x:c r="FE415" s="4"/>
      <x:c r="FF415" s="4"/>
      <x:c r="FG415" s="4"/>
      <x:c r="FH415" s="4"/>
      <x:c r="FI415" s="4"/>
      <x:c r="FJ415" s="4"/>
      <x:c r="FK415" s="4"/>
      <x:c r="FL415" s="4"/>
      <x:c r="FM415" s="4"/>
      <x:c r="FN415" s="4"/>
      <x:c r="FO415" s="4"/>
      <x:c r="HE415" t="str">
        <x:f>IF('Calculations'!EM415="","",IF(IFERROR(IF(INDEX(INDIRECT("'WCM Calibration Final'!$A$1:$A$2000"),'Calculations'!$EM415)="","",TRIM(INDEX(INDIRECT("'WCM Calibration Final'!$A$1:$A$2000"),'Calculations'!$EM415)&amp;"")),"")&lt;&gt;"","G:"&amp;IFERROR(TEXT(1*INDEX(INDIRECT("'WCM Calibration Final'!$A$1:$A$2000"),'Calculations'!$EM415),"0"),UPPER(IFERROR(IF(INDEX(INDIRECT("'WCM Calibration Final'!$A$1:$A$2000"),'Calculations'!$EM415)="","",TRIM(INDEX(INDIRECT("'WCM Calibration Final'!$A$1:$A$2000"),'Calculations'!$EM415)&amp;"")),""))),IF(IFERROR(IF(INDEX(INDIRECT("'WCM Calibration Final'!$C$1:$C$2000"),'Calculations'!$EM415)="","",TRIM(INDEX(INDIRECT("'WCM Calibration Final'!$C$1:$C$2000"),'Calculations'!$EM415)&amp;"")),"")&lt;&gt;"","S:"&amp;UPPER(IFERROR(IF(INDEX(INDIRECT("'WCM Calibration Final'!$C$1:$C$2000"),'Calculations'!$EM415)="","",TRIM(INDEX(INDIRECT("'WCM Calibration Final'!$C$1:$C$2000"),'Calculations'!$EM415)&amp;"")),"")),"R:"&amp;'Calculations'!EM415)))</x:f>
      </x:c>
      <x:c r="HF415" t="str">
        <x:f>IF('Calculations'!EM415="","",IF(IFERROR(IF(INDEX(INDIRECT("'WCM Calibration Final'!$D$1:$D$2000"),'Calculations'!$EM415)="","",TRIM(INDEX(INDIRECT("'WCM Calibration Final'!$D$1:$D$2000"),'Calculations'!$EM415)&amp;"")),"")&lt;&gt;"","G:"&amp;IFERROR(TEXT(1*INDEX(INDIRECT("'WCM Calibration Final'!$D$1:$D$2000"),'Calculations'!$EM415),"0"),UPPER(IFERROR(IF(INDEX(INDIRECT("'WCM Calibration Final'!$D$1:$D$2000"),'Calculations'!$EM415)="","",TRIM(INDEX(INDIRECT("'WCM Calibration Final'!$D$1:$D$2000"),'Calculations'!$EM415)&amp;"")),""))),IF(IFERROR(IF(INDEX(INDIRECT("'WCM Calibration Final'!$E$1:$E$2000"),'Calculations'!$EM415)="","",TRIM(INDEX(INDIRECT("'WCM Calibration Final'!$E$1:$E$2000"),'Calculations'!$EM415)&amp;"")),"")="","",IF(COUNTIF('Calculations'!$HG$13:$HG$512,"="&amp;SUBSTITUTE(SUBSTITUTE(SUBSTITUTE(IFERROR(IF(INDEX(INDIRECT("'WCM Calibration Final'!$E$1:$E$2000"),'Calculations'!$EM415)="","",TRIM(INDEX(INDIRECT("'WCM Calibration Final'!$E$1:$E$2000"),'Calculations'!$EM415)&amp;"")),""),"~","~~"),"*","~*"),"?","~?"))=1,INDEX('Calculations'!$HE$13:$HE$512,MATCH(IFERROR(IF(INDEX(INDIRECT("'WCM Calibration Final'!$E$1:$E$2000"),'Calculations'!$EM415)="","",TRIM(INDEX(INDIRECT("'WCM Calibration Final'!$E$1:$E$2000"),'Calculations'!$EM415)&amp;"")),""),'Calculations'!$HG$13:$HG$512,0)),IF(COUNTIF('Calculations'!$HG$13:$HG$512,"="&amp;SUBSTITUTE(SUBSTITUTE(SUBSTITUTE(IFERROR(IF(INDEX(INDIRECT("'WCM Calibration Final'!$E$1:$E$2000"),'Calculations'!$EM415)="","",TRIM(INDEX(INDIRECT("'WCM Calibration Final'!$E$1:$E$2000"),'Calculations'!$EM415)&amp;"")),""),"~","~~"),"*","~*"),"?","~?"))&gt;1,"!AMBIG","X:"&amp;IFERROR(IF(INDEX(INDIRECT("'WCM Calibration Final'!$E$1:$E$2000"),'Calculations'!$EM415)="","",TRIM(INDEX(INDIRECT("'WCM Calibration Final'!$E$1:$E$2000"),'Calculations'!$EM415)&amp;"")),""))))))</x:f>
      </x:c>
      <x:c r="HG415" t="str">
        <x:f>IF('Calculations'!EM415="","",IFERROR(IF(INDEX(INDIRECT("'WCM Calibration Final'!$B$1:$B$2000"),'Calculations'!$EM415)="","",TRIM(INDEX(INDIRECT("'WCM Calibration Final'!$B$1:$B$2000"),'Calculations'!$EM415)&amp;"")),""))</x:f>
      </x:c>
      <x:c r="HH415" t="n">
        <x:f>IF(AND('Calculations'!JC415&gt;0,COUNTIF('Calculations'!$HF$12:HF415,"="&amp;SUBSTITUTE(SUBSTITUTE(SUBSTITUTE('Calculations'!HF415,"~","~~"),"*","~*"),"?","~?"))=1),MAX('Calculations'!$HH$12:HH414)+1,0)</x:f>
        <x:v>0</x:v>
      </x:c>
      <x:c r="HI415" t="n">
        <x:f>IF(AND('Calculations'!HN415&lt;&gt;"",COUNTIF('Calculations'!$HN$12:HN415,"="&amp;SUBSTITUTE(SUBSTITUTE(SUBSTITUTE('Calculations'!HN415,"~","~~"),"*","~*"),"?","~?"))=1),MAX('Calculations'!$HI$12:HI414)+1,0)</x:f>
        <x:v>0</x:v>
      </x:c>
      <x:c r="HJ415" t="str">
        <x:f>IF('Calculations'!HF415="","",IF(COUNTIF('Calculations'!$HE$13:$HE$512,"="&amp;SUBSTITUTE(SUBSTITUTE(SUBSTITUTE('Calculations'!HF415,"~","~~"),"*","~*"),"?","~?"))=1,INDEX('Calculations'!$HK$13:$HK$512,MATCH('Calculations'!HF415,'Calculations'!$HE$13:$HE$512,0)),IFERROR(IF(INDEX(INDIRECT("'WCM Calibration Final'!$E$1:$E$2000"),'Calculations'!$EM415)="","",TRIM(INDEX(INDIRECT("'WCM Calibration Final'!$E$1:$E$2000"),'Calculations'!$EM415)&amp;"")),"")&amp;" ["&amp;'Calculations'!HF415&amp;"]"))</x:f>
      </x:c>
      <x:c r="HK415" t="str">
        <x:f>IF('Calculations'!EM415="","",'Calculations'!HG415&amp;" ["&amp;'Calculations'!HE415&amp;"]")</x:f>
      </x:c>
      <x:c r="HL415" t="n">
        <x:f>IF('Calculations'!EM415="",0,IF(OR('Calculations'!II415&lt;&gt;"",COUNTIF('Calculations'!$HE$13:$HE$512,"="&amp;SUBSTITUTE(SUBSTITUTE(SUBSTITUTE('Calculations'!HE415,"~","~~"),"*","~*"),"?","~?"))&gt;1),1,0))</x:f>
        <x:v>0</x:v>
      </x:c>
      <x:c r="HM415" t="str">
        <x:f>IF('Calculations'!EM415="","",IF('Calculations'!HL415=1,"!UNRESOLVED",IF('Calculations'!IH415&lt;&gt;"",'Calculations'!IH415,IF('Calculations'!IG415&lt;&gt;"",'Calculations'!IG415,IF('Calculations'!IF415&lt;&gt;"",'Calculations'!IF415,IF('Calculations'!IE415&lt;&gt;"",'Calculations'!IE415,IF('Calculations'!ID415&lt;&gt;"",'Calculations'!ID415,IF('Calculations'!IC415&lt;&gt;"",'Calculations'!IC415,IF('Calculations'!IB415&lt;&gt;"",'Calculations'!IB415,IF('Calculations'!IA415&lt;&gt;"",'Calculations'!IA415,IF('Calculations'!HZ415&lt;&gt;"",'Calculations'!HZ415,IF('Calculations'!HY415&lt;&gt;"",'Calculations'!HY415,IF('Calculations'!HX415&lt;&gt;"",'Calculations'!HX415,IF('Calculations'!HW415&lt;&gt;"",'Calculations'!HW415,IF('Calculations'!HV415&lt;&gt;"",'Calculations'!HV415,IF('Calculations'!HU415&lt;&gt;"",'Calculations'!HU415,IF('Calculations'!HT415&lt;&gt;"",'Calculations'!HT415,IF('Calculations'!HS415&lt;&gt;"",'Calculations'!HS415,IF('Calculations'!HR415&lt;&gt;"",'Calculations'!HR415,IF('Calculations'!HQ415&lt;&gt;"",'Calculations'!HQ415,IF('Calculations'!HP415&lt;&gt;"",'Calculations'!HP415,IF('Calculations'!HO415&lt;&gt;"",'Calculations'!HO415,'Calculations'!HE415))))))))))))))))))))))</x:f>
      </x:c>
      <x:c r="HN415" t="str">
        <x:f>IF('Calculations'!EM415="","",IF(IFERROR(IF(INDEX(INDIRECT("'WCM Calibration Final'!$F$1:$F$2000"),'Calculations'!$EM415)="","",TRIM(INDEX(INDIRECT("'WCM Calibration Final'!$F$1:$F$2000"),'Calculations'!$EM415)&amp;"")),"")="","(Blank)",IFERROR(IF(INDEX(INDIRECT("'WCM Calibration Final'!$F$1:$F$2000"),'Calculations'!$EM415)="","",TRIM(INDEX(INDIRECT("'WCM Calibration Final'!$F$1:$F$2000"),'Calculations'!$EM415)&amp;"")),"")))</x:f>
      </x:c>
      <x:c r="HO415" t="str">
        <x:f>'Calculations'!HF415</x:f>
      </x:c>
      <x:c r="HP415" t="str">
        <x:f>IF('Calculations'!HO415="","",IF('Calculations'!HO415="!AMBIG","!AMBIG",IF(COUNTIF('Calculations'!$HE$13:$HE$512,"="&amp;SUBSTITUTE(SUBSTITUTE(SUBSTITUTE('Calculations'!HO415,"~","~~"),"*","~*"),"?","~?"))&gt;1,"!AMBIG",IFERROR(INDEX('Calculations'!$HF$13:$HF$512,MATCH('Calculations'!HO415,'Calculations'!$HE$13:$HE$512,0)),""))))</x:f>
      </x:c>
      <x:c r="HQ415" t="str">
        <x:f>IF('Calculations'!HP415="","",IF('Calculations'!HP415="!AMBIG","!AMBIG",IF(COUNTIF('Calculations'!$HE$13:$HE$512,"="&amp;SUBSTITUTE(SUBSTITUTE(SUBSTITUTE('Calculations'!HP415,"~","~~"),"*","~*"),"?","~?"))&gt;1,"!AMBIG",IFERROR(INDEX('Calculations'!$HF$13:$HF$512,MATCH('Calculations'!HP415,'Calculations'!$HE$13:$HE$512,0)),""))))</x:f>
      </x:c>
      <x:c r="HR415" t="str">
        <x:f>IF('Calculations'!HQ415="","",IF('Calculations'!HQ415="!AMBIG","!AMBIG",IF(COUNTIF('Calculations'!$HE$13:$HE$512,"="&amp;SUBSTITUTE(SUBSTITUTE(SUBSTITUTE('Calculations'!HQ415,"~","~~"),"*","~*"),"?","~?"))&gt;1,"!AMBIG",IFERROR(INDEX('Calculations'!$HF$13:$HF$512,MATCH('Calculations'!HQ415,'Calculations'!$HE$13:$HE$512,0)),""))))</x:f>
      </x:c>
      <x:c r="HS415" t="str">
        <x:f>IF('Calculations'!HR415="","",IF('Calculations'!HR415="!AMBIG","!AMBIG",IF(COUNTIF('Calculations'!$HE$13:$HE$512,"="&amp;SUBSTITUTE(SUBSTITUTE(SUBSTITUTE('Calculations'!HR415,"~","~~"),"*","~*"),"?","~?"))&gt;1,"!AMBIG",IFERROR(INDEX('Calculations'!$HF$13:$HF$512,MATCH('Calculations'!HR415,'Calculations'!$HE$13:$HE$512,0)),""))))</x:f>
      </x:c>
      <x:c r="HT415" t="str">
        <x:f>IF('Calculations'!HS415="","",IF('Calculations'!HS415="!AMBIG","!AMBIG",IF(COUNTIF('Calculations'!$HE$13:$HE$512,"="&amp;SUBSTITUTE(SUBSTITUTE(SUBSTITUTE('Calculations'!HS415,"~","~~"),"*","~*"),"?","~?"))&gt;1,"!AMBIG",IFERROR(INDEX('Calculations'!$HF$13:$HF$512,MATCH('Calculations'!HS415,'Calculations'!$HE$13:$HE$512,0)),""))))</x:f>
      </x:c>
      <x:c r="HU415" t="str">
        <x:f>IF('Calculations'!HT415="","",IF('Calculations'!HT415="!AMBIG","!AMBIG",IF(COUNTIF('Calculations'!$HE$13:$HE$512,"="&amp;SUBSTITUTE(SUBSTITUTE(SUBSTITUTE('Calculations'!HT415,"~","~~"),"*","~*"),"?","~?"))&gt;1,"!AMBIG",IFERROR(INDEX('Calculations'!$HF$13:$HF$512,MATCH('Calculations'!HT415,'Calculations'!$HE$13:$HE$512,0)),""))))</x:f>
      </x:c>
      <x:c r="HV415" t="str">
        <x:f>IF('Calculations'!HU415="","",IF('Calculations'!HU415="!AMBIG","!AMBIG",IF(COUNTIF('Calculations'!$HE$13:$HE$512,"="&amp;SUBSTITUTE(SUBSTITUTE(SUBSTITUTE('Calculations'!HU415,"~","~~"),"*","~*"),"?","~?"))&gt;1,"!AMBIG",IFERROR(INDEX('Calculations'!$HF$13:$HF$512,MATCH('Calculations'!HU415,'Calculations'!$HE$13:$HE$512,0)),""))))</x:f>
      </x:c>
      <x:c r="HW415" t="str">
        <x:f>IF('Calculations'!HV415="","",IF('Calculations'!HV415="!AMBIG","!AMBIG",IF(COUNTIF('Calculations'!$HE$13:$HE$512,"="&amp;SUBSTITUTE(SUBSTITUTE(SUBSTITUTE('Calculations'!HV415,"~","~~"),"*","~*"),"?","~?"))&gt;1,"!AMBIG",IFERROR(INDEX('Calculations'!$HF$13:$HF$512,MATCH('Calculations'!HV415,'Calculations'!$HE$13:$HE$512,0)),""))))</x:f>
      </x:c>
      <x:c r="HX415" t="str">
        <x:f>IF('Calculations'!HW415="","",IF('Calculations'!HW415="!AMBIG","!AMBIG",IF(COUNTIF('Calculations'!$HE$13:$HE$512,"="&amp;SUBSTITUTE(SUBSTITUTE(SUBSTITUTE('Calculations'!HW415,"~","~~"),"*","~*"),"?","~?"))&gt;1,"!AMBIG",IFERROR(INDEX('Calculations'!$HF$13:$HF$512,MATCH('Calculations'!HW415,'Calculations'!$HE$13:$HE$512,0)),""))))</x:f>
      </x:c>
      <x:c r="HY415" t="str">
        <x:f>IF('Calculations'!HX415="","",IF('Calculations'!HX415="!AMBIG","!AMBIG",IF(COUNTIF('Calculations'!$HE$13:$HE$512,"="&amp;SUBSTITUTE(SUBSTITUTE(SUBSTITUTE('Calculations'!HX415,"~","~~"),"*","~*"),"?","~?"))&gt;1,"!AMBIG",IFERROR(INDEX('Calculations'!$HF$13:$HF$512,MATCH('Calculations'!HX415,'Calculations'!$HE$13:$HE$512,0)),""))))</x:f>
      </x:c>
      <x:c r="HZ415" t="str">
        <x:f>IF('Calculations'!HY415="","",IF('Calculations'!HY415="!AMBIG","!AMBIG",IF(COUNTIF('Calculations'!$HE$13:$HE$512,"="&amp;SUBSTITUTE(SUBSTITUTE(SUBSTITUTE('Calculations'!HY415,"~","~~"),"*","~*"),"?","~?"))&gt;1,"!AMBIG",IFERROR(INDEX('Calculations'!$HF$13:$HF$512,MATCH('Calculations'!HY415,'Calculations'!$HE$13:$HE$512,0)),""))))</x:f>
      </x:c>
      <x:c r="IA415" t="str">
        <x:f>IF('Calculations'!HZ415="","",IF('Calculations'!HZ415="!AMBIG","!AMBIG",IF(COUNTIF('Calculations'!$HE$13:$HE$512,"="&amp;SUBSTITUTE(SUBSTITUTE(SUBSTITUTE('Calculations'!HZ415,"~","~~"),"*","~*"),"?","~?"))&gt;1,"!AMBIG",IFERROR(INDEX('Calculations'!$HF$13:$HF$512,MATCH('Calculations'!HZ415,'Calculations'!$HE$13:$HE$512,0)),""))))</x:f>
      </x:c>
      <x:c r="IB415" t="str">
        <x:f>IF('Calculations'!IA415="","",IF('Calculations'!IA415="!AMBIG","!AMBIG",IF(COUNTIF('Calculations'!$HE$13:$HE$512,"="&amp;SUBSTITUTE(SUBSTITUTE(SUBSTITUTE('Calculations'!IA415,"~","~~"),"*","~*"),"?","~?"))&gt;1,"!AMBIG",IFERROR(INDEX('Calculations'!$HF$13:$HF$512,MATCH('Calculations'!IA415,'Calculations'!$HE$13:$HE$512,0)),""))))</x:f>
      </x:c>
      <x:c r="IC415" t="str">
        <x:f>IF('Calculations'!IB415="","",IF('Calculations'!IB415="!AMBIG","!AMBIG",IF(COUNTIF('Calculations'!$HE$13:$HE$512,"="&amp;SUBSTITUTE(SUBSTITUTE(SUBSTITUTE('Calculations'!IB415,"~","~~"),"*","~*"),"?","~?"))&gt;1,"!AMBIG",IFERROR(INDEX('Calculations'!$HF$13:$HF$512,MATCH('Calculations'!IB415,'Calculations'!$HE$13:$HE$512,0)),""))))</x:f>
      </x:c>
      <x:c r="ID415" t="str">
        <x:f>IF('Calculations'!IC415="","",IF('Calculations'!IC415="!AMBIG","!AMBIG",IF(COUNTIF('Calculations'!$HE$13:$HE$512,"="&amp;SUBSTITUTE(SUBSTITUTE(SUBSTITUTE('Calculations'!IC415,"~","~~"),"*","~*"),"?","~?"))&gt;1,"!AMBIG",IFERROR(INDEX('Calculations'!$HF$13:$HF$512,MATCH('Calculations'!IC415,'Calculations'!$HE$13:$HE$512,0)),""))))</x:f>
      </x:c>
      <x:c r="IE415" t="str">
        <x:f>IF('Calculations'!ID415="","",IF('Calculations'!ID415="!AMBIG","!AMBIG",IF(COUNTIF('Calculations'!$HE$13:$HE$512,"="&amp;SUBSTITUTE(SUBSTITUTE(SUBSTITUTE('Calculations'!ID415,"~","~~"),"*","~*"),"?","~?"))&gt;1,"!AMBIG",IFERROR(INDEX('Calculations'!$HF$13:$HF$512,MATCH('Calculations'!ID415,'Calculations'!$HE$13:$HE$512,0)),""))))</x:f>
      </x:c>
      <x:c r="IF415" t="str">
        <x:f>IF('Calculations'!IE415="","",IF('Calculations'!IE415="!AMBIG","!AMBIG",IF(COUNTIF('Calculations'!$HE$13:$HE$512,"="&amp;SUBSTITUTE(SUBSTITUTE(SUBSTITUTE('Calculations'!IE415,"~","~~"),"*","~*"),"?","~?"))&gt;1,"!AMBIG",IFERROR(INDEX('Calculations'!$HF$13:$HF$512,MATCH('Calculations'!IE415,'Calculations'!$HE$13:$HE$512,0)),""))))</x:f>
      </x:c>
      <x:c r="IG415" t="str">
        <x:f>IF('Calculations'!IF415="","",IF('Calculations'!IF415="!AMBIG","!AMBIG",IF(COUNTIF('Calculations'!$HE$13:$HE$512,"="&amp;SUBSTITUTE(SUBSTITUTE(SUBSTITUTE('Calculations'!IF415,"~","~~"),"*","~*"),"?","~?"))&gt;1,"!AMBIG",IFERROR(INDEX('Calculations'!$HF$13:$HF$512,MATCH('Calculations'!IF415,'Calculations'!$HE$13:$HE$512,0)),""))))</x:f>
      </x:c>
      <x:c r="IH415" t="str">
        <x:f>IF('Calculations'!IG415="","",IF('Calculations'!IG415="!AMBIG","!AMBIG",IF(COUNTIF('Calculations'!$HE$13:$HE$512,"="&amp;SUBSTITUTE(SUBSTITUTE(SUBSTITUTE('Calculations'!IG415,"~","~~"),"*","~*"),"?","~?"))&gt;1,"!AMBIG",IFERROR(INDEX('Calculations'!$HF$13:$HF$512,MATCH('Calculations'!IG415,'Calculations'!$HE$13:$HE$512,0)),""))))</x:f>
      </x:c>
      <x:c r="II415" t="str">
        <x:f>IF('Calculations'!IH415="","",IF('Calculations'!IH415="!AMBIG","!AMBIG",IF(COUNTIF('Calculations'!$HE$13:$HE$512,"="&amp;SUBSTITUTE(SUBSTITUTE(SUBSTITUTE('Calculations'!IH415,"~","~~"),"*","~*"),"?","~?"))&gt;1,"!AMBIG",IFERROR(INDEX('Calculations'!$HF$13:$HF$512,MATCH('Calculations'!IH415,'Calculations'!$HE$13:$HE$512,0)),""))))</x:f>
      </x:c>
      <x:c r="IJ415" t="str">
        <x:f>IF('Calculations'!EM415="","",IF('Calculations'!$EF$2="All",'Calculations'!HM415,IF('Calculations'!HL415=1,"",IFERROR(IF(MATCH('Calculations'!$EF$2,'Calculations'!HO415:II415,0)=1,'Calculations'!HE415,INDEX('Calculations'!HO415:II415,1,MATCH('Calculations'!$EF$2,'Calculations'!HO415:II415,0)-1)),""))))</x:f>
      </x:c>
      <x:c r="IK415" t="n">
        <x:f>IF(AND('Calculations'!EM415&lt;&gt;"",'Calculations'!$EF$2&lt;&gt;"All",'Calculations'!HF415='Calculations'!$EF$2,'Calculations'!HL415=0,'Calculations'!JD415&gt;0),MAX('Calculations'!$IK$12:IK414)+1,0)</x:f>
        <x:v>0</x:v>
      </x:c>
      <x:c r="JA415" t="n">
        <x:f>IF(OR(IFERROR(INDIRECT("'WCM Calibration Final'!$A$415")&lt;&gt;"",FALSE),IFERROR(INDIRECT("'WCM Calibration Final'!$B$415")&lt;&gt;"",FALSE),IFERROR(INDIRECT("'WCM Calibration Final'!$C$415")&lt;&gt;"",FALSE)),415,0)</x:f>
        <x:v>0</x:v>
      </x:c>
      <x:c r="JB415" t="n">
        <x:f>'Calculations'!JB414+IF('Calculations'!JA415&gt;0,1,0)</x:f>
        <x:v>0</x:v>
      </x:c>
      <x:c r="JC415" t="n">
        <x:f>IF(OR('Calculations'!HF415="",'Calculations'!HF415="!AMBIG"),0,IF('Dashboard'!$B$7="All",1,COUNTIFS('Calculations'!$HO$13:$HO$512,"="&amp;SUBSTITUTE(SUBSTITUTE(SUBSTITUTE('Calculations'!HF415,"~","~~"),"*","~*"),"?","~?"),'Calculations'!$HN$13:$HN$512,"="&amp;SUBSTITUTE(SUBSTITUTE(SUBSTITUTE('Dashboard'!$B$7,"~","~~"),"*","~*"),"?","~?"))+COUNTIFS('Calculations'!$HP$13:$HP$512,"="&amp;SUBSTITUTE(SUBSTITUTE(SUBSTITUTE('Calculations'!HF415,"~","~~"),"*","~*"),"?","~?"),'Calculations'!$HN$13:$HN$512,"="&amp;SUBSTITUTE(SUBSTITUTE(SUBSTITUTE('Dashboard'!$B$7,"~","~~"),"*","~*"),"?","~?"))+COUNTIFS('Calculations'!$HQ$13:$HQ$512,"="&amp;SUBSTITUTE(SUBSTITUTE(SUBSTITUTE('Calculations'!HF415,"~","~~"),"*","~*"),"?","~?"),'Calculations'!$HN$13:$HN$512,"="&amp;SUBSTITUTE(SUBSTITUTE(SUBSTITUTE('Dashboard'!$B$7,"~","~~"),"*","~*"),"?","~?"))+COUNTIFS('Calculations'!$HR$13:$HR$512,"="&amp;SUBSTITUTE(SUBSTITUTE(SUBSTITUTE('Calculations'!HF415,"~","~~"),"*","~*"),"?","~?"),'Calculations'!$HN$13:$HN$512,"="&amp;SUBSTITUTE(SUBSTITUTE(SUBSTITUTE('Dashboard'!$B$7,"~","~~"),"*","~*"),"?","~?"))+COUNTIFS('Calculations'!$HS$13:$HS$512,"="&amp;SUBSTITUTE(SUBSTITUTE(SUBSTITUTE('Calculations'!HF415,"~","~~"),"*","~*"),"?","~?"),'Calculations'!$HN$13:$HN$512,"="&amp;SUBSTITUTE(SUBSTITUTE(SUBSTITUTE('Dashboard'!$B$7,"~","~~"),"*","~*"),"?","~?"))+COUNTIFS('Calculations'!$HT$13:$HT$512,"="&amp;SUBSTITUTE(SUBSTITUTE(SUBSTITUTE('Calculations'!HF415,"~","~~"),"*","~*"),"?","~?"),'Calculations'!$HN$13:$HN$512,"="&amp;SUBSTITUTE(SUBSTITUTE(SUBSTITUTE('Dashboard'!$B$7,"~","~~"),"*","~*"),"?","~?"))+COUNTIFS('Calculations'!$HU$13:$HU$512,"="&amp;SUBSTITUTE(SUBSTITUTE(SUBSTITUTE('Calculations'!HF415,"~","~~"),"*","~*"),"?","~?"),'Calculations'!$HN$13:$HN$512,"="&amp;SUBSTITUTE(SUBSTITUTE(SUBSTITUTE('Dashboard'!$B$7,"~","~~"),"*","~*"),"?","~?"))+COUNTIFS('Calculations'!$HV$13:$HV$512,"="&amp;SUBSTITUTE(SUBSTITUTE(SUBSTITUTE('Calculations'!HF415,"~","~~"),"*","~*"),"?","~?"),'Calculations'!$HN$13:$HN$512,"="&amp;SUBSTITUTE(SUBSTITUTE(SUBSTITUTE('Dashboard'!$B$7,"~","~~"),"*","~*"),"?","~?"))+COUNTIFS('Calculations'!$HW$13:$HW$512,"="&amp;SUBSTITUTE(SUBSTITUTE(SUBSTITUTE('Calculations'!HF415,"~","~~"),"*","~*"),"?","~?"),'Calculations'!$HN$13:$HN$512,"="&amp;SUBSTITUTE(SUBSTITUTE(SUBSTITUTE('Dashboard'!$B$7,"~","~~"),"*","~*"),"?","~?"))+COUNTIFS('Calculations'!$HX$13:$HX$512,"="&amp;SUBSTITUTE(SUBSTITUTE(SUBSTITUTE('Calculations'!HF415,"~","~~"),"*","~*"),"?","~?"),'Calculations'!$HN$13:$HN$512,"="&amp;SUBSTITUTE(SUBSTITUTE(SUBSTITUTE('Dashboard'!$B$7,"~","~~"),"*","~*"),"?","~?"))+COUNTIFS('Calculations'!$HY$13:$HY$512,"="&amp;SUBSTITUTE(SUBSTITUTE(SUBSTITUTE('Calculations'!HF415,"~","~~"),"*","~*"),"?","~?"),'Calculations'!$HN$13:$HN$512,"="&amp;SUBSTITUTE(SUBSTITUTE(SUBSTITUTE('Dashboard'!$B$7,"~","~~"),"*","~*"),"?","~?"))+COUNTIFS('Calculations'!$HZ$13:$HZ$512,"="&amp;SUBSTITUTE(SUBSTITUTE(SUBSTITUTE('Calculations'!HF415,"~","~~"),"*","~*"),"?","~?"),'Calculations'!$HN$13:$HN$512,"="&amp;SUBSTITUTE(SUBSTITUTE(SUBSTITUTE('Dashboard'!$B$7,"~","~~"),"*","~*"),"?","~?"))+COUNTIFS('Calculations'!$IA$13:$IA$512,"="&amp;SUBSTITUTE(SUBSTITUTE(SUBSTITUTE('Calculations'!HF415,"~","~~"),"*","~*"),"?","~?"),'Calculations'!$HN$13:$HN$512,"="&amp;SUBSTITUTE(SUBSTITUTE(SUBSTITUTE('Dashboard'!$B$7,"~","~~"),"*","~*"),"?","~?"))+COUNTIFS('Calculations'!$IB$13:$IB$512,"="&amp;SUBSTITUTE(SUBSTITUTE(SUBSTITUTE('Calculations'!HF415,"~","~~"),"*","~*"),"?","~?"),'Calculations'!$HN$13:$HN$512,"="&amp;SUBSTITUTE(SUBSTITUTE(SUBSTITUTE('Dashboard'!$B$7,"~","~~"),"*","~*"),"?","~?"))+COUNTIFS('Calculations'!$IC$13:$IC$512,"="&amp;SUBSTITUTE(SUBSTITUTE(SUBSTITUTE('Calculations'!HF415,"~","~~"),"*","~*"),"?","~?"),'Calculations'!$HN$13:$HN$512,"="&amp;SUBSTITUTE(SUBSTITUTE(SUBSTITUTE('Dashboard'!$B$7,"~","~~"),"*","~*"),"?","~?"))+COUNTIFS('Calculations'!$ID$13:$ID$512,"="&amp;SUBSTITUTE(SUBSTITUTE(SUBSTITUTE('Calculations'!HF415,"~","~~"),"*","~*"),"?","~?"),'Calculations'!$HN$13:$HN$512,"="&amp;SUBSTITUTE(SUBSTITUTE(SUBSTITUTE('Dashboard'!$B$7,"~","~~"),"*","~*"),"?","~?"))+COUNTIFS('Calculations'!$IE$13:$IE$512,"="&amp;SUBSTITUTE(SUBSTITUTE(SUBSTITUTE('Calculations'!HF415,"~","~~"),"*","~*"),"?","~?"),'Calculations'!$HN$13:$HN$512,"="&amp;SUBSTITUTE(SUBSTITUTE(SUBSTITUTE('Dashboard'!$B$7,"~","~~"),"*","~*"),"?","~?"))+COUNTIFS('Calculations'!$IF$13:$IF$512,"="&amp;SUBSTITUTE(SUBSTITUTE(SUBSTITUTE('Calculations'!HF415,"~","~~"),"*","~*"),"?","~?"),'Calculations'!$HN$13:$HN$512,"="&amp;SUBSTITUTE(SUBSTITUTE(SUBSTITUTE('Dashboard'!$B$7,"~","~~"),"*","~*"),"?","~?"))+COUNTIFS('Calculations'!$IG$13:$IG$512,"="&amp;SUBSTITUTE(SUBSTITUTE(SUBSTITUTE('Calculations'!HF415,"~","~~"),"*","~*"),"?","~?"),'Calculations'!$HN$13:$HN$512,"="&amp;SUBSTITUTE(SUBSTITUTE(SUBSTITUTE('Dashboard'!$B$7,"~","~~"),"*","~*"),"?","~?"))+COUNTIFS('Calculations'!$IH$13:$IH$512,"="&amp;SUBSTITUTE(SUBSTITUTE(SUBSTITUTE('Calculations'!HF415,"~","~~"),"*","~*"),"?","~?"),'Calculations'!$HN$13:$HN$512,"="&amp;SUBSTITUTE(SUBSTITUTE(SUBSTITUTE('Dashboard'!$B$7,"~","~~"),"*","~*"),"?","~?"))))</x:f>
        <x:v>0</x:v>
      </x:c>
      <x:c r="JD415" t="n">
        <x:f>IF('Calculations'!EM415="",0,IF('Dashboard'!$B$7="All",1,IF('Calculations'!HN415='Dashboard'!$B$7,1,0)+IFERROR(INDEX('Calculations'!$JC$13:$JC$512,MATCH('Calculations'!HE415,'Calculations'!$HF$13:$HF$512,0)),0)))</x:f>
        <x:v>0</x:v>
      </x:c>
      <x:c r="JE415" t="n">
        <x:f>IF(AND('Calculations'!EM415&lt;&gt;"",'Calculations'!$JJ$2&lt;&gt;"All",'Calculations'!$JJ$2&lt;&gt;"",'Calculations'!HF415='Calculations'!$JJ$2,'Calculations'!HL415=0,'Calculations'!JD415&gt;0),MAX('Calculations'!$JE$12:JE414)+1,0)</x:f>
        <x:v>0</x:v>
      </x:c>
      <x:c r="JF415" t="str">
        <x:f>IF('Calculations'!EM415="","",IFERROR(IF(INDEX(INDIRECT("'WCM Calibration Final'!$G$1:$G$2000"),'Calculations'!$EM415)="","",TRIM(INDEX(INDIRECT("'WCM Calibration Final'!$G$1:$G$2000"),'Calculations'!$EM415)&amp;"")),""))</x:f>
      </x:c>
      <x:c r="JQ415" t="n">
        <x:f>IF(OR('Calculations'!BM415=0,NOT('Calculations'!$AG$2),'Calculations'!$AG$8&gt;0),0,IF(OR('Dashboard'!$B$7="All",'Calculations'!HN415='Dashboard'!$B$7),IF('Calculations'!$JJ$2="All",1,IF(AND('Calculations'!HF415='Calculations'!$JJ$2,'Calculations'!HL415=0),1,0)),0))</x:f>
        <x:v>0</x:v>
      </x:c>
    </x:row>
    <x:row r="416">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t="n">
        <x:f>IF('Calculations'!$EM416="",0,IF(OR(IFERROR(INDEX(INDIRECT("'WCM Calibration Final'!$A$1:$A$2000"),'Calculations'!$EM416)&lt;&gt;"",FALSE),IFERROR(INDEX(INDIRECT("'WCM Calibration Final'!$B$1:$B$2000"),'Calculations'!$EM416)&lt;&gt;"",FALSE),IFERROR(INDEX(INDIRECT("'WCM Calibration Final'!$C$1:$C$2000"),'Calculations'!$EM416)&lt;&gt;"",FALSE)),1,0))</x:f>
        <x:v>0</x:v>
      </x:c>
      <x:c r="BN416" s="4" t="n">
        <x:f>IF(AND('Calculations'!BM416=1,'Calculations'!$AG$2,'Calculations'!$EN416=1),1,0)</x:f>
        <x:v>0</x:v>
      </x:c>
      <x:c r="BO416" s="4" t="str">
        <x:f>IF('Calculations'!BM416=0,"",IFERROR(IF(AND(VALUE(INDEX(INDIRECT("'WCM Calibration Final'!$K$1:$K$2000"),'Calculations'!$EM416))&gt;=1,VALUE(INDEX(INDIRECT("'WCM Calibration Final'!$K$1:$K$2000"),'Calculations'!$EM416))&lt;=4,MOD(VALUE(INDEX(INDIRECT("'WCM Calibration Final'!$K$1:$K$2000"),'Calculations'!$EM416)),1)=0),VALUE(INDEX(INDIRECT("'WCM Calibration Final'!$K$1:$K$2000"),'Calculations'!$EM416)),""),""))</x:f>
      </x:c>
      <x:c r="BP416" s="4" t="str">
        <x:f>IF('Calculations'!BM416=0,"",IFERROR(IF(AND(VALUE(INDEX(INDIRECT("'WCM Calibration Final'!$L$1:$L$2000"),'Calculations'!$EM416))&gt;=1,VALUE(INDEX(INDIRECT("'WCM Calibration Final'!$L$1:$L$2000"),'Calculations'!$EM416))&lt;=4,MOD(VALUE(INDEX(INDIRECT("'WCM Calibration Final'!$L$1:$L$2000"),'Calculations'!$EM416)),1)=0),VALUE(INDEX(INDIRECT("'WCM Calibration Final'!$L$1:$L$2000"),'Calculations'!$EM416)),""),""))</x:f>
      </x:c>
      <x:c r="BQ416" s="4"/>
      <x:c r="BR416" s="4"/>
      <x:c r="BS416" s="4"/>
      <x:c r="BT416" s="4" t="n">
        <x:f>IF(AND('Calculations'!BM416=1,ISNUMBER('Calculations'!BO416),ISNUMBER('Calculations'!BP416)),1,0)</x:f>
        <x:v>0</x:v>
      </x:c>
      <x:c r="BU416" s="4" t="str">
        <x:f>IF('Calculations'!BM416=0,"",'Calculations'!$EO416)</x:f>
      </x:c>
      <x:c r="BV416" s="4" t="str">
        <x:f>IF('Calculations'!BM416=0,"",IFERROR(IF(OR(INDEX(INDIRECT("'WCM Calibration Final'!$H$1:$H$2000"),'Calculations'!$EM416)="MANAGING DIRECTOR",INDEX(INDIRECT("'WCM Calibration Final'!$H$1:$H$2000"),'Calculations'!$EM416)="DIRECTOR",INDEX(INDIRECT("'WCM Calibration Final'!$H$1:$H$2000"),'Calculations'!$EM416)="SENIOR VICE PRESIDENT",INDEX(INDIRECT("'WCM Calibration Final'!$H$1:$H$2000"),'Calculations'!$EM416)="VICE PRESIDENT",INDEX(INDIRECT("'WCM Calibration Final'!$H$1:$H$2000"),'Calculations'!$EM416)="ASSISTANT VICE PRESIDENT",INDEX(INDIRECT("'WCM Calibration Final'!$H$1:$H$2000"),'Calculations'!$EM416)="OFFICER"),UPPER(INDEX(INDIRECT("'WCM Calibration Final'!$H$1:$H$2000"),'Calculations'!$EM416)),"Other"),"Other"))</x:f>
      </x:c>
      <x:c r="BW416" s="4"/>
      <x:c r="BX416" s="4"/>
      <x:c r="BY416" s="4" t="n">
        <x:f>IF(AND('Calculations'!BM416=1,'Calculations'!BU416&lt;&gt;"",COUNTIF('Calculations'!$BU$12:BU416,'Calculations'!BU416)=1),MAX('Calculations'!$BY$11:BY415)+1,0)</x:f>
        <x:v>0</x:v>
      </x:c>
      <x:c r="BZ416" s="4" t="str">
        <x:f>IF('Dashboard'!$E$67="What",'Calculations'!BO416,'Calculations'!BP416)</x:f>
      </x:c>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t="str">
        <x:f>IF(405&gt;MAX('Calculations'!$HI$13:$HI$512),"",INDEX('Calculations'!$HN$13:$HN$512,MATCH(405,'Calculations'!$HI$13:$HI$512,0)))</x:f>
      </x:c>
      <x:c r="DB416" s="4" t="str">
        <x:f>IF(405&gt;MAX('Calculations'!$HH$13:$HH$512),"",INDEX('Calculations'!$HJ$13:$HJ$512,MATCH(405,'Calculations'!$HH$13:$HH$512,0)))</x:f>
      </x:c>
      <x:c r="DC416" s="4" t="str">
        <x:f>IF(ROW()-11&gt;MAX('Calculations'!$BY$13:$BY$512),"",INDEX('Calculations'!$BU$13:$BU$512,MATCH(ROW()-11,'Calculations'!$BY$13:$BY$512,0)))</x:f>
      </x:c>
      <x:c r="DD416" s="4" t="str">
        <x:f>IF(405&gt;MAX('Calculations'!$IK$13:$IK$512),"",INDEX('Calculations'!$HK$13:$HK$512,MATCH(405,'Calculations'!$IK$13:$IK$512,0)))</x:f>
      </x:c>
      <x:c r="DE416" s="4" t="str">
        <x:f>'Calculations'!DC416</x:f>
      </x:c>
      <x:c r="DF416" s="4" t="str">
        <x:f>IF('Calculations'!DE416="","",COUNTIFS('Calculations'!$BN$13:$BN$512,1,'Calculations'!$BU$13:$BU$512,'Calculations'!DE416))</x:f>
      </x:c>
      <x:c r="DG416" s="4" t="str">
        <x:f>IF('Calculations'!DE416="","",COUNTIFS('Calculations'!$BN$13:$BN$512,1,'Calculations'!$BU$13:$BU$512,'Calculations'!DE416,'Calculations'!$BT$13:$BT$512,1))</x:f>
      </x:c>
      <x:c r="DH416" s="4" t="str">
        <x:f>IF('Calculations'!DE416="","",'Calculations'!DF416-'Calculations'!DG416)</x:f>
      </x:c>
      <x:c r="DI416" s="4" t="str">
        <x:f>IF(OR('Calculations'!DE416="",'Calculations'!DF416=0),"",'Calculations'!DG416/'Calculations'!DF416)</x:f>
      </x:c>
      <x:c r="DJ416" s="4" t="str">
        <x:f>IF('Calculations'!DE416="","",COUNTIFS('Calculations'!$BN$13:$BN$512,1,'Calculations'!$BU$13:$BU$512,'Calculations'!DE416,'Calculations'!$BT$13:$BT$512,1,'Calculations'!$EE$13:$EE$512,"High"))</x:f>
      </x:c>
      <x:c r="DK416" s="4" t="str">
        <x:f>IF('Calculations'!DE416="","",COUNTIFS('Calculations'!$BN$13:$BN$512,1,'Calculations'!$BU$13:$BU$512,'Calculations'!DE416,'Calculations'!$BT$13:$BT$512,1,'Calculations'!$EE$13:$EE$512,"Strong"))</x:f>
      </x:c>
      <x:c r="DL416" s="4" t="str">
        <x:f>IF('Calculations'!DE416="","",COUNTIFS('Calculations'!$BN$13:$BN$512,1,'Calculations'!$BU$13:$BU$512,'Calculations'!DE416,'Calculations'!$BT$13:$BT$512,1,'Calculations'!$EE$13:$EE$512,"Solid"))</x:f>
      </x:c>
      <x:c r="DM416" s="4" t="str">
        <x:f>IF('Calculations'!DE416="","",COUNTIFS('Calculations'!$BN$13:$BN$512,1,'Calculations'!$BU$13:$BU$512,'Calculations'!DE416,'Calculations'!$BT$13:$BT$512,1,'Calculations'!$EE$13:$EE$512,"Low"))</x:f>
      </x:c>
      <x:c r="DN416" s="4" t="str">
        <x:f>IF('Calculations'!DE416="","",COUNTIFS('Calculations'!$BN$13:$BN$512,1,'Calculations'!$BU$13:$BU$512,'Calculations'!DE416,'Calculations'!$EP$13:$EP$512,1))</x:f>
      </x:c>
      <x:c r="DO416" s="4" t="str">
        <x:f>IF(OR('Calculations'!DE416="",'Calculations'!DG416=0),"",('Calculations'!DJ416+'Calculations'!DK416)/'Calculations'!DG416)</x:f>
      </x:c>
      <x:c r="DP416" s="4" t="n">
        <x:f>IF(AND('Calculations'!DE416&lt;&gt;"",'Calculations'!DF416&gt;0),COUNTIF('Calculations'!$DF$12:DF416,"&gt;0"),0)</x:f>
        <x:v>0</x:v>
      </x:c>
      <x:c r="DQ416" s="4" t="str">
        <x:f>IF(405&gt;MAX('Calculations'!$HH$13:$HH$512),"",INDEX('Calculations'!$HF$13:$HF$512,MATCH(405,'Calculations'!$HH$13:$HH$512,0)))</x:f>
      </x:c>
      <x:c r="DR416" s="4" t="str">
        <x:f>IF(405&gt;MAX('Calculations'!$IK$13:$IK$512),"",INDEX('Calculations'!$HE$13:$HE$512,MATCH(405,'Calculations'!$IK$13:$IK$512,0)))</x:f>
      </x:c>
      <x:c r="DS416" s="4"/>
      <x:c r="DT416" s="4"/>
      <x:c r="DU416" s="4"/>
      <x:c r="DV416" s="4"/>
      <x:c r="DW416" s="4"/>
      <x:c r="DX416" s="4"/>
      <x:c r="DY416" s="4"/>
      <x:c r="DZ416" s="4"/>
      <x:c r="EA416" s="4"/>
      <x:c r="EB416" s="4"/>
      <x:c r="EC416" s="4"/>
      <x:c r="ED416" s="4"/>
      <x:c r="EE416" s="4" t="str">
        <x:f>IF('Calculations'!BT416=0,"Not Rated",IF(OR('Calculations'!BO416&gt;=4,'Calculations'!BP416&gt;=4),"Low",IF('Calculations'!BO416+'Calculations'!BP416&lt;=3,"High",IF('Calculations'!BO416+'Calculations'!BP416&lt;=4,"Strong","Solid"))))</x:f>
        <x:v>Not Rated</x:v>
      </x:c>
      <x:c r="EF416" s="4"/>
      <x:c r="EG416" s="4"/>
      <x:c r="EH416" s="4"/>
      <x:c r="EI416" s="4"/>
      <x:c r="EJ416" s="4"/>
      <x:c r="EK416" s="4"/>
      <x:c r="EL416" s="4"/>
      <x:c r="EM416" s="4" t="str">
        <x:f>IF(404&gt;'Calculations'!$JB$2000,"",INDEX('Calculations'!$JA$12:$JA$2000,MATCH(404,'Calculations'!$JB$12:$JB$2000,0)))</x:f>
      </x:c>
      <x:c r="EN416" s="4" t="n">
        <x:f>IF(OR('Calculations'!EM416="",'Calculations'!$AG$8&gt;0,AND('Calculations'!$EF$2&lt;&gt;"All",'Calculations'!HE416='Calculations'!$EF$2),AND('Calculations'!$EF$3&lt;&gt;"All",'Calculations'!HE416='Calculations'!$EF$3)),0,IF(OR('Dashboard'!$B$7="All",'Calculations'!HN416='Dashboard'!$B$7),IF('Calculations'!$EF$2="All",1,IF('Calculations'!HL416&gt;0,0,IF(COUNTIF('Calculations'!HO416:II416,"="&amp;SUBSTITUTE(SUBSTITUTE(SUBSTITUTE('Calculations'!$EF$2,"~","~~"),"*","~*"),"?","~?"))=0,0,IF('Calculations'!$EF$3="All",1,IF(COUNTIF('Calculations'!HO416:II416,"="&amp;SUBSTITUTE(SUBSTITUTE(SUBSTITUTE('Calculations'!$EF$3,"~","~~"),"*","~*"),"?","~?"))&gt;0,1,0))))),0))</x:f>
        <x:v>0</x:v>
      </x:c>
      <x:c r="EO416" s="4" t="str">
        <x:f>IF('Calculations'!IJ416="","",IF('Calculations'!IJ416="!UNRESOLVED","Unresolved hierarchy",IFERROR(INDEX('Calculations'!$HK$13:$HK$512,MATCH('Calculations'!IJ416,'Calculations'!$HE$13:$HE$512,0)),IFERROR(INDEX('Calculations'!$HJ$13:$HJ$512,MATCH('Calculations'!IJ416,'Calculations'!$HF$13:$HF$512,0)),'Calculations'!IJ416))))</x:f>
      </x:c>
      <x:c r="EP416" s="4" t="n">
        <x:f>IF(AND('Calculations'!EM416&lt;&gt;"",'Calculations'!HF416='Calculations'!IJ416),1,0)</x:f>
        <x:v>0</x:v>
      </x:c>
      <x:c r="EQ416" s="4"/>
      <x:c r="ER416" s="4"/>
      <x:c r="ES416" s="4"/>
      <x:c r="ET416" s="4"/>
      <x:c r="EU416" s="4"/>
      <x:c r="EV416" s="4"/>
      <x:c r="EW416" s="4"/>
      <x:c r="EX416" s="4"/>
      <x:c r="EY416" s="4"/>
      <x:c r="EZ416" s="4"/>
      <x:c r="FA416" s="4"/>
      <x:c r="FB416" s="4"/>
      <x:c r="FC416" s="4"/>
      <x:c r="FD416" s="4"/>
      <x:c r="FE416" s="4"/>
      <x:c r="FF416" s="4"/>
      <x:c r="FG416" s="4"/>
      <x:c r="FH416" s="4"/>
      <x:c r="FI416" s="4"/>
      <x:c r="FJ416" s="4"/>
      <x:c r="FK416" s="4"/>
      <x:c r="FL416" s="4"/>
      <x:c r="FM416" s="4"/>
      <x:c r="FN416" s="4"/>
      <x:c r="FO416" s="4"/>
      <x:c r="HE416" t="str">
        <x:f>IF('Calculations'!EM416="","",IF(IFERROR(IF(INDEX(INDIRECT("'WCM Calibration Final'!$A$1:$A$2000"),'Calculations'!$EM416)="","",TRIM(INDEX(INDIRECT("'WCM Calibration Final'!$A$1:$A$2000"),'Calculations'!$EM416)&amp;"")),"")&lt;&gt;"","G:"&amp;IFERROR(TEXT(1*INDEX(INDIRECT("'WCM Calibration Final'!$A$1:$A$2000"),'Calculations'!$EM416),"0"),UPPER(IFERROR(IF(INDEX(INDIRECT("'WCM Calibration Final'!$A$1:$A$2000"),'Calculations'!$EM416)="","",TRIM(INDEX(INDIRECT("'WCM Calibration Final'!$A$1:$A$2000"),'Calculations'!$EM416)&amp;"")),""))),IF(IFERROR(IF(INDEX(INDIRECT("'WCM Calibration Final'!$C$1:$C$2000"),'Calculations'!$EM416)="","",TRIM(INDEX(INDIRECT("'WCM Calibration Final'!$C$1:$C$2000"),'Calculations'!$EM416)&amp;"")),"")&lt;&gt;"","S:"&amp;UPPER(IFERROR(IF(INDEX(INDIRECT("'WCM Calibration Final'!$C$1:$C$2000"),'Calculations'!$EM416)="","",TRIM(INDEX(INDIRECT("'WCM Calibration Final'!$C$1:$C$2000"),'Calculations'!$EM416)&amp;"")),"")),"R:"&amp;'Calculations'!EM416)))</x:f>
      </x:c>
      <x:c r="HF416" t="str">
        <x:f>IF('Calculations'!EM416="","",IF(IFERROR(IF(INDEX(INDIRECT("'WCM Calibration Final'!$D$1:$D$2000"),'Calculations'!$EM416)="","",TRIM(INDEX(INDIRECT("'WCM Calibration Final'!$D$1:$D$2000"),'Calculations'!$EM416)&amp;"")),"")&lt;&gt;"","G:"&amp;IFERROR(TEXT(1*INDEX(INDIRECT("'WCM Calibration Final'!$D$1:$D$2000"),'Calculations'!$EM416),"0"),UPPER(IFERROR(IF(INDEX(INDIRECT("'WCM Calibration Final'!$D$1:$D$2000"),'Calculations'!$EM416)="","",TRIM(INDEX(INDIRECT("'WCM Calibration Final'!$D$1:$D$2000"),'Calculations'!$EM416)&amp;"")),""))),IF(IFERROR(IF(INDEX(INDIRECT("'WCM Calibration Final'!$E$1:$E$2000"),'Calculations'!$EM416)="","",TRIM(INDEX(INDIRECT("'WCM Calibration Final'!$E$1:$E$2000"),'Calculations'!$EM416)&amp;"")),"")="","",IF(COUNTIF('Calculations'!$HG$13:$HG$512,"="&amp;SUBSTITUTE(SUBSTITUTE(SUBSTITUTE(IFERROR(IF(INDEX(INDIRECT("'WCM Calibration Final'!$E$1:$E$2000"),'Calculations'!$EM416)="","",TRIM(INDEX(INDIRECT("'WCM Calibration Final'!$E$1:$E$2000"),'Calculations'!$EM416)&amp;"")),""),"~","~~"),"*","~*"),"?","~?"))=1,INDEX('Calculations'!$HE$13:$HE$512,MATCH(IFERROR(IF(INDEX(INDIRECT("'WCM Calibration Final'!$E$1:$E$2000"),'Calculations'!$EM416)="","",TRIM(INDEX(INDIRECT("'WCM Calibration Final'!$E$1:$E$2000"),'Calculations'!$EM416)&amp;"")),""),'Calculations'!$HG$13:$HG$512,0)),IF(COUNTIF('Calculations'!$HG$13:$HG$512,"="&amp;SUBSTITUTE(SUBSTITUTE(SUBSTITUTE(IFERROR(IF(INDEX(INDIRECT("'WCM Calibration Final'!$E$1:$E$2000"),'Calculations'!$EM416)="","",TRIM(INDEX(INDIRECT("'WCM Calibration Final'!$E$1:$E$2000"),'Calculations'!$EM416)&amp;"")),""),"~","~~"),"*","~*"),"?","~?"))&gt;1,"!AMBIG","X:"&amp;IFERROR(IF(INDEX(INDIRECT("'WCM Calibration Final'!$E$1:$E$2000"),'Calculations'!$EM416)="","",TRIM(INDEX(INDIRECT("'WCM Calibration Final'!$E$1:$E$2000"),'Calculations'!$EM416)&amp;"")),""))))))</x:f>
      </x:c>
      <x:c r="HG416" t="str">
        <x:f>IF('Calculations'!EM416="","",IFERROR(IF(INDEX(INDIRECT("'WCM Calibration Final'!$B$1:$B$2000"),'Calculations'!$EM416)="","",TRIM(INDEX(INDIRECT("'WCM Calibration Final'!$B$1:$B$2000"),'Calculations'!$EM416)&amp;"")),""))</x:f>
      </x:c>
      <x:c r="HH416" t="n">
        <x:f>IF(AND('Calculations'!JC416&gt;0,COUNTIF('Calculations'!$HF$12:HF416,"="&amp;SUBSTITUTE(SUBSTITUTE(SUBSTITUTE('Calculations'!HF416,"~","~~"),"*","~*"),"?","~?"))=1),MAX('Calculations'!$HH$12:HH415)+1,0)</x:f>
        <x:v>0</x:v>
      </x:c>
      <x:c r="HI416" t="n">
        <x:f>IF(AND('Calculations'!HN416&lt;&gt;"",COUNTIF('Calculations'!$HN$12:HN416,"="&amp;SUBSTITUTE(SUBSTITUTE(SUBSTITUTE('Calculations'!HN416,"~","~~"),"*","~*"),"?","~?"))=1),MAX('Calculations'!$HI$12:HI415)+1,0)</x:f>
        <x:v>0</x:v>
      </x:c>
      <x:c r="HJ416" t="str">
        <x:f>IF('Calculations'!HF416="","",IF(COUNTIF('Calculations'!$HE$13:$HE$512,"="&amp;SUBSTITUTE(SUBSTITUTE(SUBSTITUTE('Calculations'!HF416,"~","~~"),"*","~*"),"?","~?"))=1,INDEX('Calculations'!$HK$13:$HK$512,MATCH('Calculations'!HF416,'Calculations'!$HE$13:$HE$512,0)),IFERROR(IF(INDEX(INDIRECT("'WCM Calibration Final'!$E$1:$E$2000"),'Calculations'!$EM416)="","",TRIM(INDEX(INDIRECT("'WCM Calibration Final'!$E$1:$E$2000"),'Calculations'!$EM416)&amp;"")),"")&amp;" ["&amp;'Calculations'!HF416&amp;"]"))</x:f>
      </x:c>
      <x:c r="HK416" t="str">
        <x:f>IF('Calculations'!EM416="","",'Calculations'!HG416&amp;" ["&amp;'Calculations'!HE416&amp;"]")</x:f>
      </x:c>
      <x:c r="HL416" t="n">
        <x:f>IF('Calculations'!EM416="",0,IF(OR('Calculations'!II416&lt;&gt;"",COUNTIF('Calculations'!$HE$13:$HE$512,"="&amp;SUBSTITUTE(SUBSTITUTE(SUBSTITUTE('Calculations'!HE416,"~","~~"),"*","~*"),"?","~?"))&gt;1),1,0))</x:f>
        <x:v>0</x:v>
      </x:c>
      <x:c r="HM416" t="str">
        <x:f>IF('Calculations'!EM416="","",IF('Calculations'!HL416=1,"!UNRESOLVED",IF('Calculations'!IH416&lt;&gt;"",'Calculations'!IH416,IF('Calculations'!IG416&lt;&gt;"",'Calculations'!IG416,IF('Calculations'!IF416&lt;&gt;"",'Calculations'!IF416,IF('Calculations'!IE416&lt;&gt;"",'Calculations'!IE416,IF('Calculations'!ID416&lt;&gt;"",'Calculations'!ID416,IF('Calculations'!IC416&lt;&gt;"",'Calculations'!IC416,IF('Calculations'!IB416&lt;&gt;"",'Calculations'!IB416,IF('Calculations'!IA416&lt;&gt;"",'Calculations'!IA416,IF('Calculations'!HZ416&lt;&gt;"",'Calculations'!HZ416,IF('Calculations'!HY416&lt;&gt;"",'Calculations'!HY416,IF('Calculations'!HX416&lt;&gt;"",'Calculations'!HX416,IF('Calculations'!HW416&lt;&gt;"",'Calculations'!HW416,IF('Calculations'!HV416&lt;&gt;"",'Calculations'!HV416,IF('Calculations'!HU416&lt;&gt;"",'Calculations'!HU416,IF('Calculations'!HT416&lt;&gt;"",'Calculations'!HT416,IF('Calculations'!HS416&lt;&gt;"",'Calculations'!HS416,IF('Calculations'!HR416&lt;&gt;"",'Calculations'!HR416,IF('Calculations'!HQ416&lt;&gt;"",'Calculations'!HQ416,IF('Calculations'!HP416&lt;&gt;"",'Calculations'!HP416,IF('Calculations'!HO416&lt;&gt;"",'Calculations'!HO416,'Calculations'!HE416))))))))))))))))))))))</x:f>
      </x:c>
      <x:c r="HN416" t="str">
        <x:f>IF('Calculations'!EM416="","",IF(IFERROR(IF(INDEX(INDIRECT("'WCM Calibration Final'!$F$1:$F$2000"),'Calculations'!$EM416)="","",TRIM(INDEX(INDIRECT("'WCM Calibration Final'!$F$1:$F$2000"),'Calculations'!$EM416)&amp;"")),"")="","(Blank)",IFERROR(IF(INDEX(INDIRECT("'WCM Calibration Final'!$F$1:$F$2000"),'Calculations'!$EM416)="","",TRIM(INDEX(INDIRECT("'WCM Calibration Final'!$F$1:$F$2000"),'Calculations'!$EM416)&amp;"")),"")))</x:f>
      </x:c>
      <x:c r="HO416" t="str">
        <x:f>'Calculations'!HF416</x:f>
      </x:c>
      <x:c r="HP416" t="str">
        <x:f>IF('Calculations'!HO416="","",IF('Calculations'!HO416="!AMBIG","!AMBIG",IF(COUNTIF('Calculations'!$HE$13:$HE$512,"="&amp;SUBSTITUTE(SUBSTITUTE(SUBSTITUTE('Calculations'!HO416,"~","~~"),"*","~*"),"?","~?"))&gt;1,"!AMBIG",IFERROR(INDEX('Calculations'!$HF$13:$HF$512,MATCH('Calculations'!HO416,'Calculations'!$HE$13:$HE$512,0)),""))))</x:f>
      </x:c>
      <x:c r="HQ416" t="str">
        <x:f>IF('Calculations'!HP416="","",IF('Calculations'!HP416="!AMBIG","!AMBIG",IF(COUNTIF('Calculations'!$HE$13:$HE$512,"="&amp;SUBSTITUTE(SUBSTITUTE(SUBSTITUTE('Calculations'!HP416,"~","~~"),"*","~*"),"?","~?"))&gt;1,"!AMBIG",IFERROR(INDEX('Calculations'!$HF$13:$HF$512,MATCH('Calculations'!HP416,'Calculations'!$HE$13:$HE$512,0)),""))))</x:f>
      </x:c>
      <x:c r="HR416" t="str">
        <x:f>IF('Calculations'!HQ416="","",IF('Calculations'!HQ416="!AMBIG","!AMBIG",IF(COUNTIF('Calculations'!$HE$13:$HE$512,"="&amp;SUBSTITUTE(SUBSTITUTE(SUBSTITUTE('Calculations'!HQ416,"~","~~"),"*","~*"),"?","~?"))&gt;1,"!AMBIG",IFERROR(INDEX('Calculations'!$HF$13:$HF$512,MATCH('Calculations'!HQ416,'Calculations'!$HE$13:$HE$512,0)),""))))</x:f>
      </x:c>
      <x:c r="HS416" t="str">
        <x:f>IF('Calculations'!HR416="","",IF('Calculations'!HR416="!AMBIG","!AMBIG",IF(COUNTIF('Calculations'!$HE$13:$HE$512,"="&amp;SUBSTITUTE(SUBSTITUTE(SUBSTITUTE('Calculations'!HR416,"~","~~"),"*","~*"),"?","~?"))&gt;1,"!AMBIG",IFERROR(INDEX('Calculations'!$HF$13:$HF$512,MATCH('Calculations'!HR416,'Calculations'!$HE$13:$HE$512,0)),""))))</x:f>
      </x:c>
      <x:c r="HT416" t="str">
        <x:f>IF('Calculations'!HS416="","",IF('Calculations'!HS416="!AMBIG","!AMBIG",IF(COUNTIF('Calculations'!$HE$13:$HE$512,"="&amp;SUBSTITUTE(SUBSTITUTE(SUBSTITUTE('Calculations'!HS416,"~","~~"),"*","~*"),"?","~?"))&gt;1,"!AMBIG",IFERROR(INDEX('Calculations'!$HF$13:$HF$512,MATCH('Calculations'!HS416,'Calculations'!$HE$13:$HE$512,0)),""))))</x:f>
      </x:c>
      <x:c r="HU416" t="str">
        <x:f>IF('Calculations'!HT416="","",IF('Calculations'!HT416="!AMBIG","!AMBIG",IF(COUNTIF('Calculations'!$HE$13:$HE$512,"="&amp;SUBSTITUTE(SUBSTITUTE(SUBSTITUTE('Calculations'!HT416,"~","~~"),"*","~*"),"?","~?"))&gt;1,"!AMBIG",IFERROR(INDEX('Calculations'!$HF$13:$HF$512,MATCH('Calculations'!HT416,'Calculations'!$HE$13:$HE$512,0)),""))))</x:f>
      </x:c>
      <x:c r="HV416" t="str">
        <x:f>IF('Calculations'!HU416="","",IF('Calculations'!HU416="!AMBIG","!AMBIG",IF(COUNTIF('Calculations'!$HE$13:$HE$512,"="&amp;SUBSTITUTE(SUBSTITUTE(SUBSTITUTE('Calculations'!HU416,"~","~~"),"*","~*"),"?","~?"))&gt;1,"!AMBIG",IFERROR(INDEX('Calculations'!$HF$13:$HF$512,MATCH('Calculations'!HU416,'Calculations'!$HE$13:$HE$512,0)),""))))</x:f>
      </x:c>
      <x:c r="HW416" t="str">
        <x:f>IF('Calculations'!HV416="","",IF('Calculations'!HV416="!AMBIG","!AMBIG",IF(COUNTIF('Calculations'!$HE$13:$HE$512,"="&amp;SUBSTITUTE(SUBSTITUTE(SUBSTITUTE('Calculations'!HV416,"~","~~"),"*","~*"),"?","~?"))&gt;1,"!AMBIG",IFERROR(INDEX('Calculations'!$HF$13:$HF$512,MATCH('Calculations'!HV416,'Calculations'!$HE$13:$HE$512,0)),""))))</x:f>
      </x:c>
      <x:c r="HX416" t="str">
        <x:f>IF('Calculations'!HW416="","",IF('Calculations'!HW416="!AMBIG","!AMBIG",IF(COUNTIF('Calculations'!$HE$13:$HE$512,"="&amp;SUBSTITUTE(SUBSTITUTE(SUBSTITUTE('Calculations'!HW416,"~","~~"),"*","~*"),"?","~?"))&gt;1,"!AMBIG",IFERROR(INDEX('Calculations'!$HF$13:$HF$512,MATCH('Calculations'!HW416,'Calculations'!$HE$13:$HE$512,0)),""))))</x:f>
      </x:c>
      <x:c r="HY416" t="str">
        <x:f>IF('Calculations'!HX416="","",IF('Calculations'!HX416="!AMBIG","!AMBIG",IF(COUNTIF('Calculations'!$HE$13:$HE$512,"="&amp;SUBSTITUTE(SUBSTITUTE(SUBSTITUTE('Calculations'!HX416,"~","~~"),"*","~*"),"?","~?"))&gt;1,"!AMBIG",IFERROR(INDEX('Calculations'!$HF$13:$HF$512,MATCH('Calculations'!HX416,'Calculations'!$HE$13:$HE$512,0)),""))))</x:f>
      </x:c>
      <x:c r="HZ416" t="str">
        <x:f>IF('Calculations'!HY416="","",IF('Calculations'!HY416="!AMBIG","!AMBIG",IF(COUNTIF('Calculations'!$HE$13:$HE$512,"="&amp;SUBSTITUTE(SUBSTITUTE(SUBSTITUTE('Calculations'!HY416,"~","~~"),"*","~*"),"?","~?"))&gt;1,"!AMBIG",IFERROR(INDEX('Calculations'!$HF$13:$HF$512,MATCH('Calculations'!HY416,'Calculations'!$HE$13:$HE$512,0)),""))))</x:f>
      </x:c>
      <x:c r="IA416" t="str">
        <x:f>IF('Calculations'!HZ416="","",IF('Calculations'!HZ416="!AMBIG","!AMBIG",IF(COUNTIF('Calculations'!$HE$13:$HE$512,"="&amp;SUBSTITUTE(SUBSTITUTE(SUBSTITUTE('Calculations'!HZ416,"~","~~"),"*","~*"),"?","~?"))&gt;1,"!AMBIG",IFERROR(INDEX('Calculations'!$HF$13:$HF$512,MATCH('Calculations'!HZ416,'Calculations'!$HE$13:$HE$512,0)),""))))</x:f>
      </x:c>
      <x:c r="IB416" t="str">
        <x:f>IF('Calculations'!IA416="","",IF('Calculations'!IA416="!AMBIG","!AMBIG",IF(COUNTIF('Calculations'!$HE$13:$HE$512,"="&amp;SUBSTITUTE(SUBSTITUTE(SUBSTITUTE('Calculations'!IA416,"~","~~"),"*","~*"),"?","~?"))&gt;1,"!AMBIG",IFERROR(INDEX('Calculations'!$HF$13:$HF$512,MATCH('Calculations'!IA416,'Calculations'!$HE$13:$HE$512,0)),""))))</x:f>
      </x:c>
      <x:c r="IC416" t="str">
        <x:f>IF('Calculations'!IB416="","",IF('Calculations'!IB416="!AMBIG","!AMBIG",IF(COUNTIF('Calculations'!$HE$13:$HE$512,"="&amp;SUBSTITUTE(SUBSTITUTE(SUBSTITUTE('Calculations'!IB416,"~","~~"),"*","~*"),"?","~?"))&gt;1,"!AMBIG",IFERROR(INDEX('Calculations'!$HF$13:$HF$512,MATCH('Calculations'!IB416,'Calculations'!$HE$13:$HE$512,0)),""))))</x:f>
      </x:c>
      <x:c r="ID416" t="str">
        <x:f>IF('Calculations'!IC416="","",IF('Calculations'!IC416="!AMBIG","!AMBIG",IF(COUNTIF('Calculations'!$HE$13:$HE$512,"="&amp;SUBSTITUTE(SUBSTITUTE(SUBSTITUTE('Calculations'!IC416,"~","~~"),"*","~*"),"?","~?"))&gt;1,"!AMBIG",IFERROR(INDEX('Calculations'!$HF$13:$HF$512,MATCH('Calculations'!IC416,'Calculations'!$HE$13:$HE$512,0)),""))))</x:f>
      </x:c>
      <x:c r="IE416" t="str">
        <x:f>IF('Calculations'!ID416="","",IF('Calculations'!ID416="!AMBIG","!AMBIG",IF(COUNTIF('Calculations'!$HE$13:$HE$512,"="&amp;SUBSTITUTE(SUBSTITUTE(SUBSTITUTE('Calculations'!ID416,"~","~~"),"*","~*"),"?","~?"))&gt;1,"!AMBIG",IFERROR(INDEX('Calculations'!$HF$13:$HF$512,MATCH('Calculations'!ID416,'Calculations'!$HE$13:$HE$512,0)),""))))</x:f>
      </x:c>
      <x:c r="IF416" t="str">
        <x:f>IF('Calculations'!IE416="","",IF('Calculations'!IE416="!AMBIG","!AMBIG",IF(COUNTIF('Calculations'!$HE$13:$HE$512,"="&amp;SUBSTITUTE(SUBSTITUTE(SUBSTITUTE('Calculations'!IE416,"~","~~"),"*","~*"),"?","~?"))&gt;1,"!AMBIG",IFERROR(INDEX('Calculations'!$HF$13:$HF$512,MATCH('Calculations'!IE416,'Calculations'!$HE$13:$HE$512,0)),""))))</x:f>
      </x:c>
      <x:c r="IG416" t="str">
        <x:f>IF('Calculations'!IF416="","",IF('Calculations'!IF416="!AMBIG","!AMBIG",IF(COUNTIF('Calculations'!$HE$13:$HE$512,"="&amp;SUBSTITUTE(SUBSTITUTE(SUBSTITUTE('Calculations'!IF416,"~","~~"),"*","~*"),"?","~?"))&gt;1,"!AMBIG",IFERROR(INDEX('Calculations'!$HF$13:$HF$512,MATCH('Calculations'!IF416,'Calculations'!$HE$13:$HE$512,0)),""))))</x:f>
      </x:c>
      <x:c r="IH416" t="str">
        <x:f>IF('Calculations'!IG416="","",IF('Calculations'!IG416="!AMBIG","!AMBIG",IF(COUNTIF('Calculations'!$HE$13:$HE$512,"="&amp;SUBSTITUTE(SUBSTITUTE(SUBSTITUTE('Calculations'!IG416,"~","~~"),"*","~*"),"?","~?"))&gt;1,"!AMBIG",IFERROR(INDEX('Calculations'!$HF$13:$HF$512,MATCH('Calculations'!IG416,'Calculations'!$HE$13:$HE$512,0)),""))))</x:f>
      </x:c>
      <x:c r="II416" t="str">
        <x:f>IF('Calculations'!IH416="","",IF('Calculations'!IH416="!AMBIG","!AMBIG",IF(COUNTIF('Calculations'!$HE$13:$HE$512,"="&amp;SUBSTITUTE(SUBSTITUTE(SUBSTITUTE('Calculations'!IH416,"~","~~"),"*","~*"),"?","~?"))&gt;1,"!AMBIG",IFERROR(INDEX('Calculations'!$HF$13:$HF$512,MATCH('Calculations'!IH416,'Calculations'!$HE$13:$HE$512,0)),""))))</x:f>
      </x:c>
      <x:c r="IJ416" t="str">
        <x:f>IF('Calculations'!EM416="","",IF('Calculations'!$EF$2="All",'Calculations'!HM416,IF('Calculations'!HL416=1,"",IFERROR(IF(MATCH('Calculations'!$EF$2,'Calculations'!HO416:II416,0)=1,'Calculations'!HE416,INDEX('Calculations'!HO416:II416,1,MATCH('Calculations'!$EF$2,'Calculations'!HO416:II416,0)-1)),""))))</x:f>
      </x:c>
      <x:c r="IK416" t="n">
        <x:f>IF(AND('Calculations'!EM416&lt;&gt;"",'Calculations'!$EF$2&lt;&gt;"All",'Calculations'!HF416='Calculations'!$EF$2,'Calculations'!HL416=0,'Calculations'!JD416&gt;0),MAX('Calculations'!$IK$12:IK415)+1,0)</x:f>
        <x:v>0</x:v>
      </x:c>
      <x:c r="JA416" t="n">
        <x:f>IF(OR(IFERROR(INDIRECT("'WCM Calibration Final'!$A$416")&lt;&gt;"",FALSE),IFERROR(INDIRECT("'WCM Calibration Final'!$B$416")&lt;&gt;"",FALSE),IFERROR(INDIRECT("'WCM Calibration Final'!$C$416")&lt;&gt;"",FALSE)),416,0)</x:f>
        <x:v>0</x:v>
      </x:c>
      <x:c r="JB416" t="n">
        <x:f>'Calculations'!JB415+IF('Calculations'!JA416&gt;0,1,0)</x:f>
        <x:v>0</x:v>
      </x:c>
      <x:c r="JC416" t="n">
        <x:f>IF(OR('Calculations'!HF416="",'Calculations'!HF416="!AMBIG"),0,IF('Dashboard'!$B$7="All",1,COUNTIFS('Calculations'!$HO$13:$HO$512,"="&amp;SUBSTITUTE(SUBSTITUTE(SUBSTITUTE('Calculations'!HF416,"~","~~"),"*","~*"),"?","~?"),'Calculations'!$HN$13:$HN$512,"="&amp;SUBSTITUTE(SUBSTITUTE(SUBSTITUTE('Dashboard'!$B$7,"~","~~"),"*","~*"),"?","~?"))+COUNTIFS('Calculations'!$HP$13:$HP$512,"="&amp;SUBSTITUTE(SUBSTITUTE(SUBSTITUTE('Calculations'!HF416,"~","~~"),"*","~*"),"?","~?"),'Calculations'!$HN$13:$HN$512,"="&amp;SUBSTITUTE(SUBSTITUTE(SUBSTITUTE('Dashboard'!$B$7,"~","~~"),"*","~*"),"?","~?"))+COUNTIFS('Calculations'!$HQ$13:$HQ$512,"="&amp;SUBSTITUTE(SUBSTITUTE(SUBSTITUTE('Calculations'!HF416,"~","~~"),"*","~*"),"?","~?"),'Calculations'!$HN$13:$HN$512,"="&amp;SUBSTITUTE(SUBSTITUTE(SUBSTITUTE('Dashboard'!$B$7,"~","~~"),"*","~*"),"?","~?"))+COUNTIFS('Calculations'!$HR$13:$HR$512,"="&amp;SUBSTITUTE(SUBSTITUTE(SUBSTITUTE('Calculations'!HF416,"~","~~"),"*","~*"),"?","~?"),'Calculations'!$HN$13:$HN$512,"="&amp;SUBSTITUTE(SUBSTITUTE(SUBSTITUTE('Dashboard'!$B$7,"~","~~"),"*","~*"),"?","~?"))+COUNTIFS('Calculations'!$HS$13:$HS$512,"="&amp;SUBSTITUTE(SUBSTITUTE(SUBSTITUTE('Calculations'!HF416,"~","~~"),"*","~*"),"?","~?"),'Calculations'!$HN$13:$HN$512,"="&amp;SUBSTITUTE(SUBSTITUTE(SUBSTITUTE('Dashboard'!$B$7,"~","~~"),"*","~*"),"?","~?"))+COUNTIFS('Calculations'!$HT$13:$HT$512,"="&amp;SUBSTITUTE(SUBSTITUTE(SUBSTITUTE('Calculations'!HF416,"~","~~"),"*","~*"),"?","~?"),'Calculations'!$HN$13:$HN$512,"="&amp;SUBSTITUTE(SUBSTITUTE(SUBSTITUTE('Dashboard'!$B$7,"~","~~"),"*","~*"),"?","~?"))+COUNTIFS('Calculations'!$HU$13:$HU$512,"="&amp;SUBSTITUTE(SUBSTITUTE(SUBSTITUTE('Calculations'!HF416,"~","~~"),"*","~*"),"?","~?"),'Calculations'!$HN$13:$HN$512,"="&amp;SUBSTITUTE(SUBSTITUTE(SUBSTITUTE('Dashboard'!$B$7,"~","~~"),"*","~*"),"?","~?"))+COUNTIFS('Calculations'!$HV$13:$HV$512,"="&amp;SUBSTITUTE(SUBSTITUTE(SUBSTITUTE('Calculations'!HF416,"~","~~"),"*","~*"),"?","~?"),'Calculations'!$HN$13:$HN$512,"="&amp;SUBSTITUTE(SUBSTITUTE(SUBSTITUTE('Dashboard'!$B$7,"~","~~"),"*","~*"),"?","~?"))+COUNTIFS('Calculations'!$HW$13:$HW$512,"="&amp;SUBSTITUTE(SUBSTITUTE(SUBSTITUTE('Calculations'!HF416,"~","~~"),"*","~*"),"?","~?"),'Calculations'!$HN$13:$HN$512,"="&amp;SUBSTITUTE(SUBSTITUTE(SUBSTITUTE('Dashboard'!$B$7,"~","~~"),"*","~*"),"?","~?"))+COUNTIFS('Calculations'!$HX$13:$HX$512,"="&amp;SUBSTITUTE(SUBSTITUTE(SUBSTITUTE('Calculations'!HF416,"~","~~"),"*","~*"),"?","~?"),'Calculations'!$HN$13:$HN$512,"="&amp;SUBSTITUTE(SUBSTITUTE(SUBSTITUTE('Dashboard'!$B$7,"~","~~"),"*","~*"),"?","~?"))+COUNTIFS('Calculations'!$HY$13:$HY$512,"="&amp;SUBSTITUTE(SUBSTITUTE(SUBSTITUTE('Calculations'!HF416,"~","~~"),"*","~*"),"?","~?"),'Calculations'!$HN$13:$HN$512,"="&amp;SUBSTITUTE(SUBSTITUTE(SUBSTITUTE('Dashboard'!$B$7,"~","~~"),"*","~*"),"?","~?"))+COUNTIFS('Calculations'!$HZ$13:$HZ$512,"="&amp;SUBSTITUTE(SUBSTITUTE(SUBSTITUTE('Calculations'!HF416,"~","~~"),"*","~*"),"?","~?"),'Calculations'!$HN$13:$HN$512,"="&amp;SUBSTITUTE(SUBSTITUTE(SUBSTITUTE('Dashboard'!$B$7,"~","~~"),"*","~*"),"?","~?"))+COUNTIFS('Calculations'!$IA$13:$IA$512,"="&amp;SUBSTITUTE(SUBSTITUTE(SUBSTITUTE('Calculations'!HF416,"~","~~"),"*","~*"),"?","~?"),'Calculations'!$HN$13:$HN$512,"="&amp;SUBSTITUTE(SUBSTITUTE(SUBSTITUTE('Dashboard'!$B$7,"~","~~"),"*","~*"),"?","~?"))+COUNTIFS('Calculations'!$IB$13:$IB$512,"="&amp;SUBSTITUTE(SUBSTITUTE(SUBSTITUTE('Calculations'!HF416,"~","~~"),"*","~*"),"?","~?"),'Calculations'!$HN$13:$HN$512,"="&amp;SUBSTITUTE(SUBSTITUTE(SUBSTITUTE('Dashboard'!$B$7,"~","~~"),"*","~*"),"?","~?"))+COUNTIFS('Calculations'!$IC$13:$IC$512,"="&amp;SUBSTITUTE(SUBSTITUTE(SUBSTITUTE('Calculations'!HF416,"~","~~"),"*","~*"),"?","~?"),'Calculations'!$HN$13:$HN$512,"="&amp;SUBSTITUTE(SUBSTITUTE(SUBSTITUTE('Dashboard'!$B$7,"~","~~"),"*","~*"),"?","~?"))+COUNTIFS('Calculations'!$ID$13:$ID$512,"="&amp;SUBSTITUTE(SUBSTITUTE(SUBSTITUTE('Calculations'!HF416,"~","~~"),"*","~*"),"?","~?"),'Calculations'!$HN$13:$HN$512,"="&amp;SUBSTITUTE(SUBSTITUTE(SUBSTITUTE('Dashboard'!$B$7,"~","~~"),"*","~*"),"?","~?"))+COUNTIFS('Calculations'!$IE$13:$IE$512,"="&amp;SUBSTITUTE(SUBSTITUTE(SUBSTITUTE('Calculations'!HF416,"~","~~"),"*","~*"),"?","~?"),'Calculations'!$HN$13:$HN$512,"="&amp;SUBSTITUTE(SUBSTITUTE(SUBSTITUTE('Dashboard'!$B$7,"~","~~"),"*","~*"),"?","~?"))+COUNTIFS('Calculations'!$IF$13:$IF$512,"="&amp;SUBSTITUTE(SUBSTITUTE(SUBSTITUTE('Calculations'!HF416,"~","~~"),"*","~*"),"?","~?"),'Calculations'!$HN$13:$HN$512,"="&amp;SUBSTITUTE(SUBSTITUTE(SUBSTITUTE('Dashboard'!$B$7,"~","~~"),"*","~*"),"?","~?"))+COUNTIFS('Calculations'!$IG$13:$IG$512,"="&amp;SUBSTITUTE(SUBSTITUTE(SUBSTITUTE('Calculations'!HF416,"~","~~"),"*","~*"),"?","~?"),'Calculations'!$HN$13:$HN$512,"="&amp;SUBSTITUTE(SUBSTITUTE(SUBSTITUTE('Dashboard'!$B$7,"~","~~"),"*","~*"),"?","~?"))+COUNTIFS('Calculations'!$IH$13:$IH$512,"="&amp;SUBSTITUTE(SUBSTITUTE(SUBSTITUTE('Calculations'!HF416,"~","~~"),"*","~*"),"?","~?"),'Calculations'!$HN$13:$HN$512,"="&amp;SUBSTITUTE(SUBSTITUTE(SUBSTITUTE('Dashboard'!$B$7,"~","~~"),"*","~*"),"?","~?"))))</x:f>
        <x:v>0</x:v>
      </x:c>
      <x:c r="JD416" t="n">
        <x:f>IF('Calculations'!EM416="",0,IF('Dashboard'!$B$7="All",1,IF('Calculations'!HN416='Dashboard'!$B$7,1,0)+IFERROR(INDEX('Calculations'!$JC$13:$JC$512,MATCH('Calculations'!HE416,'Calculations'!$HF$13:$HF$512,0)),0)))</x:f>
        <x:v>0</x:v>
      </x:c>
      <x:c r="JE416" t="n">
        <x:f>IF(AND('Calculations'!EM416&lt;&gt;"",'Calculations'!$JJ$2&lt;&gt;"All",'Calculations'!$JJ$2&lt;&gt;"",'Calculations'!HF416='Calculations'!$JJ$2,'Calculations'!HL416=0,'Calculations'!JD416&gt;0),MAX('Calculations'!$JE$12:JE415)+1,0)</x:f>
        <x:v>0</x:v>
      </x:c>
      <x:c r="JF416" t="str">
        <x:f>IF('Calculations'!EM416="","",IFERROR(IF(INDEX(INDIRECT("'WCM Calibration Final'!$G$1:$G$2000"),'Calculations'!$EM416)="","",TRIM(INDEX(INDIRECT("'WCM Calibration Final'!$G$1:$G$2000"),'Calculations'!$EM416)&amp;"")),""))</x:f>
      </x:c>
      <x:c r="JQ416" t="n">
        <x:f>IF(OR('Calculations'!BM416=0,NOT('Calculations'!$AG$2),'Calculations'!$AG$8&gt;0),0,IF(OR('Dashboard'!$B$7="All",'Calculations'!HN416='Dashboard'!$B$7),IF('Calculations'!$JJ$2="All",1,IF(AND('Calculations'!HF416='Calculations'!$JJ$2,'Calculations'!HL416=0),1,0)),0))</x:f>
        <x:v>0</x:v>
      </x:c>
    </x:row>
    <x:row r="417">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t="n">
        <x:f>IF('Calculations'!$EM417="",0,IF(OR(IFERROR(INDEX(INDIRECT("'WCM Calibration Final'!$A$1:$A$2000"),'Calculations'!$EM417)&lt;&gt;"",FALSE),IFERROR(INDEX(INDIRECT("'WCM Calibration Final'!$B$1:$B$2000"),'Calculations'!$EM417)&lt;&gt;"",FALSE),IFERROR(INDEX(INDIRECT("'WCM Calibration Final'!$C$1:$C$2000"),'Calculations'!$EM417)&lt;&gt;"",FALSE)),1,0))</x:f>
        <x:v>0</x:v>
      </x:c>
      <x:c r="BN417" s="4" t="n">
        <x:f>IF(AND('Calculations'!BM417=1,'Calculations'!$AG$2,'Calculations'!$EN417=1),1,0)</x:f>
        <x:v>0</x:v>
      </x:c>
      <x:c r="BO417" s="4" t="str">
        <x:f>IF('Calculations'!BM417=0,"",IFERROR(IF(AND(VALUE(INDEX(INDIRECT("'WCM Calibration Final'!$K$1:$K$2000"),'Calculations'!$EM417))&gt;=1,VALUE(INDEX(INDIRECT("'WCM Calibration Final'!$K$1:$K$2000"),'Calculations'!$EM417))&lt;=4,MOD(VALUE(INDEX(INDIRECT("'WCM Calibration Final'!$K$1:$K$2000"),'Calculations'!$EM417)),1)=0),VALUE(INDEX(INDIRECT("'WCM Calibration Final'!$K$1:$K$2000"),'Calculations'!$EM417)),""),""))</x:f>
      </x:c>
      <x:c r="BP417" s="4" t="str">
        <x:f>IF('Calculations'!BM417=0,"",IFERROR(IF(AND(VALUE(INDEX(INDIRECT("'WCM Calibration Final'!$L$1:$L$2000"),'Calculations'!$EM417))&gt;=1,VALUE(INDEX(INDIRECT("'WCM Calibration Final'!$L$1:$L$2000"),'Calculations'!$EM417))&lt;=4,MOD(VALUE(INDEX(INDIRECT("'WCM Calibration Final'!$L$1:$L$2000"),'Calculations'!$EM417)),1)=0),VALUE(INDEX(INDIRECT("'WCM Calibration Final'!$L$1:$L$2000"),'Calculations'!$EM417)),""),""))</x:f>
      </x:c>
      <x:c r="BQ417" s="4"/>
      <x:c r="BR417" s="4"/>
      <x:c r="BS417" s="4"/>
      <x:c r="BT417" s="4" t="n">
        <x:f>IF(AND('Calculations'!BM417=1,ISNUMBER('Calculations'!BO417),ISNUMBER('Calculations'!BP417)),1,0)</x:f>
        <x:v>0</x:v>
      </x:c>
      <x:c r="BU417" s="4" t="str">
        <x:f>IF('Calculations'!BM417=0,"",'Calculations'!$EO417)</x:f>
      </x:c>
      <x:c r="BV417" s="4" t="str">
        <x:f>IF('Calculations'!BM417=0,"",IFERROR(IF(OR(INDEX(INDIRECT("'WCM Calibration Final'!$H$1:$H$2000"),'Calculations'!$EM417)="MANAGING DIRECTOR",INDEX(INDIRECT("'WCM Calibration Final'!$H$1:$H$2000"),'Calculations'!$EM417)="DIRECTOR",INDEX(INDIRECT("'WCM Calibration Final'!$H$1:$H$2000"),'Calculations'!$EM417)="SENIOR VICE PRESIDENT",INDEX(INDIRECT("'WCM Calibration Final'!$H$1:$H$2000"),'Calculations'!$EM417)="VICE PRESIDENT",INDEX(INDIRECT("'WCM Calibration Final'!$H$1:$H$2000"),'Calculations'!$EM417)="ASSISTANT VICE PRESIDENT",INDEX(INDIRECT("'WCM Calibration Final'!$H$1:$H$2000"),'Calculations'!$EM417)="OFFICER"),UPPER(INDEX(INDIRECT("'WCM Calibration Final'!$H$1:$H$2000"),'Calculations'!$EM417)),"Other"),"Other"))</x:f>
      </x:c>
      <x:c r="BW417" s="4"/>
      <x:c r="BX417" s="4"/>
      <x:c r="BY417" s="4" t="n">
        <x:f>IF(AND('Calculations'!BM417=1,'Calculations'!BU417&lt;&gt;"",COUNTIF('Calculations'!$BU$12:BU417,'Calculations'!BU417)=1),MAX('Calculations'!$BY$11:BY416)+1,0)</x:f>
        <x:v>0</x:v>
      </x:c>
      <x:c r="BZ417" s="4" t="str">
        <x:f>IF('Dashboard'!$E$67="What",'Calculations'!BO417,'Calculations'!BP417)</x:f>
      </x:c>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t="str">
        <x:f>IF(406&gt;MAX('Calculations'!$HI$13:$HI$512),"",INDEX('Calculations'!$HN$13:$HN$512,MATCH(406,'Calculations'!$HI$13:$HI$512,0)))</x:f>
      </x:c>
      <x:c r="DB417" s="4" t="str">
        <x:f>IF(406&gt;MAX('Calculations'!$HH$13:$HH$512),"",INDEX('Calculations'!$HJ$13:$HJ$512,MATCH(406,'Calculations'!$HH$13:$HH$512,0)))</x:f>
      </x:c>
      <x:c r="DC417" s="4" t="str">
        <x:f>IF(ROW()-11&gt;MAX('Calculations'!$BY$13:$BY$512),"",INDEX('Calculations'!$BU$13:$BU$512,MATCH(ROW()-11,'Calculations'!$BY$13:$BY$512,0)))</x:f>
      </x:c>
      <x:c r="DD417" s="4" t="str">
        <x:f>IF(406&gt;MAX('Calculations'!$IK$13:$IK$512),"",INDEX('Calculations'!$HK$13:$HK$512,MATCH(406,'Calculations'!$IK$13:$IK$512,0)))</x:f>
      </x:c>
      <x:c r="DE417" s="4" t="str">
        <x:f>'Calculations'!DC417</x:f>
      </x:c>
      <x:c r="DF417" s="4" t="str">
        <x:f>IF('Calculations'!DE417="","",COUNTIFS('Calculations'!$BN$13:$BN$512,1,'Calculations'!$BU$13:$BU$512,'Calculations'!DE417))</x:f>
      </x:c>
      <x:c r="DG417" s="4" t="str">
        <x:f>IF('Calculations'!DE417="","",COUNTIFS('Calculations'!$BN$13:$BN$512,1,'Calculations'!$BU$13:$BU$512,'Calculations'!DE417,'Calculations'!$BT$13:$BT$512,1))</x:f>
      </x:c>
      <x:c r="DH417" s="4" t="str">
        <x:f>IF('Calculations'!DE417="","",'Calculations'!DF417-'Calculations'!DG417)</x:f>
      </x:c>
      <x:c r="DI417" s="4" t="str">
        <x:f>IF(OR('Calculations'!DE417="",'Calculations'!DF417=0),"",'Calculations'!DG417/'Calculations'!DF417)</x:f>
      </x:c>
      <x:c r="DJ417" s="4" t="str">
        <x:f>IF('Calculations'!DE417="","",COUNTIFS('Calculations'!$BN$13:$BN$512,1,'Calculations'!$BU$13:$BU$512,'Calculations'!DE417,'Calculations'!$BT$13:$BT$512,1,'Calculations'!$EE$13:$EE$512,"High"))</x:f>
      </x:c>
      <x:c r="DK417" s="4" t="str">
        <x:f>IF('Calculations'!DE417="","",COUNTIFS('Calculations'!$BN$13:$BN$512,1,'Calculations'!$BU$13:$BU$512,'Calculations'!DE417,'Calculations'!$BT$13:$BT$512,1,'Calculations'!$EE$13:$EE$512,"Strong"))</x:f>
      </x:c>
      <x:c r="DL417" s="4" t="str">
        <x:f>IF('Calculations'!DE417="","",COUNTIFS('Calculations'!$BN$13:$BN$512,1,'Calculations'!$BU$13:$BU$512,'Calculations'!DE417,'Calculations'!$BT$13:$BT$512,1,'Calculations'!$EE$13:$EE$512,"Solid"))</x:f>
      </x:c>
      <x:c r="DM417" s="4" t="str">
        <x:f>IF('Calculations'!DE417="","",COUNTIFS('Calculations'!$BN$13:$BN$512,1,'Calculations'!$BU$13:$BU$512,'Calculations'!DE417,'Calculations'!$BT$13:$BT$512,1,'Calculations'!$EE$13:$EE$512,"Low"))</x:f>
      </x:c>
      <x:c r="DN417" s="4" t="str">
        <x:f>IF('Calculations'!DE417="","",COUNTIFS('Calculations'!$BN$13:$BN$512,1,'Calculations'!$BU$13:$BU$512,'Calculations'!DE417,'Calculations'!$EP$13:$EP$512,1))</x:f>
      </x:c>
      <x:c r="DO417" s="4" t="str">
        <x:f>IF(OR('Calculations'!DE417="",'Calculations'!DG417=0),"",('Calculations'!DJ417+'Calculations'!DK417)/'Calculations'!DG417)</x:f>
      </x:c>
      <x:c r="DP417" s="4" t="n">
        <x:f>IF(AND('Calculations'!DE417&lt;&gt;"",'Calculations'!DF417&gt;0),COUNTIF('Calculations'!$DF$12:DF417,"&gt;0"),0)</x:f>
        <x:v>0</x:v>
      </x:c>
      <x:c r="DQ417" s="4" t="str">
        <x:f>IF(406&gt;MAX('Calculations'!$HH$13:$HH$512),"",INDEX('Calculations'!$HF$13:$HF$512,MATCH(406,'Calculations'!$HH$13:$HH$512,0)))</x:f>
      </x:c>
      <x:c r="DR417" s="4" t="str">
        <x:f>IF(406&gt;MAX('Calculations'!$IK$13:$IK$512),"",INDEX('Calculations'!$HE$13:$HE$512,MATCH(406,'Calculations'!$IK$13:$IK$512,0)))</x:f>
      </x:c>
      <x:c r="DS417" s="4"/>
      <x:c r="DT417" s="4"/>
      <x:c r="DU417" s="4"/>
      <x:c r="DV417" s="4"/>
      <x:c r="DW417" s="4"/>
      <x:c r="DX417" s="4"/>
      <x:c r="DY417" s="4"/>
      <x:c r="DZ417" s="4"/>
      <x:c r="EA417" s="4"/>
      <x:c r="EB417" s="4"/>
      <x:c r="EC417" s="4"/>
      <x:c r="ED417" s="4"/>
      <x:c r="EE417" s="4" t="str">
        <x:f>IF('Calculations'!BT417=0,"Not Rated",IF(OR('Calculations'!BO417&gt;=4,'Calculations'!BP417&gt;=4),"Low",IF('Calculations'!BO417+'Calculations'!BP417&lt;=3,"High",IF('Calculations'!BO417+'Calculations'!BP417&lt;=4,"Strong","Solid"))))</x:f>
        <x:v>Not Rated</x:v>
      </x:c>
      <x:c r="EF417" s="4"/>
      <x:c r="EG417" s="4"/>
      <x:c r="EH417" s="4"/>
      <x:c r="EI417" s="4"/>
      <x:c r="EJ417" s="4"/>
      <x:c r="EK417" s="4"/>
      <x:c r="EL417" s="4"/>
      <x:c r="EM417" s="4" t="str">
        <x:f>IF(405&gt;'Calculations'!$JB$2000,"",INDEX('Calculations'!$JA$12:$JA$2000,MATCH(405,'Calculations'!$JB$12:$JB$2000,0)))</x:f>
      </x:c>
      <x:c r="EN417" s="4" t="n">
        <x:f>IF(OR('Calculations'!EM417="",'Calculations'!$AG$8&gt;0,AND('Calculations'!$EF$2&lt;&gt;"All",'Calculations'!HE417='Calculations'!$EF$2),AND('Calculations'!$EF$3&lt;&gt;"All",'Calculations'!HE417='Calculations'!$EF$3)),0,IF(OR('Dashboard'!$B$7="All",'Calculations'!HN417='Dashboard'!$B$7),IF('Calculations'!$EF$2="All",1,IF('Calculations'!HL417&gt;0,0,IF(COUNTIF('Calculations'!HO417:II417,"="&amp;SUBSTITUTE(SUBSTITUTE(SUBSTITUTE('Calculations'!$EF$2,"~","~~"),"*","~*"),"?","~?"))=0,0,IF('Calculations'!$EF$3="All",1,IF(COUNTIF('Calculations'!HO417:II417,"="&amp;SUBSTITUTE(SUBSTITUTE(SUBSTITUTE('Calculations'!$EF$3,"~","~~"),"*","~*"),"?","~?"))&gt;0,1,0))))),0))</x:f>
        <x:v>0</x:v>
      </x:c>
      <x:c r="EO417" s="4" t="str">
        <x:f>IF('Calculations'!IJ417="","",IF('Calculations'!IJ417="!UNRESOLVED","Unresolved hierarchy",IFERROR(INDEX('Calculations'!$HK$13:$HK$512,MATCH('Calculations'!IJ417,'Calculations'!$HE$13:$HE$512,0)),IFERROR(INDEX('Calculations'!$HJ$13:$HJ$512,MATCH('Calculations'!IJ417,'Calculations'!$HF$13:$HF$512,0)),'Calculations'!IJ417))))</x:f>
      </x:c>
      <x:c r="EP417" s="4" t="n">
        <x:f>IF(AND('Calculations'!EM417&lt;&gt;"",'Calculations'!HF417='Calculations'!IJ417),1,0)</x:f>
        <x:v>0</x:v>
      </x:c>
      <x:c r="EQ417" s="4"/>
      <x:c r="ER417" s="4"/>
      <x:c r="ES417" s="4"/>
      <x:c r="ET417" s="4"/>
      <x:c r="EU417" s="4"/>
      <x:c r="EV417" s="4"/>
      <x:c r="EW417" s="4"/>
      <x:c r="EX417" s="4"/>
      <x:c r="EY417" s="4"/>
      <x:c r="EZ417" s="4"/>
      <x:c r="FA417" s="4"/>
      <x:c r="FB417" s="4"/>
      <x:c r="FC417" s="4"/>
      <x:c r="FD417" s="4"/>
      <x:c r="FE417" s="4"/>
      <x:c r="FF417" s="4"/>
      <x:c r="FG417" s="4"/>
      <x:c r="FH417" s="4"/>
      <x:c r="FI417" s="4"/>
      <x:c r="FJ417" s="4"/>
      <x:c r="FK417" s="4"/>
      <x:c r="FL417" s="4"/>
      <x:c r="FM417" s="4"/>
      <x:c r="FN417" s="4"/>
      <x:c r="FO417" s="4"/>
      <x:c r="HE417" t="str">
        <x:f>IF('Calculations'!EM417="","",IF(IFERROR(IF(INDEX(INDIRECT("'WCM Calibration Final'!$A$1:$A$2000"),'Calculations'!$EM417)="","",TRIM(INDEX(INDIRECT("'WCM Calibration Final'!$A$1:$A$2000"),'Calculations'!$EM417)&amp;"")),"")&lt;&gt;"","G:"&amp;IFERROR(TEXT(1*INDEX(INDIRECT("'WCM Calibration Final'!$A$1:$A$2000"),'Calculations'!$EM417),"0"),UPPER(IFERROR(IF(INDEX(INDIRECT("'WCM Calibration Final'!$A$1:$A$2000"),'Calculations'!$EM417)="","",TRIM(INDEX(INDIRECT("'WCM Calibration Final'!$A$1:$A$2000"),'Calculations'!$EM417)&amp;"")),""))),IF(IFERROR(IF(INDEX(INDIRECT("'WCM Calibration Final'!$C$1:$C$2000"),'Calculations'!$EM417)="","",TRIM(INDEX(INDIRECT("'WCM Calibration Final'!$C$1:$C$2000"),'Calculations'!$EM417)&amp;"")),"")&lt;&gt;"","S:"&amp;UPPER(IFERROR(IF(INDEX(INDIRECT("'WCM Calibration Final'!$C$1:$C$2000"),'Calculations'!$EM417)="","",TRIM(INDEX(INDIRECT("'WCM Calibration Final'!$C$1:$C$2000"),'Calculations'!$EM417)&amp;"")),"")),"R:"&amp;'Calculations'!EM417)))</x:f>
      </x:c>
      <x:c r="HF417" t="str">
        <x:f>IF('Calculations'!EM417="","",IF(IFERROR(IF(INDEX(INDIRECT("'WCM Calibration Final'!$D$1:$D$2000"),'Calculations'!$EM417)="","",TRIM(INDEX(INDIRECT("'WCM Calibration Final'!$D$1:$D$2000"),'Calculations'!$EM417)&amp;"")),"")&lt;&gt;"","G:"&amp;IFERROR(TEXT(1*INDEX(INDIRECT("'WCM Calibration Final'!$D$1:$D$2000"),'Calculations'!$EM417),"0"),UPPER(IFERROR(IF(INDEX(INDIRECT("'WCM Calibration Final'!$D$1:$D$2000"),'Calculations'!$EM417)="","",TRIM(INDEX(INDIRECT("'WCM Calibration Final'!$D$1:$D$2000"),'Calculations'!$EM417)&amp;"")),""))),IF(IFERROR(IF(INDEX(INDIRECT("'WCM Calibration Final'!$E$1:$E$2000"),'Calculations'!$EM417)="","",TRIM(INDEX(INDIRECT("'WCM Calibration Final'!$E$1:$E$2000"),'Calculations'!$EM417)&amp;"")),"")="","",IF(COUNTIF('Calculations'!$HG$13:$HG$512,"="&amp;SUBSTITUTE(SUBSTITUTE(SUBSTITUTE(IFERROR(IF(INDEX(INDIRECT("'WCM Calibration Final'!$E$1:$E$2000"),'Calculations'!$EM417)="","",TRIM(INDEX(INDIRECT("'WCM Calibration Final'!$E$1:$E$2000"),'Calculations'!$EM417)&amp;"")),""),"~","~~"),"*","~*"),"?","~?"))=1,INDEX('Calculations'!$HE$13:$HE$512,MATCH(IFERROR(IF(INDEX(INDIRECT("'WCM Calibration Final'!$E$1:$E$2000"),'Calculations'!$EM417)="","",TRIM(INDEX(INDIRECT("'WCM Calibration Final'!$E$1:$E$2000"),'Calculations'!$EM417)&amp;"")),""),'Calculations'!$HG$13:$HG$512,0)),IF(COUNTIF('Calculations'!$HG$13:$HG$512,"="&amp;SUBSTITUTE(SUBSTITUTE(SUBSTITUTE(IFERROR(IF(INDEX(INDIRECT("'WCM Calibration Final'!$E$1:$E$2000"),'Calculations'!$EM417)="","",TRIM(INDEX(INDIRECT("'WCM Calibration Final'!$E$1:$E$2000"),'Calculations'!$EM417)&amp;"")),""),"~","~~"),"*","~*"),"?","~?"))&gt;1,"!AMBIG","X:"&amp;IFERROR(IF(INDEX(INDIRECT("'WCM Calibration Final'!$E$1:$E$2000"),'Calculations'!$EM417)="","",TRIM(INDEX(INDIRECT("'WCM Calibration Final'!$E$1:$E$2000"),'Calculations'!$EM417)&amp;"")),""))))))</x:f>
      </x:c>
      <x:c r="HG417" t="str">
        <x:f>IF('Calculations'!EM417="","",IFERROR(IF(INDEX(INDIRECT("'WCM Calibration Final'!$B$1:$B$2000"),'Calculations'!$EM417)="","",TRIM(INDEX(INDIRECT("'WCM Calibration Final'!$B$1:$B$2000"),'Calculations'!$EM417)&amp;"")),""))</x:f>
      </x:c>
      <x:c r="HH417" t="n">
        <x:f>IF(AND('Calculations'!JC417&gt;0,COUNTIF('Calculations'!$HF$12:HF417,"="&amp;SUBSTITUTE(SUBSTITUTE(SUBSTITUTE('Calculations'!HF417,"~","~~"),"*","~*"),"?","~?"))=1),MAX('Calculations'!$HH$12:HH416)+1,0)</x:f>
        <x:v>0</x:v>
      </x:c>
      <x:c r="HI417" t="n">
        <x:f>IF(AND('Calculations'!HN417&lt;&gt;"",COUNTIF('Calculations'!$HN$12:HN417,"="&amp;SUBSTITUTE(SUBSTITUTE(SUBSTITUTE('Calculations'!HN417,"~","~~"),"*","~*"),"?","~?"))=1),MAX('Calculations'!$HI$12:HI416)+1,0)</x:f>
        <x:v>0</x:v>
      </x:c>
      <x:c r="HJ417" t="str">
        <x:f>IF('Calculations'!HF417="","",IF(COUNTIF('Calculations'!$HE$13:$HE$512,"="&amp;SUBSTITUTE(SUBSTITUTE(SUBSTITUTE('Calculations'!HF417,"~","~~"),"*","~*"),"?","~?"))=1,INDEX('Calculations'!$HK$13:$HK$512,MATCH('Calculations'!HF417,'Calculations'!$HE$13:$HE$512,0)),IFERROR(IF(INDEX(INDIRECT("'WCM Calibration Final'!$E$1:$E$2000"),'Calculations'!$EM417)="","",TRIM(INDEX(INDIRECT("'WCM Calibration Final'!$E$1:$E$2000"),'Calculations'!$EM417)&amp;"")),"")&amp;" ["&amp;'Calculations'!HF417&amp;"]"))</x:f>
      </x:c>
      <x:c r="HK417" t="str">
        <x:f>IF('Calculations'!EM417="","",'Calculations'!HG417&amp;" ["&amp;'Calculations'!HE417&amp;"]")</x:f>
      </x:c>
      <x:c r="HL417" t="n">
        <x:f>IF('Calculations'!EM417="",0,IF(OR('Calculations'!II417&lt;&gt;"",COUNTIF('Calculations'!$HE$13:$HE$512,"="&amp;SUBSTITUTE(SUBSTITUTE(SUBSTITUTE('Calculations'!HE417,"~","~~"),"*","~*"),"?","~?"))&gt;1),1,0))</x:f>
        <x:v>0</x:v>
      </x:c>
      <x:c r="HM417" t="str">
        <x:f>IF('Calculations'!EM417="","",IF('Calculations'!HL417=1,"!UNRESOLVED",IF('Calculations'!IH417&lt;&gt;"",'Calculations'!IH417,IF('Calculations'!IG417&lt;&gt;"",'Calculations'!IG417,IF('Calculations'!IF417&lt;&gt;"",'Calculations'!IF417,IF('Calculations'!IE417&lt;&gt;"",'Calculations'!IE417,IF('Calculations'!ID417&lt;&gt;"",'Calculations'!ID417,IF('Calculations'!IC417&lt;&gt;"",'Calculations'!IC417,IF('Calculations'!IB417&lt;&gt;"",'Calculations'!IB417,IF('Calculations'!IA417&lt;&gt;"",'Calculations'!IA417,IF('Calculations'!HZ417&lt;&gt;"",'Calculations'!HZ417,IF('Calculations'!HY417&lt;&gt;"",'Calculations'!HY417,IF('Calculations'!HX417&lt;&gt;"",'Calculations'!HX417,IF('Calculations'!HW417&lt;&gt;"",'Calculations'!HW417,IF('Calculations'!HV417&lt;&gt;"",'Calculations'!HV417,IF('Calculations'!HU417&lt;&gt;"",'Calculations'!HU417,IF('Calculations'!HT417&lt;&gt;"",'Calculations'!HT417,IF('Calculations'!HS417&lt;&gt;"",'Calculations'!HS417,IF('Calculations'!HR417&lt;&gt;"",'Calculations'!HR417,IF('Calculations'!HQ417&lt;&gt;"",'Calculations'!HQ417,IF('Calculations'!HP417&lt;&gt;"",'Calculations'!HP417,IF('Calculations'!HO417&lt;&gt;"",'Calculations'!HO417,'Calculations'!HE417))))))))))))))))))))))</x:f>
      </x:c>
      <x:c r="HN417" t="str">
        <x:f>IF('Calculations'!EM417="","",IF(IFERROR(IF(INDEX(INDIRECT("'WCM Calibration Final'!$F$1:$F$2000"),'Calculations'!$EM417)="","",TRIM(INDEX(INDIRECT("'WCM Calibration Final'!$F$1:$F$2000"),'Calculations'!$EM417)&amp;"")),"")="","(Blank)",IFERROR(IF(INDEX(INDIRECT("'WCM Calibration Final'!$F$1:$F$2000"),'Calculations'!$EM417)="","",TRIM(INDEX(INDIRECT("'WCM Calibration Final'!$F$1:$F$2000"),'Calculations'!$EM417)&amp;"")),"")))</x:f>
      </x:c>
      <x:c r="HO417" t="str">
        <x:f>'Calculations'!HF417</x:f>
      </x:c>
      <x:c r="HP417" t="str">
        <x:f>IF('Calculations'!HO417="","",IF('Calculations'!HO417="!AMBIG","!AMBIG",IF(COUNTIF('Calculations'!$HE$13:$HE$512,"="&amp;SUBSTITUTE(SUBSTITUTE(SUBSTITUTE('Calculations'!HO417,"~","~~"),"*","~*"),"?","~?"))&gt;1,"!AMBIG",IFERROR(INDEX('Calculations'!$HF$13:$HF$512,MATCH('Calculations'!HO417,'Calculations'!$HE$13:$HE$512,0)),""))))</x:f>
      </x:c>
      <x:c r="HQ417" t="str">
        <x:f>IF('Calculations'!HP417="","",IF('Calculations'!HP417="!AMBIG","!AMBIG",IF(COUNTIF('Calculations'!$HE$13:$HE$512,"="&amp;SUBSTITUTE(SUBSTITUTE(SUBSTITUTE('Calculations'!HP417,"~","~~"),"*","~*"),"?","~?"))&gt;1,"!AMBIG",IFERROR(INDEX('Calculations'!$HF$13:$HF$512,MATCH('Calculations'!HP417,'Calculations'!$HE$13:$HE$512,0)),""))))</x:f>
      </x:c>
      <x:c r="HR417" t="str">
        <x:f>IF('Calculations'!HQ417="","",IF('Calculations'!HQ417="!AMBIG","!AMBIG",IF(COUNTIF('Calculations'!$HE$13:$HE$512,"="&amp;SUBSTITUTE(SUBSTITUTE(SUBSTITUTE('Calculations'!HQ417,"~","~~"),"*","~*"),"?","~?"))&gt;1,"!AMBIG",IFERROR(INDEX('Calculations'!$HF$13:$HF$512,MATCH('Calculations'!HQ417,'Calculations'!$HE$13:$HE$512,0)),""))))</x:f>
      </x:c>
      <x:c r="HS417" t="str">
        <x:f>IF('Calculations'!HR417="","",IF('Calculations'!HR417="!AMBIG","!AMBIG",IF(COUNTIF('Calculations'!$HE$13:$HE$512,"="&amp;SUBSTITUTE(SUBSTITUTE(SUBSTITUTE('Calculations'!HR417,"~","~~"),"*","~*"),"?","~?"))&gt;1,"!AMBIG",IFERROR(INDEX('Calculations'!$HF$13:$HF$512,MATCH('Calculations'!HR417,'Calculations'!$HE$13:$HE$512,0)),""))))</x:f>
      </x:c>
      <x:c r="HT417" t="str">
        <x:f>IF('Calculations'!HS417="","",IF('Calculations'!HS417="!AMBIG","!AMBIG",IF(COUNTIF('Calculations'!$HE$13:$HE$512,"="&amp;SUBSTITUTE(SUBSTITUTE(SUBSTITUTE('Calculations'!HS417,"~","~~"),"*","~*"),"?","~?"))&gt;1,"!AMBIG",IFERROR(INDEX('Calculations'!$HF$13:$HF$512,MATCH('Calculations'!HS417,'Calculations'!$HE$13:$HE$512,0)),""))))</x:f>
      </x:c>
      <x:c r="HU417" t="str">
        <x:f>IF('Calculations'!HT417="","",IF('Calculations'!HT417="!AMBIG","!AMBIG",IF(COUNTIF('Calculations'!$HE$13:$HE$512,"="&amp;SUBSTITUTE(SUBSTITUTE(SUBSTITUTE('Calculations'!HT417,"~","~~"),"*","~*"),"?","~?"))&gt;1,"!AMBIG",IFERROR(INDEX('Calculations'!$HF$13:$HF$512,MATCH('Calculations'!HT417,'Calculations'!$HE$13:$HE$512,0)),""))))</x:f>
      </x:c>
      <x:c r="HV417" t="str">
        <x:f>IF('Calculations'!HU417="","",IF('Calculations'!HU417="!AMBIG","!AMBIG",IF(COUNTIF('Calculations'!$HE$13:$HE$512,"="&amp;SUBSTITUTE(SUBSTITUTE(SUBSTITUTE('Calculations'!HU417,"~","~~"),"*","~*"),"?","~?"))&gt;1,"!AMBIG",IFERROR(INDEX('Calculations'!$HF$13:$HF$512,MATCH('Calculations'!HU417,'Calculations'!$HE$13:$HE$512,0)),""))))</x:f>
      </x:c>
      <x:c r="HW417" t="str">
        <x:f>IF('Calculations'!HV417="","",IF('Calculations'!HV417="!AMBIG","!AMBIG",IF(COUNTIF('Calculations'!$HE$13:$HE$512,"="&amp;SUBSTITUTE(SUBSTITUTE(SUBSTITUTE('Calculations'!HV417,"~","~~"),"*","~*"),"?","~?"))&gt;1,"!AMBIG",IFERROR(INDEX('Calculations'!$HF$13:$HF$512,MATCH('Calculations'!HV417,'Calculations'!$HE$13:$HE$512,0)),""))))</x:f>
      </x:c>
      <x:c r="HX417" t="str">
        <x:f>IF('Calculations'!HW417="","",IF('Calculations'!HW417="!AMBIG","!AMBIG",IF(COUNTIF('Calculations'!$HE$13:$HE$512,"="&amp;SUBSTITUTE(SUBSTITUTE(SUBSTITUTE('Calculations'!HW417,"~","~~"),"*","~*"),"?","~?"))&gt;1,"!AMBIG",IFERROR(INDEX('Calculations'!$HF$13:$HF$512,MATCH('Calculations'!HW417,'Calculations'!$HE$13:$HE$512,0)),""))))</x:f>
      </x:c>
      <x:c r="HY417" t="str">
        <x:f>IF('Calculations'!HX417="","",IF('Calculations'!HX417="!AMBIG","!AMBIG",IF(COUNTIF('Calculations'!$HE$13:$HE$512,"="&amp;SUBSTITUTE(SUBSTITUTE(SUBSTITUTE('Calculations'!HX417,"~","~~"),"*","~*"),"?","~?"))&gt;1,"!AMBIG",IFERROR(INDEX('Calculations'!$HF$13:$HF$512,MATCH('Calculations'!HX417,'Calculations'!$HE$13:$HE$512,0)),""))))</x:f>
      </x:c>
      <x:c r="HZ417" t="str">
        <x:f>IF('Calculations'!HY417="","",IF('Calculations'!HY417="!AMBIG","!AMBIG",IF(COUNTIF('Calculations'!$HE$13:$HE$512,"="&amp;SUBSTITUTE(SUBSTITUTE(SUBSTITUTE('Calculations'!HY417,"~","~~"),"*","~*"),"?","~?"))&gt;1,"!AMBIG",IFERROR(INDEX('Calculations'!$HF$13:$HF$512,MATCH('Calculations'!HY417,'Calculations'!$HE$13:$HE$512,0)),""))))</x:f>
      </x:c>
      <x:c r="IA417" t="str">
        <x:f>IF('Calculations'!HZ417="","",IF('Calculations'!HZ417="!AMBIG","!AMBIG",IF(COUNTIF('Calculations'!$HE$13:$HE$512,"="&amp;SUBSTITUTE(SUBSTITUTE(SUBSTITUTE('Calculations'!HZ417,"~","~~"),"*","~*"),"?","~?"))&gt;1,"!AMBIG",IFERROR(INDEX('Calculations'!$HF$13:$HF$512,MATCH('Calculations'!HZ417,'Calculations'!$HE$13:$HE$512,0)),""))))</x:f>
      </x:c>
      <x:c r="IB417" t="str">
        <x:f>IF('Calculations'!IA417="","",IF('Calculations'!IA417="!AMBIG","!AMBIG",IF(COUNTIF('Calculations'!$HE$13:$HE$512,"="&amp;SUBSTITUTE(SUBSTITUTE(SUBSTITUTE('Calculations'!IA417,"~","~~"),"*","~*"),"?","~?"))&gt;1,"!AMBIG",IFERROR(INDEX('Calculations'!$HF$13:$HF$512,MATCH('Calculations'!IA417,'Calculations'!$HE$13:$HE$512,0)),""))))</x:f>
      </x:c>
      <x:c r="IC417" t="str">
        <x:f>IF('Calculations'!IB417="","",IF('Calculations'!IB417="!AMBIG","!AMBIG",IF(COUNTIF('Calculations'!$HE$13:$HE$512,"="&amp;SUBSTITUTE(SUBSTITUTE(SUBSTITUTE('Calculations'!IB417,"~","~~"),"*","~*"),"?","~?"))&gt;1,"!AMBIG",IFERROR(INDEX('Calculations'!$HF$13:$HF$512,MATCH('Calculations'!IB417,'Calculations'!$HE$13:$HE$512,0)),""))))</x:f>
      </x:c>
      <x:c r="ID417" t="str">
        <x:f>IF('Calculations'!IC417="","",IF('Calculations'!IC417="!AMBIG","!AMBIG",IF(COUNTIF('Calculations'!$HE$13:$HE$512,"="&amp;SUBSTITUTE(SUBSTITUTE(SUBSTITUTE('Calculations'!IC417,"~","~~"),"*","~*"),"?","~?"))&gt;1,"!AMBIG",IFERROR(INDEX('Calculations'!$HF$13:$HF$512,MATCH('Calculations'!IC417,'Calculations'!$HE$13:$HE$512,0)),""))))</x:f>
      </x:c>
      <x:c r="IE417" t="str">
        <x:f>IF('Calculations'!ID417="","",IF('Calculations'!ID417="!AMBIG","!AMBIG",IF(COUNTIF('Calculations'!$HE$13:$HE$512,"="&amp;SUBSTITUTE(SUBSTITUTE(SUBSTITUTE('Calculations'!ID417,"~","~~"),"*","~*"),"?","~?"))&gt;1,"!AMBIG",IFERROR(INDEX('Calculations'!$HF$13:$HF$512,MATCH('Calculations'!ID417,'Calculations'!$HE$13:$HE$512,0)),""))))</x:f>
      </x:c>
      <x:c r="IF417" t="str">
        <x:f>IF('Calculations'!IE417="","",IF('Calculations'!IE417="!AMBIG","!AMBIG",IF(COUNTIF('Calculations'!$HE$13:$HE$512,"="&amp;SUBSTITUTE(SUBSTITUTE(SUBSTITUTE('Calculations'!IE417,"~","~~"),"*","~*"),"?","~?"))&gt;1,"!AMBIG",IFERROR(INDEX('Calculations'!$HF$13:$HF$512,MATCH('Calculations'!IE417,'Calculations'!$HE$13:$HE$512,0)),""))))</x:f>
      </x:c>
      <x:c r="IG417" t="str">
        <x:f>IF('Calculations'!IF417="","",IF('Calculations'!IF417="!AMBIG","!AMBIG",IF(COUNTIF('Calculations'!$HE$13:$HE$512,"="&amp;SUBSTITUTE(SUBSTITUTE(SUBSTITUTE('Calculations'!IF417,"~","~~"),"*","~*"),"?","~?"))&gt;1,"!AMBIG",IFERROR(INDEX('Calculations'!$HF$13:$HF$512,MATCH('Calculations'!IF417,'Calculations'!$HE$13:$HE$512,0)),""))))</x:f>
      </x:c>
      <x:c r="IH417" t="str">
        <x:f>IF('Calculations'!IG417="","",IF('Calculations'!IG417="!AMBIG","!AMBIG",IF(COUNTIF('Calculations'!$HE$13:$HE$512,"="&amp;SUBSTITUTE(SUBSTITUTE(SUBSTITUTE('Calculations'!IG417,"~","~~"),"*","~*"),"?","~?"))&gt;1,"!AMBIG",IFERROR(INDEX('Calculations'!$HF$13:$HF$512,MATCH('Calculations'!IG417,'Calculations'!$HE$13:$HE$512,0)),""))))</x:f>
      </x:c>
      <x:c r="II417" t="str">
        <x:f>IF('Calculations'!IH417="","",IF('Calculations'!IH417="!AMBIG","!AMBIG",IF(COUNTIF('Calculations'!$HE$13:$HE$512,"="&amp;SUBSTITUTE(SUBSTITUTE(SUBSTITUTE('Calculations'!IH417,"~","~~"),"*","~*"),"?","~?"))&gt;1,"!AMBIG",IFERROR(INDEX('Calculations'!$HF$13:$HF$512,MATCH('Calculations'!IH417,'Calculations'!$HE$13:$HE$512,0)),""))))</x:f>
      </x:c>
      <x:c r="IJ417" t="str">
        <x:f>IF('Calculations'!EM417="","",IF('Calculations'!$EF$2="All",'Calculations'!HM417,IF('Calculations'!HL417=1,"",IFERROR(IF(MATCH('Calculations'!$EF$2,'Calculations'!HO417:II417,0)=1,'Calculations'!HE417,INDEX('Calculations'!HO417:II417,1,MATCH('Calculations'!$EF$2,'Calculations'!HO417:II417,0)-1)),""))))</x:f>
      </x:c>
      <x:c r="IK417" t="n">
        <x:f>IF(AND('Calculations'!EM417&lt;&gt;"",'Calculations'!$EF$2&lt;&gt;"All",'Calculations'!HF417='Calculations'!$EF$2,'Calculations'!HL417=0,'Calculations'!JD417&gt;0),MAX('Calculations'!$IK$12:IK416)+1,0)</x:f>
        <x:v>0</x:v>
      </x:c>
      <x:c r="JA417" t="n">
        <x:f>IF(OR(IFERROR(INDIRECT("'WCM Calibration Final'!$A$417")&lt;&gt;"",FALSE),IFERROR(INDIRECT("'WCM Calibration Final'!$B$417")&lt;&gt;"",FALSE),IFERROR(INDIRECT("'WCM Calibration Final'!$C$417")&lt;&gt;"",FALSE)),417,0)</x:f>
        <x:v>0</x:v>
      </x:c>
      <x:c r="JB417" t="n">
        <x:f>'Calculations'!JB416+IF('Calculations'!JA417&gt;0,1,0)</x:f>
        <x:v>0</x:v>
      </x:c>
      <x:c r="JC417" t="n">
        <x:f>IF(OR('Calculations'!HF417="",'Calculations'!HF417="!AMBIG"),0,IF('Dashboard'!$B$7="All",1,COUNTIFS('Calculations'!$HO$13:$HO$512,"="&amp;SUBSTITUTE(SUBSTITUTE(SUBSTITUTE('Calculations'!HF417,"~","~~"),"*","~*"),"?","~?"),'Calculations'!$HN$13:$HN$512,"="&amp;SUBSTITUTE(SUBSTITUTE(SUBSTITUTE('Dashboard'!$B$7,"~","~~"),"*","~*"),"?","~?"))+COUNTIFS('Calculations'!$HP$13:$HP$512,"="&amp;SUBSTITUTE(SUBSTITUTE(SUBSTITUTE('Calculations'!HF417,"~","~~"),"*","~*"),"?","~?"),'Calculations'!$HN$13:$HN$512,"="&amp;SUBSTITUTE(SUBSTITUTE(SUBSTITUTE('Dashboard'!$B$7,"~","~~"),"*","~*"),"?","~?"))+COUNTIFS('Calculations'!$HQ$13:$HQ$512,"="&amp;SUBSTITUTE(SUBSTITUTE(SUBSTITUTE('Calculations'!HF417,"~","~~"),"*","~*"),"?","~?"),'Calculations'!$HN$13:$HN$512,"="&amp;SUBSTITUTE(SUBSTITUTE(SUBSTITUTE('Dashboard'!$B$7,"~","~~"),"*","~*"),"?","~?"))+COUNTIFS('Calculations'!$HR$13:$HR$512,"="&amp;SUBSTITUTE(SUBSTITUTE(SUBSTITUTE('Calculations'!HF417,"~","~~"),"*","~*"),"?","~?"),'Calculations'!$HN$13:$HN$512,"="&amp;SUBSTITUTE(SUBSTITUTE(SUBSTITUTE('Dashboard'!$B$7,"~","~~"),"*","~*"),"?","~?"))+COUNTIFS('Calculations'!$HS$13:$HS$512,"="&amp;SUBSTITUTE(SUBSTITUTE(SUBSTITUTE('Calculations'!HF417,"~","~~"),"*","~*"),"?","~?"),'Calculations'!$HN$13:$HN$512,"="&amp;SUBSTITUTE(SUBSTITUTE(SUBSTITUTE('Dashboard'!$B$7,"~","~~"),"*","~*"),"?","~?"))+COUNTIFS('Calculations'!$HT$13:$HT$512,"="&amp;SUBSTITUTE(SUBSTITUTE(SUBSTITUTE('Calculations'!HF417,"~","~~"),"*","~*"),"?","~?"),'Calculations'!$HN$13:$HN$512,"="&amp;SUBSTITUTE(SUBSTITUTE(SUBSTITUTE('Dashboard'!$B$7,"~","~~"),"*","~*"),"?","~?"))+COUNTIFS('Calculations'!$HU$13:$HU$512,"="&amp;SUBSTITUTE(SUBSTITUTE(SUBSTITUTE('Calculations'!HF417,"~","~~"),"*","~*"),"?","~?"),'Calculations'!$HN$13:$HN$512,"="&amp;SUBSTITUTE(SUBSTITUTE(SUBSTITUTE('Dashboard'!$B$7,"~","~~"),"*","~*"),"?","~?"))+COUNTIFS('Calculations'!$HV$13:$HV$512,"="&amp;SUBSTITUTE(SUBSTITUTE(SUBSTITUTE('Calculations'!HF417,"~","~~"),"*","~*"),"?","~?"),'Calculations'!$HN$13:$HN$512,"="&amp;SUBSTITUTE(SUBSTITUTE(SUBSTITUTE('Dashboard'!$B$7,"~","~~"),"*","~*"),"?","~?"))+COUNTIFS('Calculations'!$HW$13:$HW$512,"="&amp;SUBSTITUTE(SUBSTITUTE(SUBSTITUTE('Calculations'!HF417,"~","~~"),"*","~*"),"?","~?"),'Calculations'!$HN$13:$HN$512,"="&amp;SUBSTITUTE(SUBSTITUTE(SUBSTITUTE('Dashboard'!$B$7,"~","~~"),"*","~*"),"?","~?"))+COUNTIFS('Calculations'!$HX$13:$HX$512,"="&amp;SUBSTITUTE(SUBSTITUTE(SUBSTITUTE('Calculations'!HF417,"~","~~"),"*","~*"),"?","~?"),'Calculations'!$HN$13:$HN$512,"="&amp;SUBSTITUTE(SUBSTITUTE(SUBSTITUTE('Dashboard'!$B$7,"~","~~"),"*","~*"),"?","~?"))+COUNTIFS('Calculations'!$HY$13:$HY$512,"="&amp;SUBSTITUTE(SUBSTITUTE(SUBSTITUTE('Calculations'!HF417,"~","~~"),"*","~*"),"?","~?"),'Calculations'!$HN$13:$HN$512,"="&amp;SUBSTITUTE(SUBSTITUTE(SUBSTITUTE('Dashboard'!$B$7,"~","~~"),"*","~*"),"?","~?"))+COUNTIFS('Calculations'!$HZ$13:$HZ$512,"="&amp;SUBSTITUTE(SUBSTITUTE(SUBSTITUTE('Calculations'!HF417,"~","~~"),"*","~*"),"?","~?"),'Calculations'!$HN$13:$HN$512,"="&amp;SUBSTITUTE(SUBSTITUTE(SUBSTITUTE('Dashboard'!$B$7,"~","~~"),"*","~*"),"?","~?"))+COUNTIFS('Calculations'!$IA$13:$IA$512,"="&amp;SUBSTITUTE(SUBSTITUTE(SUBSTITUTE('Calculations'!HF417,"~","~~"),"*","~*"),"?","~?"),'Calculations'!$HN$13:$HN$512,"="&amp;SUBSTITUTE(SUBSTITUTE(SUBSTITUTE('Dashboard'!$B$7,"~","~~"),"*","~*"),"?","~?"))+COUNTIFS('Calculations'!$IB$13:$IB$512,"="&amp;SUBSTITUTE(SUBSTITUTE(SUBSTITUTE('Calculations'!HF417,"~","~~"),"*","~*"),"?","~?"),'Calculations'!$HN$13:$HN$512,"="&amp;SUBSTITUTE(SUBSTITUTE(SUBSTITUTE('Dashboard'!$B$7,"~","~~"),"*","~*"),"?","~?"))+COUNTIFS('Calculations'!$IC$13:$IC$512,"="&amp;SUBSTITUTE(SUBSTITUTE(SUBSTITUTE('Calculations'!HF417,"~","~~"),"*","~*"),"?","~?"),'Calculations'!$HN$13:$HN$512,"="&amp;SUBSTITUTE(SUBSTITUTE(SUBSTITUTE('Dashboard'!$B$7,"~","~~"),"*","~*"),"?","~?"))+COUNTIFS('Calculations'!$ID$13:$ID$512,"="&amp;SUBSTITUTE(SUBSTITUTE(SUBSTITUTE('Calculations'!HF417,"~","~~"),"*","~*"),"?","~?"),'Calculations'!$HN$13:$HN$512,"="&amp;SUBSTITUTE(SUBSTITUTE(SUBSTITUTE('Dashboard'!$B$7,"~","~~"),"*","~*"),"?","~?"))+COUNTIFS('Calculations'!$IE$13:$IE$512,"="&amp;SUBSTITUTE(SUBSTITUTE(SUBSTITUTE('Calculations'!HF417,"~","~~"),"*","~*"),"?","~?"),'Calculations'!$HN$13:$HN$512,"="&amp;SUBSTITUTE(SUBSTITUTE(SUBSTITUTE('Dashboard'!$B$7,"~","~~"),"*","~*"),"?","~?"))+COUNTIFS('Calculations'!$IF$13:$IF$512,"="&amp;SUBSTITUTE(SUBSTITUTE(SUBSTITUTE('Calculations'!HF417,"~","~~"),"*","~*"),"?","~?"),'Calculations'!$HN$13:$HN$512,"="&amp;SUBSTITUTE(SUBSTITUTE(SUBSTITUTE('Dashboard'!$B$7,"~","~~"),"*","~*"),"?","~?"))+COUNTIFS('Calculations'!$IG$13:$IG$512,"="&amp;SUBSTITUTE(SUBSTITUTE(SUBSTITUTE('Calculations'!HF417,"~","~~"),"*","~*"),"?","~?"),'Calculations'!$HN$13:$HN$512,"="&amp;SUBSTITUTE(SUBSTITUTE(SUBSTITUTE('Dashboard'!$B$7,"~","~~"),"*","~*"),"?","~?"))+COUNTIFS('Calculations'!$IH$13:$IH$512,"="&amp;SUBSTITUTE(SUBSTITUTE(SUBSTITUTE('Calculations'!HF417,"~","~~"),"*","~*"),"?","~?"),'Calculations'!$HN$13:$HN$512,"="&amp;SUBSTITUTE(SUBSTITUTE(SUBSTITUTE('Dashboard'!$B$7,"~","~~"),"*","~*"),"?","~?"))))</x:f>
        <x:v>0</x:v>
      </x:c>
      <x:c r="JD417" t="n">
        <x:f>IF('Calculations'!EM417="",0,IF('Dashboard'!$B$7="All",1,IF('Calculations'!HN417='Dashboard'!$B$7,1,0)+IFERROR(INDEX('Calculations'!$JC$13:$JC$512,MATCH('Calculations'!HE417,'Calculations'!$HF$13:$HF$512,0)),0)))</x:f>
        <x:v>0</x:v>
      </x:c>
      <x:c r="JE417" t="n">
        <x:f>IF(AND('Calculations'!EM417&lt;&gt;"",'Calculations'!$JJ$2&lt;&gt;"All",'Calculations'!$JJ$2&lt;&gt;"",'Calculations'!HF417='Calculations'!$JJ$2,'Calculations'!HL417=0,'Calculations'!JD417&gt;0),MAX('Calculations'!$JE$12:JE416)+1,0)</x:f>
        <x:v>0</x:v>
      </x:c>
      <x:c r="JF417" t="str">
        <x:f>IF('Calculations'!EM417="","",IFERROR(IF(INDEX(INDIRECT("'WCM Calibration Final'!$G$1:$G$2000"),'Calculations'!$EM417)="","",TRIM(INDEX(INDIRECT("'WCM Calibration Final'!$G$1:$G$2000"),'Calculations'!$EM417)&amp;"")),""))</x:f>
      </x:c>
      <x:c r="JQ417" t="n">
        <x:f>IF(OR('Calculations'!BM417=0,NOT('Calculations'!$AG$2),'Calculations'!$AG$8&gt;0),0,IF(OR('Dashboard'!$B$7="All",'Calculations'!HN417='Dashboard'!$B$7),IF('Calculations'!$JJ$2="All",1,IF(AND('Calculations'!HF417='Calculations'!$JJ$2,'Calculations'!HL417=0),1,0)),0))</x:f>
        <x:v>0</x:v>
      </x:c>
    </x:row>
    <x:row r="418">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t="n">
        <x:f>IF('Calculations'!$EM418="",0,IF(OR(IFERROR(INDEX(INDIRECT("'WCM Calibration Final'!$A$1:$A$2000"),'Calculations'!$EM418)&lt;&gt;"",FALSE),IFERROR(INDEX(INDIRECT("'WCM Calibration Final'!$B$1:$B$2000"),'Calculations'!$EM418)&lt;&gt;"",FALSE),IFERROR(INDEX(INDIRECT("'WCM Calibration Final'!$C$1:$C$2000"),'Calculations'!$EM418)&lt;&gt;"",FALSE)),1,0))</x:f>
        <x:v>0</x:v>
      </x:c>
      <x:c r="BN418" s="4" t="n">
        <x:f>IF(AND('Calculations'!BM418=1,'Calculations'!$AG$2,'Calculations'!$EN418=1),1,0)</x:f>
        <x:v>0</x:v>
      </x:c>
      <x:c r="BO418" s="4" t="str">
        <x:f>IF('Calculations'!BM418=0,"",IFERROR(IF(AND(VALUE(INDEX(INDIRECT("'WCM Calibration Final'!$K$1:$K$2000"),'Calculations'!$EM418))&gt;=1,VALUE(INDEX(INDIRECT("'WCM Calibration Final'!$K$1:$K$2000"),'Calculations'!$EM418))&lt;=4,MOD(VALUE(INDEX(INDIRECT("'WCM Calibration Final'!$K$1:$K$2000"),'Calculations'!$EM418)),1)=0),VALUE(INDEX(INDIRECT("'WCM Calibration Final'!$K$1:$K$2000"),'Calculations'!$EM418)),""),""))</x:f>
      </x:c>
      <x:c r="BP418" s="4" t="str">
        <x:f>IF('Calculations'!BM418=0,"",IFERROR(IF(AND(VALUE(INDEX(INDIRECT("'WCM Calibration Final'!$L$1:$L$2000"),'Calculations'!$EM418))&gt;=1,VALUE(INDEX(INDIRECT("'WCM Calibration Final'!$L$1:$L$2000"),'Calculations'!$EM418))&lt;=4,MOD(VALUE(INDEX(INDIRECT("'WCM Calibration Final'!$L$1:$L$2000"),'Calculations'!$EM418)),1)=0),VALUE(INDEX(INDIRECT("'WCM Calibration Final'!$L$1:$L$2000"),'Calculations'!$EM418)),""),""))</x:f>
      </x:c>
      <x:c r="BQ418" s="4"/>
      <x:c r="BR418" s="4"/>
      <x:c r="BS418" s="4"/>
      <x:c r="BT418" s="4" t="n">
        <x:f>IF(AND('Calculations'!BM418=1,ISNUMBER('Calculations'!BO418),ISNUMBER('Calculations'!BP418)),1,0)</x:f>
        <x:v>0</x:v>
      </x:c>
      <x:c r="BU418" s="4" t="str">
        <x:f>IF('Calculations'!BM418=0,"",'Calculations'!$EO418)</x:f>
      </x:c>
      <x:c r="BV418" s="4" t="str">
        <x:f>IF('Calculations'!BM418=0,"",IFERROR(IF(OR(INDEX(INDIRECT("'WCM Calibration Final'!$H$1:$H$2000"),'Calculations'!$EM418)="MANAGING DIRECTOR",INDEX(INDIRECT("'WCM Calibration Final'!$H$1:$H$2000"),'Calculations'!$EM418)="DIRECTOR",INDEX(INDIRECT("'WCM Calibration Final'!$H$1:$H$2000"),'Calculations'!$EM418)="SENIOR VICE PRESIDENT",INDEX(INDIRECT("'WCM Calibration Final'!$H$1:$H$2000"),'Calculations'!$EM418)="VICE PRESIDENT",INDEX(INDIRECT("'WCM Calibration Final'!$H$1:$H$2000"),'Calculations'!$EM418)="ASSISTANT VICE PRESIDENT",INDEX(INDIRECT("'WCM Calibration Final'!$H$1:$H$2000"),'Calculations'!$EM418)="OFFICER"),UPPER(INDEX(INDIRECT("'WCM Calibration Final'!$H$1:$H$2000"),'Calculations'!$EM418)),"Other"),"Other"))</x:f>
      </x:c>
      <x:c r="BW418" s="4"/>
      <x:c r="BX418" s="4"/>
      <x:c r="BY418" s="4" t="n">
        <x:f>IF(AND('Calculations'!BM418=1,'Calculations'!BU418&lt;&gt;"",COUNTIF('Calculations'!$BU$12:BU418,'Calculations'!BU418)=1),MAX('Calculations'!$BY$11:BY417)+1,0)</x:f>
        <x:v>0</x:v>
      </x:c>
      <x:c r="BZ418" s="4" t="str">
        <x:f>IF('Dashboard'!$E$67="What",'Calculations'!BO418,'Calculations'!BP418)</x:f>
      </x:c>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t="str">
        <x:f>IF(407&gt;MAX('Calculations'!$HI$13:$HI$512),"",INDEX('Calculations'!$HN$13:$HN$512,MATCH(407,'Calculations'!$HI$13:$HI$512,0)))</x:f>
      </x:c>
      <x:c r="DB418" s="4" t="str">
        <x:f>IF(407&gt;MAX('Calculations'!$HH$13:$HH$512),"",INDEX('Calculations'!$HJ$13:$HJ$512,MATCH(407,'Calculations'!$HH$13:$HH$512,0)))</x:f>
      </x:c>
      <x:c r="DC418" s="4" t="str">
        <x:f>IF(ROW()-11&gt;MAX('Calculations'!$BY$13:$BY$512),"",INDEX('Calculations'!$BU$13:$BU$512,MATCH(ROW()-11,'Calculations'!$BY$13:$BY$512,0)))</x:f>
      </x:c>
      <x:c r="DD418" s="4" t="str">
        <x:f>IF(407&gt;MAX('Calculations'!$IK$13:$IK$512),"",INDEX('Calculations'!$HK$13:$HK$512,MATCH(407,'Calculations'!$IK$13:$IK$512,0)))</x:f>
      </x:c>
      <x:c r="DE418" s="4" t="str">
        <x:f>'Calculations'!DC418</x:f>
      </x:c>
      <x:c r="DF418" s="4" t="str">
        <x:f>IF('Calculations'!DE418="","",COUNTIFS('Calculations'!$BN$13:$BN$512,1,'Calculations'!$BU$13:$BU$512,'Calculations'!DE418))</x:f>
      </x:c>
      <x:c r="DG418" s="4" t="str">
        <x:f>IF('Calculations'!DE418="","",COUNTIFS('Calculations'!$BN$13:$BN$512,1,'Calculations'!$BU$13:$BU$512,'Calculations'!DE418,'Calculations'!$BT$13:$BT$512,1))</x:f>
      </x:c>
      <x:c r="DH418" s="4" t="str">
        <x:f>IF('Calculations'!DE418="","",'Calculations'!DF418-'Calculations'!DG418)</x:f>
      </x:c>
      <x:c r="DI418" s="4" t="str">
        <x:f>IF(OR('Calculations'!DE418="",'Calculations'!DF418=0),"",'Calculations'!DG418/'Calculations'!DF418)</x:f>
      </x:c>
      <x:c r="DJ418" s="4" t="str">
        <x:f>IF('Calculations'!DE418="","",COUNTIFS('Calculations'!$BN$13:$BN$512,1,'Calculations'!$BU$13:$BU$512,'Calculations'!DE418,'Calculations'!$BT$13:$BT$512,1,'Calculations'!$EE$13:$EE$512,"High"))</x:f>
      </x:c>
      <x:c r="DK418" s="4" t="str">
        <x:f>IF('Calculations'!DE418="","",COUNTIFS('Calculations'!$BN$13:$BN$512,1,'Calculations'!$BU$13:$BU$512,'Calculations'!DE418,'Calculations'!$BT$13:$BT$512,1,'Calculations'!$EE$13:$EE$512,"Strong"))</x:f>
      </x:c>
      <x:c r="DL418" s="4" t="str">
        <x:f>IF('Calculations'!DE418="","",COUNTIFS('Calculations'!$BN$13:$BN$512,1,'Calculations'!$BU$13:$BU$512,'Calculations'!DE418,'Calculations'!$BT$13:$BT$512,1,'Calculations'!$EE$13:$EE$512,"Solid"))</x:f>
      </x:c>
      <x:c r="DM418" s="4" t="str">
        <x:f>IF('Calculations'!DE418="","",COUNTIFS('Calculations'!$BN$13:$BN$512,1,'Calculations'!$BU$13:$BU$512,'Calculations'!DE418,'Calculations'!$BT$13:$BT$512,1,'Calculations'!$EE$13:$EE$512,"Low"))</x:f>
      </x:c>
      <x:c r="DN418" s="4" t="str">
        <x:f>IF('Calculations'!DE418="","",COUNTIFS('Calculations'!$BN$13:$BN$512,1,'Calculations'!$BU$13:$BU$512,'Calculations'!DE418,'Calculations'!$EP$13:$EP$512,1))</x:f>
      </x:c>
      <x:c r="DO418" s="4" t="str">
        <x:f>IF(OR('Calculations'!DE418="",'Calculations'!DG418=0),"",('Calculations'!DJ418+'Calculations'!DK418)/'Calculations'!DG418)</x:f>
      </x:c>
      <x:c r="DP418" s="4" t="n">
        <x:f>IF(AND('Calculations'!DE418&lt;&gt;"",'Calculations'!DF418&gt;0),COUNTIF('Calculations'!$DF$12:DF418,"&gt;0"),0)</x:f>
        <x:v>0</x:v>
      </x:c>
      <x:c r="DQ418" s="4" t="str">
        <x:f>IF(407&gt;MAX('Calculations'!$HH$13:$HH$512),"",INDEX('Calculations'!$HF$13:$HF$512,MATCH(407,'Calculations'!$HH$13:$HH$512,0)))</x:f>
      </x:c>
      <x:c r="DR418" s="4" t="str">
        <x:f>IF(407&gt;MAX('Calculations'!$IK$13:$IK$512),"",INDEX('Calculations'!$HE$13:$HE$512,MATCH(407,'Calculations'!$IK$13:$IK$512,0)))</x:f>
      </x:c>
      <x:c r="DS418" s="4"/>
      <x:c r="DT418" s="4"/>
      <x:c r="DU418" s="4"/>
      <x:c r="DV418" s="4"/>
      <x:c r="DW418" s="4"/>
      <x:c r="DX418" s="4"/>
      <x:c r="DY418" s="4"/>
      <x:c r="DZ418" s="4"/>
      <x:c r="EA418" s="4"/>
      <x:c r="EB418" s="4"/>
      <x:c r="EC418" s="4"/>
      <x:c r="ED418" s="4"/>
      <x:c r="EE418" s="4" t="str">
        <x:f>IF('Calculations'!BT418=0,"Not Rated",IF(OR('Calculations'!BO418&gt;=4,'Calculations'!BP418&gt;=4),"Low",IF('Calculations'!BO418+'Calculations'!BP418&lt;=3,"High",IF('Calculations'!BO418+'Calculations'!BP418&lt;=4,"Strong","Solid"))))</x:f>
        <x:v>Not Rated</x:v>
      </x:c>
      <x:c r="EF418" s="4"/>
      <x:c r="EG418" s="4"/>
      <x:c r="EH418" s="4"/>
      <x:c r="EI418" s="4"/>
      <x:c r="EJ418" s="4"/>
      <x:c r="EK418" s="4"/>
      <x:c r="EL418" s="4"/>
      <x:c r="EM418" s="4" t="str">
        <x:f>IF(406&gt;'Calculations'!$JB$2000,"",INDEX('Calculations'!$JA$12:$JA$2000,MATCH(406,'Calculations'!$JB$12:$JB$2000,0)))</x:f>
      </x:c>
      <x:c r="EN418" s="4" t="n">
        <x:f>IF(OR('Calculations'!EM418="",'Calculations'!$AG$8&gt;0,AND('Calculations'!$EF$2&lt;&gt;"All",'Calculations'!HE418='Calculations'!$EF$2),AND('Calculations'!$EF$3&lt;&gt;"All",'Calculations'!HE418='Calculations'!$EF$3)),0,IF(OR('Dashboard'!$B$7="All",'Calculations'!HN418='Dashboard'!$B$7),IF('Calculations'!$EF$2="All",1,IF('Calculations'!HL418&gt;0,0,IF(COUNTIF('Calculations'!HO418:II418,"="&amp;SUBSTITUTE(SUBSTITUTE(SUBSTITUTE('Calculations'!$EF$2,"~","~~"),"*","~*"),"?","~?"))=0,0,IF('Calculations'!$EF$3="All",1,IF(COUNTIF('Calculations'!HO418:II418,"="&amp;SUBSTITUTE(SUBSTITUTE(SUBSTITUTE('Calculations'!$EF$3,"~","~~"),"*","~*"),"?","~?"))&gt;0,1,0))))),0))</x:f>
        <x:v>0</x:v>
      </x:c>
      <x:c r="EO418" s="4" t="str">
        <x:f>IF('Calculations'!IJ418="","",IF('Calculations'!IJ418="!UNRESOLVED","Unresolved hierarchy",IFERROR(INDEX('Calculations'!$HK$13:$HK$512,MATCH('Calculations'!IJ418,'Calculations'!$HE$13:$HE$512,0)),IFERROR(INDEX('Calculations'!$HJ$13:$HJ$512,MATCH('Calculations'!IJ418,'Calculations'!$HF$13:$HF$512,0)),'Calculations'!IJ418))))</x:f>
      </x:c>
      <x:c r="EP418" s="4" t="n">
        <x:f>IF(AND('Calculations'!EM418&lt;&gt;"",'Calculations'!HF418='Calculations'!IJ418),1,0)</x:f>
        <x:v>0</x:v>
      </x:c>
      <x:c r="EQ418" s="4"/>
      <x:c r="ER418" s="4"/>
      <x:c r="ES418" s="4"/>
      <x:c r="ET418" s="4"/>
      <x:c r="EU418" s="4"/>
      <x:c r="EV418" s="4"/>
      <x:c r="EW418" s="4"/>
      <x:c r="EX418" s="4"/>
      <x:c r="EY418" s="4"/>
      <x:c r="EZ418" s="4"/>
      <x:c r="FA418" s="4"/>
      <x:c r="FB418" s="4"/>
      <x:c r="FC418" s="4"/>
      <x:c r="FD418" s="4"/>
      <x:c r="FE418" s="4"/>
      <x:c r="FF418" s="4"/>
      <x:c r="FG418" s="4"/>
      <x:c r="FH418" s="4"/>
      <x:c r="FI418" s="4"/>
      <x:c r="FJ418" s="4"/>
      <x:c r="FK418" s="4"/>
      <x:c r="FL418" s="4"/>
      <x:c r="FM418" s="4"/>
      <x:c r="FN418" s="4"/>
      <x:c r="FO418" s="4"/>
      <x:c r="HE418" t="str">
        <x:f>IF('Calculations'!EM418="","",IF(IFERROR(IF(INDEX(INDIRECT("'WCM Calibration Final'!$A$1:$A$2000"),'Calculations'!$EM418)="","",TRIM(INDEX(INDIRECT("'WCM Calibration Final'!$A$1:$A$2000"),'Calculations'!$EM418)&amp;"")),"")&lt;&gt;"","G:"&amp;IFERROR(TEXT(1*INDEX(INDIRECT("'WCM Calibration Final'!$A$1:$A$2000"),'Calculations'!$EM418),"0"),UPPER(IFERROR(IF(INDEX(INDIRECT("'WCM Calibration Final'!$A$1:$A$2000"),'Calculations'!$EM418)="","",TRIM(INDEX(INDIRECT("'WCM Calibration Final'!$A$1:$A$2000"),'Calculations'!$EM418)&amp;"")),""))),IF(IFERROR(IF(INDEX(INDIRECT("'WCM Calibration Final'!$C$1:$C$2000"),'Calculations'!$EM418)="","",TRIM(INDEX(INDIRECT("'WCM Calibration Final'!$C$1:$C$2000"),'Calculations'!$EM418)&amp;"")),"")&lt;&gt;"","S:"&amp;UPPER(IFERROR(IF(INDEX(INDIRECT("'WCM Calibration Final'!$C$1:$C$2000"),'Calculations'!$EM418)="","",TRIM(INDEX(INDIRECT("'WCM Calibration Final'!$C$1:$C$2000"),'Calculations'!$EM418)&amp;"")),"")),"R:"&amp;'Calculations'!EM418)))</x:f>
      </x:c>
      <x:c r="HF418" t="str">
        <x:f>IF('Calculations'!EM418="","",IF(IFERROR(IF(INDEX(INDIRECT("'WCM Calibration Final'!$D$1:$D$2000"),'Calculations'!$EM418)="","",TRIM(INDEX(INDIRECT("'WCM Calibration Final'!$D$1:$D$2000"),'Calculations'!$EM418)&amp;"")),"")&lt;&gt;"","G:"&amp;IFERROR(TEXT(1*INDEX(INDIRECT("'WCM Calibration Final'!$D$1:$D$2000"),'Calculations'!$EM418),"0"),UPPER(IFERROR(IF(INDEX(INDIRECT("'WCM Calibration Final'!$D$1:$D$2000"),'Calculations'!$EM418)="","",TRIM(INDEX(INDIRECT("'WCM Calibration Final'!$D$1:$D$2000"),'Calculations'!$EM418)&amp;"")),""))),IF(IFERROR(IF(INDEX(INDIRECT("'WCM Calibration Final'!$E$1:$E$2000"),'Calculations'!$EM418)="","",TRIM(INDEX(INDIRECT("'WCM Calibration Final'!$E$1:$E$2000"),'Calculations'!$EM418)&amp;"")),"")="","",IF(COUNTIF('Calculations'!$HG$13:$HG$512,"="&amp;SUBSTITUTE(SUBSTITUTE(SUBSTITUTE(IFERROR(IF(INDEX(INDIRECT("'WCM Calibration Final'!$E$1:$E$2000"),'Calculations'!$EM418)="","",TRIM(INDEX(INDIRECT("'WCM Calibration Final'!$E$1:$E$2000"),'Calculations'!$EM418)&amp;"")),""),"~","~~"),"*","~*"),"?","~?"))=1,INDEX('Calculations'!$HE$13:$HE$512,MATCH(IFERROR(IF(INDEX(INDIRECT("'WCM Calibration Final'!$E$1:$E$2000"),'Calculations'!$EM418)="","",TRIM(INDEX(INDIRECT("'WCM Calibration Final'!$E$1:$E$2000"),'Calculations'!$EM418)&amp;"")),""),'Calculations'!$HG$13:$HG$512,0)),IF(COUNTIF('Calculations'!$HG$13:$HG$512,"="&amp;SUBSTITUTE(SUBSTITUTE(SUBSTITUTE(IFERROR(IF(INDEX(INDIRECT("'WCM Calibration Final'!$E$1:$E$2000"),'Calculations'!$EM418)="","",TRIM(INDEX(INDIRECT("'WCM Calibration Final'!$E$1:$E$2000"),'Calculations'!$EM418)&amp;"")),""),"~","~~"),"*","~*"),"?","~?"))&gt;1,"!AMBIG","X:"&amp;IFERROR(IF(INDEX(INDIRECT("'WCM Calibration Final'!$E$1:$E$2000"),'Calculations'!$EM418)="","",TRIM(INDEX(INDIRECT("'WCM Calibration Final'!$E$1:$E$2000"),'Calculations'!$EM418)&amp;"")),""))))))</x:f>
      </x:c>
      <x:c r="HG418" t="str">
        <x:f>IF('Calculations'!EM418="","",IFERROR(IF(INDEX(INDIRECT("'WCM Calibration Final'!$B$1:$B$2000"),'Calculations'!$EM418)="","",TRIM(INDEX(INDIRECT("'WCM Calibration Final'!$B$1:$B$2000"),'Calculations'!$EM418)&amp;"")),""))</x:f>
      </x:c>
      <x:c r="HH418" t="n">
        <x:f>IF(AND('Calculations'!JC418&gt;0,COUNTIF('Calculations'!$HF$12:HF418,"="&amp;SUBSTITUTE(SUBSTITUTE(SUBSTITUTE('Calculations'!HF418,"~","~~"),"*","~*"),"?","~?"))=1),MAX('Calculations'!$HH$12:HH417)+1,0)</x:f>
        <x:v>0</x:v>
      </x:c>
      <x:c r="HI418" t="n">
        <x:f>IF(AND('Calculations'!HN418&lt;&gt;"",COUNTIF('Calculations'!$HN$12:HN418,"="&amp;SUBSTITUTE(SUBSTITUTE(SUBSTITUTE('Calculations'!HN418,"~","~~"),"*","~*"),"?","~?"))=1),MAX('Calculations'!$HI$12:HI417)+1,0)</x:f>
        <x:v>0</x:v>
      </x:c>
      <x:c r="HJ418" t="str">
        <x:f>IF('Calculations'!HF418="","",IF(COUNTIF('Calculations'!$HE$13:$HE$512,"="&amp;SUBSTITUTE(SUBSTITUTE(SUBSTITUTE('Calculations'!HF418,"~","~~"),"*","~*"),"?","~?"))=1,INDEX('Calculations'!$HK$13:$HK$512,MATCH('Calculations'!HF418,'Calculations'!$HE$13:$HE$512,0)),IFERROR(IF(INDEX(INDIRECT("'WCM Calibration Final'!$E$1:$E$2000"),'Calculations'!$EM418)="","",TRIM(INDEX(INDIRECT("'WCM Calibration Final'!$E$1:$E$2000"),'Calculations'!$EM418)&amp;"")),"")&amp;" ["&amp;'Calculations'!HF418&amp;"]"))</x:f>
      </x:c>
      <x:c r="HK418" t="str">
        <x:f>IF('Calculations'!EM418="","",'Calculations'!HG418&amp;" ["&amp;'Calculations'!HE418&amp;"]")</x:f>
      </x:c>
      <x:c r="HL418" t="n">
        <x:f>IF('Calculations'!EM418="",0,IF(OR('Calculations'!II418&lt;&gt;"",COUNTIF('Calculations'!$HE$13:$HE$512,"="&amp;SUBSTITUTE(SUBSTITUTE(SUBSTITUTE('Calculations'!HE418,"~","~~"),"*","~*"),"?","~?"))&gt;1),1,0))</x:f>
        <x:v>0</x:v>
      </x:c>
      <x:c r="HM418" t="str">
        <x:f>IF('Calculations'!EM418="","",IF('Calculations'!HL418=1,"!UNRESOLVED",IF('Calculations'!IH418&lt;&gt;"",'Calculations'!IH418,IF('Calculations'!IG418&lt;&gt;"",'Calculations'!IG418,IF('Calculations'!IF418&lt;&gt;"",'Calculations'!IF418,IF('Calculations'!IE418&lt;&gt;"",'Calculations'!IE418,IF('Calculations'!ID418&lt;&gt;"",'Calculations'!ID418,IF('Calculations'!IC418&lt;&gt;"",'Calculations'!IC418,IF('Calculations'!IB418&lt;&gt;"",'Calculations'!IB418,IF('Calculations'!IA418&lt;&gt;"",'Calculations'!IA418,IF('Calculations'!HZ418&lt;&gt;"",'Calculations'!HZ418,IF('Calculations'!HY418&lt;&gt;"",'Calculations'!HY418,IF('Calculations'!HX418&lt;&gt;"",'Calculations'!HX418,IF('Calculations'!HW418&lt;&gt;"",'Calculations'!HW418,IF('Calculations'!HV418&lt;&gt;"",'Calculations'!HV418,IF('Calculations'!HU418&lt;&gt;"",'Calculations'!HU418,IF('Calculations'!HT418&lt;&gt;"",'Calculations'!HT418,IF('Calculations'!HS418&lt;&gt;"",'Calculations'!HS418,IF('Calculations'!HR418&lt;&gt;"",'Calculations'!HR418,IF('Calculations'!HQ418&lt;&gt;"",'Calculations'!HQ418,IF('Calculations'!HP418&lt;&gt;"",'Calculations'!HP418,IF('Calculations'!HO418&lt;&gt;"",'Calculations'!HO418,'Calculations'!HE418))))))))))))))))))))))</x:f>
      </x:c>
      <x:c r="HN418" t="str">
        <x:f>IF('Calculations'!EM418="","",IF(IFERROR(IF(INDEX(INDIRECT("'WCM Calibration Final'!$F$1:$F$2000"),'Calculations'!$EM418)="","",TRIM(INDEX(INDIRECT("'WCM Calibration Final'!$F$1:$F$2000"),'Calculations'!$EM418)&amp;"")),"")="","(Blank)",IFERROR(IF(INDEX(INDIRECT("'WCM Calibration Final'!$F$1:$F$2000"),'Calculations'!$EM418)="","",TRIM(INDEX(INDIRECT("'WCM Calibration Final'!$F$1:$F$2000"),'Calculations'!$EM418)&amp;"")),"")))</x:f>
      </x:c>
      <x:c r="HO418" t="str">
        <x:f>'Calculations'!HF418</x:f>
      </x:c>
      <x:c r="HP418" t="str">
        <x:f>IF('Calculations'!HO418="","",IF('Calculations'!HO418="!AMBIG","!AMBIG",IF(COUNTIF('Calculations'!$HE$13:$HE$512,"="&amp;SUBSTITUTE(SUBSTITUTE(SUBSTITUTE('Calculations'!HO418,"~","~~"),"*","~*"),"?","~?"))&gt;1,"!AMBIG",IFERROR(INDEX('Calculations'!$HF$13:$HF$512,MATCH('Calculations'!HO418,'Calculations'!$HE$13:$HE$512,0)),""))))</x:f>
      </x:c>
      <x:c r="HQ418" t="str">
        <x:f>IF('Calculations'!HP418="","",IF('Calculations'!HP418="!AMBIG","!AMBIG",IF(COUNTIF('Calculations'!$HE$13:$HE$512,"="&amp;SUBSTITUTE(SUBSTITUTE(SUBSTITUTE('Calculations'!HP418,"~","~~"),"*","~*"),"?","~?"))&gt;1,"!AMBIG",IFERROR(INDEX('Calculations'!$HF$13:$HF$512,MATCH('Calculations'!HP418,'Calculations'!$HE$13:$HE$512,0)),""))))</x:f>
      </x:c>
      <x:c r="HR418" t="str">
        <x:f>IF('Calculations'!HQ418="","",IF('Calculations'!HQ418="!AMBIG","!AMBIG",IF(COUNTIF('Calculations'!$HE$13:$HE$512,"="&amp;SUBSTITUTE(SUBSTITUTE(SUBSTITUTE('Calculations'!HQ418,"~","~~"),"*","~*"),"?","~?"))&gt;1,"!AMBIG",IFERROR(INDEX('Calculations'!$HF$13:$HF$512,MATCH('Calculations'!HQ418,'Calculations'!$HE$13:$HE$512,0)),""))))</x:f>
      </x:c>
      <x:c r="HS418" t="str">
        <x:f>IF('Calculations'!HR418="","",IF('Calculations'!HR418="!AMBIG","!AMBIG",IF(COUNTIF('Calculations'!$HE$13:$HE$512,"="&amp;SUBSTITUTE(SUBSTITUTE(SUBSTITUTE('Calculations'!HR418,"~","~~"),"*","~*"),"?","~?"))&gt;1,"!AMBIG",IFERROR(INDEX('Calculations'!$HF$13:$HF$512,MATCH('Calculations'!HR418,'Calculations'!$HE$13:$HE$512,0)),""))))</x:f>
      </x:c>
      <x:c r="HT418" t="str">
        <x:f>IF('Calculations'!HS418="","",IF('Calculations'!HS418="!AMBIG","!AMBIG",IF(COUNTIF('Calculations'!$HE$13:$HE$512,"="&amp;SUBSTITUTE(SUBSTITUTE(SUBSTITUTE('Calculations'!HS418,"~","~~"),"*","~*"),"?","~?"))&gt;1,"!AMBIG",IFERROR(INDEX('Calculations'!$HF$13:$HF$512,MATCH('Calculations'!HS418,'Calculations'!$HE$13:$HE$512,0)),""))))</x:f>
      </x:c>
      <x:c r="HU418" t="str">
        <x:f>IF('Calculations'!HT418="","",IF('Calculations'!HT418="!AMBIG","!AMBIG",IF(COUNTIF('Calculations'!$HE$13:$HE$512,"="&amp;SUBSTITUTE(SUBSTITUTE(SUBSTITUTE('Calculations'!HT418,"~","~~"),"*","~*"),"?","~?"))&gt;1,"!AMBIG",IFERROR(INDEX('Calculations'!$HF$13:$HF$512,MATCH('Calculations'!HT418,'Calculations'!$HE$13:$HE$512,0)),""))))</x:f>
      </x:c>
      <x:c r="HV418" t="str">
        <x:f>IF('Calculations'!HU418="","",IF('Calculations'!HU418="!AMBIG","!AMBIG",IF(COUNTIF('Calculations'!$HE$13:$HE$512,"="&amp;SUBSTITUTE(SUBSTITUTE(SUBSTITUTE('Calculations'!HU418,"~","~~"),"*","~*"),"?","~?"))&gt;1,"!AMBIG",IFERROR(INDEX('Calculations'!$HF$13:$HF$512,MATCH('Calculations'!HU418,'Calculations'!$HE$13:$HE$512,0)),""))))</x:f>
      </x:c>
      <x:c r="HW418" t="str">
        <x:f>IF('Calculations'!HV418="","",IF('Calculations'!HV418="!AMBIG","!AMBIG",IF(COUNTIF('Calculations'!$HE$13:$HE$512,"="&amp;SUBSTITUTE(SUBSTITUTE(SUBSTITUTE('Calculations'!HV418,"~","~~"),"*","~*"),"?","~?"))&gt;1,"!AMBIG",IFERROR(INDEX('Calculations'!$HF$13:$HF$512,MATCH('Calculations'!HV418,'Calculations'!$HE$13:$HE$512,0)),""))))</x:f>
      </x:c>
      <x:c r="HX418" t="str">
        <x:f>IF('Calculations'!HW418="","",IF('Calculations'!HW418="!AMBIG","!AMBIG",IF(COUNTIF('Calculations'!$HE$13:$HE$512,"="&amp;SUBSTITUTE(SUBSTITUTE(SUBSTITUTE('Calculations'!HW418,"~","~~"),"*","~*"),"?","~?"))&gt;1,"!AMBIG",IFERROR(INDEX('Calculations'!$HF$13:$HF$512,MATCH('Calculations'!HW418,'Calculations'!$HE$13:$HE$512,0)),""))))</x:f>
      </x:c>
      <x:c r="HY418" t="str">
        <x:f>IF('Calculations'!HX418="","",IF('Calculations'!HX418="!AMBIG","!AMBIG",IF(COUNTIF('Calculations'!$HE$13:$HE$512,"="&amp;SUBSTITUTE(SUBSTITUTE(SUBSTITUTE('Calculations'!HX418,"~","~~"),"*","~*"),"?","~?"))&gt;1,"!AMBIG",IFERROR(INDEX('Calculations'!$HF$13:$HF$512,MATCH('Calculations'!HX418,'Calculations'!$HE$13:$HE$512,0)),""))))</x:f>
      </x:c>
      <x:c r="HZ418" t="str">
        <x:f>IF('Calculations'!HY418="","",IF('Calculations'!HY418="!AMBIG","!AMBIG",IF(COUNTIF('Calculations'!$HE$13:$HE$512,"="&amp;SUBSTITUTE(SUBSTITUTE(SUBSTITUTE('Calculations'!HY418,"~","~~"),"*","~*"),"?","~?"))&gt;1,"!AMBIG",IFERROR(INDEX('Calculations'!$HF$13:$HF$512,MATCH('Calculations'!HY418,'Calculations'!$HE$13:$HE$512,0)),""))))</x:f>
      </x:c>
      <x:c r="IA418" t="str">
        <x:f>IF('Calculations'!HZ418="","",IF('Calculations'!HZ418="!AMBIG","!AMBIG",IF(COUNTIF('Calculations'!$HE$13:$HE$512,"="&amp;SUBSTITUTE(SUBSTITUTE(SUBSTITUTE('Calculations'!HZ418,"~","~~"),"*","~*"),"?","~?"))&gt;1,"!AMBIG",IFERROR(INDEX('Calculations'!$HF$13:$HF$512,MATCH('Calculations'!HZ418,'Calculations'!$HE$13:$HE$512,0)),""))))</x:f>
      </x:c>
      <x:c r="IB418" t="str">
        <x:f>IF('Calculations'!IA418="","",IF('Calculations'!IA418="!AMBIG","!AMBIG",IF(COUNTIF('Calculations'!$HE$13:$HE$512,"="&amp;SUBSTITUTE(SUBSTITUTE(SUBSTITUTE('Calculations'!IA418,"~","~~"),"*","~*"),"?","~?"))&gt;1,"!AMBIG",IFERROR(INDEX('Calculations'!$HF$13:$HF$512,MATCH('Calculations'!IA418,'Calculations'!$HE$13:$HE$512,0)),""))))</x:f>
      </x:c>
      <x:c r="IC418" t="str">
        <x:f>IF('Calculations'!IB418="","",IF('Calculations'!IB418="!AMBIG","!AMBIG",IF(COUNTIF('Calculations'!$HE$13:$HE$512,"="&amp;SUBSTITUTE(SUBSTITUTE(SUBSTITUTE('Calculations'!IB418,"~","~~"),"*","~*"),"?","~?"))&gt;1,"!AMBIG",IFERROR(INDEX('Calculations'!$HF$13:$HF$512,MATCH('Calculations'!IB418,'Calculations'!$HE$13:$HE$512,0)),""))))</x:f>
      </x:c>
      <x:c r="ID418" t="str">
        <x:f>IF('Calculations'!IC418="","",IF('Calculations'!IC418="!AMBIG","!AMBIG",IF(COUNTIF('Calculations'!$HE$13:$HE$512,"="&amp;SUBSTITUTE(SUBSTITUTE(SUBSTITUTE('Calculations'!IC418,"~","~~"),"*","~*"),"?","~?"))&gt;1,"!AMBIG",IFERROR(INDEX('Calculations'!$HF$13:$HF$512,MATCH('Calculations'!IC418,'Calculations'!$HE$13:$HE$512,0)),""))))</x:f>
      </x:c>
      <x:c r="IE418" t="str">
        <x:f>IF('Calculations'!ID418="","",IF('Calculations'!ID418="!AMBIG","!AMBIG",IF(COUNTIF('Calculations'!$HE$13:$HE$512,"="&amp;SUBSTITUTE(SUBSTITUTE(SUBSTITUTE('Calculations'!ID418,"~","~~"),"*","~*"),"?","~?"))&gt;1,"!AMBIG",IFERROR(INDEX('Calculations'!$HF$13:$HF$512,MATCH('Calculations'!ID418,'Calculations'!$HE$13:$HE$512,0)),""))))</x:f>
      </x:c>
      <x:c r="IF418" t="str">
        <x:f>IF('Calculations'!IE418="","",IF('Calculations'!IE418="!AMBIG","!AMBIG",IF(COUNTIF('Calculations'!$HE$13:$HE$512,"="&amp;SUBSTITUTE(SUBSTITUTE(SUBSTITUTE('Calculations'!IE418,"~","~~"),"*","~*"),"?","~?"))&gt;1,"!AMBIG",IFERROR(INDEX('Calculations'!$HF$13:$HF$512,MATCH('Calculations'!IE418,'Calculations'!$HE$13:$HE$512,0)),""))))</x:f>
      </x:c>
      <x:c r="IG418" t="str">
        <x:f>IF('Calculations'!IF418="","",IF('Calculations'!IF418="!AMBIG","!AMBIG",IF(COUNTIF('Calculations'!$HE$13:$HE$512,"="&amp;SUBSTITUTE(SUBSTITUTE(SUBSTITUTE('Calculations'!IF418,"~","~~"),"*","~*"),"?","~?"))&gt;1,"!AMBIG",IFERROR(INDEX('Calculations'!$HF$13:$HF$512,MATCH('Calculations'!IF418,'Calculations'!$HE$13:$HE$512,0)),""))))</x:f>
      </x:c>
      <x:c r="IH418" t="str">
        <x:f>IF('Calculations'!IG418="","",IF('Calculations'!IG418="!AMBIG","!AMBIG",IF(COUNTIF('Calculations'!$HE$13:$HE$512,"="&amp;SUBSTITUTE(SUBSTITUTE(SUBSTITUTE('Calculations'!IG418,"~","~~"),"*","~*"),"?","~?"))&gt;1,"!AMBIG",IFERROR(INDEX('Calculations'!$HF$13:$HF$512,MATCH('Calculations'!IG418,'Calculations'!$HE$13:$HE$512,0)),""))))</x:f>
      </x:c>
      <x:c r="II418" t="str">
        <x:f>IF('Calculations'!IH418="","",IF('Calculations'!IH418="!AMBIG","!AMBIG",IF(COUNTIF('Calculations'!$HE$13:$HE$512,"="&amp;SUBSTITUTE(SUBSTITUTE(SUBSTITUTE('Calculations'!IH418,"~","~~"),"*","~*"),"?","~?"))&gt;1,"!AMBIG",IFERROR(INDEX('Calculations'!$HF$13:$HF$512,MATCH('Calculations'!IH418,'Calculations'!$HE$13:$HE$512,0)),""))))</x:f>
      </x:c>
      <x:c r="IJ418" t="str">
        <x:f>IF('Calculations'!EM418="","",IF('Calculations'!$EF$2="All",'Calculations'!HM418,IF('Calculations'!HL418=1,"",IFERROR(IF(MATCH('Calculations'!$EF$2,'Calculations'!HO418:II418,0)=1,'Calculations'!HE418,INDEX('Calculations'!HO418:II418,1,MATCH('Calculations'!$EF$2,'Calculations'!HO418:II418,0)-1)),""))))</x:f>
      </x:c>
      <x:c r="IK418" t="n">
        <x:f>IF(AND('Calculations'!EM418&lt;&gt;"",'Calculations'!$EF$2&lt;&gt;"All",'Calculations'!HF418='Calculations'!$EF$2,'Calculations'!HL418=0,'Calculations'!JD418&gt;0),MAX('Calculations'!$IK$12:IK417)+1,0)</x:f>
        <x:v>0</x:v>
      </x:c>
      <x:c r="JA418" t="n">
        <x:f>IF(OR(IFERROR(INDIRECT("'WCM Calibration Final'!$A$418")&lt;&gt;"",FALSE),IFERROR(INDIRECT("'WCM Calibration Final'!$B$418")&lt;&gt;"",FALSE),IFERROR(INDIRECT("'WCM Calibration Final'!$C$418")&lt;&gt;"",FALSE)),418,0)</x:f>
        <x:v>0</x:v>
      </x:c>
      <x:c r="JB418" t="n">
        <x:f>'Calculations'!JB417+IF('Calculations'!JA418&gt;0,1,0)</x:f>
        <x:v>0</x:v>
      </x:c>
      <x:c r="JC418" t="n">
        <x:f>IF(OR('Calculations'!HF418="",'Calculations'!HF418="!AMBIG"),0,IF('Dashboard'!$B$7="All",1,COUNTIFS('Calculations'!$HO$13:$HO$512,"="&amp;SUBSTITUTE(SUBSTITUTE(SUBSTITUTE('Calculations'!HF418,"~","~~"),"*","~*"),"?","~?"),'Calculations'!$HN$13:$HN$512,"="&amp;SUBSTITUTE(SUBSTITUTE(SUBSTITUTE('Dashboard'!$B$7,"~","~~"),"*","~*"),"?","~?"))+COUNTIFS('Calculations'!$HP$13:$HP$512,"="&amp;SUBSTITUTE(SUBSTITUTE(SUBSTITUTE('Calculations'!HF418,"~","~~"),"*","~*"),"?","~?"),'Calculations'!$HN$13:$HN$512,"="&amp;SUBSTITUTE(SUBSTITUTE(SUBSTITUTE('Dashboard'!$B$7,"~","~~"),"*","~*"),"?","~?"))+COUNTIFS('Calculations'!$HQ$13:$HQ$512,"="&amp;SUBSTITUTE(SUBSTITUTE(SUBSTITUTE('Calculations'!HF418,"~","~~"),"*","~*"),"?","~?"),'Calculations'!$HN$13:$HN$512,"="&amp;SUBSTITUTE(SUBSTITUTE(SUBSTITUTE('Dashboard'!$B$7,"~","~~"),"*","~*"),"?","~?"))+COUNTIFS('Calculations'!$HR$13:$HR$512,"="&amp;SUBSTITUTE(SUBSTITUTE(SUBSTITUTE('Calculations'!HF418,"~","~~"),"*","~*"),"?","~?"),'Calculations'!$HN$13:$HN$512,"="&amp;SUBSTITUTE(SUBSTITUTE(SUBSTITUTE('Dashboard'!$B$7,"~","~~"),"*","~*"),"?","~?"))+COUNTIFS('Calculations'!$HS$13:$HS$512,"="&amp;SUBSTITUTE(SUBSTITUTE(SUBSTITUTE('Calculations'!HF418,"~","~~"),"*","~*"),"?","~?"),'Calculations'!$HN$13:$HN$512,"="&amp;SUBSTITUTE(SUBSTITUTE(SUBSTITUTE('Dashboard'!$B$7,"~","~~"),"*","~*"),"?","~?"))+COUNTIFS('Calculations'!$HT$13:$HT$512,"="&amp;SUBSTITUTE(SUBSTITUTE(SUBSTITUTE('Calculations'!HF418,"~","~~"),"*","~*"),"?","~?"),'Calculations'!$HN$13:$HN$512,"="&amp;SUBSTITUTE(SUBSTITUTE(SUBSTITUTE('Dashboard'!$B$7,"~","~~"),"*","~*"),"?","~?"))+COUNTIFS('Calculations'!$HU$13:$HU$512,"="&amp;SUBSTITUTE(SUBSTITUTE(SUBSTITUTE('Calculations'!HF418,"~","~~"),"*","~*"),"?","~?"),'Calculations'!$HN$13:$HN$512,"="&amp;SUBSTITUTE(SUBSTITUTE(SUBSTITUTE('Dashboard'!$B$7,"~","~~"),"*","~*"),"?","~?"))+COUNTIFS('Calculations'!$HV$13:$HV$512,"="&amp;SUBSTITUTE(SUBSTITUTE(SUBSTITUTE('Calculations'!HF418,"~","~~"),"*","~*"),"?","~?"),'Calculations'!$HN$13:$HN$512,"="&amp;SUBSTITUTE(SUBSTITUTE(SUBSTITUTE('Dashboard'!$B$7,"~","~~"),"*","~*"),"?","~?"))+COUNTIFS('Calculations'!$HW$13:$HW$512,"="&amp;SUBSTITUTE(SUBSTITUTE(SUBSTITUTE('Calculations'!HF418,"~","~~"),"*","~*"),"?","~?"),'Calculations'!$HN$13:$HN$512,"="&amp;SUBSTITUTE(SUBSTITUTE(SUBSTITUTE('Dashboard'!$B$7,"~","~~"),"*","~*"),"?","~?"))+COUNTIFS('Calculations'!$HX$13:$HX$512,"="&amp;SUBSTITUTE(SUBSTITUTE(SUBSTITUTE('Calculations'!HF418,"~","~~"),"*","~*"),"?","~?"),'Calculations'!$HN$13:$HN$512,"="&amp;SUBSTITUTE(SUBSTITUTE(SUBSTITUTE('Dashboard'!$B$7,"~","~~"),"*","~*"),"?","~?"))+COUNTIFS('Calculations'!$HY$13:$HY$512,"="&amp;SUBSTITUTE(SUBSTITUTE(SUBSTITUTE('Calculations'!HF418,"~","~~"),"*","~*"),"?","~?"),'Calculations'!$HN$13:$HN$512,"="&amp;SUBSTITUTE(SUBSTITUTE(SUBSTITUTE('Dashboard'!$B$7,"~","~~"),"*","~*"),"?","~?"))+COUNTIFS('Calculations'!$HZ$13:$HZ$512,"="&amp;SUBSTITUTE(SUBSTITUTE(SUBSTITUTE('Calculations'!HF418,"~","~~"),"*","~*"),"?","~?"),'Calculations'!$HN$13:$HN$512,"="&amp;SUBSTITUTE(SUBSTITUTE(SUBSTITUTE('Dashboard'!$B$7,"~","~~"),"*","~*"),"?","~?"))+COUNTIFS('Calculations'!$IA$13:$IA$512,"="&amp;SUBSTITUTE(SUBSTITUTE(SUBSTITUTE('Calculations'!HF418,"~","~~"),"*","~*"),"?","~?"),'Calculations'!$HN$13:$HN$512,"="&amp;SUBSTITUTE(SUBSTITUTE(SUBSTITUTE('Dashboard'!$B$7,"~","~~"),"*","~*"),"?","~?"))+COUNTIFS('Calculations'!$IB$13:$IB$512,"="&amp;SUBSTITUTE(SUBSTITUTE(SUBSTITUTE('Calculations'!HF418,"~","~~"),"*","~*"),"?","~?"),'Calculations'!$HN$13:$HN$512,"="&amp;SUBSTITUTE(SUBSTITUTE(SUBSTITUTE('Dashboard'!$B$7,"~","~~"),"*","~*"),"?","~?"))+COUNTIFS('Calculations'!$IC$13:$IC$512,"="&amp;SUBSTITUTE(SUBSTITUTE(SUBSTITUTE('Calculations'!HF418,"~","~~"),"*","~*"),"?","~?"),'Calculations'!$HN$13:$HN$512,"="&amp;SUBSTITUTE(SUBSTITUTE(SUBSTITUTE('Dashboard'!$B$7,"~","~~"),"*","~*"),"?","~?"))+COUNTIFS('Calculations'!$ID$13:$ID$512,"="&amp;SUBSTITUTE(SUBSTITUTE(SUBSTITUTE('Calculations'!HF418,"~","~~"),"*","~*"),"?","~?"),'Calculations'!$HN$13:$HN$512,"="&amp;SUBSTITUTE(SUBSTITUTE(SUBSTITUTE('Dashboard'!$B$7,"~","~~"),"*","~*"),"?","~?"))+COUNTIFS('Calculations'!$IE$13:$IE$512,"="&amp;SUBSTITUTE(SUBSTITUTE(SUBSTITUTE('Calculations'!HF418,"~","~~"),"*","~*"),"?","~?"),'Calculations'!$HN$13:$HN$512,"="&amp;SUBSTITUTE(SUBSTITUTE(SUBSTITUTE('Dashboard'!$B$7,"~","~~"),"*","~*"),"?","~?"))+COUNTIFS('Calculations'!$IF$13:$IF$512,"="&amp;SUBSTITUTE(SUBSTITUTE(SUBSTITUTE('Calculations'!HF418,"~","~~"),"*","~*"),"?","~?"),'Calculations'!$HN$13:$HN$512,"="&amp;SUBSTITUTE(SUBSTITUTE(SUBSTITUTE('Dashboard'!$B$7,"~","~~"),"*","~*"),"?","~?"))+COUNTIFS('Calculations'!$IG$13:$IG$512,"="&amp;SUBSTITUTE(SUBSTITUTE(SUBSTITUTE('Calculations'!HF418,"~","~~"),"*","~*"),"?","~?"),'Calculations'!$HN$13:$HN$512,"="&amp;SUBSTITUTE(SUBSTITUTE(SUBSTITUTE('Dashboard'!$B$7,"~","~~"),"*","~*"),"?","~?"))+COUNTIFS('Calculations'!$IH$13:$IH$512,"="&amp;SUBSTITUTE(SUBSTITUTE(SUBSTITUTE('Calculations'!HF418,"~","~~"),"*","~*"),"?","~?"),'Calculations'!$HN$13:$HN$512,"="&amp;SUBSTITUTE(SUBSTITUTE(SUBSTITUTE('Dashboard'!$B$7,"~","~~"),"*","~*"),"?","~?"))))</x:f>
        <x:v>0</x:v>
      </x:c>
      <x:c r="JD418" t="n">
        <x:f>IF('Calculations'!EM418="",0,IF('Dashboard'!$B$7="All",1,IF('Calculations'!HN418='Dashboard'!$B$7,1,0)+IFERROR(INDEX('Calculations'!$JC$13:$JC$512,MATCH('Calculations'!HE418,'Calculations'!$HF$13:$HF$512,0)),0)))</x:f>
        <x:v>0</x:v>
      </x:c>
      <x:c r="JE418" t="n">
        <x:f>IF(AND('Calculations'!EM418&lt;&gt;"",'Calculations'!$JJ$2&lt;&gt;"All",'Calculations'!$JJ$2&lt;&gt;"",'Calculations'!HF418='Calculations'!$JJ$2,'Calculations'!HL418=0,'Calculations'!JD418&gt;0),MAX('Calculations'!$JE$12:JE417)+1,0)</x:f>
        <x:v>0</x:v>
      </x:c>
      <x:c r="JF418" t="str">
        <x:f>IF('Calculations'!EM418="","",IFERROR(IF(INDEX(INDIRECT("'WCM Calibration Final'!$G$1:$G$2000"),'Calculations'!$EM418)="","",TRIM(INDEX(INDIRECT("'WCM Calibration Final'!$G$1:$G$2000"),'Calculations'!$EM418)&amp;"")),""))</x:f>
      </x:c>
      <x:c r="JQ418" t="n">
        <x:f>IF(OR('Calculations'!BM418=0,NOT('Calculations'!$AG$2),'Calculations'!$AG$8&gt;0),0,IF(OR('Dashboard'!$B$7="All",'Calculations'!HN418='Dashboard'!$B$7),IF('Calculations'!$JJ$2="All",1,IF(AND('Calculations'!HF418='Calculations'!$JJ$2,'Calculations'!HL418=0),1,0)),0))</x:f>
        <x:v>0</x:v>
      </x:c>
    </x:row>
    <x:row r="419">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t="n">
        <x:f>IF('Calculations'!$EM419="",0,IF(OR(IFERROR(INDEX(INDIRECT("'WCM Calibration Final'!$A$1:$A$2000"),'Calculations'!$EM419)&lt;&gt;"",FALSE),IFERROR(INDEX(INDIRECT("'WCM Calibration Final'!$B$1:$B$2000"),'Calculations'!$EM419)&lt;&gt;"",FALSE),IFERROR(INDEX(INDIRECT("'WCM Calibration Final'!$C$1:$C$2000"),'Calculations'!$EM419)&lt;&gt;"",FALSE)),1,0))</x:f>
        <x:v>0</x:v>
      </x:c>
      <x:c r="BN419" s="4" t="n">
        <x:f>IF(AND('Calculations'!BM419=1,'Calculations'!$AG$2,'Calculations'!$EN419=1),1,0)</x:f>
        <x:v>0</x:v>
      </x:c>
      <x:c r="BO419" s="4" t="str">
        <x:f>IF('Calculations'!BM419=0,"",IFERROR(IF(AND(VALUE(INDEX(INDIRECT("'WCM Calibration Final'!$K$1:$K$2000"),'Calculations'!$EM419))&gt;=1,VALUE(INDEX(INDIRECT("'WCM Calibration Final'!$K$1:$K$2000"),'Calculations'!$EM419))&lt;=4,MOD(VALUE(INDEX(INDIRECT("'WCM Calibration Final'!$K$1:$K$2000"),'Calculations'!$EM419)),1)=0),VALUE(INDEX(INDIRECT("'WCM Calibration Final'!$K$1:$K$2000"),'Calculations'!$EM419)),""),""))</x:f>
      </x:c>
      <x:c r="BP419" s="4" t="str">
        <x:f>IF('Calculations'!BM419=0,"",IFERROR(IF(AND(VALUE(INDEX(INDIRECT("'WCM Calibration Final'!$L$1:$L$2000"),'Calculations'!$EM419))&gt;=1,VALUE(INDEX(INDIRECT("'WCM Calibration Final'!$L$1:$L$2000"),'Calculations'!$EM419))&lt;=4,MOD(VALUE(INDEX(INDIRECT("'WCM Calibration Final'!$L$1:$L$2000"),'Calculations'!$EM419)),1)=0),VALUE(INDEX(INDIRECT("'WCM Calibration Final'!$L$1:$L$2000"),'Calculations'!$EM419)),""),""))</x:f>
      </x:c>
      <x:c r="BQ419" s="4"/>
      <x:c r="BR419" s="4"/>
      <x:c r="BS419" s="4"/>
      <x:c r="BT419" s="4" t="n">
        <x:f>IF(AND('Calculations'!BM419=1,ISNUMBER('Calculations'!BO419),ISNUMBER('Calculations'!BP419)),1,0)</x:f>
        <x:v>0</x:v>
      </x:c>
      <x:c r="BU419" s="4" t="str">
        <x:f>IF('Calculations'!BM419=0,"",'Calculations'!$EO419)</x:f>
      </x:c>
      <x:c r="BV419" s="4" t="str">
        <x:f>IF('Calculations'!BM419=0,"",IFERROR(IF(OR(INDEX(INDIRECT("'WCM Calibration Final'!$H$1:$H$2000"),'Calculations'!$EM419)="MANAGING DIRECTOR",INDEX(INDIRECT("'WCM Calibration Final'!$H$1:$H$2000"),'Calculations'!$EM419)="DIRECTOR",INDEX(INDIRECT("'WCM Calibration Final'!$H$1:$H$2000"),'Calculations'!$EM419)="SENIOR VICE PRESIDENT",INDEX(INDIRECT("'WCM Calibration Final'!$H$1:$H$2000"),'Calculations'!$EM419)="VICE PRESIDENT",INDEX(INDIRECT("'WCM Calibration Final'!$H$1:$H$2000"),'Calculations'!$EM419)="ASSISTANT VICE PRESIDENT",INDEX(INDIRECT("'WCM Calibration Final'!$H$1:$H$2000"),'Calculations'!$EM419)="OFFICER"),UPPER(INDEX(INDIRECT("'WCM Calibration Final'!$H$1:$H$2000"),'Calculations'!$EM419)),"Other"),"Other"))</x:f>
      </x:c>
      <x:c r="BW419" s="4"/>
      <x:c r="BX419" s="4"/>
      <x:c r="BY419" s="4" t="n">
        <x:f>IF(AND('Calculations'!BM419=1,'Calculations'!BU419&lt;&gt;"",COUNTIF('Calculations'!$BU$12:BU419,'Calculations'!BU419)=1),MAX('Calculations'!$BY$11:BY418)+1,0)</x:f>
        <x:v>0</x:v>
      </x:c>
      <x:c r="BZ419" s="4" t="str">
        <x:f>IF('Dashboard'!$E$67="What",'Calculations'!BO419,'Calculations'!BP419)</x:f>
      </x:c>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t="str">
        <x:f>IF(408&gt;MAX('Calculations'!$HI$13:$HI$512),"",INDEX('Calculations'!$HN$13:$HN$512,MATCH(408,'Calculations'!$HI$13:$HI$512,0)))</x:f>
      </x:c>
      <x:c r="DB419" s="4" t="str">
        <x:f>IF(408&gt;MAX('Calculations'!$HH$13:$HH$512),"",INDEX('Calculations'!$HJ$13:$HJ$512,MATCH(408,'Calculations'!$HH$13:$HH$512,0)))</x:f>
      </x:c>
      <x:c r="DC419" s="4" t="str">
        <x:f>IF(ROW()-11&gt;MAX('Calculations'!$BY$13:$BY$512),"",INDEX('Calculations'!$BU$13:$BU$512,MATCH(ROW()-11,'Calculations'!$BY$13:$BY$512,0)))</x:f>
      </x:c>
      <x:c r="DD419" s="4" t="str">
        <x:f>IF(408&gt;MAX('Calculations'!$IK$13:$IK$512),"",INDEX('Calculations'!$HK$13:$HK$512,MATCH(408,'Calculations'!$IK$13:$IK$512,0)))</x:f>
      </x:c>
      <x:c r="DE419" s="4" t="str">
        <x:f>'Calculations'!DC419</x:f>
      </x:c>
      <x:c r="DF419" s="4" t="str">
        <x:f>IF('Calculations'!DE419="","",COUNTIFS('Calculations'!$BN$13:$BN$512,1,'Calculations'!$BU$13:$BU$512,'Calculations'!DE419))</x:f>
      </x:c>
      <x:c r="DG419" s="4" t="str">
        <x:f>IF('Calculations'!DE419="","",COUNTIFS('Calculations'!$BN$13:$BN$512,1,'Calculations'!$BU$13:$BU$512,'Calculations'!DE419,'Calculations'!$BT$13:$BT$512,1))</x:f>
      </x:c>
      <x:c r="DH419" s="4" t="str">
        <x:f>IF('Calculations'!DE419="","",'Calculations'!DF419-'Calculations'!DG419)</x:f>
      </x:c>
      <x:c r="DI419" s="4" t="str">
        <x:f>IF(OR('Calculations'!DE419="",'Calculations'!DF419=0),"",'Calculations'!DG419/'Calculations'!DF419)</x:f>
      </x:c>
      <x:c r="DJ419" s="4" t="str">
        <x:f>IF('Calculations'!DE419="","",COUNTIFS('Calculations'!$BN$13:$BN$512,1,'Calculations'!$BU$13:$BU$512,'Calculations'!DE419,'Calculations'!$BT$13:$BT$512,1,'Calculations'!$EE$13:$EE$512,"High"))</x:f>
      </x:c>
      <x:c r="DK419" s="4" t="str">
        <x:f>IF('Calculations'!DE419="","",COUNTIFS('Calculations'!$BN$13:$BN$512,1,'Calculations'!$BU$13:$BU$512,'Calculations'!DE419,'Calculations'!$BT$13:$BT$512,1,'Calculations'!$EE$13:$EE$512,"Strong"))</x:f>
      </x:c>
      <x:c r="DL419" s="4" t="str">
        <x:f>IF('Calculations'!DE419="","",COUNTIFS('Calculations'!$BN$13:$BN$512,1,'Calculations'!$BU$13:$BU$512,'Calculations'!DE419,'Calculations'!$BT$13:$BT$512,1,'Calculations'!$EE$13:$EE$512,"Solid"))</x:f>
      </x:c>
      <x:c r="DM419" s="4" t="str">
        <x:f>IF('Calculations'!DE419="","",COUNTIFS('Calculations'!$BN$13:$BN$512,1,'Calculations'!$BU$13:$BU$512,'Calculations'!DE419,'Calculations'!$BT$13:$BT$512,1,'Calculations'!$EE$13:$EE$512,"Low"))</x:f>
      </x:c>
      <x:c r="DN419" s="4" t="str">
        <x:f>IF('Calculations'!DE419="","",COUNTIFS('Calculations'!$BN$13:$BN$512,1,'Calculations'!$BU$13:$BU$512,'Calculations'!DE419,'Calculations'!$EP$13:$EP$512,1))</x:f>
      </x:c>
      <x:c r="DO419" s="4" t="str">
        <x:f>IF(OR('Calculations'!DE419="",'Calculations'!DG419=0),"",('Calculations'!DJ419+'Calculations'!DK419)/'Calculations'!DG419)</x:f>
      </x:c>
      <x:c r="DP419" s="4" t="n">
        <x:f>IF(AND('Calculations'!DE419&lt;&gt;"",'Calculations'!DF419&gt;0),COUNTIF('Calculations'!$DF$12:DF419,"&gt;0"),0)</x:f>
        <x:v>0</x:v>
      </x:c>
      <x:c r="DQ419" s="4" t="str">
        <x:f>IF(408&gt;MAX('Calculations'!$HH$13:$HH$512),"",INDEX('Calculations'!$HF$13:$HF$512,MATCH(408,'Calculations'!$HH$13:$HH$512,0)))</x:f>
      </x:c>
      <x:c r="DR419" s="4" t="str">
        <x:f>IF(408&gt;MAX('Calculations'!$IK$13:$IK$512),"",INDEX('Calculations'!$HE$13:$HE$512,MATCH(408,'Calculations'!$IK$13:$IK$512,0)))</x:f>
      </x:c>
      <x:c r="DS419" s="4"/>
      <x:c r="DT419" s="4"/>
      <x:c r="DU419" s="4"/>
      <x:c r="DV419" s="4"/>
      <x:c r="DW419" s="4"/>
      <x:c r="DX419" s="4"/>
      <x:c r="DY419" s="4"/>
      <x:c r="DZ419" s="4"/>
      <x:c r="EA419" s="4"/>
      <x:c r="EB419" s="4"/>
      <x:c r="EC419" s="4"/>
      <x:c r="ED419" s="4"/>
      <x:c r="EE419" s="4" t="str">
        <x:f>IF('Calculations'!BT419=0,"Not Rated",IF(OR('Calculations'!BO419&gt;=4,'Calculations'!BP419&gt;=4),"Low",IF('Calculations'!BO419+'Calculations'!BP419&lt;=3,"High",IF('Calculations'!BO419+'Calculations'!BP419&lt;=4,"Strong","Solid"))))</x:f>
        <x:v>Not Rated</x:v>
      </x:c>
      <x:c r="EF419" s="4"/>
      <x:c r="EG419" s="4"/>
      <x:c r="EH419" s="4"/>
      <x:c r="EI419" s="4"/>
      <x:c r="EJ419" s="4"/>
      <x:c r="EK419" s="4"/>
      <x:c r="EL419" s="4"/>
      <x:c r="EM419" s="4" t="str">
        <x:f>IF(407&gt;'Calculations'!$JB$2000,"",INDEX('Calculations'!$JA$12:$JA$2000,MATCH(407,'Calculations'!$JB$12:$JB$2000,0)))</x:f>
      </x:c>
      <x:c r="EN419" s="4" t="n">
        <x:f>IF(OR('Calculations'!EM419="",'Calculations'!$AG$8&gt;0,AND('Calculations'!$EF$2&lt;&gt;"All",'Calculations'!HE419='Calculations'!$EF$2),AND('Calculations'!$EF$3&lt;&gt;"All",'Calculations'!HE419='Calculations'!$EF$3)),0,IF(OR('Dashboard'!$B$7="All",'Calculations'!HN419='Dashboard'!$B$7),IF('Calculations'!$EF$2="All",1,IF('Calculations'!HL419&gt;0,0,IF(COUNTIF('Calculations'!HO419:II419,"="&amp;SUBSTITUTE(SUBSTITUTE(SUBSTITUTE('Calculations'!$EF$2,"~","~~"),"*","~*"),"?","~?"))=0,0,IF('Calculations'!$EF$3="All",1,IF(COUNTIF('Calculations'!HO419:II419,"="&amp;SUBSTITUTE(SUBSTITUTE(SUBSTITUTE('Calculations'!$EF$3,"~","~~"),"*","~*"),"?","~?"))&gt;0,1,0))))),0))</x:f>
        <x:v>0</x:v>
      </x:c>
      <x:c r="EO419" s="4" t="str">
        <x:f>IF('Calculations'!IJ419="","",IF('Calculations'!IJ419="!UNRESOLVED","Unresolved hierarchy",IFERROR(INDEX('Calculations'!$HK$13:$HK$512,MATCH('Calculations'!IJ419,'Calculations'!$HE$13:$HE$512,0)),IFERROR(INDEX('Calculations'!$HJ$13:$HJ$512,MATCH('Calculations'!IJ419,'Calculations'!$HF$13:$HF$512,0)),'Calculations'!IJ419))))</x:f>
      </x:c>
      <x:c r="EP419" s="4" t="n">
        <x:f>IF(AND('Calculations'!EM419&lt;&gt;"",'Calculations'!HF419='Calculations'!IJ419),1,0)</x:f>
        <x:v>0</x:v>
      </x:c>
      <x:c r="EQ419" s="4"/>
      <x:c r="ER419" s="4"/>
      <x:c r="ES419" s="4"/>
      <x:c r="ET419" s="4"/>
      <x:c r="EU419" s="4"/>
      <x:c r="EV419" s="4"/>
      <x:c r="EW419" s="4"/>
      <x:c r="EX419" s="4"/>
      <x:c r="EY419" s="4"/>
      <x:c r="EZ419" s="4"/>
      <x:c r="FA419" s="4"/>
      <x:c r="FB419" s="4"/>
      <x:c r="FC419" s="4"/>
      <x:c r="FD419" s="4"/>
      <x:c r="FE419" s="4"/>
      <x:c r="FF419" s="4"/>
      <x:c r="FG419" s="4"/>
      <x:c r="FH419" s="4"/>
      <x:c r="FI419" s="4"/>
      <x:c r="FJ419" s="4"/>
      <x:c r="FK419" s="4"/>
      <x:c r="FL419" s="4"/>
      <x:c r="FM419" s="4"/>
      <x:c r="FN419" s="4"/>
      <x:c r="FO419" s="4"/>
      <x:c r="HE419" t="str">
        <x:f>IF('Calculations'!EM419="","",IF(IFERROR(IF(INDEX(INDIRECT("'WCM Calibration Final'!$A$1:$A$2000"),'Calculations'!$EM419)="","",TRIM(INDEX(INDIRECT("'WCM Calibration Final'!$A$1:$A$2000"),'Calculations'!$EM419)&amp;"")),"")&lt;&gt;"","G:"&amp;IFERROR(TEXT(1*INDEX(INDIRECT("'WCM Calibration Final'!$A$1:$A$2000"),'Calculations'!$EM419),"0"),UPPER(IFERROR(IF(INDEX(INDIRECT("'WCM Calibration Final'!$A$1:$A$2000"),'Calculations'!$EM419)="","",TRIM(INDEX(INDIRECT("'WCM Calibration Final'!$A$1:$A$2000"),'Calculations'!$EM419)&amp;"")),""))),IF(IFERROR(IF(INDEX(INDIRECT("'WCM Calibration Final'!$C$1:$C$2000"),'Calculations'!$EM419)="","",TRIM(INDEX(INDIRECT("'WCM Calibration Final'!$C$1:$C$2000"),'Calculations'!$EM419)&amp;"")),"")&lt;&gt;"","S:"&amp;UPPER(IFERROR(IF(INDEX(INDIRECT("'WCM Calibration Final'!$C$1:$C$2000"),'Calculations'!$EM419)="","",TRIM(INDEX(INDIRECT("'WCM Calibration Final'!$C$1:$C$2000"),'Calculations'!$EM419)&amp;"")),"")),"R:"&amp;'Calculations'!EM419)))</x:f>
      </x:c>
      <x:c r="HF419" t="str">
        <x:f>IF('Calculations'!EM419="","",IF(IFERROR(IF(INDEX(INDIRECT("'WCM Calibration Final'!$D$1:$D$2000"),'Calculations'!$EM419)="","",TRIM(INDEX(INDIRECT("'WCM Calibration Final'!$D$1:$D$2000"),'Calculations'!$EM419)&amp;"")),"")&lt;&gt;"","G:"&amp;IFERROR(TEXT(1*INDEX(INDIRECT("'WCM Calibration Final'!$D$1:$D$2000"),'Calculations'!$EM419),"0"),UPPER(IFERROR(IF(INDEX(INDIRECT("'WCM Calibration Final'!$D$1:$D$2000"),'Calculations'!$EM419)="","",TRIM(INDEX(INDIRECT("'WCM Calibration Final'!$D$1:$D$2000"),'Calculations'!$EM419)&amp;"")),""))),IF(IFERROR(IF(INDEX(INDIRECT("'WCM Calibration Final'!$E$1:$E$2000"),'Calculations'!$EM419)="","",TRIM(INDEX(INDIRECT("'WCM Calibration Final'!$E$1:$E$2000"),'Calculations'!$EM419)&amp;"")),"")="","",IF(COUNTIF('Calculations'!$HG$13:$HG$512,"="&amp;SUBSTITUTE(SUBSTITUTE(SUBSTITUTE(IFERROR(IF(INDEX(INDIRECT("'WCM Calibration Final'!$E$1:$E$2000"),'Calculations'!$EM419)="","",TRIM(INDEX(INDIRECT("'WCM Calibration Final'!$E$1:$E$2000"),'Calculations'!$EM419)&amp;"")),""),"~","~~"),"*","~*"),"?","~?"))=1,INDEX('Calculations'!$HE$13:$HE$512,MATCH(IFERROR(IF(INDEX(INDIRECT("'WCM Calibration Final'!$E$1:$E$2000"),'Calculations'!$EM419)="","",TRIM(INDEX(INDIRECT("'WCM Calibration Final'!$E$1:$E$2000"),'Calculations'!$EM419)&amp;"")),""),'Calculations'!$HG$13:$HG$512,0)),IF(COUNTIF('Calculations'!$HG$13:$HG$512,"="&amp;SUBSTITUTE(SUBSTITUTE(SUBSTITUTE(IFERROR(IF(INDEX(INDIRECT("'WCM Calibration Final'!$E$1:$E$2000"),'Calculations'!$EM419)="","",TRIM(INDEX(INDIRECT("'WCM Calibration Final'!$E$1:$E$2000"),'Calculations'!$EM419)&amp;"")),""),"~","~~"),"*","~*"),"?","~?"))&gt;1,"!AMBIG","X:"&amp;IFERROR(IF(INDEX(INDIRECT("'WCM Calibration Final'!$E$1:$E$2000"),'Calculations'!$EM419)="","",TRIM(INDEX(INDIRECT("'WCM Calibration Final'!$E$1:$E$2000"),'Calculations'!$EM419)&amp;"")),""))))))</x:f>
      </x:c>
      <x:c r="HG419" t="str">
        <x:f>IF('Calculations'!EM419="","",IFERROR(IF(INDEX(INDIRECT("'WCM Calibration Final'!$B$1:$B$2000"),'Calculations'!$EM419)="","",TRIM(INDEX(INDIRECT("'WCM Calibration Final'!$B$1:$B$2000"),'Calculations'!$EM419)&amp;"")),""))</x:f>
      </x:c>
      <x:c r="HH419" t="n">
        <x:f>IF(AND('Calculations'!JC419&gt;0,COUNTIF('Calculations'!$HF$12:HF419,"="&amp;SUBSTITUTE(SUBSTITUTE(SUBSTITUTE('Calculations'!HF419,"~","~~"),"*","~*"),"?","~?"))=1),MAX('Calculations'!$HH$12:HH418)+1,0)</x:f>
        <x:v>0</x:v>
      </x:c>
      <x:c r="HI419" t="n">
        <x:f>IF(AND('Calculations'!HN419&lt;&gt;"",COUNTIF('Calculations'!$HN$12:HN419,"="&amp;SUBSTITUTE(SUBSTITUTE(SUBSTITUTE('Calculations'!HN419,"~","~~"),"*","~*"),"?","~?"))=1),MAX('Calculations'!$HI$12:HI418)+1,0)</x:f>
        <x:v>0</x:v>
      </x:c>
      <x:c r="HJ419" t="str">
        <x:f>IF('Calculations'!HF419="","",IF(COUNTIF('Calculations'!$HE$13:$HE$512,"="&amp;SUBSTITUTE(SUBSTITUTE(SUBSTITUTE('Calculations'!HF419,"~","~~"),"*","~*"),"?","~?"))=1,INDEX('Calculations'!$HK$13:$HK$512,MATCH('Calculations'!HF419,'Calculations'!$HE$13:$HE$512,0)),IFERROR(IF(INDEX(INDIRECT("'WCM Calibration Final'!$E$1:$E$2000"),'Calculations'!$EM419)="","",TRIM(INDEX(INDIRECT("'WCM Calibration Final'!$E$1:$E$2000"),'Calculations'!$EM419)&amp;"")),"")&amp;" ["&amp;'Calculations'!HF419&amp;"]"))</x:f>
      </x:c>
      <x:c r="HK419" t="str">
        <x:f>IF('Calculations'!EM419="","",'Calculations'!HG419&amp;" ["&amp;'Calculations'!HE419&amp;"]")</x:f>
      </x:c>
      <x:c r="HL419" t="n">
        <x:f>IF('Calculations'!EM419="",0,IF(OR('Calculations'!II419&lt;&gt;"",COUNTIF('Calculations'!$HE$13:$HE$512,"="&amp;SUBSTITUTE(SUBSTITUTE(SUBSTITUTE('Calculations'!HE419,"~","~~"),"*","~*"),"?","~?"))&gt;1),1,0))</x:f>
        <x:v>0</x:v>
      </x:c>
      <x:c r="HM419" t="str">
        <x:f>IF('Calculations'!EM419="","",IF('Calculations'!HL419=1,"!UNRESOLVED",IF('Calculations'!IH419&lt;&gt;"",'Calculations'!IH419,IF('Calculations'!IG419&lt;&gt;"",'Calculations'!IG419,IF('Calculations'!IF419&lt;&gt;"",'Calculations'!IF419,IF('Calculations'!IE419&lt;&gt;"",'Calculations'!IE419,IF('Calculations'!ID419&lt;&gt;"",'Calculations'!ID419,IF('Calculations'!IC419&lt;&gt;"",'Calculations'!IC419,IF('Calculations'!IB419&lt;&gt;"",'Calculations'!IB419,IF('Calculations'!IA419&lt;&gt;"",'Calculations'!IA419,IF('Calculations'!HZ419&lt;&gt;"",'Calculations'!HZ419,IF('Calculations'!HY419&lt;&gt;"",'Calculations'!HY419,IF('Calculations'!HX419&lt;&gt;"",'Calculations'!HX419,IF('Calculations'!HW419&lt;&gt;"",'Calculations'!HW419,IF('Calculations'!HV419&lt;&gt;"",'Calculations'!HV419,IF('Calculations'!HU419&lt;&gt;"",'Calculations'!HU419,IF('Calculations'!HT419&lt;&gt;"",'Calculations'!HT419,IF('Calculations'!HS419&lt;&gt;"",'Calculations'!HS419,IF('Calculations'!HR419&lt;&gt;"",'Calculations'!HR419,IF('Calculations'!HQ419&lt;&gt;"",'Calculations'!HQ419,IF('Calculations'!HP419&lt;&gt;"",'Calculations'!HP419,IF('Calculations'!HO419&lt;&gt;"",'Calculations'!HO419,'Calculations'!HE419))))))))))))))))))))))</x:f>
      </x:c>
      <x:c r="HN419" t="str">
        <x:f>IF('Calculations'!EM419="","",IF(IFERROR(IF(INDEX(INDIRECT("'WCM Calibration Final'!$F$1:$F$2000"),'Calculations'!$EM419)="","",TRIM(INDEX(INDIRECT("'WCM Calibration Final'!$F$1:$F$2000"),'Calculations'!$EM419)&amp;"")),"")="","(Blank)",IFERROR(IF(INDEX(INDIRECT("'WCM Calibration Final'!$F$1:$F$2000"),'Calculations'!$EM419)="","",TRIM(INDEX(INDIRECT("'WCM Calibration Final'!$F$1:$F$2000"),'Calculations'!$EM419)&amp;"")),"")))</x:f>
      </x:c>
      <x:c r="HO419" t="str">
        <x:f>'Calculations'!HF419</x:f>
      </x:c>
      <x:c r="HP419" t="str">
        <x:f>IF('Calculations'!HO419="","",IF('Calculations'!HO419="!AMBIG","!AMBIG",IF(COUNTIF('Calculations'!$HE$13:$HE$512,"="&amp;SUBSTITUTE(SUBSTITUTE(SUBSTITUTE('Calculations'!HO419,"~","~~"),"*","~*"),"?","~?"))&gt;1,"!AMBIG",IFERROR(INDEX('Calculations'!$HF$13:$HF$512,MATCH('Calculations'!HO419,'Calculations'!$HE$13:$HE$512,0)),""))))</x:f>
      </x:c>
      <x:c r="HQ419" t="str">
        <x:f>IF('Calculations'!HP419="","",IF('Calculations'!HP419="!AMBIG","!AMBIG",IF(COUNTIF('Calculations'!$HE$13:$HE$512,"="&amp;SUBSTITUTE(SUBSTITUTE(SUBSTITUTE('Calculations'!HP419,"~","~~"),"*","~*"),"?","~?"))&gt;1,"!AMBIG",IFERROR(INDEX('Calculations'!$HF$13:$HF$512,MATCH('Calculations'!HP419,'Calculations'!$HE$13:$HE$512,0)),""))))</x:f>
      </x:c>
      <x:c r="HR419" t="str">
        <x:f>IF('Calculations'!HQ419="","",IF('Calculations'!HQ419="!AMBIG","!AMBIG",IF(COUNTIF('Calculations'!$HE$13:$HE$512,"="&amp;SUBSTITUTE(SUBSTITUTE(SUBSTITUTE('Calculations'!HQ419,"~","~~"),"*","~*"),"?","~?"))&gt;1,"!AMBIG",IFERROR(INDEX('Calculations'!$HF$13:$HF$512,MATCH('Calculations'!HQ419,'Calculations'!$HE$13:$HE$512,0)),""))))</x:f>
      </x:c>
      <x:c r="HS419" t="str">
        <x:f>IF('Calculations'!HR419="","",IF('Calculations'!HR419="!AMBIG","!AMBIG",IF(COUNTIF('Calculations'!$HE$13:$HE$512,"="&amp;SUBSTITUTE(SUBSTITUTE(SUBSTITUTE('Calculations'!HR419,"~","~~"),"*","~*"),"?","~?"))&gt;1,"!AMBIG",IFERROR(INDEX('Calculations'!$HF$13:$HF$512,MATCH('Calculations'!HR419,'Calculations'!$HE$13:$HE$512,0)),""))))</x:f>
      </x:c>
      <x:c r="HT419" t="str">
        <x:f>IF('Calculations'!HS419="","",IF('Calculations'!HS419="!AMBIG","!AMBIG",IF(COUNTIF('Calculations'!$HE$13:$HE$512,"="&amp;SUBSTITUTE(SUBSTITUTE(SUBSTITUTE('Calculations'!HS419,"~","~~"),"*","~*"),"?","~?"))&gt;1,"!AMBIG",IFERROR(INDEX('Calculations'!$HF$13:$HF$512,MATCH('Calculations'!HS419,'Calculations'!$HE$13:$HE$512,0)),""))))</x:f>
      </x:c>
      <x:c r="HU419" t="str">
        <x:f>IF('Calculations'!HT419="","",IF('Calculations'!HT419="!AMBIG","!AMBIG",IF(COUNTIF('Calculations'!$HE$13:$HE$512,"="&amp;SUBSTITUTE(SUBSTITUTE(SUBSTITUTE('Calculations'!HT419,"~","~~"),"*","~*"),"?","~?"))&gt;1,"!AMBIG",IFERROR(INDEX('Calculations'!$HF$13:$HF$512,MATCH('Calculations'!HT419,'Calculations'!$HE$13:$HE$512,0)),""))))</x:f>
      </x:c>
      <x:c r="HV419" t="str">
        <x:f>IF('Calculations'!HU419="","",IF('Calculations'!HU419="!AMBIG","!AMBIG",IF(COUNTIF('Calculations'!$HE$13:$HE$512,"="&amp;SUBSTITUTE(SUBSTITUTE(SUBSTITUTE('Calculations'!HU419,"~","~~"),"*","~*"),"?","~?"))&gt;1,"!AMBIG",IFERROR(INDEX('Calculations'!$HF$13:$HF$512,MATCH('Calculations'!HU419,'Calculations'!$HE$13:$HE$512,0)),""))))</x:f>
      </x:c>
      <x:c r="HW419" t="str">
        <x:f>IF('Calculations'!HV419="","",IF('Calculations'!HV419="!AMBIG","!AMBIG",IF(COUNTIF('Calculations'!$HE$13:$HE$512,"="&amp;SUBSTITUTE(SUBSTITUTE(SUBSTITUTE('Calculations'!HV419,"~","~~"),"*","~*"),"?","~?"))&gt;1,"!AMBIG",IFERROR(INDEX('Calculations'!$HF$13:$HF$512,MATCH('Calculations'!HV419,'Calculations'!$HE$13:$HE$512,0)),""))))</x:f>
      </x:c>
      <x:c r="HX419" t="str">
        <x:f>IF('Calculations'!HW419="","",IF('Calculations'!HW419="!AMBIG","!AMBIG",IF(COUNTIF('Calculations'!$HE$13:$HE$512,"="&amp;SUBSTITUTE(SUBSTITUTE(SUBSTITUTE('Calculations'!HW419,"~","~~"),"*","~*"),"?","~?"))&gt;1,"!AMBIG",IFERROR(INDEX('Calculations'!$HF$13:$HF$512,MATCH('Calculations'!HW419,'Calculations'!$HE$13:$HE$512,0)),""))))</x:f>
      </x:c>
      <x:c r="HY419" t="str">
        <x:f>IF('Calculations'!HX419="","",IF('Calculations'!HX419="!AMBIG","!AMBIG",IF(COUNTIF('Calculations'!$HE$13:$HE$512,"="&amp;SUBSTITUTE(SUBSTITUTE(SUBSTITUTE('Calculations'!HX419,"~","~~"),"*","~*"),"?","~?"))&gt;1,"!AMBIG",IFERROR(INDEX('Calculations'!$HF$13:$HF$512,MATCH('Calculations'!HX419,'Calculations'!$HE$13:$HE$512,0)),""))))</x:f>
      </x:c>
      <x:c r="HZ419" t="str">
        <x:f>IF('Calculations'!HY419="","",IF('Calculations'!HY419="!AMBIG","!AMBIG",IF(COUNTIF('Calculations'!$HE$13:$HE$512,"="&amp;SUBSTITUTE(SUBSTITUTE(SUBSTITUTE('Calculations'!HY419,"~","~~"),"*","~*"),"?","~?"))&gt;1,"!AMBIG",IFERROR(INDEX('Calculations'!$HF$13:$HF$512,MATCH('Calculations'!HY419,'Calculations'!$HE$13:$HE$512,0)),""))))</x:f>
      </x:c>
      <x:c r="IA419" t="str">
        <x:f>IF('Calculations'!HZ419="","",IF('Calculations'!HZ419="!AMBIG","!AMBIG",IF(COUNTIF('Calculations'!$HE$13:$HE$512,"="&amp;SUBSTITUTE(SUBSTITUTE(SUBSTITUTE('Calculations'!HZ419,"~","~~"),"*","~*"),"?","~?"))&gt;1,"!AMBIG",IFERROR(INDEX('Calculations'!$HF$13:$HF$512,MATCH('Calculations'!HZ419,'Calculations'!$HE$13:$HE$512,0)),""))))</x:f>
      </x:c>
      <x:c r="IB419" t="str">
        <x:f>IF('Calculations'!IA419="","",IF('Calculations'!IA419="!AMBIG","!AMBIG",IF(COUNTIF('Calculations'!$HE$13:$HE$512,"="&amp;SUBSTITUTE(SUBSTITUTE(SUBSTITUTE('Calculations'!IA419,"~","~~"),"*","~*"),"?","~?"))&gt;1,"!AMBIG",IFERROR(INDEX('Calculations'!$HF$13:$HF$512,MATCH('Calculations'!IA419,'Calculations'!$HE$13:$HE$512,0)),""))))</x:f>
      </x:c>
      <x:c r="IC419" t="str">
        <x:f>IF('Calculations'!IB419="","",IF('Calculations'!IB419="!AMBIG","!AMBIG",IF(COUNTIF('Calculations'!$HE$13:$HE$512,"="&amp;SUBSTITUTE(SUBSTITUTE(SUBSTITUTE('Calculations'!IB419,"~","~~"),"*","~*"),"?","~?"))&gt;1,"!AMBIG",IFERROR(INDEX('Calculations'!$HF$13:$HF$512,MATCH('Calculations'!IB419,'Calculations'!$HE$13:$HE$512,0)),""))))</x:f>
      </x:c>
      <x:c r="ID419" t="str">
        <x:f>IF('Calculations'!IC419="","",IF('Calculations'!IC419="!AMBIG","!AMBIG",IF(COUNTIF('Calculations'!$HE$13:$HE$512,"="&amp;SUBSTITUTE(SUBSTITUTE(SUBSTITUTE('Calculations'!IC419,"~","~~"),"*","~*"),"?","~?"))&gt;1,"!AMBIG",IFERROR(INDEX('Calculations'!$HF$13:$HF$512,MATCH('Calculations'!IC419,'Calculations'!$HE$13:$HE$512,0)),""))))</x:f>
      </x:c>
      <x:c r="IE419" t="str">
        <x:f>IF('Calculations'!ID419="","",IF('Calculations'!ID419="!AMBIG","!AMBIG",IF(COUNTIF('Calculations'!$HE$13:$HE$512,"="&amp;SUBSTITUTE(SUBSTITUTE(SUBSTITUTE('Calculations'!ID419,"~","~~"),"*","~*"),"?","~?"))&gt;1,"!AMBIG",IFERROR(INDEX('Calculations'!$HF$13:$HF$512,MATCH('Calculations'!ID419,'Calculations'!$HE$13:$HE$512,0)),""))))</x:f>
      </x:c>
      <x:c r="IF419" t="str">
        <x:f>IF('Calculations'!IE419="","",IF('Calculations'!IE419="!AMBIG","!AMBIG",IF(COUNTIF('Calculations'!$HE$13:$HE$512,"="&amp;SUBSTITUTE(SUBSTITUTE(SUBSTITUTE('Calculations'!IE419,"~","~~"),"*","~*"),"?","~?"))&gt;1,"!AMBIG",IFERROR(INDEX('Calculations'!$HF$13:$HF$512,MATCH('Calculations'!IE419,'Calculations'!$HE$13:$HE$512,0)),""))))</x:f>
      </x:c>
      <x:c r="IG419" t="str">
        <x:f>IF('Calculations'!IF419="","",IF('Calculations'!IF419="!AMBIG","!AMBIG",IF(COUNTIF('Calculations'!$HE$13:$HE$512,"="&amp;SUBSTITUTE(SUBSTITUTE(SUBSTITUTE('Calculations'!IF419,"~","~~"),"*","~*"),"?","~?"))&gt;1,"!AMBIG",IFERROR(INDEX('Calculations'!$HF$13:$HF$512,MATCH('Calculations'!IF419,'Calculations'!$HE$13:$HE$512,0)),""))))</x:f>
      </x:c>
      <x:c r="IH419" t="str">
        <x:f>IF('Calculations'!IG419="","",IF('Calculations'!IG419="!AMBIG","!AMBIG",IF(COUNTIF('Calculations'!$HE$13:$HE$512,"="&amp;SUBSTITUTE(SUBSTITUTE(SUBSTITUTE('Calculations'!IG419,"~","~~"),"*","~*"),"?","~?"))&gt;1,"!AMBIG",IFERROR(INDEX('Calculations'!$HF$13:$HF$512,MATCH('Calculations'!IG419,'Calculations'!$HE$13:$HE$512,0)),""))))</x:f>
      </x:c>
      <x:c r="II419" t="str">
        <x:f>IF('Calculations'!IH419="","",IF('Calculations'!IH419="!AMBIG","!AMBIG",IF(COUNTIF('Calculations'!$HE$13:$HE$512,"="&amp;SUBSTITUTE(SUBSTITUTE(SUBSTITUTE('Calculations'!IH419,"~","~~"),"*","~*"),"?","~?"))&gt;1,"!AMBIG",IFERROR(INDEX('Calculations'!$HF$13:$HF$512,MATCH('Calculations'!IH419,'Calculations'!$HE$13:$HE$512,0)),""))))</x:f>
      </x:c>
      <x:c r="IJ419" t="str">
        <x:f>IF('Calculations'!EM419="","",IF('Calculations'!$EF$2="All",'Calculations'!HM419,IF('Calculations'!HL419=1,"",IFERROR(IF(MATCH('Calculations'!$EF$2,'Calculations'!HO419:II419,0)=1,'Calculations'!HE419,INDEX('Calculations'!HO419:II419,1,MATCH('Calculations'!$EF$2,'Calculations'!HO419:II419,0)-1)),""))))</x:f>
      </x:c>
      <x:c r="IK419" t="n">
        <x:f>IF(AND('Calculations'!EM419&lt;&gt;"",'Calculations'!$EF$2&lt;&gt;"All",'Calculations'!HF419='Calculations'!$EF$2,'Calculations'!HL419=0,'Calculations'!JD419&gt;0),MAX('Calculations'!$IK$12:IK418)+1,0)</x:f>
        <x:v>0</x:v>
      </x:c>
      <x:c r="JA419" t="n">
        <x:f>IF(OR(IFERROR(INDIRECT("'WCM Calibration Final'!$A$419")&lt;&gt;"",FALSE),IFERROR(INDIRECT("'WCM Calibration Final'!$B$419")&lt;&gt;"",FALSE),IFERROR(INDIRECT("'WCM Calibration Final'!$C$419")&lt;&gt;"",FALSE)),419,0)</x:f>
        <x:v>0</x:v>
      </x:c>
      <x:c r="JB419" t="n">
        <x:f>'Calculations'!JB418+IF('Calculations'!JA419&gt;0,1,0)</x:f>
        <x:v>0</x:v>
      </x:c>
      <x:c r="JC419" t="n">
        <x:f>IF(OR('Calculations'!HF419="",'Calculations'!HF419="!AMBIG"),0,IF('Dashboard'!$B$7="All",1,COUNTIFS('Calculations'!$HO$13:$HO$512,"="&amp;SUBSTITUTE(SUBSTITUTE(SUBSTITUTE('Calculations'!HF419,"~","~~"),"*","~*"),"?","~?"),'Calculations'!$HN$13:$HN$512,"="&amp;SUBSTITUTE(SUBSTITUTE(SUBSTITUTE('Dashboard'!$B$7,"~","~~"),"*","~*"),"?","~?"))+COUNTIFS('Calculations'!$HP$13:$HP$512,"="&amp;SUBSTITUTE(SUBSTITUTE(SUBSTITUTE('Calculations'!HF419,"~","~~"),"*","~*"),"?","~?"),'Calculations'!$HN$13:$HN$512,"="&amp;SUBSTITUTE(SUBSTITUTE(SUBSTITUTE('Dashboard'!$B$7,"~","~~"),"*","~*"),"?","~?"))+COUNTIFS('Calculations'!$HQ$13:$HQ$512,"="&amp;SUBSTITUTE(SUBSTITUTE(SUBSTITUTE('Calculations'!HF419,"~","~~"),"*","~*"),"?","~?"),'Calculations'!$HN$13:$HN$512,"="&amp;SUBSTITUTE(SUBSTITUTE(SUBSTITUTE('Dashboard'!$B$7,"~","~~"),"*","~*"),"?","~?"))+COUNTIFS('Calculations'!$HR$13:$HR$512,"="&amp;SUBSTITUTE(SUBSTITUTE(SUBSTITUTE('Calculations'!HF419,"~","~~"),"*","~*"),"?","~?"),'Calculations'!$HN$13:$HN$512,"="&amp;SUBSTITUTE(SUBSTITUTE(SUBSTITUTE('Dashboard'!$B$7,"~","~~"),"*","~*"),"?","~?"))+COUNTIFS('Calculations'!$HS$13:$HS$512,"="&amp;SUBSTITUTE(SUBSTITUTE(SUBSTITUTE('Calculations'!HF419,"~","~~"),"*","~*"),"?","~?"),'Calculations'!$HN$13:$HN$512,"="&amp;SUBSTITUTE(SUBSTITUTE(SUBSTITUTE('Dashboard'!$B$7,"~","~~"),"*","~*"),"?","~?"))+COUNTIFS('Calculations'!$HT$13:$HT$512,"="&amp;SUBSTITUTE(SUBSTITUTE(SUBSTITUTE('Calculations'!HF419,"~","~~"),"*","~*"),"?","~?"),'Calculations'!$HN$13:$HN$512,"="&amp;SUBSTITUTE(SUBSTITUTE(SUBSTITUTE('Dashboard'!$B$7,"~","~~"),"*","~*"),"?","~?"))+COUNTIFS('Calculations'!$HU$13:$HU$512,"="&amp;SUBSTITUTE(SUBSTITUTE(SUBSTITUTE('Calculations'!HF419,"~","~~"),"*","~*"),"?","~?"),'Calculations'!$HN$13:$HN$512,"="&amp;SUBSTITUTE(SUBSTITUTE(SUBSTITUTE('Dashboard'!$B$7,"~","~~"),"*","~*"),"?","~?"))+COUNTIFS('Calculations'!$HV$13:$HV$512,"="&amp;SUBSTITUTE(SUBSTITUTE(SUBSTITUTE('Calculations'!HF419,"~","~~"),"*","~*"),"?","~?"),'Calculations'!$HN$13:$HN$512,"="&amp;SUBSTITUTE(SUBSTITUTE(SUBSTITUTE('Dashboard'!$B$7,"~","~~"),"*","~*"),"?","~?"))+COUNTIFS('Calculations'!$HW$13:$HW$512,"="&amp;SUBSTITUTE(SUBSTITUTE(SUBSTITUTE('Calculations'!HF419,"~","~~"),"*","~*"),"?","~?"),'Calculations'!$HN$13:$HN$512,"="&amp;SUBSTITUTE(SUBSTITUTE(SUBSTITUTE('Dashboard'!$B$7,"~","~~"),"*","~*"),"?","~?"))+COUNTIFS('Calculations'!$HX$13:$HX$512,"="&amp;SUBSTITUTE(SUBSTITUTE(SUBSTITUTE('Calculations'!HF419,"~","~~"),"*","~*"),"?","~?"),'Calculations'!$HN$13:$HN$512,"="&amp;SUBSTITUTE(SUBSTITUTE(SUBSTITUTE('Dashboard'!$B$7,"~","~~"),"*","~*"),"?","~?"))+COUNTIFS('Calculations'!$HY$13:$HY$512,"="&amp;SUBSTITUTE(SUBSTITUTE(SUBSTITUTE('Calculations'!HF419,"~","~~"),"*","~*"),"?","~?"),'Calculations'!$HN$13:$HN$512,"="&amp;SUBSTITUTE(SUBSTITUTE(SUBSTITUTE('Dashboard'!$B$7,"~","~~"),"*","~*"),"?","~?"))+COUNTIFS('Calculations'!$HZ$13:$HZ$512,"="&amp;SUBSTITUTE(SUBSTITUTE(SUBSTITUTE('Calculations'!HF419,"~","~~"),"*","~*"),"?","~?"),'Calculations'!$HN$13:$HN$512,"="&amp;SUBSTITUTE(SUBSTITUTE(SUBSTITUTE('Dashboard'!$B$7,"~","~~"),"*","~*"),"?","~?"))+COUNTIFS('Calculations'!$IA$13:$IA$512,"="&amp;SUBSTITUTE(SUBSTITUTE(SUBSTITUTE('Calculations'!HF419,"~","~~"),"*","~*"),"?","~?"),'Calculations'!$HN$13:$HN$512,"="&amp;SUBSTITUTE(SUBSTITUTE(SUBSTITUTE('Dashboard'!$B$7,"~","~~"),"*","~*"),"?","~?"))+COUNTIFS('Calculations'!$IB$13:$IB$512,"="&amp;SUBSTITUTE(SUBSTITUTE(SUBSTITUTE('Calculations'!HF419,"~","~~"),"*","~*"),"?","~?"),'Calculations'!$HN$13:$HN$512,"="&amp;SUBSTITUTE(SUBSTITUTE(SUBSTITUTE('Dashboard'!$B$7,"~","~~"),"*","~*"),"?","~?"))+COUNTIFS('Calculations'!$IC$13:$IC$512,"="&amp;SUBSTITUTE(SUBSTITUTE(SUBSTITUTE('Calculations'!HF419,"~","~~"),"*","~*"),"?","~?"),'Calculations'!$HN$13:$HN$512,"="&amp;SUBSTITUTE(SUBSTITUTE(SUBSTITUTE('Dashboard'!$B$7,"~","~~"),"*","~*"),"?","~?"))+COUNTIFS('Calculations'!$ID$13:$ID$512,"="&amp;SUBSTITUTE(SUBSTITUTE(SUBSTITUTE('Calculations'!HF419,"~","~~"),"*","~*"),"?","~?"),'Calculations'!$HN$13:$HN$512,"="&amp;SUBSTITUTE(SUBSTITUTE(SUBSTITUTE('Dashboard'!$B$7,"~","~~"),"*","~*"),"?","~?"))+COUNTIFS('Calculations'!$IE$13:$IE$512,"="&amp;SUBSTITUTE(SUBSTITUTE(SUBSTITUTE('Calculations'!HF419,"~","~~"),"*","~*"),"?","~?"),'Calculations'!$HN$13:$HN$512,"="&amp;SUBSTITUTE(SUBSTITUTE(SUBSTITUTE('Dashboard'!$B$7,"~","~~"),"*","~*"),"?","~?"))+COUNTIFS('Calculations'!$IF$13:$IF$512,"="&amp;SUBSTITUTE(SUBSTITUTE(SUBSTITUTE('Calculations'!HF419,"~","~~"),"*","~*"),"?","~?"),'Calculations'!$HN$13:$HN$512,"="&amp;SUBSTITUTE(SUBSTITUTE(SUBSTITUTE('Dashboard'!$B$7,"~","~~"),"*","~*"),"?","~?"))+COUNTIFS('Calculations'!$IG$13:$IG$512,"="&amp;SUBSTITUTE(SUBSTITUTE(SUBSTITUTE('Calculations'!HF419,"~","~~"),"*","~*"),"?","~?"),'Calculations'!$HN$13:$HN$512,"="&amp;SUBSTITUTE(SUBSTITUTE(SUBSTITUTE('Dashboard'!$B$7,"~","~~"),"*","~*"),"?","~?"))+COUNTIFS('Calculations'!$IH$13:$IH$512,"="&amp;SUBSTITUTE(SUBSTITUTE(SUBSTITUTE('Calculations'!HF419,"~","~~"),"*","~*"),"?","~?"),'Calculations'!$HN$13:$HN$512,"="&amp;SUBSTITUTE(SUBSTITUTE(SUBSTITUTE('Dashboard'!$B$7,"~","~~"),"*","~*"),"?","~?"))))</x:f>
        <x:v>0</x:v>
      </x:c>
      <x:c r="JD419" t="n">
        <x:f>IF('Calculations'!EM419="",0,IF('Dashboard'!$B$7="All",1,IF('Calculations'!HN419='Dashboard'!$B$7,1,0)+IFERROR(INDEX('Calculations'!$JC$13:$JC$512,MATCH('Calculations'!HE419,'Calculations'!$HF$13:$HF$512,0)),0)))</x:f>
        <x:v>0</x:v>
      </x:c>
      <x:c r="JE419" t="n">
        <x:f>IF(AND('Calculations'!EM419&lt;&gt;"",'Calculations'!$JJ$2&lt;&gt;"All",'Calculations'!$JJ$2&lt;&gt;"",'Calculations'!HF419='Calculations'!$JJ$2,'Calculations'!HL419=0,'Calculations'!JD419&gt;0),MAX('Calculations'!$JE$12:JE418)+1,0)</x:f>
        <x:v>0</x:v>
      </x:c>
      <x:c r="JF419" t="str">
        <x:f>IF('Calculations'!EM419="","",IFERROR(IF(INDEX(INDIRECT("'WCM Calibration Final'!$G$1:$G$2000"),'Calculations'!$EM419)="","",TRIM(INDEX(INDIRECT("'WCM Calibration Final'!$G$1:$G$2000"),'Calculations'!$EM419)&amp;"")),""))</x:f>
      </x:c>
      <x:c r="JQ419" t="n">
        <x:f>IF(OR('Calculations'!BM419=0,NOT('Calculations'!$AG$2),'Calculations'!$AG$8&gt;0),0,IF(OR('Dashboard'!$B$7="All",'Calculations'!HN419='Dashboard'!$B$7),IF('Calculations'!$JJ$2="All",1,IF(AND('Calculations'!HF419='Calculations'!$JJ$2,'Calculations'!HL419=0),1,0)),0))</x:f>
        <x:v>0</x:v>
      </x:c>
    </x:row>
    <x:row r="420">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t="n">
        <x:f>IF('Calculations'!$EM420="",0,IF(OR(IFERROR(INDEX(INDIRECT("'WCM Calibration Final'!$A$1:$A$2000"),'Calculations'!$EM420)&lt;&gt;"",FALSE),IFERROR(INDEX(INDIRECT("'WCM Calibration Final'!$B$1:$B$2000"),'Calculations'!$EM420)&lt;&gt;"",FALSE),IFERROR(INDEX(INDIRECT("'WCM Calibration Final'!$C$1:$C$2000"),'Calculations'!$EM420)&lt;&gt;"",FALSE)),1,0))</x:f>
        <x:v>0</x:v>
      </x:c>
      <x:c r="BN420" s="4" t="n">
        <x:f>IF(AND('Calculations'!BM420=1,'Calculations'!$AG$2,'Calculations'!$EN420=1),1,0)</x:f>
        <x:v>0</x:v>
      </x:c>
      <x:c r="BO420" s="4" t="str">
        <x:f>IF('Calculations'!BM420=0,"",IFERROR(IF(AND(VALUE(INDEX(INDIRECT("'WCM Calibration Final'!$K$1:$K$2000"),'Calculations'!$EM420))&gt;=1,VALUE(INDEX(INDIRECT("'WCM Calibration Final'!$K$1:$K$2000"),'Calculations'!$EM420))&lt;=4,MOD(VALUE(INDEX(INDIRECT("'WCM Calibration Final'!$K$1:$K$2000"),'Calculations'!$EM420)),1)=0),VALUE(INDEX(INDIRECT("'WCM Calibration Final'!$K$1:$K$2000"),'Calculations'!$EM420)),""),""))</x:f>
      </x:c>
      <x:c r="BP420" s="4" t="str">
        <x:f>IF('Calculations'!BM420=0,"",IFERROR(IF(AND(VALUE(INDEX(INDIRECT("'WCM Calibration Final'!$L$1:$L$2000"),'Calculations'!$EM420))&gt;=1,VALUE(INDEX(INDIRECT("'WCM Calibration Final'!$L$1:$L$2000"),'Calculations'!$EM420))&lt;=4,MOD(VALUE(INDEX(INDIRECT("'WCM Calibration Final'!$L$1:$L$2000"),'Calculations'!$EM420)),1)=0),VALUE(INDEX(INDIRECT("'WCM Calibration Final'!$L$1:$L$2000"),'Calculations'!$EM420)),""),""))</x:f>
      </x:c>
      <x:c r="BQ420" s="4"/>
      <x:c r="BR420" s="4"/>
      <x:c r="BS420" s="4"/>
      <x:c r="BT420" s="4" t="n">
        <x:f>IF(AND('Calculations'!BM420=1,ISNUMBER('Calculations'!BO420),ISNUMBER('Calculations'!BP420)),1,0)</x:f>
        <x:v>0</x:v>
      </x:c>
      <x:c r="BU420" s="4" t="str">
        <x:f>IF('Calculations'!BM420=0,"",'Calculations'!$EO420)</x:f>
      </x:c>
      <x:c r="BV420" s="4" t="str">
        <x:f>IF('Calculations'!BM420=0,"",IFERROR(IF(OR(INDEX(INDIRECT("'WCM Calibration Final'!$H$1:$H$2000"),'Calculations'!$EM420)="MANAGING DIRECTOR",INDEX(INDIRECT("'WCM Calibration Final'!$H$1:$H$2000"),'Calculations'!$EM420)="DIRECTOR",INDEX(INDIRECT("'WCM Calibration Final'!$H$1:$H$2000"),'Calculations'!$EM420)="SENIOR VICE PRESIDENT",INDEX(INDIRECT("'WCM Calibration Final'!$H$1:$H$2000"),'Calculations'!$EM420)="VICE PRESIDENT",INDEX(INDIRECT("'WCM Calibration Final'!$H$1:$H$2000"),'Calculations'!$EM420)="ASSISTANT VICE PRESIDENT",INDEX(INDIRECT("'WCM Calibration Final'!$H$1:$H$2000"),'Calculations'!$EM420)="OFFICER"),UPPER(INDEX(INDIRECT("'WCM Calibration Final'!$H$1:$H$2000"),'Calculations'!$EM420)),"Other"),"Other"))</x:f>
      </x:c>
      <x:c r="BW420" s="4"/>
      <x:c r="BX420" s="4"/>
      <x:c r="BY420" s="4" t="n">
        <x:f>IF(AND('Calculations'!BM420=1,'Calculations'!BU420&lt;&gt;"",COUNTIF('Calculations'!$BU$12:BU420,'Calculations'!BU420)=1),MAX('Calculations'!$BY$11:BY419)+1,0)</x:f>
        <x:v>0</x:v>
      </x:c>
      <x:c r="BZ420" s="4" t="str">
        <x:f>IF('Dashboard'!$E$67="What",'Calculations'!BO420,'Calculations'!BP420)</x:f>
      </x:c>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t="str">
        <x:f>IF(409&gt;MAX('Calculations'!$HI$13:$HI$512),"",INDEX('Calculations'!$HN$13:$HN$512,MATCH(409,'Calculations'!$HI$13:$HI$512,0)))</x:f>
      </x:c>
      <x:c r="DB420" s="4" t="str">
        <x:f>IF(409&gt;MAX('Calculations'!$HH$13:$HH$512),"",INDEX('Calculations'!$HJ$13:$HJ$512,MATCH(409,'Calculations'!$HH$13:$HH$512,0)))</x:f>
      </x:c>
      <x:c r="DC420" s="4" t="str">
        <x:f>IF(ROW()-11&gt;MAX('Calculations'!$BY$13:$BY$512),"",INDEX('Calculations'!$BU$13:$BU$512,MATCH(ROW()-11,'Calculations'!$BY$13:$BY$512,0)))</x:f>
      </x:c>
      <x:c r="DD420" s="4" t="str">
        <x:f>IF(409&gt;MAX('Calculations'!$IK$13:$IK$512),"",INDEX('Calculations'!$HK$13:$HK$512,MATCH(409,'Calculations'!$IK$13:$IK$512,0)))</x:f>
      </x:c>
      <x:c r="DE420" s="4" t="str">
        <x:f>'Calculations'!DC420</x:f>
      </x:c>
      <x:c r="DF420" s="4" t="str">
        <x:f>IF('Calculations'!DE420="","",COUNTIFS('Calculations'!$BN$13:$BN$512,1,'Calculations'!$BU$13:$BU$512,'Calculations'!DE420))</x:f>
      </x:c>
      <x:c r="DG420" s="4" t="str">
        <x:f>IF('Calculations'!DE420="","",COUNTIFS('Calculations'!$BN$13:$BN$512,1,'Calculations'!$BU$13:$BU$512,'Calculations'!DE420,'Calculations'!$BT$13:$BT$512,1))</x:f>
      </x:c>
      <x:c r="DH420" s="4" t="str">
        <x:f>IF('Calculations'!DE420="","",'Calculations'!DF420-'Calculations'!DG420)</x:f>
      </x:c>
      <x:c r="DI420" s="4" t="str">
        <x:f>IF(OR('Calculations'!DE420="",'Calculations'!DF420=0),"",'Calculations'!DG420/'Calculations'!DF420)</x:f>
      </x:c>
      <x:c r="DJ420" s="4" t="str">
        <x:f>IF('Calculations'!DE420="","",COUNTIFS('Calculations'!$BN$13:$BN$512,1,'Calculations'!$BU$13:$BU$512,'Calculations'!DE420,'Calculations'!$BT$13:$BT$512,1,'Calculations'!$EE$13:$EE$512,"High"))</x:f>
      </x:c>
      <x:c r="DK420" s="4" t="str">
        <x:f>IF('Calculations'!DE420="","",COUNTIFS('Calculations'!$BN$13:$BN$512,1,'Calculations'!$BU$13:$BU$512,'Calculations'!DE420,'Calculations'!$BT$13:$BT$512,1,'Calculations'!$EE$13:$EE$512,"Strong"))</x:f>
      </x:c>
      <x:c r="DL420" s="4" t="str">
        <x:f>IF('Calculations'!DE420="","",COUNTIFS('Calculations'!$BN$13:$BN$512,1,'Calculations'!$BU$13:$BU$512,'Calculations'!DE420,'Calculations'!$BT$13:$BT$512,1,'Calculations'!$EE$13:$EE$512,"Solid"))</x:f>
      </x:c>
      <x:c r="DM420" s="4" t="str">
        <x:f>IF('Calculations'!DE420="","",COUNTIFS('Calculations'!$BN$13:$BN$512,1,'Calculations'!$BU$13:$BU$512,'Calculations'!DE420,'Calculations'!$BT$13:$BT$512,1,'Calculations'!$EE$13:$EE$512,"Low"))</x:f>
      </x:c>
      <x:c r="DN420" s="4" t="str">
        <x:f>IF('Calculations'!DE420="","",COUNTIFS('Calculations'!$BN$13:$BN$512,1,'Calculations'!$BU$13:$BU$512,'Calculations'!DE420,'Calculations'!$EP$13:$EP$512,1))</x:f>
      </x:c>
      <x:c r="DO420" s="4" t="str">
        <x:f>IF(OR('Calculations'!DE420="",'Calculations'!DG420=0),"",('Calculations'!DJ420+'Calculations'!DK420)/'Calculations'!DG420)</x:f>
      </x:c>
      <x:c r="DP420" s="4" t="n">
        <x:f>IF(AND('Calculations'!DE420&lt;&gt;"",'Calculations'!DF420&gt;0),COUNTIF('Calculations'!$DF$12:DF420,"&gt;0"),0)</x:f>
        <x:v>0</x:v>
      </x:c>
      <x:c r="DQ420" s="4" t="str">
        <x:f>IF(409&gt;MAX('Calculations'!$HH$13:$HH$512),"",INDEX('Calculations'!$HF$13:$HF$512,MATCH(409,'Calculations'!$HH$13:$HH$512,0)))</x:f>
      </x:c>
      <x:c r="DR420" s="4" t="str">
        <x:f>IF(409&gt;MAX('Calculations'!$IK$13:$IK$512),"",INDEX('Calculations'!$HE$13:$HE$512,MATCH(409,'Calculations'!$IK$13:$IK$512,0)))</x:f>
      </x:c>
      <x:c r="DS420" s="4"/>
      <x:c r="DT420" s="4"/>
      <x:c r="DU420" s="4"/>
      <x:c r="DV420" s="4"/>
      <x:c r="DW420" s="4"/>
      <x:c r="DX420" s="4"/>
      <x:c r="DY420" s="4"/>
      <x:c r="DZ420" s="4"/>
      <x:c r="EA420" s="4"/>
      <x:c r="EB420" s="4"/>
      <x:c r="EC420" s="4"/>
      <x:c r="ED420" s="4"/>
      <x:c r="EE420" s="4" t="str">
        <x:f>IF('Calculations'!BT420=0,"Not Rated",IF(OR('Calculations'!BO420&gt;=4,'Calculations'!BP420&gt;=4),"Low",IF('Calculations'!BO420+'Calculations'!BP420&lt;=3,"High",IF('Calculations'!BO420+'Calculations'!BP420&lt;=4,"Strong","Solid"))))</x:f>
        <x:v>Not Rated</x:v>
      </x:c>
      <x:c r="EF420" s="4"/>
      <x:c r="EG420" s="4"/>
      <x:c r="EH420" s="4"/>
      <x:c r="EI420" s="4"/>
      <x:c r="EJ420" s="4"/>
      <x:c r="EK420" s="4"/>
      <x:c r="EL420" s="4"/>
      <x:c r="EM420" s="4" t="str">
        <x:f>IF(408&gt;'Calculations'!$JB$2000,"",INDEX('Calculations'!$JA$12:$JA$2000,MATCH(408,'Calculations'!$JB$12:$JB$2000,0)))</x:f>
      </x:c>
      <x:c r="EN420" s="4" t="n">
        <x:f>IF(OR('Calculations'!EM420="",'Calculations'!$AG$8&gt;0,AND('Calculations'!$EF$2&lt;&gt;"All",'Calculations'!HE420='Calculations'!$EF$2),AND('Calculations'!$EF$3&lt;&gt;"All",'Calculations'!HE420='Calculations'!$EF$3)),0,IF(OR('Dashboard'!$B$7="All",'Calculations'!HN420='Dashboard'!$B$7),IF('Calculations'!$EF$2="All",1,IF('Calculations'!HL420&gt;0,0,IF(COUNTIF('Calculations'!HO420:II420,"="&amp;SUBSTITUTE(SUBSTITUTE(SUBSTITUTE('Calculations'!$EF$2,"~","~~"),"*","~*"),"?","~?"))=0,0,IF('Calculations'!$EF$3="All",1,IF(COUNTIF('Calculations'!HO420:II420,"="&amp;SUBSTITUTE(SUBSTITUTE(SUBSTITUTE('Calculations'!$EF$3,"~","~~"),"*","~*"),"?","~?"))&gt;0,1,0))))),0))</x:f>
        <x:v>0</x:v>
      </x:c>
      <x:c r="EO420" s="4" t="str">
        <x:f>IF('Calculations'!IJ420="","",IF('Calculations'!IJ420="!UNRESOLVED","Unresolved hierarchy",IFERROR(INDEX('Calculations'!$HK$13:$HK$512,MATCH('Calculations'!IJ420,'Calculations'!$HE$13:$HE$512,0)),IFERROR(INDEX('Calculations'!$HJ$13:$HJ$512,MATCH('Calculations'!IJ420,'Calculations'!$HF$13:$HF$512,0)),'Calculations'!IJ420))))</x:f>
      </x:c>
      <x:c r="EP420" s="4" t="n">
        <x:f>IF(AND('Calculations'!EM420&lt;&gt;"",'Calculations'!HF420='Calculations'!IJ420),1,0)</x:f>
        <x:v>0</x:v>
      </x:c>
      <x:c r="EQ420" s="4"/>
      <x:c r="ER420" s="4"/>
      <x:c r="ES420" s="4"/>
      <x:c r="ET420" s="4"/>
      <x:c r="EU420" s="4"/>
      <x:c r="EV420" s="4"/>
      <x:c r="EW420" s="4"/>
      <x:c r="EX420" s="4"/>
      <x:c r="EY420" s="4"/>
      <x:c r="EZ420" s="4"/>
      <x:c r="FA420" s="4"/>
      <x:c r="FB420" s="4"/>
      <x:c r="FC420" s="4"/>
      <x:c r="FD420" s="4"/>
      <x:c r="FE420" s="4"/>
      <x:c r="FF420" s="4"/>
      <x:c r="FG420" s="4"/>
      <x:c r="FH420" s="4"/>
      <x:c r="FI420" s="4"/>
      <x:c r="FJ420" s="4"/>
      <x:c r="FK420" s="4"/>
      <x:c r="FL420" s="4"/>
      <x:c r="FM420" s="4"/>
      <x:c r="FN420" s="4"/>
      <x:c r="FO420" s="4"/>
      <x:c r="HE420" t="str">
        <x:f>IF('Calculations'!EM420="","",IF(IFERROR(IF(INDEX(INDIRECT("'WCM Calibration Final'!$A$1:$A$2000"),'Calculations'!$EM420)="","",TRIM(INDEX(INDIRECT("'WCM Calibration Final'!$A$1:$A$2000"),'Calculations'!$EM420)&amp;"")),"")&lt;&gt;"","G:"&amp;IFERROR(TEXT(1*INDEX(INDIRECT("'WCM Calibration Final'!$A$1:$A$2000"),'Calculations'!$EM420),"0"),UPPER(IFERROR(IF(INDEX(INDIRECT("'WCM Calibration Final'!$A$1:$A$2000"),'Calculations'!$EM420)="","",TRIM(INDEX(INDIRECT("'WCM Calibration Final'!$A$1:$A$2000"),'Calculations'!$EM420)&amp;"")),""))),IF(IFERROR(IF(INDEX(INDIRECT("'WCM Calibration Final'!$C$1:$C$2000"),'Calculations'!$EM420)="","",TRIM(INDEX(INDIRECT("'WCM Calibration Final'!$C$1:$C$2000"),'Calculations'!$EM420)&amp;"")),"")&lt;&gt;"","S:"&amp;UPPER(IFERROR(IF(INDEX(INDIRECT("'WCM Calibration Final'!$C$1:$C$2000"),'Calculations'!$EM420)="","",TRIM(INDEX(INDIRECT("'WCM Calibration Final'!$C$1:$C$2000"),'Calculations'!$EM420)&amp;"")),"")),"R:"&amp;'Calculations'!EM420)))</x:f>
      </x:c>
      <x:c r="HF420" t="str">
        <x:f>IF('Calculations'!EM420="","",IF(IFERROR(IF(INDEX(INDIRECT("'WCM Calibration Final'!$D$1:$D$2000"),'Calculations'!$EM420)="","",TRIM(INDEX(INDIRECT("'WCM Calibration Final'!$D$1:$D$2000"),'Calculations'!$EM420)&amp;"")),"")&lt;&gt;"","G:"&amp;IFERROR(TEXT(1*INDEX(INDIRECT("'WCM Calibration Final'!$D$1:$D$2000"),'Calculations'!$EM420),"0"),UPPER(IFERROR(IF(INDEX(INDIRECT("'WCM Calibration Final'!$D$1:$D$2000"),'Calculations'!$EM420)="","",TRIM(INDEX(INDIRECT("'WCM Calibration Final'!$D$1:$D$2000"),'Calculations'!$EM420)&amp;"")),""))),IF(IFERROR(IF(INDEX(INDIRECT("'WCM Calibration Final'!$E$1:$E$2000"),'Calculations'!$EM420)="","",TRIM(INDEX(INDIRECT("'WCM Calibration Final'!$E$1:$E$2000"),'Calculations'!$EM420)&amp;"")),"")="","",IF(COUNTIF('Calculations'!$HG$13:$HG$512,"="&amp;SUBSTITUTE(SUBSTITUTE(SUBSTITUTE(IFERROR(IF(INDEX(INDIRECT("'WCM Calibration Final'!$E$1:$E$2000"),'Calculations'!$EM420)="","",TRIM(INDEX(INDIRECT("'WCM Calibration Final'!$E$1:$E$2000"),'Calculations'!$EM420)&amp;"")),""),"~","~~"),"*","~*"),"?","~?"))=1,INDEX('Calculations'!$HE$13:$HE$512,MATCH(IFERROR(IF(INDEX(INDIRECT("'WCM Calibration Final'!$E$1:$E$2000"),'Calculations'!$EM420)="","",TRIM(INDEX(INDIRECT("'WCM Calibration Final'!$E$1:$E$2000"),'Calculations'!$EM420)&amp;"")),""),'Calculations'!$HG$13:$HG$512,0)),IF(COUNTIF('Calculations'!$HG$13:$HG$512,"="&amp;SUBSTITUTE(SUBSTITUTE(SUBSTITUTE(IFERROR(IF(INDEX(INDIRECT("'WCM Calibration Final'!$E$1:$E$2000"),'Calculations'!$EM420)="","",TRIM(INDEX(INDIRECT("'WCM Calibration Final'!$E$1:$E$2000"),'Calculations'!$EM420)&amp;"")),""),"~","~~"),"*","~*"),"?","~?"))&gt;1,"!AMBIG","X:"&amp;IFERROR(IF(INDEX(INDIRECT("'WCM Calibration Final'!$E$1:$E$2000"),'Calculations'!$EM420)="","",TRIM(INDEX(INDIRECT("'WCM Calibration Final'!$E$1:$E$2000"),'Calculations'!$EM420)&amp;"")),""))))))</x:f>
      </x:c>
      <x:c r="HG420" t="str">
        <x:f>IF('Calculations'!EM420="","",IFERROR(IF(INDEX(INDIRECT("'WCM Calibration Final'!$B$1:$B$2000"),'Calculations'!$EM420)="","",TRIM(INDEX(INDIRECT("'WCM Calibration Final'!$B$1:$B$2000"),'Calculations'!$EM420)&amp;"")),""))</x:f>
      </x:c>
      <x:c r="HH420" t="n">
        <x:f>IF(AND('Calculations'!JC420&gt;0,COUNTIF('Calculations'!$HF$12:HF420,"="&amp;SUBSTITUTE(SUBSTITUTE(SUBSTITUTE('Calculations'!HF420,"~","~~"),"*","~*"),"?","~?"))=1),MAX('Calculations'!$HH$12:HH419)+1,0)</x:f>
        <x:v>0</x:v>
      </x:c>
      <x:c r="HI420" t="n">
        <x:f>IF(AND('Calculations'!HN420&lt;&gt;"",COUNTIF('Calculations'!$HN$12:HN420,"="&amp;SUBSTITUTE(SUBSTITUTE(SUBSTITUTE('Calculations'!HN420,"~","~~"),"*","~*"),"?","~?"))=1),MAX('Calculations'!$HI$12:HI419)+1,0)</x:f>
        <x:v>0</x:v>
      </x:c>
      <x:c r="HJ420" t="str">
        <x:f>IF('Calculations'!HF420="","",IF(COUNTIF('Calculations'!$HE$13:$HE$512,"="&amp;SUBSTITUTE(SUBSTITUTE(SUBSTITUTE('Calculations'!HF420,"~","~~"),"*","~*"),"?","~?"))=1,INDEX('Calculations'!$HK$13:$HK$512,MATCH('Calculations'!HF420,'Calculations'!$HE$13:$HE$512,0)),IFERROR(IF(INDEX(INDIRECT("'WCM Calibration Final'!$E$1:$E$2000"),'Calculations'!$EM420)="","",TRIM(INDEX(INDIRECT("'WCM Calibration Final'!$E$1:$E$2000"),'Calculations'!$EM420)&amp;"")),"")&amp;" ["&amp;'Calculations'!HF420&amp;"]"))</x:f>
      </x:c>
      <x:c r="HK420" t="str">
        <x:f>IF('Calculations'!EM420="","",'Calculations'!HG420&amp;" ["&amp;'Calculations'!HE420&amp;"]")</x:f>
      </x:c>
      <x:c r="HL420" t="n">
        <x:f>IF('Calculations'!EM420="",0,IF(OR('Calculations'!II420&lt;&gt;"",COUNTIF('Calculations'!$HE$13:$HE$512,"="&amp;SUBSTITUTE(SUBSTITUTE(SUBSTITUTE('Calculations'!HE420,"~","~~"),"*","~*"),"?","~?"))&gt;1),1,0))</x:f>
        <x:v>0</x:v>
      </x:c>
      <x:c r="HM420" t="str">
        <x:f>IF('Calculations'!EM420="","",IF('Calculations'!HL420=1,"!UNRESOLVED",IF('Calculations'!IH420&lt;&gt;"",'Calculations'!IH420,IF('Calculations'!IG420&lt;&gt;"",'Calculations'!IG420,IF('Calculations'!IF420&lt;&gt;"",'Calculations'!IF420,IF('Calculations'!IE420&lt;&gt;"",'Calculations'!IE420,IF('Calculations'!ID420&lt;&gt;"",'Calculations'!ID420,IF('Calculations'!IC420&lt;&gt;"",'Calculations'!IC420,IF('Calculations'!IB420&lt;&gt;"",'Calculations'!IB420,IF('Calculations'!IA420&lt;&gt;"",'Calculations'!IA420,IF('Calculations'!HZ420&lt;&gt;"",'Calculations'!HZ420,IF('Calculations'!HY420&lt;&gt;"",'Calculations'!HY420,IF('Calculations'!HX420&lt;&gt;"",'Calculations'!HX420,IF('Calculations'!HW420&lt;&gt;"",'Calculations'!HW420,IF('Calculations'!HV420&lt;&gt;"",'Calculations'!HV420,IF('Calculations'!HU420&lt;&gt;"",'Calculations'!HU420,IF('Calculations'!HT420&lt;&gt;"",'Calculations'!HT420,IF('Calculations'!HS420&lt;&gt;"",'Calculations'!HS420,IF('Calculations'!HR420&lt;&gt;"",'Calculations'!HR420,IF('Calculations'!HQ420&lt;&gt;"",'Calculations'!HQ420,IF('Calculations'!HP420&lt;&gt;"",'Calculations'!HP420,IF('Calculations'!HO420&lt;&gt;"",'Calculations'!HO420,'Calculations'!HE420))))))))))))))))))))))</x:f>
      </x:c>
      <x:c r="HN420" t="str">
        <x:f>IF('Calculations'!EM420="","",IF(IFERROR(IF(INDEX(INDIRECT("'WCM Calibration Final'!$F$1:$F$2000"),'Calculations'!$EM420)="","",TRIM(INDEX(INDIRECT("'WCM Calibration Final'!$F$1:$F$2000"),'Calculations'!$EM420)&amp;"")),"")="","(Blank)",IFERROR(IF(INDEX(INDIRECT("'WCM Calibration Final'!$F$1:$F$2000"),'Calculations'!$EM420)="","",TRIM(INDEX(INDIRECT("'WCM Calibration Final'!$F$1:$F$2000"),'Calculations'!$EM420)&amp;"")),"")))</x:f>
      </x:c>
      <x:c r="HO420" t="str">
        <x:f>'Calculations'!HF420</x:f>
      </x:c>
      <x:c r="HP420" t="str">
        <x:f>IF('Calculations'!HO420="","",IF('Calculations'!HO420="!AMBIG","!AMBIG",IF(COUNTIF('Calculations'!$HE$13:$HE$512,"="&amp;SUBSTITUTE(SUBSTITUTE(SUBSTITUTE('Calculations'!HO420,"~","~~"),"*","~*"),"?","~?"))&gt;1,"!AMBIG",IFERROR(INDEX('Calculations'!$HF$13:$HF$512,MATCH('Calculations'!HO420,'Calculations'!$HE$13:$HE$512,0)),""))))</x:f>
      </x:c>
      <x:c r="HQ420" t="str">
        <x:f>IF('Calculations'!HP420="","",IF('Calculations'!HP420="!AMBIG","!AMBIG",IF(COUNTIF('Calculations'!$HE$13:$HE$512,"="&amp;SUBSTITUTE(SUBSTITUTE(SUBSTITUTE('Calculations'!HP420,"~","~~"),"*","~*"),"?","~?"))&gt;1,"!AMBIG",IFERROR(INDEX('Calculations'!$HF$13:$HF$512,MATCH('Calculations'!HP420,'Calculations'!$HE$13:$HE$512,0)),""))))</x:f>
      </x:c>
      <x:c r="HR420" t="str">
        <x:f>IF('Calculations'!HQ420="","",IF('Calculations'!HQ420="!AMBIG","!AMBIG",IF(COUNTIF('Calculations'!$HE$13:$HE$512,"="&amp;SUBSTITUTE(SUBSTITUTE(SUBSTITUTE('Calculations'!HQ420,"~","~~"),"*","~*"),"?","~?"))&gt;1,"!AMBIG",IFERROR(INDEX('Calculations'!$HF$13:$HF$512,MATCH('Calculations'!HQ420,'Calculations'!$HE$13:$HE$512,0)),""))))</x:f>
      </x:c>
      <x:c r="HS420" t="str">
        <x:f>IF('Calculations'!HR420="","",IF('Calculations'!HR420="!AMBIG","!AMBIG",IF(COUNTIF('Calculations'!$HE$13:$HE$512,"="&amp;SUBSTITUTE(SUBSTITUTE(SUBSTITUTE('Calculations'!HR420,"~","~~"),"*","~*"),"?","~?"))&gt;1,"!AMBIG",IFERROR(INDEX('Calculations'!$HF$13:$HF$512,MATCH('Calculations'!HR420,'Calculations'!$HE$13:$HE$512,0)),""))))</x:f>
      </x:c>
      <x:c r="HT420" t="str">
        <x:f>IF('Calculations'!HS420="","",IF('Calculations'!HS420="!AMBIG","!AMBIG",IF(COUNTIF('Calculations'!$HE$13:$HE$512,"="&amp;SUBSTITUTE(SUBSTITUTE(SUBSTITUTE('Calculations'!HS420,"~","~~"),"*","~*"),"?","~?"))&gt;1,"!AMBIG",IFERROR(INDEX('Calculations'!$HF$13:$HF$512,MATCH('Calculations'!HS420,'Calculations'!$HE$13:$HE$512,0)),""))))</x:f>
      </x:c>
      <x:c r="HU420" t="str">
        <x:f>IF('Calculations'!HT420="","",IF('Calculations'!HT420="!AMBIG","!AMBIG",IF(COUNTIF('Calculations'!$HE$13:$HE$512,"="&amp;SUBSTITUTE(SUBSTITUTE(SUBSTITUTE('Calculations'!HT420,"~","~~"),"*","~*"),"?","~?"))&gt;1,"!AMBIG",IFERROR(INDEX('Calculations'!$HF$13:$HF$512,MATCH('Calculations'!HT420,'Calculations'!$HE$13:$HE$512,0)),""))))</x:f>
      </x:c>
      <x:c r="HV420" t="str">
        <x:f>IF('Calculations'!HU420="","",IF('Calculations'!HU420="!AMBIG","!AMBIG",IF(COUNTIF('Calculations'!$HE$13:$HE$512,"="&amp;SUBSTITUTE(SUBSTITUTE(SUBSTITUTE('Calculations'!HU420,"~","~~"),"*","~*"),"?","~?"))&gt;1,"!AMBIG",IFERROR(INDEX('Calculations'!$HF$13:$HF$512,MATCH('Calculations'!HU420,'Calculations'!$HE$13:$HE$512,0)),""))))</x:f>
      </x:c>
      <x:c r="HW420" t="str">
        <x:f>IF('Calculations'!HV420="","",IF('Calculations'!HV420="!AMBIG","!AMBIG",IF(COUNTIF('Calculations'!$HE$13:$HE$512,"="&amp;SUBSTITUTE(SUBSTITUTE(SUBSTITUTE('Calculations'!HV420,"~","~~"),"*","~*"),"?","~?"))&gt;1,"!AMBIG",IFERROR(INDEX('Calculations'!$HF$13:$HF$512,MATCH('Calculations'!HV420,'Calculations'!$HE$13:$HE$512,0)),""))))</x:f>
      </x:c>
      <x:c r="HX420" t="str">
        <x:f>IF('Calculations'!HW420="","",IF('Calculations'!HW420="!AMBIG","!AMBIG",IF(COUNTIF('Calculations'!$HE$13:$HE$512,"="&amp;SUBSTITUTE(SUBSTITUTE(SUBSTITUTE('Calculations'!HW420,"~","~~"),"*","~*"),"?","~?"))&gt;1,"!AMBIG",IFERROR(INDEX('Calculations'!$HF$13:$HF$512,MATCH('Calculations'!HW420,'Calculations'!$HE$13:$HE$512,0)),""))))</x:f>
      </x:c>
      <x:c r="HY420" t="str">
        <x:f>IF('Calculations'!HX420="","",IF('Calculations'!HX420="!AMBIG","!AMBIG",IF(COUNTIF('Calculations'!$HE$13:$HE$512,"="&amp;SUBSTITUTE(SUBSTITUTE(SUBSTITUTE('Calculations'!HX420,"~","~~"),"*","~*"),"?","~?"))&gt;1,"!AMBIG",IFERROR(INDEX('Calculations'!$HF$13:$HF$512,MATCH('Calculations'!HX420,'Calculations'!$HE$13:$HE$512,0)),""))))</x:f>
      </x:c>
      <x:c r="HZ420" t="str">
        <x:f>IF('Calculations'!HY420="","",IF('Calculations'!HY420="!AMBIG","!AMBIG",IF(COUNTIF('Calculations'!$HE$13:$HE$512,"="&amp;SUBSTITUTE(SUBSTITUTE(SUBSTITUTE('Calculations'!HY420,"~","~~"),"*","~*"),"?","~?"))&gt;1,"!AMBIG",IFERROR(INDEX('Calculations'!$HF$13:$HF$512,MATCH('Calculations'!HY420,'Calculations'!$HE$13:$HE$512,0)),""))))</x:f>
      </x:c>
      <x:c r="IA420" t="str">
        <x:f>IF('Calculations'!HZ420="","",IF('Calculations'!HZ420="!AMBIG","!AMBIG",IF(COUNTIF('Calculations'!$HE$13:$HE$512,"="&amp;SUBSTITUTE(SUBSTITUTE(SUBSTITUTE('Calculations'!HZ420,"~","~~"),"*","~*"),"?","~?"))&gt;1,"!AMBIG",IFERROR(INDEX('Calculations'!$HF$13:$HF$512,MATCH('Calculations'!HZ420,'Calculations'!$HE$13:$HE$512,0)),""))))</x:f>
      </x:c>
      <x:c r="IB420" t="str">
        <x:f>IF('Calculations'!IA420="","",IF('Calculations'!IA420="!AMBIG","!AMBIG",IF(COUNTIF('Calculations'!$HE$13:$HE$512,"="&amp;SUBSTITUTE(SUBSTITUTE(SUBSTITUTE('Calculations'!IA420,"~","~~"),"*","~*"),"?","~?"))&gt;1,"!AMBIG",IFERROR(INDEX('Calculations'!$HF$13:$HF$512,MATCH('Calculations'!IA420,'Calculations'!$HE$13:$HE$512,0)),""))))</x:f>
      </x:c>
      <x:c r="IC420" t="str">
        <x:f>IF('Calculations'!IB420="","",IF('Calculations'!IB420="!AMBIG","!AMBIG",IF(COUNTIF('Calculations'!$HE$13:$HE$512,"="&amp;SUBSTITUTE(SUBSTITUTE(SUBSTITUTE('Calculations'!IB420,"~","~~"),"*","~*"),"?","~?"))&gt;1,"!AMBIG",IFERROR(INDEX('Calculations'!$HF$13:$HF$512,MATCH('Calculations'!IB420,'Calculations'!$HE$13:$HE$512,0)),""))))</x:f>
      </x:c>
      <x:c r="ID420" t="str">
        <x:f>IF('Calculations'!IC420="","",IF('Calculations'!IC420="!AMBIG","!AMBIG",IF(COUNTIF('Calculations'!$HE$13:$HE$512,"="&amp;SUBSTITUTE(SUBSTITUTE(SUBSTITUTE('Calculations'!IC420,"~","~~"),"*","~*"),"?","~?"))&gt;1,"!AMBIG",IFERROR(INDEX('Calculations'!$HF$13:$HF$512,MATCH('Calculations'!IC420,'Calculations'!$HE$13:$HE$512,0)),""))))</x:f>
      </x:c>
      <x:c r="IE420" t="str">
        <x:f>IF('Calculations'!ID420="","",IF('Calculations'!ID420="!AMBIG","!AMBIG",IF(COUNTIF('Calculations'!$HE$13:$HE$512,"="&amp;SUBSTITUTE(SUBSTITUTE(SUBSTITUTE('Calculations'!ID420,"~","~~"),"*","~*"),"?","~?"))&gt;1,"!AMBIG",IFERROR(INDEX('Calculations'!$HF$13:$HF$512,MATCH('Calculations'!ID420,'Calculations'!$HE$13:$HE$512,0)),""))))</x:f>
      </x:c>
      <x:c r="IF420" t="str">
        <x:f>IF('Calculations'!IE420="","",IF('Calculations'!IE420="!AMBIG","!AMBIG",IF(COUNTIF('Calculations'!$HE$13:$HE$512,"="&amp;SUBSTITUTE(SUBSTITUTE(SUBSTITUTE('Calculations'!IE420,"~","~~"),"*","~*"),"?","~?"))&gt;1,"!AMBIG",IFERROR(INDEX('Calculations'!$HF$13:$HF$512,MATCH('Calculations'!IE420,'Calculations'!$HE$13:$HE$512,0)),""))))</x:f>
      </x:c>
      <x:c r="IG420" t="str">
        <x:f>IF('Calculations'!IF420="","",IF('Calculations'!IF420="!AMBIG","!AMBIG",IF(COUNTIF('Calculations'!$HE$13:$HE$512,"="&amp;SUBSTITUTE(SUBSTITUTE(SUBSTITUTE('Calculations'!IF420,"~","~~"),"*","~*"),"?","~?"))&gt;1,"!AMBIG",IFERROR(INDEX('Calculations'!$HF$13:$HF$512,MATCH('Calculations'!IF420,'Calculations'!$HE$13:$HE$512,0)),""))))</x:f>
      </x:c>
      <x:c r="IH420" t="str">
        <x:f>IF('Calculations'!IG420="","",IF('Calculations'!IG420="!AMBIG","!AMBIG",IF(COUNTIF('Calculations'!$HE$13:$HE$512,"="&amp;SUBSTITUTE(SUBSTITUTE(SUBSTITUTE('Calculations'!IG420,"~","~~"),"*","~*"),"?","~?"))&gt;1,"!AMBIG",IFERROR(INDEX('Calculations'!$HF$13:$HF$512,MATCH('Calculations'!IG420,'Calculations'!$HE$13:$HE$512,0)),""))))</x:f>
      </x:c>
      <x:c r="II420" t="str">
        <x:f>IF('Calculations'!IH420="","",IF('Calculations'!IH420="!AMBIG","!AMBIG",IF(COUNTIF('Calculations'!$HE$13:$HE$512,"="&amp;SUBSTITUTE(SUBSTITUTE(SUBSTITUTE('Calculations'!IH420,"~","~~"),"*","~*"),"?","~?"))&gt;1,"!AMBIG",IFERROR(INDEX('Calculations'!$HF$13:$HF$512,MATCH('Calculations'!IH420,'Calculations'!$HE$13:$HE$512,0)),""))))</x:f>
      </x:c>
      <x:c r="IJ420" t="str">
        <x:f>IF('Calculations'!EM420="","",IF('Calculations'!$EF$2="All",'Calculations'!HM420,IF('Calculations'!HL420=1,"",IFERROR(IF(MATCH('Calculations'!$EF$2,'Calculations'!HO420:II420,0)=1,'Calculations'!HE420,INDEX('Calculations'!HO420:II420,1,MATCH('Calculations'!$EF$2,'Calculations'!HO420:II420,0)-1)),""))))</x:f>
      </x:c>
      <x:c r="IK420" t="n">
        <x:f>IF(AND('Calculations'!EM420&lt;&gt;"",'Calculations'!$EF$2&lt;&gt;"All",'Calculations'!HF420='Calculations'!$EF$2,'Calculations'!HL420=0,'Calculations'!JD420&gt;0),MAX('Calculations'!$IK$12:IK419)+1,0)</x:f>
        <x:v>0</x:v>
      </x:c>
      <x:c r="JA420" t="n">
        <x:f>IF(OR(IFERROR(INDIRECT("'WCM Calibration Final'!$A$420")&lt;&gt;"",FALSE),IFERROR(INDIRECT("'WCM Calibration Final'!$B$420")&lt;&gt;"",FALSE),IFERROR(INDIRECT("'WCM Calibration Final'!$C$420")&lt;&gt;"",FALSE)),420,0)</x:f>
        <x:v>0</x:v>
      </x:c>
      <x:c r="JB420" t="n">
        <x:f>'Calculations'!JB419+IF('Calculations'!JA420&gt;0,1,0)</x:f>
        <x:v>0</x:v>
      </x:c>
      <x:c r="JC420" t="n">
        <x:f>IF(OR('Calculations'!HF420="",'Calculations'!HF420="!AMBIG"),0,IF('Dashboard'!$B$7="All",1,COUNTIFS('Calculations'!$HO$13:$HO$512,"="&amp;SUBSTITUTE(SUBSTITUTE(SUBSTITUTE('Calculations'!HF420,"~","~~"),"*","~*"),"?","~?"),'Calculations'!$HN$13:$HN$512,"="&amp;SUBSTITUTE(SUBSTITUTE(SUBSTITUTE('Dashboard'!$B$7,"~","~~"),"*","~*"),"?","~?"))+COUNTIFS('Calculations'!$HP$13:$HP$512,"="&amp;SUBSTITUTE(SUBSTITUTE(SUBSTITUTE('Calculations'!HF420,"~","~~"),"*","~*"),"?","~?"),'Calculations'!$HN$13:$HN$512,"="&amp;SUBSTITUTE(SUBSTITUTE(SUBSTITUTE('Dashboard'!$B$7,"~","~~"),"*","~*"),"?","~?"))+COUNTIFS('Calculations'!$HQ$13:$HQ$512,"="&amp;SUBSTITUTE(SUBSTITUTE(SUBSTITUTE('Calculations'!HF420,"~","~~"),"*","~*"),"?","~?"),'Calculations'!$HN$13:$HN$512,"="&amp;SUBSTITUTE(SUBSTITUTE(SUBSTITUTE('Dashboard'!$B$7,"~","~~"),"*","~*"),"?","~?"))+COUNTIFS('Calculations'!$HR$13:$HR$512,"="&amp;SUBSTITUTE(SUBSTITUTE(SUBSTITUTE('Calculations'!HF420,"~","~~"),"*","~*"),"?","~?"),'Calculations'!$HN$13:$HN$512,"="&amp;SUBSTITUTE(SUBSTITUTE(SUBSTITUTE('Dashboard'!$B$7,"~","~~"),"*","~*"),"?","~?"))+COUNTIFS('Calculations'!$HS$13:$HS$512,"="&amp;SUBSTITUTE(SUBSTITUTE(SUBSTITUTE('Calculations'!HF420,"~","~~"),"*","~*"),"?","~?"),'Calculations'!$HN$13:$HN$512,"="&amp;SUBSTITUTE(SUBSTITUTE(SUBSTITUTE('Dashboard'!$B$7,"~","~~"),"*","~*"),"?","~?"))+COUNTIFS('Calculations'!$HT$13:$HT$512,"="&amp;SUBSTITUTE(SUBSTITUTE(SUBSTITUTE('Calculations'!HF420,"~","~~"),"*","~*"),"?","~?"),'Calculations'!$HN$13:$HN$512,"="&amp;SUBSTITUTE(SUBSTITUTE(SUBSTITUTE('Dashboard'!$B$7,"~","~~"),"*","~*"),"?","~?"))+COUNTIFS('Calculations'!$HU$13:$HU$512,"="&amp;SUBSTITUTE(SUBSTITUTE(SUBSTITUTE('Calculations'!HF420,"~","~~"),"*","~*"),"?","~?"),'Calculations'!$HN$13:$HN$512,"="&amp;SUBSTITUTE(SUBSTITUTE(SUBSTITUTE('Dashboard'!$B$7,"~","~~"),"*","~*"),"?","~?"))+COUNTIFS('Calculations'!$HV$13:$HV$512,"="&amp;SUBSTITUTE(SUBSTITUTE(SUBSTITUTE('Calculations'!HF420,"~","~~"),"*","~*"),"?","~?"),'Calculations'!$HN$13:$HN$512,"="&amp;SUBSTITUTE(SUBSTITUTE(SUBSTITUTE('Dashboard'!$B$7,"~","~~"),"*","~*"),"?","~?"))+COUNTIFS('Calculations'!$HW$13:$HW$512,"="&amp;SUBSTITUTE(SUBSTITUTE(SUBSTITUTE('Calculations'!HF420,"~","~~"),"*","~*"),"?","~?"),'Calculations'!$HN$13:$HN$512,"="&amp;SUBSTITUTE(SUBSTITUTE(SUBSTITUTE('Dashboard'!$B$7,"~","~~"),"*","~*"),"?","~?"))+COUNTIFS('Calculations'!$HX$13:$HX$512,"="&amp;SUBSTITUTE(SUBSTITUTE(SUBSTITUTE('Calculations'!HF420,"~","~~"),"*","~*"),"?","~?"),'Calculations'!$HN$13:$HN$512,"="&amp;SUBSTITUTE(SUBSTITUTE(SUBSTITUTE('Dashboard'!$B$7,"~","~~"),"*","~*"),"?","~?"))+COUNTIFS('Calculations'!$HY$13:$HY$512,"="&amp;SUBSTITUTE(SUBSTITUTE(SUBSTITUTE('Calculations'!HF420,"~","~~"),"*","~*"),"?","~?"),'Calculations'!$HN$13:$HN$512,"="&amp;SUBSTITUTE(SUBSTITUTE(SUBSTITUTE('Dashboard'!$B$7,"~","~~"),"*","~*"),"?","~?"))+COUNTIFS('Calculations'!$HZ$13:$HZ$512,"="&amp;SUBSTITUTE(SUBSTITUTE(SUBSTITUTE('Calculations'!HF420,"~","~~"),"*","~*"),"?","~?"),'Calculations'!$HN$13:$HN$512,"="&amp;SUBSTITUTE(SUBSTITUTE(SUBSTITUTE('Dashboard'!$B$7,"~","~~"),"*","~*"),"?","~?"))+COUNTIFS('Calculations'!$IA$13:$IA$512,"="&amp;SUBSTITUTE(SUBSTITUTE(SUBSTITUTE('Calculations'!HF420,"~","~~"),"*","~*"),"?","~?"),'Calculations'!$HN$13:$HN$512,"="&amp;SUBSTITUTE(SUBSTITUTE(SUBSTITUTE('Dashboard'!$B$7,"~","~~"),"*","~*"),"?","~?"))+COUNTIFS('Calculations'!$IB$13:$IB$512,"="&amp;SUBSTITUTE(SUBSTITUTE(SUBSTITUTE('Calculations'!HF420,"~","~~"),"*","~*"),"?","~?"),'Calculations'!$HN$13:$HN$512,"="&amp;SUBSTITUTE(SUBSTITUTE(SUBSTITUTE('Dashboard'!$B$7,"~","~~"),"*","~*"),"?","~?"))+COUNTIFS('Calculations'!$IC$13:$IC$512,"="&amp;SUBSTITUTE(SUBSTITUTE(SUBSTITUTE('Calculations'!HF420,"~","~~"),"*","~*"),"?","~?"),'Calculations'!$HN$13:$HN$512,"="&amp;SUBSTITUTE(SUBSTITUTE(SUBSTITUTE('Dashboard'!$B$7,"~","~~"),"*","~*"),"?","~?"))+COUNTIFS('Calculations'!$ID$13:$ID$512,"="&amp;SUBSTITUTE(SUBSTITUTE(SUBSTITUTE('Calculations'!HF420,"~","~~"),"*","~*"),"?","~?"),'Calculations'!$HN$13:$HN$512,"="&amp;SUBSTITUTE(SUBSTITUTE(SUBSTITUTE('Dashboard'!$B$7,"~","~~"),"*","~*"),"?","~?"))+COUNTIFS('Calculations'!$IE$13:$IE$512,"="&amp;SUBSTITUTE(SUBSTITUTE(SUBSTITUTE('Calculations'!HF420,"~","~~"),"*","~*"),"?","~?"),'Calculations'!$HN$13:$HN$512,"="&amp;SUBSTITUTE(SUBSTITUTE(SUBSTITUTE('Dashboard'!$B$7,"~","~~"),"*","~*"),"?","~?"))+COUNTIFS('Calculations'!$IF$13:$IF$512,"="&amp;SUBSTITUTE(SUBSTITUTE(SUBSTITUTE('Calculations'!HF420,"~","~~"),"*","~*"),"?","~?"),'Calculations'!$HN$13:$HN$512,"="&amp;SUBSTITUTE(SUBSTITUTE(SUBSTITUTE('Dashboard'!$B$7,"~","~~"),"*","~*"),"?","~?"))+COUNTIFS('Calculations'!$IG$13:$IG$512,"="&amp;SUBSTITUTE(SUBSTITUTE(SUBSTITUTE('Calculations'!HF420,"~","~~"),"*","~*"),"?","~?"),'Calculations'!$HN$13:$HN$512,"="&amp;SUBSTITUTE(SUBSTITUTE(SUBSTITUTE('Dashboard'!$B$7,"~","~~"),"*","~*"),"?","~?"))+COUNTIFS('Calculations'!$IH$13:$IH$512,"="&amp;SUBSTITUTE(SUBSTITUTE(SUBSTITUTE('Calculations'!HF420,"~","~~"),"*","~*"),"?","~?"),'Calculations'!$HN$13:$HN$512,"="&amp;SUBSTITUTE(SUBSTITUTE(SUBSTITUTE('Dashboard'!$B$7,"~","~~"),"*","~*"),"?","~?"))))</x:f>
        <x:v>0</x:v>
      </x:c>
      <x:c r="JD420" t="n">
        <x:f>IF('Calculations'!EM420="",0,IF('Dashboard'!$B$7="All",1,IF('Calculations'!HN420='Dashboard'!$B$7,1,0)+IFERROR(INDEX('Calculations'!$JC$13:$JC$512,MATCH('Calculations'!HE420,'Calculations'!$HF$13:$HF$512,0)),0)))</x:f>
        <x:v>0</x:v>
      </x:c>
      <x:c r="JE420" t="n">
        <x:f>IF(AND('Calculations'!EM420&lt;&gt;"",'Calculations'!$JJ$2&lt;&gt;"All",'Calculations'!$JJ$2&lt;&gt;"",'Calculations'!HF420='Calculations'!$JJ$2,'Calculations'!HL420=0,'Calculations'!JD420&gt;0),MAX('Calculations'!$JE$12:JE419)+1,0)</x:f>
        <x:v>0</x:v>
      </x:c>
      <x:c r="JF420" t="str">
        <x:f>IF('Calculations'!EM420="","",IFERROR(IF(INDEX(INDIRECT("'WCM Calibration Final'!$G$1:$G$2000"),'Calculations'!$EM420)="","",TRIM(INDEX(INDIRECT("'WCM Calibration Final'!$G$1:$G$2000"),'Calculations'!$EM420)&amp;"")),""))</x:f>
      </x:c>
      <x:c r="JQ420" t="n">
        <x:f>IF(OR('Calculations'!BM420=0,NOT('Calculations'!$AG$2),'Calculations'!$AG$8&gt;0),0,IF(OR('Dashboard'!$B$7="All",'Calculations'!HN420='Dashboard'!$B$7),IF('Calculations'!$JJ$2="All",1,IF(AND('Calculations'!HF420='Calculations'!$JJ$2,'Calculations'!HL420=0),1,0)),0))</x:f>
        <x:v>0</x:v>
      </x:c>
    </x:row>
    <x:row r="421">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t="n">
        <x:f>IF('Calculations'!$EM421="",0,IF(OR(IFERROR(INDEX(INDIRECT("'WCM Calibration Final'!$A$1:$A$2000"),'Calculations'!$EM421)&lt;&gt;"",FALSE),IFERROR(INDEX(INDIRECT("'WCM Calibration Final'!$B$1:$B$2000"),'Calculations'!$EM421)&lt;&gt;"",FALSE),IFERROR(INDEX(INDIRECT("'WCM Calibration Final'!$C$1:$C$2000"),'Calculations'!$EM421)&lt;&gt;"",FALSE)),1,0))</x:f>
        <x:v>0</x:v>
      </x:c>
      <x:c r="BN421" s="4" t="n">
        <x:f>IF(AND('Calculations'!BM421=1,'Calculations'!$AG$2,'Calculations'!$EN421=1),1,0)</x:f>
        <x:v>0</x:v>
      </x:c>
      <x:c r="BO421" s="4" t="str">
        <x:f>IF('Calculations'!BM421=0,"",IFERROR(IF(AND(VALUE(INDEX(INDIRECT("'WCM Calibration Final'!$K$1:$K$2000"),'Calculations'!$EM421))&gt;=1,VALUE(INDEX(INDIRECT("'WCM Calibration Final'!$K$1:$K$2000"),'Calculations'!$EM421))&lt;=4,MOD(VALUE(INDEX(INDIRECT("'WCM Calibration Final'!$K$1:$K$2000"),'Calculations'!$EM421)),1)=0),VALUE(INDEX(INDIRECT("'WCM Calibration Final'!$K$1:$K$2000"),'Calculations'!$EM421)),""),""))</x:f>
      </x:c>
      <x:c r="BP421" s="4" t="str">
        <x:f>IF('Calculations'!BM421=0,"",IFERROR(IF(AND(VALUE(INDEX(INDIRECT("'WCM Calibration Final'!$L$1:$L$2000"),'Calculations'!$EM421))&gt;=1,VALUE(INDEX(INDIRECT("'WCM Calibration Final'!$L$1:$L$2000"),'Calculations'!$EM421))&lt;=4,MOD(VALUE(INDEX(INDIRECT("'WCM Calibration Final'!$L$1:$L$2000"),'Calculations'!$EM421)),1)=0),VALUE(INDEX(INDIRECT("'WCM Calibration Final'!$L$1:$L$2000"),'Calculations'!$EM421)),""),""))</x:f>
      </x:c>
      <x:c r="BQ421" s="4"/>
      <x:c r="BR421" s="4"/>
      <x:c r="BS421" s="4"/>
      <x:c r="BT421" s="4" t="n">
        <x:f>IF(AND('Calculations'!BM421=1,ISNUMBER('Calculations'!BO421),ISNUMBER('Calculations'!BP421)),1,0)</x:f>
        <x:v>0</x:v>
      </x:c>
      <x:c r="BU421" s="4" t="str">
        <x:f>IF('Calculations'!BM421=0,"",'Calculations'!$EO421)</x:f>
      </x:c>
      <x:c r="BV421" s="4" t="str">
        <x:f>IF('Calculations'!BM421=0,"",IFERROR(IF(OR(INDEX(INDIRECT("'WCM Calibration Final'!$H$1:$H$2000"),'Calculations'!$EM421)="MANAGING DIRECTOR",INDEX(INDIRECT("'WCM Calibration Final'!$H$1:$H$2000"),'Calculations'!$EM421)="DIRECTOR",INDEX(INDIRECT("'WCM Calibration Final'!$H$1:$H$2000"),'Calculations'!$EM421)="SENIOR VICE PRESIDENT",INDEX(INDIRECT("'WCM Calibration Final'!$H$1:$H$2000"),'Calculations'!$EM421)="VICE PRESIDENT",INDEX(INDIRECT("'WCM Calibration Final'!$H$1:$H$2000"),'Calculations'!$EM421)="ASSISTANT VICE PRESIDENT",INDEX(INDIRECT("'WCM Calibration Final'!$H$1:$H$2000"),'Calculations'!$EM421)="OFFICER"),UPPER(INDEX(INDIRECT("'WCM Calibration Final'!$H$1:$H$2000"),'Calculations'!$EM421)),"Other"),"Other"))</x:f>
      </x:c>
      <x:c r="BW421" s="4"/>
      <x:c r="BX421" s="4"/>
      <x:c r="BY421" s="4" t="n">
        <x:f>IF(AND('Calculations'!BM421=1,'Calculations'!BU421&lt;&gt;"",COUNTIF('Calculations'!$BU$12:BU421,'Calculations'!BU421)=1),MAX('Calculations'!$BY$11:BY420)+1,0)</x:f>
        <x:v>0</x:v>
      </x:c>
      <x:c r="BZ421" s="4" t="str">
        <x:f>IF('Dashboard'!$E$67="What",'Calculations'!BO421,'Calculations'!BP421)</x:f>
      </x:c>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t="str">
        <x:f>IF(410&gt;MAX('Calculations'!$HI$13:$HI$512),"",INDEX('Calculations'!$HN$13:$HN$512,MATCH(410,'Calculations'!$HI$13:$HI$512,0)))</x:f>
      </x:c>
      <x:c r="DB421" s="4" t="str">
        <x:f>IF(410&gt;MAX('Calculations'!$HH$13:$HH$512),"",INDEX('Calculations'!$HJ$13:$HJ$512,MATCH(410,'Calculations'!$HH$13:$HH$512,0)))</x:f>
      </x:c>
      <x:c r="DC421" s="4" t="str">
        <x:f>IF(ROW()-11&gt;MAX('Calculations'!$BY$13:$BY$512),"",INDEX('Calculations'!$BU$13:$BU$512,MATCH(ROW()-11,'Calculations'!$BY$13:$BY$512,0)))</x:f>
      </x:c>
      <x:c r="DD421" s="4" t="str">
        <x:f>IF(410&gt;MAX('Calculations'!$IK$13:$IK$512),"",INDEX('Calculations'!$HK$13:$HK$512,MATCH(410,'Calculations'!$IK$13:$IK$512,0)))</x:f>
      </x:c>
      <x:c r="DE421" s="4" t="str">
        <x:f>'Calculations'!DC421</x:f>
      </x:c>
      <x:c r="DF421" s="4" t="str">
        <x:f>IF('Calculations'!DE421="","",COUNTIFS('Calculations'!$BN$13:$BN$512,1,'Calculations'!$BU$13:$BU$512,'Calculations'!DE421))</x:f>
      </x:c>
      <x:c r="DG421" s="4" t="str">
        <x:f>IF('Calculations'!DE421="","",COUNTIFS('Calculations'!$BN$13:$BN$512,1,'Calculations'!$BU$13:$BU$512,'Calculations'!DE421,'Calculations'!$BT$13:$BT$512,1))</x:f>
      </x:c>
      <x:c r="DH421" s="4" t="str">
        <x:f>IF('Calculations'!DE421="","",'Calculations'!DF421-'Calculations'!DG421)</x:f>
      </x:c>
      <x:c r="DI421" s="4" t="str">
        <x:f>IF(OR('Calculations'!DE421="",'Calculations'!DF421=0),"",'Calculations'!DG421/'Calculations'!DF421)</x:f>
      </x:c>
      <x:c r="DJ421" s="4" t="str">
        <x:f>IF('Calculations'!DE421="","",COUNTIFS('Calculations'!$BN$13:$BN$512,1,'Calculations'!$BU$13:$BU$512,'Calculations'!DE421,'Calculations'!$BT$13:$BT$512,1,'Calculations'!$EE$13:$EE$512,"High"))</x:f>
      </x:c>
      <x:c r="DK421" s="4" t="str">
        <x:f>IF('Calculations'!DE421="","",COUNTIFS('Calculations'!$BN$13:$BN$512,1,'Calculations'!$BU$13:$BU$512,'Calculations'!DE421,'Calculations'!$BT$13:$BT$512,1,'Calculations'!$EE$13:$EE$512,"Strong"))</x:f>
      </x:c>
      <x:c r="DL421" s="4" t="str">
        <x:f>IF('Calculations'!DE421="","",COUNTIFS('Calculations'!$BN$13:$BN$512,1,'Calculations'!$BU$13:$BU$512,'Calculations'!DE421,'Calculations'!$BT$13:$BT$512,1,'Calculations'!$EE$13:$EE$512,"Solid"))</x:f>
      </x:c>
      <x:c r="DM421" s="4" t="str">
        <x:f>IF('Calculations'!DE421="","",COUNTIFS('Calculations'!$BN$13:$BN$512,1,'Calculations'!$BU$13:$BU$512,'Calculations'!DE421,'Calculations'!$BT$13:$BT$512,1,'Calculations'!$EE$13:$EE$512,"Low"))</x:f>
      </x:c>
      <x:c r="DN421" s="4" t="str">
        <x:f>IF('Calculations'!DE421="","",COUNTIFS('Calculations'!$BN$13:$BN$512,1,'Calculations'!$BU$13:$BU$512,'Calculations'!DE421,'Calculations'!$EP$13:$EP$512,1))</x:f>
      </x:c>
      <x:c r="DO421" s="4" t="str">
        <x:f>IF(OR('Calculations'!DE421="",'Calculations'!DG421=0),"",('Calculations'!DJ421+'Calculations'!DK421)/'Calculations'!DG421)</x:f>
      </x:c>
      <x:c r="DP421" s="4" t="n">
        <x:f>IF(AND('Calculations'!DE421&lt;&gt;"",'Calculations'!DF421&gt;0),COUNTIF('Calculations'!$DF$12:DF421,"&gt;0"),0)</x:f>
        <x:v>0</x:v>
      </x:c>
      <x:c r="DQ421" s="4" t="str">
        <x:f>IF(410&gt;MAX('Calculations'!$HH$13:$HH$512),"",INDEX('Calculations'!$HF$13:$HF$512,MATCH(410,'Calculations'!$HH$13:$HH$512,0)))</x:f>
      </x:c>
      <x:c r="DR421" s="4" t="str">
        <x:f>IF(410&gt;MAX('Calculations'!$IK$13:$IK$512),"",INDEX('Calculations'!$HE$13:$HE$512,MATCH(410,'Calculations'!$IK$13:$IK$512,0)))</x:f>
      </x:c>
      <x:c r="DS421" s="4"/>
      <x:c r="DT421" s="4"/>
      <x:c r="DU421" s="4"/>
      <x:c r="DV421" s="4"/>
      <x:c r="DW421" s="4"/>
      <x:c r="DX421" s="4"/>
      <x:c r="DY421" s="4"/>
      <x:c r="DZ421" s="4"/>
      <x:c r="EA421" s="4"/>
      <x:c r="EB421" s="4"/>
      <x:c r="EC421" s="4"/>
      <x:c r="ED421" s="4"/>
      <x:c r="EE421" s="4" t="str">
        <x:f>IF('Calculations'!BT421=0,"Not Rated",IF(OR('Calculations'!BO421&gt;=4,'Calculations'!BP421&gt;=4),"Low",IF('Calculations'!BO421+'Calculations'!BP421&lt;=3,"High",IF('Calculations'!BO421+'Calculations'!BP421&lt;=4,"Strong","Solid"))))</x:f>
        <x:v>Not Rated</x:v>
      </x:c>
      <x:c r="EF421" s="4"/>
      <x:c r="EG421" s="4"/>
      <x:c r="EH421" s="4"/>
      <x:c r="EI421" s="4"/>
      <x:c r="EJ421" s="4"/>
      <x:c r="EK421" s="4"/>
      <x:c r="EL421" s="4"/>
      <x:c r="EM421" s="4" t="str">
        <x:f>IF(409&gt;'Calculations'!$JB$2000,"",INDEX('Calculations'!$JA$12:$JA$2000,MATCH(409,'Calculations'!$JB$12:$JB$2000,0)))</x:f>
      </x:c>
      <x:c r="EN421" s="4" t="n">
        <x:f>IF(OR('Calculations'!EM421="",'Calculations'!$AG$8&gt;0,AND('Calculations'!$EF$2&lt;&gt;"All",'Calculations'!HE421='Calculations'!$EF$2),AND('Calculations'!$EF$3&lt;&gt;"All",'Calculations'!HE421='Calculations'!$EF$3)),0,IF(OR('Dashboard'!$B$7="All",'Calculations'!HN421='Dashboard'!$B$7),IF('Calculations'!$EF$2="All",1,IF('Calculations'!HL421&gt;0,0,IF(COUNTIF('Calculations'!HO421:II421,"="&amp;SUBSTITUTE(SUBSTITUTE(SUBSTITUTE('Calculations'!$EF$2,"~","~~"),"*","~*"),"?","~?"))=0,0,IF('Calculations'!$EF$3="All",1,IF(COUNTIF('Calculations'!HO421:II421,"="&amp;SUBSTITUTE(SUBSTITUTE(SUBSTITUTE('Calculations'!$EF$3,"~","~~"),"*","~*"),"?","~?"))&gt;0,1,0))))),0))</x:f>
        <x:v>0</x:v>
      </x:c>
      <x:c r="EO421" s="4" t="str">
        <x:f>IF('Calculations'!IJ421="","",IF('Calculations'!IJ421="!UNRESOLVED","Unresolved hierarchy",IFERROR(INDEX('Calculations'!$HK$13:$HK$512,MATCH('Calculations'!IJ421,'Calculations'!$HE$13:$HE$512,0)),IFERROR(INDEX('Calculations'!$HJ$13:$HJ$512,MATCH('Calculations'!IJ421,'Calculations'!$HF$13:$HF$512,0)),'Calculations'!IJ421))))</x:f>
      </x:c>
      <x:c r="EP421" s="4" t="n">
        <x:f>IF(AND('Calculations'!EM421&lt;&gt;"",'Calculations'!HF421='Calculations'!IJ421),1,0)</x:f>
        <x:v>0</x:v>
      </x:c>
      <x:c r="EQ421" s="4"/>
      <x:c r="ER421" s="4"/>
      <x:c r="ES421" s="4"/>
      <x:c r="ET421" s="4"/>
      <x:c r="EU421" s="4"/>
      <x:c r="EV421" s="4"/>
      <x:c r="EW421" s="4"/>
      <x:c r="EX421" s="4"/>
      <x:c r="EY421" s="4"/>
      <x:c r="EZ421" s="4"/>
      <x:c r="FA421" s="4"/>
      <x:c r="FB421" s="4"/>
      <x:c r="FC421" s="4"/>
      <x:c r="FD421" s="4"/>
      <x:c r="FE421" s="4"/>
      <x:c r="FF421" s="4"/>
      <x:c r="FG421" s="4"/>
      <x:c r="FH421" s="4"/>
      <x:c r="FI421" s="4"/>
      <x:c r="FJ421" s="4"/>
      <x:c r="FK421" s="4"/>
      <x:c r="FL421" s="4"/>
      <x:c r="FM421" s="4"/>
      <x:c r="FN421" s="4"/>
      <x:c r="FO421" s="4"/>
      <x:c r="HE421" t="str">
        <x:f>IF('Calculations'!EM421="","",IF(IFERROR(IF(INDEX(INDIRECT("'WCM Calibration Final'!$A$1:$A$2000"),'Calculations'!$EM421)="","",TRIM(INDEX(INDIRECT("'WCM Calibration Final'!$A$1:$A$2000"),'Calculations'!$EM421)&amp;"")),"")&lt;&gt;"","G:"&amp;IFERROR(TEXT(1*INDEX(INDIRECT("'WCM Calibration Final'!$A$1:$A$2000"),'Calculations'!$EM421),"0"),UPPER(IFERROR(IF(INDEX(INDIRECT("'WCM Calibration Final'!$A$1:$A$2000"),'Calculations'!$EM421)="","",TRIM(INDEX(INDIRECT("'WCM Calibration Final'!$A$1:$A$2000"),'Calculations'!$EM421)&amp;"")),""))),IF(IFERROR(IF(INDEX(INDIRECT("'WCM Calibration Final'!$C$1:$C$2000"),'Calculations'!$EM421)="","",TRIM(INDEX(INDIRECT("'WCM Calibration Final'!$C$1:$C$2000"),'Calculations'!$EM421)&amp;"")),"")&lt;&gt;"","S:"&amp;UPPER(IFERROR(IF(INDEX(INDIRECT("'WCM Calibration Final'!$C$1:$C$2000"),'Calculations'!$EM421)="","",TRIM(INDEX(INDIRECT("'WCM Calibration Final'!$C$1:$C$2000"),'Calculations'!$EM421)&amp;"")),"")),"R:"&amp;'Calculations'!EM421)))</x:f>
      </x:c>
      <x:c r="HF421" t="str">
        <x:f>IF('Calculations'!EM421="","",IF(IFERROR(IF(INDEX(INDIRECT("'WCM Calibration Final'!$D$1:$D$2000"),'Calculations'!$EM421)="","",TRIM(INDEX(INDIRECT("'WCM Calibration Final'!$D$1:$D$2000"),'Calculations'!$EM421)&amp;"")),"")&lt;&gt;"","G:"&amp;IFERROR(TEXT(1*INDEX(INDIRECT("'WCM Calibration Final'!$D$1:$D$2000"),'Calculations'!$EM421),"0"),UPPER(IFERROR(IF(INDEX(INDIRECT("'WCM Calibration Final'!$D$1:$D$2000"),'Calculations'!$EM421)="","",TRIM(INDEX(INDIRECT("'WCM Calibration Final'!$D$1:$D$2000"),'Calculations'!$EM421)&amp;"")),""))),IF(IFERROR(IF(INDEX(INDIRECT("'WCM Calibration Final'!$E$1:$E$2000"),'Calculations'!$EM421)="","",TRIM(INDEX(INDIRECT("'WCM Calibration Final'!$E$1:$E$2000"),'Calculations'!$EM421)&amp;"")),"")="","",IF(COUNTIF('Calculations'!$HG$13:$HG$512,"="&amp;SUBSTITUTE(SUBSTITUTE(SUBSTITUTE(IFERROR(IF(INDEX(INDIRECT("'WCM Calibration Final'!$E$1:$E$2000"),'Calculations'!$EM421)="","",TRIM(INDEX(INDIRECT("'WCM Calibration Final'!$E$1:$E$2000"),'Calculations'!$EM421)&amp;"")),""),"~","~~"),"*","~*"),"?","~?"))=1,INDEX('Calculations'!$HE$13:$HE$512,MATCH(IFERROR(IF(INDEX(INDIRECT("'WCM Calibration Final'!$E$1:$E$2000"),'Calculations'!$EM421)="","",TRIM(INDEX(INDIRECT("'WCM Calibration Final'!$E$1:$E$2000"),'Calculations'!$EM421)&amp;"")),""),'Calculations'!$HG$13:$HG$512,0)),IF(COUNTIF('Calculations'!$HG$13:$HG$512,"="&amp;SUBSTITUTE(SUBSTITUTE(SUBSTITUTE(IFERROR(IF(INDEX(INDIRECT("'WCM Calibration Final'!$E$1:$E$2000"),'Calculations'!$EM421)="","",TRIM(INDEX(INDIRECT("'WCM Calibration Final'!$E$1:$E$2000"),'Calculations'!$EM421)&amp;"")),""),"~","~~"),"*","~*"),"?","~?"))&gt;1,"!AMBIG","X:"&amp;IFERROR(IF(INDEX(INDIRECT("'WCM Calibration Final'!$E$1:$E$2000"),'Calculations'!$EM421)="","",TRIM(INDEX(INDIRECT("'WCM Calibration Final'!$E$1:$E$2000"),'Calculations'!$EM421)&amp;"")),""))))))</x:f>
      </x:c>
      <x:c r="HG421" t="str">
        <x:f>IF('Calculations'!EM421="","",IFERROR(IF(INDEX(INDIRECT("'WCM Calibration Final'!$B$1:$B$2000"),'Calculations'!$EM421)="","",TRIM(INDEX(INDIRECT("'WCM Calibration Final'!$B$1:$B$2000"),'Calculations'!$EM421)&amp;"")),""))</x:f>
      </x:c>
      <x:c r="HH421" t="n">
        <x:f>IF(AND('Calculations'!JC421&gt;0,COUNTIF('Calculations'!$HF$12:HF421,"="&amp;SUBSTITUTE(SUBSTITUTE(SUBSTITUTE('Calculations'!HF421,"~","~~"),"*","~*"),"?","~?"))=1),MAX('Calculations'!$HH$12:HH420)+1,0)</x:f>
        <x:v>0</x:v>
      </x:c>
      <x:c r="HI421" t="n">
        <x:f>IF(AND('Calculations'!HN421&lt;&gt;"",COUNTIF('Calculations'!$HN$12:HN421,"="&amp;SUBSTITUTE(SUBSTITUTE(SUBSTITUTE('Calculations'!HN421,"~","~~"),"*","~*"),"?","~?"))=1),MAX('Calculations'!$HI$12:HI420)+1,0)</x:f>
        <x:v>0</x:v>
      </x:c>
      <x:c r="HJ421" t="str">
        <x:f>IF('Calculations'!HF421="","",IF(COUNTIF('Calculations'!$HE$13:$HE$512,"="&amp;SUBSTITUTE(SUBSTITUTE(SUBSTITUTE('Calculations'!HF421,"~","~~"),"*","~*"),"?","~?"))=1,INDEX('Calculations'!$HK$13:$HK$512,MATCH('Calculations'!HF421,'Calculations'!$HE$13:$HE$512,0)),IFERROR(IF(INDEX(INDIRECT("'WCM Calibration Final'!$E$1:$E$2000"),'Calculations'!$EM421)="","",TRIM(INDEX(INDIRECT("'WCM Calibration Final'!$E$1:$E$2000"),'Calculations'!$EM421)&amp;"")),"")&amp;" ["&amp;'Calculations'!HF421&amp;"]"))</x:f>
      </x:c>
      <x:c r="HK421" t="str">
        <x:f>IF('Calculations'!EM421="","",'Calculations'!HG421&amp;" ["&amp;'Calculations'!HE421&amp;"]")</x:f>
      </x:c>
      <x:c r="HL421" t="n">
        <x:f>IF('Calculations'!EM421="",0,IF(OR('Calculations'!II421&lt;&gt;"",COUNTIF('Calculations'!$HE$13:$HE$512,"="&amp;SUBSTITUTE(SUBSTITUTE(SUBSTITUTE('Calculations'!HE421,"~","~~"),"*","~*"),"?","~?"))&gt;1),1,0))</x:f>
        <x:v>0</x:v>
      </x:c>
      <x:c r="HM421" t="str">
        <x:f>IF('Calculations'!EM421="","",IF('Calculations'!HL421=1,"!UNRESOLVED",IF('Calculations'!IH421&lt;&gt;"",'Calculations'!IH421,IF('Calculations'!IG421&lt;&gt;"",'Calculations'!IG421,IF('Calculations'!IF421&lt;&gt;"",'Calculations'!IF421,IF('Calculations'!IE421&lt;&gt;"",'Calculations'!IE421,IF('Calculations'!ID421&lt;&gt;"",'Calculations'!ID421,IF('Calculations'!IC421&lt;&gt;"",'Calculations'!IC421,IF('Calculations'!IB421&lt;&gt;"",'Calculations'!IB421,IF('Calculations'!IA421&lt;&gt;"",'Calculations'!IA421,IF('Calculations'!HZ421&lt;&gt;"",'Calculations'!HZ421,IF('Calculations'!HY421&lt;&gt;"",'Calculations'!HY421,IF('Calculations'!HX421&lt;&gt;"",'Calculations'!HX421,IF('Calculations'!HW421&lt;&gt;"",'Calculations'!HW421,IF('Calculations'!HV421&lt;&gt;"",'Calculations'!HV421,IF('Calculations'!HU421&lt;&gt;"",'Calculations'!HU421,IF('Calculations'!HT421&lt;&gt;"",'Calculations'!HT421,IF('Calculations'!HS421&lt;&gt;"",'Calculations'!HS421,IF('Calculations'!HR421&lt;&gt;"",'Calculations'!HR421,IF('Calculations'!HQ421&lt;&gt;"",'Calculations'!HQ421,IF('Calculations'!HP421&lt;&gt;"",'Calculations'!HP421,IF('Calculations'!HO421&lt;&gt;"",'Calculations'!HO421,'Calculations'!HE421))))))))))))))))))))))</x:f>
      </x:c>
      <x:c r="HN421" t="str">
        <x:f>IF('Calculations'!EM421="","",IF(IFERROR(IF(INDEX(INDIRECT("'WCM Calibration Final'!$F$1:$F$2000"),'Calculations'!$EM421)="","",TRIM(INDEX(INDIRECT("'WCM Calibration Final'!$F$1:$F$2000"),'Calculations'!$EM421)&amp;"")),"")="","(Blank)",IFERROR(IF(INDEX(INDIRECT("'WCM Calibration Final'!$F$1:$F$2000"),'Calculations'!$EM421)="","",TRIM(INDEX(INDIRECT("'WCM Calibration Final'!$F$1:$F$2000"),'Calculations'!$EM421)&amp;"")),"")))</x:f>
      </x:c>
      <x:c r="HO421" t="str">
        <x:f>'Calculations'!HF421</x:f>
      </x:c>
      <x:c r="HP421" t="str">
        <x:f>IF('Calculations'!HO421="","",IF('Calculations'!HO421="!AMBIG","!AMBIG",IF(COUNTIF('Calculations'!$HE$13:$HE$512,"="&amp;SUBSTITUTE(SUBSTITUTE(SUBSTITUTE('Calculations'!HO421,"~","~~"),"*","~*"),"?","~?"))&gt;1,"!AMBIG",IFERROR(INDEX('Calculations'!$HF$13:$HF$512,MATCH('Calculations'!HO421,'Calculations'!$HE$13:$HE$512,0)),""))))</x:f>
      </x:c>
      <x:c r="HQ421" t="str">
        <x:f>IF('Calculations'!HP421="","",IF('Calculations'!HP421="!AMBIG","!AMBIG",IF(COUNTIF('Calculations'!$HE$13:$HE$512,"="&amp;SUBSTITUTE(SUBSTITUTE(SUBSTITUTE('Calculations'!HP421,"~","~~"),"*","~*"),"?","~?"))&gt;1,"!AMBIG",IFERROR(INDEX('Calculations'!$HF$13:$HF$512,MATCH('Calculations'!HP421,'Calculations'!$HE$13:$HE$512,0)),""))))</x:f>
      </x:c>
      <x:c r="HR421" t="str">
        <x:f>IF('Calculations'!HQ421="","",IF('Calculations'!HQ421="!AMBIG","!AMBIG",IF(COUNTIF('Calculations'!$HE$13:$HE$512,"="&amp;SUBSTITUTE(SUBSTITUTE(SUBSTITUTE('Calculations'!HQ421,"~","~~"),"*","~*"),"?","~?"))&gt;1,"!AMBIG",IFERROR(INDEX('Calculations'!$HF$13:$HF$512,MATCH('Calculations'!HQ421,'Calculations'!$HE$13:$HE$512,0)),""))))</x:f>
      </x:c>
      <x:c r="HS421" t="str">
        <x:f>IF('Calculations'!HR421="","",IF('Calculations'!HR421="!AMBIG","!AMBIG",IF(COUNTIF('Calculations'!$HE$13:$HE$512,"="&amp;SUBSTITUTE(SUBSTITUTE(SUBSTITUTE('Calculations'!HR421,"~","~~"),"*","~*"),"?","~?"))&gt;1,"!AMBIG",IFERROR(INDEX('Calculations'!$HF$13:$HF$512,MATCH('Calculations'!HR421,'Calculations'!$HE$13:$HE$512,0)),""))))</x:f>
      </x:c>
      <x:c r="HT421" t="str">
        <x:f>IF('Calculations'!HS421="","",IF('Calculations'!HS421="!AMBIG","!AMBIG",IF(COUNTIF('Calculations'!$HE$13:$HE$512,"="&amp;SUBSTITUTE(SUBSTITUTE(SUBSTITUTE('Calculations'!HS421,"~","~~"),"*","~*"),"?","~?"))&gt;1,"!AMBIG",IFERROR(INDEX('Calculations'!$HF$13:$HF$512,MATCH('Calculations'!HS421,'Calculations'!$HE$13:$HE$512,0)),""))))</x:f>
      </x:c>
      <x:c r="HU421" t="str">
        <x:f>IF('Calculations'!HT421="","",IF('Calculations'!HT421="!AMBIG","!AMBIG",IF(COUNTIF('Calculations'!$HE$13:$HE$512,"="&amp;SUBSTITUTE(SUBSTITUTE(SUBSTITUTE('Calculations'!HT421,"~","~~"),"*","~*"),"?","~?"))&gt;1,"!AMBIG",IFERROR(INDEX('Calculations'!$HF$13:$HF$512,MATCH('Calculations'!HT421,'Calculations'!$HE$13:$HE$512,0)),""))))</x:f>
      </x:c>
      <x:c r="HV421" t="str">
        <x:f>IF('Calculations'!HU421="","",IF('Calculations'!HU421="!AMBIG","!AMBIG",IF(COUNTIF('Calculations'!$HE$13:$HE$512,"="&amp;SUBSTITUTE(SUBSTITUTE(SUBSTITUTE('Calculations'!HU421,"~","~~"),"*","~*"),"?","~?"))&gt;1,"!AMBIG",IFERROR(INDEX('Calculations'!$HF$13:$HF$512,MATCH('Calculations'!HU421,'Calculations'!$HE$13:$HE$512,0)),""))))</x:f>
      </x:c>
      <x:c r="HW421" t="str">
        <x:f>IF('Calculations'!HV421="","",IF('Calculations'!HV421="!AMBIG","!AMBIG",IF(COUNTIF('Calculations'!$HE$13:$HE$512,"="&amp;SUBSTITUTE(SUBSTITUTE(SUBSTITUTE('Calculations'!HV421,"~","~~"),"*","~*"),"?","~?"))&gt;1,"!AMBIG",IFERROR(INDEX('Calculations'!$HF$13:$HF$512,MATCH('Calculations'!HV421,'Calculations'!$HE$13:$HE$512,0)),""))))</x:f>
      </x:c>
      <x:c r="HX421" t="str">
        <x:f>IF('Calculations'!HW421="","",IF('Calculations'!HW421="!AMBIG","!AMBIG",IF(COUNTIF('Calculations'!$HE$13:$HE$512,"="&amp;SUBSTITUTE(SUBSTITUTE(SUBSTITUTE('Calculations'!HW421,"~","~~"),"*","~*"),"?","~?"))&gt;1,"!AMBIG",IFERROR(INDEX('Calculations'!$HF$13:$HF$512,MATCH('Calculations'!HW421,'Calculations'!$HE$13:$HE$512,0)),""))))</x:f>
      </x:c>
      <x:c r="HY421" t="str">
        <x:f>IF('Calculations'!HX421="","",IF('Calculations'!HX421="!AMBIG","!AMBIG",IF(COUNTIF('Calculations'!$HE$13:$HE$512,"="&amp;SUBSTITUTE(SUBSTITUTE(SUBSTITUTE('Calculations'!HX421,"~","~~"),"*","~*"),"?","~?"))&gt;1,"!AMBIG",IFERROR(INDEX('Calculations'!$HF$13:$HF$512,MATCH('Calculations'!HX421,'Calculations'!$HE$13:$HE$512,0)),""))))</x:f>
      </x:c>
      <x:c r="HZ421" t="str">
        <x:f>IF('Calculations'!HY421="","",IF('Calculations'!HY421="!AMBIG","!AMBIG",IF(COUNTIF('Calculations'!$HE$13:$HE$512,"="&amp;SUBSTITUTE(SUBSTITUTE(SUBSTITUTE('Calculations'!HY421,"~","~~"),"*","~*"),"?","~?"))&gt;1,"!AMBIG",IFERROR(INDEX('Calculations'!$HF$13:$HF$512,MATCH('Calculations'!HY421,'Calculations'!$HE$13:$HE$512,0)),""))))</x:f>
      </x:c>
      <x:c r="IA421" t="str">
        <x:f>IF('Calculations'!HZ421="","",IF('Calculations'!HZ421="!AMBIG","!AMBIG",IF(COUNTIF('Calculations'!$HE$13:$HE$512,"="&amp;SUBSTITUTE(SUBSTITUTE(SUBSTITUTE('Calculations'!HZ421,"~","~~"),"*","~*"),"?","~?"))&gt;1,"!AMBIG",IFERROR(INDEX('Calculations'!$HF$13:$HF$512,MATCH('Calculations'!HZ421,'Calculations'!$HE$13:$HE$512,0)),""))))</x:f>
      </x:c>
      <x:c r="IB421" t="str">
        <x:f>IF('Calculations'!IA421="","",IF('Calculations'!IA421="!AMBIG","!AMBIG",IF(COUNTIF('Calculations'!$HE$13:$HE$512,"="&amp;SUBSTITUTE(SUBSTITUTE(SUBSTITUTE('Calculations'!IA421,"~","~~"),"*","~*"),"?","~?"))&gt;1,"!AMBIG",IFERROR(INDEX('Calculations'!$HF$13:$HF$512,MATCH('Calculations'!IA421,'Calculations'!$HE$13:$HE$512,0)),""))))</x:f>
      </x:c>
      <x:c r="IC421" t="str">
        <x:f>IF('Calculations'!IB421="","",IF('Calculations'!IB421="!AMBIG","!AMBIG",IF(COUNTIF('Calculations'!$HE$13:$HE$512,"="&amp;SUBSTITUTE(SUBSTITUTE(SUBSTITUTE('Calculations'!IB421,"~","~~"),"*","~*"),"?","~?"))&gt;1,"!AMBIG",IFERROR(INDEX('Calculations'!$HF$13:$HF$512,MATCH('Calculations'!IB421,'Calculations'!$HE$13:$HE$512,0)),""))))</x:f>
      </x:c>
      <x:c r="ID421" t="str">
        <x:f>IF('Calculations'!IC421="","",IF('Calculations'!IC421="!AMBIG","!AMBIG",IF(COUNTIF('Calculations'!$HE$13:$HE$512,"="&amp;SUBSTITUTE(SUBSTITUTE(SUBSTITUTE('Calculations'!IC421,"~","~~"),"*","~*"),"?","~?"))&gt;1,"!AMBIG",IFERROR(INDEX('Calculations'!$HF$13:$HF$512,MATCH('Calculations'!IC421,'Calculations'!$HE$13:$HE$512,0)),""))))</x:f>
      </x:c>
      <x:c r="IE421" t="str">
        <x:f>IF('Calculations'!ID421="","",IF('Calculations'!ID421="!AMBIG","!AMBIG",IF(COUNTIF('Calculations'!$HE$13:$HE$512,"="&amp;SUBSTITUTE(SUBSTITUTE(SUBSTITUTE('Calculations'!ID421,"~","~~"),"*","~*"),"?","~?"))&gt;1,"!AMBIG",IFERROR(INDEX('Calculations'!$HF$13:$HF$512,MATCH('Calculations'!ID421,'Calculations'!$HE$13:$HE$512,0)),""))))</x:f>
      </x:c>
      <x:c r="IF421" t="str">
        <x:f>IF('Calculations'!IE421="","",IF('Calculations'!IE421="!AMBIG","!AMBIG",IF(COUNTIF('Calculations'!$HE$13:$HE$512,"="&amp;SUBSTITUTE(SUBSTITUTE(SUBSTITUTE('Calculations'!IE421,"~","~~"),"*","~*"),"?","~?"))&gt;1,"!AMBIG",IFERROR(INDEX('Calculations'!$HF$13:$HF$512,MATCH('Calculations'!IE421,'Calculations'!$HE$13:$HE$512,0)),""))))</x:f>
      </x:c>
      <x:c r="IG421" t="str">
        <x:f>IF('Calculations'!IF421="","",IF('Calculations'!IF421="!AMBIG","!AMBIG",IF(COUNTIF('Calculations'!$HE$13:$HE$512,"="&amp;SUBSTITUTE(SUBSTITUTE(SUBSTITUTE('Calculations'!IF421,"~","~~"),"*","~*"),"?","~?"))&gt;1,"!AMBIG",IFERROR(INDEX('Calculations'!$HF$13:$HF$512,MATCH('Calculations'!IF421,'Calculations'!$HE$13:$HE$512,0)),""))))</x:f>
      </x:c>
      <x:c r="IH421" t="str">
        <x:f>IF('Calculations'!IG421="","",IF('Calculations'!IG421="!AMBIG","!AMBIG",IF(COUNTIF('Calculations'!$HE$13:$HE$512,"="&amp;SUBSTITUTE(SUBSTITUTE(SUBSTITUTE('Calculations'!IG421,"~","~~"),"*","~*"),"?","~?"))&gt;1,"!AMBIG",IFERROR(INDEX('Calculations'!$HF$13:$HF$512,MATCH('Calculations'!IG421,'Calculations'!$HE$13:$HE$512,0)),""))))</x:f>
      </x:c>
      <x:c r="II421" t="str">
        <x:f>IF('Calculations'!IH421="","",IF('Calculations'!IH421="!AMBIG","!AMBIG",IF(COUNTIF('Calculations'!$HE$13:$HE$512,"="&amp;SUBSTITUTE(SUBSTITUTE(SUBSTITUTE('Calculations'!IH421,"~","~~"),"*","~*"),"?","~?"))&gt;1,"!AMBIG",IFERROR(INDEX('Calculations'!$HF$13:$HF$512,MATCH('Calculations'!IH421,'Calculations'!$HE$13:$HE$512,0)),""))))</x:f>
      </x:c>
      <x:c r="IJ421" t="str">
        <x:f>IF('Calculations'!EM421="","",IF('Calculations'!$EF$2="All",'Calculations'!HM421,IF('Calculations'!HL421=1,"",IFERROR(IF(MATCH('Calculations'!$EF$2,'Calculations'!HO421:II421,0)=1,'Calculations'!HE421,INDEX('Calculations'!HO421:II421,1,MATCH('Calculations'!$EF$2,'Calculations'!HO421:II421,0)-1)),""))))</x:f>
      </x:c>
      <x:c r="IK421" t="n">
        <x:f>IF(AND('Calculations'!EM421&lt;&gt;"",'Calculations'!$EF$2&lt;&gt;"All",'Calculations'!HF421='Calculations'!$EF$2,'Calculations'!HL421=0,'Calculations'!JD421&gt;0),MAX('Calculations'!$IK$12:IK420)+1,0)</x:f>
        <x:v>0</x:v>
      </x:c>
      <x:c r="JA421" t="n">
        <x:f>IF(OR(IFERROR(INDIRECT("'WCM Calibration Final'!$A$421")&lt;&gt;"",FALSE),IFERROR(INDIRECT("'WCM Calibration Final'!$B$421")&lt;&gt;"",FALSE),IFERROR(INDIRECT("'WCM Calibration Final'!$C$421")&lt;&gt;"",FALSE)),421,0)</x:f>
        <x:v>0</x:v>
      </x:c>
      <x:c r="JB421" t="n">
        <x:f>'Calculations'!JB420+IF('Calculations'!JA421&gt;0,1,0)</x:f>
        <x:v>0</x:v>
      </x:c>
      <x:c r="JC421" t="n">
        <x:f>IF(OR('Calculations'!HF421="",'Calculations'!HF421="!AMBIG"),0,IF('Dashboard'!$B$7="All",1,COUNTIFS('Calculations'!$HO$13:$HO$512,"="&amp;SUBSTITUTE(SUBSTITUTE(SUBSTITUTE('Calculations'!HF421,"~","~~"),"*","~*"),"?","~?"),'Calculations'!$HN$13:$HN$512,"="&amp;SUBSTITUTE(SUBSTITUTE(SUBSTITUTE('Dashboard'!$B$7,"~","~~"),"*","~*"),"?","~?"))+COUNTIFS('Calculations'!$HP$13:$HP$512,"="&amp;SUBSTITUTE(SUBSTITUTE(SUBSTITUTE('Calculations'!HF421,"~","~~"),"*","~*"),"?","~?"),'Calculations'!$HN$13:$HN$512,"="&amp;SUBSTITUTE(SUBSTITUTE(SUBSTITUTE('Dashboard'!$B$7,"~","~~"),"*","~*"),"?","~?"))+COUNTIFS('Calculations'!$HQ$13:$HQ$512,"="&amp;SUBSTITUTE(SUBSTITUTE(SUBSTITUTE('Calculations'!HF421,"~","~~"),"*","~*"),"?","~?"),'Calculations'!$HN$13:$HN$512,"="&amp;SUBSTITUTE(SUBSTITUTE(SUBSTITUTE('Dashboard'!$B$7,"~","~~"),"*","~*"),"?","~?"))+COUNTIFS('Calculations'!$HR$13:$HR$512,"="&amp;SUBSTITUTE(SUBSTITUTE(SUBSTITUTE('Calculations'!HF421,"~","~~"),"*","~*"),"?","~?"),'Calculations'!$HN$13:$HN$512,"="&amp;SUBSTITUTE(SUBSTITUTE(SUBSTITUTE('Dashboard'!$B$7,"~","~~"),"*","~*"),"?","~?"))+COUNTIFS('Calculations'!$HS$13:$HS$512,"="&amp;SUBSTITUTE(SUBSTITUTE(SUBSTITUTE('Calculations'!HF421,"~","~~"),"*","~*"),"?","~?"),'Calculations'!$HN$13:$HN$512,"="&amp;SUBSTITUTE(SUBSTITUTE(SUBSTITUTE('Dashboard'!$B$7,"~","~~"),"*","~*"),"?","~?"))+COUNTIFS('Calculations'!$HT$13:$HT$512,"="&amp;SUBSTITUTE(SUBSTITUTE(SUBSTITUTE('Calculations'!HF421,"~","~~"),"*","~*"),"?","~?"),'Calculations'!$HN$13:$HN$512,"="&amp;SUBSTITUTE(SUBSTITUTE(SUBSTITUTE('Dashboard'!$B$7,"~","~~"),"*","~*"),"?","~?"))+COUNTIFS('Calculations'!$HU$13:$HU$512,"="&amp;SUBSTITUTE(SUBSTITUTE(SUBSTITUTE('Calculations'!HF421,"~","~~"),"*","~*"),"?","~?"),'Calculations'!$HN$13:$HN$512,"="&amp;SUBSTITUTE(SUBSTITUTE(SUBSTITUTE('Dashboard'!$B$7,"~","~~"),"*","~*"),"?","~?"))+COUNTIFS('Calculations'!$HV$13:$HV$512,"="&amp;SUBSTITUTE(SUBSTITUTE(SUBSTITUTE('Calculations'!HF421,"~","~~"),"*","~*"),"?","~?"),'Calculations'!$HN$13:$HN$512,"="&amp;SUBSTITUTE(SUBSTITUTE(SUBSTITUTE('Dashboard'!$B$7,"~","~~"),"*","~*"),"?","~?"))+COUNTIFS('Calculations'!$HW$13:$HW$512,"="&amp;SUBSTITUTE(SUBSTITUTE(SUBSTITUTE('Calculations'!HF421,"~","~~"),"*","~*"),"?","~?"),'Calculations'!$HN$13:$HN$512,"="&amp;SUBSTITUTE(SUBSTITUTE(SUBSTITUTE('Dashboard'!$B$7,"~","~~"),"*","~*"),"?","~?"))+COUNTIFS('Calculations'!$HX$13:$HX$512,"="&amp;SUBSTITUTE(SUBSTITUTE(SUBSTITUTE('Calculations'!HF421,"~","~~"),"*","~*"),"?","~?"),'Calculations'!$HN$13:$HN$512,"="&amp;SUBSTITUTE(SUBSTITUTE(SUBSTITUTE('Dashboard'!$B$7,"~","~~"),"*","~*"),"?","~?"))+COUNTIFS('Calculations'!$HY$13:$HY$512,"="&amp;SUBSTITUTE(SUBSTITUTE(SUBSTITUTE('Calculations'!HF421,"~","~~"),"*","~*"),"?","~?"),'Calculations'!$HN$13:$HN$512,"="&amp;SUBSTITUTE(SUBSTITUTE(SUBSTITUTE('Dashboard'!$B$7,"~","~~"),"*","~*"),"?","~?"))+COUNTIFS('Calculations'!$HZ$13:$HZ$512,"="&amp;SUBSTITUTE(SUBSTITUTE(SUBSTITUTE('Calculations'!HF421,"~","~~"),"*","~*"),"?","~?"),'Calculations'!$HN$13:$HN$512,"="&amp;SUBSTITUTE(SUBSTITUTE(SUBSTITUTE('Dashboard'!$B$7,"~","~~"),"*","~*"),"?","~?"))+COUNTIFS('Calculations'!$IA$13:$IA$512,"="&amp;SUBSTITUTE(SUBSTITUTE(SUBSTITUTE('Calculations'!HF421,"~","~~"),"*","~*"),"?","~?"),'Calculations'!$HN$13:$HN$512,"="&amp;SUBSTITUTE(SUBSTITUTE(SUBSTITUTE('Dashboard'!$B$7,"~","~~"),"*","~*"),"?","~?"))+COUNTIFS('Calculations'!$IB$13:$IB$512,"="&amp;SUBSTITUTE(SUBSTITUTE(SUBSTITUTE('Calculations'!HF421,"~","~~"),"*","~*"),"?","~?"),'Calculations'!$HN$13:$HN$512,"="&amp;SUBSTITUTE(SUBSTITUTE(SUBSTITUTE('Dashboard'!$B$7,"~","~~"),"*","~*"),"?","~?"))+COUNTIFS('Calculations'!$IC$13:$IC$512,"="&amp;SUBSTITUTE(SUBSTITUTE(SUBSTITUTE('Calculations'!HF421,"~","~~"),"*","~*"),"?","~?"),'Calculations'!$HN$13:$HN$512,"="&amp;SUBSTITUTE(SUBSTITUTE(SUBSTITUTE('Dashboard'!$B$7,"~","~~"),"*","~*"),"?","~?"))+COUNTIFS('Calculations'!$ID$13:$ID$512,"="&amp;SUBSTITUTE(SUBSTITUTE(SUBSTITUTE('Calculations'!HF421,"~","~~"),"*","~*"),"?","~?"),'Calculations'!$HN$13:$HN$512,"="&amp;SUBSTITUTE(SUBSTITUTE(SUBSTITUTE('Dashboard'!$B$7,"~","~~"),"*","~*"),"?","~?"))+COUNTIFS('Calculations'!$IE$13:$IE$512,"="&amp;SUBSTITUTE(SUBSTITUTE(SUBSTITUTE('Calculations'!HF421,"~","~~"),"*","~*"),"?","~?"),'Calculations'!$HN$13:$HN$512,"="&amp;SUBSTITUTE(SUBSTITUTE(SUBSTITUTE('Dashboard'!$B$7,"~","~~"),"*","~*"),"?","~?"))+COUNTIFS('Calculations'!$IF$13:$IF$512,"="&amp;SUBSTITUTE(SUBSTITUTE(SUBSTITUTE('Calculations'!HF421,"~","~~"),"*","~*"),"?","~?"),'Calculations'!$HN$13:$HN$512,"="&amp;SUBSTITUTE(SUBSTITUTE(SUBSTITUTE('Dashboard'!$B$7,"~","~~"),"*","~*"),"?","~?"))+COUNTIFS('Calculations'!$IG$13:$IG$512,"="&amp;SUBSTITUTE(SUBSTITUTE(SUBSTITUTE('Calculations'!HF421,"~","~~"),"*","~*"),"?","~?"),'Calculations'!$HN$13:$HN$512,"="&amp;SUBSTITUTE(SUBSTITUTE(SUBSTITUTE('Dashboard'!$B$7,"~","~~"),"*","~*"),"?","~?"))+COUNTIFS('Calculations'!$IH$13:$IH$512,"="&amp;SUBSTITUTE(SUBSTITUTE(SUBSTITUTE('Calculations'!HF421,"~","~~"),"*","~*"),"?","~?"),'Calculations'!$HN$13:$HN$512,"="&amp;SUBSTITUTE(SUBSTITUTE(SUBSTITUTE('Dashboard'!$B$7,"~","~~"),"*","~*"),"?","~?"))))</x:f>
        <x:v>0</x:v>
      </x:c>
      <x:c r="JD421" t="n">
        <x:f>IF('Calculations'!EM421="",0,IF('Dashboard'!$B$7="All",1,IF('Calculations'!HN421='Dashboard'!$B$7,1,0)+IFERROR(INDEX('Calculations'!$JC$13:$JC$512,MATCH('Calculations'!HE421,'Calculations'!$HF$13:$HF$512,0)),0)))</x:f>
        <x:v>0</x:v>
      </x:c>
      <x:c r="JE421" t="n">
        <x:f>IF(AND('Calculations'!EM421&lt;&gt;"",'Calculations'!$JJ$2&lt;&gt;"All",'Calculations'!$JJ$2&lt;&gt;"",'Calculations'!HF421='Calculations'!$JJ$2,'Calculations'!HL421=0,'Calculations'!JD421&gt;0),MAX('Calculations'!$JE$12:JE420)+1,0)</x:f>
        <x:v>0</x:v>
      </x:c>
      <x:c r="JF421" t="str">
        <x:f>IF('Calculations'!EM421="","",IFERROR(IF(INDEX(INDIRECT("'WCM Calibration Final'!$G$1:$G$2000"),'Calculations'!$EM421)="","",TRIM(INDEX(INDIRECT("'WCM Calibration Final'!$G$1:$G$2000"),'Calculations'!$EM421)&amp;"")),""))</x:f>
      </x:c>
      <x:c r="JQ421" t="n">
        <x:f>IF(OR('Calculations'!BM421=0,NOT('Calculations'!$AG$2),'Calculations'!$AG$8&gt;0),0,IF(OR('Dashboard'!$B$7="All",'Calculations'!HN421='Dashboard'!$B$7),IF('Calculations'!$JJ$2="All",1,IF(AND('Calculations'!HF421='Calculations'!$JJ$2,'Calculations'!HL421=0),1,0)),0))</x:f>
        <x:v>0</x:v>
      </x:c>
    </x:row>
    <x:row r="422">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t="n">
        <x:f>IF('Calculations'!$EM422="",0,IF(OR(IFERROR(INDEX(INDIRECT("'WCM Calibration Final'!$A$1:$A$2000"),'Calculations'!$EM422)&lt;&gt;"",FALSE),IFERROR(INDEX(INDIRECT("'WCM Calibration Final'!$B$1:$B$2000"),'Calculations'!$EM422)&lt;&gt;"",FALSE),IFERROR(INDEX(INDIRECT("'WCM Calibration Final'!$C$1:$C$2000"),'Calculations'!$EM422)&lt;&gt;"",FALSE)),1,0))</x:f>
        <x:v>0</x:v>
      </x:c>
      <x:c r="BN422" s="4" t="n">
        <x:f>IF(AND('Calculations'!BM422=1,'Calculations'!$AG$2,'Calculations'!$EN422=1),1,0)</x:f>
        <x:v>0</x:v>
      </x:c>
      <x:c r="BO422" s="4" t="str">
        <x:f>IF('Calculations'!BM422=0,"",IFERROR(IF(AND(VALUE(INDEX(INDIRECT("'WCM Calibration Final'!$K$1:$K$2000"),'Calculations'!$EM422))&gt;=1,VALUE(INDEX(INDIRECT("'WCM Calibration Final'!$K$1:$K$2000"),'Calculations'!$EM422))&lt;=4,MOD(VALUE(INDEX(INDIRECT("'WCM Calibration Final'!$K$1:$K$2000"),'Calculations'!$EM422)),1)=0),VALUE(INDEX(INDIRECT("'WCM Calibration Final'!$K$1:$K$2000"),'Calculations'!$EM422)),""),""))</x:f>
      </x:c>
      <x:c r="BP422" s="4" t="str">
        <x:f>IF('Calculations'!BM422=0,"",IFERROR(IF(AND(VALUE(INDEX(INDIRECT("'WCM Calibration Final'!$L$1:$L$2000"),'Calculations'!$EM422))&gt;=1,VALUE(INDEX(INDIRECT("'WCM Calibration Final'!$L$1:$L$2000"),'Calculations'!$EM422))&lt;=4,MOD(VALUE(INDEX(INDIRECT("'WCM Calibration Final'!$L$1:$L$2000"),'Calculations'!$EM422)),1)=0),VALUE(INDEX(INDIRECT("'WCM Calibration Final'!$L$1:$L$2000"),'Calculations'!$EM422)),""),""))</x:f>
      </x:c>
      <x:c r="BQ422" s="4"/>
      <x:c r="BR422" s="4"/>
      <x:c r="BS422" s="4"/>
      <x:c r="BT422" s="4" t="n">
        <x:f>IF(AND('Calculations'!BM422=1,ISNUMBER('Calculations'!BO422),ISNUMBER('Calculations'!BP422)),1,0)</x:f>
        <x:v>0</x:v>
      </x:c>
      <x:c r="BU422" s="4" t="str">
        <x:f>IF('Calculations'!BM422=0,"",'Calculations'!$EO422)</x:f>
      </x:c>
      <x:c r="BV422" s="4" t="str">
        <x:f>IF('Calculations'!BM422=0,"",IFERROR(IF(OR(INDEX(INDIRECT("'WCM Calibration Final'!$H$1:$H$2000"),'Calculations'!$EM422)="MANAGING DIRECTOR",INDEX(INDIRECT("'WCM Calibration Final'!$H$1:$H$2000"),'Calculations'!$EM422)="DIRECTOR",INDEX(INDIRECT("'WCM Calibration Final'!$H$1:$H$2000"),'Calculations'!$EM422)="SENIOR VICE PRESIDENT",INDEX(INDIRECT("'WCM Calibration Final'!$H$1:$H$2000"),'Calculations'!$EM422)="VICE PRESIDENT",INDEX(INDIRECT("'WCM Calibration Final'!$H$1:$H$2000"),'Calculations'!$EM422)="ASSISTANT VICE PRESIDENT",INDEX(INDIRECT("'WCM Calibration Final'!$H$1:$H$2000"),'Calculations'!$EM422)="OFFICER"),UPPER(INDEX(INDIRECT("'WCM Calibration Final'!$H$1:$H$2000"),'Calculations'!$EM422)),"Other"),"Other"))</x:f>
      </x:c>
      <x:c r="BW422" s="4"/>
      <x:c r="BX422" s="4"/>
      <x:c r="BY422" s="4" t="n">
        <x:f>IF(AND('Calculations'!BM422=1,'Calculations'!BU422&lt;&gt;"",COUNTIF('Calculations'!$BU$12:BU422,'Calculations'!BU422)=1),MAX('Calculations'!$BY$11:BY421)+1,0)</x:f>
        <x:v>0</x:v>
      </x:c>
      <x:c r="BZ422" s="4" t="str">
        <x:f>IF('Dashboard'!$E$67="What",'Calculations'!BO422,'Calculations'!BP422)</x:f>
      </x:c>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t="str">
        <x:f>IF(411&gt;MAX('Calculations'!$HI$13:$HI$512),"",INDEX('Calculations'!$HN$13:$HN$512,MATCH(411,'Calculations'!$HI$13:$HI$512,0)))</x:f>
      </x:c>
      <x:c r="DB422" s="4" t="str">
        <x:f>IF(411&gt;MAX('Calculations'!$HH$13:$HH$512),"",INDEX('Calculations'!$HJ$13:$HJ$512,MATCH(411,'Calculations'!$HH$13:$HH$512,0)))</x:f>
      </x:c>
      <x:c r="DC422" s="4" t="str">
        <x:f>IF(ROW()-11&gt;MAX('Calculations'!$BY$13:$BY$512),"",INDEX('Calculations'!$BU$13:$BU$512,MATCH(ROW()-11,'Calculations'!$BY$13:$BY$512,0)))</x:f>
      </x:c>
      <x:c r="DD422" s="4" t="str">
        <x:f>IF(411&gt;MAX('Calculations'!$IK$13:$IK$512),"",INDEX('Calculations'!$HK$13:$HK$512,MATCH(411,'Calculations'!$IK$13:$IK$512,0)))</x:f>
      </x:c>
      <x:c r="DE422" s="4" t="str">
        <x:f>'Calculations'!DC422</x:f>
      </x:c>
      <x:c r="DF422" s="4" t="str">
        <x:f>IF('Calculations'!DE422="","",COUNTIFS('Calculations'!$BN$13:$BN$512,1,'Calculations'!$BU$13:$BU$512,'Calculations'!DE422))</x:f>
      </x:c>
      <x:c r="DG422" s="4" t="str">
        <x:f>IF('Calculations'!DE422="","",COUNTIFS('Calculations'!$BN$13:$BN$512,1,'Calculations'!$BU$13:$BU$512,'Calculations'!DE422,'Calculations'!$BT$13:$BT$512,1))</x:f>
      </x:c>
      <x:c r="DH422" s="4" t="str">
        <x:f>IF('Calculations'!DE422="","",'Calculations'!DF422-'Calculations'!DG422)</x:f>
      </x:c>
      <x:c r="DI422" s="4" t="str">
        <x:f>IF(OR('Calculations'!DE422="",'Calculations'!DF422=0),"",'Calculations'!DG422/'Calculations'!DF422)</x:f>
      </x:c>
      <x:c r="DJ422" s="4" t="str">
        <x:f>IF('Calculations'!DE422="","",COUNTIFS('Calculations'!$BN$13:$BN$512,1,'Calculations'!$BU$13:$BU$512,'Calculations'!DE422,'Calculations'!$BT$13:$BT$512,1,'Calculations'!$EE$13:$EE$512,"High"))</x:f>
      </x:c>
      <x:c r="DK422" s="4" t="str">
        <x:f>IF('Calculations'!DE422="","",COUNTIFS('Calculations'!$BN$13:$BN$512,1,'Calculations'!$BU$13:$BU$512,'Calculations'!DE422,'Calculations'!$BT$13:$BT$512,1,'Calculations'!$EE$13:$EE$512,"Strong"))</x:f>
      </x:c>
      <x:c r="DL422" s="4" t="str">
        <x:f>IF('Calculations'!DE422="","",COUNTIFS('Calculations'!$BN$13:$BN$512,1,'Calculations'!$BU$13:$BU$512,'Calculations'!DE422,'Calculations'!$BT$13:$BT$512,1,'Calculations'!$EE$13:$EE$512,"Solid"))</x:f>
      </x:c>
      <x:c r="DM422" s="4" t="str">
        <x:f>IF('Calculations'!DE422="","",COUNTIFS('Calculations'!$BN$13:$BN$512,1,'Calculations'!$BU$13:$BU$512,'Calculations'!DE422,'Calculations'!$BT$13:$BT$512,1,'Calculations'!$EE$13:$EE$512,"Low"))</x:f>
      </x:c>
      <x:c r="DN422" s="4" t="str">
        <x:f>IF('Calculations'!DE422="","",COUNTIFS('Calculations'!$BN$13:$BN$512,1,'Calculations'!$BU$13:$BU$512,'Calculations'!DE422,'Calculations'!$EP$13:$EP$512,1))</x:f>
      </x:c>
      <x:c r="DO422" s="4" t="str">
        <x:f>IF(OR('Calculations'!DE422="",'Calculations'!DG422=0),"",('Calculations'!DJ422+'Calculations'!DK422)/'Calculations'!DG422)</x:f>
      </x:c>
      <x:c r="DP422" s="4" t="n">
        <x:f>IF(AND('Calculations'!DE422&lt;&gt;"",'Calculations'!DF422&gt;0),COUNTIF('Calculations'!$DF$12:DF422,"&gt;0"),0)</x:f>
        <x:v>0</x:v>
      </x:c>
      <x:c r="DQ422" s="4" t="str">
        <x:f>IF(411&gt;MAX('Calculations'!$HH$13:$HH$512),"",INDEX('Calculations'!$HF$13:$HF$512,MATCH(411,'Calculations'!$HH$13:$HH$512,0)))</x:f>
      </x:c>
      <x:c r="DR422" s="4" t="str">
        <x:f>IF(411&gt;MAX('Calculations'!$IK$13:$IK$512),"",INDEX('Calculations'!$HE$13:$HE$512,MATCH(411,'Calculations'!$IK$13:$IK$512,0)))</x:f>
      </x:c>
      <x:c r="DS422" s="4"/>
      <x:c r="DT422" s="4"/>
      <x:c r="DU422" s="4"/>
      <x:c r="DV422" s="4"/>
      <x:c r="DW422" s="4"/>
      <x:c r="DX422" s="4"/>
      <x:c r="DY422" s="4"/>
      <x:c r="DZ422" s="4"/>
      <x:c r="EA422" s="4"/>
      <x:c r="EB422" s="4"/>
      <x:c r="EC422" s="4"/>
      <x:c r="ED422" s="4"/>
      <x:c r="EE422" s="4" t="str">
        <x:f>IF('Calculations'!BT422=0,"Not Rated",IF(OR('Calculations'!BO422&gt;=4,'Calculations'!BP422&gt;=4),"Low",IF('Calculations'!BO422+'Calculations'!BP422&lt;=3,"High",IF('Calculations'!BO422+'Calculations'!BP422&lt;=4,"Strong","Solid"))))</x:f>
        <x:v>Not Rated</x:v>
      </x:c>
      <x:c r="EF422" s="4"/>
      <x:c r="EG422" s="4"/>
      <x:c r="EH422" s="4"/>
      <x:c r="EI422" s="4"/>
      <x:c r="EJ422" s="4"/>
      <x:c r="EK422" s="4"/>
      <x:c r="EL422" s="4"/>
      <x:c r="EM422" s="4" t="str">
        <x:f>IF(410&gt;'Calculations'!$JB$2000,"",INDEX('Calculations'!$JA$12:$JA$2000,MATCH(410,'Calculations'!$JB$12:$JB$2000,0)))</x:f>
      </x:c>
      <x:c r="EN422" s="4" t="n">
        <x:f>IF(OR('Calculations'!EM422="",'Calculations'!$AG$8&gt;0,AND('Calculations'!$EF$2&lt;&gt;"All",'Calculations'!HE422='Calculations'!$EF$2),AND('Calculations'!$EF$3&lt;&gt;"All",'Calculations'!HE422='Calculations'!$EF$3)),0,IF(OR('Dashboard'!$B$7="All",'Calculations'!HN422='Dashboard'!$B$7),IF('Calculations'!$EF$2="All",1,IF('Calculations'!HL422&gt;0,0,IF(COUNTIF('Calculations'!HO422:II422,"="&amp;SUBSTITUTE(SUBSTITUTE(SUBSTITUTE('Calculations'!$EF$2,"~","~~"),"*","~*"),"?","~?"))=0,0,IF('Calculations'!$EF$3="All",1,IF(COUNTIF('Calculations'!HO422:II422,"="&amp;SUBSTITUTE(SUBSTITUTE(SUBSTITUTE('Calculations'!$EF$3,"~","~~"),"*","~*"),"?","~?"))&gt;0,1,0))))),0))</x:f>
        <x:v>0</x:v>
      </x:c>
      <x:c r="EO422" s="4" t="str">
        <x:f>IF('Calculations'!IJ422="","",IF('Calculations'!IJ422="!UNRESOLVED","Unresolved hierarchy",IFERROR(INDEX('Calculations'!$HK$13:$HK$512,MATCH('Calculations'!IJ422,'Calculations'!$HE$13:$HE$512,0)),IFERROR(INDEX('Calculations'!$HJ$13:$HJ$512,MATCH('Calculations'!IJ422,'Calculations'!$HF$13:$HF$512,0)),'Calculations'!IJ422))))</x:f>
      </x:c>
      <x:c r="EP422" s="4" t="n">
        <x:f>IF(AND('Calculations'!EM422&lt;&gt;"",'Calculations'!HF422='Calculations'!IJ422),1,0)</x:f>
        <x:v>0</x:v>
      </x:c>
      <x:c r="EQ422" s="4"/>
      <x:c r="ER422" s="4"/>
      <x:c r="ES422" s="4"/>
      <x:c r="ET422" s="4"/>
      <x:c r="EU422" s="4"/>
      <x:c r="EV422" s="4"/>
      <x:c r="EW422" s="4"/>
      <x:c r="EX422" s="4"/>
      <x:c r="EY422" s="4"/>
      <x:c r="EZ422" s="4"/>
      <x:c r="FA422" s="4"/>
      <x:c r="FB422" s="4"/>
      <x:c r="FC422" s="4"/>
      <x:c r="FD422" s="4"/>
      <x:c r="FE422" s="4"/>
      <x:c r="FF422" s="4"/>
      <x:c r="FG422" s="4"/>
      <x:c r="FH422" s="4"/>
      <x:c r="FI422" s="4"/>
      <x:c r="FJ422" s="4"/>
      <x:c r="FK422" s="4"/>
      <x:c r="FL422" s="4"/>
      <x:c r="FM422" s="4"/>
      <x:c r="FN422" s="4"/>
      <x:c r="FO422" s="4"/>
      <x:c r="HE422" t="str">
        <x:f>IF('Calculations'!EM422="","",IF(IFERROR(IF(INDEX(INDIRECT("'WCM Calibration Final'!$A$1:$A$2000"),'Calculations'!$EM422)="","",TRIM(INDEX(INDIRECT("'WCM Calibration Final'!$A$1:$A$2000"),'Calculations'!$EM422)&amp;"")),"")&lt;&gt;"","G:"&amp;IFERROR(TEXT(1*INDEX(INDIRECT("'WCM Calibration Final'!$A$1:$A$2000"),'Calculations'!$EM422),"0"),UPPER(IFERROR(IF(INDEX(INDIRECT("'WCM Calibration Final'!$A$1:$A$2000"),'Calculations'!$EM422)="","",TRIM(INDEX(INDIRECT("'WCM Calibration Final'!$A$1:$A$2000"),'Calculations'!$EM422)&amp;"")),""))),IF(IFERROR(IF(INDEX(INDIRECT("'WCM Calibration Final'!$C$1:$C$2000"),'Calculations'!$EM422)="","",TRIM(INDEX(INDIRECT("'WCM Calibration Final'!$C$1:$C$2000"),'Calculations'!$EM422)&amp;"")),"")&lt;&gt;"","S:"&amp;UPPER(IFERROR(IF(INDEX(INDIRECT("'WCM Calibration Final'!$C$1:$C$2000"),'Calculations'!$EM422)="","",TRIM(INDEX(INDIRECT("'WCM Calibration Final'!$C$1:$C$2000"),'Calculations'!$EM422)&amp;"")),"")),"R:"&amp;'Calculations'!EM422)))</x:f>
      </x:c>
      <x:c r="HF422" t="str">
        <x:f>IF('Calculations'!EM422="","",IF(IFERROR(IF(INDEX(INDIRECT("'WCM Calibration Final'!$D$1:$D$2000"),'Calculations'!$EM422)="","",TRIM(INDEX(INDIRECT("'WCM Calibration Final'!$D$1:$D$2000"),'Calculations'!$EM422)&amp;"")),"")&lt;&gt;"","G:"&amp;IFERROR(TEXT(1*INDEX(INDIRECT("'WCM Calibration Final'!$D$1:$D$2000"),'Calculations'!$EM422),"0"),UPPER(IFERROR(IF(INDEX(INDIRECT("'WCM Calibration Final'!$D$1:$D$2000"),'Calculations'!$EM422)="","",TRIM(INDEX(INDIRECT("'WCM Calibration Final'!$D$1:$D$2000"),'Calculations'!$EM422)&amp;"")),""))),IF(IFERROR(IF(INDEX(INDIRECT("'WCM Calibration Final'!$E$1:$E$2000"),'Calculations'!$EM422)="","",TRIM(INDEX(INDIRECT("'WCM Calibration Final'!$E$1:$E$2000"),'Calculations'!$EM422)&amp;"")),"")="","",IF(COUNTIF('Calculations'!$HG$13:$HG$512,"="&amp;SUBSTITUTE(SUBSTITUTE(SUBSTITUTE(IFERROR(IF(INDEX(INDIRECT("'WCM Calibration Final'!$E$1:$E$2000"),'Calculations'!$EM422)="","",TRIM(INDEX(INDIRECT("'WCM Calibration Final'!$E$1:$E$2000"),'Calculations'!$EM422)&amp;"")),""),"~","~~"),"*","~*"),"?","~?"))=1,INDEX('Calculations'!$HE$13:$HE$512,MATCH(IFERROR(IF(INDEX(INDIRECT("'WCM Calibration Final'!$E$1:$E$2000"),'Calculations'!$EM422)="","",TRIM(INDEX(INDIRECT("'WCM Calibration Final'!$E$1:$E$2000"),'Calculations'!$EM422)&amp;"")),""),'Calculations'!$HG$13:$HG$512,0)),IF(COUNTIF('Calculations'!$HG$13:$HG$512,"="&amp;SUBSTITUTE(SUBSTITUTE(SUBSTITUTE(IFERROR(IF(INDEX(INDIRECT("'WCM Calibration Final'!$E$1:$E$2000"),'Calculations'!$EM422)="","",TRIM(INDEX(INDIRECT("'WCM Calibration Final'!$E$1:$E$2000"),'Calculations'!$EM422)&amp;"")),""),"~","~~"),"*","~*"),"?","~?"))&gt;1,"!AMBIG","X:"&amp;IFERROR(IF(INDEX(INDIRECT("'WCM Calibration Final'!$E$1:$E$2000"),'Calculations'!$EM422)="","",TRIM(INDEX(INDIRECT("'WCM Calibration Final'!$E$1:$E$2000"),'Calculations'!$EM422)&amp;"")),""))))))</x:f>
      </x:c>
      <x:c r="HG422" t="str">
        <x:f>IF('Calculations'!EM422="","",IFERROR(IF(INDEX(INDIRECT("'WCM Calibration Final'!$B$1:$B$2000"),'Calculations'!$EM422)="","",TRIM(INDEX(INDIRECT("'WCM Calibration Final'!$B$1:$B$2000"),'Calculations'!$EM422)&amp;"")),""))</x:f>
      </x:c>
      <x:c r="HH422" t="n">
        <x:f>IF(AND('Calculations'!JC422&gt;0,COUNTIF('Calculations'!$HF$12:HF422,"="&amp;SUBSTITUTE(SUBSTITUTE(SUBSTITUTE('Calculations'!HF422,"~","~~"),"*","~*"),"?","~?"))=1),MAX('Calculations'!$HH$12:HH421)+1,0)</x:f>
        <x:v>0</x:v>
      </x:c>
      <x:c r="HI422" t="n">
        <x:f>IF(AND('Calculations'!HN422&lt;&gt;"",COUNTIF('Calculations'!$HN$12:HN422,"="&amp;SUBSTITUTE(SUBSTITUTE(SUBSTITUTE('Calculations'!HN422,"~","~~"),"*","~*"),"?","~?"))=1),MAX('Calculations'!$HI$12:HI421)+1,0)</x:f>
        <x:v>0</x:v>
      </x:c>
      <x:c r="HJ422" t="str">
        <x:f>IF('Calculations'!HF422="","",IF(COUNTIF('Calculations'!$HE$13:$HE$512,"="&amp;SUBSTITUTE(SUBSTITUTE(SUBSTITUTE('Calculations'!HF422,"~","~~"),"*","~*"),"?","~?"))=1,INDEX('Calculations'!$HK$13:$HK$512,MATCH('Calculations'!HF422,'Calculations'!$HE$13:$HE$512,0)),IFERROR(IF(INDEX(INDIRECT("'WCM Calibration Final'!$E$1:$E$2000"),'Calculations'!$EM422)="","",TRIM(INDEX(INDIRECT("'WCM Calibration Final'!$E$1:$E$2000"),'Calculations'!$EM422)&amp;"")),"")&amp;" ["&amp;'Calculations'!HF422&amp;"]"))</x:f>
      </x:c>
      <x:c r="HK422" t="str">
        <x:f>IF('Calculations'!EM422="","",'Calculations'!HG422&amp;" ["&amp;'Calculations'!HE422&amp;"]")</x:f>
      </x:c>
      <x:c r="HL422" t="n">
        <x:f>IF('Calculations'!EM422="",0,IF(OR('Calculations'!II422&lt;&gt;"",COUNTIF('Calculations'!$HE$13:$HE$512,"="&amp;SUBSTITUTE(SUBSTITUTE(SUBSTITUTE('Calculations'!HE422,"~","~~"),"*","~*"),"?","~?"))&gt;1),1,0))</x:f>
        <x:v>0</x:v>
      </x:c>
      <x:c r="HM422" t="str">
        <x:f>IF('Calculations'!EM422="","",IF('Calculations'!HL422=1,"!UNRESOLVED",IF('Calculations'!IH422&lt;&gt;"",'Calculations'!IH422,IF('Calculations'!IG422&lt;&gt;"",'Calculations'!IG422,IF('Calculations'!IF422&lt;&gt;"",'Calculations'!IF422,IF('Calculations'!IE422&lt;&gt;"",'Calculations'!IE422,IF('Calculations'!ID422&lt;&gt;"",'Calculations'!ID422,IF('Calculations'!IC422&lt;&gt;"",'Calculations'!IC422,IF('Calculations'!IB422&lt;&gt;"",'Calculations'!IB422,IF('Calculations'!IA422&lt;&gt;"",'Calculations'!IA422,IF('Calculations'!HZ422&lt;&gt;"",'Calculations'!HZ422,IF('Calculations'!HY422&lt;&gt;"",'Calculations'!HY422,IF('Calculations'!HX422&lt;&gt;"",'Calculations'!HX422,IF('Calculations'!HW422&lt;&gt;"",'Calculations'!HW422,IF('Calculations'!HV422&lt;&gt;"",'Calculations'!HV422,IF('Calculations'!HU422&lt;&gt;"",'Calculations'!HU422,IF('Calculations'!HT422&lt;&gt;"",'Calculations'!HT422,IF('Calculations'!HS422&lt;&gt;"",'Calculations'!HS422,IF('Calculations'!HR422&lt;&gt;"",'Calculations'!HR422,IF('Calculations'!HQ422&lt;&gt;"",'Calculations'!HQ422,IF('Calculations'!HP422&lt;&gt;"",'Calculations'!HP422,IF('Calculations'!HO422&lt;&gt;"",'Calculations'!HO422,'Calculations'!HE422))))))))))))))))))))))</x:f>
      </x:c>
      <x:c r="HN422" t="str">
        <x:f>IF('Calculations'!EM422="","",IF(IFERROR(IF(INDEX(INDIRECT("'WCM Calibration Final'!$F$1:$F$2000"),'Calculations'!$EM422)="","",TRIM(INDEX(INDIRECT("'WCM Calibration Final'!$F$1:$F$2000"),'Calculations'!$EM422)&amp;"")),"")="","(Blank)",IFERROR(IF(INDEX(INDIRECT("'WCM Calibration Final'!$F$1:$F$2000"),'Calculations'!$EM422)="","",TRIM(INDEX(INDIRECT("'WCM Calibration Final'!$F$1:$F$2000"),'Calculations'!$EM422)&amp;"")),"")))</x:f>
      </x:c>
      <x:c r="HO422" t="str">
        <x:f>'Calculations'!HF422</x:f>
      </x:c>
      <x:c r="HP422" t="str">
        <x:f>IF('Calculations'!HO422="","",IF('Calculations'!HO422="!AMBIG","!AMBIG",IF(COUNTIF('Calculations'!$HE$13:$HE$512,"="&amp;SUBSTITUTE(SUBSTITUTE(SUBSTITUTE('Calculations'!HO422,"~","~~"),"*","~*"),"?","~?"))&gt;1,"!AMBIG",IFERROR(INDEX('Calculations'!$HF$13:$HF$512,MATCH('Calculations'!HO422,'Calculations'!$HE$13:$HE$512,0)),""))))</x:f>
      </x:c>
      <x:c r="HQ422" t="str">
        <x:f>IF('Calculations'!HP422="","",IF('Calculations'!HP422="!AMBIG","!AMBIG",IF(COUNTIF('Calculations'!$HE$13:$HE$512,"="&amp;SUBSTITUTE(SUBSTITUTE(SUBSTITUTE('Calculations'!HP422,"~","~~"),"*","~*"),"?","~?"))&gt;1,"!AMBIG",IFERROR(INDEX('Calculations'!$HF$13:$HF$512,MATCH('Calculations'!HP422,'Calculations'!$HE$13:$HE$512,0)),""))))</x:f>
      </x:c>
      <x:c r="HR422" t="str">
        <x:f>IF('Calculations'!HQ422="","",IF('Calculations'!HQ422="!AMBIG","!AMBIG",IF(COUNTIF('Calculations'!$HE$13:$HE$512,"="&amp;SUBSTITUTE(SUBSTITUTE(SUBSTITUTE('Calculations'!HQ422,"~","~~"),"*","~*"),"?","~?"))&gt;1,"!AMBIG",IFERROR(INDEX('Calculations'!$HF$13:$HF$512,MATCH('Calculations'!HQ422,'Calculations'!$HE$13:$HE$512,0)),""))))</x:f>
      </x:c>
      <x:c r="HS422" t="str">
        <x:f>IF('Calculations'!HR422="","",IF('Calculations'!HR422="!AMBIG","!AMBIG",IF(COUNTIF('Calculations'!$HE$13:$HE$512,"="&amp;SUBSTITUTE(SUBSTITUTE(SUBSTITUTE('Calculations'!HR422,"~","~~"),"*","~*"),"?","~?"))&gt;1,"!AMBIG",IFERROR(INDEX('Calculations'!$HF$13:$HF$512,MATCH('Calculations'!HR422,'Calculations'!$HE$13:$HE$512,0)),""))))</x:f>
      </x:c>
      <x:c r="HT422" t="str">
        <x:f>IF('Calculations'!HS422="","",IF('Calculations'!HS422="!AMBIG","!AMBIG",IF(COUNTIF('Calculations'!$HE$13:$HE$512,"="&amp;SUBSTITUTE(SUBSTITUTE(SUBSTITUTE('Calculations'!HS422,"~","~~"),"*","~*"),"?","~?"))&gt;1,"!AMBIG",IFERROR(INDEX('Calculations'!$HF$13:$HF$512,MATCH('Calculations'!HS422,'Calculations'!$HE$13:$HE$512,0)),""))))</x:f>
      </x:c>
      <x:c r="HU422" t="str">
        <x:f>IF('Calculations'!HT422="","",IF('Calculations'!HT422="!AMBIG","!AMBIG",IF(COUNTIF('Calculations'!$HE$13:$HE$512,"="&amp;SUBSTITUTE(SUBSTITUTE(SUBSTITUTE('Calculations'!HT422,"~","~~"),"*","~*"),"?","~?"))&gt;1,"!AMBIG",IFERROR(INDEX('Calculations'!$HF$13:$HF$512,MATCH('Calculations'!HT422,'Calculations'!$HE$13:$HE$512,0)),""))))</x:f>
      </x:c>
      <x:c r="HV422" t="str">
        <x:f>IF('Calculations'!HU422="","",IF('Calculations'!HU422="!AMBIG","!AMBIG",IF(COUNTIF('Calculations'!$HE$13:$HE$512,"="&amp;SUBSTITUTE(SUBSTITUTE(SUBSTITUTE('Calculations'!HU422,"~","~~"),"*","~*"),"?","~?"))&gt;1,"!AMBIG",IFERROR(INDEX('Calculations'!$HF$13:$HF$512,MATCH('Calculations'!HU422,'Calculations'!$HE$13:$HE$512,0)),""))))</x:f>
      </x:c>
      <x:c r="HW422" t="str">
        <x:f>IF('Calculations'!HV422="","",IF('Calculations'!HV422="!AMBIG","!AMBIG",IF(COUNTIF('Calculations'!$HE$13:$HE$512,"="&amp;SUBSTITUTE(SUBSTITUTE(SUBSTITUTE('Calculations'!HV422,"~","~~"),"*","~*"),"?","~?"))&gt;1,"!AMBIG",IFERROR(INDEX('Calculations'!$HF$13:$HF$512,MATCH('Calculations'!HV422,'Calculations'!$HE$13:$HE$512,0)),""))))</x:f>
      </x:c>
      <x:c r="HX422" t="str">
        <x:f>IF('Calculations'!HW422="","",IF('Calculations'!HW422="!AMBIG","!AMBIG",IF(COUNTIF('Calculations'!$HE$13:$HE$512,"="&amp;SUBSTITUTE(SUBSTITUTE(SUBSTITUTE('Calculations'!HW422,"~","~~"),"*","~*"),"?","~?"))&gt;1,"!AMBIG",IFERROR(INDEX('Calculations'!$HF$13:$HF$512,MATCH('Calculations'!HW422,'Calculations'!$HE$13:$HE$512,0)),""))))</x:f>
      </x:c>
      <x:c r="HY422" t="str">
        <x:f>IF('Calculations'!HX422="","",IF('Calculations'!HX422="!AMBIG","!AMBIG",IF(COUNTIF('Calculations'!$HE$13:$HE$512,"="&amp;SUBSTITUTE(SUBSTITUTE(SUBSTITUTE('Calculations'!HX422,"~","~~"),"*","~*"),"?","~?"))&gt;1,"!AMBIG",IFERROR(INDEX('Calculations'!$HF$13:$HF$512,MATCH('Calculations'!HX422,'Calculations'!$HE$13:$HE$512,0)),""))))</x:f>
      </x:c>
      <x:c r="HZ422" t="str">
        <x:f>IF('Calculations'!HY422="","",IF('Calculations'!HY422="!AMBIG","!AMBIG",IF(COUNTIF('Calculations'!$HE$13:$HE$512,"="&amp;SUBSTITUTE(SUBSTITUTE(SUBSTITUTE('Calculations'!HY422,"~","~~"),"*","~*"),"?","~?"))&gt;1,"!AMBIG",IFERROR(INDEX('Calculations'!$HF$13:$HF$512,MATCH('Calculations'!HY422,'Calculations'!$HE$13:$HE$512,0)),""))))</x:f>
      </x:c>
      <x:c r="IA422" t="str">
        <x:f>IF('Calculations'!HZ422="","",IF('Calculations'!HZ422="!AMBIG","!AMBIG",IF(COUNTIF('Calculations'!$HE$13:$HE$512,"="&amp;SUBSTITUTE(SUBSTITUTE(SUBSTITUTE('Calculations'!HZ422,"~","~~"),"*","~*"),"?","~?"))&gt;1,"!AMBIG",IFERROR(INDEX('Calculations'!$HF$13:$HF$512,MATCH('Calculations'!HZ422,'Calculations'!$HE$13:$HE$512,0)),""))))</x:f>
      </x:c>
      <x:c r="IB422" t="str">
        <x:f>IF('Calculations'!IA422="","",IF('Calculations'!IA422="!AMBIG","!AMBIG",IF(COUNTIF('Calculations'!$HE$13:$HE$512,"="&amp;SUBSTITUTE(SUBSTITUTE(SUBSTITUTE('Calculations'!IA422,"~","~~"),"*","~*"),"?","~?"))&gt;1,"!AMBIG",IFERROR(INDEX('Calculations'!$HF$13:$HF$512,MATCH('Calculations'!IA422,'Calculations'!$HE$13:$HE$512,0)),""))))</x:f>
      </x:c>
      <x:c r="IC422" t="str">
        <x:f>IF('Calculations'!IB422="","",IF('Calculations'!IB422="!AMBIG","!AMBIG",IF(COUNTIF('Calculations'!$HE$13:$HE$512,"="&amp;SUBSTITUTE(SUBSTITUTE(SUBSTITUTE('Calculations'!IB422,"~","~~"),"*","~*"),"?","~?"))&gt;1,"!AMBIG",IFERROR(INDEX('Calculations'!$HF$13:$HF$512,MATCH('Calculations'!IB422,'Calculations'!$HE$13:$HE$512,0)),""))))</x:f>
      </x:c>
      <x:c r="ID422" t="str">
        <x:f>IF('Calculations'!IC422="","",IF('Calculations'!IC422="!AMBIG","!AMBIG",IF(COUNTIF('Calculations'!$HE$13:$HE$512,"="&amp;SUBSTITUTE(SUBSTITUTE(SUBSTITUTE('Calculations'!IC422,"~","~~"),"*","~*"),"?","~?"))&gt;1,"!AMBIG",IFERROR(INDEX('Calculations'!$HF$13:$HF$512,MATCH('Calculations'!IC422,'Calculations'!$HE$13:$HE$512,0)),""))))</x:f>
      </x:c>
      <x:c r="IE422" t="str">
        <x:f>IF('Calculations'!ID422="","",IF('Calculations'!ID422="!AMBIG","!AMBIG",IF(COUNTIF('Calculations'!$HE$13:$HE$512,"="&amp;SUBSTITUTE(SUBSTITUTE(SUBSTITUTE('Calculations'!ID422,"~","~~"),"*","~*"),"?","~?"))&gt;1,"!AMBIG",IFERROR(INDEX('Calculations'!$HF$13:$HF$512,MATCH('Calculations'!ID422,'Calculations'!$HE$13:$HE$512,0)),""))))</x:f>
      </x:c>
      <x:c r="IF422" t="str">
        <x:f>IF('Calculations'!IE422="","",IF('Calculations'!IE422="!AMBIG","!AMBIG",IF(COUNTIF('Calculations'!$HE$13:$HE$512,"="&amp;SUBSTITUTE(SUBSTITUTE(SUBSTITUTE('Calculations'!IE422,"~","~~"),"*","~*"),"?","~?"))&gt;1,"!AMBIG",IFERROR(INDEX('Calculations'!$HF$13:$HF$512,MATCH('Calculations'!IE422,'Calculations'!$HE$13:$HE$512,0)),""))))</x:f>
      </x:c>
      <x:c r="IG422" t="str">
        <x:f>IF('Calculations'!IF422="","",IF('Calculations'!IF422="!AMBIG","!AMBIG",IF(COUNTIF('Calculations'!$HE$13:$HE$512,"="&amp;SUBSTITUTE(SUBSTITUTE(SUBSTITUTE('Calculations'!IF422,"~","~~"),"*","~*"),"?","~?"))&gt;1,"!AMBIG",IFERROR(INDEX('Calculations'!$HF$13:$HF$512,MATCH('Calculations'!IF422,'Calculations'!$HE$13:$HE$512,0)),""))))</x:f>
      </x:c>
      <x:c r="IH422" t="str">
        <x:f>IF('Calculations'!IG422="","",IF('Calculations'!IG422="!AMBIG","!AMBIG",IF(COUNTIF('Calculations'!$HE$13:$HE$512,"="&amp;SUBSTITUTE(SUBSTITUTE(SUBSTITUTE('Calculations'!IG422,"~","~~"),"*","~*"),"?","~?"))&gt;1,"!AMBIG",IFERROR(INDEX('Calculations'!$HF$13:$HF$512,MATCH('Calculations'!IG422,'Calculations'!$HE$13:$HE$512,0)),""))))</x:f>
      </x:c>
      <x:c r="II422" t="str">
        <x:f>IF('Calculations'!IH422="","",IF('Calculations'!IH422="!AMBIG","!AMBIG",IF(COUNTIF('Calculations'!$HE$13:$HE$512,"="&amp;SUBSTITUTE(SUBSTITUTE(SUBSTITUTE('Calculations'!IH422,"~","~~"),"*","~*"),"?","~?"))&gt;1,"!AMBIG",IFERROR(INDEX('Calculations'!$HF$13:$HF$512,MATCH('Calculations'!IH422,'Calculations'!$HE$13:$HE$512,0)),""))))</x:f>
      </x:c>
      <x:c r="IJ422" t="str">
        <x:f>IF('Calculations'!EM422="","",IF('Calculations'!$EF$2="All",'Calculations'!HM422,IF('Calculations'!HL422=1,"",IFERROR(IF(MATCH('Calculations'!$EF$2,'Calculations'!HO422:II422,0)=1,'Calculations'!HE422,INDEX('Calculations'!HO422:II422,1,MATCH('Calculations'!$EF$2,'Calculations'!HO422:II422,0)-1)),""))))</x:f>
      </x:c>
      <x:c r="IK422" t="n">
        <x:f>IF(AND('Calculations'!EM422&lt;&gt;"",'Calculations'!$EF$2&lt;&gt;"All",'Calculations'!HF422='Calculations'!$EF$2,'Calculations'!HL422=0,'Calculations'!JD422&gt;0),MAX('Calculations'!$IK$12:IK421)+1,0)</x:f>
        <x:v>0</x:v>
      </x:c>
      <x:c r="JA422" t="n">
        <x:f>IF(OR(IFERROR(INDIRECT("'WCM Calibration Final'!$A$422")&lt;&gt;"",FALSE),IFERROR(INDIRECT("'WCM Calibration Final'!$B$422")&lt;&gt;"",FALSE),IFERROR(INDIRECT("'WCM Calibration Final'!$C$422")&lt;&gt;"",FALSE)),422,0)</x:f>
        <x:v>0</x:v>
      </x:c>
      <x:c r="JB422" t="n">
        <x:f>'Calculations'!JB421+IF('Calculations'!JA422&gt;0,1,0)</x:f>
        <x:v>0</x:v>
      </x:c>
      <x:c r="JC422" t="n">
        <x:f>IF(OR('Calculations'!HF422="",'Calculations'!HF422="!AMBIG"),0,IF('Dashboard'!$B$7="All",1,COUNTIFS('Calculations'!$HO$13:$HO$512,"="&amp;SUBSTITUTE(SUBSTITUTE(SUBSTITUTE('Calculations'!HF422,"~","~~"),"*","~*"),"?","~?"),'Calculations'!$HN$13:$HN$512,"="&amp;SUBSTITUTE(SUBSTITUTE(SUBSTITUTE('Dashboard'!$B$7,"~","~~"),"*","~*"),"?","~?"))+COUNTIFS('Calculations'!$HP$13:$HP$512,"="&amp;SUBSTITUTE(SUBSTITUTE(SUBSTITUTE('Calculations'!HF422,"~","~~"),"*","~*"),"?","~?"),'Calculations'!$HN$13:$HN$512,"="&amp;SUBSTITUTE(SUBSTITUTE(SUBSTITUTE('Dashboard'!$B$7,"~","~~"),"*","~*"),"?","~?"))+COUNTIFS('Calculations'!$HQ$13:$HQ$512,"="&amp;SUBSTITUTE(SUBSTITUTE(SUBSTITUTE('Calculations'!HF422,"~","~~"),"*","~*"),"?","~?"),'Calculations'!$HN$13:$HN$512,"="&amp;SUBSTITUTE(SUBSTITUTE(SUBSTITUTE('Dashboard'!$B$7,"~","~~"),"*","~*"),"?","~?"))+COUNTIFS('Calculations'!$HR$13:$HR$512,"="&amp;SUBSTITUTE(SUBSTITUTE(SUBSTITUTE('Calculations'!HF422,"~","~~"),"*","~*"),"?","~?"),'Calculations'!$HN$13:$HN$512,"="&amp;SUBSTITUTE(SUBSTITUTE(SUBSTITUTE('Dashboard'!$B$7,"~","~~"),"*","~*"),"?","~?"))+COUNTIFS('Calculations'!$HS$13:$HS$512,"="&amp;SUBSTITUTE(SUBSTITUTE(SUBSTITUTE('Calculations'!HF422,"~","~~"),"*","~*"),"?","~?"),'Calculations'!$HN$13:$HN$512,"="&amp;SUBSTITUTE(SUBSTITUTE(SUBSTITUTE('Dashboard'!$B$7,"~","~~"),"*","~*"),"?","~?"))+COUNTIFS('Calculations'!$HT$13:$HT$512,"="&amp;SUBSTITUTE(SUBSTITUTE(SUBSTITUTE('Calculations'!HF422,"~","~~"),"*","~*"),"?","~?"),'Calculations'!$HN$13:$HN$512,"="&amp;SUBSTITUTE(SUBSTITUTE(SUBSTITUTE('Dashboard'!$B$7,"~","~~"),"*","~*"),"?","~?"))+COUNTIFS('Calculations'!$HU$13:$HU$512,"="&amp;SUBSTITUTE(SUBSTITUTE(SUBSTITUTE('Calculations'!HF422,"~","~~"),"*","~*"),"?","~?"),'Calculations'!$HN$13:$HN$512,"="&amp;SUBSTITUTE(SUBSTITUTE(SUBSTITUTE('Dashboard'!$B$7,"~","~~"),"*","~*"),"?","~?"))+COUNTIFS('Calculations'!$HV$13:$HV$512,"="&amp;SUBSTITUTE(SUBSTITUTE(SUBSTITUTE('Calculations'!HF422,"~","~~"),"*","~*"),"?","~?"),'Calculations'!$HN$13:$HN$512,"="&amp;SUBSTITUTE(SUBSTITUTE(SUBSTITUTE('Dashboard'!$B$7,"~","~~"),"*","~*"),"?","~?"))+COUNTIFS('Calculations'!$HW$13:$HW$512,"="&amp;SUBSTITUTE(SUBSTITUTE(SUBSTITUTE('Calculations'!HF422,"~","~~"),"*","~*"),"?","~?"),'Calculations'!$HN$13:$HN$512,"="&amp;SUBSTITUTE(SUBSTITUTE(SUBSTITUTE('Dashboard'!$B$7,"~","~~"),"*","~*"),"?","~?"))+COUNTIFS('Calculations'!$HX$13:$HX$512,"="&amp;SUBSTITUTE(SUBSTITUTE(SUBSTITUTE('Calculations'!HF422,"~","~~"),"*","~*"),"?","~?"),'Calculations'!$HN$13:$HN$512,"="&amp;SUBSTITUTE(SUBSTITUTE(SUBSTITUTE('Dashboard'!$B$7,"~","~~"),"*","~*"),"?","~?"))+COUNTIFS('Calculations'!$HY$13:$HY$512,"="&amp;SUBSTITUTE(SUBSTITUTE(SUBSTITUTE('Calculations'!HF422,"~","~~"),"*","~*"),"?","~?"),'Calculations'!$HN$13:$HN$512,"="&amp;SUBSTITUTE(SUBSTITUTE(SUBSTITUTE('Dashboard'!$B$7,"~","~~"),"*","~*"),"?","~?"))+COUNTIFS('Calculations'!$HZ$13:$HZ$512,"="&amp;SUBSTITUTE(SUBSTITUTE(SUBSTITUTE('Calculations'!HF422,"~","~~"),"*","~*"),"?","~?"),'Calculations'!$HN$13:$HN$512,"="&amp;SUBSTITUTE(SUBSTITUTE(SUBSTITUTE('Dashboard'!$B$7,"~","~~"),"*","~*"),"?","~?"))+COUNTIFS('Calculations'!$IA$13:$IA$512,"="&amp;SUBSTITUTE(SUBSTITUTE(SUBSTITUTE('Calculations'!HF422,"~","~~"),"*","~*"),"?","~?"),'Calculations'!$HN$13:$HN$512,"="&amp;SUBSTITUTE(SUBSTITUTE(SUBSTITUTE('Dashboard'!$B$7,"~","~~"),"*","~*"),"?","~?"))+COUNTIFS('Calculations'!$IB$13:$IB$512,"="&amp;SUBSTITUTE(SUBSTITUTE(SUBSTITUTE('Calculations'!HF422,"~","~~"),"*","~*"),"?","~?"),'Calculations'!$HN$13:$HN$512,"="&amp;SUBSTITUTE(SUBSTITUTE(SUBSTITUTE('Dashboard'!$B$7,"~","~~"),"*","~*"),"?","~?"))+COUNTIFS('Calculations'!$IC$13:$IC$512,"="&amp;SUBSTITUTE(SUBSTITUTE(SUBSTITUTE('Calculations'!HF422,"~","~~"),"*","~*"),"?","~?"),'Calculations'!$HN$13:$HN$512,"="&amp;SUBSTITUTE(SUBSTITUTE(SUBSTITUTE('Dashboard'!$B$7,"~","~~"),"*","~*"),"?","~?"))+COUNTIFS('Calculations'!$ID$13:$ID$512,"="&amp;SUBSTITUTE(SUBSTITUTE(SUBSTITUTE('Calculations'!HF422,"~","~~"),"*","~*"),"?","~?"),'Calculations'!$HN$13:$HN$512,"="&amp;SUBSTITUTE(SUBSTITUTE(SUBSTITUTE('Dashboard'!$B$7,"~","~~"),"*","~*"),"?","~?"))+COUNTIFS('Calculations'!$IE$13:$IE$512,"="&amp;SUBSTITUTE(SUBSTITUTE(SUBSTITUTE('Calculations'!HF422,"~","~~"),"*","~*"),"?","~?"),'Calculations'!$HN$13:$HN$512,"="&amp;SUBSTITUTE(SUBSTITUTE(SUBSTITUTE('Dashboard'!$B$7,"~","~~"),"*","~*"),"?","~?"))+COUNTIFS('Calculations'!$IF$13:$IF$512,"="&amp;SUBSTITUTE(SUBSTITUTE(SUBSTITUTE('Calculations'!HF422,"~","~~"),"*","~*"),"?","~?"),'Calculations'!$HN$13:$HN$512,"="&amp;SUBSTITUTE(SUBSTITUTE(SUBSTITUTE('Dashboard'!$B$7,"~","~~"),"*","~*"),"?","~?"))+COUNTIFS('Calculations'!$IG$13:$IG$512,"="&amp;SUBSTITUTE(SUBSTITUTE(SUBSTITUTE('Calculations'!HF422,"~","~~"),"*","~*"),"?","~?"),'Calculations'!$HN$13:$HN$512,"="&amp;SUBSTITUTE(SUBSTITUTE(SUBSTITUTE('Dashboard'!$B$7,"~","~~"),"*","~*"),"?","~?"))+COUNTIFS('Calculations'!$IH$13:$IH$512,"="&amp;SUBSTITUTE(SUBSTITUTE(SUBSTITUTE('Calculations'!HF422,"~","~~"),"*","~*"),"?","~?"),'Calculations'!$HN$13:$HN$512,"="&amp;SUBSTITUTE(SUBSTITUTE(SUBSTITUTE('Dashboard'!$B$7,"~","~~"),"*","~*"),"?","~?"))))</x:f>
        <x:v>0</x:v>
      </x:c>
      <x:c r="JD422" t="n">
        <x:f>IF('Calculations'!EM422="",0,IF('Dashboard'!$B$7="All",1,IF('Calculations'!HN422='Dashboard'!$B$7,1,0)+IFERROR(INDEX('Calculations'!$JC$13:$JC$512,MATCH('Calculations'!HE422,'Calculations'!$HF$13:$HF$512,0)),0)))</x:f>
        <x:v>0</x:v>
      </x:c>
      <x:c r="JE422" t="n">
        <x:f>IF(AND('Calculations'!EM422&lt;&gt;"",'Calculations'!$JJ$2&lt;&gt;"All",'Calculations'!$JJ$2&lt;&gt;"",'Calculations'!HF422='Calculations'!$JJ$2,'Calculations'!HL422=0,'Calculations'!JD422&gt;0),MAX('Calculations'!$JE$12:JE421)+1,0)</x:f>
        <x:v>0</x:v>
      </x:c>
      <x:c r="JF422" t="str">
        <x:f>IF('Calculations'!EM422="","",IFERROR(IF(INDEX(INDIRECT("'WCM Calibration Final'!$G$1:$G$2000"),'Calculations'!$EM422)="","",TRIM(INDEX(INDIRECT("'WCM Calibration Final'!$G$1:$G$2000"),'Calculations'!$EM422)&amp;"")),""))</x:f>
      </x:c>
      <x:c r="JQ422" t="n">
        <x:f>IF(OR('Calculations'!BM422=0,NOT('Calculations'!$AG$2),'Calculations'!$AG$8&gt;0),0,IF(OR('Dashboard'!$B$7="All",'Calculations'!HN422='Dashboard'!$B$7),IF('Calculations'!$JJ$2="All",1,IF(AND('Calculations'!HF422='Calculations'!$JJ$2,'Calculations'!HL422=0),1,0)),0))</x:f>
        <x:v>0</x:v>
      </x:c>
    </x:row>
    <x:row r="423">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t="n">
        <x:f>IF('Calculations'!$EM423="",0,IF(OR(IFERROR(INDEX(INDIRECT("'WCM Calibration Final'!$A$1:$A$2000"),'Calculations'!$EM423)&lt;&gt;"",FALSE),IFERROR(INDEX(INDIRECT("'WCM Calibration Final'!$B$1:$B$2000"),'Calculations'!$EM423)&lt;&gt;"",FALSE),IFERROR(INDEX(INDIRECT("'WCM Calibration Final'!$C$1:$C$2000"),'Calculations'!$EM423)&lt;&gt;"",FALSE)),1,0))</x:f>
        <x:v>0</x:v>
      </x:c>
      <x:c r="BN423" s="4" t="n">
        <x:f>IF(AND('Calculations'!BM423=1,'Calculations'!$AG$2,'Calculations'!$EN423=1),1,0)</x:f>
        <x:v>0</x:v>
      </x:c>
      <x:c r="BO423" s="4" t="str">
        <x:f>IF('Calculations'!BM423=0,"",IFERROR(IF(AND(VALUE(INDEX(INDIRECT("'WCM Calibration Final'!$K$1:$K$2000"),'Calculations'!$EM423))&gt;=1,VALUE(INDEX(INDIRECT("'WCM Calibration Final'!$K$1:$K$2000"),'Calculations'!$EM423))&lt;=4,MOD(VALUE(INDEX(INDIRECT("'WCM Calibration Final'!$K$1:$K$2000"),'Calculations'!$EM423)),1)=0),VALUE(INDEX(INDIRECT("'WCM Calibration Final'!$K$1:$K$2000"),'Calculations'!$EM423)),""),""))</x:f>
      </x:c>
      <x:c r="BP423" s="4" t="str">
        <x:f>IF('Calculations'!BM423=0,"",IFERROR(IF(AND(VALUE(INDEX(INDIRECT("'WCM Calibration Final'!$L$1:$L$2000"),'Calculations'!$EM423))&gt;=1,VALUE(INDEX(INDIRECT("'WCM Calibration Final'!$L$1:$L$2000"),'Calculations'!$EM423))&lt;=4,MOD(VALUE(INDEX(INDIRECT("'WCM Calibration Final'!$L$1:$L$2000"),'Calculations'!$EM423)),1)=0),VALUE(INDEX(INDIRECT("'WCM Calibration Final'!$L$1:$L$2000"),'Calculations'!$EM423)),""),""))</x:f>
      </x:c>
      <x:c r="BQ423" s="4"/>
      <x:c r="BR423" s="4"/>
      <x:c r="BS423" s="4"/>
      <x:c r="BT423" s="4" t="n">
        <x:f>IF(AND('Calculations'!BM423=1,ISNUMBER('Calculations'!BO423),ISNUMBER('Calculations'!BP423)),1,0)</x:f>
        <x:v>0</x:v>
      </x:c>
      <x:c r="BU423" s="4" t="str">
        <x:f>IF('Calculations'!BM423=0,"",'Calculations'!$EO423)</x:f>
      </x:c>
      <x:c r="BV423" s="4" t="str">
        <x:f>IF('Calculations'!BM423=0,"",IFERROR(IF(OR(INDEX(INDIRECT("'WCM Calibration Final'!$H$1:$H$2000"),'Calculations'!$EM423)="MANAGING DIRECTOR",INDEX(INDIRECT("'WCM Calibration Final'!$H$1:$H$2000"),'Calculations'!$EM423)="DIRECTOR",INDEX(INDIRECT("'WCM Calibration Final'!$H$1:$H$2000"),'Calculations'!$EM423)="SENIOR VICE PRESIDENT",INDEX(INDIRECT("'WCM Calibration Final'!$H$1:$H$2000"),'Calculations'!$EM423)="VICE PRESIDENT",INDEX(INDIRECT("'WCM Calibration Final'!$H$1:$H$2000"),'Calculations'!$EM423)="ASSISTANT VICE PRESIDENT",INDEX(INDIRECT("'WCM Calibration Final'!$H$1:$H$2000"),'Calculations'!$EM423)="OFFICER"),UPPER(INDEX(INDIRECT("'WCM Calibration Final'!$H$1:$H$2000"),'Calculations'!$EM423)),"Other"),"Other"))</x:f>
      </x:c>
      <x:c r="BW423" s="4"/>
      <x:c r="BX423" s="4"/>
      <x:c r="BY423" s="4" t="n">
        <x:f>IF(AND('Calculations'!BM423=1,'Calculations'!BU423&lt;&gt;"",COUNTIF('Calculations'!$BU$12:BU423,'Calculations'!BU423)=1),MAX('Calculations'!$BY$11:BY422)+1,0)</x:f>
        <x:v>0</x:v>
      </x:c>
      <x:c r="BZ423" s="4" t="str">
        <x:f>IF('Dashboard'!$E$67="What",'Calculations'!BO423,'Calculations'!BP423)</x:f>
      </x:c>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t="str">
        <x:f>IF(412&gt;MAX('Calculations'!$HI$13:$HI$512),"",INDEX('Calculations'!$HN$13:$HN$512,MATCH(412,'Calculations'!$HI$13:$HI$512,0)))</x:f>
      </x:c>
      <x:c r="DB423" s="4" t="str">
        <x:f>IF(412&gt;MAX('Calculations'!$HH$13:$HH$512),"",INDEX('Calculations'!$HJ$13:$HJ$512,MATCH(412,'Calculations'!$HH$13:$HH$512,0)))</x:f>
      </x:c>
      <x:c r="DC423" s="4" t="str">
        <x:f>IF(ROW()-11&gt;MAX('Calculations'!$BY$13:$BY$512),"",INDEX('Calculations'!$BU$13:$BU$512,MATCH(ROW()-11,'Calculations'!$BY$13:$BY$512,0)))</x:f>
      </x:c>
      <x:c r="DD423" s="4" t="str">
        <x:f>IF(412&gt;MAX('Calculations'!$IK$13:$IK$512),"",INDEX('Calculations'!$HK$13:$HK$512,MATCH(412,'Calculations'!$IK$13:$IK$512,0)))</x:f>
      </x:c>
      <x:c r="DE423" s="4" t="str">
        <x:f>'Calculations'!DC423</x:f>
      </x:c>
      <x:c r="DF423" s="4" t="str">
        <x:f>IF('Calculations'!DE423="","",COUNTIFS('Calculations'!$BN$13:$BN$512,1,'Calculations'!$BU$13:$BU$512,'Calculations'!DE423))</x:f>
      </x:c>
      <x:c r="DG423" s="4" t="str">
        <x:f>IF('Calculations'!DE423="","",COUNTIFS('Calculations'!$BN$13:$BN$512,1,'Calculations'!$BU$13:$BU$512,'Calculations'!DE423,'Calculations'!$BT$13:$BT$512,1))</x:f>
      </x:c>
      <x:c r="DH423" s="4" t="str">
        <x:f>IF('Calculations'!DE423="","",'Calculations'!DF423-'Calculations'!DG423)</x:f>
      </x:c>
      <x:c r="DI423" s="4" t="str">
        <x:f>IF(OR('Calculations'!DE423="",'Calculations'!DF423=0),"",'Calculations'!DG423/'Calculations'!DF423)</x:f>
      </x:c>
      <x:c r="DJ423" s="4" t="str">
        <x:f>IF('Calculations'!DE423="","",COUNTIFS('Calculations'!$BN$13:$BN$512,1,'Calculations'!$BU$13:$BU$512,'Calculations'!DE423,'Calculations'!$BT$13:$BT$512,1,'Calculations'!$EE$13:$EE$512,"High"))</x:f>
      </x:c>
      <x:c r="DK423" s="4" t="str">
        <x:f>IF('Calculations'!DE423="","",COUNTIFS('Calculations'!$BN$13:$BN$512,1,'Calculations'!$BU$13:$BU$512,'Calculations'!DE423,'Calculations'!$BT$13:$BT$512,1,'Calculations'!$EE$13:$EE$512,"Strong"))</x:f>
      </x:c>
      <x:c r="DL423" s="4" t="str">
        <x:f>IF('Calculations'!DE423="","",COUNTIFS('Calculations'!$BN$13:$BN$512,1,'Calculations'!$BU$13:$BU$512,'Calculations'!DE423,'Calculations'!$BT$13:$BT$512,1,'Calculations'!$EE$13:$EE$512,"Solid"))</x:f>
      </x:c>
      <x:c r="DM423" s="4" t="str">
        <x:f>IF('Calculations'!DE423="","",COUNTIFS('Calculations'!$BN$13:$BN$512,1,'Calculations'!$BU$13:$BU$512,'Calculations'!DE423,'Calculations'!$BT$13:$BT$512,1,'Calculations'!$EE$13:$EE$512,"Low"))</x:f>
      </x:c>
      <x:c r="DN423" s="4" t="str">
        <x:f>IF('Calculations'!DE423="","",COUNTIFS('Calculations'!$BN$13:$BN$512,1,'Calculations'!$BU$13:$BU$512,'Calculations'!DE423,'Calculations'!$EP$13:$EP$512,1))</x:f>
      </x:c>
      <x:c r="DO423" s="4" t="str">
        <x:f>IF(OR('Calculations'!DE423="",'Calculations'!DG423=0),"",('Calculations'!DJ423+'Calculations'!DK423)/'Calculations'!DG423)</x:f>
      </x:c>
      <x:c r="DP423" s="4" t="n">
        <x:f>IF(AND('Calculations'!DE423&lt;&gt;"",'Calculations'!DF423&gt;0),COUNTIF('Calculations'!$DF$12:DF423,"&gt;0"),0)</x:f>
        <x:v>0</x:v>
      </x:c>
      <x:c r="DQ423" s="4" t="str">
        <x:f>IF(412&gt;MAX('Calculations'!$HH$13:$HH$512),"",INDEX('Calculations'!$HF$13:$HF$512,MATCH(412,'Calculations'!$HH$13:$HH$512,0)))</x:f>
      </x:c>
      <x:c r="DR423" s="4" t="str">
        <x:f>IF(412&gt;MAX('Calculations'!$IK$13:$IK$512),"",INDEX('Calculations'!$HE$13:$HE$512,MATCH(412,'Calculations'!$IK$13:$IK$512,0)))</x:f>
      </x:c>
      <x:c r="DS423" s="4"/>
      <x:c r="DT423" s="4"/>
      <x:c r="DU423" s="4"/>
      <x:c r="DV423" s="4"/>
      <x:c r="DW423" s="4"/>
      <x:c r="DX423" s="4"/>
      <x:c r="DY423" s="4"/>
      <x:c r="DZ423" s="4"/>
      <x:c r="EA423" s="4"/>
      <x:c r="EB423" s="4"/>
      <x:c r="EC423" s="4"/>
      <x:c r="ED423" s="4"/>
      <x:c r="EE423" s="4" t="str">
        <x:f>IF('Calculations'!BT423=0,"Not Rated",IF(OR('Calculations'!BO423&gt;=4,'Calculations'!BP423&gt;=4),"Low",IF('Calculations'!BO423+'Calculations'!BP423&lt;=3,"High",IF('Calculations'!BO423+'Calculations'!BP423&lt;=4,"Strong","Solid"))))</x:f>
        <x:v>Not Rated</x:v>
      </x:c>
      <x:c r="EF423" s="4"/>
      <x:c r="EG423" s="4"/>
      <x:c r="EH423" s="4"/>
      <x:c r="EI423" s="4"/>
      <x:c r="EJ423" s="4"/>
      <x:c r="EK423" s="4"/>
      <x:c r="EL423" s="4"/>
      <x:c r="EM423" s="4" t="str">
        <x:f>IF(411&gt;'Calculations'!$JB$2000,"",INDEX('Calculations'!$JA$12:$JA$2000,MATCH(411,'Calculations'!$JB$12:$JB$2000,0)))</x:f>
      </x:c>
      <x:c r="EN423" s="4" t="n">
        <x:f>IF(OR('Calculations'!EM423="",'Calculations'!$AG$8&gt;0,AND('Calculations'!$EF$2&lt;&gt;"All",'Calculations'!HE423='Calculations'!$EF$2),AND('Calculations'!$EF$3&lt;&gt;"All",'Calculations'!HE423='Calculations'!$EF$3)),0,IF(OR('Dashboard'!$B$7="All",'Calculations'!HN423='Dashboard'!$B$7),IF('Calculations'!$EF$2="All",1,IF('Calculations'!HL423&gt;0,0,IF(COUNTIF('Calculations'!HO423:II423,"="&amp;SUBSTITUTE(SUBSTITUTE(SUBSTITUTE('Calculations'!$EF$2,"~","~~"),"*","~*"),"?","~?"))=0,0,IF('Calculations'!$EF$3="All",1,IF(COUNTIF('Calculations'!HO423:II423,"="&amp;SUBSTITUTE(SUBSTITUTE(SUBSTITUTE('Calculations'!$EF$3,"~","~~"),"*","~*"),"?","~?"))&gt;0,1,0))))),0))</x:f>
        <x:v>0</x:v>
      </x:c>
      <x:c r="EO423" s="4" t="str">
        <x:f>IF('Calculations'!IJ423="","",IF('Calculations'!IJ423="!UNRESOLVED","Unresolved hierarchy",IFERROR(INDEX('Calculations'!$HK$13:$HK$512,MATCH('Calculations'!IJ423,'Calculations'!$HE$13:$HE$512,0)),IFERROR(INDEX('Calculations'!$HJ$13:$HJ$512,MATCH('Calculations'!IJ423,'Calculations'!$HF$13:$HF$512,0)),'Calculations'!IJ423))))</x:f>
      </x:c>
      <x:c r="EP423" s="4" t="n">
        <x:f>IF(AND('Calculations'!EM423&lt;&gt;"",'Calculations'!HF423='Calculations'!IJ423),1,0)</x:f>
        <x:v>0</x:v>
      </x:c>
      <x:c r="EQ423" s="4"/>
      <x:c r="ER423" s="4"/>
      <x:c r="ES423" s="4"/>
      <x:c r="ET423" s="4"/>
      <x:c r="EU423" s="4"/>
      <x:c r="EV423" s="4"/>
      <x:c r="EW423" s="4"/>
      <x:c r="EX423" s="4"/>
      <x:c r="EY423" s="4"/>
      <x:c r="EZ423" s="4"/>
      <x:c r="FA423" s="4"/>
      <x:c r="FB423" s="4"/>
      <x:c r="FC423" s="4"/>
      <x:c r="FD423" s="4"/>
      <x:c r="FE423" s="4"/>
      <x:c r="FF423" s="4"/>
      <x:c r="FG423" s="4"/>
      <x:c r="FH423" s="4"/>
      <x:c r="FI423" s="4"/>
      <x:c r="FJ423" s="4"/>
      <x:c r="FK423" s="4"/>
      <x:c r="FL423" s="4"/>
      <x:c r="FM423" s="4"/>
      <x:c r="FN423" s="4"/>
      <x:c r="FO423" s="4"/>
      <x:c r="HE423" t="str">
        <x:f>IF('Calculations'!EM423="","",IF(IFERROR(IF(INDEX(INDIRECT("'WCM Calibration Final'!$A$1:$A$2000"),'Calculations'!$EM423)="","",TRIM(INDEX(INDIRECT("'WCM Calibration Final'!$A$1:$A$2000"),'Calculations'!$EM423)&amp;"")),"")&lt;&gt;"","G:"&amp;IFERROR(TEXT(1*INDEX(INDIRECT("'WCM Calibration Final'!$A$1:$A$2000"),'Calculations'!$EM423),"0"),UPPER(IFERROR(IF(INDEX(INDIRECT("'WCM Calibration Final'!$A$1:$A$2000"),'Calculations'!$EM423)="","",TRIM(INDEX(INDIRECT("'WCM Calibration Final'!$A$1:$A$2000"),'Calculations'!$EM423)&amp;"")),""))),IF(IFERROR(IF(INDEX(INDIRECT("'WCM Calibration Final'!$C$1:$C$2000"),'Calculations'!$EM423)="","",TRIM(INDEX(INDIRECT("'WCM Calibration Final'!$C$1:$C$2000"),'Calculations'!$EM423)&amp;"")),"")&lt;&gt;"","S:"&amp;UPPER(IFERROR(IF(INDEX(INDIRECT("'WCM Calibration Final'!$C$1:$C$2000"),'Calculations'!$EM423)="","",TRIM(INDEX(INDIRECT("'WCM Calibration Final'!$C$1:$C$2000"),'Calculations'!$EM423)&amp;"")),"")),"R:"&amp;'Calculations'!EM423)))</x:f>
      </x:c>
      <x:c r="HF423" t="str">
        <x:f>IF('Calculations'!EM423="","",IF(IFERROR(IF(INDEX(INDIRECT("'WCM Calibration Final'!$D$1:$D$2000"),'Calculations'!$EM423)="","",TRIM(INDEX(INDIRECT("'WCM Calibration Final'!$D$1:$D$2000"),'Calculations'!$EM423)&amp;"")),"")&lt;&gt;"","G:"&amp;IFERROR(TEXT(1*INDEX(INDIRECT("'WCM Calibration Final'!$D$1:$D$2000"),'Calculations'!$EM423),"0"),UPPER(IFERROR(IF(INDEX(INDIRECT("'WCM Calibration Final'!$D$1:$D$2000"),'Calculations'!$EM423)="","",TRIM(INDEX(INDIRECT("'WCM Calibration Final'!$D$1:$D$2000"),'Calculations'!$EM423)&amp;"")),""))),IF(IFERROR(IF(INDEX(INDIRECT("'WCM Calibration Final'!$E$1:$E$2000"),'Calculations'!$EM423)="","",TRIM(INDEX(INDIRECT("'WCM Calibration Final'!$E$1:$E$2000"),'Calculations'!$EM423)&amp;"")),"")="","",IF(COUNTIF('Calculations'!$HG$13:$HG$512,"="&amp;SUBSTITUTE(SUBSTITUTE(SUBSTITUTE(IFERROR(IF(INDEX(INDIRECT("'WCM Calibration Final'!$E$1:$E$2000"),'Calculations'!$EM423)="","",TRIM(INDEX(INDIRECT("'WCM Calibration Final'!$E$1:$E$2000"),'Calculations'!$EM423)&amp;"")),""),"~","~~"),"*","~*"),"?","~?"))=1,INDEX('Calculations'!$HE$13:$HE$512,MATCH(IFERROR(IF(INDEX(INDIRECT("'WCM Calibration Final'!$E$1:$E$2000"),'Calculations'!$EM423)="","",TRIM(INDEX(INDIRECT("'WCM Calibration Final'!$E$1:$E$2000"),'Calculations'!$EM423)&amp;"")),""),'Calculations'!$HG$13:$HG$512,0)),IF(COUNTIF('Calculations'!$HG$13:$HG$512,"="&amp;SUBSTITUTE(SUBSTITUTE(SUBSTITUTE(IFERROR(IF(INDEX(INDIRECT("'WCM Calibration Final'!$E$1:$E$2000"),'Calculations'!$EM423)="","",TRIM(INDEX(INDIRECT("'WCM Calibration Final'!$E$1:$E$2000"),'Calculations'!$EM423)&amp;"")),""),"~","~~"),"*","~*"),"?","~?"))&gt;1,"!AMBIG","X:"&amp;IFERROR(IF(INDEX(INDIRECT("'WCM Calibration Final'!$E$1:$E$2000"),'Calculations'!$EM423)="","",TRIM(INDEX(INDIRECT("'WCM Calibration Final'!$E$1:$E$2000"),'Calculations'!$EM423)&amp;"")),""))))))</x:f>
      </x:c>
      <x:c r="HG423" t="str">
        <x:f>IF('Calculations'!EM423="","",IFERROR(IF(INDEX(INDIRECT("'WCM Calibration Final'!$B$1:$B$2000"),'Calculations'!$EM423)="","",TRIM(INDEX(INDIRECT("'WCM Calibration Final'!$B$1:$B$2000"),'Calculations'!$EM423)&amp;"")),""))</x:f>
      </x:c>
      <x:c r="HH423" t="n">
        <x:f>IF(AND('Calculations'!JC423&gt;0,COUNTIF('Calculations'!$HF$12:HF423,"="&amp;SUBSTITUTE(SUBSTITUTE(SUBSTITUTE('Calculations'!HF423,"~","~~"),"*","~*"),"?","~?"))=1),MAX('Calculations'!$HH$12:HH422)+1,0)</x:f>
        <x:v>0</x:v>
      </x:c>
      <x:c r="HI423" t="n">
        <x:f>IF(AND('Calculations'!HN423&lt;&gt;"",COUNTIF('Calculations'!$HN$12:HN423,"="&amp;SUBSTITUTE(SUBSTITUTE(SUBSTITUTE('Calculations'!HN423,"~","~~"),"*","~*"),"?","~?"))=1),MAX('Calculations'!$HI$12:HI422)+1,0)</x:f>
        <x:v>0</x:v>
      </x:c>
      <x:c r="HJ423" t="str">
        <x:f>IF('Calculations'!HF423="","",IF(COUNTIF('Calculations'!$HE$13:$HE$512,"="&amp;SUBSTITUTE(SUBSTITUTE(SUBSTITUTE('Calculations'!HF423,"~","~~"),"*","~*"),"?","~?"))=1,INDEX('Calculations'!$HK$13:$HK$512,MATCH('Calculations'!HF423,'Calculations'!$HE$13:$HE$512,0)),IFERROR(IF(INDEX(INDIRECT("'WCM Calibration Final'!$E$1:$E$2000"),'Calculations'!$EM423)="","",TRIM(INDEX(INDIRECT("'WCM Calibration Final'!$E$1:$E$2000"),'Calculations'!$EM423)&amp;"")),"")&amp;" ["&amp;'Calculations'!HF423&amp;"]"))</x:f>
      </x:c>
      <x:c r="HK423" t="str">
        <x:f>IF('Calculations'!EM423="","",'Calculations'!HG423&amp;" ["&amp;'Calculations'!HE423&amp;"]")</x:f>
      </x:c>
      <x:c r="HL423" t="n">
        <x:f>IF('Calculations'!EM423="",0,IF(OR('Calculations'!II423&lt;&gt;"",COUNTIF('Calculations'!$HE$13:$HE$512,"="&amp;SUBSTITUTE(SUBSTITUTE(SUBSTITUTE('Calculations'!HE423,"~","~~"),"*","~*"),"?","~?"))&gt;1),1,0))</x:f>
        <x:v>0</x:v>
      </x:c>
      <x:c r="HM423" t="str">
        <x:f>IF('Calculations'!EM423="","",IF('Calculations'!HL423=1,"!UNRESOLVED",IF('Calculations'!IH423&lt;&gt;"",'Calculations'!IH423,IF('Calculations'!IG423&lt;&gt;"",'Calculations'!IG423,IF('Calculations'!IF423&lt;&gt;"",'Calculations'!IF423,IF('Calculations'!IE423&lt;&gt;"",'Calculations'!IE423,IF('Calculations'!ID423&lt;&gt;"",'Calculations'!ID423,IF('Calculations'!IC423&lt;&gt;"",'Calculations'!IC423,IF('Calculations'!IB423&lt;&gt;"",'Calculations'!IB423,IF('Calculations'!IA423&lt;&gt;"",'Calculations'!IA423,IF('Calculations'!HZ423&lt;&gt;"",'Calculations'!HZ423,IF('Calculations'!HY423&lt;&gt;"",'Calculations'!HY423,IF('Calculations'!HX423&lt;&gt;"",'Calculations'!HX423,IF('Calculations'!HW423&lt;&gt;"",'Calculations'!HW423,IF('Calculations'!HV423&lt;&gt;"",'Calculations'!HV423,IF('Calculations'!HU423&lt;&gt;"",'Calculations'!HU423,IF('Calculations'!HT423&lt;&gt;"",'Calculations'!HT423,IF('Calculations'!HS423&lt;&gt;"",'Calculations'!HS423,IF('Calculations'!HR423&lt;&gt;"",'Calculations'!HR423,IF('Calculations'!HQ423&lt;&gt;"",'Calculations'!HQ423,IF('Calculations'!HP423&lt;&gt;"",'Calculations'!HP423,IF('Calculations'!HO423&lt;&gt;"",'Calculations'!HO423,'Calculations'!HE423))))))))))))))))))))))</x:f>
      </x:c>
      <x:c r="HN423" t="str">
        <x:f>IF('Calculations'!EM423="","",IF(IFERROR(IF(INDEX(INDIRECT("'WCM Calibration Final'!$F$1:$F$2000"),'Calculations'!$EM423)="","",TRIM(INDEX(INDIRECT("'WCM Calibration Final'!$F$1:$F$2000"),'Calculations'!$EM423)&amp;"")),"")="","(Blank)",IFERROR(IF(INDEX(INDIRECT("'WCM Calibration Final'!$F$1:$F$2000"),'Calculations'!$EM423)="","",TRIM(INDEX(INDIRECT("'WCM Calibration Final'!$F$1:$F$2000"),'Calculations'!$EM423)&amp;"")),"")))</x:f>
      </x:c>
      <x:c r="HO423" t="str">
        <x:f>'Calculations'!HF423</x:f>
      </x:c>
      <x:c r="HP423" t="str">
        <x:f>IF('Calculations'!HO423="","",IF('Calculations'!HO423="!AMBIG","!AMBIG",IF(COUNTIF('Calculations'!$HE$13:$HE$512,"="&amp;SUBSTITUTE(SUBSTITUTE(SUBSTITUTE('Calculations'!HO423,"~","~~"),"*","~*"),"?","~?"))&gt;1,"!AMBIG",IFERROR(INDEX('Calculations'!$HF$13:$HF$512,MATCH('Calculations'!HO423,'Calculations'!$HE$13:$HE$512,0)),""))))</x:f>
      </x:c>
      <x:c r="HQ423" t="str">
        <x:f>IF('Calculations'!HP423="","",IF('Calculations'!HP423="!AMBIG","!AMBIG",IF(COUNTIF('Calculations'!$HE$13:$HE$512,"="&amp;SUBSTITUTE(SUBSTITUTE(SUBSTITUTE('Calculations'!HP423,"~","~~"),"*","~*"),"?","~?"))&gt;1,"!AMBIG",IFERROR(INDEX('Calculations'!$HF$13:$HF$512,MATCH('Calculations'!HP423,'Calculations'!$HE$13:$HE$512,0)),""))))</x:f>
      </x:c>
      <x:c r="HR423" t="str">
        <x:f>IF('Calculations'!HQ423="","",IF('Calculations'!HQ423="!AMBIG","!AMBIG",IF(COUNTIF('Calculations'!$HE$13:$HE$512,"="&amp;SUBSTITUTE(SUBSTITUTE(SUBSTITUTE('Calculations'!HQ423,"~","~~"),"*","~*"),"?","~?"))&gt;1,"!AMBIG",IFERROR(INDEX('Calculations'!$HF$13:$HF$512,MATCH('Calculations'!HQ423,'Calculations'!$HE$13:$HE$512,0)),""))))</x:f>
      </x:c>
      <x:c r="HS423" t="str">
        <x:f>IF('Calculations'!HR423="","",IF('Calculations'!HR423="!AMBIG","!AMBIG",IF(COUNTIF('Calculations'!$HE$13:$HE$512,"="&amp;SUBSTITUTE(SUBSTITUTE(SUBSTITUTE('Calculations'!HR423,"~","~~"),"*","~*"),"?","~?"))&gt;1,"!AMBIG",IFERROR(INDEX('Calculations'!$HF$13:$HF$512,MATCH('Calculations'!HR423,'Calculations'!$HE$13:$HE$512,0)),""))))</x:f>
      </x:c>
      <x:c r="HT423" t="str">
        <x:f>IF('Calculations'!HS423="","",IF('Calculations'!HS423="!AMBIG","!AMBIG",IF(COUNTIF('Calculations'!$HE$13:$HE$512,"="&amp;SUBSTITUTE(SUBSTITUTE(SUBSTITUTE('Calculations'!HS423,"~","~~"),"*","~*"),"?","~?"))&gt;1,"!AMBIG",IFERROR(INDEX('Calculations'!$HF$13:$HF$512,MATCH('Calculations'!HS423,'Calculations'!$HE$13:$HE$512,0)),""))))</x:f>
      </x:c>
      <x:c r="HU423" t="str">
        <x:f>IF('Calculations'!HT423="","",IF('Calculations'!HT423="!AMBIG","!AMBIG",IF(COUNTIF('Calculations'!$HE$13:$HE$512,"="&amp;SUBSTITUTE(SUBSTITUTE(SUBSTITUTE('Calculations'!HT423,"~","~~"),"*","~*"),"?","~?"))&gt;1,"!AMBIG",IFERROR(INDEX('Calculations'!$HF$13:$HF$512,MATCH('Calculations'!HT423,'Calculations'!$HE$13:$HE$512,0)),""))))</x:f>
      </x:c>
      <x:c r="HV423" t="str">
        <x:f>IF('Calculations'!HU423="","",IF('Calculations'!HU423="!AMBIG","!AMBIG",IF(COUNTIF('Calculations'!$HE$13:$HE$512,"="&amp;SUBSTITUTE(SUBSTITUTE(SUBSTITUTE('Calculations'!HU423,"~","~~"),"*","~*"),"?","~?"))&gt;1,"!AMBIG",IFERROR(INDEX('Calculations'!$HF$13:$HF$512,MATCH('Calculations'!HU423,'Calculations'!$HE$13:$HE$512,0)),""))))</x:f>
      </x:c>
      <x:c r="HW423" t="str">
        <x:f>IF('Calculations'!HV423="","",IF('Calculations'!HV423="!AMBIG","!AMBIG",IF(COUNTIF('Calculations'!$HE$13:$HE$512,"="&amp;SUBSTITUTE(SUBSTITUTE(SUBSTITUTE('Calculations'!HV423,"~","~~"),"*","~*"),"?","~?"))&gt;1,"!AMBIG",IFERROR(INDEX('Calculations'!$HF$13:$HF$512,MATCH('Calculations'!HV423,'Calculations'!$HE$13:$HE$512,0)),""))))</x:f>
      </x:c>
      <x:c r="HX423" t="str">
        <x:f>IF('Calculations'!HW423="","",IF('Calculations'!HW423="!AMBIG","!AMBIG",IF(COUNTIF('Calculations'!$HE$13:$HE$512,"="&amp;SUBSTITUTE(SUBSTITUTE(SUBSTITUTE('Calculations'!HW423,"~","~~"),"*","~*"),"?","~?"))&gt;1,"!AMBIG",IFERROR(INDEX('Calculations'!$HF$13:$HF$512,MATCH('Calculations'!HW423,'Calculations'!$HE$13:$HE$512,0)),""))))</x:f>
      </x:c>
      <x:c r="HY423" t="str">
        <x:f>IF('Calculations'!HX423="","",IF('Calculations'!HX423="!AMBIG","!AMBIG",IF(COUNTIF('Calculations'!$HE$13:$HE$512,"="&amp;SUBSTITUTE(SUBSTITUTE(SUBSTITUTE('Calculations'!HX423,"~","~~"),"*","~*"),"?","~?"))&gt;1,"!AMBIG",IFERROR(INDEX('Calculations'!$HF$13:$HF$512,MATCH('Calculations'!HX423,'Calculations'!$HE$13:$HE$512,0)),""))))</x:f>
      </x:c>
      <x:c r="HZ423" t="str">
        <x:f>IF('Calculations'!HY423="","",IF('Calculations'!HY423="!AMBIG","!AMBIG",IF(COUNTIF('Calculations'!$HE$13:$HE$512,"="&amp;SUBSTITUTE(SUBSTITUTE(SUBSTITUTE('Calculations'!HY423,"~","~~"),"*","~*"),"?","~?"))&gt;1,"!AMBIG",IFERROR(INDEX('Calculations'!$HF$13:$HF$512,MATCH('Calculations'!HY423,'Calculations'!$HE$13:$HE$512,0)),""))))</x:f>
      </x:c>
      <x:c r="IA423" t="str">
        <x:f>IF('Calculations'!HZ423="","",IF('Calculations'!HZ423="!AMBIG","!AMBIG",IF(COUNTIF('Calculations'!$HE$13:$HE$512,"="&amp;SUBSTITUTE(SUBSTITUTE(SUBSTITUTE('Calculations'!HZ423,"~","~~"),"*","~*"),"?","~?"))&gt;1,"!AMBIG",IFERROR(INDEX('Calculations'!$HF$13:$HF$512,MATCH('Calculations'!HZ423,'Calculations'!$HE$13:$HE$512,0)),""))))</x:f>
      </x:c>
      <x:c r="IB423" t="str">
        <x:f>IF('Calculations'!IA423="","",IF('Calculations'!IA423="!AMBIG","!AMBIG",IF(COUNTIF('Calculations'!$HE$13:$HE$512,"="&amp;SUBSTITUTE(SUBSTITUTE(SUBSTITUTE('Calculations'!IA423,"~","~~"),"*","~*"),"?","~?"))&gt;1,"!AMBIG",IFERROR(INDEX('Calculations'!$HF$13:$HF$512,MATCH('Calculations'!IA423,'Calculations'!$HE$13:$HE$512,0)),""))))</x:f>
      </x:c>
      <x:c r="IC423" t="str">
        <x:f>IF('Calculations'!IB423="","",IF('Calculations'!IB423="!AMBIG","!AMBIG",IF(COUNTIF('Calculations'!$HE$13:$HE$512,"="&amp;SUBSTITUTE(SUBSTITUTE(SUBSTITUTE('Calculations'!IB423,"~","~~"),"*","~*"),"?","~?"))&gt;1,"!AMBIG",IFERROR(INDEX('Calculations'!$HF$13:$HF$512,MATCH('Calculations'!IB423,'Calculations'!$HE$13:$HE$512,0)),""))))</x:f>
      </x:c>
      <x:c r="ID423" t="str">
        <x:f>IF('Calculations'!IC423="","",IF('Calculations'!IC423="!AMBIG","!AMBIG",IF(COUNTIF('Calculations'!$HE$13:$HE$512,"="&amp;SUBSTITUTE(SUBSTITUTE(SUBSTITUTE('Calculations'!IC423,"~","~~"),"*","~*"),"?","~?"))&gt;1,"!AMBIG",IFERROR(INDEX('Calculations'!$HF$13:$HF$512,MATCH('Calculations'!IC423,'Calculations'!$HE$13:$HE$512,0)),""))))</x:f>
      </x:c>
      <x:c r="IE423" t="str">
        <x:f>IF('Calculations'!ID423="","",IF('Calculations'!ID423="!AMBIG","!AMBIG",IF(COUNTIF('Calculations'!$HE$13:$HE$512,"="&amp;SUBSTITUTE(SUBSTITUTE(SUBSTITUTE('Calculations'!ID423,"~","~~"),"*","~*"),"?","~?"))&gt;1,"!AMBIG",IFERROR(INDEX('Calculations'!$HF$13:$HF$512,MATCH('Calculations'!ID423,'Calculations'!$HE$13:$HE$512,0)),""))))</x:f>
      </x:c>
      <x:c r="IF423" t="str">
        <x:f>IF('Calculations'!IE423="","",IF('Calculations'!IE423="!AMBIG","!AMBIG",IF(COUNTIF('Calculations'!$HE$13:$HE$512,"="&amp;SUBSTITUTE(SUBSTITUTE(SUBSTITUTE('Calculations'!IE423,"~","~~"),"*","~*"),"?","~?"))&gt;1,"!AMBIG",IFERROR(INDEX('Calculations'!$HF$13:$HF$512,MATCH('Calculations'!IE423,'Calculations'!$HE$13:$HE$512,0)),""))))</x:f>
      </x:c>
      <x:c r="IG423" t="str">
        <x:f>IF('Calculations'!IF423="","",IF('Calculations'!IF423="!AMBIG","!AMBIG",IF(COUNTIF('Calculations'!$HE$13:$HE$512,"="&amp;SUBSTITUTE(SUBSTITUTE(SUBSTITUTE('Calculations'!IF423,"~","~~"),"*","~*"),"?","~?"))&gt;1,"!AMBIG",IFERROR(INDEX('Calculations'!$HF$13:$HF$512,MATCH('Calculations'!IF423,'Calculations'!$HE$13:$HE$512,0)),""))))</x:f>
      </x:c>
      <x:c r="IH423" t="str">
        <x:f>IF('Calculations'!IG423="","",IF('Calculations'!IG423="!AMBIG","!AMBIG",IF(COUNTIF('Calculations'!$HE$13:$HE$512,"="&amp;SUBSTITUTE(SUBSTITUTE(SUBSTITUTE('Calculations'!IG423,"~","~~"),"*","~*"),"?","~?"))&gt;1,"!AMBIG",IFERROR(INDEX('Calculations'!$HF$13:$HF$512,MATCH('Calculations'!IG423,'Calculations'!$HE$13:$HE$512,0)),""))))</x:f>
      </x:c>
      <x:c r="II423" t="str">
        <x:f>IF('Calculations'!IH423="","",IF('Calculations'!IH423="!AMBIG","!AMBIG",IF(COUNTIF('Calculations'!$HE$13:$HE$512,"="&amp;SUBSTITUTE(SUBSTITUTE(SUBSTITUTE('Calculations'!IH423,"~","~~"),"*","~*"),"?","~?"))&gt;1,"!AMBIG",IFERROR(INDEX('Calculations'!$HF$13:$HF$512,MATCH('Calculations'!IH423,'Calculations'!$HE$13:$HE$512,0)),""))))</x:f>
      </x:c>
      <x:c r="IJ423" t="str">
        <x:f>IF('Calculations'!EM423="","",IF('Calculations'!$EF$2="All",'Calculations'!HM423,IF('Calculations'!HL423=1,"",IFERROR(IF(MATCH('Calculations'!$EF$2,'Calculations'!HO423:II423,0)=1,'Calculations'!HE423,INDEX('Calculations'!HO423:II423,1,MATCH('Calculations'!$EF$2,'Calculations'!HO423:II423,0)-1)),""))))</x:f>
      </x:c>
      <x:c r="IK423" t="n">
        <x:f>IF(AND('Calculations'!EM423&lt;&gt;"",'Calculations'!$EF$2&lt;&gt;"All",'Calculations'!HF423='Calculations'!$EF$2,'Calculations'!HL423=0,'Calculations'!JD423&gt;0),MAX('Calculations'!$IK$12:IK422)+1,0)</x:f>
        <x:v>0</x:v>
      </x:c>
      <x:c r="JA423" t="n">
        <x:f>IF(OR(IFERROR(INDIRECT("'WCM Calibration Final'!$A$423")&lt;&gt;"",FALSE),IFERROR(INDIRECT("'WCM Calibration Final'!$B$423")&lt;&gt;"",FALSE),IFERROR(INDIRECT("'WCM Calibration Final'!$C$423")&lt;&gt;"",FALSE)),423,0)</x:f>
        <x:v>0</x:v>
      </x:c>
      <x:c r="JB423" t="n">
        <x:f>'Calculations'!JB422+IF('Calculations'!JA423&gt;0,1,0)</x:f>
        <x:v>0</x:v>
      </x:c>
      <x:c r="JC423" t="n">
        <x:f>IF(OR('Calculations'!HF423="",'Calculations'!HF423="!AMBIG"),0,IF('Dashboard'!$B$7="All",1,COUNTIFS('Calculations'!$HO$13:$HO$512,"="&amp;SUBSTITUTE(SUBSTITUTE(SUBSTITUTE('Calculations'!HF423,"~","~~"),"*","~*"),"?","~?"),'Calculations'!$HN$13:$HN$512,"="&amp;SUBSTITUTE(SUBSTITUTE(SUBSTITUTE('Dashboard'!$B$7,"~","~~"),"*","~*"),"?","~?"))+COUNTIFS('Calculations'!$HP$13:$HP$512,"="&amp;SUBSTITUTE(SUBSTITUTE(SUBSTITUTE('Calculations'!HF423,"~","~~"),"*","~*"),"?","~?"),'Calculations'!$HN$13:$HN$512,"="&amp;SUBSTITUTE(SUBSTITUTE(SUBSTITUTE('Dashboard'!$B$7,"~","~~"),"*","~*"),"?","~?"))+COUNTIFS('Calculations'!$HQ$13:$HQ$512,"="&amp;SUBSTITUTE(SUBSTITUTE(SUBSTITUTE('Calculations'!HF423,"~","~~"),"*","~*"),"?","~?"),'Calculations'!$HN$13:$HN$512,"="&amp;SUBSTITUTE(SUBSTITUTE(SUBSTITUTE('Dashboard'!$B$7,"~","~~"),"*","~*"),"?","~?"))+COUNTIFS('Calculations'!$HR$13:$HR$512,"="&amp;SUBSTITUTE(SUBSTITUTE(SUBSTITUTE('Calculations'!HF423,"~","~~"),"*","~*"),"?","~?"),'Calculations'!$HN$13:$HN$512,"="&amp;SUBSTITUTE(SUBSTITUTE(SUBSTITUTE('Dashboard'!$B$7,"~","~~"),"*","~*"),"?","~?"))+COUNTIFS('Calculations'!$HS$13:$HS$512,"="&amp;SUBSTITUTE(SUBSTITUTE(SUBSTITUTE('Calculations'!HF423,"~","~~"),"*","~*"),"?","~?"),'Calculations'!$HN$13:$HN$512,"="&amp;SUBSTITUTE(SUBSTITUTE(SUBSTITUTE('Dashboard'!$B$7,"~","~~"),"*","~*"),"?","~?"))+COUNTIFS('Calculations'!$HT$13:$HT$512,"="&amp;SUBSTITUTE(SUBSTITUTE(SUBSTITUTE('Calculations'!HF423,"~","~~"),"*","~*"),"?","~?"),'Calculations'!$HN$13:$HN$512,"="&amp;SUBSTITUTE(SUBSTITUTE(SUBSTITUTE('Dashboard'!$B$7,"~","~~"),"*","~*"),"?","~?"))+COUNTIFS('Calculations'!$HU$13:$HU$512,"="&amp;SUBSTITUTE(SUBSTITUTE(SUBSTITUTE('Calculations'!HF423,"~","~~"),"*","~*"),"?","~?"),'Calculations'!$HN$13:$HN$512,"="&amp;SUBSTITUTE(SUBSTITUTE(SUBSTITUTE('Dashboard'!$B$7,"~","~~"),"*","~*"),"?","~?"))+COUNTIFS('Calculations'!$HV$13:$HV$512,"="&amp;SUBSTITUTE(SUBSTITUTE(SUBSTITUTE('Calculations'!HF423,"~","~~"),"*","~*"),"?","~?"),'Calculations'!$HN$13:$HN$512,"="&amp;SUBSTITUTE(SUBSTITUTE(SUBSTITUTE('Dashboard'!$B$7,"~","~~"),"*","~*"),"?","~?"))+COUNTIFS('Calculations'!$HW$13:$HW$512,"="&amp;SUBSTITUTE(SUBSTITUTE(SUBSTITUTE('Calculations'!HF423,"~","~~"),"*","~*"),"?","~?"),'Calculations'!$HN$13:$HN$512,"="&amp;SUBSTITUTE(SUBSTITUTE(SUBSTITUTE('Dashboard'!$B$7,"~","~~"),"*","~*"),"?","~?"))+COUNTIFS('Calculations'!$HX$13:$HX$512,"="&amp;SUBSTITUTE(SUBSTITUTE(SUBSTITUTE('Calculations'!HF423,"~","~~"),"*","~*"),"?","~?"),'Calculations'!$HN$13:$HN$512,"="&amp;SUBSTITUTE(SUBSTITUTE(SUBSTITUTE('Dashboard'!$B$7,"~","~~"),"*","~*"),"?","~?"))+COUNTIFS('Calculations'!$HY$13:$HY$512,"="&amp;SUBSTITUTE(SUBSTITUTE(SUBSTITUTE('Calculations'!HF423,"~","~~"),"*","~*"),"?","~?"),'Calculations'!$HN$13:$HN$512,"="&amp;SUBSTITUTE(SUBSTITUTE(SUBSTITUTE('Dashboard'!$B$7,"~","~~"),"*","~*"),"?","~?"))+COUNTIFS('Calculations'!$HZ$13:$HZ$512,"="&amp;SUBSTITUTE(SUBSTITUTE(SUBSTITUTE('Calculations'!HF423,"~","~~"),"*","~*"),"?","~?"),'Calculations'!$HN$13:$HN$512,"="&amp;SUBSTITUTE(SUBSTITUTE(SUBSTITUTE('Dashboard'!$B$7,"~","~~"),"*","~*"),"?","~?"))+COUNTIFS('Calculations'!$IA$13:$IA$512,"="&amp;SUBSTITUTE(SUBSTITUTE(SUBSTITUTE('Calculations'!HF423,"~","~~"),"*","~*"),"?","~?"),'Calculations'!$HN$13:$HN$512,"="&amp;SUBSTITUTE(SUBSTITUTE(SUBSTITUTE('Dashboard'!$B$7,"~","~~"),"*","~*"),"?","~?"))+COUNTIFS('Calculations'!$IB$13:$IB$512,"="&amp;SUBSTITUTE(SUBSTITUTE(SUBSTITUTE('Calculations'!HF423,"~","~~"),"*","~*"),"?","~?"),'Calculations'!$HN$13:$HN$512,"="&amp;SUBSTITUTE(SUBSTITUTE(SUBSTITUTE('Dashboard'!$B$7,"~","~~"),"*","~*"),"?","~?"))+COUNTIFS('Calculations'!$IC$13:$IC$512,"="&amp;SUBSTITUTE(SUBSTITUTE(SUBSTITUTE('Calculations'!HF423,"~","~~"),"*","~*"),"?","~?"),'Calculations'!$HN$13:$HN$512,"="&amp;SUBSTITUTE(SUBSTITUTE(SUBSTITUTE('Dashboard'!$B$7,"~","~~"),"*","~*"),"?","~?"))+COUNTIFS('Calculations'!$ID$13:$ID$512,"="&amp;SUBSTITUTE(SUBSTITUTE(SUBSTITUTE('Calculations'!HF423,"~","~~"),"*","~*"),"?","~?"),'Calculations'!$HN$13:$HN$512,"="&amp;SUBSTITUTE(SUBSTITUTE(SUBSTITUTE('Dashboard'!$B$7,"~","~~"),"*","~*"),"?","~?"))+COUNTIFS('Calculations'!$IE$13:$IE$512,"="&amp;SUBSTITUTE(SUBSTITUTE(SUBSTITUTE('Calculations'!HF423,"~","~~"),"*","~*"),"?","~?"),'Calculations'!$HN$13:$HN$512,"="&amp;SUBSTITUTE(SUBSTITUTE(SUBSTITUTE('Dashboard'!$B$7,"~","~~"),"*","~*"),"?","~?"))+COUNTIFS('Calculations'!$IF$13:$IF$512,"="&amp;SUBSTITUTE(SUBSTITUTE(SUBSTITUTE('Calculations'!HF423,"~","~~"),"*","~*"),"?","~?"),'Calculations'!$HN$13:$HN$512,"="&amp;SUBSTITUTE(SUBSTITUTE(SUBSTITUTE('Dashboard'!$B$7,"~","~~"),"*","~*"),"?","~?"))+COUNTIFS('Calculations'!$IG$13:$IG$512,"="&amp;SUBSTITUTE(SUBSTITUTE(SUBSTITUTE('Calculations'!HF423,"~","~~"),"*","~*"),"?","~?"),'Calculations'!$HN$13:$HN$512,"="&amp;SUBSTITUTE(SUBSTITUTE(SUBSTITUTE('Dashboard'!$B$7,"~","~~"),"*","~*"),"?","~?"))+COUNTIFS('Calculations'!$IH$13:$IH$512,"="&amp;SUBSTITUTE(SUBSTITUTE(SUBSTITUTE('Calculations'!HF423,"~","~~"),"*","~*"),"?","~?"),'Calculations'!$HN$13:$HN$512,"="&amp;SUBSTITUTE(SUBSTITUTE(SUBSTITUTE('Dashboard'!$B$7,"~","~~"),"*","~*"),"?","~?"))))</x:f>
        <x:v>0</x:v>
      </x:c>
      <x:c r="JD423" t="n">
        <x:f>IF('Calculations'!EM423="",0,IF('Dashboard'!$B$7="All",1,IF('Calculations'!HN423='Dashboard'!$B$7,1,0)+IFERROR(INDEX('Calculations'!$JC$13:$JC$512,MATCH('Calculations'!HE423,'Calculations'!$HF$13:$HF$512,0)),0)))</x:f>
        <x:v>0</x:v>
      </x:c>
      <x:c r="JE423" t="n">
        <x:f>IF(AND('Calculations'!EM423&lt;&gt;"",'Calculations'!$JJ$2&lt;&gt;"All",'Calculations'!$JJ$2&lt;&gt;"",'Calculations'!HF423='Calculations'!$JJ$2,'Calculations'!HL423=0,'Calculations'!JD423&gt;0),MAX('Calculations'!$JE$12:JE422)+1,0)</x:f>
        <x:v>0</x:v>
      </x:c>
      <x:c r="JF423" t="str">
        <x:f>IF('Calculations'!EM423="","",IFERROR(IF(INDEX(INDIRECT("'WCM Calibration Final'!$G$1:$G$2000"),'Calculations'!$EM423)="","",TRIM(INDEX(INDIRECT("'WCM Calibration Final'!$G$1:$G$2000"),'Calculations'!$EM423)&amp;"")),""))</x:f>
      </x:c>
      <x:c r="JQ423" t="n">
        <x:f>IF(OR('Calculations'!BM423=0,NOT('Calculations'!$AG$2),'Calculations'!$AG$8&gt;0),0,IF(OR('Dashboard'!$B$7="All",'Calculations'!HN423='Dashboard'!$B$7),IF('Calculations'!$JJ$2="All",1,IF(AND('Calculations'!HF423='Calculations'!$JJ$2,'Calculations'!HL423=0),1,0)),0))</x:f>
        <x:v>0</x:v>
      </x:c>
    </x:row>
    <x:row r="424">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t="n">
        <x:f>IF('Calculations'!$EM424="",0,IF(OR(IFERROR(INDEX(INDIRECT("'WCM Calibration Final'!$A$1:$A$2000"),'Calculations'!$EM424)&lt;&gt;"",FALSE),IFERROR(INDEX(INDIRECT("'WCM Calibration Final'!$B$1:$B$2000"),'Calculations'!$EM424)&lt;&gt;"",FALSE),IFERROR(INDEX(INDIRECT("'WCM Calibration Final'!$C$1:$C$2000"),'Calculations'!$EM424)&lt;&gt;"",FALSE)),1,0))</x:f>
        <x:v>0</x:v>
      </x:c>
      <x:c r="BN424" s="4" t="n">
        <x:f>IF(AND('Calculations'!BM424=1,'Calculations'!$AG$2,'Calculations'!$EN424=1),1,0)</x:f>
        <x:v>0</x:v>
      </x:c>
      <x:c r="BO424" s="4" t="str">
        <x:f>IF('Calculations'!BM424=0,"",IFERROR(IF(AND(VALUE(INDEX(INDIRECT("'WCM Calibration Final'!$K$1:$K$2000"),'Calculations'!$EM424))&gt;=1,VALUE(INDEX(INDIRECT("'WCM Calibration Final'!$K$1:$K$2000"),'Calculations'!$EM424))&lt;=4,MOD(VALUE(INDEX(INDIRECT("'WCM Calibration Final'!$K$1:$K$2000"),'Calculations'!$EM424)),1)=0),VALUE(INDEX(INDIRECT("'WCM Calibration Final'!$K$1:$K$2000"),'Calculations'!$EM424)),""),""))</x:f>
      </x:c>
      <x:c r="BP424" s="4" t="str">
        <x:f>IF('Calculations'!BM424=0,"",IFERROR(IF(AND(VALUE(INDEX(INDIRECT("'WCM Calibration Final'!$L$1:$L$2000"),'Calculations'!$EM424))&gt;=1,VALUE(INDEX(INDIRECT("'WCM Calibration Final'!$L$1:$L$2000"),'Calculations'!$EM424))&lt;=4,MOD(VALUE(INDEX(INDIRECT("'WCM Calibration Final'!$L$1:$L$2000"),'Calculations'!$EM424)),1)=0),VALUE(INDEX(INDIRECT("'WCM Calibration Final'!$L$1:$L$2000"),'Calculations'!$EM424)),""),""))</x:f>
      </x:c>
      <x:c r="BQ424" s="4"/>
      <x:c r="BR424" s="4"/>
      <x:c r="BS424" s="4"/>
      <x:c r="BT424" s="4" t="n">
        <x:f>IF(AND('Calculations'!BM424=1,ISNUMBER('Calculations'!BO424),ISNUMBER('Calculations'!BP424)),1,0)</x:f>
        <x:v>0</x:v>
      </x:c>
      <x:c r="BU424" s="4" t="str">
        <x:f>IF('Calculations'!BM424=0,"",'Calculations'!$EO424)</x:f>
      </x:c>
      <x:c r="BV424" s="4" t="str">
        <x:f>IF('Calculations'!BM424=0,"",IFERROR(IF(OR(INDEX(INDIRECT("'WCM Calibration Final'!$H$1:$H$2000"),'Calculations'!$EM424)="MANAGING DIRECTOR",INDEX(INDIRECT("'WCM Calibration Final'!$H$1:$H$2000"),'Calculations'!$EM424)="DIRECTOR",INDEX(INDIRECT("'WCM Calibration Final'!$H$1:$H$2000"),'Calculations'!$EM424)="SENIOR VICE PRESIDENT",INDEX(INDIRECT("'WCM Calibration Final'!$H$1:$H$2000"),'Calculations'!$EM424)="VICE PRESIDENT",INDEX(INDIRECT("'WCM Calibration Final'!$H$1:$H$2000"),'Calculations'!$EM424)="ASSISTANT VICE PRESIDENT",INDEX(INDIRECT("'WCM Calibration Final'!$H$1:$H$2000"),'Calculations'!$EM424)="OFFICER"),UPPER(INDEX(INDIRECT("'WCM Calibration Final'!$H$1:$H$2000"),'Calculations'!$EM424)),"Other"),"Other"))</x:f>
      </x:c>
      <x:c r="BW424" s="4"/>
      <x:c r="BX424" s="4"/>
      <x:c r="BY424" s="4" t="n">
        <x:f>IF(AND('Calculations'!BM424=1,'Calculations'!BU424&lt;&gt;"",COUNTIF('Calculations'!$BU$12:BU424,'Calculations'!BU424)=1),MAX('Calculations'!$BY$11:BY423)+1,0)</x:f>
        <x:v>0</x:v>
      </x:c>
      <x:c r="BZ424" s="4" t="str">
        <x:f>IF('Dashboard'!$E$67="What",'Calculations'!BO424,'Calculations'!BP424)</x:f>
      </x:c>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t="str">
        <x:f>IF(413&gt;MAX('Calculations'!$HI$13:$HI$512),"",INDEX('Calculations'!$HN$13:$HN$512,MATCH(413,'Calculations'!$HI$13:$HI$512,0)))</x:f>
      </x:c>
      <x:c r="DB424" s="4" t="str">
        <x:f>IF(413&gt;MAX('Calculations'!$HH$13:$HH$512),"",INDEX('Calculations'!$HJ$13:$HJ$512,MATCH(413,'Calculations'!$HH$13:$HH$512,0)))</x:f>
      </x:c>
      <x:c r="DC424" s="4" t="str">
        <x:f>IF(ROW()-11&gt;MAX('Calculations'!$BY$13:$BY$512),"",INDEX('Calculations'!$BU$13:$BU$512,MATCH(ROW()-11,'Calculations'!$BY$13:$BY$512,0)))</x:f>
      </x:c>
      <x:c r="DD424" s="4" t="str">
        <x:f>IF(413&gt;MAX('Calculations'!$IK$13:$IK$512),"",INDEX('Calculations'!$HK$13:$HK$512,MATCH(413,'Calculations'!$IK$13:$IK$512,0)))</x:f>
      </x:c>
      <x:c r="DE424" s="4" t="str">
        <x:f>'Calculations'!DC424</x:f>
      </x:c>
      <x:c r="DF424" s="4" t="str">
        <x:f>IF('Calculations'!DE424="","",COUNTIFS('Calculations'!$BN$13:$BN$512,1,'Calculations'!$BU$13:$BU$512,'Calculations'!DE424))</x:f>
      </x:c>
      <x:c r="DG424" s="4" t="str">
        <x:f>IF('Calculations'!DE424="","",COUNTIFS('Calculations'!$BN$13:$BN$512,1,'Calculations'!$BU$13:$BU$512,'Calculations'!DE424,'Calculations'!$BT$13:$BT$512,1))</x:f>
      </x:c>
      <x:c r="DH424" s="4" t="str">
        <x:f>IF('Calculations'!DE424="","",'Calculations'!DF424-'Calculations'!DG424)</x:f>
      </x:c>
      <x:c r="DI424" s="4" t="str">
        <x:f>IF(OR('Calculations'!DE424="",'Calculations'!DF424=0),"",'Calculations'!DG424/'Calculations'!DF424)</x:f>
      </x:c>
      <x:c r="DJ424" s="4" t="str">
        <x:f>IF('Calculations'!DE424="","",COUNTIFS('Calculations'!$BN$13:$BN$512,1,'Calculations'!$BU$13:$BU$512,'Calculations'!DE424,'Calculations'!$BT$13:$BT$512,1,'Calculations'!$EE$13:$EE$512,"High"))</x:f>
      </x:c>
      <x:c r="DK424" s="4" t="str">
        <x:f>IF('Calculations'!DE424="","",COUNTIFS('Calculations'!$BN$13:$BN$512,1,'Calculations'!$BU$13:$BU$512,'Calculations'!DE424,'Calculations'!$BT$13:$BT$512,1,'Calculations'!$EE$13:$EE$512,"Strong"))</x:f>
      </x:c>
      <x:c r="DL424" s="4" t="str">
        <x:f>IF('Calculations'!DE424="","",COUNTIFS('Calculations'!$BN$13:$BN$512,1,'Calculations'!$BU$13:$BU$512,'Calculations'!DE424,'Calculations'!$BT$13:$BT$512,1,'Calculations'!$EE$13:$EE$512,"Solid"))</x:f>
      </x:c>
      <x:c r="DM424" s="4" t="str">
        <x:f>IF('Calculations'!DE424="","",COUNTIFS('Calculations'!$BN$13:$BN$512,1,'Calculations'!$BU$13:$BU$512,'Calculations'!DE424,'Calculations'!$BT$13:$BT$512,1,'Calculations'!$EE$13:$EE$512,"Low"))</x:f>
      </x:c>
      <x:c r="DN424" s="4" t="str">
        <x:f>IF('Calculations'!DE424="","",COUNTIFS('Calculations'!$BN$13:$BN$512,1,'Calculations'!$BU$13:$BU$512,'Calculations'!DE424,'Calculations'!$EP$13:$EP$512,1))</x:f>
      </x:c>
      <x:c r="DO424" s="4" t="str">
        <x:f>IF(OR('Calculations'!DE424="",'Calculations'!DG424=0),"",('Calculations'!DJ424+'Calculations'!DK424)/'Calculations'!DG424)</x:f>
      </x:c>
      <x:c r="DP424" s="4" t="n">
        <x:f>IF(AND('Calculations'!DE424&lt;&gt;"",'Calculations'!DF424&gt;0),COUNTIF('Calculations'!$DF$12:DF424,"&gt;0"),0)</x:f>
        <x:v>0</x:v>
      </x:c>
      <x:c r="DQ424" s="4" t="str">
        <x:f>IF(413&gt;MAX('Calculations'!$HH$13:$HH$512),"",INDEX('Calculations'!$HF$13:$HF$512,MATCH(413,'Calculations'!$HH$13:$HH$512,0)))</x:f>
      </x:c>
      <x:c r="DR424" s="4" t="str">
        <x:f>IF(413&gt;MAX('Calculations'!$IK$13:$IK$512),"",INDEX('Calculations'!$HE$13:$HE$512,MATCH(413,'Calculations'!$IK$13:$IK$512,0)))</x:f>
      </x:c>
      <x:c r="DS424" s="4"/>
      <x:c r="DT424" s="4"/>
      <x:c r="DU424" s="4"/>
      <x:c r="DV424" s="4"/>
      <x:c r="DW424" s="4"/>
      <x:c r="DX424" s="4"/>
      <x:c r="DY424" s="4"/>
      <x:c r="DZ424" s="4"/>
      <x:c r="EA424" s="4"/>
      <x:c r="EB424" s="4"/>
      <x:c r="EC424" s="4"/>
      <x:c r="ED424" s="4"/>
      <x:c r="EE424" s="4" t="str">
        <x:f>IF('Calculations'!BT424=0,"Not Rated",IF(OR('Calculations'!BO424&gt;=4,'Calculations'!BP424&gt;=4),"Low",IF('Calculations'!BO424+'Calculations'!BP424&lt;=3,"High",IF('Calculations'!BO424+'Calculations'!BP424&lt;=4,"Strong","Solid"))))</x:f>
        <x:v>Not Rated</x:v>
      </x:c>
      <x:c r="EF424" s="4"/>
      <x:c r="EG424" s="4"/>
      <x:c r="EH424" s="4"/>
      <x:c r="EI424" s="4"/>
      <x:c r="EJ424" s="4"/>
      <x:c r="EK424" s="4"/>
      <x:c r="EL424" s="4"/>
      <x:c r="EM424" s="4" t="str">
        <x:f>IF(412&gt;'Calculations'!$JB$2000,"",INDEX('Calculations'!$JA$12:$JA$2000,MATCH(412,'Calculations'!$JB$12:$JB$2000,0)))</x:f>
      </x:c>
      <x:c r="EN424" s="4" t="n">
        <x:f>IF(OR('Calculations'!EM424="",'Calculations'!$AG$8&gt;0,AND('Calculations'!$EF$2&lt;&gt;"All",'Calculations'!HE424='Calculations'!$EF$2),AND('Calculations'!$EF$3&lt;&gt;"All",'Calculations'!HE424='Calculations'!$EF$3)),0,IF(OR('Dashboard'!$B$7="All",'Calculations'!HN424='Dashboard'!$B$7),IF('Calculations'!$EF$2="All",1,IF('Calculations'!HL424&gt;0,0,IF(COUNTIF('Calculations'!HO424:II424,"="&amp;SUBSTITUTE(SUBSTITUTE(SUBSTITUTE('Calculations'!$EF$2,"~","~~"),"*","~*"),"?","~?"))=0,0,IF('Calculations'!$EF$3="All",1,IF(COUNTIF('Calculations'!HO424:II424,"="&amp;SUBSTITUTE(SUBSTITUTE(SUBSTITUTE('Calculations'!$EF$3,"~","~~"),"*","~*"),"?","~?"))&gt;0,1,0))))),0))</x:f>
        <x:v>0</x:v>
      </x:c>
      <x:c r="EO424" s="4" t="str">
        <x:f>IF('Calculations'!IJ424="","",IF('Calculations'!IJ424="!UNRESOLVED","Unresolved hierarchy",IFERROR(INDEX('Calculations'!$HK$13:$HK$512,MATCH('Calculations'!IJ424,'Calculations'!$HE$13:$HE$512,0)),IFERROR(INDEX('Calculations'!$HJ$13:$HJ$512,MATCH('Calculations'!IJ424,'Calculations'!$HF$13:$HF$512,0)),'Calculations'!IJ424))))</x:f>
      </x:c>
      <x:c r="EP424" s="4" t="n">
        <x:f>IF(AND('Calculations'!EM424&lt;&gt;"",'Calculations'!HF424='Calculations'!IJ424),1,0)</x:f>
        <x:v>0</x:v>
      </x:c>
      <x:c r="EQ424" s="4"/>
      <x:c r="ER424" s="4"/>
      <x:c r="ES424" s="4"/>
      <x:c r="ET424" s="4"/>
      <x:c r="EU424" s="4"/>
      <x:c r="EV424" s="4"/>
      <x:c r="EW424" s="4"/>
      <x:c r="EX424" s="4"/>
      <x:c r="EY424" s="4"/>
      <x:c r="EZ424" s="4"/>
      <x:c r="FA424" s="4"/>
      <x:c r="FB424" s="4"/>
      <x:c r="FC424" s="4"/>
      <x:c r="FD424" s="4"/>
      <x:c r="FE424" s="4"/>
      <x:c r="FF424" s="4"/>
      <x:c r="FG424" s="4"/>
      <x:c r="FH424" s="4"/>
      <x:c r="FI424" s="4"/>
      <x:c r="FJ424" s="4"/>
      <x:c r="FK424" s="4"/>
      <x:c r="FL424" s="4"/>
      <x:c r="FM424" s="4"/>
      <x:c r="FN424" s="4"/>
      <x:c r="FO424" s="4"/>
      <x:c r="HE424" t="str">
        <x:f>IF('Calculations'!EM424="","",IF(IFERROR(IF(INDEX(INDIRECT("'WCM Calibration Final'!$A$1:$A$2000"),'Calculations'!$EM424)="","",TRIM(INDEX(INDIRECT("'WCM Calibration Final'!$A$1:$A$2000"),'Calculations'!$EM424)&amp;"")),"")&lt;&gt;"","G:"&amp;IFERROR(TEXT(1*INDEX(INDIRECT("'WCM Calibration Final'!$A$1:$A$2000"),'Calculations'!$EM424),"0"),UPPER(IFERROR(IF(INDEX(INDIRECT("'WCM Calibration Final'!$A$1:$A$2000"),'Calculations'!$EM424)="","",TRIM(INDEX(INDIRECT("'WCM Calibration Final'!$A$1:$A$2000"),'Calculations'!$EM424)&amp;"")),""))),IF(IFERROR(IF(INDEX(INDIRECT("'WCM Calibration Final'!$C$1:$C$2000"),'Calculations'!$EM424)="","",TRIM(INDEX(INDIRECT("'WCM Calibration Final'!$C$1:$C$2000"),'Calculations'!$EM424)&amp;"")),"")&lt;&gt;"","S:"&amp;UPPER(IFERROR(IF(INDEX(INDIRECT("'WCM Calibration Final'!$C$1:$C$2000"),'Calculations'!$EM424)="","",TRIM(INDEX(INDIRECT("'WCM Calibration Final'!$C$1:$C$2000"),'Calculations'!$EM424)&amp;"")),"")),"R:"&amp;'Calculations'!EM424)))</x:f>
      </x:c>
      <x:c r="HF424" t="str">
        <x:f>IF('Calculations'!EM424="","",IF(IFERROR(IF(INDEX(INDIRECT("'WCM Calibration Final'!$D$1:$D$2000"),'Calculations'!$EM424)="","",TRIM(INDEX(INDIRECT("'WCM Calibration Final'!$D$1:$D$2000"),'Calculations'!$EM424)&amp;"")),"")&lt;&gt;"","G:"&amp;IFERROR(TEXT(1*INDEX(INDIRECT("'WCM Calibration Final'!$D$1:$D$2000"),'Calculations'!$EM424),"0"),UPPER(IFERROR(IF(INDEX(INDIRECT("'WCM Calibration Final'!$D$1:$D$2000"),'Calculations'!$EM424)="","",TRIM(INDEX(INDIRECT("'WCM Calibration Final'!$D$1:$D$2000"),'Calculations'!$EM424)&amp;"")),""))),IF(IFERROR(IF(INDEX(INDIRECT("'WCM Calibration Final'!$E$1:$E$2000"),'Calculations'!$EM424)="","",TRIM(INDEX(INDIRECT("'WCM Calibration Final'!$E$1:$E$2000"),'Calculations'!$EM424)&amp;"")),"")="","",IF(COUNTIF('Calculations'!$HG$13:$HG$512,"="&amp;SUBSTITUTE(SUBSTITUTE(SUBSTITUTE(IFERROR(IF(INDEX(INDIRECT("'WCM Calibration Final'!$E$1:$E$2000"),'Calculations'!$EM424)="","",TRIM(INDEX(INDIRECT("'WCM Calibration Final'!$E$1:$E$2000"),'Calculations'!$EM424)&amp;"")),""),"~","~~"),"*","~*"),"?","~?"))=1,INDEX('Calculations'!$HE$13:$HE$512,MATCH(IFERROR(IF(INDEX(INDIRECT("'WCM Calibration Final'!$E$1:$E$2000"),'Calculations'!$EM424)="","",TRIM(INDEX(INDIRECT("'WCM Calibration Final'!$E$1:$E$2000"),'Calculations'!$EM424)&amp;"")),""),'Calculations'!$HG$13:$HG$512,0)),IF(COUNTIF('Calculations'!$HG$13:$HG$512,"="&amp;SUBSTITUTE(SUBSTITUTE(SUBSTITUTE(IFERROR(IF(INDEX(INDIRECT("'WCM Calibration Final'!$E$1:$E$2000"),'Calculations'!$EM424)="","",TRIM(INDEX(INDIRECT("'WCM Calibration Final'!$E$1:$E$2000"),'Calculations'!$EM424)&amp;"")),""),"~","~~"),"*","~*"),"?","~?"))&gt;1,"!AMBIG","X:"&amp;IFERROR(IF(INDEX(INDIRECT("'WCM Calibration Final'!$E$1:$E$2000"),'Calculations'!$EM424)="","",TRIM(INDEX(INDIRECT("'WCM Calibration Final'!$E$1:$E$2000"),'Calculations'!$EM424)&amp;"")),""))))))</x:f>
      </x:c>
      <x:c r="HG424" t="str">
        <x:f>IF('Calculations'!EM424="","",IFERROR(IF(INDEX(INDIRECT("'WCM Calibration Final'!$B$1:$B$2000"),'Calculations'!$EM424)="","",TRIM(INDEX(INDIRECT("'WCM Calibration Final'!$B$1:$B$2000"),'Calculations'!$EM424)&amp;"")),""))</x:f>
      </x:c>
      <x:c r="HH424" t="n">
        <x:f>IF(AND('Calculations'!JC424&gt;0,COUNTIF('Calculations'!$HF$12:HF424,"="&amp;SUBSTITUTE(SUBSTITUTE(SUBSTITUTE('Calculations'!HF424,"~","~~"),"*","~*"),"?","~?"))=1),MAX('Calculations'!$HH$12:HH423)+1,0)</x:f>
        <x:v>0</x:v>
      </x:c>
      <x:c r="HI424" t="n">
        <x:f>IF(AND('Calculations'!HN424&lt;&gt;"",COUNTIF('Calculations'!$HN$12:HN424,"="&amp;SUBSTITUTE(SUBSTITUTE(SUBSTITUTE('Calculations'!HN424,"~","~~"),"*","~*"),"?","~?"))=1),MAX('Calculations'!$HI$12:HI423)+1,0)</x:f>
        <x:v>0</x:v>
      </x:c>
      <x:c r="HJ424" t="str">
        <x:f>IF('Calculations'!HF424="","",IF(COUNTIF('Calculations'!$HE$13:$HE$512,"="&amp;SUBSTITUTE(SUBSTITUTE(SUBSTITUTE('Calculations'!HF424,"~","~~"),"*","~*"),"?","~?"))=1,INDEX('Calculations'!$HK$13:$HK$512,MATCH('Calculations'!HF424,'Calculations'!$HE$13:$HE$512,0)),IFERROR(IF(INDEX(INDIRECT("'WCM Calibration Final'!$E$1:$E$2000"),'Calculations'!$EM424)="","",TRIM(INDEX(INDIRECT("'WCM Calibration Final'!$E$1:$E$2000"),'Calculations'!$EM424)&amp;"")),"")&amp;" ["&amp;'Calculations'!HF424&amp;"]"))</x:f>
      </x:c>
      <x:c r="HK424" t="str">
        <x:f>IF('Calculations'!EM424="","",'Calculations'!HG424&amp;" ["&amp;'Calculations'!HE424&amp;"]")</x:f>
      </x:c>
      <x:c r="HL424" t="n">
        <x:f>IF('Calculations'!EM424="",0,IF(OR('Calculations'!II424&lt;&gt;"",COUNTIF('Calculations'!$HE$13:$HE$512,"="&amp;SUBSTITUTE(SUBSTITUTE(SUBSTITUTE('Calculations'!HE424,"~","~~"),"*","~*"),"?","~?"))&gt;1),1,0))</x:f>
        <x:v>0</x:v>
      </x:c>
      <x:c r="HM424" t="str">
        <x:f>IF('Calculations'!EM424="","",IF('Calculations'!HL424=1,"!UNRESOLVED",IF('Calculations'!IH424&lt;&gt;"",'Calculations'!IH424,IF('Calculations'!IG424&lt;&gt;"",'Calculations'!IG424,IF('Calculations'!IF424&lt;&gt;"",'Calculations'!IF424,IF('Calculations'!IE424&lt;&gt;"",'Calculations'!IE424,IF('Calculations'!ID424&lt;&gt;"",'Calculations'!ID424,IF('Calculations'!IC424&lt;&gt;"",'Calculations'!IC424,IF('Calculations'!IB424&lt;&gt;"",'Calculations'!IB424,IF('Calculations'!IA424&lt;&gt;"",'Calculations'!IA424,IF('Calculations'!HZ424&lt;&gt;"",'Calculations'!HZ424,IF('Calculations'!HY424&lt;&gt;"",'Calculations'!HY424,IF('Calculations'!HX424&lt;&gt;"",'Calculations'!HX424,IF('Calculations'!HW424&lt;&gt;"",'Calculations'!HW424,IF('Calculations'!HV424&lt;&gt;"",'Calculations'!HV424,IF('Calculations'!HU424&lt;&gt;"",'Calculations'!HU424,IF('Calculations'!HT424&lt;&gt;"",'Calculations'!HT424,IF('Calculations'!HS424&lt;&gt;"",'Calculations'!HS424,IF('Calculations'!HR424&lt;&gt;"",'Calculations'!HR424,IF('Calculations'!HQ424&lt;&gt;"",'Calculations'!HQ424,IF('Calculations'!HP424&lt;&gt;"",'Calculations'!HP424,IF('Calculations'!HO424&lt;&gt;"",'Calculations'!HO424,'Calculations'!HE424))))))))))))))))))))))</x:f>
      </x:c>
      <x:c r="HN424" t="str">
        <x:f>IF('Calculations'!EM424="","",IF(IFERROR(IF(INDEX(INDIRECT("'WCM Calibration Final'!$F$1:$F$2000"),'Calculations'!$EM424)="","",TRIM(INDEX(INDIRECT("'WCM Calibration Final'!$F$1:$F$2000"),'Calculations'!$EM424)&amp;"")),"")="","(Blank)",IFERROR(IF(INDEX(INDIRECT("'WCM Calibration Final'!$F$1:$F$2000"),'Calculations'!$EM424)="","",TRIM(INDEX(INDIRECT("'WCM Calibration Final'!$F$1:$F$2000"),'Calculations'!$EM424)&amp;"")),"")))</x:f>
      </x:c>
      <x:c r="HO424" t="str">
        <x:f>'Calculations'!HF424</x:f>
      </x:c>
      <x:c r="HP424" t="str">
        <x:f>IF('Calculations'!HO424="","",IF('Calculations'!HO424="!AMBIG","!AMBIG",IF(COUNTIF('Calculations'!$HE$13:$HE$512,"="&amp;SUBSTITUTE(SUBSTITUTE(SUBSTITUTE('Calculations'!HO424,"~","~~"),"*","~*"),"?","~?"))&gt;1,"!AMBIG",IFERROR(INDEX('Calculations'!$HF$13:$HF$512,MATCH('Calculations'!HO424,'Calculations'!$HE$13:$HE$512,0)),""))))</x:f>
      </x:c>
      <x:c r="HQ424" t="str">
        <x:f>IF('Calculations'!HP424="","",IF('Calculations'!HP424="!AMBIG","!AMBIG",IF(COUNTIF('Calculations'!$HE$13:$HE$512,"="&amp;SUBSTITUTE(SUBSTITUTE(SUBSTITUTE('Calculations'!HP424,"~","~~"),"*","~*"),"?","~?"))&gt;1,"!AMBIG",IFERROR(INDEX('Calculations'!$HF$13:$HF$512,MATCH('Calculations'!HP424,'Calculations'!$HE$13:$HE$512,0)),""))))</x:f>
      </x:c>
      <x:c r="HR424" t="str">
        <x:f>IF('Calculations'!HQ424="","",IF('Calculations'!HQ424="!AMBIG","!AMBIG",IF(COUNTIF('Calculations'!$HE$13:$HE$512,"="&amp;SUBSTITUTE(SUBSTITUTE(SUBSTITUTE('Calculations'!HQ424,"~","~~"),"*","~*"),"?","~?"))&gt;1,"!AMBIG",IFERROR(INDEX('Calculations'!$HF$13:$HF$512,MATCH('Calculations'!HQ424,'Calculations'!$HE$13:$HE$512,0)),""))))</x:f>
      </x:c>
      <x:c r="HS424" t="str">
        <x:f>IF('Calculations'!HR424="","",IF('Calculations'!HR424="!AMBIG","!AMBIG",IF(COUNTIF('Calculations'!$HE$13:$HE$512,"="&amp;SUBSTITUTE(SUBSTITUTE(SUBSTITUTE('Calculations'!HR424,"~","~~"),"*","~*"),"?","~?"))&gt;1,"!AMBIG",IFERROR(INDEX('Calculations'!$HF$13:$HF$512,MATCH('Calculations'!HR424,'Calculations'!$HE$13:$HE$512,0)),""))))</x:f>
      </x:c>
      <x:c r="HT424" t="str">
        <x:f>IF('Calculations'!HS424="","",IF('Calculations'!HS424="!AMBIG","!AMBIG",IF(COUNTIF('Calculations'!$HE$13:$HE$512,"="&amp;SUBSTITUTE(SUBSTITUTE(SUBSTITUTE('Calculations'!HS424,"~","~~"),"*","~*"),"?","~?"))&gt;1,"!AMBIG",IFERROR(INDEX('Calculations'!$HF$13:$HF$512,MATCH('Calculations'!HS424,'Calculations'!$HE$13:$HE$512,0)),""))))</x:f>
      </x:c>
      <x:c r="HU424" t="str">
        <x:f>IF('Calculations'!HT424="","",IF('Calculations'!HT424="!AMBIG","!AMBIG",IF(COUNTIF('Calculations'!$HE$13:$HE$512,"="&amp;SUBSTITUTE(SUBSTITUTE(SUBSTITUTE('Calculations'!HT424,"~","~~"),"*","~*"),"?","~?"))&gt;1,"!AMBIG",IFERROR(INDEX('Calculations'!$HF$13:$HF$512,MATCH('Calculations'!HT424,'Calculations'!$HE$13:$HE$512,0)),""))))</x:f>
      </x:c>
      <x:c r="HV424" t="str">
        <x:f>IF('Calculations'!HU424="","",IF('Calculations'!HU424="!AMBIG","!AMBIG",IF(COUNTIF('Calculations'!$HE$13:$HE$512,"="&amp;SUBSTITUTE(SUBSTITUTE(SUBSTITUTE('Calculations'!HU424,"~","~~"),"*","~*"),"?","~?"))&gt;1,"!AMBIG",IFERROR(INDEX('Calculations'!$HF$13:$HF$512,MATCH('Calculations'!HU424,'Calculations'!$HE$13:$HE$512,0)),""))))</x:f>
      </x:c>
      <x:c r="HW424" t="str">
        <x:f>IF('Calculations'!HV424="","",IF('Calculations'!HV424="!AMBIG","!AMBIG",IF(COUNTIF('Calculations'!$HE$13:$HE$512,"="&amp;SUBSTITUTE(SUBSTITUTE(SUBSTITUTE('Calculations'!HV424,"~","~~"),"*","~*"),"?","~?"))&gt;1,"!AMBIG",IFERROR(INDEX('Calculations'!$HF$13:$HF$512,MATCH('Calculations'!HV424,'Calculations'!$HE$13:$HE$512,0)),""))))</x:f>
      </x:c>
      <x:c r="HX424" t="str">
        <x:f>IF('Calculations'!HW424="","",IF('Calculations'!HW424="!AMBIG","!AMBIG",IF(COUNTIF('Calculations'!$HE$13:$HE$512,"="&amp;SUBSTITUTE(SUBSTITUTE(SUBSTITUTE('Calculations'!HW424,"~","~~"),"*","~*"),"?","~?"))&gt;1,"!AMBIG",IFERROR(INDEX('Calculations'!$HF$13:$HF$512,MATCH('Calculations'!HW424,'Calculations'!$HE$13:$HE$512,0)),""))))</x:f>
      </x:c>
      <x:c r="HY424" t="str">
        <x:f>IF('Calculations'!HX424="","",IF('Calculations'!HX424="!AMBIG","!AMBIG",IF(COUNTIF('Calculations'!$HE$13:$HE$512,"="&amp;SUBSTITUTE(SUBSTITUTE(SUBSTITUTE('Calculations'!HX424,"~","~~"),"*","~*"),"?","~?"))&gt;1,"!AMBIG",IFERROR(INDEX('Calculations'!$HF$13:$HF$512,MATCH('Calculations'!HX424,'Calculations'!$HE$13:$HE$512,0)),""))))</x:f>
      </x:c>
      <x:c r="HZ424" t="str">
        <x:f>IF('Calculations'!HY424="","",IF('Calculations'!HY424="!AMBIG","!AMBIG",IF(COUNTIF('Calculations'!$HE$13:$HE$512,"="&amp;SUBSTITUTE(SUBSTITUTE(SUBSTITUTE('Calculations'!HY424,"~","~~"),"*","~*"),"?","~?"))&gt;1,"!AMBIG",IFERROR(INDEX('Calculations'!$HF$13:$HF$512,MATCH('Calculations'!HY424,'Calculations'!$HE$13:$HE$512,0)),""))))</x:f>
      </x:c>
      <x:c r="IA424" t="str">
        <x:f>IF('Calculations'!HZ424="","",IF('Calculations'!HZ424="!AMBIG","!AMBIG",IF(COUNTIF('Calculations'!$HE$13:$HE$512,"="&amp;SUBSTITUTE(SUBSTITUTE(SUBSTITUTE('Calculations'!HZ424,"~","~~"),"*","~*"),"?","~?"))&gt;1,"!AMBIG",IFERROR(INDEX('Calculations'!$HF$13:$HF$512,MATCH('Calculations'!HZ424,'Calculations'!$HE$13:$HE$512,0)),""))))</x:f>
      </x:c>
      <x:c r="IB424" t="str">
        <x:f>IF('Calculations'!IA424="","",IF('Calculations'!IA424="!AMBIG","!AMBIG",IF(COUNTIF('Calculations'!$HE$13:$HE$512,"="&amp;SUBSTITUTE(SUBSTITUTE(SUBSTITUTE('Calculations'!IA424,"~","~~"),"*","~*"),"?","~?"))&gt;1,"!AMBIG",IFERROR(INDEX('Calculations'!$HF$13:$HF$512,MATCH('Calculations'!IA424,'Calculations'!$HE$13:$HE$512,0)),""))))</x:f>
      </x:c>
      <x:c r="IC424" t="str">
        <x:f>IF('Calculations'!IB424="","",IF('Calculations'!IB424="!AMBIG","!AMBIG",IF(COUNTIF('Calculations'!$HE$13:$HE$512,"="&amp;SUBSTITUTE(SUBSTITUTE(SUBSTITUTE('Calculations'!IB424,"~","~~"),"*","~*"),"?","~?"))&gt;1,"!AMBIG",IFERROR(INDEX('Calculations'!$HF$13:$HF$512,MATCH('Calculations'!IB424,'Calculations'!$HE$13:$HE$512,0)),""))))</x:f>
      </x:c>
      <x:c r="ID424" t="str">
        <x:f>IF('Calculations'!IC424="","",IF('Calculations'!IC424="!AMBIG","!AMBIG",IF(COUNTIF('Calculations'!$HE$13:$HE$512,"="&amp;SUBSTITUTE(SUBSTITUTE(SUBSTITUTE('Calculations'!IC424,"~","~~"),"*","~*"),"?","~?"))&gt;1,"!AMBIG",IFERROR(INDEX('Calculations'!$HF$13:$HF$512,MATCH('Calculations'!IC424,'Calculations'!$HE$13:$HE$512,0)),""))))</x:f>
      </x:c>
      <x:c r="IE424" t="str">
        <x:f>IF('Calculations'!ID424="","",IF('Calculations'!ID424="!AMBIG","!AMBIG",IF(COUNTIF('Calculations'!$HE$13:$HE$512,"="&amp;SUBSTITUTE(SUBSTITUTE(SUBSTITUTE('Calculations'!ID424,"~","~~"),"*","~*"),"?","~?"))&gt;1,"!AMBIG",IFERROR(INDEX('Calculations'!$HF$13:$HF$512,MATCH('Calculations'!ID424,'Calculations'!$HE$13:$HE$512,0)),""))))</x:f>
      </x:c>
      <x:c r="IF424" t="str">
        <x:f>IF('Calculations'!IE424="","",IF('Calculations'!IE424="!AMBIG","!AMBIG",IF(COUNTIF('Calculations'!$HE$13:$HE$512,"="&amp;SUBSTITUTE(SUBSTITUTE(SUBSTITUTE('Calculations'!IE424,"~","~~"),"*","~*"),"?","~?"))&gt;1,"!AMBIG",IFERROR(INDEX('Calculations'!$HF$13:$HF$512,MATCH('Calculations'!IE424,'Calculations'!$HE$13:$HE$512,0)),""))))</x:f>
      </x:c>
      <x:c r="IG424" t="str">
        <x:f>IF('Calculations'!IF424="","",IF('Calculations'!IF424="!AMBIG","!AMBIG",IF(COUNTIF('Calculations'!$HE$13:$HE$512,"="&amp;SUBSTITUTE(SUBSTITUTE(SUBSTITUTE('Calculations'!IF424,"~","~~"),"*","~*"),"?","~?"))&gt;1,"!AMBIG",IFERROR(INDEX('Calculations'!$HF$13:$HF$512,MATCH('Calculations'!IF424,'Calculations'!$HE$13:$HE$512,0)),""))))</x:f>
      </x:c>
      <x:c r="IH424" t="str">
        <x:f>IF('Calculations'!IG424="","",IF('Calculations'!IG424="!AMBIG","!AMBIG",IF(COUNTIF('Calculations'!$HE$13:$HE$512,"="&amp;SUBSTITUTE(SUBSTITUTE(SUBSTITUTE('Calculations'!IG424,"~","~~"),"*","~*"),"?","~?"))&gt;1,"!AMBIG",IFERROR(INDEX('Calculations'!$HF$13:$HF$512,MATCH('Calculations'!IG424,'Calculations'!$HE$13:$HE$512,0)),""))))</x:f>
      </x:c>
      <x:c r="II424" t="str">
        <x:f>IF('Calculations'!IH424="","",IF('Calculations'!IH424="!AMBIG","!AMBIG",IF(COUNTIF('Calculations'!$HE$13:$HE$512,"="&amp;SUBSTITUTE(SUBSTITUTE(SUBSTITUTE('Calculations'!IH424,"~","~~"),"*","~*"),"?","~?"))&gt;1,"!AMBIG",IFERROR(INDEX('Calculations'!$HF$13:$HF$512,MATCH('Calculations'!IH424,'Calculations'!$HE$13:$HE$512,0)),""))))</x:f>
      </x:c>
      <x:c r="IJ424" t="str">
        <x:f>IF('Calculations'!EM424="","",IF('Calculations'!$EF$2="All",'Calculations'!HM424,IF('Calculations'!HL424=1,"",IFERROR(IF(MATCH('Calculations'!$EF$2,'Calculations'!HO424:II424,0)=1,'Calculations'!HE424,INDEX('Calculations'!HO424:II424,1,MATCH('Calculations'!$EF$2,'Calculations'!HO424:II424,0)-1)),""))))</x:f>
      </x:c>
      <x:c r="IK424" t="n">
        <x:f>IF(AND('Calculations'!EM424&lt;&gt;"",'Calculations'!$EF$2&lt;&gt;"All",'Calculations'!HF424='Calculations'!$EF$2,'Calculations'!HL424=0,'Calculations'!JD424&gt;0),MAX('Calculations'!$IK$12:IK423)+1,0)</x:f>
        <x:v>0</x:v>
      </x:c>
      <x:c r="JA424" t="n">
        <x:f>IF(OR(IFERROR(INDIRECT("'WCM Calibration Final'!$A$424")&lt;&gt;"",FALSE),IFERROR(INDIRECT("'WCM Calibration Final'!$B$424")&lt;&gt;"",FALSE),IFERROR(INDIRECT("'WCM Calibration Final'!$C$424")&lt;&gt;"",FALSE)),424,0)</x:f>
        <x:v>0</x:v>
      </x:c>
      <x:c r="JB424" t="n">
        <x:f>'Calculations'!JB423+IF('Calculations'!JA424&gt;0,1,0)</x:f>
        <x:v>0</x:v>
      </x:c>
      <x:c r="JC424" t="n">
        <x:f>IF(OR('Calculations'!HF424="",'Calculations'!HF424="!AMBIG"),0,IF('Dashboard'!$B$7="All",1,COUNTIFS('Calculations'!$HO$13:$HO$512,"="&amp;SUBSTITUTE(SUBSTITUTE(SUBSTITUTE('Calculations'!HF424,"~","~~"),"*","~*"),"?","~?"),'Calculations'!$HN$13:$HN$512,"="&amp;SUBSTITUTE(SUBSTITUTE(SUBSTITUTE('Dashboard'!$B$7,"~","~~"),"*","~*"),"?","~?"))+COUNTIFS('Calculations'!$HP$13:$HP$512,"="&amp;SUBSTITUTE(SUBSTITUTE(SUBSTITUTE('Calculations'!HF424,"~","~~"),"*","~*"),"?","~?"),'Calculations'!$HN$13:$HN$512,"="&amp;SUBSTITUTE(SUBSTITUTE(SUBSTITUTE('Dashboard'!$B$7,"~","~~"),"*","~*"),"?","~?"))+COUNTIFS('Calculations'!$HQ$13:$HQ$512,"="&amp;SUBSTITUTE(SUBSTITUTE(SUBSTITUTE('Calculations'!HF424,"~","~~"),"*","~*"),"?","~?"),'Calculations'!$HN$13:$HN$512,"="&amp;SUBSTITUTE(SUBSTITUTE(SUBSTITUTE('Dashboard'!$B$7,"~","~~"),"*","~*"),"?","~?"))+COUNTIFS('Calculations'!$HR$13:$HR$512,"="&amp;SUBSTITUTE(SUBSTITUTE(SUBSTITUTE('Calculations'!HF424,"~","~~"),"*","~*"),"?","~?"),'Calculations'!$HN$13:$HN$512,"="&amp;SUBSTITUTE(SUBSTITUTE(SUBSTITUTE('Dashboard'!$B$7,"~","~~"),"*","~*"),"?","~?"))+COUNTIFS('Calculations'!$HS$13:$HS$512,"="&amp;SUBSTITUTE(SUBSTITUTE(SUBSTITUTE('Calculations'!HF424,"~","~~"),"*","~*"),"?","~?"),'Calculations'!$HN$13:$HN$512,"="&amp;SUBSTITUTE(SUBSTITUTE(SUBSTITUTE('Dashboard'!$B$7,"~","~~"),"*","~*"),"?","~?"))+COUNTIFS('Calculations'!$HT$13:$HT$512,"="&amp;SUBSTITUTE(SUBSTITUTE(SUBSTITUTE('Calculations'!HF424,"~","~~"),"*","~*"),"?","~?"),'Calculations'!$HN$13:$HN$512,"="&amp;SUBSTITUTE(SUBSTITUTE(SUBSTITUTE('Dashboard'!$B$7,"~","~~"),"*","~*"),"?","~?"))+COUNTIFS('Calculations'!$HU$13:$HU$512,"="&amp;SUBSTITUTE(SUBSTITUTE(SUBSTITUTE('Calculations'!HF424,"~","~~"),"*","~*"),"?","~?"),'Calculations'!$HN$13:$HN$512,"="&amp;SUBSTITUTE(SUBSTITUTE(SUBSTITUTE('Dashboard'!$B$7,"~","~~"),"*","~*"),"?","~?"))+COUNTIFS('Calculations'!$HV$13:$HV$512,"="&amp;SUBSTITUTE(SUBSTITUTE(SUBSTITUTE('Calculations'!HF424,"~","~~"),"*","~*"),"?","~?"),'Calculations'!$HN$13:$HN$512,"="&amp;SUBSTITUTE(SUBSTITUTE(SUBSTITUTE('Dashboard'!$B$7,"~","~~"),"*","~*"),"?","~?"))+COUNTIFS('Calculations'!$HW$13:$HW$512,"="&amp;SUBSTITUTE(SUBSTITUTE(SUBSTITUTE('Calculations'!HF424,"~","~~"),"*","~*"),"?","~?"),'Calculations'!$HN$13:$HN$512,"="&amp;SUBSTITUTE(SUBSTITUTE(SUBSTITUTE('Dashboard'!$B$7,"~","~~"),"*","~*"),"?","~?"))+COUNTIFS('Calculations'!$HX$13:$HX$512,"="&amp;SUBSTITUTE(SUBSTITUTE(SUBSTITUTE('Calculations'!HF424,"~","~~"),"*","~*"),"?","~?"),'Calculations'!$HN$13:$HN$512,"="&amp;SUBSTITUTE(SUBSTITUTE(SUBSTITUTE('Dashboard'!$B$7,"~","~~"),"*","~*"),"?","~?"))+COUNTIFS('Calculations'!$HY$13:$HY$512,"="&amp;SUBSTITUTE(SUBSTITUTE(SUBSTITUTE('Calculations'!HF424,"~","~~"),"*","~*"),"?","~?"),'Calculations'!$HN$13:$HN$512,"="&amp;SUBSTITUTE(SUBSTITUTE(SUBSTITUTE('Dashboard'!$B$7,"~","~~"),"*","~*"),"?","~?"))+COUNTIFS('Calculations'!$HZ$13:$HZ$512,"="&amp;SUBSTITUTE(SUBSTITUTE(SUBSTITUTE('Calculations'!HF424,"~","~~"),"*","~*"),"?","~?"),'Calculations'!$HN$13:$HN$512,"="&amp;SUBSTITUTE(SUBSTITUTE(SUBSTITUTE('Dashboard'!$B$7,"~","~~"),"*","~*"),"?","~?"))+COUNTIFS('Calculations'!$IA$13:$IA$512,"="&amp;SUBSTITUTE(SUBSTITUTE(SUBSTITUTE('Calculations'!HF424,"~","~~"),"*","~*"),"?","~?"),'Calculations'!$HN$13:$HN$512,"="&amp;SUBSTITUTE(SUBSTITUTE(SUBSTITUTE('Dashboard'!$B$7,"~","~~"),"*","~*"),"?","~?"))+COUNTIFS('Calculations'!$IB$13:$IB$512,"="&amp;SUBSTITUTE(SUBSTITUTE(SUBSTITUTE('Calculations'!HF424,"~","~~"),"*","~*"),"?","~?"),'Calculations'!$HN$13:$HN$512,"="&amp;SUBSTITUTE(SUBSTITUTE(SUBSTITUTE('Dashboard'!$B$7,"~","~~"),"*","~*"),"?","~?"))+COUNTIFS('Calculations'!$IC$13:$IC$512,"="&amp;SUBSTITUTE(SUBSTITUTE(SUBSTITUTE('Calculations'!HF424,"~","~~"),"*","~*"),"?","~?"),'Calculations'!$HN$13:$HN$512,"="&amp;SUBSTITUTE(SUBSTITUTE(SUBSTITUTE('Dashboard'!$B$7,"~","~~"),"*","~*"),"?","~?"))+COUNTIFS('Calculations'!$ID$13:$ID$512,"="&amp;SUBSTITUTE(SUBSTITUTE(SUBSTITUTE('Calculations'!HF424,"~","~~"),"*","~*"),"?","~?"),'Calculations'!$HN$13:$HN$512,"="&amp;SUBSTITUTE(SUBSTITUTE(SUBSTITUTE('Dashboard'!$B$7,"~","~~"),"*","~*"),"?","~?"))+COUNTIFS('Calculations'!$IE$13:$IE$512,"="&amp;SUBSTITUTE(SUBSTITUTE(SUBSTITUTE('Calculations'!HF424,"~","~~"),"*","~*"),"?","~?"),'Calculations'!$HN$13:$HN$512,"="&amp;SUBSTITUTE(SUBSTITUTE(SUBSTITUTE('Dashboard'!$B$7,"~","~~"),"*","~*"),"?","~?"))+COUNTIFS('Calculations'!$IF$13:$IF$512,"="&amp;SUBSTITUTE(SUBSTITUTE(SUBSTITUTE('Calculations'!HF424,"~","~~"),"*","~*"),"?","~?"),'Calculations'!$HN$13:$HN$512,"="&amp;SUBSTITUTE(SUBSTITUTE(SUBSTITUTE('Dashboard'!$B$7,"~","~~"),"*","~*"),"?","~?"))+COUNTIFS('Calculations'!$IG$13:$IG$512,"="&amp;SUBSTITUTE(SUBSTITUTE(SUBSTITUTE('Calculations'!HF424,"~","~~"),"*","~*"),"?","~?"),'Calculations'!$HN$13:$HN$512,"="&amp;SUBSTITUTE(SUBSTITUTE(SUBSTITUTE('Dashboard'!$B$7,"~","~~"),"*","~*"),"?","~?"))+COUNTIFS('Calculations'!$IH$13:$IH$512,"="&amp;SUBSTITUTE(SUBSTITUTE(SUBSTITUTE('Calculations'!HF424,"~","~~"),"*","~*"),"?","~?"),'Calculations'!$HN$13:$HN$512,"="&amp;SUBSTITUTE(SUBSTITUTE(SUBSTITUTE('Dashboard'!$B$7,"~","~~"),"*","~*"),"?","~?"))))</x:f>
        <x:v>0</x:v>
      </x:c>
      <x:c r="JD424" t="n">
        <x:f>IF('Calculations'!EM424="",0,IF('Dashboard'!$B$7="All",1,IF('Calculations'!HN424='Dashboard'!$B$7,1,0)+IFERROR(INDEX('Calculations'!$JC$13:$JC$512,MATCH('Calculations'!HE424,'Calculations'!$HF$13:$HF$512,0)),0)))</x:f>
        <x:v>0</x:v>
      </x:c>
      <x:c r="JE424" t="n">
        <x:f>IF(AND('Calculations'!EM424&lt;&gt;"",'Calculations'!$JJ$2&lt;&gt;"All",'Calculations'!$JJ$2&lt;&gt;"",'Calculations'!HF424='Calculations'!$JJ$2,'Calculations'!HL424=0,'Calculations'!JD424&gt;0),MAX('Calculations'!$JE$12:JE423)+1,0)</x:f>
        <x:v>0</x:v>
      </x:c>
      <x:c r="JF424" t="str">
        <x:f>IF('Calculations'!EM424="","",IFERROR(IF(INDEX(INDIRECT("'WCM Calibration Final'!$G$1:$G$2000"),'Calculations'!$EM424)="","",TRIM(INDEX(INDIRECT("'WCM Calibration Final'!$G$1:$G$2000"),'Calculations'!$EM424)&amp;"")),""))</x:f>
      </x:c>
      <x:c r="JQ424" t="n">
        <x:f>IF(OR('Calculations'!BM424=0,NOT('Calculations'!$AG$2),'Calculations'!$AG$8&gt;0),0,IF(OR('Dashboard'!$B$7="All",'Calculations'!HN424='Dashboard'!$B$7),IF('Calculations'!$JJ$2="All",1,IF(AND('Calculations'!HF424='Calculations'!$JJ$2,'Calculations'!HL424=0),1,0)),0))</x:f>
        <x:v>0</x:v>
      </x:c>
    </x:row>
    <x:row r="425">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t="n">
        <x:f>IF('Calculations'!$EM425="",0,IF(OR(IFERROR(INDEX(INDIRECT("'WCM Calibration Final'!$A$1:$A$2000"),'Calculations'!$EM425)&lt;&gt;"",FALSE),IFERROR(INDEX(INDIRECT("'WCM Calibration Final'!$B$1:$B$2000"),'Calculations'!$EM425)&lt;&gt;"",FALSE),IFERROR(INDEX(INDIRECT("'WCM Calibration Final'!$C$1:$C$2000"),'Calculations'!$EM425)&lt;&gt;"",FALSE)),1,0))</x:f>
        <x:v>0</x:v>
      </x:c>
      <x:c r="BN425" s="4" t="n">
        <x:f>IF(AND('Calculations'!BM425=1,'Calculations'!$AG$2,'Calculations'!$EN425=1),1,0)</x:f>
        <x:v>0</x:v>
      </x:c>
      <x:c r="BO425" s="4" t="str">
        <x:f>IF('Calculations'!BM425=0,"",IFERROR(IF(AND(VALUE(INDEX(INDIRECT("'WCM Calibration Final'!$K$1:$K$2000"),'Calculations'!$EM425))&gt;=1,VALUE(INDEX(INDIRECT("'WCM Calibration Final'!$K$1:$K$2000"),'Calculations'!$EM425))&lt;=4,MOD(VALUE(INDEX(INDIRECT("'WCM Calibration Final'!$K$1:$K$2000"),'Calculations'!$EM425)),1)=0),VALUE(INDEX(INDIRECT("'WCM Calibration Final'!$K$1:$K$2000"),'Calculations'!$EM425)),""),""))</x:f>
      </x:c>
      <x:c r="BP425" s="4" t="str">
        <x:f>IF('Calculations'!BM425=0,"",IFERROR(IF(AND(VALUE(INDEX(INDIRECT("'WCM Calibration Final'!$L$1:$L$2000"),'Calculations'!$EM425))&gt;=1,VALUE(INDEX(INDIRECT("'WCM Calibration Final'!$L$1:$L$2000"),'Calculations'!$EM425))&lt;=4,MOD(VALUE(INDEX(INDIRECT("'WCM Calibration Final'!$L$1:$L$2000"),'Calculations'!$EM425)),1)=0),VALUE(INDEX(INDIRECT("'WCM Calibration Final'!$L$1:$L$2000"),'Calculations'!$EM425)),""),""))</x:f>
      </x:c>
      <x:c r="BQ425" s="4"/>
      <x:c r="BR425" s="4"/>
      <x:c r="BS425" s="4"/>
      <x:c r="BT425" s="4" t="n">
        <x:f>IF(AND('Calculations'!BM425=1,ISNUMBER('Calculations'!BO425),ISNUMBER('Calculations'!BP425)),1,0)</x:f>
        <x:v>0</x:v>
      </x:c>
      <x:c r="BU425" s="4" t="str">
        <x:f>IF('Calculations'!BM425=0,"",'Calculations'!$EO425)</x:f>
      </x:c>
      <x:c r="BV425" s="4" t="str">
        <x:f>IF('Calculations'!BM425=0,"",IFERROR(IF(OR(INDEX(INDIRECT("'WCM Calibration Final'!$H$1:$H$2000"),'Calculations'!$EM425)="MANAGING DIRECTOR",INDEX(INDIRECT("'WCM Calibration Final'!$H$1:$H$2000"),'Calculations'!$EM425)="DIRECTOR",INDEX(INDIRECT("'WCM Calibration Final'!$H$1:$H$2000"),'Calculations'!$EM425)="SENIOR VICE PRESIDENT",INDEX(INDIRECT("'WCM Calibration Final'!$H$1:$H$2000"),'Calculations'!$EM425)="VICE PRESIDENT",INDEX(INDIRECT("'WCM Calibration Final'!$H$1:$H$2000"),'Calculations'!$EM425)="ASSISTANT VICE PRESIDENT",INDEX(INDIRECT("'WCM Calibration Final'!$H$1:$H$2000"),'Calculations'!$EM425)="OFFICER"),UPPER(INDEX(INDIRECT("'WCM Calibration Final'!$H$1:$H$2000"),'Calculations'!$EM425)),"Other"),"Other"))</x:f>
      </x:c>
      <x:c r="BW425" s="4"/>
      <x:c r="BX425" s="4"/>
      <x:c r="BY425" s="4" t="n">
        <x:f>IF(AND('Calculations'!BM425=1,'Calculations'!BU425&lt;&gt;"",COUNTIF('Calculations'!$BU$12:BU425,'Calculations'!BU425)=1),MAX('Calculations'!$BY$11:BY424)+1,0)</x:f>
        <x:v>0</x:v>
      </x:c>
      <x:c r="BZ425" s="4" t="str">
        <x:f>IF('Dashboard'!$E$67="What",'Calculations'!BO425,'Calculations'!BP425)</x:f>
      </x:c>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t="str">
        <x:f>IF(414&gt;MAX('Calculations'!$HI$13:$HI$512),"",INDEX('Calculations'!$HN$13:$HN$512,MATCH(414,'Calculations'!$HI$13:$HI$512,0)))</x:f>
      </x:c>
      <x:c r="DB425" s="4" t="str">
        <x:f>IF(414&gt;MAX('Calculations'!$HH$13:$HH$512),"",INDEX('Calculations'!$HJ$13:$HJ$512,MATCH(414,'Calculations'!$HH$13:$HH$512,0)))</x:f>
      </x:c>
      <x:c r="DC425" s="4" t="str">
        <x:f>IF(ROW()-11&gt;MAX('Calculations'!$BY$13:$BY$512),"",INDEX('Calculations'!$BU$13:$BU$512,MATCH(ROW()-11,'Calculations'!$BY$13:$BY$512,0)))</x:f>
      </x:c>
      <x:c r="DD425" s="4" t="str">
        <x:f>IF(414&gt;MAX('Calculations'!$IK$13:$IK$512),"",INDEX('Calculations'!$HK$13:$HK$512,MATCH(414,'Calculations'!$IK$13:$IK$512,0)))</x:f>
      </x:c>
      <x:c r="DE425" s="4" t="str">
        <x:f>'Calculations'!DC425</x:f>
      </x:c>
      <x:c r="DF425" s="4" t="str">
        <x:f>IF('Calculations'!DE425="","",COUNTIFS('Calculations'!$BN$13:$BN$512,1,'Calculations'!$BU$13:$BU$512,'Calculations'!DE425))</x:f>
      </x:c>
      <x:c r="DG425" s="4" t="str">
        <x:f>IF('Calculations'!DE425="","",COUNTIFS('Calculations'!$BN$13:$BN$512,1,'Calculations'!$BU$13:$BU$512,'Calculations'!DE425,'Calculations'!$BT$13:$BT$512,1))</x:f>
      </x:c>
      <x:c r="DH425" s="4" t="str">
        <x:f>IF('Calculations'!DE425="","",'Calculations'!DF425-'Calculations'!DG425)</x:f>
      </x:c>
      <x:c r="DI425" s="4" t="str">
        <x:f>IF(OR('Calculations'!DE425="",'Calculations'!DF425=0),"",'Calculations'!DG425/'Calculations'!DF425)</x:f>
      </x:c>
      <x:c r="DJ425" s="4" t="str">
        <x:f>IF('Calculations'!DE425="","",COUNTIFS('Calculations'!$BN$13:$BN$512,1,'Calculations'!$BU$13:$BU$512,'Calculations'!DE425,'Calculations'!$BT$13:$BT$512,1,'Calculations'!$EE$13:$EE$512,"High"))</x:f>
      </x:c>
      <x:c r="DK425" s="4" t="str">
        <x:f>IF('Calculations'!DE425="","",COUNTIFS('Calculations'!$BN$13:$BN$512,1,'Calculations'!$BU$13:$BU$512,'Calculations'!DE425,'Calculations'!$BT$13:$BT$512,1,'Calculations'!$EE$13:$EE$512,"Strong"))</x:f>
      </x:c>
      <x:c r="DL425" s="4" t="str">
        <x:f>IF('Calculations'!DE425="","",COUNTIFS('Calculations'!$BN$13:$BN$512,1,'Calculations'!$BU$13:$BU$512,'Calculations'!DE425,'Calculations'!$BT$13:$BT$512,1,'Calculations'!$EE$13:$EE$512,"Solid"))</x:f>
      </x:c>
      <x:c r="DM425" s="4" t="str">
        <x:f>IF('Calculations'!DE425="","",COUNTIFS('Calculations'!$BN$13:$BN$512,1,'Calculations'!$BU$13:$BU$512,'Calculations'!DE425,'Calculations'!$BT$13:$BT$512,1,'Calculations'!$EE$13:$EE$512,"Low"))</x:f>
      </x:c>
      <x:c r="DN425" s="4" t="str">
        <x:f>IF('Calculations'!DE425="","",COUNTIFS('Calculations'!$BN$13:$BN$512,1,'Calculations'!$BU$13:$BU$512,'Calculations'!DE425,'Calculations'!$EP$13:$EP$512,1))</x:f>
      </x:c>
      <x:c r="DO425" s="4" t="str">
        <x:f>IF(OR('Calculations'!DE425="",'Calculations'!DG425=0),"",('Calculations'!DJ425+'Calculations'!DK425)/'Calculations'!DG425)</x:f>
      </x:c>
      <x:c r="DP425" s="4" t="n">
        <x:f>IF(AND('Calculations'!DE425&lt;&gt;"",'Calculations'!DF425&gt;0),COUNTIF('Calculations'!$DF$12:DF425,"&gt;0"),0)</x:f>
        <x:v>0</x:v>
      </x:c>
      <x:c r="DQ425" s="4" t="str">
        <x:f>IF(414&gt;MAX('Calculations'!$HH$13:$HH$512),"",INDEX('Calculations'!$HF$13:$HF$512,MATCH(414,'Calculations'!$HH$13:$HH$512,0)))</x:f>
      </x:c>
      <x:c r="DR425" s="4" t="str">
        <x:f>IF(414&gt;MAX('Calculations'!$IK$13:$IK$512),"",INDEX('Calculations'!$HE$13:$HE$512,MATCH(414,'Calculations'!$IK$13:$IK$512,0)))</x:f>
      </x:c>
      <x:c r="DS425" s="4"/>
      <x:c r="DT425" s="4"/>
      <x:c r="DU425" s="4"/>
      <x:c r="DV425" s="4"/>
      <x:c r="DW425" s="4"/>
      <x:c r="DX425" s="4"/>
      <x:c r="DY425" s="4"/>
      <x:c r="DZ425" s="4"/>
      <x:c r="EA425" s="4"/>
      <x:c r="EB425" s="4"/>
      <x:c r="EC425" s="4"/>
      <x:c r="ED425" s="4"/>
      <x:c r="EE425" s="4" t="str">
        <x:f>IF('Calculations'!BT425=0,"Not Rated",IF(OR('Calculations'!BO425&gt;=4,'Calculations'!BP425&gt;=4),"Low",IF('Calculations'!BO425+'Calculations'!BP425&lt;=3,"High",IF('Calculations'!BO425+'Calculations'!BP425&lt;=4,"Strong","Solid"))))</x:f>
        <x:v>Not Rated</x:v>
      </x:c>
      <x:c r="EF425" s="4"/>
      <x:c r="EG425" s="4"/>
      <x:c r="EH425" s="4"/>
      <x:c r="EI425" s="4"/>
      <x:c r="EJ425" s="4"/>
      <x:c r="EK425" s="4"/>
      <x:c r="EL425" s="4"/>
      <x:c r="EM425" s="4" t="str">
        <x:f>IF(413&gt;'Calculations'!$JB$2000,"",INDEX('Calculations'!$JA$12:$JA$2000,MATCH(413,'Calculations'!$JB$12:$JB$2000,0)))</x:f>
      </x:c>
      <x:c r="EN425" s="4" t="n">
        <x:f>IF(OR('Calculations'!EM425="",'Calculations'!$AG$8&gt;0,AND('Calculations'!$EF$2&lt;&gt;"All",'Calculations'!HE425='Calculations'!$EF$2),AND('Calculations'!$EF$3&lt;&gt;"All",'Calculations'!HE425='Calculations'!$EF$3)),0,IF(OR('Dashboard'!$B$7="All",'Calculations'!HN425='Dashboard'!$B$7),IF('Calculations'!$EF$2="All",1,IF('Calculations'!HL425&gt;0,0,IF(COUNTIF('Calculations'!HO425:II425,"="&amp;SUBSTITUTE(SUBSTITUTE(SUBSTITUTE('Calculations'!$EF$2,"~","~~"),"*","~*"),"?","~?"))=0,0,IF('Calculations'!$EF$3="All",1,IF(COUNTIF('Calculations'!HO425:II425,"="&amp;SUBSTITUTE(SUBSTITUTE(SUBSTITUTE('Calculations'!$EF$3,"~","~~"),"*","~*"),"?","~?"))&gt;0,1,0))))),0))</x:f>
        <x:v>0</x:v>
      </x:c>
      <x:c r="EO425" s="4" t="str">
        <x:f>IF('Calculations'!IJ425="","",IF('Calculations'!IJ425="!UNRESOLVED","Unresolved hierarchy",IFERROR(INDEX('Calculations'!$HK$13:$HK$512,MATCH('Calculations'!IJ425,'Calculations'!$HE$13:$HE$512,0)),IFERROR(INDEX('Calculations'!$HJ$13:$HJ$512,MATCH('Calculations'!IJ425,'Calculations'!$HF$13:$HF$512,0)),'Calculations'!IJ425))))</x:f>
      </x:c>
      <x:c r="EP425" s="4" t="n">
        <x:f>IF(AND('Calculations'!EM425&lt;&gt;"",'Calculations'!HF425='Calculations'!IJ425),1,0)</x:f>
        <x:v>0</x:v>
      </x:c>
      <x:c r="EQ425" s="4"/>
      <x:c r="ER425" s="4"/>
      <x:c r="ES425" s="4"/>
      <x:c r="ET425" s="4"/>
      <x:c r="EU425" s="4"/>
      <x:c r="EV425" s="4"/>
      <x:c r="EW425" s="4"/>
      <x:c r="EX425" s="4"/>
      <x:c r="EY425" s="4"/>
      <x:c r="EZ425" s="4"/>
      <x:c r="FA425" s="4"/>
      <x:c r="FB425" s="4"/>
      <x:c r="FC425" s="4"/>
      <x:c r="FD425" s="4"/>
      <x:c r="FE425" s="4"/>
      <x:c r="FF425" s="4"/>
      <x:c r="FG425" s="4"/>
      <x:c r="FH425" s="4"/>
      <x:c r="FI425" s="4"/>
      <x:c r="FJ425" s="4"/>
      <x:c r="FK425" s="4"/>
      <x:c r="FL425" s="4"/>
      <x:c r="FM425" s="4"/>
      <x:c r="FN425" s="4"/>
      <x:c r="FO425" s="4"/>
      <x:c r="HE425" t="str">
        <x:f>IF('Calculations'!EM425="","",IF(IFERROR(IF(INDEX(INDIRECT("'WCM Calibration Final'!$A$1:$A$2000"),'Calculations'!$EM425)="","",TRIM(INDEX(INDIRECT("'WCM Calibration Final'!$A$1:$A$2000"),'Calculations'!$EM425)&amp;"")),"")&lt;&gt;"","G:"&amp;IFERROR(TEXT(1*INDEX(INDIRECT("'WCM Calibration Final'!$A$1:$A$2000"),'Calculations'!$EM425),"0"),UPPER(IFERROR(IF(INDEX(INDIRECT("'WCM Calibration Final'!$A$1:$A$2000"),'Calculations'!$EM425)="","",TRIM(INDEX(INDIRECT("'WCM Calibration Final'!$A$1:$A$2000"),'Calculations'!$EM425)&amp;"")),""))),IF(IFERROR(IF(INDEX(INDIRECT("'WCM Calibration Final'!$C$1:$C$2000"),'Calculations'!$EM425)="","",TRIM(INDEX(INDIRECT("'WCM Calibration Final'!$C$1:$C$2000"),'Calculations'!$EM425)&amp;"")),"")&lt;&gt;"","S:"&amp;UPPER(IFERROR(IF(INDEX(INDIRECT("'WCM Calibration Final'!$C$1:$C$2000"),'Calculations'!$EM425)="","",TRIM(INDEX(INDIRECT("'WCM Calibration Final'!$C$1:$C$2000"),'Calculations'!$EM425)&amp;"")),"")),"R:"&amp;'Calculations'!EM425)))</x:f>
      </x:c>
      <x:c r="HF425" t="str">
        <x:f>IF('Calculations'!EM425="","",IF(IFERROR(IF(INDEX(INDIRECT("'WCM Calibration Final'!$D$1:$D$2000"),'Calculations'!$EM425)="","",TRIM(INDEX(INDIRECT("'WCM Calibration Final'!$D$1:$D$2000"),'Calculations'!$EM425)&amp;"")),"")&lt;&gt;"","G:"&amp;IFERROR(TEXT(1*INDEX(INDIRECT("'WCM Calibration Final'!$D$1:$D$2000"),'Calculations'!$EM425),"0"),UPPER(IFERROR(IF(INDEX(INDIRECT("'WCM Calibration Final'!$D$1:$D$2000"),'Calculations'!$EM425)="","",TRIM(INDEX(INDIRECT("'WCM Calibration Final'!$D$1:$D$2000"),'Calculations'!$EM425)&amp;"")),""))),IF(IFERROR(IF(INDEX(INDIRECT("'WCM Calibration Final'!$E$1:$E$2000"),'Calculations'!$EM425)="","",TRIM(INDEX(INDIRECT("'WCM Calibration Final'!$E$1:$E$2000"),'Calculations'!$EM425)&amp;"")),"")="","",IF(COUNTIF('Calculations'!$HG$13:$HG$512,"="&amp;SUBSTITUTE(SUBSTITUTE(SUBSTITUTE(IFERROR(IF(INDEX(INDIRECT("'WCM Calibration Final'!$E$1:$E$2000"),'Calculations'!$EM425)="","",TRIM(INDEX(INDIRECT("'WCM Calibration Final'!$E$1:$E$2000"),'Calculations'!$EM425)&amp;"")),""),"~","~~"),"*","~*"),"?","~?"))=1,INDEX('Calculations'!$HE$13:$HE$512,MATCH(IFERROR(IF(INDEX(INDIRECT("'WCM Calibration Final'!$E$1:$E$2000"),'Calculations'!$EM425)="","",TRIM(INDEX(INDIRECT("'WCM Calibration Final'!$E$1:$E$2000"),'Calculations'!$EM425)&amp;"")),""),'Calculations'!$HG$13:$HG$512,0)),IF(COUNTIF('Calculations'!$HG$13:$HG$512,"="&amp;SUBSTITUTE(SUBSTITUTE(SUBSTITUTE(IFERROR(IF(INDEX(INDIRECT("'WCM Calibration Final'!$E$1:$E$2000"),'Calculations'!$EM425)="","",TRIM(INDEX(INDIRECT("'WCM Calibration Final'!$E$1:$E$2000"),'Calculations'!$EM425)&amp;"")),""),"~","~~"),"*","~*"),"?","~?"))&gt;1,"!AMBIG","X:"&amp;IFERROR(IF(INDEX(INDIRECT("'WCM Calibration Final'!$E$1:$E$2000"),'Calculations'!$EM425)="","",TRIM(INDEX(INDIRECT("'WCM Calibration Final'!$E$1:$E$2000"),'Calculations'!$EM425)&amp;"")),""))))))</x:f>
      </x:c>
      <x:c r="HG425" t="str">
        <x:f>IF('Calculations'!EM425="","",IFERROR(IF(INDEX(INDIRECT("'WCM Calibration Final'!$B$1:$B$2000"),'Calculations'!$EM425)="","",TRIM(INDEX(INDIRECT("'WCM Calibration Final'!$B$1:$B$2000"),'Calculations'!$EM425)&amp;"")),""))</x:f>
      </x:c>
      <x:c r="HH425" t="n">
        <x:f>IF(AND('Calculations'!JC425&gt;0,COUNTIF('Calculations'!$HF$12:HF425,"="&amp;SUBSTITUTE(SUBSTITUTE(SUBSTITUTE('Calculations'!HF425,"~","~~"),"*","~*"),"?","~?"))=1),MAX('Calculations'!$HH$12:HH424)+1,0)</x:f>
        <x:v>0</x:v>
      </x:c>
      <x:c r="HI425" t="n">
        <x:f>IF(AND('Calculations'!HN425&lt;&gt;"",COUNTIF('Calculations'!$HN$12:HN425,"="&amp;SUBSTITUTE(SUBSTITUTE(SUBSTITUTE('Calculations'!HN425,"~","~~"),"*","~*"),"?","~?"))=1),MAX('Calculations'!$HI$12:HI424)+1,0)</x:f>
        <x:v>0</x:v>
      </x:c>
      <x:c r="HJ425" t="str">
        <x:f>IF('Calculations'!HF425="","",IF(COUNTIF('Calculations'!$HE$13:$HE$512,"="&amp;SUBSTITUTE(SUBSTITUTE(SUBSTITUTE('Calculations'!HF425,"~","~~"),"*","~*"),"?","~?"))=1,INDEX('Calculations'!$HK$13:$HK$512,MATCH('Calculations'!HF425,'Calculations'!$HE$13:$HE$512,0)),IFERROR(IF(INDEX(INDIRECT("'WCM Calibration Final'!$E$1:$E$2000"),'Calculations'!$EM425)="","",TRIM(INDEX(INDIRECT("'WCM Calibration Final'!$E$1:$E$2000"),'Calculations'!$EM425)&amp;"")),"")&amp;" ["&amp;'Calculations'!HF425&amp;"]"))</x:f>
      </x:c>
      <x:c r="HK425" t="str">
        <x:f>IF('Calculations'!EM425="","",'Calculations'!HG425&amp;" ["&amp;'Calculations'!HE425&amp;"]")</x:f>
      </x:c>
      <x:c r="HL425" t="n">
        <x:f>IF('Calculations'!EM425="",0,IF(OR('Calculations'!II425&lt;&gt;"",COUNTIF('Calculations'!$HE$13:$HE$512,"="&amp;SUBSTITUTE(SUBSTITUTE(SUBSTITUTE('Calculations'!HE425,"~","~~"),"*","~*"),"?","~?"))&gt;1),1,0))</x:f>
        <x:v>0</x:v>
      </x:c>
      <x:c r="HM425" t="str">
        <x:f>IF('Calculations'!EM425="","",IF('Calculations'!HL425=1,"!UNRESOLVED",IF('Calculations'!IH425&lt;&gt;"",'Calculations'!IH425,IF('Calculations'!IG425&lt;&gt;"",'Calculations'!IG425,IF('Calculations'!IF425&lt;&gt;"",'Calculations'!IF425,IF('Calculations'!IE425&lt;&gt;"",'Calculations'!IE425,IF('Calculations'!ID425&lt;&gt;"",'Calculations'!ID425,IF('Calculations'!IC425&lt;&gt;"",'Calculations'!IC425,IF('Calculations'!IB425&lt;&gt;"",'Calculations'!IB425,IF('Calculations'!IA425&lt;&gt;"",'Calculations'!IA425,IF('Calculations'!HZ425&lt;&gt;"",'Calculations'!HZ425,IF('Calculations'!HY425&lt;&gt;"",'Calculations'!HY425,IF('Calculations'!HX425&lt;&gt;"",'Calculations'!HX425,IF('Calculations'!HW425&lt;&gt;"",'Calculations'!HW425,IF('Calculations'!HV425&lt;&gt;"",'Calculations'!HV425,IF('Calculations'!HU425&lt;&gt;"",'Calculations'!HU425,IF('Calculations'!HT425&lt;&gt;"",'Calculations'!HT425,IF('Calculations'!HS425&lt;&gt;"",'Calculations'!HS425,IF('Calculations'!HR425&lt;&gt;"",'Calculations'!HR425,IF('Calculations'!HQ425&lt;&gt;"",'Calculations'!HQ425,IF('Calculations'!HP425&lt;&gt;"",'Calculations'!HP425,IF('Calculations'!HO425&lt;&gt;"",'Calculations'!HO425,'Calculations'!HE425))))))))))))))))))))))</x:f>
      </x:c>
      <x:c r="HN425" t="str">
        <x:f>IF('Calculations'!EM425="","",IF(IFERROR(IF(INDEX(INDIRECT("'WCM Calibration Final'!$F$1:$F$2000"),'Calculations'!$EM425)="","",TRIM(INDEX(INDIRECT("'WCM Calibration Final'!$F$1:$F$2000"),'Calculations'!$EM425)&amp;"")),"")="","(Blank)",IFERROR(IF(INDEX(INDIRECT("'WCM Calibration Final'!$F$1:$F$2000"),'Calculations'!$EM425)="","",TRIM(INDEX(INDIRECT("'WCM Calibration Final'!$F$1:$F$2000"),'Calculations'!$EM425)&amp;"")),"")))</x:f>
      </x:c>
      <x:c r="HO425" t="str">
        <x:f>'Calculations'!HF425</x:f>
      </x:c>
      <x:c r="HP425" t="str">
        <x:f>IF('Calculations'!HO425="","",IF('Calculations'!HO425="!AMBIG","!AMBIG",IF(COUNTIF('Calculations'!$HE$13:$HE$512,"="&amp;SUBSTITUTE(SUBSTITUTE(SUBSTITUTE('Calculations'!HO425,"~","~~"),"*","~*"),"?","~?"))&gt;1,"!AMBIG",IFERROR(INDEX('Calculations'!$HF$13:$HF$512,MATCH('Calculations'!HO425,'Calculations'!$HE$13:$HE$512,0)),""))))</x:f>
      </x:c>
      <x:c r="HQ425" t="str">
        <x:f>IF('Calculations'!HP425="","",IF('Calculations'!HP425="!AMBIG","!AMBIG",IF(COUNTIF('Calculations'!$HE$13:$HE$512,"="&amp;SUBSTITUTE(SUBSTITUTE(SUBSTITUTE('Calculations'!HP425,"~","~~"),"*","~*"),"?","~?"))&gt;1,"!AMBIG",IFERROR(INDEX('Calculations'!$HF$13:$HF$512,MATCH('Calculations'!HP425,'Calculations'!$HE$13:$HE$512,0)),""))))</x:f>
      </x:c>
      <x:c r="HR425" t="str">
        <x:f>IF('Calculations'!HQ425="","",IF('Calculations'!HQ425="!AMBIG","!AMBIG",IF(COUNTIF('Calculations'!$HE$13:$HE$512,"="&amp;SUBSTITUTE(SUBSTITUTE(SUBSTITUTE('Calculations'!HQ425,"~","~~"),"*","~*"),"?","~?"))&gt;1,"!AMBIG",IFERROR(INDEX('Calculations'!$HF$13:$HF$512,MATCH('Calculations'!HQ425,'Calculations'!$HE$13:$HE$512,0)),""))))</x:f>
      </x:c>
      <x:c r="HS425" t="str">
        <x:f>IF('Calculations'!HR425="","",IF('Calculations'!HR425="!AMBIG","!AMBIG",IF(COUNTIF('Calculations'!$HE$13:$HE$512,"="&amp;SUBSTITUTE(SUBSTITUTE(SUBSTITUTE('Calculations'!HR425,"~","~~"),"*","~*"),"?","~?"))&gt;1,"!AMBIG",IFERROR(INDEX('Calculations'!$HF$13:$HF$512,MATCH('Calculations'!HR425,'Calculations'!$HE$13:$HE$512,0)),""))))</x:f>
      </x:c>
      <x:c r="HT425" t="str">
        <x:f>IF('Calculations'!HS425="","",IF('Calculations'!HS425="!AMBIG","!AMBIG",IF(COUNTIF('Calculations'!$HE$13:$HE$512,"="&amp;SUBSTITUTE(SUBSTITUTE(SUBSTITUTE('Calculations'!HS425,"~","~~"),"*","~*"),"?","~?"))&gt;1,"!AMBIG",IFERROR(INDEX('Calculations'!$HF$13:$HF$512,MATCH('Calculations'!HS425,'Calculations'!$HE$13:$HE$512,0)),""))))</x:f>
      </x:c>
      <x:c r="HU425" t="str">
        <x:f>IF('Calculations'!HT425="","",IF('Calculations'!HT425="!AMBIG","!AMBIG",IF(COUNTIF('Calculations'!$HE$13:$HE$512,"="&amp;SUBSTITUTE(SUBSTITUTE(SUBSTITUTE('Calculations'!HT425,"~","~~"),"*","~*"),"?","~?"))&gt;1,"!AMBIG",IFERROR(INDEX('Calculations'!$HF$13:$HF$512,MATCH('Calculations'!HT425,'Calculations'!$HE$13:$HE$512,0)),""))))</x:f>
      </x:c>
      <x:c r="HV425" t="str">
        <x:f>IF('Calculations'!HU425="","",IF('Calculations'!HU425="!AMBIG","!AMBIG",IF(COUNTIF('Calculations'!$HE$13:$HE$512,"="&amp;SUBSTITUTE(SUBSTITUTE(SUBSTITUTE('Calculations'!HU425,"~","~~"),"*","~*"),"?","~?"))&gt;1,"!AMBIG",IFERROR(INDEX('Calculations'!$HF$13:$HF$512,MATCH('Calculations'!HU425,'Calculations'!$HE$13:$HE$512,0)),""))))</x:f>
      </x:c>
      <x:c r="HW425" t="str">
        <x:f>IF('Calculations'!HV425="","",IF('Calculations'!HV425="!AMBIG","!AMBIG",IF(COUNTIF('Calculations'!$HE$13:$HE$512,"="&amp;SUBSTITUTE(SUBSTITUTE(SUBSTITUTE('Calculations'!HV425,"~","~~"),"*","~*"),"?","~?"))&gt;1,"!AMBIG",IFERROR(INDEX('Calculations'!$HF$13:$HF$512,MATCH('Calculations'!HV425,'Calculations'!$HE$13:$HE$512,0)),""))))</x:f>
      </x:c>
      <x:c r="HX425" t="str">
        <x:f>IF('Calculations'!HW425="","",IF('Calculations'!HW425="!AMBIG","!AMBIG",IF(COUNTIF('Calculations'!$HE$13:$HE$512,"="&amp;SUBSTITUTE(SUBSTITUTE(SUBSTITUTE('Calculations'!HW425,"~","~~"),"*","~*"),"?","~?"))&gt;1,"!AMBIG",IFERROR(INDEX('Calculations'!$HF$13:$HF$512,MATCH('Calculations'!HW425,'Calculations'!$HE$13:$HE$512,0)),""))))</x:f>
      </x:c>
      <x:c r="HY425" t="str">
        <x:f>IF('Calculations'!HX425="","",IF('Calculations'!HX425="!AMBIG","!AMBIG",IF(COUNTIF('Calculations'!$HE$13:$HE$512,"="&amp;SUBSTITUTE(SUBSTITUTE(SUBSTITUTE('Calculations'!HX425,"~","~~"),"*","~*"),"?","~?"))&gt;1,"!AMBIG",IFERROR(INDEX('Calculations'!$HF$13:$HF$512,MATCH('Calculations'!HX425,'Calculations'!$HE$13:$HE$512,0)),""))))</x:f>
      </x:c>
      <x:c r="HZ425" t="str">
        <x:f>IF('Calculations'!HY425="","",IF('Calculations'!HY425="!AMBIG","!AMBIG",IF(COUNTIF('Calculations'!$HE$13:$HE$512,"="&amp;SUBSTITUTE(SUBSTITUTE(SUBSTITUTE('Calculations'!HY425,"~","~~"),"*","~*"),"?","~?"))&gt;1,"!AMBIG",IFERROR(INDEX('Calculations'!$HF$13:$HF$512,MATCH('Calculations'!HY425,'Calculations'!$HE$13:$HE$512,0)),""))))</x:f>
      </x:c>
      <x:c r="IA425" t="str">
        <x:f>IF('Calculations'!HZ425="","",IF('Calculations'!HZ425="!AMBIG","!AMBIG",IF(COUNTIF('Calculations'!$HE$13:$HE$512,"="&amp;SUBSTITUTE(SUBSTITUTE(SUBSTITUTE('Calculations'!HZ425,"~","~~"),"*","~*"),"?","~?"))&gt;1,"!AMBIG",IFERROR(INDEX('Calculations'!$HF$13:$HF$512,MATCH('Calculations'!HZ425,'Calculations'!$HE$13:$HE$512,0)),""))))</x:f>
      </x:c>
      <x:c r="IB425" t="str">
        <x:f>IF('Calculations'!IA425="","",IF('Calculations'!IA425="!AMBIG","!AMBIG",IF(COUNTIF('Calculations'!$HE$13:$HE$512,"="&amp;SUBSTITUTE(SUBSTITUTE(SUBSTITUTE('Calculations'!IA425,"~","~~"),"*","~*"),"?","~?"))&gt;1,"!AMBIG",IFERROR(INDEX('Calculations'!$HF$13:$HF$512,MATCH('Calculations'!IA425,'Calculations'!$HE$13:$HE$512,0)),""))))</x:f>
      </x:c>
      <x:c r="IC425" t="str">
        <x:f>IF('Calculations'!IB425="","",IF('Calculations'!IB425="!AMBIG","!AMBIG",IF(COUNTIF('Calculations'!$HE$13:$HE$512,"="&amp;SUBSTITUTE(SUBSTITUTE(SUBSTITUTE('Calculations'!IB425,"~","~~"),"*","~*"),"?","~?"))&gt;1,"!AMBIG",IFERROR(INDEX('Calculations'!$HF$13:$HF$512,MATCH('Calculations'!IB425,'Calculations'!$HE$13:$HE$512,0)),""))))</x:f>
      </x:c>
      <x:c r="ID425" t="str">
        <x:f>IF('Calculations'!IC425="","",IF('Calculations'!IC425="!AMBIG","!AMBIG",IF(COUNTIF('Calculations'!$HE$13:$HE$512,"="&amp;SUBSTITUTE(SUBSTITUTE(SUBSTITUTE('Calculations'!IC425,"~","~~"),"*","~*"),"?","~?"))&gt;1,"!AMBIG",IFERROR(INDEX('Calculations'!$HF$13:$HF$512,MATCH('Calculations'!IC425,'Calculations'!$HE$13:$HE$512,0)),""))))</x:f>
      </x:c>
      <x:c r="IE425" t="str">
        <x:f>IF('Calculations'!ID425="","",IF('Calculations'!ID425="!AMBIG","!AMBIG",IF(COUNTIF('Calculations'!$HE$13:$HE$512,"="&amp;SUBSTITUTE(SUBSTITUTE(SUBSTITUTE('Calculations'!ID425,"~","~~"),"*","~*"),"?","~?"))&gt;1,"!AMBIG",IFERROR(INDEX('Calculations'!$HF$13:$HF$512,MATCH('Calculations'!ID425,'Calculations'!$HE$13:$HE$512,0)),""))))</x:f>
      </x:c>
      <x:c r="IF425" t="str">
        <x:f>IF('Calculations'!IE425="","",IF('Calculations'!IE425="!AMBIG","!AMBIG",IF(COUNTIF('Calculations'!$HE$13:$HE$512,"="&amp;SUBSTITUTE(SUBSTITUTE(SUBSTITUTE('Calculations'!IE425,"~","~~"),"*","~*"),"?","~?"))&gt;1,"!AMBIG",IFERROR(INDEX('Calculations'!$HF$13:$HF$512,MATCH('Calculations'!IE425,'Calculations'!$HE$13:$HE$512,0)),""))))</x:f>
      </x:c>
      <x:c r="IG425" t="str">
        <x:f>IF('Calculations'!IF425="","",IF('Calculations'!IF425="!AMBIG","!AMBIG",IF(COUNTIF('Calculations'!$HE$13:$HE$512,"="&amp;SUBSTITUTE(SUBSTITUTE(SUBSTITUTE('Calculations'!IF425,"~","~~"),"*","~*"),"?","~?"))&gt;1,"!AMBIG",IFERROR(INDEX('Calculations'!$HF$13:$HF$512,MATCH('Calculations'!IF425,'Calculations'!$HE$13:$HE$512,0)),""))))</x:f>
      </x:c>
      <x:c r="IH425" t="str">
        <x:f>IF('Calculations'!IG425="","",IF('Calculations'!IG425="!AMBIG","!AMBIG",IF(COUNTIF('Calculations'!$HE$13:$HE$512,"="&amp;SUBSTITUTE(SUBSTITUTE(SUBSTITUTE('Calculations'!IG425,"~","~~"),"*","~*"),"?","~?"))&gt;1,"!AMBIG",IFERROR(INDEX('Calculations'!$HF$13:$HF$512,MATCH('Calculations'!IG425,'Calculations'!$HE$13:$HE$512,0)),""))))</x:f>
      </x:c>
      <x:c r="II425" t="str">
        <x:f>IF('Calculations'!IH425="","",IF('Calculations'!IH425="!AMBIG","!AMBIG",IF(COUNTIF('Calculations'!$HE$13:$HE$512,"="&amp;SUBSTITUTE(SUBSTITUTE(SUBSTITUTE('Calculations'!IH425,"~","~~"),"*","~*"),"?","~?"))&gt;1,"!AMBIG",IFERROR(INDEX('Calculations'!$HF$13:$HF$512,MATCH('Calculations'!IH425,'Calculations'!$HE$13:$HE$512,0)),""))))</x:f>
      </x:c>
      <x:c r="IJ425" t="str">
        <x:f>IF('Calculations'!EM425="","",IF('Calculations'!$EF$2="All",'Calculations'!HM425,IF('Calculations'!HL425=1,"",IFERROR(IF(MATCH('Calculations'!$EF$2,'Calculations'!HO425:II425,0)=1,'Calculations'!HE425,INDEX('Calculations'!HO425:II425,1,MATCH('Calculations'!$EF$2,'Calculations'!HO425:II425,0)-1)),""))))</x:f>
      </x:c>
      <x:c r="IK425" t="n">
        <x:f>IF(AND('Calculations'!EM425&lt;&gt;"",'Calculations'!$EF$2&lt;&gt;"All",'Calculations'!HF425='Calculations'!$EF$2,'Calculations'!HL425=0,'Calculations'!JD425&gt;0),MAX('Calculations'!$IK$12:IK424)+1,0)</x:f>
        <x:v>0</x:v>
      </x:c>
      <x:c r="JA425" t="n">
        <x:f>IF(OR(IFERROR(INDIRECT("'WCM Calibration Final'!$A$425")&lt;&gt;"",FALSE),IFERROR(INDIRECT("'WCM Calibration Final'!$B$425")&lt;&gt;"",FALSE),IFERROR(INDIRECT("'WCM Calibration Final'!$C$425")&lt;&gt;"",FALSE)),425,0)</x:f>
        <x:v>0</x:v>
      </x:c>
      <x:c r="JB425" t="n">
        <x:f>'Calculations'!JB424+IF('Calculations'!JA425&gt;0,1,0)</x:f>
        <x:v>0</x:v>
      </x:c>
      <x:c r="JC425" t="n">
        <x:f>IF(OR('Calculations'!HF425="",'Calculations'!HF425="!AMBIG"),0,IF('Dashboard'!$B$7="All",1,COUNTIFS('Calculations'!$HO$13:$HO$512,"="&amp;SUBSTITUTE(SUBSTITUTE(SUBSTITUTE('Calculations'!HF425,"~","~~"),"*","~*"),"?","~?"),'Calculations'!$HN$13:$HN$512,"="&amp;SUBSTITUTE(SUBSTITUTE(SUBSTITUTE('Dashboard'!$B$7,"~","~~"),"*","~*"),"?","~?"))+COUNTIFS('Calculations'!$HP$13:$HP$512,"="&amp;SUBSTITUTE(SUBSTITUTE(SUBSTITUTE('Calculations'!HF425,"~","~~"),"*","~*"),"?","~?"),'Calculations'!$HN$13:$HN$512,"="&amp;SUBSTITUTE(SUBSTITUTE(SUBSTITUTE('Dashboard'!$B$7,"~","~~"),"*","~*"),"?","~?"))+COUNTIFS('Calculations'!$HQ$13:$HQ$512,"="&amp;SUBSTITUTE(SUBSTITUTE(SUBSTITUTE('Calculations'!HF425,"~","~~"),"*","~*"),"?","~?"),'Calculations'!$HN$13:$HN$512,"="&amp;SUBSTITUTE(SUBSTITUTE(SUBSTITUTE('Dashboard'!$B$7,"~","~~"),"*","~*"),"?","~?"))+COUNTIFS('Calculations'!$HR$13:$HR$512,"="&amp;SUBSTITUTE(SUBSTITUTE(SUBSTITUTE('Calculations'!HF425,"~","~~"),"*","~*"),"?","~?"),'Calculations'!$HN$13:$HN$512,"="&amp;SUBSTITUTE(SUBSTITUTE(SUBSTITUTE('Dashboard'!$B$7,"~","~~"),"*","~*"),"?","~?"))+COUNTIFS('Calculations'!$HS$13:$HS$512,"="&amp;SUBSTITUTE(SUBSTITUTE(SUBSTITUTE('Calculations'!HF425,"~","~~"),"*","~*"),"?","~?"),'Calculations'!$HN$13:$HN$512,"="&amp;SUBSTITUTE(SUBSTITUTE(SUBSTITUTE('Dashboard'!$B$7,"~","~~"),"*","~*"),"?","~?"))+COUNTIFS('Calculations'!$HT$13:$HT$512,"="&amp;SUBSTITUTE(SUBSTITUTE(SUBSTITUTE('Calculations'!HF425,"~","~~"),"*","~*"),"?","~?"),'Calculations'!$HN$13:$HN$512,"="&amp;SUBSTITUTE(SUBSTITUTE(SUBSTITUTE('Dashboard'!$B$7,"~","~~"),"*","~*"),"?","~?"))+COUNTIFS('Calculations'!$HU$13:$HU$512,"="&amp;SUBSTITUTE(SUBSTITUTE(SUBSTITUTE('Calculations'!HF425,"~","~~"),"*","~*"),"?","~?"),'Calculations'!$HN$13:$HN$512,"="&amp;SUBSTITUTE(SUBSTITUTE(SUBSTITUTE('Dashboard'!$B$7,"~","~~"),"*","~*"),"?","~?"))+COUNTIFS('Calculations'!$HV$13:$HV$512,"="&amp;SUBSTITUTE(SUBSTITUTE(SUBSTITUTE('Calculations'!HF425,"~","~~"),"*","~*"),"?","~?"),'Calculations'!$HN$13:$HN$512,"="&amp;SUBSTITUTE(SUBSTITUTE(SUBSTITUTE('Dashboard'!$B$7,"~","~~"),"*","~*"),"?","~?"))+COUNTIFS('Calculations'!$HW$13:$HW$512,"="&amp;SUBSTITUTE(SUBSTITUTE(SUBSTITUTE('Calculations'!HF425,"~","~~"),"*","~*"),"?","~?"),'Calculations'!$HN$13:$HN$512,"="&amp;SUBSTITUTE(SUBSTITUTE(SUBSTITUTE('Dashboard'!$B$7,"~","~~"),"*","~*"),"?","~?"))+COUNTIFS('Calculations'!$HX$13:$HX$512,"="&amp;SUBSTITUTE(SUBSTITUTE(SUBSTITUTE('Calculations'!HF425,"~","~~"),"*","~*"),"?","~?"),'Calculations'!$HN$13:$HN$512,"="&amp;SUBSTITUTE(SUBSTITUTE(SUBSTITUTE('Dashboard'!$B$7,"~","~~"),"*","~*"),"?","~?"))+COUNTIFS('Calculations'!$HY$13:$HY$512,"="&amp;SUBSTITUTE(SUBSTITUTE(SUBSTITUTE('Calculations'!HF425,"~","~~"),"*","~*"),"?","~?"),'Calculations'!$HN$13:$HN$512,"="&amp;SUBSTITUTE(SUBSTITUTE(SUBSTITUTE('Dashboard'!$B$7,"~","~~"),"*","~*"),"?","~?"))+COUNTIFS('Calculations'!$HZ$13:$HZ$512,"="&amp;SUBSTITUTE(SUBSTITUTE(SUBSTITUTE('Calculations'!HF425,"~","~~"),"*","~*"),"?","~?"),'Calculations'!$HN$13:$HN$512,"="&amp;SUBSTITUTE(SUBSTITUTE(SUBSTITUTE('Dashboard'!$B$7,"~","~~"),"*","~*"),"?","~?"))+COUNTIFS('Calculations'!$IA$13:$IA$512,"="&amp;SUBSTITUTE(SUBSTITUTE(SUBSTITUTE('Calculations'!HF425,"~","~~"),"*","~*"),"?","~?"),'Calculations'!$HN$13:$HN$512,"="&amp;SUBSTITUTE(SUBSTITUTE(SUBSTITUTE('Dashboard'!$B$7,"~","~~"),"*","~*"),"?","~?"))+COUNTIFS('Calculations'!$IB$13:$IB$512,"="&amp;SUBSTITUTE(SUBSTITUTE(SUBSTITUTE('Calculations'!HF425,"~","~~"),"*","~*"),"?","~?"),'Calculations'!$HN$13:$HN$512,"="&amp;SUBSTITUTE(SUBSTITUTE(SUBSTITUTE('Dashboard'!$B$7,"~","~~"),"*","~*"),"?","~?"))+COUNTIFS('Calculations'!$IC$13:$IC$512,"="&amp;SUBSTITUTE(SUBSTITUTE(SUBSTITUTE('Calculations'!HF425,"~","~~"),"*","~*"),"?","~?"),'Calculations'!$HN$13:$HN$512,"="&amp;SUBSTITUTE(SUBSTITUTE(SUBSTITUTE('Dashboard'!$B$7,"~","~~"),"*","~*"),"?","~?"))+COUNTIFS('Calculations'!$ID$13:$ID$512,"="&amp;SUBSTITUTE(SUBSTITUTE(SUBSTITUTE('Calculations'!HF425,"~","~~"),"*","~*"),"?","~?"),'Calculations'!$HN$13:$HN$512,"="&amp;SUBSTITUTE(SUBSTITUTE(SUBSTITUTE('Dashboard'!$B$7,"~","~~"),"*","~*"),"?","~?"))+COUNTIFS('Calculations'!$IE$13:$IE$512,"="&amp;SUBSTITUTE(SUBSTITUTE(SUBSTITUTE('Calculations'!HF425,"~","~~"),"*","~*"),"?","~?"),'Calculations'!$HN$13:$HN$512,"="&amp;SUBSTITUTE(SUBSTITUTE(SUBSTITUTE('Dashboard'!$B$7,"~","~~"),"*","~*"),"?","~?"))+COUNTIFS('Calculations'!$IF$13:$IF$512,"="&amp;SUBSTITUTE(SUBSTITUTE(SUBSTITUTE('Calculations'!HF425,"~","~~"),"*","~*"),"?","~?"),'Calculations'!$HN$13:$HN$512,"="&amp;SUBSTITUTE(SUBSTITUTE(SUBSTITUTE('Dashboard'!$B$7,"~","~~"),"*","~*"),"?","~?"))+COUNTIFS('Calculations'!$IG$13:$IG$512,"="&amp;SUBSTITUTE(SUBSTITUTE(SUBSTITUTE('Calculations'!HF425,"~","~~"),"*","~*"),"?","~?"),'Calculations'!$HN$13:$HN$512,"="&amp;SUBSTITUTE(SUBSTITUTE(SUBSTITUTE('Dashboard'!$B$7,"~","~~"),"*","~*"),"?","~?"))+COUNTIFS('Calculations'!$IH$13:$IH$512,"="&amp;SUBSTITUTE(SUBSTITUTE(SUBSTITUTE('Calculations'!HF425,"~","~~"),"*","~*"),"?","~?"),'Calculations'!$HN$13:$HN$512,"="&amp;SUBSTITUTE(SUBSTITUTE(SUBSTITUTE('Dashboard'!$B$7,"~","~~"),"*","~*"),"?","~?"))))</x:f>
        <x:v>0</x:v>
      </x:c>
      <x:c r="JD425" t="n">
        <x:f>IF('Calculations'!EM425="",0,IF('Dashboard'!$B$7="All",1,IF('Calculations'!HN425='Dashboard'!$B$7,1,0)+IFERROR(INDEX('Calculations'!$JC$13:$JC$512,MATCH('Calculations'!HE425,'Calculations'!$HF$13:$HF$512,0)),0)))</x:f>
        <x:v>0</x:v>
      </x:c>
      <x:c r="JE425" t="n">
        <x:f>IF(AND('Calculations'!EM425&lt;&gt;"",'Calculations'!$JJ$2&lt;&gt;"All",'Calculations'!$JJ$2&lt;&gt;"",'Calculations'!HF425='Calculations'!$JJ$2,'Calculations'!HL425=0,'Calculations'!JD425&gt;0),MAX('Calculations'!$JE$12:JE424)+1,0)</x:f>
        <x:v>0</x:v>
      </x:c>
      <x:c r="JF425" t="str">
        <x:f>IF('Calculations'!EM425="","",IFERROR(IF(INDEX(INDIRECT("'WCM Calibration Final'!$G$1:$G$2000"),'Calculations'!$EM425)="","",TRIM(INDEX(INDIRECT("'WCM Calibration Final'!$G$1:$G$2000"),'Calculations'!$EM425)&amp;"")),""))</x:f>
      </x:c>
      <x:c r="JQ425" t="n">
        <x:f>IF(OR('Calculations'!BM425=0,NOT('Calculations'!$AG$2),'Calculations'!$AG$8&gt;0),0,IF(OR('Dashboard'!$B$7="All",'Calculations'!HN425='Dashboard'!$B$7),IF('Calculations'!$JJ$2="All",1,IF(AND('Calculations'!HF425='Calculations'!$JJ$2,'Calculations'!HL425=0),1,0)),0))</x:f>
        <x:v>0</x:v>
      </x:c>
    </x:row>
    <x:row r="426">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t="n">
        <x:f>IF('Calculations'!$EM426="",0,IF(OR(IFERROR(INDEX(INDIRECT("'WCM Calibration Final'!$A$1:$A$2000"),'Calculations'!$EM426)&lt;&gt;"",FALSE),IFERROR(INDEX(INDIRECT("'WCM Calibration Final'!$B$1:$B$2000"),'Calculations'!$EM426)&lt;&gt;"",FALSE),IFERROR(INDEX(INDIRECT("'WCM Calibration Final'!$C$1:$C$2000"),'Calculations'!$EM426)&lt;&gt;"",FALSE)),1,0))</x:f>
        <x:v>0</x:v>
      </x:c>
      <x:c r="BN426" s="4" t="n">
        <x:f>IF(AND('Calculations'!BM426=1,'Calculations'!$AG$2,'Calculations'!$EN426=1),1,0)</x:f>
        <x:v>0</x:v>
      </x:c>
      <x:c r="BO426" s="4" t="str">
        <x:f>IF('Calculations'!BM426=0,"",IFERROR(IF(AND(VALUE(INDEX(INDIRECT("'WCM Calibration Final'!$K$1:$K$2000"),'Calculations'!$EM426))&gt;=1,VALUE(INDEX(INDIRECT("'WCM Calibration Final'!$K$1:$K$2000"),'Calculations'!$EM426))&lt;=4,MOD(VALUE(INDEX(INDIRECT("'WCM Calibration Final'!$K$1:$K$2000"),'Calculations'!$EM426)),1)=0),VALUE(INDEX(INDIRECT("'WCM Calibration Final'!$K$1:$K$2000"),'Calculations'!$EM426)),""),""))</x:f>
      </x:c>
      <x:c r="BP426" s="4" t="str">
        <x:f>IF('Calculations'!BM426=0,"",IFERROR(IF(AND(VALUE(INDEX(INDIRECT("'WCM Calibration Final'!$L$1:$L$2000"),'Calculations'!$EM426))&gt;=1,VALUE(INDEX(INDIRECT("'WCM Calibration Final'!$L$1:$L$2000"),'Calculations'!$EM426))&lt;=4,MOD(VALUE(INDEX(INDIRECT("'WCM Calibration Final'!$L$1:$L$2000"),'Calculations'!$EM426)),1)=0),VALUE(INDEX(INDIRECT("'WCM Calibration Final'!$L$1:$L$2000"),'Calculations'!$EM426)),""),""))</x:f>
      </x:c>
      <x:c r="BQ426" s="4"/>
      <x:c r="BR426" s="4"/>
      <x:c r="BS426" s="4"/>
      <x:c r="BT426" s="4" t="n">
        <x:f>IF(AND('Calculations'!BM426=1,ISNUMBER('Calculations'!BO426),ISNUMBER('Calculations'!BP426)),1,0)</x:f>
        <x:v>0</x:v>
      </x:c>
      <x:c r="BU426" s="4" t="str">
        <x:f>IF('Calculations'!BM426=0,"",'Calculations'!$EO426)</x:f>
      </x:c>
      <x:c r="BV426" s="4" t="str">
        <x:f>IF('Calculations'!BM426=0,"",IFERROR(IF(OR(INDEX(INDIRECT("'WCM Calibration Final'!$H$1:$H$2000"),'Calculations'!$EM426)="MANAGING DIRECTOR",INDEX(INDIRECT("'WCM Calibration Final'!$H$1:$H$2000"),'Calculations'!$EM426)="DIRECTOR",INDEX(INDIRECT("'WCM Calibration Final'!$H$1:$H$2000"),'Calculations'!$EM426)="SENIOR VICE PRESIDENT",INDEX(INDIRECT("'WCM Calibration Final'!$H$1:$H$2000"),'Calculations'!$EM426)="VICE PRESIDENT",INDEX(INDIRECT("'WCM Calibration Final'!$H$1:$H$2000"),'Calculations'!$EM426)="ASSISTANT VICE PRESIDENT",INDEX(INDIRECT("'WCM Calibration Final'!$H$1:$H$2000"),'Calculations'!$EM426)="OFFICER"),UPPER(INDEX(INDIRECT("'WCM Calibration Final'!$H$1:$H$2000"),'Calculations'!$EM426)),"Other"),"Other"))</x:f>
      </x:c>
      <x:c r="BW426" s="4"/>
      <x:c r="BX426" s="4"/>
      <x:c r="BY426" s="4" t="n">
        <x:f>IF(AND('Calculations'!BM426=1,'Calculations'!BU426&lt;&gt;"",COUNTIF('Calculations'!$BU$12:BU426,'Calculations'!BU426)=1),MAX('Calculations'!$BY$11:BY425)+1,0)</x:f>
        <x:v>0</x:v>
      </x:c>
      <x:c r="BZ426" s="4" t="str">
        <x:f>IF('Dashboard'!$E$67="What",'Calculations'!BO426,'Calculations'!BP426)</x:f>
      </x:c>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t="str">
        <x:f>IF(415&gt;MAX('Calculations'!$HI$13:$HI$512),"",INDEX('Calculations'!$HN$13:$HN$512,MATCH(415,'Calculations'!$HI$13:$HI$512,0)))</x:f>
      </x:c>
      <x:c r="DB426" s="4" t="str">
        <x:f>IF(415&gt;MAX('Calculations'!$HH$13:$HH$512),"",INDEX('Calculations'!$HJ$13:$HJ$512,MATCH(415,'Calculations'!$HH$13:$HH$512,0)))</x:f>
      </x:c>
      <x:c r="DC426" s="4" t="str">
        <x:f>IF(ROW()-11&gt;MAX('Calculations'!$BY$13:$BY$512),"",INDEX('Calculations'!$BU$13:$BU$512,MATCH(ROW()-11,'Calculations'!$BY$13:$BY$512,0)))</x:f>
      </x:c>
      <x:c r="DD426" s="4" t="str">
        <x:f>IF(415&gt;MAX('Calculations'!$IK$13:$IK$512),"",INDEX('Calculations'!$HK$13:$HK$512,MATCH(415,'Calculations'!$IK$13:$IK$512,0)))</x:f>
      </x:c>
      <x:c r="DE426" s="4" t="str">
        <x:f>'Calculations'!DC426</x:f>
      </x:c>
      <x:c r="DF426" s="4" t="str">
        <x:f>IF('Calculations'!DE426="","",COUNTIFS('Calculations'!$BN$13:$BN$512,1,'Calculations'!$BU$13:$BU$512,'Calculations'!DE426))</x:f>
      </x:c>
      <x:c r="DG426" s="4" t="str">
        <x:f>IF('Calculations'!DE426="","",COUNTIFS('Calculations'!$BN$13:$BN$512,1,'Calculations'!$BU$13:$BU$512,'Calculations'!DE426,'Calculations'!$BT$13:$BT$512,1))</x:f>
      </x:c>
      <x:c r="DH426" s="4" t="str">
        <x:f>IF('Calculations'!DE426="","",'Calculations'!DF426-'Calculations'!DG426)</x:f>
      </x:c>
      <x:c r="DI426" s="4" t="str">
        <x:f>IF(OR('Calculations'!DE426="",'Calculations'!DF426=0),"",'Calculations'!DG426/'Calculations'!DF426)</x:f>
      </x:c>
      <x:c r="DJ426" s="4" t="str">
        <x:f>IF('Calculations'!DE426="","",COUNTIFS('Calculations'!$BN$13:$BN$512,1,'Calculations'!$BU$13:$BU$512,'Calculations'!DE426,'Calculations'!$BT$13:$BT$512,1,'Calculations'!$EE$13:$EE$512,"High"))</x:f>
      </x:c>
      <x:c r="DK426" s="4" t="str">
        <x:f>IF('Calculations'!DE426="","",COUNTIFS('Calculations'!$BN$13:$BN$512,1,'Calculations'!$BU$13:$BU$512,'Calculations'!DE426,'Calculations'!$BT$13:$BT$512,1,'Calculations'!$EE$13:$EE$512,"Strong"))</x:f>
      </x:c>
      <x:c r="DL426" s="4" t="str">
        <x:f>IF('Calculations'!DE426="","",COUNTIFS('Calculations'!$BN$13:$BN$512,1,'Calculations'!$BU$13:$BU$512,'Calculations'!DE426,'Calculations'!$BT$13:$BT$512,1,'Calculations'!$EE$13:$EE$512,"Solid"))</x:f>
      </x:c>
      <x:c r="DM426" s="4" t="str">
        <x:f>IF('Calculations'!DE426="","",COUNTIFS('Calculations'!$BN$13:$BN$512,1,'Calculations'!$BU$13:$BU$512,'Calculations'!DE426,'Calculations'!$BT$13:$BT$512,1,'Calculations'!$EE$13:$EE$512,"Low"))</x:f>
      </x:c>
      <x:c r="DN426" s="4" t="str">
        <x:f>IF('Calculations'!DE426="","",COUNTIFS('Calculations'!$BN$13:$BN$512,1,'Calculations'!$BU$13:$BU$512,'Calculations'!DE426,'Calculations'!$EP$13:$EP$512,1))</x:f>
      </x:c>
      <x:c r="DO426" s="4" t="str">
        <x:f>IF(OR('Calculations'!DE426="",'Calculations'!DG426=0),"",('Calculations'!DJ426+'Calculations'!DK426)/'Calculations'!DG426)</x:f>
      </x:c>
      <x:c r="DP426" s="4" t="n">
        <x:f>IF(AND('Calculations'!DE426&lt;&gt;"",'Calculations'!DF426&gt;0),COUNTIF('Calculations'!$DF$12:DF426,"&gt;0"),0)</x:f>
        <x:v>0</x:v>
      </x:c>
      <x:c r="DQ426" s="4" t="str">
        <x:f>IF(415&gt;MAX('Calculations'!$HH$13:$HH$512),"",INDEX('Calculations'!$HF$13:$HF$512,MATCH(415,'Calculations'!$HH$13:$HH$512,0)))</x:f>
      </x:c>
      <x:c r="DR426" s="4" t="str">
        <x:f>IF(415&gt;MAX('Calculations'!$IK$13:$IK$512),"",INDEX('Calculations'!$HE$13:$HE$512,MATCH(415,'Calculations'!$IK$13:$IK$512,0)))</x:f>
      </x:c>
      <x:c r="DS426" s="4"/>
      <x:c r="DT426" s="4"/>
      <x:c r="DU426" s="4"/>
      <x:c r="DV426" s="4"/>
      <x:c r="DW426" s="4"/>
      <x:c r="DX426" s="4"/>
      <x:c r="DY426" s="4"/>
      <x:c r="DZ426" s="4"/>
      <x:c r="EA426" s="4"/>
      <x:c r="EB426" s="4"/>
      <x:c r="EC426" s="4"/>
      <x:c r="ED426" s="4"/>
      <x:c r="EE426" s="4" t="str">
        <x:f>IF('Calculations'!BT426=0,"Not Rated",IF(OR('Calculations'!BO426&gt;=4,'Calculations'!BP426&gt;=4),"Low",IF('Calculations'!BO426+'Calculations'!BP426&lt;=3,"High",IF('Calculations'!BO426+'Calculations'!BP426&lt;=4,"Strong","Solid"))))</x:f>
        <x:v>Not Rated</x:v>
      </x:c>
      <x:c r="EF426" s="4"/>
      <x:c r="EG426" s="4"/>
      <x:c r="EH426" s="4"/>
      <x:c r="EI426" s="4"/>
      <x:c r="EJ426" s="4"/>
      <x:c r="EK426" s="4"/>
      <x:c r="EL426" s="4"/>
      <x:c r="EM426" s="4" t="str">
        <x:f>IF(414&gt;'Calculations'!$JB$2000,"",INDEX('Calculations'!$JA$12:$JA$2000,MATCH(414,'Calculations'!$JB$12:$JB$2000,0)))</x:f>
      </x:c>
      <x:c r="EN426" s="4" t="n">
        <x:f>IF(OR('Calculations'!EM426="",'Calculations'!$AG$8&gt;0,AND('Calculations'!$EF$2&lt;&gt;"All",'Calculations'!HE426='Calculations'!$EF$2),AND('Calculations'!$EF$3&lt;&gt;"All",'Calculations'!HE426='Calculations'!$EF$3)),0,IF(OR('Dashboard'!$B$7="All",'Calculations'!HN426='Dashboard'!$B$7),IF('Calculations'!$EF$2="All",1,IF('Calculations'!HL426&gt;0,0,IF(COUNTIF('Calculations'!HO426:II426,"="&amp;SUBSTITUTE(SUBSTITUTE(SUBSTITUTE('Calculations'!$EF$2,"~","~~"),"*","~*"),"?","~?"))=0,0,IF('Calculations'!$EF$3="All",1,IF(COUNTIF('Calculations'!HO426:II426,"="&amp;SUBSTITUTE(SUBSTITUTE(SUBSTITUTE('Calculations'!$EF$3,"~","~~"),"*","~*"),"?","~?"))&gt;0,1,0))))),0))</x:f>
        <x:v>0</x:v>
      </x:c>
      <x:c r="EO426" s="4" t="str">
        <x:f>IF('Calculations'!IJ426="","",IF('Calculations'!IJ426="!UNRESOLVED","Unresolved hierarchy",IFERROR(INDEX('Calculations'!$HK$13:$HK$512,MATCH('Calculations'!IJ426,'Calculations'!$HE$13:$HE$512,0)),IFERROR(INDEX('Calculations'!$HJ$13:$HJ$512,MATCH('Calculations'!IJ426,'Calculations'!$HF$13:$HF$512,0)),'Calculations'!IJ426))))</x:f>
      </x:c>
      <x:c r="EP426" s="4" t="n">
        <x:f>IF(AND('Calculations'!EM426&lt;&gt;"",'Calculations'!HF426='Calculations'!IJ426),1,0)</x:f>
        <x:v>0</x:v>
      </x:c>
      <x:c r="EQ426" s="4"/>
      <x:c r="ER426" s="4"/>
      <x:c r="ES426" s="4"/>
      <x:c r="ET426" s="4"/>
      <x:c r="EU426" s="4"/>
      <x:c r="EV426" s="4"/>
      <x:c r="EW426" s="4"/>
      <x:c r="EX426" s="4"/>
      <x:c r="EY426" s="4"/>
      <x:c r="EZ426" s="4"/>
      <x:c r="FA426" s="4"/>
      <x:c r="FB426" s="4"/>
      <x:c r="FC426" s="4"/>
      <x:c r="FD426" s="4"/>
      <x:c r="FE426" s="4"/>
      <x:c r="FF426" s="4"/>
      <x:c r="FG426" s="4"/>
      <x:c r="FH426" s="4"/>
      <x:c r="FI426" s="4"/>
      <x:c r="FJ426" s="4"/>
      <x:c r="FK426" s="4"/>
      <x:c r="FL426" s="4"/>
      <x:c r="FM426" s="4"/>
      <x:c r="FN426" s="4"/>
      <x:c r="FO426" s="4"/>
      <x:c r="HE426" t="str">
        <x:f>IF('Calculations'!EM426="","",IF(IFERROR(IF(INDEX(INDIRECT("'WCM Calibration Final'!$A$1:$A$2000"),'Calculations'!$EM426)="","",TRIM(INDEX(INDIRECT("'WCM Calibration Final'!$A$1:$A$2000"),'Calculations'!$EM426)&amp;"")),"")&lt;&gt;"","G:"&amp;IFERROR(TEXT(1*INDEX(INDIRECT("'WCM Calibration Final'!$A$1:$A$2000"),'Calculations'!$EM426),"0"),UPPER(IFERROR(IF(INDEX(INDIRECT("'WCM Calibration Final'!$A$1:$A$2000"),'Calculations'!$EM426)="","",TRIM(INDEX(INDIRECT("'WCM Calibration Final'!$A$1:$A$2000"),'Calculations'!$EM426)&amp;"")),""))),IF(IFERROR(IF(INDEX(INDIRECT("'WCM Calibration Final'!$C$1:$C$2000"),'Calculations'!$EM426)="","",TRIM(INDEX(INDIRECT("'WCM Calibration Final'!$C$1:$C$2000"),'Calculations'!$EM426)&amp;"")),"")&lt;&gt;"","S:"&amp;UPPER(IFERROR(IF(INDEX(INDIRECT("'WCM Calibration Final'!$C$1:$C$2000"),'Calculations'!$EM426)="","",TRIM(INDEX(INDIRECT("'WCM Calibration Final'!$C$1:$C$2000"),'Calculations'!$EM426)&amp;"")),"")),"R:"&amp;'Calculations'!EM426)))</x:f>
      </x:c>
      <x:c r="HF426" t="str">
        <x:f>IF('Calculations'!EM426="","",IF(IFERROR(IF(INDEX(INDIRECT("'WCM Calibration Final'!$D$1:$D$2000"),'Calculations'!$EM426)="","",TRIM(INDEX(INDIRECT("'WCM Calibration Final'!$D$1:$D$2000"),'Calculations'!$EM426)&amp;"")),"")&lt;&gt;"","G:"&amp;IFERROR(TEXT(1*INDEX(INDIRECT("'WCM Calibration Final'!$D$1:$D$2000"),'Calculations'!$EM426),"0"),UPPER(IFERROR(IF(INDEX(INDIRECT("'WCM Calibration Final'!$D$1:$D$2000"),'Calculations'!$EM426)="","",TRIM(INDEX(INDIRECT("'WCM Calibration Final'!$D$1:$D$2000"),'Calculations'!$EM426)&amp;"")),""))),IF(IFERROR(IF(INDEX(INDIRECT("'WCM Calibration Final'!$E$1:$E$2000"),'Calculations'!$EM426)="","",TRIM(INDEX(INDIRECT("'WCM Calibration Final'!$E$1:$E$2000"),'Calculations'!$EM426)&amp;"")),"")="","",IF(COUNTIF('Calculations'!$HG$13:$HG$512,"="&amp;SUBSTITUTE(SUBSTITUTE(SUBSTITUTE(IFERROR(IF(INDEX(INDIRECT("'WCM Calibration Final'!$E$1:$E$2000"),'Calculations'!$EM426)="","",TRIM(INDEX(INDIRECT("'WCM Calibration Final'!$E$1:$E$2000"),'Calculations'!$EM426)&amp;"")),""),"~","~~"),"*","~*"),"?","~?"))=1,INDEX('Calculations'!$HE$13:$HE$512,MATCH(IFERROR(IF(INDEX(INDIRECT("'WCM Calibration Final'!$E$1:$E$2000"),'Calculations'!$EM426)="","",TRIM(INDEX(INDIRECT("'WCM Calibration Final'!$E$1:$E$2000"),'Calculations'!$EM426)&amp;"")),""),'Calculations'!$HG$13:$HG$512,0)),IF(COUNTIF('Calculations'!$HG$13:$HG$512,"="&amp;SUBSTITUTE(SUBSTITUTE(SUBSTITUTE(IFERROR(IF(INDEX(INDIRECT("'WCM Calibration Final'!$E$1:$E$2000"),'Calculations'!$EM426)="","",TRIM(INDEX(INDIRECT("'WCM Calibration Final'!$E$1:$E$2000"),'Calculations'!$EM426)&amp;"")),""),"~","~~"),"*","~*"),"?","~?"))&gt;1,"!AMBIG","X:"&amp;IFERROR(IF(INDEX(INDIRECT("'WCM Calibration Final'!$E$1:$E$2000"),'Calculations'!$EM426)="","",TRIM(INDEX(INDIRECT("'WCM Calibration Final'!$E$1:$E$2000"),'Calculations'!$EM426)&amp;"")),""))))))</x:f>
      </x:c>
      <x:c r="HG426" t="str">
        <x:f>IF('Calculations'!EM426="","",IFERROR(IF(INDEX(INDIRECT("'WCM Calibration Final'!$B$1:$B$2000"),'Calculations'!$EM426)="","",TRIM(INDEX(INDIRECT("'WCM Calibration Final'!$B$1:$B$2000"),'Calculations'!$EM426)&amp;"")),""))</x:f>
      </x:c>
      <x:c r="HH426" t="n">
        <x:f>IF(AND('Calculations'!JC426&gt;0,COUNTIF('Calculations'!$HF$12:HF426,"="&amp;SUBSTITUTE(SUBSTITUTE(SUBSTITUTE('Calculations'!HF426,"~","~~"),"*","~*"),"?","~?"))=1),MAX('Calculations'!$HH$12:HH425)+1,0)</x:f>
        <x:v>0</x:v>
      </x:c>
      <x:c r="HI426" t="n">
        <x:f>IF(AND('Calculations'!HN426&lt;&gt;"",COUNTIF('Calculations'!$HN$12:HN426,"="&amp;SUBSTITUTE(SUBSTITUTE(SUBSTITUTE('Calculations'!HN426,"~","~~"),"*","~*"),"?","~?"))=1),MAX('Calculations'!$HI$12:HI425)+1,0)</x:f>
        <x:v>0</x:v>
      </x:c>
      <x:c r="HJ426" t="str">
        <x:f>IF('Calculations'!HF426="","",IF(COUNTIF('Calculations'!$HE$13:$HE$512,"="&amp;SUBSTITUTE(SUBSTITUTE(SUBSTITUTE('Calculations'!HF426,"~","~~"),"*","~*"),"?","~?"))=1,INDEX('Calculations'!$HK$13:$HK$512,MATCH('Calculations'!HF426,'Calculations'!$HE$13:$HE$512,0)),IFERROR(IF(INDEX(INDIRECT("'WCM Calibration Final'!$E$1:$E$2000"),'Calculations'!$EM426)="","",TRIM(INDEX(INDIRECT("'WCM Calibration Final'!$E$1:$E$2000"),'Calculations'!$EM426)&amp;"")),"")&amp;" ["&amp;'Calculations'!HF426&amp;"]"))</x:f>
      </x:c>
      <x:c r="HK426" t="str">
        <x:f>IF('Calculations'!EM426="","",'Calculations'!HG426&amp;" ["&amp;'Calculations'!HE426&amp;"]")</x:f>
      </x:c>
      <x:c r="HL426" t="n">
        <x:f>IF('Calculations'!EM426="",0,IF(OR('Calculations'!II426&lt;&gt;"",COUNTIF('Calculations'!$HE$13:$HE$512,"="&amp;SUBSTITUTE(SUBSTITUTE(SUBSTITUTE('Calculations'!HE426,"~","~~"),"*","~*"),"?","~?"))&gt;1),1,0))</x:f>
        <x:v>0</x:v>
      </x:c>
      <x:c r="HM426" t="str">
        <x:f>IF('Calculations'!EM426="","",IF('Calculations'!HL426=1,"!UNRESOLVED",IF('Calculations'!IH426&lt;&gt;"",'Calculations'!IH426,IF('Calculations'!IG426&lt;&gt;"",'Calculations'!IG426,IF('Calculations'!IF426&lt;&gt;"",'Calculations'!IF426,IF('Calculations'!IE426&lt;&gt;"",'Calculations'!IE426,IF('Calculations'!ID426&lt;&gt;"",'Calculations'!ID426,IF('Calculations'!IC426&lt;&gt;"",'Calculations'!IC426,IF('Calculations'!IB426&lt;&gt;"",'Calculations'!IB426,IF('Calculations'!IA426&lt;&gt;"",'Calculations'!IA426,IF('Calculations'!HZ426&lt;&gt;"",'Calculations'!HZ426,IF('Calculations'!HY426&lt;&gt;"",'Calculations'!HY426,IF('Calculations'!HX426&lt;&gt;"",'Calculations'!HX426,IF('Calculations'!HW426&lt;&gt;"",'Calculations'!HW426,IF('Calculations'!HV426&lt;&gt;"",'Calculations'!HV426,IF('Calculations'!HU426&lt;&gt;"",'Calculations'!HU426,IF('Calculations'!HT426&lt;&gt;"",'Calculations'!HT426,IF('Calculations'!HS426&lt;&gt;"",'Calculations'!HS426,IF('Calculations'!HR426&lt;&gt;"",'Calculations'!HR426,IF('Calculations'!HQ426&lt;&gt;"",'Calculations'!HQ426,IF('Calculations'!HP426&lt;&gt;"",'Calculations'!HP426,IF('Calculations'!HO426&lt;&gt;"",'Calculations'!HO426,'Calculations'!HE426))))))))))))))))))))))</x:f>
      </x:c>
      <x:c r="HN426" t="str">
        <x:f>IF('Calculations'!EM426="","",IF(IFERROR(IF(INDEX(INDIRECT("'WCM Calibration Final'!$F$1:$F$2000"),'Calculations'!$EM426)="","",TRIM(INDEX(INDIRECT("'WCM Calibration Final'!$F$1:$F$2000"),'Calculations'!$EM426)&amp;"")),"")="","(Blank)",IFERROR(IF(INDEX(INDIRECT("'WCM Calibration Final'!$F$1:$F$2000"),'Calculations'!$EM426)="","",TRIM(INDEX(INDIRECT("'WCM Calibration Final'!$F$1:$F$2000"),'Calculations'!$EM426)&amp;"")),"")))</x:f>
      </x:c>
      <x:c r="HO426" t="str">
        <x:f>'Calculations'!HF426</x:f>
      </x:c>
      <x:c r="HP426" t="str">
        <x:f>IF('Calculations'!HO426="","",IF('Calculations'!HO426="!AMBIG","!AMBIG",IF(COUNTIF('Calculations'!$HE$13:$HE$512,"="&amp;SUBSTITUTE(SUBSTITUTE(SUBSTITUTE('Calculations'!HO426,"~","~~"),"*","~*"),"?","~?"))&gt;1,"!AMBIG",IFERROR(INDEX('Calculations'!$HF$13:$HF$512,MATCH('Calculations'!HO426,'Calculations'!$HE$13:$HE$512,0)),""))))</x:f>
      </x:c>
      <x:c r="HQ426" t="str">
        <x:f>IF('Calculations'!HP426="","",IF('Calculations'!HP426="!AMBIG","!AMBIG",IF(COUNTIF('Calculations'!$HE$13:$HE$512,"="&amp;SUBSTITUTE(SUBSTITUTE(SUBSTITUTE('Calculations'!HP426,"~","~~"),"*","~*"),"?","~?"))&gt;1,"!AMBIG",IFERROR(INDEX('Calculations'!$HF$13:$HF$512,MATCH('Calculations'!HP426,'Calculations'!$HE$13:$HE$512,0)),""))))</x:f>
      </x:c>
      <x:c r="HR426" t="str">
        <x:f>IF('Calculations'!HQ426="","",IF('Calculations'!HQ426="!AMBIG","!AMBIG",IF(COUNTIF('Calculations'!$HE$13:$HE$512,"="&amp;SUBSTITUTE(SUBSTITUTE(SUBSTITUTE('Calculations'!HQ426,"~","~~"),"*","~*"),"?","~?"))&gt;1,"!AMBIG",IFERROR(INDEX('Calculations'!$HF$13:$HF$512,MATCH('Calculations'!HQ426,'Calculations'!$HE$13:$HE$512,0)),""))))</x:f>
      </x:c>
      <x:c r="HS426" t="str">
        <x:f>IF('Calculations'!HR426="","",IF('Calculations'!HR426="!AMBIG","!AMBIG",IF(COUNTIF('Calculations'!$HE$13:$HE$512,"="&amp;SUBSTITUTE(SUBSTITUTE(SUBSTITUTE('Calculations'!HR426,"~","~~"),"*","~*"),"?","~?"))&gt;1,"!AMBIG",IFERROR(INDEX('Calculations'!$HF$13:$HF$512,MATCH('Calculations'!HR426,'Calculations'!$HE$13:$HE$512,0)),""))))</x:f>
      </x:c>
      <x:c r="HT426" t="str">
        <x:f>IF('Calculations'!HS426="","",IF('Calculations'!HS426="!AMBIG","!AMBIG",IF(COUNTIF('Calculations'!$HE$13:$HE$512,"="&amp;SUBSTITUTE(SUBSTITUTE(SUBSTITUTE('Calculations'!HS426,"~","~~"),"*","~*"),"?","~?"))&gt;1,"!AMBIG",IFERROR(INDEX('Calculations'!$HF$13:$HF$512,MATCH('Calculations'!HS426,'Calculations'!$HE$13:$HE$512,0)),""))))</x:f>
      </x:c>
      <x:c r="HU426" t="str">
        <x:f>IF('Calculations'!HT426="","",IF('Calculations'!HT426="!AMBIG","!AMBIG",IF(COUNTIF('Calculations'!$HE$13:$HE$512,"="&amp;SUBSTITUTE(SUBSTITUTE(SUBSTITUTE('Calculations'!HT426,"~","~~"),"*","~*"),"?","~?"))&gt;1,"!AMBIG",IFERROR(INDEX('Calculations'!$HF$13:$HF$512,MATCH('Calculations'!HT426,'Calculations'!$HE$13:$HE$512,0)),""))))</x:f>
      </x:c>
      <x:c r="HV426" t="str">
        <x:f>IF('Calculations'!HU426="","",IF('Calculations'!HU426="!AMBIG","!AMBIG",IF(COUNTIF('Calculations'!$HE$13:$HE$512,"="&amp;SUBSTITUTE(SUBSTITUTE(SUBSTITUTE('Calculations'!HU426,"~","~~"),"*","~*"),"?","~?"))&gt;1,"!AMBIG",IFERROR(INDEX('Calculations'!$HF$13:$HF$512,MATCH('Calculations'!HU426,'Calculations'!$HE$13:$HE$512,0)),""))))</x:f>
      </x:c>
      <x:c r="HW426" t="str">
        <x:f>IF('Calculations'!HV426="","",IF('Calculations'!HV426="!AMBIG","!AMBIG",IF(COUNTIF('Calculations'!$HE$13:$HE$512,"="&amp;SUBSTITUTE(SUBSTITUTE(SUBSTITUTE('Calculations'!HV426,"~","~~"),"*","~*"),"?","~?"))&gt;1,"!AMBIG",IFERROR(INDEX('Calculations'!$HF$13:$HF$512,MATCH('Calculations'!HV426,'Calculations'!$HE$13:$HE$512,0)),""))))</x:f>
      </x:c>
      <x:c r="HX426" t="str">
        <x:f>IF('Calculations'!HW426="","",IF('Calculations'!HW426="!AMBIG","!AMBIG",IF(COUNTIF('Calculations'!$HE$13:$HE$512,"="&amp;SUBSTITUTE(SUBSTITUTE(SUBSTITUTE('Calculations'!HW426,"~","~~"),"*","~*"),"?","~?"))&gt;1,"!AMBIG",IFERROR(INDEX('Calculations'!$HF$13:$HF$512,MATCH('Calculations'!HW426,'Calculations'!$HE$13:$HE$512,0)),""))))</x:f>
      </x:c>
      <x:c r="HY426" t="str">
        <x:f>IF('Calculations'!HX426="","",IF('Calculations'!HX426="!AMBIG","!AMBIG",IF(COUNTIF('Calculations'!$HE$13:$HE$512,"="&amp;SUBSTITUTE(SUBSTITUTE(SUBSTITUTE('Calculations'!HX426,"~","~~"),"*","~*"),"?","~?"))&gt;1,"!AMBIG",IFERROR(INDEX('Calculations'!$HF$13:$HF$512,MATCH('Calculations'!HX426,'Calculations'!$HE$13:$HE$512,0)),""))))</x:f>
      </x:c>
      <x:c r="HZ426" t="str">
        <x:f>IF('Calculations'!HY426="","",IF('Calculations'!HY426="!AMBIG","!AMBIG",IF(COUNTIF('Calculations'!$HE$13:$HE$512,"="&amp;SUBSTITUTE(SUBSTITUTE(SUBSTITUTE('Calculations'!HY426,"~","~~"),"*","~*"),"?","~?"))&gt;1,"!AMBIG",IFERROR(INDEX('Calculations'!$HF$13:$HF$512,MATCH('Calculations'!HY426,'Calculations'!$HE$13:$HE$512,0)),""))))</x:f>
      </x:c>
      <x:c r="IA426" t="str">
        <x:f>IF('Calculations'!HZ426="","",IF('Calculations'!HZ426="!AMBIG","!AMBIG",IF(COUNTIF('Calculations'!$HE$13:$HE$512,"="&amp;SUBSTITUTE(SUBSTITUTE(SUBSTITUTE('Calculations'!HZ426,"~","~~"),"*","~*"),"?","~?"))&gt;1,"!AMBIG",IFERROR(INDEX('Calculations'!$HF$13:$HF$512,MATCH('Calculations'!HZ426,'Calculations'!$HE$13:$HE$512,0)),""))))</x:f>
      </x:c>
      <x:c r="IB426" t="str">
        <x:f>IF('Calculations'!IA426="","",IF('Calculations'!IA426="!AMBIG","!AMBIG",IF(COUNTIF('Calculations'!$HE$13:$HE$512,"="&amp;SUBSTITUTE(SUBSTITUTE(SUBSTITUTE('Calculations'!IA426,"~","~~"),"*","~*"),"?","~?"))&gt;1,"!AMBIG",IFERROR(INDEX('Calculations'!$HF$13:$HF$512,MATCH('Calculations'!IA426,'Calculations'!$HE$13:$HE$512,0)),""))))</x:f>
      </x:c>
      <x:c r="IC426" t="str">
        <x:f>IF('Calculations'!IB426="","",IF('Calculations'!IB426="!AMBIG","!AMBIG",IF(COUNTIF('Calculations'!$HE$13:$HE$512,"="&amp;SUBSTITUTE(SUBSTITUTE(SUBSTITUTE('Calculations'!IB426,"~","~~"),"*","~*"),"?","~?"))&gt;1,"!AMBIG",IFERROR(INDEX('Calculations'!$HF$13:$HF$512,MATCH('Calculations'!IB426,'Calculations'!$HE$13:$HE$512,0)),""))))</x:f>
      </x:c>
      <x:c r="ID426" t="str">
        <x:f>IF('Calculations'!IC426="","",IF('Calculations'!IC426="!AMBIG","!AMBIG",IF(COUNTIF('Calculations'!$HE$13:$HE$512,"="&amp;SUBSTITUTE(SUBSTITUTE(SUBSTITUTE('Calculations'!IC426,"~","~~"),"*","~*"),"?","~?"))&gt;1,"!AMBIG",IFERROR(INDEX('Calculations'!$HF$13:$HF$512,MATCH('Calculations'!IC426,'Calculations'!$HE$13:$HE$512,0)),""))))</x:f>
      </x:c>
      <x:c r="IE426" t="str">
        <x:f>IF('Calculations'!ID426="","",IF('Calculations'!ID426="!AMBIG","!AMBIG",IF(COUNTIF('Calculations'!$HE$13:$HE$512,"="&amp;SUBSTITUTE(SUBSTITUTE(SUBSTITUTE('Calculations'!ID426,"~","~~"),"*","~*"),"?","~?"))&gt;1,"!AMBIG",IFERROR(INDEX('Calculations'!$HF$13:$HF$512,MATCH('Calculations'!ID426,'Calculations'!$HE$13:$HE$512,0)),""))))</x:f>
      </x:c>
      <x:c r="IF426" t="str">
        <x:f>IF('Calculations'!IE426="","",IF('Calculations'!IE426="!AMBIG","!AMBIG",IF(COUNTIF('Calculations'!$HE$13:$HE$512,"="&amp;SUBSTITUTE(SUBSTITUTE(SUBSTITUTE('Calculations'!IE426,"~","~~"),"*","~*"),"?","~?"))&gt;1,"!AMBIG",IFERROR(INDEX('Calculations'!$HF$13:$HF$512,MATCH('Calculations'!IE426,'Calculations'!$HE$13:$HE$512,0)),""))))</x:f>
      </x:c>
      <x:c r="IG426" t="str">
        <x:f>IF('Calculations'!IF426="","",IF('Calculations'!IF426="!AMBIG","!AMBIG",IF(COUNTIF('Calculations'!$HE$13:$HE$512,"="&amp;SUBSTITUTE(SUBSTITUTE(SUBSTITUTE('Calculations'!IF426,"~","~~"),"*","~*"),"?","~?"))&gt;1,"!AMBIG",IFERROR(INDEX('Calculations'!$HF$13:$HF$512,MATCH('Calculations'!IF426,'Calculations'!$HE$13:$HE$512,0)),""))))</x:f>
      </x:c>
      <x:c r="IH426" t="str">
        <x:f>IF('Calculations'!IG426="","",IF('Calculations'!IG426="!AMBIG","!AMBIG",IF(COUNTIF('Calculations'!$HE$13:$HE$512,"="&amp;SUBSTITUTE(SUBSTITUTE(SUBSTITUTE('Calculations'!IG426,"~","~~"),"*","~*"),"?","~?"))&gt;1,"!AMBIG",IFERROR(INDEX('Calculations'!$HF$13:$HF$512,MATCH('Calculations'!IG426,'Calculations'!$HE$13:$HE$512,0)),""))))</x:f>
      </x:c>
      <x:c r="II426" t="str">
        <x:f>IF('Calculations'!IH426="","",IF('Calculations'!IH426="!AMBIG","!AMBIG",IF(COUNTIF('Calculations'!$HE$13:$HE$512,"="&amp;SUBSTITUTE(SUBSTITUTE(SUBSTITUTE('Calculations'!IH426,"~","~~"),"*","~*"),"?","~?"))&gt;1,"!AMBIG",IFERROR(INDEX('Calculations'!$HF$13:$HF$512,MATCH('Calculations'!IH426,'Calculations'!$HE$13:$HE$512,0)),""))))</x:f>
      </x:c>
      <x:c r="IJ426" t="str">
        <x:f>IF('Calculations'!EM426="","",IF('Calculations'!$EF$2="All",'Calculations'!HM426,IF('Calculations'!HL426=1,"",IFERROR(IF(MATCH('Calculations'!$EF$2,'Calculations'!HO426:II426,0)=1,'Calculations'!HE426,INDEX('Calculations'!HO426:II426,1,MATCH('Calculations'!$EF$2,'Calculations'!HO426:II426,0)-1)),""))))</x:f>
      </x:c>
      <x:c r="IK426" t="n">
        <x:f>IF(AND('Calculations'!EM426&lt;&gt;"",'Calculations'!$EF$2&lt;&gt;"All",'Calculations'!HF426='Calculations'!$EF$2,'Calculations'!HL426=0,'Calculations'!JD426&gt;0),MAX('Calculations'!$IK$12:IK425)+1,0)</x:f>
        <x:v>0</x:v>
      </x:c>
      <x:c r="JA426" t="n">
        <x:f>IF(OR(IFERROR(INDIRECT("'WCM Calibration Final'!$A$426")&lt;&gt;"",FALSE),IFERROR(INDIRECT("'WCM Calibration Final'!$B$426")&lt;&gt;"",FALSE),IFERROR(INDIRECT("'WCM Calibration Final'!$C$426")&lt;&gt;"",FALSE)),426,0)</x:f>
        <x:v>0</x:v>
      </x:c>
      <x:c r="JB426" t="n">
        <x:f>'Calculations'!JB425+IF('Calculations'!JA426&gt;0,1,0)</x:f>
        <x:v>0</x:v>
      </x:c>
      <x:c r="JC426" t="n">
        <x:f>IF(OR('Calculations'!HF426="",'Calculations'!HF426="!AMBIG"),0,IF('Dashboard'!$B$7="All",1,COUNTIFS('Calculations'!$HO$13:$HO$512,"="&amp;SUBSTITUTE(SUBSTITUTE(SUBSTITUTE('Calculations'!HF426,"~","~~"),"*","~*"),"?","~?"),'Calculations'!$HN$13:$HN$512,"="&amp;SUBSTITUTE(SUBSTITUTE(SUBSTITUTE('Dashboard'!$B$7,"~","~~"),"*","~*"),"?","~?"))+COUNTIFS('Calculations'!$HP$13:$HP$512,"="&amp;SUBSTITUTE(SUBSTITUTE(SUBSTITUTE('Calculations'!HF426,"~","~~"),"*","~*"),"?","~?"),'Calculations'!$HN$13:$HN$512,"="&amp;SUBSTITUTE(SUBSTITUTE(SUBSTITUTE('Dashboard'!$B$7,"~","~~"),"*","~*"),"?","~?"))+COUNTIFS('Calculations'!$HQ$13:$HQ$512,"="&amp;SUBSTITUTE(SUBSTITUTE(SUBSTITUTE('Calculations'!HF426,"~","~~"),"*","~*"),"?","~?"),'Calculations'!$HN$13:$HN$512,"="&amp;SUBSTITUTE(SUBSTITUTE(SUBSTITUTE('Dashboard'!$B$7,"~","~~"),"*","~*"),"?","~?"))+COUNTIFS('Calculations'!$HR$13:$HR$512,"="&amp;SUBSTITUTE(SUBSTITUTE(SUBSTITUTE('Calculations'!HF426,"~","~~"),"*","~*"),"?","~?"),'Calculations'!$HN$13:$HN$512,"="&amp;SUBSTITUTE(SUBSTITUTE(SUBSTITUTE('Dashboard'!$B$7,"~","~~"),"*","~*"),"?","~?"))+COUNTIFS('Calculations'!$HS$13:$HS$512,"="&amp;SUBSTITUTE(SUBSTITUTE(SUBSTITUTE('Calculations'!HF426,"~","~~"),"*","~*"),"?","~?"),'Calculations'!$HN$13:$HN$512,"="&amp;SUBSTITUTE(SUBSTITUTE(SUBSTITUTE('Dashboard'!$B$7,"~","~~"),"*","~*"),"?","~?"))+COUNTIFS('Calculations'!$HT$13:$HT$512,"="&amp;SUBSTITUTE(SUBSTITUTE(SUBSTITUTE('Calculations'!HF426,"~","~~"),"*","~*"),"?","~?"),'Calculations'!$HN$13:$HN$512,"="&amp;SUBSTITUTE(SUBSTITUTE(SUBSTITUTE('Dashboard'!$B$7,"~","~~"),"*","~*"),"?","~?"))+COUNTIFS('Calculations'!$HU$13:$HU$512,"="&amp;SUBSTITUTE(SUBSTITUTE(SUBSTITUTE('Calculations'!HF426,"~","~~"),"*","~*"),"?","~?"),'Calculations'!$HN$13:$HN$512,"="&amp;SUBSTITUTE(SUBSTITUTE(SUBSTITUTE('Dashboard'!$B$7,"~","~~"),"*","~*"),"?","~?"))+COUNTIFS('Calculations'!$HV$13:$HV$512,"="&amp;SUBSTITUTE(SUBSTITUTE(SUBSTITUTE('Calculations'!HF426,"~","~~"),"*","~*"),"?","~?"),'Calculations'!$HN$13:$HN$512,"="&amp;SUBSTITUTE(SUBSTITUTE(SUBSTITUTE('Dashboard'!$B$7,"~","~~"),"*","~*"),"?","~?"))+COUNTIFS('Calculations'!$HW$13:$HW$512,"="&amp;SUBSTITUTE(SUBSTITUTE(SUBSTITUTE('Calculations'!HF426,"~","~~"),"*","~*"),"?","~?"),'Calculations'!$HN$13:$HN$512,"="&amp;SUBSTITUTE(SUBSTITUTE(SUBSTITUTE('Dashboard'!$B$7,"~","~~"),"*","~*"),"?","~?"))+COUNTIFS('Calculations'!$HX$13:$HX$512,"="&amp;SUBSTITUTE(SUBSTITUTE(SUBSTITUTE('Calculations'!HF426,"~","~~"),"*","~*"),"?","~?"),'Calculations'!$HN$13:$HN$512,"="&amp;SUBSTITUTE(SUBSTITUTE(SUBSTITUTE('Dashboard'!$B$7,"~","~~"),"*","~*"),"?","~?"))+COUNTIFS('Calculations'!$HY$13:$HY$512,"="&amp;SUBSTITUTE(SUBSTITUTE(SUBSTITUTE('Calculations'!HF426,"~","~~"),"*","~*"),"?","~?"),'Calculations'!$HN$13:$HN$512,"="&amp;SUBSTITUTE(SUBSTITUTE(SUBSTITUTE('Dashboard'!$B$7,"~","~~"),"*","~*"),"?","~?"))+COUNTIFS('Calculations'!$HZ$13:$HZ$512,"="&amp;SUBSTITUTE(SUBSTITUTE(SUBSTITUTE('Calculations'!HF426,"~","~~"),"*","~*"),"?","~?"),'Calculations'!$HN$13:$HN$512,"="&amp;SUBSTITUTE(SUBSTITUTE(SUBSTITUTE('Dashboard'!$B$7,"~","~~"),"*","~*"),"?","~?"))+COUNTIFS('Calculations'!$IA$13:$IA$512,"="&amp;SUBSTITUTE(SUBSTITUTE(SUBSTITUTE('Calculations'!HF426,"~","~~"),"*","~*"),"?","~?"),'Calculations'!$HN$13:$HN$512,"="&amp;SUBSTITUTE(SUBSTITUTE(SUBSTITUTE('Dashboard'!$B$7,"~","~~"),"*","~*"),"?","~?"))+COUNTIFS('Calculations'!$IB$13:$IB$512,"="&amp;SUBSTITUTE(SUBSTITUTE(SUBSTITUTE('Calculations'!HF426,"~","~~"),"*","~*"),"?","~?"),'Calculations'!$HN$13:$HN$512,"="&amp;SUBSTITUTE(SUBSTITUTE(SUBSTITUTE('Dashboard'!$B$7,"~","~~"),"*","~*"),"?","~?"))+COUNTIFS('Calculations'!$IC$13:$IC$512,"="&amp;SUBSTITUTE(SUBSTITUTE(SUBSTITUTE('Calculations'!HF426,"~","~~"),"*","~*"),"?","~?"),'Calculations'!$HN$13:$HN$512,"="&amp;SUBSTITUTE(SUBSTITUTE(SUBSTITUTE('Dashboard'!$B$7,"~","~~"),"*","~*"),"?","~?"))+COUNTIFS('Calculations'!$ID$13:$ID$512,"="&amp;SUBSTITUTE(SUBSTITUTE(SUBSTITUTE('Calculations'!HF426,"~","~~"),"*","~*"),"?","~?"),'Calculations'!$HN$13:$HN$512,"="&amp;SUBSTITUTE(SUBSTITUTE(SUBSTITUTE('Dashboard'!$B$7,"~","~~"),"*","~*"),"?","~?"))+COUNTIFS('Calculations'!$IE$13:$IE$512,"="&amp;SUBSTITUTE(SUBSTITUTE(SUBSTITUTE('Calculations'!HF426,"~","~~"),"*","~*"),"?","~?"),'Calculations'!$HN$13:$HN$512,"="&amp;SUBSTITUTE(SUBSTITUTE(SUBSTITUTE('Dashboard'!$B$7,"~","~~"),"*","~*"),"?","~?"))+COUNTIFS('Calculations'!$IF$13:$IF$512,"="&amp;SUBSTITUTE(SUBSTITUTE(SUBSTITUTE('Calculations'!HF426,"~","~~"),"*","~*"),"?","~?"),'Calculations'!$HN$13:$HN$512,"="&amp;SUBSTITUTE(SUBSTITUTE(SUBSTITUTE('Dashboard'!$B$7,"~","~~"),"*","~*"),"?","~?"))+COUNTIFS('Calculations'!$IG$13:$IG$512,"="&amp;SUBSTITUTE(SUBSTITUTE(SUBSTITUTE('Calculations'!HF426,"~","~~"),"*","~*"),"?","~?"),'Calculations'!$HN$13:$HN$512,"="&amp;SUBSTITUTE(SUBSTITUTE(SUBSTITUTE('Dashboard'!$B$7,"~","~~"),"*","~*"),"?","~?"))+COUNTIFS('Calculations'!$IH$13:$IH$512,"="&amp;SUBSTITUTE(SUBSTITUTE(SUBSTITUTE('Calculations'!HF426,"~","~~"),"*","~*"),"?","~?"),'Calculations'!$HN$13:$HN$512,"="&amp;SUBSTITUTE(SUBSTITUTE(SUBSTITUTE('Dashboard'!$B$7,"~","~~"),"*","~*"),"?","~?"))))</x:f>
        <x:v>0</x:v>
      </x:c>
      <x:c r="JD426" t="n">
        <x:f>IF('Calculations'!EM426="",0,IF('Dashboard'!$B$7="All",1,IF('Calculations'!HN426='Dashboard'!$B$7,1,0)+IFERROR(INDEX('Calculations'!$JC$13:$JC$512,MATCH('Calculations'!HE426,'Calculations'!$HF$13:$HF$512,0)),0)))</x:f>
        <x:v>0</x:v>
      </x:c>
      <x:c r="JE426" t="n">
        <x:f>IF(AND('Calculations'!EM426&lt;&gt;"",'Calculations'!$JJ$2&lt;&gt;"All",'Calculations'!$JJ$2&lt;&gt;"",'Calculations'!HF426='Calculations'!$JJ$2,'Calculations'!HL426=0,'Calculations'!JD426&gt;0),MAX('Calculations'!$JE$12:JE425)+1,0)</x:f>
        <x:v>0</x:v>
      </x:c>
      <x:c r="JF426" t="str">
        <x:f>IF('Calculations'!EM426="","",IFERROR(IF(INDEX(INDIRECT("'WCM Calibration Final'!$G$1:$G$2000"),'Calculations'!$EM426)="","",TRIM(INDEX(INDIRECT("'WCM Calibration Final'!$G$1:$G$2000"),'Calculations'!$EM426)&amp;"")),""))</x:f>
      </x:c>
      <x:c r="JQ426" t="n">
        <x:f>IF(OR('Calculations'!BM426=0,NOT('Calculations'!$AG$2),'Calculations'!$AG$8&gt;0),0,IF(OR('Dashboard'!$B$7="All",'Calculations'!HN426='Dashboard'!$B$7),IF('Calculations'!$JJ$2="All",1,IF(AND('Calculations'!HF426='Calculations'!$JJ$2,'Calculations'!HL426=0),1,0)),0))</x:f>
        <x:v>0</x:v>
      </x:c>
    </x:row>
    <x:row r="427">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t="n">
        <x:f>IF('Calculations'!$EM427="",0,IF(OR(IFERROR(INDEX(INDIRECT("'WCM Calibration Final'!$A$1:$A$2000"),'Calculations'!$EM427)&lt;&gt;"",FALSE),IFERROR(INDEX(INDIRECT("'WCM Calibration Final'!$B$1:$B$2000"),'Calculations'!$EM427)&lt;&gt;"",FALSE),IFERROR(INDEX(INDIRECT("'WCM Calibration Final'!$C$1:$C$2000"),'Calculations'!$EM427)&lt;&gt;"",FALSE)),1,0))</x:f>
        <x:v>0</x:v>
      </x:c>
      <x:c r="BN427" s="4" t="n">
        <x:f>IF(AND('Calculations'!BM427=1,'Calculations'!$AG$2,'Calculations'!$EN427=1),1,0)</x:f>
        <x:v>0</x:v>
      </x:c>
      <x:c r="BO427" s="4" t="str">
        <x:f>IF('Calculations'!BM427=0,"",IFERROR(IF(AND(VALUE(INDEX(INDIRECT("'WCM Calibration Final'!$K$1:$K$2000"),'Calculations'!$EM427))&gt;=1,VALUE(INDEX(INDIRECT("'WCM Calibration Final'!$K$1:$K$2000"),'Calculations'!$EM427))&lt;=4,MOD(VALUE(INDEX(INDIRECT("'WCM Calibration Final'!$K$1:$K$2000"),'Calculations'!$EM427)),1)=0),VALUE(INDEX(INDIRECT("'WCM Calibration Final'!$K$1:$K$2000"),'Calculations'!$EM427)),""),""))</x:f>
      </x:c>
      <x:c r="BP427" s="4" t="str">
        <x:f>IF('Calculations'!BM427=0,"",IFERROR(IF(AND(VALUE(INDEX(INDIRECT("'WCM Calibration Final'!$L$1:$L$2000"),'Calculations'!$EM427))&gt;=1,VALUE(INDEX(INDIRECT("'WCM Calibration Final'!$L$1:$L$2000"),'Calculations'!$EM427))&lt;=4,MOD(VALUE(INDEX(INDIRECT("'WCM Calibration Final'!$L$1:$L$2000"),'Calculations'!$EM427)),1)=0),VALUE(INDEX(INDIRECT("'WCM Calibration Final'!$L$1:$L$2000"),'Calculations'!$EM427)),""),""))</x:f>
      </x:c>
      <x:c r="BQ427" s="4"/>
      <x:c r="BR427" s="4"/>
      <x:c r="BS427" s="4"/>
      <x:c r="BT427" s="4" t="n">
        <x:f>IF(AND('Calculations'!BM427=1,ISNUMBER('Calculations'!BO427),ISNUMBER('Calculations'!BP427)),1,0)</x:f>
        <x:v>0</x:v>
      </x:c>
      <x:c r="BU427" s="4" t="str">
        <x:f>IF('Calculations'!BM427=0,"",'Calculations'!$EO427)</x:f>
      </x:c>
      <x:c r="BV427" s="4" t="str">
        <x:f>IF('Calculations'!BM427=0,"",IFERROR(IF(OR(INDEX(INDIRECT("'WCM Calibration Final'!$H$1:$H$2000"),'Calculations'!$EM427)="MANAGING DIRECTOR",INDEX(INDIRECT("'WCM Calibration Final'!$H$1:$H$2000"),'Calculations'!$EM427)="DIRECTOR",INDEX(INDIRECT("'WCM Calibration Final'!$H$1:$H$2000"),'Calculations'!$EM427)="SENIOR VICE PRESIDENT",INDEX(INDIRECT("'WCM Calibration Final'!$H$1:$H$2000"),'Calculations'!$EM427)="VICE PRESIDENT",INDEX(INDIRECT("'WCM Calibration Final'!$H$1:$H$2000"),'Calculations'!$EM427)="ASSISTANT VICE PRESIDENT",INDEX(INDIRECT("'WCM Calibration Final'!$H$1:$H$2000"),'Calculations'!$EM427)="OFFICER"),UPPER(INDEX(INDIRECT("'WCM Calibration Final'!$H$1:$H$2000"),'Calculations'!$EM427)),"Other"),"Other"))</x:f>
      </x:c>
      <x:c r="BW427" s="4"/>
      <x:c r="BX427" s="4"/>
      <x:c r="BY427" s="4" t="n">
        <x:f>IF(AND('Calculations'!BM427=1,'Calculations'!BU427&lt;&gt;"",COUNTIF('Calculations'!$BU$12:BU427,'Calculations'!BU427)=1),MAX('Calculations'!$BY$11:BY426)+1,0)</x:f>
        <x:v>0</x:v>
      </x:c>
      <x:c r="BZ427" s="4" t="str">
        <x:f>IF('Dashboard'!$E$67="What",'Calculations'!BO427,'Calculations'!BP427)</x:f>
      </x:c>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t="str">
        <x:f>IF(416&gt;MAX('Calculations'!$HI$13:$HI$512),"",INDEX('Calculations'!$HN$13:$HN$512,MATCH(416,'Calculations'!$HI$13:$HI$512,0)))</x:f>
      </x:c>
      <x:c r="DB427" s="4" t="str">
        <x:f>IF(416&gt;MAX('Calculations'!$HH$13:$HH$512),"",INDEX('Calculations'!$HJ$13:$HJ$512,MATCH(416,'Calculations'!$HH$13:$HH$512,0)))</x:f>
      </x:c>
      <x:c r="DC427" s="4" t="str">
        <x:f>IF(ROW()-11&gt;MAX('Calculations'!$BY$13:$BY$512),"",INDEX('Calculations'!$BU$13:$BU$512,MATCH(ROW()-11,'Calculations'!$BY$13:$BY$512,0)))</x:f>
      </x:c>
      <x:c r="DD427" s="4" t="str">
        <x:f>IF(416&gt;MAX('Calculations'!$IK$13:$IK$512),"",INDEX('Calculations'!$HK$13:$HK$512,MATCH(416,'Calculations'!$IK$13:$IK$512,0)))</x:f>
      </x:c>
      <x:c r="DE427" s="4" t="str">
        <x:f>'Calculations'!DC427</x:f>
      </x:c>
      <x:c r="DF427" s="4" t="str">
        <x:f>IF('Calculations'!DE427="","",COUNTIFS('Calculations'!$BN$13:$BN$512,1,'Calculations'!$BU$13:$BU$512,'Calculations'!DE427))</x:f>
      </x:c>
      <x:c r="DG427" s="4" t="str">
        <x:f>IF('Calculations'!DE427="","",COUNTIFS('Calculations'!$BN$13:$BN$512,1,'Calculations'!$BU$13:$BU$512,'Calculations'!DE427,'Calculations'!$BT$13:$BT$512,1))</x:f>
      </x:c>
      <x:c r="DH427" s="4" t="str">
        <x:f>IF('Calculations'!DE427="","",'Calculations'!DF427-'Calculations'!DG427)</x:f>
      </x:c>
      <x:c r="DI427" s="4" t="str">
        <x:f>IF(OR('Calculations'!DE427="",'Calculations'!DF427=0),"",'Calculations'!DG427/'Calculations'!DF427)</x:f>
      </x:c>
      <x:c r="DJ427" s="4" t="str">
        <x:f>IF('Calculations'!DE427="","",COUNTIFS('Calculations'!$BN$13:$BN$512,1,'Calculations'!$BU$13:$BU$512,'Calculations'!DE427,'Calculations'!$BT$13:$BT$512,1,'Calculations'!$EE$13:$EE$512,"High"))</x:f>
      </x:c>
      <x:c r="DK427" s="4" t="str">
        <x:f>IF('Calculations'!DE427="","",COUNTIFS('Calculations'!$BN$13:$BN$512,1,'Calculations'!$BU$13:$BU$512,'Calculations'!DE427,'Calculations'!$BT$13:$BT$512,1,'Calculations'!$EE$13:$EE$512,"Strong"))</x:f>
      </x:c>
      <x:c r="DL427" s="4" t="str">
        <x:f>IF('Calculations'!DE427="","",COUNTIFS('Calculations'!$BN$13:$BN$512,1,'Calculations'!$BU$13:$BU$512,'Calculations'!DE427,'Calculations'!$BT$13:$BT$512,1,'Calculations'!$EE$13:$EE$512,"Solid"))</x:f>
      </x:c>
      <x:c r="DM427" s="4" t="str">
        <x:f>IF('Calculations'!DE427="","",COUNTIFS('Calculations'!$BN$13:$BN$512,1,'Calculations'!$BU$13:$BU$512,'Calculations'!DE427,'Calculations'!$BT$13:$BT$512,1,'Calculations'!$EE$13:$EE$512,"Low"))</x:f>
      </x:c>
      <x:c r="DN427" s="4" t="str">
        <x:f>IF('Calculations'!DE427="","",COUNTIFS('Calculations'!$BN$13:$BN$512,1,'Calculations'!$BU$13:$BU$512,'Calculations'!DE427,'Calculations'!$EP$13:$EP$512,1))</x:f>
      </x:c>
      <x:c r="DO427" s="4" t="str">
        <x:f>IF(OR('Calculations'!DE427="",'Calculations'!DG427=0),"",('Calculations'!DJ427+'Calculations'!DK427)/'Calculations'!DG427)</x:f>
      </x:c>
      <x:c r="DP427" s="4" t="n">
        <x:f>IF(AND('Calculations'!DE427&lt;&gt;"",'Calculations'!DF427&gt;0),COUNTIF('Calculations'!$DF$12:DF427,"&gt;0"),0)</x:f>
        <x:v>0</x:v>
      </x:c>
      <x:c r="DQ427" s="4" t="str">
        <x:f>IF(416&gt;MAX('Calculations'!$HH$13:$HH$512),"",INDEX('Calculations'!$HF$13:$HF$512,MATCH(416,'Calculations'!$HH$13:$HH$512,0)))</x:f>
      </x:c>
      <x:c r="DR427" s="4" t="str">
        <x:f>IF(416&gt;MAX('Calculations'!$IK$13:$IK$512),"",INDEX('Calculations'!$HE$13:$HE$512,MATCH(416,'Calculations'!$IK$13:$IK$512,0)))</x:f>
      </x:c>
      <x:c r="DS427" s="4"/>
      <x:c r="DT427" s="4"/>
      <x:c r="DU427" s="4"/>
      <x:c r="DV427" s="4"/>
      <x:c r="DW427" s="4"/>
      <x:c r="DX427" s="4"/>
      <x:c r="DY427" s="4"/>
      <x:c r="DZ427" s="4"/>
      <x:c r="EA427" s="4"/>
      <x:c r="EB427" s="4"/>
      <x:c r="EC427" s="4"/>
      <x:c r="ED427" s="4"/>
      <x:c r="EE427" s="4" t="str">
        <x:f>IF('Calculations'!BT427=0,"Not Rated",IF(OR('Calculations'!BO427&gt;=4,'Calculations'!BP427&gt;=4),"Low",IF('Calculations'!BO427+'Calculations'!BP427&lt;=3,"High",IF('Calculations'!BO427+'Calculations'!BP427&lt;=4,"Strong","Solid"))))</x:f>
        <x:v>Not Rated</x:v>
      </x:c>
      <x:c r="EF427" s="4"/>
      <x:c r="EG427" s="4"/>
      <x:c r="EH427" s="4"/>
      <x:c r="EI427" s="4"/>
      <x:c r="EJ427" s="4"/>
      <x:c r="EK427" s="4"/>
      <x:c r="EL427" s="4"/>
      <x:c r="EM427" s="4" t="str">
        <x:f>IF(415&gt;'Calculations'!$JB$2000,"",INDEX('Calculations'!$JA$12:$JA$2000,MATCH(415,'Calculations'!$JB$12:$JB$2000,0)))</x:f>
      </x:c>
      <x:c r="EN427" s="4" t="n">
        <x:f>IF(OR('Calculations'!EM427="",'Calculations'!$AG$8&gt;0,AND('Calculations'!$EF$2&lt;&gt;"All",'Calculations'!HE427='Calculations'!$EF$2),AND('Calculations'!$EF$3&lt;&gt;"All",'Calculations'!HE427='Calculations'!$EF$3)),0,IF(OR('Dashboard'!$B$7="All",'Calculations'!HN427='Dashboard'!$B$7),IF('Calculations'!$EF$2="All",1,IF('Calculations'!HL427&gt;0,0,IF(COUNTIF('Calculations'!HO427:II427,"="&amp;SUBSTITUTE(SUBSTITUTE(SUBSTITUTE('Calculations'!$EF$2,"~","~~"),"*","~*"),"?","~?"))=0,0,IF('Calculations'!$EF$3="All",1,IF(COUNTIF('Calculations'!HO427:II427,"="&amp;SUBSTITUTE(SUBSTITUTE(SUBSTITUTE('Calculations'!$EF$3,"~","~~"),"*","~*"),"?","~?"))&gt;0,1,0))))),0))</x:f>
        <x:v>0</x:v>
      </x:c>
      <x:c r="EO427" s="4" t="str">
        <x:f>IF('Calculations'!IJ427="","",IF('Calculations'!IJ427="!UNRESOLVED","Unresolved hierarchy",IFERROR(INDEX('Calculations'!$HK$13:$HK$512,MATCH('Calculations'!IJ427,'Calculations'!$HE$13:$HE$512,0)),IFERROR(INDEX('Calculations'!$HJ$13:$HJ$512,MATCH('Calculations'!IJ427,'Calculations'!$HF$13:$HF$512,0)),'Calculations'!IJ427))))</x:f>
      </x:c>
      <x:c r="EP427" s="4" t="n">
        <x:f>IF(AND('Calculations'!EM427&lt;&gt;"",'Calculations'!HF427='Calculations'!IJ427),1,0)</x:f>
        <x:v>0</x:v>
      </x:c>
      <x:c r="EQ427" s="4"/>
      <x:c r="ER427" s="4"/>
      <x:c r="ES427" s="4"/>
      <x:c r="ET427" s="4"/>
      <x:c r="EU427" s="4"/>
      <x:c r="EV427" s="4"/>
      <x:c r="EW427" s="4"/>
      <x:c r="EX427" s="4"/>
      <x:c r="EY427" s="4"/>
      <x:c r="EZ427" s="4"/>
      <x:c r="FA427" s="4"/>
      <x:c r="FB427" s="4"/>
      <x:c r="FC427" s="4"/>
      <x:c r="FD427" s="4"/>
      <x:c r="FE427" s="4"/>
      <x:c r="FF427" s="4"/>
      <x:c r="FG427" s="4"/>
      <x:c r="FH427" s="4"/>
      <x:c r="FI427" s="4"/>
      <x:c r="FJ427" s="4"/>
      <x:c r="FK427" s="4"/>
      <x:c r="FL427" s="4"/>
      <x:c r="FM427" s="4"/>
      <x:c r="FN427" s="4"/>
      <x:c r="FO427" s="4"/>
      <x:c r="HE427" t="str">
        <x:f>IF('Calculations'!EM427="","",IF(IFERROR(IF(INDEX(INDIRECT("'WCM Calibration Final'!$A$1:$A$2000"),'Calculations'!$EM427)="","",TRIM(INDEX(INDIRECT("'WCM Calibration Final'!$A$1:$A$2000"),'Calculations'!$EM427)&amp;"")),"")&lt;&gt;"","G:"&amp;IFERROR(TEXT(1*INDEX(INDIRECT("'WCM Calibration Final'!$A$1:$A$2000"),'Calculations'!$EM427),"0"),UPPER(IFERROR(IF(INDEX(INDIRECT("'WCM Calibration Final'!$A$1:$A$2000"),'Calculations'!$EM427)="","",TRIM(INDEX(INDIRECT("'WCM Calibration Final'!$A$1:$A$2000"),'Calculations'!$EM427)&amp;"")),""))),IF(IFERROR(IF(INDEX(INDIRECT("'WCM Calibration Final'!$C$1:$C$2000"),'Calculations'!$EM427)="","",TRIM(INDEX(INDIRECT("'WCM Calibration Final'!$C$1:$C$2000"),'Calculations'!$EM427)&amp;"")),"")&lt;&gt;"","S:"&amp;UPPER(IFERROR(IF(INDEX(INDIRECT("'WCM Calibration Final'!$C$1:$C$2000"),'Calculations'!$EM427)="","",TRIM(INDEX(INDIRECT("'WCM Calibration Final'!$C$1:$C$2000"),'Calculations'!$EM427)&amp;"")),"")),"R:"&amp;'Calculations'!EM427)))</x:f>
      </x:c>
      <x:c r="HF427" t="str">
        <x:f>IF('Calculations'!EM427="","",IF(IFERROR(IF(INDEX(INDIRECT("'WCM Calibration Final'!$D$1:$D$2000"),'Calculations'!$EM427)="","",TRIM(INDEX(INDIRECT("'WCM Calibration Final'!$D$1:$D$2000"),'Calculations'!$EM427)&amp;"")),"")&lt;&gt;"","G:"&amp;IFERROR(TEXT(1*INDEX(INDIRECT("'WCM Calibration Final'!$D$1:$D$2000"),'Calculations'!$EM427),"0"),UPPER(IFERROR(IF(INDEX(INDIRECT("'WCM Calibration Final'!$D$1:$D$2000"),'Calculations'!$EM427)="","",TRIM(INDEX(INDIRECT("'WCM Calibration Final'!$D$1:$D$2000"),'Calculations'!$EM427)&amp;"")),""))),IF(IFERROR(IF(INDEX(INDIRECT("'WCM Calibration Final'!$E$1:$E$2000"),'Calculations'!$EM427)="","",TRIM(INDEX(INDIRECT("'WCM Calibration Final'!$E$1:$E$2000"),'Calculations'!$EM427)&amp;"")),"")="","",IF(COUNTIF('Calculations'!$HG$13:$HG$512,"="&amp;SUBSTITUTE(SUBSTITUTE(SUBSTITUTE(IFERROR(IF(INDEX(INDIRECT("'WCM Calibration Final'!$E$1:$E$2000"),'Calculations'!$EM427)="","",TRIM(INDEX(INDIRECT("'WCM Calibration Final'!$E$1:$E$2000"),'Calculations'!$EM427)&amp;"")),""),"~","~~"),"*","~*"),"?","~?"))=1,INDEX('Calculations'!$HE$13:$HE$512,MATCH(IFERROR(IF(INDEX(INDIRECT("'WCM Calibration Final'!$E$1:$E$2000"),'Calculations'!$EM427)="","",TRIM(INDEX(INDIRECT("'WCM Calibration Final'!$E$1:$E$2000"),'Calculations'!$EM427)&amp;"")),""),'Calculations'!$HG$13:$HG$512,0)),IF(COUNTIF('Calculations'!$HG$13:$HG$512,"="&amp;SUBSTITUTE(SUBSTITUTE(SUBSTITUTE(IFERROR(IF(INDEX(INDIRECT("'WCM Calibration Final'!$E$1:$E$2000"),'Calculations'!$EM427)="","",TRIM(INDEX(INDIRECT("'WCM Calibration Final'!$E$1:$E$2000"),'Calculations'!$EM427)&amp;"")),""),"~","~~"),"*","~*"),"?","~?"))&gt;1,"!AMBIG","X:"&amp;IFERROR(IF(INDEX(INDIRECT("'WCM Calibration Final'!$E$1:$E$2000"),'Calculations'!$EM427)="","",TRIM(INDEX(INDIRECT("'WCM Calibration Final'!$E$1:$E$2000"),'Calculations'!$EM427)&amp;"")),""))))))</x:f>
      </x:c>
      <x:c r="HG427" t="str">
        <x:f>IF('Calculations'!EM427="","",IFERROR(IF(INDEX(INDIRECT("'WCM Calibration Final'!$B$1:$B$2000"),'Calculations'!$EM427)="","",TRIM(INDEX(INDIRECT("'WCM Calibration Final'!$B$1:$B$2000"),'Calculations'!$EM427)&amp;"")),""))</x:f>
      </x:c>
      <x:c r="HH427" t="n">
        <x:f>IF(AND('Calculations'!JC427&gt;0,COUNTIF('Calculations'!$HF$12:HF427,"="&amp;SUBSTITUTE(SUBSTITUTE(SUBSTITUTE('Calculations'!HF427,"~","~~"),"*","~*"),"?","~?"))=1),MAX('Calculations'!$HH$12:HH426)+1,0)</x:f>
        <x:v>0</x:v>
      </x:c>
      <x:c r="HI427" t="n">
        <x:f>IF(AND('Calculations'!HN427&lt;&gt;"",COUNTIF('Calculations'!$HN$12:HN427,"="&amp;SUBSTITUTE(SUBSTITUTE(SUBSTITUTE('Calculations'!HN427,"~","~~"),"*","~*"),"?","~?"))=1),MAX('Calculations'!$HI$12:HI426)+1,0)</x:f>
        <x:v>0</x:v>
      </x:c>
      <x:c r="HJ427" t="str">
        <x:f>IF('Calculations'!HF427="","",IF(COUNTIF('Calculations'!$HE$13:$HE$512,"="&amp;SUBSTITUTE(SUBSTITUTE(SUBSTITUTE('Calculations'!HF427,"~","~~"),"*","~*"),"?","~?"))=1,INDEX('Calculations'!$HK$13:$HK$512,MATCH('Calculations'!HF427,'Calculations'!$HE$13:$HE$512,0)),IFERROR(IF(INDEX(INDIRECT("'WCM Calibration Final'!$E$1:$E$2000"),'Calculations'!$EM427)="","",TRIM(INDEX(INDIRECT("'WCM Calibration Final'!$E$1:$E$2000"),'Calculations'!$EM427)&amp;"")),"")&amp;" ["&amp;'Calculations'!HF427&amp;"]"))</x:f>
      </x:c>
      <x:c r="HK427" t="str">
        <x:f>IF('Calculations'!EM427="","",'Calculations'!HG427&amp;" ["&amp;'Calculations'!HE427&amp;"]")</x:f>
      </x:c>
      <x:c r="HL427" t="n">
        <x:f>IF('Calculations'!EM427="",0,IF(OR('Calculations'!II427&lt;&gt;"",COUNTIF('Calculations'!$HE$13:$HE$512,"="&amp;SUBSTITUTE(SUBSTITUTE(SUBSTITUTE('Calculations'!HE427,"~","~~"),"*","~*"),"?","~?"))&gt;1),1,0))</x:f>
        <x:v>0</x:v>
      </x:c>
      <x:c r="HM427" t="str">
        <x:f>IF('Calculations'!EM427="","",IF('Calculations'!HL427=1,"!UNRESOLVED",IF('Calculations'!IH427&lt;&gt;"",'Calculations'!IH427,IF('Calculations'!IG427&lt;&gt;"",'Calculations'!IG427,IF('Calculations'!IF427&lt;&gt;"",'Calculations'!IF427,IF('Calculations'!IE427&lt;&gt;"",'Calculations'!IE427,IF('Calculations'!ID427&lt;&gt;"",'Calculations'!ID427,IF('Calculations'!IC427&lt;&gt;"",'Calculations'!IC427,IF('Calculations'!IB427&lt;&gt;"",'Calculations'!IB427,IF('Calculations'!IA427&lt;&gt;"",'Calculations'!IA427,IF('Calculations'!HZ427&lt;&gt;"",'Calculations'!HZ427,IF('Calculations'!HY427&lt;&gt;"",'Calculations'!HY427,IF('Calculations'!HX427&lt;&gt;"",'Calculations'!HX427,IF('Calculations'!HW427&lt;&gt;"",'Calculations'!HW427,IF('Calculations'!HV427&lt;&gt;"",'Calculations'!HV427,IF('Calculations'!HU427&lt;&gt;"",'Calculations'!HU427,IF('Calculations'!HT427&lt;&gt;"",'Calculations'!HT427,IF('Calculations'!HS427&lt;&gt;"",'Calculations'!HS427,IF('Calculations'!HR427&lt;&gt;"",'Calculations'!HR427,IF('Calculations'!HQ427&lt;&gt;"",'Calculations'!HQ427,IF('Calculations'!HP427&lt;&gt;"",'Calculations'!HP427,IF('Calculations'!HO427&lt;&gt;"",'Calculations'!HO427,'Calculations'!HE427))))))))))))))))))))))</x:f>
      </x:c>
      <x:c r="HN427" t="str">
        <x:f>IF('Calculations'!EM427="","",IF(IFERROR(IF(INDEX(INDIRECT("'WCM Calibration Final'!$F$1:$F$2000"),'Calculations'!$EM427)="","",TRIM(INDEX(INDIRECT("'WCM Calibration Final'!$F$1:$F$2000"),'Calculations'!$EM427)&amp;"")),"")="","(Blank)",IFERROR(IF(INDEX(INDIRECT("'WCM Calibration Final'!$F$1:$F$2000"),'Calculations'!$EM427)="","",TRIM(INDEX(INDIRECT("'WCM Calibration Final'!$F$1:$F$2000"),'Calculations'!$EM427)&amp;"")),"")))</x:f>
      </x:c>
      <x:c r="HO427" t="str">
        <x:f>'Calculations'!HF427</x:f>
      </x:c>
      <x:c r="HP427" t="str">
        <x:f>IF('Calculations'!HO427="","",IF('Calculations'!HO427="!AMBIG","!AMBIG",IF(COUNTIF('Calculations'!$HE$13:$HE$512,"="&amp;SUBSTITUTE(SUBSTITUTE(SUBSTITUTE('Calculations'!HO427,"~","~~"),"*","~*"),"?","~?"))&gt;1,"!AMBIG",IFERROR(INDEX('Calculations'!$HF$13:$HF$512,MATCH('Calculations'!HO427,'Calculations'!$HE$13:$HE$512,0)),""))))</x:f>
      </x:c>
      <x:c r="HQ427" t="str">
        <x:f>IF('Calculations'!HP427="","",IF('Calculations'!HP427="!AMBIG","!AMBIG",IF(COUNTIF('Calculations'!$HE$13:$HE$512,"="&amp;SUBSTITUTE(SUBSTITUTE(SUBSTITUTE('Calculations'!HP427,"~","~~"),"*","~*"),"?","~?"))&gt;1,"!AMBIG",IFERROR(INDEX('Calculations'!$HF$13:$HF$512,MATCH('Calculations'!HP427,'Calculations'!$HE$13:$HE$512,0)),""))))</x:f>
      </x:c>
      <x:c r="HR427" t="str">
        <x:f>IF('Calculations'!HQ427="","",IF('Calculations'!HQ427="!AMBIG","!AMBIG",IF(COUNTIF('Calculations'!$HE$13:$HE$512,"="&amp;SUBSTITUTE(SUBSTITUTE(SUBSTITUTE('Calculations'!HQ427,"~","~~"),"*","~*"),"?","~?"))&gt;1,"!AMBIG",IFERROR(INDEX('Calculations'!$HF$13:$HF$512,MATCH('Calculations'!HQ427,'Calculations'!$HE$13:$HE$512,0)),""))))</x:f>
      </x:c>
      <x:c r="HS427" t="str">
        <x:f>IF('Calculations'!HR427="","",IF('Calculations'!HR427="!AMBIG","!AMBIG",IF(COUNTIF('Calculations'!$HE$13:$HE$512,"="&amp;SUBSTITUTE(SUBSTITUTE(SUBSTITUTE('Calculations'!HR427,"~","~~"),"*","~*"),"?","~?"))&gt;1,"!AMBIG",IFERROR(INDEX('Calculations'!$HF$13:$HF$512,MATCH('Calculations'!HR427,'Calculations'!$HE$13:$HE$512,0)),""))))</x:f>
      </x:c>
      <x:c r="HT427" t="str">
        <x:f>IF('Calculations'!HS427="","",IF('Calculations'!HS427="!AMBIG","!AMBIG",IF(COUNTIF('Calculations'!$HE$13:$HE$512,"="&amp;SUBSTITUTE(SUBSTITUTE(SUBSTITUTE('Calculations'!HS427,"~","~~"),"*","~*"),"?","~?"))&gt;1,"!AMBIG",IFERROR(INDEX('Calculations'!$HF$13:$HF$512,MATCH('Calculations'!HS427,'Calculations'!$HE$13:$HE$512,0)),""))))</x:f>
      </x:c>
      <x:c r="HU427" t="str">
        <x:f>IF('Calculations'!HT427="","",IF('Calculations'!HT427="!AMBIG","!AMBIG",IF(COUNTIF('Calculations'!$HE$13:$HE$512,"="&amp;SUBSTITUTE(SUBSTITUTE(SUBSTITUTE('Calculations'!HT427,"~","~~"),"*","~*"),"?","~?"))&gt;1,"!AMBIG",IFERROR(INDEX('Calculations'!$HF$13:$HF$512,MATCH('Calculations'!HT427,'Calculations'!$HE$13:$HE$512,0)),""))))</x:f>
      </x:c>
      <x:c r="HV427" t="str">
        <x:f>IF('Calculations'!HU427="","",IF('Calculations'!HU427="!AMBIG","!AMBIG",IF(COUNTIF('Calculations'!$HE$13:$HE$512,"="&amp;SUBSTITUTE(SUBSTITUTE(SUBSTITUTE('Calculations'!HU427,"~","~~"),"*","~*"),"?","~?"))&gt;1,"!AMBIG",IFERROR(INDEX('Calculations'!$HF$13:$HF$512,MATCH('Calculations'!HU427,'Calculations'!$HE$13:$HE$512,0)),""))))</x:f>
      </x:c>
      <x:c r="HW427" t="str">
        <x:f>IF('Calculations'!HV427="","",IF('Calculations'!HV427="!AMBIG","!AMBIG",IF(COUNTIF('Calculations'!$HE$13:$HE$512,"="&amp;SUBSTITUTE(SUBSTITUTE(SUBSTITUTE('Calculations'!HV427,"~","~~"),"*","~*"),"?","~?"))&gt;1,"!AMBIG",IFERROR(INDEX('Calculations'!$HF$13:$HF$512,MATCH('Calculations'!HV427,'Calculations'!$HE$13:$HE$512,0)),""))))</x:f>
      </x:c>
      <x:c r="HX427" t="str">
        <x:f>IF('Calculations'!HW427="","",IF('Calculations'!HW427="!AMBIG","!AMBIG",IF(COUNTIF('Calculations'!$HE$13:$HE$512,"="&amp;SUBSTITUTE(SUBSTITUTE(SUBSTITUTE('Calculations'!HW427,"~","~~"),"*","~*"),"?","~?"))&gt;1,"!AMBIG",IFERROR(INDEX('Calculations'!$HF$13:$HF$512,MATCH('Calculations'!HW427,'Calculations'!$HE$13:$HE$512,0)),""))))</x:f>
      </x:c>
      <x:c r="HY427" t="str">
        <x:f>IF('Calculations'!HX427="","",IF('Calculations'!HX427="!AMBIG","!AMBIG",IF(COUNTIF('Calculations'!$HE$13:$HE$512,"="&amp;SUBSTITUTE(SUBSTITUTE(SUBSTITUTE('Calculations'!HX427,"~","~~"),"*","~*"),"?","~?"))&gt;1,"!AMBIG",IFERROR(INDEX('Calculations'!$HF$13:$HF$512,MATCH('Calculations'!HX427,'Calculations'!$HE$13:$HE$512,0)),""))))</x:f>
      </x:c>
      <x:c r="HZ427" t="str">
        <x:f>IF('Calculations'!HY427="","",IF('Calculations'!HY427="!AMBIG","!AMBIG",IF(COUNTIF('Calculations'!$HE$13:$HE$512,"="&amp;SUBSTITUTE(SUBSTITUTE(SUBSTITUTE('Calculations'!HY427,"~","~~"),"*","~*"),"?","~?"))&gt;1,"!AMBIG",IFERROR(INDEX('Calculations'!$HF$13:$HF$512,MATCH('Calculations'!HY427,'Calculations'!$HE$13:$HE$512,0)),""))))</x:f>
      </x:c>
      <x:c r="IA427" t="str">
        <x:f>IF('Calculations'!HZ427="","",IF('Calculations'!HZ427="!AMBIG","!AMBIG",IF(COUNTIF('Calculations'!$HE$13:$HE$512,"="&amp;SUBSTITUTE(SUBSTITUTE(SUBSTITUTE('Calculations'!HZ427,"~","~~"),"*","~*"),"?","~?"))&gt;1,"!AMBIG",IFERROR(INDEX('Calculations'!$HF$13:$HF$512,MATCH('Calculations'!HZ427,'Calculations'!$HE$13:$HE$512,0)),""))))</x:f>
      </x:c>
      <x:c r="IB427" t="str">
        <x:f>IF('Calculations'!IA427="","",IF('Calculations'!IA427="!AMBIG","!AMBIG",IF(COUNTIF('Calculations'!$HE$13:$HE$512,"="&amp;SUBSTITUTE(SUBSTITUTE(SUBSTITUTE('Calculations'!IA427,"~","~~"),"*","~*"),"?","~?"))&gt;1,"!AMBIG",IFERROR(INDEX('Calculations'!$HF$13:$HF$512,MATCH('Calculations'!IA427,'Calculations'!$HE$13:$HE$512,0)),""))))</x:f>
      </x:c>
      <x:c r="IC427" t="str">
        <x:f>IF('Calculations'!IB427="","",IF('Calculations'!IB427="!AMBIG","!AMBIG",IF(COUNTIF('Calculations'!$HE$13:$HE$512,"="&amp;SUBSTITUTE(SUBSTITUTE(SUBSTITUTE('Calculations'!IB427,"~","~~"),"*","~*"),"?","~?"))&gt;1,"!AMBIG",IFERROR(INDEX('Calculations'!$HF$13:$HF$512,MATCH('Calculations'!IB427,'Calculations'!$HE$13:$HE$512,0)),""))))</x:f>
      </x:c>
      <x:c r="ID427" t="str">
        <x:f>IF('Calculations'!IC427="","",IF('Calculations'!IC427="!AMBIG","!AMBIG",IF(COUNTIF('Calculations'!$HE$13:$HE$512,"="&amp;SUBSTITUTE(SUBSTITUTE(SUBSTITUTE('Calculations'!IC427,"~","~~"),"*","~*"),"?","~?"))&gt;1,"!AMBIG",IFERROR(INDEX('Calculations'!$HF$13:$HF$512,MATCH('Calculations'!IC427,'Calculations'!$HE$13:$HE$512,0)),""))))</x:f>
      </x:c>
      <x:c r="IE427" t="str">
        <x:f>IF('Calculations'!ID427="","",IF('Calculations'!ID427="!AMBIG","!AMBIG",IF(COUNTIF('Calculations'!$HE$13:$HE$512,"="&amp;SUBSTITUTE(SUBSTITUTE(SUBSTITUTE('Calculations'!ID427,"~","~~"),"*","~*"),"?","~?"))&gt;1,"!AMBIG",IFERROR(INDEX('Calculations'!$HF$13:$HF$512,MATCH('Calculations'!ID427,'Calculations'!$HE$13:$HE$512,0)),""))))</x:f>
      </x:c>
      <x:c r="IF427" t="str">
        <x:f>IF('Calculations'!IE427="","",IF('Calculations'!IE427="!AMBIG","!AMBIG",IF(COUNTIF('Calculations'!$HE$13:$HE$512,"="&amp;SUBSTITUTE(SUBSTITUTE(SUBSTITUTE('Calculations'!IE427,"~","~~"),"*","~*"),"?","~?"))&gt;1,"!AMBIG",IFERROR(INDEX('Calculations'!$HF$13:$HF$512,MATCH('Calculations'!IE427,'Calculations'!$HE$13:$HE$512,0)),""))))</x:f>
      </x:c>
      <x:c r="IG427" t="str">
        <x:f>IF('Calculations'!IF427="","",IF('Calculations'!IF427="!AMBIG","!AMBIG",IF(COUNTIF('Calculations'!$HE$13:$HE$512,"="&amp;SUBSTITUTE(SUBSTITUTE(SUBSTITUTE('Calculations'!IF427,"~","~~"),"*","~*"),"?","~?"))&gt;1,"!AMBIG",IFERROR(INDEX('Calculations'!$HF$13:$HF$512,MATCH('Calculations'!IF427,'Calculations'!$HE$13:$HE$512,0)),""))))</x:f>
      </x:c>
      <x:c r="IH427" t="str">
        <x:f>IF('Calculations'!IG427="","",IF('Calculations'!IG427="!AMBIG","!AMBIG",IF(COUNTIF('Calculations'!$HE$13:$HE$512,"="&amp;SUBSTITUTE(SUBSTITUTE(SUBSTITUTE('Calculations'!IG427,"~","~~"),"*","~*"),"?","~?"))&gt;1,"!AMBIG",IFERROR(INDEX('Calculations'!$HF$13:$HF$512,MATCH('Calculations'!IG427,'Calculations'!$HE$13:$HE$512,0)),""))))</x:f>
      </x:c>
      <x:c r="II427" t="str">
        <x:f>IF('Calculations'!IH427="","",IF('Calculations'!IH427="!AMBIG","!AMBIG",IF(COUNTIF('Calculations'!$HE$13:$HE$512,"="&amp;SUBSTITUTE(SUBSTITUTE(SUBSTITUTE('Calculations'!IH427,"~","~~"),"*","~*"),"?","~?"))&gt;1,"!AMBIG",IFERROR(INDEX('Calculations'!$HF$13:$HF$512,MATCH('Calculations'!IH427,'Calculations'!$HE$13:$HE$512,0)),""))))</x:f>
      </x:c>
      <x:c r="IJ427" t="str">
        <x:f>IF('Calculations'!EM427="","",IF('Calculations'!$EF$2="All",'Calculations'!HM427,IF('Calculations'!HL427=1,"",IFERROR(IF(MATCH('Calculations'!$EF$2,'Calculations'!HO427:II427,0)=1,'Calculations'!HE427,INDEX('Calculations'!HO427:II427,1,MATCH('Calculations'!$EF$2,'Calculations'!HO427:II427,0)-1)),""))))</x:f>
      </x:c>
      <x:c r="IK427" t="n">
        <x:f>IF(AND('Calculations'!EM427&lt;&gt;"",'Calculations'!$EF$2&lt;&gt;"All",'Calculations'!HF427='Calculations'!$EF$2,'Calculations'!HL427=0,'Calculations'!JD427&gt;0),MAX('Calculations'!$IK$12:IK426)+1,0)</x:f>
        <x:v>0</x:v>
      </x:c>
      <x:c r="JA427" t="n">
        <x:f>IF(OR(IFERROR(INDIRECT("'WCM Calibration Final'!$A$427")&lt;&gt;"",FALSE),IFERROR(INDIRECT("'WCM Calibration Final'!$B$427")&lt;&gt;"",FALSE),IFERROR(INDIRECT("'WCM Calibration Final'!$C$427")&lt;&gt;"",FALSE)),427,0)</x:f>
        <x:v>0</x:v>
      </x:c>
      <x:c r="JB427" t="n">
        <x:f>'Calculations'!JB426+IF('Calculations'!JA427&gt;0,1,0)</x:f>
        <x:v>0</x:v>
      </x:c>
      <x:c r="JC427" t="n">
        <x:f>IF(OR('Calculations'!HF427="",'Calculations'!HF427="!AMBIG"),0,IF('Dashboard'!$B$7="All",1,COUNTIFS('Calculations'!$HO$13:$HO$512,"="&amp;SUBSTITUTE(SUBSTITUTE(SUBSTITUTE('Calculations'!HF427,"~","~~"),"*","~*"),"?","~?"),'Calculations'!$HN$13:$HN$512,"="&amp;SUBSTITUTE(SUBSTITUTE(SUBSTITUTE('Dashboard'!$B$7,"~","~~"),"*","~*"),"?","~?"))+COUNTIFS('Calculations'!$HP$13:$HP$512,"="&amp;SUBSTITUTE(SUBSTITUTE(SUBSTITUTE('Calculations'!HF427,"~","~~"),"*","~*"),"?","~?"),'Calculations'!$HN$13:$HN$512,"="&amp;SUBSTITUTE(SUBSTITUTE(SUBSTITUTE('Dashboard'!$B$7,"~","~~"),"*","~*"),"?","~?"))+COUNTIFS('Calculations'!$HQ$13:$HQ$512,"="&amp;SUBSTITUTE(SUBSTITUTE(SUBSTITUTE('Calculations'!HF427,"~","~~"),"*","~*"),"?","~?"),'Calculations'!$HN$13:$HN$512,"="&amp;SUBSTITUTE(SUBSTITUTE(SUBSTITUTE('Dashboard'!$B$7,"~","~~"),"*","~*"),"?","~?"))+COUNTIFS('Calculations'!$HR$13:$HR$512,"="&amp;SUBSTITUTE(SUBSTITUTE(SUBSTITUTE('Calculations'!HF427,"~","~~"),"*","~*"),"?","~?"),'Calculations'!$HN$13:$HN$512,"="&amp;SUBSTITUTE(SUBSTITUTE(SUBSTITUTE('Dashboard'!$B$7,"~","~~"),"*","~*"),"?","~?"))+COUNTIFS('Calculations'!$HS$13:$HS$512,"="&amp;SUBSTITUTE(SUBSTITUTE(SUBSTITUTE('Calculations'!HF427,"~","~~"),"*","~*"),"?","~?"),'Calculations'!$HN$13:$HN$512,"="&amp;SUBSTITUTE(SUBSTITUTE(SUBSTITUTE('Dashboard'!$B$7,"~","~~"),"*","~*"),"?","~?"))+COUNTIFS('Calculations'!$HT$13:$HT$512,"="&amp;SUBSTITUTE(SUBSTITUTE(SUBSTITUTE('Calculations'!HF427,"~","~~"),"*","~*"),"?","~?"),'Calculations'!$HN$13:$HN$512,"="&amp;SUBSTITUTE(SUBSTITUTE(SUBSTITUTE('Dashboard'!$B$7,"~","~~"),"*","~*"),"?","~?"))+COUNTIFS('Calculations'!$HU$13:$HU$512,"="&amp;SUBSTITUTE(SUBSTITUTE(SUBSTITUTE('Calculations'!HF427,"~","~~"),"*","~*"),"?","~?"),'Calculations'!$HN$13:$HN$512,"="&amp;SUBSTITUTE(SUBSTITUTE(SUBSTITUTE('Dashboard'!$B$7,"~","~~"),"*","~*"),"?","~?"))+COUNTIFS('Calculations'!$HV$13:$HV$512,"="&amp;SUBSTITUTE(SUBSTITUTE(SUBSTITUTE('Calculations'!HF427,"~","~~"),"*","~*"),"?","~?"),'Calculations'!$HN$13:$HN$512,"="&amp;SUBSTITUTE(SUBSTITUTE(SUBSTITUTE('Dashboard'!$B$7,"~","~~"),"*","~*"),"?","~?"))+COUNTIFS('Calculations'!$HW$13:$HW$512,"="&amp;SUBSTITUTE(SUBSTITUTE(SUBSTITUTE('Calculations'!HF427,"~","~~"),"*","~*"),"?","~?"),'Calculations'!$HN$13:$HN$512,"="&amp;SUBSTITUTE(SUBSTITUTE(SUBSTITUTE('Dashboard'!$B$7,"~","~~"),"*","~*"),"?","~?"))+COUNTIFS('Calculations'!$HX$13:$HX$512,"="&amp;SUBSTITUTE(SUBSTITUTE(SUBSTITUTE('Calculations'!HF427,"~","~~"),"*","~*"),"?","~?"),'Calculations'!$HN$13:$HN$512,"="&amp;SUBSTITUTE(SUBSTITUTE(SUBSTITUTE('Dashboard'!$B$7,"~","~~"),"*","~*"),"?","~?"))+COUNTIFS('Calculations'!$HY$13:$HY$512,"="&amp;SUBSTITUTE(SUBSTITUTE(SUBSTITUTE('Calculations'!HF427,"~","~~"),"*","~*"),"?","~?"),'Calculations'!$HN$13:$HN$512,"="&amp;SUBSTITUTE(SUBSTITUTE(SUBSTITUTE('Dashboard'!$B$7,"~","~~"),"*","~*"),"?","~?"))+COUNTIFS('Calculations'!$HZ$13:$HZ$512,"="&amp;SUBSTITUTE(SUBSTITUTE(SUBSTITUTE('Calculations'!HF427,"~","~~"),"*","~*"),"?","~?"),'Calculations'!$HN$13:$HN$512,"="&amp;SUBSTITUTE(SUBSTITUTE(SUBSTITUTE('Dashboard'!$B$7,"~","~~"),"*","~*"),"?","~?"))+COUNTIFS('Calculations'!$IA$13:$IA$512,"="&amp;SUBSTITUTE(SUBSTITUTE(SUBSTITUTE('Calculations'!HF427,"~","~~"),"*","~*"),"?","~?"),'Calculations'!$HN$13:$HN$512,"="&amp;SUBSTITUTE(SUBSTITUTE(SUBSTITUTE('Dashboard'!$B$7,"~","~~"),"*","~*"),"?","~?"))+COUNTIFS('Calculations'!$IB$13:$IB$512,"="&amp;SUBSTITUTE(SUBSTITUTE(SUBSTITUTE('Calculations'!HF427,"~","~~"),"*","~*"),"?","~?"),'Calculations'!$HN$13:$HN$512,"="&amp;SUBSTITUTE(SUBSTITUTE(SUBSTITUTE('Dashboard'!$B$7,"~","~~"),"*","~*"),"?","~?"))+COUNTIFS('Calculations'!$IC$13:$IC$512,"="&amp;SUBSTITUTE(SUBSTITUTE(SUBSTITUTE('Calculations'!HF427,"~","~~"),"*","~*"),"?","~?"),'Calculations'!$HN$13:$HN$512,"="&amp;SUBSTITUTE(SUBSTITUTE(SUBSTITUTE('Dashboard'!$B$7,"~","~~"),"*","~*"),"?","~?"))+COUNTIFS('Calculations'!$ID$13:$ID$512,"="&amp;SUBSTITUTE(SUBSTITUTE(SUBSTITUTE('Calculations'!HF427,"~","~~"),"*","~*"),"?","~?"),'Calculations'!$HN$13:$HN$512,"="&amp;SUBSTITUTE(SUBSTITUTE(SUBSTITUTE('Dashboard'!$B$7,"~","~~"),"*","~*"),"?","~?"))+COUNTIFS('Calculations'!$IE$13:$IE$512,"="&amp;SUBSTITUTE(SUBSTITUTE(SUBSTITUTE('Calculations'!HF427,"~","~~"),"*","~*"),"?","~?"),'Calculations'!$HN$13:$HN$512,"="&amp;SUBSTITUTE(SUBSTITUTE(SUBSTITUTE('Dashboard'!$B$7,"~","~~"),"*","~*"),"?","~?"))+COUNTIFS('Calculations'!$IF$13:$IF$512,"="&amp;SUBSTITUTE(SUBSTITUTE(SUBSTITUTE('Calculations'!HF427,"~","~~"),"*","~*"),"?","~?"),'Calculations'!$HN$13:$HN$512,"="&amp;SUBSTITUTE(SUBSTITUTE(SUBSTITUTE('Dashboard'!$B$7,"~","~~"),"*","~*"),"?","~?"))+COUNTIFS('Calculations'!$IG$13:$IG$512,"="&amp;SUBSTITUTE(SUBSTITUTE(SUBSTITUTE('Calculations'!HF427,"~","~~"),"*","~*"),"?","~?"),'Calculations'!$HN$13:$HN$512,"="&amp;SUBSTITUTE(SUBSTITUTE(SUBSTITUTE('Dashboard'!$B$7,"~","~~"),"*","~*"),"?","~?"))+COUNTIFS('Calculations'!$IH$13:$IH$512,"="&amp;SUBSTITUTE(SUBSTITUTE(SUBSTITUTE('Calculations'!HF427,"~","~~"),"*","~*"),"?","~?"),'Calculations'!$HN$13:$HN$512,"="&amp;SUBSTITUTE(SUBSTITUTE(SUBSTITUTE('Dashboard'!$B$7,"~","~~"),"*","~*"),"?","~?"))))</x:f>
        <x:v>0</x:v>
      </x:c>
      <x:c r="JD427" t="n">
        <x:f>IF('Calculations'!EM427="",0,IF('Dashboard'!$B$7="All",1,IF('Calculations'!HN427='Dashboard'!$B$7,1,0)+IFERROR(INDEX('Calculations'!$JC$13:$JC$512,MATCH('Calculations'!HE427,'Calculations'!$HF$13:$HF$512,0)),0)))</x:f>
        <x:v>0</x:v>
      </x:c>
      <x:c r="JE427" t="n">
        <x:f>IF(AND('Calculations'!EM427&lt;&gt;"",'Calculations'!$JJ$2&lt;&gt;"All",'Calculations'!$JJ$2&lt;&gt;"",'Calculations'!HF427='Calculations'!$JJ$2,'Calculations'!HL427=0,'Calculations'!JD427&gt;0),MAX('Calculations'!$JE$12:JE426)+1,0)</x:f>
        <x:v>0</x:v>
      </x:c>
      <x:c r="JF427" t="str">
        <x:f>IF('Calculations'!EM427="","",IFERROR(IF(INDEX(INDIRECT("'WCM Calibration Final'!$G$1:$G$2000"),'Calculations'!$EM427)="","",TRIM(INDEX(INDIRECT("'WCM Calibration Final'!$G$1:$G$2000"),'Calculations'!$EM427)&amp;"")),""))</x:f>
      </x:c>
      <x:c r="JQ427" t="n">
        <x:f>IF(OR('Calculations'!BM427=0,NOT('Calculations'!$AG$2),'Calculations'!$AG$8&gt;0),0,IF(OR('Dashboard'!$B$7="All",'Calculations'!HN427='Dashboard'!$B$7),IF('Calculations'!$JJ$2="All",1,IF(AND('Calculations'!HF427='Calculations'!$JJ$2,'Calculations'!HL427=0),1,0)),0))</x:f>
        <x:v>0</x:v>
      </x:c>
    </x:row>
    <x:row r="428">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t="n">
        <x:f>IF('Calculations'!$EM428="",0,IF(OR(IFERROR(INDEX(INDIRECT("'WCM Calibration Final'!$A$1:$A$2000"),'Calculations'!$EM428)&lt;&gt;"",FALSE),IFERROR(INDEX(INDIRECT("'WCM Calibration Final'!$B$1:$B$2000"),'Calculations'!$EM428)&lt;&gt;"",FALSE),IFERROR(INDEX(INDIRECT("'WCM Calibration Final'!$C$1:$C$2000"),'Calculations'!$EM428)&lt;&gt;"",FALSE)),1,0))</x:f>
        <x:v>0</x:v>
      </x:c>
      <x:c r="BN428" s="4" t="n">
        <x:f>IF(AND('Calculations'!BM428=1,'Calculations'!$AG$2,'Calculations'!$EN428=1),1,0)</x:f>
        <x:v>0</x:v>
      </x:c>
      <x:c r="BO428" s="4" t="str">
        <x:f>IF('Calculations'!BM428=0,"",IFERROR(IF(AND(VALUE(INDEX(INDIRECT("'WCM Calibration Final'!$K$1:$K$2000"),'Calculations'!$EM428))&gt;=1,VALUE(INDEX(INDIRECT("'WCM Calibration Final'!$K$1:$K$2000"),'Calculations'!$EM428))&lt;=4,MOD(VALUE(INDEX(INDIRECT("'WCM Calibration Final'!$K$1:$K$2000"),'Calculations'!$EM428)),1)=0),VALUE(INDEX(INDIRECT("'WCM Calibration Final'!$K$1:$K$2000"),'Calculations'!$EM428)),""),""))</x:f>
      </x:c>
      <x:c r="BP428" s="4" t="str">
        <x:f>IF('Calculations'!BM428=0,"",IFERROR(IF(AND(VALUE(INDEX(INDIRECT("'WCM Calibration Final'!$L$1:$L$2000"),'Calculations'!$EM428))&gt;=1,VALUE(INDEX(INDIRECT("'WCM Calibration Final'!$L$1:$L$2000"),'Calculations'!$EM428))&lt;=4,MOD(VALUE(INDEX(INDIRECT("'WCM Calibration Final'!$L$1:$L$2000"),'Calculations'!$EM428)),1)=0),VALUE(INDEX(INDIRECT("'WCM Calibration Final'!$L$1:$L$2000"),'Calculations'!$EM428)),""),""))</x:f>
      </x:c>
      <x:c r="BQ428" s="4"/>
      <x:c r="BR428" s="4"/>
      <x:c r="BS428" s="4"/>
      <x:c r="BT428" s="4" t="n">
        <x:f>IF(AND('Calculations'!BM428=1,ISNUMBER('Calculations'!BO428),ISNUMBER('Calculations'!BP428)),1,0)</x:f>
        <x:v>0</x:v>
      </x:c>
      <x:c r="BU428" s="4" t="str">
        <x:f>IF('Calculations'!BM428=0,"",'Calculations'!$EO428)</x:f>
      </x:c>
      <x:c r="BV428" s="4" t="str">
        <x:f>IF('Calculations'!BM428=0,"",IFERROR(IF(OR(INDEX(INDIRECT("'WCM Calibration Final'!$H$1:$H$2000"),'Calculations'!$EM428)="MANAGING DIRECTOR",INDEX(INDIRECT("'WCM Calibration Final'!$H$1:$H$2000"),'Calculations'!$EM428)="DIRECTOR",INDEX(INDIRECT("'WCM Calibration Final'!$H$1:$H$2000"),'Calculations'!$EM428)="SENIOR VICE PRESIDENT",INDEX(INDIRECT("'WCM Calibration Final'!$H$1:$H$2000"),'Calculations'!$EM428)="VICE PRESIDENT",INDEX(INDIRECT("'WCM Calibration Final'!$H$1:$H$2000"),'Calculations'!$EM428)="ASSISTANT VICE PRESIDENT",INDEX(INDIRECT("'WCM Calibration Final'!$H$1:$H$2000"),'Calculations'!$EM428)="OFFICER"),UPPER(INDEX(INDIRECT("'WCM Calibration Final'!$H$1:$H$2000"),'Calculations'!$EM428)),"Other"),"Other"))</x:f>
      </x:c>
      <x:c r="BW428" s="4"/>
      <x:c r="BX428" s="4"/>
      <x:c r="BY428" s="4" t="n">
        <x:f>IF(AND('Calculations'!BM428=1,'Calculations'!BU428&lt;&gt;"",COUNTIF('Calculations'!$BU$12:BU428,'Calculations'!BU428)=1),MAX('Calculations'!$BY$11:BY427)+1,0)</x:f>
        <x:v>0</x:v>
      </x:c>
      <x:c r="BZ428" s="4" t="str">
        <x:f>IF('Dashboard'!$E$67="What",'Calculations'!BO428,'Calculations'!BP428)</x:f>
      </x:c>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t="str">
        <x:f>IF(417&gt;MAX('Calculations'!$HI$13:$HI$512),"",INDEX('Calculations'!$HN$13:$HN$512,MATCH(417,'Calculations'!$HI$13:$HI$512,0)))</x:f>
      </x:c>
      <x:c r="DB428" s="4" t="str">
        <x:f>IF(417&gt;MAX('Calculations'!$HH$13:$HH$512),"",INDEX('Calculations'!$HJ$13:$HJ$512,MATCH(417,'Calculations'!$HH$13:$HH$512,0)))</x:f>
      </x:c>
      <x:c r="DC428" s="4" t="str">
        <x:f>IF(ROW()-11&gt;MAX('Calculations'!$BY$13:$BY$512),"",INDEX('Calculations'!$BU$13:$BU$512,MATCH(ROW()-11,'Calculations'!$BY$13:$BY$512,0)))</x:f>
      </x:c>
      <x:c r="DD428" s="4" t="str">
        <x:f>IF(417&gt;MAX('Calculations'!$IK$13:$IK$512),"",INDEX('Calculations'!$HK$13:$HK$512,MATCH(417,'Calculations'!$IK$13:$IK$512,0)))</x:f>
      </x:c>
      <x:c r="DE428" s="4" t="str">
        <x:f>'Calculations'!DC428</x:f>
      </x:c>
      <x:c r="DF428" s="4" t="str">
        <x:f>IF('Calculations'!DE428="","",COUNTIFS('Calculations'!$BN$13:$BN$512,1,'Calculations'!$BU$13:$BU$512,'Calculations'!DE428))</x:f>
      </x:c>
      <x:c r="DG428" s="4" t="str">
        <x:f>IF('Calculations'!DE428="","",COUNTIFS('Calculations'!$BN$13:$BN$512,1,'Calculations'!$BU$13:$BU$512,'Calculations'!DE428,'Calculations'!$BT$13:$BT$512,1))</x:f>
      </x:c>
      <x:c r="DH428" s="4" t="str">
        <x:f>IF('Calculations'!DE428="","",'Calculations'!DF428-'Calculations'!DG428)</x:f>
      </x:c>
      <x:c r="DI428" s="4" t="str">
        <x:f>IF(OR('Calculations'!DE428="",'Calculations'!DF428=0),"",'Calculations'!DG428/'Calculations'!DF428)</x:f>
      </x:c>
      <x:c r="DJ428" s="4" t="str">
        <x:f>IF('Calculations'!DE428="","",COUNTIFS('Calculations'!$BN$13:$BN$512,1,'Calculations'!$BU$13:$BU$512,'Calculations'!DE428,'Calculations'!$BT$13:$BT$512,1,'Calculations'!$EE$13:$EE$512,"High"))</x:f>
      </x:c>
      <x:c r="DK428" s="4" t="str">
        <x:f>IF('Calculations'!DE428="","",COUNTIFS('Calculations'!$BN$13:$BN$512,1,'Calculations'!$BU$13:$BU$512,'Calculations'!DE428,'Calculations'!$BT$13:$BT$512,1,'Calculations'!$EE$13:$EE$512,"Strong"))</x:f>
      </x:c>
      <x:c r="DL428" s="4" t="str">
        <x:f>IF('Calculations'!DE428="","",COUNTIFS('Calculations'!$BN$13:$BN$512,1,'Calculations'!$BU$13:$BU$512,'Calculations'!DE428,'Calculations'!$BT$13:$BT$512,1,'Calculations'!$EE$13:$EE$512,"Solid"))</x:f>
      </x:c>
      <x:c r="DM428" s="4" t="str">
        <x:f>IF('Calculations'!DE428="","",COUNTIFS('Calculations'!$BN$13:$BN$512,1,'Calculations'!$BU$13:$BU$512,'Calculations'!DE428,'Calculations'!$BT$13:$BT$512,1,'Calculations'!$EE$13:$EE$512,"Low"))</x:f>
      </x:c>
      <x:c r="DN428" s="4" t="str">
        <x:f>IF('Calculations'!DE428="","",COUNTIFS('Calculations'!$BN$13:$BN$512,1,'Calculations'!$BU$13:$BU$512,'Calculations'!DE428,'Calculations'!$EP$13:$EP$512,1))</x:f>
      </x:c>
      <x:c r="DO428" s="4" t="str">
        <x:f>IF(OR('Calculations'!DE428="",'Calculations'!DG428=0),"",('Calculations'!DJ428+'Calculations'!DK428)/'Calculations'!DG428)</x:f>
      </x:c>
      <x:c r="DP428" s="4" t="n">
        <x:f>IF(AND('Calculations'!DE428&lt;&gt;"",'Calculations'!DF428&gt;0),COUNTIF('Calculations'!$DF$12:DF428,"&gt;0"),0)</x:f>
        <x:v>0</x:v>
      </x:c>
      <x:c r="DQ428" s="4" t="str">
        <x:f>IF(417&gt;MAX('Calculations'!$HH$13:$HH$512),"",INDEX('Calculations'!$HF$13:$HF$512,MATCH(417,'Calculations'!$HH$13:$HH$512,0)))</x:f>
      </x:c>
      <x:c r="DR428" s="4" t="str">
        <x:f>IF(417&gt;MAX('Calculations'!$IK$13:$IK$512),"",INDEX('Calculations'!$HE$13:$HE$512,MATCH(417,'Calculations'!$IK$13:$IK$512,0)))</x:f>
      </x:c>
      <x:c r="DS428" s="4"/>
      <x:c r="DT428" s="4"/>
      <x:c r="DU428" s="4"/>
      <x:c r="DV428" s="4"/>
      <x:c r="DW428" s="4"/>
      <x:c r="DX428" s="4"/>
      <x:c r="DY428" s="4"/>
      <x:c r="DZ428" s="4"/>
      <x:c r="EA428" s="4"/>
      <x:c r="EB428" s="4"/>
      <x:c r="EC428" s="4"/>
      <x:c r="ED428" s="4"/>
      <x:c r="EE428" s="4" t="str">
        <x:f>IF('Calculations'!BT428=0,"Not Rated",IF(OR('Calculations'!BO428&gt;=4,'Calculations'!BP428&gt;=4),"Low",IF('Calculations'!BO428+'Calculations'!BP428&lt;=3,"High",IF('Calculations'!BO428+'Calculations'!BP428&lt;=4,"Strong","Solid"))))</x:f>
        <x:v>Not Rated</x:v>
      </x:c>
      <x:c r="EF428" s="4"/>
      <x:c r="EG428" s="4"/>
      <x:c r="EH428" s="4"/>
      <x:c r="EI428" s="4"/>
      <x:c r="EJ428" s="4"/>
      <x:c r="EK428" s="4"/>
      <x:c r="EL428" s="4"/>
      <x:c r="EM428" s="4" t="str">
        <x:f>IF(416&gt;'Calculations'!$JB$2000,"",INDEX('Calculations'!$JA$12:$JA$2000,MATCH(416,'Calculations'!$JB$12:$JB$2000,0)))</x:f>
      </x:c>
      <x:c r="EN428" s="4" t="n">
        <x:f>IF(OR('Calculations'!EM428="",'Calculations'!$AG$8&gt;0,AND('Calculations'!$EF$2&lt;&gt;"All",'Calculations'!HE428='Calculations'!$EF$2),AND('Calculations'!$EF$3&lt;&gt;"All",'Calculations'!HE428='Calculations'!$EF$3)),0,IF(OR('Dashboard'!$B$7="All",'Calculations'!HN428='Dashboard'!$B$7),IF('Calculations'!$EF$2="All",1,IF('Calculations'!HL428&gt;0,0,IF(COUNTIF('Calculations'!HO428:II428,"="&amp;SUBSTITUTE(SUBSTITUTE(SUBSTITUTE('Calculations'!$EF$2,"~","~~"),"*","~*"),"?","~?"))=0,0,IF('Calculations'!$EF$3="All",1,IF(COUNTIF('Calculations'!HO428:II428,"="&amp;SUBSTITUTE(SUBSTITUTE(SUBSTITUTE('Calculations'!$EF$3,"~","~~"),"*","~*"),"?","~?"))&gt;0,1,0))))),0))</x:f>
        <x:v>0</x:v>
      </x:c>
      <x:c r="EO428" s="4" t="str">
        <x:f>IF('Calculations'!IJ428="","",IF('Calculations'!IJ428="!UNRESOLVED","Unresolved hierarchy",IFERROR(INDEX('Calculations'!$HK$13:$HK$512,MATCH('Calculations'!IJ428,'Calculations'!$HE$13:$HE$512,0)),IFERROR(INDEX('Calculations'!$HJ$13:$HJ$512,MATCH('Calculations'!IJ428,'Calculations'!$HF$13:$HF$512,0)),'Calculations'!IJ428))))</x:f>
      </x:c>
      <x:c r="EP428" s="4" t="n">
        <x:f>IF(AND('Calculations'!EM428&lt;&gt;"",'Calculations'!HF428='Calculations'!IJ428),1,0)</x:f>
        <x:v>0</x:v>
      </x:c>
      <x:c r="EQ428" s="4"/>
      <x:c r="ER428" s="4"/>
      <x:c r="ES428" s="4"/>
      <x:c r="ET428" s="4"/>
      <x:c r="EU428" s="4"/>
      <x:c r="EV428" s="4"/>
      <x:c r="EW428" s="4"/>
      <x:c r="EX428" s="4"/>
      <x:c r="EY428" s="4"/>
      <x:c r="EZ428" s="4"/>
      <x:c r="FA428" s="4"/>
      <x:c r="FB428" s="4"/>
      <x:c r="FC428" s="4"/>
      <x:c r="FD428" s="4"/>
      <x:c r="FE428" s="4"/>
      <x:c r="FF428" s="4"/>
      <x:c r="FG428" s="4"/>
      <x:c r="FH428" s="4"/>
      <x:c r="FI428" s="4"/>
      <x:c r="FJ428" s="4"/>
      <x:c r="FK428" s="4"/>
      <x:c r="FL428" s="4"/>
      <x:c r="FM428" s="4"/>
      <x:c r="FN428" s="4"/>
      <x:c r="FO428" s="4"/>
      <x:c r="HE428" t="str">
        <x:f>IF('Calculations'!EM428="","",IF(IFERROR(IF(INDEX(INDIRECT("'WCM Calibration Final'!$A$1:$A$2000"),'Calculations'!$EM428)="","",TRIM(INDEX(INDIRECT("'WCM Calibration Final'!$A$1:$A$2000"),'Calculations'!$EM428)&amp;"")),"")&lt;&gt;"","G:"&amp;IFERROR(TEXT(1*INDEX(INDIRECT("'WCM Calibration Final'!$A$1:$A$2000"),'Calculations'!$EM428),"0"),UPPER(IFERROR(IF(INDEX(INDIRECT("'WCM Calibration Final'!$A$1:$A$2000"),'Calculations'!$EM428)="","",TRIM(INDEX(INDIRECT("'WCM Calibration Final'!$A$1:$A$2000"),'Calculations'!$EM428)&amp;"")),""))),IF(IFERROR(IF(INDEX(INDIRECT("'WCM Calibration Final'!$C$1:$C$2000"),'Calculations'!$EM428)="","",TRIM(INDEX(INDIRECT("'WCM Calibration Final'!$C$1:$C$2000"),'Calculations'!$EM428)&amp;"")),"")&lt;&gt;"","S:"&amp;UPPER(IFERROR(IF(INDEX(INDIRECT("'WCM Calibration Final'!$C$1:$C$2000"),'Calculations'!$EM428)="","",TRIM(INDEX(INDIRECT("'WCM Calibration Final'!$C$1:$C$2000"),'Calculations'!$EM428)&amp;"")),"")),"R:"&amp;'Calculations'!EM428)))</x:f>
      </x:c>
      <x:c r="HF428" t="str">
        <x:f>IF('Calculations'!EM428="","",IF(IFERROR(IF(INDEX(INDIRECT("'WCM Calibration Final'!$D$1:$D$2000"),'Calculations'!$EM428)="","",TRIM(INDEX(INDIRECT("'WCM Calibration Final'!$D$1:$D$2000"),'Calculations'!$EM428)&amp;"")),"")&lt;&gt;"","G:"&amp;IFERROR(TEXT(1*INDEX(INDIRECT("'WCM Calibration Final'!$D$1:$D$2000"),'Calculations'!$EM428),"0"),UPPER(IFERROR(IF(INDEX(INDIRECT("'WCM Calibration Final'!$D$1:$D$2000"),'Calculations'!$EM428)="","",TRIM(INDEX(INDIRECT("'WCM Calibration Final'!$D$1:$D$2000"),'Calculations'!$EM428)&amp;"")),""))),IF(IFERROR(IF(INDEX(INDIRECT("'WCM Calibration Final'!$E$1:$E$2000"),'Calculations'!$EM428)="","",TRIM(INDEX(INDIRECT("'WCM Calibration Final'!$E$1:$E$2000"),'Calculations'!$EM428)&amp;"")),"")="","",IF(COUNTIF('Calculations'!$HG$13:$HG$512,"="&amp;SUBSTITUTE(SUBSTITUTE(SUBSTITUTE(IFERROR(IF(INDEX(INDIRECT("'WCM Calibration Final'!$E$1:$E$2000"),'Calculations'!$EM428)="","",TRIM(INDEX(INDIRECT("'WCM Calibration Final'!$E$1:$E$2000"),'Calculations'!$EM428)&amp;"")),""),"~","~~"),"*","~*"),"?","~?"))=1,INDEX('Calculations'!$HE$13:$HE$512,MATCH(IFERROR(IF(INDEX(INDIRECT("'WCM Calibration Final'!$E$1:$E$2000"),'Calculations'!$EM428)="","",TRIM(INDEX(INDIRECT("'WCM Calibration Final'!$E$1:$E$2000"),'Calculations'!$EM428)&amp;"")),""),'Calculations'!$HG$13:$HG$512,0)),IF(COUNTIF('Calculations'!$HG$13:$HG$512,"="&amp;SUBSTITUTE(SUBSTITUTE(SUBSTITUTE(IFERROR(IF(INDEX(INDIRECT("'WCM Calibration Final'!$E$1:$E$2000"),'Calculations'!$EM428)="","",TRIM(INDEX(INDIRECT("'WCM Calibration Final'!$E$1:$E$2000"),'Calculations'!$EM428)&amp;"")),""),"~","~~"),"*","~*"),"?","~?"))&gt;1,"!AMBIG","X:"&amp;IFERROR(IF(INDEX(INDIRECT("'WCM Calibration Final'!$E$1:$E$2000"),'Calculations'!$EM428)="","",TRIM(INDEX(INDIRECT("'WCM Calibration Final'!$E$1:$E$2000"),'Calculations'!$EM428)&amp;"")),""))))))</x:f>
      </x:c>
      <x:c r="HG428" t="str">
        <x:f>IF('Calculations'!EM428="","",IFERROR(IF(INDEX(INDIRECT("'WCM Calibration Final'!$B$1:$B$2000"),'Calculations'!$EM428)="","",TRIM(INDEX(INDIRECT("'WCM Calibration Final'!$B$1:$B$2000"),'Calculations'!$EM428)&amp;"")),""))</x:f>
      </x:c>
      <x:c r="HH428" t="n">
        <x:f>IF(AND('Calculations'!JC428&gt;0,COUNTIF('Calculations'!$HF$12:HF428,"="&amp;SUBSTITUTE(SUBSTITUTE(SUBSTITUTE('Calculations'!HF428,"~","~~"),"*","~*"),"?","~?"))=1),MAX('Calculations'!$HH$12:HH427)+1,0)</x:f>
        <x:v>0</x:v>
      </x:c>
      <x:c r="HI428" t="n">
        <x:f>IF(AND('Calculations'!HN428&lt;&gt;"",COUNTIF('Calculations'!$HN$12:HN428,"="&amp;SUBSTITUTE(SUBSTITUTE(SUBSTITUTE('Calculations'!HN428,"~","~~"),"*","~*"),"?","~?"))=1),MAX('Calculations'!$HI$12:HI427)+1,0)</x:f>
        <x:v>0</x:v>
      </x:c>
      <x:c r="HJ428" t="str">
        <x:f>IF('Calculations'!HF428="","",IF(COUNTIF('Calculations'!$HE$13:$HE$512,"="&amp;SUBSTITUTE(SUBSTITUTE(SUBSTITUTE('Calculations'!HF428,"~","~~"),"*","~*"),"?","~?"))=1,INDEX('Calculations'!$HK$13:$HK$512,MATCH('Calculations'!HF428,'Calculations'!$HE$13:$HE$512,0)),IFERROR(IF(INDEX(INDIRECT("'WCM Calibration Final'!$E$1:$E$2000"),'Calculations'!$EM428)="","",TRIM(INDEX(INDIRECT("'WCM Calibration Final'!$E$1:$E$2000"),'Calculations'!$EM428)&amp;"")),"")&amp;" ["&amp;'Calculations'!HF428&amp;"]"))</x:f>
      </x:c>
      <x:c r="HK428" t="str">
        <x:f>IF('Calculations'!EM428="","",'Calculations'!HG428&amp;" ["&amp;'Calculations'!HE428&amp;"]")</x:f>
      </x:c>
      <x:c r="HL428" t="n">
        <x:f>IF('Calculations'!EM428="",0,IF(OR('Calculations'!II428&lt;&gt;"",COUNTIF('Calculations'!$HE$13:$HE$512,"="&amp;SUBSTITUTE(SUBSTITUTE(SUBSTITUTE('Calculations'!HE428,"~","~~"),"*","~*"),"?","~?"))&gt;1),1,0))</x:f>
        <x:v>0</x:v>
      </x:c>
      <x:c r="HM428" t="str">
        <x:f>IF('Calculations'!EM428="","",IF('Calculations'!HL428=1,"!UNRESOLVED",IF('Calculations'!IH428&lt;&gt;"",'Calculations'!IH428,IF('Calculations'!IG428&lt;&gt;"",'Calculations'!IG428,IF('Calculations'!IF428&lt;&gt;"",'Calculations'!IF428,IF('Calculations'!IE428&lt;&gt;"",'Calculations'!IE428,IF('Calculations'!ID428&lt;&gt;"",'Calculations'!ID428,IF('Calculations'!IC428&lt;&gt;"",'Calculations'!IC428,IF('Calculations'!IB428&lt;&gt;"",'Calculations'!IB428,IF('Calculations'!IA428&lt;&gt;"",'Calculations'!IA428,IF('Calculations'!HZ428&lt;&gt;"",'Calculations'!HZ428,IF('Calculations'!HY428&lt;&gt;"",'Calculations'!HY428,IF('Calculations'!HX428&lt;&gt;"",'Calculations'!HX428,IF('Calculations'!HW428&lt;&gt;"",'Calculations'!HW428,IF('Calculations'!HV428&lt;&gt;"",'Calculations'!HV428,IF('Calculations'!HU428&lt;&gt;"",'Calculations'!HU428,IF('Calculations'!HT428&lt;&gt;"",'Calculations'!HT428,IF('Calculations'!HS428&lt;&gt;"",'Calculations'!HS428,IF('Calculations'!HR428&lt;&gt;"",'Calculations'!HR428,IF('Calculations'!HQ428&lt;&gt;"",'Calculations'!HQ428,IF('Calculations'!HP428&lt;&gt;"",'Calculations'!HP428,IF('Calculations'!HO428&lt;&gt;"",'Calculations'!HO428,'Calculations'!HE428))))))))))))))))))))))</x:f>
      </x:c>
      <x:c r="HN428" t="str">
        <x:f>IF('Calculations'!EM428="","",IF(IFERROR(IF(INDEX(INDIRECT("'WCM Calibration Final'!$F$1:$F$2000"),'Calculations'!$EM428)="","",TRIM(INDEX(INDIRECT("'WCM Calibration Final'!$F$1:$F$2000"),'Calculations'!$EM428)&amp;"")),"")="","(Blank)",IFERROR(IF(INDEX(INDIRECT("'WCM Calibration Final'!$F$1:$F$2000"),'Calculations'!$EM428)="","",TRIM(INDEX(INDIRECT("'WCM Calibration Final'!$F$1:$F$2000"),'Calculations'!$EM428)&amp;"")),"")))</x:f>
      </x:c>
      <x:c r="HO428" t="str">
        <x:f>'Calculations'!HF428</x:f>
      </x:c>
      <x:c r="HP428" t="str">
        <x:f>IF('Calculations'!HO428="","",IF('Calculations'!HO428="!AMBIG","!AMBIG",IF(COUNTIF('Calculations'!$HE$13:$HE$512,"="&amp;SUBSTITUTE(SUBSTITUTE(SUBSTITUTE('Calculations'!HO428,"~","~~"),"*","~*"),"?","~?"))&gt;1,"!AMBIG",IFERROR(INDEX('Calculations'!$HF$13:$HF$512,MATCH('Calculations'!HO428,'Calculations'!$HE$13:$HE$512,0)),""))))</x:f>
      </x:c>
      <x:c r="HQ428" t="str">
        <x:f>IF('Calculations'!HP428="","",IF('Calculations'!HP428="!AMBIG","!AMBIG",IF(COUNTIF('Calculations'!$HE$13:$HE$512,"="&amp;SUBSTITUTE(SUBSTITUTE(SUBSTITUTE('Calculations'!HP428,"~","~~"),"*","~*"),"?","~?"))&gt;1,"!AMBIG",IFERROR(INDEX('Calculations'!$HF$13:$HF$512,MATCH('Calculations'!HP428,'Calculations'!$HE$13:$HE$512,0)),""))))</x:f>
      </x:c>
      <x:c r="HR428" t="str">
        <x:f>IF('Calculations'!HQ428="","",IF('Calculations'!HQ428="!AMBIG","!AMBIG",IF(COUNTIF('Calculations'!$HE$13:$HE$512,"="&amp;SUBSTITUTE(SUBSTITUTE(SUBSTITUTE('Calculations'!HQ428,"~","~~"),"*","~*"),"?","~?"))&gt;1,"!AMBIG",IFERROR(INDEX('Calculations'!$HF$13:$HF$512,MATCH('Calculations'!HQ428,'Calculations'!$HE$13:$HE$512,0)),""))))</x:f>
      </x:c>
      <x:c r="HS428" t="str">
        <x:f>IF('Calculations'!HR428="","",IF('Calculations'!HR428="!AMBIG","!AMBIG",IF(COUNTIF('Calculations'!$HE$13:$HE$512,"="&amp;SUBSTITUTE(SUBSTITUTE(SUBSTITUTE('Calculations'!HR428,"~","~~"),"*","~*"),"?","~?"))&gt;1,"!AMBIG",IFERROR(INDEX('Calculations'!$HF$13:$HF$512,MATCH('Calculations'!HR428,'Calculations'!$HE$13:$HE$512,0)),""))))</x:f>
      </x:c>
      <x:c r="HT428" t="str">
        <x:f>IF('Calculations'!HS428="","",IF('Calculations'!HS428="!AMBIG","!AMBIG",IF(COUNTIF('Calculations'!$HE$13:$HE$512,"="&amp;SUBSTITUTE(SUBSTITUTE(SUBSTITUTE('Calculations'!HS428,"~","~~"),"*","~*"),"?","~?"))&gt;1,"!AMBIG",IFERROR(INDEX('Calculations'!$HF$13:$HF$512,MATCH('Calculations'!HS428,'Calculations'!$HE$13:$HE$512,0)),""))))</x:f>
      </x:c>
      <x:c r="HU428" t="str">
        <x:f>IF('Calculations'!HT428="","",IF('Calculations'!HT428="!AMBIG","!AMBIG",IF(COUNTIF('Calculations'!$HE$13:$HE$512,"="&amp;SUBSTITUTE(SUBSTITUTE(SUBSTITUTE('Calculations'!HT428,"~","~~"),"*","~*"),"?","~?"))&gt;1,"!AMBIG",IFERROR(INDEX('Calculations'!$HF$13:$HF$512,MATCH('Calculations'!HT428,'Calculations'!$HE$13:$HE$512,0)),""))))</x:f>
      </x:c>
      <x:c r="HV428" t="str">
        <x:f>IF('Calculations'!HU428="","",IF('Calculations'!HU428="!AMBIG","!AMBIG",IF(COUNTIF('Calculations'!$HE$13:$HE$512,"="&amp;SUBSTITUTE(SUBSTITUTE(SUBSTITUTE('Calculations'!HU428,"~","~~"),"*","~*"),"?","~?"))&gt;1,"!AMBIG",IFERROR(INDEX('Calculations'!$HF$13:$HF$512,MATCH('Calculations'!HU428,'Calculations'!$HE$13:$HE$512,0)),""))))</x:f>
      </x:c>
      <x:c r="HW428" t="str">
        <x:f>IF('Calculations'!HV428="","",IF('Calculations'!HV428="!AMBIG","!AMBIG",IF(COUNTIF('Calculations'!$HE$13:$HE$512,"="&amp;SUBSTITUTE(SUBSTITUTE(SUBSTITUTE('Calculations'!HV428,"~","~~"),"*","~*"),"?","~?"))&gt;1,"!AMBIG",IFERROR(INDEX('Calculations'!$HF$13:$HF$512,MATCH('Calculations'!HV428,'Calculations'!$HE$13:$HE$512,0)),""))))</x:f>
      </x:c>
      <x:c r="HX428" t="str">
        <x:f>IF('Calculations'!HW428="","",IF('Calculations'!HW428="!AMBIG","!AMBIG",IF(COUNTIF('Calculations'!$HE$13:$HE$512,"="&amp;SUBSTITUTE(SUBSTITUTE(SUBSTITUTE('Calculations'!HW428,"~","~~"),"*","~*"),"?","~?"))&gt;1,"!AMBIG",IFERROR(INDEX('Calculations'!$HF$13:$HF$512,MATCH('Calculations'!HW428,'Calculations'!$HE$13:$HE$512,0)),""))))</x:f>
      </x:c>
      <x:c r="HY428" t="str">
        <x:f>IF('Calculations'!HX428="","",IF('Calculations'!HX428="!AMBIG","!AMBIG",IF(COUNTIF('Calculations'!$HE$13:$HE$512,"="&amp;SUBSTITUTE(SUBSTITUTE(SUBSTITUTE('Calculations'!HX428,"~","~~"),"*","~*"),"?","~?"))&gt;1,"!AMBIG",IFERROR(INDEX('Calculations'!$HF$13:$HF$512,MATCH('Calculations'!HX428,'Calculations'!$HE$13:$HE$512,0)),""))))</x:f>
      </x:c>
      <x:c r="HZ428" t="str">
        <x:f>IF('Calculations'!HY428="","",IF('Calculations'!HY428="!AMBIG","!AMBIG",IF(COUNTIF('Calculations'!$HE$13:$HE$512,"="&amp;SUBSTITUTE(SUBSTITUTE(SUBSTITUTE('Calculations'!HY428,"~","~~"),"*","~*"),"?","~?"))&gt;1,"!AMBIG",IFERROR(INDEX('Calculations'!$HF$13:$HF$512,MATCH('Calculations'!HY428,'Calculations'!$HE$13:$HE$512,0)),""))))</x:f>
      </x:c>
      <x:c r="IA428" t="str">
        <x:f>IF('Calculations'!HZ428="","",IF('Calculations'!HZ428="!AMBIG","!AMBIG",IF(COUNTIF('Calculations'!$HE$13:$HE$512,"="&amp;SUBSTITUTE(SUBSTITUTE(SUBSTITUTE('Calculations'!HZ428,"~","~~"),"*","~*"),"?","~?"))&gt;1,"!AMBIG",IFERROR(INDEX('Calculations'!$HF$13:$HF$512,MATCH('Calculations'!HZ428,'Calculations'!$HE$13:$HE$512,0)),""))))</x:f>
      </x:c>
      <x:c r="IB428" t="str">
        <x:f>IF('Calculations'!IA428="","",IF('Calculations'!IA428="!AMBIG","!AMBIG",IF(COUNTIF('Calculations'!$HE$13:$HE$512,"="&amp;SUBSTITUTE(SUBSTITUTE(SUBSTITUTE('Calculations'!IA428,"~","~~"),"*","~*"),"?","~?"))&gt;1,"!AMBIG",IFERROR(INDEX('Calculations'!$HF$13:$HF$512,MATCH('Calculations'!IA428,'Calculations'!$HE$13:$HE$512,0)),""))))</x:f>
      </x:c>
      <x:c r="IC428" t="str">
        <x:f>IF('Calculations'!IB428="","",IF('Calculations'!IB428="!AMBIG","!AMBIG",IF(COUNTIF('Calculations'!$HE$13:$HE$512,"="&amp;SUBSTITUTE(SUBSTITUTE(SUBSTITUTE('Calculations'!IB428,"~","~~"),"*","~*"),"?","~?"))&gt;1,"!AMBIG",IFERROR(INDEX('Calculations'!$HF$13:$HF$512,MATCH('Calculations'!IB428,'Calculations'!$HE$13:$HE$512,0)),""))))</x:f>
      </x:c>
      <x:c r="ID428" t="str">
        <x:f>IF('Calculations'!IC428="","",IF('Calculations'!IC428="!AMBIG","!AMBIG",IF(COUNTIF('Calculations'!$HE$13:$HE$512,"="&amp;SUBSTITUTE(SUBSTITUTE(SUBSTITUTE('Calculations'!IC428,"~","~~"),"*","~*"),"?","~?"))&gt;1,"!AMBIG",IFERROR(INDEX('Calculations'!$HF$13:$HF$512,MATCH('Calculations'!IC428,'Calculations'!$HE$13:$HE$512,0)),""))))</x:f>
      </x:c>
      <x:c r="IE428" t="str">
        <x:f>IF('Calculations'!ID428="","",IF('Calculations'!ID428="!AMBIG","!AMBIG",IF(COUNTIF('Calculations'!$HE$13:$HE$512,"="&amp;SUBSTITUTE(SUBSTITUTE(SUBSTITUTE('Calculations'!ID428,"~","~~"),"*","~*"),"?","~?"))&gt;1,"!AMBIG",IFERROR(INDEX('Calculations'!$HF$13:$HF$512,MATCH('Calculations'!ID428,'Calculations'!$HE$13:$HE$512,0)),""))))</x:f>
      </x:c>
      <x:c r="IF428" t="str">
        <x:f>IF('Calculations'!IE428="","",IF('Calculations'!IE428="!AMBIG","!AMBIG",IF(COUNTIF('Calculations'!$HE$13:$HE$512,"="&amp;SUBSTITUTE(SUBSTITUTE(SUBSTITUTE('Calculations'!IE428,"~","~~"),"*","~*"),"?","~?"))&gt;1,"!AMBIG",IFERROR(INDEX('Calculations'!$HF$13:$HF$512,MATCH('Calculations'!IE428,'Calculations'!$HE$13:$HE$512,0)),""))))</x:f>
      </x:c>
      <x:c r="IG428" t="str">
        <x:f>IF('Calculations'!IF428="","",IF('Calculations'!IF428="!AMBIG","!AMBIG",IF(COUNTIF('Calculations'!$HE$13:$HE$512,"="&amp;SUBSTITUTE(SUBSTITUTE(SUBSTITUTE('Calculations'!IF428,"~","~~"),"*","~*"),"?","~?"))&gt;1,"!AMBIG",IFERROR(INDEX('Calculations'!$HF$13:$HF$512,MATCH('Calculations'!IF428,'Calculations'!$HE$13:$HE$512,0)),""))))</x:f>
      </x:c>
      <x:c r="IH428" t="str">
        <x:f>IF('Calculations'!IG428="","",IF('Calculations'!IG428="!AMBIG","!AMBIG",IF(COUNTIF('Calculations'!$HE$13:$HE$512,"="&amp;SUBSTITUTE(SUBSTITUTE(SUBSTITUTE('Calculations'!IG428,"~","~~"),"*","~*"),"?","~?"))&gt;1,"!AMBIG",IFERROR(INDEX('Calculations'!$HF$13:$HF$512,MATCH('Calculations'!IG428,'Calculations'!$HE$13:$HE$512,0)),""))))</x:f>
      </x:c>
      <x:c r="II428" t="str">
        <x:f>IF('Calculations'!IH428="","",IF('Calculations'!IH428="!AMBIG","!AMBIG",IF(COUNTIF('Calculations'!$HE$13:$HE$512,"="&amp;SUBSTITUTE(SUBSTITUTE(SUBSTITUTE('Calculations'!IH428,"~","~~"),"*","~*"),"?","~?"))&gt;1,"!AMBIG",IFERROR(INDEX('Calculations'!$HF$13:$HF$512,MATCH('Calculations'!IH428,'Calculations'!$HE$13:$HE$512,0)),""))))</x:f>
      </x:c>
      <x:c r="IJ428" t="str">
        <x:f>IF('Calculations'!EM428="","",IF('Calculations'!$EF$2="All",'Calculations'!HM428,IF('Calculations'!HL428=1,"",IFERROR(IF(MATCH('Calculations'!$EF$2,'Calculations'!HO428:II428,0)=1,'Calculations'!HE428,INDEX('Calculations'!HO428:II428,1,MATCH('Calculations'!$EF$2,'Calculations'!HO428:II428,0)-1)),""))))</x:f>
      </x:c>
      <x:c r="IK428" t="n">
        <x:f>IF(AND('Calculations'!EM428&lt;&gt;"",'Calculations'!$EF$2&lt;&gt;"All",'Calculations'!HF428='Calculations'!$EF$2,'Calculations'!HL428=0,'Calculations'!JD428&gt;0),MAX('Calculations'!$IK$12:IK427)+1,0)</x:f>
        <x:v>0</x:v>
      </x:c>
      <x:c r="JA428" t="n">
        <x:f>IF(OR(IFERROR(INDIRECT("'WCM Calibration Final'!$A$428")&lt;&gt;"",FALSE),IFERROR(INDIRECT("'WCM Calibration Final'!$B$428")&lt;&gt;"",FALSE),IFERROR(INDIRECT("'WCM Calibration Final'!$C$428")&lt;&gt;"",FALSE)),428,0)</x:f>
        <x:v>0</x:v>
      </x:c>
      <x:c r="JB428" t="n">
        <x:f>'Calculations'!JB427+IF('Calculations'!JA428&gt;0,1,0)</x:f>
        <x:v>0</x:v>
      </x:c>
      <x:c r="JC428" t="n">
        <x:f>IF(OR('Calculations'!HF428="",'Calculations'!HF428="!AMBIG"),0,IF('Dashboard'!$B$7="All",1,COUNTIFS('Calculations'!$HO$13:$HO$512,"="&amp;SUBSTITUTE(SUBSTITUTE(SUBSTITUTE('Calculations'!HF428,"~","~~"),"*","~*"),"?","~?"),'Calculations'!$HN$13:$HN$512,"="&amp;SUBSTITUTE(SUBSTITUTE(SUBSTITUTE('Dashboard'!$B$7,"~","~~"),"*","~*"),"?","~?"))+COUNTIFS('Calculations'!$HP$13:$HP$512,"="&amp;SUBSTITUTE(SUBSTITUTE(SUBSTITUTE('Calculations'!HF428,"~","~~"),"*","~*"),"?","~?"),'Calculations'!$HN$13:$HN$512,"="&amp;SUBSTITUTE(SUBSTITUTE(SUBSTITUTE('Dashboard'!$B$7,"~","~~"),"*","~*"),"?","~?"))+COUNTIFS('Calculations'!$HQ$13:$HQ$512,"="&amp;SUBSTITUTE(SUBSTITUTE(SUBSTITUTE('Calculations'!HF428,"~","~~"),"*","~*"),"?","~?"),'Calculations'!$HN$13:$HN$512,"="&amp;SUBSTITUTE(SUBSTITUTE(SUBSTITUTE('Dashboard'!$B$7,"~","~~"),"*","~*"),"?","~?"))+COUNTIFS('Calculations'!$HR$13:$HR$512,"="&amp;SUBSTITUTE(SUBSTITUTE(SUBSTITUTE('Calculations'!HF428,"~","~~"),"*","~*"),"?","~?"),'Calculations'!$HN$13:$HN$512,"="&amp;SUBSTITUTE(SUBSTITUTE(SUBSTITUTE('Dashboard'!$B$7,"~","~~"),"*","~*"),"?","~?"))+COUNTIFS('Calculations'!$HS$13:$HS$512,"="&amp;SUBSTITUTE(SUBSTITUTE(SUBSTITUTE('Calculations'!HF428,"~","~~"),"*","~*"),"?","~?"),'Calculations'!$HN$13:$HN$512,"="&amp;SUBSTITUTE(SUBSTITUTE(SUBSTITUTE('Dashboard'!$B$7,"~","~~"),"*","~*"),"?","~?"))+COUNTIFS('Calculations'!$HT$13:$HT$512,"="&amp;SUBSTITUTE(SUBSTITUTE(SUBSTITUTE('Calculations'!HF428,"~","~~"),"*","~*"),"?","~?"),'Calculations'!$HN$13:$HN$512,"="&amp;SUBSTITUTE(SUBSTITUTE(SUBSTITUTE('Dashboard'!$B$7,"~","~~"),"*","~*"),"?","~?"))+COUNTIFS('Calculations'!$HU$13:$HU$512,"="&amp;SUBSTITUTE(SUBSTITUTE(SUBSTITUTE('Calculations'!HF428,"~","~~"),"*","~*"),"?","~?"),'Calculations'!$HN$13:$HN$512,"="&amp;SUBSTITUTE(SUBSTITUTE(SUBSTITUTE('Dashboard'!$B$7,"~","~~"),"*","~*"),"?","~?"))+COUNTIFS('Calculations'!$HV$13:$HV$512,"="&amp;SUBSTITUTE(SUBSTITUTE(SUBSTITUTE('Calculations'!HF428,"~","~~"),"*","~*"),"?","~?"),'Calculations'!$HN$13:$HN$512,"="&amp;SUBSTITUTE(SUBSTITUTE(SUBSTITUTE('Dashboard'!$B$7,"~","~~"),"*","~*"),"?","~?"))+COUNTIFS('Calculations'!$HW$13:$HW$512,"="&amp;SUBSTITUTE(SUBSTITUTE(SUBSTITUTE('Calculations'!HF428,"~","~~"),"*","~*"),"?","~?"),'Calculations'!$HN$13:$HN$512,"="&amp;SUBSTITUTE(SUBSTITUTE(SUBSTITUTE('Dashboard'!$B$7,"~","~~"),"*","~*"),"?","~?"))+COUNTIFS('Calculations'!$HX$13:$HX$512,"="&amp;SUBSTITUTE(SUBSTITUTE(SUBSTITUTE('Calculations'!HF428,"~","~~"),"*","~*"),"?","~?"),'Calculations'!$HN$13:$HN$512,"="&amp;SUBSTITUTE(SUBSTITUTE(SUBSTITUTE('Dashboard'!$B$7,"~","~~"),"*","~*"),"?","~?"))+COUNTIFS('Calculations'!$HY$13:$HY$512,"="&amp;SUBSTITUTE(SUBSTITUTE(SUBSTITUTE('Calculations'!HF428,"~","~~"),"*","~*"),"?","~?"),'Calculations'!$HN$13:$HN$512,"="&amp;SUBSTITUTE(SUBSTITUTE(SUBSTITUTE('Dashboard'!$B$7,"~","~~"),"*","~*"),"?","~?"))+COUNTIFS('Calculations'!$HZ$13:$HZ$512,"="&amp;SUBSTITUTE(SUBSTITUTE(SUBSTITUTE('Calculations'!HF428,"~","~~"),"*","~*"),"?","~?"),'Calculations'!$HN$13:$HN$512,"="&amp;SUBSTITUTE(SUBSTITUTE(SUBSTITUTE('Dashboard'!$B$7,"~","~~"),"*","~*"),"?","~?"))+COUNTIFS('Calculations'!$IA$13:$IA$512,"="&amp;SUBSTITUTE(SUBSTITUTE(SUBSTITUTE('Calculations'!HF428,"~","~~"),"*","~*"),"?","~?"),'Calculations'!$HN$13:$HN$512,"="&amp;SUBSTITUTE(SUBSTITUTE(SUBSTITUTE('Dashboard'!$B$7,"~","~~"),"*","~*"),"?","~?"))+COUNTIFS('Calculations'!$IB$13:$IB$512,"="&amp;SUBSTITUTE(SUBSTITUTE(SUBSTITUTE('Calculations'!HF428,"~","~~"),"*","~*"),"?","~?"),'Calculations'!$HN$13:$HN$512,"="&amp;SUBSTITUTE(SUBSTITUTE(SUBSTITUTE('Dashboard'!$B$7,"~","~~"),"*","~*"),"?","~?"))+COUNTIFS('Calculations'!$IC$13:$IC$512,"="&amp;SUBSTITUTE(SUBSTITUTE(SUBSTITUTE('Calculations'!HF428,"~","~~"),"*","~*"),"?","~?"),'Calculations'!$HN$13:$HN$512,"="&amp;SUBSTITUTE(SUBSTITUTE(SUBSTITUTE('Dashboard'!$B$7,"~","~~"),"*","~*"),"?","~?"))+COUNTIFS('Calculations'!$ID$13:$ID$512,"="&amp;SUBSTITUTE(SUBSTITUTE(SUBSTITUTE('Calculations'!HF428,"~","~~"),"*","~*"),"?","~?"),'Calculations'!$HN$13:$HN$512,"="&amp;SUBSTITUTE(SUBSTITUTE(SUBSTITUTE('Dashboard'!$B$7,"~","~~"),"*","~*"),"?","~?"))+COUNTIFS('Calculations'!$IE$13:$IE$512,"="&amp;SUBSTITUTE(SUBSTITUTE(SUBSTITUTE('Calculations'!HF428,"~","~~"),"*","~*"),"?","~?"),'Calculations'!$HN$13:$HN$512,"="&amp;SUBSTITUTE(SUBSTITUTE(SUBSTITUTE('Dashboard'!$B$7,"~","~~"),"*","~*"),"?","~?"))+COUNTIFS('Calculations'!$IF$13:$IF$512,"="&amp;SUBSTITUTE(SUBSTITUTE(SUBSTITUTE('Calculations'!HF428,"~","~~"),"*","~*"),"?","~?"),'Calculations'!$HN$13:$HN$512,"="&amp;SUBSTITUTE(SUBSTITUTE(SUBSTITUTE('Dashboard'!$B$7,"~","~~"),"*","~*"),"?","~?"))+COUNTIFS('Calculations'!$IG$13:$IG$512,"="&amp;SUBSTITUTE(SUBSTITUTE(SUBSTITUTE('Calculations'!HF428,"~","~~"),"*","~*"),"?","~?"),'Calculations'!$HN$13:$HN$512,"="&amp;SUBSTITUTE(SUBSTITUTE(SUBSTITUTE('Dashboard'!$B$7,"~","~~"),"*","~*"),"?","~?"))+COUNTIFS('Calculations'!$IH$13:$IH$512,"="&amp;SUBSTITUTE(SUBSTITUTE(SUBSTITUTE('Calculations'!HF428,"~","~~"),"*","~*"),"?","~?"),'Calculations'!$HN$13:$HN$512,"="&amp;SUBSTITUTE(SUBSTITUTE(SUBSTITUTE('Dashboard'!$B$7,"~","~~"),"*","~*"),"?","~?"))))</x:f>
        <x:v>0</x:v>
      </x:c>
      <x:c r="JD428" t="n">
        <x:f>IF('Calculations'!EM428="",0,IF('Dashboard'!$B$7="All",1,IF('Calculations'!HN428='Dashboard'!$B$7,1,0)+IFERROR(INDEX('Calculations'!$JC$13:$JC$512,MATCH('Calculations'!HE428,'Calculations'!$HF$13:$HF$512,0)),0)))</x:f>
        <x:v>0</x:v>
      </x:c>
      <x:c r="JE428" t="n">
        <x:f>IF(AND('Calculations'!EM428&lt;&gt;"",'Calculations'!$JJ$2&lt;&gt;"All",'Calculations'!$JJ$2&lt;&gt;"",'Calculations'!HF428='Calculations'!$JJ$2,'Calculations'!HL428=0,'Calculations'!JD428&gt;0),MAX('Calculations'!$JE$12:JE427)+1,0)</x:f>
        <x:v>0</x:v>
      </x:c>
      <x:c r="JF428" t="str">
        <x:f>IF('Calculations'!EM428="","",IFERROR(IF(INDEX(INDIRECT("'WCM Calibration Final'!$G$1:$G$2000"),'Calculations'!$EM428)="","",TRIM(INDEX(INDIRECT("'WCM Calibration Final'!$G$1:$G$2000"),'Calculations'!$EM428)&amp;"")),""))</x:f>
      </x:c>
      <x:c r="JQ428" t="n">
        <x:f>IF(OR('Calculations'!BM428=0,NOT('Calculations'!$AG$2),'Calculations'!$AG$8&gt;0),0,IF(OR('Dashboard'!$B$7="All",'Calculations'!HN428='Dashboard'!$B$7),IF('Calculations'!$JJ$2="All",1,IF(AND('Calculations'!HF428='Calculations'!$JJ$2,'Calculations'!HL428=0),1,0)),0))</x:f>
        <x:v>0</x:v>
      </x:c>
    </x:row>
    <x:row r="429">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t="n">
        <x:f>IF('Calculations'!$EM429="",0,IF(OR(IFERROR(INDEX(INDIRECT("'WCM Calibration Final'!$A$1:$A$2000"),'Calculations'!$EM429)&lt;&gt;"",FALSE),IFERROR(INDEX(INDIRECT("'WCM Calibration Final'!$B$1:$B$2000"),'Calculations'!$EM429)&lt;&gt;"",FALSE),IFERROR(INDEX(INDIRECT("'WCM Calibration Final'!$C$1:$C$2000"),'Calculations'!$EM429)&lt;&gt;"",FALSE)),1,0))</x:f>
        <x:v>0</x:v>
      </x:c>
      <x:c r="BN429" s="4" t="n">
        <x:f>IF(AND('Calculations'!BM429=1,'Calculations'!$AG$2,'Calculations'!$EN429=1),1,0)</x:f>
        <x:v>0</x:v>
      </x:c>
      <x:c r="BO429" s="4" t="str">
        <x:f>IF('Calculations'!BM429=0,"",IFERROR(IF(AND(VALUE(INDEX(INDIRECT("'WCM Calibration Final'!$K$1:$K$2000"),'Calculations'!$EM429))&gt;=1,VALUE(INDEX(INDIRECT("'WCM Calibration Final'!$K$1:$K$2000"),'Calculations'!$EM429))&lt;=4,MOD(VALUE(INDEX(INDIRECT("'WCM Calibration Final'!$K$1:$K$2000"),'Calculations'!$EM429)),1)=0),VALUE(INDEX(INDIRECT("'WCM Calibration Final'!$K$1:$K$2000"),'Calculations'!$EM429)),""),""))</x:f>
      </x:c>
      <x:c r="BP429" s="4" t="str">
        <x:f>IF('Calculations'!BM429=0,"",IFERROR(IF(AND(VALUE(INDEX(INDIRECT("'WCM Calibration Final'!$L$1:$L$2000"),'Calculations'!$EM429))&gt;=1,VALUE(INDEX(INDIRECT("'WCM Calibration Final'!$L$1:$L$2000"),'Calculations'!$EM429))&lt;=4,MOD(VALUE(INDEX(INDIRECT("'WCM Calibration Final'!$L$1:$L$2000"),'Calculations'!$EM429)),1)=0),VALUE(INDEX(INDIRECT("'WCM Calibration Final'!$L$1:$L$2000"),'Calculations'!$EM429)),""),""))</x:f>
      </x:c>
      <x:c r="BQ429" s="4"/>
      <x:c r="BR429" s="4"/>
      <x:c r="BS429" s="4"/>
      <x:c r="BT429" s="4" t="n">
        <x:f>IF(AND('Calculations'!BM429=1,ISNUMBER('Calculations'!BO429),ISNUMBER('Calculations'!BP429)),1,0)</x:f>
        <x:v>0</x:v>
      </x:c>
      <x:c r="BU429" s="4" t="str">
        <x:f>IF('Calculations'!BM429=0,"",'Calculations'!$EO429)</x:f>
      </x:c>
      <x:c r="BV429" s="4" t="str">
        <x:f>IF('Calculations'!BM429=0,"",IFERROR(IF(OR(INDEX(INDIRECT("'WCM Calibration Final'!$H$1:$H$2000"),'Calculations'!$EM429)="MANAGING DIRECTOR",INDEX(INDIRECT("'WCM Calibration Final'!$H$1:$H$2000"),'Calculations'!$EM429)="DIRECTOR",INDEX(INDIRECT("'WCM Calibration Final'!$H$1:$H$2000"),'Calculations'!$EM429)="SENIOR VICE PRESIDENT",INDEX(INDIRECT("'WCM Calibration Final'!$H$1:$H$2000"),'Calculations'!$EM429)="VICE PRESIDENT",INDEX(INDIRECT("'WCM Calibration Final'!$H$1:$H$2000"),'Calculations'!$EM429)="ASSISTANT VICE PRESIDENT",INDEX(INDIRECT("'WCM Calibration Final'!$H$1:$H$2000"),'Calculations'!$EM429)="OFFICER"),UPPER(INDEX(INDIRECT("'WCM Calibration Final'!$H$1:$H$2000"),'Calculations'!$EM429)),"Other"),"Other"))</x:f>
      </x:c>
      <x:c r="BW429" s="4"/>
      <x:c r="BX429" s="4"/>
      <x:c r="BY429" s="4" t="n">
        <x:f>IF(AND('Calculations'!BM429=1,'Calculations'!BU429&lt;&gt;"",COUNTIF('Calculations'!$BU$12:BU429,'Calculations'!BU429)=1),MAX('Calculations'!$BY$11:BY428)+1,0)</x:f>
        <x:v>0</x:v>
      </x:c>
      <x:c r="BZ429" s="4" t="str">
        <x:f>IF('Dashboard'!$E$67="What",'Calculations'!BO429,'Calculations'!BP429)</x:f>
      </x:c>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t="str">
        <x:f>IF(418&gt;MAX('Calculations'!$HI$13:$HI$512),"",INDEX('Calculations'!$HN$13:$HN$512,MATCH(418,'Calculations'!$HI$13:$HI$512,0)))</x:f>
      </x:c>
      <x:c r="DB429" s="4" t="str">
        <x:f>IF(418&gt;MAX('Calculations'!$HH$13:$HH$512),"",INDEX('Calculations'!$HJ$13:$HJ$512,MATCH(418,'Calculations'!$HH$13:$HH$512,0)))</x:f>
      </x:c>
      <x:c r="DC429" s="4" t="str">
        <x:f>IF(ROW()-11&gt;MAX('Calculations'!$BY$13:$BY$512),"",INDEX('Calculations'!$BU$13:$BU$512,MATCH(ROW()-11,'Calculations'!$BY$13:$BY$512,0)))</x:f>
      </x:c>
      <x:c r="DD429" s="4" t="str">
        <x:f>IF(418&gt;MAX('Calculations'!$IK$13:$IK$512),"",INDEX('Calculations'!$HK$13:$HK$512,MATCH(418,'Calculations'!$IK$13:$IK$512,0)))</x:f>
      </x:c>
      <x:c r="DE429" s="4" t="str">
        <x:f>'Calculations'!DC429</x:f>
      </x:c>
      <x:c r="DF429" s="4" t="str">
        <x:f>IF('Calculations'!DE429="","",COUNTIFS('Calculations'!$BN$13:$BN$512,1,'Calculations'!$BU$13:$BU$512,'Calculations'!DE429))</x:f>
      </x:c>
      <x:c r="DG429" s="4" t="str">
        <x:f>IF('Calculations'!DE429="","",COUNTIFS('Calculations'!$BN$13:$BN$512,1,'Calculations'!$BU$13:$BU$512,'Calculations'!DE429,'Calculations'!$BT$13:$BT$512,1))</x:f>
      </x:c>
      <x:c r="DH429" s="4" t="str">
        <x:f>IF('Calculations'!DE429="","",'Calculations'!DF429-'Calculations'!DG429)</x:f>
      </x:c>
      <x:c r="DI429" s="4" t="str">
        <x:f>IF(OR('Calculations'!DE429="",'Calculations'!DF429=0),"",'Calculations'!DG429/'Calculations'!DF429)</x:f>
      </x:c>
      <x:c r="DJ429" s="4" t="str">
        <x:f>IF('Calculations'!DE429="","",COUNTIFS('Calculations'!$BN$13:$BN$512,1,'Calculations'!$BU$13:$BU$512,'Calculations'!DE429,'Calculations'!$BT$13:$BT$512,1,'Calculations'!$EE$13:$EE$512,"High"))</x:f>
      </x:c>
      <x:c r="DK429" s="4" t="str">
        <x:f>IF('Calculations'!DE429="","",COUNTIFS('Calculations'!$BN$13:$BN$512,1,'Calculations'!$BU$13:$BU$512,'Calculations'!DE429,'Calculations'!$BT$13:$BT$512,1,'Calculations'!$EE$13:$EE$512,"Strong"))</x:f>
      </x:c>
      <x:c r="DL429" s="4" t="str">
        <x:f>IF('Calculations'!DE429="","",COUNTIFS('Calculations'!$BN$13:$BN$512,1,'Calculations'!$BU$13:$BU$512,'Calculations'!DE429,'Calculations'!$BT$13:$BT$512,1,'Calculations'!$EE$13:$EE$512,"Solid"))</x:f>
      </x:c>
      <x:c r="DM429" s="4" t="str">
        <x:f>IF('Calculations'!DE429="","",COUNTIFS('Calculations'!$BN$13:$BN$512,1,'Calculations'!$BU$13:$BU$512,'Calculations'!DE429,'Calculations'!$BT$13:$BT$512,1,'Calculations'!$EE$13:$EE$512,"Low"))</x:f>
      </x:c>
      <x:c r="DN429" s="4" t="str">
        <x:f>IF('Calculations'!DE429="","",COUNTIFS('Calculations'!$BN$13:$BN$512,1,'Calculations'!$BU$13:$BU$512,'Calculations'!DE429,'Calculations'!$EP$13:$EP$512,1))</x:f>
      </x:c>
      <x:c r="DO429" s="4" t="str">
        <x:f>IF(OR('Calculations'!DE429="",'Calculations'!DG429=0),"",('Calculations'!DJ429+'Calculations'!DK429)/'Calculations'!DG429)</x:f>
      </x:c>
      <x:c r="DP429" s="4" t="n">
        <x:f>IF(AND('Calculations'!DE429&lt;&gt;"",'Calculations'!DF429&gt;0),COUNTIF('Calculations'!$DF$12:DF429,"&gt;0"),0)</x:f>
        <x:v>0</x:v>
      </x:c>
      <x:c r="DQ429" s="4" t="str">
        <x:f>IF(418&gt;MAX('Calculations'!$HH$13:$HH$512),"",INDEX('Calculations'!$HF$13:$HF$512,MATCH(418,'Calculations'!$HH$13:$HH$512,0)))</x:f>
      </x:c>
      <x:c r="DR429" s="4" t="str">
        <x:f>IF(418&gt;MAX('Calculations'!$IK$13:$IK$512),"",INDEX('Calculations'!$HE$13:$HE$512,MATCH(418,'Calculations'!$IK$13:$IK$512,0)))</x:f>
      </x:c>
      <x:c r="DS429" s="4"/>
      <x:c r="DT429" s="4"/>
      <x:c r="DU429" s="4"/>
      <x:c r="DV429" s="4"/>
      <x:c r="DW429" s="4"/>
      <x:c r="DX429" s="4"/>
      <x:c r="DY429" s="4"/>
      <x:c r="DZ429" s="4"/>
      <x:c r="EA429" s="4"/>
      <x:c r="EB429" s="4"/>
      <x:c r="EC429" s="4"/>
      <x:c r="ED429" s="4"/>
      <x:c r="EE429" s="4" t="str">
        <x:f>IF('Calculations'!BT429=0,"Not Rated",IF(OR('Calculations'!BO429&gt;=4,'Calculations'!BP429&gt;=4),"Low",IF('Calculations'!BO429+'Calculations'!BP429&lt;=3,"High",IF('Calculations'!BO429+'Calculations'!BP429&lt;=4,"Strong","Solid"))))</x:f>
        <x:v>Not Rated</x:v>
      </x:c>
      <x:c r="EF429" s="4"/>
      <x:c r="EG429" s="4"/>
      <x:c r="EH429" s="4"/>
      <x:c r="EI429" s="4"/>
      <x:c r="EJ429" s="4"/>
      <x:c r="EK429" s="4"/>
      <x:c r="EL429" s="4"/>
      <x:c r="EM429" s="4" t="str">
        <x:f>IF(417&gt;'Calculations'!$JB$2000,"",INDEX('Calculations'!$JA$12:$JA$2000,MATCH(417,'Calculations'!$JB$12:$JB$2000,0)))</x:f>
      </x:c>
      <x:c r="EN429" s="4" t="n">
        <x:f>IF(OR('Calculations'!EM429="",'Calculations'!$AG$8&gt;0,AND('Calculations'!$EF$2&lt;&gt;"All",'Calculations'!HE429='Calculations'!$EF$2),AND('Calculations'!$EF$3&lt;&gt;"All",'Calculations'!HE429='Calculations'!$EF$3)),0,IF(OR('Dashboard'!$B$7="All",'Calculations'!HN429='Dashboard'!$B$7),IF('Calculations'!$EF$2="All",1,IF('Calculations'!HL429&gt;0,0,IF(COUNTIF('Calculations'!HO429:II429,"="&amp;SUBSTITUTE(SUBSTITUTE(SUBSTITUTE('Calculations'!$EF$2,"~","~~"),"*","~*"),"?","~?"))=0,0,IF('Calculations'!$EF$3="All",1,IF(COUNTIF('Calculations'!HO429:II429,"="&amp;SUBSTITUTE(SUBSTITUTE(SUBSTITUTE('Calculations'!$EF$3,"~","~~"),"*","~*"),"?","~?"))&gt;0,1,0))))),0))</x:f>
        <x:v>0</x:v>
      </x:c>
      <x:c r="EO429" s="4" t="str">
        <x:f>IF('Calculations'!IJ429="","",IF('Calculations'!IJ429="!UNRESOLVED","Unresolved hierarchy",IFERROR(INDEX('Calculations'!$HK$13:$HK$512,MATCH('Calculations'!IJ429,'Calculations'!$HE$13:$HE$512,0)),IFERROR(INDEX('Calculations'!$HJ$13:$HJ$512,MATCH('Calculations'!IJ429,'Calculations'!$HF$13:$HF$512,0)),'Calculations'!IJ429))))</x:f>
      </x:c>
      <x:c r="EP429" s="4" t="n">
        <x:f>IF(AND('Calculations'!EM429&lt;&gt;"",'Calculations'!HF429='Calculations'!IJ429),1,0)</x:f>
        <x:v>0</x:v>
      </x:c>
      <x:c r="EQ429" s="4"/>
      <x:c r="ER429" s="4"/>
      <x:c r="ES429" s="4"/>
      <x:c r="ET429" s="4"/>
      <x:c r="EU429" s="4"/>
      <x:c r="EV429" s="4"/>
      <x:c r="EW429" s="4"/>
      <x:c r="EX429" s="4"/>
      <x:c r="EY429" s="4"/>
      <x:c r="EZ429" s="4"/>
      <x:c r="FA429" s="4"/>
      <x:c r="FB429" s="4"/>
      <x:c r="FC429" s="4"/>
      <x:c r="FD429" s="4"/>
      <x:c r="FE429" s="4"/>
      <x:c r="FF429" s="4"/>
      <x:c r="FG429" s="4"/>
      <x:c r="FH429" s="4"/>
      <x:c r="FI429" s="4"/>
      <x:c r="FJ429" s="4"/>
      <x:c r="FK429" s="4"/>
      <x:c r="FL429" s="4"/>
      <x:c r="FM429" s="4"/>
      <x:c r="FN429" s="4"/>
      <x:c r="FO429" s="4"/>
      <x:c r="HE429" t="str">
        <x:f>IF('Calculations'!EM429="","",IF(IFERROR(IF(INDEX(INDIRECT("'WCM Calibration Final'!$A$1:$A$2000"),'Calculations'!$EM429)="","",TRIM(INDEX(INDIRECT("'WCM Calibration Final'!$A$1:$A$2000"),'Calculations'!$EM429)&amp;"")),"")&lt;&gt;"","G:"&amp;IFERROR(TEXT(1*INDEX(INDIRECT("'WCM Calibration Final'!$A$1:$A$2000"),'Calculations'!$EM429),"0"),UPPER(IFERROR(IF(INDEX(INDIRECT("'WCM Calibration Final'!$A$1:$A$2000"),'Calculations'!$EM429)="","",TRIM(INDEX(INDIRECT("'WCM Calibration Final'!$A$1:$A$2000"),'Calculations'!$EM429)&amp;"")),""))),IF(IFERROR(IF(INDEX(INDIRECT("'WCM Calibration Final'!$C$1:$C$2000"),'Calculations'!$EM429)="","",TRIM(INDEX(INDIRECT("'WCM Calibration Final'!$C$1:$C$2000"),'Calculations'!$EM429)&amp;"")),"")&lt;&gt;"","S:"&amp;UPPER(IFERROR(IF(INDEX(INDIRECT("'WCM Calibration Final'!$C$1:$C$2000"),'Calculations'!$EM429)="","",TRIM(INDEX(INDIRECT("'WCM Calibration Final'!$C$1:$C$2000"),'Calculations'!$EM429)&amp;"")),"")),"R:"&amp;'Calculations'!EM429)))</x:f>
      </x:c>
      <x:c r="HF429" t="str">
        <x:f>IF('Calculations'!EM429="","",IF(IFERROR(IF(INDEX(INDIRECT("'WCM Calibration Final'!$D$1:$D$2000"),'Calculations'!$EM429)="","",TRIM(INDEX(INDIRECT("'WCM Calibration Final'!$D$1:$D$2000"),'Calculations'!$EM429)&amp;"")),"")&lt;&gt;"","G:"&amp;IFERROR(TEXT(1*INDEX(INDIRECT("'WCM Calibration Final'!$D$1:$D$2000"),'Calculations'!$EM429),"0"),UPPER(IFERROR(IF(INDEX(INDIRECT("'WCM Calibration Final'!$D$1:$D$2000"),'Calculations'!$EM429)="","",TRIM(INDEX(INDIRECT("'WCM Calibration Final'!$D$1:$D$2000"),'Calculations'!$EM429)&amp;"")),""))),IF(IFERROR(IF(INDEX(INDIRECT("'WCM Calibration Final'!$E$1:$E$2000"),'Calculations'!$EM429)="","",TRIM(INDEX(INDIRECT("'WCM Calibration Final'!$E$1:$E$2000"),'Calculations'!$EM429)&amp;"")),"")="","",IF(COUNTIF('Calculations'!$HG$13:$HG$512,"="&amp;SUBSTITUTE(SUBSTITUTE(SUBSTITUTE(IFERROR(IF(INDEX(INDIRECT("'WCM Calibration Final'!$E$1:$E$2000"),'Calculations'!$EM429)="","",TRIM(INDEX(INDIRECT("'WCM Calibration Final'!$E$1:$E$2000"),'Calculations'!$EM429)&amp;"")),""),"~","~~"),"*","~*"),"?","~?"))=1,INDEX('Calculations'!$HE$13:$HE$512,MATCH(IFERROR(IF(INDEX(INDIRECT("'WCM Calibration Final'!$E$1:$E$2000"),'Calculations'!$EM429)="","",TRIM(INDEX(INDIRECT("'WCM Calibration Final'!$E$1:$E$2000"),'Calculations'!$EM429)&amp;"")),""),'Calculations'!$HG$13:$HG$512,0)),IF(COUNTIF('Calculations'!$HG$13:$HG$512,"="&amp;SUBSTITUTE(SUBSTITUTE(SUBSTITUTE(IFERROR(IF(INDEX(INDIRECT("'WCM Calibration Final'!$E$1:$E$2000"),'Calculations'!$EM429)="","",TRIM(INDEX(INDIRECT("'WCM Calibration Final'!$E$1:$E$2000"),'Calculations'!$EM429)&amp;"")),""),"~","~~"),"*","~*"),"?","~?"))&gt;1,"!AMBIG","X:"&amp;IFERROR(IF(INDEX(INDIRECT("'WCM Calibration Final'!$E$1:$E$2000"),'Calculations'!$EM429)="","",TRIM(INDEX(INDIRECT("'WCM Calibration Final'!$E$1:$E$2000"),'Calculations'!$EM429)&amp;"")),""))))))</x:f>
      </x:c>
      <x:c r="HG429" t="str">
        <x:f>IF('Calculations'!EM429="","",IFERROR(IF(INDEX(INDIRECT("'WCM Calibration Final'!$B$1:$B$2000"),'Calculations'!$EM429)="","",TRIM(INDEX(INDIRECT("'WCM Calibration Final'!$B$1:$B$2000"),'Calculations'!$EM429)&amp;"")),""))</x:f>
      </x:c>
      <x:c r="HH429" t="n">
        <x:f>IF(AND('Calculations'!JC429&gt;0,COUNTIF('Calculations'!$HF$12:HF429,"="&amp;SUBSTITUTE(SUBSTITUTE(SUBSTITUTE('Calculations'!HF429,"~","~~"),"*","~*"),"?","~?"))=1),MAX('Calculations'!$HH$12:HH428)+1,0)</x:f>
        <x:v>0</x:v>
      </x:c>
      <x:c r="HI429" t="n">
        <x:f>IF(AND('Calculations'!HN429&lt;&gt;"",COUNTIF('Calculations'!$HN$12:HN429,"="&amp;SUBSTITUTE(SUBSTITUTE(SUBSTITUTE('Calculations'!HN429,"~","~~"),"*","~*"),"?","~?"))=1),MAX('Calculations'!$HI$12:HI428)+1,0)</x:f>
        <x:v>0</x:v>
      </x:c>
      <x:c r="HJ429" t="str">
        <x:f>IF('Calculations'!HF429="","",IF(COUNTIF('Calculations'!$HE$13:$HE$512,"="&amp;SUBSTITUTE(SUBSTITUTE(SUBSTITUTE('Calculations'!HF429,"~","~~"),"*","~*"),"?","~?"))=1,INDEX('Calculations'!$HK$13:$HK$512,MATCH('Calculations'!HF429,'Calculations'!$HE$13:$HE$512,0)),IFERROR(IF(INDEX(INDIRECT("'WCM Calibration Final'!$E$1:$E$2000"),'Calculations'!$EM429)="","",TRIM(INDEX(INDIRECT("'WCM Calibration Final'!$E$1:$E$2000"),'Calculations'!$EM429)&amp;"")),"")&amp;" ["&amp;'Calculations'!HF429&amp;"]"))</x:f>
      </x:c>
      <x:c r="HK429" t="str">
        <x:f>IF('Calculations'!EM429="","",'Calculations'!HG429&amp;" ["&amp;'Calculations'!HE429&amp;"]")</x:f>
      </x:c>
      <x:c r="HL429" t="n">
        <x:f>IF('Calculations'!EM429="",0,IF(OR('Calculations'!II429&lt;&gt;"",COUNTIF('Calculations'!$HE$13:$HE$512,"="&amp;SUBSTITUTE(SUBSTITUTE(SUBSTITUTE('Calculations'!HE429,"~","~~"),"*","~*"),"?","~?"))&gt;1),1,0))</x:f>
        <x:v>0</x:v>
      </x:c>
      <x:c r="HM429" t="str">
        <x:f>IF('Calculations'!EM429="","",IF('Calculations'!HL429=1,"!UNRESOLVED",IF('Calculations'!IH429&lt;&gt;"",'Calculations'!IH429,IF('Calculations'!IG429&lt;&gt;"",'Calculations'!IG429,IF('Calculations'!IF429&lt;&gt;"",'Calculations'!IF429,IF('Calculations'!IE429&lt;&gt;"",'Calculations'!IE429,IF('Calculations'!ID429&lt;&gt;"",'Calculations'!ID429,IF('Calculations'!IC429&lt;&gt;"",'Calculations'!IC429,IF('Calculations'!IB429&lt;&gt;"",'Calculations'!IB429,IF('Calculations'!IA429&lt;&gt;"",'Calculations'!IA429,IF('Calculations'!HZ429&lt;&gt;"",'Calculations'!HZ429,IF('Calculations'!HY429&lt;&gt;"",'Calculations'!HY429,IF('Calculations'!HX429&lt;&gt;"",'Calculations'!HX429,IF('Calculations'!HW429&lt;&gt;"",'Calculations'!HW429,IF('Calculations'!HV429&lt;&gt;"",'Calculations'!HV429,IF('Calculations'!HU429&lt;&gt;"",'Calculations'!HU429,IF('Calculations'!HT429&lt;&gt;"",'Calculations'!HT429,IF('Calculations'!HS429&lt;&gt;"",'Calculations'!HS429,IF('Calculations'!HR429&lt;&gt;"",'Calculations'!HR429,IF('Calculations'!HQ429&lt;&gt;"",'Calculations'!HQ429,IF('Calculations'!HP429&lt;&gt;"",'Calculations'!HP429,IF('Calculations'!HO429&lt;&gt;"",'Calculations'!HO429,'Calculations'!HE429))))))))))))))))))))))</x:f>
      </x:c>
      <x:c r="HN429" t="str">
        <x:f>IF('Calculations'!EM429="","",IF(IFERROR(IF(INDEX(INDIRECT("'WCM Calibration Final'!$F$1:$F$2000"),'Calculations'!$EM429)="","",TRIM(INDEX(INDIRECT("'WCM Calibration Final'!$F$1:$F$2000"),'Calculations'!$EM429)&amp;"")),"")="","(Blank)",IFERROR(IF(INDEX(INDIRECT("'WCM Calibration Final'!$F$1:$F$2000"),'Calculations'!$EM429)="","",TRIM(INDEX(INDIRECT("'WCM Calibration Final'!$F$1:$F$2000"),'Calculations'!$EM429)&amp;"")),"")))</x:f>
      </x:c>
      <x:c r="HO429" t="str">
        <x:f>'Calculations'!HF429</x:f>
      </x:c>
      <x:c r="HP429" t="str">
        <x:f>IF('Calculations'!HO429="","",IF('Calculations'!HO429="!AMBIG","!AMBIG",IF(COUNTIF('Calculations'!$HE$13:$HE$512,"="&amp;SUBSTITUTE(SUBSTITUTE(SUBSTITUTE('Calculations'!HO429,"~","~~"),"*","~*"),"?","~?"))&gt;1,"!AMBIG",IFERROR(INDEX('Calculations'!$HF$13:$HF$512,MATCH('Calculations'!HO429,'Calculations'!$HE$13:$HE$512,0)),""))))</x:f>
      </x:c>
      <x:c r="HQ429" t="str">
        <x:f>IF('Calculations'!HP429="","",IF('Calculations'!HP429="!AMBIG","!AMBIG",IF(COUNTIF('Calculations'!$HE$13:$HE$512,"="&amp;SUBSTITUTE(SUBSTITUTE(SUBSTITUTE('Calculations'!HP429,"~","~~"),"*","~*"),"?","~?"))&gt;1,"!AMBIG",IFERROR(INDEX('Calculations'!$HF$13:$HF$512,MATCH('Calculations'!HP429,'Calculations'!$HE$13:$HE$512,0)),""))))</x:f>
      </x:c>
      <x:c r="HR429" t="str">
        <x:f>IF('Calculations'!HQ429="","",IF('Calculations'!HQ429="!AMBIG","!AMBIG",IF(COUNTIF('Calculations'!$HE$13:$HE$512,"="&amp;SUBSTITUTE(SUBSTITUTE(SUBSTITUTE('Calculations'!HQ429,"~","~~"),"*","~*"),"?","~?"))&gt;1,"!AMBIG",IFERROR(INDEX('Calculations'!$HF$13:$HF$512,MATCH('Calculations'!HQ429,'Calculations'!$HE$13:$HE$512,0)),""))))</x:f>
      </x:c>
      <x:c r="HS429" t="str">
        <x:f>IF('Calculations'!HR429="","",IF('Calculations'!HR429="!AMBIG","!AMBIG",IF(COUNTIF('Calculations'!$HE$13:$HE$512,"="&amp;SUBSTITUTE(SUBSTITUTE(SUBSTITUTE('Calculations'!HR429,"~","~~"),"*","~*"),"?","~?"))&gt;1,"!AMBIG",IFERROR(INDEX('Calculations'!$HF$13:$HF$512,MATCH('Calculations'!HR429,'Calculations'!$HE$13:$HE$512,0)),""))))</x:f>
      </x:c>
      <x:c r="HT429" t="str">
        <x:f>IF('Calculations'!HS429="","",IF('Calculations'!HS429="!AMBIG","!AMBIG",IF(COUNTIF('Calculations'!$HE$13:$HE$512,"="&amp;SUBSTITUTE(SUBSTITUTE(SUBSTITUTE('Calculations'!HS429,"~","~~"),"*","~*"),"?","~?"))&gt;1,"!AMBIG",IFERROR(INDEX('Calculations'!$HF$13:$HF$512,MATCH('Calculations'!HS429,'Calculations'!$HE$13:$HE$512,0)),""))))</x:f>
      </x:c>
      <x:c r="HU429" t="str">
        <x:f>IF('Calculations'!HT429="","",IF('Calculations'!HT429="!AMBIG","!AMBIG",IF(COUNTIF('Calculations'!$HE$13:$HE$512,"="&amp;SUBSTITUTE(SUBSTITUTE(SUBSTITUTE('Calculations'!HT429,"~","~~"),"*","~*"),"?","~?"))&gt;1,"!AMBIG",IFERROR(INDEX('Calculations'!$HF$13:$HF$512,MATCH('Calculations'!HT429,'Calculations'!$HE$13:$HE$512,0)),""))))</x:f>
      </x:c>
      <x:c r="HV429" t="str">
        <x:f>IF('Calculations'!HU429="","",IF('Calculations'!HU429="!AMBIG","!AMBIG",IF(COUNTIF('Calculations'!$HE$13:$HE$512,"="&amp;SUBSTITUTE(SUBSTITUTE(SUBSTITUTE('Calculations'!HU429,"~","~~"),"*","~*"),"?","~?"))&gt;1,"!AMBIG",IFERROR(INDEX('Calculations'!$HF$13:$HF$512,MATCH('Calculations'!HU429,'Calculations'!$HE$13:$HE$512,0)),""))))</x:f>
      </x:c>
      <x:c r="HW429" t="str">
        <x:f>IF('Calculations'!HV429="","",IF('Calculations'!HV429="!AMBIG","!AMBIG",IF(COUNTIF('Calculations'!$HE$13:$HE$512,"="&amp;SUBSTITUTE(SUBSTITUTE(SUBSTITUTE('Calculations'!HV429,"~","~~"),"*","~*"),"?","~?"))&gt;1,"!AMBIG",IFERROR(INDEX('Calculations'!$HF$13:$HF$512,MATCH('Calculations'!HV429,'Calculations'!$HE$13:$HE$512,0)),""))))</x:f>
      </x:c>
      <x:c r="HX429" t="str">
        <x:f>IF('Calculations'!HW429="","",IF('Calculations'!HW429="!AMBIG","!AMBIG",IF(COUNTIF('Calculations'!$HE$13:$HE$512,"="&amp;SUBSTITUTE(SUBSTITUTE(SUBSTITUTE('Calculations'!HW429,"~","~~"),"*","~*"),"?","~?"))&gt;1,"!AMBIG",IFERROR(INDEX('Calculations'!$HF$13:$HF$512,MATCH('Calculations'!HW429,'Calculations'!$HE$13:$HE$512,0)),""))))</x:f>
      </x:c>
      <x:c r="HY429" t="str">
        <x:f>IF('Calculations'!HX429="","",IF('Calculations'!HX429="!AMBIG","!AMBIG",IF(COUNTIF('Calculations'!$HE$13:$HE$512,"="&amp;SUBSTITUTE(SUBSTITUTE(SUBSTITUTE('Calculations'!HX429,"~","~~"),"*","~*"),"?","~?"))&gt;1,"!AMBIG",IFERROR(INDEX('Calculations'!$HF$13:$HF$512,MATCH('Calculations'!HX429,'Calculations'!$HE$13:$HE$512,0)),""))))</x:f>
      </x:c>
      <x:c r="HZ429" t="str">
        <x:f>IF('Calculations'!HY429="","",IF('Calculations'!HY429="!AMBIG","!AMBIG",IF(COUNTIF('Calculations'!$HE$13:$HE$512,"="&amp;SUBSTITUTE(SUBSTITUTE(SUBSTITUTE('Calculations'!HY429,"~","~~"),"*","~*"),"?","~?"))&gt;1,"!AMBIG",IFERROR(INDEX('Calculations'!$HF$13:$HF$512,MATCH('Calculations'!HY429,'Calculations'!$HE$13:$HE$512,0)),""))))</x:f>
      </x:c>
      <x:c r="IA429" t="str">
        <x:f>IF('Calculations'!HZ429="","",IF('Calculations'!HZ429="!AMBIG","!AMBIG",IF(COUNTIF('Calculations'!$HE$13:$HE$512,"="&amp;SUBSTITUTE(SUBSTITUTE(SUBSTITUTE('Calculations'!HZ429,"~","~~"),"*","~*"),"?","~?"))&gt;1,"!AMBIG",IFERROR(INDEX('Calculations'!$HF$13:$HF$512,MATCH('Calculations'!HZ429,'Calculations'!$HE$13:$HE$512,0)),""))))</x:f>
      </x:c>
      <x:c r="IB429" t="str">
        <x:f>IF('Calculations'!IA429="","",IF('Calculations'!IA429="!AMBIG","!AMBIG",IF(COUNTIF('Calculations'!$HE$13:$HE$512,"="&amp;SUBSTITUTE(SUBSTITUTE(SUBSTITUTE('Calculations'!IA429,"~","~~"),"*","~*"),"?","~?"))&gt;1,"!AMBIG",IFERROR(INDEX('Calculations'!$HF$13:$HF$512,MATCH('Calculations'!IA429,'Calculations'!$HE$13:$HE$512,0)),""))))</x:f>
      </x:c>
      <x:c r="IC429" t="str">
        <x:f>IF('Calculations'!IB429="","",IF('Calculations'!IB429="!AMBIG","!AMBIG",IF(COUNTIF('Calculations'!$HE$13:$HE$512,"="&amp;SUBSTITUTE(SUBSTITUTE(SUBSTITUTE('Calculations'!IB429,"~","~~"),"*","~*"),"?","~?"))&gt;1,"!AMBIG",IFERROR(INDEX('Calculations'!$HF$13:$HF$512,MATCH('Calculations'!IB429,'Calculations'!$HE$13:$HE$512,0)),""))))</x:f>
      </x:c>
      <x:c r="ID429" t="str">
        <x:f>IF('Calculations'!IC429="","",IF('Calculations'!IC429="!AMBIG","!AMBIG",IF(COUNTIF('Calculations'!$HE$13:$HE$512,"="&amp;SUBSTITUTE(SUBSTITUTE(SUBSTITUTE('Calculations'!IC429,"~","~~"),"*","~*"),"?","~?"))&gt;1,"!AMBIG",IFERROR(INDEX('Calculations'!$HF$13:$HF$512,MATCH('Calculations'!IC429,'Calculations'!$HE$13:$HE$512,0)),""))))</x:f>
      </x:c>
      <x:c r="IE429" t="str">
        <x:f>IF('Calculations'!ID429="","",IF('Calculations'!ID429="!AMBIG","!AMBIG",IF(COUNTIF('Calculations'!$HE$13:$HE$512,"="&amp;SUBSTITUTE(SUBSTITUTE(SUBSTITUTE('Calculations'!ID429,"~","~~"),"*","~*"),"?","~?"))&gt;1,"!AMBIG",IFERROR(INDEX('Calculations'!$HF$13:$HF$512,MATCH('Calculations'!ID429,'Calculations'!$HE$13:$HE$512,0)),""))))</x:f>
      </x:c>
      <x:c r="IF429" t="str">
        <x:f>IF('Calculations'!IE429="","",IF('Calculations'!IE429="!AMBIG","!AMBIG",IF(COUNTIF('Calculations'!$HE$13:$HE$512,"="&amp;SUBSTITUTE(SUBSTITUTE(SUBSTITUTE('Calculations'!IE429,"~","~~"),"*","~*"),"?","~?"))&gt;1,"!AMBIG",IFERROR(INDEX('Calculations'!$HF$13:$HF$512,MATCH('Calculations'!IE429,'Calculations'!$HE$13:$HE$512,0)),""))))</x:f>
      </x:c>
      <x:c r="IG429" t="str">
        <x:f>IF('Calculations'!IF429="","",IF('Calculations'!IF429="!AMBIG","!AMBIG",IF(COUNTIF('Calculations'!$HE$13:$HE$512,"="&amp;SUBSTITUTE(SUBSTITUTE(SUBSTITUTE('Calculations'!IF429,"~","~~"),"*","~*"),"?","~?"))&gt;1,"!AMBIG",IFERROR(INDEX('Calculations'!$HF$13:$HF$512,MATCH('Calculations'!IF429,'Calculations'!$HE$13:$HE$512,0)),""))))</x:f>
      </x:c>
      <x:c r="IH429" t="str">
        <x:f>IF('Calculations'!IG429="","",IF('Calculations'!IG429="!AMBIG","!AMBIG",IF(COUNTIF('Calculations'!$HE$13:$HE$512,"="&amp;SUBSTITUTE(SUBSTITUTE(SUBSTITUTE('Calculations'!IG429,"~","~~"),"*","~*"),"?","~?"))&gt;1,"!AMBIG",IFERROR(INDEX('Calculations'!$HF$13:$HF$512,MATCH('Calculations'!IG429,'Calculations'!$HE$13:$HE$512,0)),""))))</x:f>
      </x:c>
      <x:c r="II429" t="str">
        <x:f>IF('Calculations'!IH429="","",IF('Calculations'!IH429="!AMBIG","!AMBIG",IF(COUNTIF('Calculations'!$HE$13:$HE$512,"="&amp;SUBSTITUTE(SUBSTITUTE(SUBSTITUTE('Calculations'!IH429,"~","~~"),"*","~*"),"?","~?"))&gt;1,"!AMBIG",IFERROR(INDEX('Calculations'!$HF$13:$HF$512,MATCH('Calculations'!IH429,'Calculations'!$HE$13:$HE$512,0)),""))))</x:f>
      </x:c>
      <x:c r="IJ429" t="str">
        <x:f>IF('Calculations'!EM429="","",IF('Calculations'!$EF$2="All",'Calculations'!HM429,IF('Calculations'!HL429=1,"",IFERROR(IF(MATCH('Calculations'!$EF$2,'Calculations'!HO429:II429,0)=1,'Calculations'!HE429,INDEX('Calculations'!HO429:II429,1,MATCH('Calculations'!$EF$2,'Calculations'!HO429:II429,0)-1)),""))))</x:f>
      </x:c>
      <x:c r="IK429" t="n">
        <x:f>IF(AND('Calculations'!EM429&lt;&gt;"",'Calculations'!$EF$2&lt;&gt;"All",'Calculations'!HF429='Calculations'!$EF$2,'Calculations'!HL429=0,'Calculations'!JD429&gt;0),MAX('Calculations'!$IK$12:IK428)+1,0)</x:f>
        <x:v>0</x:v>
      </x:c>
      <x:c r="JA429" t="n">
        <x:f>IF(OR(IFERROR(INDIRECT("'WCM Calibration Final'!$A$429")&lt;&gt;"",FALSE),IFERROR(INDIRECT("'WCM Calibration Final'!$B$429")&lt;&gt;"",FALSE),IFERROR(INDIRECT("'WCM Calibration Final'!$C$429")&lt;&gt;"",FALSE)),429,0)</x:f>
        <x:v>0</x:v>
      </x:c>
      <x:c r="JB429" t="n">
        <x:f>'Calculations'!JB428+IF('Calculations'!JA429&gt;0,1,0)</x:f>
        <x:v>0</x:v>
      </x:c>
      <x:c r="JC429" t="n">
        <x:f>IF(OR('Calculations'!HF429="",'Calculations'!HF429="!AMBIG"),0,IF('Dashboard'!$B$7="All",1,COUNTIFS('Calculations'!$HO$13:$HO$512,"="&amp;SUBSTITUTE(SUBSTITUTE(SUBSTITUTE('Calculations'!HF429,"~","~~"),"*","~*"),"?","~?"),'Calculations'!$HN$13:$HN$512,"="&amp;SUBSTITUTE(SUBSTITUTE(SUBSTITUTE('Dashboard'!$B$7,"~","~~"),"*","~*"),"?","~?"))+COUNTIFS('Calculations'!$HP$13:$HP$512,"="&amp;SUBSTITUTE(SUBSTITUTE(SUBSTITUTE('Calculations'!HF429,"~","~~"),"*","~*"),"?","~?"),'Calculations'!$HN$13:$HN$512,"="&amp;SUBSTITUTE(SUBSTITUTE(SUBSTITUTE('Dashboard'!$B$7,"~","~~"),"*","~*"),"?","~?"))+COUNTIFS('Calculations'!$HQ$13:$HQ$512,"="&amp;SUBSTITUTE(SUBSTITUTE(SUBSTITUTE('Calculations'!HF429,"~","~~"),"*","~*"),"?","~?"),'Calculations'!$HN$13:$HN$512,"="&amp;SUBSTITUTE(SUBSTITUTE(SUBSTITUTE('Dashboard'!$B$7,"~","~~"),"*","~*"),"?","~?"))+COUNTIFS('Calculations'!$HR$13:$HR$512,"="&amp;SUBSTITUTE(SUBSTITUTE(SUBSTITUTE('Calculations'!HF429,"~","~~"),"*","~*"),"?","~?"),'Calculations'!$HN$13:$HN$512,"="&amp;SUBSTITUTE(SUBSTITUTE(SUBSTITUTE('Dashboard'!$B$7,"~","~~"),"*","~*"),"?","~?"))+COUNTIFS('Calculations'!$HS$13:$HS$512,"="&amp;SUBSTITUTE(SUBSTITUTE(SUBSTITUTE('Calculations'!HF429,"~","~~"),"*","~*"),"?","~?"),'Calculations'!$HN$13:$HN$512,"="&amp;SUBSTITUTE(SUBSTITUTE(SUBSTITUTE('Dashboard'!$B$7,"~","~~"),"*","~*"),"?","~?"))+COUNTIFS('Calculations'!$HT$13:$HT$512,"="&amp;SUBSTITUTE(SUBSTITUTE(SUBSTITUTE('Calculations'!HF429,"~","~~"),"*","~*"),"?","~?"),'Calculations'!$HN$13:$HN$512,"="&amp;SUBSTITUTE(SUBSTITUTE(SUBSTITUTE('Dashboard'!$B$7,"~","~~"),"*","~*"),"?","~?"))+COUNTIFS('Calculations'!$HU$13:$HU$512,"="&amp;SUBSTITUTE(SUBSTITUTE(SUBSTITUTE('Calculations'!HF429,"~","~~"),"*","~*"),"?","~?"),'Calculations'!$HN$13:$HN$512,"="&amp;SUBSTITUTE(SUBSTITUTE(SUBSTITUTE('Dashboard'!$B$7,"~","~~"),"*","~*"),"?","~?"))+COUNTIFS('Calculations'!$HV$13:$HV$512,"="&amp;SUBSTITUTE(SUBSTITUTE(SUBSTITUTE('Calculations'!HF429,"~","~~"),"*","~*"),"?","~?"),'Calculations'!$HN$13:$HN$512,"="&amp;SUBSTITUTE(SUBSTITUTE(SUBSTITUTE('Dashboard'!$B$7,"~","~~"),"*","~*"),"?","~?"))+COUNTIFS('Calculations'!$HW$13:$HW$512,"="&amp;SUBSTITUTE(SUBSTITUTE(SUBSTITUTE('Calculations'!HF429,"~","~~"),"*","~*"),"?","~?"),'Calculations'!$HN$13:$HN$512,"="&amp;SUBSTITUTE(SUBSTITUTE(SUBSTITUTE('Dashboard'!$B$7,"~","~~"),"*","~*"),"?","~?"))+COUNTIFS('Calculations'!$HX$13:$HX$512,"="&amp;SUBSTITUTE(SUBSTITUTE(SUBSTITUTE('Calculations'!HF429,"~","~~"),"*","~*"),"?","~?"),'Calculations'!$HN$13:$HN$512,"="&amp;SUBSTITUTE(SUBSTITUTE(SUBSTITUTE('Dashboard'!$B$7,"~","~~"),"*","~*"),"?","~?"))+COUNTIFS('Calculations'!$HY$13:$HY$512,"="&amp;SUBSTITUTE(SUBSTITUTE(SUBSTITUTE('Calculations'!HF429,"~","~~"),"*","~*"),"?","~?"),'Calculations'!$HN$13:$HN$512,"="&amp;SUBSTITUTE(SUBSTITUTE(SUBSTITUTE('Dashboard'!$B$7,"~","~~"),"*","~*"),"?","~?"))+COUNTIFS('Calculations'!$HZ$13:$HZ$512,"="&amp;SUBSTITUTE(SUBSTITUTE(SUBSTITUTE('Calculations'!HF429,"~","~~"),"*","~*"),"?","~?"),'Calculations'!$HN$13:$HN$512,"="&amp;SUBSTITUTE(SUBSTITUTE(SUBSTITUTE('Dashboard'!$B$7,"~","~~"),"*","~*"),"?","~?"))+COUNTIFS('Calculations'!$IA$13:$IA$512,"="&amp;SUBSTITUTE(SUBSTITUTE(SUBSTITUTE('Calculations'!HF429,"~","~~"),"*","~*"),"?","~?"),'Calculations'!$HN$13:$HN$512,"="&amp;SUBSTITUTE(SUBSTITUTE(SUBSTITUTE('Dashboard'!$B$7,"~","~~"),"*","~*"),"?","~?"))+COUNTIFS('Calculations'!$IB$13:$IB$512,"="&amp;SUBSTITUTE(SUBSTITUTE(SUBSTITUTE('Calculations'!HF429,"~","~~"),"*","~*"),"?","~?"),'Calculations'!$HN$13:$HN$512,"="&amp;SUBSTITUTE(SUBSTITUTE(SUBSTITUTE('Dashboard'!$B$7,"~","~~"),"*","~*"),"?","~?"))+COUNTIFS('Calculations'!$IC$13:$IC$512,"="&amp;SUBSTITUTE(SUBSTITUTE(SUBSTITUTE('Calculations'!HF429,"~","~~"),"*","~*"),"?","~?"),'Calculations'!$HN$13:$HN$512,"="&amp;SUBSTITUTE(SUBSTITUTE(SUBSTITUTE('Dashboard'!$B$7,"~","~~"),"*","~*"),"?","~?"))+COUNTIFS('Calculations'!$ID$13:$ID$512,"="&amp;SUBSTITUTE(SUBSTITUTE(SUBSTITUTE('Calculations'!HF429,"~","~~"),"*","~*"),"?","~?"),'Calculations'!$HN$13:$HN$512,"="&amp;SUBSTITUTE(SUBSTITUTE(SUBSTITUTE('Dashboard'!$B$7,"~","~~"),"*","~*"),"?","~?"))+COUNTIFS('Calculations'!$IE$13:$IE$512,"="&amp;SUBSTITUTE(SUBSTITUTE(SUBSTITUTE('Calculations'!HF429,"~","~~"),"*","~*"),"?","~?"),'Calculations'!$HN$13:$HN$512,"="&amp;SUBSTITUTE(SUBSTITUTE(SUBSTITUTE('Dashboard'!$B$7,"~","~~"),"*","~*"),"?","~?"))+COUNTIFS('Calculations'!$IF$13:$IF$512,"="&amp;SUBSTITUTE(SUBSTITUTE(SUBSTITUTE('Calculations'!HF429,"~","~~"),"*","~*"),"?","~?"),'Calculations'!$HN$13:$HN$512,"="&amp;SUBSTITUTE(SUBSTITUTE(SUBSTITUTE('Dashboard'!$B$7,"~","~~"),"*","~*"),"?","~?"))+COUNTIFS('Calculations'!$IG$13:$IG$512,"="&amp;SUBSTITUTE(SUBSTITUTE(SUBSTITUTE('Calculations'!HF429,"~","~~"),"*","~*"),"?","~?"),'Calculations'!$HN$13:$HN$512,"="&amp;SUBSTITUTE(SUBSTITUTE(SUBSTITUTE('Dashboard'!$B$7,"~","~~"),"*","~*"),"?","~?"))+COUNTIFS('Calculations'!$IH$13:$IH$512,"="&amp;SUBSTITUTE(SUBSTITUTE(SUBSTITUTE('Calculations'!HF429,"~","~~"),"*","~*"),"?","~?"),'Calculations'!$HN$13:$HN$512,"="&amp;SUBSTITUTE(SUBSTITUTE(SUBSTITUTE('Dashboard'!$B$7,"~","~~"),"*","~*"),"?","~?"))))</x:f>
        <x:v>0</x:v>
      </x:c>
      <x:c r="JD429" t="n">
        <x:f>IF('Calculations'!EM429="",0,IF('Dashboard'!$B$7="All",1,IF('Calculations'!HN429='Dashboard'!$B$7,1,0)+IFERROR(INDEX('Calculations'!$JC$13:$JC$512,MATCH('Calculations'!HE429,'Calculations'!$HF$13:$HF$512,0)),0)))</x:f>
        <x:v>0</x:v>
      </x:c>
      <x:c r="JE429" t="n">
        <x:f>IF(AND('Calculations'!EM429&lt;&gt;"",'Calculations'!$JJ$2&lt;&gt;"All",'Calculations'!$JJ$2&lt;&gt;"",'Calculations'!HF429='Calculations'!$JJ$2,'Calculations'!HL429=0,'Calculations'!JD429&gt;0),MAX('Calculations'!$JE$12:JE428)+1,0)</x:f>
        <x:v>0</x:v>
      </x:c>
      <x:c r="JF429" t="str">
        <x:f>IF('Calculations'!EM429="","",IFERROR(IF(INDEX(INDIRECT("'WCM Calibration Final'!$G$1:$G$2000"),'Calculations'!$EM429)="","",TRIM(INDEX(INDIRECT("'WCM Calibration Final'!$G$1:$G$2000"),'Calculations'!$EM429)&amp;"")),""))</x:f>
      </x:c>
      <x:c r="JQ429" t="n">
        <x:f>IF(OR('Calculations'!BM429=0,NOT('Calculations'!$AG$2),'Calculations'!$AG$8&gt;0),0,IF(OR('Dashboard'!$B$7="All",'Calculations'!HN429='Dashboard'!$B$7),IF('Calculations'!$JJ$2="All",1,IF(AND('Calculations'!HF429='Calculations'!$JJ$2,'Calculations'!HL429=0),1,0)),0))</x:f>
        <x:v>0</x:v>
      </x:c>
    </x:row>
    <x:row r="430">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t="n">
        <x:f>IF('Calculations'!$EM430="",0,IF(OR(IFERROR(INDEX(INDIRECT("'WCM Calibration Final'!$A$1:$A$2000"),'Calculations'!$EM430)&lt;&gt;"",FALSE),IFERROR(INDEX(INDIRECT("'WCM Calibration Final'!$B$1:$B$2000"),'Calculations'!$EM430)&lt;&gt;"",FALSE),IFERROR(INDEX(INDIRECT("'WCM Calibration Final'!$C$1:$C$2000"),'Calculations'!$EM430)&lt;&gt;"",FALSE)),1,0))</x:f>
        <x:v>0</x:v>
      </x:c>
      <x:c r="BN430" s="4" t="n">
        <x:f>IF(AND('Calculations'!BM430=1,'Calculations'!$AG$2,'Calculations'!$EN430=1),1,0)</x:f>
        <x:v>0</x:v>
      </x:c>
      <x:c r="BO430" s="4" t="str">
        <x:f>IF('Calculations'!BM430=0,"",IFERROR(IF(AND(VALUE(INDEX(INDIRECT("'WCM Calibration Final'!$K$1:$K$2000"),'Calculations'!$EM430))&gt;=1,VALUE(INDEX(INDIRECT("'WCM Calibration Final'!$K$1:$K$2000"),'Calculations'!$EM430))&lt;=4,MOD(VALUE(INDEX(INDIRECT("'WCM Calibration Final'!$K$1:$K$2000"),'Calculations'!$EM430)),1)=0),VALUE(INDEX(INDIRECT("'WCM Calibration Final'!$K$1:$K$2000"),'Calculations'!$EM430)),""),""))</x:f>
      </x:c>
      <x:c r="BP430" s="4" t="str">
        <x:f>IF('Calculations'!BM430=0,"",IFERROR(IF(AND(VALUE(INDEX(INDIRECT("'WCM Calibration Final'!$L$1:$L$2000"),'Calculations'!$EM430))&gt;=1,VALUE(INDEX(INDIRECT("'WCM Calibration Final'!$L$1:$L$2000"),'Calculations'!$EM430))&lt;=4,MOD(VALUE(INDEX(INDIRECT("'WCM Calibration Final'!$L$1:$L$2000"),'Calculations'!$EM430)),1)=0),VALUE(INDEX(INDIRECT("'WCM Calibration Final'!$L$1:$L$2000"),'Calculations'!$EM430)),""),""))</x:f>
      </x:c>
      <x:c r="BQ430" s="4"/>
      <x:c r="BR430" s="4"/>
      <x:c r="BS430" s="4"/>
      <x:c r="BT430" s="4" t="n">
        <x:f>IF(AND('Calculations'!BM430=1,ISNUMBER('Calculations'!BO430),ISNUMBER('Calculations'!BP430)),1,0)</x:f>
        <x:v>0</x:v>
      </x:c>
      <x:c r="BU430" s="4" t="str">
        <x:f>IF('Calculations'!BM430=0,"",'Calculations'!$EO430)</x:f>
      </x:c>
      <x:c r="BV430" s="4" t="str">
        <x:f>IF('Calculations'!BM430=0,"",IFERROR(IF(OR(INDEX(INDIRECT("'WCM Calibration Final'!$H$1:$H$2000"),'Calculations'!$EM430)="MANAGING DIRECTOR",INDEX(INDIRECT("'WCM Calibration Final'!$H$1:$H$2000"),'Calculations'!$EM430)="DIRECTOR",INDEX(INDIRECT("'WCM Calibration Final'!$H$1:$H$2000"),'Calculations'!$EM430)="SENIOR VICE PRESIDENT",INDEX(INDIRECT("'WCM Calibration Final'!$H$1:$H$2000"),'Calculations'!$EM430)="VICE PRESIDENT",INDEX(INDIRECT("'WCM Calibration Final'!$H$1:$H$2000"),'Calculations'!$EM430)="ASSISTANT VICE PRESIDENT",INDEX(INDIRECT("'WCM Calibration Final'!$H$1:$H$2000"),'Calculations'!$EM430)="OFFICER"),UPPER(INDEX(INDIRECT("'WCM Calibration Final'!$H$1:$H$2000"),'Calculations'!$EM430)),"Other"),"Other"))</x:f>
      </x:c>
      <x:c r="BW430" s="4"/>
      <x:c r="BX430" s="4"/>
      <x:c r="BY430" s="4" t="n">
        <x:f>IF(AND('Calculations'!BM430=1,'Calculations'!BU430&lt;&gt;"",COUNTIF('Calculations'!$BU$12:BU430,'Calculations'!BU430)=1),MAX('Calculations'!$BY$11:BY429)+1,0)</x:f>
        <x:v>0</x:v>
      </x:c>
      <x:c r="BZ430" s="4" t="str">
        <x:f>IF('Dashboard'!$E$67="What",'Calculations'!BO430,'Calculations'!BP430)</x:f>
      </x:c>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t="str">
        <x:f>IF(419&gt;MAX('Calculations'!$HI$13:$HI$512),"",INDEX('Calculations'!$HN$13:$HN$512,MATCH(419,'Calculations'!$HI$13:$HI$512,0)))</x:f>
      </x:c>
      <x:c r="DB430" s="4" t="str">
        <x:f>IF(419&gt;MAX('Calculations'!$HH$13:$HH$512),"",INDEX('Calculations'!$HJ$13:$HJ$512,MATCH(419,'Calculations'!$HH$13:$HH$512,0)))</x:f>
      </x:c>
      <x:c r="DC430" s="4" t="str">
        <x:f>IF(ROW()-11&gt;MAX('Calculations'!$BY$13:$BY$512),"",INDEX('Calculations'!$BU$13:$BU$512,MATCH(ROW()-11,'Calculations'!$BY$13:$BY$512,0)))</x:f>
      </x:c>
      <x:c r="DD430" s="4" t="str">
        <x:f>IF(419&gt;MAX('Calculations'!$IK$13:$IK$512),"",INDEX('Calculations'!$HK$13:$HK$512,MATCH(419,'Calculations'!$IK$13:$IK$512,0)))</x:f>
      </x:c>
      <x:c r="DE430" s="4" t="str">
        <x:f>'Calculations'!DC430</x:f>
      </x:c>
      <x:c r="DF430" s="4" t="str">
        <x:f>IF('Calculations'!DE430="","",COUNTIFS('Calculations'!$BN$13:$BN$512,1,'Calculations'!$BU$13:$BU$512,'Calculations'!DE430))</x:f>
      </x:c>
      <x:c r="DG430" s="4" t="str">
        <x:f>IF('Calculations'!DE430="","",COUNTIFS('Calculations'!$BN$13:$BN$512,1,'Calculations'!$BU$13:$BU$512,'Calculations'!DE430,'Calculations'!$BT$13:$BT$512,1))</x:f>
      </x:c>
      <x:c r="DH430" s="4" t="str">
        <x:f>IF('Calculations'!DE430="","",'Calculations'!DF430-'Calculations'!DG430)</x:f>
      </x:c>
      <x:c r="DI430" s="4" t="str">
        <x:f>IF(OR('Calculations'!DE430="",'Calculations'!DF430=0),"",'Calculations'!DG430/'Calculations'!DF430)</x:f>
      </x:c>
      <x:c r="DJ430" s="4" t="str">
        <x:f>IF('Calculations'!DE430="","",COUNTIFS('Calculations'!$BN$13:$BN$512,1,'Calculations'!$BU$13:$BU$512,'Calculations'!DE430,'Calculations'!$BT$13:$BT$512,1,'Calculations'!$EE$13:$EE$512,"High"))</x:f>
      </x:c>
      <x:c r="DK430" s="4" t="str">
        <x:f>IF('Calculations'!DE430="","",COUNTIFS('Calculations'!$BN$13:$BN$512,1,'Calculations'!$BU$13:$BU$512,'Calculations'!DE430,'Calculations'!$BT$13:$BT$512,1,'Calculations'!$EE$13:$EE$512,"Strong"))</x:f>
      </x:c>
      <x:c r="DL430" s="4" t="str">
        <x:f>IF('Calculations'!DE430="","",COUNTIFS('Calculations'!$BN$13:$BN$512,1,'Calculations'!$BU$13:$BU$512,'Calculations'!DE430,'Calculations'!$BT$13:$BT$512,1,'Calculations'!$EE$13:$EE$512,"Solid"))</x:f>
      </x:c>
      <x:c r="DM430" s="4" t="str">
        <x:f>IF('Calculations'!DE430="","",COUNTIFS('Calculations'!$BN$13:$BN$512,1,'Calculations'!$BU$13:$BU$512,'Calculations'!DE430,'Calculations'!$BT$13:$BT$512,1,'Calculations'!$EE$13:$EE$512,"Low"))</x:f>
      </x:c>
      <x:c r="DN430" s="4" t="str">
        <x:f>IF('Calculations'!DE430="","",COUNTIFS('Calculations'!$BN$13:$BN$512,1,'Calculations'!$BU$13:$BU$512,'Calculations'!DE430,'Calculations'!$EP$13:$EP$512,1))</x:f>
      </x:c>
      <x:c r="DO430" s="4" t="str">
        <x:f>IF(OR('Calculations'!DE430="",'Calculations'!DG430=0),"",('Calculations'!DJ430+'Calculations'!DK430)/'Calculations'!DG430)</x:f>
      </x:c>
      <x:c r="DP430" s="4" t="n">
        <x:f>IF(AND('Calculations'!DE430&lt;&gt;"",'Calculations'!DF430&gt;0),COUNTIF('Calculations'!$DF$12:DF430,"&gt;0"),0)</x:f>
        <x:v>0</x:v>
      </x:c>
      <x:c r="DQ430" s="4" t="str">
        <x:f>IF(419&gt;MAX('Calculations'!$HH$13:$HH$512),"",INDEX('Calculations'!$HF$13:$HF$512,MATCH(419,'Calculations'!$HH$13:$HH$512,0)))</x:f>
      </x:c>
      <x:c r="DR430" s="4" t="str">
        <x:f>IF(419&gt;MAX('Calculations'!$IK$13:$IK$512),"",INDEX('Calculations'!$HE$13:$HE$512,MATCH(419,'Calculations'!$IK$13:$IK$512,0)))</x:f>
      </x:c>
      <x:c r="DS430" s="4"/>
      <x:c r="DT430" s="4"/>
      <x:c r="DU430" s="4"/>
      <x:c r="DV430" s="4"/>
      <x:c r="DW430" s="4"/>
      <x:c r="DX430" s="4"/>
      <x:c r="DY430" s="4"/>
      <x:c r="DZ430" s="4"/>
      <x:c r="EA430" s="4"/>
      <x:c r="EB430" s="4"/>
      <x:c r="EC430" s="4"/>
      <x:c r="ED430" s="4"/>
      <x:c r="EE430" s="4" t="str">
        <x:f>IF('Calculations'!BT430=0,"Not Rated",IF(OR('Calculations'!BO430&gt;=4,'Calculations'!BP430&gt;=4),"Low",IF('Calculations'!BO430+'Calculations'!BP430&lt;=3,"High",IF('Calculations'!BO430+'Calculations'!BP430&lt;=4,"Strong","Solid"))))</x:f>
        <x:v>Not Rated</x:v>
      </x:c>
      <x:c r="EF430" s="4"/>
      <x:c r="EG430" s="4"/>
      <x:c r="EH430" s="4"/>
      <x:c r="EI430" s="4"/>
      <x:c r="EJ430" s="4"/>
      <x:c r="EK430" s="4"/>
      <x:c r="EL430" s="4"/>
      <x:c r="EM430" s="4" t="str">
        <x:f>IF(418&gt;'Calculations'!$JB$2000,"",INDEX('Calculations'!$JA$12:$JA$2000,MATCH(418,'Calculations'!$JB$12:$JB$2000,0)))</x:f>
      </x:c>
      <x:c r="EN430" s="4" t="n">
        <x:f>IF(OR('Calculations'!EM430="",'Calculations'!$AG$8&gt;0,AND('Calculations'!$EF$2&lt;&gt;"All",'Calculations'!HE430='Calculations'!$EF$2),AND('Calculations'!$EF$3&lt;&gt;"All",'Calculations'!HE430='Calculations'!$EF$3)),0,IF(OR('Dashboard'!$B$7="All",'Calculations'!HN430='Dashboard'!$B$7),IF('Calculations'!$EF$2="All",1,IF('Calculations'!HL430&gt;0,0,IF(COUNTIF('Calculations'!HO430:II430,"="&amp;SUBSTITUTE(SUBSTITUTE(SUBSTITUTE('Calculations'!$EF$2,"~","~~"),"*","~*"),"?","~?"))=0,0,IF('Calculations'!$EF$3="All",1,IF(COUNTIF('Calculations'!HO430:II430,"="&amp;SUBSTITUTE(SUBSTITUTE(SUBSTITUTE('Calculations'!$EF$3,"~","~~"),"*","~*"),"?","~?"))&gt;0,1,0))))),0))</x:f>
        <x:v>0</x:v>
      </x:c>
      <x:c r="EO430" s="4" t="str">
        <x:f>IF('Calculations'!IJ430="","",IF('Calculations'!IJ430="!UNRESOLVED","Unresolved hierarchy",IFERROR(INDEX('Calculations'!$HK$13:$HK$512,MATCH('Calculations'!IJ430,'Calculations'!$HE$13:$HE$512,0)),IFERROR(INDEX('Calculations'!$HJ$13:$HJ$512,MATCH('Calculations'!IJ430,'Calculations'!$HF$13:$HF$512,0)),'Calculations'!IJ430))))</x:f>
      </x:c>
      <x:c r="EP430" s="4" t="n">
        <x:f>IF(AND('Calculations'!EM430&lt;&gt;"",'Calculations'!HF430='Calculations'!IJ430),1,0)</x:f>
        <x:v>0</x:v>
      </x:c>
      <x:c r="EQ430" s="4"/>
      <x:c r="ER430" s="4"/>
      <x:c r="ES430" s="4"/>
      <x:c r="ET430" s="4"/>
      <x:c r="EU430" s="4"/>
      <x:c r="EV430" s="4"/>
      <x:c r="EW430" s="4"/>
      <x:c r="EX430" s="4"/>
      <x:c r="EY430" s="4"/>
      <x:c r="EZ430" s="4"/>
      <x:c r="FA430" s="4"/>
      <x:c r="FB430" s="4"/>
      <x:c r="FC430" s="4"/>
      <x:c r="FD430" s="4"/>
      <x:c r="FE430" s="4"/>
      <x:c r="FF430" s="4"/>
      <x:c r="FG430" s="4"/>
      <x:c r="FH430" s="4"/>
      <x:c r="FI430" s="4"/>
      <x:c r="FJ430" s="4"/>
      <x:c r="FK430" s="4"/>
      <x:c r="FL430" s="4"/>
      <x:c r="FM430" s="4"/>
      <x:c r="FN430" s="4"/>
      <x:c r="FO430" s="4"/>
      <x:c r="HE430" t="str">
        <x:f>IF('Calculations'!EM430="","",IF(IFERROR(IF(INDEX(INDIRECT("'WCM Calibration Final'!$A$1:$A$2000"),'Calculations'!$EM430)="","",TRIM(INDEX(INDIRECT("'WCM Calibration Final'!$A$1:$A$2000"),'Calculations'!$EM430)&amp;"")),"")&lt;&gt;"","G:"&amp;IFERROR(TEXT(1*INDEX(INDIRECT("'WCM Calibration Final'!$A$1:$A$2000"),'Calculations'!$EM430),"0"),UPPER(IFERROR(IF(INDEX(INDIRECT("'WCM Calibration Final'!$A$1:$A$2000"),'Calculations'!$EM430)="","",TRIM(INDEX(INDIRECT("'WCM Calibration Final'!$A$1:$A$2000"),'Calculations'!$EM430)&amp;"")),""))),IF(IFERROR(IF(INDEX(INDIRECT("'WCM Calibration Final'!$C$1:$C$2000"),'Calculations'!$EM430)="","",TRIM(INDEX(INDIRECT("'WCM Calibration Final'!$C$1:$C$2000"),'Calculations'!$EM430)&amp;"")),"")&lt;&gt;"","S:"&amp;UPPER(IFERROR(IF(INDEX(INDIRECT("'WCM Calibration Final'!$C$1:$C$2000"),'Calculations'!$EM430)="","",TRIM(INDEX(INDIRECT("'WCM Calibration Final'!$C$1:$C$2000"),'Calculations'!$EM430)&amp;"")),"")),"R:"&amp;'Calculations'!EM430)))</x:f>
      </x:c>
      <x:c r="HF430" t="str">
        <x:f>IF('Calculations'!EM430="","",IF(IFERROR(IF(INDEX(INDIRECT("'WCM Calibration Final'!$D$1:$D$2000"),'Calculations'!$EM430)="","",TRIM(INDEX(INDIRECT("'WCM Calibration Final'!$D$1:$D$2000"),'Calculations'!$EM430)&amp;"")),"")&lt;&gt;"","G:"&amp;IFERROR(TEXT(1*INDEX(INDIRECT("'WCM Calibration Final'!$D$1:$D$2000"),'Calculations'!$EM430),"0"),UPPER(IFERROR(IF(INDEX(INDIRECT("'WCM Calibration Final'!$D$1:$D$2000"),'Calculations'!$EM430)="","",TRIM(INDEX(INDIRECT("'WCM Calibration Final'!$D$1:$D$2000"),'Calculations'!$EM430)&amp;"")),""))),IF(IFERROR(IF(INDEX(INDIRECT("'WCM Calibration Final'!$E$1:$E$2000"),'Calculations'!$EM430)="","",TRIM(INDEX(INDIRECT("'WCM Calibration Final'!$E$1:$E$2000"),'Calculations'!$EM430)&amp;"")),"")="","",IF(COUNTIF('Calculations'!$HG$13:$HG$512,"="&amp;SUBSTITUTE(SUBSTITUTE(SUBSTITUTE(IFERROR(IF(INDEX(INDIRECT("'WCM Calibration Final'!$E$1:$E$2000"),'Calculations'!$EM430)="","",TRIM(INDEX(INDIRECT("'WCM Calibration Final'!$E$1:$E$2000"),'Calculations'!$EM430)&amp;"")),""),"~","~~"),"*","~*"),"?","~?"))=1,INDEX('Calculations'!$HE$13:$HE$512,MATCH(IFERROR(IF(INDEX(INDIRECT("'WCM Calibration Final'!$E$1:$E$2000"),'Calculations'!$EM430)="","",TRIM(INDEX(INDIRECT("'WCM Calibration Final'!$E$1:$E$2000"),'Calculations'!$EM430)&amp;"")),""),'Calculations'!$HG$13:$HG$512,0)),IF(COUNTIF('Calculations'!$HG$13:$HG$512,"="&amp;SUBSTITUTE(SUBSTITUTE(SUBSTITUTE(IFERROR(IF(INDEX(INDIRECT("'WCM Calibration Final'!$E$1:$E$2000"),'Calculations'!$EM430)="","",TRIM(INDEX(INDIRECT("'WCM Calibration Final'!$E$1:$E$2000"),'Calculations'!$EM430)&amp;"")),""),"~","~~"),"*","~*"),"?","~?"))&gt;1,"!AMBIG","X:"&amp;IFERROR(IF(INDEX(INDIRECT("'WCM Calibration Final'!$E$1:$E$2000"),'Calculations'!$EM430)="","",TRIM(INDEX(INDIRECT("'WCM Calibration Final'!$E$1:$E$2000"),'Calculations'!$EM430)&amp;"")),""))))))</x:f>
      </x:c>
      <x:c r="HG430" t="str">
        <x:f>IF('Calculations'!EM430="","",IFERROR(IF(INDEX(INDIRECT("'WCM Calibration Final'!$B$1:$B$2000"),'Calculations'!$EM430)="","",TRIM(INDEX(INDIRECT("'WCM Calibration Final'!$B$1:$B$2000"),'Calculations'!$EM430)&amp;"")),""))</x:f>
      </x:c>
      <x:c r="HH430" t="n">
        <x:f>IF(AND('Calculations'!JC430&gt;0,COUNTIF('Calculations'!$HF$12:HF430,"="&amp;SUBSTITUTE(SUBSTITUTE(SUBSTITUTE('Calculations'!HF430,"~","~~"),"*","~*"),"?","~?"))=1),MAX('Calculations'!$HH$12:HH429)+1,0)</x:f>
        <x:v>0</x:v>
      </x:c>
      <x:c r="HI430" t="n">
        <x:f>IF(AND('Calculations'!HN430&lt;&gt;"",COUNTIF('Calculations'!$HN$12:HN430,"="&amp;SUBSTITUTE(SUBSTITUTE(SUBSTITUTE('Calculations'!HN430,"~","~~"),"*","~*"),"?","~?"))=1),MAX('Calculations'!$HI$12:HI429)+1,0)</x:f>
        <x:v>0</x:v>
      </x:c>
      <x:c r="HJ430" t="str">
        <x:f>IF('Calculations'!HF430="","",IF(COUNTIF('Calculations'!$HE$13:$HE$512,"="&amp;SUBSTITUTE(SUBSTITUTE(SUBSTITUTE('Calculations'!HF430,"~","~~"),"*","~*"),"?","~?"))=1,INDEX('Calculations'!$HK$13:$HK$512,MATCH('Calculations'!HF430,'Calculations'!$HE$13:$HE$512,0)),IFERROR(IF(INDEX(INDIRECT("'WCM Calibration Final'!$E$1:$E$2000"),'Calculations'!$EM430)="","",TRIM(INDEX(INDIRECT("'WCM Calibration Final'!$E$1:$E$2000"),'Calculations'!$EM430)&amp;"")),"")&amp;" ["&amp;'Calculations'!HF430&amp;"]"))</x:f>
      </x:c>
      <x:c r="HK430" t="str">
        <x:f>IF('Calculations'!EM430="","",'Calculations'!HG430&amp;" ["&amp;'Calculations'!HE430&amp;"]")</x:f>
      </x:c>
      <x:c r="HL430" t="n">
        <x:f>IF('Calculations'!EM430="",0,IF(OR('Calculations'!II430&lt;&gt;"",COUNTIF('Calculations'!$HE$13:$HE$512,"="&amp;SUBSTITUTE(SUBSTITUTE(SUBSTITUTE('Calculations'!HE430,"~","~~"),"*","~*"),"?","~?"))&gt;1),1,0))</x:f>
        <x:v>0</x:v>
      </x:c>
      <x:c r="HM430" t="str">
        <x:f>IF('Calculations'!EM430="","",IF('Calculations'!HL430=1,"!UNRESOLVED",IF('Calculations'!IH430&lt;&gt;"",'Calculations'!IH430,IF('Calculations'!IG430&lt;&gt;"",'Calculations'!IG430,IF('Calculations'!IF430&lt;&gt;"",'Calculations'!IF430,IF('Calculations'!IE430&lt;&gt;"",'Calculations'!IE430,IF('Calculations'!ID430&lt;&gt;"",'Calculations'!ID430,IF('Calculations'!IC430&lt;&gt;"",'Calculations'!IC430,IF('Calculations'!IB430&lt;&gt;"",'Calculations'!IB430,IF('Calculations'!IA430&lt;&gt;"",'Calculations'!IA430,IF('Calculations'!HZ430&lt;&gt;"",'Calculations'!HZ430,IF('Calculations'!HY430&lt;&gt;"",'Calculations'!HY430,IF('Calculations'!HX430&lt;&gt;"",'Calculations'!HX430,IF('Calculations'!HW430&lt;&gt;"",'Calculations'!HW430,IF('Calculations'!HV430&lt;&gt;"",'Calculations'!HV430,IF('Calculations'!HU430&lt;&gt;"",'Calculations'!HU430,IF('Calculations'!HT430&lt;&gt;"",'Calculations'!HT430,IF('Calculations'!HS430&lt;&gt;"",'Calculations'!HS430,IF('Calculations'!HR430&lt;&gt;"",'Calculations'!HR430,IF('Calculations'!HQ430&lt;&gt;"",'Calculations'!HQ430,IF('Calculations'!HP430&lt;&gt;"",'Calculations'!HP430,IF('Calculations'!HO430&lt;&gt;"",'Calculations'!HO430,'Calculations'!HE430))))))))))))))))))))))</x:f>
      </x:c>
      <x:c r="HN430" t="str">
        <x:f>IF('Calculations'!EM430="","",IF(IFERROR(IF(INDEX(INDIRECT("'WCM Calibration Final'!$F$1:$F$2000"),'Calculations'!$EM430)="","",TRIM(INDEX(INDIRECT("'WCM Calibration Final'!$F$1:$F$2000"),'Calculations'!$EM430)&amp;"")),"")="","(Blank)",IFERROR(IF(INDEX(INDIRECT("'WCM Calibration Final'!$F$1:$F$2000"),'Calculations'!$EM430)="","",TRIM(INDEX(INDIRECT("'WCM Calibration Final'!$F$1:$F$2000"),'Calculations'!$EM430)&amp;"")),"")))</x:f>
      </x:c>
      <x:c r="HO430" t="str">
        <x:f>'Calculations'!HF430</x:f>
      </x:c>
      <x:c r="HP430" t="str">
        <x:f>IF('Calculations'!HO430="","",IF('Calculations'!HO430="!AMBIG","!AMBIG",IF(COUNTIF('Calculations'!$HE$13:$HE$512,"="&amp;SUBSTITUTE(SUBSTITUTE(SUBSTITUTE('Calculations'!HO430,"~","~~"),"*","~*"),"?","~?"))&gt;1,"!AMBIG",IFERROR(INDEX('Calculations'!$HF$13:$HF$512,MATCH('Calculations'!HO430,'Calculations'!$HE$13:$HE$512,0)),""))))</x:f>
      </x:c>
      <x:c r="HQ430" t="str">
        <x:f>IF('Calculations'!HP430="","",IF('Calculations'!HP430="!AMBIG","!AMBIG",IF(COUNTIF('Calculations'!$HE$13:$HE$512,"="&amp;SUBSTITUTE(SUBSTITUTE(SUBSTITUTE('Calculations'!HP430,"~","~~"),"*","~*"),"?","~?"))&gt;1,"!AMBIG",IFERROR(INDEX('Calculations'!$HF$13:$HF$512,MATCH('Calculations'!HP430,'Calculations'!$HE$13:$HE$512,0)),""))))</x:f>
      </x:c>
      <x:c r="HR430" t="str">
        <x:f>IF('Calculations'!HQ430="","",IF('Calculations'!HQ430="!AMBIG","!AMBIG",IF(COUNTIF('Calculations'!$HE$13:$HE$512,"="&amp;SUBSTITUTE(SUBSTITUTE(SUBSTITUTE('Calculations'!HQ430,"~","~~"),"*","~*"),"?","~?"))&gt;1,"!AMBIG",IFERROR(INDEX('Calculations'!$HF$13:$HF$512,MATCH('Calculations'!HQ430,'Calculations'!$HE$13:$HE$512,0)),""))))</x:f>
      </x:c>
      <x:c r="HS430" t="str">
        <x:f>IF('Calculations'!HR430="","",IF('Calculations'!HR430="!AMBIG","!AMBIG",IF(COUNTIF('Calculations'!$HE$13:$HE$512,"="&amp;SUBSTITUTE(SUBSTITUTE(SUBSTITUTE('Calculations'!HR430,"~","~~"),"*","~*"),"?","~?"))&gt;1,"!AMBIG",IFERROR(INDEX('Calculations'!$HF$13:$HF$512,MATCH('Calculations'!HR430,'Calculations'!$HE$13:$HE$512,0)),""))))</x:f>
      </x:c>
      <x:c r="HT430" t="str">
        <x:f>IF('Calculations'!HS430="","",IF('Calculations'!HS430="!AMBIG","!AMBIG",IF(COUNTIF('Calculations'!$HE$13:$HE$512,"="&amp;SUBSTITUTE(SUBSTITUTE(SUBSTITUTE('Calculations'!HS430,"~","~~"),"*","~*"),"?","~?"))&gt;1,"!AMBIG",IFERROR(INDEX('Calculations'!$HF$13:$HF$512,MATCH('Calculations'!HS430,'Calculations'!$HE$13:$HE$512,0)),""))))</x:f>
      </x:c>
      <x:c r="HU430" t="str">
        <x:f>IF('Calculations'!HT430="","",IF('Calculations'!HT430="!AMBIG","!AMBIG",IF(COUNTIF('Calculations'!$HE$13:$HE$512,"="&amp;SUBSTITUTE(SUBSTITUTE(SUBSTITUTE('Calculations'!HT430,"~","~~"),"*","~*"),"?","~?"))&gt;1,"!AMBIG",IFERROR(INDEX('Calculations'!$HF$13:$HF$512,MATCH('Calculations'!HT430,'Calculations'!$HE$13:$HE$512,0)),""))))</x:f>
      </x:c>
      <x:c r="HV430" t="str">
        <x:f>IF('Calculations'!HU430="","",IF('Calculations'!HU430="!AMBIG","!AMBIG",IF(COUNTIF('Calculations'!$HE$13:$HE$512,"="&amp;SUBSTITUTE(SUBSTITUTE(SUBSTITUTE('Calculations'!HU430,"~","~~"),"*","~*"),"?","~?"))&gt;1,"!AMBIG",IFERROR(INDEX('Calculations'!$HF$13:$HF$512,MATCH('Calculations'!HU430,'Calculations'!$HE$13:$HE$512,0)),""))))</x:f>
      </x:c>
      <x:c r="HW430" t="str">
        <x:f>IF('Calculations'!HV430="","",IF('Calculations'!HV430="!AMBIG","!AMBIG",IF(COUNTIF('Calculations'!$HE$13:$HE$512,"="&amp;SUBSTITUTE(SUBSTITUTE(SUBSTITUTE('Calculations'!HV430,"~","~~"),"*","~*"),"?","~?"))&gt;1,"!AMBIG",IFERROR(INDEX('Calculations'!$HF$13:$HF$512,MATCH('Calculations'!HV430,'Calculations'!$HE$13:$HE$512,0)),""))))</x:f>
      </x:c>
      <x:c r="HX430" t="str">
        <x:f>IF('Calculations'!HW430="","",IF('Calculations'!HW430="!AMBIG","!AMBIG",IF(COUNTIF('Calculations'!$HE$13:$HE$512,"="&amp;SUBSTITUTE(SUBSTITUTE(SUBSTITUTE('Calculations'!HW430,"~","~~"),"*","~*"),"?","~?"))&gt;1,"!AMBIG",IFERROR(INDEX('Calculations'!$HF$13:$HF$512,MATCH('Calculations'!HW430,'Calculations'!$HE$13:$HE$512,0)),""))))</x:f>
      </x:c>
      <x:c r="HY430" t="str">
        <x:f>IF('Calculations'!HX430="","",IF('Calculations'!HX430="!AMBIG","!AMBIG",IF(COUNTIF('Calculations'!$HE$13:$HE$512,"="&amp;SUBSTITUTE(SUBSTITUTE(SUBSTITUTE('Calculations'!HX430,"~","~~"),"*","~*"),"?","~?"))&gt;1,"!AMBIG",IFERROR(INDEX('Calculations'!$HF$13:$HF$512,MATCH('Calculations'!HX430,'Calculations'!$HE$13:$HE$512,0)),""))))</x:f>
      </x:c>
      <x:c r="HZ430" t="str">
        <x:f>IF('Calculations'!HY430="","",IF('Calculations'!HY430="!AMBIG","!AMBIG",IF(COUNTIF('Calculations'!$HE$13:$HE$512,"="&amp;SUBSTITUTE(SUBSTITUTE(SUBSTITUTE('Calculations'!HY430,"~","~~"),"*","~*"),"?","~?"))&gt;1,"!AMBIG",IFERROR(INDEX('Calculations'!$HF$13:$HF$512,MATCH('Calculations'!HY430,'Calculations'!$HE$13:$HE$512,0)),""))))</x:f>
      </x:c>
      <x:c r="IA430" t="str">
        <x:f>IF('Calculations'!HZ430="","",IF('Calculations'!HZ430="!AMBIG","!AMBIG",IF(COUNTIF('Calculations'!$HE$13:$HE$512,"="&amp;SUBSTITUTE(SUBSTITUTE(SUBSTITUTE('Calculations'!HZ430,"~","~~"),"*","~*"),"?","~?"))&gt;1,"!AMBIG",IFERROR(INDEX('Calculations'!$HF$13:$HF$512,MATCH('Calculations'!HZ430,'Calculations'!$HE$13:$HE$512,0)),""))))</x:f>
      </x:c>
      <x:c r="IB430" t="str">
        <x:f>IF('Calculations'!IA430="","",IF('Calculations'!IA430="!AMBIG","!AMBIG",IF(COUNTIF('Calculations'!$HE$13:$HE$512,"="&amp;SUBSTITUTE(SUBSTITUTE(SUBSTITUTE('Calculations'!IA430,"~","~~"),"*","~*"),"?","~?"))&gt;1,"!AMBIG",IFERROR(INDEX('Calculations'!$HF$13:$HF$512,MATCH('Calculations'!IA430,'Calculations'!$HE$13:$HE$512,0)),""))))</x:f>
      </x:c>
      <x:c r="IC430" t="str">
        <x:f>IF('Calculations'!IB430="","",IF('Calculations'!IB430="!AMBIG","!AMBIG",IF(COUNTIF('Calculations'!$HE$13:$HE$512,"="&amp;SUBSTITUTE(SUBSTITUTE(SUBSTITUTE('Calculations'!IB430,"~","~~"),"*","~*"),"?","~?"))&gt;1,"!AMBIG",IFERROR(INDEX('Calculations'!$HF$13:$HF$512,MATCH('Calculations'!IB430,'Calculations'!$HE$13:$HE$512,0)),""))))</x:f>
      </x:c>
      <x:c r="ID430" t="str">
        <x:f>IF('Calculations'!IC430="","",IF('Calculations'!IC430="!AMBIG","!AMBIG",IF(COUNTIF('Calculations'!$HE$13:$HE$512,"="&amp;SUBSTITUTE(SUBSTITUTE(SUBSTITUTE('Calculations'!IC430,"~","~~"),"*","~*"),"?","~?"))&gt;1,"!AMBIG",IFERROR(INDEX('Calculations'!$HF$13:$HF$512,MATCH('Calculations'!IC430,'Calculations'!$HE$13:$HE$512,0)),""))))</x:f>
      </x:c>
      <x:c r="IE430" t="str">
        <x:f>IF('Calculations'!ID430="","",IF('Calculations'!ID430="!AMBIG","!AMBIG",IF(COUNTIF('Calculations'!$HE$13:$HE$512,"="&amp;SUBSTITUTE(SUBSTITUTE(SUBSTITUTE('Calculations'!ID430,"~","~~"),"*","~*"),"?","~?"))&gt;1,"!AMBIG",IFERROR(INDEX('Calculations'!$HF$13:$HF$512,MATCH('Calculations'!ID430,'Calculations'!$HE$13:$HE$512,0)),""))))</x:f>
      </x:c>
      <x:c r="IF430" t="str">
        <x:f>IF('Calculations'!IE430="","",IF('Calculations'!IE430="!AMBIG","!AMBIG",IF(COUNTIF('Calculations'!$HE$13:$HE$512,"="&amp;SUBSTITUTE(SUBSTITUTE(SUBSTITUTE('Calculations'!IE430,"~","~~"),"*","~*"),"?","~?"))&gt;1,"!AMBIG",IFERROR(INDEX('Calculations'!$HF$13:$HF$512,MATCH('Calculations'!IE430,'Calculations'!$HE$13:$HE$512,0)),""))))</x:f>
      </x:c>
      <x:c r="IG430" t="str">
        <x:f>IF('Calculations'!IF430="","",IF('Calculations'!IF430="!AMBIG","!AMBIG",IF(COUNTIF('Calculations'!$HE$13:$HE$512,"="&amp;SUBSTITUTE(SUBSTITUTE(SUBSTITUTE('Calculations'!IF430,"~","~~"),"*","~*"),"?","~?"))&gt;1,"!AMBIG",IFERROR(INDEX('Calculations'!$HF$13:$HF$512,MATCH('Calculations'!IF430,'Calculations'!$HE$13:$HE$512,0)),""))))</x:f>
      </x:c>
      <x:c r="IH430" t="str">
        <x:f>IF('Calculations'!IG430="","",IF('Calculations'!IG430="!AMBIG","!AMBIG",IF(COUNTIF('Calculations'!$HE$13:$HE$512,"="&amp;SUBSTITUTE(SUBSTITUTE(SUBSTITUTE('Calculations'!IG430,"~","~~"),"*","~*"),"?","~?"))&gt;1,"!AMBIG",IFERROR(INDEX('Calculations'!$HF$13:$HF$512,MATCH('Calculations'!IG430,'Calculations'!$HE$13:$HE$512,0)),""))))</x:f>
      </x:c>
      <x:c r="II430" t="str">
        <x:f>IF('Calculations'!IH430="","",IF('Calculations'!IH430="!AMBIG","!AMBIG",IF(COUNTIF('Calculations'!$HE$13:$HE$512,"="&amp;SUBSTITUTE(SUBSTITUTE(SUBSTITUTE('Calculations'!IH430,"~","~~"),"*","~*"),"?","~?"))&gt;1,"!AMBIG",IFERROR(INDEX('Calculations'!$HF$13:$HF$512,MATCH('Calculations'!IH430,'Calculations'!$HE$13:$HE$512,0)),""))))</x:f>
      </x:c>
      <x:c r="IJ430" t="str">
        <x:f>IF('Calculations'!EM430="","",IF('Calculations'!$EF$2="All",'Calculations'!HM430,IF('Calculations'!HL430=1,"",IFERROR(IF(MATCH('Calculations'!$EF$2,'Calculations'!HO430:II430,0)=1,'Calculations'!HE430,INDEX('Calculations'!HO430:II430,1,MATCH('Calculations'!$EF$2,'Calculations'!HO430:II430,0)-1)),""))))</x:f>
      </x:c>
      <x:c r="IK430" t="n">
        <x:f>IF(AND('Calculations'!EM430&lt;&gt;"",'Calculations'!$EF$2&lt;&gt;"All",'Calculations'!HF430='Calculations'!$EF$2,'Calculations'!HL430=0,'Calculations'!JD430&gt;0),MAX('Calculations'!$IK$12:IK429)+1,0)</x:f>
        <x:v>0</x:v>
      </x:c>
      <x:c r="JA430" t="n">
        <x:f>IF(OR(IFERROR(INDIRECT("'WCM Calibration Final'!$A$430")&lt;&gt;"",FALSE),IFERROR(INDIRECT("'WCM Calibration Final'!$B$430")&lt;&gt;"",FALSE),IFERROR(INDIRECT("'WCM Calibration Final'!$C$430")&lt;&gt;"",FALSE)),430,0)</x:f>
        <x:v>0</x:v>
      </x:c>
      <x:c r="JB430" t="n">
        <x:f>'Calculations'!JB429+IF('Calculations'!JA430&gt;0,1,0)</x:f>
        <x:v>0</x:v>
      </x:c>
      <x:c r="JC430" t="n">
        <x:f>IF(OR('Calculations'!HF430="",'Calculations'!HF430="!AMBIG"),0,IF('Dashboard'!$B$7="All",1,COUNTIFS('Calculations'!$HO$13:$HO$512,"="&amp;SUBSTITUTE(SUBSTITUTE(SUBSTITUTE('Calculations'!HF430,"~","~~"),"*","~*"),"?","~?"),'Calculations'!$HN$13:$HN$512,"="&amp;SUBSTITUTE(SUBSTITUTE(SUBSTITUTE('Dashboard'!$B$7,"~","~~"),"*","~*"),"?","~?"))+COUNTIFS('Calculations'!$HP$13:$HP$512,"="&amp;SUBSTITUTE(SUBSTITUTE(SUBSTITUTE('Calculations'!HF430,"~","~~"),"*","~*"),"?","~?"),'Calculations'!$HN$13:$HN$512,"="&amp;SUBSTITUTE(SUBSTITUTE(SUBSTITUTE('Dashboard'!$B$7,"~","~~"),"*","~*"),"?","~?"))+COUNTIFS('Calculations'!$HQ$13:$HQ$512,"="&amp;SUBSTITUTE(SUBSTITUTE(SUBSTITUTE('Calculations'!HF430,"~","~~"),"*","~*"),"?","~?"),'Calculations'!$HN$13:$HN$512,"="&amp;SUBSTITUTE(SUBSTITUTE(SUBSTITUTE('Dashboard'!$B$7,"~","~~"),"*","~*"),"?","~?"))+COUNTIFS('Calculations'!$HR$13:$HR$512,"="&amp;SUBSTITUTE(SUBSTITUTE(SUBSTITUTE('Calculations'!HF430,"~","~~"),"*","~*"),"?","~?"),'Calculations'!$HN$13:$HN$512,"="&amp;SUBSTITUTE(SUBSTITUTE(SUBSTITUTE('Dashboard'!$B$7,"~","~~"),"*","~*"),"?","~?"))+COUNTIFS('Calculations'!$HS$13:$HS$512,"="&amp;SUBSTITUTE(SUBSTITUTE(SUBSTITUTE('Calculations'!HF430,"~","~~"),"*","~*"),"?","~?"),'Calculations'!$HN$13:$HN$512,"="&amp;SUBSTITUTE(SUBSTITUTE(SUBSTITUTE('Dashboard'!$B$7,"~","~~"),"*","~*"),"?","~?"))+COUNTIFS('Calculations'!$HT$13:$HT$512,"="&amp;SUBSTITUTE(SUBSTITUTE(SUBSTITUTE('Calculations'!HF430,"~","~~"),"*","~*"),"?","~?"),'Calculations'!$HN$13:$HN$512,"="&amp;SUBSTITUTE(SUBSTITUTE(SUBSTITUTE('Dashboard'!$B$7,"~","~~"),"*","~*"),"?","~?"))+COUNTIFS('Calculations'!$HU$13:$HU$512,"="&amp;SUBSTITUTE(SUBSTITUTE(SUBSTITUTE('Calculations'!HF430,"~","~~"),"*","~*"),"?","~?"),'Calculations'!$HN$13:$HN$512,"="&amp;SUBSTITUTE(SUBSTITUTE(SUBSTITUTE('Dashboard'!$B$7,"~","~~"),"*","~*"),"?","~?"))+COUNTIFS('Calculations'!$HV$13:$HV$512,"="&amp;SUBSTITUTE(SUBSTITUTE(SUBSTITUTE('Calculations'!HF430,"~","~~"),"*","~*"),"?","~?"),'Calculations'!$HN$13:$HN$512,"="&amp;SUBSTITUTE(SUBSTITUTE(SUBSTITUTE('Dashboard'!$B$7,"~","~~"),"*","~*"),"?","~?"))+COUNTIFS('Calculations'!$HW$13:$HW$512,"="&amp;SUBSTITUTE(SUBSTITUTE(SUBSTITUTE('Calculations'!HF430,"~","~~"),"*","~*"),"?","~?"),'Calculations'!$HN$13:$HN$512,"="&amp;SUBSTITUTE(SUBSTITUTE(SUBSTITUTE('Dashboard'!$B$7,"~","~~"),"*","~*"),"?","~?"))+COUNTIFS('Calculations'!$HX$13:$HX$512,"="&amp;SUBSTITUTE(SUBSTITUTE(SUBSTITUTE('Calculations'!HF430,"~","~~"),"*","~*"),"?","~?"),'Calculations'!$HN$13:$HN$512,"="&amp;SUBSTITUTE(SUBSTITUTE(SUBSTITUTE('Dashboard'!$B$7,"~","~~"),"*","~*"),"?","~?"))+COUNTIFS('Calculations'!$HY$13:$HY$512,"="&amp;SUBSTITUTE(SUBSTITUTE(SUBSTITUTE('Calculations'!HF430,"~","~~"),"*","~*"),"?","~?"),'Calculations'!$HN$13:$HN$512,"="&amp;SUBSTITUTE(SUBSTITUTE(SUBSTITUTE('Dashboard'!$B$7,"~","~~"),"*","~*"),"?","~?"))+COUNTIFS('Calculations'!$HZ$13:$HZ$512,"="&amp;SUBSTITUTE(SUBSTITUTE(SUBSTITUTE('Calculations'!HF430,"~","~~"),"*","~*"),"?","~?"),'Calculations'!$HN$13:$HN$512,"="&amp;SUBSTITUTE(SUBSTITUTE(SUBSTITUTE('Dashboard'!$B$7,"~","~~"),"*","~*"),"?","~?"))+COUNTIFS('Calculations'!$IA$13:$IA$512,"="&amp;SUBSTITUTE(SUBSTITUTE(SUBSTITUTE('Calculations'!HF430,"~","~~"),"*","~*"),"?","~?"),'Calculations'!$HN$13:$HN$512,"="&amp;SUBSTITUTE(SUBSTITUTE(SUBSTITUTE('Dashboard'!$B$7,"~","~~"),"*","~*"),"?","~?"))+COUNTIFS('Calculations'!$IB$13:$IB$512,"="&amp;SUBSTITUTE(SUBSTITUTE(SUBSTITUTE('Calculations'!HF430,"~","~~"),"*","~*"),"?","~?"),'Calculations'!$HN$13:$HN$512,"="&amp;SUBSTITUTE(SUBSTITUTE(SUBSTITUTE('Dashboard'!$B$7,"~","~~"),"*","~*"),"?","~?"))+COUNTIFS('Calculations'!$IC$13:$IC$512,"="&amp;SUBSTITUTE(SUBSTITUTE(SUBSTITUTE('Calculations'!HF430,"~","~~"),"*","~*"),"?","~?"),'Calculations'!$HN$13:$HN$512,"="&amp;SUBSTITUTE(SUBSTITUTE(SUBSTITUTE('Dashboard'!$B$7,"~","~~"),"*","~*"),"?","~?"))+COUNTIFS('Calculations'!$ID$13:$ID$512,"="&amp;SUBSTITUTE(SUBSTITUTE(SUBSTITUTE('Calculations'!HF430,"~","~~"),"*","~*"),"?","~?"),'Calculations'!$HN$13:$HN$512,"="&amp;SUBSTITUTE(SUBSTITUTE(SUBSTITUTE('Dashboard'!$B$7,"~","~~"),"*","~*"),"?","~?"))+COUNTIFS('Calculations'!$IE$13:$IE$512,"="&amp;SUBSTITUTE(SUBSTITUTE(SUBSTITUTE('Calculations'!HF430,"~","~~"),"*","~*"),"?","~?"),'Calculations'!$HN$13:$HN$512,"="&amp;SUBSTITUTE(SUBSTITUTE(SUBSTITUTE('Dashboard'!$B$7,"~","~~"),"*","~*"),"?","~?"))+COUNTIFS('Calculations'!$IF$13:$IF$512,"="&amp;SUBSTITUTE(SUBSTITUTE(SUBSTITUTE('Calculations'!HF430,"~","~~"),"*","~*"),"?","~?"),'Calculations'!$HN$13:$HN$512,"="&amp;SUBSTITUTE(SUBSTITUTE(SUBSTITUTE('Dashboard'!$B$7,"~","~~"),"*","~*"),"?","~?"))+COUNTIFS('Calculations'!$IG$13:$IG$512,"="&amp;SUBSTITUTE(SUBSTITUTE(SUBSTITUTE('Calculations'!HF430,"~","~~"),"*","~*"),"?","~?"),'Calculations'!$HN$13:$HN$512,"="&amp;SUBSTITUTE(SUBSTITUTE(SUBSTITUTE('Dashboard'!$B$7,"~","~~"),"*","~*"),"?","~?"))+COUNTIFS('Calculations'!$IH$13:$IH$512,"="&amp;SUBSTITUTE(SUBSTITUTE(SUBSTITUTE('Calculations'!HF430,"~","~~"),"*","~*"),"?","~?"),'Calculations'!$HN$13:$HN$512,"="&amp;SUBSTITUTE(SUBSTITUTE(SUBSTITUTE('Dashboard'!$B$7,"~","~~"),"*","~*"),"?","~?"))))</x:f>
        <x:v>0</x:v>
      </x:c>
      <x:c r="JD430" t="n">
        <x:f>IF('Calculations'!EM430="",0,IF('Dashboard'!$B$7="All",1,IF('Calculations'!HN430='Dashboard'!$B$7,1,0)+IFERROR(INDEX('Calculations'!$JC$13:$JC$512,MATCH('Calculations'!HE430,'Calculations'!$HF$13:$HF$512,0)),0)))</x:f>
        <x:v>0</x:v>
      </x:c>
      <x:c r="JE430" t="n">
        <x:f>IF(AND('Calculations'!EM430&lt;&gt;"",'Calculations'!$JJ$2&lt;&gt;"All",'Calculations'!$JJ$2&lt;&gt;"",'Calculations'!HF430='Calculations'!$JJ$2,'Calculations'!HL430=0,'Calculations'!JD430&gt;0),MAX('Calculations'!$JE$12:JE429)+1,0)</x:f>
        <x:v>0</x:v>
      </x:c>
      <x:c r="JF430" t="str">
        <x:f>IF('Calculations'!EM430="","",IFERROR(IF(INDEX(INDIRECT("'WCM Calibration Final'!$G$1:$G$2000"),'Calculations'!$EM430)="","",TRIM(INDEX(INDIRECT("'WCM Calibration Final'!$G$1:$G$2000"),'Calculations'!$EM430)&amp;"")),""))</x:f>
      </x:c>
      <x:c r="JQ430" t="n">
        <x:f>IF(OR('Calculations'!BM430=0,NOT('Calculations'!$AG$2),'Calculations'!$AG$8&gt;0),0,IF(OR('Dashboard'!$B$7="All",'Calculations'!HN430='Dashboard'!$B$7),IF('Calculations'!$JJ$2="All",1,IF(AND('Calculations'!HF430='Calculations'!$JJ$2,'Calculations'!HL430=0),1,0)),0))</x:f>
        <x:v>0</x:v>
      </x:c>
    </x:row>
    <x:row r="431">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t="n">
        <x:f>IF('Calculations'!$EM431="",0,IF(OR(IFERROR(INDEX(INDIRECT("'WCM Calibration Final'!$A$1:$A$2000"),'Calculations'!$EM431)&lt;&gt;"",FALSE),IFERROR(INDEX(INDIRECT("'WCM Calibration Final'!$B$1:$B$2000"),'Calculations'!$EM431)&lt;&gt;"",FALSE),IFERROR(INDEX(INDIRECT("'WCM Calibration Final'!$C$1:$C$2000"),'Calculations'!$EM431)&lt;&gt;"",FALSE)),1,0))</x:f>
        <x:v>0</x:v>
      </x:c>
      <x:c r="BN431" s="4" t="n">
        <x:f>IF(AND('Calculations'!BM431=1,'Calculations'!$AG$2,'Calculations'!$EN431=1),1,0)</x:f>
        <x:v>0</x:v>
      </x:c>
      <x:c r="BO431" s="4" t="str">
        <x:f>IF('Calculations'!BM431=0,"",IFERROR(IF(AND(VALUE(INDEX(INDIRECT("'WCM Calibration Final'!$K$1:$K$2000"),'Calculations'!$EM431))&gt;=1,VALUE(INDEX(INDIRECT("'WCM Calibration Final'!$K$1:$K$2000"),'Calculations'!$EM431))&lt;=4,MOD(VALUE(INDEX(INDIRECT("'WCM Calibration Final'!$K$1:$K$2000"),'Calculations'!$EM431)),1)=0),VALUE(INDEX(INDIRECT("'WCM Calibration Final'!$K$1:$K$2000"),'Calculations'!$EM431)),""),""))</x:f>
      </x:c>
      <x:c r="BP431" s="4" t="str">
        <x:f>IF('Calculations'!BM431=0,"",IFERROR(IF(AND(VALUE(INDEX(INDIRECT("'WCM Calibration Final'!$L$1:$L$2000"),'Calculations'!$EM431))&gt;=1,VALUE(INDEX(INDIRECT("'WCM Calibration Final'!$L$1:$L$2000"),'Calculations'!$EM431))&lt;=4,MOD(VALUE(INDEX(INDIRECT("'WCM Calibration Final'!$L$1:$L$2000"),'Calculations'!$EM431)),1)=0),VALUE(INDEX(INDIRECT("'WCM Calibration Final'!$L$1:$L$2000"),'Calculations'!$EM431)),""),""))</x:f>
      </x:c>
      <x:c r="BQ431" s="4"/>
      <x:c r="BR431" s="4"/>
      <x:c r="BS431" s="4"/>
      <x:c r="BT431" s="4" t="n">
        <x:f>IF(AND('Calculations'!BM431=1,ISNUMBER('Calculations'!BO431),ISNUMBER('Calculations'!BP431)),1,0)</x:f>
        <x:v>0</x:v>
      </x:c>
      <x:c r="BU431" s="4" t="str">
        <x:f>IF('Calculations'!BM431=0,"",'Calculations'!$EO431)</x:f>
      </x:c>
      <x:c r="BV431" s="4" t="str">
        <x:f>IF('Calculations'!BM431=0,"",IFERROR(IF(OR(INDEX(INDIRECT("'WCM Calibration Final'!$H$1:$H$2000"),'Calculations'!$EM431)="MANAGING DIRECTOR",INDEX(INDIRECT("'WCM Calibration Final'!$H$1:$H$2000"),'Calculations'!$EM431)="DIRECTOR",INDEX(INDIRECT("'WCM Calibration Final'!$H$1:$H$2000"),'Calculations'!$EM431)="SENIOR VICE PRESIDENT",INDEX(INDIRECT("'WCM Calibration Final'!$H$1:$H$2000"),'Calculations'!$EM431)="VICE PRESIDENT",INDEX(INDIRECT("'WCM Calibration Final'!$H$1:$H$2000"),'Calculations'!$EM431)="ASSISTANT VICE PRESIDENT",INDEX(INDIRECT("'WCM Calibration Final'!$H$1:$H$2000"),'Calculations'!$EM431)="OFFICER"),UPPER(INDEX(INDIRECT("'WCM Calibration Final'!$H$1:$H$2000"),'Calculations'!$EM431)),"Other"),"Other"))</x:f>
      </x:c>
      <x:c r="BW431" s="4"/>
      <x:c r="BX431" s="4"/>
      <x:c r="BY431" s="4" t="n">
        <x:f>IF(AND('Calculations'!BM431=1,'Calculations'!BU431&lt;&gt;"",COUNTIF('Calculations'!$BU$12:BU431,'Calculations'!BU431)=1),MAX('Calculations'!$BY$11:BY430)+1,0)</x:f>
        <x:v>0</x:v>
      </x:c>
      <x:c r="BZ431" s="4" t="str">
        <x:f>IF('Dashboard'!$E$67="What",'Calculations'!BO431,'Calculations'!BP431)</x:f>
      </x:c>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t="str">
        <x:f>IF(420&gt;MAX('Calculations'!$HI$13:$HI$512),"",INDEX('Calculations'!$HN$13:$HN$512,MATCH(420,'Calculations'!$HI$13:$HI$512,0)))</x:f>
      </x:c>
      <x:c r="DB431" s="4" t="str">
        <x:f>IF(420&gt;MAX('Calculations'!$HH$13:$HH$512),"",INDEX('Calculations'!$HJ$13:$HJ$512,MATCH(420,'Calculations'!$HH$13:$HH$512,0)))</x:f>
      </x:c>
      <x:c r="DC431" s="4" t="str">
        <x:f>IF(ROW()-11&gt;MAX('Calculations'!$BY$13:$BY$512),"",INDEX('Calculations'!$BU$13:$BU$512,MATCH(ROW()-11,'Calculations'!$BY$13:$BY$512,0)))</x:f>
      </x:c>
      <x:c r="DD431" s="4" t="str">
        <x:f>IF(420&gt;MAX('Calculations'!$IK$13:$IK$512),"",INDEX('Calculations'!$HK$13:$HK$512,MATCH(420,'Calculations'!$IK$13:$IK$512,0)))</x:f>
      </x:c>
      <x:c r="DE431" s="4" t="str">
        <x:f>'Calculations'!DC431</x:f>
      </x:c>
      <x:c r="DF431" s="4" t="str">
        <x:f>IF('Calculations'!DE431="","",COUNTIFS('Calculations'!$BN$13:$BN$512,1,'Calculations'!$BU$13:$BU$512,'Calculations'!DE431))</x:f>
      </x:c>
      <x:c r="DG431" s="4" t="str">
        <x:f>IF('Calculations'!DE431="","",COUNTIFS('Calculations'!$BN$13:$BN$512,1,'Calculations'!$BU$13:$BU$512,'Calculations'!DE431,'Calculations'!$BT$13:$BT$512,1))</x:f>
      </x:c>
      <x:c r="DH431" s="4" t="str">
        <x:f>IF('Calculations'!DE431="","",'Calculations'!DF431-'Calculations'!DG431)</x:f>
      </x:c>
      <x:c r="DI431" s="4" t="str">
        <x:f>IF(OR('Calculations'!DE431="",'Calculations'!DF431=0),"",'Calculations'!DG431/'Calculations'!DF431)</x:f>
      </x:c>
      <x:c r="DJ431" s="4" t="str">
        <x:f>IF('Calculations'!DE431="","",COUNTIFS('Calculations'!$BN$13:$BN$512,1,'Calculations'!$BU$13:$BU$512,'Calculations'!DE431,'Calculations'!$BT$13:$BT$512,1,'Calculations'!$EE$13:$EE$512,"High"))</x:f>
      </x:c>
      <x:c r="DK431" s="4" t="str">
        <x:f>IF('Calculations'!DE431="","",COUNTIFS('Calculations'!$BN$13:$BN$512,1,'Calculations'!$BU$13:$BU$512,'Calculations'!DE431,'Calculations'!$BT$13:$BT$512,1,'Calculations'!$EE$13:$EE$512,"Strong"))</x:f>
      </x:c>
      <x:c r="DL431" s="4" t="str">
        <x:f>IF('Calculations'!DE431="","",COUNTIFS('Calculations'!$BN$13:$BN$512,1,'Calculations'!$BU$13:$BU$512,'Calculations'!DE431,'Calculations'!$BT$13:$BT$512,1,'Calculations'!$EE$13:$EE$512,"Solid"))</x:f>
      </x:c>
      <x:c r="DM431" s="4" t="str">
        <x:f>IF('Calculations'!DE431="","",COUNTIFS('Calculations'!$BN$13:$BN$512,1,'Calculations'!$BU$13:$BU$512,'Calculations'!DE431,'Calculations'!$BT$13:$BT$512,1,'Calculations'!$EE$13:$EE$512,"Low"))</x:f>
      </x:c>
      <x:c r="DN431" s="4" t="str">
        <x:f>IF('Calculations'!DE431="","",COUNTIFS('Calculations'!$BN$13:$BN$512,1,'Calculations'!$BU$13:$BU$512,'Calculations'!DE431,'Calculations'!$EP$13:$EP$512,1))</x:f>
      </x:c>
      <x:c r="DO431" s="4" t="str">
        <x:f>IF(OR('Calculations'!DE431="",'Calculations'!DG431=0),"",('Calculations'!DJ431+'Calculations'!DK431)/'Calculations'!DG431)</x:f>
      </x:c>
      <x:c r="DP431" s="4" t="n">
        <x:f>IF(AND('Calculations'!DE431&lt;&gt;"",'Calculations'!DF431&gt;0),COUNTIF('Calculations'!$DF$12:DF431,"&gt;0"),0)</x:f>
        <x:v>0</x:v>
      </x:c>
      <x:c r="DQ431" s="4" t="str">
        <x:f>IF(420&gt;MAX('Calculations'!$HH$13:$HH$512),"",INDEX('Calculations'!$HF$13:$HF$512,MATCH(420,'Calculations'!$HH$13:$HH$512,0)))</x:f>
      </x:c>
      <x:c r="DR431" s="4" t="str">
        <x:f>IF(420&gt;MAX('Calculations'!$IK$13:$IK$512),"",INDEX('Calculations'!$HE$13:$HE$512,MATCH(420,'Calculations'!$IK$13:$IK$512,0)))</x:f>
      </x:c>
      <x:c r="DS431" s="4"/>
      <x:c r="DT431" s="4"/>
      <x:c r="DU431" s="4"/>
      <x:c r="DV431" s="4"/>
      <x:c r="DW431" s="4"/>
      <x:c r="DX431" s="4"/>
      <x:c r="DY431" s="4"/>
      <x:c r="DZ431" s="4"/>
      <x:c r="EA431" s="4"/>
      <x:c r="EB431" s="4"/>
      <x:c r="EC431" s="4"/>
      <x:c r="ED431" s="4"/>
      <x:c r="EE431" s="4" t="str">
        <x:f>IF('Calculations'!BT431=0,"Not Rated",IF(OR('Calculations'!BO431&gt;=4,'Calculations'!BP431&gt;=4),"Low",IF('Calculations'!BO431+'Calculations'!BP431&lt;=3,"High",IF('Calculations'!BO431+'Calculations'!BP431&lt;=4,"Strong","Solid"))))</x:f>
        <x:v>Not Rated</x:v>
      </x:c>
      <x:c r="EF431" s="4"/>
      <x:c r="EG431" s="4"/>
      <x:c r="EH431" s="4"/>
      <x:c r="EI431" s="4"/>
      <x:c r="EJ431" s="4"/>
      <x:c r="EK431" s="4"/>
      <x:c r="EL431" s="4"/>
      <x:c r="EM431" s="4" t="str">
        <x:f>IF(419&gt;'Calculations'!$JB$2000,"",INDEX('Calculations'!$JA$12:$JA$2000,MATCH(419,'Calculations'!$JB$12:$JB$2000,0)))</x:f>
      </x:c>
      <x:c r="EN431" s="4" t="n">
        <x:f>IF(OR('Calculations'!EM431="",'Calculations'!$AG$8&gt;0,AND('Calculations'!$EF$2&lt;&gt;"All",'Calculations'!HE431='Calculations'!$EF$2),AND('Calculations'!$EF$3&lt;&gt;"All",'Calculations'!HE431='Calculations'!$EF$3)),0,IF(OR('Dashboard'!$B$7="All",'Calculations'!HN431='Dashboard'!$B$7),IF('Calculations'!$EF$2="All",1,IF('Calculations'!HL431&gt;0,0,IF(COUNTIF('Calculations'!HO431:II431,"="&amp;SUBSTITUTE(SUBSTITUTE(SUBSTITUTE('Calculations'!$EF$2,"~","~~"),"*","~*"),"?","~?"))=0,0,IF('Calculations'!$EF$3="All",1,IF(COUNTIF('Calculations'!HO431:II431,"="&amp;SUBSTITUTE(SUBSTITUTE(SUBSTITUTE('Calculations'!$EF$3,"~","~~"),"*","~*"),"?","~?"))&gt;0,1,0))))),0))</x:f>
        <x:v>0</x:v>
      </x:c>
      <x:c r="EO431" s="4" t="str">
        <x:f>IF('Calculations'!IJ431="","",IF('Calculations'!IJ431="!UNRESOLVED","Unresolved hierarchy",IFERROR(INDEX('Calculations'!$HK$13:$HK$512,MATCH('Calculations'!IJ431,'Calculations'!$HE$13:$HE$512,0)),IFERROR(INDEX('Calculations'!$HJ$13:$HJ$512,MATCH('Calculations'!IJ431,'Calculations'!$HF$13:$HF$512,0)),'Calculations'!IJ431))))</x:f>
      </x:c>
      <x:c r="EP431" s="4" t="n">
        <x:f>IF(AND('Calculations'!EM431&lt;&gt;"",'Calculations'!HF431='Calculations'!IJ431),1,0)</x:f>
        <x:v>0</x:v>
      </x:c>
      <x:c r="EQ431" s="4"/>
      <x:c r="ER431" s="4"/>
      <x:c r="ES431" s="4"/>
      <x:c r="ET431" s="4"/>
      <x:c r="EU431" s="4"/>
      <x:c r="EV431" s="4"/>
      <x:c r="EW431" s="4"/>
      <x:c r="EX431" s="4"/>
      <x:c r="EY431" s="4"/>
      <x:c r="EZ431" s="4"/>
      <x:c r="FA431" s="4"/>
      <x:c r="FB431" s="4"/>
      <x:c r="FC431" s="4"/>
      <x:c r="FD431" s="4"/>
      <x:c r="FE431" s="4"/>
      <x:c r="FF431" s="4"/>
      <x:c r="FG431" s="4"/>
      <x:c r="FH431" s="4"/>
      <x:c r="FI431" s="4"/>
      <x:c r="FJ431" s="4"/>
      <x:c r="FK431" s="4"/>
      <x:c r="FL431" s="4"/>
      <x:c r="FM431" s="4"/>
      <x:c r="FN431" s="4"/>
      <x:c r="FO431" s="4"/>
      <x:c r="HE431" t="str">
        <x:f>IF('Calculations'!EM431="","",IF(IFERROR(IF(INDEX(INDIRECT("'WCM Calibration Final'!$A$1:$A$2000"),'Calculations'!$EM431)="","",TRIM(INDEX(INDIRECT("'WCM Calibration Final'!$A$1:$A$2000"),'Calculations'!$EM431)&amp;"")),"")&lt;&gt;"","G:"&amp;IFERROR(TEXT(1*INDEX(INDIRECT("'WCM Calibration Final'!$A$1:$A$2000"),'Calculations'!$EM431),"0"),UPPER(IFERROR(IF(INDEX(INDIRECT("'WCM Calibration Final'!$A$1:$A$2000"),'Calculations'!$EM431)="","",TRIM(INDEX(INDIRECT("'WCM Calibration Final'!$A$1:$A$2000"),'Calculations'!$EM431)&amp;"")),""))),IF(IFERROR(IF(INDEX(INDIRECT("'WCM Calibration Final'!$C$1:$C$2000"),'Calculations'!$EM431)="","",TRIM(INDEX(INDIRECT("'WCM Calibration Final'!$C$1:$C$2000"),'Calculations'!$EM431)&amp;"")),"")&lt;&gt;"","S:"&amp;UPPER(IFERROR(IF(INDEX(INDIRECT("'WCM Calibration Final'!$C$1:$C$2000"),'Calculations'!$EM431)="","",TRIM(INDEX(INDIRECT("'WCM Calibration Final'!$C$1:$C$2000"),'Calculations'!$EM431)&amp;"")),"")),"R:"&amp;'Calculations'!EM431)))</x:f>
      </x:c>
      <x:c r="HF431" t="str">
        <x:f>IF('Calculations'!EM431="","",IF(IFERROR(IF(INDEX(INDIRECT("'WCM Calibration Final'!$D$1:$D$2000"),'Calculations'!$EM431)="","",TRIM(INDEX(INDIRECT("'WCM Calibration Final'!$D$1:$D$2000"),'Calculations'!$EM431)&amp;"")),"")&lt;&gt;"","G:"&amp;IFERROR(TEXT(1*INDEX(INDIRECT("'WCM Calibration Final'!$D$1:$D$2000"),'Calculations'!$EM431),"0"),UPPER(IFERROR(IF(INDEX(INDIRECT("'WCM Calibration Final'!$D$1:$D$2000"),'Calculations'!$EM431)="","",TRIM(INDEX(INDIRECT("'WCM Calibration Final'!$D$1:$D$2000"),'Calculations'!$EM431)&amp;"")),""))),IF(IFERROR(IF(INDEX(INDIRECT("'WCM Calibration Final'!$E$1:$E$2000"),'Calculations'!$EM431)="","",TRIM(INDEX(INDIRECT("'WCM Calibration Final'!$E$1:$E$2000"),'Calculations'!$EM431)&amp;"")),"")="","",IF(COUNTIF('Calculations'!$HG$13:$HG$512,"="&amp;SUBSTITUTE(SUBSTITUTE(SUBSTITUTE(IFERROR(IF(INDEX(INDIRECT("'WCM Calibration Final'!$E$1:$E$2000"),'Calculations'!$EM431)="","",TRIM(INDEX(INDIRECT("'WCM Calibration Final'!$E$1:$E$2000"),'Calculations'!$EM431)&amp;"")),""),"~","~~"),"*","~*"),"?","~?"))=1,INDEX('Calculations'!$HE$13:$HE$512,MATCH(IFERROR(IF(INDEX(INDIRECT("'WCM Calibration Final'!$E$1:$E$2000"),'Calculations'!$EM431)="","",TRIM(INDEX(INDIRECT("'WCM Calibration Final'!$E$1:$E$2000"),'Calculations'!$EM431)&amp;"")),""),'Calculations'!$HG$13:$HG$512,0)),IF(COUNTIF('Calculations'!$HG$13:$HG$512,"="&amp;SUBSTITUTE(SUBSTITUTE(SUBSTITUTE(IFERROR(IF(INDEX(INDIRECT("'WCM Calibration Final'!$E$1:$E$2000"),'Calculations'!$EM431)="","",TRIM(INDEX(INDIRECT("'WCM Calibration Final'!$E$1:$E$2000"),'Calculations'!$EM431)&amp;"")),""),"~","~~"),"*","~*"),"?","~?"))&gt;1,"!AMBIG","X:"&amp;IFERROR(IF(INDEX(INDIRECT("'WCM Calibration Final'!$E$1:$E$2000"),'Calculations'!$EM431)="","",TRIM(INDEX(INDIRECT("'WCM Calibration Final'!$E$1:$E$2000"),'Calculations'!$EM431)&amp;"")),""))))))</x:f>
      </x:c>
      <x:c r="HG431" t="str">
        <x:f>IF('Calculations'!EM431="","",IFERROR(IF(INDEX(INDIRECT("'WCM Calibration Final'!$B$1:$B$2000"),'Calculations'!$EM431)="","",TRIM(INDEX(INDIRECT("'WCM Calibration Final'!$B$1:$B$2000"),'Calculations'!$EM431)&amp;"")),""))</x:f>
      </x:c>
      <x:c r="HH431" t="n">
        <x:f>IF(AND('Calculations'!JC431&gt;0,COUNTIF('Calculations'!$HF$12:HF431,"="&amp;SUBSTITUTE(SUBSTITUTE(SUBSTITUTE('Calculations'!HF431,"~","~~"),"*","~*"),"?","~?"))=1),MAX('Calculations'!$HH$12:HH430)+1,0)</x:f>
        <x:v>0</x:v>
      </x:c>
      <x:c r="HI431" t="n">
        <x:f>IF(AND('Calculations'!HN431&lt;&gt;"",COUNTIF('Calculations'!$HN$12:HN431,"="&amp;SUBSTITUTE(SUBSTITUTE(SUBSTITUTE('Calculations'!HN431,"~","~~"),"*","~*"),"?","~?"))=1),MAX('Calculations'!$HI$12:HI430)+1,0)</x:f>
        <x:v>0</x:v>
      </x:c>
      <x:c r="HJ431" t="str">
        <x:f>IF('Calculations'!HF431="","",IF(COUNTIF('Calculations'!$HE$13:$HE$512,"="&amp;SUBSTITUTE(SUBSTITUTE(SUBSTITUTE('Calculations'!HF431,"~","~~"),"*","~*"),"?","~?"))=1,INDEX('Calculations'!$HK$13:$HK$512,MATCH('Calculations'!HF431,'Calculations'!$HE$13:$HE$512,0)),IFERROR(IF(INDEX(INDIRECT("'WCM Calibration Final'!$E$1:$E$2000"),'Calculations'!$EM431)="","",TRIM(INDEX(INDIRECT("'WCM Calibration Final'!$E$1:$E$2000"),'Calculations'!$EM431)&amp;"")),"")&amp;" ["&amp;'Calculations'!HF431&amp;"]"))</x:f>
      </x:c>
      <x:c r="HK431" t="str">
        <x:f>IF('Calculations'!EM431="","",'Calculations'!HG431&amp;" ["&amp;'Calculations'!HE431&amp;"]")</x:f>
      </x:c>
      <x:c r="HL431" t="n">
        <x:f>IF('Calculations'!EM431="",0,IF(OR('Calculations'!II431&lt;&gt;"",COUNTIF('Calculations'!$HE$13:$HE$512,"="&amp;SUBSTITUTE(SUBSTITUTE(SUBSTITUTE('Calculations'!HE431,"~","~~"),"*","~*"),"?","~?"))&gt;1),1,0))</x:f>
        <x:v>0</x:v>
      </x:c>
      <x:c r="HM431" t="str">
        <x:f>IF('Calculations'!EM431="","",IF('Calculations'!HL431=1,"!UNRESOLVED",IF('Calculations'!IH431&lt;&gt;"",'Calculations'!IH431,IF('Calculations'!IG431&lt;&gt;"",'Calculations'!IG431,IF('Calculations'!IF431&lt;&gt;"",'Calculations'!IF431,IF('Calculations'!IE431&lt;&gt;"",'Calculations'!IE431,IF('Calculations'!ID431&lt;&gt;"",'Calculations'!ID431,IF('Calculations'!IC431&lt;&gt;"",'Calculations'!IC431,IF('Calculations'!IB431&lt;&gt;"",'Calculations'!IB431,IF('Calculations'!IA431&lt;&gt;"",'Calculations'!IA431,IF('Calculations'!HZ431&lt;&gt;"",'Calculations'!HZ431,IF('Calculations'!HY431&lt;&gt;"",'Calculations'!HY431,IF('Calculations'!HX431&lt;&gt;"",'Calculations'!HX431,IF('Calculations'!HW431&lt;&gt;"",'Calculations'!HW431,IF('Calculations'!HV431&lt;&gt;"",'Calculations'!HV431,IF('Calculations'!HU431&lt;&gt;"",'Calculations'!HU431,IF('Calculations'!HT431&lt;&gt;"",'Calculations'!HT431,IF('Calculations'!HS431&lt;&gt;"",'Calculations'!HS431,IF('Calculations'!HR431&lt;&gt;"",'Calculations'!HR431,IF('Calculations'!HQ431&lt;&gt;"",'Calculations'!HQ431,IF('Calculations'!HP431&lt;&gt;"",'Calculations'!HP431,IF('Calculations'!HO431&lt;&gt;"",'Calculations'!HO431,'Calculations'!HE431))))))))))))))))))))))</x:f>
      </x:c>
      <x:c r="HN431" t="str">
        <x:f>IF('Calculations'!EM431="","",IF(IFERROR(IF(INDEX(INDIRECT("'WCM Calibration Final'!$F$1:$F$2000"),'Calculations'!$EM431)="","",TRIM(INDEX(INDIRECT("'WCM Calibration Final'!$F$1:$F$2000"),'Calculations'!$EM431)&amp;"")),"")="","(Blank)",IFERROR(IF(INDEX(INDIRECT("'WCM Calibration Final'!$F$1:$F$2000"),'Calculations'!$EM431)="","",TRIM(INDEX(INDIRECT("'WCM Calibration Final'!$F$1:$F$2000"),'Calculations'!$EM431)&amp;"")),"")))</x:f>
      </x:c>
      <x:c r="HO431" t="str">
        <x:f>'Calculations'!HF431</x:f>
      </x:c>
      <x:c r="HP431" t="str">
        <x:f>IF('Calculations'!HO431="","",IF('Calculations'!HO431="!AMBIG","!AMBIG",IF(COUNTIF('Calculations'!$HE$13:$HE$512,"="&amp;SUBSTITUTE(SUBSTITUTE(SUBSTITUTE('Calculations'!HO431,"~","~~"),"*","~*"),"?","~?"))&gt;1,"!AMBIG",IFERROR(INDEX('Calculations'!$HF$13:$HF$512,MATCH('Calculations'!HO431,'Calculations'!$HE$13:$HE$512,0)),""))))</x:f>
      </x:c>
      <x:c r="HQ431" t="str">
        <x:f>IF('Calculations'!HP431="","",IF('Calculations'!HP431="!AMBIG","!AMBIG",IF(COUNTIF('Calculations'!$HE$13:$HE$512,"="&amp;SUBSTITUTE(SUBSTITUTE(SUBSTITUTE('Calculations'!HP431,"~","~~"),"*","~*"),"?","~?"))&gt;1,"!AMBIG",IFERROR(INDEX('Calculations'!$HF$13:$HF$512,MATCH('Calculations'!HP431,'Calculations'!$HE$13:$HE$512,0)),""))))</x:f>
      </x:c>
      <x:c r="HR431" t="str">
        <x:f>IF('Calculations'!HQ431="","",IF('Calculations'!HQ431="!AMBIG","!AMBIG",IF(COUNTIF('Calculations'!$HE$13:$HE$512,"="&amp;SUBSTITUTE(SUBSTITUTE(SUBSTITUTE('Calculations'!HQ431,"~","~~"),"*","~*"),"?","~?"))&gt;1,"!AMBIG",IFERROR(INDEX('Calculations'!$HF$13:$HF$512,MATCH('Calculations'!HQ431,'Calculations'!$HE$13:$HE$512,0)),""))))</x:f>
      </x:c>
      <x:c r="HS431" t="str">
        <x:f>IF('Calculations'!HR431="","",IF('Calculations'!HR431="!AMBIG","!AMBIG",IF(COUNTIF('Calculations'!$HE$13:$HE$512,"="&amp;SUBSTITUTE(SUBSTITUTE(SUBSTITUTE('Calculations'!HR431,"~","~~"),"*","~*"),"?","~?"))&gt;1,"!AMBIG",IFERROR(INDEX('Calculations'!$HF$13:$HF$512,MATCH('Calculations'!HR431,'Calculations'!$HE$13:$HE$512,0)),""))))</x:f>
      </x:c>
      <x:c r="HT431" t="str">
        <x:f>IF('Calculations'!HS431="","",IF('Calculations'!HS431="!AMBIG","!AMBIG",IF(COUNTIF('Calculations'!$HE$13:$HE$512,"="&amp;SUBSTITUTE(SUBSTITUTE(SUBSTITUTE('Calculations'!HS431,"~","~~"),"*","~*"),"?","~?"))&gt;1,"!AMBIG",IFERROR(INDEX('Calculations'!$HF$13:$HF$512,MATCH('Calculations'!HS431,'Calculations'!$HE$13:$HE$512,0)),""))))</x:f>
      </x:c>
      <x:c r="HU431" t="str">
        <x:f>IF('Calculations'!HT431="","",IF('Calculations'!HT431="!AMBIG","!AMBIG",IF(COUNTIF('Calculations'!$HE$13:$HE$512,"="&amp;SUBSTITUTE(SUBSTITUTE(SUBSTITUTE('Calculations'!HT431,"~","~~"),"*","~*"),"?","~?"))&gt;1,"!AMBIG",IFERROR(INDEX('Calculations'!$HF$13:$HF$512,MATCH('Calculations'!HT431,'Calculations'!$HE$13:$HE$512,0)),""))))</x:f>
      </x:c>
      <x:c r="HV431" t="str">
        <x:f>IF('Calculations'!HU431="","",IF('Calculations'!HU431="!AMBIG","!AMBIG",IF(COUNTIF('Calculations'!$HE$13:$HE$512,"="&amp;SUBSTITUTE(SUBSTITUTE(SUBSTITUTE('Calculations'!HU431,"~","~~"),"*","~*"),"?","~?"))&gt;1,"!AMBIG",IFERROR(INDEX('Calculations'!$HF$13:$HF$512,MATCH('Calculations'!HU431,'Calculations'!$HE$13:$HE$512,0)),""))))</x:f>
      </x:c>
      <x:c r="HW431" t="str">
        <x:f>IF('Calculations'!HV431="","",IF('Calculations'!HV431="!AMBIG","!AMBIG",IF(COUNTIF('Calculations'!$HE$13:$HE$512,"="&amp;SUBSTITUTE(SUBSTITUTE(SUBSTITUTE('Calculations'!HV431,"~","~~"),"*","~*"),"?","~?"))&gt;1,"!AMBIG",IFERROR(INDEX('Calculations'!$HF$13:$HF$512,MATCH('Calculations'!HV431,'Calculations'!$HE$13:$HE$512,0)),""))))</x:f>
      </x:c>
      <x:c r="HX431" t="str">
        <x:f>IF('Calculations'!HW431="","",IF('Calculations'!HW431="!AMBIG","!AMBIG",IF(COUNTIF('Calculations'!$HE$13:$HE$512,"="&amp;SUBSTITUTE(SUBSTITUTE(SUBSTITUTE('Calculations'!HW431,"~","~~"),"*","~*"),"?","~?"))&gt;1,"!AMBIG",IFERROR(INDEX('Calculations'!$HF$13:$HF$512,MATCH('Calculations'!HW431,'Calculations'!$HE$13:$HE$512,0)),""))))</x:f>
      </x:c>
      <x:c r="HY431" t="str">
        <x:f>IF('Calculations'!HX431="","",IF('Calculations'!HX431="!AMBIG","!AMBIG",IF(COUNTIF('Calculations'!$HE$13:$HE$512,"="&amp;SUBSTITUTE(SUBSTITUTE(SUBSTITUTE('Calculations'!HX431,"~","~~"),"*","~*"),"?","~?"))&gt;1,"!AMBIG",IFERROR(INDEX('Calculations'!$HF$13:$HF$512,MATCH('Calculations'!HX431,'Calculations'!$HE$13:$HE$512,0)),""))))</x:f>
      </x:c>
      <x:c r="HZ431" t="str">
        <x:f>IF('Calculations'!HY431="","",IF('Calculations'!HY431="!AMBIG","!AMBIG",IF(COUNTIF('Calculations'!$HE$13:$HE$512,"="&amp;SUBSTITUTE(SUBSTITUTE(SUBSTITUTE('Calculations'!HY431,"~","~~"),"*","~*"),"?","~?"))&gt;1,"!AMBIG",IFERROR(INDEX('Calculations'!$HF$13:$HF$512,MATCH('Calculations'!HY431,'Calculations'!$HE$13:$HE$512,0)),""))))</x:f>
      </x:c>
      <x:c r="IA431" t="str">
        <x:f>IF('Calculations'!HZ431="","",IF('Calculations'!HZ431="!AMBIG","!AMBIG",IF(COUNTIF('Calculations'!$HE$13:$HE$512,"="&amp;SUBSTITUTE(SUBSTITUTE(SUBSTITUTE('Calculations'!HZ431,"~","~~"),"*","~*"),"?","~?"))&gt;1,"!AMBIG",IFERROR(INDEX('Calculations'!$HF$13:$HF$512,MATCH('Calculations'!HZ431,'Calculations'!$HE$13:$HE$512,0)),""))))</x:f>
      </x:c>
      <x:c r="IB431" t="str">
        <x:f>IF('Calculations'!IA431="","",IF('Calculations'!IA431="!AMBIG","!AMBIG",IF(COUNTIF('Calculations'!$HE$13:$HE$512,"="&amp;SUBSTITUTE(SUBSTITUTE(SUBSTITUTE('Calculations'!IA431,"~","~~"),"*","~*"),"?","~?"))&gt;1,"!AMBIG",IFERROR(INDEX('Calculations'!$HF$13:$HF$512,MATCH('Calculations'!IA431,'Calculations'!$HE$13:$HE$512,0)),""))))</x:f>
      </x:c>
      <x:c r="IC431" t="str">
        <x:f>IF('Calculations'!IB431="","",IF('Calculations'!IB431="!AMBIG","!AMBIG",IF(COUNTIF('Calculations'!$HE$13:$HE$512,"="&amp;SUBSTITUTE(SUBSTITUTE(SUBSTITUTE('Calculations'!IB431,"~","~~"),"*","~*"),"?","~?"))&gt;1,"!AMBIG",IFERROR(INDEX('Calculations'!$HF$13:$HF$512,MATCH('Calculations'!IB431,'Calculations'!$HE$13:$HE$512,0)),""))))</x:f>
      </x:c>
      <x:c r="ID431" t="str">
        <x:f>IF('Calculations'!IC431="","",IF('Calculations'!IC431="!AMBIG","!AMBIG",IF(COUNTIF('Calculations'!$HE$13:$HE$512,"="&amp;SUBSTITUTE(SUBSTITUTE(SUBSTITUTE('Calculations'!IC431,"~","~~"),"*","~*"),"?","~?"))&gt;1,"!AMBIG",IFERROR(INDEX('Calculations'!$HF$13:$HF$512,MATCH('Calculations'!IC431,'Calculations'!$HE$13:$HE$512,0)),""))))</x:f>
      </x:c>
      <x:c r="IE431" t="str">
        <x:f>IF('Calculations'!ID431="","",IF('Calculations'!ID431="!AMBIG","!AMBIG",IF(COUNTIF('Calculations'!$HE$13:$HE$512,"="&amp;SUBSTITUTE(SUBSTITUTE(SUBSTITUTE('Calculations'!ID431,"~","~~"),"*","~*"),"?","~?"))&gt;1,"!AMBIG",IFERROR(INDEX('Calculations'!$HF$13:$HF$512,MATCH('Calculations'!ID431,'Calculations'!$HE$13:$HE$512,0)),""))))</x:f>
      </x:c>
      <x:c r="IF431" t="str">
        <x:f>IF('Calculations'!IE431="","",IF('Calculations'!IE431="!AMBIG","!AMBIG",IF(COUNTIF('Calculations'!$HE$13:$HE$512,"="&amp;SUBSTITUTE(SUBSTITUTE(SUBSTITUTE('Calculations'!IE431,"~","~~"),"*","~*"),"?","~?"))&gt;1,"!AMBIG",IFERROR(INDEX('Calculations'!$HF$13:$HF$512,MATCH('Calculations'!IE431,'Calculations'!$HE$13:$HE$512,0)),""))))</x:f>
      </x:c>
      <x:c r="IG431" t="str">
        <x:f>IF('Calculations'!IF431="","",IF('Calculations'!IF431="!AMBIG","!AMBIG",IF(COUNTIF('Calculations'!$HE$13:$HE$512,"="&amp;SUBSTITUTE(SUBSTITUTE(SUBSTITUTE('Calculations'!IF431,"~","~~"),"*","~*"),"?","~?"))&gt;1,"!AMBIG",IFERROR(INDEX('Calculations'!$HF$13:$HF$512,MATCH('Calculations'!IF431,'Calculations'!$HE$13:$HE$512,0)),""))))</x:f>
      </x:c>
      <x:c r="IH431" t="str">
        <x:f>IF('Calculations'!IG431="","",IF('Calculations'!IG431="!AMBIG","!AMBIG",IF(COUNTIF('Calculations'!$HE$13:$HE$512,"="&amp;SUBSTITUTE(SUBSTITUTE(SUBSTITUTE('Calculations'!IG431,"~","~~"),"*","~*"),"?","~?"))&gt;1,"!AMBIG",IFERROR(INDEX('Calculations'!$HF$13:$HF$512,MATCH('Calculations'!IG431,'Calculations'!$HE$13:$HE$512,0)),""))))</x:f>
      </x:c>
      <x:c r="II431" t="str">
        <x:f>IF('Calculations'!IH431="","",IF('Calculations'!IH431="!AMBIG","!AMBIG",IF(COUNTIF('Calculations'!$HE$13:$HE$512,"="&amp;SUBSTITUTE(SUBSTITUTE(SUBSTITUTE('Calculations'!IH431,"~","~~"),"*","~*"),"?","~?"))&gt;1,"!AMBIG",IFERROR(INDEX('Calculations'!$HF$13:$HF$512,MATCH('Calculations'!IH431,'Calculations'!$HE$13:$HE$512,0)),""))))</x:f>
      </x:c>
      <x:c r="IJ431" t="str">
        <x:f>IF('Calculations'!EM431="","",IF('Calculations'!$EF$2="All",'Calculations'!HM431,IF('Calculations'!HL431=1,"",IFERROR(IF(MATCH('Calculations'!$EF$2,'Calculations'!HO431:II431,0)=1,'Calculations'!HE431,INDEX('Calculations'!HO431:II431,1,MATCH('Calculations'!$EF$2,'Calculations'!HO431:II431,0)-1)),""))))</x:f>
      </x:c>
      <x:c r="IK431" t="n">
        <x:f>IF(AND('Calculations'!EM431&lt;&gt;"",'Calculations'!$EF$2&lt;&gt;"All",'Calculations'!HF431='Calculations'!$EF$2,'Calculations'!HL431=0,'Calculations'!JD431&gt;0),MAX('Calculations'!$IK$12:IK430)+1,0)</x:f>
        <x:v>0</x:v>
      </x:c>
      <x:c r="JA431" t="n">
        <x:f>IF(OR(IFERROR(INDIRECT("'WCM Calibration Final'!$A$431")&lt;&gt;"",FALSE),IFERROR(INDIRECT("'WCM Calibration Final'!$B$431")&lt;&gt;"",FALSE),IFERROR(INDIRECT("'WCM Calibration Final'!$C$431")&lt;&gt;"",FALSE)),431,0)</x:f>
        <x:v>0</x:v>
      </x:c>
      <x:c r="JB431" t="n">
        <x:f>'Calculations'!JB430+IF('Calculations'!JA431&gt;0,1,0)</x:f>
        <x:v>0</x:v>
      </x:c>
      <x:c r="JC431" t="n">
        <x:f>IF(OR('Calculations'!HF431="",'Calculations'!HF431="!AMBIG"),0,IF('Dashboard'!$B$7="All",1,COUNTIFS('Calculations'!$HO$13:$HO$512,"="&amp;SUBSTITUTE(SUBSTITUTE(SUBSTITUTE('Calculations'!HF431,"~","~~"),"*","~*"),"?","~?"),'Calculations'!$HN$13:$HN$512,"="&amp;SUBSTITUTE(SUBSTITUTE(SUBSTITUTE('Dashboard'!$B$7,"~","~~"),"*","~*"),"?","~?"))+COUNTIFS('Calculations'!$HP$13:$HP$512,"="&amp;SUBSTITUTE(SUBSTITUTE(SUBSTITUTE('Calculations'!HF431,"~","~~"),"*","~*"),"?","~?"),'Calculations'!$HN$13:$HN$512,"="&amp;SUBSTITUTE(SUBSTITUTE(SUBSTITUTE('Dashboard'!$B$7,"~","~~"),"*","~*"),"?","~?"))+COUNTIFS('Calculations'!$HQ$13:$HQ$512,"="&amp;SUBSTITUTE(SUBSTITUTE(SUBSTITUTE('Calculations'!HF431,"~","~~"),"*","~*"),"?","~?"),'Calculations'!$HN$13:$HN$512,"="&amp;SUBSTITUTE(SUBSTITUTE(SUBSTITUTE('Dashboard'!$B$7,"~","~~"),"*","~*"),"?","~?"))+COUNTIFS('Calculations'!$HR$13:$HR$512,"="&amp;SUBSTITUTE(SUBSTITUTE(SUBSTITUTE('Calculations'!HF431,"~","~~"),"*","~*"),"?","~?"),'Calculations'!$HN$13:$HN$512,"="&amp;SUBSTITUTE(SUBSTITUTE(SUBSTITUTE('Dashboard'!$B$7,"~","~~"),"*","~*"),"?","~?"))+COUNTIFS('Calculations'!$HS$13:$HS$512,"="&amp;SUBSTITUTE(SUBSTITUTE(SUBSTITUTE('Calculations'!HF431,"~","~~"),"*","~*"),"?","~?"),'Calculations'!$HN$13:$HN$512,"="&amp;SUBSTITUTE(SUBSTITUTE(SUBSTITUTE('Dashboard'!$B$7,"~","~~"),"*","~*"),"?","~?"))+COUNTIFS('Calculations'!$HT$13:$HT$512,"="&amp;SUBSTITUTE(SUBSTITUTE(SUBSTITUTE('Calculations'!HF431,"~","~~"),"*","~*"),"?","~?"),'Calculations'!$HN$13:$HN$512,"="&amp;SUBSTITUTE(SUBSTITUTE(SUBSTITUTE('Dashboard'!$B$7,"~","~~"),"*","~*"),"?","~?"))+COUNTIFS('Calculations'!$HU$13:$HU$512,"="&amp;SUBSTITUTE(SUBSTITUTE(SUBSTITUTE('Calculations'!HF431,"~","~~"),"*","~*"),"?","~?"),'Calculations'!$HN$13:$HN$512,"="&amp;SUBSTITUTE(SUBSTITUTE(SUBSTITUTE('Dashboard'!$B$7,"~","~~"),"*","~*"),"?","~?"))+COUNTIFS('Calculations'!$HV$13:$HV$512,"="&amp;SUBSTITUTE(SUBSTITUTE(SUBSTITUTE('Calculations'!HF431,"~","~~"),"*","~*"),"?","~?"),'Calculations'!$HN$13:$HN$512,"="&amp;SUBSTITUTE(SUBSTITUTE(SUBSTITUTE('Dashboard'!$B$7,"~","~~"),"*","~*"),"?","~?"))+COUNTIFS('Calculations'!$HW$13:$HW$512,"="&amp;SUBSTITUTE(SUBSTITUTE(SUBSTITUTE('Calculations'!HF431,"~","~~"),"*","~*"),"?","~?"),'Calculations'!$HN$13:$HN$512,"="&amp;SUBSTITUTE(SUBSTITUTE(SUBSTITUTE('Dashboard'!$B$7,"~","~~"),"*","~*"),"?","~?"))+COUNTIFS('Calculations'!$HX$13:$HX$512,"="&amp;SUBSTITUTE(SUBSTITUTE(SUBSTITUTE('Calculations'!HF431,"~","~~"),"*","~*"),"?","~?"),'Calculations'!$HN$13:$HN$512,"="&amp;SUBSTITUTE(SUBSTITUTE(SUBSTITUTE('Dashboard'!$B$7,"~","~~"),"*","~*"),"?","~?"))+COUNTIFS('Calculations'!$HY$13:$HY$512,"="&amp;SUBSTITUTE(SUBSTITUTE(SUBSTITUTE('Calculations'!HF431,"~","~~"),"*","~*"),"?","~?"),'Calculations'!$HN$13:$HN$512,"="&amp;SUBSTITUTE(SUBSTITUTE(SUBSTITUTE('Dashboard'!$B$7,"~","~~"),"*","~*"),"?","~?"))+COUNTIFS('Calculations'!$HZ$13:$HZ$512,"="&amp;SUBSTITUTE(SUBSTITUTE(SUBSTITUTE('Calculations'!HF431,"~","~~"),"*","~*"),"?","~?"),'Calculations'!$HN$13:$HN$512,"="&amp;SUBSTITUTE(SUBSTITUTE(SUBSTITUTE('Dashboard'!$B$7,"~","~~"),"*","~*"),"?","~?"))+COUNTIFS('Calculations'!$IA$13:$IA$512,"="&amp;SUBSTITUTE(SUBSTITUTE(SUBSTITUTE('Calculations'!HF431,"~","~~"),"*","~*"),"?","~?"),'Calculations'!$HN$13:$HN$512,"="&amp;SUBSTITUTE(SUBSTITUTE(SUBSTITUTE('Dashboard'!$B$7,"~","~~"),"*","~*"),"?","~?"))+COUNTIFS('Calculations'!$IB$13:$IB$512,"="&amp;SUBSTITUTE(SUBSTITUTE(SUBSTITUTE('Calculations'!HF431,"~","~~"),"*","~*"),"?","~?"),'Calculations'!$HN$13:$HN$512,"="&amp;SUBSTITUTE(SUBSTITUTE(SUBSTITUTE('Dashboard'!$B$7,"~","~~"),"*","~*"),"?","~?"))+COUNTIFS('Calculations'!$IC$13:$IC$512,"="&amp;SUBSTITUTE(SUBSTITUTE(SUBSTITUTE('Calculations'!HF431,"~","~~"),"*","~*"),"?","~?"),'Calculations'!$HN$13:$HN$512,"="&amp;SUBSTITUTE(SUBSTITUTE(SUBSTITUTE('Dashboard'!$B$7,"~","~~"),"*","~*"),"?","~?"))+COUNTIFS('Calculations'!$ID$13:$ID$512,"="&amp;SUBSTITUTE(SUBSTITUTE(SUBSTITUTE('Calculations'!HF431,"~","~~"),"*","~*"),"?","~?"),'Calculations'!$HN$13:$HN$512,"="&amp;SUBSTITUTE(SUBSTITUTE(SUBSTITUTE('Dashboard'!$B$7,"~","~~"),"*","~*"),"?","~?"))+COUNTIFS('Calculations'!$IE$13:$IE$512,"="&amp;SUBSTITUTE(SUBSTITUTE(SUBSTITUTE('Calculations'!HF431,"~","~~"),"*","~*"),"?","~?"),'Calculations'!$HN$13:$HN$512,"="&amp;SUBSTITUTE(SUBSTITUTE(SUBSTITUTE('Dashboard'!$B$7,"~","~~"),"*","~*"),"?","~?"))+COUNTIFS('Calculations'!$IF$13:$IF$512,"="&amp;SUBSTITUTE(SUBSTITUTE(SUBSTITUTE('Calculations'!HF431,"~","~~"),"*","~*"),"?","~?"),'Calculations'!$HN$13:$HN$512,"="&amp;SUBSTITUTE(SUBSTITUTE(SUBSTITUTE('Dashboard'!$B$7,"~","~~"),"*","~*"),"?","~?"))+COUNTIFS('Calculations'!$IG$13:$IG$512,"="&amp;SUBSTITUTE(SUBSTITUTE(SUBSTITUTE('Calculations'!HF431,"~","~~"),"*","~*"),"?","~?"),'Calculations'!$HN$13:$HN$512,"="&amp;SUBSTITUTE(SUBSTITUTE(SUBSTITUTE('Dashboard'!$B$7,"~","~~"),"*","~*"),"?","~?"))+COUNTIFS('Calculations'!$IH$13:$IH$512,"="&amp;SUBSTITUTE(SUBSTITUTE(SUBSTITUTE('Calculations'!HF431,"~","~~"),"*","~*"),"?","~?"),'Calculations'!$HN$13:$HN$512,"="&amp;SUBSTITUTE(SUBSTITUTE(SUBSTITUTE('Dashboard'!$B$7,"~","~~"),"*","~*"),"?","~?"))))</x:f>
        <x:v>0</x:v>
      </x:c>
      <x:c r="JD431" t="n">
        <x:f>IF('Calculations'!EM431="",0,IF('Dashboard'!$B$7="All",1,IF('Calculations'!HN431='Dashboard'!$B$7,1,0)+IFERROR(INDEX('Calculations'!$JC$13:$JC$512,MATCH('Calculations'!HE431,'Calculations'!$HF$13:$HF$512,0)),0)))</x:f>
        <x:v>0</x:v>
      </x:c>
      <x:c r="JE431" t="n">
        <x:f>IF(AND('Calculations'!EM431&lt;&gt;"",'Calculations'!$JJ$2&lt;&gt;"All",'Calculations'!$JJ$2&lt;&gt;"",'Calculations'!HF431='Calculations'!$JJ$2,'Calculations'!HL431=0,'Calculations'!JD431&gt;0),MAX('Calculations'!$JE$12:JE430)+1,0)</x:f>
        <x:v>0</x:v>
      </x:c>
      <x:c r="JF431" t="str">
        <x:f>IF('Calculations'!EM431="","",IFERROR(IF(INDEX(INDIRECT("'WCM Calibration Final'!$G$1:$G$2000"),'Calculations'!$EM431)="","",TRIM(INDEX(INDIRECT("'WCM Calibration Final'!$G$1:$G$2000"),'Calculations'!$EM431)&amp;"")),""))</x:f>
      </x:c>
      <x:c r="JQ431" t="n">
        <x:f>IF(OR('Calculations'!BM431=0,NOT('Calculations'!$AG$2),'Calculations'!$AG$8&gt;0),0,IF(OR('Dashboard'!$B$7="All",'Calculations'!HN431='Dashboard'!$B$7),IF('Calculations'!$JJ$2="All",1,IF(AND('Calculations'!HF431='Calculations'!$JJ$2,'Calculations'!HL431=0),1,0)),0))</x:f>
        <x:v>0</x:v>
      </x:c>
    </x:row>
    <x:row r="432">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t="n">
        <x:f>IF('Calculations'!$EM432="",0,IF(OR(IFERROR(INDEX(INDIRECT("'WCM Calibration Final'!$A$1:$A$2000"),'Calculations'!$EM432)&lt;&gt;"",FALSE),IFERROR(INDEX(INDIRECT("'WCM Calibration Final'!$B$1:$B$2000"),'Calculations'!$EM432)&lt;&gt;"",FALSE),IFERROR(INDEX(INDIRECT("'WCM Calibration Final'!$C$1:$C$2000"),'Calculations'!$EM432)&lt;&gt;"",FALSE)),1,0))</x:f>
        <x:v>0</x:v>
      </x:c>
      <x:c r="BN432" s="4" t="n">
        <x:f>IF(AND('Calculations'!BM432=1,'Calculations'!$AG$2,'Calculations'!$EN432=1),1,0)</x:f>
        <x:v>0</x:v>
      </x:c>
      <x:c r="BO432" s="4" t="str">
        <x:f>IF('Calculations'!BM432=0,"",IFERROR(IF(AND(VALUE(INDEX(INDIRECT("'WCM Calibration Final'!$K$1:$K$2000"),'Calculations'!$EM432))&gt;=1,VALUE(INDEX(INDIRECT("'WCM Calibration Final'!$K$1:$K$2000"),'Calculations'!$EM432))&lt;=4,MOD(VALUE(INDEX(INDIRECT("'WCM Calibration Final'!$K$1:$K$2000"),'Calculations'!$EM432)),1)=0),VALUE(INDEX(INDIRECT("'WCM Calibration Final'!$K$1:$K$2000"),'Calculations'!$EM432)),""),""))</x:f>
      </x:c>
      <x:c r="BP432" s="4" t="str">
        <x:f>IF('Calculations'!BM432=0,"",IFERROR(IF(AND(VALUE(INDEX(INDIRECT("'WCM Calibration Final'!$L$1:$L$2000"),'Calculations'!$EM432))&gt;=1,VALUE(INDEX(INDIRECT("'WCM Calibration Final'!$L$1:$L$2000"),'Calculations'!$EM432))&lt;=4,MOD(VALUE(INDEX(INDIRECT("'WCM Calibration Final'!$L$1:$L$2000"),'Calculations'!$EM432)),1)=0),VALUE(INDEX(INDIRECT("'WCM Calibration Final'!$L$1:$L$2000"),'Calculations'!$EM432)),""),""))</x:f>
      </x:c>
      <x:c r="BQ432" s="4"/>
      <x:c r="BR432" s="4"/>
      <x:c r="BS432" s="4"/>
      <x:c r="BT432" s="4" t="n">
        <x:f>IF(AND('Calculations'!BM432=1,ISNUMBER('Calculations'!BO432),ISNUMBER('Calculations'!BP432)),1,0)</x:f>
        <x:v>0</x:v>
      </x:c>
      <x:c r="BU432" s="4" t="str">
        <x:f>IF('Calculations'!BM432=0,"",'Calculations'!$EO432)</x:f>
      </x:c>
      <x:c r="BV432" s="4" t="str">
        <x:f>IF('Calculations'!BM432=0,"",IFERROR(IF(OR(INDEX(INDIRECT("'WCM Calibration Final'!$H$1:$H$2000"),'Calculations'!$EM432)="MANAGING DIRECTOR",INDEX(INDIRECT("'WCM Calibration Final'!$H$1:$H$2000"),'Calculations'!$EM432)="DIRECTOR",INDEX(INDIRECT("'WCM Calibration Final'!$H$1:$H$2000"),'Calculations'!$EM432)="SENIOR VICE PRESIDENT",INDEX(INDIRECT("'WCM Calibration Final'!$H$1:$H$2000"),'Calculations'!$EM432)="VICE PRESIDENT",INDEX(INDIRECT("'WCM Calibration Final'!$H$1:$H$2000"),'Calculations'!$EM432)="ASSISTANT VICE PRESIDENT",INDEX(INDIRECT("'WCM Calibration Final'!$H$1:$H$2000"),'Calculations'!$EM432)="OFFICER"),UPPER(INDEX(INDIRECT("'WCM Calibration Final'!$H$1:$H$2000"),'Calculations'!$EM432)),"Other"),"Other"))</x:f>
      </x:c>
      <x:c r="BW432" s="4"/>
      <x:c r="BX432" s="4"/>
      <x:c r="BY432" s="4" t="n">
        <x:f>IF(AND('Calculations'!BM432=1,'Calculations'!BU432&lt;&gt;"",COUNTIF('Calculations'!$BU$12:BU432,'Calculations'!BU432)=1),MAX('Calculations'!$BY$11:BY431)+1,0)</x:f>
        <x:v>0</x:v>
      </x:c>
      <x:c r="BZ432" s="4" t="str">
        <x:f>IF('Dashboard'!$E$67="What",'Calculations'!BO432,'Calculations'!BP432)</x:f>
      </x:c>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t="str">
        <x:f>IF(421&gt;MAX('Calculations'!$HI$13:$HI$512),"",INDEX('Calculations'!$HN$13:$HN$512,MATCH(421,'Calculations'!$HI$13:$HI$512,0)))</x:f>
      </x:c>
      <x:c r="DB432" s="4" t="str">
        <x:f>IF(421&gt;MAX('Calculations'!$HH$13:$HH$512),"",INDEX('Calculations'!$HJ$13:$HJ$512,MATCH(421,'Calculations'!$HH$13:$HH$512,0)))</x:f>
      </x:c>
      <x:c r="DC432" s="4" t="str">
        <x:f>IF(ROW()-11&gt;MAX('Calculations'!$BY$13:$BY$512),"",INDEX('Calculations'!$BU$13:$BU$512,MATCH(ROW()-11,'Calculations'!$BY$13:$BY$512,0)))</x:f>
      </x:c>
      <x:c r="DD432" s="4" t="str">
        <x:f>IF(421&gt;MAX('Calculations'!$IK$13:$IK$512),"",INDEX('Calculations'!$HK$13:$HK$512,MATCH(421,'Calculations'!$IK$13:$IK$512,0)))</x:f>
      </x:c>
      <x:c r="DE432" s="4" t="str">
        <x:f>'Calculations'!DC432</x:f>
      </x:c>
      <x:c r="DF432" s="4" t="str">
        <x:f>IF('Calculations'!DE432="","",COUNTIFS('Calculations'!$BN$13:$BN$512,1,'Calculations'!$BU$13:$BU$512,'Calculations'!DE432))</x:f>
      </x:c>
      <x:c r="DG432" s="4" t="str">
        <x:f>IF('Calculations'!DE432="","",COUNTIFS('Calculations'!$BN$13:$BN$512,1,'Calculations'!$BU$13:$BU$512,'Calculations'!DE432,'Calculations'!$BT$13:$BT$512,1))</x:f>
      </x:c>
      <x:c r="DH432" s="4" t="str">
        <x:f>IF('Calculations'!DE432="","",'Calculations'!DF432-'Calculations'!DG432)</x:f>
      </x:c>
      <x:c r="DI432" s="4" t="str">
        <x:f>IF(OR('Calculations'!DE432="",'Calculations'!DF432=0),"",'Calculations'!DG432/'Calculations'!DF432)</x:f>
      </x:c>
      <x:c r="DJ432" s="4" t="str">
        <x:f>IF('Calculations'!DE432="","",COUNTIFS('Calculations'!$BN$13:$BN$512,1,'Calculations'!$BU$13:$BU$512,'Calculations'!DE432,'Calculations'!$BT$13:$BT$512,1,'Calculations'!$EE$13:$EE$512,"High"))</x:f>
      </x:c>
      <x:c r="DK432" s="4" t="str">
        <x:f>IF('Calculations'!DE432="","",COUNTIFS('Calculations'!$BN$13:$BN$512,1,'Calculations'!$BU$13:$BU$512,'Calculations'!DE432,'Calculations'!$BT$13:$BT$512,1,'Calculations'!$EE$13:$EE$512,"Strong"))</x:f>
      </x:c>
      <x:c r="DL432" s="4" t="str">
        <x:f>IF('Calculations'!DE432="","",COUNTIFS('Calculations'!$BN$13:$BN$512,1,'Calculations'!$BU$13:$BU$512,'Calculations'!DE432,'Calculations'!$BT$13:$BT$512,1,'Calculations'!$EE$13:$EE$512,"Solid"))</x:f>
      </x:c>
      <x:c r="DM432" s="4" t="str">
        <x:f>IF('Calculations'!DE432="","",COUNTIFS('Calculations'!$BN$13:$BN$512,1,'Calculations'!$BU$13:$BU$512,'Calculations'!DE432,'Calculations'!$BT$13:$BT$512,1,'Calculations'!$EE$13:$EE$512,"Low"))</x:f>
      </x:c>
      <x:c r="DN432" s="4" t="str">
        <x:f>IF('Calculations'!DE432="","",COUNTIFS('Calculations'!$BN$13:$BN$512,1,'Calculations'!$BU$13:$BU$512,'Calculations'!DE432,'Calculations'!$EP$13:$EP$512,1))</x:f>
      </x:c>
      <x:c r="DO432" s="4" t="str">
        <x:f>IF(OR('Calculations'!DE432="",'Calculations'!DG432=0),"",('Calculations'!DJ432+'Calculations'!DK432)/'Calculations'!DG432)</x:f>
      </x:c>
      <x:c r="DP432" s="4" t="n">
        <x:f>IF(AND('Calculations'!DE432&lt;&gt;"",'Calculations'!DF432&gt;0),COUNTIF('Calculations'!$DF$12:DF432,"&gt;0"),0)</x:f>
        <x:v>0</x:v>
      </x:c>
      <x:c r="DQ432" s="4" t="str">
        <x:f>IF(421&gt;MAX('Calculations'!$HH$13:$HH$512),"",INDEX('Calculations'!$HF$13:$HF$512,MATCH(421,'Calculations'!$HH$13:$HH$512,0)))</x:f>
      </x:c>
      <x:c r="DR432" s="4" t="str">
        <x:f>IF(421&gt;MAX('Calculations'!$IK$13:$IK$512),"",INDEX('Calculations'!$HE$13:$HE$512,MATCH(421,'Calculations'!$IK$13:$IK$512,0)))</x:f>
      </x:c>
      <x:c r="DS432" s="4"/>
      <x:c r="DT432" s="4"/>
      <x:c r="DU432" s="4"/>
      <x:c r="DV432" s="4"/>
      <x:c r="DW432" s="4"/>
      <x:c r="DX432" s="4"/>
      <x:c r="DY432" s="4"/>
      <x:c r="DZ432" s="4"/>
      <x:c r="EA432" s="4"/>
      <x:c r="EB432" s="4"/>
      <x:c r="EC432" s="4"/>
      <x:c r="ED432" s="4"/>
      <x:c r="EE432" s="4" t="str">
        <x:f>IF('Calculations'!BT432=0,"Not Rated",IF(OR('Calculations'!BO432&gt;=4,'Calculations'!BP432&gt;=4),"Low",IF('Calculations'!BO432+'Calculations'!BP432&lt;=3,"High",IF('Calculations'!BO432+'Calculations'!BP432&lt;=4,"Strong","Solid"))))</x:f>
        <x:v>Not Rated</x:v>
      </x:c>
      <x:c r="EF432" s="4"/>
      <x:c r="EG432" s="4"/>
      <x:c r="EH432" s="4"/>
      <x:c r="EI432" s="4"/>
      <x:c r="EJ432" s="4"/>
      <x:c r="EK432" s="4"/>
      <x:c r="EL432" s="4"/>
      <x:c r="EM432" s="4" t="str">
        <x:f>IF(420&gt;'Calculations'!$JB$2000,"",INDEX('Calculations'!$JA$12:$JA$2000,MATCH(420,'Calculations'!$JB$12:$JB$2000,0)))</x:f>
      </x:c>
      <x:c r="EN432" s="4" t="n">
        <x:f>IF(OR('Calculations'!EM432="",'Calculations'!$AG$8&gt;0,AND('Calculations'!$EF$2&lt;&gt;"All",'Calculations'!HE432='Calculations'!$EF$2),AND('Calculations'!$EF$3&lt;&gt;"All",'Calculations'!HE432='Calculations'!$EF$3)),0,IF(OR('Dashboard'!$B$7="All",'Calculations'!HN432='Dashboard'!$B$7),IF('Calculations'!$EF$2="All",1,IF('Calculations'!HL432&gt;0,0,IF(COUNTIF('Calculations'!HO432:II432,"="&amp;SUBSTITUTE(SUBSTITUTE(SUBSTITUTE('Calculations'!$EF$2,"~","~~"),"*","~*"),"?","~?"))=0,0,IF('Calculations'!$EF$3="All",1,IF(COUNTIF('Calculations'!HO432:II432,"="&amp;SUBSTITUTE(SUBSTITUTE(SUBSTITUTE('Calculations'!$EF$3,"~","~~"),"*","~*"),"?","~?"))&gt;0,1,0))))),0))</x:f>
        <x:v>0</x:v>
      </x:c>
      <x:c r="EO432" s="4" t="str">
        <x:f>IF('Calculations'!IJ432="","",IF('Calculations'!IJ432="!UNRESOLVED","Unresolved hierarchy",IFERROR(INDEX('Calculations'!$HK$13:$HK$512,MATCH('Calculations'!IJ432,'Calculations'!$HE$13:$HE$512,0)),IFERROR(INDEX('Calculations'!$HJ$13:$HJ$512,MATCH('Calculations'!IJ432,'Calculations'!$HF$13:$HF$512,0)),'Calculations'!IJ432))))</x:f>
      </x:c>
      <x:c r="EP432" s="4" t="n">
        <x:f>IF(AND('Calculations'!EM432&lt;&gt;"",'Calculations'!HF432='Calculations'!IJ432),1,0)</x:f>
        <x:v>0</x:v>
      </x:c>
      <x:c r="EQ432" s="4"/>
      <x:c r="ER432" s="4"/>
      <x:c r="ES432" s="4"/>
      <x:c r="ET432" s="4"/>
      <x:c r="EU432" s="4"/>
      <x:c r="EV432" s="4"/>
      <x:c r="EW432" s="4"/>
      <x:c r="EX432" s="4"/>
      <x:c r="EY432" s="4"/>
      <x:c r="EZ432" s="4"/>
      <x:c r="FA432" s="4"/>
      <x:c r="FB432" s="4"/>
      <x:c r="FC432" s="4"/>
      <x:c r="FD432" s="4"/>
      <x:c r="FE432" s="4"/>
      <x:c r="FF432" s="4"/>
      <x:c r="FG432" s="4"/>
      <x:c r="FH432" s="4"/>
      <x:c r="FI432" s="4"/>
      <x:c r="FJ432" s="4"/>
      <x:c r="FK432" s="4"/>
      <x:c r="FL432" s="4"/>
      <x:c r="FM432" s="4"/>
      <x:c r="FN432" s="4"/>
      <x:c r="FO432" s="4"/>
      <x:c r="HE432" t="str">
        <x:f>IF('Calculations'!EM432="","",IF(IFERROR(IF(INDEX(INDIRECT("'WCM Calibration Final'!$A$1:$A$2000"),'Calculations'!$EM432)="","",TRIM(INDEX(INDIRECT("'WCM Calibration Final'!$A$1:$A$2000"),'Calculations'!$EM432)&amp;"")),"")&lt;&gt;"","G:"&amp;IFERROR(TEXT(1*INDEX(INDIRECT("'WCM Calibration Final'!$A$1:$A$2000"),'Calculations'!$EM432),"0"),UPPER(IFERROR(IF(INDEX(INDIRECT("'WCM Calibration Final'!$A$1:$A$2000"),'Calculations'!$EM432)="","",TRIM(INDEX(INDIRECT("'WCM Calibration Final'!$A$1:$A$2000"),'Calculations'!$EM432)&amp;"")),""))),IF(IFERROR(IF(INDEX(INDIRECT("'WCM Calibration Final'!$C$1:$C$2000"),'Calculations'!$EM432)="","",TRIM(INDEX(INDIRECT("'WCM Calibration Final'!$C$1:$C$2000"),'Calculations'!$EM432)&amp;"")),"")&lt;&gt;"","S:"&amp;UPPER(IFERROR(IF(INDEX(INDIRECT("'WCM Calibration Final'!$C$1:$C$2000"),'Calculations'!$EM432)="","",TRIM(INDEX(INDIRECT("'WCM Calibration Final'!$C$1:$C$2000"),'Calculations'!$EM432)&amp;"")),"")),"R:"&amp;'Calculations'!EM432)))</x:f>
      </x:c>
      <x:c r="HF432" t="str">
        <x:f>IF('Calculations'!EM432="","",IF(IFERROR(IF(INDEX(INDIRECT("'WCM Calibration Final'!$D$1:$D$2000"),'Calculations'!$EM432)="","",TRIM(INDEX(INDIRECT("'WCM Calibration Final'!$D$1:$D$2000"),'Calculations'!$EM432)&amp;"")),"")&lt;&gt;"","G:"&amp;IFERROR(TEXT(1*INDEX(INDIRECT("'WCM Calibration Final'!$D$1:$D$2000"),'Calculations'!$EM432),"0"),UPPER(IFERROR(IF(INDEX(INDIRECT("'WCM Calibration Final'!$D$1:$D$2000"),'Calculations'!$EM432)="","",TRIM(INDEX(INDIRECT("'WCM Calibration Final'!$D$1:$D$2000"),'Calculations'!$EM432)&amp;"")),""))),IF(IFERROR(IF(INDEX(INDIRECT("'WCM Calibration Final'!$E$1:$E$2000"),'Calculations'!$EM432)="","",TRIM(INDEX(INDIRECT("'WCM Calibration Final'!$E$1:$E$2000"),'Calculations'!$EM432)&amp;"")),"")="","",IF(COUNTIF('Calculations'!$HG$13:$HG$512,"="&amp;SUBSTITUTE(SUBSTITUTE(SUBSTITUTE(IFERROR(IF(INDEX(INDIRECT("'WCM Calibration Final'!$E$1:$E$2000"),'Calculations'!$EM432)="","",TRIM(INDEX(INDIRECT("'WCM Calibration Final'!$E$1:$E$2000"),'Calculations'!$EM432)&amp;"")),""),"~","~~"),"*","~*"),"?","~?"))=1,INDEX('Calculations'!$HE$13:$HE$512,MATCH(IFERROR(IF(INDEX(INDIRECT("'WCM Calibration Final'!$E$1:$E$2000"),'Calculations'!$EM432)="","",TRIM(INDEX(INDIRECT("'WCM Calibration Final'!$E$1:$E$2000"),'Calculations'!$EM432)&amp;"")),""),'Calculations'!$HG$13:$HG$512,0)),IF(COUNTIF('Calculations'!$HG$13:$HG$512,"="&amp;SUBSTITUTE(SUBSTITUTE(SUBSTITUTE(IFERROR(IF(INDEX(INDIRECT("'WCM Calibration Final'!$E$1:$E$2000"),'Calculations'!$EM432)="","",TRIM(INDEX(INDIRECT("'WCM Calibration Final'!$E$1:$E$2000"),'Calculations'!$EM432)&amp;"")),""),"~","~~"),"*","~*"),"?","~?"))&gt;1,"!AMBIG","X:"&amp;IFERROR(IF(INDEX(INDIRECT("'WCM Calibration Final'!$E$1:$E$2000"),'Calculations'!$EM432)="","",TRIM(INDEX(INDIRECT("'WCM Calibration Final'!$E$1:$E$2000"),'Calculations'!$EM432)&amp;"")),""))))))</x:f>
      </x:c>
      <x:c r="HG432" t="str">
        <x:f>IF('Calculations'!EM432="","",IFERROR(IF(INDEX(INDIRECT("'WCM Calibration Final'!$B$1:$B$2000"),'Calculations'!$EM432)="","",TRIM(INDEX(INDIRECT("'WCM Calibration Final'!$B$1:$B$2000"),'Calculations'!$EM432)&amp;"")),""))</x:f>
      </x:c>
      <x:c r="HH432" t="n">
        <x:f>IF(AND('Calculations'!JC432&gt;0,COUNTIF('Calculations'!$HF$12:HF432,"="&amp;SUBSTITUTE(SUBSTITUTE(SUBSTITUTE('Calculations'!HF432,"~","~~"),"*","~*"),"?","~?"))=1),MAX('Calculations'!$HH$12:HH431)+1,0)</x:f>
        <x:v>0</x:v>
      </x:c>
      <x:c r="HI432" t="n">
        <x:f>IF(AND('Calculations'!HN432&lt;&gt;"",COUNTIF('Calculations'!$HN$12:HN432,"="&amp;SUBSTITUTE(SUBSTITUTE(SUBSTITUTE('Calculations'!HN432,"~","~~"),"*","~*"),"?","~?"))=1),MAX('Calculations'!$HI$12:HI431)+1,0)</x:f>
        <x:v>0</x:v>
      </x:c>
      <x:c r="HJ432" t="str">
        <x:f>IF('Calculations'!HF432="","",IF(COUNTIF('Calculations'!$HE$13:$HE$512,"="&amp;SUBSTITUTE(SUBSTITUTE(SUBSTITUTE('Calculations'!HF432,"~","~~"),"*","~*"),"?","~?"))=1,INDEX('Calculations'!$HK$13:$HK$512,MATCH('Calculations'!HF432,'Calculations'!$HE$13:$HE$512,0)),IFERROR(IF(INDEX(INDIRECT("'WCM Calibration Final'!$E$1:$E$2000"),'Calculations'!$EM432)="","",TRIM(INDEX(INDIRECT("'WCM Calibration Final'!$E$1:$E$2000"),'Calculations'!$EM432)&amp;"")),"")&amp;" ["&amp;'Calculations'!HF432&amp;"]"))</x:f>
      </x:c>
      <x:c r="HK432" t="str">
        <x:f>IF('Calculations'!EM432="","",'Calculations'!HG432&amp;" ["&amp;'Calculations'!HE432&amp;"]")</x:f>
      </x:c>
      <x:c r="HL432" t="n">
        <x:f>IF('Calculations'!EM432="",0,IF(OR('Calculations'!II432&lt;&gt;"",COUNTIF('Calculations'!$HE$13:$HE$512,"="&amp;SUBSTITUTE(SUBSTITUTE(SUBSTITUTE('Calculations'!HE432,"~","~~"),"*","~*"),"?","~?"))&gt;1),1,0))</x:f>
        <x:v>0</x:v>
      </x:c>
      <x:c r="HM432" t="str">
        <x:f>IF('Calculations'!EM432="","",IF('Calculations'!HL432=1,"!UNRESOLVED",IF('Calculations'!IH432&lt;&gt;"",'Calculations'!IH432,IF('Calculations'!IG432&lt;&gt;"",'Calculations'!IG432,IF('Calculations'!IF432&lt;&gt;"",'Calculations'!IF432,IF('Calculations'!IE432&lt;&gt;"",'Calculations'!IE432,IF('Calculations'!ID432&lt;&gt;"",'Calculations'!ID432,IF('Calculations'!IC432&lt;&gt;"",'Calculations'!IC432,IF('Calculations'!IB432&lt;&gt;"",'Calculations'!IB432,IF('Calculations'!IA432&lt;&gt;"",'Calculations'!IA432,IF('Calculations'!HZ432&lt;&gt;"",'Calculations'!HZ432,IF('Calculations'!HY432&lt;&gt;"",'Calculations'!HY432,IF('Calculations'!HX432&lt;&gt;"",'Calculations'!HX432,IF('Calculations'!HW432&lt;&gt;"",'Calculations'!HW432,IF('Calculations'!HV432&lt;&gt;"",'Calculations'!HV432,IF('Calculations'!HU432&lt;&gt;"",'Calculations'!HU432,IF('Calculations'!HT432&lt;&gt;"",'Calculations'!HT432,IF('Calculations'!HS432&lt;&gt;"",'Calculations'!HS432,IF('Calculations'!HR432&lt;&gt;"",'Calculations'!HR432,IF('Calculations'!HQ432&lt;&gt;"",'Calculations'!HQ432,IF('Calculations'!HP432&lt;&gt;"",'Calculations'!HP432,IF('Calculations'!HO432&lt;&gt;"",'Calculations'!HO432,'Calculations'!HE432))))))))))))))))))))))</x:f>
      </x:c>
      <x:c r="HN432" t="str">
        <x:f>IF('Calculations'!EM432="","",IF(IFERROR(IF(INDEX(INDIRECT("'WCM Calibration Final'!$F$1:$F$2000"),'Calculations'!$EM432)="","",TRIM(INDEX(INDIRECT("'WCM Calibration Final'!$F$1:$F$2000"),'Calculations'!$EM432)&amp;"")),"")="","(Blank)",IFERROR(IF(INDEX(INDIRECT("'WCM Calibration Final'!$F$1:$F$2000"),'Calculations'!$EM432)="","",TRIM(INDEX(INDIRECT("'WCM Calibration Final'!$F$1:$F$2000"),'Calculations'!$EM432)&amp;"")),"")))</x:f>
      </x:c>
      <x:c r="HO432" t="str">
        <x:f>'Calculations'!HF432</x:f>
      </x:c>
      <x:c r="HP432" t="str">
        <x:f>IF('Calculations'!HO432="","",IF('Calculations'!HO432="!AMBIG","!AMBIG",IF(COUNTIF('Calculations'!$HE$13:$HE$512,"="&amp;SUBSTITUTE(SUBSTITUTE(SUBSTITUTE('Calculations'!HO432,"~","~~"),"*","~*"),"?","~?"))&gt;1,"!AMBIG",IFERROR(INDEX('Calculations'!$HF$13:$HF$512,MATCH('Calculations'!HO432,'Calculations'!$HE$13:$HE$512,0)),""))))</x:f>
      </x:c>
      <x:c r="HQ432" t="str">
        <x:f>IF('Calculations'!HP432="","",IF('Calculations'!HP432="!AMBIG","!AMBIG",IF(COUNTIF('Calculations'!$HE$13:$HE$512,"="&amp;SUBSTITUTE(SUBSTITUTE(SUBSTITUTE('Calculations'!HP432,"~","~~"),"*","~*"),"?","~?"))&gt;1,"!AMBIG",IFERROR(INDEX('Calculations'!$HF$13:$HF$512,MATCH('Calculations'!HP432,'Calculations'!$HE$13:$HE$512,0)),""))))</x:f>
      </x:c>
      <x:c r="HR432" t="str">
        <x:f>IF('Calculations'!HQ432="","",IF('Calculations'!HQ432="!AMBIG","!AMBIG",IF(COUNTIF('Calculations'!$HE$13:$HE$512,"="&amp;SUBSTITUTE(SUBSTITUTE(SUBSTITUTE('Calculations'!HQ432,"~","~~"),"*","~*"),"?","~?"))&gt;1,"!AMBIG",IFERROR(INDEX('Calculations'!$HF$13:$HF$512,MATCH('Calculations'!HQ432,'Calculations'!$HE$13:$HE$512,0)),""))))</x:f>
      </x:c>
      <x:c r="HS432" t="str">
        <x:f>IF('Calculations'!HR432="","",IF('Calculations'!HR432="!AMBIG","!AMBIG",IF(COUNTIF('Calculations'!$HE$13:$HE$512,"="&amp;SUBSTITUTE(SUBSTITUTE(SUBSTITUTE('Calculations'!HR432,"~","~~"),"*","~*"),"?","~?"))&gt;1,"!AMBIG",IFERROR(INDEX('Calculations'!$HF$13:$HF$512,MATCH('Calculations'!HR432,'Calculations'!$HE$13:$HE$512,0)),""))))</x:f>
      </x:c>
      <x:c r="HT432" t="str">
        <x:f>IF('Calculations'!HS432="","",IF('Calculations'!HS432="!AMBIG","!AMBIG",IF(COUNTIF('Calculations'!$HE$13:$HE$512,"="&amp;SUBSTITUTE(SUBSTITUTE(SUBSTITUTE('Calculations'!HS432,"~","~~"),"*","~*"),"?","~?"))&gt;1,"!AMBIG",IFERROR(INDEX('Calculations'!$HF$13:$HF$512,MATCH('Calculations'!HS432,'Calculations'!$HE$13:$HE$512,0)),""))))</x:f>
      </x:c>
      <x:c r="HU432" t="str">
        <x:f>IF('Calculations'!HT432="","",IF('Calculations'!HT432="!AMBIG","!AMBIG",IF(COUNTIF('Calculations'!$HE$13:$HE$512,"="&amp;SUBSTITUTE(SUBSTITUTE(SUBSTITUTE('Calculations'!HT432,"~","~~"),"*","~*"),"?","~?"))&gt;1,"!AMBIG",IFERROR(INDEX('Calculations'!$HF$13:$HF$512,MATCH('Calculations'!HT432,'Calculations'!$HE$13:$HE$512,0)),""))))</x:f>
      </x:c>
      <x:c r="HV432" t="str">
        <x:f>IF('Calculations'!HU432="","",IF('Calculations'!HU432="!AMBIG","!AMBIG",IF(COUNTIF('Calculations'!$HE$13:$HE$512,"="&amp;SUBSTITUTE(SUBSTITUTE(SUBSTITUTE('Calculations'!HU432,"~","~~"),"*","~*"),"?","~?"))&gt;1,"!AMBIG",IFERROR(INDEX('Calculations'!$HF$13:$HF$512,MATCH('Calculations'!HU432,'Calculations'!$HE$13:$HE$512,0)),""))))</x:f>
      </x:c>
      <x:c r="HW432" t="str">
        <x:f>IF('Calculations'!HV432="","",IF('Calculations'!HV432="!AMBIG","!AMBIG",IF(COUNTIF('Calculations'!$HE$13:$HE$512,"="&amp;SUBSTITUTE(SUBSTITUTE(SUBSTITUTE('Calculations'!HV432,"~","~~"),"*","~*"),"?","~?"))&gt;1,"!AMBIG",IFERROR(INDEX('Calculations'!$HF$13:$HF$512,MATCH('Calculations'!HV432,'Calculations'!$HE$13:$HE$512,0)),""))))</x:f>
      </x:c>
      <x:c r="HX432" t="str">
        <x:f>IF('Calculations'!HW432="","",IF('Calculations'!HW432="!AMBIG","!AMBIG",IF(COUNTIF('Calculations'!$HE$13:$HE$512,"="&amp;SUBSTITUTE(SUBSTITUTE(SUBSTITUTE('Calculations'!HW432,"~","~~"),"*","~*"),"?","~?"))&gt;1,"!AMBIG",IFERROR(INDEX('Calculations'!$HF$13:$HF$512,MATCH('Calculations'!HW432,'Calculations'!$HE$13:$HE$512,0)),""))))</x:f>
      </x:c>
      <x:c r="HY432" t="str">
        <x:f>IF('Calculations'!HX432="","",IF('Calculations'!HX432="!AMBIG","!AMBIG",IF(COUNTIF('Calculations'!$HE$13:$HE$512,"="&amp;SUBSTITUTE(SUBSTITUTE(SUBSTITUTE('Calculations'!HX432,"~","~~"),"*","~*"),"?","~?"))&gt;1,"!AMBIG",IFERROR(INDEX('Calculations'!$HF$13:$HF$512,MATCH('Calculations'!HX432,'Calculations'!$HE$13:$HE$512,0)),""))))</x:f>
      </x:c>
      <x:c r="HZ432" t="str">
        <x:f>IF('Calculations'!HY432="","",IF('Calculations'!HY432="!AMBIG","!AMBIG",IF(COUNTIF('Calculations'!$HE$13:$HE$512,"="&amp;SUBSTITUTE(SUBSTITUTE(SUBSTITUTE('Calculations'!HY432,"~","~~"),"*","~*"),"?","~?"))&gt;1,"!AMBIG",IFERROR(INDEX('Calculations'!$HF$13:$HF$512,MATCH('Calculations'!HY432,'Calculations'!$HE$13:$HE$512,0)),""))))</x:f>
      </x:c>
      <x:c r="IA432" t="str">
        <x:f>IF('Calculations'!HZ432="","",IF('Calculations'!HZ432="!AMBIG","!AMBIG",IF(COUNTIF('Calculations'!$HE$13:$HE$512,"="&amp;SUBSTITUTE(SUBSTITUTE(SUBSTITUTE('Calculations'!HZ432,"~","~~"),"*","~*"),"?","~?"))&gt;1,"!AMBIG",IFERROR(INDEX('Calculations'!$HF$13:$HF$512,MATCH('Calculations'!HZ432,'Calculations'!$HE$13:$HE$512,0)),""))))</x:f>
      </x:c>
      <x:c r="IB432" t="str">
        <x:f>IF('Calculations'!IA432="","",IF('Calculations'!IA432="!AMBIG","!AMBIG",IF(COUNTIF('Calculations'!$HE$13:$HE$512,"="&amp;SUBSTITUTE(SUBSTITUTE(SUBSTITUTE('Calculations'!IA432,"~","~~"),"*","~*"),"?","~?"))&gt;1,"!AMBIG",IFERROR(INDEX('Calculations'!$HF$13:$HF$512,MATCH('Calculations'!IA432,'Calculations'!$HE$13:$HE$512,0)),""))))</x:f>
      </x:c>
      <x:c r="IC432" t="str">
        <x:f>IF('Calculations'!IB432="","",IF('Calculations'!IB432="!AMBIG","!AMBIG",IF(COUNTIF('Calculations'!$HE$13:$HE$512,"="&amp;SUBSTITUTE(SUBSTITUTE(SUBSTITUTE('Calculations'!IB432,"~","~~"),"*","~*"),"?","~?"))&gt;1,"!AMBIG",IFERROR(INDEX('Calculations'!$HF$13:$HF$512,MATCH('Calculations'!IB432,'Calculations'!$HE$13:$HE$512,0)),""))))</x:f>
      </x:c>
      <x:c r="ID432" t="str">
        <x:f>IF('Calculations'!IC432="","",IF('Calculations'!IC432="!AMBIG","!AMBIG",IF(COUNTIF('Calculations'!$HE$13:$HE$512,"="&amp;SUBSTITUTE(SUBSTITUTE(SUBSTITUTE('Calculations'!IC432,"~","~~"),"*","~*"),"?","~?"))&gt;1,"!AMBIG",IFERROR(INDEX('Calculations'!$HF$13:$HF$512,MATCH('Calculations'!IC432,'Calculations'!$HE$13:$HE$512,0)),""))))</x:f>
      </x:c>
      <x:c r="IE432" t="str">
        <x:f>IF('Calculations'!ID432="","",IF('Calculations'!ID432="!AMBIG","!AMBIG",IF(COUNTIF('Calculations'!$HE$13:$HE$512,"="&amp;SUBSTITUTE(SUBSTITUTE(SUBSTITUTE('Calculations'!ID432,"~","~~"),"*","~*"),"?","~?"))&gt;1,"!AMBIG",IFERROR(INDEX('Calculations'!$HF$13:$HF$512,MATCH('Calculations'!ID432,'Calculations'!$HE$13:$HE$512,0)),""))))</x:f>
      </x:c>
      <x:c r="IF432" t="str">
        <x:f>IF('Calculations'!IE432="","",IF('Calculations'!IE432="!AMBIG","!AMBIG",IF(COUNTIF('Calculations'!$HE$13:$HE$512,"="&amp;SUBSTITUTE(SUBSTITUTE(SUBSTITUTE('Calculations'!IE432,"~","~~"),"*","~*"),"?","~?"))&gt;1,"!AMBIG",IFERROR(INDEX('Calculations'!$HF$13:$HF$512,MATCH('Calculations'!IE432,'Calculations'!$HE$13:$HE$512,0)),""))))</x:f>
      </x:c>
      <x:c r="IG432" t="str">
        <x:f>IF('Calculations'!IF432="","",IF('Calculations'!IF432="!AMBIG","!AMBIG",IF(COUNTIF('Calculations'!$HE$13:$HE$512,"="&amp;SUBSTITUTE(SUBSTITUTE(SUBSTITUTE('Calculations'!IF432,"~","~~"),"*","~*"),"?","~?"))&gt;1,"!AMBIG",IFERROR(INDEX('Calculations'!$HF$13:$HF$512,MATCH('Calculations'!IF432,'Calculations'!$HE$13:$HE$512,0)),""))))</x:f>
      </x:c>
      <x:c r="IH432" t="str">
        <x:f>IF('Calculations'!IG432="","",IF('Calculations'!IG432="!AMBIG","!AMBIG",IF(COUNTIF('Calculations'!$HE$13:$HE$512,"="&amp;SUBSTITUTE(SUBSTITUTE(SUBSTITUTE('Calculations'!IG432,"~","~~"),"*","~*"),"?","~?"))&gt;1,"!AMBIG",IFERROR(INDEX('Calculations'!$HF$13:$HF$512,MATCH('Calculations'!IG432,'Calculations'!$HE$13:$HE$512,0)),""))))</x:f>
      </x:c>
      <x:c r="II432" t="str">
        <x:f>IF('Calculations'!IH432="","",IF('Calculations'!IH432="!AMBIG","!AMBIG",IF(COUNTIF('Calculations'!$HE$13:$HE$512,"="&amp;SUBSTITUTE(SUBSTITUTE(SUBSTITUTE('Calculations'!IH432,"~","~~"),"*","~*"),"?","~?"))&gt;1,"!AMBIG",IFERROR(INDEX('Calculations'!$HF$13:$HF$512,MATCH('Calculations'!IH432,'Calculations'!$HE$13:$HE$512,0)),""))))</x:f>
      </x:c>
      <x:c r="IJ432" t="str">
        <x:f>IF('Calculations'!EM432="","",IF('Calculations'!$EF$2="All",'Calculations'!HM432,IF('Calculations'!HL432=1,"",IFERROR(IF(MATCH('Calculations'!$EF$2,'Calculations'!HO432:II432,0)=1,'Calculations'!HE432,INDEX('Calculations'!HO432:II432,1,MATCH('Calculations'!$EF$2,'Calculations'!HO432:II432,0)-1)),""))))</x:f>
      </x:c>
      <x:c r="IK432" t="n">
        <x:f>IF(AND('Calculations'!EM432&lt;&gt;"",'Calculations'!$EF$2&lt;&gt;"All",'Calculations'!HF432='Calculations'!$EF$2,'Calculations'!HL432=0,'Calculations'!JD432&gt;0),MAX('Calculations'!$IK$12:IK431)+1,0)</x:f>
        <x:v>0</x:v>
      </x:c>
      <x:c r="JA432" t="n">
        <x:f>IF(OR(IFERROR(INDIRECT("'WCM Calibration Final'!$A$432")&lt;&gt;"",FALSE),IFERROR(INDIRECT("'WCM Calibration Final'!$B$432")&lt;&gt;"",FALSE),IFERROR(INDIRECT("'WCM Calibration Final'!$C$432")&lt;&gt;"",FALSE)),432,0)</x:f>
        <x:v>0</x:v>
      </x:c>
      <x:c r="JB432" t="n">
        <x:f>'Calculations'!JB431+IF('Calculations'!JA432&gt;0,1,0)</x:f>
        <x:v>0</x:v>
      </x:c>
      <x:c r="JC432" t="n">
        <x:f>IF(OR('Calculations'!HF432="",'Calculations'!HF432="!AMBIG"),0,IF('Dashboard'!$B$7="All",1,COUNTIFS('Calculations'!$HO$13:$HO$512,"="&amp;SUBSTITUTE(SUBSTITUTE(SUBSTITUTE('Calculations'!HF432,"~","~~"),"*","~*"),"?","~?"),'Calculations'!$HN$13:$HN$512,"="&amp;SUBSTITUTE(SUBSTITUTE(SUBSTITUTE('Dashboard'!$B$7,"~","~~"),"*","~*"),"?","~?"))+COUNTIFS('Calculations'!$HP$13:$HP$512,"="&amp;SUBSTITUTE(SUBSTITUTE(SUBSTITUTE('Calculations'!HF432,"~","~~"),"*","~*"),"?","~?"),'Calculations'!$HN$13:$HN$512,"="&amp;SUBSTITUTE(SUBSTITUTE(SUBSTITUTE('Dashboard'!$B$7,"~","~~"),"*","~*"),"?","~?"))+COUNTIFS('Calculations'!$HQ$13:$HQ$512,"="&amp;SUBSTITUTE(SUBSTITUTE(SUBSTITUTE('Calculations'!HF432,"~","~~"),"*","~*"),"?","~?"),'Calculations'!$HN$13:$HN$512,"="&amp;SUBSTITUTE(SUBSTITUTE(SUBSTITUTE('Dashboard'!$B$7,"~","~~"),"*","~*"),"?","~?"))+COUNTIFS('Calculations'!$HR$13:$HR$512,"="&amp;SUBSTITUTE(SUBSTITUTE(SUBSTITUTE('Calculations'!HF432,"~","~~"),"*","~*"),"?","~?"),'Calculations'!$HN$13:$HN$512,"="&amp;SUBSTITUTE(SUBSTITUTE(SUBSTITUTE('Dashboard'!$B$7,"~","~~"),"*","~*"),"?","~?"))+COUNTIFS('Calculations'!$HS$13:$HS$512,"="&amp;SUBSTITUTE(SUBSTITUTE(SUBSTITUTE('Calculations'!HF432,"~","~~"),"*","~*"),"?","~?"),'Calculations'!$HN$13:$HN$512,"="&amp;SUBSTITUTE(SUBSTITUTE(SUBSTITUTE('Dashboard'!$B$7,"~","~~"),"*","~*"),"?","~?"))+COUNTIFS('Calculations'!$HT$13:$HT$512,"="&amp;SUBSTITUTE(SUBSTITUTE(SUBSTITUTE('Calculations'!HF432,"~","~~"),"*","~*"),"?","~?"),'Calculations'!$HN$13:$HN$512,"="&amp;SUBSTITUTE(SUBSTITUTE(SUBSTITUTE('Dashboard'!$B$7,"~","~~"),"*","~*"),"?","~?"))+COUNTIFS('Calculations'!$HU$13:$HU$512,"="&amp;SUBSTITUTE(SUBSTITUTE(SUBSTITUTE('Calculations'!HF432,"~","~~"),"*","~*"),"?","~?"),'Calculations'!$HN$13:$HN$512,"="&amp;SUBSTITUTE(SUBSTITUTE(SUBSTITUTE('Dashboard'!$B$7,"~","~~"),"*","~*"),"?","~?"))+COUNTIFS('Calculations'!$HV$13:$HV$512,"="&amp;SUBSTITUTE(SUBSTITUTE(SUBSTITUTE('Calculations'!HF432,"~","~~"),"*","~*"),"?","~?"),'Calculations'!$HN$13:$HN$512,"="&amp;SUBSTITUTE(SUBSTITUTE(SUBSTITUTE('Dashboard'!$B$7,"~","~~"),"*","~*"),"?","~?"))+COUNTIFS('Calculations'!$HW$13:$HW$512,"="&amp;SUBSTITUTE(SUBSTITUTE(SUBSTITUTE('Calculations'!HF432,"~","~~"),"*","~*"),"?","~?"),'Calculations'!$HN$13:$HN$512,"="&amp;SUBSTITUTE(SUBSTITUTE(SUBSTITUTE('Dashboard'!$B$7,"~","~~"),"*","~*"),"?","~?"))+COUNTIFS('Calculations'!$HX$13:$HX$512,"="&amp;SUBSTITUTE(SUBSTITUTE(SUBSTITUTE('Calculations'!HF432,"~","~~"),"*","~*"),"?","~?"),'Calculations'!$HN$13:$HN$512,"="&amp;SUBSTITUTE(SUBSTITUTE(SUBSTITUTE('Dashboard'!$B$7,"~","~~"),"*","~*"),"?","~?"))+COUNTIFS('Calculations'!$HY$13:$HY$512,"="&amp;SUBSTITUTE(SUBSTITUTE(SUBSTITUTE('Calculations'!HF432,"~","~~"),"*","~*"),"?","~?"),'Calculations'!$HN$13:$HN$512,"="&amp;SUBSTITUTE(SUBSTITUTE(SUBSTITUTE('Dashboard'!$B$7,"~","~~"),"*","~*"),"?","~?"))+COUNTIFS('Calculations'!$HZ$13:$HZ$512,"="&amp;SUBSTITUTE(SUBSTITUTE(SUBSTITUTE('Calculations'!HF432,"~","~~"),"*","~*"),"?","~?"),'Calculations'!$HN$13:$HN$512,"="&amp;SUBSTITUTE(SUBSTITUTE(SUBSTITUTE('Dashboard'!$B$7,"~","~~"),"*","~*"),"?","~?"))+COUNTIFS('Calculations'!$IA$13:$IA$512,"="&amp;SUBSTITUTE(SUBSTITUTE(SUBSTITUTE('Calculations'!HF432,"~","~~"),"*","~*"),"?","~?"),'Calculations'!$HN$13:$HN$512,"="&amp;SUBSTITUTE(SUBSTITUTE(SUBSTITUTE('Dashboard'!$B$7,"~","~~"),"*","~*"),"?","~?"))+COUNTIFS('Calculations'!$IB$13:$IB$512,"="&amp;SUBSTITUTE(SUBSTITUTE(SUBSTITUTE('Calculations'!HF432,"~","~~"),"*","~*"),"?","~?"),'Calculations'!$HN$13:$HN$512,"="&amp;SUBSTITUTE(SUBSTITUTE(SUBSTITUTE('Dashboard'!$B$7,"~","~~"),"*","~*"),"?","~?"))+COUNTIFS('Calculations'!$IC$13:$IC$512,"="&amp;SUBSTITUTE(SUBSTITUTE(SUBSTITUTE('Calculations'!HF432,"~","~~"),"*","~*"),"?","~?"),'Calculations'!$HN$13:$HN$512,"="&amp;SUBSTITUTE(SUBSTITUTE(SUBSTITUTE('Dashboard'!$B$7,"~","~~"),"*","~*"),"?","~?"))+COUNTIFS('Calculations'!$ID$13:$ID$512,"="&amp;SUBSTITUTE(SUBSTITUTE(SUBSTITUTE('Calculations'!HF432,"~","~~"),"*","~*"),"?","~?"),'Calculations'!$HN$13:$HN$512,"="&amp;SUBSTITUTE(SUBSTITUTE(SUBSTITUTE('Dashboard'!$B$7,"~","~~"),"*","~*"),"?","~?"))+COUNTIFS('Calculations'!$IE$13:$IE$512,"="&amp;SUBSTITUTE(SUBSTITUTE(SUBSTITUTE('Calculations'!HF432,"~","~~"),"*","~*"),"?","~?"),'Calculations'!$HN$13:$HN$512,"="&amp;SUBSTITUTE(SUBSTITUTE(SUBSTITUTE('Dashboard'!$B$7,"~","~~"),"*","~*"),"?","~?"))+COUNTIFS('Calculations'!$IF$13:$IF$512,"="&amp;SUBSTITUTE(SUBSTITUTE(SUBSTITUTE('Calculations'!HF432,"~","~~"),"*","~*"),"?","~?"),'Calculations'!$HN$13:$HN$512,"="&amp;SUBSTITUTE(SUBSTITUTE(SUBSTITUTE('Dashboard'!$B$7,"~","~~"),"*","~*"),"?","~?"))+COUNTIFS('Calculations'!$IG$13:$IG$512,"="&amp;SUBSTITUTE(SUBSTITUTE(SUBSTITUTE('Calculations'!HF432,"~","~~"),"*","~*"),"?","~?"),'Calculations'!$HN$13:$HN$512,"="&amp;SUBSTITUTE(SUBSTITUTE(SUBSTITUTE('Dashboard'!$B$7,"~","~~"),"*","~*"),"?","~?"))+COUNTIFS('Calculations'!$IH$13:$IH$512,"="&amp;SUBSTITUTE(SUBSTITUTE(SUBSTITUTE('Calculations'!HF432,"~","~~"),"*","~*"),"?","~?"),'Calculations'!$HN$13:$HN$512,"="&amp;SUBSTITUTE(SUBSTITUTE(SUBSTITUTE('Dashboard'!$B$7,"~","~~"),"*","~*"),"?","~?"))))</x:f>
        <x:v>0</x:v>
      </x:c>
      <x:c r="JD432" t="n">
        <x:f>IF('Calculations'!EM432="",0,IF('Dashboard'!$B$7="All",1,IF('Calculations'!HN432='Dashboard'!$B$7,1,0)+IFERROR(INDEX('Calculations'!$JC$13:$JC$512,MATCH('Calculations'!HE432,'Calculations'!$HF$13:$HF$512,0)),0)))</x:f>
        <x:v>0</x:v>
      </x:c>
      <x:c r="JE432" t="n">
        <x:f>IF(AND('Calculations'!EM432&lt;&gt;"",'Calculations'!$JJ$2&lt;&gt;"All",'Calculations'!$JJ$2&lt;&gt;"",'Calculations'!HF432='Calculations'!$JJ$2,'Calculations'!HL432=0,'Calculations'!JD432&gt;0),MAX('Calculations'!$JE$12:JE431)+1,0)</x:f>
        <x:v>0</x:v>
      </x:c>
      <x:c r="JF432" t="str">
        <x:f>IF('Calculations'!EM432="","",IFERROR(IF(INDEX(INDIRECT("'WCM Calibration Final'!$G$1:$G$2000"),'Calculations'!$EM432)="","",TRIM(INDEX(INDIRECT("'WCM Calibration Final'!$G$1:$G$2000"),'Calculations'!$EM432)&amp;"")),""))</x:f>
      </x:c>
      <x:c r="JQ432" t="n">
        <x:f>IF(OR('Calculations'!BM432=0,NOT('Calculations'!$AG$2),'Calculations'!$AG$8&gt;0),0,IF(OR('Dashboard'!$B$7="All",'Calculations'!HN432='Dashboard'!$B$7),IF('Calculations'!$JJ$2="All",1,IF(AND('Calculations'!HF432='Calculations'!$JJ$2,'Calculations'!HL432=0),1,0)),0))</x:f>
        <x:v>0</x:v>
      </x:c>
    </x:row>
    <x:row r="433">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t="n">
        <x:f>IF('Calculations'!$EM433="",0,IF(OR(IFERROR(INDEX(INDIRECT("'WCM Calibration Final'!$A$1:$A$2000"),'Calculations'!$EM433)&lt;&gt;"",FALSE),IFERROR(INDEX(INDIRECT("'WCM Calibration Final'!$B$1:$B$2000"),'Calculations'!$EM433)&lt;&gt;"",FALSE),IFERROR(INDEX(INDIRECT("'WCM Calibration Final'!$C$1:$C$2000"),'Calculations'!$EM433)&lt;&gt;"",FALSE)),1,0))</x:f>
        <x:v>0</x:v>
      </x:c>
      <x:c r="BN433" s="4" t="n">
        <x:f>IF(AND('Calculations'!BM433=1,'Calculations'!$AG$2,'Calculations'!$EN433=1),1,0)</x:f>
        <x:v>0</x:v>
      </x:c>
      <x:c r="BO433" s="4" t="str">
        <x:f>IF('Calculations'!BM433=0,"",IFERROR(IF(AND(VALUE(INDEX(INDIRECT("'WCM Calibration Final'!$K$1:$K$2000"),'Calculations'!$EM433))&gt;=1,VALUE(INDEX(INDIRECT("'WCM Calibration Final'!$K$1:$K$2000"),'Calculations'!$EM433))&lt;=4,MOD(VALUE(INDEX(INDIRECT("'WCM Calibration Final'!$K$1:$K$2000"),'Calculations'!$EM433)),1)=0),VALUE(INDEX(INDIRECT("'WCM Calibration Final'!$K$1:$K$2000"),'Calculations'!$EM433)),""),""))</x:f>
      </x:c>
      <x:c r="BP433" s="4" t="str">
        <x:f>IF('Calculations'!BM433=0,"",IFERROR(IF(AND(VALUE(INDEX(INDIRECT("'WCM Calibration Final'!$L$1:$L$2000"),'Calculations'!$EM433))&gt;=1,VALUE(INDEX(INDIRECT("'WCM Calibration Final'!$L$1:$L$2000"),'Calculations'!$EM433))&lt;=4,MOD(VALUE(INDEX(INDIRECT("'WCM Calibration Final'!$L$1:$L$2000"),'Calculations'!$EM433)),1)=0),VALUE(INDEX(INDIRECT("'WCM Calibration Final'!$L$1:$L$2000"),'Calculations'!$EM433)),""),""))</x:f>
      </x:c>
      <x:c r="BQ433" s="4"/>
      <x:c r="BR433" s="4"/>
      <x:c r="BS433" s="4"/>
      <x:c r="BT433" s="4" t="n">
        <x:f>IF(AND('Calculations'!BM433=1,ISNUMBER('Calculations'!BO433),ISNUMBER('Calculations'!BP433)),1,0)</x:f>
        <x:v>0</x:v>
      </x:c>
      <x:c r="BU433" s="4" t="str">
        <x:f>IF('Calculations'!BM433=0,"",'Calculations'!$EO433)</x:f>
      </x:c>
      <x:c r="BV433" s="4" t="str">
        <x:f>IF('Calculations'!BM433=0,"",IFERROR(IF(OR(INDEX(INDIRECT("'WCM Calibration Final'!$H$1:$H$2000"),'Calculations'!$EM433)="MANAGING DIRECTOR",INDEX(INDIRECT("'WCM Calibration Final'!$H$1:$H$2000"),'Calculations'!$EM433)="DIRECTOR",INDEX(INDIRECT("'WCM Calibration Final'!$H$1:$H$2000"),'Calculations'!$EM433)="SENIOR VICE PRESIDENT",INDEX(INDIRECT("'WCM Calibration Final'!$H$1:$H$2000"),'Calculations'!$EM433)="VICE PRESIDENT",INDEX(INDIRECT("'WCM Calibration Final'!$H$1:$H$2000"),'Calculations'!$EM433)="ASSISTANT VICE PRESIDENT",INDEX(INDIRECT("'WCM Calibration Final'!$H$1:$H$2000"),'Calculations'!$EM433)="OFFICER"),UPPER(INDEX(INDIRECT("'WCM Calibration Final'!$H$1:$H$2000"),'Calculations'!$EM433)),"Other"),"Other"))</x:f>
      </x:c>
      <x:c r="BW433" s="4"/>
      <x:c r="BX433" s="4"/>
      <x:c r="BY433" s="4" t="n">
        <x:f>IF(AND('Calculations'!BM433=1,'Calculations'!BU433&lt;&gt;"",COUNTIF('Calculations'!$BU$12:BU433,'Calculations'!BU433)=1),MAX('Calculations'!$BY$11:BY432)+1,0)</x:f>
        <x:v>0</x:v>
      </x:c>
      <x:c r="BZ433" s="4" t="str">
        <x:f>IF('Dashboard'!$E$67="What",'Calculations'!BO433,'Calculations'!BP433)</x:f>
      </x:c>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t="str">
        <x:f>IF(422&gt;MAX('Calculations'!$HI$13:$HI$512),"",INDEX('Calculations'!$HN$13:$HN$512,MATCH(422,'Calculations'!$HI$13:$HI$512,0)))</x:f>
      </x:c>
      <x:c r="DB433" s="4" t="str">
        <x:f>IF(422&gt;MAX('Calculations'!$HH$13:$HH$512),"",INDEX('Calculations'!$HJ$13:$HJ$512,MATCH(422,'Calculations'!$HH$13:$HH$512,0)))</x:f>
      </x:c>
      <x:c r="DC433" s="4" t="str">
        <x:f>IF(ROW()-11&gt;MAX('Calculations'!$BY$13:$BY$512),"",INDEX('Calculations'!$BU$13:$BU$512,MATCH(ROW()-11,'Calculations'!$BY$13:$BY$512,0)))</x:f>
      </x:c>
      <x:c r="DD433" s="4" t="str">
        <x:f>IF(422&gt;MAX('Calculations'!$IK$13:$IK$512),"",INDEX('Calculations'!$HK$13:$HK$512,MATCH(422,'Calculations'!$IK$13:$IK$512,0)))</x:f>
      </x:c>
      <x:c r="DE433" s="4" t="str">
        <x:f>'Calculations'!DC433</x:f>
      </x:c>
      <x:c r="DF433" s="4" t="str">
        <x:f>IF('Calculations'!DE433="","",COUNTIFS('Calculations'!$BN$13:$BN$512,1,'Calculations'!$BU$13:$BU$512,'Calculations'!DE433))</x:f>
      </x:c>
      <x:c r="DG433" s="4" t="str">
        <x:f>IF('Calculations'!DE433="","",COUNTIFS('Calculations'!$BN$13:$BN$512,1,'Calculations'!$BU$13:$BU$512,'Calculations'!DE433,'Calculations'!$BT$13:$BT$512,1))</x:f>
      </x:c>
      <x:c r="DH433" s="4" t="str">
        <x:f>IF('Calculations'!DE433="","",'Calculations'!DF433-'Calculations'!DG433)</x:f>
      </x:c>
      <x:c r="DI433" s="4" t="str">
        <x:f>IF(OR('Calculations'!DE433="",'Calculations'!DF433=0),"",'Calculations'!DG433/'Calculations'!DF433)</x:f>
      </x:c>
      <x:c r="DJ433" s="4" t="str">
        <x:f>IF('Calculations'!DE433="","",COUNTIFS('Calculations'!$BN$13:$BN$512,1,'Calculations'!$BU$13:$BU$512,'Calculations'!DE433,'Calculations'!$BT$13:$BT$512,1,'Calculations'!$EE$13:$EE$512,"High"))</x:f>
      </x:c>
      <x:c r="DK433" s="4" t="str">
        <x:f>IF('Calculations'!DE433="","",COUNTIFS('Calculations'!$BN$13:$BN$512,1,'Calculations'!$BU$13:$BU$512,'Calculations'!DE433,'Calculations'!$BT$13:$BT$512,1,'Calculations'!$EE$13:$EE$512,"Strong"))</x:f>
      </x:c>
      <x:c r="DL433" s="4" t="str">
        <x:f>IF('Calculations'!DE433="","",COUNTIFS('Calculations'!$BN$13:$BN$512,1,'Calculations'!$BU$13:$BU$512,'Calculations'!DE433,'Calculations'!$BT$13:$BT$512,1,'Calculations'!$EE$13:$EE$512,"Solid"))</x:f>
      </x:c>
      <x:c r="DM433" s="4" t="str">
        <x:f>IF('Calculations'!DE433="","",COUNTIFS('Calculations'!$BN$13:$BN$512,1,'Calculations'!$BU$13:$BU$512,'Calculations'!DE433,'Calculations'!$BT$13:$BT$512,1,'Calculations'!$EE$13:$EE$512,"Low"))</x:f>
      </x:c>
      <x:c r="DN433" s="4" t="str">
        <x:f>IF('Calculations'!DE433="","",COUNTIFS('Calculations'!$BN$13:$BN$512,1,'Calculations'!$BU$13:$BU$512,'Calculations'!DE433,'Calculations'!$EP$13:$EP$512,1))</x:f>
      </x:c>
      <x:c r="DO433" s="4" t="str">
        <x:f>IF(OR('Calculations'!DE433="",'Calculations'!DG433=0),"",('Calculations'!DJ433+'Calculations'!DK433)/'Calculations'!DG433)</x:f>
      </x:c>
      <x:c r="DP433" s="4" t="n">
        <x:f>IF(AND('Calculations'!DE433&lt;&gt;"",'Calculations'!DF433&gt;0),COUNTIF('Calculations'!$DF$12:DF433,"&gt;0"),0)</x:f>
        <x:v>0</x:v>
      </x:c>
      <x:c r="DQ433" s="4" t="str">
        <x:f>IF(422&gt;MAX('Calculations'!$HH$13:$HH$512),"",INDEX('Calculations'!$HF$13:$HF$512,MATCH(422,'Calculations'!$HH$13:$HH$512,0)))</x:f>
      </x:c>
      <x:c r="DR433" s="4" t="str">
        <x:f>IF(422&gt;MAX('Calculations'!$IK$13:$IK$512),"",INDEX('Calculations'!$HE$13:$HE$512,MATCH(422,'Calculations'!$IK$13:$IK$512,0)))</x:f>
      </x:c>
      <x:c r="DS433" s="4"/>
      <x:c r="DT433" s="4"/>
      <x:c r="DU433" s="4"/>
      <x:c r="DV433" s="4"/>
      <x:c r="DW433" s="4"/>
      <x:c r="DX433" s="4"/>
      <x:c r="DY433" s="4"/>
      <x:c r="DZ433" s="4"/>
      <x:c r="EA433" s="4"/>
      <x:c r="EB433" s="4"/>
      <x:c r="EC433" s="4"/>
      <x:c r="ED433" s="4"/>
      <x:c r="EE433" s="4" t="str">
        <x:f>IF('Calculations'!BT433=0,"Not Rated",IF(OR('Calculations'!BO433&gt;=4,'Calculations'!BP433&gt;=4),"Low",IF('Calculations'!BO433+'Calculations'!BP433&lt;=3,"High",IF('Calculations'!BO433+'Calculations'!BP433&lt;=4,"Strong","Solid"))))</x:f>
        <x:v>Not Rated</x:v>
      </x:c>
      <x:c r="EF433" s="4"/>
      <x:c r="EG433" s="4"/>
      <x:c r="EH433" s="4"/>
      <x:c r="EI433" s="4"/>
      <x:c r="EJ433" s="4"/>
      <x:c r="EK433" s="4"/>
      <x:c r="EL433" s="4"/>
      <x:c r="EM433" s="4" t="str">
        <x:f>IF(421&gt;'Calculations'!$JB$2000,"",INDEX('Calculations'!$JA$12:$JA$2000,MATCH(421,'Calculations'!$JB$12:$JB$2000,0)))</x:f>
      </x:c>
      <x:c r="EN433" s="4" t="n">
        <x:f>IF(OR('Calculations'!EM433="",'Calculations'!$AG$8&gt;0,AND('Calculations'!$EF$2&lt;&gt;"All",'Calculations'!HE433='Calculations'!$EF$2),AND('Calculations'!$EF$3&lt;&gt;"All",'Calculations'!HE433='Calculations'!$EF$3)),0,IF(OR('Dashboard'!$B$7="All",'Calculations'!HN433='Dashboard'!$B$7),IF('Calculations'!$EF$2="All",1,IF('Calculations'!HL433&gt;0,0,IF(COUNTIF('Calculations'!HO433:II433,"="&amp;SUBSTITUTE(SUBSTITUTE(SUBSTITUTE('Calculations'!$EF$2,"~","~~"),"*","~*"),"?","~?"))=0,0,IF('Calculations'!$EF$3="All",1,IF(COUNTIF('Calculations'!HO433:II433,"="&amp;SUBSTITUTE(SUBSTITUTE(SUBSTITUTE('Calculations'!$EF$3,"~","~~"),"*","~*"),"?","~?"))&gt;0,1,0))))),0))</x:f>
        <x:v>0</x:v>
      </x:c>
      <x:c r="EO433" s="4" t="str">
        <x:f>IF('Calculations'!IJ433="","",IF('Calculations'!IJ433="!UNRESOLVED","Unresolved hierarchy",IFERROR(INDEX('Calculations'!$HK$13:$HK$512,MATCH('Calculations'!IJ433,'Calculations'!$HE$13:$HE$512,0)),IFERROR(INDEX('Calculations'!$HJ$13:$HJ$512,MATCH('Calculations'!IJ433,'Calculations'!$HF$13:$HF$512,0)),'Calculations'!IJ433))))</x:f>
      </x:c>
      <x:c r="EP433" s="4" t="n">
        <x:f>IF(AND('Calculations'!EM433&lt;&gt;"",'Calculations'!HF433='Calculations'!IJ433),1,0)</x:f>
        <x:v>0</x:v>
      </x:c>
      <x:c r="EQ433" s="4"/>
      <x:c r="ER433" s="4"/>
      <x:c r="ES433" s="4"/>
      <x:c r="ET433" s="4"/>
      <x:c r="EU433" s="4"/>
      <x:c r="EV433" s="4"/>
      <x:c r="EW433" s="4"/>
      <x:c r="EX433" s="4"/>
      <x:c r="EY433" s="4"/>
      <x:c r="EZ433" s="4"/>
      <x:c r="FA433" s="4"/>
      <x:c r="FB433" s="4"/>
      <x:c r="FC433" s="4"/>
      <x:c r="FD433" s="4"/>
      <x:c r="FE433" s="4"/>
      <x:c r="FF433" s="4"/>
      <x:c r="FG433" s="4"/>
      <x:c r="FH433" s="4"/>
      <x:c r="FI433" s="4"/>
      <x:c r="FJ433" s="4"/>
      <x:c r="FK433" s="4"/>
      <x:c r="FL433" s="4"/>
      <x:c r="FM433" s="4"/>
      <x:c r="FN433" s="4"/>
      <x:c r="FO433" s="4"/>
      <x:c r="HE433" t="str">
        <x:f>IF('Calculations'!EM433="","",IF(IFERROR(IF(INDEX(INDIRECT("'WCM Calibration Final'!$A$1:$A$2000"),'Calculations'!$EM433)="","",TRIM(INDEX(INDIRECT("'WCM Calibration Final'!$A$1:$A$2000"),'Calculations'!$EM433)&amp;"")),"")&lt;&gt;"","G:"&amp;IFERROR(TEXT(1*INDEX(INDIRECT("'WCM Calibration Final'!$A$1:$A$2000"),'Calculations'!$EM433),"0"),UPPER(IFERROR(IF(INDEX(INDIRECT("'WCM Calibration Final'!$A$1:$A$2000"),'Calculations'!$EM433)="","",TRIM(INDEX(INDIRECT("'WCM Calibration Final'!$A$1:$A$2000"),'Calculations'!$EM433)&amp;"")),""))),IF(IFERROR(IF(INDEX(INDIRECT("'WCM Calibration Final'!$C$1:$C$2000"),'Calculations'!$EM433)="","",TRIM(INDEX(INDIRECT("'WCM Calibration Final'!$C$1:$C$2000"),'Calculations'!$EM433)&amp;"")),"")&lt;&gt;"","S:"&amp;UPPER(IFERROR(IF(INDEX(INDIRECT("'WCM Calibration Final'!$C$1:$C$2000"),'Calculations'!$EM433)="","",TRIM(INDEX(INDIRECT("'WCM Calibration Final'!$C$1:$C$2000"),'Calculations'!$EM433)&amp;"")),"")),"R:"&amp;'Calculations'!EM433)))</x:f>
      </x:c>
      <x:c r="HF433" t="str">
        <x:f>IF('Calculations'!EM433="","",IF(IFERROR(IF(INDEX(INDIRECT("'WCM Calibration Final'!$D$1:$D$2000"),'Calculations'!$EM433)="","",TRIM(INDEX(INDIRECT("'WCM Calibration Final'!$D$1:$D$2000"),'Calculations'!$EM433)&amp;"")),"")&lt;&gt;"","G:"&amp;IFERROR(TEXT(1*INDEX(INDIRECT("'WCM Calibration Final'!$D$1:$D$2000"),'Calculations'!$EM433),"0"),UPPER(IFERROR(IF(INDEX(INDIRECT("'WCM Calibration Final'!$D$1:$D$2000"),'Calculations'!$EM433)="","",TRIM(INDEX(INDIRECT("'WCM Calibration Final'!$D$1:$D$2000"),'Calculations'!$EM433)&amp;"")),""))),IF(IFERROR(IF(INDEX(INDIRECT("'WCM Calibration Final'!$E$1:$E$2000"),'Calculations'!$EM433)="","",TRIM(INDEX(INDIRECT("'WCM Calibration Final'!$E$1:$E$2000"),'Calculations'!$EM433)&amp;"")),"")="","",IF(COUNTIF('Calculations'!$HG$13:$HG$512,"="&amp;SUBSTITUTE(SUBSTITUTE(SUBSTITUTE(IFERROR(IF(INDEX(INDIRECT("'WCM Calibration Final'!$E$1:$E$2000"),'Calculations'!$EM433)="","",TRIM(INDEX(INDIRECT("'WCM Calibration Final'!$E$1:$E$2000"),'Calculations'!$EM433)&amp;"")),""),"~","~~"),"*","~*"),"?","~?"))=1,INDEX('Calculations'!$HE$13:$HE$512,MATCH(IFERROR(IF(INDEX(INDIRECT("'WCM Calibration Final'!$E$1:$E$2000"),'Calculations'!$EM433)="","",TRIM(INDEX(INDIRECT("'WCM Calibration Final'!$E$1:$E$2000"),'Calculations'!$EM433)&amp;"")),""),'Calculations'!$HG$13:$HG$512,0)),IF(COUNTIF('Calculations'!$HG$13:$HG$512,"="&amp;SUBSTITUTE(SUBSTITUTE(SUBSTITUTE(IFERROR(IF(INDEX(INDIRECT("'WCM Calibration Final'!$E$1:$E$2000"),'Calculations'!$EM433)="","",TRIM(INDEX(INDIRECT("'WCM Calibration Final'!$E$1:$E$2000"),'Calculations'!$EM433)&amp;"")),""),"~","~~"),"*","~*"),"?","~?"))&gt;1,"!AMBIG","X:"&amp;IFERROR(IF(INDEX(INDIRECT("'WCM Calibration Final'!$E$1:$E$2000"),'Calculations'!$EM433)="","",TRIM(INDEX(INDIRECT("'WCM Calibration Final'!$E$1:$E$2000"),'Calculations'!$EM433)&amp;"")),""))))))</x:f>
      </x:c>
      <x:c r="HG433" t="str">
        <x:f>IF('Calculations'!EM433="","",IFERROR(IF(INDEX(INDIRECT("'WCM Calibration Final'!$B$1:$B$2000"),'Calculations'!$EM433)="","",TRIM(INDEX(INDIRECT("'WCM Calibration Final'!$B$1:$B$2000"),'Calculations'!$EM433)&amp;"")),""))</x:f>
      </x:c>
      <x:c r="HH433" t="n">
        <x:f>IF(AND('Calculations'!JC433&gt;0,COUNTIF('Calculations'!$HF$12:HF433,"="&amp;SUBSTITUTE(SUBSTITUTE(SUBSTITUTE('Calculations'!HF433,"~","~~"),"*","~*"),"?","~?"))=1),MAX('Calculations'!$HH$12:HH432)+1,0)</x:f>
        <x:v>0</x:v>
      </x:c>
      <x:c r="HI433" t="n">
        <x:f>IF(AND('Calculations'!HN433&lt;&gt;"",COUNTIF('Calculations'!$HN$12:HN433,"="&amp;SUBSTITUTE(SUBSTITUTE(SUBSTITUTE('Calculations'!HN433,"~","~~"),"*","~*"),"?","~?"))=1),MAX('Calculations'!$HI$12:HI432)+1,0)</x:f>
        <x:v>0</x:v>
      </x:c>
      <x:c r="HJ433" t="str">
        <x:f>IF('Calculations'!HF433="","",IF(COUNTIF('Calculations'!$HE$13:$HE$512,"="&amp;SUBSTITUTE(SUBSTITUTE(SUBSTITUTE('Calculations'!HF433,"~","~~"),"*","~*"),"?","~?"))=1,INDEX('Calculations'!$HK$13:$HK$512,MATCH('Calculations'!HF433,'Calculations'!$HE$13:$HE$512,0)),IFERROR(IF(INDEX(INDIRECT("'WCM Calibration Final'!$E$1:$E$2000"),'Calculations'!$EM433)="","",TRIM(INDEX(INDIRECT("'WCM Calibration Final'!$E$1:$E$2000"),'Calculations'!$EM433)&amp;"")),"")&amp;" ["&amp;'Calculations'!HF433&amp;"]"))</x:f>
      </x:c>
      <x:c r="HK433" t="str">
        <x:f>IF('Calculations'!EM433="","",'Calculations'!HG433&amp;" ["&amp;'Calculations'!HE433&amp;"]")</x:f>
      </x:c>
      <x:c r="HL433" t="n">
        <x:f>IF('Calculations'!EM433="",0,IF(OR('Calculations'!II433&lt;&gt;"",COUNTIF('Calculations'!$HE$13:$HE$512,"="&amp;SUBSTITUTE(SUBSTITUTE(SUBSTITUTE('Calculations'!HE433,"~","~~"),"*","~*"),"?","~?"))&gt;1),1,0))</x:f>
        <x:v>0</x:v>
      </x:c>
      <x:c r="HM433" t="str">
        <x:f>IF('Calculations'!EM433="","",IF('Calculations'!HL433=1,"!UNRESOLVED",IF('Calculations'!IH433&lt;&gt;"",'Calculations'!IH433,IF('Calculations'!IG433&lt;&gt;"",'Calculations'!IG433,IF('Calculations'!IF433&lt;&gt;"",'Calculations'!IF433,IF('Calculations'!IE433&lt;&gt;"",'Calculations'!IE433,IF('Calculations'!ID433&lt;&gt;"",'Calculations'!ID433,IF('Calculations'!IC433&lt;&gt;"",'Calculations'!IC433,IF('Calculations'!IB433&lt;&gt;"",'Calculations'!IB433,IF('Calculations'!IA433&lt;&gt;"",'Calculations'!IA433,IF('Calculations'!HZ433&lt;&gt;"",'Calculations'!HZ433,IF('Calculations'!HY433&lt;&gt;"",'Calculations'!HY433,IF('Calculations'!HX433&lt;&gt;"",'Calculations'!HX433,IF('Calculations'!HW433&lt;&gt;"",'Calculations'!HW433,IF('Calculations'!HV433&lt;&gt;"",'Calculations'!HV433,IF('Calculations'!HU433&lt;&gt;"",'Calculations'!HU433,IF('Calculations'!HT433&lt;&gt;"",'Calculations'!HT433,IF('Calculations'!HS433&lt;&gt;"",'Calculations'!HS433,IF('Calculations'!HR433&lt;&gt;"",'Calculations'!HR433,IF('Calculations'!HQ433&lt;&gt;"",'Calculations'!HQ433,IF('Calculations'!HP433&lt;&gt;"",'Calculations'!HP433,IF('Calculations'!HO433&lt;&gt;"",'Calculations'!HO433,'Calculations'!HE433))))))))))))))))))))))</x:f>
      </x:c>
      <x:c r="HN433" t="str">
        <x:f>IF('Calculations'!EM433="","",IF(IFERROR(IF(INDEX(INDIRECT("'WCM Calibration Final'!$F$1:$F$2000"),'Calculations'!$EM433)="","",TRIM(INDEX(INDIRECT("'WCM Calibration Final'!$F$1:$F$2000"),'Calculations'!$EM433)&amp;"")),"")="","(Blank)",IFERROR(IF(INDEX(INDIRECT("'WCM Calibration Final'!$F$1:$F$2000"),'Calculations'!$EM433)="","",TRIM(INDEX(INDIRECT("'WCM Calibration Final'!$F$1:$F$2000"),'Calculations'!$EM433)&amp;"")),"")))</x:f>
      </x:c>
      <x:c r="HO433" t="str">
        <x:f>'Calculations'!HF433</x:f>
      </x:c>
      <x:c r="HP433" t="str">
        <x:f>IF('Calculations'!HO433="","",IF('Calculations'!HO433="!AMBIG","!AMBIG",IF(COUNTIF('Calculations'!$HE$13:$HE$512,"="&amp;SUBSTITUTE(SUBSTITUTE(SUBSTITUTE('Calculations'!HO433,"~","~~"),"*","~*"),"?","~?"))&gt;1,"!AMBIG",IFERROR(INDEX('Calculations'!$HF$13:$HF$512,MATCH('Calculations'!HO433,'Calculations'!$HE$13:$HE$512,0)),""))))</x:f>
      </x:c>
      <x:c r="HQ433" t="str">
        <x:f>IF('Calculations'!HP433="","",IF('Calculations'!HP433="!AMBIG","!AMBIG",IF(COUNTIF('Calculations'!$HE$13:$HE$512,"="&amp;SUBSTITUTE(SUBSTITUTE(SUBSTITUTE('Calculations'!HP433,"~","~~"),"*","~*"),"?","~?"))&gt;1,"!AMBIG",IFERROR(INDEX('Calculations'!$HF$13:$HF$512,MATCH('Calculations'!HP433,'Calculations'!$HE$13:$HE$512,0)),""))))</x:f>
      </x:c>
      <x:c r="HR433" t="str">
        <x:f>IF('Calculations'!HQ433="","",IF('Calculations'!HQ433="!AMBIG","!AMBIG",IF(COUNTIF('Calculations'!$HE$13:$HE$512,"="&amp;SUBSTITUTE(SUBSTITUTE(SUBSTITUTE('Calculations'!HQ433,"~","~~"),"*","~*"),"?","~?"))&gt;1,"!AMBIG",IFERROR(INDEX('Calculations'!$HF$13:$HF$512,MATCH('Calculations'!HQ433,'Calculations'!$HE$13:$HE$512,0)),""))))</x:f>
      </x:c>
      <x:c r="HS433" t="str">
        <x:f>IF('Calculations'!HR433="","",IF('Calculations'!HR433="!AMBIG","!AMBIG",IF(COUNTIF('Calculations'!$HE$13:$HE$512,"="&amp;SUBSTITUTE(SUBSTITUTE(SUBSTITUTE('Calculations'!HR433,"~","~~"),"*","~*"),"?","~?"))&gt;1,"!AMBIG",IFERROR(INDEX('Calculations'!$HF$13:$HF$512,MATCH('Calculations'!HR433,'Calculations'!$HE$13:$HE$512,0)),""))))</x:f>
      </x:c>
      <x:c r="HT433" t="str">
        <x:f>IF('Calculations'!HS433="","",IF('Calculations'!HS433="!AMBIG","!AMBIG",IF(COUNTIF('Calculations'!$HE$13:$HE$512,"="&amp;SUBSTITUTE(SUBSTITUTE(SUBSTITUTE('Calculations'!HS433,"~","~~"),"*","~*"),"?","~?"))&gt;1,"!AMBIG",IFERROR(INDEX('Calculations'!$HF$13:$HF$512,MATCH('Calculations'!HS433,'Calculations'!$HE$13:$HE$512,0)),""))))</x:f>
      </x:c>
      <x:c r="HU433" t="str">
        <x:f>IF('Calculations'!HT433="","",IF('Calculations'!HT433="!AMBIG","!AMBIG",IF(COUNTIF('Calculations'!$HE$13:$HE$512,"="&amp;SUBSTITUTE(SUBSTITUTE(SUBSTITUTE('Calculations'!HT433,"~","~~"),"*","~*"),"?","~?"))&gt;1,"!AMBIG",IFERROR(INDEX('Calculations'!$HF$13:$HF$512,MATCH('Calculations'!HT433,'Calculations'!$HE$13:$HE$512,0)),""))))</x:f>
      </x:c>
      <x:c r="HV433" t="str">
        <x:f>IF('Calculations'!HU433="","",IF('Calculations'!HU433="!AMBIG","!AMBIG",IF(COUNTIF('Calculations'!$HE$13:$HE$512,"="&amp;SUBSTITUTE(SUBSTITUTE(SUBSTITUTE('Calculations'!HU433,"~","~~"),"*","~*"),"?","~?"))&gt;1,"!AMBIG",IFERROR(INDEX('Calculations'!$HF$13:$HF$512,MATCH('Calculations'!HU433,'Calculations'!$HE$13:$HE$512,0)),""))))</x:f>
      </x:c>
      <x:c r="HW433" t="str">
        <x:f>IF('Calculations'!HV433="","",IF('Calculations'!HV433="!AMBIG","!AMBIG",IF(COUNTIF('Calculations'!$HE$13:$HE$512,"="&amp;SUBSTITUTE(SUBSTITUTE(SUBSTITUTE('Calculations'!HV433,"~","~~"),"*","~*"),"?","~?"))&gt;1,"!AMBIG",IFERROR(INDEX('Calculations'!$HF$13:$HF$512,MATCH('Calculations'!HV433,'Calculations'!$HE$13:$HE$512,0)),""))))</x:f>
      </x:c>
      <x:c r="HX433" t="str">
        <x:f>IF('Calculations'!HW433="","",IF('Calculations'!HW433="!AMBIG","!AMBIG",IF(COUNTIF('Calculations'!$HE$13:$HE$512,"="&amp;SUBSTITUTE(SUBSTITUTE(SUBSTITUTE('Calculations'!HW433,"~","~~"),"*","~*"),"?","~?"))&gt;1,"!AMBIG",IFERROR(INDEX('Calculations'!$HF$13:$HF$512,MATCH('Calculations'!HW433,'Calculations'!$HE$13:$HE$512,0)),""))))</x:f>
      </x:c>
      <x:c r="HY433" t="str">
        <x:f>IF('Calculations'!HX433="","",IF('Calculations'!HX433="!AMBIG","!AMBIG",IF(COUNTIF('Calculations'!$HE$13:$HE$512,"="&amp;SUBSTITUTE(SUBSTITUTE(SUBSTITUTE('Calculations'!HX433,"~","~~"),"*","~*"),"?","~?"))&gt;1,"!AMBIG",IFERROR(INDEX('Calculations'!$HF$13:$HF$512,MATCH('Calculations'!HX433,'Calculations'!$HE$13:$HE$512,0)),""))))</x:f>
      </x:c>
      <x:c r="HZ433" t="str">
        <x:f>IF('Calculations'!HY433="","",IF('Calculations'!HY433="!AMBIG","!AMBIG",IF(COUNTIF('Calculations'!$HE$13:$HE$512,"="&amp;SUBSTITUTE(SUBSTITUTE(SUBSTITUTE('Calculations'!HY433,"~","~~"),"*","~*"),"?","~?"))&gt;1,"!AMBIG",IFERROR(INDEX('Calculations'!$HF$13:$HF$512,MATCH('Calculations'!HY433,'Calculations'!$HE$13:$HE$512,0)),""))))</x:f>
      </x:c>
      <x:c r="IA433" t="str">
        <x:f>IF('Calculations'!HZ433="","",IF('Calculations'!HZ433="!AMBIG","!AMBIG",IF(COUNTIF('Calculations'!$HE$13:$HE$512,"="&amp;SUBSTITUTE(SUBSTITUTE(SUBSTITUTE('Calculations'!HZ433,"~","~~"),"*","~*"),"?","~?"))&gt;1,"!AMBIG",IFERROR(INDEX('Calculations'!$HF$13:$HF$512,MATCH('Calculations'!HZ433,'Calculations'!$HE$13:$HE$512,0)),""))))</x:f>
      </x:c>
      <x:c r="IB433" t="str">
        <x:f>IF('Calculations'!IA433="","",IF('Calculations'!IA433="!AMBIG","!AMBIG",IF(COUNTIF('Calculations'!$HE$13:$HE$512,"="&amp;SUBSTITUTE(SUBSTITUTE(SUBSTITUTE('Calculations'!IA433,"~","~~"),"*","~*"),"?","~?"))&gt;1,"!AMBIG",IFERROR(INDEX('Calculations'!$HF$13:$HF$512,MATCH('Calculations'!IA433,'Calculations'!$HE$13:$HE$512,0)),""))))</x:f>
      </x:c>
      <x:c r="IC433" t="str">
        <x:f>IF('Calculations'!IB433="","",IF('Calculations'!IB433="!AMBIG","!AMBIG",IF(COUNTIF('Calculations'!$HE$13:$HE$512,"="&amp;SUBSTITUTE(SUBSTITUTE(SUBSTITUTE('Calculations'!IB433,"~","~~"),"*","~*"),"?","~?"))&gt;1,"!AMBIG",IFERROR(INDEX('Calculations'!$HF$13:$HF$512,MATCH('Calculations'!IB433,'Calculations'!$HE$13:$HE$512,0)),""))))</x:f>
      </x:c>
      <x:c r="ID433" t="str">
        <x:f>IF('Calculations'!IC433="","",IF('Calculations'!IC433="!AMBIG","!AMBIG",IF(COUNTIF('Calculations'!$HE$13:$HE$512,"="&amp;SUBSTITUTE(SUBSTITUTE(SUBSTITUTE('Calculations'!IC433,"~","~~"),"*","~*"),"?","~?"))&gt;1,"!AMBIG",IFERROR(INDEX('Calculations'!$HF$13:$HF$512,MATCH('Calculations'!IC433,'Calculations'!$HE$13:$HE$512,0)),""))))</x:f>
      </x:c>
      <x:c r="IE433" t="str">
        <x:f>IF('Calculations'!ID433="","",IF('Calculations'!ID433="!AMBIG","!AMBIG",IF(COUNTIF('Calculations'!$HE$13:$HE$512,"="&amp;SUBSTITUTE(SUBSTITUTE(SUBSTITUTE('Calculations'!ID433,"~","~~"),"*","~*"),"?","~?"))&gt;1,"!AMBIG",IFERROR(INDEX('Calculations'!$HF$13:$HF$512,MATCH('Calculations'!ID433,'Calculations'!$HE$13:$HE$512,0)),""))))</x:f>
      </x:c>
      <x:c r="IF433" t="str">
        <x:f>IF('Calculations'!IE433="","",IF('Calculations'!IE433="!AMBIG","!AMBIG",IF(COUNTIF('Calculations'!$HE$13:$HE$512,"="&amp;SUBSTITUTE(SUBSTITUTE(SUBSTITUTE('Calculations'!IE433,"~","~~"),"*","~*"),"?","~?"))&gt;1,"!AMBIG",IFERROR(INDEX('Calculations'!$HF$13:$HF$512,MATCH('Calculations'!IE433,'Calculations'!$HE$13:$HE$512,0)),""))))</x:f>
      </x:c>
      <x:c r="IG433" t="str">
        <x:f>IF('Calculations'!IF433="","",IF('Calculations'!IF433="!AMBIG","!AMBIG",IF(COUNTIF('Calculations'!$HE$13:$HE$512,"="&amp;SUBSTITUTE(SUBSTITUTE(SUBSTITUTE('Calculations'!IF433,"~","~~"),"*","~*"),"?","~?"))&gt;1,"!AMBIG",IFERROR(INDEX('Calculations'!$HF$13:$HF$512,MATCH('Calculations'!IF433,'Calculations'!$HE$13:$HE$512,0)),""))))</x:f>
      </x:c>
      <x:c r="IH433" t="str">
        <x:f>IF('Calculations'!IG433="","",IF('Calculations'!IG433="!AMBIG","!AMBIG",IF(COUNTIF('Calculations'!$HE$13:$HE$512,"="&amp;SUBSTITUTE(SUBSTITUTE(SUBSTITUTE('Calculations'!IG433,"~","~~"),"*","~*"),"?","~?"))&gt;1,"!AMBIG",IFERROR(INDEX('Calculations'!$HF$13:$HF$512,MATCH('Calculations'!IG433,'Calculations'!$HE$13:$HE$512,0)),""))))</x:f>
      </x:c>
      <x:c r="II433" t="str">
        <x:f>IF('Calculations'!IH433="","",IF('Calculations'!IH433="!AMBIG","!AMBIG",IF(COUNTIF('Calculations'!$HE$13:$HE$512,"="&amp;SUBSTITUTE(SUBSTITUTE(SUBSTITUTE('Calculations'!IH433,"~","~~"),"*","~*"),"?","~?"))&gt;1,"!AMBIG",IFERROR(INDEX('Calculations'!$HF$13:$HF$512,MATCH('Calculations'!IH433,'Calculations'!$HE$13:$HE$512,0)),""))))</x:f>
      </x:c>
      <x:c r="IJ433" t="str">
        <x:f>IF('Calculations'!EM433="","",IF('Calculations'!$EF$2="All",'Calculations'!HM433,IF('Calculations'!HL433=1,"",IFERROR(IF(MATCH('Calculations'!$EF$2,'Calculations'!HO433:II433,0)=1,'Calculations'!HE433,INDEX('Calculations'!HO433:II433,1,MATCH('Calculations'!$EF$2,'Calculations'!HO433:II433,0)-1)),""))))</x:f>
      </x:c>
      <x:c r="IK433" t="n">
        <x:f>IF(AND('Calculations'!EM433&lt;&gt;"",'Calculations'!$EF$2&lt;&gt;"All",'Calculations'!HF433='Calculations'!$EF$2,'Calculations'!HL433=0,'Calculations'!JD433&gt;0),MAX('Calculations'!$IK$12:IK432)+1,0)</x:f>
        <x:v>0</x:v>
      </x:c>
      <x:c r="JA433" t="n">
        <x:f>IF(OR(IFERROR(INDIRECT("'WCM Calibration Final'!$A$433")&lt;&gt;"",FALSE),IFERROR(INDIRECT("'WCM Calibration Final'!$B$433")&lt;&gt;"",FALSE),IFERROR(INDIRECT("'WCM Calibration Final'!$C$433")&lt;&gt;"",FALSE)),433,0)</x:f>
        <x:v>0</x:v>
      </x:c>
      <x:c r="JB433" t="n">
        <x:f>'Calculations'!JB432+IF('Calculations'!JA433&gt;0,1,0)</x:f>
        <x:v>0</x:v>
      </x:c>
      <x:c r="JC433" t="n">
        <x:f>IF(OR('Calculations'!HF433="",'Calculations'!HF433="!AMBIG"),0,IF('Dashboard'!$B$7="All",1,COUNTIFS('Calculations'!$HO$13:$HO$512,"="&amp;SUBSTITUTE(SUBSTITUTE(SUBSTITUTE('Calculations'!HF433,"~","~~"),"*","~*"),"?","~?"),'Calculations'!$HN$13:$HN$512,"="&amp;SUBSTITUTE(SUBSTITUTE(SUBSTITUTE('Dashboard'!$B$7,"~","~~"),"*","~*"),"?","~?"))+COUNTIFS('Calculations'!$HP$13:$HP$512,"="&amp;SUBSTITUTE(SUBSTITUTE(SUBSTITUTE('Calculations'!HF433,"~","~~"),"*","~*"),"?","~?"),'Calculations'!$HN$13:$HN$512,"="&amp;SUBSTITUTE(SUBSTITUTE(SUBSTITUTE('Dashboard'!$B$7,"~","~~"),"*","~*"),"?","~?"))+COUNTIFS('Calculations'!$HQ$13:$HQ$512,"="&amp;SUBSTITUTE(SUBSTITUTE(SUBSTITUTE('Calculations'!HF433,"~","~~"),"*","~*"),"?","~?"),'Calculations'!$HN$13:$HN$512,"="&amp;SUBSTITUTE(SUBSTITUTE(SUBSTITUTE('Dashboard'!$B$7,"~","~~"),"*","~*"),"?","~?"))+COUNTIFS('Calculations'!$HR$13:$HR$512,"="&amp;SUBSTITUTE(SUBSTITUTE(SUBSTITUTE('Calculations'!HF433,"~","~~"),"*","~*"),"?","~?"),'Calculations'!$HN$13:$HN$512,"="&amp;SUBSTITUTE(SUBSTITUTE(SUBSTITUTE('Dashboard'!$B$7,"~","~~"),"*","~*"),"?","~?"))+COUNTIFS('Calculations'!$HS$13:$HS$512,"="&amp;SUBSTITUTE(SUBSTITUTE(SUBSTITUTE('Calculations'!HF433,"~","~~"),"*","~*"),"?","~?"),'Calculations'!$HN$13:$HN$512,"="&amp;SUBSTITUTE(SUBSTITUTE(SUBSTITUTE('Dashboard'!$B$7,"~","~~"),"*","~*"),"?","~?"))+COUNTIFS('Calculations'!$HT$13:$HT$512,"="&amp;SUBSTITUTE(SUBSTITUTE(SUBSTITUTE('Calculations'!HF433,"~","~~"),"*","~*"),"?","~?"),'Calculations'!$HN$13:$HN$512,"="&amp;SUBSTITUTE(SUBSTITUTE(SUBSTITUTE('Dashboard'!$B$7,"~","~~"),"*","~*"),"?","~?"))+COUNTIFS('Calculations'!$HU$13:$HU$512,"="&amp;SUBSTITUTE(SUBSTITUTE(SUBSTITUTE('Calculations'!HF433,"~","~~"),"*","~*"),"?","~?"),'Calculations'!$HN$13:$HN$512,"="&amp;SUBSTITUTE(SUBSTITUTE(SUBSTITUTE('Dashboard'!$B$7,"~","~~"),"*","~*"),"?","~?"))+COUNTIFS('Calculations'!$HV$13:$HV$512,"="&amp;SUBSTITUTE(SUBSTITUTE(SUBSTITUTE('Calculations'!HF433,"~","~~"),"*","~*"),"?","~?"),'Calculations'!$HN$13:$HN$512,"="&amp;SUBSTITUTE(SUBSTITUTE(SUBSTITUTE('Dashboard'!$B$7,"~","~~"),"*","~*"),"?","~?"))+COUNTIFS('Calculations'!$HW$13:$HW$512,"="&amp;SUBSTITUTE(SUBSTITUTE(SUBSTITUTE('Calculations'!HF433,"~","~~"),"*","~*"),"?","~?"),'Calculations'!$HN$13:$HN$512,"="&amp;SUBSTITUTE(SUBSTITUTE(SUBSTITUTE('Dashboard'!$B$7,"~","~~"),"*","~*"),"?","~?"))+COUNTIFS('Calculations'!$HX$13:$HX$512,"="&amp;SUBSTITUTE(SUBSTITUTE(SUBSTITUTE('Calculations'!HF433,"~","~~"),"*","~*"),"?","~?"),'Calculations'!$HN$13:$HN$512,"="&amp;SUBSTITUTE(SUBSTITUTE(SUBSTITUTE('Dashboard'!$B$7,"~","~~"),"*","~*"),"?","~?"))+COUNTIFS('Calculations'!$HY$13:$HY$512,"="&amp;SUBSTITUTE(SUBSTITUTE(SUBSTITUTE('Calculations'!HF433,"~","~~"),"*","~*"),"?","~?"),'Calculations'!$HN$13:$HN$512,"="&amp;SUBSTITUTE(SUBSTITUTE(SUBSTITUTE('Dashboard'!$B$7,"~","~~"),"*","~*"),"?","~?"))+COUNTIFS('Calculations'!$HZ$13:$HZ$512,"="&amp;SUBSTITUTE(SUBSTITUTE(SUBSTITUTE('Calculations'!HF433,"~","~~"),"*","~*"),"?","~?"),'Calculations'!$HN$13:$HN$512,"="&amp;SUBSTITUTE(SUBSTITUTE(SUBSTITUTE('Dashboard'!$B$7,"~","~~"),"*","~*"),"?","~?"))+COUNTIFS('Calculations'!$IA$13:$IA$512,"="&amp;SUBSTITUTE(SUBSTITUTE(SUBSTITUTE('Calculations'!HF433,"~","~~"),"*","~*"),"?","~?"),'Calculations'!$HN$13:$HN$512,"="&amp;SUBSTITUTE(SUBSTITUTE(SUBSTITUTE('Dashboard'!$B$7,"~","~~"),"*","~*"),"?","~?"))+COUNTIFS('Calculations'!$IB$13:$IB$512,"="&amp;SUBSTITUTE(SUBSTITUTE(SUBSTITUTE('Calculations'!HF433,"~","~~"),"*","~*"),"?","~?"),'Calculations'!$HN$13:$HN$512,"="&amp;SUBSTITUTE(SUBSTITUTE(SUBSTITUTE('Dashboard'!$B$7,"~","~~"),"*","~*"),"?","~?"))+COUNTIFS('Calculations'!$IC$13:$IC$512,"="&amp;SUBSTITUTE(SUBSTITUTE(SUBSTITUTE('Calculations'!HF433,"~","~~"),"*","~*"),"?","~?"),'Calculations'!$HN$13:$HN$512,"="&amp;SUBSTITUTE(SUBSTITUTE(SUBSTITUTE('Dashboard'!$B$7,"~","~~"),"*","~*"),"?","~?"))+COUNTIFS('Calculations'!$ID$13:$ID$512,"="&amp;SUBSTITUTE(SUBSTITUTE(SUBSTITUTE('Calculations'!HF433,"~","~~"),"*","~*"),"?","~?"),'Calculations'!$HN$13:$HN$512,"="&amp;SUBSTITUTE(SUBSTITUTE(SUBSTITUTE('Dashboard'!$B$7,"~","~~"),"*","~*"),"?","~?"))+COUNTIFS('Calculations'!$IE$13:$IE$512,"="&amp;SUBSTITUTE(SUBSTITUTE(SUBSTITUTE('Calculations'!HF433,"~","~~"),"*","~*"),"?","~?"),'Calculations'!$HN$13:$HN$512,"="&amp;SUBSTITUTE(SUBSTITUTE(SUBSTITUTE('Dashboard'!$B$7,"~","~~"),"*","~*"),"?","~?"))+COUNTIFS('Calculations'!$IF$13:$IF$512,"="&amp;SUBSTITUTE(SUBSTITUTE(SUBSTITUTE('Calculations'!HF433,"~","~~"),"*","~*"),"?","~?"),'Calculations'!$HN$13:$HN$512,"="&amp;SUBSTITUTE(SUBSTITUTE(SUBSTITUTE('Dashboard'!$B$7,"~","~~"),"*","~*"),"?","~?"))+COUNTIFS('Calculations'!$IG$13:$IG$512,"="&amp;SUBSTITUTE(SUBSTITUTE(SUBSTITUTE('Calculations'!HF433,"~","~~"),"*","~*"),"?","~?"),'Calculations'!$HN$13:$HN$512,"="&amp;SUBSTITUTE(SUBSTITUTE(SUBSTITUTE('Dashboard'!$B$7,"~","~~"),"*","~*"),"?","~?"))+COUNTIFS('Calculations'!$IH$13:$IH$512,"="&amp;SUBSTITUTE(SUBSTITUTE(SUBSTITUTE('Calculations'!HF433,"~","~~"),"*","~*"),"?","~?"),'Calculations'!$HN$13:$HN$512,"="&amp;SUBSTITUTE(SUBSTITUTE(SUBSTITUTE('Dashboard'!$B$7,"~","~~"),"*","~*"),"?","~?"))))</x:f>
        <x:v>0</x:v>
      </x:c>
      <x:c r="JD433" t="n">
        <x:f>IF('Calculations'!EM433="",0,IF('Dashboard'!$B$7="All",1,IF('Calculations'!HN433='Dashboard'!$B$7,1,0)+IFERROR(INDEX('Calculations'!$JC$13:$JC$512,MATCH('Calculations'!HE433,'Calculations'!$HF$13:$HF$512,0)),0)))</x:f>
        <x:v>0</x:v>
      </x:c>
      <x:c r="JE433" t="n">
        <x:f>IF(AND('Calculations'!EM433&lt;&gt;"",'Calculations'!$JJ$2&lt;&gt;"All",'Calculations'!$JJ$2&lt;&gt;"",'Calculations'!HF433='Calculations'!$JJ$2,'Calculations'!HL433=0,'Calculations'!JD433&gt;0),MAX('Calculations'!$JE$12:JE432)+1,0)</x:f>
        <x:v>0</x:v>
      </x:c>
      <x:c r="JF433" t="str">
        <x:f>IF('Calculations'!EM433="","",IFERROR(IF(INDEX(INDIRECT("'WCM Calibration Final'!$G$1:$G$2000"),'Calculations'!$EM433)="","",TRIM(INDEX(INDIRECT("'WCM Calibration Final'!$G$1:$G$2000"),'Calculations'!$EM433)&amp;"")),""))</x:f>
      </x:c>
      <x:c r="JQ433" t="n">
        <x:f>IF(OR('Calculations'!BM433=0,NOT('Calculations'!$AG$2),'Calculations'!$AG$8&gt;0),0,IF(OR('Dashboard'!$B$7="All",'Calculations'!HN433='Dashboard'!$B$7),IF('Calculations'!$JJ$2="All",1,IF(AND('Calculations'!HF433='Calculations'!$JJ$2,'Calculations'!HL433=0),1,0)),0))</x:f>
        <x:v>0</x:v>
      </x:c>
    </x:row>
    <x:row r="434">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t="n">
        <x:f>IF('Calculations'!$EM434="",0,IF(OR(IFERROR(INDEX(INDIRECT("'WCM Calibration Final'!$A$1:$A$2000"),'Calculations'!$EM434)&lt;&gt;"",FALSE),IFERROR(INDEX(INDIRECT("'WCM Calibration Final'!$B$1:$B$2000"),'Calculations'!$EM434)&lt;&gt;"",FALSE),IFERROR(INDEX(INDIRECT("'WCM Calibration Final'!$C$1:$C$2000"),'Calculations'!$EM434)&lt;&gt;"",FALSE)),1,0))</x:f>
        <x:v>0</x:v>
      </x:c>
      <x:c r="BN434" s="4" t="n">
        <x:f>IF(AND('Calculations'!BM434=1,'Calculations'!$AG$2,'Calculations'!$EN434=1),1,0)</x:f>
        <x:v>0</x:v>
      </x:c>
      <x:c r="BO434" s="4" t="str">
        <x:f>IF('Calculations'!BM434=0,"",IFERROR(IF(AND(VALUE(INDEX(INDIRECT("'WCM Calibration Final'!$K$1:$K$2000"),'Calculations'!$EM434))&gt;=1,VALUE(INDEX(INDIRECT("'WCM Calibration Final'!$K$1:$K$2000"),'Calculations'!$EM434))&lt;=4,MOD(VALUE(INDEX(INDIRECT("'WCM Calibration Final'!$K$1:$K$2000"),'Calculations'!$EM434)),1)=0),VALUE(INDEX(INDIRECT("'WCM Calibration Final'!$K$1:$K$2000"),'Calculations'!$EM434)),""),""))</x:f>
      </x:c>
      <x:c r="BP434" s="4" t="str">
        <x:f>IF('Calculations'!BM434=0,"",IFERROR(IF(AND(VALUE(INDEX(INDIRECT("'WCM Calibration Final'!$L$1:$L$2000"),'Calculations'!$EM434))&gt;=1,VALUE(INDEX(INDIRECT("'WCM Calibration Final'!$L$1:$L$2000"),'Calculations'!$EM434))&lt;=4,MOD(VALUE(INDEX(INDIRECT("'WCM Calibration Final'!$L$1:$L$2000"),'Calculations'!$EM434)),1)=0),VALUE(INDEX(INDIRECT("'WCM Calibration Final'!$L$1:$L$2000"),'Calculations'!$EM434)),""),""))</x:f>
      </x:c>
      <x:c r="BQ434" s="4"/>
      <x:c r="BR434" s="4"/>
      <x:c r="BS434" s="4"/>
      <x:c r="BT434" s="4" t="n">
        <x:f>IF(AND('Calculations'!BM434=1,ISNUMBER('Calculations'!BO434),ISNUMBER('Calculations'!BP434)),1,0)</x:f>
        <x:v>0</x:v>
      </x:c>
      <x:c r="BU434" s="4" t="str">
        <x:f>IF('Calculations'!BM434=0,"",'Calculations'!$EO434)</x:f>
      </x:c>
      <x:c r="BV434" s="4" t="str">
        <x:f>IF('Calculations'!BM434=0,"",IFERROR(IF(OR(INDEX(INDIRECT("'WCM Calibration Final'!$H$1:$H$2000"),'Calculations'!$EM434)="MANAGING DIRECTOR",INDEX(INDIRECT("'WCM Calibration Final'!$H$1:$H$2000"),'Calculations'!$EM434)="DIRECTOR",INDEX(INDIRECT("'WCM Calibration Final'!$H$1:$H$2000"),'Calculations'!$EM434)="SENIOR VICE PRESIDENT",INDEX(INDIRECT("'WCM Calibration Final'!$H$1:$H$2000"),'Calculations'!$EM434)="VICE PRESIDENT",INDEX(INDIRECT("'WCM Calibration Final'!$H$1:$H$2000"),'Calculations'!$EM434)="ASSISTANT VICE PRESIDENT",INDEX(INDIRECT("'WCM Calibration Final'!$H$1:$H$2000"),'Calculations'!$EM434)="OFFICER"),UPPER(INDEX(INDIRECT("'WCM Calibration Final'!$H$1:$H$2000"),'Calculations'!$EM434)),"Other"),"Other"))</x:f>
      </x:c>
      <x:c r="BW434" s="4"/>
      <x:c r="BX434" s="4"/>
      <x:c r="BY434" s="4" t="n">
        <x:f>IF(AND('Calculations'!BM434=1,'Calculations'!BU434&lt;&gt;"",COUNTIF('Calculations'!$BU$12:BU434,'Calculations'!BU434)=1),MAX('Calculations'!$BY$11:BY433)+1,0)</x:f>
        <x:v>0</x:v>
      </x:c>
      <x:c r="BZ434" s="4" t="str">
        <x:f>IF('Dashboard'!$E$67="What",'Calculations'!BO434,'Calculations'!BP434)</x:f>
      </x:c>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t="str">
        <x:f>IF(423&gt;MAX('Calculations'!$HI$13:$HI$512),"",INDEX('Calculations'!$HN$13:$HN$512,MATCH(423,'Calculations'!$HI$13:$HI$512,0)))</x:f>
      </x:c>
      <x:c r="DB434" s="4" t="str">
        <x:f>IF(423&gt;MAX('Calculations'!$HH$13:$HH$512),"",INDEX('Calculations'!$HJ$13:$HJ$512,MATCH(423,'Calculations'!$HH$13:$HH$512,0)))</x:f>
      </x:c>
      <x:c r="DC434" s="4" t="str">
        <x:f>IF(ROW()-11&gt;MAX('Calculations'!$BY$13:$BY$512),"",INDEX('Calculations'!$BU$13:$BU$512,MATCH(ROW()-11,'Calculations'!$BY$13:$BY$512,0)))</x:f>
      </x:c>
      <x:c r="DD434" s="4" t="str">
        <x:f>IF(423&gt;MAX('Calculations'!$IK$13:$IK$512),"",INDEX('Calculations'!$HK$13:$HK$512,MATCH(423,'Calculations'!$IK$13:$IK$512,0)))</x:f>
      </x:c>
      <x:c r="DE434" s="4" t="str">
        <x:f>'Calculations'!DC434</x:f>
      </x:c>
      <x:c r="DF434" s="4" t="str">
        <x:f>IF('Calculations'!DE434="","",COUNTIFS('Calculations'!$BN$13:$BN$512,1,'Calculations'!$BU$13:$BU$512,'Calculations'!DE434))</x:f>
      </x:c>
      <x:c r="DG434" s="4" t="str">
        <x:f>IF('Calculations'!DE434="","",COUNTIFS('Calculations'!$BN$13:$BN$512,1,'Calculations'!$BU$13:$BU$512,'Calculations'!DE434,'Calculations'!$BT$13:$BT$512,1))</x:f>
      </x:c>
      <x:c r="DH434" s="4" t="str">
        <x:f>IF('Calculations'!DE434="","",'Calculations'!DF434-'Calculations'!DG434)</x:f>
      </x:c>
      <x:c r="DI434" s="4" t="str">
        <x:f>IF(OR('Calculations'!DE434="",'Calculations'!DF434=0),"",'Calculations'!DG434/'Calculations'!DF434)</x:f>
      </x:c>
      <x:c r="DJ434" s="4" t="str">
        <x:f>IF('Calculations'!DE434="","",COUNTIFS('Calculations'!$BN$13:$BN$512,1,'Calculations'!$BU$13:$BU$512,'Calculations'!DE434,'Calculations'!$BT$13:$BT$512,1,'Calculations'!$EE$13:$EE$512,"High"))</x:f>
      </x:c>
      <x:c r="DK434" s="4" t="str">
        <x:f>IF('Calculations'!DE434="","",COUNTIFS('Calculations'!$BN$13:$BN$512,1,'Calculations'!$BU$13:$BU$512,'Calculations'!DE434,'Calculations'!$BT$13:$BT$512,1,'Calculations'!$EE$13:$EE$512,"Strong"))</x:f>
      </x:c>
      <x:c r="DL434" s="4" t="str">
        <x:f>IF('Calculations'!DE434="","",COUNTIFS('Calculations'!$BN$13:$BN$512,1,'Calculations'!$BU$13:$BU$512,'Calculations'!DE434,'Calculations'!$BT$13:$BT$512,1,'Calculations'!$EE$13:$EE$512,"Solid"))</x:f>
      </x:c>
      <x:c r="DM434" s="4" t="str">
        <x:f>IF('Calculations'!DE434="","",COUNTIFS('Calculations'!$BN$13:$BN$512,1,'Calculations'!$BU$13:$BU$512,'Calculations'!DE434,'Calculations'!$BT$13:$BT$512,1,'Calculations'!$EE$13:$EE$512,"Low"))</x:f>
      </x:c>
      <x:c r="DN434" s="4" t="str">
        <x:f>IF('Calculations'!DE434="","",COUNTIFS('Calculations'!$BN$13:$BN$512,1,'Calculations'!$BU$13:$BU$512,'Calculations'!DE434,'Calculations'!$EP$13:$EP$512,1))</x:f>
      </x:c>
      <x:c r="DO434" s="4" t="str">
        <x:f>IF(OR('Calculations'!DE434="",'Calculations'!DG434=0),"",('Calculations'!DJ434+'Calculations'!DK434)/'Calculations'!DG434)</x:f>
      </x:c>
      <x:c r="DP434" s="4" t="n">
        <x:f>IF(AND('Calculations'!DE434&lt;&gt;"",'Calculations'!DF434&gt;0),COUNTIF('Calculations'!$DF$12:DF434,"&gt;0"),0)</x:f>
        <x:v>0</x:v>
      </x:c>
      <x:c r="DQ434" s="4" t="str">
        <x:f>IF(423&gt;MAX('Calculations'!$HH$13:$HH$512),"",INDEX('Calculations'!$HF$13:$HF$512,MATCH(423,'Calculations'!$HH$13:$HH$512,0)))</x:f>
      </x:c>
      <x:c r="DR434" s="4" t="str">
        <x:f>IF(423&gt;MAX('Calculations'!$IK$13:$IK$512),"",INDEX('Calculations'!$HE$13:$HE$512,MATCH(423,'Calculations'!$IK$13:$IK$512,0)))</x:f>
      </x:c>
      <x:c r="DS434" s="4"/>
      <x:c r="DT434" s="4"/>
      <x:c r="DU434" s="4"/>
      <x:c r="DV434" s="4"/>
      <x:c r="DW434" s="4"/>
      <x:c r="DX434" s="4"/>
      <x:c r="DY434" s="4"/>
      <x:c r="DZ434" s="4"/>
      <x:c r="EA434" s="4"/>
      <x:c r="EB434" s="4"/>
      <x:c r="EC434" s="4"/>
      <x:c r="ED434" s="4"/>
      <x:c r="EE434" s="4" t="str">
        <x:f>IF('Calculations'!BT434=0,"Not Rated",IF(OR('Calculations'!BO434&gt;=4,'Calculations'!BP434&gt;=4),"Low",IF('Calculations'!BO434+'Calculations'!BP434&lt;=3,"High",IF('Calculations'!BO434+'Calculations'!BP434&lt;=4,"Strong","Solid"))))</x:f>
        <x:v>Not Rated</x:v>
      </x:c>
      <x:c r="EF434" s="4"/>
      <x:c r="EG434" s="4"/>
      <x:c r="EH434" s="4"/>
      <x:c r="EI434" s="4"/>
      <x:c r="EJ434" s="4"/>
      <x:c r="EK434" s="4"/>
      <x:c r="EL434" s="4"/>
      <x:c r="EM434" s="4" t="str">
        <x:f>IF(422&gt;'Calculations'!$JB$2000,"",INDEX('Calculations'!$JA$12:$JA$2000,MATCH(422,'Calculations'!$JB$12:$JB$2000,0)))</x:f>
      </x:c>
      <x:c r="EN434" s="4" t="n">
        <x:f>IF(OR('Calculations'!EM434="",'Calculations'!$AG$8&gt;0,AND('Calculations'!$EF$2&lt;&gt;"All",'Calculations'!HE434='Calculations'!$EF$2),AND('Calculations'!$EF$3&lt;&gt;"All",'Calculations'!HE434='Calculations'!$EF$3)),0,IF(OR('Dashboard'!$B$7="All",'Calculations'!HN434='Dashboard'!$B$7),IF('Calculations'!$EF$2="All",1,IF('Calculations'!HL434&gt;0,0,IF(COUNTIF('Calculations'!HO434:II434,"="&amp;SUBSTITUTE(SUBSTITUTE(SUBSTITUTE('Calculations'!$EF$2,"~","~~"),"*","~*"),"?","~?"))=0,0,IF('Calculations'!$EF$3="All",1,IF(COUNTIF('Calculations'!HO434:II434,"="&amp;SUBSTITUTE(SUBSTITUTE(SUBSTITUTE('Calculations'!$EF$3,"~","~~"),"*","~*"),"?","~?"))&gt;0,1,0))))),0))</x:f>
        <x:v>0</x:v>
      </x:c>
      <x:c r="EO434" s="4" t="str">
        <x:f>IF('Calculations'!IJ434="","",IF('Calculations'!IJ434="!UNRESOLVED","Unresolved hierarchy",IFERROR(INDEX('Calculations'!$HK$13:$HK$512,MATCH('Calculations'!IJ434,'Calculations'!$HE$13:$HE$512,0)),IFERROR(INDEX('Calculations'!$HJ$13:$HJ$512,MATCH('Calculations'!IJ434,'Calculations'!$HF$13:$HF$512,0)),'Calculations'!IJ434))))</x:f>
      </x:c>
      <x:c r="EP434" s="4" t="n">
        <x:f>IF(AND('Calculations'!EM434&lt;&gt;"",'Calculations'!HF434='Calculations'!IJ434),1,0)</x:f>
        <x:v>0</x:v>
      </x:c>
      <x:c r="EQ434" s="4"/>
      <x:c r="ER434" s="4"/>
      <x:c r="ES434" s="4"/>
      <x:c r="ET434" s="4"/>
      <x:c r="EU434" s="4"/>
      <x:c r="EV434" s="4"/>
      <x:c r="EW434" s="4"/>
      <x:c r="EX434" s="4"/>
      <x:c r="EY434" s="4"/>
      <x:c r="EZ434" s="4"/>
      <x:c r="FA434" s="4"/>
      <x:c r="FB434" s="4"/>
      <x:c r="FC434" s="4"/>
      <x:c r="FD434" s="4"/>
      <x:c r="FE434" s="4"/>
      <x:c r="FF434" s="4"/>
      <x:c r="FG434" s="4"/>
      <x:c r="FH434" s="4"/>
      <x:c r="FI434" s="4"/>
      <x:c r="FJ434" s="4"/>
      <x:c r="FK434" s="4"/>
      <x:c r="FL434" s="4"/>
      <x:c r="FM434" s="4"/>
      <x:c r="FN434" s="4"/>
      <x:c r="FO434" s="4"/>
      <x:c r="HE434" t="str">
        <x:f>IF('Calculations'!EM434="","",IF(IFERROR(IF(INDEX(INDIRECT("'WCM Calibration Final'!$A$1:$A$2000"),'Calculations'!$EM434)="","",TRIM(INDEX(INDIRECT("'WCM Calibration Final'!$A$1:$A$2000"),'Calculations'!$EM434)&amp;"")),"")&lt;&gt;"","G:"&amp;IFERROR(TEXT(1*INDEX(INDIRECT("'WCM Calibration Final'!$A$1:$A$2000"),'Calculations'!$EM434),"0"),UPPER(IFERROR(IF(INDEX(INDIRECT("'WCM Calibration Final'!$A$1:$A$2000"),'Calculations'!$EM434)="","",TRIM(INDEX(INDIRECT("'WCM Calibration Final'!$A$1:$A$2000"),'Calculations'!$EM434)&amp;"")),""))),IF(IFERROR(IF(INDEX(INDIRECT("'WCM Calibration Final'!$C$1:$C$2000"),'Calculations'!$EM434)="","",TRIM(INDEX(INDIRECT("'WCM Calibration Final'!$C$1:$C$2000"),'Calculations'!$EM434)&amp;"")),"")&lt;&gt;"","S:"&amp;UPPER(IFERROR(IF(INDEX(INDIRECT("'WCM Calibration Final'!$C$1:$C$2000"),'Calculations'!$EM434)="","",TRIM(INDEX(INDIRECT("'WCM Calibration Final'!$C$1:$C$2000"),'Calculations'!$EM434)&amp;"")),"")),"R:"&amp;'Calculations'!EM434)))</x:f>
      </x:c>
      <x:c r="HF434" t="str">
        <x:f>IF('Calculations'!EM434="","",IF(IFERROR(IF(INDEX(INDIRECT("'WCM Calibration Final'!$D$1:$D$2000"),'Calculations'!$EM434)="","",TRIM(INDEX(INDIRECT("'WCM Calibration Final'!$D$1:$D$2000"),'Calculations'!$EM434)&amp;"")),"")&lt;&gt;"","G:"&amp;IFERROR(TEXT(1*INDEX(INDIRECT("'WCM Calibration Final'!$D$1:$D$2000"),'Calculations'!$EM434),"0"),UPPER(IFERROR(IF(INDEX(INDIRECT("'WCM Calibration Final'!$D$1:$D$2000"),'Calculations'!$EM434)="","",TRIM(INDEX(INDIRECT("'WCM Calibration Final'!$D$1:$D$2000"),'Calculations'!$EM434)&amp;"")),""))),IF(IFERROR(IF(INDEX(INDIRECT("'WCM Calibration Final'!$E$1:$E$2000"),'Calculations'!$EM434)="","",TRIM(INDEX(INDIRECT("'WCM Calibration Final'!$E$1:$E$2000"),'Calculations'!$EM434)&amp;"")),"")="","",IF(COUNTIF('Calculations'!$HG$13:$HG$512,"="&amp;SUBSTITUTE(SUBSTITUTE(SUBSTITUTE(IFERROR(IF(INDEX(INDIRECT("'WCM Calibration Final'!$E$1:$E$2000"),'Calculations'!$EM434)="","",TRIM(INDEX(INDIRECT("'WCM Calibration Final'!$E$1:$E$2000"),'Calculations'!$EM434)&amp;"")),""),"~","~~"),"*","~*"),"?","~?"))=1,INDEX('Calculations'!$HE$13:$HE$512,MATCH(IFERROR(IF(INDEX(INDIRECT("'WCM Calibration Final'!$E$1:$E$2000"),'Calculations'!$EM434)="","",TRIM(INDEX(INDIRECT("'WCM Calibration Final'!$E$1:$E$2000"),'Calculations'!$EM434)&amp;"")),""),'Calculations'!$HG$13:$HG$512,0)),IF(COUNTIF('Calculations'!$HG$13:$HG$512,"="&amp;SUBSTITUTE(SUBSTITUTE(SUBSTITUTE(IFERROR(IF(INDEX(INDIRECT("'WCM Calibration Final'!$E$1:$E$2000"),'Calculations'!$EM434)="","",TRIM(INDEX(INDIRECT("'WCM Calibration Final'!$E$1:$E$2000"),'Calculations'!$EM434)&amp;"")),""),"~","~~"),"*","~*"),"?","~?"))&gt;1,"!AMBIG","X:"&amp;IFERROR(IF(INDEX(INDIRECT("'WCM Calibration Final'!$E$1:$E$2000"),'Calculations'!$EM434)="","",TRIM(INDEX(INDIRECT("'WCM Calibration Final'!$E$1:$E$2000"),'Calculations'!$EM434)&amp;"")),""))))))</x:f>
      </x:c>
      <x:c r="HG434" t="str">
        <x:f>IF('Calculations'!EM434="","",IFERROR(IF(INDEX(INDIRECT("'WCM Calibration Final'!$B$1:$B$2000"),'Calculations'!$EM434)="","",TRIM(INDEX(INDIRECT("'WCM Calibration Final'!$B$1:$B$2000"),'Calculations'!$EM434)&amp;"")),""))</x:f>
      </x:c>
      <x:c r="HH434" t="n">
        <x:f>IF(AND('Calculations'!JC434&gt;0,COUNTIF('Calculations'!$HF$12:HF434,"="&amp;SUBSTITUTE(SUBSTITUTE(SUBSTITUTE('Calculations'!HF434,"~","~~"),"*","~*"),"?","~?"))=1),MAX('Calculations'!$HH$12:HH433)+1,0)</x:f>
        <x:v>0</x:v>
      </x:c>
      <x:c r="HI434" t="n">
        <x:f>IF(AND('Calculations'!HN434&lt;&gt;"",COUNTIF('Calculations'!$HN$12:HN434,"="&amp;SUBSTITUTE(SUBSTITUTE(SUBSTITUTE('Calculations'!HN434,"~","~~"),"*","~*"),"?","~?"))=1),MAX('Calculations'!$HI$12:HI433)+1,0)</x:f>
        <x:v>0</x:v>
      </x:c>
      <x:c r="HJ434" t="str">
        <x:f>IF('Calculations'!HF434="","",IF(COUNTIF('Calculations'!$HE$13:$HE$512,"="&amp;SUBSTITUTE(SUBSTITUTE(SUBSTITUTE('Calculations'!HF434,"~","~~"),"*","~*"),"?","~?"))=1,INDEX('Calculations'!$HK$13:$HK$512,MATCH('Calculations'!HF434,'Calculations'!$HE$13:$HE$512,0)),IFERROR(IF(INDEX(INDIRECT("'WCM Calibration Final'!$E$1:$E$2000"),'Calculations'!$EM434)="","",TRIM(INDEX(INDIRECT("'WCM Calibration Final'!$E$1:$E$2000"),'Calculations'!$EM434)&amp;"")),"")&amp;" ["&amp;'Calculations'!HF434&amp;"]"))</x:f>
      </x:c>
      <x:c r="HK434" t="str">
        <x:f>IF('Calculations'!EM434="","",'Calculations'!HG434&amp;" ["&amp;'Calculations'!HE434&amp;"]")</x:f>
      </x:c>
      <x:c r="HL434" t="n">
        <x:f>IF('Calculations'!EM434="",0,IF(OR('Calculations'!II434&lt;&gt;"",COUNTIF('Calculations'!$HE$13:$HE$512,"="&amp;SUBSTITUTE(SUBSTITUTE(SUBSTITUTE('Calculations'!HE434,"~","~~"),"*","~*"),"?","~?"))&gt;1),1,0))</x:f>
        <x:v>0</x:v>
      </x:c>
      <x:c r="HM434" t="str">
        <x:f>IF('Calculations'!EM434="","",IF('Calculations'!HL434=1,"!UNRESOLVED",IF('Calculations'!IH434&lt;&gt;"",'Calculations'!IH434,IF('Calculations'!IG434&lt;&gt;"",'Calculations'!IG434,IF('Calculations'!IF434&lt;&gt;"",'Calculations'!IF434,IF('Calculations'!IE434&lt;&gt;"",'Calculations'!IE434,IF('Calculations'!ID434&lt;&gt;"",'Calculations'!ID434,IF('Calculations'!IC434&lt;&gt;"",'Calculations'!IC434,IF('Calculations'!IB434&lt;&gt;"",'Calculations'!IB434,IF('Calculations'!IA434&lt;&gt;"",'Calculations'!IA434,IF('Calculations'!HZ434&lt;&gt;"",'Calculations'!HZ434,IF('Calculations'!HY434&lt;&gt;"",'Calculations'!HY434,IF('Calculations'!HX434&lt;&gt;"",'Calculations'!HX434,IF('Calculations'!HW434&lt;&gt;"",'Calculations'!HW434,IF('Calculations'!HV434&lt;&gt;"",'Calculations'!HV434,IF('Calculations'!HU434&lt;&gt;"",'Calculations'!HU434,IF('Calculations'!HT434&lt;&gt;"",'Calculations'!HT434,IF('Calculations'!HS434&lt;&gt;"",'Calculations'!HS434,IF('Calculations'!HR434&lt;&gt;"",'Calculations'!HR434,IF('Calculations'!HQ434&lt;&gt;"",'Calculations'!HQ434,IF('Calculations'!HP434&lt;&gt;"",'Calculations'!HP434,IF('Calculations'!HO434&lt;&gt;"",'Calculations'!HO434,'Calculations'!HE434))))))))))))))))))))))</x:f>
      </x:c>
      <x:c r="HN434" t="str">
        <x:f>IF('Calculations'!EM434="","",IF(IFERROR(IF(INDEX(INDIRECT("'WCM Calibration Final'!$F$1:$F$2000"),'Calculations'!$EM434)="","",TRIM(INDEX(INDIRECT("'WCM Calibration Final'!$F$1:$F$2000"),'Calculations'!$EM434)&amp;"")),"")="","(Blank)",IFERROR(IF(INDEX(INDIRECT("'WCM Calibration Final'!$F$1:$F$2000"),'Calculations'!$EM434)="","",TRIM(INDEX(INDIRECT("'WCM Calibration Final'!$F$1:$F$2000"),'Calculations'!$EM434)&amp;"")),"")))</x:f>
      </x:c>
      <x:c r="HO434" t="str">
        <x:f>'Calculations'!HF434</x:f>
      </x:c>
      <x:c r="HP434" t="str">
        <x:f>IF('Calculations'!HO434="","",IF('Calculations'!HO434="!AMBIG","!AMBIG",IF(COUNTIF('Calculations'!$HE$13:$HE$512,"="&amp;SUBSTITUTE(SUBSTITUTE(SUBSTITUTE('Calculations'!HO434,"~","~~"),"*","~*"),"?","~?"))&gt;1,"!AMBIG",IFERROR(INDEX('Calculations'!$HF$13:$HF$512,MATCH('Calculations'!HO434,'Calculations'!$HE$13:$HE$512,0)),""))))</x:f>
      </x:c>
      <x:c r="HQ434" t="str">
        <x:f>IF('Calculations'!HP434="","",IF('Calculations'!HP434="!AMBIG","!AMBIG",IF(COUNTIF('Calculations'!$HE$13:$HE$512,"="&amp;SUBSTITUTE(SUBSTITUTE(SUBSTITUTE('Calculations'!HP434,"~","~~"),"*","~*"),"?","~?"))&gt;1,"!AMBIG",IFERROR(INDEX('Calculations'!$HF$13:$HF$512,MATCH('Calculations'!HP434,'Calculations'!$HE$13:$HE$512,0)),""))))</x:f>
      </x:c>
      <x:c r="HR434" t="str">
        <x:f>IF('Calculations'!HQ434="","",IF('Calculations'!HQ434="!AMBIG","!AMBIG",IF(COUNTIF('Calculations'!$HE$13:$HE$512,"="&amp;SUBSTITUTE(SUBSTITUTE(SUBSTITUTE('Calculations'!HQ434,"~","~~"),"*","~*"),"?","~?"))&gt;1,"!AMBIG",IFERROR(INDEX('Calculations'!$HF$13:$HF$512,MATCH('Calculations'!HQ434,'Calculations'!$HE$13:$HE$512,0)),""))))</x:f>
      </x:c>
      <x:c r="HS434" t="str">
        <x:f>IF('Calculations'!HR434="","",IF('Calculations'!HR434="!AMBIG","!AMBIG",IF(COUNTIF('Calculations'!$HE$13:$HE$512,"="&amp;SUBSTITUTE(SUBSTITUTE(SUBSTITUTE('Calculations'!HR434,"~","~~"),"*","~*"),"?","~?"))&gt;1,"!AMBIG",IFERROR(INDEX('Calculations'!$HF$13:$HF$512,MATCH('Calculations'!HR434,'Calculations'!$HE$13:$HE$512,0)),""))))</x:f>
      </x:c>
      <x:c r="HT434" t="str">
        <x:f>IF('Calculations'!HS434="","",IF('Calculations'!HS434="!AMBIG","!AMBIG",IF(COUNTIF('Calculations'!$HE$13:$HE$512,"="&amp;SUBSTITUTE(SUBSTITUTE(SUBSTITUTE('Calculations'!HS434,"~","~~"),"*","~*"),"?","~?"))&gt;1,"!AMBIG",IFERROR(INDEX('Calculations'!$HF$13:$HF$512,MATCH('Calculations'!HS434,'Calculations'!$HE$13:$HE$512,0)),""))))</x:f>
      </x:c>
      <x:c r="HU434" t="str">
        <x:f>IF('Calculations'!HT434="","",IF('Calculations'!HT434="!AMBIG","!AMBIG",IF(COUNTIF('Calculations'!$HE$13:$HE$512,"="&amp;SUBSTITUTE(SUBSTITUTE(SUBSTITUTE('Calculations'!HT434,"~","~~"),"*","~*"),"?","~?"))&gt;1,"!AMBIG",IFERROR(INDEX('Calculations'!$HF$13:$HF$512,MATCH('Calculations'!HT434,'Calculations'!$HE$13:$HE$512,0)),""))))</x:f>
      </x:c>
      <x:c r="HV434" t="str">
        <x:f>IF('Calculations'!HU434="","",IF('Calculations'!HU434="!AMBIG","!AMBIG",IF(COUNTIF('Calculations'!$HE$13:$HE$512,"="&amp;SUBSTITUTE(SUBSTITUTE(SUBSTITUTE('Calculations'!HU434,"~","~~"),"*","~*"),"?","~?"))&gt;1,"!AMBIG",IFERROR(INDEX('Calculations'!$HF$13:$HF$512,MATCH('Calculations'!HU434,'Calculations'!$HE$13:$HE$512,0)),""))))</x:f>
      </x:c>
      <x:c r="HW434" t="str">
        <x:f>IF('Calculations'!HV434="","",IF('Calculations'!HV434="!AMBIG","!AMBIG",IF(COUNTIF('Calculations'!$HE$13:$HE$512,"="&amp;SUBSTITUTE(SUBSTITUTE(SUBSTITUTE('Calculations'!HV434,"~","~~"),"*","~*"),"?","~?"))&gt;1,"!AMBIG",IFERROR(INDEX('Calculations'!$HF$13:$HF$512,MATCH('Calculations'!HV434,'Calculations'!$HE$13:$HE$512,0)),""))))</x:f>
      </x:c>
      <x:c r="HX434" t="str">
        <x:f>IF('Calculations'!HW434="","",IF('Calculations'!HW434="!AMBIG","!AMBIG",IF(COUNTIF('Calculations'!$HE$13:$HE$512,"="&amp;SUBSTITUTE(SUBSTITUTE(SUBSTITUTE('Calculations'!HW434,"~","~~"),"*","~*"),"?","~?"))&gt;1,"!AMBIG",IFERROR(INDEX('Calculations'!$HF$13:$HF$512,MATCH('Calculations'!HW434,'Calculations'!$HE$13:$HE$512,0)),""))))</x:f>
      </x:c>
      <x:c r="HY434" t="str">
        <x:f>IF('Calculations'!HX434="","",IF('Calculations'!HX434="!AMBIG","!AMBIG",IF(COUNTIF('Calculations'!$HE$13:$HE$512,"="&amp;SUBSTITUTE(SUBSTITUTE(SUBSTITUTE('Calculations'!HX434,"~","~~"),"*","~*"),"?","~?"))&gt;1,"!AMBIG",IFERROR(INDEX('Calculations'!$HF$13:$HF$512,MATCH('Calculations'!HX434,'Calculations'!$HE$13:$HE$512,0)),""))))</x:f>
      </x:c>
      <x:c r="HZ434" t="str">
        <x:f>IF('Calculations'!HY434="","",IF('Calculations'!HY434="!AMBIG","!AMBIG",IF(COUNTIF('Calculations'!$HE$13:$HE$512,"="&amp;SUBSTITUTE(SUBSTITUTE(SUBSTITUTE('Calculations'!HY434,"~","~~"),"*","~*"),"?","~?"))&gt;1,"!AMBIG",IFERROR(INDEX('Calculations'!$HF$13:$HF$512,MATCH('Calculations'!HY434,'Calculations'!$HE$13:$HE$512,0)),""))))</x:f>
      </x:c>
      <x:c r="IA434" t="str">
        <x:f>IF('Calculations'!HZ434="","",IF('Calculations'!HZ434="!AMBIG","!AMBIG",IF(COUNTIF('Calculations'!$HE$13:$HE$512,"="&amp;SUBSTITUTE(SUBSTITUTE(SUBSTITUTE('Calculations'!HZ434,"~","~~"),"*","~*"),"?","~?"))&gt;1,"!AMBIG",IFERROR(INDEX('Calculations'!$HF$13:$HF$512,MATCH('Calculations'!HZ434,'Calculations'!$HE$13:$HE$512,0)),""))))</x:f>
      </x:c>
      <x:c r="IB434" t="str">
        <x:f>IF('Calculations'!IA434="","",IF('Calculations'!IA434="!AMBIG","!AMBIG",IF(COUNTIF('Calculations'!$HE$13:$HE$512,"="&amp;SUBSTITUTE(SUBSTITUTE(SUBSTITUTE('Calculations'!IA434,"~","~~"),"*","~*"),"?","~?"))&gt;1,"!AMBIG",IFERROR(INDEX('Calculations'!$HF$13:$HF$512,MATCH('Calculations'!IA434,'Calculations'!$HE$13:$HE$512,0)),""))))</x:f>
      </x:c>
      <x:c r="IC434" t="str">
        <x:f>IF('Calculations'!IB434="","",IF('Calculations'!IB434="!AMBIG","!AMBIG",IF(COUNTIF('Calculations'!$HE$13:$HE$512,"="&amp;SUBSTITUTE(SUBSTITUTE(SUBSTITUTE('Calculations'!IB434,"~","~~"),"*","~*"),"?","~?"))&gt;1,"!AMBIG",IFERROR(INDEX('Calculations'!$HF$13:$HF$512,MATCH('Calculations'!IB434,'Calculations'!$HE$13:$HE$512,0)),""))))</x:f>
      </x:c>
      <x:c r="ID434" t="str">
        <x:f>IF('Calculations'!IC434="","",IF('Calculations'!IC434="!AMBIG","!AMBIG",IF(COUNTIF('Calculations'!$HE$13:$HE$512,"="&amp;SUBSTITUTE(SUBSTITUTE(SUBSTITUTE('Calculations'!IC434,"~","~~"),"*","~*"),"?","~?"))&gt;1,"!AMBIG",IFERROR(INDEX('Calculations'!$HF$13:$HF$512,MATCH('Calculations'!IC434,'Calculations'!$HE$13:$HE$512,0)),""))))</x:f>
      </x:c>
      <x:c r="IE434" t="str">
        <x:f>IF('Calculations'!ID434="","",IF('Calculations'!ID434="!AMBIG","!AMBIG",IF(COUNTIF('Calculations'!$HE$13:$HE$512,"="&amp;SUBSTITUTE(SUBSTITUTE(SUBSTITUTE('Calculations'!ID434,"~","~~"),"*","~*"),"?","~?"))&gt;1,"!AMBIG",IFERROR(INDEX('Calculations'!$HF$13:$HF$512,MATCH('Calculations'!ID434,'Calculations'!$HE$13:$HE$512,0)),""))))</x:f>
      </x:c>
      <x:c r="IF434" t="str">
        <x:f>IF('Calculations'!IE434="","",IF('Calculations'!IE434="!AMBIG","!AMBIG",IF(COUNTIF('Calculations'!$HE$13:$HE$512,"="&amp;SUBSTITUTE(SUBSTITUTE(SUBSTITUTE('Calculations'!IE434,"~","~~"),"*","~*"),"?","~?"))&gt;1,"!AMBIG",IFERROR(INDEX('Calculations'!$HF$13:$HF$512,MATCH('Calculations'!IE434,'Calculations'!$HE$13:$HE$512,0)),""))))</x:f>
      </x:c>
      <x:c r="IG434" t="str">
        <x:f>IF('Calculations'!IF434="","",IF('Calculations'!IF434="!AMBIG","!AMBIG",IF(COUNTIF('Calculations'!$HE$13:$HE$512,"="&amp;SUBSTITUTE(SUBSTITUTE(SUBSTITUTE('Calculations'!IF434,"~","~~"),"*","~*"),"?","~?"))&gt;1,"!AMBIG",IFERROR(INDEX('Calculations'!$HF$13:$HF$512,MATCH('Calculations'!IF434,'Calculations'!$HE$13:$HE$512,0)),""))))</x:f>
      </x:c>
      <x:c r="IH434" t="str">
        <x:f>IF('Calculations'!IG434="","",IF('Calculations'!IG434="!AMBIG","!AMBIG",IF(COUNTIF('Calculations'!$HE$13:$HE$512,"="&amp;SUBSTITUTE(SUBSTITUTE(SUBSTITUTE('Calculations'!IG434,"~","~~"),"*","~*"),"?","~?"))&gt;1,"!AMBIG",IFERROR(INDEX('Calculations'!$HF$13:$HF$512,MATCH('Calculations'!IG434,'Calculations'!$HE$13:$HE$512,0)),""))))</x:f>
      </x:c>
      <x:c r="II434" t="str">
        <x:f>IF('Calculations'!IH434="","",IF('Calculations'!IH434="!AMBIG","!AMBIG",IF(COUNTIF('Calculations'!$HE$13:$HE$512,"="&amp;SUBSTITUTE(SUBSTITUTE(SUBSTITUTE('Calculations'!IH434,"~","~~"),"*","~*"),"?","~?"))&gt;1,"!AMBIG",IFERROR(INDEX('Calculations'!$HF$13:$HF$512,MATCH('Calculations'!IH434,'Calculations'!$HE$13:$HE$512,0)),""))))</x:f>
      </x:c>
      <x:c r="IJ434" t="str">
        <x:f>IF('Calculations'!EM434="","",IF('Calculations'!$EF$2="All",'Calculations'!HM434,IF('Calculations'!HL434=1,"",IFERROR(IF(MATCH('Calculations'!$EF$2,'Calculations'!HO434:II434,0)=1,'Calculations'!HE434,INDEX('Calculations'!HO434:II434,1,MATCH('Calculations'!$EF$2,'Calculations'!HO434:II434,0)-1)),""))))</x:f>
      </x:c>
      <x:c r="IK434" t="n">
        <x:f>IF(AND('Calculations'!EM434&lt;&gt;"",'Calculations'!$EF$2&lt;&gt;"All",'Calculations'!HF434='Calculations'!$EF$2,'Calculations'!HL434=0,'Calculations'!JD434&gt;0),MAX('Calculations'!$IK$12:IK433)+1,0)</x:f>
        <x:v>0</x:v>
      </x:c>
      <x:c r="JA434" t="n">
        <x:f>IF(OR(IFERROR(INDIRECT("'WCM Calibration Final'!$A$434")&lt;&gt;"",FALSE),IFERROR(INDIRECT("'WCM Calibration Final'!$B$434")&lt;&gt;"",FALSE),IFERROR(INDIRECT("'WCM Calibration Final'!$C$434")&lt;&gt;"",FALSE)),434,0)</x:f>
        <x:v>0</x:v>
      </x:c>
      <x:c r="JB434" t="n">
        <x:f>'Calculations'!JB433+IF('Calculations'!JA434&gt;0,1,0)</x:f>
        <x:v>0</x:v>
      </x:c>
      <x:c r="JC434" t="n">
        <x:f>IF(OR('Calculations'!HF434="",'Calculations'!HF434="!AMBIG"),0,IF('Dashboard'!$B$7="All",1,COUNTIFS('Calculations'!$HO$13:$HO$512,"="&amp;SUBSTITUTE(SUBSTITUTE(SUBSTITUTE('Calculations'!HF434,"~","~~"),"*","~*"),"?","~?"),'Calculations'!$HN$13:$HN$512,"="&amp;SUBSTITUTE(SUBSTITUTE(SUBSTITUTE('Dashboard'!$B$7,"~","~~"),"*","~*"),"?","~?"))+COUNTIFS('Calculations'!$HP$13:$HP$512,"="&amp;SUBSTITUTE(SUBSTITUTE(SUBSTITUTE('Calculations'!HF434,"~","~~"),"*","~*"),"?","~?"),'Calculations'!$HN$13:$HN$512,"="&amp;SUBSTITUTE(SUBSTITUTE(SUBSTITUTE('Dashboard'!$B$7,"~","~~"),"*","~*"),"?","~?"))+COUNTIFS('Calculations'!$HQ$13:$HQ$512,"="&amp;SUBSTITUTE(SUBSTITUTE(SUBSTITUTE('Calculations'!HF434,"~","~~"),"*","~*"),"?","~?"),'Calculations'!$HN$13:$HN$512,"="&amp;SUBSTITUTE(SUBSTITUTE(SUBSTITUTE('Dashboard'!$B$7,"~","~~"),"*","~*"),"?","~?"))+COUNTIFS('Calculations'!$HR$13:$HR$512,"="&amp;SUBSTITUTE(SUBSTITUTE(SUBSTITUTE('Calculations'!HF434,"~","~~"),"*","~*"),"?","~?"),'Calculations'!$HN$13:$HN$512,"="&amp;SUBSTITUTE(SUBSTITUTE(SUBSTITUTE('Dashboard'!$B$7,"~","~~"),"*","~*"),"?","~?"))+COUNTIFS('Calculations'!$HS$13:$HS$512,"="&amp;SUBSTITUTE(SUBSTITUTE(SUBSTITUTE('Calculations'!HF434,"~","~~"),"*","~*"),"?","~?"),'Calculations'!$HN$13:$HN$512,"="&amp;SUBSTITUTE(SUBSTITUTE(SUBSTITUTE('Dashboard'!$B$7,"~","~~"),"*","~*"),"?","~?"))+COUNTIFS('Calculations'!$HT$13:$HT$512,"="&amp;SUBSTITUTE(SUBSTITUTE(SUBSTITUTE('Calculations'!HF434,"~","~~"),"*","~*"),"?","~?"),'Calculations'!$HN$13:$HN$512,"="&amp;SUBSTITUTE(SUBSTITUTE(SUBSTITUTE('Dashboard'!$B$7,"~","~~"),"*","~*"),"?","~?"))+COUNTIFS('Calculations'!$HU$13:$HU$512,"="&amp;SUBSTITUTE(SUBSTITUTE(SUBSTITUTE('Calculations'!HF434,"~","~~"),"*","~*"),"?","~?"),'Calculations'!$HN$13:$HN$512,"="&amp;SUBSTITUTE(SUBSTITUTE(SUBSTITUTE('Dashboard'!$B$7,"~","~~"),"*","~*"),"?","~?"))+COUNTIFS('Calculations'!$HV$13:$HV$512,"="&amp;SUBSTITUTE(SUBSTITUTE(SUBSTITUTE('Calculations'!HF434,"~","~~"),"*","~*"),"?","~?"),'Calculations'!$HN$13:$HN$512,"="&amp;SUBSTITUTE(SUBSTITUTE(SUBSTITUTE('Dashboard'!$B$7,"~","~~"),"*","~*"),"?","~?"))+COUNTIFS('Calculations'!$HW$13:$HW$512,"="&amp;SUBSTITUTE(SUBSTITUTE(SUBSTITUTE('Calculations'!HF434,"~","~~"),"*","~*"),"?","~?"),'Calculations'!$HN$13:$HN$512,"="&amp;SUBSTITUTE(SUBSTITUTE(SUBSTITUTE('Dashboard'!$B$7,"~","~~"),"*","~*"),"?","~?"))+COUNTIFS('Calculations'!$HX$13:$HX$512,"="&amp;SUBSTITUTE(SUBSTITUTE(SUBSTITUTE('Calculations'!HF434,"~","~~"),"*","~*"),"?","~?"),'Calculations'!$HN$13:$HN$512,"="&amp;SUBSTITUTE(SUBSTITUTE(SUBSTITUTE('Dashboard'!$B$7,"~","~~"),"*","~*"),"?","~?"))+COUNTIFS('Calculations'!$HY$13:$HY$512,"="&amp;SUBSTITUTE(SUBSTITUTE(SUBSTITUTE('Calculations'!HF434,"~","~~"),"*","~*"),"?","~?"),'Calculations'!$HN$13:$HN$512,"="&amp;SUBSTITUTE(SUBSTITUTE(SUBSTITUTE('Dashboard'!$B$7,"~","~~"),"*","~*"),"?","~?"))+COUNTIFS('Calculations'!$HZ$13:$HZ$512,"="&amp;SUBSTITUTE(SUBSTITUTE(SUBSTITUTE('Calculations'!HF434,"~","~~"),"*","~*"),"?","~?"),'Calculations'!$HN$13:$HN$512,"="&amp;SUBSTITUTE(SUBSTITUTE(SUBSTITUTE('Dashboard'!$B$7,"~","~~"),"*","~*"),"?","~?"))+COUNTIFS('Calculations'!$IA$13:$IA$512,"="&amp;SUBSTITUTE(SUBSTITUTE(SUBSTITUTE('Calculations'!HF434,"~","~~"),"*","~*"),"?","~?"),'Calculations'!$HN$13:$HN$512,"="&amp;SUBSTITUTE(SUBSTITUTE(SUBSTITUTE('Dashboard'!$B$7,"~","~~"),"*","~*"),"?","~?"))+COUNTIFS('Calculations'!$IB$13:$IB$512,"="&amp;SUBSTITUTE(SUBSTITUTE(SUBSTITUTE('Calculations'!HF434,"~","~~"),"*","~*"),"?","~?"),'Calculations'!$HN$13:$HN$512,"="&amp;SUBSTITUTE(SUBSTITUTE(SUBSTITUTE('Dashboard'!$B$7,"~","~~"),"*","~*"),"?","~?"))+COUNTIFS('Calculations'!$IC$13:$IC$512,"="&amp;SUBSTITUTE(SUBSTITUTE(SUBSTITUTE('Calculations'!HF434,"~","~~"),"*","~*"),"?","~?"),'Calculations'!$HN$13:$HN$512,"="&amp;SUBSTITUTE(SUBSTITUTE(SUBSTITUTE('Dashboard'!$B$7,"~","~~"),"*","~*"),"?","~?"))+COUNTIFS('Calculations'!$ID$13:$ID$512,"="&amp;SUBSTITUTE(SUBSTITUTE(SUBSTITUTE('Calculations'!HF434,"~","~~"),"*","~*"),"?","~?"),'Calculations'!$HN$13:$HN$512,"="&amp;SUBSTITUTE(SUBSTITUTE(SUBSTITUTE('Dashboard'!$B$7,"~","~~"),"*","~*"),"?","~?"))+COUNTIFS('Calculations'!$IE$13:$IE$512,"="&amp;SUBSTITUTE(SUBSTITUTE(SUBSTITUTE('Calculations'!HF434,"~","~~"),"*","~*"),"?","~?"),'Calculations'!$HN$13:$HN$512,"="&amp;SUBSTITUTE(SUBSTITUTE(SUBSTITUTE('Dashboard'!$B$7,"~","~~"),"*","~*"),"?","~?"))+COUNTIFS('Calculations'!$IF$13:$IF$512,"="&amp;SUBSTITUTE(SUBSTITUTE(SUBSTITUTE('Calculations'!HF434,"~","~~"),"*","~*"),"?","~?"),'Calculations'!$HN$13:$HN$512,"="&amp;SUBSTITUTE(SUBSTITUTE(SUBSTITUTE('Dashboard'!$B$7,"~","~~"),"*","~*"),"?","~?"))+COUNTIFS('Calculations'!$IG$13:$IG$512,"="&amp;SUBSTITUTE(SUBSTITUTE(SUBSTITUTE('Calculations'!HF434,"~","~~"),"*","~*"),"?","~?"),'Calculations'!$HN$13:$HN$512,"="&amp;SUBSTITUTE(SUBSTITUTE(SUBSTITUTE('Dashboard'!$B$7,"~","~~"),"*","~*"),"?","~?"))+COUNTIFS('Calculations'!$IH$13:$IH$512,"="&amp;SUBSTITUTE(SUBSTITUTE(SUBSTITUTE('Calculations'!HF434,"~","~~"),"*","~*"),"?","~?"),'Calculations'!$HN$13:$HN$512,"="&amp;SUBSTITUTE(SUBSTITUTE(SUBSTITUTE('Dashboard'!$B$7,"~","~~"),"*","~*"),"?","~?"))))</x:f>
        <x:v>0</x:v>
      </x:c>
      <x:c r="JD434" t="n">
        <x:f>IF('Calculations'!EM434="",0,IF('Dashboard'!$B$7="All",1,IF('Calculations'!HN434='Dashboard'!$B$7,1,0)+IFERROR(INDEX('Calculations'!$JC$13:$JC$512,MATCH('Calculations'!HE434,'Calculations'!$HF$13:$HF$512,0)),0)))</x:f>
        <x:v>0</x:v>
      </x:c>
      <x:c r="JE434" t="n">
        <x:f>IF(AND('Calculations'!EM434&lt;&gt;"",'Calculations'!$JJ$2&lt;&gt;"All",'Calculations'!$JJ$2&lt;&gt;"",'Calculations'!HF434='Calculations'!$JJ$2,'Calculations'!HL434=0,'Calculations'!JD434&gt;0),MAX('Calculations'!$JE$12:JE433)+1,0)</x:f>
        <x:v>0</x:v>
      </x:c>
      <x:c r="JF434" t="str">
        <x:f>IF('Calculations'!EM434="","",IFERROR(IF(INDEX(INDIRECT("'WCM Calibration Final'!$G$1:$G$2000"),'Calculations'!$EM434)="","",TRIM(INDEX(INDIRECT("'WCM Calibration Final'!$G$1:$G$2000"),'Calculations'!$EM434)&amp;"")),""))</x:f>
      </x:c>
      <x:c r="JQ434" t="n">
        <x:f>IF(OR('Calculations'!BM434=0,NOT('Calculations'!$AG$2),'Calculations'!$AG$8&gt;0),0,IF(OR('Dashboard'!$B$7="All",'Calculations'!HN434='Dashboard'!$B$7),IF('Calculations'!$JJ$2="All",1,IF(AND('Calculations'!HF434='Calculations'!$JJ$2,'Calculations'!HL434=0),1,0)),0))</x:f>
        <x:v>0</x:v>
      </x:c>
    </x:row>
    <x:row r="435">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t="n">
        <x:f>IF('Calculations'!$EM435="",0,IF(OR(IFERROR(INDEX(INDIRECT("'WCM Calibration Final'!$A$1:$A$2000"),'Calculations'!$EM435)&lt;&gt;"",FALSE),IFERROR(INDEX(INDIRECT("'WCM Calibration Final'!$B$1:$B$2000"),'Calculations'!$EM435)&lt;&gt;"",FALSE),IFERROR(INDEX(INDIRECT("'WCM Calibration Final'!$C$1:$C$2000"),'Calculations'!$EM435)&lt;&gt;"",FALSE)),1,0))</x:f>
        <x:v>0</x:v>
      </x:c>
      <x:c r="BN435" s="4" t="n">
        <x:f>IF(AND('Calculations'!BM435=1,'Calculations'!$AG$2,'Calculations'!$EN435=1),1,0)</x:f>
        <x:v>0</x:v>
      </x:c>
      <x:c r="BO435" s="4" t="str">
        <x:f>IF('Calculations'!BM435=0,"",IFERROR(IF(AND(VALUE(INDEX(INDIRECT("'WCM Calibration Final'!$K$1:$K$2000"),'Calculations'!$EM435))&gt;=1,VALUE(INDEX(INDIRECT("'WCM Calibration Final'!$K$1:$K$2000"),'Calculations'!$EM435))&lt;=4,MOD(VALUE(INDEX(INDIRECT("'WCM Calibration Final'!$K$1:$K$2000"),'Calculations'!$EM435)),1)=0),VALUE(INDEX(INDIRECT("'WCM Calibration Final'!$K$1:$K$2000"),'Calculations'!$EM435)),""),""))</x:f>
      </x:c>
      <x:c r="BP435" s="4" t="str">
        <x:f>IF('Calculations'!BM435=0,"",IFERROR(IF(AND(VALUE(INDEX(INDIRECT("'WCM Calibration Final'!$L$1:$L$2000"),'Calculations'!$EM435))&gt;=1,VALUE(INDEX(INDIRECT("'WCM Calibration Final'!$L$1:$L$2000"),'Calculations'!$EM435))&lt;=4,MOD(VALUE(INDEX(INDIRECT("'WCM Calibration Final'!$L$1:$L$2000"),'Calculations'!$EM435)),1)=0),VALUE(INDEX(INDIRECT("'WCM Calibration Final'!$L$1:$L$2000"),'Calculations'!$EM435)),""),""))</x:f>
      </x:c>
      <x:c r="BQ435" s="4"/>
      <x:c r="BR435" s="4"/>
      <x:c r="BS435" s="4"/>
      <x:c r="BT435" s="4" t="n">
        <x:f>IF(AND('Calculations'!BM435=1,ISNUMBER('Calculations'!BO435),ISNUMBER('Calculations'!BP435)),1,0)</x:f>
        <x:v>0</x:v>
      </x:c>
      <x:c r="BU435" s="4" t="str">
        <x:f>IF('Calculations'!BM435=0,"",'Calculations'!$EO435)</x:f>
      </x:c>
      <x:c r="BV435" s="4" t="str">
        <x:f>IF('Calculations'!BM435=0,"",IFERROR(IF(OR(INDEX(INDIRECT("'WCM Calibration Final'!$H$1:$H$2000"),'Calculations'!$EM435)="MANAGING DIRECTOR",INDEX(INDIRECT("'WCM Calibration Final'!$H$1:$H$2000"),'Calculations'!$EM435)="DIRECTOR",INDEX(INDIRECT("'WCM Calibration Final'!$H$1:$H$2000"),'Calculations'!$EM435)="SENIOR VICE PRESIDENT",INDEX(INDIRECT("'WCM Calibration Final'!$H$1:$H$2000"),'Calculations'!$EM435)="VICE PRESIDENT",INDEX(INDIRECT("'WCM Calibration Final'!$H$1:$H$2000"),'Calculations'!$EM435)="ASSISTANT VICE PRESIDENT",INDEX(INDIRECT("'WCM Calibration Final'!$H$1:$H$2000"),'Calculations'!$EM435)="OFFICER"),UPPER(INDEX(INDIRECT("'WCM Calibration Final'!$H$1:$H$2000"),'Calculations'!$EM435)),"Other"),"Other"))</x:f>
      </x:c>
      <x:c r="BW435" s="4"/>
      <x:c r="BX435" s="4"/>
      <x:c r="BY435" s="4" t="n">
        <x:f>IF(AND('Calculations'!BM435=1,'Calculations'!BU435&lt;&gt;"",COUNTIF('Calculations'!$BU$12:BU435,'Calculations'!BU435)=1),MAX('Calculations'!$BY$11:BY434)+1,0)</x:f>
        <x:v>0</x:v>
      </x:c>
      <x:c r="BZ435" s="4" t="str">
        <x:f>IF('Dashboard'!$E$67="What",'Calculations'!BO435,'Calculations'!BP435)</x:f>
      </x:c>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t="str">
        <x:f>IF(424&gt;MAX('Calculations'!$HI$13:$HI$512),"",INDEX('Calculations'!$HN$13:$HN$512,MATCH(424,'Calculations'!$HI$13:$HI$512,0)))</x:f>
      </x:c>
      <x:c r="DB435" s="4" t="str">
        <x:f>IF(424&gt;MAX('Calculations'!$HH$13:$HH$512),"",INDEX('Calculations'!$HJ$13:$HJ$512,MATCH(424,'Calculations'!$HH$13:$HH$512,0)))</x:f>
      </x:c>
      <x:c r="DC435" s="4" t="str">
        <x:f>IF(ROW()-11&gt;MAX('Calculations'!$BY$13:$BY$512),"",INDEX('Calculations'!$BU$13:$BU$512,MATCH(ROW()-11,'Calculations'!$BY$13:$BY$512,0)))</x:f>
      </x:c>
      <x:c r="DD435" s="4" t="str">
        <x:f>IF(424&gt;MAX('Calculations'!$IK$13:$IK$512),"",INDEX('Calculations'!$HK$13:$HK$512,MATCH(424,'Calculations'!$IK$13:$IK$512,0)))</x:f>
      </x:c>
      <x:c r="DE435" s="4" t="str">
        <x:f>'Calculations'!DC435</x:f>
      </x:c>
      <x:c r="DF435" s="4" t="str">
        <x:f>IF('Calculations'!DE435="","",COUNTIFS('Calculations'!$BN$13:$BN$512,1,'Calculations'!$BU$13:$BU$512,'Calculations'!DE435))</x:f>
      </x:c>
      <x:c r="DG435" s="4" t="str">
        <x:f>IF('Calculations'!DE435="","",COUNTIFS('Calculations'!$BN$13:$BN$512,1,'Calculations'!$BU$13:$BU$512,'Calculations'!DE435,'Calculations'!$BT$13:$BT$512,1))</x:f>
      </x:c>
      <x:c r="DH435" s="4" t="str">
        <x:f>IF('Calculations'!DE435="","",'Calculations'!DF435-'Calculations'!DG435)</x:f>
      </x:c>
      <x:c r="DI435" s="4" t="str">
        <x:f>IF(OR('Calculations'!DE435="",'Calculations'!DF435=0),"",'Calculations'!DG435/'Calculations'!DF435)</x:f>
      </x:c>
      <x:c r="DJ435" s="4" t="str">
        <x:f>IF('Calculations'!DE435="","",COUNTIFS('Calculations'!$BN$13:$BN$512,1,'Calculations'!$BU$13:$BU$512,'Calculations'!DE435,'Calculations'!$BT$13:$BT$512,1,'Calculations'!$EE$13:$EE$512,"High"))</x:f>
      </x:c>
      <x:c r="DK435" s="4" t="str">
        <x:f>IF('Calculations'!DE435="","",COUNTIFS('Calculations'!$BN$13:$BN$512,1,'Calculations'!$BU$13:$BU$512,'Calculations'!DE435,'Calculations'!$BT$13:$BT$512,1,'Calculations'!$EE$13:$EE$512,"Strong"))</x:f>
      </x:c>
      <x:c r="DL435" s="4" t="str">
        <x:f>IF('Calculations'!DE435="","",COUNTIFS('Calculations'!$BN$13:$BN$512,1,'Calculations'!$BU$13:$BU$512,'Calculations'!DE435,'Calculations'!$BT$13:$BT$512,1,'Calculations'!$EE$13:$EE$512,"Solid"))</x:f>
      </x:c>
      <x:c r="DM435" s="4" t="str">
        <x:f>IF('Calculations'!DE435="","",COUNTIFS('Calculations'!$BN$13:$BN$512,1,'Calculations'!$BU$13:$BU$512,'Calculations'!DE435,'Calculations'!$BT$13:$BT$512,1,'Calculations'!$EE$13:$EE$512,"Low"))</x:f>
      </x:c>
      <x:c r="DN435" s="4" t="str">
        <x:f>IF('Calculations'!DE435="","",COUNTIFS('Calculations'!$BN$13:$BN$512,1,'Calculations'!$BU$13:$BU$512,'Calculations'!DE435,'Calculations'!$EP$13:$EP$512,1))</x:f>
      </x:c>
      <x:c r="DO435" s="4" t="str">
        <x:f>IF(OR('Calculations'!DE435="",'Calculations'!DG435=0),"",('Calculations'!DJ435+'Calculations'!DK435)/'Calculations'!DG435)</x:f>
      </x:c>
      <x:c r="DP435" s="4" t="n">
        <x:f>IF(AND('Calculations'!DE435&lt;&gt;"",'Calculations'!DF435&gt;0),COUNTIF('Calculations'!$DF$12:DF435,"&gt;0"),0)</x:f>
        <x:v>0</x:v>
      </x:c>
      <x:c r="DQ435" s="4" t="str">
        <x:f>IF(424&gt;MAX('Calculations'!$HH$13:$HH$512),"",INDEX('Calculations'!$HF$13:$HF$512,MATCH(424,'Calculations'!$HH$13:$HH$512,0)))</x:f>
      </x:c>
      <x:c r="DR435" s="4" t="str">
        <x:f>IF(424&gt;MAX('Calculations'!$IK$13:$IK$512),"",INDEX('Calculations'!$HE$13:$HE$512,MATCH(424,'Calculations'!$IK$13:$IK$512,0)))</x:f>
      </x:c>
      <x:c r="DS435" s="4"/>
      <x:c r="DT435" s="4"/>
      <x:c r="DU435" s="4"/>
      <x:c r="DV435" s="4"/>
      <x:c r="DW435" s="4"/>
      <x:c r="DX435" s="4"/>
      <x:c r="DY435" s="4"/>
      <x:c r="DZ435" s="4"/>
      <x:c r="EA435" s="4"/>
      <x:c r="EB435" s="4"/>
      <x:c r="EC435" s="4"/>
      <x:c r="ED435" s="4"/>
      <x:c r="EE435" s="4" t="str">
        <x:f>IF('Calculations'!BT435=0,"Not Rated",IF(OR('Calculations'!BO435&gt;=4,'Calculations'!BP435&gt;=4),"Low",IF('Calculations'!BO435+'Calculations'!BP435&lt;=3,"High",IF('Calculations'!BO435+'Calculations'!BP435&lt;=4,"Strong","Solid"))))</x:f>
        <x:v>Not Rated</x:v>
      </x:c>
      <x:c r="EF435" s="4"/>
      <x:c r="EG435" s="4"/>
      <x:c r="EH435" s="4"/>
      <x:c r="EI435" s="4"/>
      <x:c r="EJ435" s="4"/>
      <x:c r="EK435" s="4"/>
      <x:c r="EL435" s="4"/>
      <x:c r="EM435" s="4" t="str">
        <x:f>IF(423&gt;'Calculations'!$JB$2000,"",INDEX('Calculations'!$JA$12:$JA$2000,MATCH(423,'Calculations'!$JB$12:$JB$2000,0)))</x:f>
      </x:c>
      <x:c r="EN435" s="4" t="n">
        <x:f>IF(OR('Calculations'!EM435="",'Calculations'!$AG$8&gt;0,AND('Calculations'!$EF$2&lt;&gt;"All",'Calculations'!HE435='Calculations'!$EF$2),AND('Calculations'!$EF$3&lt;&gt;"All",'Calculations'!HE435='Calculations'!$EF$3)),0,IF(OR('Dashboard'!$B$7="All",'Calculations'!HN435='Dashboard'!$B$7),IF('Calculations'!$EF$2="All",1,IF('Calculations'!HL435&gt;0,0,IF(COUNTIF('Calculations'!HO435:II435,"="&amp;SUBSTITUTE(SUBSTITUTE(SUBSTITUTE('Calculations'!$EF$2,"~","~~"),"*","~*"),"?","~?"))=0,0,IF('Calculations'!$EF$3="All",1,IF(COUNTIF('Calculations'!HO435:II435,"="&amp;SUBSTITUTE(SUBSTITUTE(SUBSTITUTE('Calculations'!$EF$3,"~","~~"),"*","~*"),"?","~?"))&gt;0,1,0))))),0))</x:f>
        <x:v>0</x:v>
      </x:c>
      <x:c r="EO435" s="4" t="str">
        <x:f>IF('Calculations'!IJ435="","",IF('Calculations'!IJ435="!UNRESOLVED","Unresolved hierarchy",IFERROR(INDEX('Calculations'!$HK$13:$HK$512,MATCH('Calculations'!IJ435,'Calculations'!$HE$13:$HE$512,0)),IFERROR(INDEX('Calculations'!$HJ$13:$HJ$512,MATCH('Calculations'!IJ435,'Calculations'!$HF$13:$HF$512,0)),'Calculations'!IJ435))))</x:f>
      </x:c>
      <x:c r="EP435" s="4" t="n">
        <x:f>IF(AND('Calculations'!EM435&lt;&gt;"",'Calculations'!HF435='Calculations'!IJ435),1,0)</x:f>
        <x:v>0</x:v>
      </x:c>
      <x:c r="EQ435" s="4"/>
      <x:c r="ER435" s="4"/>
      <x:c r="ES435" s="4"/>
      <x:c r="ET435" s="4"/>
      <x:c r="EU435" s="4"/>
      <x:c r="EV435" s="4"/>
      <x:c r="EW435" s="4"/>
      <x:c r="EX435" s="4"/>
      <x:c r="EY435" s="4"/>
      <x:c r="EZ435" s="4"/>
      <x:c r="FA435" s="4"/>
      <x:c r="FB435" s="4"/>
      <x:c r="FC435" s="4"/>
      <x:c r="FD435" s="4"/>
      <x:c r="FE435" s="4"/>
      <x:c r="FF435" s="4"/>
      <x:c r="FG435" s="4"/>
      <x:c r="FH435" s="4"/>
      <x:c r="FI435" s="4"/>
      <x:c r="FJ435" s="4"/>
      <x:c r="FK435" s="4"/>
      <x:c r="FL435" s="4"/>
      <x:c r="FM435" s="4"/>
      <x:c r="FN435" s="4"/>
      <x:c r="FO435" s="4"/>
      <x:c r="HE435" t="str">
        <x:f>IF('Calculations'!EM435="","",IF(IFERROR(IF(INDEX(INDIRECT("'WCM Calibration Final'!$A$1:$A$2000"),'Calculations'!$EM435)="","",TRIM(INDEX(INDIRECT("'WCM Calibration Final'!$A$1:$A$2000"),'Calculations'!$EM435)&amp;"")),"")&lt;&gt;"","G:"&amp;IFERROR(TEXT(1*INDEX(INDIRECT("'WCM Calibration Final'!$A$1:$A$2000"),'Calculations'!$EM435),"0"),UPPER(IFERROR(IF(INDEX(INDIRECT("'WCM Calibration Final'!$A$1:$A$2000"),'Calculations'!$EM435)="","",TRIM(INDEX(INDIRECT("'WCM Calibration Final'!$A$1:$A$2000"),'Calculations'!$EM435)&amp;"")),""))),IF(IFERROR(IF(INDEX(INDIRECT("'WCM Calibration Final'!$C$1:$C$2000"),'Calculations'!$EM435)="","",TRIM(INDEX(INDIRECT("'WCM Calibration Final'!$C$1:$C$2000"),'Calculations'!$EM435)&amp;"")),"")&lt;&gt;"","S:"&amp;UPPER(IFERROR(IF(INDEX(INDIRECT("'WCM Calibration Final'!$C$1:$C$2000"),'Calculations'!$EM435)="","",TRIM(INDEX(INDIRECT("'WCM Calibration Final'!$C$1:$C$2000"),'Calculations'!$EM435)&amp;"")),"")),"R:"&amp;'Calculations'!EM435)))</x:f>
      </x:c>
      <x:c r="HF435" t="str">
        <x:f>IF('Calculations'!EM435="","",IF(IFERROR(IF(INDEX(INDIRECT("'WCM Calibration Final'!$D$1:$D$2000"),'Calculations'!$EM435)="","",TRIM(INDEX(INDIRECT("'WCM Calibration Final'!$D$1:$D$2000"),'Calculations'!$EM435)&amp;"")),"")&lt;&gt;"","G:"&amp;IFERROR(TEXT(1*INDEX(INDIRECT("'WCM Calibration Final'!$D$1:$D$2000"),'Calculations'!$EM435),"0"),UPPER(IFERROR(IF(INDEX(INDIRECT("'WCM Calibration Final'!$D$1:$D$2000"),'Calculations'!$EM435)="","",TRIM(INDEX(INDIRECT("'WCM Calibration Final'!$D$1:$D$2000"),'Calculations'!$EM435)&amp;"")),""))),IF(IFERROR(IF(INDEX(INDIRECT("'WCM Calibration Final'!$E$1:$E$2000"),'Calculations'!$EM435)="","",TRIM(INDEX(INDIRECT("'WCM Calibration Final'!$E$1:$E$2000"),'Calculations'!$EM435)&amp;"")),"")="","",IF(COUNTIF('Calculations'!$HG$13:$HG$512,"="&amp;SUBSTITUTE(SUBSTITUTE(SUBSTITUTE(IFERROR(IF(INDEX(INDIRECT("'WCM Calibration Final'!$E$1:$E$2000"),'Calculations'!$EM435)="","",TRIM(INDEX(INDIRECT("'WCM Calibration Final'!$E$1:$E$2000"),'Calculations'!$EM435)&amp;"")),""),"~","~~"),"*","~*"),"?","~?"))=1,INDEX('Calculations'!$HE$13:$HE$512,MATCH(IFERROR(IF(INDEX(INDIRECT("'WCM Calibration Final'!$E$1:$E$2000"),'Calculations'!$EM435)="","",TRIM(INDEX(INDIRECT("'WCM Calibration Final'!$E$1:$E$2000"),'Calculations'!$EM435)&amp;"")),""),'Calculations'!$HG$13:$HG$512,0)),IF(COUNTIF('Calculations'!$HG$13:$HG$512,"="&amp;SUBSTITUTE(SUBSTITUTE(SUBSTITUTE(IFERROR(IF(INDEX(INDIRECT("'WCM Calibration Final'!$E$1:$E$2000"),'Calculations'!$EM435)="","",TRIM(INDEX(INDIRECT("'WCM Calibration Final'!$E$1:$E$2000"),'Calculations'!$EM435)&amp;"")),""),"~","~~"),"*","~*"),"?","~?"))&gt;1,"!AMBIG","X:"&amp;IFERROR(IF(INDEX(INDIRECT("'WCM Calibration Final'!$E$1:$E$2000"),'Calculations'!$EM435)="","",TRIM(INDEX(INDIRECT("'WCM Calibration Final'!$E$1:$E$2000"),'Calculations'!$EM435)&amp;"")),""))))))</x:f>
      </x:c>
      <x:c r="HG435" t="str">
        <x:f>IF('Calculations'!EM435="","",IFERROR(IF(INDEX(INDIRECT("'WCM Calibration Final'!$B$1:$B$2000"),'Calculations'!$EM435)="","",TRIM(INDEX(INDIRECT("'WCM Calibration Final'!$B$1:$B$2000"),'Calculations'!$EM435)&amp;"")),""))</x:f>
      </x:c>
      <x:c r="HH435" t="n">
        <x:f>IF(AND('Calculations'!JC435&gt;0,COUNTIF('Calculations'!$HF$12:HF435,"="&amp;SUBSTITUTE(SUBSTITUTE(SUBSTITUTE('Calculations'!HF435,"~","~~"),"*","~*"),"?","~?"))=1),MAX('Calculations'!$HH$12:HH434)+1,0)</x:f>
        <x:v>0</x:v>
      </x:c>
      <x:c r="HI435" t="n">
        <x:f>IF(AND('Calculations'!HN435&lt;&gt;"",COUNTIF('Calculations'!$HN$12:HN435,"="&amp;SUBSTITUTE(SUBSTITUTE(SUBSTITUTE('Calculations'!HN435,"~","~~"),"*","~*"),"?","~?"))=1),MAX('Calculations'!$HI$12:HI434)+1,0)</x:f>
        <x:v>0</x:v>
      </x:c>
      <x:c r="HJ435" t="str">
        <x:f>IF('Calculations'!HF435="","",IF(COUNTIF('Calculations'!$HE$13:$HE$512,"="&amp;SUBSTITUTE(SUBSTITUTE(SUBSTITUTE('Calculations'!HF435,"~","~~"),"*","~*"),"?","~?"))=1,INDEX('Calculations'!$HK$13:$HK$512,MATCH('Calculations'!HF435,'Calculations'!$HE$13:$HE$512,0)),IFERROR(IF(INDEX(INDIRECT("'WCM Calibration Final'!$E$1:$E$2000"),'Calculations'!$EM435)="","",TRIM(INDEX(INDIRECT("'WCM Calibration Final'!$E$1:$E$2000"),'Calculations'!$EM435)&amp;"")),"")&amp;" ["&amp;'Calculations'!HF435&amp;"]"))</x:f>
      </x:c>
      <x:c r="HK435" t="str">
        <x:f>IF('Calculations'!EM435="","",'Calculations'!HG435&amp;" ["&amp;'Calculations'!HE435&amp;"]")</x:f>
      </x:c>
      <x:c r="HL435" t="n">
        <x:f>IF('Calculations'!EM435="",0,IF(OR('Calculations'!II435&lt;&gt;"",COUNTIF('Calculations'!$HE$13:$HE$512,"="&amp;SUBSTITUTE(SUBSTITUTE(SUBSTITUTE('Calculations'!HE435,"~","~~"),"*","~*"),"?","~?"))&gt;1),1,0))</x:f>
        <x:v>0</x:v>
      </x:c>
      <x:c r="HM435" t="str">
        <x:f>IF('Calculations'!EM435="","",IF('Calculations'!HL435=1,"!UNRESOLVED",IF('Calculations'!IH435&lt;&gt;"",'Calculations'!IH435,IF('Calculations'!IG435&lt;&gt;"",'Calculations'!IG435,IF('Calculations'!IF435&lt;&gt;"",'Calculations'!IF435,IF('Calculations'!IE435&lt;&gt;"",'Calculations'!IE435,IF('Calculations'!ID435&lt;&gt;"",'Calculations'!ID435,IF('Calculations'!IC435&lt;&gt;"",'Calculations'!IC435,IF('Calculations'!IB435&lt;&gt;"",'Calculations'!IB435,IF('Calculations'!IA435&lt;&gt;"",'Calculations'!IA435,IF('Calculations'!HZ435&lt;&gt;"",'Calculations'!HZ435,IF('Calculations'!HY435&lt;&gt;"",'Calculations'!HY435,IF('Calculations'!HX435&lt;&gt;"",'Calculations'!HX435,IF('Calculations'!HW435&lt;&gt;"",'Calculations'!HW435,IF('Calculations'!HV435&lt;&gt;"",'Calculations'!HV435,IF('Calculations'!HU435&lt;&gt;"",'Calculations'!HU435,IF('Calculations'!HT435&lt;&gt;"",'Calculations'!HT435,IF('Calculations'!HS435&lt;&gt;"",'Calculations'!HS435,IF('Calculations'!HR435&lt;&gt;"",'Calculations'!HR435,IF('Calculations'!HQ435&lt;&gt;"",'Calculations'!HQ435,IF('Calculations'!HP435&lt;&gt;"",'Calculations'!HP435,IF('Calculations'!HO435&lt;&gt;"",'Calculations'!HO435,'Calculations'!HE435))))))))))))))))))))))</x:f>
      </x:c>
      <x:c r="HN435" t="str">
        <x:f>IF('Calculations'!EM435="","",IF(IFERROR(IF(INDEX(INDIRECT("'WCM Calibration Final'!$F$1:$F$2000"),'Calculations'!$EM435)="","",TRIM(INDEX(INDIRECT("'WCM Calibration Final'!$F$1:$F$2000"),'Calculations'!$EM435)&amp;"")),"")="","(Blank)",IFERROR(IF(INDEX(INDIRECT("'WCM Calibration Final'!$F$1:$F$2000"),'Calculations'!$EM435)="","",TRIM(INDEX(INDIRECT("'WCM Calibration Final'!$F$1:$F$2000"),'Calculations'!$EM435)&amp;"")),"")))</x:f>
      </x:c>
      <x:c r="HO435" t="str">
        <x:f>'Calculations'!HF435</x:f>
      </x:c>
      <x:c r="HP435" t="str">
        <x:f>IF('Calculations'!HO435="","",IF('Calculations'!HO435="!AMBIG","!AMBIG",IF(COUNTIF('Calculations'!$HE$13:$HE$512,"="&amp;SUBSTITUTE(SUBSTITUTE(SUBSTITUTE('Calculations'!HO435,"~","~~"),"*","~*"),"?","~?"))&gt;1,"!AMBIG",IFERROR(INDEX('Calculations'!$HF$13:$HF$512,MATCH('Calculations'!HO435,'Calculations'!$HE$13:$HE$512,0)),""))))</x:f>
      </x:c>
      <x:c r="HQ435" t="str">
        <x:f>IF('Calculations'!HP435="","",IF('Calculations'!HP435="!AMBIG","!AMBIG",IF(COUNTIF('Calculations'!$HE$13:$HE$512,"="&amp;SUBSTITUTE(SUBSTITUTE(SUBSTITUTE('Calculations'!HP435,"~","~~"),"*","~*"),"?","~?"))&gt;1,"!AMBIG",IFERROR(INDEX('Calculations'!$HF$13:$HF$512,MATCH('Calculations'!HP435,'Calculations'!$HE$13:$HE$512,0)),""))))</x:f>
      </x:c>
      <x:c r="HR435" t="str">
        <x:f>IF('Calculations'!HQ435="","",IF('Calculations'!HQ435="!AMBIG","!AMBIG",IF(COUNTIF('Calculations'!$HE$13:$HE$512,"="&amp;SUBSTITUTE(SUBSTITUTE(SUBSTITUTE('Calculations'!HQ435,"~","~~"),"*","~*"),"?","~?"))&gt;1,"!AMBIG",IFERROR(INDEX('Calculations'!$HF$13:$HF$512,MATCH('Calculations'!HQ435,'Calculations'!$HE$13:$HE$512,0)),""))))</x:f>
      </x:c>
      <x:c r="HS435" t="str">
        <x:f>IF('Calculations'!HR435="","",IF('Calculations'!HR435="!AMBIG","!AMBIG",IF(COUNTIF('Calculations'!$HE$13:$HE$512,"="&amp;SUBSTITUTE(SUBSTITUTE(SUBSTITUTE('Calculations'!HR435,"~","~~"),"*","~*"),"?","~?"))&gt;1,"!AMBIG",IFERROR(INDEX('Calculations'!$HF$13:$HF$512,MATCH('Calculations'!HR435,'Calculations'!$HE$13:$HE$512,0)),""))))</x:f>
      </x:c>
      <x:c r="HT435" t="str">
        <x:f>IF('Calculations'!HS435="","",IF('Calculations'!HS435="!AMBIG","!AMBIG",IF(COUNTIF('Calculations'!$HE$13:$HE$512,"="&amp;SUBSTITUTE(SUBSTITUTE(SUBSTITUTE('Calculations'!HS435,"~","~~"),"*","~*"),"?","~?"))&gt;1,"!AMBIG",IFERROR(INDEX('Calculations'!$HF$13:$HF$512,MATCH('Calculations'!HS435,'Calculations'!$HE$13:$HE$512,0)),""))))</x:f>
      </x:c>
      <x:c r="HU435" t="str">
        <x:f>IF('Calculations'!HT435="","",IF('Calculations'!HT435="!AMBIG","!AMBIG",IF(COUNTIF('Calculations'!$HE$13:$HE$512,"="&amp;SUBSTITUTE(SUBSTITUTE(SUBSTITUTE('Calculations'!HT435,"~","~~"),"*","~*"),"?","~?"))&gt;1,"!AMBIG",IFERROR(INDEX('Calculations'!$HF$13:$HF$512,MATCH('Calculations'!HT435,'Calculations'!$HE$13:$HE$512,0)),""))))</x:f>
      </x:c>
      <x:c r="HV435" t="str">
        <x:f>IF('Calculations'!HU435="","",IF('Calculations'!HU435="!AMBIG","!AMBIG",IF(COUNTIF('Calculations'!$HE$13:$HE$512,"="&amp;SUBSTITUTE(SUBSTITUTE(SUBSTITUTE('Calculations'!HU435,"~","~~"),"*","~*"),"?","~?"))&gt;1,"!AMBIG",IFERROR(INDEX('Calculations'!$HF$13:$HF$512,MATCH('Calculations'!HU435,'Calculations'!$HE$13:$HE$512,0)),""))))</x:f>
      </x:c>
      <x:c r="HW435" t="str">
        <x:f>IF('Calculations'!HV435="","",IF('Calculations'!HV435="!AMBIG","!AMBIG",IF(COUNTIF('Calculations'!$HE$13:$HE$512,"="&amp;SUBSTITUTE(SUBSTITUTE(SUBSTITUTE('Calculations'!HV435,"~","~~"),"*","~*"),"?","~?"))&gt;1,"!AMBIG",IFERROR(INDEX('Calculations'!$HF$13:$HF$512,MATCH('Calculations'!HV435,'Calculations'!$HE$13:$HE$512,0)),""))))</x:f>
      </x:c>
      <x:c r="HX435" t="str">
        <x:f>IF('Calculations'!HW435="","",IF('Calculations'!HW435="!AMBIG","!AMBIG",IF(COUNTIF('Calculations'!$HE$13:$HE$512,"="&amp;SUBSTITUTE(SUBSTITUTE(SUBSTITUTE('Calculations'!HW435,"~","~~"),"*","~*"),"?","~?"))&gt;1,"!AMBIG",IFERROR(INDEX('Calculations'!$HF$13:$HF$512,MATCH('Calculations'!HW435,'Calculations'!$HE$13:$HE$512,0)),""))))</x:f>
      </x:c>
      <x:c r="HY435" t="str">
        <x:f>IF('Calculations'!HX435="","",IF('Calculations'!HX435="!AMBIG","!AMBIG",IF(COUNTIF('Calculations'!$HE$13:$HE$512,"="&amp;SUBSTITUTE(SUBSTITUTE(SUBSTITUTE('Calculations'!HX435,"~","~~"),"*","~*"),"?","~?"))&gt;1,"!AMBIG",IFERROR(INDEX('Calculations'!$HF$13:$HF$512,MATCH('Calculations'!HX435,'Calculations'!$HE$13:$HE$512,0)),""))))</x:f>
      </x:c>
      <x:c r="HZ435" t="str">
        <x:f>IF('Calculations'!HY435="","",IF('Calculations'!HY435="!AMBIG","!AMBIG",IF(COUNTIF('Calculations'!$HE$13:$HE$512,"="&amp;SUBSTITUTE(SUBSTITUTE(SUBSTITUTE('Calculations'!HY435,"~","~~"),"*","~*"),"?","~?"))&gt;1,"!AMBIG",IFERROR(INDEX('Calculations'!$HF$13:$HF$512,MATCH('Calculations'!HY435,'Calculations'!$HE$13:$HE$512,0)),""))))</x:f>
      </x:c>
      <x:c r="IA435" t="str">
        <x:f>IF('Calculations'!HZ435="","",IF('Calculations'!HZ435="!AMBIG","!AMBIG",IF(COUNTIF('Calculations'!$HE$13:$HE$512,"="&amp;SUBSTITUTE(SUBSTITUTE(SUBSTITUTE('Calculations'!HZ435,"~","~~"),"*","~*"),"?","~?"))&gt;1,"!AMBIG",IFERROR(INDEX('Calculations'!$HF$13:$HF$512,MATCH('Calculations'!HZ435,'Calculations'!$HE$13:$HE$512,0)),""))))</x:f>
      </x:c>
      <x:c r="IB435" t="str">
        <x:f>IF('Calculations'!IA435="","",IF('Calculations'!IA435="!AMBIG","!AMBIG",IF(COUNTIF('Calculations'!$HE$13:$HE$512,"="&amp;SUBSTITUTE(SUBSTITUTE(SUBSTITUTE('Calculations'!IA435,"~","~~"),"*","~*"),"?","~?"))&gt;1,"!AMBIG",IFERROR(INDEX('Calculations'!$HF$13:$HF$512,MATCH('Calculations'!IA435,'Calculations'!$HE$13:$HE$512,0)),""))))</x:f>
      </x:c>
      <x:c r="IC435" t="str">
        <x:f>IF('Calculations'!IB435="","",IF('Calculations'!IB435="!AMBIG","!AMBIG",IF(COUNTIF('Calculations'!$HE$13:$HE$512,"="&amp;SUBSTITUTE(SUBSTITUTE(SUBSTITUTE('Calculations'!IB435,"~","~~"),"*","~*"),"?","~?"))&gt;1,"!AMBIG",IFERROR(INDEX('Calculations'!$HF$13:$HF$512,MATCH('Calculations'!IB435,'Calculations'!$HE$13:$HE$512,0)),""))))</x:f>
      </x:c>
      <x:c r="ID435" t="str">
        <x:f>IF('Calculations'!IC435="","",IF('Calculations'!IC435="!AMBIG","!AMBIG",IF(COUNTIF('Calculations'!$HE$13:$HE$512,"="&amp;SUBSTITUTE(SUBSTITUTE(SUBSTITUTE('Calculations'!IC435,"~","~~"),"*","~*"),"?","~?"))&gt;1,"!AMBIG",IFERROR(INDEX('Calculations'!$HF$13:$HF$512,MATCH('Calculations'!IC435,'Calculations'!$HE$13:$HE$512,0)),""))))</x:f>
      </x:c>
      <x:c r="IE435" t="str">
        <x:f>IF('Calculations'!ID435="","",IF('Calculations'!ID435="!AMBIG","!AMBIG",IF(COUNTIF('Calculations'!$HE$13:$HE$512,"="&amp;SUBSTITUTE(SUBSTITUTE(SUBSTITUTE('Calculations'!ID435,"~","~~"),"*","~*"),"?","~?"))&gt;1,"!AMBIG",IFERROR(INDEX('Calculations'!$HF$13:$HF$512,MATCH('Calculations'!ID435,'Calculations'!$HE$13:$HE$512,0)),""))))</x:f>
      </x:c>
      <x:c r="IF435" t="str">
        <x:f>IF('Calculations'!IE435="","",IF('Calculations'!IE435="!AMBIG","!AMBIG",IF(COUNTIF('Calculations'!$HE$13:$HE$512,"="&amp;SUBSTITUTE(SUBSTITUTE(SUBSTITUTE('Calculations'!IE435,"~","~~"),"*","~*"),"?","~?"))&gt;1,"!AMBIG",IFERROR(INDEX('Calculations'!$HF$13:$HF$512,MATCH('Calculations'!IE435,'Calculations'!$HE$13:$HE$512,0)),""))))</x:f>
      </x:c>
      <x:c r="IG435" t="str">
        <x:f>IF('Calculations'!IF435="","",IF('Calculations'!IF435="!AMBIG","!AMBIG",IF(COUNTIF('Calculations'!$HE$13:$HE$512,"="&amp;SUBSTITUTE(SUBSTITUTE(SUBSTITUTE('Calculations'!IF435,"~","~~"),"*","~*"),"?","~?"))&gt;1,"!AMBIG",IFERROR(INDEX('Calculations'!$HF$13:$HF$512,MATCH('Calculations'!IF435,'Calculations'!$HE$13:$HE$512,0)),""))))</x:f>
      </x:c>
      <x:c r="IH435" t="str">
        <x:f>IF('Calculations'!IG435="","",IF('Calculations'!IG435="!AMBIG","!AMBIG",IF(COUNTIF('Calculations'!$HE$13:$HE$512,"="&amp;SUBSTITUTE(SUBSTITUTE(SUBSTITUTE('Calculations'!IG435,"~","~~"),"*","~*"),"?","~?"))&gt;1,"!AMBIG",IFERROR(INDEX('Calculations'!$HF$13:$HF$512,MATCH('Calculations'!IG435,'Calculations'!$HE$13:$HE$512,0)),""))))</x:f>
      </x:c>
      <x:c r="II435" t="str">
        <x:f>IF('Calculations'!IH435="","",IF('Calculations'!IH435="!AMBIG","!AMBIG",IF(COUNTIF('Calculations'!$HE$13:$HE$512,"="&amp;SUBSTITUTE(SUBSTITUTE(SUBSTITUTE('Calculations'!IH435,"~","~~"),"*","~*"),"?","~?"))&gt;1,"!AMBIG",IFERROR(INDEX('Calculations'!$HF$13:$HF$512,MATCH('Calculations'!IH435,'Calculations'!$HE$13:$HE$512,0)),""))))</x:f>
      </x:c>
      <x:c r="IJ435" t="str">
        <x:f>IF('Calculations'!EM435="","",IF('Calculations'!$EF$2="All",'Calculations'!HM435,IF('Calculations'!HL435=1,"",IFERROR(IF(MATCH('Calculations'!$EF$2,'Calculations'!HO435:II435,0)=1,'Calculations'!HE435,INDEX('Calculations'!HO435:II435,1,MATCH('Calculations'!$EF$2,'Calculations'!HO435:II435,0)-1)),""))))</x:f>
      </x:c>
      <x:c r="IK435" t="n">
        <x:f>IF(AND('Calculations'!EM435&lt;&gt;"",'Calculations'!$EF$2&lt;&gt;"All",'Calculations'!HF435='Calculations'!$EF$2,'Calculations'!HL435=0,'Calculations'!JD435&gt;0),MAX('Calculations'!$IK$12:IK434)+1,0)</x:f>
        <x:v>0</x:v>
      </x:c>
      <x:c r="JA435" t="n">
        <x:f>IF(OR(IFERROR(INDIRECT("'WCM Calibration Final'!$A$435")&lt;&gt;"",FALSE),IFERROR(INDIRECT("'WCM Calibration Final'!$B$435")&lt;&gt;"",FALSE),IFERROR(INDIRECT("'WCM Calibration Final'!$C$435")&lt;&gt;"",FALSE)),435,0)</x:f>
        <x:v>0</x:v>
      </x:c>
      <x:c r="JB435" t="n">
        <x:f>'Calculations'!JB434+IF('Calculations'!JA435&gt;0,1,0)</x:f>
        <x:v>0</x:v>
      </x:c>
      <x:c r="JC435" t="n">
        <x:f>IF(OR('Calculations'!HF435="",'Calculations'!HF435="!AMBIG"),0,IF('Dashboard'!$B$7="All",1,COUNTIFS('Calculations'!$HO$13:$HO$512,"="&amp;SUBSTITUTE(SUBSTITUTE(SUBSTITUTE('Calculations'!HF435,"~","~~"),"*","~*"),"?","~?"),'Calculations'!$HN$13:$HN$512,"="&amp;SUBSTITUTE(SUBSTITUTE(SUBSTITUTE('Dashboard'!$B$7,"~","~~"),"*","~*"),"?","~?"))+COUNTIFS('Calculations'!$HP$13:$HP$512,"="&amp;SUBSTITUTE(SUBSTITUTE(SUBSTITUTE('Calculations'!HF435,"~","~~"),"*","~*"),"?","~?"),'Calculations'!$HN$13:$HN$512,"="&amp;SUBSTITUTE(SUBSTITUTE(SUBSTITUTE('Dashboard'!$B$7,"~","~~"),"*","~*"),"?","~?"))+COUNTIFS('Calculations'!$HQ$13:$HQ$512,"="&amp;SUBSTITUTE(SUBSTITUTE(SUBSTITUTE('Calculations'!HF435,"~","~~"),"*","~*"),"?","~?"),'Calculations'!$HN$13:$HN$512,"="&amp;SUBSTITUTE(SUBSTITUTE(SUBSTITUTE('Dashboard'!$B$7,"~","~~"),"*","~*"),"?","~?"))+COUNTIFS('Calculations'!$HR$13:$HR$512,"="&amp;SUBSTITUTE(SUBSTITUTE(SUBSTITUTE('Calculations'!HF435,"~","~~"),"*","~*"),"?","~?"),'Calculations'!$HN$13:$HN$512,"="&amp;SUBSTITUTE(SUBSTITUTE(SUBSTITUTE('Dashboard'!$B$7,"~","~~"),"*","~*"),"?","~?"))+COUNTIFS('Calculations'!$HS$13:$HS$512,"="&amp;SUBSTITUTE(SUBSTITUTE(SUBSTITUTE('Calculations'!HF435,"~","~~"),"*","~*"),"?","~?"),'Calculations'!$HN$13:$HN$512,"="&amp;SUBSTITUTE(SUBSTITUTE(SUBSTITUTE('Dashboard'!$B$7,"~","~~"),"*","~*"),"?","~?"))+COUNTIFS('Calculations'!$HT$13:$HT$512,"="&amp;SUBSTITUTE(SUBSTITUTE(SUBSTITUTE('Calculations'!HF435,"~","~~"),"*","~*"),"?","~?"),'Calculations'!$HN$13:$HN$512,"="&amp;SUBSTITUTE(SUBSTITUTE(SUBSTITUTE('Dashboard'!$B$7,"~","~~"),"*","~*"),"?","~?"))+COUNTIFS('Calculations'!$HU$13:$HU$512,"="&amp;SUBSTITUTE(SUBSTITUTE(SUBSTITUTE('Calculations'!HF435,"~","~~"),"*","~*"),"?","~?"),'Calculations'!$HN$13:$HN$512,"="&amp;SUBSTITUTE(SUBSTITUTE(SUBSTITUTE('Dashboard'!$B$7,"~","~~"),"*","~*"),"?","~?"))+COUNTIFS('Calculations'!$HV$13:$HV$512,"="&amp;SUBSTITUTE(SUBSTITUTE(SUBSTITUTE('Calculations'!HF435,"~","~~"),"*","~*"),"?","~?"),'Calculations'!$HN$13:$HN$512,"="&amp;SUBSTITUTE(SUBSTITUTE(SUBSTITUTE('Dashboard'!$B$7,"~","~~"),"*","~*"),"?","~?"))+COUNTIFS('Calculations'!$HW$13:$HW$512,"="&amp;SUBSTITUTE(SUBSTITUTE(SUBSTITUTE('Calculations'!HF435,"~","~~"),"*","~*"),"?","~?"),'Calculations'!$HN$13:$HN$512,"="&amp;SUBSTITUTE(SUBSTITUTE(SUBSTITUTE('Dashboard'!$B$7,"~","~~"),"*","~*"),"?","~?"))+COUNTIFS('Calculations'!$HX$13:$HX$512,"="&amp;SUBSTITUTE(SUBSTITUTE(SUBSTITUTE('Calculations'!HF435,"~","~~"),"*","~*"),"?","~?"),'Calculations'!$HN$13:$HN$512,"="&amp;SUBSTITUTE(SUBSTITUTE(SUBSTITUTE('Dashboard'!$B$7,"~","~~"),"*","~*"),"?","~?"))+COUNTIFS('Calculations'!$HY$13:$HY$512,"="&amp;SUBSTITUTE(SUBSTITUTE(SUBSTITUTE('Calculations'!HF435,"~","~~"),"*","~*"),"?","~?"),'Calculations'!$HN$13:$HN$512,"="&amp;SUBSTITUTE(SUBSTITUTE(SUBSTITUTE('Dashboard'!$B$7,"~","~~"),"*","~*"),"?","~?"))+COUNTIFS('Calculations'!$HZ$13:$HZ$512,"="&amp;SUBSTITUTE(SUBSTITUTE(SUBSTITUTE('Calculations'!HF435,"~","~~"),"*","~*"),"?","~?"),'Calculations'!$HN$13:$HN$512,"="&amp;SUBSTITUTE(SUBSTITUTE(SUBSTITUTE('Dashboard'!$B$7,"~","~~"),"*","~*"),"?","~?"))+COUNTIFS('Calculations'!$IA$13:$IA$512,"="&amp;SUBSTITUTE(SUBSTITUTE(SUBSTITUTE('Calculations'!HF435,"~","~~"),"*","~*"),"?","~?"),'Calculations'!$HN$13:$HN$512,"="&amp;SUBSTITUTE(SUBSTITUTE(SUBSTITUTE('Dashboard'!$B$7,"~","~~"),"*","~*"),"?","~?"))+COUNTIFS('Calculations'!$IB$13:$IB$512,"="&amp;SUBSTITUTE(SUBSTITUTE(SUBSTITUTE('Calculations'!HF435,"~","~~"),"*","~*"),"?","~?"),'Calculations'!$HN$13:$HN$512,"="&amp;SUBSTITUTE(SUBSTITUTE(SUBSTITUTE('Dashboard'!$B$7,"~","~~"),"*","~*"),"?","~?"))+COUNTIFS('Calculations'!$IC$13:$IC$512,"="&amp;SUBSTITUTE(SUBSTITUTE(SUBSTITUTE('Calculations'!HF435,"~","~~"),"*","~*"),"?","~?"),'Calculations'!$HN$13:$HN$512,"="&amp;SUBSTITUTE(SUBSTITUTE(SUBSTITUTE('Dashboard'!$B$7,"~","~~"),"*","~*"),"?","~?"))+COUNTIFS('Calculations'!$ID$13:$ID$512,"="&amp;SUBSTITUTE(SUBSTITUTE(SUBSTITUTE('Calculations'!HF435,"~","~~"),"*","~*"),"?","~?"),'Calculations'!$HN$13:$HN$512,"="&amp;SUBSTITUTE(SUBSTITUTE(SUBSTITUTE('Dashboard'!$B$7,"~","~~"),"*","~*"),"?","~?"))+COUNTIFS('Calculations'!$IE$13:$IE$512,"="&amp;SUBSTITUTE(SUBSTITUTE(SUBSTITUTE('Calculations'!HF435,"~","~~"),"*","~*"),"?","~?"),'Calculations'!$HN$13:$HN$512,"="&amp;SUBSTITUTE(SUBSTITUTE(SUBSTITUTE('Dashboard'!$B$7,"~","~~"),"*","~*"),"?","~?"))+COUNTIFS('Calculations'!$IF$13:$IF$512,"="&amp;SUBSTITUTE(SUBSTITUTE(SUBSTITUTE('Calculations'!HF435,"~","~~"),"*","~*"),"?","~?"),'Calculations'!$HN$13:$HN$512,"="&amp;SUBSTITUTE(SUBSTITUTE(SUBSTITUTE('Dashboard'!$B$7,"~","~~"),"*","~*"),"?","~?"))+COUNTIFS('Calculations'!$IG$13:$IG$512,"="&amp;SUBSTITUTE(SUBSTITUTE(SUBSTITUTE('Calculations'!HF435,"~","~~"),"*","~*"),"?","~?"),'Calculations'!$HN$13:$HN$512,"="&amp;SUBSTITUTE(SUBSTITUTE(SUBSTITUTE('Dashboard'!$B$7,"~","~~"),"*","~*"),"?","~?"))+COUNTIFS('Calculations'!$IH$13:$IH$512,"="&amp;SUBSTITUTE(SUBSTITUTE(SUBSTITUTE('Calculations'!HF435,"~","~~"),"*","~*"),"?","~?"),'Calculations'!$HN$13:$HN$512,"="&amp;SUBSTITUTE(SUBSTITUTE(SUBSTITUTE('Dashboard'!$B$7,"~","~~"),"*","~*"),"?","~?"))))</x:f>
        <x:v>0</x:v>
      </x:c>
      <x:c r="JD435" t="n">
        <x:f>IF('Calculations'!EM435="",0,IF('Dashboard'!$B$7="All",1,IF('Calculations'!HN435='Dashboard'!$B$7,1,0)+IFERROR(INDEX('Calculations'!$JC$13:$JC$512,MATCH('Calculations'!HE435,'Calculations'!$HF$13:$HF$512,0)),0)))</x:f>
        <x:v>0</x:v>
      </x:c>
      <x:c r="JE435" t="n">
        <x:f>IF(AND('Calculations'!EM435&lt;&gt;"",'Calculations'!$JJ$2&lt;&gt;"All",'Calculations'!$JJ$2&lt;&gt;"",'Calculations'!HF435='Calculations'!$JJ$2,'Calculations'!HL435=0,'Calculations'!JD435&gt;0),MAX('Calculations'!$JE$12:JE434)+1,0)</x:f>
        <x:v>0</x:v>
      </x:c>
      <x:c r="JF435" t="str">
        <x:f>IF('Calculations'!EM435="","",IFERROR(IF(INDEX(INDIRECT("'WCM Calibration Final'!$G$1:$G$2000"),'Calculations'!$EM435)="","",TRIM(INDEX(INDIRECT("'WCM Calibration Final'!$G$1:$G$2000"),'Calculations'!$EM435)&amp;"")),""))</x:f>
      </x:c>
      <x:c r="JQ435" t="n">
        <x:f>IF(OR('Calculations'!BM435=0,NOT('Calculations'!$AG$2),'Calculations'!$AG$8&gt;0),0,IF(OR('Dashboard'!$B$7="All",'Calculations'!HN435='Dashboard'!$B$7),IF('Calculations'!$JJ$2="All",1,IF(AND('Calculations'!HF435='Calculations'!$JJ$2,'Calculations'!HL435=0),1,0)),0))</x:f>
        <x:v>0</x:v>
      </x:c>
    </x:row>
    <x:row r="436">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t="n">
        <x:f>IF('Calculations'!$EM436="",0,IF(OR(IFERROR(INDEX(INDIRECT("'WCM Calibration Final'!$A$1:$A$2000"),'Calculations'!$EM436)&lt;&gt;"",FALSE),IFERROR(INDEX(INDIRECT("'WCM Calibration Final'!$B$1:$B$2000"),'Calculations'!$EM436)&lt;&gt;"",FALSE),IFERROR(INDEX(INDIRECT("'WCM Calibration Final'!$C$1:$C$2000"),'Calculations'!$EM436)&lt;&gt;"",FALSE)),1,0))</x:f>
        <x:v>0</x:v>
      </x:c>
      <x:c r="BN436" s="4" t="n">
        <x:f>IF(AND('Calculations'!BM436=1,'Calculations'!$AG$2,'Calculations'!$EN436=1),1,0)</x:f>
        <x:v>0</x:v>
      </x:c>
      <x:c r="BO436" s="4" t="str">
        <x:f>IF('Calculations'!BM436=0,"",IFERROR(IF(AND(VALUE(INDEX(INDIRECT("'WCM Calibration Final'!$K$1:$K$2000"),'Calculations'!$EM436))&gt;=1,VALUE(INDEX(INDIRECT("'WCM Calibration Final'!$K$1:$K$2000"),'Calculations'!$EM436))&lt;=4,MOD(VALUE(INDEX(INDIRECT("'WCM Calibration Final'!$K$1:$K$2000"),'Calculations'!$EM436)),1)=0),VALUE(INDEX(INDIRECT("'WCM Calibration Final'!$K$1:$K$2000"),'Calculations'!$EM436)),""),""))</x:f>
      </x:c>
      <x:c r="BP436" s="4" t="str">
        <x:f>IF('Calculations'!BM436=0,"",IFERROR(IF(AND(VALUE(INDEX(INDIRECT("'WCM Calibration Final'!$L$1:$L$2000"),'Calculations'!$EM436))&gt;=1,VALUE(INDEX(INDIRECT("'WCM Calibration Final'!$L$1:$L$2000"),'Calculations'!$EM436))&lt;=4,MOD(VALUE(INDEX(INDIRECT("'WCM Calibration Final'!$L$1:$L$2000"),'Calculations'!$EM436)),1)=0),VALUE(INDEX(INDIRECT("'WCM Calibration Final'!$L$1:$L$2000"),'Calculations'!$EM436)),""),""))</x:f>
      </x:c>
      <x:c r="BQ436" s="4"/>
      <x:c r="BR436" s="4"/>
      <x:c r="BS436" s="4"/>
      <x:c r="BT436" s="4" t="n">
        <x:f>IF(AND('Calculations'!BM436=1,ISNUMBER('Calculations'!BO436),ISNUMBER('Calculations'!BP436)),1,0)</x:f>
        <x:v>0</x:v>
      </x:c>
      <x:c r="BU436" s="4" t="str">
        <x:f>IF('Calculations'!BM436=0,"",'Calculations'!$EO436)</x:f>
      </x:c>
      <x:c r="BV436" s="4" t="str">
        <x:f>IF('Calculations'!BM436=0,"",IFERROR(IF(OR(INDEX(INDIRECT("'WCM Calibration Final'!$H$1:$H$2000"),'Calculations'!$EM436)="MANAGING DIRECTOR",INDEX(INDIRECT("'WCM Calibration Final'!$H$1:$H$2000"),'Calculations'!$EM436)="DIRECTOR",INDEX(INDIRECT("'WCM Calibration Final'!$H$1:$H$2000"),'Calculations'!$EM436)="SENIOR VICE PRESIDENT",INDEX(INDIRECT("'WCM Calibration Final'!$H$1:$H$2000"),'Calculations'!$EM436)="VICE PRESIDENT",INDEX(INDIRECT("'WCM Calibration Final'!$H$1:$H$2000"),'Calculations'!$EM436)="ASSISTANT VICE PRESIDENT",INDEX(INDIRECT("'WCM Calibration Final'!$H$1:$H$2000"),'Calculations'!$EM436)="OFFICER"),UPPER(INDEX(INDIRECT("'WCM Calibration Final'!$H$1:$H$2000"),'Calculations'!$EM436)),"Other"),"Other"))</x:f>
      </x:c>
      <x:c r="BW436" s="4"/>
      <x:c r="BX436" s="4"/>
      <x:c r="BY436" s="4" t="n">
        <x:f>IF(AND('Calculations'!BM436=1,'Calculations'!BU436&lt;&gt;"",COUNTIF('Calculations'!$BU$12:BU436,'Calculations'!BU436)=1),MAX('Calculations'!$BY$11:BY435)+1,0)</x:f>
        <x:v>0</x:v>
      </x:c>
      <x:c r="BZ436" s="4" t="str">
        <x:f>IF('Dashboard'!$E$67="What",'Calculations'!BO436,'Calculations'!BP436)</x:f>
      </x:c>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t="str">
        <x:f>IF(425&gt;MAX('Calculations'!$HI$13:$HI$512),"",INDEX('Calculations'!$HN$13:$HN$512,MATCH(425,'Calculations'!$HI$13:$HI$512,0)))</x:f>
      </x:c>
      <x:c r="DB436" s="4" t="str">
        <x:f>IF(425&gt;MAX('Calculations'!$HH$13:$HH$512),"",INDEX('Calculations'!$HJ$13:$HJ$512,MATCH(425,'Calculations'!$HH$13:$HH$512,0)))</x:f>
      </x:c>
      <x:c r="DC436" s="4" t="str">
        <x:f>IF(ROW()-11&gt;MAX('Calculations'!$BY$13:$BY$512),"",INDEX('Calculations'!$BU$13:$BU$512,MATCH(ROW()-11,'Calculations'!$BY$13:$BY$512,0)))</x:f>
      </x:c>
      <x:c r="DD436" s="4" t="str">
        <x:f>IF(425&gt;MAX('Calculations'!$IK$13:$IK$512),"",INDEX('Calculations'!$HK$13:$HK$512,MATCH(425,'Calculations'!$IK$13:$IK$512,0)))</x:f>
      </x:c>
      <x:c r="DE436" s="4" t="str">
        <x:f>'Calculations'!DC436</x:f>
      </x:c>
      <x:c r="DF436" s="4" t="str">
        <x:f>IF('Calculations'!DE436="","",COUNTIFS('Calculations'!$BN$13:$BN$512,1,'Calculations'!$BU$13:$BU$512,'Calculations'!DE436))</x:f>
      </x:c>
      <x:c r="DG436" s="4" t="str">
        <x:f>IF('Calculations'!DE436="","",COUNTIFS('Calculations'!$BN$13:$BN$512,1,'Calculations'!$BU$13:$BU$512,'Calculations'!DE436,'Calculations'!$BT$13:$BT$512,1))</x:f>
      </x:c>
      <x:c r="DH436" s="4" t="str">
        <x:f>IF('Calculations'!DE436="","",'Calculations'!DF436-'Calculations'!DG436)</x:f>
      </x:c>
      <x:c r="DI436" s="4" t="str">
        <x:f>IF(OR('Calculations'!DE436="",'Calculations'!DF436=0),"",'Calculations'!DG436/'Calculations'!DF436)</x:f>
      </x:c>
      <x:c r="DJ436" s="4" t="str">
        <x:f>IF('Calculations'!DE436="","",COUNTIFS('Calculations'!$BN$13:$BN$512,1,'Calculations'!$BU$13:$BU$512,'Calculations'!DE436,'Calculations'!$BT$13:$BT$512,1,'Calculations'!$EE$13:$EE$512,"High"))</x:f>
      </x:c>
      <x:c r="DK436" s="4" t="str">
        <x:f>IF('Calculations'!DE436="","",COUNTIFS('Calculations'!$BN$13:$BN$512,1,'Calculations'!$BU$13:$BU$512,'Calculations'!DE436,'Calculations'!$BT$13:$BT$512,1,'Calculations'!$EE$13:$EE$512,"Strong"))</x:f>
      </x:c>
      <x:c r="DL436" s="4" t="str">
        <x:f>IF('Calculations'!DE436="","",COUNTIFS('Calculations'!$BN$13:$BN$512,1,'Calculations'!$BU$13:$BU$512,'Calculations'!DE436,'Calculations'!$BT$13:$BT$512,1,'Calculations'!$EE$13:$EE$512,"Solid"))</x:f>
      </x:c>
      <x:c r="DM436" s="4" t="str">
        <x:f>IF('Calculations'!DE436="","",COUNTIFS('Calculations'!$BN$13:$BN$512,1,'Calculations'!$BU$13:$BU$512,'Calculations'!DE436,'Calculations'!$BT$13:$BT$512,1,'Calculations'!$EE$13:$EE$512,"Low"))</x:f>
      </x:c>
      <x:c r="DN436" s="4" t="str">
        <x:f>IF('Calculations'!DE436="","",COUNTIFS('Calculations'!$BN$13:$BN$512,1,'Calculations'!$BU$13:$BU$512,'Calculations'!DE436,'Calculations'!$EP$13:$EP$512,1))</x:f>
      </x:c>
      <x:c r="DO436" s="4" t="str">
        <x:f>IF(OR('Calculations'!DE436="",'Calculations'!DG436=0),"",('Calculations'!DJ436+'Calculations'!DK436)/'Calculations'!DG436)</x:f>
      </x:c>
      <x:c r="DP436" s="4" t="n">
        <x:f>IF(AND('Calculations'!DE436&lt;&gt;"",'Calculations'!DF436&gt;0),COUNTIF('Calculations'!$DF$12:DF436,"&gt;0"),0)</x:f>
        <x:v>0</x:v>
      </x:c>
      <x:c r="DQ436" s="4" t="str">
        <x:f>IF(425&gt;MAX('Calculations'!$HH$13:$HH$512),"",INDEX('Calculations'!$HF$13:$HF$512,MATCH(425,'Calculations'!$HH$13:$HH$512,0)))</x:f>
      </x:c>
      <x:c r="DR436" s="4" t="str">
        <x:f>IF(425&gt;MAX('Calculations'!$IK$13:$IK$512),"",INDEX('Calculations'!$HE$13:$HE$512,MATCH(425,'Calculations'!$IK$13:$IK$512,0)))</x:f>
      </x:c>
      <x:c r="DS436" s="4"/>
      <x:c r="DT436" s="4"/>
      <x:c r="DU436" s="4"/>
      <x:c r="DV436" s="4"/>
      <x:c r="DW436" s="4"/>
      <x:c r="DX436" s="4"/>
      <x:c r="DY436" s="4"/>
      <x:c r="DZ436" s="4"/>
      <x:c r="EA436" s="4"/>
      <x:c r="EB436" s="4"/>
      <x:c r="EC436" s="4"/>
      <x:c r="ED436" s="4"/>
      <x:c r="EE436" s="4" t="str">
        <x:f>IF('Calculations'!BT436=0,"Not Rated",IF(OR('Calculations'!BO436&gt;=4,'Calculations'!BP436&gt;=4),"Low",IF('Calculations'!BO436+'Calculations'!BP436&lt;=3,"High",IF('Calculations'!BO436+'Calculations'!BP436&lt;=4,"Strong","Solid"))))</x:f>
        <x:v>Not Rated</x:v>
      </x:c>
      <x:c r="EF436" s="4"/>
      <x:c r="EG436" s="4"/>
      <x:c r="EH436" s="4"/>
      <x:c r="EI436" s="4"/>
      <x:c r="EJ436" s="4"/>
      <x:c r="EK436" s="4"/>
      <x:c r="EL436" s="4"/>
      <x:c r="EM436" s="4" t="str">
        <x:f>IF(424&gt;'Calculations'!$JB$2000,"",INDEX('Calculations'!$JA$12:$JA$2000,MATCH(424,'Calculations'!$JB$12:$JB$2000,0)))</x:f>
      </x:c>
      <x:c r="EN436" s="4" t="n">
        <x:f>IF(OR('Calculations'!EM436="",'Calculations'!$AG$8&gt;0,AND('Calculations'!$EF$2&lt;&gt;"All",'Calculations'!HE436='Calculations'!$EF$2),AND('Calculations'!$EF$3&lt;&gt;"All",'Calculations'!HE436='Calculations'!$EF$3)),0,IF(OR('Dashboard'!$B$7="All",'Calculations'!HN436='Dashboard'!$B$7),IF('Calculations'!$EF$2="All",1,IF('Calculations'!HL436&gt;0,0,IF(COUNTIF('Calculations'!HO436:II436,"="&amp;SUBSTITUTE(SUBSTITUTE(SUBSTITUTE('Calculations'!$EF$2,"~","~~"),"*","~*"),"?","~?"))=0,0,IF('Calculations'!$EF$3="All",1,IF(COUNTIF('Calculations'!HO436:II436,"="&amp;SUBSTITUTE(SUBSTITUTE(SUBSTITUTE('Calculations'!$EF$3,"~","~~"),"*","~*"),"?","~?"))&gt;0,1,0))))),0))</x:f>
        <x:v>0</x:v>
      </x:c>
      <x:c r="EO436" s="4" t="str">
        <x:f>IF('Calculations'!IJ436="","",IF('Calculations'!IJ436="!UNRESOLVED","Unresolved hierarchy",IFERROR(INDEX('Calculations'!$HK$13:$HK$512,MATCH('Calculations'!IJ436,'Calculations'!$HE$13:$HE$512,0)),IFERROR(INDEX('Calculations'!$HJ$13:$HJ$512,MATCH('Calculations'!IJ436,'Calculations'!$HF$13:$HF$512,0)),'Calculations'!IJ436))))</x:f>
      </x:c>
      <x:c r="EP436" s="4" t="n">
        <x:f>IF(AND('Calculations'!EM436&lt;&gt;"",'Calculations'!HF436='Calculations'!IJ436),1,0)</x:f>
        <x:v>0</x:v>
      </x:c>
      <x:c r="EQ436" s="4"/>
      <x:c r="ER436" s="4"/>
      <x:c r="ES436" s="4"/>
      <x:c r="ET436" s="4"/>
      <x:c r="EU436" s="4"/>
      <x:c r="EV436" s="4"/>
      <x:c r="EW436" s="4"/>
      <x:c r="EX436" s="4"/>
      <x:c r="EY436" s="4"/>
      <x:c r="EZ436" s="4"/>
      <x:c r="FA436" s="4"/>
      <x:c r="FB436" s="4"/>
      <x:c r="FC436" s="4"/>
      <x:c r="FD436" s="4"/>
      <x:c r="FE436" s="4"/>
      <x:c r="FF436" s="4"/>
      <x:c r="FG436" s="4"/>
      <x:c r="FH436" s="4"/>
      <x:c r="FI436" s="4"/>
      <x:c r="FJ436" s="4"/>
      <x:c r="FK436" s="4"/>
      <x:c r="FL436" s="4"/>
      <x:c r="FM436" s="4"/>
      <x:c r="FN436" s="4"/>
      <x:c r="FO436" s="4"/>
      <x:c r="HE436" t="str">
        <x:f>IF('Calculations'!EM436="","",IF(IFERROR(IF(INDEX(INDIRECT("'WCM Calibration Final'!$A$1:$A$2000"),'Calculations'!$EM436)="","",TRIM(INDEX(INDIRECT("'WCM Calibration Final'!$A$1:$A$2000"),'Calculations'!$EM436)&amp;"")),"")&lt;&gt;"","G:"&amp;IFERROR(TEXT(1*INDEX(INDIRECT("'WCM Calibration Final'!$A$1:$A$2000"),'Calculations'!$EM436),"0"),UPPER(IFERROR(IF(INDEX(INDIRECT("'WCM Calibration Final'!$A$1:$A$2000"),'Calculations'!$EM436)="","",TRIM(INDEX(INDIRECT("'WCM Calibration Final'!$A$1:$A$2000"),'Calculations'!$EM436)&amp;"")),""))),IF(IFERROR(IF(INDEX(INDIRECT("'WCM Calibration Final'!$C$1:$C$2000"),'Calculations'!$EM436)="","",TRIM(INDEX(INDIRECT("'WCM Calibration Final'!$C$1:$C$2000"),'Calculations'!$EM436)&amp;"")),"")&lt;&gt;"","S:"&amp;UPPER(IFERROR(IF(INDEX(INDIRECT("'WCM Calibration Final'!$C$1:$C$2000"),'Calculations'!$EM436)="","",TRIM(INDEX(INDIRECT("'WCM Calibration Final'!$C$1:$C$2000"),'Calculations'!$EM436)&amp;"")),"")),"R:"&amp;'Calculations'!EM436)))</x:f>
      </x:c>
      <x:c r="HF436" t="str">
        <x:f>IF('Calculations'!EM436="","",IF(IFERROR(IF(INDEX(INDIRECT("'WCM Calibration Final'!$D$1:$D$2000"),'Calculations'!$EM436)="","",TRIM(INDEX(INDIRECT("'WCM Calibration Final'!$D$1:$D$2000"),'Calculations'!$EM436)&amp;"")),"")&lt;&gt;"","G:"&amp;IFERROR(TEXT(1*INDEX(INDIRECT("'WCM Calibration Final'!$D$1:$D$2000"),'Calculations'!$EM436),"0"),UPPER(IFERROR(IF(INDEX(INDIRECT("'WCM Calibration Final'!$D$1:$D$2000"),'Calculations'!$EM436)="","",TRIM(INDEX(INDIRECT("'WCM Calibration Final'!$D$1:$D$2000"),'Calculations'!$EM436)&amp;"")),""))),IF(IFERROR(IF(INDEX(INDIRECT("'WCM Calibration Final'!$E$1:$E$2000"),'Calculations'!$EM436)="","",TRIM(INDEX(INDIRECT("'WCM Calibration Final'!$E$1:$E$2000"),'Calculations'!$EM436)&amp;"")),"")="","",IF(COUNTIF('Calculations'!$HG$13:$HG$512,"="&amp;SUBSTITUTE(SUBSTITUTE(SUBSTITUTE(IFERROR(IF(INDEX(INDIRECT("'WCM Calibration Final'!$E$1:$E$2000"),'Calculations'!$EM436)="","",TRIM(INDEX(INDIRECT("'WCM Calibration Final'!$E$1:$E$2000"),'Calculations'!$EM436)&amp;"")),""),"~","~~"),"*","~*"),"?","~?"))=1,INDEX('Calculations'!$HE$13:$HE$512,MATCH(IFERROR(IF(INDEX(INDIRECT("'WCM Calibration Final'!$E$1:$E$2000"),'Calculations'!$EM436)="","",TRIM(INDEX(INDIRECT("'WCM Calibration Final'!$E$1:$E$2000"),'Calculations'!$EM436)&amp;"")),""),'Calculations'!$HG$13:$HG$512,0)),IF(COUNTIF('Calculations'!$HG$13:$HG$512,"="&amp;SUBSTITUTE(SUBSTITUTE(SUBSTITUTE(IFERROR(IF(INDEX(INDIRECT("'WCM Calibration Final'!$E$1:$E$2000"),'Calculations'!$EM436)="","",TRIM(INDEX(INDIRECT("'WCM Calibration Final'!$E$1:$E$2000"),'Calculations'!$EM436)&amp;"")),""),"~","~~"),"*","~*"),"?","~?"))&gt;1,"!AMBIG","X:"&amp;IFERROR(IF(INDEX(INDIRECT("'WCM Calibration Final'!$E$1:$E$2000"),'Calculations'!$EM436)="","",TRIM(INDEX(INDIRECT("'WCM Calibration Final'!$E$1:$E$2000"),'Calculations'!$EM436)&amp;"")),""))))))</x:f>
      </x:c>
      <x:c r="HG436" t="str">
        <x:f>IF('Calculations'!EM436="","",IFERROR(IF(INDEX(INDIRECT("'WCM Calibration Final'!$B$1:$B$2000"),'Calculations'!$EM436)="","",TRIM(INDEX(INDIRECT("'WCM Calibration Final'!$B$1:$B$2000"),'Calculations'!$EM436)&amp;"")),""))</x:f>
      </x:c>
      <x:c r="HH436" t="n">
        <x:f>IF(AND('Calculations'!JC436&gt;0,COUNTIF('Calculations'!$HF$12:HF436,"="&amp;SUBSTITUTE(SUBSTITUTE(SUBSTITUTE('Calculations'!HF436,"~","~~"),"*","~*"),"?","~?"))=1),MAX('Calculations'!$HH$12:HH435)+1,0)</x:f>
        <x:v>0</x:v>
      </x:c>
      <x:c r="HI436" t="n">
        <x:f>IF(AND('Calculations'!HN436&lt;&gt;"",COUNTIF('Calculations'!$HN$12:HN436,"="&amp;SUBSTITUTE(SUBSTITUTE(SUBSTITUTE('Calculations'!HN436,"~","~~"),"*","~*"),"?","~?"))=1),MAX('Calculations'!$HI$12:HI435)+1,0)</x:f>
        <x:v>0</x:v>
      </x:c>
      <x:c r="HJ436" t="str">
        <x:f>IF('Calculations'!HF436="","",IF(COUNTIF('Calculations'!$HE$13:$HE$512,"="&amp;SUBSTITUTE(SUBSTITUTE(SUBSTITUTE('Calculations'!HF436,"~","~~"),"*","~*"),"?","~?"))=1,INDEX('Calculations'!$HK$13:$HK$512,MATCH('Calculations'!HF436,'Calculations'!$HE$13:$HE$512,0)),IFERROR(IF(INDEX(INDIRECT("'WCM Calibration Final'!$E$1:$E$2000"),'Calculations'!$EM436)="","",TRIM(INDEX(INDIRECT("'WCM Calibration Final'!$E$1:$E$2000"),'Calculations'!$EM436)&amp;"")),"")&amp;" ["&amp;'Calculations'!HF436&amp;"]"))</x:f>
      </x:c>
      <x:c r="HK436" t="str">
        <x:f>IF('Calculations'!EM436="","",'Calculations'!HG436&amp;" ["&amp;'Calculations'!HE436&amp;"]")</x:f>
      </x:c>
      <x:c r="HL436" t="n">
        <x:f>IF('Calculations'!EM436="",0,IF(OR('Calculations'!II436&lt;&gt;"",COUNTIF('Calculations'!$HE$13:$HE$512,"="&amp;SUBSTITUTE(SUBSTITUTE(SUBSTITUTE('Calculations'!HE436,"~","~~"),"*","~*"),"?","~?"))&gt;1),1,0))</x:f>
        <x:v>0</x:v>
      </x:c>
      <x:c r="HM436" t="str">
        <x:f>IF('Calculations'!EM436="","",IF('Calculations'!HL436=1,"!UNRESOLVED",IF('Calculations'!IH436&lt;&gt;"",'Calculations'!IH436,IF('Calculations'!IG436&lt;&gt;"",'Calculations'!IG436,IF('Calculations'!IF436&lt;&gt;"",'Calculations'!IF436,IF('Calculations'!IE436&lt;&gt;"",'Calculations'!IE436,IF('Calculations'!ID436&lt;&gt;"",'Calculations'!ID436,IF('Calculations'!IC436&lt;&gt;"",'Calculations'!IC436,IF('Calculations'!IB436&lt;&gt;"",'Calculations'!IB436,IF('Calculations'!IA436&lt;&gt;"",'Calculations'!IA436,IF('Calculations'!HZ436&lt;&gt;"",'Calculations'!HZ436,IF('Calculations'!HY436&lt;&gt;"",'Calculations'!HY436,IF('Calculations'!HX436&lt;&gt;"",'Calculations'!HX436,IF('Calculations'!HW436&lt;&gt;"",'Calculations'!HW436,IF('Calculations'!HV436&lt;&gt;"",'Calculations'!HV436,IF('Calculations'!HU436&lt;&gt;"",'Calculations'!HU436,IF('Calculations'!HT436&lt;&gt;"",'Calculations'!HT436,IF('Calculations'!HS436&lt;&gt;"",'Calculations'!HS436,IF('Calculations'!HR436&lt;&gt;"",'Calculations'!HR436,IF('Calculations'!HQ436&lt;&gt;"",'Calculations'!HQ436,IF('Calculations'!HP436&lt;&gt;"",'Calculations'!HP436,IF('Calculations'!HO436&lt;&gt;"",'Calculations'!HO436,'Calculations'!HE436))))))))))))))))))))))</x:f>
      </x:c>
      <x:c r="HN436" t="str">
        <x:f>IF('Calculations'!EM436="","",IF(IFERROR(IF(INDEX(INDIRECT("'WCM Calibration Final'!$F$1:$F$2000"),'Calculations'!$EM436)="","",TRIM(INDEX(INDIRECT("'WCM Calibration Final'!$F$1:$F$2000"),'Calculations'!$EM436)&amp;"")),"")="","(Blank)",IFERROR(IF(INDEX(INDIRECT("'WCM Calibration Final'!$F$1:$F$2000"),'Calculations'!$EM436)="","",TRIM(INDEX(INDIRECT("'WCM Calibration Final'!$F$1:$F$2000"),'Calculations'!$EM436)&amp;"")),"")))</x:f>
      </x:c>
      <x:c r="HO436" t="str">
        <x:f>'Calculations'!HF436</x:f>
      </x:c>
      <x:c r="HP436" t="str">
        <x:f>IF('Calculations'!HO436="","",IF('Calculations'!HO436="!AMBIG","!AMBIG",IF(COUNTIF('Calculations'!$HE$13:$HE$512,"="&amp;SUBSTITUTE(SUBSTITUTE(SUBSTITUTE('Calculations'!HO436,"~","~~"),"*","~*"),"?","~?"))&gt;1,"!AMBIG",IFERROR(INDEX('Calculations'!$HF$13:$HF$512,MATCH('Calculations'!HO436,'Calculations'!$HE$13:$HE$512,0)),""))))</x:f>
      </x:c>
      <x:c r="HQ436" t="str">
        <x:f>IF('Calculations'!HP436="","",IF('Calculations'!HP436="!AMBIG","!AMBIG",IF(COUNTIF('Calculations'!$HE$13:$HE$512,"="&amp;SUBSTITUTE(SUBSTITUTE(SUBSTITUTE('Calculations'!HP436,"~","~~"),"*","~*"),"?","~?"))&gt;1,"!AMBIG",IFERROR(INDEX('Calculations'!$HF$13:$HF$512,MATCH('Calculations'!HP436,'Calculations'!$HE$13:$HE$512,0)),""))))</x:f>
      </x:c>
      <x:c r="HR436" t="str">
        <x:f>IF('Calculations'!HQ436="","",IF('Calculations'!HQ436="!AMBIG","!AMBIG",IF(COUNTIF('Calculations'!$HE$13:$HE$512,"="&amp;SUBSTITUTE(SUBSTITUTE(SUBSTITUTE('Calculations'!HQ436,"~","~~"),"*","~*"),"?","~?"))&gt;1,"!AMBIG",IFERROR(INDEX('Calculations'!$HF$13:$HF$512,MATCH('Calculations'!HQ436,'Calculations'!$HE$13:$HE$512,0)),""))))</x:f>
      </x:c>
      <x:c r="HS436" t="str">
        <x:f>IF('Calculations'!HR436="","",IF('Calculations'!HR436="!AMBIG","!AMBIG",IF(COUNTIF('Calculations'!$HE$13:$HE$512,"="&amp;SUBSTITUTE(SUBSTITUTE(SUBSTITUTE('Calculations'!HR436,"~","~~"),"*","~*"),"?","~?"))&gt;1,"!AMBIG",IFERROR(INDEX('Calculations'!$HF$13:$HF$512,MATCH('Calculations'!HR436,'Calculations'!$HE$13:$HE$512,0)),""))))</x:f>
      </x:c>
      <x:c r="HT436" t="str">
        <x:f>IF('Calculations'!HS436="","",IF('Calculations'!HS436="!AMBIG","!AMBIG",IF(COUNTIF('Calculations'!$HE$13:$HE$512,"="&amp;SUBSTITUTE(SUBSTITUTE(SUBSTITUTE('Calculations'!HS436,"~","~~"),"*","~*"),"?","~?"))&gt;1,"!AMBIG",IFERROR(INDEX('Calculations'!$HF$13:$HF$512,MATCH('Calculations'!HS436,'Calculations'!$HE$13:$HE$512,0)),""))))</x:f>
      </x:c>
      <x:c r="HU436" t="str">
        <x:f>IF('Calculations'!HT436="","",IF('Calculations'!HT436="!AMBIG","!AMBIG",IF(COUNTIF('Calculations'!$HE$13:$HE$512,"="&amp;SUBSTITUTE(SUBSTITUTE(SUBSTITUTE('Calculations'!HT436,"~","~~"),"*","~*"),"?","~?"))&gt;1,"!AMBIG",IFERROR(INDEX('Calculations'!$HF$13:$HF$512,MATCH('Calculations'!HT436,'Calculations'!$HE$13:$HE$512,0)),""))))</x:f>
      </x:c>
      <x:c r="HV436" t="str">
        <x:f>IF('Calculations'!HU436="","",IF('Calculations'!HU436="!AMBIG","!AMBIG",IF(COUNTIF('Calculations'!$HE$13:$HE$512,"="&amp;SUBSTITUTE(SUBSTITUTE(SUBSTITUTE('Calculations'!HU436,"~","~~"),"*","~*"),"?","~?"))&gt;1,"!AMBIG",IFERROR(INDEX('Calculations'!$HF$13:$HF$512,MATCH('Calculations'!HU436,'Calculations'!$HE$13:$HE$512,0)),""))))</x:f>
      </x:c>
      <x:c r="HW436" t="str">
        <x:f>IF('Calculations'!HV436="","",IF('Calculations'!HV436="!AMBIG","!AMBIG",IF(COUNTIF('Calculations'!$HE$13:$HE$512,"="&amp;SUBSTITUTE(SUBSTITUTE(SUBSTITUTE('Calculations'!HV436,"~","~~"),"*","~*"),"?","~?"))&gt;1,"!AMBIG",IFERROR(INDEX('Calculations'!$HF$13:$HF$512,MATCH('Calculations'!HV436,'Calculations'!$HE$13:$HE$512,0)),""))))</x:f>
      </x:c>
      <x:c r="HX436" t="str">
        <x:f>IF('Calculations'!HW436="","",IF('Calculations'!HW436="!AMBIG","!AMBIG",IF(COUNTIF('Calculations'!$HE$13:$HE$512,"="&amp;SUBSTITUTE(SUBSTITUTE(SUBSTITUTE('Calculations'!HW436,"~","~~"),"*","~*"),"?","~?"))&gt;1,"!AMBIG",IFERROR(INDEX('Calculations'!$HF$13:$HF$512,MATCH('Calculations'!HW436,'Calculations'!$HE$13:$HE$512,0)),""))))</x:f>
      </x:c>
      <x:c r="HY436" t="str">
        <x:f>IF('Calculations'!HX436="","",IF('Calculations'!HX436="!AMBIG","!AMBIG",IF(COUNTIF('Calculations'!$HE$13:$HE$512,"="&amp;SUBSTITUTE(SUBSTITUTE(SUBSTITUTE('Calculations'!HX436,"~","~~"),"*","~*"),"?","~?"))&gt;1,"!AMBIG",IFERROR(INDEX('Calculations'!$HF$13:$HF$512,MATCH('Calculations'!HX436,'Calculations'!$HE$13:$HE$512,0)),""))))</x:f>
      </x:c>
      <x:c r="HZ436" t="str">
        <x:f>IF('Calculations'!HY436="","",IF('Calculations'!HY436="!AMBIG","!AMBIG",IF(COUNTIF('Calculations'!$HE$13:$HE$512,"="&amp;SUBSTITUTE(SUBSTITUTE(SUBSTITUTE('Calculations'!HY436,"~","~~"),"*","~*"),"?","~?"))&gt;1,"!AMBIG",IFERROR(INDEX('Calculations'!$HF$13:$HF$512,MATCH('Calculations'!HY436,'Calculations'!$HE$13:$HE$512,0)),""))))</x:f>
      </x:c>
      <x:c r="IA436" t="str">
        <x:f>IF('Calculations'!HZ436="","",IF('Calculations'!HZ436="!AMBIG","!AMBIG",IF(COUNTIF('Calculations'!$HE$13:$HE$512,"="&amp;SUBSTITUTE(SUBSTITUTE(SUBSTITUTE('Calculations'!HZ436,"~","~~"),"*","~*"),"?","~?"))&gt;1,"!AMBIG",IFERROR(INDEX('Calculations'!$HF$13:$HF$512,MATCH('Calculations'!HZ436,'Calculations'!$HE$13:$HE$512,0)),""))))</x:f>
      </x:c>
      <x:c r="IB436" t="str">
        <x:f>IF('Calculations'!IA436="","",IF('Calculations'!IA436="!AMBIG","!AMBIG",IF(COUNTIF('Calculations'!$HE$13:$HE$512,"="&amp;SUBSTITUTE(SUBSTITUTE(SUBSTITUTE('Calculations'!IA436,"~","~~"),"*","~*"),"?","~?"))&gt;1,"!AMBIG",IFERROR(INDEX('Calculations'!$HF$13:$HF$512,MATCH('Calculations'!IA436,'Calculations'!$HE$13:$HE$512,0)),""))))</x:f>
      </x:c>
      <x:c r="IC436" t="str">
        <x:f>IF('Calculations'!IB436="","",IF('Calculations'!IB436="!AMBIG","!AMBIG",IF(COUNTIF('Calculations'!$HE$13:$HE$512,"="&amp;SUBSTITUTE(SUBSTITUTE(SUBSTITUTE('Calculations'!IB436,"~","~~"),"*","~*"),"?","~?"))&gt;1,"!AMBIG",IFERROR(INDEX('Calculations'!$HF$13:$HF$512,MATCH('Calculations'!IB436,'Calculations'!$HE$13:$HE$512,0)),""))))</x:f>
      </x:c>
      <x:c r="ID436" t="str">
        <x:f>IF('Calculations'!IC436="","",IF('Calculations'!IC436="!AMBIG","!AMBIG",IF(COUNTIF('Calculations'!$HE$13:$HE$512,"="&amp;SUBSTITUTE(SUBSTITUTE(SUBSTITUTE('Calculations'!IC436,"~","~~"),"*","~*"),"?","~?"))&gt;1,"!AMBIG",IFERROR(INDEX('Calculations'!$HF$13:$HF$512,MATCH('Calculations'!IC436,'Calculations'!$HE$13:$HE$512,0)),""))))</x:f>
      </x:c>
      <x:c r="IE436" t="str">
        <x:f>IF('Calculations'!ID436="","",IF('Calculations'!ID436="!AMBIG","!AMBIG",IF(COUNTIF('Calculations'!$HE$13:$HE$512,"="&amp;SUBSTITUTE(SUBSTITUTE(SUBSTITUTE('Calculations'!ID436,"~","~~"),"*","~*"),"?","~?"))&gt;1,"!AMBIG",IFERROR(INDEX('Calculations'!$HF$13:$HF$512,MATCH('Calculations'!ID436,'Calculations'!$HE$13:$HE$512,0)),""))))</x:f>
      </x:c>
      <x:c r="IF436" t="str">
        <x:f>IF('Calculations'!IE436="","",IF('Calculations'!IE436="!AMBIG","!AMBIG",IF(COUNTIF('Calculations'!$HE$13:$HE$512,"="&amp;SUBSTITUTE(SUBSTITUTE(SUBSTITUTE('Calculations'!IE436,"~","~~"),"*","~*"),"?","~?"))&gt;1,"!AMBIG",IFERROR(INDEX('Calculations'!$HF$13:$HF$512,MATCH('Calculations'!IE436,'Calculations'!$HE$13:$HE$512,0)),""))))</x:f>
      </x:c>
      <x:c r="IG436" t="str">
        <x:f>IF('Calculations'!IF436="","",IF('Calculations'!IF436="!AMBIG","!AMBIG",IF(COUNTIF('Calculations'!$HE$13:$HE$512,"="&amp;SUBSTITUTE(SUBSTITUTE(SUBSTITUTE('Calculations'!IF436,"~","~~"),"*","~*"),"?","~?"))&gt;1,"!AMBIG",IFERROR(INDEX('Calculations'!$HF$13:$HF$512,MATCH('Calculations'!IF436,'Calculations'!$HE$13:$HE$512,0)),""))))</x:f>
      </x:c>
      <x:c r="IH436" t="str">
        <x:f>IF('Calculations'!IG436="","",IF('Calculations'!IG436="!AMBIG","!AMBIG",IF(COUNTIF('Calculations'!$HE$13:$HE$512,"="&amp;SUBSTITUTE(SUBSTITUTE(SUBSTITUTE('Calculations'!IG436,"~","~~"),"*","~*"),"?","~?"))&gt;1,"!AMBIG",IFERROR(INDEX('Calculations'!$HF$13:$HF$512,MATCH('Calculations'!IG436,'Calculations'!$HE$13:$HE$512,0)),""))))</x:f>
      </x:c>
      <x:c r="II436" t="str">
        <x:f>IF('Calculations'!IH436="","",IF('Calculations'!IH436="!AMBIG","!AMBIG",IF(COUNTIF('Calculations'!$HE$13:$HE$512,"="&amp;SUBSTITUTE(SUBSTITUTE(SUBSTITUTE('Calculations'!IH436,"~","~~"),"*","~*"),"?","~?"))&gt;1,"!AMBIG",IFERROR(INDEX('Calculations'!$HF$13:$HF$512,MATCH('Calculations'!IH436,'Calculations'!$HE$13:$HE$512,0)),""))))</x:f>
      </x:c>
      <x:c r="IJ436" t="str">
        <x:f>IF('Calculations'!EM436="","",IF('Calculations'!$EF$2="All",'Calculations'!HM436,IF('Calculations'!HL436=1,"",IFERROR(IF(MATCH('Calculations'!$EF$2,'Calculations'!HO436:II436,0)=1,'Calculations'!HE436,INDEX('Calculations'!HO436:II436,1,MATCH('Calculations'!$EF$2,'Calculations'!HO436:II436,0)-1)),""))))</x:f>
      </x:c>
      <x:c r="IK436" t="n">
        <x:f>IF(AND('Calculations'!EM436&lt;&gt;"",'Calculations'!$EF$2&lt;&gt;"All",'Calculations'!HF436='Calculations'!$EF$2,'Calculations'!HL436=0,'Calculations'!JD436&gt;0),MAX('Calculations'!$IK$12:IK435)+1,0)</x:f>
        <x:v>0</x:v>
      </x:c>
      <x:c r="JA436" t="n">
        <x:f>IF(OR(IFERROR(INDIRECT("'WCM Calibration Final'!$A$436")&lt;&gt;"",FALSE),IFERROR(INDIRECT("'WCM Calibration Final'!$B$436")&lt;&gt;"",FALSE),IFERROR(INDIRECT("'WCM Calibration Final'!$C$436")&lt;&gt;"",FALSE)),436,0)</x:f>
        <x:v>0</x:v>
      </x:c>
      <x:c r="JB436" t="n">
        <x:f>'Calculations'!JB435+IF('Calculations'!JA436&gt;0,1,0)</x:f>
        <x:v>0</x:v>
      </x:c>
      <x:c r="JC436" t="n">
        <x:f>IF(OR('Calculations'!HF436="",'Calculations'!HF436="!AMBIG"),0,IF('Dashboard'!$B$7="All",1,COUNTIFS('Calculations'!$HO$13:$HO$512,"="&amp;SUBSTITUTE(SUBSTITUTE(SUBSTITUTE('Calculations'!HF436,"~","~~"),"*","~*"),"?","~?"),'Calculations'!$HN$13:$HN$512,"="&amp;SUBSTITUTE(SUBSTITUTE(SUBSTITUTE('Dashboard'!$B$7,"~","~~"),"*","~*"),"?","~?"))+COUNTIFS('Calculations'!$HP$13:$HP$512,"="&amp;SUBSTITUTE(SUBSTITUTE(SUBSTITUTE('Calculations'!HF436,"~","~~"),"*","~*"),"?","~?"),'Calculations'!$HN$13:$HN$512,"="&amp;SUBSTITUTE(SUBSTITUTE(SUBSTITUTE('Dashboard'!$B$7,"~","~~"),"*","~*"),"?","~?"))+COUNTIFS('Calculations'!$HQ$13:$HQ$512,"="&amp;SUBSTITUTE(SUBSTITUTE(SUBSTITUTE('Calculations'!HF436,"~","~~"),"*","~*"),"?","~?"),'Calculations'!$HN$13:$HN$512,"="&amp;SUBSTITUTE(SUBSTITUTE(SUBSTITUTE('Dashboard'!$B$7,"~","~~"),"*","~*"),"?","~?"))+COUNTIFS('Calculations'!$HR$13:$HR$512,"="&amp;SUBSTITUTE(SUBSTITUTE(SUBSTITUTE('Calculations'!HF436,"~","~~"),"*","~*"),"?","~?"),'Calculations'!$HN$13:$HN$512,"="&amp;SUBSTITUTE(SUBSTITUTE(SUBSTITUTE('Dashboard'!$B$7,"~","~~"),"*","~*"),"?","~?"))+COUNTIFS('Calculations'!$HS$13:$HS$512,"="&amp;SUBSTITUTE(SUBSTITUTE(SUBSTITUTE('Calculations'!HF436,"~","~~"),"*","~*"),"?","~?"),'Calculations'!$HN$13:$HN$512,"="&amp;SUBSTITUTE(SUBSTITUTE(SUBSTITUTE('Dashboard'!$B$7,"~","~~"),"*","~*"),"?","~?"))+COUNTIFS('Calculations'!$HT$13:$HT$512,"="&amp;SUBSTITUTE(SUBSTITUTE(SUBSTITUTE('Calculations'!HF436,"~","~~"),"*","~*"),"?","~?"),'Calculations'!$HN$13:$HN$512,"="&amp;SUBSTITUTE(SUBSTITUTE(SUBSTITUTE('Dashboard'!$B$7,"~","~~"),"*","~*"),"?","~?"))+COUNTIFS('Calculations'!$HU$13:$HU$512,"="&amp;SUBSTITUTE(SUBSTITUTE(SUBSTITUTE('Calculations'!HF436,"~","~~"),"*","~*"),"?","~?"),'Calculations'!$HN$13:$HN$512,"="&amp;SUBSTITUTE(SUBSTITUTE(SUBSTITUTE('Dashboard'!$B$7,"~","~~"),"*","~*"),"?","~?"))+COUNTIFS('Calculations'!$HV$13:$HV$512,"="&amp;SUBSTITUTE(SUBSTITUTE(SUBSTITUTE('Calculations'!HF436,"~","~~"),"*","~*"),"?","~?"),'Calculations'!$HN$13:$HN$512,"="&amp;SUBSTITUTE(SUBSTITUTE(SUBSTITUTE('Dashboard'!$B$7,"~","~~"),"*","~*"),"?","~?"))+COUNTIFS('Calculations'!$HW$13:$HW$512,"="&amp;SUBSTITUTE(SUBSTITUTE(SUBSTITUTE('Calculations'!HF436,"~","~~"),"*","~*"),"?","~?"),'Calculations'!$HN$13:$HN$512,"="&amp;SUBSTITUTE(SUBSTITUTE(SUBSTITUTE('Dashboard'!$B$7,"~","~~"),"*","~*"),"?","~?"))+COUNTIFS('Calculations'!$HX$13:$HX$512,"="&amp;SUBSTITUTE(SUBSTITUTE(SUBSTITUTE('Calculations'!HF436,"~","~~"),"*","~*"),"?","~?"),'Calculations'!$HN$13:$HN$512,"="&amp;SUBSTITUTE(SUBSTITUTE(SUBSTITUTE('Dashboard'!$B$7,"~","~~"),"*","~*"),"?","~?"))+COUNTIFS('Calculations'!$HY$13:$HY$512,"="&amp;SUBSTITUTE(SUBSTITUTE(SUBSTITUTE('Calculations'!HF436,"~","~~"),"*","~*"),"?","~?"),'Calculations'!$HN$13:$HN$512,"="&amp;SUBSTITUTE(SUBSTITUTE(SUBSTITUTE('Dashboard'!$B$7,"~","~~"),"*","~*"),"?","~?"))+COUNTIFS('Calculations'!$HZ$13:$HZ$512,"="&amp;SUBSTITUTE(SUBSTITUTE(SUBSTITUTE('Calculations'!HF436,"~","~~"),"*","~*"),"?","~?"),'Calculations'!$HN$13:$HN$512,"="&amp;SUBSTITUTE(SUBSTITUTE(SUBSTITUTE('Dashboard'!$B$7,"~","~~"),"*","~*"),"?","~?"))+COUNTIFS('Calculations'!$IA$13:$IA$512,"="&amp;SUBSTITUTE(SUBSTITUTE(SUBSTITUTE('Calculations'!HF436,"~","~~"),"*","~*"),"?","~?"),'Calculations'!$HN$13:$HN$512,"="&amp;SUBSTITUTE(SUBSTITUTE(SUBSTITUTE('Dashboard'!$B$7,"~","~~"),"*","~*"),"?","~?"))+COUNTIFS('Calculations'!$IB$13:$IB$512,"="&amp;SUBSTITUTE(SUBSTITUTE(SUBSTITUTE('Calculations'!HF436,"~","~~"),"*","~*"),"?","~?"),'Calculations'!$HN$13:$HN$512,"="&amp;SUBSTITUTE(SUBSTITUTE(SUBSTITUTE('Dashboard'!$B$7,"~","~~"),"*","~*"),"?","~?"))+COUNTIFS('Calculations'!$IC$13:$IC$512,"="&amp;SUBSTITUTE(SUBSTITUTE(SUBSTITUTE('Calculations'!HF436,"~","~~"),"*","~*"),"?","~?"),'Calculations'!$HN$13:$HN$512,"="&amp;SUBSTITUTE(SUBSTITUTE(SUBSTITUTE('Dashboard'!$B$7,"~","~~"),"*","~*"),"?","~?"))+COUNTIFS('Calculations'!$ID$13:$ID$512,"="&amp;SUBSTITUTE(SUBSTITUTE(SUBSTITUTE('Calculations'!HF436,"~","~~"),"*","~*"),"?","~?"),'Calculations'!$HN$13:$HN$512,"="&amp;SUBSTITUTE(SUBSTITUTE(SUBSTITUTE('Dashboard'!$B$7,"~","~~"),"*","~*"),"?","~?"))+COUNTIFS('Calculations'!$IE$13:$IE$512,"="&amp;SUBSTITUTE(SUBSTITUTE(SUBSTITUTE('Calculations'!HF436,"~","~~"),"*","~*"),"?","~?"),'Calculations'!$HN$13:$HN$512,"="&amp;SUBSTITUTE(SUBSTITUTE(SUBSTITUTE('Dashboard'!$B$7,"~","~~"),"*","~*"),"?","~?"))+COUNTIFS('Calculations'!$IF$13:$IF$512,"="&amp;SUBSTITUTE(SUBSTITUTE(SUBSTITUTE('Calculations'!HF436,"~","~~"),"*","~*"),"?","~?"),'Calculations'!$HN$13:$HN$512,"="&amp;SUBSTITUTE(SUBSTITUTE(SUBSTITUTE('Dashboard'!$B$7,"~","~~"),"*","~*"),"?","~?"))+COUNTIFS('Calculations'!$IG$13:$IG$512,"="&amp;SUBSTITUTE(SUBSTITUTE(SUBSTITUTE('Calculations'!HF436,"~","~~"),"*","~*"),"?","~?"),'Calculations'!$HN$13:$HN$512,"="&amp;SUBSTITUTE(SUBSTITUTE(SUBSTITUTE('Dashboard'!$B$7,"~","~~"),"*","~*"),"?","~?"))+COUNTIFS('Calculations'!$IH$13:$IH$512,"="&amp;SUBSTITUTE(SUBSTITUTE(SUBSTITUTE('Calculations'!HF436,"~","~~"),"*","~*"),"?","~?"),'Calculations'!$HN$13:$HN$512,"="&amp;SUBSTITUTE(SUBSTITUTE(SUBSTITUTE('Dashboard'!$B$7,"~","~~"),"*","~*"),"?","~?"))))</x:f>
        <x:v>0</x:v>
      </x:c>
      <x:c r="JD436" t="n">
        <x:f>IF('Calculations'!EM436="",0,IF('Dashboard'!$B$7="All",1,IF('Calculations'!HN436='Dashboard'!$B$7,1,0)+IFERROR(INDEX('Calculations'!$JC$13:$JC$512,MATCH('Calculations'!HE436,'Calculations'!$HF$13:$HF$512,0)),0)))</x:f>
        <x:v>0</x:v>
      </x:c>
      <x:c r="JE436" t="n">
        <x:f>IF(AND('Calculations'!EM436&lt;&gt;"",'Calculations'!$JJ$2&lt;&gt;"All",'Calculations'!$JJ$2&lt;&gt;"",'Calculations'!HF436='Calculations'!$JJ$2,'Calculations'!HL436=0,'Calculations'!JD436&gt;0),MAX('Calculations'!$JE$12:JE435)+1,0)</x:f>
        <x:v>0</x:v>
      </x:c>
      <x:c r="JF436" t="str">
        <x:f>IF('Calculations'!EM436="","",IFERROR(IF(INDEX(INDIRECT("'WCM Calibration Final'!$G$1:$G$2000"),'Calculations'!$EM436)="","",TRIM(INDEX(INDIRECT("'WCM Calibration Final'!$G$1:$G$2000"),'Calculations'!$EM436)&amp;"")),""))</x:f>
      </x:c>
      <x:c r="JQ436" t="n">
        <x:f>IF(OR('Calculations'!BM436=0,NOT('Calculations'!$AG$2),'Calculations'!$AG$8&gt;0),0,IF(OR('Dashboard'!$B$7="All",'Calculations'!HN436='Dashboard'!$B$7),IF('Calculations'!$JJ$2="All",1,IF(AND('Calculations'!HF436='Calculations'!$JJ$2,'Calculations'!HL436=0),1,0)),0))</x:f>
        <x:v>0</x:v>
      </x:c>
    </x:row>
    <x:row r="437">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t="n">
        <x:f>IF('Calculations'!$EM437="",0,IF(OR(IFERROR(INDEX(INDIRECT("'WCM Calibration Final'!$A$1:$A$2000"),'Calculations'!$EM437)&lt;&gt;"",FALSE),IFERROR(INDEX(INDIRECT("'WCM Calibration Final'!$B$1:$B$2000"),'Calculations'!$EM437)&lt;&gt;"",FALSE),IFERROR(INDEX(INDIRECT("'WCM Calibration Final'!$C$1:$C$2000"),'Calculations'!$EM437)&lt;&gt;"",FALSE)),1,0))</x:f>
        <x:v>0</x:v>
      </x:c>
      <x:c r="BN437" s="4" t="n">
        <x:f>IF(AND('Calculations'!BM437=1,'Calculations'!$AG$2,'Calculations'!$EN437=1),1,0)</x:f>
        <x:v>0</x:v>
      </x:c>
      <x:c r="BO437" s="4" t="str">
        <x:f>IF('Calculations'!BM437=0,"",IFERROR(IF(AND(VALUE(INDEX(INDIRECT("'WCM Calibration Final'!$K$1:$K$2000"),'Calculations'!$EM437))&gt;=1,VALUE(INDEX(INDIRECT("'WCM Calibration Final'!$K$1:$K$2000"),'Calculations'!$EM437))&lt;=4,MOD(VALUE(INDEX(INDIRECT("'WCM Calibration Final'!$K$1:$K$2000"),'Calculations'!$EM437)),1)=0),VALUE(INDEX(INDIRECT("'WCM Calibration Final'!$K$1:$K$2000"),'Calculations'!$EM437)),""),""))</x:f>
      </x:c>
      <x:c r="BP437" s="4" t="str">
        <x:f>IF('Calculations'!BM437=0,"",IFERROR(IF(AND(VALUE(INDEX(INDIRECT("'WCM Calibration Final'!$L$1:$L$2000"),'Calculations'!$EM437))&gt;=1,VALUE(INDEX(INDIRECT("'WCM Calibration Final'!$L$1:$L$2000"),'Calculations'!$EM437))&lt;=4,MOD(VALUE(INDEX(INDIRECT("'WCM Calibration Final'!$L$1:$L$2000"),'Calculations'!$EM437)),1)=0),VALUE(INDEX(INDIRECT("'WCM Calibration Final'!$L$1:$L$2000"),'Calculations'!$EM437)),""),""))</x:f>
      </x:c>
      <x:c r="BQ437" s="4"/>
      <x:c r="BR437" s="4"/>
      <x:c r="BS437" s="4"/>
      <x:c r="BT437" s="4" t="n">
        <x:f>IF(AND('Calculations'!BM437=1,ISNUMBER('Calculations'!BO437),ISNUMBER('Calculations'!BP437)),1,0)</x:f>
        <x:v>0</x:v>
      </x:c>
      <x:c r="BU437" s="4" t="str">
        <x:f>IF('Calculations'!BM437=0,"",'Calculations'!$EO437)</x:f>
      </x:c>
      <x:c r="BV437" s="4" t="str">
        <x:f>IF('Calculations'!BM437=0,"",IFERROR(IF(OR(INDEX(INDIRECT("'WCM Calibration Final'!$H$1:$H$2000"),'Calculations'!$EM437)="MANAGING DIRECTOR",INDEX(INDIRECT("'WCM Calibration Final'!$H$1:$H$2000"),'Calculations'!$EM437)="DIRECTOR",INDEX(INDIRECT("'WCM Calibration Final'!$H$1:$H$2000"),'Calculations'!$EM437)="SENIOR VICE PRESIDENT",INDEX(INDIRECT("'WCM Calibration Final'!$H$1:$H$2000"),'Calculations'!$EM437)="VICE PRESIDENT",INDEX(INDIRECT("'WCM Calibration Final'!$H$1:$H$2000"),'Calculations'!$EM437)="ASSISTANT VICE PRESIDENT",INDEX(INDIRECT("'WCM Calibration Final'!$H$1:$H$2000"),'Calculations'!$EM437)="OFFICER"),UPPER(INDEX(INDIRECT("'WCM Calibration Final'!$H$1:$H$2000"),'Calculations'!$EM437)),"Other"),"Other"))</x:f>
      </x:c>
      <x:c r="BW437" s="4"/>
      <x:c r="BX437" s="4"/>
      <x:c r="BY437" s="4" t="n">
        <x:f>IF(AND('Calculations'!BM437=1,'Calculations'!BU437&lt;&gt;"",COUNTIF('Calculations'!$BU$12:BU437,'Calculations'!BU437)=1),MAX('Calculations'!$BY$11:BY436)+1,0)</x:f>
        <x:v>0</x:v>
      </x:c>
      <x:c r="BZ437" s="4" t="str">
        <x:f>IF('Dashboard'!$E$67="What",'Calculations'!BO437,'Calculations'!BP437)</x:f>
      </x:c>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t="str">
        <x:f>IF(426&gt;MAX('Calculations'!$HI$13:$HI$512),"",INDEX('Calculations'!$HN$13:$HN$512,MATCH(426,'Calculations'!$HI$13:$HI$512,0)))</x:f>
      </x:c>
      <x:c r="DB437" s="4" t="str">
        <x:f>IF(426&gt;MAX('Calculations'!$HH$13:$HH$512),"",INDEX('Calculations'!$HJ$13:$HJ$512,MATCH(426,'Calculations'!$HH$13:$HH$512,0)))</x:f>
      </x:c>
      <x:c r="DC437" s="4" t="str">
        <x:f>IF(ROW()-11&gt;MAX('Calculations'!$BY$13:$BY$512),"",INDEX('Calculations'!$BU$13:$BU$512,MATCH(ROW()-11,'Calculations'!$BY$13:$BY$512,0)))</x:f>
      </x:c>
      <x:c r="DD437" s="4" t="str">
        <x:f>IF(426&gt;MAX('Calculations'!$IK$13:$IK$512),"",INDEX('Calculations'!$HK$13:$HK$512,MATCH(426,'Calculations'!$IK$13:$IK$512,0)))</x:f>
      </x:c>
      <x:c r="DE437" s="4" t="str">
        <x:f>'Calculations'!DC437</x:f>
      </x:c>
      <x:c r="DF437" s="4" t="str">
        <x:f>IF('Calculations'!DE437="","",COUNTIFS('Calculations'!$BN$13:$BN$512,1,'Calculations'!$BU$13:$BU$512,'Calculations'!DE437))</x:f>
      </x:c>
      <x:c r="DG437" s="4" t="str">
        <x:f>IF('Calculations'!DE437="","",COUNTIFS('Calculations'!$BN$13:$BN$512,1,'Calculations'!$BU$13:$BU$512,'Calculations'!DE437,'Calculations'!$BT$13:$BT$512,1))</x:f>
      </x:c>
      <x:c r="DH437" s="4" t="str">
        <x:f>IF('Calculations'!DE437="","",'Calculations'!DF437-'Calculations'!DG437)</x:f>
      </x:c>
      <x:c r="DI437" s="4" t="str">
        <x:f>IF(OR('Calculations'!DE437="",'Calculations'!DF437=0),"",'Calculations'!DG437/'Calculations'!DF437)</x:f>
      </x:c>
      <x:c r="DJ437" s="4" t="str">
        <x:f>IF('Calculations'!DE437="","",COUNTIFS('Calculations'!$BN$13:$BN$512,1,'Calculations'!$BU$13:$BU$512,'Calculations'!DE437,'Calculations'!$BT$13:$BT$512,1,'Calculations'!$EE$13:$EE$512,"High"))</x:f>
      </x:c>
      <x:c r="DK437" s="4" t="str">
        <x:f>IF('Calculations'!DE437="","",COUNTIFS('Calculations'!$BN$13:$BN$512,1,'Calculations'!$BU$13:$BU$512,'Calculations'!DE437,'Calculations'!$BT$13:$BT$512,1,'Calculations'!$EE$13:$EE$512,"Strong"))</x:f>
      </x:c>
      <x:c r="DL437" s="4" t="str">
        <x:f>IF('Calculations'!DE437="","",COUNTIFS('Calculations'!$BN$13:$BN$512,1,'Calculations'!$BU$13:$BU$512,'Calculations'!DE437,'Calculations'!$BT$13:$BT$512,1,'Calculations'!$EE$13:$EE$512,"Solid"))</x:f>
      </x:c>
      <x:c r="DM437" s="4" t="str">
        <x:f>IF('Calculations'!DE437="","",COUNTIFS('Calculations'!$BN$13:$BN$512,1,'Calculations'!$BU$13:$BU$512,'Calculations'!DE437,'Calculations'!$BT$13:$BT$512,1,'Calculations'!$EE$13:$EE$512,"Low"))</x:f>
      </x:c>
      <x:c r="DN437" s="4" t="str">
        <x:f>IF('Calculations'!DE437="","",COUNTIFS('Calculations'!$BN$13:$BN$512,1,'Calculations'!$BU$13:$BU$512,'Calculations'!DE437,'Calculations'!$EP$13:$EP$512,1))</x:f>
      </x:c>
      <x:c r="DO437" s="4" t="str">
        <x:f>IF(OR('Calculations'!DE437="",'Calculations'!DG437=0),"",('Calculations'!DJ437+'Calculations'!DK437)/'Calculations'!DG437)</x:f>
      </x:c>
      <x:c r="DP437" s="4" t="n">
        <x:f>IF(AND('Calculations'!DE437&lt;&gt;"",'Calculations'!DF437&gt;0),COUNTIF('Calculations'!$DF$12:DF437,"&gt;0"),0)</x:f>
        <x:v>0</x:v>
      </x:c>
      <x:c r="DQ437" s="4" t="str">
        <x:f>IF(426&gt;MAX('Calculations'!$HH$13:$HH$512),"",INDEX('Calculations'!$HF$13:$HF$512,MATCH(426,'Calculations'!$HH$13:$HH$512,0)))</x:f>
      </x:c>
      <x:c r="DR437" s="4" t="str">
        <x:f>IF(426&gt;MAX('Calculations'!$IK$13:$IK$512),"",INDEX('Calculations'!$HE$13:$HE$512,MATCH(426,'Calculations'!$IK$13:$IK$512,0)))</x:f>
      </x:c>
      <x:c r="DS437" s="4"/>
      <x:c r="DT437" s="4"/>
      <x:c r="DU437" s="4"/>
      <x:c r="DV437" s="4"/>
      <x:c r="DW437" s="4"/>
      <x:c r="DX437" s="4"/>
      <x:c r="DY437" s="4"/>
      <x:c r="DZ437" s="4"/>
      <x:c r="EA437" s="4"/>
      <x:c r="EB437" s="4"/>
      <x:c r="EC437" s="4"/>
      <x:c r="ED437" s="4"/>
      <x:c r="EE437" s="4" t="str">
        <x:f>IF('Calculations'!BT437=0,"Not Rated",IF(OR('Calculations'!BO437&gt;=4,'Calculations'!BP437&gt;=4),"Low",IF('Calculations'!BO437+'Calculations'!BP437&lt;=3,"High",IF('Calculations'!BO437+'Calculations'!BP437&lt;=4,"Strong","Solid"))))</x:f>
        <x:v>Not Rated</x:v>
      </x:c>
      <x:c r="EF437" s="4"/>
      <x:c r="EG437" s="4"/>
      <x:c r="EH437" s="4"/>
      <x:c r="EI437" s="4"/>
      <x:c r="EJ437" s="4"/>
      <x:c r="EK437" s="4"/>
      <x:c r="EL437" s="4"/>
      <x:c r="EM437" s="4" t="str">
        <x:f>IF(425&gt;'Calculations'!$JB$2000,"",INDEX('Calculations'!$JA$12:$JA$2000,MATCH(425,'Calculations'!$JB$12:$JB$2000,0)))</x:f>
      </x:c>
      <x:c r="EN437" s="4" t="n">
        <x:f>IF(OR('Calculations'!EM437="",'Calculations'!$AG$8&gt;0,AND('Calculations'!$EF$2&lt;&gt;"All",'Calculations'!HE437='Calculations'!$EF$2),AND('Calculations'!$EF$3&lt;&gt;"All",'Calculations'!HE437='Calculations'!$EF$3)),0,IF(OR('Dashboard'!$B$7="All",'Calculations'!HN437='Dashboard'!$B$7),IF('Calculations'!$EF$2="All",1,IF('Calculations'!HL437&gt;0,0,IF(COUNTIF('Calculations'!HO437:II437,"="&amp;SUBSTITUTE(SUBSTITUTE(SUBSTITUTE('Calculations'!$EF$2,"~","~~"),"*","~*"),"?","~?"))=0,0,IF('Calculations'!$EF$3="All",1,IF(COUNTIF('Calculations'!HO437:II437,"="&amp;SUBSTITUTE(SUBSTITUTE(SUBSTITUTE('Calculations'!$EF$3,"~","~~"),"*","~*"),"?","~?"))&gt;0,1,0))))),0))</x:f>
        <x:v>0</x:v>
      </x:c>
      <x:c r="EO437" s="4" t="str">
        <x:f>IF('Calculations'!IJ437="","",IF('Calculations'!IJ437="!UNRESOLVED","Unresolved hierarchy",IFERROR(INDEX('Calculations'!$HK$13:$HK$512,MATCH('Calculations'!IJ437,'Calculations'!$HE$13:$HE$512,0)),IFERROR(INDEX('Calculations'!$HJ$13:$HJ$512,MATCH('Calculations'!IJ437,'Calculations'!$HF$13:$HF$512,0)),'Calculations'!IJ437))))</x:f>
      </x:c>
      <x:c r="EP437" s="4" t="n">
        <x:f>IF(AND('Calculations'!EM437&lt;&gt;"",'Calculations'!HF437='Calculations'!IJ437),1,0)</x:f>
        <x:v>0</x:v>
      </x:c>
      <x:c r="EQ437" s="4"/>
      <x:c r="ER437" s="4"/>
      <x:c r="ES437" s="4"/>
      <x:c r="ET437" s="4"/>
      <x:c r="EU437" s="4"/>
      <x:c r="EV437" s="4"/>
      <x:c r="EW437" s="4"/>
      <x:c r="EX437" s="4"/>
      <x:c r="EY437" s="4"/>
      <x:c r="EZ437" s="4"/>
      <x:c r="FA437" s="4"/>
      <x:c r="FB437" s="4"/>
      <x:c r="FC437" s="4"/>
      <x:c r="FD437" s="4"/>
      <x:c r="FE437" s="4"/>
      <x:c r="FF437" s="4"/>
      <x:c r="FG437" s="4"/>
      <x:c r="FH437" s="4"/>
      <x:c r="FI437" s="4"/>
      <x:c r="FJ437" s="4"/>
      <x:c r="FK437" s="4"/>
      <x:c r="FL437" s="4"/>
      <x:c r="FM437" s="4"/>
      <x:c r="FN437" s="4"/>
      <x:c r="FO437" s="4"/>
      <x:c r="HE437" t="str">
        <x:f>IF('Calculations'!EM437="","",IF(IFERROR(IF(INDEX(INDIRECT("'WCM Calibration Final'!$A$1:$A$2000"),'Calculations'!$EM437)="","",TRIM(INDEX(INDIRECT("'WCM Calibration Final'!$A$1:$A$2000"),'Calculations'!$EM437)&amp;"")),"")&lt;&gt;"","G:"&amp;IFERROR(TEXT(1*INDEX(INDIRECT("'WCM Calibration Final'!$A$1:$A$2000"),'Calculations'!$EM437),"0"),UPPER(IFERROR(IF(INDEX(INDIRECT("'WCM Calibration Final'!$A$1:$A$2000"),'Calculations'!$EM437)="","",TRIM(INDEX(INDIRECT("'WCM Calibration Final'!$A$1:$A$2000"),'Calculations'!$EM437)&amp;"")),""))),IF(IFERROR(IF(INDEX(INDIRECT("'WCM Calibration Final'!$C$1:$C$2000"),'Calculations'!$EM437)="","",TRIM(INDEX(INDIRECT("'WCM Calibration Final'!$C$1:$C$2000"),'Calculations'!$EM437)&amp;"")),"")&lt;&gt;"","S:"&amp;UPPER(IFERROR(IF(INDEX(INDIRECT("'WCM Calibration Final'!$C$1:$C$2000"),'Calculations'!$EM437)="","",TRIM(INDEX(INDIRECT("'WCM Calibration Final'!$C$1:$C$2000"),'Calculations'!$EM437)&amp;"")),"")),"R:"&amp;'Calculations'!EM437)))</x:f>
      </x:c>
      <x:c r="HF437" t="str">
        <x:f>IF('Calculations'!EM437="","",IF(IFERROR(IF(INDEX(INDIRECT("'WCM Calibration Final'!$D$1:$D$2000"),'Calculations'!$EM437)="","",TRIM(INDEX(INDIRECT("'WCM Calibration Final'!$D$1:$D$2000"),'Calculations'!$EM437)&amp;"")),"")&lt;&gt;"","G:"&amp;IFERROR(TEXT(1*INDEX(INDIRECT("'WCM Calibration Final'!$D$1:$D$2000"),'Calculations'!$EM437),"0"),UPPER(IFERROR(IF(INDEX(INDIRECT("'WCM Calibration Final'!$D$1:$D$2000"),'Calculations'!$EM437)="","",TRIM(INDEX(INDIRECT("'WCM Calibration Final'!$D$1:$D$2000"),'Calculations'!$EM437)&amp;"")),""))),IF(IFERROR(IF(INDEX(INDIRECT("'WCM Calibration Final'!$E$1:$E$2000"),'Calculations'!$EM437)="","",TRIM(INDEX(INDIRECT("'WCM Calibration Final'!$E$1:$E$2000"),'Calculations'!$EM437)&amp;"")),"")="","",IF(COUNTIF('Calculations'!$HG$13:$HG$512,"="&amp;SUBSTITUTE(SUBSTITUTE(SUBSTITUTE(IFERROR(IF(INDEX(INDIRECT("'WCM Calibration Final'!$E$1:$E$2000"),'Calculations'!$EM437)="","",TRIM(INDEX(INDIRECT("'WCM Calibration Final'!$E$1:$E$2000"),'Calculations'!$EM437)&amp;"")),""),"~","~~"),"*","~*"),"?","~?"))=1,INDEX('Calculations'!$HE$13:$HE$512,MATCH(IFERROR(IF(INDEX(INDIRECT("'WCM Calibration Final'!$E$1:$E$2000"),'Calculations'!$EM437)="","",TRIM(INDEX(INDIRECT("'WCM Calibration Final'!$E$1:$E$2000"),'Calculations'!$EM437)&amp;"")),""),'Calculations'!$HG$13:$HG$512,0)),IF(COUNTIF('Calculations'!$HG$13:$HG$512,"="&amp;SUBSTITUTE(SUBSTITUTE(SUBSTITUTE(IFERROR(IF(INDEX(INDIRECT("'WCM Calibration Final'!$E$1:$E$2000"),'Calculations'!$EM437)="","",TRIM(INDEX(INDIRECT("'WCM Calibration Final'!$E$1:$E$2000"),'Calculations'!$EM437)&amp;"")),""),"~","~~"),"*","~*"),"?","~?"))&gt;1,"!AMBIG","X:"&amp;IFERROR(IF(INDEX(INDIRECT("'WCM Calibration Final'!$E$1:$E$2000"),'Calculations'!$EM437)="","",TRIM(INDEX(INDIRECT("'WCM Calibration Final'!$E$1:$E$2000"),'Calculations'!$EM437)&amp;"")),""))))))</x:f>
      </x:c>
      <x:c r="HG437" t="str">
        <x:f>IF('Calculations'!EM437="","",IFERROR(IF(INDEX(INDIRECT("'WCM Calibration Final'!$B$1:$B$2000"),'Calculations'!$EM437)="","",TRIM(INDEX(INDIRECT("'WCM Calibration Final'!$B$1:$B$2000"),'Calculations'!$EM437)&amp;"")),""))</x:f>
      </x:c>
      <x:c r="HH437" t="n">
        <x:f>IF(AND('Calculations'!JC437&gt;0,COUNTIF('Calculations'!$HF$12:HF437,"="&amp;SUBSTITUTE(SUBSTITUTE(SUBSTITUTE('Calculations'!HF437,"~","~~"),"*","~*"),"?","~?"))=1),MAX('Calculations'!$HH$12:HH436)+1,0)</x:f>
        <x:v>0</x:v>
      </x:c>
      <x:c r="HI437" t="n">
        <x:f>IF(AND('Calculations'!HN437&lt;&gt;"",COUNTIF('Calculations'!$HN$12:HN437,"="&amp;SUBSTITUTE(SUBSTITUTE(SUBSTITUTE('Calculations'!HN437,"~","~~"),"*","~*"),"?","~?"))=1),MAX('Calculations'!$HI$12:HI436)+1,0)</x:f>
        <x:v>0</x:v>
      </x:c>
      <x:c r="HJ437" t="str">
        <x:f>IF('Calculations'!HF437="","",IF(COUNTIF('Calculations'!$HE$13:$HE$512,"="&amp;SUBSTITUTE(SUBSTITUTE(SUBSTITUTE('Calculations'!HF437,"~","~~"),"*","~*"),"?","~?"))=1,INDEX('Calculations'!$HK$13:$HK$512,MATCH('Calculations'!HF437,'Calculations'!$HE$13:$HE$512,0)),IFERROR(IF(INDEX(INDIRECT("'WCM Calibration Final'!$E$1:$E$2000"),'Calculations'!$EM437)="","",TRIM(INDEX(INDIRECT("'WCM Calibration Final'!$E$1:$E$2000"),'Calculations'!$EM437)&amp;"")),"")&amp;" ["&amp;'Calculations'!HF437&amp;"]"))</x:f>
      </x:c>
      <x:c r="HK437" t="str">
        <x:f>IF('Calculations'!EM437="","",'Calculations'!HG437&amp;" ["&amp;'Calculations'!HE437&amp;"]")</x:f>
      </x:c>
      <x:c r="HL437" t="n">
        <x:f>IF('Calculations'!EM437="",0,IF(OR('Calculations'!II437&lt;&gt;"",COUNTIF('Calculations'!$HE$13:$HE$512,"="&amp;SUBSTITUTE(SUBSTITUTE(SUBSTITUTE('Calculations'!HE437,"~","~~"),"*","~*"),"?","~?"))&gt;1),1,0))</x:f>
        <x:v>0</x:v>
      </x:c>
      <x:c r="HM437" t="str">
        <x:f>IF('Calculations'!EM437="","",IF('Calculations'!HL437=1,"!UNRESOLVED",IF('Calculations'!IH437&lt;&gt;"",'Calculations'!IH437,IF('Calculations'!IG437&lt;&gt;"",'Calculations'!IG437,IF('Calculations'!IF437&lt;&gt;"",'Calculations'!IF437,IF('Calculations'!IE437&lt;&gt;"",'Calculations'!IE437,IF('Calculations'!ID437&lt;&gt;"",'Calculations'!ID437,IF('Calculations'!IC437&lt;&gt;"",'Calculations'!IC437,IF('Calculations'!IB437&lt;&gt;"",'Calculations'!IB437,IF('Calculations'!IA437&lt;&gt;"",'Calculations'!IA437,IF('Calculations'!HZ437&lt;&gt;"",'Calculations'!HZ437,IF('Calculations'!HY437&lt;&gt;"",'Calculations'!HY437,IF('Calculations'!HX437&lt;&gt;"",'Calculations'!HX437,IF('Calculations'!HW437&lt;&gt;"",'Calculations'!HW437,IF('Calculations'!HV437&lt;&gt;"",'Calculations'!HV437,IF('Calculations'!HU437&lt;&gt;"",'Calculations'!HU437,IF('Calculations'!HT437&lt;&gt;"",'Calculations'!HT437,IF('Calculations'!HS437&lt;&gt;"",'Calculations'!HS437,IF('Calculations'!HR437&lt;&gt;"",'Calculations'!HR437,IF('Calculations'!HQ437&lt;&gt;"",'Calculations'!HQ437,IF('Calculations'!HP437&lt;&gt;"",'Calculations'!HP437,IF('Calculations'!HO437&lt;&gt;"",'Calculations'!HO437,'Calculations'!HE437))))))))))))))))))))))</x:f>
      </x:c>
      <x:c r="HN437" t="str">
        <x:f>IF('Calculations'!EM437="","",IF(IFERROR(IF(INDEX(INDIRECT("'WCM Calibration Final'!$F$1:$F$2000"),'Calculations'!$EM437)="","",TRIM(INDEX(INDIRECT("'WCM Calibration Final'!$F$1:$F$2000"),'Calculations'!$EM437)&amp;"")),"")="","(Blank)",IFERROR(IF(INDEX(INDIRECT("'WCM Calibration Final'!$F$1:$F$2000"),'Calculations'!$EM437)="","",TRIM(INDEX(INDIRECT("'WCM Calibration Final'!$F$1:$F$2000"),'Calculations'!$EM437)&amp;"")),"")))</x:f>
      </x:c>
      <x:c r="HO437" t="str">
        <x:f>'Calculations'!HF437</x:f>
      </x:c>
      <x:c r="HP437" t="str">
        <x:f>IF('Calculations'!HO437="","",IF('Calculations'!HO437="!AMBIG","!AMBIG",IF(COUNTIF('Calculations'!$HE$13:$HE$512,"="&amp;SUBSTITUTE(SUBSTITUTE(SUBSTITUTE('Calculations'!HO437,"~","~~"),"*","~*"),"?","~?"))&gt;1,"!AMBIG",IFERROR(INDEX('Calculations'!$HF$13:$HF$512,MATCH('Calculations'!HO437,'Calculations'!$HE$13:$HE$512,0)),""))))</x:f>
      </x:c>
      <x:c r="HQ437" t="str">
        <x:f>IF('Calculations'!HP437="","",IF('Calculations'!HP437="!AMBIG","!AMBIG",IF(COUNTIF('Calculations'!$HE$13:$HE$512,"="&amp;SUBSTITUTE(SUBSTITUTE(SUBSTITUTE('Calculations'!HP437,"~","~~"),"*","~*"),"?","~?"))&gt;1,"!AMBIG",IFERROR(INDEX('Calculations'!$HF$13:$HF$512,MATCH('Calculations'!HP437,'Calculations'!$HE$13:$HE$512,0)),""))))</x:f>
      </x:c>
      <x:c r="HR437" t="str">
        <x:f>IF('Calculations'!HQ437="","",IF('Calculations'!HQ437="!AMBIG","!AMBIG",IF(COUNTIF('Calculations'!$HE$13:$HE$512,"="&amp;SUBSTITUTE(SUBSTITUTE(SUBSTITUTE('Calculations'!HQ437,"~","~~"),"*","~*"),"?","~?"))&gt;1,"!AMBIG",IFERROR(INDEX('Calculations'!$HF$13:$HF$512,MATCH('Calculations'!HQ437,'Calculations'!$HE$13:$HE$512,0)),""))))</x:f>
      </x:c>
      <x:c r="HS437" t="str">
        <x:f>IF('Calculations'!HR437="","",IF('Calculations'!HR437="!AMBIG","!AMBIG",IF(COUNTIF('Calculations'!$HE$13:$HE$512,"="&amp;SUBSTITUTE(SUBSTITUTE(SUBSTITUTE('Calculations'!HR437,"~","~~"),"*","~*"),"?","~?"))&gt;1,"!AMBIG",IFERROR(INDEX('Calculations'!$HF$13:$HF$512,MATCH('Calculations'!HR437,'Calculations'!$HE$13:$HE$512,0)),""))))</x:f>
      </x:c>
      <x:c r="HT437" t="str">
        <x:f>IF('Calculations'!HS437="","",IF('Calculations'!HS437="!AMBIG","!AMBIG",IF(COUNTIF('Calculations'!$HE$13:$HE$512,"="&amp;SUBSTITUTE(SUBSTITUTE(SUBSTITUTE('Calculations'!HS437,"~","~~"),"*","~*"),"?","~?"))&gt;1,"!AMBIG",IFERROR(INDEX('Calculations'!$HF$13:$HF$512,MATCH('Calculations'!HS437,'Calculations'!$HE$13:$HE$512,0)),""))))</x:f>
      </x:c>
      <x:c r="HU437" t="str">
        <x:f>IF('Calculations'!HT437="","",IF('Calculations'!HT437="!AMBIG","!AMBIG",IF(COUNTIF('Calculations'!$HE$13:$HE$512,"="&amp;SUBSTITUTE(SUBSTITUTE(SUBSTITUTE('Calculations'!HT437,"~","~~"),"*","~*"),"?","~?"))&gt;1,"!AMBIG",IFERROR(INDEX('Calculations'!$HF$13:$HF$512,MATCH('Calculations'!HT437,'Calculations'!$HE$13:$HE$512,0)),""))))</x:f>
      </x:c>
      <x:c r="HV437" t="str">
        <x:f>IF('Calculations'!HU437="","",IF('Calculations'!HU437="!AMBIG","!AMBIG",IF(COUNTIF('Calculations'!$HE$13:$HE$512,"="&amp;SUBSTITUTE(SUBSTITUTE(SUBSTITUTE('Calculations'!HU437,"~","~~"),"*","~*"),"?","~?"))&gt;1,"!AMBIG",IFERROR(INDEX('Calculations'!$HF$13:$HF$512,MATCH('Calculations'!HU437,'Calculations'!$HE$13:$HE$512,0)),""))))</x:f>
      </x:c>
      <x:c r="HW437" t="str">
        <x:f>IF('Calculations'!HV437="","",IF('Calculations'!HV437="!AMBIG","!AMBIG",IF(COUNTIF('Calculations'!$HE$13:$HE$512,"="&amp;SUBSTITUTE(SUBSTITUTE(SUBSTITUTE('Calculations'!HV437,"~","~~"),"*","~*"),"?","~?"))&gt;1,"!AMBIG",IFERROR(INDEX('Calculations'!$HF$13:$HF$512,MATCH('Calculations'!HV437,'Calculations'!$HE$13:$HE$512,0)),""))))</x:f>
      </x:c>
      <x:c r="HX437" t="str">
        <x:f>IF('Calculations'!HW437="","",IF('Calculations'!HW437="!AMBIG","!AMBIG",IF(COUNTIF('Calculations'!$HE$13:$HE$512,"="&amp;SUBSTITUTE(SUBSTITUTE(SUBSTITUTE('Calculations'!HW437,"~","~~"),"*","~*"),"?","~?"))&gt;1,"!AMBIG",IFERROR(INDEX('Calculations'!$HF$13:$HF$512,MATCH('Calculations'!HW437,'Calculations'!$HE$13:$HE$512,0)),""))))</x:f>
      </x:c>
      <x:c r="HY437" t="str">
        <x:f>IF('Calculations'!HX437="","",IF('Calculations'!HX437="!AMBIG","!AMBIG",IF(COUNTIF('Calculations'!$HE$13:$HE$512,"="&amp;SUBSTITUTE(SUBSTITUTE(SUBSTITUTE('Calculations'!HX437,"~","~~"),"*","~*"),"?","~?"))&gt;1,"!AMBIG",IFERROR(INDEX('Calculations'!$HF$13:$HF$512,MATCH('Calculations'!HX437,'Calculations'!$HE$13:$HE$512,0)),""))))</x:f>
      </x:c>
      <x:c r="HZ437" t="str">
        <x:f>IF('Calculations'!HY437="","",IF('Calculations'!HY437="!AMBIG","!AMBIG",IF(COUNTIF('Calculations'!$HE$13:$HE$512,"="&amp;SUBSTITUTE(SUBSTITUTE(SUBSTITUTE('Calculations'!HY437,"~","~~"),"*","~*"),"?","~?"))&gt;1,"!AMBIG",IFERROR(INDEX('Calculations'!$HF$13:$HF$512,MATCH('Calculations'!HY437,'Calculations'!$HE$13:$HE$512,0)),""))))</x:f>
      </x:c>
      <x:c r="IA437" t="str">
        <x:f>IF('Calculations'!HZ437="","",IF('Calculations'!HZ437="!AMBIG","!AMBIG",IF(COUNTIF('Calculations'!$HE$13:$HE$512,"="&amp;SUBSTITUTE(SUBSTITUTE(SUBSTITUTE('Calculations'!HZ437,"~","~~"),"*","~*"),"?","~?"))&gt;1,"!AMBIG",IFERROR(INDEX('Calculations'!$HF$13:$HF$512,MATCH('Calculations'!HZ437,'Calculations'!$HE$13:$HE$512,0)),""))))</x:f>
      </x:c>
      <x:c r="IB437" t="str">
        <x:f>IF('Calculations'!IA437="","",IF('Calculations'!IA437="!AMBIG","!AMBIG",IF(COUNTIF('Calculations'!$HE$13:$HE$512,"="&amp;SUBSTITUTE(SUBSTITUTE(SUBSTITUTE('Calculations'!IA437,"~","~~"),"*","~*"),"?","~?"))&gt;1,"!AMBIG",IFERROR(INDEX('Calculations'!$HF$13:$HF$512,MATCH('Calculations'!IA437,'Calculations'!$HE$13:$HE$512,0)),""))))</x:f>
      </x:c>
      <x:c r="IC437" t="str">
        <x:f>IF('Calculations'!IB437="","",IF('Calculations'!IB437="!AMBIG","!AMBIG",IF(COUNTIF('Calculations'!$HE$13:$HE$512,"="&amp;SUBSTITUTE(SUBSTITUTE(SUBSTITUTE('Calculations'!IB437,"~","~~"),"*","~*"),"?","~?"))&gt;1,"!AMBIG",IFERROR(INDEX('Calculations'!$HF$13:$HF$512,MATCH('Calculations'!IB437,'Calculations'!$HE$13:$HE$512,0)),""))))</x:f>
      </x:c>
      <x:c r="ID437" t="str">
        <x:f>IF('Calculations'!IC437="","",IF('Calculations'!IC437="!AMBIG","!AMBIG",IF(COUNTIF('Calculations'!$HE$13:$HE$512,"="&amp;SUBSTITUTE(SUBSTITUTE(SUBSTITUTE('Calculations'!IC437,"~","~~"),"*","~*"),"?","~?"))&gt;1,"!AMBIG",IFERROR(INDEX('Calculations'!$HF$13:$HF$512,MATCH('Calculations'!IC437,'Calculations'!$HE$13:$HE$512,0)),""))))</x:f>
      </x:c>
      <x:c r="IE437" t="str">
        <x:f>IF('Calculations'!ID437="","",IF('Calculations'!ID437="!AMBIG","!AMBIG",IF(COUNTIF('Calculations'!$HE$13:$HE$512,"="&amp;SUBSTITUTE(SUBSTITUTE(SUBSTITUTE('Calculations'!ID437,"~","~~"),"*","~*"),"?","~?"))&gt;1,"!AMBIG",IFERROR(INDEX('Calculations'!$HF$13:$HF$512,MATCH('Calculations'!ID437,'Calculations'!$HE$13:$HE$512,0)),""))))</x:f>
      </x:c>
      <x:c r="IF437" t="str">
        <x:f>IF('Calculations'!IE437="","",IF('Calculations'!IE437="!AMBIG","!AMBIG",IF(COUNTIF('Calculations'!$HE$13:$HE$512,"="&amp;SUBSTITUTE(SUBSTITUTE(SUBSTITUTE('Calculations'!IE437,"~","~~"),"*","~*"),"?","~?"))&gt;1,"!AMBIG",IFERROR(INDEX('Calculations'!$HF$13:$HF$512,MATCH('Calculations'!IE437,'Calculations'!$HE$13:$HE$512,0)),""))))</x:f>
      </x:c>
      <x:c r="IG437" t="str">
        <x:f>IF('Calculations'!IF437="","",IF('Calculations'!IF437="!AMBIG","!AMBIG",IF(COUNTIF('Calculations'!$HE$13:$HE$512,"="&amp;SUBSTITUTE(SUBSTITUTE(SUBSTITUTE('Calculations'!IF437,"~","~~"),"*","~*"),"?","~?"))&gt;1,"!AMBIG",IFERROR(INDEX('Calculations'!$HF$13:$HF$512,MATCH('Calculations'!IF437,'Calculations'!$HE$13:$HE$512,0)),""))))</x:f>
      </x:c>
      <x:c r="IH437" t="str">
        <x:f>IF('Calculations'!IG437="","",IF('Calculations'!IG437="!AMBIG","!AMBIG",IF(COUNTIF('Calculations'!$HE$13:$HE$512,"="&amp;SUBSTITUTE(SUBSTITUTE(SUBSTITUTE('Calculations'!IG437,"~","~~"),"*","~*"),"?","~?"))&gt;1,"!AMBIG",IFERROR(INDEX('Calculations'!$HF$13:$HF$512,MATCH('Calculations'!IG437,'Calculations'!$HE$13:$HE$512,0)),""))))</x:f>
      </x:c>
      <x:c r="II437" t="str">
        <x:f>IF('Calculations'!IH437="","",IF('Calculations'!IH437="!AMBIG","!AMBIG",IF(COUNTIF('Calculations'!$HE$13:$HE$512,"="&amp;SUBSTITUTE(SUBSTITUTE(SUBSTITUTE('Calculations'!IH437,"~","~~"),"*","~*"),"?","~?"))&gt;1,"!AMBIG",IFERROR(INDEX('Calculations'!$HF$13:$HF$512,MATCH('Calculations'!IH437,'Calculations'!$HE$13:$HE$512,0)),""))))</x:f>
      </x:c>
      <x:c r="IJ437" t="str">
        <x:f>IF('Calculations'!EM437="","",IF('Calculations'!$EF$2="All",'Calculations'!HM437,IF('Calculations'!HL437=1,"",IFERROR(IF(MATCH('Calculations'!$EF$2,'Calculations'!HO437:II437,0)=1,'Calculations'!HE437,INDEX('Calculations'!HO437:II437,1,MATCH('Calculations'!$EF$2,'Calculations'!HO437:II437,0)-1)),""))))</x:f>
      </x:c>
      <x:c r="IK437" t="n">
        <x:f>IF(AND('Calculations'!EM437&lt;&gt;"",'Calculations'!$EF$2&lt;&gt;"All",'Calculations'!HF437='Calculations'!$EF$2,'Calculations'!HL437=0,'Calculations'!JD437&gt;0),MAX('Calculations'!$IK$12:IK436)+1,0)</x:f>
        <x:v>0</x:v>
      </x:c>
      <x:c r="JA437" t="n">
        <x:f>IF(OR(IFERROR(INDIRECT("'WCM Calibration Final'!$A$437")&lt;&gt;"",FALSE),IFERROR(INDIRECT("'WCM Calibration Final'!$B$437")&lt;&gt;"",FALSE),IFERROR(INDIRECT("'WCM Calibration Final'!$C$437")&lt;&gt;"",FALSE)),437,0)</x:f>
        <x:v>0</x:v>
      </x:c>
      <x:c r="JB437" t="n">
        <x:f>'Calculations'!JB436+IF('Calculations'!JA437&gt;0,1,0)</x:f>
        <x:v>0</x:v>
      </x:c>
      <x:c r="JC437" t="n">
        <x:f>IF(OR('Calculations'!HF437="",'Calculations'!HF437="!AMBIG"),0,IF('Dashboard'!$B$7="All",1,COUNTIFS('Calculations'!$HO$13:$HO$512,"="&amp;SUBSTITUTE(SUBSTITUTE(SUBSTITUTE('Calculations'!HF437,"~","~~"),"*","~*"),"?","~?"),'Calculations'!$HN$13:$HN$512,"="&amp;SUBSTITUTE(SUBSTITUTE(SUBSTITUTE('Dashboard'!$B$7,"~","~~"),"*","~*"),"?","~?"))+COUNTIFS('Calculations'!$HP$13:$HP$512,"="&amp;SUBSTITUTE(SUBSTITUTE(SUBSTITUTE('Calculations'!HF437,"~","~~"),"*","~*"),"?","~?"),'Calculations'!$HN$13:$HN$512,"="&amp;SUBSTITUTE(SUBSTITUTE(SUBSTITUTE('Dashboard'!$B$7,"~","~~"),"*","~*"),"?","~?"))+COUNTIFS('Calculations'!$HQ$13:$HQ$512,"="&amp;SUBSTITUTE(SUBSTITUTE(SUBSTITUTE('Calculations'!HF437,"~","~~"),"*","~*"),"?","~?"),'Calculations'!$HN$13:$HN$512,"="&amp;SUBSTITUTE(SUBSTITUTE(SUBSTITUTE('Dashboard'!$B$7,"~","~~"),"*","~*"),"?","~?"))+COUNTIFS('Calculations'!$HR$13:$HR$512,"="&amp;SUBSTITUTE(SUBSTITUTE(SUBSTITUTE('Calculations'!HF437,"~","~~"),"*","~*"),"?","~?"),'Calculations'!$HN$13:$HN$512,"="&amp;SUBSTITUTE(SUBSTITUTE(SUBSTITUTE('Dashboard'!$B$7,"~","~~"),"*","~*"),"?","~?"))+COUNTIFS('Calculations'!$HS$13:$HS$512,"="&amp;SUBSTITUTE(SUBSTITUTE(SUBSTITUTE('Calculations'!HF437,"~","~~"),"*","~*"),"?","~?"),'Calculations'!$HN$13:$HN$512,"="&amp;SUBSTITUTE(SUBSTITUTE(SUBSTITUTE('Dashboard'!$B$7,"~","~~"),"*","~*"),"?","~?"))+COUNTIFS('Calculations'!$HT$13:$HT$512,"="&amp;SUBSTITUTE(SUBSTITUTE(SUBSTITUTE('Calculations'!HF437,"~","~~"),"*","~*"),"?","~?"),'Calculations'!$HN$13:$HN$512,"="&amp;SUBSTITUTE(SUBSTITUTE(SUBSTITUTE('Dashboard'!$B$7,"~","~~"),"*","~*"),"?","~?"))+COUNTIFS('Calculations'!$HU$13:$HU$512,"="&amp;SUBSTITUTE(SUBSTITUTE(SUBSTITUTE('Calculations'!HF437,"~","~~"),"*","~*"),"?","~?"),'Calculations'!$HN$13:$HN$512,"="&amp;SUBSTITUTE(SUBSTITUTE(SUBSTITUTE('Dashboard'!$B$7,"~","~~"),"*","~*"),"?","~?"))+COUNTIFS('Calculations'!$HV$13:$HV$512,"="&amp;SUBSTITUTE(SUBSTITUTE(SUBSTITUTE('Calculations'!HF437,"~","~~"),"*","~*"),"?","~?"),'Calculations'!$HN$13:$HN$512,"="&amp;SUBSTITUTE(SUBSTITUTE(SUBSTITUTE('Dashboard'!$B$7,"~","~~"),"*","~*"),"?","~?"))+COUNTIFS('Calculations'!$HW$13:$HW$512,"="&amp;SUBSTITUTE(SUBSTITUTE(SUBSTITUTE('Calculations'!HF437,"~","~~"),"*","~*"),"?","~?"),'Calculations'!$HN$13:$HN$512,"="&amp;SUBSTITUTE(SUBSTITUTE(SUBSTITUTE('Dashboard'!$B$7,"~","~~"),"*","~*"),"?","~?"))+COUNTIFS('Calculations'!$HX$13:$HX$512,"="&amp;SUBSTITUTE(SUBSTITUTE(SUBSTITUTE('Calculations'!HF437,"~","~~"),"*","~*"),"?","~?"),'Calculations'!$HN$13:$HN$512,"="&amp;SUBSTITUTE(SUBSTITUTE(SUBSTITUTE('Dashboard'!$B$7,"~","~~"),"*","~*"),"?","~?"))+COUNTIFS('Calculations'!$HY$13:$HY$512,"="&amp;SUBSTITUTE(SUBSTITUTE(SUBSTITUTE('Calculations'!HF437,"~","~~"),"*","~*"),"?","~?"),'Calculations'!$HN$13:$HN$512,"="&amp;SUBSTITUTE(SUBSTITUTE(SUBSTITUTE('Dashboard'!$B$7,"~","~~"),"*","~*"),"?","~?"))+COUNTIFS('Calculations'!$HZ$13:$HZ$512,"="&amp;SUBSTITUTE(SUBSTITUTE(SUBSTITUTE('Calculations'!HF437,"~","~~"),"*","~*"),"?","~?"),'Calculations'!$HN$13:$HN$512,"="&amp;SUBSTITUTE(SUBSTITUTE(SUBSTITUTE('Dashboard'!$B$7,"~","~~"),"*","~*"),"?","~?"))+COUNTIFS('Calculations'!$IA$13:$IA$512,"="&amp;SUBSTITUTE(SUBSTITUTE(SUBSTITUTE('Calculations'!HF437,"~","~~"),"*","~*"),"?","~?"),'Calculations'!$HN$13:$HN$512,"="&amp;SUBSTITUTE(SUBSTITUTE(SUBSTITUTE('Dashboard'!$B$7,"~","~~"),"*","~*"),"?","~?"))+COUNTIFS('Calculations'!$IB$13:$IB$512,"="&amp;SUBSTITUTE(SUBSTITUTE(SUBSTITUTE('Calculations'!HF437,"~","~~"),"*","~*"),"?","~?"),'Calculations'!$HN$13:$HN$512,"="&amp;SUBSTITUTE(SUBSTITUTE(SUBSTITUTE('Dashboard'!$B$7,"~","~~"),"*","~*"),"?","~?"))+COUNTIFS('Calculations'!$IC$13:$IC$512,"="&amp;SUBSTITUTE(SUBSTITUTE(SUBSTITUTE('Calculations'!HF437,"~","~~"),"*","~*"),"?","~?"),'Calculations'!$HN$13:$HN$512,"="&amp;SUBSTITUTE(SUBSTITUTE(SUBSTITUTE('Dashboard'!$B$7,"~","~~"),"*","~*"),"?","~?"))+COUNTIFS('Calculations'!$ID$13:$ID$512,"="&amp;SUBSTITUTE(SUBSTITUTE(SUBSTITUTE('Calculations'!HF437,"~","~~"),"*","~*"),"?","~?"),'Calculations'!$HN$13:$HN$512,"="&amp;SUBSTITUTE(SUBSTITUTE(SUBSTITUTE('Dashboard'!$B$7,"~","~~"),"*","~*"),"?","~?"))+COUNTIFS('Calculations'!$IE$13:$IE$512,"="&amp;SUBSTITUTE(SUBSTITUTE(SUBSTITUTE('Calculations'!HF437,"~","~~"),"*","~*"),"?","~?"),'Calculations'!$HN$13:$HN$512,"="&amp;SUBSTITUTE(SUBSTITUTE(SUBSTITUTE('Dashboard'!$B$7,"~","~~"),"*","~*"),"?","~?"))+COUNTIFS('Calculations'!$IF$13:$IF$512,"="&amp;SUBSTITUTE(SUBSTITUTE(SUBSTITUTE('Calculations'!HF437,"~","~~"),"*","~*"),"?","~?"),'Calculations'!$HN$13:$HN$512,"="&amp;SUBSTITUTE(SUBSTITUTE(SUBSTITUTE('Dashboard'!$B$7,"~","~~"),"*","~*"),"?","~?"))+COUNTIFS('Calculations'!$IG$13:$IG$512,"="&amp;SUBSTITUTE(SUBSTITUTE(SUBSTITUTE('Calculations'!HF437,"~","~~"),"*","~*"),"?","~?"),'Calculations'!$HN$13:$HN$512,"="&amp;SUBSTITUTE(SUBSTITUTE(SUBSTITUTE('Dashboard'!$B$7,"~","~~"),"*","~*"),"?","~?"))+COUNTIFS('Calculations'!$IH$13:$IH$512,"="&amp;SUBSTITUTE(SUBSTITUTE(SUBSTITUTE('Calculations'!HF437,"~","~~"),"*","~*"),"?","~?"),'Calculations'!$HN$13:$HN$512,"="&amp;SUBSTITUTE(SUBSTITUTE(SUBSTITUTE('Dashboard'!$B$7,"~","~~"),"*","~*"),"?","~?"))))</x:f>
        <x:v>0</x:v>
      </x:c>
      <x:c r="JD437" t="n">
        <x:f>IF('Calculations'!EM437="",0,IF('Dashboard'!$B$7="All",1,IF('Calculations'!HN437='Dashboard'!$B$7,1,0)+IFERROR(INDEX('Calculations'!$JC$13:$JC$512,MATCH('Calculations'!HE437,'Calculations'!$HF$13:$HF$512,0)),0)))</x:f>
        <x:v>0</x:v>
      </x:c>
      <x:c r="JE437" t="n">
        <x:f>IF(AND('Calculations'!EM437&lt;&gt;"",'Calculations'!$JJ$2&lt;&gt;"All",'Calculations'!$JJ$2&lt;&gt;"",'Calculations'!HF437='Calculations'!$JJ$2,'Calculations'!HL437=0,'Calculations'!JD437&gt;0),MAX('Calculations'!$JE$12:JE436)+1,0)</x:f>
        <x:v>0</x:v>
      </x:c>
      <x:c r="JF437" t="str">
        <x:f>IF('Calculations'!EM437="","",IFERROR(IF(INDEX(INDIRECT("'WCM Calibration Final'!$G$1:$G$2000"),'Calculations'!$EM437)="","",TRIM(INDEX(INDIRECT("'WCM Calibration Final'!$G$1:$G$2000"),'Calculations'!$EM437)&amp;"")),""))</x:f>
      </x:c>
      <x:c r="JQ437" t="n">
        <x:f>IF(OR('Calculations'!BM437=0,NOT('Calculations'!$AG$2),'Calculations'!$AG$8&gt;0),0,IF(OR('Dashboard'!$B$7="All",'Calculations'!HN437='Dashboard'!$B$7),IF('Calculations'!$JJ$2="All",1,IF(AND('Calculations'!HF437='Calculations'!$JJ$2,'Calculations'!HL437=0),1,0)),0))</x:f>
        <x:v>0</x:v>
      </x:c>
    </x:row>
    <x:row r="438">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t="n">
        <x:f>IF('Calculations'!$EM438="",0,IF(OR(IFERROR(INDEX(INDIRECT("'WCM Calibration Final'!$A$1:$A$2000"),'Calculations'!$EM438)&lt;&gt;"",FALSE),IFERROR(INDEX(INDIRECT("'WCM Calibration Final'!$B$1:$B$2000"),'Calculations'!$EM438)&lt;&gt;"",FALSE),IFERROR(INDEX(INDIRECT("'WCM Calibration Final'!$C$1:$C$2000"),'Calculations'!$EM438)&lt;&gt;"",FALSE)),1,0))</x:f>
        <x:v>0</x:v>
      </x:c>
      <x:c r="BN438" s="4" t="n">
        <x:f>IF(AND('Calculations'!BM438=1,'Calculations'!$AG$2,'Calculations'!$EN438=1),1,0)</x:f>
        <x:v>0</x:v>
      </x:c>
      <x:c r="BO438" s="4" t="str">
        <x:f>IF('Calculations'!BM438=0,"",IFERROR(IF(AND(VALUE(INDEX(INDIRECT("'WCM Calibration Final'!$K$1:$K$2000"),'Calculations'!$EM438))&gt;=1,VALUE(INDEX(INDIRECT("'WCM Calibration Final'!$K$1:$K$2000"),'Calculations'!$EM438))&lt;=4,MOD(VALUE(INDEX(INDIRECT("'WCM Calibration Final'!$K$1:$K$2000"),'Calculations'!$EM438)),1)=0),VALUE(INDEX(INDIRECT("'WCM Calibration Final'!$K$1:$K$2000"),'Calculations'!$EM438)),""),""))</x:f>
      </x:c>
      <x:c r="BP438" s="4" t="str">
        <x:f>IF('Calculations'!BM438=0,"",IFERROR(IF(AND(VALUE(INDEX(INDIRECT("'WCM Calibration Final'!$L$1:$L$2000"),'Calculations'!$EM438))&gt;=1,VALUE(INDEX(INDIRECT("'WCM Calibration Final'!$L$1:$L$2000"),'Calculations'!$EM438))&lt;=4,MOD(VALUE(INDEX(INDIRECT("'WCM Calibration Final'!$L$1:$L$2000"),'Calculations'!$EM438)),1)=0),VALUE(INDEX(INDIRECT("'WCM Calibration Final'!$L$1:$L$2000"),'Calculations'!$EM438)),""),""))</x:f>
      </x:c>
      <x:c r="BQ438" s="4"/>
      <x:c r="BR438" s="4"/>
      <x:c r="BS438" s="4"/>
      <x:c r="BT438" s="4" t="n">
        <x:f>IF(AND('Calculations'!BM438=1,ISNUMBER('Calculations'!BO438),ISNUMBER('Calculations'!BP438)),1,0)</x:f>
        <x:v>0</x:v>
      </x:c>
      <x:c r="BU438" s="4" t="str">
        <x:f>IF('Calculations'!BM438=0,"",'Calculations'!$EO438)</x:f>
      </x:c>
      <x:c r="BV438" s="4" t="str">
        <x:f>IF('Calculations'!BM438=0,"",IFERROR(IF(OR(INDEX(INDIRECT("'WCM Calibration Final'!$H$1:$H$2000"),'Calculations'!$EM438)="MANAGING DIRECTOR",INDEX(INDIRECT("'WCM Calibration Final'!$H$1:$H$2000"),'Calculations'!$EM438)="DIRECTOR",INDEX(INDIRECT("'WCM Calibration Final'!$H$1:$H$2000"),'Calculations'!$EM438)="SENIOR VICE PRESIDENT",INDEX(INDIRECT("'WCM Calibration Final'!$H$1:$H$2000"),'Calculations'!$EM438)="VICE PRESIDENT",INDEX(INDIRECT("'WCM Calibration Final'!$H$1:$H$2000"),'Calculations'!$EM438)="ASSISTANT VICE PRESIDENT",INDEX(INDIRECT("'WCM Calibration Final'!$H$1:$H$2000"),'Calculations'!$EM438)="OFFICER"),UPPER(INDEX(INDIRECT("'WCM Calibration Final'!$H$1:$H$2000"),'Calculations'!$EM438)),"Other"),"Other"))</x:f>
      </x:c>
      <x:c r="BW438" s="4"/>
      <x:c r="BX438" s="4"/>
      <x:c r="BY438" s="4" t="n">
        <x:f>IF(AND('Calculations'!BM438=1,'Calculations'!BU438&lt;&gt;"",COUNTIF('Calculations'!$BU$12:BU438,'Calculations'!BU438)=1),MAX('Calculations'!$BY$11:BY437)+1,0)</x:f>
        <x:v>0</x:v>
      </x:c>
      <x:c r="BZ438" s="4" t="str">
        <x:f>IF('Dashboard'!$E$67="What",'Calculations'!BO438,'Calculations'!BP438)</x:f>
      </x:c>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t="str">
        <x:f>IF(427&gt;MAX('Calculations'!$HI$13:$HI$512),"",INDEX('Calculations'!$HN$13:$HN$512,MATCH(427,'Calculations'!$HI$13:$HI$512,0)))</x:f>
      </x:c>
      <x:c r="DB438" s="4" t="str">
        <x:f>IF(427&gt;MAX('Calculations'!$HH$13:$HH$512),"",INDEX('Calculations'!$HJ$13:$HJ$512,MATCH(427,'Calculations'!$HH$13:$HH$512,0)))</x:f>
      </x:c>
      <x:c r="DC438" s="4" t="str">
        <x:f>IF(ROW()-11&gt;MAX('Calculations'!$BY$13:$BY$512),"",INDEX('Calculations'!$BU$13:$BU$512,MATCH(ROW()-11,'Calculations'!$BY$13:$BY$512,0)))</x:f>
      </x:c>
      <x:c r="DD438" s="4" t="str">
        <x:f>IF(427&gt;MAX('Calculations'!$IK$13:$IK$512),"",INDEX('Calculations'!$HK$13:$HK$512,MATCH(427,'Calculations'!$IK$13:$IK$512,0)))</x:f>
      </x:c>
      <x:c r="DE438" s="4" t="str">
        <x:f>'Calculations'!DC438</x:f>
      </x:c>
      <x:c r="DF438" s="4" t="str">
        <x:f>IF('Calculations'!DE438="","",COUNTIFS('Calculations'!$BN$13:$BN$512,1,'Calculations'!$BU$13:$BU$512,'Calculations'!DE438))</x:f>
      </x:c>
      <x:c r="DG438" s="4" t="str">
        <x:f>IF('Calculations'!DE438="","",COUNTIFS('Calculations'!$BN$13:$BN$512,1,'Calculations'!$BU$13:$BU$512,'Calculations'!DE438,'Calculations'!$BT$13:$BT$512,1))</x:f>
      </x:c>
      <x:c r="DH438" s="4" t="str">
        <x:f>IF('Calculations'!DE438="","",'Calculations'!DF438-'Calculations'!DG438)</x:f>
      </x:c>
      <x:c r="DI438" s="4" t="str">
        <x:f>IF(OR('Calculations'!DE438="",'Calculations'!DF438=0),"",'Calculations'!DG438/'Calculations'!DF438)</x:f>
      </x:c>
      <x:c r="DJ438" s="4" t="str">
        <x:f>IF('Calculations'!DE438="","",COUNTIFS('Calculations'!$BN$13:$BN$512,1,'Calculations'!$BU$13:$BU$512,'Calculations'!DE438,'Calculations'!$BT$13:$BT$512,1,'Calculations'!$EE$13:$EE$512,"High"))</x:f>
      </x:c>
      <x:c r="DK438" s="4" t="str">
        <x:f>IF('Calculations'!DE438="","",COUNTIFS('Calculations'!$BN$13:$BN$512,1,'Calculations'!$BU$13:$BU$512,'Calculations'!DE438,'Calculations'!$BT$13:$BT$512,1,'Calculations'!$EE$13:$EE$512,"Strong"))</x:f>
      </x:c>
      <x:c r="DL438" s="4" t="str">
        <x:f>IF('Calculations'!DE438="","",COUNTIFS('Calculations'!$BN$13:$BN$512,1,'Calculations'!$BU$13:$BU$512,'Calculations'!DE438,'Calculations'!$BT$13:$BT$512,1,'Calculations'!$EE$13:$EE$512,"Solid"))</x:f>
      </x:c>
      <x:c r="DM438" s="4" t="str">
        <x:f>IF('Calculations'!DE438="","",COUNTIFS('Calculations'!$BN$13:$BN$512,1,'Calculations'!$BU$13:$BU$512,'Calculations'!DE438,'Calculations'!$BT$13:$BT$512,1,'Calculations'!$EE$13:$EE$512,"Low"))</x:f>
      </x:c>
      <x:c r="DN438" s="4" t="str">
        <x:f>IF('Calculations'!DE438="","",COUNTIFS('Calculations'!$BN$13:$BN$512,1,'Calculations'!$BU$13:$BU$512,'Calculations'!DE438,'Calculations'!$EP$13:$EP$512,1))</x:f>
      </x:c>
      <x:c r="DO438" s="4" t="str">
        <x:f>IF(OR('Calculations'!DE438="",'Calculations'!DG438=0),"",('Calculations'!DJ438+'Calculations'!DK438)/'Calculations'!DG438)</x:f>
      </x:c>
      <x:c r="DP438" s="4" t="n">
        <x:f>IF(AND('Calculations'!DE438&lt;&gt;"",'Calculations'!DF438&gt;0),COUNTIF('Calculations'!$DF$12:DF438,"&gt;0"),0)</x:f>
        <x:v>0</x:v>
      </x:c>
      <x:c r="DQ438" s="4" t="str">
        <x:f>IF(427&gt;MAX('Calculations'!$HH$13:$HH$512),"",INDEX('Calculations'!$HF$13:$HF$512,MATCH(427,'Calculations'!$HH$13:$HH$512,0)))</x:f>
      </x:c>
      <x:c r="DR438" s="4" t="str">
        <x:f>IF(427&gt;MAX('Calculations'!$IK$13:$IK$512),"",INDEX('Calculations'!$HE$13:$HE$512,MATCH(427,'Calculations'!$IK$13:$IK$512,0)))</x:f>
      </x:c>
      <x:c r="DS438" s="4"/>
      <x:c r="DT438" s="4"/>
      <x:c r="DU438" s="4"/>
      <x:c r="DV438" s="4"/>
      <x:c r="DW438" s="4"/>
      <x:c r="DX438" s="4"/>
      <x:c r="DY438" s="4"/>
      <x:c r="DZ438" s="4"/>
      <x:c r="EA438" s="4"/>
      <x:c r="EB438" s="4"/>
      <x:c r="EC438" s="4"/>
      <x:c r="ED438" s="4"/>
      <x:c r="EE438" s="4" t="str">
        <x:f>IF('Calculations'!BT438=0,"Not Rated",IF(OR('Calculations'!BO438&gt;=4,'Calculations'!BP438&gt;=4),"Low",IF('Calculations'!BO438+'Calculations'!BP438&lt;=3,"High",IF('Calculations'!BO438+'Calculations'!BP438&lt;=4,"Strong","Solid"))))</x:f>
        <x:v>Not Rated</x:v>
      </x:c>
      <x:c r="EF438" s="4"/>
      <x:c r="EG438" s="4"/>
      <x:c r="EH438" s="4"/>
      <x:c r="EI438" s="4"/>
      <x:c r="EJ438" s="4"/>
      <x:c r="EK438" s="4"/>
      <x:c r="EL438" s="4"/>
      <x:c r="EM438" s="4" t="str">
        <x:f>IF(426&gt;'Calculations'!$JB$2000,"",INDEX('Calculations'!$JA$12:$JA$2000,MATCH(426,'Calculations'!$JB$12:$JB$2000,0)))</x:f>
      </x:c>
      <x:c r="EN438" s="4" t="n">
        <x:f>IF(OR('Calculations'!EM438="",'Calculations'!$AG$8&gt;0,AND('Calculations'!$EF$2&lt;&gt;"All",'Calculations'!HE438='Calculations'!$EF$2),AND('Calculations'!$EF$3&lt;&gt;"All",'Calculations'!HE438='Calculations'!$EF$3)),0,IF(OR('Dashboard'!$B$7="All",'Calculations'!HN438='Dashboard'!$B$7),IF('Calculations'!$EF$2="All",1,IF('Calculations'!HL438&gt;0,0,IF(COUNTIF('Calculations'!HO438:II438,"="&amp;SUBSTITUTE(SUBSTITUTE(SUBSTITUTE('Calculations'!$EF$2,"~","~~"),"*","~*"),"?","~?"))=0,0,IF('Calculations'!$EF$3="All",1,IF(COUNTIF('Calculations'!HO438:II438,"="&amp;SUBSTITUTE(SUBSTITUTE(SUBSTITUTE('Calculations'!$EF$3,"~","~~"),"*","~*"),"?","~?"))&gt;0,1,0))))),0))</x:f>
        <x:v>0</x:v>
      </x:c>
      <x:c r="EO438" s="4" t="str">
        <x:f>IF('Calculations'!IJ438="","",IF('Calculations'!IJ438="!UNRESOLVED","Unresolved hierarchy",IFERROR(INDEX('Calculations'!$HK$13:$HK$512,MATCH('Calculations'!IJ438,'Calculations'!$HE$13:$HE$512,0)),IFERROR(INDEX('Calculations'!$HJ$13:$HJ$512,MATCH('Calculations'!IJ438,'Calculations'!$HF$13:$HF$512,0)),'Calculations'!IJ438))))</x:f>
      </x:c>
      <x:c r="EP438" s="4" t="n">
        <x:f>IF(AND('Calculations'!EM438&lt;&gt;"",'Calculations'!HF438='Calculations'!IJ438),1,0)</x:f>
        <x:v>0</x:v>
      </x:c>
      <x:c r="EQ438" s="4"/>
      <x:c r="ER438" s="4"/>
      <x:c r="ES438" s="4"/>
      <x:c r="ET438" s="4"/>
      <x:c r="EU438" s="4"/>
      <x:c r="EV438" s="4"/>
      <x:c r="EW438" s="4"/>
      <x:c r="EX438" s="4"/>
      <x:c r="EY438" s="4"/>
      <x:c r="EZ438" s="4"/>
      <x:c r="FA438" s="4"/>
      <x:c r="FB438" s="4"/>
      <x:c r="FC438" s="4"/>
      <x:c r="FD438" s="4"/>
      <x:c r="FE438" s="4"/>
      <x:c r="FF438" s="4"/>
      <x:c r="FG438" s="4"/>
      <x:c r="FH438" s="4"/>
      <x:c r="FI438" s="4"/>
      <x:c r="FJ438" s="4"/>
      <x:c r="FK438" s="4"/>
      <x:c r="FL438" s="4"/>
      <x:c r="FM438" s="4"/>
      <x:c r="FN438" s="4"/>
      <x:c r="FO438" s="4"/>
      <x:c r="HE438" t="str">
        <x:f>IF('Calculations'!EM438="","",IF(IFERROR(IF(INDEX(INDIRECT("'WCM Calibration Final'!$A$1:$A$2000"),'Calculations'!$EM438)="","",TRIM(INDEX(INDIRECT("'WCM Calibration Final'!$A$1:$A$2000"),'Calculations'!$EM438)&amp;"")),"")&lt;&gt;"","G:"&amp;IFERROR(TEXT(1*INDEX(INDIRECT("'WCM Calibration Final'!$A$1:$A$2000"),'Calculations'!$EM438),"0"),UPPER(IFERROR(IF(INDEX(INDIRECT("'WCM Calibration Final'!$A$1:$A$2000"),'Calculations'!$EM438)="","",TRIM(INDEX(INDIRECT("'WCM Calibration Final'!$A$1:$A$2000"),'Calculations'!$EM438)&amp;"")),""))),IF(IFERROR(IF(INDEX(INDIRECT("'WCM Calibration Final'!$C$1:$C$2000"),'Calculations'!$EM438)="","",TRIM(INDEX(INDIRECT("'WCM Calibration Final'!$C$1:$C$2000"),'Calculations'!$EM438)&amp;"")),"")&lt;&gt;"","S:"&amp;UPPER(IFERROR(IF(INDEX(INDIRECT("'WCM Calibration Final'!$C$1:$C$2000"),'Calculations'!$EM438)="","",TRIM(INDEX(INDIRECT("'WCM Calibration Final'!$C$1:$C$2000"),'Calculations'!$EM438)&amp;"")),"")),"R:"&amp;'Calculations'!EM438)))</x:f>
      </x:c>
      <x:c r="HF438" t="str">
        <x:f>IF('Calculations'!EM438="","",IF(IFERROR(IF(INDEX(INDIRECT("'WCM Calibration Final'!$D$1:$D$2000"),'Calculations'!$EM438)="","",TRIM(INDEX(INDIRECT("'WCM Calibration Final'!$D$1:$D$2000"),'Calculations'!$EM438)&amp;"")),"")&lt;&gt;"","G:"&amp;IFERROR(TEXT(1*INDEX(INDIRECT("'WCM Calibration Final'!$D$1:$D$2000"),'Calculations'!$EM438),"0"),UPPER(IFERROR(IF(INDEX(INDIRECT("'WCM Calibration Final'!$D$1:$D$2000"),'Calculations'!$EM438)="","",TRIM(INDEX(INDIRECT("'WCM Calibration Final'!$D$1:$D$2000"),'Calculations'!$EM438)&amp;"")),""))),IF(IFERROR(IF(INDEX(INDIRECT("'WCM Calibration Final'!$E$1:$E$2000"),'Calculations'!$EM438)="","",TRIM(INDEX(INDIRECT("'WCM Calibration Final'!$E$1:$E$2000"),'Calculations'!$EM438)&amp;"")),"")="","",IF(COUNTIF('Calculations'!$HG$13:$HG$512,"="&amp;SUBSTITUTE(SUBSTITUTE(SUBSTITUTE(IFERROR(IF(INDEX(INDIRECT("'WCM Calibration Final'!$E$1:$E$2000"),'Calculations'!$EM438)="","",TRIM(INDEX(INDIRECT("'WCM Calibration Final'!$E$1:$E$2000"),'Calculations'!$EM438)&amp;"")),""),"~","~~"),"*","~*"),"?","~?"))=1,INDEX('Calculations'!$HE$13:$HE$512,MATCH(IFERROR(IF(INDEX(INDIRECT("'WCM Calibration Final'!$E$1:$E$2000"),'Calculations'!$EM438)="","",TRIM(INDEX(INDIRECT("'WCM Calibration Final'!$E$1:$E$2000"),'Calculations'!$EM438)&amp;"")),""),'Calculations'!$HG$13:$HG$512,0)),IF(COUNTIF('Calculations'!$HG$13:$HG$512,"="&amp;SUBSTITUTE(SUBSTITUTE(SUBSTITUTE(IFERROR(IF(INDEX(INDIRECT("'WCM Calibration Final'!$E$1:$E$2000"),'Calculations'!$EM438)="","",TRIM(INDEX(INDIRECT("'WCM Calibration Final'!$E$1:$E$2000"),'Calculations'!$EM438)&amp;"")),""),"~","~~"),"*","~*"),"?","~?"))&gt;1,"!AMBIG","X:"&amp;IFERROR(IF(INDEX(INDIRECT("'WCM Calibration Final'!$E$1:$E$2000"),'Calculations'!$EM438)="","",TRIM(INDEX(INDIRECT("'WCM Calibration Final'!$E$1:$E$2000"),'Calculations'!$EM438)&amp;"")),""))))))</x:f>
      </x:c>
      <x:c r="HG438" t="str">
        <x:f>IF('Calculations'!EM438="","",IFERROR(IF(INDEX(INDIRECT("'WCM Calibration Final'!$B$1:$B$2000"),'Calculations'!$EM438)="","",TRIM(INDEX(INDIRECT("'WCM Calibration Final'!$B$1:$B$2000"),'Calculations'!$EM438)&amp;"")),""))</x:f>
      </x:c>
      <x:c r="HH438" t="n">
        <x:f>IF(AND('Calculations'!JC438&gt;0,COUNTIF('Calculations'!$HF$12:HF438,"="&amp;SUBSTITUTE(SUBSTITUTE(SUBSTITUTE('Calculations'!HF438,"~","~~"),"*","~*"),"?","~?"))=1),MAX('Calculations'!$HH$12:HH437)+1,0)</x:f>
        <x:v>0</x:v>
      </x:c>
      <x:c r="HI438" t="n">
        <x:f>IF(AND('Calculations'!HN438&lt;&gt;"",COUNTIF('Calculations'!$HN$12:HN438,"="&amp;SUBSTITUTE(SUBSTITUTE(SUBSTITUTE('Calculations'!HN438,"~","~~"),"*","~*"),"?","~?"))=1),MAX('Calculations'!$HI$12:HI437)+1,0)</x:f>
        <x:v>0</x:v>
      </x:c>
      <x:c r="HJ438" t="str">
        <x:f>IF('Calculations'!HF438="","",IF(COUNTIF('Calculations'!$HE$13:$HE$512,"="&amp;SUBSTITUTE(SUBSTITUTE(SUBSTITUTE('Calculations'!HF438,"~","~~"),"*","~*"),"?","~?"))=1,INDEX('Calculations'!$HK$13:$HK$512,MATCH('Calculations'!HF438,'Calculations'!$HE$13:$HE$512,0)),IFERROR(IF(INDEX(INDIRECT("'WCM Calibration Final'!$E$1:$E$2000"),'Calculations'!$EM438)="","",TRIM(INDEX(INDIRECT("'WCM Calibration Final'!$E$1:$E$2000"),'Calculations'!$EM438)&amp;"")),"")&amp;" ["&amp;'Calculations'!HF438&amp;"]"))</x:f>
      </x:c>
      <x:c r="HK438" t="str">
        <x:f>IF('Calculations'!EM438="","",'Calculations'!HG438&amp;" ["&amp;'Calculations'!HE438&amp;"]")</x:f>
      </x:c>
      <x:c r="HL438" t="n">
        <x:f>IF('Calculations'!EM438="",0,IF(OR('Calculations'!II438&lt;&gt;"",COUNTIF('Calculations'!$HE$13:$HE$512,"="&amp;SUBSTITUTE(SUBSTITUTE(SUBSTITUTE('Calculations'!HE438,"~","~~"),"*","~*"),"?","~?"))&gt;1),1,0))</x:f>
        <x:v>0</x:v>
      </x:c>
      <x:c r="HM438" t="str">
        <x:f>IF('Calculations'!EM438="","",IF('Calculations'!HL438=1,"!UNRESOLVED",IF('Calculations'!IH438&lt;&gt;"",'Calculations'!IH438,IF('Calculations'!IG438&lt;&gt;"",'Calculations'!IG438,IF('Calculations'!IF438&lt;&gt;"",'Calculations'!IF438,IF('Calculations'!IE438&lt;&gt;"",'Calculations'!IE438,IF('Calculations'!ID438&lt;&gt;"",'Calculations'!ID438,IF('Calculations'!IC438&lt;&gt;"",'Calculations'!IC438,IF('Calculations'!IB438&lt;&gt;"",'Calculations'!IB438,IF('Calculations'!IA438&lt;&gt;"",'Calculations'!IA438,IF('Calculations'!HZ438&lt;&gt;"",'Calculations'!HZ438,IF('Calculations'!HY438&lt;&gt;"",'Calculations'!HY438,IF('Calculations'!HX438&lt;&gt;"",'Calculations'!HX438,IF('Calculations'!HW438&lt;&gt;"",'Calculations'!HW438,IF('Calculations'!HV438&lt;&gt;"",'Calculations'!HV438,IF('Calculations'!HU438&lt;&gt;"",'Calculations'!HU438,IF('Calculations'!HT438&lt;&gt;"",'Calculations'!HT438,IF('Calculations'!HS438&lt;&gt;"",'Calculations'!HS438,IF('Calculations'!HR438&lt;&gt;"",'Calculations'!HR438,IF('Calculations'!HQ438&lt;&gt;"",'Calculations'!HQ438,IF('Calculations'!HP438&lt;&gt;"",'Calculations'!HP438,IF('Calculations'!HO438&lt;&gt;"",'Calculations'!HO438,'Calculations'!HE438))))))))))))))))))))))</x:f>
      </x:c>
      <x:c r="HN438" t="str">
        <x:f>IF('Calculations'!EM438="","",IF(IFERROR(IF(INDEX(INDIRECT("'WCM Calibration Final'!$F$1:$F$2000"),'Calculations'!$EM438)="","",TRIM(INDEX(INDIRECT("'WCM Calibration Final'!$F$1:$F$2000"),'Calculations'!$EM438)&amp;"")),"")="","(Blank)",IFERROR(IF(INDEX(INDIRECT("'WCM Calibration Final'!$F$1:$F$2000"),'Calculations'!$EM438)="","",TRIM(INDEX(INDIRECT("'WCM Calibration Final'!$F$1:$F$2000"),'Calculations'!$EM438)&amp;"")),"")))</x:f>
      </x:c>
      <x:c r="HO438" t="str">
        <x:f>'Calculations'!HF438</x:f>
      </x:c>
      <x:c r="HP438" t="str">
        <x:f>IF('Calculations'!HO438="","",IF('Calculations'!HO438="!AMBIG","!AMBIG",IF(COUNTIF('Calculations'!$HE$13:$HE$512,"="&amp;SUBSTITUTE(SUBSTITUTE(SUBSTITUTE('Calculations'!HO438,"~","~~"),"*","~*"),"?","~?"))&gt;1,"!AMBIG",IFERROR(INDEX('Calculations'!$HF$13:$HF$512,MATCH('Calculations'!HO438,'Calculations'!$HE$13:$HE$512,0)),""))))</x:f>
      </x:c>
      <x:c r="HQ438" t="str">
        <x:f>IF('Calculations'!HP438="","",IF('Calculations'!HP438="!AMBIG","!AMBIG",IF(COUNTIF('Calculations'!$HE$13:$HE$512,"="&amp;SUBSTITUTE(SUBSTITUTE(SUBSTITUTE('Calculations'!HP438,"~","~~"),"*","~*"),"?","~?"))&gt;1,"!AMBIG",IFERROR(INDEX('Calculations'!$HF$13:$HF$512,MATCH('Calculations'!HP438,'Calculations'!$HE$13:$HE$512,0)),""))))</x:f>
      </x:c>
      <x:c r="HR438" t="str">
        <x:f>IF('Calculations'!HQ438="","",IF('Calculations'!HQ438="!AMBIG","!AMBIG",IF(COUNTIF('Calculations'!$HE$13:$HE$512,"="&amp;SUBSTITUTE(SUBSTITUTE(SUBSTITUTE('Calculations'!HQ438,"~","~~"),"*","~*"),"?","~?"))&gt;1,"!AMBIG",IFERROR(INDEX('Calculations'!$HF$13:$HF$512,MATCH('Calculations'!HQ438,'Calculations'!$HE$13:$HE$512,0)),""))))</x:f>
      </x:c>
      <x:c r="HS438" t="str">
        <x:f>IF('Calculations'!HR438="","",IF('Calculations'!HR438="!AMBIG","!AMBIG",IF(COUNTIF('Calculations'!$HE$13:$HE$512,"="&amp;SUBSTITUTE(SUBSTITUTE(SUBSTITUTE('Calculations'!HR438,"~","~~"),"*","~*"),"?","~?"))&gt;1,"!AMBIG",IFERROR(INDEX('Calculations'!$HF$13:$HF$512,MATCH('Calculations'!HR438,'Calculations'!$HE$13:$HE$512,0)),""))))</x:f>
      </x:c>
      <x:c r="HT438" t="str">
        <x:f>IF('Calculations'!HS438="","",IF('Calculations'!HS438="!AMBIG","!AMBIG",IF(COUNTIF('Calculations'!$HE$13:$HE$512,"="&amp;SUBSTITUTE(SUBSTITUTE(SUBSTITUTE('Calculations'!HS438,"~","~~"),"*","~*"),"?","~?"))&gt;1,"!AMBIG",IFERROR(INDEX('Calculations'!$HF$13:$HF$512,MATCH('Calculations'!HS438,'Calculations'!$HE$13:$HE$512,0)),""))))</x:f>
      </x:c>
      <x:c r="HU438" t="str">
        <x:f>IF('Calculations'!HT438="","",IF('Calculations'!HT438="!AMBIG","!AMBIG",IF(COUNTIF('Calculations'!$HE$13:$HE$512,"="&amp;SUBSTITUTE(SUBSTITUTE(SUBSTITUTE('Calculations'!HT438,"~","~~"),"*","~*"),"?","~?"))&gt;1,"!AMBIG",IFERROR(INDEX('Calculations'!$HF$13:$HF$512,MATCH('Calculations'!HT438,'Calculations'!$HE$13:$HE$512,0)),""))))</x:f>
      </x:c>
      <x:c r="HV438" t="str">
        <x:f>IF('Calculations'!HU438="","",IF('Calculations'!HU438="!AMBIG","!AMBIG",IF(COUNTIF('Calculations'!$HE$13:$HE$512,"="&amp;SUBSTITUTE(SUBSTITUTE(SUBSTITUTE('Calculations'!HU438,"~","~~"),"*","~*"),"?","~?"))&gt;1,"!AMBIG",IFERROR(INDEX('Calculations'!$HF$13:$HF$512,MATCH('Calculations'!HU438,'Calculations'!$HE$13:$HE$512,0)),""))))</x:f>
      </x:c>
      <x:c r="HW438" t="str">
        <x:f>IF('Calculations'!HV438="","",IF('Calculations'!HV438="!AMBIG","!AMBIG",IF(COUNTIF('Calculations'!$HE$13:$HE$512,"="&amp;SUBSTITUTE(SUBSTITUTE(SUBSTITUTE('Calculations'!HV438,"~","~~"),"*","~*"),"?","~?"))&gt;1,"!AMBIG",IFERROR(INDEX('Calculations'!$HF$13:$HF$512,MATCH('Calculations'!HV438,'Calculations'!$HE$13:$HE$512,0)),""))))</x:f>
      </x:c>
      <x:c r="HX438" t="str">
        <x:f>IF('Calculations'!HW438="","",IF('Calculations'!HW438="!AMBIG","!AMBIG",IF(COUNTIF('Calculations'!$HE$13:$HE$512,"="&amp;SUBSTITUTE(SUBSTITUTE(SUBSTITUTE('Calculations'!HW438,"~","~~"),"*","~*"),"?","~?"))&gt;1,"!AMBIG",IFERROR(INDEX('Calculations'!$HF$13:$HF$512,MATCH('Calculations'!HW438,'Calculations'!$HE$13:$HE$512,0)),""))))</x:f>
      </x:c>
      <x:c r="HY438" t="str">
        <x:f>IF('Calculations'!HX438="","",IF('Calculations'!HX438="!AMBIG","!AMBIG",IF(COUNTIF('Calculations'!$HE$13:$HE$512,"="&amp;SUBSTITUTE(SUBSTITUTE(SUBSTITUTE('Calculations'!HX438,"~","~~"),"*","~*"),"?","~?"))&gt;1,"!AMBIG",IFERROR(INDEX('Calculations'!$HF$13:$HF$512,MATCH('Calculations'!HX438,'Calculations'!$HE$13:$HE$512,0)),""))))</x:f>
      </x:c>
      <x:c r="HZ438" t="str">
        <x:f>IF('Calculations'!HY438="","",IF('Calculations'!HY438="!AMBIG","!AMBIG",IF(COUNTIF('Calculations'!$HE$13:$HE$512,"="&amp;SUBSTITUTE(SUBSTITUTE(SUBSTITUTE('Calculations'!HY438,"~","~~"),"*","~*"),"?","~?"))&gt;1,"!AMBIG",IFERROR(INDEX('Calculations'!$HF$13:$HF$512,MATCH('Calculations'!HY438,'Calculations'!$HE$13:$HE$512,0)),""))))</x:f>
      </x:c>
      <x:c r="IA438" t="str">
        <x:f>IF('Calculations'!HZ438="","",IF('Calculations'!HZ438="!AMBIG","!AMBIG",IF(COUNTIF('Calculations'!$HE$13:$HE$512,"="&amp;SUBSTITUTE(SUBSTITUTE(SUBSTITUTE('Calculations'!HZ438,"~","~~"),"*","~*"),"?","~?"))&gt;1,"!AMBIG",IFERROR(INDEX('Calculations'!$HF$13:$HF$512,MATCH('Calculations'!HZ438,'Calculations'!$HE$13:$HE$512,0)),""))))</x:f>
      </x:c>
      <x:c r="IB438" t="str">
        <x:f>IF('Calculations'!IA438="","",IF('Calculations'!IA438="!AMBIG","!AMBIG",IF(COUNTIF('Calculations'!$HE$13:$HE$512,"="&amp;SUBSTITUTE(SUBSTITUTE(SUBSTITUTE('Calculations'!IA438,"~","~~"),"*","~*"),"?","~?"))&gt;1,"!AMBIG",IFERROR(INDEX('Calculations'!$HF$13:$HF$512,MATCH('Calculations'!IA438,'Calculations'!$HE$13:$HE$512,0)),""))))</x:f>
      </x:c>
      <x:c r="IC438" t="str">
        <x:f>IF('Calculations'!IB438="","",IF('Calculations'!IB438="!AMBIG","!AMBIG",IF(COUNTIF('Calculations'!$HE$13:$HE$512,"="&amp;SUBSTITUTE(SUBSTITUTE(SUBSTITUTE('Calculations'!IB438,"~","~~"),"*","~*"),"?","~?"))&gt;1,"!AMBIG",IFERROR(INDEX('Calculations'!$HF$13:$HF$512,MATCH('Calculations'!IB438,'Calculations'!$HE$13:$HE$512,0)),""))))</x:f>
      </x:c>
      <x:c r="ID438" t="str">
        <x:f>IF('Calculations'!IC438="","",IF('Calculations'!IC438="!AMBIG","!AMBIG",IF(COUNTIF('Calculations'!$HE$13:$HE$512,"="&amp;SUBSTITUTE(SUBSTITUTE(SUBSTITUTE('Calculations'!IC438,"~","~~"),"*","~*"),"?","~?"))&gt;1,"!AMBIG",IFERROR(INDEX('Calculations'!$HF$13:$HF$512,MATCH('Calculations'!IC438,'Calculations'!$HE$13:$HE$512,0)),""))))</x:f>
      </x:c>
      <x:c r="IE438" t="str">
        <x:f>IF('Calculations'!ID438="","",IF('Calculations'!ID438="!AMBIG","!AMBIG",IF(COUNTIF('Calculations'!$HE$13:$HE$512,"="&amp;SUBSTITUTE(SUBSTITUTE(SUBSTITUTE('Calculations'!ID438,"~","~~"),"*","~*"),"?","~?"))&gt;1,"!AMBIG",IFERROR(INDEX('Calculations'!$HF$13:$HF$512,MATCH('Calculations'!ID438,'Calculations'!$HE$13:$HE$512,0)),""))))</x:f>
      </x:c>
      <x:c r="IF438" t="str">
        <x:f>IF('Calculations'!IE438="","",IF('Calculations'!IE438="!AMBIG","!AMBIG",IF(COUNTIF('Calculations'!$HE$13:$HE$512,"="&amp;SUBSTITUTE(SUBSTITUTE(SUBSTITUTE('Calculations'!IE438,"~","~~"),"*","~*"),"?","~?"))&gt;1,"!AMBIG",IFERROR(INDEX('Calculations'!$HF$13:$HF$512,MATCH('Calculations'!IE438,'Calculations'!$HE$13:$HE$512,0)),""))))</x:f>
      </x:c>
      <x:c r="IG438" t="str">
        <x:f>IF('Calculations'!IF438="","",IF('Calculations'!IF438="!AMBIG","!AMBIG",IF(COUNTIF('Calculations'!$HE$13:$HE$512,"="&amp;SUBSTITUTE(SUBSTITUTE(SUBSTITUTE('Calculations'!IF438,"~","~~"),"*","~*"),"?","~?"))&gt;1,"!AMBIG",IFERROR(INDEX('Calculations'!$HF$13:$HF$512,MATCH('Calculations'!IF438,'Calculations'!$HE$13:$HE$512,0)),""))))</x:f>
      </x:c>
      <x:c r="IH438" t="str">
        <x:f>IF('Calculations'!IG438="","",IF('Calculations'!IG438="!AMBIG","!AMBIG",IF(COUNTIF('Calculations'!$HE$13:$HE$512,"="&amp;SUBSTITUTE(SUBSTITUTE(SUBSTITUTE('Calculations'!IG438,"~","~~"),"*","~*"),"?","~?"))&gt;1,"!AMBIG",IFERROR(INDEX('Calculations'!$HF$13:$HF$512,MATCH('Calculations'!IG438,'Calculations'!$HE$13:$HE$512,0)),""))))</x:f>
      </x:c>
      <x:c r="II438" t="str">
        <x:f>IF('Calculations'!IH438="","",IF('Calculations'!IH438="!AMBIG","!AMBIG",IF(COUNTIF('Calculations'!$HE$13:$HE$512,"="&amp;SUBSTITUTE(SUBSTITUTE(SUBSTITUTE('Calculations'!IH438,"~","~~"),"*","~*"),"?","~?"))&gt;1,"!AMBIG",IFERROR(INDEX('Calculations'!$HF$13:$HF$512,MATCH('Calculations'!IH438,'Calculations'!$HE$13:$HE$512,0)),""))))</x:f>
      </x:c>
      <x:c r="IJ438" t="str">
        <x:f>IF('Calculations'!EM438="","",IF('Calculations'!$EF$2="All",'Calculations'!HM438,IF('Calculations'!HL438=1,"",IFERROR(IF(MATCH('Calculations'!$EF$2,'Calculations'!HO438:II438,0)=1,'Calculations'!HE438,INDEX('Calculations'!HO438:II438,1,MATCH('Calculations'!$EF$2,'Calculations'!HO438:II438,0)-1)),""))))</x:f>
      </x:c>
      <x:c r="IK438" t="n">
        <x:f>IF(AND('Calculations'!EM438&lt;&gt;"",'Calculations'!$EF$2&lt;&gt;"All",'Calculations'!HF438='Calculations'!$EF$2,'Calculations'!HL438=0,'Calculations'!JD438&gt;0),MAX('Calculations'!$IK$12:IK437)+1,0)</x:f>
        <x:v>0</x:v>
      </x:c>
      <x:c r="JA438" t="n">
        <x:f>IF(OR(IFERROR(INDIRECT("'WCM Calibration Final'!$A$438")&lt;&gt;"",FALSE),IFERROR(INDIRECT("'WCM Calibration Final'!$B$438")&lt;&gt;"",FALSE),IFERROR(INDIRECT("'WCM Calibration Final'!$C$438")&lt;&gt;"",FALSE)),438,0)</x:f>
        <x:v>0</x:v>
      </x:c>
      <x:c r="JB438" t="n">
        <x:f>'Calculations'!JB437+IF('Calculations'!JA438&gt;0,1,0)</x:f>
        <x:v>0</x:v>
      </x:c>
      <x:c r="JC438" t="n">
        <x:f>IF(OR('Calculations'!HF438="",'Calculations'!HF438="!AMBIG"),0,IF('Dashboard'!$B$7="All",1,COUNTIFS('Calculations'!$HO$13:$HO$512,"="&amp;SUBSTITUTE(SUBSTITUTE(SUBSTITUTE('Calculations'!HF438,"~","~~"),"*","~*"),"?","~?"),'Calculations'!$HN$13:$HN$512,"="&amp;SUBSTITUTE(SUBSTITUTE(SUBSTITUTE('Dashboard'!$B$7,"~","~~"),"*","~*"),"?","~?"))+COUNTIFS('Calculations'!$HP$13:$HP$512,"="&amp;SUBSTITUTE(SUBSTITUTE(SUBSTITUTE('Calculations'!HF438,"~","~~"),"*","~*"),"?","~?"),'Calculations'!$HN$13:$HN$512,"="&amp;SUBSTITUTE(SUBSTITUTE(SUBSTITUTE('Dashboard'!$B$7,"~","~~"),"*","~*"),"?","~?"))+COUNTIFS('Calculations'!$HQ$13:$HQ$512,"="&amp;SUBSTITUTE(SUBSTITUTE(SUBSTITUTE('Calculations'!HF438,"~","~~"),"*","~*"),"?","~?"),'Calculations'!$HN$13:$HN$512,"="&amp;SUBSTITUTE(SUBSTITUTE(SUBSTITUTE('Dashboard'!$B$7,"~","~~"),"*","~*"),"?","~?"))+COUNTIFS('Calculations'!$HR$13:$HR$512,"="&amp;SUBSTITUTE(SUBSTITUTE(SUBSTITUTE('Calculations'!HF438,"~","~~"),"*","~*"),"?","~?"),'Calculations'!$HN$13:$HN$512,"="&amp;SUBSTITUTE(SUBSTITUTE(SUBSTITUTE('Dashboard'!$B$7,"~","~~"),"*","~*"),"?","~?"))+COUNTIFS('Calculations'!$HS$13:$HS$512,"="&amp;SUBSTITUTE(SUBSTITUTE(SUBSTITUTE('Calculations'!HF438,"~","~~"),"*","~*"),"?","~?"),'Calculations'!$HN$13:$HN$512,"="&amp;SUBSTITUTE(SUBSTITUTE(SUBSTITUTE('Dashboard'!$B$7,"~","~~"),"*","~*"),"?","~?"))+COUNTIFS('Calculations'!$HT$13:$HT$512,"="&amp;SUBSTITUTE(SUBSTITUTE(SUBSTITUTE('Calculations'!HF438,"~","~~"),"*","~*"),"?","~?"),'Calculations'!$HN$13:$HN$512,"="&amp;SUBSTITUTE(SUBSTITUTE(SUBSTITUTE('Dashboard'!$B$7,"~","~~"),"*","~*"),"?","~?"))+COUNTIFS('Calculations'!$HU$13:$HU$512,"="&amp;SUBSTITUTE(SUBSTITUTE(SUBSTITUTE('Calculations'!HF438,"~","~~"),"*","~*"),"?","~?"),'Calculations'!$HN$13:$HN$512,"="&amp;SUBSTITUTE(SUBSTITUTE(SUBSTITUTE('Dashboard'!$B$7,"~","~~"),"*","~*"),"?","~?"))+COUNTIFS('Calculations'!$HV$13:$HV$512,"="&amp;SUBSTITUTE(SUBSTITUTE(SUBSTITUTE('Calculations'!HF438,"~","~~"),"*","~*"),"?","~?"),'Calculations'!$HN$13:$HN$512,"="&amp;SUBSTITUTE(SUBSTITUTE(SUBSTITUTE('Dashboard'!$B$7,"~","~~"),"*","~*"),"?","~?"))+COUNTIFS('Calculations'!$HW$13:$HW$512,"="&amp;SUBSTITUTE(SUBSTITUTE(SUBSTITUTE('Calculations'!HF438,"~","~~"),"*","~*"),"?","~?"),'Calculations'!$HN$13:$HN$512,"="&amp;SUBSTITUTE(SUBSTITUTE(SUBSTITUTE('Dashboard'!$B$7,"~","~~"),"*","~*"),"?","~?"))+COUNTIFS('Calculations'!$HX$13:$HX$512,"="&amp;SUBSTITUTE(SUBSTITUTE(SUBSTITUTE('Calculations'!HF438,"~","~~"),"*","~*"),"?","~?"),'Calculations'!$HN$13:$HN$512,"="&amp;SUBSTITUTE(SUBSTITUTE(SUBSTITUTE('Dashboard'!$B$7,"~","~~"),"*","~*"),"?","~?"))+COUNTIFS('Calculations'!$HY$13:$HY$512,"="&amp;SUBSTITUTE(SUBSTITUTE(SUBSTITUTE('Calculations'!HF438,"~","~~"),"*","~*"),"?","~?"),'Calculations'!$HN$13:$HN$512,"="&amp;SUBSTITUTE(SUBSTITUTE(SUBSTITUTE('Dashboard'!$B$7,"~","~~"),"*","~*"),"?","~?"))+COUNTIFS('Calculations'!$HZ$13:$HZ$512,"="&amp;SUBSTITUTE(SUBSTITUTE(SUBSTITUTE('Calculations'!HF438,"~","~~"),"*","~*"),"?","~?"),'Calculations'!$HN$13:$HN$512,"="&amp;SUBSTITUTE(SUBSTITUTE(SUBSTITUTE('Dashboard'!$B$7,"~","~~"),"*","~*"),"?","~?"))+COUNTIFS('Calculations'!$IA$13:$IA$512,"="&amp;SUBSTITUTE(SUBSTITUTE(SUBSTITUTE('Calculations'!HF438,"~","~~"),"*","~*"),"?","~?"),'Calculations'!$HN$13:$HN$512,"="&amp;SUBSTITUTE(SUBSTITUTE(SUBSTITUTE('Dashboard'!$B$7,"~","~~"),"*","~*"),"?","~?"))+COUNTIFS('Calculations'!$IB$13:$IB$512,"="&amp;SUBSTITUTE(SUBSTITUTE(SUBSTITUTE('Calculations'!HF438,"~","~~"),"*","~*"),"?","~?"),'Calculations'!$HN$13:$HN$512,"="&amp;SUBSTITUTE(SUBSTITUTE(SUBSTITUTE('Dashboard'!$B$7,"~","~~"),"*","~*"),"?","~?"))+COUNTIFS('Calculations'!$IC$13:$IC$512,"="&amp;SUBSTITUTE(SUBSTITUTE(SUBSTITUTE('Calculations'!HF438,"~","~~"),"*","~*"),"?","~?"),'Calculations'!$HN$13:$HN$512,"="&amp;SUBSTITUTE(SUBSTITUTE(SUBSTITUTE('Dashboard'!$B$7,"~","~~"),"*","~*"),"?","~?"))+COUNTIFS('Calculations'!$ID$13:$ID$512,"="&amp;SUBSTITUTE(SUBSTITUTE(SUBSTITUTE('Calculations'!HF438,"~","~~"),"*","~*"),"?","~?"),'Calculations'!$HN$13:$HN$512,"="&amp;SUBSTITUTE(SUBSTITUTE(SUBSTITUTE('Dashboard'!$B$7,"~","~~"),"*","~*"),"?","~?"))+COUNTIFS('Calculations'!$IE$13:$IE$512,"="&amp;SUBSTITUTE(SUBSTITUTE(SUBSTITUTE('Calculations'!HF438,"~","~~"),"*","~*"),"?","~?"),'Calculations'!$HN$13:$HN$512,"="&amp;SUBSTITUTE(SUBSTITUTE(SUBSTITUTE('Dashboard'!$B$7,"~","~~"),"*","~*"),"?","~?"))+COUNTIFS('Calculations'!$IF$13:$IF$512,"="&amp;SUBSTITUTE(SUBSTITUTE(SUBSTITUTE('Calculations'!HF438,"~","~~"),"*","~*"),"?","~?"),'Calculations'!$HN$13:$HN$512,"="&amp;SUBSTITUTE(SUBSTITUTE(SUBSTITUTE('Dashboard'!$B$7,"~","~~"),"*","~*"),"?","~?"))+COUNTIFS('Calculations'!$IG$13:$IG$512,"="&amp;SUBSTITUTE(SUBSTITUTE(SUBSTITUTE('Calculations'!HF438,"~","~~"),"*","~*"),"?","~?"),'Calculations'!$HN$13:$HN$512,"="&amp;SUBSTITUTE(SUBSTITUTE(SUBSTITUTE('Dashboard'!$B$7,"~","~~"),"*","~*"),"?","~?"))+COUNTIFS('Calculations'!$IH$13:$IH$512,"="&amp;SUBSTITUTE(SUBSTITUTE(SUBSTITUTE('Calculations'!HF438,"~","~~"),"*","~*"),"?","~?"),'Calculations'!$HN$13:$HN$512,"="&amp;SUBSTITUTE(SUBSTITUTE(SUBSTITUTE('Dashboard'!$B$7,"~","~~"),"*","~*"),"?","~?"))))</x:f>
        <x:v>0</x:v>
      </x:c>
      <x:c r="JD438" t="n">
        <x:f>IF('Calculations'!EM438="",0,IF('Dashboard'!$B$7="All",1,IF('Calculations'!HN438='Dashboard'!$B$7,1,0)+IFERROR(INDEX('Calculations'!$JC$13:$JC$512,MATCH('Calculations'!HE438,'Calculations'!$HF$13:$HF$512,0)),0)))</x:f>
        <x:v>0</x:v>
      </x:c>
      <x:c r="JE438" t="n">
        <x:f>IF(AND('Calculations'!EM438&lt;&gt;"",'Calculations'!$JJ$2&lt;&gt;"All",'Calculations'!$JJ$2&lt;&gt;"",'Calculations'!HF438='Calculations'!$JJ$2,'Calculations'!HL438=0,'Calculations'!JD438&gt;0),MAX('Calculations'!$JE$12:JE437)+1,0)</x:f>
        <x:v>0</x:v>
      </x:c>
      <x:c r="JF438" t="str">
        <x:f>IF('Calculations'!EM438="","",IFERROR(IF(INDEX(INDIRECT("'WCM Calibration Final'!$G$1:$G$2000"),'Calculations'!$EM438)="","",TRIM(INDEX(INDIRECT("'WCM Calibration Final'!$G$1:$G$2000"),'Calculations'!$EM438)&amp;"")),""))</x:f>
      </x:c>
      <x:c r="JQ438" t="n">
        <x:f>IF(OR('Calculations'!BM438=0,NOT('Calculations'!$AG$2),'Calculations'!$AG$8&gt;0),0,IF(OR('Dashboard'!$B$7="All",'Calculations'!HN438='Dashboard'!$B$7),IF('Calculations'!$JJ$2="All",1,IF(AND('Calculations'!HF438='Calculations'!$JJ$2,'Calculations'!HL438=0),1,0)),0))</x:f>
        <x:v>0</x:v>
      </x:c>
    </x:row>
    <x:row r="439">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t="n">
        <x:f>IF('Calculations'!$EM439="",0,IF(OR(IFERROR(INDEX(INDIRECT("'WCM Calibration Final'!$A$1:$A$2000"),'Calculations'!$EM439)&lt;&gt;"",FALSE),IFERROR(INDEX(INDIRECT("'WCM Calibration Final'!$B$1:$B$2000"),'Calculations'!$EM439)&lt;&gt;"",FALSE),IFERROR(INDEX(INDIRECT("'WCM Calibration Final'!$C$1:$C$2000"),'Calculations'!$EM439)&lt;&gt;"",FALSE)),1,0))</x:f>
        <x:v>0</x:v>
      </x:c>
      <x:c r="BN439" s="4" t="n">
        <x:f>IF(AND('Calculations'!BM439=1,'Calculations'!$AG$2,'Calculations'!$EN439=1),1,0)</x:f>
        <x:v>0</x:v>
      </x:c>
      <x:c r="BO439" s="4" t="str">
        <x:f>IF('Calculations'!BM439=0,"",IFERROR(IF(AND(VALUE(INDEX(INDIRECT("'WCM Calibration Final'!$K$1:$K$2000"),'Calculations'!$EM439))&gt;=1,VALUE(INDEX(INDIRECT("'WCM Calibration Final'!$K$1:$K$2000"),'Calculations'!$EM439))&lt;=4,MOD(VALUE(INDEX(INDIRECT("'WCM Calibration Final'!$K$1:$K$2000"),'Calculations'!$EM439)),1)=0),VALUE(INDEX(INDIRECT("'WCM Calibration Final'!$K$1:$K$2000"),'Calculations'!$EM439)),""),""))</x:f>
      </x:c>
      <x:c r="BP439" s="4" t="str">
        <x:f>IF('Calculations'!BM439=0,"",IFERROR(IF(AND(VALUE(INDEX(INDIRECT("'WCM Calibration Final'!$L$1:$L$2000"),'Calculations'!$EM439))&gt;=1,VALUE(INDEX(INDIRECT("'WCM Calibration Final'!$L$1:$L$2000"),'Calculations'!$EM439))&lt;=4,MOD(VALUE(INDEX(INDIRECT("'WCM Calibration Final'!$L$1:$L$2000"),'Calculations'!$EM439)),1)=0),VALUE(INDEX(INDIRECT("'WCM Calibration Final'!$L$1:$L$2000"),'Calculations'!$EM439)),""),""))</x:f>
      </x:c>
      <x:c r="BQ439" s="4"/>
      <x:c r="BR439" s="4"/>
      <x:c r="BS439" s="4"/>
      <x:c r="BT439" s="4" t="n">
        <x:f>IF(AND('Calculations'!BM439=1,ISNUMBER('Calculations'!BO439),ISNUMBER('Calculations'!BP439)),1,0)</x:f>
        <x:v>0</x:v>
      </x:c>
      <x:c r="BU439" s="4" t="str">
        <x:f>IF('Calculations'!BM439=0,"",'Calculations'!$EO439)</x:f>
      </x:c>
      <x:c r="BV439" s="4" t="str">
        <x:f>IF('Calculations'!BM439=0,"",IFERROR(IF(OR(INDEX(INDIRECT("'WCM Calibration Final'!$H$1:$H$2000"),'Calculations'!$EM439)="MANAGING DIRECTOR",INDEX(INDIRECT("'WCM Calibration Final'!$H$1:$H$2000"),'Calculations'!$EM439)="DIRECTOR",INDEX(INDIRECT("'WCM Calibration Final'!$H$1:$H$2000"),'Calculations'!$EM439)="SENIOR VICE PRESIDENT",INDEX(INDIRECT("'WCM Calibration Final'!$H$1:$H$2000"),'Calculations'!$EM439)="VICE PRESIDENT",INDEX(INDIRECT("'WCM Calibration Final'!$H$1:$H$2000"),'Calculations'!$EM439)="ASSISTANT VICE PRESIDENT",INDEX(INDIRECT("'WCM Calibration Final'!$H$1:$H$2000"),'Calculations'!$EM439)="OFFICER"),UPPER(INDEX(INDIRECT("'WCM Calibration Final'!$H$1:$H$2000"),'Calculations'!$EM439)),"Other"),"Other"))</x:f>
      </x:c>
      <x:c r="BW439" s="4"/>
      <x:c r="BX439" s="4"/>
      <x:c r="BY439" s="4" t="n">
        <x:f>IF(AND('Calculations'!BM439=1,'Calculations'!BU439&lt;&gt;"",COUNTIF('Calculations'!$BU$12:BU439,'Calculations'!BU439)=1),MAX('Calculations'!$BY$11:BY438)+1,0)</x:f>
        <x:v>0</x:v>
      </x:c>
      <x:c r="BZ439" s="4" t="str">
        <x:f>IF('Dashboard'!$E$67="What",'Calculations'!BO439,'Calculations'!BP439)</x:f>
      </x:c>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t="str">
        <x:f>IF(428&gt;MAX('Calculations'!$HI$13:$HI$512),"",INDEX('Calculations'!$HN$13:$HN$512,MATCH(428,'Calculations'!$HI$13:$HI$512,0)))</x:f>
      </x:c>
      <x:c r="DB439" s="4" t="str">
        <x:f>IF(428&gt;MAX('Calculations'!$HH$13:$HH$512),"",INDEX('Calculations'!$HJ$13:$HJ$512,MATCH(428,'Calculations'!$HH$13:$HH$512,0)))</x:f>
      </x:c>
      <x:c r="DC439" s="4" t="str">
        <x:f>IF(ROW()-11&gt;MAX('Calculations'!$BY$13:$BY$512),"",INDEX('Calculations'!$BU$13:$BU$512,MATCH(ROW()-11,'Calculations'!$BY$13:$BY$512,0)))</x:f>
      </x:c>
      <x:c r="DD439" s="4" t="str">
        <x:f>IF(428&gt;MAX('Calculations'!$IK$13:$IK$512),"",INDEX('Calculations'!$HK$13:$HK$512,MATCH(428,'Calculations'!$IK$13:$IK$512,0)))</x:f>
      </x:c>
      <x:c r="DE439" s="4" t="str">
        <x:f>'Calculations'!DC439</x:f>
      </x:c>
      <x:c r="DF439" s="4" t="str">
        <x:f>IF('Calculations'!DE439="","",COUNTIFS('Calculations'!$BN$13:$BN$512,1,'Calculations'!$BU$13:$BU$512,'Calculations'!DE439))</x:f>
      </x:c>
      <x:c r="DG439" s="4" t="str">
        <x:f>IF('Calculations'!DE439="","",COUNTIFS('Calculations'!$BN$13:$BN$512,1,'Calculations'!$BU$13:$BU$512,'Calculations'!DE439,'Calculations'!$BT$13:$BT$512,1))</x:f>
      </x:c>
      <x:c r="DH439" s="4" t="str">
        <x:f>IF('Calculations'!DE439="","",'Calculations'!DF439-'Calculations'!DG439)</x:f>
      </x:c>
      <x:c r="DI439" s="4" t="str">
        <x:f>IF(OR('Calculations'!DE439="",'Calculations'!DF439=0),"",'Calculations'!DG439/'Calculations'!DF439)</x:f>
      </x:c>
      <x:c r="DJ439" s="4" t="str">
        <x:f>IF('Calculations'!DE439="","",COUNTIFS('Calculations'!$BN$13:$BN$512,1,'Calculations'!$BU$13:$BU$512,'Calculations'!DE439,'Calculations'!$BT$13:$BT$512,1,'Calculations'!$EE$13:$EE$512,"High"))</x:f>
      </x:c>
      <x:c r="DK439" s="4" t="str">
        <x:f>IF('Calculations'!DE439="","",COUNTIFS('Calculations'!$BN$13:$BN$512,1,'Calculations'!$BU$13:$BU$512,'Calculations'!DE439,'Calculations'!$BT$13:$BT$512,1,'Calculations'!$EE$13:$EE$512,"Strong"))</x:f>
      </x:c>
      <x:c r="DL439" s="4" t="str">
        <x:f>IF('Calculations'!DE439="","",COUNTIFS('Calculations'!$BN$13:$BN$512,1,'Calculations'!$BU$13:$BU$512,'Calculations'!DE439,'Calculations'!$BT$13:$BT$512,1,'Calculations'!$EE$13:$EE$512,"Solid"))</x:f>
      </x:c>
      <x:c r="DM439" s="4" t="str">
        <x:f>IF('Calculations'!DE439="","",COUNTIFS('Calculations'!$BN$13:$BN$512,1,'Calculations'!$BU$13:$BU$512,'Calculations'!DE439,'Calculations'!$BT$13:$BT$512,1,'Calculations'!$EE$13:$EE$512,"Low"))</x:f>
      </x:c>
      <x:c r="DN439" s="4" t="str">
        <x:f>IF('Calculations'!DE439="","",COUNTIFS('Calculations'!$BN$13:$BN$512,1,'Calculations'!$BU$13:$BU$512,'Calculations'!DE439,'Calculations'!$EP$13:$EP$512,1))</x:f>
      </x:c>
      <x:c r="DO439" s="4" t="str">
        <x:f>IF(OR('Calculations'!DE439="",'Calculations'!DG439=0),"",('Calculations'!DJ439+'Calculations'!DK439)/'Calculations'!DG439)</x:f>
      </x:c>
      <x:c r="DP439" s="4" t="n">
        <x:f>IF(AND('Calculations'!DE439&lt;&gt;"",'Calculations'!DF439&gt;0),COUNTIF('Calculations'!$DF$12:DF439,"&gt;0"),0)</x:f>
        <x:v>0</x:v>
      </x:c>
      <x:c r="DQ439" s="4" t="str">
        <x:f>IF(428&gt;MAX('Calculations'!$HH$13:$HH$512),"",INDEX('Calculations'!$HF$13:$HF$512,MATCH(428,'Calculations'!$HH$13:$HH$512,0)))</x:f>
      </x:c>
      <x:c r="DR439" s="4" t="str">
        <x:f>IF(428&gt;MAX('Calculations'!$IK$13:$IK$512),"",INDEX('Calculations'!$HE$13:$HE$512,MATCH(428,'Calculations'!$IK$13:$IK$512,0)))</x:f>
      </x:c>
      <x:c r="DS439" s="4"/>
      <x:c r="DT439" s="4"/>
      <x:c r="DU439" s="4"/>
      <x:c r="DV439" s="4"/>
      <x:c r="DW439" s="4"/>
      <x:c r="DX439" s="4"/>
      <x:c r="DY439" s="4"/>
      <x:c r="DZ439" s="4"/>
      <x:c r="EA439" s="4"/>
      <x:c r="EB439" s="4"/>
      <x:c r="EC439" s="4"/>
      <x:c r="ED439" s="4"/>
      <x:c r="EE439" s="4" t="str">
        <x:f>IF('Calculations'!BT439=0,"Not Rated",IF(OR('Calculations'!BO439&gt;=4,'Calculations'!BP439&gt;=4),"Low",IF('Calculations'!BO439+'Calculations'!BP439&lt;=3,"High",IF('Calculations'!BO439+'Calculations'!BP439&lt;=4,"Strong","Solid"))))</x:f>
        <x:v>Not Rated</x:v>
      </x:c>
      <x:c r="EF439" s="4"/>
      <x:c r="EG439" s="4"/>
      <x:c r="EH439" s="4"/>
      <x:c r="EI439" s="4"/>
      <x:c r="EJ439" s="4"/>
      <x:c r="EK439" s="4"/>
      <x:c r="EL439" s="4"/>
      <x:c r="EM439" s="4" t="str">
        <x:f>IF(427&gt;'Calculations'!$JB$2000,"",INDEX('Calculations'!$JA$12:$JA$2000,MATCH(427,'Calculations'!$JB$12:$JB$2000,0)))</x:f>
      </x:c>
      <x:c r="EN439" s="4" t="n">
        <x:f>IF(OR('Calculations'!EM439="",'Calculations'!$AG$8&gt;0,AND('Calculations'!$EF$2&lt;&gt;"All",'Calculations'!HE439='Calculations'!$EF$2),AND('Calculations'!$EF$3&lt;&gt;"All",'Calculations'!HE439='Calculations'!$EF$3)),0,IF(OR('Dashboard'!$B$7="All",'Calculations'!HN439='Dashboard'!$B$7),IF('Calculations'!$EF$2="All",1,IF('Calculations'!HL439&gt;0,0,IF(COUNTIF('Calculations'!HO439:II439,"="&amp;SUBSTITUTE(SUBSTITUTE(SUBSTITUTE('Calculations'!$EF$2,"~","~~"),"*","~*"),"?","~?"))=0,0,IF('Calculations'!$EF$3="All",1,IF(COUNTIF('Calculations'!HO439:II439,"="&amp;SUBSTITUTE(SUBSTITUTE(SUBSTITUTE('Calculations'!$EF$3,"~","~~"),"*","~*"),"?","~?"))&gt;0,1,0))))),0))</x:f>
        <x:v>0</x:v>
      </x:c>
      <x:c r="EO439" s="4" t="str">
        <x:f>IF('Calculations'!IJ439="","",IF('Calculations'!IJ439="!UNRESOLVED","Unresolved hierarchy",IFERROR(INDEX('Calculations'!$HK$13:$HK$512,MATCH('Calculations'!IJ439,'Calculations'!$HE$13:$HE$512,0)),IFERROR(INDEX('Calculations'!$HJ$13:$HJ$512,MATCH('Calculations'!IJ439,'Calculations'!$HF$13:$HF$512,0)),'Calculations'!IJ439))))</x:f>
      </x:c>
      <x:c r="EP439" s="4" t="n">
        <x:f>IF(AND('Calculations'!EM439&lt;&gt;"",'Calculations'!HF439='Calculations'!IJ439),1,0)</x:f>
        <x:v>0</x:v>
      </x:c>
      <x:c r="EQ439" s="4"/>
      <x:c r="ER439" s="4"/>
      <x:c r="ES439" s="4"/>
      <x:c r="ET439" s="4"/>
      <x:c r="EU439" s="4"/>
      <x:c r="EV439" s="4"/>
      <x:c r="EW439" s="4"/>
      <x:c r="EX439" s="4"/>
      <x:c r="EY439" s="4"/>
      <x:c r="EZ439" s="4"/>
      <x:c r="FA439" s="4"/>
      <x:c r="FB439" s="4"/>
      <x:c r="FC439" s="4"/>
      <x:c r="FD439" s="4"/>
      <x:c r="FE439" s="4"/>
      <x:c r="FF439" s="4"/>
      <x:c r="FG439" s="4"/>
      <x:c r="FH439" s="4"/>
      <x:c r="FI439" s="4"/>
      <x:c r="FJ439" s="4"/>
      <x:c r="FK439" s="4"/>
      <x:c r="FL439" s="4"/>
      <x:c r="FM439" s="4"/>
      <x:c r="FN439" s="4"/>
      <x:c r="FO439" s="4"/>
      <x:c r="HE439" t="str">
        <x:f>IF('Calculations'!EM439="","",IF(IFERROR(IF(INDEX(INDIRECT("'WCM Calibration Final'!$A$1:$A$2000"),'Calculations'!$EM439)="","",TRIM(INDEX(INDIRECT("'WCM Calibration Final'!$A$1:$A$2000"),'Calculations'!$EM439)&amp;"")),"")&lt;&gt;"","G:"&amp;IFERROR(TEXT(1*INDEX(INDIRECT("'WCM Calibration Final'!$A$1:$A$2000"),'Calculations'!$EM439),"0"),UPPER(IFERROR(IF(INDEX(INDIRECT("'WCM Calibration Final'!$A$1:$A$2000"),'Calculations'!$EM439)="","",TRIM(INDEX(INDIRECT("'WCM Calibration Final'!$A$1:$A$2000"),'Calculations'!$EM439)&amp;"")),""))),IF(IFERROR(IF(INDEX(INDIRECT("'WCM Calibration Final'!$C$1:$C$2000"),'Calculations'!$EM439)="","",TRIM(INDEX(INDIRECT("'WCM Calibration Final'!$C$1:$C$2000"),'Calculations'!$EM439)&amp;"")),"")&lt;&gt;"","S:"&amp;UPPER(IFERROR(IF(INDEX(INDIRECT("'WCM Calibration Final'!$C$1:$C$2000"),'Calculations'!$EM439)="","",TRIM(INDEX(INDIRECT("'WCM Calibration Final'!$C$1:$C$2000"),'Calculations'!$EM439)&amp;"")),"")),"R:"&amp;'Calculations'!EM439)))</x:f>
      </x:c>
      <x:c r="HF439" t="str">
        <x:f>IF('Calculations'!EM439="","",IF(IFERROR(IF(INDEX(INDIRECT("'WCM Calibration Final'!$D$1:$D$2000"),'Calculations'!$EM439)="","",TRIM(INDEX(INDIRECT("'WCM Calibration Final'!$D$1:$D$2000"),'Calculations'!$EM439)&amp;"")),"")&lt;&gt;"","G:"&amp;IFERROR(TEXT(1*INDEX(INDIRECT("'WCM Calibration Final'!$D$1:$D$2000"),'Calculations'!$EM439),"0"),UPPER(IFERROR(IF(INDEX(INDIRECT("'WCM Calibration Final'!$D$1:$D$2000"),'Calculations'!$EM439)="","",TRIM(INDEX(INDIRECT("'WCM Calibration Final'!$D$1:$D$2000"),'Calculations'!$EM439)&amp;"")),""))),IF(IFERROR(IF(INDEX(INDIRECT("'WCM Calibration Final'!$E$1:$E$2000"),'Calculations'!$EM439)="","",TRIM(INDEX(INDIRECT("'WCM Calibration Final'!$E$1:$E$2000"),'Calculations'!$EM439)&amp;"")),"")="","",IF(COUNTIF('Calculations'!$HG$13:$HG$512,"="&amp;SUBSTITUTE(SUBSTITUTE(SUBSTITUTE(IFERROR(IF(INDEX(INDIRECT("'WCM Calibration Final'!$E$1:$E$2000"),'Calculations'!$EM439)="","",TRIM(INDEX(INDIRECT("'WCM Calibration Final'!$E$1:$E$2000"),'Calculations'!$EM439)&amp;"")),""),"~","~~"),"*","~*"),"?","~?"))=1,INDEX('Calculations'!$HE$13:$HE$512,MATCH(IFERROR(IF(INDEX(INDIRECT("'WCM Calibration Final'!$E$1:$E$2000"),'Calculations'!$EM439)="","",TRIM(INDEX(INDIRECT("'WCM Calibration Final'!$E$1:$E$2000"),'Calculations'!$EM439)&amp;"")),""),'Calculations'!$HG$13:$HG$512,0)),IF(COUNTIF('Calculations'!$HG$13:$HG$512,"="&amp;SUBSTITUTE(SUBSTITUTE(SUBSTITUTE(IFERROR(IF(INDEX(INDIRECT("'WCM Calibration Final'!$E$1:$E$2000"),'Calculations'!$EM439)="","",TRIM(INDEX(INDIRECT("'WCM Calibration Final'!$E$1:$E$2000"),'Calculations'!$EM439)&amp;"")),""),"~","~~"),"*","~*"),"?","~?"))&gt;1,"!AMBIG","X:"&amp;IFERROR(IF(INDEX(INDIRECT("'WCM Calibration Final'!$E$1:$E$2000"),'Calculations'!$EM439)="","",TRIM(INDEX(INDIRECT("'WCM Calibration Final'!$E$1:$E$2000"),'Calculations'!$EM439)&amp;"")),""))))))</x:f>
      </x:c>
      <x:c r="HG439" t="str">
        <x:f>IF('Calculations'!EM439="","",IFERROR(IF(INDEX(INDIRECT("'WCM Calibration Final'!$B$1:$B$2000"),'Calculations'!$EM439)="","",TRIM(INDEX(INDIRECT("'WCM Calibration Final'!$B$1:$B$2000"),'Calculations'!$EM439)&amp;"")),""))</x:f>
      </x:c>
      <x:c r="HH439" t="n">
        <x:f>IF(AND('Calculations'!JC439&gt;0,COUNTIF('Calculations'!$HF$12:HF439,"="&amp;SUBSTITUTE(SUBSTITUTE(SUBSTITUTE('Calculations'!HF439,"~","~~"),"*","~*"),"?","~?"))=1),MAX('Calculations'!$HH$12:HH438)+1,0)</x:f>
        <x:v>0</x:v>
      </x:c>
      <x:c r="HI439" t="n">
        <x:f>IF(AND('Calculations'!HN439&lt;&gt;"",COUNTIF('Calculations'!$HN$12:HN439,"="&amp;SUBSTITUTE(SUBSTITUTE(SUBSTITUTE('Calculations'!HN439,"~","~~"),"*","~*"),"?","~?"))=1),MAX('Calculations'!$HI$12:HI438)+1,0)</x:f>
        <x:v>0</x:v>
      </x:c>
      <x:c r="HJ439" t="str">
        <x:f>IF('Calculations'!HF439="","",IF(COUNTIF('Calculations'!$HE$13:$HE$512,"="&amp;SUBSTITUTE(SUBSTITUTE(SUBSTITUTE('Calculations'!HF439,"~","~~"),"*","~*"),"?","~?"))=1,INDEX('Calculations'!$HK$13:$HK$512,MATCH('Calculations'!HF439,'Calculations'!$HE$13:$HE$512,0)),IFERROR(IF(INDEX(INDIRECT("'WCM Calibration Final'!$E$1:$E$2000"),'Calculations'!$EM439)="","",TRIM(INDEX(INDIRECT("'WCM Calibration Final'!$E$1:$E$2000"),'Calculations'!$EM439)&amp;"")),"")&amp;" ["&amp;'Calculations'!HF439&amp;"]"))</x:f>
      </x:c>
      <x:c r="HK439" t="str">
        <x:f>IF('Calculations'!EM439="","",'Calculations'!HG439&amp;" ["&amp;'Calculations'!HE439&amp;"]")</x:f>
      </x:c>
      <x:c r="HL439" t="n">
        <x:f>IF('Calculations'!EM439="",0,IF(OR('Calculations'!II439&lt;&gt;"",COUNTIF('Calculations'!$HE$13:$HE$512,"="&amp;SUBSTITUTE(SUBSTITUTE(SUBSTITUTE('Calculations'!HE439,"~","~~"),"*","~*"),"?","~?"))&gt;1),1,0))</x:f>
        <x:v>0</x:v>
      </x:c>
      <x:c r="HM439" t="str">
        <x:f>IF('Calculations'!EM439="","",IF('Calculations'!HL439=1,"!UNRESOLVED",IF('Calculations'!IH439&lt;&gt;"",'Calculations'!IH439,IF('Calculations'!IG439&lt;&gt;"",'Calculations'!IG439,IF('Calculations'!IF439&lt;&gt;"",'Calculations'!IF439,IF('Calculations'!IE439&lt;&gt;"",'Calculations'!IE439,IF('Calculations'!ID439&lt;&gt;"",'Calculations'!ID439,IF('Calculations'!IC439&lt;&gt;"",'Calculations'!IC439,IF('Calculations'!IB439&lt;&gt;"",'Calculations'!IB439,IF('Calculations'!IA439&lt;&gt;"",'Calculations'!IA439,IF('Calculations'!HZ439&lt;&gt;"",'Calculations'!HZ439,IF('Calculations'!HY439&lt;&gt;"",'Calculations'!HY439,IF('Calculations'!HX439&lt;&gt;"",'Calculations'!HX439,IF('Calculations'!HW439&lt;&gt;"",'Calculations'!HW439,IF('Calculations'!HV439&lt;&gt;"",'Calculations'!HV439,IF('Calculations'!HU439&lt;&gt;"",'Calculations'!HU439,IF('Calculations'!HT439&lt;&gt;"",'Calculations'!HT439,IF('Calculations'!HS439&lt;&gt;"",'Calculations'!HS439,IF('Calculations'!HR439&lt;&gt;"",'Calculations'!HR439,IF('Calculations'!HQ439&lt;&gt;"",'Calculations'!HQ439,IF('Calculations'!HP439&lt;&gt;"",'Calculations'!HP439,IF('Calculations'!HO439&lt;&gt;"",'Calculations'!HO439,'Calculations'!HE439))))))))))))))))))))))</x:f>
      </x:c>
      <x:c r="HN439" t="str">
        <x:f>IF('Calculations'!EM439="","",IF(IFERROR(IF(INDEX(INDIRECT("'WCM Calibration Final'!$F$1:$F$2000"),'Calculations'!$EM439)="","",TRIM(INDEX(INDIRECT("'WCM Calibration Final'!$F$1:$F$2000"),'Calculations'!$EM439)&amp;"")),"")="","(Blank)",IFERROR(IF(INDEX(INDIRECT("'WCM Calibration Final'!$F$1:$F$2000"),'Calculations'!$EM439)="","",TRIM(INDEX(INDIRECT("'WCM Calibration Final'!$F$1:$F$2000"),'Calculations'!$EM439)&amp;"")),"")))</x:f>
      </x:c>
      <x:c r="HO439" t="str">
        <x:f>'Calculations'!HF439</x:f>
      </x:c>
      <x:c r="HP439" t="str">
        <x:f>IF('Calculations'!HO439="","",IF('Calculations'!HO439="!AMBIG","!AMBIG",IF(COUNTIF('Calculations'!$HE$13:$HE$512,"="&amp;SUBSTITUTE(SUBSTITUTE(SUBSTITUTE('Calculations'!HO439,"~","~~"),"*","~*"),"?","~?"))&gt;1,"!AMBIG",IFERROR(INDEX('Calculations'!$HF$13:$HF$512,MATCH('Calculations'!HO439,'Calculations'!$HE$13:$HE$512,0)),""))))</x:f>
      </x:c>
      <x:c r="HQ439" t="str">
        <x:f>IF('Calculations'!HP439="","",IF('Calculations'!HP439="!AMBIG","!AMBIG",IF(COUNTIF('Calculations'!$HE$13:$HE$512,"="&amp;SUBSTITUTE(SUBSTITUTE(SUBSTITUTE('Calculations'!HP439,"~","~~"),"*","~*"),"?","~?"))&gt;1,"!AMBIG",IFERROR(INDEX('Calculations'!$HF$13:$HF$512,MATCH('Calculations'!HP439,'Calculations'!$HE$13:$HE$512,0)),""))))</x:f>
      </x:c>
      <x:c r="HR439" t="str">
        <x:f>IF('Calculations'!HQ439="","",IF('Calculations'!HQ439="!AMBIG","!AMBIG",IF(COUNTIF('Calculations'!$HE$13:$HE$512,"="&amp;SUBSTITUTE(SUBSTITUTE(SUBSTITUTE('Calculations'!HQ439,"~","~~"),"*","~*"),"?","~?"))&gt;1,"!AMBIG",IFERROR(INDEX('Calculations'!$HF$13:$HF$512,MATCH('Calculations'!HQ439,'Calculations'!$HE$13:$HE$512,0)),""))))</x:f>
      </x:c>
      <x:c r="HS439" t="str">
        <x:f>IF('Calculations'!HR439="","",IF('Calculations'!HR439="!AMBIG","!AMBIG",IF(COUNTIF('Calculations'!$HE$13:$HE$512,"="&amp;SUBSTITUTE(SUBSTITUTE(SUBSTITUTE('Calculations'!HR439,"~","~~"),"*","~*"),"?","~?"))&gt;1,"!AMBIG",IFERROR(INDEX('Calculations'!$HF$13:$HF$512,MATCH('Calculations'!HR439,'Calculations'!$HE$13:$HE$512,0)),""))))</x:f>
      </x:c>
      <x:c r="HT439" t="str">
        <x:f>IF('Calculations'!HS439="","",IF('Calculations'!HS439="!AMBIG","!AMBIG",IF(COUNTIF('Calculations'!$HE$13:$HE$512,"="&amp;SUBSTITUTE(SUBSTITUTE(SUBSTITUTE('Calculations'!HS439,"~","~~"),"*","~*"),"?","~?"))&gt;1,"!AMBIG",IFERROR(INDEX('Calculations'!$HF$13:$HF$512,MATCH('Calculations'!HS439,'Calculations'!$HE$13:$HE$512,0)),""))))</x:f>
      </x:c>
      <x:c r="HU439" t="str">
        <x:f>IF('Calculations'!HT439="","",IF('Calculations'!HT439="!AMBIG","!AMBIG",IF(COUNTIF('Calculations'!$HE$13:$HE$512,"="&amp;SUBSTITUTE(SUBSTITUTE(SUBSTITUTE('Calculations'!HT439,"~","~~"),"*","~*"),"?","~?"))&gt;1,"!AMBIG",IFERROR(INDEX('Calculations'!$HF$13:$HF$512,MATCH('Calculations'!HT439,'Calculations'!$HE$13:$HE$512,0)),""))))</x:f>
      </x:c>
      <x:c r="HV439" t="str">
        <x:f>IF('Calculations'!HU439="","",IF('Calculations'!HU439="!AMBIG","!AMBIG",IF(COUNTIF('Calculations'!$HE$13:$HE$512,"="&amp;SUBSTITUTE(SUBSTITUTE(SUBSTITUTE('Calculations'!HU439,"~","~~"),"*","~*"),"?","~?"))&gt;1,"!AMBIG",IFERROR(INDEX('Calculations'!$HF$13:$HF$512,MATCH('Calculations'!HU439,'Calculations'!$HE$13:$HE$512,0)),""))))</x:f>
      </x:c>
      <x:c r="HW439" t="str">
        <x:f>IF('Calculations'!HV439="","",IF('Calculations'!HV439="!AMBIG","!AMBIG",IF(COUNTIF('Calculations'!$HE$13:$HE$512,"="&amp;SUBSTITUTE(SUBSTITUTE(SUBSTITUTE('Calculations'!HV439,"~","~~"),"*","~*"),"?","~?"))&gt;1,"!AMBIG",IFERROR(INDEX('Calculations'!$HF$13:$HF$512,MATCH('Calculations'!HV439,'Calculations'!$HE$13:$HE$512,0)),""))))</x:f>
      </x:c>
      <x:c r="HX439" t="str">
        <x:f>IF('Calculations'!HW439="","",IF('Calculations'!HW439="!AMBIG","!AMBIG",IF(COUNTIF('Calculations'!$HE$13:$HE$512,"="&amp;SUBSTITUTE(SUBSTITUTE(SUBSTITUTE('Calculations'!HW439,"~","~~"),"*","~*"),"?","~?"))&gt;1,"!AMBIG",IFERROR(INDEX('Calculations'!$HF$13:$HF$512,MATCH('Calculations'!HW439,'Calculations'!$HE$13:$HE$512,0)),""))))</x:f>
      </x:c>
      <x:c r="HY439" t="str">
        <x:f>IF('Calculations'!HX439="","",IF('Calculations'!HX439="!AMBIG","!AMBIG",IF(COUNTIF('Calculations'!$HE$13:$HE$512,"="&amp;SUBSTITUTE(SUBSTITUTE(SUBSTITUTE('Calculations'!HX439,"~","~~"),"*","~*"),"?","~?"))&gt;1,"!AMBIG",IFERROR(INDEX('Calculations'!$HF$13:$HF$512,MATCH('Calculations'!HX439,'Calculations'!$HE$13:$HE$512,0)),""))))</x:f>
      </x:c>
      <x:c r="HZ439" t="str">
        <x:f>IF('Calculations'!HY439="","",IF('Calculations'!HY439="!AMBIG","!AMBIG",IF(COUNTIF('Calculations'!$HE$13:$HE$512,"="&amp;SUBSTITUTE(SUBSTITUTE(SUBSTITUTE('Calculations'!HY439,"~","~~"),"*","~*"),"?","~?"))&gt;1,"!AMBIG",IFERROR(INDEX('Calculations'!$HF$13:$HF$512,MATCH('Calculations'!HY439,'Calculations'!$HE$13:$HE$512,0)),""))))</x:f>
      </x:c>
      <x:c r="IA439" t="str">
        <x:f>IF('Calculations'!HZ439="","",IF('Calculations'!HZ439="!AMBIG","!AMBIG",IF(COUNTIF('Calculations'!$HE$13:$HE$512,"="&amp;SUBSTITUTE(SUBSTITUTE(SUBSTITUTE('Calculations'!HZ439,"~","~~"),"*","~*"),"?","~?"))&gt;1,"!AMBIG",IFERROR(INDEX('Calculations'!$HF$13:$HF$512,MATCH('Calculations'!HZ439,'Calculations'!$HE$13:$HE$512,0)),""))))</x:f>
      </x:c>
      <x:c r="IB439" t="str">
        <x:f>IF('Calculations'!IA439="","",IF('Calculations'!IA439="!AMBIG","!AMBIG",IF(COUNTIF('Calculations'!$HE$13:$HE$512,"="&amp;SUBSTITUTE(SUBSTITUTE(SUBSTITUTE('Calculations'!IA439,"~","~~"),"*","~*"),"?","~?"))&gt;1,"!AMBIG",IFERROR(INDEX('Calculations'!$HF$13:$HF$512,MATCH('Calculations'!IA439,'Calculations'!$HE$13:$HE$512,0)),""))))</x:f>
      </x:c>
      <x:c r="IC439" t="str">
        <x:f>IF('Calculations'!IB439="","",IF('Calculations'!IB439="!AMBIG","!AMBIG",IF(COUNTIF('Calculations'!$HE$13:$HE$512,"="&amp;SUBSTITUTE(SUBSTITUTE(SUBSTITUTE('Calculations'!IB439,"~","~~"),"*","~*"),"?","~?"))&gt;1,"!AMBIG",IFERROR(INDEX('Calculations'!$HF$13:$HF$512,MATCH('Calculations'!IB439,'Calculations'!$HE$13:$HE$512,0)),""))))</x:f>
      </x:c>
      <x:c r="ID439" t="str">
        <x:f>IF('Calculations'!IC439="","",IF('Calculations'!IC439="!AMBIG","!AMBIG",IF(COUNTIF('Calculations'!$HE$13:$HE$512,"="&amp;SUBSTITUTE(SUBSTITUTE(SUBSTITUTE('Calculations'!IC439,"~","~~"),"*","~*"),"?","~?"))&gt;1,"!AMBIG",IFERROR(INDEX('Calculations'!$HF$13:$HF$512,MATCH('Calculations'!IC439,'Calculations'!$HE$13:$HE$512,0)),""))))</x:f>
      </x:c>
      <x:c r="IE439" t="str">
        <x:f>IF('Calculations'!ID439="","",IF('Calculations'!ID439="!AMBIG","!AMBIG",IF(COUNTIF('Calculations'!$HE$13:$HE$512,"="&amp;SUBSTITUTE(SUBSTITUTE(SUBSTITUTE('Calculations'!ID439,"~","~~"),"*","~*"),"?","~?"))&gt;1,"!AMBIG",IFERROR(INDEX('Calculations'!$HF$13:$HF$512,MATCH('Calculations'!ID439,'Calculations'!$HE$13:$HE$512,0)),""))))</x:f>
      </x:c>
      <x:c r="IF439" t="str">
        <x:f>IF('Calculations'!IE439="","",IF('Calculations'!IE439="!AMBIG","!AMBIG",IF(COUNTIF('Calculations'!$HE$13:$HE$512,"="&amp;SUBSTITUTE(SUBSTITUTE(SUBSTITUTE('Calculations'!IE439,"~","~~"),"*","~*"),"?","~?"))&gt;1,"!AMBIG",IFERROR(INDEX('Calculations'!$HF$13:$HF$512,MATCH('Calculations'!IE439,'Calculations'!$HE$13:$HE$512,0)),""))))</x:f>
      </x:c>
      <x:c r="IG439" t="str">
        <x:f>IF('Calculations'!IF439="","",IF('Calculations'!IF439="!AMBIG","!AMBIG",IF(COUNTIF('Calculations'!$HE$13:$HE$512,"="&amp;SUBSTITUTE(SUBSTITUTE(SUBSTITUTE('Calculations'!IF439,"~","~~"),"*","~*"),"?","~?"))&gt;1,"!AMBIG",IFERROR(INDEX('Calculations'!$HF$13:$HF$512,MATCH('Calculations'!IF439,'Calculations'!$HE$13:$HE$512,0)),""))))</x:f>
      </x:c>
      <x:c r="IH439" t="str">
        <x:f>IF('Calculations'!IG439="","",IF('Calculations'!IG439="!AMBIG","!AMBIG",IF(COUNTIF('Calculations'!$HE$13:$HE$512,"="&amp;SUBSTITUTE(SUBSTITUTE(SUBSTITUTE('Calculations'!IG439,"~","~~"),"*","~*"),"?","~?"))&gt;1,"!AMBIG",IFERROR(INDEX('Calculations'!$HF$13:$HF$512,MATCH('Calculations'!IG439,'Calculations'!$HE$13:$HE$512,0)),""))))</x:f>
      </x:c>
      <x:c r="II439" t="str">
        <x:f>IF('Calculations'!IH439="","",IF('Calculations'!IH439="!AMBIG","!AMBIG",IF(COUNTIF('Calculations'!$HE$13:$HE$512,"="&amp;SUBSTITUTE(SUBSTITUTE(SUBSTITUTE('Calculations'!IH439,"~","~~"),"*","~*"),"?","~?"))&gt;1,"!AMBIG",IFERROR(INDEX('Calculations'!$HF$13:$HF$512,MATCH('Calculations'!IH439,'Calculations'!$HE$13:$HE$512,0)),""))))</x:f>
      </x:c>
      <x:c r="IJ439" t="str">
        <x:f>IF('Calculations'!EM439="","",IF('Calculations'!$EF$2="All",'Calculations'!HM439,IF('Calculations'!HL439=1,"",IFERROR(IF(MATCH('Calculations'!$EF$2,'Calculations'!HO439:II439,0)=1,'Calculations'!HE439,INDEX('Calculations'!HO439:II439,1,MATCH('Calculations'!$EF$2,'Calculations'!HO439:II439,0)-1)),""))))</x:f>
      </x:c>
      <x:c r="IK439" t="n">
        <x:f>IF(AND('Calculations'!EM439&lt;&gt;"",'Calculations'!$EF$2&lt;&gt;"All",'Calculations'!HF439='Calculations'!$EF$2,'Calculations'!HL439=0,'Calculations'!JD439&gt;0),MAX('Calculations'!$IK$12:IK438)+1,0)</x:f>
        <x:v>0</x:v>
      </x:c>
      <x:c r="JA439" t="n">
        <x:f>IF(OR(IFERROR(INDIRECT("'WCM Calibration Final'!$A$439")&lt;&gt;"",FALSE),IFERROR(INDIRECT("'WCM Calibration Final'!$B$439")&lt;&gt;"",FALSE),IFERROR(INDIRECT("'WCM Calibration Final'!$C$439")&lt;&gt;"",FALSE)),439,0)</x:f>
        <x:v>0</x:v>
      </x:c>
      <x:c r="JB439" t="n">
        <x:f>'Calculations'!JB438+IF('Calculations'!JA439&gt;0,1,0)</x:f>
        <x:v>0</x:v>
      </x:c>
      <x:c r="JC439" t="n">
        <x:f>IF(OR('Calculations'!HF439="",'Calculations'!HF439="!AMBIG"),0,IF('Dashboard'!$B$7="All",1,COUNTIFS('Calculations'!$HO$13:$HO$512,"="&amp;SUBSTITUTE(SUBSTITUTE(SUBSTITUTE('Calculations'!HF439,"~","~~"),"*","~*"),"?","~?"),'Calculations'!$HN$13:$HN$512,"="&amp;SUBSTITUTE(SUBSTITUTE(SUBSTITUTE('Dashboard'!$B$7,"~","~~"),"*","~*"),"?","~?"))+COUNTIFS('Calculations'!$HP$13:$HP$512,"="&amp;SUBSTITUTE(SUBSTITUTE(SUBSTITUTE('Calculations'!HF439,"~","~~"),"*","~*"),"?","~?"),'Calculations'!$HN$13:$HN$512,"="&amp;SUBSTITUTE(SUBSTITUTE(SUBSTITUTE('Dashboard'!$B$7,"~","~~"),"*","~*"),"?","~?"))+COUNTIFS('Calculations'!$HQ$13:$HQ$512,"="&amp;SUBSTITUTE(SUBSTITUTE(SUBSTITUTE('Calculations'!HF439,"~","~~"),"*","~*"),"?","~?"),'Calculations'!$HN$13:$HN$512,"="&amp;SUBSTITUTE(SUBSTITUTE(SUBSTITUTE('Dashboard'!$B$7,"~","~~"),"*","~*"),"?","~?"))+COUNTIFS('Calculations'!$HR$13:$HR$512,"="&amp;SUBSTITUTE(SUBSTITUTE(SUBSTITUTE('Calculations'!HF439,"~","~~"),"*","~*"),"?","~?"),'Calculations'!$HN$13:$HN$512,"="&amp;SUBSTITUTE(SUBSTITUTE(SUBSTITUTE('Dashboard'!$B$7,"~","~~"),"*","~*"),"?","~?"))+COUNTIFS('Calculations'!$HS$13:$HS$512,"="&amp;SUBSTITUTE(SUBSTITUTE(SUBSTITUTE('Calculations'!HF439,"~","~~"),"*","~*"),"?","~?"),'Calculations'!$HN$13:$HN$512,"="&amp;SUBSTITUTE(SUBSTITUTE(SUBSTITUTE('Dashboard'!$B$7,"~","~~"),"*","~*"),"?","~?"))+COUNTIFS('Calculations'!$HT$13:$HT$512,"="&amp;SUBSTITUTE(SUBSTITUTE(SUBSTITUTE('Calculations'!HF439,"~","~~"),"*","~*"),"?","~?"),'Calculations'!$HN$13:$HN$512,"="&amp;SUBSTITUTE(SUBSTITUTE(SUBSTITUTE('Dashboard'!$B$7,"~","~~"),"*","~*"),"?","~?"))+COUNTIFS('Calculations'!$HU$13:$HU$512,"="&amp;SUBSTITUTE(SUBSTITUTE(SUBSTITUTE('Calculations'!HF439,"~","~~"),"*","~*"),"?","~?"),'Calculations'!$HN$13:$HN$512,"="&amp;SUBSTITUTE(SUBSTITUTE(SUBSTITUTE('Dashboard'!$B$7,"~","~~"),"*","~*"),"?","~?"))+COUNTIFS('Calculations'!$HV$13:$HV$512,"="&amp;SUBSTITUTE(SUBSTITUTE(SUBSTITUTE('Calculations'!HF439,"~","~~"),"*","~*"),"?","~?"),'Calculations'!$HN$13:$HN$512,"="&amp;SUBSTITUTE(SUBSTITUTE(SUBSTITUTE('Dashboard'!$B$7,"~","~~"),"*","~*"),"?","~?"))+COUNTIFS('Calculations'!$HW$13:$HW$512,"="&amp;SUBSTITUTE(SUBSTITUTE(SUBSTITUTE('Calculations'!HF439,"~","~~"),"*","~*"),"?","~?"),'Calculations'!$HN$13:$HN$512,"="&amp;SUBSTITUTE(SUBSTITUTE(SUBSTITUTE('Dashboard'!$B$7,"~","~~"),"*","~*"),"?","~?"))+COUNTIFS('Calculations'!$HX$13:$HX$512,"="&amp;SUBSTITUTE(SUBSTITUTE(SUBSTITUTE('Calculations'!HF439,"~","~~"),"*","~*"),"?","~?"),'Calculations'!$HN$13:$HN$512,"="&amp;SUBSTITUTE(SUBSTITUTE(SUBSTITUTE('Dashboard'!$B$7,"~","~~"),"*","~*"),"?","~?"))+COUNTIFS('Calculations'!$HY$13:$HY$512,"="&amp;SUBSTITUTE(SUBSTITUTE(SUBSTITUTE('Calculations'!HF439,"~","~~"),"*","~*"),"?","~?"),'Calculations'!$HN$13:$HN$512,"="&amp;SUBSTITUTE(SUBSTITUTE(SUBSTITUTE('Dashboard'!$B$7,"~","~~"),"*","~*"),"?","~?"))+COUNTIFS('Calculations'!$HZ$13:$HZ$512,"="&amp;SUBSTITUTE(SUBSTITUTE(SUBSTITUTE('Calculations'!HF439,"~","~~"),"*","~*"),"?","~?"),'Calculations'!$HN$13:$HN$512,"="&amp;SUBSTITUTE(SUBSTITUTE(SUBSTITUTE('Dashboard'!$B$7,"~","~~"),"*","~*"),"?","~?"))+COUNTIFS('Calculations'!$IA$13:$IA$512,"="&amp;SUBSTITUTE(SUBSTITUTE(SUBSTITUTE('Calculations'!HF439,"~","~~"),"*","~*"),"?","~?"),'Calculations'!$HN$13:$HN$512,"="&amp;SUBSTITUTE(SUBSTITUTE(SUBSTITUTE('Dashboard'!$B$7,"~","~~"),"*","~*"),"?","~?"))+COUNTIFS('Calculations'!$IB$13:$IB$512,"="&amp;SUBSTITUTE(SUBSTITUTE(SUBSTITUTE('Calculations'!HF439,"~","~~"),"*","~*"),"?","~?"),'Calculations'!$HN$13:$HN$512,"="&amp;SUBSTITUTE(SUBSTITUTE(SUBSTITUTE('Dashboard'!$B$7,"~","~~"),"*","~*"),"?","~?"))+COUNTIFS('Calculations'!$IC$13:$IC$512,"="&amp;SUBSTITUTE(SUBSTITUTE(SUBSTITUTE('Calculations'!HF439,"~","~~"),"*","~*"),"?","~?"),'Calculations'!$HN$13:$HN$512,"="&amp;SUBSTITUTE(SUBSTITUTE(SUBSTITUTE('Dashboard'!$B$7,"~","~~"),"*","~*"),"?","~?"))+COUNTIFS('Calculations'!$ID$13:$ID$512,"="&amp;SUBSTITUTE(SUBSTITUTE(SUBSTITUTE('Calculations'!HF439,"~","~~"),"*","~*"),"?","~?"),'Calculations'!$HN$13:$HN$512,"="&amp;SUBSTITUTE(SUBSTITUTE(SUBSTITUTE('Dashboard'!$B$7,"~","~~"),"*","~*"),"?","~?"))+COUNTIFS('Calculations'!$IE$13:$IE$512,"="&amp;SUBSTITUTE(SUBSTITUTE(SUBSTITUTE('Calculations'!HF439,"~","~~"),"*","~*"),"?","~?"),'Calculations'!$HN$13:$HN$512,"="&amp;SUBSTITUTE(SUBSTITUTE(SUBSTITUTE('Dashboard'!$B$7,"~","~~"),"*","~*"),"?","~?"))+COUNTIFS('Calculations'!$IF$13:$IF$512,"="&amp;SUBSTITUTE(SUBSTITUTE(SUBSTITUTE('Calculations'!HF439,"~","~~"),"*","~*"),"?","~?"),'Calculations'!$HN$13:$HN$512,"="&amp;SUBSTITUTE(SUBSTITUTE(SUBSTITUTE('Dashboard'!$B$7,"~","~~"),"*","~*"),"?","~?"))+COUNTIFS('Calculations'!$IG$13:$IG$512,"="&amp;SUBSTITUTE(SUBSTITUTE(SUBSTITUTE('Calculations'!HF439,"~","~~"),"*","~*"),"?","~?"),'Calculations'!$HN$13:$HN$512,"="&amp;SUBSTITUTE(SUBSTITUTE(SUBSTITUTE('Dashboard'!$B$7,"~","~~"),"*","~*"),"?","~?"))+COUNTIFS('Calculations'!$IH$13:$IH$512,"="&amp;SUBSTITUTE(SUBSTITUTE(SUBSTITUTE('Calculations'!HF439,"~","~~"),"*","~*"),"?","~?"),'Calculations'!$HN$13:$HN$512,"="&amp;SUBSTITUTE(SUBSTITUTE(SUBSTITUTE('Dashboard'!$B$7,"~","~~"),"*","~*"),"?","~?"))))</x:f>
        <x:v>0</x:v>
      </x:c>
      <x:c r="JD439" t="n">
        <x:f>IF('Calculations'!EM439="",0,IF('Dashboard'!$B$7="All",1,IF('Calculations'!HN439='Dashboard'!$B$7,1,0)+IFERROR(INDEX('Calculations'!$JC$13:$JC$512,MATCH('Calculations'!HE439,'Calculations'!$HF$13:$HF$512,0)),0)))</x:f>
        <x:v>0</x:v>
      </x:c>
      <x:c r="JE439" t="n">
        <x:f>IF(AND('Calculations'!EM439&lt;&gt;"",'Calculations'!$JJ$2&lt;&gt;"All",'Calculations'!$JJ$2&lt;&gt;"",'Calculations'!HF439='Calculations'!$JJ$2,'Calculations'!HL439=0,'Calculations'!JD439&gt;0),MAX('Calculations'!$JE$12:JE438)+1,0)</x:f>
        <x:v>0</x:v>
      </x:c>
      <x:c r="JF439" t="str">
        <x:f>IF('Calculations'!EM439="","",IFERROR(IF(INDEX(INDIRECT("'WCM Calibration Final'!$G$1:$G$2000"),'Calculations'!$EM439)="","",TRIM(INDEX(INDIRECT("'WCM Calibration Final'!$G$1:$G$2000"),'Calculations'!$EM439)&amp;"")),""))</x:f>
      </x:c>
      <x:c r="JQ439" t="n">
        <x:f>IF(OR('Calculations'!BM439=0,NOT('Calculations'!$AG$2),'Calculations'!$AG$8&gt;0),0,IF(OR('Dashboard'!$B$7="All",'Calculations'!HN439='Dashboard'!$B$7),IF('Calculations'!$JJ$2="All",1,IF(AND('Calculations'!HF439='Calculations'!$JJ$2,'Calculations'!HL439=0),1,0)),0))</x:f>
        <x:v>0</x:v>
      </x:c>
    </x:row>
    <x:row r="440">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t="n">
        <x:f>IF('Calculations'!$EM440="",0,IF(OR(IFERROR(INDEX(INDIRECT("'WCM Calibration Final'!$A$1:$A$2000"),'Calculations'!$EM440)&lt;&gt;"",FALSE),IFERROR(INDEX(INDIRECT("'WCM Calibration Final'!$B$1:$B$2000"),'Calculations'!$EM440)&lt;&gt;"",FALSE),IFERROR(INDEX(INDIRECT("'WCM Calibration Final'!$C$1:$C$2000"),'Calculations'!$EM440)&lt;&gt;"",FALSE)),1,0))</x:f>
        <x:v>0</x:v>
      </x:c>
      <x:c r="BN440" s="4" t="n">
        <x:f>IF(AND('Calculations'!BM440=1,'Calculations'!$AG$2,'Calculations'!$EN440=1),1,0)</x:f>
        <x:v>0</x:v>
      </x:c>
      <x:c r="BO440" s="4" t="str">
        <x:f>IF('Calculations'!BM440=0,"",IFERROR(IF(AND(VALUE(INDEX(INDIRECT("'WCM Calibration Final'!$K$1:$K$2000"),'Calculations'!$EM440))&gt;=1,VALUE(INDEX(INDIRECT("'WCM Calibration Final'!$K$1:$K$2000"),'Calculations'!$EM440))&lt;=4,MOD(VALUE(INDEX(INDIRECT("'WCM Calibration Final'!$K$1:$K$2000"),'Calculations'!$EM440)),1)=0),VALUE(INDEX(INDIRECT("'WCM Calibration Final'!$K$1:$K$2000"),'Calculations'!$EM440)),""),""))</x:f>
      </x:c>
      <x:c r="BP440" s="4" t="str">
        <x:f>IF('Calculations'!BM440=0,"",IFERROR(IF(AND(VALUE(INDEX(INDIRECT("'WCM Calibration Final'!$L$1:$L$2000"),'Calculations'!$EM440))&gt;=1,VALUE(INDEX(INDIRECT("'WCM Calibration Final'!$L$1:$L$2000"),'Calculations'!$EM440))&lt;=4,MOD(VALUE(INDEX(INDIRECT("'WCM Calibration Final'!$L$1:$L$2000"),'Calculations'!$EM440)),1)=0),VALUE(INDEX(INDIRECT("'WCM Calibration Final'!$L$1:$L$2000"),'Calculations'!$EM440)),""),""))</x:f>
      </x:c>
      <x:c r="BQ440" s="4"/>
      <x:c r="BR440" s="4"/>
      <x:c r="BS440" s="4"/>
      <x:c r="BT440" s="4" t="n">
        <x:f>IF(AND('Calculations'!BM440=1,ISNUMBER('Calculations'!BO440),ISNUMBER('Calculations'!BP440)),1,0)</x:f>
        <x:v>0</x:v>
      </x:c>
      <x:c r="BU440" s="4" t="str">
        <x:f>IF('Calculations'!BM440=0,"",'Calculations'!$EO440)</x:f>
      </x:c>
      <x:c r="BV440" s="4" t="str">
        <x:f>IF('Calculations'!BM440=0,"",IFERROR(IF(OR(INDEX(INDIRECT("'WCM Calibration Final'!$H$1:$H$2000"),'Calculations'!$EM440)="MANAGING DIRECTOR",INDEX(INDIRECT("'WCM Calibration Final'!$H$1:$H$2000"),'Calculations'!$EM440)="DIRECTOR",INDEX(INDIRECT("'WCM Calibration Final'!$H$1:$H$2000"),'Calculations'!$EM440)="SENIOR VICE PRESIDENT",INDEX(INDIRECT("'WCM Calibration Final'!$H$1:$H$2000"),'Calculations'!$EM440)="VICE PRESIDENT",INDEX(INDIRECT("'WCM Calibration Final'!$H$1:$H$2000"),'Calculations'!$EM440)="ASSISTANT VICE PRESIDENT",INDEX(INDIRECT("'WCM Calibration Final'!$H$1:$H$2000"),'Calculations'!$EM440)="OFFICER"),UPPER(INDEX(INDIRECT("'WCM Calibration Final'!$H$1:$H$2000"),'Calculations'!$EM440)),"Other"),"Other"))</x:f>
      </x:c>
      <x:c r="BW440" s="4"/>
      <x:c r="BX440" s="4"/>
      <x:c r="BY440" s="4" t="n">
        <x:f>IF(AND('Calculations'!BM440=1,'Calculations'!BU440&lt;&gt;"",COUNTIF('Calculations'!$BU$12:BU440,'Calculations'!BU440)=1),MAX('Calculations'!$BY$11:BY439)+1,0)</x:f>
        <x:v>0</x:v>
      </x:c>
      <x:c r="BZ440" s="4" t="str">
        <x:f>IF('Dashboard'!$E$67="What",'Calculations'!BO440,'Calculations'!BP440)</x:f>
      </x:c>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t="str">
        <x:f>IF(429&gt;MAX('Calculations'!$HI$13:$HI$512),"",INDEX('Calculations'!$HN$13:$HN$512,MATCH(429,'Calculations'!$HI$13:$HI$512,0)))</x:f>
      </x:c>
      <x:c r="DB440" s="4" t="str">
        <x:f>IF(429&gt;MAX('Calculations'!$HH$13:$HH$512),"",INDEX('Calculations'!$HJ$13:$HJ$512,MATCH(429,'Calculations'!$HH$13:$HH$512,0)))</x:f>
      </x:c>
      <x:c r="DC440" s="4" t="str">
        <x:f>IF(ROW()-11&gt;MAX('Calculations'!$BY$13:$BY$512),"",INDEX('Calculations'!$BU$13:$BU$512,MATCH(ROW()-11,'Calculations'!$BY$13:$BY$512,0)))</x:f>
      </x:c>
      <x:c r="DD440" s="4" t="str">
        <x:f>IF(429&gt;MAX('Calculations'!$IK$13:$IK$512),"",INDEX('Calculations'!$HK$13:$HK$512,MATCH(429,'Calculations'!$IK$13:$IK$512,0)))</x:f>
      </x:c>
      <x:c r="DE440" s="4" t="str">
        <x:f>'Calculations'!DC440</x:f>
      </x:c>
      <x:c r="DF440" s="4" t="str">
        <x:f>IF('Calculations'!DE440="","",COUNTIFS('Calculations'!$BN$13:$BN$512,1,'Calculations'!$BU$13:$BU$512,'Calculations'!DE440))</x:f>
      </x:c>
      <x:c r="DG440" s="4" t="str">
        <x:f>IF('Calculations'!DE440="","",COUNTIFS('Calculations'!$BN$13:$BN$512,1,'Calculations'!$BU$13:$BU$512,'Calculations'!DE440,'Calculations'!$BT$13:$BT$512,1))</x:f>
      </x:c>
      <x:c r="DH440" s="4" t="str">
        <x:f>IF('Calculations'!DE440="","",'Calculations'!DF440-'Calculations'!DG440)</x:f>
      </x:c>
      <x:c r="DI440" s="4" t="str">
        <x:f>IF(OR('Calculations'!DE440="",'Calculations'!DF440=0),"",'Calculations'!DG440/'Calculations'!DF440)</x:f>
      </x:c>
      <x:c r="DJ440" s="4" t="str">
        <x:f>IF('Calculations'!DE440="","",COUNTIFS('Calculations'!$BN$13:$BN$512,1,'Calculations'!$BU$13:$BU$512,'Calculations'!DE440,'Calculations'!$BT$13:$BT$512,1,'Calculations'!$EE$13:$EE$512,"High"))</x:f>
      </x:c>
      <x:c r="DK440" s="4" t="str">
        <x:f>IF('Calculations'!DE440="","",COUNTIFS('Calculations'!$BN$13:$BN$512,1,'Calculations'!$BU$13:$BU$512,'Calculations'!DE440,'Calculations'!$BT$13:$BT$512,1,'Calculations'!$EE$13:$EE$512,"Strong"))</x:f>
      </x:c>
      <x:c r="DL440" s="4" t="str">
        <x:f>IF('Calculations'!DE440="","",COUNTIFS('Calculations'!$BN$13:$BN$512,1,'Calculations'!$BU$13:$BU$512,'Calculations'!DE440,'Calculations'!$BT$13:$BT$512,1,'Calculations'!$EE$13:$EE$512,"Solid"))</x:f>
      </x:c>
      <x:c r="DM440" s="4" t="str">
        <x:f>IF('Calculations'!DE440="","",COUNTIFS('Calculations'!$BN$13:$BN$512,1,'Calculations'!$BU$13:$BU$512,'Calculations'!DE440,'Calculations'!$BT$13:$BT$512,1,'Calculations'!$EE$13:$EE$512,"Low"))</x:f>
      </x:c>
      <x:c r="DN440" s="4" t="str">
        <x:f>IF('Calculations'!DE440="","",COUNTIFS('Calculations'!$BN$13:$BN$512,1,'Calculations'!$BU$13:$BU$512,'Calculations'!DE440,'Calculations'!$EP$13:$EP$512,1))</x:f>
      </x:c>
      <x:c r="DO440" s="4" t="str">
        <x:f>IF(OR('Calculations'!DE440="",'Calculations'!DG440=0),"",('Calculations'!DJ440+'Calculations'!DK440)/'Calculations'!DG440)</x:f>
      </x:c>
      <x:c r="DP440" s="4" t="n">
        <x:f>IF(AND('Calculations'!DE440&lt;&gt;"",'Calculations'!DF440&gt;0),COUNTIF('Calculations'!$DF$12:DF440,"&gt;0"),0)</x:f>
        <x:v>0</x:v>
      </x:c>
      <x:c r="DQ440" s="4" t="str">
        <x:f>IF(429&gt;MAX('Calculations'!$HH$13:$HH$512),"",INDEX('Calculations'!$HF$13:$HF$512,MATCH(429,'Calculations'!$HH$13:$HH$512,0)))</x:f>
      </x:c>
      <x:c r="DR440" s="4" t="str">
        <x:f>IF(429&gt;MAX('Calculations'!$IK$13:$IK$512),"",INDEX('Calculations'!$HE$13:$HE$512,MATCH(429,'Calculations'!$IK$13:$IK$512,0)))</x:f>
      </x:c>
      <x:c r="DS440" s="4"/>
      <x:c r="DT440" s="4"/>
      <x:c r="DU440" s="4"/>
      <x:c r="DV440" s="4"/>
      <x:c r="DW440" s="4"/>
      <x:c r="DX440" s="4"/>
      <x:c r="DY440" s="4"/>
      <x:c r="DZ440" s="4"/>
      <x:c r="EA440" s="4"/>
      <x:c r="EB440" s="4"/>
      <x:c r="EC440" s="4"/>
      <x:c r="ED440" s="4"/>
      <x:c r="EE440" s="4" t="str">
        <x:f>IF('Calculations'!BT440=0,"Not Rated",IF(OR('Calculations'!BO440&gt;=4,'Calculations'!BP440&gt;=4),"Low",IF('Calculations'!BO440+'Calculations'!BP440&lt;=3,"High",IF('Calculations'!BO440+'Calculations'!BP440&lt;=4,"Strong","Solid"))))</x:f>
        <x:v>Not Rated</x:v>
      </x:c>
      <x:c r="EF440" s="4"/>
      <x:c r="EG440" s="4"/>
      <x:c r="EH440" s="4"/>
      <x:c r="EI440" s="4"/>
      <x:c r="EJ440" s="4"/>
      <x:c r="EK440" s="4"/>
      <x:c r="EL440" s="4"/>
      <x:c r="EM440" s="4" t="str">
        <x:f>IF(428&gt;'Calculations'!$JB$2000,"",INDEX('Calculations'!$JA$12:$JA$2000,MATCH(428,'Calculations'!$JB$12:$JB$2000,0)))</x:f>
      </x:c>
      <x:c r="EN440" s="4" t="n">
        <x:f>IF(OR('Calculations'!EM440="",'Calculations'!$AG$8&gt;0,AND('Calculations'!$EF$2&lt;&gt;"All",'Calculations'!HE440='Calculations'!$EF$2),AND('Calculations'!$EF$3&lt;&gt;"All",'Calculations'!HE440='Calculations'!$EF$3)),0,IF(OR('Dashboard'!$B$7="All",'Calculations'!HN440='Dashboard'!$B$7),IF('Calculations'!$EF$2="All",1,IF('Calculations'!HL440&gt;0,0,IF(COUNTIF('Calculations'!HO440:II440,"="&amp;SUBSTITUTE(SUBSTITUTE(SUBSTITUTE('Calculations'!$EF$2,"~","~~"),"*","~*"),"?","~?"))=0,0,IF('Calculations'!$EF$3="All",1,IF(COUNTIF('Calculations'!HO440:II440,"="&amp;SUBSTITUTE(SUBSTITUTE(SUBSTITUTE('Calculations'!$EF$3,"~","~~"),"*","~*"),"?","~?"))&gt;0,1,0))))),0))</x:f>
        <x:v>0</x:v>
      </x:c>
      <x:c r="EO440" s="4" t="str">
        <x:f>IF('Calculations'!IJ440="","",IF('Calculations'!IJ440="!UNRESOLVED","Unresolved hierarchy",IFERROR(INDEX('Calculations'!$HK$13:$HK$512,MATCH('Calculations'!IJ440,'Calculations'!$HE$13:$HE$512,0)),IFERROR(INDEX('Calculations'!$HJ$13:$HJ$512,MATCH('Calculations'!IJ440,'Calculations'!$HF$13:$HF$512,0)),'Calculations'!IJ440))))</x:f>
      </x:c>
      <x:c r="EP440" s="4" t="n">
        <x:f>IF(AND('Calculations'!EM440&lt;&gt;"",'Calculations'!HF440='Calculations'!IJ440),1,0)</x:f>
        <x:v>0</x:v>
      </x:c>
      <x:c r="EQ440" s="4"/>
      <x:c r="ER440" s="4"/>
      <x:c r="ES440" s="4"/>
      <x:c r="ET440" s="4"/>
      <x:c r="EU440" s="4"/>
      <x:c r="EV440" s="4"/>
      <x:c r="EW440" s="4"/>
      <x:c r="EX440" s="4"/>
      <x:c r="EY440" s="4"/>
      <x:c r="EZ440" s="4"/>
      <x:c r="FA440" s="4"/>
      <x:c r="FB440" s="4"/>
      <x:c r="FC440" s="4"/>
      <x:c r="FD440" s="4"/>
      <x:c r="FE440" s="4"/>
      <x:c r="FF440" s="4"/>
      <x:c r="FG440" s="4"/>
      <x:c r="FH440" s="4"/>
      <x:c r="FI440" s="4"/>
      <x:c r="FJ440" s="4"/>
      <x:c r="FK440" s="4"/>
      <x:c r="FL440" s="4"/>
      <x:c r="FM440" s="4"/>
      <x:c r="FN440" s="4"/>
      <x:c r="FO440" s="4"/>
      <x:c r="HE440" t="str">
        <x:f>IF('Calculations'!EM440="","",IF(IFERROR(IF(INDEX(INDIRECT("'WCM Calibration Final'!$A$1:$A$2000"),'Calculations'!$EM440)="","",TRIM(INDEX(INDIRECT("'WCM Calibration Final'!$A$1:$A$2000"),'Calculations'!$EM440)&amp;"")),"")&lt;&gt;"","G:"&amp;IFERROR(TEXT(1*INDEX(INDIRECT("'WCM Calibration Final'!$A$1:$A$2000"),'Calculations'!$EM440),"0"),UPPER(IFERROR(IF(INDEX(INDIRECT("'WCM Calibration Final'!$A$1:$A$2000"),'Calculations'!$EM440)="","",TRIM(INDEX(INDIRECT("'WCM Calibration Final'!$A$1:$A$2000"),'Calculations'!$EM440)&amp;"")),""))),IF(IFERROR(IF(INDEX(INDIRECT("'WCM Calibration Final'!$C$1:$C$2000"),'Calculations'!$EM440)="","",TRIM(INDEX(INDIRECT("'WCM Calibration Final'!$C$1:$C$2000"),'Calculations'!$EM440)&amp;"")),"")&lt;&gt;"","S:"&amp;UPPER(IFERROR(IF(INDEX(INDIRECT("'WCM Calibration Final'!$C$1:$C$2000"),'Calculations'!$EM440)="","",TRIM(INDEX(INDIRECT("'WCM Calibration Final'!$C$1:$C$2000"),'Calculations'!$EM440)&amp;"")),"")),"R:"&amp;'Calculations'!EM440)))</x:f>
      </x:c>
      <x:c r="HF440" t="str">
        <x:f>IF('Calculations'!EM440="","",IF(IFERROR(IF(INDEX(INDIRECT("'WCM Calibration Final'!$D$1:$D$2000"),'Calculations'!$EM440)="","",TRIM(INDEX(INDIRECT("'WCM Calibration Final'!$D$1:$D$2000"),'Calculations'!$EM440)&amp;"")),"")&lt;&gt;"","G:"&amp;IFERROR(TEXT(1*INDEX(INDIRECT("'WCM Calibration Final'!$D$1:$D$2000"),'Calculations'!$EM440),"0"),UPPER(IFERROR(IF(INDEX(INDIRECT("'WCM Calibration Final'!$D$1:$D$2000"),'Calculations'!$EM440)="","",TRIM(INDEX(INDIRECT("'WCM Calibration Final'!$D$1:$D$2000"),'Calculations'!$EM440)&amp;"")),""))),IF(IFERROR(IF(INDEX(INDIRECT("'WCM Calibration Final'!$E$1:$E$2000"),'Calculations'!$EM440)="","",TRIM(INDEX(INDIRECT("'WCM Calibration Final'!$E$1:$E$2000"),'Calculations'!$EM440)&amp;"")),"")="","",IF(COUNTIF('Calculations'!$HG$13:$HG$512,"="&amp;SUBSTITUTE(SUBSTITUTE(SUBSTITUTE(IFERROR(IF(INDEX(INDIRECT("'WCM Calibration Final'!$E$1:$E$2000"),'Calculations'!$EM440)="","",TRIM(INDEX(INDIRECT("'WCM Calibration Final'!$E$1:$E$2000"),'Calculations'!$EM440)&amp;"")),""),"~","~~"),"*","~*"),"?","~?"))=1,INDEX('Calculations'!$HE$13:$HE$512,MATCH(IFERROR(IF(INDEX(INDIRECT("'WCM Calibration Final'!$E$1:$E$2000"),'Calculations'!$EM440)="","",TRIM(INDEX(INDIRECT("'WCM Calibration Final'!$E$1:$E$2000"),'Calculations'!$EM440)&amp;"")),""),'Calculations'!$HG$13:$HG$512,0)),IF(COUNTIF('Calculations'!$HG$13:$HG$512,"="&amp;SUBSTITUTE(SUBSTITUTE(SUBSTITUTE(IFERROR(IF(INDEX(INDIRECT("'WCM Calibration Final'!$E$1:$E$2000"),'Calculations'!$EM440)="","",TRIM(INDEX(INDIRECT("'WCM Calibration Final'!$E$1:$E$2000"),'Calculations'!$EM440)&amp;"")),""),"~","~~"),"*","~*"),"?","~?"))&gt;1,"!AMBIG","X:"&amp;IFERROR(IF(INDEX(INDIRECT("'WCM Calibration Final'!$E$1:$E$2000"),'Calculations'!$EM440)="","",TRIM(INDEX(INDIRECT("'WCM Calibration Final'!$E$1:$E$2000"),'Calculations'!$EM440)&amp;"")),""))))))</x:f>
      </x:c>
      <x:c r="HG440" t="str">
        <x:f>IF('Calculations'!EM440="","",IFERROR(IF(INDEX(INDIRECT("'WCM Calibration Final'!$B$1:$B$2000"),'Calculations'!$EM440)="","",TRIM(INDEX(INDIRECT("'WCM Calibration Final'!$B$1:$B$2000"),'Calculations'!$EM440)&amp;"")),""))</x:f>
      </x:c>
      <x:c r="HH440" t="n">
        <x:f>IF(AND('Calculations'!JC440&gt;0,COUNTIF('Calculations'!$HF$12:HF440,"="&amp;SUBSTITUTE(SUBSTITUTE(SUBSTITUTE('Calculations'!HF440,"~","~~"),"*","~*"),"?","~?"))=1),MAX('Calculations'!$HH$12:HH439)+1,0)</x:f>
        <x:v>0</x:v>
      </x:c>
      <x:c r="HI440" t="n">
        <x:f>IF(AND('Calculations'!HN440&lt;&gt;"",COUNTIF('Calculations'!$HN$12:HN440,"="&amp;SUBSTITUTE(SUBSTITUTE(SUBSTITUTE('Calculations'!HN440,"~","~~"),"*","~*"),"?","~?"))=1),MAX('Calculations'!$HI$12:HI439)+1,0)</x:f>
        <x:v>0</x:v>
      </x:c>
      <x:c r="HJ440" t="str">
        <x:f>IF('Calculations'!HF440="","",IF(COUNTIF('Calculations'!$HE$13:$HE$512,"="&amp;SUBSTITUTE(SUBSTITUTE(SUBSTITUTE('Calculations'!HF440,"~","~~"),"*","~*"),"?","~?"))=1,INDEX('Calculations'!$HK$13:$HK$512,MATCH('Calculations'!HF440,'Calculations'!$HE$13:$HE$512,0)),IFERROR(IF(INDEX(INDIRECT("'WCM Calibration Final'!$E$1:$E$2000"),'Calculations'!$EM440)="","",TRIM(INDEX(INDIRECT("'WCM Calibration Final'!$E$1:$E$2000"),'Calculations'!$EM440)&amp;"")),"")&amp;" ["&amp;'Calculations'!HF440&amp;"]"))</x:f>
      </x:c>
      <x:c r="HK440" t="str">
        <x:f>IF('Calculations'!EM440="","",'Calculations'!HG440&amp;" ["&amp;'Calculations'!HE440&amp;"]")</x:f>
      </x:c>
      <x:c r="HL440" t="n">
        <x:f>IF('Calculations'!EM440="",0,IF(OR('Calculations'!II440&lt;&gt;"",COUNTIF('Calculations'!$HE$13:$HE$512,"="&amp;SUBSTITUTE(SUBSTITUTE(SUBSTITUTE('Calculations'!HE440,"~","~~"),"*","~*"),"?","~?"))&gt;1),1,0))</x:f>
        <x:v>0</x:v>
      </x:c>
      <x:c r="HM440" t="str">
        <x:f>IF('Calculations'!EM440="","",IF('Calculations'!HL440=1,"!UNRESOLVED",IF('Calculations'!IH440&lt;&gt;"",'Calculations'!IH440,IF('Calculations'!IG440&lt;&gt;"",'Calculations'!IG440,IF('Calculations'!IF440&lt;&gt;"",'Calculations'!IF440,IF('Calculations'!IE440&lt;&gt;"",'Calculations'!IE440,IF('Calculations'!ID440&lt;&gt;"",'Calculations'!ID440,IF('Calculations'!IC440&lt;&gt;"",'Calculations'!IC440,IF('Calculations'!IB440&lt;&gt;"",'Calculations'!IB440,IF('Calculations'!IA440&lt;&gt;"",'Calculations'!IA440,IF('Calculations'!HZ440&lt;&gt;"",'Calculations'!HZ440,IF('Calculations'!HY440&lt;&gt;"",'Calculations'!HY440,IF('Calculations'!HX440&lt;&gt;"",'Calculations'!HX440,IF('Calculations'!HW440&lt;&gt;"",'Calculations'!HW440,IF('Calculations'!HV440&lt;&gt;"",'Calculations'!HV440,IF('Calculations'!HU440&lt;&gt;"",'Calculations'!HU440,IF('Calculations'!HT440&lt;&gt;"",'Calculations'!HT440,IF('Calculations'!HS440&lt;&gt;"",'Calculations'!HS440,IF('Calculations'!HR440&lt;&gt;"",'Calculations'!HR440,IF('Calculations'!HQ440&lt;&gt;"",'Calculations'!HQ440,IF('Calculations'!HP440&lt;&gt;"",'Calculations'!HP440,IF('Calculations'!HO440&lt;&gt;"",'Calculations'!HO440,'Calculations'!HE440))))))))))))))))))))))</x:f>
      </x:c>
      <x:c r="HN440" t="str">
        <x:f>IF('Calculations'!EM440="","",IF(IFERROR(IF(INDEX(INDIRECT("'WCM Calibration Final'!$F$1:$F$2000"),'Calculations'!$EM440)="","",TRIM(INDEX(INDIRECT("'WCM Calibration Final'!$F$1:$F$2000"),'Calculations'!$EM440)&amp;"")),"")="","(Blank)",IFERROR(IF(INDEX(INDIRECT("'WCM Calibration Final'!$F$1:$F$2000"),'Calculations'!$EM440)="","",TRIM(INDEX(INDIRECT("'WCM Calibration Final'!$F$1:$F$2000"),'Calculations'!$EM440)&amp;"")),"")))</x:f>
      </x:c>
      <x:c r="HO440" t="str">
        <x:f>'Calculations'!HF440</x:f>
      </x:c>
      <x:c r="HP440" t="str">
        <x:f>IF('Calculations'!HO440="","",IF('Calculations'!HO440="!AMBIG","!AMBIG",IF(COUNTIF('Calculations'!$HE$13:$HE$512,"="&amp;SUBSTITUTE(SUBSTITUTE(SUBSTITUTE('Calculations'!HO440,"~","~~"),"*","~*"),"?","~?"))&gt;1,"!AMBIG",IFERROR(INDEX('Calculations'!$HF$13:$HF$512,MATCH('Calculations'!HO440,'Calculations'!$HE$13:$HE$512,0)),""))))</x:f>
      </x:c>
      <x:c r="HQ440" t="str">
        <x:f>IF('Calculations'!HP440="","",IF('Calculations'!HP440="!AMBIG","!AMBIG",IF(COUNTIF('Calculations'!$HE$13:$HE$512,"="&amp;SUBSTITUTE(SUBSTITUTE(SUBSTITUTE('Calculations'!HP440,"~","~~"),"*","~*"),"?","~?"))&gt;1,"!AMBIG",IFERROR(INDEX('Calculations'!$HF$13:$HF$512,MATCH('Calculations'!HP440,'Calculations'!$HE$13:$HE$512,0)),""))))</x:f>
      </x:c>
      <x:c r="HR440" t="str">
        <x:f>IF('Calculations'!HQ440="","",IF('Calculations'!HQ440="!AMBIG","!AMBIG",IF(COUNTIF('Calculations'!$HE$13:$HE$512,"="&amp;SUBSTITUTE(SUBSTITUTE(SUBSTITUTE('Calculations'!HQ440,"~","~~"),"*","~*"),"?","~?"))&gt;1,"!AMBIG",IFERROR(INDEX('Calculations'!$HF$13:$HF$512,MATCH('Calculations'!HQ440,'Calculations'!$HE$13:$HE$512,0)),""))))</x:f>
      </x:c>
      <x:c r="HS440" t="str">
        <x:f>IF('Calculations'!HR440="","",IF('Calculations'!HR440="!AMBIG","!AMBIG",IF(COUNTIF('Calculations'!$HE$13:$HE$512,"="&amp;SUBSTITUTE(SUBSTITUTE(SUBSTITUTE('Calculations'!HR440,"~","~~"),"*","~*"),"?","~?"))&gt;1,"!AMBIG",IFERROR(INDEX('Calculations'!$HF$13:$HF$512,MATCH('Calculations'!HR440,'Calculations'!$HE$13:$HE$512,0)),""))))</x:f>
      </x:c>
      <x:c r="HT440" t="str">
        <x:f>IF('Calculations'!HS440="","",IF('Calculations'!HS440="!AMBIG","!AMBIG",IF(COUNTIF('Calculations'!$HE$13:$HE$512,"="&amp;SUBSTITUTE(SUBSTITUTE(SUBSTITUTE('Calculations'!HS440,"~","~~"),"*","~*"),"?","~?"))&gt;1,"!AMBIG",IFERROR(INDEX('Calculations'!$HF$13:$HF$512,MATCH('Calculations'!HS440,'Calculations'!$HE$13:$HE$512,0)),""))))</x:f>
      </x:c>
      <x:c r="HU440" t="str">
        <x:f>IF('Calculations'!HT440="","",IF('Calculations'!HT440="!AMBIG","!AMBIG",IF(COUNTIF('Calculations'!$HE$13:$HE$512,"="&amp;SUBSTITUTE(SUBSTITUTE(SUBSTITUTE('Calculations'!HT440,"~","~~"),"*","~*"),"?","~?"))&gt;1,"!AMBIG",IFERROR(INDEX('Calculations'!$HF$13:$HF$512,MATCH('Calculations'!HT440,'Calculations'!$HE$13:$HE$512,0)),""))))</x:f>
      </x:c>
      <x:c r="HV440" t="str">
        <x:f>IF('Calculations'!HU440="","",IF('Calculations'!HU440="!AMBIG","!AMBIG",IF(COUNTIF('Calculations'!$HE$13:$HE$512,"="&amp;SUBSTITUTE(SUBSTITUTE(SUBSTITUTE('Calculations'!HU440,"~","~~"),"*","~*"),"?","~?"))&gt;1,"!AMBIG",IFERROR(INDEX('Calculations'!$HF$13:$HF$512,MATCH('Calculations'!HU440,'Calculations'!$HE$13:$HE$512,0)),""))))</x:f>
      </x:c>
      <x:c r="HW440" t="str">
        <x:f>IF('Calculations'!HV440="","",IF('Calculations'!HV440="!AMBIG","!AMBIG",IF(COUNTIF('Calculations'!$HE$13:$HE$512,"="&amp;SUBSTITUTE(SUBSTITUTE(SUBSTITUTE('Calculations'!HV440,"~","~~"),"*","~*"),"?","~?"))&gt;1,"!AMBIG",IFERROR(INDEX('Calculations'!$HF$13:$HF$512,MATCH('Calculations'!HV440,'Calculations'!$HE$13:$HE$512,0)),""))))</x:f>
      </x:c>
      <x:c r="HX440" t="str">
        <x:f>IF('Calculations'!HW440="","",IF('Calculations'!HW440="!AMBIG","!AMBIG",IF(COUNTIF('Calculations'!$HE$13:$HE$512,"="&amp;SUBSTITUTE(SUBSTITUTE(SUBSTITUTE('Calculations'!HW440,"~","~~"),"*","~*"),"?","~?"))&gt;1,"!AMBIG",IFERROR(INDEX('Calculations'!$HF$13:$HF$512,MATCH('Calculations'!HW440,'Calculations'!$HE$13:$HE$512,0)),""))))</x:f>
      </x:c>
      <x:c r="HY440" t="str">
        <x:f>IF('Calculations'!HX440="","",IF('Calculations'!HX440="!AMBIG","!AMBIG",IF(COUNTIF('Calculations'!$HE$13:$HE$512,"="&amp;SUBSTITUTE(SUBSTITUTE(SUBSTITUTE('Calculations'!HX440,"~","~~"),"*","~*"),"?","~?"))&gt;1,"!AMBIG",IFERROR(INDEX('Calculations'!$HF$13:$HF$512,MATCH('Calculations'!HX440,'Calculations'!$HE$13:$HE$512,0)),""))))</x:f>
      </x:c>
      <x:c r="HZ440" t="str">
        <x:f>IF('Calculations'!HY440="","",IF('Calculations'!HY440="!AMBIG","!AMBIG",IF(COUNTIF('Calculations'!$HE$13:$HE$512,"="&amp;SUBSTITUTE(SUBSTITUTE(SUBSTITUTE('Calculations'!HY440,"~","~~"),"*","~*"),"?","~?"))&gt;1,"!AMBIG",IFERROR(INDEX('Calculations'!$HF$13:$HF$512,MATCH('Calculations'!HY440,'Calculations'!$HE$13:$HE$512,0)),""))))</x:f>
      </x:c>
      <x:c r="IA440" t="str">
        <x:f>IF('Calculations'!HZ440="","",IF('Calculations'!HZ440="!AMBIG","!AMBIG",IF(COUNTIF('Calculations'!$HE$13:$HE$512,"="&amp;SUBSTITUTE(SUBSTITUTE(SUBSTITUTE('Calculations'!HZ440,"~","~~"),"*","~*"),"?","~?"))&gt;1,"!AMBIG",IFERROR(INDEX('Calculations'!$HF$13:$HF$512,MATCH('Calculations'!HZ440,'Calculations'!$HE$13:$HE$512,0)),""))))</x:f>
      </x:c>
      <x:c r="IB440" t="str">
        <x:f>IF('Calculations'!IA440="","",IF('Calculations'!IA440="!AMBIG","!AMBIG",IF(COUNTIF('Calculations'!$HE$13:$HE$512,"="&amp;SUBSTITUTE(SUBSTITUTE(SUBSTITUTE('Calculations'!IA440,"~","~~"),"*","~*"),"?","~?"))&gt;1,"!AMBIG",IFERROR(INDEX('Calculations'!$HF$13:$HF$512,MATCH('Calculations'!IA440,'Calculations'!$HE$13:$HE$512,0)),""))))</x:f>
      </x:c>
      <x:c r="IC440" t="str">
        <x:f>IF('Calculations'!IB440="","",IF('Calculations'!IB440="!AMBIG","!AMBIG",IF(COUNTIF('Calculations'!$HE$13:$HE$512,"="&amp;SUBSTITUTE(SUBSTITUTE(SUBSTITUTE('Calculations'!IB440,"~","~~"),"*","~*"),"?","~?"))&gt;1,"!AMBIG",IFERROR(INDEX('Calculations'!$HF$13:$HF$512,MATCH('Calculations'!IB440,'Calculations'!$HE$13:$HE$512,0)),""))))</x:f>
      </x:c>
      <x:c r="ID440" t="str">
        <x:f>IF('Calculations'!IC440="","",IF('Calculations'!IC440="!AMBIG","!AMBIG",IF(COUNTIF('Calculations'!$HE$13:$HE$512,"="&amp;SUBSTITUTE(SUBSTITUTE(SUBSTITUTE('Calculations'!IC440,"~","~~"),"*","~*"),"?","~?"))&gt;1,"!AMBIG",IFERROR(INDEX('Calculations'!$HF$13:$HF$512,MATCH('Calculations'!IC440,'Calculations'!$HE$13:$HE$512,0)),""))))</x:f>
      </x:c>
      <x:c r="IE440" t="str">
        <x:f>IF('Calculations'!ID440="","",IF('Calculations'!ID440="!AMBIG","!AMBIG",IF(COUNTIF('Calculations'!$HE$13:$HE$512,"="&amp;SUBSTITUTE(SUBSTITUTE(SUBSTITUTE('Calculations'!ID440,"~","~~"),"*","~*"),"?","~?"))&gt;1,"!AMBIG",IFERROR(INDEX('Calculations'!$HF$13:$HF$512,MATCH('Calculations'!ID440,'Calculations'!$HE$13:$HE$512,0)),""))))</x:f>
      </x:c>
      <x:c r="IF440" t="str">
        <x:f>IF('Calculations'!IE440="","",IF('Calculations'!IE440="!AMBIG","!AMBIG",IF(COUNTIF('Calculations'!$HE$13:$HE$512,"="&amp;SUBSTITUTE(SUBSTITUTE(SUBSTITUTE('Calculations'!IE440,"~","~~"),"*","~*"),"?","~?"))&gt;1,"!AMBIG",IFERROR(INDEX('Calculations'!$HF$13:$HF$512,MATCH('Calculations'!IE440,'Calculations'!$HE$13:$HE$512,0)),""))))</x:f>
      </x:c>
      <x:c r="IG440" t="str">
        <x:f>IF('Calculations'!IF440="","",IF('Calculations'!IF440="!AMBIG","!AMBIG",IF(COUNTIF('Calculations'!$HE$13:$HE$512,"="&amp;SUBSTITUTE(SUBSTITUTE(SUBSTITUTE('Calculations'!IF440,"~","~~"),"*","~*"),"?","~?"))&gt;1,"!AMBIG",IFERROR(INDEX('Calculations'!$HF$13:$HF$512,MATCH('Calculations'!IF440,'Calculations'!$HE$13:$HE$512,0)),""))))</x:f>
      </x:c>
      <x:c r="IH440" t="str">
        <x:f>IF('Calculations'!IG440="","",IF('Calculations'!IG440="!AMBIG","!AMBIG",IF(COUNTIF('Calculations'!$HE$13:$HE$512,"="&amp;SUBSTITUTE(SUBSTITUTE(SUBSTITUTE('Calculations'!IG440,"~","~~"),"*","~*"),"?","~?"))&gt;1,"!AMBIG",IFERROR(INDEX('Calculations'!$HF$13:$HF$512,MATCH('Calculations'!IG440,'Calculations'!$HE$13:$HE$512,0)),""))))</x:f>
      </x:c>
      <x:c r="II440" t="str">
        <x:f>IF('Calculations'!IH440="","",IF('Calculations'!IH440="!AMBIG","!AMBIG",IF(COUNTIF('Calculations'!$HE$13:$HE$512,"="&amp;SUBSTITUTE(SUBSTITUTE(SUBSTITUTE('Calculations'!IH440,"~","~~"),"*","~*"),"?","~?"))&gt;1,"!AMBIG",IFERROR(INDEX('Calculations'!$HF$13:$HF$512,MATCH('Calculations'!IH440,'Calculations'!$HE$13:$HE$512,0)),""))))</x:f>
      </x:c>
      <x:c r="IJ440" t="str">
        <x:f>IF('Calculations'!EM440="","",IF('Calculations'!$EF$2="All",'Calculations'!HM440,IF('Calculations'!HL440=1,"",IFERROR(IF(MATCH('Calculations'!$EF$2,'Calculations'!HO440:II440,0)=1,'Calculations'!HE440,INDEX('Calculations'!HO440:II440,1,MATCH('Calculations'!$EF$2,'Calculations'!HO440:II440,0)-1)),""))))</x:f>
      </x:c>
      <x:c r="IK440" t="n">
        <x:f>IF(AND('Calculations'!EM440&lt;&gt;"",'Calculations'!$EF$2&lt;&gt;"All",'Calculations'!HF440='Calculations'!$EF$2,'Calculations'!HL440=0,'Calculations'!JD440&gt;0),MAX('Calculations'!$IK$12:IK439)+1,0)</x:f>
        <x:v>0</x:v>
      </x:c>
      <x:c r="JA440" t="n">
        <x:f>IF(OR(IFERROR(INDIRECT("'WCM Calibration Final'!$A$440")&lt;&gt;"",FALSE),IFERROR(INDIRECT("'WCM Calibration Final'!$B$440")&lt;&gt;"",FALSE),IFERROR(INDIRECT("'WCM Calibration Final'!$C$440")&lt;&gt;"",FALSE)),440,0)</x:f>
        <x:v>0</x:v>
      </x:c>
      <x:c r="JB440" t="n">
        <x:f>'Calculations'!JB439+IF('Calculations'!JA440&gt;0,1,0)</x:f>
        <x:v>0</x:v>
      </x:c>
      <x:c r="JC440" t="n">
        <x:f>IF(OR('Calculations'!HF440="",'Calculations'!HF440="!AMBIG"),0,IF('Dashboard'!$B$7="All",1,COUNTIFS('Calculations'!$HO$13:$HO$512,"="&amp;SUBSTITUTE(SUBSTITUTE(SUBSTITUTE('Calculations'!HF440,"~","~~"),"*","~*"),"?","~?"),'Calculations'!$HN$13:$HN$512,"="&amp;SUBSTITUTE(SUBSTITUTE(SUBSTITUTE('Dashboard'!$B$7,"~","~~"),"*","~*"),"?","~?"))+COUNTIFS('Calculations'!$HP$13:$HP$512,"="&amp;SUBSTITUTE(SUBSTITUTE(SUBSTITUTE('Calculations'!HF440,"~","~~"),"*","~*"),"?","~?"),'Calculations'!$HN$13:$HN$512,"="&amp;SUBSTITUTE(SUBSTITUTE(SUBSTITUTE('Dashboard'!$B$7,"~","~~"),"*","~*"),"?","~?"))+COUNTIFS('Calculations'!$HQ$13:$HQ$512,"="&amp;SUBSTITUTE(SUBSTITUTE(SUBSTITUTE('Calculations'!HF440,"~","~~"),"*","~*"),"?","~?"),'Calculations'!$HN$13:$HN$512,"="&amp;SUBSTITUTE(SUBSTITUTE(SUBSTITUTE('Dashboard'!$B$7,"~","~~"),"*","~*"),"?","~?"))+COUNTIFS('Calculations'!$HR$13:$HR$512,"="&amp;SUBSTITUTE(SUBSTITUTE(SUBSTITUTE('Calculations'!HF440,"~","~~"),"*","~*"),"?","~?"),'Calculations'!$HN$13:$HN$512,"="&amp;SUBSTITUTE(SUBSTITUTE(SUBSTITUTE('Dashboard'!$B$7,"~","~~"),"*","~*"),"?","~?"))+COUNTIFS('Calculations'!$HS$13:$HS$512,"="&amp;SUBSTITUTE(SUBSTITUTE(SUBSTITUTE('Calculations'!HF440,"~","~~"),"*","~*"),"?","~?"),'Calculations'!$HN$13:$HN$512,"="&amp;SUBSTITUTE(SUBSTITUTE(SUBSTITUTE('Dashboard'!$B$7,"~","~~"),"*","~*"),"?","~?"))+COUNTIFS('Calculations'!$HT$13:$HT$512,"="&amp;SUBSTITUTE(SUBSTITUTE(SUBSTITUTE('Calculations'!HF440,"~","~~"),"*","~*"),"?","~?"),'Calculations'!$HN$13:$HN$512,"="&amp;SUBSTITUTE(SUBSTITUTE(SUBSTITUTE('Dashboard'!$B$7,"~","~~"),"*","~*"),"?","~?"))+COUNTIFS('Calculations'!$HU$13:$HU$512,"="&amp;SUBSTITUTE(SUBSTITUTE(SUBSTITUTE('Calculations'!HF440,"~","~~"),"*","~*"),"?","~?"),'Calculations'!$HN$13:$HN$512,"="&amp;SUBSTITUTE(SUBSTITUTE(SUBSTITUTE('Dashboard'!$B$7,"~","~~"),"*","~*"),"?","~?"))+COUNTIFS('Calculations'!$HV$13:$HV$512,"="&amp;SUBSTITUTE(SUBSTITUTE(SUBSTITUTE('Calculations'!HF440,"~","~~"),"*","~*"),"?","~?"),'Calculations'!$HN$13:$HN$512,"="&amp;SUBSTITUTE(SUBSTITUTE(SUBSTITUTE('Dashboard'!$B$7,"~","~~"),"*","~*"),"?","~?"))+COUNTIFS('Calculations'!$HW$13:$HW$512,"="&amp;SUBSTITUTE(SUBSTITUTE(SUBSTITUTE('Calculations'!HF440,"~","~~"),"*","~*"),"?","~?"),'Calculations'!$HN$13:$HN$512,"="&amp;SUBSTITUTE(SUBSTITUTE(SUBSTITUTE('Dashboard'!$B$7,"~","~~"),"*","~*"),"?","~?"))+COUNTIFS('Calculations'!$HX$13:$HX$512,"="&amp;SUBSTITUTE(SUBSTITUTE(SUBSTITUTE('Calculations'!HF440,"~","~~"),"*","~*"),"?","~?"),'Calculations'!$HN$13:$HN$512,"="&amp;SUBSTITUTE(SUBSTITUTE(SUBSTITUTE('Dashboard'!$B$7,"~","~~"),"*","~*"),"?","~?"))+COUNTIFS('Calculations'!$HY$13:$HY$512,"="&amp;SUBSTITUTE(SUBSTITUTE(SUBSTITUTE('Calculations'!HF440,"~","~~"),"*","~*"),"?","~?"),'Calculations'!$HN$13:$HN$512,"="&amp;SUBSTITUTE(SUBSTITUTE(SUBSTITUTE('Dashboard'!$B$7,"~","~~"),"*","~*"),"?","~?"))+COUNTIFS('Calculations'!$HZ$13:$HZ$512,"="&amp;SUBSTITUTE(SUBSTITUTE(SUBSTITUTE('Calculations'!HF440,"~","~~"),"*","~*"),"?","~?"),'Calculations'!$HN$13:$HN$512,"="&amp;SUBSTITUTE(SUBSTITUTE(SUBSTITUTE('Dashboard'!$B$7,"~","~~"),"*","~*"),"?","~?"))+COUNTIFS('Calculations'!$IA$13:$IA$512,"="&amp;SUBSTITUTE(SUBSTITUTE(SUBSTITUTE('Calculations'!HF440,"~","~~"),"*","~*"),"?","~?"),'Calculations'!$HN$13:$HN$512,"="&amp;SUBSTITUTE(SUBSTITUTE(SUBSTITUTE('Dashboard'!$B$7,"~","~~"),"*","~*"),"?","~?"))+COUNTIFS('Calculations'!$IB$13:$IB$512,"="&amp;SUBSTITUTE(SUBSTITUTE(SUBSTITUTE('Calculations'!HF440,"~","~~"),"*","~*"),"?","~?"),'Calculations'!$HN$13:$HN$512,"="&amp;SUBSTITUTE(SUBSTITUTE(SUBSTITUTE('Dashboard'!$B$7,"~","~~"),"*","~*"),"?","~?"))+COUNTIFS('Calculations'!$IC$13:$IC$512,"="&amp;SUBSTITUTE(SUBSTITUTE(SUBSTITUTE('Calculations'!HF440,"~","~~"),"*","~*"),"?","~?"),'Calculations'!$HN$13:$HN$512,"="&amp;SUBSTITUTE(SUBSTITUTE(SUBSTITUTE('Dashboard'!$B$7,"~","~~"),"*","~*"),"?","~?"))+COUNTIFS('Calculations'!$ID$13:$ID$512,"="&amp;SUBSTITUTE(SUBSTITUTE(SUBSTITUTE('Calculations'!HF440,"~","~~"),"*","~*"),"?","~?"),'Calculations'!$HN$13:$HN$512,"="&amp;SUBSTITUTE(SUBSTITUTE(SUBSTITUTE('Dashboard'!$B$7,"~","~~"),"*","~*"),"?","~?"))+COUNTIFS('Calculations'!$IE$13:$IE$512,"="&amp;SUBSTITUTE(SUBSTITUTE(SUBSTITUTE('Calculations'!HF440,"~","~~"),"*","~*"),"?","~?"),'Calculations'!$HN$13:$HN$512,"="&amp;SUBSTITUTE(SUBSTITUTE(SUBSTITUTE('Dashboard'!$B$7,"~","~~"),"*","~*"),"?","~?"))+COUNTIFS('Calculations'!$IF$13:$IF$512,"="&amp;SUBSTITUTE(SUBSTITUTE(SUBSTITUTE('Calculations'!HF440,"~","~~"),"*","~*"),"?","~?"),'Calculations'!$HN$13:$HN$512,"="&amp;SUBSTITUTE(SUBSTITUTE(SUBSTITUTE('Dashboard'!$B$7,"~","~~"),"*","~*"),"?","~?"))+COUNTIFS('Calculations'!$IG$13:$IG$512,"="&amp;SUBSTITUTE(SUBSTITUTE(SUBSTITUTE('Calculations'!HF440,"~","~~"),"*","~*"),"?","~?"),'Calculations'!$HN$13:$HN$512,"="&amp;SUBSTITUTE(SUBSTITUTE(SUBSTITUTE('Dashboard'!$B$7,"~","~~"),"*","~*"),"?","~?"))+COUNTIFS('Calculations'!$IH$13:$IH$512,"="&amp;SUBSTITUTE(SUBSTITUTE(SUBSTITUTE('Calculations'!HF440,"~","~~"),"*","~*"),"?","~?"),'Calculations'!$HN$13:$HN$512,"="&amp;SUBSTITUTE(SUBSTITUTE(SUBSTITUTE('Dashboard'!$B$7,"~","~~"),"*","~*"),"?","~?"))))</x:f>
        <x:v>0</x:v>
      </x:c>
      <x:c r="JD440" t="n">
        <x:f>IF('Calculations'!EM440="",0,IF('Dashboard'!$B$7="All",1,IF('Calculations'!HN440='Dashboard'!$B$7,1,0)+IFERROR(INDEX('Calculations'!$JC$13:$JC$512,MATCH('Calculations'!HE440,'Calculations'!$HF$13:$HF$512,0)),0)))</x:f>
        <x:v>0</x:v>
      </x:c>
      <x:c r="JE440" t="n">
        <x:f>IF(AND('Calculations'!EM440&lt;&gt;"",'Calculations'!$JJ$2&lt;&gt;"All",'Calculations'!$JJ$2&lt;&gt;"",'Calculations'!HF440='Calculations'!$JJ$2,'Calculations'!HL440=0,'Calculations'!JD440&gt;0),MAX('Calculations'!$JE$12:JE439)+1,0)</x:f>
        <x:v>0</x:v>
      </x:c>
      <x:c r="JF440" t="str">
        <x:f>IF('Calculations'!EM440="","",IFERROR(IF(INDEX(INDIRECT("'WCM Calibration Final'!$G$1:$G$2000"),'Calculations'!$EM440)="","",TRIM(INDEX(INDIRECT("'WCM Calibration Final'!$G$1:$G$2000"),'Calculations'!$EM440)&amp;"")),""))</x:f>
      </x:c>
      <x:c r="JQ440" t="n">
        <x:f>IF(OR('Calculations'!BM440=0,NOT('Calculations'!$AG$2),'Calculations'!$AG$8&gt;0),0,IF(OR('Dashboard'!$B$7="All",'Calculations'!HN440='Dashboard'!$B$7),IF('Calculations'!$JJ$2="All",1,IF(AND('Calculations'!HF440='Calculations'!$JJ$2,'Calculations'!HL440=0),1,0)),0))</x:f>
        <x:v>0</x:v>
      </x:c>
    </x:row>
    <x:row r="441">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t="n">
        <x:f>IF('Calculations'!$EM441="",0,IF(OR(IFERROR(INDEX(INDIRECT("'WCM Calibration Final'!$A$1:$A$2000"),'Calculations'!$EM441)&lt;&gt;"",FALSE),IFERROR(INDEX(INDIRECT("'WCM Calibration Final'!$B$1:$B$2000"),'Calculations'!$EM441)&lt;&gt;"",FALSE),IFERROR(INDEX(INDIRECT("'WCM Calibration Final'!$C$1:$C$2000"),'Calculations'!$EM441)&lt;&gt;"",FALSE)),1,0))</x:f>
        <x:v>0</x:v>
      </x:c>
      <x:c r="BN441" s="4" t="n">
        <x:f>IF(AND('Calculations'!BM441=1,'Calculations'!$AG$2,'Calculations'!$EN441=1),1,0)</x:f>
        <x:v>0</x:v>
      </x:c>
      <x:c r="BO441" s="4" t="str">
        <x:f>IF('Calculations'!BM441=0,"",IFERROR(IF(AND(VALUE(INDEX(INDIRECT("'WCM Calibration Final'!$K$1:$K$2000"),'Calculations'!$EM441))&gt;=1,VALUE(INDEX(INDIRECT("'WCM Calibration Final'!$K$1:$K$2000"),'Calculations'!$EM441))&lt;=4,MOD(VALUE(INDEX(INDIRECT("'WCM Calibration Final'!$K$1:$K$2000"),'Calculations'!$EM441)),1)=0),VALUE(INDEX(INDIRECT("'WCM Calibration Final'!$K$1:$K$2000"),'Calculations'!$EM441)),""),""))</x:f>
      </x:c>
      <x:c r="BP441" s="4" t="str">
        <x:f>IF('Calculations'!BM441=0,"",IFERROR(IF(AND(VALUE(INDEX(INDIRECT("'WCM Calibration Final'!$L$1:$L$2000"),'Calculations'!$EM441))&gt;=1,VALUE(INDEX(INDIRECT("'WCM Calibration Final'!$L$1:$L$2000"),'Calculations'!$EM441))&lt;=4,MOD(VALUE(INDEX(INDIRECT("'WCM Calibration Final'!$L$1:$L$2000"),'Calculations'!$EM441)),1)=0),VALUE(INDEX(INDIRECT("'WCM Calibration Final'!$L$1:$L$2000"),'Calculations'!$EM441)),""),""))</x:f>
      </x:c>
      <x:c r="BQ441" s="4"/>
      <x:c r="BR441" s="4"/>
      <x:c r="BS441" s="4"/>
      <x:c r="BT441" s="4" t="n">
        <x:f>IF(AND('Calculations'!BM441=1,ISNUMBER('Calculations'!BO441),ISNUMBER('Calculations'!BP441)),1,0)</x:f>
        <x:v>0</x:v>
      </x:c>
      <x:c r="BU441" s="4" t="str">
        <x:f>IF('Calculations'!BM441=0,"",'Calculations'!$EO441)</x:f>
      </x:c>
      <x:c r="BV441" s="4" t="str">
        <x:f>IF('Calculations'!BM441=0,"",IFERROR(IF(OR(INDEX(INDIRECT("'WCM Calibration Final'!$H$1:$H$2000"),'Calculations'!$EM441)="MANAGING DIRECTOR",INDEX(INDIRECT("'WCM Calibration Final'!$H$1:$H$2000"),'Calculations'!$EM441)="DIRECTOR",INDEX(INDIRECT("'WCM Calibration Final'!$H$1:$H$2000"),'Calculations'!$EM441)="SENIOR VICE PRESIDENT",INDEX(INDIRECT("'WCM Calibration Final'!$H$1:$H$2000"),'Calculations'!$EM441)="VICE PRESIDENT",INDEX(INDIRECT("'WCM Calibration Final'!$H$1:$H$2000"),'Calculations'!$EM441)="ASSISTANT VICE PRESIDENT",INDEX(INDIRECT("'WCM Calibration Final'!$H$1:$H$2000"),'Calculations'!$EM441)="OFFICER"),UPPER(INDEX(INDIRECT("'WCM Calibration Final'!$H$1:$H$2000"),'Calculations'!$EM441)),"Other"),"Other"))</x:f>
      </x:c>
      <x:c r="BW441" s="4"/>
      <x:c r="BX441" s="4"/>
      <x:c r="BY441" s="4" t="n">
        <x:f>IF(AND('Calculations'!BM441=1,'Calculations'!BU441&lt;&gt;"",COUNTIF('Calculations'!$BU$12:BU441,'Calculations'!BU441)=1),MAX('Calculations'!$BY$11:BY440)+1,0)</x:f>
        <x:v>0</x:v>
      </x:c>
      <x:c r="BZ441" s="4" t="str">
        <x:f>IF('Dashboard'!$E$67="What",'Calculations'!BO441,'Calculations'!BP441)</x:f>
      </x:c>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t="str">
        <x:f>IF(430&gt;MAX('Calculations'!$HI$13:$HI$512),"",INDEX('Calculations'!$HN$13:$HN$512,MATCH(430,'Calculations'!$HI$13:$HI$512,0)))</x:f>
      </x:c>
      <x:c r="DB441" s="4" t="str">
        <x:f>IF(430&gt;MAX('Calculations'!$HH$13:$HH$512),"",INDEX('Calculations'!$HJ$13:$HJ$512,MATCH(430,'Calculations'!$HH$13:$HH$512,0)))</x:f>
      </x:c>
      <x:c r="DC441" s="4" t="str">
        <x:f>IF(ROW()-11&gt;MAX('Calculations'!$BY$13:$BY$512),"",INDEX('Calculations'!$BU$13:$BU$512,MATCH(ROW()-11,'Calculations'!$BY$13:$BY$512,0)))</x:f>
      </x:c>
      <x:c r="DD441" s="4" t="str">
        <x:f>IF(430&gt;MAX('Calculations'!$IK$13:$IK$512),"",INDEX('Calculations'!$HK$13:$HK$512,MATCH(430,'Calculations'!$IK$13:$IK$512,0)))</x:f>
      </x:c>
      <x:c r="DE441" s="4" t="str">
        <x:f>'Calculations'!DC441</x:f>
      </x:c>
      <x:c r="DF441" s="4" t="str">
        <x:f>IF('Calculations'!DE441="","",COUNTIFS('Calculations'!$BN$13:$BN$512,1,'Calculations'!$BU$13:$BU$512,'Calculations'!DE441))</x:f>
      </x:c>
      <x:c r="DG441" s="4" t="str">
        <x:f>IF('Calculations'!DE441="","",COUNTIFS('Calculations'!$BN$13:$BN$512,1,'Calculations'!$BU$13:$BU$512,'Calculations'!DE441,'Calculations'!$BT$13:$BT$512,1))</x:f>
      </x:c>
      <x:c r="DH441" s="4" t="str">
        <x:f>IF('Calculations'!DE441="","",'Calculations'!DF441-'Calculations'!DG441)</x:f>
      </x:c>
      <x:c r="DI441" s="4" t="str">
        <x:f>IF(OR('Calculations'!DE441="",'Calculations'!DF441=0),"",'Calculations'!DG441/'Calculations'!DF441)</x:f>
      </x:c>
      <x:c r="DJ441" s="4" t="str">
        <x:f>IF('Calculations'!DE441="","",COUNTIFS('Calculations'!$BN$13:$BN$512,1,'Calculations'!$BU$13:$BU$512,'Calculations'!DE441,'Calculations'!$BT$13:$BT$512,1,'Calculations'!$EE$13:$EE$512,"High"))</x:f>
      </x:c>
      <x:c r="DK441" s="4" t="str">
        <x:f>IF('Calculations'!DE441="","",COUNTIFS('Calculations'!$BN$13:$BN$512,1,'Calculations'!$BU$13:$BU$512,'Calculations'!DE441,'Calculations'!$BT$13:$BT$512,1,'Calculations'!$EE$13:$EE$512,"Strong"))</x:f>
      </x:c>
      <x:c r="DL441" s="4" t="str">
        <x:f>IF('Calculations'!DE441="","",COUNTIFS('Calculations'!$BN$13:$BN$512,1,'Calculations'!$BU$13:$BU$512,'Calculations'!DE441,'Calculations'!$BT$13:$BT$512,1,'Calculations'!$EE$13:$EE$512,"Solid"))</x:f>
      </x:c>
      <x:c r="DM441" s="4" t="str">
        <x:f>IF('Calculations'!DE441="","",COUNTIFS('Calculations'!$BN$13:$BN$512,1,'Calculations'!$BU$13:$BU$512,'Calculations'!DE441,'Calculations'!$BT$13:$BT$512,1,'Calculations'!$EE$13:$EE$512,"Low"))</x:f>
      </x:c>
      <x:c r="DN441" s="4" t="str">
        <x:f>IF('Calculations'!DE441="","",COUNTIFS('Calculations'!$BN$13:$BN$512,1,'Calculations'!$BU$13:$BU$512,'Calculations'!DE441,'Calculations'!$EP$13:$EP$512,1))</x:f>
      </x:c>
      <x:c r="DO441" s="4" t="str">
        <x:f>IF(OR('Calculations'!DE441="",'Calculations'!DG441=0),"",('Calculations'!DJ441+'Calculations'!DK441)/'Calculations'!DG441)</x:f>
      </x:c>
      <x:c r="DP441" s="4" t="n">
        <x:f>IF(AND('Calculations'!DE441&lt;&gt;"",'Calculations'!DF441&gt;0),COUNTIF('Calculations'!$DF$12:DF441,"&gt;0"),0)</x:f>
        <x:v>0</x:v>
      </x:c>
      <x:c r="DQ441" s="4" t="str">
        <x:f>IF(430&gt;MAX('Calculations'!$HH$13:$HH$512),"",INDEX('Calculations'!$HF$13:$HF$512,MATCH(430,'Calculations'!$HH$13:$HH$512,0)))</x:f>
      </x:c>
      <x:c r="DR441" s="4" t="str">
        <x:f>IF(430&gt;MAX('Calculations'!$IK$13:$IK$512),"",INDEX('Calculations'!$HE$13:$HE$512,MATCH(430,'Calculations'!$IK$13:$IK$512,0)))</x:f>
      </x:c>
      <x:c r="DS441" s="4"/>
      <x:c r="DT441" s="4"/>
      <x:c r="DU441" s="4"/>
      <x:c r="DV441" s="4"/>
      <x:c r="DW441" s="4"/>
      <x:c r="DX441" s="4"/>
      <x:c r="DY441" s="4"/>
      <x:c r="DZ441" s="4"/>
      <x:c r="EA441" s="4"/>
      <x:c r="EB441" s="4"/>
      <x:c r="EC441" s="4"/>
      <x:c r="ED441" s="4"/>
      <x:c r="EE441" s="4" t="str">
        <x:f>IF('Calculations'!BT441=0,"Not Rated",IF(OR('Calculations'!BO441&gt;=4,'Calculations'!BP441&gt;=4),"Low",IF('Calculations'!BO441+'Calculations'!BP441&lt;=3,"High",IF('Calculations'!BO441+'Calculations'!BP441&lt;=4,"Strong","Solid"))))</x:f>
        <x:v>Not Rated</x:v>
      </x:c>
      <x:c r="EF441" s="4"/>
      <x:c r="EG441" s="4"/>
      <x:c r="EH441" s="4"/>
      <x:c r="EI441" s="4"/>
      <x:c r="EJ441" s="4"/>
      <x:c r="EK441" s="4"/>
      <x:c r="EL441" s="4"/>
      <x:c r="EM441" s="4" t="str">
        <x:f>IF(429&gt;'Calculations'!$JB$2000,"",INDEX('Calculations'!$JA$12:$JA$2000,MATCH(429,'Calculations'!$JB$12:$JB$2000,0)))</x:f>
      </x:c>
      <x:c r="EN441" s="4" t="n">
        <x:f>IF(OR('Calculations'!EM441="",'Calculations'!$AG$8&gt;0,AND('Calculations'!$EF$2&lt;&gt;"All",'Calculations'!HE441='Calculations'!$EF$2),AND('Calculations'!$EF$3&lt;&gt;"All",'Calculations'!HE441='Calculations'!$EF$3)),0,IF(OR('Dashboard'!$B$7="All",'Calculations'!HN441='Dashboard'!$B$7),IF('Calculations'!$EF$2="All",1,IF('Calculations'!HL441&gt;0,0,IF(COUNTIF('Calculations'!HO441:II441,"="&amp;SUBSTITUTE(SUBSTITUTE(SUBSTITUTE('Calculations'!$EF$2,"~","~~"),"*","~*"),"?","~?"))=0,0,IF('Calculations'!$EF$3="All",1,IF(COUNTIF('Calculations'!HO441:II441,"="&amp;SUBSTITUTE(SUBSTITUTE(SUBSTITUTE('Calculations'!$EF$3,"~","~~"),"*","~*"),"?","~?"))&gt;0,1,0))))),0))</x:f>
        <x:v>0</x:v>
      </x:c>
      <x:c r="EO441" s="4" t="str">
        <x:f>IF('Calculations'!IJ441="","",IF('Calculations'!IJ441="!UNRESOLVED","Unresolved hierarchy",IFERROR(INDEX('Calculations'!$HK$13:$HK$512,MATCH('Calculations'!IJ441,'Calculations'!$HE$13:$HE$512,0)),IFERROR(INDEX('Calculations'!$HJ$13:$HJ$512,MATCH('Calculations'!IJ441,'Calculations'!$HF$13:$HF$512,0)),'Calculations'!IJ441))))</x:f>
      </x:c>
      <x:c r="EP441" s="4" t="n">
        <x:f>IF(AND('Calculations'!EM441&lt;&gt;"",'Calculations'!HF441='Calculations'!IJ441),1,0)</x:f>
        <x:v>0</x:v>
      </x:c>
      <x:c r="EQ441" s="4"/>
      <x:c r="ER441" s="4"/>
      <x:c r="ES441" s="4"/>
      <x:c r="ET441" s="4"/>
      <x:c r="EU441" s="4"/>
      <x:c r="EV441" s="4"/>
      <x:c r="EW441" s="4"/>
      <x:c r="EX441" s="4"/>
      <x:c r="EY441" s="4"/>
      <x:c r="EZ441" s="4"/>
      <x:c r="FA441" s="4"/>
      <x:c r="FB441" s="4"/>
      <x:c r="FC441" s="4"/>
      <x:c r="FD441" s="4"/>
      <x:c r="FE441" s="4"/>
      <x:c r="FF441" s="4"/>
      <x:c r="FG441" s="4"/>
      <x:c r="FH441" s="4"/>
      <x:c r="FI441" s="4"/>
      <x:c r="FJ441" s="4"/>
      <x:c r="FK441" s="4"/>
      <x:c r="FL441" s="4"/>
      <x:c r="FM441" s="4"/>
      <x:c r="FN441" s="4"/>
      <x:c r="FO441" s="4"/>
      <x:c r="HE441" t="str">
        <x:f>IF('Calculations'!EM441="","",IF(IFERROR(IF(INDEX(INDIRECT("'WCM Calibration Final'!$A$1:$A$2000"),'Calculations'!$EM441)="","",TRIM(INDEX(INDIRECT("'WCM Calibration Final'!$A$1:$A$2000"),'Calculations'!$EM441)&amp;"")),"")&lt;&gt;"","G:"&amp;IFERROR(TEXT(1*INDEX(INDIRECT("'WCM Calibration Final'!$A$1:$A$2000"),'Calculations'!$EM441),"0"),UPPER(IFERROR(IF(INDEX(INDIRECT("'WCM Calibration Final'!$A$1:$A$2000"),'Calculations'!$EM441)="","",TRIM(INDEX(INDIRECT("'WCM Calibration Final'!$A$1:$A$2000"),'Calculations'!$EM441)&amp;"")),""))),IF(IFERROR(IF(INDEX(INDIRECT("'WCM Calibration Final'!$C$1:$C$2000"),'Calculations'!$EM441)="","",TRIM(INDEX(INDIRECT("'WCM Calibration Final'!$C$1:$C$2000"),'Calculations'!$EM441)&amp;"")),"")&lt;&gt;"","S:"&amp;UPPER(IFERROR(IF(INDEX(INDIRECT("'WCM Calibration Final'!$C$1:$C$2000"),'Calculations'!$EM441)="","",TRIM(INDEX(INDIRECT("'WCM Calibration Final'!$C$1:$C$2000"),'Calculations'!$EM441)&amp;"")),"")),"R:"&amp;'Calculations'!EM441)))</x:f>
      </x:c>
      <x:c r="HF441" t="str">
        <x:f>IF('Calculations'!EM441="","",IF(IFERROR(IF(INDEX(INDIRECT("'WCM Calibration Final'!$D$1:$D$2000"),'Calculations'!$EM441)="","",TRIM(INDEX(INDIRECT("'WCM Calibration Final'!$D$1:$D$2000"),'Calculations'!$EM441)&amp;"")),"")&lt;&gt;"","G:"&amp;IFERROR(TEXT(1*INDEX(INDIRECT("'WCM Calibration Final'!$D$1:$D$2000"),'Calculations'!$EM441),"0"),UPPER(IFERROR(IF(INDEX(INDIRECT("'WCM Calibration Final'!$D$1:$D$2000"),'Calculations'!$EM441)="","",TRIM(INDEX(INDIRECT("'WCM Calibration Final'!$D$1:$D$2000"),'Calculations'!$EM441)&amp;"")),""))),IF(IFERROR(IF(INDEX(INDIRECT("'WCM Calibration Final'!$E$1:$E$2000"),'Calculations'!$EM441)="","",TRIM(INDEX(INDIRECT("'WCM Calibration Final'!$E$1:$E$2000"),'Calculations'!$EM441)&amp;"")),"")="","",IF(COUNTIF('Calculations'!$HG$13:$HG$512,"="&amp;SUBSTITUTE(SUBSTITUTE(SUBSTITUTE(IFERROR(IF(INDEX(INDIRECT("'WCM Calibration Final'!$E$1:$E$2000"),'Calculations'!$EM441)="","",TRIM(INDEX(INDIRECT("'WCM Calibration Final'!$E$1:$E$2000"),'Calculations'!$EM441)&amp;"")),""),"~","~~"),"*","~*"),"?","~?"))=1,INDEX('Calculations'!$HE$13:$HE$512,MATCH(IFERROR(IF(INDEX(INDIRECT("'WCM Calibration Final'!$E$1:$E$2000"),'Calculations'!$EM441)="","",TRIM(INDEX(INDIRECT("'WCM Calibration Final'!$E$1:$E$2000"),'Calculations'!$EM441)&amp;"")),""),'Calculations'!$HG$13:$HG$512,0)),IF(COUNTIF('Calculations'!$HG$13:$HG$512,"="&amp;SUBSTITUTE(SUBSTITUTE(SUBSTITUTE(IFERROR(IF(INDEX(INDIRECT("'WCM Calibration Final'!$E$1:$E$2000"),'Calculations'!$EM441)="","",TRIM(INDEX(INDIRECT("'WCM Calibration Final'!$E$1:$E$2000"),'Calculations'!$EM441)&amp;"")),""),"~","~~"),"*","~*"),"?","~?"))&gt;1,"!AMBIG","X:"&amp;IFERROR(IF(INDEX(INDIRECT("'WCM Calibration Final'!$E$1:$E$2000"),'Calculations'!$EM441)="","",TRIM(INDEX(INDIRECT("'WCM Calibration Final'!$E$1:$E$2000"),'Calculations'!$EM441)&amp;"")),""))))))</x:f>
      </x:c>
      <x:c r="HG441" t="str">
        <x:f>IF('Calculations'!EM441="","",IFERROR(IF(INDEX(INDIRECT("'WCM Calibration Final'!$B$1:$B$2000"),'Calculations'!$EM441)="","",TRIM(INDEX(INDIRECT("'WCM Calibration Final'!$B$1:$B$2000"),'Calculations'!$EM441)&amp;"")),""))</x:f>
      </x:c>
      <x:c r="HH441" t="n">
        <x:f>IF(AND('Calculations'!JC441&gt;0,COUNTIF('Calculations'!$HF$12:HF441,"="&amp;SUBSTITUTE(SUBSTITUTE(SUBSTITUTE('Calculations'!HF441,"~","~~"),"*","~*"),"?","~?"))=1),MAX('Calculations'!$HH$12:HH440)+1,0)</x:f>
        <x:v>0</x:v>
      </x:c>
      <x:c r="HI441" t="n">
        <x:f>IF(AND('Calculations'!HN441&lt;&gt;"",COUNTIF('Calculations'!$HN$12:HN441,"="&amp;SUBSTITUTE(SUBSTITUTE(SUBSTITUTE('Calculations'!HN441,"~","~~"),"*","~*"),"?","~?"))=1),MAX('Calculations'!$HI$12:HI440)+1,0)</x:f>
        <x:v>0</x:v>
      </x:c>
      <x:c r="HJ441" t="str">
        <x:f>IF('Calculations'!HF441="","",IF(COUNTIF('Calculations'!$HE$13:$HE$512,"="&amp;SUBSTITUTE(SUBSTITUTE(SUBSTITUTE('Calculations'!HF441,"~","~~"),"*","~*"),"?","~?"))=1,INDEX('Calculations'!$HK$13:$HK$512,MATCH('Calculations'!HF441,'Calculations'!$HE$13:$HE$512,0)),IFERROR(IF(INDEX(INDIRECT("'WCM Calibration Final'!$E$1:$E$2000"),'Calculations'!$EM441)="","",TRIM(INDEX(INDIRECT("'WCM Calibration Final'!$E$1:$E$2000"),'Calculations'!$EM441)&amp;"")),"")&amp;" ["&amp;'Calculations'!HF441&amp;"]"))</x:f>
      </x:c>
      <x:c r="HK441" t="str">
        <x:f>IF('Calculations'!EM441="","",'Calculations'!HG441&amp;" ["&amp;'Calculations'!HE441&amp;"]")</x:f>
      </x:c>
      <x:c r="HL441" t="n">
        <x:f>IF('Calculations'!EM441="",0,IF(OR('Calculations'!II441&lt;&gt;"",COUNTIF('Calculations'!$HE$13:$HE$512,"="&amp;SUBSTITUTE(SUBSTITUTE(SUBSTITUTE('Calculations'!HE441,"~","~~"),"*","~*"),"?","~?"))&gt;1),1,0))</x:f>
        <x:v>0</x:v>
      </x:c>
      <x:c r="HM441" t="str">
        <x:f>IF('Calculations'!EM441="","",IF('Calculations'!HL441=1,"!UNRESOLVED",IF('Calculations'!IH441&lt;&gt;"",'Calculations'!IH441,IF('Calculations'!IG441&lt;&gt;"",'Calculations'!IG441,IF('Calculations'!IF441&lt;&gt;"",'Calculations'!IF441,IF('Calculations'!IE441&lt;&gt;"",'Calculations'!IE441,IF('Calculations'!ID441&lt;&gt;"",'Calculations'!ID441,IF('Calculations'!IC441&lt;&gt;"",'Calculations'!IC441,IF('Calculations'!IB441&lt;&gt;"",'Calculations'!IB441,IF('Calculations'!IA441&lt;&gt;"",'Calculations'!IA441,IF('Calculations'!HZ441&lt;&gt;"",'Calculations'!HZ441,IF('Calculations'!HY441&lt;&gt;"",'Calculations'!HY441,IF('Calculations'!HX441&lt;&gt;"",'Calculations'!HX441,IF('Calculations'!HW441&lt;&gt;"",'Calculations'!HW441,IF('Calculations'!HV441&lt;&gt;"",'Calculations'!HV441,IF('Calculations'!HU441&lt;&gt;"",'Calculations'!HU441,IF('Calculations'!HT441&lt;&gt;"",'Calculations'!HT441,IF('Calculations'!HS441&lt;&gt;"",'Calculations'!HS441,IF('Calculations'!HR441&lt;&gt;"",'Calculations'!HR441,IF('Calculations'!HQ441&lt;&gt;"",'Calculations'!HQ441,IF('Calculations'!HP441&lt;&gt;"",'Calculations'!HP441,IF('Calculations'!HO441&lt;&gt;"",'Calculations'!HO441,'Calculations'!HE441))))))))))))))))))))))</x:f>
      </x:c>
      <x:c r="HN441" t="str">
        <x:f>IF('Calculations'!EM441="","",IF(IFERROR(IF(INDEX(INDIRECT("'WCM Calibration Final'!$F$1:$F$2000"),'Calculations'!$EM441)="","",TRIM(INDEX(INDIRECT("'WCM Calibration Final'!$F$1:$F$2000"),'Calculations'!$EM441)&amp;"")),"")="","(Blank)",IFERROR(IF(INDEX(INDIRECT("'WCM Calibration Final'!$F$1:$F$2000"),'Calculations'!$EM441)="","",TRIM(INDEX(INDIRECT("'WCM Calibration Final'!$F$1:$F$2000"),'Calculations'!$EM441)&amp;"")),"")))</x:f>
      </x:c>
      <x:c r="HO441" t="str">
        <x:f>'Calculations'!HF441</x:f>
      </x:c>
      <x:c r="HP441" t="str">
        <x:f>IF('Calculations'!HO441="","",IF('Calculations'!HO441="!AMBIG","!AMBIG",IF(COUNTIF('Calculations'!$HE$13:$HE$512,"="&amp;SUBSTITUTE(SUBSTITUTE(SUBSTITUTE('Calculations'!HO441,"~","~~"),"*","~*"),"?","~?"))&gt;1,"!AMBIG",IFERROR(INDEX('Calculations'!$HF$13:$HF$512,MATCH('Calculations'!HO441,'Calculations'!$HE$13:$HE$512,0)),""))))</x:f>
      </x:c>
      <x:c r="HQ441" t="str">
        <x:f>IF('Calculations'!HP441="","",IF('Calculations'!HP441="!AMBIG","!AMBIG",IF(COUNTIF('Calculations'!$HE$13:$HE$512,"="&amp;SUBSTITUTE(SUBSTITUTE(SUBSTITUTE('Calculations'!HP441,"~","~~"),"*","~*"),"?","~?"))&gt;1,"!AMBIG",IFERROR(INDEX('Calculations'!$HF$13:$HF$512,MATCH('Calculations'!HP441,'Calculations'!$HE$13:$HE$512,0)),""))))</x:f>
      </x:c>
      <x:c r="HR441" t="str">
        <x:f>IF('Calculations'!HQ441="","",IF('Calculations'!HQ441="!AMBIG","!AMBIG",IF(COUNTIF('Calculations'!$HE$13:$HE$512,"="&amp;SUBSTITUTE(SUBSTITUTE(SUBSTITUTE('Calculations'!HQ441,"~","~~"),"*","~*"),"?","~?"))&gt;1,"!AMBIG",IFERROR(INDEX('Calculations'!$HF$13:$HF$512,MATCH('Calculations'!HQ441,'Calculations'!$HE$13:$HE$512,0)),""))))</x:f>
      </x:c>
      <x:c r="HS441" t="str">
        <x:f>IF('Calculations'!HR441="","",IF('Calculations'!HR441="!AMBIG","!AMBIG",IF(COUNTIF('Calculations'!$HE$13:$HE$512,"="&amp;SUBSTITUTE(SUBSTITUTE(SUBSTITUTE('Calculations'!HR441,"~","~~"),"*","~*"),"?","~?"))&gt;1,"!AMBIG",IFERROR(INDEX('Calculations'!$HF$13:$HF$512,MATCH('Calculations'!HR441,'Calculations'!$HE$13:$HE$512,0)),""))))</x:f>
      </x:c>
      <x:c r="HT441" t="str">
        <x:f>IF('Calculations'!HS441="","",IF('Calculations'!HS441="!AMBIG","!AMBIG",IF(COUNTIF('Calculations'!$HE$13:$HE$512,"="&amp;SUBSTITUTE(SUBSTITUTE(SUBSTITUTE('Calculations'!HS441,"~","~~"),"*","~*"),"?","~?"))&gt;1,"!AMBIG",IFERROR(INDEX('Calculations'!$HF$13:$HF$512,MATCH('Calculations'!HS441,'Calculations'!$HE$13:$HE$512,0)),""))))</x:f>
      </x:c>
      <x:c r="HU441" t="str">
        <x:f>IF('Calculations'!HT441="","",IF('Calculations'!HT441="!AMBIG","!AMBIG",IF(COUNTIF('Calculations'!$HE$13:$HE$512,"="&amp;SUBSTITUTE(SUBSTITUTE(SUBSTITUTE('Calculations'!HT441,"~","~~"),"*","~*"),"?","~?"))&gt;1,"!AMBIG",IFERROR(INDEX('Calculations'!$HF$13:$HF$512,MATCH('Calculations'!HT441,'Calculations'!$HE$13:$HE$512,0)),""))))</x:f>
      </x:c>
      <x:c r="HV441" t="str">
        <x:f>IF('Calculations'!HU441="","",IF('Calculations'!HU441="!AMBIG","!AMBIG",IF(COUNTIF('Calculations'!$HE$13:$HE$512,"="&amp;SUBSTITUTE(SUBSTITUTE(SUBSTITUTE('Calculations'!HU441,"~","~~"),"*","~*"),"?","~?"))&gt;1,"!AMBIG",IFERROR(INDEX('Calculations'!$HF$13:$HF$512,MATCH('Calculations'!HU441,'Calculations'!$HE$13:$HE$512,0)),""))))</x:f>
      </x:c>
      <x:c r="HW441" t="str">
        <x:f>IF('Calculations'!HV441="","",IF('Calculations'!HV441="!AMBIG","!AMBIG",IF(COUNTIF('Calculations'!$HE$13:$HE$512,"="&amp;SUBSTITUTE(SUBSTITUTE(SUBSTITUTE('Calculations'!HV441,"~","~~"),"*","~*"),"?","~?"))&gt;1,"!AMBIG",IFERROR(INDEX('Calculations'!$HF$13:$HF$512,MATCH('Calculations'!HV441,'Calculations'!$HE$13:$HE$512,0)),""))))</x:f>
      </x:c>
      <x:c r="HX441" t="str">
        <x:f>IF('Calculations'!HW441="","",IF('Calculations'!HW441="!AMBIG","!AMBIG",IF(COUNTIF('Calculations'!$HE$13:$HE$512,"="&amp;SUBSTITUTE(SUBSTITUTE(SUBSTITUTE('Calculations'!HW441,"~","~~"),"*","~*"),"?","~?"))&gt;1,"!AMBIG",IFERROR(INDEX('Calculations'!$HF$13:$HF$512,MATCH('Calculations'!HW441,'Calculations'!$HE$13:$HE$512,0)),""))))</x:f>
      </x:c>
      <x:c r="HY441" t="str">
        <x:f>IF('Calculations'!HX441="","",IF('Calculations'!HX441="!AMBIG","!AMBIG",IF(COUNTIF('Calculations'!$HE$13:$HE$512,"="&amp;SUBSTITUTE(SUBSTITUTE(SUBSTITUTE('Calculations'!HX441,"~","~~"),"*","~*"),"?","~?"))&gt;1,"!AMBIG",IFERROR(INDEX('Calculations'!$HF$13:$HF$512,MATCH('Calculations'!HX441,'Calculations'!$HE$13:$HE$512,0)),""))))</x:f>
      </x:c>
      <x:c r="HZ441" t="str">
        <x:f>IF('Calculations'!HY441="","",IF('Calculations'!HY441="!AMBIG","!AMBIG",IF(COUNTIF('Calculations'!$HE$13:$HE$512,"="&amp;SUBSTITUTE(SUBSTITUTE(SUBSTITUTE('Calculations'!HY441,"~","~~"),"*","~*"),"?","~?"))&gt;1,"!AMBIG",IFERROR(INDEX('Calculations'!$HF$13:$HF$512,MATCH('Calculations'!HY441,'Calculations'!$HE$13:$HE$512,0)),""))))</x:f>
      </x:c>
      <x:c r="IA441" t="str">
        <x:f>IF('Calculations'!HZ441="","",IF('Calculations'!HZ441="!AMBIG","!AMBIG",IF(COUNTIF('Calculations'!$HE$13:$HE$512,"="&amp;SUBSTITUTE(SUBSTITUTE(SUBSTITUTE('Calculations'!HZ441,"~","~~"),"*","~*"),"?","~?"))&gt;1,"!AMBIG",IFERROR(INDEX('Calculations'!$HF$13:$HF$512,MATCH('Calculations'!HZ441,'Calculations'!$HE$13:$HE$512,0)),""))))</x:f>
      </x:c>
      <x:c r="IB441" t="str">
        <x:f>IF('Calculations'!IA441="","",IF('Calculations'!IA441="!AMBIG","!AMBIG",IF(COUNTIF('Calculations'!$HE$13:$HE$512,"="&amp;SUBSTITUTE(SUBSTITUTE(SUBSTITUTE('Calculations'!IA441,"~","~~"),"*","~*"),"?","~?"))&gt;1,"!AMBIG",IFERROR(INDEX('Calculations'!$HF$13:$HF$512,MATCH('Calculations'!IA441,'Calculations'!$HE$13:$HE$512,0)),""))))</x:f>
      </x:c>
      <x:c r="IC441" t="str">
        <x:f>IF('Calculations'!IB441="","",IF('Calculations'!IB441="!AMBIG","!AMBIG",IF(COUNTIF('Calculations'!$HE$13:$HE$512,"="&amp;SUBSTITUTE(SUBSTITUTE(SUBSTITUTE('Calculations'!IB441,"~","~~"),"*","~*"),"?","~?"))&gt;1,"!AMBIG",IFERROR(INDEX('Calculations'!$HF$13:$HF$512,MATCH('Calculations'!IB441,'Calculations'!$HE$13:$HE$512,0)),""))))</x:f>
      </x:c>
      <x:c r="ID441" t="str">
        <x:f>IF('Calculations'!IC441="","",IF('Calculations'!IC441="!AMBIG","!AMBIG",IF(COUNTIF('Calculations'!$HE$13:$HE$512,"="&amp;SUBSTITUTE(SUBSTITUTE(SUBSTITUTE('Calculations'!IC441,"~","~~"),"*","~*"),"?","~?"))&gt;1,"!AMBIG",IFERROR(INDEX('Calculations'!$HF$13:$HF$512,MATCH('Calculations'!IC441,'Calculations'!$HE$13:$HE$512,0)),""))))</x:f>
      </x:c>
      <x:c r="IE441" t="str">
        <x:f>IF('Calculations'!ID441="","",IF('Calculations'!ID441="!AMBIG","!AMBIG",IF(COUNTIF('Calculations'!$HE$13:$HE$512,"="&amp;SUBSTITUTE(SUBSTITUTE(SUBSTITUTE('Calculations'!ID441,"~","~~"),"*","~*"),"?","~?"))&gt;1,"!AMBIG",IFERROR(INDEX('Calculations'!$HF$13:$HF$512,MATCH('Calculations'!ID441,'Calculations'!$HE$13:$HE$512,0)),""))))</x:f>
      </x:c>
      <x:c r="IF441" t="str">
        <x:f>IF('Calculations'!IE441="","",IF('Calculations'!IE441="!AMBIG","!AMBIG",IF(COUNTIF('Calculations'!$HE$13:$HE$512,"="&amp;SUBSTITUTE(SUBSTITUTE(SUBSTITUTE('Calculations'!IE441,"~","~~"),"*","~*"),"?","~?"))&gt;1,"!AMBIG",IFERROR(INDEX('Calculations'!$HF$13:$HF$512,MATCH('Calculations'!IE441,'Calculations'!$HE$13:$HE$512,0)),""))))</x:f>
      </x:c>
      <x:c r="IG441" t="str">
        <x:f>IF('Calculations'!IF441="","",IF('Calculations'!IF441="!AMBIG","!AMBIG",IF(COUNTIF('Calculations'!$HE$13:$HE$512,"="&amp;SUBSTITUTE(SUBSTITUTE(SUBSTITUTE('Calculations'!IF441,"~","~~"),"*","~*"),"?","~?"))&gt;1,"!AMBIG",IFERROR(INDEX('Calculations'!$HF$13:$HF$512,MATCH('Calculations'!IF441,'Calculations'!$HE$13:$HE$512,0)),""))))</x:f>
      </x:c>
      <x:c r="IH441" t="str">
        <x:f>IF('Calculations'!IG441="","",IF('Calculations'!IG441="!AMBIG","!AMBIG",IF(COUNTIF('Calculations'!$HE$13:$HE$512,"="&amp;SUBSTITUTE(SUBSTITUTE(SUBSTITUTE('Calculations'!IG441,"~","~~"),"*","~*"),"?","~?"))&gt;1,"!AMBIG",IFERROR(INDEX('Calculations'!$HF$13:$HF$512,MATCH('Calculations'!IG441,'Calculations'!$HE$13:$HE$512,0)),""))))</x:f>
      </x:c>
      <x:c r="II441" t="str">
        <x:f>IF('Calculations'!IH441="","",IF('Calculations'!IH441="!AMBIG","!AMBIG",IF(COUNTIF('Calculations'!$HE$13:$HE$512,"="&amp;SUBSTITUTE(SUBSTITUTE(SUBSTITUTE('Calculations'!IH441,"~","~~"),"*","~*"),"?","~?"))&gt;1,"!AMBIG",IFERROR(INDEX('Calculations'!$HF$13:$HF$512,MATCH('Calculations'!IH441,'Calculations'!$HE$13:$HE$512,0)),""))))</x:f>
      </x:c>
      <x:c r="IJ441" t="str">
        <x:f>IF('Calculations'!EM441="","",IF('Calculations'!$EF$2="All",'Calculations'!HM441,IF('Calculations'!HL441=1,"",IFERROR(IF(MATCH('Calculations'!$EF$2,'Calculations'!HO441:II441,0)=1,'Calculations'!HE441,INDEX('Calculations'!HO441:II441,1,MATCH('Calculations'!$EF$2,'Calculations'!HO441:II441,0)-1)),""))))</x:f>
      </x:c>
      <x:c r="IK441" t="n">
        <x:f>IF(AND('Calculations'!EM441&lt;&gt;"",'Calculations'!$EF$2&lt;&gt;"All",'Calculations'!HF441='Calculations'!$EF$2,'Calculations'!HL441=0,'Calculations'!JD441&gt;0),MAX('Calculations'!$IK$12:IK440)+1,0)</x:f>
        <x:v>0</x:v>
      </x:c>
      <x:c r="JA441" t="n">
        <x:f>IF(OR(IFERROR(INDIRECT("'WCM Calibration Final'!$A$441")&lt;&gt;"",FALSE),IFERROR(INDIRECT("'WCM Calibration Final'!$B$441")&lt;&gt;"",FALSE),IFERROR(INDIRECT("'WCM Calibration Final'!$C$441")&lt;&gt;"",FALSE)),441,0)</x:f>
        <x:v>0</x:v>
      </x:c>
      <x:c r="JB441" t="n">
        <x:f>'Calculations'!JB440+IF('Calculations'!JA441&gt;0,1,0)</x:f>
        <x:v>0</x:v>
      </x:c>
      <x:c r="JC441" t="n">
        <x:f>IF(OR('Calculations'!HF441="",'Calculations'!HF441="!AMBIG"),0,IF('Dashboard'!$B$7="All",1,COUNTIFS('Calculations'!$HO$13:$HO$512,"="&amp;SUBSTITUTE(SUBSTITUTE(SUBSTITUTE('Calculations'!HF441,"~","~~"),"*","~*"),"?","~?"),'Calculations'!$HN$13:$HN$512,"="&amp;SUBSTITUTE(SUBSTITUTE(SUBSTITUTE('Dashboard'!$B$7,"~","~~"),"*","~*"),"?","~?"))+COUNTIFS('Calculations'!$HP$13:$HP$512,"="&amp;SUBSTITUTE(SUBSTITUTE(SUBSTITUTE('Calculations'!HF441,"~","~~"),"*","~*"),"?","~?"),'Calculations'!$HN$13:$HN$512,"="&amp;SUBSTITUTE(SUBSTITUTE(SUBSTITUTE('Dashboard'!$B$7,"~","~~"),"*","~*"),"?","~?"))+COUNTIFS('Calculations'!$HQ$13:$HQ$512,"="&amp;SUBSTITUTE(SUBSTITUTE(SUBSTITUTE('Calculations'!HF441,"~","~~"),"*","~*"),"?","~?"),'Calculations'!$HN$13:$HN$512,"="&amp;SUBSTITUTE(SUBSTITUTE(SUBSTITUTE('Dashboard'!$B$7,"~","~~"),"*","~*"),"?","~?"))+COUNTIFS('Calculations'!$HR$13:$HR$512,"="&amp;SUBSTITUTE(SUBSTITUTE(SUBSTITUTE('Calculations'!HF441,"~","~~"),"*","~*"),"?","~?"),'Calculations'!$HN$13:$HN$512,"="&amp;SUBSTITUTE(SUBSTITUTE(SUBSTITUTE('Dashboard'!$B$7,"~","~~"),"*","~*"),"?","~?"))+COUNTIFS('Calculations'!$HS$13:$HS$512,"="&amp;SUBSTITUTE(SUBSTITUTE(SUBSTITUTE('Calculations'!HF441,"~","~~"),"*","~*"),"?","~?"),'Calculations'!$HN$13:$HN$512,"="&amp;SUBSTITUTE(SUBSTITUTE(SUBSTITUTE('Dashboard'!$B$7,"~","~~"),"*","~*"),"?","~?"))+COUNTIFS('Calculations'!$HT$13:$HT$512,"="&amp;SUBSTITUTE(SUBSTITUTE(SUBSTITUTE('Calculations'!HF441,"~","~~"),"*","~*"),"?","~?"),'Calculations'!$HN$13:$HN$512,"="&amp;SUBSTITUTE(SUBSTITUTE(SUBSTITUTE('Dashboard'!$B$7,"~","~~"),"*","~*"),"?","~?"))+COUNTIFS('Calculations'!$HU$13:$HU$512,"="&amp;SUBSTITUTE(SUBSTITUTE(SUBSTITUTE('Calculations'!HF441,"~","~~"),"*","~*"),"?","~?"),'Calculations'!$HN$13:$HN$512,"="&amp;SUBSTITUTE(SUBSTITUTE(SUBSTITUTE('Dashboard'!$B$7,"~","~~"),"*","~*"),"?","~?"))+COUNTIFS('Calculations'!$HV$13:$HV$512,"="&amp;SUBSTITUTE(SUBSTITUTE(SUBSTITUTE('Calculations'!HF441,"~","~~"),"*","~*"),"?","~?"),'Calculations'!$HN$13:$HN$512,"="&amp;SUBSTITUTE(SUBSTITUTE(SUBSTITUTE('Dashboard'!$B$7,"~","~~"),"*","~*"),"?","~?"))+COUNTIFS('Calculations'!$HW$13:$HW$512,"="&amp;SUBSTITUTE(SUBSTITUTE(SUBSTITUTE('Calculations'!HF441,"~","~~"),"*","~*"),"?","~?"),'Calculations'!$HN$13:$HN$512,"="&amp;SUBSTITUTE(SUBSTITUTE(SUBSTITUTE('Dashboard'!$B$7,"~","~~"),"*","~*"),"?","~?"))+COUNTIFS('Calculations'!$HX$13:$HX$512,"="&amp;SUBSTITUTE(SUBSTITUTE(SUBSTITUTE('Calculations'!HF441,"~","~~"),"*","~*"),"?","~?"),'Calculations'!$HN$13:$HN$512,"="&amp;SUBSTITUTE(SUBSTITUTE(SUBSTITUTE('Dashboard'!$B$7,"~","~~"),"*","~*"),"?","~?"))+COUNTIFS('Calculations'!$HY$13:$HY$512,"="&amp;SUBSTITUTE(SUBSTITUTE(SUBSTITUTE('Calculations'!HF441,"~","~~"),"*","~*"),"?","~?"),'Calculations'!$HN$13:$HN$512,"="&amp;SUBSTITUTE(SUBSTITUTE(SUBSTITUTE('Dashboard'!$B$7,"~","~~"),"*","~*"),"?","~?"))+COUNTIFS('Calculations'!$HZ$13:$HZ$512,"="&amp;SUBSTITUTE(SUBSTITUTE(SUBSTITUTE('Calculations'!HF441,"~","~~"),"*","~*"),"?","~?"),'Calculations'!$HN$13:$HN$512,"="&amp;SUBSTITUTE(SUBSTITUTE(SUBSTITUTE('Dashboard'!$B$7,"~","~~"),"*","~*"),"?","~?"))+COUNTIFS('Calculations'!$IA$13:$IA$512,"="&amp;SUBSTITUTE(SUBSTITUTE(SUBSTITUTE('Calculations'!HF441,"~","~~"),"*","~*"),"?","~?"),'Calculations'!$HN$13:$HN$512,"="&amp;SUBSTITUTE(SUBSTITUTE(SUBSTITUTE('Dashboard'!$B$7,"~","~~"),"*","~*"),"?","~?"))+COUNTIFS('Calculations'!$IB$13:$IB$512,"="&amp;SUBSTITUTE(SUBSTITUTE(SUBSTITUTE('Calculations'!HF441,"~","~~"),"*","~*"),"?","~?"),'Calculations'!$HN$13:$HN$512,"="&amp;SUBSTITUTE(SUBSTITUTE(SUBSTITUTE('Dashboard'!$B$7,"~","~~"),"*","~*"),"?","~?"))+COUNTIFS('Calculations'!$IC$13:$IC$512,"="&amp;SUBSTITUTE(SUBSTITUTE(SUBSTITUTE('Calculations'!HF441,"~","~~"),"*","~*"),"?","~?"),'Calculations'!$HN$13:$HN$512,"="&amp;SUBSTITUTE(SUBSTITUTE(SUBSTITUTE('Dashboard'!$B$7,"~","~~"),"*","~*"),"?","~?"))+COUNTIFS('Calculations'!$ID$13:$ID$512,"="&amp;SUBSTITUTE(SUBSTITUTE(SUBSTITUTE('Calculations'!HF441,"~","~~"),"*","~*"),"?","~?"),'Calculations'!$HN$13:$HN$512,"="&amp;SUBSTITUTE(SUBSTITUTE(SUBSTITUTE('Dashboard'!$B$7,"~","~~"),"*","~*"),"?","~?"))+COUNTIFS('Calculations'!$IE$13:$IE$512,"="&amp;SUBSTITUTE(SUBSTITUTE(SUBSTITUTE('Calculations'!HF441,"~","~~"),"*","~*"),"?","~?"),'Calculations'!$HN$13:$HN$512,"="&amp;SUBSTITUTE(SUBSTITUTE(SUBSTITUTE('Dashboard'!$B$7,"~","~~"),"*","~*"),"?","~?"))+COUNTIFS('Calculations'!$IF$13:$IF$512,"="&amp;SUBSTITUTE(SUBSTITUTE(SUBSTITUTE('Calculations'!HF441,"~","~~"),"*","~*"),"?","~?"),'Calculations'!$HN$13:$HN$512,"="&amp;SUBSTITUTE(SUBSTITUTE(SUBSTITUTE('Dashboard'!$B$7,"~","~~"),"*","~*"),"?","~?"))+COUNTIFS('Calculations'!$IG$13:$IG$512,"="&amp;SUBSTITUTE(SUBSTITUTE(SUBSTITUTE('Calculations'!HF441,"~","~~"),"*","~*"),"?","~?"),'Calculations'!$HN$13:$HN$512,"="&amp;SUBSTITUTE(SUBSTITUTE(SUBSTITUTE('Dashboard'!$B$7,"~","~~"),"*","~*"),"?","~?"))+COUNTIFS('Calculations'!$IH$13:$IH$512,"="&amp;SUBSTITUTE(SUBSTITUTE(SUBSTITUTE('Calculations'!HF441,"~","~~"),"*","~*"),"?","~?"),'Calculations'!$HN$13:$HN$512,"="&amp;SUBSTITUTE(SUBSTITUTE(SUBSTITUTE('Dashboard'!$B$7,"~","~~"),"*","~*"),"?","~?"))))</x:f>
        <x:v>0</x:v>
      </x:c>
      <x:c r="JD441" t="n">
        <x:f>IF('Calculations'!EM441="",0,IF('Dashboard'!$B$7="All",1,IF('Calculations'!HN441='Dashboard'!$B$7,1,0)+IFERROR(INDEX('Calculations'!$JC$13:$JC$512,MATCH('Calculations'!HE441,'Calculations'!$HF$13:$HF$512,0)),0)))</x:f>
        <x:v>0</x:v>
      </x:c>
      <x:c r="JE441" t="n">
        <x:f>IF(AND('Calculations'!EM441&lt;&gt;"",'Calculations'!$JJ$2&lt;&gt;"All",'Calculations'!$JJ$2&lt;&gt;"",'Calculations'!HF441='Calculations'!$JJ$2,'Calculations'!HL441=0,'Calculations'!JD441&gt;0),MAX('Calculations'!$JE$12:JE440)+1,0)</x:f>
        <x:v>0</x:v>
      </x:c>
      <x:c r="JF441" t="str">
        <x:f>IF('Calculations'!EM441="","",IFERROR(IF(INDEX(INDIRECT("'WCM Calibration Final'!$G$1:$G$2000"),'Calculations'!$EM441)="","",TRIM(INDEX(INDIRECT("'WCM Calibration Final'!$G$1:$G$2000"),'Calculations'!$EM441)&amp;"")),""))</x:f>
      </x:c>
      <x:c r="JQ441" t="n">
        <x:f>IF(OR('Calculations'!BM441=0,NOT('Calculations'!$AG$2),'Calculations'!$AG$8&gt;0),0,IF(OR('Dashboard'!$B$7="All",'Calculations'!HN441='Dashboard'!$B$7),IF('Calculations'!$JJ$2="All",1,IF(AND('Calculations'!HF441='Calculations'!$JJ$2,'Calculations'!HL441=0),1,0)),0))</x:f>
        <x:v>0</x:v>
      </x:c>
    </x:row>
    <x:row r="442">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t="n">
        <x:f>IF('Calculations'!$EM442="",0,IF(OR(IFERROR(INDEX(INDIRECT("'WCM Calibration Final'!$A$1:$A$2000"),'Calculations'!$EM442)&lt;&gt;"",FALSE),IFERROR(INDEX(INDIRECT("'WCM Calibration Final'!$B$1:$B$2000"),'Calculations'!$EM442)&lt;&gt;"",FALSE),IFERROR(INDEX(INDIRECT("'WCM Calibration Final'!$C$1:$C$2000"),'Calculations'!$EM442)&lt;&gt;"",FALSE)),1,0))</x:f>
        <x:v>0</x:v>
      </x:c>
      <x:c r="BN442" s="4" t="n">
        <x:f>IF(AND('Calculations'!BM442=1,'Calculations'!$AG$2,'Calculations'!$EN442=1),1,0)</x:f>
        <x:v>0</x:v>
      </x:c>
      <x:c r="BO442" s="4" t="str">
        <x:f>IF('Calculations'!BM442=0,"",IFERROR(IF(AND(VALUE(INDEX(INDIRECT("'WCM Calibration Final'!$K$1:$K$2000"),'Calculations'!$EM442))&gt;=1,VALUE(INDEX(INDIRECT("'WCM Calibration Final'!$K$1:$K$2000"),'Calculations'!$EM442))&lt;=4,MOD(VALUE(INDEX(INDIRECT("'WCM Calibration Final'!$K$1:$K$2000"),'Calculations'!$EM442)),1)=0),VALUE(INDEX(INDIRECT("'WCM Calibration Final'!$K$1:$K$2000"),'Calculations'!$EM442)),""),""))</x:f>
      </x:c>
      <x:c r="BP442" s="4" t="str">
        <x:f>IF('Calculations'!BM442=0,"",IFERROR(IF(AND(VALUE(INDEX(INDIRECT("'WCM Calibration Final'!$L$1:$L$2000"),'Calculations'!$EM442))&gt;=1,VALUE(INDEX(INDIRECT("'WCM Calibration Final'!$L$1:$L$2000"),'Calculations'!$EM442))&lt;=4,MOD(VALUE(INDEX(INDIRECT("'WCM Calibration Final'!$L$1:$L$2000"),'Calculations'!$EM442)),1)=0),VALUE(INDEX(INDIRECT("'WCM Calibration Final'!$L$1:$L$2000"),'Calculations'!$EM442)),""),""))</x:f>
      </x:c>
      <x:c r="BQ442" s="4"/>
      <x:c r="BR442" s="4"/>
      <x:c r="BS442" s="4"/>
      <x:c r="BT442" s="4" t="n">
        <x:f>IF(AND('Calculations'!BM442=1,ISNUMBER('Calculations'!BO442),ISNUMBER('Calculations'!BP442)),1,0)</x:f>
        <x:v>0</x:v>
      </x:c>
      <x:c r="BU442" s="4" t="str">
        <x:f>IF('Calculations'!BM442=0,"",'Calculations'!$EO442)</x:f>
      </x:c>
      <x:c r="BV442" s="4" t="str">
        <x:f>IF('Calculations'!BM442=0,"",IFERROR(IF(OR(INDEX(INDIRECT("'WCM Calibration Final'!$H$1:$H$2000"),'Calculations'!$EM442)="MANAGING DIRECTOR",INDEX(INDIRECT("'WCM Calibration Final'!$H$1:$H$2000"),'Calculations'!$EM442)="DIRECTOR",INDEX(INDIRECT("'WCM Calibration Final'!$H$1:$H$2000"),'Calculations'!$EM442)="SENIOR VICE PRESIDENT",INDEX(INDIRECT("'WCM Calibration Final'!$H$1:$H$2000"),'Calculations'!$EM442)="VICE PRESIDENT",INDEX(INDIRECT("'WCM Calibration Final'!$H$1:$H$2000"),'Calculations'!$EM442)="ASSISTANT VICE PRESIDENT",INDEX(INDIRECT("'WCM Calibration Final'!$H$1:$H$2000"),'Calculations'!$EM442)="OFFICER"),UPPER(INDEX(INDIRECT("'WCM Calibration Final'!$H$1:$H$2000"),'Calculations'!$EM442)),"Other"),"Other"))</x:f>
      </x:c>
      <x:c r="BW442" s="4"/>
      <x:c r="BX442" s="4"/>
      <x:c r="BY442" s="4" t="n">
        <x:f>IF(AND('Calculations'!BM442=1,'Calculations'!BU442&lt;&gt;"",COUNTIF('Calculations'!$BU$12:BU442,'Calculations'!BU442)=1),MAX('Calculations'!$BY$11:BY441)+1,0)</x:f>
        <x:v>0</x:v>
      </x:c>
      <x:c r="BZ442" s="4" t="str">
        <x:f>IF('Dashboard'!$E$67="What",'Calculations'!BO442,'Calculations'!BP442)</x:f>
      </x:c>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t="str">
        <x:f>IF(431&gt;MAX('Calculations'!$HI$13:$HI$512),"",INDEX('Calculations'!$HN$13:$HN$512,MATCH(431,'Calculations'!$HI$13:$HI$512,0)))</x:f>
      </x:c>
      <x:c r="DB442" s="4" t="str">
        <x:f>IF(431&gt;MAX('Calculations'!$HH$13:$HH$512),"",INDEX('Calculations'!$HJ$13:$HJ$512,MATCH(431,'Calculations'!$HH$13:$HH$512,0)))</x:f>
      </x:c>
      <x:c r="DC442" s="4" t="str">
        <x:f>IF(ROW()-11&gt;MAX('Calculations'!$BY$13:$BY$512),"",INDEX('Calculations'!$BU$13:$BU$512,MATCH(ROW()-11,'Calculations'!$BY$13:$BY$512,0)))</x:f>
      </x:c>
      <x:c r="DD442" s="4" t="str">
        <x:f>IF(431&gt;MAX('Calculations'!$IK$13:$IK$512),"",INDEX('Calculations'!$HK$13:$HK$512,MATCH(431,'Calculations'!$IK$13:$IK$512,0)))</x:f>
      </x:c>
      <x:c r="DE442" s="4" t="str">
        <x:f>'Calculations'!DC442</x:f>
      </x:c>
      <x:c r="DF442" s="4" t="str">
        <x:f>IF('Calculations'!DE442="","",COUNTIFS('Calculations'!$BN$13:$BN$512,1,'Calculations'!$BU$13:$BU$512,'Calculations'!DE442))</x:f>
      </x:c>
      <x:c r="DG442" s="4" t="str">
        <x:f>IF('Calculations'!DE442="","",COUNTIFS('Calculations'!$BN$13:$BN$512,1,'Calculations'!$BU$13:$BU$512,'Calculations'!DE442,'Calculations'!$BT$13:$BT$512,1))</x:f>
      </x:c>
      <x:c r="DH442" s="4" t="str">
        <x:f>IF('Calculations'!DE442="","",'Calculations'!DF442-'Calculations'!DG442)</x:f>
      </x:c>
      <x:c r="DI442" s="4" t="str">
        <x:f>IF(OR('Calculations'!DE442="",'Calculations'!DF442=0),"",'Calculations'!DG442/'Calculations'!DF442)</x:f>
      </x:c>
      <x:c r="DJ442" s="4" t="str">
        <x:f>IF('Calculations'!DE442="","",COUNTIFS('Calculations'!$BN$13:$BN$512,1,'Calculations'!$BU$13:$BU$512,'Calculations'!DE442,'Calculations'!$BT$13:$BT$512,1,'Calculations'!$EE$13:$EE$512,"High"))</x:f>
      </x:c>
      <x:c r="DK442" s="4" t="str">
        <x:f>IF('Calculations'!DE442="","",COUNTIFS('Calculations'!$BN$13:$BN$512,1,'Calculations'!$BU$13:$BU$512,'Calculations'!DE442,'Calculations'!$BT$13:$BT$512,1,'Calculations'!$EE$13:$EE$512,"Strong"))</x:f>
      </x:c>
      <x:c r="DL442" s="4" t="str">
        <x:f>IF('Calculations'!DE442="","",COUNTIFS('Calculations'!$BN$13:$BN$512,1,'Calculations'!$BU$13:$BU$512,'Calculations'!DE442,'Calculations'!$BT$13:$BT$512,1,'Calculations'!$EE$13:$EE$512,"Solid"))</x:f>
      </x:c>
      <x:c r="DM442" s="4" t="str">
        <x:f>IF('Calculations'!DE442="","",COUNTIFS('Calculations'!$BN$13:$BN$512,1,'Calculations'!$BU$13:$BU$512,'Calculations'!DE442,'Calculations'!$BT$13:$BT$512,1,'Calculations'!$EE$13:$EE$512,"Low"))</x:f>
      </x:c>
      <x:c r="DN442" s="4" t="str">
        <x:f>IF('Calculations'!DE442="","",COUNTIFS('Calculations'!$BN$13:$BN$512,1,'Calculations'!$BU$13:$BU$512,'Calculations'!DE442,'Calculations'!$EP$13:$EP$512,1))</x:f>
      </x:c>
      <x:c r="DO442" s="4" t="str">
        <x:f>IF(OR('Calculations'!DE442="",'Calculations'!DG442=0),"",('Calculations'!DJ442+'Calculations'!DK442)/'Calculations'!DG442)</x:f>
      </x:c>
      <x:c r="DP442" s="4" t="n">
        <x:f>IF(AND('Calculations'!DE442&lt;&gt;"",'Calculations'!DF442&gt;0),COUNTIF('Calculations'!$DF$12:DF442,"&gt;0"),0)</x:f>
        <x:v>0</x:v>
      </x:c>
      <x:c r="DQ442" s="4" t="str">
        <x:f>IF(431&gt;MAX('Calculations'!$HH$13:$HH$512),"",INDEX('Calculations'!$HF$13:$HF$512,MATCH(431,'Calculations'!$HH$13:$HH$512,0)))</x:f>
      </x:c>
      <x:c r="DR442" s="4" t="str">
        <x:f>IF(431&gt;MAX('Calculations'!$IK$13:$IK$512),"",INDEX('Calculations'!$HE$13:$HE$512,MATCH(431,'Calculations'!$IK$13:$IK$512,0)))</x:f>
      </x:c>
      <x:c r="DS442" s="4"/>
      <x:c r="DT442" s="4"/>
      <x:c r="DU442" s="4"/>
      <x:c r="DV442" s="4"/>
      <x:c r="DW442" s="4"/>
      <x:c r="DX442" s="4"/>
      <x:c r="DY442" s="4"/>
      <x:c r="DZ442" s="4"/>
      <x:c r="EA442" s="4"/>
      <x:c r="EB442" s="4"/>
      <x:c r="EC442" s="4"/>
      <x:c r="ED442" s="4"/>
      <x:c r="EE442" s="4" t="str">
        <x:f>IF('Calculations'!BT442=0,"Not Rated",IF(OR('Calculations'!BO442&gt;=4,'Calculations'!BP442&gt;=4),"Low",IF('Calculations'!BO442+'Calculations'!BP442&lt;=3,"High",IF('Calculations'!BO442+'Calculations'!BP442&lt;=4,"Strong","Solid"))))</x:f>
        <x:v>Not Rated</x:v>
      </x:c>
      <x:c r="EF442" s="4"/>
      <x:c r="EG442" s="4"/>
      <x:c r="EH442" s="4"/>
      <x:c r="EI442" s="4"/>
      <x:c r="EJ442" s="4"/>
      <x:c r="EK442" s="4"/>
      <x:c r="EL442" s="4"/>
      <x:c r="EM442" s="4" t="str">
        <x:f>IF(430&gt;'Calculations'!$JB$2000,"",INDEX('Calculations'!$JA$12:$JA$2000,MATCH(430,'Calculations'!$JB$12:$JB$2000,0)))</x:f>
      </x:c>
      <x:c r="EN442" s="4" t="n">
        <x:f>IF(OR('Calculations'!EM442="",'Calculations'!$AG$8&gt;0,AND('Calculations'!$EF$2&lt;&gt;"All",'Calculations'!HE442='Calculations'!$EF$2),AND('Calculations'!$EF$3&lt;&gt;"All",'Calculations'!HE442='Calculations'!$EF$3)),0,IF(OR('Dashboard'!$B$7="All",'Calculations'!HN442='Dashboard'!$B$7),IF('Calculations'!$EF$2="All",1,IF('Calculations'!HL442&gt;0,0,IF(COUNTIF('Calculations'!HO442:II442,"="&amp;SUBSTITUTE(SUBSTITUTE(SUBSTITUTE('Calculations'!$EF$2,"~","~~"),"*","~*"),"?","~?"))=0,0,IF('Calculations'!$EF$3="All",1,IF(COUNTIF('Calculations'!HO442:II442,"="&amp;SUBSTITUTE(SUBSTITUTE(SUBSTITUTE('Calculations'!$EF$3,"~","~~"),"*","~*"),"?","~?"))&gt;0,1,0))))),0))</x:f>
        <x:v>0</x:v>
      </x:c>
      <x:c r="EO442" s="4" t="str">
        <x:f>IF('Calculations'!IJ442="","",IF('Calculations'!IJ442="!UNRESOLVED","Unresolved hierarchy",IFERROR(INDEX('Calculations'!$HK$13:$HK$512,MATCH('Calculations'!IJ442,'Calculations'!$HE$13:$HE$512,0)),IFERROR(INDEX('Calculations'!$HJ$13:$HJ$512,MATCH('Calculations'!IJ442,'Calculations'!$HF$13:$HF$512,0)),'Calculations'!IJ442))))</x:f>
      </x:c>
      <x:c r="EP442" s="4" t="n">
        <x:f>IF(AND('Calculations'!EM442&lt;&gt;"",'Calculations'!HF442='Calculations'!IJ442),1,0)</x:f>
        <x:v>0</x:v>
      </x:c>
      <x:c r="EQ442" s="4"/>
      <x:c r="ER442" s="4"/>
      <x:c r="ES442" s="4"/>
      <x:c r="ET442" s="4"/>
      <x:c r="EU442" s="4"/>
      <x:c r="EV442" s="4"/>
      <x:c r="EW442" s="4"/>
      <x:c r="EX442" s="4"/>
      <x:c r="EY442" s="4"/>
      <x:c r="EZ442" s="4"/>
      <x:c r="FA442" s="4"/>
      <x:c r="FB442" s="4"/>
      <x:c r="FC442" s="4"/>
      <x:c r="FD442" s="4"/>
      <x:c r="FE442" s="4"/>
      <x:c r="FF442" s="4"/>
      <x:c r="FG442" s="4"/>
      <x:c r="FH442" s="4"/>
      <x:c r="FI442" s="4"/>
      <x:c r="FJ442" s="4"/>
      <x:c r="FK442" s="4"/>
      <x:c r="FL442" s="4"/>
      <x:c r="FM442" s="4"/>
      <x:c r="FN442" s="4"/>
      <x:c r="FO442" s="4"/>
      <x:c r="HE442" t="str">
        <x:f>IF('Calculations'!EM442="","",IF(IFERROR(IF(INDEX(INDIRECT("'WCM Calibration Final'!$A$1:$A$2000"),'Calculations'!$EM442)="","",TRIM(INDEX(INDIRECT("'WCM Calibration Final'!$A$1:$A$2000"),'Calculations'!$EM442)&amp;"")),"")&lt;&gt;"","G:"&amp;IFERROR(TEXT(1*INDEX(INDIRECT("'WCM Calibration Final'!$A$1:$A$2000"),'Calculations'!$EM442),"0"),UPPER(IFERROR(IF(INDEX(INDIRECT("'WCM Calibration Final'!$A$1:$A$2000"),'Calculations'!$EM442)="","",TRIM(INDEX(INDIRECT("'WCM Calibration Final'!$A$1:$A$2000"),'Calculations'!$EM442)&amp;"")),""))),IF(IFERROR(IF(INDEX(INDIRECT("'WCM Calibration Final'!$C$1:$C$2000"),'Calculations'!$EM442)="","",TRIM(INDEX(INDIRECT("'WCM Calibration Final'!$C$1:$C$2000"),'Calculations'!$EM442)&amp;"")),"")&lt;&gt;"","S:"&amp;UPPER(IFERROR(IF(INDEX(INDIRECT("'WCM Calibration Final'!$C$1:$C$2000"),'Calculations'!$EM442)="","",TRIM(INDEX(INDIRECT("'WCM Calibration Final'!$C$1:$C$2000"),'Calculations'!$EM442)&amp;"")),"")),"R:"&amp;'Calculations'!EM442)))</x:f>
      </x:c>
      <x:c r="HF442" t="str">
        <x:f>IF('Calculations'!EM442="","",IF(IFERROR(IF(INDEX(INDIRECT("'WCM Calibration Final'!$D$1:$D$2000"),'Calculations'!$EM442)="","",TRIM(INDEX(INDIRECT("'WCM Calibration Final'!$D$1:$D$2000"),'Calculations'!$EM442)&amp;"")),"")&lt;&gt;"","G:"&amp;IFERROR(TEXT(1*INDEX(INDIRECT("'WCM Calibration Final'!$D$1:$D$2000"),'Calculations'!$EM442),"0"),UPPER(IFERROR(IF(INDEX(INDIRECT("'WCM Calibration Final'!$D$1:$D$2000"),'Calculations'!$EM442)="","",TRIM(INDEX(INDIRECT("'WCM Calibration Final'!$D$1:$D$2000"),'Calculations'!$EM442)&amp;"")),""))),IF(IFERROR(IF(INDEX(INDIRECT("'WCM Calibration Final'!$E$1:$E$2000"),'Calculations'!$EM442)="","",TRIM(INDEX(INDIRECT("'WCM Calibration Final'!$E$1:$E$2000"),'Calculations'!$EM442)&amp;"")),"")="","",IF(COUNTIF('Calculations'!$HG$13:$HG$512,"="&amp;SUBSTITUTE(SUBSTITUTE(SUBSTITUTE(IFERROR(IF(INDEX(INDIRECT("'WCM Calibration Final'!$E$1:$E$2000"),'Calculations'!$EM442)="","",TRIM(INDEX(INDIRECT("'WCM Calibration Final'!$E$1:$E$2000"),'Calculations'!$EM442)&amp;"")),""),"~","~~"),"*","~*"),"?","~?"))=1,INDEX('Calculations'!$HE$13:$HE$512,MATCH(IFERROR(IF(INDEX(INDIRECT("'WCM Calibration Final'!$E$1:$E$2000"),'Calculations'!$EM442)="","",TRIM(INDEX(INDIRECT("'WCM Calibration Final'!$E$1:$E$2000"),'Calculations'!$EM442)&amp;"")),""),'Calculations'!$HG$13:$HG$512,0)),IF(COUNTIF('Calculations'!$HG$13:$HG$512,"="&amp;SUBSTITUTE(SUBSTITUTE(SUBSTITUTE(IFERROR(IF(INDEX(INDIRECT("'WCM Calibration Final'!$E$1:$E$2000"),'Calculations'!$EM442)="","",TRIM(INDEX(INDIRECT("'WCM Calibration Final'!$E$1:$E$2000"),'Calculations'!$EM442)&amp;"")),""),"~","~~"),"*","~*"),"?","~?"))&gt;1,"!AMBIG","X:"&amp;IFERROR(IF(INDEX(INDIRECT("'WCM Calibration Final'!$E$1:$E$2000"),'Calculations'!$EM442)="","",TRIM(INDEX(INDIRECT("'WCM Calibration Final'!$E$1:$E$2000"),'Calculations'!$EM442)&amp;"")),""))))))</x:f>
      </x:c>
      <x:c r="HG442" t="str">
        <x:f>IF('Calculations'!EM442="","",IFERROR(IF(INDEX(INDIRECT("'WCM Calibration Final'!$B$1:$B$2000"),'Calculations'!$EM442)="","",TRIM(INDEX(INDIRECT("'WCM Calibration Final'!$B$1:$B$2000"),'Calculations'!$EM442)&amp;"")),""))</x:f>
      </x:c>
      <x:c r="HH442" t="n">
        <x:f>IF(AND('Calculations'!JC442&gt;0,COUNTIF('Calculations'!$HF$12:HF442,"="&amp;SUBSTITUTE(SUBSTITUTE(SUBSTITUTE('Calculations'!HF442,"~","~~"),"*","~*"),"?","~?"))=1),MAX('Calculations'!$HH$12:HH441)+1,0)</x:f>
        <x:v>0</x:v>
      </x:c>
      <x:c r="HI442" t="n">
        <x:f>IF(AND('Calculations'!HN442&lt;&gt;"",COUNTIF('Calculations'!$HN$12:HN442,"="&amp;SUBSTITUTE(SUBSTITUTE(SUBSTITUTE('Calculations'!HN442,"~","~~"),"*","~*"),"?","~?"))=1),MAX('Calculations'!$HI$12:HI441)+1,0)</x:f>
        <x:v>0</x:v>
      </x:c>
      <x:c r="HJ442" t="str">
        <x:f>IF('Calculations'!HF442="","",IF(COUNTIF('Calculations'!$HE$13:$HE$512,"="&amp;SUBSTITUTE(SUBSTITUTE(SUBSTITUTE('Calculations'!HF442,"~","~~"),"*","~*"),"?","~?"))=1,INDEX('Calculations'!$HK$13:$HK$512,MATCH('Calculations'!HF442,'Calculations'!$HE$13:$HE$512,0)),IFERROR(IF(INDEX(INDIRECT("'WCM Calibration Final'!$E$1:$E$2000"),'Calculations'!$EM442)="","",TRIM(INDEX(INDIRECT("'WCM Calibration Final'!$E$1:$E$2000"),'Calculations'!$EM442)&amp;"")),"")&amp;" ["&amp;'Calculations'!HF442&amp;"]"))</x:f>
      </x:c>
      <x:c r="HK442" t="str">
        <x:f>IF('Calculations'!EM442="","",'Calculations'!HG442&amp;" ["&amp;'Calculations'!HE442&amp;"]")</x:f>
      </x:c>
      <x:c r="HL442" t="n">
        <x:f>IF('Calculations'!EM442="",0,IF(OR('Calculations'!II442&lt;&gt;"",COUNTIF('Calculations'!$HE$13:$HE$512,"="&amp;SUBSTITUTE(SUBSTITUTE(SUBSTITUTE('Calculations'!HE442,"~","~~"),"*","~*"),"?","~?"))&gt;1),1,0))</x:f>
        <x:v>0</x:v>
      </x:c>
      <x:c r="HM442" t="str">
        <x:f>IF('Calculations'!EM442="","",IF('Calculations'!HL442=1,"!UNRESOLVED",IF('Calculations'!IH442&lt;&gt;"",'Calculations'!IH442,IF('Calculations'!IG442&lt;&gt;"",'Calculations'!IG442,IF('Calculations'!IF442&lt;&gt;"",'Calculations'!IF442,IF('Calculations'!IE442&lt;&gt;"",'Calculations'!IE442,IF('Calculations'!ID442&lt;&gt;"",'Calculations'!ID442,IF('Calculations'!IC442&lt;&gt;"",'Calculations'!IC442,IF('Calculations'!IB442&lt;&gt;"",'Calculations'!IB442,IF('Calculations'!IA442&lt;&gt;"",'Calculations'!IA442,IF('Calculations'!HZ442&lt;&gt;"",'Calculations'!HZ442,IF('Calculations'!HY442&lt;&gt;"",'Calculations'!HY442,IF('Calculations'!HX442&lt;&gt;"",'Calculations'!HX442,IF('Calculations'!HW442&lt;&gt;"",'Calculations'!HW442,IF('Calculations'!HV442&lt;&gt;"",'Calculations'!HV442,IF('Calculations'!HU442&lt;&gt;"",'Calculations'!HU442,IF('Calculations'!HT442&lt;&gt;"",'Calculations'!HT442,IF('Calculations'!HS442&lt;&gt;"",'Calculations'!HS442,IF('Calculations'!HR442&lt;&gt;"",'Calculations'!HR442,IF('Calculations'!HQ442&lt;&gt;"",'Calculations'!HQ442,IF('Calculations'!HP442&lt;&gt;"",'Calculations'!HP442,IF('Calculations'!HO442&lt;&gt;"",'Calculations'!HO442,'Calculations'!HE442))))))))))))))))))))))</x:f>
      </x:c>
      <x:c r="HN442" t="str">
        <x:f>IF('Calculations'!EM442="","",IF(IFERROR(IF(INDEX(INDIRECT("'WCM Calibration Final'!$F$1:$F$2000"),'Calculations'!$EM442)="","",TRIM(INDEX(INDIRECT("'WCM Calibration Final'!$F$1:$F$2000"),'Calculations'!$EM442)&amp;"")),"")="","(Blank)",IFERROR(IF(INDEX(INDIRECT("'WCM Calibration Final'!$F$1:$F$2000"),'Calculations'!$EM442)="","",TRIM(INDEX(INDIRECT("'WCM Calibration Final'!$F$1:$F$2000"),'Calculations'!$EM442)&amp;"")),"")))</x:f>
      </x:c>
      <x:c r="HO442" t="str">
        <x:f>'Calculations'!HF442</x:f>
      </x:c>
      <x:c r="HP442" t="str">
        <x:f>IF('Calculations'!HO442="","",IF('Calculations'!HO442="!AMBIG","!AMBIG",IF(COUNTIF('Calculations'!$HE$13:$HE$512,"="&amp;SUBSTITUTE(SUBSTITUTE(SUBSTITUTE('Calculations'!HO442,"~","~~"),"*","~*"),"?","~?"))&gt;1,"!AMBIG",IFERROR(INDEX('Calculations'!$HF$13:$HF$512,MATCH('Calculations'!HO442,'Calculations'!$HE$13:$HE$512,0)),""))))</x:f>
      </x:c>
      <x:c r="HQ442" t="str">
        <x:f>IF('Calculations'!HP442="","",IF('Calculations'!HP442="!AMBIG","!AMBIG",IF(COUNTIF('Calculations'!$HE$13:$HE$512,"="&amp;SUBSTITUTE(SUBSTITUTE(SUBSTITUTE('Calculations'!HP442,"~","~~"),"*","~*"),"?","~?"))&gt;1,"!AMBIG",IFERROR(INDEX('Calculations'!$HF$13:$HF$512,MATCH('Calculations'!HP442,'Calculations'!$HE$13:$HE$512,0)),""))))</x:f>
      </x:c>
      <x:c r="HR442" t="str">
        <x:f>IF('Calculations'!HQ442="","",IF('Calculations'!HQ442="!AMBIG","!AMBIG",IF(COUNTIF('Calculations'!$HE$13:$HE$512,"="&amp;SUBSTITUTE(SUBSTITUTE(SUBSTITUTE('Calculations'!HQ442,"~","~~"),"*","~*"),"?","~?"))&gt;1,"!AMBIG",IFERROR(INDEX('Calculations'!$HF$13:$HF$512,MATCH('Calculations'!HQ442,'Calculations'!$HE$13:$HE$512,0)),""))))</x:f>
      </x:c>
      <x:c r="HS442" t="str">
        <x:f>IF('Calculations'!HR442="","",IF('Calculations'!HR442="!AMBIG","!AMBIG",IF(COUNTIF('Calculations'!$HE$13:$HE$512,"="&amp;SUBSTITUTE(SUBSTITUTE(SUBSTITUTE('Calculations'!HR442,"~","~~"),"*","~*"),"?","~?"))&gt;1,"!AMBIG",IFERROR(INDEX('Calculations'!$HF$13:$HF$512,MATCH('Calculations'!HR442,'Calculations'!$HE$13:$HE$512,0)),""))))</x:f>
      </x:c>
      <x:c r="HT442" t="str">
        <x:f>IF('Calculations'!HS442="","",IF('Calculations'!HS442="!AMBIG","!AMBIG",IF(COUNTIF('Calculations'!$HE$13:$HE$512,"="&amp;SUBSTITUTE(SUBSTITUTE(SUBSTITUTE('Calculations'!HS442,"~","~~"),"*","~*"),"?","~?"))&gt;1,"!AMBIG",IFERROR(INDEX('Calculations'!$HF$13:$HF$512,MATCH('Calculations'!HS442,'Calculations'!$HE$13:$HE$512,0)),""))))</x:f>
      </x:c>
      <x:c r="HU442" t="str">
        <x:f>IF('Calculations'!HT442="","",IF('Calculations'!HT442="!AMBIG","!AMBIG",IF(COUNTIF('Calculations'!$HE$13:$HE$512,"="&amp;SUBSTITUTE(SUBSTITUTE(SUBSTITUTE('Calculations'!HT442,"~","~~"),"*","~*"),"?","~?"))&gt;1,"!AMBIG",IFERROR(INDEX('Calculations'!$HF$13:$HF$512,MATCH('Calculations'!HT442,'Calculations'!$HE$13:$HE$512,0)),""))))</x:f>
      </x:c>
      <x:c r="HV442" t="str">
        <x:f>IF('Calculations'!HU442="","",IF('Calculations'!HU442="!AMBIG","!AMBIG",IF(COUNTIF('Calculations'!$HE$13:$HE$512,"="&amp;SUBSTITUTE(SUBSTITUTE(SUBSTITUTE('Calculations'!HU442,"~","~~"),"*","~*"),"?","~?"))&gt;1,"!AMBIG",IFERROR(INDEX('Calculations'!$HF$13:$HF$512,MATCH('Calculations'!HU442,'Calculations'!$HE$13:$HE$512,0)),""))))</x:f>
      </x:c>
      <x:c r="HW442" t="str">
        <x:f>IF('Calculations'!HV442="","",IF('Calculations'!HV442="!AMBIG","!AMBIG",IF(COUNTIF('Calculations'!$HE$13:$HE$512,"="&amp;SUBSTITUTE(SUBSTITUTE(SUBSTITUTE('Calculations'!HV442,"~","~~"),"*","~*"),"?","~?"))&gt;1,"!AMBIG",IFERROR(INDEX('Calculations'!$HF$13:$HF$512,MATCH('Calculations'!HV442,'Calculations'!$HE$13:$HE$512,0)),""))))</x:f>
      </x:c>
      <x:c r="HX442" t="str">
        <x:f>IF('Calculations'!HW442="","",IF('Calculations'!HW442="!AMBIG","!AMBIG",IF(COUNTIF('Calculations'!$HE$13:$HE$512,"="&amp;SUBSTITUTE(SUBSTITUTE(SUBSTITUTE('Calculations'!HW442,"~","~~"),"*","~*"),"?","~?"))&gt;1,"!AMBIG",IFERROR(INDEX('Calculations'!$HF$13:$HF$512,MATCH('Calculations'!HW442,'Calculations'!$HE$13:$HE$512,0)),""))))</x:f>
      </x:c>
      <x:c r="HY442" t="str">
        <x:f>IF('Calculations'!HX442="","",IF('Calculations'!HX442="!AMBIG","!AMBIG",IF(COUNTIF('Calculations'!$HE$13:$HE$512,"="&amp;SUBSTITUTE(SUBSTITUTE(SUBSTITUTE('Calculations'!HX442,"~","~~"),"*","~*"),"?","~?"))&gt;1,"!AMBIG",IFERROR(INDEX('Calculations'!$HF$13:$HF$512,MATCH('Calculations'!HX442,'Calculations'!$HE$13:$HE$512,0)),""))))</x:f>
      </x:c>
      <x:c r="HZ442" t="str">
        <x:f>IF('Calculations'!HY442="","",IF('Calculations'!HY442="!AMBIG","!AMBIG",IF(COUNTIF('Calculations'!$HE$13:$HE$512,"="&amp;SUBSTITUTE(SUBSTITUTE(SUBSTITUTE('Calculations'!HY442,"~","~~"),"*","~*"),"?","~?"))&gt;1,"!AMBIG",IFERROR(INDEX('Calculations'!$HF$13:$HF$512,MATCH('Calculations'!HY442,'Calculations'!$HE$13:$HE$512,0)),""))))</x:f>
      </x:c>
      <x:c r="IA442" t="str">
        <x:f>IF('Calculations'!HZ442="","",IF('Calculations'!HZ442="!AMBIG","!AMBIG",IF(COUNTIF('Calculations'!$HE$13:$HE$512,"="&amp;SUBSTITUTE(SUBSTITUTE(SUBSTITUTE('Calculations'!HZ442,"~","~~"),"*","~*"),"?","~?"))&gt;1,"!AMBIG",IFERROR(INDEX('Calculations'!$HF$13:$HF$512,MATCH('Calculations'!HZ442,'Calculations'!$HE$13:$HE$512,0)),""))))</x:f>
      </x:c>
      <x:c r="IB442" t="str">
        <x:f>IF('Calculations'!IA442="","",IF('Calculations'!IA442="!AMBIG","!AMBIG",IF(COUNTIF('Calculations'!$HE$13:$HE$512,"="&amp;SUBSTITUTE(SUBSTITUTE(SUBSTITUTE('Calculations'!IA442,"~","~~"),"*","~*"),"?","~?"))&gt;1,"!AMBIG",IFERROR(INDEX('Calculations'!$HF$13:$HF$512,MATCH('Calculations'!IA442,'Calculations'!$HE$13:$HE$512,0)),""))))</x:f>
      </x:c>
      <x:c r="IC442" t="str">
        <x:f>IF('Calculations'!IB442="","",IF('Calculations'!IB442="!AMBIG","!AMBIG",IF(COUNTIF('Calculations'!$HE$13:$HE$512,"="&amp;SUBSTITUTE(SUBSTITUTE(SUBSTITUTE('Calculations'!IB442,"~","~~"),"*","~*"),"?","~?"))&gt;1,"!AMBIG",IFERROR(INDEX('Calculations'!$HF$13:$HF$512,MATCH('Calculations'!IB442,'Calculations'!$HE$13:$HE$512,0)),""))))</x:f>
      </x:c>
      <x:c r="ID442" t="str">
        <x:f>IF('Calculations'!IC442="","",IF('Calculations'!IC442="!AMBIG","!AMBIG",IF(COUNTIF('Calculations'!$HE$13:$HE$512,"="&amp;SUBSTITUTE(SUBSTITUTE(SUBSTITUTE('Calculations'!IC442,"~","~~"),"*","~*"),"?","~?"))&gt;1,"!AMBIG",IFERROR(INDEX('Calculations'!$HF$13:$HF$512,MATCH('Calculations'!IC442,'Calculations'!$HE$13:$HE$512,0)),""))))</x:f>
      </x:c>
      <x:c r="IE442" t="str">
        <x:f>IF('Calculations'!ID442="","",IF('Calculations'!ID442="!AMBIG","!AMBIG",IF(COUNTIF('Calculations'!$HE$13:$HE$512,"="&amp;SUBSTITUTE(SUBSTITUTE(SUBSTITUTE('Calculations'!ID442,"~","~~"),"*","~*"),"?","~?"))&gt;1,"!AMBIG",IFERROR(INDEX('Calculations'!$HF$13:$HF$512,MATCH('Calculations'!ID442,'Calculations'!$HE$13:$HE$512,0)),""))))</x:f>
      </x:c>
      <x:c r="IF442" t="str">
        <x:f>IF('Calculations'!IE442="","",IF('Calculations'!IE442="!AMBIG","!AMBIG",IF(COUNTIF('Calculations'!$HE$13:$HE$512,"="&amp;SUBSTITUTE(SUBSTITUTE(SUBSTITUTE('Calculations'!IE442,"~","~~"),"*","~*"),"?","~?"))&gt;1,"!AMBIG",IFERROR(INDEX('Calculations'!$HF$13:$HF$512,MATCH('Calculations'!IE442,'Calculations'!$HE$13:$HE$512,0)),""))))</x:f>
      </x:c>
      <x:c r="IG442" t="str">
        <x:f>IF('Calculations'!IF442="","",IF('Calculations'!IF442="!AMBIG","!AMBIG",IF(COUNTIF('Calculations'!$HE$13:$HE$512,"="&amp;SUBSTITUTE(SUBSTITUTE(SUBSTITUTE('Calculations'!IF442,"~","~~"),"*","~*"),"?","~?"))&gt;1,"!AMBIG",IFERROR(INDEX('Calculations'!$HF$13:$HF$512,MATCH('Calculations'!IF442,'Calculations'!$HE$13:$HE$512,0)),""))))</x:f>
      </x:c>
      <x:c r="IH442" t="str">
        <x:f>IF('Calculations'!IG442="","",IF('Calculations'!IG442="!AMBIG","!AMBIG",IF(COUNTIF('Calculations'!$HE$13:$HE$512,"="&amp;SUBSTITUTE(SUBSTITUTE(SUBSTITUTE('Calculations'!IG442,"~","~~"),"*","~*"),"?","~?"))&gt;1,"!AMBIG",IFERROR(INDEX('Calculations'!$HF$13:$HF$512,MATCH('Calculations'!IG442,'Calculations'!$HE$13:$HE$512,0)),""))))</x:f>
      </x:c>
      <x:c r="II442" t="str">
        <x:f>IF('Calculations'!IH442="","",IF('Calculations'!IH442="!AMBIG","!AMBIG",IF(COUNTIF('Calculations'!$HE$13:$HE$512,"="&amp;SUBSTITUTE(SUBSTITUTE(SUBSTITUTE('Calculations'!IH442,"~","~~"),"*","~*"),"?","~?"))&gt;1,"!AMBIG",IFERROR(INDEX('Calculations'!$HF$13:$HF$512,MATCH('Calculations'!IH442,'Calculations'!$HE$13:$HE$512,0)),""))))</x:f>
      </x:c>
      <x:c r="IJ442" t="str">
        <x:f>IF('Calculations'!EM442="","",IF('Calculations'!$EF$2="All",'Calculations'!HM442,IF('Calculations'!HL442=1,"",IFERROR(IF(MATCH('Calculations'!$EF$2,'Calculations'!HO442:II442,0)=1,'Calculations'!HE442,INDEX('Calculations'!HO442:II442,1,MATCH('Calculations'!$EF$2,'Calculations'!HO442:II442,0)-1)),""))))</x:f>
      </x:c>
      <x:c r="IK442" t="n">
        <x:f>IF(AND('Calculations'!EM442&lt;&gt;"",'Calculations'!$EF$2&lt;&gt;"All",'Calculations'!HF442='Calculations'!$EF$2,'Calculations'!HL442=0,'Calculations'!JD442&gt;0),MAX('Calculations'!$IK$12:IK441)+1,0)</x:f>
        <x:v>0</x:v>
      </x:c>
      <x:c r="JA442" t="n">
        <x:f>IF(OR(IFERROR(INDIRECT("'WCM Calibration Final'!$A$442")&lt;&gt;"",FALSE),IFERROR(INDIRECT("'WCM Calibration Final'!$B$442")&lt;&gt;"",FALSE),IFERROR(INDIRECT("'WCM Calibration Final'!$C$442")&lt;&gt;"",FALSE)),442,0)</x:f>
        <x:v>0</x:v>
      </x:c>
      <x:c r="JB442" t="n">
        <x:f>'Calculations'!JB441+IF('Calculations'!JA442&gt;0,1,0)</x:f>
        <x:v>0</x:v>
      </x:c>
      <x:c r="JC442" t="n">
        <x:f>IF(OR('Calculations'!HF442="",'Calculations'!HF442="!AMBIG"),0,IF('Dashboard'!$B$7="All",1,COUNTIFS('Calculations'!$HO$13:$HO$512,"="&amp;SUBSTITUTE(SUBSTITUTE(SUBSTITUTE('Calculations'!HF442,"~","~~"),"*","~*"),"?","~?"),'Calculations'!$HN$13:$HN$512,"="&amp;SUBSTITUTE(SUBSTITUTE(SUBSTITUTE('Dashboard'!$B$7,"~","~~"),"*","~*"),"?","~?"))+COUNTIFS('Calculations'!$HP$13:$HP$512,"="&amp;SUBSTITUTE(SUBSTITUTE(SUBSTITUTE('Calculations'!HF442,"~","~~"),"*","~*"),"?","~?"),'Calculations'!$HN$13:$HN$512,"="&amp;SUBSTITUTE(SUBSTITUTE(SUBSTITUTE('Dashboard'!$B$7,"~","~~"),"*","~*"),"?","~?"))+COUNTIFS('Calculations'!$HQ$13:$HQ$512,"="&amp;SUBSTITUTE(SUBSTITUTE(SUBSTITUTE('Calculations'!HF442,"~","~~"),"*","~*"),"?","~?"),'Calculations'!$HN$13:$HN$512,"="&amp;SUBSTITUTE(SUBSTITUTE(SUBSTITUTE('Dashboard'!$B$7,"~","~~"),"*","~*"),"?","~?"))+COUNTIFS('Calculations'!$HR$13:$HR$512,"="&amp;SUBSTITUTE(SUBSTITUTE(SUBSTITUTE('Calculations'!HF442,"~","~~"),"*","~*"),"?","~?"),'Calculations'!$HN$13:$HN$512,"="&amp;SUBSTITUTE(SUBSTITUTE(SUBSTITUTE('Dashboard'!$B$7,"~","~~"),"*","~*"),"?","~?"))+COUNTIFS('Calculations'!$HS$13:$HS$512,"="&amp;SUBSTITUTE(SUBSTITUTE(SUBSTITUTE('Calculations'!HF442,"~","~~"),"*","~*"),"?","~?"),'Calculations'!$HN$13:$HN$512,"="&amp;SUBSTITUTE(SUBSTITUTE(SUBSTITUTE('Dashboard'!$B$7,"~","~~"),"*","~*"),"?","~?"))+COUNTIFS('Calculations'!$HT$13:$HT$512,"="&amp;SUBSTITUTE(SUBSTITUTE(SUBSTITUTE('Calculations'!HF442,"~","~~"),"*","~*"),"?","~?"),'Calculations'!$HN$13:$HN$512,"="&amp;SUBSTITUTE(SUBSTITUTE(SUBSTITUTE('Dashboard'!$B$7,"~","~~"),"*","~*"),"?","~?"))+COUNTIFS('Calculations'!$HU$13:$HU$512,"="&amp;SUBSTITUTE(SUBSTITUTE(SUBSTITUTE('Calculations'!HF442,"~","~~"),"*","~*"),"?","~?"),'Calculations'!$HN$13:$HN$512,"="&amp;SUBSTITUTE(SUBSTITUTE(SUBSTITUTE('Dashboard'!$B$7,"~","~~"),"*","~*"),"?","~?"))+COUNTIFS('Calculations'!$HV$13:$HV$512,"="&amp;SUBSTITUTE(SUBSTITUTE(SUBSTITUTE('Calculations'!HF442,"~","~~"),"*","~*"),"?","~?"),'Calculations'!$HN$13:$HN$512,"="&amp;SUBSTITUTE(SUBSTITUTE(SUBSTITUTE('Dashboard'!$B$7,"~","~~"),"*","~*"),"?","~?"))+COUNTIFS('Calculations'!$HW$13:$HW$512,"="&amp;SUBSTITUTE(SUBSTITUTE(SUBSTITUTE('Calculations'!HF442,"~","~~"),"*","~*"),"?","~?"),'Calculations'!$HN$13:$HN$512,"="&amp;SUBSTITUTE(SUBSTITUTE(SUBSTITUTE('Dashboard'!$B$7,"~","~~"),"*","~*"),"?","~?"))+COUNTIFS('Calculations'!$HX$13:$HX$512,"="&amp;SUBSTITUTE(SUBSTITUTE(SUBSTITUTE('Calculations'!HF442,"~","~~"),"*","~*"),"?","~?"),'Calculations'!$HN$13:$HN$512,"="&amp;SUBSTITUTE(SUBSTITUTE(SUBSTITUTE('Dashboard'!$B$7,"~","~~"),"*","~*"),"?","~?"))+COUNTIFS('Calculations'!$HY$13:$HY$512,"="&amp;SUBSTITUTE(SUBSTITUTE(SUBSTITUTE('Calculations'!HF442,"~","~~"),"*","~*"),"?","~?"),'Calculations'!$HN$13:$HN$512,"="&amp;SUBSTITUTE(SUBSTITUTE(SUBSTITUTE('Dashboard'!$B$7,"~","~~"),"*","~*"),"?","~?"))+COUNTIFS('Calculations'!$HZ$13:$HZ$512,"="&amp;SUBSTITUTE(SUBSTITUTE(SUBSTITUTE('Calculations'!HF442,"~","~~"),"*","~*"),"?","~?"),'Calculations'!$HN$13:$HN$512,"="&amp;SUBSTITUTE(SUBSTITUTE(SUBSTITUTE('Dashboard'!$B$7,"~","~~"),"*","~*"),"?","~?"))+COUNTIFS('Calculations'!$IA$13:$IA$512,"="&amp;SUBSTITUTE(SUBSTITUTE(SUBSTITUTE('Calculations'!HF442,"~","~~"),"*","~*"),"?","~?"),'Calculations'!$HN$13:$HN$512,"="&amp;SUBSTITUTE(SUBSTITUTE(SUBSTITUTE('Dashboard'!$B$7,"~","~~"),"*","~*"),"?","~?"))+COUNTIFS('Calculations'!$IB$13:$IB$512,"="&amp;SUBSTITUTE(SUBSTITUTE(SUBSTITUTE('Calculations'!HF442,"~","~~"),"*","~*"),"?","~?"),'Calculations'!$HN$13:$HN$512,"="&amp;SUBSTITUTE(SUBSTITUTE(SUBSTITUTE('Dashboard'!$B$7,"~","~~"),"*","~*"),"?","~?"))+COUNTIFS('Calculations'!$IC$13:$IC$512,"="&amp;SUBSTITUTE(SUBSTITUTE(SUBSTITUTE('Calculations'!HF442,"~","~~"),"*","~*"),"?","~?"),'Calculations'!$HN$13:$HN$512,"="&amp;SUBSTITUTE(SUBSTITUTE(SUBSTITUTE('Dashboard'!$B$7,"~","~~"),"*","~*"),"?","~?"))+COUNTIFS('Calculations'!$ID$13:$ID$512,"="&amp;SUBSTITUTE(SUBSTITUTE(SUBSTITUTE('Calculations'!HF442,"~","~~"),"*","~*"),"?","~?"),'Calculations'!$HN$13:$HN$512,"="&amp;SUBSTITUTE(SUBSTITUTE(SUBSTITUTE('Dashboard'!$B$7,"~","~~"),"*","~*"),"?","~?"))+COUNTIFS('Calculations'!$IE$13:$IE$512,"="&amp;SUBSTITUTE(SUBSTITUTE(SUBSTITUTE('Calculations'!HF442,"~","~~"),"*","~*"),"?","~?"),'Calculations'!$HN$13:$HN$512,"="&amp;SUBSTITUTE(SUBSTITUTE(SUBSTITUTE('Dashboard'!$B$7,"~","~~"),"*","~*"),"?","~?"))+COUNTIFS('Calculations'!$IF$13:$IF$512,"="&amp;SUBSTITUTE(SUBSTITUTE(SUBSTITUTE('Calculations'!HF442,"~","~~"),"*","~*"),"?","~?"),'Calculations'!$HN$13:$HN$512,"="&amp;SUBSTITUTE(SUBSTITUTE(SUBSTITUTE('Dashboard'!$B$7,"~","~~"),"*","~*"),"?","~?"))+COUNTIFS('Calculations'!$IG$13:$IG$512,"="&amp;SUBSTITUTE(SUBSTITUTE(SUBSTITUTE('Calculations'!HF442,"~","~~"),"*","~*"),"?","~?"),'Calculations'!$HN$13:$HN$512,"="&amp;SUBSTITUTE(SUBSTITUTE(SUBSTITUTE('Dashboard'!$B$7,"~","~~"),"*","~*"),"?","~?"))+COUNTIFS('Calculations'!$IH$13:$IH$512,"="&amp;SUBSTITUTE(SUBSTITUTE(SUBSTITUTE('Calculations'!HF442,"~","~~"),"*","~*"),"?","~?"),'Calculations'!$HN$13:$HN$512,"="&amp;SUBSTITUTE(SUBSTITUTE(SUBSTITUTE('Dashboard'!$B$7,"~","~~"),"*","~*"),"?","~?"))))</x:f>
        <x:v>0</x:v>
      </x:c>
      <x:c r="JD442" t="n">
        <x:f>IF('Calculations'!EM442="",0,IF('Dashboard'!$B$7="All",1,IF('Calculations'!HN442='Dashboard'!$B$7,1,0)+IFERROR(INDEX('Calculations'!$JC$13:$JC$512,MATCH('Calculations'!HE442,'Calculations'!$HF$13:$HF$512,0)),0)))</x:f>
        <x:v>0</x:v>
      </x:c>
      <x:c r="JE442" t="n">
        <x:f>IF(AND('Calculations'!EM442&lt;&gt;"",'Calculations'!$JJ$2&lt;&gt;"All",'Calculations'!$JJ$2&lt;&gt;"",'Calculations'!HF442='Calculations'!$JJ$2,'Calculations'!HL442=0,'Calculations'!JD442&gt;0),MAX('Calculations'!$JE$12:JE441)+1,0)</x:f>
        <x:v>0</x:v>
      </x:c>
      <x:c r="JF442" t="str">
        <x:f>IF('Calculations'!EM442="","",IFERROR(IF(INDEX(INDIRECT("'WCM Calibration Final'!$G$1:$G$2000"),'Calculations'!$EM442)="","",TRIM(INDEX(INDIRECT("'WCM Calibration Final'!$G$1:$G$2000"),'Calculations'!$EM442)&amp;"")),""))</x:f>
      </x:c>
      <x:c r="JQ442" t="n">
        <x:f>IF(OR('Calculations'!BM442=0,NOT('Calculations'!$AG$2),'Calculations'!$AG$8&gt;0),0,IF(OR('Dashboard'!$B$7="All",'Calculations'!HN442='Dashboard'!$B$7),IF('Calculations'!$JJ$2="All",1,IF(AND('Calculations'!HF442='Calculations'!$JJ$2,'Calculations'!HL442=0),1,0)),0))</x:f>
        <x:v>0</x:v>
      </x:c>
    </x:row>
    <x:row r="443">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t="n">
        <x:f>IF('Calculations'!$EM443="",0,IF(OR(IFERROR(INDEX(INDIRECT("'WCM Calibration Final'!$A$1:$A$2000"),'Calculations'!$EM443)&lt;&gt;"",FALSE),IFERROR(INDEX(INDIRECT("'WCM Calibration Final'!$B$1:$B$2000"),'Calculations'!$EM443)&lt;&gt;"",FALSE),IFERROR(INDEX(INDIRECT("'WCM Calibration Final'!$C$1:$C$2000"),'Calculations'!$EM443)&lt;&gt;"",FALSE)),1,0))</x:f>
        <x:v>0</x:v>
      </x:c>
      <x:c r="BN443" s="4" t="n">
        <x:f>IF(AND('Calculations'!BM443=1,'Calculations'!$AG$2,'Calculations'!$EN443=1),1,0)</x:f>
        <x:v>0</x:v>
      </x:c>
      <x:c r="BO443" s="4" t="str">
        <x:f>IF('Calculations'!BM443=0,"",IFERROR(IF(AND(VALUE(INDEX(INDIRECT("'WCM Calibration Final'!$K$1:$K$2000"),'Calculations'!$EM443))&gt;=1,VALUE(INDEX(INDIRECT("'WCM Calibration Final'!$K$1:$K$2000"),'Calculations'!$EM443))&lt;=4,MOD(VALUE(INDEX(INDIRECT("'WCM Calibration Final'!$K$1:$K$2000"),'Calculations'!$EM443)),1)=0),VALUE(INDEX(INDIRECT("'WCM Calibration Final'!$K$1:$K$2000"),'Calculations'!$EM443)),""),""))</x:f>
      </x:c>
      <x:c r="BP443" s="4" t="str">
        <x:f>IF('Calculations'!BM443=0,"",IFERROR(IF(AND(VALUE(INDEX(INDIRECT("'WCM Calibration Final'!$L$1:$L$2000"),'Calculations'!$EM443))&gt;=1,VALUE(INDEX(INDIRECT("'WCM Calibration Final'!$L$1:$L$2000"),'Calculations'!$EM443))&lt;=4,MOD(VALUE(INDEX(INDIRECT("'WCM Calibration Final'!$L$1:$L$2000"),'Calculations'!$EM443)),1)=0),VALUE(INDEX(INDIRECT("'WCM Calibration Final'!$L$1:$L$2000"),'Calculations'!$EM443)),""),""))</x:f>
      </x:c>
      <x:c r="BQ443" s="4"/>
      <x:c r="BR443" s="4"/>
      <x:c r="BS443" s="4"/>
      <x:c r="BT443" s="4" t="n">
        <x:f>IF(AND('Calculations'!BM443=1,ISNUMBER('Calculations'!BO443),ISNUMBER('Calculations'!BP443)),1,0)</x:f>
        <x:v>0</x:v>
      </x:c>
      <x:c r="BU443" s="4" t="str">
        <x:f>IF('Calculations'!BM443=0,"",'Calculations'!$EO443)</x:f>
      </x:c>
      <x:c r="BV443" s="4" t="str">
        <x:f>IF('Calculations'!BM443=0,"",IFERROR(IF(OR(INDEX(INDIRECT("'WCM Calibration Final'!$H$1:$H$2000"),'Calculations'!$EM443)="MANAGING DIRECTOR",INDEX(INDIRECT("'WCM Calibration Final'!$H$1:$H$2000"),'Calculations'!$EM443)="DIRECTOR",INDEX(INDIRECT("'WCM Calibration Final'!$H$1:$H$2000"),'Calculations'!$EM443)="SENIOR VICE PRESIDENT",INDEX(INDIRECT("'WCM Calibration Final'!$H$1:$H$2000"),'Calculations'!$EM443)="VICE PRESIDENT",INDEX(INDIRECT("'WCM Calibration Final'!$H$1:$H$2000"),'Calculations'!$EM443)="ASSISTANT VICE PRESIDENT",INDEX(INDIRECT("'WCM Calibration Final'!$H$1:$H$2000"),'Calculations'!$EM443)="OFFICER"),UPPER(INDEX(INDIRECT("'WCM Calibration Final'!$H$1:$H$2000"),'Calculations'!$EM443)),"Other"),"Other"))</x:f>
      </x:c>
      <x:c r="BW443" s="4"/>
      <x:c r="BX443" s="4"/>
      <x:c r="BY443" s="4" t="n">
        <x:f>IF(AND('Calculations'!BM443=1,'Calculations'!BU443&lt;&gt;"",COUNTIF('Calculations'!$BU$12:BU443,'Calculations'!BU443)=1),MAX('Calculations'!$BY$11:BY442)+1,0)</x:f>
        <x:v>0</x:v>
      </x:c>
      <x:c r="BZ443" s="4" t="str">
        <x:f>IF('Dashboard'!$E$67="What",'Calculations'!BO443,'Calculations'!BP443)</x:f>
      </x:c>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t="str">
        <x:f>IF(432&gt;MAX('Calculations'!$HI$13:$HI$512),"",INDEX('Calculations'!$HN$13:$HN$512,MATCH(432,'Calculations'!$HI$13:$HI$512,0)))</x:f>
      </x:c>
      <x:c r="DB443" s="4" t="str">
        <x:f>IF(432&gt;MAX('Calculations'!$HH$13:$HH$512),"",INDEX('Calculations'!$HJ$13:$HJ$512,MATCH(432,'Calculations'!$HH$13:$HH$512,0)))</x:f>
      </x:c>
      <x:c r="DC443" s="4" t="str">
        <x:f>IF(ROW()-11&gt;MAX('Calculations'!$BY$13:$BY$512),"",INDEX('Calculations'!$BU$13:$BU$512,MATCH(ROW()-11,'Calculations'!$BY$13:$BY$512,0)))</x:f>
      </x:c>
      <x:c r="DD443" s="4" t="str">
        <x:f>IF(432&gt;MAX('Calculations'!$IK$13:$IK$512),"",INDEX('Calculations'!$HK$13:$HK$512,MATCH(432,'Calculations'!$IK$13:$IK$512,0)))</x:f>
      </x:c>
      <x:c r="DE443" s="4" t="str">
        <x:f>'Calculations'!DC443</x:f>
      </x:c>
      <x:c r="DF443" s="4" t="str">
        <x:f>IF('Calculations'!DE443="","",COUNTIFS('Calculations'!$BN$13:$BN$512,1,'Calculations'!$BU$13:$BU$512,'Calculations'!DE443))</x:f>
      </x:c>
      <x:c r="DG443" s="4" t="str">
        <x:f>IF('Calculations'!DE443="","",COUNTIFS('Calculations'!$BN$13:$BN$512,1,'Calculations'!$BU$13:$BU$512,'Calculations'!DE443,'Calculations'!$BT$13:$BT$512,1))</x:f>
      </x:c>
      <x:c r="DH443" s="4" t="str">
        <x:f>IF('Calculations'!DE443="","",'Calculations'!DF443-'Calculations'!DG443)</x:f>
      </x:c>
      <x:c r="DI443" s="4" t="str">
        <x:f>IF(OR('Calculations'!DE443="",'Calculations'!DF443=0),"",'Calculations'!DG443/'Calculations'!DF443)</x:f>
      </x:c>
      <x:c r="DJ443" s="4" t="str">
        <x:f>IF('Calculations'!DE443="","",COUNTIFS('Calculations'!$BN$13:$BN$512,1,'Calculations'!$BU$13:$BU$512,'Calculations'!DE443,'Calculations'!$BT$13:$BT$512,1,'Calculations'!$EE$13:$EE$512,"High"))</x:f>
      </x:c>
      <x:c r="DK443" s="4" t="str">
        <x:f>IF('Calculations'!DE443="","",COUNTIFS('Calculations'!$BN$13:$BN$512,1,'Calculations'!$BU$13:$BU$512,'Calculations'!DE443,'Calculations'!$BT$13:$BT$512,1,'Calculations'!$EE$13:$EE$512,"Strong"))</x:f>
      </x:c>
      <x:c r="DL443" s="4" t="str">
        <x:f>IF('Calculations'!DE443="","",COUNTIFS('Calculations'!$BN$13:$BN$512,1,'Calculations'!$BU$13:$BU$512,'Calculations'!DE443,'Calculations'!$BT$13:$BT$512,1,'Calculations'!$EE$13:$EE$512,"Solid"))</x:f>
      </x:c>
      <x:c r="DM443" s="4" t="str">
        <x:f>IF('Calculations'!DE443="","",COUNTIFS('Calculations'!$BN$13:$BN$512,1,'Calculations'!$BU$13:$BU$512,'Calculations'!DE443,'Calculations'!$BT$13:$BT$512,1,'Calculations'!$EE$13:$EE$512,"Low"))</x:f>
      </x:c>
      <x:c r="DN443" s="4" t="str">
        <x:f>IF('Calculations'!DE443="","",COUNTIFS('Calculations'!$BN$13:$BN$512,1,'Calculations'!$BU$13:$BU$512,'Calculations'!DE443,'Calculations'!$EP$13:$EP$512,1))</x:f>
      </x:c>
      <x:c r="DO443" s="4" t="str">
        <x:f>IF(OR('Calculations'!DE443="",'Calculations'!DG443=0),"",('Calculations'!DJ443+'Calculations'!DK443)/'Calculations'!DG443)</x:f>
      </x:c>
      <x:c r="DP443" s="4" t="n">
        <x:f>IF(AND('Calculations'!DE443&lt;&gt;"",'Calculations'!DF443&gt;0),COUNTIF('Calculations'!$DF$12:DF443,"&gt;0"),0)</x:f>
        <x:v>0</x:v>
      </x:c>
      <x:c r="DQ443" s="4" t="str">
        <x:f>IF(432&gt;MAX('Calculations'!$HH$13:$HH$512),"",INDEX('Calculations'!$HF$13:$HF$512,MATCH(432,'Calculations'!$HH$13:$HH$512,0)))</x:f>
      </x:c>
      <x:c r="DR443" s="4" t="str">
        <x:f>IF(432&gt;MAX('Calculations'!$IK$13:$IK$512),"",INDEX('Calculations'!$HE$13:$HE$512,MATCH(432,'Calculations'!$IK$13:$IK$512,0)))</x:f>
      </x:c>
      <x:c r="DS443" s="4"/>
      <x:c r="DT443" s="4"/>
      <x:c r="DU443" s="4"/>
      <x:c r="DV443" s="4"/>
      <x:c r="DW443" s="4"/>
      <x:c r="DX443" s="4"/>
      <x:c r="DY443" s="4"/>
      <x:c r="DZ443" s="4"/>
      <x:c r="EA443" s="4"/>
      <x:c r="EB443" s="4"/>
      <x:c r="EC443" s="4"/>
      <x:c r="ED443" s="4"/>
      <x:c r="EE443" s="4" t="str">
        <x:f>IF('Calculations'!BT443=0,"Not Rated",IF(OR('Calculations'!BO443&gt;=4,'Calculations'!BP443&gt;=4),"Low",IF('Calculations'!BO443+'Calculations'!BP443&lt;=3,"High",IF('Calculations'!BO443+'Calculations'!BP443&lt;=4,"Strong","Solid"))))</x:f>
        <x:v>Not Rated</x:v>
      </x:c>
      <x:c r="EF443" s="4"/>
      <x:c r="EG443" s="4"/>
      <x:c r="EH443" s="4"/>
      <x:c r="EI443" s="4"/>
      <x:c r="EJ443" s="4"/>
      <x:c r="EK443" s="4"/>
      <x:c r="EL443" s="4"/>
      <x:c r="EM443" s="4" t="str">
        <x:f>IF(431&gt;'Calculations'!$JB$2000,"",INDEX('Calculations'!$JA$12:$JA$2000,MATCH(431,'Calculations'!$JB$12:$JB$2000,0)))</x:f>
      </x:c>
      <x:c r="EN443" s="4" t="n">
        <x:f>IF(OR('Calculations'!EM443="",'Calculations'!$AG$8&gt;0,AND('Calculations'!$EF$2&lt;&gt;"All",'Calculations'!HE443='Calculations'!$EF$2),AND('Calculations'!$EF$3&lt;&gt;"All",'Calculations'!HE443='Calculations'!$EF$3)),0,IF(OR('Dashboard'!$B$7="All",'Calculations'!HN443='Dashboard'!$B$7),IF('Calculations'!$EF$2="All",1,IF('Calculations'!HL443&gt;0,0,IF(COUNTIF('Calculations'!HO443:II443,"="&amp;SUBSTITUTE(SUBSTITUTE(SUBSTITUTE('Calculations'!$EF$2,"~","~~"),"*","~*"),"?","~?"))=0,0,IF('Calculations'!$EF$3="All",1,IF(COUNTIF('Calculations'!HO443:II443,"="&amp;SUBSTITUTE(SUBSTITUTE(SUBSTITUTE('Calculations'!$EF$3,"~","~~"),"*","~*"),"?","~?"))&gt;0,1,0))))),0))</x:f>
        <x:v>0</x:v>
      </x:c>
      <x:c r="EO443" s="4" t="str">
        <x:f>IF('Calculations'!IJ443="","",IF('Calculations'!IJ443="!UNRESOLVED","Unresolved hierarchy",IFERROR(INDEX('Calculations'!$HK$13:$HK$512,MATCH('Calculations'!IJ443,'Calculations'!$HE$13:$HE$512,0)),IFERROR(INDEX('Calculations'!$HJ$13:$HJ$512,MATCH('Calculations'!IJ443,'Calculations'!$HF$13:$HF$512,0)),'Calculations'!IJ443))))</x:f>
      </x:c>
      <x:c r="EP443" s="4" t="n">
        <x:f>IF(AND('Calculations'!EM443&lt;&gt;"",'Calculations'!HF443='Calculations'!IJ443),1,0)</x:f>
        <x:v>0</x:v>
      </x:c>
      <x:c r="EQ443" s="4"/>
      <x:c r="ER443" s="4"/>
      <x:c r="ES443" s="4"/>
      <x:c r="ET443" s="4"/>
      <x:c r="EU443" s="4"/>
      <x:c r="EV443" s="4"/>
      <x:c r="EW443" s="4"/>
      <x:c r="EX443" s="4"/>
      <x:c r="EY443" s="4"/>
      <x:c r="EZ443" s="4"/>
      <x:c r="FA443" s="4"/>
      <x:c r="FB443" s="4"/>
      <x:c r="FC443" s="4"/>
      <x:c r="FD443" s="4"/>
      <x:c r="FE443" s="4"/>
      <x:c r="FF443" s="4"/>
      <x:c r="FG443" s="4"/>
      <x:c r="FH443" s="4"/>
      <x:c r="FI443" s="4"/>
      <x:c r="FJ443" s="4"/>
      <x:c r="FK443" s="4"/>
      <x:c r="FL443" s="4"/>
      <x:c r="FM443" s="4"/>
      <x:c r="FN443" s="4"/>
      <x:c r="FO443" s="4"/>
      <x:c r="HE443" t="str">
        <x:f>IF('Calculations'!EM443="","",IF(IFERROR(IF(INDEX(INDIRECT("'WCM Calibration Final'!$A$1:$A$2000"),'Calculations'!$EM443)="","",TRIM(INDEX(INDIRECT("'WCM Calibration Final'!$A$1:$A$2000"),'Calculations'!$EM443)&amp;"")),"")&lt;&gt;"","G:"&amp;IFERROR(TEXT(1*INDEX(INDIRECT("'WCM Calibration Final'!$A$1:$A$2000"),'Calculations'!$EM443),"0"),UPPER(IFERROR(IF(INDEX(INDIRECT("'WCM Calibration Final'!$A$1:$A$2000"),'Calculations'!$EM443)="","",TRIM(INDEX(INDIRECT("'WCM Calibration Final'!$A$1:$A$2000"),'Calculations'!$EM443)&amp;"")),""))),IF(IFERROR(IF(INDEX(INDIRECT("'WCM Calibration Final'!$C$1:$C$2000"),'Calculations'!$EM443)="","",TRIM(INDEX(INDIRECT("'WCM Calibration Final'!$C$1:$C$2000"),'Calculations'!$EM443)&amp;"")),"")&lt;&gt;"","S:"&amp;UPPER(IFERROR(IF(INDEX(INDIRECT("'WCM Calibration Final'!$C$1:$C$2000"),'Calculations'!$EM443)="","",TRIM(INDEX(INDIRECT("'WCM Calibration Final'!$C$1:$C$2000"),'Calculations'!$EM443)&amp;"")),"")),"R:"&amp;'Calculations'!EM443)))</x:f>
      </x:c>
      <x:c r="HF443" t="str">
        <x:f>IF('Calculations'!EM443="","",IF(IFERROR(IF(INDEX(INDIRECT("'WCM Calibration Final'!$D$1:$D$2000"),'Calculations'!$EM443)="","",TRIM(INDEX(INDIRECT("'WCM Calibration Final'!$D$1:$D$2000"),'Calculations'!$EM443)&amp;"")),"")&lt;&gt;"","G:"&amp;IFERROR(TEXT(1*INDEX(INDIRECT("'WCM Calibration Final'!$D$1:$D$2000"),'Calculations'!$EM443),"0"),UPPER(IFERROR(IF(INDEX(INDIRECT("'WCM Calibration Final'!$D$1:$D$2000"),'Calculations'!$EM443)="","",TRIM(INDEX(INDIRECT("'WCM Calibration Final'!$D$1:$D$2000"),'Calculations'!$EM443)&amp;"")),""))),IF(IFERROR(IF(INDEX(INDIRECT("'WCM Calibration Final'!$E$1:$E$2000"),'Calculations'!$EM443)="","",TRIM(INDEX(INDIRECT("'WCM Calibration Final'!$E$1:$E$2000"),'Calculations'!$EM443)&amp;"")),"")="","",IF(COUNTIF('Calculations'!$HG$13:$HG$512,"="&amp;SUBSTITUTE(SUBSTITUTE(SUBSTITUTE(IFERROR(IF(INDEX(INDIRECT("'WCM Calibration Final'!$E$1:$E$2000"),'Calculations'!$EM443)="","",TRIM(INDEX(INDIRECT("'WCM Calibration Final'!$E$1:$E$2000"),'Calculations'!$EM443)&amp;"")),""),"~","~~"),"*","~*"),"?","~?"))=1,INDEX('Calculations'!$HE$13:$HE$512,MATCH(IFERROR(IF(INDEX(INDIRECT("'WCM Calibration Final'!$E$1:$E$2000"),'Calculations'!$EM443)="","",TRIM(INDEX(INDIRECT("'WCM Calibration Final'!$E$1:$E$2000"),'Calculations'!$EM443)&amp;"")),""),'Calculations'!$HG$13:$HG$512,0)),IF(COUNTIF('Calculations'!$HG$13:$HG$512,"="&amp;SUBSTITUTE(SUBSTITUTE(SUBSTITUTE(IFERROR(IF(INDEX(INDIRECT("'WCM Calibration Final'!$E$1:$E$2000"),'Calculations'!$EM443)="","",TRIM(INDEX(INDIRECT("'WCM Calibration Final'!$E$1:$E$2000"),'Calculations'!$EM443)&amp;"")),""),"~","~~"),"*","~*"),"?","~?"))&gt;1,"!AMBIG","X:"&amp;IFERROR(IF(INDEX(INDIRECT("'WCM Calibration Final'!$E$1:$E$2000"),'Calculations'!$EM443)="","",TRIM(INDEX(INDIRECT("'WCM Calibration Final'!$E$1:$E$2000"),'Calculations'!$EM443)&amp;"")),""))))))</x:f>
      </x:c>
      <x:c r="HG443" t="str">
        <x:f>IF('Calculations'!EM443="","",IFERROR(IF(INDEX(INDIRECT("'WCM Calibration Final'!$B$1:$B$2000"),'Calculations'!$EM443)="","",TRIM(INDEX(INDIRECT("'WCM Calibration Final'!$B$1:$B$2000"),'Calculations'!$EM443)&amp;"")),""))</x:f>
      </x:c>
      <x:c r="HH443" t="n">
        <x:f>IF(AND('Calculations'!JC443&gt;0,COUNTIF('Calculations'!$HF$12:HF443,"="&amp;SUBSTITUTE(SUBSTITUTE(SUBSTITUTE('Calculations'!HF443,"~","~~"),"*","~*"),"?","~?"))=1),MAX('Calculations'!$HH$12:HH442)+1,0)</x:f>
        <x:v>0</x:v>
      </x:c>
      <x:c r="HI443" t="n">
        <x:f>IF(AND('Calculations'!HN443&lt;&gt;"",COUNTIF('Calculations'!$HN$12:HN443,"="&amp;SUBSTITUTE(SUBSTITUTE(SUBSTITUTE('Calculations'!HN443,"~","~~"),"*","~*"),"?","~?"))=1),MAX('Calculations'!$HI$12:HI442)+1,0)</x:f>
        <x:v>0</x:v>
      </x:c>
      <x:c r="HJ443" t="str">
        <x:f>IF('Calculations'!HF443="","",IF(COUNTIF('Calculations'!$HE$13:$HE$512,"="&amp;SUBSTITUTE(SUBSTITUTE(SUBSTITUTE('Calculations'!HF443,"~","~~"),"*","~*"),"?","~?"))=1,INDEX('Calculations'!$HK$13:$HK$512,MATCH('Calculations'!HF443,'Calculations'!$HE$13:$HE$512,0)),IFERROR(IF(INDEX(INDIRECT("'WCM Calibration Final'!$E$1:$E$2000"),'Calculations'!$EM443)="","",TRIM(INDEX(INDIRECT("'WCM Calibration Final'!$E$1:$E$2000"),'Calculations'!$EM443)&amp;"")),"")&amp;" ["&amp;'Calculations'!HF443&amp;"]"))</x:f>
      </x:c>
      <x:c r="HK443" t="str">
        <x:f>IF('Calculations'!EM443="","",'Calculations'!HG443&amp;" ["&amp;'Calculations'!HE443&amp;"]")</x:f>
      </x:c>
      <x:c r="HL443" t="n">
        <x:f>IF('Calculations'!EM443="",0,IF(OR('Calculations'!II443&lt;&gt;"",COUNTIF('Calculations'!$HE$13:$HE$512,"="&amp;SUBSTITUTE(SUBSTITUTE(SUBSTITUTE('Calculations'!HE443,"~","~~"),"*","~*"),"?","~?"))&gt;1),1,0))</x:f>
        <x:v>0</x:v>
      </x:c>
      <x:c r="HM443" t="str">
        <x:f>IF('Calculations'!EM443="","",IF('Calculations'!HL443=1,"!UNRESOLVED",IF('Calculations'!IH443&lt;&gt;"",'Calculations'!IH443,IF('Calculations'!IG443&lt;&gt;"",'Calculations'!IG443,IF('Calculations'!IF443&lt;&gt;"",'Calculations'!IF443,IF('Calculations'!IE443&lt;&gt;"",'Calculations'!IE443,IF('Calculations'!ID443&lt;&gt;"",'Calculations'!ID443,IF('Calculations'!IC443&lt;&gt;"",'Calculations'!IC443,IF('Calculations'!IB443&lt;&gt;"",'Calculations'!IB443,IF('Calculations'!IA443&lt;&gt;"",'Calculations'!IA443,IF('Calculations'!HZ443&lt;&gt;"",'Calculations'!HZ443,IF('Calculations'!HY443&lt;&gt;"",'Calculations'!HY443,IF('Calculations'!HX443&lt;&gt;"",'Calculations'!HX443,IF('Calculations'!HW443&lt;&gt;"",'Calculations'!HW443,IF('Calculations'!HV443&lt;&gt;"",'Calculations'!HV443,IF('Calculations'!HU443&lt;&gt;"",'Calculations'!HU443,IF('Calculations'!HT443&lt;&gt;"",'Calculations'!HT443,IF('Calculations'!HS443&lt;&gt;"",'Calculations'!HS443,IF('Calculations'!HR443&lt;&gt;"",'Calculations'!HR443,IF('Calculations'!HQ443&lt;&gt;"",'Calculations'!HQ443,IF('Calculations'!HP443&lt;&gt;"",'Calculations'!HP443,IF('Calculations'!HO443&lt;&gt;"",'Calculations'!HO443,'Calculations'!HE443))))))))))))))))))))))</x:f>
      </x:c>
      <x:c r="HN443" t="str">
        <x:f>IF('Calculations'!EM443="","",IF(IFERROR(IF(INDEX(INDIRECT("'WCM Calibration Final'!$F$1:$F$2000"),'Calculations'!$EM443)="","",TRIM(INDEX(INDIRECT("'WCM Calibration Final'!$F$1:$F$2000"),'Calculations'!$EM443)&amp;"")),"")="","(Blank)",IFERROR(IF(INDEX(INDIRECT("'WCM Calibration Final'!$F$1:$F$2000"),'Calculations'!$EM443)="","",TRIM(INDEX(INDIRECT("'WCM Calibration Final'!$F$1:$F$2000"),'Calculations'!$EM443)&amp;"")),"")))</x:f>
      </x:c>
      <x:c r="HO443" t="str">
        <x:f>'Calculations'!HF443</x:f>
      </x:c>
      <x:c r="HP443" t="str">
        <x:f>IF('Calculations'!HO443="","",IF('Calculations'!HO443="!AMBIG","!AMBIG",IF(COUNTIF('Calculations'!$HE$13:$HE$512,"="&amp;SUBSTITUTE(SUBSTITUTE(SUBSTITUTE('Calculations'!HO443,"~","~~"),"*","~*"),"?","~?"))&gt;1,"!AMBIG",IFERROR(INDEX('Calculations'!$HF$13:$HF$512,MATCH('Calculations'!HO443,'Calculations'!$HE$13:$HE$512,0)),""))))</x:f>
      </x:c>
      <x:c r="HQ443" t="str">
        <x:f>IF('Calculations'!HP443="","",IF('Calculations'!HP443="!AMBIG","!AMBIG",IF(COUNTIF('Calculations'!$HE$13:$HE$512,"="&amp;SUBSTITUTE(SUBSTITUTE(SUBSTITUTE('Calculations'!HP443,"~","~~"),"*","~*"),"?","~?"))&gt;1,"!AMBIG",IFERROR(INDEX('Calculations'!$HF$13:$HF$512,MATCH('Calculations'!HP443,'Calculations'!$HE$13:$HE$512,0)),""))))</x:f>
      </x:c>
      <x:c r="HR443" t="str">
        <x:f>IF('Calculations'!HQ443="","",IF('Calculations'!HQ443="!AMBIG","!AMBIG",IF(COUNTIF('Calculations'!$HE$13:$HE$512,"="&amp;SUBSTITUTE(SUBSTITUTE(SUBSTITUTE('Calculations'!HQ443,"~","~~"),"*","~*"),"?","~?"))&gt;1,"!AMBIG",IFERROR(INDEX('Calculations'!$HF$13:$HF$512,MATCH('Calculations'!HQ443,'Calculations'!$HE$13:$HE$512,0)),""))))</x:f>
      </x:c>
      <x:c r="HS443" t="str">
        <x:f>IF('Calculations'!HR443="","",IF('Calculations'!HR443="!AMBIG","!AMBIG",IF(COUNTIF('Calculations'!$HE$13:$HE$512,"="&amp;SUBSTITUTE(SUBSTITUTE(SUBSTITUTE('Calculations'!HR443,"~","~~"),"*","~*"),"?","~?"))&gt;1,"!AMBIG",IFERROR(INDEX('Calculations'!$HF$13:$HF$512,MATCH('Calculations'!HR443,'Calculations'!$HE$13:$HE$512,0)),""))))</x:f>
      </x:c>
      <x:c r="HT443" t="str">
        <x:f>IF('Calculations'!HS443="","",IF('Calculations'!HS443="!AMBIG","!AMBIG",IF(COUNTIF('Calculations'!$HE$13:$HE$512,"="&amp;SUBSTITUTE(SUBSTITUTE(SUBSTITUTE('Calculations'!HS443,"~","~~"),"*","~*"),"?","~?"))&gt;1,"!AMBIG",IFERROR(INDEX('Calculations'!$HF$13:$HF$512,MATCH('Calculations'!HS443,'Calculations'!$HE$13:$HE$512,0)),""))))</x:f>
      </x:c>
      <x:c r="HU443" t="str">
        <x:f>IF('Calculations'!HT443="","",IF('Calculations'!HT443="!AMBIG","!AMBIG",IF(COUNTIF('Calculations'!$HE$13:$HE$512,"="&amp;SUBSTITUTE(SUBSTITUTE(SUBSTITUTE('Calculations'!HT443,"~","~~"),"*","~*"),"?","~?"))&gt;1,"!AMBIG",IFERROR(INDEX('Calculations'!$HF$13:$HF$512,MATCH('Calculations'!HT443,'Calculations'!$HE$13:$HE$512,0)),""))))</x:f>
      </x:c>
      <x:c r="HV443" t="str">
        <x:f>IF('Calculations'!HU443="","",IF('Calculations'!HU443="!AMBIG","!AMBIG",IF(COUNTIF('Calculations'!$HE$13:$HE$512,"="&amp;SUBSTITUTE(SUBSTITUTE(SUBSTITUTE('Calculations'!HU443,"~","~~"),"*","~*"),"?","~?"))&gt;1,"!AMBIG",IFERROR(INDEX('Calculations'!$HF$13:$HF$512,MATCH('Calculations'!HU443,'Calculations'!$HE$13:$HE$512,0)),""))))</x:f>
      </x:c>
      <x:c r="HW443" t="str">
        <x:f>IF('Calculations'!HV443="","",IF('Calculations'!HV443="!AMBIG","!AMBIG",IF(COUNTIF('Calculations'!$HE$13:$HE$512,"="&amp;SUBSTITUTE(SUBSTITUTE(SUBSTITUTE('Calculations'!HV443,"~","~~"),"*","~*"),"?","~?"))&gt;1,"!AMBIG",IFERROR(INDEX('Calculations'!$HF$13:$HF$512,MATCH('Calculations'!HV443,'Calculations'!$HE$13:$HE$512,0)),""))))</x:f>
      </x:c>
      <x:c r="HX443" t="str">
        <x:f>IF('Calculations'!HW443="","",IF('Calculations'!HW443="!AMBIG","!AMBIG",IF(COUNTIF('Calculations'!$HE$13:$HE$512,"="&amp;SUBSTITUTE(SUBSTITUTE(SUBSTITUTE('Calculations'!HW443,"~","~~"),"*","~*"),"?","~?"))&gt;1,"!AMBIG",IFERROR(INDEX('Calculations'!$HF$13:$HF$512,MATCH('Calculations'!HW443,'Calculations'!$HE$13:$HE$512,0)),""))))</x:f>
      </x:c>
      <x:c r="HY443" t="str">
        <x:f>IF('Calculations'!HX443="","",IF('Calculations'!HX443="!AMBIG","!AMBIG",IF(COUNTIF('Calculations'!$HE$13:$HE$512,"="&amp;SUBSTITUTE(SUBSTITUTE(SUBSTITUTE('Calculations'!HX443,"~","~~"),"*","~*"),"?","~?"))&gt;1,"!AMBIG",IFERROR(INDEX('Calculations'!$HF$13:$HF$512,MATCH('Calculations'!HX443,'Calculations'!$HE$13:$HE$512,0)),""))))</x:f>
      </x:c>
      <x:c r="HZ443" t="str">
        <x:f>IF('Calculations'!HY443="","",IF('Calculations'!HY443="!AMBIG","!AMBIG",IF(COUNTIF('Calculations'!$HE$13:$HE$512,"="&amp;SUBSTITUTE(SUBSTITUTE(SUBSTITUTE('Calculations'!HY443,"~","~~"),"*","~*"),"?","~?"))&gt;1,"!AMBIG",IFERROR(INDEX('Calculations'!$HF$13:$HF$512,MATCH('Calculations'!HY443,'Calculations'!$HE$13:$HE$512,0)),""))))</x:f>
      </x:c>
      <x:c r="IA443" t="str">
        <x:f>IF('Calculations'!HZ443="","",IF('Calculations'!HZ443="!AMBIG","!AMBIG",IF(COUNTIF('Calculations'!$HE$13:$HE$512,"="&amp;SUBSTITUTE(SUBSTITUTE(SUBSTITUTE('Calculations'!HZ443,"~","~~"),"*","~*"),"?","~?"))&gt;1,"!AMBIG",IFERROR(INDEX('Calculations'!$HF$13:$HF$512,MATCH('Calculations'!HZ443,'Calculations'!$HE$13:$HE$512,0)),""))))</x:f>
      </x:c>
      <x:c r="IB443" t="str">
        <x:f>IF('Calculations'!IA443="","",IF('Calculations'!IA443="!AMBIG","!AMBIG",IF(COUNTIF('Calculations'!$HE$13:$HE$512,"="&amp;SUBSTITUTE(SUBSTITUTE(SUBSTITUTE('Calculations'!IA443,"~","~~"),"*","~*"),"?","~?"))&gt;1,"!AMBIG",IFERROR(INDEX('Calculations'!$HF$13:$HF$512,MATCH('Calculations'!IA443,'Calculations'!$HE$13:$HE$512,0)),""))))</x:f>
      </x:c>
      <x:c r="IC443" t="str">
        <x:f>IF('Calculations'!IB443="","",IF('Calculations'!IB443="!AMBIG","!AMBIG",IF(COUNTIF('Calculations'!$HE$13:$HE$512,"="&amp;SUBSTITUTE(SUBSTITUTE(SUBSTITUTE('Calculations'!IB443,"~","~~"),"*","~*"),"?","~?"))&gt;1,"!AMBIG",IFERROR(INDEX('Calculations'!$HF$13:$HF$512,MATCH('Calculations'!IB443,'Calculations'!$HE$13:$HE$512,0)),""))))</x:f>
      </x:c>
      <x:c r="ID443" t="str">
        <x:f>IF('Calculations'!IC443="","",IF('Calculations'!IC443="!AMBIG","!AMBIG",IF(COUNTIF('Calculations'!$HE$13:$HE$512,"="&amp;SUBSTITUTE(SUBSTITUTE(SUBSTITUTE('Calculations'!IC443,"~","~~"),"*","~*"),"?","~?"))&gt;1,"!AMBIG",IFERROR(INDEX('Calculations'!$HF$13:$HF$512,MATCH('Calculations'!IC443,'Calculations'!$HE$13:$HE$512,0)),""))))</x:f>
      </x:c>
      <x:c r="IE443" t="str">
        <x:f>IF('Calculations'!ID443="","",IF('Calculations'!ID443="!AMBIG","!AMBIG",IF(COUNTIF('Calculations'!$HE$13:$HE$512,"="&amp;SUBSTITUTE(SUBSTITUTE(SUBSTITUTE('Calculations'!ID443,"~","~~"),"*","~*"),"?","~?"))&gt;1,"!AMBIG",IFERROR(INDEX('Calculations'!$HF$13:$HF$512,MATCH('Calculations'!ID443,'Calculations'!$HE$13:$HE$512,0)),""))))</x:f>
      </x:c>
      <x:c r="IF443" t="str">
        <x:f>IF('Calculations'!IE443="","",IF('Calculations'!IE443="!AMBIG","!AMBIG",IF(COUNTIF('Calculations'!$HE$13:$HE$512,"="&amp;SUBSTITUTE(SUBSTITUTE(SUBSTITUTE('Calculations'!IE443,"~","~~"),"*","~*"),"?","~?"))&gt;1,"!AMBIG",IFERROR(INDEX('Calculations'!$HF$13:$HF$512,MATCH('Calculations'!IE443,'Calculations'!$HE$13:$HE$512,0)),""))))</x:f>
      </x:c>
      <x:c r="IG443" t="str">
        <x:f>IF('Calculations'!IF443="","",IF('Calculations'!IF443="!AMBIG","!AMBIG",IF(COUNTIF('Calculations'!$HE$13:$HE$512,"="&amp;SUBSTITUTE(SUBSTITUTE(SUBSTITUTE('Calculations'!IF443,"~","~~"),"*","~*"),"?","~?"))&gt;1,"!AMBIG",IFERROR(INDEX('Calculations'!$HF$13:$HF$512,MATCH('Calculations'!IF443,'Calculations'!$HE$13:$HE$512,0)),""))))</x:f>
      </x:c>
      <x:c r="IH443" t="str">
        <x:f>IF('Calculations'!IG443="","",IF('Calculations'!IG443="!AMBIG","!AMBIG",IF(COUNTIF('Calculations'!$HE$13:$HE$512,"="&amp;SUBSTITUTE(SUBSTITUTE(SUBSTITUTE('Calculations'!IG443,"~","~~"),"*","~*"),"?","~?"))&gt;1,"!AMBIG",IFERROR(INDEX('Calculations'!$HF$13:$HF$512,MATCH('Calculations'!IG443,'Calculations'!$HE$13:$HE$512,0)),""))))</x:f>
      </x:c>
      <x:c r="II443" t="str">
        <x:f>IF('Calculations'!IH443="","",IF('Calculations'!IH443="!AMBIG","!AMBIG",IF(COUNTIF('Calculations'!$HE$13:$HE$512,"="&amp;SUBSTITUTE(SUBSTITUTE(SUBSTITUTE('Calculations'!IH443,"~","~~"),"*","~*"),"?","~?"))&gt;1,"!AMBIG",IFERROR(INDEX('Calculations'!$HF$13:$HF$512,MATCH('Calculations'!IH443,'Calculations'!$HE$13:$HE$512,0)),""))))</x:f>
      </x:c>
      <x:c r="IJ443" t="str">
        <x:f>IF('Calculations'!EM443="","",IF('Calculations'!$EF$2="All",'Calculations'!HM443,IF('Calculations'!HL443=1,"",IFERROR(IF(MATCH('Calculations'!$EF$2,'Calculations'!HO443:II443,0)=1,'Calculations'!HE443,INDEX('Calculations'!HO443:II443,1,MATCH('Calculations'!$EF$2,'Calculations'!HO443:II443,0)-1)),""))))</x:f>
      </x:c>
      <x:c r="IK443" t="n">
        <x:f>IF(AND('Calculations'!EM443&lt;&gt;"",'Calculations'!$EF$2&lt;&gt;"All",'Calculations'!HF443='Calculations'!$EF$2,'Calculations'!HL443=0,'Calculations'!JD443&gt;0),MAX('Calculations'!$IK$12:IK442)+1,0)</x:f>
        <x:v>0</x:v>
      </x:c>
      <x:c r="JA443" t="n">
        <x:f>IF(OR(IFERROR(INDIRECT("'WCM Calibration Final'!$A$443")&lt;&gt;"",FALSE),IFERROR(INDIRECT("'WCM Calibration Final'!$B$443")&lt;&gt;"",FALSE),IFERROR(INDIRECT("'WCM Calibration Final'!$C$443")&lt;&gt;"",FALSE)),443,0)</x:f>
        <x:v>0</x:v>
      </x:c>
      <x:c r="JB443" t="n">
        <x:f>'Calculations'!JB442+IF('Calculations'!JA443&gt;0,1,0)</x:f>
        <x:v>0</x:v>
      </x:c>
      <x:c r="JC443" t="n">
        <x:f>IF(OR('Calculations'!HF443="",'Calculations'!HF443="!AMBIG"),0,IF('Dashboard'!$B$7="All",1,COUNTIFS('Calculations'!$HO$13:$HO$512,"="&amp;SUBSTITUTE(SUBSTITUTE(SUBSTITUTE('Calculations'!HF443,"~","~~"),"*","~*"),"?","~?"),'Calculations'!$HN$13:$HN$512,"="&amp;SUBSTITUTE(SUBSTITUTE(SUBSTITUTE('Dashboard'!$B$7,"~","~~"),"*","~*"),"?","~?"))+COUNTIFS('Calculations'!$HP$13:$HP$512,"="&amp;SUBSTITUTE(SUBSTITUTE(SUBSTITUTE('Calculations'!HF443,"~","~~"),"*","~*"),"?","~?"),'Calculations'!$HN$13:$HN$512,"="&amp;SUBSTITUTE(SUBSTITUTE(SUBSTITUTE('Dashboard'!$B$7,"~","~~"),"*","~*"),"?","~?"))+COUNTIFS('Calculations'!$HQ$13:$HQ$512,"="&amp;SUBSTITUTE(SUBSTITUTE(SUBSTITUTE('Calculations'!HF443,"~","~~"),"*","~*"),"?","~?"),'Calculations'!$HN$13:$HN$512,"="&amp;SUBSTITUTE(SUBSTITUTE(SUBSTITUTE('Dashboard'!$B$7,"~","~~"),"*","~*"),"?","~?"))+COUNTIFS('Calculations'!$HR$13:$HR$512,"="&amp;SUBSTITUTE(SUBSTITUTE(SUBSTITUTE('Calculations'!HF443,"~","~~"),"*","~*"),"?","~?"),'Calculations'!$HN$13:$HN$512,"="&amp;SUBSTITUTE(SUBSTITUTE(SUBSTITUTE('Dashboard'!$B$7,"~","~~"),"*","~*"),"?","~?"))+COUNTIFS('Calculations'!$HS$13:$HS$512,"="&amp;SUBSTITUTE(SUBSTITUTE(SUBSTITUTE('Calculations'!HF443,"~","~~"),"*","~*"),"?","~?"),'Calculations'!$HN$13:$HN$512,"="&amp;SUBSTITUTE(SUBSTITUTE(SUBSTITUTE('Dashboard'!$B$7,"~","~~"),"*","~*"),"?","~?"))+COUNTIFS('Calculations'!$HT$13:$HT$512,"="&amp;SUBSTITUTE(SUBSTITUTE(SUBSTITUTE('Calculations'!HF443,"~","~~"),"*","~*"),"?","~?"),'Calculations'!$HN$13:$HN$512,"="&amp;SUBSTITUTE(SUBSTITUTE(SUBSTITUTE('Dashboard'!$B$7,"~","~~"),"*","~*"),"?","~?"))+COUNTIFS('Calculations'!$HU$13:$HU$512,"="&amp;SUBSTITUTE(SUBSTITUTE(SUBSTITUTE('Calculations'!HF443,"~","~~"),"*","~*"),"?","~?"),'Calculations'!$HN$13:$HN$512,"="&amp;SUBSTITUTE(SUBSTITUTE(SUBSTITUTE('Dashboard'!$B$7,"~","~~"),"*","~*"),"?","~?"))+COUNTIFS('Calculations'!$HV$13:$HV$512,"="&amp;SUBSTITUTE(SUBSTITUTE(SUBSTITUTE('Calculations'!HF443,"~","~~"),"*","~*"),"?","~?"),'Calculations'!$HN$13:$HN$512,"="&amp;SUBSTITUTE(SUBSTITUTE(SUBSTITUTE('Dashboard'!$B$7,"~","~~"),"*","~*"),"?","~?"))+COUNTIFS('Calculations'!$HW$13:$HW$512,"="&amp;SUBSTITUTE(SUBSTITUTE(SUBSTITUTE('Calculations'!HF443,"~","~~"),"*","~*"),"?","~?"),'Calculations'!$HN$13:$HN$512,"="&amp;SUBSTITUTE(SUBSTITUTE(SUBSTITUTE('Dashboard'!$B$7,"~","~~"),"*","~*"),"?","~?"))+COUNTIFS('Calculations'!$HX$13:$HX$512,"="&amp;SUBSTITUTE(SUBSTITUTE(SUBSTITUTE('Calculations'!HF443,"~","~~"),"*","~*"),"?","~?"),'Calculations'!$HN$13:$HN$512,"="&amp;SUBSTITUTE(SUBSTITUTE(SUBSTITUTE('Dashboard'!$B$7,"~","~~"),"*","~*"),"?","~?"))+COUNTIFS('Calculations'!$HY$13:$HY$512,"="&amp;SUBSTITUTE(SUBSTITUTE(SUBSTITUTE('Calculations'!HF443,"~","~~"),"*","~*"),"?","~?"),'Calculations'!$HN$13:$HN$512,"="&amp;SUBSTITUTE(SUBSTITUTE(SUBSTITUTE('Dashboard'!$B$7,"~","~~"),"*","~*"),"?","~?"))+COUNTIFS('Calculations'!$HZ$13:$HZ$512,"="&amp;SUBSTITUTE(SUBSTITUTE(SUBSTITUTE('Calculations'!HF443,"~","~~"),"*","~*"),"?","~?"),'Calculations'!$HN$13:$HN$512,"="&amp;SUBSTITUTE(SUBSTITUTE(SUBSTITUTE('Dashboard'!$B$7,"~","~~"),"*","~*"),"?","~?"))+COUNTIFS('Calculations'!$IA$13:$IA$512,"="&amp;SUBSTITUTE(SUBSTITUTE(SUBSTITUTE('Calculations'!HF443,"~","~~"),"*","~*"),"?","~?"),'Calculations'!$HN$13:$HN$512,"="&amp;SUBSTITUTE(SUBSTITUTE(SUBSTITUTE('Dashboard'!$B$7,"~","~~"),"*","~*"),"?","~?"))+COUNTIFS('Calculations'!$IB$13:$IB$512,"="&amp;SUBSTITUTE(SUBSTITUTE(SUBSTITUTE('Calculations'!HF443,"~","~~"),"*","~*"),"?","~?"),'Calculations'!$HN$13:$HN$512,"="&amp;SUBSTITUTE(SUBSTITUTE(SUBSTITUTE('Dashboard'!$B$7,"~","~~"),"*","~*"),"?","~?"))+COUNTIFS('Calculations'!$IC$13:$IC$512,"="&amp;SUBSTITUTE(SUBSTITUTE(SUBSTITUTE('Calculations'!HF443,"~","~~"),"*","~*"),"?","~?"),'Calculations'!$HN$13:$HN$512,"="&amp;SUBSTITUTE(SUBSTITUTE(SUBSTITUTE('Dashboard'!$B$7,"~","~~"),"*","~*"),"?","~?"))+COUNTIFS('Calculations'!$ID$13:$ID$512,"="&amp;SUBSTITUTE(SUBSTITUTE(SUBSTITUTE('Calculations'!HF443,"~","~~"),"*","~*"),"?","~?"),'Calculations'!$HN$13:$HN$512,"="&amp;SUBSTITUTE(SUBSTITUTE(SUBSTITUTE('Dashboard'!$B$7,"~","~~"),"*","~*"),"?","~?"))+COUNTIFS('Calculations'!$IE$13:$IE$512,"="&amp;SUBSTITUTE(SUBSTITUTE(SUBSTITUTE('Calculations'!HF443,"~","~~"),"*","~*"),"?","~?"),'Calculations'!$HN$13:$HN$512,"="&amp;SUBSTITUTE(SUBSTITUTE(SUBSTITUTE('Dashboard'!$B$7,"~","~~"),"*","~*"),"?","~?"))+COUNTIFS('Calculations'!$IF$13:$IF$512,"="&amp;SUBSTITUTE(SUBSTITUTE(SUBSTITUTE('Calculations'!HF443,"~","~~"),"*","~*"),"?","~?"),'Calculations'!$HN$13:$HN$512,"="&amp;SUBSTITUTE(SUBSTITUTE(SUBSTITUTE('Dashboard'!$B$7,"~","~~"),"*","~*"),"?","~?"))+COUNTIFS('Calculations'!$IG$13:$IG$512,"="&amp;SUBSTITUTE(SUBSTITUTE(SUBSTITUTE('Calculations'!HF443,"~","~~"),"*","~*"),"?","~?"),'Calculations'!$HN$13:$HN$512,"="&amp;SUBSTITUTE(SUBSTITUTE(SUBSTITUTE('Dashboard'!$B$7,"~","~~"),"*","~*"),"?","~?"))+COUNTIFS('Calculations'!$IH$13:$IH$512,"="&amp;SUBSTITUTE(SUBSTITUTE(SUBSTITUTE('Calculations'!HF443,"~","~~"),"*","~*"),"?","~?"),'Calculations'!$HN$13:$HN$512,"="&amp;SUBSTITUTE(SUBSTITUTE(SUBSTITUTE('Dashboard'!$B$7,"~","~~"),"*","~*"),"?","~?"))))</x:f>
        <x:v>0</x:v>
      </x:c>
      <x:c r="JD443" t="n">
        <x:f>IF('Calculations'!EM443="",0,IF('Dashboard'!$B$7="All",1,IF('Calculations'!HN443='Dashboard'!$B$7,1,0)+IFERROR(INDEX('Calculations'!$JC$13:$JC$512,MATCH('Calculations'!HE443,'Calculations'!$HF$13:$HF$512,0)),0)))</x:f>
        <x:v>0</x:v>
      </x:c>
      <x:c r="JE443" t="n">
        <x:f>IF(AND('Calculations'!EM443&lt;&gt;"",'Calculations'!$JJ$2&lt;&gt;"All",'Calculations'!$JJ$2&lt;&gt;"",'Calculations'!HF443='Calculations'!$JJ$2,'Calculations'!HL443=0,'Calculations'!JD443&gt;0),MAX('Calculations'!$JE$12:JE442)+1,0)</x:f>
        <x:v>0</x:v>
      </x:c>
      <x:c r="JF443" t="str">
        <x:f>IF('Calculations'!EM443="","",IFERROR(IF(INDEX(INDIRECT("'WCM Calibration Final'!$G$1:$G$2000"),'Calculations'!$EM443)="","",TRIM(INDEX(INDIRECT("'WCM Calibration Final'!$G$1:$G$2000"),'Calculations'!$EM443)&amp;"")),""))</x:f>
      </x:c>
      <x:c r="JQ443" t="n">
        <x:f>IF(OR('Calculations'!BM443=0,NOT('Calculations'!$AG$2),'Calculations'!$AG$8&gt;0),0,IF(OR('Dashboard'!$B$7="All",'Calculations'!HN443='Dashboard'!$B$7),IF('Calculations'!$JJ$2="All",1,IF(AND('Calculations'!HF443='Calculations'!$JJ$2,'Calculations'!HL443=0),1,0)),0))</x:f>
        <x:v>0</x:v>
      </x:c>
    </x:row>
    <x:row r="444">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t="n">
        <x:f>IF('Calculations'!$EM444="",0,IF(OR(IFERROR(INDEX(INDIRECT("'WCM Calibration Final'!$A$1:$A$2000"),'Calculations'!$EM444)&lt;&gt;"",FALSE),IFERROR(INDEX(INDIRECT("'WCM Calibration Final'!$B$1:$B$2000"),'Calculations'!$EM444)&lt;&gt;"",FALSE),IFERROR(INDEX(INDIRECT("'WCM Calibration Final'!$C$1:$C$2000"),'Calculations'!$EM444)&lt;&gt;"",FALSE)),1,0))</x:f>
        <x:v>0</x:v>
      </x:c>
      <x:c r="BN444" s="4" t="n">
        <x:f>IF(AND('Calculations'!BM444=1,'Calculations'!$AG$2,'Calculations'!$EN444=1),1,0)</x:f>
        <x:v>0</x:v>
      </x:c>
      <x:c r="BO444" s="4" t="str">
        <x:f>IF('Calculations'!BM444=0,"",IFERROR(IF(AND(VALUE(INDEX(INDIRECT("'WCM Calibration Final'!$K$1:$K$2000"),'Calculations'!$EM444))&gt;=1,VALUE(INDEX(INDIRECT("'WCM Calibration Final'!$K$1:$K$2000"),'Calculations'!$EM444))&lt;=4,MOD(VALUE(INDEX(INDIRECT("'WCM Calibration Final'!$K$1:$K$2000"),'Calculations'!$EM444)),1)=0),VALUE(INDEX(INDIRECT("'WCM Calibration Final'!$K$1:$K$2000"),'Calculations'!$EM444)),""),""))</x:f>
      </x:c>
      <x:c r="BP444" s="4" t="str">
        <x:f>IF('Calculations'!BM444=0,"",IFERROR(IF(AND(VALUE(INDEX(INDIRECT("'WCM Calibration Final'!$L$1:$L$2000"),'Calculations'!$EM444))&gt;=1,VALUE(INDEX(INDIRECT("'WCM Calibration Final'!$L$1:$L$2000"),'Calculations'!$EM444))&lt;=4,MOD(VALUE(INDEX(INDIRECT("'WCM Calibration Final'!$L$1:$L$2000"),'Calculations'!$EM444)),1)=0),VALUE(INDEX(INDIRECT("'WCM Calibration Final'!$L$1:$L$2000"),'Calculations'!$EM444)),""),""))</x:f>
      </x:c>
      <x:c r="BQ444" s="4"/>
      <x:c r="BR444" s="4"/>
      <x:c r="BS444" s="4"/>
      <x:c r="BT444" s="4" t="n">
        <x:f>IF(AND('Calculations'!BM444=1,ISNUMBER('Calculations'!BO444),ISNUMBER('Calculations'!BP444)),1,0)</x:f>
        <x:v>0</x:v>
      </x:c>
      <x:c r="BU444" s="4" t="str">
        <x:f>IF('Calculations'!BM444=0,"",'Calculations'!$EO444)</x:f>
      </x:c>
      <x:c r="BV444" s="4" t="str">
        <x:f>IF('Calculations'!BM444=0,"",IFERROR(IF(OR(INDEX(INDIRECT("'WCM Calibration Final'!$H$1:$H$2000"),'Calculations'!$EM444)="MANAGING DIRECTOR",INDEX(INDIRECT("'WCM Calibration Final'!$H$1:$H$2000"),'Calculations'!$EM444)="DIRECTOR",INDEX(INDIRECT("'WCM Calibration Final'!$H$1:$H$2000"),'Calculations'!$EM444)="SENIOR VICE PRESIDENT",INDEX(INDIRECT("'WCM Calibration Final'!$H$1:$H$2000"),'Calculations'!$EM444)="VICE PRESIDENT",INDEX(INDIRECT("'WCM Calibration Final'!$H$1:$H$2000"),'Calculations'!$EM444)="ASSISTANT VICE PRESIDENT",INDEX(INDIRECT("'WCM Calibration Final'!$H$1:$H$2000"),'Calculations'!$EM444)="OFFICER"),UPPER(INDEX(INDIRECT("'WCM Calibration Final'!$H$1:$H$2000"),'Calculations'!$EM444)),"Other"),"Other"))</x:f>
      </x:c>
      <x:c r="BW444" s="4"/>
      <x:c r="BX444" s="4"/>
      <x:c r="BY444" s="4" t="n">
        <x:f>IF(AND('Calculations'!BM444=1,'Calculations'!BU444&lt;&gt;"",COUNTIF('Calculations'!$BU$12:BU444,'Calculations'!BU444)=1),MAX('Calculations'!$BY$11:BY443)+1,0)</x:f>
        <x:v>0</x:v>
      </x:c>
      <x:c r="BZ444" s="4" t="str">
        <x:f>IF('Dashboard'!$E$67="What",'Calculations'!BO444,'Calculations'!BP444)</x:f>
      </x:c>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t="str">
        <x:f>IF(433&gt;MAX('Calculations'!$HI$13:$HI$512),"",INDEX('Calculations'!$HN$13:$HN$512,MATCH(433,'Calculations'!$HI$13:$HI$512,0)))</x:f>
      </x:c>
      <x:c r="DB444" s="4" t="str">
        <x:f>IF(433&gt;MAX('Calculations'!$HH$13:$HH$512),"",INDEX('Calculations'!$HJ$13:$HJ$512,MATCH(433,'Calculations'!$HH$13:$HH$512,0)))</x:f>
      </x:c>
      <x:c r="DC444" s="4" t="str">
        <x:f>IF(ROW()-11&gt;MAX('Calculations'!$BY$13:$BY$512),"",INDEX('Calculations'!$BU$13:$BU$512,MATCH(ROW()-11,'Calculations'!$BY$13:$BY$512,0)))</x:f>
      </x:c>
      <x:c r="DD444" s="4" t="str">
        <x:f>IF(433&gt;MAX('Calculations'!$IK$13:$IK$512),"",INDEX('Calculations'!$HK$13:$HK$512,MATCH(433,'Calculations'!$IK$13:$IK$512,0)))</x:f>
      </x:c>
      <x:c r="DE444" s="4" t="str">
        <x:f>'Calculations'!DC444</x:f>
      </x:c>
      <x:c r="DF444" s="4" t="str">
        <x:f>IF('Calculations'!DE444="","",COUNTIFS('Calculations'!$BN$13:$BN$512,1,'Calculations'!$BU$13:$BU$512,'Calculations'!DE444))</x:f>
      </x:c>
      <x:c r="DG444" s="4" t="str">
        <x:f>IF('Calculations'!DE444="","",COUNTIFS('Calculations'!$BN$13:$BN$512,1,'Calculations'!$BU$13:$BU$512,'Calculations'!DE444,'Calculations'!$BT$13:$BT$512,1))</x:f>
      </x:c>
      <x:c r="DH444" s="4" t="str">
        <x:f>IF('Calculations'!DE444="","",'Calculations'!DF444-'Calculations'!DG444)</x:f>
      </x:c>
      <x:c r="DI444" s="4" t="str">
        <x:f>IF(OR('Calculations'!DE444="",'Calculations'!DF444=0),"",'Calculations'!DG444/'Calculations'!DF444)</x:f>
      </x:c>
      <x:c r="DJ444" s="4" t="str">
        <x:f>IF('Calculations'!DE444="","",COUNTIFS('Calculations'!$BN$13:$BN$512,1,'Calculations'!$BU$13:$BU$512,'Calculations'!DE444,'Calculations'!$BT$13:$BT$512,1,'Calculations'!$EE$13:$EE$512,"High"))</x:f>
      </x:c>
      <x:c r="DK444" s="4" t="str">
        <x:f>IF('Calculations'!DE444="","",COUNTIFS('Calculations'!$BN$13:$BN$512,1,'Calculations'!$BU$13:$BU$512,'Calculations'!DE444,'Calculations'!$BT$13:$BT$512,1,'Calculations'!$EE$13:$EE$512,"Strong"))</x:f>
      </x:c>
      <x:c r="DL444" s="4" t="str">
        <x:f>IF('Calculations'!DE444="","",COUNTIFS('Calculations'!$BN$13:$BN$512,1,'Calculations'!$BU$13:$BU$512,'Calculations'!DE444,'Calculations'!$BT$13:$BT$512,1,'Calculations'!$EE$13:$EE$512,"Solid"))</x:f>
      </x:c>
      <x:c r="DM444" s="4" t="str">
        <x:f>IF('Calculations'!DE444="","",COUNTIFS('Calculations'!$BN$13:$BN$512,1,'Calculations'!$BU$13:$BU$512,'Calculations'!DE444,'Calculations'!$BT$13:$BT$512,1,'Calculations'!$EE$13:$EE$512,"Low"))</x:f>
      </x:c>
      <x:c r="DN444" s="4" t="str">
        <x:f>IF('Calculations'!DE444="","",COUNTIFS('Calculations'!$BN$13:$BN$512,1,'Calculations'!$BU$13:$BU$512,'Calculations'!DE444,'Calculations'!$EP$13:$EP$512,1))</x:f>
      </x:c>
      <x:c r="DO444" s="4" t="str">
        <x:f>IF(OR('Calculations'!DE444="",'Calculations'!DG444=0),"",('Calculations'!DJ444+'Calculations'!DK444)/'Calculations'!DG444)</x:f>
      </x:c>
      <x:c r="DP444" s="4" t="n">
        <x:f>IF(AND('Calculations'!DE444&lt;&gt;"",'Calculations'!DF444&gt;0),COUNTIF('Calculations'!$DF$12:DF444,"&gt;0"),0)</x:f>
        <x:v>0</x:v>
      </x:c>
      <x:c r="DQ444" s="4" t="str">
        <x:f>IF(433&gt;MAX('Calculations'!$HH$13:$HH$512),"",INDEX('Calculations'!$HF$13:$HF$512,MATCH(433,'Calculations'!$HH$13:$HH$512,0)))</x:f>
      </x:c>
      <x:c r="DR444" s="4" t="str">
        <x:f>IF(433&gt;MAX('Calculations'!$IK$13:$IK$512),"",INDEX('Calculations'!$HE$13:$HE$512,MATCH(433,'Calculations'!$IK$13:$IK$512,0)))</x:f>
      </x:c>
      <x:c r="DS444" s="4"/>
      <x:c r="DT444" s="4"/>
      <x:c r="DU444" s="4"/>
      <x:c r="DV444" s="4"/>
      <x:c r="DW444" s="4"/>
      <x:c r="DX444" s="4"/>
      <x:c r="DY444" s="4"/>
      <x:c r="DZ444" s="4"/>
      <x:c r="EA444" s="4"/>
      <x:c r="EB444" s="4"/>
      <x:c r="EC444" s="4"/>
      <x:c r="ED444" s="4"/>
      <x:c r="EE444" s="4" t="str">
        <x:f>IF('Calculations'!BT444=0,"Not Rated",IF(OR('Calculations'!BO444&gt;=4,'Calculations'!BP444&gt;=4),"Low",IF('Calculations'!BO444+'Calculations'!BP444&lt;=3,"High",IF('Calculations'!BO444+'Calculations'!BP444&lt;=4,"Strong","Solid"))))</x:f>
        <x:v>Not Rated</x:v>
      </x:c>
      <x:c r="EF444" s="4"/>
      <x:c r="EG444" s="4"/>
      <x:c r="EH444" s="4"/>
      <x:c r="EI444" s="4"/>
      <x:c r="EJ444" s="4"/>
      <x:c r="EK444" s="4"/>
      <x:c r="EL444" s="4"/>
      <x:c r="EM444" s="4" t="str">
        <x:f>IF(432&gt;'Calculations'!$JB$2000,"",INDEX('Calculations'!$JA$12:$JA$2000,MATCH(432,'Calculations'!$JB$12:$JB$2000,0)))</x:f>
      </x:c>
      <x:c r="EN444" s="4" t="n">
        <x:f>IF(OR('Calculations'!EM444="",'Calculations'!$AG$8&gt;0,AND('Calculations'!$EF$2&lt;&gt;"All",'Calculations'!HE444='Calculations'!$EF$2),AND('Calculations'!$EF$3&lt;&gt;"All",'Calculations'!HE444='Calculations'!$EF$3)),0,IF(OR('Dashboard'!$B$7="All",'Calculations'!HN444='Dashboard'!$B$7),IF('Calculations'!$EF$2="All",1,IF('Calculations'!HL444&gt;0,0,IF(COUNTIF('Calculations'!HO444:II444,"="&amp;SUBSTITUTE(SUBSTITUTE(SUBSTITUTE('Calculations'!$EF$2,"~","~~"),"*","~*"),"?","~?"))=0,0,IF('Calculations'!$EF$3="All",1,IF(COUNTIF('Calculations'!HO444:II444,"="&amp;SUBSTITUTE(SUBSTITUTE(SUBSTITUTE('Calculations'!$EF$3,"~","~~"),"*","~*"),"?","~?"))&gt;0,1,0))))),0))</x:f>
        <x:v>0</x:v>
      </x:c>
      <x:c r="EO444" s="4" t="str">
        <x:f>IF('Calculations'!IJ444="","",IF('Calculations'!IJ444="!UNRESOLVED","Unresolved hierarchy",IFERROR(INDEX('Calculations'!$HK$13:$HK$512,MATCH('Calculations'!IJ444,'Calculations'!$HE$13:$HE$512,0)),IFERROR(INDEX('Calculations'!$HJ$13:$HJ$512,MATCH('Calculations'!IJ444,'Calculations'!$HF$13:$HF$512,0)),'Calculations'!IJ444))))</x:f>
      </x:c>
      <x:c r="EP444" s="4" t="n">
        <x:f>IF(AND('Calculations'!EM444&lt;&gt;"",'Calculations'!HF444='Calculations'!IJ444),1,0)</x:f>
        <x:v>0</x:v>
      </x:c>
      <x:c r="EQ444" s="4"/>
      <x:c r="ER444" s="4"/>
      <x:c r="ES444" s="4"/>
      <x:c r="ET444" s="4"/>
      <x:c r="EU444" s="4"/>
      <x:c r="EV444" s="4"/>
      <x:c r="EW444" s="4"/>
      <x:c r="EX444" s="4"/>
      <x:c r="EY444" s="4"/>
      <x:c r="EZ444" s="4"/>
      <x:c r="FA444" s="4"/>
      <x:c r="FB444" s="4"/>
      <x:c r="FC444" s="4"/>
      <x:c r="FD444" s="4"/>
      <x:c r="FE444" s="4"/>
      <x:c r="FF444" s="4"/>
      <x:c r="FG444" s="4"/>
      <x:c r="FH444" s="4"/>
      <x:c r="FI444" s="4"/>
      <x:c r="FJ444" s="4"/>
      <x:c r="FK444" s="4"/>
      <x:c r="FL444" s="4"/>
      <x:c r="FM444" s="4"/>
      <x:c r="FN444" s="4"/>
      <x:c r="FO444" s="4"/>
      <x:c r="HE444" t="str">
        <x:f>IF('Calculations'!EM444="","",IF(IFERROR(IF(INDEX(INDIRECT("'WCM Calibration Final'!$A$1:$A$2000"),'Calculations'!$EM444)="","",TRIM(INDEX(INDIRECT("'WCM Calibration Final'!$A$1:$A$2000"),'Calculations'!$EM444)&amp;"")),"")&lt;&gt;"","G:"&amp;IFERROR(TEXT(1*INDEX(INDIRECT("'WCM Calibration Final'!$A$1:$A$2000"),'Calculations'!$EM444),"0"),UPPER(IFERROR(IF(INDEX(INDIRECT("'WCM Calibration Final'!$A$1:$A$2000"),'Calculations'!$EM444)="","",TRIM(INDEX(INDIRECT("'WCM Calibration Final'!$A$1:$A$2000"),'Calculations'!$EM444)&amp;"")),""))),IF(IFERROR(IF(INDEX(INDIRECT("'WCM Calibration Final'!$C$1:$C$2000"),'Calculations'!$EM444)="","",TRIM(INDEX(INDIRECT("'WCM Calibration Final'!$C$1:$C$2000"),'Calculations'!$EM444)&amp;"")),"")&lt;&gt;"","S:"&amp;UPPER(IFERROR(IF(INDEX(INDIRECT("'WCM Calibration Final'!$C$1:$C$2000"),'Calculations'!$EM444)="","",TRIM(INDEX(INDIRECT("'WCM Calibration Final'!$C$1:$C$2000"),'Calculations'!$EM444)&amp;"")),"")),"R:"&amp;'Calculations'!EM444)))</x:f>
      </x:c>
      <x:c r="HF444" t="str">
        <x:f>IF('Calculations'!EM444="","",IF(IFERROR(IF(INDEX(INDIRECT("'WCM Calibration Final'!$D$1:$D$2000"),'Calculations'!$EM444)="","",TRIM(INDEX(INDIRECT("'WCM Calibration Final'!$D$1:$D$2000"),'Calculations'!$EM444)&amp;"")),"")&lt;&gt;"","G:"&amp;IFERROR(TEXT(1*INDEX(INDIRECT("'WCM Calibration Final'!$D$1:$D$2000"),'Calculations'!$EM444),"0"),UPPER(IFERROR(IF(INDEX(INDIRECT("'WCM Calibration Final'!$D$1:$D$2000"),'Calculations'!$EM444)="","",TRIM(INDEX(INDIRECT("'WCM Calibration Final'!$D$1:$D$2000"),'Calculations'!$EM444)&amp;"")),""))),IF(IFERROR(IF(INDEX(INDIRECT("'WCM Calibration Final'!$E$1:$E$2000"),'Calculations'!$EM444)="","",TRIM(INDEX(INDIRECT("'WCM Calibration Final'!$E$1:$E$2000"),'Calculations'!$EM444)&amp;"")),"")="","",IF(COUNTIF('Calculations'!$HG$13:$HG$512,"="&amp;SUBSTITUTE(SUBSTITUTE(SUBSTITUTE(IFERROR(IF(INDEX(INDIRECT("'WCM Calibration Final'!$E$1:$E$2000"),'Calculations'!$EM444)="","",TRIM(INDEX(INDIRECT("'WCM Calibration Final'!$E$1:$E$2000"),'Calculations'!$EM444)&amp;"")),""),"~","~~"),"*","~*"),"?","~?"))=1,INDEX('Calculations'!$HE$13:$HE$512,MATCH(IFERROR(IF(INDEX(INDIRECT("'WCM Calibration Final'!$E$1:$E$2000"),'Calculations'!$EM444)="","",TRIM(INDEX(INDIRECT("'WCM Calibration Final'!$E$1:$E$2000"),'Calculations'!$EM444)&amp;"")),""),'Calculations'!$HG$13:$HG$512,0)),IF(COUNTIF('Calculations'!$HG$13:$HG$512,"="&amp;SUBSTITUTE(SUBSTITUTE(SUBSTITUTE(IFERROR(IF(INDEX(INDIRECT("'WCM Calibration Final'!$E$1:$E$2000"),'Calculations'!$EM444)="","",TRIM(INDEX(INDIRECT("'WCM Calibration Final'!$E$1:$E$2000"),'Calculations'!$EM444)&amp;"")),""),"~","~~"),"*","~*"),"?","~?"))&gt;1,"!AMBIG","X:"&amp;IFERROR(IF(INDEX(INDIRECT("'WCM Calibration Final'!$E$1:$E$2000"),'Calculations'!$EM444)="","",TRIM(INDEX(INDIRECT("'WCM Calibration Final'!$E$1:$E$2000"),'Calculations'!$EM444)&amp;"")),""))))))</x:f>
      </x:c>
      <x:c r="HG444" t="str">
        <x:f>IF('Calculations'!EM444="","",IFERROR(IF(INDEX(INDIRECT("'WCM Calibration Final'!$B$1:$B$2000"),'Calculations'!$EM444)="","",TRIM(INDEX(INDIRECT("'WCM Calibration Final'!$B$1:$B$2000"),'Calculations'!$EM444)&amp;"")),""))</x:f>
      </x:c>
      <x:c r="HH444" t="n">
        <x:f>IF(AND('Calculations'!JC444&gt;0,COUNTIF('Calculations'!$HF$12:HF444,"="&amp;SUBSTITUTE(SUBSTITUTE(SUBSTITUTE('Calculations'!HF444,"~","~~"),"*","~*"),"?","~?"))=1),MAX('Calculations'!$HH$12:HH443)+1,0)</x:f>
        <x:v>0</x:v>
      </x:c>
      <x:c r="HI444" t="n">
        <x:f>IF(AND('Calculations'!HN444&lt;&gt;"",COUNTIF('Calculations'!$HN$12:HN444,"="&amp;SUBSTITUTE(SUBSTITUTE(SUBSTITUTE('Calculations'!HN444,"~","~~"),"*","~*"),"?","~?"))=1),MAX('Calculations'!$HI$12:HI443)+1,0)</x:f>
        <x:v>0</x:v>
      </x:c>
      <x:c r="HJ444" t="str">
        <x:f>IF('Calculations'!HF444="","",IF(COUNTIF('Calculations'!$HE$13:$HE$512,"="&amp;SUBSTITUTE(SUBSTITUTE(SUBSTITUTE('Calculations'!HF444,"~","~~"),"*","~*"),"?","~?"))=1,INDEX('Calculations'!$HK$13:$HK$512,MATCH('Calculations'!HF444,'Calculations'!$HE$13:$HE$512,0)),IFERROR(IF(INDEX(INDIRECT("'WCM Calibration Final'!$E$1:$E$2000"),'Calculations'!$EM444)="","",TRIM(INDEX(INDIRECT("'WCM Calibration Final'!$E$1:$E$2000"),'Calculations'!$EM444)&amp;"")),"")&amp;" ["&amp;'Calculations'!HF444&amp;"]"))</x:f>
      </x:c>
      <x:c r="HK444" t="str">
        <x:f>IF('Calculations'!EM444="","",'Calculations'!HG444&amp;" ["&amp;'Calculations'!HE444&amp;"]")</x:f>
      </x:c>
      <x:c r="HL444" t="n">
        <x:f>IF('Calculations'!EM444="",0,IF(OR('Calculations'!II444&lt;&gt;"",COUNTIF('Calculations'!$HE$13:$HE$512,"="&amp;SUBSTITUTE(SUBSTITUTE(SUBSTITUTE('Calculations'!HE444,"~","~~"),"*","~*"),"?","~?"))&gt;1),1,0))</x:f>
        <x:v>0</x:v>
      </x:c>
      <x:c r="HM444" t="str">
        <x:f>IF('Calculations'!EM444="","",IF('Calculations'!HL444=1,"!UNRESOLVED",IF('Calculations'!IH444&lt;&gt;"",'Calculations'!IH444,IF('Calculations'!IG444&lt;&gt;"",'Calculations'!IG444,IF('Calculations'!IF444&lt;&gt;"",'Calculations'!IF444,IF('Calculations'!IE444&lt;&gt;"",'Calculations'!IE444,IF('Calculations'!ID444&lt;&gt;"",'Calculations'!ID444,IF('Calculations'!IC444&lt;&gt;"",'Calculations'!IC444,IF('Calculations'!IB444&lt;&gt;"",'Calculations'!IB444,IF('Calculations'!IA444&lt;&gt;"",'Calculations'!IA444,IF('Calculations'!HZ444&lt;&gt;"",'Calculations'!HZ444,IF('Calculations'!HY444&lt;&gt;"",'Calculations'!HY444,IF('Calculations'!HX444&lt;&gt;"",'Calculations'!HX444,IF('Calculations'!HW444&lt;&gt;"",'Calculations'!HW444,IF('Calculations'!HV444&lt;&gt;"",'Calculations'!HV444,IF('Calculations'!HU444&lt;&gt;"",'Calculations'!HU444,IF('Calculations'!HT444&lt;&gt;"",'Calculations'!HT444,IF('Calculations'!HS444&lt;&gt;"",'Calculations'!HS444,IF('Calculations'!HR444&lt;&gt;"",'Calculations'!HR444,IF('Calculations'!HQ444&lt;&gt;"",'Calculations'!HQ444,IF('Calculations'!HP444&lt;&gt;"",'Calculations'!HP444,IF('Calculations'!HO444&lt;&gt;"",'Calculations'!HO444,'Calculations'!HE444))))))))))))))))))))))</x:f>
      </x:c>
      <x:c r="HN444" t="str">
        <x:f>IF('Calculations'!EM444="","",IF(IFERROR(IF(INDEX(INDIRECT("'WCM Calibration Final'!$F$1:$F$2000"),'Calculations'!$EM444)="","",TRIM(INDEX(INDIRECT("'WCM Calibration Final'!$F$1:$F$2000"),'Calculations'!$EM444)&amp;"")),"")="","(Blank)",IFERROR(IF(INDEX(INDIRECT("'WCM Calibration Final'!$F$1:$F$2000"),'Calculations'!$EM444)="","",TRIM(INDEX(INDIRECT("'WCM Calibration Final'!$F$1:$F$2000"),'Calculations'!$EM444)&amp;"")),"")))</x:f>
      </x:c>
      <x:c r="HO444" t="str">
        <x:f>'Calculations'!HF444</x:f>
      </x:c>
      <x:c r="HP444" t="str">
        <x:f>IF('Calculations'!HO444="","",IF('Calculations'!HO444="!AMBIG","!AMBIG",IF(COUNTIF('Calculations'!$HE$13:$HE$512,"="&amp;SUBSTITUTE(SUBSTITUTE(SUBSTITUTE('Calculations'!HO444,"~","~~"),"*","~*"),"?","~?"))&gt;1,"!AMBIG",IFERROR(INDEX('Calculations'!$HF$13:$HF$512,MATCH('Calculations'!HO444,'Calculations'!$HE$13:$HE$512,0)),""))))</x:f>
      </x:c>
      <x:c r="HQ444" t="str">
        <x:f>IF('Calculations'!HP444="","",IF('Calculations'!HP444="!AMBIG","!AMBIG",IF(COUNTIF('Calculations'!$HE$13:$HE$512,"="&amp;SUBSTITUTE(SUBSTITUTE(SUBSTITUTE('Calculations'!HP444,"~","~~"),"*","~*"),"?","~?"))&gt;1,"!AMBIG",IFERROR(INDEX('Calculations'!$HF$13:$HF$512,MATCH('Calculations'!HP444,'Calculations'!$HE$13:$HE$512,0)),""))))</x:f>
      </x:c>
      <x:c r="HR444" t="str">
        <x:f>IF('Calculations'!HQ444="","",IF('Calculations'!HQ444="!AMBIG","!AMBIG",IF(COUNTIF('Calculations'!$HE$13:$HE$512,"="&amp;SUBSTITUTE(SUBSTITUTE(SUBSTITUTE('Calculations'!HQ444,"~","~~"),"*","~*"),"?","~?"))&gt;1,"!AMBIG",IFERROR(INDEX('Calculations'!$HF$13:$HF$512,MATCH('Calculations'!HQ444,'Calculations'!$HE$13:$HE$512,0)),""))))</x:f>
      </x:c>
      <x:c r="HS444" t="str">
        <x:f>IF('Calculations'!HR444="","",IF('Calculations'!HR444="!AMBIG","!AMBIG",IF(COUNTIF('Calculations'!$HE$13:$HE$512,"="&amp;SUBSTITUTE(SUBSTITUTE(SUBSTITUTE('Calculations'!HR444,"~","~~"),"*","~*"),"?","~?"))&gt;1,"!AMBIG",IFERROR(INDEX('Calculations'!$HF$13:$HF$512,MATCH('Calculations'!HR444,'Calculations'!$HE$13:$HE$512,0)),""))))</x:f>
      </x:c>
      <x:c r="HT444" t="str">
        <x:f>IF('Calculations'!HS444="","",IF('Calculations'!HS444="!AMBIG","!AMBIG",IF(COUNTIF('Calculations'!$HE$13:$HE$512,"="&amp;SUBSTITUTE(SUBSTITUTE(SUBSTITUTE('Calculations'!HS444,"~","~~"),"*","~*"),"?","~?"))&gt;1,"!AMBIG",IFERROR(INDEX('Calculations'!$HF$13:$HF$512,MATCH('Calculations'!HS444,'Calculations'!$HE$13:$HE$512,0)),""))))</x:f>
      </x:c>
      <x:c r="HU444" t="str">
        <x:f>IF('Calculations'!HT444="","",IF('Calculations'!HT444="!AMBIG","!AMBIG",IF(COUNTIF('Calculations'!$HE$13:$HE$512,"="&amp;SUBSTITUTE(SUBSTITUTE(SUBSTITUTE('Calculations'!HT444,"~","~~"),"*","~*"),"?","~?"))&gt;1,"!AMBIG",IFERROR(INDEX('Calculations'!$HF$13:$HF$512,MATCH('Calculations'!HT444,'Calculations'!$HE$13:$HE$512,0)),""))))</x:f>
      </x:c>
      <x:c r="HV444" t="str">
        <x:f>IF('Calculations'!HU444="","",IF('Calculations'!HU444="!AMBIG","!AMBIG",IF(COUNTIF('Calculations'!$HE$13:$HE$512,"="&amp;SUBSTITUTE(SUBSTITUTE(SUBSTITUTE('Calculations'!HU444,"~","~~"),"*","~*"),"?","~?"))&gt;1,"!AMBIG",IFERROR(INDEX('Calculations'!$HF$13:$HF$512,MATCH('Calculations'!HU444,'Calculations'!$HE$13:$HE$512,0)),""))))</x:f>
      </x:c>
      <x:c r="HW444" t="str">
        <x:f>IF('Calculations'!HV444="","",IF('Calculations'!HV444="!AMBIG","!AMBIG",IF(COUNTIF('Calculations'!$HE$13:$HE$512,"="&amp;SUBSTITUTE(SUBSTITUTE(SUBSTITUTE('Calculations'!HV444,"~","~~"),"*","~*"),"?","~?"))&gt;1,"!AMBIG",IFERROR(INDEX('Calculations'!$HF$13:$HF$512,MATCH('Calculations'!HV444,'Calculations'!$HE$13:$HE$512,0)),""))))</x:f>
      </x:c>
      <x:c r="HX444" t="str">
        <x:f>IF('Calculations'!HW444="","",IF('Calculations'!HW444="!AMBIG","!AMBIG",IF(COUNTIF('Calculations'!$HE$13:$HE$512,"="&amp;SUBSTITUTE(SUBSTITUTE(SUBSTITUTE('Calculations'!HW444,"~","~~"),"*","~*"),"?","~?"))&gt;1,"!AMBIG",IFERROR(INDEX('Calculations'!$HF$13:$HF$512,MATCH('Calculations'!HW444,'Calculations'!$HE$13:$HE$512,0)),""))))</x:f>
      </x:c>
      <x:c r="HY444" t="str">
        <x:f>IF('Calculations'!HX444="","",IF('Calculations'!HX444="!AMBIG","!AMBIG",IF(COUNTIF('Calculations'!$HE$13:$HE$512,"="&amp;SUBSTITUTE(SUBSTITUTE(SUBSTITUTE('Calculations'!HX444,"~","~~"),"*","~*"),"?","~?"))&gt;1,"!AMBIG",IFERROR(INDEX('Calculations'!$HF$13:$HF$512,MATCH('Calculations'!HX444,'Calculations'!$HE$13:$HE$512,0)),""))))</x:f>
      </x:c>
      <x:c r="HZ444" t="str">
        <x:f>IF('Calculations'!HY444="","",IF('Calculations'!HY444="!AMBIG","!AMBIG",IF(COUNTIF('Calculations'!$HE$13:$HE$512,"="&amp;SUBSTITUTE(SUBSTITUTE(SUBSTITUTE('Calculations'!HY444,"~","~~"),"*","~*"),"?","~?"))&gt;1,"!AMBIG",IFERROR(INDEX('Calculations'!$HF$13:$HF$512,MATCH('Calculations'!HY444,'Calculations'!$HE$13:$HE$512,0)),""))))</x:f>
      </x:c>
      <x:c r="IA444" t="str">
        <x:f>IF('Calculations'!HZ444="","",IF('Calculations'!HZ444="!AMBIG","!AMBIG",IF(COUNTIF('Calculations'!$HE$13:$HE$512,"="&amp;SUBSTITUTE(SUBSTITUTE(SUBSTITUTE('Calculations'!HZ444,"~","~~"),"*","~*"),"?","~?"))&gt;1,"!AMBIG",IFERROR(INDEX('Calculations'!$HF$13:$HF$512,MATCH('Calculations'!HZ444,'Calculations'!$HE$13:$HE$512,0)),""))))</x:f>
      </x:c>
      <x:c r="IB444" t="str">
        <x:f>IF('Calculations'!IA444="","",IF('Calculations'!IA444="!AMBIG","!AMBIG",IF(COUNTIF('Calculations'!$HE$13:$HE$512,"="&amp;SUBSTITUTE(SUBSTITUTE(SUBSTITUTE('Calculations'!IA444,"~","~~"),"*","~*"),"?","~?"))&gt;1,"!AMBIG",IFERROR(INDEX('Calculations'!$HF$13:$HF$512,MATCH('Calculations'!IA444,'Calculations'!$HE$13:$HE$512,0)),""))))</x:f>
      </x:c>
      <x:c r="IC444" t="str">
        <x:f>IF('Calculations'!IB444="","",IF('Calculations'!IB444="!AMBIG","!AMBIG",IF(COUNTIF('Calculations'!$HE$13:$HE$512,"="&amp;SUBSTITUTE(SUBSTITUTE(SUBSTITUTE('Calculations'!IB444,"~","~~"),"*","~*"),"?","~?"))&gt;1,"!AMBIG",IFERROR(INDEX('Calculations'!$HF$13:$HF$512,MATCH('Calculations'!IB444,'Calculations'!$HE$13:$HE$512,0)),""))))</x:f>
      </x:c>
      <x:c r="ID444" t="str">
        <x:f>IF('Calculations'!IC444="","",IF('Calculations'!IC444="!AMBIG","!AMBIG",IF(COUNTIF('Calculations'!$HE$13:$HE$512,"="&amp;SUBSTITUTE(SUBSTITUTE(SUBSTITUTE('Calculations'!IC444,"~","~~"),"*","~*"),"?","~?"))&gt;1,"!AMBIG",IFERROR(INDEX('Calculations'!$HF$13:$HF$512,MATCH('Calculations'!IC444,'Calculations'!$HE$13:$HE$512,0)),""))))</x:f>
      </x:c>
      <x:c r="IE444" t="str">
        <x:f>IF('Calculations'!ID444="","",IF('Calculations'!ID444="!AMBIG","!AMBIG",IF(COUNTIF('Calculations'!$HE$13:$HE$512,"="&amp;SUBSTITUTE(SUBSTITUTE(SUBSTITUTE('Calculations'!ID444,"~","~~"),"*","~*"),"?","~?"))&gt;1,"!AMBIG",IFERROR(INDEX('Calculations'!$HF$13:$HF$512,MATCH('Calculations'!ID444,'Calculations'!$HE$13:$HE$512,0)),""))))</x:f>
      </x:c>
      <x:c r="IF444" t="str">
        <x:f>IF('Calculations'!IE444="","",IF('Calculations'!IE444="!AMBIG","!AMBIG",IF(COUNTIF('Calculations'!$HE$13:$HE$512,"="&amp;SUBSTITUTE(SUBSTITUTE(SUBSTITUTE('Calculations'!IE444,"~","~~"),"*","~*"),"?","~?"))&gt;1,"!AMBIG",IFERROR(INDEX('Calculations'!$HF$13:$HF$512,MATCH('Calculations'!IE444,'Calculations'!$HE$13:$HE$512,0)),""))))</x:f>
      </x:c>
      <x:c r="IG444" t="str">
        <x:f>IF('Calculations'!IF444="","",IF('Calculations'!IF444="!AMBIG","!AMBIG",IF(COUNTIF('Calculations'!$HE$13:$HE$512,"="&amp;SUBSTITUTE(SUBSTITUTE(SUBSTITUTE('Calculations'!IF444,"~","~~"),"*","~*"),"?","~?"))&gt;1,"!AMBIG",IFERROR(INDEX('Calculations'!$HF$13:$HF$512,MATCH('Calculations'!IF444,'Calculations'!$HE$13:$HE$512,0)),""))))</x:f>
      </x:c>
      <x:c r="IH444" t="str">
        <x:f>IF('Calculations'!IG444="","",IF('Calculations'!IG444="!AMBIG","!AMBIG",IF(COUNTIF('Calculations'!$HE$13:$HE$512,"="&amp;SUBSTITUTE(SUBSTITUTE(SUBSTITUTE('Calculations'!IG444,"~","~~"),"*","~*"),"?","~?"))&gt;1,"!AMBIG",IFERROR(INDEX('Calculations'!$HF$13:$HF$512,MATCH('Calculations'!IG444,'Calculations'!$HE$13:$HE$512,0)),""))))</x:f>
      </x:c>
      <x:c r="II444" t="str">
        <x:f>IF('Calculations'!IH444="","",IF('Calculations'!IH444="!AMBIG","!AMBIG",IF(COUNTIF('Calculations'!$HE$13:$HE$512,"="&amp;SUBSTITUTE(SUBSTITUTE(SUBSTITUTE('Calculations'!IH444,"~","~~"),"*","~*"),"?","~?"))&gt;1,"!AMBIG",IFERROR(INDEX('Calculations'!$HF$13:$HF$512,MATCH('Calculations'!IH444,'Calculations'!$HE$13:$HE$512,0)),""))))</x:f>
      </x:c>
      <x:c r="IJ444" t="str">
        <x:f>IF('Calculations'!EM444="","",IF('Calculations'!$EF$2="All",'Calculations'!HM444,IF('Calculations'!HL444=1,"",IFERROR(IF(MATCH('Calculations'!$EF$2,'Calculations'!HO444:II444,0)=1,'Calculations'!HE444,INDEX('Calculations'!HO444:II444,1,MATCH('Calculations'!$EF$2,'Calculations'!HO444:II444,0)-1)),""))))</x:f>
      </x:c>
      <x:c r="IK444" t="n">
        <x:f>IF(AND('Calculations'!EM444&lt;&gt;"",'Calculations'!$EF$2&lt;&gt;"All",'Calculations'!HF444='Calculations'!$EF$2,'Calculations'!HL444=0,'Calculations'!JD444&gt;0),MAX('Calculations'!$IK$12:IK443)+1,0)</x:f>
        <x:v>0</x:v>
      </x:c>
      <x:c r="JA444" t="n">
        <x:f>IF(OR(IFERROR(INDIRECT("'WCM Calibration Final'!$A$444")&lt;&gt;"",FALSE),IFERROR(INDIRECT("'WCM Calibration Final'!$B$444")&lt;&gt;"",FALSE),IFERROR(INDIRECT("'WCM Calibration Final'!$C$444")&lt;&gt;"",FALSE)),444,0)</x:f>
        <x:v>0</x:v>
      </x:c>
      <x:c r="JB444" t="n">
        <x:f>'Calculations'!JB443+IF('Calculations'!JA444&gt;0,1,0)</x:f>
        <x:v>0</x:v>
      </x:c>
      <x:c r="JC444" t="n">
        <x:f>IF(OR('Calculations'!HF444="",'Calculations'!HF444="!AMBIG"),0,IF('Dashboard'!$B$7="All",1,COUNTIFS('Calculations'!$HO$13:$HO$512,"="&amp;SUBSTITUTE(SUBSTITUTE(SUBSTITUTE('Calculations'!HF444,"~","~~"),"*","~*"),"?","~?"),'Calculations'!$HN$13:$HN$512,"="&amp;SUBSTITUTE(SUBSTITUTE(SUBSTITUTE('Dashboard'!$B$7,"~","~~"),"*","~*"),"?","~?"))+COUNTIFS('Calculations'!$HP$13:$HP$512,"="&amp;SUBSTITUTE(SUBSTITUTE(SUBSTITUTE('Calculations'!HF444,"~","~~"),"*","~*"),"?","~?"),'Calculations'!$HN$13:$HN$512,"="&amp;SUBSTITUTE(SUBSTITUTE(SUBSTITUTE('Dashboard'!$B$7,"~","~~"),"*","~*"),"?","~?"))+COUNTIFS('Calculations'!$HQ$13:$HQ$512,"="&amp;SUBSTITUTE(SUBSTITUTE(SUBSTITUTE('Calculations'!HF444,"~","~~"),"*","~*"),"?","~?"),'Calculations'!$HN$13:$HN$512,"="&amp;SUBSTITUTE(SUBSTITUTE(SUBSTITUTE('Dashboard'!$B$7,"~","~~"),"*","~*"),"?","~?"))+COUNTIFS('Calculations'!$HR$13:$HR$512,"="&amp;SUBSTITUTE(SUBSTITUTE(SUBSTITUTE('Calculations'!HF444,"~","~~"),"*","~*"),"?","~?"),'Calculations'!$HN$13:$HN$512,"="&amp;SUBSTITUTE(SUBSTITUTE(SUBSTITUTE('Dashboard'!$B$7,"~","~~"),"*","~*"),"?","~?"))+COUNTIFS('Calculations'!$HS$13:$HS$512,"="&amp;SUBSTITUTE(SUBSTITUTE(SUBSTITUTE('Calculations'!HF444,"~","~~"),"*","~*"),"?","~?"),'Calculations'!$HN$13:$HN$512,"="&amp;SUBSTITUTE(SUBSTITUTE(SUBSTITUTE('Dashboard'!$B$7,"~","~~"),"*","~*"),"?","~?"))+COUNTIFS('Calculations'!$HT$13:$HT$512,"="&amp;SUBSTITUTE(SUBSTITUTE(SUBSTITUTE('Calculations'!HF444,"~","~~"),"*","~*"),"?","~?"),'Calculations'!$HN$13:$HN$512,"="&amp;SUBSTITUTE(SUBSTITUTE(SUBSTITUTE('Dashboard'!$B$7,"~","~~"),"*","~*"),"?","~?"))+COUNTIFS('Calculations'!$HU$13:$HU$512,"="&amp;SUBSTITUTE(SUBSTITUTE(SUBSTITUTE('Calculations'!HF444,"~","~~"),"*","~*"),"?","~?"),'Calculations'!$HN$13:$HN$512,"="&amp;SUBSTITUTE(SUBSTITUTE(SUBSTITUTE('Dashboard'!$B$7,"~","~~"),"*","~*"),"?","~?"))+COUNTIFS('Calculations'!$HV$13:$HV$512,"="&amp;SUBSTITUTE(SUBSTITUTE(SUBSTITUTE('Calculations'!HF444,"~","~~"),"*","~*"),"?","~?"),'Calculations'!$HN$13:$HN$512,"="&amp;SUBSTITUTE(SUBSTITUTE(SUBSTITUTE('Dashboard'!$B$7,"~","~~"),"*","~*"),"?","~?"))+COUNTIFS('Calculations'!$HW$13:$HW$512,"="&amp;SUBSTITUTE(SUBSTITUTE(SUBSTITUTE('Calculations'!HF444,"~","~~"),"*","~*"),"?","~?"),'Calculations'!$HN$13:$HN$512,"="&amp;SUBSTITUTE(SUBSTITUTE(SUBSTITUTE('Dashboard'!$B$7,"~","~~"),"*","~*"),"?","~?"))+COUNTIFS('Calculations'!$HX$13:$HX$512,"="&amp;SUBSTITUTE(SUBSTITUTE(SUBSTITUTE('Calculations'!HF444,"~","~~"),"*","~*"),"?","~?"),'Calculations'!$HN$13:$HN$512,"="&amp;SUBSTITUTE(SUBSTITUTE(SUBSTITUTE('Dashboard'!$B$7,"~","~~"),"*","~*"),"?","~?"))+COUNTIFS('Calculations'!$HY$13:$HY$512,"="&amp;SUBSTITUTE(SUBSTITUTE(SUBSTITUTE('Calculations'!HF444,"~","~~"),"*","~*"),"?","~?"),'Calculations'!$HN$13:$HN$512,"="&amp;SUBSTITUTE(SUBSTITUTE(SUBSTITUTE('Dashboard'!$B$7,"~","~~"),"*","~*"),"?","~?"))+COUNTIFS('Calculations'!$HZ$13:$HZ$512,"="&amp;SUBSTITUTE(SUBSTITUTE(SUBSTITUTE('Calculations'!HF444,"~","~~"),"*","~*"),"?","~?"),'Calculations'!$HN$13:$HN$512,"="&amp;SUBSTITUTE(SUBSTITUTE(SUBSTITUTE('Dashboard'!$B$7,"~","~~"),"*","~*"),"?","~?"))+COUNTIFS('Calculations'!$IA$13:$IA$512,"="&amp;SUBSTITUTE(SUBSTITUTE(SUBSTITUTE('Calculations'!HF444,"~","~~"),"*","~*"),"?","~?"),'Calculations'!$HN$13:$HN$512,"="&amp;SUBSTITUTE(SUBSTITUTE(SUBSTITUTE('Dashboard'!$B$7,"~","~~"),"*","~*"),"?","~?"))+COUNTIFS('Calculations'!$IB$13:$IB$512,"="&amp;SUBSTITUTE(SUBSTITUTE(SUBSTITUTE('Calculations'!HF444,"~","~~"),"*","~*"),"?","~?"),'Calculations'!$HN$13:$HN$512,"="&amp;SUBSTITUTE(SUBSTITUTE(SUBSTITUTE('Dashboard'!$B$7,"~","~~"),"*","~*"),"?","~?"))+COUNTIFS('Calculations'!$IC$13:$IC$512,"="&amp;SUBSTITUTE(SUBSTITUTE(SUBSTITUTE('Calculations'!HF444,"~","~~"),"*","~*"),"?","~?"),'Calculations'!$HN$13:$HN$512,"="&amp;SUBSTITUTE(SUBSTITUTE(SUBSTITUTE('Dashboard'!$B$7,"~","~~"),"*","~*"),"?","~?"))+COUNTIFS('Calculations'!$ID$13:$ID$512,"="&amp;SUBSTITUTE(SUBSTITUTE(SUBSTITUTE('Calculations'!HF444,"~","~~"),"*","~*"),"?","~?"),'Calculations'!$HN$13:$HN$512,"="&amp;SUBSTITUTE(SUBSTITUTE(SUBSTITUTE('Dashboard'!$B$7,"~","~~"),"*","~*"),"?","~?"))+COUNTIFS('Calculations'!$IE$13:$IE$512,"="&amp;SUBSTITUTE(SUBSTITUTE(SUBSTITUTE('Calculations'!HF444,"~","~~"),"*","~*"),"?","~?"),'Calculations'!$HN$13:$HN$512,"="&amp;SUBSTITUTE(SUBSTITUTE(SUBSTITUTE('Dashboard'!$B$7,"~","~~"),"*","~*"),"?","~?"))+COUNTIFS('Calculations'!$IF$13:$IF$512,"="&amp;SUBSTITUTE(SUBSTITUTE(SUBSTITUTE('Calculations'!HF444,"~","~~"),"*","~*"),"?","~?"),'Calculations'!$HN$13:$HN$512,"="&amp;SUBSTITUTE(SUBSTITUTE(SUBSTITUTE('Dashboard'!$B$7,"~","~~"),"*","~*"),"?","~?"))+COUNTIFS('Calculations'!$IG$13:$IG$512,"="&amp;SUBSTITUTE(SUBSTITUTE(SUBSTITUTE('Calculations'!HF444,"~","~~"),"*","~*"),"?","~?"),'Calculations'!$HN$13:$HN$512,"="&amp;SUBSTITUTE(SUBSTITUTE(SUBSTITUTE('Dashboard'!$B$7,"~","~~"),"*","~*"),"?","~?"))+COUNTIFS('Calculations'!$IH$13:$IH$512,"="&amp;SUBSTITUTE(SUBSTITUTE(SUBSTITUTE('Calculations'!HF444,"~","~~"),"*","~*"),"?","~?"),'Calculations'!$HN$13:$HN$512,"="&amp;SUBSTITUTE(SUBSTITUTE(SUBSTITUTE('Dashboard'!$B$7,"~","~~"),"*","~*"),"?","~?"))))</x:f>
        <x:v>0</x:v>
      </x:c>
      <x:c r="JD444" t="n">
        <x:f>IF('Calculations'!EM444="",0,IF('Dashboard'!$B$7="All",1,IF('Calculations'!HN444='Dashboard'!$B$7,1,0)+IFERROR(INDEX('Calculations'!$JC$13:$JC$512,MATCH('Calculations'!HE444,'Calculations'!$HF$13:$HF$512,0)),0)))</x:f>
        <x:v>0</x:v>
      </x:c>
      <x:c r="JE444" t="n">
        <x:f>IF(AND('Calculations'!EM444&lt;&gt;"",'Calculations'!$JJ$2&lt;&gt;"All",'Calculations'!$JJ$2&lt;&gt;"",'Calculations'!HF444='Calculations'!$JJ$2,'Calculations'!HL444=0,'Calculations'!JD444&gt;0),MAX('Calculations'!$JE$12:JE443)+1,0)</x:f>
        <x:v>0</x:v>
      </x:c>
      <x:c r="JF444" t="str">
        <x:f>IF('Calculations'!EM444="","",IFERROR(IF(INDEX(INDIRECT("'WCM Calibration Final'!$G$1:$G$2000"),'Calculations'!$EM444)="","",TRIM(INDEX(INDIRECT("'WCM Calibration Final'!$G$1:$G$2000"),'Calculations'!$EM444)&amp;"")),""))</x:f>
      </x:c>
      <x:c r="JQ444" t="n">
        <x:f>IF(OR('Calculations'!BM444=0,NOT('Calculations'!$AG$2),'Calculations'!$AG$8&gt;0),0,IF(OR('Dashboard'!$B$7="All",'Calculations'!HN444='Dashboard'!$B$7),IF('Calculations'!$JJ$2="All",1,IF(AND('Calculations'!HF444='Calculations'!$JJ$2,'Calculations'!HL444=0),1,0)),0))</x:f>
        <x:v>0</x:v>
      </x:c>
    </x:row>
    <x:row r="445">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t="n">
        <x:f>IF('Calculations'!$EM445="",0,IF(OR(IFERROR(INDEX(INDIRECT("'WCM Calibration Final'!$A$1:$A$2000"),'Calculations'!$EM445)&lt;&gt;"",FALSE),IFERROR(INDEX(INDIRECT("'WCM Calibration Final'!$B$1:$B$2000"),'Calculations'!$EM445)&lt;&gt;"",FALSE),IFERROR(INDEX(INDIRECT("'WCM Calibration Final'!$C$1:$C$2000"),'Calculations'!$EM445)&lt;&gt;"",FALSE)),1,0))</x:f>
        <x:v>0</x:v>
      </x:c>
      <x:c r="BN445" s="4" t="n">
        <x:f>IF(AND('Calculations'!BM445=1,'Calculations'!$AG$2,'Calculations'!$EN445=1),1,0)</x:f>
        <x:v>0</x:v>
      </x:c>
      <x:c r="BO445" s="4" t="str">
        <x:f>IF('Calculations'!BM445=0,"",IFERROR(IF(AND(VALUE(INDEX(INDIRECT("'WCM Calibration Final'!$K$1:$K$2000"),'Calculations'!$EM445))&gt;=1,VALUE(INDEX(INDIRECT("'WCM Calibration Final'!$K$1:$K$2000"),'Calculations'!$EM445))&lt;=4,MOD(VALUE(INDEX(INDIRECT("'WCM Calibration Final'!$K$1:$K$2000"),'Calculations'!$EM445)),1)=0),VALUE(INDEX(INDIRECT("'WCM Calibration Final'!$K$1:$K$2000"),'Calculations'!$EM445)),""),""))</x:f>
      </x:c>
      <x:c r="BP445" s="4" t="str">
        <x:f>IF('Calculations'!BM445=0,"",IFERROR(IF(AND(VALUE(INDEX(INDIRECT("'WCM Calibration Final'!$L$1:$L$2000"),'Calculations'!$EM445))&gt;=1,VALUE(INDEX(INDIRECT("'WCM Calibration Final'!$L$1:$L$2000"),'Calculations'!$EM445))&lt;=4,MOD(VALUE(INDEX(INDIRECT("'WCM Calibration Final'!$L$1:$L$2000"),'Calculations'!$EM445)),1)=0),VALUE(INDEX(INDIRECT("'WCM Calibration Final'!$L$1:$L$2000"),'Calculations'!$EM445)),""),""))</x:f>
      </x:c>
      <x:c r="BQ445" s="4"/>
      <x:c r="BR445" s="4"/>
      <x:c r="BS445" s="4"/>
      <x:c r="BT445" s="4" t="n">
        <x:f>IF(AND('Calculations'!BM445=1,ISNUMBER('Calculations'!BO445),ISNUMBER('Calculations'!BP445)),1,0)</x:f>
        <x:v>0</x:v>
      </x:c>
      <x:c r="BU445" s="4" t="str">
        <x:f>IF('Calculations'!BM445=0,"",'Calculations'!$EO445)</x:f>
      </x:c>
      <x:c r="BV445" s="4" t="str">
        <x:f>IF('Calculations'!BM445=0,"",IFERROR(IF(OR(INDEX(INDIRECT("'WCM Calibration Final'!$H$1:$H$2000"),'Calculations'!$EM445)="MANAGING DIRECTOR",INDEX(INDIRECT("'WCM Calibration Final'!$H$1:$H$2000"),'Calculations'!$EM445)="DIRECTOR",INDEX(INDIRECT("'WCM Calibration Final'!$H$1:$H$2000"),'Calculations'!$EM445)="SENIOR VICE PRESIDENT",INDEX(INDIRECT("'WCM Calibration Final'!$H$1:$H$2000"),'Calculations'!$EM445)="VICE PRESIDENT",INDEX(INDIRECT("'WCM Calibration Final'!$H$1:$H$2000"),'Calculations'!$EM445)="ASSISTANT VICE PRESIDENT",INDEX(INDIRECT("'WCM Calibration Final'!$H$1:$H$2000"),'Calculations'!$EM445)="OFFICER"),UPPER(INDEX(INDIRECT("'WCM Calibration Final'!$H$1:$H$2000"),'Calculations'!$EM445)),"Other"),"Other"))</x:f>
      </x:c>
      <x:c r="BW445" s="4"/>
      <x:c r="BX445" s="4"/>
      <x:c r="BY445" s="4" t="n">
        <x:f>IF(AND('Calculations'!BM445=1,'Calculations'!BU445&lt;&gt;"",COUNTIF('Calculations'!$BU$12:BU445,'Calculations'!BU445)=1),MAX('Calculations'!$BY$11:BY444)+1,0)</x:f>
        <x:v>0</x:v>
      </x:c>
      <x:c r="BZ445" s="4" t="str">
        <x:f>IF('Dashboard'!$E$67="What",'Calculations'!BO445,'Calculations'!BP445)</x:f>
      </x:c>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t="str">
        <x:f>IF(434&gt;MAX('Calculations'!$HI$13:$HI$512),"",INDEX('Calculations'!$HN$13:$HN$512,MATCH(434,'Calculations'!$HI$13:$HI$512,0)))</x:f>
      </x:c>
      <x:c r="DB445" s="4" t="str">
        <x:f>IF(434&gt;MAX('Calculations'!$HH$13:$HH$512),"",INDEX('Calculations'!$HJ$13:$HJ$512,MATCH(434,'Calculations'!$HH$13:$HH$512,0)))</x:f>
      </x:c>
      <x:c r="DC445" s="4" t="str">
        <x:f>IF(ROW()-11&gt;MAX('Calculations'!$BY$13:$BY$512),"",INDEX('Calculations'!$BU$13:$BU$512,MATCH(ROW()-11,'Calculations'!$BY$13:$BY$512,0)))</x:f>
      </x:c>
      <x:c r="DD445" s="4" t="str">
        <x:f>IF(434&gt;MAX('Calculations'!$IK$13:$IK$512),"",INDEX('Calculations'!$HK$13:$HK$512,MATCH(434,'Calculations'!$IK$13:$IK$512,0)))</x:f>
      </x:c>
      <x:c r="DE445" s="4" t="str">
        <x:f>'Calculations'!DC445</x:f>
      </x:c>
      <x:c r="DF445" s="4" t="str">
        <x:f>IF('Calculations'!DE445="","",COUNTIFS('Calculations'!$BN$13:$BN$512,1,'Calculations'!$BU$13:$BU$512,'Calculations'!DE445))</x:f>
      </x:c>
      <x:c r="DG445" s="4" t="str">
        <x:f>IF('Calculations'!DE445="","",COUNTIFS('Calculations'!$BN$13:$BN$512,1,'Calculations'!$BU$13:$BU$512,'Calculations'!DE445,'Calculations'!$BT$13:$BT$512,1))</x:f>
      </x:c>
      <x:c r="DH445" s="4" t="str">
        <x:f>IF('Calculations'!DE445="","",'Calculations'!DF445-'Calculations'!DG445)</x:f>
      </x:c>
      <x:c r="DI445" s="4" t="str">
        <x:f>IF(OR('Calculations'!DE445="",'Calculations'!DF445=0),"",'Calculations'!DG445/'Calculations'!DF445)</x:f>
      </x:c>
      <x:c r="DJ445" s="4" t="str">
        <x:f>IF('Calculations'!DE445="","",COUNTIFS('Calculations'!$BN$13:$BN$512,1,'Calculations'!$BU$13:$BU$512,'Calculations'!DE445,'Calculations'!$BT$13:$BT$512,1,'Calculations'!$EE$13:$EE$512,"High"))</x:f>
      </x:c>
      <x:c r="DK445" s="4" t="str">
        <x:f>IF('Calculations'!DE445="","",COUNTIFS('Calculations'!$BN$13:$BN$512,1,'Calculations'!$BU$13:$BU$512,'Calculations'!DE445,'Calculations'!$BT$13:$BT$512,1,'Calculations'!$EE$13:$EE$512,"Strong"))</x:f>
      </x:c>
      <x:c r="DL445" s="4" t="str">
        <x:f>IF('Calculations'!DE445="","",COUNTIFS('Calculations'!$BN$13:$BN$512,1,'Calculations'!$BU$13:$BU$512,'Calculations'!DE445,'Calculations'!$BT$13:$BT$512,1,'Calculations'!$EE$13:$EE$512,"Solid"))</x:f>
      </x:c>
      <x:c r="DM445" s="4" t="str">
        <x:f>IF('Calculations'!DE445="","",COUNTIFS('Calculations'!$BN$13:$BN$512,1,'Calculations'!$BU$13:$BU$512,'Calculations'!DE445,'Calculations'!$BT$13:$BT$512,1,'Calculations'!$EE$13:$EE$512,"Low"))</x:f>
      </x:c>
      <x:c r="DN445" s="4" t="str">
        <x:f>IF('Calculations'!DE445="","",COUNTIFS('Calculations'!$BN$13:$BN$512,1,'Calculations'!$BU$13:$BU$512,'Calculations'!DE445,'Calculations'!$EP$13:$EP$512,1))</x:f>
      </x:c>
      <x:c r="DO445" s="4" t="str">
        <x:f>IF(OR('Calculations'!DE445="",'Calculations'!DG445=0),"",('Calculations'!DJ445+'Calculations'!DK445)/'Calculations'!DG445)</x:f>
      </x:c>
      <x:c r="DP445" s="4" t="n">
        <x:f>IF(AND('Calculations'!DE445&lt;&gt;"",'Calculations'!DF445&gt;0),COUNTIF('Calculations'!$DF$12:DF445,"&gt;0"),0)</x:f>
        <x:v>0</x:v>
      </x:c>
      <x:c r="DQ445" s="4" t="str">
        <x:f>IF(434&gt;MAX('Calculations'!$HH$13:$HH$512),"",INDEX('Calculations'!$HF$13:$HF$512,MATCH(434,'Calculations'!$HH$13:$HH$512,0)))</x:f>
      </x:c>
      <x:c r="DR445" s="4" t="str">
        <x:f>IF(434&gt;MAX('Calculations'!$IK$13:$IK$512),"",INDEX('Calculations'!$HE$13:$HE$512,MATCH(434,'Calculations'!$IK$13:$IK$512,0)))</x:f>
      </x:c>
      <x:c r="DS445" s="4"/>
      <x:c r="DT445" s="4"/>
      <x:c r="DU445" s="4"/>
      <x:c r="DV445" s="4"/>
      <x:c r="DW445" s="4"/>
      <x:c r="DX445" s="4"/>
      <x:c r="DY445" s="4"/>
      <x:c r="DZ445" s="4"/>
      <x:c r="EA445" s="4"/>
      <x:c r="EB445" s="4"/>
      <x:c r="EC445" s="4"/>
      <x:c r="ED445" s="4"/>
      <x:c r="EE445" s="4" t="str">
        <x:f>IF('Calculations'!BT445=0,"Not Rated",IF(OR('Calculations'!BO445&gt;=4,'Calculations'!BP445&gt;=4),"Low",IF('Calculations'!BO445+'Calculations'!BP445&lt;=3,"High",IF('Calculations'!BO445+'Calculations'!BP445&lt;=4,"Strong","Solid"))))</x:f>
        <x:v>Not Rated</x:v>
      </x:c>
      <x:c r="EF445" s="4"/>
      <x:c r="EG445" s="4"/>
      <x:c r="EH445" s="4"/>
      <x:c r="EI445" s="4"/>
      <x:c r="EJ445" s="4"/>
      <x:c r="EK445" s="4"/>
      <x:c r="EL445" s="4"/>
      <x:c r="EM445" s="4" t="str">
        <x:f>IF(433&gt;'Calculations'!$JB$2000,"",INDEX('Calculations'!$JA$12:$JA$2000,MATCH(433,'Calculations'!$JB$12:$JB$2000,0)))</x:f>
      </x:c>
      <x:c r="EN445" s="4" t="n">
        <x:f>IF(OR('Calculations'!EM445="",'Calculations'!$AG$8&gt;0,AND('Calculations'!$EF$2&lt;&gt;"All",'Calculations'!HE445='Calculations'!$EF$2),AND('Calculations'!$EF$3&lt;&gt;"All",'Calculations'!HE445='Calculations'!$EF$3)),0,IF(OR('Dashboard'!$B$7="All",'Calculations'!HN445='Dashboard'!$B$7),IF('Calculations'!$EF$2="All",1,IF('Calculations'!HL445&gt;0,0,IF(COUNTIF('Calculations'!HO445:II445,"="&amp;SUBSTITUTE(SUBSTITUTE(SUBSTITUTE('Calculations'!$EF$2,"~","~~"),"*","~*"),"?","~?"))=0,0,IF('Calculations'!$EF$3="All",1,IF(COUNTIF('Calculations'!HO445:II445,"="&amp;SUBSTITUTE(SUBSTITUTE(SUBSTITUTE('Calculations'!$EF$3,"~","~~"),"*","~*"),"?","~?"))&gt;0,1,0))))),0))</x:f>
        <x:v>0</x:v>
      </x:c>
      <x:c r="EO445" s="4" t="str">
        <x:f>IF('Calculations'!IJ445="","",IF('Calculations'!IJ445="!UNRESOLVED","Unresolved hierarchy",IFERROR(INDEX('Calculations'!$HK$13:$HK$512,MATCH('Calculations'!IJ445,'Calculations'!$HE$13:$HE$512,0)),IFERROR(INDEX('Calculations'!$HJ$13:$HJ$512,MATCH('Calculations'!IJ445,'Calculations'!$HF$13:$HF$512,0)),'Calculations'!IJ445))))</x:f>
      </x:c>
      <x:c r="EP445" s="4" t="n">
        <x:f>IF(AND('Calculations'!EM445&lt;&gt;"",'Calculations'!HF445='Calculations'!IJ445),1,0)</x:f>
        <x:v>0</x:v>
      </x:c>
      <x:c r="EQ445" s="4"/>
      <x:c r="ER445" s="4"/>
      <x:c r="ES445" s="4"/>
      <x:c r="ET445" s="4"/>
      <x:c r="EU445" s="4"/>
      <x:c r="EV445" s="4"/>
      <x:c r="EW445" s="4"/>
      <x:c r="EX445" s="4"/>
      <x:c r="EY445" s="4"/>
      <x:c r="EZ445" s="4"/>
      <x:c r="FA445" s="4"/>
      <x:c r="FB445" s="4"/>
      <x:c r="FC445" s="4"/>
      <x:c r="FD445" s="4"/>
      <x:c r="FE445" s="4"/>
      <x:c r="FF445" s="4"/>
      <x:c r="FG445" s="4"/>
      <x:c r="FH445" s="4"/>
      <x:c r="FI445" s="4"/>
      <x:c r="FJ445" s="4"/>
      <x:c r="FK445" s="4"/>
      <x:c r="FL445" s="4"/>
      <x:c r="FM445" s="4"/>
      <x:c r="FN445" s="4"/>
      <x:c r="FO445" s="4"/>
      <x:c r="HE445" t="str">
        <x:f>IF('Calculations'!EM445="","",IF(IFERROR(IF(INDEX(INDIRECT("'WCM Calibration Final'!$A$1:$A$2000"),'Calculations'!$EM445)="","",TRIM(INDEX(INDIRECT("'WCM Calibration Final'!$A$1:$A$2000"),'Calculations'!$EM445)&amp;"")),"")&lt;&gt;"","G:"&amp;IFERROR(TEXT(1*INDEX(INDIRECT("'WCM Calibration Final'!$A$1:$A$2000"),'Calculations'!$EM445),"0"),UPPER(IFERROR(IF(INDEX(INDIRECT("'WCM Calibration Final'!$A$1:$A$2000"),'Calculations'!$EM445)="","",TRIM(INDEX(INDIRECT("'WCM Calibration Final'!$A$1:$A$2000"),'Calculations'!$EM445)&amp;"")),""))),IF(IFERROR(IF(INDEX(INDIRECT("'WCM Calibration Final'!$C$1:$C$2000"),'Calculations'!$EM445)="","",TRIM(INDEX(INDIRECT("'WCM Calibration Final'!$C$1:$C$2000"),'Calculations'!$EM445)&amp;"")),"")&lt;&gt;"","S:"&amp;UPPER(IFERROR(IF(INDEX(INDIRECT("'WCM Calibration Final'!$C$1:$C$2000"),'Calculations'!$EM445)="","",TRIM(INDEX(INDIRECT("'WCM Calibration Final'!$C$1:$C$2000"),'Calculations'!$EM445)&amp;"")),"")),"R:"&amp;'Calculations'!EM445)))</x:f>
      </x:c>
      <x:c r="HF445" t="str">
        <x:f>IF('Calculations'!EM445="","",IF(IFERROR(IF(INDEX(INDIRECT("'WCM Calibration Final'!$D$1:$D$2000"),'Calculations'!$EM445)="","",TRIM(INDEX(INDIRECT("'WCM Calibration Final'!$D$1:$D$2000"),'Calculations'!$EM445)&amp;"")),"")&lt;&gt;"","G:"&amp;IFERROR(TEXT(1*INDEX(INDIRECT("'WCM Calibration Final'!$D$1:$D$2000"),'Calculations'!$EM445),"0"),UPPER(IFERROR(IF(INDEX(INDIRECT("'WCM Calibration Final'!$D$1:$D$2000"),'Calculations'!$EM445)="","",TRIM(INDEX(INDIRECT("'WCM Calibration Final'!$D$1:$D$2000"),'Calculations'!$EM445)&amp;"")),""))),IF(IFERROR(IF(INDEX(INDIRECT("'WCM Calibration Final'!$E$1:$E$2000"),'Calculations'!$EM445)="","",TRIM(INDEX(INDIRECT("'WCM Calibration Final'!$E$1:$E$2000"),'Calculations'!$EM445)&amp;"")),"")="","",IF(COUNTIF('Calculations'!$HG$13:$HG$512,"="&amp;SUBSTITUTE(SUBSTITUTE(SUBSTITUTE(IFERROR(IF(INDEX(INDIRECT("'WCM Calibration Final'!$E$1:$E$2000"),'Calculations'!$EM445)="","",TRIM(INDEX(INDIRECT("'WCM Calibration Final'!$E$1:$E$2000"),'Calculations'!$EM445)&amp;"")),""),"~","~~"),"*","~*"),"?","~?"))=1,INDEX('Calculations'!$HE$13:$HE$512,MATCH(IFERROR(IF(INDEX(INDIRECT("'WCM Calibration Final'!$E$1:$E$2000"),'Calculations'!$EM445)="","",TRIM(INDEX(INDIRECT("'WCM Calibration Final'!$E$1:$E$2000"),'Calculations'!$EM445)&amp;"")),""),'Calculations'!$HG$13:$HG$512,0)),IF(COUNTIF('Calculations'!$HG$13:$HG$512,"="&amp;SUBSTITUTE(SUBSTITUTE(SUBSTITUTE(IFERROR(IF(INDEX(INDIRECT("'WCM Calibration Final'!$E$1:$E$2000"),'Calculations'!$EM445)="","",TRIM(INDEX(INDIRECT("'WCM Calibration Final'!$E$1:$E$2000"),'Calculations'!$EM445)&amp;"")),""),"~","~~"),"*","~*"),"?","~?"))&gt;1,"!AMBIG","X:"&amp;IFERROR(IF(INDEX(INDIRECT("'WCM Calibration Final'!$E$1:$E$2000"),'Calculations'!$EM445)="","",TRIM(INDEX(INDIRECT("'WCM Calibration Final'!$E$1:$E$2000"),'Calculations'!$EM445)&amp;"")),""))))))</x:f>
      </x:c>
      <x:c r="HG445" t="str">
        <x:f>IF('Calculations'!EM445="","",IFERROR(IF(INDEX(INDIRECT("'WCM Calibration Final'!$B$1:$B$2000"),'Calculations'!$EM445)="","",TRIM(INDEX(INDIRECT("'WCM Calibration Final'!$B$1:$B$2000"),'Calculations'!$EM445)&amp;"")),""))</x:f>
      </x:c>
      <x:c r="HH445" t="n">
        <x:f>IF(AND('Calculations'!JC445&gt;0,COUNTIF('Calculations'!$HF$12:HF445,"="&amp;SUBSTITUTE(SUBSTITUTE(SUBSTITUTE('Calculations'!HF445,"~","~~"),"*","~*"),"?","~?"))=1),MAX('Calculations'!$HH$12:HH444)+1,0)</x:f>
        <x:v>0</x:v>
      </x:c>
      <x:c r="HI445" t="n">
        <x:f>IF(AND('Calculations'!HN445&lt;&gt;"",COUNTIF('Calculations'!$HN$12:HN445,"="&amp;SUBSTITUTE(SUBSTITUTE(SUBSTITUTE('Calculations'!HN445,"~","~~"),"*","~*"),"?","~?"))=1),MAX('Calculations'!$HI$12:HI444)+1,0)</x:f>
        <x:v>0</x:v>
      </x:c>
      <x:c r="HJ445" t="str">
        <x:f>IF('Calculations'!HF445="","",IF(COUNTIF('Calculations'!$HE$13:$HE$512,"="&amp;SUBSTITUTE(SUBSTITUTE(SUBSTITUTE('Calculations'!HF445,"~","~~"),"*","~*"),"?","~?"))=1,INDEX('Calculations'!$HK$13:$HK$512,MATCH('Calculations'!HF445,'Calculations'!$HE$13:$HE$512,0)),IFERROR(IF(INDEX(INDIRECT("'WCM Calibration Final'!$E$1:$E$2000"),'Calculations'!$EM445)="","",TRIM(INDEX(INDIRECT("'WCM Calibration Final'!$E$1:$E$2000"),'Calculations'!$EM445)&amp;"")),"")&amp;" ["&amp;'Calculations'!HF445&amp;"]"))</x:f>
      </x:c>
      <x:c r="HK445" t="str">
        <x:f>IF('Calculations'!EM445="","",'Calculations'!HG445&amp;" ["&amp;'Calculations'!HE445&amp;"]")</x:f>
      </x:c>
      <x:c r="HL445" t="n">
        <x:f>IF('Calculations'!EM445="",0,IF(OR('Calculations'!II445&lt;&gt;"",COUNTIF('Calculations'!$HE$13:$HE$512,"="&amp;SUBSTITUTE(SUBSTITUTE(SUBSTITUTE('Calculations'!HE445,"~","~~"),"*","~*"),"?","~?"))&gt;1),1,0))</x:f>
        <x:v>0</x:v>
      </x:c>
      <x:c r="HM445" t="str">
        <x:f>IF('Calculations'!EM445="","",IF('Calculations'!HL445=1,"!UNRESOLVED",IF('Calculations'!IH445&lt;&gt;"",'Calculations'!IH445,IF('Calculations'!IG445&lt;&gt;"",'Calculations'!IG445,IF('Calculations'!IF445&lt;&gt;"",'Calculations'!IF445,IF('Calculations'!IE445&lt;&gt;"",'Calculations'!IE445,IF('Calculations'!ID445&lt;&gt;"",'Calculations'!ID445,IF('Calculations'!IC445&lt;&gt;"",'Calculations'!IC445,IF('Calculations'!IB445&lt;&gt;"",'Calculations'!IB445,IF('Calculations'!IA445&lt;&gt;"",'Calculations'!IA445,IF('Calculations'!HZ445&lt;&gt;"",'Calculations'!HZ445,IF('Calculations'!HY445&lt;&gt;"",'Calculations'!HY445,IF('Calculations'!HX445&lt;&gt;"",'Calculations'!HX445,IF('Calculations'!HW445&lt;&gt;"",'Calculations'!HW445,IF('Calculations'!HV445&lt;&gt;"",'Calculations'!HV445,IF('Calculations'!HU445&lt;&gt;"",'Calculations'!HU445,IF('Calculations'!HT445&lt;&gt;"",'Calculations'!HT445,IF('Calculations'!HS445&lt;&gt;"",'Calculations'!HS445,IF('Calculations'!HR445&lt;&gt;"",'Calculations'!HR445,IF('Calculations'!HQ445&lt;&gt;"",'Calculations'!HQ445,IF('Calculations'!HP445&lt;&gt;"",'Calculations'!HP445,IF('Calculations'!HO445&lt;&gt;"",'Calculations'!HO445,'Calculations'!HE445))))))))))))))))))))))</x:f>
      </x:c>
      <x:c r="HN445" t="str">
        <x:f>IF('Calculations'!EM445="","",IF(IFERROR(IF(INDEX(INDIRECT("'WCM Calibration Final'!$F$1:$F$2000"),'Calculations'!$EM445)="","",TRIM(INDEX(INDIRECT("'WCM Calibration Final'!$F$1:$F$2000"),'Calculations'!$EM445)&amp;"")),"")="","(Blank)",IFERROR(IF(INDEX(INDIRECT("'WCM Calibration Final'!$F$1:$F$2000"),'Calculations'!$EM445)="","",TRIM(INDEX(INDIRECT("'WCM Calibration Final'!$F$1:$F$2000"),'Calculations'!$EM445)&amp;"")),"")))</x:f>
      </x:c>
      <x:c r="HO445" t="str">
        <x:f>'Calculations'!HF445</x:f>
      </x:c>
      <x:c r="HP445" t="str">
        <x:f>IF('Calculations'!HO445="","",IF('Calculations'!HO445="!AMBIG","!AMBIG",IF(COUNTIF('Calculations'!$HE$13:$HE$512,"="&amp;SUBSTITUTE(SUBSTITUTE(SUBSTITUTE('Calculations'!HO445,"~","~~"),"*","~*"),"?","~?"))&gt;1,"!AMBIG",IFERROR(INDEX('Calculations'!$HF$13:$HF$512,MATCH('Calculations'!HO445,'Calculations'!$HE$13:$HE$512,0)),""))))</x:f>
      </x:c>
      <x:c r="HQ445" t="str">
        <x:f>IF('Calculations'!HP445="","",IF('Calculations'!HP445="!AMBIG","!AMBIG",IF(COUNTIF('Calculations'!$HE$13:$HE$512,"="&amp;SUBSTITUTE(SUBSTITUTE(SUBSTITUTE('Calculations'!HP445,"~","~~"),"*","~*"),"?","~?"))&gt;1,"!AMBIG",IFERROR(INDEX('Calculations'!$HF$13:$HF$512,MATCH('Calculations'!HP445,'Calculations'!$HE$13:$HE$512,0)),""))))</x:f>
      </x:c>
      <x:c r="HR445" t="str">
        <x:f>IF('Calculations'!HQ445="","",IF('Calculations'!HQ445="!AMBIG","!AMBIG",IF(COUNTIF('Calculations'!$HE$13:$HE$512,"="&amp;SUBSTITUTE(SUBSTITUTE(SUBSTITUTE('Calculations'!HQ445,"~","~~"),"*","~*"),"?","~?"))&gt;1,"!AMBIG",IFERROR(INDEX('Calculations'!$HF$13:$HF$512,MATCH('Calculations'!HQ445,'Calculations'!$HE$13:$HE$512,0)),""))))</x:f>
      </x:c>
      <x:c r="HS445" t="str">
        <x:f>IF('Calculations'!HR445="","",IF('Calculations'!HR445="!AMBIG","!AMBIG",IF(COUNTIF('Calculations'!$HE$13:$HE$512,"="&amp;SUBSTITUTE(SUBSTITUTE(SUBSTITUTE('Calculations'!HR445,"~","~~"),"*","~*"),"?","~?"))&gt;1,"!AMBIG",IFERROR(INDEX('Calculations'!$HF$13:$HF$512,MATCH('Calculations'!HR445,'Calculations'!$HE$13:$HE$512,0)),""))))</x:f>
      </x:c>
      <x:c r="HT445" t="str">
        <x:f>IF('Calculations'!HS445="","",IF('Calculations'!HS445="!AMBIG","!AMBIG",IF(COUNTIF('Calculations'!$HE$13:$HE$512,"="&amp;SUBSTITUTE(SUBSTITUTE(SUBSTITUTE('Calculations'!HS445,"~","~~"),"*","~*"),"?","~?"))&gt;1,"!AMBIG",IFERROR(INDEX('Calculations'!$HF$13:$HF$512,MATCH('Calculations'!HS445,'Calculations'!$HE$13:$HE$512,0)),""))))</x:f>
      </x:c>
      <x:c r="HU445" t="str">
        <x:f>IF('Calculations'!HT445="","",IF('Calculations'!HT445="!AMBIG","!AMBIG",IF(COUNTIF('Calculations'!$HE$13:$HE$512,"="&amp;SUBSTITUTE(SUBSTITUTE(SUBSTITUTE('Calculations'!HT445,"~","~~"),"*","~*"),"?","~?"))&gt;1,"!AMBIG",IFERROR(INDEX('Calculations'!$HF$13:$HF$512,MATCH('Calculations'!HT445,'Calculations'!$HE$13:$HE$512,0)),""))))</x:f>
      </x:c>
      <x:c r="HV445" t="str">
        <x:f>IF('Calculations'!HU445="","",IF('Calculations'!HU445="!AMBIG","!AMBIG",IF(COUNTIF('Calculations'!$HE$13:$HE$512,"="&amp;SUBSTITUTE(SUBSTITUTE(SUBSTITUTE('Calculations'!HU445,"~","~~"),"*","~*"),"?","~?"))&gt;1,"!AMBIG",IFERROR(INDEX('Calculations'!$HF$13:$HF$512,MATCH('Calculations'!HU445,'Calculations'!$HE$13:$HE$512,0)),""))))</x:f>
      </x:c>
      <x:c r="HW445" t="str">
        <x:f>IF('Calculations'!HV445="","",IF('Calculations'!HV445="!AMBIG","!AMBIG",IF(COUNTIF('Calculations'!$HE$13:$HE$512,"="&amp;SUBSTITUTE(SUBSTITUTE(SUBSTITUTE('Calculations'!HV445,"~","~~"),"*","~*"),"?","~?"))&gt;1,"!AMBIG",IFERROR(INDEX('Calculations'!$HF$13:$HF$512,MATCH('Calculations'!HV445,'Calculations'!$HE$13:$HE$512,0)),""))))</x:f>
      </x:c>
      <x:c r="HX445" t="str">
        <x:f>IF('Calculations'!HW445="","",IF('Calculations'!HW445="!AMBIG","!AMBIG",IF(COUNTIF('Calculations'!$HE$13:$HE$512,"="&amp;SUBSTITUTE(SUBSTITUTE(SUBSTITUTE('Calculations'!HW445,"~","~~"),"*","~*"),"?","~?"))&gt;1,"!AMBIG",IFERROR(INDEX('Calculations'!$HF$13:$HF$512,MATCH('Calculations'!HW445,'Calculations'!$HE$13:$HE$512,0)),""))))</x:f>
      </x:c>
      <x:c r="HY445" t="str">
        <x:f>IF('Calculations'!HX445="","",IF('Calculations'!HX445="!AMBIG","!AMBIG",IF(COUNTIF('Calculations'!$HE$13:$HE$512,"="&amp;SUBSTITUTE(SUBSTITUTE(SUBSTITUTE('Calculations'!HX445,"~","~~"),"*","~*"),"?","~?"))&gt;1,"!AMBIG",IFERROR(INDEX('Calculations'!$HF$13:$HF$512,MATCH('Calculations'!HX445,'Calculations'!$HE$13:$HE$512,0)),""))))</x:f>
      </x:c>
      <x:c r="HZ445" t="str">
        <x:f>IF('Calculations'!HY445="","",IF('Calculations'!HY445="!AMBIG","!AMBIG",IF(COUNTIF('Calculations'!$HE$13:$HE$512,"="&amp;SUBSTITUTE(SUBSTITUTE(SUBSTITUTE('Calculations'!HY445,"~","~~"),"*","~*"),"?","~?"))&gt;1,"!AMBIG",IFERROR(INDEX('Calculations'!$HF$13:$HF$512,MATCH('Calculations'!HY445,'Calculations'!$HE$13:$HE$512,0)),""))))</x:f>
      </x:c>
      <x:c r="IA445" t="str">
        <x:f>IF('Calculations'!HZ445="","",IF('Calculations'!HZ445="!AMBIG","!AMBIG",IF(COUNTIF('Calculations'!$HE$13:$HE$512,"="&amp;SUBSTITUTE(SUBSTITUTE(SUBSTITUTE('Calculations'!HZ445,"~","~~"),"*","~*"),"?","~?"))&gt;1,"!AMBIG",IFERROR(INDEX('Calculations'!$HF$13:$HF$512,MATCH('Calculations'!HZ445,'Calculations'!$HE$13:$HE$512,0)),""))))</x:f>
      </x:c>
      <x:c r="IB445" t="str">
        <x:f>IF('Calculations'!IA445="","",IF('Calculations'!IA445="!AMBIG","!AMBIG",IF(COUNTIF('Calculations'!$HE$13:$HE$512,"="&amp;SUBSTITUTE(SUBSTITUTE(SUBSTITUTE('Calculations'!IA445,"~","~~"),"*","~*"),"?","~?"))&gt;1,"!AMBIG",IFERROR(INDEX('Calculations'!$HF$13:$HF$512,MATCH('Calculations'!IA445,'Calculations'!$HE$13:$HE$512,0)),""))))</x:f>
      </x:c>
      <x:c r="IC445" t="str">
        <x:f>IF('Calculations'!IB445="","",IF('Calculations'!IB445="!AMBIG","!AMBIG",IF(COUNTIF('Calculations'!$HE$13:$HE$512,"="&amp;SUBSTITUTE(SUBSTITUTE(SUBSTITUTE('Calculations'!IB445,"~","~~"),"*","~*"),"?","~?"))&gt;1,"!AMBIG",IFERROR(INDEX('Calculations'!$HF$13:$HF$512,MATCH('Calculations'!IB445,'Calculations'!$HE$13:$HE$512,0)),""))))</x:f>
      </x:c>
      <x:c r="ID445" t="str">
        <x:f>IF('Calculations'!IC445="","",IF('Calculations'!IC445="!AMBIG","!AMBIG",IF(COUNTIF('Calculations'!$HE$13:$HE$512,"="&amp;SUBSTITUTE(SUBSTITUTE(SUBSTITUTE('Calculations'!IC445,"~","~~"),"*","~*"),"?","~?"))&gt;1,"!AMBIG",IFERROR(INDEX('Calculations'!$HF$13:$HF$512,MATCH('Calculations'!IC445,'Calculations'!$HE$13:$HE$512,0)),""))))</x:f>
      </x:c>
      <x:c r="IE445" t="str">
        <x:f>IF('Calculations'!ID445="","",IF('Calculations'!ID445="!AMBIG","!AMBIG",IF(COUNTIF('Calculations'!$HE$13:$HE$512,"="&amp;SUBSTITUTE(SUBSTITUTE(SUBSTITUTE('Calculations'!ID445,"~","~~"),"*","~*"),"?","~?"))&gt;1,"!AMBIG",IFERROR(INDEX('Calculations'!$HF$13:$HF$512,MATCH('Calculations'!ID445,'Calculations'!$HE$13:$HE$512,0)),""))))</x:f>
      </x:c>
      <x:c r="IF445" t="str">
        <x:f>IF('Calculations'!IE445="","",IF('Calculations'!IE445="!AMBIG","!AMBIG",IF(COUNTIF('Calculations'!$HE$13:$HE$512,"="&amp;SUBSTITUTE(SUBSTITUTE(SUBSTITUTE('Calculations'!IE445,"~","~~"),"*","~*"),"?","~?"))&gt;1,"!AMBIG",IFERROR(INDEX('Calculations'!$HF$13:$HF$512,MATCH('Calculations'!IE445,'Calculations'!$HE$13:$HE$512,0)),""))))</x:f>
      </x:c>
      <x:c r="IG445" t="str">
        <x:f>IF('Calculations'!IF445="","",IF('Calculations'!IF445="!AMBIG","!AMBIG",IF(COUNTIF('Calculations'!$HE$13:$HE$512,"="&amp;SUBSTITUTE(SUBSTITUTE(SUBSTITUTE('Calculations'!IF445,"~","~~"),"*","~*"),"?","~?"))&gt;1,"!AMBIG",IFERROR(INDEX('Calculations'!$HF$13:$HF$512,MATCH('Calculations'!IF445,'Calculations'!$HE$13:$HE$512,0)),""))))</x:f>
      </x:c>
      <x:c r="IH445" t="str">
        <x:f>IF('Calculations'!IG445="","",IF('Calculations'!IG445="!AMBIG","!AMBIG",IF(COUNTIF('Calculations'!$HE$13:$HE$512,"="&amp;SUBSTITUTE(SUBSTITUTE(SUBSTITUTE('Calculations'!IG445,"~","~~"),"*","~*"),"?","~?"))&gt;1,"!AMBIG",IFERROR(INDEX('Calculations'!$HF$13:$HF$512,MATCH('Calculations'!IG445,'Calculations'!$HE$13:$HE$512,0)),""))))</x:f>
      </x:c>
      <x:c r="II445" t="str">
        <x:f>IF('Calculations'!IH445="","",IF('Calculations'!IH445="!AMBIG","!AMBIG",IF(COUNTIF('Calculations'!$HE$13:$HE$512,"="&amp;SUBSTITUTE(SUBSTITUTE(SUBSTITUTE('Calculations'!IH445,"~","~~"),"*","~*"),"?","~?"))&gt;1,"!AMBIG",IFERROR(INDEX('Calculations'!$HF$13:$HF$512,MATCH('Calculations'!IH445,'Calculations'!$HE$13:$HE$512,0)),""))))</x:f>
      </x:c>
      <x:c r="IJ445" t="str">
        <x:f>IF('Calculations'!EM445="","",IF('Calculations'!$EF$2="All",'Calculations'!HM445,IF('Calculations'!HL445=1,"",IFERROR(IF(MATCH('Calculations'!$EF$2,'Calculations'!HO445:II445,0)=1,'Calculations'!HE445,INDEX('Calculations'!HO445:II445,1,MATCH('Calculations'!$EF$2,'Calculations'!HO445:II445,0)-1)),""))))</x:f>
      </x:c>
      <x:c r="IK445" t="n">
        <x:f>IF(AND('Calculations'!EM445&lt;&gt;"",'Calculations'!$EF$2&lt;&gt;"All",'Calculations'!HF445='Calculations'!$EF$2,'Calculations'!HL445=0,'Calculations'!JD445&gt;0),MAX('Calculations'!$IK$12:IK444)+1,0)</x:f>
        <x:v>0</x:v>
      </x:c>
      <x:c r="JA445" t="n">
        <x:f>IF(OR(IFERROR(INDIRECT("'WCM Calibration Final'!$A$445")&lt;&gt;"",FALSE),IFERROR(INDIRECT("'WCM Calibration Final'!$B$445")&lt;&gt;"",FALSE),IFERROR(INDIRECT("'WCM Calibration Final'!$C$445")&lt;&gt;"",FALSE)),445,0)</x:f>
        <x:v>0</x:v>
      </x:c>
      <x:c r="JB445" t="n">
        <x:f>'Calculations'!JB444+IF('Calculations'!JA445&gt;0,1,0)</x:f>
        <x:v>0</x:v>
      </x:c>
      <x:c r="JC445" t="n">
        <x:f>IF(OR('Calculations'!HF445="",'Calculations'!HF445="!AMBIG"),0,IF('Dashboard'!$B$7="All",1,COUNTIFS('Calculations'!$HO$13:$HO$512,"="&amp;SUBSTITUTE(SUBSTITUTE(SUBSTITUTE('Calculations'!HF445,"~","~~"),"*","~*"),"?","~?"),'Calculations'!$HN$13:$HN$512,"="&amp;SUBSTITUTE(SUBSTITUTE(SUBSTITUTE('Dashboard'!$B$7,"~","~~"),"*","~*"),"?","~?"))+COUNTIFS('Calculations'!$HP$13:$HP$512,"="&amp;SUBSTITUTE(SUBSTITUTE(SUBSTITUTE('Calculations'!HF445,"~","~~"),"*","~*"),"?","~?"),'Calculations'!$HN$13:$HN$512,"="&amp;SUBSTITUTE(SUBSTITUTE(SUBSTITUTE('Dashboard'!$B$7,"~","~~"),"*","~*"),"?","~?"))+COUNTIFS('Calculations'!$HQ$13:$HQ$512,"="&amp;SUBSTITUTE(SUBSTITUTE(SUBSTITUTE('Calculations'!HF445,"~","~~"),"*","~*"),"?","~?"),'Calculations'!$HN$13:$HN$512,"="&amp;SUBSTITUTE(SUBSTITUTE(SUBSTITUTE('Dashboard'!$B$7,"~","~~"),"*","~*"),"?","~?"))+COUNTIFS('Calculations'!$HR$13:$HR$512,"="&amp;SUBSTITUTE(SUBSTITUTE(SUBSTITUTE('Calculations'!HF445,"~","~~"),"*","~*"),"?","~?"),'Calculations'!$HN$13:$HN$512,"="&amp;SUBSTITUTE(SUBSTITUTE(SUBSTITUTE('Dashboard'!$B$7,"~","~~"),"*","~*"),"?","~?"))+COUNTIFS('Calculations'!$HS$13:$HS$512,"="&amp;SUBSTITUTE(SUBSTITUTE(SUBSTITUTE('Calculations'!HF445,"~","~~"),"*","~*"),"?","~?"),'Calculations'!$HN$13:$HN$512,"="&amp;SUBSTITUTE(SUBSTITUTE(SUBSTITUTE('Dashboard'!$B$7,"~","~~"),"*","~*"),"?","~?"))+COUNTIFS('Calculations'!$HT$13:$HT$512,"="&amp;SUBSTITUTE(SUBSTITUTE(SUBSTITUTE('Calculations'!HF445,"~","~~"),"*","~*"),"?","~?"),'Calculations'!$HN$13:$HN$512,"="&amp;SUBSTITUTE(SUBSTITUTE(SUBSTITUTE('Dashboard'!$B$7,"~","~~"),"*","~*"),"?","~?"))+COUNTIFS('Calculations'!$HU$13:$HU$512,"="&amp;SUBSTITUTE(SUBSTITUTE(SUBSTITUTE('Calculations'!HF445,"~","~~"),"*","~*"),"?","~?"),'Calculations'!$HN$13:$HN$512,"="&amp;SUBSTITUTE(SUBSTITUTE(SUBSTITUTE('Dashboard'!$B$7,"~","~~"),"*","~*"),"?","~?"))+COUNTIFS('Calculations'!$HV$13:$HV$512,"="&amp;SUBSTITUTE(SUBSTITUTE(SUBSTITUTE('Calculations'!HF445,"~","~~"),"*","~*"),"?","~?"),'Calculations'!$HN$13:$HN$512,"="&amp;SUBSTITUTE(SUBSTITUTE(SUBSTITUTE('Dashboard'!$B$7,"~","~~"),"*","~*"),"?","~?"))+COUNTIFS('Calculations'!$HW$13:$HW$512,"="&amp;SUBSTITUTE(SUBSTITUTE(SUBSTITUTE('Calculations'!HF445,"~","~~"),"*","~*"),"?","~?"),'Calculations'!$HN$13:$HN$512,"="&amp;SUBSTITUTE(SUBSTITUTE(SUBSTITUTE('Dashboard'!$B$7,"~","~~"),"*","~*"),"?","~?"))+COUNTIFS('Calculations'!$HX$13:$HX$512,"="&amp;SUBSTITUTE(SUBSTITUTE(SUBSTITUTE('Calculations'!HF445,"~","~~"),"*","~*"),"?","~?"),'Calculations'!$HN$13:$HN$512,"="&amp;SUBSTITUTE(SUBSTITUTE(SUBSTITUTE('Dashboard'!$B$7,"~","~~"),"*","~*"),"?","~?"))+COUNTIFS('Calculations'!$HY$13:$HY$512,"="&amp;SUBSTITUTE(SUBSTITUTE(SUBSTITUTE('Calculations'!HF445,"~","~~"),"*","~*"),"?","~?"),'Calculations'!$HN$13:$HN$512,"="&amp;SUBSTITUTE(SUBSTITUTE(SUBSTITUTE('Dashboard'!$B$7,"~","~~"),"*","~*"),"?","~?"))+COUNTIFS('Calculations'!$HZ$13:$HZ$512,"="&amp;SUBSTITUTE(SUBSTITUTE(SUBSTITUTE('Calculations'!HF445,"~","~~"),"*","~*"),"?","~?"),'Calculations'!$HN$13:$HN$512,"="&amp;SUBSTITUTE(SUBSTITUTE(SUBSTITUTE('Dashboard'!$B$7,"~","~~"),"*","~*"),"?","~?"))+COUNTIFS('Calculations'!$IA$13:$IA$512,"="&amp;SUBSTITUTE(SUBSTITUTE(SUBSTITUTE('Calculations'!HF445,"~","~~"),"*","~*"),"?","~?"),'Calculations'!$HN$13:$HN$512,"="&amp;SUBSTITUTE(SUBSTITUTE(SUBSTITUTE('Dashboard'!$B$7,"~","~~"),"*","~*"),"?","~?"))+COUNTIFS('Calculations'!$IB$13:$IB$512,"="&amp;SUBSTITUTE(SUBSTITUTE(SUBSTITUTE('Calculations'!HF445,"~","~~"),"*","~*"),"?","~?"),'Calculations'!$HN$13:$HN$512,"="&amp;SUBSTITUTE(SUBSTITUTE(SUBSTITUTE('Dashboard'!$B$7,"~","~~"),"*","~*"),"?","~?"))+COUNTIFS('Calculations'!$IC$13:$IC$512,"="&amp;SUBSTITUTE(SUBSTITUTE(SUBSTITUTE('Calculations'!HF445,"~","~~"),"*","~*"),"?","~?"),'Calculations'!$HN$13:$HN$512,"="&amp;SUBSTITUTE(SUBSTITUTE(SUBSTITUTE('Dashboard'!$B$7,"~","~~"),"*","~*"),"?","~?"))+COUNTIFS('Calculations'!$ID$13:$ID$512,"="&amp;SUBSTITUTE(SUBSTITUTE(SUBSTITUTE('Calculations'!HF445,"~","~~"),"*","~*"),"?","~?"),'Calculations'!$HN$13:$HN$512,"="&amp;SUBSTITUTE(SUBSTITUTE(SUBSTITUTE('Dashboard'!$B$7,"~","~~"),"*","~*"),"?","~?"))+COUNTIFS('Calculations'!$IE$13:$IE$512,"="&amp;SUBSTITUTE(SUBSTITUTE(SUBSTITUTE('Calculations'!HF445,"~","~~"),"*","~*"),"?","~?"),'Calculations'!$HN$13:$HN$512,"="&amp;SUBSTITUTE(SUBSTITUTE(SUBSTITUTE('Dashboard'!$B$7,"~","~~"),"*","~*"),"?","~?"))+COUNTIFS('Calculations'!$IF$13:$IF$512,"="&amp;SUBSTITUTE(SUBSTITUTE(SUBSTITUTE('Calculations'!HF445,"~","~~"),"*","~*"),"?","~?"),'Calculations'!$HN$13:$HN$512,"="&amp;SUBSTITUTE(SUBSTITUTE(SUBSTITUTE('Dashboard'!$B$7,"~","~~"),"*","~*"),"?","~?"))+COUNTIFS('Calculations'!$IG$13:$IG$512,"="&amp;SUBSTITUTE(SUBSTITUTE(SUBSTITUTE('Calculations'!HF445,"~","~~"),"*","~*"),"?","~?"),'Calculations'!$HN$13:$HN$512,"="&amp;SUBSTITUTE(SUBSTITUTE(SUBSTITUTE('Dashboard'!$B$7,"~","~~"),"*","~*"),"?","~?"))+COUNTIFS('Calculations'!$IH$13:$IH$512,"="&amp;SUBSTITUTE(SUBSTITUTE(SUBSTITUTE('Calculations'!HF445,"~","~~"),"*","~*"),"?","~?"),'Calculations'!$HN$13:$HN$512,"="&amp;SUBSTITUTE(SUBSTITUTE(SUBSTITUTE('Dashboard'!$B$7,"~","~~"),"*","~*"),"?","~?"))))</x:f>
        <x:v>0</x:v>
      </x:c>
      <x:c r="JD445" t="n">
        <x:f>IF('Calculations'!EM445="",0,IF('Dashboard'!$B$7="All",1,IF('Calculations'!HN445='Dashboard'!$B$7,1,0)+IFERROR(INDEX('Calculations'!$JC$13:$JC$512,MATCH('Calculations'!HE445,'Calculations'!$HF$13:$HF$512,0)),0)))</x:f>
        <x:v>0</x:v>
      </x:c>
      <x:c r="JE445" t="n">
        <x:f>IF(AND('Calculations'!EM445&lt;&gt;"",'Calculations'!$JJ$2&lt;&gt;"All",'Calculations'!$JJ$2&lt;&gt;"",'Calculations'!HF445='Calculations'!$JJ$2,'Calculations'!HL445=0,'Calculations'!JD445&gt;0),MAX('Calculations'!$JE$12:JE444)+1,0)</x:f>
        <x:v>0</x:v>
      </x:c>
      <x:c r="JF445" t="str">
        <x:f>IF('Calculations'!EM445="","",IFERROR(IF(INDEX(INDIRECT("'WCM Calibration Final'!$G$1:$G$2000"),'Calculations'!$EM445)="","",TRIM(INDEX(INDIRECT("'WCM Calibration Final'!$G$1:$G$2000"),'Calculations'!$EM445)&amp;"")),""))</x:f>
      </x:c>
      <x:c r="JQ445" t="n">
        <x:f>IF(OR('Calculations'!BM445=0,NOT('Calculations'!$AG$2),'Calculations'!$AG$8&gt;0),0,IF(OR('Dashboard'!$B$7="All",'Calculations'!HN445='Dashboard'!$B$7),IF('Calculations'!$JJ$2="All",1,IF(AND('Calculations'!HF445='Calculations'!$JJ$2,'Calculations'!HL445=0),1,0)),0))</x:f>
        <x:v>0</x:v>
      </x:c>
    </x:row>
    <x:row r="446">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t="n">
        <x:f>IF('Calculations'!$EM446="",0,IF(OR(IFERROR(INDEX(INDIRECT("'WCM Calibration Final'!$A$1:$A$2000"),'Calculations'!$EM446)&lt;&gt;"",FALSE),IFERROR(INDEX(INDIRECT("'WCM Calibration Final'!$B$1:$B$2000"),'Calculations'!$EM446)&lt;&gt;"",FALSE),IFERROR(INDEX(INDIRECT("'WCM Calibration Final'!$C$1:$C$2000"),'Calculations'!$EM446)&lt;&gt;"",FALSE)),1,0))</x:f>
        <x:v>0</x:v>
      </x:c>
      <x:c r="BN446" s="4" t="n">
        <x:f>IF(AND('Calculations'!BM446=1,'Calculations'!$AG$2,'Calculations'!$EN446=1),1,0)</x:f>
        <x:v>0</x:v>
      </x:c>
      <x:c r="BO446" s="4" t="str">
        <x:f>IF('Calculations'!BM446=0,"",IFERROR(IF(AND(VALUE(INDEX(INDIRECT("'WCM Calibration Final'!$K$1:$K$2000"),'Calculations'!$EM446))&gt;=1,VALUE(INDEX(INDIRECT("'WCM Calibration Final'!$K$1:$K$2000"),'Calculations'!$EM446))&lt;=4,MOD(VALUE(INDEX(INDIRECT("'WCM Calibration Final'!$K$1:$K$2000"),'Calculations'!$EM446)),1)=0),VALUE(INDEX(INDIRECT("'WCM Calibration Final'!$K$1:$K$2000"),'Calculations'!$EM446)),""),""))</x:f>
      </x:c>
      <x:c r="BP446" s="4" t="str">
        <x:f>IF('Calculations'!BM446=0,"",IFERROR(IF(AND(VALUE(INDEX(INDIRECT("'WCM Calibration Final'!$L$1:$L$2000"),'Calculations'!$EM446))&gt;=1,VALUE(INDEX(INDIRECT("'WCM Calibration Final'!$L$1:$L$2000"),'Calculations'!$EM446))&lt;=4,MOD(VALUE(INDEX(INDIRECT("'WCM Calibration Final'!$L$1:$L$2000"),'Calculations'!$EM446)),1)=0),VALUE(INDEX(INDIRECT("'WCM Calibration Final'!$L$1:$L$2000"),'Calculations'!$EM446)),""),""))</x:f>
      </x:c>
      <x:c r="BQ446" s="4"/>
      <x:c r="BR446" s="4"/>
      <x:c r="BS446" s="4"/>
      <x:c r="BT446" s="4" t="n">
        <x:f>IF(AND('Calculations'!BM446=1,ISNUMBER('Calculations'!BO446),ISNUMBER('Calculations'!BP446)),1,0)</x:f>
        <x:v>0</x:v>
      </x:c>
      <x:c r="BU446" s="4" t="str">
        <x:f>IF('Calculations'!BM446=0,"",'Calculations'!$EO446)</x:f>
      </x:c>
      <x:c r="BV446" s="4" t="str">
        <x:f>IF('Calculations'!BM446=0,"",IFERROR(IF(OR(INDEX(INDIRECT("'WCM Calibration Final'!$H$1:$H$2000"),'Calculations'!$EM446)="MANAGING DIRECTOR",INDEX(INDIRECT("'WCM Calibration Final'!$H$1:$H$2000"),'Calculations'!$EM446)="DIRECTOR",INDEX(INDIRECT("'WCM Calibration Final'!$H$1:$H$2000"),'Calculations'!$EM446)="SENIOR VICE PRESIDENT",INDEX(INDIRECT("'WCM Calibration Final'!$H$1:$H$2000"),'Calculations'!$EM446)="VICE PRESIDENT",INDEX(INDIRECT("'WCM Calibration Final'!$H$1:$H$2000"),'Calculations'!$EM446)="ASSISTANT VICE PRESIDENT",INDEX(INDIRECT("'WCM Calibration Final'!$H$1:$H$2000"),'Calculations'!$EM446)="OFFICER"),UPPER(INDEX(INDIRECT("'WCM Calibration Final'!$H$1:$H$2000"),'Calculations'!$EM446)),"Other"),"Other"))</x:f>
      </x:c>
      <x:c r="BW446" s="4"/>
      <x:c r="BX446" s="4"/>
      <x:c r="BY446" s="4" t="n">
        <x:f>IF(AND('Calculations'!BM446=1,'Calculations'!BU446&lt;&gt;"",COUNTIF('Calculations'!$BU$12:BU446,'Calculations'!BU446)=1),MAX('Calculations'!$BY$11:BY445)+1,0)</x:f>
        <x:v>0</x:v>
      </x:c>
      <x:c r="BZ446" s="4" t="str">
        <x:f>IF('Dashboard'!$E$67="What",'Calculations'!BO446,'Calculations'!BP446)</x:f>
      </x:c>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t="str">
        <x:f>IF(435&gt;MAX('Calculations'!$HI$13:$HI$512),"",INDEX('Calculations'!$HN$13:$HN$512,MATCH(435,'Calculations'!$HI$13:$HI$512,0)))</x:f>
      </x:c>
      <x:c r="DB446" s="4" t="str">
        <x:f>IF(435&gt;MAX('Calculations'!$HH$13:$HH$512),"",INDEX('Calculations'!$HJ$13:$HJ$512,MATCH(435,'Calculations'!$HH$13:$HH$512,0)))</x:f>
      </x:c>
      <x:c r="DC446" s="4" t="str">
        <x:f>IF(ROW()-11&gt;MAX('Calculations'!$BY$13:$BY$512),"",INDEX('Calculations'!$BU$13:$BU$512,MATCH(ROW()-11,'Calculations'!$BY$13:$BY$512,0)))</x:f>
      </x:c>
      <x:c r="DD446" s="4" t="str">
        <x:f>IF(435&gt;MAX('Calculations'!$IK$13:$IK$512),"",INDEX('Calculations'!$HK$13:$HK$512,MATCH(435,'Calculations'!$IK$13:$IK$512,0)))</x:f>
      </x:c>
      <x:c r="DE446" s="4" t="str">
        <x:f>'Calculations'!DC446</x:f>
      </x:c>
      <x:c r="DF446" s="4" t="str">
        <x:f>IF('Calculations'!DE446="","",COUNTIFS('Calculations'!$BN$13:$BN$512,1,'Calculations'!$BU$13:$BU$512,'Calculations'!DE446))</x:f>
      </x:c>
      <x:c r="DG446" s="4" t="str">
        <x:f>IF('Calculations'!DE446="","",COUNTIFS('Calculations'!$BN$13:$BN$512,1,'Calculations'!$BU$13:$BU$512,'Calculations'!DE446,'Calculations'!$BT$13:$BT$512,1))</x:f>
      </x:c>
      <x:c r="DH446" s="4" t="str">
        <x:f>IF('Calculations'!DE446="","",'Calculations'!DF446-'Calculations'!DG446)</x:f>
      </x:c>
      <x:c r="DI446" s="4" t="str">
        <x:f>IF(OR('Calculations'!DE446="",'Calculations'!DF446=0),"",'Calculations'!DG446/'Calculations'!DF446)</x:f>
      </x:c>
      <x:c r="DJ446" s="4" t="str">
        <x:f>IF('Calculations'!DE446="","",COUNTIFS('Calculations'!$BN$13:$BN$512,1,'Calculations'!$BU$13:$BU$512,'Calculations'!DE446,'Calculations'!$BT$13:$BT$512,1,'Calculations'!$EE$13:$EE$512,"High"))</x:f>
      </x:c>
      <x:c r="DK446" s="4" t="str">
        <x:f>IF('Calculations'!DE446="","",COUNTIFS('Calculations'!$BN$13:$BN$512,1,'Calculations'!$BU$13:$BU$512,'Calculations'!DE446,'Calculations'!$BT$13:$BT$512,1,'Calculations'!$EE$13:$EE$512,"Strong"))</x:f>
      </x:c>
      <x:c r="DL446" s="4" t="str">
        <x:f>IF('Calculations'!DE446="","",COUNTIFS('Calculations'!$BN$13:$BN$512,1,'Calculations'!$BU$13:$BU$512,'Calculations'!DE446,'Calculations'!$BT$13:$BT$512,1,'Calculations'!$EE$13:$EE$512,"Solid"))</x:f>
      </x:c>
      <x:c r="DM446" s="4" t="str">
        <x:f>IF('Calculations'!DE446="","",COUNTIFS('Calculations'!$BN$13:$BN$512,1,'Calculations'!$BU$13:$BU$512,'Calculations'!DE446,'Calculations'!$BT$13:$BT$512,1,'Calculations'!$EE$13:$EE$512,"Low"))</x:f>
      </x:c>
      <x:c r="DN446" s="4" t="str">
        <x:f>IF('Calculations'!DE446="","",COUNTIFS('Calculations'!$BN$13:$BN$512,1,'Calculations'!$BU$13:$BU$512,'Calculations'!DE446,'Calculations'!$EP$13:$EP$512,1))</x:f>
      </x:c>
      <x:c r="DO446" s="4" t="str">
        <x:f>IF(OR('Calculations'!DE446="",'Calculations'!DG446=0),"",('Calculations'!DJ446+'Calculations'!DK446)/'Calculations'!DG446)</x:f>
      </x:c>
      <x:c r="DP446" s="4" t="n">
        <x:f>IF(AND('Calculations'!DE446&lt;&gt;"",'Calculations'!DF446&gt;0),COUNTIF('Calculations'!$DF$12:DF446,"&gt;0"),0)</x:f>
        <x:v>0</x:v>
      </x:c>
      <x:c r="DQ446" s="4" t="str">
        <x:f>IF(435&gt;MAX('Calculations'!$HH$13:$HH$512),"",INDEX('Calculations'!$HF$13:$HF$512,MATCH(435,'Calculations'!$HH$13:$HH$512,0)))</x:f>
      </x:c>
      <x:c r="DR446" s="4" t="str">
        <x:f>IF(435&gt;MAX('Calculations'!$IK$13:$IK$512),"",INDEX('Calculations'!$HE$13:$HE$512,MATCH(435,'Calculations'!$IK$13:$IK$512,0)))</x:f>
      </x:c>
      <x:c r="DS446" s="4"/>
      <x:c r="DT446" s="4"/>
      <x:c r="DU446" s="4"/>
      <x:c r="DV446" s="4"/>
      <x:c r="DW446" s="4"/>
      <x:c r="DX446" s="4"/>
      <x:c r="DY446" s="4"/>
      <x:c r="DZ446" s="4"/>
      <x:c r="EA446" s="4"/>
      <x:c r="EB446" s="4"/>
      <x:c r="EC446" s="4"/>
      <x:c r="ED446" s="4"/>
      <x:c r="EE446" s="4" t="str">
        <x:f>IF('Calculations'!BT446=0,"Not Rated",IF(OR('Calculations'!BO446&gt;=4,'Calculations'!BP446&gt;=4),"Low",IF('Calculations'!BO446+'Calculations'!BP446&lt;=3,"High",IF('Calculations'!BO446+'Calculations'!BP446&lt;=4,"Strong","Solid"))))</x:f>
        <x:v>Not Rated</x:v>
      </x:c>
      <x:c r="EF446" s="4"/>
      <x:c r="EG446" s="4"/>
      <x:c r="EH446" s="4"/>
      <x:c r="EI446" s="4"/>
      <x:c r="EJ446" s="4"/>
      <x:c r="EK446" s="4"/>
      <x:c r="EL446" s="4"/>
      <x:c r="EM446" s="4" t="str">
        <x:f>IF(434&gt;'Calculations'!$JB$2000,"",INDEX('Calculations'!$JA$12:$JA$2000,MATCH(434,'Calculations'!$JB$12:$JB$2000,0)))</x:f>
      </x:c>
      <x:c r="EN446" s="4" t="n">
        <x:f>IF(OR('Calculations'!EM446="",'Calculations'!$AG$8&gt;0,AND('Calculations'!$EF$2&lt;&gt;"All",'Calculations'!HE446='Calculations'!$EF$2),AND('Calculations'!$EF$3&lt;&gt;"All",'Calculations'!HE446='Calculations'!$EF$3)),0,IF(OR('Dashboard'!$B$7="All",'Calculations'!HN446='Dashboard'!$B$7),IF('Calculations'!$EF$2="All",1,IF('Calculations'!HL446&gt;0,0,IF(COUNTIF('Calculations'!HO446:II446,"="&amp;SUBSTITUTE(SUBSTITUTE(SUBSTITUTE('Calculations'!$EF$2,"~","~~"),"*","~*"),"?","~?"))=0,0,IF('Calculations'!$EF$3="All",1,IF(COUNTIF('Calculations'!HO446:II446,"="&amp;SUBSTITUTE(SUBSTITUTE(SUBSTITUTE('Calculations'!$EF$3,"~","~~"),"*","~*"),"?","~?"))&gt;0,1,0))))),0))</x:f>
        <x:v>0</x:v>
      </x:c>
      <x:c r="EO446" s="4" t="str">
        <x:f>IF('Calculations'!IJ446="","",IF('Calculations'!IJ446="!UNRESOLVED","Unresolved hierarchy",IFERROR(INDEX('Calculations'!$HK$13:$HK$512,MATCH('Calculations'!IJ446,'Calculations'!$HE$13:$HE$512,0)),IFERROR(INDEX('Calculations'!$HJ$13:$HJ$512,MATCH('Calculations'!IJ446,'Calculations'!$HF$13:$HF$512,0)),'Calculations'!IJ446))))</x:f>
      </x:c>
      <x:c r="EP446" s="4" t="n">
        <x:f>IF(AND('Calculations'!EM446&lt;&gt;"",'Calculations'!HF446='Calculations'!IJ446),1,0)</x:f>
        <x:v>0</x:v>
      </x:c>
      <x:c r="EQ446" s="4"/>
      <x:c r="ER446" s="4"/>
      <x:c r="ES446" s="4"/>
      <x:c r="ET446" s="4"/>
      <x:c r="EU446" s="4"/>
      <x:c r="EV446" s="4"/>
      <x:c r="EW446" s="4"/>
      <x:c r="EX446" s="4"/>
      <x:c r="EY446" s="4"/>
      <x:c r="EZ446" s="4"/>
      <x:c r="FA446" s="4"/>
      <x:c r="FB446" s="4"/>
      <x:c r="FC446" s="4"/>
      <x:c r="FD446" s="4"/>
      <x:c r="FE446" s="4"/>
      <x:c r="FF446" s="4"/>
      <x:c r="FG446" s="4"/>
      <x:c r="FH446" s="4"/>
      <x:c r="FI446" s="4"/>
      <x:c r="FJ446" s="4"/>
      <x:c r="FK446" s="4"/>
      <x:c r="FL446" s="4"/>
      <x:c r="FM446" s="4"/>
      <x:c r="FN446" s="4"/>
      <x:c r="FO446" s="4"/>
      <x:c r="HE446" t="str">
        <x:f>IF('Calculations'!EM446="","",IF(IFERROR(IF(INDEX(INDIRECT("'WCM Calibration Final'!$A$1:$A$2000"),'Calculations'!$EM446)="","",TRIM(INDEX(INDIRECT("'WCM Calibration Final'!$A$1:$A$2000"),'Calculations'!$EM446)&amp;"")),"")&lt;&gt;"","G:"&amp;IFERROR(TEXT(1*INDEX(INDIRECT("'WCM Calibration Final'!$A$1:$A$2000"),'Calculations'!$EM446),"0"),UPPER(IFERROR(IF(INDEX(INDIRECT("'WCM Calibration Final'!$A$1:$A$2000"),'Calculations'!$EM446)="","",TRIM(INDEX(INDIRECT("'WCM Calibration Final'!$A$1:$A$2000"),'Calculations'!$EM446)&amp;"")),""))),IF(IFERROR(IF(INDEX(INDIRECT("'WCM Calibration Final'!$C$1:$C$2000"),'Calculations'!$EM446)="","",TRIM(INDEX(INDIRECT("'WCM Calibration Final'!$C$1:$C$2000"),'Calculations'!$EM446)&amp;"")),"")&lt;&gt;"","S:"&amp;UPPER(IFERROR(IF(INDEX(INDIRECT("'WCM Calibration Final'!$C$1:$C$2000"),'Calculations'!$EM446)="","",TRIM(INDEX(INDIRECT("'WCM Calibration Final'!$C$1:$C$2000"),'Calculations'!$EM446)&amp;"")),"")),"R:"&amp;'Calculations'!EM446)))</x:f>
      </x:c>
      <x:c r="HF446" t="str">
        <x:f>IF('Calculations'!EM446="","",IF(IFERROR(IF(INDEX(INDIRECT("'WCM Calibration Final'!$D$1:$D$2000"),'Calculations'!$EM446)="","",TRIM(INDEX(INDIRECT("'WCM Calibration Final'!$D$1:$D$2000"),'Calculations'!$EM446)&amp;"")),"")&lt;&gt;"","G:"&amp;IFERROR(TEXT(1*INDEX(INDIRECT("'WCM Calibration Final'!$D$1:$D$2000"),'Calculations'!$EM446),"0"),UPPER(IFERROR(IF(INDEX(INDIRECT("'WCM Calibration Final'!$D$1:$D$2000"),'Calculations'!$EM446)="","",TRIM(INDEX(INDIRECT("'WCM Calibration Final'!$D$1:$D$2000"),'Calculations'!$EM446)&amp;"")),""))),IF(IFERROR(IF(INDEX(INDIRECT("'WCM Calibration Final'!$E$1:$E$2000"),'Calculations'!$EM446)="","",TRIM(INDEX(INDIRECT("'WCM Calibration Final'!$E$1:$E$2000"),'Calculations'!$EM446)&amp;"")),"")="","",IF(COUNTIF('Calculations'!$HG$13:$HG$512,"="&amp;SUBSTITUTE(SUBSTITUTE(SUBSTITUTE(IFERROR(IF(INDEX(INDIRECT("'WCM Calibration Final'!$E$1:$E$2000"),'Calculations'!$EM446)="","",TRIM(INDEX(INDIRECT("'WCM Calibration Final'!$E$1:$E$2000"),'Calculations'!$EM446)&amp;"")),""),"~","~~"),"*","~*"),"?","~?"))=1,INDEX('Calculations'!$HE$13:$HE$512,MATCH(IFERROR(IF(INDEX(INDIRECT("'WCM Calibration Final'!$E$1:$E$2000"),'Calculations'!$EM446)="","",TRIM(INDEX(INDIRECT("'WCM Calibration Final'!$E$1:$E$2000"),'Calculations'!$EM446)&amp;"")),""),'Calculations'!$HG$13:$HG$512,0)),IF(COUNTIF('Calculations'!$HG$13:$HG$512,"="&amp;SUBSTITUTE(SUBSTITUTE(SUBSTITUTE(IFERROR(IF(INDEX(INDIRECT("'WCM Calibration Final'!$E$1:$E$2000"),'Calculations'!$EM446)="","",TRIM(INDEX(INDIRECT("'WCM Calibration Final'!$E$1:$E$2000"),'Calculations'!$EM446)&amp;"")),""),"~","~~"),"*","~*"),"?","~?"))&gt;1,"!AMBIG","X:"&amp;IFERROR(IF(INDEX(INDIRECT("'WCM Calibration Final'!$E$1:$E$2000"),'Calculations'!$EM446)="","",TRIM(INDEX(INDIRECT("'WCM Calibration Final'!$E$1:$E$2000"),'Calculations'!$EM446)&amp;"")),""))))))</x:f>
      </x:c>
      <x:c r="HG446" t="str">
        <x:f>IF('Calculations'!EM446="","",IFERROR(IF(INDEX(INDIRECT("'WCM Calibration Final'!$B$1:$B$2000"),'Calculations'!$EM446)="","",TRIM(INDEX(INDIRECT("'WCM Calibration Final'!$B$1:$B$2000"),'Calculations'!$EM446)&amp;"")),""))</x:f>
      </x:c>
      <x:c r="HH446" t="n">
        <x:f>IF(AND('Calculations'!JC446&gt;0,COUNTIF('Calculations'!$HF$12:HF446,"="&amp;SUBSTITUTE(SUBSTITUTE(SUBSTITUTE('Calculations'!HF446,"~","~~"),"*","~*"),"?","~?"))=1),MAX('Calculations'!$HH$12:HH445)+1,0)</x:f>
        <x:v>0</x:v>
      </x:c>
      <x:c r="HI446" t="n">
        <x:f>IF(AND('Calculations'!HN446&lt;&gt;"",COUNTIF('Calculations'!$HN$12:HN446,"="&amp;SUBSTITUTE(SUBSTITUTE(SUBSTITUTE('Calculations'!HN446,"~","~~"),"*","~*"),"?","~?"))=1),MAX('Calculations'!$HI$12:HI445)+1,0)</x:f>
        <x:v>0</x:v>
      </x:c>
      <x:c r="HJ446" t="str">
        <x:f>IF('Calculations'!HF446="","",IF(COUNTIF('Calculations'!$HE$13:$HE$512,"="&amp;SUBSTITUTE(SUBSTITUTE(SUBSTITUTE('Calculations'!HF446,"~","~~"),"*","~*"),"?","~?"))=1,INDEX('Calculations'!$HK$13:$HK$512,MATCH('Calculations'!HF446,'Calculations'!$HE$13:$HE$512,0)),IFERROR(IF(INDEX(INDIRECT("'WCM Calibration Final'!$E$1:$E$2000"),'Calculations'!$EM446)="","",TRIM(INDEX(INDIRECT("'WCM Calibration Final'!$E$1:$E$2000"),'Calculations'!$EM446)&amp;"")),"")&amp;" ["&amp;'Calculations'!HF446&amp;"]"))</x:f>
      </x:c>
      <x:c r="HK446" t="str">
        <x:f>IF('Calculations'!EM446="","",'Calculations'!HG446&amp;" ["&amp;'Calculations'!HE446&amp;"]")</x:f>
      </x:c>
      <x:c r="HL446" t="n">
        <x:f>IF('Calculations'!EM446="",0,IF(OR('Calculations'!II446&lt;&gt;"",COUNTIF('Calculations'!$HE$13:$HE$512,"="&amp;SUBSTITUTE(SUBSTITUTE(SUBSTITUTE('Calculations'!HE446,"~","~~"),"*","~*"),"?","~?"))&gt;1),1,0))</x:f>
        <x:v>0</x:v>
      </x:c>
      <x:c r="HM446" t="str">
        <x:f>IF('Calculations'!EM446="","",IF('Calculations'!HL446=1,"!UNRESOLVED",IF('Calculations'!IH446&lt;&gt;"",'Calculations'!IH446,IF('Calculations'!IG446&lt;&gt;"",'Calculations'!IG446,IF('Calculations'!IF446&lt;&gt;"",'Calculations'!IF446,IF('Calculations'!IE446&lt;&gt;"",'Calculations'!IE446,IF('Calculations'!ID446&lt;&gt;"",'Calculations'!ID446,IF('Calculations'!IC446&lt;&gt;"",'Calculations'!IC446,IF('Calculations'!IB446&lt;&gt;"",'Calculations'!IB446,IF('Calculations'!IA446&lt;&gt;"",'Calculations'!IA446,IF('Calculations'!HZ446&lt;&gt;"",'Calculations'!HZ446,IF('Calculations'!HY446&lt;&gt;"",'Calculations'!HY446,IF('Calculations'!HX446&lt;&gt;"",'Calculations'!HX446,IF('Calculations'!HW446&lt;&gt;"",'Calculations'!HW446,IF('Calculations'!HV446&lt;&gt;"",'Calculations'!HV446,IF('Calculations'!HU446&lt;&gt;"",'Calculations'!HU446,IF('Calculations'!HT446&lt;&gt;"",'Calculations'!HT446,IF('Calculations'!HS446&lt;&gt;"",'Calculations'!HS446,IF('Calculations'!HR446&lt;&gt;"",'Calculations'!HR446,IF('Calculations'!HQ446&lt;&gt;"",'Calculations'!HQ446,IF('Calculations'!HP446&lt;&gt;"",'Calculations'!HP446,IF('Calculations'!HO446&lt;&gt;"",'Calculations'!HO446,'Calculations'!HE446))))))))))))))))))))))</x:f>
      </x:c>
      <x:c r="HN446" t="str">
        <x:f>IF('Calculations'!EM446="","",IF(IFERROR(IF(INDEX(INDIRECT("'WCM Calibration Final'!$F$1:$F$2000"),'Calculations'!$EM446)="","",TRIM(INDEX(INDIRECT("'WCM Calibration Final'!$F$1:$F$2000"),'Calculations'!$EM446)&amp;"")),"")="","(Blank)",IFERROR(IF(INDEX(INDIRECT("'WCM Calibration Final'!$F$1:$F$2000"),'Calculations'!$EM446)="","",TRIM(INDEX(INDIRECT("'WCM Calibration Final'!$F$1:$F$2000"),'Calculations'!$EM446)&amp;"")),"")))</x:f>
      </x:c>
      <x:c r="HO446" t="str">
        <x:f>'Calculations'!HF446</x:f>
      </x:c>
      <x:c r="HP446" t="str">
        <x:f>IF('Calculations'!HO446="","",IF('Calculations'!HO446="!AMBIG","!AMBIG",IF(COUNTIF('Calculations'!$HE$13:$HE$512,"="&amp;SUBSTITUTE(SUBSTITUTE(SUBSTITUTE('Calculations'!HO446,"~","~~"),"*","~*"),"?","~?"))&gt;1,"!AMBIG",IFERROR(INDEX('Calculations'!$HF$13:$HF$512,MATCH('Calculations'!HO446,'Calculations'!$HE$13:$HE$512,0)),""))))</x:f>
      </x:c>
      <x:c r="HQ446" t="str">
        <x:f>IF('Calculations'!HP446="","",IF('Calculations'!HP446="!AMBIG","!AMBIG",IF(COUNTIF('Calculations'!$HE$13:$HE$512,"="&amp;SUBSTITUTE(SUBSTITUTE(SUBSTITUTE('Calculations'!HP446,"~","~~"),"*","~*"),"?","~?"))&gt;1,"!AMBIG",IFERROR(INDEX('Calculations'!$HF$13:$HF$512,MATCH('Calculations'!HP446,'Calculations'!$HE$13:$HE$512,0)),""))))</x:f>
      </x:c>
      <x:c r="HR446" t="str">
        <x:f>IF('Calculations'!HQ446="","",IF('Calculations'!HQ446="!AMBIG","!AMBIG",IF(COUNTIF('Calculations'!$HE$13:$HE$512,"="&amp;SUBSTITUTE(SUBSTITUTE(SUBSTITUTE('Calculations'!HQ446,"~","~~"),"*","~*"),"?","~?"))&gt;1,"!AMBIG",IFERROR(INDEX('Calculations'!$HF$13:$HF$512,MATCH('Calculations'!HQ446,'Calculations'!$HE$13:$HE$512,0)),""))))</x:f>
      </x:c>
      <x:c r="HS446" t="str">
        <x:f>IF('Calculations'!HR446="","",IF('Calculations'!HR446="!AMBIG","!AMBIG",IF(COUNTIF('Calculations'!$HE$13:$HE$512,"="&amp;SUBSTITUTE(SUBSTITUTE(SUBSTITUTE('Calculations'!HR446,"~","~~"),"*","~*"),"?","~?"))&gt;1,"!AMBIG",IFERROR(INDEX('Calculations'!$HF$13:$HF$512,MATCH('Calculations'!HR446,'Calculations'!$HE$13:$HE$512,0)),""))))</x:f>
      </x:c>
      <x:c r="HT446" t="str">
        <x:f>IF('Calculations'!HS446="","",IF('Calculations'!HS446="!AMBIG","!AMBIG",IF(COUNTIF('Calculations'!$HE$13:$HE$512,"="&amp;SUBSTITUTE(SUBSTITUTE(SUBSTITUTE('Calculations'!HS446,"~","~~"),"*","~*"),"?","~?"))&gt;1,"!AMBIG",IFERROR(INDEX('Calculations'!$HF$13:$HF$512,MATCH('Calculations'!HS446,'Calculations'!$HE$13:$HE$512,0)),""))))</x:f>
      </x:c>
      <x:c r="HU446" t="str">
        <x:f>IF('Calculations'!HT446="","",IF('Calculations'!HT446="!AMBIG","!AMBIG",IF(COUNTIF('Calculations'!$HE$13:$HE$512,"="&amp;SUBSTITUTE(SUBSTITUTE(SUBSTITUTE('Calculations'!HT446,"~","~~"),"*","~*"),"?","~?"))&gt;1,"!AMBIG",IFERROR(INDEX('Calculations'!$HF$13:$HF$512,MATCH('Calculations'!HT446,'Calculations'!$HE$13:$HE$512,0)),""))))</x:f>
      </x:c>
      <x:c r="HV446" t="str">
        <x:f>IF('Calculations'!HU446="","",IF('Calculations'!HU446="!AMBIG","!AMBIG",IF(COUNTIF('Calculations'!$HE$13:$HE$512,"="&amp;SUBSTITUTE(SUBSTITUTE(SUBSTITUTE('Calculations'!HU446,"~","~~"),"*","~*"),"?","~?"))&gt;1,"!AMBIG",IFERROR(INDEX('Calculations'!$HF$13:$HF$512,MATCH('Calculations'!HU446,'Calculations'!$HE$13:$HE$512,0)),""))))</x:f>
      </x:c>
      <x:c r="HW446" t="str">
        <x:f>IF('Calculations'!HV446="","",IF('Calculations'!HV446="!AMBIG","!AMBIG",IF(COUNTIF('Calculations'!$HE$13:$HE$512,"="&amp;SUBSTITUTE(SUBSTITUTE(SUBSTITUTE('Calculations'!HV446,"~","~~"),"*","~*"),"?","~?"))&gt;1,"!AMBIG",IFERROR(INDEX('Calculations'!$HF$13:$HF$512,MATCH('Calculations'!HV446,'Calculations'!$HE$13:$HE$512,0)),""))))</x:f>
      </x:c>
      <x:c r="HX446" t="str">
        <x:f>IF('Calculations'!HW446="","",IF('Calculations'!HW446="!AMBIG","!AMBIG",IF(COUNTIF('Calculations'!$HE$13:$HE$512,"="&amp;SUBSTITUTE(SUBSTITUTE(SUBSTITUTE('Calculations'!HW446,"~","~~"),"*","~*"),"?","~?"))&gt;1,"!AMBIG",IFERROR(INDEX('Calculations'!$HF$13:$HF$512,MATCH('Calculations'!HW446,'Calculations'!$HE$13:$HE$512,0)),""))))</x:f>
      </x:c>
      <x:c r="HY446" t="str">
        <x:f>IF('Calculations'!HX446="","",IF('Calculations'!HX446="!AMBIG","!AMBIG",IF(COUNTIF('Calculations'!$HE$13:$HE$512,"="&amp;SUBSTITUTE(SUBSTITUTE(SUBSTITUTE('Calculations'!HX446,"~","~~"),"*","~*"),"?","~?"))&gt;1,"!AMBIG",IFERROR(INDEX('Calculations'!$HF$13:$HF$512,MATCH('Calculations'!HX446,'Calculations'!$HE$13:$HE$512,0)),""))))</x:f>
      </x:c>
      <x:c r="HZ446" t="str">
        <x:f>IF('Calculations'!HY446="","",IF('Calculations'!HY446="!AMBIG","!AMBIG",IF(COUNTIF('Calculations'!$HE$13:$HE$512,"="&amp;SUBSTITUTE(SUBSTITUTE(SUBSTITUTE('Calculations'!HY446,"~","~~"),"*","~*"),"?","~?"))&gt;1,"!AMBIG",IFERROR(INDEX('Calculations'!$HF$13:$HF$512,MATCH('Calculations'!HY446,'Calculations'!$HE$13:$HE$512,0)),""))))</x:f>
      </x:c>
      <x:c r="IA446" t="str">
        <x:f>IF('Calculations'!HZ446="","",IF('Calculations'!HZ446="!AMBIG","!AMBIG",IF(COUNTIF('Calculations'!$HE$13:$HE$512,"="&amp;SUBSTITUTE(SUBSTITUTE(SUBSTITUTE('Calculations'!HZ446,"~","~~"),"*","~*"),"?","~?"))&gt;1,"!AMBIG",IFERROR(INDEX('Calculations'!$HF$13:$HF$512,MATCH('Calculations'!HZ446,'Calculations'!$HE$13:$HE$512,0)),""))))</x:f>
      </x:c>
      <x:c r="IB446" t="str">
        <x:f>IF('Calculations'!IA446="","",IF('Calculations'!IA446="!AMBIG","!AMBIG",IF(COUNTIF('Calculations'!$HE$13:$HE$512,"="&amp;SUBSTITUTE(SUBSTITUTE(SUBSTITUTE('Calculations'!IA446,"~","~~"),"*","~*"),"?","~?"))&gt;1,"!AMBIG",IFERROR(INDEX('Calculations'!$HF$13:$HF$512,MATCH('Calculations'!IA446,'Calculations'!$HE$13:$HE$512,0)),""))))</x:f>
      </x:c>
      <x:c r="IC446" t="str">
        <x:f>IF('Calculations'!IB446="","",IF('Calculations'!IB446="!AMBIG","!AMBIG",IF(COUNTIF('Calculations'!$HE$13:$HE$512,"="&amp;SUBSTITUTE(SUBSTITUTE(SUBSTITUTE('Calculations'!IB446,"~","~~"),"*","~*"),"?","~?"))&gt;1,"!AMBIG",IFERROR(INDEX('Calculations'!$HF$13:$HF$512,MATCH('Calculations'!IB446,'Calculations'!$HE$13:$HE$512,0)),""))))</x:f>
      </x:c>
      <x:c r="ID446" t="str">
        <x:f>IF('Calculations'!IC446="","",IF('Calculations'!IC446="!AMBIG","!AMBIG",IF(COUNTIF('Calculations'!$HE$13:$HE$512,"="&amp;SUBSTITUTE(SUBSTITUTE(SUBSTITUTE('Calculations'!IC446,"~","~~"),"*","~*"),"?","~?"))&gt;1,"!AMBIG",IFERROR(INDEX('Calculations'!$HF$13:$HF$512,MATCH('Calculations'!IC446,'Calculations'!$HE$13:$HE$512,0)),""))))</x:f>
      </x:c>
      <x:c r="IE446" t="str">
        <x:f>IF('Calculations'!ID446="","",IF('Calculations'!ID446="!AMBIG","!AMBIG",IF(COUNTIF('Calculations'!$HE$13:$HE$512,"="&amp;SUBSTITUTE(SUBSTITUTE(SUBSTITUTE('Calculations'!ID446,"~","~~"),"*","~*"),"?","~?"))&gt;1,"!AMBIG",IFERROR(INDEX('Calculations'!$HF$13:$HF$512,MATCH('Calculations'!ID446,'Calculations'!$HE$13:$HE$512,0)),""))))</x:f>
      </x:c>
      <x:c r="IF446" t="str">
        <x:f>IF('Calculations'!IE446="","",IF('Calculations'!IE446="!AMBIG","!AMBIG",IF(COUNTIF('Calculations'!$HE$13:$HE$512,"="&amp;SUBSTITUTE(SUBSTITUTE(SUBSTITUTE('Calculations'!IE446,"~","~~"),"*","~*"),"?","~?"))&gt;1,"!AMBIG",IFERROR(INDEX('Calculations'!$HF$13:$HF$512,MATCH('Calculations'!IE446,'Calculations'!$HE$13:$HE$512,0)),""))))</x:f>
      </x:c>
      <x:c r="IG446" t="str">
        <x:f>IF('Calculations'!IF446="","",IF('Calculations'!IF446="!AMBIG","!AMBIG",IF(COUNTIF('Calculations'!$HE$13:$HE$512,"="&amp;SUBSTITUTE(SUBSTITUTE(SUBSTITUTE('Calculations'!IF446,"~","~~"),"*","~*"),"?","~?"))&gt;1,"!AMBIG",IFERROR(INDEX('Calculations'!$HF$13:$HF$512,MATCH('Calculations'!IF446,'Calculations'!$HE$13:$HE$512,0)),""))))</x:f>
      </x:c>
      <x:c r="IH446" t="str">
        <x:f>IF('Calculations'!IG446="","",IF('Calculations'!IG446="!AMBIG","!AMBIG",IF(COUNTIF('Calculations'!$HE$13:$HE$512,"="&amp;SUBSTITUTE(SUBSTITUTE(SUBSTITUTE('Calculations'!IG446,"~","~~"),"*","~*"),"?","~?"))&gt;1,"!AMBIG",IFERROR(INDEX('Calculations'!$HF$13:$HF$512,MATCH('Calculations'!IG446,'Calculations'!$HE$13:$HE$512,0)),""))))</x:f>
      </x:c>
      <x:c r="II446" t="str">
        <x:f>IF('Calculations'!IH446="","",IF('Calculations'!IH446="!AMBIG","!AMBIG",IF(COUNTIF('Calculations'!$HE$13:$HE$512,"="&amp;SUBSTITUTE(SUBSTITUTE(SUBSTITUTE('Calculations'!IH446,"~","~~"),"*","~*"),"?","~?"))&gt;1,"!AMBIG",IFERROR(INDEX('Calculations'!$HF$13:$HF$512,MATCH('Calculations'!IH446,'Calculations'!$HE$13:$HE$512,0)),""))))</x:f>
      </x:c>
      <x:c r="IJ446" t="str">
        <x:f>IF('Calculations'!EM446="","",IF('Calculations'!$EF$2="All",'Calculations'!HM446,IF('Calculations'!HL446=1,"",IFERROR(IF(MATCH('Calculations'!$EF$2,'Calculations'!HO446:II446,0)=1,'Calculations'!HE446,INDEX('Calculations'!HO446:II446,1,MATCH('Calculations'!$EF$2,'Calculations'!HO446:II446,0)-1)),""))))</x:f>
      </x:c>
      <x:c r="IK446" t="n">
        <x:f>IF(AND('Calculations'!EM446&lt;&gt;"",'Calculations'!$EF$2&lt;&gt;"All",'Calculations'!HF446='Calculations'!$EF$2,'Calculations'!HL446=0,'Calculations'!JD446&gt;0),MAX('Calculations'!$IK$12:IK445)+1,0)</x:f>
        <x:v>0</x:v>
      </x:c>
      <x:c r="JA446" t="n">
        <x:f>IF(OR(IFERROR(INDIRECT("'WCM Calibration Final'!$A$446")&lt;&gt;"",FALSE),IFERROR(INDIRECT("'WCM Calibration Final'!$B$446")&lt;&gt;"",FALSE),IFERROR(INDIRECT("'WCM Calibration Final'!$C$446")&lt;&gt;"",FALSE)),446,0)</x:f>
        <x:v>0</x:v>
      </x:c>
      <x:c r="JB446" t="n">
        <x:f>'Calculations'!JB445+IF('Calculations'!JA446&gt;0,1,0)</x:f>
        <x:v>0</x:v>
      </x:c>
      <x:c r="JC446" t="n">
        <x:f>IF(OR('Calculations'!HF446="",'Calculations'!HF446="!AMBIG"),0,IF('Dashboard'!$B$7="All",1,COUNTIFS('Calculations'!$HO$13:$HO$512,"="&amp;SUBSTITUTE(SUBSTITUTE(SUBSTITUTE('Calculations'!HF446,"~","~~"),"*","~*"),"?","~?"),'Calculations'!$HN$13:$HN$512,"="&amp;SUBSTITUTE(SUBSTITUTE(SUBSTITUTE('Dashboard'!$B$7,"~","~~"),"*","~*"),"?","~?"))+COUNTIFS('Calculations'!$HP$13:$HP$512,"="&amp;SUBSTITUTE(SUBSTITUTE(SUBSTITUTE('Calculations'!HF446,"~","~~"),"*","~*"),"?","~?"),'Calculations'!$HN$13:$HN$512,"="&amp;SUBSTITUTE(SUBSTITUTE(SUBSTITUTE('Dashboard'!$B$7,"~","~~"),"*","~*"),"?","~?"))+COUNTIFS('Calculations'!$HQ$13:$HQ$512,"="&amp;SUBSTITUTE(SUBSTITUTE(SUBSTITUTE('Calculations'!HF446,"~","~~"),"*","~*"),"?","~?"),'Calculations'!$HN$13:$HN$512,"="&amp;SUBSTITUTE(SUBSTITUTE(SUBSTITUTE('Dashboard'!$B$7,"~","~~"),"*","~*"),"?","~?"))+COUNTIFS('Calculations'!$HR$13:$HR$512,"="&amp;SUBSTITUTE(SUBSTITUTE(SUBSTITUTE('Calculations'!HF446,"~","~~"),"*","~*"),"?","~?"),'Calculations'!$HN$13:$HN$512,"="&amp;SUBSTITUTE(SUBSTITUTE(SUBSTITUTE('Dashboard'!$B$7,"~","~~"),"*","~*"),"?","~?"))+COUNTIFS('Calculations'!$HS$13:$HS$512,"="&amp;SUBSTITUTE(SUBSTITUTE(SUBSTITUTE('Calculations'!HF446,"~","~~"),"*","~*"),"?","~?"),'Calculations'!$HN$13:$HN$512,"="&amp;SUBSTITUTE(SUBSTITUTE(SUBSTITUTE('Dashboard'!$B$7,"~","~~"),"*","~*"),"?","~?"))+COUNTIFS('Calculations'!$HT$13:$HT$512,"="&amp;SUBSTITUTE(SUBSTITUTE(SUBSTITUTE('Calculations'!HF446,"~","~~"),"*","~*"),"?","~?"),'Calculations'!$HN$13:$HN$512,"="&amp;SUBSTITUTE(SUBSTITUTE(SUBSTITUTE('Dashboard'!$B$7,"~","~~"),"*","~*"),"?","~?"))+COUNTIFS('Calculations'!$HU$13:$HU$512,"="&amp;SUBSTITUTE(SUBSTITUTE(SUBSTITUTE('Calculations'!HF446,"~","~~"),"*","~*"),"?","~?"),'Calculations'!$HN$13:$HN$512,"="&amp;SUBSTITUTE(SUBSTITUTE(SUBSTITUTE('Dashboard'!$B$7,"~","~~"),"*","~*"),"?","~?"))+COUNTIFS('Calculations'!$HV$13:$HV$512,"="&amp;SUBSTITUTE(SUBSTITUTE(SUBSTITUTE('Calculations'!HF446,"~","~~"),"*","~*"),"?","~?"),'Calculations'!$HN$13:$HN$512,"="&amp;SUBSTITUTE(SUBSTITUTE(SUBSTITUTE('Dashboard'!$B$7,"~","~~"),"*","~*"),"?","~?"))+COUNTIFS('Calculations'!$HW$13:$HW$512,"="&amp;SUBSTITUTE(SUBSTITUTE(SUBSTITUTE('Calculations'!HF446,"~","~~"),"*","~*"),"?","~?"),'Calculations'!$HN$13:$HN$512,"="&amp;SUBSTITUTE(SUBSTITUTE(SUBSTITUTE('Dashboard'!$B$7,"~","~~"),"*","~*"),"?","~?"))+COUNTIFS('Calculations'!$HX$13:$HX$512,"="&amp;SUBSTITUTE(SUBSTITUTE(SUBSTITUTE('Calculations'!HF446,"~","~~"),"*","~*"),"?","~?"),'Calculations'!$HN$13:$HN$512,"="&amp;SUBSTITUTE(SUBSTITUTE(SUBSTITUTE('Dashboard'!$B$7,"~","~~"),"*","~*"),"?","~?"))+COUNTIFS('Calculations'!$HY$13:$HY$512,"="&amp;SUBSTITUTE(SUBSTITUTE(SUBSTITUTE('Calculations'!HF446,"~","~~"),"*","~*"),"?","~?"),'Calculations'!$HN$13:$HN$512,"="&amp;SUBSTITUTE(SUBSTITUTE(SUBSTITUTE('Dashboard'!$B$7,"~","~~"),"*","~*"),"?","~?"))+COUNTIFS('Calculations'!$HZ$13:$HZ$512,"="&amp;SUBSTITUTE(SUBSTITUTE(SUBSTITUTE('Calculations'!HF446,"~","~~"),"*","~*"),"?","~?"),'Calculations'!$HN$13:$HN$512,"="&amp;SUBSTITUTE(SUBSTITUTE(SUBSTITUTE('Dashboard'!$B$7,"~","~~"),"*","~*"),"?","~?"))+COUNTIFS('Calculations'!$IA$13:$IA$512,"="&amp;SUBSTITUTE(SUBSTITUTE(SUBSTITUTE('Calculations'!HF446,"~","~~"),"*","~*"),"?","~?"),'Calculations'!$HN$13:$HN$512,"="&amp;SUBSTITUTE(SUBSTITUTE(SUBSTITUTE('Dashboard'!$B$7,"~","~~"),"*","~*"),"?","~?"))+COUNTIFS('Calculations'!$IB$13:$IB$512,"="&amp;SUBSTITUTE(SUBSTITUTE(SUBSTITUTE('Calculations'!HF446,"~","~~"),"*","~*"),"?","~?"),'Calculations'!$HN$13:$HN$512,"="&amp;SUBSTITUTE(SUBSTITUTE(SUBSTITUTE('Dashboard'!$B$7,"~","~~"),"*","~*"),"?","~?"))+COUNTIFS('Calculations'!$IC$13:$IC$512,"="&amp;SUBSTITUTE(SUBSTITUTE(SUBSTITUTE('Calculations'!HF446,"~","~~"),"*","~*"),"?","~?"),'Calculations'!$HN$13:$HN$512,"="&amp;SUBSTITUTE(SUBSTITUTE(SUBSTITUTE('Dashboard'!$B$7,"~","~~"),"*","~*"),"?","~?"))+COUNTIFS('Calculations'!$ID$13:$ID$512,"="&amp;SUBSTITUTE(SUBSTITUTE(SUBSTITUTE('Calculations'!HF446,"~","~~"),"*","~*"),"?","~?"),'Calculations'!$HN$13:$HN$512,"="&amp;SUBSTITUTE(SUBSTITUTE(SUBSTITUTE('Dashboard'!$B$7,"~","~~"),"*","~*"),"?","~?"))+COUNTIFS('Calculations'!$IE$13:$IE$512,"="&amp;SUBSTITUTE(SUBSTITUTE(SUBSTITUTE('Calculations'!HF446,"~","~~"),"*","~*"),"?","~?"),'Calculations'!$HN$13:$HN$512,"="&amp;SUBSTITUTE(SUBSTITUTE(SUBSTITUTE('Dashboard'!$B$7,"~","~~"),"*","~*"),"?","~?"))+COUNTIFS('Calculations'!$IF$13:$IF$512,"="&amp;SUBSTITUTE(SUBSTITUTE(SUBSTITUTE('Calculations'!HF446,"~","~~"),"*","~*"),"?","~?"),'Calculations'!$HN$13:$HN$512,"="&amp;SUBSTITUTE(SUBSTITUTE(SUBSTITUTE('Dashboard'!$B$7,"~","~~"),"*","~*"),"?","~?"))+COUNTIFS('Calculations'!$IG$13:$IG$512,"="&amp;SUBSTITUTE(SUBSTITUTE(SUBSTITUTE('Calculations'!HF446,"~","~~"),"*","~*"),"?","~?"),'Calculations'!$HN$13:$HN$512,"="&amp;SUBSTITUTE(SUBSTITUTE(SUBSTITUTE('Dashboard'!$B$7,"~","~~"),"*","~*"),"?","~?"))+COUNTIFS('Calculations'!$IH$13:$IH$512,"="&amp;SUBSTITUTE(SUBSTITUTE(SUBSTITUTE('Calculations'!HF446,"~","~~"),"*","~*"),"?","~?"),'Calculations'!$HN$13:$HN$512,"="&amp;SUBSTITUTE(SUBSTITUTE(SUBSTITUTE('Dashboard'!$B$7,"~","~~"),"*","~*"),"?","~?"))))</x:f>
        <x:v>0</x:v>
      </x:c>
      <x:c r="JD446" t="n">
        <x:f>IF('Calculations'!EM446="",0,IF('Dashboard'!$B$7="All",1,IF('Calculations'!HN446='Dashboard'!$B$7,1,0)+IFERROR(INDEX('Calculations'!$JC$13:$JC$512,MATCH('Calculations'!HE446,'Calculations'!$HF$13:$HF$512,0)),0)))</x:f>
        <x:v>0</x:v>
      </x:c>
      <x:c r="JE446" t="n">
        <x:f>IF(AND('Calculations'!EM446&lt;&gt;"",'Calculations'!$JJ$2&lt;&gt;"All",'Calculations'!$JJ$2&lt;&gt;"",'Calculations'!HF446='Calculations'!$JJ$2,'Calculations'!HL446=0,'Calculations'!JD446&gt;0),MAX('Calculations'!$JE$12:JE445)+1,0)</x:f>
        <x:v>0</x:v>
      </x:c>
      <x:c r="JF446" t="str">
        <x:f>IF('Calculations'!EM446="","",IFERROR(IF(INDEX(INDIRECT("'WCM Calibration Final'!$G$1:$G$2000"),'Calculations'!$EM446)="","",TRIM(INDEX(INDIRECT("'WCM Calibration Final'!$G$1:$G$2000"),'Calculations'!$EM446)&amp;"")),""))</x:f>
      </x:c>
      <x:c r="JQ446" t="n">
        <x:f>IF(OR('Calculations'!BM446=0,NOT('Calculations'!$AG$2),'Calculations'!$AG$8&gt;0),0,IF(OR('Dashboard'!$B$7="All",'Calculations'!HN446='Dashboard'!$B$7),IF('Calculations'!$JJ$2="All",1,IF(AND('Calculations'!HF446='Calculations'!$JJ$2,'Calculations'!HL446=0),1,0)),0))</x:f>
        <x:v>0</x:v>
      </x:c>
    </x:row>
    <x:row r="447">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t="n">
        <x:f>IF('Calculations'!$EM447="",0,IF(OR(IFERROR(INDEX(INDIRECT("'WCM Calibration Final'!$A$1:$A$2000"),'Calculations'!$EM447)&lt;&gt;"",FALSE),IFERROR(INDEX(INDIRECT("'WCM Calibration Final'!$B$1:$B$2000"),'Calculations'!$EM447)&lt;&gt;"",FALSE),IFERROR(INDEX(INDIRECT("'WCM Calibration Final'!$C$1:$C$2000"),'Calculations'!$EM447)&lt;&gt;"",FALSE)),1,0))</x:f>
        <x:v>0</x:v>
      </x:c>
      <x:c r="BN447" s="4" t="n">
        <x:f>IF(AND('Calculations'!BM447=1,'Calculations'!$AG$2,'Calculations'!$EN447=1),1,0)</x:f>
        <x:v>0</x:v>
      </x:c>
      <x:c r="BO447" s="4" t="str">
        <x:f>IF('Calculations'!BM447=0,"",IFERROR(IF(AND(VALUE(INDEX(INDIRECT("'WCM Calibration Final'!$K$1:$K$2000"),'Calculations'!$EM447))&gt;=1,VALUE(INDEX(INDIRECT("'WCM Calibration Final'!$K$1:$K$2000"),'Calculations'!$EM447))&lt;=4,MOD(VALUE(INDEX(INDIRECT("'WCM Calibration Final'!$K$1:$K$2000"),'Calculations'!$EM447)),1)=0),VALUE(INDEX(INDIRECT("'WCM Calibration Final'!$K$1:$K$2000"),'Calculations'!$EM447)),""),""))</x:f>
      </x:c>
      <x:c r="BP447" s="4" t="str">
        <x:f>IF('Calculations'!BM447=0,"",IFERROR(IF(AND(VALUE(INDEX(INDIRECT("'WCM Calibration Final'!$L$1:$L$2000"),'Calculations'!$EM447))&gt;=1,VALUE(INDEX(INDIRECT("'WCM Calibration Final'!$L$1:$L$2000"),'Calculations'!$EM447))&lt;=4,MOD(VALUE(INDEX(INDIRECT("'WCM Calibration Final'!$L$1:$L$2000"),'Calculations'!$EM447)),1)=0),VALUE(INDEX(INDIRECT("'WCM Calibration Final'!$L$1:$L$2000"),'Calculations'!$EM447)),""),""))</x:f>
      </x:c>
      <x:c r="BQ447" s="4"/>
      <x:c r="BR447" s="4"/>
      <x:c r="BS447" s="4"/>
      <x:c r="BT447" s="4" t="n">
        <x:f>IF(AND('Calculations'!BM447=1,ISNUMBER('Calculations'!BO447),ISNUMBER('Calculations'!BP447)),1,0)</x:f>
        <x:v>0</x:v>
      </x:c>
      <x:c r="BU447" s="4" t="str">
        <x:f>IF('Calculations'!BM447=0,"",'Calculations'!$EO447)</x:f>
      </x:c>
      <x:c r="BV447" s="4" t="str">
        <x:f>IF('Calculations'!BM447=0,"",IFERROR(IF(OR(INDEX(INDIRECT("'WCM Calibration Final'!$H$1:$H$2000"),'Calculations'!$EM447)="MANAGING DIRECTOR",INDEX(INDIRECT("'WCM Calibration Final'!$H$1:$H$2000"),'Calculations'!$EM447)="DIRECTOR",INDEX(INDIRECT("'WCM Calibration Final'!$H$1:$H$2000"),'Calculations'!$EM447)="SENIOR VICE PRESIDENT",INDEX(INDIRECT("'WCM Calibration Final'!$H$1:$H$2000"),'Calculations'!$EM447)="VICE PRESIDENT",INDEX(INDIRECT("'WCM Calibration Final'!$H$1:$H$2000"),'Calculations'!$EM447)="ASSISTANT VICE PRESIDENT",INDEX(INDIRECT("'WCM Calibration Final'!$H$1:$H$2000"),'Calculations'!$EM447)="OFFICER"),UPPER(INDEX(INDIRECT("'WCM Calibration Final'!$H$1:$H$2000"),'Calculations'!$EM447)),"Other"),"Other"))</x:f>
      </x:c>
      <x:c r="BW447" s="4"/>
      <x:c r="BX447" s="4"/>
      <x:c r="BY447" s="4" t="n">
        <x:f>IF(AND('Calculations'!BM447=1,'Calculations'!BU447&lt;&gt;"",COUNTIF('Calculations'!$BU$12:BU447,'Calculations'!BU447)=1),MAX('Calculations'!$BY$11:BY446)+1,0)</x:f>
        <x:v>0</x:v>
      </x:c>
      <x:c r="BZ447" s="4" t="str">
        <x:f>IF('Dashboard'!$E$67="What",'Calculations'!BO447,'Calculations'!BP447)</x:f>
      </x:c>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t="str">
        <x:f>IF(436&gt;MAX('Calculations'!$HI$13:$HI$512),"",INDEX('Calculations'!$HN$13:$HN$512,MATCH(436,'Calculations'!$HI$13:$HI$512,0)))</x:f>
      </x:c>
      <x:c r="DB447" s="4" t="str">
        <x:f>IF(436&gt;MAX('Calculations'!$HH$13:$HH$512),"",INDEX('Calculations'!$HJ$13:$HJ$512,MATCH(436,'Calculations'!$HH$13:$HH$512,0)))</x:f>
      </x:c>
      <x:c r="DC447" s="4" t="str">
        <x:f>IF(ROW()-11&gt;MAX('Calculations'!$BY$13:$BY$512),"",INDEX('Calculations'!$BU$13:$BU$512,MATCH(ROW()-11,'Calculations'!$BY$13:$BY$512,0)))</x:f>
      </x:c>
      <x:c r="DD447" s="4" t="str">
        <x:f>IF(436&gt;MAX('Calculations'!$IK$13:$IK$512),"",INDEX('Calculations'!$HK$13:$HK$512,MATCH(436,'Calculations'!$IK$13:$IK$512,0)))</x:f>
      </x:c>
      <x:c r="DE447" s="4" t="str">
        <x:f>'Calculations'!DC447</x:f>
      </x:c>
      <x:c r="DF447" s="4" t="str">
        <x:f>IF('Calculations'!DE447="","",COUNTIFS('Calculations'!$BN$13:$BN$512,1,'Calculations'!$BU$13:$BU$512,'Calculations'!DE447))</x:f>
      </x:c>
      <x:c r="DG447" s="4" t="str">
        <x:f>IF('Calculations'!DE447="","",COUNTIFS('Calculations'!$BN$13:$BN$512,1,'Calculations'!$BU$13:$BU$512,'Calculations'!DE447,'Calculations'!$BT$13:$BT$512,1))</x:f>
      </x:c>
      <x:c r="DH447" s="4" t="str">
        <x:f>IF('Calculations'!DE447="","",'Calculations'!DF447-'Calculations'!DG447)</x:f>
      </x:c>
      <x:c r="DI447" s="4" t="str">
        <x:f>IF(OR('Calculations'!DE447="",'Calculations'!DF447=0),"",'Calculations'!DG447/'Calculations'!DF447)</x:f>
      </x:c>
      <x:c r="DJ447" s="4" t="str">
        <x:f>IF('Calculations'!DE447="","",COUNTIFS('Calculations'!$BN$13:$BN$512,1,'Calculations'!$BU$13:$BU$512,'Calculations'!DE447,'Calculations'!$BT$13:$BT$512,1,'Calculations'!$EE$13:$EE$512,"High"))</x:f>
      </x:c>
      <x:c r="DK447" s="4" t="str">
        <x:f>IF('Calculations'!DE447="","",COUNTIFS('Calculations'!$BN$13:$BN$512,1,'Calculations'!$BU$13:$BU$512,'Calculations'!DE447,'Calculations'!$BT$13:$BT$512,1,'Calculations'!$EE$13:$EE$512,"Strong"))</x:f>
      </x:c>
      <x:c r="DL447" s="4" t="str">
        <x:f>IF('Calculations'!DE447="","",COUNTIFS('Calculations'!$BN$13:$BN$512,1,'Calculations'!$BU$13:$BU$512,'Calculations'!DE447,'Calculations'!$BT$13:$BT$512,1,'Calculations'!$EE$13:$EE$512,"Solid"))</x:f>
      </x:c>
      <x:c r="DM447" s="4" t="str">
        <x:f>IF('Calculations'!DE447="","",COUNTIFS('Calculations'!$BN$13:$BN$512,1,'Calculations'!$BU$13:$BU$512,'Calculations'!DE447,'Calculations'!$BT$13:$BT$512,1,'Calculations'!$EE$13:$EE$512,"Low"))</x:f>
      </x:c>
      <x:c r="DN447" s="4" t="str">
        <x:f>IF('Calculations'!DE447="","",COUNTIFS('Calculations'!$BN$13:$BN$512,1,'Calculations'!$BU$13:$BU$512,'Calculations'!DE447,'Calculations'!$EP$13:$EP$512,1))</x:f>
      </x:c>
      <x:c r="DO447" s="4" t="str">
        <x:f>IF(OR('Calculations'!DE447="",'Calculations'!DG447=0),"",('Calculations'!DJ447+'Calculations'!DK447)/'Calculations'!DG447)</x:f>
      </x:c>
      <x:c r="DP447" s="4" t="n">
        <x:f>IF(AND('Calculations'!DE447&lt;&gt;"",'Calculations'!DF447&gt;0),COUNTIF('Calculations'!$DF$12:DF447,"&gt;0"),0)</x:f>
        <x:v>0</x:v>
      </x:c>
      <x:c r="DQ447" s="4" t="str">
        <x:f>IF(436&gt;MAX('Calculations'!$HH$13:$HH$512),"",INDEX('Calculations'!$HF$13:$HF$512,MATCH(436,'Calculations'!$HH$13:$HH$512,0)))</x:f>
      </x:c>
      <x:c r="DR447" s="4" t="str">
        <x:f>IF(436&gt;MAX('Calculations'!$IK$13:$IK$512),"",INDEX('Calculations'!$HE$13:$HE$512,MATCH(436,'Calculations'!$IK$13:$IK$512,0)))</x:f>
      </x:c>
      <x:c r="DS447" s="4"/>
      <x:c r="DT447" s="4"/>
      <x:c r="DU447" s="4"/>
      <x:c r="DV447" s="4"/>
      <x:c r="DW447" s="4"/>
      <x:c r="DX447" s="4"/>
      <x:c r="DY447" s="4"/>
      <x:c r="DZ447" s="4"/>
      <x:c r="EA447" s="4"/>
      <x:c r="EB447" s="4"/>
      <x:c r="EC447" s="4"/>
      <x:c r="ED447" s="4"/>
      <x:c r="EE447" s="4" t="str">
        <x:f>IF('Calculations'!BT447=0,"Not Rated",IF(OR('Calculations'!BO447&gt;=4,'Calculations'!BP447&gt;=4),"Low",IF('Calculations'!BO447+'Calculations'!BP447&lt;=3,"High",IF('Calculations'!BO447+'Calculations'!BP447&lt;=4,"Strong","Solid"))))</x:f>
        <x:v>Not Rated</x:v>
      </x:c>
      <x:c r="EF447" s="4"/>
      <x:c r="EG447" s="4"/>
      <x:c r="EH447" s="4"/>
      <x:c r="EI447" s="4"/>
      <x:c r="EJ447" s="4"/>
      <x:c r="EK447" s="4"/>
      <x:c r="EL447" s="4"/>
      <x:c r="EM447" s="4" t="str">
        <x:f>IF(435&gt;'Calculations'!$JB$2000,"",INDEX('Calculations'!$JA$12:$JA$2000,MATCH(435,'Calculations'!$JB$12:$JB$2000,0)))</x:f>
      </x:c>
      <x:c r="EN447" s="4" t="n">
        <x:f>IF(OR('Calculations'!EM447="",'Calculations'!$AG$8&gt;0,AND('Calculations'!$EF$2&lt;&gt;"All",'Calculations'!HE447='Calculations'!$EF$2),AND('Calculations'!$EF$3&lt;&gt;"All",'Calculations'!HE447='Calculations'!$EF$3)),0,IF(OR('Dashboard'!$B$7="All",'Calculations'!HN447='Dashboard'!$B$7),IF('Calculations'!$EF$2="All",1,IF('Calculations'!HL447&gt;0,0,IF(COUNTIF('Calculations'!HO447:II447,"="&amp;SUBSTITUTE(SUBSTITUTE(SUBSTITUTE('Calculations'!$EF$2,"~","~~"),"*","~*"),"?","~?"))=0,0,IF('Calculations'!$EF$3="All",1,IF(COUNTIF('Calculations'!HO447:II447,"="&amp;SUBSTITUTE(SUBSTITUTE(SUBSTITUTE('Calculations'!$EF$3,"~","~~"),"*","~*"),"?","~?"))&gt;0,1,0))))),0))</x:f>
        <x:v>0</x:v>
      </x:c>
      <x:c r="EO447" s="4" t="str">
        <x:f>IF('Calculations'!IJ447="","",IF('Calculations'!IJ447="!UNRESOLVED","Unresolved hierarchy",IFERROR(INDEX('Calculations'!$HK$13:$HK$512,MATCH('Calculations'!IJ447,'Calculations'!$HE$13:$HE$512,0)),IFERROR(INDEX('Calculations'!$HJ$13:$HJ$512,MATCH('Calculations'!IJ447,'Calculations'!$HF$13:$HF$512,0)),'Calculations'!IJ447))))</x:f>
      </x:c>
      <x:c r="EP447" s="4" t="n">
        <x:f>IF(AND('Calculations'!EM447&lt;&gt;"",'Calculations'!HF447='Calculations'!IJ447),1,0)</x:f>
        <x:v>0</x:v>
      </x:c>
      <x:c r="EQ447" s="4"/>
      <x:c r="ER447" s="4"/>
      <x:c r="ES447" s="4"/>
      <x:c r="ET447" s="4"/>
      <x:c r="EU447" s="4"/>
      <x:c r="EV447" s="4"/>
      <x:c r="EW447" s="4"/>
      <x:c r="EX447" s="4"/>
      <x:c r="EY447" s="4"/>
      <x:c r="EZ447" s="4"/>
      <x:c r="FA447" s="4"/>
      <x:c r="FB447" s="4"/>
      <x:c r="FC447" s="4"/>
      <x:c r="FD447" s="4"/>
      <x:c r="FE447" s="4"/>
      <x:c r="FF447" s="4"/>
      <x:c r="FG447" s="4"/>
      <x:c r="FH447" s="4"/>
      <x:c r="FI447" s="4"/>
      <x:c r="FJ447" s="4"/>
      <x:c r="FK447" s="4"/>
      <x:c r="FL447" s="4"/>
      <x:c r="FM447" s="4"/>
      <x:c r="FN447" s="4"/>
      <x:c r="FO447" s="4"/>
      <x:c r="HE447" t="str">
        <x:f>IF('Calculations'!EM447="","",IF(IFERROR(IF(INDEX(INDIRECT("'WCM Calibration Final'!$A$1:$A$2000"),'Calculations'!$EM447)="","",TRIM(INDEX(INDIRECT("'WCM Calibration Final'!$A$1:$A$2000"),'Calculations'!$EM447)&amp;"")),"")&lt;&gt;"","G:"&amp;IFERROR(TEXT(1*INDEX(INDIRECT("'WCM Calibration Final'!$A$1:$A$2000"),'Calculations'!$EM447),"0"),UPPER(IFERROR(IF(INDEX(INDIRECT("'WCM Calibration Final'!$A$1:$A$2000"),'Calculations'!$EM447)="","",TRIM(INDEX(INDIRECT("'WCM Calibration Final'!$A$1:$A$2000"),'Calculations'!$EM447)&amp;"")),""))),IF(IFERROR(IF(INDEX(INDIRECT("'WCM Calibration Final'!$C$1:$C$2000"),'Calculations'!$EM447)="","",TRIM(INDEX(INDIRECT("'WCM Calibration Final'!$C$1:$C$2000"),'Calculations'!$EM447)&amp;"")),"")&lt;&gt;"","S:"&amp;UPPER(IFERROR(IF(INDEX(INDIRECT("'WCM Calibration Final'!$C$1:$C$2000"),'Calculations'!$EM447)="","",TRIM(INDEX(INDIRECT("'WCM Calibration Final'!$C$1:$C$2000"),'Calculations'!$EM447)&amp;"")),"")),"R:"&amp;'Calculations'!EM447)))</x:f>
      </x:c>
      <x:c r="HF447" t="str">
        <x:f>IF('Calculations'!EM447="","",IF(IFERROR(IF(INDEX(INDIRECT("'WCM Calibration Final'!$D$1:$D$2000"),'Calculations'!$EM447)="","",TRIM(INDEX(INDIRECT("'WCM Calibration Final'!$D$1:$D$2000"),'Calculations'!$EM447)&amp;"")),"")&lt;&gt;"","G:"&amp;IFERROR(TEXT(1*INDEX(INDIRECT("'WCM Calibration Final'!$D$1:$D$2000"),'Calculations'!$EM447),"0"),UPPER(IFERROR(IF(INDEX(INDIRECT("'WCM Calibration Final'!$D$1:$D$2000"),'Calculations'!$EM447)="","",TRIM(INDEX(INDIRECT("'WCM Calibration Final'!$D$1:$D$2000"),'Calculations'!$EM447)&amp;"")),""))),IF(IFERROR(IF(INDEX(INDIRECT("'WCM Calibration Final'!$E$1:$E$2000"),'Calculations'!$EM447)="","",TRIM(INDEX(INDIRECT("'WCM Calibration Final'!$E$1:$E$2000"),'Calculations'!$EM447)&amp;"")),"")="","",IF(COUNTIF('Calculations'!$HG$13:$HG$512,"="&amp;SUBSTITUTE(SUBSTITUTE(SUBSTITUTE(IFERROR(IF(INDEX(INDIRECT("'WCM Calibration Final'!$E$1:$E$2000"),'Calculations'!$EM447)="","",TRIM(INDEX(INDIRECT("'WCM Calibration Final'!$E$1:$E$2000"),'Calculations'!$EM447)&amp;"")),""),"~","~~"),"*","~*"),"?","~?"))=1,INDEX('Calculations'!$HE$13:$HE$512,MATCH(IFERROR(IF(INDEX(INDIRECT("'WCM Calibration Final'!$E$1:$E$2000"),'Calculations'!$EM447)="","",TRIM(INDEX(INDIRECT("'WCM Calibration Final'!$E$1:$E$2000"),'Calculations'!$EM447)&amp;"")),""),'Calculations'!$HG$13:$HG$512,0)),IF(COUNTIF('Calculations'!$HG$13:$HG$512,"="&amp;SUBSTITUTE(SUBSTITUTE(SUBSTITUTE(IFERROR(IF(INDEX(INDIRECT("'WCM Calibration Final'!$E$1:$E$2000"),'Calculations'!$EM447)="","",TRIM(INDEX(INDIRECT("'WCM Calibration Final'!$E$1:$E$2000"),'Calculations'!$EM447)&amp;"")),""),"~","~~"),"*","~*"),"?","~?"))&gt;1,"!AMBIG","X:"&amp;IFERROR(IF(INDEX(INDIRECT("'WCM Calibration Final'!$E$1:$E$2000"),'Calculations'!$EM447)="","",TRIM(INDEX(INDIRECT("'WCM Calibration Final'!$E$1:$E$2000"),'Calculations'!$EM447)&amp;"")),""))))))</x:f>
      </x:c>
      <x:c r="HG447" t="str">
        <x:f>IF('Calculations'!EM447="","",IFERROR(IF(INDEX(INDIRECT("'WCM Calibration Final'!$B$1:$B$2000"),'Calculations'!$EM447)="","",TRIM(INDEX(INDIRECT("'WCM Calibration Final'!$B$1:$B$2000"),'Calculations'!$EM447)&amp;"")),""))</x:f>
      </x:c>
      <x:c r="HH447" t="n">
        <x:f>IF(AND('Calculations'!JC447&gt;0,COUNTIF('Calculations'!$HF$12:HF447,"="&amp;SUBSTITUTE(SUBSTITUTE(SUBSTITUTE('Calculations'!HF447,"~","~~"),"*","~*"),"?","~?"))=1),MAX('Calculations'!$HH$12:HH446)+1,0)</x:f>
        <x:v>0</x:v>
      </x:c>
      <x:c r="HI447" t="n">
        <x:f>IF(AND('Calculations'!HN447&lt;&gt;"",COUNTIF('Calculations'!$HN$12:HN447,"="&amp;SUBSTITUTE(SUBSTITUTE(SUBSTITUTE('Calculations'!HN447,"~","~~"),"*","~*"),"?","~?"))=1),MAX('Calculations'!$HI$12:HI446)+1,0)</x:f>
        <x:v>0</x:v>
      </x:c>
      <x:c r="HJ447" t="str">
        <x:f>IF('Calculations'!HF447="","",IF(COUNTIF('Calculations'!$HE$13:$HE$512,"="&amp;SUBSTITUTE(SUBSTITUTE(SUBSTITUTE('Calculations'!HF447,"~","~~"),"*","~*"),"?","~?"))=1,INDEX('Calculations'!$HK$13:$HK$512,MATCH('Calculations'!HF447,'Calculations'!$HE$13:$HE$512,0)),IFERROR(IF(INDEX(INDIRECT("'WCM Calibration Final'!$E$1:$E$2000"),'Calculations'!$EM447)="","",TRIM(INDEX(INDIRECT("'WCM Calibration Final'!$E$1:$E$2000"),'Calculations'!$EM447)&amp;"")),"")&amp;" ["&amp;'Calculations'!HF447&amp;"]"))</x:f>
      </x:c>
      <x:c r="HK447" t="str">
        <x:f>IF('Calculations'!EM447="","",'Calculations'!HG447&amp;" ["&amp;'Calculations'!HE447&amp;"]")</x:f>
      </x:c>
      <x:c r="HL447" t="n">
        <x:f>IF('Calculations'!EM447="",0,IF(OR('Calculations'!II447&lt;&gt;"",COUNTIF('Calculations'!$HE$13:$HE$512,"="&amp;SUBSTITUTE(SUBSTITUTE(SUBSTITUTE('Calculations'!HE447,"~","~~"),"*","~*"),"?","~?"))&gt;1),1,0))</x:f>
        <x:v>0</x:v>
      </x:c>
      <x:c r="HM447" t="str">
        <x:f>IF('Calculations'!EM447="","",IF('Calculations'!HL447=1,"!UNRESOLVED",IF('Calculations'!IH447&lt;&gt;"",'Calculations'!IH447,IF('Calculations'!IG447&lt;&gt;"",'Calculations'!IG447,IF('Calculations'!IF447&lt;&gt;"",'Calculations'!IF447,IF('Calculations'!IE447&lt;&gt;"",'Calculations'!IE447,IF('Calculations'!ID447&lt;&gt;"",'Calculations'!ID447,IF('Calculations'!IC447&lt;&gt;"",'Calculations'!IC447,IF('Calculations'!IB447&lt;&gt;"",'Calculations'!IB447,IF('Calculations'!IA447&lt;&gt;"",'Calculations'!IA447,IF('Calculations'!HZ447&lt;&gt;"",'Calculations'!HZ447,IF('Calculations'!HY447&lt;&gt;"",'Calculations'!HY447,IF('Calculations'!HX447&lt;&gt;"",'Calculations'!HX447,IF('Calculations'!HW447&lt;&gt;"",'Calculations'!HW447,IF('Calculations'!HV447&lt;&gt;"",'Calculations'!HV447,IF('Calculations'!HU447&lt;&gt;"",'Calculations'!HU447,IF('Calculations'!HT447&lt;&gt;"",'Calculations'!HT447,IF('Calculations'!HS447&lt;&gt;"",'Calculations'!HS447,IF('Calculations'!HR447&lt;&gt;"",'Calculations'!HR447,IF('Calculations'!HQ447&lt;&gt;"",'Calculations'!HQ447,IF('Calculations'!HP447&lt;&gt;"",'Calculations'!HP447,IF('Calculations'!HO447&lt;&gt;"",'Calculations'!HO447,'Calculations'!HE447))))))))))))))))))))))</x:f>
      </x:c>
      <x:c r="HN447" t="str">
        <x:f>IF('Calculations'!EM447="","",IF(IFERROR(IF(INDEX(INDIRECT("'WCM Calibration Final'!$F$1:$F$2000"),'Calculations'!$EM447)="","",TRIM(INDEX(INDIRECT("'WCM Calibration Final'!$F$1:$F$2000"),'Calculations'!$EM447)&amp;"")),"")="","(Blank)",IFERROR(IF(INDEX(INDIRECT("'WCM Calibration Final'!$F$1:$F$2000"),'Calculations'!$EM447)="","",TRIM(INDEX(INDIRECT("'WCM Calibration Final'!$F$1:$F$2000"),'Calculations'!$EM447)&amp;"")),"")))</x:f>
      </x:c>
      <x:c r="HO447" t="str">
        <x:f>'Calculations'!HF447</x:f>
      </x:c>
      <x:c r="HP447" t="str">
        <x:f>IF('Calculations'!HO447="","",IF('Calculations'!HO447="!AMBIG","!AMBIG",IF(COUNTIF('Calculations'!$HE$13:$HE$512,"="&amp;SUBSTITUTE(SUBSTITUTE(SUBSTITUTE('Calculations'!HO447,"~","~~"),"*","~*"),"?","~?"))&gt;1,"!AMBIG",IFERROR(INDEX('Calculations'!$HF$13:$HF$512,MATCH('Calculations'!HO447,'Calculations'!$HE$13:$HE$512,0)),""))))</x:f>
      </x:c>
      <x:c r="HQ447" t="str">
        <x:f>IF('Calculations'!HP447="","",IF('Calculations'!HP447="!AMBIG","!AMBIG",IF(COUNTIF('Calculations'!$HE$13:$HE$512,"="&amp;SUBSTITUTE(SUBSTITUTE(SUBSTITUTE('Calculations'!HP447,"~","~~"),"*","~*"),"?","~?"))&gt;1,"!AMBIG",IFERROR(INDEX('Calculations'!$HF$13:$HF$512,MATCH('Calculations'!HP447,'Calculations'!$HE$13:$HE$512,0)),""))))</x:f>
      </x:c>
      <x:c r="HR447" t="str">
        <x:f>IF('Calculations'!HQ447="","",IF('Calculations'!HQ447="!AMBIG","!AMBIG",IF(COUNTIF('Calculations'!$HE$13:$HE$512,"="&amp;SUBSTITUTE(SUBSTITUTE(SUBSTITUTE('Calculations'!HQ447,"~","~~"),"*","~*"),"?","~?"))&gt;1,"!AMBIG",IFERROR(INDEX('Calculations'!$HF$13:$HF$512,MATCH('Calculations'!HQ447,'Calculations'!$HE$13:$HE$512,0)),""))))</x:f>
      </x:c>
      <x:c r="HS447" t="str">
        <x:f>IF('Calculations'!HR447="","",IF('Calculations'!HR447="!AMBIG","!AMBIG",IF(COUNTIF('Calculations'!$HE$13:$HE$512,"="&amp;SUBSTITUTE(SUBSTITUTE(SUBSTITUTE('Calculations'!HR447,"~","~~"),"*","~*"),"?","~?"))&gt;1,"!AMBIG",IFERROR(INDEX('Calculations'!$HF$13:$HF$512,MATCH('Calculations'!HR447,'Calculations'!$HE$13:$HE$512,0)),""))))</x:f>
      </x:c>
      <x:c r="HT447" t="str">
        <x:f>IF('Calculations'!HS447="","",IF('Calculations'!HS447="!AMBIG","!AMBIG",IF(COUNTIF('Calculations'!$HE$13:$HE$512,"="&amp;SUBSTITUTE(SUBSTITUTE(SUBSTITUTE('Calculations'!HS447,"~","~~"),"*","~*"),"?","~?"))&gt;1,"!AMBIG",IFERROR(INDEX('Calculations'!$HF$13:$HF$512,MATCH('Calculations'!HS447,'Calculations'!$HE$13:$HE$512,0)),""))))</x:f>
      </x:c>
      <x:c r="HU447" t="str">
        <x:f>IF('Calculations'!HT447="","",IF('Calculations'!HT447="!AMBIG","!AMBIG",IF(COUNTIF('Calculations'!$HE$13:$HE$512,"="&amp;SUBSTITUTE(SUBSTITUTE(SUBSTITUTE('Calculations'!HT447,"~","~~"),"*","~*"),"?","~?"))&gt;1,"!AMBIG",IFERROR(INDEX('Calculations'!$HF$13:$HF$512,MATCH('Calculations'!HT447,'Calculations'!$HE$13:$HE$512,0)),""))))</x:f>
      </x:c>
      <x:c r="HV447" t="str">
        <x:f>IF('Calculations'!HU447="","",IF('Calculations'!HU447="!AMBIG","!AMBIG",IF(COUNTIF('Calculations'!$HE$13:$HE$512,"="&amp;SUBSTITUTE(SUBSTITUTE(SUBSTITUTE('Calculations'!HU447,"~","~~"),"*","~*"),"?","~?"))&gt;1,"!AMBIG",IFERROR(INDEX('Calculations'!$HF$13:$HF$512,MATCH('Calculations'!HU447,'Calculations'!$HE$13:$HE$512,0)),""))))</x:f>
      </x:c>
      <x:c r="HW447" t="str">
        <x:f>IF('Calculations'!HV447="","",IF('Calculations'!HV447="!AMBIG","!AMBIG",IF(COUNTIF('Calculations'!$HE$13:$HE$512,"="&amp;SUBSTITUTE(SUBSTITUTE(SUBSTITUTE('Calculations'!HV447,"~","~~"),"*","~*"),"?","~?"))&gt;1,"!AMBIG",IFERROR(INDEX('Calculations'!$HF$13:$HF$512,MATCH('Calculations'!HV447,'Calculations'!$HE$13:$HE$512,0)),""))))</x:f>
      </x:c>
      <x:c r="HX447" t="str">
        <x:f>IF('Calculations'!HW447="","",IF('Calculations'!HW447="!AMBIG","!AMBIG",IF(COUNTIF('Calculations'!$HE$13:$HE$512,"="&amp;SUBSTITUTE(SUBSTITUTE(SUBSTITUTE('Calculations'!HW447,"~","~~"),"*","~*"),"?","~?"))&gt;1,"!AMBIG",IFERROR(INDEX('Calculations'!$HF$13:$HF$512,MATCH('Calculations'!HW447,'Calculations'!$HE$13:$HE$512,0)),""))))</x:f>
      </x:c>
      <x:c r="HY447" t="str">
        <x:f>IF('Calculations'!HX447="","",IF('Calculations'!HX447="!AMBIG","!AMBIG",IF(COUNTIF('Calculations'!$HE$13:$HE$512,"="&amp;SUBSTITUTE(SUBSTITUTE(SUBSTITUTE('Calculations'!HX447,"~","~~"),"*","~*"),"?","~?"))&gt;1,"!AMBIG",IFERROR(INDEX('Calculations'!$HF$13:$HF$512,MATCH('Calculations'!HX447,'Calculations'!$HE$13:$HE$512,0)),""))))</x:f>
      </x:c>
      <x:c r="HZ447" t="str">
        <x:f>IF('Calculations'!HY447="","",IF('Calculations'!HY447="!AMBIG","!AMBIG",IF(COUNTIF('Calculations'!$HE$13:$HE$512,"="&amp;SUBSTITUTE(SUBSTITUTE(SUBSTITUTE('Calculations'!HY447,"~","~~"),"*","~*"),"?","~?"))&gt;1,"!AMBIG",IFERROR(INDEX('Calculations'!$HF$13:$HF$512,MATCH('Calculations'!HY447,'Calculations'!$HE$13:$HE$512,0)),""))))</x:f>
      </x:c>
      <x:c r="IA447" t="str">
        <x:f>IF('Calculations'!HZ447="","",IF('Calculations'!HZ447="!AMBIG","!AMBIG",IF(COUNTIF('Calculations'!$HE$13:$HE$512,"="&amp;SUBSTITUTE(SUBSTITUTE(SUBSTITUTE('Calculations'!HZ447,"~","~~"),"*","~*"),"?","~?"))&gt;1,"!AMBIG",IFERROR(INDEX('Calculations'!$HF$13:$HF$512,MATCH('Calculations'!HZ447,'Calculations'!$HE$13:$HE$512,0)),""))))</x:f>
      </x:c>
      <x:c r="IB447" t="str">
        <x:f>IF('Calculations'!IA447="","",IF('Calculations'!IA447="!AMBIG","!AMBIG",IF(COUNTIF('Calculations'!$HE$13:$HE$512,"="&amp;SUBSTITUTE(SUBSTITUTE(SUBSTITUTE('Calculations'!IA447,"~","~~"),"*","~*"),"?","~?"))&gt;1,"!AMBIG",IFERROR(INDEX('Calculations'!$HF$13:$HF$512,MATCH('Calculations'!IA447,'Calculations'!$HE$13:$HE$512,0)),""))))</x:f>
      </x:c>
      <x:c r="IC447" t="str">
        <x:f>IF('Calculations'!IB447="","",IF('Calculations'!IB447="!AMBIG","!AMBIG",IF(COUNTIF('Calculations'!$HE$13:$HE$512,"="&amp;SUBSTITUTE(SUBSTITUTE(SUBSTITUTE('Calculations'!IB447,"~","~~"),"*","~*"),"?","~?"))&gt;1,"!AMBIG",IFERROR(INDEX('Calculations'!$HF$13:$HF$512,MATCH('Calculations'!IB447,'Calculations'!$HE$13:$HE$512,0)),""))))</x:f>
      </x:c>
      <x:c r="ID447" t="str">
        <x:f>IF('Calculations'!IC447="","",IF('Calculations'!IC447="!AMBIG","!AMBIG",IF(COUNTIF('Calculations'!$HE$13:$HE$512,"="&amp;SUBSTITUTE(SUBSTITUTE(SUBSTITUTE('Calculations'!IC447,"~","~~"),"*","~*"),"?","~?"))&gt;1,"!AMBIG",IFERROR(INDEX('Calculations'!$HF$13:$HF$512,MATCH('Calculations'!IC447,'Calculations'!$HE$13:$HE$512,0)),""))))</x:f>
      </x:c>
      <x:c r="IE447" t="str">
        <x:f>IF('Calculations'!ID447="","",IF('Calculations'!ID447="!AMBIG","!AMBIG",IF(COUNTIF('Calculations'!$HE$13:$HE$512,"="&amp;SUBSTITUTE(SUBSTITUTE(SUBSTITUTE('Calculations'!ID447,"~","~~"),"*","~*"),"?","~?"))&gt;1,"!AMBIG",IFERROR(INDEX('Calculations'!$HF$13:$HF$512,MATCH('Calculations'!ID447,'Calculations'!$HE$13:$HE$512,0)),""))))</x:f>
      </x:c>
      <x:c r="IF447" t="str">
        <x:f>IF('Calculations'!IE447="","",IF('Calculations'!IE447="!AMBIG","!AMBIG",IF(COUNTIF('Calculations'!$HE$13:$HE$512,"="&amp;SUBSTITUTE(SUBSTITUTE(SUBSTITUTE('Calculations'!IE447,"~","~~"),"*","~*"),"?","~?"))&gt;1,"!AMBIG",IFERROR(INDEX('Calculations'!$HF$13:$HF$512,MATCH('Calculations'!IE447,'Calculations'!$HE$13:$HE$512,0)),""))))</x:f>
      </x:c>
      <x:c r="IG447" t="str">
        <x:f>IF('Calculations'!IF447="","",IF('Calculations'!IF447="!AMBIG","!AMBIG",IF(COUNTIF('Calculations'!$HE$13:$HE$512,"="&amp;SUBSTITUTE(SUBSTITUTE(SUBSTITUTE('Calculations'!IF447,"~","~~"),"*","~*"),"?","~?"))&gt;1,"!AMBIG",IFERROR(INDEX('Calculations'!$HF$13:$HF$512,MATCH('Calculations'!IF447,'Calculations'!$HE$13:$HE$512,0)),""))))</x:f>
      </x:c>
      <x:c r="IH447" t="str">
        <x:f>IF('Calculations'!IG447="","",IF('Calculations'!IG447="!AMBIG","!AMBIG",IF(COUNTIF('Calculations'!$HE$13:$HE$512,"="&amp;SUBSTITUTE(SUBSTITUTE(SUBSTITUTE('Calculations'!IG447,"~","~~"),"*","~*"),"?","~?"))&gt;1,"!AMBIG",IFERROR(INDEX('Calculations'!$HF$13:$HF$512,MATCH('Calculations'!IG447,'Calculations'!$HE$13:$HE$512,0)),""))))</x:f>
      </x:c>
      <x:c r="II447" t="str">
        <x:f>IF('Calculations'!IH447="","",IF('Calculations'!IH447="!AMBIG","!AMBIG",IF(COUNTIF('Calculations'!$HE$13:$HE$512,"="&amp;SUBSTITUTE(SUBSTITUTE(SUBSTITUTE('Calculations'!IH447,"~","~~"),"*","~*"),"?","~?"))&gt;1,"!AMBIG",IFERROR(INDEX('Calculations'!$HF$13:$HF$512,MATCH('Calculations'!IH447,'Calculations'!$HE$13:$HE$512,0)),""))))</x:f>
      </x:c>
      <x:c r="IJ447" t="str">
        <x:f>IF('Calculations'!EM447="","",IF('Calculations'!$EF$2="All",'Calculations'!HM447,IF('Calculations'!HL447=1,"",IFERROR(IF(MATCH('Calculations'!$EF$2,'Calculations'!HO447:II447,0)=1,'Calculations'!HE447,INDEX('Calculations'!HO447:II447,1,MATCH('Calculations'!$EF$2,'Calculations'!HO447:II447,0)-1)),""))))</x:f>
      </x:c>
      <x:c r="IK447" t="n">
        <x:f>IF(AND('Calculations'!EM447&lt;&gt;"",'Calculations'!$EF$2&lt;&gt;"All",'Calculations'!HF447='Calculations'!$EF$2,'Calculations'!HL447=0,'Calculations'!JD447&gt;0),MAX('Calculations'!$IK$12:IK446)+1,0)</x:f>
        <x:v>0</x:v>
      </x:c>
      <x:c r="JA447" t="n">
        <x:f>IF(OR(IFERROR(INDIRECT("'WCM Calibration Final'!$A$447")&lt;&gt;"",FALSE),IFERROR(INDIRECT("'WCM Calibration Final'!$B$447")&lt;&gt;"",FALSE),IFERROR(INDIRECT("'WCM Calibration Final'!$C$447")&lt;&gt;"",FALSE)),447,0)</x:f>
        <x:v>0</x:v>
      </x:c>
      <x:c r="JB447" t="n">
        <x:f>'Calculations'!JB446+IF('Calculations'!JA447&gt;0,1,0)</x:f>
        <x:v>0</x:v>
      </x:c>
      <x:c r="JC447" t="n">
        <x:f>IF(OR('Calculations'!HF447="",'Calculations'!HF447="!AMBIG"),0,IF('Dashboard'!$B$7="All",1,COUNTIFS('Calculations'!$HO$13:$HO$512,"="&amp;SUBSTITUTE(SUBSTITUTE(SUBSTITUTE('Calculations'!HF447,"~","~~"),"*","~*"),"?","~?"),'Calculations'!$HN$13:$HN$512,"="&amp;SUBSTITUTE(SUBSTITUTE(SUBSTITUTE('Dashboard'!$B$7,"~","~~"),"*","~*"),"?","~?"))+COUNTIFS('Calculations'!$HP$13:$HP$512,"="&amp;SUBSTITUTE(SUBSTITUTE(SUBSTITUTE('Calculations'!HF447,"~","~~"),"*","~*"),"?","~?"),'Calculations'!$HN$13:$HN$512,"="&amp;SUBSTITUTE(SUBSTITUTE(SUBSTITUTE('Dashboard'!$B$7,"~","~~"),"*","~*"),"?","~?"))+COUNTIFS('Calculations'!$HQ$13:$HQ$512,"="&amp;SUBSTITUTE(SUBSTITUTE(SUBSTITUTE('Calculations'!HF447,"~","~~"),"*","~*"),"?","~?"),'Calculations'!$HN$13:$HN$512,"="&amp;SUBSTITUTE(SUBSTITUTE(SUBSTITUTE('Dashboard'!$B$7,"~","~~"),"*","~*"),"?","~?"))+COUNTIFS('Calculations'!$HR$13:$HR$512,"="&amp;SUBSTITUTE(SUBSTITUTE(SUBSTITUTE('Calculations'!HF447,"~","~~"),"*","~*"),"?","~?"),'Calculations'!$HN$13:$HN$512,"="&amp;SUBSTITUTE(SUBSTITUTE(SUBSTITUTE('Dashboard'!$B$7,"~","~~"),"*","~*"),"?","~?"))+COUNTIFS('Calculations'!$HS$13:$HS$512,"="&amp;SUBSTITUTE(SUBSTITUTE(SUBSTITUTE('Calculations'!HF447,"~","~~"),"*","~*"),"?","~?"),'Calculations'!$HN$13:$HN$512,"="&amp;SUBSTITUTE(SUBSTITUTE(SUBSTITUTE('Dashboard'!$B$7,"~","~~"),"*","~*"),"?","~?"))+COUNTIFS('Calculations'!$HT$13:$HT$512,"="&amp;SUBSTITUTE(SUBSTITUTE(SUBSTITUTE('Calculations'!HF447,"~","~~"),"*","~*"),"?","~?"),'Calculations'!$HN$13:$HN$512,"="&amp;SUBSTITUTE(SUBSTITUTE(SUBSTITUTE('Dashboard'!$B$7,"~","~~"),"*","~*"),"?","~?"))+COUNTIFS('Calculations'!$HU$13:$HU$512,"="&amp;SUBSTITUTE(SUBSTITUTE(SUBSTITUTE('Calculations'!HF447,"~","~~"),"*","~*"),"?","~?"),'Calculations'!$HN$13:$HN$512,"="&amp;SUBSTITUTE(SUBSTITUTE(SUBSTITUTE('Dashboard'!$B$7,"~","~~"),"*","~*"),"?","~?"))+COUNTIFS('Calculations'!$HV$13:$HV$512,"="&amp;SUBSTITUTE(SUBSTITUTE(SUBSTITUTE('Calculations'!HF447,"~","~~"),"*","~*"),"?","~?"),'Calculations'!$HN$13:$HN$512,"="&amp;SUBSTITUTE(SUBSTITUTE(SUBSTITUTE('Dashboard'!$B$7,"~","~~"),"*","~*"),"?","~?"))+COUNTIFS('Calculations'!$HW$13:$HW$512,"="&amp;SUBSTITUTE(SUBSTITUTE(SUBSTITUTE('Calculations'!HF447,"~","~~"),"*","~*"),"?","~?"),'Calculations'!$HN$13:$HN$512,"="&amp;SUBSTITUTE(SUBSTITUTE(SUBSTITUTE('Dashboard'!$B$7,"~","~~"),"*","~*"),"?","~?"))+COUNTIFS('Calculations'!$HX$13:$HX$512,"="&amp;SUBSTITUTE(SUBSTITUTE(SUBSTITUTE('Calculations'!HF447,"~","~~"),"*","~*"),"?","~?"),'Calculations'!$HN$13:$HN$512,"="&amp;SUBSTITUTE(SUBSTITUTE(SUBSTITUTE('Dashboard'!$B$7,"~","~~"),"*","~*"),"?","~?"))+COUNTIFS('Calculations'!$HY$13:$HY$512,"="&amp;SUBSTITUTE(SUBSTITUTE(SUBSTITUTE('Calculations'!HF447,"~","~~"),"*","~*"),"?","~?"),'Calculations'!$HN$13:$HN$512,"="&amp;SUBSTITUTE(SUBSTITUTE(SUBSTITUTE('Dashboard'!$B$7,"~","~~"),"*","~*"),"?","~?"))+COUNTIFS('Calculations'!$HZ$13:$HZ$512,"="&amp;SUBSTITUTE(SUBSTITUTE(SUBSTITUTE('Calculations'!HF447,"~","~~"),"*","~*"),"?","~?"),'Calculations'!$HN$13:$HN$512,"="&amp;SUBSTITUTE(SUBSTITUTE(SUBSTITUTE('Dashboard'!$B$7,"~","~~"),"*","~*"),"?","~?"))+COUNTIFS('Calculations'!$IA$13:$IA$512,"="&amp;SUBSTITUTE(SUBSTITUTE(SUBSTITUTE('Calculations'!HF447,"~","~~"),"*","~*"),"?","~?"),'Calculations'!$HN$13:$HN$512,"="&amp;SUBSTITUTE(SUBSTITUTE(SUBSTITUTE('Dashboard'!$B$7,"~","~~"),"*","~*"),"?","~?"))+COUNTIFS('Calculations'!$IB$13:$IB$512,"="&amp;SUBSTITUTE(SUBSTITUTE(SUBSTITUTE('Calculations'!HF447,"~","~~"),"*","~*"),"?","~?"),'Calculations'!$HN$13:$HN$512,"="&amp;SUBSTITUTE(SUBSTITUTE(SUBSTITUTE('Dashboard'!$B$7,"~","~~"),"*","~*"),"?","~?"))+COUNTIFS('Calculations'!$IC$13:$IC$512,"="&amp;SUBSTITUTE(SUBSTITUTE(SUBSTITUTE('Calculations'!HF447,"~","~~"),"*","~*"),"?","~?"),'Calculations'!$HN$13:$HN$512,"="&amp;SUBSTITUTE(SUBSTITUTE(SUBSTITUTE('Dashboard'!$B$7,"~","~~"),"*","~*"),"?","~?"))+COUNTIFS('Calculations'!$ID$13:$ID$512,"="&amp;SUBSTITUTE(SUBSTITUTE(SUBSTITUTE('Calculations'!HF447,"~","~~"),"*","~*"),"?","~?"),'Calculations'!$HN$13:$HN$512,"="&amp;SUBSTITUTE(SUBSTITUTE(SUBSTITUTE('Dashboard'!$B$7,"~","~~"),"*","~*"),"?","~?"))+COUNTIFS('Calculations'!$IE$13:$IE$512,"="&amp;SUBSTITUTE(SUBSTITUTE(SUBSTITUTE('Calculations'!HF447,"~","~~"),"*","~*"),"?","~?"),'Calculations'!$HN$13:$HN$512,"="&amp;SUBSTITUTE(SUBSTITUTE(SUBSTITUTE('Dashboard'!$B$7,"~","~~"),"*","~*"),"?","~?"))+COUNTIFS('Calculations'!$IF$13:$IF$512,"="&amp;SUBSTITUTE(SUBSTITUTE(SUBSTITUTE('Calculations'!HF447,"~","~~"),"*","~*"),"?","~?"),'Calculations'!$HN$13:$HN$512,"="&amp;SUBSTITUTE(SUBSTITUTE(SUBSTITUTE('Dashboard'!$B$7,"~","~~"),"*","~*"),"?","~?"))+COUNTIFS('Calculations'!$IG$13:$IG$512,"="&amp;SUBSTITUTE(SUBSTITUTE(SUBSTITUTE('Calculations'!HF447,"~","~~"),"*","~*"),"?","~?"),'Calculations'!$HN$13:$HN$512,"="&amp;SUBSTITUTE(SUBSTITUTE(SUBSTITUTE('Dashboard'!$B$7,"~","~~"),"*","~*"),"?","~?"))+COUNTIFS('Calculations'!$IH$13:$IH$512,"="&amp;SUBSTITUTE(SUBSTITUTE(SUBSTITUTE('Calculations'!HF447,"~","~~"),"*","~*"),"?","~?"),'Calculations'!$HN$13:$HN$512,"="&amp;SUBSTITUTE(SUBSTITUTE(SUBSTITUTE('Dashboard'!$B$7,"~","~~"),"*","~*"),"?","~?"))))</x:f>
        <x:v>0</x:v>
      </x:c>
      <x:c r="JD447" t="n">
        <x:f>IF('Calculations'!EM447="",0,IF('Dashboard'!$B$7="All",1,IF('Calculations'!HN447='Dashboard'!$B$7,1,0)+IFERROR(INDEX('Calculations'!$JC$13:$JC$512,MATCH('Calculations'!HE447,'Calculations'!$HF$13:$HF$512,0)),0)))</x:f>
        <x:v>0</x:v>
      </x:c>
      <x:c r="JE447" t="n">
        <x:f>IF(AND('Calculations'!EM447&lt;&gt;"",'Calculations'!$JJ$2&lt;&gt;"All",'Calculations'!$JJ$2&lt;&gt;"",'Calculations'!HF447='Calculations'!$JJ$2,'Calculations'!HL447=0,'Calculations'!JD447&gt;0),MAX('Calculations'!$JE$12:JE446)+1,0)</x:f>
        <x:v>0</x:v>
      </x:c>
      <x:c r="JF447" t="str">
        <x:f>IF('Calculations'!EM447="","",IFERROR(IF(INDEX(INDIRECT("'WCM Calibration Final'!$G$1:$G$2000"),'Calculations'!$EM447)="","",TRIM(INDEX(INDIRECT("'WCM Calibration Final'!$G$1:$G$2000"),'Calculations'!$EM447)&amp;"")),""))</x:f>
      </x:c>
      <x:c r="JQ447" t="n">
        <x:f>IF(OR('Calculations'!BM447=0,NOT('Calculations'!$AG$2),'Calculations'!$AG$8&gt;0),0,IF(OR('Dashboard'!$B$7="All",'Calculations'!HN447='Dashboard'!$B$7),IF('Calculations'!$JJ$2="All",1,IF(AND('Calculations'!HF447='Calculations'!$JJ$2,'Calculations'!HL447=0),1,0)),0))</x:f>
        <x:v>0</x:v>
      </x:c>
    </x:row>
    <x:row r="448">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t="n">
        <x:f>IF('Calculations'!$EM448="",0,IF(OR(IFERROR(INDEX(INDIRECT("'WCM Calibration Final'!$A$1:$A$2000"),'Calculations'!$EM448)&lt;&gt;"",FALSE),IFERROR(INDEX(INDIRECT("'WCM Calibration Final'!$B$1:$B$2000"),'Calculations'!$EM448)&lt;&gt;"",FALSE),IFERROR(INDEX(INDIRECT("'WCM Calibration Final'!$C$1:$C$2000"),'Calculations'!$EM448)&lt;&gt;"",FALSE)),1,0))</x:f>
        <x:v>0</x:v>
      </x:c>
      <x:c r="BN448" s="4" t="n">
        <x:f>IF(AND('Calculations'!BM448=1,'Calculations'!$AG$2,'Calculations'!$EN448=1),1,0)</x:f>
        <x:v>0</x:v>
      </x:c>
      <x:c r="BO448" s="4" t="str">
        <x:f>IF('Calculations'!BM448=0,"",IFERROR(IF(AND(VALUE(INDEX(INDIRECT("'WCM Calibration Final'!$K$1:$K$2000"),'Calculations'!$EM448))&gt;=1,VALUE(INDEX(INDIRECT("'WCM Calibration Final'!$K$1:$K$2000"),'Calculations'!$EM448))&lt;=4,MOD(VALUE(INDEX(INDIRECT("'WCM Calibration Final'!$K$1:$K$2000"),'Calculations'!$EM448)),1)=0),VALUE(INDEX(INDIRECT("'WCM Calibration Final'!$K$1:$K$2000"),'Calculations'!$EM448)),""),""))</x:f>
      </x:c>
      <x:c r="BP448" s="4" t="str">
        <x:f>IF('Calculations'!BM448=0,"",IFERROR(IF(AND(VALUE(INDEX(INDIRECT("'WCM Calibration Final'!$L$1:$L$2000"),'Calculations'!$EM448))&gt;=1,VALUE(INDEX(INDIRECT("'WCM Calibration Final'!$L$1:$L$2000"),'Calculations'!$EM448))&lt;=4,MOD(VALUE(INDEX(INDIRECT("'WCM Calibration Final'!$L$1:$L$2000"),'Calculations'!$EM448)),1)=0),VALUE(INDEX(INDIRECT("'WCM Calibration Final'!$L$1:$L$2000"),'Calculations'!$EM448)),""),""))</x:f>
      </x:c>
      <x:c r="BQ448" s="4"/>
      <x:c r="BR448" s="4"/>
      <x:c r="BS448" s="4"/>
      <x:c r="BT448" s="4" t="n">
        <x:f>IF(AND('Calculations'!BM448=1,ISNUMBER('Calculations'!BO448),ISNUMBER('Calculations'!BP448)),1,0)</x:f>
        <x:v>0</x:v>
      </x:c>
      <x:c r="BU448" s="4" t="str">
        <x:f>IF('Calculations'!BM448=0,"",'Calculations'!$EO448)</x:f>
      </x:c>
      <x:c r="BV448" s="4" t="str">
        <x:f>IF('Calculations'!BM448=0,"",IFERROR(IF(OR(INDEX(INDIRECT("'WCM Calibration Final'!$H$1:$H$2000"),'Calculations'!$EM448)="MANAGING DIRECTOR",INDEX(INDIRECT("'WCM Calibration Final'!$H$1:$H$2000"),'Calculations'!$EM448)="DIRECTOR",INDEX(INDIRECT("'WCM Calibration Final'!$H$1:$H$2000"),'Calculations'!$EM448)="SENIOR VICE PRESIDENT",INDEX(INDIRECT("'WCM Calibration Final'!$H$1:$H$2000"),'Calculations'!$EM448)="VICE PRESIDENT",INDEX(INDIRECT("'WCM Calibration Final'!$H$1:$H$2000"),'Calculations'!$EM448)="ASSISTANT VICE PRESIDENT",INDEX(INDIRECT("'WCM Calibration Final'!$H$1:$H$2000"),'Calculations'!$EM448)="OFFICER"),UPPER(INDEX(INDIRECT("'WCM Calibration Final'!$H$1:$H$2000"),'Calculations'!$EM448)),"Other"),"Other"))</x:f>
      </x:c>
      <x:c r="BW448" s="4"/>
      <x:c r="BX448" s="4"/>
      <x:c r="BY448" s="4" t="n">
        <x:f>IF(AND('Calculations'!BM448=1,'Calculations'!BU448&lt;&gt;"",COUNTIF('Calculations'!$BU$12:BU448,'Calculations'!BU448)=1),MAX('Calculations'!$BY$11:BY447)+1,0)</x:f>
        <x:v>0</x:v>
      </x:c>
      <x:c r="BZ448" s="4" t="str">
        <x:f>IF('Dashboard'!$E$67="What",'Calculations'!BO448,'Calculations'!BP448)</x:f>
      </x:c>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t="str">
        <x:f>IF(437&gt;MAX('Calculations'!$HI$13:$HI$512),"",INDEX('Calculations'!$HN$13:$HN$512,MATCH(437,'Calculations'!$HI$13:$HI$512,0)))</x:f>
      </x:c>
      <x:c r="DB448" s="4" t="str">
        <x:f>IF(437&gt;MAX('Calculations'!$HH$13:$HH$512),"",INDEX('Calculations'!$HJ$13:$HJ$512,MATCH(437,'Calculations'!$HH$13:$HH$512,0)))</x:f>
      </x:c>
      <x:c r="DC448" s="4" t="str">
        <x:f>IF(ROW()-11&gt;MAX('Calculations'!$BY$13:$BY$512),"",INDEX('Calculations'!$BU$13:$BU$512,MATCH(ROW()-11,'Calculations'!$BY$13:$BY$512,0)))</x:f>
      </x:c>
      <x:c r="DD448" s="4" t="str">
        <x:f>IF(437&gt;MAX('Calculations'!$IK$13:$IK$512),"",INDEX('Calculations'!$HK$13:$HK$512,MATCH(437,'Calculations'!$IK$13:$IK$512,0)))</x:f>
      </x:c>
      <x:c r="DE448" s="4" t="str">
        <x:f>'Calculations'!DC448</x:f>
      </x:c>
      <x:c r="DF448" s="4" t="str">
        <x:f>IF('Calculations'!DE448="","",COUNTIFS('Calculations'!$BN$13:$BN$512,1,'Calculations'!$BU$13:$BU$512,'Calculations'!DE448))</x:f>
      </x:c>
      <x:c r="DG448" s="4" t="str">
        <x:f>IF('Calculations'!DE448="","",COUNTIFS('Calculations'!$BN$13:$BN$512,1,'Calculations'!$BU$13:$BU$512,'Calculations'!DE448,'Calculations'!$BT$13:$BT$512,1))</x:f>
      </x:c>
      <x:c r="DH448" s="4" t="str">
        <x:f>IF('Calculations'!DE448="","",'Calculations'!DF448-'Calculations'!DG448)</x:f>
      </x:c>
      <x:c r="DI448" s="4" t="str">
        <x:f>IF(OR('Calculations'!DE448="",'Calculations'!DF448=0),"",'Calculations'!DG448/'Calculations'!DF448)</x:f>
      </x:c>
      <x:c r="DJ448" s="4" t="str">
        <x:f>IF('Calculations'!DE448="","",COUNTIFS('Calculations'!$BN$13:$BN$512,1,'Calculations'!$BU$13:$BU$512,'Calculations'!DE448,'Calculations'!$BT$13:$BT$512,1,'Calculations'!$EE$13:$EE$512,"High"))</x:f>
      </x:c>
      <x:c r="DK448" s="4" t="str">
        <x:f>IF('Calculations'!DE448="","",COUNTIFS('Calculations'!$BN$13:$BN$512,1,'Calculations'!$BU$13:$BU$512,'Calculations'!DE448,'Calculations'!$BT$13:$BT$512,1,'Calculations'!$EE$13:$EE$512,"Strong"))</x:f>
      </x:c>
      <x:c r="DL448" s="4" t="str">
        <x:f>IF('Calculations'!DE448="","",COUNTIFS('Calculations'!$BN$13:$BN$512,1,'Calculations'!$BU$13:$BU$512,'Calculations'!DE448,'Calculations'!$BT$13:$BT$512,1,'Calculations'!$EE$13:$EE$512,"Solid"))</x:f>
      </x:c>
      <x:c r="DM448" s="4" t="str">
        <x:f>IF('Calculations'!DE448="","",COUNTIFS('Calculations'!$BN$13:$BN$512,1,'Calculations'!$BU$13:$BU$512,'Calculations'!DE448,'Calculations'!$BT$13:$BT$512,1,'Calculations'!$EE$13:$EE$512,"Low"))</x:f>
      </x:c>
      <x:c r="DN448" s="4" t="str">
        <x:f>IF('Calculations'!DE448="","",COUNTIFS('Calculations'!$BN$13:$BN$512,1,'Calculations'!$BU$13:$BU$512,'Calculations'!DE448,'Calculations'!$EP$13:$EP$512,1))</x:f>
      </x:c>
      <x:c r="DO448" s="4" t="str">
        <x:f>IF(OR('Calculations'!DE448="",'Calculations'!DG448=0),"",('Calculations'!DJ448+'Calculations'!DK448)/'Calculations'!DG448)</x:f>
      </x:c>
      <x:c r="DP448" s="4" t="n">
        <x:f>IF(AND('Calculations'!DE448&lt;&gt;"",'Calculations'!DF448&gt;0),COUNTIF('Calculations'!$DF$12:DF448,"&gt;0"),0)</x:f>
        <x:v>0</x:v>
      </x:c>
      <x:c r="DQ448" s="4" t="str">
        <x:f>IF(437&gt;MAX('Calculations'!$HH$13:$HH$512),"",INDEX('Calculations'!$HF$13:$HF$512,MATCH(437,'Calculations'!$HH$13:$HH$512,0)))</x:f>
      </x:c>
      <x:c r="DR448" s="4" t="str">
        <x:f>IF(437&gt;MAX('Calculations'!$IK$13:$IK$512),"",INDEX('Calculations'!$HE$13:$HE$512,MATCH(437,'Calculations'!$IK$13:$IK$512,0)))</x:f>
      </x:c>
      <x:c r="DS448" s="4"/>
      <x:c r="DT448" s="4"/>
      <x:c r="DU448" s="4"/>
      <x:c r="DV448" s="4"/>
      <x:c r="DW448" s="4"/>
      <x:c r="DX448" s="4"/>
      <x:c r="DY448" s="4"/>
      <x:c r="DZ448" s="4"/>
      <x:c r="EA448" s="4"/>
      <x:c r="EB448" s="4"/>
      <x:c r="EC448" s="4"/>
      <x:c r="ED448" s="4"/>
      <x:c r="EE448" s="4" t="str">
        <x:f>IF('Calculations'!BT448=0,"Not Rated",IF(OR('Calculations'!BO448&gt;=4,'Calculations'!BP448&gt;=4),"Low",IF('Calculations'!BO448+'Calculations'!BP448&lt;=3,"High",IF('Calculations'!BO448+'Calculations'!BP448&lt;=4,"Strong","Solid"))))</x:f>
        <x:v>Not Rated</x:v>
      </x:c>
      <x:c r="EF448" s="4"/>
      <x:c r="EG448" s="4"/>
      <x:c r="EH448" s="4"/>
      <x:c r="EI448" s="4"/>
      <x:c r="EJ448" s="4"/>
      <x:c r="EK448" s="4"/>
      <x:c r="EL448" s="4"/>
      <x:c r="EM448" s="4" t="str">
        <x:f>IF(436&gt;'Calculations'!$JB$2000,"",INDEX('Calculations'!$JA$12:$JA$2000,MATCH(436,'Calculations'!$JB$12:$JB$2000,0)))</x:f>
      </x:c>
      <x:c r="EN448" s="4" t="n">
        <x:f>IF(OR('Calculations'!EM448="",'Calculations'!$AG$8&gt;0,AND('Calculations'!$EF$2&lt;&gt;"All",'Calculations'!HE448='Calculations'!$EF$2),AND('Calculations'!$EF$3&lt;&gt;"All",'Calculations'!HE448='Calculations'!$EF$3)),0,IF(OR('Dashboard'!$B$7="All",'Calculations'!HN448='Dashboard'!$B$7),IF('Calculations'!$EF$2="All",1,IF('Calculations'!HL448&gt;0,0,IF(COUNTIF('Calculations'!HO448:II448,"="&amp;SUBSTITUTE(SUBSTITUTE(SUBSTITUTE('Calculations'!$EF$2,"~","~~"),"*","~*"),"?","~?"))=0,0,IF('Calculations'!$EF$3="All",1,IF(COUNTIF('Calculations'!HO448:II448,"="&amp;SUBSTITUTE(SUBSTITUTE(SUBSTITUTE('Calculations'!$EF$3,"~","~~"),"*","~*"),"?","~?"))&gt;0,1,0))))),0))</x:f>
        <x:v>0</x:v>
      </x:c>
      <x:c r="EO448" s="4" t="str">
        <x:f>IF('Calculations'!IJ448="","",IF('Calculations'!IJ448="!UNRESOLVED","Unresolved hierarchy",IFERROR(INDEX('Calculations'!$HK$13:$HK$512,MATCH('Calculations'!IJ448,'Calculations'!$HE$13:$HE$512,0)),IFERROR(INDEX('Calculations'!$HJ$13:$HJ$512,MATCH('Calculations'!IJ448,'Calculations'!$HF$13:$HF$512,0)),'Calculations'!IJ448))))</x:f>
      </x:c>
      <x:c r="EP448" s="4" t="n">
        <x:f>IF(AND('Calculations'!EM448&lt;&gt;"",'Calculations'!HF448='Calculations'!IJ448),1,0)</x:f>
        <x:v>0</x:v>
      </x:c>
      <x:c r="EQ448" s="4"/>
      <x:c r="ER448" s="4"/>
      <x:c r="ES448" s="4"/>
      <x:c r="ET448" s="4"/>
      <x:c r="EU448" s="4"/>
      <x:c r="EV448" s="4"/>
      <x:c r="EW448" s="4"/>
      <x:c r="EX448" s="4"/>
      <x:c r="EY448" s="4"/>
      <x:c r="EZ448" s="4"/>
      <x:c r="FA448" s="4"/>
      <x:c r="FB448" s="4"/>
      <x:c r="FC448" s="4"/>
      <x:c r="FD448" s="4"/>
      <x:c r="FE448" s="4"/>
      <x:c r="FF448" s="4"/>
      <x:c r="FG448" s="4"/>
      <x:c r="FH448" s="4"/>
      <x:c r="FI448" s="4"/>
      <x:c r="FJ448" s="4"/>
      <x:c r="FK448" s="4"/>
      <x:c r="FL448" s="4"/>
      <x:c r="FM448" s="4"/>
      <x:c r="FN448" s="4"/>
      <x:c r="FO448" s="4"/>
      <x:c r="HE448" t="str">
        <x:f>IF('Calculations'!EM448="","",IF(IFERROR(IF(INDEX(INDIRECT("'WCM Calibration Final'!$A$1:$A$2000"),'Calculations'!$EM448)="","",TRIM(INDEX(INDIRECT("'WCM Calibration Final'!$A$1:$A$2000"),'Calculations'!$EM448)&amp;"")),"")&lt;&gt;"","G:"&amp;IFERROR(TEXT(1*INDEX(INDIRECT("'WCM Calibration Final'!$A$1:$A$2000"),'Calculations'!$EM448),"0"),UPPER(IFERROR(IF(INDEX(INDIRECT("'WCM Calibration Final'!$A$1:$A$2000"),'Calculations'!$EM448)="","",TRIM(INDEX(INDIRECT("'WCM Calibration Final'!$A$1:$A$2000"),'Calculations'!$EM448)&amp;"")),""))),IF(IFERROR(IF(INDEX(INDIRECT("'WCM Calibration Final'!$C$1:$C$2000"),'Calculations'!$EM448)="","",TRIM(INDEX(INDIRECT("'WCM Calibration Final'!$C$1:$C$2000"),'Calculations'!$EM448)&amp;"")),"")&lt;&gt;"","S:"&amp;UPPER(IFERROR(IF(INDEX(INDIRECT("'WCM Calibration Final'!$C$1:$C$2000"),'Calculations'!$EM448)="","",TRIM(INDEX(INDIRECT("'WCM Calibration Final'!$C$1:$C$2000"),'Calculations'!$EM448)&amp;"")),"")),"R:"&amp;'Calculations'!EM448)))</x:f>
      </x:c>
      <x:c r="HF448" t="str">
        <x:f>IF('Calculations'!EM448="","",IF(IFERROR(IF(INDEX(INDIRECT("'WCM Calibration Final'!$D$1:$D$2000"),'Calculations'!$EM448)="","",TRIM(INDEX(INDIRECT("'WCM Calibration Final'!$D$1:$D$2000"),'Calculations'!$EM448)&amp;"")),"")&lt;&gt;"","G:"&amp;IFERROR(TEXT(1*INDEX(INDIRECT("'WCM Calibration Final'!$D$1:$D$2000"),'Calculations'!$EM448),"0"),UPPER(IFERROR(IF(INDEX(INDIRECT("'WCM Calibration Final'!$D$1:$D$2000"),'Calculations'!$EM448)="","",TRIM(INDEX(INDIRECT("'WCM Calibration Final'!$D$1:$D$2000"),'Calculations'!$EM448)&amp;"")),""))),IF(IFERROR(IF(INDEX(INDIRECT("'WCM Calibration Final'!$E$1:$E$2000"),'Calculations'!$EM448)="","",TRIM(INDEX(INDIRECT("'WCM Calibration Final'!$E$1:$E$2000"),'Calculations'!$EM448)&amp;"")),"")="","",IF(COUNTIF('Calculations'!$HG$13:$HG$512,"="&amp;SUBSTITUTE(SUBSTITUTE(SUBSTITUTE(IFERROR(IF(INDEX(INDIRECT("'WCM Calibration Final'!$E$1:$E$2000"),'Calculations'!$EM448)="","",TRIM(INDEX(INDIRECT("'WCM Calibration Final'!$E$1:$E$2000"),'Calculations'!$EM448)&amp;"")),""),"~","~~"),"*","~*"),"?","~?"))=1,INDEX('Calculations'!$HE$13:$HE$512,MATCH(IFERROR(IF(INDEX(INDIRECT("'WCM Calibration Final'!$E$1:$E$2000"),'Calculations'!$EM448)="","",TRIM(INDEX(INDIRECT("'WCM Calibration Final'!$E$1:$E$2000"),'Calculations'!$EM448)&amp;"")),""),'Calculations'!$HG$13:$HG$512,0)),IF(COUNTIF('Calculations'!$HG$13:$HG$512,"="&amp;SUBSTITUTE(SUBSTITUTE(SUBSTITUTE(IFERROR(IF(INDEX(INDIRECT("'WCM Calibration Final'!$E$1:$E$2000"),'Calculations'!$EM448)="","",TRIM(INDEX(INDIRECT("'WCM Calibration Final'!$E$1:$E$2000"),'Calculations'!$EM448)&amp;"")),""),"~","~~"),"*","~*"),"?","~?"))&gt;1,"!AMBIG","X:"&amp;IFERROR(IF(INDEX(INDIRECT("'WCM Calibration Final'!$E$1:$E$2000"),'Calculations'!$EM448)="","",TRIM(INDEX(INDIRECT("'WCM Calibration Final'!$E$1:$E$2000"),'Calculations'!$EM448)&amp;"")),""))))))</x:f>
      </x:c>
      <x:c r="HG448" t="str">
        <x:f>IF('Calculations'!EM448="","",IFERROR(IF(INDEX(INDIRECT("'WCM Calibration Final'!$B$1:$B$2000"),'Calculations'!$EM448)="","",TRIM(INDEX(INDIRECT("'WCM Calibration Final'!$B$1:$B$2000"),'Calculations'!$EM448)&amp;"")),""))</x:f>
      </x:c>
      <x:c r="HH448" t="n">
        <x:f>IF(AND('Calculations'!JC448&gt;0,COUNTIF('Calculations'!$HF$12:HF448,"="&amp;SUBSTITUTE(SUBSTITUTE(SUBSTITUTE('Calculations'!HF448,"~","~~"),"*","~*"),"?","~?"))=1),MAX('Calculations'!$HH$12:HH447)+1,0)</x:f>
        <x:v>0</x:v>
      </x:c>
      <x:c r="HI448" t="n">
        <x:f>IF(AND('Calculations'!HN448&lt;&gt;"",COUNTIF('Calculations'!$HN$12:HN448,"="&amp;SUBSTITUTE(SUBSTITUTE(SUBSTITUTE('Calculations'!HN448,"~","~~"),"*","~*"),"?","~?"))=1),MAX('Calculations'!$HI$12:HI447)+1,0)</x:f>
        <x:v>0</x:v>
      </x:c>
      <x:c r="HJ448" t="str">
        <x:f>IF('Calculations'!HF448="","",IF(COUNTIF('Calculations'!$HE$13:$HE$512,"="&amp;SUBSTITUTE(SUBSTITUTE(SUBSTITUTE('Calculations'!HF448,"~","~~"),"*","~*"),"?","~?"))=1,INDEX('Calculations'!$HK$13:$HK$512,MATCH('Calculations'!HF448,'Calculations'!$HE$13:$HE$512,0)),IFERROR(IF(INDEX(INDIRECT("'WCM Calibration Final'!$E$1:$E$2000"),'Calculations'!$EM448)="","",TRIM(INDEX(INDIRECT("'WCM Calibration Final'!$E$1:$E$2000"),'Calculations'!$EM448)&amp;"")),"")&amp;" ["&amp;'Calculations'!HF448&amp;"]"))</x:f>
      </x:c>
      <x:c r="HK448" t="str">
        <x:f>IF('Calculations'!EM448="","",'Calculations'!HG448&amp;" ["&amp;'Calculations'!HE448&amp;"]")</x:f>
      </x:c>
      <x:c r="HL448" t="n">
        <x:f>IF('Calculations'!EM448="",0,IF(OR('Calculations'!II448&lt;&gt;"",COUNTIF('Calculations'!$HE$13:$HE$512,"="&amp;SUBSTITUTE(SUBSTITUTE(SUBSTITUTE('Calculations'!HE448,"~","~~"),"*","~*"),"?","~?"))&gt;1),1,0))</x:f>
        <x:v>0</x:v>
      </x:c>
      <x:c r="HM448" t="str">
        <x:f>IF('Calculations'!EM448="","",IF('Calculations'!HL448=1,"!UNRESOLVED",IF('Calculations'!IH448&lt;&gt;"",'Calculations'!IH448,IF('Calculations'!IG448&lt;&gt;"",'Calculations'!IG448,IF('Calculations'!IF448&lt;&gt;"",'Calculations'!IF448,IF('Calculations'!IE448&lt;&gt;"",'Calculations'!IE448,IF('Calculations'!ID448&lt;&gt;"",'Calculations'!ID448,IF('Calculations'!IC448&lt;&gt;"",'Calculations'!IC448,IF('Calculations'!IB448&lt;&gt;"",'Calculations'!IB448,IF('Calculations'!IA448&lt;&gt;"",'Calculations'!IA448,IF('Calculations'!HZ448&lt;&gt;"",'Calculations'!HZ448,IF('Calculations'!HY448&lt;&gt;"",'Calculations'!HY448,IF('Calculations'!HX448&lt;&gt;"",'Calculations'!HX448,IF('Calculations'!HW448&lt;&gt;"",'Calculations'!HW448,IF('Calculations'!HV448&lt;&gt;"",'Calculations'!HV448,IF('Calculations'!HU448&lt;&gt;"",'Calculations'!HU448,IF('Calculations'!HT448&lt;&gt;"",'Calculations'!HT448,IF('Calculations'!HS448&lt;&gt;"",'Calculations'!HS448,IF('Calculations'!HR448&lt;&gt;"",'Calculations'!HR448,IF('Calculations'!HQ448&lt;&gt;"",'Calculations'!HQ448,IF('Calculations'!HP448&lt;&gt;"",'Calculations'!HP448,IF('Calculations'!HO448&lt;&gt;"",'Calculations'!HO448,'Calculations'!HE448))))))))))))))))))))))</x:f>
      </x:c>
      <x:c r="HN448" t="str">
        <x:f>IF('Calculations'!EM448="","",IF(IFERROR(IF(INDEX(INDIRECT("'WCM Calibration Final'!$F$1:$F$2000"),'Calculations'!$EM448)="","",TRIM(INDEX(INDIRECT("'WCM Calibration Final'!$F$1:$F$2000"),'Calculations'!$EM448)&amp;"")),"")="","(Blank)",IFERROR(IF(INDEX(INDIRECT("'WCM Calibration Final'!$F$1:$F$2000"),'Calculations'!$EM448)="","",TRIM(INDEX(INDIRECT("'WCM Calibration Final'!$F$1:$F$2000"),'Calculations'!$EM448)&amp;"")),"")))</x:f>
      </x:c>
      <x:c r="HO448" t="str">
        <x:f>'Calculations'!HF448</x:f>
      </x:c>
      <x:c r="HP448" t="str">
        <x:f>IF('Calculations'!HO448="","",IF('Calculations'!HO448="!AMBIG","!AMBIG",IF(COUNTIF('Calculations'!$HE$13:$HE$512,"="&amp;SUBSTITUTE(SUBSTITUTE(SUBSTITUTE('Calculations'!HO448,"~","~~"),"*","~*"),"?","~?"))&gt;1,"!AMBIG",IFERROR(INDEX('Calculations'!$HF$13:$HF$512,MATCH('Calculations'!HO448,'Calculations'!$HE$13:$HE$512,0)),""))))</x:f>
      </x:c>
      <x:c r="HQ448" t="str">
        <x:f>IF('Calculations'!HP448="","",IF('Calculations'!HP448="!AMBIG","!AMBIG",IF(COUNTIF('Calculations'!$HE$13:$HE$512,"="&amp;SUBSTITUTE(SUBSTITUTE(SUBSTITUTE('Calculations'!HP448,"~","~~"),"*","~*"),"?","~?"))&gt;1,"!AMBIG",IFERROR(INDEX('Calculations'!$HF$13:$HF$512,MATCH('Calculations'!HP448,'Calculations'!$HE$13:$HE$512,0)),""))))</x:f>
      </x:c>
      <x:c r="HR448" t="str">
        <x:f>IF('Calculations'!HQ448="","",IF('Calculations'!HQ448="!AMBIG","!AMBIG",IF(COUNTIF('Calculations'!$HE$13:$HE$512,"="&amp;SUBSTITUTE(SUBSTITUTE(SUBSTITUTE('Calculations'!HQ448,"~","~~"),"*","~*"),"?","~?"))&gt;1,"!AMBIG",IFERROR(INDEX('Calculations'!$HF$13:$HF$512,MATCH('Calculations'!HQ448,'Calculations'!$HE$13:$HE$512,0)),""))))</x:f>
      </x:c>
      <x:c r="HS448" t="str">
        <x:f>IF('Calculations'!HR448="","",IF('Calculations'!HR448="!AMBIG","!AMBIG",IF(COUNTIF('Calculations'!$HE$13:$HE$512,"="&amp;SUBSTITUTE(SUBSTITUTE(SUBSTITUTE('Calculations'!HR448,"~","~~"),"*","~*"),"?","~?"))&gt;1,"!AMBIG",IFERROR(INDEX('Calculations'!$HF$13:$HF$512,MATCH('Calculations'!HR448,'Calculations'!$HE$13:$HE$512,0)),""))))</x:f>
      </x:c>
      <x:c r="HT448" t="str">
        <x:f>IF('Calculations'!HS448="","",IF('Calculations'!HS448="!AMBIG","!AMBIG",IF(COUNTIF('Calculations'!$HE$13:$HE$512,"="&amp;SUBSTITUTE(SUBSTITUTE(SUBSTITUTE('Calculations'!HS448,"~","~~"),"*","~*"),"?","~?"))&gt;1,"!AMBIG",IFERROR(INDEX('Calculations'!$HF$13:$HF$512,MATCH('Calculations'!HS448,'Calculations'!$HE$13:$HE$512,0)),""))))</x:f>
      </x:c>
      <x:c r="HU448" t="str">
        <x:f>IF('Calculations'!HT448="","",IF('Calculations'!HT448="!AMBIG","!AMBIG",IF(COUNTIF('Calculations'!$HE$13:$HE$512,"="&amp;SUBSTITUTE(SUBSTITUTE(SUBSTITUTE('Calculations'!HT448,"~","~~"),"*","~*"),"?","~?"))&gt;1,"!AMBIG",IFERROR(INDEX('Calculations'!$HF$13:$HF$512,MATCH('Calculations'!HT448,'Calculations'!$HE$13:$HE$512,0)),""))))</x:f>
      </x:c>
      <x:c r="HV448" t="str">
        <x:f>IF('Calculations'!HU448="","",IF('Calculations'!HU448="!AMBIG","!AMBIG",IF(COUNTIF('Calculations'!$HE$13:$HE$512,"="&amp;SUBSTITUTE(SUBSTITUTE(SUBSTITUTE('Calculations'!HU448,"~","~~"),"*","~*"),"?","~?"))&gt;1,"!AMBIG",IFERROR(INDEX('Calculations'!$HF$13:$HF$512,MATCH('Calculations'!HU448,'Calculations'!$HE$13:$HE$512,0)),""))))</x:f>
      </x:c>
      <x:c r="HW448" t="str">
        <x:f>IF('Calculations'!HV448="","",IF('Calculations'!HV448="!AMBIG","!AMBIG",IF(COUNTIF('Calculations'!$HE$13:$HE$512,"="&amp;SUBSTITUTE(SUBSTITUTE(SUBSTITUTE('Calculations'!HV448,"~","~~"),"*","~*"),"?","~?"))&gt;1,"!AMBIG",IFERROR(INDEX('Calculations'!$HF$13:$HF$512,MATCH('Calculations'!HV448,'Calculations'!$HE$13:$HE$512,0)),""))))</x:f>
      </x:c>
      <x:c r="HX448" t="str">
        <x:f>IF('Calculations'!HW448="","",IF('Calculations'!HW448="!AMBIG","!AMBIG",IF(COUNTIF('Calculations'!$HE$13:$HE$512,"="&amp;SUBSTITUTE(SUBSTITUTE(SUBSTITUTE('Calculations'!HW448,"~","~~"),"*","~*"),"?","~?"))&gt;1,"!AMBIG",IFERROR(INDEX('Calculations'!$HF$13:$HF$512,MATCH('Calculations'!HW448,'Calculations'!$HE$13:$HE$512,0)),""))))</x:f>
      </x:c>
      <x:c r="HY448" t="str">
        <x:f>IF('Calculations'!HX448="","",IF('Calculations'!HX448="!AMBIG","!AMBIG",IF(COUNTIF('Calculations'!$HE$13:$HE$512,"="&amp;SUBSTITUTE(SUBSTITUTE(SUBSTITUTE('Calculations'!HX448,"~","~~"),"*","~*"),"?","~?"))&gt;1,"!AMBIG",IFERROR(INDEX('Calculations'!$HF$13:$HF$512,MATCH('Calculations'!HX448,'Calculations'!$HE$13:$HE$512,0)),""))))</x:f>
      </x:c>
      <x:c r="HZ448" t="str">
        <x:f>IF('Calculations'!HY448="","",IF('Calculations'!HY448="!AMBIG","!AMBIG",IF(COUNTIF('Calculations'!$HE$13:$HE$512,"="&amp;SUBSTITUTE(SUBSTITUTE(SUBSTITUTE('Calculations'!HY448,"~","~~"),"*","~*"),"?","~?"))&gt;1,"!AMBIG",IFERROR(INDEX('Calculations'!$HF$13:$HF$512,MATCH('Calculations'!HY448,'Calculations'!$HE$13:$HE$512,0)),""))))</x:f>
      </x:c>
      <x:c r="IA448" t="str">
        <x:f>IF('Calculations'!HZ448="","",IF('Calculations'!HZ448="!AMBIG","!AMBIG",IF(COUNTIF('Calculations'!$HE$13:$HE$512,"="&amp;SUBSTITUTE(SUBSTITUTE(SUBSTITUTE('Calculations'!HZ448,"~","~~"),"*","~*"),"?","~?"))&gt;1,"!AMBIG",IFERROR(INDEX('Calculations'!$HF$13:$HF$512,MATCH('Calculations'!HZ448,'Calculations'!$HE$13:$HE$512,0)),""))))</x:f>
      </x:c>
      <x:c r="IB448" t="str">
        <x:f>IF('Calculations'!IA448="","",IF('Calculations'!IA448="!AMBIG","!AMBIG",IF(COUNTIF('Calculations'!$HE$13:$HE$512,"="&amp;SUBSTITUTE(SUBSTITUTE(SUBSTITUTE('Calculations'!IA448,"~","~~"),"*","~*"),"?","~?"))&gt;1,"!AMBIG",IFERROR(INDEX('Calculations'!$HF$13:$HF$512,MATCH('Calculations'!IA448,'Calculations'!$HE$13:$HE$512,0)),""))))</x:f>
      </x:c>
      <x:c r="IC448" t="str">
        <x:f>IF('Calculations'!IB448="","",IF('Calculations'!IB448="!AMBIG","!AMBIG",IF(COUNTIF('Calculations'!$HE$13:$HE$512,"="&amp;SUBSTITUTE(SUBSTITUTE(SUBSTITUTE('Calculations'!IB448,"~","~~"),"*","~*"),"?","~?"))&gt;1,"!AMBIG",IFERROR(INDEX('Calculations'!$HF$13:$HF$512,MATCH('Calculations'!IB448,'Calculations'!$HE$13:$HE$512,0)),""))))</x:f>
      </x:c>
      <x:c r="ID448" t="str">
        <x:f>IF('Calculations'!IC448="","",IF('Calculations'!IC448="!AMBIG","!AMBIG",IF(COUNTIF('Calculations'!$HE$13:$HE$512,"="&amp;SUBSTITUTE(SUBSTITUTE(SUBSTITUTE('Calculations'!IC448,"~","~~"),"*","~*"),"?","~?"))&gt;1,"!AMBIG",IFERROR(INDEX('Calculations'!$HF$13:$HF$512,MATCH('Calculations'!IC448,'Calculations'!$HE$13:$HE$512,0)),""))))</x:f>
      </x:c>
      <x:c r="IE448" t="str">
        <x:f>IF('Calculations'!ID448="","",IF('Calculations'!ID448="!AMBIG","!AMBIG",IF(COUNTIF('Calculations'!$HE$13:$HE$512,"="&amp;SUBSTITUTE(SUBSTITUTE(SUBSTITUTE('Calculations'!ID448,"~","~~"),"*","~*"),"?","~?"))&gt;1,"!AMBIG",IFERROR(INDEX('Calculations'!$HF$13:$HF$512,MATCH('Calculations'!ID448,'Calculations'!$HE$13:$HE$512,0)),""))))</x:f>
      </x:c>
      <x:c r="IF448" t="str">
        <x:f>IF('Calculations'!IE448="","",IF('Calculations'!IE448="!AMBIG","!AMBIG",IF(COUNTIF('Calculations'!$HE$13:$HE$512,"="&amp;SUBSTITUTE(SUBSTITUTE(SUBSTITUTE('Calculations'!IE448,"~","~~"),"*","~*"),"?","~?"))&gt;1,"!AMBIG",IFERROR(INDEX('Calculations'!$HF$13:$HF$512,MATCH('Calculations'!IE448,'Calculations'!$HE$13:$HE$512,0)),""))))</x:f>
      </x:c>
      <x:c r="IG448" t="str">
        <x:f>IF('Calculations'!IF448="","",IF('Calculations'!IF448="!AMBIG","!AMBIG",IF(COUNTIF('Calculations'!$HE$13:$HE$512,"="&amp;SUBSTITUTE(SUBSTITUTE(SUBSTITUTE('Calculations'!IF448,"~","~~"),"*","~*"),"?","~?"))&gt;1,"!AMBIG",IFERROR(INDEX('Calculations'!$HF$13:$HF$512,MATCH('Calculations'!IF448,'Calculations'!$HE$13:$HE$512,0)),""))))</x:f>
      </x:c>
      <x:c r="IH448" t="str">
        <x:f>IF('Calculations'!IG448="","",IF('Calculations'!IG448="!AMBIG","!AMBIG",IF(COUNTIF('Calculations'!$HE$13:$HE$512,"="&amp;SUBSTITUTE(SUBSTITUTE(SUBSTITUTE('Calculations'!IG448,"~","~~"),"*","~*"),"?","~?"))&gt;1,"!AMBIG",IFERROR(INDEX('Calculations'!$HF$13:$HF$512,MATCH('Calculations'!IG448,'Calculations'!$HE$13:$HE$512,0)),""))))</x:f>
      </x:c>
      <x:c r="II448" t="str">
        <x:f>IF('Calculations'!IH448="","",IF('Calculations'!IH448="!AMBIG","!AMBIG",IF(COUNTIF('Calculations'!$HE$13:$HE$512,"="&amp;SUBSTITUTE(SUBSTITUTE(SUBSTITUTE('Calculations'!IH448,"~","~~"),"*","~*"),"?","~?"))&gt;1,"!AMBIG",IFERROR(INDEX('Calculations'!$HF$13:$HF$512,MATCH('Calculations'!IH448,'Calculations'!$HE$13:$HE$512,0)),""))))</x:f>
      </x:c>
      <x:c r="IJ448" t="str">
        <x:f>IF('Calculations'!EM448="","",IF('Calculations'!$EF$2="All",'Calculations'!HM448,IF('Calculations'!HL448=1,"",IFERROR(IF(MATCH('Calculations'!$EF$2,'Calculations'!HO448:II448,0)=1,'Calculations'!HE448,INDEX('Calculations'!HO448:II448,1,MATCH('Calculations'!$EF$2,'Calculations'!HO448:II448,0)-1)),""))))</x:f>
      </x:c>
      <x:c r="IK448" t="n">
        <x:f>IF(AND('Calculations'!EM448&lt;&gt;"",'Calculations'!$EF$2&lt;&gt;"All",'Calculations'!HF448='Calculations'!$EF$2,'Calculations'!HL448=0,'Calculations'!JD448&gt;0),MAX('Calculations'!$IK$12:IK447)+1,0)</x:f>
        <x:v>0</x:v>
      </x:c>
      <x:c r="JA448" t="n">
        <x:f>IF(OR(IFERROR(INDIRECT("'WCM Calibration Final'!$A$448")&lt;&gt;"",FALSE),IFERROR(INDIRECT("'WCM Calibration Final'!$B$448")&lt;&gt;"",FALSE),IFERROR(INDIRECT("'WCM Calibration Final'!$C$448")&lt;&gt;"",FALSE)),448,0)</x:f>
        <x:v>0</x:v>
      </x:c>
      <x:c r="JB448" t="n">
        <x:f>'Calculations'!JB447+IF('Calculations'!JA448&gt;0,1,0)</x:f>
        <x:v>0</x:v>
      </x:c>
      <x:c r="JC448" t="n">
        <x:f>IF(OR('Calculations'!HF448="",'Calculations'!HF448="!AMBIG"),0,IF('Dashboard'!$B$7="All",1,COUNTIFS('Calculations'!$HO$13:$HO$512,"="&amp;SUBSTITUTE(SUBSTITUTE(SUBSTITUTE('Calculations'!HF448,"~","~~"),"*","~*"),"?","~?"),'Calculations'!$HN$13:$HN$512,"="&amp;SUBSTITUTE(SUBSTITUTE(SUBSTITUTE('Dashboard'!$B$7,"~","~~"),"*","~*"),"?","~?"))+COUNTIFS('Calculations'!$HP$13:$HP$512,"="&amp;SUBSTITUTE(SUBSTITUTE(SUBSTITUTE('Calculations'!HF448,"~","~~"),"*","~*"),"?","~?"),'Calculations'!$HN$13:$HN$512,"="&amp;SUBSTITUTE(SUBSTITUTE(SUBSTITUTE('Dashboard'!$B$7,"~","~~"),"*","~*"),"?","~?"))+COUNTIFS('Calculations'!$HQ$13:$HQ$512,"="&amp;SUBSTITUTE(SUBSTITUTE(SUBSTITUTE('Calculations'!HF448,"~","~~"),"*","~*"),"?","~?"),'Calculations'!$HN$13:$HN$512,"="&amp;SUBSTITUTE(SUBSTITUTE(SUBSTITUTE('Dashboard'!$B$7,"~","~~"),"*","~*"),"?","~?"))+COUNTIFS('Calculations'!$HR$13:$HR$512,"="&amp;SUBSTITUTE(SUBSTITUTE(SUBSTITUTE('Calculations'!HF448,"~","~~"),"*","~*"),"?","~?"),'Calculations'!$HN$13:$HN$512,"="&amp;SUBSTITUTE(SUBSTITUTE(SUBSTITUTE('Dashboard'!$B$7,"~","~~"),"*","~*"),"?","~?"))+COUNTIFS('Calculations'!$HS$13:$HS$512,"="&amp;SUBSTITUTE(SUBSTITUTE(SUBSTITUTE('Calculations'!HF448,"~","~~"),"*","~*"),"?","~?"),'Calculations'!$HN$13:$HN$512,"="&amp;SUBSTITUTE(SUBSTITUTE(SUBSTITUTE('Dashboard'!$B$7,"~","~~"),"*","~*"),"?","~?"))+COUNTIFS('Calculations'!$HT$13:$HT$512,"="&amp;SUBSTITUTE(SUBSTITUTE(SUBSTITUTE('Calculations'!HF448,"~","~~"),"*","~*"),"?","~?"),'Calculations'!$HN$13:$HN$512,"="&amp;SUBSTITUTE(SUBSTITUTE(SUBSTITUTE('Dashboard'!$B$7,"~","~~"),"*","~*"),"?","~?"))+COUNTIFS('Calculations'!$HU$13:$HU$512,"="&amp;SUBSTITUTE(SUBSTITUTE(SUBSTITUTE('Calculations'!HF448,"~","~~"),"*","~*"),"?","~?"),'Calculations'!$HN$13:$HN$512,"="&amp;SUBSTITUTE(SUBSTITUTE(SUBSTITUTE('Dashboard'!$B$7,"~","~~"),"*","~*"),"?","~?"))+COUNTIFS('Calculations'!$HV$13:$HV$512,"="&amp;SUBSTITUTE(SUBSTITUTE(SUBSTITUTE('Calculations'!HF448,"~","~~"),"*","~*"),"?","~?"),'Calculations'!$HN$13:$HN$512,"="&amp;SUBSTITUTE(SUBSTITUTE(SUBSTITUTE('Dashboard'!$B$7,"~","~~"),"*","~*"),"?","~?"))+COUNTIFS('Calculations'!$HW$13:$HW$512,"="&amp;SUBSTITUTE(SUBSTITUTE(SUBSTITUTE('Calculations'!HF448,"~","~~"),"*","~*"),"?","~?"),'Calculations'!$HN$13:$HN$512,"="&amp;SUBSTITUTE(SUBSTITUTE(SUBSTITUTE('Dashboard'!$B$7,"~","~~"),"*","~*"),"?","~?"))+COUNTIFS('Calculations'!$HX$13:$HX$512,"="&amp;SUBSTITUTE(SUBSTITUTE(SUBSTITUTE('Calculations'!HF448,"~","~~"),"*","~*"),"?","~?"),'Calculations'!$HN$13:$HN$512,"="&amp;SUBSTITUTE(SUBSTITUTE(SUBSTITUTE('Dashboard'!$B$7,"~","~~"),"*","~*"),"?","~?"))+COUNTIFS('Calculations'!$HY$13:$HY$512,"="&amp;SUBSTITUTE(SUBSTITUTE(SUBSTITUTE('Calculations'!HF448,"~","~~"),"*","~*"),"?","~?"),'Calculations'!$HN$13:$HN$512,"="&amp;SUBSTITUTE(SUBSTITUTE(SUBSTITUTE('Dashboard'!$B$7,"~","~~"),"*","~*"),"?","~?"))+COUNTIFS('Calculations'!$HZ$13:$HZ$512,"="&amp;SUBSTITUTE(SUBSTITUTE(SUBSTITUTE('Calculations'!HF448,"~","~~"),"*","~*"),"?","~?"),'Calculations'!$HN$13:$HN$512,"="&amp;SUBSTITUTE(SUBSTITUTE(SUBSTITUTE('Dashboard'!$B$7,"~","~~"),"*","~*"),"?","~?"))+COUNTIFS('Calculations'!$IA$13:$IA$512,"="&amp;SUBSTITUTE(SUBSTITUTE(SUBSTITUTE('Calculations'!HF448,"~","~~"),"*","~*"),"?","~?"),'Calculations'!$HN$13:$HN$512,"="&amp;SUBSTITUTE(SUBSTITUTE(SUBSTITUTE('Dashboard'!$B$7,"~","~~"),"*","~*"),"?","~?"))+COUNTIFS('Calculations'!$IB$13:$IB$512,"="&amp;SUBSTITUTE(SUBSTITUTE(SUBSTITUTE('Calculations'!HF448,"~","~~"),"*","~*"),"?","~?"),'Calculations'!$HN$13:$HN$512,"="&amp;SUBSTITUTE(SUBSTITUTE(SUBSTITUTE('Dashboard'!$B$7,"~","~~"),"*","~*"),"?","~?"))+COUNTIFS('Calculations'!$IC$13:$IC$512,"="&amp;SUBSTITUTE(SUBSTITUTE(SUBSTITUTE('Calculations'!HF448,"~","~~"),"*","~*"),"?","~?"),'Calculations'!$HN$13:$HN$512,"="&amp;SUBSTITUTE(SUBSTITUTE(SUBSTITUTE('Dashboard'!$B$7,"~","~~"),"*","~*"),"?","~?"))+COUNTIFS('Calculations'!$ID$13:$ID$512,"="&amp;SUBSTITUTE(SUBSTITUTE(SUBSTITUTE('Calculations'!HF448,"~","~~"),"*","~*"),"?","~?"),'Calculations'!$HN$13:$HN$512,"="&amp;SUBSTITUTE(SUBSTITUTE(SUBSTITUTE('Dashboard'!$B$7,"~","~~"),"*","~*"),"?","~?"))+COUNTIFS('Calculations'!$IE$13:$IE$512,"="&amp;SUBSTITUTE(SUBSTITUTE(SUBSTITUTE('Calculations'!HF448,"~","~~"),"*","~*"),"?","~?"),'Calculations'!$HN$13:$HN$512,"="&amp;SUBSTITUTE(SUBSTITUTE(SUBSTITUTE('Dashboard'!$B$7,"~","~~"),"*","~*"),"?","~?"))+COUNTIFS('Calculations'!$IF$13:$IF$512,"="&amp;SUBSTITUTE(SUBSTITUTE(SUBSTITUTE('Calculations'!HF448,"~","~~"),"*","~*"),"?","~?"),'Calculations'!$HN$13:$HN$512,"="&amp;SUBSTITUTE(SUBSTITUTE(SUBSTITUTE('Dashboard'!$B$7,"~","~~"),"*","~*"),"?","~?"))+COUNTIFS('Calculations'!$IG$13:$IG$512,"="&amp;SUBSTITUTE(SUBSTITUTE(SUBSTITUTE('Calculations'!HF448,"~","~~"),"*","~*"),"?","~?"),'Calculations'!$HN$13:$HN$512,"="&amp;SUBSTITUTE(SUBSTITUTE(SUBSTITUTE('Dashboard'!$B$7,"~","~~"),"*","~*"),"?","~?"))+COUNTIFS('Calculations'!$IH$13:$IH$512,"="&amp;SUBSTITUTE(SUBSTITUTE(SUBSTITUTE('Calculations'!HF448,"~","~~"),"*","~*"),"?","~?"),'Calculations'!$HN$13:$HN$512,"="&amp;SUBSTITUTE(SUBSTITUTE(SUBSTITUTE('Dashboard'!$B$7,"~","~~"),"*","~*"),"?","~?"))))</x:f>
        <x:v>0</x:v>
      </x:c>
      <x:c r="JD448" t="n">
        <x:f>IF('Calculations'!EM448="",0,IF('Dashboard'!$B$7="All",1,IF('Calculations'!HN448='Dashboard'!$B$7,1,0)+IFERROR(INDEX('Calculations'!$JC$13:$JC$512,MATCH('Calculations'!HE448,'Calculations'!$HF$13:$HF$512,0)),0)))</x:f>
        <x:v>0</x:v>
      </x:c>
      <x:c r="JE448" t="n">
        <x:f>IF(AND('Calculations'!EM448&lt;&gt;"",'Calculations'!$JJ$2&lt;&gt;"All",'Calculations'!$JJ$2&lt;&gt;"",'Calculations'!HF448='Calculations'!$JJ$2,'Calculations'!HL448=0,'Calculations'!JD448&gt;0),MAX('Calculations'!$JE$12:JE447)+1,0)</x:f>
        <x:v>0</x:v>
      </x:c>
      <x:c r="JF448" t="str">
        <x:f>IF('Calculations'!EM448="","",IFERROR(IF(INDEX(INDIRECT("'WCM Calibration Final'!$G$1:$G$2000"),'Calculations'!$EM448)="","",TRIM(INDEX(INDIRECT("'WCM Calibration Final'!$G$1:$G$2000"),'Calculations'!$EM448)&amp;"")),""))</x:f>
      </x:c>
      <x:c r="JQ448" t="n">
        <x:f>IF(OR('Calculations'!BM448=0,NOT('Calculations'!$AG$2),'Calculations'!$AG$8&gt;0),0,IF(OR('Dashboard'!$B$7="All",'Calculations'!HN448='Dashboard'!$B$7),IF('Calculations'!$JJ$2="All",1,IF(AND('Calculations'!HF448='Calculations'!$JJ$2,'Calculations'!HL448=0),1,0)),0))</x:f>
        <x:v>0</x:v>
      </x:c>
    </x:row>
    <x:row r="449">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t="n">
        <x:f>IF('Calculations'!$EM449="",0,IF(OR(IFERROR(INDEX(INDIRECT("'WCM Calibration Final'!$A$1:$A$2000"),'Calculations'!$EM449)&lt;&gt;"",FALSE),IFERROR(INDEX(INDIRECT("'WCM Calibration Final'!$B$1:$B$2000"),'Calculations'!$EM449)&lt;&gt;"",FALSE),IFERROR(INDEX(INDIRECT("'WCM Calibration Final'!$C$1:$C$2000"),'Calculations'!$EM449)&lt;&gt;"",FALSE)),1,0))</x:f>
        <x:v>0</x:v>
      </x:c>
      <x:c r="BN449" s="4" t="n">
        <x:f>IF(AND('Calculations'!BM449=1,'Calculations'!$AG$2,'Calculations'!$EN449=1),1,0)</x:f>
        <x:v>0</x:v>
      </x:c>
      <x:c r="BO449" s="4" t="str">
        <x:f>IF('Calculations'!BM449=0,"",IFERROR(IF(AND(VALUE(INDEX(INDIRECT("'WCM Calibration Final'!$K$1:$K$2000"),'Calculations'!$EM449))&gt;=1,VALUE(INDEX(INDIRECT("'WCM Calibration Final'!$K$1:$K$2000"),'Calculations'!$EM449))&lt;=4,MOD(VALUE(INDEX(INDIRECT("'WCM Calibration Final'!$K$1:$K$2000"),'Calculations'!$EM449)),1)=0),VALUE(INDEX(INDIRECT("'WCM Calibration Final'!$K$1:$K$2000"),'Calculations'!$EM449)),""),""))</x:f>
      </x:c>
      <x:c r="BP449" s="4" t="str">
        <x:f>IF('Calculations'!BM449=0,"",IFERROR(IF(AND(VALUE(INDEX(INDIRECT("'WCM Calibration Final'!$L$1:$L$2000"),'Calculations'!$EM449))&gt;=1,VALUE(INDEX(INDIRECT("'WCM Calibration Final'!$L$1:$L$2000"),'Calculations'!$EM449))&lt;=4,MOD(VALUE(INDEX(INDIRECT("'WCM Calibration Final'!$L$1:$L$2000"),'Calculations'!$EM449)),1)=0),VALUE(INDEX(INDIRECT("'WCM Calibration Final'!$L$1:$L$2000"),'Calculations'!$EM449)),""),""))</x:f>
      </x:c>
      <x:c r="BQ449" s="4"/>
      <x:c r="BR449" s="4"/>
      <x:c r="BS449" s="4"/>
      <x:c r="BT449" s="4" t="n">
        <x:f>IF(AND('Calculations'!BM449=1,ISNUMBER('Calculations'!BO449),ISNUMBER('Calculations'!BP449)),1,0)</x:f>
        <x:v>0</x:v>
      </x:c>
      <x:c r="BU449" s="4" t="str">
        <x:f>IF('Calculations'!BM449=0,"",'Calculations'!$EO449)</x:f>
      </x:c>
      <x:c r="BV449" s="4" t="str">
        <x:f>IF('Calculations'!BM449=0,"",IFERROR(IF(OR(INDEX(INDIRECT("'WCM Calibration Final'!$H$1:$H$2000"),'Calculations'!$EM449)="MANAGING DIRECTOR",INDEX(INDIRECT("'WCM Calibration Final'!$H$1:$H$2000"),'Calculations'!$EM449)="DIRECTOR",INDEX(INDIRECT("'WCM Calibration Final'!$H$1:$H$2000"),'Calculations'!$EM449)="SENIOR VICE PRESIDENT",INDEX(INDIRECT("'WCM Calibration Final'!$H$1:$H$2000"),'Calculations'!$EM449)="VICE PRESIDENT",INDEX(INDIRECT("'WCM Calibration Final'!$H$1:$H$2000"),'Calculations'!$EM449)="ASSISTANT VICE PRESIDENT",INDEX(INDIRECT("'WCM Calibration Final'!$H$1:$H$2000"),'Calculations'!$EM449)="OFFICER"),UPPER(INDEX(INDIRECT("'WCM Calibration Final'!$H$1:$H$2000"),'Calculations'!$EM449)),"Other"),"Other"))</x:f>
      </x:c>
      <x:c r="BW449" s="4"/>
      <x:c r="BX449" s="4"/>
      <x:c r="BY449" s="4" t="n">
        <x:f>IF(AND('Calculations'!BM449=1,'Calculations'!BU449&lt;&gt;"",COUNTIF('Calculations'!$BU$12:BU449,'Calculations'!BU449)=1),MAX('Calculations'!$BY$11:BY448)+1,0)</x:f>
        <x:v>0</x:v>
      </x:c>
      <x:c r="BZ449" s="4" t="str">
        <x:f>IF('Dashboard'!$E$67="What",'Calculations'!BO449,'Calculations'!BP449)</x:f>
      </x:c>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t="str">
        <x:f>IF(438&gt;MAX('Calculations'!$HI$13:$HI$512),"",INDEX('Calculations'!$HN$13:$HN$512,MATCH(438,'Calculations'!$HI$13:$HI$512,0)))</x:f>
      </x:c>
      <x:c r="DB449" s="4" t="str">
        <x:f>IF(438&gt;MAX('Calculations'!$HH$13:$HH$512),"",INDEX('Calculations'!$HJ$13:$HJ$512,MATCH(438,'Calculations'!$HH$13:$HH$512,0)))</x:f>
      </x:c>
      <x:c r="DC449" s="4" t="str">
        <x:f>IF(ROW()-11&gt;MAX('Calculations'!$BY$13:$BY$512),"",INDEX('Calculations'!$BU$13:$BU$512,MATCH(ROW()-11,'Calculations'!$BY$13:$BY$512,0)))</x:f>
      </x:c>
      <x:c r="DD449" s="4" t="str">
        <x:f>IF(438&gt;MAX('Calculations'!$IK$13:$IK$512),"",INDEX('Calculations'!$HK$13:$HK$512,MATCH(438,'Calculations'!$IK$13:$IK$512,0)))</x:f>
      </x:c>
      <x:c r="DE449" s="4" t="str">
        <x:f>'Calculations'!DC449</x:f>
      </x:c>
      <x:c r="DF449" s="4" t="str">
        <x:f>IF('Calculations'!DE449="","",COUNTIFS('Calculations'!$BN$13:$BN$512,1,'Calculations'!$BU$13:$BU$512,'Calculations'!DE449))</x:f>
      </x:c>
      <x:c r="DG449" s="4" t="str">
        <x:f>IF('Calculations'!DE449="","",COUNTIFS('Calculations'!$BN$13:$BN$512,1,'Calculations'!$BU$13:$BU$512,'Calculations'!DE449,'Calculations'!$BT$13:$BT$512,1))</x:f>
      </x:c>
      <x:c r="DH449" s="4" t="str">
        <x:f>IF('Calculations'!DE449="","",'Calculations'!DF449-'Calculations'!DG449)</x:f>
      </x:c>
      <x:c r="DI449" s="4" t="str">
        <x:f>IF(OR('Calculations'!DE449="",'Calculations'!DF449=0),"",'Calculations'!DG449/'Calculations'!DF449)</x:f>
      </x:c>
      <x:c r="DJ449" s="4" t="str">
        <x:f>IF('Calculations'!DE449="","",COUNTIFS('Calculations'!$BN$13:$BN$512,1,'Calculations'!$BU$13:$BU$512,'Calculations'!DE449,'Calculations'!$BT$13:$BT$512,1,'Calculations'!$EE$13:$EE$512,"High"))</x:f>
      </x:c>
      <x:c r="DK449" s="4" t="str">
        <x:f>IF('Calculations'!DE449="","",COUNTIFS('Calculations'!$BN$13:$BN$512,1,'Calculations'!$BU$13:$BU$512,'Calculations'!DE449,'Calculations'!$BT$13:$BT$512,1,'Calculations'!$EE$13:$EE$512,"Strong"))</x:f>
      </x:c>
      <x:c r="DL449" s="4" t="str">
        <x:f>IF('Calculations'!DE449="","",COUNTIFS('Calculations'!$BN$13:$BN$512,1,'Calculations'!$BU$13:$BU$512,'Calculations'!DE449,'Calculations'!$BT$13:$BT$512,1,'Calculations'!$EE$13:$EE$512,"Solid"))</x:f>
      </x:c>
      <x:c r="DM449" s="4" t="str">
        <x:f>IF('Calculations'!DE449="","",COUNTIFS('Calculations'!$BN$13:$BN$512,1,'Calculations'!$BU$13:$BU$512,'Calculations'!DE449,'Calculations'!$BT$13:$BT$512,1,'Calculations'!$EE$13:$EE$512,"Low"))</x:f>
      </x:c>
      <x:c r="DN449" s="4" t="str">
        <x:f>IF('Calculations'!DE449="","",COUNTIFS('Calculations'!$BN$13:$BN$512,1,'Calculations'!$BU$13:$BU$512,'Calculations'!DE449,'Calculations'!$EP$13:$EP$512,1))</x:f>
      </x:c>
      <x:c r="DO449" s="4" t="str">
        <x:f>IF(OR('Calculations'!DE449="",'Calculations'!DG449=0),"",('Calculations'!DJ449+'Calculations'!DK449)/'Calculations'!DG449)</x:f>
      </x:c>
      <x:c r="DP449" s="4" t="n">
        <x:f>IF(AND('Calculations'!DE449&lt;&gt;"",'Calculations'!DF449&gt;0),COUNTIF('Calculations'!$DF$12:DF449,"&gt;0"),0)</x:f>
        <x:v>0</x:v>
      </x:c>
      <x:c r="DQ449" s="4" t="str">
        <x:f>IF(438&gt;MAX('Calculations'!$HH$13:$HH$512),"",INDEX('Calculations'!$HF$13:$HF$512,MATCH(438,'Calculations'!$HH$13:$HH$512,0)))</x:f>
      </x:c>
      <x:c r="DR449" s="4" t="str">
        <x:f>IF(438&gt;MAX('Calculations'!$IK$13:$IK$512),"",INDEX('Calculations'!$HE$13:$HE$512,MATCH(438,'Calculations'!$IK$13:$IK$512,0)))</x:f>
      </x:c>
      <x:c r="DS449" s="4"/>
      <x:c r="DT449" s="4"/>
      <x:c r="DU449" s="4"/>
      <x:c r="DV449" s="4"/>
      <x:c r="DW449" s="4"/>
      <x:c r="DX449" s="4"/>
      <x:c r="DY449" s="4"/>
      <x:c r="DZ449" s="4"/>
      <x:c r="EA449" s="4"/>
      <x:c r="EB449" s="4"/>
      <x:c r="EC449" s="4"/>
      <x:c r="ED449" s="4"/>
      <x:c r="EE449" s="4" t="str">
        <x:f>IF('Calculations'!BT449=0,"Not Rated",IF(OR('Calculations'!BO449&gt;=4,'Calculations'!BP449&gt;=4),"Low",IF('Calculations'!BO449+'Calculations'!BP449&lt;=3,"High",IF('Calculations'!BO449+'Calculations'!BP449&lt;=4,"Strong","Solid"))))</x:f>
        <x:v>Not Rated</x:v>
      </x:c>
      <x:c r="EF449" s="4"/>
      <x:c r="EG449" s="4"/>
      <x:c r="EH449" s="4"/>
      <x:c r="EI449" s="4"/>
      <x:c r="EJ449" s="4"/>
      <x:c r="EK449" s="4"/>
      <x:c r="EL449" s="4"/>
      <x:c r="EM449" s="4" t="str">
        <x:f>IF(437&gt;'Calculations'!$JB$2000,"",INDEX('Calculations'!$JA$12:$JA$2000,MATCH(437,'Calculations'!$JB$12:$JB$2000,0)))</x:f>
      </x:c>
      <x:c r="EN449" s="4" t="n">
        <x:f>IF(OR('Calculations'!EM449="",'Calculations'!$AG$8&gt;0,AND('Calculations'!$EF$2&lt;&gt;"All",'Calculations'!HE449='Calculations'!$EF$2),AND('Calculations'!$EF$3&lt;&gt;"All",'Calculations'!HE449='Calculations'!$EF$3)),0,IF(OR('Dashboard'!$B$7="All",'Calculations'!HN449='Dashboard'!$B$7),IF('Calculations'!$EF$2="All",1,IF('Calculations'!HL449&gt;0,0,IF(COUNTIF('Calculations'!HO449:II449,"="&amp;SUBSTITUTE(SUBSTITUTE(SUBSTITUTE('Calculations'!$EF$2,"~","~~"),"*","~*"),"?","~?"))=0,0,IF('Calculations'!$EF$3="All",1,IF(COUNTIF('Calculations'!HO449:II449,"="&amp;SUBSTITUTE(SUBSTITUTE(SUBSTITUTE('Calculations'!$EF$3,"~","~~"),"*","~*"),"?","~?"))&gt;0,1,0))))),0))</x:f>
        <x:v>0</x:v>
      </x:c>
      <x:c r="EO449" s="4" t="str">
        <x:f>IF('Calculations'!IJ449="","",IF('Calculations'!IJ449="!UNRESOLVED","Unresolved hierarchy",IFERROR(INDEX('Calculations'!$HK$13:$HK$512,MATCH('Calculations'!IJ449,'Calculations'!$HE$13:$HE$512,0)),IFERROR(INDEX('Calculations'!$HJ$13:$HJ$512,MATCH('Calculations'!IJ449,'Calculations'!$HF$13:$HF$512,0)),'Calculations'!IJ449))))</x:f>
      </x:c>
      <x:c r="EP449" s="4" t="n">
        <x:f>IF(AND('Calculations'!EM449&lt;&gt;"",'Calculations'!HF449='Calculations'!IJ449),1,0)</x:f>
        <x:v>0</x:v>
      </x:c>
      <x:c r="EQ449" s="4"/>
      <x:c r="ER449" s="4"/>
      <x:c r="ES449" s="4"/>
      <x:c r="ET449" s="4"/>
      <x:c r="EU449" s="4"/>
      <x:c r="EV449" s="4"/>
      <x:c r="EW449" s="4"/>
      <x:c r="EX449" s="4"/>
      <x:c r="EY449" s="4"/>
      <x:c r="EZ449" s="4"/>
      <x:c r="FA449" s="4"/>
      <x:c r="FB449" s="4"/>
      <x:c r="FC449" s="4"/>
      <x:c r="FD449" s="4"/>
      <x:c r="FE449" s="4"/>
      <x:c r="FF449" s="4"/>
      <x:c r="FG449" s="4"/>
      <x:c r="FH449" s="4"/>
      <x:c r="FI449" s="4"/>
      <x:c r="FJ449" s="4"/>
      <x:c r="FK449" s="4"/>
      <x:c r="FL449" s="4"/>
      <x:c r="FM449" s="4"/>
      <x:c r="FN449" s="4"/>
      <x:c r="FO449" s="4"/>
      <x:c r="HE449" t="str">
        <x:f>IF('Calculations'!EM449="","",IF(IFERROR(IF(INDEX(INDIRECT("'WCM Calibration Final'!$A$1:$A$2000"),'Calculations'!$EM449)="","",TRIM(INDEX(INDIRECT("'WCM Calibration Final'!$A$1:$A$2000"),'Calculations'!$EM449)&amp;"")),"")&lt;&gt;"","G:"&amp;IFERROR(TEXT(1*INDEX(INDIRECT("'WCM Calibration Final'!$A$1:$A$2000"),'Calculations'!$EM449),"0"),UPPER(IFERROR(IF(INDEX(INDIRECT("'WCM Calibration Final'!$A$1:$A$2000"),'Calculations'!$EM449)="","",TRIM(INDEX(INDIRECT("'WCM Calibration Final'!$A$1:$A$2000"),'Calculations'!$EM449)&amp;"")),""))),IF(IFERROR(IF(INDEX(INDIRECT("'WCM Calibration Final'!$C$1:$C$2000"),'Calculations'!$EM449)="","",TRIM(INDEX(INDIRECT("'WCM Calibration Final'!$C$1:$C$2000"),'Calculations'!$EM449)&amp;"")),"")&lt;&gt;"","S:"&amp;UPPER(IFERROR(IF(INDEX(INDIRECT("'WCM Calibration Final'!$C$1:$C$2000"),'Calculations'!$EM449)="","",TRIM(INDEX(INDIRECT("'WCM Calibration Final'!$C$1:$C$2000"),'Calculations'!$EM449)&amp;"")),"")),"R:"&amp;'Calculations'!EM449)))</x:f>
      </x:c>
      <x:c r="HF449" t="str">
        <x:f>IF('Calculations'!EM449="","",IF(IFERROR(IF(INDEX(INDIRECT("'WCM Calibration Final'!$D$1:$D$2000"),'Calculations'!$EM449)="","",TRIM(INDEX(INDIRECT("'WCM Calibration Final'!$D$1:$D$2000"),'Calculations'!$EM449)&amp;"")),"")&lt;&gt;"","G:"&amp;IFERROR(TEXT(1*INDEX(INDIRECT("'WCM Calibration Final'!$D$1:$D$2000"),'Calculations'!$EM449),"0"),UPPER(IFERROR(IF(INDEX(INDIRECT("'WCM Calibration Final'!$D$1:$D$2000"),'Calculations'!$EM449)="","",TRIM(INDEX(INDIRECT("'WCM Calibration Final'!$D$1:$D$2000"),'Calculations'!$EM449)&amp;"")),""))),IF(IFERROR(IF(INDEX(INDIRECT("'WCM Calibration Final'!$E$1:$E$2000"),'Calculations'!$EM449)="","",TRIM(INDEX(INDIRECT("'WCM Calibration Final'!$E$1:$E$2000"),'Calculations'!$EM449)&amp;"")),"")="","",IF(COUNTIF('Calculations'!$HG$13:$HG$512,"="&amp;SUBSTITUTE(SUBSTITUTE(SUBSTITUTE(IFERROR(IF(INDEX(INDIRECT("'WCM Calibration Final'!$E$1:$E$2000"),'Calculations'!$EM449)="","",TRIM(INDEX(INDIRECT("'WCM Calibration Final'!$E$1:$E$2000"),'Calculations'!$EM449)&amp;"")),""),"~","~~"),"*","~*"),"?","~?"))=1,INDEX('Calculations'!$HE$13:$HE$512,MATCH(IFERROR(IF(INDEX(INDIRECT("'WCM Calibration Final'!$E$1:$E$2000"),'Calculations'!$EM449)="","",TRIM(INDEX(INDIRECT("'WCM Calibration Final'!$E$1:$E$2000"),'Calculations'!$EM449)&amp;"")),""),'Calculations'!$HG$13:$HG$512,0)),IF(COUNTIF('Calculations'!$HG$13:$HG$512,"="&amp;SUBSTITUTE(SUBSTITUTE(SUBSTITUTE(IFERROR(IF(INDEX(INDIRECT("'WCM Calibration Final'!$E$1:$E$2000"),'Calculations'!$EM449)="","",TRIM(INDEX(INDIRECT("'WCM Calibration Final'!$E$1:$E$2000"),'Calculations'!$EM449)&amp;"")),""),"~","~~"),"*","~*"),"?","~?"))&gt;1,"!AMBIG","X:"&amp;IFERROR(IF(INDEX(INDIRECT("'WCM Calibration Final'!$E$1:$E$2000"),'Calculations'!$EM449)="","",TRIM(INDEX(INDIRECT("'WCM Calibration Final'!$E$1:$E$2000"),'Calculations'!$EM449)&amp;"")),""))))))</x:f>
      </x:c>
      <x:c r="HG449" t="str">
        <x:f>IF('Calculations'!EM449="","",IFERROR(IF(INDEX(INDIRECT("'WCM Calibration Final'!$B$1:$B$2000"),'Calculations'!$EM449)="","",TRIM(INDEX(INDIRECT("'WCM Calibration Final'!$B$1:$B$2000"),'Calculations'!$EM449)&amp;"")),""))</x:f>
      </x:c>
      <x:c r="HH449" t="n">
        <x:f>IF(AND('Calculations'!JC449&gt;0,COUNTIF('Calculations'!$HF$12:HF449,"="&amp;SUBSTITUTE(SUBSTITUTE(SUBSTITUTE('Calculations'!HF449,"~","~~"),"*","~*"),"?","~?"))=1),MAX('Calculations'!$HH$12:HH448)+1,0)</x:f>
        <x:v>0</x:v>
      </x:c>
      <x:c r="HI449" t="n">
        <x:f>IF(AND('Calculations'!HN449&lt;&gt;"",COUNTIF('Calculations'!$HN$12:HN449,"="&amp;SUBSTITUTE(SUBSTITUTE(SUBSTITUTE('Calculations'!HN449,"~","~~"),"*","~*"),"?","~?"))=1),MAX('Calculations'!$HI$12:HI448)+1,0)</x:f>
        <x:v>0</x:v>
      </x:c>
      <x:c r="HJ449" t="str">
        <x:f>IF('Calculations'!HF449="","",IF(COUNTIF('Calculations'!$HE$13:$HE$512,"="&amp;SUBSTITUTE(SUBSTITUTE(SUBSTITUTE('Calculations'!HF449,"~","~~"),"*","~*"),"?","~?"))=1,INDEX('Calculations'!$HK$13:$HK$512,MATCH('Calculations'!HF449,'Calculations'!$HE$13:$HE$512,0)),IFERROR(IF(INDEX(INDIRECT("'WCM Calibration Final'!$E$1:$E$2000"),'Calculations'!$EM449)="","",TRIM(INDEX(INDIRECT("'WCM Calibration Final'!$E$1:$E$2000"),'Calculations'!$EM449)&amp;"")),"")&amp;" ["&amp;'Calculations'!HF449&amp;"]"))</x:f>
      </x:c>
      <x:c r="HK449" t="str">
        <x:f>IF('Calculations'!EM449="","",'Calculations'!HG449&amp;" ["&amp;'Calculations'!HE449&amp;"]")</x:f>
      </x:c>
      <x:c r="HL449" t="n">
        <x:f>IF('Calculations'!EM449="",0,IF(OR('Calculations'!II449&lt;&gt;"",COUNTIF('Calculations'!$HE$13:$HE$512,"="&amp;SUBSTITUTE(SUBSTITUTE(SUBSTITUTE('Calculations'!HE449,"~","~~"),"*","~*"),"?","~?"))&gt;1),1,0))</x:f>
        <x:v>0</x:v>
      </x:c>
      <x:c r="HM449" t="str">
        <x:f>IF('Calculations'!EM449="","",IF('Calculations'!HL449=1,"!UNRESOLVED",IF('Calculations'!IH449&lt;&gt;"",'Calculations'!IH449,IF('Calculations'!IG449&lt;&gt;"",'Calculations'!IG449,IF('Calculations'!IF449&lt;&gt;"",'Calculations'!IF449,IF('Calculations'!IE449&lt;&gt;"",'Calculations'!IE449,IF('Calculations'!ID449&lt;&gt;"",'Calculations'!ID449,IF('Calculations'!IC449&lt;&gt;"",'Calculations'!IC449,IF('Calculations'!IB449&lt;&gt;"",'Calculations'!IB449,IF('Calculations'!IA449&lt;&gt;"",'Calculations'!IA449,IF('Calculations'!HZ449&lt;&gt;"",'Calculations'!HZ449,IF('Calculations'!HY449&lt;&gt;"",'Calculations'!HY449,IF('Calculations'!HX449&lt;&gt;"",'Calculations'!HX449,IF('Calculations'!HW449&lt;&gt;"",'Calculations'!HW449,IF('Calculations'!HV449&lt;&gt;"",'Calculations'!HV449,IF('Calculations'!HU449&lt;&gt;"",'Calculations'!HU449,IF('Calculations'!HT449&lt;&gt;"",'Calculations'!HT449,IF('Calculations'!HS449&lt;&gt;"",'Calculations'!HS449,IF('Calculations'!HR449&lt;&gt;"",'Calculations'!HR449,IF('Calculations'!HQ449&lt;&gt;"",'Calculations'!HQ449,IF('Calculations'!HP449&lt;&gt;"",'Calculations'!HP449,IF('Calculations'!HO449&lt;&gt;"",'Calculations'!HO449,'Calculations'!HE449))))))))))))))))))))))</x:f>
      </x:c>
      <x:c r="HN449" t="str">
        <x:f>IF('Calculations'!EM449="","",IF(IFERROR(IF(INDEX(INDIRECT("'WCM Calibration Final'!$F$1:$F$2000"),'Calculations'!$EM449)="","",TRIM(INDEX(INDIRECT("'WCM Calibration Final'!$F$1:$F$2000"),'Calculations'!$EM449)&amp;"")),"")="","(Blank)",IFERROR(IF(INDEX(INDIRECT("'WCM Calibration Final'!$F$1:$F$2000"),'Calculations'!$EM449)="","",TRIM(INDEX(INDIRECT("'WCM Calibration Final'!$F$1:$F$2000"),'Calculations'!$EM449)&amp;"")),"")))</x:f>
      </x:c>
      <x:c r="HO449" t="str">
        <x:f>'Calculations'!HF449</x:f>
      </x:c>
      <x:c r="HP449" t="str">
        <x:f>IF('Calculations'!HO449="","",IF('Calculations'!HO449="!AMBIG","!AMBIG",IF(COUNTIF('Calculations'!$HE$13:$HE$512,"="&amp;SUBSTITUTE(SUBSTITUTE(SUBSTITUTE('Calculations'!HO449,"~","~~"),"*","~*"),"?","~?"))&gt;1,"!AMBIG",IFERROR(INDEX('Calculations'!$HF$13:$HF$512,MATCH('Calculations'!HO449,'Calculations'!$HE$13:$HE$512,0)),""))))</x:f>
      </x:c>
      <x:c r="HQ449" t="str">
        <x:f>IF('Calculations'!HP449="","",IF('Calculations'!HP449="!AMBIG","!AMBIG",IF(COUNTIF('Calculations'!$HE$13:$HE$512,"="&amp;SUBSTITUTE(SUBSTITUTE(SUBSTITUTE('Calculations'!HP449,"~","~~"),"*","~*"),"?","~?"))&gt;1,"!AMBIG",IFERROR(INDEX('Calculations'!$HF$13:$HF$512,MATCH('Calculations'!HP449,'Calculations'!$HE$13:$HE$512,0)),""))))</x:f>
      </x:c>
      <x:c r="HR449" t="str">
        <x:f>IF('Calculations'!HQ449="","",IF('Calculations'!HQ449="!AMBIG","!AMBIG",IF(COUNTIF('Calculations'!$HE$13:$HE$512,"="&amp;SUBSTITUTE(SUBSTITUTE(SUBSTITUTE('Calculations'!HQ449,"~","~~"),"*","~*"),"?","~?"))&gt;1,"!AMBIG",IFERROR(INDEX('Calculations'!$HF$13:$HF$512,MATCH('Calculations'!HQ449,'Calculations'!$HE$13:$HE$512,0)),""))))</x:f>
      </x:c>
      <x:c r="HS449" t="str">
        <x:f>IF('Calculations'!HR449="","",IF('Calculations'!HR449="!AMBIG","!AMBIG",IF(COUNTIF('Calculations'!$HE$13:$HE$512,"="&amp;SUBSTITUTE(SUBSTITUTE(SUBSTITUTE('Calculations'!HR449,"~","~~"),"*","~*"),"?","~?"))&gt;1,"!AMBIG",IFERROR(INDEX('Calculations'!$HF$13:$HF$512,MATCH('Calculations'!HR449,'Calculations'!$HE$13:$HE$512,0)),""))))</x:f>
      </x:c>
      <x:c r="HT449" t="str">
        <x:f>IF('Calculations'!HS449="","",IF('Calculations'!HS449="!AMBIG","!AMBIG",IF(COUNTIF('Calculations'!$HE$13:$HE$512,"="&amp;SUBSTITUTE(SUBSTITUTE(SUBSTITUTE('Calculations'!HS449,"~","~~"),"*","~*"),"?","~?"))&gt;1,"!AMBIG",IFERROR(INDEX('Calculations'!$HF$13:$HF$512,MATCH('Calculations'!HS449,'Calculations'!$HE$13:$HE$512,0)),""))))</x:f>
      </x:c>
      <x:c r="HU449" t="str">
        <x:f>IF('Calculations'!HT449="","",IF('Calculations'!HT449="!AMBIG","!AMBIG",IF(COUNTIF('Calculations'!$HE$13:$HE$512,"="&amp;SUBSTITUTE(SUBSTITUTE(SUBSTITUTE('Calculations'!HT449,"~","~~"),"*","~*"),"?","~?"))&gt;1,"!AMBIG",IFERROR(INDEX('Calculations'!$HF$13:$HF$512,MATCH('Calculations'!HT449,'Calculations'!$HE$13:$HE$512,0)),""))))</x:f>
      </x:c>
      <x:c r="HV449" t="str">
        <x:f>IF('Calculations'!HU449="","",IF('Calculations'!HU449="!AMBIG","!AMBIG",IF(COUNTIF('Calculations'!$HE$13:$HE$512,"="&amp;SUBSTITUTE(SUBSTITUTE(SUBSTITUTE('Calculations'!HU449,"~","~~"),"*","~*"),"?","~?"))&gt;1,"!AMBIG",IFERROR(INDEX('Calculations'!$HF$13:$HF$512,MATCH('Calculations'!HU449,'Calculations'!$HE$13:$HE$512,0)),""))))</x:f>
      </x:c>
      <x:c r="HW449" t="str">
        <x:f>IF('Calculations'!HV449="","",IF('Calculations'!HV449="!AMBIG","!AMBIG",IF(COUNTIF('Calculations'!$HE$13:$HE$512,"="&amp;SUBSTITUTE(SUBSTITUTE(SUBSTITUTE('Calculations'!HV449,"~","~~"),"*","~*"),"?","~?"))&gt;1,"!AMBIG",IFERROR(INDEX('Calculations'!$HF$13:$HF$512,MATCH('Calculations'!HV449,'Calculations'!$HE$13:$HE$512,0)),""))))</x:f>
      </x:c>
      <x:c r="HX449" t="str">
        <x:f>IF('Calculations'!HW449="","",IF('Calculations'!HW449="!AMBIG","!AMBIG",IF(COUNTIF('Calculations'!$HE$13:$HE$512,"="&amp;SUBSTITUTE(SUBSTITUTE(SUBSTITUTE('Calculations'!HW449,"~","~~"),"*","~*"),"?","~?"))&gt;1,"!AMBIG",IFERROR(INDEX('Calculations'!$HF$13:$HF$512,MATCH('Calculations'!HW449,'Calculations'!$HE$13:$HE$512,0)),""))))</x:f>
      </x:c>
      <x:c r="HY449" t="str">
        <x:f>IF('Calculations'!HX449="","",IF('Calculations'!HX449="!AMBIG","!AMBIG",IF(COUNTIF('Calculations'!$HE$13:$HE$512,"="&amp;SUBSTITUTE(SUBSTITUTE(SUBSTITUTE('Calculations'!HX449,"~","~~"),"*","~*"),"?","~?"))&gt;1,"!AMBIG",IFERROR(INDEX('Calculations'!$HF$13:$HF$512,MATCH('Calculations'!HX449,'Calculations'!$HE$13:$HE$512,0)),""))))</x:f>
      </x:c>
      <x:c r="HZ449" t="str">
        <x:f>IF('Calculations'!HY449="","",IF('Calculations'!HY449="!AMBIG","!AMBIG",IF(COUNTIF('Calculations'!$HE$13:$HE$512,"="&amp;SUBSTITUTE(SUBSTITUTE(SUBSTITUTE('Calculations'!HY449,"~","~~"),"*","~*"),"?","~?"))&gt;1,"!AMBIG",IFERROR(INDEX('Calculations'!$HF$13:$HF$512,MATCH('Calculations'!HY449,'Calculations'!$HE$13:$HE$512,0)),""))))</x:f>
      </x:c>
      <x:c r="IA449" t="str">
        <x:f>IF('Calculations'!HZ449="","",IF('Calculations'!HZ449="!AMBIG","!AMBIG",IF(COUNTIF('Calculations'!$HE$13:$HE$512,"="&amp;SUBSTITUTE(SUBSTITUTE(SUBSTITUTE('Calculations'!HZ449,"~","~~"),"*","~*"),"?","~?"))&gt;1,"!AMBIG",IFERROR(INDEX('Calculations'!$HF$13:$HF$512,MATCH('Calculations'!HZ449,'Calculations'!$HE$13:$HE$512,0)),""))))</x:f>
      </x:c>
      <x:c r="IB449" t="str">
        <x:f>IF('Calculations'!IA449="","",IF('Calculations'!IA449="!AMBIG","!AMBIG",IF(COUNTIF('Calculations'!$HE$13:$HE$512,"="&amp;SUBSTITUTE(SUBSTITUTE(SUBSTITUTE('Calculations'!IA449,"~","~~"),"*","~*"),"?","~?"))&gt;1,"!AMBIG",IFERROR(INDEX('Calculations'!$HF$13:$HF$512,MATCH('Calculations'!IA449,'Calculations'!$HE$13:$HE$512,0)),""))))</x:f>
      </x:c>
      <x:c r="IC449" t="str">
        <x:f>IF('Calculations'!IB449="","",IF('Calculations'!IB449="!AMBIG","!AMBIG",IF(COUNTIF('Calculations'!$HE$13:$HE$512,"="&amp;SUBSTITUTE(SUBSTITUTE(SUBSTITUTE('Calculations'!IB449,"~","~~"),"*","~*"),"?","~?"))&gt;1,"!AMBIG",IFERROR(INDEX('Calculations'!$HF$13:$HF$512,MATCH('Calculations'!IB449,'Calculations'!$HE$13:$HE$512,0)),""))))</x:f>
      </x:c>
      <x:c r="ID449" t="str">
        <x:f>IF('Calculations'!IC449="","",IF('Calculations'!IC449="!AMBIG","!AMBIG",IF(COUNTIF('Calculations'!$HE$13:$HE$512,"="&amp;SUBSTITUTE(SUBSTITUTE(SUBSTITUTE('Calculations'!IC449,"~","~~"),"*","~*"),"?","~?"))&gt;1,"!AMBIG",IFERROR(INDEX('Calculations'!$HF$13:$HF$512,MATCH('Calculations'!IC449,'Calculations'!$HE$13:$HE$512,0)),""))))</x:f>
      </x:c>
      <x:c r="IE449" t="str">
        <x:f>IF('Calculations'!ID449="","",IF('Calculations'!ID449="!AMBIG","!AMBIG",IF(COUNTIF('Calculations'!$HE$13:$HE$512,"="&amp;SUBSTITUTE(SUBSTITUTE(SUBSTITUTE('Calculations'!ID449,"~","~~"),"*","~*"),"?","~?"))&gt;1,"!AMBIG",IFERROR(INDEX('Calculations'!$HF$13:$HF$512,MATCH('Calculations'!ID449,'Calculations'!$HE$13:$HE$512,0)),""))))</x:f>
      </x:c>
      <x:c r="IF449" t="str">
        <x:f>IF('Calculations'!IE449="","",IF('Calculations'!IE449="!AMBIG","!AMBIG",IF(COUNTIF('Calculations'!$HE$13:$HE$512,"="&amp;SUBSTITUTE(SUBSTITUTE(SUBSTITUTE('Calculations'!IE449,"~","~~"),"*","~*"),"?","~?"))&gt;1,"!AMBIG",IFERROR(INDEX('Calculations'!$HF$13:$HF$512,MATCH('Calculations'!IE449,'Calculations'!$HE$13:$HE$512,0)),""))))</x:f>
      </x:c>
      <x:c r="IG449" t="str">
        <x:f>IF('Calculations'!IF449="","",IF('Calculations'!IF449="!AMBIG","!AMBIG",IF(COUNTIF('Calculations'!$HE$13:$HE$512,"="&amp;SUBSTITUTE(SUBSTITUTE(SUBSTITUTE('Calculations'!IF449,"~","~~"),"*","~*"),"?","~?"))&gt;1,"!AMBIG",IFERROR(INDEX('Calculations'!$HF$13:$HF$512,MATCH('Calculations'!IF449,'Calculations'!$HE$13:$HE$512,0)),""))))</x:f>
      </x:c>
      <x:c r="IH449" t="str">
        <x:f>IF('Calculations'!IG449="","",IF('Calculations'!IG449="!AMBIG","!AMBIG",IF(COUNTIF('Calculations'!$HE$13:$HE$512,"="&amp;SUBSTITUTE(SUBSTITUTE(SUBSTITUTE('Calculations'!IG449,"~","~~"),"*","~*"),"?","~?"))&gt;1,"!AMBIG",IFERROR(INDEX('Calculations'!$HF$13:$HF$512,MATCH('Calculations'!IG449,'Calculations'!$HE$13:$HE$512,0)),""))))</x:f>
      </x:c>
      <x:c r="II449" t="str">
        <x:f>IF('Calculations'!IH449="","",IF('Calculations'!IH449="!AMBIG","!AMBIG",IF(COUNTIF('Calculations'!$HE$13:$HE$512,"="&amp;SUBSTITUTE(SUBSTITUTE(SUBSTITUTE('Calculations'!IH449,"~","~~"),"*","~*"),"?","~?"))&gt;1,"!AMBIG",IFERROR(INDEX('Calculations'!$HF$13:$HF$512,MATCH('Calculations'!IH449,'Calculations'!$HE$13:$HE$512,0)),""))))</x:f>
      </x:c>
      <x:c r="IJ449" t="str">
        <x:f>IF('Calculations'!EM449="","",IF('Calculations'!$EF$2="All",'Calculations'!HM449,IF('Calculations'!HL449=1,"",IFERROR(IF(MATCH('Calculations'!$EF$2,'Calculations'!HO449:II449,0)=1,'Calculations'!HE449,INDEX('Calculations'!HO449:II449,1,MATCH('Calculations'!$EF$2,'Calculations'!HO449:II449,0)-1)),""))))</x:f>
      </x:c>
      <x:c r="IK449" t="n">
        <x:f>IF(AND('Calculations'!EM449&lt;&gt;"",'Calculations'!$EF$2&lt;&gt;"All",'Calculations'!HF449='Calculations'!$EF$2,'Calculations'!HL449=0,'Calculations'!JD449&gt;0),MAX('Calculations'!$IK$12:IK448)+1,0)</x:f>
        <x:v>0</x:v>
      </x:c>
      <x:c r="JA449" t="n">
        <x:f>IF(OR(IFERROR(INDIRECT("'WCM Calibration Final'!$A$449")&lt;&gt;"",FALSE),IFERROR(INDIRECT("'WCM Calibration Final'!$B$449")&lt;&gt;"",FALSE),IFERROR(INDIRECT("'WCM Calibration Final'!$C$449")&lt;&gt;"",FALSE)),449,0)</x:f>
        <x:v>0</x:v>
      </x:c>
      <x:c r="JB449" t="n">
        <x:f>'Calculations'!JB448+IF('Calculations'!JA449&gt;0,1,0)</x:f>
        <x:v>0</x:v>
      </x:c>
      <x:c r="JC449" t="n">
        <x:f>IF(OR('Calculations'!HF449="",'Calculations'!HF449="!AMBIG"),0,IF('Dashboard'!$B$7="All",1,COUNTIFS('Calculations'!$HO$13:$HO$512,"="&amp;SUBSTITUTE(SUBSTITUTE(SUBSTITUTE('Calculations'!HF449,"~","~~"),"*","~*"),"?","~?"),'Calculations'!$HN$13:$HN$512,"="&amp;SUBSTITUTE(SUBSTITUTE(SUBSTITUTE('Dashboard'!$B$7,"~","~~"),"*","~*"),"?","~?"))+COUNTIFS('Calculations'!$HP$13:$HP$512,"="&amp;SUBSTITUTE(SUBSTITUTE(SUBSTITUTE('Calculations'!HF449,"~","~~"),"*","~*"),"?","~?"),'Calculations'!$HN$13:$HN$512,"="&amp;SUBSTITUTE(SUBSTITUTE(SUBSTITUTE('Dashboard'!$B$7,"~","~~"),"*","~*"),"?","~?"))+COUNTIFS('Calculations'!$HQ$13:$HQ$512,"="&amp;SUBSTITUTE(SUBSTITUTE(SUBSTITUTE('Calculations'!HF449,"~","~~"),"*","~*"),"?","~?"),'Calculations'!$HN$13:$HN$512,"="&amp;SUBSTITUTE(SUBSTITUTE(SUBSTITUTE('Dashboard'!$B$7,"~","~~"),"*","~*"),"?","~?"))+COUNTIFS('Calculations'!$HR$13:$HR$512,"="&amp;SUBSTITUTE(SUBSTITUTE(SUBSTITUTE('Calculations'!HF449,"~","~~"),"*","~*"),"?","~?"),'Calculations'!$HN$13:$HN$512,"="&amp;SUBSTITUTE(SUBSTITUTE(SUBSTITUTE('Dashboard'!$B$7,"~","~~"),"*","~*"),"?","~?"))+COUNTIFS('Calculations'!$HS$13:$HS$512,"="&amp;SUBSTITUTE(SUBSTITUTE(SUBSTITUTE('Calculations'!HF449,"~","~~"),"*","~*"),"?","~?"),'Calculations'!$HN$13:$HN$512,"="&amp;SUBSTITUTE(SUBSTITUTE(SUBSTITUTE('Dashboard'!$B$7,"~","~~"),"*","~*"),"?","~?"))+COUNTIFS('Calculations'!$HT$13:$HT$512,"="&amp;SUBSTITUTE(SUBSTITUTE(SUBSTITUTE('Calculations'!HF449,"~","~~"),"*","~*"),"?","~?"),'Calculations'!$HN$13:$HN$512,"="&amp;SUBSTITUTE(SUBSTITUTE(SUBSTITUTE('Dashboard'!$B$7,"~","~~"),"*","~*"),"?","~?"))+COUNTIFS('Calculations'!$HU$13:$HU$512,"="&amp;SUBSTITUTE(SUBSTITUTE(SUBSTITUTE('Calculations'!HF449,"~","~~"),"*","~*"),"?","~?"),'Calculations'!$HN$13:$HN$512,"="&amp;SUBSTITUTE(SUBSTITUTE(SUBSTITUTE('Dashboard'!$B$7,"~","~~"),"*","~*"),"?","~?"))+COUNTIFS('Calculations'!$HV$13:$HV$512,"="&amp;SUBSTITUTE(SUBSTITUTE(SUBSTITUTE('Calculations'!HF449,"~","~~"),"*","~*"),"?","~?"),'Calculations'!$HN$13:$HN$512,"="&amp;SUBSTITUTE(SUBSTITUTE(SUBSTITUTE('Dashboard'!$B$7,"~","~~"),"*","~*"),"?","~?"))+COUNTIFS('Calculations'!$HW$13:$HW$512,"="&amp;SUBSTITUTE(SUBSTITUTE(SUBSTITUTE('Calculations'!HF449,"~","~~"),"*","~*"),"?","~?"),'Calculations'!$HN$13:$HN$512,"="&amp;SUBSTITUTE(SUBSTITUTE(SUBSTITUTE('Dashboard'!$B$7,"~","~~"),"*","~*"),"?","~?"))+COUNTIFS('Calculations'!$HX$13:$HX$512,"="&amp;SUBSTITUTE(SUBSTITUTE(SUBSTITUTE('Calculations'!HF449,"~","~~"),"*","~*"),"?","~?"),'Calculations'!$HN$13:$HN$512,"="&amp;SUBSTITUTE(SUBSTITUTE(SUBSTITUTE('Dashboard'!$B$7,"~","~~"),"*","~*"),"?","~?"))+COUNTIFS('Calculations'!$HY$13:$HY$512,"="&amp;SUBSTITUTE(SUBSTITUTE(SUBSTITUTE('Calculations'!HF449,"~","~~"),"*","~*"),"?","~?"),'Calculations'!$HN$13:$HN$512,"="&amp;SUBSTITUTE(SUBSTITUTE(SUBSTITUTE('Dashboard'!$B$7,"~","~~"),"*","~*"),"?","~?"))+COUNTIFS('Calculations'!$HZ$13:$HZ$512,"="&amp;SUBSTITUTE(SUBSTITUTE(SUBSTITUTE('Calculations'!HF449,"~","~~"),"*","~*"),"?","~?"),'Calculations'!$HN$13:$HN$512,"="&amp;SUBSTITUTE(SUBSTITUTE(SUBSTITUTE('Dashboard'!$B$7,"~","~~"),"*","~*"),"?","~?"))+COUNTIFS('Calculations'!$IA$13:$IA$512,"="&amp;SUBSTITUTE(SUBSTITUTE(SUBSTITUTE('Calculations'!HF449,"~","~~"),"*","~*"),"?","~?"),'Calculations'!$HN$13:$HN$512,"="&amp;SUBSTITUTE(SUBSTITUTE(SUBSTITUTE('Dashboard'!$B$7,"~","~~"),"*","~*"),"?","~?"))+COUNTIFS('Calculations'!$IB$13:$IB$512,"="&amp;SUBSTITUTE(SUBSTITUTE(SUBSTITUTE('Calculations'!HF449,"~","~~"),"*","~*"),"?","~?"),'Calculations'!$HN$13:$HN$512,"="&amp;SUBSTITUTE(SUBSTITUTE(SUBSTITUTE('Dashboard'!$B$7,"~","~~"),"*","~*"),"?","~?"))+COUNTIFS('Calculations'!$IC$13:$IC$512,"="&amp;SUBSTITUTE(SUBSTITUTE(SUBSTITUTE('Calculations'!HF449,"~","~~"),"*","~*"),"?","~?"),'Calculations'!$HN$13:$HN$512,"="&amp;SUBSTITUTE(SUBSTITUTE(SUBSTITUTE('Dashboard'!$B$7,"~","~~"),"*","~*"),"?","~?"))+COUNTIFS('Calculations'!$ID$13:$ID$512,"="&amp;SUBSTITUTE(SUBSTITUTE(SUBSTITUTE('Calculations'!HF449,"~","~~"),"*","~*"),"?","~?"),'Calculations'!$HN$13:$HN$512,"="&amp;SUBSTITUTE(SUBSTITUTE(SUBSTITUTE('Dashboard'!$B$7,"~","~~"),"*","~*"),"?","~?"))+COUNTIFS('Calculations'!$IE$13:$IE$512,"="&amp;SUBSTITUTE(SUBSTITUTE(SUBSTITUTE('Calculations'!HF449,"~","~~"),"*","~*"),"?","~?"),'Calculations'!$HN$13:$HN$512,"="&amp;SUBSTITUTE(SUBSTITUTE(SUBSTITUTE('Dashboard'!$B$7,"~","~~"),"*","~*"),"?","~?"))+COUNTIFS('Calculations'!$IF$13:$IF$512,"="&amp;SUBSTITUTE(SUBSTITUTE(SUBSTITUTE('Calculations'!HF449,"~","~~"),"*","~*"),"?","~?"),'Calculations'!$HN$13:$HN$512,"="&amp;SUBSTITUTE(SUBSTITUTE(SUBSTITUTE('Dashboard'!$B$7,"~","~~"),"*","~*"),"?","~?"))+COUNTIFS('Calculations'!$IG$13:$IG$512,"="&amp;SUBSTITUTE(SUBSTITUTE(SUBSTITUTE('Calculations'!HF449,"~","~~"),"*","~*"),"?","~?"),'Calculations'!$HN$13:$HN$512,"="&amp;SUBSTITUTE(SUBSTITUTE(SUBSTITUTE('Dashboard'!$B$7,"~","~~"),"*","~*"),"?","~?"))+COUNTIFS('Calculations'!$IH$13:$IH$512,"="&amp;SUBSTITUTE(SUBSTITUTE(SUBSTITUTE('Calculations'!HF449,"~","~~"),"*","~*"),"?","~?"),'Calculations'!$HN$13:$HN$512,"="&amp;SUBSTITUTE(SUBSTITUTE(SUBSTITUTE('Dashboard'!$B$7,"~","~~"),"*","~*"),"?","~?"))))</x:f>
        <x:v>0</x:v>
      </x:c>
      <x:c r="JD449" t="n">
        <x:f>IF('Calculations'!EM449="",0,IF('Dashboard'!$B$7="All",1,IF('Calculations'!HN449='Dashboard'!$B$7,1,0)+IFERROR(INDEX('Calculations'!$JC$13:$JC$512,MATCH('Calculations'!HE449,'Calculations'!$HF$13:$HF$512,0)),0)))</x:f>
        <x:v>0</x:v>
      </x:c>
      <x:c r="JE449" t="n">
        <x:f>IF(AND('Calculations'!EM449&lt;&gt;"",'Calculations'!$JJ$2&lt;&gt;"All",'Calculations'!$JJ$2&lt;&gt;"",'Calculations'!HF449='Calculations'!$JJ$2,'Calculations'!HL449=0,'Calculations'!JD449&gt;0),MAX('Calculations'!$JE$12:JE448)+1,0)</x:f>
        <x:v>0</x:v>
      </x:c>
      <x:c r="JF449" t="str">
        <x:f>IF('Calculations'!EM449="","",IFERROR(IF(INDEX(INDIRECT("'WCM Calibration Final'!$G$1:$G$2000"),'Calculations'!$EM449)="","",TRIM(INDEX(INDIRECT("'WCM Calibration Final'!$G$1:$G$2000"),'Calculations'!$EM449)&amp;"")),""))</x:f>
      </x:c>
      <x:c r="JQ449" t="n">
        <x:f>IF(OR('Calculations'!BM449=0,NOT('Calculations'!$AG$2),'Calculations'!$AG$8&gt;0),0,IF(OR('Dashboard'!$B$7="All",'Calculations'!HN449='Dashboard'!$B$7),IF('Calculations'!$JJ$2="All",1,IF(AND('Calculations'!HF449='Calculations'!$JJ$2,'Calculations'!HL449=0),1,0)),0))</x:f>
        <x:v>0</x:v>
      </x:c>
    </x:row>
    <x:row r="450">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t="n">
        <x:f>IF('Calculations'!$EM450="",0,IF(OR(IFERROR(INDEX(INDIRECT("'WCM Calibration Final'!$A$1:$A$2000"),'Calculations'!$EM450)&lt;&gt;"",FALSE),IFERROR(INDEX(INDIRECT("'WCM Calibration Final'!$B$1:$B$2000"),'Calculations'!$EM450)&lt;&gt;"",FALSE),IFERROR(INDEX(INDIRECT("'WCM Calibration Final'!$C$1:$C$2000"),'Calculations'!$EM450)&lt;&gt;"",FALSE)),1,0))</x:f>
        <x:v>0</x:v>
      </x:c>
      <x:c r="BN450" s="4" t="n">
        <x:f>IF(AND('Calculations'!BM450=1,'Calculations'!$AG$2,'Calculations'!$EN450=1),1,0)</x:f>
        <x:v>0</x:v>
      </x:c>
      <x:c r="BO450" s="4" t="str">
        <x:f>IF('Calculations'!BM450=0,"",IFERROR(IF(AND(VALUE(INDEX(INDIRECT("'WCM Calibration Final'!$K$1:$K$2000"),'Calculations'!$EM450))&gt;=1,VALUE(INDEX(INDIRECT("'WCM Calibration Final'!$K$1:$K$2000"),'Calculations'!$EM450))&lt;=4,MOD(VALUE(INDEX(INDIRECT("'WCM Calibration Final'!$K$1:$K$2000"),'Calculations'!$EM450)),1)=0),VALUE(INDEX(INDIRECT("'WCM Calibration Final'!$K$1:$K$2000"),'Calculations'!$EM450)),""),""))</x:f>
      </x:c>
      <x:c r="BP450" s="4" t="str">
        <x:f>IF('Calculations'!BM450=0,"",IFERROR(IF(AND(VALUE(INDEX(INDIRECT("'WCM Calibration Final'!$L$1:$L$2000"),'Calculations'!$EM450))&gt;=1,VALUE(INDEX(INDIRECT("'WCM Calibration Final'!$L$1:$L$2000"),'Calculations'!$EM450))&lt;=4,MOD(VALUE(INDEX(INDIRECT("'WCM Calibration Final'!$L$1:$L$2000"),'Calculations'!$EM450)),1)=0),VALUE(INDEX(INDIRECT("'WCM Calibration Final'!$L$1:$L$2000"),'Calculations'!$EM450)),""),""))</x:f>
      </x:c>
      <x:c r="BQ450" s="4"/>
      <x:c r="BR450" s="4"/>
      <x:c r="BS450" s="4"/>
      <x:c r="BT450" s="4" t="n">
        <x:f>IF(AND('Calculations'!BM450=1,ISNUMBER('Calculations'!BO450),ISNUMBER('Calculations'!BP450)),1,0)</x:f>
        <x:v>0</x:v>
      </x:c>
      <x:c r="BU450" s="4" t="str">
        <x:f>IF('Calculations'!BM450=0,"",'Calculations'!$EO450)</x:f>
      </x:c>
      <x:c r="BV450" s="4" t="str">
        <x:f>IF('Calculations'!BM450=0,"",IFERROR(IF(OR(INDEX(INDIRECT("'WCM Calibration Final'!$H$1:$H$2000"),'Calculations'!$EM450)="MANAGING DIRECTOR",INDEX(INDIRECT("'WCM Calibration Final'!$H$1:$H$2000"),'Calculations'!$EM450)="DIRECTOR",INDEX(INDIRECT("'WCM Calibration Final'!$H$1:$H$2000"),'Calculations'!$EM450)="SENIOR VICE PRESIDENT",INDEX(INDIRECT("'WCM Calibration Final'!$H$1:$H$2000"),'Calculations'!$EM450)="VICE PRESIDENT",INDEX(INDIRECT("'WCM Calibration Final'!$H$1:$H$2000"),'Calculations'!$EM450)="ASSISTANT VICE PRESIDENT",INDEX(INDIRECT("'WCM Calibration Final'!$H$1:$H$2000"),'Calculations'!$EM450)="OFFICER"),UPPER(INDEX(INDIRECT("'WCM Calibration Final'!$H$1:$H$2000"),'Calculations'!$EM450)),"Other"),"Other"))</x:f>
      </x:c>
      <x:c r="BW450" s="4"/>
      <x:c r="BX450" s="4"/>
      <x:c r="BY450" s="4" t="n">
        <x:f>IF(AND('Calculations'!BM450=1,'Calculations'!BU450&lt;&gt;"",COUNTIF('Calculations'!$BU$12:BU450,'Calculations'!BU450)=1),MAX('Calculations'!$BY$11:BY449)+1,0)</x:f>
        <x:v>0</x:v>
      </x:c>
      <x:c r="BZ450" s="4" t="str">
        <x:f>IF('Dashboard'!$E$67="What",'Calculations'!BO450,'Calculations'!BP450)</x:f>
      </x:c>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t="str">
        <x:f>IF(439&gt;MAX('Calculations'!$HI$13:$HI$512),"",INDEX('Calculations'!$HN$13:$HN$512,MATCH(439,'Calculations'!$HI$13:$HI$512,0)))</x:f>
      </x:c>
      <x:c r="DB450" s="4" t="str">
        <x:f>IF(439&gt;MAX('Calculations'!$HH$13:$HH$512),"",INDEX('Calculations'!$HJ$13:$HJ$512,MATCH(439,'Calculations'!$HH$13:$HH$512,0)))</x:f>
      </x:c>
      <x:c r="DC450" s="4" t="str">
        <x:f>IF(ROW()-11&gt;MAX('Calculations'!$BY$13:$BY$512),"",INDEX('Calculations'!$BU$13:$BU$512,MATCH(ROW()-11,'Calculations'!$BY$13:$BY$512,0)))</x:f>
      </x:c>
      <x:c r="DD450" s="4" t="str">
        <x:f>IF(439&gt;MAX('Calculations'!$IK$13:$IK$512),"",INDEX('Calculations'!$HK$13:$HK$512,MATCH(439,'Calculations'!$IK$13:$IK$512,0)))</x:f>
      </x:c>
      <x:c r="DE450" s="4" t="str">
        <x:f>'Calculations'!DC450</x:f>
      </x:c>
      <x:c r="DF450" s="4" t="str">
        <x:f>IF('Calculations'!DE450="","",COUNTIFS('Calculations'!$BN$13:$BN$512,1,'Calculations'!$BU$13:$BU$512,'Calculations'!DE450))</x:f>
      </x:c>
      <x:c r="DG450" s="4" t="str">
        <x:f>IF('Calculations'!DE450="","",COUNTIFS('Calculations'!$BN$13:$BN$512,1,'Calculations'!$BU$13:$BU$512,'Calculations'!DE450,'Calculations'!$BT$13:$BT$512,1))</x:f>
      </x:c>
      <x:c r="DH450" s="4" t="str">
        <x:f>IF('Calculations'!DE450="","",'Calculations'!DF450-'Calculations'!DG450)</x:f>
      </x:c>
      <x:c r="DI450" s="4" t="str">
        <x:f>IF(OR('Calculations'!DE450="",'Calculations'!DF450=0),"",'Calculations'!DG450/'Calculations'!DF450)</x:f>
      </x:c>
      <x:c r="DJ450" s="4" t="str">
        <x:f>IF('Calculations'!DE450="","",COUNTIFS('Calculations'!$BN$13:$BN$512,1,'Calculations'!$BU$13:$BU$512,'Calculations'!DE450,'Calculations'!$BT$13:$BT$512,1,'Calculations'!$EE$13:$EE$512,"High"))</x:f>
      </x:c>
      <x:c r="DK450" s="4" t="str">
        <x:f>IF('Calculations'!DE450="","",COUNTIFS('Calculations'!$BN$13:$BN$512,1,'Calculations'!$BU$13:$BU$512,'Calculations'!DE450,'Calculations'!$BT$13:$BT$512,1,'Calculations'!$EE$13:$EE$512,"Strong"))</x:f>
      </x:c>
      <x:c r="DL450" s="4" t="str">
        <x:f>IF('Calculations'!DE450="","",COUNTIFS('Calculations'!$BN$13:$BN$512,1,'Calculations'!$BU$13:$BU$512,'Calculations'!DE450,'Calculations'!$BT$13:$BT$512,1,'Calculations'!$EE$13:$EE$512,"Solid"))</x:f>
      </x:c>
      <x:c r="DM450" s="4" t="str">
        <x:f>IF('Calculations'!DE450="","",COUNTIFS('Calculations'!$BN$13:$BN$512,1,'Calculations'!$BU$13:$BU$512,'Calculations'!DE450,'Calculations'!$BT$13:$BT$512,1,'Calculations'!$EE$13:$EE$512,"Low"))</x:f>
      </x:c>
      <x:c r="DN450" s="4" t="str">
        <x:f>IF('Calculations'!DE450="","",COUNTIFS('Calculations'!$BN$13:$BN$512,1,'Calculations'!$BU$13:$BU$512,'Calculations'!DE450,'Calculations'!$EP$13:$EP$512,1))</x:f>
      </x:c>
      <x:c r="DO450" s="4" t="str">
        <x:f>IF(OR('Calculations'!DE450="",'Calculations'!DG450=0),"",('Calculations'!DJ450+'Calculations'!DK450)/'Calculations'!DG450)</x:f>
      </x:c>
      <x:c r="DP450" s="4" t="n">
        <x:f>IF(AND('Calculations'!DE450&lt;&gt;"",'Calculations'!DF450&gt;0),COUNTIF('Calculations'!$DF$12:DF450,"&gt;0"),0)</x:f>
        <x:v>0</x:v>
      </x:c>
      <x:c r="DQ450" s="4" t="str">
        <x:f>IF(439&gt;MAX('Calculations'!$HH$13:$HH$512),"",INDEX('Calculations'!$HF$13:$HF$512,MATCH(439,'Calculations'!$HH$13:$HH$512,0)))</x:f>
      </x:c>
      <x:c r="DR450" s="4" t="str">
        <x:f>IF(439&gt;MAX('Calculations'!$IK$13:$IK$512),"",INDEX('Calculations'!$HE$13:$HE$512,MATCH(439,'Calculations'!$IK$13:$IK$512,0)))</x:f>
      </x:c>
      <x:c r="DS450" s="4"/>
      <x:c r="DT450" s="4"/>
      <x:c r="DU450" s="4"/>
      <x:c r="DV450" s="4"/>
      <x:c r="DW450" s="4"/>
      <x:c r="DX450" s="4"/>
      <x:c r="DY450" s="4"/>
      <x:c r="DZ450" s="4"/>
      <x:c r="EA450" s="4"/>
      <x:c r="EB450" s="4"/>
      <x:c r="EC450" s="4"/>
      <x:c r="ED450" s="4"/>
      <x:c r="EE450" s="4" t="str">
        <x:f>IF('Calculations'!BT450=0,"Not Rated",IF(OR('Calculations'!BO450&gt;=4,'Calculations'!BP450&gt;=4),"Low",IF('Calculations'!BO450+'Calculations'!BP450&lt;=3,"High",IF('Calculations'!BO450+'Calculations'!BP450&lt;=4,"Strong","Solid"))))</x:f>
        <x:v>Not Rated</x:v>
      </x:c>
      <x:c r="EF450" s="4"/>
      <x:c r="EG450" s="4"/>
      <x:c r="EH450" s="4"/>
      <x:c r="EI450" s="4"/>
      <x:c r="EJ450" s="4"/>
      <x:c r="EK450" s="4"/>
      <x:c r="EL450" s="4"/>
      <x:c r="EM450" s="4" t="str">
        <x:f>IF(438&gt;'Calculations'!$JB$2000,"",INDEX('Calculations'!$JA$12:$JA$2000,MATCH(438,'Calculations'!$JB$12:$JB$2000,0)))</x:f>
      </x:c>
      <x:c r="EN450" s="4" t="n">
        <x:f>IF(OR('Calculations'!EM450="",'Calculations'!$AG$8&gt;0,AND('Calculations'!$EF$2&lt;&gt;"All",'Calculations'!HE450='Calculations'!$EF$2),AND('Calculations'!$EF$3&lt;&gt;"All",'Calculations'!HE450='Calculations'!$EF$3)),0,IF(OR('Dashboard'!$B$7="All",'Calculations'!HN450='Dashboard'!$B$7),IF('Calculations'!$EF$2="All",1,IF('Calculations'!HL450&gt;0,0,IF(COUNTIF('Calculations'!HO450:II450,"="&amp;SUBSTITUTE(SUBSTITUTE(SUBSTITUTE('Calculations'!$EF$2,"~","~~"),"*","~*"),"?","~?"))=0,0,IF('Calculations'!$EF$3="All",1,IF(COUNTIF('Calculations'!HO450:II450,"="&amp;SUBSTITUTE(SUBSTITUTE(SUBSTITUTE('Calculations'!$EF$3,"~","~~"),"*","~*"),"?","~?"))&gt;0,1,0))))),0))</x:f>
        <x:v>0</x:v>
      </x:c>
      <x:c r="EO450" s="4" t="str">
        <x:f>IF('Calculations'!IJ450="","",IF('Calculations'!IJ450="!UNRESOLVED","Unresolved hierarchy",IFERROR(INDEX('Calculations'!$HK$13:$HK$512,MATCH('Calculations'!IJ450,'Calculations'!$HE$13:$HE$512,0)),IFERROR(INDEX('Calculations'!$HJ$13:$HJ$512,MATCH('Calculations'!IJ450,'Calculations'!$HF$13:$HF$512,0)),'Calculations'!IJ450))))</x:f>
      </x:c>
      <x:c r="EP450" s="4" t="n">
        <x:f>IF(AND('Calculations'!EM450&lt;&gt;"",'Calculations'!HF450='Calculations'!IJ450),1,0)</x:f>
        <x:v>0</x:v>
      </x:c>
      <x:c r="EQ450" s="4"/>
      <x:c r="ER450" s="4"/>
      <x:c r="ES450" s="4"/>
      <x:c r="ET450" s="4"/>
      <x:c r="EU450" s="4"/>
      <x:c r="EV450" s="4"/>
      <x:c r="EW450" s="4"/>
      <x:c r="EX450" s="4"/>
      <x:c r="EY450" s="4"/>
      <x:c r="EZ450" s="4"/>
      <x:c r="FA450" s="4"/>
      <x:c r="FB450" s="4"/>
      <x:c r="FC450" s="4"/>
      <x:c r="FD450" s="4"/>
      <x:c r="FE450" s="4"/>
      <x:c r="FF450" s="4"/>
      <x:c r="FG450" s="4"/>
      <x:c r="FH450" s="4"/>
      <x:c r="FI450" s="4"/>
      <x:c r="FJ450" s="4"/>
      <x:c r="FK450" s="4"/>
      <x:c r="FL450" s="4"/>
      <x:c r="FM450" s="4"/>
      <x:c r="FN450" s="4"/>
      <x:c r="FO450" s="4"/>
      <x:c r="HE450" t="str">
        <x:f>IF('Calculations'!EM450="","",IF(IFERROR(IF(INDEX(INDIRECT("'WCM Calibration Final'!$A$1:$A$2000"),'Calculations'!$EM450)="","",TRIM(INDEX(INDIRECT("'WCM Calibration Final'!$A$1:$A$2000"),'Calculations'!$EM450)&amp;"")),"")&lt;&gt;"","G:"&amp;IFERROR(TEXT(1*INDEX(INDIRECT("'WCM Calibration Final'!$A$1:$A$2000"),'Calculations'!$EM450),"0"),UPPER(IFERROR(IF(INDEX(INDIRECT("'WCM Calibration Final'!$A$1:$A$2000"),'Calculations'!$EM450)="","",TRIM(INDEX(INDIRECT("'WCM Calibration Final'!$A$1:$A$2000"),'Calculations'!$EM450)&amp;"")),""))),IF(IFERROR(IF(INDEX(INDIRECT("'WCM Calibration Final'!$C$1:$C$2000"),'Calculations'!$EM450)="","",TRIM(INDEX(INDIRECT("'WCM Calibration Final'!$C$1:$C$2000"),'Calculations'!$EM450)&amp;"")),"")&lt;&gt;"","S:"&amp;UPPER(IFERROR(IF(INDEX(INDIRECT("'WCM Calibration Final'!$C$1:$C$2000"),'Calculations'!$EM450)="","",TRIM(INDEX(INDIRECT("'WCM Calibration Final'!$C$1:$C$2000"),'Calculations'!$EM450)&amp;"")),"")),"R:"&amp;'Calculations'!EM450)))</x:f>
      </x:c>
      <x:c r="HF450" t="str">
        <x:f>IF('Calculations'!EM450="","",IF(IFERROR(IF(INDEX(INDIRECT("'WCM Calibration Final'!$D$1:$D$2000"),'Calculations'!$EM450)="","",TRIM(INDEX(INDIRECT("'WCM Calibration Final'!$D$1:$D$2000"),'Calculations'!$EM450)&amp;"")),"")&lt;&gt;"","G:"&amp;IFERROR(TEXT(1*INDEX(INDIRECT("'WCM Calibration Final'!$D$1:$D$2000"),'Calculations'!$EM450),"0"),UPPER(IFERROR(IF(INDEX(INDIRECT("'WCM Calibration Final'!$D$1:$D$2000"),'Calculations'!$EM450)="","",TRIM(INDEX(INDIRECT("'WCM Calibration Final'!$D$1:$D$2000"),'Calculations'!$EM450)&amp;"")),""))),IF(IFERROR(IF(INDEX(INDIRECT("'WCM Calibration Final'!$E$1:$E$2000"),'Calculations'!$EM450)="","",TRIM(INDEX(INDIRECT("'WCM Calibration Final'!$E$1:$E$2000"),'Calculations'!$EM450)&amp;"")),"")="","",IF(COUNTIF('Calculations'!$HG$13:$HG$512,"="&amp;SUBSTITUTE(SUBSTITUTE(SUBSTITUTE(IFERROR(IF(INDEX(INDIRECT("'WCM Calibration Final'!$E$1:$E$2000"),'Calculations'!$EM450)="","",TRIM(INDEX(INDIRECT("'WCM Calibration Final'!$E$1:$E$2000"),'Calculations'!$EM450)&amp;"")),""),"~","~~"),"*","~*"),"?","~?"))=1,INDEX('Calculations'!$HE$13:$HE$512,MATCH(IFERROR(IF(INDEX(INDIRECT("'WCM Calibration Final'!$E$1:$E$2000"),'Calculations'!$EM450)="","",TRIM(INDEX(INDIRECT("'WCM Calibration Final'!$E$1:$E$2000"),'Calculations'!$EM450)&amp;"")),""),'Calculations'!$HG$13:$HG$512,0)),IF(COUNTIF('Calculations'!$HG$13:$HG$512,"="&amp;SUBSTITUTE(SUBSTITUTE(SUBSTITUTE(IFERROR(IF(INDEX(INDIRECT("'WCM Calibration Final'!$E$1:$E$2000"),'Calculations'!$EM450)="","",TRIM(INDEX(INDIRECT("'WCM Calibration Final'!$E$1:$E$2000"),'Calculations'!$EM450)&amp;"")),""),"~","~~"),"*","~*"),"?","~?"))&gt;1,"!AMBIG","X:"&amp;IFERROR(IF(INDEX(INDIRECT("'WCM Calibration Final'!$E$1:$E$2000"),'Calculations'!$EM450)="","",TRIM(INDEX(INDIRECT("'WCM Calibration Final'!$E$1:$E$2000"),'Calculations'!$EM450)&amp;"")),""))))))</x:f>
      </x:c>
      <x:c r="HG450" t="str">
        <x:f>IF('Calculations'!EM450="","",IFERROR(IF(INDEX(INDIRECT("'WCM Calibration Final'!$B$1:$B$2000"),'Calculations'!$EM450)="","",TRIM(INDEX(INDIRECT("'WCM Calibration Final'!$B$1:$B$2000"),'Calculations'!$EM450)&amp;"")),""))</x:f>
      </x:c>
      <x:c r="HH450" t="n">
        <x:f>IF(AND('Calculations'!JC450&gt;0,COUNTIF('Calculations'!$HF$12:HF450,"="&amp;SUBSTITUTE(SUBSTITUTE(SUBSTITUTE('Calculations'!HF450,"~","~~"),"*","~*"),"?","~?"))=1),MAX('Calculations'!$HH$12:HH449)+1,0)</x:f>
        <x:v>0</x:v>
      </x:c>
      <x:c r="HI450" t="n">
        <x:f>IF(AND('Calculations'!HN450&lt;&gt;"",COUNTIF('Calculations'!$HN$12:HN450,"="&amp;SUBSTITUTE(SUBSTITUTE(SUBSTITUTE('Calculations'!HN450,"~","~~"),"*","~*"),"?","~?"))=1),MAX('Calculations'!$HI$12:HI449)+1,0)</x:f>
        <x:v>0</x:v>
      </x:c>
      <x:c r="HJ450" t="str">
        <x:f>IF('Calculations'!HF450="","",IF(COUNTIF('Calculations'!$HE$13:$HE$512,"="&amp;SUBSTITUTE(SUBSTITUTE(SUBSTITUTE('Calculations'!HF450,"~","~~"),"*","~*"),"?","~?"))=1,INDEX('Calculations'!$HK$13:$HK$512,MATCH('Calculations'!HF450,'Calculations'!$HE$13:$HE$512,0)),IFERROR(IF(INDEX(INDIRECT("'WCM Calibration Final'!$E$1:$E$2000"),'Calculations'!$EM450)="","",TRIM(INDEX(INDIRECT("'WCM Calibration Final'!$E$1:$E$2000"),'Calculations'!$EM450)&amp;"")),"")&amp;" ["&amp;'Calculations'!HF450&amp;"]"))</x:f>
      </x:c>
      <x:c r="HK450" t="str">
        <x:f>IF('Calculations'!EM450="","",'Calculations'!HG450&amp;" ["&amp;'Calculations'!HE450&amp;"]")</x:f>
      </x:c>
      <x:c r="HL450" t="n">
        <x:f>IF('Calculations'!EM450="",0,IF(OR('Calculations'!II450&lt;&gt;"",COUNTIF('Calculations'!$HE$13:$HE$512,"="&amp;SUBSTITUTE(SUBSTITUTE(SUBSTITUTE('Calculations'!HE450,"~","~~"),"*","~*"),"?","~?"))&gt;1),1,0))</x:f>
        <x:v>0</x:v>
      </x:c>
      <x:c r="HM450" t="str">
        <x:f>IF('Calculations'!EM450="","",IF('Calculations'!HL450=1,"!UNRESOLVED",IF('Calculations'!IH450&lt;&gt;"",'Calculations'!IH450,IF('Calculations'!IG450&lt;&gt;"",'Calculations'!IG450,IF('Calculations'!IF450&lt;&gt;"",'Calculations'!IF450,IF('Calculations'!IE450&lt;&gt;"",'Calculations'!IE450,IF('Calculations'!ID450&lt;&gt;"",'Calculations'!ID450,IF('Calculations'!IC450&lt;&gt;"",'Calculations'!IC450,IF('Calculations'!IB450&lt;&gt;"",'Calculations'!IB450,IF('Calculations'!IA450&lt;&gt;"",'Calculations'!IA450,IF('Calculations'!HZ450&lt;&gt;"",'Calculations'!HZ450,IF('Calculations'!HY450&lt;&gt;"",'Calculations'!HY450,IF('Calculations'!HX450&lt;&gt;"",'Calculations'!HX450,IF('Calculations'!HW450&lt;&gt;"",'Calculations'!HW450,IF('Calculations'!HV450&lt;&gt;"",'Calculations'!HV450,IF('Calculations'!HU450&lt;&gt;"",'Calculations'!HU450,IF('Calculations'!HT450&lt;&gt;"",'Calculations'!HT450,IF('Calculations'!HS450&lt;&gt;"",'Calculations'!HS450,IF('Calculations'!HR450&lt;&gt;"",'Calculations'!HR450,IF('Calculations'!HQ450&lt;&gt;"",'Calculations'!HQ450,IF('Calculations'!HP450&lt;&gt;"",'Calculations'!HP450,IF('Calculations'!HO450&lt;&gt;"",'Calculations'!HO450,'Calculations'!HE450))))))))))))))))))))))</x:f>
      </x:c>
      <x:c r="HN450" t="str">
        <x:f>IF('Calculations'!EM450="","",IF(IFERROR(IF(INDEX(INDIRECT("'WCM Calibration Final'!$F$1:$F$2000"),'Calculations'!$EM450)="","",TRIM(INDEX(INDIRECT("'WCM Calibration Final'!$F$1:$F$2000"),'Calculations'!$EM450)&amp;"")),"")="","(Blank)",IFERROR(IF(INDEX(INDIRECT("'WCM Calibration Final'!$F$1:$F$2000"),'Calculations'!$EM450)="","",TRIM(INDEX(INDIRECT("'WCM Calibration Final'!$F$1:$F$2000"),'Calculations'!$EM450)&amp;"")),"")))</x:f>
      </x:c>
      <x:c r="HO450" t="str">
        <x:f>'Calculations'!HF450</x:f>
      </x:c>
      <x:c r="HP450" t="str">
        <x:f>IF('Calculations'!HO450="","",IF('Calculations'!HO450="!AMBIG","!AMBIG",IF(COUNTIF('Calculations'!$HE$13:$HE$512,"="&amp;SUBSTITUTE(SUBSTITUTE(SUBSTITUTE('Calculations'!HO450,"~","~~"),"*","~*"),"?","~?"))&gt;1,"!AMBIG",IFERROR(INDEX('Calculations'!$HF$13:$HF$512,MATCH('Calculations'!HO450,'Calculations'!$HE$13:$HE$512,0)),""))))</x:f>
      </x:c>
      <x:c r="HQ450" t="str">
        <x:f>IF('Calculations'!HP450="","",IF('Calculations'!HP450="!AMBIG","!AMBIG",IF(COUNTIF('Calculations'!$HE$13:$HE$512,"="&amp;SUBSTITUTE(SUBSTITUTE(SUBSTITUTE('Calculations'!HP450,"~","~~"),"*","~*"),"?","~?"))&gt;1,"!AMBIG",IFERROR(INDEX('Calculations'!$HF$13:$HF$512,MATCH('Calculations'!HP450,'Calculations'!$HE$13:$HE$512,0)),""))))</x:f>
      </x:c>
      <x:c r="HR450" t="str">
        <x:f>IF('Calculations'!HQ450="","",IF('Calculations'!HQ450="!AMBIG","!AMBIG",IF(COUNTIF('Calculations'!$HE$13:$HE$512,"="&amp;SUBSTITUTE(SUBSTITUTE(SUBSTITUTE('Calculations'!HQ450,"~","~~"),"*","~*"),"?","~?"))&gt;1,"!AMBIG",IFERROR(INDEX('Calculations'!$HF$13:$HF$512,MATCH('Calculations'!HQ450,'Calculations'!$HE$13:$HE$512,0)),""))))</x:f>
      </x:c>
      <x:c r="HS450" t="str">
        <x:f>IF('Calculations'!HR450="","",IF('Calculations'!HR450="!AMBIG","!AMBIG",IF(COUNTIF('Calculations'!$HE$13:$HE$512,"="&amp;SUBSTITUTE(SUBSTITUTE(SUBSTITUTE('Calculations'!HR450,"~","~~"),"*","~*"),"?","~?"))&gt;1,"!AMBIG",IFERROR(INDEX('Calculations'!$HF$13:$HF$512,MATCH('Calculations'!HR450,'Calculations'!$HE$13:$HE$512,0)),""))))</x:f>
      </x:c>
      <x:c r="HT450" t="str">
        <x:f>IF('Calculations'!HS450="","",IF('Calculations'!HS450="!AMBIG","!AMBIG",IF(COUNTIF('Calculations'!$HE$13:$HE$512,"="&amp;SUBSTITUTE(SUBSTITUTE(SUBSTITUTE('Calculations'!HS450,"~","~~"),"*","~*"),"?","~?"))&gt;1,"!AMBIG",IFERROR(INDEX('Calculations'!$HF$13:$HF$512,MATCH('Calculations'!HS450,'Calculations'!$HE$13:$HE$512,0)),""))))</x:f>
      </x:c>
      <x:c r="HU450" t="str">
        <x:f>IF('Calculations'!HT450="","",IF('Calculations'!HT450="!AMBIG","!AMBIG",IF(COUNTIF('Calculations'!$HE$13:$HE$512,"="&amp;SUBSTITUTE(SUBSTITUTE(SUBSTITUTE('Calculations'!HT450,"~","~~"),"*","~*"),"?","~?"))&gt;1,"!AMBIG",IFERROR(INDEX('Calculations'!$HF$13:$HF$512,MATCH('Calculations'!HT450,'Calculations'!$HE$13:$HE$512,0)),""))))</x:f>
      </x:c>
      <x:c r="HV450" t="str">
        <x:f>IF('Calculations'!HU450="","",IF('Calculations'!HU450="!AMBIG","!AMBIG",IF(COUNTIF('Calculations'!$HE$13:$HE$512,"="&amp;SUBSTITUTE(SUBSTITUTE(SUBSTITUTE('Calculations'!HU450,"~","~~"),"*","~*"),"?","~?"))&gt;1,"!AMBIG",IFERROR(INDEX('Calculations'!$HF$13:$HF$512,MATCH('Calculations'!HU450,'Calculations'!$HE$13:$HE$512,0)),""))))</x:f>
      </x:c>
      <x:c r="HW450" t="str">
        <x:f>IF('Calculations'!HV450="","",IF('Calculations'!HV450="!AMBIG","!AMBIG",IF(COUNTIF('Calculations'!$HE$13:$HE$512,"="&amp;SUBSTITUTE(SUBSTITUTE(SUBSTITUTE('Calculations'!HV450,"~","~~"),"*","~*"),"?","~?"))&gt;1,"!AMBIG",IFERROR(INDEX('Calculations'!$HF$13:$HF$512,MATCH('Calculations'!HV450,'Calculations'!$HE$13:$HE$512,0)),""))))</x:f>
      </x:c>
      <x:c r="HX450" t="str">
        <x:f>IF('Calculations'!HW450="","",IF('Calculations'!HW450="!AMBIG","!AMBIG",IF(COUNTIF('Calculations'!$HE$13:$HE$512,"="&amp;SUBSTITUTE(SUBSTITUTE(SUBSTITUTE('Calculations'!HW450,"~","~~"),"*","~*"),"?","~?"))&gt;1,"!AMBIG",IFERROR(INDEX('Calculations'!$HF$13:$HF$512,MATCH('Calculations'!HW450,'Calculations'!$HE$13:$HE$512,0)),""))))</x:f>
      </x:c>
      <x:c r="HY450" t="str">
        <x:f>IF('Calculations'!HX450="","",IF('Calculations'!HX450="!AMBIG","!AMBIG",IF(COUNTIF('Calculations'!$HE$13:$HE$512,"="&amp;SUBSTITUTE(SUBSTITUTE(SUBSTITUTE('Calculations'!HX450,"~","~~"),"*","~*"),"?","~?"))&gt;1,"!AMBIG",IFERROR(INDEX('Calculations'!$HF$13:$HF$512,MATCH('Calculations'!HX450,'Calculations'!$HE$13:$HE$512,0)),""))))</x:f>
      </x:c>
      <x:c r="HZ450" t="str">
        <x:f>IF('Calculations'!HY450="","",IF('Calculations'!HY450="!AMBIG","!AMBIG",IF(COUNTIF('Calculations'!$HE$13:$HE$512,"="&amp;SUBSTITUTE(SUBSTITUTE(SUBSTITUTE('Calculations'!HY450,"~","~~"),"*","~*"),"?","~?"))&gt;1,"!AMBIG",IFERROR(INDEX('Calculations'!$HF$13:$HF$512,MATCH('Calculations'!HY450,'Calculations'!$HE$13:$HE$512,0)),""))))</x:f>
      </x:c>
      <x:c r="IA450" t="str">
        <x:f>IF('Calculations'!HZ450="","",IF('Calculations'!HZ450="!AMBIG","!AMBIG",IF(COUNTIF('Calculations'!$HE$13:$HE$512,"="&amp;SUBSTITUTE(SUBSTITUTE(SUBSTITUTE('Calculations'!HZ450,"~","~~"),"*","~*"),"?","~?"))&gt;1,"!AMBIG",IFERROR(INDEX('Calculations'!$HF$13:$HF$512,MATCH('Calculations'!HZ450,'Calculations'!$HE$13:$HE$512,0)),""))))</x:f>
      </x:c>
      <x:c r="IB450" t="str">
        <x:f>IF('Calculations'!IA450="","",IF('Calculations'!IA450="!AMBIG","!AMBIG",IF(COUNTIF('Calculations'!$HE$13:$HE$512,"="&amp;SUBSTITUTE(SUBSTITUTE(SUBSTITUTE('Calculations'!IA450,"~","~~"),"*","~*"),"?","~?"))&gt;1,"!AMBIG",IFERROR(INDEX('Calculations'!$HF$13:$HF$512,MATCH('Calculations'!IA450,'Calculations'!$HE$13:$HE$512,0)),""))))</x:f>
      </x:c>
      <x:c r="IC450" t="str">
        <x:f>IF('Calculations'!IB450="","",IF('Calculations'!IB450="!AMBIG","!AMBIG",IF(COUNTIF('Calculations'!$HE$13:$HE$512,"="&amp;SUBSTITUTE(SUBSTITUTE(SUBSTITUTE('Calculations'!IB450,"~","~~"),"*","~*"),"?","~?"))&gt;1,"!AMBIG",IFERROR(INDEX('Calculations'!$HF$13:$HF$512,MATCH('Calculations'!IB450,'Calculations'!$HE$13:$HE$512,0)),""))))</x:f>
      </x:c>
      <x:c r="ID450" t="str">
        <x:f>IF('Calculations'!IC450="","",IF('Calculations'!IC450="!AMBIG","!AMBIG",IF(COUNTIF('Calculations'!$HE$13:$HE$512,"="&amp;SUBSTITUTE(SUBSTITUTE(SUBSTITUTE('Calculations'!IC450,"~","~~"),"*","~*"),"?","~?"))&gt;1,"!AMBIG",IFERROR(INDEX('Calculations'!$HF$13:$HF$512,MATCH('Calculations'!IC450,'Calculations'!$HE$13:$HE$512,0)),""))))</x:f>
      </x:c>
      <x:c r="IE450" t="str">
        <x:f>IF('Calculations'!ID450="","",IF('Calculations'!ID450="!AMBIG","!AMBIG",IF(COUNTIF('Calculations'!$HE$13:$HE$512,"="&amp;SUBSTITUTE(SUBSTITUTE(SUBSTITUTE('Calculations'!ID450,"~","~~"),"*","~*"),"?","~?"))&gt;1,"!AMBIG",IFERROR(INDEX('Calculations'!$HF$13:$HF$512,MATCH('Calculations'!ID450,'Calculations'!$HE$13:$HE$512,0)),""))))</x:f>
      </x:c>
      <x:c r="IF450" t="str">
        <x:f>IF('Calculations'!IE450="","",IF('Calculations'!IE450="!AMBIG","!AMBIG",IF(COUNTIF('Calculations'!$HE$13:$HE$512,"="&amp;SUBSTITUTE(SUBSTITUTE(SUBSTITUTE('Calculations'!IE450,"~","~~"),"*","~*"),"?","~?"))&gt;1,"!AMBIG",IFERROR(INDEX('Calculations'!$HF$13:$HF$512,MATCH('Calculations'!IE450,'Calculations'!$HE$13:$HE$512,0)),""))))</x:f>
      </x:c>
      <x:c r="IG450" t="str">
        <x:f>IF('Calculations'!IF450="","",IF('Calculations'!IF450="!AMBIG","!AMBIG",IF(COUNTIF('Calculations'!$HE$13:$HE$512,"="&amp;SUBSTITUTE(SUBSTITUTE(SUBSTITUTE('Calculations'!IF450,"~","~~"),"*","~*"),"?","~?"))&gt;1,"!AMBIG",IFERROR(INDEX('Calculations'!$HF$13:$HF$512,MATCH('Calculations'!IF450,'Calculations'!$HE$13:$HE$512,0)),""))))</x:f>
      </x:c>
      <x:c r="IH450" t="str">
        <x:f>IF('Calculations'!IG450="","",IF('Calculations'!IG450="!AMBIG","!AMBIG",IF(COUNTIF('Calculations'!$HE$13:$HE$512,"="&amp;SUBSTITUTE(SUBSTITUTE(SUBSTITUTE('Calculations'!IG450,"~","~~"),"*","~*"),"?","~?"))&gt;1,"!AMBIG",IFERROR(INDEX('Calculations'!$HF$13:$HF$512,MATCH('Calculations'!IG450,'Calculations'!$HE$13:$HE$512,0)),""))))</x:f>
      </x:c>
      <x:c r="II450" t="str">
        <x:f>IF('Calculations'!IH450="","",IF('Calculations'!IH450="!AMBIG","!AMBIG",IF(COUNTIF('Calculations'!$HE$13:$HE$512,"="&amp;SUBSTITUTE(SUBSTITUTE(SUBSTITUTE('Calculations'!IH450,"~","~~"),"*","~*"),"?","~?"))&gt;1,"!AMBIG",IFERROR(INDEX('Calculations'!$HF$13:$HF$512,MATCH('Calculations'!IH450,'Calculations'!$HE$13:$HE$512,0)),""))))</x:f>
      </x:c>
      <x:c r="IJ450" t="str">
        <x:f>IF('Calculations'!EM450="","",IF('Calculations'!$EF$2="All",'Calculations'!HM450,IF('Calculations'!HL450=1,"",IFERROR(IF(MATCH('Calculations'!$EF$2,'Calculations'!HO450:II450,0)=1,'Calculations'!HE450,INDEX('Calculations'!HO450:II450,1,MATCH('Calculations'!$EF$2,'Calculations'!HO450:II450,0)-1)),""))))</x:f>
      </x:c>
      <x:c r="IK450" t="n">
        <x:f>IF(AND('Calculations'!EM450&lt;&gt;"",'Calculations'!$EF$2&lt;&gt;"All",'Calculations'!HF450='Calculations'!$EF$2,'Calculations'!HL450=0,'Calculations'!JD450&gt;0),MAX('Calculations'!$IK$12:IK449)+1,0)</x:f>
        <x:v>0</x:v>
      </x:c>
      <x:c r="JA450" t="n">
        <x:f>IF(OR(IFERROR(INDIRECT("'WCM Calibration Final'!$A$450")&lt;&gt;"",FALSE),IFERROR(INDIRECT("'WCM Calibration Final'!$B$450")&lt;&gt;"",FALSE),IFERROR(INDIRECT("'WCM Calibration Final'!$C$450")&lt;&gt;"",FALSE)),450,0)</x:f>
        <x:v>0</x:v>
      </x:c>
      <x:c r="JB450" t="n">
        <x:f>'Calculations'!JB449+IF('Calculations'!JA450&gt;0,1,0)</x:f>
        <x:v>0</x:v>
      </x:c>
      <x:c r="JC450" t="n">
        <x:f>IF(OR('Calculations'!HF450="",'Calculations'!HF450="!AMBIG"),0,IF('Dashboard'!$B$7="All",1,COUNTIFS('Calculations'!$HO$13:$HO$512,"="&amp;SUBSTITUTE(SUBSTITUTE(SUBSTITUTE('Calculations'!HF450,"~","~~"),"*","~*"),"?","~?"),'Calculations'!$HN$13:$HN$512,"="&amp;SUBSTITUTE(SUBSTITUTE(SUBSTITUTE('Dashboard'!$B$7,"~","~~"),"*","~*"),"?","~?"))+COUNTIFS('Calculations'!$HP$13:$HP$512,"="&amp;SUBSTITUTE(SUBSTITUTE(SUBSTITUTE('Calculations'!HF450,"~","~~"),"*","~*"),"?","~?"),'Calculations'!$HN$13:$HN$512,"="&amp;SUBSTITUTE(SUBSTITUTE(SUBSTITUTE('Dashboard'!$B$7,"~","~~"),"*","~*"),"?","~?"))+COUNTIFS('Calculations'!$HQ$13:$HQ$512,"="&amp;SUBSTITUTE(SUBSTITUTE(SUBSTITUTE('Calculations'!HF450,"~","~~"),"*","~*"),"?","~?"),'Calculations'!$HN$13:$HN$512,"="&amp;SUBSTITUTE(SUBSTITUTE(SUBSTITUTE('Dashboard'!$B$7,"~","~~"),"*","~*"),"?","~?"))+COUNTIFS('Calculations'!$HR$13:$HR$512,"="&amp;SUBSTITUTE(SUBSTITUTE(SUBSTITUTE('Calculations'!HF450,"~","~~"),"*","~*"),"?","~?"),'Calculations'!$HN$13:$HN$512,"="&amp;SUBSTITUTE(SUBSTITUTE(SUBSTITUTE('Dashboard'!$B$7,"~","~~"),"*","~*"),"?","~?"))+COUNTIFS('Calculations'!$HS$13:$HS$512,"="&amp;SUBSTITUTE(SUBSTITUTE(SUBSTITUTE('Calculations'!HF450,"~","~~"),"*","~*"),"?","~?"),'Calculations'!$HN$13:$HN$512,"="&amp;SUBSTITUTE(SUBSTITUTE(SUBSTITUTE('Dashboard'!$B$7,"~","~~"),"*","~*"),"?","~?"))+COUNTIFS('Calculations'!$HT$13:$HT$512,"="&amp;SUBSTITUTE(SUBSTITUTE(SUBSTITUTE('Calculations'!HF450,"~","~~"),"*","~*"),"?","~?"),'Calculations'!$HN$13:$HN$512,"="&amp;SUBSTITUTE(SUBSTITUTE(SUBSTITUTE('Dashboard'!$B$7,"~","~~"),"*","~*"),"?","~?"))+COUNTIFS('Calculations'!$HU$13:$HU$512,"="&amp;SUBSTITUTE(SUBSTITUTE(SUBSTITUTE('Calculations'!HF450,"~","~~"),"*","~*"),"?","~?"),'Calculations'!$HN$13:$HN$512,"="&amp;SUBSTITUTE(SUBSTITUTE(SUBSTITUTE('Dashboard'!$B$7,"~","~~"),"*","~*"),"?","~?"))+COUNTIFS('Calculations'!$HV$13:$HV$512,"="&amp;SUBSTITUTE(SUBSTITUTE(SUBSTITUTE('Calculations'!HF450,"~","~~"),"*","~*"),"?","~?"),'Calculations'!$HN$13:$HN$512,"="&amp;SUBSTITUTE(SUBSTITUTE(SUBSTITUTE('Dashboard'!$B$7,"~","~~"),"*","~*"),"?","~?"))+COUNTIFS('Calculations'!$HW$13:$HW$512,"="&amp;SUBSTITUTE(SUBSTITUTE(SUBSTITUTE('Calculations'!HF450,"~","~~"),"*","~*"),"?","~?"),'Calculations'!$HN$13:$HN$512,"="&amp;SUBSTITUTE(SUBSTITUTE(SUBSTITUTE('Dashboard'!$B$7,"~","~~"),"*","~*"),"?","~?"))+COUNTIFS('Calculations'!$HX$13:$HX$512,"="&amp;SUBSTITUTE(SUBSTITUTE(SUBSTITUTE('Calculations'!HF450,"~","~~"),"*","~*"),"?","~?"),'Calculations'!$HN$13:$HN$512,"="&amp;SUBSTITUTE(SUBSTITUTE(SUBSTITUTE('Dashboard'!$B$7,"~","~~"),"*","~*"),"?","~?"))+COUNTIFS('Calculations'!$HY$13:$HY$512,"="&amp;SUBSTITUTE(SUBSTITUTE(SUBSTITUTE('Calculations'!HF450,"~","~~"),"*","~*"),"?","~?"),'Calculations'!$HN$13:$HN$512,"="&amp;SUBSTITUTE(SUBSTITUTE(SUBSTITUTE('Dashboard'!$B$7,"~","~~"),"*","~*"),"?","~?"))+COUNTIFS('Calculations'!$HZ$13:$HZ$512,"="&amp;SUBSTITUTE(SUBSTITUTE(SUBSTITUTE('Calculations'!HF450,"~","~~"),"*","~*"),"?","~?"),'Calculations'!$HN$13:$HN$512,"="&amp;SUBSTITUTE(SUBSTITUTE(SUBSTITUTE('Dashboard'!$B$7,"~","~~"),"*","~*"),"?","~?"))+COUNTIFS('Calculations'!$IA$13:$IA$512,"="&amp;SUBSTITUTE(SUBSTITUTE(SUBSTITUTE('Calculations'!HF450,"~","~~"),"*","~*"),"?","~?"),'Calculations'!$HN$13:$HN$512,"="&amp;SUBSTITUTE(SUBSTITUTE(SUBSTITUTE('Dashboard'!$B$7,"~","~~"),"*","~*"),"?","~?"))+COUNTIFS('Calculations'!$IB$13:$IB$512,"="&amp;SUBSTITUTE(SUBSTITUTE(SUBSTITUTE('Calculations'!HF450,"~","~~"),"*","~*"),"?","~?"),'Calculations'!$HN$13:$HN$512,"="&amp;SUBSTITUTE(SUBSTITUTE(SUBSTITUTE('Dashboard'!$B$7,"~","~~"),"*","~*"),"?","~?"))+COUNTIFS('Calculations'!$IC$13:$IC$512,"="&amp;SUBSTITUTE(SUBSTITUTE(SUBSTITUTE('Calculations'!HF450,"~","~~"),"*","~*"),"?","~?"),'Calculations'!$HN$13:$HN$512,"="&amp;SUBSTITUTE(SUBSTITUTE(SUBSTITUTE('Dashboard'!$B$7,"~","~~"),"*","~*"),"?","~?"))+COUNTIFS('Calculations'!$ID$13:$ID$512,"="&amp;SUBSTITUTE(SUBSTITUTE(SUBSTITUTE('Calculations'!HF450,"~","~~"),"*","~*"),"?","~?"),'Calculations'!$HN$13:$HN$512,"="&amp;SUBSTITUTE(SUBSTITUTE(SUBSTITUTE('Dashboard'!$B$7,"~","~~"),"*","~*"),"?","~?"))+COUNTIFS('Calculations'!$IE$13:$IE$512,"="&amp;SUBSTITUTE(SUBSTITUTE(SUBSTITUTE('Calculations'!HF450,"~","~~"),"*","~*"),"?","~?"),'Calculations'!$HN$13:$HN$512,"="&amp;SUBSTITUTE(SUBSTITUTE(SUBSTITUTE('Dashboard'!$B$7,"~","~~"),"*","~*"),"?","~?"))+COUNTIFS('Calculations'!$IF$13:$IF$512,"="&amp;SUBSTITUTE(SUBSTITUTE(SUBSTITUTE('Calculations'!HF450,"~","~~"),"*","~*"),"?","~?"),'Calculations'!$HN$13:$HN$512,"="&amp;SUBSTITUTE(SUBSTITUTE(SUBSTITUTE('Dashboard'!$B$7,"~","~~"),"*","~*"),"?","~?"))+COUNTIFS('Calculations'!$IG$13:$IG$512,"="&amp;SUBSTITUTE(SUBSTITUTE(SUBSTITUTE('Calculations'!HF450,"~","~~"),"*","~*"),"?","~?"),'Calculations'!$HN$13:$HN$512,"="&amp;SUBSTITUTE(SUBSTITUTE(SUBSTITUTE('Dashboard'!$B$7,"~","~~"),"*","~*"),"?","~?"))+COUNTIFS('Calculations'!$IH$13:$IH$512,"="&amp;SUBSTITUTE(SUBSTITUTE(SUBSTITUTE('Calculations'!HF450,"~","~~"),"*","~*"),"?","~?"),'Calculations'!$HN$13:$HN$512,"="&amp;SUBSTITUTE(SUBSTITUTE(SUBSTITUTE('Dashboard'!$B$7,"~","~~"),"*","~*"),"?","~?"))))</x:f>
        <x:v>0</x:v>
      </x:c>
      <x:c r="JD450" t="n">
        <x:f>IF('Calculations'!EM450="",0,IF('Dashboard'!$B$7="All",1,IF('Calculations'!HN450='Dashboard'!$B$7,1,0)+IFERROR(INDEX('Calculations'!$JC$13:$JC$512,MATCH('Calculations'!HE450,'Calculations'!$HF$13:$HF$512,0)),0)))</x:f>
        <x:v>0</x:v>
      </x:c>
      <x:c r="JE450" t="n">
        <x:f>IF(AND('Calculations'!EM450&lt;&gt;"",'Calculations'!$JJ$2&lt;&gt;"All",'Calculations'!$JJ$2&lt;&gt;"",'Calculations'!HF450='Calculations'!$JJ$2,'Calculations'!HL450=0,'Calculations'!JD450&gt;0),MAX('Calculations'!$JE$12:JE449)+1,0)</x:f>
        <x:v>0</x:v>
      </x:c>
      <x:c r="JF450" t="str">
        <x:f>IF('Calculations'!EM450="","",IFERROR(IF(INDEX(INDIRECT("'WCM Calibration Final'!$G$1:$G$2000"),'Calculations'!$EM450)="","",TRIM(INDEX(INDIRECT("'WCM Calibration Final'!$G$1:$G$2000"),'Calculations'!$EM450)&amp;"")),""))</x:f>
      </x:c>
      <x:c r="JQ450" t="n">
        <x:f>IF(OR('Calculations'!BM450=0,NOT('Calculations'!$AG$2),'Calculations'!$AG$8&gt;0),0,IF(OR('Dashboard'!$B$7="All",'Calculations'!HN450='Dashboard'!$B$7),IF('Calculations'!$JJ$2="All",1,IF(AND('Calculations'!HF450='Calculations'!$JJ$2,'Calculations'!HL450=0),1,0)),0))</x:f>
        <x:v>0</x:v>
      </x:c>
    </x:row>
    <x:row r="451">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t="n">
        <x:f>IF('Calculations'!$EM451="",0,IF(OR(IFERROR(INDEX(INDIRECT("'WCM Calibration Final'!$A$1:$A$2000"),'Calculations'!$EM451)&lt;&gt;"",FALSE),IFERROR(INDEX(INDIRECT("'WCM Calibration Final'!$B$1:$B$2000"),'Calculations'!$EM451)&lt;&gt;"",FALSE),IFERROR(INDEX(INDIRECT("'WCM Calibration Final'!$C$1:$C$2000"),'Calculations'!$EM451)&lt;&gt;"",FALSE)),1,0))</x:f>
        <x:v>0</x:v>
      </x:c>
      <x:c r="BN451" s="4" t="n">
        <x:f>IF(AND('Calculations'!BM451=1,'Calculations'!$AG$2,'Calculations'!$EN451=1),1,0)</x:f>
        <x:v>0</x:v>
      </x:c>
      <x:c r="BO451" s="4" t="str">
        <x:f>IF('Calculations'!BM451=0,"",IFERROR(IF(AND(VALUE(INDEX(INDIRECT("'WCM Calibration Final'!$K$1:$K$2000"),'Calculations'!$EM451))&gt;=1,VALUE(INDEX(INDIRECT("'WCM Calibration Final'!$K$1:$K$2000"),'Calculations'!$EM451))&lt;=4,MOD(VALUE(INDEX(INDIRECT("'WCM Calibration Final'!$K$1:$K$2000"),'Calculations'!$EM451)),1)=0),VALUE(INDEX(INDIRECT("'WCM Calibration Final'!$K$1:$K$2000"),'Calculations'!$EM451)),""),""))</x:f>
      </x:c>
      <x:c r="BP451" s="4" t="str">
        <x:f>IF('Calculations'!BM451=0,"",IFERROR(IF(AND(VALUE(INDEX(INDIRECT("'WCM Calibration Final'!$L$1:$L$2000"),'Calculations'!$EM451))&gt;=1,VALUE(INDEX(INDIRECT("'WCM Calibration Final'!$L$1:$L$2000"),'Calculations'!$EM451))&lt;=4,MOD(VALUE(INDEX(INDIRECT("'WCM Calibration Final'!$L$1:$L$2000"),'Calculations'!$EM451)),1)=0),VALUE(INDEX(INDIRECT("'WCM Calibration Final'!$L$1:$L$2000"),'Calculations'!$EM451)),""),""))</x:f>
      </x:c>
      <x:c r="BQ451" s="4"/>
      <x:c r="BR451" s="4"/>
      <x:c r="BS451" s="4"/>
      <x:c r="BT451" s="4" t="n">
        <x:f>IF(AND('Calculations'!BM451=1,ISNUMBER('Calculations'!BO451),ISNUMBER('Calculations'!BP451)),1,0)</x:f>
        <x:v>0</x:v>
      </x:c>
      <x:c r="BU451" s="4" t="str">
        <x:f>IF('Calculations'!BM451=0,"",'Calculations'!$EO451)</x:f>
      </x:c>
      <x:c r="BV451" s="4" t="str">
        <x:f>IF('Calculations'!BM451=0,"",IFERROR(IF(OR(INDEX(INDIRECT("'WCM Calibration Final'!$H$1:$H$2000"),'Calculations'!$EM451)="MANAGING DIRECTOR",INDEX(INDIRECT("'WCM Calibration Final'!$H$1:$H$2000"),'Calculations'!$EM451)="DIRECTOR",INDEX(INDIRECT("'WCM Calibration Final'!$H$1:$H$2000"),'Calculations'!$EM451)="SENIOR VICE PRESIDENT",INDEX(INDIRECT("'WCM Calibration Final'!$H$1:$H$2000"),'Calculations'!$EM451)="VICE PRESIDENT",INDEX(INDIRECT("'WCM Calibration Final'!$H$1:$H$2000"),'Calculations'!$EM451)="ASSISTANT VICE PRESIDENT",INDEX(INDIRECT("'WCM Calibration Final'!$H$1:$H$2000"),'Calculations'!$EM451)="OFFICER"),UPPER(INDEX(INDIRECT("'WCM Calibration Final'!$H$1:$H$2000"),'Calculations'!$EM451)),"Other"),"Other"))</x:f>
      </x:c>
      <x:c r="BW451" s="4"/>
      <x:c r="BX451" s="4"/>
      <x:c r="BY451" s="4" t="n">
        <x:f>IF(AND('Calculations'!BM451=1,'Calculations'!BU451&lt;&gt;"",COUNTIF('Calculations'!$BU$12:BU451,'Calculations'!BU451)=1),MAX('Calculations'!$BY$11:BY450)+1,0)</x:f>
        <x:v>0</x:v>
      </x:c>
      <x:c r="BZ451" s="4" t="str">
        <x:f>IF('Dashboard'!$E$67="What",'Calculations'!BO451,'Calculations'!BP451)</x:f>
      </x:c>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t="str">
        <x:f>IF(440&gt;MAX('Calculations'!$HI$13:$HI$512),"",INDEX('Calculations'!$HN$13:$HN$512,MATCH(440,'Calculations'!$HI$13:$HI$512,0)))</x:f>
      </x:c>
      <x:c r="DB451" s="4" t="str">
        <x:f>IF(440&gt;MAX('Calculations'!$HH$13:$HH$512),"",INDEX('Calculations'!$HJ$13:$HJ$512,MATCH(440,'Calculations'!$HH$13:$HH$512,0)))</x:f>
      </x:c>
      <x:c r="DC451" s="4" t="str">
        <x:f>IF(ROW()-11&gt;MAX('Calculations'!$BY$13:$BY$512),"",INDEX('Calculations'!$BU$13:$BU$512,MATCH(ROW()-11,'Calculations'!$BY$13:$BY$512,0)))</x:f>
      </x:c>
      <x:c r="DD451" s="4" t="str">
        <x:f>IF(440&gt;MAX('Calculations'!$IK$13:$IK$512),"",INDEX('Calculations'!$HK$13:$HK$512,MATCH(440,'Calculations'!$IK$13:$IK$512,0)))</x:f>
      </x:c>
      <x:c r="DE451" s="4" t="str">
        <x:f>'Calculations'!DC451</x:f>
      </x:c>
      <x:c r="DF451" s="4" t="str">
        <x:f>IF('Calculations'!DE451="","",COUNTIFS('Calculations'!$BN$13:$BN$512,1,'Calculations'!$BU$13:$BU$512,'Calculations'!DE451))</x:f>
      </x:c>
      <x:c r="DG451" s="4" t="str">
        <x:f>IF('Calculations'!DE451="","",COUNTIFS('Calculations'!$BN$13:$BN$512,1,'Calculations'!$BU$13:$BU$512,'Calculations'!DE451,'Calculations'!$BT$13:$BT$512,1))</x:f>
      </x:c>
      <x:c r="DH451" s="4" t="str">
        <x:f>IF('Calculations'!DE451="","",'Calculations'!DF451-'Calculations'!DG451)</x:f>
      </x:c>
      <x:c r="DI451" s="4" t="str">
        <x:f>IF(OR('Calculations'!DE451="",'Calculations'!DF451=0),"",'Calculations'!DG451/'Calculations'!DF451)</x:f>
      </x:c>
      <x:c r="DJ451" s="4" t="str">
        <x:f>IF('Calculations'!DE451="","",COUNTIFS('Calculations'!$BN$13:$BN$512,1,'Calculations'!$BU$13:$BU$512,'Calculations'!DE451,'Calculations'!$BT$13:$BT$512,1,'Calculations'!$EE$13:$EE$512,"High"))</x:f>
      </x:c>
      <x:c r="DK451" s="4" t="str">
        <x:f>IF('Calculations'!DE451="","",COUNTIFS('Calculations'!$BN$13:$BN$512,1,'Calculations'!$BU$13:$BU$512,'Calculations'!DE451,'Calculations'!$BT$13:$BT$512,1,'Calculations'!$EE$13:$EE$512,"Strong"))</x:f>
      </x:c>
      <x:c r="DL451" s="4" t="str">
        <x:f>IF('Calculations'!DE451="","",COUNTIFS('Calculations'!$BN$13:$BN$512,1,'Calculations'!$BU$13:$BU$512,'Calculations'!DE451,'Calculations'!$BT$13:$BT$512,1,'Calculations'!$EE$13:$EE$512,"Solid"))</x:f>
      </x:c>
      <x:c r="DM451" s="4" t="str">
        <x:f>IF('Calculations'!DE451="","",COUNTIFS('Calculations'!$BN$13:$BN$512,1,'Calculations'!$BU$13:$BU$512,'Calculations'!DE451,'Calculations'!$BT$13:$BT$512,1,'Calculations'!$EE$13:$EE$512,"Low"))</x:f>
      </x:c>
      <x:c r="DN451" s="4" t="str">
        <x:f>IF('Calculations'!DE451="","",COUNTIFS('Calculations'!$BN$13:$BN$512,1,'Calculations'!$BU$13:$BU$512,'Calculations'!DE451,'Calculations'!$EP$13:$EP$512,1))</x:f>
      </x:c>
      <x:c r="DO451" s="4" t="str">
        <x:f>IF(OR('Calculations'!DE451="",'Calculations'!DG451=0),"",('Calculations'!DJ451+'Calculations'!DK451)/'Calculations'!DG451)</x:f>
      </x:c>
      <x:c r="DP451" s="4" t="n">
        <x:f>IF(AND('Calculations'!DE451&lt;&gt;"",'Calculations'!DF451&gt;0),COUNTIF('Calculations'!$DF$12:DF451,"&gt;0"),0)</x:f>
        <x:v>0</x:v>
      </x:c>
      <x:c r="DQ451" s="4" t="str">
        <x:f>IF(440&gt;MAX('Calculations'!$HH$13:$HH$512),"",INDEX('Calculations'!$HF$13:$HF$512,MATCH(440,'Calculations'!$HH$13:$HH$512,0)))</x:f>
      </x:c>
      <x:c r="DR451" s="4" t="str">
        <x:f>IF(440&gt;MAX('Calculations'!$IK$13:$IK$512),"",INDEX('Calculations'!$HE$13:$HE$512,MATCH(440,'Calculations'!$IK$13:$IK$512,0)))</x:f>
      </x:c>
      <x:c r="DS451" s="4"/>
      <x:c r="DT451" s="4"/>
      <x:c r="DU451" s="4"/>
      <x:c r="DV451" s="4"/>
      <x:c r="DW451" s="4"/>
      <x:c r="DX451" s="4"/>
      <x:c r="DY451" s="4"/>
      <x:c r="DZ451" s="4"/>
      <x:c r="EA451" s="4"/>
      <x:c r="EB451" s="4"/>
      <x:c r="EC451" s="4"/>
      <x:c r="ED451" s="4"/>
      <x:c r="EE451" s="4" t="str">
        <x:f>IF('Calculations'!BT451=0,"Not Rated",IF(OR('Calculations'!BO451&gt;=4,'Calculations'!BP451&gt;=4),"Low",IF('Calculations'!BO451+'Calculations'!BP451&lt;=3,"High",IF('Calculations'!BO451+'Calculations'!BP451&lt;=4,"Strong","Solid"))))</x:f>
        <x:v>Not Rated</x:v>
      </x:c>
      <x:c r="EF451" s="4"/>
      <x:c r="EG451" s="4"/>
      <x:c r="EH451" s="4"/>
      <x:c r="EI451" s="4"/>
      <x:c r="EJ451" s="4"/>
      <x:c r="EK451" s="4"/>
      <x:c r="EL451" s="4"/>
      <x:c r="EM451" s="4" t="str">
        <x:f>IF(439&gt;'Calculations'!$JB$2000,"",INDEX('Calculations'!$JA$12:$JA$2000,MATCH(439,'Calculations'!$JB$12:$JB$2000,0)))</x:f>
      </x:c>
      <x:c r="EN451" s="4" t="n">
        <x:f>IF(OR('Calculations'!EM451="",'Calculations'!$AG$8&gt;0,AND('Calculations'!$EF$2&lt;&gt;"All",'Calculations'!HE451='Calculations'!$EF$2),AND('Calculations'!$EF$3&lt;&gt;"All",'Calculations'!HE451='Calculations'!$EF$3)),0,IF(OR('Dashboard'!$B$7="All",'Calculations'!HN451='Dashboard'!$B$7),IF('Calculations'!$EF$2="All",1,IF('Calculations'!HL451&gt;0,0,IF(COUNTIF('Calculations'!HO451:II451,"="&amp;SUBSTITUTE(SUBSTITUTE(SUBSTITUTE('Calculations'!$EF$2,"~","~~"),"*","~*"),"?","~?"))=0,0,IF('Calculations'!$EF$3="All",1,IF(COUNTIF('Calculations'!HO451:II451,"="&amp;SUBSTITUTE(SUBSTITUTE(SUBSTITUTE('Calculations'!$EF$3,"~","~~"),"*","~*"),"?","~?"))&gt;0,1,0))))),0))</x:f>
        <x:v>0</x:v>
      </x:c>
      <x:c r="EO451" s="4" t="str">
        <x:f>IF('Calculations'!IJ451="","",IF('Calculations'!IJ451="!UNRESOLVED","Unresolved hierarchy",IFERROR(INDEX('Calculations'!$HK$13:$HK$512,MATCH('Calculations'!IJ451,'Calculations'!$HE$13:$HE$512,0)),IFERROR(INDEX('Calculations'!$HJ$13:$HJ$512,MATCH('Calculations'!IJ451,'Calculations'!$HF$13:$HF$512,0)),'Calculations'!IJ451))))</x:f>
      </x:c>
      <x:c r="EP451" s="4" t="n">
        <x:f>IF(AND('Calculations'!EM451&lt;&gt;"",'Calculations'!HF451='Calculations'!IJ451),1,0)</x:f>
        <x:v>0</x:v>
      </x:c>
      <x:c r="EQ451" s="4"/>
      <x:c r="ER451" s="4"/>
      <x:c r="ES451" s="4"/>
      <x:c r="ET451" s="4"/>
      <x:c r="EU451" s="4"/>
      <x:c r="EV451" s="4"/>
      <x:c r="EW451" s="4"/>
      <x:c r="EX451" s="4"/>
      <x:c r="EY451" s="4"/>
      <x:c r="EZ451" s="4"/>
      <x:c r="FA451" s="4"/>
      <x:c r="FB451" s="4"/>
      <x:c r="FC451" s="4"/>
      <x:c r="FD451" s="4"/>
      <x:c r="FE451" s="4"/>
      <x:c r="FF451" s="4"/>
      <x:c r="FG451" s="4"/>
      <x:c r="FH451" s="4"/>
      <x:c r="FI451" s="4"/>
      <x:c r="FJ451" s="4"/>
      <x:c r="FK451" s="4"/>
      <x:c r="FL451" s="4"/>
      <x:c r="FM451" s="4"/>
      <x:c r="FN451" s="4"/>
      <x:c r="FO451" s="4"/>
      <x:c r="HE451" t="str">
        <x:f>IF('Calculations'!EM451="","",IF(IFERROR(IF(INDEX(INDIRECT("'WCM Calibration Final'!$A$1:$A$2000"),'Calculations'!$EM451)="","",TRIM(INDEX(INDIRECT("'WCM Calibration Final'!$A$1:$A$2000"),'Calculations'!$EM451)&amp;"")),"")&lt;&gt;"","G:"&amp;IFERROR(TEXT(1*INDEX(INDIRECT("'WCM Calibration Final'!$A$1:$A$2000"),'Calculations'!$EM451),"0"),UPPER(IFERROR(IF(INDEX(INDIRECT("'WCM Calibration Final'!$A$1:$A$2000"),'Calculations'!$EM451)="","",TRIM(INDEX(INDIRECT("'WCM Calibration Final'!$A$1:$A$2000"),'Calculations'!$EM451)&amp;"")),""))),IF(IFERROR(IF(INDEX(INDIRECT("'WCM Calibration Final'!$C$1:$C$2000"),'Calculations'!$EM451)="","",TRIM(INDEX(INDIRECT("'WCM Calibration Final'!$C$1:$C$2000"),'Calculations'!$EM451)&amp;"")),"")&lt;&gt;"","S:"&amp;UPPER(IFERROR(IF(INDEX(INDIRECT("'WCM Calibration Final'!$C$1:$C$2000"),'Calculations'!$EM451)="","",TRIM(INDEX(INDIRECT("'WCM Calibration Final'!$C$1:$C$2000"),'Calculations'!$EM451)&amp;"")),"")),"R:"&amp;'Calculations'!EM451)))</x:f>
      </x:c>
      <x:c r="HF451" t="str">
        <x:f>IF('Calculations'!EM451="","",IF(IFERROR(IF(INDEX(INDIRECT("'WCM Calibration Final'!$D$1:$D$2000"),'Calculations'!$EM451)="","",TRIM(INDEX(INDIRECT("'WCM Calibration Final'!$D$1:$D$2000"),'Calculations'!$EM451)&amp;"")),"")&lt;&gt;"","G:"&amp;IFERROR(TEXT(1*INDEX(INDIRECT("'WCM Calibration Final'!$D$1:$D$2000"),'Calculations'!$EM451),"0"),UPPER(IFERROR(IF(INDEX(INDIRECT("'WCM Calibration Final'!$D$1:$D$2000"),'Calculations'!$EM451)="","",TRIM(INDEX(INDIRECT("'WCM Calibration Final'!$D$1:$D$2000"),'Calculations'!$EM451)&amp;"")),""))),IF(IFERROR(IF(INDEX(INDIRECT("'WCM Calibration Final'!$E$1:$E$2000"),'Calculations'!$EM451)="","",TRIM(INDEX(INDIRECT("'WCM Calibration Final'!$E$1:$E$2000"),'Calculations'!$EM451)&amp;"")),"")="","",IF(COUNTIF('Calculations'!$HG$13:$HG$512,"="&amp;SUBSTITUTE(SUBSTITUTE(SUBSTITUTE(IFERROR(IF(INDEX(INDIRECT("'WCM Calibration Final'!$E$1:$E$2000"),'Calculations'!$EM451)="","",TRIM(INDEX(INDIRECT("'WCM Calibration Final'!$E$1:$E$2000"),'Calculations'!$EM451)&amp;"")),""),"~","~~"),"*","~*"),"?","~?"))=1,INDEX('Calculations'!$HE$13:$HE$512,MATCH(IFERROR(IF(INDEX(INDIRECT("'WCM Calibration Final'!$E$1:$E$2000"),'Calculations'!$EM451)="","",TRIM(INDEX(INDIRECT("'WCM Calibration Final'!$E$1:$E$2000"),'Calculations'!$EM451)&amp;"")),""),'Calculations'!$HG$13:$HG$512,0)),IF(COUNTIF('Calculations'!$HG$13:$HG$512,"="&amp;SUBSTITUTE(SUBSTITUTE(SUBSTITUTE(IFERROR(IF(INDEX(INDIRECT("'WCM Calibration Final'!$E$1:$E$2000"),'Calculations'!$EM451)="","",TRIM(INDEX(INDIRECT("'WCM Calibration Final'!$E$1:$E$2000"),'Calculations'!$EM451)&amp;"")),""),"~","~~"),"*","~*"),"?","~?"))&gt;1,"!AMBIG","X:"&amp;IFERROR(IF(INDEX(INDIRECT("'WCM Calibration Final'!$E$1:$E$2000"),'Calculations'!$EM451)="","",TRIM(INDEX(INDIRECT("'WCM Calibration Final'!$E$1:$E$2000"),'Calculations'!$EM451)&amp;"")),""))))))</x:f>
      </x:c>
      <x:c r="HG451" t="str">
        <x:f>IF('Calculations'!EM451="","",IFERROR(IF(INDEX(INDIRECT("'WCM Calibration Final'!$B$1:$B$2000"),'Calculations'!$EM451)="","",TRIM(INDEX(INDIRECT("'WCM Calibration Final'!$B$1:$B$2000"),'Calculations'!$EM451)&amp;"")),""))</x:f>
      </x:c>
      <x:c r="HH451" t="n">
        <x:f>IF(AND('Calculations'!JC451&gt;0,COUNTIF('Calculations'!$HF$12:HF451,"="&amp;SUBSTITUTE(SUBSTITUTE(SUBSTITUTE('Calculations'!HF451,"~","~~"),"*","~*"),"?","~?"))=1),MAX('Calculations'!$HH$12:HH450)+1,0)</x:f>
        <x:v>0</x:v>
      </x:c>
      <x:c r="HI451" t="n">
        <x:f>IF(AND('Calculations'!HN451&lt;&gt;"",COUNTIF('Calculations'!$HN$12:HN451,"="&amp;SUBSTITUTE(SUBSTITUTE(SUBSTITUTE('Calculations'!HN451,"~","~~"),"*","~*"),"?","~?"))=1),MAX('Calculations'!$HI$12:HI450)+1,0)</x:f>
        <x:v>0</x:v>
      </x:c>
      <x:c r="HJ451" t="str">
        <x:f>IF('Calculations'!HF451="","",IF(COUNTIF('Calculations'!$HE$13:$HE$512,"="&amp;SUBSTITUTE(SUBSTITUTE(SUBSTITUTE('Calculations'!HF451,"~","~~"),"*","~*"),"?","~?"))=1,INDEX('Calculations'!$HK$13:$HK$512,MATCH('Calculations'!HF451,'Calculations'!$HE$13:$HE$512,0)),IFERROR(IF(INDEX(INDIRECT("'WCM Calibration Final'!$E$1:$E$2000"),'Calculations'!$EM451)="","",TRIM(INDEX(INDIRECT("'WCM Calibration Final'!$E$1:$E$2000"),'Calculations'!$EM451)&amp;"")),"")&amp;" ["&amp;'Calculations'!HF451&amp;"]"))</x:f>
      </x:c>
      <x:c r="HK451" t="str">
        <x:f>IF('Calculations'!EM451="","",'Calculations'!HG451&amp;" ["&amp;'Calculations'!HE451&amp;"]")</x:f>
      </x:c>
      <x:c r="HL451" t="n">
        <x:f>IF('Calculations'!EM451="",0,IF(OR('Calculations'!II451&lt;&gt;"",COUNTIF('Calculations'!$HE$13:$HE$512,"="&amp;SUBSTITUTE(SUBSTITUTE(SUBSTITUTE('Calculations'!HE451,"~","~~"),"*","~*"),"?","~?"))&gt;1),1,0))</x:f>
        <x:v>0</x:v>
      </x:c>
      <x:c r="HM451" t="str">
        <x:f>IF('Calculations'!EM451="","",IF('Calculations'!HL451=1,"!UNRESOLVED",IF('Calculations'!IH451&lt;&gt;"",'Calculations'!IH451,IF('Calculations'!IG451&lt;&gt;"",'Calculations'!IG451,IF('Calculations'!IF451&lt;&gt;"",'Calculations'!IF451,IF('Calculations'!IE451&lt;&gt;"",'Calculations'!IE451,IF('Calculations'!ID451&lt;&gt;"",'Calculations'!ID451,IF('Calculations'!IC451&lt;&gt;"",'Calculations'!IC451,IF('Calculations'!IB451&lt;&gt;"",'Calculations'!IB451,IF('Calculations'!IA451&lt;&gt;"",'Calculations'!IA451,IF('Calculations'!HZ451&lt;&gt;"",'Calculations'!HZ451,IF('Calculations'!HY451&lt;&gt;"",'Calculations'!HY451,IF('Calculations'!HX451&lt;&gt;"",'Calculations'!HX451,IF('Calculations'!HW451&lt;&gt;"",'Calculations'!HW451,IF('Calculations'!HV451&lt;&gt;"",'Calculations'!HV451,IF('Calculations'!HU451&lt;&gt;"",'Calculations'!HU451,IF('Calculations'!HT451&lt;&gt;"",'Calculations'!HT451,IF('Calculations'!HS451&lt;&gt;"",'Calculations'!HS451,IF('Calculations'!HR451&lt;&gt;"",'Calculations'!HR451,IF('Calculations'!HQ451&lt;&gt;"",'Calculations'!HQ451,IF('Calculations'!HP451&lt;&gt;"",'Calculations'!HP451,IF('Calculations'!HO451&lt;&gt;"",'Calculations'!HO451,'Calculations'!HE451))))))))))))))))))))))</x:f>
      </x:c>
      <x:c r="HN451" t="str">
        <x:f>IF('Calculations'!EM451="","",IF(IFERROR(IF(INDEX(INDIRECT("'WCM Calibration Final'!$F$1:$F$2000"),'Calculations'!$EM451)="","",TRIM(INDEX(INDIRECT("'WCM Calibration Final'!$F$1:$F$2000"),'Calculations'!$EM451)&amp;"")),"")="","(Blank)",IFERROR(IF(INDEX(INDIRECT("'WCM Calibration Final'!$F$1:$F$2000"),'Calculations'!$EM451)="","",TRIM(INDEX(INDIRECT("'WCM Calibration Final'!$F$1:$F$2000"),'Calculations'!$EM451)&amp;"")),"")))</x:f>
      </x:c>
      <x:c r="HO451" t="str">
        <x:f>'Calculations'!HF451</x:f>
      </x:c>
      <x:c r="HP451" t="str">
        <x:f>IF('Calculations'!HO451="","",IF('Calculations'!HO451="!AMBIG","!AMBIG",IF(COUNTIF('Calculations'!$HE$13:$HE$512,"="&amp;SUBSTITUTE(SUBSTITUTE(SUBSTITUTE('Calculations'!HO451,"~","~~"),"*","~*"),"?","~?"))&gt;1,"!AMBIG",IFERROR(INDEX('Calculations'!$HF$13:$HF$512,MATCH('Calculations'!HO451,'Calculations'!$HE$13:$HE$512,0)),""))))</x:f>
      </x:c>
      <x:c r="HQ451" t="str">
        <x:f>IF('Calculations'!HP451="","",IF('Calculations'!HP451="!AMBIG","!AMBIG",IF(COUNTIF('Calculations'!$HE$13:$HE$512,"="&amp;SUBSTITUTE(SUBSTITUTE(SUBSTITUTE('Calculations'!HP451,"~","~~"),"*","~*"),"?","~?"))&gt;1,"!AMBIG",IFERROR(INDEX('Calculations'!$HF$13:$HF$512,MATCH('Calculations'!HP451,'Calculations'!$HE$13:$HE$512,0)),""))))</x:f>
      </x:c>
      <x:c r="HR451" t="str">
        <x:f>IF('Calculations'!HQ451="","",IF('Calculations'!HQ451="!AMBIG","!AMBIG",IF(COUNTIF('Calculations'!$HE$13:$HE$512,"="&amp;SUBSTITUTE(SUBSTITUTE(SUBSTITUTE('Calculations'!HQ451,"~","~~"),"*","~*"),"?","~?"))&gt;1,"!AMBIG",IFERROR(INDEX('Calculations'!$HF$13:$HF$512,MATCH('Calculations'!HQ451,'Calculations'!$HE$13:$HE$512,0)),""))))</x:f>
      </x:c>
      <x:c r="HS451" t="str">
        <x:f>IF('Calculations'!HR451="","",IF('Calculations'!HR451="!AMBIG","!AMBIG",IF(COUNTIF('Calculations'!$HE$13:$HE$512,"="&amp;SUBSTITUTE(SUBSTITUTE(SUBSTITUTE('Calculations'!HR451,"~","~~"),"*","~*"),"?","~?"))&gt;1,"!AMBIG",IFERROR(INDEX('Calculations'!$HF$13:$HF$512,MATCH('Calculations'!HR451,'Calculations'!$HE$13:$HE$512,0)),""))))</x:f>
      </x:c>
      <x:c r="HT451" t="str">
        <x:f>IF('Calculations'!HS451="","",IF('Calculations'!HS451="!AMBIG","!AMBIG",IF(COUNTIF('Calculations'!$HE$13:$HE$512,"="&amp;SUBSTITUTE(SUBSTITUTE(SUBSTITUTE('Calculations'!HS451,"~","~~"),"*","~*"),"?","~?"))&gt;1,"!AMBIG",IFERROR(INDEX('Calculations'!$HF$13:$HF$512,MATCH('Calculations'!HS451,'Calculations'!$HE$13:$HE$512,0)),""))))</x:f>
      </x:c>
      <x:c r="HU451" t="str">
        <x:f>IF('Calculations'!HT451="","",IF('Calculations'!HT451="!AMBIG","!AMBIG",IF(COUNTIF('Calculations'!$HE$13:$HE$512,"="&amp;SUBSTITUTE(SUBSTITUTE(SUBSTITUTE('Calculations'!HT451,"~","~~"),"*","~*"),"?","~?"))&gt;1,"!AMBIG",IFERROR(INDEX('Calculations'!$HF$13:$HF$512,MATCH('Calculations'!HT451,'Calculations'!$HE$13:$HE$512,0)),""))))</x:f>
      </x:c>
      <x:c r="HV451" t="str">
        <x:f>IF('Calculations'!HU451="","",IF('Calculations'!HU451="!AMBIG","!AMBIG",IF(COUNTIF('Calculations'!$HE$13:$HE$512,"="&amp;SUBSTITUTE(SUBSTITUTE(SUBSTITUTE('Calculations'!HU451,"~","~~"),"*","~*"),"?","~?"))&gt;1,"!AMBIG",IFERROR(INDEX('Calculations'!$HF$13:$HF$512,MATCH('Calculations'!HU451,'Calculations'!$HE$13:$HE$512,0)),""))))</x:f>
      </x:c>
      <x:c r="HW451" t="str">
        <x:f>IF('Calculations'!HV451="","",IF('Calculations'!HV451="!AMBIG","!AMBIG",IF(COUNTIF('Calculations'!$HE$13:$HE$512,"="&amp;SUBSTITUTE(SUBSTITUTE(SUBSTITUTE('Calculations'!HV451,"~","~~"),"*","~*"),"?","~?"))&gt;1,"!AMBIG",IFERROR(INDEX('Calculations'!$HF$13:$HF$512,MATCH('Calculations'!HV451,'Calculations'!$HE$13:$HE$512,0)),""))))</x:f>
      </x:c>
      <x:c r="HX451" t="str">
        <x:f>IF('Calculations'!HW451="","",IF('Calculations'!HW451="!AMBIG","!AMBIG",IF(COUNTIF('Calculations'!$HE$13:$HE$512,"="&amp;SUBSTITUTE(SUBSTITUTE(SUBSTITUTE('Calculations'!HW451,"~","~~"),"*","~*"),"?","~?"))&gt;1,"!AMBIG",IFERROR(INDEX('Calculations'!$HF$13:$HF$512,MATCH('Calculations'!HW451,'Calculations'!$HE$13:$HE$512,0)),""))))</x:f>
      </x:c>
      <x:c r="HY451" t="str">
        <x:f>IF('Calculations'!HX451="","",IF('Calculations'!HX451="!AMBIG","!AMBIG",IF(COUNTIF('Calculations'!$HE$13:$HE$512,"="&amp;SUBSTITUTE(SUBSTITUTE(SUBSTITUTE('Calculations'!HX451,"~","~~"),"*","~*"),"?","~?"))&gt;1,"!AMBIG",IFERROR(INDEX('Calculations'!$HF$13:$HF$512,MATCH('Calculations'!HX451,'Calculations'!$HE$13:$HE$512,0)),""))))</x:f>
      </x:c>
      <x:c r="HZ451" t="str">
        <x:f>IF('Calculations'!HY451="","",IF('Calculations'!HY451="!AMBIG","!AMBIG",IF(COUNTIF('Calculations'!$HE$13:$HE$512,"="&amp;SUBSTITUTE(SUBSTITUTE(SUBSTITUTE('Calculations'!HY451,"~","~~"),"*","~*"),"?","~?"))&gt;1,"!AMBIG",IFERROR(INDEX('Calculations'!$HF$13:$HF$512,MATCH('Calculations'!HY451,'Calculations'!$HE$13:$HE$512,0)),""))))</x:f>
      </x:c>
      <x:c r="IA451" t="str">
        <x:f>IF('Calculations'!HZ451="","",IF('Calculations'!HZ451="!AMBIG","!AMBIG",IF(COUNTIF('Calculations'!$HE$13:$HE$512,"="&amp;SUBSTITUTE(SUBSTITUTE(SUBSTITUTE('Calculations'!HZ451,"~","~~"),"*","~*"),"?","~?"))&gt;1,"!AMBIG",IFERROR(INDEX('Calculations'!$HF$13:$HF$512,MATCH('Calculations'!HZ451,'Calculations'!$HE$13:$HE$512,0)),""))))</x:f>
      </x:c>
      <x:c r="IB451" t="str">
        <x:f>IF('Calculations'!IA451="","",IF('Calculations'!IA451="!AMBIG","!AMBIG",IF(COUNTIF('Calculations'!$HE$13:$HE$512,"="&amp;SUBSTITUTE(SUBSTITUTE(SUBSTITUTE('Calculations'!IA451,"~","~~"),"*","~*"),"?","~?"))&gt;1,"!AMBIG",IFERROR(INDEX('Calculations'!$HF$13:$HF$512,MATCH('Calculations'!IA451,'Calculations'!$HE$13:$HE$512,0)),""))))</x:f>
      </x:c>
      <x:c r="IC451" t="str">
        <x:f>IF('Calculations'!IB451="","",IF('Calculations'!IB451="!AMBIG","!AMBIG",IF(COUNTIF('Calculations'!$HE$13:$HE$512,"="&amp;SUBSTITUTE(SUBSTITUTE(SUBSTITUTE('Calculations'!IB451,"~","~~"),"*","~*"),"?","~?"))&gt;1,"!AMBIG",IFERROR(INDEX('Calculations'!$HF$13:$HF$512,MATCH('Calculations'!IB451,'Calculations'!$HE$13:$HE$512,0)),""))))</x:f>
      </x:c>
      <x:c r="ID451" t="str">
        <x:f>IF('Calculations'!IC451="","",IF('Calculations'!IC451="!AMBIG","!AMBIG",IF(COUNTIF('Calculations'!$HE$13:$HE$512,"="&amp;SUBSTITUTE(SUBSTITUTE(SUBSTITUTE('Calculations'!IC451,"~","~~"),"*","~*"),"?","~?"))&gt;1,"!AMBIG",IFERROR(INDEX('Calculations'!$HF$13:$HF$512,MATCH('Calculations'!IC451,'Calculations'!$HE$13:$HE$512,0)),""))))</x:f>
      </x:c>
      <x:c r="IE451" t="str">
        <x:f>IF('Calculations'!ID451="","",IF('Calculations'!ID451="!AMBIG","!AMBIG",IF(COUNTIF('Calculations'!$HE$13:$HE$512,"="&amp;SUBSTITUTE(SUBSTITUTE(SUBSTITUTE('Calculations'!ID451,"~","~~"),"*","~*"),"?","~?"))&gt;1,"!AMBIG",IFERROR(INDEX('Calculations'!$HF$13:$HF$512,MATCH('Calculations'!ID451,'Calculations'!$HE$13:$HE$512,0)),""))))</x:f>
      </x:c>
      <x:c r="IF451" t="str">
        <x:f>IF('Calculations'!IE451="","",IF('Calculations'!IE451="!AMBIG","!AMBIG",IF(COUNTIF('Calculations'!$HE$13:$HE$512,"="&amp;SUBSTITUTE(SUBSTITUTE(SUBSTITUTE('Calculations'!IE451,"~","~~"),"*","~*"),"?","~?"))&gt;1,"!AMBIG",IFERROR(INDEX('Calculations'!$HF$13:$HF$512,MATCH('Calculations'!IE451,'Calculations'!$HE$13:$HE$512,0)),""))))</x:f>
      </x:c>
      <x:c r="IG451" t="str">
        <x:f>IF('Calculations'!IF451="","",IF('Calculations'!IF451="!AMBIG","!AMBIG",IF(COUNTIF('Calculations'!$HE$13:$HE$512,"="&amp;SUBSTITUTE(SUBSTITUTE(SUBSTITUTE('Calculations'!IF451,"~","~~"),"*","~*"),"?","~?"))&gt;1,"!AMBIG",IFERROR(INDEX('Calculations'!$HF$13:$HF$512,MATCH('Calculations'!IF451,'Calculations'!$HE$13:$HE$512,0)),""))))</x:f>
      </x:c>
      <x:c r="IH451" t="str">
        <x:f>IF('Calculations'!IG451="","",IF('Calculations'!IG451="!AMBIG","!AMBIG",IF(COUNTIF('Calculations'!$HE$13:$HE$512,"="&amp;SUBSTITUTE(SUBSTITUTE(SUBSTITUTE('Calculations'!IG451,"~","~~"),"*","~*"),"?","~?"))&gt;1,"!AMBIG",IFERROR(INDEX('Calculations'!$HF$13:$HF$512,MATCH('Calculations'!IG451,'Calculations'!$HE$13:$HE$512,0)),""))))</x:f>
      </x:c>
      <x:c r="II451" t="str">
        <x:f>IF('Calculations'!IH451="","",IF('Calculations'!IH451="!AMBIG","!AMBIG",IF(COUNTIF('Calculations'!$HE$13:$HE$512,"="&amp;SUBSTITUTE(SUBSTITUTE(SUBSTITUTE('Calculations'!IH451,"~","~~"),"*","~*"),"?","~?"))&gt;1,"!AMBIG",IFERROR(INDEX('Calculations'!$HF$13:$HF$512,MATCH('Calculations'!IH451,'Calculations'!$HE$13:$HE$512,0)),""))))</x:f>
      </x:c>
      <x:c r="IJ451" t="str">
        <x:f>IF('Calculations'!EM451="","",IF('Calculations'!$EF$2="All",'Calculations'!HM451,IF('Calculations'!HL451=1,"",IFERROR(IF(MATCH('Calculations'!$EF$2,'Calculations'!HO451:II451,0)=1,'Calculations'!HE451,INDEX('Calculations'!HO451:II451,1,MATCH('Calculations'!$EF$2,'Calculations'!HO451:II451,0)-1)),""))))</x:f>
      </x:c>
      <x:c r="IK451" t="n">
        <x:f>IF(AND('Calculations'!EM451&lt;&gt;"",'Calculations'!$EF$2&lt;&gt;"All",'Calculations'!HF451='Calculations'!$EF$2,'Calculations'!HL451=0,'Calculations'!JD451&gt;0),MAX('Calculations'!$IK$12:IK450)+1,0)</x:f>
        <x:v>0</x:v>
      </x:c>
      <x:c r="JA451" t="n">
        <x:f>IF(OR(IFERROR(INDIRECT("'WCM Calibration Final'!$A$451")&lt;&gt;"",FALSE),IFERROR(INDIRECT("'WCM Calibration Final'!$B$451")&lt;&gt;"",FALSE),IFERROR(INDIRECT("'WCM Calibration Final'!$C$451")&lt;&gt;"",FALSE)),451,0)</x:f>
        <x:v>0</x:v>
      </x:c>
      <x:c r="JB451" t="n">
        <x:f>'Calculations'!JB450+IF('Calculations'!JA451&gt;0,1,0)</x:f>
        <x:v>0</x:v>
      </x:c>
      <x:c r="JC451" t="n">
        <x:f>IF(OR('Calculations'!HF451="",'Calculations'!HF451="!AMBIG"),0,IF('Dashboard'!$B$7="All",1,COUNTIFS('Calculations'!$HO$13:$HO$512,"="&amp;SUBSTITUTE(SUBSTITUTE(SUBSTITUTE('Calculations'!HF451,"~","~~"),"*","~*"),"?","~?"),'Calculations'!$HN$13:$HN$512,"="&amp;SUBSTITUTE(SUBSTITUTE(SUBSTITUTE('Dashboard'!$B$7,"~","~~"),"*","~*"),"?","~?"))+COUNTIFS('Calculations'!$HP$13:$HP$512,"="&amp;SUBSTITUTE(SUBSTITUTE(SUBSTITUTE('Calculations'!HF451,"~","~~"),"*","~*"),"?","~?"),'Calculations'!$HN$13:$HN$512,"="&amp;SUBSTITUTE(SUBSTITUTE(SUBSTITUTE('Dashboard'!$B$7,"~","~~"),"*","~*"),"?","~?"))+COUNTIFS('Calculations'!$HQ$13:$HQ$512,"="&amp;SUBSTITUTE(SUBSTITUTE(SUBSTITUTE('Calculations'!HF451,"~","~~"),"*","~*"),"?","~?"),'Calculations'!$HN$13:$HN$512,"="&amp;SUBSTITUTE(SUBSTITUTE(SUBSTITUTE('Dashboard'!$B$7,"~","~~"),"*","~*"),"?","~?"))+COUNTIFS('Calculations'!$HR$13:$HR$512,"="&amp;SUBSTITUTE(SUBSTITUTE(SUBSTITUTE('Calculations'!HF451,"~","~~"),"*","~*"),"?","~?"),'Calculations'!$HN$13:$HN$512,"="&amp;SUBSTITUTE(SUBSTITUTE(SUBSTITUTE('Dashboard'!$B$7,"~","~~"),"*","~*"),"?","~?"))+COUNTIFS('Calculations'!$HS$13:$HS$512,"="&amp;SUBSTITUTE(SUBSTITUTE(SUBSTITUTE('Calculations'!HF451,"~","~~"),"*","~*"),"?","~?"),'Calculations'!$HN$13:$HN$512,"="&amp;SUBSTITUTE(SUBSTITUTE(SUBSTITUTE('Dashboard'!$B$7,"~","~~"),"*","~*"),"?","~?"))+COUNTIFS('Calculations'!$HT$13:$HT$512,"="&amp;SUBSTITUTE(SUBSTITUTE(SUBSTITUTE('Calculations'!HF451,"~","~~"),"*","~*"),"?","~?"),'Calculations'!$HN$13:$HN$512,"="&amp;SUBSTITUTE(SUBSTITUTE(SUBSTITUTE('Dashboard'!$B$7,"~","~~"),"*","~*"),"?","~?"))+COUNTIFS('Calculations'!$HU$13:$HU$512,"="&amp;SUBSTITUTE(SUBSTITUTE(SUBSTITUTE('Calculations'!HF451,"~","~~"),"*","~*"),"?","~?"),'Calculations'!$HN$13:$HN$512,"="&amp;SUBSTITUTE(SUBSTITUTE(SUBSTITUTE('Dashboard'!$B$7,"~","~~"),"*","~*"),"?","~?"))+COUNTIFS('Calculations'!$HV$13:$HV$512,"="&amp;SUBSTITUTE(SUBSTITUTE(SUBSTITUTE('Calculations'!HF451,"~","~~"),"*","~*"),"?","~?"),'Calculations'!$HN$13:$HN$512,"="&amp;SUBSTITUTE(SUBSTITUTE(SUBSTITUTE('Dashboard'!$B$7,"~","~~"),"*","~*"),"?","~?"))+COUNTIFS('Calculations'!$HW$13:$HW$512,"="&amp;SUBSTITUTE(SUBSTITUTE(SUBSTITUTE('Calculations'!HF451,"~","~~"),"*","~*"),"?","~?"),'Calculations'!$HN$13:$HN$512,"="&amp;SUBSTITUTE(SUBSTITUTE(SUBSTITUTE('Dashboard'!$B$7,"~","~~"),"*","~*"),"?","~?"))+COUNTIFS('Calculations'!$HX$13:$HX$512,"="&amp;SUBSTITUTE(SUBSTITUTE(SUBSTITUTE('Calculations'!HF451,"~","~~"),"*","~*"),"?","~?"),'Calculations'!$HN$13:$HN$512,"="&amp;SUBSTITUTE(SUBSTITUTE(SUBSTITUTE('Dashboard'!$B$7,"~","~~"),"*","~*"),"?","~?"))+COUNTIFS('Calculations'!$HY$13:$HY$512,"="&amp;SUBSTITUTE(SUBSTITUTE(SUBSTITUTE('Calculations'!HF451,"~","~~"),"*","~*"),"?","~?"),'Calculations'!$HN$13:$HN$512,"="&amp;SUBSTITUTE(SUBSTITUTE(SUBSTITUTE('Dashboard'!$B$7,"~","~~"),"*","~*"),"?","~?"))+COUNTIFS('Calculations'!$HZ$13:$HZ$512,"="&amp;SUBSTITUTE(SUBSTITUTE(SUBSTITUTE('Calculations'!HF451,"~","~~"),"*","~*"),"?","~?"),'Calculations'!$HN$13:$HN$512,"="&amp;SUBSTITUTE(SUBSTITUTE(SUBSTITUTE('Dashboard'!$B$7,"~","~~"),"*","~*"),"?","~?"))+COUNTIFS('Calculations'!$IA$13:$IA$512,"="&amp;SUBSTITUTE(SUBSTITUTE(SUBSTITUTE('Calculations'!HF451,"~","~~"),"*","~*"),"?","~?"),'Calculations'!$HN$13:$HN$512,"="&amp;SUBSTITUTE(SUBSTITUTE(SUBSTITUTE('Dashboard'!$B$7,"~","~~"),"*","~*"),"?","~?"))+COUNTIFS('Calculations'!$IB$13:$IB$512,"="&amp;SUBSTITUTE(SUBSTITUTE(SUBSTITUTE('Calculations'!HF451,"~","~~"),"*","~*"),"?","~?"),'Calculations'!$HN$13:$HN$512,"="&amp;SUBSTITUTE(SUBSTITUTE(SUBSTITUTE('Dashboard'!$B$7,"~","~~"),"*","~*"),"?","~?"))+COUNTIFS('Calculations'!$IC$13:$IC$512,"="&amp;SUBSTITUTE(SUBSTITUTE(SUBSTITUTE('Calculations'!HF451,"~","~~"),"*","~*"),"?","~?"),'Calculations'!$HN$13:$HN$512,"="&amp;SUBSTITUTE(SUBSTITUTE(SUBSTITUTE('Dashboard'!$B$7,"~","~~"),"*","~*"),"?","~?"))+COUNTIFS('Calculations'!$ID$13:$ID$512,"="&amp;SUBSTITUTE(SUBSTITUTE(SUBSTITUTE('Calculations'!HF451,"~","~~"),"*","~*"),"?","~?"),'Calculations'!$HN$13:$HN$512,"="&amp;SUBSTITUTE(SUBSTITUTE(SUBSTITUTE('Dashboard'!$B$7,"~","~~"),"*","~*"),"?","~?"))+COUNTIFS('Calculations'!$IE$13:$IE$512,"="&amp;SUBSTITUTE(SUBSTITUTE(SUBSTITUTE('Calculations'!HF451,"~","~~"),"*","~*"),"?","~?"),'Calculations'!$HN$13:$HN$512,"="&amp;SUBSTITUTE(SUBSTITUTE(SUBSTITUTE('Dashboard'!$B$7,"~","~~"),"*","~*"),"?","~?"))+COUNTIFS('Calculations'!$IF$13:$IF$512,"="&amp;SUBSTITUTE(SUBSTITUTE(SUBSTITUTE('Calculations'!HF451,"~","~~"),"*","~*"),"?","~?"),'Calculations'!$HN$13:$HN$512,"="&amp;SUBSTITUTE(SUBSTITUTE(SUBSTITUTE('Dashboard'!$B$7,"~","~~"),"*","~*"),"?","~?"))+COUNTIFS('Calculations'!$IG$13:$IG$512,"="&amp;SUBSTITUTE(SUBSTITUTE(SUBSTITUTE('Calculations'!HF451,"~","~~"),"*","~*"),"?","~?"),'Calculations'!$HN$13:$HN$512,"="&amp;SUBSTITUTE(SUBSTITUTE(SUBSTITUTE('Dashboard'!$B$7,"~","~~"),"*","~*"),"?","~?"))+COUNTIFS('Calculations'!$IH$13:$IH$512,"="&amp;SUBSTITUTE(SUBSTITUTE(SUBSTITUTE('Calculations'!HF451,"~","~~"),"*","~*"),"?","~?"),'Calculations'!$HN$13:$HN$512,"="&amp;SUBSTITUTE(SUBSTITUTE(SUBSTITUTE('Dashboard'!$B$7,"~","~~"),"*","~*"),"?","~?"))))</x:f>
        <x:v>0</x:v>
      </x:c>
      <x:c r="JD451" t="n">
        <x:f>IF('Calculations'!EM451="",0,IF('Dashboard'!$B$7="All",1,IF('Calculations'!HN451='Dashboard'!$B$7,1,0)+IFERROR(INDEX('Calculations'!$JC$13:$JC$512,MATCH('Calculations'!HE451,'Calculations'!$HF$13:$HF$512,0)),0)))</x:f>
        <x:v>0</x:v>
      </x:c>
      <x:c r="JE451" t="n">
        <x:f>IF(AND('Calculations'!EM451&lt;&gt;"",'Calculations'!$JJ$2&lt;&gt;"All",'Calculations'!$JJ$2&lt;&gt;"",'Calculations'!HF451='Calculations'!$JJ$2,'Calculations'!HL451=0,'Calculations'!JD451&gt;0),MAX('Calculations'!$JE$12:JE450)+1,0)</x:f>
        <x:v>0</x:v>
      </x:c>
      <x:c r="JF451" t="str">
        <x:f>IF('Calculations'!EM451="","",IFERROR(IF(INDEX(INDIRECT("'WCM Calibration Final'!$G$1:$G$2000"),'Calculations'!$EM451)="","",TRIM(INDEX(INDIRECT("'WCM Calibration Final'!$G$1:$G$2000"),'Calculations'!$EM451)&amp;"")),""))</x:f>
      </x:c>
      <x:c r="JQ451" t="n">
        <x:f>IF(OR('Calculations'!BM451=0,NOT('Calculations'!$AG$2),'Calculations'!$AG$8&gt;0),0,IF(OR('Dashboard'!$B$7="All",'Calculations'!HN451='Dashboard'!$B$7),IF('Calculations'!$JJ$2="All",1,IF(AND('Calculations'!HF451='Calculations'!$JJ$2,'Calculations'!HL451=0),1,0)),0))</x:f>
        <x:v>0</x:v>
      </x:c>
    </x:row>
    <x:row r="452">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t="n">
        <x:f>IF('Calculations'!$EM452="",0,IF(OR(IFERROR(INDEX(INDIRECT("'WCM Calibration Final'!$A$1:$A$2000"),'Calculations'!$EM452)&lt;&gt;"",FALSE),IFERROR(INDEX(INDIRECT("'WCM Calibration Final'!$B$1:$B$2000"),'Calculations'!$EM452)&lt;&gt;"",FALSE),IFERROR(INDEX(INDIRECT("'WCM Calibration Final'!$C$1:$C$2000"),'Calculations'!$EM452)&lt;&gt;"",FALSE)),1,0))</x:f>
        <x:v>0</x:v>
      </x:c>
      <x:c r="BN452" s="4" t="n">
        <x:f>IF(AND('Calculations'!BM452=1,'Calculations'!$AG$2,'Calculations'!$EN452=1),1,0)</x:f>
        <x:v>0</x:v>
      </x:c>
      <x:c r="BO452" s="4" t="str">
        <x:f>IF('Calculations'!BM452=0,"",IFERROR(IF(AND(VALUE(INDEX(INDIRECT("'WCM Calibration Final'!$K$1:$K$2000"),'Calculations'!$EM452))&gt;=1,VALUE(INDEX(INDIRECT("'WCM Calibration Final'!$K$1:$K$2000"),'Calculations'!$EM452))&lt;=4,MOD(VALUE(INDEX(INDIRECT("'WCM Calibration Final'!$K$1:$K$2000"),'Calculations'!$EM452)),1)=0),VALUE(INDEX(INDIRECT("'WCM Calibration Final'!$K$1:$K$2000"),'Calculations'!$EM452)),""),""))</x:f>
      </x:c>
      <x:c r="BP452" s="4" t="str">
        <x:f>IF('Calculations'!BM452=0,"",IFERROR(IF(AND(VALUE(INDEX(INDIRECT("'WCM Calibration Final'!$L$1:$L$2000"),'Calculations'!$EM452))&gt;=1,VALUE(INDEX(INDIRECT("'WCM Calibration Final'!$L$1:$L$2000"),'Calculations'!$EM452))&lt;=4,MOD(VALUE(INDEX(INDIRECT("'WCM Calibration Final'!$L$1:$L$2000"),'Calculations'!$EM452)),1)=0),VALUE(INDEX(INDIRECT("'WCM Calibration Final'!$L$1:$L$2000"),'Calculations'!$EM452)),""),""))</x:f>
      </x:c>
      <x:c r="BQ452" s="4"/>
      <x:c r="BR452" s="4"/>
      <x:c r="BS452" s="4"/>
      <x:c r="BT452" s="4" t="n">
        <x:f>IF(AND('Calculations'!BM452=1,ISNUMBER('Calculations'!BO452),ISNUMBER('Calculations'!BP452)),1,0)</x:f>
        <x:v>0</x:v>
      </x:c>
      <x:c r="BU452" s="4" t="str">
        <x:f>IF('Calculations'!BM452=0,"",'Calculations'!$EO452)</x:f>
      </x:c>
      <x:c r="BV452" s="4" t="str">
        <x:f>IF('Calculations'!BM452=0,"",IFERROR(IF(OR(INDEX(INDIRECT("'WCM Calibration Final'!$H$1:$H$2000"),'Calculations'!$EM452)="MANAGING DIRECTOR",INDEX(INDIRECT("'WCM Calibration Final'!$H$1:$H$2000"),'Calculations'!$EM452)="DIRECTOR",INDEX(INDIRECT("'WCM Calibration Final'!$H$1:$H$2000"),'Calculations'!$EM452)="SENIOR VICE PRESIDENT",INDEX(INDIRECT("'WCM Calibration Final'!$H$1:$H$2000"),'Calculations'!$EM452)="VICE PRESIDENT",INDEX(INDIRECT("'WCM Calibration Final'!$H$1:$H$2000"),'Calculations'!$EM452)="ASSISTANT VICE PRESIDENT",INDEX(INDIRECT("'WCM Calibration Final'!$H$1:$H$2000"),'Calculations'!$EM452)="OFFICER"),UPPER(INDEX(INDIRECT("'WCM Calibration Final'!$H$1:$H$2000"),'Calculations'!$EM452)),"Other"),"Other"))</x:f>
      </x:c>
      <x:c r="BW452" s="4"/>
      <x:c r="BX452" s="4"/>
      <x:c r="BY452" s="4" t="n">
        <x:f>IF(AND('Calculations'!BM452=1,'Calculations'!BU452&lt;&gt;"",COUNTIF('Calculations'!$BU$12:BU452,'Calculations'!BU452)=1),MAX('Calculations'!$BY$11:BY451)+1,0)</x:f>
        <x:v>0</x:v>
      </x:c>
      <x:c r="BZ452" s="4" t="str">
        <x:f>IF('Dashboard'!$E$67="What",'Calculations'!BO452,'Calculations'!BP452)</x:f>
      </x:c>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t="str">
        <x:f>IF(441&gt;MAX('Calculations'!$HI$13:$HI$512),"",INDEX('Calculations'!$HN$13:$HN$512,MATCH(441,'Calculations'!$HI$13:$HI$512,0)))</x:f>
      </x:c>
      <x:c r="DB452" s="4" t="str">
        <x:f>IF(441&gt;MAX('Calculations'!$HH$13:$HH$512),"",INDEX('Calculations'!$HJ$13:$HJ$512,MATCH(441,'Calculations'!$HH$13:$HH$512,0)))</x:f>
      </x:c>
      <x:c r="DC452" s="4" t="str">
        <x:f>IF(ROW()-11&gt;MAX('Calculations'!$BY$13:$BY$512),"",INDEX('Calculations'!$BU$13:$BU$512,MATCH(ROW()-11,'Calculations'!$BY$13:$BY$512,0)))</x:f>
      </x:c>
      <x:c r="DD452" s="4" t="str">
        <x:f>IF(441&gt;MAX('Calculations'!$IK$13:$IK$512),"",INDEX('Calculations'!$HK$13:$HK$512,MATCH(441,'Calculations'!$IK$13:$IK$512,0)))</x:f>
      </x:c>
      <x:c r="DE452" s="4" t="str">
        <x:f>'Calculations'!DC452</x:f>
      </x:c>
      <x:c r="DF452" s="4" t="str">
        <x:f>IF('Calculations'!DE452="","",COUNTIFS('Calculations'!$BN$13:$BN$512,1,'Calculations'!$BU$13:$BU$512,'Calculations'!DE452))</x:f>
      </x:c>
      <x:c r="DG452" s="4" t="str">
        <x:f>IF('Calculations'!DE452="","",COUNTIFS('Calculations'!$BN$13:$BN$512,1,'Calculations'!$BU$13:$BU$512,'Calculations'!DE452,'Calculations'!$BT$13:$BT$512,1))</x:f>
      </x:c>
      <x:c r="DH452" s="4" t="str">
        <x:f>IF('Calculations'!DE452="","",'Calculations'!DF452-'Calculations'!DG452)</x:f>
      </x:c>
      <x:c r="DI452" s="4" t="str">
        <x:f>IF(OR('Calculations'!DE452="",'Calculations'!DF452=0),"",'Calculations'!DG452/'Calculations'!DF452)</x:f>
      </x:c>
      <x:c r="DJ452" s="4" t="str">
        <x:f>IF('Calculations'!DE452="","",COUNTIFS('Calculations'!$BN$13:$BN$512,1,'Calculations'!$BU$13:$BU$512,'Calculations'!DE452,'Calculations'!$BT$13:$BT$512,1,'Calculations'!$EE$13:$EE$512,"High"))</x:f>
      </x:c>
      <x:c r="DK452" s="4" t="str">
        <x:f>IF('Calculations'!DE452="","",COUNTIFS('Calculations'!$BN$13:$BN$512,1,'Calculations'!$BU$13:$BU$512,'Calculations'!DE452,'Calculations'!$BT$13:$BT$512,1,'Calculations'!$EE$13:$EE$512,"Strong"))</x:f>
      </x:c>
      <x:c r="DL452" s="4" t="str">
        <x:f>IF('Calculations'!DE452="","",COUNTIFS('Calculations'!$BN$13:$BN$512,1,'Calculations'!$BU$13:$BU$512,'Calculations'!DE452,'Calculations'!$BT$13:$BT$512,1,'Calculations'!$EE$13:$EE$512,"Solid"))</x:f>
      </x:c>
      <x:c r="DM452" s="4" t="str">
        <x:f>IF('Calculations'!DE452="","",COUNTIFS('Calculations'!$BN$13:$BN$512,1,'Calculations'!$BU$13:$BU$512,'Calculations'!DE452,'Calculations'!$BT$13:$BT$512,1,'Calculations'!$EE$13:$EE$512,"Low"))</x:f>
      </x:c>
      <x:c r="DN452" s="4" t="str">
        <x:f>IF('Calculations'!DE452="","",COUNTIFS('Calculations'!$BN$13:$BN$512,1,'Calculations'!$BU$13:$BU$512,'Calculations'!DE452,'Calculations'!$EP$13:$EP$512,1))</x:f>
      </x:c>
      <x:c r="DO452" s="4" t="str">
        <x:f>IF(OR('Calculations'!DE452="",'Calculations'!DG452=0),"",('Calculations'!DJ452+'Calculations'!DK452)/'Calculations'!DG452)</x:f>
      </x:c>
      <x:c r="DP452" s="4" t="n">
        <x:f>IF(AND('Calculations'!DE452&lt;&gt;"",'Calculations'!DF452&gt;0),COUNTIF('Calculations'!$DF$12:DF452,"&gt;0"),0)</x:f>
        <x:v>0</x:v>
      </x:c>
      <x:c r="DQ452" s="4" t="str">
        <x:f>IF(441&gt;MAX('Calculations'!$HH$13:$HH$512),"",INDEX('Calculations'!$HF$13:$HF$512,MATCH(441,'Calculations'!$HH$13:$HH$512,0)))</x:f>
      </x:c>
      <x:c r="DR452" s="4" t="str">
        <x:f>IF(441&gt;MAX('Calculations'!$IK$13:$IK$512),"",INDEX('Calculations'!$HE$13:$HE$512,MATCH(441,'Calculations'!$IK$13:$IK$512,0)))</x:f>
      </x:c>
      <x:c r="DS452" s="4"/>
      <x:c r="DT452" s="4"/>
      <x:c r="DU452" s="4"/>
      <x:c r="DV452" s="4"/>
      <x:c r="DW452" s="4"/>
      <x:c r="DX452" s="4"/>
      <x:c r="DY452" s="4"/>
      <x:c r="DZ452" s="4"/>
      <x:c r="EA452" s="4"/>
      <x:c r="EB452" s="4"/>
      <x:c r="EC452" s="4"/>
      <x:c r="ED452" s="4"/>
      <x:c r="EE452" s="4" t="str">
        <x:f>IF('Calculations'!BT452=0,"Not Rated",IF(OR('Calculations'!BO452&gt;=4,'Calculations'!BP452&gt;=4),"Low",IF('Calculations'!BO452+'Calculations'!BP452&lt;=3,"High",IF('Calculations'!BO452+'Calculations'!BP452&lt;=4,"Strong","Solid"))))</x:f>
        <x:v>Not Rated</x:v>
      </x:c>
      <x:c r="EF452" s="4"/>
      <x:c r="EG452" s="4"/>
      <x:c r="EH452" s="4"/>
      <x:c r="EI452" s="4"/>
      <x:c r="EJ452" s="4"/>
      <x:c r="EK452" s="4"/>
      <x:c r="EL452" s="4"/>
      <x:c r="EM452" s="4" t="str">
        <x:f>IF(440&gt;'Calculations'!$JB$2000,"",INDEX('Calculations'!$JA$12:$JA$2000,MATCH(440,'Calculations'!$JB$12:$JB$2000,0)))</x:f>
      </x:c>
      <x:c r="EN452" s="4" t="n">
        <x:f>IF(OR('Calculations'!EM452="",'Calculations'!$AG$8&gt;0,AND('Calculations'!$EF$2&lt;&gt;"All",'Calculations'!HE452='Calculations'!$EF$2),AND('Calculations'!$EF$3&lt;&gt;"All",'Calculations'!HE452='Calculations'!$EF$3)),0,IF(OR('Dashboard'!$B$7="All",'Calculations'!HN452='Dashboard'!$B$7),IF('Calculations'!$EF$2="All",1,IF('Calculations'!HL452&gt;0,0,IF(COUNTIF('Calculations'!HO452:II452,"="&amp;SUBSTITUTE(SUBSTITUTE(SUBSTITUTE('Calculations'!$EF$2,"~","~~"),"*","~*"),"?","~?"))=0,0,IF('Calculations'!$EF$3="All",1,IF(COUNTIF('Calculations'!HO452:II452,"="&amp;SUBSTITUTE(SUBSTITUTE(SUBSTITUTE('Calculations'!$EF$3,"~","~~"),"*","~*"),"?","~?"))&gt;0,1,0))))),0))</x:f>
        <x:v>0</x:v>
      </x:c>
      <x:c r="EO452" s="4" t="str">
        <x:f>IF('Calculations'!IJ452="","",IF('Calculations'!IJ452="!UNRESOLVED","Unresolved hierarchy",IFERROR(INDEX('Calculations'!$HK$13:$HK$512,MATCH('Calculations'!IJ452,'Calculations'!$HE$13:$HE$512,0)),IFERROR(INDEX('Calculations'!$HJ$13:$HJ$512,MATCH('Calculations'!IJ452,'Calculations'!$HF$13:$HF$512,0)),'Calculations'!IJ452))))</x:f>
      </x:c>
      <x:c r="EP452" s="4" t="n">
        <x:f>IF(AND('Calculations'!EM452&lt;&gt;"",'Calculations'!HF452='Calculations'!IJ452),1,0)</x:f>
        <x:v>0</x:v>
      </x:c>
      <x:c r="EQ452" s="4"/>
      <x:c r="ER452" s="4"/>
      <x:c r="ES452" s="4"/>
      <x:c r="ET452" s="4"/>
      <x:c r="EU452" s="4"/>
      <x:c r="EV452" s="4"/>
      <x:c r="EW452" s="4"/>
      <x:c r="EX452" s="4"/>
      <x:c r="EY452" s="4"/>
      <x:c r="EZ452" s="4"/>
      <x:c r="FA452" s="4"/>
      <x:c r="FB452" s="4"/>
      <x:c r="FC452" s="4"/>
      <x:c r="FD452" s="4"/>
      <x:c r="FE452" s="4"/>
      <x:c r="FF452" s="4"/>
      <x:c r="FG452" s="4"/>
      <x:c r="FH452" s="4"/>
      <x:c r="FI452" s="4"/>
      <x:c r="FJ452" s="4"/>
      <x:c r="FK452" s="4"/>
      <x:c r="FL452" s="4"/>
      <x:c r="FM452" s="4"/>
      <x:c r="FN452" s="4"/>
      <x:c r="FO452" s="4"/>
      <x:c r="HE452" t="str">
        <x:f>IF('Calculations'!EM452="","",IF(IFERROR(IF(INDEX(INDIRECT("'WCM Calibration Final'!$A$1:$A$2000"),'Calculations'!$EM452)="","",TRIM(INDEX(INDIRECT("'WCM Calibration Final'!$A$1:$A$2000"),'Calculations'!$EM452)&amp;"")),"")&lt;&gt;"","G:"&amp;IFERROR(TEXT(1*INDEX(INDIRECT("'WCM Calibration Final'!$A$1:$A$2000"),'Calculations'!$EM452),"0"),UPPER(IFERROR(IF(INDEX(INDIRECT("'WCM Calibration Final'!$A$1:$A$2000"),'Calculations'!$EM452)="","",TRIM(INDEX(INDIRECT("'WCM Calibration Final'!$A$1:$A$2000"),'Calculations'!$EM452)&amp;"")),""))),IF(IFERROR(IF(INDEX(INDIRECT("'WCM Calibration Final'!$C$1:$C$2000"),'Calculations'!$EM452)="","",TRIM(INDEX(INDIRECT("'WCM Calibration Final'!$C$1:$C$2000"),'Calculations'!$EM452)&amp;"")),"")&lt;&gt;"","S:"&amp;UPPER(IFERROR(IF(INDEX(INDIRECT("'WCM Calibration Final'!$C$1:$C$2000"),'Calculations'!$EM452)="","",TRIM(INDEX(INDIRECT("'WCM Calibration Final'!$C$1:$C$2000"),'Calculations'!$EM452)&amp;"")),"")),"R:"&amp;'Calculations'!EM452)))</x:f>
      </x:c>
      <x:c r="HF452" t="str">
        <x:f>IF('Calculations'!EM452="","",IF(IFERROR(IF(INDEX(INDIRECT("'WCM Calibration Final'!$D$1:$D$2000"),'Calculations'!$EM452)="","",TRIM(INDEX(INDIRECT("'WCM Calibration Final'!$D$1:$D$2000"),'Calculations'!$EM452)&amp;"")),"")&lt;&gt;"","G:"&amp;IFERROR(TEXT(1*INDEX(INDIRECT("'WCM Calibration Final'!$D$1:$D$2000"),'Calculations'!$EM452),"0"),UPPER(IFERROR(IF(INDEX(INDIRECT("'WCM Calibration Final'!$D$1:$D$2000"),'Calculations'!$EM452)="","",TRIM(INDEX(INDIRECT("'WCM Calibration Final'!$D$1:$D$2000"),'Calculations'!$EM452)&amp;"")),""))),IF(IFERROR(IF(INDEX(INDIRECT("'WCM Calibration Final'!$E$1:$E$2000"),'Calculations'!$EM452)="","",TRIM(INDEX(INDIRECT("'WCM Calibration Final'!$E$1:$E$2000"),'Calculations'!$EM452)&amp;"")),"")="","",IF(COUNTIF('Calculations'!$HG$13:$HG$512,"="&amp;SUBSTITUTE(SUBSTITUTE(SUBSTITUTE(IFERROR(IF(INDEX(INDIRECT("'WCM Calibration Final'!$E$1:$E$2000"),'Calculations'!$EM452)="","",TRIM(INDEX(INDIRECT("'WCM Calibration Final'!$E$1:$E$2000"),'Calculations'!$EM452)&amp;"")),""),"~","~~"),"*","~*"),"?","~?"))=1,INDEX('Calculations'!$HE$13:$HE$512,MATCH(IFERROR(IF(INDEX(INDIRECT("'WCM Calibration Final'!$E$1:$E$2000"),'Calculations'!$EM452)="","",TRIM(INDEX(INDIRECT("'WCM Calibration Final'!$E$1:$E$2000"),'Calculations'!$EM452)&amp;"")),""),'Calculations'!$HG$13:$HG$512,0)),IF(COUNTIF('Calculations'!$HG$13:$HG$512,"="&amp;SUBSTITUTE(SUBSTITUTE(SUBSTITUTE(IFERROR(IF(INDEX(INDIRECT("'WCM Calibration Final'!$E$1:$E$2000"),'Calculations'!$EM452)="","",TRIM(INDEX(INDIRECT("'WCM Calibration Final'!$E$1:$E$2000"),'Calculations'!$EM452)&amp;"")),""),"~","~~"),"*","~*"),"?","~?"))&gt;1,"!AMBIG","X:"&amp;IFERROR(IF(INDEX(INDIRECT("'WCM Calibration Final'!$E$1:$E$2000"),'Calculations'!$EM452)="","",TRIM(INDEX(INDIRECT("'WCM Calibration Final'!$E$1:$E$2000"),'Calculations'!$EM452)&amp;"")),""))))))</x:f>
      </x:c>
      <x:c r="HG452" t="str">
        <x:f>IF('Calculations'!EM452="","",IFERROR(IF(INDEX(INDIRECT("'WCM Calibration Final'!$B$1:$B$2000"),'Calculations'!$EM452)="","",TRIM(INDEX(INDIRECT("'WCM Calibration Final'!$B$1:$B$2000"),'Calculations'!$EM452)&amp;"")),""))</x:f>
      </x:c>
      <x:c r="HH452" t="n">
        <x:f>IF(AND('Calculations'!JC452&gt;0,COUNTIF('Calculations'!$HF$12:HF452,"="&amp;SUBSTITUTE(SUBSTITUTE(SUBSTITUTE('Calculations'!HF452,"~","~~"),"*","~*"),"?","~?"))=1),MAX('Calculations'!$HH$12:HH451)+1,0)</x:f>
        <x:v>0</x:v>
      </x:c>
      <x:c r="HI452" t="n">
        <x:f>IF(AND('Calculations'!HN452&lt;&gt;"",COUNTIF('Calculations'!$HN$12:HN452,"="&amp;SUBSTITUTE(SUBSTITUTE(SUBSTITUTE('Calculations'!HN452,"~","~~"),"*","~*"),"?","~?"))=1),MAX('Calculations'!$HI$12:HI451)+1,0)</x:f>
        <x:v>0</x:v>
      </x:c>
      <x:c r="HJ452" t="str">
        <x:f>IF('Calculations'!HF452="","",IF(COUNTIF('Calculations'!$HE$13:$HE$512,"="&amp;SUBSTITUTE(SUBSTITUTE(SUBSTITUTE('Calculations'!HF452,"~","~~"),"*","~*"),"?","~?"))=1,INDEX('Calculations'!$HK$13:$HK$512,MATCH('Calculations'!HF452,'Calculations'!$HE$13:$HE$512,0)),IFERROR(IF(INDEX(INDIRECT("'WCM Calibration Final'!$E$1:$E$2000"),'Calculations'!$EM452)="","",TRIM(INDEX(INDIRECT("'WCM Calibration Final'!$E$1:$E$2000"),'Calculations'!$EM452)&amp;"")),"")&amp;" ["&amp;'Calculations'!HF452&amp;"]"))</x:f>
      </x:c>
      <x:c r="HK452" t="str">
        <x:f>IF('Calculations'!EM452="","",'Calculations'!HG452&amp;" ["&amp;'Calculations'!HE452&amp;"]")</x:f>
      </x:c>
      <x:c r="HL452" t="n">
        <x:f>IF('Calculations'!EM452="",0,IF(OR('Calculations'!II452&lt;&gt;"",COUNTIF('Calculations'!$HE$13:$HE$512,"="&amp;SUBSTITUTE(SUBSTITUTE(SUBSTITUTE('Calculations'!HE452,"~","~~"),"*","~*"),"?","~?"))&gt;1),1,0))</x:f>
        <x:v>0</x:v>
      </x:c>
      <x:c r="HM452" t="str">
        <x:f>IF('Calculations'!EM452="","",IF('Calculations'!HL452=1,"!UNRESOLVED",IF('Calculations'!IH452&lt;&gt;"",'Calculations'!IH452,IF('Calculations'!IG452&lt;&gt;"",'Calculations'!IG452,IF('Calculations'!IF452&lt;&gt;"",'Calculations'!IF452,IF('Calculations'!IE452&lt;&gt;"",'Calculations'!IE452,IF('Calculations'!ID452&lt;&gt;"",'Calculations'!ID452,IF('Calculations'!IC452&lt;&gt;"",'Calculations'!IC452,IF('Calculations'!IB452&lt;&gt;"",'Calculations'!IB452,IF('Calculations'!IA452&lt;&gt;"",'Calculations'!IA452,IF('Calculations'!HZ452&lt;&gt;"",'Calculations'!HZ452,IF('Calculations'!HY452&lt;&gt;"",'Calculations'!HY452,IF('Calculations'!HX452&lt;&gt;"",'Calculations'!HX452,IF('Calculations'!HW452&lt;&gt;"",'Calculations'!HW452,IF('Calculations'!HV452&lt;&gt;"",'Calculations'!HV452,IF('Calculations'!HU452&lt;&gt;"",'Calculations'!HU452,IF('Calculations'!HT452&lt;&gt;"",'Calculations'!HT452,IF('Calculations'!HS452&lt;&gt;"",'Calculations'!HS452,IF('Calculations'!HR452&lt;&gt;"",'Calculations'!HR452,IF('Calculations'!HQ452&lt;&gt;"",'Calculations'!HQ452,IF('Calculations'!HP452&lt;&gt;"",'Calculations'!HP452,IF('Calculations'!HO452&lt;&gt;"",'Calculations'!HO452,'Calculations'!HE452))))))))))))))))))))))</x:f>
      </x:c>
      <x:c r="HN452" t="str">
        <x:f>IF('Calculations'!EM452="","",IF(IFERROR(IF(INDEX(INDIRECT("'WCM Calibration Final'!$F$1:$F$2000"),'Calculations'!$EM452)="","",TRIM(INDEX(INDIRECT("'WCM Calibration Final'!$F$1:$F$2000"),'Calculations'!$EM452)&amp;"")),"")="","(Blank)",IFERROR(IF(INDEX(INDIRECT("'WCM Calibration Final'!$F$1:$F$2000"),'Calculations'!$EM452)="","",TRIM(INDEX(INDIRECT("'WCM Calibration Final'!$F$1:$F$2000"),'Calculations'!$EM452)&amp;"")),"")))</x:f>
      </x:c>
      <x:c r="HO452" t="str">
        <x:f>'Calculations'!HF452</x:f>
      </x:c>
      <x:c r="HP452" t="str">
        <x:f>IF('Calculations'!HO452="","",IF('Calculations'!HO452="!AMBIG","!AMBIG",IF(COUNTIF('Calculations'!$HE$13:$HE$512,"="&amp;SUBSTITUTE(SUBSTITUTE(SUBSTITUTE('Calculations'!HO452,"~","~~"),"*","~*"),"?","~?"))&gt;1,"!AMBIG",IFERROR(INDEX('Calculations'!$HF$13:$HF$512,MATCH('Calculations'!HO452,'Calculations'!$HE$13:$HE$512,0)),""))))</x:f>
      </x:c>
      <x:c r="HQ452" t="str">
        <x:f>IF('Calculations'!HP452="","",IF('Calculations'!HP452="!AMBIG","!AMBIG",IF(COUNTIF('Calculations'!$HE$13:$HE$512,"="&amp;SUBSTITUTE(SUBSTITUTE(SUBSTITUTE('Calculations'!HP452,"~","~~"),"*","~*"),"?","~?"))&gt;1,"!AMBIG",IFERROR(INDEX('Calculations'!$HF$13:$HF$512,MATCH('Calculations'!HP452,'Calculations'!$HE$13:$HE$512,0)),""))))</x:f>
      </x:c>
      <x:c r="HR452" t="str">
        <x:f>IF('Calculations'!HQ452="","",IF('Calculations'!HQ452="!AMBIG","!AMBIG",IF(COUNTIF('Calculations'!$HE$13:$HE$512,"="&amp;SUBSTITUTE(SUBSTITUTE(SUBSTITUTE('Calculations'!HQ452,"~","~~"),"*","~*"),"?","~?"))&gt;1,"!AMBIG",IFERROR(INDEX('Calculations'!$HF$13:$HF$512,MATCH('Calculations'!HQ452,'Calculations'!$HE$13:$HE$512,0)),""))))</x:f>
      </x:c>
      <x:c r="HS452" t="str">
        <x:f>IF('Calculations'!HR452="","",IF('Calculations'!HR452="!AMBIG","!AMBIG",IF(COUNTIF('Calculations'!$HE$13:$HE$512,"="&amp;SUBSTITUTE(SUBSTITUTE(SUBSTITUTE('Calculations'!HR452,"~","~~"),"*","~*"),"?","~?"))&gt;1,"!AMBIG",IFERROR(INDEX('Calculations'!$HF$13:$HF$512,MATCH('Calculations'!HR452,'Calculations'!$HE$13:$HE$512,0)),""))))</x:f>
      </x:c>
      <x:c r="HT452" t="str">
        <x:f>IF('Calculations'!HS452="","",IF('Calculations'!HS452="!AMBIG","!AMBIG",IF(COUNTIF('Calculations'!$HE$13:$HE$512,"="&amp;SUBSTITUTE(SUBSTITUTE(SUBSTITUTE('Calculations'!HS452,"~","~~"),"*","~*"),"?","~?"))&gt;1,"!AMBIG",IFERROR(INDEX('Calculations'!$HF$13:$HF$512,MATCH('Calculations'!HS452,'Calculations'!$HE$13:$HE$512,0)),""))))</x:f>
      </x:c>
      <x:c r="HU452" t="str">
        <x:f>IF('Calculations'!HT452="","",IF('Calculations'!HT452="!AMBIG","!AMBIG",IF(COUNTIF('Calculations'!$HE$13:$HE$512,"="&amp;SUBSTITUTE(SUBSTITUTE(SUBSTITUTE('Calculations'!HT452,"~","~~"),"*","~*"),"?","~?"))&gt;1,"!AMBIG",IFERROR(INDEX('Calculations'!$HF$13:$HF$512,MATCH('Calculations'!HT452,'Calculations'!$HE$13:$HE$512,0)),""))))</x:f>
      </x:c>
      <x:c r="HV452" t="str">
        <x:f>IF('Calculations'!HU452="","",IF('Calculations'!HU452="!AMBIG","!AMBIG",IF(COUNTIF('Calculations'!$HE$13:$HE$512,"="&amp;SUBSTITUTE(SUBSTITUTE(SUBSTITUTE('Calculations'!HU452,"~","~~"),"*","~*"),"?","~?"))&gt;1,"!AMBIG",IFERROR(INDEX('Calculations'!$HF$13:$HF$512,MATCH('Calculations'!HU452,'Calculations'!$HE$13:$HE$512,0)),""))))</x:f>
      </x:c>
      <x:c r="HW452" t="str">
        <x:f>IF('Calculations'!HV452="","",IF('Calculations'!HV452="!AMBIG","!AMBIG",IF(COUNTIF('Calculations'!$HE$13:$HE$512,"="&amp;SUBSTITUTE(SUBSTITUTE(SUBSTITUTE('Calculations'!HV452,"~","~~"),"*","~*"),"?","~?"))&gt;1,"!AMBIG",IFERROR(INDEX('Calculations'!$HF$13:$HF$512,MATCH('Calculations'!HV452,'Calculations'!$HE$13:$HE$512,0)),""))))</x:f>
      </x:c>
      <x:c r="HX452" t="str">
        <x:f>IF('Calculations'!HW452="","",IF('Calculations'!HW452="!AMBIG","!AMBIG",IF(COUNTIF('Calculations'!$HE$13:$HE$512,"="&amp;SUBSTITUTE(SUBSTITUTE(SUBSTITUTE('Calculations'!HW452,"~","~~"),"*","~*"),"?","~?"))&gt;1,"!AMBIG",IFERROR(INDEX('Calculations'!$HF$13:$HF$512,MATCH('Calculations'!HW452,'Calculations'!$HE$13:$HE$512,0)),""))))</x:f>
      </x:c>
      <x:c r="HY452" t="str">
        <x:f>IF('Calculations'!HX452="","",IF('Calculations'!HX452="!AMBIG","!AMBIG",IF(COUNTIF('Calculations'!$HE$13:$HE$512,"="&amp;SUBSTITUTE(SUBSTITUTE(SUBSTITUTE('Calculations'!HX452,"~","~~"),"*","~*"),"?","~?"))&gt;1,"!AMBIG",IFERROR(INDEX('Calculations'!$HF$13:$HF$512,MATCH('Calculations'!HX452,'Calculations'!$HE$13:$HE$512,0)),""))))</x:f>
      </x:c>
      <x:c r="HZ452" t="str">
        <x:f>IF('Calculations'!HY452="","",IF('Calculations'!HY452="!AMBIG","!AMBIG",IF(COUNTIF('Calculations'!$HE$13:$HE$512,"="&amp;SUBSTITUTE(SUBSTITUTE(SUBSTITUTE('Calculations'!HY452,"~","~~"),"*","~*"),"?","~?"))&gt;1,"!AMBIG",IFERROR(INDEX('Calculations'!$HF$13:$HF$512,MATCH('Calculations'!HY452,'Calculations'!$HE$13:$HE$512,0)),""))))</x:f>
      </x:c>
      <x:c r="IA452" t="str">
        <x:f>IF('Calculations'!HZ452="","",IF('Calculations'!HZ452="!AMBIG","!AMBIG",IF(COUNTIF('Calculations'!$HE$13:$HE$512,"="&amp;SUBSTITUTE(SUBSTITUTE(SUBSTITUTE('Calculations'!HZ452,"~","~~"),"*","~*"),"?","~?"))&gt;1,"!AMBIG",IFERROR(INDEX('Calculations'!$HF$13:$HF$512,MATCH('Calculations'!HZ452,'Calculations'!$HE$13:$HE$512,0)),""))))</x:f>
      </x:c>
      <x:c r="IB452" t="str">
        <x:f>IF('Calculations'!IA452="","",IF('Calculations'!IA452="!AMBIG","!AMBIG",IF(COUNTIF('Calculations'!$HE$13:$HE$512,"="&amp;SUBSTITUTE(SUBSTITUTE(SUBSTITUTE('Calculations'!IA452,"~","~~"),"*","~*"),"?","~?"))&gt;1,"!AMBIG",IFERROR(INDEX('Calculations'!$HF$13:$HF$512,MATCH('Calculations'!IA452,'Calculations'!$HE$13:$HE$512,0)),""))))</x:f>
      </x:c>
      <x:c r="IC452" t="str">
        <x:f>IF('Calculations'!IB452="","",IF('Calculations'!IB452="!AMBIG","!AMBIG",IF(COUNTIF('Calculations'!$HE$13:$HE$512,"="&amp;SUBSTITUTE(SUBSTITUTE(SUBSTITUTE('Calculations'!IB452,"~","~~"),"*","~*"),"?","~?"))&gt;1,"!AMBIG",IFERROR(INDEX('Calculations'!$HF$13:$HF$512,MATCH('Calculations'!IB452,'Calculations'!$HE$13:$HE$512,0)),""))))</x:f>
      </x:c>
      <x:c r="ID452" t="str">
        <x:f>IF('Calculations'!IC452="","",IF('Calculations'!IC452="!AMBIG","!AMBIG",IF(COUNTIF('Calculations'!$HE$13:$HE$512,"="&amp;SUBSTITUTE(SUBSTITUTE(SUBSTITUTE('Calculations'!IC452,"~","~~"),"*","~*"),"?","~?"))&gt;1,"!AMBIG",IFERROR(INDEX('Calculations'!$HF$13:$HF$512,MATCH('Calculations'!IC452,'Calculations'!$HE$13:$HE$512,0)),""))))</x:f>
      </x:c>
      <x:c r="IE452" t="str">
        <x:f>IF('Calculations'!ID452="","",IF('Calculations'!ID452="!AMBIG","!AMBIG",IF(COUNTIF('Calculations'!$HE$13:$HE$512,"="&amp;SUBSTITUTE(SUBSTITUTE(SUBSTITUTE('Calculations'!ID452,"~","~~"),"*","~*"),"?","~?"))&gt;1,"!AMBIG",IFERROR(INDEX('Calculations'!$HF$13:$HF$512,MATCH('Calculations'!ID452,'Calculations'!$HE$13:$HE$512,0)),""))))</x:f>
      </x:c>
      <x:c r="IF452" t="str">
        <x:f>IF('Calculations'!IE452="","",IF('Calculations'!IE452="!AMBIG","!AMBIG",IF(COUNTIF('Calculations'!$HE$13:$HE$512,"="&amp;SUBSTITUTE(SUBSTITUTE(SUBSTITUTE('Calculations'!IE452,"~","~~"),"*","~*"),"?","~?"))&gt;1,"!AMBIG",IFERROR(INDEX('Calculations'!$HF$13:$HF$512,MATCH('Calculations'!IE452,'Calculations'!$HE$13:$HE$512,0)),""))))</x:f>
      </x:c>
      <x:c r="IG452" t="str">
        <x:f>IF('Calculations'!IF452="","",IF('Calculations'!IF452="!AMBIG","!AMBIG",IF(COUNTIF('Calculations'!$HE$13:$HE$512,"="&amp;SUBSTITUTE(SUBSTITUTE(SUBSTITUTE('Calculations'!IF452,"~","~~"),"*","~*"),"?","~?"))&gt;1,"!AMBIG",IFERROR(INDEX('Calculations'!$HF$13:$HF$512,MATCH('Calculations'!IF452,'Calculations'!$HE$13:$HE$512,0)),""))))</x:f>
      </x:c>
      <x:c r="IH452" t="str">
        <x:f>IF('Calculations'!IG452="","",IF('Calculations'!IG452="!AMBIG","!AMBIG",IF(COUNTIF('Calculations'!$HE$13:$HE$512,"="&amp;SUBSTITUTE(SUBSTITUTE(SUBSTITUTE('Calculations'!IG452,"~","~~"),"*","~*"),"?","~?"))&gt;1,"!AMBIG",IFERROR(INDEX('Calculations'!$HF$13:$HF$512,MATCH('Calculations'!IG452,'Calculations'!$HE$13:$HE$512,0)),""))))</x:f>
      </x:c>
      <x:c r="II452" t="str">
        <x:f>IF('Calculations'!IH452="","",IF('Calculations'!IH452="!AMBIG","!AMBIG",IF(COUNTIF('Calculations'!$HE$13:$HE$512,"="&amp;SUBSTITUTE(SUBSTITUTE(SUBSTITUTE('Calculations'!IH452,"~","~~"),"*","~*"),"?","~?"))&gt;1,"!AMBIG",IFERROR(INDEX('Calculations'!$HF$13:$HF$512,MATCH('Calculations'!IH452,'Calculations'!$HE$13:$HE$512,0)),""))))</x:f>
      </x:c>
      <x:c r="IJ452" t="str">
        <x:f>IF('Calculations'!EM452="","",IF('Calculations'!$EF$2="All",'Calculations'!HM452,IF('Calculations'!HL452=1,"",IFERROR(IF(MATCH('Calculations'!$EF$2,'Calculations'!HO452:II452,0)=1,'Calculations'!HE452,INDEX('Calculations'!HO452:II452,1,MATCH('Calculations'!$EF$2,'Calculations'!HO452:II452,0)-1)),""))))</x:f>
      </x:c>
      <x:c r="IK452" t="n">
        <x:f>IF(AND('Calculations'!EM452&lt;&gt;"",'Calculations'!$EF$2&lt;&gt;"All",'Calculations'!HF452='Calculations'!$EF$2,'Calculations'!HL452=0,'Calculations'!JD452&gt;0),MAX('Calculations'!$IK$12:IK451)+1,0)</x:f>
        <x:v>0</x:v>
      </x:c>
      <x:c r="JA452" t="n">
        <x:f>IF(OR(IFERROR(INDIRECT("'WCM Calibration Final'!$A$452")&lt;&gt;"",FALSE),IFERROR(INDIRECT("'WCM Calibration Final'!$B$452")&lt;&gt;"",FALSE),IFERROR(INDIRECT("'WCM Calibration Final'!$C$452")&lt;&gt;"",FALSE)),452,0)</x:f>
        <x:v>0</x:v>
      </x:c>
      <x:c r="JB452" t="n">
        <x:f>'Calculations'!JB451+IF('Calculations'!JA452&gt;0,1,0)</x:f>
        <x:v>0</x:v>
      </x:c>
      <x:c r="JC452" t="n">
        <x:f>IF(OR('Calculations'!HF452="",'Calculations'!HF452="!AMBIG"),0,IF('Dashboard'!$B$7="All",1,COUNTIFS('Calculations'!$HO$13:$HO$512,"="&amp;SUBSTITUTE(SUBSTITUTE(SUBSTITUTE('Calculations'!HF452,"~","~~"),"*","~*"),"?","~?"),'Calculations'!$HN$13:$HN$512,"="&amp;SUBSTITUTE(SUBSTITUTE(SUBSTITUTE('Dashboard'!$B$7,"~","~~"),"*","~*"),"?","~?"))+COUNTIFS('Calculations'!$HP$13:$HP$512,"="&amp;SUBSTITUTE(SUBSTITUTE(SUBSTITUTE('Calculations'!HF452,"~","~~"),"*","~*"),"?","~?"),'Calculations'!$HN$13:$HN$512,"="&amp;SUBSTITUTE(SUBSTITUTE(SUBSTITUTE('Dashboard'!$B$7,"~","~~"),"*","~*"),"?","~?"))+COUNTIFS('Calculations'!$HQ$13:$HQ$512,"="&amp;SUBSTITUTE(SUBSTITUTE(SUBSTITUTE('Calculations'!HF452,"~","~~"),"*","~*"),"?","~?"),'Calculations'!$HN$13:$HN$512,"="&amp;SUBSTITUTE(SUBSTITUTE(SUBSTITUTE('Dashboard'!$B$7,"~","~~"),"*","~*"),"?","~?"))+COUNTIFS('Calculations'!$HR$13:$HR$512,"="&amp;SUBSTITUTE(SUBSTITUTE(SUBSTITUTE('Calculations'!HF452,"~","~~"),"*","~*"),"?","~?"),'Calculations'!$HN$13:$HN$512,"="&amp;SUBSTITUTE(SUBSTITUTE(SUBSTITUTE('Dashboard'!$B$7,"~","~~"),"*","~*"),"?","~?"))+COUNTIFS('Calculations'!$HS$13:$HS$512,"="&amp;SUBSTITUTE(SUBSTITUTE(SUBSTITUTE('Calculations'!HF452,"~","~~"),"*","~*"),"?","~?"),'Calculations'!$HN$13:$HN$512,"="&amp;SUBSTITUTE(SUBSTITUTE(SUBSTITUTE('Dashboard'!$B$7,"~","~~"),"*","~*"),"?","~?"))+COUNTIFS('Calculations'!$HT$13:$HT$512,"="&amp;SUBSTITUTE(SUBSTITUTE(SUBSTITUTE('Calculations'!HF452,"~","~~"),"*","~*"),"?","~?"),'Calculations'!$HN$13:$HN$512,"="&amp;SUBSTITUTE(SUBSTITUTE(SUBSTITUTE('Dashboard'!$B$7,"~","~~"),"*","~*"),"?","~?"))+COUNTIFS('Calculations'!$HU$13:$HU$512,"="&amp;SUBSTITUTE(SUBSTITUTE(SUBSTITUTE('Calculations'!HF452,"~","~~"),"*","~*"),"?","~?"),'Calculations'!$HN$13:$HN$512,"="&amp;SUBSTITUTE(SUBSTITUTE(SUBSTITUTE('Dashboard'!$B$7,"~","~~"),"*","~*"),"?","~?"))+COUNTIFS('Calculations'!$HV$13:$HV$512,"="&amp;SUBSTITUTE(SUBSTITUTE(SUBSTITUTE('Calculations'!HF452,"~","~~"),"*","~*"),"?","~?"),'Calculations'!$HN$13:$HN$512,"="&amp;SUBSTITUTE(SUBSTITUTE(SUBSTITUTE('Dashboard'!$B$7,"~","~~"),"*","~*"),"?","~?"))+COUNTIFS('Calculations'!$HW$13:$HW$512,"="&amp;SUBSTITUTE(SUBSTITUTE(SUBSTITUTE('Calculations'!HF452,"~","~~"),"*","~*"),"?","~?"),'Calculations'!$HN$13:$HN$512,"="&amp;SUBSTITUTE(SUBSTITUTE(SUBSTITUTE('Dashboard'!$B$7,"~","~~"),"*","~*"),"?","~?"))+COUNTIFS('Calculations'!$HX$13:$HX$512,"="&amp;SUBSTITUTE(SUBSTITUTE(SUBSTITUTE('Calculations'!HF452,"~","~~"),"*","~*"),"?","~?"),'Calculations'!$HN$13:$HN$512,"="&amp;SUBSTITUTE(SUBSTITUTE(SUBSTITUTE('Dashboard'!$B$7,"~","~~"),"*","~*"),"?","~?"))+COUNTIFS('Calculations'!$HY$13:$HY$512,"="&amp;SUBSTITUTE(SUBSTITUTE(SUBSTITUTE('Calculations'!HF452,"~","~~"),"*","~*"),"?","~?"),'Calculations'!$HN$13:$HN$512,"="&amp;SUBSTITUTE(SUBSTITUTE(SUBSTITUTE('Dashboard'!$B$7,"~","~~"),"*","~*"),"?","~?"))+COUNTIFS('Calculations'!$HZ$13:$HZ$512,"="&amp;SUBSTITUTE(SUBSTITUTE(SUBSTITUTE('Calculations'!HF452,"~","~~"),"*","~*"),"?","~?"),'Calculations'!$HN$13:$HN$512,"="&amp;SUBSTITUTE(SUBSTITUTE(SUBSTITUTE('Dashboard'!$B$7,"~","~~"),"*","~*"),"?","~?"))+COUNTIFS('Calculations'!$IA$13:$IA$512,"="&amp;SUBSTITUTE(SUBSTITUTE(SUBSTITUTE('Calculations'!HF452,"~","~~"),"*","~*"),"?","~?"),'Calculations'!$HN$13:$HN$512,"="&amp;SUBSTITUTE(SUBSTITUTE(SUBSTITUTE('Dashboard'!$B$7,"~","~~"),"*","~*"),"?","~?"))+COUNTIFS('Calculations'!$IB$13:$IB$512,"="&amp;SUBSTITUTE(SUBSTITUTE(SUBSTITUTE('Calculations'!HF452,"~","~~"),"*","~*"),"?","~?"),'Calculations'!$HN$13:$HN$512,"="&amp;SUBSTITUTE(SUBSTITUTE(SUBSTITUTE('Dashboard'!$B$7,"~","~~"),"*","~*"),"?","~?"))+COUNTIFS('Calculations'!$IC$13:$IC$512,"="&amp;SUBSTITUTE(SUBSTITUTE(SUBSTITUTE('Calculations'!HF452,"~","~~"),"*","~*"),"?","~?"),'Calculations'!$HN$13:$HN$512,"="&amp;SUBSTITUTE(SUBSTITUTE(SUBSTITUTE('Dashboard'!$B$7,"~","~~"),"*","~*"),"?","~?"))+COUNTIFS('Calculations'!$ID$13:$ID$512,"="&amp;SUBSTITUTE(SUBSTITUTE(SUBSTITUTE('Calculations'!HF452,"~","~~"),"*","~*"),"?","~?"),'Calculations'!$HN$13:$HN$512,"="&amp;SUBSTITUTE(SUBSTITUTE(SUBSTITUTE('Dashboard'!$B$7,"~","~~"),"*","~*"),"?","~?"))+COUNTIFS('Calculations'!$IE$13:$IE$512,"="&amp;SUBSTITUTE(SUBSTITUTE(SUBSTITUTE('Calculations'!HF452,"~","~~"),"*","~*"),"?","~?"),'Calculations'!$HN$13:$HN$512,"="&amp;SUBSTITUTE(SUBSTITUTE(SUBSTITUTE('Dashboard'!$B$7,"~","~~"),"*","~*"),"?","~?"))+COUNTIFS('Calculations'!$IF$13:$IF$512,"="&amp;SUBSTITUTE(SUBSTITUTE(SUBSTITUTE('Calculations'!HF452,"~","~~"),"*","~*"),"?","~?"),'Calculations'!$HN$13:$HN$512,"="&amp;SUBSTITUTE(SUBSTITUTE(SUBSTITUTE('Dashboard'!$B$7,"~","~~"),"*","~*"),"?","~?"))+COUNTIFS('Calculations'!$IG$13:$IG$512,"="&amp;SUBSTITUTE(SUBSTITUTE(SUBSTITUTE('Calculations'!HF452,"~","~~"),"*","~*"),"?","~?"),'Calculations'!$HN$13:$HN$512,"="&amp;SUBSTITUTE(SUBSTITUTE(SUBSTITUTE('Dashboard'!$B$7,"~","~~"),"*","~*"),"?","~?"))+COUNTIFS('Calculations'!$IH$13:$IH$512,"="&amp;SUBSTITUTE(SUBSTITUTE(SUBSTITUTE('Calculations'!HF452,"~","~~"),"*","~*"),"?","~?"),'Calculations'!$HN$13:$HN$512,"="&amp;SUBSTITUTE(SUBSTITUTE(SUBSTITUTE('Dashboard'!$B$7,"~","~~"),"*","~*"),"?","~?"))))</x:f>
        <x:v>0</x:v>
      </x:c>
      <x:c r="JD452" t="n">
        <x:f>IF('Calculations'!EM452="",0,IF('Dashboard'!$B$7="All",1,IF('Calculations'!HN452='Dashboard'!$B$7,1,0)+IFERROR(INDEX('Calculations'!$JC$13:$JC$512,MATCH('Calculations'!HE452,'Calculations'!$HF$13:$HF$512,0)),0)))</x:f>
        <x:v>0</x:v>
      </x:c>
      <x:c r="JE452" t="n">
        <x:f>IF(AND('Calculations'!EM452&lt;&gt;"",'Calculations'!$JJ$2&lt;&gt;"All",'Calculations'!$JJ$2&lt;&gt;"",'Calculations'!HF452='Calculations'!$JJ$2,'Calculations'!HL452=0,'Calculations'!JD452&gt;0),MAX('Calculations'!$JE$12:JE451)+1,0)</x:f>
        <x:v>0</x:v>
      </x:c>
      <x:c r="JF452" t="str">
        <x:f>IF('Calculations'!EM452="","",IFERROR(IF(INDEX(INDIRECT("'WCM Calibration Final'!$G$1:$G$2000"),'Calculations'!$EM452)="","",TRIM(INDEX(INDIRECT("'WCM Calibration Final'!$G$1:$G$2000"),'Calculations'!$EM452)&amp;"")),""))</x:f>
      </x:c>
      <x:c r="JQ452" t="n">
        <x:f>IF(OR('Calculations'!BM452=0,NOT('Calculations'!$AG$2),'Calculations'!$AG$8&gt;0),0,IF(OR('Dashboard'!$B$7="All",'Calculations'!HN452='Dashboard'!$B$7),IF('Calculations'!$JJ$2="All",1,IF(AND('Calculations'!HF452='Calculations'!$JJ$2,'Calculations'!HL452=0),1,0)),0))</x:f>
        <x:v>0</x:v>
      </x:c>
    </x:row>
    <x:row r="453">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t="n">
        <x:f>IF('Calculations'!$EM453="",0,IF(OR(IFERROR(INDEX(INDIRECT("'WCM Calibration Final'!$A$1:$A$2000"),'Calculations'!$EM453)&lt;&gt;"",FALSE),IFERROR(INDEX(INDIRECT("'WCM Calibration Final'!$B$1:$B$2000"),'Calculations'!$EM453)&lt;&gt;"",FALSE),IFERROR(INDEX(INDIRECT("'WCM Calibration Final'!$C$1:$C$2000"),'Calculations'!$EM453)&lt;&gt;"",FALSE)),1,0))</x:f>
        <x:v>0</x:v>
      </x:c>
      <x:c r="BN453" s="4" t="n">
        <x:f>IF(AND('Calculations'!BM453=1,'Calculations'!$AG$2,'Calculations'!$EN453=1),1,0)</x:f>
        <x:v>0</x:v>
      </x:c>
      <x:c r="BO453" s="4" t="str">
        <x:f>IF('Calculations'!BM453=0,"",IFERROR(IF(AND(VALUE(INDEX(INDIRECT("'WCM Calibration Final'!$K$1:$K$2000"),'Calculations'!$EM453))&gt;=1,VALUE(INDEX(INDIRECT("'WCM Calibration Final'!$K$1:$K$2000"),'Calculations'!$EM453))&lt;=4,MOD(VALUE(INDEX(INDIRECT("'WCM Calibration Final'!$K$1:$K$2000"),'Calculations'!$EM453)),1)=0),VALUE(INDEX(INDIRECT("'WCM Calibration Final'!$K$1:$K$2000"),'Calculations'!$EM453)),""),""))</x:f>
      </x:c>
      <x:c r="BP453" s="4" t="str">
        <x:f>IF('Calculations'!BM453=0,"",IFERROR(IF(AND(VALUE(INDEX(INDIRECT("'WCM Calibration Final'!$L$1:$L$2000"),'Calculations'!$EM453))&gt;=1,VALUE(INDEX(INDIRECT("'WCM Calibration Final'!$L$1:$L$2000"),'Calculations'!$EM453))&lt;=4,MOD(VALUE(INDEX(INDIRECT("'WCM Calibration Final'!$L$1:$L$2000"),'Calculations'!$EM453)),1)=0),VALUE(INDEX(INDIRECT("'WCM Calibration Final'!$L$1:$L$2000"),'Calculations'!$EM453)),""),""))</x:f>
      </x:c>
      <x:c r="BQ453" s="4"/>
      <x:c r="BR453" s="4"/>
      <x:c r="BS453" s="4"/>
      <x:c r="BT453" s="4" t="n">
        <x:f>IF(AND('Calculations'!BM453=1,ISNUMBER('Calculations'!BO453),ISNUMBER('Calculations'!BP453)),1,0)</x:f>
        <x:v>0</x:v>
      </x:c>
      <x:c r="BU453" s="4" t="str">
        <x:f>IF('Calculations'!BM453=0,"",'Calculations'!$EO453)</x:f>
      </x:c>
      <x:c r="BV453" s="4" t="str">
        <x:f>IF('Calculations'!BM453=0,"",IFERROR(IF(OR(INDEX(INDIRECT("'WCM Calibration Final'!$H$1:$H$2000"),'Calculations'!$EM453)="MANAGING DIRECTOR",INDEX(INDIRECT("'WCM Calibration Final'!$H$1:$H$2000"),'Calculations'!$EM453)="DIRECTOR",INDEX(INDIRECT("'WCM Calibration Final'!$H$1:$H$2000"),'Calculations'!$EM453)="SENIOR VICE PRESIDENT",INDEX(INDIRECT("'WCM Calibration Final'!$H$1:$H$2000"),'Calculations'!$EM453)="VICE PRESIDENT",INDEX(INDIRECT("'WCM Calibration Final'!$H$1:$H$2000"),'Calculations'!$EM453)="ASSISTANT VICE PRESIDENT",INDEX(INDIRECT("'WCM Calibration Final'!$H$1:$H$2000"),'Calculations'!$EM453)="OFFICER"),UPPER(INDEX(INDIRECT("'WCM Calibration Final'!$H$1:$H$2000"),'Calculations'!$EM453)),"Other"),"Other"))</x:f>
      </x:c>
      <x:c r="BW453" s="4"/>
      <x:c r="BX453" s="4"/>
      <x:c r="BY453" s="4" t="n">
        <x:f>IF(AND('Calculations'!BM453=1,'Calculations'!BU453&lt;&gt;"",COUNTIF('Calculations'!$BU$12:BU453,'Calculations'!BU453)=1),MAX('Calculations'!$BY$11:BY452)+1,0)</x:f>
        <x:v>0</x:v>
      </x:c>
      <x:c r="BZ453" s="4" t="str">
        <x:f>IF('Dashboard'!$E$67="What",'Calculations'!BO453,'Calculations'!BP453)</x:f>
      </x:c>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t="str">
        <x:f>IF(442&gt;MAX('Calculations'!$HI$13:$HI$512),"",INDEX('Calculations'!$HN$13:$HN$512,MATCH(442,'Calculations'!$HI$13:$HI$512,0)))</x:f>
      </x:c>
      <x:c r="DB453" s="4" t="str">
        <x:f>IF(442&gt;MAX('Calculations'!$HH$13:$HH$512),"",INDEX('Calculations'!$HJ$13:$HJ$512,MATCH(442,'Calculations'!$HH$13:$HH$512,0)))</x:f>
      </x:c>
      <x:c r="DC453" s="4" t="str">
        <x:f>IF(ROW()-11&gt;MAX('Calculations'!$BY$13:$BY$512),"",INDEX('Calculations'!$BU$13:$BU$512,MATCH(ROW()-11,'Calculations'!$BY$13:$BY$512,0)))</x:f>
      </x:c>
      <x:c r="DD453" s="4" t="str">
        <x:f>IF(442&gt;MAX('Calculations'!$IK$13:$IK$512),"",INDEX('Calculations'!$HK$13:$HK$512,MATCH(442,'Calculations'!$IK$13:$IK$512,0)))</x:f>
      </x:c>
      <x:c r="DE453" s="4" t="str">
        <x:f>'Calculations'!DC453</x:f>
      </x:c>
      <x:c r="DF453" s="4" t="str">
        <x:f>IF('Calculations'!DE453="","",COUNTIFS('Calculations'!$BN$13:$BN$512,1,'Calculations'!$BU$13:$BU$512,'Calculations'!DE453))</x:f>
      </x:c>
      <x:c r="DG453" s="4" t="str">
        <x:f>IF('Calculations'!DE453="","",COUNTIFS('Calculations'!$BN$13:$BN$512,1,'Calculations'!$BU$13:$BU$512,'Calculations'!DE453,'Calculations'!$BT$13:$BT$512,1))</x:f>
      </x:c>
      <x:c r="DH453" s="4" t="str">
        <x:f>IF('Calculations'!DE453="","",'Calculations'!DF453-'Calculations'!DG453)</x:f>
      </x:c>
      <x:c r="DI453" s="4" t="str">
        <x:f>IF(OR('Calculations'!DE453="",'Calculations'!DF453=0),"",'Calculations'!DG453/'Calculations'!DF453)</x:f>
      </x:c>
      <x:c r="DJ453" s="4" t="str">
        <x:f>IF('Calculations'!DE453="","",COUNTIFS('Calculations'!$BN$13:$BN$512,1,'Calculations'!$BU$13:$BU$512,'Calculations'!DE453,'Calculations'!$BT$13:$BT$512,1,'Calculations'!$EE$13:$EE$512,"High"))</x:f>
      </x:c>
      <x:c r="DK453" s="4" t="str">
        <x:f>IF('Calculations'!DE453="","",COUNTIFS('Calculations'!$BN$13:$BN$512,1,'Calculations'!$BU$13:$BU$512,'Calculations'!DE453,'Calculations'!$BT$13:$BT$512,1,'Calculations'!$EE$13:$EE$512,"Strong"))</x:f>
      </x:c>
      <x:c r="DL453" s="4" t="str">
        <x:f>IF('Calculations'!DE453="","",COUNTIFS('Calculations'!$BN$13:$BN$512,1,'Calculations'!$BU$13:$BU$512,'Calculations'!DE453,'Calculations'!$BT$13:$BT$512,1,'Calculations'!$EE$13:$EE$512,"Solid"))</x:f>
      </x:c>
      <x:c r="DM453" s="4" t="str">
        <x:f>IF('Calculations'!DE453="","",COUNTIFS('Calculations'!$BN$13:$BN$512,1,'Calculations'!$BU$13:$BU$512,'Calculations'!DE453,'Calculations'!$BT$13:$BT$512,1,'Calculations'!$EE$13:$EE$512,"Low"))</x:f>
      </x:c>
      <x:c r="DN453" s="4" t="str">
        <x:f>IF('Calculations'!DE453="","",COUNTIFS('Calculations'!$BN$13:$BN$512,1,'Calculations'!$BU$13:$BU$512,'Calculations'!DE453,'Calculations'!$EP$13:$EP$512,1))</x:f>
      </x:c>
      <x:c r="DO453" s="4" t="str">
        <x:f>IF(OR('Calculations'!DE453="",'Calculations'!DG453=0),"",('Calculations'!DJ453+'Calculations'!DK453)/'Calculations'!DG453)</x:f>
      </x:c>
      <x:c r="DP453" s="4" t="n">
        <x:f>IF(AND('Calculations'!DE453&lt;&gt;"",'Calculations'!DF453&gt;0),COUNTIF('Calculations'!$DF$12:DF453,"&gt;0"),0)</x:f>
        <x:v>0</x:v>
      </x:c>
      <x:c r="DQ453" s="4" t="str">
        <x:f>IF(442&gt;MAX('Calculations'!$HH$13:$HH$512),"",INDEX('Calculations'!$HF$13:$HF$512,MATCH(442,'Calculations'!$HH$13:$HH$512,0)))</x:f>
      </x:c>
      <x:c r="DR453" s="4" t="str">
        <x:f>IF(442&gt;MAX('Calculations'!$IK$13:$IK$512),"",INDEX('Calculations'!$HE$13:$HE$512,MATCH(442,'Calculations'!$IK$13:$IK$512,0)))</x:f>
      </x:c>
      <x:c r="DS453" s="4"/>
      <x:c r="DT453" s="4"/>
      <x:c r="DU453" s="4"/>
      <x:c r="DV453" s="4"/>
      <x:c r="DW453" s="4"/>
      <x:c r="DX453" s="4"/>
      <x:c r="DY453" s="4"/>
      <x:c r="DZ453" s="4"/>
      <x:c r="EA453" s="4"/>
      <x:c r="EB453" s="4"/>
      <x:c r="EC453" s="4"/>
      <x:c r="ED453" s="4"/>
      <x:c r="EE453" s="4" t="str">
        <x:f>IF('Calculations'!BT453=0,"Not Rated",IF(OR('Calculations'!BO453&gt;=4,'Calculations'!BP453&gt;=4),"Low",IF('Calculations'!BO453+'Calculations'!BP453&lt;=3,"High",IF('Calculations'!BO453+'Calculations'!BP453&lt;=4,"Strong","Solid"))))</x:f>
        <x:v>Not Rated</x:v>
      </x:c>
      <x:c r="EF453" s="4"/>
      <x:c r="EG453" s="4"/>
      <x:c r="EH453" s="4"/>
      <x:c r="EI453" s="4"/>
      <x:c r="EJ453" s="4"/>
      <x:c r="EK453" s="4"/>
      <x:c r="EL453" s="4"/>
      <x:c r="EM453" s="4" t="str">
        <x:f>IF(441&gt;'Calculations'!$JB$2000,"",INDEX('Calculations'!$JA$12:$JA$2000,MATCH(441,'Calculations'!$JB$12:$JB$2000,0)))</x:f>
      </x:c>
      <x:c r="EN453" s="4" t="n">
        <x:f>IF(OR('Calculations'!EM453="",'Calculations'!$AG$8&gt;0,AND('Calculations'!$EF$2&lt;&gt;"All",'Calculations'!HE453='Calculations'!$EF$2),AND('Calculations'!$EF$3&lt;&gt;"All",'Calculations'!HE453='Calculations'!$EF$3)),0,IF(OR('Dashboard'!$B$7="All",'Calculations'!HN453='Dashboard'!$B$7),IF('Calculations'!$EF$2="All",1,IF('Calculations'!HL453&gt;0,0,IF(COUNTIF('Calculations'!HO453:II453,"="&amp;SUBSTITUTE(SUBSTITUTE(SUBSTITUTE('Calculations'!$EF$2,"~","~~"),"*","~*"),"?","~?"))=0,0,IF('Calculations'!$EF$3="All",1,IF(COUNTIF('Calculations'!HO453:II453,"="&amp;SUBSTITUTE(SUBSTITUTE(SUBSTITUTE('Calculations'!$EF$3,"~","~~"),"*","~*"),"?","~?"))&gt;0,1,0))))),0))</x:f>
        <x:v>0</x:v>
      </x:c>
      <x:c r="EO453" s="4" t="str">
        <x:f>IF('Calculations'!IJ453="","",IF('Calculations'!IJ453="!UNRESOLVED","Unresolved hierarchy",IFERROR(INDEX('Calculations'!$HK$13:$HK$512,MATCH('Calculations'!IJ453,'Calculations'!$HE$13:$HE$512,0)),IFERROR(INDEX('Calculations'!$HJ$13:$HJ$512,MATCH('Calculations'!IJ453,'Calculations'!$HF$13:$HF$512,0)),'Calculations'!IJ453))))</x:f>
      </x:c>
      <x:c r="EP453" s="4" t="n">
        <x:f>IF(AND('Calculations'!EM453&lt;&gt;"",'Calculations'!HF453='Calculations'!IJ453),1,0)</x:f>
        <x:v>0</x:v>
      </x:c>
      <x:c r="EQ453" s="4"/>
      <x:c r="ER453" s="4"/>
      <x:c r="ES453" s="4"/>
      <x:c r="ET453" s="4"/>
      <x:c r="EU453" s="4"/>
      <x:c r="EV453" s="4"/>
      <x:c r="EW453" s="4"/>
      <x:c r="EX453" s="4"/>
      <x:c r="EY453" s="4"/>
      <x:c r="EZ453" s="4"/>
      <x:c r="FA453" s="4"/>
      <x:c r="FB453" s="4"/>
      <x:c r="FC453" s="4"/>
      <x:c r="FD453" s="4"/>
      <x:c r="FE453" s="4"/>
      <x:c r="FF453" s="4"/>
      <x:c r="FG453" s="4"/>
      <x:c r="FH453" s="4"/>
      <x:c r="FI453" s="4"/>
      <x:c r="FJ453" s="4"/>
      <x:c r="FK453" s="4"/>
      <x:c r="FL453" s="4"/>
      <x:c r="FM453" s="4"/>
      <x:c r="FN453" s="4"/>
      <x:c r="FO453" s="4"/>
      <x:c r="HE453" t="str">
        <x:f>IF('Calculations'!EM453="","",IF(IFERROR(IF(INDEX(INDIRECT("'WCM Calibration Final'!$A$1:$A$2000"),'Calculations'!$EM453)="","",TRIM(INDEX(INDIRECT("'WCM Calibration Final'!$A$1:$A$2000"),'Calculations'!$EM453)&amp;"")),"")&lt;&gt;"","G:"&amp;IFERROR(TEXT(1*INDEX(INDIRECT("'WCM Calibration Final'!$A$1:$A$2000"),'Calculations'!$EM453),"0"),UPPER(IFERROR(IF(INDEX(INDIRECT("'WCM Calibration Final'!$A$1:$A$2000"),'Calculations'!$EM453)="","",TRIM(INDEX(INDIRECT("'WCM Calibration Final'!$A$1:$A$2000"),'Calculations'!$EM453)&amp;"")),""))),IF(IFERROR(IF(INDEX(INDIRECT("'WCM Calibration Final'!$C$1:$C$2000"),'Calculations'!$EM453)="","",TRIM(INDEX(INDIRECT("'WCM Calibration Final'!$C$1:$C$2000"),'Calculations'!$EM453)&amp;"")),"")&lt;&gt;"","S:"&amp;UPPER(IFERROR(IF(INDEX(INDIRECT("'WCM Calibration Final'!$C$1:$C$2000"),'Calculations'!$EM453)="","",TRIM(INDEX(INDIRECT("'WCM Calibration Final'!$C$1:$C$2000"),'Calculations'!$EM453)&amp;"")),"")),"R:"&amp;'Calculations'!EM453)))</x:f>
      </x:c>
      <x:c r="HF453" t="str">
        <x:f>IF('Calculations'!EM453="","",IF(IFERROR(IF(INDEX(INDIRECT("'WCM Calibration Final'!$D$1:$D$2000"),'Calculations'!$EM453)="","",TRIM(INDEX(INDIRECT("'WCM Calibration Final'!$D$1:$D$2000"),'Calculations'!$EM453)&amp;"")),"")&lt;&gt;"","G:"&amp;IFERROR(TEXT(1*INDEX(INDIRECT("'WCM Calibration Final'!$D$1:$D$2000"),'Calculations'!$EM453),"0"),UPPER(IFERROR(IF(INDEX(INDIRECT("'WCM Calibration Final'!$D$1:$D$2000"),'Calculations'!$EM453)="","",TRIM(INDEX(INDIRECT("'WCM Calibration Final'!$D$1:$D$2000"),'Calculations'!$EM453)&amp;"")),""))),IF(IFERROR(IF(INDEX(INDIRECT("'WCM Calibration Final'!$E$1:$E$2000"),'Calculations'!$EM453)="","",TRIM(INDEX(INDIRECT("'WCM Calibration Final'!$E$1:$E$2000"),'Calculations'!$EM453)&amp;"")),"")="","",IF(COUNTIF('Calculations'!$HG$13:$HG$512,"="&amp;SUBSTITUTE(SUBSTITUTE(SUBSTITUTE(IFERROR(IF(INDEX(INDIRECT("'WCM Calibration Final'!$E$1:$E$2000"),'Calculations'!$EM453)="","",TRIM(INDEX(INDIRECT("'WCM Calibration Final'!$E$1:$E$2000"),'Calculations'!$EM453)&amp;"")),""),"~","~~"),"*","~*"),"?","~?"))=1,INDEX('Calculations'!$HE$13:$HE$512,MATCH(IFERROR(IF(INDEX(INDIRECT("'WCM Calibration Final'!$E$1:$E$2000"),'Calculations'!$EM453)="","",TRIM(INDEX(INDIRECT("'WCM Calibration Final'!$E$1:$E$2000"),'Calculations'!$EM453)&amp;"")),""),'Calculations'!$HG$13:$HG$512,0)),IF(COUNTIF('Calculations'!$HG$13:$HG$512,"="&amp;SUBSTITUTE(SUBSTITUTE(SUBSTITUTE(IFERROR(IF(INDEX(INDIRECT("'WCM Calibration Final'!$E$1:$E$2000"),'Calculations'!$EM453)="","",TRIM(INDEX(INDIRECT("'WCM Calibration Final'!$E$1:$E$2000"),'Calculations'!$EM453)&amp;"")),""),"~","~~"),"*","~*"),"?","~?"))&gt;1,"!AMBIG","X:"&amp;IFERROR(IF(INDEX(INDIRECT("'WCM Calibration Final'!$E$1:$E$2000"),'Calculations'!$EM453)="","",TRIM(INDEX(INDIRECT("'WCM Calibration Final'!$E$1:$E$2000"),'Calculations'!$EM453)&amp;"")),""))))))</x:f>
      </x:c>
      <x:c r="HG453" t="str">
        <x:f>IF('Calculations'!EM453="","",IFERROR(IF(INDEX(INDIRECT("'WCM Calibration Final'!$B$1:$B$2000"),'Calculations'!$EM453)="","",TRIM(INDEX(INDIRECT("'WCM Calibration Final'!$B$1:$B$2000"),'Calculations'!$EM453)&amp;"")),""))</x:f>
      </x:c>
      <x:c r="HH453" t="n">
        <x:f>IF(AND('Calculations'!JC453&gt;0,COUNTIF('Calculations'!$HF$12:HF453,"="&amp;SUBSTITUTE(SUBSTITUTE(SUBSTITUTE('Calculations'!HF453,"~","~~"),"*","~*"),"?","~?"))=1),MAX('Calculations'!$HH$12:HH452)+1,0)</x:f>
        <x:v>0</x:v>
      </x:c>
      <x:c r="HI453" t="n">
        <x:f>IF(AND('Calculations'!HN453&lt;&gt;"",COUNTIF('Calculations'!$HN$12:HN453,"="&amp;SUBSTITUTE(SUBSTITUTE(SUBSTITUTE('Calculations'!HN453,"~","~~"),"*","~*"),"?","~?"))=1),MAX('Calculations'!$HI$12:HI452)+1,0)</x:f>
        <x:v>0</x:v>
      </x:c>
      <x:c r="HJ453" t="str">
        <x:f>IF('Calculations'!HF453="","",IF(COUNTIF('Calculations'!$HE$13:$HE$512,"="&amp;SUBSTITUTE(SUBSTITUTE(SUBSTITUTE('Calculations'!HF453,"~","~~"),"*","~*"),"?","~?"))=1,INDEX('Calculations'!$HK$13:$HK$512,MATCH('Calculations'!HF453,'Calculations'!$HE$13:$HE$512,0)),IFERROR(IF(INDEX(INDIRECT("'WCM Calibration Final'!$E$1:$E$2000"),'Calculations'!$EM453)="","",TRIM(INDEX(INDIRECT("'WCM Calibration Final'!$E$1:$E$2000"),'Calculations'!$EM453)&amp;"")),"")&amp;" ["&amp;'Calculations'!HF453&amp;"]"))</x:f>
      </x:c>
      <x:c r="HK453" t="str">
        <x:f>IF('Calculations'!EM453="","",'Calculations'!HG453&amp;" ["&amp;'Calculations'!HE453&amp;"]")</x:f>
      </x:c>
      <x:c r="HL453" t="n">
        <x:f>IF('Calculations'!EM453="",0,IF(OR('Calculations'!II453&lt;&gt;"",COUNTIF('Calculations'!$HE$13:$HE$512,"="&amp;SUBSTITUTE(SUBSTITUTE(SUBSTITUTE('Calculations'!HE453,"~","~~"),"*","~*"),"?","~?"))&gt;1),1,0))</x:f>
        <x:v>0</x:v>
      </x:c>
      <x:c r="HM453" t="str">
        <x:f>IF('Calculations'!EM453="","",IF('Calculations'!HL453=1,"!UNRESOLVED",IF('Calculations'!IH453&lt;&gt;"",'Calculations'!IH453,IF('Calculations'!IG453&lt;&gt;"",'Calculations'!IG453,IF('Calculations'!IF453&lt;&gt;"",'Calculations'!IF453,IF('Calculations'!IE453&lt;&gt;"",'Calculations'!IE453,IF('Calculations'!ID453&lt;&gt;"",'Calculations'!ID453,IF('Calculations'!IC453&lt;&gt;"",'Calculations'!IC453,IF('Calculations'!IB453&lt;&gt;"",'Calculations'!IB453,IF('Calculations'!IA453&lt;&gt;"",'Calculations'!IA453,IF('Calculations'!HZ453&lt;&gt;"",'Calculations'!HZ453,IF('Calculations'!HY453&lt;&gt;"",'Calculations'!HY453,IF('Calculations'!HX453&lt;&gt;"",'Calculations'!HX453,IF('Calculations'!HW453&lt;&gt;"",'Calculations'!HW453,IF('Calculations'!HV453&lt;&gt;"",'Calculations'!HV453,IF('Calculations'!HU453&lt;&gt;"",'Calculations'!HU453,IF('Calculations'!HT453&lt;&gt;"",'Calculations'!HT453,IF('Calculations'!HS453&lt;&gt;"",'Calculations'!HS453,IF('Calculations'!HR453&lt;&gt;"",'Calculations'!HR453,IF('Calculations'!HQ453&lt;&gt;"",'Calculations'!HQ453,IF('Calculations'!HP453&lt;&gt;"",'Calculations'!HP453,IF('Calculations'!HO453&lt;&gt;"",'Calculations'!HO453,'Calculations'!HE453))))))))))))))))))))))</x:f>
      </x:c>
      <x:c r="HN453" t="str">
        <x:f>IF('Calculations'!EM453="","",IF(IFERROR(IF(INDEX(INDIRECT("'WCM Calibration Final'!$F$1:$F$2000"),'Calculations'!$EM453)="","",TRIM(INDEX(INDIRECT("'WCM Calibration Final'!$F$1:$F$2000"),'Calculations'!$EM453)&amp;"")),"")="","(Blank)",IFERROR(IF(INDEX(INDIRECT("'WCM Calibration Final'!$F$1:$F$2000"),'Calculations'!$EM453)="","",TRIM(INDEX(INDIRECT("'WCM Calibration Final'!$F$1:$F$2000"),'Calculations'!$EM453)&amp;"")),"")))</x:f>
      </x:c>
      <x:c r="HO453" t="str">
        <x:f>'Calculations'!HF453</x:f>
      </x:c>
      <x:c r="HP453" t="str">
        <x:f>IF('Calculations'!HO453="","",IF('Calculations'!HO453="!AMBIG","!AMBIG",IF(COUNTIF('Calculations'!$HE$13:$HE$512,"="&amp;SUBSTITUTE(SUBSTITUTE(SUBSTITUTE('Calculations'!HO453,"~","~~"),"*","~*"),"?","~?"))&gt;1,"!AMBIG",IFERROR(INDEX('Calculations'!$HF$13:$HF$512,MATCH('Calculations'!HO453,'Calculations'!$HE$13:$HE$512,0)),""))))</x:f>
      </x:c>
      <x:c r="HQ453" t="str">
        <x:f>IF('Calculations'!HP453="","",IF('Calculations'!HP453="!AMBIG","!AMBIG",IF(COUNTIF('Calculations'!$HE$13:$HE$512,"="&amp;SUBSTITUTE(SUBSTITUTE(SUBSTITUTE('Calculations'!HP453,"~","~~"),"*","~*"),"?","~?"))&gt;1,"!AMBIG",IFERROR(INDEX('Calculations'!$HF$13:$HF$512,MATCH('Calculations'!HP453,'Calculations'!$HE$13:$HE$512,0)),""))))</x:f>
      </x:c>
      <x:c r="HR453" t="str">
        <x:f>IF('Calculations'!HQ453="","",IF('Calculations'!HQ453="!AMBIG","!AMBIG",IF(COUNTIF('Calculations'!$HE$13:$HE$512,"="&amp;SUBSTITUTE(SUBSTITUTE(SUBSTITUTE('Calculations'!HQ453,"~","~~"),"*","~*"),"?","~?"))&gt;1,"!AMBIG",IFERROR(INDEX('Calculations'!$HF$13:$HF$512,MATCH('Calculations'!HQ453,'Calculations'!$HE$13:$HE$512,0)),""))))</x:f>
      </x:c>
      <x:c r="HS453" t="str">
        <x:f>IF('Calculations'!HR453="","",IF('Calculations'!HR453="!AMBIG","!AMBIG",IF(COUNTIF('Calculations'!$HE$13:$HE$512,"="&amp;SUBSTITUTE(SUBSTITUTE(SUBSTITUTE('Calculations'!HR453,"~","~~"),"*","~*"),"?","~?"))&gt;1,"!AMBIG",IFERROR(INDEX('Calculations'!$HF$13:$HF$512,MATCH('Calculations'!HR453,'Calculations'!$HE$13:$HE$512,0)),""))))</x:f>
      </x:c>
      <x:c r="HT453" t="str">
        <x:f>IF('Calculations'!HS453="","",IF('Calculations'!HS453="!AMBIG","!AMBIG",IF(COUNTIF('Calculations'!$HE$13:$HE$512,"="&amp;SUBSTITUTE(SUBSTITUTE(SUBSTITUTE('Calculations'!HS453,"~","~~"),"*","~*"),"?","~?"))&gt;1,"!AMBIG",IFERROR(INDEX('Calculations'!$HF$13:$HF$512,MATCH('Calculations'!HS453,'Calculations'!$HE$13:$HE$512,0)),""))))</x:f>
      </x:c>
      <x:c r="HU453" t="str">
        <x:f>IF('Calculations'!HT453="","",IF('Calculations'!HT453="!AMBIG","!AMBIG",IF(COUNTIF('Calculations'!$HE$13:$HE$512,"="&amp;SUBSTITUTE(SUBSTITUTE(SUBSTITUTE('Calculations'!HT453,"~","~~"),"*","~*"),"?","~?"))&gt;1,"!AMBIG",IFERROR(INDEX('Calculations'!$HF$13:$HF$512,MATCH('Calculations'!HT453,'Calculations'!$HE$13:$HE$512,0)),""))))</x:f>
      </x:c>
      <x:c r="HV453" t="str">
        <x:f>IF('Calculations'!HU453="","",IF('Calculations'!HU453="!AMBIG","!AMBIG",IF(COUNTIF('Calculations'!$HE$13:$HE$512,"="&amp;SUBSTITUTE(SUBSTITUTE(SUBSTITUTE('Calculations'!HU453,"~","~~"),"*","~*"),"?","~?"))&gt;1,"!AMBIG",IFERROR(INDEX('Calculations'!$HF$13:$HF$512,MATCH('Calculations'!HU453,'Calculations'!$HE$13:$HE$512,0)),""))))</x:f>
      </x:c>
      <x:c r="HW453" t="str">
        <x:f>IF('Calculations'!HV453="","",IF('Calculations'!HV453="!AMBIG","!AMBIG",IF(COUNTIF('Calculations'!$HE$13:$HE$512,"="&amp;SUBSTITUTE(SUBSTITUTE(SUBSTITUTE('Calculations'!HV453,"~","~~"),"*","~*"),"?","~?"))&gt;1,"!AMBIG",IFERROR(INDEX('Calculations'!$HF$13:$HF$512,MATCH('Calculations'!HV453,'Calculations'!$HE$13:$HE$512,0)),""))))</x:f>
      </x:c>
      <x:c r="HX453" t="str">
        <x:f>IF('Calculations'!HW453="","",IF('Calculations'!HW453="!AMBIG","!AMBIG",IF(COUNTIF('Calculations'!$HE$13:$HE$512,"="&amp;SUBSTITUTE(SUBSTITUTE(SUBSTITUTE('Calculations'!HW453,"~","~~"),"*","~*"),"?","~?"))&gt;1,"!AMBIG",IFERROR(INDEX('Calculations'!$HF$13:$HF$512,MATCH('Calculations'!HW453,'Calculations'!$HE$13:$HE$512,0)),""))))</x:f>
      </x:c>
      <x:c r="HY453" t="str">
        <x:f>IF('Calculations'!HX453="","",IF('Calculations'!HX453="!AMBIG","!AMBIG",IF(COUNTIF('Calculations'!$HE$13:$HE$512,"="&amp;SUBSTITUTE(SUBSTITUTE(SUBSTITUTE('Calculations'!HX453,"~","~~"),"*","~*"),"?","~?"))&gt;1,"!AMBIG",IFERROR(INDEX('Calculations'!$HF$13:$HF$512,MATCH('Calculations'!HX453,'Calculations'!$HE$13:$HE$512,0)),""))))</x:f>
      </x:c>
      <x:c r="HZ453" t="str">
        <x:f>IF('Calculations'!HY453="","",IF('Calculations'!HY453="!AMBIG","!AMBIG",IF(COUNTIF('Calculations'!$HE$13:$HE$512,"="&amp;SUBSTITUTE(SUBSTITUTE(SUBSTITUTE('Calculations'!HY453,"~","~~"),"*","~*"),"?","~?"))&gt;1,"!AMBIG",IFERROR(INDEX('Calculations'!$HF$13:$HF$512,MATCH('Calculations'!HY453,'Calculations'!$HE$13:$HE$512,0)),""))))</x:f>
      </x:c>
      <x:c r="IA453" t="str">
        <x:f>IF('Calculations'!HZ453="","",IF('Calculations'!HZ453="!AMBIG","!AMBIG",IF(COUNTIF('Calculations'!$HE$13:$HE$512,"="&amp;SUBSTITUTE(SUBSTITUTE(SUBSTITUTE('Calculations'!HZ453,"~","~~"),"*","~*"),"?","~?"))&gt;1,"!AMBIG",IFERROR(INDEX('Calculations'!$HF$13:$HF$512,MATCH('Calculations'!HZ453,'Calculations'!$HE$13:$HE$512,0)),""))))</x:f>
      </x:c>
      <x:c r="IB453" t="str">
        <x:f>IF('Calculations'!IA453="","",IF('Calculations'!IA453="!AMBIG","!AMBIG",IF(COUNTIF('Calculations'!$HE$13:$HE$512,"="&amp;SUBSTITUTE(SUBSTITUTE(SUBSTITUTE('Calculations'!IA453,"~","~~"),"*","~*"),"?","~?"))&gt;1,"!AMBIG",IFERROR(INDEX('Calculations'!$HF$13:$HF$512,MATCH('Calculations'!IA453,'Calculations'!$HE$13:$HE$512,0)),""))))</x:f>
      </x:c>
      <x:c r="IC453" t="str">
        <x:f>IF('Calculations'!IB453="","",IF('Calculations'!IB453="!AMBIG","!AMBIG",IF(COUNTIF('Calculations'!$HE$13:$HE$512,"="&amp;SUBSTITUTE(SUBSTITUTE(SUBSTITUTE('Calculations'!IB453,"~","~~"),"*","~*"),"?","~?"))&gt;1,"!AMBIG",IFERROR(INDEX('Calculations'!$HF$13:$HF$512,MATCH('Calculations'!IB453,'Calculations'!$HE$13:$HE$512,0)),""))))</x:f>
      </x:c>
      <x:c r="ID453" t="str">
        <x:f>IF('Calculations'!IC453="","",IF('Calculations'!IC453="!AMBIG","!AMBIG",IF(COUNTIF('Calculations'!$HE$13:$HE$512,"="&amp;SUBSTITUTE(SUBSTITUTE(SUBSTITUTE('Calculations'!IC453,"~","~~"),"*","~*"),"?","~?"))&gt;1,"!AMBIG",IFERROR(INDEX('Calculations'!$HF$13:$HF$512,MATCH('Calculations'!IC453,'Calculations'!$HE$13:$HE$512,0)),""))))</x:f>
      </x:c>
      <x:c r="IE453" t="str">
        <x:f>IF('Calculations'!ID453="","",IF('Calculations'!ID453="!AMBIG","!AMBIG",IF(COUNTIF('Calculations'!$HE$13:$HE$512,"="&amp;SUBSTITUTE(SUBSTITUTE(SUBSTITUTE('Calculations'!ID453,"~","~~"),"*","~*"),"?","~?"))&gt;1,"!AMBIG",IFERROR(INDEX('Calculations'!$HF$13:$HF$512,MATCH('Calculations'!ID453,'Calculations'!$HE$13:$HE$512,0)),""))))</x:f>
      </x:c>
      <x:c r="IF453" t="str">
        <x:f>IF('Calculations'!IE453="","",IF('Calculations'!IE453="!AMBIG","!AMBIG",IF(COUNTIF('Calculations'!$HE$13:$HE$512,"="&amp;SUBSTITUTE(SUBSTITUTE(SUBSTITUTE('Calculations'!IE453,"~","~~"),"*","~*"),"?","~?"))&gt;1,"!AMBIG",IFERROR(INDEX('Calculations'!$HF$13:$HF$512,MATCH('Calculations'!IE453,'Calculations'!$HE$13:$HE$512,0)),""))))</x:f>
      </x:c>
      <x:c r="IG453" t="str">
        <x:f>IF('Calculations'!IF453="","",IF('Calculations'!IF453="!AMBIG","!AMBIG",IF(COUNTIF('Calculations'!$HE$13:$HE$512,"="&amp;SUBSTITUTE(SUBSTITUTE(SUBSTITUTE('Calculations'!IF453,"~","~~"),"*","~*"),"?","~?"))&gt;1,"!AMBIG",IFERROR(INDEX('Calculations'!$HF$13:$HF$512,MATCH('Calculations'!IF453,'Calculations'!$HE$13:$HE$512,0)),""))))</x:f>
      </x:c>
      <x:c r="IH453" t="str">
        <x:f>IF('Calculations'!IG453="","",IF('Calculations'!IG453="!AMBIG","!AMBIG",IF(COUNTIF('Calculations'!$HE$13:$HE$512,"="&amp;SUBSTITUTE(SUBSTITUTE(SUBSTITUTE('Calculations'!IG453,"~","~~"),"*","~*"),"?","~?"))&gt;1,"!AMBIG",IFERROR(INDEX('Calculations'!$HF$13:$HF$512,MATCH('Calculations'!IG453,'Calculations'!$HE$13:$HE$512,0)),""))))</x:f>
      </x:c>
      <x:c r="II453" t="str">
        <x:f>IF('Calculations'!IH453="","",IF('Calculations'!IH453="!AMBIG","!AMBIG",IF(COUNTIF('Calculations'!$HE$13:$HE$512,"="&amp;SUBSTITUTE(SUBSTITUTE(SUBSTITUTE('Calculations'!IH453,"~","~~"),"*","~*"),"?","~?"))&gt;1,"!AMBIG",IFERROR(INDEX('Calculations'!$HF$13:$HF$512,MATCH('Calculations'!IH453,'Calculations'!$HE$13:$HE$512,0)),""))))</x:f>
      </x:c>
      <x:c r="IJ453" t="str">
        <x:f>IF('Calculations'!EM453="","",IF('Calculations'!$EF$2="All",'Calculations'!HM453,IF('Calculations'!HL453=1,"",IFERROR(IF(MATCH('Calculations'!$EF$2,'Calculations'!HO453:II453,0)=1,'Calculations'!HE453,INDEX('Calculations'!HO453:II453,1,MATCH('Calculations'!$EF$2,'Calculations'!HO453:II453,0)-1)),""))))</x:f>
      </x:c>
      <x:c r="IK453" t="n">
        <x:f>IF(AND('Calculations'!EM453&lt;&gt;"",'Calculations'!$EF$2&lt;&gt;"All",'Calculations'!HF453='Calculations'!$EF$2,'Calculations'!HL453=0,'Calculations'!JD453&gt;0),MAX('Calculations'!$IK$12:IK452)+1,0)</x:f>
        <x:v>0</x:v>
      </x:c>
      <x:c r="JA453" t="n">
        <x:f>IF(OR(IFERROR(INDIRECT("'WCM Calibration Final'!$A$453")&lt;&gt;"",FALSE),IFERROR(INDIRECT("'WCM Calibration Final'!$B$453")&lt;&gt;"",FALSE),IFERROR(INDIRECT("'WCM Calibration Final'!$C$453")&lt;&gt;"",FALSE)),453,0)</x:f>
        <x:v>0</x:v>
      </x:c>
      <x:c r="JB453" t="n">
        <x:f>'Calculations'!JB452+IF('Calculations'!JA453&gt;0,1,0)</x:f>
        <x:v>0</x:v>
      </x:c>
      <x:c r="JC453" t="n">
        <x:f>IF(OR('Calculations'!HF453="",'Calculations'!HF453="!AMBIG"),0,IF('Dashboard'!$B$7="All",1,COUNTIFS('Calculations'!$HO$13:$HO$512,"="&amp;SUBSTITUTE(SUBSTITUTE(SUBSTITUTE('Calculations'!HF453,"~","~~"),"*","~*"),"?","~?"),'Calculations'!$HN$13:$HN$512,"="&amp;SUBSTITUTE(SUBSTITUTE(SUBSTITUTE('Dashboard'!$B$7,"~","~~"),"*","~*"),"?","~?"))+COUNTIFS('Calculations'!$HP$13:$HP$512,"="&amp;SUBSTITUTE(SUBSTITUTE(SUBSTITUTE('Calculations'!HF453,"~","~~"),"*","~*"),"?","~?"),'Calculations'!$HN$13:$HN$512,"="&amp;SUBSTITUTE(SUBSTITUTE(SUBSTITUTE('Dashboard'!$B$7,"~","~~"),"*","~*"),"?","~?"))+COUNTIFS('Calculations'!$HQ$13:$HQ$512,"="&amp;SUBSTITUTE(SUBSTITUTE(SUBSTITUTE('Calculations'!HF453,"~","~~"),"*","~*"),"?","~?"),'Calculations'!$HN$13:$HN$512,"="&amp;SUBSTITUTE(SUBSTITUTE(SUBSTITUTE('Dashboard'!$B$7,"~","~~"),"*","~*"),"?","~?"))+COUNTIFS('Calculations'!$HR$13:$HR$512,"="&amp;SUBSTITUTE(SUBSTITUTE(SUBSTITUTE('Calculations'!HF453,"~","~~"),"*","~*"),"?","~?"),'Calculations'!$HN$13:$HN$512,"="&amp;SUBSTITUTE(SUBSTITUTE(SUBSTITUTE('Dashboard'!$B$7,"~","~~"),"*","~*"),"?","~?"))+COUNTIFS('Calculations'!$HS$13:$HS$512,"="&amp;SUBSTITUTE(SUBSTITUTE(SUBSTITUTE('Calculations'!HF453,"~","~~"),"*","~*"),"?","~?"),'Calculations'!$HN$13:$HN$512,"="&amp;SUBSTITUTE(SUBSTITUTE(SUBSTITUTE('Dashboard'!$B$7,"~","~~"),"*","~*"),"?","~?"))+COUNTIFS('Calculations'!$HT$13:$HT$512,"="&amp;SUBSTITUTE(SUBSTITUTE(SUBSTITUTE('Calculations'!HF453,"~","~~"),"*","~*"),"?","~?"),'Calculations'!$HN$13:$HN$512,"="&amp;SUBSTITUTE(SUBSTITUTE(SUBSTITUTE('Dashboard'!$B$7,"~","~~"),"*","~*"),"?","~?"))+COUNTIFS('Calculations'!$HU$13:$HU$512,"="&amp;SUBSTITUTE(SUBSTITUTE(SUBSTITUTE('Calculations'!HF453,"~","~~"),"*","~*"),"?","~?"),'Calculations'!$HN$13:$HN$512,"="&amp;SUBSTITUTE(SUBSTITUTE(SUBSTITUTE('Dashboard'!$B$7,"~","~~"),"*","~*"),"?","~?"))+COUNTIFS('Calculations'!$HV$13:$HV$512,"="&amp;SUBSTITUTE(SUBSTITUTE(SUBSTITUTE('Calculations'!HF453,"~","~~"),"*","~*"),"?","~?"),'Calculations'!$HN$13:$HN$512,"="&amp;SUBSTITUTE(SUBSTITUTE(SUBSTITUTE('Dashboard'!$B$7,"~","~~"),"*","~*"),"?","~?"))+COUNTIFS('Calculations'!$HW$13:$HW$512,"="&amp;SUBSTITUTE(SUBSTITUTE(SUBSTITUTE('Calculations'!HF453,"~","~~"),"*","~*"),"?","~?"),'Calculations'!$HN$13:$HN$512,"="&amp;SUBSTITUTE(SUBSTITUTE(SUBSTITUTE('Dashboard'!$B$7,"~","~~"),"*","~*"),"?","~?"))+COUNTIFS('Calculations'!$HX$13:$HX$512,"="&amp;SUBSTITUTE(SUBSTITUTE(SUBSTITUTE('Calculations'!HF453,"~","~~"),"*","~*"),"?","~?"),'Calculations'!$HN$13:$HN$512,"="&amp;SUBSTITUTE(SUBSTITUTE(SUBSTITUTE('Dashboard'!$B$7,"~","~~"),"*","~*"),"?","~?"))+COUNTIFS('Calculations'!$HY$13:$HY$512,"="&amp;SUBSTITUTE(SUBSTITUTE(SUBSTITUTE('Calculations'!HF453,"~","~~"),"*","~*"),"?","~?"),'Calculations'!$HN$13:$HN$512,"="&amp;SUBSTITUTE(SUBSTITUTE(SUBSTITUTE('Dashboard'!$B$7,"~","~~"),"*","~*"),"?","~?"))+COUNTIFS('Calculations'!$HZ$13:$HZ$512,"="&amp;SUBSTITUTE(SUBSTITUTE(SUBSTITUTE('Calculations'!HF453,"~","~~"),"*","~*"),"?","~?"),'Calculations'!$HN$13:$HN$512,"="&amp;SUBSTITUTE(SUBSTITUTE(SUBSTITUTE('Dashboard'!$B$7,"~","~~"),"*","~*"),"?","~?"))+COUNTIFS('Calculations'!$IA$13:$IA$512,"="&amp;SUBSTITUTE(SUBSTITUTE(SUBSTITUTE('Calculations'!HF453,"~","~~"),"*","~*"),"?","~?"),'Calculations'!$HN$13:$HN$512,"="&amp;SUBSTITUTE(SUBSTITUTE(SUBSTITUTE('Dashboard'!$B$7,"~","~~"),"*","~*"),"?","~?"))+COUNTIFS('Calculations'!$IB$13:$IB$512,"="&amp;SUBSTITUTE(SUBSTITUTE(SUBSTITUTE('Calculations'!HF453,"~","~~"),"*","~*"),"?","~?"),'Calculations'!$HN$13:$HN$512,"="&amp;SUBSTITUTE(SUBSTITUTE(SUBSTITUTE('Dashboard'!$B$7,"~","~~"),"*","~*"),"?","~?"))+COUNTIFS('Calculations'!$IC$13:$IC$512,"="&amp;SUBSTITUTE(SUBSTITUTE(SUBSTITUTE('Calculations'!HF453,"~","~~"),"*","~*"),"?","~?"),'Calculations'!$HN$13:$HN$512,"="&amp;SUBSTITUTE(SUBSTITUTE(SUBSTITUTE('Dashboard'!$B$7,"~","~~"),"*","~*"),"?","~?"))+COUNTIFS('Calculations'!$ID$13:$ID$512,"="&amp;SUBSTITUTE(SUBSTITUTE(SUBSTITUTE('Calculations'!HF453,"~","~~"),"*","~*"),"?","~?"),'Calculations'!$HN$13:$HN$512,"="&amp;SUBSTITUTE(SUBSTITUTE(SUBSTITUTE('Dashboard'!$B$7,"~","~~"),"*","~*"),"?","~?"))+COUNTIFS('Calculations'!$IE$13:$IE$512,"="&amp;SUBSTITUTE(SUBSTITUTE(SUBSTITUTE('Calculations'!HF453,"~","~~"),"*","~*"),"?","~?"),'Calculations'!$HN$13:$HN$512,"="&amp;SUBSTITUTE(SUBSTITUTE(SUBSTITUTE('Dashboard'!$B$7,"~","~~"),"*","~*"),"?","~?"))+COUNTIFS('Calculations'!$IF$13:$IF$512,"="&amp;SUBSTITUTE(SUBSTITUTE(SUBSTITUTE('Calculations'!HF453,"~","~~"),"*","~*"),"?","~?"),'Calculations'!$HN$13:$HN$512,"="&amp;SUBSTITUTE(SUBSTITUTE(SUBSTITUTE('Dashboard'!$B$7,"~","~~"),"*","~*"),"?","~?"))+COUNTIFS('Calculations'!$IG$13:$IG$512,"="&amp;SUBSTITUTE(SUBSTITUTE(SUBSTITUTE('Calculations'!HF453,"~","~~"),"*","~*"),"?","~?"),'Calculations'!$HN$13:$HN$512,"="&amp;SUBSTITUTE(SUBSTITUTE(SUBSTITUTE('Dashboard'!$B$7,"~","~~"),"*","~*"),"?","~?"))+COUNTIFS('Calculations'!$IH$13:$IH$512,"="&amp;SUBSTITUTE(SUBSTITUTE(SUBSTITUTE('Calculations'!HF453,"~","~~"),"*","~*"),"?","~?"),'Calculations'!$HN$13:$HN$512,"="&amp;SUBSTITUTE(SUBSTITUTE(SUBSTITUTE('Dashboard'!$B$7,"~","~~"),"*","~*"),"?","~?"))))</x:f>
        <x:v>0</x:v>
      </x:c>
      <x:c r="JD453" t="n">
        <x:f>IF('Calculations'!EM453="",0,IF('Dashboard'!$B$7="All",1,IF('Calculations'!HN453='Dashboard'!$B$7,1,0)+IFERROR(INDEX('Calculations'!$JC$13:$JC$512,MATCH('Calculations'!HE453,'Calculations'!$HF$13:$HF$512,0)),0)))</x:f>
        <x:v>0</x:v>
      </x:c>
      <x:c r="JE453" t="n">
        <x:f>IF(AND('Calculations'!EM453&lt;&gt;"",'Calculations'!$JJ$2&lt;&gt;"All",'Calculations'!$JJ$2&lt;&gt;"",'Calculations'!HF453='Calculations'!$JJ$2,'Calculations'!HL453=0,'Calculations'!JD453&gt;0),MAX('Calculations'!$JE$12:JE452)+1,0)</x:f>
        <x:v>0</x:v>
      </x:c>
      <x:c r="JF453" t="str">
        <x:f>IF('Calculations'!EM453="","",IFERROR(IF(INDEX(INDIRECT("'WCM Calibration Final'!$G$1:$G$2000"),'Calculations'!$EM453)="","",TRIM(INDEX(INDIRECT("'WCM Calibration Final'!$G$1:$G$2000"),'Calculations'!$EM453)&amp;"")),""))</x:f>
      </x:c>
      <x:c r="JQ453" t="n">
        <x:f>IF(OR('Calculations'!BM453=0,NOT('Calculations'!$AG$2),'Calculations'!$AG$8&gt;0),0,IF(OR('Dashboard'!$B$7="All",'Calculations'!HN453='Dashboard'!$B$7),IF('Calculations'!$JJ$2="All",1,IF(AND('Calculations'!HF453='Calculations'!$JJ$2,'Calculations'!HL453=0),1,0)),0))</x:f>
        <x:v>0</x:v>
      </x:c>
    </x:row>
    <x:row r="454">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t="n">
        <x:f>IF('Calculations'!$EM454="",0,IF(OR(IFERROR(INDEX(INDIRECT("'WCM Calibration Final'!$A$1:$A$2000"),'Calculations'!$EM454)&lt;&gt;"",FALSE),IFERROR(INDEX(INDIRECT("'WCM Calibration Final'!$B$1:$B$2000"),'Calculations'!$EM454)&lt;&gt;"",FALSE),IFERROR(INDEX(INDIRECT("'WCM Calibration Final'!$C$1:$C$2000"),'Calculations'!$EM454)&lt;&gt;"",FALSE)),1,0))</x:f>
        <x:v>0</x:v>
      </x:c>
      <x:c r="BN454" s="4" t="n">
        <x:f>IF(AND('Calculations'!BM454=1,'Calculations'!$AG$2,'Calculations'!$EN454=1),1,0)</x:f>
        <x:v>0</x:v>
      </x:c>
      <x:c r="BO454" s="4" t="str">
        <x:f>IF('Calculations'!BM454=0,"",IFERROR(IF(AND(VALUE(INDEX(INDIRECT("'WCM Calibration Final'!$K$1:$K$2000"),'Calculations'!$EM454))&gt;=1,VALUE(INDEX(INDIRECT("'WCM Calibration Final'!$K$1:$K$2000"),'Calculations'!$EM454))&lt;=4,MOD(VALUE(INDEX(INDIRECT("'WCM Calibration Final'!$K$1:$K$2000"),'Calculations'!$EM454)),1)=0),VALUE(INDEX(INDIRECT("'WCM Calibration Final'!$K$1:$K$2000"),'Calculations'!$EM454)),""),""))</x:f>
      </x:c>
      <x:c r="BP454" s="4" t="str">
        <x:f>IF('Calculations'!BM454=0,"",IFERROR(IF(AND(VALUE(INDEX(INDIRECT("'WCM Calibration Final'!$L$1:$L$2000"),'Calculations'!$EM454))&gt;=1,VALUE(INDEX(INDIRECT("'WCM Calibration Final'!$L$1:$L$2000"),'Calculations'!$EM454))&lt;=4,MOD(VALUE(INDEX(INDIRECT("'WCM Calibration Final'!$L$1:$L$2000"),'Calculations'!$EM454)),1)=0),VALUE(INDEX(INDIRECT("'WCM Calibration Final'!$L$1:$L$2000"),'Calculations'!$EM454)),""),""))</x:f>
      </x:c>
      <x:c r="BQ454" s="4"/>
      <x:c r="BR454" s="4"/>
      <x:c r="BS454" s="4"/>
      <x:c r="BT454" s="4" t="n">
        <x:f>IF(AND('Calculations'!BM454=1,ISNUMBER('Calculations'!BO454),ISNUMBER('Calculations'!BP454)),1,0)</x:f>
        <x:v>0</x:v>
      </x:c>
      <x:c r="BU454" s="4" t="str">
        <x:f>IF('Calculations'!BM454=0,"",'Calculations'!$EO454)</x:f>
      </x:c>
      <x:c r="BV454" s="4" t="str">
        <x:f>IF('Calculations'!BM454=0,"",IFERROR(IF(OR(INDEX(INDIRECT("'WCM Calibration Final'!$H$1:$H$2000"),'Calculations'!$EM454)="MANAGING DIRECTOR",INDEX(INDIRECT("'WCM Calibration Final'!$H$1:$H$2000"),'Calculations'!$EM454)="DIRECTOR",INDEX(INDIRECT("'WCM Calibration Final'!$H$1:$H$2000"),'Calculations'!$EM454)="SENIOR VICE PRESIDENT",INDEX(INDIRECT("'WCM Calibration Final'!$H$1:$H$2000"),'Calculations'!$EM454)="VICE PRESIDENT",INDEX(INDIRECT("'WCM Calibration Final'!$H$1:$H$2000"),'Calculations'!$EM454)="ASSISTANT VICE PRESIDENT",INDEX(INDIRECT("'WCM Calibration Final'!$H$1:$H$2000"),'Calculations'!$EM454)="OFFICER"),UPPER(INDEX(INDIRECT("'WCM Calibration Final'!$H$1:$H$2000"),'Calculations'!$EM454)),"Other"),"Other"))</x:f>
      </x:c>
      <x:c r="BW454" s="4"/>
      <x:c r="BX454" s="4"/>
      <x:c r="BY454" s="4" t="n">
        <x:f>IF(AND('Calculations'!BM454=1,'Calculations'!BU454&lt;&gt;"",COUNTIF('Calculations'!$BU$12:BU454,'Calculations'!BU454)=1),MAX('Calculations'!$BY$11:BY453)+1,0)</x:f>
        <x:v>0</x:v>
      </x:c>
      <x:c r="BZ454" s="4" t="str">
        <x:f>IF('Dashboard'!$E$67="What",'Calculations'!BO454,'Calculations'!BP454)</x:f>
      </x:c>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t="str">
        <x:f>IF(443&gt;MAX('Calculations'!$HI$13:$HI$512),"",INDEX('Calculations'!$HN$13:$HN$512,MATCH(443,'Calculations'!$HI$13:$HI$512,0)))</x:f>
      </x:c>
      <x:c r="DB454" s="4" t="str">
        <x:f>IF(443&gt;MAX('Calculations'!$HH$13:$HH$512),"",INDEX('Calculations'!$HJ$13:$HJ$512,MATCH(443,'Calculations'!$HH$13:$HH$512,0)))</x:f>
      </x:c>
      <x:c r="DC454" s="4" t="str">
        <x:f>IF(ROW()-11&gt;MAX('Calculations'!$BY$13:$BY$512),"",INDEX('Calculations'!$BU$13:$BU$512,MATCH(ROW()-11,'Calculations'!$BY$13:$BY$512,0)))</x:f>
      </x:c>
      <x:c r="DD454" s="4" t="str">
        <x:f>IF(443&gt;MAX('Calculations'!$IK$13:$IK$512),"",INDEX('Calculations'!$HK$13:$HK$512,MATCH(443,'Calculations'!$IK$13:$IK$512,0)))</x:f>
      </x:c>
      <x:c r="DE454" s="4" t="str">
        <x:f>'Calculations'!DC454</x:f>
      </x:c>
      <x:c r="DF454" s="4" t="str">
        <x:f>IF('Calculations'!DE454="","",COUNTIFS('Calculations'!$BN$13:$BN$512,1,'Calculations'!$BU$13:$BU$512,'Calculations'!DE454))</x:f>
      </x:c>
      <x:c r="DG454" s="4" t="str">
        <x:f>IF('Calculations'!DE454="","",COUNTIFS('Calculations'!$BN$13:$BN$512,1,'Calculations'!$BU$13:$BU$512,'Calculations'!DE454,'Calculations'!$BT$13:$BT$512,1))</x:f>
      </x:c>
      <x:c r="DH454" s="4" t="str">
        <x:f>IF('Calculations'!DE454="","",'Calculations'!DF454-'Calculations'!DG454)</x:f>
      </x:c>
      <x:c r="DI454" s="4" t="str">
        <x:f>IF(OR('Calculations'!DE454="",'Calculations'!DF454=0),"",'Calculations'!DG454/'Calculations'!DF454)</x:f>
      </x:c>
      <x:c r="DJ454" s="4" t="str">
        <x:f>IF('Calculations'!DE454="","",COUNTIFS('Calculations'!$BN$13:$BN$512,1,'Calculations'!$BU$13:$BU$512,'Calculations'!DE454,'Calculations'!$BT$13:$BT$512,1,'Calculations'!$EE$13:$EE$512,"High"))</x:f>
      </x:c>
      <x:c r="DK454" s="4" t="str">
        <x:f>IF('Calculations'!DE454="","",COUNTIFS('Calculations'!$BN$13:$BN$512,1,'Calculations'!$BU$13:$BU$512,'Calculations'!DE454,'Calculations'!$BT$13:$BT$512,1,'Calculations'!$EE$13:$EE$512,"Strong"))</x:f>
      </x:c>
      <x:c r="DL454" s="4" t="str">
        <x:f>IF('Calculations'!DE454="","",COUNTIFS('Calculations'!$BN$13:$BN$512,1,'Calculations'!$BU$13:$BU$512,'Calculations'!DE454,'Calculations'!$BT$13:$BT$512,1,'Calculations'!$EE$13:$EE$512,"Solid"))</x:f>
      </x:c>
      <x:c r="DM454" s="4" t="str">
        <x:f>IF('Calculations'!DE454="","",COUNTIFS('Calculations'!$BN$13:$BN$512,1,'Calculations'!$BU$13:$BU$512,'Calculations'!DE454,'Calculations'!$BT$13:$BT$512,1,'Calculations'!$EE$13:$EE$512,"Low"))</x:f>
      </x:c>
      <x:c r="DN454" s="4" t="str">
        <x:f>IF('Calculations'!DE454="","",COUNTIFS('Calculations'!$BN$13:$BN$512,1,'Calculations'!$BU$13:$BU$512,'Calculations'!DE454,'Calculations'!$EP$13:$EP$512,1))</x:f>
      </x:c>
      <x:c r="DO454" s="4" t="str">
        <x:f>IF(OR('Calculations'!DE454="",'Calculations'!DG454=0),"",('Calculations'!DJ454+'Calculations'!DK454)/'Calculations'!DG454)</x:f>
      </x:c>
      <x:c r="DP454" s="4" t="n">
        <x:f>IF(AND('Calculations'!DE454&lt;&gt;"",'Calculations'!DF454&gt;0),COUNTIF('Calculations'!$DF$12:DF454,"&gt;0"),0)</x:f>
        <x:v>0</x:v>
      </x:c>
      <x:c r="DQ454" s="4" t="str">
        <x:f>IF(443&gt;MAX('Calculations'!$HH$13:$HH$512),"",INDEX('Calculations'!$HF$13:$HF$512,MATCH(443,'Calculations'!$HH$13:$HH$512,0)))</x:f>
      </x:c>
      <x:c r="DR454" s="4" t="str">
        <x:f>IF(443&gt;MAX('Calculations'!$IK$13:$IK$512),"",INDEX('Calculations'!$HE$13:$HE$512,MATCH(443,'Calculations'!$IK$13:$IK$512,0)))</x:f>
      </x:c>
      <x:c r="DS454" s="4"/>
      <x:c r="DT454" s="4"/>
      <x:c r="DU454" s="4"/>
      <x:c r="DV454" s="4"/>
      <x:c r="DW454" s="4"/>
      <x:c r="DX454" s="4"/>
      <x:c r="DY454" s="4"/>
      <x:c r="DZ454" s="4"/>
      <x:c r="EA454" s="4"/>
      <x:c r="EB454" s="4"/>
      <x:c r="EC454" s="4"/>
      <x:c r="ED454" s="4"/>
      <x:c r="EE454" s="4" t="str">
        <x:f>IF('Calculations'!BT454=0,"Not Rated",IF(OR('Calculations'!BO454&gt;=4,'Calculations'!BP454&gt;=4),"Low",IF('Calculations'!BO454+'Calculations'!BP454&lt;=3,"High",IF('Calculations'!BO454+'Calculations'!BP454&lt;=4,"Strong","Solid"))))</x:f>
        <x:v>Not Rated</x:v>
      </x:c>
      <x:c r="EF454" s="4"/>
      <x:c r="EG454" s="4"/>
      <x:c r="EH454" s="4"/>
      <x:c r="EI454" s="4"/>
      <x:c r="EJ454" s="4"/>
      <x:c r="EK454" s="4"/>
      <x:c r="EL454" s="4"/>
      <x:c r="EM454" s="4" t="str">
        <x:f>IF(442&gt;'Calculations'!$JB$2000,"",INDEX('Calculations'!$JA$12:$JA$2000,MATCH(442,'Calculations'!$JB$12:$JB$2000,0)))</x:f>
      </x:c>
      <x:c r="EN454" s="4" t="n">
        <x:f>IF(OR('Calculations'!EM454="",'Calculations'!$AG$8&gt;0,AND('Calculations'!$EF$2&lt;&gt;"All",'Calculations'!HE454='Calculations'!$EF$2),AND('Calculations'!$EF$3&lt;&gt;"All",'Calculations'!HE454='Calculations'!$EF$3)),0,IF(OR('Dashboard'!$B$7="All",'Calculations'!HN454='Dashboard'!$B$7),IF('Calculations'!$EF$2="All",1,IF('Calculations'!HL454&gt;0,0,IF(COUNTIF('Calculations'!HO454:II454,"="&amp;SUBSTITUTE(SUBSTITUTE(SUBSTITUTE('Calculations'!$EF$2,"~","~~"),"*","~*"),"?","~?"))=0,0,IF('Calculations'!$EF$3="All",1,IF(COUNTIF('Calculations'!HO454:II454,"="&amp;SUBSTITUTE(SUBSTITUTE(SUBSTITUTE('Calculations'!$EF$3,"~","~~"),"*","~*"),"?","~?"))&gt;0,1,0))))),0))</x:f>
        <x:v>0</x:v>
      </x:c>
      <x:c r="EO454" s="4" t="str">
        <x:f>IF('Calculations'!IJ454="","",IF('Calculations'!IJ454="!UNRESOLVED","Unresolved hierarchy",IFERROR(INDEX('Calculations'!$HK$13:$HK$512,MATCH('Calculations'!IJ454,'Calculations'!$HE$13:$HE$512,0)),IFERROR(INDEX('Calculations'!$HJ$13:$HJ$512,MATCH('Calculations'!IJ454,'Calculations'!$HF$13:$HF$512,0)),'Calculations'!IJ454))))</x:f>
      </x:c>
      <x:c r="EP454" s="4" t="n">
        <x:f>IF(AND('Calculations'!EM454&lt;&gt;"",'Calculations'!HF454='Calculations'!IJ454),1,0)</x:f>
        <x:v>0</x:v>
      </x:c>
      <x:c r="EQ454" s="4"/>
      <x:c r="ER454" s="4"/>
      <x:c r="ES454" s="4"/>
      <x:c r="ET454" s="4"/>
      <x:c r="EU454" s="4"/>
      <x:c r="EV454" s="4"/>
      <x:c r="EW454" s="4"/>
      <x:c r="EX454" s="4"/>
      <x:c r="EY454" s="4"/>
      <x:c r="EZ454" s="4"/>
      <x:c r="FA454" s="4"/>
      <x:c r="FB454" s="4"/>
      <x:c r="FC454" s="4"/>
      <x:c r="FD454" s="4"/>
      <x:c r="FE454" s="4"/>
      <x:c r="FF454" s="4"/>
      <x:c r="FG454" s="4"/>
      <x:c r="FH454" s="4"/>
      <x:c r="FI454" s="4"/>
      <x:c r="FJ454" s="4"/>
      <x:c r="FK454" s="4"/>
      <x:c r="FL454" s="4"/>
      <x:c r="FM454" s="4"/>
      <x:c r="FN454" s="4"/>
      <x:c r="FO454" s="4"/>
      <x:c r="HE454" t="str">
        <x:f>IF('Calculations'!EM454="","",IF(IFERROR(IF(INDEX(INDIRECT("'WCM Calibration Final'!$A$1:$A$2000"),'Calculations'!$EM454)="","",TRIM(INDEX(INDIRECT("'WCM Calibration Final'!$A$1:$A$2000"),'Calculations'!$EM454)&amp;"")),"")&lt;&gt;"","G:"&amp;IFERROR(TEXT(1*INDEX(INDIRECT("'WCM Calibration Final'!$A$1:$A$2000"),'Calculations'!$EM454),"0"),UPPER(IFERROR(IF(INDEX(INDIRECT("'WCM Calibration Final'!$A$1:$A$2000"),'Calculations'!$EM454)="","",TRIM(INDEX(INDIRECT("'WCM Calibration Final'!$A$1:$A$2000"),'Calculations'!$EM454)&amp;"")),""))),IF(IFERROR(IF(INDEX(INDIRECT("'WCM Calibration Final'!$C$1:$C$2000"),'Calculations'!$EM454)="","",TRIM(INDEX(INDIRECT("'WCM Calibration Final'!$C$1:$C$2000"),'Calculations'!$EM454)&amp;"")),"")&lt;&gt;"","S:"&amp;UPPER(IFERROR(IF(INDEX(INDIRECT("'WCM Calibration Final'!$C$1:$C$2000"),'Calculations'!$EM454)="","",TRIM(INDEX(INDIRECT("'WCM Calibration Final'!$C$1:$C$2000"),'Calculations'!$EM454)&amp;"")),"")),"R:"&amp;'Calculations'!EM454)))</x:f>
      </x:c>
      <x:c r="HF454" t="str">
        <x:f>IF('Calculations'!EM454="","",IF(IFERROR(IF(INDEX(INDIRECT("'WCM Calibration Final'!$D$1:$D$2000"),'Calculations'!$EM454)="","",TRIM(INDEX(INDIRECT("'WCM Calibration Final'!$D$1:$D$2000"),'Calculations'!$EM454)&amp;"")),"")&lt;&gt;"","G:"&amp;IFERROR(TEXT(1*INDEX(INDIRECT("'WCM Calibration Final'!$D$1:$D$2000"),'Calculations'!$EM454),"0"),UPPER(IFERROR(IF(INDEX(INDIRECT("'WCM Calibration Final'!$D$1:$D$2000"),'Calculations'!$EM454)="","",TRIM(INDEX(INDIRECT("'WCM Calibration Final'!$D$1:$D$2000"),'Calculations'!$EM454)&amp;"")),""))),IF(IFERROR(IF(INDEX(INDIRECT("'WCM Calibration Final'!$E$1:$E$2000"),'Calculations'!$EM454)="","",TRIM(INDEX(INDIRECT("'WCM Calibration Final'!$E$1:$E$2000"),'Calculations'!$EM454)&amp;"")),"")="","",IF(COUNTIF('Calculations'!$HG$13:$HG$512,"="&amp;SUBSTITUTE(SUBSTITUTE(SUBSTITUTE(IFERROR(IF(INDEX(INDIRECT("'WCM Calibration Final'!$E$1:$E$2000"),'Calculations'!$EM454)="","",TRIM(INDEX(INDIRECT("'WCM Calibration Final'!$E$1:$E$2000"),'Calculations'!$EM454)&amp;"")),""),"~","~~"),"*","~*"),"?","~?"))=1,INDEX('Calculations'!$HE$13:$HE$512,MATCH(IFERROR(IF(INDEX(INDIRECT("'WCM Calibration Final'!$E$1:$E$2000"),'Calculations'!$EM454)="","",TRIM(INDEX(INDIRECT("'WCM Calibration Final'!$E$1:$E$2000"),'Calculations'!$EM454)&amp;"")),""),'Calculations'!$HG$13:$HG$512,0)),IF(COUNTIF('Calculations'!$HG$13:$HG$512,"="&amp;SUBSTITUTE(SUBSTITUTE(SUBSTITUTE(IFERROR(IF(INDEX(INDIRECT("'WCM Calibration Final'!$E$1:$E$2000"),'Calculations'!$EM454)="","",TRIM(INDEX(INDIRECT("'WCM Calibration Final'!$E$1:$E$2000"),'Calculations'!$EM454)&amp;"")),""),"~","~~"),"*","~*"),"?","~?"))&gt;1,"!AMBIG","X:"&amp;IFERROR(IF(INDEX(INDIRECT("'WCM Calibration Final'!$E$1:$E$2000"),'Calculations'!$EM454)="","",TRIM(INDEX(INDIRECT("'WCM Calibration Final'!$E$1:$E$2000"),'Calculations'!$EM454)&amp;"")),""))))))</x:f>
      </x:c>
      <x:c r="HG454" t="str">
        <x:f>IF('Calculations'!EM454="","",IFERROR(IF(INDEX(INDIRECT("'WCM Calibration Final'!$B$1:$B$2000"),'Calculations'!$EM454)="","",TRIM(INDEX(INDIRECT("'WCM Calibration Final'!$B$1:$B$2000"),'Calculations'!$EM454)&amp;"")),""))</x:f>
      </x:c>
      <x:c r="HH454" t="n">
        <x:f>IF(AND('Calculations'!JC454&gt;0,COUNTIF('Calculations'!$HF$12:HF454,"="&amp;SUBSTITUTE(SUBSTITUTE(SUBSTITUTE('Calculations'!HF454,"~","~~"),"*","~*"),"?","~?"))=1),MAX('Calculations'!$HH$12:HH453)+1,0)</x:f>
        <x:v>0</x:v>
      </x:c>
      <x:c r="HI454" t="n">
        <x:f>IF(AND('Calculations'!HN454&lt;&gt;"",COUNTIF('Calculations'!$HN$12:HN454,"="&amp;SUBSTITUTE(SUBSTITUTE(SUBSTITUTE('Calculations'!HN454,"~","~~"),"*","~*"),"?","~?"))=1),MAX('Calculations'!$HI$12:HI453)+1,0)</x:f>
        <x:v>0</x:v>
      </x:c>
      <x:c r="HJ454" t="str">
        <x:f>IF('Calculations'!HF454="","",IF(COUNTIF('Calculations'!$HE$13:$HE$512,"="&amp;SUBSTITUTE(SUBSTITUTE(SUBSTITUTE('Calculations'!HF454,"~","~~"),"*","~*"),"?","~?"))=1,INDEX('Calculations'!$HK$13:$HK$512,MATCH('Calculations'!HF454,'Calculations'!$HE$13:$HE$512,0)),IFERROR(IF(INDEX(INDIRECT("'WCM Calibration Final'!$E$1:$E$2000"),'Calculations'!$EM454)="","",TRIM(INDEX(INDIRECT("'WCM Calibration Final'!$E$1:$E$2000"),'Calculations'!$EM454)&amp;"")),"")&amp;" ["&amp;'Calculations'!HF454&amp;"]"))</x:f>
      </x:c>
      <x:c r="HK454" t="str">
        <x:f>IF('Calculations'!EM454="","",'Calculations'!HG454&amp;" ["&amp;'Calculations'!HE454&amp;"]")</x:f>
      </x:c>
      <x:c r="HL454" t="n">
        <x:f>IF('Calculations'!EM454="",0,IF(OR('Calculations'!II454&lt;&gt;"",COUNTIF('Calculations'!$HE$13:$HE$512,"="&amp;SUBSTITUTE(SUBSTITUTE(SUBSTITUTE('Calculations'!HE454,"~","~~"),"*","~*"),"?","~?"))&gt;1),1,0))</x:f>
        <x:v>0</x:v>
      </x:c>
      <x:c r="HM454" t="str">
        <x:f>IF('Calculations'!EM454="","",IF('Calculations'!HL454=1,"!UNRESOLVED",IF('Calculations'!IH454&lt;&gt;"",'Calculations'!IH454,IF('Calculations'!IG454&lt;&gt;"",'Calculations'!IG454,IF('Calculations'!IF454&lt;&gt;"",'Calculations'!IF454,IF('Calculations'!IE454&lt;&gt;"",'Calculations'!IE454,IF('Calculations'!ID454&lt;&gt;"",'Calculations'!ID454,IF('Calculations'!IC454&lt;&gt;"",'Calculations'!IC454,IF('Calculations'!IB454&lt;&gt;"",'Calculations'!IB454,IF('Calculations'!IA454&lt;&gt;"",'Calculations'!IA454,IF('Calculations'!HZ454&lt;&gt;"",'Calculations'!HZ454,IF('Calculations'!HY454&lt;&gt;"",'Calculations'!HY454,IF('Calculations'!HX454&lt;&gt;"",'Calculations'!HX454,IF('Calculations'!HW454&lt;&gt;"",'Calculations'!HW454,IF('Calculations'!HV454&lt;&gt;"",'Calculations'!HV454,IF('Calculations'!HU454&lt;&gt;"",'Calculations'!HU454,IF('Calculations'!HT454&lt;&gt;"",'Calculations'!HT454,IF('Calculations'!HS454&lt;&gt;"",'Calculations'!HS454,IF('Calculations'!HR454&lt;&gt;"",'Calculations'!HR454,IF('Calculations'!HQ454&lt;&gt;"",'Calculations'!HQ454,IF('Calculations'!HP454&lt;&gt;"",'Calculations'!HP454,IF('Calculations'!HO454&lt;&gt;"",'Calculations'!HO454,'Calculations'!HE454))))))))))))))))))))))</x:f>
      </x:c>
      <x:c r="HN454" t="str">
        <x:f>IF('Calculations'!EM454="","",IF(IFERROR(IF(INDEX(INDIRECT("'WCM Calibration Final'!$F$1:$F$2000"),'Calculations'!$EM454)="","",TRIM(INDEX(INDIRECT("'WCM Calibration Final'!$F$1:$F$2000"),'Calculations'!$EM454)&amp;"")),"")="","(Blank)",IFERROR(IF(INDEX(INDIRECT("'WCM Calibration Final'!$F$1:$F$2000"),'Calculations'!$EM454)="","",TRIM(INDEX(INDIRECT("'WCM Calibration Final'!$F$1:$F$2000"),'Calculations'!$EM454)&amp;"")),"")))</x:f>
      </x:c>
      <x:c r="HO454" t="str">
        <x:f>'Calculations'!HF454</x:f>
      </x:c>
      <x:c r="HP454" t="str">
        <x:f>IF('Calculations'!HO454="","",IF('Calculations'!HO454="!AMBIG","!AMBIG",IF(COUNTIF('Calculations'!$HE$13:$HE$512,"="&amp;SUBSTITUTE(SUBSTITUTE(SUBSTITUTE('Calculations'!HO454,"~","~~"),"*","~*"),"?","~?"))&gt;1,"!AMBIG",IFERROR(INDEX('Calculations'!$HF$13:$HF$512,MATCH('Calculations'!HO454,'Calculations'!$HE$13:$HE$512,0)),""))))</x:f>
      </x:c>
      <x:c r="HQ454" t="str">
        <x:f>IF('Calculations'!HP454="","",IF('Calculations'!HP454="!AMBIG","!AMBIG",IF(COUNTIF('Calculations'!$HE$13:$HE$512,"="&amp;SUBSTITUTE(SUBSTITUTE(SUBSTITUTE('Calculations'!HP454,"~","~~"),"*","~*"),"?","~?"))&gt;1,"!AMBIG",IFERROR(INDEX('Calculations'!$HF$13:$HF$512,MATCH('Calculations'!HP454,'Calculations'!$HE$13:$HE$512,0)),""))))</x:f>
      </x:c>
      <x:c r="HR454" t="str">
        <x:f>IF('Calculations'!HQ454="","",IF('Calculations'!HQ454="!AMBIG","!AMBIG",IF(COUNTIF('Calculations'!$HE$13:$HE$512,"="&amp;SUBSTITUTE(SUBSTITUTE(SUBSTITUTE('Calculations'!HQ454,"~","~~"),"*","~*"),"?","~?"))&gt;1,"!AMBIG",IFERROR(INDEX('Calculations'!$HF$13:$HF$512,MATCH('Calculations'!HQ454,'Calculations'!$HE$13:$HE$512,0)),""))))</x:f>
      </x:c>
      <x:c r="HS454" t="str">
        <x:f>IF('Calculations'!HR454="","",IF('Calculations'!HR454="!AMBIG","!AMBIG",IF(COUNTIF('Calculations'!$HE$13:$HE$512,"="&amp;SUBSTITUTE(SUBSTITUTE(SUBSTITUTE('Calculations'!HR454,"~","~~"),"*","~*"),"?","~?"))&gt;1,"!AMBIG",IFERROR(INDEX('Calculations'!$HF$13:$HF$512,MATCH('Calculations'!HR454,'Calculations'!$HE$13:$HE$512,0)),""))))</x:f>
      </x:c>
      <x:c r="HT454" t="str">
        <x:f>IF('Calculations'!HS454="","",IF('Calculations'!HS454="!AMBIG","!AMBIG",IF(COUNTIF('Calculations'!$HE$13:$HE$512,"="&amp;SUBSTITUTE(SUBSTITUTE(SUBSTITUTE('Calculations'!HS454,"~","~~"),"*","~*"),"?","~?"))&gt;1,"!AMBIG",IFERROR(INDEX('Calculations'!$HF$13:$HF$512,MATCH('Calculations'!HS454,'Calculations'!$HE$13:$HE$512,0)),""))))</x:f>
      </x:c>
      <x:c r="HU454" t="str">
        <x:f>IF('Calculations'!HT454="","",IF('Calculations'!HT454="!AMBIG","!AMBIG",IF(COUNTIF('Calculations'!$HE$13:$HE$512,"="&amp;SUBSTITUTE(SUBSTITUTE(SUBSTITUTE('Calculations'!HT454,"~","~~"),"*","~*"),"?","~?"))&gt;1,"!AMBIG",IFERROR(INDEX('Calculations'!$HF$13:$HF$512,MATCH('Calculations'!HT454,'Calculations'!$HE$13:$HE$512,0)),""))))</x:f>
      </x:c>
      <x:c r="HV454" t="str">
        <x:f>IF('Calculations'!HU454="","",IF('Calculations'!HU454="!AMBIG","!AMBIG",IF(COUNTIF('Calculations'!$HE$13:$HE$512,"="&amp;SUBSTITUTE(SUBSTITUTE(SUBSTITUTE('Calculations'!HU454,"~","~~"),"*","~*"),"?","~?"))&gt;1,"!AMBIG",IFERROR(INDEX('Calculations'!$HF$13:$HF$512,MATCH('Calculations'!HU454,'Calculations'!$HE$13:$HE$512,0)),""))))</x:f>
      </x:c>
      <x:c r="HW454" t="str">
        <x:f>IF('Calculations'!HV454="","",IF('Calculations'!HV454="!AMBIG","!AMBIG",IF(COUNTIF('Calculations'!$HE$13:$HE$512,"="&amp;SUBSTITUTE(SUBSTITUTE(SUBSTITUTE('Calculations'!HV454,"~","~~"),"*","~*"),"?","~?"))&gt;1,"!AMBIG",IFERROR(INDEX('Calculations'!$HF$13:$HF$512,MATCH('Calculations'!HV454,'Calculations'!$HE$13:$HE$512,0)),""))))</x:f>
      </x:c>
      <x:c r="HX454" t="str">
        <x:f>IF('Calculations'!HW454="","",IF('Calculations'!HW454="!AMBIG","!AMBIG",IF(COUNTIF('Calculations'!$HE$13:$HE$512,"="&amp;SUBSTITUTE(SUBSTITUTE(SUBSTITUTE('Calculations'!HW454,"~","~~"),"*","~*"),"?","~?"))&gt;1,"!AMBIG",IFERROR(INDEX('Calculations'!$HF$13:$HF$512,MATCH('Calculations'!HW454,'Calculations'!$HE$13:$HE$512,0)),""))))</x:f>
      </x:c>
      <x:c r="HY454" t="str">
        <x:f>IF('Calculations'!HX454="","",IF('Calculations'!HX454="!AMBIG","!AMBIG",IF(COUNTIF('Calculations'!$HE$13:$HE$512,"="&amp;SUBSTITUTE(SUBSTITUTE(SUBSTITUTE('Calculations'!HX454,"~","~~"),"*","~*"),"?","~?"))&gt;1,"!AMBIG",IFERROR(INDEX('Calculations'!$HF$13:$HF$512,MATCH('Calculations'!HX454,'Calculations'!$HE$13:$HE$512,0)),""))))</x:f>
      </x:c>
      <x:c r="HZ454" t="str">
        <x:f>IF('Calculations'!HY454="","",IF('Calculations'!HY454="!AMBIG","!AMBIG",IF(COUNTIF('Calculations'!$HE$13:$HE$512,"="&amp;SUBSTITUTE(SUBSTITUTE(SUBSTITUTE('Calculations'!HY454,"~","~~"),"*","~*"),"?","~?"))&gt;1,"!AMBIG",IFERROR(INDEX('Calculations'!$HF$13:$HF$512,MATCH('Calculations'!HY454,'Calculations'!$HE$13:$HE$512,0)),""))))</x:f>
      </x:c>
      <x:c r="IA454" t="str">
        <x:f>IF('Calculations'!HZ454="","",IF('Calculations'!HZ454="!AMBIG","!AMBIG",IF(COUNTIF('Calculations'!$HE$13:$HE$512,"="&amp;SUBSTITUTE(SUBSTITUTE(SUBSTITUTE('Calculations'!HZ454,"~","~~"),"*","~*"),"?","~?"))&gt;1,"!AMBIG",IFERROR(INDEX('Calculations'!$HF$13:$HF$512,MATCH('Calculations'!HZ454,'Calculations'!$HE$13:$HE$512,0)),""))))</x:f>
      </x:c>
      <x:c r="IB454" t="str">
        <x:f>IF('Calculations'!IA454="","",IF('Calculations'!IA454="!AMBIG","!AMBIG",IF(COUNTIF('Calculations'!$HE$13:$HE$512,"="&amp;SUBSTITUTE(SUBSTITUTE(SUBSTITUTE('Calculations'!IA454,"~","~~"),"*","~*"),"?","~?"))&gt;1,"!AMBIG",IFERROR(INDEX('Calculations'!$HF$13:$HF$512,MATCH('Calculations'!IA454,'Calculations'!$HE$13:$HE$512,0)),""))))</x:f>
      </x:c>
      <x:c r="IC454" t="str">
        <x:f>IF('Calculations'!IB454="","",IF('Calculations'!IB454="!AMBIG","!AMBIG",IF(COUNTIF('Calculations'!$HE$13:$HE$512,"="&amp;SUBSTITUTE(SUBSTITUTE(SUBSTITUTE('Calculations'!IB454,"~","~~"),"*","~*"),"?","~?"))&gt;1,"!AMBIG",IFERROR(INDEX('Calculations'!$HF$13:$HF$512,MATCH('Calculations'!IB454,'Calculations'!$HE$13:$HE$512,0)),""))))</x:f>
      </x:c>
      <x:c r="ID454" t="str">
        <x:f>IF('Calculations'!IC454="","",IF('Calculations'!IC454="!AMBIG","!AMBIG",IF(COUNTIF('Calculations'!$HE$13:$HE$512,"="&amp;SUBSTITUTE(SUBSTITUTE(SUBSTITUTE('Calculations'!IC454,"~","~~"),"*","~*"),"?","~?"))&gt;1,"!AMBIG",IFERROR(INDEX('Calculations'!$HF$13:$HF$512,MATCH('Calculations'!IC454,'Calculations'!$HE$13:$HE$512,0)),""))))</x:f>
      </x:c>
      <x:c r="IE454" t="str">
        <x:f>IF('Calculations'!ID454="","",IF('Calculations'!ID454="!AMBIG","!AMBIG",IF(COUNTIF('Calculations'!$HE$13:$HE$512,"="&amp;SUBSTITUTE(SUBSTITUTE(SUBSTITUTE('Calculations'!ID454,"~","~~"),"*","~*"),"?","~?"))&gt;1,"!AMBIG",IFERROR(INDEX('Calculations'!$HF$13:$HF$512,MATCH('Calculations'!ID454,'Calculations'!$HE$13:$HE$512,0)),""))))</x:f>
      </x:c>
      <x:c r="IF454" t="str">
        <x:f>IF('Calculations'!IE454="","",IF('Calculations'!IE454="!AMBIG","!AMBIG",IF(COUNTIF('Calculations'!$HE$13:$HE$512,"="&amp;SUBSTITUTE(SUBSTITUTE(SUBSTITUTE('Calculations'!IE454,"~","~~"),"*","~*"),"?","~?"))&gt;1,"!AMBIG",IFERROR(INDEX('Calculations'!$HF$13:$HF$512,MATCH('Calculations'!IE454,'Calculations'!$HE$13:$HE$512,0)),""))))</x:f>
      </x:c>
      <x:c r="IG454" t="str">
        <x:f>IF('Calculations'!IF454="","",IF('Calculations'!IF454="!AMBIG","!AMBIG",IF(COUNTIF('Calculations'!$HE$13:$HE$512,"="&amp;SUBSTITUTE(SUBSTITUTE(SUBSTITUTE('Calculations'!IF454,"~","~~"),"*","~*"),"?","~?"))&gt;1,"!AMBIG",IFERROR(INDEX('Calculations'!$HF$13:$HF$512,MATCH('Calculations'!IF454,'Calculations'!$HE$13:$HE$512,0)),""))))</x:f>
      </x:c>
      <x:c r="IH454" t="str">
        <x:f>IF('Calculations'!IG454="","",IF('Calculations'!IG454="!AMBIG","!AMBIG",IF(COUNTIF('Calculations'!$HE$13:$HE$512,"="&amp;SUBSTITUTE(SUBSTITUTE(SUBSTITUTE('Calculations'!IG454,"~","~~"),"*","~*"),"?","~?"))&gt;1,"!AMBIG",IFERROR(INDEX('Calculations'!$HF$13:$HF$512,MATCH('Calculations'!IG454,'Calculations'!$HE$13:$HE$512,0)),""))))</x:f>
      </x:c>
      <x:c r="II454" t="str">
        <x:f>IF('Calculations'!IH454="","",IF('Calculations'!IH454="!AMBIG","!AMBIG",IF(COUNTIF('Calculations'!$HE$13:$HE$512,"="&amp;SUBSTITUTE(SUBSTITUTE(SUBSTITUTE('Calculations'!IH454,"~","~~"),"*","~*"),"?","~?"))&gt;1,"!AMBIG",IFERROR(INDEX('Calculations'!$HF$13:$HF$512,MATCH('Calculations'!IH454,'Calculations'!$HE$13:$HE$512,0)),""))))</x:f>
      </x:c>
      <x:c r="IJ454" t="str">
        <x:f>IF('Calculations'!EM454="","",IF('Calculations'!$EF$2="All",'Calculations'!HM454,IF('Calculations'!HL454=1,"",IFERROR(IF(MATCH('Calculations'!$EF$2,'Calculations'!HO454:II454,0)=1,'Calculations'!HE454,INDEX('Calculations'!HO454:II454,1,MATCH('Calculations'!$EF$2,'Calculations'!HO454:II454,0)-1)),""))))</x:f>
      </x:c>
      <x:c r="IK454" t="n">
        <x:f>IF(AND('Calculations'!EM454&lt;&gt;"",'Calculations'!$EF$2&lt;&gt;"All",'Calculations'!HF454='Calculations'!$EF$2,'Calculations'!HL454=0,'Calculations'!JD454&gt;0),MAX('Calculations'!$IK$12:IK453)+1,0)</x:f>
        <x:v>0</x:v>
      </x:c>
      <x:c r="JA454" t="n">
        <x:f>IF(OR(IFERROR(INDIRECT("'WCM Calibration Final'!$A$454")&lt;&gt;"",FALSE),IFERROR(INDIRECT("'WCM Calibration Final'!$B$454")&lt;&gt;"",FALSE),IFERROR(INDIRECT("'WCM Calibration Final'!$C$454")&lt;&gt;"",FALSE)),454,0)</x:f>
        <x:v>0</x:v>
      </x:c>
      <x:c r="JB454" t="n">
        <x:f>'Calculations'!JB453+IF('Calculations'!JA454&gt;0,1,0)</x:f>
        <x:v>0</x:v>
      </x:c>
      <x:c r="JC454" t="n">
        <x:f>IF(OR('Calculations'!HF454="",'Calculations'!HF454="!AMBIG"),0,IF('Dashboard'!$B$7="All",1,COUNTIFS('Calculations'!$HO$13:$HO$512,"="&amp;SUBSTITUTE(SUBSTITUTE(SUBSTITUTE('Calculations'!HF454,"~","~~"),"*","~*"),"?","~?"),'Calculations'!$HN$13:$HN$512,"="&amp;SUBSTITUTE(SUBSTITUTE(SUBSTITUTE('Dashboard'!$B$7,"~","~~"),"*","~*"),"?","~?"))+COUNTIFS('Calculations'!$HP$13:$HP$512,"="&amp;SUBSTITUTE(SUBSTITUTE(SUBSTITUTE('Calculations'!HF454,"~","~~"),"*","~*"),"?","~?"),'Calculations'!$HN$13:$HN$512,"="&amp;SUBSTITUTE(SUBSTITUTE(SUBSTITUTE('Dashboard'!$B$7,"~","~~"),"*","~*"),"?","~?"))+COUNTIFS('Calculations'!$HQ$13:$HQ$512,"="&amp;SUBSTITUTE(SUBSTITUTE(SUBSTITUTE('Calculations'!HF454,"~","~~"),"*","~*"),"?","~?"),'Calculations'!$HN$13:$HN$512,"="&amp;SUBSTITUTE(SUBSTITUTE(SUBSTITUTE('Dashboard'!$B$7,"~","~~"),"*","~*"),"?","~?"))+COUNTIFS('Calculations'!$HR$13:$HR$512,"="&amp;SUBSTITUTE(SUBSTITUTE(SUBSTITUTE('Calculations'!HF454,"~","~~"),"*","~*"),"?","~?"),'Calculations'!$HN$13:$HN$512,"="&amp;SUBSTITUTE(SUBSTITUTE(SUBSTITUTE('Dashboard'!$B$7,"~","~~"),"*","~*"),"?","~?"))+COUNTIFS('Calculations'!$HS$13:$HS$512,"="&amp;SUBSTITUTE(SUBSTITUTE(SUBSTITUTE('Calculations'!HF454,"~","~~"),"*","~*"),"?","~?"),'Calculations'!$HN$13:$HN$512,"="&amp;SUBSTITUTE(SUBSTITUTE(SUBSTITUTE('Dashboard'!$B$7,"~","~~"),"*","~*"),"?","~?"))+COUNTIFS('Calculations'!$HT$13:$HT$512,"="&amp;SUBSTITUTE(SUBSTITUTE(SUBSTITUTE('Calculations'!HF454,"~","~~"),"*","~*"),"?","~?"),'Calculations'!$HN$13:$HN$512,"="&amp;SUBSTITUTE(SUBSTITUTE(SUBSTITUTE('Dashboard'!$B$7,"~","~~"),"*","~*"),"?","~?"))+COUNTIFS('Calculations'!$HU$13:$HU$512,"="&amp;SUBSTITUTE(SUBSTITUTE(SUBSTITUTE('Calculations'!HF454,"~","~~"),"*","~*"),"?","~?"),'Calculations'!$HN$13:$HN$512,"="&amp;SUBSTITUTE(SUBSTITUTE(SUBSTITUTE('Dashboard'!$B$7,"~","~~"),"*","~*"),"?","~?"))+COUNTIFS('Calculations'!$HV$13:$HV$512,"="&amp;SUBSTITUTE(SUBSTITUTE(SUBSTITUTE('Calculations'!HF454,"~","~~"),"*","~*"),"?","~?"),'Calculations'!$HN$13:$HN$512,"="&amp;SUBSTITUTE(SUBSTITUTE(SUBSTITUTE('Dashboard'!$B$7,"~","~~"),"*","~*"),"?","~?"))+COUNTIFS('Calculations'!$HW$13:$HW$512,"="&amp;SUBSTITUTE(SUBSTITUTE(SUBSTITUTE('Calculations'!HF454,"~","~~"),"*","~*"),"?","~?"),'Calculations'!$HN$13:$HN$512,"="&amp;SUBSTITUTE(SUBSTITUTE(SUBSTITUTE('Dashboard'!$B$7,"~","~~"),"*","~*"),"?","~?"))+COUNTIFS('Calculations'!$HX$13:$HX$512,"="&amp;SUBSTITUTE(SUBSTITUTE(SUBSTITUTE('Calculations'!HF454,"~","~~"),"*","~*"),"?","~?"),'Calculations'!$HN$13:$HN$512,"="&amp;SUBSTITUTE(SUBSTITUTE(SUBSTITUTE('Dashboard'!$B$7,"~","~~"),"*","~*"),"?","~?"))+COUNTIFS('Calculations'!$HY$13:$HY$512,"="&amp;SUBSTITUTE(SUBSTITUTE(SUBSTITUTE('Calculations'!HF454,"~","~~"),"*","~*"),"?","~?"),'Calculations'!$HN$13:$HN$512,"="&amp;SUBSTITUTE(SUBSTITUTE(SUBSTITUTE('Dashboard'!$B$7,"~","~~"),"*","~*"),"?","~?"))+COUNTIFS('Calculations'!$HZ$13:$HZ$512,"="&amp;SUBSTITUTE(SUBSTITUTE(SUBSTITUTE('Calculations'!HF454,"~","~~"),"*","~*"),"?","~?"),'Calculations'!$HN$13:$HN$512,"="&amp;SUBSTITUTE(SUBSTITUTE(SUBSTITUTE('Dashboard'!$B$7,"~","~~"),"*","~*"),"?","~?"))+COUNTIFS('Calculations'!$IA$13:$IA$512,"="&amp;SUBSTITUTE(SUBSTITUTE(SUBSTITUTE('Calculations'!HF454,"~","~~"),"*","~*"),"?","~?"),'Calculations'!$HN$13:$HN$512,"="&amp;SUBSTITUTE(SUBSTITUTE(SUBSTITUTE('Dashboard'!$B$7,"~","~~"),"*","~*"),"?","~?"))+COUNTIFS('Calculations'!$IB$13:$IB$512,"="&amp;SUBSTITUTE(SUBSTITUTE(SUBSTITUTE('Calculations'!HF454,"~","~~"),"*","~*"),"?","~?"),'Calculations'!$HN$13:$HN$512,"="&amp;SUBSTITUTE(SUBSTITUTE(SUBSTITUTE('Dashboard'!$B$7,"~","~~"),"*","~*"),"?","~?"))+COUNTIFS('Calculations'!$IC$13:$IC$512,"="&amp;SUBSTITUTE(SUBSTITUTE(SUBSTITUTE('Calculations'!HF454,"~","~~"),"*","~*"),"?","~?"),'Calculations'!$HN$13:$HN$512,"="&amp;SUBSTITUTE(SUBSTITUTE(SUBSTITUTE('Dashboard'!$B$7,"~","~~"),"*","~*"),"?","~?"))+COUNTIFS('Calculations'!$ID$13:$ID$512,"="&amp;SUBSTITUTE(SUBSTITUTE(SUBSTITUTE('Calculations'!HF454,"~","~~"),"*","~*"),"?","~?"),'Calculations'!$HN$13:$HN$512,"="&amp;SUBSTITUTE(SUBSTITUTE(SUBSTITUTE('Dashboard'!$B$7,"~","~~"),"*","~*"),"?","~?"))+COUNTIFS('Calculations'!$IE$13:$IE$512,"="&amp;SUBSTITUTE(SUBSTITUTE(SUBSTITUTE('Calculations'!HF454,"~","~~"),"*","~*"),"?","~?"),'Calculations'!$HN$13:$HN$512,"="&amp;SUBSTITUTE(SUBSTITUTE(SUBSTITUTE('Dashboard'!$B$7,"~","~~"),"*","~*"),"?","~?"))+COUNTIFS('Calculations'!$IF$13:$IF$512,"="&amp;SUBSTITUTE(SUBSTITUTE(SUBSTITUTE('Calculations'!HF454,"~","~~"),"*","~*"),"?","~?"),'Calculations'!$HN$13:$HN$512,"="&amp;SUBSTITUTE(SUBSTITUTE(SUBSTITUTE('Dashboard'!$B$7,"~","~~"),"*","~*"),"?","~?"))+COUNTIFS('Calculations'!$IG$13:$IG$512,"="&amp;SUBSTITUTE(SUBSTITUTE(SUBSTITUTE('Calculations'!HF454,"~","~~"),"*","~*"),"?","~?"),'Calculations'!$HN$13:$HN$512,"="&amp;SUBSTITUTE(SUBSTITUTE(SUBSTITUTE('Dashboard'!$B$7,"~","~~"),"*","~*"),"?","~?"))+COUNTIFS('Calculations'!$IH$13:$IH$512,"="&amp;SUBSTITUTE(SUBSTITUTE(SUBSTITUTE('Calculations'!HF454,"~","~~"),"*","~*"),"?","~?"),'Calculations'!$HN$13:$HN$512,"="&amp;SUBSTITUTE(SUBSTITUTE(SUBSTITUTE('Dashboard'!$B$7,"~","~~"),"*","~*"),"?","~?"))))</x:f>
        <x:v>0</x:v>
      </x:c>
      <x:c r="JD454" t="n">
        <x:f>IF('Calculations'!EM454="",0,IF('Dashboard'!$B$7="All",1,IF('Calculations'!HN454='Dashboard'!$B$7,1,0)+IFERROR(INDEX('Calculations'!$JC$13:$JC$512,MATCH('Calculations'!HE454,'Calculations'!$HF$13:$HF$512,0)),0)))</x:f>
        <x:v>0</x:v>
      </x:c>
      <x:c r="JE454" t="n">
        <x:f>IF(AND('Calculations'!EM454&lt;&gt;"",'Calculations'!$JJ$2&lt;&gt;"All",'Calculations'!$JJ$2&lt;&gt;"",'Calculations'!HF454='Calculations'!$JJ$2,'Calculations'!HL454=0,'Calculations'!JD454&gt;0),MAX('Calculations'!$JE$12:JE453)+1,0)</x:f>
        <x:v>0</x:v>
      </x:c>
      <x:c r="JF454" t="str">
        <x:f>IF('Calculations'!EM454="","",IFERROR(IF(INDEX(INDIRECT("'WCM Calibration Final'!$G$1:$G$2000"),'Calculations'!$EM454)="","",TRIM(INDEX(INDIRECT("'WCM Calibration Final'!$G$1:$G$2000"),'Calculations'!$EM454)&amp;"")),""))</x:f>
      </x:c>
      <x:c r="JQ454" t="n">
        <x:f>IF(OR('Calculations'!BM454=0,NOT('Calculations'!$AG$2),'Calculations'!$AG$8&gt;0),0,IF(OR('Dashboard'!$B$7="All",'Calculations'!HN454='Dashboard'!$B$7),IF('Calculations'!$JJ$2="All",1,IF(AND('Calculations'!HF454='Calculations'!$JJ$2,'Calculations'!HL454=0),1,0)),0))</x:f>
        <x:v>0</x:v>
      </x:c>
    </x:row>
    <x:row r="455">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t="n">
        <x:f>IF('Calculations'!$EM455="",0,IF(OR(IFERROR(INDEX(INDIRECT("'WCM Calibration Final'!$A$1:$A$2000"),'Calculations'!$EM455)&lt;&gt;"",FALSE),IFERROR(INDEX(INDIRECT("'WCM Calibration Final'!$B$1:$B$2000"),'Calculations'!$EM455)&lt;&gt;"",FALSE),IFERROR(INDEX(INDIRECT("'WCM Calibration Final'!$C$1:$C$2000"),'Calculations'!$EM455)&lt;&gt;"",FALSE)),1,0))</x:f>
        <x:v>0</x:v>
      </x:c>
      <x:c r="BN455" s="4" t="n">
        <x:f>IF(AND('Calculations'!BM455=1,'Calculations'!$AG$2,'Calculations'!$EN455=1),1,0)</x:f>
        <x:v>0</x:v>
      </x:c>
      <x:c r="BO455" s="4" t="str">
        <x:f>IF('Calculations'!BM455=0,"",IFERROR(IF(AND(VALUE(INDEX(INDIRECT("'WCM Calibration Final'!$K$1:$K$2000"),'Calculations'!$EM455))&gt;=1,VALUE(INDEX(INDIRECT("'WCM Calibration Final'!$K$1:$K$2000"),'Calculations'!$EM455))&lt;=4,MOD(VALUE(INDEX(INDIRECT("'WCM Calibration Final'!$K$1:$K$2000"),'Calculations'!$EM455)),1)=0),VALUE(INDEX(INDIRECT("'WCM Calibration Final'!$K$1:$K$2000"),'Calculations'!$EM455)),""),""))</x:f>
      </x:c>
      <x:c r="BP455" s="4" t="str">
        <x:f>IF('Calculations'!BM455=0,"",IFERROR(IF(AND(VALUE(INDEX(INDIRECT("'WCM Calibration Final'!$L$1:$L$2000"),'Calculations'!$EM455))&gt;=1,VALUE(INDEX(INDIRECT("'WCM Calibration Final'!$L$1:$L$2000"),'Calculations'!$EM455))&lt;=4,MOD(VALUE(INDEX(INDIRECT("'WCM Calibration Final'!$L$1:$L$2000"),'Calculations'!$EM455)),1)=0),VALUE(INDEX(INDIRECT("'WCM Calibration Final'!$L$1:$L$2000"),'Calculations'!$EM455)),""),""))</x:f>
      </x:c>
      <x:c r="BQ455" s="4"/>
      <x:c r="BR455" s="4"/>
      <x:c r="BS455" s="4"/>
      <x:c r="BT455" s="4" t="n">
        <x:f>IF(AND('Calculations'!BM455=1,ISNUMBER('Calculations'!BO455),ISNUMBER('Calculations'!BP455)),1,0)</x:f>
        <x:v>0</x:v>
      </x:c>
      <x:c r="BU455" s="4" t="str">
        <x:f>IF('Calculations'!BM455=0,"",'Calculations'!$EO455)</x:f>
      </x:c>
      <x:c r="BV455" s="4" t="str">
        <x:f>IF('Calculations'!BM455=0,"",IFERROR(IF(OR(INDEX(INDIRECT("'WCM Calibration Final'!$H$1:$H$2000"),'Calculations'!$EM455)="MANAGING DIRECTOR",INDEX(INDIRECT("'WCM Calibration Final'!$H$1:$H$2000"),'Calculations'!$EM455)="DIRECTOR",INDEX(INDIRECT("'WCM Calibration Final'!$H$1:$H$2000"),'Calculations'!$EM455)="SENIOR VICE PRESIDENT",INDEX(INDIRECT("'WCM Calibration Final'!$H$1:$H$2000"),'Calculations'!$EM455)="VICE PRESIDENT",INDEX(INDIRECT("'WCM Calibration Final'!$H$1:$H$2000"),'Calculations'!$EM455)="ASSISTANT VICE PRESIDENT",INDEX(INDIRECT("'WCM Calibration Final'!$H$1:$H$2000"),'Calculations'!$EM455)="OFFICER"),UPPER(INDEX(INDIRECT("'WCM Calibration Final'!$H$1:$H$2000"),'Calculations'!$EM455)),"Other"),"Other"))</x:f>
      </x:c>
      <x:c r="BW455" s="4"/>
      <x:c r="BX455" s="4"/>
      <x:c r="BY455" s="4" t="n">
        <x:f>IF(AND('Calculations'!BM455=1,'Calculations'!BU455&lt;&gt;"",COUNTIF('Calculations'!$BU$12:BU455,'Calculations'!BU455)=1),MAX('Calculations'!$BY$11:BY454)+1,0)</x:f>
        <x:v>0</x:v>
      </x:c>
      <x:c r="BZ455" s="4" t="str">
        <x:f>IF('Dashboard'!$E$67="What",'Calculations'!BO455,'Calculations'!BP455)</x:f>
      </x:c>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t="str">
        <x:f>IF(444&gt;MAX('Calculations'!$HI$13:$HI$512),"",INDEX('Calculations'!$HN$13:$HN$512,MATCH(444,'Calculations'!$HI$13:$HI$512,0)))</x:f>
      </x:c>
      <x:c r="DB455" s="4" t="str">
        <x:f>IF(444&gt;MAX('Calculations'!$HH$13:$HH$512),"",INDEX('Calculations'!$HJ$13:$HJ$512,MATCH(444,'Calculations'!$HH$13:$HH$512,0)))</x:f>
      </x:c>
      <x:c r="DC455" s="4" t="str">
        <x:f>IF(ROW()-11&gt;MAX('Calculations'!$BY$13:$BY$512),"",INDEX('Calculations'!$BU$13:$BU$512,MATCH(ROW()-11,'Calculations'!$BY$13:$BY$512,0)))</x:f>
      </x:c>
      <x:c r="DD455" s="4" t="str">
        <x:f>IF(444&gt;MAX('Calculations'!$IK$13:$IK$512),"",INDEX('Calculations'!$HK$13:$HK$512,MATCH(444,'Calculations'!$IK$13:$IK$512,0)))</x:f>
      </x:c>
      <x:c r="DE455" s="4" t="str">
        <x:f>'Calculations'!DC455</x:f>
      </x:c>
      <x:c r="DF455" s="4" t="str">
        <x:f>IF('Calculations'!DE455="","",COUNTIFS('Calculations'!$BN$13:$BN$512,1,'Calculations'!$BU$13:$BU$512,'Calculations'!DE455))</x:f>
      </x:c>
      <x:c r="DG455" s="4" t="str">
        <x:f>IF('Calculations'!DE455="","",COUNTIFS('Calculations'!$BN$13:$BN$512,1,'Calculations'!$BU$13:$BU$512,'Calculations'!DE455,'Calculations'!$BT$13:$BT$512,1))</x:f>
      </x:c>
      <x:c r="DH455" s="4" t="str">
        <x:f>IF('Calculations'!DE455="","",'Calculations'!DF455-'Calculations'!DG455)</x:f>
      </x:c>
      <x:c r="DI455" s="4" t="str">
        <x:f>IF(OR('Calculations'!DE455="",'Calculations'!DF455=0),"",'Calculations'!DG455/'Calculations'!DF455)</x:f>
      </x:c>
      <x:c r="DJ455" s="4" t="str">
        <x:f>IF('Calculations'!DE455="","",COUNTIFS('Calculations'!$BN$13:$BN$512,1,'Calculations'!$BU$13:$BU$512,'Calculations'!DE455,'Calculations'!$BT$13:$BT$512,1,'Calculations'!$EE$13:$EE$512,"High"))</x:f>
      </x:c>
      <x:c r="DK455" s="4" t="str">
        <x:f>IF('Calculations'!DE455="","",COUNTIFS('Calculations'!$BN$13:$BN$512,1,'Calculations'!$BU$13:$BU$512,'Calculations'!DE455,'Calculations'!$BT$13:$BT$512,1,'Calculations'!$EE$13:$EE$512,"Strong"))</x:f>
      </x:c>
      <x:c r="DL455" s="4" t="str">
        <x:f>IF('Calculations'!DE455="","",COUNTIFS('Calculations'!$BN$13:$BN$512,1,'Calculations'!$BU$13:$BU$512,'Calculations'!DE455,'Calculations'!$BT$13:$BT$512,1,'Calculations'!$EE$13:$EE$512,"Solid"))</x:f>
      </x:c>
      <x:c r="DM455" s="4" t="str">
        <x:f>IF('Calculations'!DE455="","",COUNTIFS('Calculations'!$BN$13:$BN$512,1,'Calculations'!$BU$13:$BU$512,'Calculations'!DE455,'Calculations'!$BT$13:$BT$512,1,'Calculations'!$EE$13:$EE$512,"Low"))</x:f>
      </x:c>
      <x:c r="DN455" s="4" t="str">
        <x:f>IF('Calculations'!DE455="","",COUNTIFS('Calculations'!$BN$13:$BN$512,1,'Calculations'!$BU$13:$BU$512,'Calculations'!DE455,'Calculations'!$EP$13:$EP$512,1))</x:f>
      </x:c>
      <x:c r="DO455" s="4" t="str">
        <x:f>IF(OR('Calculations'!DE455="",'Calculations'!DG455=0),"",('Calculations'!DJ455+'Calculations'!DK455)/'Calculations'!DG455)</x:f>
      </x:c>
      <x:c r="DP455" s="4" t="n">
        <x:f>IF(AND('Calculations'!DE455&lt;&gt;"",'Calculations'!DF455&gt;0),COUNTIF('Calculations'!$DF$12:DF455,"&gt;0"),0)</x:f>
        <x:v>0</x:v>
      </x:c>
      <x:c r="DQ455" s="4" t="str">
        <x:f>IF(444&gt;MAX('Calculations'!$HH$13:$HH$512),"",INDEX('Calculations'!$HF$13:$HF$512,MATCH(444,'Calculations'!$HH$13:$HH$512,0)))</x:f>
      </x:c>
      <x:c r="DR455" s="4" t="str">
        <x:f>IF(444&gt;MAX('Calculations'!$IK$13:$IK$512),"",INDEX('Calculations'!$HE$13:$HE$512,MATCH(444,'Calculations'!$IK$13:$IK$512,0)))</x:f>
      </x:c>
      <x:c r="DS455" s="4"/>
      <x:c r="DT455" s="4"/>
      <x:c r="DU455" s="4"/>
      <x:c r="DV455" s="4"/>
      <x:c r="DW455" s="4"/>
      <x:c r="DX455" s="4"/>
      <x:c r="DY455" s="4"/>
      <x:c r="DZ455" s="4"/>
      <x:c r="EA455" s="4"/>
      <x:c r="EB455" s="4"/>
      <x:c r="EC455" s="4"/>
      <x:c r="ED455" s="4"/>
      <x:c r="EE455" s="4" t="str">
        <x:f>IF('Calculations'!BT455=0,"Not Rated",IF(OR('Calculations'!BO455&gt;=4,'Calculations'!BP455&gt;=4),"Low",IF('Calculations'!BO455+'Calculations'!BP455&lt;=3,"High",IF('Calculations'!BO455+'Calculations'!BP455&lt;=4,"Strong","Solid"))))</x:f>
        <x:v>Not Rated</x:v>
      </x:c>
      <x:c r="EF455" s="4"/>
      <x:c r="EG455" s="4"/>
      <x:c r="EH455" s="4"/>
      <x:c r="EI455" s="4"/>
      <x:c r="EJ455" s="4"/>
      <x:c r="EK455" s="4"/>
      <x:c r="EL455" s="4"/>
      <x:c r="EM455" s="4" t="str">
        <x:f>IF(443&gt;'Calculations'!$JB$2000,"",INDEX('Calculations'!$JA$12:$JA$2000,MATCH(443,'Calculations'!$JB$12:$JB$2000,0)))</x:f>
      </x:c>
      <x:c r="EN455" s="4" t="n">
        <x:f>IF(OR('Calculations'!EM455="",'Calculations'!$AG$8&gt;0,AND('Calculations'!$EF$2&lt;&gt;"All",'Calculations'!HE455='Calculations'!$EF$2),AND('Calculations'!$EF$3&lt;&gt;"All",'Calculations'!HE455='Calculations'!$EF$3)),0,IF(OR('Dashboard'!$B$7="All",'Calculations'!HN455='Dashboard'!$B$7),IF('Calculations'!$EF$2="All",1,IF('Calculations'!HL455&gt;0,0,IF(COUNTIF('Calculations'!HO455:II455,"="&amp;SUBSTITUTE(SUBSTITUTE(SUBSTITUTE('Calculations'!$EF$2,"~","~~"),"*","~*"),"?","~?"))=0,0,IF('Calculations'!$EF$3="All",1,IF(COUNTIF('Calculations'!HO455:II455,"="&amp;SUBSTITUTE(SUBSTITUTE(SUBSTITUTE('Calculations'!$EF$3,"~","~~"),"*","~*"),"?","~?"))&gt;0,1,0))))),0))</x:f>
        <x:v>0</x:v>
      </x:c>
      <x:c r="EO455" s="4" t="str">
        <x:f>IF('Calculations'!IJ455="","",IF('Calculations'!IJ455="!UNRESOLVED","Unresolved hierarchy",IFERROR(INDEX('Calculations'!$HK$13:$HK$512,MATCH('Calculations'!IJ455,'Calculations'!$HE$13:$HE$512,0)),IFERROR(INDEX('Calculations'!$HJ$13:$HJ$512,MATCH('Calculations'!IJ455,'Calculations'!$HF$13:$HF$512,0)),'Calculations'!IJ455))))</x:f>
      </x:c>
      <x:c r="EP455" s="4" t="n">
        <x:f>IF(AND('Calculations'!EM455&lt;&gt;"",'Calculations'!HF455='Calculations'!IJ455),1,0)</x:f>
        <x:v>0</x:v>
      </x:c>
      <x:c r="EQ455" s="4"/>
      <x:c r="ER455" s="4"/>
      <x:c r="ES455" s="4"/>
      <x:c r="ET455" s="4"/>
      <x:c r="EU455" s="4"/>
      <x:c r="EV455" s="4"/>
      <x:c r="EW455" s="4"/>
      <x:c r="EX455" s="4"/>
      <x:c r="EY455" s="4"/>
      <x:c r="EZ455" s="4"/>
      <x:c r="FA455" s="4"/>
      <x:c r="FB455" s="4"/>
      <x:c r="FC455" s="4"/>
      <x:c r="FD455" s="4"/>
      <x:c r="FE455" s="4"/>
      <x:c r="FF455" s="4"/>
      <x:c r="FG455" s="4"/>
      <x:c r="FH455" s="4"/>
      <x:c r="FI455" s="4"/>
      <x:c r="FJ455" s="4"/>
      <x:c r="FK455" s="4"/>
      <x:c r="FL455" s="4"/>
      <x:c r="FM455" s="4"/>
      <x:c r="FN455" s="4"/>
      <x:c r="FO455" s="4"/>
      <x:c r="HE455" t="str">
        <x:f>IF('Calculations'!EM455="","",IF(IFERROR(IF(INDEX(INDIRECT("'WCM Calibration Final'!$A$1:$A$2000"),'Calculations'!$EM455)="","",TRIM(INDEX(INDIRECT("'WCM Calibration Final'!$A$1:$A$2000"),'Calculations'!$EM455)&amp;"")),"")&lt;&gt;"","G:"&amp;IFERROR(TEXT(1*INDEX(INDIRECT("'WCM Calibration Final'!$A$1:$A$2000"),'Calculations'!$EM455),"0"),UPPER(IFERROR(IF(INDEX(INDIRECT("'WCM Calibration Final'!$A$1:$A$2000"),'Calculations'!$EM455)="","",TRIM(INDEX(INDIRECT("'WCM Calibration Final'!$A$1:$A$2000"),'Calculations'!$EM455)&amp;"")),""))),IF(IFERROR(IF(INDEX(INDIRECT("'WCM Calibration Final'!$C$1:$C$2000"),'Calculations'!$EM455)="","",TRIM(INDEX(INDIRECT("'WCM Calibration Final'!$C$1:$C$2000"),'Calculations'!$EM455)&amp;"")),"")&lt;&gt;"","S:"&amp;UPPER(IFERROR(IF(INDEX(INDIRECT("'WCM Calibration Final'!$C$1:$C$2000"),'Calculations'!$EM455)="","",TRIM(INDEX(INDIRECT("'WCM Calibration Final'!$C$1:$C$2000"),'Calculations'!$EM455)&amp;"")),"")),"R:"&amp;'Calculations'!EM455)))</x:f>
      </x:c>
      <x:c r="HF455" t="str">
        <x:f>IF('Calculations'!EM455="","",IF(IFERROR(IF(INDEX(INDIRECT("'WCM Calibration Final'!$D$1:$D$2000"),'Calculations'!$EM455)="","",TRIM(INDEX(INDIRECT("'WCM Calibration Final'!$D$1:$D$2000"),'Calculations'!$EM455)&amp;"")),"")&lt;&gt;"","G:"&amp;IFERROR(TEXT(1*INDEX(INDIRECT("'WCM Calibration Final'!$D$1:$D$2000"),'Calculations'!$EM455),"0"),UPPER(IFERROR(IF(INDEX(INDIRECT("'WCM Calibration Final'!$D$1:$D$2000"),'Calculations'!$EM455)="","",TRIM(INDEX(INDIRECT("'WCM Calibration Final'!$D$1:$D$2000"),'Calculations'!$EM455)&amp;"")),""))),IF(IFERROR(IF(INDEX(INDIRECT("'WCM Calibration Final'!$E$1:$E$2000"),'Calculations'!$EM455)="","",TRIM(INDEX(INDIRECT("'WCM Calibration Final'!$E$1:$E$2000"),'Calculations'!$EM455)&amp;"")),"")="","",IF(COUNTIF('Calculations'!$HG$13:$HG$512,"="&amp;SUBSTITUTE(SUBSTITUTE(SUBSTITUTE(IFERROR(IF(INDEX(INDIRECT("'WCM Calibration Final'!$E$1:$E$2000"),'Calculations'!$EM455)="","",TRIM(INDEX(INDIRECT("'WCM Calibration Final'!$E$1:$E$2000"),'Calculations'!$EM455)&amp;"")),""),"~","~~"),"*","~*"),"?","~?"))=1,INDEX('Calculations'!$HE$13:$HE$512,MATCH(IFERROR(IF(INDEX(INDIRECT("'WCM Calibration Final'!$E$1:$E$2000"),'Calculations'!$EM455)="","",TRIM(INDEX(INDIRECT("'WCM Calibration Final'!$E$1:$E$2000"),'Calculations'!$EM455)&amp;"")),""),'Calculations'!$HG$13:$HG$512,0)),IF(COUNTIF('Calculations'!$HG$13:$HG$512,"="&amp;SUBSTITUTE(SUBSTITUTE(SUBSTITUTE(IFERROR(IF(INDEX(INDIRECT("'WCM Calibration Final'!$E$1:$E$2000"),'Calculations'!$EM455)="","",TRIM(INDEX(INDIRECT("'WCM Calibration Final'!$E$1:$E$2000"),'Calculations'!$EM455)&amp;"")),""),"~","~~"),"*","~*"),"?","~?"))&gt;1,"!AMBIG","X:"&amp;IFERROR(IF(INDEX(INDIRECT("'WCM Calibration Final'!$E$1:$E$2000"),'Calculations'!$EM455)="","",TRIM(INDEX(INDIRECT("'WCM Calibration Final'!$E$1:$E$2000"),'Calculations'!$EM455)&amp;"")),""))))))</x:f>
      </x:c>
      <x:c r="HG455" t="str">
        <x:f>IF('Calculations'!EM455="","",IFERROR(IF(INDEX(INDIRECT("'WCM Calibration Final'!$B$1:$B$2000"),'Calculations'!$EM455)="","",TRIM(INDEX(INDIRECT("'WCM Calibration Final'!$B$1:$B$2000"),'Calculations'!$EM455)&amp;"")),""))</x:f>
      </x:c>
      <x:c r="HH455" t="n">
        <x:f>IF(AND('Calculations'!JC455&gt;0,COUNTIF('Calculations'!$HF$12:HF455,"="&amp;SUBSTITUTE(SUBSTITUTE(SUBSTITUTE('Calculations'!HF455,"~","~~"),"*","~*"),"?","~?"))=1),MAX('Calculations'!$HH$12:HH454)+1,0)</x:f>
        <x:v>0</x:v>
      </x:c>
      <x:c r="HI455" t="n">
        <x:f>IF(AND('Calculations'!HN455&lt;&gt;"",COUNTIF('Calculations'!$HN$12:HN455,"="&amp;SUBSTITUTE(SUBSTITUTE(SUBSTITUTE('Calculations'!HN455,"~","~~"),"*","~*"),"?","~?"))=1),MAX('Calculations'!$HI$12:HI454)+1,0)</x:f>
        <x:v>0</x:v>
      </x:c>
      <x:c r="HJ455" t="str">
        <x:f>IF('Calculations'!HF455="","",IF(COUNTIF('Calculations'!$HE$13:$HE$512,"="&amp;SUBSTITUTE(SUBSTITUTE(SUBSTITUTE('Calculations'!HF455,"~","~~"),"*","~*"),"?","~?"))=1,INDEX('Calculations'!$HK$13:$HK$512,MATCH('Calculations'!HF455,'Calculations'!$HE$13:$HE$512,0)),IFERROR(IF(INDEX(INDIRECT("'WCM Calibration Final'!$E$1:$E$2000"),'Calculations'!$EM455)="","",TRIM(INDEX(INDIRECT("'WCM Calibration Final'!$E$1:$E$2000"),'Calculations'!$EM455)&amp;"")),"")&amp;" ["&amp;'Calculations'!HF455&amp;"]"))</x:f>
      </x:c>
      <x:c r="HK455" t="str">
        <x:f>IF('Calculations'!EM455="","",'Calculations'!HG455&amp;" ["&amp;'Calculations'!HE455&amp;"]")</x:f>
      </x:c>
      <x:c r="HL455" t="n">
        <x:f>IF('Calculations'!EM455="",0,IF(OR('Calculations'!II455&lt;&gt;"",COUNTIF('Calculations'!$HE$13:$HE$512,"="&amp;SUBSTITUTE(SUBSTITUTE(SUBSTITUTE('Calculations'!HE455,"~","~~"),"*","~*"),"?","~?"))&gt;1),1,0))</x:f>
        <x:v>0</x:v>
      </x:c>
      <x:c r="HM455" t="str">
        <x:f>IF('Calculations'!EM455="","",IF('Calculations'!HL455=1,"!UNRESOLVED",IF('Calculations'!IH455&lt;&gt;"",'Calculations'!IH455,IF('Calculations'!IG455&lt;&gt;"",'Calculations'!IG455,IF('Calculations'!IF455&lt;&gt;"",'Calculations'!IF455,IF('Calculations'!IE455&lt;&gt;"",'Calculations'!IE455,IF('Calculations'!ID455&lt;&gt;"",'Calculations'!ID455,IF('Calculations'!IC455&lt;&gt;"",'Calculations'!IC455,IF('Calculations'!IB455&lt;&gt;"",'Calculations'!IB455,IF('Calculations'!IA455&lt;&gt;"",'Calculations'!IA455,IF('Calculations'!HZ455&lt;&gt;"",'Calculations'!HZ455,IF('Calculations'!HY455&lt;&gt;"",'Calculations'!HY455,IF('Calculations'!HX455&lt;&gt;"",'Calculations'!HX455,IF('Calculations'!HW455&lt;&gt;"",'Calculations'!HW455,IF('Calculations'!HV455&lt;&gt;"",'Calculations'!HV455,IF('Calculations'!HU455&lt;&gt;"",'Calculations'!HU455,IF('Calculations'!HT455&lt;&gt;"",'Calculations'!HT455,IF('Calculations'!HS455&lt;&gt;"",'Calculations'!HS455,IF('Calculations'!HR455&lt;&gt;"",'Calculations'!HR455,IF('Calculations'!HQ455&lt;&gt;"",'Calculations'!HQ455,IF('Calculations'!HP455&lt;&gt;"",'Calculations'!HP455,IF('Calculations'!HO455&lt;&gt;"",'Calculations'!HO455,'Calculations'!HE455))))))))))))))))))))))</x:f>
      </x:c>
      <x:c r="HN455" t="str">
        <x:f>IF('Calculations'!EM455="","",IF(IFERROR(IF(INDEX(INDIRECT("'WCM Calibration Final'!$F$1:$F$2000"),'Calculations'!$EM455)="","",TRIM(INDEX(INDIRECT("'WCM Calibration Final'!$F$1:$F$2000"),'Calculations'!$EM455)&amp;"")),"")="","(Blank)",IFERROR(IF(INDEX(INDIRECT("'WCM Calibration Final'!$F$1:$F$2000"),'Calculations'!$EM455)="","",TRIM(INDEX(INDIRECT("'WCM Calibration Final'!$F$1:$F$2000"),'Calculations'!$EM455)&amp;"")),"")))</x:f>
      </x:c>
      <x:c r="HO455" t="str">
        <x:f>'Calculations'!HF455</x:f>
      </x:c>
      <x:c r="HP455" t="str">
        <x:f>IF('Calculations'!HO455="","",IF('Calculations'!HO455="!AMBIG","!AMBIG",IF(COUNTIF('Calculations'!$HE$13:$HE$512,"="&amp;SUBSTITUTE(SUBSTITUTE(SUBSTITUTE('Calculations'!HO455,"~","~~"),"*","~*"),"?","~?"))&gt;1,"!AMBIG",IFERROR(INDEX('Calculations'!$HF$13:$HF$512,MATCH('Calculations'!HO455,'Calculations'!$HE$13:$HE$512,0)),""))))</x:f>
      </x:c>
      <x:c r="HQ455" t="str">
        <x:f>IF('Calculations'!HP455="","",IF('Calculations'!HP455="!AMBIG","!AMBIG",IF(COUNTIF('Calculations'!$HE$13:$HE$512,"="&amp;SUBSTITUTE(SUBSTITUTE(SUBSTITUTE('Calculations'!HP455,"~","~~"),"*","~*"),"?","~?"))&gt;1,"!AMBIG",IFERROR(INDEX('Calculations'!$HF$13:$HF$512,MATCH('Calculations'!HP455,'Calculations'!$HE$13:$HE$512,0)),""))))</x:f>
      </x:c>
      <x:c r="HR455" t="str">
        <x:f>IF('Calculations'!HQ455="","",IF('Calculations'!HQ455="!AMBIG","!AMBIG",IF(COUNTIF('Calculations'!$HE$13:$HE$512,"="&amp;SUBSTITUTE(SUBSTITUTE(SUBSTITUTE('Calculations'!HQ455,"~","~~"),"*","~*"),"?","~?"))&gt;1,"!AMBIG",IFERROR(INDEX('Calculations'!$HF$13:$HF$512,MATCH('Calculations'!HQ455,'Calculations'!$HE$13:$HE$512,0)),""))))</x:f>
      </x:c>
      <x:c r="HS455" t="str">
        <x:f>IF('Calculations'!HR455="","",IF('Calculations'!HR455="!AMBIG","!AMBIG",IF(COUNTIF('Calculations'!$HE$13:$HE$512,"="&amp;SUBSTITUTE(SUBSTITUTE(SUBSTITUTE('Calculations'!HR455,"~","~~"),"*","~*"),"?","~?"))&gt;1,"!AMBIG",IFERROR(INDEX('Calculations'!$HF$13:$HF$512,MATCH('Calculations'!HR455,'Calculations'!$HE$13:$HE$512,0)),""))))</x:f>
      </x:c>
      <x:c r="HT455" t="str">
        <x:f>IF('Calculations'!HS455="","",IF('Calculations'!HS455="!AMBIG","!AMBIG",IF(COUNTIF('Calculations'!$HE$13:$HE$512,"="&amp;SUBSTITUTE(SUBSTITUTE(SUBSTITUTE('Calculations'!HS455,"~","~~"),"*","~*"),"?","~?"))&gt;1,"!AMBIG",IFERROR(INDEX('Calculations'!$HF$13:$HF$512,MATCH('Calculations'!HS455,'Calculations'!$HE$13:$HE$512,0)),""))))</x:f>
      </x:c>
      <x:c r="HU455" t="str">
        <x:f>IF('Calculations'!HT455="","",IF('Calculations'!HT455="!AMBIG","!AMBIG",IF(COUNTIF('Calculations'!$HE$13:$HE$512,"="&amp;SUBSTITUTE(SUBSTITUTE(SUBSTITUTE('Calculations'!HT455,"~","~~"),"*","~*"),"?","~?"))&gt;1,"!AMBIG",IFERROR(INDEX('Calculations'!$HF$13:$HF$512,MATCH('Calculations'!HT455,'Calculations'!$HE$13:$HE$512,0)),""))))</x:f>
      </x:c>
      <x:c r="HV455" t="str">
        <x:f>IF('Calculations'!HU455="","",IF('Calculations'!HU455="!AMBIG","!AMBIG",IF(COUNTIF('Calculations'!$HE$13:$HE$512,"="&amp;SUBSTITUTE(SUBSTITUTE(SUBSTITUTE('Calculations'!HU455,"~","~~"),"*","~*"),"?","~?"))&gt;1,"!AMBIG",IFERROR(INDEX('Calculations'!$HF$13:$HF$512,MATCH('Calculations'!HU455,'Calculations'!$HE$13:$HE$512,0)),""))))</x:f>
      </x:c>
      <x:c r="HW455" t="str">
        <x:f>IF('Calculations'!HV455="","",IF('Calculations'!HV455="!AMBIG","!AMBIG",IF(COUNTIF('Calculations'!$HE$13:$HE$512,"="&amp;SUBSTITUTE(SUBSTITUTE(SUBSTITUTE('Calculations'!HV455,"~","~~"),"*","~*"),"?","~?"))&gt;1,"!AMBIG",IFERROR(INDEX('Calculations'!$HF$13:$HF$512,MATCH('Calculations'!HV455,'Calculations'!$HE$13:$HE$512,0)),""))))</x:f>
      </x:c>
      <x:c r="HX455" t="str">
        <x:f>IF('Calculations'!HW455="","",IF('Calculations'!HW455="!AMBIG","!AMBIG",IF(COUNTIF('Calculations'!$HE$13:$HE$512,"="&amp;SUBSTITUTE(SUBSTITUTE(SUBSTITUTE('Calculations'!HW455,"~","~~"),"*","~*"),"?","~?"))&gt;1,"!AMBIG",IFERROR(INDEX('Calculations'!$HF$13:$HF$512,MATCH('Calculations'!HW455,'Calculations'!$HE$13:$HE$512,0)),""))))</x:f>
      </x:c>
      <x:c r="HY455" t="str">
        <x:f>IF('Calculations'!HX455="","",IF('Calculations'!HX455="!AMBIG","!AMBIG",IF(COUNTIF('Calculations'!$HE$13:$HE$512,"="&amp;SUBSTITUTE(SUBSTITUTE(SUBSTITUTE('Calculations'!HX455,"~","~~"),"*","~*"),"?","~?"))&gt;1,"!AMBIG",IFERROR(INDEX('Calculations'!$HF$13:$HF$512,MATCH('Calculations'!HX455,'Calculations'!$HE$13:$HE$512,0)),""))))</x:f>
      </x:c>
      <x:c r="HZ455" t="str">
        <x:f>IF('Calculations'!HY455="","",IF('Calculations'!HY455="!AMBIG","!AMBIG",IF(COUNTIF('Calculations'!$HE$13:$HE$512,"="&amp;SUBSTITUTE(SUBSTITUTE(SUBSTITUTE('Calculations'!HY455,"~","~~"),"*","~*"),"?","~?"))&gt;1,"!AMBIG",IFERROR(INDEX('Calculations'!$HF$13:$HF$512,MATCH('Calculations'!HY455,'Calculations'!$HE$13:$HE$512,0)),""))))</x:f>
      </x:c>
      <x:c r="IA455" t="str">
        <x:f>IF('Calculations'!HZ455="","",IF('Calculations'!HZ455="!AMBIG","!AMBIG",IF(COUNTIF('Calculations'!$HE$13:$HE$512,"="&amp;SUBSTITUTE(SUBSTITUTE(SUBSTITUTE('Calculations'!HZ455,"~","~~"),"*","~*"),"?","~?"))&gt;1,"!AMBIG",IFERROR(INDEX('Calculations'!$HF$13:$HF$512,MATCH('Calculations'!HZ455,'Calculations'!$HE$13:$HE$512,0)),""))))</x:f>
      </x:c>
      <x:c r="IB455" t="str">
        <x:f>IF('Calculations'!IA455="","",IF('Calculations'!IA455="!AMBIG","!AMBIG",IF(COUNTIF('Calculations'!$HE$13:$HE$512,"="&amp;SUBSTITUTE(SUBSTITUTE(SUBSTITUTE('Calculations'!IA455,"~","~~"),"*","~*"),"?","~?"))&gt;1,"!AMBIG",IFERROR(INDEX('Calculations'!$HF$13:$HF$512,MATCH('Calculations'!IA455,'Calculations'!$HE$13:$HE$512,0)),""))))</x:f>
      </x:c>
      <x:c r="IC455" t="str">
        <x:f>IF('Calculations'!IB455="","",IF('Calculations'!IB455="!AMBIG","!AMBIG",IF(COUNTIF('Calculations'!$HE$13:$HE$512,"="&amp;SUBSTITUTE(SUBSTITUTE(SUBSTITUTE('Calculations'!IB455,"~","~~"),"*","~*"),"?","~?"))&gt;1,"!AMBIG",IFERROR(INDEX('Calculations'!$HF$13:$HF$512,MATCH('Calculations'!IB455,'Calculations'!$HE$13:$HE$512,0)),""))))</x:f>
      </x:c>
      <x:c r="ID455" t="str">
        <x:f>IF('Calculations'!IC455="","",IF('Calculations'!IC455="!AMBIG","!AMBIG",IF(COUNTIF('Calculations'!$HE$13:$HE$512,"="&amp;SUBSTITUTE(SUBSTITUTE(SUBSTITUTE('Calculations'!IC455,"~","~~"),"*","~*"),"?","~?"))&gt;1,"!AMBIG",IFERROR(INDEX('Calculations'!$HF$13:$HF$512,MATCH('Calculations'!IC455,'Calculations'!$HE$13:$HE$512,0)),""))))</x:f>
      </x:c>
      <x:c r="IE455" t="str">
        <x:f>IF('Calculations'!ID455="","",IF('Calculations'!ID455="!AMBIG","!AMBIG",IF(COUNTIF('Calculations'!$HE$13:$HE$512,"="&amp;SUBSTITUTE(SUBSTITUTE(SUBSTITUTE('Calculations'!ID455,"~","~~"),"*","~*"),"?","~?"))&gt;1,"!AMBIG",IFERROR(INDEX('Calculations'!$HF$13:$HF$512,MATCH('Calculations'!ID455,'Calculations'!$HE$13:$HE$512,0)),""))))</x:f>
      </x:c>
      <x:c r="IF455" t="str">
        <x:f>IF('Calculations'!IE455="","",IF('Calculations'!IE455="!AMBIG","!AMBIG",IF(COUNTIF('Calculations'!$HE$13:$HE$512,"="&amp;SUBSTITUTE(SUBSTITUTE(SUBSTITUTE('Calculations'!IE455,"~","~~"),"*","~*"),"?","~?"))&gt;1,"!AMBIG",IFERROR(INDEX('Calculations'!$HF$13:$HF$512,MATCH('Calculations'!IE455,'Calculations'!$HE$13:$HE$512,0)),""))))</x:f>
      </x:c>
      <x:c r="IG455" t="str">
        <x:f>IF('Calculations'!IF455="","",IF('Calculations'!IF455="!AMBIG","!AMBIG",IF(COUNTIF('Calculations'!$HE$13:$HE$512,"="&amp;SUBSTITUTE(SUBSTITUTE(SUBSTITUTE('Calculations'!IF455,"~","~~"),"*","~*"),"?","~?"))&gt;1,"!AMBIG",IFERROR(INDEX('Calculations'!$HF$13:$HF$512,MATCH('Calculations'!IF455,'Calculations'!$HE$13:$HE$512,0)),""))))</x:f>
      </x:c>
      <x:c r="IH455" t="str">
        <x:f>IF('Calculations'!IG455="","",IF('Calculations'!IG455="!AMBIG","!AMBIG",IF(COUNTIF('Calculations'!$HE$13:$HE$512,"="&amp;SUBSTITUTE(SUBSTITUTE(SUBSTITUTE('Calculations'!IG455,"~","~~"),"*","~*"),"?","~?"))&gt;1,"!AMBIG",IFERROR(INDEX('Calculations'!$HF$13:$HF$512,MATCH('Calculations'!IG455,'Calculations'!$HE$13:$HE$512,0)),""))))</x:f>
      </x:c>
      <x:c r="II455" t="str">
        <x:f>IF('Calculations'!IH455="","",IF('Calculations'!IH455="!AMBIG","!AMBIG",IF(COUNTIF('Calculations'!$HE$13:$HE$512,"="&amp;SUBSTITUTE(SUBSTITUTE(SUBSTITUTE('Calculations'!IH455,"~","~~"),"*","~*"),"?","~?"))&gt;1,"!AMBIG",IFERROR(INDEX('Calculations'!$HF$13:$HF$512,MATCH('Calculations'!IH455,'Calculations'!$HE$13:$HE$512,0)),""))))</x:f>
      </x:c>
      <x:c r="IJ455" t="str">
        <x:f>IF('Calculations'!EM455="","",IF('Calculations'!$EF$2="All",'Calculations'!HM455,IF('Calculations'!HL455=1,"",IFERROR(IF(MATCH('Calculations'!$EF$2,'Calculations'!HO455:II455,0)=1,'Calculations'!HE455,INDEX('Calculations'!HO455:II455,1,MATCH('Calculations'!$EF$2,'Calculations'!HO455:II455,0)-1)),""))))</x:f>
      </x:c>
      <x:c r="IK455" t="n">
        <x:f>IF(AND('Calculations'!EM455&lt;&gt;"",'Calculations'!$EF$2&lt;&gt;"All",'Calculations'!HF455='Calculations'!$EF$2,'Calculations'!HL455=0,'Calculations'!JD455&gt;0),MAX('Calculations'!$IK$12:IK454)+1,0)</x:f>
        <x:v>0</x:v>
      </x:c>
      <x:c r="JA455" t="n">
        <x:f>IF(OR(IFERROR(INDIRECT("'WCM Calibration Final'!$A$455")&lt;&gt;"",FALSE),IFERROR(INDIRECT("'WCM Calibration Final'!$B$455")&lt;&gt;"",FALSE),IFERROR(INDIRECT("'WCM Calibration Final'!$C$455")&lt;&gt;"",FALSE)),455,0)</x:f>
        <x:v>0</x:v>
      </x:c>
      <x:c r="JB455" t="n">
        <x:f>'Calculations'!JB454+IF('Calculations'!JA455&gt;0,1,0)</x:f>
        <x:v>0</x:v>
      </x:c>
      <x:c r="JC455" t="n">
        <x:f>IF(OR('Calculations'!HF455="",'Calculations'!HF455="!AMBIG"),0,IF('Dashboard'!$B$7="All",1,COUNTIFS('Calculations'!$HO$13:$HO$512,"="&amp;SUBSTITUTE(SUBSTITUTE(SUBSTITUTE('Calculations'!HF455,"~","~~"),"*","~*"),"?","~?"),'Calculations'!$HN$13:$HN$512,"="&amp;SUBSTITUTE(SUBSTITUTE(SUBSTITUTE('Dashboard'!$B$7,"~","~~"),"*","~*"),"?","~?"))+COUNTIFS('Calculations'!$HP$13:$HP$512,"="&amp;SUBSTITUTE(SUBSTITUTE(SUBSTITUTE('Calculations'!HF455,"~","~~"),"*","~*"),"?","~?"),'Calculations'!$HN$13:$HN$512,"="&amp;SUBSTITUTE(SUBSTITUTE(SUBSTITUTE('Dashboard'!$B$7,"~","~~"),"*","~*"),"?","~?"))+COUNTIFS('Calculations'!$HQ$13:$HQ$512,"="&amp;SUBSTITUTE(SUBSTITUTE(SUBSTITUTE('Calculations'!HF455,"~","~~"),"*","~*"),"?","~?"),'Calculations'!$HN$13:$HN$512,"="&amp;SUBSTITUTE(SUBSTITUTE(SUBSTITUTE('Dashboard'!$B$7,"~","~~"),"*","~*"),"?","~?"))+COUNTIFS('Calculations'!$HR$13:$HR$512,"="&amp;SUBSTITUTE(SUBSTITUTE(SUBSTITUTE('Calculations'!HF455,"~","~~"),"*","~*"),"?","~?"),'Calculations'!$HN$13:$HN$512,"="&amp;SUBSTITUTE(SUBSTITUTE(SUBSTITUTE('Dashboard'!$B$7,"~","~~"),"*","~*"),"?","~?"))+COUNTIFS('Calculations'!$HS$13:$HS$512,"="&amp;SUBSTITUTE(SUBSTITUTE(SUBSTITUTE('Calculations'!HF455,"~","~~"),"*","~*"),"?","~?"),'Calculations'!$HN$13:$HN$512,"="&amp;SUBSTITUTE(SUBSTITUTE(SUBSTITUTE('Dashboard'!$B$7,"~","~~"),"*","~*"),"?","~?"))+COUNTIFS('Calculations'!$HT$13:$HT$512,"="&amp;SUBSTITUTE(SUBSTITUTE(SUBSTITUTE('Calculations'!HF455,"~","~~"),"*","~*"),"?","~?"),'Calculations'!$HN$13:$HN$512,"="&amp;SUBSTITUTE(SUBSTITUTE(SUBSTITUTE('Dashboard'!$B$7,"~","~~"),"*","~*"),"?","~?"))+COUNTIFS('Calculations'!$HU$13:$HU$512,"="&amp;SUBSTITUTE(SUBSTITUTE(SUBSTITUTE('Calculations'!HF455,"~","~~"),"*","~*"),"?","~?"),'Calculations'!$HN$13:$HN$512,"="&amp;SUBSTITUTE(SUBSTITUTE(SUBSTITUTE('Dashboard'!$B$7,"~","~~"),"*","~*"),"?","~?"))+COUNTIFS('Calculations'!$HV$13:$HV$512,"="&amp;SUBSTITUTE(SUBSTITUTE(SUBSTITUTE('Calculations'!HF455,"~","~~"),"*","~*"),"?","~?"),'Calculations'!$HN$13:$HN$512,"="&amp;SUBSTITUTE(SUBSTITUTE(SUBSTITUTE('Dashboard'!$B$7,"~","~~"),"*","~*"),"?","~?"))+COUNTIFS('Calculations'!$HW$13:$HW$512,"="&amp;SUBSTITUTE(SUBSTITUTE(SUBSTITUTE('Calculations'!HF455,"~","~~"),"*","~*"),"?","~?"),'Calculations'!$HN$13:$HN$512,"="&amp;SUBSTITUTE(SUBSTITUTE(SUBSTITUTE('Dashboard'!$B$7,"~","~~"),"*","~*"),"?","~?"))+COUNTIFS('Calculations'!$HX$13:$HX$512,"="&amp;SUBSTITUTE(SUBSTITUTE(SUBSTITUTE('Calculations'!HF455,"~","~~"),"*","~*"),"?","~?"),'Calculations'!$HN$13:$HN$512,"="&amp;SUBSTITUTE(SUBSTITUTE(SUBSTITUTE('Dashboard'!$B$7,"~","~~"),"*","~*"),"?","~?"))+COUNTIFS('Calculations'!$HY$13:$HY$512,"="&amp;SUBSTITUTE(SUBSTITUTE(SUBSTITUTE('Calculations'!HF455,"~","~~"),"*","~*"),"?","~?"),'Calculations'!$HN$13:$HN$512,"="&amp;SUBSTITUTE(SUBSTITUTE(SUBSTITUTE('Dashboard'!$B$7,"~","~~"),"*","~*"),"?","~?"))+COUNTIFS('Calculations'!$HZ$13:$HZ$512,"="&amp;SUBSTITUTE(SUBSTITUTE(SUBSTITUTE('Calculations'!HF455,"~","~~"),"*","~*"),"?","~?"),'Calculations'!$HN$13:$HN$512,"="&amp;SUBSTITUTE(SUBSTITUTE(SUBSTITUTE('Dashboard'!$B$7,"~","~~"),"*","~*"),"?","~?"))+COUNTIFS('Calculations'!$IA$13:$IA$512,"="&amp;SUBSTITUTE(SUBSTITUTE(SUBSTITUTE('Calculations'!HF455,"~","~~"),"*","~*"),"?","~?"),'Calculations'!$HN$13:$HN$512,"="&amp;SUBSTITUTE(SUBSTITUTE(SUBSTITUTE('Dashboard'!$B$7,"~","~~"),"*","~*"),"?","~?"))+COUNTIFS('Calculations'!$IB$13:$IB$512,"="&amp;SUBSTITUTE(SUBSTITUTE(SUBSTITUTE('Calculations'!HF455,"~","~~"),"*","~*"),"?","~?"),'Calculations'!$HN$13:$HN$512,"="&amp;SUBSTITUTE(SUBSTITUTE(SUBSTITUTE('Dashboard'!$B$7,"~","~~"),"*","~*"),"?","~?"))+COUNTIFS('Calculations'!$IC$13:$IC$512,"="&amp;SUBSTITUTE(SUBSTITUTE(SUBSTITUTE('Calculations'!HF455,"~","~~"),"*","~*"),"?","~?"),'Calculations'!$HN$13:$HN$512,"="&amp;SUBSTITUTE(SUBSTITUTE(SUBSTITUTE('Dashboard'!$B$7,"~","~~"),"*","~*"),"?","~?"))+COUNTIFS('Calculations'!$ID$13:$ID$512,"="&amp;SUBSTITUTE(SUBSTITUTE(SUBSTITUTE('Calculations'!HF455,"~","~~"),"*","~*"),"?","~?"),'Calculations'!$HN$13:$HN$512,"="&amp;SUBSTITUTE(SUBSTITUTE(SUBSTITUTE('Dashboard'!$B$7,"~","~~"),"*","~*"),"?","~?"))+COUNTIFS('Calculations'!$IE$13:$IE$512,"="&amp;SUBSTITUTE(SUBSTITUTE(SUBSTITUTE('Calculations'!HF455,"~","~~"),"*","~*"),"?","~?"),'Calculations'!$HN$13:$HN$512,"="&amp;SUBSTITUTE(SUBSTITUTE(SUBSTITUTE('Dashboard'!$B$7,"~","~~"),"*","~*"),"?","~?"))+COUNTIFS('Calculations'!$IF$13:$IF$512,"="&amp;SUBSTITUTE(SUBSTITUTE(SUBSTITUTE('Calculations'!HF455,"~","~~"),"*","~*"),"?","~?"),'Calculations'!$HN$13:$HN$512,"="&amp;SUBSTITUTE(SUBSTITUTE(SUBSTITUTE('Dashboard'!$B$7,"~","~~"),"*","~*"),"?","~?"))+COUNTIFS('Calculations'!$IG$13:$IG$512,"="&amp;SUBSTITUTE(SUBSTITUTE(SUBSTITUTE('Calculations'!HF455,"~","~~"),"*","~*"),"?","~?"),'Calculations'!$HN$13:$HN$512,"="&amp;SUBSTITUTE(SUBSTITUTE(SUBSTITUTE('Dashboard'!$B$7,"~","~~"),"*","~*"),"?","~?"))+COUNTIFS('Calculations'!$IH$13:$IH$512,"="&amp;SUBSTITUTE(SUBSTITUTE(SUBSTITUTE('Calculations'!HF455,"~","~~"),"*","~*"),"?","~?"),'Calculations'!$HN$13:$HN$512,"="&amp;SUBSTITUTE(SUBSTITUTE(SUBSTITUTE('Dashboard'!$B$7,"~","~~"),"*","~*"),"?","~?"))))</x:f>
        <x:v>0</x:v>
      </x:c>
      <x:c r="JD455" t="n">
        <x:f>IF('Calculations'!EM455="",0,IF('Dashboard'!$B$7="All",1,IF('Calculations'!HN455='Dashboard'!$B$7,1,0)+IFERROR(INDEX('Calculations'!$JC$13:$JC$512,MATCH('Calculations'!HE455,'Calculations'!$HF$13:$HF$512,0)),0)))</x:f>
        <x:v>0</x:v>
      </x:c>
      <x:c r="JE455" t="n">
        <x:f>IF(AND('Calculations'!EM455&lt;&gt;"",'Calculations'!$JJ$2&lt;&gt;"All",'Calculations'!$JJ$2&lt;&gt;"",'Calculations'!HF455='Calculations'!$JJ$2,'Calculations'!HL455=0,'Calculations'!JD455&gt;0),MAX('Calculations'!$JE$12:JE454)+1,0)</x:f>
        <x:v>0</x:v>
      </x:c>
      <x:c r="JF455" t="str">
        <x:f>IF('Calculations'!EM455="","",IFERROR(IF(INDEX(INDIRECT("'WCM Calibration Final'!$G$1:$G$2000"),'Calculations'!$EM455)="","",TRIM(INDEX(INDIRECT("'WCM Calibration Final'!$G$1:$G$2000"),'Calculations'!$EM455)&amp;"")),""))</x:f>
      </x:c>
      <x:c r="JQ455" t="n">
        <x:f>IF(OR('Calculations'!BM455=0,NOT('Calculations'!$AG$2),'Calculations'!$AG$8&gt;0),0,IF(OR('Dashboard'!$B$7="All",'Calculations'!HN455='Dashboard'!$B$7),IF('Calculations'!$JJ$2="All",1,IF(AND('Calculations'!HF455='Calculations'!$JJ$2,'Calculations'!HL455=0),1,0)),0))</x:f>
        <x:v>0</x:v>
      </x:c>
    </x:row>
    <x:row r="456">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t="n">
        <x:f>IF('Calculations'!$EM456="",0,IF(OR(IFERROR(INDEX(INDIRECT("'WCM Calibration Final'!$A$1:$A$2000"),'Calculations'!$EM456)&lt;&gt;"",FALSE),IFERROR(INDEX(INDIRECT("'WCM Calibration Final'!$B$1:$B$2000"),'Calculations'!$EM456)&lt;&gt;"",FALSE),IFERROR(INDEX(INDIRECT("'WCM Calibration Final'!$C$1:$C$2000"),'Calculations'!$EM456)&lt;&gt;"",FALSE)),1,0))</x:f>
        <x:v>0</x:v>
      </x:c>
      <x:c r="BN456" s="4" t="n">
        <x:f>IF(AND('Calculations'!BM456=1,'Calculations'!$AG$2,'Calculations'!$EN456=1),1,0)</x:f>
        <x:v>0</x:v>
      </x:c>
      <x:c r="BO456" s="4" t="str">
        <x:f>IF('Calculations'!BM456=0,"",IFERROR(IF(AND(VALUE(INDEX(INDIRECT("'WCM Calibration Final'!$K$1:$K$2000"),'Calculations'!$EM456))&gt;=1,VALUE(INDEX(INDIRECT("'WCM Calibration Final'!$K$1:$K$2000"),'Calculations'!$EM456))&lt;=4,MOD(VALUE(INDEX(INDIRECT("'WCM Calibration Final'!$K$1:$K$2000"),'Calculations'!$EM456)),1)=0),VALUE(INDEX(INDIRECT("'WCM Calibration Final'!$K$1:$K$2000"),'Calculations'!$EM456)),""),""))</x:f>
      </x:c>
      <x:c r="BP456" s="4" t="str">
        <x:f>IF('Calculations'!BM456=0,"",IFERROR(IF(AND(VALUE(INDEX(INDIRECT("'WCM Calibration Final'!$L$1:$L$2000"),'Calculations'!$EM456))&gt;=1,VALUE(INDEX(INDIRECT("'WCM Calibration Final'!$L$1:$L$2000"),'Calculations'!$EM456))&lt;=4,MOD(VALUE(INDEX(INDIRECT("'WCM Calibration Final'!$L$1:$L$2000"),'Calculations'!$EM456)),1)=0),VALUE(INDEX(INDIRECT("'WCM Calibration Final'!$L$1:$L$2000"),'Calculations'!$EM456)),""),""))</x:f>
      </x:c>
      <x:c r="BQ456" s="4"/>
      <x:c r="BR456" s="4"/>
      <x:c r="BS456" s="4"/>
      <x:c r="BT456" s="4" t="n">
        <x:f>IF(AND('Calculations'!BM456=1,ISNUMBER('Calculations'!BO456),ISNUMBER('Calculations'!BP456)),1,0)</x:f>
        <x:v>0</x:v>
      </x:c>
      <x:c r="BU456" s="4" t="str">
        <x:f>IF('Calculations'!BM456=0,"",'Calculations'!$EO456)</x:f>
      </x:c>
      <x:c r="BV456" s="4" t="str">
        <x:f>IF('Calculations'!BM456=0,"",IFERROR(IF(OR(INDEX(INDIRECT("'WCM Calibration Final'!$H$1:$H$2000"),'Calculations'!$EM456)="MANAGING DIRECTOR",INDEX(INDIRECT("'WCM Calibration Final'!$H$1:$H$2000"),'Calculations'!$EM456)="DIRECTOR",INDEX(INDIRECT("'WCM Calibration Final'!$H$1:$H$2000"),'Calculations'!$EM456)="SENIOR VICE PRESIDENT",INDEX(INDIRECT("'WCM Calibration Final'!$H$1:$H$2000"),'Calculations'!$EM456)="VICE PRESIDENT",INDEX(INDIRECT("'WCM Calibration Final'!$H$1:$H$2000"),'Calculations'!$EM456)="ASSISTANT VICE PRESIDENT",INDEX(INDIRECT("'WCM Calibration Final'!$H$1:$H$2000"),'Calculations'!$EM456)="OFFICER"),UPPER(INDEX(INDIRECT("'WCM Calibration Final'!$H$1:$H$2000"),'Calculations'!$EM456)),"Other"),"Other"))</x:f>
      </x:c>
      <x:c r="BW456" s="4"/>
      <x:c r="BX456" s="4"/>
      <x:c r="BY456" s="4" t="n">
        <x:f>IF(AND('Calculations'!BM456=1,'Calculations'!BU456&lt;&gt;"",COUNTIF('Calculations'!$BU$12:BU456,'Calculations'!BU456)=1),MAX('Calculations'!$BY$11:BY455)+1,0)</x:f>
        <x:v>0</x:v>
      </x:c>
      <x:c r="BZ456" s="4" t="str">
        <x:f>IF('Dashboard'!$E$67="What",'Calculations'!BO456,'Calculations'!BP456)</x:f>
      </x:c>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t="str">
        <x:f>IF(445&gt;MAX('Calculations'!$HI$13:$HI$512),"",INDEX('Calculations'!$HN$13:$HN$512,MATCH(445,'Calculations'!$HI$13:$HI$512,0)))</x:f>
      </x:c>
      <x:c r="DB456" s="4" t="str">
        <x:f>IF(445&gt;MAX('Calculations'!$HH$13:$HH$512),"",INDEX('Calculations'!$HJ$13:$HJ$512,MATCH(445,'Calculations'!$HH$13:$HH$512,0)))</x:f>
      </x:c>
      <x:c r="DC456" s="4" t="str">
        <x:f>IF(ROW()-11&gt;MAX('Calculations'!$BY$13:$BY$512),"",INDEX('Calculations'!$BU$13:$BU$512,MATCH(ROW()-11,'Calculations'!$BY$13:$BY$512,0)))</x:f>
      </x:c>
      <x:c r="DD456" s="4" t="str">
        <x:f>IF(445&gt;MAX('Calculations'!$IK$13:$IK$512),"",INDEX('Calculations'!$HK$13:$HK$512,MATCH(445,'Calculations'!$IK$13:$IK$512,0)))</x:f>
      </x:c>
      <x:c r="DE456" s="4" t="str">
        <x:f>'Calculations'!DC456</x:f>
      </x:c>
      <x:c r="DF456" s="4" t="str">
        <x:f>IF('Calculations'!DE456="","",COUNTIFS('Calculations'!$BN$13:$BN$512,1,'Calculations'!$BU$13:$BU$512,'Calculations'!DE456))</x:f>
      </x:c>
      <x:c r="DG456" s="4" t="str">
        <x:f>IF('Calculations'!DE456="","",COUNTIFS('Calculations'!$BN$13:$BN$512,1,'Calculations'!$BU$13:$BU$512,'Calculations'!DE456,'Calculations'!$BT$13:$BT$512,1))</x:f>
      </x:c>
      <x:c r="DH456" s="4" t="str">
        <x:f>IF('Calculations'!DE456="","",'Calculations'!DF456-'Calculations'!DG456)</x:f>
      </x:c>
      <x:c r="DI456" s="4" t="str">
        <x:f>IF(OR('Calculations'!DE456="",'Calculations'!DF456=0),"",'Calculations'!DG456/'Calculations'!DF456)</x:f>
      </x:c>
      <x:c r="DJ456" s="4" t="str">
        <x:f>IF('Calculations'!DE456="","",COUNTIFS('Calculations'!$BN$13:$BN$512,1,'Calculations'!$BU$13:$BU$512,'Calculations'!DE456,'Calculations'!$BT$13:$BT$512,1,'Calculations'!$EE$13:$EE$512,"High"))</x:f>
      </x:c>
      <x:c r="DK456" s="4" t="str">
        <x:f>IF('Calculations'!DE456="","",COUNTIFS('Calculations'!$BN$13:$BN$512,1,'Calculations'!$BU$13:$BU$512,'Calculations'!DE456,'Calculations'!$BT$13:$BT$512,1,'Calculations'!$EE$13:$EE$512,"Strong"))</x:f>
      </x:c>
      <x:c r="DL456" s="4" t="str">
        <x:f>IF('Calculations'!DE456="","",COUNTIFS('Calculations'!$BN$13:$BN$512,1,'Calculations'!$BU$13:$BU$512,'Calculations'!DE456,'Calculations'!$BT$13:$BT$512,1,'Calculations'!$EE$13:$EE$512,"Solid"))</x:f>
      </x:c>
      <x:c r="DM456" s="4" t="str">
        <x:f>IF('Calculations'!DE456="","",COUNTIFS('Calculations'!$BN$13:$BN$512,1,'Calculations'!$BU$13:$BU$512,'Calculations'!DE456,'Calculations'!$BT$13:$BT$512,1,'Calculations'!$EE$13:$EE$512,"Low"))</x:f>
      </x:c>
      <x:c r="DN456" s="4" t="str">
        <x:f>IF('Calculations'!DE456="","",COUNTIFS('Calculations'!$BN$13:$BN$512,1,'Calculations'!$BU$13:$BU$512,'Calculations'!DE456,'Calculations'!$EP$13:$EP$512,1))</x:f>
      </x:c>
      <x:c r="DO456" s="4" t="str">
        <x:f>IF(OR('Calculations'!DE456="",'Calculations'!DG456=0),"",('Calculations'!DJ456+'Calculations'!DK456)/'Calculations'!DG456)</x:f>
      </x:c>
      <x:c r="DP456" s="4" t="n">
        <x:f>IF(AND('Calculations'!DE456&lt;&gt;"",'Calculations'!DF456&gt;0),COUNTIF('Calculations'!$DF$12:DF456,"&gt;0"),0)</x:f>
        <x:v>0</x:v>
      </x:c>
      <x:c r="DQ456" s="4" t="str">
        <x:f>IF(445&gt;MAX('Calculations'!$HH$13:$HH$512),"",INDEX('Calculations'!$HF$13:$HF$512,MATCH(445,'Calculations'!$HH$13:$HH$512,0)))</x:f>
      </x:c>
      <x:c r="DR456" s="4" t="str">
        <x:f>IF(445&gt;MAX('Calculations'!$IK$13:$IK$512),"",INDEX('Calculations'!$HE$13:$HE$512,MATCH(445,'Calculations'!$IK$13:$IK$512,0)))</x:f>
      </x:c>
      <x:c r="DS456" s="4"/>
      <x:c r="DT456" s="4"/>
      <x:c r="DU456" s="4"/>
      <x:c r="DV456" s="4"/>
      <x:c r="DW456" s="4"/>
      <x:c r="DX456" s="4"/>
      <x:c r="DY456" s="4"/>
      <x:c r="DZ456" s="4"/>
      <x:c r="EA456" s="4"/>
      <x:c r="EB456" s="4"/>
      <x:c r="EC456" s="4"/>
      <x:c r="ED456" s="4"/>
      <x:c r="EE456" s="4" t="str">
        <x:f>IF('Calculations'!BT456=0,"Not Rated",IF(OR('Calculations'!BO456&gt;=4,'Calculations'!BP456&gt;=4),"Low",IF('Calculations'!BO456+'Calculations'!BP456&lt;=3,"High",IF('Calculations'!BO456+'Calculations'!BP456&lt;=4,"Strong","Solid"))))</x:f>
        <x:v>Not Rated</x:v>
      </x:c>
      <x:c r="EF456" s="4"/>
      <x:c r="EG456" s="4"/>
      <x:c r="EH456" s="4"/>
      <x:c r="EI456" s="4"/>
      <x:c r="EJ456" s="4"/>
      <x:c r="EK456" s="4"/>
      <x:c r="EL456" s="4"/>
      <x:c r="EM456" s="4" t="str">
        <x:f>IF(444&gt;'Calculations'!$JB$2000,"",INDEX('Calculations'!$JA$12:$JA$2000,MATCH(444,'Calculations'!$JB$12:$JB$2000,0)))</x:f>
      </x:c>
      <x:c r="EN456" s="4" t="n">
        <x:f>IF(OR('Calculations'!EM456="",'Calculations'!$AG$8&gt;0,AND('Calculations'!$EF$2&lt;&gt;"All",'Calculations'!HE456='Calculations'!$EF$2),AND('Calculations'!$EF$3&lt;&gt;"All",'Calculations'!HE456='Calculations'!$EF$3)),0,IF(OR('Dashboard'!$B$7="All",'Calculations'!HN456='Dashboard'!$B$7),IF('Calculations'!$EF$2="All",1,IF('Calculations'!HL456&gt;0,0,IF(COUNTIF('Calculations'!HO456:II456,"="&amp;SUBSTITUTE(SUBSTITUTE(SUBSTITUTE('Calculations'!$EF$2,"~","~~"),"*","~*"),"?","~?"))=0,0,IF('Calculations'!$EF$3="All",1,IF(COUNTIF('Calculations'!HO456:II456,"="&amp;SUBSTITUTE(SUBSTITUTE(SUBSTITUTE('Calculations'!$EF$3,"~","~~"),"*","~*"),"?","~?"))&gt;0,1,0))))),0))</x:f>
        <x:v>0</x:v>
      </x:c>
      <x:c r="EO456" s="4" t="str">
        <x:f>IF('Calculations'!IJ456="","",IF('Calculations'!IJ456="!UNRESOLVED","Unresolved hierarchy",IFERROR(INDEX('Calculations'!$HK$13:$HK$512,MATCH('Calculations'!IJ456,'Calculations'!$HE$13:$HE$512,0)),IFERROR(INDEX('Calculations'!$HJ$13:$HJ$512,MATCH('Calculations'!IJ456,'Calculations'!$HF$13:$HF$512,0)),'Calculations'!IJ456))))</x:f>
      </x:c>
      <x:c r="EP456" s="4" t="n">
        <x:f>IF(AND('Calculations'!EM456&lt;&gt;"",'Calculations'!HF456='Calculations'!IJ456),1,0)</x:f>
        <x:v>0</x:v>
      </x:c>
      <x:c r="EQ456" s="4"/>
      <x:c r="ER456" s="4"/>
      <x:c r="ES456" s="4"/>
      <x:c r="ET456" s="4"/>
      <x:c r="EU456" s="4"/>
      <x:c r="EV456" s="4"/>
      <x:c r="EW456" s="4"/>
      <x:c r="EX456" s="4"/>
      <x:c r="EY456" s="4"/>
      <x:c r="EZ456" s="4"/>
      <x:c r="FA456" s="4"/>
      <x:c r="FB456" s="4"/>
      <x:c r="FC456" s="4"/>
      <x:c r="FD456" s="4"/>
      <x:c r="FE456" s="4"/>
      <x:c r="FF456" s="4"/>
      <x:c r="FG456" s="4"/>
      <x:c r="FH456" s="4"/>
      <x:c r="FI456" s="4"/>
      <x:c r="FJ456" s="4"/>
      <x:c r="FK456" s="4"/>
      <x:c r="FL456" s="4"/>
      <x:c r="FM456" s="4"/>
      <x:c r="FN456" s="4"/>
      <x:c r="FO456" s="4"/>
      <x:c r="HE456" t="str">
        <x:f>IF('Calculations'!EM456="","",IF(IFERROR(IF(INDEX(INDIRECT("'WCM Calibration Final'!$A$1:$A$2000"),'Calculations'!$EM456)="","",TRIM(INDEX(INDIRECT("'WCM Calibration Final'!$A$1:$A$2000"),'Calculations'!$EM456)&amp;"")),"")&lt;&gt;"","G:"&amp;IFERROR(TEXT(1*INDEX(INDIRECT("'WCM Calibration Final'!$A$1:$A$2000"),'Calculations'!$EM456),"0"),UPPER(IFERROR(IF(INDEX(INDIRECT("'WCM Calibration Final'!$A$1:$A$2000"),'Calculations'!$EM456)="","",TRIM(INDEX(INDIRECT("'WCM Calibration Final'!$A$1:$A$2000"),'Calculations'!$EM456)&amp;"")),""))),IF(IFERROR(IF(INDEX(INDIRECT("'WCM Calibration Final'!$C$1:$C$2000"),'Calculations'!$EM456)="","",TRIM(INDEX(INDIRECT("'WCM Calibration Final'!$C$1:$C$2000"),'Calculations'!$EM456)&amp;"")),"")&lt;&gt;"","S:"&amp;UPPER(IFERROR(IF(INDEX(INDIRECT("'WCM Calibration Final'!$C$1:$C$2000"),'Calculations'!$EM456)="","",TRIM(INDEX(INDIRECT("'WCM Calibration Final'!$C$1:$C$2000"),'Calculations'!$EM456)&amp;"")),"")),"R:"&amp;'Calculations'!EM456)))</x:f>
      </x:c>
      <x:c r="HF456" t="str">
        <x:f>IF('Calculations'!EM456="","",IF(IFERROR(IF(INDEX(INDIRECT("'WCM Calibration Final'!$D$1:$D$2000"),'Calculations'!$EM456)="","",TRIM(INDEX(INDIRECT("'WCM Calibration Final'!$D$1:$D$2000"),'Calculations'!$EM456)&amp;"")),"")&lt;&gt;"","G:"&amp;IFERROR(TEXT(1*INDEX(INDIRECT("'WCM Calibration Final'!$D$1:$D$2000"),'Calculations'!$EM456),"0"),UPPER(IFERROR(IF(INDEX(INDIRECT("'WCM Calibration Final'!$D$1:$D$2000"),'Calculations'!$EM456)="","",TRIM(INDEX(INDIRECT("'WCM Calibration Final'!$D$1:$D$2000"),'Calculations'!$EM456)&amp;"")),""))),IF(IFERROR(IF(INDEX(INDIRECT("'WCM Calibration Final'!$E$1:$E$2000"),'Calculations'!$EM456)="","",TRIM(INDEX(INDIRECT("'WCM Calibration Final'!$E$1:$E$2000"),'Calculations'!$EM456)&amp;"")),"")="","",IF(COUNTIF('Calculations'!$HG$13:$HG$512,"="&amp;SUBSTITUTE(SUBSTITUTE(SUBSTITUTE(IFERROR(IF(INDEX(INDIRECT("'WCM Calibration Final'!$E$1:$E$2000"),'Calculations'!$EM456)="","",TRIM(INDEX(INDIRECT("'WCM Calibration Final'!$E$1:$E$2000"),'Calculations'!$EM456)&amp;"")),""),"~","~~"),"*","~*"),"?","~?"))=1,INDEX('Calculations'!$HE$13:$HE$512,MATCH(IFERROR(IF(INDEX(INDIRECT("'WCM Calibration Final'!$E$1:$E$2000"),'Calculations'!$EM456)="","",TRIM(INDEX(INDIRECT("'WCM Calibration Final'!$E$1:$E$2000"),'Calculations'!$EM456)&amp;"")),""),'Calculations'!$HG$13:$HG$512,0)),IF(COUNTIF('Calculations'!$HG$13:$HG$512,"="&amp;SUBSTITUTE(SUBSTITUTE(SUBSTITUTE(IFERROR(IF(INDEX(INDIRECT("'WCM Calibration Final'!$E$1:$E$2000"),'Calculations'!$EM456)="","",TRIM(INDEX(INDIRECT("'WCM Calibration Final'!$E$1:$E$2000"),'Calculations'!$EM456)&amp;"")),""),"~","~~"),"*","~*"),"?","~?"))&gt;1,"!AMBIG","X:"&amp;IFERROR(IF(INDEX(INDIRECT("'WCM Calibration Final'!$E$1:$E$2000"),'Calculations'!$EM456)="","",TRIM(INDEX(INDIRECT("'WCM Calibration Final'!$E$1:$E$2000"),'Calculations'!$EM456)&amp;"")),""))))))</x:f>
      </x:c>
      <x:c r="HG456" t="str">
        <x:f>IF('Calculations'!EM456="","",IFERROR(IF(INDEX(INDIRECT("'WCM Calibration Final'!$B$1:$B$2000"),'Calculations'!$EM456)="","",TRIM(INDEX(INDIRECT("'WCM Calibration Final'!$B$1:$B$2000"),'Calculations'!$EM456)&amp;"")),""))</x:f>
      </x:c>
      <x:c r="HH456" t="n">
        <x:f>IF(AND('Calculations'!JC456&gt;0,COUNTIF('Calculations'!$HF$12:HF456,"="&amp;SUBSTITUTE(SUBSTITUTE(SUBSTITUTE('Calculations'!HF456,"~","~~"),"*","~*"),"?","~?"))=1),MAX('Calculations'!$HH$12:HH455)+1,0)</x:f>
        <x:v>0</x:v>
      </x:c>
      <x:c r="HI456" t="n">
        <x:f>IF(AND('Calculations'!HN456&lt;&gt;"",COUNTIF('Calculations'!$HN$12:HN456,"="&amp;SUBSTITUTE(SUBSTITUTE(SUBSTITUTE('Calculations'!HN456,"~","~~"),"*","~*"),"?","~?"))=1),MAX('Calculations'!$HI$12:HI455)+1,0)</x:f>
        <x:v>0</x:v>
      </x:c>
      <x:c r="HJ456" t="str">
        <x:f>IF('Calculations'!HF456="","",IF(COUNTIF('Calculations'!$HE$13:$HE$512,"="&amp;SUBSTITUTE(SUBSTITUTE(SUBSTITUTE('Calculations'!HF456,"~","~~"),"*","~*"),"?","~?"))=1,INDEX('Calculations'!$HK$13:$HK$512,MATCH('Calculations'!HF456,'Calculations'!$HE$13:$HE$512,0)),IFERROR(IF(INDEX(INDIRECT("'WCM Calibration Final'!$E$1:$E$2000"),'Calculations'!$EM456)="","",TRIM(INDEX(INDIRECT("'WCM Calibration Final'!$E$1:$E$2000"),'Calculations'!$EM456)&amp;"")),"")&amp;" ["&amp;'Calculations'!HF456&amp;"]"))</x:f>
      </x:c>
      <x:c r="HK456" t="str">
        <x:f>IF('Calculations'!EM456="","",'Calculations'!HG456&amp;" ["&amp;'Calculations'!HE456&amp;"]")</x:f>
      </x:c>
      <x:c r="HL456" t="n">
        <x:f>IF('Calculations'!EM456="",0,IF(OR('Calculations'!II456&lt;&gt;"",COUNTIF('Calculations'!$HE$13:$HE$512,"="&amp;SUBSTITUTE(SUBSTITUTE(SUBSTITUTE('Calculations'!HE456,"~","~~"),"*","~*"),"?","~?"))&gt;1),1,0))</x:f>
        <x:v>0</x:v>
      </x:c>
      <x:c r="HM456" t="str">
        <x:f>IF('Calculations'!EM456="","",IF('Calculations'!HL456=1,"!UNRESOLVED",IF('Calculations'!IH456&lt;&gt;"",'Calculations'!IH456,IF('Calculations'!IG456&lt;&gt;"",'Calculations'!IG456,IF('Calculations'!IF456&lt;&gt;"",'Calculations'!IF456,IF('Calculations'!IE456&lt;&gt;"",'Calculations'!IE456,IF('Calculations'!ID456&lt;&gt;"",'Calculations'!ID456,IF('Calculations'!IC456&lt;&gt;"",'Calculations'!IC456,IF('Calculations'!IB456&lt;&gt;"",'Calculations'!IB456,IF('Calculations'!IA456&lt;&gt;"",'Calculations'!IA456,IF('Calculations'!HZ456&lt;&gt;"",'Calculations'!HZ456,IF('Calculations'!HY456&lt;&gt;"",'Calculations'!HY456,IF('Calculations'!HX456&lt;&gt;"",'Calculations'!HX456,IF('Calculations'!HW456&lt;&gt;"",'Calculations'!HW456,IF('Calculations'!HV456&lt;&gt;"",'Calculations'!HV456,IF('Calculations'!HU456&lt;&gt;"",'Calculations'!HU456,IF('Calculations'!HT456&lt;&gt;"",'Calculations'!HT456,IF('Calculations'!HS456&lt;&gt;"",'Calculations'!HS456,IF('Calculations'!HR456&lt;&gt;"",'Calculations'!HR456,IF('Calculations'!HQ456&lt;&gt;"",'Calculations'!HQ456,IF('Calculations'!HP456&lt;&gt;"",'Calculations'!HP456,IF('Calculations'!HO456&lt;&gt;"",'Calculations'!HO456,'Calculations'!HE456))))))))))))))))))))))</x:f>
      </x:c>
      <x:c r="HN456" t="str">
        <x:f>IF('Calculations'!EM456="","",IF(IFERROR(IF(INDEX(INDIRECT("'WCM Calibration Final'!$F$1:$F$2000"),'Calculations'!$EM456)="","",TRIM(INDEX(INDIRECT("'WCM Calibration Final'!$F$1:$F$2000"),'Calculations'!$EM456)&amp;"")),"")="","(Blank)",IFERROR(IF(INDEX(INDIRECT("'WCM Calibration Final'!$F$1:$F$2000"),'Calculations'!$EM456)="","",TRIM(INDEX(INDIRECT("'WCM Calibration Final'!$F$1:$F$2000"),'Calculations'!$EM456)&amp;"")),"")))</x:f>
      </x:c>
      <x:c r="HO456" t="str">
        <x:f>'Calculations'!HF456</x:f>
      </x:c>
      <x:c r="HP456" t="str">
        <x:f>IF('Calculations'!HO456="","",IF('Calculations'!HO456="!AMBIG","!AMBIG",IF(COUNTIF('Calculations'!$HE$13:$HE$512,"="&amp;SUBSTITUTE(SUBSTITUTE(SUBSTITUTE('Calculations'!HO456,"~","~~"),"*","~*"),"?","~?"))&gt;1,"!AMBIG",IFERROR(INDEX('Calculations'!$HF$13:$HF$512,MATCH('Calculations'!HO456,'Calculations'!$HE$13:$HE$512,0)),""))))</x:f>
      </x:c>
      <x:c r="HQ456" t="str">
        <x:f>IF('Calculations'!HP456="","",IF('Calculations'!HP456="!AMBIG","!AMBIG",IF(COUNTIF('Calculations'!$HE$13:$HE$512,"="&amp;SUBSTITUTE(SUBSTITUTE(SUBSTITUTE('Calculations'!HP456,"~","~~"),"*","~*"),"?","~?"))&gt;1,"!AMBIG",IFERROR(INDEX('Calculations'!$HF$13:$HF$512,MATCH('Calculations'!HP456,'Calculations'!$HE$13:$HE$512,0)),""))))</x:f>
      </x:c>
      <x:c r="HR456" t="str">
        <x:f>IF('Calculations'!HQ456="","",IF('Calculations'!HQ456="!AMBIG","!AMBIG",IF(COUNTIF('Calculations'!$HE$13:$HE$512,"="&amp;SUBSTITUTE(SUBSTITUTE(SUBSTITUTE('Calculations'!HQ456,"~","~~"),"*","~*"),"?","~?"))&gt;1,"!AMBIG",IFERROR(INDEX('Calculations'!$HF$13:$HF$512,MATCH('Calculations'!HQ456,'Calculations'!$HE$13:$HE$512,0)),""))))</x:f>
      </x:c>
      <x:c r="HS456" t="str">
        <x:f>IF('Calculations'!HR456="","",IF('Calculations'!HR456="!AMBIG","!AMBIG",IF(COUNTIF('Calculations'!$HE$13:$HE$512,"="&amp;SUBSTITUTE(SUBSTITUTE(SUBSTITUTE('Calculations'!HR456,"~","~~"),"*","~*"),"?","~?"))&gt;1,"!AMBIG",IFERROR(INDEX('Calculations'!$HF$13:$HF$512,MATCH('Calculations'!HR456,'Calculations'!$HE$13:$HE$512,0)),""))))</x:f>
      </x:c>
      <x:c r="HT456" t="str">
        <x:f>IF('Calculations'!HS456="","",IF('Calculations'!HS456="!AMBIG","!AMBIG",IF(COUNTIF('Calculations'!$HE$13:$HE$512,"="&amp;SUBSTITUTE(SUBSTITUTE(SUBSTITUTE('Calculations'!HS456,"~","~~"),"*","~*"),"?","~?"))&gt;1,"!AMBIG",IFERROR(INDEX('Calculations'!$HF$13:$HF$512,MATCH('Calculations'!HS456,'Calculations'!$HE$13:$HE$512,0)),""))))</x:f>
      </x:c>
      <x:c r="HU456" t="str">
        <x:f>IF('Calculations'!HT456="","",IF('Calculations'!HT456="!AMBIG","!AMBIG",IF(COUNTIF('Calculations'!$HE$13:$HE$512,"="&amp;SUBSTITUTE(SUBSTITUTE(SUBSTITUTE('Calculations'!HT456,"~","~~"),"*","~*"),"?","~?"))&gt;1,"!AMBIG",IFERROR(INDEX('Calculations'!$HF$13:$HF$512,MATCH('Calculations'!HT456,'Calculations'!$HE$13:$HE$512,0)),""))))</x:f>
      </x:c>
      <x:c r="HV456" t="str">
        <x:f>IF('Calculations'!HU456="","",IF('Calculations'!HU456="!AMBIG","!AMBIG",IF(COUNTIF('Calculations'!$HE$13:$HE$512,"="&amp;SUBSTITUTE(SUBSTITUTE(SUBSTITUTE('Calculations'!HU456,"~","~~"),"*","~*"),"?","~?"))&gt;1,"!AMBIG",IFERROR(INDEX('Calculations'!$HF$13:$HF$512,MATCH('Calculations'!HU456,'Calculations'!$HE$13:$HE$512,0)),""))))</x:f>
      </x:c>
      <x:c r="HW456" t="str">
        <x:f>IF('Calculations'!HV456="","",IF('Calculations'!HV456="!AMBIG","!AMBIG",IF(COUNTIF('Calculations'!$HE$13:$HE$512,"="&amp;SUBSTITUTE(SUBSTITUTE(SUBSTITUTE('Calculations'!HV456,"~","~~"),"*","~*"),"?","~?"))&gt;1,"!AMBIG",IFERROR(INDEX('Calculations'!$HF$13:$HF$512,MATCH('Calculations'!HV456,'Calculations'!$HE$13:$HE$512,0)),""))))</x:f>
      </x:c>
      <x:c r="HX456" t="str">
        <x:f>IF('Calculations'!HW456="","",IF('Calculations'!HW456="!AMBIG","!AMBIG",IF(COUNTIF('Calculations'!$HE$13:$HE$512,"="&amp;SUBSTITUTE(SUBSTITUTE(SUBSTITUTE('Calculations'!HW456,"~","~~"),"*","~*"),"?","~?"))&gt;1,"!AMBIG",IFERROR(INDEX('Calculations'!$HF$13:$HF$512,MATCH('Calculations'!HW456,'Calculations'!$HE$13:$HE$512,0)),""))))</x:f>
      </x:c>
      <x:c r="HY456" t="str">
        <x:f>IF('Calculations'!HX456="","",IF('Calculations'!HX456="!AMBIG","!AMBIG",IF(COUNTIF('Calculations'!$HE$13:$HE$512,"="&amp;SUBSTITUTE(SUBSTITUTE(SUBSTITUTE('Calculations'!HX456,"~","~~"),"*","~*"),"?","~?"))&gt;1,"!AMBIG",IFERROR(INDEX('Calculations'!$HF$13:$HF$512,MATCH('Calculations'!HX456,'Calculations'!$HE$13:$HE$512,0)),""))))</x:f>
      </x:c>
      <x:c r="HZ456" t="str">
        <x:f>IF('Calculations'!HY456="","",IF('Calculations'!HY456="!AMBIG","!AMBIG",IF(COUNTIF('Calculations'!$HE$13:$HE$512,"="&amp;SUBSTITUTE(SUBSTITUTE(SUBSTITUTE('Calculations'!HY456,"~","~~"),"*","~*"),"?","~?"))&gt;1,"!AMBIG",IFERROR(INDEX('Calculations'!$HF$13:$HF$512,MATCH('Calculations'!HY456,'Calculations'!$HE$13:$HE$512,0)),""))))</x:f>
      </x:c>
      <x:c r="IA456" t="str">
        <x:f>IF('Calculations'!HZ456="","",IF('Calculations'!HZ456="!AMBIG","!AMBIG",IF(COUNTIF('Calculations'!$HE$13:$HE$512,"="&amp;SUBSTITUTE(SUBSTITUTE(SUBSTITUTE('Calculations'!HZ456,"~","~~"),"*","~*"),"?","~?"))&gt;1,"!AMBIG",IFERROR(INDEX('Calculations'!$HF$13:$HF$512,MATCH('Calculations'!HZ456,'Calculations'!$HE$13:$HE$512,0)),""))))</x:f>
      </x:c>
      <x:c r="IB456" t="str">
        <x:f>IF('Calculations'!IA456="","",IF('Calculations'!IA456="!AMBIG","!AMBIG",IF(COUNTIF('Calculations'!$HE$13:$HE$512,"="&amp;SUBSTITUTE(SUBSTITUTE(SUBSTITUTE('Calculations'!IA456,"~","~~"),"*","~*"),"?","~?"))&gt;1,"!AMBIG",IFERROR(INDEX('Calculations'!$HF$13:$HF$512,MATCH('Calculations'!IA456,'Calculations'!$HE$13:$HE$512,0)),""))))</x:f>
      </x:c>
      <x:c r="IC456" t="str">
        <x:f>IF('Calculations'!IB456="","",IF('Calculations'!IB456="!AMBIG","!AMBIG",IF(COUNTIF('Calculations'!$HE$13:$HE$512,"="&amp;SUBSTITUTE(SUBSTITUTE(SUBSTITUTE('Calculations'!IB456,"~","~~"),"*","~*"),"?","~?"))&gt;1,"!AMBIG",IFERROR(INDEX('Calculations'!$HF$13:$HF$512,MATCH('Calculations'!IB456,'Calculations'!$HE$13:$HE$512,0)),""))))</x:f>
      </x:c>
      <x:c r="ID456" t="str">
        <x:f>IF('Calculations'!IC456="","",IF('Calculations'!IC456="!AMBIG","!AMBIG",IF(COUNTIF('Calculations'!$HE$13:$HE$512,"="&amp;SUBSTITUTE(SUBSTITUTE(SUBSTITUTE('Calculations'!IC456,"~","~~"),"*","~*"),"?","~?"))&gt;1,"!AMBIG",IFERROR(INDEX('Calculations'!$HF$13:$HF$512,MATCH('Calculations'!IC456,'Calculations'!$HE$13:$HE$512,0)),""))))</x:f>
      </x:c>
      <x:c r="IE456" t="str">
        <x:f>IF('Calculations'!ID456="","",IF('Calculations'!ID456="!AMBIG","!AMBIG",IF(COUNTIF('Calculations'!$HE$13:$HE$512,"="&amp;SUBSTITUTE(SUBSTITUTE(SUBSTITUTE('Calculations'!ID456,"~","~~"),"*","~*"),"?","~?"))&gt;1,"!AMBIG",IFERROR(INDEX('Calculations'!$HF$13:$HF$512,MATCH('Calculations'!ID456,'Calculations'!$HE$13:$HE$512,0)),""))))</x:f>
      </x:c>
      <x:c r="IF456" t="str">
        <x:f>IF('Calculations'!IE456="","",IF('Calculations'!IE456="!AMBIG","!AMBIG",IF(COUNTIF('Calculations'!$HE$13:$HE$512,"="&amp;SUBSTITUTE(SUBSTITUTE(SUBSTITUTE('Calculations'!IE456,"~","~~"),"*","~*"),"?","~?"))&gt;1,"!AMBIG",IFERROR(INDEX('Calculations'!$HF$13:$HF$512,MATCH('Calculations'!IE456,'Calculations'!$HE$13:$HE$512,0)),""))))</x:f>
      </x:c>
      <x:c r="IG456" t="str">
        <x:f>IF('Calculations'!IF456="","",IF('Calculations'!IF456="!AMBIG","!AMBIG",IF(COUNTIF('Calculations'!$HE$13:$HE$512,"="&amp;SUBSTITUTE(SUBSTITUTE(SUBSTITUTE('Calculations'!IF456,"~","~~"),"*","~*"),"?","~?"))&gt;1,"!AMBIG",IFERROR(INDEX('Calculations'!$HF$13:$HF$512,MATCH('Calculations'!IF456,'Calculations'!$HE$13:$HE$512,0)),""))))</x:f>
      </x:c>
      <x:c r="IH456" t="str">
        <x:f>IF('Calculations'!IG456="","",IF('Calculations'!IG456="!AMBIG","!AMBIG",IF(COUNTIF('Calculations'!$HE$13:$HE$512,"="&amp;SUBSTITUTE(SUBSTITUTE(SUBSTITUTE('Calculations'!IG456,"~","~~"),"*","~*"),"?","~?"))&gt;1,"!AMBIG",IFERROR(INDEX('Calculations'!$HF$13:$HF$512,MATCH('Calculations'!IG456,'Calculations'!$HE$13:$HE$512,0)),""))))</x:f>
      </x:c>
      <x:c r="II456" t="str">
        <x:f>IF('Calculations'!IH456="","",IF('Calculations'!IH456="!AMBIG","!AMBIG",IF(COUNTIF('Calculations'!$HE$13:$HE$512,"="&amp;SUBSTITUTE(SUBSTITUTE(SUBSTITUTE('Calculations'!IH456,"~","~~"),"*","~*"),"?","~?"))&gt;1,"!AMBIG",IFERROR(INDEX('Calculations'!$HF$13:$HF$512,MATCH('Calculations'!IH456,'Calculations'!$HE$13:$HE$512,0)),""))))</x:f>
      </x:c>
      <x:c r="IJ456" t="str">
        <x:f>IF('Calculations'!EM456="","",IF('Calculations'!$EF$2="All",'Calculations'!HM456,IF('Calculations'!HL456=1,"",IFERROR(IF(MATCH('Calculations'!$EF$2,'Calculations'!HO456:II456,0)=1,'Calculations'!HE456,INDEX('Calculations'!HO456:II456,1,MATCH('Calculations'!$EF$2,'Calculations'!HO456:II456,0)-1)),""))))</x:f>
      </x:c>
      <x:c r="IK456" t="n">
        <x:f>IF(AND('Calculations'!EM456&lt;&gt;"",'Calculations'!$EF$2&lt;&gt;"All",'Calculations'!HF456='Calculations'!$EF$2,'Calculations'!HL456=0,'Calculations'!JD456&gt;0),MAX('Calculations'!$IK$12:IK455)+1,0)</x:f>
        <x:v>0</x:v>
      </x:c>
      <x:c r="JA456" t="n">
        <x:f>IF(OR(IFERROR(INDIRECT("'WCM Calibration Final'!$A$456")&lt;&gt;"",FALSE),IFERROR(INDIRECT("'WCM Calibration Final'!$B$456")&lt;&gt;"",FALSE),IFERROR(INDIRECT("'WCM Calibration Final'!$C$456")&lt;&gt;"",FALSE)),456,0)</x:f>
        <x:v>0</x:v>
      </x:c>
      <x:c r="JB456" t="n">
        <x:f>'Calculations'!JB455+IF('Calculations'!JA456&gt;0,1,0)</x:f>
        <x:v>0</x:v>
      </x:c>
      <x:c r="JC456" t="n">
        <x:f>IF(OR('Calculations'!HF456="",'Calculations'!HF456="!AMBIG"),0,IF('Dashboard'!$B$7="All",1,COUNTIFS('Calculations'!$HO$13:$HO$512,"="&amp;SUBSTITUTE(SUBSTITUTE(SUBSTITUTE('Calculations'!HF456,"~","~~"),"*","~*"),"?","~?"),'Calculations'!$HN$13:$HN$512,"="&amp;SUBSTITUTE(SUBSTITUTE(SUBSTITUTE('Dashboard'!$B$7,"~","~~"),"*","~*"),"?","~?"))+COUNTIFS('Calculations'!$HP$13:$HP$512,"="&amp;SUBSTITUTE(SUBSTITUTE(SUBSTITUTE('Calculations'!HF456,"~","~~"),"*","~*"),"?","~?"),'Calculations'!$HN$13:$HN$512,"="&amp;SUBSTITUTE(SUBSTITUTE(SUBSTITUTE('Dashboard'!$B$7,"~","~~"),"*","~*"),"?","~?"))+COUNTIFS('Calculations'!$HQ$13:$HQ$512,"="&amp;SUBSTITUTE(SUBSTITUTE(SUBSTITUTE('Calculations'!HF456,"~","~~"),"*","~*"),"?","~?"),'Calculations'!$HN$13:$HN$512,"="&amp;SUBSTITUTE(SUBSTITUTE(SUBSTITUTE('Dashboard'!$B$7,"~","~~"),"*","~*"),"?","~?"))+COUNTIFS('Calculations'!$HR$13:$HR$512,"="&amp;SUBSTITUTE(SUBSTITUTE(SUBSTITUTE('Calculations'!HF456,"~","~~"),"*","~*"),"?","~?"),'Calculations'!$HN$13:$HN$512,"="&amp;SUBSTITUTE(SUBSTITUTE(SUBSTITUTE('Dashboard'!$B$7,"~","~~"),"*","~*"),"?","~?"))+COUNTIFS('Calculations'!$HS$13:$HS$512,"="&amp;SUBSTITUTE(SUBSTITUTE(SUBSTITUTE('Calculations'!HF456,"~","~~"),"*","~*"),"?","~?"),'Calculations'!$HN$13:$HN$512,"="&amp;SUBSTITUTE(SUBSTITUTE(SUBSTITUTE('Dashboard'!$B$7,"~","~~"),"*","~*"),"?","~?"))+COUNTIFS('Calculations'!$HT$13:$HT$512,"="&amp;SUBSTITUTE(SUBSTITUTE(SUBSTITUTE('Calculations'!HF456,"~","~~"),"*","~*"),"?","~?"),'Calculations'!$HN$13:$HN$512,"="&amp;SUBSTITUTE(SUBSTITUTE(SUBSTITUTE('Dashboard'!$B$7,"~","~~"),"*","~*"),"?","~?"))+COUNTIFS('Calculations'!$HU$13:$HU$512,"="&amp;SUBSTITUTE(SUBSTITUTE(SUBSTITUTE('Calculations'!HF456,"~","~~"),"*","~*"),"?","~?"),'Calculations'!$HN$13:$HN$512,"="&amp;SUBSTITUTE(SUBSTITUTE(SUBSTITUTE('Dashboard'!$B$7,"~","~~"),"*","~*"),"?","~?"))+COUNTIFS('Calculations'!$HV$13:$HV$512,"="&amp;SUBSTITUTE(SUBSTITUTE(SUBSTITUTE('Calculations'!HF456,"~","~~"),"*","~*"),"?","~?"),'Calculations'!$HN$13:$HN$512,"="&amp;SUBSTITUTE(SUBSTITUTE(SUBSTITUTE('Dashboard'!$B$7,"~","~~"),"*","~*"),"?","~?"))+COUNTIFS('Calculations'!$HW$13:$HW$512,"="&amp;SUBSTITUTE(SUBSTITUTE(SUBSTITUTE('Calculations'!HF456,"~","~~"),"*","~*"),"?","~?"),'Calculations'!$HN$13:$HN$512,"="&amp;SUBSTITUTE(SUBSTITUTE(SUBSTITUTE('Dashboard'!$B$7,"~","~~"),"*","~*"),"?","~?"))+COUNTIFS('Calculations'!$HX$13:$HX$512,"="&amp;SUBSTITUTE(SUBSTITUTE(SUBSTITUTE('Calculations'!HF456,"~","~~"),"*","~*"),"?","~?"),'Calculations'!$HN$13:$HN$512,"="&amp;SUBSTITUTE(SUBSTITUTE(SUBSTITUTE('Dashboard'!$B$7,"~","~~"),"*","~*"),"?","~?"))+COUNTIFS('Calculations'!$HY$13:$HY$512,"="&amp;SUBSTITUTE(SUBSTITUTE(SUBSTITUTE('Calculations'!HF456,"~","~~"),"*","~*"),"?","~?"),'Calculations'!$HN$13:$HN$512,"="&amp;SUBSTITUTE(SUBSTITUTE(SUBSTITUTE('Dashboard'!$B$7,"~","~~"),"*","~*"),"?","~?"))+COUNTIFS('Calculations'!$HZ$13:$HZ$512,"="&amp;SUBSTITUTE(SUBSTITUTE(SUBSTITUTE('Calculations'!HF456,"~","~~"),"*","~*"),"?","~?"),'Calculations'!$HN$13:$HN$512,"="&amp;SUBSTITUTE(SUBSTITUTE(SUBSTITUTE('Dashboard'!$B$7,"~","~~"),"*","~*"),"?","~?"))+COUNTIFS('Calculations'!$IA$13:$IA$512,"="&amp;SUBSTITUTE(SUBSTITUTE(SUBSTITUTE('Calculations'!HF456,"~","~~"),"*","~*"),"?","~?"),'Calculations'!$HN$13:$HN$512,"="&amp;SUBSTITUTE(SUBSTITUTE(SUBSTITUTE('Dashboard'!$B$7,"~","~~"),"*","~*"),"?","~?"))+COUNTIFS('Calculations'!$IB$13:$IB$512,"="&amp;SUBSTITUTE(SUBSTITUTE(SUBSTITUTE('Calculations'!HF456,"~","~~"),"*","~*"),"?","~?"),'Calculations'!$HN$13:$HN$512,"="&amp;SUBSTITUTE(SUBSTITUTE(SUBSTITUTE('Dashboard'!$B$7,"~","~~"),"*","~*"),"?","~?"))+COUNTIFS('Calculations'!$IC$13:$IC$512,"="&amp;SUBSTITUTE(SUBSTITUTE(SUBSTITUTE('Calculations'!HF456,"~","~~"),"*","~*"),"?","~?"),'Calculations'!$HN$13:$HN$512,"="&amp;SUBSTITUTE(SUBSTITUTE(SUBSTITUTE('Dashboard'!$B$7,"~","~~"),"*","~*"),"?","~?"))+COUNTIFS('Calculations'!$ID$13:$ID$512,"="&amp;SUBSTITUTE(SUBSTITUTE(SUBSTITUTE('Calculations'!HF456,"~","~~"),"*","~*"),"?","~?"),'Calculations'!$HN$13:$HN$512,"="&amp;SUBSTITUTE(SUBSTITUTE(SUBSTITUTE('Dashboard'!$B$7,"~","~~"),"*","~*"),"?","~?"))+COUNTIFS('Calculations'!$IE$13:$IE$512,"="&amp;SUBSTITUTE(SUBSTITUTE(SUBSTITUTE('Calculations'!HF456,"~","~~"),"*","~*"),"?","~?"),'Calculations'!$HN$13:$HN$512,"="&amp;SUBSTITUTE(SUBSTITUTE(SUBSTITUTE('Dashboard'!$B$7,"~","~~"),"*","~*"),"?","~?"))+COUNTIFS('Calculations'!$IF$13:$IF$512,"="&amp;SUBSTITUTE(SUBSTITUTE(SUBSTITUTE('Calculations'!HF456,"~","~~"),"*","~*"),"?","~?"),'Calculations'!$HN$13:$HN$512,"="&amp;SUBSTITUTE(SUBSTITUTE(SUBSTITUTE('Dashboard'!$B$7,"~","~~"),"*","~*"),"?","~?"))+COUNTIFS('Calculations'!$IG$13:$IG$512,"="&amp;SUBSTITUTE(SUBSTITUTE(SUBSTITUTE('Calculations'!HF456,"~","~~"),"*","~*"),"?","~?"),'Calculations'!$HN$13:$HN$512,"="&amp;SUBSTITUTE(SUBSTITUTE(SUBSTITUTE('Dashboard'!$B$7,"~","~~"),"*","~*"),"?","~?"))+COUNTIFS('Calculations'!$IH$13:$IH$512,"="&amp;SUBSTITUTE(SUBSTITUTE(SUBSTITUTE('Calculations'!HF456,"~","~~"),"*","~*"),"?","~?"),'Calculations'!$HN$13:$HN$512,"="&amp;SUBSTITUTE(SUBSTITUTE(SUBSTITUTE('Dashboard'!$B$7,"~","~~"),"*","~*"),"?","~?"))))</x:f>
        <x:v>0</x:v>
      </x:c>
      <x:c r="JD456" t="n">
        <x:f>IF('Calculations'!EM456="",0,IF('Dashboard'!$B$7="All",1,IF('Calculations'!HN456='Dashboard'!$B$7,1,0)+IFERROR(INDEX('Calculations'!$JC$13:$JC$512,MATCH('Calculations'!HE456,'Calculations'!$HF$13:$HF$512,0)),0)))</x:f>
        <x:v>0</x:v>
      </x:c>
      <x:c r="JE456" t="n">
        <x:f>IF(AND('Calculations'!EM456&lt;&gt;"",'Calculations'!$JJ$2&lt;&gt;"All",'Calculations'!$JJ$2&lt;&gt;"",'Calculations'!HF456='Calculations'!$JJ$2,'Calculations'!HL456=0,'Calculations'!JD456&gt;0),MAX('Calculations'!$JE$12:JE455)+1,0)</x:f>
        <x:v>0</x:v>
      </x:c>
      <x:c r="JF456" t="str">
        <x:f>IF('Calculations'!EM456="","",IFERROR(IF(INDEX(INDIRECT("'WCM Calibration Final'!$G$1:$G$2000"),'Calculations'!$EM456)="","",TRIM(INDEX(INDIRECT("'WCM Calibration Final'!$G$1:$G$2000"),'Calculations'!$EM456)&amp;"")),""))</x:f>
      </x:c>
      <x:c r="JQ456" t="n">
        <x:f>IF(OR('Calculations'!BM456=0,NOT('Calculations'!$AG$2),'Calculations'!$AG$8&gt;0),0,IF(OR('Dashboard'!$B$7="All",'Calculations'!HN456='Dashboard'!$B$7),IF('Calculations'!$JJ$2="All",1,IF(AND('Calculations'!HF456='Calculations'!$JJ$2,'Calculations'!HL456=0),1,0)),0))</x:f>
        <x:v>0</x:v>
      </x:c>
    </x:row>
    <x:row r="457">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t="n">
        <x:f>IF('Calculations'!$EM457="",0,IF(OR(IFERROR(INDEX(INDIRECT("'WCM Calibration Final'!$A$1:$A$2000"),'Calculations'!$EM457)&lt;&gt;"",FALSE),IFERROR(INDEX(INDIRECT("'WCM Calibration Final'!$B$1:$B$2000"),'Calculations'!$EM457)&lt;&gt;"",FALSE),IFERROR(INDEX(INDIRECT("'WCM Calibration Final'!$C$1:$C$2000"),'Calculations'!$EM457)&lt;&gt;"",FALSE)),1,0))</x:f>
        <x:v>0</x:v>
      </x:c>
      <x:c r="BN457" s="4" t="n">
        <x:f>IF(AND('Calculations'!BM457=1,'Calculations'!$AG$2,'Calculations'!$EN457=1),1,0)</x:f>
        <x:v>0</x:v>
      </x:c>
      <x:c r="BO457" s="4" t="str">
        <x:f>IF('Calculations'!BM457=0,"",IFERROR(IF(AND(VALUE(INDEX(INDIRECT("'WCM Calibration Final'!$K$1:$K$2000"),'Calculations'!$EM457))&gt;=1,VALUE(INDEX(INDIRECT("'WCM Calibration Final'!$K$1:$K$2000"),'Calculations'!$EM457))&lt;=4,MOD(VALUE(INDEX(INDIRECT("'WCM Calibration Final'!$K$1:$K$2000"),'Calculations'!$EM457)),1)=0),VALUE(INDEX(INDIRECT("'WCM Calibration Final'!$K$1:$K$2000"),'Calculations'!$EM457)),""),""))</x:f>
      </x:c>
      <x:c r="BP457" s="4" t="str">
        <x:f>IF('Calculations'!BM457=0,"",IFERROR(IF(AND(VALUE(INDEX(INDIRECT("'WCM Calibration Final'!$L$1:$L$2000"),'Calculations'!$EM457))&gt;=1,VALUE(INDEX(INDIRECT("'WCM Calibration Final'!$L$1:$L$2000"),'Calculations'!$EM457))&lt;=4,MOD(VALUE(INDEX(INDIRECT("'WCM Calibration Final'!$L$1:$L$2000"),'Calculations'!$EM457)),1)=0),VALUE(INDEX(INDIRECT("'WCM Calibration Final'!$L$1:$L$2000"),'Calculations'!$EM457)),""),""))</x:f>
      </x:c>
      <x:c r="BQ457" s="4"/>
      <x:c r="BR457" s="4"/>
      <x:c r="BS457" s="4"/>
      <x:c r="BT457" s="4" t="n">
        <x:f>IF(AND('Calculations'!BM457=1,ISNUMBER('Calculations'!BO457),ISNUMBER('Calculations'!BP457)),1,0)</x:f>
        <x:v>0</x:v>
      </x:c>
      <x:c r="BU457" s="4" t="str">
        <x:f>IF('Calculations'!BM457=0,"",'Calculations'!$EO457)</x:f>
      </x:c>
      <x:c r="BV457" s="4" t="str">
        <x:f>IF('Calculations'!BM457=0,"",IFERROR(IF(OR(INDEX(INDIRECT("'WCM Calibration Final'!$H$1:$H$2000"),'Calculations'!$EM457)="MANAGING DIRECTOR",INDEX(INDIRECT("'WCM Calibration Final'!$H$1:$H$2000"),'Calculations'!$EM457)="DIRECTOR",INDEX(INDIRECT("'WCM Calibration Final'!$H$1:$H$2000"),'Calculations'!$EM457)="SENIOR VICE PRESIDENT",INDEX(INDIRECT("'WCM Calibration Final'!$H$1:$H$2000"),'Calculations'!$EM457)="VICE PRESIDENT",INDEX(INDIRECT("'WCM Calibration Final'!$H$1:$H$2000"),'Calculations'!$EM457)="ASSISTANT VICE PRESIDENT",INDEX(INDIRECT("'WCM Calibration Final'!$H$1:$H$2000"),'Calculations'!$EM457)="OFFICER"),UPPER(INDEX(INDIRECT("'WCM Calibration Final'!$H$1:$H$2000"),'Calculations'!$EM457)),"Other"),"Other"))</x:f>
      </x:c>
      <x:c r="BW457" s="4"/>
      <x:c r="BX457" s="4"/>
      <x:c r="BY457" s="4" t="n">
        <x:f>IF(AND('Calculations'!BM457=1,'Calculations'!BU457&lt;&gt;"",COUNTIF('Calculations'!$BU$12:BU457,'Calculations'!BU457)=1),MAX('Calculations'!$BY$11:BY456)+1,0)</x:f>
        <x:v>0</x:v>
      </x:c>
      <x:c r="BZ457" s="4" t="str">
        <x:f>IF('Dashboard'!$E$67="What",'Calculations'!BO457,'Calculations'!BP457)</x:f>
      </x:c>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t="str">
        <x:f>IF(446&gt;MAX('Calculations'!$HI$13:$HI$512),"",INDEX('Calculations'!$HN$13:$HN$512,MATCH(446,'Calculations'!$HI$13:$HI$512,0)))</x:f>
      </x:c>
      <x:c r="DB457" s="4" t="str">
        <x:f>IF(446&gt;MAX('Calculations'!$HH$13:$HH$512),"",INDEX('Calculations'!$HJ$13:$HJ$512,MATCH(446,'Calculations'!$HH$13:$HH$512,0)))</x:f>
      </x:c>
      <x:c r="DC457" s="4" t="str">
        <x:f>IF(ROW()-11&gt;MAX('Calculations'!$BY$13:$BY$512),"",INDEX('Calculations'!$BU$13:$BU$512,MATCH(ROW()-11,'Calculations'!$BY$13:$BY$512,0)))</x:f>
      </x:c>
      <x:c r="DD457" s="4" t="str">
        <x:f>IF(446&gt;MAX('Calculations'!$IK$13:$IK$512),"",INDEX('Calculations'!$HK$13:$HK$512,MATCH(446,'Calculations'!$IK$13:$IK$512,0)))</x:f>
      </x:c>
      <x:c r="DE457" s="4" t="str">
        <x:f>'Calculations'!DC457</x:f>
      </x:c>
      <x:c r="DF457" s="4" t="str">
        <x:f>IF('Calculations'!DE457="","",COUNTIFS('Calculations'!$BN$13:$BN$512,1,'Calculations'!$BU$13:$BU$512,'Calculations'!DE457))</x:f>
      </x:c>
      <x:c r="DG457" s="4" t="str">
        <x:f>IF('Calculations'!DE457="","",COUNTIFS('Calculations'!$BN$13:$BN$512,1,'Calculations'!$BU$13:$BU$512,'Calculations'!DE457,'Calculations'!$BT$13:$BT$512,1))</x:f>
      </x:c>
      <x:c r="DH457" s="4" t="str">
        <x:f>IF('Calculations'!DE457="","",'Calculations'!DF457-'Calculations'!DG457)</x:f>
      </x:c>
      <x:c r="DI457" s="4" t="str">
        <x:f>IF(OR('Calculations'!DE457="",'Calculations'!DF457=0),"",'Calculations'!DG457/'Calculations'!DF457)</x:f>
      </x:c>
      <x:c r="DJ457" s="4" t="str">
        <x:f>IF('Calculations'!DE457="","",COUNTIFS('Calculations'!$BN$13:$BN$512,1,'Calculations'!$BU$13:$BU$512,'Calculations'!DE457,'Calculations'!$BT$13:$BT$512,1,'Calculations'!$EE$13:$EE$512,"High"))</x:f>
      </x:c>
      <x:c r="DK457" s="4" t="str">
        <x:f>IF('Calculations'!DE457="","",COUNTIFS('Calculations'!$BN$13:$BN$512,1,'Calculations'!$BU$13:$BU$512,'Calculations'!DE457,'Calculations'!$BT$13:$BT$512,1,'Calculations'!$EE$13:$EE$512,"Strong"))</x:f>
      </x:c>
      <x:c r="DL457" s="4" t="str">
        <x:f>IF('Calculations'!DE457="","",COUNTIFS('Calculations'!$BN$13:$BN$512,1,'Calculations'!$BU$13:$BU$512,'Calculations'!DE457,'Calculations'!$BT$13:$BT$512,1,'Calculations'!$EE$13:$EE$512,"Solid"))</x:f>
      </x:c>
      <x:c r="DM457" s="4" t="str">
        <x:f>IF('Calculations'!DE457="","",COUNTIFS('Calculations'!$BN$13:$BN$512,1,'Calculations'!$BU$13:$BU$512,'Calculations'!DE457,'Calculations'!$BT$13:$BT$512,1,'Calculations'!$EE$13:$EE$512,"Low"))</x:f>
      </x:c>
      <x:c r="DN457" s="4" t="str">
        <x:f>IF('Calculations'!DE457="","",COUNTIFS('Calculations'!$BN$13:$BN$512,1,'Calculations'!$BU$13:$BU$512,'Calculations'!DE457,'Calculations'!$EP$13:$EP$512,1))</x:f>
      </x:c>
      <x:c r="DO457" s="4" t="str">
        <x:f>IF(OR('Calculations'!DE457="",'Calculations'!DG457=0),"",('Calculations'!DJ457+'Calculations'!DK457)/'Calculations'!DG457)</x:f>
      </x:c>
      <x:c r="DP457" s="4" t="n">
        <x:f>IF(AND('Calculations'!DE457&lt;&gt;"",'Calculations'!DF457&gt;0),COUNTIF('Calculations'!$DF$12:DF457,"&gt;0"),0)</x:f>
        <x:v>0</x:v>
      </x:c>
      <x:c r="DQ457" s="4" t="str">
        <x:f>IF(446&gt;MAX('Calculations'!$HH$13:$HH$512),"",INDEX('Calculations'!$HF$13:$HF$512,MATCH(446,'Calculations'!$HH$13:$HH$512,0)))</x:f>
      </x:c>
      <x:c r="DR457" s="4" t="str">
        <x:f>IF(446&gt;MAX('Calculations'!$IK$13:$IK$512),"",INDEX('Calculations'!$HE$13:$HE$512,MATCH(446,'Calculations'!$IK$13:$IK$512,0)))</x:f>
      </x:c>
      <x:c r="DS457" s="4"/>
      <x:c r="DT457" s="4"/>
      <x:c r="DU457" s="4"/>
      <x:c r="DV457" s="4"/>
      <x:c r="DW457" s="4"/>
      <x:c r="DX457" s="4"/>
      <x:c r="DY457" s="4"/>
      <x:c r="DZ457" s="4"/>
      <x:c r="EA457" s="4"/>
      <x:c r="EB457" s="4"/>
      <x:c r="EC457" s="4"/>
      <x:c r="ED457" s="4"/>
      <x:c r="EE457" s="4" t="str">
        <x:f>IF('Calculations'!BT457=0,"Not Rated",IF(OR('Calculations'!BO457&gt;=4,'Calculations'!BP457&gt;=4),"Low",IF('Calculations'!BO457+'Calculations'!BP457&lt;=3,"High",IF('Calculations'!BO457+'Calculations'!BP457&lt;=4,"Strong","Solid"))))</x:f>
        <x:v>Not Rated</x:v>
      </x:c>
      <x:c r="EF457" s="4"/>
      <x:c r="EG457" s="4"/>
      <x:c r="EH457" s="4"/>
      <x:c r="EI457" s="4"/>
      <x:c r="EJ457" s="4"/>
      <x:c r="EK457" s="4"/>
      <x:c r="EL457" s="4"/>
      <x:c r="EM457" s="4" t="str">
        <x:f>IF(445&gt;'Calculations'!$JB$2000,"",INDEX('Calculations'!$JA$12:$JA$2000,MATCH(445,'Calculations'!$JB$12:$JB$2000,0)))</x:f>
      </x:c>
      <x:c r="EN457" s="4" t="n">
        <x:f>IF(OR('Calculations'!EM457="",'Calculations'!$AG$8&gt;0,AND('Calculations'!$EF$2&lt;&gt;"All",'Calculations'!HE457='Calculations'!$EF$2),AND('Calculations'!$EF$3&lt;&gt;"All",'Calculations'!HE457='Calculations'!$EF$3)),0,IF(OR('Dashboard'!$B$7="All",'Calculations'!HN457='Dashboard'!$B$7),IF('Calculations'!$EF$2="All",1,IF('Calculations'!HL457&gt;0,0,IF(COUNTIF('Calculations'!HO457:II457,"="&amp;SUBSTITUTE(SUBSTITUTE(SUBSTITUTE('Calculations'!$EF$2,"~","~~"),"*","~*"),"?","~?"))=0,0,IF('Calculations'!$EF$3="All",1,IF(COUNTIF('Calculations'!HO457:II457,"="&amp;SUBSTITUTE(SUBSTITUTE(SUBSTITUTE('Calculations'!$EF$3,"~","~~"),"*","~*"),"?","~?"))&gt;0,1,0))))),0))</x:f>
        <x:v>0</x:v>
      </x:c>
      <x:c r="EO457" s="4" t="str">
        <x:f>IF('Calculations'!IJ457="","",IF('Calculations'!IJ457="!UNRESOLVED","Unresolved hierarchy",IFERROR(INDEX('Calculations'!$HK$13:$HK$512,MATCH('Calculations'!IJ457,'Calculations'!$HE$13:$HE$512,0)),IFERROR(INDEX('Calculations'!$HJ$13:$HJ$512,MATCH('Calculations'!IJ457,'Calculations'!$HF$13:$HF$512,0)),'Calculations'!IJ457))))</x:f>
      </x:c>
      <x:c r="EP457" s="4" t="n">
        <x:f>IF(AND('Calculations'!EM457&lt;&gt;"",'Calculations'!HF457='Calculations'!IJ457),1,0)</x:f>
        <x:v>0</x:v>
      </x:c>
      <x:c r="EQ457" s="4"/>
      <x:c r="ER457" s="4"/>
      <x:c r="ES457" s="4"/>
      <x:c r="ET457" s="4"/>
      <x:c r="EU457" s="4"/>
      <x:c r="EV457" s="4"/>
      <x:c r="EW457" s="4"/>
      <x:c r="EX457" s="4"/>
      <x:c r="EY457" s="4"/>
      <x:c r="EZ457" s="4"/>
      <x:c r="FA457" s="4"/>
      <x:c r="FB457" s="4"/>
      <x:c r="FC457" s="4"/>
      <x:c r="FD457" s="4"/>
      <x:c r="FE457" s="4"/>
      <x:c r="FF457" s="4"/>
      <x:c r="FG457" s="4"/>
      <x:c r="FH457" s="4"/>
      <x:c r="FI457" s="4"/>
      <x:c r="FJ457" s="4"/>
      <x:c r="FK457" s="4"/>
      <x:c r="FL457" s="4"/>
      <x:c r="FM457" s="4"/>
      <x:c r="FN457" s="4"/>
      <x:c r="FO457" s="4"/>
      <x:c r="HE457" t="str">
        <x:f>IF('Calculations'!EM457="","",IF(IFERROR(IF(INDEX(INDIRECT("'WCM Calibration Final'!$A$1:$A$2000"),'Calculations'!$EM457)="","",TRIM(INDEX(INDIRECT("'WCM Calibration Final'!$A$1:$A$2000"),'Calculations'!$EM457)&amp;"")),"")&lt;&gt;"","G:"&amp;IFERROR(TEXT(1*INDEX(INDIRECT("'WCM Calibration Final'!$A$1:$A$2000"),'Calculations'!$EM457),"0"),UPPER(IFERROR(IF(INDEX(INDIRECT("'WCM Calibration Final'!$A$1:$A$2000"),'Calculations'!$EM457)="","",TRIM(INDEX(INDIRECT("'WCM Calibration Final'!$A$1:$A$2000"),'Calculations'!$EM457)&amp;"")),""))),IF(IFERROR(IF(INDEX(INDIRECT("'WCM Calibration Final'!$C$1:$C$2000"),'Calculations'!$EM457)="","",TRIM(INDEX(INDIRECT("'WCM Calibration Final'!$C$1:$C$2000"),'Calculations'!$EM457)&amp;"")),"")&lt;&gt;"","S:"&amp;UPPER(IFERROR(IF(INDEX(INDIRECT("'WCM Calibration Final'!$C$1:$C$2000"),'Calculations'!$EM457)="","",TRIM(INDEX(INDIRECT("'WCM Calibration Final'!$C$1:$C$2000"),'Calculations'!$EM457)&amp;"")),"")),"R:"&amp;'Calculations'!EM457)))</x:f>
      </x:c>
      <x:c r="HF457" t="str">
        <x:f>IF('Calculations'!EM457="","",IF(IFERROR(IF(INDEX(INDIRECT("'WCM Calibration Final'!$D$1:$D$2000"),'Calculations'!$EM457)="","",TRIM(INDEX(INDIRECT("'WCM Calibration Final'!$D$1:$D$2000"),'Calculations'!$EM457)&amp;"")),"")&lt;&gt;"","G:"&amp;IFERROR(TEXT(1*INDEX(INDIRECT("'WCM Calibration Final'!$D$1:$D$2000"),'Calculations'!$EM457),"0"),UPPER(IFERROR(IF(INDEX(INDIRECT("'WCM Calibration Final'!$D$1:$D$2000"),'Calculations'!$EM457)="","",TRIM(INDEX(INDIRECT("'WCM Calibration Final'!$D$1:$D$2000"),'Calculations'!$EM457)&amp;"")),""))),IF(IFERROR(IF(INDEX(INDIRECT("'WCM Calibration Final'!$E$1:$E$2000"),'Calculations'!$EM457)="","",TRIM(INDEX(INDIRECT("'WCM Calibration Final'!$E$1:$E$2000"),'Calculations'!$EM457)&amp;"")),"")="","",IF(COUNTIF('Calculations'!$HG$13:$HG$512,"="&amp;SUBSTITUTE(SUBSTITUTE(SUBSTITUTE(IFERROR(IF(INDEX(INDIRECT("'WCM Calibration Final'!$E$1:$E$2000"),'Calculations'!$EM457)="","",TRIM(INDEX(INDIRECT("'WCM Calibration Final'!$E$1:$E$2000"),'Calculations'!$EM457)&amp;"")),""),"~","~~"),"*","~*"),"?","~?"))=1,INDEX('Calculations'!$HE$13:$HE$512,MATCH(IFERROR(IF(INDEX(INDIRECT("'WCM Calibration Final'!$E$1:$E$2000"),'Calculations'!$EM457)="","",TRIM(INDEX(INDIRECT("'WCM Calibration Final'!$E$1:$E$2000"),'Calculations'!$EM457)&amp;"")),""),'Calculations'!$HG$13:$HG$512,0)),IF(COUNTIF('Calculations'!$HG$13:$HG$512,"="&amp;SUBSTITUTE(SUBSTITUTE(SUBSTITUTE(IFERROR(IF(INDEX(INDIRECT("'WCM Calibration Final'!$E$1:$E$2000"),'Calculations'!$EM457)="","",TRIM(INDEX(INDIRECT("'WCM Calibration Final'!$E$1:$E$2000"),'Calculations'!$EM457)&amp;"")),""),"~","~~"),"*","~*"),"?","~?"))&gt;1,"!AMBIG","X:"&amp;IFERROR(IF(INDEX(INDIRECT("'WCM Calibration Final'!$E$1:$E$2000"),'Calculations'!$EM457)="","",TRIM(INDEX(INDIRECT("'WCM Calibration Final'!$E$1:$E$2000"),'Calculations'!$EM457)&amp;"")),""))))))</x:f>
      </x:c>
      <x:c r="HG457" t="str">
        <x:f>IF('Calculations'!EM457="","",IFERROR(IF(INDEX(INDIRECT("'WCM Calibration Final'!$B$1:$B$2000"),'Calculations'!$EM457)="","",TRIM(INDEX(INDIRECT("'WCM Calibration Final'!$B$1:$B$2000"),'Calculations'!$EM457)&amp;"")),""))</x:f>
      </x:c>
      <x:c r="HH457" t="n">
        <x:f>IF(AND('Calculations'!JC457&gt;0,COUNTIF('Calculations'!$HF$12:HF457,"="&amp;SUBSTITUTE(SUBSTITUTE(SUBSTITUTE('Calculations'!HF457,"~","~~"),"*","~*"),"?","~?"))=1),MAX('Calculations'!$HH$12:HH456)+1,0)</x:f>
        <x:v>0</x:v>
      </x:c>
      <x:c r="HI457" t="n">
        <x:f>IF(AND('Calculations'!HN457&lt;&gt;"",COUNTIF('Calculations'!$HN$12:HN457,"="&amp;SUBSTITUTE(SUBSTITUTE(SUBSTITUTE('Calculations'!HN457,"~","~~"),"*","~*"),"?","~?"))=1),MAX('Calculations'!$HI$12:HI456)+1,0)</x:f>
        <x:v>0</x:v>
      </x:c>
      <x:c r="HJ457" t="str">
        <x:f>IF('Calculations'!HF457="","",IF(COUNTIF('Calculations'!$HE$13:$HE$512,"="&amp;SUBSTITUTE(SUBSTITUTE(SUBSTITUTE('Calculations'!HF457,"~","~~"),"*","~*"),"?","~?"))=1,INDEX('Calculations'!$HK$13:$HK$512,MATCH('Calculations'!HF457,'Calculations'!$HE$13:$HE$512,0)),IFERROR(IF(INDEX(INDIRECT("'WCM Calibration Final'!$E$1:$E$2000"),'Calculations'!$EM457)="","",TRIM(INDEX(INDIRECT("'WCM Calibration Final'!$E$1:$E$2000"),'Calculations'!$EM457)&amp;"")),"")&amp;" ["&amp;'Calculations'!HF457&amp;"]"))</x:f>
      </x:c>
      <x:c r="HK457" t="str">
        <x:f>IF('Calculations'!EM457="","",'Calculations'!HG457&amp;" ["&amp;'Calculations'!HE457&amp;"]")</x:f>
      </x:c>
      <x:c r="HL457" t="n">
        <x:f>IF('Calculations'!EM457="",0,IF(OR('Calculations'!II457&lt;&gt;"",COUNTIF('Calculations'!$HE$13:$HE$512,"="&amp;SUBSTITUTE(SUBSTITUTE(SUBSTITUTE('Calculations'!HE457,"~","~~"),"*","~*"),"?","~?"))&gt;1),1,0))</x:f>
        <x:v>0</x:v>
      </x:c>
      <x:c r="HM457" t="str">
        <x:f>IF('Calculations'!EM457="","",IF('Calculations'!HL457=1,"!UNRESOLVED",IF('Calculations'!IH457&lt;&gt;"",'Calculations'!IH457,IF('Calculations'!IG457&lt;&gt;"",'Calculations'!IG457,IF('Calculations'!IF457&lt;&gt;"",'Calculations'!IF457,IF('Calculations'!IE457&lt;&gt;"",'Calculations'!IE457,IF('Calculations'!ID457&lt;&gt;"",'Calculations'!ID457,IF('Calculations'!IC457&lt;&gt;"",'Calculations'!IC457,IF('Calculations'!IB457&lt;&gt;"",'Calculations'!IB457,IF('Calculations'!IA457&lt;&gt;"",'Calculations'!IA457,IF('Calculations'!HZ457&lt;&gt;"",'Calculations'!HZ457,IF('Calculations'!HY457&lt;&gt;"",'Calculations'!HY457,IF('Calculations'!HX457&lt;&gt;"",'Calculations'!HX457,IF('Calculations'!HW457&lt;&gt;"",'Calculations'!HW457,IF('Calculations'!HV457&lt;&gt;"",'Calculations'!HV457,IF('Calculations'!HU457&lt;&gt;"",'Calculations'!HU457,IF('Calculations'!HT457&lt;&gt;"",'Calculations'!HT457,IF('Calculations'!HS457&lt;&gt;"",'Calculations'!HS457,IF('Calculations'!HR457&lt;&gt;"",'Calculations'!HR457,IF('Calculations'!HQ457&lt;&gt;"",'Calculations'!HQ457,IF('Calculations'!HP457&lt;&gt;"",'Calculations'!HP457,IF('Calculations'!HO457&lt;&gt;"",'Calculations'!HO457,'Calculations'!HE457))))))))))))))))))))))</x:f>
      </x:c>
      <x:c r="HN457" t="str">
        <x:f>IF('Calculations'!EM457="","",IF(IFERROR(IF(INDEX(INDIRECT("'WCM Calibration Final'!$F$1:$F$2000"),'Calculations'!$EM457)="","",TRIM(INDEX(INDIRECT("'WCM Calibration Final'!$F$1:$F$2000"),'Calculations'!$EM457)&amp;"")),"")="","(Blank)",IFERROR(IF(INDEX(INDIRECT("'WCM Calibration Final'!$F$1:$F$2000"),'Calculations'!$EM457)="","",TRIM(INDEX(INDIRECT("'WCM Calibration Final'!$F$1:$F$2000"),'Calculations'!$EM457)&amp;"")),"")))</x:f>
      </x:c>
      <x:c r="HO457" t="str">
        <x:f>'Calculations'!HF457</x:f>
      </x:c>
      <x:c r="HP457" t="str">
        <x:f>IF('Calculations'!HO457="","",IF('Calculations'!HO457="!AMBIG","!AMBIG",IF(COUNTIF('Calculations'!$HE$13:$HE$512,"="&amp;SUBSTITUTE(SUBSTITUTE(SUBSTITUTE('Calculations'!HO457,"~","~~"),"*","~*"),"?","~?"))&gt;1,"!AMBIG",IFERROR(INDEX('Calculations'!$HF$13:$HF$512,MATCH('Calculations'!HO457,'Calculations'!$HE$13:$HE$512,0)),""))))</x:f>
      </x:c>
      <x:c r="HQ457" t="str">
        <x:f>IF('Calculations'!HP457="","",IF('Calculations'!HP457="!AMBIG","!AMBIG",IF(COUNTIF('Calculations'!$HE$13:$HE$512,"="&amp;SUBSTITUTE(SUBSTITUTE(SUBSTITUTE('Calculations'!HP457,"~","~~"),"*","~*"),"?","~?"))&gt;1,"!AMBIG",IFERROR(INDEX('Calculations'!$HF$13:$HF$512,MATCH('Calculations'!HP457,'Calculations'!$HE$13:$HE$512,0)),""))))</x:f>
      </x:c>
      <x:c r="HR457" t="str">
        <x:f>IF('Calculations'!HQ457="","",IF('Calculations'!HQ457="!AMBIG","!AMBIG",IF(COUNTIF('Calculations'!$HE$13:$HE$512,"="&amp;SUBSTITUTE(SUBSTITUTE(SUBSTITUTE('Calculations'!HQ457,"~","~~"),"*","~*"),"?","~?"))&gt;1,"!AMBIG",IFERROR(INDEX('Calculations'!$HF$13:$HF$512,MATCH('Calculations'!HQ457,'Calculations'!$HE$13:$HE$512,0)),""))))</x:f>
      </x:c>
      <x:c r="HS457" t="str">
        <x:f>IF('Calculations'!HR457="","",IF('Calculations'!HR457="!AMBIG","!AMBIG",IF(COUNTIF('Calculations'!$HE$13:$HE$512,"="&amp;SUBSTITUTE(SUBSTITUTE(SUBSTITUTE('Calculations'!HR457,"~","~~"),"*","~*"),"?","~?"))&gt;1,"!AMBIG",IFERROR(INDEX('Calculations'!$HF$13:$HF$512,MATCH('Calculations'!HR457,'Calculations'!$HE$13:$HE$512,0)),""))))</x:f>
      </x:c>
      <x:c r="HT457" t="str">
        <x:f>IF('Calculations'!HS457="","",IF('Calculations'!HS457="!AMBIG","!AMBIG",IF(COUNTIF('Calculations'!$HE$13:$HE$512,"="&amp;SUBSTITUTE(SUBSTITUTE(SUBSTITUTE('Calculations'!HS457,"~","~~"),"*","~*"),"?","~?"))&gt;1,"!AMBIG",IFERROR(INDEX('Calculations'!$HF$13:$HF$512,MATCH('Calculations'!HS457,'Calculations'!$HE$13:$HE$512,0)),""))))</x:f>
      </x:c>
      <x:c r="HU457" t="str">
        <x:f>IF('Calculations'!HT457="","",IF('Calculations'!HT457="!AMBIG","!AMBIG",IF(COUNTIF('Calculations'!$HE$13:$HE$512,"="&amp;SUBSTITUTE(SUBSTITUTE(SUBSTITUTE('Calculations'!HT457,"~","~~"),"*","~*"),"?","~?"))&gt;1,"!AMBIG",IFERROR(INDEX('Calculations'!$HF$13:$HF$512,MATCH('Calculations'!HT457,'Calculations'!$HE$13:$HE$512,0)),""))))</x:f>
      </x:c>
      <x:c r="HV457" t="str">
        <x:f>IF('Calculations'!HU457="","",IF('Calculations'!HU457="!AMBIG","!AMBIG",IF(COUNTIF('Calculations'!$HE$13:$HE$512,"="&amp;SUBSTITUTE(SUBSTITUTE(SUBSTITUTE('Calculations'!HU457,"~","~~"),"*","~*"),"?","~?"))&gt;1,"!AMBIG",IFERROR(INDEX('Calculations'!$HF$13:$HF$512,MATCH('Calculations'!HU457,'Calculations'!$HE$13:$HE$512,0)),""))))</x:f>
      </x:c>
      <x:c r="HW457" t="str">
        <x:f>IF('Calculations'!HV457="","",IF('Calculations'!HV457="!AMBIG","!AMBIG",IF(COUNTIF('Calculations'!$HE$13:$HE$512,"="&amp;SUBSTITUTE(SUBSTITUTE(SUBSTITUTE('Calculations'!HV457,"~","~~"),"*","~*"),"?","~?"))&gt;1,"!AMBIG",IFERROR(INDEX('Calculations'!$HF$13:$HF$512,MATCH('Calculations'!HV457,'Calculations'!$HE$13:$HE$512,0)),""))))</x:f>
      </x:c>
      <x:c r="HX457" t="str">
        <x:f>IF('Calculations'!HW457="","",IF('Calculations'!HW457="!AMBIG","!AMBIG",IF(COUNTIF('Calculations'!$HE$13:$HE$512,"="&amp;SUBSTITUTE(SUBSTITUTE(SUBSTITUTE('Calculations'!HW457,"~","~~"),"*","~*"),"?","~?"))&gt;1,"!AMBIG",IFERROR(INDEX('Calculations'!$HF$13:$HF$512,MATCH('Calculations'!HW457,'Calculations'!$HE$13:$HE$512,0)),""))))</x:f>
      </x:c>
      <x:c r="HY457" t="str">
        <x:f>IF('Calculations'!HX457="","",IF('Calculations'!HX457="!AMBIG","!AMBIG",IF(COUNTIF('Calculations'!$HE$13:$HE$512,"="&amp;SUBSTITUTE(SUBSTITUTE(SUBSTITUTE('Calculations'!HX457,"~","~~"),"*","~*"),"?","~?"))&gt;1,"!AMBIG",IFERROR(INDEX('Calculations'!$HF$13:$HF$512,MATCH('Calculations'!HX457,'Calculations'!$HE$13:$HE$512,0)),""))))</x:f>
      </x:c>
      <x:c r="HZ457" t="str">
        <x:f>IF('Calculations'!HY457="","",IF('Calculations'!HY457="!AMBIG","!AMBIG",IF(COUNTIF('Calculations'!$HE$13:$HE$512,"="&amp;SUBSTITUTE(SUBSTITUTE(SUBSTITUTE('Calculations'!HY457,"~","~~"),"*","~*"),"?","~?"))&gt;1,"!AMBIG",IFERROR(INDEX('Calculations'!$HF$13:$HF$512,MATCH('Calculations'!HY457,'Calculations'!$HE$13:$HE$512,0)),""))))</x:f>
      </x:c>
      <x:c r="IA457" t="str">
        <x:f>IF('Calculations'!HZ457="","",IF('Calculations'!HZ457="!AMBIG","!AMBIG",IF(COUNTIF('Calculations'!$HE$13:$HE$512,"="&amp;SUBSTITUTE(SUBSTITUTE(SUBSTITUTE('Calculations'!HZ457,"~","~~"),"*","~*"),"?","~?"))&gt;1,"!AMBIG",IFERROR(INDEX('Calculations'!$HF$13:$HF$512,MATCH('Calculations'!HZ457,'Calculations'!$HE$13:$HE$512,0)),""))))</x:f>
      </x:c>
      <x:c r="IB457" t="str">
        <x:f>IF('Calculations'!IA457="","",IF('Calculations'!IA457="!AMBIG","!AMBIG",IF(COUNTIF('Calculations'!$HE$13:$HE$512,"="&amp;SUBSTITUTE(SUBSTITUTE(SUBSTITUTE('Calculations'!IA457,"~","~~"),"*","~*"),"?","~?"))&gt;1,"!AMBIG",IFERROR(INDEX('Calculations'!$HF$13:$HF$512,MATCH('Calculations'!IA457,'Calculations'!$HE$13:$HE$512,0)),""))))</x:f>
      </x:c>
      <x:c r="IC457" t="str">
        <x:f>IF('Calculations'!IB457="","",IF('Calculations'!IB457="!AMBIG","!AMBIG",IF(COUNTIF('Calculations'!$HE$13:$HE$512,"="&amp;SUBSTITUTE(SUBSTITUTE(SUBSTITUTE('Calculations'!IB457,"~","~~"),"*","~*"),"?","~?"))&gt;1,"!AMBIG",IFERROR(INDEX('Calculations'!$HF$13:$HF$512,MATCH('Calculations'!IB457,'Calculations'!$HE$13:$HE$512,0)),""))))</x:f>
      </x:c>
      <x:c r="ID457" t="str">
        <x:f>IF('Calculations'!IC457="","",IF('Calculations'!IC457="!AMBIG","!AMBIG",IF(COUNTIF('Calculations'!$HE$13:$HE$512,"="&amp;SUBSTITUTE(SUBSTITUTE(SUBSTITUTE('Calculations'!IC457,"~","~~"),"*","~*"),"?","~?"))&gt;1,"!AMBIG",IFERROR(INDEX('Calculations'!$HF$13:$HF$512,MATCH('Calculations'!IC457,'Calculations'!$HE$13:$HE$512,0)),""))))</x:f>
      </x:c>
      <x:c r="IE457" t="str">
        <x:f>IF('Calculations'!ID457="","",IF('Calculations'!ID457="!AMBIG","!AMBIG",IF(COUNTIF('Calculations'!$HE$13:$HE$512,"="&amp;SUBSTITUTE(SUBSTITUTE(SUBSTITUTE('Calculations'!ID457,"~","~~"),"*","~*"),"?","~?"))&gt;1,"!AMBIG",IFERROR(INDEX('Calculations'!$HF$13:$HF$512,MATCH('Calculations'!ID457,'Calculations'!$HE$13:$HE$512,0)),""))))</x:f>
      </x:c>
      <x:c r="IF457" t="str">
        <x:f>IF('Calculations'!IE457="","",IF('Calculations'!IE457="!AMBIG","!AMBIG",IF(COUNTIF('Calculations'!$HE$13:$HE$512,"="&amp;SUBSTITUTE(SUBSTITUTE(SUBSTITUTE('Calculations'!IE457,"~","~~"),"*","~*"),"?","~?"))&gt;1,"!AMBIG",IFERROR(INDEX('Calculations'!$HF$13:$HF$512,MATCH('Calculations'!IE457,'Calculations'!$HE$13:$HE$512,0)),""))))</x:f>
      </x:c>
      <x:c r="IG457" t="str">
        <x:f>IF('Calculations'!IF457="","",IF('Calculations'!IF457="!AMBIG","!AMBIG",IF(COUNTIF('Calculations'!$HE$13:$HE$512,"="&amp;SUBSTITUTE(SUBSTITUTE(SUBSTITUTE('Calculations'!IF457,"~","~~"),"*","~*"),"?","~?"))&gt;1,"!AMBIG",IFERROR(INDEX('Calculations'!$HF$13:$HF$512,MATCH('Calculations'!IF457,'Calculations'!$HE$13:$HE$512,0)),""))))</x:f>
      </x:c>
      <x:c r="IH457" t="str">
        <x:f>IF('Calculations'!IG457="","",IF('Calculations'!IG457="!AMBIG","!AMBIG",IF(COUNTIF('Calculations'!$HE$13:$HE$512,"="&amp;SUBSTITUTE(SUBSTITUTE(SUBSTITUTE('Calculations'!IG457,"~","~~"),"*","~*"),"?","~?"))&gt;1,"!AMBIG",IFERROR(INDEX('Calculations'!$HF$13:$HF$512,MATCH('Calculations'!IG457,'Calculations'!$HE$13:$HE$512,0)),""))))</x:f>
      </x:c>
      <x:c r="II457" t="str">
        <x:f>IF('Calculations'!IH457="","",IF('Calculations'!IH457="!AMBIG","!AMBIG",IF(COUNTIF('Calculations'!$HE$13:$HE$512,"="&amp;SUBSTITUTE(SUBSTITUTE(SUBSTITUTE('Calculations'!IH457,"~","~~"),"*","~*"),"?","~?"))&gt;1,"!AMBIG",IFERROR(INDEX('Calculations'!$HF$13:$HF$512,MATCH('Calculations'!IH457,'Calculations'!$HE$13:$HE$512,0)),""))))</x:f>
      </x:c>
      <x:c r="IJ457" t="str">
        <x:f>IF('Calculations'!EM457="","",IF('Calculations'!$EF$2="All",'Calculations'!HM457,IF('Calculations'!HL457=1,"",IFERROR(IF(MATCH('Calculations'!$EF$2,'Calculations'!HO457:II457,0)=1,'Calculations'!HE457,INDEX('Calculations'!HO457:II457,1,MATCH('Calculations'!$EF$2,'Calculations'!HO457:II457,0)-1)),""))))</x:f>
      </x:c>
      <x:c r="IK457" t="n">
        <x:f>IF(AND('Calculations'!EM457&lt;&gt;"",'Calculations'!$EF$2&lt;&gt;"All",'Calculations'!HF457='Calculations'!$EF$2,'Calculations'!HL457=0,'Calculations'!JD457&gt;0),MAX('Calculations'!$IK$12:IK456)+1,0)</x:f>
        <x:v>0</x:v>
      </x:c>
      <x:c r="JA457" t="n">
        <x:f>IF(OR(IFERROR(INDIRECT("'WCM Calibration Final'!$A$457")&lt;&gt;"",FALSE),IFERROR(INDIRECT("'WCM Calibration Final'!$B$457")&lt;&gt;"",FALSE),IFERROR(INDIRECT("'WCM Calibration Final'!$C$457")&lt;&gt;"",FALSE)),457,0)</x:f>
        <x:v>0</x:v>
      </x:c>
      <x:c r="JB457" t="n">
        <x:f>'Calculations'!JB456+IF('Calculations'!JA457&gt;0,1,0)</x:f>
        <x:v>0</x:v>
      </x:c>
      <x:c r="JC457" t="n">
        <x:f>IF(OR('Calculations'!HF457="",'Calculations'!HF457="!AMBIG"),0,IF('Dashboard'!$B$7="All",1,COUNTIFS('Calculations'!$HO$13:$HO$512,"="&amp;SUBSTITUTE(SUBSTITUTE(SUBSTITUTE('Calculations'!HF457,"~","~~"),"*","~*"),"?","~?"),'Calculations'!$HN$13:$HN$512,"="&amp;SUBSTITUTE(SUBSTITUTE(SUBSTITUTE('Dashboard'!$B$7,"~","~~"),"*","~*"),"?","~?"))+COUNTIFS('Calculations'!$HP$13:$HP$512,"="&amp;SUBSTITUTE(SUBSTITUTE(SUBSTITUTE('Calculations'!HF457,"~","~~"),"*","~*"),"?","~?"),'Calculations'!$HN$13:$HN$512,"="&amp;SUBSTITUTE(SUBSTITUTE(SUBSTITUTE('Dashboard'!$B$7,"~","~~"),"*","~*"),"?","~?"))+COUNTIFS('Calculations'!$HQ$13:$HQ$512,"="&amp;SUBSTITUTE(SUBSTITUTE(SUBSTITUTE('Calculations'!HF457,"~","~~"),"*","~*"),"?","~?"),'Calculations'!$HN$13:$HN$512,"="&amp;SUBSTITUTE(SUBSTITUTE(SUBSTITUTE('Dashboard'!$B$7,"~","~~"),"*","~*"),"?","~?"))+COUNTIFS('Calculations'!$HR$13:$HR$512,"="&amp;SUBSTITUTE(SUBSTITUTE(SUBSTITUTE('Calculations'!HF457,"~","~~"),"*","~*"),"?","~?"),'Calculations'!$HN$13:$HN$512,"="&amp;SUBSTITUTE(SUBSTITUTE(SUBSTITUTE('Dashboard'!$B$7,"~","~~"),"*","~*"),"?","~?"))+COUNTIFS('Calculations'!$HS$13:$HS$512,"="&amp;SUBSTITUTE(SUBSTITUTE(SUBSTITUTE('Calculations'!HF457,"~","~~"),"*","~*"),"?","~?"),'Calculations'!$HN$13:$HN$512,"="&amp;SUBSTITUTE(SUBSTITUTE(SUBSTITUTE('Dashboard'!$B$7,"~","~~"),"*","~*"),"?","~?"))+COUNTIFS('Calculations'!$HT$13:$HT$512,"="&amp;SUBSTITUTE(SUBSTITUTE(SUBSTITUTE('Calculations'!HF457,"~","~~"),"*","~*"),"?","~?"),'Calculations'!$HN$13:$HN$512,"="&amp;SUBSTITUTE(SUBSTITUTE(SUBSTITUTE('Dashboard'!$B$7,"~","~~"),"*","~*"),"?","~?"))+COUNTIFS('Calculations'!$HU$13:$HU$512,"="&amp;SUBSTITUTE(SUBSTITUTE(SUBSTITUTE('Calculations'!HF457,"~","~~"),"*","~*"),"?","~?"),'Calculations'!$HN$13:$HN$512,"="&amp;SUBSTITUTE(SUBSTITUTE(SUBSTITUTE('Dashboard'!$B$7,"~","~~"),"*","~*"),"?","~?"))+COUNTIFS('Calculations'!$HV$13:$HV$512,"="&amp;SUBSTITUTE(SUBSTITUTE(SUBSTITUTE('Calculations'!HF457,"~","~~"),"*","~*"),"?","~?"),'Calculations'!$HN$13:$HN$512,"="&amp;SUBSTITUTE(SUBSTITUTE(SUBSTITUTE('Dashboard'!$B$7,"~","~~"),"*","~*"),"?","~?"))+COUNTIFS('Calculations'!$HW$13:$HW$512,"="&amp;SUBSTITUTE(SUBSTITUTE(SUBSTITUTE('Calculations'!HF457,"~","~~"),"*","~*"),"?","~?"),'Calculations'!$HN$13:$HN$512,"="&amp;SUBSTITUTE(SUBSTITUTE(SUBSTITUTE('Dashboard'!$B$7,"~","~~"),"*","~*"),"?","~?"))+COUNTIFS('Calculations'!$HX$13:$HX$512,"="&amp;SUBSTITUTE(SUBSTITUTE(SUBSTITUTE('Calculations'!HF457,"~","~~"),"*","~*"),"?","~?"),'Calculations'!$HN$13:$HN$512,"="&amp;SUBSTITUTE(SUBSTITUTE(SUBSTITUTE('Dashboard'!$B$7,"~","~~"),"*","~*"),"?","~?"))+COUNTIFS('Calculations'!$HY$13:$HY$512,"="&amp;SUBSTITUTE(SUBSTITUTE(SUBSTITUTE('Calculations'!HF457,"~","~~"),"*","~*"),"?","~?"),'Calculations'!$HN$13:$HN$512,"="&amp;SUBSTITUTE(SUBSTITUTE(SUBSTITUTE('Dashboard'!$B$7,"~","~~"),"*","~*"),"?","~?"))+COUNTIFS('Calculations'!$HZ$13:$HZ$512,"="&amp;SUBSTITUTE(SUBSTITUTE(SUBSTITUTE('Calculations'!HF457,"~","~~"),"*","~*"),"?","~?"),'Calculations'!$HN$13:$HN$512,"="&amp;SUBSTITUTE(SUBSTITUTE(SUBSTITUTE('Dashboard'!$B$7,"~","~~"),"*","~*"),"?","~?"))+COUNTIFS('Calculations'!$IA$13:$IA$512,"="&amp;SUBSTITUTE(SUBSTITUTE(SUBSTITUTE('Calculations'!HF457,"~","~~"),"*","~*"),"?","~?"),'Calculations'!$HN$13:$HN$512,"="&amp;SUBSTITUTE(SUBSTITUTE(SUBSTITUTE('Dashboard'!$B$7,"~","~~"),"*","~*"),"?","~?"))+COUNTIFS('Calculations'!$IB$13:$IB$512,"="&amp;SUBSTITUTE(SUBSTITUTE(SUBSTITUTE('Calculations'!HF457,"~","~~"),"*","~*"),"?","~?"),'Calculations'!$HN$13:$HN$512,"="&amp;SUBSTITUTE(SUBSTITUTE(SUBSTITUTE('Dashboard'!$B$7,"~","~~"),"*","~*"),"?","~?"))+COUNTIFS('Calculations'!$IC$13:$IC$512,"="&amp;SUBSTITUTE(SUBSTITUTE(SUBSTITUTE('Calculations'!HF457,"~","~~"),"*","~*"),"?","~?"),'Calculations'!$HN$13:$HN$512,"="&amp;SUBSTITUTE(SUBSTITUTE(SUBSTITUTE('Dashboard'!$B$7,"~","~~"),"*","~*"),"?","~?"))+COUNTIFS('Calculations'!$ID$13:$ID$512,"="&amp;SUBSTITUTE(SUBSTITUTE(SUBSTITUTE('Calculations'!HF457,"~","~~"),"*","~*"),"?","~?"),'Calculations'!$HN$13:$HN$512,"="&amp;SUBSTITUTE(SUBSTITUTE(SUBSTITUTE('Dashboard'!$B$7,"~","~~"),"*","~*"),"?","~?"))+COUNTIFS('Calculations'!$IE$13:$IE$512,"="&amp;SUBSTITUTE(SUBSTITUTE(SUBSTITUTE('Calculations'!HF457,"~","~~"),"*","~*"),"?","~?"),'Calculations'!$HN$13:$HN$512,"="&amp;SUBSTITUTE(SUBSTITUTE(SUBSTITUTE('Dashboard'!$B$7,"~","~~"),"*","~*"),"?","~?"))+COUNTIFS('Calculations'!$IF$13:$IF$512,"="&amp;SUBSTITUTE(SUBSTITUTE(SUBSTITUTE('Calculations'!HF457,"~","~~"),"*","~*"),"?","~?"),'Calculations'!$HN$13:$HN$512,"="&amp;SUBSTITUTE(SUBSTITUTE(SUBSTITUTE('Dashboard'!$B$7,"~","~~"),"*","~*"),"?","~?"))+COUNTIFS('Calculations'!$IG$13:$IG$512,"="&amp;SUBSTITUTE(SUBSTITUTE(SUBSTITUTE('Calculations'!HF457,"~","~~"),"*","~*"),"?","~?"),'Calculations'!$HN$13:$HN$512,"="&amp;SUBSTITUTE(SUBSTITUTE(SUBSTITUTE('Dashboard'!$B$7,"~","~~"),"*","~*"),"?","~?"))+COUNTIFS('Calculations'!$IH$13:$IH$512,"="&amp;SUBSTITUTE(SUBSTITUTE(SUBSTITUTE('Calculations'!HF457,"~","~~"),"*","~*"),"?","~?"),'Calculations'!$HN$13:$HN$512,"="&amp;SUBSTITUTE(SUBSTITUTE(SUBSTITUTE('Dashboard'!$B$7,"~","~~"),"*","~*"),"?","~?"))))</x:f>
        <x:v>0</x:v>
      </x:c>
      <x:c r="JD457" t="n">
        <x:f>IF('Calculations'!EM457="",0,IF('Dashboard'!$B$7="All",1,IF('Calculations'!HN457='Dashboard'!$B$7,1,0)+IFERROR(INDEX('Calculations'!$JC$13:$JC$512,MATCH('Calculations'!HE457,'Calculations'!$HF$13:$HF$512,0)),0)))</x:f>
        <x:v>0</x:v>
      </x:c>
      <x:c r="JE457" t="n">
        <x:f>IF(AND('Calculations'!EM457&lt;&gt;"",'Calculations'!$JJ$2&lt;&gt;"All",'Calculations'!$JJ$2&lt;&gt;"",'Calculations'!HF457='Calculations'!$JJ$2,'Calculations'!HL457=0,'Calculations'!JD457&gt;0),MAX('Calculations'!$JE$12:JE456)+1,0)</x:f>
        <x:v>0</x:v>
      </x:c>
      <x:c r="JF457" t="str">
        <x:f>IF('Calculations'!EM457="","",IFERROR(IF(INDEX(INDIRECT("'WCM Calibration Final'!$G$1:$G$2000"),'Calculations'!$EM457)="","",TRIM(INDEX(INDIRECT("'WCM Calibration Final'!$G$1:$G$2000"),'Calculations'!$EM457)&amp;"")),""))</x:f>
      </x:c>
      <x:c r="JQ457" t="n">
        <x:f>IF(OR('Calculations'!BM457=0,NOT('Calculations'!$AG$2),'Calculations'!$AG$8&gt;0),0,IF(OR('Dashboard'!$B$7="All",'Calculations'!HN457='Dashboard'!$B$7),IF('Calculations'!$JJ$2="All",1,IF(AND('Calculations'!HF457='Calculations'!$JJ$2,'Calculations'!HL457=0),1,0)),0))</x:f>
        <x:v>0</x:v>
      </x:c>
    </x:row>
    <x:row r="458">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t="n">
        <x:f>IF('Calculations'!$EM458="",0,IF(OR(IFERROR(INDEX(INDIRECT("'WCM Calibration Final'!$A$1:$A$2000"),'Calculations'!$EM458)&lt;&gt;"",FALSE),IFERROR(INDEX(INDIRECT("'WCM Calibration Final'!$B$1:$B$2000"),'Calculations'!$EM458)&lt;&gt;"",FALSE),IFERROR(INDEX(INDIRECT("'WCM Calibration Final'!$C$1:$C$2000"),'Calculations'!$EM458)&lt;&gt;"",FALSE)),1,0))</x:f>
        <x:v>0</x:v>
      </x:c>
      <x:c r="BN458" s="4" t="n">
        <x:f>IF(AND('Calculations'!BM458=1,'Calculations'!$AG$2,'Calculations'!$EN458=1),1,0)</x:f>
        <x:v>0</x:v>
      </x:c>
      <x:c r="BO458" s="4" t="str">
        <x:f>IF('Calculations'!BM458=0,"",IFERROR(IF(AND(VALUE(INDEX(INDIRECT("'WCM Calibration Final'!$K$1:$K$2000"),'Calculations'!$EM458))&gt;=1,VALUE(INDEX(INDIRECT("'WCM Calibration Final'!$K$1:$K$2000"),'Calculations'!$EM458))&lt;=4,MOD(VALUE(INDEX(INDIRECT("'WCM Calibration Final'!$K$1:$K$2000"),'Calculations'!$EM458)),1)=0),VALUE(INDEX(INDIRECT("'WCM Calibration Final'!$K$1:$K$2000"),'Calculations'!$EM458)),""),""))</x:f>
      </x:c>
      <x:c r="BP458" s="4" t="str">
        <x:f>IF('Calculations'!BM458=0,"",IFERROR(IF(AND(VALUE(INDEX(INDIRECT("'WCM Calibration Final'!$L$1:$L$2000"),'Calculations'!$EM458))&gt;=1,VALUE(INDEX(INDIRECT("'WCM Calibration Final'!$L$1:$L$2000"),'Calculations'!$EM458))&lt;=4,MOD(VALUE(INDEX(INDIRECT("'WCM Calibration Final'!$L$1:$L$2000"),'Calculations'!$EM458)),1)=0),VALUE(INDEX(INDIRECT("'WCM Calibration Final'!$L$1:$L$2000"),'Calculations'!$EM458)),""),""))</x:f>
      </x:c>
      <x:c r="BQ458" s="4"/>
      <x:c r="BR458" s="4"/>
      <x:c r="BS458" s="4"/>
      <x:c r="BT458" s="4" t="n">
        <x:f>IF(AND('Calculations'!BM458=1,ISNUMBER('Calculations'!BO458),ISNUMBER('Calculations'!BP458)),1,0)</x:f>
        <x:v>0</x:v>
      </x:c>
      <x:c r="BU458" s="4" t="str">
        <x:f>IF('Calculations'!BM458=0,"",'Calculations'!$EO458)</x:f>
      </x:c>
      <x:c r="BV458" s="4" t="str">
        <x:f>IF('Calculations'!BM458=0,"",IFERROR(IF(OR(INDEX(INDIRECT("'WCM Calibration Final'!$H$1:$H$2000"),'Calculations'!$EM458)="MANAGING DIRECTOR",INDEX(INDIRECT("'WCM Calibration Final'!$H$1:$H$2000"),'Calculations'!$EM458)="DIRECTOR",INDEX(INDIRECT("'WCM Calibration Final'!$H$1:$H$2000"),'Calculations'!$EM458)="SENIOR VICE PRESIDENT",INDEX(INDIRECT("'WCM Calibration Final'!$H$1:$H$2000"),'Calculations'!$EM458)="VICE PRESIDENT",INDEX(INDIRECT("'WCM Calibration Final'!$H$1:$H$2000"),'Calculations'!$EM458)="ASSISTANT VICE PRESIDENT",INDEX(INDIRECT("'WCM Calibration Final'!$H$1:$H$2000"),'Calculations'!$EM458)="OFFICER"),UPPER(INDEX(INDIRECT("'WCM Calibration Final'!$H$1:$H$2000"),'Calculations'!$EM458)),"Other"),"Other"))</x:f>
      </x:c>
      <x:c r="BW458" s="4"/>
      <x:c r="BX458" s="4"/>
      <x:c r="BY458" s="4" t="n">
        <x:f>IF(AND('Calculations'!BM458=1,'Calculations'!BU458&lt;&gt;"",COUNTIF('Calculations'!$BU$12:BU458,'Calculations'!BU458)=1),MAX('Calculations'!$BY$11:BY457)+1,0)</x:f>
        <x:v>0</x:v>
      </x:c>
      <x:c r="BZ458" s="4" t="str">
        <x:f>IF('Dashboard'!$E$67="What",'Calculations'!BO458,'Calculations'!BP458)</x:f>
      </x:c>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t="str">
        <x:f>IF(447&gt;MAX('Calculations'!$HI$13:$HI$512),"",INDEX('Calculations'!$HN$13:$HN$512,MATCH(447,'Calculations'!$HI$13:$HI$512,0)))</x:f>
      </x:c>
      <x:c r="DB458" s="4" t="str">
        <x:f>IF(447&gt;MAX('Calculations'!$HH$13:$HH$512),"",INDEX('Calculations'!$HJ$13:$HJ$512,MATCH(447,'Calculations'!$HH$13:$HH$512,0)))</x:f>
      </x:c>
      <x:c r="DC458" s="4" t="str">
        <x:f>IF(ROW()-11&gt;MAX('Calculations'!$BY$13:$BY$512),"",INDEX('Calculations'!$BU$13:$BU$512,MATCH(ROW()-11,'Calculations'!$BY$13:$BY$512,0)))</x:f>
      </x:c>
      <x:c r="DD458" s="4" t="str">
        <x:f>IF(447&gt;MAX('Calculations'!$IK$13:$IK$512),"",INDEX('Calculations'!$HK$13:$HK$512,MATCH(447,'Calculations'!$IK$13:$IK$512,0)))</x:f>
      </x:c>
      <x:c r="DE458" s="4" t="str">
        <x:f>'Calculations'!DC458</x:f>
      </x:c>
      <x:c r="DF458" s="4" t="str">
        <x:f>IF('Calculations'!DE458="","",COUNTIFS('Calculations'!$BN$13:$BN$512,1,'Calculations'!$BU$13:$BU$512,'Calculations'!DE458))</x:f>
      </x:c>
      <x:c r="DG458" s="4" t="str">
        <x:f>IF('Calculations'!DE458="","",COUNTIFS('Calculations'!$BN$13:$BN$512,1,'Calculations'!$BU$13:$BU$512,'Calculations'!DE458,'Calculations'!$BT$13:$BT$512,1))</x:f>
      </x:c>
      <x:c r="DH458" s="4" t="str">
        <x:f>IF('Calculations'!DE458="","",'Calculations'!DF458-'Calculations'!DG458)</x:f>
      </x:c>
      <x:c r="DI458" s="4" t="str">
        <x:f>IF(OR('Calculations'!DE458="",'Calculations'!DF458=0),"",'Calculations'!DG458/'Calculations'!DF458)</x:f>
      </x:c>
      <x:c r="DJ458" s="4" t="str">
        <x:f>IF('Calculations'!DE458="","",COUNTIFS('Calculations'!$BN$13:$BN$512,1,'Calculations'!$BU$13:$BU$512,'Calculations'!DE458,'Calculations'!$BT$13:$BT$512,1,'Calculations'!$EE$13:$EE$512,"High"))</x:f>
      </x:c>
      <x:c r="DK458" s="4" t="str">
        <x:f>IF('Calculations'!DE458="","",COUNTIFS('Calculations'!$BN$13:$BN$512,1,'Calculations'!$BU$13:$BU$512,'Calculations'!DE458,'Calculations'!$BT$13:$BT$512,1,'Calculations'!$EE$13:$EE$512,"Strong"))</x:f>
      </x:c>
      <x:c r="DL458" s="4" t="str">
        <x:f>IF('Calculations'!DE458="","",COUNTIFS('Calculations'!$BN$13:$BN$512,1,'Calculations'!$BU$13:$BU$512,'Calculations'!DE458,'Calculations'!$BT$13:$BT$512,1,'Calculations'!$EE$13:$EE$512,"Solid"))</x:f>
      </x:c>
      <x:c r="DM458" s="4" t="str">
        <x:f>IF('Calculations'!DE458="","",COUNTIFS('Calculations'!$BN$13:$BN$512,1,'Calculations'!$BU$13:$BU$512,'Calculations'!DE458,'Calculations'!$BT$13:$BT$512,1,'Calculations'!$EE$13:$EE$512,"Low"))</x:f>
      </x:c>
      <x:c r="DN458" s="4" t="str">
        <x:f>IF('Calculations'!DE458="","",COUNTIFS('Calculations'!$BN$13:$BN$512,1,'Calculations'!$BU$13:$BU$512,'Calculations'!DE458,'Calculations'!$EP$13:$EP$512,1))</x:f>
      </x:c>
      <x:c r="DO458" s="4" t="str">
        <x:f>IF(OR('Calculations'!DE458="",'Calculations'!DG458=0),"",('Calculations'!DJ458+'Calculations'!DK458)/'Calculations'!DG458)</x:f>
      </x:c>
      <x:c r="DP458" s="4" t="n">
        <x:f>IF(AND('Calculations'!DE458&lt;&gt;"",'Calculations'!DF458&gt;0),COUNTIF('Calculations'!$DF$12:DF458,"&gt;0"),0)</x:f>
        <x:v>0</x:v>
      </x:c>
      <x:c r="DQ458" s="4" t="str">
        <x:f>IF(447&gt;MAX('Calculations'!$HH$13:$HH$512),"",INDEX('Calculations'!$HF$13:$HF$512,MATCH(447,'Calculations'!$HH$13:$HH$512,0)))</x:f>
      </x:c>
      <x:c r="DR458" s="4" t="str">
        <x:f>IF(447&gt;MAX('Calculations'!$IK$13:$IK$512),"",INDEX('Calculations'!$HE$13:$HE$512,MATCH(447,'Calculations'!$IK$13:$IK$512,0)))</x:f>
      </x:c>
      <x:c r="DS458" s="4"/>
      <x:c r="DT458" s="4"/>
      <x:c r="DU458" s="4"/>
      <x:c r="DV458" s="4"/>
      <x:c r="DW458" s="4"/>
      <x:c r="DX458" s="4"/>
      <x:c r="DY458" s="4"/>
      <x:c r="DZ458" s="4"/>
      <x:c r="EA458" s="4"/>
      <x:c r="EB458" s="4"/>
      <x:c r="EC458" s="4"/>
      <x:c r="ED458" s="4"/>
      <x:c r="EE458" s="4" t="str">
        <x:f>IF('Calculations'!BT458=0,"Not Rated",IF(OR('Calculations'!BO458&gt;=4,'Calculations'!BP458&gt;=4),"Low",IF('Calculations'!BO458+'Calculations'!BP458&lt;=3,"High",IF('Calculations'!BO458+'Calculations'!BP458&lt;=4,"Strong","Solid"))))</x:f>
        <x:v>Not Rated</x:v>
      </x:c>
      <x:c r="EF458" s="4"/>
      <x:c r="EG458" s="4"/>
      <x:c r="EH458" s="4"/>
      <x:c r="EI458" s="4"/>
      <x:c r="EJ458" s="4"/>
      <x:c r="EK458" s="4"/>
      <x:c r="EL458" s="4"/>
      <x:c r="EM458" s="4" t="str">
        <x:f>IF(446&gt;'Calculations'!$JB$2000,"",INDEX('Calculations'!$JA$12:$JA$2000,MATCH(446,'Calculations'!$JB$12:$JB$2000,0)))</x:f>
      </x:c>
      <x:c r="EN458" s="4" t="n">
        <x:f>IF(OR('Calculations'!EM458="",'Calculations'!$AG$8&gt;0,AND('Calculations'!$EF$2&lt;&gt;"All",'Calculations'!HE458='Calculations'!$EF$2),AND('Calculations'!$EF$3&lt;&gt;"All",'Calculations'!HE458='Calculations'!$EF$3)),0,IF(OR('Dashboard'!$B$7="All",'Calculations'!HN458='Dashboard'!$B$7),IF('Calculations'!$EF$2="All",1,IF('Calculations'!HL458&gt;0,0,IF(COUNTIF('Calculations'!HO458:II458,"="&amp;SUBSTITUTE(SUBSTITUTE(SUBSTITUTE('Calculations'!$EF$2,"~","~~"),"*","~*"),"?","~?"))=0,0,IF('Calculations'!$EF$3="All",1,IF(COUNTIF('Calculations'!HO458:II458,"="&amp;SUBSTITUTE(SUBSTITUTE(SUBSTITUTE('Calculations'!$EF$3,"~","~~"),"*","~*"),"?","~?"))&gt;0,1,0))))),0))</x:f>
        <x:v>0</x:v>
      </x:c>
      <x:c r="EO458" s="4" t="str">
        <x:f>IF('Calculations'!IJ458="","",IF('Calculations'!IJ458="!UNRESOLVED","Unresolved hierarchy",IFERROR(INDEX('Calculations'!$HK$13:$HK$512,MATCH('Calculations'!IJ458,'Calculations'!$HE$13:$HE$512,0)),IFERROR(INDEX('Calculations'!$HJ$13:$HJ$512,MATCH('Calculations'!IJ458,'Calculations'!$HF$13:$HF$512,0)),'Calculations'!IJ458))))</x:f>
      </x:c>
      <x:c r="EP458" s="4" t="n">
        <x:f>IF(AND('Calculations'!EM458&lt;&gt;"",'Calculations'!HF458='Calculations'!IJ458),1,0)</x:f>
        <x:v>0</x:v>
      </x:c>
      <x:c r="EQ458" s="4"/>
      <x:c r="ER458" s="4"/>
      <x:c r="ES458" s="4"/>
      <x:c r="ET458" s="4"/>
      <x:c r="EU458" s="4"/>
      <x:c r="EV458" s="4"/>
      <x:c r="EW458" s="4"/>
      <x:c r="EX458" s="4"/>
      <x:c r="EY458" s="4"/>
      <x:c r="EZ458" s="4"/>
      <x:c r="FA458" s="4"/>
      <x:c r="FB458" s="4"/>
      <x:c r="FC458" s="4"/>
      <x:c r="FD458" s="4"/>
      <x:c r="FE458" s="4"/>
      <x:c r="FF458" s="4"/>
      <x:c r="FG458" s="4"/>
      <x:c r="FH458" s="4"/>
      <x:c r="FI458" s="4"/>
      <x:c r="FJ458" s="4"/>
      <x:c r="FK458" s="4"/>
      <x:c r="FL458" s="4"/>
      <x:c r="FM458" s="4"/>
      <x:c r="FN458" s="4"/>
      <x:c r="FO458" s="4"/>
      <x:c r="HE458" t="str">
        <x:f>IF('Calculations'!EM458="","",IF(IFERROR(IF(INDEX(INDIRECT("'WCM Calibration Final'!$A$1:$A$2000"),'Calculations'!$EM458)="","",TRIM(INDEX(INDIRECT("'WCM Calibration Final'!$A$1:$A$2000"),'Calculations'!$EM458)&amp;"")),"")&lt;&gt;"","G:"&amp;IFERROR(TEXT(1*INDEX(INDIRECT("'WCM Calibration Final'!$A$1:$A$2000"),'Calculations'!$EM458),"0"),UPPER(IFERROR(IF(INDEX(INDIRECT("'WCM Calibration Final'!$A$1:$A$2000"),'Calculations'!$EM458)="","",TRIM(INDEX(INDIRECT("'WCM Calibration Final'!$A$1:$A$2000"),'Calculations'!$EM458)&amp;"")),""))),IF(IFERROR(IF(INDEX(INDIRECT("'WCM Calibration Final'!$C$1:$C$2000"),'Calculations'!$EM458)="","",TRIM(INDEX(INDIRECT("'WCM Calibration Final'!$C$1:$C$2000"),'Calculations'!$EM458)&amp;"")),"")&lt;&gt;"","S:"&amp;UPPER(IFERROR(IF(INDEX(INDIRECT("'WCM Calibration Final'!$C$1:$C$2000"),'Calculations'!$EM458)="","",TRIM(INDEX(INDIRECT("'WCM Calibration Final'!$C$1:$C$2000"),'Calculations'!$EM458)&amp;"")),"")),"R:"&amp;'Calculations'!EM458)))</x:f>
      </x:c>
      <x:c r="HF458" t="str">
        <x:f>IF('Calculations'!EM458="","",IF(IFERROR(IF(INDEX(INDIRECT("'WCM Calibration Final'!$D$1:$D$2000"),'Calculations'!$EM458)="","",TRIM(INDEX(INDIRECT("'WCM Calibration Final'!$D$1:$D$2000"),'Calculations'!$EM458)&amp;"")),"")&lt;&gt;"","G:"&amp;IFERROR(TEXT(1*INDEX(INDIRECT("'WCM Calibration Final'!$D$1:$D$2000"),'Calculations'!$EM458),"0"),UPPER(IFERROR(IF(INDEX(INDIRECT("'WCM Calibration Final'!$D$1:$D$2000"),'Calculations'!$EM458)="","",TRIM(INDEX(INDIRECT("'WCM Calibration Final'!$D$1:$D$2000"),'Calculations'!$EM458)&amp;"")),""))),IF(IFERROR(IF(INDEX(INDIRECT("'WCM Calibration Final'!$E$1:$E$2000"),'Calculations'!$EM458)="","",TRIM(INDEX(INDIRECT("'WCM Calibration Final'!$E$1:$E$2000"),'Calculations'!$EM458)&amp;"")),"")="","",IF(COUNTIF('Calculations'!$HG$13:$HG$512,"="&amp;SUBSTITUTE(SUBSTITUTE(SUBSTITUTE(IFERROR(IF(INDEX(INDIRECT("'WCM Calibration Final'!$E$1:$E$2000"),'Calculations'!$EM458)="","",TRIM(INDEX(INDIRECT("'WCM Calibration Final'!$E$1:$E$2000"),'Calculations'!$EM458)&amp;"")),""),"~","~~"),"*","~*"),"?","~?"))=1,INDEX('Calculations'!$HE$13:$HE$512,MATCH(IFERROR(IF(INDEX(INDIRECT("'WCM Calibration Final'!$E$1:$E$2000"),'Calculations'!$EM458)="","",TRIM(INDEX(INDIRECT("'WCM Calibration Final'!$E$1:$E$2000"),'Calculations'!$EM458)&amp;"")),""),'Calculations'!$HG$13:$HG$512,0)),IF(COUNTIF('Calculations'!$HG$13:$HG$512,"="&amp;SUBSTITUTE(SUBSTITUTE(SUBSTITUTE(IFERROR(IF(INDEX(INDIRECT("'WCM Calibration Final'!$E$1:$E$2000"),'Calculations'!$EM458)="","",TRIM(INDEX(INDIRECT("'WCM Calibration Final'!$E$1:$E$2000"),'Calculations'!$EM458)&amp;"")),""),"~","~~"),"*","~*"),"?","~?"))&gt;1,"!AMBIG","X:"&amp;IFERROR(IF(INDEX(INDIRECT("'WCM Calibration Final'!$E$1:$E$2000"),'Calculations'!$EM458)="","",TRIM(INDEX(INDIRECT("'WCM Calibration Final'!$E$1:$E$2000"),'Calculations'!$EM458)&amp;"")),""))))))</x:f>
      </x:c>
      <x:c r="HG458" t="str">
        <x:f>IF('Calculations'!EM458="","",IFERROR(IF(INDEX(INDIRECT("'WCM Calibration Final'!$B$1:$B$2000"),'Calculations'!$EM458)="","",TRIM(INDEX(INDIRECT("'WCM Calibration Final'!$B$1:$B$2000"),'Calculations'!$EM458)&amp;"")),""))</x:f>
      </x:c>
      <x:c r="HH458" t="n">
        <x:f>IF(AND('Calculations'!JC458&gt;0,COUNTIF('Calculations'!$HF$12:HF458,"="&amp;SUBSTITUTE(SUBSTITUTE(SUBSTITUTE('Calculations'!HF458,"~","~~"),"*","~*"),"?","~?"))=1),MAX('Calculations'!$HH$12:HH457)+1,0)</x:f>
        <x:v>0</x:v>
      </x:c>
      <x:c r="HI458" t="n">
        <x:f>IF(AND('Calculations'!HN458&lt;&gt;"",COUNTIF('Calculations'!$HN$12:HN458,"="&amp;SUBSTITUTE(SUBSTITUTE(SUBSTITUTE('Calculations'!HN458,"~","~~"),"*","~*"),"?","~?"))=1),MAX('Calculations'!$HI$12:HI457)+1,0)</x:f>
        <x:v>0</x:v>
      </x:c>
      <x:c r="HJ458" t="str">
        <x:f>IF('Calculations'!HF458="","",IF(COUNTIF('Calculations'!$HE$13:$HE$512,"="&amp;SUBSTITUTE(SUBSTITUTE(SUBSTITUTE('Calculations'!HF458,"~","~~"),"*","~*"),"?","~?"))=1,INDEX('Calculations'!$HK$13:$HK$512,MATCH('Calculations'!HF458,'Calculations'!$HE$13:$HE$512,0)),IFERROR(IF(INDEX(INDIRECT("'WCM Calibration Final'!$E$1:$E$2000"),'Calculations'!$EM458)="","",TRIM(INDEX(INDIRECT("'WCM Calibration Final'!$E$1:$E$2000"),'Calculations'!$EM458)&amp;"")),"")&amp;" ["&amp;'Calculations'!HF458&amp;"]"))</x:f>
      </x:c>
      <x:c r="HK458" t="str">
        <x:f>IF('Calculations'!EM458="","",'Calculations'!HG458&amp;" ["&amp;'Calculations'!HE458&amp;"]")</x:f>
      </x:c>
      <x:c r="HL458" t="n">
        <x:f>IF('Calculations'!EM458="",0,IF(OR('Calculations'!II458&lt;&gt;"",COUNTIF('Calculations'!$HE$13:$HE$512,"="&amp;SUBSTITUTE(SUBSTITUTE(SUBSTITUTE('Calculations'!HE458,"~","~~"),"*","~*"),"?","~?"))&gt;1),1,0))</x:f>
        <x:v>0</x:v>
      </x:c>
      <x:c r="HM458" t="str">
        <x:f>IF('Calculations'!EM458="","",IF('Calculations'!HL458=1,"!UNRESOLVED",IF('Calculations'!IH458&lt;&gt;"",'Calculations'!IH458,IF('Calculations'!IG458&lt;&gt;"",'Calculations'!IG458,IF('Calculations'!IF458&lt;&gt;"",'Calculations'!IF458,IF('Calculations'!IE458&lt;&gt;"",'Calculations'!IE458,IF('Calculations'!ID458&lt;&gt;"",'Calculations'!ID458,IF('Calculations'!IC458&lt;&gt;"",'Calculations'!IC458,IF('Calculations'!IB458&lt;&gt;"",'Calculations'!IB458,IF('Calculations'!IA458&lt;&gt;"",'Calculations'!IA458,IF('Calculations'!HZ458&lt;&gt;"",'Calculations'!HZ458,IF('Calculations'!HY458&lt;&gt;"",'Calculations'!HY458,IF('Calculations'!HX458&lt;&gt;"",'Calculations'!HX458,IF('Calculations'!HW458&lt;&gt;"",'Calculations'!HW458,IF('Calculations'!HV458&lt;&gt;"",'Calculations'!HV458,IF('Calculations'!HU458&lt;&gt;"",'Calculations'!HU458,IF('Calculations'!HT458&lt;&gt;"",'Calculations'!HT458,IF('Calculations'!HS458&lt;&gt;"",'Calculations'!HS458,IF('Calculations'!HR458&lt;&gt;"",'Calculations'!HR458,IF('Calculations'!HQ458&lt;&gt;"",'Calculations'!HQ458,IF('Calculations'!HP458&lt;&gt;"",'Calculations'!HP458,IF('Calculations'!HO458&lt;&gt;"",'Calculations'!HO458,'Calculations'!HE458))))))))))))))))))))))</x:f>
      </x:c>
      <x:c r="HN458" t="str">
        <x:f>IF('Calculations'!EM458="","",IF(IFERROR(IF(INDEX(INDIRECT("'WCM Calibration Final'!$F$1:$F$2000"),'Calculations'!$EM458)="","",TRIM(INDEX(INDIRECT("'WCM Calibration Final'!$F$1:$F$2000"),'Calculations'!$EM458)&amp;"")),"")="","(Blank)",IFERROR(IF(INDEX(INDIRECT("'WCM Calibration Final'!$F$1:$F$2000"),'Calculations'!$EM458)="","",TRIM(INDEX(INDIRECT("'WCM Calibration Final'!$F$1:$F$2000"),'Calculations'!$EM458)&amp;"")),"")))</x:f>
      </x:c>
      <x:c r="HO458" t="str">
        <x:f>'Calculations'!HF458</x:f>
      </x:c>
      <x:c r="HP458" t="str">
        <x:f>IF('Calculations'!HO458="","",IF('Calculations'!HO458="!AMBIG","!AMBIG",IF(COUNTIF('Calculations'!$HE$13:$HE$512,"="&amp;SUBSTITUTE(SUBSTITUTE(SUBSTITUTE('Calculations'!HO458,"~","~~"),"*","~*"),"?","~?"))&gt;1,"!AMBIG",IFERROR(INDEX('Calculations'!$HF$13:$HF$512,MATCH('Calculations'!HO458,'Calculations'!$HE$13:$HE$512,0)),""))))</x:f>
      </x:c>
      <x:c r="HQ458" t="str">
        <x:f>IF('Calculations'!HP458="","",IF('Calculations'!HP458="!AMBIG","!AMBIG",IF(COUNTIF('Calculations'!$HE$13:$HE$512,"="&amp;SUBSTITUTE(SUBSTITUTE(SUBSTITUTE('Calculations'!HP458,"~","~~"),"*","~*"),"?","~?"))&gt;1,"!AMBIG",IFERROR(INDEX('Calculations'!$HF$13:$HF$512,MATCH('Calculations'!HP458,'Calculations'!$HE$13:$HE$512,0)),""))))</x:f>
      </x:c>
      <x:c r="HR458" t="str">
        <x:f>IF('Calculations'!HQ458="","",IF('Calculations'!HQ458="!AMBIG","!AMBIG",IF(COUNTIF('Calculations'!$HE$13:$HE$512,"="&amp;SUBSTITUTE(SUBSTITUTE(SUBSTITUTE('Calculations'!HQ458,"~","~~"),"*","~*"),"?","~?"))&gt;1,"!AMBIG",IFERROR(INDEX('Calculations'!$HF$13:$HF$512,MATCH('Calculations'!HQ458,'Calculations'!$HE$13:$HE$512,0)),""))))</x:f>
      </x:c>
      <x:c r="HS458" t="str">
        <x:f>IF('Calculations'!HR458="","",IF('Calculations'!HR458="!AMBIG","!AMBIG",IF(COUNTIF('Calculations'!$HE$13:$HE$512,"="&amp;SUBSTITUTE(SUBSTITUTE(SUBSTITUTE('Calculations'!HR458,"~","~~"),"*","~*"),"?","~?"))&gt;1,"!AMBIG",IFERROR(INDEX('Calculations'!$HF$13:$HF$512,MATCH('Calculations'!HR458,'Calculations'!$HE$13:$HE$512,0)),""))))</x:f>
      </x:c>
      <x:c r="HT458" t="str">
        <x:f>IF('Calculations'!HS458="","",IF('Calculations'!HS458="!AMBIG","!AMBIG",IF(COUNTIF('Calculations'!$HE$13:$HE$512,"="&amp;SUBSTITUTE(SUBSTITUTE(SUBSTITUTE('Calculations'!HS458,"~","~~"),"*","~*"),"?","~?"))&gt;1,"!AMBIG",IFERROR(INDEX('Calculations'!$HF$13:$HF$512,MATCH('Calculations'!HS458,'Calculations'!$HE$13:$HE$512,0)),""))))</x:f>
      </x:c>
      <x:c r="HU458" t="str">
        <x:f>IF('Calculations'!HT458="","",IF('Calculations'!HT458="!AMBIG","!AMBIG",IF(COUNTIF('Calculations'!$HE$13:$HE$512,"="&amp;SUBSTITUTE(SUBSTITUTE(SUBSTITUTE('Calculations'!HT458,"~","~~"),"*","~*"),"?","~?"))&gt;1,"!AMBIG",IFERROR(INDEX('Calculations'!$HF$13:$HF$512,MATCH('Calculations'!HT458,'Calculations'!$HE$13:$HE$512,0)),""))))</x:f>
      </x:c>
      <x:c r="HV458" t="str">
        <x:f>IF('Calculations'!HU458="","",IF('Calculations'!HU458="!AMBIG","!AMBIG",IF(COUNTIF('Calculations'!$HE$13:$HE$512,"="&amp;SUBSTITUTE(SUBSTITUTE(SUBSTITUTE('Calculations'!HU458,"~","~~"),"*","~*"),"?","~?"))&gt;1,"!AMBIG",IFERROR(INDEX('Calculations'!$HF$13:$HF$512,MATCH('Calculations'!HU458,'Calculations'!$HE$13:$HE$512,0)),""))))</x:f>
      </x:c>
      <x:c r="HW458" t="str">
        <x:f>IF('Calculations'!HV458="","",IF('Calculations'!HV458="!AMBIG","!AMBIG",IF(COUNTIF('Calculations'!$HE$13:$HE$512,"="&amp;SUBSTITUTE(SUBSTITUTE(SUBSTITUTE('Calculations'!HV458,"~","~~"),"*","~*"),"?","~?"))&gt;1,"!AMBIG",IFERROR(INDEX('Calculations'!$HF$13:$HF$512,MATCH('Calculations'!HV458,'Calculations'!$HE$13:$HE$512,0)),""))))</x:f>
      </x:c>
      <x:c r="HX458" t="str">
        <x:f>IF('Calculations'!HW458="","",IF('Calculations'!HW458="!AMBIG","!AMBIG",IF(COUNTIF('Calculations'!$HE$13:$HE$512,"="&amp;SUBSTITUTE(SUBSTITUTE(SUBSTITUTE('Calculations'!HW458,"~","~~"),"*","~*"),"?","~?"))&gt;1,"!AMBIG",IFERROR(INDEX('Calculations'!$HF$13:$HF$512,MATCH('Calculations'!HW458,'Calculations'!$HE$13:$HE$512,0)),""))))</x:f>
      </x:c>
      <x:c r="HY458" t="str">
        <x:f>IF('Calculations'!HX458="","",IF('Calculations'!HX458="!AMBIG","!AMBIG",IF(COUNTIF('Calculations'!$HE$13:$HE$512,"="&amp;SUBSTITUTE(SUBSTITUTE(SUBSTITUTE('Calculations'!HX458,"~","~~"),"*","~*"),"?","~?"))&gt;1,"!AMBIG",IFERROR(INDEX('Calculations'!$HF$13:$HF$512,MATCH('Calculations'!HX458,'Calculations'!$HE$13:$HE$512,0)),""))))</x:f>
      </x:c>
      <x:c r="HZ458" t="str">
        <x:f>IF('Calculations'!HY458="","",IF('Calculations'!HY458="!AMBIG","!AMBIG",IF(COUNTIF('Calculations'!$HE$13:$HE$512,"="&amp;SUBSTITUTE(SUBSTITUTE(SUBSTITUTE('Calculations'!HY458,"~","~~"),"*","~*"),"?","~?"))&gt;1,"!AMBIG",IFERROR(INDEX('Calculations'!$HF$13:$HF$512,MATCH('Calculations'!HY458,'Calculations'!$HE$13:$HE$512,0)),""))))</x:f>
      </x:c>
      <x:c r="IA458" t="str">
        <x:f>IF('Calculations'!HZ458="","",IF('Calculations'!HZ458="!AMBIG","!AMBIG",IF(COUNTIF('Calculations'!$HE$13:$HE$512,"="&amp;SUBSTITUTE(SUBSTITUTE(SUBSTITUTE('Calculations'!HZ458,"~","~~"),"*","~*"),"?","~?"))&gt;1,"!AMBIG",IFERROR(INDEX('Calculations'!$HF$13:$HF$512,MATCH('Calculations'!HZ458,'Calculations'!$HE$13:$HE$512,0)),""))))</x:f>
      </x:c>
      <x:c r="IB458" t="str">
        <x:f>IF('Calculations'!IA458="","",IF('Calculations'!IA458="!AMBIG","!AMBIG",IF(COUNTIF('Calculations'!$HE$13:$HE$512,"="&amp;SUBSTITUTE(SUBSTITUTE(SUBSTITUTE('Calculations'!IA458,"~","~~"),"*","~*"),"?","~?"))&gt;1,"!AMBIG",IFERROR(INDEX('Calculations'!$HF$13:$HF$512,MATCH('Calculations'!IA458,'Calculations'!$HE$13:$HE$512,0)),""))))</x:f>
      </x:c>
      <x:c r="IC458" t="str">
        <x:f>IF('Calculations'!IB458="","",IF('Calculations'!IB458="!AMBIG","!AMBIG",IF(COUNTIF('Calculations'!$HE$13:$HE$512,"="&amp;SUBSTITUTE(SUBSTITUTE(SUBSTITUTE('Calculations'!IB458,"~","~~"),"*","~*"),"?","~?"))&gt;1,"!AMBIG",IFERROR(INDEX('Calculations'!$HF$13:$HF$512,MATCH('Calculations'!IB458,'Calculations'!$HE$13:$HE$512,0)),""))))</x:f>
      </x:c>
      <x:c r="ID458" t="str">
        <x:f>IF('Calculations'!IC458="","",IF('Calculations'!IC458="!AMBIG","!AMBIG",IF(COUNTIF('Calculations'!$HE$13:$HE$512,"="&amp;SUBSTITUTE(SUBSTITUTE(SUBSTITUTE('Calculations'!IC458,"~","~~"),"*","~*"),"?","~?"))&gt;1,"!AMBIG",IFERROR(INDEX('Calculations'!$HF$13:$HF$512,MATCH('Calculations'!IC458,'Calculations'!$HE$13:$HE$512,0)),""))))</x:f>
      </x:c>
      <x:c r="IE458" t="str">
        <x:f>IF('Calculations'!ID458="","",IF('Calculations'!ID458="!AMBIG","!AMBIG",IF(COUNTIF('Calculations'!$HE$13:$HE$512,"="&amp;SUBSTITUTE(SUBSTITUTE(SUBSTITUTE('Calculations'!ID458,"~","~~"),"*","~*"),"?","~?"))&gt;1,"!AMBIG",IFERROR(INDEX('Calculations'!$HF$13:$HF$512,MATCH('Calculations'!ID458,'Calculations'!$HE$13:$HE$512,0)),""))))</x:f>
      </x:c>
      <x:c r="IF458" t="str">
        <x:f>IF('Calculations'!IE458="","",IF('Calculations'!IE458="!AMBIG","!AMBIG",IF(COUNTIF('Calculations'!$HE$13:$HE$512,"="&amp;SUBSTITUTE(SUBSTITUTE(SUBSTITUTE('Calculations'!IE458,"~","~~"),"*","~*"),"?","~?"))&gt;1,"!AMBIG",IFERROR(INDEX('Calculations'!$HF$13:$HF$512,MATCH('Calculations'!IE458,'Calculations'!$HE$13:$HE$512,0)),""))))</x:f>
      </x:c>
      <x:c r="IG458" t="str">
        <x:f>IF('Calculations'!IF458="","",IF('Calculations'!IF458="!AMBIG","!AMBIG",IF(COUNTIF('Calculations'!$HE$13:$HE$512,"="&amp;SUBSTITUTE(SUBSTITUTE(SUBSTITUTE('Calculations'!IF458,"~","~~"),"*","~*"),"?","~?"))&gt;1,"!AMBIG",IFERROR(INDEX('Calculations'!$HF$13:$HF$512,MATCH('Calculations'!IF458,'Calculations'!$HE$13:$HE$512,0)),""))))</x:f>
      </x:c>
      <x:c r="IH458" t="str">
        <x:f>IF('Calculations'!IG458="","",IF('Calculations'!IG458="!AMBIG","!AMBIG",IF(COUNTIF('Calculations'!$HE$13:$HE$512,"="&amp;SUBSTITUTE(SUBSTITUTE(SUBSTITUTE('Calculations'!IG458,"~","~~"),"*","~*"),"?","~?"))&gt;1,"!AMBIG",IFERROR(INDEX('Calculations'!$HF$13:$HF$512,MATCH('Calculations'!IG458,'Calculations'!$HE$13:$HE$512,0)),""))))</x:f>
      </x:c>
      <x:c r="II458" t="str">
        <x:f>IF('Calculations'!IH458="","",IF('Calculations'!IH458="!AMBIG","!AMBIG",IF(COUNTIF('Calculations'!$HE$13:$HE$512,"="&amp;SUBSTITUTE(SUBSTITUTE(SUBSTITUTE('Calculations'!IH458,"~","~~"),"*","~*"),"?","~?"))&gt;1,"!AMBIG",IFERROR(INDEX('Calculations'!$HF$13:$HF$512,MATCH('Calculations'!IH458,'Calculations'!$HE$13:$HE$512,0)),""))))</x:f>
      </x:c>
      <x:c r="IJ458" t="str">
        <x:f>IF('Calculations'!EM458="","",IF('Calculations'!$EF$2="All",'Calculations'!HM458,IF('Calculations'!HL458=1,"",IFERROR(IF(MATCH('Calculations'!$EF$2,'Calculations'!HO458:II458,0)=1,'Calculations'!HE458,INDEX('Calculations'!HO458:II458,1,MATCH('Calculations'!$EF$2,'Calculations'!HO458:II458,0)-1)),""))))</x:f>
      </x:c>
      <x:c r="IK458" t="n">
        <x:f>IF(AND('Calculations'!EM458&lt;&gt;"",'Calculations'!$EF$2&lt;&gt;"All",'Calculations'!HF458='Calculations'!$EF$2,'Calculations'!HL458=0,'Calculations'!JD458&gt;0),MAX('Calculations'!$IK$12:IK457)+1,0)</x:f>
        <x:v>0</x:v>
      </x:c>
      <x:c r="JA458" t="n">
        <x:f>IF(OR(IFERROR(INDIRECT("'WCM Calibration Final'!$A$458")&lt;&gt;"",FALSE),IFERROR(INDIRECT("'WCM Calibration Final'!$B$458")&lt;&gt;"",FALSE),IFERROR(INDIRECT("'WCM Calibration Final'!$C$458")&lt;&gt;"",FALSE)),458,0)</x:f>
        <x:v>0</x:v>
      </x:c>
      <x:c r="JB458" t="n">
        <x:f>'Calculations'!JB457+IF('Calculations'!JA458&gt;0,1,0)</x:f>
        <x:v>0</x:v>
      </x:c>
      <x:c r="JC458" t="n">
        <x:f>IF(OR('Calculations'!HF458="",'Calculations'!HF458="!AMBIG"),0,IF('Dashboard'!$B$7="All",1,COUNTIFS('Calculations'!$HO$13:$HO$512,"="&amp;SUBSTITUTE(SUBSTITUTE(SUBSTITUTE('Calculations'!HF458,"~","~~"),"*","~*"),"?","~?"),'Calculations'!$HN$13:$HN$512,"="&amp;SUBSTITUTE(SUBSTITUTE(SUBSTITUTE('Dashboard'!$B$7,"~","~~"),"*","~*"),"?","~?"))+COUNTIFS('Calculations'!$HP$13:$HP$512,"="&amp;SUBSTITUTE(SUBSTITUTE(SUBSTITUTE('Calculations'!HF458,"~","~~"),"*","~*"),"?","~?"),'Calculations'!$HN$13:$HN$512,"="&amp;SUBSTITUTE(SUBSTITUTE(SUBSTITUTE('Dashboard'!$B$7,"~","~~"),"*","~*"),"?","~?"))+COUNTIFS('Calculations'!$HQ$13:$HQ$512,"="&amp;SUBSTITUTE(SUBSTITUTE(SUBSTITUTE('Calculations'!HF458,"~","~~"),"*","~*"),"?","~?"),'Calculations'!$HN$13:$HN$512,"="&amp;SUBSTITUTE(SUBSTITUTE(SUBSTITUTE('Dashboard'!$B$7,"~","~~"),"*","~*"),"?","~?"))+COUNTIFS('Calculations'!$HR$13:$HR$512,"="&amp;SUBSTITUTE(SUBSTITUTE(SUBSTITUTE('Calculations'!HF458,"~","~~"),"*","~*"),"?","~?"),'Calculations'!$HN$13:$HN$512,"="&amp;SUBSTITUTE(SUBSTITUTE(SUBSTITUTE('Dashboard'!$B$7,"~","~~"),"*","~*"),"?","~?"))+COUNTIFS('Calculations'!$HS$13:$HS$512,"="&amp;SUBSTITUTE(SUBSTITUTE(SUBSTITUTE('Calculations'!HF458,"~","~~"),"*","~*"),"?","~?"),'Calculations'!$HN$13:$HN$512,"="&amp;SUBSTITUTE(SUBSTITUTE(SUBSTITUTE('Dashboard'!$B$7,"~","~~"),"*","~*"),"?","~?"))+COUNTIFS('Calculations'!$HT$13:$HT$512,"="&amp;SUBSTITUTE(SUBSTITUTE(SUBSTITUTE('Calculations'!HF458,"~","~~"),"*","~*"),"?","~?"),'Calculations'!$HN$13:$HN$512,"="&amp;SUBSTITUTE(SUBSTITUTE(SUBSTITUTE('Dashboard'!$B$7,"~","~~"),"*","~*"),"?","~?"))+COUNTIFS('Calculations'!$HU$13:$HU$512,"="&amp;SUBSTITUTE(SUBSTITUTE(SUBSTITUTE('Calculations'!HF458,"~","~~"),"*","~*"),"?","~?"),'Calculations'!$HN$13:$HN$512,"="&amp;SUBSTITUTE(SUBSTITUTE(SUBSTITUTE('Dashboard'!$B$7,"~","~~"),"*","~*"),"?","~?"))+COUNTIFS('Calculations'!$HV$13:$HV$512,"="&amp;SUBSTITUTE(SUBSTITUTE(SUBSTITUTE('Calculations'!HF458,"~","~~"),"*","~*"),"?","~?"),'Calculations'!$HN$13:$HN$512,"="&amp;SUBSTITUTE(SUBSTITUTE(SUBSTITUTE('Dashboard'!$B$7,"~","~~"),"*","~*"),"?","~?"))+COUNTIFS('Calculations'!$HW$13:$HW$512,"="&amp;SUBSTITUTE(SUBSTITUTE(SUBSTITUTE('Calculations'!HF458,"~","~~"),"*","~*"),"?","~?"),'Calculations'!$HN$13:$HN$512,"="&amp;SUBSTITUTE(SUBSTITUTE(SUBSTITUTE('Dashboard'!$B$7,"~","~~"),"*","~*"),"?","~?"))+COUNTIFS('Calculations'!$HX$13:$HX$512,"="&amp;SUBSTITUTE(SUBSTITUTE(SUBSTITUTE('Calculations'!HF458,"~","~~"),"*","~*"),"?","~?"),'Calculations'!$HN$13:$HN$512,"="&amp;SUBSTITUTE(SUBSTITUTE(SUBSTITUTE('Dashboard'!$B$7,"~","~~"),"*","~*"),"?","~?"))+COUNTIFS('Calculations'!$HY$13:$HY$512,"="&amp;SUBSTITUTE(SUBSTITUTE(SUBSTITUTE('Calculations'!HF458,"~","~~"),"*","~*"),"?","~?"),'Calculations'!$HN$13:$HN$512,"="&amp;SUBSTITUTE(SUBSTITUTE(SUBSTITUTE('Dashboard'!$B$7,"~","~~"),"*","~*"),"?","~?"))+COUNTIFS('Calculations'!$HZ$13:$HZ$512,"="&amp;SUBSTITUTE(SUBSTITUTE(SUBSTITUTE('Calculations'!HF458,"~","~~"),"*","~*"),"?","~?"),'Calculations'!$HN$13:$HN$512,"="&amp;SUBSTITUTE(SUBSTITUTE(SUBSTITUTE('Dashboard'!$B$7,"~","~~"),"*","~*"),"?","~?"))+COUNTIFS('Calculations'!$IA$13:$IA$512,"="&amp;SUBSTITUTE(SUBSTITUTE(SUBSTITUTE('Calculations'!HF458,"~","~~"),"*","~*"),"?","~?"),'Calculations'!$HN$13:$HN$512,"="&amp;SUBSTITUTE(SUBSTITUTE(SUBSTITUTE('Dashboard'!$B$7,"~","~~"),"*","~*"),"?","~?"))+COUNTIFS('Calculations'!$IB$13:$IB$512,"="&amp;SUBSTITUTE(SUBSTITUTE(SUBSTITUTE('Calculations'!HF458,"~","~~"),"*","~*"),"?","~?"),'Calculations'!$HN$13:$HN$512,"="&amp;SUBSTITUTE(SUBSTITUTE(SUBSTITUTE('Dashboard'!$B$7,"~","~~"),"*","~*"),"?","~?"))+COUNTIFS('Calculations'!$IC$13:$IC$512,"="&amp;SUBSTITUTE(SUBSTITUTE(SUBSTITUTE('Calculations'!HF458,"~","~~"),"*","~*"),"?","~?"),'Calculations'!$HN$13:$HN$512,"="&amp;SUBSTITUTE(SUBSTITUTE(SUBSTITUTE('Dashboard'!$B$7,"~","~~"),"*","~*"),"?","~?"))+COUNTIFS('Calculations'!$ID$13:$ID$512,"="&amp;SUBSTITUTE(SUBSTITUTE(SUBSTITUTE('Calculations'!HF458,"~","~~"),"*","~*"),"?","~?"),'Calculations'!$HN$13:$HN$512,"="&amp;SUBSTITUTE(SUBSTITUTE(SUBSTITUTE('Dashboard'!$B$7,"~","~~"),"*","~*"),"?","~?"))+COUNTIFS('Calculations'!$IE$13:$IE$512,"="&amp;SUBSTITUTE(SUBSTITUTE(SUBSTITUTE('Calculations'!HF458,"~","~~"),"*","~*"),"?","~?"),'Calculations'!$HN$13:$HN$512,"="&amp;SUBSTITUTE(SUBSTITUTE(SUBSTITUTE('Dashboard'!$B$7,"~","~~"),"*","~*"),"?","~?"))+COUNTIFS('Calculations'!$IF$13:$IF$512,"="&amp;SUBSTITUTE(SUBSTITUTE(SUBSTITUTE('Calculations'!HF458,"~","~~"),"*","~*"),"?","~?"),'Calculations'!$HN$13:$HN$512,"="&amp;SUBSTITUTE(SUBSTITUTE(SUBSTITUTE('Dashboard'!$B$7,"~","~~"),"*","~*"),"?","~?"))+COUNTIFS('Calculations'!$IG$13:$IG$512,"="&amp;SUBSTITUTE(SUBSTITUTE(SUBSTITUTE('Calculations'!HF458,"~","~~"),"*","~*"),"?","~?"),'Calculations'!$HN$13:$HN$512,"="&amp;SUBSTITUTE(SUBSTITUTE(SUBSTITUTE('Dashboard'!$B$7,"~","~~"),"*","~*"),"?","~?"))+COUNTIFS('Calculations'!$IH$13:$IH$512,"="&amp;SUBSTITUTE(SUBSTITUTE(SUBSTITUTE('Calculations'!HF458,"~","~~"),"*","~*"),"?","~?"),'Calculations'!$HN$13:$HN$512,"="&amp;SUBSTITUTE(SUBSTITUTE(SUBSTITUTE('Dashboard'!$B$7,"~","~~"),"*","~*"),"?","~?"))))</x:f>
        <x:v>0</x:v>
      </x:c>
      <x:c r="JD458" t="n">
        <x:f>IF('Calculations'!EM458="",0,IF('Dashboard'!$B$7="All",1,IF('Calculations'!HN458='Dashboard'!$B$7,1,0)+IFERROR(INDEX('Calculations'!$JC$13:$JC$512,MATCH('Calculations'!HE458,'Calculations'!$HF$13:$HF$512,0)),0)))</x:f>
        <x:v>0</x:v>
      </x:c>
      <x:c r="JE458" t="n">
        <x:f>IF(AND('Calculations'!EM458&lt;&gt;"",'Calculations'!$JJ$2&lt;&gt;"All",'Calculations'!$JJ$2&lt;&gt;"",'Calculations'!HF458='Calculations'!$JJ$2,'Calculations'!HL458=0,'Calculations'!JD458&gt;0),MAX('Calculations'!$JE$12:JE457)+1,0)</x:f>
        <x:v>0</x:v>
      </x:c>
      <x:c r="JF458" t="str">
        <x:f>IF('Calculations'!EM458="","",IFERROR(IF(INDEX(INDIRECT("'WCM Calibration Final'!$G$1:$G$2000"),'Calculations'!$EM458)="","",TRIM(INDEX(INDIRECT("'WCM Calibration Final'!$G$1:$G$2000"),'Calculations'!$EM458)&amp;"")),""))</x:f>
      </x:c>
      <x:c r="JQ458" t="n">
        <x:f>IF(OR('Calculations'!BM458=0,NOT('Calculations'!$AG$2),'Calculations'!$AG$8&gt;0),0,IF(OR('Dashboard'!$B$7="All",'Calculations'!HN458='Dashboard'!$B$7),IF('Calculations'!$JJ$2="All",1,IF(AND('Calculations'!HF458='Calculations'!$JJ$2,'Calculations'!HL458=0),1,0)),0))</x:f>
        <x:v>0</x:v>
      </x:c>
    </x:row>
    <x:row r="459">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t="n">
        <x:f>IF('Calculations'!$EM459="",0,IF(OR(IFERROR(INDEX(INDIRECT("'WCM Calibration Final'!$A$1:$A$2000"),'Calculations'!$EM459)&lt;&gt;"",FALSE),IFERROR(INDEX(INDIRECT("'WCM Calibration Final'!$B$1:$B$2000"),'Calculations'!$EM459)&lt;&gt;"",FALSE),IFERROR(INDEX(INDIRECT("'WCM Calibration Final'!$C$1:$C$2000"),'Calculations'!$EM459)&lt;&gt;"",FALSE)),1,0))</x:f>
        <x:v>0</x:v>
      </x:c>
      <x:c r="BN459" s="4" t="n">
        <x:f>IF(AND('Calculations'!BM459=1,'Calculations'!$AG$2,'Calculations'!$EN459=1),1,0)</x:f>
        <x:v>0</x:v>
      </x:c>
      <x:c r="BO459" s="4" t="str">
        <x:f>IF('Calculations'!BM459=0,"",IFERROR(IF(AND(VALUE(INDEX(INDIRECT("'WCM Calibration Final'!$K$1:$K$2000"),'Calculations'!$EM459))&gt;=1,VALUE(INDEX(INDIRECT("'WCM Calibration Final'!$K$1:$K$2000"),'Calculations'!$EM459))&lt;=4,MOD(VALUE(INDEX(INDIRECT("'WCM Calibration Final'!$K$1:$K$2000"),'Calculations'!$EM459)),1)=0),VALUE(INDEX(INDIRECT("'WCM Calibration Final'!$K$1:$K$2000"),'Calculations'!$EM459)),""),""))</x:f>
      </x:c>
      <x:c r="BP459" s="4" t="str">
        <x:f>IF('Calculations'!BM459=0,"",IFERROR(IF(AND(VALUE(INDEX(INDIRECT("'WCM Calibration Final'!$L$1:$L$2000"),'Calculations'!$EM459))&gt;=1,VALUE(INDEX(INDIRECT("'WCM Calibration Final'!$L$1:$L$2000"),'Calculations'!$EM459))&lt;=4,MOD(VALUE(INDEX(INDIRECT("'WCM Calibration Final'!$L$1:$L$2000"),'Calculations'!$EM459)),1)=0),VALUE(INDEX(INDIRECT("'WCM Calibration Final'!$L$1:$L$2000"),'Calculations'!$EM459)),""),""))</x:f>
      </x:c>
      <x:c r="BQ459" s="4"/>
      <x:c r="BR459" s="4"/>
      <x:c r="BS459" s="4"/>
      <x:c r="BT459" s="4" t="n">
        <x:f>IF(AND('Calculations'!BM459=1,ISNUMBER('Calculations'!BO459),ISNUMBER('Calculations'!BP459)),1,0)</x:f>
        <x:v>0</x:v>
      </x:c>
      <x:c r="BU459" s="4" t="str">
        <x:f>IF('Calculations'!BM459=0,"",'Calculations'!$EO459)</x:f>
      </x:c>
      <x:c r="BV459" s="4" t="str">
        <x:f>IF('Calculations'!BM459=0,"",IFERROR(IF(OR(INDEX(INDIRECT("'WCM Calibration Final'!$H$1:$H$2000"),'Calculations'!$EM459)="MANAGING DIRECTOR",INDEX(INDIRECT("'WCM Calibration Final'!$H$1:$H$2000"),'Calculations'!$EM459)="DIRECTOR",INDEX(INDIRECT("'WCM Calibration Final'!$H$1:$H$2000"),'Calculations'!$EM459)="SENIOR VICE PRESIDENT",INDEX(INDIRECT("'WCM Calibration Final'!$H$1:$H$2000"),'Calculations'!$EM459)="VICE PRESIDENT",INDEX(INDIRECT("'WCM Calibration Final'!$H$1:$H$2000"),'Calculations'!$EM459)="ASSISTANT VICE PRESIDENT",INDEX(INDIRECT("'WCM Calibration Final'!$H$1:$H$2000"),'Calculations'!$EM459)="OFFICER"),UPPER(INDEX(INDIRECT("'WCM Calibration Final'!$H$1:$H$2000"),'Calculations'!$EM459)),"Other"),"Other"))</x:f>
      </x:c>
      <x:c r="BW459" s="4"/>
      <x:c r="BX459" s="4"/>
      <x:c r="BY459" s="4" t="n">
        <x:f>IF(AND('Calculations'!BM459=1,'Calculations'!BU459&lt;&gt;"",COUNTIF('Calculations'!$BU$12:BU459,'Calculations'!BU459)=1),MAX('Calculations'!$BY$11:BY458)+1,0)</x:f>
        <x:v>0</x:v>
      </x:c>
      <x:c r="BZ459" s="4" t="str">
        <x:f>IF('Dashboard'!$E$67="What",'Calculations'!BO459,'Calculations'!BP459)</x:f>
      </x:c>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t="str">
        <x:f>IF(448&gt;MAX('Calculations'!$HI$13:$HI$512),"",INDEX('Calculations'!$HN$13:$HN$512,MATCH(448,'Calculations'!$HI$13:$HI$512,0)))</x:f>
      </x:c>
      <x:c r="DB459" s="4" t="str">
        <x:f>IF(448&gt;MAX('Calculations'!$HH$13:$HH$512),"",INDEX('Calculations'!$HJ$13:$HJ$512,MATCH(448,'Calculations'!$HH$13:$HH$512,0)))</x:f>
      </x:c>
      <x:c r="DC459" s="4" t="str">
        <x:f>IF(ROW()-11&gt;MAX('Calculations'!$BY$13:$BY$512),"",INDEX('Calculations'!$BU$13:$BU$512,MATCH(ROW()-11,'Calculations'!$BY$13:$BY$512,0)))</x:f>
      </x:c>
      <x:c r="DD459" s="4" t="str">
        <x:f>IF(448&gt;MAX('Calculations'!$IK$13:$IK$512),"",INDEX('Calculations'!$HK$13:$HK$512,MATCH(448,'Calculations'!$IK$13:$IK$512,0)))</x:f>
      </x:c>
      <x:c r="DE459" s="4" t="str">
        <x:f>'Calculations'!DC459</x:f>
      </x:c>
      <x:c r="DF459" s="4" t="str">
        <x:f>IF('Calculations'!DE459="","",COUNTIFS('Calculations'!$BN$13:$BN$512,1,'Calculations'!$BU$13:$BU$512,'Calculations'!DE459))</x:f>
      </x:c>
      <x:c r="DG459" s="4" t="str">
        <x:f>IF('Calculations'!DE459="","",COUNTIFS('Calculations'!$BN$13:$BN$512,1,'Calculations'!$BU$13:$BU$512,'Calculations'!DE459,'Calculations'!$BT$13:$BT$512,1))</x:f>
      </x:c>
      <x:c r="DH459" s="4" t="str">
        <x:f>IF('Calculations'!DE459="","",'Calculations'!DF459-'Calculations'!DG459)</x:f>
      </x:c>
      <x:c r="DI459" s="4" t="str">
        <x:f>IF(OR('Calculations'!DE459="",'Calculations'!DF459=0),"",'Calculations'!DG459/'Calculations'!DF459)</x:f>
      </x:c>
      <x:c r="DJ459" s="4" t="str">
        <x:f>IF('Calculations'!DE459="","",COUNTIFS('Calculations'!$BN$13:$BN$512,1,'Calculations'!$BU$13:$BU$512,'Calculations'!DE459,'Calculations'!$BT$13:$BT$512,1,'Calculations'!$EE$13:$EE$512,"High"))</x:f>
      </x:c>
      <x:c r="DK459" s="4" t="str">
        <x:f>IF('Calculations'!DE459="","",COUNTIFS('Calculations'!$BN$13:$BN$512,1,'Calculations'!$BU$13:$BU$512,'Calculations'!DE459,'Calculations'!$BT$13:$BT$512,1,'Calculations'!$EE$13:$EE$512,"Strong"))</x:f>
      </x:c>
      <x:c r="DL459" s="4" t="str">
        <x:f>IF('Calculations'!DE459="","",COUNTIFS('Calculations'!$BN$13:$BN$512,1,'Calculations'!$BU$13:$BU$512,'Calculations'!DE459,'Calculations'!$BT$13:$BT$512,1,'Calculations'!$EE$13:$EE$512,"Solid"))</x:f>
      </x:c>
      <x:c r="DM459" s="4" t="str">
        <x:f>IF('Calculations'!DE459="","",COUNTIFS('Calculations'!$BN$13:$BN$512,1,'Calculations'!$BU$13:$BU$512,'Calculations'!DE459,'Calculations'!$BT$13:$BT$512,1,'Calculations'!$EE$13:$EE$512,"Low"))</x:f>
      </x:c>
      <x:c r="DN459" s="4" t="str">
        <x:f>IF('Calculations'!DE459="","",COUNTIFS('Calculations'!$BN$13:$BN$512,1,'Calculations'!$BU$13:$BU$512,'Calculations'!DE459,'Calculations'!$EP$13:$EP$512,1))</x:f>
      </x:c>
      <x:c r="DO459" s="4" t="str">
        <x:f>IF(OR('Calculations'!DE459="",'Calculations'!DG459=0),"",('Calculations'!DJ459+'Calculations'!DK459)/'Calculations'!DG459)</x:f>
      </x:c>
      <x:c r="DP459" s="4" t="n">
        <x:f>IF(AND('Calculations'!DE459&lt;&gt;"",'Calculations'!DF459&gt;0),COUNTIF('Calculations'!$DF$12:DF459,"&gt;0"),0)</x:f>
        <x:v>0</x:v>
      </x:c>
      <x:c r="DQ459" s="4" t="str">
        <x:f>IF(448&gt;MAX('Calculations'!$HH$13:$HH$512),"",INDEX('Calculations'!$HF$13:$HF$512,MATCH(448,'Calculations'!$HH$13:$HH$512,0)))</x:f>
      </x:c>
      <x:c r="DR459" s="4" t="str">
        <x:f>IF(448&gt;MAX('Calculations'!$IK$13:$IK$512),"",INDEX('Calculations'!$HE$13:$HE$512,MATCH(448,'Calculations'!$IK$13:$IK$512,0)))</x:f>
      </x:c>
      <x:c r="DS459" s="4"/>
      <x:c r="DT459" s="4"/>
      <x:c r="DU459" s="4"/>
      <x:c r="DV459" s="4"/>
      <x:c r="DW459" s="4"/>
      <x:c r="DX459" s="4"/>
      <x:c r="DY459" s="4"/>
      <x:c r="DZ459" s="4"/>
      <x:c r="EA459" s="4"/>
      <x:c r="EB459" s="4"/>
      <x:c r="EC459" s="4"/>
      <x:c r="ED459" s="4"/>
      <x:c r="EE459" s="4" t="str">
        <x:f>IF('Calculations'!BT459=0,"Not Rated",IF(OR('Calculations'!BO459&gt;=4,'Calculations'!BP459&gt;=4),"Low",IF('Calculations'!BO459+'Calculations'!BP459&lt;=3,"High",IF('Calculations'!BO459+'Calculations'!BP459&lt;=4,"Strong","Solid"))))</x:f>
        <x:v>Not Rated</x:v>
      </x:c>
      <x:c r="EF459" s="4"/>
      <x:c r="EG459" s="4"/>
      <x:c r="EH459" s="4"/>
      <x:c r="EI459" s="4"/>
      <x:c r="EJ459" s="4"/>
      <x:c r="EK459" s="4"/>
      <x:c r="EL459" s="4"/>
      <x:c r="EM459" s="4" t="str">
        <x:f>IF(447&gt;'Calculations'!$JB$2000,"",INDEX('Calculations'!$JA$12:$JA$2000,MATCH(447,'Calculations'!$JB$12:$JB$2000,0)))</x:f>
      </x:c>
      <x:c r="EN459" s="4" t="n">
        <x:f>IF(OR('Calculations'!EM459="",'Calculations'!$AG$8&gt;0,AND('Calculations'!$EF$2&lt;&gt;"All",'Calculations'!HE459='Calculations'!$EF$2),AND('Calculations'!$EF$3&lt;&gt;"All",'Calculations'!HE459='Calculations'!$EF$3)),0,IF(OR('Dashboard'!$B$7="All",'Calculations'!HN459='Dashboard'!$B$7),IF('Calculations'!$EF$2="All",1,IF('Calculations'!HL459&gt;0,0,IF(COUNTIF('Calculations'!HO459:II459,"="&amp;SUBSTITUTE(SUBSTITUTE(SUBSTITUTE('Calculations'!$EF$2,"~","~~"),"*","~*"),"?","~?"))=0,0,IF('Calculations'!$EF$3="All",1,IF(COUNTIF('Calculations'!HO459:II459,"="&amp;SUBSTITUTE(SUBSTITUTE(SUBSTITUTE('Calculations'!$EF$3,"~","~~"),"*","~*"),"?","~?"))&gt;0,1,0))))),0))</x:f>
        <x:v>0</x:v>
      </x:c>
      <x:c r="EO459" s="4" t="str">
        <x:f>IF('Calculations'!IJ459="","",IF('Calculations'!IJ459="!UNRESOLVED","Unresolved hierarchy",IFERROR(INDEX('Calculations'!$HK$13:$HK$512,MATCH('Calculations'!IJ459,'Calculations'!$HE$13:$HE$512,0)),IFERROR(INDEX('Calculations'!$HJ$13:$HJ$512,MATCH('Calculations'!IJ459,'Calculations'!$HF$13:$HF$512,0)),'Calculations'!IJ459))))</x:f>
      </x:c>
      <x:c r="EP459" s="4" t="n">
        <x:f>IF(AND('Calculations'!EM459&lt;&gt;"",'Calculations'!HF459='Calculations'!IJ459),1,0)</x:f>
        <x:v>0</x:v>
      </x:c>
      <x:c r="EQ459" s="4"/>
      <x:c r="ER459" s="4"/>
      <x:c r="ES459" s="4"/>
      <x:c r="ET459" s="4"/>
      <x:c r="EU459" s="4"/>
      <x:c r="EV459" s="4"/>
      <x:c r="EW459" s="4"/>
      <x:c r="EX459" s="4"/>
      <x:c r="EY459" s="4"/>
      <x:c r="EZ459" s="4"/>
      <x:c r="FA459" s="4"/>
      <x:c r="FB459" s="4"/>
      <x:c r="FC459" s="4"/>
      <x:c r="FD459" s="4"/>
      <x:c r="FE459" s="4"/>
      <x:c r="FF459" s="4"/>
      <x:c r="FG459" s="4"/>
      <x:c r="FH459" s="4"/>
      <x:c r="FI459" s="4"/>
      <x:c r="FJ459" s="4"/>
      <x:c r="FK459" s="4"/>
      <x:c r="FL459" s="4"/>
      <x:c r="FM459" s="4"/>
      <x:c r="FN459" s="4"/>
      <x:c r="FO459" s="4"/>
      <x:c r="HE459" t="str">
        <x:f>IF('Calculations'!EM459="","",IF(IFERROR(IF(INDEX(INDIRECT("'WCM Calibration Final'!$A$1:$A$2000"),'Calculations'!$EM459)="","",TRIM(INDEX(INDIRECT("'WCM Calibration Final'!$A$1:$A$2000"),'Calculations'!$EM459)&amp;"")),"")&lt;&gt;"","G:"&amp;IFERROR(TEXT(1*INDEX(INDIRECT("'WCM Calibration Final'!$A$1:$A$2000"),'Calculations'!$EM459),"0"),UPPER(IFERROR(IF(INDEX(INDIRECT("'WCM Calibration Final'!$A$1:$A$2000"),'Calculations'!$EM459)="","",TRIM(INDEX(INDIRECT("'WCM Calibration Final'!$A$1:$A$2000"),'Calculations'!$EM459)&amp;"")),""))),IF(IFERROR(IF(INDEX(INDIRECT("'WCM Calibration Final'!$C$1:$C$2000"),'Calculations'!$EM459)="","",TRIM(INDEX(INDIRECT("'WCM Calibration Final'!$C$1:$C$2000"),'Calculations'!$EM459)&amp;"")),"")&lt;&gt;"","S:"&amp;UPPER(IFERROR(IF(INDEX(INDIRECT("'WCM Calibration Final'!$C$1:$C$2000"),'Calculations'!$EM459)="","",TRIM(INDEX(INDIRECT("'WCM Calibration Final'!$C$1:$C$2000"),'Calculations'!$EM459)&amp;"")),"")),"R:"&amp;'Calculations'!EM459)))</x:f>
      </x:c>
      <x:c r="HF459" t="str">
        <x:f>IF('Calculations'!EM459="","",IF(IFERROR(IF(INDEX(INDIRECT("'WCM Calibration Final'!$D$1:$D$2000"),'Calculations'!$EM459)="","",TRIM(INDEX(INDIRECT("'WCM Calibration Final'!$D$1:$D$2000"),'Calculations'!$EM459)&amp;"")),"")&lt;&gt;"","G:"&amp;IFERROR(TEXT(1*INDEX(INDIRECT("'WCM Calibration Final'!$D$1:$D$2000"),'Calculations'!$EM459),"0"),UPPER(IFERROR(IF(INDEX(INDIRECT("'WCM Calibration Final'!$D$1:$D$2000"),'Calculations'!$EM459)="","",TRIM(INDEX(INDIRECT("'WCM Calibration Final'!$D$1:$D$2000"),'Calculations'!$EM459)&amp;"")),""))),IF(IFERROR(IF(INDEX(INDIRECT("'WCM Calibration Final'!$E$1:$E$2000"),'Calculations'!$EM459)="","",TRIM(INDEX(INDIRECT("'WCM Calibration Final'!$E$1:$E$2000"),'Calculations'!$EM459)&amp;"")),"")="","",IF(COUNTIF('Calculations'!$HG$13:$HG$512,"="&amp;SUBSTITUTE(SUBSTITUTE(SUBSTITUTE(IFERROR(IF(INDEX(INDIRECT("'WCM Calibration Final'!$E$1:$E$2000"),'Calculations'!$EM459)="","",TRIM(INDEX(INDIRECT("'WCM Calibration Final'!$E$1:$E$2000"),'Calculations'!$EM459)&amp;"")),""),"~","~~"),"*","~*"),"?","~?"))=1,INDEX('Calculations'!$HE$13:$HE$512,MATCH(IFERROR(IF(INDEX(INDIRECT("'WCM Calibration Final'!$E$1:$E$2000"),'Calculations'!$EM459)="","",TRIM(INDEX(INDIRECT("'WCM Calibration Final'!$E$1:$E$2000"),'Calculations'!$EM459)&amp;"")),""),'Calculations'!$HG$13:$HG$512,0)),IF(COUNTIF('Calculations'!$HG$13:$HG$512,"="&amp;SUBSTITUTE(SUBSTITUTE(SUBSTITUTE(IFERROR(IF(INDEX(INDIRECT("'WCM Calibration Final'!$E$1:$E$2000"),'Calculations'!$EM459)="","",TRIM(INDEX(INDIRECT("'WCM Calibration Final'!$E$1:$E$2000"),'Calculations'!$EM459)&amp;"")),""),"~","~~"),"*","~*"),"?","~?"))&gt;1,"!AMBIG","X:"&amp;IFERROR(IF(INDEX(INDIRECT("'WCM Calibration Final'!$E$1:$E$2000"),'Calculations'!$EM459)="","",TRIM(INDEX(INDIRECT("'WCM Calibration Final'!$E$1:$E$2000"),'Calculations'!$EM459)&amp;"")),""))))))</x:f>
      </x:c>
      <x:c r="HG459" t="str">
        <x:f>IF('Calculations'!EM459="","",IFERROR(IF(INDEX(INDIRECT("'WCM Calibration Final'!$B$1:$B$2000"),'Calculations'!$EM459)="","",TRIM(INDEX(INDIRECT("'WCM Calibration Final'!$B$1:$B$2000"),'Calculations'!$EM459)&amp;"")),""))</x:f>
      </x:c>
      <x:c r="HH459" t="n">
        <x:f>IF(AND('Calculations'!JC459&gt;0,COUNTIF('Calculations'!$HF$12:HF459,"="&amp;SUBSTITUTE(SUBSTITUTE(SUBSTITUTE('Calculations'!HF459,"~","~~"),"*","~*"),"?","~?"))=1),MAX('Calculations'!$HH$12:HH458)+1,0)</x:f>
        <x:v>0</x:v>
      </x:c>
      <x:c r="HI459" t="n">
        <x:f>IF(AND('Calculations'!HN459&lt;&gt;"",COUNTIF('Calculations'!$HN$12:HN459,"="&amp;SUBSTITUTE(SUBSTITUTE(SUBSTITUTE('Calculations'!HN459,"~","~~"),"*","~*"),"?","~?"))=1),MAX('Calculations'!$HI$12:HI458)+1,0)</x:f>
        <x:v>0</x:v>
      </x:c>
      <x:c r="HJ459" t="str">
        <x:f>IF('Calculations'!HF459="","",IF(COUNTIF('Calculations'!$HE$13:$HE$512,"="&amp;SUBSTITUTE(SUBSTITUTE(SUBSTITUTE('Calculations'!HF459,"~","~~"),"*","~*"),"?","~?"))=1,INDEX('Calculations'!$HK$13:$HK$512,MATCH('Calculations'!HF459,'Calculations'!$HE$13:$HE$512,0)),IFERROR(IF(INDEX(INDIRECT("'WCM Calibration Final'!$E$1:$E$2000"),'Calculations'!$EM459)="","",TRIM(INDEX(INDIRECT("'WCM Calibration Final'!$E$1:$E$2000"),'Calculations'!$EM459)&amp;"")),"")&amp;" ["&amp;'Calculations'!HF459&amp;"]"))</x:f>
      </x:c>
      <x:c r="HK459" t="str">
        <x:f>IF('Calculations'!EM459="","",'Calculations'!HG459&amp;" ["&amp;'Calculations'!HE459&amp;"]")</x:f>
      </x:c>
      <x:c r="HL459" t="n">
        <x:f>IF('Calculations'!EM459="",0,IF(OR('Calculations'!II459&lt;&gt;"",COUNTIF('Calculations'!$HE$13:$HE$512,"="&amp;SUBSTITUTE(SUBSTITUTE(SUBSTITUTE('Calculations'!HE459,"~","~~"),"*","~*"),"?","~?"))&gt;1),1,0))</x:f>
        <x:v>0</x:v>
      </x:c>
      <x:c r="HM459" t="str">
        <x:f>IF('Calculations'!EM459="","",IF('Calculations'!HL459=1,"!UNRESOLVED",IF('Calculations'!IH459&lt;&gt;"",'Calculations'!IH459,IF('Calculations'!IG459&lt;&gt;"",'Calculations'!IG459,IF('Calculations'!IF459&lt;&gt;"",'Calculations'!IF459,IF('Calculations'!IE459&lt;&gt;"",'Calculations'!IE459,IF('Calculations'!ID459&lt;&gt;"",'Calculations'!ID459,IF('Calculations'!IC459&lt;&gt;"",'Calculations'!IC459,IF('Calculations'!IB459&lt;&gt;"",'Calculations'!IB459,IF('Calculations'!IA459&lt;&gt;"",'Calculations'!IA459,IF('Calculations'!HZ459&lt;&gt;"",'Calculations'!HZ459,IF('Calculations'!HY459&lt;&gt;"",'Calculations'!HY459,IF('Calculations'!HX459&lt;&gt;"",'Calculations'!HX459,IF('Calculations'!HW459&lt;&gt;"",'Calculations'!HW459,IF('Calculations'!HV459&lt;&gt;"",'Calculations'!HV459,IF('Calculations'!HU459&lt;&gt;"",'Calculations'!HU459,IF('Calculations'!HT459&lt;&gt;"",'Calculations'!HT459,IF('Calculations'!HS459&lt;&gt;"",'Calculations'!HS459,IF('Calculations'!HR459&lt;&gt;"",'Calculations'!HR459,IF('Calculations'!HQ459&lt;&gt;"",'Calculations'!HQ459,IF('Calculations'!HP459&lt;&gt;"",'Calculations'!HP459,IF('Calculations'!HO459&lt;&gt;"",'Calculations'!HO459,'Calculations'!HE459))))))))))))))))))))))</x:f>
      </x:c>
      <x:c r="HN459" t="str">
        <x:f>IF('Calculations'!EM459="","",IF(IFERROR(IF(INDEX(INDIRECT("'WCM Calibration Final'!$F$1:$F$2000"),'Calculations'!$EM459)="","",TRIM(INDEX(INDIRECT("'WCM Calibration Final'!$F$1:$F$2000"),'Calculations'!$EM459)&amp;"")),"")="","(Blank)",IFERROR(IF(INDEX(INDIRECT("'WCM Calibration Final'!$F$1:$F$2000"),'Calculations'!$EM459)="","",TRIM(INDEX(INDIRECT("'WCM Calibration Final'!$F$1:$F$2000"),'Calculations'!$EM459)&amp;"")),"")))</x:f>
      </x:c>
      <x:c r="HO459" t="str">
        <x:f>'Calculations'!HF459</x:f>
      </x:c>
      <x:c r="HP459" t="str">
        <x:f>IF('Calculations'!HO459="","",IF('Calculations'!HO459="!AMBIG","!AMBIG",IF(COUNTIF('Calculations'!$HE$13:$HE$512,"="&amp;SUBSTITUTE(SUBSTITUTE(SUBSTITUTE('Calculations'!HO459,"~","~~"),"*","~*"),"?","~?"))&gt;1,"!AMBIG",IFERROR(INDEX('Calculations'!$HF$13:$HF$512,MATCH('Calculations'!HO459,'Calculations'!$HE$13:$HE$512,0)),""))))</x:f>
      </x:c>
      <x:c r="HQ459" t="str">
        <x:f>IF('Calculations'!HP459="","",IF('Calculations'!HP459="!AMBIG","!AMBIG",IF(COUNTIF('Calculations'!$HE$13:$HE$512,"="&amp;SUBSTITUTE(SUBSTITUTE(SUBSTITUTE('Calculations'!HP459,"~","~~"),"*","~*"),"?","~?"))&gt;1,"!AMBIG",IFERROR(INDEX('Calculations'!$HF$13:$HF$512,MATCH('Calculations'!HP459,'Calculations'!$HE$13:$HE$512,0)),""))))</x:f>
      </x:c>
      <x:c r="HR459" t="str">
        <x:f>IF('Calculations'!HQ459="","",IF('Calculations'!HQ459="!AMBIG","!AMBIG",IF(COUNTIF('Calculations'!$HE$13:$HE$512,"="&amp;SUBSTITUTE(SUBSTITUTE(SUBSTITUTE('Calculations'!HQ459,"~","~~"),"*","~*"),"?","~?"))&gt;1,"!AMBIG",IFERROR(INDEX('Calculations'!$HF$13:$HF$512,MATCH('Calculations'!HQ459,'Calculations'!$HE$13:$HE$512,0)),""))))</x:f>
      </x:c>
      <x:c r="HS459" t="str">
        <x:f>IF('Calculations'!HR459="","",IF('Calculations'!HR459="!AMBIG","!AMBIG",IF(COUNTIF('Calculations'!$HE$13:$HE$512,"="&amp;SUBSTITUTE(SUBSTITUTE(SUBSTITUTE('Calculations'!HR459,"~","~~"),"*","~*"),"?","~?"))&gt;1,"!AMBIG",IFERROR(INDEX('Calculations'!$HF$13:$HF$512,MATCH('Calculations'!HR459,'Calculations'!$HE$13:$HE$512,0)),""))))</x:f>
      </x:c>
      <x:c r="HT459" t="str">
        <x:f>IF('Calculations'!HS459="","",IF('Calculations'!HS459="!AMBIG","!AMBIG",IF(COUNTIF('Calculations'!$HE$13:$HE$512,"="&amp;SUBSTITUTE(SUBSTITUTE(SUBSTITUTE('Calculations'!HS459,"~","~~"),"*","~*"),"?","~?"))&gt;1,"!AMBIG",IFERROR(INDEX('Calculations'!$HF$13:$HF$512,MATCH('Calculations'!HS459,'Calculations'!$HE$13:$HE$512,0)),""))))</x:f>
      </x:c>
      <x:c r="HU459" t="str">
        <x:f>IF('Calculations'!HT459="","",IF('Calculations'!HT459="!AMBIG","!AMBIG",IF(COUNTIF('Calculations'!$HE$13:$HE$512,"="&amp;SUBSTITUTE(SUBSTITUTE(SUBSTITUTE('Calculations'!HT459,"~","~~"),"*","~*"),"?","~?"))&gt;1,"!AMBIG",IFERROR(INDEX('Calculations'!$HF$13:$HF$512,MATCH('Calculations'!HT459,'Calculations'!$HE$13:$HE$512,0)),""))))</x:f>
      </x:c>
      <x:c r="HV459" t="str">
        <x:f>IF('Calculations'!HU459="","",IF('Calculations'!HU459="!AMBIG","!AMBIG",IF(COUNTIF('Calculations'!$HE$13:$HE$512,"="&amp;SUBSTITUTE(SUBSTITUTE(SUBSTITUTE('Calculations'!HU459,"~","~~"),"*","~*"),"?","~?"))&gt;1,"!AMBIG",IFERROR(INDEX('Calculations'!$HF$13:$HF$512,MATCH('Calculations'!HU459,'Calculations'!$HE$13:$HE$512,0)),""))))</x:f>
      </x:c>
      <x:c r="HW459" t="str">
        <x:f>IF('Calculations'!HV459="","",IF('Calculations'!HV459="!AMBIG","!AMBIG",IF(COUNTIF('Calculations'!$HE$13:$HE$512,"="&amp;SUBSTITUTE(SUBSTITUTE(SUBSTITUTE('Calculations'!HV459,"~","~~"),"*","~*"),"?","~?"))&gt;1,"!AMBIG",IFERROR(INDEX('Calculations'!$HF$13:$HF$512,MATCH('Calculations'!HV459,'Calculations'!$HE$13:$HE$512,0)),""))))</x:f>
      </x:c>
      <x:c r="HX459" t="str">
        <x:f>IF('Calculations'!HW459="","",IF('Calculations'!HW459="!AMBIG","!AMBIG",IF(COUNTIF('Calculations'!$HE$13:$HE$512,"="&amp;SUBSTITUTE(SUBSTITUTE(SUBSTITUTE('Calculations'!HW459,"~","~~"),"*","~*"),"?","~?"))&gt;1,"!AMBIG",IFERROR(INDEX('Calculations'!$HF$13:$HF$512,MATCH('Calculations'!HW459,'Calculations'!$HE$13:$HE$512,0)),""))))</x:f>
      </x:c>
      <x:c r="HY459" t="str">
        <x:f>IF('Calculations'!HX459="","",IF('Calculations'!HX459="!AMBIG","!AMBIG",IF(COUNTIF('Calculations'!$HE$13:$HE$512,"="&amp;SUBSTITUTE(SUBSTITUTE(SUBSTITUTE('Calculations'!HX459,"~","~~"),"*","~*"),"?","~?"))&gt;1,"!AMBIG",IFERROR(INDEX('Calculations'!$HF$13:$HF$512,MATCH('Calculations'!HX459,'Calculations'!$HE$13:$HE$512,0)),""))))</x:f>
      </x:c>
      <x:c r="HZ459" t="str">
        <x:f>IF('Calculations'!HY459="","",IF('Calculations'!HY459="!AMBIG","!AMBIG",IF(COUNTIF('Calculations'!$HE$13:$HE$512,"="&amp;SUBSTITUTE(SUBSTITUTE(SUBSTITUTE('Calculations'!HY459,"~","~~"),"*","~*"),"?","~?"))&gt;1,"!AMBIG",IFERROR(INDEX('Calculations'!$HF$13:$HF$512,MATCH('Calculations'!HY459,'Calculations'!$HE$13:$HE$512,0)),""))))</x:f>
      </x:c>
      <x:c r="IA459" t="str">
        <x:f>IF('Calculations'!HZ459="","",IF('Calculations'!HZ459="!AMBIG","!AMBIG",IF(COUNTIF('Calculations'!$HE$13:$HE$512,"="&amp;SUBSTITUTE(SUBSTITUTE(SUBSTITUTE('Calculations'!HZ459,"~","~~"),"*","~*"),"?","~?"))&gt;1,"!AMBIG",IFERROR(INDEX('Calculations'!$HF$13:$HF$512,MATCH('Calculations'!HZ459,'Calculations'!$HE$13:$HE$512,0)),""))))</x:f>
      </x:c>
      <x:c r="IB459" t="str">
        <x:f>IF('Calculations'!IA459="","",IF('Calculations'!IA459="!AMBIG","!AMBIG",IF(COUNTIF('Calculations'!$HE$13:$HE$512,"="&amp;SUBSTITUTE(SUBSTITUTE(SUBSTITUTE('Calculations'!IA459,"~","~~"),"*","~*"),"?","~?"))&gt;1,"!AMBIG",IFERROR(INDEX('Calculations'!$HF$13:$HF$512,MATCH('Calculations'!IA459,'Calculations'!$HE$13:$HE$512,0)),""))))</x:f>
      </x:c>
      <x:c r="IC459" t="str">
        <x:f>IF('Calculations'!IB459="","",IF('Calculations'!IB459="!AMBIG","!AMBIG",IF(COUNTIF('Calculations'!$HE$13:$HE$512,"="&amp;SUBSTITUTE(SUBSTITUTE(SUBSTITUTE('Calculations'!IB459,"~","~~"),"*","~*"),"?","~?"))&gt;1,"!AMBIG",IFERROR(INDEX('Calculations'!$HF$13:$HF$512,MATCH('Calculations'!IB459,'Calculations'!$HE$13:$HE$512,0)),""))))</x:f>
      </x:c>
      <x:c r="ID459" t="str">
        <x:f>IF('Calculations'!IC459="","",IF('Calculations'!IC459="!AMBIG","!AMBIG",IF(COUNTIF('Calculations'!$HE$13:$HE$512,"="&amp;SUBSTITUTE(SUBSTITUTE(SUBSTITUTE('Calculations'!IC459,"~","~~"),"*","~*"),"?","~?"))&gt;1,"!AMBIG",IFERROR(INDEX('Calculations'!$HF$13:$HF$512,MATCH('Calculations'!IC459,'Calculations'!$HE$13:$HE$512,0)),""))))</x:f>
      </x:c>
      <x:c r="IE459" t="str">
        <x:f>IF('Calculations'!ID459="","",IF('Calculations'!ID459="!AMBIG","!AMBIG",IF(COUNTIF('Calculations'!$HE$13:$HE$512,"="&amp;SUBSTITUTE(SUBSTITUTE(SUBSTITUTE('Calculations'!ID459,"~","~~"),"*","~*"),"?","~?"))&gt;1,"!AMBIG",IFERROR(INDEX('Calculations'!$HF$13:$HF$512,MATCH('Calculations'!ID459,'Calculations'!$HE$13:$HE$512,0)),""))))</x:f>
      </x:c>
      <x:c r="IF459" t="str">
        <x:f>IF('Calculations'!IE459="","",IF('Calculations'!IE459="!AMBIG","!AMBIG",IF(COUNTIF('Calculations'!$HE$13:$HE$512,"="&amp;SUBSTITUTE(SUBSTITUTE(SUBSTITUTE('Calculations'!IE459,"~","~~"),"*","~*"),"?","~?"))&gt;1,"!AMBIG",IFERROR(INDEX('Calculations'!$HF$13:$HF$512,MATCH('Calculations'!IE459,'Calculations'!$HE$13:$HE$512,0)),""))))</x:f>
      </x:c>
      <x:c r="IG459" t="str">
        <x:f>IF('Calculations'!IF459="","",IF('Calculations'!IF459="!AMBIG","!AMBIG",IF(COUNTIF('Calculations'!$HE$13:$HE$512,"="&amp;SUBSTITUTE(SUBSTITUTE(SUBSTITUTE('Calculations'!IF459,"~","~~"),"*","~*"),"?","~?"))&gt;1,"!AMBIG",IFERROR(INDEX('Calculations'!$HF$13:$HF$512,MATCH('Calculations'!IF459,'Calculations'!$HE$13:$HE$512,0)),""))))</x:f>
      </x:c>
      <x:c r="IH459" t="str">
        <x:f>IF('Calculations'!IG459="","",IF('Calculations'!IG459="!AMBIG","!AMBIG",IF(COUNTIF('Calculations'!$HE$13:$HE$512,"="&amp;SUBSTITUTE(SUBSTITUTE(SUBSTITUTE('Calculations'!IG459,"~","~~"),"*","~*"),"?","~?"))&gt;1,"!AMBIG",IFERROR(INDEX('Calculations'!$HF$13:$HF$512,MATCH('Calculations'!IG459,'Calculations'!$HE$13:$HE$512,0)),""))))</x:f>
      </x:c>
      <x:c r="II459" t="str">
        <x:f>IF('Calculations'!IH459="","",IF('Calculations'!IH459="!AMBIG","!AMBIG",IF(COUNTIF('Calculations'!$HE$13:$HE$512,"="&amp;SUBSTITUTE(SUBSTITUTE(SUBSTITUTE('Calculations'!IH459,"~","~~"),"*","~*"),"?","~?"))&gt;1,"!AMBIG",IFERROR(INDEX('Calculations'!$HF$13:$HF$512,MATCH('Calculations'!IH459,'Calculations'!$HE$13:$HE$512,0)),""))))</x:f>
      </x:c>
      <x:c r="IJ459" t="str">
        <x:f>IF('Calculations'!EM459="","",IF('Calculations'!$EF$2="All",'Calculations'!HM459,IF('Calculations'!HL459=1,"",IFERROR(IF(MATCH('Calculations'!$EF$2,'Calculations'!HO459:II459,0)=1,'Calculations'!HE459,INDEX('Calculations'!HO459:II459,1,MATCH('Calculations'!$EF$2,'Calculations'!HO459:II459,0)-1)),""))))</x:f>
      </x:c>
      <x:c r="IK459" t="n">
        <x:f>IF(AND('Calculations'!EM459&lt;&gt;"",'Calculations'!$EF$2&lt;&gt;"All",'Calculations'!HF459='Calculations'!$EF$2,'Calculations'!HL459=0,'Calculations'!JD459&gt;0),MAX('Calculations'!$IK$12:IK458)+1,0)</x:f>
        <x:v>0</x:v>
      </x:c>
      <x:c r="JA459" t="n">
        <x:f>IF(OR(IFERROR(INDIRECT("'WCM Calibration Final'!$A$459")&lt;&gt;"",FALSE),IFERROR(INDIRECT("'WCM Calibration Final'!$B$459")&lt;&gt;"",FALSE),IFERROR(INDIRECT("'WCM Calibration Final'!$C$459")&lt;&gt;"",FALSE)),459,0)</x:f>
        <x:v>0</x:v>
      </x:c>
      <x:c r="JB459" t="n">
        <x:f>'Calculations'!JB458+IF('Calculations'!JA459&gt;0,1,0)</x:f>
        <x:v>0</x:v>
      </x:c>
      <x:c r="JC459" t="n">
        <x:f>IF(OR('Calculations'!HF459="",'Calculations'!HF459="!AMBIG"),0,IF('Dashboard'!$B$7="All",1,COUNTIFS('Calculations'!$HO$13:$HO$512,"="&amp;SUBSTITUTE(SUBSTITUTE(SUBSTITUTE('Calculations'!HF459,"~","~~"),"*","~*"),"?","~?"),'Calculations'!$HN$13:$HN$512,"="&amp;SUBSTITUTE(SUBSTITUTE(SUBSTITUTE('Dashboard'!$B$7,"~","~~"),"*","~*"),"?","~?"))+COUNTIFS('Calculations'!$HP$13:$HP$512,"="&amp;SUBSTITUTE(SUBSTITUTE(SUBSTITUTE('Calculations'!HF459,"~","~~"),"*","~*"),"?","~?"),'Calculations'!$HN$13:$HN$512,"="&amp;SUBSTITUTE(SUBSTITUTE(SUBSTITUTE('Dashboard'!$B$7,"~","~~"),"*","~*"),"?","~?"))+COUNTIFS('Calculations'!$HQ$13:$HQ$512,"="&amp;SUBSTITUTE(SUBSTITUTE(SUBSTITUTE('Calculations'!HF459,"~","~~"),"*","~*"),"?","~?"),'Calculations'!$HN$13:$HN$512,"="&amp;SUBSTITUTE(SUBSTITUTE(SUBSTITUTE('Dashboard'!$B$7,"~","~~"),"*","~*"),"?","~?"))+COUNTIFS('Calculations'!$HR$13:$HR$512,"="&amp;SUBSTITUTE(SUBSTITUTE(SUBSTITUTE('Calculations'!HF459,"~","~~"),"*","~*"),"?","~?"),'Calculations'!$HN$13:$HN$512,"="&amp;SUBSTITUTE(SUBSTITUTE(SUBSTITUTE('Dashboard'!$B$7,"~","~~"),"*","~*"),"?","~?"))+COUNTIFS('Calculations'!$HS$13:$HS$512,"="&amp;SUBSTITUTE(SUBSTITUTE(SUBSTITUTE('Calculations'!HF459,"~","~~"),"*","~*"),"?","~?"),'Calculations'!$HN$13:$HN$512,"="&amp;SUBSTITUTE(SUBSTITUTE(SUBSTITUTE('Dashboard'!$B$7,"~","~~"),"*","~*"),"?","~?"))+COUNTIFS('Calculations'!$HT$13:$HT$512,"="&amp;SUBSTITUTE(SUBSTITUTE(SUBSTITUTE('Calculations'!HF459,"~","~~"),"*","~*"),"?","~?"),'Calculations'!$HN$13:$HN$512,"="&amp;SUBSTITUTE(SUBSTITUTE(SUBSTITUTE('Dashboard'!$B$7,"~","~~"),"*","~*"),"?","~?"))+COUNTIFS('Calculations'!$HU$13:$HU$512,"="&amp;SUBSTITUTE(SUBSTITUTE(SUBSTITUTE('Calculations'!HF459,"~","~~"),"*","~*"),"?","~?"),'Calculations'!$HN$13:$HN$512,"="&amp;SUBSTITUTE(SUBSTITUTE(SUBSTITUTE('Dashboard'!$B$7,"~","~~"),"*","~*"),"?","~?"))+COUNTIFS('Calculations'!$HV$13:$HV$512,"="&amp;SUBSTITUTE(SUBSTITUTE(SUBSTITUTE('Calculations'!HF459,"~","~~"),"*","~*"),"?","~?"),'Calculations'!$HN$13:$HN$512,"="&amp;SUBSTITUTE(SUBSTITUTE(SUBSTITUTE('Dashboard'!$B$7,"~","~~"),"*","~*"),"?","~?"))+COUNTIFS('Calculations'!$HW$13:$HW$512,"="&amp;SUBSTITUTE(SUBSTITUTE(SUBSTITUTE('Calculations'!HF459,"~","~~"),"*","~*"),"?","~?"),'Calculations'!$HN$13:$HN$512,"="&amp;SUBSTITUTE(SUBSTITUTE(SUBSTITUTE('Dashboard'!$B$7,"~","~~"),"*","~*"),"?","~?"))+COUNTIFS('Calculations'!$HX$13:$HX$512,"="&amp;SUBSTITUTE(SUBSTITUTE(SUBSTITUTE('Calculations'!HF459,"~","~~"),"*","~*"),"?","~?"),'Calculations'!$HN$13:$HN$512,"="&amp;SUBSTITUTE(SUBSTITUTE(SUBSTITUTE('Dashboard'!$B$7,"~","~~"),"*","~*"),"?","~?"))+COUNTIFS('Calculations'!$HY$13:$HY$512,"="&amp;SUBSTITUTE(SUBSTITUTE(SUBSTITUTE('Calculations'!HF459,"~","~~"),"*","~*"),"?","~?"),'Calculations'!$HN$13:$HN$512,"="&amp;SUBSTITUTE(SUBSTITUTE(SUBSTITUTE('Dashboard'!$B$7,"~","~~"),"*","~*"),"?","~?"))+COUNTIFS('Calculations'!$HZ$13:$HZ$512,"="&amp;SUBSTITUTE(SUBSTITUTE(SUBSTITUTE('Calculations'!HF459,"~","~~"),"*","~*"),"?","~?"),'Calculations'!$HN$13:$HN$512,"="&amp;SUBSTITUTE(SUBSTITUTE(SUBSTITUTE('Dashboard'!$B$7,"~","~~"),"*","~*"),"?","~?"))+COUNTIFS('Calculations'!$IA$13:$IA$512,"="&amp;SUBSTITUTE(SUBSTITUTE(SUBSTITUTE('Calculations'!HF459,"~","~~"),"*","~*"),"?","~?"),'Calculations'!$HN$13:$HN$512,"="&amp;SUBSTITUTE(SUBSTITUTE(SUBSTITUTE('Dashboard'!$B$7,"~","~~"),"*","~*"),"?","~?"))+COUNTIFS('Calculations'!$IB$13:$IB$512,"="&amp;SUBSTITUTE(SUBSTITUTE(SUBSTITUTE('Calculations'!HF459,"~","~~"),"*","~*"),"?","~?"),'Calculations'!$HN$13:$HN$512,"="&amp;SUBSTITUTE(SUBSTITUTE(SUBSTITUTE('Dashboard'!$B$7,"~","~~"),"*","~*"),"?","~?"))+COUNTIFS('Calculations'!$IC$13:$IC$512,"="&amp;SUBSTITUTE(SUBSTITUTE(SUBSTITUTE('Calculations'!HF459,"~","~~"),"*","~*"),"?","~?"),'Calculations'!$HN$13:$HN$512,"="&amp;SUBSTITUTE(SUBSTITUTE(SUBSTITUTE('Dashboard'!$B$7,"~","~~"),"*","~*"),"?","~?"))+COUNTIFS('Calculations'!$ID$13:$ID$512,"="&amp;SUBSTITUTE(SUBSTITUTE(SUBSTITUTE('Calculations'!HF459,"~","~~"),"*","~*"),"?","~?"),'Calculations'!$HN$13:$HN$512,"="&amp;SUBSTITUTE(SUBSTITUTE(SUBSTITUTE('Dashboard'!$B$7,"~","~~"),"*","~*"),"?","~?"))+COUNTIFS('Calculations'!$IE$13:$IE$512,"="&amp;SUBSTITUTE(SUBSTITUTE(SUBSTITUTE('Calculations'!HF459,"~","~~"),"*","~*"),"?","~?"),'Calculations'!$HN$13:$HN$512,"="&amp;SUBSTITUTE(SUBSTITUTE(SUBSTITUTE('Dashboard'!$B$7,"~","~~"),"*","~*"),"?","~?"))+COUNTIFS('Calculations'!$IF$13:$IF$512,"="&amp;SUBSTITUTE(SUBSTITUTE(SUBSTITUTE('Calculations'!HF459,"~","~~"),"*","~*"),"?","~?"),'Calculations'!$HN$13:$HN$512,"="&amp;SUBSTITUTE(SUBSTITUTE(SUBSTITUTE('Dashboard'!$B$7,"~","~~"),"*","~*"),"?","~?"))+COUNTIFS('Calculations'!$IG$13:$IG$512,"="&amp;SUBSTITUTE(SUBSTITUTE(SUBSTITUTE('Calculations'!HF459,"~","~~"),"*","~*"),"?","~?"),'Calculations'!$HN$13:$HN$512,"="&amp;SUBSTITUTE(SUBSTITUTE(SUBSTITUTE('Dashboard'!$B$7,"~","~~"),"*","~*"),"?","~?"))+COUNTIFS('Calculations'!$IH$13:$IH$512,"="&amp;SUBSTITUTE(SUBSTITUTE(SUBSTITUTE('Calculations'!HF459,"~","~~"),"*","~*"),"?","~?"),'Calculations'!$HN$13:$HN$512,"="&amp;SUBSTITUTE(SUBSTITUTE(SUBSTITUTE('Dashboard'!$B$7,"~","~~"),"*","~*"),"?","~?"))))</x:f>
        <x:v>0</x:v>
      </x:c>
      <x:c r="JD459" t="n">
        <x:f>IF('Calculations'!EM459="",0,IF('Dashboard'!$B$7="All",1,IF('Calculations'!HN459='Dashboard'!$B$7,1,0)+IFERROR(INDEX('Calculations'!$JC$13:$JC$512,MATCH('Calculations'!HE459,'Calculations'!$HF$13:$HF$512,0)),0)))</x:f>
        <x:v>0</x:v>
      </x:c>
      <x:c r="JE459" t="n">
        <x:f>IF(AND('Calculations'!EM459&lt;&gt;"",'Calculations'!$JJ$2&lt;&gt;"All",'Calculations'!$JJ$2&lt;&gt;"",'Calculations'!HF459='Calculations'!$JJ$2,'Calculations'!HL459=0,'Calculations'!JD459&gt;0),MAX('Calculations'!$JE$12:JE458)+1,0)</x:f>
        <x:v>0</x:v>
      </x:c>
      <x:c r="JF459" t="str">
        <x:f>IF('Calculations'!EM459="","",IFERROR(IF(INDEX(INDIRECT("'WCM Calibration Final'!$G$1:$G$2000"),'Calculations'!$EM459)="","",TRIM(INDEX(INDIRECT("'WCM Calibration Final'!$G$1:$G$2000"),'Calculations'!$EM459)&amp;"")),""))</x:f>
      </x:c>
      <x:c r="JQ459" t="n">
        <x:f>IF(OR('Calculations'!BM459=0,NOT('Calculations'!$AG$2),'Calculations'!$AG$8&gt;0),0,IF(OR('Dashboard'!$B$7="All",'Calculations'!HN459='Dashboard'!$B$7),IF('Calculations'!$JJ$2="All",1,IF(AND('Calculations'!HF459='Calculations'!$JJ$2,'Calculations'!HL459=0),1,0)),0))</x:f>
        <x:v>0</x:v>
      </x:c>
    </x:row>
    <x:row r="460">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t="n">
        <x:f>IF('Calculations'!$EM460="",0,IF(OR(IFERROR(INDEX(INDIRECT("'WCM Calibration Final'!$A$1:$A$2000"),'Calculations'!$EM460)&lt;&gt;"",FALSE),IFERROR(INDEX(INDIRECT("'WCM Calibration Final'!$B$1:$B$2000"),'Calculations'!$EM460)&lt;&gt;"",FALSE),IFERROR(INDEX(INDIRECT("'WCM Calibration Final'!$C$1:$C$2000"),'Calculations'!$EM460)&lt;&gt;"",FALSE)),1,0))</x:f>
        <x:v>0</x:v>
      </x:c>
      <x:c r="BN460" s="4" t="n">
        <x:f>IF(AND('Calculations'!BM460=1,'Calculations'!$AG$2,'Calculations'!$EN460=1),1,0)</x:f>
        <x:v>0</x:v>
      </x:c>
      <x:c r="BO460" s="4" t="str">
        <x:f>IF('Calculations'!BM460=0,"",IFERROR(IF(AND(VALUE(INDEX(INDIRECT("'WCM Calibration Final'!$K$1:$K$2000"),'Calculations'!$EM460))&gt;=1,VALUE(INDEX(INDIRECT("'WCM Calibration Final'!$K$1:$K$2000"),'Calculations'!$EM460))&lt;=4,MOD(VALUE(INDEX(INDIRECT("'WCM Calibration Final'!$K$1:$K$2000"),'Calculations'!$EM460)),1)=0),VALUE(INDEX(INDIRECT("'WCM Calibration Final'!$K$1:$K$2000"),'Calculations'!$EM460)),""),""))</x:f>
      </x:c>
      <x:c r="BP460" s="4" t="str">
        <x:f>IF('Calculations'!BM460=0,"",IFERROR(IF(AND(VALUE(INDEX(INDIRECT("'WCM Calibration Final'!$L$1:$L$2000"),'Calculations'!$EM460))&gt;=1,VALUE(INDEX(INDIRECT("'WCM Calibration Final'!$L$1:$L$2000"),'Calculations'!$EM460))&lt;=4,MOD(VALUE(INDEX(INDIRECT("'WCM Calibration Final'!$L$1:$L$2000"),'Calculations'!$EM460)),1)=0),VALUE(INDEX(INDIRECT("'WCM Calibration Final'!$L$1:$L$2000"),'Calculations'!$EM460)),""),""))</x:f>
      </x:c>
      <x:c r="BQ460" s="4"/>
      <x:c r="BR460" s="4"/>
      <x:c r="BS460" s="4"/>
      <x:c r="BT460" s="4" t="n">
        <x:f>IF(AND('Calculations'!BM460=1,ISNUMBER('Calculations'!BO460),ISNUMBER('Calculations'!BP460)),1,0)</x:f>
        <x:v>0</x:v>
      </x:c>
      <x:c r="BU460" s="4" t="str">
        <x:f>IF('Calculations'!BM460=0,"",'Calculations'!$EO460)</x:f>
      </x:c>
      <x:c r="BV460" s="4" t="str">
        <x:f>IF('Calculations'!BM460=0,"",IFERROR(IF(OR(INDEX(INDIRECT("'WCM Calibration Final'!$H$1:$H$2000"),'Calculations'!$EM460)="MANAGING DIRECTOR",INDEX(INDIRECT("'WCM Calibration Final'!$H$1:$H$2000"),'Calculations'!$EM460)="DIRECTOR",INDEX(INDIRECT("'WCM Calibration Final'!$H$1:$H$2000"),'Calculations'!$EM460)="SENIOR VICE PRESIDENT",INDEX(INDIRECT("'WCM Calibration Final'!$H$1:$H$2000"),'Calculations'!$EM460)="VICE PRESIDENT",INDEX(INDIRECT("'WCM Calibration Final'!$H$1:$H$2000"),'Calculations'!$EM460)="ASSISTANT VICE PRESIDENT",INDEX(INDIRECT("'WCM Calibration Final'!$H$1:$H$2000"),'Calculations'!$EM460)="OFFICER"),UPPER(INDEX(INDIRECT("'WCM Calibration Final'!$H$1:$H$2000"),'Calculations'!$EM460)),"Other"),"Other"))</x:f>
      </x:c>
      <x:c r="BW460" s="4"/>
      <x:c r="BX460" s="4"/>
      <x:c r="BY460" s="4" t="n">
        <x:f>IF(AND('Calculations'!BM460=1,'Calculations'!BU460&lt;&gt;"",COUNTIF('Calculations'!$BU$12:BU460,'Calculations'!BU460)=1),MAX('Calculations'!$BY$11:BY459)+1,0)</x:f>
        <x:v>0</x:v>
      </x:c>
      <x:c r="BZ460" s="4" t="str">
        <x:f>IF('Dashboard'!$E$67="What",'Calculations'!BO460,'Calculations'!BP460)</x:f>
      </x:c>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t="str">
        <x:f>IF(449&gt;MAX('Calculations'!$HI$13:$HI$512),"",INDEX('Calculations'!$HN$13:$HN$512,MATCH(449,'Calculations'!$HI$13:$HI$512,0)))</x:f>
      </x:c>
      <x:c r="DB460" s="4" t="str">
        <x:f>IF(449&gt;MAX('Calculations'!$HH$13:$HH$512),"",INDEX('Calculations'!$HJ$13:$HJ$512,MATCH(449,'Calculations'!$HH$13:$HH$512,0)))</x:f>
      </x:c>
      <x:c r="DC460" s="4" t="str">
        <x:f>IF(ROW()-11&gt;MAX('Calculations'!$BY$13:$BY$512),"",INDEX('Calculations'!$BU$13:$BU$512,MATCH(ROW()-11,'Calculations'!$BY$13:$BY$512,0)))</x:f>
      </x:c>
      <x:c r="DD460" s="4" t="str">
        <x:f>IF(449&gt;MAX('Calculations'!$IK$13:$IK$512),"",INDEX('Calculations'!$HK$13:$HK$512,MATCH(449,'Calculations'!$IK$13:$IK$512,0)))</x:f>
      </x:c>
      <x:c r="DE460" s="4" t="str">
        <x:f>'Calculations'!DC460</x:f>
      </x:c>
      <x:c r="DF460" s="4" t="str">
        <x:f>IF('Calculations'!DE460="","",COUNTIFS('Calculations'!$BN$13:$BN$512,1,'Calculations'!$BU$13:$BU$512,'Calculations'!DE460))</x:f>
      </x:c>
      <x:c r="DG460" s="4" t="str">
        <x:f>IF('Calculations'!DE460="","",COUNTIFS('Calculations'!$BN$13:$BN$512,1,'Calculations'!$BU$13:$BU$512,'Calculations'!DE460,'Calculations'!$BT$13:$BT$512,1))</x:f>
      </x:c>
      <x:c r="DH460" s="4" t="str">
        <x:f>IF('Calculations'!DE460="","",'Calculations'!DF460-'Calculations'!DG460)</x:f>
      </x:c>
      <x:c r="DI460" s="4" t="str">
        <x:f>IF(OR('Calculations'!DE460="",'Calculations'!DF460=0),"",'Calculations'!DG460/'Calculations'!DF460)</x:f>
      </x:c>
      <x:c r="DJ460" s="4" t="str">
        <x:f>IF('Calculations'!DE460="","",COUNTIFS('Calculations'!$BN$13:$BN$512,1,'Calculations'!$BU$13:$BU$512,'Calculations'!DE460,'Calculations'!$BT$13:$BT$512,1,'Calculations'!$EE$13:$EE$512,"High"))</x:f>
      </x:c>
      <x:c r="DK460" s="4" t="str">
        <x:f>IF('Calculations'!DE460="","",COUNTIFS('Calculations'!$BN$13:$BN$512,1,'Calculations'!$BU$13:$BU$512,'Calculations'!DE460,'Calculations'!$BT$13:$BT$512,1,'Calculations'!$EE$13:$EE$512,"Strong"))</x:f>
      </x:c>
      <x:c r="DL460" s="4" t="str">
        <x:f>IF('Calculations'!DE460="","",COUNTIFS('Calculations'!$BN$13:$BN$512,1,'Calculations'!$BU$13:$BU$512,'Calculations'!DE460,'Calculations'!$BT$13:$BT$512,1,'Calculations'!$EE$13:$EE$512,"Solid"))</x:f>
      </x:c>
      <x:c r="DM460" s="4" t="str">
        <x:f>IF('Calculations'!DE460="","",COUNTIFS('Calculations'!$BN$13:$BN$512,1,'Calculations'!$BU$13:$BU$512,'Calculations'!DE460,'Calculations'!$BT$13:$BT$512,1,'Calculations'!$EE$13:$EE$512,"Low"))</x:f>
      </x:c>
      <x:c r="DN460" s="4" t="str">
        <x:f>IF('Calculations'!DE460="","",COUNTIFS('Calculations'!$BN$13:$BN$512,1,'Calculations'!$BU$13:$BU$512,'Calculations'!DE460,'Calculations'!$EP$13:$EP$512,1))</x:f>
      </x:c>
      <x:c r="DO460" s="4" t="str">
        <x:f>IF(OR('Calculations'!DE460="",'Calculations'!DG460=0),"",('Calculations'!DJ460+'Calculations'!DK460)/'Calculations'!DG460)</x:f>
      </x:c>
      <x:c r="DP460" s="4" t="n">
        <x:f>IF(AND('Calculations'!DE460&lt;&gt;"",'Calculations'!DF460&gt;0),COUNTIF('Calculations'!$DF$12:DF460,"&gt;0"),0)</x:f>
        <x:v>0</x:v>
      </x:c>
      <x:c r="DQ460" s="4" t="str">
        <x:f>IF(449&gt;MAX('Calculations'!$HH$13:$HH$512),"",INDEX('Calculations'!$HF$13:$HF$512,MATCH(449,'Calculations'!$HH$13:$HH$512,0)))</x:f>
      </x:c>
      <x:c r="DR460" s="4" t="str">
        <x:f>IF(449&gt;MAX('Calculations'!$IK$13:$IK$512),"",INDEX('Calculations'!$HE$13:$HE$512,MATCH(449,'Calculations'!$IK$13:$IK$512,0)))</x:f>
      </x:c>
      <x:c r="DS460" s="4"/>
      <x:c r="DT460" s="4"/>
      <x:c r="DU460" s="4"/>
      <x:c r="DV460" s="4"/>
      <x:c r="DW460" s="4"/>
      <x:c r="DX460" s="4"/>
      <x:c r="DY460" s="4"/>
      <x:c r="DZ460" s="4"/>
      <x:c r="EA460" s="4"/>
      <x:c r="EB460" s="4"/>
      <x:c r="EC460" s="4"/>
      <x:c r="ED460" s="4"/>
      <x:c r="EE460" s="4" t="str">
        <x:f>IF('Calculations'!BT460=0,"Not Rated",IF(OR('Calculations'!BO460&gt;=4,'Calculations'!BP460&gt;=4),"Low",IF('Calculations'!BO460+'Calculations'!BP460&lt;=3,"High",IF('Calculations'!BO460+'Calculations'!BP460&lt;=4,"Strong","Solid"))))</x:f>
        <x:v>Not Rated</x:v>
      </x:c>
      <x:c r="EF460" s="4"/>
      <x:c r="EG460" s="4"/>
      <x:c r="EH460" s="4"/>
      <x:c r="EI460" s="4"/>
      <x:c r="EJ460" s="4"/>
      <x:c r="EK460" s="4"/>
      <x:c r="EL460" s="4"/>
      <x:c r="EM460" s="4" t="str">
        <x:f>IF(448&gt;'Calculations'!$JB$2000,"",INDEX('Calculations'!$JA$12:$JA$2000,MATCH(448,'Calculations'!$JB$12:$JB$2000,0)))</x:f>
      </x:c>
      <x:c r="EN460" s="4" t="n">
        <x:f>IF(OR('Calculations'!EM460="",'Calculations'!$AG$8&gt;0,AND('Calculations'!$EF$2&lt;&gt;"All",'Calculations'!HE460='Calculations'!$EF$2),AND('Calculations'!$EF$3&lt;&gt;"All",'Calculations'!HE460='Calculations'!$EF$3)),0,IF(OR('Dashboard'!$B$7="All",'Calculations'!HN460='Dashboard'!$B$7),IF('Calculations'!$EF$2="All",1,IF('Calculations'!HL460&gt;0,0,IF(COUNTIF('Calculations'!HO460:II460,"="&amp;SUBSTITUTE(SUBSTITUTE(SUBSTITUTE('Calculations'!$EF$2,"~","~~"),"*","~*"),"?","~?"))=0,0,IF('Calculations'!$EF$3="All",1,IF(COUNTIF('Calculations'!HO460:II460,"="&amp;SUBSTITUTE(SUBSTITUTE(SUBSTITUTE('Calculations'!$EF$3,"~","~~"),"*","~*"),"?","~?"))&gt;0,1,0))))),0))</x:f>
        <x:v>0</x:v>
      </x:c>
      <x:c r="EO460" s="4" t="str">
        <x:f>IF('Calculations'!IJ460="","",IF('Calculations'!IJ460="!UNRESOLVED","Unresolved hierarchy",IFERROR(INDEX('Calculations'!$HK$13:$HK$512,MATCH('Calculations'!IJ460,'Calculations'!$HE$13:$HE$512,0)),IFERROR(INDEX('Calculations'!$HJ$13:$HJ$512,MATCH('Calculations'!IJ460,'Calculations'!$HF$13:$HF$512,0)),'Calculations'!IJ460))))</x:f>
      </x:c>
      <x:c r="EP460" s="4" t="n">
        <x:f>IF(AND('Calculations'!EM460&lt;&gt;"",'Calculations'!HF460='Calculations'!IJ460),1,0)</x:f>
        <x:v>0</x:v>
      </x:c>
      <x:c r="EQ460" s="4"/>
      <x:c r="ER460" s="4"/>
      <x:c r="ES460" s="4"/>
      <x:c r="ET460" s="4"/>
      <x:c r="EU460" s="4"/>
      <x:c r="EV460" s="4"/>
      <x:c r="EW460" s="4"/>
      <x:c r="EX460" s="4"/>
      <x:c r="EY460" s="4"/>
      <x:c r="EZ460" s="4"/>
      <x:c r="FA460" s="4"/>
      <x:c r="FB460" s="4"/>
      <x:c r="FC460" s="4"/>
      <x:c r="FD460" s="4"/>
      <x:c r="FE460" s="4"/>
      <x:c r="FF460" s="4"/>
      <x:c r="FG460" s="4"/>
      <x:c r="FH460" s="4"/>
      <x:c r="FI460" s="4"/>
      <x:c r="FJ460" s="4"/>
      <x:c r="FK460" s="4"/>
      <x:c r="FL460" s="4"/>
      <x:c r="FM460" s="4"/>
      <x:c r="FN460" s="4"/>
      <x:c r="FO460" s="4"/>
      <x:c r="HE460" t="str">
        <x:f>IF('Calculations'!EM460="","",IF(IFERROR(IF(INDEX(INDIRECT("'WCM Calibration Final'!$A$1:$A$2000"),'Calculations'!$EM460)="","",TRIM(INDEX(INDIRECT("'WCM Calibration Final'!$A$1:$A$2000"),'Calculations'!$EM460)&amp;"")),"")&lt;&gt;"","G:"&amp;IFERROR(TEXT(1*INDEX(INDIRECT("'WCM Calibration Final'!$A$1:$A$2000"),'Calculations'!$EM460),"0"),UPPER(IFERROR(IF(INDEX(INDIRECT("'WCM Calibration Final'!$A$1:$A$2000"),'Calculations'!$EM460)="","",TRIM(INDEX(INDIRECT("'WCM Calibration Final'!$A$1:$A$2000"),'Calculations'!$EM460)&amp;"")),""))),IF(IFERROR(IF(INDEX(INDIRECT("'WCM Calibration Final'!$C$1:$C$2000"),'Calculations'!$EM460)="","",TRIM(INDEX(INDIRECT("'WCM Calibration Final'!$C$1:$C$2000"),'Calculations'!$EM460)&amp;"")),"")&lt;&gt;"","S:"&amp;UPPER(IFERROR(IF(INDEX(INDIRECT("'WCM Calibration Final'!$C$1:$C$2000"),'Calculations'!$EM460)="","",TRIM(INDEX(INDIRECT("'WCM Calibration Final'!$C$1:$C$2000"),'Calculations'!$EM460)&amp;"")),"")),"R:"&amp;'Calculations'!EM460)))</x:f>
      </x:c>
      <x:c r="HF460" t="str">
        <x:f>IF('Calculations'!EM460="","",IF(IFERROR(IF(INDEX(INDIRECT("'WCM Calibration Final'!$D$1:$D$2000"),'Calculations'!$EM460)="","",TRIM(INDEX(INDIRECT("'WCM Calibration Final'!$D$1:$D$2000"),'Calculations'!$EM460)&amp;"")),"")&lt;&gt;"","G:"&amp;IFERROR(TEXT(1*INDEX(INDIRECT("'WCM Calibration Final'!$D$1:$D$2000"),'Calculations'!$EM460),"0"),UPPER(IFERROR(IF(INDEX(INDIRECT("'WCM Calibration Final'!$D$1:$D$2000"),'Calculations'!$EM460)="","",TRIM(INDEX(INDIRECT("'WCM Calibration Final'!$D$1:$D$2000"),'Calculations'!$EM460)&amp;"")),""))),IF(IFERROR(IF(INDEX(INDIRECT("'WCM Calibration Final'!$E$1:$E$2000"),'Calculations'!$EM460)="","",TRIM(INDEX(INDIRECT("'WCM Calibration Final'!$E$1:$E$2000"),'Calculations'!$EM460)&amp;"")),"")="","",IF(COUNTIF('Calculations'!$HG$13:$HG$512,"="&amp;SUBSTITUTE(SUBSTITUTE(SUBSTITUTE(IFERROR(IF(INDEX(INDIRECT("'WCM Calibration Final'!$E$1:$E$2000"),'Calculations'!$EM460)="","",TRIM(INDEX(INDIRECT("'WCM Calibration Final'!$E$1:$E$2000"),'Calculations'!$EM460)&amp;"")),""),"~","~~"),"*","~*"),"?","~?"))=1,INDEX('Calculations'!$HE$13:$HE$512,MATCH(IFERROR(IF(INDEX(INDIRECT("'WCM Calibration Final'!$E$1:$E$2000"),'Calculations'!$EM460)="","",TRIM(INDEX(INDIRECT("'WCM Calibration Final'!$E$1:$E$2000"),'Calculations'!$EM460)&amp;"")),""),'Calculations'!$HG$13:$HG$512,0)),IF(COUNTIF('Calculations'!$HG$13:$HG$512,"="&amp;SUBSTITUTE(SUBSTITUTE(SUBSTITUTE(IFERROR(IF(INDEX(INDIRECT("'WCM Calibration Final'!$E$1:$E$2000"),'Calculations'!$EM460)="","",TRIM(INDEX(INDIRECT("'WCM Calibration Final'!$E$1:$E$2000"),'Calculations'!$EM460)&amp;"")),""),"~","~~"),"*","~*"),"?","~?"))&gt;1,"!AMBIG","X:"&amp;IFERROR(IF(INDEX(INDIRECT("'WCM Calibration Final'!$E$1:$E$2000"),'Calculations'!$EM460)="","",TRIM(INDEX(INDIRECT("'WCM Calibration Final'!$E$1:$E$2000"),'Calculations'!$EM460)&amp;"")),""))))))</x:f>
      </x:c>
      <x:c r="HG460" t="str">
        <x:f>IF('Calculations'!EM460="","",IFERROR(IF(INDEX(INDIRECT("'WCM Calibration Final'!$B$1:$B$2000"),'Calculations'!$EM460)="","",TRIM(INDEX(INDIRECT("'WCM Calibration Final'!$B$1:$B$2000"),'Calculations'!$EM460)&amp;"")),""))</x:f>
      </x:c>
      <x:c r="HH460" t="n">
        <x:f>IF(AND('Calculations'!JC460&gt;0,COUNTIF('Calculations'!$HF$12:HF460,"="&amp;SUBSTITUTE(SUBSTITUTE(SUBSTITUTE('Calculations'!HF460,"~","~~"),"*","~*"),"?","~?"))=1),MAX('Calculations'!$HH$12:HH459)+1,0)</x:f>
        <x:v>0</x:v>
      </x:c>
      <x:c r="HI460" t="n">
        <x:f>IF(AND('Calculations'!HN460&lt;&gt;"",COUNTIF('Calculations'!$HN$12:HN460,"="&amp;SUBSTITUTE(SUBSTITUTE(SUBSTITUTE('Calculations'!HN460,"~","~~"),"*","~*"),"?","~?"))=1),MAX('Calculations'!$HI$12:HI459)+1,0)</x:f>
        <x:v>0</x:v>
      </x:c>
      <x:c r="HJ460" t="str">
        <x:f>IF('Calculations'!HF460="","",IF(COUNTIF('Calculations'!$HE$13:$HE$512,"="&amp;SUBSTITUTE(SUBSTITUTE(SUBSTITUTE('Calculations'!HF460,"~","~~"),"*","~*"),"?","~?"))=1,INDEX('Calculations'!$HK$13:$HK$512,MATCH('Calculations'!HF460,'Calculations'!$HE$13:$HE$512,0)),IFERROR(IF(INDEX(INDIRECT("'WCM Calibration Final'!$E$1:$E$2000"),'Calculations'!$EM460)="","",TRIM(INDEX(INDIRECT("'WCM Calibration Final'!$E$1:$E$2000"),'Calculations'!$EM460)&amp;"")),"")&amp;" ["&amp;'Calculations'!HF460&amp;"]"))</x:f>
      </x:c>
      <x:c r="HK460" t="str">
        <x:f>IF('Calculations'!EM460="","",'Calculations'!HG460&amp;" ["&amp;'Calculations'!HE460&amp;"]")</x:f>
      </x:c>
      <x:c r="HL460" t="n">
        <x:f>IF('Calculations'!EM460="",0,IF(OR('Calculations'!II460&lt;&gt;"",COUNTIF('Calculations'!$HE$13:$HE$512,"="&amp;SUBSTITUTE(SUBSTITUTE(SUBSTITUTE('Calculations'!HE460,"~","~~"),"*","~*"),"?","~?"))&gt;1),1,0))</x:f>
        <x:v>0</x:v>
      </x:c>
      <x:c r="HM460" t="str">
        <x:f>IF('Calculations'!EM460="","",IF('Calculations'!HL460=1,"!UNRESOLVED",IF('Calculations'!IH460&lt;&gt;"",'Calculations'!IH460,IF('Calculations'!IG460&lt;&gt;"",'Calculations'!IG460,IF('Calculations'!IF460&lt;&gt;"",'Calculations'!IF460,IF('Calculations'!IE460&lt;&gt;"",'Calculations'!IE460,IF('Calculations'!ID460&lt;&gt;"",'Calculations'!ID460,IF('Calculations'!IC460&lt;&gt;"",'Calculations'!IC460,IF('Calculations'!IB460&lt;&gt;"",'Calculations'!IB460,IF('Calculations'!IA460&lt;&gt;"",'Calculations'!IA460,IF('Calculations'!HZ460&lt;&gt;"",'Calculations'!HZ460,IF('Calculations'!HY460&lt;&gt;"",'Calculations'!HY460,IF('Calculations'!HX460&lt;&gt;"",'Calculations'!HX460,IF('Calculations'!HW460&lt;&gt;"",'Calculations'!HW460,IF('Calculations'!HV460&lt;&gt;"",'Calculations'!HV460,IF('Calculations'!HU460&lt;&gt;"",'Calculations'!HU460,IF('Calculations'!HT460&lt;&gt;"",'Calculations'!HT460,IF('Calculations'!HS460&lt;&gt;"",'Calculations'!HS460,IF('Calculations'!HR460&lt;&gt;"",'Calculations'!HR460,IF('Calculations'!HQ460&lt;&gt;"",'Calculations'!HQ460,IF('Calculations'!HP460&lt;&gt;"",'Calculations'!HP460,IF('Calculations'!HO460&lt;&gt;"",'Calculations'!HO460,'Calculations'!HE460))))))))))))))))))))))</x:f>
      </x:c>
      <x:c r="HN460" t="str">
        <x:f>IF('Calculations'!EM460="","",IF(IFERROR(IF(INDEX(INDIRECT("'WCM Calibration Final'!$F$1:$F$2000"),'Calculations'!$EM460)="","",TRIM(INDEX(INDIRECT("'WCM Calibration Final'!$F$1:$F$2000"),'Calculations'!$EM460)&amp;"")),"")="","(Blank)",IFERROR(IF(INDEX(INDIRECT("'WCM Calibration Final'!$F$1:$F$2000"),'Calculations'!$EM460)="","",TRIM(INDEX(INDIRECT("'WCM Calibration Final'!$F$1:$F$2000"),'Calculations'!$EM460)&amp;"")),"")))</x:f>
      </x:c>
      <x:c r="HO460" t="str">
        <x:f>'Calculations'!HF460</x:f>
      </x:c>
      <x:c r="HP460" t="str">
        <x:f>IF('Calculations'!HO460="","",IF('Calculations'!HO460="!AMBIG","!AMBIG",IF(COUNTIF('Calculations'!$HE$13:$HE$512,"="&amp;SUBSTITUTE(SUBSTITUTE(SUBSTITUTE('Calculations'!HO460,"~","~~"),"*","~*"),"?","~?"))&gt;1,"!AMBIG",IFERROR(INDEX('Calculations'!$HF$13:$HF$512,MATCH('Calculations'!HO460,'Calculations'!$HE$13:$HE$512,0)),""))))</x:f>
      </x:c>
      <x:c r="HQ460" t="str">
        <x:f>IF('Calculations'!HP460="","",IF('Calculations'!HP460="!AMBIG","!AMBIG",IF(COUNTIF('Calculations'!$HE$13:$HE$512,"="&amp;SUBSTITUTE(SUBSTITUTE(SUBSTITUTE('Calculations'!HP460,"~","~~"),"*","~*"),"?","~?"))&gt;1,"!AMBIG",IFERROR(INDEX('Calculations'!$HF$13:$HF$512,MATCH('Calculations'!HP460,'Calculations'!$HE$13:$HE$512,0)),""))))</x:f>
      </x:c>
      <x:c r="HR460" t="str">
        <x:f>IF('Calculations'!HQ460="","",IF('Calculations'!HQ460="!AMBIG","!AMBIG",IF(COUNTIF('Calculations'!$HE$13:$HE$512,"="&amp;SUBSTITUTE(SUBSTITUTE(SUBSTITUTE('Calculations'!HQ460,"~","~~"),"*","~*"),"?","~?"))&gt;1,"!AMBIG",IFERROR(INDEX('Calculations'!$HF$13:$HF$512,MATCH('Calculations'!HQ460,'Calculations'!$HE$13:$HE$512,0)),""))))</x:f>
      </x:c>
      <x:c r="HS460" t="str">
        <x:f>IF('Calculations'!HR460="","",IF('Calculations'!HR460="!AMBIG","!AMBIG",IF(COUNTIF('Calculations'!$HE$13:$HE$512,"="&amp;SUBSTITUTE(SUBSTITUTE(SUBSTITUTE('Calculations'!HR460,"~","~~"),"*","~*"),"?","~?"))&gt;1,"!AMBIG",IFERROR(INDEX('Calculations'!$HF$13:$HF$512,MATCH('Calculations'!HR460,'Calculations'!$HE$13:$HE$512,0)),""))))</x:f>
      </x:c>
      <x:c r="HT460" t="str">
        <x:f>IF('Calculations'!HS460="","",IF('Calculations'!HS460="!AMBIG","!AMBIG",IF(COUNTIF('Calculations'!$HE$13:$HE$512,"="&amp;SUBSTITUTE(SUBSTITUTE(SUBSTITUTE('Calculations'!HS460,"~","~~"),"*","~*"),"?","~?"))&gt;1,"!AMBIG",IFERROR(INDEX('Calculations'!$HF$13:$HF$512,MATCH('Calculations'!HS460,'Calculations'!$HE$13:$HE$512,0)),""))))</x:f>
      </x:c>
      <x:c r="HU460" t="str">
        <x:f>IF('Calculations'!HT460="","",IF('Calculations'!HT460="!AMBIG","!AMBIG",IF(COUNTIF('Calculations'!$HE$13:$HE$512,"="&amp;SUBSTITUTE(SUBSTITUTE(SUBSTITUTE('Calculations'!HT460,"~","~~"),"*","~*"),"?","~?"))&gt;1,"!AMBIG",IFERROR(INDEX('Calculations'!$HF$13:$HF$512,MATCH('Calculations'!HT460,'Calculations'!$HE$13:$HE$512,0)),""))))</x:f>
      </x:c>
      <x:c r="HV460" t="str">
        <x:f>IF('Calculations'!HU460="","",IF('Calculations'!HU460="!AMBIG","!AMBIG",IF(COUNTIF('Calculations'!$HE$13:$HE$512,"="&amp;SUBSTITUTE(SUBSTITUTE(SUBSTITUTE('Calculations'!HU460,"~","~~"),"*","~*"),"?","~?"))&gt;1,"!AMBIG",IFERROR(INDEX('Calculations'!$HF$13:$HF$512,MATCH('Calculations'!HU460,'Calculations'!$HE$13:$HE$512,0)),""))))</x:f>
      </x:c>
      <x:c r="HW460" t="str">
        <x:f>IF('Calculations'!HV460="","",IF('Calculations'!HV460="!AMBIG","!AMBIG",IF(COUNTIF('Calculations'!$HE$13:$HE$512,"="&amp;SUBSTITUTE(SUBSTITUTE(SUBSTITUTE('Calculations'!HV460,"~","~~"),"*","~*"),"?","~?"))&gt;1,"!AMBIG",IFERROR(INDEX('Calculations'!$HF$13:$HF$512,MATCH('Calculations'!HV460,'Calculations'!$HE$13:$HE$512,0)),""))))</x:f>
      </x:c>
      <x:c r="HX460" t="str">
        <x:f>IF('Calculations'!HW460="","",IF('Calculations'!HW460="!AMBIG","!AMBIG",IF(COUNTIF('Calculations'!$HE$13:$HE$512,"="&amp;SUBSTITUTE(SUBSTITUTE(SUBSTITUTE('Calculations'!HW460,"~","~~"),"*","~*"),"?","~?"))&gt;1,"!AMBIG",IFERROR(INDEX('Calculations'!$HF$13:$HF$512,MATCH('Calculations'!HW460,'Calculations'!$HE$13:$HE$512,0)),""))))</x:f>
      </x:c>
      <x:c r="HY460" t="str">
        <x:f>IF('Calculations'!HX460="","",IF('Calculations'!HX460="!AMBIG","!AMBIG",IF(COUNTIF('Calculations'!$HE$13:$HE$512,"="&amp;SUBSTITUTE(SUBSTITUTE(SUBSTITUTE('Calculations'!HX460,"~","~~"),"*","~*"),"?","~?"))&gt;1,"!AMBIG",IFERROR(INDEX('Calculations'!$HF$13:$HF$512,MATCH('Calculations'!HX460,'Calculations'!$HE$13:$HE$512,0)),""))))</x:f>
      </x:c>
      <x:c r="HZ460" t="str">
        <x:f>IF('Calculations'!HY460="","",IF('Calculations'!HY460="!AMBIG","!AMBIG",IF(COUNTIF('Calculations'!$HE$13:$HE$512,"="&amp;SUBSTITUTE(SUBSTITUTE(SUBSTITUTE('Calculations'!HY460,"~","~~"),"*","~*"),"?","~?"))&gt;1,"!AMBIG",IFERROR(INDEX('Calculations'!$HF$13:$HF$512,MATCH('Calculations'!HY460,'Calculations'!$HE$13:$HE$512,0)),""))))</x:f>
      </x:c>
      <x:c r="IA460" t="str">
        <x:f>IF('Calculations'!HZ460="","",IF('Calculations'!HZ460="!AMBIG","!AMBIG",IF(COUNTIF('Calculations'!$HE$13:$HE$512,"="&amp;SUBSTITUTE(SUBSTITUTE(SUBSTITUTE('Calculations'!HZ460,"~","~~"),"*","~*"),"?","~?"))&gt;1,"!AMBIG",IFERROR(INDEX('Calculations'!$HF$13:$HF$512,MATCH('Calculations'!HZ460,'Calculations'!$HE$13:$HE$512,0)),""))))</x:f>
      </x:c>
      <x:c r="IB460" t="str">
        <x:f>IF('Calculations'!IA460="","",IF('Calculations'!IA460="!AMBIG","!AMBIG",IF(COUNTIF('Calculations'!$HE$13:$HE$512,"="&amp;SUBSTITUTE(SUBSTITUTE(SUBSTITUTE('Calculations'!IA460,"~","~~"),"*","~*"),"?","~?"))&gt;1,"!AMBIG",IFERROR(INDEX('Calculations'!$HF$13:$HF$512,MATCH('Calculations'!IA460,'Calculations'!$HE$13:$HE$512,0)),""))))</x:f>
      </x:c>
      <x:c r="IC460" t="str">
        <x:f>IF('Calculations'!IB460="","",IF('Calculations'!IB460="!AMBIG","!AMBIG",IF(COUNTIF('Calculations'!$HE$13:$HE$512,"="&amp;SUBSTITUTE(SUBSTITUTE(SUBSTITUTE('Calculations'!IB460,"~","~~"),"*","~*"),"?","~?"))&gt;1,"!AMBIG",IFERROR(INDEX('Calculations'!$HF$13:$HF$512,MATCH('Calculations'!IB460,'Calculations'!$HE$13:$HE$512,0)),""))))</x:f>
      </x:c>
      <x:c r="ID460" t="str">
        <x:f>IF('Calculations'!IC460="","",IF('Calculations'!IC460="!AMBIG","!AMBIG",IF(COUNTIF('Calculations'!$HE$13:$HE$512,"="&amp;SUBSTITUTE(SUBSTITUTE(SUBSTITUTE('Calculations'!IC460,"~","~~"),"*","~*"),"?","~?"))&gt;1,"!AMBIG",IFERROR(INDEX('Calculations'!$HF$13:$HF$512,MATCH('Calculations'!IC460,'Calculations'!$HE$13:$HE$512,0)),""))))</x:f>
      </x:c>
      <x:c r="IE460" t="str">
        <x:f>IF('Calculations'!ID460="","",IF('Calculations'!ID460="!AMBIG","!AMBIG",IF(COUNTIF('Calculations'!$HE$13:$HE$512,"="&amp;SUBSTITUTE(SUBSTITUTE(SUBSTITUTE('Calculations'!ID460,"~","~~"),"*","~*"),"?","~?"))&gt;1,"!AMBIG",IFERROR(INDEX('Calculations'!$HF$13:$HF$512,MATCH('Calculations'!ID460,'Calculations'!$HE$13:$HE$512,0)),""))))</x:f>
      </x:c>
      <x:c r="IF460" t="str">
        <x:f>IF('Calculations'!IE460="","",IF('Calculations'!IE460="!AMBIG","!AMBIG",IF(COUNTIF('Calculations'!$HE$13:$HE$512,"="&amp;SUBSTITUTE(SUBSTITUTE(SUBSTITUTE('Calculations'!IE460,"~","~~"),"*","~*"),"?","~?"))&gt;1,"!AMBIG",IFERROR(INDEX('Calculations'!$HF$13:$HF$512,MATCH('Calculations'!IE460,'Calculations'!$HE$13:$HE$512,0)),""))))</x:f>
      </x:c>
      <x:c r="IG460" t="str">
        <x:f>IF('Calculations'!IF460="","",IF('Calculations'!IF460="!AMBIG","!AMBIG",IF(COUNTIF('Calculations'!$HE$13:$HE$512,"="&amp;SUBSTITUTE(SUBSTITUTE(SUBSTITUTE('Calculations'!IF460,"~","~~"),"*","~*"),"?","~?"))&gt;1,"!AMBIG",IFERROR(INDEX('Calculations'!$HF$13:$HF$512,MATCH('Calculations'!IF460,'Calculations'!$HE$13:$HE$512,0)),""))))</x:f>
      </x:c>
      <x:c r="IH460" t="str">
        <x:f>IF('Calculations'!IG460="","",IF('Calculations'!IG460="!AMBIG","!AMBIG",IF(COUNTIF('Calculations'!$HE$13:$HE$512,"="&amp;SUBSTITUTE(SUBSTITUTE(SUBSTITUTE('Calculations'!IG460,"~","~~"),"*","~*"),"?","~?"))&gt;1,"!AMBIG",IFERROR(INDEX('Calculations'!$HF$13:$HF$512,MATCH('Calculations'!IG460,'Calculations'!$HE$13:$HE$512,0)),""))))</x:f>
      </x:c>
      <x:c r="II460" t="str">
        <x:f>IF('Calculations'!IH460="","",IF('Calculations'!IH460="!AMBIG","!AMBIG",IF(COUNTIF('Calculations'!$HE$13:$HE$512,"="&amp;SUBSTITUTE(SUBSTITUTE(SUBSTITUTE('Calculations'!IH460,"~","~~"),"*","~*"),"?","~?"))&gt;1,"!AMBIG",IFERROR(INDEX('Calculations'!$HF$13:$HF$512,MATCH('Calculations'!IH460,'Calculations'!$HE$13:$HE$512,0)),""))))</x:f>
      </x:c>
      <x:c r="IJ460" t="str">
        <x:f>IF('Calculations'!EM460="","",IF('Calculations'!$EF$2="All",'Calculations'!HM460,IF('Calculations'!HL460=1,"",IFERROR(IF(MATCH('Calculations'!$EF$2,'Calculations'!HO460:II460,0)=1,'Calculations'!HE460,INDEX('Calculations'!HO460:II460,1,MATCH('Calculations'!$EF$2,'Calculations'!HO460:II460,0)-1)),""))))</x:f>
      </x:c>
      <x:c r="IK460" t="n">
        <x:f>IF(AND('Calculations'!EM460&lt;&gt;"",'Calculations'!$EF$2&lt;&gt;"All",'Calculations'!HF460='Calculations'!$EF$2,'Calculations'!HL460=0,'Calculations'!JD460&gt;0),MAX('Calculations'!$IK$12:IK459)+1,0)</x:f>
        <x:v>0</x:v>
      </x:c>
      <x:c r="JA460" t="n">
        <x:f>IF(OR(IFERROR(INDIRECT("'WCM Calibration Final'!$A$460")&lt;&gt;"",FALSE),IFERROR(INDIRECT("'WCM Calibration Final'!$B$460")&lt;&gt;"",FALSE),IFERROR(INDIRECT("'WCM Calibration Final'!$C$460")&lt;&gt;"",FALSE)),460,0)</x:f>
        <x:v>0</x:v>
      </x:c>
      <x:c r="JB460" t="n">
        <x:f>'Calculations'!JB459+IF('Calculations'!JA460&gt;0,1,0)</x:f>
        <x:v>0</x:v>
      </x:c>
      <x:c r="JC460" t="n">
        <x:f>IF(OR('Calculations'!HF460="",'Calculations'!HF460="!AMBIG"),0,IF('Dashboard'!$B$7="All",1,COUNTIFS('Calculations'!$HO$13:$HO$512,"="&amp;SUBSTITUTE(SUBSTITUTE(SUBSTITUTE('Calculations'!HF460,"~","~~"),"*","~*"),"?","~?"),'Calculations'!$HN$13:$HN$512,"="&amp;SUBSTITUTE(SUBSTITUTE(SUBSTITUTE('Dashboard'!$B$7,"~","~~"),"*","~*"),"?","~?"))+COUNTIFS('Calculations'!$HP$13:$HP$512,"="&amp;SUBSTITUTE(SUBSTITUTE(SUBSTITUTE('Calculations'!HF460,"~","~~"),"*","~*"),"?","~?"),'Calculations'!$HN$13:$HN$512,"="&amp;SUBSTITUTE(SUBSTITUTE(SUBSTITUTE('Dashboard'!$B$7,"~","~~"),"*","~*"),"?","~?"))+COUNTIFS('Calculations'!$HQ$13:$HQ$512,"="&amp;SUBSTITUTE(SUBSTITUTE(SUBSTITUTE('Calculations'!HF460,"~","~~"),"*","~*"),"?","~?"),'Calculations'!$HN$13:$HN$512,"="&amp;SUBSTITUTE(SUBSTITUTE(SUBSTITUTE('Dashboard'!$B$7,"~","~~"),"*","~*"),"?","~?"))+COUNTIFS('Calculations'!$HR$13:$HR$512,"="&amp;SUBSTITUTE(SUBSTITUTE(SUBSTITUTE('Calculations'!HF460,"~","~~"),"*","~*"),"?","~?"),'Calculations'!$HN$13:$HN$512,"="&amp;SUBSTITUTE(SUBSTITUTE(SUBSTITUTE('Dashboard'!$B$7,"~","~~"),"*","~*"),"?","~?"))+COUNTIFS('Calculations'!$HS$13:$HS$512,"="&amp;SUBSTITUTE(SUBSTITUTE(SUBSTITUTE('Calculations'!HF460,"~","~~"),"*","~*"),"?","~?"),'Calculations'!$HN$13:$HN$512,"="&amp;SUBSTITUTE(SUBSTITUTE(SUBSTITUTE('Dashboard'!$B$7,"~","~~"),"*","~*"),"?","~?"))+COUNTIFS('Calculations'!$HT$13:$HT$512,"="&amp;SUBSTITUTE(SUBSTITUTE(SUBSTITUTE('Calculations'!HF460,"~","~~"),"*","~*"),"?","~?"),'Calculations'!$HN$13:$HN$512,"="&amp;SUBSTITUTE(SUBSTITUTE(SUBSTITUTE('Dashboard'!$B$7,"~","~~"),"*","~*"),"?","~?"))+COUNTIFS('Calculations'!$HU$13:$HU$512,"="&amp;SUBSTITUTE(SUBSTITUTE(SUBSTITUTE('Calculations'!HF460,"~","~~"),"*","~*"),"?","~?"),'Calculations'!$HN$13:$HN$512,"="&amp;SUBSTITUTE(SUBSTITUTE(SUBSTITUTE('Dashboard'!$B$7,"~","~~"),"*","~*"),"?","~?"))+COUNTIFS('Calculations'!$HV$13:$HV$512,"="&amp;SUBSTITUTE(SUBSTITUTE(SUBSTITUTE('Calculations'!HF460,"~","~~"),"*","~*"),"?","~?"),'Calculations'!$HN$13:$HN$512,"="&amp;SUBSTITUTE(SUBSTITUTE(SUBSTITUTE('Dashboard'!$B$7,"~","~~"),"*","~*"),"?","~?"))+COUNTIFS('Calculations'!$HW$13:$HW$512,"="&amp;SUBSTITUTE(SUBSTITUTE(SUBSTITUTE('Calculations'!HF460,"~","~~"),"*","~*"),"?","~?"),'Calculations'!$HN$13:$HN$512,"="&amp;SUBSTITUTE(SUBSTITUTE(SUBSTITUTE('Dashboard'!$B$7,"~","~~"),"*","~*"),"?","~?"))+COUNTIFS('Calculations'!$HX$13:$HX$512,"="&amp;SUBSTITUTE(SUBSTITUTE(SUBSTITUTE('Calculations'!HF460,"~","~~"),"*","~*"),"?","~?"),'Calculations'!$HN$13:$HN$512,"="&amp;SUBSTITUTE(SUBSTITUTE(SUBSTITUTE('Dashboard'!$B$7,"~","~~"),"*","~*"),"?","~?"))+COUNTIFS('Calculations'!$HY$13:$HY$512,"="&amp;SUBSTITUTE(SUBSTITUTE(SUBSTITUTE('Calculations'!HF460,"~","~~"),"*","~*"),"?","~?"),'Calculations'!$HN$13:$HN$512,"="&amp;SUBSTITUTE(SUBSTITUTE(SUBSTITUTE('Dashboard'!$B$7,"~","~~"),"*","~*"),"?","~?"))+COUNTIFS('Calculations'!$HZ$13:$HZ$512,"="&amp;SUBSTITUTE(SUBSTITUTE(SUBSTITUTE('Calculations'!HF460,"~","~~"),"*","~*"),"?","~?"),'Calculations'!$HN$13:$HN$512,"="&amp;SUBSTITUTE(SUBSTITUTE(SUBSTITUTE('Dashboard'!$B$7,"~","~~"),"*","~*"),"?","~?"))+COUNTIFS('Calculations'!$IA$13:$IA$512,"="&amp;SUBSTITUTE(SUBSTITUTE(SUBSTITUTE('Calculations'!HF460,"~","~~"),"*","~*"),"?","~?"),'Calculations'!$HN$13:$HN$512,"="&amp;SUBSTITUTE(SUBSTITUTE(SUBSTITUTE('Dashboard'!$B$7,"~","~~"),"*","~*"),"?","~?"))+COUNTIFS('Calculations'!$IB$13:$IB$512,"="&amp;SUBSTITUTE(SUBSTITUTE(SUBSTITUTE('Calculations'!HF460,"~","~~"),"*","~*"),"?","~?"),'Calculations'!$HN$13:$HN$512,"="&amp;SUBSTITUTE(SUBSTITUTE(SUBSTITUTE('Dashboard'!$B$7,"~","~~"),"*","~*"),"?","~?"))+COUNTIFS('Calculations'!$IC$13:$IC$512,"="&amp;SUBSTITUTE(SUBSTITUTE(SUBSTITUTE('Calculations'!HF460,"~","~~"),"*","~*"),"?","~?"),'Calculations'!$HN$13:$HN$512,"="&amp;SUBSTITUTE(SUBSTITUTE(SUBSTITUTE('Dashboard'!$B$7,"~","~~"),"*","~*"),"?","~?"))+COUNTIFS('Calculations'!$ID$13:$ID$512,"="&amp;SUBSTITUTE(SUBSTITUTE(SUBSTITUTE('Calculations'!HF460,"~","~~"),"*","~*"),"?","~?"),'Calculations'!$HN$13:$HN$512,"="&amp;SUBSTITUTE(SUBSTITUTE(SUBSTITUTE('Dashboard'!$B$7,"~","~~"),"*","~*"),"?","~?"))+COUNTIFS('Calculations'!$IE$13:$IE$512,"="&amp;SUBSTITUTE(SUBSTITUTE(SUBSTITUTE('Calculations'!HF460,"~","~~"),"*","~*"),"?","~?"),'Calculations'!$HN$13:$HN$512,"="&amp;SUBSTITUTE(SUBSTITUTE(SUBSTITUTE('Dashboard'!$B$7,"~","~~"),"*","~*"),"?","~?"))+COUNTIFS('Calculations'!$IF$13:$IF$512,"="&amp;SUBSTITUTE(SUBSTITUTE(SUBSTITUTE('Calculations'!HF460,"~","~~"),"*","~*"),"?","~?"),'Calculations'!$HN$13:$HN$512,"="&amp;SUBSTITUTE(SUBSTITUTE(SUBSTITUTE('Dashboard'!$B$7,"~","~~"),"*","~*"),"?","~?"))+COUNTIFS('Calculations'!$IG$13:$IG$512,"="&amp;SUBSTITUTE(SUBSTITUTE(SUBSTITUTE('Calculations'!HF460,"~","~~"),"*","~*"),"?","~?"),'Calculations'!$HN$13:$HN$512,"="&amp;SUBSTITUTE(SUBSTITUTE(SUBSTITUTE('Dashboard'!$B$7,"~","~~"),"*","~*"),"?","~?"))+COUNTIFS('Calculations'!$IH$13:$IH$512,"="&amp;SUBSTITUTE(SUBSTITUTE(SUBSTITUTE('Calculations'!HF460,"~","~~"),"*","~*"),"?","~?"),'Calculations'!$HN$13:$HN$512,"="&amp;SUBSTITUTE(SUBSTITUTE(SUBSTITUTE('Dashboard'!$B$7,"~","~~"),"*","~*"),"?","~?"))))</x:f>
        <x:v>0</x:v>
      </x:c>
      <x:c r="JD460" t="n">
        <x:f>IF('Calculations'!EM460="",0,IF('Dashboard'!$B$7="All",1,IF('Calculations'!HN460='Dashboard'!$B$7,1,0)+IFERROR(INDEX('Calculations'!$JC$13:$JC$512,MATCH('Calculations'!HE460,'Calculations'!$HF$13:$HF$512,0)),0)))</x:f>
        <x:v>0</x:v>
      </x:c>
      <x:c r="JE460" t="n">
        <x:f>IF(AND('Calculations'!EM460&lt;&gt;"",'Calculations'!$JJ$2&lt;&gt;"All",'Calculations'!$JJ$2&lt;&gt;"",'Calculations'!HF460='Calculations'!$JJ$2,'Calculations'!HL460=0,'Calculations'!JD460&gt;0),MAX('Calculations'!$JE$12:JE459)+1,0)</x:f>
        <x:v>0</x:v>
      </x:c>
      <x:c r="JF460" t="str">
        <x:f>IF('Calculations'!EM460="","",IFERROR(IF(INDEX(INDIRECT("'WCM Calibration Final'!$G$1:$G$2000"),'Calculations'!$EM460)="","",TRIM(INDEX(INDIRECT("'WCM Calibration Final'!$G$1:$G$2000"),'Calculations'!$EM460)&amp;"")),""))</x:f>
      </x:c>
      <x:c r="JQ460" t="n">
        <x:f>IF(OR('Calculations'!BM460=0,NOT('Calculations'!$AG$2),'Calculations'!$AG$8&gt;0),0,IF(OR('Dashboard'!$B$7="All",'Calculations'!HN460='Dashboard'!$B$7),IF('Calculations'!$JJ$2="All",1,IF(AND('Calculations'!HF460='Calculations'!$JJ$2,'Calculations'!HL460=0),1,0)),0))</x:f>
        <x:v>0</x:v>
      </x:c>
    </x:row>
    <x:row r="461">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t="n">
        <x:f>IF('Calculations'!$EM461="",0,IF(OR(IFERROR(INDEX(INDIRECT("'WCM Calibration Final'!$A$1:$A$2000"),'Calculations'!$EM461)&lt;&gt;"",FALSE),IFERROR(INDEX(INDIRECT("'WCM Calibration Final'!$B$1:$B$2000"),'Calculations'!$EM461)&lt;&gt;"",FALSE),IFERROR(INDEX(INDIRECT("'WCM Calibration Final'!$C$1:$C$2000"),'Calculations'!$EM461)&lt;&gt;"",FALSE)),1,0))</x:f>
        <x:v>0</x:v>
      </x:c>
      <x:c r="BN461" s="4" t="n">
        <x:f>IF(AND('Calculations'!BM461=1,'Calculations'!$AG$2,'Calculations'!$EN461=1),1,0)</x:f>
        <x:v>0</x:v>
      </x:c>
      <x:c r="BO461" s="4" t="str">
        <x:f>IF('Calculations'!BM461=0,"",IFERROR(IF(AND(VALUE(INDEX(INDIRECT("'WCM Calibration Final'!$K$1:$K$2000"),'Calculations'!$EM461))&gt;=1,VALUE(INDEX(INDIRECT("'WCM Calibration Final'!$K$1:$K$2000"),'Calculations'!$EM461))&lt;=4,MOD(VALUE(INDEX(INDIRECT("'WCM Calibration Final'!$K$1:$K$2000"),'Calculations'!$EM461)),1)=0),VALUE(INDEX(INDIRECT("'WCM Calibration Final'!$K$1:$K$2000"),'Calculations'!$EM461)),""),""))</x:f>
      </x:c>
      <x:c r="BP461" s="4" t="str">
        <x:f>IF('Calculations'!BM461=0,"",IFERROR(IF(AND(VALUE(INDEX(INDIRECT("'WCM Calibration Final'!$L$1:$L$2000"),'Calculations'!$EM461))&gt;=1,VALUE(INDEX(INDIRECT("'WCM Calibration Final'!$L$1:$L$2000"),'Calculations'!$EM461))&lt;=4,MOD(VALUE(INDEX(INDIRECT("'WCM Calibration Final'!$L$1:$L$2000"),'Calculations'!$EM461)),1)=0),VALUE(INDEX(INDIRECT("'WCM Calibration Final'!$L$1:$L$2000"),'Calculations'!$EM461)),""),""))</x:f>
      </x:c>
      <x:c r="BQ461" s="4"/>
      <x:c r="BR461" s="4"/>
      <x:c r="BS461" s="4"/>
      <x:c r="BT461" s="4" t="n">
        <x:f>IF(AND('Calculations'!BM461=1,ISNUMBER('Calculations'!BO461),ISNUMBER('Calculations'!BP461)),1,0)</x:f>
        <x:v>0</x:v>
      </x:c>
      <x:c r="BU461" s="4" t="str">
        <x:f>IF('Calculations'!BM461=0,"",'Calculations'!$EO461)</x:f>
      </x:c>
      <x:c r="BV461" s="4" t="str">
        <x:f>IF('Calculations'!BM461=0,"",IFERROR(IF(OR(INDEX(INDIRECT("'WCM Calibration Final'!$H$1:$H$2000"),'Calculations'!$EM461)="MANAGING DIRECTOR",INDEX(INDIRECT("'WCM Calibration Final'!$H$1:$H$2000"),'Calculations'!$EM461)="DIRECTOR",INDEX(INDIRECT("'WCM Calibration Final'!$H$1:$H$2000"),'Calculations'!$EM461)="SENIOR VICE PRESIDENT",INDEX(INDIRECT("'WCM Calibration Final'!$H$1:$H$2000"),'Calculations'!$EM461)="VICE PRESIDENT",INDEX(INDIRECT("'WCM Calibration Final'!$H$1:$H$2000"),'Calculations'!$EM461)="ASSISTANT VICE PRESIDENT",INDEX(INDIRECT("'WCM Calibration Final'!$H$1:$H$2000"),'Calculations'!$EM461)="OFFICER"),UPPER(INDEX(INDIRECT("'WCM Calibration Final'!$H$1:$H$2000"),'Calculations'!$EM461)),"Other"),"Other"))</x:f>
      </x:c>
      <x:c r="BW461" s="4"/>
      <x:c r="BX461" s="4"/>
      <x:c r="BY461" s="4" t="n">
        <x:f>IF(AND('Calculations'!BM461=1,'Calculations'!BU461&lt;&gt;"",COUNTIF('Calculations'!$BU$12:BU461,'Calculations'!BU461)=1),MAX('Calculations'!$BY$11:BY460)+1,0)</x:f>
        <x:v>0</x:v>
      </x:c>
      <x:c r="BZ461" s="4" t="str">
        <x:f>IF('Dashboard'!$E$67="What",'Calculations'!BO461,'Calculations'!BP461)</x:f>
      </x:c>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t="str">
        <x:f>IF(450&gt;MAX('Calculations'!$HI$13:$HI$512),"",INDEX('Calculations'!$HN$13:$HN$512,MATCH(450,'Calculations'!$HI$13:$HI$512,0)))</x:f>
      </x:c>
      <x:c r="DB461" s="4" t="str">
        <x:f>IF(450&gt;MAX('Calculations'!$HH$13:$HH$512),"",INDEX('Calculations'!$HJ$13:$HJ$512,MATCH(450,'Calculations'!$HH$13:$HH$512,0)))</x:f>
      </x:c>
      <x:c r="DC461" s="4" t="str">
        <x:f>IF(ROW()-11&gt;MAX('Calculations'!$BY$13:$BY$512),"",INDEX('Calculations'!$BU$13:$BU$512,MATCH(ROW()-11,'Calculations'!$BY$13:$BY$512,0)))</x:f>
      </x:c>
      <x:c r="DD461" s="4" t="str">
        <x:f>IF(450&gt;MAX('Calculations'!$IK$13:$IK$512),"",INDEX('Calculations'!$HK$13:$HK$512,MATCH(450,'Calculations'!$IK$13:$IK$512,0)))</x:f>
      </x:c>
      <x:c r="DE461" s="4" t="str">
        <x:f>'Calculations'!DC461</x:f>
      </x:c>
      <x:c r="DF461" s="4" t="str">
        <x:f>IF('Calculations'!DE461="","",COUNTIFS('Calculations'!$BN$13:$BN$512,1,'Calculations'!$BU$13:$BU$512,'Calculations'!DE461))</x:f>
      </x:c>
      <x:c r="DG461" s="4" t="str">
        <x:f>IF('Calculations'!DE461="","",COUNTIFS('Calculations'!$BN$13:$BN$512,1,'Calculations'!$BU$13:$BU$512,'Calculations'!DE461,'Calculations'!$BT$13:$BT$512,1))</x:f>
      </x:c>
      <x:c r="DH461" s="4" t="str">
        <x:f>IF('Calculations'!DE461="","",'Calculations'!DF461-'Calculations'!DG461)</x:f>
      </x:c>
      <x:c r="DI461" s="4" t="str">
        <x:f>IF(OR('Calculations'!DE461="",'Calculations'!DF461=0),"",'Calculations'!DG461/'Calculations'!DF461)</x:f>
      </x:c>
      <x:c r="DJ461" s="4" t="str">
        <x:f>IF('Calculations'!DE461="","",COUNTIFS('Calculations'!$BN$13:$BN$512,1,'Calculations'!$BU$13:$BU$512,'Calculations'!DE461,'Calculations'!$BT$13:$BT$512,1,'Calculations'!$EE$13:$EE$512,"High"))</x:f>
      </x:c>
      <x:c r="DK461" s="4" t="str">
        <x:f>IF('Calculations'!DE461="","",COUNTIFS('Calculations'!$BN$13:$BN$512,1,'Calculations'!$BU$13:$BU$512,'Calculations'!DE461,'Calculations'!$BT$13:$BT$512,1,'Calculations'!$EE$13:$EE$512,"Strong"))</x:f>
      </x:c>
      <x:c r="DL461" s="4" t="str">
        <x:f>IF('Calculations'!DE461="","",COUNTIFS('Calculations'!$BN$13:$BN$512,1,'Calculations'!$BU$13:$BU$512,'Calculations'!DE461,'Calculations'!$BT$13:$BT$512,1,'Calculations'!$EE$13:$EE$512,"Solid"))</x:f>
      </x:c>
      <x:c r="DM461" s="4" t="str">
        <x:f>IF('Calculations'!DE461="","",COUNTIFS('Calculations'!$BN$13:$BN$512,1,'Calculations'!$BU$13:$BU$512,'Calculations'!DE461,'Calculations'!$BT$13:$BT$512,1,'Calculations'!$EE$13:$EE$512,"Low"))</x:f>
      </x:c>
      <x:c r="DN461" s="4" t="str">
        <x:f>IF('Calculations'!DE461="","",COUNTIFS('Calculations'!$BN$13:$BN$512,1,'Calculations'!$BU$13:$BU$512,'Calculations'!DE461,'Calculations'!$EP$13:$EP$512,1))</x:f>
      </x:c>
      <x:c r="DO461" s="4" t="str">
        <x:f>IF(OR('Calculations'!DE461="",'Calculations'!DG461=0),"",('Calculations'!DJ461+'Calculations'!DK461)/'Calculations'!DG461)</x:f>
      </x:c>
      <x:c r="DP461" s="4" t="n">
        <x:f>IF(AND('Calculations'!DE461&lt;&gt;"",'Calculations'!DF461&gt;0),COUNTIF('Calculations'!$DF$12:DF461,"&gt;0"),0)</x:f>
        <x:v>0</x:v>
      </x:c>
      <x:c r="DQ461" s="4" t="str">
        <x:f>IF(450&gt;MAX('Calculations'!$HH$13:$HH$512),"",INDEX('Calculations'!$HF$13:$HF$512,MATCH(450,'Calculations'!$HH$13:$HH$512,0)))</x:f>
      </x:c>
      <x:c r="DR461" s="4" t="str">
        <x:f>IF(450&gt;MAX('Calculations'!$IK$13:$IK$512),"",INDEX('Calculations'!$HE$13:$HE$512,MATCH(450,'Calculations'!$IK$13:$IK$512,0)))</x:f>
      </x:c>
      <x:c r="DS461" s="4"/>
      <x:c r="DT461" s="4"/>
      <x:c r="DU461" s="4"/>
      <x:c r="DV461" s="4"/>
      <x:c r="DW461" s="4"/>
      <x:c r="DX461" s="4"/>
      <x:c r="DY461" s="4"/>
      <x:c r="DZ461" s="4"/>
      <x:c r="EA461" s="4"/>
      <x:c r="EB461" s="4"/>
      <x:c r="EC461" s="4"/>
      <x:c r="ED461" s="4"/>
      <x:c r="EE461" s="4" t="str">
        <x:f>IF('Calculations'!BT461=0,"Not Rated",IF(OR('Calculations'!BO461&gt;=4,'Calculations'!BP461&gt;=4),"Low",IF('Calculations'!BO461+'Calculations'!BP461&lt;=3,"High",IF('Calculations'!BO461+'Calculations'!BP461&lt;=4,"Strong","Solid"))))</x:f>
        <x:v>Not Rated</x:v>
      </x:c>
      <x:c r="EF461" s="4"/>
      <x:c r="EG461" s="4"/>
      <x:c r="EH461" s="4"/>
      <x:c r="EI461" s="4"/>
      <x:c r="EJ461" s="4"/>
      <x:c r="EK461" s="4"/>
      <x:c r="EL461" s="4"/>
      <x:c r="EM461" s="4" t="str">
        <x:f>IF(449&gt;'Calculations'!$JB$2000,"",INDEX('Calculations'!$JA$12:$JA$2000,MATCH(449,'Calculations'!$JB$12:$JB$2000,0)))</x:f>
      </x:c>
      <x:c r="EN461" s="4" t="n">
        <x:f>IF(OR('Calculations'!EM461="",'Calculations'!$AG$8&gt;0,AND('Calculations'!$EF$2&lt;&gt;"All",'Calculations'!HE461='Calculations'!$EF$2),AND('Calculations'!$EF$3&lt;&gt;"All",'Calculations'!HE461='Calculations'!$EF$3)),0,IF(OR('Dashboard'!$B$7="All",'Calculations'!HN461='Dashboard'!$B$7),IF('Calculations'!$EF$2="All",1,IF('Calculations'!HL461&gt;0,0,IF(COUNTIF('Calculations'!HO461:II461,"="&amp;SUBSTITUTE(SUBSTITUTE(SUBSTITUTE('Calculations'!$EF$2,"~","~~"),"*","~*"),"?","~?"))=0,0,IF('Calculations'!$EF$3="All",1,IF(COUNTIF('Calculations'!HO461:II461,"="&amp;SUBSTITUTE(SUBSTITUTE(SUBSTITUTE('Calculations'!$EF$3,"~","~~"),"*","~*"),"?","~?"))&gt;0,1,0))))),0))</x:f>
        <x:v>0</x:v>
      </x:c>
      <x:c r="EO461" s="4" t="str">
        <x:f>IF('Calculations'!IJ461="","",IF('Calculations'!IJ461="!UNRESOLVED","Unresolved hierarchy",IFERROR(INDEX('Calculations'!$HK$13:$HK$512,MATCH('Calculations'!IJ461,'Calculations'!$HE$13:$HE$512,0)),IFERROR(INDEX('Calculations'!$HJ$13:$HJ$512,MATCH('Calculations'!IJ461,'Calculations'!$HF$13:$HF$512,0)),'Calculations'!IJ461))))</x:f>
      </x:c>
      <x:c r="EP461" s="4" t="n">
        <x:f>IF(AND('Calculations'!EM461&lt;&gt;"",'Calculations'!HF461='Calculations'!IJ461),1,0)</x:f>
        <x:v>0</x:v>
      </x:c>
      <x:c r="EQ461" s="4"/>
      <x:c r="ER461" s="4"/>
      <x:c r="ES461" s="4"/>
      <x:c r="ET461" s="4"/>
      <x:c r="EU461" s="4"/>
      <x:c r="EV461" s="4"/>
      <x:c r="EW461" s="4"/>
      <x:c r="EX461" s="4"/>
      <x:c r="EY461" s="4"/>
      <x:c r="EZ461" s="4"/>
      <x:c r="FA461" s="4"/>
      <x:c r="FB461" s="4"/>
      <x:c r="FC461" s="4"/>
      <x:c r="FD461" s="4"/>
      <x:c r="FE461" s="4"/>
      <x:c r="FF461" s="4"/>
      <x:c r="FG461" s="4"/>
      <x:c r="FH461" s="4"/>
      <x:c r="FI461" s="4"/>
      <x:c r="FJ461" s="4"/>
      <x:c r="FK461" s="4"/>
      <x:c r="FL461" s="4"/>
      <x:c r="FM461" s="4"/>
      <x:c r="FN461" s="4"/>
      <x:c r="FO461" s="4"/>
      <x:c r="HE461" t="str">
        <x:f>IF('Calculations'!EM461="","",IF(IFERROR(IF(INDEX(INDIRECT("'WCM Calibration Final'!$A$1:$A$2000"),'Calculations'!$EM461)="","",TRIM(INDEX(INDIRECT("'WCM Calibration Final'!$A$1:$A$2000"),'Calculations'!$EM461)&amp;"")),"")&lt;&gt;"","G:"&amp;IFERROR(TEXT(1*INDEX(INDIRECT("'WCM Calibration Final'!$A$1:$A$2000"),'Calculations'!$EM461),"0"),UPPER(IFERROR(IF(INDEX(INDIRECT("'WCM Calibration Final'!$A$1:$A$2000"),'Calculations'!$EM461)="","",TRIM(INDEX(INDIRECT("'WCM Calibration Final'!$A$1:$A$2000"),'Calculations'!$EM461)&amp;"")),""))),IF(IFERROR(IF(INDEX(INDIRECT("'WCM Calibration Final'!$C$1:$C$2000"),'Calculations'!$EM461)="","",TRIM(INDEX(INDIRECT("'WCM Calibration Final'!$C$1:$C$2000"),'Calculations'!$EM461)&amp;"")),"")&lt;&gt;"","S:"&amp;UPPER(IFERROR(IF(INDEX(INDIRECT("'WCM Calibration Final'!$C$1:$C$2000"),'Calculations'!$EM461)="","",TRIM(INDEX(INDIRECT("'WCM Calibration Final'!$C$1:$C$2000"),'Calculations'!$EM461)&amp;"")),"")),"R:"&amp;'Calculations'!EM461)))</x:f>
      </x:c>
      <x:c r="HF461" t="str">
        <x:f>IF('Calculations'!EM461="","",IF(IFERROR(IF(INDEX(INDIRECT("'WCM Calibration Final'!$D$1:$D$2000"),'Calculations'!$EM461)="","",TRIM(INDEX(INDIRECT("'WCM Calibration Final'!$D$1:$D$2000"),'Calculations'!$EM461)&amp;"")),"")&lt;&gt;"","G:"&amp;IFERROR(TEXT(1*INDEX(INDIRECT("'WCM Calibration Final'!$D$1:$D$2000"),'Calculations'!$EM461),"0"),UPPER(IFERROR(IF(INDEX(INDIRECT("'WCM Calibration Final'!$D$1:$D$2000"),'Calculations'!$EM461)="","",TRIM(INDEX(INDIRECT("'WCM Calibration Final'!$D$1:$D$2000"),'Calculations'!$EM461)&amp;"")),""))),IF(IFERROR(IF(INDEX(INDIRECT("'WCM Calibration Final'!$E$1:$E$2000"),'Calculations'!$EM461)="","",TRIM(INDEX(INDIRECT("'WCM Calibration Final'!$E$1:$E$2000"),'Calculations'!$EM461)&amp;"")),"")="","",IF(COUNTIF('Calculations'!$HG$13:$HG$512,"="&amp;SUBSTITUTE(SUBSTITUTE(SUBSTITUTE(IFERROR(IF(INDEX(INDIRECT("'WCM Calibration Final'!$E$1:$E$2000"),'Calculations'!$EM461)="","",TRIM(INDEX(INDIRECT("'WCM Calibration Final'!$E$1:$E$2000"),'Calculations'!$EM461)&amp;"")),""),"~","~~"),"*","~*"),"?","~?"))=1,INDEX('Calculations'!$HE$13:$HE$512,MATCH(IFERROR(IF(INDEX(INDIRECT("'WCM Calibration Final'!$E$1:$E$2000"),'Calculations'!$EM461)="","",TRIM(INDEX(INDIRECT("'WCM Calibration Final'!$E$1:$E$2000"),'Calculations'!$EM461)&amp;"")),""),'Calculations'!$HG$13:$HG$512,0)),IF(COUNTIF('Calculations'!$HG$13:$HG$512,"="&amp;SUBSTITUTE(SUBSTITUTE(SUBSTITUTE(IFERROR(IF(INDEX(INDIRECT("'WCM Calibration Final'!$E$1:$E$2000"),'Calculations'!$EM461)="","",TRIM(INDEX(INDIRECT("'WCM Calibration Final'!$E$1:$E$2000"),'Calculations'!$EM461)&amp;"")),""),"~","~~"),"*","~*"),"?","~?"))&gt;1,"!AMBIG","X:"&amp;IFERROR(IF(INDEX(INDIRECT("'WCM Calibration Final'!$E$1:$E$2000"),'Calculations'!$EM461)="","",TRIM(INDEX(INDIRECT("'WCM Calibration Final'!$E$1:$E$2000"),'Calculations'!$EM461)&amp;"")),""))))))</x:f>
      </x:c>
      <x:c r="HG461" t="str">
        <x:f>IF('Calculations'!EM461="","",IFERROR(IF(INDEX(INDIRECT("'WCM Calibration Final'!$B$1:$B$2000"),'Calculations'!$EM461)="","",TRIM(INDEX(INDIRECT("'WCM Calibration Final'!$B$1:$B$2000"),'Calculations'!$EM461)&amp;"")),""))</x:f>
      </x:c>
      <x:c r="HH461" t="n">
        <x:f>IF(AND('Calculations'!JC461&gt;0,COUNTIF('Calculations'!$HF$12:HF461,"="&amp;SUBSTITUTE(SUBSTITUTE(SUBSTITUTE('Calculations'!HF461,"~","~~"),"*","~*"),"?","~?"))=1),MAX('Calculations'!$HH$12:HH460)+1,0)</x:f>
        <x:v>0</x:v>
      </x:c>
      <x:c r="HI461" t="n">
        <x:f>IF(AND('Calculations'!HN461&lt;&gt;"",COUNTIF('Calculations'!$HN$12:HN461,"="&amp;SUBSTITUTE(SUBSTITUTE(SUBSTITUTE('Calculations'!HN461,"~","~~"),"*","~*"),"?","~?"))=1),MAX('Calculations'!$HI$12:HI460)+1,0)</x:f>
        <x:v>0</x:v>
      </x:c>
      <x:c r="HJ461" t="str">
        <x:f>IF('Calculations'!HF461="","",IF(COUNTIF('Calculations'!$HE$13:$HE$512,"="&amp;SUBSTITUTE(SUBSTITUTE(SUBSTITUTE('Calculations'!HF461,"~","~~"),"*","~*"),"?","~?"))=1,INDEX('Calculations'!$HK$13:$HK$512,MATCH('Calculations'!HF461,'Calculations'!$HE$13:$HE$512,0)),IFERROR(IF(INDEX(INDIRECT("'WCM Calibration Final'!$E$1:$E$2000"),'Calculations'!$EM461)="","",TRIM(INDEX(INDIRECT("'WCM Calibration Final'!$E$1:$E$2000"),'Calculations'!$EM461)&amp;"")),"")&amp;" ["&amp;'Calculations'!HF461&amp;"]"))</x:f>
      </x:c>
      <x:c r="HK461" t="str">
        <x:f>IF('Calculations'!EM461="","",'Calculations'!HG461&amp;" ["&amp;'Calculations'!HE461&amp;"]")</x:f>
      </x:c>
      <x:c r="HL461" t="n">
        <x:f>IF('Calculations'!EM461="",0,IF(OR('Calculations'!II461&lt;&gt;"",COUNTIF('Calculations'!$HE$13:$HE$512,"="&amp;SUBSTITUTE(SUBSTITUTE(SUBSTITUTE('Calculations'!HE461,"~","~~"),"*","~*"),"?","~?"))&gt;1),1,0))</x:f>
        <x:v>0</x:v>
      </x:c>
      <x:c r="HM461" t="str">
        <x:f>IF('Calculations'!EM461="","",IF('Calculations'!HL461=1,"!UNRESOLVED",IF('Calculations'!IH461&lt;&gt;"",'Calculations'!IH461,IF('Calculations'!IG461&lt;&gt;"",'Calculations'!IG461,IF('Calculations'!IF461&lt;&gt;"",'Calculations'!IF461,IF('Calculations'!IE461&lt;&gt;"",'Calculations'!IE461,IF('Calculations'!ID461&lt;&gt;"",'Calculations'!ID461,IF('Calculations'!IC461&lt;&gt;"",'Calculations'!IC461,IF('Calculations'!IB461&lt;&gt;"",'Calculations'!IB461,IF('Calculations'!IA461&lt;&gt;"",'Calculations'!IA461,IF('Calculations'!HZ461&lt;&gt;"",'Calculations'!HZ461,IF('Calculations'!HY461&lt;&gt;"",'Calculations'!HY461,IF('Calculations'!HX461&lt;&gt;"",'Calculations'!HX461,IF('Calculations'!HW461&lt;&gt;"",'Calculations'!HW461,IF('Calculations'!HV461&lt;&gt;"",'Calculations'!HV461,IF('Calculations'!HU461&lt;&gt;"",'Calculations'!HU461,IF('Calculations'!HT461&lt;&gt;"",'Calculations'!HT461,IF('Calculations'!HS461&lt;&gt;"",'Calculations'!HS461,IF('Calculations'!HR461&lt;&gt;"",'Calculations'!HR461,IF('Calculations'!HQ461&lt;&gt;"",'Calculations'!HQ461,IF('Calculations'!HP461&lt;&gt;"",'Calculations'!HP461,IF('Calculations'!HO461&lt;&gt;"",'Calculations'!HO461,'Calculations'!HE461))))))))))))))))))))))</x:f>
      </x:c>
      <x:c r="HN461" t="str">
        <x:f>IF('Calculations'!EM461="","",IF(IFERROR(IF(INDEX(INDIRECT("'WCM Calibration Final'!$F$1:$F$2000"),'Calculations'!$EM461)="","",TRIM(INDEX(INDIRECT("'WCM Calibration Final'!$F$1:$F$2000"),'Calculations'!$EM461)&amp;"")),"")="","(Blank)",IFERROR(IF(INDEX(INDIRECT("'WCM Calibration Final'!$F$1:$F$2000"),'Calculations'!$EM461)="","",TRIM(INDEX(INDIRECT("'WCM Calibration Final'!$F$1:$F$2000"),'Calculations'!$EM461)&amp;"")),"")))</x:f>
      </x:c>
      <x:c r="HO461" t="str">
        <x:f>'Calculations'!HF461</x:f>
      </x:c>
      <x:c r="HP461" t="str">
        <x:f>IF('Calculations'!HO461="","",IF('Calculations'!HO461="!AMBIG","!AMBIG",IF(COUNTIF('Calculations'!$HE$13:$HE$512,"="&amp;SUBSTITUTE(SUBSTITUTE(SUBSTITUTE('Calculations'!HO461,"~","~~"),"*","~*"),"?","~?"))&gt;1,"!AMBIG",IFERROR(INDEX('Calculations'!$HF$13:$HF$512,MATCH('Calculations'!HO461,'Calculations'!$HE$13:$HE$512,0)),""))))</x:f>
      </x:c>
      <x:c r="HQ461" t="str">
        <x:f>IF('Calculations'!HP461="","",IF('Calculations'!HP461="!AMBIG","!AMBIG",IF(COUNTIF('Calculations'!$HE$13:$HE$512,"="&amp;SUBSTITUTE(SUBSTITUTE(SUBSTITUTE('Calculations'!HP461,"~","~~"),"*","~*"),"?","~?"))&gt;1,"!AMBIG",IFERROR(INDEX('Calculations'!$HF$13:$HF$512,MATCH('Calculations'!HP461,'Calculations'!$HE$13:$HE$512,0)),""))))</x:f>
      </x:c>
      <x:c r="HR461" t="str">
        <x:f>IF('Calculations'!HQ461="","",IF('Calculations'!HQ461="!AMBIG","!AMBIG",IF(COUNTIF('Calculations'!$HE$13:$HE$512,"="&amp;SUBSTITUTE(SUBSTITUTE(SUBSTITUTE('Calculations'!HQ461,"~","~~"),"*","~*"),"?","~?"))&gt;1,"!AMBIG",IFERROR(INDEX('Calculations'!$HF$13:$HF$512,MATCH('Calculations'!HQ461,'Calculations'!$HE$13:$HE$512,0)),""))))</x:f>
      </x:c>
      <x:c r="HS461" t="str">
        <x:f>IF('Calculations'!HR461="","",IF('Calculations'!HR461="!AMBIG","!AMBIG",IF(COUNTIF('Calculations'!$HE$13:$HE$512,"="&amp;SUBSTITUTE(SUBSTITUTE(SUBSTITUTE('Calculations'!HR461,"~","~~"),"*","~*"),"?","~?"))&gt;1,"!AMBIG",IFERROR(INDEX('Calculations'!$HF$13:$HF$512,MATCH('Calculations'!HR461,'Calculations'!$HE$13:$HE$512,0)),""))))</x:f>
      </x:c>
      <x:c r="HT461" t="str">
        <x:f>IF('Calculations'!HS461="","",IF('Calculations'!HS461="!AMBIG","!AMBIG",IF(COUNTIF('Calculations'!$HE$13:$HE$512,"="&amp;SUBSTITUTE(SUBSTITUTE(SUBSTITUTE('Calculations'!HS461,"~","~~"),"*","~*"),"?","~?"))&gt;1,"!AMBIG",IFERROR(INDEX('Calculations'!$HF$13:$HF$512,MATCH('Calculations'!HS461,'Calculations'!$HE$13:$HE$512,0)),""))))</x:f>
      </x:c>
      <x:c r="HU461" t="str">
        <x:f>IF('Calculations'!HT461="","",IF('Calculations'!HT461="!AMBIG","!AMBIG",IF(COUNTIF('Calculations'!$HE$13:$HE$512,"="&amp;SUBSTITUTE(SUBSTITUTE(SUBSTITUTE('Calculations'!HT461,"~","~~"),"*","~*"),"?","~?"))&gt;1,"!AMBIG",IFERROR(INDEX('Calculations'!$HF$13:$HF$512,MATCH('Calculations'!HT461,'Calculations'!$HE$13:$HE$512,0)),""))))</x:f>
      </x:c>
      <x:c r="HV461" t="str">
        <x:f>IF('Calculations'!HU461="","",IF('Calculations'!HU461="!AMBIG","!AMBIG",IF(COUNTIF('Calculations'!$HE$13:$HE$512,"="&amp;SUBSTITUTE(SUBSTITUTE(SUBSTITUTE('Calculations'!HU461,"~","~~"),"*","~*"),"?","~?"))&gt;1,"!AMBIG",IFERROR(INDEX('Calculations'!$HF$13:$HF$512,MATCH('Calculations'!HU461,'Calculations'!$HE$13:$HE$512,0)),""))))</x:f>
      </x:c>
      <x:c r="HW461" t="str">
        <x:f>IF('Calculations'!HV461="","",IF('Calculations'!HV461="!AMBIG","!AMBIG",IF(COUNTIF('Calculations'!$HE$13:$HE$512,"="&amp;SUBSTITUTE(SUBSTITUTE(SUBSTITUTE('Calculations'!HV461,"~","~~"),"*","~*"),"?","~?"))&gt;1,"!AMBIG",IFERROR(INDEX('Calculations'!$HF$13:$HF$512,MATCH('Calculations'!HV461,'Calculations'!$HE$13:$HE$512,0)),""))))</x:f>
      </x:c>
      <x:c r="HX461" t="str">
        <x:f>IF('Calculations'!HW461="","",IF('Calculations'!HW461="!AMBIG","!AMBIG",IF(COUNTIF('Calculations'!$HE$13:$HE$512,"="&amp;SUBSTITUTE(SUBSTITUTE(SUBSTITUTE('Calculations'!HW461,"~","~~"),"*","~*"),"?","~?"))&gt;1,"!AMBIG",IFERROR(INDEX('Calculations'!$HF$13:$HF$512,MATCH('Calculations'!HW461,'Calculations'!$HE$13:$HE$512,0)),""))))</x:f>
      </x:c>
      <x:c r="HY461" t="str">
        <x:f>IF('Calculations'!HX461="","",IF('Calculations'!HX461="!AMBIG","!AMBIG",IF(COUNTIF('Calculations'!$HE$13:$HE$512,"="&amp;SUBSTITUTE(SUBSTITUTE(SUBSTITUTE('Calculations'!HX461,"~","~~"),"*","~*"),"?","~?"))&gt;1,"!AMBIG",IFERROR(INDEX('Calculations'!$HF$13:$HF$512,MATCH('Calculations'!HX461,'Calculations'!$HE$13:$HE$512,0)),""))))</x:f>
      </x:c>
      <x:c r="HZ461" t="str">
        <x:f>IF('Calculations'!HY461="","",IF('Calculations'!HY461="!AMBIG","!AMBIG",IF(COUNTIF('Calculations'!$HE$13:$HE$512,"="&amp;SUBSTITUTE(SUBSTITUTE(SUBSTITUTE('Calculations'!HY461,"~","~~"),"*","~*"),"?","~?"))&gt;1,"!AMBIG",IFERROR(INDEX('Calculations'!$HF$13:$HF$512,MATCH('Calculations'!HY461,'Calculations'!$HE$13:$HE$512,0)),""))))</x:f>
      </x:c>
      <x:c r="IA461" t="str">
        <x:f>IF('Calculations'!HZ461="","",IF('Calculations'!HZ461="!AMBIG","!AMBIG",IF(COUNTIF('Calculations'!$HE$13:$HE$512,"="&amp;SUBSTITUTE(SUBSTITUTE(SUBSTITUTE('Calculations'!HZ461,"~","~~"),"*","~*"),"?","~?"))&gt;1,"!AMBIG",IFERROR(INDEX('Calculations'!$HF$13:$HF$512,MATCH('Calculations'!HZ461,'Calculations'!$HE$13:$HE$512,0)),""))))</x:f>
      </x:c>
      <x:c r="IB461" t="str">
        <x:f>IF('Calculations'!IA461="","",IF('Calculations'!IA461="!AMBIG","!AMBIG",IF(COUNTIF('Calculations'!$HE$13:$HE$512,"="&amp;SUBSTITUTE(SUBSTITUTE(SUBSTITUTE('Calculations'!IA461,"~","~~"),"*","~*"),"?","~?"))&gt;1,"!AMBIG",IFERROR(INDEX('Calculations'!$HF$13:$HF$512,MATCH('Calculations'!IA461,'Calculations'!$HE$13:$HE$512,0)),""))))</x:f>
      </x:c>
      <x:c r="IC461" t="str">
        <x:f>IF('Calculations'!IB461="","",IF('Calculations'!IB461="!AMBIG","!AMBIG",IF(COUNTIF('Calculations'!$HE$13:$HE$512,"="&amp;SUBSTITUTE(SUBSTITUTE(SUBSTITUTE('Calculations'!IB461,"~","~~"),"*","~*"),"?","~?"))&gt;1,"!AMBIG",IFERROR(INDEX('Calculations'!$HF$13:$HF$512,MATCH('Calculations'!IB461,'Calculations'!$HE$13:$HE$512,0)),""))))</x:f>
      </x:c>
      <x:c r="ID461" t="str">
        <x:f>IF('Calculations'!IC461="","",IF('Calculations'!IC461="!AMBIG","!AMBIG",IF(COUNTIF('Calculations'!$HE$13:$HE$512,"="&amp;SUBSTITUTE(SUBSTITUTE(SUBSTITUTE('Calculations'!IC461,"~","~~"),"*","~*"),"?","~?"))&gt;1,"!AMBIG",IFERROR(INDEX('Calculations'!$HF$13:$HF$512,MATCH('Calculations'!IC461,'Calculations'!$HE$13:$HE$512,0)),""))))</x:f>
      </x:c>
      <x:c r="IE461" t="str">
        <x:f>IF('Calculations'!ID461="","",IF('Calculations'!ID461="!AMBIG","!AMBIG",IF(COUNTIF('Calculations'!$HE$13:$HE$512,"="&amp;SUBSTITUTE(SUBSTITUTE(SUBSTITUTE('Calculations'!ID461,"~","~~"),"*","~*"),"?","~?"))&gt;1,"!AMBIG",IFERROR(INDEX('Calculations'!$HF$13:$HF$512,MATCH('Calculations'!ID461,'Calculations'!$HE$13:$HE$512,0)),""))))</x:f>
      </x:c>
      <x:c r="IF461" t="str">
        <x:f>IF('Calculations'!IE461="","",IF('Calculations'!IE461="!AMBIG","!AMBIG",IF(COUNTIF('Calculations'!$HE$13:$HE$512,"="&amp;SUBSTITUTE(SUBSTITUTE(SUBSTITUTE('Calculations'!IE461,"~","~~"),"*","~*"),"?","~?"))&gt;1,"!AMBIG",IFERROR(INDEX('Calculations'!$HF$13:$HF$512,MATCH('Calculations'!IE461,'Calculations'!$HE$13:$HE$512,0)),""))))</x:f>
      </x:c>
      <x:c r="IG461" t="str">
        <x:f>IF('Calculations'!IF461="","",IF('Calculations'!IF461="!AMBIG","!AMBIG",IF(COUNTIF('Calculations'!$HE$13:$HE$512,"="&amp;SUBSTITUTE(SUBSTITUTE(SUBSTITUTE('Calculations'!IF461,"~","~~"),"*","~*"),"?","~?"))&gt;1,"!AMBIG",IFERROR(INDEX('Calculations'!$HF$13:$HF$512,MATCH('Calculations'!IF461,'Calculations'!$HE$13:$HE$512,0)),""))))</x:f>
      </x:c>
      <x:c r="IH461" t="str">
        <x:f>IF('Calculations'!IG461="","",IF('Calculations'!IG461="!AMBIG","!AMBIG",IF(COUNTIF('Calculations'!$HE$13:$HE$512,"="&amp;SUBSTITUTE(SUBSTITUTE(SUBSTITUTE('Calculations'!IG461,"~","~~"),"*","~*"),"?","~?"))&gt;1,"!AMBIG",IFERROR(INDEX('Calculations'!$HF$13:$HF$512,MATCH('Calculations'!IG461,'Calculations'!$HE$13:$HE$512,0)),""))))</x:f>
      </x:c>
      <x:c r="II461" t="str">
        <x:f>IF('Calculations'!IH461="","",IF('Calculations'!IH461="!AMBIG","!AMBIG",IF(COUNTIF('Calculations'!$HE$13:$HE$512,"="&amp;SUBSTITUTE(SUBSTITUTE(SUBSTITUTE('Calculations'!IH461,"~","~~"),"*","~*"),"?","~?"))&gt;1,"!AMBIG",IFERROR(INDEX('Calculations'!$HF$13:$HF$512,MATCH('Calculations'!IH461,'Calculations'!$HE$13:$HE$512,0)),""))))</x:f>
      </x:c>
      <x:c r="IJ461" t="str">
        <x:f>IF('Calculations'!EM461="","",IF('Calculations'!$EF$2="All",'Calculations'!HM461,IF('Calculations'!HL461=1,"",IFERROR(IF(MATCH('Calculations'!$EF$2,'Calculations'!HO461:II461,0)=1,'Calculations'!HE461,INDEX('Calculations'!HO461:II461,1,MATCH('Calculations'!$EF$2,'Calculations'!HO461:II461,0)-1)),""))))</x:f>
      </x:c>
      <x:c r="IK461" t="n">
        <x:f>IF(AND('Calculations'!EM461&lt;&gt;"",'Calculations'!$EF$2&lt;&gt;"All",'Calculations'!HF461='Calculations'!$EF$2,'Calculations'!HL461=0,'Calculations'!JD461&gt;0),MAX('Calculations'!$IK$12:IK460)+1,0)</x:f>
        <x:v>0</x:v>
      </x:c>
      <x:c r="JA461" t="n">
        <x:f>IF(OR(IFERROR(INDIRECT("'WCM Calibration Final'!$A$461")&lt;&gt;"",FALSE),IFERROR(INDIRECT("'WCM Calibration Final'!$B$461")&lt;&gt;"",FALSE),IFERROR(INDIRECT("'WCM Calibration Final'!$C$461")&lt;&gt;"",FALSE)),461,0)</x:f>
        <x:v>0</x:v>
      </x:c>
      <x:c r="JB461" t="n">
        <x:f>'Calculations'!JB460+IF('Calculations'!JA461&gt;0,1,0)</x:f>
        <x:v>0</x:v>
      </x:c>
      <x:c r="JC461" t="n">
        <x:f>IF(OR('Calculations'!HF461="",'Calculations'!HF461="!AMBIG"),0,IF('Dashboard'!$B$7="All",1,COUNTIFS('Calculations'!$HO$13:$HO$512,"="&amp;SUBSTITUTE(SUBSTITUTE(SUBSTITUTE('Calculations'!HF461,"~","~~"),"*","~*"),"?","~?"),'Calculations'!$HN$13:$HN$512,"="&amp;SUBSTITUTE(SUBSTITUTE(SUBSTITUTE('Dashboard'!$B$7,"~","~~"),"*","~*"),"?","~?"))+COUNTIFS('Calculations'!$HP$13:$HP$512,"="&amp;SUBSTITUTE(SUBSTITUTE(SUBSTITUTE('Calculations'!HF461,"~","~~"),"*","~*"),"?","~?"),'Calculations'!$HN$13:$HN$512,"="&amp;SUBSTITUTE(SUBSTITUTE(SUBSTITUTE('Dashboard'!$B$7,"~","~~"),"*","~*"),"?","~?"))+COUNTIFS('Calculations'!$HQ$13:$HQ$512,"="&amp;SUBSTITUTE(SUBSTITUTE(SUBSTITUTE('Calculations'!HF461,"~","~~"),"*","~*"),"?","~?"),'Calculations'!$HN$13:$HN$512,"="&amp;SUBSTITUTE(SUBSTITUTE(SUBSTITUTE('Dashboard'!$B$7,"~","~~"),"*","~*"),"?","~?"))+COUNTIFS('Calculations'!$HR$13:$HR$512,"="&amp;SUBSTITUTE(SUBSTITUTE(SUBSTITUTE('Calculations'!HF461,"~","~~"),"*","~*"),"?","~?"),'Calculations'!$HN$13:$HN$512,"="&amp;SUBSTITUTE(SUBSTITUTE(SUBSTITUTE('Dashboard'!$B$7,"~","~~"),"*","~*"),"?","~?"))+COUNTIFS('Calculations'!$HS$13:$HS$512,"="&amp;SUBSTITUTE(SUBSTITUTE(SUBSTITUTE('Calculations'!HF461,"~","~~"),"*","~*"),"?","~?"),'Calculations'!$HN$13:$HN$512,"="&amp;SUBSTITUTE(SUBSTITUTE(SUBSTITUTE('Dashboard'!$B$7,"~","~~"),"*","~*"),"?","~?"))+COUNTIFS('Calculations'!$HT$13:$HT$512,"="&amp;SUBSTITUTE(SUBSTITUTE(SUBSTITUTE('Calculations'!HF461,"~","~~"),"*","~*"),"?","~?"),'Calculations'!$HN$13:$HN$512,"="&amp;SUBSTITUTE(SUBSTITUTE(SUBSTITUTE('Dashboard'!$B$7,"~","~~"),"*","~*"),"?","~?"))+COUNTIFS('Calculations'!$HU$13:$HU$512,"="&amp;SUBSTITUTE(SUBSTITUTE(SUBSTITUTE('Calculations'!HF461,"~","~~"),"*","~*"),"?","~?"),'Calculations'!$HN$13:$HN$512,"="&amp;SUBSTITUTE(SUBSTITUTE(SUBSTITUTE('Dashboard'!$B$7,"~","~~"),"*","~*"),"?","~?"))+COUNTIFS('Calculations'!$HV$13:$HV$512,"="&amp;SUBSTITUTE(SUBSTITUTE(SUBSTITUTE('Calculations'!HF461,"~","~~"),"*","~*"),"?","~?"),'Calculations'!$HN$13:$HN$512,"="&amp;SUBSTITUTE(SUBSTITUTE(SUBSTITUTE('Dashboard'!$B$7,"~","~~"),"*","~*"),"?","~?"))+COUNTIFS('Calculations'!$HW$13:$HW$512,"="&amp;SUBSTITUTE(SUBSTITUTE(SUBSTITUTE('Calculations'!HF461,"~","~~"),"*","~*"),"?","~?"),'Calculations'!$HN$13:$HN$512,"="&amp;SUBSTITUTE(SUBSTITUTE(SUBSTITUTE('Dashboard'!$B$7,"~","~~"),"*","~*"),"?","~?"))+COUNTIFS('Calculations'!$HX$13:$HX$512,"="&amp;SUBSTITUTE(SUBSTITUTE(SUBSTITUTE('Calculations'!HF461,"~","~~"),"*","~*"),"?","~?"),'Calculations'!$HN$13:$HN$512,"="&amp;SUBSTITUTE(SUBSTITUTE(SUBSTITUTE('Dashboard'!$B$7,"~","~~"),"*","~*"),"?","~?"))+COUNTIFS('Calculations'!$HY$13:$HY$512,"="&amp;SUBSTITUTE(SUBSTITUTE(SUBSTITUTE('Calculations'!HF461,"~","~~"),"*","~*"),"?","~?"),'Calculations'!$HN$13:$HN$512,"="&amp;SUBSTITUTE(SUBSTITUTE(SUBSTITUTE('Dashboard'!$B$7,"~","~~"),"*","~*"),"?","~?"))+COUNTIFS('Calculations'!$HZ$13:$HZ$512,"="&amp;SUBSTITUTE(SUBSTITUTE(SUBSTITUTE('Calculations'!HF461,"~","~~"),"*","~*"),"?","~?"),'Calculations'!$HN$13:$HN$512,"="&amp;SUBSTITUTE(SUBSTITUTE(SUBSTITUTE('Dashboard'!$B$7,"~","~~"),"*","~*"),"?","~?"))+COUNTIFS('Calculations'!$IA$13:$IA$512,"="&amp;SUBSTITUTE(SUBSTITUTE(SUBSTITUTE('Calculations'!HF461,"~","~~"),"*","~*"),"?","~?"),'Calculations'!$HN$13:$HN$512,"="&amp;SUBSTITUTE(SUBSTITUTE(SUBSTITUTE('Dashboard'!$B$7,"~","~~"),"*","~*"),"?","~?"))+COUNTIFS('Calculations'!$IB$13:$IB$512,"="&amp;SUBSTITUTE(SUBSTITUTE(SUBSTITUTE('Calculations'!HF461,"~","~~"),"*","~*"),"?","~?"),'Calculations'!$HN$13:$HN$512,"="&amp;SUBSTITUTE(SUBSTITUTE(SUBSTITUTE('Dashboard'!$B$7,"~","~~"),"*","~*"),"?","~?"))+COUNTIFS('Calculations'!$IC$13:$IC$512,"="&amp;SUBSTITUTE(SUBSTITUTE(SUBSTITUTE('Calculations'!HF461,"~","~~"),"*","~*"),"?","~?"),'Calculations'!$HN$13:$HN$512,"="&amp;SUBSTITUTE(SUBSTITUTE(SUBSTITUTE('Dashboard'!$B$7,"~","~~"),"*","~*"),"?","~?"))+COUNTIFS('Calculations'!$ID$13:$ID$512,"="&amp;SUBSTITUTE(SUBSTITUTE(SUBSTITUTE('Calculations'!HF461,"~","~~"),"*","~*"),"?","~?"),'Calculations'!$HN$13:$HN$512,"="&amp;SUBSTITUTE(SUBSTITUTE(SUBSTITUTE('Dashboard'!$B$7,"~","~~"),"*","~*"),"?","~?"))+COUNTIFS('Calculations'!$IE$13:$IE$512,"="&amp;SUBSTITUTE(SUBSTITUTE(SUBSTITUTE('Calculations'!HF461,"~","~~"),"*","~*"),"?","~?"),'Calculations'!$HN$13:$HN$512,"="&amp;SUBSTITUTE(SUBSTITUTE(SUBSTITUTE('Dashboard'!$B$7,"~","~~"),"*","~*"),"?","~?"))+COUNTIFS('Calculations'!$IF$13:$IF$512,"="&amp;SUBSTITUTE(SUBSTITUTE(SUBSTITUTE('Calculations'!HF461,"~","~~"),"*","~*"),"?","~?"),'Calculations'!$HN$13:$HN$512,"="&amp;SUBSTITUTE(SUBSTITUTE(SUBSTITUTE('Dashboard'!$B$7,"~","~~"),"*","~*"),"?","~?"))+COUNTIFS('Calculations'!$IG$13:$IG$512,"="&amp;SUBSTITUTE(SUBSTITUTE(SUBSTITUTE('Calculations'!HF461,"~","~~"),"*","~*"),"?","~?"),'Calculations'!$HN$13:$HN$512,"="&amp;SUBSTITUTE(SUBSTITUTE(SUBSTITUTE('Dashboard'!$B$7,"~","~~"),"*","~*"),"?","~?"))+COUNTIFS('Calculations'!$IH$13:$IH$512,"="&amp;SUBSTITUTE(SUBSTITUTE(SUBSTITUTE('Calculations'!HF461,"~","~~"),"*","~*"),"?","~?"),'Calculations'!$HN$13:$HN$512,"="&amp;SUBSTITUTE(SUBSTITUTE(SUBSTITUTE('Dashboard'!$B$7,"~","~~"),"*","~*"),"?","~?"))))</x:f>
        <x:v>0</x:v>
      </x:c>
      <x:c r="JD461" t="n">
        <x:f>IF('Calculations'!EM461="",0,IF('Dashboard'!$B$7="All",1,IF('Calculations'!HN461='Dashboard'!$B$7,1,0)+IFERROR(INDEX('Calculations'!$JC$13:$JC$512,MATCH('Calculations'!HE461,'Calculations'!$HF$13:$HF$512,0)),0)))</x:f>
        <x:v>0</x:v>
      </x:c>
      <x:c r="JE461" t="n">
        <x:f>IF(AND('Calculations'!EM461&lt;&gt;"",'Calculations'!$JJ$2&lt;&gt;"All",'Calculations'!$JJ$2&lt;&gt;"",'Calculations'!HF461='Calculations'!$JJ$2,'Calculations'!HL461=0,'Calculations'!JD461&gt;0),MAX('Calculations'!$JE$12:JE460)+1,0)</x:f>
        <x:v>0</x:v>
      </x:c>
      <x:c r="JF461" t="str">
        <x:f>IF('Calculations'!EM461="","",IFERROR(IF(INDEX(INDIRECT("'WCM Calibration Final'!$G$1:$G$2000"),'Calculations'!$EM461)="","",TRIM(INDEX(INDIRECT("'WCM Calibration Final'!$G$1:$G$2000"),'Calculations'!$EM461)&amp;"")),""))</x:f>
      </x:c>
      <x:c r="JQ461" t="n">
        <x:f>IF(OR('Calculations'!BM461=0,NOT('Calculations'!$AG$2),'Calculations'!$AG$8&gt;0),0,IF(OR('Dashboard'!$B$7="All",'Calculations'!HN461='Dashboard'!$B$7),IF('Calculations'!$JJ$2="All",1,IF(AND('Calculations'!HF461='Calculations'!$JJ$2,'Calculations'!HL461=0),1,0)),0))</x:f>
        <x:v>0</x:v>
      </x:c>
    </x:row>
    <x:row r="462">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t="n">
        <x:f>IF('Calculations'!$EM462="",0,IF(OR(IFERROR(INDEX(INDIRECT("'WCM Calibration Final'!$A$1:$A$2000"),'Calculations'!$EM462)&lt;&gt;"",FALSE),IFERROR(INDEX(INDIRECT("'WCM Calibration Final'!$B$1:$B$2000"),'Calculations'!$EM462)&lt;&gt;"",FALSE),IFERROR(INDEX(INDIRECT("'WCM Calibration Final'!$C$1:$C$2000"),'Calculations'!$EM462)&lt;&gt;"",FALSE)),1,0))</x:f>
        <x:v>0</x:v>
      </x:c>
      <x:c r="BN462" s="4" t="n">
        <x:f>IF(AND('Calculations'!BM462=1,'Calculations'!$AG$2,'Calculations'!$EN462=1),1,0)</x:f>
        <x:v>0</x:v>
      </x:c>
      <x:c r="BO462" s="4" t="str">
        <x:f>IF('Calculations'!BM462=0,"",IFERROR(IF(AND(VALUE(INDEX(INDIRECT("'WCM Calibration Final'!$K$1:$K$2000"),'Calculations'!$EM462))&gt;=1,VALUE(INDEX(INDIRECT("'WCM Calibration Final'!$K$1:$K$2000"),'Calculations'!$EM462))&lt;=4,MOD(VALUE(INDEX(INDIRECT("'WCM Calibration Final'!$K$1:$K$2000"),'Calculations'!$EM462)),1)=0),VALUE(INDEX(INDIRECT("'WCM Calibration Final'!$K$1:$K$2000"),'Calculations'!$EM462)),""),""))</x:f>
      </x:c>
      <x:c r="BP462" s="4" t="str">
        <x:f>IF('Calculations'!BM462=0,"",IFERROR(IF(AND(VALUE(INDEX(INDIRECT("'WCM Calibration Final'!$L$1:$L$2000"),'Calculations'!$EM462))&gt;=1,VALUE(INDEX(INDIRECT("'WCM Calibration Final'!$L$1:$L$2000"),'Calculations'!$EM462))&lt;=4,MOD(VALUE(INDEX(INDIRECT("'WCM Calibration Final'!$L$1:$L$2000"),'Calculations'!$EM462)),1)=0),VALUE(INDEX(INDIRECT("'WCM Calibration Final'!$L$1:$L$2000"),'Calculations'!$EM462)),""),""))</x:f>
      </x:c>
      <x:c r="BQ462" s="4"/>
      <x:c r="BR462" s="4"/>
      <x:c r="BS462" s="4"/>
      <x:c r="BT462" s="4" t="n">
        <x:f>IF(AND('Calculations'!BM462=1,ISNUMBER('Calculations'!BO462),ISNUMBER('Calculations'!BP462)),1,0)</x:f>
        <x:v>0</x:v>
      </x:c>
      <x:c r="BU462" s="4" t="str">
        <x:f>IF('Calculations'!BM462=0,"",'Calculations'!$EO462)</x:f>
      </x:c>
      <x:c r="BV462" s="4" t="str">
        <x:f>IF('Calculations'!BM462=0,"",IFERROR(IF(OR(INDEX(INDIRECT("'WCM Calibration Final'!$H$1:$H$2000"),'Calculations'!$EM462)="MANAGING DIRECTOR",INDEX(INDIRECT("'WCM Calibration Final'!$H$1:$H$2000"),'Calculations'!$EM462)="DIRECTOR",INDEX(INDIRECT("'WCM Calibration Final'!$H$1:$H$2000"),'Calculations'!$EM462)="SENIOR VICE PRESIDENT",INDEX(INDIRECT("'WCM Calibration Final'!$H$1:$H$2000"),'Calculations'!$EM462)="VICE PRESIDENT",INDEX(INDIRECT("'WCM Calibration Final'!$H$1:$H$2000"),'Calculations'!$EM462)="ASSISTANT VICE PRESIDENT",INDEX(INDIRECT("'WCM Calibration Final'!$H$1:$H$2000"),'Calculations'!$EM462)="OFFICER"),UPPER(INDEX(INDIRECT("'WCM Calibration Final'!$H$1:$H$2000"),'Calculations'!$EM462)),"Other"),"Other"))</x:f>
      </x:c>
      <x:c r="BW462" s="4"/>
      <x:c r="BX462" s="4"/>
      <x:c r="BY462" s="4" t="n">
        <x:f>IF(AND('Calculations'!BM462=1,'Calculations'!BU462&lt;&gt;"",COUNTIF('Calculations'!$BU$12:BU462,'Calculations'!BU462)=1),MAX('Calculations'!$BY$11:BY461)+1,0)</x:f>
        <x:v>0</x:v>
      </x:c>
      <x:c r="BZ462" s="4" t="str">
        <x:f>IF('Dashboard'!$E$67="What",'Calculations'!BO462,'Calculations'!BP462)</x:f>
      </x:c>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t="str">
        <x:f>IF(451&gt;MAX('Calculations'!$HI$13:$HI$512),"",INDEX('Calculations'!$HN$13:$HN$512,MATCH(451,'Calculations'!$HI$13:$HI$512,0)))</x:f>
      </x:c>
      <x:c r="DB462" s="4" t="str">
        <x:f>IF(451&gt;MAX('Calculations'!$HH$13:$HH$512),"",INDEX('Calculations'!$HJ$13:$HJ$512,MATCH(451,'Calculations'!$HH$13:$HH$512,0)))</x:f>
      </x:c>
      <x:c r="DC462" s="4" t="str">
        <x:f>IF(ROW()-11&gt;MAX('Calculations'!$BY$13:$BY$512),"",INDEX('Calculations'!$BU$13:$BU$512,MATCH(ROW()-11,'Calculations'!$BY$13:$BY$512,0)))</x:f>
      </x:c>
      <x:c r="DD462" s="4" t="str">
        <x:f>IF(451&gt;MAX('Calculations'!$IK$13:$IK$512),"",INDEX('Calculations'!$HK$13:$HK$512,MATCH(451,'Calculations'!$IK$13:$IK$512,0)))</x:f>
      </x:c>
      <x:c r="DE462" s="4" t="str">
        <x:f>'Calculations'!DC462</x:f>
      </x:c>
      <x:c r="DF462" s="4" t="str">
        <x:f>IF('Calculations'!DE462="","",COUNTIFS('Calculations'!$BN$13:$BN$512,1,'Calculations'!$BU$13:$BU$512,'Calculations'!DE462))</x:f>
      </x:c>
      <x:c r="DG462" s="4" t="str">
        <x:f>IF('Calculations'!DE462="","",COUNTIFS('Calculations'!$BN$13:$BN$512,1,'Calculations'!$BU$13:$BU$512,'Calculations'!DE462,'Calculations'!$BT$13:$BT$512,1))</x:f>
      </x:c>
      <x:c r="DH462" s="4" t="str">
        <x:f>IF('Calculations'!DE462="","",'Calculations'!DF462-'Calculations'!DG462)</x:f>
      </x:c>
      <x:c r="DI462" s="4" t="str">
        <x:f>IF(OR('Calculations'!DE462="",'Calculations'!DF462=0),"",'Calculations'!DG462/'Calculations'!DF462)</x:f>
      </x:c>
      <x:c r="DJ462" s="4" t="str">
        <x:f>IF('Calculations'!DE462="","",COUNTIFS('Calculations'!$BN$13:$BN$512,1,'Calculations'!$BU$13:$BU$512,'Calculations'!DE462,'Calculations'!$BT$13:$BT$512,1,'Calculations'!$EE$13:$EE$512,"High"))</x:f>
      </x:c>
      <x:c r="DK462" s="4" t="str">
        <x:f>IF('Calculations'!DE462="","",COUNTIFS('Calculations'!$BN$13:$BN$512,1,'Calculations'!$BU$13:$BU$512,'Calculations'!DE462,'Calculations'!$BT$13:$BT$512,1,'Calculations'!$EE$13:$EE$512,"Strong"))</x:f>
      </x:c>
      <x:c r="DL462" s="4" t="str">
        <x:f>IF('Calculations'!DE462="","",COUNTIFS('Calculations'!$BN$13:$BN$512,1,'Calculations'!$BU$13:$BU$512,'Calculations'!DE462,'Calculations'!$BT$13:$BT$512,1,'Calculations'!$EE$13:$EE$512,"Solid"))</x:f>
      </x:c>
      <x:c r="DM462" s="4" t="str">
        <x:f>IF('Calculations'!DE462="","",COUNTIFS('Calculations'!$BN$13:$BN$512,1,'Calculations'!$BU$13:$BU$512,'Calculations'!DE462,'Calculations'!$BT$13:$BT$512,1,'Calculations'!$EE$13:$EE$512,"Low"))</x:f>
      </x:c>
      <x:c r="DN462" s="4" t="str">
        <x:f>IF('Calculations'!DE462="","",COUNTIFS('Calculations'!$BN$13:$BN$512,1,'Calculations'!$BU$13:$BU$512,'Calculations'!DE462,'Calculations'!$EP$13:$EP$512,1))</x:f>
      </x:c>
      <x:c r="DO462" s="4" t="str">
        <x:f>IF(OR('Calculations'!DE462="",'Calculations'!DG462=0),"",('Calculations'!DJ462+'Calculations'!DK462)/'Calculations'!DG462)</x:f>
      </x:c>
      <x:c r="DP462" s="4" t="n">
        <x:f>IF(AND('Calculations'!DE462&lt;&gt;"",'Calculations'!DF462&gt;0),COUNTIF('Calculations'!$DF$12:DF462,"&gt;0"),0)</x:f>
        <x:v>0</x:v>
      </x:c>
      <x:c r="DQ462" s="4" t="str">
        <x:f>IF(451&gt;MAX('Calculations'!$HH$13:$HH$512),"",INDEX('Calculations'!$HF$13:$HF$512,MATCH(451,'Calculations'!$HH$13:$HH$512,0)))</x:f>
      </x:c>
      <x:c r="DR462" s="4" t="str">
        <x:f>IF(451&gt;MAX('Calculations'!$IK$13:$IK$512),"",INDEX('Calculations'!$HE$13:$HE$512,MATCH(451,'Calculations'!$IK$13:$IK$512,0)))</x:f>
      </x:c>
      <x:c r="DS462" s="4"/>
      <x:c r="DT462" s="4"/>
      <x:c r="DU462" s="4"/>
      <x:c r="DV462" s="4"/>
      <x:c r="DW462" s="4"/>
      <x:c r="DX462" s="4"/>
      <x:c r="DY462" s="4"/>
      <x:c r="DZ462" s="4"/>
      <x:c r="EA462" s="4"/>
      <x:c r="EB462" s="4"/>
      <x:c r="EC462" s="4"/>
      <x:c r="ED462" s="4"/>
      <x:c r="EE462" s="4" t="str">
        <x:f>IF('Calculations'!BT462=0,"Not Rated",IF(OR('Calculations'!BO462&gt;=4,'Calculations'!BP462&gt;=4),"Low",IF('Calculations'!BO462+'Calculations'!BP462&lt;=3,"High",IF('Calculations'!BO462+'Calculations'!BP462&lt;=4,"Strong","Solid"))))</x:f>
        <x:v>Not Rated</x:v>
      </x:c>
      <x:c r="EF462" s="4"/>
      <x:c r="EG462" s="4"/>
      <x:c r="EH462" s="4"/>
      <x:c r="EI462" s="4"/>
      <x:c r="EJ462" s="4"/>
      <x:c r="EK462" s="4"/>
      <x:c r="EL462" s="4"/>
      <x:c r="EM462" s="4" t="str">
        <x:f>IF(450&gt;'Calculations'!$JB$2000,"",INDEX('Calculations'!$JA$12:$JA$2000,MATCH(450,'Calculations'!$JB$12:$JB$2000,0)))</x:f>
      </x:c>
      <x:c r="EN462" s="4" t="n">
        <x:f>IF(OR('Calculations'!EM462="",'Calculations'!$AG$8&gt;0,AND('Calculations'!$EF$2&lt;&gt;"All",'Calculations'!HE462='Calculations'!$EF$2),AND('Calculations'!$EF$3&lt;&gt;"All",'Calculations'!HE462='Calculations'!$EF$3)),0,IF(OR('Dashboard'!$B$7="All",'Calculations'!HN462='Dashboard'!$B$7),IF('Calculations'!$EF$2="All",1,IF('Calculations'!HL462&gt;0,0,IF(COUNTIF('Calculations'!HO462:II462,"="&amp;SUBSTITUTE(SUBSTITUTE(SUBSTITUTE('Calculations'!$EF$2,"~","~~"),"*","~*"),"?","~?"))=0,0,IF('Calculations'!$EF$3="All",1,IF(COUNTIF('Calculations'!HO462:II462,"="&amp;SUBSTITUTE(SUBSTITUTE(SUBSTITUTE('Calculations'!$EF$3,"~","~~"),"*","~*"),"?","~?"))&gt;0,1,0))))),0))</x:f>
        <x:v>0</x:v>
      </x:c>
      <x:c r="EO462" s="4" t="str">
        <x:f>IF('Calculations'!IJ462="","",IF('Calculations'!IJ462="!UNRESOLVED","Unresolved hierarchy",IFERROR(INDEX('Calculations'!$HK$13:$HK$512,MATCH('Calculations'!IJ462,'Calculations'!$HE$13:$HE$512,0)),IFERROR(INDEX('Calculations'!$HJ$13:$HJ$512,MATCH('Calculations'!IJ462,'Calculations'!$HF$13:$HF$512,0)),'Calculations'!IJ462))))</x:f>
      </x:c>
      <x:c r="EP462" s="4" t="n">
        <x:f>IF(AND('Calculations'!EM462&lt;&gt;"",'Calculations'!HF462='Calculations'!IJ462),1,0)</x:f>
        <x:v>0</x:v>
      </x:c>
      <x:c r="EQ462" s="4"/>
      <x:c r="ER462" s="4"/>
      <x:c r="ES462" s="4"/>
      <x:c r="ET462" s="4"/>
      <x:c r="EU462" s="4"/>
      <x:c r="EV462" s="4"/>
      <x:c r="EW462" s="4"/>
      <x:c r="EX462" s="4"/>
      <x:c r="EY462" s="4"/>
      <x:c r="EZ462" s="4"/>
      <x:c r="FA462" s="4"/>
      <x:c r="FB462" s="4"/>
      <x:c r="FC462" s="4"/>
      <x:c r="FD462" s="4"/>
      <x:c r="FE462" s="4"/>
      <x:c r="FF462" s="4"/>
      <x:c r="FG462" s="4"/>
      <x:c r="FH462" s="4"/>
      <x:c r="FI462" s="4"/>
      <x:c r="FJ462" s="4"/>
      <x:c r="FK462" s="4"/>
      <x:c r="FL462" s="4"/>
      <x:c r="FM462" s="4"/>
      <x:c r="FN462" s="4"/>
      <x:c r="FO462" s="4"/>
      <x:c r="HE462" t="str">
        <x:f>IF('Calculations'!EM462="","",IF(IFERROR(IF(INDEX(INDIRECT("'WCM Calibration Final'!$A$1:$A$2000"),'Calculations'!$EM462)="","",TRIM(INDEX(INDIRECT("'WCM Calibration Final'!$A$1:$A$2000"),'Calculations'!$EM462)&amp;"")),"")&lt;&gt;"","G:"&amp;IFERROR(TEXT(1*INDEX(INDIRECT("'WCM Calibration Final'!$A$1:$A$2000"),'Calculations'!$EM462),"0"),UPPER(IFERROR(IF(INDEX(INDIRECT("'WCM Calibration Final'!$A$1:$A$2000"),'Calculations'!$EM462)="","",TRIM(INDEX(INDIRECT("'WCM Calibration Final'!$A$1:$A$2000"),'Calculations'!$EM462)&amp;"")),""))),IF(IFERROR(IF(INDEX(INDIRECT("'WCM Calibration Final'!$C$1:$C$2000"),'Calculations'!$EM462)="","",TRIM(INDEX(INDIRECT("'WCM Calibration Final'!$C$1:$C$2000"),'Calculations'!$EM462)&amp;"")),"")&lt;&gt;"","S:"&amp;UPPER(IFERROR(IF(INDEX(INDIRECT("'WCM Calibration Final'!$C$1:$C$2000"),'Calculations'!$EM462)="","",TRIM(INDEX(INDIRECT("'WCM Calibration Final'!$C$1:$C$2000"),'Calculations'!$EM462)&amp;"")),"")),"R:"&amp;'Calculations'!EM462)))</x:f>
      </x:c>
      <x:c r="HF462" t="str">
        <x:f>IF('Calculations'!EM462="","",IF(IFERROR(IF(INDEX(INDIRECT("'WCM Calibration Final'!$D$1:$D$2000"),'Calculations'!$EM462)="","",TRIM(INDEX(INDIRECT("'WCM Calibration Final'!$D$1:$D$2000"),'Calculations'!$EM462)&amp;"")),"")&lt;&gt;"","G:"&amp;IFERROR(TEXT(1*INDEX(INDIRECT("'WCM Calibration Final'!$D$1:$D$2000"),'Calculations'!$EM462),"0"),UPPER(IFERROR(IF(INDEX(INDIRECT("'WCM Calibration Final'!$D$1:$D$2000"),'Calculations'!$EM462)="","",TRIM(INDEX(INDIRECT("'WCM Calibration Final'!$D$1:$D$2000"),'Calculations'!$EM462)&amp;"")),""))),IF(IFERROR(IF(INDEX(INDIRECT("'WCM Calibration Final'!$E$1:$E$2000"),'Calculations'!$EM462)="","",TRIM(INDEX(INDIRECT("'WCM Calibration Final'!$E$1:$E$2000"),'Calculations'!$EM462)&amp;"")),"")="","",IF(COUNTIF('Calculations'!$HG$13:$HG$512,"="&amp;SUBSTITUTE(SUBSTITUTE(SUBSTITUTE(IFERROR(IF(INDEX(INDIRECT("'WCM Calibration Final'!$E$1:$E$2000"),'Calculations'!$EM462)="","",TRIM(INDEX(INDIRECT("'WCM Calibration Final'!$E$1:$E$2000"),'Calculations'!$EM462)&amp;"")),""),"~","~~"),"*","~*"),"?","~?"))=1,INDEX('Calculations'!$HE$13:$HE$512,MATCH(IFERROR(IF(INDEX(INDIRECT("'WCM Calibration Final'!$E$1:$E$2000"),'Calculations'!$EM462)="","",TRIM(INDEX(INDIRECT("'WCM Calibration Final'!$E$1:$E$2000"),'Calculations'!$EM462)&amp;"")),""),'Calculations'!$HG$13:$HG$512,0)),IF(COUNTIF('Calculations'!$HG$13:$HG$512,"="&amp;SUBSTITUTE(SUBSTITUTE(SUBSTITUTE(IFERROR(IF(INDEX(INDIRECT("'WCM Calibration Final'!$E$1:$E$2000"),'Calculations'!$EM462)="","",TRIM(INDEX(INDIRECT("'WCM Calibration Final'!$E$1:$E$2000"),'Calculations'!$EM462)&amp;"")),""),"~","~~"),"*","~*"),"?","~?"))&gt;1,"!AMBIG","X:"&amp;IFERROR(IF(INDEX(INDIRECT("'WCM Calibration Final'!$E$1:$E$2000"),'Calculations'!$EM462)="","",TRIM(INDEX(INDIRECT("'WCM Calibration Final'!$E$1:$E$2000"),'Calculations'!$EM462)&amp;"")),""))))))</x:f>
      </x:c>
      <x:c r="HG462" t="str">
        <x:f>IF('Calculations'!EM462="","",IFERROR(IF(INDEX(INDIRECT("'WCM Calibration Final'!$B$1:$B$2000"),'Calculations'!$EM462)="","",TRIM(INDEX(INDIRECT("'WCM Calibration Final'!$B$1:$B$2000"),'Calculations'!$EM462)&amp;"")),""))</x:f>
      </x:c>
      <x:c r="HH462" t="n">
        <x:f>IF(AND('Calculations'!JC462&gt;0,COUNTIF('Calculations'!$HF$12:HF462,"="&amp;SUBSTITUTE(SUBSTITUTE(SUBSTITUTE('Calculations'!HF462,"~","~~"),"*","~*"),"?","~?"))=1),MAX('Calculations'!$HH$12:HH461)+1,0)</x:f>
        <x:v>0</x:v>
      </x:c>
      <x:c r="HI462" t="n">
        <x:f>IF(AND('Calculations'!HN462&lt;&gt;"",COUNTIF('Calculations'!$HN$12:HN462,"="&amp;SUBSTITUTE(SUBSTITUTE(SUBSTITUTE('Calculations'!HN462,"~","~~"),"*","~*"),"?","~?"))=1),MAX('Calculations'!$HI$12:HI461)+1,0)</x:f>
        <x:v>0</x:v>
      </x:c>
      <x:c r="HJ462" t="str">
        <x:f>IF('Calculations'!HF462="","",IF(COUNTIF('Calculations'!$HE$13:$HE$512,"="&amp;SUBSTITUTE(SUBSTITUTE(SUBSTITUTE('Calculations'!HF462,"~","~~"),"*","~*"),"?","~?"))=1,INDEX('Calculations'!$HK$13:$HK$512,MATCH('Calculations'!HF462,'Calculations'!$HE$13:$HE$512,0)),IFERROR(IF(INDEX(INDIRECT("'WCM Calibration Final'!$E$1:$E$2000"),'Calculations'!$EM462)="","",TRIM(INDEX(INDIRECT("'WCM Calibration Final'!$E$1:$E$2000"),'Calculations'!$EM462)&amp;"")),"")&amp;" ["&amp;'Calculations'!HF462&amp;"]"))</x:f>
      </x:c>
      <x:c r="HK462" t="str">
        <x:f>IF('Calculations'!EM462="","",'Calculations'!HG462&amp;" ["&amp;'Calculations'!HE462&amp;"]")</x:f>
      </x:c>
      <x:c r="HL462" t="n">
        <x:f>IF('Calculations'!EM462="",0,IF(OR('Calculations'!II462&lt;&gt;"",COUNTIF('Calculations'!$HE$13:$HE$512,"="&amp;SUBSTITUTE(SUBSTITUTE(SUBSTITUTE('Calculations'!HE462,"~","~~"),"*","~*"),"?","~?"))&gt;1),1,0))</x:f>
        <x:v>0</x:v>
      </x:c>
      <x:c r="HM462" t="str">
        <x:f>IF('Calculations'!EM462="","",IF('Calculations'!HL462=1,"!UNRESOLVED",IF('Calculations'!IH462&lt;&gt;"",'Calculations'!IH462,IF('Calculations'!IG462&lt;&gt;"",'Calculations'!IG462,IF('Calculations'!IF462&lt;&gt;"",'Calculations'!IF462,IF('Calculations'!IE462&lt;&gt;"",'Calculations'!IE462,IF('Calculations'!ID462&lt;&gt;"",'Calculations'!ID462,IF('Calculations'!IC462&lt;&gt;"",'Calculations'!IC462,IF('Calculations'!IB462&lt;&gt;"",'Calculations'!IB462,IF('Calculations'!IA462&lt;&gt;"",'Calculations'!IA462,IF('Calculations'!HZ462&lt;&gt;"",'Calculations'!HZ462,IF('Calculations'!HY462&lt;&gt;"",'Calculations'!HY462,IF('Calculations'!HX462&lt;&gt;"",'Calculations'!HX462,IF('Calculations'!HW462&lt;&gt;"",'Calculations'!HW462,IF('Calculations'!HV462&lt;&gt;"",'Calculations'!HV462,IF('Calculations'!HU462&lt;&gt;"",'Calculations'!HU462,IF('Calculations'!HT462&lt;&gt;"",'Calculations'!HT462,IF('Calculations'!HS462&lt;&gt;"",'Calculations'!HS462,IF('Calculations'!HR462&lt;&gt;"",'Calculations'!HR462,IF('Calculations'!HQ462&lt;&gt;"",'Calculations'!HQ462,IF('Calculations'!HP462&lt;&gt;"",'Calculations'!HP462,IF('Calculations'!HO462&lt;&gt;"",'Calculations'!HO462,'Calculations'!HE462))))))))))))))))))))))</x:f>
      </x:c>
      <x:c r="HN462" t="str">
        <x:f>IF('Calculations'!EM462="","",IF(IFERROR(IF(INDEX(INDIRECT("'WCM Calibration Final'!$F$1:$F$2000"),'Calculations'!$EM462)="","",TRIM(INDEX(INDIRECT("'WCM Calibration Final'!$F$1:$F$2000"),'Calculations'!$EM462)&amp;"")),"")="","(Blank)",IFERROR(IF(INDEX(INDIRECT("'WCM Calibration Final'!$F$1:$F$2000"),'Calculations'!$EM462)="","",TRIM(INDEX(INDIRECT("'WCM Calibration Final'!$F$1:$F$2000"),'Calculations'!$EM462)&amp;"")),"")))</x:f>
      </x:c>
      <x:c r="HO462" t="str">
        <x:f>'Calculations'!HF462</x:f>
      </x:c>
      <x:c r="HP462" t="str">
        <x:f>IF('Calculations'!HO462="","",IF('Calculations'!HO462="!AMBIG","!AMBIG",IF(COUNTIF('Calculations'!$HE$13:$HE$512,"="&amp;SUBSTITUTE(SUBSTITUTE(SUBSTITUTE('Calculations'!HO462,"~","~~"),"*","~*"),"?","~?"))&gt;1,"!AMBIG",IFERROR(INDEX('Calculations'!$HF$13:$HF$512,MATCH('Calculations'!HO462,'Calculations'!$HE$13:$HE$512,0)),""))))</x:f>
      </x:c>
      <x:c r="HQ462" t="str">
        <x:f>IF('Calculations'!HP462="","",IF('Calculations'!HP462="!AMBIG","!AMBIG",IF(COUNTIF('Calculations'!$HE$13:$HE$512,"="&amp;SUBSTITUTE(SUBSTITUTE(SUBSTITUTE('Calculations'!HP462,"~","~~"),"*","~*"),"?","~?"))&gt;1,"!AMBIG",IFERROR(INDEX('Calculations'!$HF$13:$HF$512,MATCH('Calculations'!HP462,'Calculations'!$HE$13:$HE$512,0)),""))))</x:f>
      </x:c>
      <x:c r="HR462" t="str">
        <x:f>IF('Calculations'!HQ462="","",IF('Calculations'!HQ462="!AMBIG","!AMBIG",IF(COUNTIF('Calculations'!$HE$13:$HE$512,"="&amp;SUBSTITUTE(SUBSTITUTE(SUBSTITUTE('Calculations'!HQ462,"~","~~"),"*","~*"),"?","~?"))&gt;1,"!AMBIG",IFERROR(INDEX('Calculations'!$HF$13:$HF$512,MATCH('Calculations'!HQ462,'Calculations'!$HE$13:$HE$512,0)),""))))</x:f>
      </x:c>
      <x:c r="HS462" t="str">
        <x:f>IF('Calculations'!HR462="","",IF('Calculations'!HR462="!AMBIG","!AMBIG",IF(COUNTIF('Calculations'!$HE$13:$HE$512,"="&amp;SUBSTITUTE(SUBSTITUTE(SUBSTITUTE('Calculations'!HR462,"~","~~"),"*","~*"),"?","~?"))&gt;1,"!AMBIG",IFERROR(INDEX('Calculations'!$HF$13:$HF$512,MATCH('Calculations'!HR462,'Calculations'!$HE$13:$HE$512,0)),""))))</x:f>
      </x:c>
      <x:c r="HT462" t="str">
        <x:f>IF('Calculations'!HS462="","",IF('Calculations'!HS462="!AMBIG","!AMBIG",IF(COUNTIF('Calculations'!$HE$13:$HE$512,"="&amp;SUBSTITUTE(SUBSTITUTE(SUBSTITUTE('Calculations'!HS462,"~","~~"),"*","~*"),"?","~?"))&gt;1,"!AMBIG",IFERROR(INDEX('Calculations'!$HF$13:$HF$512,MATCH('Calculations'!HS462,'Calculations'!$HE$13:$HE$512,0)),""))))</x:f>
      </x:c>
      <x:c r="HU462" t="str">
        <x:f>IF('Calculations'!HT462="","",IF('Calculations'!HT462="!AMBIG","!AMBIG",IF(COUNTIF('Calculations'!$HE$13:$HE$512,"="&amp;SUBSTITUTE(SUBSTITUTE(SUBSTITUTE('Calculations'!HT462,"~","~~"),"*","~*"),"?","~?"))&gt;1,"!AMBIG",IFERROR(INDEX('Calculations'!$HF$13:$HF$512,MATCH('Calculations'!HT462,'Calculations'!$HE$13:$HE$512,0)),""))))</x:f>
      </x:c>
      <x:c r="HV462" t="str">
        <x:f>IF('Calculations'!HU462="","",IF('Calculations'!HU462="!AMBIG","!AMBIG",IF(COUNTIF('Calculations'!$HE$13:$HE$512,"="&amp;SUBSTITUTE(SUBSTITUTE(SUBSTITUTE('Calculations'!HU462,"~","~~"),"*","~*"),"?","~?"))&gt;1,"!AMBIG",IFERROR(INDEX('Calculations'!$HF$13:$HF$512,MATCH('Calculations'!HU462,'Calculations'!$HE$13:$HE$512,0)),""))))</x:f>
      </x:c>
      <x:c r="HW462" t="str">
        <x:f>IF('Calculations'!HV462="","",IF('Calculations'!HV462="!AMBIG","!AMBIG",IF(COUNTIF('Calculations'!$HE$13:$HE$512,"="&amp;SUBSTITUTE(SUBSTITUTE(SUBSTITUTE('Calculations'!HV462,"~","~~"),"*","~*"),"?","~?"))&gt;1,"!AMBIG",IFERROR(INDEX('Calculations'!$HF$13:$HF$512,MATCH('Calculations'!HV462,'Calculations'!$HE$13:$HE$512,0)),""))))</x:f>
      </x:c>
      <x:c r="HX462" t="str">
        <x:f>IF('Calculations'!HW462="","",IF('Calculations'!HW462="!AMBIG","!AMBIG",IF(COUNTIF('Calculations'!$HE$13:$HE$512,"="&amp;SUBSTITUTE(SUBSTITUTE(SUBSTITUTE('Calculations'!HW462,"~","~~"),"*","~*"),"?","~?"))&gt;1,"!AMBIG",IFERROR(INDEX('Calculations'!$HF$13:$HF$512,MATCH('Calculations'!HW462,'Calculations'!$HE$13:$HE$512,0)),""))))</x:f>
      </x:c>
      <x:c r="HY462" t="str">
        <x:f>IF('Calculations'!HX462="","",IF('Calculations'!HX462="!AMBIG","!AMBIG",IF(COUNTIF('Calculations'!$HE$13:$HE$512,"="&amp;SUBSTITUTE(SUBSTITUTE(SUBSTITUTE('Calculations'!HX462,"~","~~"),"*","~*"),"?","~?"))&gt;1,"!AMBIG",IFERROR(INDEX('Calculations'!$HF$13:$HF$512,MATCH('Calculations'!HX462,'Calculations'!$HE$13:$HE$512,0)),""))))</x:f>
      </x:c>
      <x:c r="HZ462" t="str">
        <x:f>IF('Calculations'!HY462="","",IF('Calculations'!HY462="!AMBIG","!AMBIG",IF(COUNTIF('Calculations'!$HE$13:$HE$512,"="&amp;SUBSTITUTE(SUBSTITUTE(SUBSTITUTE('Calculations'!HY462,"~","~~"),"*","~*"),"?","~?"))&gt;1,"!AMBIG",IFERROR(INDEX('Calculations'!$HF$13:$HF$512,MATCH('Calculations'!HY462,'Calculations'!$HE$13:$HE$512,0)),""))))</x:f>
      </x:c>
      <x:c r="IA462" t="str">
        <x:f>IF('Calculations'!HZ462="","",IF('Calculations'!HZ462="!AMBIG","!AMBIG",IF(COUNTIF('Calculations'!$HE$13:$HE$512,"="&amp;SUBSTITUTE(SUBSTITUTE(SUBSTITUTE('Calculations'!HZ462,"~","~~"),"*","~*"),"?","~?"))&gt;1,"!AMBIG",IFERROR(INDEX('Calculations'!$HF$13:$HF$512,MATCH('Calculations'!HZ462,'Calculations'!$HE$13:$HE$512,0)),""))))</x:f>
      </x:c>
      <x:c r="IB462" t="str">
        <x:f>IF('Calculations'!IA462="","",IF('Calculations'!IA462="!AMBIG","!AMBIG",IF(COUNTIF('Calculations'!$HE$13:$HE$512,"="&amp;SUBSTITUTE(SUBSTITUTE(SUBSTITUTE('Calculations'!IA462,"~","~~"),"*","~*"),"?","~?"))&gt;1,"!AMBIG",IFERROR(INDEX('Calculations'!$HF$13:$HF$512,MATCH('Calculations'!IA462,'Calculations'!$HE$13:$HE$512,0)),""))))</x:f>
      </x:c>
      <x:c r="IC462" t="str">
        <x:f>IF('Calculations'!IB462="","",IF('Calculations'!IB462="!AMBIG","!AMBIG",IF(COUNTIF('Calculations'!$HE$13:$HE$512,"="&amp;SUBSTITUTE(SUBSTITUTE(SUBSTITUTE('Calculations'!IB462,"~","~~"),"*","~*"),"?","~?"))&gt;1,"!AMBIG",IFERROR(INDEX('Calculations'!$HF$13:$HF$512,MATCH('Calculations'!IB462,'Calculations'!$HE$13:$HE$512,0)),""))))</x:f>
      </x:c>
      <x:c r="ID462" t="str">
        <x:f>IF('Calculations'!IC462="","",IF('Calculations'!IC462="!AMBIG","!AMBIG",IF(COUNTIF('Calculations'!$HE$13:$HE$512,"="&amp;SUBSTITUTE(SUBSTITUTE(SUBSTITUTE('Calculations'!IC462,"~","~~"),"*","~*"),"?","~?"))&gt;1,"!AMBIG",IFERROR(INDEX('Calculations'!$HF$13:$HF$512,MATCH('Calculations'!IC462,'Calculations'!$HE$13:$HE$512,0)),""))))</x:f>
      </x:c>
      <x:c r="IE462" t="str">
        <x:f>IF('Calculations'!ID462="","",IF('Calculations'!ID462="!AMBIG","!AMBIG",IF(COUNTIF('Calculations'!$HE$13:$HE$512,"="&amp;SUBSTITUTE(SUBSTITUTE(SUBSTITUTE('Calculations'!ID462,"~","~~"),"*","~*"),"?","~?"))&gt;1,"!AMBIG",IFERROR(INDEX('Calculations'!$HF$13:$HF$512,MATCH('Calculations'!ID462,'Calculations'!$HE$13:$HE$512,0)),""))))</x:f>
      </x:c>
      <x:c r="IF462" t="str">
        <x:f>IF('Calculations'!IE462="","",IF('Calculations'!IE462="!AMBIG","!AMBIG",IF(COUNTIF('Calculations'!$HE$13:$HE$512,"="&amp;SUBSTITUTE(SUBSTITUTE(SUBSTITUTE('Calculations'!IE462,"~","~~"),"*","~*"),"?","~?"))&gt;1,"!AMBIG",IFERROR(INDEX('Calculations'!$HF$13:$HF$512,MATCH('Calculations'!IE462,'Calculations'!$HE$13:$HE$512,0)),""))))</x:f>
      </x:c>
      <x:c r="IG462" t="str">
        <x:f>IF('Calculations'!IF462="","",IF('Calculations'!IF462="!AMBIG","!AMBIG",IF(COUNTIF('Calculations'!$HE$13:$HE$512,"="&amp;SUBSTITUTE(SUBSTITUTE(SUBSTITUTE('Calculations'!IF462,"~","~~"),"*","~*"),"?","~?"))&gt;1,"!AMBIG",IFERROR(INDEX('Calculations'!$HF$13:$HF$512,MATCH('Calculations'!IF462,'Calculations'!$HE$13:$HE$512,0)),""))))</x:f>
      </x:c>
      <x:c r="IH462" t="str">
        <x:f>IF('Calculations'!IG462="","",IF('Calculations'!IG462="!AMBIG","!AMBIG",IF(COUNTIF('Calculations'!$HE$13:$HE$512,"="&amp;SUBSTITUTE(SUBSTITUTE(SUBSTITUTE('Calculations'!IG462,"~","~~"),"*","~*"),"?","~?"))&gt;1,"!AMBIG",IFERROR(INDEX('Calculations'!$HF$13:$HF$512,MATCH('Calculations'!IG462,'Calculations'!$HE$13:$HE$512,0)),""))))</x:f>
      </x:c>
      <x:c r="II462" t="str">
        <x:f>IF('Calculations'!IH462="","",IF('Calculations'!IH462="!AMBIG","!AMBIG",IF(COUNTIF('Calculations'!$HE$13:$HE$512,"="&amp;SUBSTITUTE(SUBSTITUTE(SUBSTITUTE('Calculations'!IH462,"~","~~"),"*","~*"),"?","~?"))&gt;1,"!AMBIG",IFERROR(INDEX('Calculations'!$HF$13:$HF$512,MATCH('Calculations'!IH462,'Calculations'!$HE$13:$HE$512,0)),""))))</x:f>
      </x:c>
      <x:c r="IJ462" t="str">
        <x:f>IF('Calculations'!EM462="","",IF('Calculations'!$EF$2="All",'Calculations'!HM462,IF('Calculations'!HL462=1,"",IFERROR(IF(MATCH('Calculations'!$EF$2,'Calculations'!HO462:II462,0)=1,'Calculations'!HE462,INDEX('Calculations'!HO462:II462,1,MATCH('Calculations'!$EF$2,'Calculations'!HO462:II462,0)-1)),""))))</x:f>
      </x:c>
      <x:c r="IK462" t="n">
        <x:f>IF(AND('Calculations'!EM462&lt;&gt;"",'Calculations'!$EF$2&lt;&gt;"All",'Calculations'!HF462='Calculations'!$EF$2,'Calculations'!HL462=0,'Calculations'!JD462&gt;0),MAX('Calculations'!$IK$12:IK461)+1,0)</x:f>
        <x:v>0</x:v>
      </x:c>
      <x:c r="JA462" t="n">
        <x:f>IF(OR(IFERROR(INDIRECT("'WCM Calibration Final'!$A$462")&lt;&gt;"",FALSE),IFERROR(INDIRECT("'WCM Calibration Final'!$B$462")&lt;&gt;"",FALSE),IFERROR(INDIRECT("'WCM Calibration Final'!$C$462")&lt;&gt;"",FALSE)),462,0)</x:f>
        <x:v>0</x:v>
      </x:c>
      <x:c r="JB462" t="n">
        <x:f>'Calculations'!JB461+IF('Calculations'!JA462&gt;0,1,0)</x:f>
        <x:v>0</x:v>
      </x:c>
      <x:c r="JC462" t="n">
        <x:f>IF(OR('Calculations'!HF462="",'Calculations'!HF462="!AMBIG"),0,IF('Dashboard'!$B$7="All",1,COUNTIFS('Calculations'!$HO$13:$HO$512,"="&amp;SUBSTITUTE(SUBSTITUTE(SUBSTITUTE('Calculations'!HF462,"~","~~"),"*","~*"),"?","~?"),'Calculations'!$HN$13:$HN$512,"="&amp;SUBSTITUTE(SUBSTITUTE(SUBSTITUTE('Dashboard'!$B$7,"~","~~"),"*","~*"),"?","~?"))+COUNTIFS('Calculations'!$HP$13:$HP$512,"="&amp;SUBSTITUTE(SUBSTITUTE(SUBSTITUTE('Calculations'!HF462,"~","~~"),"*","~*"),"?","~?"),'Calculations'!$HN$13:$HN$512,"="&amp;SUBSTITUTE(SUBSTITUTE(SUBSTITUTE('Dashboard'!$B$7,"~","~~"),"*","~*"),"?","~?"))+COUNTIFS('Calculations'!$HQ$13:$HQ$512,"="&amp;SUBSTITUTE(SUBSTITUTE(SUBSTITUTE('Calculations'!HF462,"~","~~"),"*","~*"),"?","~?"),'Calculations'!$HN$13:$HN$512,"="&amp;SUBSTITUTE(SUBSTITUTE(SUBSTITUTE('Dashboard'!$B$7,"~","~~"),"*","~*"),"?","~?"))+COUNTIFS('Calculations'!$HR$13:$HR$512,"="&amp;SUBSTITUTE(SUBSTITUTE(SUBSTITUTE('Calculations'!HF462,"~","~~"),"*","~*"),"?","~?"),'Calculations'!$HN$13:$HN$512,"="&amp;SUBSTITUTE(SUBSTITUTE(SUBSTITUTE('Dashboard'!$B$7,"~","~~"),"*","~*"),"?","~?"))+COUNTIFS('Calculations'!$HS$13:$HS$512,"="&amp;SUBSTITUTE(SUBSTITUTE(SUBSTITUTE('Calculations'!HF462,"~","~~"),"*","~*"),"?","~?"),'Calculations'!$HN$13:$HN$512,"="&amp;SUBSTITUTE(SUBSTITUTE(SUBSTITUTE('Dashboard'!$B$7,"~","~~"),"*","~*"),"?","~?"))+COUNTIFS('Calculations'!$HT$13:$HT$512,"="&amp;SUBSTITUTE(SUBSTITUTE(SUBSTITUTE('Calculations'!HF462,"~","~~"),"*","~*"),"?","~?"),'Calculations'!$HN$13:$HN$512,"="&amp;SUBSTITUTE(SUBSTITUTE(SUBSTITUTE('Dashboard'!$B$7,"~","~~"),"*","~*"),"?","~?"))+COUNTIFS('Calculations'!$HU$13:$HU$512,"="&amp;SUBSTITUTE(SUBSTITUTE(SUBSTITUTE('Calculations'!HF462,"~","~~"),"*","~*"),"?","~?"),'Calculations'!$HN$13:$HN$512,"="&amp;SUBSTITUTE(SUBSTITUTE(SUBSTITUTE('Dashboard'!$B$7,"~","~~"),"*","~*"),"?","~?"))+COUNTIFS('Calculations'!$HV$13:$HV$512,"="&amp;SUBSTITUTE(SUBSTITUTE(SUBSTITUTE('Calculations'!HF462,"~","~~"),"*","~*"),"?","~?"),'Calculations'!$HN$13:$HN$512,"="&amp;SUBSTITUTE(SUBSTITUTE(SUBSTITUTE('Dashboard'!$B$7,"~","~~"),"*","~*"),"?","~?"))+COUNTIFS('Calculations'!$HW$13:$HW$512,"="&amp;SUBSTITUTE(SUBSTITUTE(SUBSTITUTE('Calculations'!HF462,"~","~~"),"*","~*"),"?","~?"),'Calculations'!$HN$13:$HN$512,"="&amp;SUBSTITUTE(SUBSTITUTE(SUBSTITUTE('Dashboard'!$B$7,"~","~~"),"*","~*"),"?","~?"))+COUNTIFS('Calculations'!$HX$13:$HX$512,"="&amp;SUBSTITUTE(SUBSTITUTE(SUBSTITUTE('Calculations'!HF462,"~","~~"),"*","~*"),"?","~?"),'Calculations'!$HN$13:$HN$512,"="&amp;SUBSTITUTE(SUBSTITUTE(SUBSTITUTE('Dashboard'!$B$7,"~","~~"),"*","~*"),"?","~?"))+COUNTIFS('Calculations'!$HY$13:$HY$512,"="&amp;SUBSTITUTE(SUBSTITUTE(SUBSTITUTE('Calculations'!HF462,"~","~~"),"*","~*"),"?","~?"),'Calculations'!$HN$13:$HN$512,"="&amp;SUBSTITUTE(SUBSTITUTE(SUBSTITUTE('Dashboard'!$B$7,"~","~~"),"*","~*"),"?","~?"))+COUNTIFS('Calculations'!$HZ$13:$HZ$512,"="&amp;SUBSTITUTE(SUBSTITUTE(SUBSTITUTE('Calculations'!HF462,"~","~~"),"*","~*"),"?","~?"),'Calculations'!$HN$13:$HN$512,"="&amp;SUBSTITUTE(SUBSTITUTE(SUBSTITUTE('Dashboard'!$B$7,"~","~~"),"*","~*"),"?","~?"))+COUNTIFS('Calculations'!$IA$13:$IA$512,"="&amp;SUBSTITUTE(SUBSTITUTE(SUBSTITUTE('Calculations'!HF462,"~","~~"),"*","~*"),"?","~?"),'Calculations'!$HN$13:$HN$512,"="&amp;SUBSTITUTE(SUBSTITUTE(SUBSTITUTE('Dashboard'!$B$7,"~","~~"),"*","~*"),"?","~?"))+COUNTIFS('Calculations'!$IB$13:$IB$512,"="&amp;SUBSTITUTE(SUBSTITUTE(SUBSTITUTE('Calculations'!HF462,"~","~~"),"*","~*"),"?","~?"),'Calculations'!$HN$13:$HN$512,"="&amp;SUBSTITUTE(SUBSTITUTE(SUBSTITUTE('Dashboard'!$B$7,"~","~~"),"*","~*"),"?","~?"))+COUNTIFS('Calculations'!$IC$13:$IC$512,"="&amp;SUBSTITUTE(SUBSTITUTE(SUBSTITUTE('Calculations'!HF462,"~","~~"),"*","~*"),"?","~?"),'Calculations'!$HN$13:$HN$512,"="&amp;SUBSTITUTE(SUBSTITUTE(SUBSTITUTE('Dashboard'!$B$7,"~","~~"),"*","~*"),"?","~?"))+COUNTIFS('Calculations'!$ID$13:$ID$512,"="&amp;SUBSTITUTE(SUBSTITUTE(SUBSTITUTE('Calculations'!HF462,"~","~~"),"*","~*"),"?","~?"),'Calculations'!$HN$13:$HN$512,"="&amp;SUBSTITUTE(SUBSTITUTE(SUBSTITUTE('Dashboard'!$B$7,"~","~~"),"*","~*"),"?","~?"))+COUNTIFS('Calculations'!$IE$13:$IE$512,"="&amp;SUBSTITUTE(SUBSTITUTE(SUBSTITUTE('Calculations'!HF462,"~","~~"),"*","~*"),"?","~?"),'Calculations'!$HN$13:$HN$512,"="&amp;SUBSTITUTE(SUBSTITUTE(SUBSTITUTE('Dashboard'!$B$7,"~","~~"),"*","~*"),"?","~?"))+COUNTIFS('Calculations'!$IF$13:$IF$512,"="&amp;SUBSTITUTE(SUBSTITUTE(SUBSTITUTE('Calculations'!HF462,"~","~~"),"*","~*"),"?","~?"),'Calculations'!$HN$13:$HN$512,"="&amp;SUBSTITUTE(SUBSTITUTE(SUBSTITUTE('Dashboard'!$B$7,"~","~~"),"*","~*"),"?","~?"))+COUNTIFS('Calculations'!$IG$13:$IG$512,"="&amp;SUBSTITUTE(SUBSTITUTE(SUBSTITUTE('Calculations'!HF462,"~","~~"),"*","~*"),"?","~?"),'Calculations'!$HN$13:$HN$512,"="&amp;SUBSTITUTE(SUBSTITUTE(SUBSTITUTE('Dashboard'!$B$7,"~","~~"),"*","~*"),"?","~?"))+COUNTIFS('Calculations'!$IH$13:$IH$512,"="&amp;SUBSTITUTE(SUBSTITUTE(SUBSTITUTE('Calculations'!HF462,"~","~~"),"*","~*"),"?","~?"),'Calculations'!$HN$13:$HN$512,"="&amp;SUBSTITUTE(SUBSTITUTE(SUBSTITUTE('Dashboard'!$B$7,"~","~~"),"*","~*"),"?","~?"))))</x:f>
        <x:v>0</x:v>
      </x:c>
      <x:c r="JD462" t="n">
        <x:f>IF('Calculations'!EM462="",0,IF('Dashboard'!$B$7="All",1,IF('Calculations'!HN462='Dashboard'!$B$7,1,0)+IFERROR(INDEX('Calculations'!$JC$13:$JC$512,MATCH('Calculations'!HE462,'Calculations'!$HF$13:$HF$512,0)),0)))</x:f>
        <x:v>0</x:v>
      </x:c>
      <x:c r="JE462" t="n">
        <x:f>IF(AND('Calculations'!EM462&lt;&gt;"",'Calculations'!$JJ$2&lt;&gt;"All",'Calculations'!$JJ$2&lt;&gt;"",'Calculations'!HF462='Calculations'!$JJ$2,'Calculations'!HL462=0,'Calculations'!JD462&gt;0),MAX('Calculations'!$JE$12:JE461)+1,0)</x:f>
        <x:v>0</x:v>
      </x:c>
      <x:c r="JF462" t="str">
        <x:f>IF('Calculations'!EM462="","",IFERROR(IF(INDEX(INDIRECT("'WCM Calibration Final'!$G$1:$G$2000"),'Calculations'!$EM462)="","",TRIM(INDEX(INDIRECT("'WCM Calibration Final'!$G$1:$G$2000"),'Calculations'!$EM462)&amp;"")),""))</x:f>
      </x:c>
      <x:c r="JQ462" t="n">
        <x:f>IF(OR('Calculations'!BM462=0,NOT('Calculations'!$AG$2),'Calculations'!$AG$8&gt;0),0,IF(OR('Dashboard'!$B$7="All",'Calculations'!HN462='Dashboard'!$B$7),IF('Calculations'!$JJ$2="All",1,IF(AND('Calculations'!HF462='Calculations'!$JJ$2,'Calculations'!HL462=0),1,0)),0))</x:f>
        <x:v>0</x:v>
      </x:c>
    </x:row>
    <x:row r="463">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t="n">
        <x:f>IF('Calculations'!$EM463="",0,IF(OR(IFERROR(INDEX(INDIRECT("'WCM Calibration Final'!$A$1:$A$2000"),'Calculations'!$EM463)&lt;&gt;"",FALSE),IFERROR(INDEX(INDIRECT("'WCM Calibration Final'!$B$1:$B$2000"),'Calculations'!$EM463)&lt;&gt;"",FALSE),IFERROR(INDEX(INDIRECT("'WCM Calibration Final'!$C$1:$C$2000"),'Calculations'!$EM463)&lt;&gt;"",FALSE)),1,0))</x:f>
        <x:v>0</x:v>
      </x:c>
      <x:c r="BN463" s="4" t="n">
        <x:f>IF(AND('Calculations'!BM463=1,'Calculations'!$AG$2,'Calculations'!$EN463=1),1,0)</x:f>
        <x:v>0</x:v>
      </x:c>
      <x:c r="BO463" s="4" t="str">
        <x:f>IF('Calculations'!BM463=0,"",IFERROR(IF(AND(VALUE(INDEX(INDIRECT("'WCM Calibration Final'!$K$1:$K$2000"),'Calculations'!$EM463))&gt;=1,VALUE(INDEX(INDIRECT("'WCM Calibration Final'!$K$1:$K$2000"),'Calculations'!$EM463))&lt;=4,MOD(VALUE(INDEX(INDIRECT("'WCM Calibration Final'!$K$1:$K$2000"),'Calculations'!$EM463)),1)=0),VALUE(INDEX(INDIRECT("'WCM Calibration Final'!$K$1:$K$2000"),'Calculations'!$EM463)),""),""))</x:f>
      </x:c>
      <x:c r="BP463" s="4" t="str">
        <x:f>IF('Calculations'!BM463=0,"",IFERROR(IF(AND(VALUE(INDEX(INDIRECT("'WCM Calibration Final'!$L$1:$L$2000"),'Calculations'!$EM463))&gt;=1,VALUE(INDEX(INDIRECT("'WCM Calibration Final'!$L$1:$L$2000"),'Calculations'!$EM463))&lt;=4,MOD(VALUE(INDEX(INDIRECT("'WCM Calibration Final'!$L$1:$L$2000"),'Calculations'!$EM463)),1)=0),VALUE(INDEX(INDIRECT("'WCM Calibration Final'!$L$1:$L$2000"),'Calculations'!$EM463)),""),""))</x:f>
      </x:c>
      <x:c r="BQ463" s="4"/>
      <x:c r="BR463" s="4"/>
      <x:c r="BS463" s="4"/>
      <x:c r="BT463" s="4" t="n">
        <x:f>IF(AND('Calculations'!BM463=1,ISNUMBER('Calculations'!BO463),ISNUMBER('Calculations'!BP463)),1,0)</x:f>
        <x:v>0</x:v>
      </x:c>
      <x:c r="BU463" s="4" t="str">
        <x:f>IF('Calculations'!BM463=0,"",'Calculations'!$EO463)</x:f>
      </x:c>
      <x:c r="BV463" s="4" t="str">
        <x:f>IF('Calculations'!BM463=0,"",IFERROR(IF(OR(INDEX(INDIRECT("'WCM Calibration Final'!$H$1:$H$2000"),'Calculations'!$EM463)="MANAGING DIRECTOR",INDEX(INDIRECT("'WCM Calibration Final'!$H$1:$H$2000"),'Calculations'!$EM463)="DIRECTOR",INDEX(INDIRECT("'WCM Calibration Final'!$H$1:$H$2000"),'Calculations'!$EM463)="SENIOR VICE PRESIDENT",INDEX(INDIRECT("'WCM Calibration Final'!$H$1:$H$2000"),'Calculations'!$EM463)="VICE PRESIDENT",INDEX(INDIRECT("'WCM Calibration Final'!$H$1:$H$2000"),'Calculations'!$EM463)="ASSISTANT VICE PRESIDENT",INDEX(INDIRECT("'WCM Calibration Final'!$H$1:$H$2000"),'Calculations'!$EM463)="OFFICER"),UPPER(INDEX(INDIRECT("'WCM Calibration Final'!$H$1:$H$2000"),'Calculations'!$EM463)),"Other"),"Other"))</x:f>
      </x:c>
      <x:c r="BW463" s="4"/>
      <x:c r="BX463" s="4"/>
      <x:c r="BY463" s="4" t="n">
        <x:f>IF(AND('Calculations'!BM463=1,'Calculations'!BU463&lt;&gt;"",COUNTIF('Calculations'!$BU$12:BU463,'Calculations'!BU463)=1),MAX('Calculations'!$BY$11:BY462)+1,0)</x:f>
        <x:v>0</x:v>
      </x:c>
      <x:c r="BZ463" s="4" t="str">
        <x:f>IF('Dashboard'!$E$67="What",'Calculations'!BO463,'Calculations'!BP463)</x:f>
      </x:c>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t="str">
        <x:f>IF(452&gt;MAX('Calculations'!$HI$13:$HI$512),"",INDEX('Calculations'!$HN$13:$HN$512,MATCH(452,'Calculations'!$HI$13:$HI$512,0)))</x:f>
      </x:c>
      <x:c r="DB463" s="4" t="str">
        <x:f>IF(452&gt;MAX('Calculations'!$HH$13:$HH$512),"",INDEX('Calculations'!$HJ$13:$HJ$512,MATCH(452,'Calculations'!$HH$13:$HH$512,0)))</x:f>
      </x:c>
      <x:c r="DC463" s="4" t="str">
        <x:f>IF(ROW()-11&gt;MAX('Calculations'!$BY$13:$BY$512),"",INDEX('Calculations'!$BU$13:$BU$512,MATCH(ROW()-11,'Calculations'!$BY$13:$BY$512,0)))</x:f>
      </x:c>
      <x:c r="DD463" s="4" t="str">
        <x:f>IF(452&gt;MAX('Calculations'!$IK$13:$IK$512),"",INDEX('Calculations'!$HK$13:$HK$512,MATCH(452,'Calculations'!$IK$13:$IK$512,0)))</x:f>
      </x:c>
      <x:c r="DE463" s="4" t="str">
        <x:f>'Calculations'!DC463</x:f>
      </x:c>
      <x:c r="DF463" s="4" t="str">
        <x:f>IF('Calculations'!DE463="","",COUNTIFS('Calculations'!$BN$13:$BN$512,1,'Calculations'!$BU$13:$BU$512,'Calculations'!DE463))</x:f>
      </x:c>
      <x:c r="DG463" s="4" t="str">
        <x:f>IF('Calculations'!DE463="","",COUNTIFS('Calculations'!$BN$13:$BN$512,1,'Calculations'!$BU$13:$BU$512,'Calculations'!DE463,'Calculations'!$BT$13:$BT$512,1))</x:f>
      </x:c>
      <x:c r="DH463" s="4" t="str">
        <x:f>IF('Calculations'!DE463="","",'Calculations'!DF463-'Calculations'!DG463)</x:f>
      </x:c>
      <x:c r="DI463" s="4" t="str">
        <x:f>IF(OR('Calculations'!DE463="",'Calculations'!DF463=0),"",'Calculations'!DG463/'Calculations'!DF463)</x:f>
      </x:c>
      <x:c r="DJ463" s="4" t="str">
        <x:f>IF('Calculations'!DE463="","",COUNTIFS('Calculations'!$BN$13:$BN$512,1,'Calculations'!$BU$13:$BU$512,'Calculations'!DE463,'Calculations'!$BT$13:$BT$512,1,'Calculations'!$EE$13:$EE$512,"High"))</x:f>
      </x:c>
      <x:c r="DK463" s="4" t="str">
        <x:f>IF('Calculations'!DE463="","",COUNTIFS('Calculations'!$BN$13:$BN$512,1,'Calculations'!$BU$13:$BU$512,'Calculations'!DE463,'Calculations'!$BT$13:$BT$512,1,'Calculations'!$EE$13:$EE$512,"Strong"))</x:f>
      </x:c>
      <x:c r="DL463" s="4" t="str">
        <x:f>IF('Calculations'!DE463="","",COUNTIFS('Calculations'!$BN$13:$BN$512,1,'Calculations'!$BU$13:$BU$512,'Calculations'!DE463,'Calculations'!$BT$13:$BT$512,1,'Calculations'!$EE$13:$EE$512,"Solid"))</x:f>
      </x:c>
      <x:c r="DM463" s="4" t="str">
        <x:f>IF('Calculations'!DE463="","",COUNTIFS('Calculations'!$BN$13:$BN$512,1,'Calculations'!$BU$13:$BU$512,'Calculations'!DE463,'Calculations'!$BT$13:$BT$512,1,'Calculations'!$EE$13:$EE$512,"Low"))</x:f>
      </x:c>
      <x:c r="DN463" s="4" t="str">
        <x:f>IF('Calculations'!DE463="","",COUNTIFS('Calculations'!$BN$13:$BN$512,1,'Calculations'!$BU$13:$BU$512,'Calculations'!DE463,'Calculations'!$EP$13:$EP$512,1))</x:f>
      </x:c>
      <x:c r="DO463" s="4" t="str">
        <x:f>IF(OR('Calculations'!DE463="",'Calculations'!DG463=0),"",('Calculations'!DJ463+'Calculations'!DK463)/'Calculations'!DG463)</x:f>
      </x:c>
      <x:c r="DP463" s="4" t="n">
        <x:f>IF(AND('Calculations'!DE463&lt;&gt;"",'Calculations'!DF463&gt;0),COUNTIF('Calculations'!$DF$12:DF463,"&gt;0"),0)</x:f>
        <x:v>0</x:v>
      </x:c>
      <x:c r="DQ463" s="4" t="str">
        <x:f>IF(452&gt;MAX('Calculations'!$HH$13:$HH$512),"",INDEX('Calculations'!$HF$13:$HF$512,MATCH(452,'Calculations'!$HH$13:$HH$512,0)))</x:f>
      </x:c>
      <x:c r="DR463" s="4" t="str">
        <x:f>IF(452&gt;MAX('Calculations'!$IK$13:$IK$512),"",INDEX('Calculations'!$HE$13:$HE$512,MATCH(452,'Calculations'!$IK$13:$IK$512,0)))</x:f>
      </x:c>
      <x:c r="DS463" s="4"/>
      <x:c r="DT463" s="4"/>
      <x:c r="DU463" s="4"/>
      <x:c r="DV463" s="4"/>
      <x:c r="DW463" s="4"/>
      <x:c r="DX463" s="4"/>
      <x:c r="DY463" s="4"/>
      <x:c r="DZ463" s="4"/>
      <x:c r="EA463" s="4"/>
      <x:c r="EB463" s="4"/>
      <x:c r="EC463" s="4"/>
      <x:c r="ED463" s="4"/>
      <x:c r="EE463" s="4" t="str">
        <x:f>IF('Calculations'!BT463=0,"Not Rated",IF(OR('Calculations'!BO463&gt;=4,'Calculations'!BP463&gt;=4),"Low",IF('Calculations'!BO463+'Calculations'!BP463&lt;=3,"High",IF('Calculations'!BO463+'Calculations'!BP463&lt;=4,"Strong","Solid"))))</x:f>
        <x:v>Not Rated</x:v>
      </x:c>
      <x:c r="EF463" s="4"/>
      <x:c r="EG463" s="4"/>
      <x:c r="EH463" s="4"/>
      <x:c r="EI463" s="4"/>
      <x:c r="EJ463" s="4"/>
      <x:c r="EK463" s="4"/>
      <x:c r="EL463" s="4"/>
      <x:c r="EM463" s="4" t="str">
        <x:f>IF(451&gt;'Calculations'!$JB$2000,"",INDEX('Calculations'!$JA$12:$JA$2000,MATCH(451,'Calculations'!$JB$12:$JB$2000,0)))</x:f>
      </x:c>
      <x:c r="EN463" s="4" t="n">
        <x:f>IF(OR('Calculations'!EM463="",'Calculations'!$AG$8&gt;0,AND('Calculations'!$EF$2&lt;&gt;"All",'Calculations'!HE463='Calculations'!$EF$2),AND('Calculations'!$EF$3&lt;&gt;"All",'Calculations'!HE463='Calculations'!$EF$3)),0,IF(OR('Dashboard'!$B$7="All",'Calculations'!HN463='Dashboard'!$B$7),IF('Calculations'!$EF$2="All",1,IF('Calculations'!HL463&gt;0,0,IF(COUNTIF('Calculations'!HO463:II463,"="&amp;SUBSTITUTE(SUBSTITUTE(SUBSTITUTE('Calculations'!$EF$2,"~","~~"),"*","~*"),"?","~?"))=0,0,IF('Calculations'!$EF$3="All",1,IF(COUNTIF('Calculations'!HO463:II463,"="&amp;SUBSTITUTE(SUBSTITUTE(SUBSTITUTE('Calculations'!$EF$3,"~","~~"),"*","~*"),"?","~?"))&gt;0,1,0))))),0))</x:f>
        <x:v>0</x:v>
      </x:c>
      <x:c r="EO463" s="4" t="str">
        <x:f>IF('Calculations'!IJ463="","",IF('Calculations'!IJ463="!UNRESOLVED","Unresolved hierarchy",IFERROR(INDEX('Calculations'!$HK$13:$HK$512,MATCH('Calculations'!IJ463,'Calculations'!$HE$13:$HE$512,0)),IFERROR(INDEX('Calculations'!$HJ$13:$HJ$512,MATCH('Calculations'!IJ463,'Calculations'!$HF$13:$HF$512,0)),'Calculations'!IJ463))))</x:f>
      </x:c>
      <x:c r="EP463" s="4" t="n">
        <x:f>IF(AND('Calculations'!EM463&lt;&gt;"",'Calculations'!HF463='Calculations'!IJ463),1,0)</x:f>
        <x:v>0</x:v>
      </x:c>
      <x:c r="EQ463" s="4"/>
      <x:c r="ER463" s="4"/>
      <x:c r="ES463" s="4"/>
      <x:c r="ET463" s="4"/>
      <x:c r="EU463" s="4"/>
      <x:c r="EV463" s="4"/>
      <x:c r="EW463" s="4"/>
      <x:c r="EX463" s="4"/>
      <x:c r="EY463" s="4"/>
      <x:c r="EZ463" s="4"/>
      <x:c r="FA463" s="4"/>
      <x:c r="FB463" s="4"/>
      <x:c r="FC463" s="4"/>
      <x:c r="FD463" s="4"/>
      <x:c r="FE463" s="4"/>
      <x:c r="FF463" s="4"/>
      <x:c r="FG463" s="4"/>
      <x:c r="FH463" s="4"/>
      <x:c r="FI463" s="4"/>
      <x:c r="FJ463" s="4"/>
      <x:c r="FK463" s="4"/>
      <x:c r="FL463" s="4"/>
      <x:c r="FM463" s="4"/>
      <x:c r="FN463" s="4"/>
      <x:c r="FO463" s="4"/>
      <x:c r="HE463" t="str">
        <x:f>IF('Calculations'!EM463="","",IF(IFERROR(IF(INDEX(INDIRECT("'WCM Calibration Final'!$A$1:$A$2000"),'Calculations'!$EM463)="","",TRIM(INDEX(INDIRECT("'WCM Calibration Final'!$A$1:$A$2000"),'Calculations'!$EM463)&amp;"")),"")&lt;&gt;"","G:"&amp;IFERROR(TEXT(1*INDEX(INDIRECT("'WCM Calibration Final'!$A$1:$A$2000"),'Calculations'!$EM463),"0"),UPPER(IFERROR(IF(INDEX(INDIRECT("'WCM Calibration Final'!$A$1:$A$2000"),'Calculations'!$EM463)="","",TRIM(INDEX(INDIRECT("'WCM Calibration Final'!$A$1:$A$2000"),'Calculations'!$EM463)&amp;"")),""))),IF(IFERROR(IF(INDEX(INDIRECT("'WCM Calibration Final'!$C$1:$C$2000"),'Calculations'!$EM463)="","",TRIM(INDEX(INDIRECT("'WCM Calibration Final'!$C$1:$C$2000"),'Calculations'!$EM463)&amp;"")),"")&lt;&gt;"","S:"&amp;UPPER(IFERROR(IF(INDEX(INDIRECT("'WCM Calibration Final'!$C$1:$C$2000"),'Calculations'!$EM463)="","",TRIM(INDEX(INDIRECT("'WCM Calibration Final'!$C$1:$C$2000"),'Calculations'!$EM463)&amp;"")),"")),"R:"&amp;'Calculations'!EM463)))</x:f>
      </x:c>
      <x:c r="HF463" t="str">
        <x:f>IF('Calculations'!EM463="","",IF(IFERROR(IF(INDEX(INDIRECT("'WCM Calibration Final'!$D$1:$D$2000"),'Calculations'!$EM463)="","",TRIM(INDEX(INDIRECT("'WCM Calibration Final'!$D$1:$D$2000"),'Calculations'!$EM463)&amp;"")),"")&lt;&gt;"","G:"&amp;IFERROR(TEXT(1*INDEX(INDIRECT("'WCM Calibration Final'!$D$1:$D$2000"),'Calculations'!$EM463),"0"),UPPER(IFERROR(IF(INDEX(INDIRECT("'WCM Calibration Final'!$D$1:$D$2000"),'Calculations'!$EM463)="","",TRIM(INDEX(INDIRECT("'WCM Calibration Final'!$D$1:$D$2000"),'Calculations'!$EM463)&amp;"")),""))),IF(IFERROR(IF(INDEX(INDIRECT("'WCM Calibration Final'!$E$1:$E$2000"),'Calculations'!$EM463)="","",TRIM(INDEX(INDIRECT("'WCM Calibration Final'!$E$1:$E$2000"),'Calculations'!$EM463)&amp;"")),"")="","",IF(COUNTIF('Calculations'!$HG$13:$HG$512,"="&amp;SUBSTITUTE(SUBSTITUTE(SUBSTITUTE(IFERROR(IF(INDEX(INDIRECT("'WCM Calibration Final'!$E$1:$E$2000"),'Calculations'!$EM463)="","",TRIM(INDEX(INDIRECT("'WCM Calibration Final'!$E$1:$E$2000"),'Calculations'!$EM463)&amp;"")),""),"~","~~"),"*","~*"),"?","~?"))=1,INDEX('Calculations'!$HE$13:$HE$512,MATCH(IFERROR(IF(INDEX(INDIRECT("'WCM Calibration Final'!$E$1:$E$2000"),'Calculations'!$EM463)="","",TRIM(INDEX(INDIRECT("'WCM Calibration Final'!$E$1:$E$2000"),'Calculations'!$EM463)&amp;"")),""),'Calculations'!$HG$13:$HG$512,0)),IF(COUNTIF('Calculations'!$HG$13:$HG$512,"="&amp;SUBSTITUTE(SUBSTITUTE(SUBSTITUTE(IFERROR(IF(INDEX(INDIRECT("'WCM Calibration Final'!$E$1:$E$2000"),'Calculations'!$EM463)="","",TRIM(INDEX(INDIRECT("'WCM Calibration Final'!$E$1:$E$2000"),'Calculations'!$EM463)&amp;"")),""),"~","~~"),"*","~*"),"?","~?"))&gt;1,"!AMBIG","X:"&amp;IFERROR(IF(INDEX(INDIRECT("'WCM Calibration Final'!$E$1:$E$2000"),'Calculations'!$EM463)="","",TRIM(INDEX(INDIRECT("'WCM Calibration Final'!$E$1:$E$2000"),'Calculations'!$EM463)&amp;"")),""))))))</x:f>
      </x:c>
      <x:c r="HG463" t="str">
        <x:f>IF('Calculations'!EM463="","",IFERROR(IF(INDEX(INDIRECT("'WCM Calibration Final'!$B$1:$B$2000"),'Calculations'!$EM463)="","",TRIM(INDEX(INDIRECT("'WCM Calibration Final'!$B$1:$B$2000"),'Calculations'!$EM463)&amp;"")),""))</x:f>
      </x:c>
      <x:c r="HH463" t="n">
        <x:f>IF(AND('Calculations'!JC463&gt;0,COUNTIF('Calculations'!$HF$12:HF463,"="&amp;SUBSTITUTE(SUBSTITUTE(SUBSTITUTE('Calculations'!HF463,"~","~~"),"*","~*"),"?","~?"))=1),MAX('Calculations'!$HH$12:HH462)+1,0)</x:f>
        <x:v>0</x:v>
      </x:c>
      <x:c r="HI463" t="n">
        <x:f>IF(AND('Calculations'!HN463&lt;&gt;"",COUNTIF('Calculations'!$HN$12:HN463,"="&amp;SUBSTITUTE(SUBSTITUTE(SUBSTITUTE('Calculations'!HN463,"~","~~"),"*","~*"),"?","~?"))=1),MAX('Calculations'!$HI$12:HI462)+1,0)</x:f>
        <x:v>0</x:v>
      </x:c>
      <x:c r="HJ463" t="str">
        <x:f>IF('Calculations'!HF463="","",IF(COUNTIF('Calculations'!$HE$13:$HE$512,"="&amp;SUBSTITUTE(SUBSTITUTE(SUBSTITUTE('Calculations'!HF463,"~","~~"),"*","~*"),"?","~?"))=1,INDEX('Calculations'!$HK$13:$HK$512,MATCH('Calculations'!HF463,'Calculations'!$HE$13:$HE$512,0)),IFERROR(IF(INDEX(INDIRECT("'WCM Calibration Final'!$E$1:$E$2000"),'Calculations'!$EM463)="","",TRIM(INDEX(INDIRECT("'WCM Calibration Final'!$E$1:$E$2000"),'Calculations'!$EM463)&amp;"")),"")&amp;" ["&amp;'Calculations'!HF463&amp;"]"))</x:f>
      </x:c>
      <x:c r="HK463" t="str">
        <x:f>IF('Calculations'!EM463="","",'Calculations'!HG463&amp;" ["&amp;'Calculations'!HE463&amp;"]")</x:f>
      </x:c>
      <x:c r="HL463" t="n">
        <x:f>IF('Calculations'!EM463="",0,IF(OR('Calculations'!II463&lt;&gt;"",COUNTIF('Calculations'!$HE$13:$HE$512,"="&amp;SUBSTITUTE(SUBSTITUTE(SUBSTITUTE('Calculations'!HE463,"~","~~"),"*","~*"),"?","~?"))&gt;1),1,0))</x:f>
        <x:v>0</x:v>
      </x:c>
      <x:c r="HM463" t="str">
        <x:f>IF('Calculations'!EM463="","",IF('Calculations'!HL463=1,"!UNRESOLVED",IF('Calculations'!IH463&lt;&gt;"",'Calculations'!IH463,IF('Calculations'!IG463&lt;&gt;"",'Calculations'!IG463,IF('Calculations'!IF463&lt;&gt;"",'Calculations'!IF463,IF('Calculations'!IE463&lt;&gt;"",'Calculations'!IE463,IF('Calculations'!ID463&lt;&gt;"",'Calculations'!ID463,IF('Calculations'!IC463&lt;&gt;"",'Calculations'!IC463,IF('Calculations'!IB463&lt;&gt;"",'Calculations'!IB463,IF('Calculations'!IA463&lt;&gt;"",'Calculations'!IA463,IF('Calculations'!HZ463&lt;&gt;"",'Calculations'!HZ463,IF('Calculations'!HY463&lt;&gt;"",'Calculations'!HY463,IF('Calculations'!HX463&lt;&gt;"",'Calculations'!HX463,IF('Calculations'!HW463&lt;&gt;"",'Calculations'!HW463,IF('Calculations'!HV463&lt;&gt;"",'Calculations'!HV463,IF('Calculations'!HU463&lt;&gt;"",'Calculations'!HU463,IF('Calculations'!HT463&lt;&gt;"",'Calculations'!HT463,IF('Calculations'!HS463&lt;&gt;"",'Calculations'!HS463,IF('Calculations'!HR463&lt;&gt;"",'Calculations'!HR463,IF('Calculations'!HQ463&lt;&gt;"",'Calculations'!HQ463,IF('Calculations'!HP463&lt;&gt;"",'Calculations'!HP463,IF('Calculations'!HO463&lt;&gt;"",'Calculations'!HO463,'Calculations'!HE463))))))))))))))))))))))</x:f>
      </x:c>
      <x:c r="HN463" t="str">
        <x:f>IF('Calculations'!EM463="","",IF(IFERROR(IF(INDEX(INDIRECT("'WCM Calibration Final'!$F$1:$F$2000"),'Calculations'!$EM463)="","",TRIM(INDEX(INDIRECT("'WCM Calibration Final'!$F$1:$F$2000"),'Calculations'!$EM463)&amp;"")),"")="","(Blank)",IFERROR(IF(INDEX(INDIRECT("'WCM Calibration Final'!$F$1:$F$2000"),'Calculations'!$EM463)="","",TRIM(INDEX(INDIRECT("'WCM Calibration Final'!$F$1:$F$2000"),'Calculations'!$EM463)&amp;"")),"")))</x:f>
      </x:c>
      <x:c r="HO463" t="str">
        <x:f>'Calculations'!HF463</x:f>
      </x:c>
      <x:c r="HP463" t="str">
        <x:f>IF('Calculations'!HO463="","",IF('Calculations'!HO463="!AMBIG","!AMBIG",IF(COUNTIF('Calculations'!$HE$13:$HE$512,"="&amp;SUBSTITUTE(SUBSTITUTE(SUBSTITUTE('Calculations'!HO463,"~","~~"),"*","~*"),"?","~?"))&gt;1,"!AMBIG",IFERROR(INDEX('Calculations'!$HF$13:$HF$512,MATCH('Calculations'!HO463,'Calculations'!$HE$13:$HE$512,0)),""))))</x:f>
      </x:c>
      <x:c r="HQ463" t="str">
        <x:f>IF('Calculations'!HP463="","",IF('Calculations'!HP463="!AMBIG","!AMBIG",IF(COUNTIF('Calculations'!$HE$13:$HE$512,"="&amp;SUBSTITUTE(SUBSTITUTE(SUBSTITUTE('Calculations'!HP463,"~","~~"),"*","~*"),"?","~?"))&gt;1,"!AMBIG",IFERROR(INDEX('Calculations'!$HF$13:$HF$512,MATCH('Calculations'!HP463,'Calculations'!$HE$13:$HE$512,0)),""))))</x:f>
      </x:c>
      <x:c r="HR463" t="str">
        <x:f>IF('Calculations'!HQ463="","",IF('Calculations'!HQ463="!AMBIG","!AMBIG",IF(COUNTIF('Calculations'!$HE$13:$HE$512,"="&amp;SUBSTITUTE(SUBSTITUTE(SUBSTITUTE('Calculations'!HQ463,"~","~~"),"*","~*"),"?","~?"))&gt;1,"!AMBIG",IFERROR(INDEX('Calculations'!$HF$13:$HF$512,MATCH('Calculations'!HQ463,'Calculations'!$HE$13:$HE$512,0)),""))))</x:f>
      </x:c>
      <x:c r="HS463" t="str">
        <x:f>IF('Calculations'!HR463="","",IF('Calculations'!HR463="!AMBIG","!AMBIG",IF(COUNTIF('Calculations'!$HE$13:$HE$512,"="&amp;SUBSTITUTE(SUBSTITUTE(SUBSTITUTE('Calculations'!HR463,"~","~~"),"*","~*"),"?","~?"))&gt;1,"!AMBIG",IFERROR(INDEX('Calculations'!$HF$13:$HF$512,MATCH('Calculations'!HR463,'Calculations'!$HE$13:$HE$512,0)),""))))</x:f>
      </x:c>
      <x:c r="HT463" t="str">
        <x:f>IF('Calculations'!HS463="","",IF('Calculations'!HS463="!AMBIG","!AMBIG",IF(COUNTIF('Calculations'!$HE$13:$HE$512,"="&amp;SUBSTITUTE(SUBSTITUTE(SUBSTITUTE('Calculations'!HS463,"~","~~"),"*","~*"),"?","~?"))&gt;1,"!AMBIG",IFERROR(INDEX('Calculations'!$HF$13:$HF$512,MATCH('Calculations'!HS463,'Calculations'!$HE$13:$HE$512,0)),""))))</x:f>
      </x:c>
      <x:c r="HU463" t="str">
        <x:f>IF('Calculations'!HT463="","",IF('Calculations'!HT463="!AMBIG","!AMBIG",IF(COUNTIF('Calculations'!$HE$13:$HE$512,"="&amp;SUBSTITUTE(SUBSTITUTE(SUBSTITUTE('Calculations'!HT463,"~","~~"),"*","~*"),"?","~?"))&gt;1,"!AMBIG",IFERROR(INDEX('Calculations'!$HF$13:$HF$512,MATCH('Calculations'!HT463,'Calculations'!$HE$13:$HE$512,0)),""))))</x:f>
      </x:c>
      <x:c r="HV463" t="str">
        <x:f>IF('Calculations'!HU463="","",IF('Calculations'!HU463="!AMBIG","!AMBIG",IF(COUNTIF('Calculations'!$HE$13:$HE$512,"="&amp;SUBSTITUTE(SUBSTITUTE(SUBSTITUTE('Calculations'!HU463,"~","~~"),"*","~*"),"?","~?"))&gt;1,"!AMBIG",IFERROR(INDEX('Calculations'!$HF$13:$HF$512,MATCH('Calculations'!HU463,'Calculations'!$HE$13:$HE$512,0)),""))))</x:f>
      </x:c>
      <x:c r="HW463" t="str">
        <x:f>IF('Calculations'!HV463="","",IF('Calculations'!HV463="!AMBIG","!AMBIG",IF(COUNTIF('Calculations'!$HE$13:$HE$512,"="&amp;SUBSTITUTE(SUBSTITUTE(SUBSTITUTE('Calculations'!HV463,"~","~~"),"*","~*"),"?","~?"))&gt;1,"!AMBIG",IFERROR(INDEX('Calculations'!$HF$13:$HF$512,MATCH('Calculations'!HV463,'Calculations'!$HE$13:$HE$512,0)),""))))</x:f>
      </x:c>
      <x:c r="HX463" t="str">
        <x:f>IF('Calculations'!HW463="","",IF('Calculations'!HW463="!AMBIG","!AMBIG",IF(COUNTIF('Calculations'!$HE$13:$HE$512,"="&amp;SUBSTITUTE(SUBSTITUTE(SUBSTITUTE('Calculations'!HW463,"~","~~"),"*","~*"),"?","~?"))&gt;1,"!AMBIG",IFERROR(INDEX('Calculations'!$HF$13:$HF$512,MATCH('Calculations'!HW463,'Calculations'!$HE$13:$HE$512,0)),""))))</x:f>
      </x:c>
      <x:c r="HY463" t="str">
        <x:f>IF('Calculations'!HX463="","",IF('Calculations'!HX463="!AMBIG","!AMBIG",IF(COUNTIF('Calculations'!$HE$13:$HE$512,"="&amp;SUBSTITUTE(SUBSTITUTE(SUBSTITUTE('Calculations'!HX463,"~","~~"),"*","~*"),"?","~?"))&gt;1,"!AMBIG",IFERROR(INDEX('Calculations'!$HF$13:$HF$512,MATCH('Calculations'!HX463,'Calculations'!$HE$13:$HE$512,0)),""))))</x:f>
      </x:c>
      <x:c r="HZ463" t="str">
        <x:f>IF('Calculations'!HY463="","",IF('Calculations'!HY463="!AMBIG","!AMBIG",IF(COUNTIF('Calculations'!$HE$13:$HE$512,"="&amp;SUBSTITUTE(SUBSTITUTE(SUBSTITUTE('Calculations'!HY463,"~","~~"),"*","~*"),"?","~?"))&gt;1,"!AMBIG",IFERROR(INDEX('Calculations'!$HF$13:$HF$512,MATCH('Calculations'!HY463,'Calculations'!$HE$13:$HE$512,0)),""))))</x:f>
      </x:c>
      <x:c r="IA463" t="str">
        <x:f>IF('Calculations'!HZ463="","",IF('Calculations'!HZ463="!AMBIG","!AMBIG",IF(COUNTIF('Calculations'!$HE$13:$HE$512,"="&amp;SUBSTITUTE(SUBSTITUTE(SUBSTITUTE('Calculations'!HZ463,"~","~~"),"*","~*"),"?","~?"))&gt;1,"!AMBIG",IFERROR(INDEX('Calculations'!$HF$13:$HF$512,MATCH('Calculations'!HZ463,'Calculations'!$HE$13:$HE$512,0)),""))))</x:f>
      </x:c>
      <x:c r="IB463" t="str">
        <x:f>IF('Calculations'!IA463="","",IF('Calculations'!IA463="!AMBIG","!AMBIG",IF(COUNTIF('Calculations'!$HE$13:$HE$512,"="&amp;SUBSTITUTE(SUBSTITUTE(SUBSTITUTE('Calculations'!IA463,"~","~~"),"*","~*"),"?","~?"))&gt;1,"!AMBIG",IFERROR(INDEX('Calculations'!$HF$13:$HF$512,MATCH('Calculations'!IA463,'Calculations'!$HE$13:$HE$512,0)),""))))</x:f>
      </x:c>
      <x:c r="IC463" t="str">
        <x:f>IF('Calculations'!IB463="","",IF('Calculations'!IB463="!AMBIG","!AMBIG",IF(COUNTIF('Calculations'!$HE$13:$HE$512,"="&amp;SUBSTITUTE(SUBSTITUTE(SUBSTITUTE('Calculations'!IB463,"~","~~"),"*","~*"),"?","~?"))&gt;1,"!AMBIG",IFERROR(INDEX('Calculations'!$HF$13:$HF$512,MATCH('Calculations'!IB463,'Calculations'!$HE$13:$HE$512,0)),""))))</x:f>
      </x:c>
      <x:c r="ID463" t="str">
        <x:f>IF('Calculations'!IC463="","",IF('Calculations'!IC463="!AMBIG","!AMBIG",IF(COUNTIF('Calculations'!$HE$13:$HE$512,"="&amp;SUBSTITUTE(SUBSTITUTE(SUBSTITUTE('Calculations'!IC463,"~","~~"),"*","~*"),"?","~?"))&gt;1,"!AMBIG",IFERROR(INDEX('Calculations'!$HF$13:$HF$512,MATCH('Calculations'!IC463,'Calculations'!$HE$13:$HE$512,0)),""))))</x:f>
      </x:c>
      <x:c r="IE463" t="str">
        <x:f>IF('Calculations'!ID463="","",IF('Calculations'!ID463="!AMBIG","!AMBIG",IF(COUNTIF('Calculations'!$HE$13:$HE$512,"="&amp;SUBSTITUTE(SUBSTITUTE(SUBSTITUTE('Calculations'!ID463,"~","~~"),"*","~*"),"?","~?"))&gt;1,"!AMBIG",IFERROR(INDEX('Calculations'!$HF$13:$HF$512,MATCH('Calculations'!ID463,'Calculations'!$HE$13:$HE$512,0)),""))))</x:f>
      </x:c>
      <x:c r="IF463" t="str">
        <x:f>IF('Calculations'!IE463="","",IF('Calculations'!IE463="!AMBIG","!AMBIG",IF(COUNTIF('Calculations'!$HE$13:$HE$512,"="&amp;SUBSTITUTE(SUBSTITUTE(SUBSTITUTE('Calculations'!IE463,"~","~~"),"*","~*"),"?","~?"))&gt;1,"!AMBIG",IFERROR(INDEX('Calculations'!$HF$13:$HF$512,MATCH('Calculations'!IE463,'Calculations'!$HE$13:$HE$512,0)),""))))</x:f>
      </x:c>
      <x:c r="IG463" t="str">
        <x:f>IF('Calculations'!IF463="","",IF('Calculations'!IF463="!AMBIG","!AMBIG",IF(COUNTIF('Calculations'!$HE$13:$HE$512,"="&amp;SUBSTITUTE(SUBSTITUTE(SUBSTITUTE('Calculations'!IF463,"~","~~"),"*","~*"),"?","~?"))&gt;1,"!AMBIG",IFERROR(INDEX('Calculations'!$HF$13:$HF$512,MATCH('Calculations'!IF463,'Calculations'!$HE$13:$HE$512,0)),""))))</x:f>
      </x:c>
      <x:c r="IH463" t="str">
        <x:f>IF('Calculations'!IG463="","",IF('Calculations'!IG463="!AMBIG","!AMBIG",IF(COUNTIF('Calculations'!$HE$13:$HE$512,"="&amp;SUBSTITUTE(SUBSTITUTE(SUBSTITUTE('Calculations'!IG463,"~","~~"),"*","~*"),"?","~?"))&gt;1,"!AMBIG",IFERROR(INDEX('Calculations'!$HF$13:$HF$512,MATCH('Calculations'!IG463,'Calculations'!$HE$13:$HE$512,0)),""))))</x:f>
      </x:c>
      <x:c r="II463" t="str">
        <x:f>IF('Calculations'!IH463="","",IF('Calculations'!IH463="!AMBIG","!AMBIG",IF(COUNTIF('Calculations'!$HE$13:$HE$512,"="&amp;SUBSTITUTE(SUBSTITUTE(SUBSTITUTE('Calculations'!IH463,"~","~~"),"*","~*"),"?","~?"))&gt;1,"!AMBIG",IFERROR(INDEX('Calculations'!$HF$13:$HF$512,MATCH('Calculations'!IH463,'Calculations'!$HE$13:$HE$512,0)),""))))</x:f>
      </x:c>
      <x:c r="IJ463" t="str">
        <x:f>IF('Calculations'!EM463="","",IF('Calculations'!$EF$2="All",'Calculations'!HM463,IF('Calculations'!HL463=1,"",IFERROR(IF(MATCH('Calculations'!$EF$2,'Calculations'!HO463:II463,0)=1,'Calculations'!HE463,INDEX('Calculations'!HO463:II463,1,MATCH('Calculations'!$EF$2,'Calculations'!HO463:II463,0)-1)),""))))</x:f>
      </x:c>
      <x:c r="IK463" t="n">
        <x:f>IF(AND('Calculations'!EM463&lt;&gt;"",'Calculations'!$EF$2&lt;&gt;"All",'Calculations'!HF463='Calculations'!$EF$2,'Calculations'!HL463=0,'Calculations'!JD463&gt;0),MAX('Calculations'!$IK$12:IK462)+1,0)</x:f>
        <x:v>0</x:v>
      </x:c>
      <x:c r="JA463" t="n">
        <x:f>IF(OR(IFERROR(INDIRECT("'WCM Calibration Final'!$A$463")&lt;&gt;"",FALSE),IFERROR(INDIRECT("'WCM Calibration Final'!$B$463")&lt;&gt;"",FALSE),IFERROR(INDIRECT("'WCM Calibration Final'!$C$463")&lt;&gt;"",FALSE)),463,0)</x:f>
        <x:v>0</x:v>
      </x:c>
      <x:c r="JB463" t="n">
        <x:f>'Calculations'!JB462+IF('Calculations'!JA463&gt;0,1,0)</x:f>
        <x:v>0</x:v>
      </x:c>
      <x:c r="JC463" t="n">
        <x:f>IF(OR('Calculations'!HF463="",'Calculations'!HF463="!AMBIG"),0,IF('Dashboard'!$B$7="All",1,COUNTIFS('Calculations'!$HO$13:$HO$512,"="&amp;SUBSTITUTE(SUBSTITUTE(SUBSTITUTE('Calculations'!HF463,"~","~~"),"*","~*"),"?","~?"),'Calculations'!$HN$13:$HN$512,"="&amp;SUBSTITUTE(SUBSTITUTE(SUBSTITUTE('Dashboard'!$B$7,"~","~~"),"*","~*"),"?","~?"))+COUNTIFS('Calculations'!$HP$13:$HP$512,"="&amp;SUBSTITUTE(SUBSTITUTE(SUBSTITUTE('Calculations'!HF463,"~","~~"),"*","~*"),"?","~?"),'Calculations'!$HN$13:$HN$512,"="&amp;SUBSTITUTE(SUBSTITUTE(SUBSTITUTE('Dashboard'!$B$7,"~","~~"),"*","~*"),"?","~?"))+COUNTIFS('Calculations'!$HQ$13:$HQ$512,"="&amp;SUBSTITUTE(SUBSTITUTE(SUBSTITUTE('Calculations'!HF463,"~","~~"),"*","~*"),"?","~?"),'Calculations'!$HN$13:$HN$512,"="&amp;SUBSTITUTE(SUBSTITUTE(SUBSTITUTE('Dashboard'!$B$7,"~","~~"),"*","~*"),"?","~?"))+COUNTIFS('Calculations'!$HR$13:$HR$512,"="&amp;SUBSTITUTE(SUBSTITUTE(SUBSTITUTE('Calculations'!HF463,"~","~~"),"*","~*"),"?","~?"),'Calculations'!$HN$13:$HN$512,"="&amp;SUBSTITUTE(SUBSTITUTE(SUBSTITUTE('Dashboard'!$B$7,"~","~~"),"*","~*"),"?","~?"))+COUNTIFS('Calculations'!$HS$13:$HS$512,"="&amp;SUBSTITUTE(SUBSTITUTE(SUBSTITUTE('Calculations'!HF463,"~","~~"),"*","~*"),"?","~?"),'Calculations'!$HN$13:$HN$512,"="&amp;SUBSTITUTE(SUBSTITUTE(SUBSTITUTE('Dashboard'!$B$7,"~","~~"),"*","~*"),"?","~?"))+COUNTIFS('Calculations'!$HT$13:$HT$512,"="&amp;SUBSTITUTE(SUBSTITUTE(SUBSTITUTE('Calculations'!HF463,"~","~~"),"*","~*"),"?","~?"),'Calculations'!$HN$13:$HN$512,"="&amp;SUBSTITUTE(SUBSTITUTE(SUBSTITUTE('Dashboard'!$B$7,"~","~~"),"*","~*"),"?","~?"))+COUNTIFS('Calculations'!$HU$13:$HU$512,"="&amp;SUBSTITUTE(SUBSTITUTE(SUBSTITUTE('Calculations'!HF463,"~","~~"),"*","~*"),"?","~?"),'Calculations'!$HN$13:$HN$512,"="&amp;SUBSTITUTE(SUBSTITUTE(SUBSTITUTE('Dashboard'!$B$7,"~","~~"),"*","~*"),"?","~?"))+COUNTIFS('Calculations'!$HV$13:$HV$512,"="&amp;SUBSTITUTE(SUBSTITUTE(SUBSTITUTE('Calculations'!HF463,"~","~~"),"*","~*"),"?","~?"),'Calculations'!$HN$13:$HN$512,"="&amp;SUBSTITUTE(SUBSTITUTE(SUBSTITUTE('Dashboard'!$B$7,"~","~~"),"*","~*"),"?","~?"))+COUNTIFS('Calculations'!$HW$13:$HW$512,"="&amp;SUBSTITUTE(SUBSTITUTE(SUBSTITUTE('Calculations'!HF463,"~","~~"),"*","~*"),"?","~?"),'Calculations'!$HN$13:$HN$512,"="&amp;SUBSTITUTE(SUBSTITUTE(SUBSTITUTE('Dashboard'!$B$7,"~","~~"),"*","~*"),"?","~?"))+COUNTIFS('Calculations'!$HX$13:$HX$512,"="&amp;SUBSTITUTE(SUBSTITUTE(SUBSTITUTE('Calculations'!HF463,"~","~~"),"*","~*"),"?","~?"),'Calculations'!$HN$13:$HN$512,"="&amp;SUBSTITUTE(SUBSTITUTE(SUBSTITUTE('Dashboard'!$B$7,"~","~~"),"*","~*"),"?","~?"))+COUNTIFS('Calculations'!$HY$13:$HY$512,"="&amp;SUBSTITUTE(SUBSTITUTE(SUBSTITUTE('Calculations'!HF463,"~","~~"),"*","~*"),"?","~?"),'Calculations'!$HN$13:$HN$512,"="&amp;SUBSTITUTE(SUBSTITUTE(SUBSTITUTE('Dashboard'!$B$7,"~","~~"),"*","~*"),"?","~?"))+COUNTIFS('Calculations'!$HZ$13:$HZ$512,"="&amp;SUBSTITUTE(SUBSTITUTE(SUBSTITUTE('Calculations'!HF463,"~","~~"),"*","~*"),"?","~?"),'Calculations'!$HN$13:$HN$512,"="&amp;SUBSTITUTE(SUBSTITUTE(SUBSTITUTE('Dashboard'!$B$7,"~","~~"),"*","~*"),"?","~?"))+COUNTIFS('Calculations'!$IA$13:$IA$512,"="&amp;SUBSTITUTE(SUBSTITUTE(SUBSTITUTE('Calculations'!HF463,"~","~~"),"*","~*"),"?","~?"),'Calculations'!$HN$13:$HN$512,"="&amp;SUBSTITUTE(SUBSTITUTE(SUBSTITUTE('Dashboard'!$B$7,"~","~~"),"*","~*"),"?","~?"))+COUNTIFS('Calculations'!$IB$13:$IB$512,"="&amp;SUBSTITUTE(SUBSTITUTE(SUBSTITUTE('Calculations'!HF463,"~","~~"),"*","~*"),"?","~?"),'Calculations'!$HN$13:$HN$512,"="&amp;SUBSTITUTE(SUBSTITUTE(SUBSTITUTE('Dashboard'!$B$7,"~","~~"),"*","~*"),"?","~?"))+COUNTIFS('Calculations'!$IC$13:$IC$512,"="&amp;SUBSTITUTE(SUBSTITUTE(SUBSTITUTE('Calculations'!HF463,"~","~~"),"*","~*"),"?","~?"),'Calculations'!$HN$13:$HN$512,"="&amp;SUBSTITUTE(SUBSTITUTE(SUBSTITUTE('Dashboard'!$B$7,"~","~~"),"*","~*"),"?","~?"))+COUNTIFS('Calculations'!$ID$13:$ID$512,"="&amp;SUBSTITUTE(SUBSTITUTE(SUBSTITUTE('Calculations'!HF463,"~","~~"),"*","~*"),"?","~?"),'Calculations'!$HN$13:$HN$512,"="&amp;SUBSTITUTE(SUBSTITUTE(SUBSTITUTE('Dashboard'!$B$7,"~","~~"),"*","~*"),"?","~?"))+COUNTIFS('Calculations'!$IE$13:$IE$512,"="&amp;SUBSTITUTE(SUBSTITUTE(SUBSTITUTE('Calculations'!HF463,"~","~~"),"*","~*"),"?","~?"),'Calculations'!$HN$13:$HN$512,"="&amp;SUBSTITUTE(SUBSTITUTE(SUBSTITUTE('Dashboard'!$B$7,"~","~~"),"*","~*"),"?","~?"))+COUNTIFS('Calculations'!$IF$13:$IF$512,"="&amp;SUBSTITUTE(SUBSTITUTE(SUBSTITUTE('Calculations'!HF463,"~","~~"),"*","~*"),"?","~?"),'Calculations'!$HN$13:$HN$512,"="&amp;SUBSTITUTE(SUBSTITUTE(SUBSTITUTE('Dashboard'!$B$7,"~","~~"),"*","~*"),"?","~?"))+COUNTIFS('Calculations'!$IG$13:$IG$512,"="&amp;SUBSTITUTE(SUBSTITUTE(SUBSTITUTE('Calculations'!HF463,"~","~~"),"*","~*"),"?","~?"),'Calculations'!$HN$13:$HN$512,"="&amp;SUBSTITUTE(SUBSTITUTE(SUBSTITUTE('Dashboard'!$B$7,"~","~~"),"*","~*"),"?","~?"))+COUNTIFS('Calculations'!$IH$13:$IH$512,"="&amp;SUBSTITUTE(SUBSTITUTE(SUBSTITUTE('Calculations'!HF463,"~","~~"),"*","~*"),"?","~?"),'Calculations'!$HN$13:$HN$512,"="&amp;SUBSTITUTE(SUBSTITUTE(SUBSTITUTE('Dashboard'!$B$7,"~","~~"),"*","~*"),"?","~?"))))</x:f>
        <x:v>0</x:v>
      </x:c>
      <x:c r="JD463" t="n">
        <x:f>IF('Calculations'!EM463="",0,IF('Dashboard'!$B$7="All",1,IF('Calculations'!HN463='Dashboard'!$B$7,1,0)+IFERROR(INDEX('Calculations'!$JC$13:$JC$512,MATCH('Calculations'!HE463,'Calculations'!$HF$13:$HF$512,0)),0)))</x:f>
        <x:v>0</x:v>
      </x:c>
      <x:c r="JE463" t="n">
        <x:f>IF(AND('Calculations'!EM463&lt;&gt;"",'Calculations'!$JJ$2&lt;&gt;"All",'Calculations'!$JJ$2&lt;&gt;"",'Calculations'!HF463='Calculations'!$JJ$2,'Calculations'!HL463=0,'Calculations'!JD463&gt;0),MAX('Calculations'!$JE$12:JE462)+1,0)</x:f>
        <x:v>0</x:v>
      </x:c>
      <x:c r="JF463" t="str">
        <x:f>IF('Calculations'!EM463="","",IFERROR(IF(INDEX(INDIRECT("'WCM Calibration Final'!$G$1:$G$2000"),'Calculations'!$EM463)="","",TRIM(INDEX(INDIRECT("'WCM Calibration Final'!$G$1:$G$2000"),'Calculations'!$EM463)&amp;"")),""))</x:f>
      </x:c>
      <x:c r="JQ463" t="n">
        <x:f>IF(OR('Calculations'!BM463=0,NOT('Calculations'!$AG$2),'Calculations'!$AG$8&gt;0),0,IF(OR('Dashboard'!$B$7="All",'Calculations'!HN463='Dashboard'!$B$7),IF('Calculations'!$JJ$2="All",1,IF(AND('Calculations'!HF463='Calculations'!$JJ$2,'Calculations'!HL463=0),1,0)),0))</x:f>
        <x:v>0</x:v>
      </x:c>
    </x:row>
    <x:row r="464">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t="n">
        <x:f>IF('Calculations'!$EM464="",0,IF(OR(IFERROR(INDEX(INDIRECT("'WCM Calibration Final'!$A$1:$A$2000"),'Calculations'!$EM464)&lt;&gt;"",FALSE),IFERROR(INDEX(INDIRECT("'WCM Calibration Final'!$B$1:$B$2000"),'Calculations'!$EM464)&lt;&gt;"",FALSE),IFERROR(INDEX(INDIRECT("'WCM Calibration Final'!$C$1:$C$2000"),'Calculations'!$EM464)&lt;&gt;"",FALSE)),1,0))</x:f>
        <x:v>0</x:v>
      </x:c>
      <x:c r="BN464" s="4" t="n">
        <x:f>IF(AND('Calculations'!BM464=1,'Calculations'!$AG$2,'Calculations'!$EN464=1),1,0)</x:f>
        <x:v>0</x:v>
      </x:c>
      <x:c r="BO464" s="4" t="str">
        <x:f>IF('Calculations'!BM464=0,"",IFERROR(IF(AND(VALUE(INDEX(INDIRECT("'WCM Calibration Final'!$K$1:$K$2000"),'Calculations'!$EM464))&gt;=1,VALUE(INDEX(INDIRECT("'WCM Calibration Final'!$K$1:$K$2000"),'Calculations'!$EM464))&lt;=4,MOD(VALUE(INDEX(INDIRECT("'WCM Calibration Final'!$K$1:$K$2000"),'Calculations'!$EM464)),1)=0),VALUE(INDEX(INDIRECT("'WCM Calibration Final'!$K$1:$K$2000"),'Calculations'!$EM464)),""),""))</x:f>
      </x:c>
      <x:c r="BP464" s="4" t="str">
        <x:f>IF('Calculations'!BM464=0,"",IFERROR(IF(AND(VALUE(INDEX(INDIRECT("'WCM Calibration Final'!$L$1:$L$2000"),'Calculations'!$EM464))&gt;=1,VALUE(INDEX(INDIRECT("'WCM Calibration Final'!$L$1:$L$2000"),'Calculations'!$EM464))&lt;=4,MOD(VALUE(INDEX(INDIRECT("'WCM Calibration Final'!$L$1:$L$2000"),'Calculations'!$EM464)),1)=0),VALUE(INDEX(INDIRECT("'WCM Calibration Final'!$L$1:$L$2000"),'Calculations'!$EM464)),""),""))</x:f>
      </x:c>
      <x:c r="BQ464" s="4"/>
      <x:c r="BR464" s="4"/>
      <x:c r="BS464" s="4"/>
      <x:c r="BT464" s="4" t="n">
        <x:f>IF(AND('Calculations'!BM464=1,ISNUMBER('Calculations'!BO464),ISNUMBER('Calculations'!BP464)),1,0)</x:f>
        <x:v>0</x:v>
      </x:c>
      <x:c r="BU464" s="4" t="str">
        <x:f>IF('Calculations'!BM464=0,"",'Calculations'!$EO464)</x:f>
      </x:c>
      <x:c r="BV464" s="4" t="str">
        <x:f>IF('Calculations'!BM464=0,"",IFERROR(IF(OR(INDEX(INDIRECT("'WCM Calibration Final'!$H$1:$H$2000"),'Calculations'!$EM464)="MANAGING DIRECTOR",INDEX(INDIRECT("'WCM Calibration Final'!$H$1:$H$2000"),'Calculations'!$EM464)="DIRECTOR",INDEX(INDIRECT("'WCM Calibration Final'!$H$1:$H$2000"),'Calculations'!$EM464)="SENIOR VICE PRESIDENT",INDEX(INDIRECT("'WCM Calibration Final'!$H$1:$H$2000"),'Calculations'!$EM464)="VICE PRESIDENT",INDEX(INDIRECT("'WCM Calibration Final'!$H$1:$H$2000"),'Calculations'!$EM464)="ASSISTANT VICE PRESIDENT",INDEX(INDIRECT("'WCM Calibration Final'!$H$1:$H$2000"),'Calculations'!$EM464)="OFFICER"),UPPER(INDEX(INDIRECT("'WCM Calibration Final'!$H$1:$H$2000"),'Calculations'!$EM464)),"Other"),"Other"))</x:f>
      </x:c>
      <x:c r="BW464" s="4"/>
      <x:c r="BX464" s="4"/>
      <x:c r="BY464" s="4" t="n">
        <x:f>IF(AND('Calculations'!BM464=1,'Calculations'!BU464&lt;&gt;"",COUNTIF('Calculations'!$BU$12:BU464,'Calculations'!BU464)=1),MAX('Calculations'!$BY$11:BY463)+1,0)</x:f>
        <x:v>0</x:v>
      </x:c>
      <x:c r="BZ464" s="4" t="str">
        <x:f>IF('Dashboard'!$E$67="What",'Calculations'!BO464,'Calculations'!BP464)</x:f>
      </x:c>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t="str">
        <x:f>IF(453&gt;MAX('Calculations'!$HI$13:$HI$512),"",INDEX('Calculations'!$HN$13:$HN$512,MATCH(453,'Calculations'!$HI$13:$HI$512,0)))</x:f>
      </x:c>
      <x:c r="DB464" s="4" t="str">
        <x:f>IF(453&gt;MAX('Calculations'!$HH$13:$HH$512),"",INDEX('Calculations'!$HJ$13:$HJ$512,MATCH(453,'Calculations'!$HH$13:$HH$512,0)))</x:f>
      </x:c>
      <x:c r="DC464" s="4" t="str">
        <x:f>IF(ROW()-11&gt;MAX('Calculations'!$BY$13:$BY$512),"",INDEX('Calculations'!$BU$13:$BU$512,MATCH(ROW()-11,'Calculations'!$BY$13:$BY$512,0)))</x:f>
      </x:c>
      <x:c r="DD464" s="4" t="str">
        <x:f>IF(453&gt;MAX('Calculations'!$IK$13:$IK$512),"",INDEX('Calculations'!$HK$13:$HK$512,MATCH(453,'Calculations'!$IK$13:$IK$512,0)))</x:f>
      </x:c>
      <x:c r="DE464" s="4" t="str">
        <x:f>'Calculations'!DC464</x:f>
      </x:c>
      <x:c r="DF464" s="4" t="str">
        <x:f>IF('Calculations'!DE464="","",COUNTIFS('Calculations'!$BN$13:$BN$512,1,'Calculations'!$BU$13:$BU$512,'Calculations'!DE464))</x:f>
      </x:c>
      <x:c r="DG464" s="4" t="str">
        <x:f>IF('Calculations'!DE464="","",COUNTIFS('Calculations'!$BN$13:$BN$512,1,'Calculations'!$BU$13:$BU$512,'Calculations'!DE464,'Calculations'!$BT$13:$BT$512,1))</x:f>
      </x:c>
      <x:c r="DH464" s="4" t="str">
        <x:f>IF('Calculations'!DE464="","",'Calculations'!DF464-'Calculations'!DG464)</x:f>
      </x:c>
      <x:c r="DI464" s="4" t="str">
        <x:f>IF(OR('Calculations'!DE464="",'Calculations'!DF464=0),"",'Calculations'!DG464/'Calculations'!DF464)</x:f>
      </x:c>
      <x:c r="DJ464" s="4" t="str">
        <x:f>IF('Calculations'!DE464="","",COUNTIFS('Calculations'!$BN$13:$BN$512,1,'Calculations'!$BU$13:$BU$512,'Calculations'!DE464,'Calculations'!$BT$13:$BT$512,1,'Calculations'!$EE$13:$EE$512,"High"))</x:f>
      </x:c>
      <x:c r="DK464" s="4" t="str">
        <x:f>IF('Calculations'!DE464="","",COUNTIFS('Calculations'!$BN$13:$BN$512,1,'Calculations'!$BU$13:$BU$512,'Calculations'!DE464,'Calculations'!$BT$13:$BT$512,1,'Calculations'!$EE$13:$EE$512,"Strong"))</x:f>
      </x:c>
      <x:c r="DL464" s="4" t="str">
        <x:f>IF('Calculations'!DE464="","",COUNTIFS('Calculations'!$BN$13:$BN$512,1,'Calculations'!$BU$13:$BU$512,'Calculations'!DE464,'Calculations'!$BT$13:$BT$512,1,'Calculations'!$EE$13:$EE$512,"Solid"))</x:f>
      </x:c>
      <x:c r="DM464" s="4" t="str">
        <x:f>IF('Calculations'!DE464="","",COUNTIFS('Calculations'!$BN$13:$BN$512,1,'Calculations'!$BU$13:$BU$512,'Calculations'!DE464,'Calculations'!$BT$13:$BT$512,1,'Calculations'!$EE$13:$EE$512,"Low"))</x:f>
      </x:c>
      <x:c r="DN464" s="4" t="str">
        <x:f>IF('Calculations'!DE464="","",COUNTIFS('Calculations'!$BN$13:$BN$512,1,'Calculations'!$BU$13:$BU$512,'Calculations'!DE464,'Calculations'!$EP$13:$EP$512,1))</x:f>
      </x:c>
      <x:c r="DO464" s="4" t="str">
        <x:f>IF(OR('Calculations'!DE464="",'Calculations'!DG464=0),"",('Calculations'!DJ464+'Calculations'!DK464)/'Calculations'!DG464)</x:f>
      </x:c>
      <x:c r="DP464" s="4" t="n">
        <x:f>IF(AND('Calculations'!DE464&lt;&gt;"",'Calculations'!DF464&gt;0),COUNTIF('Calculations'!$DF$12:DF464,"&gt;0"),0)</x:f>
        <x:v>0</x:v>
      </x:c>
      <x:c r="DQ464" s="4" t="str">
        <x:f>IF(453&gt;MAX('Calculations'!$HH$13:$HH$512),"",INDEX('Calculations'!$HF$13:$HF$512,MATCH(453,'Calculations'!$HH$13:$HH$512,0)))</x:f>
      </x:c>
      <x:c r="DR464" s="4" t="str">
        <x:f>IF(453&gt;MAX('Calculations'!$IK$13:$IK$512),"",INDEX('Calculations'!$HE$13:$HE$512,MATCH(453,'Calculations'!$IK$13:$IK$512,0)))</x:f>
      </x:c>
      <x:c r="DS464" s="4"/>
      <x:c r="DT464" s="4"/>
      <x:c r="DU464" s="4"/>
      <x:c r="DV464" s="4"/>
      <x:c r="DW464" s="4"/>
      <x:c r="DX464" s="4"/>
      <x:c r="DY464" s="4"/>
      <x:c r="DZ464" s="4"/>
      <x:c r="EA464" s="4"/>
      <x:c r="EB464" s="4"/>
      <x:c r="EC464" s="4"/>
      <x:c r="ED464" s="4"/>
      <x:c r="EE464" s="4" t="str">
        <x:f>IF('Calculations'!BT464=0,"Not Rated",IF(OR('Calculations'!BO464&gt;=4,'Calculations'!BP464&gt;=4),"Low",IF('Calculations'!BO464+'Calculations'!BP464&lt;=3,"High",IF('Calculations'!BO464+'Calculations'!BP464&lt;=4,"Strong","Solid"))))</x:f>
        <x:v>Not Rated</x:v>
      </x:c>
      <x:c r="EF464" s="4"/>
      <x:c r="EG464" s="4"/>
      <x:c r="EH464" s="4"/>
      <x:c r="EI464" s="4"/>
      <x:c r="EJ464" s="4"/>
      <x:c r="EK464" s="4"/>
      <x:c r="EL464" s="4"/>
      <x:c r="EM464" s="4" t="str">
        <x:f>IF(452&gt;'Calculations'!$JB$2000,"",INDEX('Calculations'!$JA$12:$JA$2000,MATCH(452,'Calculations'!$JB$12:$JB$2000,0)))</x:f>
      </x:c>
      <x:c r="EN464" s="4" t="n">
        <x:f>IF(OR('Calculations'!EM464="",'Calculations'!$AG$8&gt;0,AND('Calculations'!$EF$2&lt;&gt;"All",'Calculations'!HE464='Calculations'!$EF$2),AND('Calculations'!$EF$3&lt;&gt;"All",'Calculations'!HE464='Calculations'!$EF$3)),0,IF(OR('Dashboard'!$B$7="All",'Calculations'!HN464='Dashboard'!$B$7),IF('Calculations'!$EF$2="All",1,IF('Calculations'!HL464&gt;0,0,IF(COUNTIF('Calculations'!HO464:II464,"="&amp;SUBSTITUTE(SUBSTITUTE(SUBSTITUTE('Calculations'!$EF$2,"~","~~"),"*","~*"),"?","~?"))=0,0,IF('Calculations'!$EF$3="All",1,IF(COUNTIF('Calculations'!HO464:II464,"="&amp;SUBSTITUTE(SUBSTITUTE(SUBSTITUTE('Calculations'!$EF$3,"~","~~"),"*","~*"),"?","~?"))&gt;0,1,0))))),0))</x:f>
        <x:v>0</x:v>
      </x:c>
      <x:c r="EO464" s="4" t="str">
        <x:f>IF('Calculations'!IJ464="","",IF('Calculations'!IJ464="!UNRESOLVED","Unresolved hierarchy",IFERROR(INDEX('Calculations'!$HK$13:$HK$512,MATCH('Calculations'!IJ464,'Calculations'!$HE$13:$HE$512,0)),IFERROR(INDEX('Calculations'!$HJ$13:$HJ$512,MATCH('Calculations'!IJ464,'Calculations'!$HF$13:$HF$512,0)),'Calculations'!IJ464))))</x:f>
      </x:c>
      <x:c r="EP464" s="4" t="n">
        <x:f>IF(AND('Calculations'!EM464&lt;&gt;"",'Calculations'!HF464='Calculations'!IJ464),1,0)</x:f>
        <x:v>0</x:v>
      </x:c>
      <x:c r="EQ464" s="4"/>
      <x:c r="ER464" s="4"/>
      <x:c r="ES464" s="4"/>
      <x:c r="ET464" s="4"/>
      <x:c r="EU464" s="4"/>
      <x:c r="EV464" s="4"/>
      <x:c r="EW464" s="4"/>
      <x:c r="EX464" s="4"/>
      <x:c r="EY464" s="4"/>
      <x:c r="EZ464" s="4"/>
      <x:c r="FA464" s="4"/>
      <x:c r="FB464" s="4"/>
      <x:c r="FC464" s="4"/>
      <x:c r="FD464" s="4"/>
      <x:c r="FE464" s="4"/>
      <x:c r="FF464" s="4"/>
      <x:c r="FG464" s="4"/>
      <x:c r="FH464" s="4"/>
      <x:c r="FI464" s="4"/>
      <x:c r="FJ464" s="4"/>
      <x:c r="FK464" s="4"/>
      <x:c r="FL464" s="4"/>
      <x:c r="FM464" s="4"/>
      <x:c r="FN464" s="4"/>
      <x:c r="FO464" s="4"/>
      <x:c r="HE464" t="str">
        <x:f>IF('Calculations'!EM464="","",IF(IFERROR(IF(INDEX(INDIRECT("'WCM Calibration Final'!$A$1:$A$2000"),'Calculations'!$EM464)="","",TRIM(INDEX(INDIRECT("'WCM Calibration Final'!$A$1:$A$2000"),'Calculations'!$EM464)&amp;"")),"")&lt;&gt;"","G:"&amp;IFERROR(TEXT(1*INDEX(INDIRECT("'WCM Calibration Final'!$A$1:$A$2000"),'Calculations'!$EM464),"0"),UPPER(IFERROR(IF(INDEX(INDIRECT("'WCM Calibration Final'!$A$1:$A$2000"),'Calculations'!$EM464)="","",TRIM(INDEX(INDIRECT("'WCM Calibration Final'!$A$1:$A$2000"),'Calculations'!$EM464)&amp;"")),""))),IF(IFERROR(IF(INDEX(INDIRECT("'WCM Calibration Final'!$C$1:$C$2000"),'Calculations'!$EM464)="","",TRIM(INDEX(INDIRECT("'WCM Calibration Final'!$C$1:$C$2000"),'Calculations'!$EM464)&amp;"")),"")&lt;&gt;"","S:"&amp;UPPER(IFERROR(IF(INDEX(INDIRECT("'WCM Calibration Final'!$C$1:$C$2000"),'Calculations'!$EM464)="","",TRIM(INDEX(INDIRECT("'WCM Calibration Final'!$C$1:$C$2000"),'Calculations'!$EM464)&amp;"")),"")),"R:"&amp;'Calculations'!EM464)))</x:f>
      </x:c>
      <x:c r="HF464" t="str">
        <x:f>IF('Calculations'!EM464="","",IF(IFERROR(IF(INDEX(INDIRECT("'WCM Calibration Final'!$D$1:$D$2000"),'Calculations'!$EM464)="","",TRIM(INDEX(INDIRECT("'WCM Calibration Final'!$D$1:$D$2000"),'Calculations'!$EM464)&amp;"")),"")&lt;&gt;"","G:"&amp;IFERROR(TEXT(1*INDEX(INDIRECT("'WCM Calibration Final'!$D$1:$D$2000"),'Calculations'!$EM464),"0"),UPPER(IFERROR(IF(INDEX(INDIRECT("'WCM Calibration Final'!$D$1:$D$2000"),'Calculations'!$EM464)="","",TRIM(INDEX(INDIRECT("'WCM Calibration Final'!$D$1:$D$2000"),'Calculations'!$EM464)&amp;"")),""))),IF(IFERROR(IF(INDEX(INDIRECT("'WCM Calibration Final'!$E$1:$E$2000"),'Calculations'!$EM464)="","",TRIM(INDEX(INDIRECT("'WCM Calibration Final'!$E$1:$E$2000"),'Calculations'!$EM464)&amp;"")),"")="","",IF(COUNTIF('Calculations'!$HG$13:$HG$512,"="&amp;SUBSTITUTE(SUBSTITUTE(SUBSTITUTE(IFERROR(IF(INDEX(INDIRECT("'WCM Calibration Final'!$E$1:$E$2000"),'Calculations'!$EM464)="","",TRIM(INDEX(INDIRECT("'WCM Calibration Final'!$E$1:$E$2000"),'Calculations'!$EM464)&amp;"")),""),"~","~~"),"*","~*"),"?","~?"))=1,INDEX('Calculations'!$HE$13:$HE$512,MATCH(IFERROR(IF(INDEX(INDIRECT("'WCM Calibration Final'!$E$1:$E$2000"),'Calculations'!$EM464)="","",TRIM(INDEX(INDIRECT("'WCM Calibration Final'!$E$1:$E$2000"),'Calculations'!$EM464)&amp;"")),""),'Calculations'!$HG$13:$HG$512,0)),IF(COUNTIF('Calculations'!$HG$13:$HG$512,"="&amp;SUBSTITUTE(SUBSTITUTE(SUBSTITUTE(IFERROR(IF(INDEX(INDIRECT("'WCM Calibration Final'!$E$1:$E$2000"),'Calculations'!$EM464)="","",TRIM(INDEX(INDIRECT("'WCM Calibration Final'!$E$1:$E$2000"),'Calculations'!$EM464)&amp;"")),""),"~","~~"),"*","~*"),"?","~?"))&gt;1,"!AMBIG","X:"&amp;IFERROR(IF(INDEX(INDIRECT("'WCM Calibration Final'!$E$1:$E$2000"),'Calculations'!$EM464)="","",TRIM(INDEX(INDIRECT("'WCM Calibration Final'!$E$1:$E$2000"),'Calculations'!$EM464)&amp;"")),""))))))</x:f>
      </x:c>
      <x:c r="HG464" t="str">
        <x:f>IF('Calculations'!EM464="","",IFERROR(IF(INDEX(INDIRECT("'WCM Calibration Final'!$B$1:$B$2000"),'Calculations'!$EM464)="","",TRIM(INDEX(INDIRECT("'WCM Calibration Final'!$B$1:$B$2000"),'Calculations'!$EM464)&amp;"")),""))</x:f>
      </x:c>
      <x:c r="HH464" t="n">
        <x:f>IF(AND('Calculations'!JC464&gt;0,COUNTIF('Calculations'!$HF$12:HF464,"="&amp;SUBSTITUTE(SUBSTITUTE(SUBSTITUTE('Calculations'!HF464,"~","~~"),"*","~*"),"?","~?"))=1),MAX('Calculations'!$HH$12:HH463)+1,0)</x:f>
        <x:v>0</x:v>
      </x:c>
      <x:c r="HI464" t="n">
        <x:f>IF(AND('Calculations'!HN464&lt;&gt;"",COUNTIF('Calculations'!$HN$12:HN464,"="&amp;SUBSTITUTE(SUBSTITUTE(SUBSTITUTE('Calculations'!HN464,"~","~~"),"*","~*"),"?","~?"))=1),MAX('Calculations'!$HI$12:HI463)+1,0)</x:f>
        <x:v>0</x:v>
      </x:c>
      <x:c r="HJ464" t="str">
        <x:f>IF('Calculations'!HF464="","",IF(COUNTIF('Calculations'!$HE$13:$HE$512,"="&amp;SUBSTITUTE(SUBSTITUTE(SUBSTITUTE('Calculations'!HF464,"~","~~"),"*","~*"),"?","~?"))=1,INDEX('Calculations'!$HK$13:$HK$512,MATCH('Calculations'!HF464,'Calculations'!$HE$13:$HE$512,0)),IFERROR(IF(INDEX(INDIRECT("'WCM Calibration Final'!$E$1:$E$2000"),'Calculations'!$EM464)="","",TRIM(INDEX(INDIRECT("'WCM Calibration Final'!$E$1:$E$2000"),'Calculations'!$EM464)&amp;"")),"")&amp;" ["&amp;'Calculations'!HF464&amp;"]"))</x:f>
      </x:c>
      <x:c r="HK464" t="str">
        <x:f>IF('Calculations'!EM464="","",'Calculations'!HG464&amp;" ["&amp;'Calculations'!HE464&amp;"]")</x:f>
      </x:c>
      <x:c r="HL464" t="n">
        <x:f>IF('Calculations'!EM464="",0,IF(OR('Calculations'!II464&lt;&gt;"",COUNTIF('Calculations'!$HE$13:$HE$512,"="&amp;SUBSTITUTE(SUBSTITUTE(SUBSTITUTE('Calculations'!HE464,"~","~~"),"*","~*"),"?","~?"))&gt;1),1,0))</x:f>
        <x:v>0</x:v>
      </x:c>
      <x:c r="HM464" t="str">
        <x:f>IF('Calculations'!EM464="","",IF('Calculations'!HL464=1,"!UNRESOLVED",IF('Calculations'!IH464&lt;&gt;"",'Calculations'!IH464,IF('Calculations'!IG464&lt;&gt;"",'Calculations'!IG464,IF('Calculations'!IF464&lt;&gt;"",'Calculations'!IF464,IF('Calculations'!IE464&lt;&gt;"",'Calculations'!IE464,IF('Calculations'!ID464&lt;&gt;"",'Calculations'!ID464,IF('Calculations'!IC464&lt;&gt;"",'Calculations'!IC464,IF('Calculations'!IB464&lt;&gt;"",'Calculations'!IB464,IF('Calculations'!IA464&lt;&gt;"",'Calculations'!IA464,IF('Calculations'!HZ464&lt;&gt;"",'Calculations'!HZ464,IF('Calculations'!HY464&lt;&gt;"",'Calculations'!HY464,IF('Calculations'!HX464&lt;&gt;"",'Calculations'!HX464,IF('Calculations'!HW464&lt;&gt;"",'Calculations'!HW464,IF('Calculations'!HV464&lt;&gt;"",'Calculations'!HV464,IF('Calculations'!HU464&lt;&gt;"",'Calculations'!HU464,IF('Calculations'!HT464&lt;&gt;"",'Calculations'!HT464,IF('Calculations'!HS464&lt;&gt;"",'Calculations'!HS464,IF('Calculations'!HR464&lt;&gt;"",'Calculations'!HR464,IF('Calculations'!HQ464&lt;&gt;"",'Calculations'!HQ464,IF('Calculations'!HP464&lt;&gt;"",'Calculations'!HP464,IF('Calculations'!HO464&lt;&gt;"",'Calculations'!HO464,'Calculations'!HE464))))))))))))))))))))))</x:f>
      </x:c>
      <x:c r="HN464" t="str">
        <x:f>IF('Calculations'!EM464="","",IF(IFERROR(IF(INDEX(INDIRECT("'WCM Calibration Final'!$F$1:$F$2000"),'Calculations'!$EM464)="","",TRIM(INDEX(INDIRECT("'WCM Calibration Final'!$F$1:$F$2000"),'Calculations'!$EM464)&amp;"")),"")="","(Blank)",IFERROR(IF(INDEX(INDIRECT("'WCM Calibration Final'!$F$1:$F$2000"),'Calculations'!$EM464)="","",TRIM(INDEX(INDIRECT("'WCM Calibration Final'!$F$1:$F$2000"),'Calculations'!$EM464)&amp;"")),"")))</x:f>
      </x:c>
      <x:c r="HO464" t="str">
        <x:f>'Calculations'!HF464</x:f>
      </x:c>
      <x:c r="HP464" t="str">
        <x:f>IF('Calculations'!HO464="","",IF('Calculations'!HO464="!AMBIG","!AMBIG",IF(COUNTIF('Calculations'!$HE$13:$HE$512,"="&amp;SUBSTITUTE(SUBSTITUTE(SUBSTITUTE('Calculations'!HO464,"~","~~"),"*","~*"),"?","~?"))&gt;1,"!AMBIG",IFERROR(INDEX('Calculations'!$HF$13:$HF$512,MATCH('Calculations'!HO464,'Calculations'!$HE$13:$HE$512,0)),""))))</x:f>
      </x:c>
      <x:c r="HQ464" t="str">
        <x:f>IF('Calculations'!HP464="","",IF('Calculations'!HP464="!AMBIG","!AMBIG",IF(COUNTIF('Calculations'!$HE$13:$HE$512,"="&amp;SUBSTITUTE(SUBSTITUTE(SUBSTITUTE('Calculations'!HP464,"~","~~"),"*","~*"),"?","~?"))&gt;1,"!AMBIG",IFERROR(INDEX('Calculations'!$HF$13:$HF$512,MATCH('Calculations'!HP464,'Calculations'!$HE$13:$HE$512,0)),""))))</x:f>
      </x:c>
      <x:c r="HR464" t="str">
        <x:f>IF('Calculations'!HQ464="","",IF('Calculations'!HQ464="!AMBIG","!AMBIG",IF(COUNTIF('Calculations'!$HE$13:$HE$512,"="&amp;SUBSTITUTE(SUBSTITUTE(SUBSTITUTE('Calculations'!HQ464,"~","~~"),"*","~*"),"?","~?"))&gt;1,"!AMBIG",IFERROR(INDEX('Calculations'!$HF$13:$HF$512,MATCH('Calculations'!HQ464,'Calculations'!$HE$13:$HE$512,0)),""))))</x:f>
      </x:c>
      <x:c r="HS464" t="str">
        <x:f>IF('Calculations'!HR464="","",IF('Calculations'!HR464="!AMBIG","!AMBIG",IF(COUNTIF('Calculations'!$HE$13:$HE$512,"="&amp;SUBSTITUTE(SUBSTITUTE(SUBSTITUTE('Calculations'!HR464,"~","~~"),"*","~*"),"?","~?"))&gt;1,"!AMBIG",IFERROR(INDEX('Calculations'!$HF$13:$HF$512,MATCH('Calculations'!HR464,'Calculations'!$HE$13:$HE$512,0)),""))))</x:f>
      </x:c>
      <x:c r="HT464" t="str">
        <x:f>IF('Calculations'!HS464="","",IF('Calculations'!HS464="!AMBIG","!AMBIG",IF(COUNTIF('Calculations'!$HE$13:$HE$512,"="&amp;SUBSTITUTE(SUBSTITUTE(SUBSTITUTE('Calculations'!HS464,"~","~~"),"*","~*"),"?","~?"))&gt;1,"!AMBIG",IFERROR(INDEX('Calculations'!$HF$13:$HF$512,MATCH('Calculations'!HS464,'Calculations'!$HE$13:$HE$512,0)),""))))</x:f>
      </x:c>
      <x:c r="HU464" t="str">
        <x:f>IF('Calculations'!HT464="","",IF('Calculations'!HT464="!AMBIG","!AMBIG",IF(COUNTIF('Calculations'!$HE$13:$HE$512,"="&amp;SUBSTITUTE(SUBSTITUTE(SUBSTITUTE('Calculations'!HT464,"~","~~"),"*","~*"),"?","~?"))&gt;1,"!AMBIG",IFERROR(INDEX('Calculations'!$HF$13:$HF$512,MATCH('Calculations'!HT464,'Calculations'!$HE$13:$HE$512,0)),""))))</x:f>
      </x:c>
      <x:c r="HV464" t="str">
        <x:f>IF('Calculations'!HU464="","",IF('Calculations'!HU464="!AMBIG","!AMBIG",IF(COUNTIF('Calculations'!$HE$13:$HE$512,"="&amp;SUBSTITUTE(SUBSTITUTE(SUBSTITUTE('Calculations'!HU464,"~","~~"),"*","~*"),"?","~?"))&gt;1,"!AMBIG",IFERROR(INDEX('Calculations'!$HF$13:$HF$512,MATCH('Calculations'!HU464,'Calculations'!$HE$13:$HE$512,0)),""))))</x:f>
      </x:c>
      <x:c r="HW464" t="str">
        <x:f>IF('Calculations'!HV464="","",IF('Calculations'!HV464="!AMBIG","!AMBIG",IF(COUNTIF('Calculations'!$HE$13:$HE$512,"="&amp;SUBSTITUTE(SUBSTITUTE(SUBSTITUTE('Calculations'!HV464,"~","~~"),"*","~*"),"?","~?"))&gt;1,"!AMBIG",IFERROR(INDEX('Calculations'!$HF$13:$HF$512,MATCH('Calculations'!HV464,'Calculations'!$HE$13:$HE$512,0)),""))))</x:f>
      </x:c>
      <x:c r="HX464" t="str">
        <x:f>IF('Calculations'!HW464="","",IF('Calculations'!HW464="!AMBIG","!AMBIG",IF(COUNTIF('Calculations'!$HE$13:$HE$512,"="&amp;SUBSTITUTE(SUBSTITUTE(SUBSTITUTE('Calculations'!HW464,"~","~~"),"*","~*"),"?","~?"))&gt;1,"!AMBIG",IFERROR(INDEX('Calculations'!$HF$13:$HF$512,MATCH('Calculations'!HW464,'Calculations'!$HE$13:$HE$512,0)),""))))</x:f>
      </x:c>
      <x:c r="HY464" t="str">
        <x:f>IF('Calculations'!HX464="","",IF('Calculations'!HX464="!AMBIG","!AMBIG",IF(COUNTIF('Calculations'!$HE$13:$HE$512,"="&amp;SUBSTITUTE(SUBSTITUTE(SUBSTITUTE('Calculations'!HX464,"~","~~"),"*","~*"),"?","~?"))&gt;1,"!AMBIG",IFERROR(INDEX('Calculations'!$HF$13:$HF$512,MATCH('Calculations'!HX464,'Calculations'!$HE$13:$HE$512,0)),""))))</x:f>
      </x:c>
      <x:c r="HZ464" t="str">
        <x:f>IF('Calculations'!HY464="","",IF('Calculations'!HY464="!AMBIG","!AMBIG",IF(COUNTIF('Calculations'!$HE$13:$HE$512,"="&amp;SUBSTITUTE(SUBSTITUTE(SUBSTITUTE('Calculations'!HY464,"~","~~"),"*","~*"),"?","~?"))&gt;1,"!AMBIG",IFERROR(INDEX('Calculations'!$HF$13:$HF$512,MATCH('Calculations'!HY464,'Calculations'!$HE$13:$HE$512,0)),""))))</x:f>
      </x:c>
      <x:c r="IA464" t="str">
        <x:f>IF('Calculations'!HZ464="","",IF('Calculations'!HZ464="!AMBIG","!AMBIG",IF(COUNTIF('Calculations'!$HE$13:$HE$512,"="&amp;SUBSTITUTE(SUBSTITUTE(SUBSTITUTE('Calculations'!HZ464,"~","~~"),"*","~*"),"?","~?"))&gt;1,"!AMBIG",IFERROR(INDEX('Calculations'!$HF$13:$HF$512,MATCH('Calculations'!HZ464,'Calculations'!$HE$13:$HE$512,0)),""))))</x:f>
      </x:c>
      <x:c r="IB464" t="str">
        <x:f>IF('Calculations'!IA464="","",IF('Calculations'!IA464="!AMBIG","!AMBIG",IF(COUNTIF('Calculations'!$HE$13:$HE$512,"="&amp;SUBSTITUTE(SUBSTITUTE(SUBSTITUTE('Calculations'!IA464,"~","~~"),"*","~*"),"?","~?"))&gt;1,"!AMBIG",IFERROR(INDEX('Calculations'!$HF$13:$HF$512,MATCH('Calculations'!IA464,'Calculations'!$HE$13:$HE$512,0)),""))))</x:f>
      </x:c>
      <x:c r="IC464" t="str">
        <x:f>IF('Calculations'!IB464="","",IF('Calculations'!IB464="!AMBIG","!AMBIG",IF(COUNTIF('Calculations'!$HE$13:$HE$512,"="&amp;SUBSTITUTE(SUBSTITUTE(SUBSTITUTE('Calculations'!IB464,"~","~~"),"*","~*"),"?","~?"))&gt;1,"!AMBIG",IFERROR(INDEX('Calculations'!$HF$13:$HF$512,MATCH('Calculations'!IB464,'Calculations'!$HE$13:$HE$512,0)),""))))</x:f>
      </x:c>
      <x:c r="ID464" t="str">
        <x:f>IF('Calculations'!IC464="","",IF('Calculations'!IC464="!AMBIG","!AMBIG",IF(COUNTIF('Calculations'!$HE$13:$HE$512,"="&amp;SUBSTITUTE(SUBSTITUTE(SUBSTITUTE('Calculations'!IC464,"~","~~"),"*","~*"),"?","~?"))&gt;1,"!AMBIG",IFERROR(INDEX('Calculations'!$HF$13:$HF$512,MATCH('Calculations'!IC464,'Calculations'!$HE$13:$HE$512,0)),""))))</x:f>
      </x:c>
      <x:c r="IE464" t="str">
        <x:f>IF('Calculations'!ID464="","",IF('Calculations'!ID464="!AMBIG","!AMBIG",IF(COUNTIF('Calculations'!$HE$13:$HE$512,"="&amp;SUBSTITUTE(SUBSTITUTE(SUBSTITUTE('Calculations'!ID464,"~","~~"),"*","~*"),"?","~?"))&gt;1,"!AMBIG",IFERROR(INDEX('Calculations'!$HF$13:$HF$512,MATCH('Calculations'!ID464,'Calculations'!$HE$13:$HE$512,0)),""))))</x:f>
      </x:c>
      <x:c r="IF464" t="str">
        <x:f>IF('Calculations'!IE464="","",IF('Calculations'!IE464="!AMBIG","!AMBIG",IF(COUNTIF('Calculations'!$HE$13:$HE$512,"="&amp;SUBSTITUTE(SUBSTITUTE(SUBSTITUTE('Calculations'!IE464,"~","~~"),"*","~*"),"?","~?"))&gt;1,"!AMBIG",IFERROR(INDEX('Calculations'!$HF$13:$HF$512,MATCH('Calculations'!IE464,'Calculations'!$HE$13:$HE$512,0)),""))))</x:f>
      </x:c>
      <x:c r="IG464" t="str">
        <x:f>IF('Calculations'!IF464="","",IF('Calculations'!IF464="!AMBIG","!AMBIG",IF(COUNTIF('Calculations'!$HE$13:$HE$512,"="&amp;SUBSTITUTE(SUBSTITUTE(SUBSTITUTE('Calculations'!IF464,"~","~~"),"*","~*"),"?","~?"))&gt;1,"!AMBIG",IFERROR(INDEX('Calculations'!$HF$13:$HF$512,MATCH('Calculations'!IF464,'Calculations'!$HE$13:$HE$512,0)),""))))</x:f>
      </x:c>
      <x:c r="IH464" t="str">
        <x:f>IF('Calculations'!IG464="","",IF('Calculations'!IG464="!AMBIG","!AMBIG",IF(COUNTIF('Calculations'!$HE$13:$HE$512,"="&amp;SUBSTITUTE(SUBSTITUTE(SUBSTITUTE('Calculations'!IG464,"~","~~"),"*","~*"),"?","~?"))&gt;1,"!AMBIG",IFERROR(INDEX('Calculations'!$HF$13:$HF$512,MATCH('Calculations'!IG464,'Calculations'!$HE$13:$HE$512,0)),""))))</x:f>
      </x:c>
      <x:c r="II464" t="str">
        <x:f>IF('Calculations'!IH464="","",IF('Calculations'!IH464="!AMBIG","!AMBIG",IF(COUNTIF('Calculations'!$HE$13:$HE$512,"="&amp;SUBSTITUTE(SUBSTITUTE(SUBSTITUTE('Calculations'!IH464,"~","~~"),"*","~*"),"?","~?"))&gt;1,"!AMBIG",IFERROR(INDEX('Calculations'!$HF$13:$HF$512,MATCH('Calculations'!IH464,'Calculations'!$HE$13:$HE$512,0)),""))))</x:f>
      </x:c>
      <x:c r="IJ464" t="str">
        <x:f>IF('Calculations'!EM464="","",IF('Calculations'!$EF$2="All",'Calculations'!HM464,IF('Calculations'!HL464=1,"",IFERROR(IF(MATCH('Calculations'!$EF$2,'Calculations'!HO464:II464,0)=1,'Calculations'!HE464,INDEX('Calculations'!HO464:II464,1,MATCH('Calculations'!$EF$2,'Calculations'!HO464:II464,0)-1)),""))))</x:f>
      </x:c>
      <x:c r="IK464" t="n">
        <x:f>IF(AND('Calculations'!EM464&lt;&gt;"",'Calculations'!$EF$2&lt;&gt;"All",'Calculations'!HF464='Calculations'!$EF$2,'Calculations'!HL464=0,'Calculations'!JD464&gt;0),MAX('Calculations'!$IK$12:IK463)+1,0)</x:f>
        <x:v>0</x:v>
      </x:c>
      <x:c r="JA464" t="n">
        <x:f>IF(OR(IFERROR(INDIRECT("'WCM Calibration Final'!$A$464")&lt;&gt;"",FALSE),IFERROR(INDIRECT("'WCM Calibration Final'!$B$464")&lt;&gt;"",FALSE),IFERROR(INDIRECT("'WCM Calibration Final'!$C$464")&lt;&gt;"",FALSE)),464,0)</x:f>
        <x:v>0</x:v>
      </x:c>
      <x:c r="JB464" t="n">
        <x:f>'Calculations'!JB463+IF('Calculations'!JA464&gt;0,1,0)</x:f>
        <x:v>0</x:v>
      </x:c>
      <x:c r="JC464" t="n">
        <x:f>IF(OR('Calculations'!HF464="",'Calculations'!HF464="!AMBIG"),0,IF('Dashboard'!$B$7="All",1,COUNTIFS('Calculations'!$HO$13:$HO$512,"="&amp;SUBSTITUTE(SUBSTITUTE(SUBSTITUTE('Calculations'!HF464,"~","~~"),"*","~*"),"?","~?"),'Calculations'!$HN$13:$HN$512,"="&amp;SUBSTITUTE(SUBSTITUTE(SUBSTITUTE('Dashboard'!$B$7,"~","~~"),"*","~*"),"?","~?"))+COUNTIFS('Calculations'!$HP$13:$HP$512,"="&amp;SUBSTITUTE(SUBSTITUTE(SUBSTITUTE('Calculations'!HF464,"~","~~"),"*","~*"),"?","~?"),'Calculations'!$HN$13:$HN$512,"="&amp;SUBSTITUTE(SUBSTITUTE(SUBSTITUTE('Dashboard'!$B$7,"~","~~"),"*","~*"),"?","~?"))+COUNTIFS('Calculations'!$HQ$13:$HQ$512,"="&amp;SUBSTITUTE(SUBSTITUTE(SUBSTITUTE('Calculations'!HF464,"~","~~"),"*","~*"),"?","~?"),'Calculations'!$HN$13:$HN$512,"="&amp;SUBSTITUTE(SUBSTITUTE(SUBSTITUTE('Dashboard'!$B$7,"~","~~"),"*","~*"),"?","~?"))+COUNTIFS('Calculations'!$HR$13:$HR$512,"="&amp;SUBSTITUTE(SUBSTITUTE(SUBSTITUTE('Calculations'!HF464,"~","~~"),"*","~*"),"?","~?"),'Calculations'!$HN$13:$HN$512,"="&amp;SUBSTITUTE(SUBSTITUTE(SUBSTITUTE('Dashboard'!$B$7,"~","~~"),"*","~*"),"?","~?"))+COUNTIFS('Calculations'!$HS$13:$HS$512,"="&amp;SUBSTITUTE(SUBSTITUTE(SUBSTITUTE('Calculations'!HF464,"~","~~"),"*","~*"),"?","~?"),'Calculations'!$HN$13:$HN$512,"="&amp;SUBSTITUTE(SUBSTITUTE(SUBSTITUTE('Dashboard'!$B$7,"~","~~"),"*","~*"),"?","~?"))+COUNTIFS('Calculations'!$HT$13:$HT$512,"="&amp;SUBSTITUTE(SUBSTITUTE(SUBSTITUTE('Calculations'!HF464,"~","~~"),"*","~*"),"?","~?"),'Calculations'!$HN$13:$HN$512,"="&amp;SUBSTITUTE(SUBSTITUTE(SUBSTITUTE('Dashboard'!$B$7,"~","~~"),"*","~*"),"?","~?"))+COUNTIFS('Calculations'!$HU$13:$HU$512,"="&amp;SUBSTITUTE(SUBSTITUTE(SUBSTITUTE('Calculations'!HF464,"~","~~"),"*","~*"),"?","~?"),'Calculations'!$HN$13:$HN$512,"="&amp;SUBSTITUTE(SUBSTITUTE(SUBSTITUTE('Dashboard'!$B$7,"~","~~"),"*","~*"),"?","~?"))+COUNTIFS('Calculations'!$HV$13:$HV$512,"="&amp;SUBSTITUTE(SUBSTITUTE(SUBSTITUTE('Calculations'!HF464,"~","~~"),"*","~*"),"?","~?"),'Calculations'!$HN$13:$HN$512,"="&amp;SUBSTITUTE(SUBSTITUTE(SUBSTITUTE('Dashboard'!$B$7,"~","~~"),"*","~*"),"?","~?"))+COUNTIFS('Calculations'!$HW$13:$HW$512,"="&amp;SUBSTITUTE(SUBSTITUTE(SUBSTITUTE('Calculations'!HF464,"~","~~"),"*","~*"),"?","~?"),'Calculations'!$HN$13:$HN$512,"="&amp;SUBSTITUTE(SUBSTITUTE(SUBSTITUTE('Dashboard'!$B$7,"~","~~"),"*","~*"),"?","~?"))+COUNTIFS('Calculations'!$HX$13:$HX$512,"="&amp;SUBSTITUTE(SUBSTITUTE(SUBSTITUTE('Calculations'!HF464,"~","~~"),"*","~*"),"?","~?"),'Calculations'!$HN$13:$HN$512,"="&amp;SUBSTITUTE(SUBSTITUTE(SUBSTITUTE('Dashboard'!$B$7,"~","~~"),"*","~*"),"?","~?"))+COUNTIFS('Calculations'!$HY$13:$HY$512,"="&amp;SUBSTITUTE(SUBSTITUTE(SUBSTITUTE('Calculations'!HF464,"~","~~"),"*","~*"),"?","~?"),'Calculations'!$HN$13:$HN$512,"="&amp;SUBSTITUTE(SUBSTITUTE(SUBSTITUTE('Dashboard'!$B$7,"~","~~"),"*","~*"),"?","~?"))+COUNTIFS('Calculations'!$HZ$13:$HZ$512,"="&amp;SUBSTITUTE(SUBSTITUTE(SUBSTITUTE('Calculations'!HF464,"~","~~"),"*","~*"),"?","~?"),'Calculations'!$HN$13:$HN$512,"="&amp;SUBSTITUTE(SUBSTITUTE(SUBSTITUTE('Dashboard'!$B$7,"~","~~"),"*","~*"),"?","~?"))+COUNTIFS('Calculations'!$IA$13:$IA$512,"="&amp;SUBSTITUTE(SUBSTITUTE(SUBSTITUTE('Calculations'!HF464,"~","~~"),"*","~*"),"?","~?"),'Calculations'!$HN$13:$HN$512,"="&amp;SUBSTITUTE(SUBSTITUTE(SUBSTITUTE('Dashboard'!$B$7,"~","~~"),"*","~*"),"?","~?"))+COUNTIFS('Calculations'!$IB$13:$IB$512,"="&amp;SUBSTITUTE(SUBSTITUTE(SUBSTITUTE('Calculations'!HF464,"~","~~"),"*","~*"),"?","~?"),'Calculations'!$HN$13:$HN$512,"="&amp;SUBSTITUTE(SUBSTITUTE(SUBSTITUTE('Dashboard'!$B$7,"~","~~"),"*","~*"),"?","~?"))+COUNTIFS('Calculations'!$IC$13:$IC$512,"="&amp;SUBSTITUTE(SUBSTITUTE(SUBSTITUTE('Calculations'!HF464,"~","~~"),"*","~*"),"?","~?"),'Calculations'!$HN$13:$HN$512,"="&amp;SUBSTITUTE(SUBSTITUTE(SUBSTITUTE('Dashboard'!$B$7,"~","~~"),"*","~*"),"?","~?"))+COUNTIFS('Calculations'!$ID$13:$ID$512,"="&amp;SUBSTITUTE(SUBSTITUTE(SUBSTITUTE('Calculations'!HF464,"~","~~"),"*","~*"),"?","~?"),'Calculations'!$HN$13:$HN$512,"="&amp;SUBSTITUTE(SUBSTITUTE(SUBSTITUTE('Dashboard'!$B$7,"~","~~"),"*","~*"),"?","~?"))+COUNTIFS('Calculations'!$IE$13:$IE$512,"="&amp;SUBSTITUTE(SUBSTITUTE(SUBSTITUTE('Calculations'!HF464,"~","~~"),"*","~*"),"?","~?"),'Calculations'!$HN$13:$HN$512,"="&amp;SUBSTITUTE(SUBSTITUTE(SUBSTITUTE('Dashboard'!$B$7,"~","~~"),"*","~*"),"?","~?"))+COUNTIFS('Calculations'!$IF$13:$IF$512,"="&amp;SUBSTITUTE(SUBSTITUTE(SUBSTITUTE('Calculations'!HF464,"~","~~"),"*","~*"),"?","~?"),'Calculations'!$HN$13:$HN$512,"="&amp;SUBSTITUTE(SUBSTITUTE(SUBSTITUTE('Dashboard'!$B$7,"~","~~"),"*","~*"),"?","~?"))+COUNTIFS('Calculations'!$IG$13:$IG$512,"="&amp;SUBSTITUTE(SUBSTITUTE(SUBSTITUTE('Calculations'!HF464,"~","~~"),"*","~*"),"?","~?"),'Calculations'!$HN$13:$HN$512,"="&amp;SUBSTITUTE(SUBSTITUTE(SUBSTITUTE('Dashboard'!$B$7,"~","~~"),"*","~*"),"?","~?"))+COUNTIFS('Calculations'!$IH$13:$IH$512,"="&amp;SUBSTITUTE(SUBSTITUTE(SUBSTITUTE('Calculations'!HF464,"~","~~"),"*","~*"),"?","~?"),'Calculations'!$HN$13:$HN$512,"="&amp;SUBSTITUTE(SUBSTITUTE(SUBSTITUTE('Dashboard'!$B$7,"~","~~"),"*","~*"),"?","~?"))))</x:f>
        <x:v>0</x:v>
      </x:c>
      <x:c r="JD464" t="n">
        <x:f>IF('Calculations'!EM464="",0,IF('Dashboard'!$B$7="All",1,IF('Calculations'!HN464='Dashboard'!$B$7,1,0)+IFERROR(INDEX('Calculations'!$JC$13:$JC$512,MATCH('Calculations'!HE464,'Calculations'!$HF$13:$HF$512,0)),0)))</x:f>
        <x:v>0</x:v>
      </x:c>
      <x:c r="JE464" t="n">
        <x:f>IF(AND('Calculations'!EM464&lt;&gt;"",'Calculations'!$JJ$2&lt;&gt;"All",'Calculations'!$JJ$2&lt;&gt;"",'Calculations'!HF464='Calculations'!$JJ$2,'Calculations'!HL464=0,'Calculations'!JD464&gt;0),MAX('Calculations'!$JE$12:JE463)+1,0)</x:f>
        <x:v>0</x:v>
      </x:c>
      <x:c r="JF464" t="str">
        <x:f>IF('Calculations'!EM464="","",IFERROR(IF(INDEX(INDIRECT("'WCM Calibration Final'!$G$1:$G$2000"),'Calculations'!$EM464)="","",TRIM(INDEX(INDIRECT("'WCM Calibration Final'!$G$1:$G$2000"),'Calculations'!$EM464)&amp;"")),""))</x:f>
      </x:c>
      <x:c r="JQ464" t="n">
        <x:f>IF(OR('Calculations'!BM464=0,NOT('Calculations'!$AG$2),'Calculations'!$AG$8&gt;0),0,IF(OR('Dashboard'!$B$7="All",'Calculations'!HN464='Dashboard'!$B$7),IF('Calculations'!$JJ$2="All",1,IF(AND('Calculations'!HF464='Calculations'!$JJ$2,'Calculations'!HL464=0),1,0)),0))</x:f>
        <x:v>0</x:v>
      </x:c>
    </x:row>
    <x:row r="465">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t="n">
        <x:f>IF('Calculations'!$EM465="",0,IF(OR(IFERROR(INDEX(INDIRECT("'WCM Calibration Final'!$A$1:$A$2000"),'Calculations'!$EM465)&lt;&gt;"",FALSE),IFERROR(INDEX(INDIRECT("'WCM Calibration Final'!$B$1:$B$2000"),'Calculations'!$EM465)&lt;&gt;"",FALSE),IFERROR(INDEX(INDIRECT("'WCM Calibration Final'!$C$1:$C$2000"),'Calculations'!$EM465)&lt;&gt;"",FALSE)),1,0))</x:f>
        <x:v>0</x:v>
      </x:c>
      <x:c r="BN465" s="4" t="n">
        <x:f>IF(AND('Calculations'!BM465=1,'Calculations'!$AG$2,'Calculations'!$EN465=1),1,0)</x:f>
        <x:v>0</x:v>
      </x:c>
      <x:c r="BO465" s="4" t="str">
        <x:f>IF('Calculations'!BM465=0,"",IFERROR(IF(AND(VALUE(INDEX(INDIRECT("'WCM Calibration Final'!$K$1:$K$2000"),'Calculations'!$EM465))&gt;=1,VALUE(INDEX(INDIRECT("'WCM Calibration Final'!$K$1:$K$2000"),'Calculations'!$EM465))&lt;=4,MOD(VALUE(INDEX(INDIRECT("'WCM Calibration Final'!$K$1:$K$2000"),'Calculations'!$EM465)),1)=0),VALUE(INDEX(INDIRECT("'WCM Calibration Final'!$K$1:$K$2000"),'Calculations'!$EM465)),""),""))</x:f>
      </x:c>
      <x:c r="BP465" s="4" t="str">
        <x:f>IF('Calculations'!BM465=0,"",IFERROR(IF(AND(VALUE(INDEX(INDIRECT("'WCM Calibration Final'!$L$1:$L$2000"),'Calculations'!$EM465))&gt;=1,VALUE(INDEX(INDIRECT("'WCM Calibration Final'!$L$1:$L$2000"),'Calculations'!$EM465))&lt;=4,MOD(VALUE(INDEX(INDIRECT("'WCM Calibration Final'!$L$1:$L$2000"),'Calculations'!$EM465)),1)=0),VALUE(INDEX(INDIRECT("'WCM Calibration Final'!$L$1:$L$2000"),'Calculations'!$EM465)),""),""))</x:f>
      </x:c>
      <x:c r="BQ465" s="4"/>
      <x:c r="BR465" s="4"/>
      <x:c r="BS465" s="4"/>
      <x:c r="BT465" s="4" t="n">
        <x:f>IF(AND('Calculations'!BM465=1,ISNUMBER('Calculations'!BO465),ISNUMBER('Calculations'!BP465)),1,0)</x:f>
        <x:v>0</x:v>
      </x:c>
      <x:c r="BU465" s="4" t="str">
        <x:f>IF('Calculations'!BM465=0,"",'Calculations'!$EO465)</x:f>
      </x:c>
      <x:c r="BV465" s="4" t="str">
        <x:f>IF('Calculations'!BM465=0,"",IFERROR(IF(OR(INDEX(INDIRECT("'WCM Calibration Final'!$H$1:$H$2000"),'Calculations'!$EM465)="MANAGING DIRECTOR",INDEX(INDIRECT("'WCM Calibration Final'!$H$1:$H$2000"),'Calculations'!$EM465)="DIRECTOR",INDEX(INDIRECT("'WCM Calibration Final'!$H$1:$H$2000"),'Calculations'!$EM465)="SENIOR VICE PRESIDENT",INDEX(INDIRECT("'WCM Calibration Final'!$H$1:$H$2000"),'Calculations'!$EM465)="VICE PRESIDENT",INDEX(INDIRECT("'WCM Calibration Final'!$H$1:$H$2000"),'Calculations'!$EM465)="ASSISTANT VICE PRESIDENT",INDEX(INDIRECT("'WCM Calibration Final'!$H$1:$H$2000"),'Calculations'!$EM465)="OFFICER"),UPPER(INDEX(INDIRECT("'WCM Calibration Final'!$H$1:$H$2000"),'Calculations'!$EM465)),"Other"),"Other"))</x:f>
      </x:c>
      <x:c r="BW465" s="4"/>
      <x:c r="BX465" s="4"/>
      <x:c r="BY465" s="4" t="n">
        <x:f>IF(AND('Calculations'!BM465=1,'Calculations'!BU465&lt;&gt;"",COUNTIF('Calculations'!$BU$12:BU465,'Calculations'!BU465)=1),MAX('Calculations'!$BY$11:BY464)+1,0)</x:f>
        <x:v>0</x:v>
      </x:c>
      <x:c r="BZ465" s="4" t="str">
        <x:f>IF('Dashboard'!$E$67="What",'Calculations'!BO465,'Calculations'!BP465)</x:f>
      </x:c>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t="str">
        <x:f>IF(454&gt;MAX('Calculations'!$HI$13:$HI$512),"",INDEX('Calculations'!$HN$13:$HN$512,MATCH(454,'Calculations'!$HI$13:$HI$512,0)))</x:f>
      </x:c>
      <x:c r="DB465" s="4" t="str">
        <x:f>IF(454&gt;MAX('Calculations'!$HH$13:$HH$512),"",INDEX('Calculations'!$HJ$13:$HJ$512,MATCH(454,'Calculations'!$HH$13:$HH$512,0)))</x:f>
      </x:c>
      <x:c r="DC465" s="4" t="str">
        <x:f>IF(ROW()-11&gt;MAX('Calculations'!$BY$13:$BY$512),"",INDEX('Calculations'!$BU$13:$BU$512,MATCH(ROW()-11,'Calculations'!$BY$13:$BY$512,0)))</x:f>
      </x:c>
      <x:c r="DD465" s="4" t="str">
        <x:f>IF(454&gt;MAX('Calculations'!$IK$13:$IK$512),"",INDEX('Calculations'!$HK$13:$HK$512,MATCH(454,'Calculations'!$IK$13:$IK$512,0)))</x:f>
      </x:c>
      <x:c r="DE465" s="4" t="str">
        <x:f>'Calculations'!DC465</x:f>
      </x:c>
      <x:c r="DF465" s="4" t="str">
        <x:f>IF('Calculations'!DE465="","",COUNTIFS('Calculations'!$BN$13:$BN$512,1,'Calculations'!$BU$13:$BU$512,'Calculations'!DE465))</x:f>
      </x:c>
      <x:c r="DG465" s="4" t="str">
        <x:f>IF('Calculations'!DE465="","",COUNTIFS('Calculations'!$BN$13:$BN$512,1,'Calculations'!$BU$13:$BU$512,'Calculations'!DE465,'Calculations'!$BT$13:$BT$512,1))</x:f>
      </x:c>
      <x:c r="DH465" s="4" t="str">
        <x:f>IF('Calculations'!DE465="","",'Calculations'!DF465-'Calculations'!DG465)</x:f>
      </x:c>
      <x:c r="DI465" s="4" t="str">
        <x:f>IF(OR('Calculations'!DE465="",'Calculations'!DF465=0),"",'Calculations'!DG465/'Calculations'!DF465)</x:f>
      </x:c>
      <x:c r="DJ465" s="4" t="str">
        <x:f>IF('Calculations'!DE465="","",COUNTIFS('Calculations'!$BN$13:$BN$512,1,'Calculations'!$BU$13:$BU$512,'Calculations'!DE465,'Calculations'!$BT$13:$BT$512,1,'Calculations'!$EE$13:$EE$512,"High"))</x:f>
      </x:c>
      <x:c r="DK465" s="4" t="str">
        <x:f>IF('Calculations'!DE465="","",COUNTIFS('Calculations'!$BN$13:$BN$512,1,'Calculations'!$BU$13:$BU$512,'Calculations'!DE465,'Calculations'!$BT$13:$BT$512,1,'Calculations'!$EE$13:$EE$512,"Strong"))</x:f>
      </x:c>
      <x:c r="DL465" s="4" t="str">
        <x:f>IF('Calculations'!DE465="","",COUNTIFS('Calculations'!$BN$13:$BN$512,1,'Calculations'!$BU$13:$BU$512,'Calculations'!DE465,'Calculations'!$BT$13:$BT$512,1,'Calculations'!$EE$13:$EE$512,"Solid"))</x:f>
      </x:c>
      <x:c r="DM465" s="4" t="str">
        <x:f>IF('Calculations'!DE465="","",COUNTIFS('Calculations'!$BN$13:$BN$512,1,'Calculations'!$BU$13:$BU$512,'Calculations'!DE465,'Calculations'!$BT$13:$BT$512,1,'Calculations'!$EE$13:$EE$512,"Low"))</x:f>
      </x:c>
      <x:c r="DN465" s="4" t="str">
        <x:f>IF('Calculations'!DE465="","",COUNTIFS('Calculations'!$BN$13:$BN$512,1,'Calculations'!$BU$13:$BU$512,'Calculations'!DE465,'Calculations'!$EP$13:$EP$512,1))</x:f>
      </x:c>
      <x:c r="DO465" s="4" t="str">
        <x:f>IF(OR('Calculations'!DE465="",'Calculations'!DG465=0),"",('Calculations'!DJ465+'Calculations'!DK465)/'Calculations'!DG465)</x:f>
      </x:c>
      <x:c r="DP465" s="4" t="n">
        <x:f>IF(AND('Calculations'!DE465&lt;&gt;"",'Calculations'!DF465&gt;0),COUNTIF('Calculations'!$DF$12:DF465,"&gt;0"),0)</x:f>
        <x:v>0</x:v>
      </x:c>
      <x:c r="DQ465" s="4" t="str">
        <x:f>IF(454&gt;MAX('Calculations'!$HH$13:$HH$512),"",INDEX('Calculations'!$HF$13:$HF$512,MATCH(454,'Calculations'!$HH$13:$HH$512,0)))</x:f>
      </x:c>
      <x:c r="DR465" s="4" t="str">
        <x:f>IF(454&gt;MAX('Calculations'!$IK$13:$IK$512),"",INDEX('Calculations'!$HE$13:$HE$512,MATCH(454,'Calculations'!$IK$13:$IK$512,0)))</x:f>
      </x:c>
      <x:c r="DS465" s="4"/>
      <x:c r="DT465" s="4"/>
      <x:c r="DU465" s="4"/>
      <x:c r="DV465" s="4"/>
      <x:c r="DW465" s="4"/>
      <x:c r="DX465" s="4"/>
      <x:c r="DY465" s="4"/>
      <x:c r="DZ465" s="4"/>
      <x:c r="EA465" s="4"/>
      <x:c r="EB465" s="4"/>
      <x:c r="EC465" s="4"/>
      <x:c r="ED465" s="4"/>
      <x:c r="EE465" s="4" t="str">
        <x:f>IF('Calculations'!BT465=0,"Not Rated",IF(OR('Calculations'!BO465&gt;=4,'Calculations'!BP465&gt;=4),"Low",IF('Calculations'!BO465+'Calculations'!BP465&lt;=3,"High",IF('Calculations'!BO465+'Calculations'!BP465&lt;=4,"Strong","Solid"))))</x:f>
        <x:v>Not Rated</x:v>
      </x:c>
      <x:c r="EF465" s="4"/>
      <x:c r="EG465" s="4"/>
      <x:c r="EH465" s="4"/>
      <x:c r="EI465" s="4"/>
      <x:c r="EJ465" s="4"/>
      <x:c r="EK465" s="4"/>
      <x:c r="EL465" s="4"/>
      <x:c r="EM465" s="4" t="str">
        <x:f>IF(453&gt;'Calculations'!$JB$2000,"",INDEX('Calculations'!$JA$12:$JA$2000,MATCH(453,'Calculations'!$JB$12:$JB$2000,0)))</x:f>
      </x:c>
      <x:c r="EN465" s="4" t="n">
        <x:f>IF(OR('Calculations'!EM465="",'Calculations'!$AG$8&gt;0,AND('Calculations'!$EF$2&lt;&gt;"All",'Calculations'!HE465='Calculations'!$EF$2),AND('Calculations'!$EF$3&lt;&gt;"All",'Calculations'!HE465='Calculations'!$EF$3)),0,IF(OR('Dashboard'!$B$7="All",'Calculations'!HN465='Dashboard'!$B$7),IF('Calculations'!$EF$2="All",1,IF('Calculations'!HL465&gt;0,0,IF(COUNTIF('Calculations'!HO465:II465,"="&amp;SUBSTITUTE(SUBSTITUTE(SUBSTITUTE('Calculations'!$EF$2,"~","~~"),"*","~*"),"?","~?"))=0,0,IF('Calculations'!$EF$3="All",1,IF(COUNTIF('Calculations'!HO465:II465,"="&amp;SUBSTITUTE(SUBSTITUTE(SUBSTITUTE('Calculations'!$EF$3,"~","~~"),"*","~*"),"?","~?"))&gt;0,1,0))))),0))</x:f>
        <x:v>0</x:v>
      </x:c>
      <x:c r="EO465" s="4" t="str">
        <x:f>IF('Calculations'!IJ465="","",IF('Calculations'!IJ465="!UNRESOLVED","Unresolved hierarchy",IFERROR(INDEX('Calculations'!$HK$13:$HK$512,MATCH('Calculations'!IJ465,'Calculations'!$HE$13:$HE$512,0)),IFERROR(INDEX('Calculations'!$HJ$13:$HJ$512,MATCH('Calculations'!IJ465,'Calculations'!$HF$13:$HF$512,0)),'Calculations'!IJ465))))</x:f>
      </x:c>
      <x:c r="EP465" s="4" t="n">
        <x:f>IF(AND('Calculations'!EM465&lt;&gt;"",'Calculations'!HF465='Calculations'!IJ465),1,0)</x:f>
        <x:v>0</x:v>
      </x:c>
      <x:c r="EQ465" s="4"/>
      <x:c r="ER465" s="4"/>
      <x:c r="ES465" s="4"/>
      <x:c r="ET465" s="4"/>
      <x:c r="EU465" s="4"/>
      <x:c r="EV465" s="4"/>
      <x:c r="EW465" s="4"/>
      <x:c r="EX465" s="4"/>
      <x:c r="EY465" s="4"/>
      <x:c r="EZ465" s="4"/>
      <x:c r="FA465" s="4"/>
      <x:c r="FB465" s="4"/>
      <x:c r="FC465" s="4"/>
      <x:c r="FD465" s="4"/>
      <x:c r="FE465" s="4"/>
      <x:c r="FF465" s="4"/>
      <x:c r="FG465" s="4"/>
      <x:c r="FH465" s="4"/>
      <x:c r="FI465" s="4"/>
      <x:c r="FJ465" s="4"/>
      <x:c r="FK465" s="4"/>
      <x:c r="FL465" s="4"/>
      <x:c r="FM465" s="4"/>
      <x:c r="FN465" s="4"/>
      <x:c r="FO465" s="4"/>
      <x:c r="HE465" t="str">
        <x:f>IF('Calculations'!EM465="","",IF(IFERROR(IF(INDEX(INDIRECT("'WCM Calibration Final'!$A$1:$A$2000"),'Calculations'!$EM465)="","",TRIM(INDEX(INDIRECT("'WCM Calibration Final'!$A$1:$A$2000"),'Calculations'!$EM465)&amp;"")),"")&lt;&gt;"","G:"&amp;IFERROR(TEXT(1*INDEX(INDIRECT("'WCM Calibration Final'!$A$1:$A$2000"),'Calculations'!$EM465),"0"),UPPER(IFERROR(IF(INDEX(INDIRECT("'WCM Calibration Final'!$A$1:$A$2000"),'Calculations'!$EM465)="","",TRIM(INDEX(INDIRECT("'WCM Calibration Final'!$A$1:$A$2000"),'Calculations'!$EM465)&amp;"")),""))),IF(IFERROR(IF(INDEX(INDIRECT("'WCM Calibration Final'!$C$1:$C$2000"),'Calculations'!$EM465)="","",TRIM(INDEX(INDIRECT("'WCM Calibration Final'!$C$1:$C$2000"),'Calculations'!$EM465)&amp;"")),"")&lt;&gt;"","S:"&amp;UPPER(IFERROR(IF(INDEX(INDIRECT("'WCM Calibration Final'!$C$1:$C$2000"),'Calculations'!$EM465)="","",TRIM(INDEX(INDIRECT("'WCM Calibration Final'!$C$1:$C$2000"),'Calculations'!$EM465)&amp;"")),"")),"R:"&amp;'Calculations'!EM465)))</x:f>
      </x:c>
      <x:c r="HF465" t="str">
        <x:f>IF('Calculations'!EM465="","",IF(IFERROR(IF(INDEX(INDIRECT("'WCM Calibration Final'!$D$1:$D$2000"),'Calculations'!$EM465)="","",TRIM(INDEX(INDIRECT("'WCM Calibration Final'!$D$1:$D$2000"),'Calculations'!$EM465)&amp;"")),"")&lt;&gt;"","G:"&amp;IFERROR(TEXT(1*INDEX(INDIRECT("'WCM Calibration Final'!$D$1:$D$2000"),'Calculations'!$EM465),"0"),UPPER(IFERROR(IF(INDEX(INDIRECT("'WCM Calibration Final'!$D$1:$D$2000"),'Calculations'!$EM465)="","",TRIM(INDEX(INDIRECT("'WCM Calibration Final'!$D$1:$D$2000"),'Calculations'!$EM465)&amp;"")),""))),IF(IFERROR(IF(INDEX(INDIRECT("'WCM Calibration Final'!$E$1:$E$2000"),'Calculations'!$EM465)="","",TRIM(INDEX(INDIRECT("'WCM Calibration Final'!$E$1:$E$2000"),'Calculations'!$EM465)&amp;"")),"")="","",IF(COUNTIF('Calculations'!$HG$13:$HG$512,"="&amp;SUBSTITUTE(SUBSTITUTE(SUBSTITUTE(IFERROR(IF(INDEX(INDIRECT("'WCM Calibration Final'!$E$1:$E$2000"),'Calculations'!$EM465)="","",TRIM(INDEX(INDIRECT("'WCM Calibration Final'!$E$1:$E$2000"),'Calculations'!$EM465)&amp;"")),""),"~","~~"),"*","~*"),"?","~?"))=1,INDEX('Calculations'!$HE$13:$HE$512,MATCH(IFERROR(IF(INDEX(INDIRECT("'WCM Calibration Final'!$E$1:$E$2000"),'Calculations'!$EM465)="","",TRIM(INDEX(INDIRECT("'WCM Calibration Final'!$E$1:$E$2000"),'Calculations'!$EM465)&amp;"")),""),'Calculations'!$HG$13:$HG$512,0)),IF(COUNTIF('Calculations'!$HG$13:$HG$512,"="&amp;SUBSTITUTE(SUBSTITUTE(SUBSTITUTE(IFERROR(IF(INDEX(INDIRECT("'WCM Calibration Final'!$E$1:$E$2000"),'Calculations'!$EM465)="","",TRIM(INDEX(INDIRECT("'WCM Calibration Final'!$E$1:$E$2000"),'Calculations'!$EM465)&amp;"")),""),"~","~~"),"*","~*"),"?","~?"))&gt;1,"!AMBIG","X:"&amp;IFERROR(IF(INDEX(INDIRECT("'WCM Calibration Final'!$E$1:$E$2000"),'Calculations'!$EM465)="","",TRIM(INDEX(INDIRECT("'WCM Calibration Final'!$E$1:$E$2000"),'Calculations'!$EM465)&amp;"")),""))))))</x:f>
      </x:c>
      <x:c r="HG465" t="str">
        <x:f>IF('Calculations'!EM465="","",IFERROR(IF(INDEX(INDIRECT("'WCM Calibration Final'!$B$1:$B$2000"),'Calculations'!$EM465)="","",TRIM(INDEX(INDIRECT("'WCM Calibration Final'!$B$1:$B$2000"),'Calculations'!$EM465)&amp;"")),""))</x:f>
      </x:c>
      <x:c r="HH465" t="n">
        <x:f>IF(AND('Calculations'!JC465&gt;0,COUNTIF('Calculations'!$HF$12:HF465,"="&amp;SUBSTITUTE(SUBSTITUTE(SUBSTITUTE('Calculations'!HF465,"~","~~"),"*","~*"),"?","~?"))=1),MAX('Calculations'!$HH$12:HH464)+1,0)</x:f>
        <x:v>0</x:v>
      </x:c>
      <x:c r="HI465" t="n">
        <x:f>IF(AND('Calculations'!HN465&lt;&gt;"",COUNTIF('Calculations'!$HN$12:HN465,"="&amp;SUBSTITUTE(SUBSTITUTE(SUBSTITUTE('Calculations'!HN465,"~","~~"),"*","~*"),"?","~?"))=1),MAX('Calculations'!$HI$12:HI464)+1,0)</x:f>
        <x:v>0</x:v>
      </x:c>
      <x:c r="HJ465" t="str">
        <x:f>IF('Calculations'!HF465="","",IF(COUNTIF('Calculations'!$HE$13:$HE$512,"="&amp;SUBSTITUTE(SUBSTITUTE(SUBSTITUTE('Calculations'!HF465,"~","~~"),"*","~*"),"?","~?"))=1,INDEX('Calculations'!$HK$13:$HK$512,MATCH('Calculations'!HF465,'Calculations'!$HE$13:$HE$512,0)),IFERROR(IF(INDEX(INDIRECT("'WCM Calibration Final'!$E$1:$E$2000"),'Calculations'!$EM465)="","",TRIM(INDEX(INDIRECT("'WCM Calibration Final'!$E$1:$E$2000"),'Calculations'!$EM465)&amp;"")),"")&amp;" ["&amp;'Calculations'!HF465&amp;"]"))</x:f>
      </x:c>
      <x:c r="HK465" t="str">
        <x:f>IF('Calculations'!EM465="","",'Calculations'!HG465&amp;" ["&amp;'Calculations'!HE465&amp;"]")</x:f>
      </x:c>
      <x:c r="HL465" t="n">
        <x:f>IF('Calculations'!EM465="",0,IF(OR('Calculations'!II465&lt;&gt;"",COUNTIF('Calculations'!$HE$13:$HE$512,"="&amp;SUBSTITUTE(SUBSTITUTE(SUBSTITUTE('Calculations'!HE465,"~","~~"),"*","~*"),"?","~?"))&gt;1),1,0))</x:f>
        <x:v>0</x:v>
      </x:c>
      <x:c r="HM465" t="str">
        <x:f>IF('Calculations'!EM465="","",IF('Calculations'!HL465=1,"!UNRESOLVED",IF('Calculations'!IH465&lt;&gt;"",'Calculations'!IH465,IF('Calculations'!IG465&lt;&gt;"",'Calculations'!IG465,IF('Calculations'!IF465&lt;&gt;"",'Calculations'!IF465,IF('Calculations'!IE465&lt;&gt;"",'Calculations'!IE465,IF('Calculations'!ID465&lt;&gt;"",'Calculations'!ID465,IF('Calculations'!IC465&lt;&gt;"",'Calculations'!IC465,IF('Calculations'!IB465&lt;&gt;"",'Calculations'!IB465,IF('Calculations'!IA465&lt;&gt;"",'Calculations'!IA465,IF('Calculations'!HZ465&lt;&gt;"",'Calculations'!HZ465,IF('Calculations'!HY465&lt;&gt;"",'Calculations'!HY465,IF('Calculations'!HX465&lt;&gt;"",'Calculations'!HX465,IF('Calculations'!HW465&lt;&gt;"",'Calculations'!HW465,IF('Calculations'!HV465&lt;&gt;"",'Calculations'!HV465,IF('Calculations'!HU465&lt;&gt;"",'Calculations'!HU465,IF('Calculations'!HT465&lt;&gt;"",'Calculations'!HT465,IF('Calculations'!HS465&lt;&gt;"",'Calculations'!HS465,IF('Calculations'!HR465&lt;&gt;"",'Calculations'!HR465,IF('Calculations'!HQ465&lt;&gt;"",'Calculations'!HQ465,IF('Calculations'!HP465&lt;&gt;"",'Calculations'!HP465,IF('Calculations'!HO465&lt;&gt;"",'Calculations'!HO465,'Calculations'!HE465))))))))))))))))))))))</x:f>
      </x:c>
      <x:c r="HN465" t="str">
        <x:f>IF('Calculations'!EM465="","",IF(IFERROR(IF(INDEX(INDIRECT("'WCM Calibration Final'!$F$1:$F$2000"),'Calculations'!$EM465)="","",TRIM(INDEX(INDIRECT("'WCM Calibration Final'!$F$1:$F$2000"),'Calculations'!$EM465)&amp;"")),"")="","(Blank)",IFERROR(IF(INDEX(INDIRECT("'WCM Calibration Final'!$F$1:$F$2000"),'Calculations'!$EM465)="","",TRIM(INDEX(INDIRECT("'WCM Calibration Final'!$F$1:$F$2000"),'Calculations'!$EM465)&amp;"")),"")))</x:f>
      </x:c>
      <x:c r="HO465" t="str">
        <x:f>'Calculations'!HF465</x:f>
      </x:c>
      <x:c r="HP465" t="str">
        <x:f>IF('Calculations'!HO465="","",IF('Calculations'!HO465="!AMBIG","!AMBIG",IF(COUNTIF('Calculations'!$HE$13:$HE$512,"="&amp;SUBSTITUTE(SUBSTITUTE(SUBSTITUTE('Calculations'!HO465,"~","~~"),"*","~*"),"?","~?"))&gt;1,"!AMBIG",IFERROR(INDEX('Calculations'!$HF$13:$HF$512,MATCH('Calculations'!HO465,'Calculations'!$HE$13:$HE$512,0)),""))))</x:f>
      </x:c>
      <x:c r="HQ465" t="str">
        <x:f>IF('Calculations'!HP465="","",IF('Calculations'!HP465="!AMBIG","!AMBIG",IF(COUNTIF('Calculations'!$HE$13:$HE$512,"="&amp;SUBSTITUTE(SUBSTITUTE(SUBSTITUTE('Calculations'!HP465,"~","~~"),"*","~*"),"?","~?"))&gt;1,"!AMBIG",IFERROR(INDEX('Calculations'!$HF$13:$HF$512,MATCH('Calculations'!HP465,'Calculations'!$HE$13:$HE$512,0)),""))))</x:f>
      </x:c>
      <x:c r="HR465" t="str">
        <x:f>IF('Calculations'!HQ465="","",IF('Calculations'!HQ465="!AMBIG","!AMBIG",IF(COUNTIF('Calculations'!$HE$13:$HE$512,"="&amp;SUBSTITUTE(SUBSTITUTE(SUBSTITUTE('Calculations'!HQ465,"~","~~"),"*","~*"),"?","~?"))&gt;1,"!AMBIG",IFERROR(INDEX('Calculations'!$HF$13:$HF$512,MATCH('Calculations'!HQ465,'Calculations'!$HE$13:$HE$512,0)),""))))</x:f>
      </x:c>
      <x:c r="HS465" t="str">
        <x:f>IF('Calculations'!HR465="","",IF('Calculations'!HR465="!AMBIG","!AMBIG",IF(COUNTIF('Calculations'!$HE$13:$HE$512,"="&amp;SUBSTITUTE(SUBSTITUTE(SUBSTITUTE('Calculations'!HR465,"~","~~"),"*","~*"),"?","~?"))&gt;1,"!AMBIG",IFERROR(INDEX('Calculations'!$HF$13:$HF$512,MATCH('Calculations'!HR465,'Calculations'!$HE$13:$HE$512,0)),""))))</x:f>
      </x:c>
      <x:c r="HT465" t="str">
        <x:f>IF('Calculations'!HS465="","",IF('Calculations'!HS465="!AMBIG","!AMBIG",IF(COUNTIF('Calculations'!$HE$13:$HE$512,"="&amp;SUBSTITUTE(SUBSTITUTE(SUBSTITUTE('Calculations'!HS465,"~","~~"),"*","~*"),"?","~?"))&gt;1,"!AMBIG",IFERROR(INDEX('Calculations'!$HF$13:$HF$512,MATCH('Calculations'!HS465,'Calculations'!$HE$13:$HE$512,0)),""))))</x:f>
      </x:c>
      <x:c r="HU465" t="str">
        <x:f>IF('Calculations'!HT465="","",IF('Calculations'!HT465="!AMBIG","!AMBIG",IF(COUNTIF('Calculations'!$HE$13:$HE$512,"="&amp;SUBSTITUTE(SUBSTITUTE(SUBSTITUTE('Calculations'!HT465,"~","~~"),"*","~*"),"?","~?"))&gt;1,"!AMBIG",IFERROR(INDEX('Calculations'!$HF$13:$HF$512,MATCH('Calculations'!HT465,'Calculations'!$HE$13:$HE$512,0)),""))))</x:f>
      </x:c>
      <x:c r="HV465" t="str">
        <x:f>IF('Calculations'!HU465="","",IF('Calculations'!HU465="!AMBIG","!AMBIG",IF(COUNTIF('Calculations'!$HE$13:$HE$512,"="&amp;SUBSTITUTE(SUBSTITUTE(SUBSTITUTE('Calculations'!HU465,"~","~~"),"*","~*"),"?","~?"))&gt;1,"!AMBIG",IFERROR(INDEX('Calculations'!$HF$13:$HF$512,MATCH('Calculations'!HU465,'Calculations'!$HE$13:$HE$512,0)),""))))</x:f>
      </x:c>
      <x:c r="HW465" t="str">
        <x:f>IF('Calculations'!HV465="","",IF('Calculations'!HV465="!AMBIG","!AMBIG",IF(COUNTIF('Calculations'!$HE$13:$HE$512,"="&amp;SUBSTITUTE(SUBSTITUTE(SUBSTITUTE('Calculations'!HV465,"~","~~"),"*","~*"),"?","~?"))&gt;1,"!AMBIG",IFERROR(INDEX('Calculations'!$HF$13:$HF$512,MATCH('Calculations'!HV465,'Calculations'!$HE$13:$HE$512,0)),""))))</x:f>
      </x:c>
      <x:c r="HX465" t="str">
        <x:f>IF('Calculations'!HW465="","",IF('Calculations'!HW465="!AMBIG","!AMBIG",IF(COUNTIF('Calculations'!$HE$13:$HE$512,"="&amp;SUBSTITUTE(SUBSTITUTE(SUBSTITUTE('Calculations'!HW465,"~","~~"),"*","~*"),"?","~?"))&gt;1,"!AMBIG",IFERROR(INDEX('Calculations'!$HF$13:$HF$512,MATCH('Calculations'!HW465,'Calculations'!$HE$13:$HE$512,0)),""))))</x:f>
      </x:c>
      <x:c r="HY465" t="str">
        <x:f>IF('Calculations'!HX465="","",IF('Calculations'!HX465="!AMBIG","!AMBIG",IF(COUNTIF('Calculations'!$HE$13:$HE$512,"="&amp;SUBSTITUTE(SUBSTITUTE(SUBSTITUTE('Calculations'!HX465,"~","~~"),"*","~*"),"?","~?"))&gt;1,"!AMBIG",IFERROR(INDEX('Calculations'!$HF$13:$HF$512,MATCH('Calculations'!HX465,'Calculations'!$HE$13:$HE$512,0)),""))))</x:f>
      </x:c>
      <x:c r="HZ465" t="str">
        <x:f>IF('Calculations'!HY465="","",IF('Calculations'!HY465="!AMBIG","!AMBIG",IF(COUNTIF('Calculations'!$HE$13:$HE$512,"="&amp;SUBSTITUTE(SUBSTITUTE(SUBSTITUTE('Calculations'!HY465,"~","~~"),"*","~*"),"?","~?"))&gt;1,"!AMBIG",IFERROR(INDEX('Calculations'!$HF$13:$HF$512,MATCH('Calculations'!HY465,'Calculations'!$HE$13:$HE$512,0)),""))))</x:f>
      </x:c>
      <x:c r="IA465" t="str">
        <x:f>IF('Calculations'!HZ465="","",IF('Calculations'!HZ465="!AMBIG","!AMBIG",IF(COUNTIF('Calculations'!$HE$13:$HE$512,"="&amp;SUBSTITUTE(SUBSTITUTE(SUBSTITUTE('Calculations'!HZ465,"~","~~"),"*","~*"),"?","~?"))&gt;1,"!AMBIG",IFERROR(INDEX('Calculations'!$HF$13:$HF$512,MATCH('Calculations'!HZ465,'Calculations'!$HE$13:$HE$512,0)),""))))</x:f>
      </x:c>
      <x:c r="IB465" t="str">
        <x:f>IF('Calculations'!IA465="","",IF('Calculations'!IA465="!AMBIG","!AMBIG",IF(COUNTIF('Calculations'!$HE$13:$HE$512,"="&amp;SUBSTITUTE(SUBSTITUTE(SUBSTITUTE('Calculations'!IA465,"~","~~"),"*","~*"),"?","~?"))&gt;1,"!AMBIG",IFERROR(INDEX('Calculations'!$HF$13:$HF$512,MATCH('Calculations'!IA465,'Calculations'!$HE$13:$HE$512,0)),""))))</x:f>
      </x:c>
      <x:c r="IC465" t="str">
        <x:f>IF('Calculations'!IB465="","",IF('Calculations'!IB465="!AMBIG","!AMBIG",IF(COUNTIF('Calculations'!$HE$13:$HE$512,"="&amp;SUBSTITUTE(SUBSTITUTE(SUBSTITUTE('Calculations'!IB465,"~","~~"),"*","~*"),"?","~?"))&gt;1,"!AMBIG",IFERROR(INDEX('Calculations'!$HF$13:$HF$512,MATCH('Calculations'!IB465,'Calculations'!$HE$13:$HE$512,0)),""))))</x:f>
      </x:c>
      <x:c r="ID465" t="str">
        <x:f>IF('Calculations'!IC465="","",IF('Calculations'!IC465="!AMBIG","!AMBIG",IF(COUNTIF('Calculations'!$HE$13:$HE$512,"="&amp;SUBSTITUTE(SUBSTITUTE(SUBSTITUTE('Calculations'!IC465,"~","~~"),"*","~*"),"?","~?"))&gt;1,"!AMBIG",IFERROR(INDEX('Calculations'!$HF$13:$HF$512,MATCH('Calculations'!IC465,'Calculations'!$HE$13:$HE$512,0)),""))))</x:f>
      </x:c>
      <x:c r="IE465" t="str">
        <x:f>IF('Calculations'!ID465="","",IF('Calculations'!ID465="!AMBIG","!AMBIG",IF(COUNTIF('Calculations'!$HE$13:$HE$512,"="&amp;SUBSTITUTE(SUBSTITUTE(SUBSTITUTE('Calculations'!ID465,"~","~~"),"*","~*"),"?","~?"))&gt;1,"!AMBIG",IFERROR(INDEX('Calculations'!$HF$13:$HF$512,MATCH('Calculations'!ID465,'Calculations'!$HE$13:$HE$512,0)),""))))</x:f>
      </x:c>
      <x:c r="IF465" t="str">
        <x:f>IF('Calculations'!IE465="","",IF('Calculations'!IE465="!AMBIG","!AMBIG",IF(COUNTIF('Calculations'!$HE$13:$HE$512,"="&amp;SUBSTITUTE(SUBSTITUTE(SUBSTITUTE('Calculations'!IE465,"~","~~"),"*","~*"),"?","~?"))&gt;1,"!AMBIG",IFERROR(INDEX('Calculations'!$HF$13:$HF$512,MATCH('Calculations'!IE465,'Calculations'!$HE$13:$HE$512,0)),""))))</x:f>
      </x:c>
      <x:c r="IG465" t="str">
        <x:f>IF('Calculations'!IF465="","",IF('Calculations'!IF465="!AMBIG","!AMBIG",IF(COUNTIF('Calculations'!$HE$13:$HE$512,"="&amp;SUBSTITUTE(SUBSTITUTE(SUBSTITUTE('Calculations'!IF465,"~","~~"),"*","~*"),"?","~?"))&gt;1,"!AMBIG",IFERROR(INDEX('Calculations'!$HF$13:$HF$512,MATCH('Calculations'!IF465,'Calculations'!$HE$13:$HE$512,0)),""))))</x:f>
      </x:c>
      <x:c r="IH465" t="str">
        <x:f>IF('Calculations'!IG465="","",IF('Calculations'!IG465="!AMBIG","!AMBIG",IF(COUNTIF('Calculations'!$HE$13:$HE$512,"="&amp;SUBSTITUTE(SUBSTITUTE(SUBSTITUTE('Calculations'!IG465,"~","~~"),"*","~*"),"?","~?"))&gt;1,"!AMBIG",IFERROR(INDEX('Calculations'!$HF$13:$HF$512,MATCH('Calculations'!IG465,'Calculations'!$HE$13:$HE$512,0)),""))))</x:f>
      </x:c>
      <x:c r="II465" t="str">
        <x:f>IF('Calculations'!IH465="","",IF('Calculations'!IH465="!AMBIG","!AMBIG",IF(COUNTIF('Calculations'!$HE$13:$HE$512,"="&amp;SUBSTITUTE(SUBSTITUTE(SUBSTITUTE('Calculations'!IH465,"~","~~"),"*","~*"),"?","~?"))&gt;1,"!AMBIG",IFERROR(INDEX('Calculations'!$HF$13:$HF$512,MATCH('Calculations'!IH465,'Calculations'!$HE$13:$HE$512,0)),""))))</x:f>
      </x:c>
      <x:c r="IJ465" t="str">
        <x:f>IF('Calculations'!EM465="","",IF('Calculations'!$EF$2="All",'Calculations'!HM465,IF('Calculations'!HL465=1,"",IFERROR(IF(MATCH('Calculations'!$EF$2,'Calculations'!HO465:II465,0)=1,'Calculations'!HE465,INDEX('Calculations'!HO465:II465,1,MATCH('Calculations'!$EF$2,'Calculations'!HO465:II465,0)-1)),""))))</x:f>
      </x:c>
      <x:c r="IK465" t="n">
        <x:f>IF(AND('Calculations'!EM465&lt;&gt;"",'Calculations'!$EF$2&lt;&gt;"All",'Calculations'!HF465='Calculations'!$EF$2,'Calculations'!HL465=0,'Calculations'!JD465&gt;0),MAX('Calculations'!$IK$12:IK464)+1,0)</x:f>
        <x:v>0</x:v>
      </x:c>
      <x:c r="JA465" t="n">
        <x:f>IF(OR(IFERROR(INDIRECT("'WCM Calibration Final'!$A$465")&lt;&gt;"",FALSE),IFERROR(INDIRECT("'WCM Calibration Final'!$B$465")&lt;&gt;"",FALSE),IFERROR(INDIRECT("'WCM Calibration Final'!$C$465")&lt;&gt;"",FALSE)),465,0)</x:f>
        <x:v>0</x:v>
      </x:c>
      <x:c r="JB465" t="n">
        <x:f>'Calculations'!JB464+IF('Calculations'!JA465&gt;0,1,0)</x:f>
        <x:v>0</x:v>
      </x:c>
      <x:c r="JC465" t="n">
        <x:f>IF(OR('Calculations'!HF465="",'Calculations'!HF465="!AMBIG"),0,IF('Dashboard'!$B$7="All",1,COUNTIFS('Calculations'!$HO$13:$HO$512,"="&amp;SUBSTITUTE(SUBSTITUTE(SUBSTITUTE('Calculations'!HF465,"~","~~"),"*","~*"),"?","~?"),'Calculations'!$HN$13:$HN$512,"="&amp;SUBSTITUTE(SUBSTITUTE(SUBSTITUTE('Dashboard'!$B$7,"~","~~"),"*","~*"),"?","~?"))+COUNTIFS('Calculations'!$HP$13:$HP$512,"="&amp;SUBSTITUTE(SUBSTITUTE(SUBSTITUTE('Calculations'!HF465,"~","~~"),"*","~*"),"?","~?"),'Calculations'!$HN$13:$HN$512,"="&amp;SUBSTITUTE(SUBSTITUTE(SUBSTITUTE('Dashboard'!$B$7,"~","~~"),"*","~*"),"?","~?"))+COUNTIFS('Calculations'!$HQ$13:$HQ$512,"="&amp;SUBSTITUTE(SUBSTITUTE(SUBSTITUTE('Calculations'!HF465,"~","~~"),"*","~*"),"?","~?"),'Calculations'!$HN$13:$HN$512,"="&amp;SUBSTITUTE(SUBSTITUTE(SUBSTITUTE('Dashboard'!$B$7,"~","~~"),"*","~*"),"?","~?"))+COUNTIFS('Calculations'!$HR$13:$HR$512,"="&amp;SUBSTITUTE(SUBSTITUTE(SUBSTITUTE('Calculations'!HF465,"~","~~"),"*","~*"),"?","~?"),'Calculations'!$HN$13:$HN$512,"="&amp;SUBSTITUTE(SUBSTITUTE(SUBSTITUTE('Dashboard'!$B$7,"~","~~"),"*","~*"),"?","~?"))+COUNTIFS('Calculations'!$HS$13:$HS$512,"="&amp;SUBSTITUTE(SUBSTITUTE(SUBSTITUTE('Calculations'!HF465,"~","~~"),"*","~*"),"?","~?"),'Calculations'!$HN$13:$HN$512,"="&amp;SUBSTITUTE(SUBSTITUTE(SUBSTITUTE('Dashboard'!$B$7,"~","~~"),"*","~*"),"?","~?"))+COUNTIFS('Calculations'!$HT$13:$HT$512,"="&amp;SUBSTITUTE(SUBSTITUTE(SUBSTITUTE('Calculations'!HF465,"~","~~"),"*","~*"),"?","~?"),'Calculations'!$HN$13:$HN$512,"="&amp;SUBSTITUTE(SUBSTITUTE(SUBSTITUTE('Dashboard'!$B$7,"~","~~"),"*","~*"),"?","~?"))+COUNTIFS('Calculations'!$HU$13:$HU$512,"="&amp;SUBSTITUTE(SUBSTITUTE(SUBSTITUTE('Calculations'!HF465,"~","~~"),"*","~*"),"?","~?"),'Calculations'!$HN$13:$HN$512,"="&amp;SUBSTITUTE(SUBSTITUTE(SUBSTITUTE('Dashboard'!$B$7,"~","~~"),"*","~*"),"?","~?"))+COUNTIFS('Calculations'!$HV$13:$HV$512,"="&amp;SUBSTITUTE(SUBSTITUTE(SUBSTITUTE('Calculations'!HF465,"~","~~"),"*","~*"),"?","~?"),'Calculations'!$HN$13:$HN$512,"="&amp;SUBSTITUTE(SUBSTITUTE(SUBSTITUTE('Dashboard'!$B$7,"~","~~"),"*","~*"),"?","~?"))+COUNTIFS('Calculations'!$HW$13:$HW$512,"="&amp;SUBSTITUTE(SUBSTITUTE(SUBSTITUTE('Calculations'!HF465,"~","~~"),"*","~*"),"?","~?"),'Calculations'!$HN$13:$HN$512,"="&amp;SUBSTITUTE(SUBSTITUTE(SUBSTITUTE('Dashboard'!$B$7,"~","~~"),"*","~*"),"?","~?"))+COUNTIFS('Calculations'!$HX$13:$HX$512,"="&amp;SUBSTITUTE(SUBSTITUTE(SUBSTITUTE('Calculations'!HF465,"~","~~"),"*","~*"),"?","~?"),'Calculations'!$HN$13:$HN$512,"="&amp;SUBSTITUTE(SUBSTITUTE(SUBSTITUTE('Dashboard'!$B$7,"~","~~"),"*","~*"),"?","~?"))+COUNTIFS('Calculations'!$HY$13:$HY$512,"="&amp;SUBSTITUTE(SUBSTITUTE(SUBSTITUTE('Calculations'!HF465,"~","~~"),"*","~*"),"?","~?"),'Calculations'!$HN$13:$HN$512,"="&amp;SUBSTITUTE(SUBSTITUTE(SUBSTITUTE('Dashboard'!$B$7,"~","~~"),"*","~*"),"?","~?"))+COUNTIFS('Calculations'!$HZ$13:$HZ$512,"="&amp;SUBSTITUTE(SUBSTITUTE(SUBSTITUTE('Calculations'!HF465,"~","~~"),"*","~*"),"?","~?"),'Calculations'!$HN$13:$HN$512,"="&amp;SUBSTITUTE(SUBSTITUTE(SUBSTITUTE('Dashboard'!$B$7,"~","~~"),"*","~*"),"?","~?"))+COUNTIFS('Calculations'!$IA$13:$IA$512,"="&amp;SUBSTITUTE(SUBSTITUTE(SUBSTITUTE('Calculations'!HF465,"~","~~"),"*","~*"),"?","~?"),'Calculations'!$HN$13:$HN$512,"="&amp;SUBSTITUTE(SUBSTITUTE(SUBSTITUTE('Dashboard'!$B$7,"~","~~"),"*","~*"),"?","~?"))+COUNTIFS('Calculations'!$IB$13:$IB$512,"="&amp;SUBSTITUTE(SUBSTITUTE(SUBSTITUTE('Calculations'!HF465,"~","~~"),"*","~*"),"?","~?"),'Calculations'!$HN$13:$HN$512,"="&amp;SUBSTITUTE(SUBSTITUTE(SUBSTITUTE('Dashboard'!$B$7,"~","~~"),"*","~*"),"?","~?"))+COUNTIFS('Calculations'!$IC$13:$IC$512,"="&amp;SUBSTITUTE(SUBSTITUTE(SUBSTITUTE('Calculations'!HF465,"~","~~"),"*","~*"),"?","~?"),'Calculations'!$HN$13:$HN$512,"="&amp;SUBSTITUTE(SUBSTITUTE(SUBSTITUTE('Dashboard'!$B$7,"~","~~"),"*","~*"),"?","~?"))+COUNTIFS('Calculations'!$ID$13:$ID$512,"="&amp;SUBSTITUTE(SUBSTITUTE(SUBSTITUTE('Calculations'!HF465,"~","~~"),"*","~*"),"?","~?"),'Calculations'!$HN$13:$HN$512,"="&amp;SUBSTITUTE(SUBSTITUTE(SUBSTITUTE('Dashboard'!$B$7,"~","~~"),"*","~*"),"?","~?"))+COUNTIFS('Calculations'!$IE$13:$IE$512,"="&amp;SUBSTITUTE(SUBSTITUTE(SUBSTITUTE('Calculations'!HF465,"~","~~"),"*","~*"),"?","~?"),'Calculations'!$HN$13:$HN$512,"="&amp;SUBSTITUTE(SUBSTITUTE(SUBSTITUTE('Dashboard'!$B$7,"~","~~"),"*","~*"),"?","~?"))+COUNTIFS('Calculations'!$IF$13:$IF$512,"="&amp;SUBSTITUTE(SUBSTITUTE(SUBSTITUTE('Calculations'!HF465,"~","~~"),"*","~*"),"?","~?"),'Calculations'!$HN$13:$HN$512,"="&amp;SUBSTITUTE(SUBSTITUTE(SUBSTITUTE('Dashboard'!$B$7,"~","~~"),"*","~*"),"?","~?"))+COUNTIFS('Calculations'!$IG$13:$IG$512,"="&amp;SUBSTITUTE(SUBSTITUTE(SUBSTITUTE('Calculations'!HF465,"~","~~"),"*","~*"),"?","~?"),'Calculations'!$HN$13:$HN$512,"="&amp;SUBSTITUTE(SUBSTITUTE(SUBSTITUTE('Dashboard'!$B$7,"~","~~"),"*","~*"),"?","~?"))+COUNTIFS('Calculations'!$IH$13:$IH$512,"="&amp;SUBSTITUTE(SUBSTITUTE(SUBSTITUTE('Calculations'!HF465,"~","~~"),"*","~*"),"?","~?"),'Calculations'!$HN$13:$HN$512,"="&amp;SUBSTITUTE(SUBSTITUTE(SUBSTITUTE('Dashboard'!$B$7,"~","~~"),"*","~*"),"?","~?"))))</x:f>
        <x:v>0</x:v>
      </x:c>
      <x:c r="JD465" t="n">
        <x:f>IF('Calculations'!EM465="",0,IF('Dashboard'!$B$7="All",1,IF('Calculations'!HN465='Dashboard'!$B$7,1,0)+IFERROR(INDEX('Calculations'!$JC$13:$JC$512,MATCH('Calculations'!HE465,'Calculations'!$HF$13:$HF$512,0)),0)))</x:f>
        <x:v>0</x:v>
      </x:c>
      <x:c r="JE465" t="n">
        <x:f>IF(AND('Calculations'!EM465&lt;&gt;"",'Calculations'!$JJ$2&lt;&gt;"All",'Calculations'!$JJ$2&lt;&gt;"",'Calculations'!HF465='Calculations'!$JJ$2,'Calculations'!HL465=0,'Calculations'!JD465&gt;0),MAX('Calculations'!$JE$12:JE464)+1,0)</x:f>
        <x:v>0</x:v>
      </x:c>
      <x:c r="JF465" t="str">
        <x:f>IF('Calculations'!EM465="","",IFERROR(IF(INDEX(INDIRECT("'WCM Calibration Final'!$G$1:$G$2000"),'Calculations'!$EM465)="","",TRIM(INDEX(INDIRECT("'WCM Calibration Final'!$G$1:$G$2000"),'Calculations'!$EM465)&amp;"")),""))</x:f>
      </x:c>
      <x:c r="JQ465" t="n">
        <x:f>IF(OR('Calculations'!BM465=0,NOT('Calculations'!$AG$2),'Calculations'!$AG$8&gt;0),0,IF(OR('Dashboard'!$B$7="All",'Calculations'!HN465='Dashboard'!$B$7),IF('Calculations'!$JJ$2="All",1,IF(AND('Calculations'!HF465='Calculations'!$JJ$2,'Calculations'!HL465=0),1,0)),0))</x:f>
        <x:v>0</x:v>
      </x:c>
    </x:row>
    <x:row r="466">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t="n">
        <x:f>IF('Calculations'!$EM466="",0,IF(OR(IFERROR(INDEX(INDIRECT("'WCM Calibration Final'!$A$1:$A$2000"),'Calculations'!$EM466)&lt;&gt;"",FALSE),IFERROR(INDEX(INDIRECT("'WCM Calibration Final'!$B$1:$B$2000"),'Calculations'!$EM466)&lt;&gt;"",FALSE),IFERROR(INDEX(INDIRECT("'WCM Calibration Final'!$C$1:$C$2000"),'Calculations'!$EM466)&lt;&gt;"",FALSE)),1,0))</x:f>
        <x:v>0</x:v>
      </x:c>
      <x:c r="BN466" s="4" t="n">
        <x:f>IF(AND('Calculations'!BM466=1,'Calculations'!$AG$2,'Calculations'!$EN466=1),1,0)</x:f>
        <x:v>0</x:v>
      </x:c>
      <x:c r="BO466" s="4" t="str">
        <x:f>IF('Calculations'!BM466=0,"",IFERROR(IF(AND(VALUE(INDEX(INDIRECT("'WCM Calibration Final'!$K$1:$K$2000"),'Calculations'!$EM466))&gt;=1,VALUE(INDEX(INDIRECT("'WCM Calibration Final'!$K$1:$K$2000"),'Calculations'!$EM466))&lt;=4,MOD(VALUE(INDEX(INDIRECT("'WCM Calibration Final'!$K$1:$K$2000"),'Calculations'!$EM466)),1)=0),VALUE(INDEX(INDIRECT("'WCM Calibration Final'!$K$1:$K$2000"),'Calculations'!$EM466)),""),""))</x:f>
      </x:c>
      <x:c r="BP466" s="4" t="str">
        <x:f>IF('Calculations'!BM466=0,"",IFERROR(IF(AND(VALUE(INDEX(INDIRECT("'WCM Calibration Final'!$L$1:$L$2000"),'Calculations'!$EM466))&gt;=1,VALUE(INDEX(INDIRECT("'WCM Calibration Final'!$L$1:$L$2000"),'Calculations'!$EM466))&lt;=4,MOD(VALUE(INDEX(INDIRECT("'WCM Calibration Final'!$L$1:$L$2000"),'Calculations'!$EM466)),1)=0),VALUE(INDEX(INDIRECT("'WCM Calibration Final'!$L$1:$L$2000"),'Calculations'!$EM466)),""),""))</x:f>
      </x:c>
      <x:c r="BQ466" s="4"/>
      <x:c r="BR466" s="4"/>
      <x:c r="BS466" s="4"/>
      <x:c r="BT466" s="4" t="n">
        <x:f>IF(AND('Calculations'!BM466=1,ISNUMBER('Calculations'!BO466),ISNUMBER('Calculations'!BP466)),1,0)</x:f>
        <x:v>0</x:v>
      </x:c>
      <x:c r="BU466" s="4" t="str">
        <x:f>IF('Calculations'!BM466=0,"",'Calculations'!$EO466)</x:f>
      </x:c>
      <x:c r="BV466" s="4" t="str">
        <x:f>IF('Calculations'!BM466=0,"",IFERROR(IF(OR(INDEX(INDIRECT("'WCM Calibration Final'!$H$1:$H$2000"),'Calculations'!$EM466)="MANAGING DIRECTOR",INDEX(INDIRECT("'WCM Calibration Final'!$H$1:$H$2000"),'Calculations'!$EM466)="DIRECTOR",INDEX(INDIRECT("'WCM Calibration Final'!$H$1:$H$2000"),'Calculations'!$EM466)="SENIOR VICE PRESIDENT",INDEX(INDIRECT("'WCM Calibration Final'!$H$1:$H$2000"),'Calculations'!$EM466)="VICE PRESIDENT",INDEX(INDIRECT("'WCM Calibration Final'!$H$1:$H$2000"),'Calculations'!$EM466)="ASSISTANT VICE PRESIDENT",INDEX(INDIRECT("'WCM Calibration Final'!$H$1:$H$2000"),'Calculations'!$EM466)="OFFICER"),UPPER(INDEX(INDIRECT("'WCM Calibration Final'!$H$1:$H$2000"),'Calculations'!$EM466)),"Other"),"Other"))</x:f>
      </x:c>
      <x:c r="BW466" s="4"/>
      <x:c r="BX466" s="4"/>
      <x:c r="BY466" s="4" t="n">
        <x:f>IF(AND('Calculations'!BM466=1,'Calculations'!BU466&lt;&gt;"",COUNTIF('Calculations'!$BU$12:BU466,'Calculations'!BU466)=1),MAX('Calculations'!$BY$11:BY465)+1,0)</x:f>
        <x:v>0</x:v>
      </x:c>
      <x:c r="BZ466" s="4" t="str">
        <x:f>IF('Dashboard'!$E$67="What",'Calculations'!BO466,'Calculations'!BP466)</x:f>
      </x:c>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t="str">
        <x:f>IF(455&gt;MAX('Calculations'!$HI$13:$HI$512),"",INDEX('Calculations'!$HN$13:$HN$512,MATCH(455,'Calculations'!$HI$13:$HI$512,0)))</x:f>
      </x:c>
      <x:c r="DB466" s="4" t="str">
        <x:f>IF(455&gt;MAX('Calculations'!$HH$13:$HH$512),"",INDEX('Calculations'!$HJ$13:$HJ$512,MATCH(455,'Calculations'!$HH$13:$HH$512,0)))</x:f>
      </x:c>
      <x:c r="DC466" s="4" t="str">
        <x:f>IF(ROW()-11&gt;MAX('Calculations'!$BY$13:$BY$512),"",INDEX('Calculations'!$BU$13:$BU$512,MATCH(ROW()-11,'Calculations'!$BY$13:$BY$512,0)))</x:f>
      </x:c>
      <x:c r="DD466" s="4" t="str">
        <x:f>IF(455&gt;MAX('Calculations'!$IK$13:$IK$512),"",INDEX('Calculations'!$HK$13:$HK$512,MATCH(455,'Calculations'!$IK$13:$IK$512,0)))</x:f>
      </x:c>
      <x:c r="DE466" s="4" t="str">
        <x:f>'Calculations'!DC466</x:f>
      </x:c>
      <x:c r="DF466" s="4" t="str">
        <x:f>IF('Calculations'!DE466="","",COUNTIFS('Calculations'!$BN$13:$BN$512,1,'Calculations'!$BU$13:$BU$512,'Calculations'!DE466))</x:f>
      </x:c>
      <x:c r="DG466" s="4" t="str">
        <x:f>IF('Calculations'!DE466="","",COUNTIFS('Calculations'!$BN$13:$BN$512,1,'Calculations'!$BU$13:$BU$512,'Calculations'!DE466,'Calculations'!$BT$13:$BT$512,1))</x:f>
      </x:c>
      <x:c r="DH466" s="4" t="str">
        <x:f>IF('Calculations'!DE466="","",'Calculations'!DF466-'Calculations'!DG466)</x:f>
      </x:c>
      <x:c r="DI466" s="4" t="str">
        <x:f>IF(OR('Calculations'!DE466="",'Calculations'!DF466=0),"",'Calculations'!DG466/'Calculations'!DF466)</x:f>
      </x:c>
      <x:c r="DJ466" s="4" t="str">
        <x:f>IF('Calculations'!DE466="","",COUNTIFS('Calculations'!$BN$13:$BN$512,1,'Calculations'!$BU$13:$BU$512,'Calculations'!DE466,'Calculations'!$BT$13:$BT$512,1,'Calculations'!$EE$13:$EE$512,"High"))</x:f>
      </x:c>
      <x:c r="DK466" s="4" t="str">
        <x:f>IF('Calculations'!DE466="","",COUNTIFS('Calculations'!$BN$13:$BN$512,1,'Calculations'!$BU$13:$BU$512,'Calculations'!DE466,'Calculations'!$BT$13:$BT$512,1,'Calculations'!$EE$13:$EE$512,"Strong"))</x:f>
      </x:c>
      <x:c r="DL466" s="4" t="str">
        <x:f>IF('Calculations'!DE466="","",COUNTIFS('Calculations'!$BN$13:$BN$512,1,'Calculations'!$BU$13:$BU$512,'Calculations'!DE466,'Calculations'!$BT$13:$BT$512,1,'Calculations'!$EE$13:$EE$512,"Solid"))</x:f>
      </x:c>
      <x:c r="DM466" s="4" t="str">
        <x:f>IF('Calculations'!DE466="","",COUNTIFS('Calculations'!$BN$13:$BN$512,1,'Calculations'!$BU$13:$BU$512,'Calculations'!DE466,'Calculations'!$BT$13:$BT$512,1,'Calculations'!$EE$13:$EE$512,"Low"))</x:f>
      </x:c>
      <x:c r="DN466" s="4" t="str">
        <x:f>IF('Calculations'!DE466="","",COUNTIFS('Calculations'!$BN$13:$BN$512,1,'Calculations'!$BU$13:$BU$512,'Calculations'!DE466,'Calculations'!$EP$13:$EP$512,1))</x:f>
      </x:c>
      <x:c r="DO466" s="4" t="str">
        <x:f>IF(OR('Calculations'!DE466="",'Calculations'!DG466=0),"",('Calculations'!DJ466+'Calculations'!DK466)/'Calculations'!DG466)</x:f>
      </x:c>
      <x:c r="DP466" s="4" t="n">
        <x:f>IF(AND('Calculations'!DE466&lt;&gt;"",'Calculations'!DF466&gt;0),COUNTIF('Calculations'!$DF$12:DF466,"&gt;0"),0)</x:f>
        <x:v>0</x:v>
      </x:c>
      <x:c r="DQ466" s="4" t="str">
        <x:f>IF(455&gt;MAX('Calculations'!$HH$13:$HH$512),"",INDEX('Calculations'!$HF$13:$HF$512,MATCH(455,'Calculations'!$HH$13:$HH$512,0)))</x:f>
      </x:c>
      <x:c r="DR466" s="4" t="str">
        <x:f>IF(455&gt;MAX('Calculations'!$IK$13:$IK$512),"",INDEX('Calculations'!$HE$13:$HE$512,MATCH(455,'Calculations'!$IK$13:$IK$512,0)))</x:f>
      </x:c>
      <x:c r="DS466" s="4"/>
      <x:c r="DT466" s="4"/>
      <x:c r="DU466" s="4"/>
      <x:c r="DV466" s="4"/>
      <x:c r="DW466" s="4"/>
      <x:c r="DX466" s="4"/>
      <x:c r="DY466" s="4"/>
      <x:c r="DZ466" s="4"/>
      <x:c r="EA466" s="4"/>
      <x:c r="EB466" s="4"/>
      <x:c r="EC466" s="4"/>
      <x:c r="ED466" s="4"/>
      <x:c r="EE466" s="4" t="str">
        <x:f>IF('Calculations'!BT466=0,"Not Rated",IF(OR('Calculations'!BO466&gt;=4,'Calculations'!BP466&gt;=4),"Low",IF('Calculations'!BO466+'Calculations'!BP466&lt;=3,"High",IF('Calculations'!BO466+'Calculations'!BP466&lt;=4,"Strong","Solid"))))</x:f>
        <x:v>Not Rated</x:v>
      </x:c>
      <x:c r="EF466" s="4"/>
      <x:c r="EG466" s="4"/>
      <x:c r="EH466" s="4"/>
      <x:c r="EI466" s="4"/>
      <x:c r="EJ466" s="4"/>
      <x:c r="EK466" s="4"/>
      <x:c r="EL466" s="4"/>
      <x:c r="EM466" s="4" t="str">
        <x:f>IF(454&gt;'Calculations'!$JB$2000,"",INDEX('Calculations'!$JA$12:$JA$2000,MATCH(454,'Calculations'!$JB$12:$JB$2000,0)))</x:f>
      </x:c>
      <x:c r="EN466" s="4" t="n">
        <x:f>IF(OR('Calculations'!EM466="",'Calculations'!$AG$8&gt;0,AND('Calculations'!$EF$2&lt;&gt;"All",'Calculations'!HE466='Calculations'!$EF$2),AND('Calculations'!$EF$3&lt;&gt;"All",'Calculations'!HE466='Calculations'!$EF$3)),0,IF(OR('Dashboard'!$B$7="All",'Calculations'!HN466='Dashboard'!$B$7),IF('Calculations'!$EF$2="All",1,IF('Calculations'!HL466&gt;0,0,IF(COUNTIF('Calculations'!HO466:II466,"="&amp;SUBSTITUTE(SUBSTITUTE(SUBSTITUTE('Calculations'!$EF$2,"~","~~"),"*","~*"),"?","~?"))=0,0,IF('Calculations'!$EF$3="All",1,IF(COUNTIF('Calculations'!HO466:II466,"="&amp;SUBSTITUTE(SUBSTITUTE(SUBSTITUTE('Calculations'!$EF$3,"~","~~"),"*","~*"),"?","~?"))&gt;0,1,0))))),0))</x:f>
        <x:v>0</x:v>
      </x:c>
      <x:c r="EO466" s="4" t="str">
        <x:f>IF('Calculations'!IJ466="","",IF('Calculations'!IJ466="!UNRESOLVED","Unresolved hierarchy",IFERROR(INDEX('Calculations'!$HK$13:$HK$512,MATCH('Calculations'!IJ466,'Calculations'!$HE$13:$HE$512,0)),IFERROR(INDEX('Calculations'!$HJ$13:$HJ$512,MATCH('Calculations'!IJ466,'Calculations'!$HF$13:$HF$512,0)),'Calculations'!IJ466))))</x:f>
      </x:c>
      <x:c r="EP466" s="4" t="n">
        <x:f>IF(AND('Calculations'!EM466&lt;&gt;"",'Calculations'!HF466='Calculations'!IJ466),1,0)</x:f>
        <x:v>0</x:v>
      </x:c>
      <x:c r="EQ466" s="4"/>
      <x:c r="ER466" s="4"/>
      <x:c r="ES466" s="4"/>
      <x:c r="ET466" s="4"/>
      <x:c r="EU466" s="4"/>
      <x:c r="EV466" s="4"/>
      <x:c r="EW466" s="4"/>
      <x:c r="EX466" s="4"/>
      <x:c r="EY466" s="4"/>
      <x:c r="EZ466" s="4"/>
      <x:c r="FA466" s="4"/>
      <x:c r="FB466" s="4"/>
      <x:c r="FC466" s="4"/>
      <x:c r="FD466" s="4"/>
      <x:c r="FE466" s="4"/>
      <x:c r="FF466" s="4"/>
      <x:c r="FG466" s="4"/>
      <x:c r="FH466" s="4"/>
      <x:c r="FI466" s="4"/>
      <x:c r="FJ466" s="4"/>
      <x:c r="FK466" s="4"/>
      <x:c r="FL466" s="4"/>
      <x:c r="FM466" s="4"/>
      <x:c r="FN466" s="4"/>
      <x:c r="FO466" s="4"/>
      <x:c r="HE466" t="str">
        <x:f>IF('Calculations'!EM466="","",IF(IFERROR(IF(INDEX(INDIRECT("'WCM Calibration Final'!$A$1:$A$2000"),'Calculations'!$EM466)="","",TRIM(INDEX(INDIRECT("'WCM Calibration Final'!$A$1:$A$2000"),'Calculations'!$EM466)&amp;"")),"")&lt;&gt;"","G:"&amp;IFERROR(TEXT(1*INDEX(INDIRECT("'WCM Calibration Final'!$A$1:$A$2000"),'Calculations'!$EM466),"0"),UPPER(IFERROR(IF(INDEX(INDIRECT("'WCM Calibration Final'!$A$1:$A$2000"),'Calculations'!$EM466)="","",TRIM(INDEX(INDIRECT("'WCM Calibration Final'!$A$1:$A$2000"),'Calculations'!$EM466)&amp;"")),""))),IF(IFERROR(IF(INDEX(INDIRECT("'WCM Calibration Final'!$C$1:$C$2000"),'Calculations'!$EM466)="","",TRIM(INDEX(INDIRECT("'WCM Calibration Final'!$C$1:$C$2000"),'Calculations'!$EM466)&amp;"")),"")&lt;&gt;"","S:"&amp;UPPER(IFERROR(IF(INDEX(INDIRECT("'WCM Calibration Final'!$C$1:$C$2000"),'Calculations'!$EM466)="","",TRIM(INDEX(INDIRECT("'WCM Calibration Final'!$C$1:$C$2000"),'Calculations'!$EM466)&amp;"")),"")),"R:"&amp;'Calculations'!EM466)))</x:f>
      </x:c>
      <x:c r="HF466" t="str">
        <x:f>IF('Calculations'!EM466="","",IF(IFERROR(IF(INDEX(INDIRECT("'WCM Calibration Final'!$D$1:$D$2000"),'Calculations'!$EM466)="","",TRIM(INDEX(INDIRECT("'WCM Calibration Final'!$D$1:$D$2000"),'Calculations'!$EM466)&amp;"")),"")&lt;&gt;"","G:"&amp;IFERROR(TEXT(1*INDEX(INDIRECT("'WCM Calibration Final'!$D$1:$D$2000"),'Calculations'!$EM466),"0"),UPPER(IFERROR(IF(INDEX(INDIRECT("'WCM Calibration Final'!$D$1:$D$2000"),'Calculations'!$EM466)="","",TRIM(INDEX(INDIRECT("'WCM Calibration Final'!$D$1:$D$2000"),'Calculations'!$EM466)&amp;"")),""))),IF(IFERROR(IF(INDEX(INDIRECT("'WCM Calibration Final'!$E$1:$E$2000"),'Calculations'!$EM466)="","",TRIM(INDEX(INDIRECT("'WCM Calibration Final'!$E$1:$E$2000"),'Calculations'!$EM466)&amp;"")),"")="","",IF(COUNTIF('Calculations'!$HG$13:$HG$512,"="&amp;SUBSTITUTE(SUBSTITUTE(SUBSTITUTE(IFERROR(IF(INDEX(INDIRECT("'WCM Calibration Final'!$E$1:$E$2000"),'Calculations'!$EM466)="","",TRIM(INDEX(INDIRECT("'WCM Calibration Final'!$E$1:$E$2000"),'Calculations'!$EM466)&amp;"")),""),"~","~~"),"*","~*"),"?","~?"))=1,INDEX('Calculations'!$HE$13:$HE$512,MATCH(IFERROR(IF(INDEX(INDIRECT("'WCM Calibration Final'!$E$1:$E$2000"),'Calculations'!$EM466)="","",TRIM(INDEX(INDIRECT("'WCM Calibration Final'!$E$1:$E$2000"),'Calculations'!$EM466)&amp;"")),""),'Calculations'!$HG$13:$HG$512,0)),IF(COUNTIF('Calculations'!$HG$13:$HG$512,"="&amp;SUBSTITUTE(SUBSTITUTE(SUBSTITUTE(IFERROR(IF(INDEX(INDIRECT("'WCM Calibration Final'!$E$1:$E$2000"),'Calculations'!$EM466)="","",TRIM(INDEX(INDIRECT("'WCM Calibration Final'!$E$1:$E$2000"),'Calculations'!$EM466)&amp;"")),""),"~","~~"),"*","~*"),"?","~?"))&gt;1,"!AMBIG","X:"&amp;IFERROR(IF(INDEX(INDIRECT("'WCM Calibration Final'!$E$1:$E$2000"),'Calculations'!$EM466)="","",TRIM(INDEX(INDIRECT("'WCM Calibration Final'!$E$1:$E$2000"),'Calculations'!$EM466)&amp;"")),""))))))</x:f>
      </x:c>
      <x:c r="HG466" t="str">
        <x:f>IF('Calculations'!EM466="","",IFERROR(IF(INDEX(INDIRECT("'WCM Calibration Final'!$B$1:$B$2000"),'Calculations'!$EM466)="","",TRIM(INDEX(INDIRECT("'WCM Calibration Final'!$B$1:$B$2000"),'Calculations'!$EM466)&amp;"")),""))</x:f>
      </x:c>
      <x:c r="HH466" t="n">
        <x:f>IF(AND('Calculations'!JC466&gt;0,COUNTIF('Calculations'!$HF$12:HF466,"="&amp;SUBSTITUTE(SUBSTITUTE(SUBSTITUTE('Calculations'!HF466,"~","~~"),"*","~*"),"?","~?"))=1),MAX('Calculations'!$HH$12:HH465)+1,0)</x:f>
        <x:v>0</x:v>
      </x:c>
      <x:c r="HI466" t="n">
        <x:f>IF(AND('Calculations'!HN466&lt;&gt;"",COUNTIF('Calculations'!$HN$12:HN466,"="&amp;SUBSTITUTE(SUBSTITUTE(SUBSTITUTE('Calculations'!HN466,"~","~~"),"*","~*"),"?","~?"))=1),MAX('Calculations'!$HI$12:HI465)+1,0)</x:f>
        <x:v>0</x:v>
      </x:c>
      <x:c r="HJ466" t="str">
        <x:f>IF('Calculations'!HF466="","",IF(COUNTIF('Calculations'!$HE$13:$HE$512,"="&amp;SUBSTITUTE(SUBSTITUTE(SUBSTITUTE('Calculations'!HF466,"~","~~"),"*","~*"),"?","~?"))=1,INDEX('Calculations'!$HK$13:$HK$512,MATCH('Calculations'!HF466,'Calculations'!$HE$13:$HE$512,0)),IFERROR(IF(INDEX(INDIRECT("'WCM Calibration Final'!$E$1:$E$2000"),'Calculations'!$EM466)="","",TRIM(INDEX(INDIRECT("'WCM Calibration Final'!$E$1:$E$2000"),'Calculations'!$EM466)&amp;"")),"")&amp;" ["&amp;'Calculations'!HF466&amp;"]"))</x:f>
      </x:c>
      <x:c r="HK466" t="str">
        <x:f>IF('Calculations'!EM466="","",'Calculations'!HG466&amp;" ["&amp;'Calculations'!HE466&amp;"]")</x:f>
      </x:c>
      <x:c r="HL466" t="n">
        <x:f>IF('Calculations'!EM466="",0,IF(OR('Calculations'!II466&lt;&gt;"",COUNTIF('Calculations'!$HE$13:$HE$512,"="&amp;SUBSTITUTE(SUBSTITUTE(SUBSTITUTE('Calculations'!HE466,"~","~~"),"*","~*"),"?","~?"))&gt;1),1,0))</x:f>
        <x:v>0</x:v>
      </x:c>
      <x:c r="HM466" t="str">
        <x:f>IF('Calculations'!EM466="","",IF('Calculations'!HL466=1,"!UNRESOLVED",IF('Calculations'!IH466&lt;&gt;"",'Calculations'!IH466,IF('Calculations'!IG466&lt;&gt;"",'Calculations'!IG466,IF('Calculations'!IF466&lt;&gt;"",'Calculations'!IF466,IF('Calculations'!IE466&lt;&gt;"",'Calculations'!IE466,IF('Calculations'!ID466&lt;&gt;"",'Calculations'!ID466,IF('Calculations'!IC466&lt;&gt;"",'Calculations'!IC466,IF('Calculations'!IB466&lt;&gt;"",'Calculations'!IB466,IF('Calculations'!IA466&lt;&gt;"",'Calculations'!IA466,IF('Calculations'!HZ466&lt;&gt;"",'Calculations'!HZ466,IF('Calculations'!HY466&lt;&gt;"",'Calculations'!HY466,IF('Calculations'!HX466&lt;&gt;"",'Calculations'!HX466,IF('Calculations'!HW466&lt;&gt;"",'Calculations'!HW466,IF('Calculations'!HV466&lt;&gt;"",'Calculations'!HV466,IF('Calculations'!HU466&lt;&gt;"",'Calculations'!HU466,IF('Calculations'!HT466&lt;&gt;"",'Calculations'!HT466,IF('Calculations'!HS466&lt;&gt;"",'Calculations'!HS466,IF('Calculations'!HR466&lt;&gt;"",'Calculations'!HR466,IF('Calculations'!HQ466&lt;&gt;"",'Calculations'!HQ466,IF('Calculations'!HP466&lt;&gt;"",'Calculations'!HP466,IF('Calculations'!HO466&lt;&gt;"",'Calculations'!HO466,'Calculations'!HE466))))))))))))))))))))))</x:f>
      </x:c>
      <x:c r="HN466" t="str">
        <x:f>IF('Calculations'!EM466="","",IF(IFERROR(IF(INDEX(INDIRECT("'WCM Calibration Final'!$F$1:$F$2000"),'Calculations'!$EM466)="","",TRIM(INDEX(INDIRECT("'WCM Calibration Final'!$F$1:$F$2000"),'Calculations'!$EM466)&amp;"")),"")="","(Blank)",IFERROR(IF(INDEX(INDIRECT("'WCM Calibration Final'!$F$1:$F$2000"),'Calculations'!$EM466)="","",TRIM(INDEX(INDIRECT("'WCM Calibration Final'!$F$1:$F$2000"),'Calculations'!$EM466)&amp;"")),"")))</x:f>
      </x:c>
      <x:c r="HO466" t="str">
        <x:f>'Calculations'!HF466</x:f>
      </x:c>
      <x:c r="HP466" t="str">
        <x:f>IF('Calculations'!HO466="","",IF('Calculations'!HO466="!AMBIG","!AMBIG",IF(COUNTIF('Calculations'!$HE$13:$HE$512,"="&amp;SUBSTITUTE(SUBSTITUTE(SUBSTITUTE('Calculations'!HO466,"~","~~"),"*","~*"),"?","~?"))&gt;1,"!AMBIG",IFERROR(INDEX('Calculations'!$HF$13:$HF$512,MATCH('Calculations'!HO466,'Calculations'!$HE$13:$HE$512,0)),""))))</x:f>
      </x:c>
      <x:c r="HQ466" t="str">
        <x:f>IF('Calculations'!HP466="","",IF('Calculations'!HP466="!AMBIG","!AMBIG",IF(COUNTIF('Calculations'!$HE$13:$HE$512,"="&amp;SUBSTITUTE(SUBSTITUTE(SUBSTITUTE('Calculations'!HP466,"~","~~"),"*","~*"),"?","~?"))&gt;1,"!AMBIG",IFERROR(INDEX('Calculations'!$HF$13:$HF$512,MATCH('Calculations'!HP466,'Calculations'!$HE$13:$HE$512,0)),""))))</x:f>
      </x:c>
      <x:c r="HR466" t="str">
        <x:f>IF('Calculations'!HQ466="","",IF('Calculations'!HQ466="!AMBIG","!AMBIG",IF(COUNTIF('Calculations'!$HE$13:$HE$512,"="&amp;SUBSTITUTE(SUBSTITUTE(SUBSTITUTE('Calculations'!HQ466,"~","~~"),"*","~*"),"?","~?"))&gt;1,"!AMBIG",IFERROR(INDEX('Calculations'!$HF$13:$HF$512,MATCH('Calculations'!HQ466,'Calculations'!$HE$13:$HE$512,0)),""))))</x:f>
      </x:c>
      <x:c r="HS466" t="str">
        <x:f>IF('Calculations'!HR466="","",IF('Calculations'!HR466="!AMBIG","!AMBIG",IF(COUNTIF('Calculations'!$HE$13:$HE$512,"="&amp;SUBSTITUTE(SUBSTITUTE(SUBSTITUTE('Calculations'!HR466,"~","~~"),"*","~*"),"?","~?"))&gt;1,"!AMBIG",IFERROR(INDEX('Calculations'!$HF$13:$HF$512,MATCH('Calculations'!HR466,'Calculations'!$HE$13:$HE$512,0)),""))))</x:f>
      </x:c>
      <x:c r="HT466" t="str">
        <x:f>IF('Calculations'!HS466="","",IF('Calculations'!HS466="!AMBIG","!AMBIG",IF(COUNTIF('Calculations'!$HE$13:$HE$512,"="&amp;SUBSTITUTE(SUBSTITUTE(SUBSTITUTE('Calculations'!HS466,"~","~~"),"*","~*"),"?","~?"))&gt;1,"!AMBIG",IFERROR(INDEX('Calculations'!$HF$13:$HF$512,MATCH('Calculations'!HS466,'Calculations'!$HE$13:$HE$512,0)),""))))</x:f>
      </x:c>
      <x:c r="HU466" t="str">
        <x:f>IF('Calculations'!HT466="","",IF('Calculations'!HT466="!AMBIG","!AMBIG",IF(COUNTIF('Calculations'!$HE$13:$HE$512,"="&amp;SUBSTITUTE(SUBSTITUTE(SUBSTITUTE('Calculations'!HT466,"~","~~"),"*","~*"),"?","~?"))&gt;1,"!AMBIG",IFERROR(INDEX('Calculations'!$HF$13:$HF$512,MATCH('Calculations'!HT466,'Calculations'!$HE$13:$HE$512,0)),""))))</x:f>
      </x:c>
      <x:c r="HV466" t="str">
        <x:f>IF('Calculations'!HU466="","",IF('Calculations'!HU466="!AMBIG","!AMBIG",IF(COUNTIF('Calculations'!$HE$13:$HE$512,"="&amp;SUBSTITUTE(SUBSTITUTE(SUBSTITUTE('Calculations'!HU466,"~","~~"),"*","~*"),"?","~?"))&gt;1,"!AMBIG",IFERROR(INDEX('Calculations'!$HF$13:$HF$512,MATCH('Calculations'!HU466,'Calculations'!$HE$13:$HE$512,0)),""))))</x:f>
      </x:c>
      <x:c r="HW466" t="str">
        <x:f>IF('Calculations'!HV466="","",IF('Calculations'!HV466="!AMBIG","!AMBIG",IF(COUNTIF('Calculations'!$HE$13:$HE$512,"="&amp;SUBSTITUTE(SUBSTITUTE(SUBSTITUTE('Calculations'!HV466,"~","~~"),"*","~*"),"?","~?"))&gt;1,"!AMBIG",IFERROR(INDEX('Calculations'!$HF$13:$HF$512,MATCH('Calculations'!HV466,'Calculations'!$HE$13:$HE$512,0)),""))))</x:f>
      </x:c>
      <x:c r="HX466" t="str">
        <x:f>IF('Calculations'!HW466="","",IF('Calculations'!HW466="!AMBIG","!AMBIG",IF(COUNTIF('Calculations'!$HE$13:$HE$512,"="&amp;SUBSTITUTE(SUBSTITUTE(SUBSTITUTE('Calculations'!HW466,"~","~~"),"*","~*"),"?","~?"))&gt;1,"!AMBIG",IFERROR(INDEX('Calculations'!$HF$13:$HF$512,MATCH('Calculations'!HW466,'Calculations'!$HE$13:$HE$512,0)),""))))</x:f>
      </x:c>
      <x:c r="HY466" t="str">
        <x:f>IF('Calculations'!HX466="","",IF('Calculations'!HX466="!AMBIG","!AMBIG",IF(COUNTIF('Calculations'!$HE$13:$HE$512,"="&amp;SUBSTITUTE(SUBSTITUTE(SUBSTITUTE('Calculations'!HX466,"~","~~"),"*","~*"),"?","~?"))&gt;1,"!AMBIG",IFERROR(INDEX('Calculations'!$HF$13:$HF$512,MATCH('Calculations'!HX466,'Calculations'!$HE$13:$HE$512,0)),""))))</x:f>
      </x:c>
      <x:c r="HZ466" t="str">
        <x:f>IF('Calculations'!HY466="","",IF('Calculations'!HY466="!AMBIG","!AMBIG",IF(COUNTIF('Calculations'!$HE$13:$HE$512,"="&amp;SUBSTITUTE(SUBSTITUTE(SUBSTITUTE('Calculations'!HY466,"~","~~"),"*","~*"),"?","~?"))&gt;1,"!AMBIG",IFERROR(INDEX('Calculations'!$HF$13:$HF$512,MATCH('Calculations'!HY466,'Calculations'!$HE$13:$HE$512,0)),""))))</x:f>
      </x:c>
      <x:c r="IA466" t="str">
        <x:f>IF('Calculations'!HZ466="","",IF('Calculations'!HZ466="!AMBIG","!AMBIG",IF(COUNTIF('Calculations'!$HE$13:$HE$512,"="&amp;SUBSTITUTE(SUBSTITUTE(SUBSTITUTE('Calculations'!HZ466,"~","~~"),"*","~*"),"?","~?"))&gt;1,"!AMBIG",IFERROR(INDEX('Calculations'!$HF$13:$HF$512,MATCH('Calculations'!HZ466,'Calculations'!$HE$13:$HE$512,0)),""))))</x:f>
      </x:c>
      <x:c r="IB466" t="str">
        <x:f>IF('Calculations'!IA466="","",IF('Calculations'!IA466="!AMBIG","!AMBIG",IF(COUNTIF('Calculations'!$HE$13:$HE$512,"="&amp;SUBSTITUTE(SUBSTITUTE(SUBSTITUTE('Calculations'!IA466,"~","~~"),"*","~*"),"?","~?"))&gt;1,"!AMBIG",IFERROR(INDEX('Calculations'!$HF$13:$HF$512,MATCH('Calculations'!IA466,'Calculations'!$HE$13:$HE$512,0)),""))))</x:f>
      </x:c>
      <x:c r="IC466" t="str">
        <x:f>IF('Calculations'!IB466="","",IF('Calculations'!IB466="!AMBIG","!AMBIG",IF(COUNTIF('Calculations'!$HE$13:$HE$512,"="&amp;SUBSTITUTE(SUBSTITUTE(SUBSTITUTE('Calculations'!IB466,"~","~~"),"*","~*"),"?","~?"))&gt;1,"!AMBIG",IFERROR(INDEX('Calculations'!$HF$13:$HF$512,MATCH('Calculations'!IB466,'Calculations'!$HE$13:$HE$512,0)),""))))</x:f>
      </x:c>
      <x:c r="ID466" t="str">
        <x:f>IF('Calculations'!IC466="","",IF('Calculations'!IC466="!AMBIG","!AMBIG",IF(COUNTIF('Calculations'!$HE$13:$HE$512,"="&amp;SUBSTITUTE(SUBSTITUTE(SUBSTITUTE('Calculations'!IC466,"~","~~"),"*","~*"),"?","~?"))&gt;1,"!AMBIG",IFERROR(INDEX('Calculations'!$HF$13:$HF$512,MATCH('Calculations'!IC466,'Calculations'!$HE$13:$HE$512,0)),""))))</x:f>
      </x:c>
      <x:c r="IE466" t="str">
        <x:f>IF('Calculations'!ID466="","",IF('Calculations'!ID466="!AMBIG","!AMBIG",IF(COUNTIF('Calculations'!$HE$13:$HE$512,"="&amp;SUBSTITUTE(SUBSTITUTE(SUBSTITUTE('Calculations'!ID466,"~","~~"),"*","~*"),"?","~?"))&gt;1,"!AMBIG",IFERROR(INDEX('Calculations'!$HF$13:$HF$512,MATCH('Calculations'!ID466,'Calculations'!$HE$13:$HE$512,0)),""))))</x:f>
      </x:c>
      <x:c r="IF466" t="str">
        <x:f>IF('Calculations'!IE466="","",IF('Calculations'!IE466="!AMBIG","!AMBIG",IF(COUNTIF('Calculations'!$HE$13:$HE$512,"="&amp;SUBSTITUTE(SUBSTITUTE(SUBSTITUTE('Calculations'!IE466,"~","~~"),"*","~*"),"?","~?"))&gt;1,"!AMBIG",IFERROR(INDEX('Calculations'!$HF$13:$HF$512,MATCH('Calculations'!IE466,'Calculations'!$HE$13:$HE$512,0)),""))))</x:f>
      </x:c>
      <x:c r="IG466" t="str">
        <x:f>IF('Calculations'!IF466="","",IF('Calculations'!IF466="!AMBIG","!AMBIG",IF(COUNTIF('Calculations'!$HE$13:$HE$512,"="&amp;SUBSTITUTE(SUBSTITUTE(SUBSTITUTE('Calculations'!IF466,"~","~~"),"*","~*"),"?","~?"))&gt;1,"!AMBIG",IFERROR(INDEX('Calculations'!$HF$13:$HF$512,MATCH('Calculations'!IF466,'Calculations'!$HE$13:$HE$512,0)),""))))</x:f>
      </x:c>
      <x:c r="IH466" t="str">
        <x:f>IF('Calculations'!IG466="","",IF('Calculations'!IG466="!AMBIG","!AMBIG",IF(COUNTIF('Calculations'!$HE$13:$HE$512,"="&amp;SUBSTITUTE(SUBSTITUTE(SUBSTITUTE('Calculations'!IG466,"~","~~"),"*","~*"),"?","~?"))&gt;1,"!AMBIG",IFERROR(INDEX('Calculations'!$HF$13:$HF$512,MATCH('Calculations'!IG466,'Calculations'!$HE$13:$HE$512,0)),""))))</x:f>
      </x:c>
      <x:c r="II466" t="str">
        <x:f>IF('Calculations'!IH466="","",IF('Calculations'!IH466="!AMBIG","!AMBIG",IF(COUNTIF('Calculations'!$HE$13:$HE$512,"="&amp;SUBSTITUTE(SUBSTITUTE(SUBSTITUTE('Calculations'!IH466,"~","~~"),"*","~*"),"?","~?"))&gt;1,"!AMBIG",IFERROR(INDEX('Calculations'!$HF$13:$HF$512,MATCH('Calculations'!IH466,'Calculations'!$HE$13:$HE$512,0)),""))))</x:f>
      </x:c>
      <x:c r="IJ466" t="str">
        <x:f>IF('Calculations'!EM466="","",IF('Calculations'!$EF$2="All",'Calculations'!HM466,IF('Calculations'!HL466=1,"",IFERROR(IF(MATCH('Calculations'!$EF$2,'Calculations'!HO466:II466,0)=1,'Calculations'!HE466,INDEX('Calculations'!HO466:II466,1,MATCH('Calculations'!$EF$2,'Calculations'!HO466:II466,0)-1)),""))))</x:f>
      </x:c>
      <x:c r="IK466" t="n">
        <x:f>IF(AND('Calculations'!EM466&lt;&gt;"",'Calculations'!$EF$2&lt;&gt;"All",'Calculations'!HF466='Calculations'!$EF$2,'Calculations'!HL466=0,'Calculations'!JD466&gt;0),MAX('Calculations'!$IK$12:IK465)+1,0)</x:f>
        <x:v>0</x:v>
      </x:c>
      <x:c r="JA466" t="n">
        <x:f>IF(OR(IFERROR(INDIRECT("'WCM Calibration Final'!$A$466")&lt;&gt;"",FALSE),IFERROR(INDIRECT("'WCM Calibration Final'!$B$466")&lt;&gt;"",FALSE),IFERROR(INDIRECT("'WCM Calibration Final'!$C$466")&lt;&gt;"",FALSE)),466,0)</x:f>
        <x:v>0</x:v>
      </x:c>
      <x:c r="JB466" t="n">
        <x:f>'Calculations'!JB465+IF('Calculations'!JA466&gt;0,1,0)</x:f>
        <x:v>0</x:v>
      </x:c>
      <x:c r="JC466" t="n">
        <x:f>IF(OR('Calculations'!HF466="",'Calculations'!HF466="!AMBIG"),0,IF('Dashboard'!$B$7="All",1,COUNTIFS('Calculations'!$HO$13:$HO$512,"="&amp;SUBSTITUTE(SUBSTITUTE(SUBSTITUTE('Calculations'!HF466,"~","~~"),"*","~*"),"?","~?"),'Calculations'!$HN$13:$HN$512,"="&amp;SUBSTITUTE(SUBSTITUTE(SUBSTITUTE('Dashboard'!$B$7,"~","~~"),"*","~*"),"?","~?"))+COUNTIFS('Calculations'!$HP$13:$HP$512,"="&amp;SUBSTITUTE(SUBSTITUTE(SUBSTITUTE('Calculations'!HF466,"~","~~"),"*","~*"),"?","~?"),'Calculations'!$HN$13:$HN$512,"="&amp;SUBSTITUTE(SUBSTITUTE(SUBSTITUTE('Dashboard'!$B$7,"~","~~"),"*","~*"),"?","~?"))+COUNTIFS('Calculations'!$HQ$13:$HQ$512,"="&amp;SUBSTITUTE(SUBSTITUTE(SUBSTITUTE('Calculations'!HF466,"~","~~"),"*","~*"),"?","~?"),'Calculations'!$HN$13:$HN$512,"="&amp;SUBSTITUTE(SUBSTITUTE(SUBSTITUTE('Dashboard'!$B$7,"~","~~"),"*","~*"),"?","~?"))+COUNTIFS('Calculations'!$HR$13:$HR$512,"="&amp;SUBSTITUTE(SUBSTITUTE(SUBSTITUTE('Calculations'!HF466,"~","~~"),"*","~*"),"?","~?"),'Calculations'!$HN$13:$HN$512,"="&amp;SUBSTITUTE(SUBSTITUTE(SUBSTITUTE('Dashboard'!$B$7,"~","~~"),"*","~*"),"?","~?"))+COUNTIFS('Calculations'!$HS$13:$HS$512,"="&amp;SUBSTITUTE(SUBSTITUTE(SUBSTITUTE('Calculations'!HF466,"~","~~"),"*","~*"),"?","~?"),'Calculations'!$HN$13:$HN$512,"="&amp;SUBSTITUTE(SUBSTITUTE(SUBSTITUTE('Dashboard'!$B$7,"~","~~"),"*","~*"),"?","~?"))+COUNTIFS('Calculations'!$HT$13:$HT$512,"="&amp;SUBSTITUTE(SUBSTITUTE(SUBSTITUTE('Calculations'!HF466,"~","~~"),"*","~*"),"?","~?"),'Calculations'!$HN$13:$HN$512,"="&amp;SUBSTITUTE(SUBSTITUTE(SUBSTITUTE('Dashboard'!$B$7,"~","~~"),"*","~*"),"?","~?"))+COUNTIFS('Calculations'!$HU$13:$HU$512,"="&amp;SUBSTITUTE(SUBSTITUTE(SUBSTITUTE('Calculations'!HF466,"~","~~"),"*","~*"),"?","~?"),'Calculations'!$HN$13:$HN$512,"="&amp;SUBSTITUTE(SUBSTITUTE(SUBSTITUTE('Dashboard'!$B$7,"~","~~"),"*","~*"),"?","~?"))+COUNTIFS('Calculations'!$HV$13:$HV$512,"="&amp;SUBSTITUTE(SUBSTITUTE(SUBSTITUTE('Calculations'!HF466,"~","~~"),"*","~*"),"?","~?"),'Calculations'!$HN$13:$HN$512,"="&amp;SUBSTITUTE(SUBSTITUTE(SUBSTITUTE('Dashboard'!$B$7,"~","~~"),"*","~*"),"?","~?"))+COUNTIFS('Calculations'!$HW$13:$HW$512,"="&amp;SUBSTITUTE(SUBSTITUTE(SUBSTITUTE('Calculations'!HF466,"~","~~"),"*","~*"),"?","~?"),'Calculations'!$HN$13:$HN$512,"="&amp;SUBSTITUTE(SUBSTITUTE(SUBSTITUTE('Dashboard'!$B$7,"~","~~"),"*","~*"),"?","~?"))+COUNTIFS('Calculations'!$HX$13:$HX$512,"="&amp;SUBSTITUTE(SUBSTITUTE(SUBSTITUTE('Calculations'!HF466,"~","~~"),"*","~*"),"?","~?"),'Calculations'!$HN$13:$HN$512,"="&amp;SUBSTITUTE(SUBSTITUTE(SUBSTITUTE('Dashboard'!$B$7,"~","~~"),"*","~*"),"?","~?"))+COUNTIFS('Calculations'!$HY$13:$HY$512,"="&amp;SUBSTITUTE(SUBSTITUTE(SUBSTITUTE('Calculations'!HF466,"~","~~"),"*","~*"),"?","~?"),'Calculations'!$HN$13:$HN$512,"="&amp;SUBSTITUTE(SUBSTITUTE(SUBSTITUTE('Dashboard'!$B$7,"~","~~"),"*","~*"),"?","~?"))+COUNTIFS('Calculations'!$HZ$13:$HZ$512,"="&amp;SUBSTITUTE(SUBSTITUTE(SUBSTITUTE('Calculations'!HF466,"~","~~"),"*","~*"),"?","~?"),'Calculations'!$HN$13:$HN$512,"="&amp;SUBSTITUTE(SUBSTITUTE(SUBSTITUTE('Dashboard'!$B$7,"~","~~"),"*","~*"),"?","~?"))+COUNTIFS('Calculations'!$IA$13:$IA$512,"="&amp;SUBSTITUTE(SUBSTITUTE(SUBSTITUTE('Calculations'!HF466,"~","~~"),"*","~*"),"?","~?"),'Calculations'!$HN$13:$HN$512,"="&amp;SUBSTITUTE(SUBSTITUTE(SUBSTITUTE('Dashboard'!$B$7,"~","~~"),"*","~*"),"?","~?"))+COUNTIFS('Calculations'!$IB$13:$IB$512,"="&amp;SUBSTITUTE(SUBSTITUTE(SUBSTITUTE('Calculations'!HF466,"~","~~"),"*","~*"),"?","~?"),'Calculations'!$HN$13:$HN$512,"="&amp;SUBSTITUTE(SUBSTITUTE(SUBSTITUTE('Dashboard'!$B$7,"~","~~"),"*","~*"),"?","~?"))+COUNTIFS('Calculations'!$IC$13:$IC$512,"="&amp;SUBSTITUTE(SUBSTITUTE(SUBSTITUTE('Calculations'!HF466,"~","~~"),"*","~*"),"?","~?"),'Calculations'!$HN$13:$HN$512,"="&amp;SUBSTITUTE(SUBSTITUTE(SUBSTITUTE('Dashboard'!$B$7,"~","~~"),"*","~*"),"?","~?"))+COUNTIFS('Calculations'!$ID$13:$ID$512,"="&amp;SUBSTITUTE(SUBSTITUTE(SUBSTITUTE('Calculations'!HF466,"~","~~"),"*","~*"),"?","~?"),'Calculations'!$HN$13:$HN$512,"="&amp;SUBSTITUTE(SUBSTITUTE(SUBSTITUTE('Dashboard'!$B$7,"~","~~"),"*","~*"),"?","~?"))+COUNTIFS('Calculations'!$IE$13:$IE$512,"="&amp;SUBSTITUTE(SUBSTITUTE(SUBSTITUTE('Calculations'!HF466,"~","~~"),"*","~*"),"?","~?"),'Calculations'!$HN$13:$HN$512,"="&amp;SUBSTITUTE(SUBSTITUTE(SUBSTITUTE('Dashboard'!$B$7,"~","~~"),"*","~*"),"?","~?"))+COUNTIFS('Calculations'!$IF$13:$IF$512,"="&amp;SUBSTITUTE(SUBSTITUTE(SUBSTITUTE('Calculations'!HF466,"~","~~"),"*","~*"),"?","~?"),'Calculations'!$HN$13:$HN$512,"="&amp;SUBSTITUTE(SUBSTITUTE(SUBSTITUTE('Dashboard'!$B$7,"~","~~"),"*","~*"),"?","~?"))+COUNTIFS('Calculations'!$IG$13:$IG$512,"="&amp;SUBSTITUTE(SUBSTITUTE(SUBSTITUTE('Calculations'!HF466,"~","~~"),"*","~*"),"?","~?"),'Calculations'!$HN$13:$HN$512,"="&amp;SUBSTITUTE(SUBSTITUTE(SUBSTITUTE('Dashboard'!$B$7,"~","~~"),"*","~*"),"?","~?"))+COUNTIFS('Calculations'!$IH$13:$IH$512,"="&amp;SUBSTITUTE(SUBSTITUTE(SUBSTITUTE('Calculations'!HF466,"~","~~"),"*","~*"),"?","~?"),'Calculations'!$HN$13:$HN$512,"="&amp;SUBSTITUTE(SUBSTITUTE(SUBSTITUTE('Dashboard'!$B$7,"~","~~"),"*","~*"),"?","~?"))))</x:f>
        <x:v>0</x:v>
      </x:c>
      <x:c r="JD466" t="n">
        <x:f>IF('Calculations'!EM466="",0,IF('Dashboard'!$B$7="All",1,IF('Calculations'!HN466='Dashboard'!$B$7,1,0)+IFERROR(INDEX('Calculations'!$JC$13:$JC$512,MATCH('Calculations'!HE466,'Calculations'!$HF$13:$HF$512,0)),0)))</x:f>
        <x:v>0</x:v>
      </x:c>
      <x:c r="JE466" t="n">
        <x:f>IF(AND('Calculations'!EM466&lt;&gt;"",'Calculations'!$JJ$2&lt;&gt;"All",'Calculations'!$JJ$2&lt;&gt;"",'Calculations'!HF466='Calculations'!$JJ$2,'Calculations'!HL466=0,'Calculations'!JD466&gt;0),MAX('Calculations'!$JE$12:JE465)+1,0)</x:f>
        <x:v>0</x:v>
      </x:c>
      <x:c r="JF466" t="str">
        <x:f>IF('Calculations'!EM466="","",IFERROR(IF(INDEX(INDIRECT("'WCM Calibration Final'!$G$1:$G$2000"),'Calculations'!$EM466)="","",TRIM(INDEX(INDIRECT("'WCM Calibration Final'!$G$1:$G$2000"),'Calculations'!$EM466)&amp;"")),""))</x:f>
      </x:c>
      <x:c r="JQ466" t="n">
        <x:f>IF(OR('Calculations'!BM466=0,NOT('Calculations'!$AG$2),'Calculations'!$AG$8&gt;0),0,IF(OR('Dashboard'!$B$7="All",'Calculations'!HN466='Dashboard'!$B$7),IF('Calculations'!$JJ$2="All",1,IF(AND('Calculations'!HF466='Calculations'!$JJ$2,'Calculations'!HL466=0),1,0)),0))</x:f>
        <x:v>0</x:v>
      </x:c>
    </x:row>
    <x:row r="467">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t="n">
        <x:f>IF('Calculations'!$EM467="",0,IF(OR(IFERROR(INDEX(INDIRECT("'WCM Calibration Final'!$A$1:$A$2000"),'Calculations'!$EM467)&lt;&gt;"",FALSE),IFERROR(INDEX(INDIRECT("'WCM Calibration Final'!$B$1:$B$2000"),'Calculations'!$EM467)&lt;&gt;"",FALSE),IFERROR(INDEX(INDIRECT("'WCM Calibration Final'!$C$1:$C$2000"),'Calculations'!$EM467)&lt;&gt;"",FALSE)),1,0))</x:f>
        <x:v>0</x:v>
      </x:c>
      <x:c r="BN467" s="4" t="n">
        <x:f>IF(AND('Calculations'!BM467=1,'Calculations'!$AG$2,'Calculations'!$EN467=1),1,0)</x:f>
        <x:v>0</x:v>
      </x:c>
      <x:c r="BO467" s="4" t="str">
        <x:f>IF('Calculations'!BM467=0,"",IFERROR(IF(AND(VALUE(INDEX(INDIRECT("'WCM Calibration Final'!$K$1:$K$2000"),'Calculations'!$EM467))&gt;=1,VALUE(INDEX(INDIRECT("'WCM Calibration Final'!$K$1:$K$2000"),'Calculations'!$EM467))&lt;=4,MOD(VALUE(INDEX(INDIRECT("'WCM Calibration Final'!$K$1:$K$2000"),'Calculations'!$EM467)),1)=0),VALUE(INDEX(INDIRECT("'WCM Calibration Final'!$K$1:$K$2000"),'Calculations'!$EM467)),""),""))</x:f>
      </x:c>
      <x:c r="BP467" s="4" t="str">
        <x:f>IF('Calculations'!BM467=0,"",IFERROR(IF(AND(VALUE(INDEX(INDIRECT("'WCM Calibration Final'!$L$1:$L$2000"),'Calculations'!$EM467))&gt;=1,VALUE(INDEX(INDIRECT("'WCM Calibration Final'!$L$1:$L$2000"),'Calculations'!$EM467))&lt;=4,MOD(VALUE(INDEX(INDIRECT("'WCM Calibration Final'!$L$1:$L$2000"),'Calculations'!$EM467)),1)=0),VALUE(INDEX(INDIRECT("'WCM Calibration Final'!$L$1:$L$2000"),'Calculations'!$EM467)),""),""))</x:f>
      </x:c>
      <x:c r="BQ467" s="4"/>
      <x:c r="BR467" s="4"/>
      <x:c r="BS467" s="4"/>
      <x:c r="BT467" s="4" t="n">
        <x:f>IF(AND('Calculations'!BM467=1,ISNUMBER('Calculations'!BO467),ISNUMBER('Calculations'!BP467)),1,0)</x:f>
        <x:v>0</x:v>
      </x:c>
      <x:c r="BU467" s="4" t="str">
        <x:f>IF('Calculations'!BM467=0,"",'Calculations'!$EO467)</x:f>
      </x:c>
      <x:c r="BV467" s="4" t="str">
        <x:f>IF('Calculations'!BM467=0,"",IFERROR(IF(OR(INDEX(INDIRECT("'WCM Calibration Final'!$H$1:$H$2000"),'Calculations'!$EM467)="MANAGING DIRECTOR",INDEX(INDIRECT("'WCM Calibration Final'!$H$1:$H$2000"),'Calculations'!$EM467)="DIRECTOR",INDEX(INDIRECT("'WCM Calibration Final'!$H$1:$H$2000"),'Calculations'!$EM467)="SENIOR VICE PRESIDENT",INDEX(INDIRECT("'WCM Calibration Final'!$H$1:$H$2000"),'Calculations'!$EM467)="VICE PRESIDENT",INDEX(INDIRECT("'WCM Calibration Final'!$H$1:$H$2000"),'Calculations'!$EM467)="ASSISTANT VICE PRESIDENT",INDEX(INDIRECT("'WCM Calibration Final'!$H$1:$H$2000"),'Calculations'!$EM467)="OFFICER"),UPPER(INDEX(INDIRECT("'WCM Calibration Final'!$H$1:$H$2000"),'Calculations'!$EM467)),"Other"),"Other"))</x:f>
      </x:c>
      <x:c r="BW467" s="4"/>
      <x:c r="BX467" s="4"/>
      <x:c r="BY467" s="4" t="n">
        <x:f>IF(AND('Calculations'!BM467=1,'Calculations'!BU467&lt;&gt;"",COUNTIF('Calculations'!$BU$12:BU467,'Calculations'!BU467)=1),MAX('Calculations'!$BY$11:BY466)+1,0)</x:f>
        <x:v>0</x:v>
      </x:c>
      <x:c r="BZ467" s="4" t="str">
        <x:f>IF('Dashboard'!$E$67="What",'Calculations'!BO467,'Calculations'!BP467)</x:f>
      </x:c>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t="str">
        <x:f>IF(456&gt;MAX('Calculations'!$HI$13:$HI$512),"",INDEX('Calculations'!$HN$13:$HN$512,MATCH(456,'Calculations'!$HI$13:$HI$512,0)))</x:f>
      </x:c>
      <x:c r="DB467" s="4" t="str">
        <x:f>IF(456&gt;MAX('Calculations'!$HH$13:$HH$512),"",INDEX('Calculations'!$HJ$13:$HJ$512,MATCH(456,'Calculations'!$HH$13:$HH$512,0)))</x:f>
      </x:c>
      <x:c r="DC467" s="4" t="str">
        <x:f>IF(ROW()-11&gt;MAX('Calculations'!$BY$13:$BY$512),"",INDEX('Calculations'!$BU$13:$BU$512,MATCH(ROW()-11,'Calculations'!$BY$13:$BY$512,0)))</x:f>
      </x:c>
      <x:c r="DD467" s="4" t="str">
        <x:f>IF(456&gt;MAX('Calculations'!$IK$13:$IK$512),"",INDEX('Calculations'!$HK$13:$HK$512,MATCH(456,'Calculations'!$IK$13:$IK$512,0)))</x:f>
      </x:c>
      <x:c r="DE467" s="4" t="str">
        <x:f>'Calculations'!DC467</x:f>
      </x:c>
      <x:c r="DF467" s="4" t="str">
        <x:f>IF('Calculations'!DE467="","",COUNTIFS('Calculations'!$BN$13:$BN$512,1,'Calculations'!$BU$13:$BU$512,'Calculations'!DE467))</x:f>
      </x:c>
      <x:c r="DG467" s="4" t="str">
        <x:f>IF('Calculations'!DE467="","",COUNTIFS('Calculations'!$BN$13:$BN$512,1,'Calculations'!$BU$13:$BU$512,'Calculations'!DE467,'Calculations'!$BT$13:$BT$512,1))</x:f>
      </x:c>
      <x:c r="DH467" s="4" t="str">
        <x:f>IF('Calculations'!DE467="","",'Calculations'!DF467-'Calculations'!DG467)</x:f>
      </x:c>
      <x:c r="DI467" s="4" t="str">
        <x:f>IF(OR('Calculations'!DE467="",'Calculations'!DF467=0),"",'Calculations'!DG467/'Calculations'!DF467)</x:f>
      </x:c>
      <x:c r="DJ467" s="4" t="str">
        <x:f>IF('Calculations'!DE467="","",COUNTIFS('Calculations'!$BN$13:$BN$512,1,'Calculations'!$BU$13:$BU$512,'Calculations'!DE467,'Calculations'!$BT$13:$BT$512,1,'Calculations'!$EE$13:$EE$512,"High"))</x:f>
      </x:c>
      <x:c r="DK467" s="4" t="str">
        <x:f>IF('Calculations'!DE467="","",COUNTIFS('Calculations'!$BN$13:$BN$512,1,'Calculations'!$BU$13:$BU$512,'Calculations'!DE467,'Calculations'!$BT$13:$BT$512,1,'Calculations'!$EE$13:$EE$512,"Strong"))</x:f>
      </x:c>
      <x:c r="DL467" s="4" t="str">
        <x:f>IF('Calculations'!DE467="","",COUNTIFS('Calculations'!$BN$13:$BN$512,1,'Calculations'!$BU$13:$BU$512,'Calculations'!DE467,'Calculations'!$BT$13:$BT$512,1,'Calculations'!$EE$13:$EE$512,"Solid"))</x:f>
      </x:c>
      <x:c r="DM467" s="4" t="str">
        <x:f>IF('Calculations'!DE467="","",COUNTIFS('Calculations'!$BN$13:$BN$512,1,'Calculations'!$BU$13:$BU$512,'Calculations'!DE467,'Calculations'!$BT$13:$BT$512,1,'Calculations'!$EE$13:$EE$512,"Low"))</x:f>
      </x:c>
      <x:c r="DN467" s="4" t="str">
        <x:f>IF('Calculations'!DE467="","",COUNTIFS('Calculations'!$BN$13:$BN$512,1,'Calculations'!$BU$13:$BU$512,'Calculations'!DE467,'Calculations'!$EP$13:$EP$512,1))</x:f>
      </x:c>
      <x:c r="DO467" s="4" t="str">
        <x:f>IF(OR('Calculations'!DE467="",'Calculations'!DG467=0),"",('Calculations'!DJ467+'Calculations'!DK467)/'Calculations'!DG467)</x:f>
      </x:c>
      <x:c r="DP467" s="4" t="n">
        <x:f>IF(AND('Calculations'!DE467&lt;&gt;"",'Calculations'!DF467&gt;0),COUNTIF('Calculations'!$DF$12:DF467,"&gt;0"),0)</x:f>
        <x:v>0</x:v>
      </x:c>
      <x:c r="DQ467" s="4" t="str">
        <x:f>IF(456&gt;MAX('Calculations'!$HH$13:$HH$512),"",INDEX('Calculations'!$HF$13:$HF$512,MATCH(456,'Calculations'!$HH$13:$HH$512,0)))</x:f>
      </x:c>
      <x:c r="DR467" s="4" t="str">
        <x:f>IF(456&gt;MAX('Calculations'!$IK$13:$IK$512),"",INDEX('Calculations'!$HE$13:$HE$512,MATCH(456,'Calculations'!$IK$13:$IK$512,0)))</x:f>
      </x:c>
      <x:c r="DS467" s="4"/>
      <x:c r="DT467" s="4"/>
      <x:c r="DU467" s="4"/>
      <x:c r="DV467" s="4"/>
      <x:c r="DW467" s="4"/>
      <x:c r="DX467" s="4"/>
      <x:c r="DY467" s="4"/>
      <x:c r="DZ467" s="4"/>
      <x:c r="EA467" s="4"/>
      <x:c r="EB467" s="4"/>
      <x:c r="EC467" s="4"/>
      <x:c r="ED467" s="4"/>
      <x:c r="EE467" s="4" t="str">
        <x:f>IF('Calculations'!BT467=0,"Not Rated",IF(OR('Calculations'!BO467&gt;=4,'Calculations'!BP467&gt;=4),"Low",IF('Calculations'!BO467+'Calculations'!BP467&lt;=3,"High",IF('Calculations'!BO467+'Calculations'!BP467&lt;=4,"Strong","Solid"))))</x:f>
        <x:v>Not Rated</x:v>
      </x:c>
      <x:c r="EF467" s="4"/>
      <x:c r="EG467" s="4"/>
      <x:c r="EH467" s="4"/>
      <x:c r="EI467" s="4"/>
      <x:c r="EJ467" s="4"/>
      <x:c r="EK467" s="4"/>
      <x:c r="EL467" s="4"/>
      <x:c r="EM467" s="4" t="str">
        <x:f>IF(455&gt;'Calculations'!$JB$2000,"",INDEX('Calculations'!$JA$12:$JA$2000,MATCH(455,'Calculations'!$JB$12:$JB$2000,0)))</x:f>
      </x:c>
      <x:c r="EN467" s="4" t="n">
        <x:f>IF(OR('Calculations'!EM467="",'Calculations'!$AG$8&gt;0,AND('Calculations'!$EF$2&lt;&gt;"All",'Calculations'!HE467='Calculations'!$EF$2),AND('Calculations'!$EF$3&lt;&gt;"All",'Calculations'!HE467='Calculations'!$EF$3)),0,IF(OR('Dashboard'!$B$7="All",'Calculations'!HN467='Dashboard'!$B$7),IF('Calculations'!$EF$2="All",1,IF('Calculations'!HL467&gt;0,0,IF(COUNTIF('Calculations'!HO467:II467,"="&amp;SUBSTITUTE(SUBSTITUTE(SUBSTITUTE('Calculations'!$EF$2,"~","~~"),"*","~*"),"?","~?"))=0,0,IF('Calculations'!$EF$3="All",1,IF(COUNTIF('Calculations'!HO467:II467,"="&amp;SUBSTITUTE(SUBSTITUTE(SUBSTITUTE('Calculations'!$EF$3,"~","~~"),"*","~*"),"?","~?"))&gt;0,1,0))))),0))</x:f>
        <x:v>0</x:v>
      </x:c>
      <x:c r="EO467" s="4" t="str">
        <x:f>IF('Calculations'!IJ467="","",IF('Calculations'!IJ467="!UNRESOLVED","Unresolved hierarchy",IFERROR(INDEX('Calculations'!$HK$13:$HK$512,MATCH('Calculations'!IJ467,'Calculations'!$HE$13:$HE$512,0)),IFERROR(INDEX('Calculations'!$HJ$13:$HJ$512,MATCH('Calculations'!IJ467,'Calculations'!$HF$13:$HF$512,0)),'Calculations'!IJ467))))</x:f>
      </x:c>
      <x:c r="EP467" s="4" t="n">
        <x:f>IF(AND('Calculations'!EM467&lt;&gt;"",'Calculations'!HF467='Calculations'!IJ467),1,0)</x:f>
        <x:v>0</x:v>
      </x:c>
      <x:c r="EQ467" s="4"/>
      <x:c r="ER467" s="4"/>
      <x:c r="ES467" s="4"/>
      <x:c r="ET467" s="4"/>
      <x:c r="EU467" s="4"/>
      <x:c r="EV467" s="4"/>
      <x:c r="EW467" s="4"/>
      <x:c r="EX467" s="4"/>
      <x:c r="EY467" s="4"/>
      <x:c r="EZ467" s="4"/>
      <x:c r="FA467" s="4"/>
      <x:c r="FB467" s="4"/>
      <x:c r="FC467" s="4"/>
      <x:c r="FD467" s="4"/>
      <x:c r="FE467" s="4"/>
      <x:c r="FF467" s="4"/>
      <x:c r="FG467" s="4"/>
      <x:c r="FH467" s="4"/>
      <x:c r="FI467" s="4"/>
      <x:c r="FJ467" s="4"/>
      <x:c r="FK467" s="4"/>
      <x:c r="FL467" s="4"/>
      <x:c r="FM467" s="4"/>
      <x:c r="FN467" s="4"/>
      <x:c r="FO467" s="4"/>
      <x:c r="HE467" t="str">
        <x:f>IF('Calculations'!EM467="","",IF(IFERROR(IF(INDEX(INDIRECT("'WCM Calibration Final'!$A$1:$A$2000"),'Calculations'!$EM467)="","",TRIM(INDEX(INDIRECT("'WCM Calibration Final'!$A$1:$A$2000"),'Calculations'!$EM467)&amp;"")),"")&lt;&gt;"","G:"&amp;IFERROR(TEXT(1*INDEX(INDIRECT("'WCM Calibration Final'!$A$1:$A$2000"),'Calculations'!$EM467),"0"),UPPER(IFERROR(IF(INDEX(INDIRECT("'WCM Calibration Final'!$A$1:$A$2000"),'Calculations'!$EM467)="","",TRIM(INDEX(INDIRECT("'WCM Calibration Final'!$A$1:$A$2000"),'Calculations'!$EM467)&amp;"")),""))),IF(IFERROR(IF(INDEX(INDIRECT("'WCM Calibration Final'!$C$1:$C$2000"),'Calculations'!$EM467)="","",TRIM(INDEX(INDIRECT("'WCM Calibration Final'!$C$1:$C$2000"),'Calculations'!$EM467)&amp;"")),"")&lt;&gt;"","S:"&amp;UPPER(IFERROR(IF(INDEX(INDIRECT("'WCM Calibration Final'!$C$1:$C$2000"),'Calculations'!$EM467)="","",TRIM(INDEX(INDIRECT("'WCM Calibration Final'!$C$1:$C$2000"),'Calculations'!$EM467)&amp;"")),"")),"R:"&amp;'Calculations'!EM467)))</x:f>
      </x:c>
      <x:c r="HF467" t="str">
        <x:f>IF('Calculations'!EM467="","",IF(IFERROR(IF(INDEX(INDIRECT("'WCM Calibration Final'!$D$1:$D$2000"),'Calculations'!$EM467)="","",TRIM(INDEX(INDIRECT("'WCM Calibration Final'!$D$1:$D$2000"),'Calculations'!$EM467)&amp;"")),"")&lt;&gt;"","G:"&amp;IFERROR(TEXT(1*INDEX(INDIRECT("'WCM Calibration Final'!$D$1:$D$2000"),'Calculations'!$EM467),"0"),UPPER(IFERROR(IF(INDEX(INDIRECT("'WCM Calibration Final'!$D$1:$D$2000"),'Calculations'!$EM467)="","",TRIM(INDEX(INDIRECT("'WCM Calibration Final'!$D$1:$D$2000"),'Calculations'!$EM467)&amp;"")),""))),IF(IFERROR(IF(INDEX(INDIRECT("'WCM Calibration Final'!$E$1:$E$2000"),'Calculations'!$EM467)="","",TRIM(INDEX(INDIRECT("'WCM Calibration Final'!$E$1:$E$2000"),'Calculations'!$EM467)&amp;"")),"")="","",IF(COUNTIF('Calculations'!$HG$13:$HG$512,"="&amp;SUBSTITUTE(SUBSTITUTE(SUBSTITUTE(IFERROR(IF(INDEX(INDIRECT("'WCM Calibration Final'!$E$1:$E$2000"),'Calculations'!$EM467)="","",TRIM(INDEX(INDIRECT("'WCM Calibration Final'!$E$1:$E$2000"),'Calculations'!$EM467)&amp;"")),""),"~","~~"),"*","~*"),"?","~?"))=1,INDEX('Calculations'!$HE$13:$HE$512,MATCH(IFERROR(IF(INDEX(INDIRECT("'WCM Calibration Final'!$E$1:$E$2000"),'Calculations'!$EM467)="","",TRIM(INDEX(INDIRECT("'WCM Calibration Final'!$E$1:$E$2000"),'Calculations'!$EM467)&amp;"")),""),'Calculations'!$HG$13:$HG$512,0)),IF(COUNTIF('Calculations'!$HG$13:$HG$512,"="&amp;SUBSTITUTE(SUBSTITUTE(SUBSTITUTE(IFERROR(IF(INDEX(INDIRECT("'WCM Calibration Final'!$E$1:$E$2000"),'Calculations'!$EM467)="","",TRIM(INDEX(INDIRECT("'WCM Calibration Final'!$E$1:$E$2000"),'Calculations'!$EM467)&amp;"")),""),"~","~~"),"*","~*"),"?","~?"))&gt;1,"!AMBIG","X:"&amp;IFERROR(IF(INDEX(INDIRECT("'WCM Calibration Final'!$E$1:$E$2000"),'Calculations'!$EM467)="","",TRIM(INDEX(INDIRECT("'WCM Calibration Final'!$E$1:$E$2000"),'Calculations'!$EM467)&amp;"")),""))))))</x:f>
      </x:c>
      <x:c r="HG467" t="str">
        <x:f>IF('Calculations'!EM467="","",IFERROR(IF(INDEX(INDIRECT("'WCM Calibration Final'!$B$1:$B$2000"),'Calculations'!$EM467)="","",TRIM(INDEX(INDIRECT("'WCM Calibration Final'!$B$1:$B$2000"),'Calculations'!$EM467)&amp;"")),""))</x:f>
      </x:c>
      <x:c r="HH467" t="n">
        <x:f>IF(AND('Calculations'!JC467&gt;0,COUNTIF('Calculations'!$HF$12:HF467,"="&amp;SUBSTITUTE(SUBSTITUTE(SUBSTITUTE('Calculations'!HF467,"~","~~"),"*","~*"),"?","~?"))=1),MAX('Calculations'!$HH$12:HH466)+1,0)</x:f>
        <x:v>0</x:v>
      </x:c>
      <x:c r="HI467" t="n">
        <x:f>IF(AND('Calculations'!HN467&lt;&gt;"",COUNTIF('Calculations'!$HN$12:HN467,"="&amp;SUBSTITUTE(SUBSTITUTE(SUBSTITUTE('Calculations'!HN467,"~","~~"),"*","~*"),"?","~?"))=1),MAX('Calculations'!$HI$12:HI466)+1,0)</x:f>
        <x:v>0</x:v>
      </x:c>
      <x:c r="HJ467" t="str">
        <x:f>IF('Calculations'!HF467="","",IF(COUNTIF('Calculations'!$HE$13:$HE$512,"="&amp;SUBSTITUTE(SUBSTITUTE(SUBSTITUTE('Calculations'!HF467,"~","~~"),"*","~*"),"?","~?"))=1,INDEX('Calculations'!$HK$13:$HK$512,MATCH('Calculations'!HF467,'Calculations'!$HE$13:$HE$512,0)),IFERROR(IF(INDEX(INDIRECT("'WCM Calibration Final'!$E$1:$E$2000"),'Calculations'!$EM467)="","",TRIM(INDEX(INDIRECT("'WCM Calibration Final'!$E$1:$E$2000"),'Calculations'!$EM467)&amp;"")),"")&amp;" ["&amp;'Calculations'!HF467&amp;"]"))</x:f>
      </x:c>
      <x:c r="HK467" t="str">
        <x:f>IF('Calculations'!EM467="","",'Calculations'!HG467&amp;" ["&amp;'Calculations'!HE467&amp;"]")</x:f>
      </x:c>
      <x:c r="HL467" t="n">
        <x:f>IF('Calculations'!EM467="",0,IF(OR('Calculations'!II467&lt;&gt;"",COUNTIF('Calculations'!$HE$13:$HE$512,"="&amp;SUBSTITUTE(SUBSTITUTE(SUBSTITUTE('Calculations'!HE467,"~","~~"),"*","~*"),"?","~?"))&gt;1),1,0))</x:f>
        <x:v>0</x:v>
      </x:c>
      <x:c r="HM467" t="str">
        <x:f>IF('Calculations'!EM467="","",IF('Calculations'!HL467=1,"!UNRESOLVED",IF('Calculations'!IH467&lt;&gt;"",'Calculations'!IH467,IF('Calculations'!IG467&lt;&gt;"",'Calculations'!IG467,IF('Calculations'!IF467&lt;&gt;"",'Calculations'!IF467,IF('Calculations'!IE467&lt;&gt;"",'Calculations'!IE467,IF('Calculations'!ID467&lt;&gt;"",'Calculations'!ID467,IF('Calculations'!IC467&lt;&gt;"",'Calculations'!IC467,IF('Calculations'!IB467&lt;&gt;"",'Calculations'!IB467,IF('Calculations'!IA467&lt;&gt;"",'Calculations'!IA467,IF('Calculations'!HZ467&lt;&gt;"",'Calculations'!HZ467,IF('Calculations'!HY467&lt;&gt;"",'Calculations'!HY467,IF('Calculations'!HX467&lt;&gt;"",'Calculations'!HX467,IF('Calculations'!HW467&lt;&gt;"",'Calculations'!HW467,IF('Calculations'!HV467&lt;&gt;"",'Calculations'!HV467,IF('Calculations'!HU467&lt;&gt;"",'Calculations'!HU467,IF('Calculations'!HT467&lt;&gt;"",'Calculations'!HT467,IF('Calculations'!HS467&lt;&gt;"",'Calculations'!HS467,IF('Calculations'!HR467&lt;&gt;"",'Calculations'!HR467,IF('Calculations'!HQ467&lt;&gt;"",'Calculations'!HQ467,IF('Calculations'!HP467&lt;&gt;"",'Calculations'!HP467,IF('Calculations'!HO467&lt;&gt;"",'Calculations'!HO467,'Calculations'!HE467))))))))))))))))))))))</x:f>
      </x:c>
      <x:c r="HN467" t="str">
        <x:f>IF('Calculations'!EM467="","",IF(IFERROR(IF(INDEX(INDIRECT("'WCM Calibration Final'!$F$1:$F$2000"),'Calculations'!$EM467)="","",TRIM(INDEX(INDIRECT("'WCM Calibration Final'!$F$1:$F$2000"),'Calculations'!$EM467)&amp;"")),"")="","(Blank)",IFERROR(IF(INDEX(INDIRECT("'WCM Calibration Final'!$F$1:$F$2000"),'Calculations'!$EM467)="","",TRIM(INDEX(INDIRECT("'WCM Calibration Final'!$F$1:$F$2000"),'Calculations'!$EM467)&amp;"")),"")))</x:f>
      </x:c>
      <x:c r="HO467" t="str">
        <x:f>'Calculations'!HF467</x:f>
      </x:c>
      <x:c r="HP467" t="str">
        <x:f>IF('Calculations'!HO467="","",IF('Calculations'!HO467="!AMBIG","!AMBIG",IF(COUNTIF('Calculations'!$HE$13:$HE$512,"="&amp;SUBSTITUTE(SUBSTITUTE(SUBSTITUTE('Calculations'!HO467,"~","~~"),"*","~*"),"?","~?"))&gt;1,"!AMBIG",IFERROR(INDEX('Calculations'!$HF$13:$HF$512,MATCH('Calculations'!HO467,'Calculations'!$HE$13:$HE$512,0)),""))))</x:f>
      </x:c>
      <x:c r="HQ467" t="str">
        <x:f>IF('Calculations'!HP467="","",IF('Calculations'!HP467="!AMBIG","!AMBIG",IF(COUNTIF('Calculations'!$HE$13:$HE$512,"="&amp;SUBSTITUTE(SUBSTITUTE(SUBSTITUTE('Calculations'!HP467,"~","~~"),"*","~*"),"?","~?"))&gt;1,"!AMBIG",IFERROR(INDEX('Calculations'!$HF$13:$HF$512,MATCH('Calculations'!HP467,'Calculations'!$HE$13:$HE$512,0)),""))))</x:f>
      </x:c>
      <x:c r="HR467" t="str">
        <x:f>IF('Calculations'!HQ467="","",IF('Calculations'!HQ467="!AMBIG","!AMBIG",IF(COUNTIF('Calculations'!$HE$13:$HE$512,"="&amp;SUBSTITUTE(SUBSTITUTE(SUBSTITUTE('Calculations'!HQ467,"~","~~"),"*","~*"),"?","~?"))&gt;1,"!AMBIG",IFERROR(INDEX('Calculations'!$HF$13:$HF$512,MATCH('Calculations'!HQ467,'Calculations'!$HE$13:$HE$512,0)),""))))</x:f>
      </x:c>
      <x:c r="HS467" t="str">
        <x:f>IF('Calculations'!HR467="","",IF('Calculations'!HR467="!AMBIG","!AMBIG",IF(COUNTIF('Calculations'!$HE$13:$HE$512,"="&amp;SUBSTITUTE(SUBSTITUTE(SUBSTITUTE('Calculations'!HR467,"~","~~"),"*","~*"),"?","~?"))&gt;1,"!AMBIG",IFERROR(INDEX('Calculations'!$HF$13:$HF$512,MATCH('Calculations'!HR467,'Calculations'!$HE$13:$HE$512,0)),""))))</x:f>
      </x:c>
      <x:c r="HT467" t="str">
        <x:f>IF('Calculations'!HS467="","",IF('Calculations'!HS467="!AMBIG","!AMBIG",IF(COUNTIF('Calculations'!$HE$13:$HE$512,"="&amp;SUBSTITUTE(SUBSTITUTE(SUBSTITUTE('Calculations'!HS467,"~","~~"),"*","~*"),"?","~?"))&gt;1,"!AMBIG",IFERROR(INDEX('Calculations'!$HF$13:$HF$512,MATCH('Calculations'!HS467,'Calculations'!$HE$13:$HE$512,0)),""))))</x:f>
      </x:c>
      <x:c r="HU467" t="str">
        <x:f>IF('Calculations'!HT467="","",IF('Calculations'!HT467="!AMBIG","!AMBIG",IF(COUNTIF('Calculations'!$HE$13:$HE$512,"="&amp;SUBSTITUTE(SUBSTITUTE(SUBSTITUTE('Calculations'!HT467,"~","~~"),"*","~*"),"?","~?"))&gt;1,"!AMBIG",IFERROR(INDEX('Calculations'!$HF$13:$HF$512,MATCH('Calculations'!HT467,'Calculations'!$HE$13:$HE$512,0)),""))))</x:f>
      </x:c>
      <x:c r="HV467" t="str">
        <x:f>IF('Calculations'!HU467="","",IF('Calculations'!HU467="!AMBIG","!AMBIG",IF(COUNTIF('Calculations'!$HE$13:$HE$512,"="&amp;SUBSTITUTE(SUBSTITUTE(SUBSTITUTE('Calculations'!HU467,"~","~~"),"*","~*"),"?","~?"))&gt;1,"!AMBIG",IFERROR(INDEX('Calculations'!$HF$13:$HF$512,MATCH('Calculations'!HU467,'Calculations'!$HE$13:$HE$512,0)),""))))</x:f>
      </x:c>
      <x:c r="HW467" t="str">
        <x:f>IF('Calculations'!HV467="","",IF('Calculations'!HV467="!AMBIG","!AMBIG",IF(COUNTIF('Calculations'!$HE$13:$HE$512,"="&amp;SUBSTITUTE(SUBSTITUTE(SUBSTITUTE('Calculations'!HV467,"~","~~"),"*","~*"),"?","~?"))&gt;1,"!AMBIG",IFERROR(INDEX('Calculations'!$HF$13:$HF$512,MATCH('Calculations'!HV467,'Calculations'!$HE$13:$HE$512,0)),""))))</x:f>
      </x:c>
      <x:c r="HX467" t="str">
        <x:f>IF('Calculations'!HW467="","",IF('Calculations'!HW467="!AMBIG","!AMBIG",IF(COUNTIF('Calculations'!$HE$13:$HE$512,"="&amp;SUBSTITUTE(SUBSTITUTE(SUBSTITUTE('Calculations'!HW467,"~","~~"),"*","~*"),"?","~?"))&gt;1,"!AMBIG",IFERROR(INDEX('Calculations'!$HF$13:$HF$512,MATCH('Calculations'!HW467,'Calculations'!$HE$13:$HE$512,0)),""))))</x:f>
      </x:c>
      <x:c r="HY467" t="str">
        <x:f>IF('Calculations'!HX467="","",IF('Calculations'!HX467="!AMBIG","!AMBIG",IF(COUNTIF('Calculations'!$HE$13:$HE$512,"="&amp;SUBSTITUTE(SUBSTITUTE(SUBSTITUTE('Calculations'!HX467,"~","~~"),"*","~*"),"?","~?"))&gt;1,"!AMBIG",IFERROR(INDEX('Calculations'!$HF$13:$HF$512,MATCH('Calculations'!HX467,'Calculations'!$HE$13:$HE$512,0)),""))))</x:f>
      </x:c>
      <x:c r="HZ467" t="str">
        <x:f>IF('Calculations'!HY467="","",IF('Calculations'!HY467="!AMBIG","!AMBIG",IF(COUNTIF('Calculations'!$HE$13:$HE$512,"="&amp;SUBSTITUTE(SUBSTITUTE(SUBSTITUTE('Calculations'!HY467,"~","~~"),"*","~*"),"?","~?"))&gt;1,"!AMBIG",IFERROR(INDEX('Calculations'!$HF$13:$HF$512,MATCH('Calculations'!HY467,'Calculations'!$HE$13:$HE$512,0)),""))))</x:f>
      </x:c>
      <x:c r="IA467" t="str">
        <x:f>IF('Calculations'!HZ467="","",IF('Calculations'!HZ467="!AMBIG","!AMBIG",IF(COUNTIF('Calculations'!$HE$13:$HE$512,"="&amp;SUBSTITUTE(SUBSTITUTE(SUBSTITUTE('Calculations'!HZ467,"~","~~"),"*","~*"),"?","~?"))&gt;1,"!AMBIG",IFERROR(INDEX('Calculations'!$HF$13:$HF$512,MATCH('Calculations'!HZ467,'Calculations'!$HE$13:$HE$512,0)),""))))</x:f>
      </x:c>
      <x:c r="IB467" t="str">
        <x:f>IF('Calculations'!IA467="","",IF('Calculations'!IA467="!AMBIG","!AMBIG",IF(COUNTIF('Calculations'!$HE$13:$HE$512,"="&amp;SUBSTITUTE(SUBSTITUTE(SUBSTITUTE('Calculations'!IA467,"~","~~"),"*","~*"),"?","~?"))&gt;1,"!AMBIG",IFERROR(INDEX('Calculations'!$HF$13:$HF$512,MATCH('Calculations'!IA467,'Calculations'!$HE$13:$HE$512,0)),""))))</x:f>
      </x:c>
      <x:c r="IC467" t="str">
        <x:f>IF('Calculations'!IB467="","",IF('Calculations'!IB467="!AMBIG","!AMBIG",IF(COUNTIF('Calculations'!$HE$13:$HE$512,"="&amp;SUBSTITUTE(SUBSTITUTE(SUBSTITUTE('Calculations'!IB467,"~","~~"),"*","~*"),"?","~?"))&gt;1,"!AMBIG",IFERROR(INDEX('Calculations'!$HF$13:$HF$512,MATCH('Calculations'!IB467,'Calculations'!$HE$13:$HE$512,0)),""))))</x:f>
      </x:c>
      <x:c r="ID467" t="str">
        <x:f>IF('Calculations'!IC467="","",IF('Calculations'!IC467="!AMBIG","!AMBIG",IF(COUNTIF('Calculations'!$HE$13:$HE$512,"="&amp;SUBSTITUTE(SUBSTITUTE(SUBSTITUTE('Calculations'!IC467,"~","~~"),"*","~*"),"?","~?"))&gt;1,"!AMBIG",IFERROR(INDEX('Calculations'!$HF$13:$HF$512,MATCH('Calculations'!IC467,'Calculations'!$HE$13:$HE$512,0)),""))))</x:f>
      </x:c>
      <x:c r="IE467" t="str">
        <x:f>IF('Calculations'!ID467="","",IF('Calculations'!ID467="!AMBIG","!AMBIG",IF(COUNTIF('Calculations'!$HE$13:$HE$512,"="&amp;SUBSTITUTE(SUBSTITUTE(SUBSTITUTE('Calculations'!ID467,"~","~~"),"*","~*"),"?","~?"))&gt;1,"!AMBIG",IFERROR(INDEX('Calculations'!$HF$13:$HF$512,MATCH('Calculations'!ID467,'Calculations'!$HE$13:$HE$512,0)),""))))</x:f>
      </x:c>
      <x:c r="IF467" t="str">
        <x:f>IF('Calculations'!IE467="","",IF('Calculations'!IE467="!AMBIG","!AMBIG",IF(COUNTIF('Calculations'!$HE$13:$HE$512,"="&amp;SUBSTITUTE(SUBSTITUTE(SUBSTITUTE('Calculations'!IE467,"~","~~"),"*","~*"),"?","~?"))&gt;1,"!AMBIG",IFERROR(INDEX('Calculations'!$HF$13:$HF$512,MATCH('Calculations'!IE467,'Calculations'!$HE$13:$HE$512,0)),""))))</x:f>
      </x:c>
      <x:c r="IG467" t="str">
        <x:f>IF('Calculations'!IF467="","",IF('Calculations'!IF467="!AMBIG","!AMBIG",IF(COUNTIF('Calculations'!$HE$13:$HE$512,"="&amp;SUBSTITUTE(SUBSTITUTE(SUBSTITUTE('Calculations'!IF467,"~","~~"),"*","~*"),"?","~?"))&gt;1,"!AMBIG",IFERROR(INDEX('Calculations'!$HF$13:$HF$512,MATCH('Calculations'!IF467,'Calculations'!$HE$13:$HE$512,0)),""))))</x:f>
      </x:c>
      <x:c r="IH467" t="str">
        <x:f>IF('Calculations'!IG467="","",IF('Calculations'!IG467="!AMBIG","!AMBIG",IF(COUNTIF('Calculations'!$HE$13:$HE$512,"="&amp;SUBSTITUTE(SUBSTITUTE(SUBSTITUTE('Calculations'!IG467,"~","~~"),"*","~*"),"?","~?"))&gt;1,"!AMBIG",IFERROR(INDEX('Calculations'!$HF$13:$HF$512,MATCH('Calculations'!IG467,'Calculations'!$HE$13:$HE$512,0)),""))))</x:f>
      </x:c>
      <x:c r="II467" t="str">
        <x:f>IF('Calculations'!IH467="","",IF('Calculations'!IH467="!AMBIG","!AMBIG",IF(COUNTIF('Calculations'!$HE$13:$HE$512,"="&amp;SUBSTITUTE(SUBSTITUTE(SUBSTITUTE('Calculations'!IH467,"~","~~"),"*","~*"),"?","~?"))&gt;1,"!AMBIG",IFERROR(INDEX('Calculations'!$HF$13:$HF$512,MATCH('Calculations'!IH467,'Calculations'!$HE$13:$HE$512,0)),""))))</x:f>
      </x:c>
      <x:c r="IJ467" t="str">
        <x:f>IF('Calculations'!EM467="","",IF('Calculations'!$EF$2="All",'Calculations'!HM467,IF('Calculations'!HL467=1,"",IFERROR(IF(MATCH('Calculations'!$EF$2,'Calculations'!HO467:II467,0)=1,'Calculations'!HE467,INDEX('Calculations'!HO467:II467,1,MATCH('Calculations'!$EF$2,'Calculations'!HO467:II467,0)-1)),""))))</x:f>
      </x:c>
      <x:c r="IK467" t="n">
        <x:f>IF(AND('Calculations'!EM467&lt;&gt;"",'Calculations'!$EF$2&lt;&gt;"All",'Calculations'!HF467='Calculations'!$EF$2,'Calculations'!HL467=0,'Calculations'!JD467&gt;0),MAX('Calculations'!$IK$12:IK466)+1,0)</x:f>
        <x:v>0</x:v>
      </x:c>
      <x:c r="JA467" t="n">
        <x:f>IF(OR(IFERROR(INDIRECT("'WCM Calibration Final'!$A$467")&lt;&gt;"",FALSE),IFERROR(INDIRECT("'WCM Calibration Final'!$B$467")&lt;&gt;"",FALSE),IFERROR(INDIRECT("'WCM Calibration Final'!$C$467")&lt;&gt;"",FALSE)),467,0)</x:f>
        <x:v>0</x:v>
      </x:c>
      <x:c r="JB467" t="n">
        <x:f>'Calculations'!JB466+IF('Calculations'!JA467&gt;0,1,0)</x:f>
        <x:v>0</x:v>
      </x:c>
      <x:c r="JC467" t="n">
        <x:f>IF(OR('Calculations'!HF467="",'Calculations'!HF467="!AMBIG"),0,IF('Dashboard'!$B$7="All",1,COUNTIFS('Calculations'!$HO$13:$HO$512,"="&amp;SUBSTITUTE(SUBSTITUTE(SUBSTITUTE('Calculations'!HF467,"~","~~"),"*","~*"),"?","~?"),'Calculations'!$HN$13:$HN$512,"="&amp;SUBSTITUTE(SUBSTITUTE(SUBSTITUTE('Dashboard'!$B$7,"~","~~"),"*","~*"),"?","~?"))+COUNTIFS('Calculations'!$HP$13:$HP$512,"="&amp;SUBSTITUTE(SUBSTITUTE(SUBSTITUTE('Calculations'!HF467,"~","~~"),"*","~*"),"?","~?"),'Calculations'!$HN$13:$HN$512,"="&amp;SUBSTITUTE(SUBSTITUTE(SUBSTITUTE('Dashboard'!$B$7,"~","~~"),"*","~*"),"?","~?"))+COUNTIFS('Calculations'!$HQ$13:$HQ$512,"="&amp;SUBSTITUTE(SUBSTITUTE(SUBSTITUTE('Calculations'!HF467,"~","~~"),"*","~*"),"?","~?"),'Calculations'!$HN$13:$HN$512,"="&amp;SUBSTITUTE(SUBSTITUTE(SUBSTITUTE('Dashboard'!$B$7,"~","~~"),"*","~*"),"?","~?"))+COUNTIFS('Calculations'!$HR$13:$HR$512,"="&amp;SUBSTITUTE(SUBSTITUTE(SUBSTITUTE('Calculations'!HF467,"~","~~"),"*","~*"),"?","~?"),'Calculations'!$HN$13:$HN$512,"="&amp;SUBSTITUTE(SUBSTITUTE(SUBSTITUTE('Dashboard'!$B$7,"~","~~"),"*","~*"),"?","~?"))+COUNTIFS('Calculations'!$HS$13:$HS$512,"="&amp;SUBSTITUTE(SUBSTITUTE(SUBSTITUTE('Calculations'!HF467,"~","~~"),"*","~*"),"?","~?"),'Calculations'!$HN$13:$HN$512,"="&amp;SUBSTITUTE(SUBSTITUTE(SUBSTITUTE('Dashboard'!$B$7,"~","~~"),"*","~*"),"?","~?"))+COUNTIFS('Calculations'!$HT$13:$HT$512,"="&amp;SUBSTITUTE(SUBSTITUTE(SUBSTITUTE('Calculations'!HF467,"~","~~"),"*","~*"),"?","~?"),'Calculations'!$HN$13:$HN$512,"="&amp;SUBSTITUTE(SUBSTITUTE(SUBSTITUTE('Dashboard'!$B$7,"~","~~"),"*","~*"),"?","~?"))+COUNTIFS('Calculations'!$HU$13:$HU$512,"="&amp;SUBSTITUTE(SUBSTITUTE(SUBSTITUTE('Calculations'!HF467,"~","~~"),"*","~*"),"?","~?"),'Calculations'!$HN$13:$HN$512,"="&amp;SUBSTITUTE(SUBSTITUTE(SUBSTITUTE('Dashboard'!$B$7,"~","~~"),"*","~*"),"?","~?"))+COUNTIFS('Calculations'!$HV$13:$HV$512,"="&amp;SUBSTITUTE(SUBSTITUTE(SUBSTITUTE('Calculations'!HF467,"~","~~"),"*","~*"),"?","~?"),'Calculations'!$HN$13:$HN$512,"="&amp;SUBSTITUTE(SUBSTITUTE(SUBSTITUTE('Dashboard'!$B$7,"~","~~"),"*","~*"),"?","~?"))+COUNTIFS('Calculations'!$HW$13:$HW$512,"="&amp;SUBSTITUTE(SUBSTITUTE(SUBSTITUTE('Calculations'!HF467,"~","~~"),"*","~*"),"?","~?"),'Calculations'!$HN$13:$HN$512,"="&amp;SUBSTITUTE(SUBSTITUTE(SUBSTITUTE('Dashboard'!$B$7,"~","~~"),"*","~*"),"?","~?"))+COUNTIFS('Calculations'!$HX$13:$HX$512,"="&amp;SUBSTITUTE(SUBSTITUTE(SUBSTITUTE('Calculations'!HF467,"~","~~"),"*","~*"),"?","~?"),'Calculations'!$HN$13:$HN$512,"="&amp;SUBSTITUTE(SUBSTITUTE(SUBSTITUTE('Dashboard'!$B$7,"~","~~"),"*","~*"),"?","~?"))+COUNTIFS('Calculations'!$HY$13:$HY$512,"="&amp;SUBSTITUTE(SUBSTITUTE(SUBSTITUTE('Calculations'!HF467,"~","~~"),"*","~*"),"?","~?"),'Calculations'!$HN$13:$HN$512,"="&amp;SUBSTITUTE(SUBSTITUTE(SUBSTITUTE('Dashboard'!$B$7,"~","~~"),"*","~*"),"?","~?"))+COUNTIFS('Calculations'!$HZ$13:$HZ$512,"="&amp;SUBSTITUTE(SUBSTITUTE(SUBSTITUTE('Calculations'!HF467,"~","~~"),"*","~*"),"?","~?"),'Calculations'!$HN$13:$HN$512,"="&amp;SUBSTITUTE(SUBSTITUTE(SUBSTITUTE('Dashboard'!$B$7,"~","~~"),"*","~*"),"?","~?"))+COUNTIFS('Calculations'!$IA$13:$IA$512,"="&amp;SUBSTITUTE(SUBSTITUTE(SUBSTITUTE('Calculations'!HF467,"~","~~"),"*","~*"),"?","~?"),'Calculations'!$HN$13:$HN$512,"="&amp;SUBSTITUTE(SUBSTITUTE(SUBSTITUTE('Dashboard'!$B$7,"~","~~"),"*","~*"),"?","~?"))+COUNTIFS('Calculations'!$IB$13:$IB$512,"="&amp;SUBSTITUTE(SUBSTITUTE(SUBSTITUTE('Calculations'!HF467,"~","~~"),"*","~*"),"?","~?"),'Calculations'!$HN$13:$HN$512,"="&amp;SUBSTITUTE(SUBSTITUTE(SUBSTITUTE('Dashboard'!$B$7,"~","~~"),"*","~*"),"?","~?"))+COUNTIFS('Calculations'!$IC$13:$IC$512,"="&amp;SUBSTITUTE(SUBSTITUTE(SUBSTITUTE('Calculations'!HF467,"~","~~"),"*","~*"),"?","~?"),'Calculations'!$HN$13:$HN$512,"="&amp;SUBSTITUTE(SUBSTITUTE(SUBSTITUTE('Dashboard'!$B$7,"~","~~"),"*","~*"),"?","~?"))+COUNTIFS('Calculations'!$ID$13:$ID$512,"="&amp;SUBSTITUTE(SUBSTITUTE(SUBSTITUTE('Calculations'!HF467,"~","~~"),"*","~*"),"?","~?"),'Calculations'!$HN$13:$HN$512,"="&amp;SUBSTITUTE(SUBSTITUTE(SUBSTITUTE('Dashboard'!$B$7,"~","~~"),"*","~*"),"?","~?"))+COUNTIFS('Calculations'!$IE$13:$IE$512,"="&amp;SUBSTITUTE(SUBSTITUTE(SUBSTITUTE('Calculations'!HF467,"~","~~"),"*","~*"),"?","~?"),'Calculations'!$HN$13:$HN$512,"="&amp;SUBSTITUTE(SUBSTITUTE(SUBSTITUTE('Dashboard'!$B$7,"~","~~"),"*","~*"),"?","~?"))+COUNTIFS('Calculations'!$IF$13:$IF$512,"="&amp;SUBSTITUTE(SUBSTITUTE(SUBSTITUTE('Calculations'!HF467,"~","~~"),"*","~*"),"?","~?"),'Calculations'!$HN$13:$HN$512,"="&amp;SUBSTITUTE(SUBSTITUTE(SUBSTITUTE('Dashboard'!$B$7,"~","~~"),"*","~*"),"?","~?"))+COUNTIFS('Calculations'!$IG$13:$IG$512,"="&amp;SUBSTITUTE(SUBSTITUTE(SUBSTITUTE('Calculations'!HF467,"~","~~"),"*","~*"),"?","~?"),'Calculations'!$HN$13:$HN$512,"="&amp;SUBSTITUTE(SUBSTITUTE(SUBSTITUTE('Dashboard'!$B$7,"~","~~"),"*","~*"),"?","~?"))+COUNTIFS('Calculations'!$IH$13:$IH$512,"="&amp;SUBSTITUTE(SUBSTITUTE(SUBSTITUTE('Calculations'!HF467,"~","~~"),"*","~*"),"?","~?"),'Calculations'!$HN$13:$HN$512,"="&amp;SUBSTITUTE(SUBSTITUTE(SUBSTITUTE('Dashboard'!$B$7,"~","~~"),"*","~*"),"?","~?"))))</x:f>
        <x:v>0</x:v>
      </x:c>
      <x:c r="JD467" t="n">
        <x:f>IF('Calculations'!EM467="",0,IF('Dashboard'!$B$7="All",1,IF('Calculations'!HN467='Dashboard'!$B$7,1,0)+IFERROR(INDEX('Calculations'!$JC$13:$JC$512,MATCH('Calculations'!HE467,'Calculations'!$HF$13:$HF$512,0)),0)))</x:f>
        <x:v>0</x:v>
      </x:c>
      <x:c r="JE467" t="n">
        <x:f>IF(AND('Calculations'!EM467&lt;&gt;"",'Calculations'!$JJ$2&lt;&gt;"All",'Calculations'!$JJ$2&lt;&gt;"",'Calculations'!HF467='Calculations'!$JJ$2,'Calculations'!HL467=0,'Calculations'!JD467&gt;0),MAX('Calculations'!$JE$12:JE466)+1,0)</x:f>
        <x:v>0</x:v>
      </x:c>
      <x:c r="JF467" t="str">
        <x:f>IF('Calculations'!EM467="","",IFERROR(IF(INDEX(INDIRECT("'WCM Calibration Final'!$G$1:$G$2000"),'Calculations'!$EM467)="","",TRIM(INDEX(INDIRECT("'WCM Calibration Final'!$G$1:$G$2000"),'Calculations'!$EM467)&amp;"")),""))</x:f>
      </x:c>
      <x:c r="JQ467" t="n">
        <x:f>IF(OR('Calculations'!BM467=0,NOT('Calculations'!$AG$2),'Calculations'!$AG$8&gt;0),0,IF(OR('Dashboard'!$B$7="All",'Calculations'!HN467='Dashboard'!$B$7),IF('Calculations'!$JJ$2="All",1,IF(AND('Calculations'!HF467='Calculations'!$JJ$2,'Calculations'!HL467=0),1,0)),0))</x:f>
        <x:v>0</x:v>
      </x:c>
    </x:row>
    <x:row r="468">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t="n">
        <x:f>IF('Calculations'!$EM468="",0,IF(OR(IFERROR(INDEX(INDIRECT("'WCM Calibration Final'!$A$1:$A$2000"),'Calculations'!$EM468)&lt;&gt;"",FALSE),IFERROR(INDEX(INDIRECT("'WCM Calibration Final'!$B$1:$B$2000"),'Calculations'!$EM468)&lt;&gt;"",FALSE),IFERROR(INDEX(INDIRECT("'WCM Calibration Final'!$C$1:$C$2000"),'Calculations'!$EM468)&lt;&gt;"",FALSE)),1,0))</x:f>
        <x:v>0</x:v>
      </x:c>
      <x:c r="BN468" s="4" t="n">
        <x:f>IF(AND('Calculations'!BM468=1,'Calculations'!$AG$2,'Calculations'!$EN468=1),1,0)</x:f>
        <x:v>0</x:v>
      </x:c>
      <x:c r="BO468" s="4" t="str">
        <x:f>IF('Calculations'!BM468=0,"",IFERROR(IF(AND(VALUE(INDEX(INDIRECT("'WCM Calibration Final'!$K$1:$K$2000"),'Calculations'!$EM468))&gt;=1,VALUE(INDEX(INDIRECT("'WCM Calibration Final'!$K$1:$K$2000"),'Calculations'!$EM468))&lt;=4,MOD(VALUE(INDEX(INDIRECT("'WCM Calibration Final'!$K$1:$K$2000"),'Calculations'!$EM468)),1)=0),VALUE(INDEX(INDIRECT("'WCM Calibration Final'!$K$1:$K$2000"),'Calculations'!$EM468)),""),""))</x:f>
      </x:c>
      <x:c r="BP468" s="4" t="str">
        <x:f>IF('Calculations'!BM468=0,"",IFERROR(IF(AND(VALUE(INDEX(INDIRECT("'WCM Calibration Final'!$L$1:$L$2000"),'Calculations'!$EM468))&gt;=1,VALUE(INDEX(INDIRECT("'WCM Calibration Final'!$L$1:$L$2000"),'Calculations'!$EM468))&lt;=4,MOD(VALUE(INDEX(INDIRECT("'WCM Calibration Final'!$L$1:$L$2000"),'Calculations'!$EM468)),1)=0),VALUE(INDEX(INDIRECT("'WCM Calibration Final'!$L$1:$L$2000"),'Calculations'!$EM468)),""),""))</x:f>
      </x:c>
      <x:c r="BQ468" s="4"/>
      <x:c r="BR468" s="4"/>
      <x:c r="BS468" s="4"/>
      <x:c r="BT468" s="4" t="n">
        <x:f>IF(AND('Calculations'!BM468=1,ISNUMBER('Calculations'!BO468),ISNUMBER('Calculations'!BP468)),1,0)</x:f>
        <x:v>0</x:v>
      </x:c>
      <x:c r="BU468" s="4" t="str">
        <x:f>IF('Calculations'!BM468=0,"",'Calculations'!$EO468)</x:f>
      </x:c>
      <x:c r="BV468" s="4" t="str">
        <x:f>IF('Calculations'!BM468=0,"",IFERROR(IF(OR(INDEX(INDIRECT("'WCM Calibration Final'!$H$1:$H$2000"),'Calculations'!$EM468)="MANAGING DIRECTOR",INDEX(INDIRECT("'WCM Calibration Final'!$H$1:$H$2000"),'Calculations'!$EM468)="DIRECTOR",INDEX(INDIRECT("'WCM Calibration Final'!$H$1:$H$2000"),'Calculations'!$EM468)="SENIOR VICE PRESIDENT",INDEX(INDIRECT("'WCM Calibration Final'!$H$1:$H$2000"),'Calculations'!$EM468)="VICE PRESIDENT",INDEX(INDIRECT("'WCM Calibration Final'!$H$1:$H$2000"),'Calculations'!$EM468)="ASSISTANT VICE PRESIDENT",INDEX(INDIRECT("'WCM Calibration Final'!$H$1:$H$2000"),'Calculations'!$EM468)="OFFICER"),UPPER(INDEX(INDIRECT("'WCM Calibration Final'!$H$1:$H$2000"),'Calculations'!$EM468)),"Other"),"Other"))</x:f>
      </x:c>
      <x:c r="BW468" s="4"/>
      <x:c r="BX468" s="4"/>
      <x:c r="BY468" s="4" t="n">
        <x:f>IF(AND('Calculations'!BM468=1,'Calculations'!BU468&lt;&gt;"",COUNTIF('Calculations'!$BU$12:BU468,'Calculations'!BU468)=1),MAX('Calculations'!$BY$11:BY467)+1,0)</x:f>
        <x:v>0</x:v>
      </x:c>
      <x:c r="BZ468" s="4" t="str">
        <x:f>IF('Dashboard'!$E$67="What",'Calculations'!BO468,'Calculations'!BP468)</x:f>
      </x:c>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t="str">
        <x:f>IF(457&gt;MAX('Calculations'!$HI$13:$HI$512),"",INDEX('Calculations'!$HN$13:$HN$512,MATCH(457,'Calculations'!$HI$13:$HI$512,0)))</x:f>
      </x:c>
      <x:c r="DB468" s="4" t="str">
        <x:f>IF(457&gt;MAX('Calculations'!$HH$13:$HH$512),"",INDEX('Calculations'!$HJ$13:$HJ$512,MATCH(457,'Calculations'!$HH$13:$HH$512,0)))</x:f>
      </x:c>
      <x:c r="DC468" s="4" t="str">
        <x:f>IF(ROW()-11&gt;MAX('Calculations'!$BY$13:$BY$512),"",INDEX('Calculations'!$BU$13:$BU$512,MATCH(ROW()-11,'Calculations'!$BY$13:$BY$512,0)))</x:f>
      </x:c>
      <x:c r="DD468" s="4" t="str">
        <x:f>IF(457&gt;MAX('Calculations'!$IK$13:$IK$512),"",INDEX('Calculations'!$HK$13:$HK$512,MATCH(457,'Calculations'!$IK$13:$IK$512,0)))</x:f>
      </x:c>
      <x:c r="DE468" s="4" t="str">
        <x:f>'Calculations'!DC468</x:f>
      </x:c>
      <x:c r="DF468" s="4" t="str">
        <x:f>IF('Calculations'!DE468="","",COUNTIFS('Calculations'!$BN$13:$BN$512,1,'Calculations'!$BU$13:$BU$512,'Calculations'!DE468))</x:f>
      </x:c>
      <x:c r="DG468" s="4" t="str">
        <x:f>IF('Calculations'!DE468="","",COUNTIFS('Calculations'!$BN$13:$BN$512,1,'Calculations'!$BU$13:$BU$512,'Calculations'!DE468,'Calculations'!$BT$13:$BT$512,1))</x:f>
      </x:c>
      <x:c r="DH468" s="4" t="str">
        <x:f>IF('Calculations'!DE468="","",'Calculations'!DF468-'Calculations'!DG468)</x:f>
      </x:c>
      <x:c r="DI468" s="4" t="str">
        <x:f>IF(OR('Calculations'!DE468="",'Calculations'!DF468=0),"",'Calculations'!DG468/'Calculations'!DF468)</x:f>
      </x:c>
      <x:c r="DJ468" s="4" t="str">
        <x:f>IF('Calculations'!DE468="","",COUNTIFS('Calculations'!$BN$13:$BN$512,1,'Calculations'!$BU$13:$BU$512,'Calculations'!DE468,'Calculations'!$BT$13:$BT$512,1,'Calculations'!$EE$13:$EE$512,"High"))</x:f>
      </x:c>
      <x:c r="DK468" s="4" t="str">
        <x:f>IF('Calculations'!DE468="","",COUNTIFS('Calculations'!$BN$13:$BN$512,1,'Calculations'!$BU$13:$BU$512,'Calculations'!DE468,'Calculations'!$BT$13:$BT$512,1,'Calculations'!$EE$13:$EE$512,"Strong"))</x:f>
      </x:c>
      <x:c r="DL468" s="4" t="str">
        <x:f>IF('Calculations'!DE468="","",COUNTIFS('Calculations'!$BN$13:$BN$512,1,'Calculations'!$BU$13:$BU$512,'Calculations'!DE468,'Calculations'!$BT$13:$BT$512,1,'Calculations'!$EE$13:$EE$512,"Solid"))</x:f>
      </x:c>
      <x:c r="DM468" s="4" t="str">
        <x:f>IF('Calculations'!DE468="","",COUNTIFS('Calculations'!$BN$13:$BN$512,1,'Calculations'!$BU$13:$BU$512,'Calculations'!DE468,'Calculations'!$BT$13:$BT$512,1,'Calculations'!$EE$13:$EE$512,"Low"))</x:f>
      </x:c>
      <x:c r="DN468" s="4" t="str">
        <x:f>IF('Calculations'!DE468="","",COUNTIFS('Calculations'!$BN$13:$BN$512,1,'Calculations'!$BU$13:$BU$512,'Calculations'!DE468,'Calculations'!$EP$13:$EP$512,1))</x:f>
      </x:c>
      <x:c r="DO468" s="4" t="str">
        <x:f>IF(OR('Calculations'!DE468="",'Calculations'!DG468=0),"",('Calculations'!DJ468+'Calculations'!DK468)/'Calculations'!DG468)</x:f>
      </x:c>
      <x:c r="DP468" s="4" t="n">
        <x:f>IF(AND('Calculations'!DE468&lt;&gt;"",'Calculations'!DF468&gt;0),COUNTIF('Calculations'!$DF$12:DF468,"&gt;0"),0)</x:f>
        <x:v>0</x:v>
      </x:c>
      <x:c r="DQ468" s="4" t="str">
        <x:f>IF(457&gt;MAX('Calculations'!$HH$13:$HH$512),"",INDEX('Calculations'!$HF$13:$HF$512,MATCH(457,'Calculations'!$HH$13:$HH$512,0)))</x:f>
      </x:c>
      <x:c r="DR468" s="4" t="str">
        <x:f>IF(457&gt;MAX('Calculations'!$IK$13:$IK$512),"",INDEX('Calculations'!$HE$13:$HE$512,MATCH(457,'Calculations'!$IK$13:$IK$512,0)))</x:f>
      </x:c>
      <x:c r="DS468" s="4"/>
      <x:c r="DT468" s="4"/>
      <x:c r="DU468" s="4"/>
      <x:c r="DV468" s="4"/>
      <x:c r="DW468" s="4"/>
      <x:c r="DX468" s="4"/>
      <x:c r="DY468" s="4"/>
      <x:c r="DZ468" s="4"/>
      <x:c r="EA468" s="4"/>
      <x:c r="EB468" s="4"/>
      <x:c r="EC468" s="4"/>
      <x:c r="ED468" s="4"/>
      <x:c r="EE468" s="4" t="str">
        <x:f>IF('Calculations'!BT468=0,"Not Rated",IF(OR('Calculations'!BO468&gt;=4,'Calculations'!BP468&gt;=4),"Low",IF('Calculations'!BO468+'Calculations'!BP468&lt;=3,"High",IF('Calculations'!BO468+'Calculations'!BP468&lt;=4,"Strong","Solid"))))</x:f>
        <x:v>Not Rated</x:v>
      </x:c>
      <x:c r="EF468" s="4"/>
      <x:c r="EG468" s="4"/>
      <x:c r="EH468" s="4"/>
      <x:c r="EI468" s="4"/>
      <x:c r="EJ468" s="4"/>
      <x:c r="EK468" s="4"/>
      <x:c r="EL468" s="4"/>
      <x:c r="EM468" s="4" t="str">
        <x:f>IF(456&gt;'Calculations'!$JB$2000,"",INDEX('Calculations'!$JA$12:$JA$2000,MATCH(456,'Calculations'!$JB$12:$JB$2000,0)))</x:f>
      </x:c>
      <x:c r="EN468" s="4" t="n">
        <x:f>IF(OR('Calculations'!EM468="",'Calculations'!$AG$8&gt;0,AND('Calculations'!$EF$2&lt;&gt;"All",'Calculations'!HE468='Calculations'!$EF$2),AND('Calculations'!$EF$3&lt;&gt;"All",'Calculations'!HE468='Calculations'!$EF$3)),0,IF(OR('Dashboard'!$B$7="All",'Calculations'!HN468='Dashboard'!$B$7),IF('Calculations'!$EF$2="All",1,IF('Calculations'!HL468&gt;0,0,IF(COUNTIF('Calculations'!HO468:II468,"="&amp;SUBSTITUTE(SUBSTITUTE(SUBSTITUTE('Calculations'!$EF$2,"~","~~"),"*","~*"),"?","~?"))=0,0,IF('Calculations'!$EF$3="All",1,IF(COUNTIF('Calculations'!HO468:II468,"="&amp;SUBSTITUTE(SUBSTITUTE(SUBSTITUTE('Calculations'!$EF$3,"~","~~"),"*","~*"),"?","~?"))&gt;0,1,0))))),0))</x:f>
        <x:v>0</x:v>
      </x:c>
      <x:c r="EO468" s="4" t="str">
        <x:f>IF('Calculations'!IJ468="","",IF('Calculations'!IJ468="!UNRESOLVED","Unresolved hierarchy",IFERROR(INDEX('Calculations'!$HK$13:$HK$512,MATCH('Calculations'!IJ468,'Calculations'!$HE$13:$HE$512,0)),IFERROR(INDEX('Calculations'!$HJ$13:$HJ$512,MATCH('Calculations'!IJ468,'Calculations'!$HF$13:$HF$512,0)),'Calculations'!IJ468))))</x:f>
      </x:c>
      <x:c r="EP468" s="4" t="n">
        <x:f>IF(AND('Calculations'!EM468&lt;&gt;"",'Calculations'!HF468='Calculations'!IJ468),1,0)</x:f>
        <x:v>0</x:v>
      </x:c>
      <x:c r="EQ468" s="4"/>
      <x:c r="ER468" s="4"/>
      <x:c r="ES468" s="4"/>
      <x:c r="ET468" s="4"/>
      <x:c r="EU468" s="4"/>
      <x:c r="EV468" s="4"/>
      <x:c r="EW468" s="4"/>
      <x:c r="EX468" s="4"/>
      <x:c r="EY468" s="4"/>
      <x:c r="EZ468" s="4"/>
      <x:c r="FA468" s="4"/>
      <x:c r="FB468" s="4"/>
      <x:c r="FC468" s="4"/>
      <x:c r="FD468" s="4"/>
      <x:c r="FE468" s="4"/>
      <x:c r="FF468" s="4"/>
      <x:c r="FG468" s="4"/>
      <x:c r="FH468" s="4"/>
      <x:c r="FI468" s="4"/>
      <x:c r="FJ468" s="4"/>
      <x:c r="FK468" s="4"/>
      <x:c r="FL468" s="4"/>
      <x:c r="FM468" s="4"/>
      <x:c r="FN468" s="4"/>
      <x:c r="FO468" s="4"/>
      <x:c r="HE468" t="str">
        <x:f>IF('Calculations'!EM468="","",IF(IFERROR(IF(INDEX(INDIRECT("'WCM Calibration Final'!$A$1:$A$2000"),'Calculations'!$EM468)="","",TRIM(INDEX(INDIRECT("'WCM Calibration Final'!$A$1:$A$2000"),'Calculations'!$EM468)&amp;"")),"")&lt;&gt;"","G:"&amp;IFERROR(TEXT(1*INDEX(INDIRECT("'WCM Calibration Final'!$A$1:$A$2000"),'Calculations'!$EM468),"0"),UPPER(IFERROR(IF(INDEX(INDIRECT("'WCM Calibration Final'!$A$1:$A$2000"),'Calculations'!$EM468)="","",TRIM(INDEX(INDIRECT("'WCM Calibration Final'!$A$1:$A$2000"),'Calculations'!$EM468)&amp;"")),""))),IF(IFERROR(IF(INDEX(INDIRECT("'WCM Calibration Final'!$C$1:$C$2000"),'Calculations'!$EM468)="","",TRIM(INDEX(INDIRECT("'WCM Calibration Final'!$C$1:$C$2000"),'Calculations'!$EM468)&amp;"")),"")&lt;&gt;"","S:"&amp;UPPER(IFERROR(IF(INDEX(INDIRECT("'WCM Calibration Final'!$C$1:$C$2000"),'Calculations'!$EM468)="","",TRIM(INDEX(INDIRECT("'WCM Calibration Final'!$C$1:$C$2000"),'Calculations'!$EM468)&amp;"")),"")),"R:"&amp;'Calculations'!EM468)))</x:f>
      </x:c>
      <x:c r="HF468" t="str">
        <x:f>IF('Calculations'!EM468="","",IF(IFERROR(IF(INDEX(INDIRECT("'WCM Calibration Final'!$D$1:$D$2000"),'Calculations'!$EM468)="","",TRIM(INDEX(INDIRECT("'WCM Calibration Final'!$D$1:$D$2000"),'Calculations'!$EM468)&amp;"")),"")&lt;&gt;"","G:"&amp;IFERROR(TEXT(1*INDEX(INDIRECT("'WCM Calibration Final'!$D$1:$D$2000"),'Calculations'!$EM468),"0"),UPPER(IFERROR(IF(INDEX(INDIRECT("'WCM Calibration Final'!$D$1:$D$2000"),'Calculations'!$EM468)="","",TRIM(INDEX(INDIRECT("'WCM Calibration Final'!$D$1:$D$2000"),'Calculations'!$EM468)&amp;"")),""))),IF(IFERROR(IF(INDEX(INDIRECT("'WCM Calibration Final'!$E$1:$E$2000"),'Calculations'!$EM468)="","",TRIM(INDEX(INDIRECT("'WCM Calibration Final'!$E$1:$E$2000"),'Calculations'!$EM468)&amp;"")),"")="","",IF(COUNTIF('Calculations'!$HG$13:$HG$512,"="&amp;SUBSTITUTE(SUBSTITUTE(SUBSTITUTE(IFERROR(IF(INDEX(INDIRECT("'WCM Calibration Final'!$E$1:$E$2000"),'Calculations'!$EM468)="","",TRIM(INDEX(INDIRECT("'WCM Calibration Final'!$E$1:$E$2000"),'Calculations'!$EM468)&amp;"")),""),"~","~~"),"*","~*"),"?","~?"))=1,INDEX('Calculations'!$HE$13:$HE$512,MATCH(IFERROR(IF(INDEX(INDIRECT("'WCM Calibration Final'!$E$1:$E$2000"),'Calculations'!$EM468)="","",TRIM(INDEX(INDIRECT("'WCM Calibration Final'!$E$1:$E$2000"),'Calculations'!$EM468)&amp;"")),""),'Calculations'!$HG$13:$HG$512,0)),IF(COUNTIF('Calculations'!$HG$13:$HG$512,"="&amp;SUBSTITUTE(SUBSTITUTE(SUBSTITUTE(IFERROR(IF(INDEX(INDIRECT("'WCM Calibration Final'!$E$1:$E$2000"),'Calculations'!$EM468)="","",TRIM(INDEX(INDIRECT("'WCM Calibration Final'!$E$1:$E$2000"),'Calculations'!$EM468)&amp;"")),""),"~","~~"),"*","~*"),"?","~?"))&gt;1,"!AMBIG","X:"&amp;IFERROR(IF(INDEX(INDIRECT("'WCM Calibration Final'!$E$1:$E$2000"),'Calculations'!$EM468)="","",TRIM(INDEX(INDIRECT("'WCM Calibration Final'!$E$1:$E$2000"),'Calculations'!$EM468)&amp;"")),""))))))</x:f>
      </x:c>
      <x:c r="HG468" t="str">
        <x:f>IF('Calculations'!EM468="","",IFERROR(IF(INDEX(INDIRECT("'WCM Calibration Final'!$B$1:$B$2000"),'Calculations'!$EM468)="","",TRIM(INDEX(INDIRECT("'WCM Calibration Final'!$B$1:$B$2000"),'Calculations'!$EM468)&amp;"")),""))</x:f>
      </x:c>
      <x:c r="HH468" t="n">
        <x:f>IF(AND('Calculations'!JC468&gt;0,COUNTIF('Calculations'!$HF$12:HF468,"="&amp;SUBSTITUTE(SUBSTITUTE(SUBSTITUTE('Calculations'!HF468,"~","~~"),"*","~*"),"?","~?"))=1),MAX('Calculations'!$HH$12:HH467)+1,0)</x:f>
        <x:v>0</x:v>
      </x:c>
      <x:c r="HI468" t="n">
        <x:f>IF(AND('Calculations'!HN468&lt;&gt;"",COUNTIF('Calculations'!$HN$12:HN468,"="&amp;SUBSTITUTE(SUBSTITUTE(SUBSTITUTE('Calculations'!HN468,"~","~~"),"*","~*"),"?","~?"))=1),MAX('Calculations'!$HI$12:HI467)+1,0)</x:f>
        <x:v>0</x:v>
      </x:c>
      <x:c r="HJ468" t="str">
        <x:f>IF('Calculations'!HF468="","",IF(COUNTIF('Calculations'!$HE$13:$HE$512,"="&amp;SUBSTITUTE(SUBSTITUTE(SUBSTITUTE('Calculations'!HF468,"~","~~"),"*","~*"),"?","~?"))=1,INDEX('Calculations'!$HK$13:$HK$512,MATCH('Calculations'!HF468,'Calculations'!$HE$13:$HE$512,0)),IFERROR(IF(INDEX(INDIRECT("'WCM Calibration Final'!$E$1:$E$2000"),'Calculations'!$EM468)="","",TRIM(INDEX(INDIRECT("'WCM Calibration Final'!$E$1:$E$2000"),'Calculations'!$EM468)&amp;"")),"")&amp;" ["&amp;'Calculations'!HF468&amp;"]"))</x:f>
      </x:c>
      <x:c r="HK468" t="str">
        <x:f>IF('Calculations'!EM468="","",'Calculations'!HG468&amp;" ["&amp;'Calculations'!HE468&amp;"]")</x:f>
      </x:c>
      <x:c r="HL468" t="n">
        <x:f>IF('Calculations'!EM468="",0,IF(OR('Calculations'!II468&lt;&gt;"",COUNTIF('Calculations'!$HE$13:$HE$512,"="&amp;SUBSTITUTE(SUBSTITUTE(SUBSTITUTE('Calculations'!HE468,"~","~~"),"*","~*"),"?","~?"))&gt;1),1,0))</x:f>
        <x:v>0</x:v>
      </x:c>
      <x:c r="HM468" t="str">
        <x:f>IF('Calculations'!EM468="","",IF('Calculations'!HL468=1,"!UNRESOLVED",IF('Calculations'!IH468&lt;&gt;"",'Calculations'!IH468,IF('Calculations'!IG468&lt;&gt;"",'Calculations'!IG468,IF('Calculations'!IF468&lt;&gt;"",'Calculations'!IF468,IF('Calculations'!IE468&lt;&gt;"",'Calculations'!IE468,IF('Calculations'!ID468&lt;&gt;"",'Calculations'!ID468,IF('Calculations'!IC468&lt;&gt;"",'Calculations'!IC468,IF('Calculations'!IB468&lt;&gt;"",'Calculations'!IB468,IF('Calculations'!IA468&lt;&gt;"",'Calculations'!IA468,IF('Calculations'!HZ468&lt;&gt;"",'Calculations'!HZ468,IF('Calculations'!HY468&lt;&gt;"",'Calculations'!HY468,IF('Calculations'!HX468&lt;&gt;"",'Calculations'!HX468,IF('Calculations'!HW468&lt;&gt;"",'Calculations'!HW468,IF('Calculations'!HV468&lt;&gt;"",'Calculations'!HV468,IF('Calculations'!HU468&lt;&gt;"",'Calculations'!HU468,IF('Calculations'!HT468&lt;&gt;"",'Calculations'!HT468,IF('Calculations'!HS468&lt;&gt;"",'Calculations'!HS468,IF('Calculations'!HR468&lt;&gt;"",'Calculations'!HR468,IF('Calculations'!HQ468&lt;&gt;"",'Calculations'!HQ468,IF('Calculations'!HP468&lt;&gt;"",'Calculations'!HP468,IF('Calculations'!HO468&lt;&gt;"",'Calculations'!HO468,'Calculations'!HE468))))))))))))))))))))))</x:f>
      </x:c>
      <x:c r="HN468" t="str">
        <x:f>IF('Calculations'!EM468="","",IF(IFERROR(IF(INDEX(INDIRECT("'WCM Calibration Final'!$F$1:$F$2000"),'Calculations'!$EM468)="","",TRIM(INDEX(INDIRECT("'WCM Calibration Final'!$F$1:$F$2000"),'Calculations'!$EM468)&amp;"")),"")="","(Blank)",IFERROR(IF(INDEX(INDIRECT("'WCM Calibration Final'!$F$1:$F$2000"),'Calculations'!$EM468)="","",TRIM(INDEX(INDIRECT("'WCM Calibration Final'!$F$1:$F$2000"),'Calculations'!$EM468)&amp;"")),"")))</x:f>
      </x:c>
      <x:c r="HO468" t="str">
        <x:f>'Calculations'!HF468</x:f>
      </x:c>
      <x:c r="HP468" t="str">
        <x:f>IF('Calculations'!HO468="","",IF('Calculations'!HO468="!AMBIG","!AMBIG",IF(COUNTIF('Calculations'!$HE$13:$HE$512,"="&amp;SUBSTITUTE(SUBSTITUTE(SUBSTITUTE('Calculations'!HO468,"~","~~"),"*","~*"),"?","~?"))&gt;1,"!AMBIG",IFERROR(INDEX('Calculations'!$HF$13:$HF$512,MATCH('Calculations'!HO468,'Calculations'!$HE$13:$HE$512,0)),""))))</x:f>
      </x:c>
      <x:c r="HQ468" t="str">
        <x:f>IF('Calculations'!HP468="","",IF('Calculations'!HP468="!AMBIG","!AMBIG",IF(COUNTIF('Calculations'!$HE$13:$HE$512,"="&amp;SUBSTITUTE(SUBSTITUTE(SUBSTITUTE('Calculations'!HP468,"~","~~"),"*","~*"),"?","~?"))&gt;1,"!AMBIG",IFERROR(INDEX('Calculations'!$HF$13:$HF$512,MATCH('Calculations'!HP468,'Calculations'!$HE$13:$HE$512,0)),""))))</x:f>
      </x:c>
      <x:c r="HR468" t="str">
        <x:f>IF('Calculations'!HQ468="","",IF('Calculations'!HQ468="!AMBIG","!AMBIG",IF(COUNTIF('Calculations'!$HE$13:$HE$512,"="&amp;SUBSTITUTE(SUBSTITUTE(SUBSTITUTE('Calculations'!HQ468,"~","~~"),"*","~*"),"?","~?"))&gt;1,"!AMBIG",IFERROR(INDEX('Calculations'!$HF$13:$HF$512,MATCH('Calculations'!HQ468,'Calculations'!$HE$13:$HE$512,0)),""))))</x:f>
      </x:c>
      <x:c r="HS468" t="str">
        <x:f>IF('Calculations'!HR468="","",IF('Calculations'!HR468="!AMBIG","!AMBIG",IF(COUNTIF('Calculations'!$HE$13:$HE$512,"="&amp;SUBSTITUTE(SUBSTITUTE(SUBSTITUTE('Calculations'!HR468,"~","~~"),"*","~*"),"?","~?"))&gt;1,"!AMBIG",IFERROR(INDEX('Calculations'!$HF$13:$HF$512,MATCH('Calculations'!HR468,'Calculations'!$HE$13:$HE$512,0)),""))))</x:f>
      </x:c>
      <x:c r="HT468" t="str">
        <x:f>IF('Calculations'!HS468="","",IF('Calculations'!HS468="!AMBIG","!AMBIG",IF(COUNTIF('Calculations'!$HE$13:$HE$512,"="&amp;SUBSTITUTE(SUBSTITUTE(SUBSTITUTE('Calculations'!HS468,"~","~~"),"*","~*"),"?","~?"))&gt;1,"!AMBIG",IFERROR(INDEX('Calculations'!$HF$13:$HF$512,MATCH('Calculations'!HS468,'Calculations'!$HE$13:$HE$512,0)),""))))</x:f>
      </x:c>
      <x:c r="HU468" t="str">
        <x:f>IF('Calculations'!HT468="","",IF('Calculations'!HT468="!AMBIG","!AMBIG",IF(COUNTIF('Calculations'!$HE$13:$HE$512,"="&amp;SUBSTITUTE(SUBSTITUTE(SUBSTITUTE('Calculations'!HT468,"~","~~"),"*","~*"),"?","~?"))&gt;1,"!AMBIG",IFERROR(INDEX('Calculations'!$HF$13:$HF$512,MATCH('Calculations'!HT468,'Calculations'!$HE$13:$HE$512,0)),""))))</x:f>
      </x:c>
      <x:c r="HV468" t="str">
        <x:f>IF('Calculations'!HU468="","",IF('Calculations'!HU468="!AMBIG","!AMBIG",IF(COUNTIF('Calculations'!$HE$13:$HE$512,"="&amp;SUBSTITUTE(SUBSTITUTE(SUBSTITUTE('Calculations'!HU468,"~","~~"),"*","~*"),"?","~?"))&gt;1,"!AMBIG",IFERROR(INDEX('Calculations'!$HF$13:$HF$512,MATCH('Calculations'!HU468,'Calculations'!$HE$13:$HE$512,0)),""))))</x:f>
      </x:c>
      <x:c r="HW468" t="str">
        <x:f>IF('Calculations'!HV468="","",IF('Calculations'!HV468="!AMBIG","!AMBIG",IF(COUNTIF('Calculations'!$HE$13:$HE$512,"="&amp;SUBSTITUTE(SUBSTITUTE(SUBSTITUTE('Calculations'!HV468,"~","~~"),"*","~*"),"?","~?"))&gt;1,"!AMBIG",IFERROR(INDEX('Calculations'!$HF$13:$HF$512,MATCH('Calculations'!HV468,'Calculations'!$HE$13:$HE$512,0)),""))))</x:f>
      </x:c>
      <x:c r="HX468" t="str">
        <x:f>IF('Calculations'!HW468="","",IF('Calculations'!HW468="!AMBIG","!AMBIG",IF(COUNTIF('Calculations'!$HE$13:$HE$512,"="&amp;SUBSTITUTE(SUBSTITUTE(SUBSTITUTE('Calculations'!HW468,"~","~~"),"*","~*"),"?","~?"))&gt;1,"!AMBIG",IFERROR(INDEX('Calculations'!$HF$13:$HF$512,MATCH('Calculations'!HW468,'Calculations'!$HE$13:$HE$512,0)),""))))</x:f>
      </x:c>
      <x:c r="HY468" t="str">
        <x:f>IF('Calculations'!HX468="","",IF('Calculations'!HX468="!AMBIG","!AMBIG",IF(COUNTIF('Calculations'!$HE$13:$HE$512,"="&amp;SUBSTITUTE(SUBSTITUTE(SUBSTITUTE('Calculations'!HX468,"~","~~"),"*","~*"),"?","~?"))&gt;1,"!AMBIG",IFERROR(INDEX('Calculations'!$HF$13:$HF$512,MATCH('Calculations'!HX468,'Calculations'!$HE$13:$HE$512,0)),""))))</x:f>
      </x:c>
      <x:c r="HZ468" t="str">
        <x:f>IF('Calculations'!HY468="","",IF('Calculations'!HY468="!AMBIG","!AMBIG",IF(COUNTIF('Calculations'!$HE$13:$HE$512,"="&amp;SUBSTITUTE(SUBSTITUTE(SUBSTITUTE('Calculations'!HY468,"~","~~"),"*","~*"),"?","~?"))&gt;1,"!AMBIG",IFERROR(INDEX('Calculations'!$HF$13:$HF$512,MATCH('Calculations'!HY468,'Calculations'!$HE$13:$HE$512,0)),""))))</x:f>
      </x:c>
      <x:c r="IA468" t="str">
        <x:f>IF('Calculations'!HZ468="","",IF('Calculations'!HZ468="!AMBIG","!AMBIG",IF(COUNTIF('Calculations'!$HE$13:$HE$512,"="&amp;SUBSTITUTE(SUBSTITUTE(SUBSTITUTE('Calculations'!HZ468,"~","~~"),"*","~*"),"?","~?"))&gt;1,"!AMBIG",IFERROR(INDEX('Calculations'!$HF$13:$HF$512,MATCH('Calculations'!HZ468,'Calculations'!$HE$13:$HE$512,0)),""))))</x:f>
      </x:c>
      <x:c r="IB468" t="str">
        <x:f>IF('Calculations'!IA468="","",IF('Calculations'!IA468="!AMBIG","!AMBIG",IF(COUNTIF('Calculations'!$HE$13:$HE$512,"="&amp;SUBSTITUTE(SUBSTITUTE(SUBSTITUTE('Calculations'!IA468,"~","~~"),"*","~*"),"?","~?"))&gt;1,"!AMBIG",IFERROR(INDEX('Calculations'!$HF$13:$HF$512,MATCH('Calculations'!IA468,'Calculations'!$HE$13:$HE$512,0)),""))))</x:f>
      </x:c>
      <x:c r="IC468" t="str">
        <x:f>IF('Calculations'!IB468="","",IF('Calculations'!IB468="!AMBIG","!AMBIG",IF(COUNTIF('Calculations'!$HE$13:$HE$512,"="&amp;SUBSTITUTE(SUBSTITUTE(SUBSTITUTE('Calculations'!IB468,"~","~~"),"*","~*"),"?","~?"))&gt;1,"!AMBIG",IFERROR(INDEX('Calculations'!$HF$13:$HF$512,MATCH('Calculations'!IB468,'Calculations'!$HE$13:$HE$512,0)),""))))</x:f>
      </x:c>
      <x:c r="ID468" t="str">
        <x:f>IF('Calculations'!IC468="","",IF('Calculations'!IC468="!AMBIG","!AMBIG",IF(COUNTIF('Calculations'!$HE$13:$HE$512,"="&amp;SUBSTITUTE(SUBSTITUTE(SUBSTITUTE('Calculations'!IC468,"~","~~"),"*","~*"),"?","~?"))&gt;1,"!AMBIG",IFERROR(INDEX('Calculations'!$HF$13:$HF$512,MATCH('Calculations'!IC468,'Calculations'!$HE$13:$HE$512,0)),""))))</x:f>
      </x:c>
      <x:c r="IE468" t="str">
        <x:f>IF('Calculations'!ID468="","",IF('Calculations'!ID468="!AMBIG","!AMBIG",IF(COUNTIF('Calculations'!$HE$13:$HE$512,"="&amp;SUBSTITUTE(SUBSTITUTE(SUBSTITUTE('Calculations'!ID468,"~","~~"),"*","~*"),"?","~?"))&gt;1,"!AMBIG",IFERROR(INDEX('Calculations'!$HF$13:$HF$512,MATCH('Calculations'!ID468,'Calculations'!$HE$13:$HE$512,0)),""))))</x:f>
      </x:c>
      <x:c r="IF468" t="str">
        <x:f>IF('Calculations'!IE468="","",IF('Calculations'!IE468="!AMBIG","!AMBIG",IF(COUNTIF('Calculations'!$HE$13:$HE$512,"="&amp;SUBSTITUTE(SUBSTITUTE(SUBSTITUTE('Calculations'!IE468,"~","~~"),"*","~*"),"?","~?"))&gt;1,"!AMBIG",IFERROR(INDEX('Calculations'!$HF$13:$HF$512,MATCH('Calculations'!IE468,'Calculations'!$HE$13:$HE$512,0)),""))))</x:f>
      </x:c>
      <x:c r="IG468" t="str">
        <x:f>IF('Calculations'!IF468="","",IF('Calculations'!IF468="!AMBIG","!AMBIG",IF(COUNTIF('Calculations'!$HE$13:$HE$512,"="&amp;SUBSTITUTE(SUBSTITUTE(SUBSTITUTE('Calculations'!IF468,"~","~~"),"*","~*"),"?","~?"))&gt;1,"!AMBIG",IFERROR(INDEX('Calculations'!$HF$13:$HF$512,MATCH('Calculations'!IF468,'Calculations'!$HE$13:$HE$512,0)),""))))</x:f>
      </x:c>
      <x:c r="IH468" t="str">
        <x:f>IF('Calculations'!IG468="","",IF('Calculations'!IG468="!AMBIG","!AMBIG",IF(COUNTIF('Calculations'!$HE$13:$HE$512,"="&amp;SUBSTITUTE(SUBSTITUTE(SUBSTITUTE('Calculations'!IG468,"~","~~"),"*","~*"),"?","~?"))&gt;1,"!AMBIG",IFERROR(INDEX('Calculations'!$HF$13:$HF$512,MATCH('Calculations'!IG468,'Calculations'!$HE$13:$HE$512,0)),""))))</x:f>
      </x:c>
      <x:c r="II468" t="str">
        <x:f>IF('Calculations'!IH468="","",IF('Calculations'!IH468="!AMBIG","!AMBIG",IF(COUNTIF('Calculations'!$HE$13:$HE$512,"="&amp;SUBSTITUTE(SUBSTITUTE(SUBSTITUTE('Calculations'!IH468,"~","~~"),"*","~*"),"?","~?"))&gt;1,"!AMBIG",IFERROR(INDEX('Calculations'!$HF$13:$HF$512,MATCH('Calculations'!IH468,'Calculations'!$HE$13:$HE$512,0)),""))))</x:f>
      </x:c>
      <x:c r="IJ468" t="str">
        <x:f>IF('Calculations'!EM468="","",IF('Calculations'!$EF$2="All",'Calculations'!HM468,IF('Calculations'!HL468=1,"",IFERROR(IF(MATCH('Calculations'!$EF$2,'Calculations'!HO468:II468,0)=1,'Calculations'!HE468,INDEX('Calculations'!HO468:II468,1,MATCH('Calculations'!$EF$2,'Calculations'!HO468:II468,0)-1)),""))))</x:f>
      </x:c>
      <x:c r="IK468" t="n">
        <x:f>IF(AND('Calculations'!EM468&lt;&gt;"",'Calculations'!$EF$2&lt;&gt;"All",'Calculations'!HF468='Calculations'!$EF$2,'Calculations'!HL468=0,'Calculations'!JD468&gt;0),MAX('Calculations'!$IK$12:IK467)+1,0)</x:f>
        <x:v>0</x:v>
      </x:c>
      <x:c r="JA468" t="n">
        <x:f>IF(OR(IFERROR(INDIRECT("'WCM Calibration Final'!$A$468")&lt;&gt;"",FALSE),IFERROR(INDIRECT("'WCM Calibration Final'!$B$468")&lt;&gt;"",FALSE),IFERROR(INDIRECT("'WCM Calibration Final'!$C$468")&lt;&gt;"",FALSE)),468,0)</x:f>
        <x:v>0</x:v>
      </x:c>
      <x:c r="JB468" t="n">
        <x:f>'Calculations'!JB467+IF('Calculations'!JA468&gt;0,1,0)</x:f>
        <x:v>0</x:v>
      </x:c>
      <x:c r="JC468" t="n">
        <x:f>IF(OR('Calculations'!HF468="",'Calculations'!HF468="!AMBIG"),0,IF('Dashboard'!$B$7="All",1,COUNTIFS('Calculations'!$HO$13:$HO$512,"="&amp;SUBSTITUTE(SUBSTITUTE(SUBSTITUTE('Calculations'!HF468,"~","~~"),"*","~*"),"?","~?"),'Calculations'!$HN$13:$HN$512,"="&amp;SUBSTITUTE(SUBSTITUTE(SUBSTITUTE('Dashboard'!$B$7,"~","~~"),"*","~*"),"?","~?"))+COUNTIFS('Calculations'!$HP$13:$HP$512,"="&amp;SUBSTITUTE(SUBSTITUTE(SUBSTITUTE('Calculations'!HF468,"~","~~"),"*","~*"),"?","~?"),'Calculations'!$HN$13:$HN$512,"="&amp;SUBSTITUTE(SUBSTITUTE(SUBSTITUTE('Dashboard'!$B$7,"~","~~"),"*","~*"),"?","~?"))+COUNTIFS('Calculations'!$HQ$13:$HQ$512,"="&amp;SUBSTITUTE(SUBSTITUTE(SUBSTITUTE('Calculations'!HF468,"~","~~"),"*","~*"),"?","~?"),'Calculations'!$HN$13:$HN$512,"="&amp;SUBSTITUTE(SUBSTITUTE(SUBSTITUTE('Dashboard'!$B$7,"~","~~"),"*","~*"),"?","~?"))+COUNTIFS('Calculations'!$HR$13:$HR$512,"="&amp;SUBSTITUTE(SUBSTITUTE(SUBSTITUTE('Calculations'!HF468,"~","~~"),"*","~*"),"?","~?"),'Calculations'!$HN$13:$HN$512,"="&amp;SUBSTITUTE(SUBSTITUTE(SUBSTITUTE('Dashboard'!$B$7,"~","~~"),"*","~*"),"?","~?"))+COUNTIFS('Calculations'!$HS$13:$HS$512,"="&amp;SUBSTITUTE(SUBSTITUTE(SUBSTITUTE('Calculations'!HF468,"~","~~"),"*","~*"),"?","~?"),'Calculations'!$HN$13:$HN$512,"="&amp;SUBSTITUTE(SUBSTITUTE(SUBSTITUTE('Dashboard'!$B$7,"~","~~"),"*","~*"),"?","~?"))+COUNTIFS('Calculations'!$HT$13:$HT$512,"="&amp;SUBSTITUTE(SUBSTITUTE(SUBSTITUTE('Calculations'!HF468,"~","~~"),"*","~*"),"?","~?"),'Calculations'!$HN$13:$HN$512,"="&amp;SUBSTITUTE(SUBSTITUTE(SUBSTITUTE('Dashboard'!$B$7,"~","~~"),"*","~*"),"?","~?"))+COUNTIFS('Calculations'!$HU$13:$HU$512,"="&amp;SUBSTITUTE(SUBSTITUTE(SUBSTITUTE('Calculations'!HF468,"~","~~"),"*","~*"),"?","~?"),'Calculations'!$HN$13:$HN$512,"="&amp;SUBSTITUTE(SUBSTITUTE(SUBSTITUTE('Dashboard'!$B$7,"~","~~"),"*","~*"),"?","~?"))+COUNTIFS('Calculations'!$HV$13:$HV$512,"="&amp;SUBSTITUTE(SUBSTITUTE(SUBSTITUTE('Calculations'!HF468,"~","~~"),"*","~*"),"?","~?"),'Calculations'!$HN$13:$HN$512,"="&amp;SUBSTITUTE(SUBSTITUTE(SUBSTITUTE('Dashboard'!$B$7,"~","~~"),"*","~*"),"?","~?"))+COUNTIFS('Calculations'!$HW$13:$HW$512,"="&amp;SUBSTITUTE(SUBSTITUTE(SUBSTITUTE('Calculations'!HF468,"~","~~"),"*","~*"),"?","~?"),'Calculations'!$HN$13:$HN$512,"="&amp;SUBSTITUTE(SUBSTITUTE(SUBSTITUTE('Dashboard'!$B$7,"~","~~"),"*","~*"),"?","~?"))+COUNTIFS('Calculations'!$HX$13:$HX$512,"="&amp;SUBSTITUTE(SUBSTITUTE(SUBSTITUTE('Calculations'!HF468,"~","~~"),"*","~*"),"?","~?"),'Calculations'!$HN$13:$HN$512,"="&amp;SUBSTITUTE(SUBSTITUTE(SUBSTITUTE('Dashboard'!$B$7,"~","~~"),"*","~*"),"?","~?"))+COUNTIFS('Calculations'!$HY$13:$HY$512,"="&amp;SUBSTITUTE(SUBSTITUTE(SUBSTITUTE('Calculations'!HF468,"~","~~"),"*","~*"),"?","~?"),'Calculations'!$HN$13:$HN$512,"="&amp;SUBSTITUTE(SUBSTITUTE(SUBSTITUTE('Dashboard'!$B$7,"~","~~"),"*","~*"),"?","~?"))+COUNTIFS('Calculations'!$HZ$13:$HZ$512,"="&amp;SUBSTITUTE(SUBSTITUTE(SUBSTITUTE('Calculations'!HF468,"~","~~"),"*","~*"),"?","~?"),'Calculations'!$HN$13:$HN$512,"="&amp;SUBSTITUTE(SUBSTITUTE(SUBSTITUTE('Dashboard'!$B$7,"~","~~"),"*","~*"),"?","~?"))+COUNTIFS('Calculations'!$IA$13:$IA$512,"="&amp;SUBSTITUTE(SUBSTITUTE(SUBSTITUTE('Calculations'!HF468,"~","~~"),"*","~*"),"?","~?"),'Calculations'!$HN$13:$HN$512,"="&amp;SUBSTITUTE(SUBSTITUTE(SUBSTITUTE('Dashboard'!$B$7,"~","~~"),"*","~*"),"?","~?"))+COUNTIFS('Calculations'!$IB$13:$IB$512,"="&amp;SUBSTITUTE(SUBSTITUTE(SUBSTITUTE('Calculations'!HF468,"~","~~"),"*","~*"),"?","~?"),'Calculations'!$HN$13:$HN$512,"="&amp;SUBSTITUTE(SUBSTITUTE(SUBSTITUTE('Dashboard'!$B$7,"~","~~"),"*","~*"),"?","~?"))+COUNTIFS('Calculations'!$IC$13:$IC$512,"="&amp;SUBSTITUTE(SUBSTITUTE(SUBSTITUTE('Calculations'!HF468,"~","~~"),"*","~*"),"?","~?"),'Calculations'!$HN$13:$HN$512,"="&amp;SUBSTITUTE(SUBSTITUTE(SUBSTITUTE('Dashboard'!$B$7,"~","~~"),"*","~*"),"?","~?"))+COUNTIFS('Calculations'!$ID$13:$ID$512,"="&amp;SUBSTITUTE(SUBSTITUTE(SUBSTITUTE('Calculations'!HF468,"~","~~"),"*","~*"),"?","~?"),'Calculations'!$HN$13:$HN$512,"="&amp;SUBSTITUTE(SUBSTITUTE(SUBSTITUTE('Dashboard'!$B$7,"~","~~"),"*","~*"),"?","~?"))+COUNTIFS('Calculations'!$IE$13:$IE$512,"="&amp;SUBSTITUTE(SUBSTITUTE(SUBSTITUTE('Calculations'!HF468,"~","~~"),"*","~*"),"?","~?"),'Calculations'!$HN$13:$HN$512,"="&amp;SUBSTITUTE(SUBSTITUTE(SUBSTITUTE('Dashboard'!$B$7,"~","~~"),"*","~*"),"?","~?"))+COUNTIFS('Calculations'!$IF$13:$IF$512,"="&amp;SUBSTITUTE(SUBSTITUTE(SUBSTITUTE('Calculations'!HF468,"~","~~"),"*","~*"),"?","~?"),'Calculations'!$HN$13:$HN$512,"="&amp;SUBSTITUTE(SUBSTITUTE(SUBSTITUTE('Dashboard'!$B$7,"~","~~"),"*","~*"),"?","~?"))+COUNTIFS('Calculations'!$IG$13:$IG$512,"="&amp;SUBSTITUTE(SUBSTITUTE(SUBSTITUTE('Calculations'!HF468,"~","~~"),"*","~*"),"?","~?"),'Calculations'!$HN$13:$HN$512,"="&amp;SUBSTITUTE(SUBSTITUTE(SUBSTITUTE('Dashboard'!$B$7,"~","~~"),"*","~*"),"?","~?"))+COUNTIFS('Calculations'!$IH$13:$IH$512,"="&amp;SUBSTITUTE(SUBSTITUTE(SUBSTITUTE('Calculations'!HF468,"~","~~"),"*","~*"),"?","~?"),'Calculations'!$HN$13:$HN$512,"="&amp;SUBSTITUTE(SUBSTITUTE(SUBSTITUTE('Dashboard'!$B$7,"~","~~"),"*","~*"),"?","~?"))))</x:f>
        <x:v>0</x:v>
      </x:c>
      <x:c r="JD468" t="n">
        <x:f>IF('Calculations'!EM468="",0,IF('Dashboard'!$B$7="All",1,IF('Calculations'!HN468='Dashboard'!$B$7,1,0)+IFERROR(INDEX('Calculations'!$JC$13:$JC$512,MATCH('Calculations'!HE468,'Calculations'!$HF$13:$HF$512,0)),0)))</x:f>
        <x:v>0</x:v>
      </x:c>
      <x:c r="JE468" t="n">
        <x:f>IF(AND('Calculations'!EM468&lt;&gt;"",'Calculations'!$JJ$2&lt;&gt;"All",'Calculations'!$JJ$2&lt;&gt;"",'Calculations'!HF468='Calculations'!$JJ$2,'Calculations'!HL468=0,'Calculations'!JD468&gt;0),MAX('Calculations'!$JE$12:JE467)+1,0)</x:f>
        <x:v>0</x:v>
      </x:c>
      <x:c r="JF468" t="str">
        <x:f>IF('Calculations'!EM468="","",IFERROR(IF(INDEX(INDIRECT("'WCM Calibration Final'!$G$1:$G$2000"),'Calculations'!$EM468)="","",TRIM(INDEX(INDIRECT("'WCM Calibration Final'!$G$1:$G$2000"),'Calculations'!$EM468)&amp;"")),""))</x:f>
      </x:c>
      <x:c r="JQ468" t="n">
        <x:f>IF(OR('Calculations'!BM468=0,NOT('Calculations'!$AG$2),'Calculations'!$AG$8&gt;0),0,IF(OR('Dashboard'!$B$7="All",'Calculations'!HN468='Dashboard'!$B$7),IF('Calculations'!$JJ$2="All",1,IF(AND('Calculations'!HF468='Calculations'!$JJ$2,'Calculations'!HL468=0),1,0)),0))</x:f>
        <x:v>0</x:v>
      </x:c>
    </x:row>
    <x:row r="469">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t="n">
        <x:f>IF('Calculations'!$EM469="",0,IF(OR(IFERROR(INDEX(INDIRECT("'WCM Calibration Final'!$A$1:$A$2000"),'Calculations'!$EM469)&lt;&gt;"",FALSE),IFERROR(INDEX(INDIRECT("'WCM Calibration Final'!$B$1:$B$2000"),'Calculations'!$EM469)&lt;&gt;"",FALSE),IFERROR(INDEX(INDIRECT("'WCM Calibration Final'!$C$1:$C$2000"),'Calculations'!$EM469)&lt;&gt;"",FALSE)),1,0))</x:f>
        <x:v>0</x:v>
      </x:c>
      <x:c r="BN469" s="4" t="n">
        <x:f>IF(AND('Calculations'!BM469=1,'Calculations'!$AG$2,'Calculations'!$EN469=1),1,0)</x:f>
        <x:v>0</x:v>
      </x:c>
      <x:c r="BO469" s="4" t="str">
        <x:f>IF('Calculations'!BM469=0,"",IFERROR(IF(AND(VALUE(INDEX(INDIRECT("'WCM Calibration Final'!$K$1:$K$2000"),'Calculations'!$EM469))&gt;=1,VALUE(INDEX(INDIRECT("'WCM Calibration Final'!$K$1:$K$2000"),'Calculations'!$EM469))&lt;=4,MOD(VALUE(INDEX(INDIRECT("'WCM Calibration Final'!$K$1:$K$2000"),'Calculations'!$EM469)),1)=0),VALUE(INDEX(INDIRECT("'WCM Calibration Final'!$K$1:$K$2000"),'Calculations'!$EM469)),""),""))</x:f>
      </x:c>
      <x:c r="BP469" s="4" t="str">
        <x:f>IF('Calculations'!BM469=0,"",IFERROR(IF(AND(VALUE(INDEX(INDIRECT("'WCM Calibration Final'!$L$1:$L$2000"),'Calculations'!$EM469))&gt;=1,VALUE(INDEX(INDIRECT("'WCM Calibration Final'!$L$1:$L$2000"),'Calculations'!$EM469))&lt;=4,MOD(VALUE(INDEX(INDIRECT("'WCM Calibration Final'!$L$1:$L$2000"),'Calculations'!$EM469)),1)=0),VALUE(INDEX(INDIRECT("'WCM Calibration Final'!$L$1:$L$2000"),'Calculations'!$EM469)),""),""))</x:f>
      </x:c>
      <x:c r="BQ469" s="4"/>
      <x:c r="BR469" s="4"/>
      <x:c r="BS469" s="4"/>
      <x:c r="BT469" s="4" t="n">
        <x:f>IF(AND('Calculations'!BM469=1,ISNUMBER('Calculations'!BO469),ISNUMBER('Calculations'!BP469)),1,0)</x:f>
        <x:v>0</x:v>
      </x:c>
      <x:c r="BU469" s="4" t="str">
        <x:f>IF('Calculations'!BM469=0,"",'Calculations'!$EO469)</x:f>
      </x:c>
      <x:c r="BV469" s="4" t="str">
        <x:f>IF('Calculations'!BM469=0,"",IFERROR(IF(OR(INDEX(INDIRECT("'WCM Calibration Final'!$H$1:$H$2000"),'Calculations'!$EM469)="MANAGING DIRECTOR",INDEX(INDIRECT("'WCM Calibration Final'!$H$1:$H$2000"),'Calculations'!$EM469)="DIRECTOR",INDEX(INDIRECT("'WCM Calibration Final'!$H$1:$H$2000"),'Calculations'!$EM469)="SENIOR VICE PRESIDENT",INDEX(INDIRECT("'WCM Calibration Final'!$H$1:$H$2000"),'Calculations'!$EM469)="VICE PRESIDENT",INDEX(INDIRECT("'WCM Calibration Final'!$H$1:$H$2000"),'Calculations'!$EM469)="ASSISTANT VICE PRESIDENT",INDEX(INDIRECT("'WCM Calibration Final'!$H$1:$H$2000"),'Calculations'!$EM469)="OFFICER"),UPPER(INDEX(INDIRECT("'WCM Calibration Final'!$H$1:$H$2000"),'Calculations'!$EM469)),"Other"),"Other"))</x:f>
      </x:c>
      <x:c r="BW469" s="4"/>
      <x:c r="BX469" s="4"/>
      <x:c r="BY469" s="4" t="n">
        <x:f>IF(AND('Calculations'!BM469=1,'Calculations'!BU469&lt;&gt;"",COUNTIF('Calculations'!$BU$12:BU469,'Calculations'!BU469)=1),MAX('Calculations'!$BY$11:BY468)+1,0)</x:f>
        <x:v>0</x:v>
      </x:c>
      <x:c r="BZ469" s="4" t="str">
        <x:f>IF('Dashboard'!$E$67="What",'Calculations'!BO469,'Calculations'!BP469)</x:f>
      </x:c>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t="str">
        <x:f>IF(458&gt;MAX('Calculations'!$HI$13:$HI$512),"",INDEX('Calculations'!$HN$13:$HN$512,MATCH(458,'Calculations'!$HI$13:$HI$512,0)))</x:f>
      </x:c>
      <x:c r="DB469" s="4" t="str">
        <x:f>IF(458&gt;MAX('Calculations'!$HH$13:$HH$512),"",INDEX('Calculations'!$HJ$13:$HJ$512,MATCH(458,'Calculations'!$HH$13:$HH$512,0)))</x:f>
      </x:c>
      <x:c r="DC469" s="4" t="str">
        <x:f>IF(ROW()-11&gt;MAX('Calculations'!$BY$13:$BY$512),"",INDEX('Calculations'!$BU$13:$BU$512,MATCH(ROW()-11,'Calculations'!$BY$13:$BY$512,0)))</x:f>
      </x:c>
      <x:c r="DD469" s="4" t="str">
        <x:f>IF(458&gt;MAX('Calculations'!$IK$13:$IK$512),"",INDEX('Calculations'!$HK$13:$HK$512,MATCH(458,'Calculations'!$IK$13:$IK$512,0)))</x:f>
      </x:c>
      <x:c r="DE469" s="4" t="str">
        <x:f>'Calculations'!DC469</x:f>
      </x:c>
      <x:c r="DF469" s="4" t="str">
        <x:f>IF('Calculations'!DE469="","",COUNTIFS('Calculations'!$BN$13:$BN$512,1,'Calculations'!$BU$13:$BU$512,'Calculations'!DE469))</x:f>
      </x:c>
      <x:c r="DG469" s="4" t="str">
        <x:f>IF('Calculations'!DE469="","",COUNTIFS('Calculations'!$BN$13:$BN$512,1,'Calculations'!$BU$13:$BU$512,'Calculations'!DE469,'Calculations'!$BT$13:$BT$512,1))</x:f>
      </x:c>
      <x:c r="DH469" s="4" t="str">
        <x:f>IF('Calculations'!DE469="","",'Calculations'!DF469-'Calculations'!DG469)</x:f>
      </x:c>
      <x:c r="DI469" s="4" t="str">
        <x:f>IF(OR('Calculations'!DE469="",'Calculations'!DF469=0),"",'Calculations'!DG469/'Calculations'!DF469)</x:f>
      </x:c>
      <x:c r="DJ469" s="4" t="str">
        <x:f>IF('Calculations'!DE469="","",COUNTIFS('Calculations'!$BN$13:$BN$512,1,'Calculations'!$BU$13:$BU$512,'Calculations'!DE469,'Calculations'!$BT$13:$BT$512,1,'Calculations'!$EE$13:$EE$512,"High"))</x:f>
      </x:c>
      <x:c r="DK469" s="4" t="str">
        <x:f>IF('Calculations'!DE469="","",COUNTIFS('Calculations'!$BN$13:$BN$512,1,'Calculations'!$BU$13:$BU$512,'Calculations'!DE469,'Calculations'!$BT$13:$BT$512,1,'Calculations'!$EE$13:$EE$512,"Strong"))</x:f>
      </x:c>
      <x:c r="DL469" s="4" t="str">
        <x:f>IF('Calculations'!DE469="","",COUNTIFS('Calculations'!$BN$13:$BN$512,1,'Calculations'!$BU$13:$BU$512,'Calculations'!DE469,'Calculations'!$BT$13:$BT$512,1,'Calculations'!$EE$13:$EE$512,"Solid"))</x:f>
      </x:c>
      <x:c r="DM469" s="4" t="str">
        <x:f>IF('Calculations'!DE469="","",COUNTIFS('Calculations'!$BN$13:$BN$512,1,'Calculations'!$BU$13:$BU$512,'Calculations'!DE469,'Calculations'!$BT$13:$BT$512,1,'Calculations'!$EE$13:$EE$512,"Low"))</x:f>
      </x:c>
      <x:c r="DN469" s="4" t="str">
        <x:f>IF('Calculations'!DE469="","",COUNTIFS('Calculations'!$BN$13:$BN$512,1,'Calculations'!$BU$13:$BU$512,'Calculations'!DE469,'Calculations'!$EP$13:$EP$512,1))</x:f>
      </x:c>
      <x:c r="DO469" s="4" t="str">
        <x:f>IF(OR('Calculations'!DE469="",'Calculations'!DG469=0),"",('Calculations'!DJ469+'Calculations'!DK469)/'Calculations'!DG469)</x:f>
      </x:c>
      <x:c r="DP469" s="4" t="n">
        <x:f>IF(AND('Calculations'!DE469&lt;&gt;"",'Calculations'!DF469&gt;0),COUNTIF('Calculations'!$DF$12:DF469,"&gt;0"),0)</x:f>
        <x:v>0</x:v>
      </x:c>
      <x:c r="DQ469" s="4" t="str">
        <x:f>IF(458&gt;MAX('Calculations'!$HH$13:$HH$512),"",INDEX('Calculations'!$HF$13:$HF$512,MATCH(458,'Calculations'!$HH$13:$HH$512,0)))</x:f>
      </x:c>
      <x:c r="DR469" s="4" t="str">
        <x:f>IF(458&gt;MAX('Calculations'!$IK$13:$IK$512),"",INDEX('Calculations'!$HE$13:$HE$512,MATCH(458,'Calculations'!$IK$13:$IK$512,0)))</x:f>
      </x:c>
      <x:c r="DS469" s="4"/>
      <x:c r="DT469" s="4"/>
      <x:c r="DU469" s="4"/>
      <x:c r="DV469" s="4"/>
      <x:c r="DW469" s="4"/>
      <x:c r="DX469" s="4"/>
      <x:c r="DY469" s="4"/>
      <x:c r="DZ469" s="4"/>
      <x:c r="EA469" s="4"/>
      <x:c r="EB469" s="4"/>
      <x:c r="EC469" s="4"/>
      <x:c r="ED469" s="4"/>
      <x:c r="EE469" s="4" t="str">
        <x:f>IF('Calculations'!BT469=0,"Not Rated",IF(OR('Calculations'!BO469&gt;=4,'Calculations'!BP469&gt;=4),"Low",IF('Calculations'!BO469+'Calculations'!BP469&lt;=3,"High",IF('Calculations'!BO469+'Calculations'!BP469&lt;=4,"Strong","Solid"))))</x:f>
        <x:v>Not Rated</x:v>
      </x:c>
      <x:c r="EF469" s="4"/>
      <x:c r="EG469" s="4"/>
      <x:c r="EH469" s="4"/>
      <x:c r="EI469" s="4"/>
      <x:c r="EJ469" s="4"/>
      <x:c r="EK469" s="4"/>
      <x:c r="EL469" s="4"/>
      <x:c r="EM469" s="4" t="str">
        <x:f>IF(457&gt;'Calculations'!$JB$2000,"",INDEX('Calculations'!$JA$12:$JA$2000,MATCH(457,'Calculations'!$JB$12:$JB$2000,0)))</x:f>
      </x:c>
      <x:c r="EN469" s="4" t="n">
        <x:f>IF(OR('Calculations'!EM469="",'Calculations'!$AG$8&gt;0,AND('Calculations'!$EF$2&lt;&gt;"All",'Calculations'!HE469='Calculations'!$EF$2),AND('Calculations'!$EF$3&lt;&gt;"All",'Calculations'!HE469='Calculations'!$EF$3)),0,IF(OR('Dashboard'!$B$7="All",'Calculations'!HN469='Dashboard'!$B$7),IF('Calculations'!$EF$2="All",1,IF('Calculations'!HL469&gt;0,0,IF(COUNTIF('Calculations'!HO469:II469,"="&amp;SUBSTITUTE(SUBSTITUTE(SUBSTITUTE('Calculations'!$EF$2,"~","~~"),"*","~*"),"?","~?"))=0,0,IF('Calculations'!$EF$3="All",1,IF(COUNTIF('Calculations'!HO469:II469,"="&amp;SUBSTITUTE(SUBSTITUTE(SUBSTITUTE('Calculations'!$EF$3,"~","~~"),"*","~*"),"?","~?"))&gt;0,1,0))))),0))</x:f>
        <x:v>0</x:v>
      </x:c>
      <x:c r="EO469" s="4" t="str">
        <x:f>IF('Calculations'!IJ469="","",IF('Calculations'!IJ469="!UNRESOLVED","Unresolved hierarchy",IFERROR(INDEX('Calculations'!$HK$13:$HK$512,MATCH('Calculations'!IJ469,'Calculations'!$HE$13:$HE$512,0)),IFERROR(INDEX('Calculations'!$HJ$13:$HJ$512,MATCH('Calculations'!IJ469,'Calculations'!$HF$13:$HF$512,0)),'Calculations'!IJ469))))</x:f>
      </x:c>
      <x:c r="EP469" s="4" t="n">
        <x:f>IF(AND('Calculations'!EM469&lt;&gt;"",'Calculations'!HF469='Calculations'!IJ469),1,0)</x:f>
        <x:v>0</x:v>
      </x:c>
      <x:c r="EQ469" s="4"/>
      <x:c r="ER469" s="4"/>
      <x:c r="ES469" s="4"/>
      <x:c r="ET469" s="4"/>
      <x:c r="EU469" s="4"/>
      <x:c r="EV469" s="4"/>
      <x:c r="EW469" s="4"/>
      <x:c r="EX469" s="4"/>
      <x:c r="EY469" s="4"/>
      <x:c r="EZ469" s="4"/>
      <x:c r="FA469" s="4"/>
      <x:c r="FB469" s="4"/>
      <x:c r="FC469" s="4"/>
      <x:c r="FD469" s="4"/>
      <x:c r="FE469" s="4"/>
      <x:c r="FF469" s="4"/>
      <x:c r="FG469" s="4"/>
      <x:c r="FH469" s="4"/>
      <x:c r="FI469" s="4"/>
      <x:c r="FJ469" s="4"/>
      <x:c r="FK469" s="4"/>
      <x:c r="FL469" s="4"/>
      <x:c r="FM469" s="4"/>
      <x:c r="FN469" s="4"/>
      <x:c r="FO469" s="4"/>
      <x:c r="HE469" t="str">
        <x:f>IF('Calculations'!EM469="","",IF(IFERROR(IF(INDEX(INDIRECT("'WCM Calibration Final'!$A$1:$A$2000"),'Calculations'!$EM469)="","",TRIM(INDEX(INDIRECT("'WCM Calibration Final'!$A$1:$A$2000"),'Calculations'!$EM469)&amp;"")),"")&lt;&gt;"","G:"&amp;IFERROR(TEXT(1*INDEX(INDIRECT("'WCM Calibration Final'!$A$1:$A$2000"),'Calculations'!$EM469),"0"),UPPER(IFERROR(IF(INDEX(INDIRECT("'WCM Calibration Final'!$A$1:$A$2000"),'Calculations'!$EM469)="","",TRIM(INDEX(INDIRECT("'WCM Calibration Final'!$A$1:$A$2000"),'Calculations'!$EM469)&amp;"")),""))),IF(IFERROR(IF(INDEX(INDIRECT("'WCM Calibration Final'!$C$1:$C$2000"),'Calculations'!$EM469)="","",TRIM(INDEX(INDIRECT("'WCM Calibration Final'!$C$1:$C$2000"),'Calculations'!$EM469)&amp;"")),"")&lt;&gt;"","S:"&amp;UPPER(IFERROR(IF(INDEX(INDIRECT("'WCM Calibration Final'!$C$1:$C$2000"),'Calculations'!$EM469)="","",TRIM(INDEX(INDIRECT("'WCM Calibration Final'!$C$1:$C$2000"),'Calculations'!$EM469)&amp;"")),"")),"R:"&amp;'Calculations'!EM469)))</x:f>
      </x:c>
      <x:c r="HF469" t="str">
        <x:f>IF('Calculations'!EM469="","",IF(IFERROR(IF(INDEX(INDIRECT("'WCM Calibration Final'!$D$1:$D$2000"),'Calculations'!$EM469)="","",TRIM(INDEX(INDIRECT("'WCM Calibration Final'!$D$1:$D$2000"),'Calculations'!$EM469)&amp;"")),"")&lt;&gt;"","G:"&amp;IFERROR(TEXT(1*INDEX(INDIRECT("'WCM Calibration Final'!$D$1:$D$2000"),'Calculations'!$EM469),"0"),UPPER(IFERROR(IF(INDEX(INDIRECT("'WCM Calibration Final'!$D$1:$D$2000"),'Calculations'!$EM469)="","",TRIM(INDEX(INDIRECT("'WCM Calibration Final'!$D$1:$D$2000"),'Calculations'!$EM469)&amp;"")),""))),IF(IFERROR(IF(INDEX(INDIRECT("'WCM Calibration Final'!$E$1:$E$2000"),'Calculations'!$EM469)="","",TRIM(INDEX(INDIRECT("'WCM Calibration Final'!$E$1:$E$2000"),'Calculations'!$EM469)&amp;"")),"")="","",IF(COUNTIF('Calculations'!$HG$13:$HG$512,"="&amp;SUBSTITUTE(SUBSTITUTE(SUBSTITUTE(IFERROR(IF(INDEX(INDIRECT("'WCM Calibration Final'!$E$1:$E$2000"),'Calculations'!$EM469)="","",TRIM(INDEX(INDIRECT("'WCM Calibration Final'!$E$1:$E$2000"),'Calculations'!$EM469)&amp;"")),""),"~","~~"),"*","~*"),"?","~?"))=1,INDEX('Calculations'!$HE$13:$HE$512,MATCH(IFERROR(IF(INDEX(INDIRECT("'WCM Calibration Final'!$E$1:$E$2000"),'Calculations'!$EM469)="","",TRIM(INDEX(INDIRECT("'WCM Calibration Final'!$E$1:$E$2000"),'Calculations'!$EM469)&amp;"")),""),'Calculations'!$HG$13:$HG$512,0)),IF(COUNTIF('Calculations'!$HG$13:$HG$512,"="&amp;SUBSTITUTE(SUBSTITUTE(SUBSTITUTE(IFERROR(IF(INDEX(INDIRECT("'WCM Calibration Final'!$E$1:$E$2000"),'Calculations'!$EM469)="","",TRIM(INDEX(INDIRECT("'WCM Calibration Final'!$E$1:$E$2000"),'Calculations'!$EM469)&amp;"")),""),"~","~~"),"*","~*"),"?","~?"))&gt;1,"!AMBIG","X:"&amp;IFERROR(IF(INDEX(INDIRECT("'WCM Calibration Final'!$E$1:$E$2000"),'Calculations'!$EM469)="","",TRIM(INDEX(INDIRECT("'WCM Calibration Final'!$E$1:$E$2000"),'Calculations'!$EM469)&amp;"")),""))))))</x:f>
      </x:c>
      <x:c r="HG469" t="str">
        <x:f>IF('Calculations'!EM469="","",IFERROR(IF(INDEX(INDIRECT("'WCM Calibration Final'!$B$1:$B$2000"),'Calculations'!$EM469)="","",TRIM(INDEX(INDIRECT("'WCM Calibration Final'!$B$1:$B$2000"),'Calculations'!$EM469)&amp;"")),""))</x:f>
      </x:c>
      <x:c r="HH469" t="n">
        <x:f>IF(AND('Calculations'!JC469&gt;0,COUNTIF('Calculations'!$HF$12:HF469,"="&amp;SUBSTITUTE(SUBSTITUTE(SUBSTITUTE('Calculations'!HF469,"~","~~"),"*","~*"),"?","~?"))=1),MAX('Calculations'!$HH$12:HH468)+1,0)</x:f>
        <x:v>0</x:v>
      </x:c>
      <x:c r="HI469" t="n">
        <x:f>IF(AND('Calculations'!HN469&lt;&gt;"",COUNTIF('Calculations'!$HN$12:HN469,"="&amp;SUBSTITUTE(SUBSTITUTE(SUBSTITUTE('Calculations'!HN469,"~","~~"),"*","~*"),"?","~?"))=1),MAX('Calculations'!$HI$12:HI468)+1,0)</x:f>
        <x:v>0</x:v>
      </x:c>
      <x:c r="HJ469" t="str">
        <x:f>IF('Calculations'!HF469="","",IF(COUNTIF('Calculations'!$HE$13:$HE$512,"="&amp;SUBSTITUTE(SUBSTITUTE(SUBSTITUTE('Calculations'!HF469,"~","~~"),"*","~*"),"?","~?"))=1,INDEX('Calculations'!$HK$13:$HK$512,MATCH('Calculations'!HF469,'Calculations'!$HE$13:$HE$512,0)),IFERROR(IF(INDEX(INDIRECT("'WCM Calibration Final'!$E$1:$E$2000"),'Calculations'!$EM469)="","",TRIM(INDEX(INDIRECT("'WCM Calibration Final'!$E$1:$E$2000"),'Calculations'!$EM469)&amp;"")),"")&amp;" ["&amp;'Calculations'!HF469&amp;"]"))</x:f>
      </x:c>
      <x:c r="HK469" t="str">
        <x:f>IF('Calculations'!EM469="","",'Calculations'!HG469&amp;" ["&amp;'Calculations'!HE469&amp;"]")</x:f>
      </x:c>
      <x:c r="HL469" t="n">
        <x:f>IF('Calculations'!EM469="",0,IF(OR('Calculations'!II469&lt;&gt;"",COUNTIF('Calculations'!$HE$13:$HE$512,"="&amp;SUBSTITUTE(SUBSTITUTE(SUBSTITUTE('Calculations'!HE469,"~","~~"),"*","~*"),"?","~?"))&gt;1),1,0))</x:f>
        <x:v>0</x:v>
      </x:c>
      <x:c r="HM469" t="str">
        <x:f>IF('Calculations'!EM469="","",IF('Calculations'!HL469=1,"!UNRESOLVED",IF('Calculations'!IH469&lt;&gt;"",'Calculations'!IH469,IF('Calculations'!IG469&lt;&gt;"",'Calculations'!IG469,IF('Calculations'!IF469&lt;&gt;"",'Calculations'!IF469,IF('Calculations'!IE469&lt;&gt;"",'Calculations'!IE469,IF('Calculations'!ID469&lt;&gt;"",'Calculations'!ID469,IF('Calculations'!IC469&lt;&gt;"",'Calculations'!IC469,IF('Calculations'!IB469&lt;&gt;"",'Calculations'!IB469,IF('Calculations'!IA469&lt;&gt;"",'Calculations'!IA469,IF('Calculations'!HZ469&lt;&gt;"",'Calculations'!HZ469,IF('Calculations'!HY469&lt;&gt;"",'Calculations'!HY469,IF('Calculations'!HX469&lt;&gt;"",'Calculations'!HX469,IF('Calculations'!HW469&lt;&gt;"",'Calculations'!HW469,IF('Calculations'!HV469&lt;&gt;"",'Calculations'!HV469,IF('Calculations'!HU469&lt;&gt;"",'Calculations'!HU469,IF('Calculations'!HT469&lt;&gt;"",'Calculations'!HT469,IF('Calculations'!HS469&lt;&gt;"",'Calculations'!HS469,IF('Calculations'!HR469&lt;&gt;"",'Calculations'!HR469,IF('Calculations'!HQ469&lt;&gt;"",'Calculations'!HQ469,IF('Calculations'!HP469&lt;&gt;"",'Calculations'!HP469,IF('Calculations'!HO469&lt;&gt;"",'Calculations'!HO469,'Calculations'!HE469))))))))))))))))))))))</x:f>
      </x:c>
      <x:c r="HN469" t="str">
        <x:f>IF('Calculations'!EM469="","",IF(IFERROR(IF(INDEX(INDIRECT("'WCM Calibration Final'!$F$1:$F$2000"),'Calculations'!$EM469)="","",TRIM(INDEX(INDIRECT("'WCM Calibration Final'!$F$1:$F$2000"),'Calculations'!$EM469)&amp;"")),"")="","(Blank)",IFERROR(IF(INDEX(INDIRECT("'WCM Calibration Final'!$F$1:$F$2000"),'Calculations'!$EM469)="","",TRIM(INDEX(INDIRECT("'WCM Calibration Final'!$F$1:$F$2000"),'Calculations'!$EM469)&amp;"")),"")))</x:f>
      </x:c>
      <x:c r="HO469" t="str">
        <x:f>'Calculations'!HF469</x:f>
      </x:c>
      <x:c r="HP469" t="str">
        <x:f>IF('Calculations'!HO469="","",IF('Calculations'!HO469="!AMBIG","!AMBIG",IF(COUNTIF('Calculations'!$HE$13:$HE$512,"="&amp;SUBSTITUTE(SUBSTITUTE(SUBSTITUTE('Calculations'!HO469,"~","~~"),"*","~*"),"?","~?"))&gt;1,"!AMBIG",IFERROR(INDEX('Calculations'!$HF$13:$HF$512,MATCH('Calculations'!HO469,'Calculations'!$HE$13:$HE$512,0)),""))))</x:f>
      </x:c>
      <x:c r="HQ469" t="str">
        <x:f>IF('Calculations'!HP469="","",IF('Calculations'!HP469="!AMBIG","!AMBIG",IF(COUNTIF('Calculations'!$HE$13:$HE$512,"="&amp;SUBSTITUTE(SUBSTITUTE(SUBSTITUTE('Calculations'!HP469,"~","~~"),"*","~*"),"?","~?"))&gt;1,"!AMBIG",IFERROR(INDEX('Calculations'!$HF$13:$HF$512,MATCH('Calculations'!HP469,'Calculations'!$HE$13:$HE$512,0)),""))))</x:f>
      </x:c>
      <x:c r="HR469" t="str">
        <x:f>IF('Calculations'!HQ469="","",IF('Calculations'!HQ469="!AMBIG","!AMBIG",IF(COUNTIF('Calculations'!$HE$13:$HE$512,"="&amp;SUBSTITUTE(SUBSTITUTE(SUBSTITUTE('Calculations'!HQ469,"~","~~"),"*","~*"),"?","~?"))&gt;1,"!AMBIG",IFERROR(INDEX('Calculations'!$HF$13:$HF$512,MATCH('Calculations'!HQ469,'Calculations'!$HE$13:$HE$512,0)),""))))</x:f>
      </x:c>
      <x:c r="HS469" t="str">
        <x:f>IF('Calculations'!HR469="","",IF('Calculations'!HR469="!AMBIG","!AMBIG",IF(COUNTIF('Calculations'!$HE$13:$HE$512,"="&amp;SUBSTITUTE(SUBSTITUTE(SUBSTITUTE('Calculations'!HR469,"~","~~"),"*","~*"),"?","~?"))&gt;1,"!AMBIG",IFERROR(INDEX('Calculations'!$HF$13:$HF$512,MATCH('Calculations'!HR469,'Calculations'!$HE$13:$HE$512,0)),""))))</x:f>
      </x:c>
      <x:c r="HT469" t="str">
        <x:f>IF('Calculations'!HS469="","",IF('Calculations'!HS469="!AMBIG","!AMBIG",IF(COUNTIF('Calculations'!$HE$13:$HE$512,"="&amp;SUBSTITUTE(SUBSTITUTE(SUBSTITUTE('Calculations'!HS469,"~","~~"),"*","~*"),"?","~?"))&gt;1,"!AMBIG",IFERROR(INDEX('Calculations'!$HF$13:$HF$512,MATCH('Calculations'!HS469,'Calculations'!$HE$13:$HE$512,0)),""))))</x:f>
      </x:c>
      <x:c r="HU469" t="str">
        <x:f>IF('Calculations'!HT469="","",IF('Calculations'!HT469="!AMBIG","!AMBIG",IF(COUNTIF('Calculations'!$HE$13:$HE$512,"="&amp;SUBSTITUTE(SUBSTITUTE(SUBSTITUTE('Calculations'!HT469,"~","~~"),"*","~*"),"?","~?"))&gt;1,"!AMBIG",IFERROR(INDEX('Calculations'!$HF$13:$HF$512,MATCH('Calculations'!HT469,'Calculations'!$HE$13:$HE$512,0)),""))))</x:f>
      </x:c>
      <x:c r="HV469" t="str">
        <x:f>IF('Calculations'!HU469="","",IF('Calculations'!HU469="!AMBIG","!AMBIG",IF(COUNTIF('Calculations'!$HE$13:$HE$512,"="&amp;SUBSTITUTE(SUBSTITUTE(SUBSTITUTE('Calculations'!HU469,"~","~~"),"*","~*"),"?","~?"))&gt;1,"!AMBIG",IFERROR(INDEX('Calculations'!$HF$13:$HF$512,MATCH('Calculations'!HU469,'Calculations'!$HE$13:$HE$512,0)),""))))</x:f>
      </x:c>
      <x:c r="HW469" t="str">
        <x:f>IF('Calculations'!HV469="","",IF('Calculations'!HV469="!AMBIG","!AMBIG",IF(COUNTIF('Calculations'!$HE$13:$HE$512,"="&amp;SUBSTITUTE(SUBSTITUTE(SUBSTITUTE('Calculations'!HV469,"~","~~"),"*","~*"),"?","~?"))&gt;1,"!AMBIG",IFERROR(INDEX('Calculations'!$HF$13:$HF$512,MATCH('Calculations'!HV469,'Calculations'!$HE$13:$HE$512,0)),""))))</x:f>
      </x:c>
      <x:c r="HX469" t="str">
        <x:f>IF('Calculations'!HW469="","",IF('Calculations'!HW469="!AMBIG","!AMBIG",IF(COUNTIF('Calculations'!$HE$13:$HE$512,"="&amp;SUBSTITUTE(SUBSTITUTE(SUBSTITUTE('Calculations'!HW469,"~","~~"),"*","~*"),"?","~?"))&gt;1,"!AMBIG",IFERROR(INDEX('Calculations'!$HF$13:$HF$512,MATCH('Calculations'!HW469,'Calculations'!$HE$13:$HE$512,0)),""))))</x:f>
      </x:c>
      <x:c r="HY469" t="str">
        <x:f>IF('Calculations'!HX469="","",IF('Calculations'!HX469="!AMBIG","!AMBIG",IF(COUNTIF('Calculations'!$HE$13:$HE$512,"="&amp;SUBSTITUTE(SUBSTITUTE(SUBSTITUTE('Calculations'!HX469,"~","~~"),"*","~*"),"?","~?"))&gt;1,"!AMBIG",IFERROR(INDEX('Calculations'!$HF$13:$HF$512,MATCH('Calculations'!HX469,'Calculations'!$HE$13:$HE$512,0)),""))))</x:f>
      </x:c>
      <x:c r="HZ469" t="str">
        <x:f>IF('Calculations'!HY469="","",IF('Calculations'!HY469="!AMBIG","!AMBIG",IF(COUNTIF('Calculations'!$HE$13:$HE$512,"="&amp;SUBSTITUTE(SUBSTITUTE(SUBSTITUTE('Calculations'!HY469,"~","~~"),"*","~*"),"?","~?"))&gt;1,"!AMBIG",IFERROR(INDEX('Calculations'!$HF$13:$HF$512,MATCH('Calculations'!HY469,'Calculations'!$HE$13:$HE$512,0)),""))))</x:f>
      </x:c>
      <x:c r="IA469" t="str">
        <x:f>IF('Calculations'!HZ469="","",IF('Calculations'!HZ469="!AMBIG","!AMBIG",IF(COUNTIF('Calculations'!$HE$13:$HE$512,"="&amp;SUBSTITUTE(SUBSTITUTE(SUBSTITUTE('Calculations'!HZ469,"~","~~"),"*","~*"),"?","~?"))&gt;1,"!AMBIG",IFERROR(INDEX('Calculations'!$HF$13:$HF$512,MATCH('Calculations'!HZ469,'Calculations'!$HE$13:$HE$512,0)),""))))</x:f>
      </x:c>
      <x:c r="IB469" t="str">
        <x:f>IF('Calculations'!IA469="","",IF('Calculations'!IA469="!AMBIG","!AMBIG",IF(COUNTIF('Calculations'!$HE$13:$HE$512,"="&amp;SUBSTITUTE(SUBSTITUTE(SUBSTITUTE('Calculations'!IA469,"~","~~"),"*","~*"),"?","~?"))&gt;1,"!AMBIG",IFERROR(INDEX('Calculations'!$HF$13:$HF$512,MATCH('Calculations'!IA469,'Calculations'!$HE$13:$HE$512,0)),""))))</x:f>
      </x:c>
      <x:c r="IC469" t="str">
        <x:f>IF('Calculations'!IB469="","",IF('Calculations'!IB469="!AMBIG","!AMBIG",IF(COUNTIF('Calculations'!$HE$13:$HE$512,"="&amp;SUBSTITUTE(SUBSTITUTE(SUBSTITUTE('Calculations'!IB469,"~","~~"),"*","~*"),"?","~?"))&gt;1,"!AMBIG",IFERROR(INDEX('Calculations'!$HF$13:$HF$512,MATCH('Calculations'!IB469,'Calculations'!$HE$13:$HE$512,0)),""))))</x:f>
      </x:c>
      <x:c r="ID469" t="str">
        <x:f>IF('Calculations'!IC469="","",IF('Calculations'!IC469="!AMBIG","!AMBIG",IF(COUNTIF('Calculations'!$HE$13:$HE$512,"="&amp;SUBSTITUTE(SUBSTITUTE(SUBSTITUTE('Calculations'!IC469,"~","~~"),"*","~*"),"?","~?"))&gt;1,"!AMBIG",IFERROR(INDEX('Calculations'!$HF$13:$HF$512,MATCH('Calculations'!IC469,'Calculations'!$HE$13:$HE$512,0)),""))))</x:f>
      </x:c>
      <x:c r="IE469" t="str">
        <x:f>IF('Calculations'!ID469="","",IF('Calculations'!ID469="!AMBIG","!AMBIG",IF(COUNTIF('Calculations'!$HE$13:$HE$512,"="&amp;SUBSTITUTE(SUBSTITUTE(SUBSTITUTE('Calculations'!ID469,"~","~~"),"*","~*"),"?","~?"))&gt;1,"!AMBIG",IFERROR(INDEX('Calculations'!$HF$13:$HF$512,MATCH('Calculations'!ID469,'Calculations'!$HE$13:$HE$512,0)),""))))</x:f>
      </x:c>
      <x:c r="IF469" t="str">
        <x:f>IF('Calculations'!IE469="","",IF('Calculations'!IE469="!AMBIG","!AMBIG",IF(COUNTIF('Calculations'!$HE$13:$HE$512,"="&amp;SUBSTITUTE(SUBSTITUTE(SUBSTITUTE('Calculations'!IE469,"~","~~"),"*","~*"),"?","~?"))&gt;1,"!AMBIG",IFERROR(INDEX('Calculations'!$HF$13:$HF$512,MATCH('Calculations'!IE469,'Calculations'!$HE$13:$HE$512,0)),""))))</x:f>
      </x:c>
      <x:c r="IG469" t="str">
        <x:f>IF('Calculations'!IF469="","",IF('Calculations'!IF469="!AMBIG","!AMBIG",IF(COUNTIF('Calculations'!$HE$13:$HE$512,"="&amp;SUBSTITUTE(SUBSTITUTE(SUBSTITUTE('Calculations'!IF469,"~","~~"),"*","~*"),"?","~?"))&gt;1,"!AMBIG",IFERROR(INDEX('Calculations'!$HF$13:$HF$512,MATCH('Calculations'!IF469,'Calculations'!$HE$13:$HE$512,0)),""))))</x:f>
      </x:c>
      <x:c r="IH469" t="str">
        <x:f>IF('Calculations'!IG469="","",IF('Calculations'!IG469="!AMBIG","!AMBIG",IF(COUNTIF('Calculations'!$HE$13:$HE$512,"="&amp;SUBSTITUTE(SUBSTITUTE(SUBSTITUTE('Calculations'!IG469,"~","~~"),"*","~*"),"?","~?"))&gt;1,"!AMBIG",IFERROR(INDEX('Calculations'!$HF$13:$HF$512,MATCH('Calculations'!IG469,'Calculations'!$HE$13:$HE$512,0)),""))))</x:f>
      </x:c>
      <x:c r="II469" t="str">
        <x:f>IF('Calculations'!IH469="","",IF('Calculations'!IH469="!AMBIG","!AMBIG",IF(COUNTIF('Calculations'!$HE$13:$HE$512,"="&amp;SUBSTITUTE(SUBSTITUTE(SUBSTITUTE('Calculations'!IH469,"~","~~"),"*","~*"),"?","~?"))&gt;1,"!AMBIG",IFERROR(INDEX('Calculations'!$HF$13:$HF$512,MATCH('Calculations'!IH469,'Calculations'!$HE$13:$HE$512,0)),""))))</x:f>
      </x:c>
      <x:c r="IJ469" t="str">
        <x:f>IF('Calculations'!EM469="","",IF('Calculations'!$EF$2="All",'Calculations'!HM469,IF('Calculations'!HL469=1,"",IFERROR(IF(MATCH('Calculations'!$EF$2,'Calculations'!HO469:II469,0)=1,'Calculations'!HE469,INDEX('Calculations'!HO469:II469,1,MATCH('Calculations'!$EF$2,'Calculations'!HO469:II469,0)-1)),""))))</x:f>
      </x:c>
      <x:c r="IK469" t="n">
        <x:f>IF(AND('Calculations'!EM469&lt;&gt;"",'Calculations'!$EF$2&lt;&gt;"All",'Calculations'!HF469='Calculations'!$EF$2,'Calculations'!HL469=0,'Calculations'!JD469&gt;0),MAX('Calculations'!$IK$12:IK468)+1,0)</x:f>
        <x:v>0</x:v>
      </x:c>
      <x:c r="JA469" t="n">
        <x:f>IF(OR(IFERROR(INDIRECT("'WCM Calibration Final'!$A$469")&lt;&gt;"",FALSE),IFERROR(INDIRECT("'WCM Calibration Final'!$B$469")&lt;&gt;"",FALSE),IFERROR(INDIRECT("'WCM Calibration Final'!$C$469")&lt;&gt;"",FALSE)),469,0)</x:f>
        <x:v>0</x:v>
      </x:c>
      <x:c r="JB469" t="n">
        <x:f>'Calculations'!JB468+IF('Calculations'!JA469&gt;0,1,0)</x:f>
        <x:v>0</x:v>
      </x:c>
      <x:c r="JC469" t="n">
        <x:f>IF(OR('Calculations'!HF469="",'Calculations'!HF469="!AMBIG"),0,IF('Dashboard'!$B$7="All",1,COUNTIFS('Calculations'!$HO$13:$HO$512,"="&amp;SUBSTITUTE(SUBSTITUTE(SUBSTITUTE('Calculations'!HF469,"~","~~"),"*","~*"),"?","~?"),'Calculations'!$HN$13:$HN$512,"="&amp;SUBSTITUTE(SUBSTITUTE(SUBSTITUTE('Dashboard'!$B$7,"~","~~"),"*","~*"),"?","~?"))+COUNTIFS('Calculations'!$HP$13:$HP$512,"="&amp;SUBSTITUTE(SUBSTITUTE(SUBSTITUTE('Calculations'!HF469,"~","~~"),"*","~*"),"?","~?"),'Calculations'!$HN$13:$HN$512,"="&amp;SUBSTITUTE(SUBSTITUTE(SUBSTITUTE('Dashboard'!$B$7,"~","~~"),"*","~*"),"?","~?"))+COUNTIFS('Calculations'!$HQ$13:$HQ$512,"="&amp;SUBSTITUTE(SUBSTITUTE(SUBSTITUTE('Calculations'!HF469,"~","~~"),"*","~*"),"?","~?"),'Calculations'!$HN$13:$HN$512,"="&amp;SUBSTITUTE(SUBSTITUTE(SUBSTITUTE('Dashboard'!$B$7,"~","~~"),"*","~*"),"?","~?"))+COUNTIFS('Calculations'!$HR$13:$HR$512,"="&amp;SUBSTITUTE(SUBSTITUTE(SUBSTITUTE('Calculations'!HF469,"~","~~"),"*","~*"),"?","~?"),'Calculations'!$HN$13:$HN$512,"="&amp;SUBSTITUTE(SUBSTITUTE(SUBSTITUTE('Dashboard'!$B$7,"~","~~"),"*","~*"),"?","~?"))+COUNTIFS('Calculations'!$HS$13:$HS$512,"="&amp;SUBSTITUTE(SUBSTITUTE(SUBSTITUTE('Calculations'!HF469,"~","~~"),"*","~*"),"?","~?"),'Calculations'!$HN$13:$HN$512,"="&amp;SUBSTITUTE(SUBSTITUTE(SUBSTITUTE('Dashboard'!$B$7,"~","~~"),"*","~*"),"?","~?"))+COUNTIFS('Calculations'!$HT$13:$HT$512,"="&amp;SUBSTITUTE(SUBSTITUTE(SUBSTITUTE('Calculations'!HF469,"~","~~"),"*","~*"),"?","~?"),'Calculations'!$HN$13:$HN$512,"="&amp;SUBSTITUTE(SUBSTITUTE(SUBSTITUTE('Dashboard'!$B$7,"~","~~"),"*","~*"),"?","~?"))+COUNTIFS('Calculations'!$HU$13:$HU$512,"="&amp;SUBSTITUTE(SUBSTITUTE(SUBSTITUTE('Calculations'!HF469,"~","~~"),"*","~*"),"?","~?"),'Calculations'!$HN$13:$HN$512,"="&amp;SUBSTITUTE(SUBSTITUTE(SUBSTITUTE('Dashboard'!$B$7,"~","~~"),"*","~*"),"?","~?"))+COUNTIFS('Calculations'!$HV$13:$HV$512,"="&amp;SUBSTITUTE(SUBSTITUTE(SUBSTITUTE('Calculations'!HF469,"~","~~"),"*","~*"),"?","~?"),'Calculations'!$HN$13:$HN$512,"="&amp;SUBSTITUTE(SUBSTITUTE(SUBSTITUTE('Dashboard'!$B$7,"~","~~"),"*","~*"),"?","~?"))+COUNTIFS('Calculations'!$HW$13:$HW$512,"="&amp;SUBSTITUTE(SUBSTITUTE(SUBSTITUTE('Calculations'!HF469,"~","~~"),"*","~*"),"?","~?"),'Calculations'!$HN$13:$HN$512,"="&amp;SUBSTITUTE(SUBSTITUTE(SUBSTITUTE('Dashboard'!$B$7,"~","~~"),"*","~*"),"?","~?"))+COUNTIFS('Calculations'!$HX$13:$HX$512,"="&amp;SUBSTITUTE(SUBSTITUTE(SUBSTITUTE('Calculations'!HF469,"~","~~"),"*","~*"),"?","~?"),'Calculations'!$HN$13:$HN$512,"="&amp;SUBSTITUTE(SUBSTITUTE(SUBSTITUTE('Dashboard'!$B$7,"~","~~"),"*","~*"),"?","~?"))+COUNTIFS('Calculations'!$HY$13:$HY$512,"="&amp;SUBSTITUTE(SUBSTITUTE(SUBSTITUTE('Calculations'!HF469,"~","~~"),"*","~*"),"?","~?"),'Calculations'!$HN$13:$HN$512,"="&amp;SUBSTITUTE(SUBSTITUTE(SUBSTITUTE('Dashboard'!$B$7,"~","~~"),"*","~*"),"?","~?"))+COUNTIFS('Calculations'!$HZ$13:$HZ$512,"="&amp;SUBSTITUTE(SUBSTITUTE(SUBSTITUTE('Calculations'!HF469,"~","~~"),"*","~*"),"?","~?"),'Calculations'!$HN$13:$HN$512,"="&amp;SUBSTITUTE(SUBSTITUTE(SUBSTITUTE('Dashboard'!$B$7,"~","~~"),"*","~*"),"?","~?"))+COUNTIFS('Calculations'!$IA$13:$IA$512,"="&amp;SUBSTITUTE(SUBSTITUTE(SUBSTITUTE('Calculations'!HF469,"~","~~"),"*","~*"),"?","~?"),'Calculations'!$HN$13:$HN$512,"="&amp;SUBSTITUTE(SUBSTITUTE(SUBSTITUTE('Dashboard'!$B$7,"~","~~"),"*","~*"),"?","~?"))+COUNTIFS('Calculations'!$IB$13:$IB$512,"="&amp;SUBSTITUTE(SUBSTITUTE(SUBSTITUTE('Calculations'!HF469,"~","~~"),"*","~*"),"?","~?"),'Calculations'!$HN$13:$HN$512,"="&amp;SUBSTITUTE(SUBSTITUTE(SUBSTITUTE('Dashboard'!$B$7,"~","~~"),"*","~*"),"?","~?"))+COUNTIFS('Calculations'!$IC$13:$IC$512,"="&amp;SUBSTITUTE(SUBSTITUTE(SUBSTITUTE('Calculations'!HF469,"~","~~"),"*","~*"),"?","~?"),'Calculations'!$HN$13:$HN$512,"="&amp;SUBSTITUTE(SUBSTITUTE(SUBSTITUTE('Dashboard'!$B$7,"~","~~"),"*","~*"),"?","~?"))+COUNTIFS('Calculations'!$ID$13:$ID$512,"="&amp;SUBSTITUTE(SUBSTITUTE(SUBSTITUTE('Calculations'!HF469,"~","~~"),"*","~*"),"?","~?"),'Calculations'!$HN$13:$HN$512,"="&amp;SUBSTITUTE(SUBSTITUTE(SUBSTITUTE('Dashboard'!$B$7,"~","~~"),"*","~*"),"?","~?"))+COUNTIFS('Calculations'!$IE$13:$IE$512,"="&amp;SUBSTITUTE(SUBSTITUTE(SUBSTITUTE('Calculations'!HF469,"~","~~"),"*","~*"),"?","~?"),'Calculations'!$HN$13:$HN$512,"="&amp;SUBSTITUTE(SUBSTITUTE(SUBSTITUTE('Dashboard'!$B$7,"~","~~"),"*","~*"),"?","~?"))+COUNTIFS('Calculations'!$IF$13:$IF$512,"="&amp;SUBSTITUTE(SUBSTITUTE(SUBSTITUTE('Calculations'!HF469,"~","~~"),"*","~*"),"?","~?"),'Calculations'!$HN$13:$HN$512,"="&amp;SUBSTITUTE(SUBSTITUTE(SUBSTITUTE('Dashboard'!$B$7,"~","~~"),"*","~*"),"?","~?"))+COUNTIFS('Calculations'!$IG$13:$IG$512,"="&amp;SUBSTITUTE(SUBSTITUTE(SUBSTITUTE('Calculations'!HF469,"~","~~"),"*","~*"),"?","~?"),'Calculations'!$HN$13:$HN$512,"="&amp;SUBSTITUTE(SUBSTITUTE(SUBSTITUTE('Dashboard'!$B$7,"~","~~"),"*","~*"),"?","~?"))+COUNTIFS('Calculations'!$IH$13:$IH$512,"="&amp;SUBSTITUTE(SUBSTITUTE(SUBSTITUTE('Calculations'!HF469,"~","~~"),"*","~*"),"?","~?"),'Calculations'!$HN$13:$HN$512,"="&amp;SUBSTITUTE(SUBSTITUTE(SUBSTITUTE('Dashboard'!$B$7,"~","~~"),"*","~*"),"?","~?"))))</x:f>
        <x:v>0</x:v>
      </x:c>
      <x:c r="JD469" t="n">
        <x:f>IF('Calculations'!EM469="",0,IF('Dashboard'!$B$7="All",1,IF('Calculations'!HN469='Dashboard'!$B$7,1,0)+IFERROR(INDEX('Calculations'!$JC$13:$JC$512,MATCH('Calculations'!HE469,'Calculations'!$HF$13:$HF$512,0)),0)))</x:f>
        <x:v>0</x:v>
      </x:c>
      <x:c r="JE469" t="n">
        <x:f>IF(AND('Calculations'!EM469&lt;&gt;"",'Calculations'!$JJ$2&lt;&gt;"All",'Calculations'!$JJ$2&lt;&gt;"",'Calculations'!HF469='Calculations'!$JJ$2,'Calculations'!HL469=0,'Calculations'!JD469&gt;0),MAX('Calculations'!$JE$12:JE468)+1,0)</x:f>
        <x:v>0</x:v>
      </x:c>
      <x:c r="JF469" t="str">
        <x:f>IF('Calculations'!EM469="","",IFERROR(IF(INDEX(INDIRECT("'WCM Calibration Final'!$G$1:$G$2000"),'Calculations'!$EM469)="","",TRIM(INDEX(INDIRECT("'WCM Calibration Final'!$G$1:$G$2000"),'Calculations'!$EM469)&amp;"")),""))</x:f>
      </x:c>
      <x:c r="JQ469" t="n">
        <x:f>IF(OR('Calculations'!BM469=0,NOT('Calculations'!$AG$2),'Calculations'!$AG$8&gt;0),0,IF(OR('Dashboard'!$B$7="All",'Calculations'!HN469='Dashboard'!$B$7),IF('Calculations'!$JJ$2="All",1,IF(AND('Calculations'!HF469='Calculations'!$JJ$2,'Calculations'!HL469=0),1,0)),0))</x:f>
        <x:v>0</x:v>
      </x:c>
    </x:row>
    <x:row r="470">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t="n">
        <x:f>IF('Calculations'!$EM470="",0,IF(OR(IFERROR(INDEX(INDIRECT("'WCM Calibration Final'!$A$1:$A$2000"),'Calculations'!$EM470)&lt;&gt;"",FALSE),IFERROR(INDEX(INDIRECT("'WCM Calibration Final'!$B$1:$B$2000"),'Calculations'!$EM470)&lt;&gt;"",FALSE),IFERROR(INDEX(INDIRECT("'WCM Calibration Final'!$C$1:$C$2000"),'Calculations'!$EM470)&lt;&gt;"",FALSE)),1,0))</x:f>
        <x:v>0</x:v>
      </x:c>
      <x:c r="BN470" s="4" t="n">
        <x:f>IF(AND('Calculations'!BM470=1,'Calculations'!$AG$2,'Calculations'!$EN470=1),1,0)</x:f>
        <x:v>0</x:v>
      </x:c>
      <x:c r="BO470" s="4" t="str">
        <x:f>IF('Calculations'!BM470=0,"",IFERROR(IF(AND(VALUE(INDEX(INDIRECT("'WCM Calibration Final'!$K$1:$K$2000"),'Calculations'!$EM470))&gt;=1,VALUE(INDEX(INDIRECT("'WCM Calibration Final'!$K$1:$K$2000"),'Calculations'!$EM470))&lt;=4,MOD(VALUE(INDEX(INDIRECT("'WCM Calibration Final'!$K$1:$K$2000"),'Calculations'!$EM470)),1)=0),VALUE(INDEX(INDIRECT("'WCM Calibration Final'!$K$1:$K$2000"),'Calculations'!$EM470)),""),""))</x:f>
      </x:c>
      <x:c r="BP470" s="4" t="str">
        <x:f>IF('Calculations'!BM470=0,"",IFERROR(IF(AND(VALUE(INDEX(INDIRECT("'WCM Calibration Final'!$L$1:$L$2000"),'Calculations'!$EM470))&gt;=1,VALUE(INDEX(INDIRECT("'WCM Calibration Final'!$L$1:$L$2000"),'Calculations'!$EM470))&lt;=4,MOD(VALUE(INDEX(INDIRECT("'WCM Calibration Final'!$L$1:$L$2000"),'Calculations'!$EM470)),1)=0),VALUE(INDEX(INDIRECT("'WCM Calibration Final'!$L$1:$L$2000"),'Calculations'!$EM470)),""),""))</x:f>
      </x:c>
      <x:c r="BQ470" s="4"/>
      <x:c r="BR470" s="4"/>
      <x:c r="BS470" s="4"/>
      <x:c r="BT470" s="4" t="n">
        <x:f>IF(AND('Calculations'!BM470=1,ISNUMBER('Calculations'!BO470),ISNUMBER('Calculations'!BP470)),1,0)</x:f>
        <x:v>0</x:v>
      </x:c>
      <x:c r="BU470" s="4" t="str">
        <x:f>IF('Calculations'!BM470=0,"",'Calculations'!$EO470)</x:f>
      </x:c>
      <x:c r="BV470" s="4" t="str">
        <x:f>IF('Calculations'!BM470=0,"",IFERROR(IF(OR(INDEX(INDIRECT("'WCM Calibration Final'!$H$1:$H$2000"),'Calculations'!$EM470)="MANAGING DIRECTOR",INDEX(INDIRECT("'WCM Calibration Final'!$H$1:$H$2000"),'Calculations'!$EM470)="DIRECTOR",INDEX(INDIRECT("'WCM Calibration Final'!$H$1:$H$2000"),'Calculations'!$EM470)="SENIOR VICE PRESIDENT",INDEX(INDIRECT("'WCM Calibration Final'!$H$1:$H$2000"),'Calculations'!$EM470)="VICE PRESIDENT",INDEX(INDIRECT("'WCM Calibration Final'!$H$1:$H$2000"),'Calculations'!$EM470)="ASSISTANT VICE PRESIDENT",INDEX(INDIRECT("'WCM Calibration Final'!$H$1:$H$2000"),'Calculations'!$EM470)="OFFICER"),UPPER(INDEX(INDIRECT("'WCM Calibration Final'!$H$1:$H$2000"),'Calculations'!$EM470)),"Other"),"Other"))</x:f>
      </x:c>
      <x:c r="BW470" s="4"/>
      <x:c r="BX470" s="4"/>
      <x:c r="BY470" s="4" t="n">
        <x:f>IF(AND('Calculations'!BM470=1,'Calculations'!BU470&lt;&gt;"",COUNTIF('Calculations'!$BU$12:BU470,'Calculations'!BU470)=1),MAX('Calculations'!$BY$11:BY469)+1,0)</x:f>
        <x:v>0</x:v>
      </x:c>
      <x:c r="BZ470" s="4" t="str">
        <x:f>IF('Dashboard'!$E$67="What",'Calculations'!BO470,'Calculations'!BP470)</x:f>
      </x:c>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t="str">
        <x:f>IF(459&gt;MAX('Calculations'!$HI$13:$HI$512),"",INDEX('Calculations'!$HN$13:$HN$512,MATCH(459,'Calculations'!$HI$13:$HI$512,0)))</x:f>
      </x:c>
      <x:c r="DB470" s="4" t="str">
        <x:f>IF(459&gt;MAX('Calculations'!$HH$13:$HH$512),"",INDEX('Calculations'!$HJ$13:$HJ$512,MATCH(459,'Calculations'!$HH$13:$HH$512,0)))</x:f>
      </x:c>
      <x:c r="DC470" s="4" t="str">
        <x:f>IF(ROW()-11&gt;MAX('Calculations'!$BY$13:$BY$512),"",INDEX('Calculations'!$BU$13:$BU$512,MATCH(ROW()-11,'Calculations'!$BY$13:$BY$512,0)))</x:f>
      </x:c>
      <x:c r="DD470" s="4" t="str">
        <x:f>IF(459&gt;MAX('Calculations'!$IK$13:$IK$512),"",INDEX('Calculations'!$HK$13:$HK$512,MATCH(459,'Calculations'!$IK$13:$IK$512,0)))</x:f>
      </x:c>
      <x:c r="DE470" s="4" t="str">
        <x:f>'Calculations'!DC470</x:f>
      </x:c>
      <x:c r="DF470" s="4" t="str">
        <x:f>IF('Calculations'!DE470="","",COUNTIFS('Calculations'!$BN$13:$BN$512,1,'Calculations'!$BU$13:$BU$512,'Calculations'!DE470))</x:f>
      </x:c>
      <x:c r="DG470" s="4" t="str">
        <x:f>IF('Calculations'!DE470="","",COUNTIFS('Calculations'!$BN$13:$BN$512,1,'Calculations'!$BU$13:$BU$512,'Calculations'!DE470,'Calculations'!$BT$13:$BT$512,1))</x:f>
      </x:c>
      <x:c r="DH470" s="4" t="str">
        <x:f>IF('Calculations'!DE470="","",'Calculations'!DF470-'Calculations'!DG470)</x:f>
      </x:c>
      <x:c r="DI470" s="4" t="str">
        <x:f>IF(OR('Calculations'!DE470="",'Calculations'!DF470=0),"",'Calculations'!DG470/'Calculations'!DF470)</x:f>
      </x:c>
      <x:c r="DJ470" s="4" t="str">
        <x:f>IF('Calculations'!DE470="","",COUNTIFS('Calculations'!$BN$13:$BN$512,1,'Calculations'!$BU$13:$BU$512,'Calculations'!DE470,'Calculations'!$BT$13:$BT$512,1,'Calculations'!$EE$13:$EE$512,"High"))</x:f>
      </x:c>
      <x:c r="DK470" s="4" t="str">
        <x:f>IF('Calculations'!DE470="","",COUNTIFS('Calculations'!$BN$13:$BN$512,1,'Calculations'!$BU$13:$BU$512,'Calculations'!DE470,'Calculations'!$BT$13:$BT$512,1,'Calculations'!$EE$13:$EE$512,"Strong"))</x:f>
      </x:c>
      <x:c r="DL470" s="4" t="str">
        <x:f>IF('Calculations'!DE470="","",COUNTIFS('Calculations'!$BN$13:$BN$512,1,'Calculations'!$BU$13:$BU$512,'Calculations'!DE470,'Calculations'!$BT$13:$BT$512,1,'Calculations'!$EE$13:$EE$512,"Solid"))</x:f>
      </x:c>
      <x:c r="DM470" s="4" t="str">
        <x:f>IF('Calculations'!DE470="","",COUNTIFS('Calculations'!$BN$13:$BN$512,1,'Calculations'!$BU$13:$BU$512,'Calculations'!DE470,'Calculations'!$BT$13:$BT$512,1,'Calculations'!$EE$13:$EE$512,"Low"))</x:f>
      </x:c>
      <x:c r="DN470" s="4" t="str">
        <x:f>IF('Calculations'!DE470="","",COUNTIFS('Calculations'!$BN$13:$BN$512,1,'Calculations'!$BU$13:$BU$512,'Calculations'!DE470,'Calculations'!$EP$13:$EP$512,1))</x:f>
      </x:c>
      <x:c r="DO470" s="4" t="str">
        <x:f>IF(OR('Calculations'!DE470="",'Calculations'!DG470=0),"",('Calculations'!DJ470+'Calculations'!DK470)/'Calculations'!DG470)</x:f>
      </x:c>
      <x:c r="DP470" s="4" t="n">
        <x:f>IF(AND('Calculations'!DE470&lt;&gt;"",'Calculations'!DF470&gt;0),COUNTIF('Calculations'!$DF$12:DF470,"&gt;0"),0)</x:f>
        <x:v>0</x:v>
      </x:c>
      <x:c r="DQ470" s="4" t="str">
        <x:f>IF(459&gt;MAX('Calculations'!$HH$13:$HH$512),"",INDEX('Calculations'!$HF$13:$HF$512,MATCH(459,'Calculations'!$HH$13:$HH$512,0)))</x:f>
      </x:c>
      <x:c r="DR470" s="4" t="str">
        <x:f>IF(459&gt;MAX('Calculations'!$IK$13:$IK$512),"",INDEX('Calculations'!$HE$13:$HE$512,MATCH(459,'Calculations'!$IK$13:$IK$512,0)))</x:f>
      </x:c>
      <x:c r="DS470" s="4"/>
      <x:c r="DT470" s="4"/>
      <x:c r="DU470" s="4"/>
      <x:c r="DV470" s="4"/>
      <x:c r="DW470" s="4"/>
      <x:c r="DX470" s="4"/>
      <x:c r="DY470" s="4"/>
      <x:c r="DZ470" s="4"/>
      <x:c r="EA470" s="4"/>
      <x:c r="EB470" s="4"/>
      <x:c r="EC470" s="4"/>
      <x:c r="ED470" s="4"/>
      <x:c r="EE470" s="4" t="str">
        <x:f>IF('Calculations'!BT470=0,"Not Rated",IF(OR('Calculations'!BO470&gt;=4,'Calculations'!BP470&gt;=4),"Low",IF('Calculations'!BO470+'Calculations'!BP470&lt;=3,"High",IF('Calculations'!BO470+'Calculations'!BP470&lt;=4,"Strong","Solid"))))</x:f>
        <x:v>Not Rated</x:v>
      </x:c>
      <x:c r="EF470" s="4"/>
      <x:c r="EG470" s="4"/>
      <x:c r="EH470" s="4"/>
      <x:c r="EI470" s="4"/>
      <x:c r="EJ470" s="4"/>
      <x:c r="EK470" s="4"/>
      <x:c r="EL470" s="4"/>
      <x:c r="EM470" s="4" t="str">
        <x:f>IF(458&gt;'Calculations'!$JB$2000,"",INDEX('Calculations'!$JA$12:$JA$2000,MATCH(458,'Calculations'!$JB$12:$JB$2000,0)))</x:f>
      </x:c>
      <x:c r="EN470" s="4" t="n">
        <x:f>IF(OR('Calculations'!EM470="",'Calculations'!$AG$8&gt;0,AND('Calculations'!$EF$2&lt;&gt;"All",'Calculations'!HE470='Calculations'!$EF$2),AND('Calculations'!$EF$3&lt;&gt;"All",'Calculations'!HE470='Calculations'!$EF$3)),0,IF(OR('Dashboard'!$B$7="All",'Calculations'!HN470='Dashboard'!$B$7),IF('Calculations'!$EF$2="All",1,IF('Calculations'!HL470&gt;0,0,IF(COUNTIF('Calculations'!HO470:II470,"="&amp;SUBSTITUTE(SUBSTITUTE(SUBSTITUTE('Calculations'!$EF$2,"~","~~"),"*","~*"),"?","~?"))=0,0,IF('Calculations'!$EF$3="All",1,IF(COUNTIF('Calculations'!HO470:II470,"="&amp;SUBSTITUTE(SUBSTITUTE(SUBSTITUTE('Calculations'!$EF$3,"~","~~"),"*","~*"),"?","~?"))&gt;0,1,0))))),0))</x:f>
        <x:v>0</x:v>
      </x:c>
      <x:c r="EO470" s="4" t="str">
        <x:f>IF('Calculations'!IJ470="","",IF('Calculations'!IJ470="!UNRESOLVED","Unresolved hierarchy",IFERROR(INDEX('Calculations'!$HK$13:$HK$512,MATCH('Calculations'!IJ470,'Calculations'!$HE$13:$HE$512,0)),IFERROR(INDEX('Calculations'!$HJ$13:$HJ$512,MATCH('Calculations'!IJ470,'Calculations'!$HF$13:$HF$512,0)),'Calculations'!IJ470))))</x:f>
      </x:c>
      <x:c r="EP470" s="4" t="n">
        <x:f>IF(AND('Calculations'!EM470&lt;&gt;"",'Calculations'!HF470='Calculations'!IJ470),1,0)</x:f>
        <x:v>0</x:v>
      </x:c>
      <x:c r="EQ470" s="4"/>
      <x:c r="ER470" s="4"/>
      <x:c r="ES470" s="4"/>
      <x:c r="ET470" s="4"/>
      <x:c r="EU470" s="4"/>
      <x:c r="EV470" s="4"/>
      <x:c r="EW470" s="4"/>
      <x:c r="EX470" s="4"/>
      <x:c r="EY470" s="4"/>
      <x:c r="EZ470" s="4"/>
      <x:c r="FA470" s="4"/>
      <x:c r="FB470" s="4"/>
      <x:c r="FC470" s="4"/>
      <x:c r="FD470" s="4"/>
      <x:c r="FE470" s="4"/>
      <x:c r="FF470" s="4"/>
      <x:c r="FG470" s="4"/>
      <x:c r="FH470" s="4"/>
      <x:c r="FI470" s="4"/>
      <x:c r="FJ470" s="4"/>
      <x:c r="FK470" s="4"/>
      <x:c r="FL470" s="4"/>
      <x:c r="FM470" s="4"/>
      <x:c r="FN470" s="4"/>
      <x:c r="FO470" s="4"/>
      <x:c r="HE470" t="str">
        <x:f>IF('Calculations'!EM470="","",IF(IFERROR(IF(INDEX(INDIRECT("'WCM Calibration Final'!$A$1:$A$2000"),'Calculations'!$EM470)="","",TRIM(INDEX(INDIRECT("'WCM Calibration Final'!$A$1:$A$2000"),'Calculations'!$EM470)&amp;"")),"")&lt;&gt;"","G:"&amp;IFERROR(TEXT(1*INDEX(INDIRECT("'WCM Calibration Final'!$A$1:$A$2000"),'Calculations'!$EM470),"0"),UPPER(IFERROR(IF(INDEX(INDIRECT("'WCM Calibration Final'!$A$1:$A$2000"),'Calculations'!$EM470)="","",TRIM(INDEX(INDIRECT("'WCM Calibration Final'!$A$1:$A$2000"),'Calculations'!$EM470)&amp;"")),""))),IF(IFERROR(IF(INDEX(INDIRECT("'WCM Calibration Final'!$C$1:$C$2000"),'Calculations'!$EM470)="","",TRIM(INDEX(INDIRECT("'WCM Calibration Final'!$C$1:$C$2000"),'Calculations'!$EM470)&amp;"")),"")&lt;&gt;"","S:"&amp;UPPER(IFERROR(IF(INDEX(INDIRECT("'WCM Calibration Final'!$C$1:$C$2000"),'Calculations'!$EM470)="","",TRIM(INDEX(INDIRECT("'WCM Calibration Final'!$C$1:$C$2000"),'Calculations'!$EM470)&amp;"")),"")),"R:"&amp;'Calculations'!EM470)))</x:f>
      </x:c>
      <x:c r="HF470" t="str">
        <x:f>IF('Calculations'!EM470="","",IF(IFERROR(IF(INDEX(INDIRECT("'WCM Calibration Final'!$D$1:$D$2000"),'Calculations'!$EM470)="","",TRIM(INDEX(INDIRECT("'WCM Calibration Final'!$D$1:$D$2000"),'Calculations'!$EM470)&amp;"")),"")&lt;&gt;"","G:"&amp;IFERROR(TEXT(1*INDEX(INDIRECT("'WCM Calibration Final'!$D$1:$D$2000"),'Calculations'!$EM470),"0"),UPPER(IFERROR(IF(INDEX(INDIRECT("'WCM Calibration Final'!$D$1:$D$2000"),'Calculations'!$EM470)="","",TRIM(INDEX(INDIRECT("'WCM Calibration Final'!$D$1:$D$2000"),'Calculations'!$EM470)&amp;"")),""))),IF(IFERROR(IF(INDEX(INDIRECT("'WCM Calibration Final'!$E$1:$E$2000"),'Calculations'!$EM470)="","",TRIM(INDEX(INDIRECT("'WCM Calibration Final'!$E$1:$E$2000"),'Calculations'!$EM470)&amp;"")),"")="","",IF(COUNTIF('Calculations'!$HG$13:$HG$512,"="&amp;SUBSTITUTE(SUBSTITUTE(SUBSTITUTE(IFERROR(IF(INDEX(INDIRECT("'WCM Calibration Final'!$E$1:$E$2000"),'Calculations'!$EM470)="","",TRIM(INDEX(INDIRECT("'WCM Calibration Final'!$E$1:$E$2000"),'Calculations'!$EM470)&amp;"")),""),"~","~~"),"*","~*"),"?","~?"))=1,INDEX('Calculations'!$HE$13:$HE$512,MATCH(IFERROR(IF(INDEX(INDIRECT("'WCM Calibration Final'!$E$1:$E$2000"),'Calculations'!$EM470)="","",TRIM(INDEX(INDIRECT("'WCM Calibration Final'!$E$1:$E$2000"),'Calculations'!$EM470)&amp;"")),""),'Calculations'!$HG$13:$HG$512,0)),IF(COUNTIF('Calculations'!$HG$13:$HG$512,"="&amp;SUBSTITUTE(SUBSTITUTE(SUBSTITUTE(IFERROR(IF(INDEX(INDIRECT("'WCM Calibration Final'!$E$1:$E$2000"),'Calculations'!$EM470)="","",TRIM(INDEX(INDIRECT("'WCM Calibration Final'!$E$1:$E$2000"),'Calculations'!$EM470)&amp;"")),""),"~","~~"),"*","~*"),"?","~?"))&gt;1,"!AMBIG","X:"&amp;IFERROR(IF(INDEX(INDIRECT("'WCM Calibration Final'!$E$1:$E$2000"),'Calculations'!$EM470)="","",TRIM(INDEX(INDIRECT("'WCM Calibration Final'!$E$1:$E$2000"),'Calculations'!$EM470)&amp;"")),""))))))</x:f>
      </x:c>
      <x:c r="HG470" t="str">
        <x:f>IF('Calculations'!EM470="","",IFERROR(IF(INDEX(INDIRECT("'WCM Calibration Final'!$B$1:$B$2000"),'Calculations'!$EM470)="","",TRIM(INDEX(INDIRECT("'WCM Calibration Final'!$B$1:$B$2000"),'Calculations'!$EM470)&amp;"")),""))</x:f>
      </x:c>
      <x:c r="HH470" t="n">
        <x:f>IF(AND('Calculations'!JC470&gt;0,COUNTIF('Calculations'!$HF$12:HF470,"="&amp;SUBSTITUTE(SUBSTITUTE(SUBSTITUTE('Calculations'!HF470,"~","~~"),"*","~*"),"?","~?"))=1),MAX('Calculations'!$HH$12:HH469)+1,0)</x:f>
        <x:v>0</x:v>
      </x:c>
      <x:c r="HI470" t="n">
        <x:f>IF(AND('Calculations'!HN470&lt;&gt;"",COUNTIF('Calculations'!$HN$12:HN470,"="&amp;SUBSTITUTE(SUBSTITUTE(SUBSTITUTE('Calculations'!HN470,"~","~~"),"*","~*"),"?","~?"))=1),MAX('Calculations'!$HI$12:HI469)+1,0)</x:f>
        <x:v>0</x:v>
      </x:c>
      <x:c r="HJ470" t="str">
        <x:f>IF('Calculations'!HF470="","",IF(COUNTIF('Calculations'!$HE$13:$HE$512,"="&amp;SUBSTITUTE(SUBSTITUTE(SUBSTITUTE('Calculations'!HF470,"~","~~"),"*","~*"),"?","~?"))=1,INDEX('Calculations'!$HK$13:$HK$512,MATCH('Calculations'!HF470,'Calculations'!$HE$13:$HE$512,0)),IFERROR(IF(INDEX(INDIRECT("'WCM Calibration Final'!$E$1:$E$2000"),'Calculations'!$EM470)="","",TRIM(INDEX(INDIRECT("'WCM Calibration Final'!$E$1:$E$2000"),'Calculations'!$EM470)&amp;"")),"")&amp;" ["&amp;'Calculations'!HF470&amp;"]"))</x:f>
      </x:c>
      <x:c r="HK470" t="str">
        <x:f>IF('Calculations'!EM470="","",'Calculations'!HG470&amp;" ["&amp;'Calculations'!HE470&amp;"]")</x:f>
      </x:c>
      <x:c r="HL470" t="n">
        <x:f>IF('Calculations'!EM470="",0,IF(OR('Calculations'!II470&lt;&gt;"",COUNTIF('Calculations'!$HE$13:$HE$512,"="&amp;SUBSTITUTE(SUBSTITUTE(SUBSTITUTE('Calculations'!HE470,"~","~~"),"*","~*"),"?","~?"))&gt;1),1,0))</x:f>
        <x:v>0</x:v>
      </x:c>
      <x:c r="HM470" t="str">
        <x:f>IF('Calculations'!EM470="","",IF('Calculations'!HL470=1,"!UNRESOLVED",IF('Calculations'!IH470&lt;&gt;"",'Calculations'!IH470,IF('Calculations'!IG470&lt;&gt;"",'Calculations'!IG470,IF('Calculations'!IF470&lt;&gt;"",'Calculations'!IF470,IF('Calculations'!IE470&lt;&gt;"",'Calculations'!IE470,IF('Calculations'!ID470&lt;&gt;"",'Calculations'!ID470,IF('Calculations'!IC470&lt;&gt;"",'Calculations'!IC470,IF('Calculations'!IB470&lt;&gt;"",'Calculations'!IB470,IF('Calculations'!IA470&lt;&gt;"",'Calculations'!IA470,IF('Calculations'!HZ470&lt;&gt;"",'Calculations'!HZ470,IF('Calculations'!HY470&lt;&gt;"",'Calculations'!HY470,IF('Calculations'!HX470&lt;&gt;"",'Calculations'!HX470,IF('Calculations'!HW470&lt;&gt;"",'Calculations'!HW470,IF('Calculations'!HV470&lt;&gt;"",'Calculations'!HV470,IF('Calculations'!HU470&lt;&gt;"",'Calculations'!HU470,IF('Calculations'!HT470&lt;&gt;"",'Calculations'!HT470,IF('Calculations'!HS470&lt;&gt;"",'Calculations'!HS470,IF('Calculations'!HR470&lt;&gt;"",'Calculations'!HR470,IF('Calculations'!HQ470&lt;&gt;"",'Calculations'!HQ470,IF('Calculations'!HP470&lt;&gt;"",'Calculations'!HP470,IF('Calculations'!HO470&lt;&gt;"",'Calculations'!HO470,'Calculations'!HE470))))))))))))))))))))))</x:f>
      </x:c>
      <x:c r="HN470" t="str">
        <x:f>IF('Calculations'!EM470="","",IF(IFERROR(IF(INDEX(INDIRECT("'WCM Calibration Final'!$F$1:$F$2000"),'Calculations'!$EM470)="","",TRIM(INDEX(INDIRECT("'WCM Calibration Final'!$F$1:$F$2000"),'Calculations'!$EM470)&amp;"")),"")="","(Blank)",IFERROR(IF(INDEX(INDIRECT("'WCM Calibration Final'!$F$1:$F$2000"),'Calculations'!$EM470)="","",TRIM(INDEX(INDIRECT("'WCM Calibration Final'!$F$1:$F$2000"),'Calculations'!$EM470)&amp;"")),"")))</x:f>
      </x:c>
      <x:c r="HO470" t="str">
        <x:f>'Calculations'!HF470</x:f>
      </x:c>
      <x:c r="HP470" t="str">
        <x:f>IF('Calculations'!HO470="","",IF('Calculations'!HO470="!AMBIG","!AMBIG",IF(COUNTIF('Calculations'!$HE$13:$HE$512,"="&amp;SUBSTITUTE(SUBSTITUTE(SUBSTITUTE('Calculations'!HO470,"~","~~"),"*","~*"),"?","~?"))&gt;1,"!AMBIG",IFERROR(INDEX('Calculations'!$HF$13:$HF$512,MATCH('Calculations'!HO470,'Calculations'!$HE$13:$HE$512,0)),""))))</x:f>
      </x:c>
      <x:c r="HQ470" t="str">
        <x:f>IF('Calculations'!HP470="","",IF('Calculations'!HP470="!AMBIG","!AMBIG",IF(COUNTIF('Calculations'!$HE$13:$HE$512,"="&amp;SUBSTITUTE(SUBSTITUTE(SUBSTITUTE('Calculations'!HP470,"~","~~"),"*","~*"),"?","~?"))&gt;1,"!AMBIG",IFERROR(INDEX('Calculations'!$HF$13:$HF$512,MATCH('Calculations'!HP470,'Calculations'!$HE$13:$HE$512,0)),""))))</x:f>
      </x:c>
      <x:c r="HR470" t="str">
        <x:f>IF('Calculations'!HQ470="","",IF('Calculations'!HQ470="!AMBIG","!AMBIG",IF(COUNTIF('Calculations'!$HE$13:$HE$512,"="&amp;SUBSTITUTE(SUBSTITUTE(SUBSTITUTE('Calculations'!HQ470,"~","~~"),"*","~*"),"?","~?"))&gt;1,"!AMBIG",IFERROR(INDEX('Calculations'!$HF$13:$HF$512,MATCH('Calculations'!HQ470,'Calculations'!$HE$13:$HE$512,0)),""))))</x:f>
      </x:c>
      <x:c r="HS470" t="str">
        <x:f>IF('Calculations'!HR470="","",IF('Calculations'!HR470="!AMBIG","!AMBIG",IF(COUNTIF('Calculations'!$HE$13:$HE$512,"="&amp;SUBSTITUTE(SUBSTITUTE(SUBSTITUTE('Calculations'!HR470,"~","~~"),"*","~*"),"?","~?"))&gt;1,"!AMBIG",IFERROR(INDEX('Calculations'!$HF$13:$HF$512,MATCH('Calculations'!HR470,'Calculations'!$HE$13:$HE$512,0)),""))))</x:f>
      </x:c>
      <x:c r="HT470" t="str">
        <x:f>IF('Calculations'!HS470="","",IF('Calculations'!HS470="!AMBIG","!AMBIG",IF(COUNTIF('Calculations'!$HE$13:$HE$512,"="&amp;SUBSTITUTE(SUBSTITUTE(SUBSTITUTE('Calculations'!HS470,"~","~~"),"*","~*"),"?","~?"))&gt;1,"!AMBIG",IFERROR(INDEX('Calculations'!$HF$13:$HF$512,MATCH('Calculations'!HS470,'Calculations'!$HE$13:$HE$512,0)),""))))</x:f>
      </x:c>
      <x:c r="HU470" t="str">
        <x:f>IF('Calculations'!HT470="","",IF('Calculations'!HT470="!AMBIG","!AMBIG",IF(COUNTIF('Calculations'!$HE$13:$HE$512,"="&amp;SUBSTITUTE(SUBSTITUTE(SUBSTITUTE('Calculations'!HT470,"~","~~"),"*","~*"),"?","~?"))&gt;1,"!AMBIG",IFERROR(INDEX('Calculations'!$HF$13:$HF$512,MATCH('Calculations'!HT470,'Calculations'!$HE$13:$HE$512,0)),""))))</x:f>
      </x:c>
      <x:c r="HV470" t="str">
        <x:f>IF('Calculations'!HU470="","",IF('Calculations'!HU470="!AMBIG","!AMBIG",IF(COUNTIF('Calculations'!$HE$13:$HE$512,"="&amp;SUBSTITUTE(SUBSTITUTE(SUBSTITUTE('Calculations'!HU470,"~","~~"),"*","~*"),"?","~?"))&gt;1,"!AMBIG",IFERROR(INDEX('Calculations'!$HF$13:$HF$512,MATCH('Calculations'!HU470,'Calculations'!$HE$13:$HE$512,0)),""))))</x:f>
      </x:c>
      <x:c r="HW470" t="str">
        <x:f>IF('Calculations'!HV470="","",IF('Calculations'!HV470="!AMBIG","!AMBIG",IF(COUNTIF('Calculations'!$HE$13:$HE$512,"="&amp;SUBSTITUTE(SUBSTITUTE(SUBSTITUTE('Calculations'!HV470,"~","~~"),"*","~*"),"?","~?"))&gt;1,"!AMBIG",IFERROR(INDEX('Calculations'!$HF$13:$HF$512,MATCH('Calculations'!HV470,'Calculations'!$HE$13:$HE$512,0)),""))))</x:f>
      </x:c>
      <x:c r="HX470" t="str">
        <x:f>IF('Calculations'!HW470="","",IF('Calculations'!HW470="!AMBIG","!AMBIG",IF(COUNTIF('Calculations'!$HE$13:$HE$512,"="&amp;SUBSTITUTE(SUBSTITUTE(SUBSTITUTE('Calculations'!HW470,"~","~~"),"*","~*"),"?","~?"))&gt;1,"!AMBIG",IFERROR(INDEX('Calculations'!$HF$13:$HF$512,MATCH('Calculations'!HW470,'Calculations'!$HE$13:$HE$512,0)),""))))</x:f>
      </x:c>
      <x:c r="HY470" t="str">
        <x:f>IF('Calculations'!HX470="","",IF('Calculations'!HX470="!AMBIG","!AMBIG",IF(COUNTIF('Calculations'!$HE$13:$HE$512,"="&amp;SUBSTITUTE(SUBSTITUTE(SUBSTITUTE('Calculations'!HX470,"~","~~"),"*","~*"),"?","~?"))&gt;1,"!AMBIG",IFERROR(INDEX('Calculations'!$HF$13:$HF$512,MATCH('Calculations'!HX470,'Calculations'!$HE$13:$HE$512,0)),""))))</x:f>
      </x:c>
      <x:c r="HZ470" t="str">
        <x:f>IF('Calculations'!HY470="","",IF('Calculations'!HY470="!AMBIG","!AMBIG",IF(COUNTIF('Calculations'!$HE$13:$HE$512,"="&amp;SUBSTITUTE(SUBSTITUTE(SUBSTITUTE('Calculations'!HY470,"~","~~"),"*","~*"),"?","~?"))&gt;1,"!AMBIG",IFERROR(INDEX('Calculations'!$HF$13:$HF$512,MATCH('Calculations'!HY470,'Calculations'!$HE$13:$HE$512,0)),""))))</x:f>
      </x:c>
      <x:c r="IA470" t="str">
        <x:f>IF('Calculations'!HZ470="","",IF('Calculations'!HZ470="!AMBIG","!AMBIG",IF(COUNTIF('Calculations'!$HE$13:$HE$512,"="&amp;SUBSTITUTE(SUBSTITUTE(SUBSTITUTE('Calculations'!HZ470,"~","~~"),"*","~*"),"?","~?"))&gt;1,"!AMBIG",IFERROR(INDEX('Calculations'!$HF$13:$HF$512,MATCH('Calculations'!HZ470,'Calculations'!$HE$13:$HE$512,0)),""))))</x:f>
      </x:c>
      <x:c r="IB470" t="str">
        <x:f>IF('Calculations'!IA470="","",IF('Calculations'!IA470="!AMBIG","!AMBIG",IF(COUNTIF('Calculations'!$HE$13:$HE$512,"="&amp;SUBSTITUTE(SUBSTITUTE(SUBSTITUTE('Calculations'!IA470,"~","~~"),"*","~*"),"?","~?"))&gt;1,"!AMBIG",IFERROR(INDEX('Calculations'!$HF$13:$HF$512,MATCH('Calculations'!IA470,'Calculations'!$HE$13:$HE$512,0)),""))))</x:f>
      </x:c>
      <x:c r="IC470" t="str">
        <x:f>IF('Calculations'!IB470="","",IF('Calculations'!IB470="!AMBIG","!AMBIG",IF(COUNTIF('Calculations'!$HE$13:$HE$512,"="&amp;SUBSTITUTE(SUBSTITUTE(SUBSTITUTE('Calculations'!IB470,"~","~~"),"*","~*"),"?","~?"))&gt;1,"!AMBIG",IFERROR(INDEX('Calculations'!$HF$13:$HF$512,MATCH('Calculations'!IB470,'Calculations'!$HE$13:$HE$512,0)),""))))</x:f>
      </x:c>
      <x:c r="ID470" t="str">
        <x:f>IF('Calculations'!IC470="","",IF('Calculations'!IC470="!AMBIG","!AMBIG",IF(COUNTIF('Calculations'!$HE$13:$HE$512,"="&amp;SUBSTITUTE(SUBSTITUTE(SUBSTITUTE('Calculations'!IC470,"~","~~"),"*","~*"),"?","~?"))&gt;1,"!AMBIG",IFERROR(INDEX('Calculations'!$HF$13:$HF$512,MATCH('Calculations'!IC470,'Calculations'!$HE$13:$HE$512,0)),""))))</x:f>
      </x:c>
      <x:c r="IE470" t="str">
        <x:f>IF('Calculations'!ID470="","",IF('Calculations'!ID470="!AMBIG","!AMBIG",IF(COUNTIF('Calculations'!$HE$13:$HE$512,"="&amp;SUBSTITUTE(SUBSTITUTE(SUBSTITUTE('Calculations'!ID470,"~","~~"),"*","~*"),"?","~?"))&gt;1,"!AMBIG",IFERROR(INDEX('Calculations'!$HF$13:$HF$512,MATCH('Calculations'!ID470,'Calculations'!$HE$13:$HE$512,0)),""))))</x:f>
      </x:c>
      <x:c r="IF470" t="str">
        <x:f>IF('Calculations'!IE470="","",IF('Calculations'!IE470="!AMBIG","!AMBIG",IF(COUNTIF('Calculations'!$HE$13:$HE$512,"="&amp;SUBSTITUTE(SUBSTITUTE(SUBSTITUTE('Calculations'!IE470,"~","~~"),"*","~*"),"?","~?"))&gt;1,"!AMBIG",IFERROR(INDEX('Calculations'!$HF$13:$HF$512,MATCH('Calculations'!IE470,'Calculations'!$HE$13:$HE$512,0)),""))))</x:f>
      </x:c>
      <x:c r="IG470" t="str">
        <x:f>IF('Calculations'!IF470="","",IF('Calculations'!IF470="!AMBIG","!AMBIG",IF(COUNTIF('Calculations'!$HE$13:$HE$512,"="&amp;SUBSTITUTE(SUBSTITUTE(SUBSTITUTE('Calculations'!IF470,"~","~~"),"*","~*"),"?","~?"))&gt;1,"!AMBIG",IFERROR(INDEX('Calculations'!$HF$13:$HF$512,MATCH('Calculations'!IF470,'Calculations'!$HE$13:$HE$512,0)),""))))</x:f>
      </x:c>
      <x:c r="IH470" t="str">
        <x:f>IF('Calculations'!IG470="","",IF('Calculations'!IG470="!AMBIG","!AMBIG",IF(COUNTIF('Calculations'!$HE$13:$HE$512,"="&amp;SUBSTITUTE(SUBSTITUTE(SUBSTITUTE('Calculations'!IG470,"~","~~"),"*","~*"),"?","~?"))&gt;1,"!AMBIG",IFERROR(INDEX('Calculations'!$HF$13:$HF$512,MATCH('Calculations'!IG470,'Calculations'!$HE$13:$HE$512,0)),""))))</x:f>
      </x:c>
      <x:c r="II470" t="str">
        <x:f>IF('Calculations'!IH470="","",IF('Calculations'!IH470="!AMBIG","!AMBIG",IF(COUNTIF('Calculations'!$HE$13:$HE$512,"="&amp;SUBSTITUTE(SUBSTITUTE(SUBSTITUTE('Calculations'!IH470,"~","~~"),"*","~*"),"?","~?"))&gt;1,"!AMBIG",IFERROR(INDEX('Calculations'!$HF$13:$HF$512,MATCH('Calculations'!IH470,'Calculations'!$HE$13:$HE$512,0)),""))))</x:f>
      </x:c>
      <x:c r="IJ470" t="str">
        <x:f>IF('Calculations'!EM470="","",IF('Calculations'!$EF$2="All",'Calculations'!HM470,IF('Calculations'!HL470=1,"",IFERROR(IF(MATCH('Calculations'!$EF$2,'Calculations'!HO470:II470,0)=1,'Calculations'!HE470,INDEX('Calculations'!HO470:II470,1,MATCH('Calculations'!$EF$2,'Calculations'!HO470:II470,0)-1)),""))))</x:f>
      </x:c>
      <x:c r="IK470" t="n">
        <x:f>IF(AND('Calculations'!EM470&lt;&gt;"",'Calculations'!$EF$2&lt;&gt;"All",'Calculations'!HF470='Calculations'!$EF$2,'Calculations'!HL470=0,'Calculations'!JD470&gt;0),MAX('Calculations'!$IK$12:IK469)+1,0)</x:f>
        <x:v>0</x:v>
      </x:c>
      <x:c r="JA470" t="n">
        <x:f>IF(OR(IFERROR(INDIRECT("'WCM Calibration Final'!$A$470")&lt;&gt;"",FALSE),IFERROR(INDIRECT("'WCM Calibration Final'!$B$470")&lt;&gt;"",FALSE),IFERROR(INDIRECT("'WCM Calibration Final'!$C$470")&lt;&gt;"",FALSE)),470,0)</x:f>
        <x:v>0</x:v>
      </x:c>
      <x:c r="JB470" t="n">
        <x:f>'Calculations'!JB469+IF('Calculations'!JA470&gt;0,1,0)</x:f>
        <x:v>0</x:v>
      </x:c>
      <x:c r="JC470" t="n">
        <x:f>IF(OR('Calculations'!HF470="",'Calculations'!HF470="!AMBIG"),0,IF('Dashboard'!$B$7="All",1,COUNTIFS('Calculations'!$HO$13:$HO$512,"="&amp;SUBSTITUTE(SUBSTITUTE(SUBSTITUTE('Calculations'!HF470,"~","~~"),"*","~*"),"?","~?"),'Calculations'!$HN$13:$HN$512,"="&amp;SUBSTITUTE(SUBSTITUTE(SUBSTITUTE('Dashboard'!$B$7,"~","~~"),"*","~*"),"?","~?"))+COUNTIFS('Calculations'!$HP$13:$HP$512,"="&amp;SUBSTITUTE(SUBSTITUTE(SUBSTITUTE('Calculations'!HF470,"~","~~"),"*","~*"),"?","~?"),'Calculations'!$HN$13:$HN$512,"="&amp;SUBSTITUTE(SUBSTITUTE(SUBSTITUTE('Dashboard'!$B$7,"~","~~"),"*","~*"),"?","~?"))+COUNTIFS('Calculations'!$HQ$13:$HQ$512,"="&amp;SUBSTITUTE(SUBSTITUTE(SUBSTITUTE('Calculations'!HF470,"~","~~"),"*","~*"),"?","~?"),'Calculations'!$HN$13:$HN$512,"="&amp;SUBSTITUTE(SUBSTITUTE(SUBSTITUTE('Dashboard'!$B$7,"~","~~"),"*","~*"),"?","~?"))+COUNTIFS('Calculations'!$HR$13:$HR$512,"="&amp;SUBSTITUTE(SUBSTITUTE(SUBSTITUTE('Calculations'!HF470,"~","~~"),"*","~*"),"?","~?"),'Calculations'!$HN$13:$HN$512,"="&amp;SUBSTITUTE(SUBSTITUTE(SUBSTITUTE('Dashboard'!$B$7,"~","~~"),"*","~*"),"?","~?"))+COUNTIFS('Calculations'!$HS$13:$HS$512,"="&amp;SUBSTITUTE(SUBSTITUTE(SUBSTITUTE('Calculations'!HF470,"~","~~"),"*","~*"),"?","~?"),'Calculations'!$HN$13:$HN$512,"="&amp;SUBSTITUTE(SUBSTITUTE(SUBSTITUTE('Dashboard'!$B$7,"~","~~"),"*","~*"),"?","~?"))+COUNTIFS('Calculations'!$HT$13:$HT$512,"="&amp;SUBSTITUTE(SUBSTITUTE(SUBSTITUTE('Calculations'!HF470,"~","~~"),"*","~*"),"?","~?"),'Calculations'!$HN$13:$HN$512,"="&amp;SUBSTITUTE(SUBSTITUTE(SUBSTITUTE('Dashboard'!$B$7,"~","~~"),"*","~*"),"?","~?"))+COUNTIFS('Calculations'!$HU$13:$HU$512,"="&amp;SUBSTITUTE(SUBSTITUTE(SUBSTITUTE('Calculations'!HF470,"~","~~"),"*","~*"),"?","~?"),'Calculations'!$HN$13:$HN$512,"="&amp;SUBSTITUTE(SUBSTITUTE(SUBSTITUTE('Dashboard'!$B$7,"~","~~"),"*","~*"),"?","~?"))+COUNTIFS('Calculations'!$HV$13:$HV$512,"="&amp;SUBSTITUTE(SUBSTITUTE(SUBSTITUTE('Calculations'!HF470,"~","~~"),"*","~*"),"?","~?"),'Calculations'!$HN$13:$HN$512,"="&amp;SUBSTITUTE(SUBSTITUTE(SUBSTITUTE('Dashboard'!$B$7,"~","~~"),"*","~*"),"?","~?"))+COUNTIFS('Calculations'!$HW$13:$HW$512,"="&amp;SUBSTITUTE(SUBSTITUTE(SUBSTITUTE('Calculations'!HF470,"~","~~"),"*","~*"),"?","~?"),'Calculations'!$HN$13:$HN$512,"="&amp;SUBSTITUTE(SUBSTITUTE(SUBSTITUTE('Dashboard'!$B$7,"~","~~"),"*","~*"),"?","~?"))+COUNTIFS('Calculations'!$HX$13:$HX$512,"="&amp;SUBSTITUTE(SUBSTITUTE(SUBSTITUTE('Calculations'!HF470,"~","~~"),"*","~*"),"?","~?"),'Calculations'!$HN$13:$HN$512,"="&amp;SUBSTITUTE(SUBSTITUTE(SUBSTITUTE('Dashboard'!$B$7,"~","~~"),"*","~*"),"?","~?"))+COUNTIFS('Calculations'!$HY$13:$HY$512,"="&amp;SUBSTITUTE(SUBSTITUTE(SUBSTITUTE('Calculations'!HF470,"~","~~"),"*","~*"),"?","~?"),'Calculations'!$HN$13:$HN$512,"="&amp;SUBSTITUTE(SUBSTITUTE(SUBSTITUTE('Dashboard'!$B$7,"~","~~"),"*","~*"),"?","~?"))+COUNTIFS('Calculations'!$HZ$13:$HZ$512,"="&amp;SUBSTITUTE(SUBSTITUTE(SUBSTITUTE('Calculations'!HF470,"~","~~"),"*","~*"),"?","~?"),'Calculations'!$HN$13:$HN$512,"="&amp;SUBSTITUTE(SUBSTITUTE(SUBSTITUTE('Dashboard'!$B$7,"~","~~"),"*","~*"),"?","~?"))+COUNTIFS('Calculations'!$IA$13:$IA$512,"="&amp;SUBSTITUTE(SUBSTITUTE(SUBSTITUTE('Calculations'!HF470,"~","~~"),"*","~*"),"?","~?"),'Calculations'!$HN$13:$HN$512,"="&amp;SUBSTITUTE(SUBSTITUTE(SUBSTITUTE('Dashboard'!$B$7,"~","~~"),"*","~*"),"?","~?"))+COUNTIFS('Calculations'!$IB$13:$IB$512,"="&amp;SUBSTITUTE(SUBSTITUTE(SUBSTITUTE('Calculations'!HF470,"~","~~"),"*","~*"),"?","~?"),'Calculations'!$HN$13:$HN$512,"="&amp;SUBSTITUTE(SUBSTITUTE(SUBSTITUTE('Dashboard'!$B$7,"~","~~"),"*","~*"),"?","~?"))+COUNTIFS('Calculations'!$IC$13:$IC$512,"="&amp;SUBSTITUTE(SUBSTITUTE(SUBSTITUTE('Calculations'!HF470,"~","~~"),"*","~*"),"?","~?"),'Calculations'!$HN$13:$HN$512,"="&amp;SUBSTITUTE(SUBSTITUTE(SUBSTITUTE('Dashboard'!$B$7,"~","~~"),"*","~*"),"?","~?"))+COUNTIFS('Calculations'!$ID$13:$ID$512,"="&amp;SUBSTITUTE(SUBSTITUTE(SUBSTITUTE('Calculations'!HF470,"~","~~"),"*","~*"),"?","~?"),'Calculations'!$HN$13:$HN$512,"="&amp;SUBSTITUTE(SUBSTITUTE(SUBSTITUTE('Dashboard'!$B$7,"~","~~"),"*","~*"),"?","~?"))+COUNTIFS('Calculations'!$IE$13:$IE$512,"="&amp;SUBSTITUTE(SUBSTITUTE(SUBSTITUTE('Calculations'!HF470,"~","~~"),"*","~*"),"?","~?"),'Calculations'!$HN$13:$HN$512,"="&amp;SUBSTITUTE(SUBSTITUTE(SUBSTITUTE('Dashboard'!$B$7,"~","~~"),"*","~*"),"?","~?"))+COUNTIFS('Calculations'!$IF$13:$IF$512,"="&amp;SUBSTITUTE(SUBSTITUTE(SUBSTITUTE('Calculations'!HF470,"~","~~"),"*","~*"),"?","~?"),'Calculations'!$HN$13:$HN$512,"="&amp;SUBSTITUTE(SUBSTITUTE(SUBSTITUTE('Dashboard'!$B$7,"~","~~"),"*","~*"),"?","~?"))+COUNTIFS('Calculations'!$IG$13:$IG$512,"="&amp;SUBSTITUTE(SUBSTITUTE(SUBSTITUTE('Calculations'!HF470,"~","~~"),"*","~*"),"?","~?"),'Calculations'!$HN$13:$HN$512,"="&amp;SUBSTITUTE(SUBSTITUTE(SUBSTITUTE('Dashboard'!$B$7,"~","~~"),"*","~*"),"?","~?"))+COUNTIFS('Calculations'!$IH$13:$IH$512,"="&amp;SUBSTITUTE(SUBSTITUTE(SUBSTITUTE('Calculations'!HF470,"~","~~"),"*","~*"),"?","~?"),'Calculations'!$HN$13:$HN$512,"="&amp;SUBSTITUTE(SUBSTITUTE(SUBSTITUTE('Dashboard'!$B$7,"~","~~"),"*","~*"),"?","~?"))))</x:f>
        <x:v>0</x:v>
      </x:c>
      <x:c r="JD470" t="n">
        <x:f>IF('Calculations'!EM470="",0,IF('Dashboard'!$B$7="All",1,IF('Calculations'!HN470='Dashboard'!$B$7,1,0)+IFERROR(INDEX('Calculations'!$JC$13:$JC$512,MATCH('Calculations'!HE470,'Calculations'!$HF$13:$HF$512,0)),0)))</x:f>
        <x:v>0</x:v>
      </x:c>
      <x:c r="JE470" t="n">
        <x:f>IF(AND('Calculations'!EM470&lt;&gt;"",'Calculations'!$JJ$2&lt;&gt;"All",'Calculations'!$JJ$2&lt;&gt;"",'Calculations'!HF470='Calculations'!$JJ$2,'Calculations'!HL470=0,'Calculations'!JD470&gt;0),MAX('Calculations'!$JE$12:JE469)+1,0)</x:f>
        <x:v>0</x:v>
      </x:c>
      <x:c r="JF470" t="str">
        <x:f>IF('Calculations'!EM470="","",IFERROR(IF(INDEX(INDIRECT("'WCM Calibration Final'!$G$1:$G$2000"),'Calculations'!$EM470)="","",TRIM(INDEX(INDIRECT("'WCM Calibration Final'!$G$1:$G$2000"),'Calculations'!$EM470)&amp;"")),""))</x:f>
      </x:c>
      <x:c r="JQ470" t="n">
        <x:f>IF(OR('Calculations'!BM470=0,NOT('Calculations'!$AG$2),'Calculations'!$AG$8&gt;0),0,IF(OR('Dashboard'!$B$7="All",'Calculations'!HN470='Dashboard'!$B$7),IF('Calculations'!$JJ$2="All",1,IF(AND('Calculations'!HF470='Calculations'!$JJ$2,'Calculations'!HL470=0),1,0)),0))</x:f>
        <x:v>0</x:v>
      </x:c>
    </x:row>
    <x:row r="471">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t="n">
        <x:f>IF('Calculations'!$EM471="",0,IF(OR(IFERROR(INDEX(INDIRECT("'WCM Calibration Final'!$A$1:$A$2000"),'Calculations'!$EM471)&lt;&gt;"",FALSE),IFERROR(INDEX(INDIRECT("'WCM Calibration Final'!$B$1:$B$2000"),'Calculations'!$EM471)&lt;&gt;"",FALSE),IFERROR(INDEX(INDIRECT("'WCM Calibration Final'!$C$1:$C$2000"),'Calculations'!$EM471)&lt;&gt;"",FALSE)),1,0))</x:f>
        <x:v>0</x:v>
      </x:c>
      <x:c r="BN471" s="4" t="n">
        <x:f>IF(AND('Calculations'!BM471=1,'Calculations'!$AG$2,'Calculations'!$EN471=1),1,0)</x:f>
        <x:v>0</x:v>
      </x:c>
      <x:c r="BO471" s="4" t="str">
        <x:f>IF('Calculations'!BM471=0,"",IFERROR(IF(AND(VALUE(INDEX(INDIRECT("'WCM Calibration Final'!$K$1:$K$2000"),'Calculations'!$EM471))&gt;=1,VALUE(INDEX(INDIRECT("'WCM Calibration Final'!$K$1:$K$2000"),'Calculations'!$EM471))&lt;=4,MOD(VALUE(INDEX(INDIRECT("'WCM Calibration Final'!$K$1:$K$2000"),'Calculations'!$EM471)),1)=0),VALUE(INDEX(INDIRECT("'WCM Calibration Final'!$K$1:$K$2000"),'Calculations'!$EM471)),""),""))</x:f>
      </x:c>
      <x:c r="BP471" s="4" t="str">
        <x:f>IF('Calculations'!BM471=0,"",IFERROR(IF(AND(VALUE(INDEX(INDIRECT("'WCM Calibration Final'!$L$1:$L$2000"),'Calculations'!$EM471))&gt;=1,VALUE(INDEX(INDIRECT("'WCM Calibration Final'!$L$1:$L$2000"),'Calculations'!$EM471))&lt;=4,MOD(VALUE(INDEX(INDIRECT("'WCM Calibration Final'!$L$1:$L$2000"),'Calculations'!$EM471)),1)=0),VALUE(INDEX(INDIRECT("'WCM Calibration Final'!$L$1:$L$2000"),'Calculations'!$EM471)),""),""))</x:f>
      </x:c>
      <x:c r="BQ471" s="4"/>
      <x:c r="BR471" s="4"/>
      <x:c r="BS471" s="4"/>
      <x:c r="BT471" s="4" t="n">
        <x:f>IF(AND('Calculations'!BM471=1,ISNUMBER('Calculations'!BO471),ISNUMBER('Calculations'!BP471)),1,0)</x:f>
        <x:v>0</x:v>
      </x:c>
      <x:c r="BU471" s="4" t="str">
        <x:f>IF('Calculations'!BM471=0,"",'Calculations'!$EO471)</x:f>
      </x:c>
      <x:c r="BV471" s="4" t="str">
        <x:f>IF('Calculations'!BM471=0,"",IFERROR(IF(OR(INDEX(INDIRECT("'WCM Calibration Final'!$H$1:$H$2000"),'Calculations'!$EM471)="MANAGING DIRECTOR",INDEX(INDIRECT("'WCM Calibration Final'!$H$1:$H$2000"),'Calculations'!$EM471)="DIRECTOR",INDEX(INDIRECT("'WCM Calibration Final'!$H$1:$H$2000"),'Calculations'!$EM471)="SENIOR VICE PRESIDENT",INDEX(INDIRECT("'WCM Calibration Final'!$H$1:$H$2000"),'Calculations'!$EM471)="VICE PRESIDENT",INDEX(INDIRECT("'WCM Calibration Final'!$H$1:$H$2000"),'Calculations'!$EM471)="ASSISTANT VICE PRESIDENT",INDEX(INDIRECT("'WCM Calibration Final'!$H$1:$H$2000"),'Calculations'!$EM471)="OFFICER"),UPPER(INDEX(INDIRECT("'WCM Calibration Final'!$H$1:$H$2000"),'Calculations'!$EM471)),"Other"),"Other"))</x:f>
      </x:c>
      <x:c r="BW471" s="4"/>
      <x:c r="BX471" s="4"/>
      <x:c r="BY471" s="4" t="n">
        <x:f>IF(AND('Calculations'!BM471=1,'Calculations'!BU471&lt;&gt;"",COUNTIF('Calculations'!$BU$12:BU471,'Calculations'!BU471)=1),MAX('Calculations'!$BY$11:BY470)+1,0)</x:f>
        <x:v>0</x:v>
      </x:c>
      <x:c r="BZ471" s="4" t="str">
        <x:f>IF('Dashboard'!$E$67="What",'Calculations'!BO471,'Calculations'!BP471)</x:f>
      </x:c>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t="str">
        <x:f>IF(460&gt;MAX('Calculations'!$HI$13:$HI$512),"",INDEX('Calculations'!$HN$13:$HN$512,MATCH(460,'Calculations'!$HI$13:$HI$512,0)))</x:f>
      </x:c>
      <x:c r="DB471" s="4" t="str">
        <x:f>IF(460&gt;MAX('Calculations'!$HH$13:$HH$512),"",INDEX('Calculations'!$HJ$13:$HJ$512,MATCH(460,'Calculations'!$HH$13:$HH$512,0)))</x:f>
      </x:c>
      <x:c r="DC471" s="4" t="str">
        <x:f>IF(ROW()-11&gt;MAX('Calculations'!$BY$13:$BY$512),"",INDEX('Calculations'!$BU$13:$BU$512,MATCH(ROW()-11,'Calculations'!$BY$13:$BY$512,0)))</x:f>
      </x:c>
      <x:c r="DD471" s="4" t="str">
        <x:f>IF(460&gt;MAX('Calculations'!$IK$13:$IK$512),"",INDEX('Calculations'!$HK$13:$HK$512,MATCH(460,'Calculations'!$IK$13:$IK$512,0)))</x:f>
      </x:c>
      <x:c r="DE471" s="4" t="str">
        <x:f>'Calculations'!DC471</x:f>
      </x:c>
      <x:c r="DF471" s="4" t="str">
        <x:f>IF('Calculations'!DE471="","",COUNTIFS('Calculations'!$BN$13:$BN$512,1,'Calculations'!$BU$13:$BU$512,'Calculations'!DE471))</x:f>
      </x:c>
      <x:c r="DG471" s="4" t="str">
        <x:f>IF('Calculations'!DE471="","",COUNTIFS('Calculations'!$BN$13:$BN$512,1,'Calculations'!$BU$13:$BU$512,'Calculations'!DE471,'Calculations'!$BT$13:$BT$512,1))</x:f>
      </x:c>
      <x:c r="DH471" s="4" t="str">
        <x:f>IF('Calculations'!DE471="","",'Calculations'!DF471-'Calculations'!DG471)</x:f>
      </x:c>
      <x:c r="DI471" s="4" t="str">
        <x:f>IF(OR('Calculations'!DE471="",'Calculations'!DF471=0),"",'Calculations'!DG471/'Calculations'!DF471)</x:f>
      </x:c>
      <x:c r="DJ471" s="4" t="str">
        <x:f>IF('Calculations'!DE471="","",COUNTIFS('Calculations'!$BN$13:$BN$512,1,'Calculations'!$BU$13:$BU$512,'Calculations'!DE471,'Calculations'!$BT$13:$BT$512,1,'Calculations'!$EE$13:$EE$512,"High"))</x:f>
      </x:c>
      <x:c r="DK471" s="4" t="str">
        <x:f>IF('Calculations'!DE471="","",COUNTIFS('Calculations'!$BN$13:$BN$512,1,'Calculations'!$BU$13:$BU$512,'Calculations'!DE471,'Calculations'!$BT$13:$BT$512,1,'Calculations'!$EE$13:$EE$512,"Strong"))</x:f>
      </x:c>
      <x:c r="DL471" s="4" t="str">
        <x:f>IF('Calculations'!DE471="","",COUNTIFS('Calculations'!$BN$13:$BN$512,1,'Calculations'!$BU$13:$BU$512,'Calculations'!DE471,'Calculations'!$BT$13:$BT$512,1,'Calculations'!$EE$13:$EE$512,"Solid"))</x:f>
      </x:c>
      <x:c r="DM471" s="4" t="str">
        <x:f>IF('Calculations'!DE471="","",COUNTIFS('Calculations'!$BN$13:$BN$512,1,'Calculations'!$BU$13:$BU$512,'Calculations'!DE471,'Calculations'!$BT$13:$BT$512,1,'Calculations'!$EE$13:$EE$512,"Low"))</x:f>
      </x:c>
      <x:c r="DN471" s="4" t="str">
        <x:f>IF('Calculations'!DE471="","",COUNTIFS('Calculations'!$BN$13:$BN$512,1,'Calculations'!$BU$13:$BU$512,'Calculations'!DE471,'Calculations'!$EP$13:$EP$512,1))</x:f>
      </x:c>
      <x:c r="DO471" s="4" t="str">
        <x:f>IF(OR('Calculations'!DE471="",'Calculations'!DG471=0),"",('Calculations'!DJ471+'Calculations'!DK471)/'Calculations'!DG471)</x:f>
      </x:c>
      <x:c r="DP471" s="4" t="n">
        <x:f>IF(AND('Calculations'!DE471&lt;&gt;"",'Calculations'!DF471&gt;0),COUNTIF('Calculations'!$DF$12:DF471,"&gt;0"),0)</x:f>
        <x:v>0</x:v>
      </x:c>
      <x:c r="DQ471" s="4" t="str">
        <x:f>IF(460&gt;MAX('Calculations'!$HH$13:$HH$512),"",INDEX('Calculations'!$HF$13:$HF$512,MATCH(460,'Calculations'!$HH$13:$HH$512,0)))</x:f>
      </x:c>
      <x:c r="DR471" s="4" t="str">
        <x:f>IF(460&gt;MAX('Calculations'!$IK$13:$IK$512),"",INDEX('Calculations'!$HE$13:$HE$512,MATCH(460,'Calculations'!$IK$13:$IK$512,0)))</x:f>
      </x:c>
      <x:c r="DS471" s="4"/>
      <x:c r="DT471" s="4"/>
      <x:c r="DU471" s="4"/>
      <x:c r="DV471" s="4"/>
      <x:c r="DW471" s="4"/>
      <x:c r="DX471" s="4"/>
      <x:c r="DY471" s="4"/>
      <x:c r="DZ471" s="4"/>
      <x:c r="EA471" s="4"/>
      <x:c r="EB471" s="4"/>
      <x:c r="EC471" s="4"/>
      <x:c r="ED471" s="4"/>
      <x:c r="EE471" s="4" t="str">
        <x:f>IF('Calculations'!BT471=0,"Not Rated",IF(OR('Calculations'!BO471&gt;=4,'Calculations'!BP471&gt;=4),"Low",IF('Calculations'!BO471+'Calculations'!BP471&lt;=3,"High",IF('Calculations'!BO471+'Calculations'!BP471&lt;=4,"Strong","Solid"))))</x:f>
        <x:v>Not Rated</x:v>
      </x:c>
      <x:c r="EF471" s="4"/>
      <x:c r="EG471" s="4"/>
      <x:c r="EH471" s="4"/>
      <x:c r="EI471" s="4"/>
      <x:c r="EJ471" s="4"/>
      <x:c r="EK471" s="4"/>
      <x:c r="EL471" s="4"/>
      <x:c r="EM471" s="4" t="str">
        <x:f>IF(459&gt;'Calculations'!$JB$2000,"",INDEX('Calculations'!$JA$12:$JA$2000,MATCH(459,'Calculations'!$JB$12:$JB$2000,0)))</x:f>
      </x:c>
      <x:c r="EN471" s="4" t="n">
        <x:f>IF(OR('Calculations'!EM471="",'Calculations'!$AG$8&gt;0,AND('Calculations'!$EF$2&lt;&gt;"All",'Calculations'!HE471='Calculations'!$EF$2),AND('Calculations'!$EF$3&lt;&gt;"All",'Calculations'!HE471='Calculations'!$EF$3)),0,IF(OR('Dashboard'!$B$7="All",'Calculations'!HN471='Dashboard'!$B$7),IF('Calculations'!$EF$2="All",1,IF('Calculations'!HL471&gt;0,0,IF(COUNTIF('Calculations'!HO471:II471,"="&amp;SUBSTITUTE(SUBSTITUTE(SUBSTITUTE('Calculations'!$EF$2,"~","~~"),"*","~*"),"?","~?"))=0,0,IF('Calculations'!$EF$3="All",1,IF(COUNTIF('Calculations'!HO471:II471,"="&amp;SUBSTITUTE(SUBSTITUTE(SUBSTITUTE('Calculations'!$EF$3,"~","~~"),"*","~*"),"?","~?"))&gt;0,1,0))))),0))</x:f>
        <x:v>0</x:v>
      </x:c>
      <x:c r="EO471" s="4" t="str">
        <x:f>IF('Calculations'!IJ471="","",IF('Calculations'!IJ471="!UNRESOLVED","Unresolved hierarchy",IFERROR(INDEX('Calculations'!$HK$13:$HK$512,MATCH('Calculations'!IJ471,'Calculations'!$HE$13:$HE$512,0)),IFERROR(INDEX('Calculations'!$HJ$13:$HJ$512,MATCH('Calculations'!IJ471,'Calculations'!$HF$13:$HF$512,0)),'Calculations'!IJ471))))</x:f>
      </x:c>
      <x:c r="EP471" s="4" t="n">
        <x:f>IF(AND('Calculations'!EM471&lt;&gt;"",'Calculations'!HF471='Calculations'!IJ471),1,0)</x:f>
        <x:v>0</x:v>
      </x:c>
      <x:c r="EQ471" s="4"/>
      <x:c r="ER471" s="4"/>
      <x:c r="ES471" s="4"/>
      <x:c r="ET471" s="4"/>
      <x:c r="EU471" s="4"/>
      <x:c r="EV471" s="4"/>
      <x:c r="EW471" s="4"/>
      <x:c r="EX471" s="4"/>
      <x:c r="EY471" s="4"/>
      <x:c r="EZ471" s="4"/>
      <x:c r="FA471" s="4"/>
      <x:c r="FB471" s="4"/>
      <x:c r="FC471" s="4"/>
      <x:c r="FD471" s="4"/>
      <x:c r="FE471" s="4"/>
      <x:c r="FF471" s="4"/>
      <x:c r="FG471" s="4"/>
      <x:c r="FH471" s="4"/>
      <x:c r="FI471" s="4"/>
      <x:c r="FJ471" s="4"/>
      <x:c r="FK471" s="4"/>
      <x:c r="FL471" s="4"/>
      <x:c r="FM471" s="4"/>
      <x:c r="FN471" s="4"/>
      <x:c r="FO471" s="4"/>
      <x:c r="HE471" t="str">
        <x:f>IF('Calculations'!EM471="","",IF(IFERROR(IF(INDEX(INDIRECT("'WCM Calibration Final'!$A$1:$A$2000"),'Calculations'!$EM471)="","",TRIM(INDEX(INDIRECT("'WCM Calibration Final'!$A$1:$A$2000"),'Calculations'!$EM471)&amp;"")),"")&lt;&gt;"","G:"&amp;IFERROR(TEXT(1*INDEX(INDIRECT("'WCM Calibration Final'!$A$1:$A$2000"),'Calculations'!$EM471),"0"),UPPER(IFERROR(IF(INDEX(INDIRECT("'WCM Calibration Final'!$A$1:$A$2000"),'Calculations'!$EM471)="","",TRIM(INDEX(INDIRECT("'WCM Calibration Final'!$A$1:$A$2000"),'Calculations'!$EM471)&amp;"")),""))),IF(IFERROR(IF(INDEX(INDIRECT("'WCM Calibration Final'!$C$1:$C$2000"),'Calculations'!$EM471)="","",TRIM(INDEX(INDIRECT("'WCM Calibration Final'!$C$1:$C$2000"),'Calculations'!$EM471)&amp;"")),"")&lt;&gt;"","S:"&amp;UPPER(IFERROR(IF(INDEX(INDIRECT("'WCM Calibration Final'!$C$1:$C$2000"),'Calculations'!$EM471)="","",TRIM(INDEX(INDIRECT("'WCM Calibration Final'!$C$1:$C$2000"),'Calculations'!$EM471)&amp;"")),"")),"R:"&amp;'Calculations'!EM471)))</x:f>
      </x:c>
      <x:c r="HF471" t="str">
        <x:f>IF('Calculations'!EM471="","",IF(IFERROR(IF(INDEX(INDIRECT("'WCM Calibration Final'!$D$1:$D$2000"),'Calculations'!$EM471)="","",TRIM(INDEX(INDIRECT("'WCM Calibration Final'!$D$1:$D$2000"),'Calculations'!$EM471)&amp;"")),"")&lt;&gt;"","G:"&amp;IFERROR(TEXT(1*INDEX(INDIRECT("'WCM Calibration Final'!$D$1:$D$2000"),'Calculations'!$EM471),"0"),UPPER(IFERROR(IF(INDEX(INDIRECT("'WCM Calibration Final'!$D$1:$D$2000"),'Calculations'!$EM471)="","",TRIM(INDEX(INDIRECT("'WCM Calibration Final'!$D$1:$D$2000"),'Calculations'!$EM471)&amp;"")),""))),IF(IFERROR(IF(INDEX(INDIRECT("'WCM Calibration Final'!$E$1:$E$2000"),'Calculations'!$EM471)="","",TRIM(INDEX(INDIRECT("'WCM Calibration Final'!$E$1:$E$2000"),'Calculations'!$EM471)&amp;"")),"")="","",IF(COUNTIF('Calculations'!$HG$13:$HG$512,"="&amp;SUBSTITUTE(SUBSTITUTE(SUBSTITUTE(IFERROR(IF(INDEX(INDIRECT("'WCM Calibration Final'!$E$1:$E$2000"),'Calculations'!$EM471)="","",TRIM(INDEX(INDIRECT("'WCM Calibration Final'!$E$1:$E$2000"),'Calculations'!$EM471)&amp;"")),""),"~","~~"),"*","~*"),"?","~?"))=1,INDEX('Calculations'!$HE$13:$HE$512,MATCH(IFERROR(IF(INDEX(INDIRECT("'WCM Calibration Final'!$E$1:$E$2000"),'Calculations'!$EM471)="","",TRIM(INDEX(INDIRECT("'WCM Calibration Final'!$E$1:$E$2000"),'Calculations'!$EM471)&amp;"")),""),'Calculations'!$HG$13:$HG$512,0)),IF(COUNTIF('Calculations'!$HG$13:$HG$512,"="&amp;SUBSTITUTE(SUBSTITUTE(SUBSTITUTE(IFERROR(IF(INDEX(INDIRECT("'WCM Calibration Final'!$E$1:$E$2000"),'Calculations'!$EM471)="","",TRIM(INDEX(INDIRECT("'WCM Calibration Final'!$E$1:$E$2000"),'Calculations'!$EM471)&amp;"")),""),"~","~~"),"*","~*"),"?","~?"))&gt;1,"!AMBIG","X:"&amp;IFERROR(IF(INDEX(INDIRECT("'WCM Calibration Final'!$E$1:$E$2000"),'Calculations'!$EM471)="","",TRIM(INDEX(INDIRECT("'WCM Calibration Final'!$E$1:$E$2000"),'Calculations'!$EM471)&amp;"")),""))))))</x:f>
      </x:c>
      <x:c r="HG471" t="str">
        <x:f>IF('Calculations'!EM471="","",IFERROR(IF(INDEX(INDIRECT("'WCM Calibration Final'!$B$1:$B$2000"),'Calculations'!$EM471)="","",TRIM(INDEX(INDIRECT("'WCM Calibration Final'!$B$1:$B$2000"),'Calculations'!$EM471)&amp;"")),""))</x:f>
      </x:c>
      <x:c r="HH471" t="n">
        <x:f>IF(AND('Calculations'!JC471&gt;0,COUNTIF('Calculations'!$HF$12:HF471,"="&amp;SUBSTITUTE(SUBSTITUTE(SUBSTITUTE('Calculations'!HF471,"~","~~"),"*","~*"),"?","~?"))=1),MAX('Calculations'!$HH$12:HH470)+1,0)</x:f>
        <x:v>0</x:v>
      </x:c>
      <x:c r="HI471" t="n">
        <x:f>IF(AND('Calculations'!HN471&lt;&gt;"",COUNTIF('Calculations'!$HN$12:HN471,"="&amp;SUBSTITUTE(SUBSTITUTE(SUBSTITUTE('Calculations'!HN471,"~","~~"),"*","~*"),"?","~?"))=1),MAX('Calculations'!$HI$12:HI470)+1,0)</x:f>
        <x:v>0</x:v>
      </x:c>
      <x:c r="HJ471" t="str">
        <x:f>IF('Calculations'!HF471="","",IF(COUNTIF('Calculations'!$HE$13:$HE$512,"="&amp;SUBSTITUTE(SUBSTITUTE(SUBSTITUTE('Calculations'!HF471,"~","~~"),"*","~*"),"?","~?"))=1,INDEX('Calculations'!$HK$13:$HK$512,MATCH('Calculations'!HF471,'Calculations'!$HE$13:$HE$512,0)),IFERROR(IF(INDEX(INDIRECT("'WCM Calibration Final'!$E$1:$E$2000"),'Calculations'!$EM471)="","",TRIM(INDEX(INDIRECT("'WCM Calibration Final'!$E$1:$E$2000"),'Calculations'!$EM471)&amp;"")),"")&amp;" ["&amp;'Calculations'!HF471&amp;"]"))</x:f>
      </x:c>
      <x:c r="HK471" t="str">
        <x:f>IF('Calculations'!EM471="","",'Calculations'!HG471&amp;" ["&amp;'Calculations'!HE471&amp;"]")</x:f>
      </x:c>
      <x:c r="HL471" t="n">
        <x:f>IF('Calculations'!EM471="",0,IF(OR('Calculations'!II471&lt;&gt;"",COUNTIF('Calculations'!$HE$13:$HE$512,"="&amp;SUBSTITUTE(SUBSTITUTE(SUBSTITUTE('Calculations'!HE471,"~","~~"),"*","~*"),"?","~?"))&gt;1),1,0))</x:f>
        <x:v>0</x:v>
      </x:c>
      <x:c r="HM471" t="str">
        <x:f>IF('Calculations'!EM471="","",IF('Calculations'!HL471=1,"!UNRESOLVED",IF('Calculations'!IH471&lt;&gt;"",'Calculations'!IH471,IF('Calculations'!IG471&lt;&gt;"",'Calculations'!IG471,IF('Calculations'!IF471&lt;&gt;"",'Calculations'!IF471,IF('Calculations'!IE471&lt;&gt;"",'Calculations'!IE471,IF('Calculations'!ID471&lt;&gt;"",'Calculations'!ID471,IF('Calculations'!IC471&lt;&gt;"",'Calculations'!IC471,IF('Calculations'!IB471&lt;&gt;"",'Calculations'!IB471,IF('Calculations'!IA471&lt;&gt;"",'Calculations'!IA471,IF('Calculations'!HZ471&lt;&gt;"",'Calculations'!HZ471,IF('Calculations'!HY471&lt;&gt;"",'Calculations'!HY471,IF('Calculations'!HX471&lt;&gt;"",'Calculations'!HX471,IF('Calculations'!HW471&lt;&gt;"",'Calculations'!HW471,IF('Calculations'!HV471&lt;&gt;"",'Calculations'!HV471,IF('Calculations'!HU471&lt;&gt;"",'Calculations'!HU471,IF('Calculations'!HT471&lt;&gt;"",'Calculations'!HT471,IF('Calculations'!HS471&lt;&gt;"",'Calculations'!HS471,IF('Calculations'!HR471&lt;&gt;"",'Calculations'!HR471,IF('Calculations'!HQ471&lt;&gt;"",'Calculations'!HQ471,IF('Calculations'!HP471&lt;&gt;"",'Calculations'!HP471,IF('Calculations'!HO471&lt;&gt;"",'Calculations'!HO471,'Calculations'!HE471))))))))))))))))))))))</x:f>
      </x:c>
      <x:c r="HN471" t="str">
        <x:f>IF('Calculations'!EM471="","",IF(IFERROR(IF(INDEX(INDIRECT("'WCM Calibration Final'!$F$1:$F$2000"),'Calculations'!$EM471)="","",TRIM(INDEX(INDIRECT("'WCM Calibration Final'!$F$1:$F$2000"),'Calculations'!$EM471)&amp;"")),"")="","(Blank)",IFERROR(IF(INDEX(INDIRECT("'WCM Calibration Final'!$F$1:$F$2000"),'Calculations'!$EM471)="","",TRIM(INDEX(INDIRECT("'WCM Calibration Final'!$F$1:$F$2000"),'Calculations'!$EM471)&amp;"")),"")))</x:f>
      </x:c>
      <x:c r="HO471" t="str">
        <x:f>'Calculations'!HF471</x:f>
      </x:c>
      <x:c r="HP471" t="str">
        <x:f>IF('Calculations'!HO471="","",IF('Calculations'!HO471="!AMBIG","!AMBIG",IF(COUNTIF('Calculations'!$HE$13:$HE$512,"="&amp;SUBSTITUTE(SUBSTITUTE(SUBSTITUTE('Calculations'!HO471,"~","~~"),"*","~*"),"?","~?"))&gt;1,"!AMBIG",IFERROR(INDEX('Calculations'!$HF$13:$HF$512,MATCH('Calculations'!HO471,'Calculations'!$HE$13:$HE$512,0)),""))))</x:f>
      </x:c>
      <x:c r="HQ471" t="str">
        <x:f>IF('Calculations'!HP471="","",IF('Calculations'!HP471="!AMBIG","!AMBIG",IF(COUNTIF('Calculations'!$HE$13:$HE$512,"="&amp;SUBSTITUTE(SUBSTITUTE(SUBSTITUTE('Calculations'!HP471,"~","~~"),"*","~*"),"?","~?"))&gt;1,"!AMBIG",IFERROR(INDEX('Calculations'!$HF$13:$HF$512,MATCH('Calculations'!HP471,'Calculations'!$HE$13:$HE$512,0)),""))))</x:f>
      </x:c>
      <x:c r="HR471" t="str">
        <x:f>IF('Calculations'!HQ471="","",IF('Calculations'!HQ471="!AMBIG","!AMBIG",IF(COUNTIF('Calculations'!$HE$13:$HE$512,"="&amp;SUBSTITUTE(SUBSTITUTE(SUBSTITUTE('Calculations'!HQ471,"~","~~"),"*","~*"),"?","~?"))&gt;1,"!AMBIG",IFERROR(INDEX('Calculations'!$HF$13:$HF$512,MATCH('Calculations'!HQ471,'Calculations'!$HE$13:$HE$512,0)),""))))</x:f>
      </x:c>
      <x:c r="HS471" t="str">
        <x:f>IF('Calculations'!HR471="","",IF('Calculations'!HR471="!AMBIG","!AMBIG",IF(COUNTIF('Calculations'!$HE$13:$HE$512,"="&amp;SUBSTITUTE(SUBSTITUTE(SUBSTITUTE('Calculations'!HR471,"~","~~"),"*","~*"),"?","~?"))&gt;1,"!AMBIG",IFERROR(INDEX('Calculations'!$HF$13:$HF$512,MATCH('Calculations'!HR471,'Calculations'!$HE$13:$HE$512,0)),""))))</x:f>
      </x:c>
      <x:c r="HT471" t="str">
        <x:f>IF('Calculations'!HS471="","",IF('Calculations'!HS471="!AMBIG","!AMBIG",IF(COUNTIF('Calculations'!$HE$13:$HE$512,"="&amp;SUBSTITUTE(SUBSTITUTE(SUBSTITUTE('Calculations'!HS471,"~","~~"),"*","~*"),"?","~?"))&gt;1,"!AMBIG",IFERROR(INDEX('Calculations'!$HF$13:$HF$512,MATCH('Calculations'!HS471,'Calculations'!$HE$13:$HE$512,0)),""))))</x:f>
      </x:c>
      <x:c r="HU471" t="str">
        <x:f>IF('Calculations'!HT471="","",IF('Calculations'!HT471="!AMBIG","!AMBIG",IF(COUNTIF('Calculations'!$HE$13:$HE$512,"="&amp;SUBSTITUTE(SUBSTITUTE(SUBSTITUTE('Calculations'!HT471,"~","~~"),"*","~*"),"?","~?"))&gt;1,"!AMBIG",IFERROR(INDEX('Calculations'!$HF$13:$HF$512,MATCH('Calculations'!HT471,'Calculations'!$HE$13:$HE$512,0)),""))))</x:f>
      </x:c>
      <x:c r="HV471" t="str">
        <x:f>IF('Calculations'!HU471="","",IF('Calculations'!HU471="!AMBIG","!AMBIG",IF(COUNTIF('Calculations'!$HE$13:$HE$512,"="&amp;SUBSTITUTE(SUBSTITUTE(SUBSTITUTE('Calculations'!HU471,"~","~~"),"*","~*"),"?","~?"))&gt;1,"!AMBIG",IFERROR(INDEX('Calculations'!$HF$13:$HF$512,MATCH('Calculations'!HU471,'Calculations'!$HE$13:$HE$512,0)),""))))</x:f>
      </x:c>
      <x:c r="HW471" t="str">
        <x:f>IF('Calculations'!HV471="","",IF('Calculations'!HV471="!AMBIG","!AMBIG",IF(COUNTIF('Calculations'!$HE$13:$HE$512,"="&amp;SUBSTITUTE(SUBSTITUTE(SUBSTITUTE('Calculations'!HV471,"~","~~"),"*","~*"),"?","~?"))&gt;1,"!AMBIG",IFERROR(INDEX('Calculations'!$HF$13:$HF$512,MATCH('Calculations'!HV471,'Calculations'!$HE$13:$HE$512,0)),""))))</x:f>
      </x:c>
      <x:c r="HX471" t="str">
        <x:f>IF('Calculations'!HW471="","",IF('Calculations'!HW471="!AMBIG","!AMBIG",IF(COUNTIF('Calculations'!$HE$13:$HE$512,"="&amp;SUBSTITUTE(SUBSTITUTE(SUBSTITUTE('Calculations'!HW471,"~","~~"),"*","~*"),"?","~?"))&gt;1,"!AMBIG",IFERROR(INDEX('Calculations'!$HF$13:$HF$512,MATCH('Calculations'!HW471,'Calculations'!$HE$13:$HE$512,0)),""))))</x:f>
      </x:c>
      <x:c r="HY471" t="str">
        <x:f>IF('Calculations'!HX471="","",IF('Calculations'!HX471="!AMBIG","!AMBIG",IF(COUNTIF('Calculations'!$HE$13:$HE$512,"="&amp;SUBSTITUTE(SUBSTITUTE(SUBSTITUTE('Calculations'!HX471,"~","~~"),"*","~*"),"?","~?"))&gt;1,"!AMBIG",IFERROR(INDEX('Calculations'!$HF$13:$HF$512,MATCH('Calculations'!HX471,'Calculations'!$HE$13:$HE$512,0)),""))))</x:f>
      </x:c>
      <x:c r="HZ471" t="str">
        <x:f>IF('Calculations'!HY471="","",IF('Calculations'!HY471="!AMBIG","!AMBIG",IF(COUNTIF('Calculations'!$HE$13:$HE$512,"="&amp;SUBSTITUTE(SUBSTITUTE(SUBSTITUTE('Calculations'!HY471,"~","~~"),"*","~*"),"?","~?"))&gt;1,"!AMBIG",IFERROR(INDEX('Calculations'!$HF$13:$HF$512,MATCH('Calculations'!HY471,'Calculations'!$HE$13:$HE$512,0)),""))))</x:f>
      </x:c>
      <x:c r="IA471" t="str">
        <x:f>IF('Calculations'!HZ471="","",IF('Calculations'!HZ471="!AMBIG","!AMBIG",IF(COUNTIF('Calculations'!$HE$13:$HE$512,"="&amp;SUBSTITUTE(SUBSTITUTE(SUBSTITUTE('Calculations'!HZ471,"~","~~"),"*","~*"),"?","~?"))&gt;1,"!AMBIG",IFERROR(INDEX('Calculations'!$HF$13:$HF$512,MATCH('Calculations'!HZ471,'Calculations'!$HE$13:$HE$512,0)),""))))</x:f>
      </x:c>
      <x:c r="IB471" t="str">
        <x:f>IF('Calculations'!IA471="","",IF('Calculations'!IA471="!AMBIG","!AMBIG",IF(COUNTIF('Calculations'!$HE$13:$HE$512,"="&amp;SUBSTITUTE(SUBSTITUTE(SUBSTITUTE('Calculations'!IA471,"~","~~"),"*","~*"),"?","~?"))&gt;1,"!AMBIG",IFERROR(INDEX('Calculations'!$HF$13:$HF$512,MATCH('Calculations'!IA471,'Calculations'!$HE$13:$HE$512,0)),""))))</x:f>
      </x:c>
      <x:c r="IC471" t="str">
        <x:f>IF('Calculations'!IB471="","",IF('Calculations'!IB471="!AMBIG","!AMBIG",IF(COUNTIF('Calculations'!$HE$13:$HE$512,"="&amp;SUBSTITUTE(SUBSTITUTE(SUBSTITUTE('Calculations'!IB471,"~","~~"),"*","~*"),"?","~?"))&gt;1,"!AMBIG",IFERROR(INDEX('Calculations'!$HF$13:$HF$512,MATCH('Calculations'!IB471,'Calculations'!$HE$13:$HE$512,0)),""))))</x:f>
      </x:c>
      <x:c r="ID471" t="str">
        <x:f>IF('Calculations'!IC471="","",IF('Calculations'!IC471="!AMBIG","!AMBIG",IF(COUNTIF('Calculations'!$HE$13:$HE$512,"="&amp;SUBSTITUTE(SUBSTITUTE(SUBSTITUTE('Calculations'!IC471,"~","~~"),"*","~*"),"?","~?"))&gt;1,"!AMBIG",IFERROR(INDEX('Calculations'!$HF$13:$HF$512,MATCH('Calculations'!IC471,'Calculations'!$HE$13:$HE$512,0)),""))))</x:f>
      </x:c>
      <x:c r="IE471" t="str">
        <x:f>IF('Calculations'!ID471="","",IF('Calculations'!ID471="!AMBIG","!AMBIG",IF(COUNTIF('Calculations'!$HE$13:$HE$512,"="&amp;SUBSTITUTE(SUBSTITUTE(SUBSTITUTE('Calculations'!ID471,"~","~~"),"*","~*"),"?","~?"))&gt;1,"!AMBIG",IFERROR(INDEX('Calculations'!$HF$13:$HF$512,MATCH('Calculations'!ID471,'Calculations'!$HE$13:$HE$512,0)),""))))</x:f>
      </x:c>
      <x:c r="IF471" t="str">
        <x:f>IF('Calculations'!IE471="","",IF('Calculations'!IE471="!AMBIG","!AMBIG",IF(COUNTIF('Calculations'!$HE$13:$HE$512,"="&amp;SUBSTITUTE(SUBSTITUTE(SUBSTITUTE('Calculations'!IE471,"~","~~"),"*","~*"),"?","~?"))&gt;1,"!AMBIG",IFERROR(INDEX('Calculations'!$HF$13:$HF$512,MATCH('Calculations'!IE471,'Calculations'!$HE$13:$HE$512,0)),""))))</x:f>
      </x:c>
      <x:c r="IG471" t="str">
        <x:f>IF('Calculations'!IF471="","",IF('Calculations'!IF471="!AMBIG","!AMBIG",IF(COUNTIF('Calculations'!$HE$13:$HE$512,"="&amp;SUBSTITUTE(SUBSTITUTE(SUBSTITUTE('Calculations'!IF471,"~","~~"),"*","~*"),"?","~?"))&gt;1,"!AMBIG",IFERROR(INDEX('Calculations'!$HF$13:$HF$512,MATCH('Calculations'!IF471,'Calculations'!$HE$13:$HE$512,0)),""))))</x:f>
      </x:c>
      <x:c r="IH471" t="str">
        <x:f>IF('Calculations'!IG471="","",IF('Calculations'!IG471="!AMBIG","!AMBIG",IF(COUNTIF('Calculations'!$HE$13:$HE$512,"="&amp;SUBSTITUTE(SUBSTITUTE(SUBSTITUTE('Calculations'!IG471,"~","~~"),"*","~*"),"?","~?"))&gt;1,"!AMBIG",IFERROR(INDEX('Calculations'!$HF$13:$HF$512,MATCH('Calculations'!IG471,'Calculations'!$HE$13:$HE$512,0)),""))))</x:f>
      </x:c>
      <x:c r="II471" t="str">
        <x:f>IF('Calculations'!IH471="","",IF('Calculations'!IH471="!AMBIG","!AMBIG",IF(COUNTIF('Calculations'!$HE$13:$HE$512,"="&amp;SUBSTITUTE(SUBSTITUTE(SUBSTITUTE('Calculations'!IH471,"~","~~"),"*","~*"),"?","~?"))&gt;1,"!AMBIG",IFERROR(INDEX('Calculations'!$HF$13:$HF$512,MATCH('Calculations'!IH471,'Calculations'!$HE$13:$HE$512,0)),""))))</x:f>
      </x:c>
      <x:c r="IJ471" t="str">
        <x:f>IF('Calculations'!EM471="","",IF('Calculations'!$EF$2="All",'Calculations'!HM471,IF('Calculations'!HL471=1,"",IFERROR(IF(MATCH('Calculations'!$EF$2,'Calculations'!HO471:II471,0)=1,'Calculations'!HE471,INDEX('Calculations'!HO471:II471,1,MATCH('Calculations'!$EF$2,'Calculations'!HO471:II471,0)-1)),""))))</x:f>
      </x:c>
      <x:c r="IK471" t="n">
        <x:f>IF(AND('Calculations'!EM471&lt;&gt;"",'Calculations'!$EF$2&lt;&gt;"All",'Calculations'!HF471='Calculations'!$EF$2,'Calculations'!HL471=0,'Calculations'!JD471&gt;0),MAX('Calculations'!$IK$12:IK470)+1,0)</x:f>
        <x:v>0</x:v>
      </x:c>
      <x:c r="JA471" t="n">
        <x:f>IF(OR(IFERROR(INDIRECT("'WCM Calibration Final'!$A$471")&lt;&gt;"",FALSE),IFERROR(INDIRECT("'WCM Calibration Final'!$B$471")&lt;&gt;"",FALSE),IFERROR(INDIRECT("'WCM Calibration Final'!$C$471")&lt;&gt;"",FALSE)),471,0)</x:f>
        <x:v>0</x:v>
      </x:c>
      <x:c r="JB471" t="n">
        <x:f>'Calculations'!JB470+IF('Calculations'!JA471&gt;0,1,0)</x:f>
        <x:v>0</x:v>
      </x:c>
      <x:c r="JC471" t="n">
        <x:f>IF(OR('Calculations'!HF471="",'Calculations'!HF471="!AMBIG"),0,IF('Dashboard'!$B$7="All",1,COUNTIFS('Calculations'!$HO$13:$HO$512,"="&amp;SUBSTITUTE(SUBSTITUTE(SUBSTITUTE('Calculations'!HF471,"~","~~"),"*","~*"),"?","~?"),'Calculations'!$HN$13:$HN$512,"="&amp;SUBSTITUTE(SUBSTITUTE(SUBSTITUTE('Dashboard'!$B$7,"~","~~"),"*","~*"),"?","~?"))+COUNTIFS('Calculations'!$HP$13:$HP$512,"="&amp;SUBSTITUTE(SUBSTITUTE(SUBSTITUTE('Calculations'!HF471,"~","~~"),"*","~*"),"?","~?"),'Calculations'!$HN$13:$HN$512,"="&amp;SUBSTITUTE(SUBSTITUTE(SUBSTITUTE('Dashboard'!$B$7,"~","~~"),"*","~*"),"?","~?"))+COUNTIFS('Calculations'!$HQ$13:$HQ$512,"="&amp;SUBSTITUTE(SUBSTITUTE(SUBSTITUTE('Calculations'!HF471,"~","~~"),"*","~*"),"?","~?"),'Calculations'!$HN$13:$HN$512,"="&amp;SUBSTITUTE(SUBSTITUTE(SUBSTITUTE('Dashboard'!$B$7,"~","~~"),"*","~*"),"?","~?"))+COUNTIFS('Calculations'!$HR$13:$HR$512,"="&amp;SUBSTITUTE(SUBSTITUTE(SUBSTITUTE('Calculations'!HF471,"~","~~"),"*","~*"),"?","~?"),'Calculations'!$HN$13:$HN$512,"="&amp;SUBSTITUTE(SUBSTITUTE(SUBSTITUTE('Dashboard'!$B$7,"~","~~"),"*","~*"),"?","~?"))+COUNTIFS('Calculations'!$HS$13:$HS$512,"="&amp;SUBSTITUTE(SUBSTITUTE(SUBSTITUTE('Calculations'!HF471,"~","~~"),"*","~*"),"?","~?"),'Calculations'!$HN$13:$HN$512,"="&amp;SUBSTITUTE(SUBSTITUTE(SUBSTITUTE('Dashboard'!$B$7,"~","~~"),"*","~*"),"?","~?"))+COUNTIFS('Calculations'!$HT$13:$HT$512,"="&amp;SUBSTITUTE(SUBSTITUTE(SUBSTITUTE('Calculations'!HF471,"~","~~"),"*","~*"),"?","~?"),'Calculations'!$HN$13:$HN$512,"="&amp;SUBSTITUTE(SUBSTITUTE(SUBSTITUTE('Dashboard'!$B$7,"~","~~"),"*","~*"),"?","~?"))+COUNTIFS('Calculations'!$HU$13:$HU$512,"="&amp;SUBSTITUTE(SUBSTITUTE(SUBSTITUTE('Calculations'!HF471,"~","~~"),"*","~*"),"?","~?"),'Calculations'!$HN$13:$HN$512,"="&amp;SUBSTITUTE(SUBSTITUTE(SUBSTITUTE('Dashboard'!$B$7,"~","~~"),"*","~*"),"?","~?"))+COUNTIFS('Calculations'!$HV$13:$HV$512,"="&amp;SUBSTITUTE(SUBSTITUTE(SUBSTITUTE('Calculations'!HF471,"~","~~"),"*","~*"),"?","~?"),'Calculations'!$HN$13:$HN$512,"="&amp;SUBSTITUTE(SUBSTITUTE(SUBSTITUTE('Dashboard'!$B$7,"~","~~"),"*","~*"),"?","~?"))+COUNTIFS('Calculations'!$HW$13:$HW$512,"="&amp;SUBSTITUTE(SUBSTITUTE(SUBSTITUTE('Calculations'!HF471,"~","~~"),"*","~*"),"?","~?"),'Calculations'!$HN$13:$HN$512,"="&amp;SUBSTITUTE(SUBSTITUTE(SUBSTITUTE('Dashboard'!$B$7,"~","~~"),"*","~*"),"?","~?"))+COUNTIFS('Calculations'!$HX$13:$HX$512,"="&amp;SUBSTITUTE(SUBSTITUTE(SUBSTITUTE('Calculations'!HF471,"~","~~"),"*","~*"),"?","~?"),'Calculations'!$HN$13:$HN$512,"="&amp;SUBSTITUTE(SUBSTITUTE(SUBSTITUTE('Dashboard'!$B$7,"~","~~"),"*","~*"),"?","~?"))+COUNTIFS('Calculations'!$HY$13:$HY$512,"="&amp;SUBSTITUTE(SUBSTITUTE(SUBSTITUTE('Calculations'!HF471,"~","~~"),"*","~*"),"?","~?"),'Calculations'!$HN$13:$HN$512,"="&amp;SUBSTITUTE(SUBSTITUTE(SUBSTITUTE('Dashboard'!$B$7,"~","~~"),"*","~*"),"?","~?"))+COUNTIFS('Calculations'!$HZ$13:$HZ$512,"="&amp;SUBSTITUTE(SUBSTITUTE(SUBSTITUTE('Calculations'!HF471,"~","~~"),"*","~*"),"?","~?"),'Calculations'!$HN$13:$HN$512,"="&amp;SUBSTITUTE(SUBSTITUTE(SUBSTITUTE('Dashboard'!$B$7,"~","~~"),"*","~*"),"?","~?"))+COUNTIFS('Calculations'!$IA$13:$IA$512,"="&amp;SUBSTITUTE(SUBSTITUTE(SUBSTITUTE('Calculations'!HF471,"~","~~"),"*","~*"),"?","~?"),'Calculations'!$HN$13:$HN$512,"="&amp;SUBSTITUTE(SUBSTITUTE(SUBSTITUTE('Dashboard'!$B$7,"~","~~"),"*","~*"),"?","~?"))+COUNTIFS('Calculations'!$IB$13:$IB$512,"="&amp;SUBSTITUTE(SUBSTITUTE(SUBSTITUTE('Calculations'!HF471,"~","~~"),"*","~*"),"?","~?"),'Calculations'!$HN$13:$HN$512,"="&amp;SUBSTITUTE(SUBSTITUTE(SUBSTITUTE('Dashboard'!$B$7,"~","~~"),"*","~*"),"?","~?"))+COUNTIFS('Calculations'!$IC$13:$IC$512,"="&amp;SUBSTITUTE(SUBSTITUTE(SUBSTITUTE('Calculations'!HF471,"~","~~"),"*","~*"),"?","~?"),'Calculations'!$HN$13:$HN$512,"="&amp;SUBSTITUTE(SUBSTITUTE(SUBSTITUTE('Dashboard'!$B$7,"~","~~"),"*","~*"),"?","~?"))+COUNTIFS('Calculations'!$ID$13:$ID$512,"="&amp;SUBSTITUTE(SUBSTITUTE(SUBSTITUTE('Calculations'!HF471,"~","~~"),"*","~*"),"?","~?"),'Calculations'!$HN$13:$HN$512,"="&amp;SUBSTITUTE(SUBSTITUTE(SUBSTITUTE('Dashboard'!$B$7,"~","~~"),"*","~*"),"?","~?"))+COUNTIFS('Calculations'!$IE$13:$IE$512,"="&amp;SUBSTITUTE(SUBSTITUTE(SUBSTITUTE('Calculations'!HF471,"~","~~"),"*","~*"),"?","~?"),'Calculations'!$HN$13:$HN$512,"="&amp;SUBSTITUTE(SUBSTITUTE(SUBSTITUTE('Dashboard'!$B$7,"~","~~"),"*","~*"),"?","~?"))+COUNTIFS('Calculations'!$IF$13:$IF$512,"="&amp;SUBSTITUTE(SUBSTITUTE(SUBSTITUTE('Calculations'!HF471,"~","~~"),"*","~*"),"?","~?"),'Calculations'!$HN$13:$HN$512,"="&amp;SUBSTITUTE(SUBSTITUTE(SUBSTITUTE('Dashboard'!$B$7,"~","~~"),"*","~*"),"?","~?"))+COUNTIFS('Calculations'!$IG$13:$IG$512,"="&amp;SUBSTITUTE(SUBSTITUTE(SUBSTITUTE('Calculations'!HF471,"~","~~"),"*","~*"),"?","~?"),'Calculations'!$HN$13:$HN$512,"="&amp;SUBSTITUTE(SUBSTITUTE(SUBSTITUTE('Dashboard'!$B$7,"~","~~"),"*","~*"),"?","~?"))+COUNTIFS('Calculations'!$IH$13:$IH$512,"="&amp;SUBSTITUTE(SUBSTITUTE(SUBSTITUTE('Calculations'!HF471,"~","~~"),"*","~*"),"?","~?"),'Calculations'!$HN$13:$HN$512,"="&amp;SUBSTITUTE(SUBSTITUTE(SUBSTITUTE('Dashboard'!$B$7,"~","~~"),"*","~*"),"?","~?"))))</x:f>
        <x:v>0</x:v>
      </x:c>
      <x:c r="JD471" t="n">
        <x:f>IF('Calculations'!EM471="",0,IF('Dashboard'!$B$7="All",1,IF('Calculations'!HN471='Dashboard'!$B$7,1,0)+IFERROR(INDEX('Calculations'!$JC$13:$JC$512,MATCH('Calculations'!HE471,'Calculations'!$HF$13:$HF$512,0)),0)))</x:f>
        <x:v>0</x:v>
      </x:c>
      <x:c r="JE471" t="n">
        <x:f>IF(AND('Calculations'!EM471&lt;&gt;"",'Calculations'!$JJ$2&lt;&gt;"All",'Calculations'!$JJ$2&lt;&gt;"",'Calculations'!HF471='Calculations'!$JJ$2,'Calculations'!HL471=0,'Calculations'!JD471&gt;0),MAX('Calculations'!$JE$12:JE470)+1,0)</x:f>
        <x:v>0</x:v>
      </x:c>
      <x:c r="JF471" t="str">
        <x:f>IF('Calculations'!EM471="","",IFERROR(IF(INDEX(INDIRECT("'WCM Calibration Final'!$G$1:$G$2000"),'Calculations'!$EM471)="","",TRIM(INDEX(INDIRECT("'WCM Calibration Final'!$G$1:$G$2000"),'Calculations'!$EM471)&amp;"")),""))</x:f>
      </x:c>
      <x:c r="JQ471" t="n">
        <x:f>IF(OR('Calculations'!BM471=0,NOT('Calculations'!$AG$2),'Calculations'!$AG$8&gt;0),0,IF(OR('Dashboard'!$B$7="All",'Calculations'!HN471='Dashboard'!$B$7),IF('Calculations'!$JJ$2="All",1,IF(AND('Calculations'!HF471='Calculations'!$JJ$2,'Calculations'!HL471=0),1,0)),0))</x:f>
        <x:v>0</x:v>
      </x:c>
    </x:row>
    <x:row r="472">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t="n">
        <x:f>IF('Calculations'!$EM472="",0,IF(OR(IFERROR(INDEX(INDIRECT("'WCM Calibration Final'!$A$1:$A$2000"),'Calculations'!$EM472)&lt;&gt;"",FALSE),IFERROR(INDEX(INDIRECT("'WCM Calibration Final'!$B$1:$B$2000"),'Calculations'!$EM472)&lt;&gt;"",FALSE),IFERROR(INDEX(INDIRECT("'WCM Calibration Final'!$C$1:$C$2000"),'Calculations'!$EM472)&lt;&gt;"",FALSE)),1,0))</x:f>
        <x:v>0</x:v>
      </x:c>
      <x:c r="BN472" s="4" t="n">
        <x:f>IF(AND('Calculations'!BM472=1,'Calculations'!$AG$2,'Calculations'!$EN472=1),1,0)</x:f>
        <x:v>0</x:v>
      </x:c>
      <x:c r="BO472" s="4" t="str">
        <x:f>IF('Calculations'!BM472=0,"",IFERROR(IF(AND(VALUE(INDEX(INDIRECT("'WCM Calibration Final'!$K$1:$K$2000"),'Calculations'!$EM472))&gt;=1,VALUE(INDEX(INDIRECT("'WCM Calibration Final'!$K$1:$K$2000"),'Calculations'!$EM472))&lt;=4,MOD(VALUE(INDEX(INDIRECT("'WCM Calibration Final'!$K$1:$K$2000"),'Calculations'!$EM472)),1)=0),VALUE(INDEX(INDIRECT("'WCM Calibration Final'!$K$1:$K$2000"),'Calculations'!$EM472)),""),""))</x:f>
      </x:c>
      <x:c r="BP472" s="4" t="str">
        <x:f>IF('Calculations'!BM472=0,"",IFERROR(IF(AND(VALUE(INDEX(INDIRECT("'WCM Calibration Final'!$L$1:$L$2000"),'Calculations'!$EM472))&gt;=1,VALUE(INDEX(INDIRECT("'WCM Calibration Final'!$L$1:$L$2000"),'Calculations'!$EM472))&lt;=4,MOD(VALUE(INDEX(INDIRECT("'WCM Calibration Final'!$L$1:$L$2000"),'Calculations'!$EM472)),1)=0),VALUE(INDEX(INDIRECT("'WCM Calibration Final'!$L$1:$L$2000"),'Calculations'!$EM472)),""),""))</x:f>
      </x:c>
      <x:c r="BQ472" s="4"/>
      <x:c r="BR472" s="4"/>
      <x:c r="BS472" s="4"/>
      <x:c r="BT472" s="4" t="n">
        <x:f>IF(AND('Calculations'!BM472=1,ISNUMBER('Calculations'!BO472),ISNUMBER('Calculations'!BP472)),1,0)</x:f>
        <x:v>0</x:v>
      </x:c>
      <x:c r="BU472" s="4" t="str">
        <x:f>IF('Calculations'!BM472=0,"",'Calculations'!$EO472)</x:f>
      </x:c>
      <x:c r="BV472" s="4" t="str">
        <x:f>IF('Calculations'!BM472=0,"",IFERROR(IF(OR(INDEX(INDIRECT("'WCM Calibration Final'!$H$1:$H$2000"),'Calculations'!$EM472)="MANAGING DIRECTOR",INDEX(INDIRECT("'WCM Calibration Final'!$H$1:$H$2000"),'Calculations'!$EM472)="DIRECTOR",INDEX(INDIRECT("'WCM Calibration Final'!$H$1:$H$2000"),'Calculations'!$EM472)="SENIOR VICE PRESIDENT",INDEX(INDIRECT("'WCM Calibration Final'!$H$1:$H$2000"),'Calculations'!$EM472)="VICE PRESIDENT",INDEX(INDIRECT("'WCM Calibration Final'!$H$1:$H$2000"),'Calculations'!$EM472)="ASSISTANT VICE PRESIDENT",INDEX(INDIRECT("'WCM Calibration Final'!$H$1:$H$2000"),'Calculations'!$EM472)="OFFICER"),UPPER(INDEX(INDIRECT("'WCM Calibration Final'!$H$1:$H$2000"),'Calculations'!$EM472)),"Other"),"Other"))</x:f>
      </x:c>
      <x:c r="BW472" s="4"/>
      <x:c r="BX472" s="4"/>
      <x:c r="BY472" s="4" t="n">
        <x:f>IF(AND('Calculations'!BM472=1,'Calculations'!BU472&lt;&gt;"",COUNTIF('Calculations'!$BU$12:BU472,'Calculations'!BU472)=1),MAX('Calculations'!$BY$11:BY471)+1,0)</x:f>
        <x:v>0</x:v>
      </x:c>
      <x:c r="BZ472" s="4" t="str">
        <x:f>IF('Dashboard'!$E$67="What",'Calculations'!BO472,'Calculations'!BP472)</x:f>
      </x:c>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t="str">
        <x:f>IF(461&gt;MAX('Calculations'!$HI$13:$HI$512),"",INDEX('Calculations'!$HN$13:$HN$512,MATCH(461,'Calculations'!$HI$13:$HI$512,0)))</x:f>
      </x:c>
      <x:c r="DB472" s="4" t="str">
        <x:f>IF(461&gt;MAX('Calculations'!$HH$13:$HH$512),"",INDEX('Calculations'!$HJ$13:$HJ$512,MATCH(461,'Calculations'!$HH$13:$HH$512,0)))</x:f>
      </x:c>
      <x:c r="DC472" s="4" t="str">
        <x:f>IF(ROW()-11&gt;MAX('Calculations'!$BY$13:$BY$512),"",INDEX('Calculations'!$BU$13:$BU$512,MATCH(ROW()-11,'Calculations'!$BY$13:$BY$512,0)))</x:f>
      </x:c>
      <x:c r="DD472" s="4" t="str">
        <x:f>IF(461&gt;MAX('Calculations'!$IK$13:$IK$512),"",INDEX('Calculations'!$HK$13:$HK$512,MATCH(461,'Calculations'!$IK$13:$IK$512,0)))</x:f>
      </x:c>
      <x:c r="DE472" s="4" t="str">
        <x:f>'Calculations'!DC472</x:f>
      </x:c>
      <x:c r="DF472" s="4" t="str">
        <x:f>IF('Calculations'!DE472="","",COUNTIFS('Calculations'!$BN$13:$BN$512,1,'Calculations'!$BU$13:$BU$512,'Calculations'!DE472))</x:f>
      </x:c>
      <x:c r="DG472" s="4" t="str">
        <x:f>IF('Calculations'!DE472="","",COUNTIFS('Calculations'!$BN$13:$BN$512,1,'Calculations'!$BU$13:$BU$512,'Calculations'!DE472,'Calculations'!$BT$13:$BT$512,1))</x:f>
      </x:c>
      <x:c r="DH472" s="4" t="str">
        <x:f>IF('Calculations'!DE472="","",'Calculations'!DF472-'Calculations'!DG472)</x:f>
      </x:c>
      <x:c r="DI472" s="4" t="str">
        <x:f>IF(OR('Calculations'!DE472="",'Calculations'!DF472=0),"",'Calculations'!DG472/'Calculations'!DF472)</x:f>
      </x:c>
      <x:c r="DJ472" s="4" t="str">
        <x:f>IF('Calculations'!DE472="","",COUNTIFS('Calculations'!$BN$13:$BN$512,1,'Calculations'!$BU$13:$BU$512,'Calculations'!DE472,'Calculations'!$BT$13:$BT$512,1,'Calculations'!$EE$13:$EE$512,"High"))</x:f>
      </x:c>
      <x:c r="DK472" s="4" t="str">
        <x:f>IF('Calculations'!DE472="","",COUNTIFS('Calculations'!$BN$13:$BN$512,1,'Calculations'!$BU$13:$BU$512,'Calculations'!DE472,'Calculations'!$BT$13:$BT$512,1,'Calculations'!$EE$13:$EE$512,"Strong"))</x:f>
      </x:c>
      <x:c r="DL472" s="4" t="str">
        <x:f>IF('Calculations'!DE472="","",COUNTIFS('Calculations'!$BN$13:$BN$512,1,'Calculations'!$BU$13:$BU$512,'Calculations'!DE472,'Calculations'!$BT$13:$BT$512,1,'Calculations'!$EE$13:$EE$512,"Solid"))</x:f>
      </x:c>
      <x:c r="DM472" s="4" t="str">
        <x:f>IF('Calculations'!DE472="","",COUNTIFS('Calculations'!$BN$13:$BN$512,1,'Calculations'!$BU$13:$BU$512,'Calculations'!DE472,'Calculations'!$BT$13:$BT$512,1,'Calculations'!$EE$13:$EE$512,"Low"))</x:f>
      </x:c>
      <x:c r="DN472" s="4" t="str">
        <x:f>IF('Calculations'!DE472="","",COUNTIFS('Calculations'!$BN$13:$BN$512,1,'Calculations'!$BU$13:$BU$512,'Calculations'!DE472,'Calculations'!$EP$13:$EP$512,1))</x:f>
      </x:c>
      <x:c r="DO472" s="4" t="str">
        <x:f>IF(OR('Calculations'!DE472="",'Calculations'!DG472=0),"",('Calculations'!DJ472+'Calculations'!DK472)/'Calculations'!DG472)</x:f>
      </x:c>
      <x:c r="DP472" s="4" t="n">
        <x:f>IF(AND('Calculations'!DE472&lt;&gt;"",'Calculations'!DF472&gt;0),COUNTIF('Calculations'!$DF$12:DF472,"&gt;0"),0)</x:f>
        <x:v>0</x:v>
      </x:c>
      <x:c r="DQ472" s="4" t="str">
        <x:f>IF(461&gt;MAX('Calculations'!$HH$13:$HH$512),"",INDEX('Calculations'!$HF$13:$HF$512,MATCH(461,'Calculations'!$HH$13:$HH$512,0)))</x:f>
      </x:c>
      <x:c r="DR472" s="4" t="str">
        <x:f>IF(461&gt;MAX('Calculations'!$IK$13:$IK$512),"",INDEX('Calculations'!$HE$13:$HE$512,MATCH(461,'Calculations'!$IK$13:$IK$512,0)))</x:f>
      </x:c>
      <x:c r="DS472" s="4"/>
      <x:c r="DT472" s="4"/>
      <x:c r="DU472" s="4"/>
      <x:c r="DV472" s="4"/>
      <x:c r="DW472" s="4"/>
      <x:c r="DX472" s="4"/>
      <x:c r="DY472" s="4"/>
      <x:c r="DZ472" s="4"/>
      <x:c r="EA472" s="4"/>
      <x:c r="EB472" s="4"/>
      <x:c r="EC472" s="4"/>
      <x:c r="ED472" s="4"/>
      <x:c r="EE472" s="4" t="str">
        <x:f>IF('Calculations'!BT472=0,"Not Rated",IF(OR('Calculations'!BO472&gt;=4,'Calculations'!BP472&gt;=4),"Low",IF('Calculations'!BO472+'Calculations'!BP472&lt;=3,"High",IF('Calculations'!BO472+'Calculations'!BP472&lt;=4,"Strong","Solid"))))</x:f>
        <x:v>Not Rated</x:v>
      </x:c>
      <x:c r="EF472" s="4"/>
      <x:c r="EG472" s="4"/>
      <x:c r="EH472" s="4"/>
      <x:c r="EI472" s="4"/>
      <x:c r="EJ472" s="4"/>
      <x:c r="EK472" s="4"/>
      <x:c r="EL472" s="4"/>
      <x:c r="EM472" s="4" t="str">
        <x:f>IF(460&gt;'Calculations'!$JB$2000,"",INDEX('Calculations'!$JA$12:$JA$2000,MATCH(460,'Calculations'!$JB$12:$JB$2000,0)))</x:f>
      </x:c>
      <x:c r="EN472" s="4" t="n">
        <x:f>IF(OR('Calculations'!EM472="",'Calculations'!$AG$8&gt;0,AND('Calculations'!$EF$2&lt;&gt;"All",'Calculations'!HE472='Calculations'!$EF$2),AND('Calculations'!$EF$3&lt;&gt;"All",'Calculations'!HE472='Calculations'!$EF$3)),0,IF(OR('Dashboard'!$B$7="All",'Calculations'!HN472='Dashboard'!$B$7),IF('Calculations'!$EF$2="All",1,IF('Calculations'!HL472&gt;0,0,IF(COUNTIF('Calculations'!HO472:II472,"="&amp;SUBSTITUTE(SUBSTITUTE(SUBSTITUTE('Calculations'!$EF$2,"~","~~"),"*","~*"),"?","~?"))=0,0,IF('Calculations'!$EF$3="All",1,IF(COUNTIF('Calculations'!HO472:II472,"="&amp;SUBSTITUTE(SUBSTITUTE(SUBSTITUTE('Calculations'!$EF$3,"~","~~"),"*","~*"),"?","~?"))&gt;0,1,0))))),0))</x:f>
        <x:v>0</x:v>
      </x:c>
      <x:c r="EO472" s="4" t="str">
        <x:f>IF('Calculations'!IJ472="","",IF('Calculations'!IJ472="!UNRESOLVED","Unresolved hierarchy",IFERROR(INDEX('Calculations'!$HK$13:$HK$512,MATCH('Calculations'!IJ472,'Calculations'!$HE$13:$HE$512,0)),IFERROR(INDEX('Calculations'!$HJ$13:$HJ$512,MATCH('Calculations'!IJ472,'Calculations'!$HF$13:$HF$512,0)),'Calculations'!IJ472))))</x:f>
      </x:c>
      <x:c r="EP472" s="4" t="n">
        <x:f>IF(AND('Calculations'!EM472&lt;&gt;"",'Calculations'!HF472='Calculations'!IJ472),1,0)</x:f>
        <x:v>0</x:v>
      </x:c>
      <x:c r="EQ472" s="4"/>
      <x:c r="ER472" s="4"/>
      <x:c r="ES472" s="4"/>
      <x:c r="ET472" s="4"/>
      <x:c r="EU472" s="4"/>
      <x:c r="EV472" s="4"/>
      <x:c r="EW472" s="4"/>
      <x:c r="EX472" s="4"/>
      <x:c r="EY472" s="4"/>
      <x:c r="EZ472" s="4"/>
      <x:c r="FA472" s="4"/>
      <x:c r="FB472" s="4"/>
      <x:c r="FC472" s="4"/>
      <x:c r="FD472" s="4"/>
      <x:c r="FE472" s="4"/>
      <x:c r="FF472" s="4"/>
      <x:c r="FG472" s="4"/>
      <x:c r="FH472" s="4"/>
      <x:c r="FI472" s="4"/>
      <x:c r="FJ472" s="4"/>
      <x:c r="FK472" s="4"/>
      <x:c r="FL472" s="4"/>
      <x:c r="FM472" s="4"/>
      <x:c r="FN472" s="4"/>
      <x:c r="FO472" s="4"/>
      <x:c r="HE472" t="str">
        <x:f>IF('Calculations'!EM472="","",IF(IFERROR(IF(INDEX(INDIRECT("'WCM Calibration Final'!$A$1:$A$2000"),'Calculations'!$EM472)="","",TRIM(INDEX(INDIRECT("'WCM Calibration Final'!$A$1:$A$2000"),'Calculations'!$EM472)&amp;"")),"")&lt;&gt;"","G:"&amp;IFERROR(TEXT(1*INDEX(INDIRECT("'WCM Calibration Final'!$A$1:$A$2000"),'Calculations'!$EM472),"0"),UPPER(IFERROR(IF(INDEX(INDIRECT("'WCM Calibration Final'!$A$1:$A$2000"),'Calculations'!$EM472)="","",TRIM(INDEX(INDIRECT("'WCM Calibration Final'!$A$1:$A$2000"),'Calculations'!$EM472)&amp;"")),""))),IF(IFERROR(IF(INDEX(INDIRECT("'WCM Calibration Final'!$C$1:$C$2000"),'Calculations'!$EM472)="","",TRIM(INDEX(INDIRECT("'WCM Calibration Final'!$C$1:$C$2000"),'Calculations'!$EM472)&amp;"")),"")&lt;&gt;"","S:"&amp;UPPER(IFERROR(IF(INDEX(INDIRECT("'WCM Calibration Final'!$C$1:$C$2000"),'Calculations'!$EM472)="","",TRIM(INDEX(INDIRECT("'WCM Calibration Final'!$C$1:$C$2000"),'Calculations'!$EM472)&amp;"")),"")),"R:"&amp;'Calculations'!EM472)))</x:f>
      </x:c>
      <x:c r="HF472" t="str">
        <x:f>IF('Calculations'!EM472="","",IF(IFERROR(IF(INDEX(INDIRECT("'WCM Calibration Final'!$D$1:$D$2000"),'Calculations'!$EM472)="","",TRIM(INDEX(INDIRECT("'WCM Calibration Final'!$D$1:$D$2000"),'Calculations'!$EM472)&amp;"")),"")&lt;&gt;"","G:"&amp;IFERROR(TEXT(1*INDEX(INDIRECT("'WCM Calibration Final'!$D$1:$D$2000"),'Calculations'!$EM472),"0"),UPPER(IFERROR(IF(INDEX(INDIRECT("'WCM Calibration Final'!$D$1:$D$2000"),'Calculations'!$EM472)="","",TRIM(INDEX(INDIRECT("'WCM Calibration Final'!$D$1:$D$2000"),'Calculations'!$EM472)&amp;"")),""))),IF(IFERROR(IF(INDEX(INDIRECT("'WCM Calibration Final'!$E$1:$E$2000"),'Calculations'!$EM472)="","",TRIM(INDEX(INDIRECT("'WCM Calibration Final'!$E$1:$E$2000"),'Calculations'!$EM472)&amp;"")),"")="","",IF(COUNTIF('Calculations'!$HG$13:$HG$512,"="&amp;SUBSTITUTE(SUBSTITUTE(SUBSTITUTE(IFERROR(IF(INDEX(INDIRECT("'WCM Calibration Final'!$E$1:$E$2000"),'Calculations'!$EM472)="","",TRIM(INDEX(INDIRECT("'WCM Calibration Final'!$E$1:$E$2000"),'Calculations'!$EM472)&amp;"")),""),"~","~~"),"*","~*"),"?","~?"))=1,INDEX('Calculations'!$HE$13:$HE$512,MATCH(IFERROR(IF(INDEX(INDIRECT("'WCM Calibration Final'!$E$1:$E$2000"),'Calculations'!$EM472)="","",TRIM(INDEX(INDIRECT("'WCM Calibration Final'!$E$1:$E$2000"),'Calculations'!$EM472)&amp;"")),""),'Calculations'!$HG$13:$HG$512,0)),IF(COUNTIF('Calculations'!$HG$13:$HG$512,"="&amp;SUBSTITUTE(SUBSTITUTE(SUBSTITUTE(IFERROR(IF(INDEX(INDIRECT("'WCM Calibration Final'!$E$1:$E$2000"),'Calculations'!$EM472)="","",TRIM(INDEX(INDIRECT("'WCM Calibration Final'!$E$1:$E$2000"),'Calculations'!$EM472)&amp;"")),""),"~","~~"),"*","~*"),"?","~?"))&gt;1,"!AMBIG","X:"&amp;IFERROR(IF(INDEX(INDIRECT("'WCM Calibration Final'!$E$1:$E$2000"),'Calculations'!$EM472)="","",TRIM(INDEX(INDIRECT("'WCM Calibration Final'!$E$1:$E$2000"),'Calculations'!$EM472)&amp;"")),""))))))</x:f>
      </x:c>
      <x:c r="HG472" t="str">
        <x:f>IF('Calculations'!EM472="","",IFERROR(IF(INDEX(INDIRECT("'WCM Calibration Final'!$B$1:$B$2000"),'Calculations'!$EM472)="","",TRIM(INDEX(INDIRECT("'WCM Calibration Final'!$B$1:$B$2000"),'Calculations'!$EM472)&amp;"")),""))</x:f>
      </x:c>
      <x:c r="HH472" t="n">
        <x:f>IF(AND('Calculations'!JC472&gt;0,COUNTIF('Calculations'!$HF$12:HF472,"="&amp;SUBSTITUTE(SUBSTITUTE(SUBSTITUTE('Calculations'!HF472,"~","~~"),"*","~*"),"?","~?"))=1),MAX('Calculations'!$HH$12:HH471)+1,0)</x:f>
        <x:v>0</x:v>
      </x:c>
      <x:c r="HI472" t="n">
        <x:f>IF(AND('Calculations'!HN472&lt;&gt;"",COUNTIF('Calculations'!$HN$12:HN472,"="&amp;SUBSTITUTE(SUBSTITUTE(SUBSTITUTE('Calculations'!HN472,"~","~~"),"*","~*"),"?","~?"))=1),MAX('Calculations'!$HI$12:HI471)+1,0)</x:f>
        <x:v>0</x:v>
      </x:c>
      <x:c r="HJ472" t="str">
        <x:f>IF('Calculations'!HF472="","",IF(COUNTIF('Calculations'!$HE$13:$HE$512,"="&amp;SUBSTITUTE(SUBSTITUTE(SUBSTITUTE('Calculations'!HF472,"~","~~"),"*","~*"),"?","~?"))=1,INDEX('Calculations'!$HK$13:$HK$512,MATCH('Calculations'!HF472,'Calculations'!$HE$13:$HE$512,0)),IFERROR(IF(INDEX(INDIRECT("'WCM Calibration Final'!$E$1:$E$2000"),'Calculations'!$EM472)="","",TRIM(INDEX(INDIRECT("'WCM Calibration Final'!$E$1:$E$2000"),'Calculations'!$EM472)&amp;"")),"")&amp;" ["&amp;'Calculations'!HF472&amp;"]"))</x:f>
      </x:c>
      <x:c r="HK472" t="str">
        <x:f>IF('Calculations'!EM472="","",'Calculations'!HG472&amp;" ["&amp;'Calculations'!HE472&amp;"]")</x:f>
      </x:c>
      <x:c r="HL472" t="n">
        <x:f>IF('Calculations'!EM472="",0,IF(OR('Calculations'!II472&lt;&gt;"",COUNTIF('Calculations'!$HE$13:$HE$512,"="&amp;SUBSTITUTE(SUBSTITUTE(SUBSTITUTE('Calculations'!HE472,"~","~~"),"*","~*"),"?","~?"))&gt;1),1,0))</x:f>
        <x:v>0</x:v>
      </x:c>
      <x:c r="HM472" t="str">
        <x:f>IF('Calculations'!EM472="","",IF('Calculations'!HL472=1,"!UNRESOLVED",IF('Calculations'!IH472&lt;&gt;"",'Calculations'!IH472,IF('Calculations'!IG472&lt;&gt;"",'Calculations'!IG472,IF('Calculations'!IF472&lt;&gt;"",'Calculations'!IF472,IF('Calculations'!IE472&lt;&gt;"",'Calculations'!IE472,IF('Calculations'!ID472&lt;&gt;"",'Calculations'!ID472,IF('Calculations'!IC472&lt;&gt;"",'Calculations'!IC472,IF('Calculations'!IB472&lt;&gt;"",'Calculations'!IB472,IF('Calculations'!IA472&lt;&gt;"",'Calculations'!IA472,IF('Calculations'!HZ472&lt;&gt;"",'Calculations'!HZ472,IF('Calculations'!HY472&lt;&gt;"",'Calculations'!HY472,IF('Calculations'!HX472&lt;&gt;"",'Calculations'!HX472,IF('Calculations'!HW472&lt;&gt;"",'Calculations'!HW472,IF('Calculations'!HV472&lt;&gt;"",'Calculations'!HV472,IF('Calculations'!HU472&lt;&gt;"",'Calculations'!HU472,IF('Calculations'!HT472&lt;&gt;"",'Calculations'!HT472,IF('Calculations'!HS472&lt;&gt;"",'Calculations'!HS472,IF('Calculations'!HR472&lt;&gt;"",'Calculations'!HR472,IF('Calculations'!HQ472&lt;&gt;"",'Calculations'!HQ472,IF('Calculations'!HP472&lt;&gt;"",'Calculations'!HP472,IF('Calculations'!HO472&lt;&gt;"",'Calculations'!HO472,'Calculations'!HE472))))))))))))))))))))))</x:f>
      </x:c>
      <x:c r="HN472" t="str">
        <x:f>IF('Calculations'!EM472="","",IF(IFERROR(IF(INDEX(INDIRECT("'WCM Calibration Final'!$F$1:$F$2000"),'Calculations'!$EM472)="","",TRIM(INDEX(INDIRECT("'WCM Calibration Final'!$F$1:$F$2000"),'Calculations'!$EM472)&amp;"")),"")="","(Blank)",IFERROR(IF(INDEX(INDIRECT("'WCM Calibration Final'!$F$1:$F$2000"),'Calculations'!$EM472)="","",TRIM(INDEX(INDIRECT("'WCM Calibration Final'!$F$1:$F$2000"),'Calculations'!$EM472)&amp;"")),"")))</x:f>
      </x:c>
      <x:c r="HO472" t="str">
        <x:f>'Calculations'!HF472</x:f>
      </x:c>
      <x:c r="HP472" t="str">
        <x:f>IF('Calculations'!HO472="","",IF('Calculations'!HO472="!AMBIG","!AMBIG",IF(COUNTIF('Calculations'!$HE$13:$HE$512,"="&amp;SUBSTITUTE(SUBSTITUTE(SUBSTITUTE('Calculations'!HO472,"~","~~"),"*","~*"),"?","~?"))&gt;1,"!AMBIG",IFERROR(INDEX('Calculations'!$HF$13:$HF$512,MATCH('Calculations'!HO472,'Calculations'!$HE$13:$HE$512,0)),""))))</x:f>
      </x:c>
      <x:c r="HQ472" t="str">
        <x:f>IF('Calculations'!HP472="","",IF('Calculations'!HP472="!AMBIG","!AMBIG",IF(COUNTIF('Calculations'!$HE$13:$HE$512,"="&amp;SUBSTITUTE(SUBSTITUTE(SUBSTITUTE('Calculations'!HP472,"~","~~"),"*","~*"),"?","~?"))&gt;1,"!AMBIG",IFERROR(INDEX('Calculations'!$HF$13:$HF$512,MATCH('Calculations'!HP472,'Calculations'!$HE$13:$HE$512,0)),""))))</x:f>
      </x:c>
      <x:c r="HR472" t="str">
        <x:f>IF('Calculations'!HQ472="","",IF('Calculations'!HQ472="!AMBIG","!AMBIG",IF(COUNTIF('Calculations'!$HE$13:$HE$512,"="&amp;SUBSTITUTE(SUBSTITUTE(SUBSTITUTE('Calculations'!HQ472,"~","~~"),"*","~*"),"?","~?"))&gt;1,"!AMBIG",IFERROR(INDEX('Calculations'!$HF$13:$HF$512,MATCH('Calculations'!HQ472,'Calculations'!$HE$13:$HE$512,0)),""))))</x:f>
      </x:c>
      <x:c r="HS472" t="str">
        <x:f>IF('Calculations'!HR472="","",IF('Calculations'!HR472="!AMBIG","!AMBIG",IF(COUNTIF('Calculations'!$HE$13:$HE$512,"="&amp;SUBSTITUTE(SUBSTITUTE(SUBSTITUTE('Calculations'!HR472,"~","~~"),"*","~*"),"?","~?"))&gt;1,"!AMBIG",IFERROR(INDEX('Calculations'!$HF$13:$HF$512,MATCH('Calculations'!HR472,'Calculations'!$HE$13:$HE$512,0)),""))))</x:f>
      </x:c>
      <x:c r="HT472" t="str">
        <x:f>IF('Calculations'!HS472="","",IF('Calculations'!HS472="!AMBIG","!AMBIG",IF(COUNTIF('Calculations'!$HE$13:$HE$512,"="&amp;SUBSTITUTE(SUBSTITUTE(SUBSTITUTE('Calculations'!HS472,"~","~~"),"*","~*"),"?","~?"))&gt;1,"!AMBIG",IFERROR(INDEX('Calculations'!$HF$13:$HF$512,MATCH('Calculations'!HS472,'Calculations'!$HE$13:$HE$512,0)),""))))</x:f>
      </x:c>
      <x:c r="HU472" t="str">
        <x:f>IF('Calculations'!HT472="","",IF('Calculations'!HT472="!AMBIG","!AMBIG",IF(COUNTIF('Calculations'!$HE$13:$HE$512,"="&amp;SUBSTITUTE(SUBSTITUTE(SUBSTITUTE('Calculations'!HT472,"~","~~"),"*","~*"),"?","~?"))&gt;1,"!AMBIG",IFERROR(INDEX('Calculations'!$HF$13:$HF$512,MATCH('Calculations'!HT472,'Calculations'!$HE$13:$HE$512,0)),""))))</x:f>
      </x:c>
      <x:c r="HV472" t="str">
        <x:f>IF('Calculations'!HU472="","",IF('Calculations'!HU472="!AMBIG","!AMBIG",IF(COUNTIF('Calculations'!$HE$13:$HE$512,"="&amp;SUBSTITUTE(SUBSTITUTE(SUBSTITUTE('Calculations'!HU472,"~","~~"),"*","~*"),"?","~?"))&gt;1,"!AMBIG",IFERROR(INDEX('Calculations'!$HF$13:$HF$512,MATCH('Calculations'!HU472,'Calculations'!$HE$13:$HE$512,0)),""))))</x:f>
      </x:c>
      <x:c r="HW472" t="str">
        <x:f>IF('Calculations'!HV472="","",IF('Calculations'!HV472="!AMBIG","!AMBIG",IF(COUNTIF('Calculations'!$HE$13:$HE$512,"="&amp;SUBSTITUTE(SUBSTITUTE(SUBSTITUTE('Calculations'!HV472,"~","~~"),"*","~*"),"?","~?"))&gt;1,"!AMBIG",IFERROR(INDEX('Calculations'!$HF$13:$HF$512,MATCH('Calculations'!HV472,'Calculations'!$HE$13:$HE$512,0)),""))))</x:f>
      </x:c>
      <x:c r="HX472" t="str">
        <x:f>IF('Calculations'!HW472="","",IF('Calculations'!HW472="!AMBIG","!AMBIG",IF(COUNTIF('Calculations'!$HE$13:$HE$512,"="&amp;SUBSTITUTE(SUBSTITUTE(SUBSTITUTE('Calculations'!HW472,"~","~~"),"*","~*"),"?","~?"))&gt;1,"!AMBIG",IFERROR(INDEX('Calculations'!$HF$13:$HF$512,MATCH('Calculations'!HW472,'Calculations'!$HE$13:$HE$512,0)),""))))</x:f>
      </x:c>
      <x:c r="HY472" t="str">
        <x:f>IF('Calculations'!HX472="","",IF('Calculations'!HX472="!AMBIG","!AMBIG",IF(COUNTIF('Calculations'!$HE$13:$HE$512,"="&amp;SUBSTITUTE(SUBSTITUTE(SUBSTITUTE('Calculations'!HX472,"~","~~"),"*","~*"),"?","~?"))&gt;1,"!AMBIG",IFERROR(INDEX('Calculations'!$HF$13:$HF$512,MATCH('Calculations'!HX472,'Calculations'!$HE$13:$HE$512,0)),""))))</x:f>
      </x:c>
      <x:c r="HZ472" t="str">
        <x:f>IF('Calculations'!HY472="","",IF('Calculations'!HY472="!AMBIG","!AMBIG",IF(COUNTIF('Calculations'!$HE$13:$HE$512,"="&amp;SUBSTITUTE(SUBSTITUTE(SUBSTITUTE('Calculations'!HY472,"~","~~"),"*","~*"),"?","~?"))&gt;1,"!AMBIG",IFERROR(INDEX('Calculations'!$HF$13:$HF$512,MATCH('Calculations'!HY472,'Calculations'!$HE$13:$HE$512,0)),""))))</x:f>
      </x:c>
      <x:c r="IA472" t="str">
        <x:f>IF('Calculations'!HZ472="","",IF('Calculations'!HZ472="!AMBIG","!AMBIG",IF(COUNTIF('Calculations'!$HE$13:$HE$512,"="&amp;SUBSTITUTE(SUBSTITUTE(SUBSTITUTE('Calculations'!HZ472,"~","~~"),"*","~*"),"?","~?"))&gt;1,"!AMBIG",IFERROR(INDEX('Calculations'!$HF$13:$HF$512,MATCH('Calculations'!HZ472,'Calculations'!$HE$13:$HE$512,0)),""))))</x:f>
      </x:c>
      <x:c r="IB472" t="str">
        <x:f>IF('Calculations'!IA472="","",IF('Calculations'!IA472="!AMBIG","!AMBIG",IF(COUNTIF('Calculations'!$HE$13:$HE$512,"="&amp;SUBSTITUTE(SUBSTITUTE(SUBSTITUTE('Calculations'!IA472,"~","~~"),"*","~*"),"?","~?"))&gt;1,"!AMBIG",IFERROR(INDEX('Calculations'!$HF$13:$HF$512,MATCH('Calculations'!IA472,'Calculations'!$HE$13:$HE$512,0)),""))))</x:f>
      </x:c>
      <x:c r="IC472" t="str">
        <x:f>IF('Calculations'!IB472="","",IF('Calculations'!IB472="!AMBIG","!AMBIG",IF(COUNTIF('Calculations'!$HE$13:$HE$512,"="&amp;SUBSTITUTE(SUBSTITUTE(SUBSTITUTE('Calculations'!IB472,"~","~~"),"*","~*"),"?","~?"))&gt;1,"!AMBIG",IFERROR(INDEX('Calculations'!$HF$13:$HF$512,MATCH('Calculations'!IB472,'Calculations'!$HE$13:$HE$512,0)),""))))</x:f>
      </x:c>
      <x:c r="ID472" t="str">
        <x:f>IF('Calculations'!IC472="","",IF('Calculations'!IC472="!AMBIG","!AMBIG",IF(COUNTIF('Calculations'!$HE$13:$HE$512,"="&amp;SUBSTITUTE(SUBSTITUTE(SUBSTITUTE('Calculations'!IC472,"~","~~"),"*","~*"),"?","~?"))&gt;1,"!AMBIG",IFERROR(INDEX('Calculations'!$HF$13:$HF$512,MATCH('Calculations'!IC472,'Calculations'!$HE$13:$HE$512,0)),""))))</x:f>
      </x:c>
      <x:c r="IE472" t="str">
        <x:f>IF('Calculations'!ID472="","",IF('Calculations'!ID472="!AMBIG","!AMBIG",IF(COUNTIF('Calculations'!$HE$13:$HE$512,"="&amp;SUBSTITUTE(SUBSTITUTE(SUBSTITUTE('Calculations'!ID472,"~","~~"),"*","~*"),"?","~?"))&gt;1,"!AMBIG",IFERROR(INDEX('Calculations'!$HF$13:$HF$512,MATCH('Calculations'!ID472,'Calculations'!$HE$13:$HE$512,0)),""))))</x:f>
      </x:c>
      <x:c r="IF472" t="str">
        <x:f>IF('Calculations'!IE472="","",IF('Calculations'!IE472="!AMBIG","!AMBIG",IF(COUNTIF('Calculations'!$HE$13:$HE$512,"="&amp;SUBSTITUTE(SUBSTITUTE(SUBSTITUTE('Calculations'!IE472,"~","~~"),"*","~*"),"?","~?"))&gt;1,"!AMBIG",IFERROR(INDEX('Calculations'!$HF$13:$HF$512,MATCH('Calculations'!IE472,'Calculations'!$HE$13:$HE$512,0)),""))))</x:f>
      </x:c>
      <x:c r="IG472" t="str">
        <x:f>IF('Calculations'!IF472="","",IF('Calculations'!IF472="!AMBIG","!AMBIG",IF(COUNTIF('Calculations'!$HE$13:$HE$512,"="&amp;SUBSTITUTE(SUBSTITUTE(SUBSTITUTE('Calculations'!IF472,"~","~~"),"*","~*"),"?","~?"))&gt;1,"!AMBIG",IFERROR(INDEX('Calculations'!$HF$13:$HF$512,MATCH('Calculations'!IF472,'Calculations'!$HE$13:$HE$512,0)),""))))</x:f>
      </x:c>
      <x:c r="IH472" t="str">
        <x:f>IF('Calculations'!IG472="","",IF('Calculations'!IG472="!AMBIG","!AMBIG",IF(COUNTIF('Calculations'!$HE$13:$HE$512,"="&amp;SUBSTITUTE(SUBSTITUTE(SUBSTITUTE('Calculations'!IG472,"~","~~"),"*","~*"),"?","~?"))&gt;1,"!AMBIG",IFERROR(INDEX('Calculations'!$HF$13:$HF$512,MATCH('Calculations'!IG472,'Calculations'!$HE$13:$HE$512,0)),""))))</x:f>
      </x:c>
      <x:c r="II472" t="str">
        <x:f>IF('Calculations'!IH472="","",IF('Calculations'!IH472="!AMBIG","!AMBIG",IF(COUNTIF('Calculations'!$HE$13:$HE$512,"="&amp;SUBSTITUTE(SUBSTITUTE(SUBSTITUTE('Calculations'!IH472,"~","~~"),"*","~*"),"?","~?"))&gt;1,"!AMBIG",IFERROR(INDEX('Calculations'!$HF$13:$HF$512,MATCH('Calculations'!IH472,'Calculations'!$HE$13:$HE$512,0)),""))))</x:f>
      </x:c>
      <x:c r="IJ472" t="str">
        <x:f>IF('Calculations'!EM472="","",IF('Calculations'!$EF$2="All",'Calculations'!HM472,IF('Calculations'!HL472=1,"",IFERROR(IF(MATCH('Calculations'!$EF$2,'Calculations'!HO472:II472,0)=1,'Calculations'!HE472,INDEX('Calculations'!HO472:II472,1,MATCH('Calculations'!$EF$2,'Calculations'!HO472:II472,0)-1)),""))))</x:f>
      </x:c>
      <x:c r="IK472" t="n">
        <x:f>IF(AND('Calculations'!EM472&lt;&gt;"",'Calculations'!$EF$2&lt;&gt;"All",'Calculations'!HF472='Calculations'!$EF$2,'Calculations'!HL472=0,'Calculations'!JD472&gt;0),MAX('Calculations'!$IK$12:IK471)+1,0)</x:f>
        <x:v>0</x:v>
      </x:c>
      <x:c r="JA472" t="n">
        <x:f>IF(OR(IFERROR(INDIRECT("'WCM Calibration Final'!$A$472")&lt;&gt;"",FALSE),IFERROR(INDIRECT("'WCM Calibration Final'!$B$472")&lt;&gt;"",FALSE),IFERROR(INDIRECT("'WCM Calibration Final'!$C$472")&lt;&gt;"",FALSE)),472,0)</x:f>
        <x:v>0</x:v>
      </x:c>
      <x:c r="JB472" t="n">
        <x:f>'Calculations'!JB471+IF('Calculations'!JA472&gt;0,1,0)</x:f>
        <x:v>0</x:v>
      </x:c>
      <x:c r="JC472" t="n">
        <x:f>IF(OR('Calculations'!HF472="",'Calculations'!HF472="!AMBIG"),0,IF('Dashboard'!$B$7="All",1,COUNTIFS('Calculations'!$HO$13:$HO$512,"="&amp;SUBSTITUTE(SUBSTITUTE(SUBSTITUTE('Calculations'!HF472,"~","~~"),"*","~*"),"?","~?"),'Calculations'!$HN$13:$HN$512,"="&amp;SUBSTITUTE(SUBSTITUTE(SUBSTITUTE('Dashboard'!$B$7,"~","~~"),"*","~*"),"?","~?"))+COUNTIFS('Calculations'!$HP$13:$HP$512,"="&amp;SUBSTITUTE(SUBSTITUTE(SUBSTITUTE('Calculations'!HF472,"~","~~"),"*","~*"),"?","~?"),'Calculations'!$HN$13:$HN$512,"="&amp;SUBSTITUTE(SUBSTITUTE(SUBSTITUTE('Dashboard'!$B$7,"~","~~"),"*","~*"),"?","~?"))+COUNTIFS('Calculations'!$HQ$13:$HQ$512,"="&amp;SUBSTITUTE(SUBSTITUTE(SUBSTITUTE('Calculations'!HF472,"~","~~"),"*","~*"),"?","~?"),'Calculations'!$HN$13:$HN$512,"="&amp;SUBSTITUTE(SUBSTITUTE(SUBSTITUTE('Dashboard'!$B$7,"~","~~"),"*","~*"),"?","~?"))+COUNTIFS('Calculations'!$HR$13:$HR$512,"="&amp;SUBSTITUTE(SUBSTITUTE(SUBSTITUTE('Calculations'!HF472,"~","~~"),"*","~*"),"?","~?"),'Calculations'!$HN$13:$HN$512,"="&amp;SUBSTITUTE(SUBSTITUTE(SUBSTITUTE('Dashboard'!$B$7,"~","~~"),"*","~*"),"?","~?"))+COUNTIFS('Calculations'!$HS$13:$HS$512,"="&amp;SUBSTITUTE(SUBSTITUTE(SUBSTITUTE('Calculations'!HF472,"~","~~"),"*","~*"),"?","~?"),'Calculations'!$HN$13:$HN$512,"="&amp;SUBSTITUTE(SUBSTITUTE(SUBSTITUTE('Dashboard'!$B$7,"~","~~"),"*","~*"),"?","~?"))+COUNTIFS('Calculations'!$HT$13:$HT$512,"="&amp;SUBSTITUTE(SUBSTITUTE(SUBSTITUTE('Calculations'!HF472,"~","~~"),"*","~*"),"?","~?"),'Calculations'!$HN$13:$HN$512,"="&amp;SUBSTITUTE(SUBSTITUTE(SUBSTITUTE('Dashboard'!$B$7,"~","~~"),"*","~*"),"?","~?"))+COUNTIFS('Calculations'!$HU$13:$HU$512,"="&amp;SUBSTITUTE(SUBSTITUTE(SUBSTITUTE('Calculations'!HF472,"~","~~"),"*","~*"),"?","~?"),'Calculations'!$HN$13:$HN$512,"="&amp;SUBSTITUTE(SUBSTITUTE(SUBSTITUTE('Dashboard'!$B$7,"~","~~"),"*","~*"),"?","~?"))+COUNTIFS('Calculations'!$HV$13:$HV$512,"="&amp;SUBSTITUTE(SUBSTITUTE(SUBSTITUTE('Calculations'!HF472,"~","~~"),"*","~*"),"?","~?"),'Calculations'!$HN$13:$HN$512,"="&amp;SUBSTITUTE(SUBSTITUTE(SUBSTITUTE('Dashboard'!$B$7,"~","~~"),"*","~*"),"?","~?"))+COUNTIFS('Calculations'!$HW$13:$HW$512,"="&amp;SUBSTITUTE(SUBSTITUTE(SUBSTITUTE('Calculations'!HF472,"~","~~"),"*","~*"),"?","~?"),'Calculations'!$HN$13:$HN$512,"="&amp;SUBSTITUTE(SUBSTITUTE(SUBSTITUTE('Dashboard'!$B$7,"~","~~"),"*","~*"),"?","~?"))+COUNTIFS('Calculations'!$HX$13:$HX$512,"="&amp;SUBSTITUTE(SUBSTITUTE(SUBSTITUTE('Calculations'!HF472,"~","~~"),"*","~*"),"?","~?"),'Calculations'!$HN$13:$HN$512,"="&amp;SUBSTITUTE(SUBSTITUTE(SUBSTITUTE('Dashboard'!$B$7,"~","~~"),"*","~*"),"?","~?"))+COUNTIFS('Calculations'!$HY$13:$HY$512,"="&amp;SUBSTITUTE(SUBSTITUTE(SUBSTITUTE('Calculations'!HF472,"~","~~"),"*","~*"),"?","~?"),'Calculations'!$HN$13:$HN$512,"="&amp;SUBSTITUTE(SUBSTITUTE(SUBSTITUTE('Dashboard'!$B$7,"~","~~"),"*","~*"),"?","~?"))+COUNTIFS('Calculations'!$HZ$13:$HZ$512,"="&amp;SUBSTITUTE(SUBSTITUTE(SUBSTITUTE('Calculations'!HF472,"~","~~"),"*","~*"),"?","~?"),'Calculations'!$HN$13:$HN$512,"="&amp;SUBSTITUTE(SUBSTITUTE(SUBSTITUTE('Dashboard'!$B$7,"~","~~"),"*","~*"),"?","~?"))+COUNTIFS('Calculations'!$IA$13:$IA$512,"="&amp;SUBSTITUTE(SUBSTITUTE(SUBSTITUTE('Calculations'!HF472,"~","~~"),"*","~*"),"?","~?"),'Calculations'!$HN$13:$HN$512,"="&amp;SUBSTITUTE(SUBSTITUTE(SUBSTITUTE('Dashboard'!$B$7,"~","~~"),"*","~*"),"?","~?"))+COUNTIFS('Calculations'!$IB$13:$IB$512,"="&amp;SUBSTITUTE(SUBSTITUTE(SUBSTITUTE('Calculations'!HF472,"~","~~"),"*","~*"),"?","~?"),'Calculations'!$HN$13:$HN$512,"="&amp;SUBSTITUTE(SUBSTITUTE(SUBSTITUTE('Dashboard'!$B$7,"~","~~"),"*","~*"),"?","~?"))+COUNTIFS('Calculations'!$IC$13:$IC$512,"="&amp;SUBSTITUTE(SUBSTITUTE(SUBSTITUTE('Calculations'!HF472,"~","~~"),"*","~*"),"?","~?"),'Calculations'!$HN$13:$HN$512,"="&amp;SUBSTITUTE(SUBSTITUTE(SUBSTITUTE('Dashboard'!$B$7,"~","~~"),"*","~*"),"?","~?"))+COUNTIFS('Calculations'!$ID$13:$ID$512,"="&amp;SUBSTITUTE(SUBSTITUTE(SUBSTITUTE('Calculations'!HF472,"~","~~"),"*","~*"),"?","~?"),'Calculations'!$HN$13:$HN$512,"="&amp;SUBSTITUTE(SUBSTITUTE(SUBSTITUTE('Dashboard'!$B$7,"~","~~"),"*","~*"),"?","~?"))+COUNTIFS('Calculations'!$IE$13:$IE$512,"="&amp;SUBSTITUTE(SUBSTITUTE(SUBSTITUTE('Calculations'!HF472,"~","~~"),"*","~*"),"?","~?"),'Calculations'!$HN$13:$HN$512,"="&amp;SUBSTITUTE(SUBSTITUTE(SUBSTITUTE('Dashboard'!$B$7,"~","~~"),"*","~*"),"?","~?"))+COUNTIFS('Calculations'!$IF$13:$IF$512,"="&amp;SUBSTITUTE(SUBSTITUTE(SUBSTITUTE('Calculations'!HF472,"~","~~"),"*","~*"),"?","~?"),'Calculations'!$HN$13:$HN$512,"="&amp;SUBSTITUTE(SUBSTITUTE(SUBSTITUTE('Dashboard'!$B$7,"~","~~"),"*","~*"),"?","~?"))+COUNTIFS('Calculations'!$IG$13:$IG$512,"="&amp;SUBSTITUTE(SUBSTITUTE(SUBSTITUTE('Calculations'!HF472,"~","~~"),"*","~*"),"?","~?"),'Calculations'!$HN$13:$HN$512,"="&amp;SUBSTITUTE(SUBSTITUTE(SUBSTITUTE('Dashboard'!$B$7,"~","~~"),"*","~*"),"?","~?"))+COUNTIFS('Calculations'!$IH$13:$IH$512,"="&amp;SUBSTITUTE(SUBSTITUTE(SUBSTITUTE('Calculations'!HF472,"~","~~"),"*","~*"),"?","~?"),'Calculations'!$HN$13:$HN$512,"="&amp;SUBSTITUTE(SUBSTITUTE(SUBSTITUTE('Dashboard'!$B$7,"~","~~"),"*","~*"),"?","~?"))))</x:f>
        <x:v>0</x:v>
      </x:c>
      <x:c r="JD472" t="n">
        <x:f>IF('Calculations'!EM472="",0,IF('Dashboard'!$B$7="All",1,IF('Calculations'!HN472='Dashboard'!$B$7,1,0)+IFERROR(INDEX('Calculations'!$JC$13:$JC$512,MATCH('Calculations'!HE472,'Calculations'!$HF$13:$HF$512,0)),0)))</x:f>
        <x:v>0</x:v>
      </x:c>
      <x:c r="JE472" t="n">
        <x:f>IF(AND('Calculations'!EM472&lt;&gt;"",'Calculations'!$JJ$2&lt;&gt;"All",'Calculations'!$JJ$2&lt;&gt;"",'Calculations'!HF472='Calculations'!$JJ$2,'Calculations'!HL472=0,'Calculations'!JD472&gt;0),MAX('Calculations'!$JE$12:JE471)+1,0)</x:f>
        <x:v>0</x:v>
      </x:c>
      <x:c r="JF472" t="str">
        <x:f>IF('Calculations'!EM472="","",IFERROR(IF(INDEX(INDIRECT("'WCM Calibration Final'!$G$1:$G$2000"),'Calculations'!$EM472)="","",TRIM(INDEX(INDIRECT("'WCM Calibration Final'!$G$1:$G$2000"),'Calculations'!$EM472)&amp;"")),""))</x:f>
      </x:c>
      <x:c r="JQ472" t="n">
        <x:f>IF(OR('Calculations'!BM472=0,NOT('Calculations'!$AG$2),'Calculations'!$AG$8&gt;0),0,IF(OR('Dashboard'!$B$7="All",'Calculations'!HN472='Dashboard'!$B$7),IF('Calculations'!$JJ$2="All",1,IF(AND('Calculations'!HF472='Calculations'!$JJ$2,'Calculations'!HL472=0),1,0)),0))</x:f>
        <x:v>0</x:v>
      </x:c>
    </x:row>
    <x:row r="473">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t="n">
        <x:f>IF('Calculations'!$EM473="",0,IF(OR(IFERROR(INDEX(INDIRECT("'WCM Calibration Final'!$A$1:$A$2000"),'Calculations'!$EM473)&lt;&gt;"",FALSE),IFERROR(INDEX(INDIRECT("'WCM Calibration Final'!$B$1:$B$2000"),'Calculations'!$EM473)&lt;&gt;"",FALSE),IFERROR(INDEX(INDIRECT("'WCM Calibration Final'!$C$1:$C$2000"),'Calculations'!$EM473)&lt;&gt;"",FALSE)),1,0))</x:f>
        <x:v>0</x:v>
      </x:c>
      <x:c r="BN473" s="4" t="n">
        <x:f>IF(AND('Calculations'!BM473=1,'Calculations'!$AG$2,'Calculations'!$EN473=1),1,0)</x:f>
        <x:v>0</x:v>
      </x:c>
      <x:c r="BO473" s="4" t="str">
        <x:f>IF('Calculations'!BM473=0,"",IFERROR(IF(AND(VALUE(INDEX(INDIRECT("'WCM Calibration Final'!$K$1:$K$2000"),'Calculations'!$EM473))&gt;=1,VALUE(INDEX(INDIRECT("'WCM Calibration Final'!$K$1:$K$2000"),'Calculations'!$EM473))&lt;=4,MOD(VALUE(INDEX(INDIRECT("'WCM Calibration Final'!$K$1:$K$2000"),'Calculations'!$EM473)),1)=0),VALUE(INDEX(INDIRECT("'WCM Calibration Final'!$K$1:$K$2000"),'Calculations'!$EM473)),""),""))</x:f>
      </x:c>
      <x:c r="BP473" s="4" t="str">
        <x:f>IF('Calculations'!BM473=0,"",IFERROR(IF(AND(VALUE(INDEX(INDIRECT("'WCM Calibration Final'!$L$1:$L$2000"),'Calculations'!$EM473))&gt;=1,VALUE(INDEX(INDIRECT("'WCM Calibration Final'!$L$1:$L$2000"),'Calculations'!$EM473))&lt;=4,MOD(VALUE(INDEX(INDIRECT("'WCM Calibration Final'!$L$1:$L$2000"),'Calculations'!$EM473)),1)=0),VALUE(INDEX(INDIRECT("'WCM Calibration Final'!$L$1:$L$2000"),'Calculations'!$EM473)),""),""))</x:f>
      </x:c>
      <x:c r="BQ473" s="4"/>
      <x:c r="BR473" s="4"/>
      <x:c r="BS473" s="4"/>
      <x:c r="BT473" s="4" t="n">
        <x:f>IF(AND('Calculations'!BM473=1,ISNUMBER('Calculations'!BO473),ISNUMBER('Calculations'!BP473)),1,0)</x:f>
        <x:v>0</x:v>
      </x:c>
      <x:c r="BU473" s="4" t="str">
        <x:f>IF('Calculations'!BM473=0,"",'Calculations'!$EO473)</x:f>
      </x:c>
      <x:c r="BV473" s="4" t="str">
        <x:f>IF('Calculations'!BM473=0,"",IFERROR(IF(OR(INDEX(INDIRECT("'WCM Calibration Final'!$H$1:$H$2000"),'Calculations'!$EM473)="MANAGING DIRECTOR",INDEX(INDIRECT("'WCM Calibration Final'!$H$1:$H$2000"),'Calculations'!$EM473)="DIRECTOR",INDEX(INDIRECT("'WCM Calibration Final'!$H$1:$H$2000"),'Calculations'!$EM473)="SENIOR VICE PRESIDENT",INDEX(INDIRECT("'WCM Calibration Final'!$H$1:$H$2000"),'Calculations'!$EM473)="VICE PRESIDENT",INDEX(INDIRECT("'WCM Calibration Final'!$H$1:$H$2000"),'Calculations'!$EM473)="ASSISTANT VICE PRESIDENT",INDEX(INDIRECT("'WCM Calibration Final'!$H$1:$H$2000"),'Calculations'!$EM473)="OFFICER"),UPPER(INDEX(INDIRECT("'WCM Calibration Final'!$H$1:$H$2000"),'Calculations'!$EM473)),"Other"),"Other"))</x:f>
      </x:c>
      <x:c r="BW473" s="4"/>
      <x:c r="BX473" s="4"/>
      <x:c r="BY473" s="4" t="n">
        <x:f>IF(AND('Calculations'!BM473=1,'Calculations'!BU473&lt;&gt;"",COUNTIF('Calculations'!$BU$12:BU473,'Calculations'!BU473)=1),MAX('Calculations'!$BY$11:BY472)+1,0)</x:f>
        <x:v>0</x:v>
      </x:c>
      <x:c r="BZ473" s="4" t="str">
        <x:f>IF('Dashboard'!$E$67="What",'Calculations'!BO473,'Calculations'!BP473)</x:f>
      </x:c>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t="str">
        <x:f>IF(462&gt;MAX('Calculations'!$HI$13:$HI$512),"",INDEX('Calculations'!$HN$13:$HN$512,MATCH(462,'Calculations'!$HI$13:$HI$512,0)))</x:f>
      </x:c>
      <x:c r="DB473" s="4" t="str">
        <x:f>IF(462&gt;MAX('Calculations'!$HH$13:$HH$512),"",INDEX('Calculations'!$HJ$13:$HJ$512,MATCH(462,'Calculations'!$HH$13:$HH$512,0)))</x:f>
      </x:c>
      <x:c r="DC473" s="4" t="str">
        <x:f>IF(ROW()-11&gt;MAX('Calculations'!$BY$13:$BY$512),"",INDEX('Calculations'!$BU$13:$BU$512,MATCH(ROW()-11,'Calculations'!$BY$13:$BY$512,0)))</x:f>
      </x:c>
      <x:c r="DD473" s="4" t="str">
        <x:f>IF(462&gt;MAX('Calculations'!$IK$13:$IK$512),"",INDEX('Calculations'!$HK$13:$HK$512,MATCH(462,'Calculations'!$IK$13:$IK$512,0)))</x:f>
      </x:c>
      <x:c r="DE473" s="4" t="str">
        <x:f>'Calculations'!DC473</x:f>
      </x:c>
      <x:c r="DF473" s="4" t="str">
        <x:f>IF('Calculations'!DE473="","",COUNTIFS('Calculations'!$BN$13:$BN$512,1,'Calculations'!$BU$13:$BU$512,'Calculations'!DE473))</x:f>
      </x:c>
      <x:c r="DG473" s="4" t="str">
        <x:f>IF('Calculations'!DE473="","",COUNTIFS('Calculations'!$BN$13:$BN$512,1,'Calculations'!$BU$13:$BU$512,'Calculations'!DE473,'Calculations'!$BT$13:$BT$512,1))</x:f>
      </x:c>
      <x:c r="DH473" s="4" t="str">
        <x:f>IF('Calculations'!DE473="","",'Calculations'!DF473-'Calculations'!DG473)</x:f>
      </x:c>
      <x:c r="DI473" s="4" t="str">
        <x:f>IF(OR('Calculations'!DE473="",'Calculations'!DF473=0),"",'Calculations'!DG473/'Calculations'!DF473)</x:f>
      </x:c>
      <x:c r="DJ473" s="4" t="str">
        <x:f>IF('Calculations'!DE473="","",COUNTIFS('Calculations'!$BN$13:$BN$512,1,'Calculations'!$BU$13:$BU$512,'Calculations'!DE473,'Calculations'!$BT$13:$BT$512,1,'Calculations'!$EE$13:$EE$512,"High"))</x:f>
      </x:c>
      <x:c r="DK473" s="4" t="str">
        <x:f>IF('Calculations'!DE473="","",COUNTIFS('Calculations'!$BN$13:$BN$512,1,'Calculations'!$BU$13:$BU$512,'Calculations'!DE473,'Calculations'!$BT$13:$BT$512,1,'Calculations'!$EE$13:$EE$512,"Strong"))</x:f>
      </x:c>
      <x:c r="DL473" s="4" t="str">
        <x:f>IF('Calculations'!DE473="","",COUNTIFS('Calculations'!$BN$13:$BN$512,1,'Calculations'!$BU$13:$BU$512,'Calculations'!DE473,'Calculations'!$BT$13:$BT$512,1,'Calculations'!$EE$13:$EE$512,"Solid"))</x:f>
      </x:c>
      <x:c r="DM473" s="4" t="str">
        <x:f>IF('Calculations'!DE473="","",COUNTIFS('Calculations'!$BN$13:$BN$512,1,'Calculations'!$BU$13:$BU$512,'Calculations'!DE473,'Calculations'!$BT$13:$BT$512,1,'Calculations'!$EE$13:$EE$512,"Low"))</x:f>
      </x:c>
      <x:c r="DN473" s="4" t="str">
        <x:f>IF('Calculations'!DE473="","",COUNTIFS('Calculations'!$BN$13:$BN$512,1,'Calculations'!$BU$13:$BU$512,'Calculations'!DE473,'Calculations'!$EP$13:$EP$512,1))</x:f>
      </x:c>
      <x:c r="DO473" s="4" t="str">
        <x:f>IF(OR('Calculations'!DE473="",'Calculations'!DG473=0),"",('Calculations'!DJ473+'Calculations'!DK473)/'Calculations'!DG473)</x:f>
      </x:c>
      <x:c r="DP473" s="4" t="n">
        <x:f>IF(AND('Calculations'!DE473&lt;&gt;"",'Calculations'!DF473&gt;0),COUNTIF('Calculations'!$DF$12:DF473,"&gt;0"),0)</x:f>
        <x:v>0</x:v>
      </x:c>
      <x:c r="DQ473" s="4" t="str">
        <x:f>IF(462&gt;MAX('Calculations'!$HH$13:$HH$512),"",INDEX('Calculations'!$HF$13:$HF$512,MATCH(462,'Calculations'!$HH$13:$HH$512,0)))</x:f>
      </x:c>
      <x:c r="DR473" s="4" t="str">
        <x:f>IF(462&gt;MAX('Calculations'!$IK$13:$IK$512),"",INDEX('Calculations'!$HE$13:$HE$512,MATCH(462,'Calculations'!$IK$13:$IK$512,0)))</x:f>
      </x:c>
      <x:c r="DS473" s="4"/>
      <x:c r="DT473" s="4"/>
      <x:c r="DU473" s="4"/>
      <x:c r="DV473" s="4"/>
      <x:c r="DW473" s="4"/>
      <x:c r="DX473" s="4"/>
      <x:c r="DY473" s="4"/>
      <x:c r="DZ473" s="4"/>
      <x:c r="EA473" s="4"/>
      <x:c r="EB473" s="4"/>
      <x:c r="EC473" s="4"/>
      <x:c r="ED473" s="4"/>
      <x:c r="EE473" s="4" t="str">
        <x:f>IF('Calculations'!BT473=0,"Not Rated",IF(OR('Calculations'!BO473&gt;=4,'Calculations'!BP473&gt;=4),"Low",IF('Calculations'!BO473+'Calculations'!BP473&lt;=3,"High",IF('Calculations'!BO473+'Calculations'!BP473&lt;=4,"Strong","Solid"))))</x:f>
        <x:v>Not Rated</x:v>
      </x:c>
      <x:c r="EF473" s="4"/>
      <x:c r="EG473" s="4"/>
      <x:c r="EH473" s="4"/>
      <x:c r="EI473" s="4"/>
      <x:c r="EJ473" s="4"/>
      <x:c r="EK473" s="4"/>
      <x:c r="EL473" s="4"/>
      <x:c r="EM473" s="4" t="str">
        <x:f>IF(461&gt;'Calculations'!$JB$2000,"",INDEX('Calculations'!$JA$12:$JA$2000,MATCH(461,'Calculations'!$JB$12:$JB$2000,0)))</x:f>
      </x:c>
      <x:c r="EN473" s="4" t="n">
        <x:f>IF(OR('Calculations'!EM473="",'Calculations'!$AG$8&gt;0,AND('Calculations'!$EF$2&lt;&gt;"All",'Calculations'!HE473='Calculations'!$EF$2),AND('Calculations'!$EF$3&lt;&gt;"All",'Calculations'!HE473='Calculations'!$EF$3)),0,IF(OR('Dashboard'!$B$7="All",'Calculations'!HN473='Dashboard'!$B$7),IF('Calculations'!$EF$2="All",1,IF('Calculations'!HL473&gt;0,0,IF(COUNTIF('Calculations'!HO473:II473,"="&amp;SUBSTITUTE(SUBSTITUTE(SUBSTITUTE('Calculations'!$EF$2,"~","~~"),"*","~*"),"?","~?"))=0,0,IF('Calculations'!$EF$3="All",1,IF(COUNTIF('Calculations'!HO473:II473,"="&amp;SUBSTITUTE(SUBSTITUTE(SUBSTITUTE('Calculations'!$EF$3,"~","~~"),"*","~*"),"?","~?"))&gt;0,1,0))))),0))</x:f>
        <x:v>0</x:v>
      </x:c>
      <x:c r="EO473" s="4" t="str">
        <x:f>IF('Calculations'!IJ473="","",IF('Calculations'!IJ473="!UNRESOLVED","Unresolved hierarchy",IFERROR(INDEX('Calculations'!$HK$13:$HK$512,MATCH('Calculations'!IJ473,'Calculations'!$HE$13:$HE$512,0)),IFERROR(INDEX('Calculations'!$HJ$13:$HJ$512,MATCH('Calculations'!IJ473,'Calculations'!$HF$13:$HF$512,0)),'Calculations'!IJ473))))</x:f>
      </x:c>
      <x:c r="EP473" s="4" t="n">
        <x:f>IF(AND('Calculations'!EM473&lt;&gt;"",'Calculations'!HF473='Calculations'!IJ473),1,0)</x:f>
        <x:v>0</x:v>
      </x:c>
      <x:c r="EQ473" s="4"/>
      <x:c r="ER473" s="4"/>
      <x:c r="ES473" s="4"/>
      <x:c r="ET473" s="4"/>
      <x:c r="EU473" s="4"/>
      <x:c r="EV473" s="4"/>
      <x:c r="EW473" s="4"/>
      <x:c r="EX473" s="4"/>
      <x:c r="EY473" s="4"/>
      <x:c r="EZ473" s="4"/>
      <x:c r="FA473" s="4"/>
      <x:c r="FB473" s="4"/>
      <x:c r="FC473" s="4"/>
      <x:c r="FD473" s="4"/>
      <x:c r="FE473" s="4"/>
      <x:c r="FF473" s="4"/>
      <x:c r="FG473" s="4"/>
      <x:c r="FH473" s="4"/>
      <x:c r="FI473" s="4"/>
      <x:c r="FJ473" s="4"/>
      <x:c r="FK473" s="4"/>
      <x:c r="FL473" s="4"/>
      <x:c r="FM473" s="4"/>
      <x:c r="FN473" s="4"/>
      <x:c r="FO473" s="4"/>
      <x:c r="HE473" t="str">
        <x:f>IF('Calculations'!EM473="","",IF(IFERROR(IF(INDEX(INDIRECT("'WCM Calibration Final'!$A$1:$A$2000"),'Calculations'!$EM473)="","",TRIM(INDEX(INDIRECT("'WCM Calibration Final'!$A$1:$A$2000"),'Calculations'!$EM473)&amp;"")),"")&lt;&gt;"","G:"&amp;IFERROR(TEXT(1*INDEX(INDIRECT("'WCM Calibration Final'!$A$1:$A$2000"),'Calculations'!$EM473),"0"),UPPER(IFERROR(IF(INDEX(INDIRECT("'WCM Calibration Final'!$A$1:$A$2000"),'Calculations'!$EM473)="","",TRIM(INDEX(INDIRECT("'WCM Calibration Final'!$A$1:$A$2000"),'Calculations'!$EM473)&amp;"")),""))),IF(IFERROR(IF(INDEX(INDIRECT("'WCM Calibration Final'!$C$1:$C$2000"),'Calculations'!$EM473)="","",TRIM(INDEX(INDIRECT("'WCM Calibration Final'!$C$1:$C$2000"),'Calculations'!$EM473)&amp;"")),"")&lt;&gt;"","S:"&amp;UPPER(IFERROR(IF(INDEX(INDIRECT("'WCM Calibration Final'!$C$1:$C$2000"),'Calculations'!$EM473)="","",TRIM(INDEX(INDIRECT("'WCM Calibration Final'!$C$1:$C$2000"),'Calculations'!$EM473)&amp;"")),"")),"R:"&amp;'Calculations'!EM473)))</x:f>
      </x:c>
      <x:c r="HF473" t="str">
        <x:f>IF('Calculations'!EM473="","",IF(IFERROR(IF(INDEX(INDIRECT("'WCM Calibration Final'!$D$1:$D$2000"),'Calculations'!$EM473)="","",TRIM(INDEX(INDIRECT("'WCM Calibration Final'!$D$1:$D$2000"),'Calculations'!$EM473)&amp;"")),"")&lt;&gt;"","G:"&amp;IFERROR(TEXT(1*INDEX(INDIRECT("'WCM Calibration Final'!$D$1:$D$2000"),'Calculations'!$EM473),"0"),UPPER(IFERROR(IF(INDEX(INDIRECT("'WCM Calibration Final'!$D$1:$D$2000"),'Calculations'!$EM473)="","",TRIM(INDEX(INDIRECT("'WCM Calibration Final'!$D$1:$D$2000"),'Calculations'!$EM473)&amp;"")),""))),IF(IFERROR(IF(INDEX(INDIRECT("'WCM Calibration Final'!$E$1:$E$2000"),'Calculations'!$EM473)="","",TRIM(INDEX(INDIRECT("'WCM Calibration Final'!$E$1:$E$2000"),'Calculations'!$EM473)&amp;"")),"")="","",IF(COUNTIF('Calculations'!$HG$13:$HG$512,"="&amp;SUBSTITUTE(SUBSTITUTE(SUBSTITUTE(IFERROR(IF(INDEX(INDIRECT("'WCM Calibration Final'!$E$1:$E$2000"),'Calculations'!$EM473)="","",TRIM(INDEX(INDIRECT("'WCM Calibration Final'!$E$1:$E$2000"),'Calculations'!$EM473)&amp;"")),""),"~","~~"),"*","~*"),"?","~?"))=1,INDEX('Calculations'!$HE$13:$HE$512,MATCH(IFERROR(IF(INDEX(INDIRECT("'WCM Calibration Final'!$E$1:$E$2000"),'Calculations'!$EM473)="","",TRIM(INDEX(INDIRECT("'WCM Calibration Final'!$E$1:$E$2000"),'Calculations'!$EM473)&amp;"")),""),'Calculations'!$HG$13:$HG$512,0)),IF(COUNTIF('Calculations'!$HG$13:$HG$512,"="&amp;SUBSTITUTE(SUBSTITUTE(SUBSTITUTE(IFERROR(IF(INDEX(INDIRECT("'WCM Calibration Final'!$E$1:$E$2000"),'Calculations'!$EM473)="","",TRIM(INDEX(INDIRECT("'WCM Calibration Final'!$E$1:$E$2000"),'Calculations'!$EM473)&amp;"")),""),"~","~~"),"*","~*"),"?","~?"))&gt;1,"!AMBIG","X:"&amp;IFERROR(IF(INDEX(INDIRECT("'WCM Calibration Final'!$E$1:$E$2000"),'Calculations'!$EM473)="","",TRIM(INDEX(INDIRECT("'WCM Calibration Final'!$E$1:$E$2000"),'Calculations'!$EM473)&amp;"")),""))))))</x:f>
      </x:c>
      <x:c r="HG473" t="str">
        <x:f>IF('Calculations'!EM473="","",IFERROR(IF(INDEX(INDIRECT("'WCM Calibration Final'!$B$1:$B$2000"),'Calculations'!$EM473)="","",TRIM(INDEX(INDIRECT("'WCM Calibration Final'!$B$1:$B$2000"),'Calculations'!$EM473)&amp;"")),""))</x:f>
      </x:c>
      <x:c r="HH473" t="n">
        <x:f>IF(AND('Calculations'!JC473&gt;0,COUNTIF('Calculations'!$HF$12:HF473,"="&amp;SUBSTITUTE(SUBSTITUTE(SUBSTITUTE('Calculations'!HF473,"~","~~"),"*","~*"),"?","~?"))=1),MAX('Calculations'!$HH$12:HH472)+1,0)</x:f>
        <x:v>0</x:v>
      </x:c>
      <x:c r="HI473" t="n">
        <x:f>IF(AND('Calculations'!HN473&lt;&gt;"",COUNTIF('Calculations'!$HN$12:HN473,"="&amp;SUBSTITUTE(SUBSTITUTE(SUBSTITUTE('Calculations'!HN473,"~","~~"),"*","~*"),"?","~?"))=1),MAX('Calculations'!$HI$12:HI472)+1,0)</x:f>
        <x:v>0</x:v>
      </x:c>
      <x:c r="HJ473" t="str">
        <x:f>IF('Calculations'!HF473="","",IF(COUNTIF('Calculations'!$HE$13:$HE$512,"="&amp;SUBSTITUTE(SUBSTITUTE(SUBSTITUTE('Calculations'!HF473,"~","~~"),"*","~*"),"?","~?"))=1,INDEX('Calculations'!$HK$13:$HK$512,MATCH('Calculations'!HF473,'Calculations'!$HE$13:$HE$512,0)),IFERROR(IF(INDEX(INDIRECT("'WCM Calibration Final'!$E$1:$E$2000"),'Calculations'!$EM473)="","",TRIM(INDEX(INDIRECT("'WCM Calibration Final'!$E$1:$E$2000"),'Calculations'!$EM473)&amp;"")),"")&amp;" ["&amp;'Calculations'!HF473&amp;"]"))</x:f>
      </x:c>
      <x:c r="HK473" t="str">
        <x:f>IF('Calculations'!EM473="","",'Calculations'!HG473&amp;" ["&amp;'Calculations'!HE473&amp;"]")</x:f>
      </x:c>
      <x:c r="HL473" t="n">
        <x:f>IF('Calculations'!EM473="",0,IF(OR('Calculations'!II473&lt;&gt;"",COUNTIF('Calculations'!$HE$13:$HE$512,"="&amp;SUBSTITUTE(SUBSTITUTE(SUBSTITUTE('Calculations'!HE473,"~","~~"),"*","~*"),"?","~?"))&gt;1),1,0))</x:f>
        <x:v>0</x:v>
      </x:c>
      <x:c r="HM473" t="str">
        <x:f>IF('Calculations'!EM473="","",IF('Calculations'!HL473=1,"!UNRESOLVED",IF('Calculations'!IH473&lt;&gt;"",'Calculations'!IH473,IF('Calculations'!IG473&lt;&gt;"",'Calculations'!IG473,IF('Calculations'!IF473&lt;&gt;"",'Calculations'!IF473,IF('Calculations'!IE473&lt;&gt;"",'Calculations'!IE473,IF('Calculations'!ID473&lt;&gt;"",'Calculations'!ID473,IF('Calculations'!IC473&lt;&gt;"",'Calculations'!IC473,IF('Calculations'!IB473&lt;&gt;"",'Calculations'!IB473,IF('Calculations'!IA473&lt;&gt;"",'Calculations'!IA473,IF('Calculations'!HZ473&lt;&gt;"",'Calculations'!HZ473,IF('Calculations'!HY473&lt;&gt;"",'Calculations'!HY473,IF('Calculations'!HX473&lt;&gt;"",'Calculations'!HX473,IF('Calculations'!HW473&lt;&gt;"",'Calculations'!HW473,IF('Calculations'!HV473&lt;&gt;"",'Calculations'!HV473,IF('Calculations'!HU473&lt;&gt;"",'Calculations'!HU473,IF('Calculations'!HT473&lt;&gt;"",'Calculations'!HT473,IF('Calculations'!HS473&lt;&gt;"",'Calculations'!HS473,IF('Calculations'!HR473&lt;&gt;"",'Calculations'!HR473,IF('Calculations'!HQ473&lt;&gt;"",'Calculations'!HQ473,IF('Calculations'!HP473&lt;&gt;"",'Calculations'!HP473,IF('Calculations'!HO473&lt;&gt;"",'Calculations'!HO473,'Calculations'!HE473))))))))))))))))))))))</x:f>
      </x:c>
      <x:c r="HN473" t="str">
        <x:f>IF('Calculations'!EM473="","",IF(IFERROR(IF(INDEX(INDIRECT("'WCM Calibration Final'!$F$1:$F$2000"),'Calculations'!$EM473)="","",TRIM(INDEX(INDIRECT("'WCM Calibration Final'!$F$1:$F$2000"),'Calculations'!$EM473)&amp;"")),"")="","(Blank)",IFERROR(IF(INDEX(INDIRECT("'WCM Calibration Final'!$F$1:$F$2000"),'Calculations'!$EM473)="","",TRIM(INDEX(INDIRECT("'WCM Calibration Final'!$F$1:$F$2000"),'Calculations'!$EM473)&amp;"")),"")))</x:f>
      </x:c>
      <x:c r="HO473" t="str">
        <x:f>'Calculations'!HF473</x:f>
      </x:c>
      <x:c r="HP473" t="str">
        <x:f>IF('Calculations'!HO473="","",IF('Calculations'!HO473="!AMBIG","!AMBIG",IF(COUNTIF('Calculations'!$HE$13:$HE$512,"="&amp;SUBSTITUTE(SUBSTITUTE(SUBSTITUTE('Calculations'!HO473,"~","~~"),"*","~*"),"?","~?"))&gt;1,"!AMBIG",IFERROR(INDEX('Calculations'!$HF$13:$HF$512,MATCH('Calculations'!HO473,'Calculations'!$HE$13:$HE$512,0)),""))))</x:f>
      </x:c>
      <x:c r="HQ473" t="str">
        <x:f>IF('Calculations'!HP473="","",IF('Calculations'!HP473="!AMBIG","!AMBIG",IF(COUNTIF('Calculations'!$HE$13:$HE$512,"="&amp;SUBSTITUTE(SUBSTITUTE(SUBSTITUTE('Calculations'!HP473,"~","~~"),"*","~*"),"?","~?"))&gt;1,"!AMBIG",IFERROR(INDEX('Calculations'!$HF$13:$HF$512,MATCH('Calculations'!HP473,'Calculations'!$HE$13:$HE$512,0)),""))))</x:f>
      </x:c>
      <x:c r="HR473" t="str">
        <x:f>IF('Calculations'!HQ473="","",IF('Calculations'!HQ473="!AMBIG","!AMBIG",IF(COUNTIF('Calculations'!$HE$13:$HE$512,"="&amp;SUBSTITUTE(SUBSTITUTE(SUBSTITUTE('Calculations'!HQ473,"~","~~"),"*","~*"),"?","~?"))&gt;1,"!AMBIG",IFERROR(INDEX('Calculations'!$HF$13:$HF$512,MATCH('Calculations'!HQ473,'Calculations'!$HE$13:$HE$512,0)),""))))</x:f>
      </x:c>
      <x:c r="HS473" t="str">
        <x:f>IF('Calculations'!HR473="","",IF('Calculations'!HR473="!AMBIG","!AMBIG",IF(COUNTIF('Calculations'!$HE$13:$HE$512,"="&amp;SUBSTITUTE(SUBSTITUTE(SUBSTITUTE('Calculations'!HR473,"~","~~"),"*","~*"),"?","~?"))&gt;1,"!AMBIG",IFERROR(INDEX('Calculations'!$HF$13:$HF$512,MATCH('Calculations'!HR473,'Calculations'!$HE$13:$HE$512,0)),""))))</x:f>
      </x:c>
      <x:c r="HT473" t="str">
        <x:f>IF('Calculations'!HS473="","",IF('Calculations'!HS473="!AMBIG","!AMBIG",IF(COUNTIF('Calculations'!$HE$13:$HE$512,"="&amp;SUBSTITUTE(SUBSTITUTE(SUBSTITUTE('Calculations'!HS473,"~","~~"),"*","~*"),"?","~?"))&gt;1,"!AMBIG",IFERROR(INDEX('Calculations'!$HF$13:$HF$512,MATCH('Calculations'!HS473,'Calculations'!$HE$13:$HE$512,0)),""))))</x:f>
      </x:c>
      <x:c r="HU473" t="str">
        <x:f>IF('Calculations'!HT473="","",IF('Calculations'!HT473="!AMBIG","!AMBIG",IF(COUNTIF('Calculations'!$HE$13:$HE$512,"="&amp;SUBSTITUTE(SUBSTITUTE(SUBSTITUTE('Calculations'!HT473,"~","~~"),"*","~*"),"?","~?"))&gt;1,"!AMBIG",IFERROR(INDEX('Calculations'!$HF$13:$HF$512,MATCH('Calculations'!HT473,'Calculations'!$HE$13:$HE$512,0)),""))))</x:f>
      </x:c>
      <x:c r="HV473" t="str">
        <x:f>IF('Calculations'!HU473="","",IF('Calculations'!HU473="!AMBIG","!AMBIG",IF(COUNTIF('Calculations'!$HE$13:$HE$512,"="&amp;SUBSTITUTE(SUBSTITUTE(SUBSTITUTE('Calculations'!HU473,"~","~~"),"*","~*"),"?","~?"))&gt;1,"!AMBIG",IFERROR(INDEX('Calculations'!$HF$13:$HF$512,MATCH('Calculations'!HU473,'Calculations'!$HE$13:$HE$512,0)),""))))</x:f>
      </x:c>
      <x:c r="HW473" t="str">
        <x:f>IF('Calculations'!HV473="","",IF('Calculations'!HV473="!AMBIG","!AMBIG",IF(COUNTIF('Calculations'!$HE$13:$HE$512,"="&amp;SUBSTITUTE(SUBSTITUTE(SUBSTITUTE('Calculations'!HV473,"~","~~"),"*","~*"),"?","~?"))&gt;1,"!AMBIG",IFERROR(INDEX('Calculations'!$HF$13:$HF$512,MATCH('Calculations'!HV473,'Calculations'!$HE$13:$HE$512,0)),""))))</x:f>
      </x:c>
      <x:c r="HX473" t="str">
        <x:f>IF('Calculations'!HW473="","",IF('Calculations'!HW473="!AMBIG","!AMBIG",IF(COUNTIF('Calculations'!$HE$13:$HE$512,"="&amp;SUBSTITUTE(SUBSTITUTE(SUBSTITUTE('Calculations'!HW473,"~","~~"),"*","~*"),"?","~?"))&gt;1,"!AMBIG",IFERROR(INDEX('Calculations'!$HF$13:$HF$512,MATCH('Calculations'!HW473,'Calculations'!$HE$13:$HE$512,0)),""))))</x:f>
      </x:c>
      <x:c r="HY473" t="str">
        <x:f>IF('Calculations'!HX473="","",IF('Calculations'!HX473="!AMBIG","!AMBIG",IF(COUNTIF('Calculations'!$HE$13:$HE$512,"="&amp;SUBSTITUTE(SUBSTITUTE(SUBSTITUTE('Calculations'!HX473,"~","~~"),"*","~*"),"?","~?"))&gt;1,"!AMBIG",IFERROR(INDEX('Calculations'!$HF$13:$HF$512,MATCH('Calculations'!HX473,'Calculations'!$HE$13:$HE$512,0)),""))))</x:f>
      </x:c>
      <x:c r="HZ473" t="str">
        <x:f>IF('Calculations'!HY473="","",IF('Calculations'!HY473="!AMBIG","!AMBIG",IF(COUNTIF('Calculations'!$HE$13:$HE$512,"="&amp;SUBSTITUTE(SUBSTITUTE(SUBSTITUTE('Calculations'!HY473,"~","~~"),"*","~*"),"?","~?"))&gt;1,"!AMBIG",IFERROR(INDEX('Calculations'!$HF$13:$HF$512,MATCH('Calculations'!HY473,'Calculations'!$HE$13:$HE$512,0)),""))))</x:f>
      </x:c>
      <x:c r="IA473" t="str">
        <x:f>IF('Calculations'!HZ473="","",IF('Calculations'!HZ473="!AMBIG","!AMBIG",IF(COUNTIF('Calculations'!$HE$13:$HE$512,"="&amp;SUBSTITUTE(SUBSTITUTE(SUBSTITUTE('Calculations'!HZ473,"~","~~"),"*","~*"),"?","~?"))&gt;1,"!AMBIG",IFERROR(INDEX('Calculations'!$HF$13:$HF$512,MATCH('Calculations'!HZ473,'Calculations'!$HE$13:$HE$512,0)),""))))</x:f>
      </x:c>
      <x:c r="IB473" t="str">
        <x:f>IF('Calculations'!IA473="","",IF('Calculations'!IA473="!AMBIG","!AMBIG",IF(COUNTIF('Calculations'!$HE$13:$HE$512,"="&amp;SUBSTITUTE(SUBSTITUTE(SUBSTITUTE('Calculations'!IA473,"~","~~"),"*","~*"),"?","~?"))&gt;1,"!AMBIG",IFERROR(INDEX('Calculations'!$HF$13:$HF$512,MATCH('Calculations'!IA473,'Calculations'!$HE$13:$HE$512,0)),""))))</x:f>
      </x:c>
      <x:c r="IC473" t="str">
        <x:f>IF('Calculations'!IB473="","",IF('Calculations'!IB473="!AMBIG","!AMBIG",IF(COUNTIF('Calculations'!$HE$13:$HE$512,"="&amp;SUBSTITUTE(SUBSTITUTE(SUBSTITUTE('Calculations'!IB473,"~","~~"),"*","~*"),"?","~?"))&gt;1,"!AMBIG",IFERROR(INDEX('Calculations'!$HF$13:$HF$512,MATCH('Calculations'!IB473,'Calculations'!$HE$13:$HE$512,0)),""))))</x:f>
      </x:c>
      <x:c r="ID473" t="str">
        <x:f>IF('Calculations'!IC473="","",IF('Calculations'!IC473="!AMBIG","!AMBIG",IF(COUNTIF('Calculations'!$HE$13:$HE$512,"="&amp;SUBSTITUTE(SUBSTITUTE(SUBSTITUTE('Calculations'!IC473,"~","~~"),"*","~*"),"?","~?"))&gt;1,"!AMBIG",IFERROR(INDEX('Calculations'!$HF$13:$HF$512,MATCH('Calculations'!IC473,'Calculations'!$HE$13:$HE$512,0)),""))))</x:f>
      </x:c>
      <x:c r="IE473" t="str">
        <x:f>IF('Calculations'!ID473="","",IF('Calculations'!ID473="!AMBIG","!AMBIG",IF(COUNTIF('Calculations'!$HE$13:$HE$512,"="&amp;SUBSTITUTE(SUBSTITUTE(SUBSTITUTE('Calculations'!ID473,"~","~~"),"*","~*"),"?","~?"))&gt;1,"!AMBIG",IFERROR(INDEX('Calculations'!$HF$13:$HF$512,MATCH('Calculations'!ID473,'Calculations'!$HE$13:$HE$512,0)),""))))</x:f>
      </x:c>
      <x:c r="IF473" t="str">
        <x:f>IF('Calculations'!IE473="","",IF('Calculations'!IE473="!AMBIG","!AMBIG",IF(COUNTIF('Calculations'!$HE$13:$HE$512,"="&amp;SUBSTITUTE(SUBSTITUTE(SUBSTITUTE('Calculations'!IE473,"~","~~"),"*","~*"),"?","~?"))&gt;1,"!AMBIG",IFERROR(INDEX('Calculations'!$HF$13:$HF$512,MATCH('Calculations'!IE473,'Calculations'!$HE$13:$HE$512,0)),""))))</x:f>
      </x:c>
      <x:c r="IG473" t="str">
        <x:f>IF('Calculations'!IF473="","",IF('Calculations'!IF473="!AMBIG","!AMBIG",IF(COUNTIF('Calculations'!$HE$13:$HE$512,"="&amp;SUBSTITUTE(SUBSTITUTE(SUBSTITUTE('Calculations'!IF473,"~","~~"),"*","~*"),"?","~?"))&gt;1,"!AMBIG",IFERROR(INDEX('Calculations'!$HF$13:$HF$512,MATCH('Calculations'!IF473,'Calculations'!$HE$13:$HE$512,0)),""))))</x:f>
      </x:c>
      <x:c r="IH473" t="str">
        <x:f>IF('Calculations'!IG473="","",IF('Calculations'!IG473="!AMBIG","!AMBIG",IF(COUNTIF('Calculations'!$HE$13:$HE$512,"="&amp;SUBSTITUTE(SUBSTITUTE(SUBSTITUTE('Calculations'!IG473,"~","~~"),"*","~*"),"?","~?"))&gt;1,"!AMBIG",IFERROR(INDEX('Calculations'!$HF$13:$HF$512,MATCH('Calculations'!IG473,'Calculations'!$HE$13:$HE$512,0)),""))))</x:f>
      </x:c>
      <x:c r="II473" t="str">
        <x:f>IF('Calculations'!IH473="","",IF('Calculations'!IH473="!AMBIG","!AMBIG",IF(COUNTIF('Calculations'!$HE$13:$HE$512,"="&amp;SUBSTITUTE(SUBSTITUTE(SUBSTITUTE('Calculations'!IH473,"~","~~"),"*","~*"),"?","~?"))&gt;1,"!AMBIG",IFERROR(INDEX('Calculations'!$HF$13:$HF$512,MATCH('Calculations'!IH473,'Calculations'!$HE$13:$HE$512,0)),""))))</x:f>
      </x:c>
      <x:c r="IJ473" t="str">
        <x:f>IF('Calculations'!EM473="","",IF('Calculations'!$EF$2="All",'Calculations'!HM473,IF('Calculations'!HL473=1,"",IFERROR(IF(MATCH('Calculations'!$EF$2,'Calculations'!HO473:II473,0)=1,'Calculations'!HE473,INDEX('Calculations'!HO473:II473,1,MATCH('Calculations'!$EF$2,'Calculations'!HO473:II473,0)-1)),""))))</x:f>
      </x:c>
      <x:c r="IK473" t="n">
        <x:f>IF(AND('Calculations'!EM473&lt;&gt;"",'Calculations'!$EF$2&lt;&gt;"All",'Calculations'!HF473='Calculations'!$EF$2,'Calculations'!HL473=0,'Calculations'!JD473&gt;0),MAX('Calculations'!$IK$12:IK472)+1,0)</x:f>
        <x:v>0</x:v>
      </x:c>
      <x:c r="JA473" t="n">
        <x:f>IF(OR(IFERROR(INDIRECT("'WCM Calibration Final'!$A$473")&lt;&gt;"",FALSE),IFERROR(INDIRECT("'WCM Calibration Final'!$B$473")&lt;&gt;"",FALSE),IFERROR(INDIRECT("'WCM Calibration Final'!$C$473")&lt;&gt;"",FALSE)),473,0)</x:f>
        <x:v>0</x:v>
      </x:c>
      <x:c r="JB473" t="n">
        <x:f>'Calculations'!JB472+IF('Calculations'!JA473&gt;0,1,0)</x:f>
        <x:v>0</x:v>
      </x:c>
      <x:c r="JC473" t="n">
        <x:f>IF(OR('Calculations'!HF473="",'Calculations'!HF473="!AMBIG"),0,IF('Dashboard'!$B$7="All",1,COUNTIFS('Calculations'!$HO$13:$HO$512,"="&amp;SUBSTITUTE(SUBSTITUTE(SUBSTITUTE('Calculations'!HF473,"~","~~"),"*","~*"),"?","~?"),'Calculations'!$HN$13:$HN$512,"="&amp;SUBSTITUTE(SUBSTITUTE(SUBSTITUTE('Dashboard'!$B$7,"~","~~"),"*","~*"),"?","~?"))+COUNTIFS('Calculations'!$HP$13:$HP$512,"="&amp;SUBSTITUTE(SUBSTITUTE(SUBSTITUTE('Calculations'!HF473,"~","~~"),"*","~*"),"?","~?"),'Calculations'!$HN$13:$HN$512,"="&amp;SUBSTITUTE(SUBSTITUTE(SUBSTITUTE('Dashboard'!$B$7,"~","~~"),"*","~*"),"?","~?"))+COUNTIFS('Calculations'!$HQ$13:$HQ$512,"="&amp;SUBSTITUTE(SUBSTITUTE(SUBSTITUTE('Calculations'!HF473,"~","~~"),"*","~*"),"?","~?"),'Calculations'!$HN$13:$HN$512,"="&amp;SUBSTITUTE(SUBSTITUTE(SUBSTITUTE('Dashboard'!$B$7,"~","~~"),"*","~*"),"?","~?"))+COUNTIFS('Calculations'!$HR$13:$HR$512,"="&amp;SUBSTITUTE(SUBSTITUTE(SUBSTITUTE('Calculations'!HF473,"~","~~"),"*","~*"),"?","~?"),'Calculations'!$HN$13:$HN$512,"="&amp;SUBSTITUTE(SUBSTITUTE(SUBSTITUTE('Dashboard'!$B$7,"~","~~"),"*","~*"),"?","~?"))+COUNTIFS('Calculations'!$HS$13:$HS$512,"="&amp;SUBSTITUTE(SUBSTITUTE(SUBSTITUTE('Calculations'!HF473,"~","~~"),"*","~*"),"?","~?"),'Calculations'!$HN$13:$HN$512,"="&amp;SUBSTITUTE(SUBSTITUTE(SUBSTITUTE('Dashboard'!$B$7,"~","~~"),"*","~*"),"?","~?"))+COUNTIFS('Calculations'!$HT$13:$HT$512,"="&amp;SUBSTITUTE(SUBSTITUTE(SUBSTITUTE('Calculations'!HF473,"~","~~"),"*","~*"),"?","~?"),'Calculations'!$HN$13:$HN$512,"="&amp;SUBSTITUTE(SUBSTITUTE(SUBSTITUTE('Dashboard'!$B$7,"~","~~"),"*","~*"),"?","~?"))+COUNTIFS('Calculations'!$HU$13:$HU$512,"="&amp;SUBSTITUTE(SUBSTITUTE(SUBSTITUTE('Calculations'!HF473,"~","~~"),"*","~*"),"?","~?"),'Calculations'!$HN$13:$HN$512,"="&amp;SUBSTITUTE(SUBSTITUTE(SUBSTITUTE('Dashboard'!$B$7,"~","~~"),"*","~*"),"?","~?"))+COUNTIFS('Calculations'!$HV$13:$HV$512,"="&amp;SUBSTITUTE(SUBSTITUTE(SUBSTITUTE('Calculations'!HF473,"~","~~"),"*","~*"),"?","~?"),'Calculations'!$HN$13:$HN$512,"="&amp;SUBSTITUTE(SUBSTITUTE(SUBSTITUTE('Dashboard'!$B$7,"~","~~"),"*","~*"),"?","~?"))+COUNTIFS('Calculations'!$HW$13:$HW$512,"="&amp;SUBSTITUTE(SUBSTITUTE(SUBSTITUTE('Calculations'!HF473,"~","~~"),"*","~*"),"?","~?"),'Calculations'!$HN$13:$HN$512,"="&amp;SUBSTITUTE(SUBSTITUTE(SUBSTITUTE('Dashboard'!$B$7,"~","~~"),"*","~*"),"?","~?"))+COUNTIFS('Calculations'!$HX$13:$HX$512,"="&amp;SUBSTITUTE(SUBSTITUTE(SUBSTITUTE('Calculations'!HF473,"~","~~"),"*","~*"),"?","~?"),'Calculations'!$HN$13:$HN$512,"="&amp;SUBSTITUTE(SUBSTITUTE(SUBSTITUTE('Dashboard'!$B$7,"~","~~"),"*","~*"),"?","~?"))+COUNTIFS('Calculations'!$HY$13:$HY$512,"="&amp;SUBSTITUTE(SUBSTITUTE(SUBSTITUTE('Calculations'!HF473,"~","~~"),"*","~*"),"?","~?"),'Calculations'!$HN$13:$HN$512,"="&amp;SUBSTITUTE(SUBSTITUTE(SUBSTITUTE('Dashboard'!$B$7,"~","~~"),"*","~*"),"?","~?"))+COUNTIFS('Calculations'!$HZ$13:$HZ$512,"="&amp;SUBSTITUTE(SUBSTITUTE(SUBSTITUTE('Calculations'!HF473,"~","~~"),"*","~*"),"?","~?"),'Calculations'!$HN$13:$HN$512,"="&amp;SUBSTITUTE(SUBSTITUTE(SUBSTITUTE('Dashboard'!$B$7,"~","~~"),"*","~*"),"?","~?"))+COUNTIFS('Calculations'!$IA$13:$IA$512,"="&amp;SUBSTITUTE(SUBSTITUTE(SUBSTITUTE('Calculations'!HF473,"~","~~"),"*","~*"),"?","~?"),'Calculations'!$HN$13:$HN$512,"="&amp;SUBSTITUTE(SUBSTITUTE(SUBSTITUTE('Dashboard'!$B$7,"~","~~"),"*","~*"),"?","~?"))+COUNTIFS('Calculations'!$IB$13:$IB$512,"="&amp;SUBSTITUTE(SUBSTITUTE(SUBSTITUTE('Calculations'!HF473,"~","~~"),"*","~*"),"?","~?"),'Calculations'!$HN$13:$HN$512,"="&amp;SUBSTITUTE(SUBSTITUTE(SUBSTITUTE('Dashboard'!$B$7,"~","~~"),"*","~*"),"?","~?"))+COUNTIFS('Calculations'!$IC$13:$IC$512,"="&amp;SUBSTITUTE(SUBSTITUTE(SUBSTITUTE('Calculations'!HF473,"~","~~"),"*","~*"),"?","~?"),'Calculations'!$HN$13:$HN$512,"="&amp;SUBSTITUTE(SUBSTITUTE(SUBSTITUTE('Dashboard'!$B$7,"~","~~"),"*","~*"),"?","~?"))+COUNTIFS('Calculations'!$ID$13:$ID$512,"="&amp;SUBSTITUTE(SUBSTITUTE(SUBSTITUTE('Calculations'!HF473,"~","~~"),"*","~*"),"?","~?"),'Calculations'!$HN$13:$HN$512,"="&amp;SUBSTITUTE(SUBSTITUTE(SUBSTITUTE('Dashboard'!$B$7,"~","~~"),"*","~*"),"?","~?"))+COUNTIFS('Calculations'!$IE$13:$IE$512,"="&amp;SUBSTITUTE(SUBSTITUTE(SUBSTITUTE('Calculations'!HF473,"~","~~"),"*","~*"),"?","~?"),'Calculations'!$HN$13:$HN$512,"="&amp;SUBSTITUTE(SUBSTITUTE(SUBSTITUTE('Dashboard'!$B$7,"~","~~"),"*","~*"),"?","~?"))+COUNTIFS('Calculations'!$IF$13:$IF$512,"="&amp;SUBSTITUTE(SUBSTITUTE(SUBSTITUTE('Calculations'!HF473,"~","~~"),"*","~*"),"?","~?"),'Calculations'!$HN$13:$HN$512,"="&amp;SUBSTITUTE(SUBSTITUTE(SUBSTITUTE('Dashboard'!$B$7,"~","~~"),"*","~*"),"?","~?"))+COUNTIFS('Calculations'!$IG$13:$IG$512,"="&amp;SUBSTITUTE(SUBSTITUTE(SUBSTITUTE('Calculations'!HF473,"~","~~"),"*","~*"),"?","~?"),'Calculations'!$HN$13:$HN$512,"="&amp;SUBSTITUTE(SUBSTITUTE(SUBSTITUTE('Dashboard'!$B$7,"~","~~"),"*","~*"),"?","~?"))+COUNTIFS('Calculations'!$IH$13:$IH$512,"="&amp;SUBSTITUTE(SUBSTITUTE(SUBSTITUTE('Calculations'!HF473,"~","~~"),"*","~*"),"?","~?"),'Calculations'!$HN$13:$HN$512,"="&amp;SUBSTITUTE(SUBSTITUTE(SUBSTITUTE('Dashboard'!$B$7,"~","~~"),"*","~*"),"?","~?"))))</x:f>
        <x:v>0</x:v>
      </x:c>
      <x:c r="JD473" t="n">
        <x:f>IF('Calculations'!EM473="",0,IF('Dashboard'!$B$7="All",1,IF('Calculations'!HN473='Dashboard'!$B$7,1,0)+IFERROR(INDEX('Calculations'!$JC$13:$JC$512,MATCH('Calculations'!HE473,'Calculations'!$HF$13:$HF$512,0)),0)))</x:f>
        <x:v>0</x:v>
      </x:c>
      <x:c r="JE473" t="n">
        <x:f>IF(AND('Calculations'!EM473&lt;&gt;"",'Calculations'!$JJ$2&lt;&gt;"All",'Calculations'!$JJ$2&lt;&gt;"",'Calculations'!HF473='Calculations'!$JJ$2,'Calculations'!HL473=0,'Calculations'!JD473&gt;0),MAX('Calculations'!$JE$12:JE472)+1,0)</x:f>
        <x:v>0</x:v>
      </x:c>
      <x:c r="JF473" t="str">
        <x:f>IF('Calculations'!EM473="","",IFERROR(IF(INDEX(INDIRECT("'WCM Calibration Final'!$G$1:$G$2000"),'Calculations'!$EM473)="","",TRIM(INDEX(INDIRECT("'WCM Calibration Final'!$G$1:$G$2000"),'Calculations'!$EM473)&amp;"")),""))</x:f>
      </x:c>
      <x:c r="JQ473" t="n">
        <x:f>IF(OR('Calculations'!BM473=0,NOT('Calculations'!$AG$2),'Calculations'!$AG$8&gt;0),0,IF(OR('Dashboard'!$B$7="All",'Calculations'!HN473='Dashboard'!$B$7),IF('Calculations'!$JJ$2="All",1,IF(AND('Calculations'!HF473='Calculations'!$JJ$2,'Calculations'!HL473=0),1,0)),0))</x:f>
        <x:v>0</x:v>
      </x:c>
    </x:row>
    <x:row r="474">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t="n">
        <x:f>IF('Calculations'!$EM474="",0,IF(OR(IFERROR(INDEX(INDIRECT("'WCM Calibration Final'!$A$1:$A$2000"),'Calculations'!$EM474)&lt;&gt;"",FALSE),IFERROR(INDEX(INDIRECT("'WCM Calibration Final'!$B$1:$B$2000"),'Calculations'!$EM474)&lt;&gt;"",FALSE),IFERROR(INDEX(INDIRECT("'WCM Calibration Final'!$C$1:$C$2000"),'Calculations'!$EM474)&lt;&gt;"",FALSE)),1,0))</x:f>
        <x:v>0</x:v>
      </x:c>
      <x:c r="BN474" s="4" t="n">
        <x:f>IF(AND('Calculations'!BM474=1,'Calculations'!$AG$2,'Calculations'!$EN474=1),1,0)</x:f>
        <x:v>0</x:v>
      </x:c>
      <x:c r="BO474" s="4" t="str">
        <x:f>IF('Calculations'!BM474=0,"",IFERROR(IF(AND(VALUE(INDEX(INDIRECT("'WCM Calibration Final'!$K$1:$K$2000"),'Calculations'!$EM474))&gt;=1,VALUE(INDEX(INDIRECT("'WCM Calibration Final'!$K$1:$K$2000"),'Calculations'!$EM474))&lt;=4,MOD(VALUE(INDEX(INDIRECT("'WCM Calibration Final'!$K$1:$K$2000"),'Calculations'!$EM474)),1)=0),VALUE(INDEX(INDIRECT("'WCM Calibration Final'!$K$1:$K$2000"),'Calculations'!$EM474)),""),""))</x:f>
      </x:c>
      <x:c r="BP474" s="4" t="str">
        <x:f>IF('Calculations'!BM474=0,"",IFERROR(IF(AND(VALUE(INDEX(INDIRECT("'WCM Calibration Final'!$L$1:$L$2000"),'Calculations'!$EM474))&gt;=1,VALUE(INDEX(INDIRECT("'WCM Calibration Final'!$L$1:$L$2000"),'Calculations'!$EM474))&lt;=4,MOD(VALUE(INDEX(INDIRECT("'WCM Calibration Final'!$L$1:$L$2000"),'Calculations'!$EM474)),1)=0),VALUE(INDEX(INDIRECT("'WCM Calibration Final'!$L$1:$L$2000"),'Calculations'!$EM474)),""),""))</x:f>
      </x:c>
      <x:c r="BQ474" s="4"/>
      <x:c r="BR474" s="4"/>
      <x:c r="BS474" s="4"/>
      <x:c r="BT474" s="4" t="n">
        <x:f>IF(AND('Calculations'!BM474=1,ISNUMBER('Calculations'!BO474),ISNUMBER('Calculations'!BP474)),1,0)</x:f>
        <x:v>0</x:v>
      </x:c>
      <x:c r="BU474" s="4" t="str">
        <x:f>IF('Calculations'!BM474=0,"",'Calculations'!$EO474)</x:f>
      </x:c>
      <x:c r="BV474" s="4" t="str">
        <x:f>IF('Calculations'!BM474=0,"",IFERROR(IF(OR(INDEX(INDIRECT("'WCM Calibration Final'!$H$1:$H$2000"),'Calculations'!$EM474)="MANAGING DIRECTOR",INDEX(INDIRECT("'WCM Calibration Final'!$H$1:$H$2000"),'Calculations'!$EM474)="DIRECTOR",INDEX(INDIRECT("'WCM Calibration Final'!$H$1:$H$2000"),'Calculations'!$EM474)="SENIOR VICE PRESIDENT",INDEX(INDIRECT("'WCM Calibration Final'!$H$1:$H$2000"),'Calculations'!$EM474)="VICE PRESIDENT",INDEX(INDIRECT("'WCM Calibration Final'!$H$1:$H$2000"),'Calculations'!$EM474)="ASSISTANT VICE PRESIDENT",INDEX(INDIRECT("'WCM Calibration Final'!$H$1:$H$2000"),'Calculations'!$EM474)="OFFICER"),UPPER(INDEX(INDIRECT("'WCM Calibration Final'!$H$1:$H$2000"),'Calculations'!$EM474)),"Other"),"Other"))</x:f>
      </x:c>
      <x:c r="BW474" s="4"/>
      <x:c r="BX474" s="4"/>
      <x:c r="BY474" s="4" t="n">
        <x:f>IF(AND('Calculations'!BM474=1,'Calculations'!BU474&lt;&gt;"",COUNTIF('Calculations'!$BU$12:BU474,'Calculations'!BU474)=1),MAX('Calculations'!$BY$11:BY473)+1,0)</x:f>
        <x:v>0</x:v>
      </x:c>
      <x:c r="BZ474" s="4" t="str">
        <x:f>IF('Dashboard'!$E$67="What",'Calculations'!BO474,'Calculations'!BP474)</x:f>
      </x:c>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t="str">
        <x:f>IF(463&gt;MAX('Calculations'!$HI$13:$HI$512),"",INDEX('Calculations'!$HN$13:$HN$512,MATCH(463,'Calculations'!$HI$13:$HI$512,0)))</x:f>
      </x:c>
      <x:c r="DB474" s="4" t="str">
        <x:f>IF(463&gt;MAX('Calculations'!$HH$13:$HH$512),"",INDEX('Calculations'!$HJ$13:$HJ$512,MATCH(463,'Calculations'!$HH$13:$HH$512,0)))</x:f>
      </x:c>
      <x:c r="DC474" s="4" t="str">
        <x:f>IF(ROW()-11&gt;MAX('Calculations'!$BY$13:$BY$512),"",INDEX('Calculations'!$BU$13:$BU$512,MATCH(ROW()-11,'Calculations'!$BY$13:$BY$512,0)))</x:f>
      </x:c>
      <x:c r="DD474" s="4" t="str">
        <x:f>IF(463&gt;MAX('Calculations'!$IK$13:$IK$512),"",INDEX('Calculations'!$HK$13:$HK$512,MATCH(463,'Calculations'!$IK$13:$IK$512,0)))</x:f>
      </x:c>
      <x:c r="DE474" s="4" t="str">
        <x:f>'Calculations'!DC474</x:f>
      </x:c>
      <x:c r="DF474" s="4" t="str">
        <x:f>IF('Calculations'!DE474="","",COUNTIFS('Calculations'!$BN$13:$BN$512,1,'Calculations'!$BU$13:$BU$512,'Calculations'!DE474))</x:f>
      </x:c>
      <x:c r="DG474" s="4" t="str">
        <x:f>IF('Calculations'!DE474="","",COUNTIFS('Calculations'!$BN$13:$BN$512,1,'Calculations'!$BU$13:$BU$512,'Calculations'!DE474,'Calculations'!$BT$13:$BT$512,1))</x:f>
      </x:c>
      <x:c r="DH474" s="4" t="str">
        <x:f>IF('Calculations'!DE474="","",'Calculations'!DF474-'Calculations'!DG474)</x:f>
      </x:c>
      <x:c r="DI474" s="4" t="str">
        <x:f>IF(OR('Calculations'!DE474="",'Calculations'!DF474=0),"",'Calculations'!DG474/'Calculations'!DF474)</x:f>
      </x:c>
      <x:c r="DJ474" s="4" t="str">
        <x:f>IF('Calculations'!DE474="","",COUNTIFS('Calculations'!$BN$13:$BN$512,1,'Calculations'!$BU$13:$BU$512,'Calculations'!DE474,'Calculations'!$BT$13:$BT$512,1,'Calculations'!$EE$13:$EE$512,"High"))</x:f>
      </x:c>
      <x:c r="DK474" s="4" t="str">
        <x:f>IF('Calculations'!DE474="","",COUNTIFS('Calculations'!$BN$13:$BN$512,1,'Calculations'!$BU$13:$BU$512,'Calculations'!DE474,'Calculations'!$BT$13:$BT$512,1,'Calculations'!$EE$13:$EE$512,"Strong"))</x:f>
      </x:c>
      <x:c r="DL474" s="4" t="str">
        <x:f>IF('Calculations'!DE474="","",COUNTIFS('Calculations'!$BN$13:$BN$512,1,'Calculations'!$BU$13:$BU$512,'Calculations'!DE474,'Calculations'!$BT$13:$BT$512,1,'Calculations'!$EE$13:$EE$512,"Solid"))</x:f>
      </x:c>
      <x:c r="DM474" s="4" t="str">
        <x:f>IF('Calculations'!DE474="","",COUNTIFS('Calculations'!$BN$13:$BN$512,1,'Calculations'!$BU$13:$BU$512,'Calculations'!DE474,'Calculations'!$BT$13:$BT$512,1,'Calculations'!$EE$13:$EE$512,"Low"))</x:f>
      </x:c>
      <x:c r="DN474" s="4" t="str">
        <x:f>IF('Calculations'!DE474="","",COUNTIFS('Calculations'!$BN$13:$BN$512,1,'Calculations'!$BU$13:$BU$512,'Calculations'!DE474,'Calculations'!$EP$13:$EP$512,1))</x:f>
      </x:c>
      <x:c r="DO474" s="4" t="str">
        <x:f>IF(OR('Calculations'!DE474="",'Calculations'!DG474=0),"",('Calculations'!DJ474+'Calculations'!DK474)/'Calculations'!DG474)</x:f>
      </x:c>
      <x:c r="DP474" s="4" t="n">
        <x:f>IF(AND('Calculations'!DE474&lt;&gt;"",'Calculations'!DF474&gt;0),COUNTIF('Calculations'!$DF$12:DF474,"&gt;0"),0)</x:f>
        <x:v>0</x:v>
      </x:c>
      <x:c r="DQ474" s="4" t="str">
        <x:f>IF(463&gt;MAX('Calculations'!$HH$13:$HH$512),"",INDEX('Calculations'!$HF$13:$HF$512,MATCH(463,'Calculations'!$HH$13:$HH$512,0)))</x:f>
      </x:c>
      <x:c r="DR474" s="4" t="str">
        <x:f>IF(463&gt;MAX('Calculations'!$IK$13:$IK$512),"",INDEX('Calculations'!$HE$13:$HE$512,MATCH(463,'Calculations'!$IK$13:$IK$512,0)))</x:f>
      </x:c>
      <x:c r="DS474" s="4"/>
      <x:c r="DT474" s="4"/>
      <x:c r="DU474" s="4"/>
      <x:c r="DV474" s="4"/>
      <x:c r="DW474" s="4"/>
      <x:c r="DX474" s="4"/>
      <x:c r="DY474" s="4"/>
      <x:c r="DZ474" s="4"/>
      <x:c r="EA474" s="4"/>
      <x:c r="EB474" s="4"/>
      <x:c r="EC474" s="4"/>
      <x:c r="ED474" s="4"/>
      <x:c r="EE474" s="4" t="str">
        <x:f>IF('Calculations'!BT474=0,"Not Rated",IF(OR('Calculations'!BO474&gt;=4,'Calculations'!BP474&gt;=4),"Low",IF('Calculations'!BO474+'Calculations'!BP474&lt;=3,"High",IF('Calculations'!BO474+'Calculations'!BP474&lt;=4,"Strong","Solid"))))</x:f>
        <x:v>Not Rated</x:v>
      </x:c>
      <x:c r="EF474" s="4"/>
      <x:c r="EG474" s="4"/>
      <x:c r="EH474" s="4"/>
      <x:c r="EI474" s="4"/>
      <x:c r="EJ474" s="4"/>
      <x:c r="EK474" s="4"/>
      <x:c r="EL474" s="4"/>
      <x:c r="EM474" s="4" t="str">
        <x:f>IF(462&gt;'Calculations'!$JB$2000,"",INDEX('Calculations'!$JA$12:$JA$2000,MATCH(462,'Calculations'!$JB$12:$JB$2000,0)))</x:f>
      </x:c>
      <x:c r="EN474" s="4" t="n">
        <x:f>IF(OR('Calculations'!EM474="",'Calculations'!$AG$8&gt;0,AND('Calculations'!$EF$2&lt;&gt;"All",'Calculations'!HE474='Calculations'!$EF$2),AND('Calculations'!$EF$3&lt;&gt;"All",'Calculations'!HE474='Calculations'!$EF$3)),0,IF(OR('Dashboard'!$B$7="All",'Calculations'!HN474='Dashboard'!$B$7),IF('Calculations'!$EF$2="All",1,IF('Calculations'!HL474&gt;0,0,IF(COUNTIF('Calculations'!HO474:II474,"="&amp;SUBSTITUTE(SUBSTITUTE(SUBSTITUTE('Calculations'!$EF$2,"~","~~"),"*","~*"),"?","~?"))=0,0,IF('Calculations'!$EF$3="All",1,IF(COUNTIF('Calculations'!HO474:II474,"="&amp;SUBSTITUTE(SUBSTITUTE(SUBSTITUTE('Calculations'!$EF$3,"~","~~"),"*","~*"),"?","~?"))&gt;0,1,0))))),0))</x:f>
        <x:v>0</x:v>
      </x:c>
      <x:c r="EO474" s="4" t="str">
        <x:f>IF('Calculations'!IJ474="","",IF('Calculations'!IJ474="!UNRESOLVED","Unresolved hierarchy",IFERROR(INDEX('Calculations'!$HK$13:$HK$512,MATCH('Calculations'!IJ474,'Calculations'!$HE$13:$HE$512,0)),IFERROR(INDEX('Calculations'!$HJ$13:$HJ$512,MATCH('Calculations'!IJ474,'Calculations'!$HF$13:$HF$512,0)),'Calculations'!IJ474))))</x:f>
      </x:c>
      <x:c r="EP474" s="4" t="n">
        <x:f>IF(AND('Calculations'!EM474&lt;&gt;"",'Calculations'!HF474='Calculations'!IJ474),1,0)</x:f>
        <x:v>0</x:v>
      </x:c>
      <x:c r="EQ474" s="4"/>
      <x:c r="ER474" s="4"/>
      <x:c r="ES474" s="4"/>
      <x:c r="ET474" s="4"/>
      <x:c r="EU474" s="4"/>
      <x:c r="EV474" s="4"/>
      <x:c r="EW474" s="4"/>
      <x:c r="EX474" s="4"/>
      <x:c r="EY474" s="4"/>
      <x:c r="EZ474" s="4"/>
      <x:c r="FA474" s="4"/>
      <x:c r="FB474" s="4"/>
      <x:c r="FC474" s="4"/>
      <x:c r="FD474" s="4"/>
      <x:c r="FE474" s="4"/>
      <x:c r="FF474" s="4"/>
      <x:c r="FG474" s="4"/>
      <x:c r="FH474" s="4"/>
      <x:c r="FI474" s="4"/>
      <x:c r="FJ474" s="4"/>
      <x:c r="FK474" s="4"/>
      <x:c r="FL474" s="4"/>
      <x:c r="FM474" s="4"/>
      <x:c r="FN474" s="4"/>
      <x:c r="FO474" s="4"/>
      <x:c r="HE474" t="str">
        <x:f>IF('Calculations'!EM474="","",IF(IFERROR(IF(INDEX(INDIRECT("'WCM Calibration Final'!$A$1:$A$2000"),'Calculations'!$EM474)="","",TRIM(INDEX(INDIRECT("'WCM Calibration Final'!$A$1:$A$2000"),'Calculations'!$EM474)&amp;"")),"")&lt;&gt;"","G:"&amp;IFERROR(TEXT(1*INDEX(INDIRECT("'WCM Calibration Final'!$A$1:$A$2000"),'Calculations'!$EM474),"0"),UPPER(IFERROR(IF(INDEX(INDIRECT("'WCM Calibration Final'!$A$1:$A$2000"),'Calculations'!$EM474)="","",TRIM(INDEX(INDIRECT("'WCM Calibration Final'!$A$1:$A$2000"),'Calculations'!$EM474)&amp;"")),""))),IF(IFERROR(IF(INDEX(INDIRECT("'WCM Calibration Final'!$C$1:$C$2000"),'Calculations'!$EM474)="","",TRIM(INDEX(INDIRECT("'WCM Calibration Final'!$C$1:$C$2000"),'Calculations'!$EM474)&amp;"")),"")&lt;&gt;"","S:"&amp;UPPER(IFERROR(IF(INDEX(INDIRECT("'WCM Calibration Final'!$C$1:$C$2000"),'Calculations'!$EM474)="","",TRIM(INDEX(INDIRECT("'WCM Calibration Final'!$C$1:$C$2000"),'Calculations'!$EM474)&amp;"")),"")),"R:"&amp;'Calculations'!EM474)))</x:f>
      </x:c>
      <x:c r="HF474" t="str">
        <x:f>IF('Calculations'!EM474="","",IF(IFERROR(IF(INDEX(INDIRECT("'WCM Calibration Final'!$D$1:$D$2000"),'Calculations'!$EM474)="","",TRIM(INDEX(INDIRECT("'WCM Calibration Final'!$D$1:$D$2000"),'Calculations'!$EM474)&amp;"")),"")&lt;&gt;"","G:"&amp;IFERROR(TEXT(1*INDEX(INDIRECT("'WCM Calibration Final'!$D$1:$D$2000"),'Calculations'!$EM474),"0"),UPPER(IFERROR(IF(INDEX(INDIRECT("'WCM Calibration Final'!$D$1:$D$2000"),'Calculations'!$EM474)="","",TRIM(INDEX(INDIRECT("'WCM Calibration Final'!$D$1:$D$2000"),'Calculations'!$EM474)&amp;"")),""))),IF(IFERROR(IF(INDEX(INDIRECT("'WCM Calibration Final'!$E$1:$E$2000"),'Calculations'!$EM474)="","",TRIM(INDEX(INDIRECT("'WCM Calibration Final'!$E$1:$E$2000"),'Calculations'!$EM474)&amp;"")),"")="","",IF(COUNTIF('Calculations'!$HG$13:$HG$512,"="&amp;SUBSTITUTE(SUBSTITUTE(SUBSTITUTE(IFERROR(IF(INDEX(INDIRECT("'WCM Calibration Final'!$E$1:$E$2000"),'Calculations'!$EM474)="","",TRIM(INDEX(INDIRECT("'WCM Calibration Final'!$E$1:$E$2000"),'Calculations'!$EM474)&amp;"")),""),"~","~~"),"*","~*"),"?","~?"))=1,INDEX('Calculations'!$HE$13:$HE$512,MATCH(IFERROR(IF(INDEX(INDIRECT("'WCM Calibration Final'!$E$1:$E$2000"),'Calculations'!$EM474)="","",TRIM(INDEX(INDIRECT("'WCM Calibration Final'!$E$1:$E$2000"),'Calculations'!$EM474)&amp;"")),""),'Calculations'!$HG$13:$HG$512,0)),IF(COUNTIF('Calculations'!$HG$13:$HG$512,"="&amp;SUBSTITUTE(SUBSTITUTE(SUBSTITUTE(IFERROR(IF(INDEX(INDIRECT("'WCM Calibration Final'!$E$1:$E$2000"),'Calculations'!$EM474)="","",TRIM(INDEX(INDIRECT("'WCM Calibration Final'!$E$1:$E$2000"),'Calculations'!$EM474)&amp;"")),""),"~","~~"),"*","~*"),"?","~?"))&gt;1,"!AMBIG","X:"&amp;IFERROR(IF(INDEX(INDIRECT("'WCM Calibration Final'!$E$1:$E$2000"),'Calculations'!$EM474)="","",TRIM(INDEX(INDIRECT("'WCM Calibration Final'!$E$1:$E$2000"),'Calculations'!$EM474)&amp;"")),""))))))</x:f>
      </x:c>
      <x:c r="HG474" t="str">
        <x:f>IF('Calculations'!EM474="","",IFERROR(IF(INDEX(INDIRECT("'WCM Calibration Final'!$B$1:$B$2000"),'Calculations'!$EM474)="","",TRIM(INDEX(INDIRECT("'WCM Calibration Final'!$B$1:$B$2000"),'Calculations'!$EM474)&amp;"")),""))</x:f>
      </x:c>
      <x:c r="HH474" t="n">
        <x:f>IF(AND('Calculations'!JC474&gt;0,COUNTIF('Calculations'!$HF$12:HF474,"="&amp;SUBSTITUTE(SUBSTITUTE(SUBSTITUTE('Calculations'!HF474,"~","~~"),"*","~*"),"?","~?"))=1),MAX('Calculations'!$HH$12:HH473)+1,0)</x:f>
        <x:v>0</x:v>
      </x:c>
      <x:c r="HI474" t="n">
        <x:f>IF(AND('Calculations'!HN474&lt;&gt;"",COUNTIF('Calculations'!$HN$12:HN474,"="&amp;SUBSTITUTE(SUBSTITUTE(SUBSTITUTE('Calculations'!HN474,"~","~~"),"*","~*"),"?","~?"))=1),MAX('Calculations'!$HI$12:HI473)+1,0)</x:f>
        <x:v>0</x:v>
      </x:c>
      <x:c r="HJ474" t="str">
        <x:f>IF('Calculations'!HF474="","",IF(COUNTIF('Calculations'!$HE$13:$HE$512,"="&amp;SUBSTITUTE(SUBSTITUTE(SUBSTITUTE('Calculations'!HF474,"~","~~"),"*","~*"),"?","~?"))=1,INDEX('Calculations'!$HK$13:$HK$512,MATCH('Calculations'!HF474,'Calculations'!$HE$13:$HE$512,0)),IFERROR(IF(INDEX(INDIRECT("'WCM Calibration Final'!$E$1:$E$2000"),'Calculations'!$EM474)="","",TRIM(INDEX(INDIRECT("'WCM Calibration Final'!$E$1:$E$2000"),'Calculations'!$EM474)&amp;"")),"")&amp;" ["&amp;'Calculations'!HF474&amp;"]"))</x:f>
      </x:c>
      <x:c r="HK474" t="str">
        <x:f>IF('Calculations'!EM474="","",'Calculations'!HG474&amp;" ["&amp;'Calculations'!HE474&amp;"]")</x:f>
      </x:c>
      <x:c r="HL474" t="n">
        <x:f>IF('Calculations'!EM474="",0,IF(OR('Calculations'!II474&lt;&gt;"",COUNTIF('Calculations'!$HE$13:$HE$512,"="&amp;SUBSTITUTE(SUBSTITUTE(SUBSTITUTE('Calculations'!HE474,"~","~~"),"*","~*"),"?","~?"))&gt;1),1,0))</x:f>
        <x:v>0</x:v>
      </x:c>
      <x:c r="HM474" t="str">
        <x:f>IF('Calculations'!EM474="","",IF('Calculations'!HL474=1,"!UNRESOLVED",IF('Calculations'!IH474&lt;&gt;"",'Calculations'!IH474,IF('Calculations'!IG474&lt;&gt;"",'Calculations'!IG474,IF('Calculations'!IF474&lt;&gt;"",'Calculations'!IF474,IF('Calculations'!IE474&lt;&gt;"",'Calculations'!IE474,IF('Calculations'!ID474&lt;&gt;"",'Calculations'!ID474,IF('Calculations'!IC474&lt;&gt;"",'Calculations'!IC474,IF('Calculations'!IB474&lt;&gt;"",'Calculations'!IB474,IF('Calculations'!IA474&lt;&gt;"",'Calculations'!IA474,IF('Calculations'!HZ474&lt;&gt;"",'Calculations'!HZ474,IF('Calculations'!HY474&lt;&gt;"",'Calculations'!HY474,IF('Calculations'!HX474&lt;&gt;"",'Calculations'!HX474,IF('Calculations'!HW474&lt;&gt;"",'Calculations'!HW474,IF('Calculations'!HV474&lt;&gt;"",'Calculations'!HV474,IF('Calculations'!HU474&lt;&gt;"",'Calculations'!HU474,IF('Calculations'!HT474&lt;&gt;"",'Calculations'!HT474,IF('Calculations'!HS474&lt;&gt;"",'Calculations'!HS474,IF('Calculations'!HR474&lt;&gt;"",'Calculations'!HR474,IF('Calculations'!HQ474&lt;&gt;"",'Calculations'!HQ474,IF('Calculations'!HP474&lt;&gt;"",'Calculations'!HP474,IF('Calculations'!HO474&lt;&gt;"",'Calculations'!HO474,'Calculations'!HE474))))))))))))))))))))))</x:f>
      </x:c>
      <x:c r="HN474" t="str">
        <x:f>IF('Calculations'!EM474="","",IF(IFERROR(IF(INDEX(INDIRECT("'WCM Calibration Final'!$F$1:$F$2000"),'Calculations'!$EM474)="","",TRIM(INDEX(INDIRECT("'WCM Calibration Final'!$F$1:$F$2000"),'Calculations'!$EM474)&amp;"")),"")="","(Blank)",IFERROR(IF(INDEX(INDIRECT("'WCM Calibration Final'!$F$1:$F$2000"),'Calculations'!$EM474)="","",TRIM(INDEX(INDIRECT("'WCM Calibration Final'!$F$1:$F$2000"),'Calculations'!$EM474)&amp;"")),"")))</x:f>
      </x:c>
      <x:c r="HO474" t="str">
        <x:f>'Calculations'!HF474</x:f>
      </x:c>
      <x:c r="HP474" t="str">
        <x:f>IF('Calculations'!HO474="","",IF('Calculations'!HO474="!AMBIG","!AMBIG",IF(COUNTIF('Calculations'!$HE$13:$HE$512,"="&amp;SUBSTITUTE(SUBSTITUTE(SUBSTITUTE('Calculations'!HO474,"~","~~"),"*","~*"),"?","~?"))&gt;1,"!AMBIG",IFERROR(INDEX('Calculations'!$HF$13:$HF$512,MATCH('Calculations'!HO474,'Calculations'!$HE$13:$HE$512,0)),""))))</x:f>
      </x:c>
      <x:c r="HQ474" t="str">
        <x:f>IF('Calculations'!HP474="","",IF('Calculations'!HP474="!AMBIG","!AMBIG",IF(COUNTIF('Calculations'!$HE$13:$HE$512,"="&amp;SUBSTITUTE(SUBSTITUTE(SUBSTITUTE('Calculations'!HP474,"~","~~"),"*","~*"),"?","~?"))&gt;1,"!AMBIG",IFERROR(INDEX('Calculations'!$HF$13:$HF$512,MATCH('Calculations'!HP474,'Calculations'!$HE$13:$HE$512,0)),""))))</x:f>
      </x:c>
      <x:c r="HR474" t="str">
        <x:f>IF('Calculations'!HQ474="","",IF('Calculations'!HQ474="!AMBIG","!AMBIG",IF(COUNTIF('Calculations'!$HE$13:$HE$512,"="&amp;SUBSTITUTE(SUBSTITUTE(SUBSTITUTE('Calculations'!HQ474,"~","~~"),"*","~*"),"?","~?"))&gt;1,"!AMBIG",IFERROR(INDEX('Calculations'!$HF$13:$HF$512,MATCH('Calculations'!HQ474,'Calculations'!$HE$13:$HE$512,0)),""))))</x:f>
      </x:c>
      <x:c r="HS474" t="str">
        <x:f>IF('Calculations'!HR474="","",IF('Calculations'!HR474="!AMBIG","!AMBIG",IF(COUNTIF('Calculations'!$HE$13:$HE$512,"="&amp;SUBSTITUTE(SUBSTITUTE(SUBSTITUTE('Calculations'!HR474,"~","~~"),"*","~*"),"?","~?"))&gt;1,"!AMBIG",IFERROR(INDEX('Calculations'!$HF$13:$HF$512,MATCH('Calculations'!HR474,'Calculations'!$HE$13:$HE$512,0)),""))))</x:f>
      </x:c>
      <x:c r="HT474" t="str">
        <x:f>IF('Calculations'!HS474="","",IF('Calculations'!HS474="!AMBIG","!AMBIG",IF(COUNTIF('Calculations'!$HE$13:$HE$512,"="&amp;SUBSTITUTE(SUBSTITUTE(SUBSTITUTE('Calculations'!HS474,"~","~~"),"*","~*"),"?","~?"))&gt;1,"!AMBIG",IFERROR(INDEX('Calculations'!$HF$13:$HF$512,MATCH('Calculations'!HS474,'Calculations'!$HE$13:$HE$512,0)),""))))</x:f>
      </x:c>
      <x:c r="HU474" t="str">
        <x:f>IF('Calculations'!HT474="","",IF('Calculations'!HT474="!AMBIG","!AMBIG",IF(COUNTIF('Calculations'!$HE$13:$HE$512,"="&amp;SUBSTITUTE(SUBSTITUTE(SUBSTITUTE('Calculations'!HT474,"~","~~"),"*","~*"),"?","~?"))&gt;1,"!AMBIG",IFERROR(INDEX('Calculations'!$HF$13:$HF$512,MATCH('Calculations'!HT474,'Calculations'!$HE$13:$HE$512,0)),""))))</x:f>
      </x:c>
      <x:c r="HV474" t="str">
        <x:f>IF('Calculations'!HU474="","",IF('Calculations'!HU474="!AMBIG","!AMBIG",IF(COUNTIF('Calculations'!$HE$13:$HE$512,"="&amp;SUBSTITUTE(SUBSTITUTE(SUBSTITUTE('Calculations'!HU474,"~","~~"),"*","~*"),"?","~?"))&gt;1,"!AMBIG",IFERROR(INDEX('Calculations'!$HF$13:$HF$512,MATCH('Calculations'!HU474,'Calculations'!$HE$13:$HE$512,0)),""))))</x:f>
      </x:c>
      <x:c r="HW474" t="str">
        <x:f>IF('Calculations'!HV474="","",IF('Calculations'!HV474="!AMBIG","!AMBIG",IF(COUNTIF('Calculations'!$HE$13:$HE$512,"="&amp;SUBSTITUTE(SUBSTITUTE(SUBSTITUTE('Calculations'!HV474,"~","~~"),"*","~*"),"?","~?"))&gt;1,"!AMBIG",IFERROR(INDEX('Calculations'!$HF$13:$HF$512,MATCH('Calculations'!HV474,'Calculations'!$HE$13:$HE$512,0)),""))))</x:f>
      </x:c>
      <x:c r="HX474" t="str">
        <x:f>IF('Calculations'!HW474="","",IF('Calculations'!HW474="!AMBIG","!AMBIG",IF(COUNTIF('Calculations'!$HE$13:$HE$512,"="&amp;SUBSTITUTE(SUBSTITUTE(SUBSTITUTE('Calculations'!HW474,"~","~~"),"*","~*"),"?","~?"))&gt;1,"!AMBIG",IFERROR(INDEX('Calculations'!$HF$13:$HF$512,MATCH('Calculations'!HW474,'Calculations'!$HE$13:$HE$512,0)),""))))</x:f>
      </x:c>
      <x:c r="HY474" t="str">
        <x:f>IF('Calculations'!HX474="","",IF('Calculations'!HX474="!AMBIG","!AMBIG",IF(COUNTIF('Calculations'!$HE$13:$HE$512,"="&amp;SUBSTITUTE(SUBSTITUTE(SUBSTITUTE('Calculations'!HX474,"~","~~"),"*","~*"),"?","~?"))&gt;1,"!AMBIG",IFERROR(INDEX('Calculations'!$HF$13:$HF$512,MATCH('Calculations'!HX474,'Calculations'!$HE$13:$HE$512,0)),""))))</x:f>
      </x:c>
      <x:c r="HZ474" t="str">
        <x:f>IF('Calculations'!HY474="","",IF('Calculations'!HY474="!AMBIG","!AMBIG",IF(COUNTIF('Calculations'!$HE$13:$HE$512,"="&amp;SUBSTITUTE(SUBSTITUTE(SUBSTITUTE('Calculations'!HY474,"~","~~"),"*","~*"),"?","~?"))&gt;1,"!AMBIG",IFERROR(INDEX('Calculations'!$HF$13:$HF$512,MATCH('Calculations'!HY474,'Calculations'!$HE$13:$HE$512,0)),""))))</x:f>
      </x:c>
      <x:c r="IA474" t="str">
        <x:f>IF('Calculations'!HZ474="","",IF('Calculations'!HZ474="!AMBIG","!AMBIG",IF(COUNTIF('Calculations'!$HE$13:$HE$512,"="&amp;SUBSTITUTE(SUBSTITUTE(SUBSTITUTE('Calculations'!HZ474,"~","~~"),"*","~*"),"?","~?"))&gt;1,"!AMBIG",IFERROR(INDEX('Calculations'!$HF$13:$HF$512,MATCH('Calculations'!HZ474,'Calculations'!$HE$13:$HE$512,0)),""))))</x:f>
      </x:c>
      <x:c r="IB474" t="str">
        <x:f>IF('Calculations'!IA474="","",IF('Calculations'!IA474="!AMBIG","!AMBIG",IF(COUNTIF('Calculations'!$HE$13:$HE$512,"="&amp;SUBSTITUTE(SUBSTITUTE(SUBSTITUTE('Calculations'!IA474,"~","~~"),"*","~*"),"?","~?"))&gt;1,"!AMBIG",IFERROR(INDEX('Calculations'!$HF$13:$HF$512,MATCH('Calculations'!IA474,'Calculations'!$HE$13:$HE$512,0)),""))))</x:f>
      </x:c>
      <x:c r="IC474" t="str">
        <x:f>IF('Calculations'!IB474="","",IF('Calculations'!IB474="!AMBIG","!AMBIG",IF(COUNTIF('Calculations'!$HE$13:$HE$512,"="&amp;SUBSTITUTE(SUBSTITUTE(SUBSTITUTE('Calculations'!IB474,"~","~~"),"*","~*"),"?","~?"))&gt;1,"!AMBIG",IFERROR(INDEX('Calculations'!$HF$13:$HF$512,MATCH('Calculations'!IB474,'Calculations'!$HE$13:$HE$512,0)),""))))</x:f>
      </x:c>
      <x:c r="ID474" t="str">
        <x:f>IF('Calculations'!IC474="","",IF('Calculations'!IC474="!AMBIG","!AMBIG",IF(COUNTIF('Calculations'!$HE$13:$HE$512,"="&amp;SUBSTITUTE(SUBSTITUTE(SUBSTITUTE('Calculations'!IC474,"~","~~"),"*","~*"),"?","~?"))&gt;1,"!AMBIG",IFERROR(INDEX('Calculations'!$HF$13:$HF$512,MATCH('Calculations'!IC474,'Calculations'!$HE$13:$HE$512,0)),""))))</x:f>
      </x:c>
      <x:c r="IE474" t="str">
        <x:f>IF('Calculations'!ID474="","",IF('Calculations'!ID474="!AMBIG","!AMBIG",IF(COUNTIF('Calculations'!$HE$13:$HE$512,"="&amp;SUBSTITUTE(SUBSTITUTE(SUBSTITUTE('Calculations'!ID474,"~","~~"),"*","~*"),"?","~?"))&gt;1,"!AMBIG",IFERROR(INDEX('Calculations'!$HF$13:$HF$512,MATCH('Calculations'!ID474,'Calculations'!$HE$13:$HE$512,0)),""))))</x:f>
      </x:c>
      <x:c r="IF474" t="str">
        <x:f>IF('Calculations'!IE474="","",IF('Calculations'!IE474="!AMBIG","!AMBIG",IF(COUNTIF('Calculations'!$HE$13:$HE$512,"="&amp;SUBSTITUTE(SUBSTITUTE(SUBSTITUTE('Calculations'!IE474,"~","~~"),"*","~*"),"?","~?"))&gt;1,"!AMBIG",IFERROR(INDEX('Calculations'!$HF$13:$HF$512,MATCH('Calculations'!IE474,'Calculations'!$HE$13:$HE$512,0)),""))))</x:f>
      </x:c>
      <x:c r="IG474" t="str">
        <x:f>IF('Calculations'!IF474="","",IF('Calculations'!IF474="!AMBIG","!AMBIG",IF(COUNTIF('Calculations'!$HE$13:$HE$512,"="&amp;SUBSTITUTE(SUBSTITUTE(SUBSTITUTE('Calculations'!IF474,"~","~~"),"*","~*"),"?","~?"))&gt;1,"!AMBIG",IFERROR(INDEX('Calculations'!$HF$13:$HF$512,MATCH('Calculations'!IF474,'Calculations'!$HE$13:$HE$512,0)),""))))</x:f>
      </x:c>
      <x:c r="IH474" t="str">
        <x:f>IF('Calculations'!IG474="","",IF('Calculations'!IG474="!AMBIG","!AMBIG",IF(COUNTIF('Calculations'!$HE$13:$HE$512,"="&amp;SUBSTITUTE(SUBSTITUTE(SUBSTITUTE('Calculations'!IG474,"~","~~"),"*","~*"),"?","~?"))&gt;1,"!AMBIG",IFERROR(INDEX('Calculations'!$HF$13:$HF$512,MATCH('Calculations'!IG474,'Calculations'!$HE$13:$HE$512,0)),""))))</x:f>
      </x:c>
      <x:c r="II474" t="str">
        <x:f>IF('Calculations'!IH474="","",IF('Calculations'!IH474="!AMBIG","!AMBIG",IF(COUNTIF('Calculations'!$HE$13:$HE$512,"="&amp;SUBSTITUTE(SUBSTITUTE(SUBSTITUTE('Calculations'!IH474,"~","~~"),"*","~*"),"?","~?"))&gt;1,"!AMBIG",IFERROR(INDEX('Calculations'!$HF$13:$HF$512,MATCH('Calculations'!IH474,'Calculations'!$HE$13:$HE$512,0)),""))))</x:f>
      </x:c>
      <x:c r="IJ474" t="str">
        <x:f>IF('Calculations'!EM474="","",IF('Calculations'!$EF$2="All",'Calculations'!HM474,IF('Calculations'!HL474=1,"",IFERROR(IF(MATCH('Calculations'!$EF$2,'Calculations'!HO474:II474,0)=1,'Calculations'!HE474,INDEX('Calculations'!HO474:II474,1,MATCH('Calculations'!$EF$2,'Calculations'!HO474:II474,0)-1)),""))))</x:f>
      </x:c>
      <x:c r="IK474" t="n">
        <x:f>IF(AND('Calculations'!EM474&lt;&gt;"",'Calculations'!$EF$2&lt;&gt;"All",'Calculations'!HF474='Calculations'!$EF$2,'Calculations'!HL474=0,'Calculations'!JD474&gt;0),MAX('Calculations'!$IK$12:IK473)+1,0)</x:f>
        <x:v>0</x:v>
      </x:c>
      <x:c r="JA474" t="n">
        <x:f>IF(OR(IFERROR(INDIRECT("'WCM Calibration Final'!$A$474")&lt;&gt;"",FALSE),IFERROR(INDIRECT("'WCM Calibration Final'!$B$474")&lt;&gt;"",FALSE),IFERROR(INDIRECT("'WCM Calibration Final'!$C$474")&lt;&gt;"",FALSE)),474,0)</x:f>
        <x:v>0</x:v>
      </x:c>
      <x:c r="JB474" t="n">
        <x:f>'Calculations'!JB473+IF('Calculations'!JA474&gt;0,1,0)</x:f>
        <x:v>0</x:v>
      </x:c>
      <x:c r="JC474" t="n">
        <x:f>IF(OR('Calculations'!HF474="",'Calculations'!HF474="!AMBIG"),0,IF('Dashboard'!$B$7="All",1,COUNTIFS('Calculations'!$HO$13:$HO$512,"="&amp;SUBSTITUTE(SUBSTITUTE(SUBSTITUTE('Calculations'!HF474,"~","~~"),"*","~*"),"?","~?"),'Calculations'!$HN$13:$HN$512,"="&amp;SUBSTITUTE(SUBSTITUTE(SUBSTITUTE('Dashboard'!$B$7,"~","~~"),"*","~*"),"?","~?"))+COUNTIFS('Calculations'!$HP$13:$HP$512,"="&amp;SUBSTITUTE(SUBSTITUTE(SUBSTITUTE('Calculations'!HF474,"~","~~"),"*","~*"),"?","~?"),'Calculations'!$HN$13:$HN$512,"="&amp;SUBSTITUTE(SUBSTITUTE(SUBSTITUTE('Dashboard'!$B$7,"~","~~"),"*","~*"),"?","~?"))+COUNTIFS('Calculations'!$HQ$13:$HQ$512,"="&amp;SUBSTITUTE(SUBSTITUTE(SUBSTITUTE('Calculations'!HF474,"~","~~"),"*","~*"),"?","~?"),'Calculations'!$HN$13:$HN$512,"="&amp;SUBSTITUTE(SUBSTITUTE(SUBSTITUTE('Dashboard'!$B$7,"~","~~"),"*","~*"),"?","~?"))+COUNTIFS('Calculations'!$HR$13:$HR$512,"="&amp;SUBSTITUTE(SUBSTITUTE(SUBSTITUTE('Calculations'!HF474,"~","~~"),"*","~*"),"?","~?"),'Calculations'!$HN$13:$HN$512,"="&amp;SUBSTITUTE(SUBSTITUTE(SUBSTITUTE('Dashboard'!$B$7,"~","~~"),"*","~*"),"?","~?"))+COUNTIFS('Calculations'!$HS$13:$HS$512,"="&amp;SUBSTITUTE(SUBSTITUTE(SUBSTITUTE('Calculations'!HF474,"~","~~"),"*","~*"),"?","~?"),'Calculations'!$HN$13:$HN$512,"="&amp;SUBSTITUTE(SUBSTITUTE(SUBSTITUTE('Dashboard'!$B$7,"~","~~"),"*","~*"),"?","~?"))+COUNTIFS('Calculations'!$HT$13:$HT$512,"="&amp;SUBSTITUTE(SUBSTITUTE(SUBSTITUTE('Calculations'!HF474,"~","~~"),"*","~*"),"?","~?"),'Calculations'!$HN$13:$HN$512,"="&amp;SUBSTITUTE(SUBSTITUTE(SUBSTITUTE('Dashboard'!$B$7,"~","~~"),"*","~*"),"?","~?"))+COUNTIFS('Calculations'!$HU$13:$HU$512,"="&amp;SUBSTITUTE(SUBSTITUTE(SUBSTITUTE('Calculations'!HF474,"~","~~"),"*","~*"),"?","~?"),'Calculations'!$HN$13:$HN$512,"="&amp;SUBSTITUTE(SUBSTITUTE(SUBSTITUTE('Dashboard'!$B$7,"~","~~"),"*","~*"),"?","~?"))+COUNTIFS('Calculations'!$HV$13:$HV$512,"="&amp;SUBSTITUTE(SUBSTITUTE(SUBSTITUTE('Calculations'!HF474,"~","~~"),"*","~*"),"?","~?"),'Calculations'!$HN$13:$HN$512,"="&amp;SUBSTITUTE(SUBSTITUTE(SUBSTITUTE('Dashboard'!$B$7,"~","~~"),"*","~*"),"?","~?"))+COUNTIFS('Calculations'!$HW$13:$HW$512,"="&amp;SUBSTITUTE(SUBSTITUTE(SUBSTITUTE('Calculations'!HF474,"~","~~"),"*","~*"),"?","~?"),'Calculations'!$HN$13:$HN$512,"="&amp;SUBSTITUTE(SUBSTITUTE(SUBSTITUTE('Dashboard'!$B$7,"~","~~"),"*","~*"),"?","~?"))+COUNTIFS('Calculations'!$HX$13:$HX$512,"="&amp;SUBSTITUTE(SUBSTITUTE(SUBSTITUTE('Calculations'!HF474,"~","~~"),"*","~*"),"?","~?"),'Calculations'!$HN$13:$HN$512,"="&amp;SUBSTITUTE(SUBSTITUTE(SUBSTITUTE('Dashboard'!$B$7,"~","~~"),"*","~*"),"?","~?"))+COUNTIFS('Calculations'!$HY$13:$HY$512,"="&amp;SUBSTITUTE(SUBSTITUTE(SUBSTITUTE('Calculations'!HF474,"~","~~"),"*","~*"),"?","~?"),'Calculations'!$HN$13:$HN$512,"="&amp;SUBSTITUTE(SUBSTITUTE(SUBSTITUTE('Dashboard'!$B$7,"~","~~"),"*","~*"),"?","~?"))+COUNTIFS('Calculations'!$HZ$13:$HZ$512,"="&amp;SUBSTITUTE(SUBSTITUTE(SUBSTITUTE('Calculations'!HF474,"~","~~"),"*","~*"),"?","~?"),'Calculations'!$HN$13:$HN$512,"="&amp;SUBSTITUTE(SUBSTITUTE(SUBSTITUTE('Dashboard'!$B$7,"~","~~"),"*","~*"),"?","~?"))+COUNTIFS('Calculations'!$IA$13:$IA$512,"="&amp;SUBSTITUTE(SUBSTITUTE(SUBSTITUTE('Calculations'!HF474,"~","~~"),"*","~*"),"?","~?"),'Calculations'!$HN$13:$HN$512,"="&amp;SUBSTITUTE(SUBSTITUTE(SUBSTITUTE('Dashboard'!$B$7,"~","~~"),"*","~*"),"?","~?"))+COUNTIFS('Calculations'!$IB$13:$IB$512,"="&amp;SUBSTITUTE(SUBSTITUTE(SUBSTITUTE('Calculations'!HF474,"~","~~"),"*","~*"),"?","~?"),'Calculations'!$HN$13:$HN$512,"="&amp;SUBSTITUTE(SUBSTITUTE(SUBSTITUTE('Dashboard'!$B$7,"~","~~"),"*","~*"),"?","~?"))+COUNTIFS('Calculations'!$IC$13:$IC$512,"="&amp;SUBSTITUTE(SUBSTITUTE(SUBSTITUTE('Calculations'!HF474,"~","~~"),"*","~*"),"?","~?"),'Calculations'!$HN$13:$HN$512,"="&amp;SUBSTITUTE(SUBSTITUTE(SUBSTITUTE('Dashboard'!$B$7,"~","~~"),"*","~*"),"?","~?"))+COUNTIFS('Calculations'!$ID$13:$ID$512,"="&amp;SUBSTITUTE(SUBSTITUTE(SUBSTITUTE('Calculations'!HF474,"~","~~"),"*","~*"),"?","~?"),'Calculations'!$HN$13:$HN$512,"="&amp;SUBSTITUTE(SUBSTITUTE(SUBSTITUTE('Dashboard'!$B$7,"~","~~"),"*","~*"),"?","~?"))+COUNTIFS('Calculations'!$IE$13:$IE$512,"="&amp;SUBSTITUTE(SUBSTITUTE(SUBSTITUTE('Calculations'!HF474,"~","~~"),"*","~*"),"?","~?"),'Calculations'!$HN$13:$HN$512,"="&amp;SUBSTITUTE(SUBSTITUTE(SUBSTITUTE('Dashboard'!$B$7,"~","~~"),"*","~*"),"?","~?"))+COUNTIFS('Calculations'!$IF$13:$IF$512,"="&amp;SUBSTITUTE(SUBSTITUTE(SUBSTITUTE('Calculations'!HF474,"~","~~"),"*","~*"),"?","~?"),'Calculations'!$HN$13:$HN$512,"="&amp;SUBSTITUTE(SUBSTITUTE(SUBSTITUTE('Dashboard'!$B$7,"~","~~"),"*","~*"),"?","~?"))+COUNTIFS('Calculations'!$IG$13:$IG$512,"="&amp;SUBSTITUTE(SUBSTITUTE(SUBSTITUTE('Calculations'!HF474,"~","~~"),"*","~*"),"?","~?"),'Calculations'!$HN$13:$HN$512,"="&amp;SUBSTITUTE(SUBSTITUTE(SUBSTITUTE('Dashboard'!$B$7,"~","~~"),"*","~*"),"?","~?"))+COUNTIFS('Calculations'!$IH$13:$IH$512,"="&amp;SUBSTITUTE(SUBSTITUTE(SUBSTITUTE('Calculations'!HF474,"~","~~"),"*","~*"),"?","~?"),'Calculations'!$HN$13:$HN$512,"="&amp;SUBSTITUTE(SUBSTITUTE(SUBSTITUTE('Dashboard'!$B$7,"~","~~"),"*","~*"),"?","~?"))))</x:f>
        <x:v>0</x:v>
      </x:c>
      <x:c r="JD474" t="n">
        <x:f>IF('Calculations'!EM474="",0,IF('Dashboard'!$B$7="All",1,IF('Calculations'!HN474='Dashboard'!$B$7,1,0)+IFERROR(INDEX('Calculations'!$JC$13:$JC$512,MATCH('Calculations'!HE474,'Calculations'!$HF$13:$HF$512,0)),0)))</x:f>
        <x:v>0</x:v>
      </x:c>
      <x:c r="JE474" t="n">
        <x:f>IF(AND('Calculations'!EM474&lt;&gt;"",'Calculations'!$JJ$2&lt;&gt;"All",'Calculations'!$JJ$2&lt;&gt;"",'Calculations'!HF474='Calculations'!$JJ$2,'Calculations'!HL474=0,'Calculations'!JD474&gt;0),MAX('Calculations'!$JE$12:JE473)+1,0)</x:f>
        <x:v>0</x:v>
      </x:c>
      <x:c r="JF474" t="str">
        <x:f>IF('Calculations'!EM474="","",IFERROR(IF(INDEX(INDIRECT("'WCM Calibration Final'!$G$1:$G$2000"),'Calculations'!$EM474)="","",TRIM(INDEX(INDIRECT("'WCM Calibration Final'!$G$1:$G$2000"),'Calculations'!$EM474)&amp;"")),""))</x:f>
      </x:c>
      <x:c r="JQ474" t="n">
        <x:f>IF(OR('Calculations'!BM474=0,NOT('Calculations'!$AG$2),'Calculations'!$AG$8&gt;0),0,IF(OR('Dashboard'!$B$7="All",'Calculations'!HN474='Dashboard'!$B$7),IF('Calculations'!$JJ$2="All",1,IF(AND('Calculations'!HF474='Calculations'!$JJ$2,'Calculations'!HL474=0),1,0)),0))</x:f>
        <x:v>0</x:v>
      </x:c>
    </x:row>
    <x:row r="475">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t="n">
        <x:f>IF('Calculations'!$EM475="",0,IF(OR(IFERROR(INDEX(INDIRECT("'WCM Calibration Final'!$A$1:$A$2000"),'Calculations'!$EM475)&lt;&gt;"",FALSE),IFERROR(INDEX(INDIRECT("'WCM Calibration Final'!$B$1:$B$2000"),'Calculations'!$EM475)&lt;&gt;"",FALSE),IFERROR(INDEX(INDIRECT("'WCM Calibration Final'!$C$1:$C$2000"),'Calculations'!$EM475)&lt;&gt;"",FALSE)),1,0))</x:f>
        <x:v>0</x:v>
      </x:c>
      <x:c r="BN475" s="4" t="n">
        <x:f>IF(AND('Calculations'!BM475=1,'Calculations'!$AG$2,'Calculations'!$EN475=1),1,0)</x:f>
        <x:v>0</x:v>
      </x:c>
      <x:c r="BO475" s="4" t="str">
        <x:f>IF('Calculations'!BM475=0,"",IFERROR(IF(AND(VALUE(INDEX(INDIRECT("'WCM Calibration Final'!$K$1:$K$2000"),'Calculations'!$EM475))&gt;=1,VALUE(INDEX(INDIRECT("'WCM Calibration Final'!$K$1:$K$2000"),'Calculations'!$EM475))&lt;=4,MOD(VALUE(INDEX(INDIRECT("'WCM Calibration Final'!$K$1:$K$2000"),'Calculations'!$EM475)),1)=0),VALUE(INDEX(INDIRECT("'WCM Calibration Final'!$K$1:$K$2000"),'Calculations'!$EM475)),""),""))</x:f>
      </x:c>
      <x:c r="BP475" s="4" t="str">
        <x:f>IF('Calculations'!BM475=0,"",IFERROR(IF(AND(VALUE(INDEX(INDIRECT("'WCM Calibration Final'!$L$1:$L$2000"),'Calculations'!$EM475))&gt;=1,VALUE(INDEX(INDIRECT("'WCM Calibration Final'!$L$1:$L$2000"),'Calculations'!$EM475))&lt;=4,MOD(VALUE(INDEX(INDIRECT("'WCM Calibration Final'!$L$1:$L$2000"),'Calculations'!$EM475)),1)=0),VALUE(INDEX(INDIRECT("'WCM Calibration Final'!$L$1:$L$2000"),'Calculations'!$EM475)),""),""))</x:f>
      </x:c>
      <x:c r="BQ475" s="4"/>
      <x:c r="BR475" s="4"/>
      <x:c r="BS475" s="4"/>
      <x:c r="BT475" s="4" t="n">
        <x:f>IF(AND('Calculations'!BM475=1,ISNUMBER('Calculations'!BO475),ISNUMBER('Calculations'!BP475)),1,0)</x:f>
        <x:v>0</x:v>
      </x:c>
      <x:c r="BU475" s="4" t="str">
        <x:f>IF('Calculations'!BM475=0,"",'Calculations'!$EO475)</x:f>
      </x:c>
      <x:c r="BV475" s="4" t="str">
        <x:f>IF('Calculations'!BM475=0,"",IFERROR(IF(OR(INDEX(INDIRECT("'WCM Calibration Final'!$H$1:$H$2000"),'Calculations'!$EM475)="MANAGING DIRECTOR",INDEX(INDIRECT("'WCM Calibration Final'!$H$1:$H$2000"),'Calculations'!$EM475)="DIRECTOR",INDEX(INDIRECT("'WCM Calibration Final'!$H$1:$H$2000"),'Calculations'!$EM475)="SENIOR VICE PRESIDENT",INDEX(INDIRECT("'WCM Calibration Final'!$H$1:$H$2000"),'Calculations'!$EM475)="VICE PRESIDENT",INDEX(INDIRECT("'WCM Calibration Final'!$H$1:$H$2000"),'Calculations'!$EM475)="ASSISTANT VICE PRESIDENT",INDEX(INDIRECT("'WCM Calibration Final'!$H$1:$H$2000"),'Calculations'!$EM475)="OFFICER"),UPPER(INDEX(INDIRECT("'WCM Calibration Final'!$H$1:$H$2000"),'Calculations'!$EM475)),"Other"),"Other"))</x:f>
      </x:c>
      <x:c r="BW475" s="4"/>
      <x:c r="BX475" s="4"/>
      <x:c r="BY475" s="4" t="n">
        <x:f>IF(AND('Calculations'!BM475=1,'Calculations'!BU475&lt;&gt;"",COUNTIF('Calculations'!$BU$12:BU475,'Calculations'!BU475)=1),MAX('Calculations'!$BY$11:BY474)+1,0)</x:f>
        <x:v>0</x:v>
      </x:c>
      <x:c r="BZ475" s="4" t="str">
        <x:f>IF('Dashboard'!$E$67="What",'Calculations'!BO475,'Calculations'!BP475)</x:f>
      </x:c>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t="str">
        <x:f>IF(464&gt;MAX('Calculations'!$HI$13:$HI$512),"",INDEX('Calculations'!$HN$13:$HN$512,MATCH(464,'Calculations'!$HI$13:$HI$512,0)))</x:f>
      </x:c>
      <x:c r="DB475" s="4" t="str">
        <x:f>IF(464&gt;MAX('Calculations'!$HH$13:$HH$512),"",INDEX('Calculations'!$HJ$13:$HJ$512,MATCH(464,'Calculations'!$HH$13:$HH$512,0)))</x:f>
      </x:c>
      <x:c r="DC475" s="4" t="str">
        <x:f>IF(ROW()-11&gt;MAX('Calculations'!$BY$13:$BY$512),"",INDEX('Calculations'!$BU$13:$BU$512,MATCH(ROW()-11,'Calculations'!$BY$13:$BY$512,0)))</x:f>
      </x:c>
      <x:c r="DD475" s="4" t="str">
        <x:f>IF(464&gt;MAX('Calculations'!$IK$13:$IK$512),"",INDEX('Calculations'!$HK$13:$HK$512,MATCH(464,'Calculations'!$IK$13:$IK$512,0)))</x:f>
      </x:c>
      <x:c r="DE475" s="4" t="str">
        <x:f>'Calculations'!DC475</x:f>
      </x:c>
      <x:c r="DF475" s="4" t="str">
        <x:f>IF('Calculations'!DE475="","",COUNTIFS('Calculations'!$BN$13:$BN$512,1,'Calculations'!$BU$13:$BU$512,'Calculations'!DE475))</x:f>
      </x:c>
      <x:c r="DG475" s="4" t="str">
        <x:f>IF('Calculations'!DE475="","",COUNTIFS('Calculations'!$BN$13:$BN$512,1,'Calculations'!$BU$13:$BU$512,'Calculations'!DE475,'Calculations'!$BT$13:$BT$512,1))</x:f>
      </x:c>
      <x:c r="DH475" s="4" t="str">
        <x:f>IF('Calculations'!DE475="","",'Calculations'!DF475-'Calculations'!DG475)</x:f>
      </x:c>
      <x:c r="DI475" s="4" t="str">
        <x:f>IF(OR('Calculations'!DE475="",'Calculations'!DF475=0),"",'Calculations'!DG475/'Calculations'!DF475)</x:f>
      </x:c>
      <x:c r="DJ475" s="4" t="str">
        <x:f>IF('Calculations'!DE475="","",COUNTIFS('Calculations'!$BN$13:$BN$512,1,'Calculations'!$BU$13:$BU$512,'Calculations'!DE475,'Calculations'!$BT$13:$BT$512,1,'Calculations'!$EE$13:$EE$512,"High"))</x:f>
      </x:c>
      <x:c r="DK475" s="4" t="str">
        <x:f>IF('Calculations'!DE475="","",COUNTIFS('Calculations'!$BN$13:$BN$512,1,'Calculations'!$BU$13:$BU$512,'Calculations'!DE475,'Calculations'!$BT$13:$BT$512,1,'Calculations'!$EE$13:$EE$512,"Strong"))</x:f>
      </x:c>
      <x:c r="DL475" s="4" t="str">
        <x:f>IF('Calculations'!DE475="","",COUNTIFS('Calculations'!$BN$13:$BN$512,1,'Calculations'!$BU$13:$BU$512,'Calculations'!DE475,'Calculations'!$BT$13:$BT$512,1,'Calculations'!$EE$13:$EE$512,"Solid"))</x:f>
      </x:c>
      <x:c r="DM475" s="4" t="str">
        <x:f>IF('Calculations'!DE475="","",COUNTIFS('Calculations'!$BN$13:$BN$512,1,'Calculations'!$BU$13:$BU$512,'Calculations'!DE475,'Calculations'!$BT$13:$BT$512,1,'Calculations'!$EE$13:$EE$512,"Low"))</x:f>
      </x:c>
      <x:c r="DN475" s="4" t="str">
        <x:f>IF('Calculations'!DE475="","",COUNTIFS('Calculations'!$BN$13:$BN$512,1,'Calculations'!$BU$13:$BU$512,'Calculations'!DE475,'Calculations'!$EP$13:$EP$512,1))</x:f>
      </x:c>
      <x:c r="DO475" s="4" t="str">
        <x:f>IF(OR('Calculations'!DE475="",'Calculations'!DG475=0),"",('Calculations'!DJ475+'Calculations'!DK475)/'Calculations'!DG475)</x:f>
      </x:c>
      <x:c r="DP475" s="4" t="n">
        <x:f>IF(AND('Calculations'!DE475&lt;&gt;"",'Calculations'!DF475&gt;0),COUNTIF('Calculations'!$DF$12:DF475,"&gt;0"),0)</x:f>
        <x:v>0</x:v>
      </x:c>
      <x:c r="DQ475" s="4" t="str">
        <x:f>IF(464&gt;MAX('Calculations'!$HH$13:$HH$512),"",INDEX('Calculations'!$HF$13:$HF$512,MATCH(464,'Calculations'!$HH$13:$HH$512,0)))</x:f>
      </x:c>
      <x:c r="DR475" s="4" t="str">
        <x:f>IF(464&gt;MAX('Calculations'!$IK$13:$IK$512),"",INDEX('Calculations'!$HE$13:$HE$512,MATCH(464,'Calculations'!$IK$13:$IK$512,0)))</x:f>
      </x:c>
      <x:c r="DS475" s="4"/>
      <x:c r="DT475" s="4"/>
      <x:c r="DU475" s="4"/>
      <x:c r="DV475" s="4"/>
      <x:c r="DW475" s="4"/>
      <x:c r="DX475" s="4"/>
      <x:c r="DY475" s="4"/>
      <x:c r="DZ475" s="4"/>
      <x:c r="EA475" s="4"/>
      <x:c r="EB475" s="4"/>
      <x:c r="EC475" s="4"/>
      <x:c r="ED475" s="4"/>
      <x:c r="EE475" s="4" t="str">
        <x:f>IF('Calculations'!BT475=0,"Not Rated",IF(OR('Calculations'!BO475&gt;=4,'Calculations'!BP475&gt;=4),"Low",IF('Calculations'!BO475+'Calculations'!BP475&lt;=3,"High",IF('Calculations'!BO475+'Calculations'!BP475&lt;=4,"Strong","Solid"))))</x:f>
        <x:v>Not Rated</x:v>
      </x:c>
      <x:c r="EF475" s="4"/>
      <x:c r="EG475" s="4"/>
      <x:c r="EH475" s="4"/>
      <x:c r="EI475" s="4"/>
      <x:c r="EJ475" s="4"/>
      <x:c r="EK475" s="4"/>
      <x:c r="EL475" s="4"/>
      <x:c r="EM475" s="4" t="str">
        <x:f>IF(463&gt;'Calculations'!$JB$2000,"",INDEX('Calculations'!$JA$12:$JA$2000,MATCH(463,'Calculations'!$JB$12:$JB$2000,0)))</x:f>
      </x:c>
      <x:c r="EN475" s="4" t="n">
        <x:f>IF(OR('Calculations'!EM475="",'Calculations'!$AG$8&gt;0,AND('Calculations'!$EF$2&lt;&gt;"All",'Calculations'!HE475='Calculations'!$EF$2),AND('Calculations'!$EF$3&lt;&gt;"All",'Calculations'!HE475='Calculations'!$EF$3)),0,IF(OR('Dashboard'!$B$7="All",'Calculations'!HN475='Dashboard'!$B$7),IF('Calculations'!$EF$2="All",1,IF('Calculations'!HL475&gt;0,0,IF(COUNTIF('Calculations'!HO475:II475,"="&amp;SUBSTITUTE(SUBSTITUTE(SUBSTITUTE('Calculations'!$EF$2,"~","~~"),"*","~*"),"?","~?"))=0,0,IF('Calculations'!$EF$3="All",1,IF(COUNTIF('Calculations'!HO475:II475,"="&amp;SUBSTITUTE(SUBSTITUTE(SUBSTITUTE('Calculations'!$EF$3,"~","~~"),"*","~*"),"?","~?"))&gt;0,1,0))))),0))</x:f>
        <x:v>0</x:v>
      </x:c>
      <x:c r="EO475" s="4" t="str">
        <x:f>IF('Calculations'!IJ475="","",IF('Calculations'!IJ475="!UNRESOLVED","Unresolved hierarchy",IFERROR(INDEX('Calculations'!$HK$13:$HK$512,MATCH('Calculations'!IJ475,'Calculations'!$HE$13:$HE$512,0)),IFERROR(INDEX('Calculations'!$HJ$13:$HJ$512,MATCH('Calculations'!IJ475,'Calculations'!$HF$13:$HF$512,0)),'Calculations'!IJ475))))</x:f>
      </x:c>
      <x:c r="EP475" s="4" t="n">
        <x:f>IF(AND('Calculations'!EM475&lt;&gt;"",'Calculations'!HF475='Calculations'!IJ475),1,0)</x:f>
        <x:v>0</x:v>
      </x:c>
      <x:c r="EQ475" s="4"/>
      <x:c r="ER475" s="4"/>
      <x:c r="ES475" s="4"/>
      <x:c r="ET475" s="4"/>
      <x:c r="EU475" s="4"/>
      <x:c r="EV475" s="4"/>
      <x:c r="EW475" s="4"/>
      <x:c r="EX475" s="4"/>
      <x:c r="EY475" s="4"/>
      <x:c r="EZ475" s="4"/>
      <x:c r="FA475" s="4"/>
      <x:c r="FB475" s="4"/>
      <x:c r="FC475" s="4"/>
      <x:c r="FD475" s="4"/>
      <x:c r="FE475" s="4"/>
      <x:c r="FF475" s="4"/>
      <x:c r="FG475" s="4"/>
      <x:c r="FH475" s="4"/>
      <x:c r="FI475" s="4"/>
      <x:c r="FJ475" s="4"/>
      <x:c r="FK475" s="4"/>
      <x:c r="FL475" s="4"/>
      <x:c r="FM475" s="4"/>
      <x:c r="FN475" s="4"/>
      <x:c r="FO475" s="4"/>
      <x:c r="HE475" t="str">
        <x:f>IF('Calculations'!EM475="","",IF(IFERROR(IF(INDEX(INDIRECT("'WCM Calibration Final'!$A$1:$A$2000"),'Calculations'!$EM475)="","",TRIM(INDEX(INDIRECT("'WCM Calibration Final'!$A$1:$A$2000"),'Calculations'!$EM475)&amp;"")),"")&lt;&gt;"","G:"&amp;IFERROR(TEXT(1*INDEX(INDIRECT("'WCM Calibration Final'!$A$1:$A$2000"),'Calculations'!$EM475),"0"),UPPER(IFERROR(IF(INDEX(INDIRECT("'WCM Calibration Final'!$A$1:$A$2000"),'Calculations'!$EM475)="","",TRIM(INDEX(INDIRECT("'WCM Calibration Final'!$A$1:$A$2000"),'Calculations'!$EM475)&amp;"")),""))),IF(IFERROR(IF(INDEX(INDIRECT("'WCM Calibration Final'!$C$1:$C$2000"),'Calculations'!$EM475)="","",TRIM(INDEX(INDIRECT("'WCM Calibration Final'!$C$1:$C$2000"),'Calculations'!$EM475)&amp;"")),"")&lt;&gt;"","S:"&amp;UPPER(IFERROR(IF(INDEX(INDIRECT("'WCM Calibration Final'!$C$1:$C$2000"),'Calculations'!$EM475)="","",TRIM(INDEX(INDIRECT("'WCM Calibration Final'!$C$1:$C$2000"),'Calculations'!$EM475)&amp;"")),"")),"R:"&amp;'Calculations'!EM475)))</x:f>
      </x:c>
      <x:c r="HF475" t="str">
        <x:f>IF('Calculations'!EM475="","",IF(IFERROR(IF(INDEX(INDIRECT("'WCM Calibration Final'!$D$1:$D$2000"),'Calculations'!$EM475)="","",TRIM(INDEX(INDIRECT("'WCM Calibration Final'!$D$1:$D$2000"),'Calculations'!$EM475)&amp;"")),"")&lt;&gt;"","G:"&amp;IFERROR(TEXT(1*INDEX(INDIRECT("'WCM Calibration Final'!$D$1:$D$2000"),'Calculations'!$EM475),"0"),UPPER(IFERROR(IF(INDEX(INDIRECT("'WCM Calibration Final'!$D$1:$D$2000"),'Calculations'!$EM475)="","",TRIM(INDEX(INDIRECT("'WCM Calibration Final'!$D$1:$D$2000"),'Calculations'!$EM475)&amp;"")),""))),IF(IFERROR(IF(INDEX(INDIRECT("'WCM Calibration Final'!$E$1:$E$2000"),'Calculations'!$EM475)="","",TRIM(INDEX(INDIRECT("'WCM Calibration Final'!$E$1:$E$2000"),'Calculations'!$EM475)&amp;"")),"")="","",IF(COUNTIF('Calculations'!$HG$13:$HG$512,"="&amp;SUBSTITUTE(SUBSTITUTE(SUBSTITUTE(IFERROR(IF(INDEX(INDIRECT("'WCM Calibration Final'!$E$1:$E$2000"),'Calculations'!$EM475)="","",TRIM(INDEX(INDIRECT("'WCM Calibration Final'!$E$1:$E$2000"),'Calculations'!$EM475)&amp;"")),""),"~","~~"),"*","~*"),"?","~?"))=1,INDEX('Calculations'!$HE$13:$HE$512,MATCH(IFERROR(IF(INDEX(INDIRECT("'WCM Calibration Final'!$E$1:$E$2000"),'Calculations'!$EM475)="","",TRIM(INDEX(INDIRECT("'WCM Calibration Final'!$E$1:$E$2000"),'Calculations'!$EM475)&amp;"")),""),'Calculations'!$HG$13:$HG$512,0)),IF(COUNTIF('Calculations'!$HG$13:$HG$512,"="&amp;SUBSTITUTE(SUBSTITUTE(SUBSTITUTE(IFERROR(IF(INDEX(INDIRECT("'WCM Calibration Final'!$E$1:$E$2000"),'Calculations'!$EM475)="","",TRIM(INDEX(INDIRECT("'WCM Calibration Final'!$E$1:$E$2000"),'Calculations'!$EM475)&amp;"")),""),"~","~~"),"*","~*"),"?","~?"))&gt;1,"!AMBIG","X:"&amp;IFERROR(IF(INDEX(INDIRECT("'WCM Calibration Final'!$E$1:$E$2000"),'Calculations'!$EM475)="","",TRIM(INDEX(INDIRECT("'WCM Calibration Final'!$E$1:$E$2000"),'Calculations'!$EM475)&amp;"")),""))))))</x:f>
      </x:c>
      <x:c r="HG475" t="str">
        <x:f>IF('Calculations'!EM475="","",IFERROR(IF(INDEX(INDIRECT("'WCM Calibration Final'!$B$1:$B$2000"),'Calculations'!$EM475)="","",TRIM(INDEX(INDIRECT("'WCM Calibration Final'!$B$1:$B$2000"),'Calculations'!$EM475)&amp;"")),""))</x:f>
      </x:c>
      <x:c r="HH475" t="n">
        <x:f>IF(AND('Calculations'!JC475&gt;0,COUNTIF('Calculations'!$HF$12:HF475,"="&amp;SUBSTITUTE(SUBSTITUTE(SUBSTITUTE('Calculations'!HF475,"~","~~"),"*","~*"),"?","~?"))=1),MAX('Calculations'!$HH$12:HH474)+1,0)</x:f>
        <x:v>0</x:v>
      </x:c>
      <x:c r="HI475" t="n">
        <x:f>IF(AND('Calculations'!HN475&lt;&gt;"",COUNTIF('Calculations'!$HN$12:HN475,"="&amp;SUBSTITUTE(SUBSTITUTE(SUBSTITUTE('Calculations'!HN475,"~","~~"),"*","~*"),"?","~?"))=1),MAX('Calculations'!$HI$12:HI474)+1,0)</x:f>
        <x:v>0</x:v>
      </x:c>
      <x:c r="HJ475" t="str">
        <x:f>IF('Calculations'!HF475="","",IF(COUNTIF('Calculations'!$HE$13:$HE$512,"="&amp;SUBSTITUTE(SUBSTITUTE(SUBSTITUTE('Calculations'!HF475,"~","~~"),"*","~*"),"?","~?"))=1,INDEX('Calculations'!$HK$13:$HK$512,MATCH('Calculations'!HF475,'Calculations'!$HE$13:$HE$512,0)),IFERROR(IF(INDEX(INDIRECT("'WCM Calibration Final'!$E$1:$E$2000"),'Calculations'!$EM475)="","",TRIM(INDEX(INDIRECT("'WCM Calibration Final'!$E$1:$E$2000"),'Calculations'!$EM475)&amp;"")),"")&amp;" ["&amp;'Calculations'!HF475&amp;"]"))</x:f>
      </x:c>
      <x:c r="HK475" t="str">
        <x:f>IF('Calculations'!EM475="","",'Calculations'!HG475&amp;" ["&amp;'Calculations'!HE475&amp;"]")</x:f>
      </x:c>
      <x:c r="HL475" t="n">
        <x:f>IF('Calculations'!EM475="",0,IF(OR('Calculations'!II475&lt;&gt;"",COUNTIF('Calculations'!$HE$13:$HE$512,"="&amp;SUBSTITUTE(SUBSTITUTE(SUBSTITUTE('Calculations'!HE475,"~","~~"),"*","~*"),"?","~?"))&gt;1),1,0))</x:f>
        <x:v>0</x:v>
      </x:c>
      <x:c r="HM475" t="str">
        <x:f>IF('Calculations'!EM475="","",IF('Calculations'!HL475=1,"!UNRESOLVED",IF('Calculations'!IH475&lt;&gt;"",'Calculations'!IH475,IF('Calculations'!IG475&lt;&gt;"",'Calculations'!IG475,IF('Calculations'!IF475&lt;&gt;"",'Calculations'!IF475,IF('Calculations'!IE475&lt;&gt;"",'Calculations'!IE475,IF('Calculations'!ID475&lt;&gt;"",'Calculations'!ID475,IF('Calculations'!IC475&lt;&gt;"",'Calculations'!IC475,IF('Calculations'!IB475&lt;&gt;"",'Calculations'!IB475,IF('Calculations'!IA475&lt;&gt;"",'Calculations'!IA475,IF('Calculations'!HZ475&lt;&gt;"",'Calculations'!HZ475,IF('Calculations'!HY475&lt;&gt;"",'Calculations'!HY475,IF('Calculations'!HX475&lt;&gt;"",'Calculations'!HX475,IF('Calculations'!HW475&lt;&gt;"",'Calculations'!HW475,IF('Calculations'!HV475&lt;&gt;"",'Calculations'!HV475,IF('Calculations'!HU475&lt;&gt;"",'Calculations'!HU475,IF('Calculations'!HT475&lt;&gt;"",'Calculations'!HT475,IF('Calculations'!HS475&lt;&gt;"",'Calculations'!HS475,IF('Calculations'!HR475&lt;&gt;"",'Calculations'!HR475,IF('Calculations'!HQ475&lt;&gt;"",'Calculations'!HQ475,IF('Calculations'!HP475&lt;&gt;"",'Calculations'!HP475,IF('Calculations'!HO475&lt;&gt;"",'Calculations'!HO475,'Calculations'!HE475))))))))))))))))))))))</x:f>
      </x:c>
      <x:c r="HN475" t="str">
        <x:f>IF('Calculations'!EM475="","",IF(IFERROR(IF(INDEX(INDIRECT("'WCM Calibration Final'!$F$1:$F$2000"),'Calculations'!$EM475)="","",TRIM(INDEX(INDIRECT("'WCM Calibration Final'!$F$1:$F$2000"),'Calculations'!$EM475)&amp;"")),"")="","(Blank)",IFERROR(IF(INDEX(INDIRECT("'WCM Calibration Final'!$F$1:$F$2000"),'Calculations'!$EM475)="","",TRIM(INDEX(INDIRECT("'WCM Calibration Final'!$F$1:$F$2000"),'Calculations'!$EM475)&amp;"")),"")))</x:f>
      </x:c>
      <x:c r="HO475" t="str">
        <x:f>'Calculations'!HF475</x:f>
      </x:c>
      <x:c r="HP475" t="str">
        <x:f>IF('Calculations'!HO475="","",IF('Calculations'!HO475="!AMBIG","!AMBIG",IF(COUNTIF('Calculations'!$HE$13:$HE$512,"="&amp;SUBSTITUTE(SUBSTITUTE(SUBSTITUTE('Calculations'!HO475,"~","~~"),"*","~*"),"?","~?"))&gt;1,"!AMBIG",IFERROR(INDEX('Calculations'!$HF$13:$HF$512,MATCH('Calculations'!HO475,'Calculations'!$HE$13:$HE$512,0)),""))))</x:f>
      </x:c>
      <x:c r="HQ475" t="str">
        <x:f>IF('Calculations'!HP475="","",IF('Calculations'!HP475="!AMBIG","!AMBIG",IF(COUNTIF('Calculations'!$HE$13:$HE$512,"="&amp;SUBSTITUTE(SUBSTITUTE(SUBSTITUTE('Calculations'!HP475,"~","~~"),"*","~*"),"?","~?"))&gt;1,"!AMBIG",IFERROR(INDEX('Calculations'!$HF$13:$HF$512,MATCH('Calculations'!HP475,'Calculations'!$HE$13:$HE$512,0)),""))))</x:f>
      </x:c>
      <x:c r="HR475" t="str">
        <x:f>IF('Calculations'!HQ475="","",IF('Calculations'!HQ475="!AMBIG","!AMBIG",IF(COUNTIF('Calculations'!$HE$13:$HE$512,"="&amp;SUBSTITUTE(SUBSTITUTE(SUBSTITUTE('Calculations'!HQ475,"~","~~"),"*","~*"),"?","~?"))&gt;1,"!AMBIG",IFERROR(INDEX('Calculations'!$HF$13:$HF$512,MATCH('Calculations'!HQ475,'Calculations'!$HE$13:$HE$512,0)),""))))</x:f>
      </x:c>
      <x:c r="HS475" t="str">
        <x:f>IF('Calculations'!HR475="","",IF('Calculations'!HR475="!AMBIG","!AMBIG",IF(COUNTIF('Calculations'!$HE$13:$HE$512,"="&amp;SUBSTITUTE(SUBSTITUTE(SUBSTITUTE('Calculations'!HR475,"~","~~"),"*","~*"),"?","~?"))&gt;1,"!AMBIG",IFERROR(INDEX('Calculations'!$HF$13:$HF$512,MATCH('Calculations'!HR475,'Calculations'!$HE$13:$HE$512,0)),""))))</x:f>
      </x:c>
      <x:c r="HT475" t="str">
        <x:f>IF('Calculations'!HS475="","",IF('Calculations'!HS475="!AMBIG","!AMBIG",IF(COUNTIF('Calculations'!$HE$13:$HE$512,"="&amp;SUBSTITUTE(SUBSTITUTE(SUBSTITUTE('Calculations'!HS475,"~","~~"),"*","~*"),"?","~?"))&gt;1,"!AMBIG",IFERROR(INDEX('Calculations'!$HF$13:$HF$512,MATCH('Calculations'!HS475,'Calculations'!$HE$13:$HE$512,0)),""))))</x:f>
      </x:c>
      <x:c r="HU475" t="str">
        <x:f>IF('Calculations'!HT475="","",IF('Calculations'!HT475="!AMBIG","!AMBIG",IF(COUNTIF('Calculations'!$HE$13:$HE$512,"="&amp;SUBSTITUTE(SUBSTITUTE(SUBSTITUTE('Calculations'!HT475,"~","~~"),"*","~*"),"?","~?"))&gt;1,"!AMBIG",IFERROR(INDEX('Calculations'!$HF$13:$HF$512,MATCH('Calculations'!HT475,'Calculations'!$HE$13:$HE$512,0)),""))))</x:f>
      </x:c>
      <x:c r="HV475" t="str">
        <x:f>IF('Calculations'!HU475="","",IF('Calculations'!HU475="!AMBIG","!AMBIG",IF(COUNTIF('Calculations'!$HE$13:$HE$512,"="&amp;SUBSTITUTE(SUBSTITUTE(SUBSTITUTE('Calculations'!HU475,"~","~~"),"*","~*"),"?","~?"))&gt;1,"!AMBIG",IFERROR(INDEX('Calculations'!$HF$13:$HF$512,MATCH('Calculations'!HU475,'Calculations'!$HE$13:$HE$512,0)),""))))</x:f>
      </x:c>
      <x:c r="HW475" t="str">
        <x:f>IF('Calculations'!HV475="","",IF('Calculations'!HV475="!AMBIG","!AMBIG",IF(COUNTIF('Calculations'!$HE$13:$HE$512,"="&amp;SUBSTITUTE(SUBSTITUTE(SUBSTITUTE('Calculations'!HV475,"~","~~"),"*","~*"),"?","~?"))&gt;1,"!AMBIG",IFERROR(INDEX('Calculations'!$HF$13:$HF$512,MATCH('Calculations'!HV475,'Calculations'!$HE$13:$HE$512,0)),""))))</x:f>
      </x:c>
      <x:c r="HX475" t="str">
        <x:f>IF('Calculations'!HW475="","",IF('Calculations'!HW475="!AMBIG","!AMBIG",IF(COUNTIF('Calculations'!$HE$13:$HE$512,"="&amp;SUBSTITUTE(SUBSTITUTE(SUBSTITUTE('Calculations'!HW475,"~","~~"),"*","~*"),"?","~?"))&gt;1,"!AMBIG",IFERROR(INDEX('Calculations'!$HF$13:$HF$512,MATCH('Calculations'!HW475,'Calculations'!$HE$13:$HE$512,0)),""))))</x:f>
      </x:c>
      <x:c r="HY475" t="str">
        <x:f>IF('Calculations'!HX475="","",IF('Calculations'!HX475="!AMBIG","!AMBIG",IF(COUNTIF('Calculations'!$HE$13:$HE$512,"="&amp;SUBSTITUTE(SUBSTITUTE(SUBSTITUTE('Calculations'!HX475,"~","~~"),"*","~*"),"?","~?"))&gt;1,"!AMBIG",IFERROR(INDEX('Calculations'!$HF$13:$HF$512,MATCH('Calculations'!HX475,'Calculations'!$HE$13:$HE$512,0)),""))))</x:f>
      </x:c>
      <x:c r="HZ475" t="str">
        <x:f>IF('Calculations'!HY475="","",IF('Calculations'!HY475="!AMBIG","!AMBIG",IF(COUNTIF('Calculations'!$HE$13:$HE$512,"="&amp;SUBSTITUTE(SUBSTITUTE(SUBSTITUTE('Calculations'!HY475,"~","~~"),"*","~*"),"?","~?"))&gt;1,"!AMBIG",IFERROR(INDEX('Calculations'!$HF$13:$HF$512,MATCH('Calculations'!HY475,'Calculations'!$HE$13:$HE$512,0)),""))))</x:f>
      </x:c>
      <x:c r="IA475" t="str">
        <x:f>IF('Calculations'!HZ475="","",IF('Calculations'!HZ475="!AMBIG","!AMBIG",IF(COUNTIF('Calculations'!$HE$13:$HE$512,"="&amp;SUBSTITUTE(SUBSTITUTE(SUBSTITUTE('Calculations'!HZ475,"~","~~"),"*","~*"),"?","~?"))&gt;1,"!AMBIG",IFERROR(INDEX('Calculations'!$HF$13:$HF$512,MATCH('Calculations'!HZ475,'Calculations'!$HE$13:$HE$512,0)),""))))</x:f>
      </x:c>
      <x:c r="IB475" t="str">
        <x:f>IF('Calculations'!IA475="","",IF('Calculations'!IA475="!AMBIG","!AMBIG",IF(COUNTIF('Calculations'!$HE$13:$HE$512,"="&amp;SUBSTITUTE(SUBSTITUTE(SUBSTITUTE('Calculations'!IA475,"~","~~"),"*","~*"),"?","~?"))&gt;1,"!AMBIG",IFERROR(INDEX('Calculations'!$HF$13:$HF$512,MATCH('Calculations'!IA475,'Calculations'!$HE$13:$HE$512,0)),""))))</x:f>
      </x:c>
      <x:c r="IC475" t="str">
        <x:f>IF('Calculations'!IB475="","",IF('Calculations'!IB475="!AMBIG","!AMBIG",IF(COUNTIF('Calculations'!$HE$13:$HE$512,"="&amp;SUBSTITUTE(SUBSTITUTE(SUBSTITUTE('Calculations'!IB475,"~","~~"),"*","~*"),"?","~?"))&gt;1,"!AMBIG",IFERROR(INDEX('Calculations'!$HF$13:$HF$512,MATCH('Calculations'!IB475,'Calculations'!$HE$13:$HE$512,0)),""))))</x:f>
      </x:c>
      <x:c r="ID475" t="str">
        <x:f>IF('Calculations'!IC475="","",IF('Calculations'!IC475="!AMBIG","!AMBIG",IF(COUNTIF('Calculations'!$HE$13:$HE$512,"="&amp;SUBSTITUTE(SUBSTITUTE(SUBSTITUTE('Calculations'!IC475,"~","~~"),"*","~*"),"?","~?"))&gt;1,"!AMBIG",IFERROR(INDEX('Calculations'!$HF$13:$HF$512,MATCH('Calculations'!IC475,'Calculations'!$HE$13:$HE$512,0)),""))))</x:f>
      </x:c>
      <x:c r="IE475" t="str">
        <x:f>IF('Calculations'!ID475="","",IF('Calculations'!ID475="!AMBIG","!AMBIG",IF(COUNTIF('Calculations'!$HE$13:$HE$512,"="&amp;SUBSTITUTE(SUBSTITUTE(SUBSTITUTE('Calculations'!ID475,"~","~~"),"*","~*"),"?","~?"))&gt;1,"!AMBIG",IFERROR(INDEX('Calculations'!$HF$13:$HF$512,MATCH('Calculations'!ID475,'Calculations'!$HE$13:$HE$512,0)),""))))</x:f>
      </x:c>
      <x:c r="IF475" t="str">
        <x:f>IF('Calculations'!IE475="","",IF('Calculations'!IE475="!AMBIG","!AMBIG",IF(COUNTIF('Calculations'!$HE$13:$HE$512,"="&amp;SUBSTITUTE(SUBSTITUTE(SUBSTITUTE('Calculations'!IE475,"~","~~"),"*","~*"),"?","~?"))&gt;1,"!AMBIG",IFERROR(INDEX('Calculations'!$HF$13:$HF$512,MATCH('Calculations'!IE475,'Calculations'!$HE$13:$HE$512,0)),""))))</x:f>
      </x:c>
      <x:c r="IG475" t="str">
        <x:f>IF('Calculations'!IF475="","",IF('Calculations'!IF475="!AMBIG","!AMBIG",IF(COUNTIF('Calculations'!$HE$13:$HE$512,"="&amp;SUBSTITUTE(SUBSTITUTE(SUBSTITUTE('Calculations'!IF475,"~","~~"),"*","~*"),"?","~?"))&gt;1,"!AMBIG",IFERROR(INDEX('Calculations'!$HF$13:$HF$512,MATCH('Calculations'!IF475,'Calculations'!$HE$13:$HE$512,0)),""))))</x:f>
      </x:c>
      <x:c r="IH475" t="str">
        <x:f>IF('Calculations'!IG475="","",IF('Calculations'!IG475="!AMBIG","!AMBIG",IF(COUNTIF('Calculations'!$HE$13:$HE$512,"="&amp;SUBSTITUTE(SUBSTITUTE(SUBSTITUTE('Calculations'!IG475,"~","~~"),"*","~*"),"?","~?"))&gt;1,"!AMBIG",IFERROR(INDEX('Calculations'!$HF$13:$HF$512,MATCH('Calculations'!IG475,'Calculations'!$HE$13:$HE$512,0)),""))))</x:f>
      </x:c>
      <x:c r="II475" t="str">
        <x:f>IF('Calculations'!IH475="","",IF('Calculations'!IH475="!AMBIG","!AMBIG",IF(COUNTIF('Calculations'!$HE$13:$HE$512,"="&amp;SUBSTITUTE(SUBSTITUTE(SUBSTITUTE('Calculations'!IH475,"~","~~"),"*","~*"),"?","~?"))&gt;1,"!AMBIG",IFERROR(INDEX('Calculations'!$HF$13:$HF$512,MATCH('Calculations'!IH475,'Calculations'!$HE$13:$HE$512,0)),""))))</x:f>
      </x:c>
      <x:c r="IJ475" t="str">
        <x:f>IF('Calculations'!EM475="","",IF('Calculations'!$EF$2="All",'Calculations'!HM475,IF('Calculations'!HL475=1,"",IFERROR(IF(MATCH('Calculations'!$EF$2,'Calculations'!HO475:II475,0)=1,'Calculations'!HE475,INDEX('Calculations'!HO475:II475,1,MATCH('Calculations'!$EF$2,'Calculations'!HO475:II475,0)-1)),""))))</x:f>
      </x:c>
      <x:c r="IK475" t="n">
        <x:f>IF(AND('Calculations'!EM475&lt;&gt;"",'Calculations'!$EF$2&lt;&gt;"All",'Calculations'!HF475='Calculations'!$EF$2,'Calculations'!HL475=0,'Calculations'!JD475&gt;0),MAX('Calculations'!$IK$12:IK474)+1,0)</x:f>
        <x:v>0</x:v>
      </x:c>
      <x:c r="JA475" t="n">
        <x:f>IF(OR(IFERROR(INDIRECT("'WCM Calibration Final'!$A$475")&lt;&gt;"",FALSE),IFERROR(INDIRECT("'WCM Calibration Final'!$B$475")&lt;&gt;"",FALSE),IFERROR(INDIRECT("'WCM Calibration Final'!$C$475")&lt;&gt;"",FALSE)),475,0)</x:f>
        <x:v>0</x:v>
      </x:c>
      <x:c r="JB475" t="n">
        <x:f>'Calculations'!JB474+IF('Calculations'!JA475&gt;0,1,0)</x:f>
        <x:v>0</x:v>
      </x:c>
      <x:c r="JC475" t="n">
        <x:f>IF(OR('Calculations'!HF475="",'Calculations'!HF475="!AMBIG"),0,IF('Dashboard'!$B$7="All",1,COUNTIFS('Calculations'!$HO$13:$HO$512,"="&amp;SUBSTITUTE(SUBSTITUTE(SUBSTITUTE('Calculations'!HF475,"~","~~"),"*","~*"),"?","~?"),'Calculations'!$HN$13:$HN$512,"="&amp;SUBSTITUTE(SUBSTITUTE(SUBSTITUTE('Dashboard'!$B$7,"~","~~"),"*","~*"),"?","~?"))+COUNTIFS('Calculations'!$HP$13:$HP$512,"="&amp;SUBSTITUTE(SUBSTITUTE(SUBSTITUTE('Calculations'!HF475,"~","~~"),"*","~*"),"?","~?"),'Calculations'!$HN$13:$HN$512,"="&amp;SUBSTITUTE(SUBSTITUTE(SUBSTITUTE('Dashboard'!$B$7,"~","~~"),"*","~*"),"?","~?"))+COUNTIFS('Calculations'!$HQ$13:$HQ$512,"="&amp;SUBSTITUTE(SUBSTITUTE(SUBSTITUTE('Calculations'!HF475,"~","~~"),"*","~*"),"?","~?"),'Calculations'!$HN$13:$HN$512,"="&amp;SUBSTITUTE(SUBSTITUTE(SUBSTITUTE('Dashboard'!$B$7,"~","~~"),"*","~*"),"?","~?"))+COUNTIFS('Calculations'!$HR$13:$HR$512,"="&amp;SUBSTITUTE(SUBSTITUTE(SUBSTITUTE('Calculations'!HF475,"~","~~"),"*","~*"),"?","~?"),'Calculations'!$HN$13:$HN$512,"="&amp;SUBSTITUTE(SUBSTITUTE(SUBSTITUTE('Dashboard'!$B$7,"~","~~"),"*","~*"),"?","~?"))+COUNTIFS('Calculations'!$HS$13:$HS$512,"="&amp;SUBSTITUTE(SUBSTITUTE(SUBSTITUTE('Calculations'!HF475,"~","~~"),"*","~*"),"?","~?"),'Calculations'!$HN$13:$HN$512,"="&amp;SUBSTITUTE(SUBSTITUTE(SUBSTITUTE('Dashboard'!$B$7,"~","~~"),"*","~*"),"?","~?"))+COUNTIFS('Calculations'!$HT$13:$HT$512,"="&amp;SUBSTITUTE(SUBSTITUTE(SUBSTITUTE('Calculations'!HF475,"~","~~"),"*","~*"),"?","~?"),'Calculations'!$HN$13:$HN$512,"="&amp;SUBSTITUTE(SUBSTITUTE(SUBSTITUTE('Dashboard'!$B$7,"~","~~"),"*","~*"),"?","~?"))+COUNTIFS('Calculations'!$HU$13:$HU$512,"="&amp;SUBSTITUTE(SUBSTITUTE(SUBSTITUTE('Calculations'!HF475,"~","~~"),"*","~*"),"?","~?"),'Calculations'!$HN$13:$HN$512,"="&amp;SUBSTITUTE(SUBSTITUTE(SUBSTITUTE('Dashboard'!$B$7,"~","~~"),"*","~*"),"?","~?"))+COUNTIFS('Calculations'!$HV$13:$HV$512,"="&amp;SUBSTITUTE(SUBSTITUTE(SUBSTITUTE('Calculations'!HF475,"~","~~"),"*","~*"),"?","~?"),'Calculations'!$HN$13:$HN$512,"="&amp;SUBSTITUTE(SUBSTITUTE(SUBSTITUTE('Dashboard'!$B$7,"~","~~"),"*","~*"),"?","~?"))+COUNTIFS('Calculations'!$HW$13:$HW$512,"="&amp;SUBSTITUTE(SUBSTITUTE(SUBSTITUTE('Calculations'!HF475,"~","~~"),"*","~*"),"?","~?"),'Calculations'!$HN$13:$HN$512,"="&amp;SUBSTITUTE(SUBSTITUTE(SUBSTITUTE('Dashboard'!$B$7,"~","~~"),"*","~*"),"?","~?"))+COUNTIFS('Calculations'!$HX$13:$HX$512,"="&amp;SUBSTITUTE(SUBSTITUTE(SUBSTITUTE('Calculations'!HF475,"~","~~"),"*","~*"),"?","~?"),'Calculations'!$HN$13:$HN$512,"="&amp;SUBSTITUTE(SUBSTITUTE(SUBSTITUTE('Dashboard'!$B$7,"~","~~"),"*","~*"),"?","~?"))+COUNTIFS('Calculations'!$HY$13:$HY$512,"="&amp;SUBSTITUTE(SUBSTITUTE(SUBSTITUTE('Calculations'!HF475,"~","~~"),"*","~*"),"?","~?"),'Calculations'!$HN$13:$HN$512,"="&amp;SUBSTITUTE(SUBSTITUTE(SUBSTITUTE('Dashboard'!$B$7,"~","~~"),"*","~*"),"?","~?"))+COUNTIFS('Calculations'!$HZ$13:$HZ$512,"="&amp;SUBSTITUTE(SUBSTITUTE(SUBSTITUTE('Calculations'!HF475,"~","~~"),"*","~*"),"?","~?"),'Calculations'!$HN$13:$HN$512,"="&amp;SUBSTITUTE(SUBSTITUTE(SUBSTITUTE('Dashboard'!$B$7,"~","~~"),"*","~*"),"?","~?"))+COUNTIFS('Calculations'!$IA$13:$IA$512,"="&amp;SUBSTITUTE(SUBSTITUTE(SUBSTITUTE('Calculations'!HF475,"~","~~"),"*","~*"),"?","~?"),'Calculations'!$HN$13:$HN$512,"="&amp;SUBSTITUTE(SUBSTITUTE(SUBSTITUTE('Dashboard'!$B$7,"~","~~"),"*","~*"),"?","~?"))+COUNTIFS('Calculations'!$IB$13:$IB$512,"="&amp;SUBSTITUTE(SUBSTITUTE(SUBSTITUTE('Calculations'!HF475,"~","~~"),"*","~*"),"?","~?"),'Calculations'!$HN$13:$HN$512,"="&amp;SUBSTITUTE(SUBSTITUTE(SUBSTITUTE('Dashboard'!$B$7,"~","~~"),"*","~*"),"?","~?"))+COUNTIFS('Calculations'!$IC$13:$IC$512,"="&amp;SUBSTITUTE(SUBSTITUTE(SUBSTITUTE('Calculations'!HF475,"~","~~"),"*","~*"),"?","~?"),'Calculations'!$HN$13:$HN$512,"="&amp;SUBSTITUTE(SUBSTITUTE(SUBSTITUTE('Dashboard'!$B$7,"~","~~"),"*","~*"),"?","~?"))+COUNTIFS('Calculations'!$ID$13:$ID$512,"="&amp;SUBSTITUTE(SUBSTITUTE(SUBSTITUTE('Calculations'!HF475,"~","~~"),"*","~*"),"?","~?"),'Calculations'!$HN$13:$HN$512,"="&amp;SUBSTITUTE(SUBSTITUTE(SUBSTITUTE('Dashboard'!$B$7,"~","~~"),"*","~*"),"?","~?"))+COUNTIFS('Calculations'!$IE$13:$IE$512,"="&amp;SUBSTITUTE(SUBSTITUTE(SUBSTITUTE('Calculations'!HF475,"~","~~"),"*","~*"),"?","~?"),'Calculations'!$HN$13:$HN$512,"="&amp;SUBSTITUTE(SUBSTITUTE(SUBSTITUTE('Dashboard'!$B$7,"~","~~"),"*","~*"),"?","~?"))+COUNTIFS('Calculations'!$IF$13:$IF$512,"="&amp;SUBSTITUTE(SUBSTITUTE(SUBSTITUTE('Calculations'!HF475,"~","~~"),"*","~*"),"?","~?"),'Calculations'!$HN$13:$HN$512,"="&amp;SUBSTITUTE(SUBSTITUTE(SUBSTITUTE('Dashboard'!$B$7,"~","~~"),"*","~*"),"?","~?"))+COUNTIFS('Calculations'!$IG$13:$IG$512,"="&amp;SUBSTITUTE(SUBSTITUTE(SUBSTITUTE('Calculations'!HF475,"~","~~"),"*","~*"),"?","~?"),'Calculations'!$HN$13:$HN$512,"="&amp;SUBSTITUTE(SUBSTITUTE(SUBSTITUTE('Dashboard'!$B$7,"~","~~"),"*","~*"),"?","~?"))+COUNTIFS('Calculations'!$IH$13:$IH$512,"="&amp;SUBSTITUTE(SUBSTITUTE(SUBSTITUTE('Calculations'!HF475,"~","~~"),"*","~*"),"?","~?"),'Calculations'!$HN$13:$HN$512,"="&amp;SUBSTITUTE(SUBSTITUTE(SUBSTITUTE('Dashboard'!$B$7,"~","~~"),"*","~*"),"?","~?"))))</x:f>
        <x:v>0</x:v>
      </x:c>
      <x:c r="JD475" t="n">
        <x:f>IF('Calculations'!EM475="",0,IF('Dashboard'!$B$7="All",1,IF('Calculations'!HN475='Dashboard'!$B$7,1,0)+IFERROR(INDEX('Calculations'!$JC$13:$JC$512,MATCH('Calculations'!HE475,'Calculations'!$HF$13:$HF$512,0)),0)))</x:f>
        <x:v>0</x:v>
      </x:c>
      <x:c r="JE475" t="n">
        <x:f>IF(AND('Calculations'!EM475&lt;&gt;"",'Calculations'!$JJ$2&lt;&gt;"All",'Calculations'!$JJ$2&lt;&gt;"",'Calculations'!HF475='Calculations'!$JJ$2,'Calculations'!HL475=0,'Calculations'!JD475&gt;0),MAX('Calculations'!$JE$12:JE474)+1,0)</x:f>
        <x:v>0</x:v>
      </x:c>
      <x:c r="JF475" t="str">
        <x:f>IF('Calculations'!EM475="","",IFERROR(IF(INDEX(INDIRECT("'WCM Calibration Final'!$G$1:$G$2000"),'Calculations'!$EM475)="","",TRIM(INDEX(INDIRECT("'WCM Calibration Final'!$G$1:$G$2000"),'Calculations'!$EM475)&amp;"")),""))</x:f>
      </x:c>
      <x:c r="JQ475" t="n">
        <x:f>IF(OR('Calculations'!BM475=0,NOT('Calculations'!$AG$2),'Calculations'!$AG$8&gt;0),0,IF(OR('Dashboard'!$B$7="All",'Calculations'!HN475='Dashboard'!$B$7),IF('Calculations'!$JJ$2="All",1,IF(AND('Calculations'!HF475='Calculations'!$JJ$2,'Calculations'!HL475=0),1,0)),0))</x:f>
        <x:v>0</x:v>
      </x:c>
    </x:row>
    <x:row r="476">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t="n">
        <x:f>IF('Calculations'!$EM476="",0,IF(OR(IFERROR(INDEX(INDIRECT("'WCM Calibration Final'!$A$1:$A$2000"),'Calculations'!$EM476)&lt;&gt;"",FALSE),IFERROR(INDEX(INDIRECT("'WCM Calibration Final'!$B$1:$B$2000"),'Calculations'!$EM476)&lt;&gt;"",FALSE),IFERROR(INDEX(INDIRECT("'WCM Calibration Final'!$C$1:$C$2000"),'Calculations'!$EM476)&lt;&gt;"",FALSE)),1,0))</x:f>
        <x:v>0</x:v>
      </x:c>
      <x:c r="BN476" s="4" t="n">
        <x:f>IF(AND('Calculations'!BM476=1,'Calculations'!$AG$2,'Calculations'!$EN476=1),1,0)</x:f>
        <x:v>0</x:v>
      </x:c>
      <x:c r="BO476" s="4" t="str">
        <x:f>IF('Calculations'!BM476=0,"",IFERROR(IF(AND(VALUE(INDEX(INDIRECT("'WCM Calibration Final'!$K$1:$K$2000"),'Calculations'!$EM476))&gt;=1,VALUE(INDEX(INDIRECT("'WCM Calibration Final'!$K$1:$K$2000"),'Calculations'!$EM476))&lt;=4,MOD(VALUE(INDEX(INDIRECT("'WCM Calibration Final'!$K$1:$K$2000"),'Calculations'!$EM476)),1)=0),VALUE(INDEX(INDIRECT("'WCM Calibration Final'!$K$1:$K$2000"),'Calculations'!$EM476)),""),""))</x:f>
      </x:c>
      <x:c r="BP476" s="4" t="str">
        <x:f>IF('Calculations'!BM476=0,"",IFERROR(IF(AND(VALUE(INDEX(INDIRECT("'WCM Calibration Final'!$L$1:$L$2000"),'Calculations'!$EM476))&gt;=1,VALUE(INDEX(INDIRECT("'WCM Calibration Final'!$L$1:$L$2000"),'Calculations'!$EM476))&lt;=4,MOD(VALUE(INDEX(INDIRECT("'WCM Calibration Final'!$L$1:$L$2000"),'Calculations'!$EM476)),1)=0),VALUE(INDEX(INDIRECT("'WCM Calibration Final'!$L$1:$L$2000"),'Calculations'!$EM476)),""),""))</x:f>
      </x:c>
      <x:c r="BQ476" s="4"/>
      <x:c r="BR476" s="4"/>
      <x:c r="BS476" s="4"/>
      <x:c r="BT476" s="4" t="n">
        <x:f>IF(AND('Calculations'!BM476=1,ISNUMBER('Calculations'!BO476),ISNUMBER('Calculations'!BP476)),1,0)</x:f>
        <x:v>0</x:v>
      </x:c>
      <x:c r="BU476" s="4" t="str">
        <x:f>IF('Calculations'!BM476=0,"",'Calculations'!$EO476)</x:f>
      </x:c>
      <x:c r="BV476" s="4" t="str">
        <x:f>IF('Calculations'!BM476=0,"",IFERROR(IF(OR(INDEX(INDIRECT("'WCM Calibration Final'!$H$1:$H$2000"),'Calculations'!$EM476)="MANAGING DIRECTOR",INDEX(INDIRECT("'WCM Calibration Final'!$H$1:$H$2000"),'Calculations'!$EM476)="DIRECTOR",INDEX(INDIRECT("'WCM Calibration Final'!$H$1:$H$2000"),'Calculations'!$EM476)="SENIOR VICE PRESIDENT",INDEX(INDIRECT("'WCM Calibration Final'!$H$1:$H$2000"),'Calculations'!$EM476)="VICE PRESIDENT",INDEX(INDIRECT("'WCM Calibration Final'!$H$1:$H$2000"),'Calculations'!$EM476)="ASSISTANT VICE PRESIDENT",INDEX(INDIRECT("'WCM Calibration Final'!$H$1:$H$2000"),'Calculations'!$EM476)="OFFICER"),UPPER(INDEX(INDIRECT("'WCM Calibration Final'!$H$1:$H$2000"),'Calculations'!$EM476)),"Other"),"Other"))</x:f>
      </x:c>
      <x:c r="BW476" s="4"/>
      <x:c r="BX476" s="4"/>
      <x:c r="BY476" s="4" t="n">
        <x:f>IF(AND('Calculations'!BM476=1,'Calculations'!BU476&lt;&gt;"",COUNTIF('Calculations'!$BU$12:BU476,'Calculations'!BU476)=1),MAX('Calculations'!$BY$11:BY475)+1,0)</x:f>
        <x:v>0</x:v>
      </x:c>
      <x:c r="BZ476" s="4" t="str">
        <x:f>IF('Dashboard'!$E$67="What",'Calculations'!BO476,'Calculations'!BP476)</x:f>
      </x:c>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t="str">
        <x:f>IF(465&gt;MAX('Calculations'!$HI$13:$HI$512),"",INDEX('Calculations'!$HN$13:$HN$512,MATCH(465,'Calculations'!$HI$13:$HI$512,0)))</x:f>
      </x:c>
      <x:c r="DB476" s="4" t="str">
        <x:f>IF(465&gt;MAX('Calculations'!$HH$13:$HH$512),"",INDEX('Calculations'!$HJ$13:$HJ$512,MATCH(465,'Calculations'!$HH$13:$HH$512,0)))</x:f>
      </x:c>
      <x:c r="DC476" s="4" t="str">
        <x:f>IF(ROW()-11&gt;MAX('Calculations'!$BY$13:$BY$512),"",INDEX('Calculations'!$BU$13:$BU$512,MATCH(ROW()-11,'Calculations'!$BY$13:$BY$512,0)))</x:f>
      </x:c>
      <x:c r="DD476" s="4" t="str">
        <x:f>IF(465&gt;MAX('Calculations'!$IK$13:$IK$512),"",INDEX('Calculations'!$HK$13:$HK$512,MATCH(465,'Calculations'!$IK$13:$IK$512,0)))</x:f>
      </x:c>
      <x:c r="DE476" s="4" t="str">
        <x:f>'Calculations'!DC476</x:f>
      </x:c>
      <x:c r="DF476" s="4" t="str">
        <x:f>IF('Calculations'!DE476="","",COUNTIFS('Calculations'!$BN$13:$BN$512,1,'Calculations'!$BU$13:$BU$512,'Calculations'!DE476))</x:f>
      </x:c>
      <x:c r="DG476" s="4" t="str">
        <x:f>IF('Calculations'!DE476="","",COUNTIFS('Calculations'!$BN$13:$BN$512,1,'Calculations'!$BU$13:$BU$512,'Calculations'!DE476,'Calculations'!$BT$13:$BT$512,1))</x:f>
      </x:c>
      <x:c r="DH476" s="4" t="str">
        <x:f>IF('Calculations'!DE476="","",'Calculations'!DF476-'Calculations'!DG476)</x:f>
      </x:c>
      <x:c r="DI476" s="4" t="str">
        <x:f>IF(OR('Calculations'!DE476="",'Calculations'!DF476=0),"",'Calculations'!DG476/'Calculations'!DF476)</x:f>
      </x:c>
      <x:c r="DJ476" s="4" t="str">
        <x:f>IF('Calculations'!DE476="","",COUNTIFS('Calculations'!$BN$13:$BN$512,1,'Calculations'!$BU$13:$BU$512,'Calculations'!DE476,'Calculations'!$BT$13:$BT$512,1,'Calculations'!$EE$13:$EE$512,"High"))</x:f>
      </x:c>
      <x:c r="DK476" s="4" t="str">
        <x:f>IF('Calculations'!DE476="","",COUNTIFS('Calculations'!$BN$13:$BN$512,1,'Calculations'!$BU$13:$BU$512,'Calculations'!DE476,'Calculations'!$BT$13:$BT$512,1,'Calculations'!$EE$13:$EE$512,"Strong"))</x:f>
      </x:c>
      <x:c r="DL476" s="4" t="str">
        <x:f>IF('Calculations'!DE476="","",COUNTIFS('Calculations'!$BN$13:$BN$512,1,'Calculations'!$BU$13:$BU$512,'Calculations'!DE476,'Calculations'!$BT$13:$BT$512,1,'Calculations'!$EE$13:$EE$512,"Solid"))</x:f>
      </x:c>
      <x:c r="DM476" s="4" t="str">
        <x:f>IF('Calculations'!DE476="","",COUNTIFS('Calculations'!$BN$13:$BN$512,1,'Calculations'!$BU$13:$BU$512,'Calculations'!DE476,'Calculations'!$BT$13:$BT$512,1,'Calculations'!$EE$13:$EE$512,"Low"))</x:f>
      </x:c>
      <x:c r="DN476" s="4" t="str">
        <x:f>IF('Calculations'!DE476="","",COUNTIFS('Calculations'!$BN$13:$BN$512,1,'Calculations'!$BU$13:$BU$512,'Calculations'!DE476,'Calculations'!$EP$13:$EP$512,1))</x:f>
      </x:c>
      <x:c r="DO476" s="4" t="str">
        <x:f>IF(OR('Calculations'!DE476="",'Calculations'!DG476=0),"",('Calculations'!DJ476+'Calculations'!DK476)/'Calculations'!DG476)</x:f>
      </x:c>
      <x:c r="DP476" s="4" t="n">
        <x:f>IF(AND('Calculations'!DE476&lt;&gt;"",'Calculations'!DF476&gt;0),COUNTIF('Calculations'!$DF$12:DF476,"&gt;0"),0)</x:f>
        <x:v>0</x:v>
      </x:c>
      <x:c r="DQ476" s="4" t="str">
        <x:f>IF(465&gt;MAX('Calculations'!$HH$13:$HH$512),"",INDEX('Calculations'!$HF$13:$HF$512,MATCH(465,'Calculations'!$HH$13:$HH$512,0)))</x:f>
      </x:c>
      <x:c r="DR476" s="4" t="str">
        <x:f>IF(465&gt;MAX('Calculations'!$IK$13:$IK$512),"",INDEX('Calculations'!$HE$13:$HE$512,MATCH(465,'Calculations'!$IK$13:$IK$512,0)))</x:f>
      </x:c>
      <x:c r="DS476" s="4"/>
      <x:c r="DT476" s="4"/>
      <x:c r="DU476" s="4"/>
      <x:c r="DV476" s="4"/>
      <x:c r="DW476" s="4"/>
      <x:c r="DX476" s="4"/>
      <x:c r="DY476" s="4"/>
      <x:c r="DZ476" s="4"/>
      <x:c r="EA476" s="4"/>
      <x:c r="EB476" s="4"/>
      <x:c r="EC476" s="4"/>
      <x:c r="ED476" s="4"/>
      <x:c r="EE476" s="4" t="str">
        <x:f>IF('Calculations'!BT476=0,"Not Rated",IF(OR('Calculations'!BO476&gt;=4,'Calculations'!BP476&gt;=4),"Low",IF('Calculations'!BO476+'Calculations'!BP476&lt;=3,"High",IF('Calculations'!BO476+'Calculations'!BP476&lt;=4,"Strong","Solid"))))</x:f>
        <x:v>Not Rated</x:v>
      </x:c>
      <x:c r="EF476" s="4"/>
      <x:c r="EG476" s="4"/>
      <x:c r="EH476" s="4"/>
      <x:c r="EI476" s="4"/>
      <x:c r="EJ476" s="4"/>
      <x:c r="EK476" s="4"/>
      <x:c r="EL476" s="4"/>
      <x:c r="EM476" s="4" t="str">
        <x:f>IF(464&gt;'Calculations'!$JB$2000,"",INDEX('Calculations'!$JA$12:$JA$2000,MATCH(464,'Calculations'!$JB$12:$JB$2000,0)))</x:f>
      </x:c>
      <x:c r="EN476" s="4" t="n">
        <x:f>IF(OR('Calculations'!EM476="",'Calculations'!$AG$8&gt;0,AND('Calculations'!$EF$2&lt;&gt;"All",'Calculations'!HE476='Calculations'!$EF$2),AND('Calculations'!$EF$3&lt;&gt;"All",'Calculations'!HE476='Calculations'!$EF$3)),0,IF(OR('Dashboard'!$B$7="All",'Calculations'!HN476='Dashboard'!$B$7),IF('Calculations'!$EF$2="All",1,IF('Calculations'!HL476&gt;0,0,IF(COUNTIF('Calculations'!HO476:II476,"="&amp;SUBSTITUTE(SUBSTITUTE(SUBSTITUTE('Calculations'!$EF$2,"~","~~"),"*","~*"),"?","~?"))=0,0,IF('Calculations'!$EF$3="All",1,IF(COUNTIF('Calculations'!HO476:II476,"="&amp;SUBSTITUTE(SUBSTITUTE(SUBSTITUTE('Calculations'!$EF$3,"~","~~"),"*","~*"),"?","~?"))&gt;0,1,0))))),0))</x:f>
        <x:v>0</x:v>
      </x:c>
      <x:c r="EO476" s="4" t="str">
        <x:f>IF('Calculations'!IJ476="","",IF('Calculations'!IJ476="!UNRESOLVED","Unresolved hierarchy",IFERROR(INDEX('Calculations'!$HK$13:$HK$512,MATCH('Calculations'!IJ476,'Calculations'!$HE$13:$HE$512,0)),IFERROR(INDEX('Calculations'!$HJ$13:$HJ$512,MATCH('Calculations'!IJ476,'Calculations'!$HF$13:$HF$512,0)),'Calculations'!IJ476))))</x:f>
      </x:c>
      <x:c r="EP476" s="4" t="n">
        <x:f>IF(AND('Calculations'!EM476&lt;&gt;"",'Calculations'!HF476='Calculations'!IJ476),1,0)</x:f>
        <x:v>0</x:v>
      </x:c>
      <x:c r="EQ476" s="4"/>
      <x:c r="ER476" s="4"/>
      <x:c r="ES476" s="4"/>
      <x:c r="ET476" s="4"/>
      <x:c r="EU476" s="4"/>
      <x:c r="EV476" s="4"/>
      <x:c r="EW476" s="4"/>
      <x:c r="EX476" s="4"/>
      <x:c r="EY476" s="4"/>
      <x:c r="EZ476" s="4"/>
      <x:c r="FA476" s="4"/>
      <x:c r="FB476" s="4"/>
      <x:c r="FC476" s="4"/>
      <x:c r="FD476" s="4"/>
      <x:c r="FE476" s="4"/>
      <x:c r="FF476" s="4"/>
      <x:c r="FG476" s="4"/>
      <x:c r="FH476" s="4"/>
      <x:c r="FI476" s="4"/>
      <x:c r="FJ476" s="4"/>
      <x:c r="FK476" s="4"/>
      <x:c r="FL476" s="4"/>
      <x:c r="FM476" s="4"/>
      <x:c r="FN476" s="4"/>
      <x:c r="FO476" s="4"/>
      <x:c r="HE476" t="str">
        <x:f>IF('Calculations'!EM476="","",IF(IFERROR(IF(INDEX(INDIRECT("'WCM Calibration Final'!$A$1:$A$2000"),'Calculations'!$EM476)="","",TRIM(INDEX(INDIRECT("'WCM Calibration Final'!$A$1:$A$2000"),'Calculations'!$EM476)&amp;"")),"")&lt;&gt;"","G:"&amp;IFERROR(TEXT(1*INDEX(INDIRECT("'WCM Calibration Final'!$A$1:$A$2000"),'Calculations'!$EM476),"0"),UPPER(IFERROR(IF(INDEX(INDIRECT("'WCM Calibration Final'!$A$1:$A$2000"),'Calculations'!$EM476)="","",TRIM(INDEX(INDIRECT("'WCM Calibration Final'!$A$1:$A$2000"),'Calculations'!$EM476)&amp;"")),""))),IF(IFERROR(IF(INDEX(INDIRECT("'WCM Calibration Final'!$C$1:$C$2000"),'Calculations'!$EM476)="","",TRIM(INDEX(INDIRECT("'WCM Calibration Final'!$C$1:$C$2000"),'Calculations'!$EM476)&amp;"")),"")&lt;&gt;"","S:"&amp;UPPER(IFERROR(IF(INDEX(INDIRECT("'WCM Calibration Final'!$C$1:$C$2000"),'Calculations'!$EM476)="","",TRIM(INDEX(INDIRECT("'WCM Calibration Final'!$C$1:$C$2000"),'Calculations'!$EM476)&amp;"")),"")),"R:"&amp;'Calculations'!EM476)))</x:f>
      </x:c>
      <x:c r="HF476" t="str">
        <x:f>IF('Calculations'!EM476="","",IF(IFERROR(IF(INDEX(INDIRECT("'WCM Calibration Final'!$D$1:$D$2000"),'Calculations'!$EM476)="","",TRIM(INDEX(INDIRECT("'WCM Calibration Final'!$D$1:$D$2000"),'Calculations'!$EM476)&amp;"")),"")&lt;&gt;"","G:"&amp;IFERROR(TEXT(1*INDEX(INDIRECT("'WCM Calibration Final'!$D$1:$D$2000"),'Calculations'!$EM476),"0"),UPPER(IFERROR(IF(INDEX(INDIRECT("'WCM Calibration Final'!$D$1:$D$2000"),'Calculations'!$EM476)="","",TRIM(INDEX(INDIRECT("'WCM Calibration Final'!$D$1:$D$2000"),'Calculations'!$EM476)&amp;"")),""))),IF(IFERROR(IF(INDEX(INDIRECT("'WCM Calibration Final'!$E$1:$E$2000"),'Calculations'!$EM476)="","",TRIM(INDEX(INDIRECT("'WCM Calibration Final'!$E$1:$E$2000"),'Calculations'!$EM476)&amp;"")),"")="","",IF(COUNTIF('Calculations'!$HG$13:$HG$512,"="&amp;SUBSTITUTE(SUBSTITUTE(SUBSTITUTE(IFERROR(IF(INDEX(INDIRECT("'WCM Calibration Final'!$E$1:$E$2000"),'Calculations'!$EM476)="","",TRIM(INDEX(INDIRECT("'WCM Calibration Final'!$E$1:$E$2000"),'Calculations'!$EM476)&amp;"")),""),"~","~~"),"*","~*"),"?","~?"))=1,INDEX('Calculations'!$HE$13:$HE$512,MATCH(IFERROR(IF(INDEX(INDIRECT("'WCM Calibration Final'!$E$1:$E$2000"),'Calculations'!$EM476)="","",TRIM(INDEX(INDIRECT("'WCM Calibration Final'!$E$1:$E$2000"),'Calculations'!$EM476)&amp;"")),""),'Calculations'!$HG$13:$HG$512,0)),IF(COUNTIF('Calculations'!$HG$13:$HG$512,"="&amp;SUBSTITUTE(SUBSTITUTE(SUBSTITUTE(IFERROR(IF(INDEX(INDIRECT("'WCM Calibration Final'!$E$1:$E$2000"),'Calculations'!$EM476)="","",TRIM(INDEX(INDIRECT("'WCM Calibration Final'!$E$1:$E$2000"),'Calculations'!$EM476)&amp;"")),""),"~","~~"),"*","~*"),"?","~?"))&gt;1,"!AMBIG","X:"&amp;IFERROR(IF(INDEX(INDIRECT("'WCM Calibration Final'!$E$1:$E$2000"),'Calculations'!$EM476)="","",TRIM(INDEX(INDIRECT("'WCM Calibration Final'!$E$1:$E$2000"),'Calculations'!$EM476)&amp;"")),""))))))</x:f>
      </x:c>
      <x:c r="HG476" t="str">
        <x:f>IF('Calculations'!EM476="","",IFERROR(IF(INDEX(INDIRECT("'WCM Calibration Final'!$B$1:$B$2000"),'Calculations'!$EM476)="","",TRIM(INDEX(INDIRECT("'WCM Calibration Final'!$B$1:$B$2000"),'Calculations'!$EM476)&amp;"")),""))</x:f>
      </x:c>
      <x:c r="HH476" t="n">
        <x:f>IF(AND('Calculations'!JC476&gt;0,COUNTIF('Calculations'!$HF$12:HF476,"="&amp;SUBSTITUTE(SUBSTITUTE(SUBSTITUTE('Calculations'!HF476,"~","~~"),"*","~*"),"?","~?"))=1),MAX('Calculations'!$HH$12:HH475)+1,0)</x:f>
        <x:v>0</x:v>
      </x:c>
      <x:c r="HI476" t="n">
        <x:f>IF(AND('Calculations'!HN476&lt;&gt;"",COUNTIF('Calculations'!$HN$12:HN476,"="&amp;SUBSTITUTE(SUBSTITUTE(SUBSTITUTE('Calculations'!HN476,"~","~~"),"*","~*"),"?","~?"))=1),MAX('Calculations'!$HI$12:HI475)+1,0)</x:f>
        <x:v>0</x:v>
      </x:c>
      <x:c r="HJ476" t="str">
        <x:f>IF('Calculations'!HF476="","",IF(COUNTIF('Calculations'!$HE$13:$HE$512,"="&amp;SUBSTITUTE(SUBSTITUTE(SUBSTITUTE('Calculations'!HF476,"~","~~"),"*","~*"),"?","~?"))=1,INDEX('Calculations'!$HK$13:$HK$512,MATCH('Calculations'!HF476,'Calculations'!$HE$13:$HE$512,0)),IFERROR(IF(INDEX(INDIRECT("'WCM Calibration Final'!$E$1:$E$2000"),'Calculations'!$EM476)="","",TRIM(INDEX(INDIRECT("'WCM Calibration Final'!$E$1:$E$2000"),'Calculations'!$EM476)&amp;"")),"")&amp;" ["&amp;'Calculations'!HF476&amp;"]"))</x:f>
      </x:c>
      <x:c r="HK476" t="str">
        <x:f>IF('Calculations'!EM476="","",'Calculations'!HG476&amp;" ["&amp;'Calculations'!HE476&amp;"]")</x:f>
      </x:c>
      <x:c r="HL476" t="n">
        <x:f>IF('Calculations'!EM476="",0,IF(OR('Calculations'!II476&lt;&gt;"",COUNTIF('Calculations'!$HE$13:$HE$512,"="&amp;SUBSTITUTE(SUBSTITUTE(SUBSTITUTE('Calculations'!HE476,"~","~~"),"*","~*"),"?","~?"))&gt;1),1,0))</x:f>
        <x:v>0</x:v>
      </x:c>
      <x:c r="HM476" t="str">
        <x:f>IF('Calculations'!EM476="","",IF('Calculations'!HL476=1,"!UNRESOLVED",IF('Calculations'!IH476&lt;&gt;"",'Calculations'!IH476,IF('Calculations'!IG476&lt;&gt;"",'Calculations'!IG476,IF('Calculations'!IF476&lt;&gt;"",'Calculations'!IF476,IF('Calculations'!IE476&lt;&gt;"",'Calculations'!IE476,IF('Calculations'!ID476&lt;&gt;"",'Calculations'!ID476,IF('Calculations'!IC476&lt;&gt;"",'Calculations'!IC476,IF('Calculations'!IB476&lt;&gt;"",'Calculations'!IB476,IF('Calculations'!IA476&lt;&gt;"",'Calculations'!IA476,IF('Calculations'!HZ476&lt;&gt;"",'Calculations'!HZ476,IF('Calculations'!HY476&lt;&gt;"",'Calculations'!HY476,IF('Calculations'!HX476&lt;&gt;"",'Calculations'!HX476,IF('Calculations'!HW476&lt;&gt;"",'Calculations'!HW476,IF('Calculations'!HV476&lt;&gt;"",'Calculations'!HV476,IF('Calculations'!HU476&lt;&gt;"",'Calculations'!HU476,IF('Calculations'!HT476&lt;&gt;"",'Calculations'!HT476,IF('Calculations'!HS476&lt;&gt;"",'Calculations'!HS476,IF('Calculations'!HR476&lt;&gt;"",'Calculations'!HR476,IF('Calculations'!HQ476&lt;&gt;"",'Calculations'!HQ476,IF('Calculations'!HP476&lt;&gt;"",'Calculations'!HP476,IF('Calculations'!HO476&lt;&gt;"",'Calculations'!HO476,'Calculations'!HE476))))))))))))))))))))))</x:f>
      </x:c>
      <x:c r="HN476" t="str">
        <x:f>IF('Calculations'!EM476="","",IF(IFERROR(IF(INDEX(INDIRECT("'WCM Calibration Final'!$F$1:$F$2000"),'Calculations'!$EM476)="","",TRIM(INDEX(INDIRECT("'WCM Calibration Final'!$F$1:$F$2000"),'Calculations'!$EM476)&amp;"")),"")="","(Blank)",IFERROR(IF(INDEX(INDIRECT("'WCM Calibration Final'!$F$1:$F$2000"),'Calculations'!$EM476)="","",TRIM(INDEX(INDIRECT("'WCM Calibration Final'!$F$1:$F$2000"),'Calculations'!$EM476)&amp;"")),"")))</x:f>
      </x:c>
      <x:c r="HO476" t="str">
        <x:f>'Calculations'!HF476</x:f>
      </x:c>
      <x:c r="HP476" t="str">
        <x:f>IF('Calculations'!HO476="","",IF('Calculations'!HO476="!AMBIG","!AMBIG",IF(COUNTIF('Calculations'!$HE$13:$HE$512,"="&amp;SUBSTITUTE(SUBSTITUTE(SUBSTITUTE('Calculations'!HO476,"~","~~"),"*","~*"),"?","~?"))&gt;1,"!AMBIG",IFERROR(INDEX('Calculations'!$HF$13:$HF$512,MATCH('Calculations'!HO476,'Calculations'!$HE$13:$HE$512,0)),""))))</x:f>
      </x:c>
      <x:c r="HQ476" t="str">
        <x:f>IF('Calculations'!HP476="","",IF('Calculations'!HP476="!AMBIG","!AMBIG",IF(COUNTIF('Calculations'!$HE$13:$HE$512,"="&amp;SUBSTITUTE(SUBSTITUTE(SUBSTITUTE('Calculations'!HP476,"~","~~"),"*","~*"),"?","~?"))&gt;1,"!AMBIG",IFERROR(INDEX('Calculations'!$HF$13:$HF$512,MATCH('Calculations'!HP476,'Calculations'!$HE$13:$HE$512,0)),""))))</x:f>
      </x:c>
      <x:c r="HR476" t="str">
        <x:f>IF('Calculations'!HQ476="","",IF('Calculations'!HQ476="!AMBIG","!AMBIG",IF(COUNTIF('Calculations'!$HE$13:$HE$512,"="&amp;SUBSTITUTE(SUBSTITUTE(SUBSTITUTE('Calculations'!HQ476,"~","~~"),"*","~*"),"?","~?"))&gt;1,"!AMBIG",IFERROR(INDEX('Calculations'!$HF$13:$HF$512,MATCH('Calculations'!HQ476,'Calculations'!$HE$13:$HE$512,0)),""))))</x:f>
      </x:c>
      <x:c r="HS476" t="str">
        <x:f>IF('Calculations'!HR476="","",IF('Calculations'!HR476="!AMBIG","!AMBIG",IF(COUNTIF('Calculations'!$HE$13:$HE$512,"="&amp;SUBSTITUTE(SUBSTITUTE(SUBSTITUTE('Calculations'!HR476,"~","~~"),"*","~*"),"?","~?"))&gt;1,"!AMBIG",IFERROR(INDEX('Calculations'!$HF$13:$HF$512,MATCH('Calculations'!HR476,'Calculations'!$HE$13:$HE$512,0)),""))))</x:f>
      </x:c>
      <x:c r="HT476" t="str">
        <x:f>IF('Calculations'!HS476="","",IF('Calculations'!HS476="!AMBIG","!AMBIG",IF(COUNTIF('Calculations'!$HE$13:$HE$512,"="&amp;SUBSTITUTE(SUBSTITUTE(SUBSTITUTE('Calculations'!HS476,"~","~~"),"*","~*"),"?","~?"))&gt;1,"!AMBIG",IFERROR(INDEX('Calculations'!$HF$13:$HF$512,MATCH('Calculations'!HS476,'Calculations'!$HE$13:$HE$512,0)),""))))</x:f>
      </x:c>
      <x:c r="HU476" t="str">
        <x:f>IF('Calculations'!HT476="","",IF('Calculations'!HT476="!AMBIG","!AMBIG",IF(COUNTIF('Calculations'!$HE$13:$HE$512,"="&amp;SUBSTITUTE(SUBSTITUTE(SUBSTITUTE('Calculations'!HT476,"~","~~"),"*","~*"),"?","~?"))&gt;1,"!AMBIG",IFERROR(INDEX('Calculations'!$HF$13:$HF$512,MATCH('Calculations'!HT476,'Calculations'!$HE$13:$HE$512,0)),""))))</x:f>
      </x:c>
      <x:c r="HV476" t="str">
        <x:f>IF('Calculations'!HU476="","",IF('Calculations'!HU476="!AMBIG","!AMBIG",IF(COUNTIF('Calculations'!$HE$13:$HE$512,"="&amp;SUBSTITUTE(SUBSTITUTE(SUBSTITUTE('Calculations'!HU476,"~","~~"),"*","~*"),"?","~?"))&gt;1,"!AMBIG",IFERROR(INDEX('Calculations'!$HF$13:$HF$512,MATCH('Calculations'!HU476,'Calculations'!$HE$13:$HE$512,0)),""))))</x:f>
      </x:c>
      <x:c r="HW476" t="str">
        <x:f>IF('Calculations'!HV476="","",IF('Calculations'!HV476="!AMBIG","!AMBIG",IF(COUNTIF('Calculations'!$HE$13:$HE$512,"="&amp;SUBSTITUTE(SUBSTITUTE(SUBSTITUTE('Calculations'!HV476,"~","~~"),"*","~*"),"?","~?"))&gt;1,"!AMBIG",IFERROR(INDEX('Calculations'!$HF$13:$HF$512,MATCH('Calculations'!HV476,'Calculations'!$HE$13:$HE$512,0)),""))))</x:f>
      </x:c>
      <x:c r="HX476" t="str">
        <x:f>IF('Calculations'!HW476="","",IF('Calculations'!HW476="!AMBIG","!AMBIG",IF(COUNTIF('Calculations'!$HE$13:$HE$512,"="&amp;SUBSTITUTE(SUBSTITUTE(SUBSTITUTE('Calculations'!HW476,"~","~~"),"*","~*"),"?","~?"))&gt;1,"!AMBIG",IFERROR(INDEX('Calculations'!$HF$13:$HF$512,MATCH('Calculations'!HW476,'Calculations'!$HE$13:$HE$512,0)),""))))</x:f>
      </x:c>
      <x:c r="HY476" t="str">
        <x:f>IF('Calculations'!HX476="","",IF('Calculations'!HX476="!AMBIG","!AMBIG",IF(COUNTIF('Calculations'!$HE$13:$HE$512,"="&amp;SUBSTITUTE(SUBSTITUTE(SUBSTITUTE('Calculations'!HX476,"~","~~"),"*","~*"),"?","~?"))&gt;1,"!AMBIG",IFERROR(INDEX('Calculations'!$HF$13:$HF$512,MATCH('Calculations'!HX476,'Calculations'!$HE$13:$HE$512,0)),""))))</x:f>
      </x:c>
      <x:c r="HZ476" t="str">
        <x:f>IF('Calculations'!HY476="","",IF('Calculations'!HY476="!AMBIG","!AMBIG",IF(COUNTIF('Calculations'!$HE$13:$HE$512,"="&amp;SUBSTITUTE(SUBSTITUTE(SUBSTITUTE('Calculations'!HY476,"~","~~"),"*","~*"),"?","~?"))&gt;1,"!AMBIG",IFERROR(INDEX('Calculations'!$HF$13:$HF$512,MATCH('Calculations'!HY476,'Calculations'!$HE$13:$HE$512,0)),""))))</x:f>
      </x:c>
      <x:c r="IA476" t="str">
        <x:f>IF('Calculations'!HZ476="","",IF('Calculations'!HZ476="!AMBIG","!AMBIG",IF(COUNTIF('Calculations'!$HE$13:$HE$512,"="&amp;SUBSTITUTE(SUBSTITUTE(SUBSTITUTE('Calculations'!HZ476,"~","~~"),"*","~*"),"?","~?"))&gt;1,"!AMBIG",IFERROR(INDEX('Calculations'!$HF$13:$HF$512,MATCH('Calculations'!HZ476,'Calculations'!$HE$13:$HE$512,0)),""))))</x:f>
      </x:c>
      <x:c r="IB476" t="str">
        <x:f>IF('Calculations'!IA476="","",IF('Calculations'!IA476="!AMBIG","!AMBIG",IF(COUNTIF('Calculations'!$HE$13:$HE$512,"="&amp;SUBSTITUTE(SUBSTITUTE(SUBSTITUTE('Calculations'!IA476,"~","~~"),"*","~*"),"?","~?"))&gt;1,"!AMBIG",IFERROR(INDEX('Calculations'!$HF$13:$HF$512,MATCH('Calculations'!IA476,'Calculations'!$HE$13:$HE$512,0)),""))))</x:f>
      </x:c>
      <x:c r="IC476" t="str">
        <x:f>IF('Calculations'!IB476="","",IF('Calculations'!IB476="!AMBIG","!AMBIG",IF(COUNTIF('Calculations'!$HE$13:$HE$512,"="&amp;SUBSTITUTE(SUBSTITUTE(SUBSTITUTE('Calculations'!IB476,"~","~~"),"*","~*"),"?","~?"))&gt;1,"!AMBIG",IFERROR(INDEX('Calculations'!$HF$13:$HF$512,MATCH('Calculations'!IB476,'Calculations'!$HE$13:$HE$512,0)),""))))</x:f>
      </x:c>
      <x:c r="ID476" t="str">
        <x:f>IF('Calculations'!IC476="","",IF('Calculations'!IC476="!AMBIG","!AMBIG",IF(COUNTIF('Calculations'!$HE$13:$HE$512,"="&amp;SUBSTITUTE(SUBSTITUTE(SUBSTITUTE('Calculations'!IC476,"~","~~"),"*","~*"),"?","~?"))&gt;1,"!AMBIG",IFERROR(INDEX('Calculations'!$HF$13:$HF$512,MATCH('Calculations'!IC476,'Calculations'!$HE$13:$HE$512,0)),""))))</x:f>
      </x:c>
      <x:c r="IE476" t="str">
        <x:f>IF('Calculations'!ID476="","",IF('Calculations'!ID476="!AMBIG","!AMBIG",IF(COUNTIF('Calculations'!$HE$13:$HE$512,"="&amp;SUBSTITUTE(SUBSTITUTE(SUBSTITUTE('Calculations'!ID476,"~","~~"),"*","~*"),"?","~?"))&gt;1,"!AMBIG",IFERROR(INDEX('Calculations'!$HF$13:$HF$512,MATCH('Calculations'!ID476,'Calculations'!$HE$13:$HE$512,0)),""))))</x:f>
      </x:c>
      <x:c r="IF476" t="str">
        <x:f>IF('Calculations'!IE476="","",IF('Calculations'!IE476="!AMBIG","!AMBIG",IF(COUNTIF('Calculations'!$HE$13:$HE$512,"="&amp;SUBSTITUTE(SUBSTITUTE(SUBSTITUTE('Calculations'!IE476,"~","~~"),"*","~*"),"?","~?"))&gt;1,"!AMBIG",IFERROR(INDEX('Calculations'!$HF$13:$HF$512,MATCH('Calculations'!IE476,'Calculations'!$HE$13:$HE$512,0)),""))))</x:f>
      </x:c>
      <x:c r="IG476" t="str">
        <x:f>IF('Calculations'!IF476="","",IF('Calculations'!IF476="!AMBIG","!AMBIG",IF(COUNTIF('Calculations'!$HE$13:$HE$512,"="&amp;SUBSTITUTE(SUBSTITUTE(SUBSTITUTE('Calculations'!IF476,"~","~~"),"*","~*"),"?","~?"))&gt;1,"!AMBIG",IFERROR(INDEX('Calculations'!$HF$13:$HF$512,MATCH('Calculations'!IF476,'Calculations'!$HE$13:$HE$512,0)),""))))</x:f>
      </x:c>
      <x:c r="IH476" t="str">
        <x:f>IF('Calculations'!IG476="","",IF('Calculations'!IG476="!AMBIG","!AMBIG",IF(COUNTIF('Calculations'!$HE$13:$HE$512,"="&amp;SUBSTITUTE(SUBSTITUTE(SUBSTITUTE('Calculations'!IG476,"~","~~"),"*","~*"),"?","~?"))&gt;1,"!AMBIG",IFERROR(INDEX('Calculations'!$HF$13:$HF$512,MATCH('Calculations'!IG476,'Calculations'!$HE$13:$HE$512,0)),""))))</x:f>
      </x:c>
      <x:c r="II476" t="str">
        <x:f>IF('Calculations'!IH476="","",IF('Calculations'!IH476="!AMBIG","!AMBIG",IF(COUNTIF('Calculations'!$HE$13:$HE$512,"="&amp;SUBSTITUTE(SUBSTITUTE(SUBSTITUTE('Calculations'!IH476,"~","~~"),"*","~*"),"?","~?"))&gt;1,"!AMBIG",IFERROR(INDEX('Calculations'!$HF$13:$HF$512,MATCH('Calculations'!IH476,'Calculations'!$HE$13:$HE$512,0)),""))))</x:f>
      </x:c>
      <x:c r="IJ476" t="str">
        <x:f>IF('Calculations'!EM476="","",IF('Calculations'!$EF$2="All",'Calculations'!HM476,IF('Calculations'!HL476=1,"",IFERROR(IF(MATCH('Calculations'!$EF$2,'Calculations'!HO476:II476,0)=1,'Calculations'!HE476,INDEX('Calculations'!HO476:II476,1,MATCH('Calculations'!$EF$2,'Calculations'!HO476:II476,0)-1)),""))))</x:f>
      </x:c>
      <x:c r="IK476" t="n">
        <x:f>IF(AND('Calculations'!EM476&lt;&gt;"",'Calculations'!$EF$2&lt;&gt;"All",'Calculations'!HF476='Calculations'!$EF$2,'Calculations'!HL476=0,'Calculations'!JD476&gt;0),MAX('Calculations'!$IK$12:IK475)+1,0)</x:f>
        <x:v>0</x:v>
      </x:c>
      <x:c r="JA476" t="n">
        <x:f>IF(OR(IFERROR(INDIRECT("'WCM Calibration Final'!$A$476")&lt;&gt;"",FALSE),IFERROR(INDIRECT("'WCM Calibration Final'!$B$476")&lt;&gt;"",FALSE),IFERROR(INDIRECT("'WCM Calibration Final'!$C$476")&lt;&gt;"",FALSE)),476,0)</x:f>
        <x:v>0</x:v>
      </x:c>
      <x:c r="JB476" t="n">
        <x:f>'Calculations'!JB475+IF('Calculations'!JA476&gt;0,1,0)</x:f>
        <x:v>0</x:v>
      </x:c>
      <x:c r="JC476" t="n">
        <x:f>IF(OR('Calculations'!HF476="",'Calculations'!HF476="!AMBIG"),0,IF('Dashboard'!$B$7="All",1,COUNTIFS('Calculations'!$HO$13:$HO$512,"="&amp;SUBSTITUTE(SUBSTITUTE(SUBSTITUTE('Calculations'!HF476,"~","~~"),"*","~*"),"?","~?"),'Calculations'!$HN$13:$HN$512,"="&amp;SUBSTITUTE(SUBSTITUTE(SUBSTITUTE('Dashboard'!$B$7,"~","~~"),"*","~*"),"?","~?"))+COUNTIFS('Calculations'!$HP$13:$HP$512,"="&amp;SUBSTITUTE(SUBSTITUTE(SUBSTITUTE('Calculations'!HF476,"~","~~"),"*","~*"),"?","~?"),'Calculations'!$HN$13:$HN$512,"="&amp;SUBSTITUTE(SUBSTITUTE(SUBSTITUTE('Dashboard'!$B$7,"~","~~"),"*","~*"),"?","~?"))+COUNTIFS('Calculations'!$HQ$13:$HQ$512,"="&amp;SUBSTITUTE(SUBSTITUTE(SUBSTITUTE('Calculations'!HF476,"~","~~"),"*","~*"),"?","~?"),'Calculations'!$HN$13:$HN$512,"="&amp;SUBSTITUTE(SUBSTITUTE(SUBSTITUTE('Dashboard'!$B$7,"~","~~"),"*","~*"),"?","~?"))+COUNTIFS('Calculations'!$HR$13:$HR$512,"="&amp;SUBSTITUTE(SUBSTITUTE(SUBSTITUTE('Calculations'!HF476,"~","~~"),"*","~*"),"?","~?"),'Calculations'!$HN$13:$HN$512,"="&amp;SUBSTITUTE(SUBSTITUTE(SUBSTITUTE('Dashboard'!$B$7,"~","~~"),"*","~*"),"?","~?"))+COUNTIFS('Calculations'!$HS$13:$HS$512,"="&amp;SUBSTITUTE(SUBSTITUTE(SUBSTITUTE('Calculations'!HF476,"~","~~"),"*","~*"),"?","~?"),'Calculations'!$HN$13:$HN$512,"="&amp;SUBSTITUTE(SUBSTITUTE(SUBSTITUTE('Dashboard'!$B$7,"~","~~"),"*","~*"),"?","~?"))+COUNTIFS('Calculations'!$HT$13:$HT$512,"="&amp;SUBSTITUTE(SUBSTITUTE(SUBSTITUTE('Calculations'!HF476,"~","~~"),"*","~*"),"?","~?"),'Calculations'!$HN$13:$HN$512,"="&amp;SUBSTITUTE(SUBSTITUTE(SUBSTITUTE('Dashboard'!$B$7,"~","~~"),"*","~*"),"?","~?"))+COUNTIFS('Calculations'!$HU$13:$HU$512,"="&amp;SUBSTITUTE(SUBSTITUTE(SUBSTITUTE('Calculations'!HF476,"~","~~"),"*","~*"),"?","~?"),'Calculations'!$HN$13:$HN$512,"="&amp;SUBSTITUTE(SUBSTITUTE(SUBSTITUTE('Dashboard'!$B$7,"~","~~"),"*","~*"),"?","~?"))+COUNTIFS('Calculations'!$HV$13:$HV$512,"="&amp;SUBSTITUTE(SUBSTITUTE(SUBSTITUTE('Calculations'!HF476,"~","~~"),"*","~*"),"?","~?"),'Calculations'!$HN$13:$HN$512,"="&amp;SUBSTITUTE(SUBSTITUTE(SUBSTITUTE('Dashboard'!$B$7,"~","~~"),"*","~*"),"?","~?"))+COUNTIFS('Calculations'!$HW$13:$HW$512,"="&amp;SUBSTITUTE(SUBSTITUTE(SUBSTITUTE('Calculations'!HF476,"~","~~"),"*","~*"),"?","~?"),'Calculations'!$HN$13:$HN$512,"="&amp;SUBSTITUTE(SUBSTITUTE(SUBSTITUTE('Dashboard'!$B$7,"~","~~"),"*","~*"),"?","~?"))+COUNTIFS('Calculations'!$HX$13:$HX$512,"="&amp;SUBSTITUTE(SUBSTITUTE(SUBSTITUTE('Calculations'!HF476,"~","~~"),"*","~*"),"?","~?"),'Calculations'!$HN$13:$HN$512,"="&amp;SUBSTITUTE(SUBSTITUTE(SUBSTITUTE('Dashboard'!$B$7,"~","~~"),"*","~*"),"?","~?"))+COUNTIFS('Calculations'!$HY$13:$HY$512,"="&amp;SUBSTITUTE(SUBSTITUTE(SUBSTITUTE('Calculations'!HF476,"~","~~"),"*","~*"),"?","~?"),'Calculations'!$HN$13:$HN$512,"="&amp;SUBSTITUTE(SUBSTITUTE(SUBSTITUTE('Dashboard'!$B$7,"~","~~"),"*","~*"),"?","~?"))+COUNTIFS('Calculations'!$HZ$13:$HZ$512,"="&amp;SUBSTITUTE(SUBSTITUTE(SUBSTITUTE('Calculations'!HF476,"~","~~"),"*","~*"),"?","~?"),'Calculations'!$HN$13:$HN$512,"="&amp;SUBSTITUTE(SUBSTITUTE(SUBSTITUTE('Dashboard'!$B$7,"~","~~"),"*","~*"),"?","~?"))+COUNTIFS('Calculations'!$IA$13:$IA$512,"="&amp;SUBSTITUTE(SUBSTITUTE(SUBSTITUTE('Calculations'!HF476,"~","~~"),"*","~*"),"?","~?"),'Calculations'!$HN$13:$HN$512,"="&amp;SUBSTITUTE(SUBSTITUTE(SUBSTITUTE('Dashboard'!$B$7,"~","~~"),"*","~*"),"?","~?"))+COUNTIFS('Calculations'!$IB$13:$IB$512,"="&amp;SUBSTITUTE(SUBSTITUTE(SUBSTITUTE('Calculations'!HF476,"~","~~"),"*","~*"),"?","~?"),'Calculations'!$HN$13:$HN$512,"="&amp;SUBSTITUTE(SUBSTITUTE(SUBSTITUTE('Dashboard'!$B$7,"~","~~"),"*","~*"),"?","~?"))+COUNTIFS('Calculations'!$IC$13:$IC$512,"="&amp;SUBSTITUTE(SUBSTITUTE(SUBSTITUTE('Calculations'!HF476,"~","~~"),"*","~*"),"?","~?"),'Calculations'!$HN$13:$HN$512,"="&amp;SUBSTITUTE(SUBSTITUTE(SUBSTITUTE('Dashboard'!$B$7,"~","~~"),"*","~*"),"?","~?"))+COUNTIFS('Calculations'!$ID$13:$ID$512,"="&amp;SUBSTITUTE(SUBSTITUTE(SUBSTITUTE('Calculations'!HF476,"~","~~"),"*","~*"),"?","~?"),'Calculations'!$HN$13:$HN$512,"="&amp;SUBSTITUTE(SUBSTITUTE(SUBSTITUTE('Dashboard'!$B$7,"~","~~"),"*","~*"),"?","~?"))+COUNTIFS('Calculations'!$IE$13:$IE$512,"="&amp;SUBSTITUTE(SUBSTITUTE(SUBSTITUTE('Calculations'!HF476,"~","~~"),"*","~*"),"?","~?"),'Calculations'!$HN$13:$HN$512,"="&amp;SUBSTITUTE(SUBSTITUTE(SUBSTITUTE('Dashboard'!$B$7,"~","~~"),"*","~*"),"?","~?"))+COUNTIFS('Calculations'!$IF$13:$IF$512,"="&amp;SUBSTITUTE(SUBSTITUTE(SUBSTITUTE('Calculations'!HF476,"~","~~"),"*","~*"),"?","~?"),'Calculations'!$HN$13:$HN$512,"="&amp;SUBSTITUTE(SUBSTITUTE(SUBSTITUTE('Dashboard'!$B$7,"~","~~"),"*","~*"),"?","~?"))+COUNTIFS('Calculations'!$IG$13:$IG$512,"="&amp;SUBSTITUTE(SUBSTITUTE(SUBSTITUTE('Calculations'!HF476,"~","~~"),"*","~*"),"?","~?"),'Calculations'!$HN$13:$HN$512,"="&amp;SUBSTITUTE(SUBSTITUTE(SUBSTITUTE('Dashboard'!$B$7,"~","~~"),"*","~*"),"?","~?"))+COUNTIFS('Calculations'!$IH$13:$IH$512,"="&amp;SUBSTITUTE(SUBSTITUTE(SUBSTITUTE('Calculations'!HF476,"~","~~"),"*","~*"),"?","~?"),'Calculations'!$HN$13:$HN$512,"="&amp;SUBSTITUTE(SUBSTITUTE(SUBSTITUTE('Dashboard'!$B$7,"~","~~"),"*","~*"),"?","~?"))))</x:f>
        <x:v>0</x:v>
      </x:c>
      <x:c r="JD476" t="n">
        <x:f>IF('Calculations'!EM476="",0,IF('Dashboard'!$B$7="All",1,IF('Calculations'!HN476='Dashboard'!$B$7,1,0)+IFERROR(INDEX('Calculations'!$JC$13:$JC$512,MATCH('Calculations'!HE476,'Calculations'!$HF$13:$HF$512,0)),0)))</x:f>
        <x:v>0</x:v>
      </x:c>
      <x:c r="JE476" t="n">
        <x:f>IF(AND('Calculations'!EM476&lt;&gt;"",'Calculations'!$JJ$2&lt;&gt;"All",'Calculations'!$JJ$2&lt;&gt;"",'Calculations'!HF476='Calculations'!$JJ$2,'Calculations'!HL476=0,'Calculations'!JD476&gt;0),MAX('Calculations'!$JE$12:JE475)+1,0)</x:f>
        <x:v>0</x:v>
      </x:c>
      <x:c r="JF476" t="str">
        <x:f>IF('Calculations'!EM476="","",IFERROR(IF(INDEX(INDIRECT("'WCM Calibration Final'!$G$1:$G$2000"),'Calculations'!$EM476)="","",TRIM(INDEX(INDIRECT("'WCM Calibration Final'!$G$1:$G$2000"),'Calculations'!$EM476)&amp;"")),""))</x:f>
      </x:c>
      <x:c r="JQ476" t="n">
        <x:f>IF(OR('Calculations'!BM476=0,NOT('Calculations'!$AG$2),'Calculations'!$AG$8&gt;0),0,IF(OR('Dashboard'!$B$7="All",'Calculations'!HN476='Dashboard'!$B$7),IF('Calculations'!$JJ$2="All",1,IF(AND('Calculations'!HF476='Calculations'!$JJ$2,'Calculations'!HL476=0),1,0)),0))</x:f>
        <x:v>0</x:v>
      </x:c>
    </x:row>
    <x:row r="477">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t="n">
        <x:f>IF('Calculations'!$EM477="",0,IF(OR(IFERROR(INDEX(INDIRECT("'WCM Calibration Final'!$A$1:$A$2000"),'Calculations'!$EM477)&lt;&gt;"",FALSE),IFERROR(INDEX(INDIRECT("'WCM Calibration Final'!$B$1:$B$2000"),'Calculations'!$EM477)&lt;&gt;"",FALSE),IFERROR(INDEX(INDIRECT("'WCM Calibration Final'!$C$1:$C$2000"),'Calculations'!$EM477)&lt;&gt;"",FALSE)),1,0))</x:f>
        <x:v>0</x:v>
      </x:c>
      <x:c r="BN477" s="4" t="n">
        <x:f>IF(AND('Calculations'!BM477=1,'Calculations'!$AG$2,'Calculations'!$EN477=1),1,0)</x:f>
        <x:v>0</x:v>
      </x:c>
      <x:c r="BO477" s="4" t="str">
        <x:f>IF('Calculations'!BM477=0,"",IFERROR(IF(AND(VALUE(INDEX(INDIRECT("'WCM Calibration Final'!$K$1:$K$2000"),'Calculations'!$EM477))&gt;=1,VALUE(INDEX(INDIRECT("'WCM Calibration Final'!$K$1:$K$2000"),'Calculations'!$EM477))&lt;=4,MOD(VALUE(INDEX(INDIRECT("'WCM Calibration Final'!$K$1:$K$2000"),'Calculations'!$EM477)),1)=0),VALUE(INDEX(INDIRECT("'WCM Calibration Final'!$K$1:$K$2000"),'Calculations'!$EM477)),""),""))</x:f>
      </x:c>
      <x:c r="BP477" s="4" t="str">
        <x:f>IF('Calculations'!BM477=0,"",IFERROR(IF(AND(VALUE(INDEX(INDIRECT("'WCM Calibration Final'!$L$1:$L$2000"),'Calculations'!$EM477))&gt;=1,VALUE(INDEX(INDIRECT("'WCM Calibration Final'!$L$1:$L$2000"),'Calculations'!$EM477))&lt;=4,MOD(VALUE(INDEX(INDIRECT("'WCM Calibration Final'!$L$1:$L$2000"),'Calculations'!$EM477)),1)=0),VALUE(INDEX(INDIRECT("'WCM Calibration Final'!$L$1:$L$2000"),'Calculations'!$EM477)),""),""))</x:f>
      </x:c>
      <x:c r="BQ477" s="4"/>
      <x:c r="BR477" s="4"/>
      <x:c r="BS477" s="4"/>
      <x:c r="BT477" s="4" t="n">
        <x:f>IF(AND('Calculations'!BM477=1,ISNUMBER('Calculations'!BO477),ISNUMBER('Calculations'!BP477)),1,0)</x:f>
        <x:v>0</x:v>
      </x:c>
      <x:c r="BU477" s="4" t="str">
        <x:f>IF('Calculations'!BM477=0,"",'Calculations'!$EO477)</x:f>
      </x:c>
      <x:c r="BV477" s="4" t="str">
        <x:f>IF('Calculations'!BM477=0,"",IFERROR(IF(OR(INDEX(INDIRECT("'WCM Calibration Final'!$H$1:$H$2000"),'Calculations'!$EM477)="MANAGING DIRECTOR",INDEX(INDIRECT("'WCM Calibration Final'!$H$1:$H$2000"),'Calculations'!$EM477)="DIRECTOR",INDEX(INDIRECT("'WCM Calibration Final'!$H$1:$H$2000"),'Calculations'!$EM477)="SENIOR VICE PRESIDENT",INDEX(INDIRECT("'WCM Calibration Final'!$H$1:$H$2000"),'Calculations'!$EM477)="VICE PRESIDENT",INDEX(INDIRECT("'WCM Calibration Final'!$H$1:$H$2000"),'Calculations'!$EM477)="ASSISTANT VICE PRESIDENT",INDEX(INDIRECT("'WCM Calibration Final'!$H$1:$H$2000"),'Calculations'!$EM477)="OFFICER"),UPPER(INDEX(INDIRECT("'WCM Calibration Final'!$H$1:$H$2000"),'Calculations'!$EM477)),"Other"),"Other"))</x:f>
      </x:c>
      <x:c r="BW477" s="4"/>
      <x:c r="BX477" s="4"/>
      <x:c r="BY477" s="4" t="n">
        <x:f>IF(AND('Calculations'!BM477=1,'Calculations'!BU477&lt;&gt;"",COUNTIF('Calculations'!$BU$12:BU477,'Calculations'!BU477)=1),MAX('Calculations'!$BY$11:BY476)+1,0)</x:f>
        <x:v>0</x:v>
      </x:c>
      <x:c r="BZ477" s="4" t="str">
        <x:f>IF('Dashboard'!$E$67="What",'Calculations'!BO477,'Calculations'!BP477)</x:f>
      </x:c>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t="str">
        <x:f>IF(466&gt;MAX('Calculations'!$HI$13:$HI$512),"",INDEX('Calculations'!$HN$13:$HN$512,MATCH(466,'Calculations'!$HI$13:$HI$512,0)))</x:f>
      </x:c>
      <x:c r="DB477" s="4" t="str">
        <x:f>IF(466&gt;MAX('Calculations'!$HH$13:$HH$512),"",INDEX('Calculations'!$HJ$13:$HJ$512,MATCH(466,'Calculations'!$HH$13:$HH$512,0)))</x:f>
      </x:c>
      <x:c r="DC477" s="4" t="str">
        <x:f>IF(ROW()-11&gt;MAX('Calculations'!$BY$13:$BY$512),"",INDEX('Calculations'!$BU$13:$BU$512,MATCH(ROW()-11,'Calculations'!$BY$13:$BY$512,0)))</x:f>
      </x:c>
      <x:c r="DD477" s="4" t="str">
        <x:f>IF(466&gt;MAX('Calculations'!$IK$13:$IK$512),"",INDEX('Calculations'!$HK$13:$HK$512,MATCH(466,'Calculations'!$IK$13:$IK$512,0)))</x:f>
      </x:c>
      <x:c r="DE477" s="4" t="str">
        <x:f>'Calculations'!DC477</x:f>
      </x:c>
      <x:c r="DF477" s="4" t="str">
        <x:f>IF('Calculations'!DE477="","",COUNTIFS('Calculations'!$BN$13:$BN$512,1,'Calculations'!$BU$13:$BU$512,'Calculations'!DE477))</x:f>
      </x:c>
      <x:c r="DG477" s="4" t="str">
        <x:f>IF('Calculations'!DE477="","",COUNTIFS('Calculations'!$BN$13:$BN$512,1,'Calculations'!$BU$13:$BU$512,'Calculations'!DE477,'Calculations'!$BT$13:$BT$512,1))</x:f>
      </x:c>
      <x:c r="DH477" s="4" t="str">
        <x:f>IF('Calculations'!DE477="","",'Calculations'!DF477-'Calculations'!DG477)</x:f>
      </x:c>
      <x:c r="DI477" s="4" t="str">
        <x:f>IF(OR('Calculations'!DE477="",'Calculations'!DF477=0),"",'Calculations'!DG477/'Calculations'!DF477)</x:f>
      </x:c>
      <x:c r="DJ477" s="4" t="str">
        <x:f>IF('Calculations'!DE477="","",COUNTIFS('Calculations'!$BN$13:$BN$512,1,'Calculations'!$BU$13:$BU$512,'Calculations'!DE477,'Calculations'!$BT$13:$BT$512,1,'Calculations'!$EE$13:$EE$512,"High"))</x:f>
      </x:c>
      <x:c r="DK477" s="4" t="str">
        <x:f>IF('Calculations'!DE477="","",COUNTIFS('Calculations'!$BN$13:$BN$512,1,'Calculations'!$BU$13:$BU$512,'Calculations'!DE477,'Calculations'!$BT$13:$BT$512,1,'Calculations'!$EE$13:$EE$512,"Strong"))</x:f>
      </x:c>
      <x:c r="DL477" s="4" t="str">
        <x:f>IF('Calculations'!DE477="","",COUNTIFS('Calculations'!$BN$13:$BN$512,1,'Calculations'!$BU$13:$BU$512,'Calculations'!DE477,'Calculations'!$BT$13:$BT$512,1,'Calculations'!$EE$13:$EE$512,"Solid"))</x:f>
      </x:c>
      <x:c r="DM477" s="4" t="str">
        <x:f>IF('Calculations'!DE477="","",COUNTIFS('Calculations'!$BN$13:$BN$512,1,'Calculations'!$BU$13:$BU$512,'Calculations'!DE477,'Calculations'!$BT$13:$BT$512,1,'Calculations'!$EE$13:$EE$512,"Low"))</x:f>
      </x:c>
      <x:c r="DN477" s="4" t="str">
        <x:f>IF('Calculations'!DE477="","",COUNTIFS('Calculations'!$BN$13:$BN$512,1,'Calculations'!$BU$13:$BU$512,'Calculations'!DE477,'Calculations'!$EP$13:$EP$512,1))</x:f>
      </x:c>
      <x:c r="DO477" s="4" t="str">
        <x:f>IF(OR('Calculations'!DE477="",'Calculations'!DG477=0),"",('Calculations'!DJ477+'Calculations'!DK477)/'Calculations'!DG477)</x:f>
      </x:c>
      <x:c r="DP477" s="4" t="n">
        <x:f>IF(AND('Calculations'!DE477&lt;&gt;"",'Calculations'!DF477&gt;0),COUNTIF('Calculations'!$DF$12:DF477,"&gt;0"),0)</x:f>
        <x:v>0</x:v>
      </x:c>
      <x:c r="DQ477" s="4" t="str">
        <x:f>IF(466&gt;MAX('Calculations'!$HH$13:$HH$512),"",INDEX('Calculations'!$HF$13:$HF$512,MATCH(466,'Calculations'!$HH$13:$HH$512,0)))</x:f>
      </x:c>
      <x:c r="DR477" s="4" t="str">
        <x:f>IF(466&gt;MAX('Calculations'!$IK$13:$IK$512),"",INDEX('Calculations'!$HE$13:$HE$512,MATCH(466,'Calculations'!$IK$13:$IK$512,0)))</x:f>
      </x:c>
      <x:c r="DS477" s="4"/>
      <x:c r="DT477" s="4"/>
      <x:c r="DU477" s="4"/>
      <x:c r="DV477" s="4"/>
      <x:c r="DW477" s="4"/>
      <x:c r="DX477" s="4"/>
      <x:c r="DY477" s="4"/>
      <x:c r="DZ477" s="4"/>
      <x:c r="EA477" s="4"/>
      <x:c r="EB477" s="4"/>
      <x:c r="EC477" s="4"/>
      <x:c r="ED477" s="4"/>
      <x:c r="EE477" s="4" t="str">
        <x:f>IF('Calculations'!BT477=0,"Not Rated",IF(OR('Calculations'!BO477&gt;=4,'Calculations'!BP477&gt;=4),"Low",IF('Calculations'!BO477+'Calculations'!BP477&lt;=3,"High",IF('Calculations'!BO477+'Calculations'!BP477&lt;=4,"Strong","Solid"))))</x:f>
        <x:v>Not Rated</x:v>
      </x:c>
      <x:c r="EF477" s="4"/>
      <x:c r="EG477" s="4"/>
      <x:c r="EH477" s="4"/>
      <x:c r="EI477" s="4"/>
      <x:c r="EJ477" s="4"/>
      <x:c r="EK477" s="4"/>
      <x:c r="EL477" s="4"/>
      <x:c r="EM477" s="4" t="str">
        <x:f>IF(465&gt;'Calculations'!$JB$2000,"",INDEX('Calculations'!$JA$12:$JA$2000,MATCH(465,'Calculations'!$JB$12:$JB$2000,0)))</x:f>
      </x:c>
      <x:c r="EN477" s="4" t="n">
        <x:f>IF(OR('Calculations'!EM477="",'Calculations'!$AG$8&gt;0,AND('Calculations'!$EF$2&lt;&gt;"All",'Calculations'!HE477='Calculations'!$EF$2),AND('Calculations'!$EF$3&lt;&gt;"All",'Calculations'!HE477='Calculations'!$EF$3)),0,IF(OR('Dashboard'!$B$7="All",'Calculations'!HN477='Dashboard'!$B$7),IF('Calculations'!$EF$2="All",1,IF('Calculations'!HL477&gt;0,0,IF(COUNTIF('Calculations'!HO477:II477,"="&amp;SUBSTITUTE(SUBSTITUTE(SUBSTITUTE('Calculations'!$EF$2,"~","~~"),"*","~*"),"?","~?"))=0,0,IF('Calculations'!$EF$3="All",1,IF(COUNTIF('Calculations'!HO477:II477,"="&amp;SUBSTITUTE(SUBSTITUTE(SUBSTITUTE('Calculations'!$EF$3,"~","~~"),"*","~*"),"?","~?"))&gt;0,1,0))))),0))</x:f>
        <x:v>0</x:v>
      </x:c>
      <x:c r="EO477" s="4" t="str">
        <x:f>IF('Calculations'!IJ477="","",IF('Calculations'!IJ477="!UNRESOLVED","Unresolved hierarchy",IFERROR(INDEX('Calculations'!$HK$13:$HK$512,MATCH('Calculations'!IJ477,'Calculations'!$HE$13:$HE$512,0)),IFERROR(INDEX('Calculations'!$HJ$13:$HJ$512,MATCH('Calculations'!IJ477,'Calculations'!$HF$13:$HF$512,0)),'Calculations'!IJ477))))</x:f>
      </x:c>
      <x:c r="EP477" s="4" t="n">
        <x:f>IF(AND('Calculations'!EM477&lt;&gt;"",'Calculations'!HF477='Calculations'!IJ477),1,0)</x:f>
        <x:v>0</x:v>
      </x:c>
      <x:c r="EQ477" s="4"/>
      <x:c r="ER477" s="4"/>
      <x:c r="ES477" s="4"/>
      <x:c r="ET477" s="4"/>
      <x:c r="EU477" s="4"/>
      <x:c r="EV477" s="4"/>
      <x:c r="EW477" s="4"/>
      <x:c r="EX477" s="4"/>
      <x:c r="EY477" s="4"/>
      <x:c r="EZ477" s="4"/>
      <x:c r="FA477" s="4"/>
      <x:c r="FB477" s="4"/>
      <x:c r="FC477" s="4"/>
      <x:c r="FD477" s="4"/>
      <x:c r="FE477" s="4"/>
      <x:c r="FF477" s="4"/>
      <x:c r="FG477" s="4"/>
      <x:c r="FH477" s="4"/>
      <x:c r="FI477" s="4"/>
      <x:c r="FJ477" s="4"/>
      <x:c r="FK477" s="4"/>
      <x:c r="FL477" s="4"/>
      <x:c r="FM477" s="4"/>
      <x:c r="FN477" s="4"/>
      <x:c r="FO477" s="4"/>
      <x:c r="HE477" t="str">
        <x:f>IF('Calculations'!EM477="","",IF(IFERROR(IF(INDEX(INDIRECT("'WCM Calibration Final'!$A$1:$A$2000"),'Calculations'!$EM477)="","",TRIM(INDEX(INDIRECT("'WCM Calibration Final'!$A$1:$A$2000"),'Calculations'!$EM477)&amp;"")),"")&lt;&gt;"","G:"&amp;IFERROR(TEXT(1*INDEX(INDIRECT("'WCM Calibration Final'!$A$1:$A$2000"),'Calculations'!$EM477),"0"),UPPER(IFERROR(IF(INDEX(INDIRECT("'WCM Calibration Final'!$A$1:$A$2000"),'Calculations'!$EM477)="","",TRIM(INDEX(INDIRECT("'WCM Calibration Final'!$A$1:$A$2000"),'Calculations'!$EM477)&amp;"")),""))),IF(IFERROR(IF(INDEX(INDIRECT("'WCM Calibration Final'!$C$1:$C$2000"),'Calculations'!$EM477)="","",TRIM(INDEX(INDIRECT("'WCM Calibration Final'!$C$1:$C$2000"),'Calculations'!$EM477)&amp;"")),"")&lt;&gt;"","S:"&amp;UPPER(IFERROR(IF(INDEX(INDIRECT("'WCM Calibration Final'!$C$1:$C$2000"),'Calculations'!$EM477)="","",TRIM(INDEX(INDIRECT("'WCM Calibration Final'!$C$1:$C$2000"),'Calculations'!$EM477)&amp;"")),"")),"R:"&amp;'Calculations'!EM477)))</x:f>
      </x:c>
      <x:c r="HF477" t="str">
        <x:f>IF('Calculations'!EM477="","",IF(IFERROR(IF(INDEX(INDIRECT("'WCM Calibration Final'!$D$1:$D$2000"),'Calculations'!$EM477)="","",TRIM(INDEX(INDIRECT("'WCM Calibration Final'!$D$1:$D$2000"),'Calculations'!$EM477)&amp;"")),"")&lt;&gt;"","G:"&amp;IFERROR(TEXT(1*INDEX(INDIRECT("'WCM Calibration Final'!$D$1:$D$2000"),'Calculations'!$EM477),"0"),UPPER(IFERROR(IF(INDEX(INDIRECT("'WCM Calibration Final'!$D$1:$D$2000"),'Calculations'!$EM477)="","",TRIM(INDEX(INDIRECT("'WCM Calibration Final'!$D$1:$D$2000"),'Calculations'!$EM477)&amp;"")),""))),IF(IFERROR(IF(INDEX(INDIRECT("'WCM Calibration Final'!$E$1:$E$2000"),'Calculations'!$EM477)="","",TRIM(INDEX(INDIRECT("'WCM Calibration Final'!$E$1:$E$2000"),'Calculations'!$EM477)&amp;"")),"")="","",IF(COUNTIF('Calculations'!$HG$13:$HG$512,"="&amp;SUBSTITUTE(SUBSTITUTE(SUBSTITUTE(IFERROR(IF(INDEX(INDIRECT("'WCM Calibration Final'!$E$1:$E$2000"),'Calculations'!$EM477)="","",TRIM(INDEX(INDIRECT("'WCM Calibration Final'!$E$1:$E$2000"),'Calculations'!$EM477)&amp;"")),""),"~","~~"),"*","~*"),"?","~?"))=1,INDEX('Calculations'!$HE$13:$HE$512,MATCH(IFERROR(IF(INDEX(INDIRECT("'WCM Calibration Final'!$E$1:$E$2000"),'Calculations'!$EM477)="","",TRIM(INDEX(INDIRECT("'WCM Calibration Final'!$E$1:$E$2000"),'Calculations'!$EM477)&amp;"")),""),'Calculations'!$HG$13:$HG$512,0)),IF(COUNTIF('Calculations'!$HG$13:$HG$512,"="&amp;SUBSTITUTE(SUBSTITUTE(SUBSTITUTE(IFERROR(IF(INDEX(INDIRECT("'WCM Calibration Final'!$E$1:$E$2000"),'Calculations'!$EM477)="","",TRIM(INDEX(INDIRECT("'WCM Calibration Final'!$E$1:$E$2000"),'Calculations'!$EM477)&amp;"")),""),"~","~~"),"*","~*"),"?","~?"))&gt;1,"!AMBIG","X:"&amp;IFERROR(IF(INDEX(INDIRECT("'WCM Calibration Final'!$E$1:$E$2000"),'Calculations'!$EM477)="","",TRIM(INDEX(INDIRECT("'WCM Calibration Final'!$E$1:$E$2000"),'Calculations'!$EM477)&amp;"")),""))))))</x:f>
      </x:c>
      <x:c r="HG477" t="str">
        <x:f>IF('Calculations'!EM477="","",IFERROR(IF(INDEX(INDIRECT("'WCM Calibration Final'!$B$1:$B$2000"),'Calculations'!$EM477)="","",TRIM(INDEX(INDIRECT("'WCM Calibration Final'!$B$1:$B$2000"),'Calculations'!$EM477)&amp;"")),""))</x:f>
      </x:c>
      <x:c r="HH477" t="n">
        <x:f>IF(AND('Calculations'!JC477&gt;0,COUNTIF('Calculations'!$HF$12:HF477,"="&amp;SUBSTITUTE(SUBSTITUTE(SUBSTITUTE('Calculations'!HF477,"~","~~"),"*","~*"),"?","~?"))=1),MAX('Calculations'!$HH$12:HH476)+1,0)</x:f>
        <x:v>0</x:v>
      </x:c>
      <x:c r="HI477" t="n">
        <x:f>IF(AND('Calculations'!HN477&lt;&gt;"",COUNTIF('Calculations'!$HN$12:HN477,"="&amp;SUBSTITUTE(SUBSTITUTE(SUBSTITUTE('Calculations'!HN477,"~","~~"),"*","~*"),"?","~?"))=1),MAX('Calculations'!$HI$12:HI476)+1,0)</x:f>
        <x:v>0</x:v>
      </x:c>
      <x:c r="HJ477" t="str">
        <x:f>IF('Calculations'!HF477="","",IF(COUNTIF('Calculations'!$HE$13:$HE$512,"="&amp;SUBSTITUTE(SUBSTITUTE(SUBSTITUTE('Calculations'!HF477,"~","~~"),"*","~*"),"?","~?"))=1,INDEX('Calculations'!$HK$13:$HK$512,MATCH('Calculations'!HF477,'Calculations'!$HE$13:$HE$512,0)),IFERROR(IF(INDEX(INDIRECT("'WCM Calibration Final'!$E$1:$E$2000"),'Calculations'!$EM477)="","",TRIM(INDEX(INDIRECT("'WCM Calibration Final'!$E$1:$E$2000"),'Calculations'!$EM477)&amp;"")),"")&amp;" ["&amp;'Calculations'!HF477&amp;"]"))</x:f>
      </x:c>
      <x:c r="HK477" t="str">
        <x:f>IF('Calculations'!EM477="","",'Calculations'!HG477&amp;" ["&amp;'Calculations'!HE477&amp;"]")</x:f>
      </x:c>
      <x:c r="HL477" t="n">
        <x:f>IF('Calculations'!EM477="",0,IF(OR('Calculations'!II477&lt;&gt;"",COUNTIF('Calculations'!$HE$13:$HE$512,"="&amp;SUBSTITUTE(SUBSTITUTE(SUBSTITUTE('Calculations'!HE477,"~","~~"),"*","~*"),"?","~?"))&gt;1),1,0))</x:f>
        <x:v>0</x:v>
      </x:c>
      <x:c r="HM477" t="str">
        <x:f>IF('Calculations'!EM477="","",IF('Calculations'!HL477=1,"!UNRESOLVED",IF('Calculations'!IH477&lt;&gt;"",'Calculations'!IH477,IF('Calculations'!IG477&lt;&gt;"",'Calculations'!IG477,IF('Calculations'!IF477&lt;&gt;"",'Calculations'!IF477,IF('Calculations'!IE477&lt;&gt;"",'Calculations'!IE477,IF('Calculations'!ID477&lt;&gt;"",'Calculations'!ID477,IF('Calculations'!IC477&lt;&gt;"",'Calculations'!IC477,IF('Calculations'!IB477&lt;&gt;"",'Calculations'!IB477,IF('Calculations'!IA477&lt;&gt;"",'Calculations'!IA477,IF('Calculations'!HZ477&lt;&gt;"",'Calculations'!HZ477,IF('Calculations'!HY477&lt;&gt;"",'Calculations'!HY477,IF('Calculations'!HX477&lt;&gt;"",'Calculations'!HX477,IF('Calculations'!HW477&lt;&gt;"",'Calculations'!HW477,IF('Calculations'!HV477&lt;&gt;"",'Calculations'!HV477,IF('Calculations'!HU477&lt;&gt;"",'Calculations'!HU477,IF('Calculations'!HT477&lt;&gt;"",'Calculations'!HT477,IF('Calculations'!HS477&lt;&gt;"",'Calculations'!HS477,IF('Calculations'!HR477&lt;&gt;"",'Calculations'!HR477,IF('Calculations'!HQ477&lt;&gt;"",'Calculations'!HQ477,IF('Calculations'!HP477&lt;&gt;"",'Calculations'!HP477,IF('Calculations'!HO477&lt;&gt;"",'Calculations'!HO477,'Calculations'!HE477))))))))))))))))))))))</x:f>
      </x:c>
      <x:c r="HN477" t="str">
        <x:f>IF('Calculations'!EM477="","",IF(IFERROR(IF(INDEX(INDIRECT("'WCM Calibration Final'!$F$1:$F$2000"),'Calculations'!$EM477)="","",TRIM(INDEX(INDIRECT("'WCM Calibration Final'!$F$1:$F$2000"),'Calculations'!$EM477)&amp;"")),"")="","(Blank)",IFERROR(IF(INDEX(INDIRECT("'WCM Calibration Final'!$F$1:$F$2000"),'Calculations'!$EM477)="","",TRIM(INDEX(INDIRECT("'WCM Calibration Final'!$F$1:$F$2000"),'Calculations'!$EM477)&amp;"")),"")))</x:f>
      </x:c>
      <x:c r="HO477" t="str">
        <x:f>'Calculations'!HF477</x:f>
      </x:c>
      <x:c r="HP477" t="str">
        <x:f>IF('Calculations'!HO477="","",IF('Calculations'!HO477="!AMBIG","!AMBIG",IF(COUNTIF('Calculations'!$HE$13:$HE$512,"="&amp;SUBSTITUTE(SUBSTITUTE(SUBSTITUTE('Calculations'!HO477,"~","~~"),"*","~*"),"?","~?"))&gt;1,"!AMBIG",IFERROR(INDEX('Calculations'!$HF$13:$HF$512,MATCH('Calculations'!HO477,'Calculations'!$HE$13:$HE$512,0)),""))))</x:f>
      </x:c>
      <x:c r="HQ477" t="str">
        <x:f>IF('Calculations'!HP477="","",IF('Calculations'!HP477="!AMBIG","!AMBIG",IF(COUNTIF('Calculations'!$HE$13:$HE$512,"="&amp;SUBSTITUTE(SUBSTITUTE(SUBSTITUTE('Calculations'!HP477,"~","~~"),"*","~*"),"?","~?"))&gt;1,"!AMBIG",IFERROR(INDEX('Calculations'!$HF$13:$HF$512,MATCH('Calculations'!HP477,'Calculations'!$HE$13:$HE$512,0)),""))))</x:f>
      </x:c>
      <x:c r="HR477" t="str">
        <x:f>IF('Calculations'!HQ477="","",IF('Calculations'!HQ477="!AMBIG","!AMBIG",IF(COUNTIF('Calculations'!$HE$13:$HE$512,"="&amp;SUBSTITUTE(SUBSTITUTE(SUBSTITUTE('Calculations'!HQ477,"~","~~"),"*","~*"),"?","~?"))&gt;1,"!AMBIG",IFERROR(INDEX('Calculations'!$HF$13:$HF$512,MATCH('Calculations'!HQ477,'Calculations'!$HE$13:$HE$512,0)),""))))</x:f>
      </x:c>
      <x:c r="HS477" t="str">
        <x:f>IF('Calculations'!HR477="","",IF('Calculations'!HR477="!AMBIG","!AMBIG",IF(COUNTIF('Calculations'!$HE$13:$HE$512,"="&amp;SUBSTITUTE(SUBSTITUTE(SUBSTITUTE('Calculations'!HR477,"~","~~"),"*","~*"),"?","~?"))&gt;1,"!AMBIG",IFERROR(INDEX('Calculations'!$HF$13:$HF$512,MATCH('Calculations'!HR477,'Calculations'!$HE$13:$HE$512,0)),""))))</x:f>
      </x:c>
      <x:c r="HT477" t="str">
        <x:f>IF('Calculations'!HS477="","",IF('Calculations'!HS477="!AMBIG","!AMBIG",IF(COUNTIF('Calculations'!$HE$13:$HE$512,"="&amp;SUBSTITUTE(SUBSTITUTE(SUBSTITUTE('Calculations'!HS477,"~","~~"),"*","~*"),"?","~?"))&gt;1,"!AMBIG",IFERROR(INDEX('Calculations'!$HF$13:$HF$512,MATCH('Calculations'!HS477,'Calculations'!$HE$13:$HE$512,0)),""))))</x:f>
      </x:c>
      <x:c r="HU477" t="str">
        <x:f>IF('Calculations'!HT477="","",IF('Calculations'!HT477="!AMBIG","!AMBIG",IF(COUNTIF('Calculations'!$HE$13:$HE$512,"="&amp;SUBSTITUTE(SUBSTITUTE(SUBSTITUTE('Calculations'!HT477,"~","~~"),"*","~*"),"?","~?"))&gt;1,"!AMBIG",IFERROR(INDEX('Calculations'!$HF$13:$HF$512,MATCH('Calculations'!HT477,'Calculations'!$HE$13:$HE$512,0)),""))))</x:f>
      </x:c>
      <x:c r="HV477" t="str">
        <x:f>IF('Calculations'!HU477="","",IF('Calculations'!HU477="!AMBIG","!AMBIG",IF(COUNTIF('Calculations'!$HE$13:$HE$512,"="&amp;SUBSTITUTE(SUBSTITUTE(SUBSTITUTE('Calculations'!HU477,"~","~~"),"*","~*"),"?","~?"))&gt;1,"!AMBIG",IFERROR(INDEX('Calculations'!$HF$13:$HF$512,MATCH('Calculations'!HU477,'Calculations'!$HE$13:$HE$512,0)),""))))</x:f>
      </x:c>
      <x:c r="HW477" t="str">
        <x:f>IF('Calculations'!HV477="","",IF('Calculations'!HV477="!AMBIG","!AMBIG",IF(COUNTIF('Calculations'!$HE$13:$HE$512,"="&amp;SUBSTITUTE(SUBSTITUTE(SUBSTITUTE('Calculations'!HV477,"~","~~"),"*","~*"),"?","~?"))&gt;1,"!AMBIG",IFERROR(INDEX('Calculations'!$HF$13:$HF$512,MATCH('Calculations'!HV477,'Calculations'!$HE$13:$HE$512,0)),""))))</x:f>
      </x:c>
      <x:c r="HX477" t="str">
        <x:f>IF('Calculations'!HW477="","",IF('Calculations'!HW477="!AMBIG","!AMBIG",IF(COUNTIF('Calculations'!$HE$13:$HE$512,"="&amp;SUBSTITUTE(SUBSTITUTE(SUBSTITUTE('Calculations'!HW477,"~","~~"),"*","~*"),"?","~?"))&gt;1,"!AMBIG",IFERROR(INDEX('Calculations'!$HF$13:$HF$512,MATCH('Calculations'!HW477,'Calculations'!$HE$13:$HE$512,0)),""))))</x:f>
      </x:c>
      <x:c r="HY477" t="str">
        <x:f>IF('Calculations'!HX477="","",IF('Calculations'!HX477="!AMBIG","!AMBIG",IF(COUNTIF('Calculations'!$HE$13:$HE$512,"="&amp;SUBSTITUTE(SUBSTITUTE(SUBSTITUTE('Calculations'!HX477,"~","~~"),"*","~*"),"?","~?"))&gt;1,"!AMBIG",IFERROR(INDEX('Calculations'!$HF$13:$HF$512,MATCH('Calculations'!HX477,'Calculations'!$HE$13:$HE$512,0)),""))))</x:f>
      </x:c>
      <x:c r="HZ477" t="str">
        <x:f>IF('Calculations'!HY477="","",IF('Calculations'!HY477="!AMBIG","!AMBIG",IF(COUNTIF('Calculations'!$HE$13:$HE$512,"="&amp;SUBSTITUTE(SUBSTITUTE(SUBSTITUTE('Calculations'!HY477,"~","~~"),"*","~*"),"?","~?"))&gt;1,"!AMBIG",IFERROR(INDEX('Calculations'!$HF$13:$HF$512,MATCH('Calculations'!HY477,'Calculations'!$HE$13:$HE$512,0)),""))))</x:f>
      </x:c>
      <x:c r="IA477" t="str">
        <x:f>IF('Calculations'!HZ477="","",IF('Calculations'!HZ477="!AMBIG","!AMBIG",IF(COUNTIF('Calculations'!$HE$13:$HE$512,"="&amp;SUBSTITUTE(SUBSTITUTE(SUBSTITUTE('Calculations'!HZ477,"~","~~"),"*","~*"),"?","~?"))&gt;1,"!AMBIG",IFERROR(INDEX('Calculations'!$HF$13:$HF$512,MATCH('Calculations'!HZ477,'Calculations'!$HE$13:$HE$512,0)),""))))</x:f>
      </x:c>
      <x:c r="IB477" t="str">
        <x:f>IF('Calculations'!IA477="","",IF('Calculations'!IA477="!AMBIG","!AMBIG",IF(COUNTIF('Calculations'!$HE$13:$HE$512,"="&amp;SUBSTITUTE(SUBSTITUTE(SUBSTITUTE('Calculations'!IA477,"~","~~"),"*","~*"),"?","~?"))&gt;1,"!AMBIG",IFERROR(INDEX('Calculations'!$HF$13:$HF$512,MATCH('Calculations'!IA477,'Calculations'!$HE$13:$HE$512,0)),""))))</x:f>
      </x:c>
      <x:c r="IC477" t="str">
        <x:f>IF('Calculations'!IB477="","",IF('Calculations'!IB477="!AMBIG","!AMBIG",IF(COUNTIF('Calculations'!$HE$13:$HE$512,"="&amp;SUBSTITUTE(SUBSTITUTE(SUBSTITUTE('Calculations'!IB477,"~","~~"),"*","~*"),"?","~?"))&gt;1,"!AMBIG",IFERROR(INDEX('Calculations'!$HF$13:$HF$512,MATCH('Calculations'!IB477,'Calculations'!$HE$13:$HE$512,0)),""))))</x:f>
      </x:c>
      <x:c r="ID477" t="str">
        <x:f>IF('Calculations'!IC477="","",IF('Calculations'!IC477="!AMBIG","!AMBIG",IF(COUNTIF('Calculations'!$HE$13:$HE$512,"="&amp;SUBSTITUTE(SUBSTITUTE(SUBSTITUTE('Calculations'!IC477,"~","~~"),"*","~*"),"?","~?"))&gt;1,"!AMBIG",IFERROR(INDEX('Calculations'!$HF$13:$HF$512,MATCH('Calculations'!IC477,'Calculations'!$HE$13:$HE$512,0)),""))))</x:f>
      </x:c>
      <x:c r="IE477" t="str">
        <x:f>IF('Calculations'!ID477="","",IF('Calculations'!ID477="!AMBIG","!AMBIG",IF(COUNTIF('Calculations'!$HE$13:$HE$512,"="&amp;SUBSTITUTE(SUBSTITUTE(SUBSTITUTE('Calculations'!ID477,"~","~~"),"*","~*"),"?","~?"))&gt;1,"!AMBIG",IFERROR(INDEX('Calculations'!$HF$13:$HF$512,MATCH('Calculations'!ID477,'Calculations'!$HE$13:$HE$512,0)),""))))</x:f>
      </x:c>
      <x:c r="IF477" t="str">
        <x:f>IF('Calculations'!IE477="","",IF('Calculations'!IE477="!AMBIG","!AMBIG",IF(COUNTIF('Calculations'!$HE$13:$HE$512,"="&amp;SUBSTITUTE(SUBSTITUTE(SUBSTITUTE('Calculations'!IE477,"~","~~"),"*","~*"),"?","~?"))&gt;1,"!AMBIG",IFERROR(INDEX('Calculations'!$HF$13:$HF$512,MATCH('Calculations'!IE477,'Calculations'!$HE$13:$HE$512,0)),""))))</x:f>
      </x:c>
      <x:c r="IG477" t="str">
        <x:f>IF('Calculations'!IF477="","",IF('Calculations'!IF477="!AMBIG","!AMBIG",IF(COUNTIF('Calculations'!$HE$13:$HE$512,"="&amp;SUBSTITUTE(SUBSTITUTE(SUBSTITUTE('Calculations'!IF477,"~","~~"),"*","~*"),"?","~?"))&gt;1,"!AMBIG",IFERROR(INDEX('Calculations'!$HF$13:$HF$512,MATCH('Calculations'!IF477,'Calculations'!$HE$13:$HE$512,0)),""))))</x:f>
      </x:c>
      <x:c r="IH477" t="str">
        <x:f>IF('Calculations'!IG477="","",IF('Calculations'!IG477="!AMBIG","!AMBIG",IF(COUNTIF('Calculations'!$HE$13:$HE$512,"="&amp;SUBSTITUTE(SUBSTITUTE(SUBSTITUTE('Calculations'!IG477,"~","~~"),"*","~*"),"?","~?"))&gt;1,"!AMBIG",IFERROR(INDEX('Calculations'!$HF$13:$HF$512,MATCH('Calculations'!IG477,'Calculations'!$HE$13:$HE$512,0)),""))))</x:f>
      </x:c>
      <x:c r="II477" t="str">
        <x:f>IF('Calculations'!IH477="","",IF('Calculations'!IH477="!AMBIG","!AMBIG",IF(COUNTIF('Calculations'!$HE$13:$HE$512,"="&amp;SUBSTITUTE(SUBSTITUTE(SUBSTITUTE('Calculations'!IH477,"~","~~"),"*","~*"),"?","~?"))&gt;1,"!AMBIG",IFERROR(INDEX('Calculations'!$HF$13:$HF$512,MATCH('Calculations'!IH477,'Calculations'!$HE$13:$HE$512,0)),""))))</x:f>
      </x:c>
      <x:c r="IJ477" t="str">
        <x:f>IF('Calculations'!EM477="","",IF('Calculations'!$EF$2="All",'Calculations'!HM477,IF('Calculations'!HL477=1,"",IFERROR(IF(MATCH('Calculations'!$EF$2,'Calculations'!HO477:II477,0)=1,'Calculations'!HE477,INDEX('Calculations'!HO477:II477,1,MATCH('Calculations'!$EF$2,'Calculations'!HO477:II477,0)-1)),""))))</x:f>
      </x:c>
      <x:c r="IK477" t="n">
        <x:f>IF(AND('Calculations'!EM477&lt;&gt;"",'Calculations'!$EF$2&lt;&gt;"All",'Calculations'!HF477='Calculations'!$EF$2,'Calculations'!HL477=0,'Calculations'!JD477&gt;0),MAX('Calculations'!$IK$12:IK476)+1,0)</x:f>
        <x:v>0</x:v>
      </x:c>
      <x:c r="JA477" t="n">
        <x:f>IF(OR(IFERROR(INDIRECT("'WCM Calibration Final'!$A$477")&lt;&gt;"",FALSE),IFERROR(INDIRECT("'WCM Calibration Final'!$B$477")&lt;&gt;"",FALSE),IFERROR(INDIRECT("'WCM Calibration Final'!$C$477")&lt;&gt;"",FALSE)),477,0)</x:f>
        <x:v>0</x:v>
      </x:c>
      <x:c r="JB477" t="n">
        <x:f>'Calculations'!JB476+IF('Calculations'!JA477&gt;0,1,0)</x:f>
        <x:v>0</x:v>
      </x:c>
      <x:c r="JC477" t="n">
        <x:f>IF(OR('Calculations'!HF477="",'Calculations'!HF477="!AMBIG"),0,IF('Dashboard'!$B$7="All",1,COUNTIFS('Calculations'!$HO$13:$HO$512,"="&amp;SUBSTITUTE(SUBSTITUTE(SUBSTITUTE('Calculations'!HF477,"~","~~"),"*","~*"),"?","~?"),'Calculations'!$HN$13:$HN$512,"="&amp;SUBSTITUTE(SUBSTITUTE(SUBSTITUTE('Dashboard'!$B$7,"~","~~"),"*","~*"),"?","~?"))+COUNTIFS('Calculations'!$HP$13:$HP$512,"="&amp;SUBSTITUTE(SUBSTITUTE(SUBSTITUTE('Calculations'!HF477,"~","~~"),"*","~*"),"?","~?"),'Calculations'!$HN$13:$HN$512,"="&amp;SUBSTITUTE(SUBSTITUTE(SUBSTITUTE('Dashboard'!$B$7,"~","~~"),"*","~*"),"?","~?"))+COUNTIFS('Calculations'!$HQ$13:$HQ$512,"="&amp;SUBSTITUTE(SUBSTITUTE(SUBSTITUTE('Calculations'!HF477,"~","~~"),"*","~*"),"?","~?"),'Calculations'!$HN$13:$HN$512,"="&amp;SUBSTITUTE(SUBSTITUTE(SUBSTITUTE('Dashboard'!$B$7,"~","~~"),"*","~*"),"?","~?"))+COUNTIFS('Calculations'!$HR$13:$HR$512,"="&amp;SUBSTITUTE(SUBSTITUTE(SUBSTITUTE('Calculations'!HF477,"~","~~"),"*","~*"),"?","~?"),'Calculations'!$HN$13:$HN$512,"="&amp;SUBSTITUTE(SUBSTITUTE(SUBSTITUTE('Dashboard'!$B$7,"~","~~"),"*","~*"),"?","~?"))+COUNTIFS('Calculations'!$HS$13:$HS$512,"="&amp;SUBSTITUTE(SUBSTITUTE(SUBSTITUTE('Calculations'!HF477,"~","~~"),"*","~*"),"?","~?"),'Calculations'!$HN$13:$HN$512,"="&amp;SUBSTITUTE(SUBSTITUTE(SUBSTITUTE('Dashboard'!$B$7,"~","~~"),"*","~*"),"?","~?"))+COUNTIFS('Calculations'!$HT$13:$HT$512,"="&amp;SUBSTITUTE(SUBSTITUTE(SUBSTITUTE('Calculations'!HF477,"~","~~"),"*","~*"),"?","~?"),'Calculations'!$HN$13:$HN$512,"="&amp;SUBSTITUTE(SUBSTITUTE(SUBSTITUTE('Dashboard'!$B$7,"~","~~"),"*","~*"),"?","~?"))+COUNTIFS('Calculations'!$HU$13:$HU$512,"="&amp;SUBSTITUTE(SUBSTITUTE(SUBSTITUTE('Calculations'!HF477,"~","~~"),"*","~*"),"?","~?"),'Calculations'!$HN$13:$HN$512,"="&amp;SUBSTITUTE(SUBSTITUTE(SUBSTITUTE('Dashboard'!$B$7,"~","~~"),"*","~*"),"?","~?"))+COUNTIFS('Calculations'!$HV$13:$HV$512,"="&amp;SUBSTITUTE(SUBSTITUTE(SUBSTITUTE('Calculations'!HF477,"~","~~"),"*","~*"),"?","~?"),'Calculations'!$HN$13:$HN$512,"="&amp;SUBSTITUTE(SUBSTITUTE(SUBSTITUTE('Dashboard'!$B$7,"~","~~"),"*","~*"),"?","~?"))+COUNTIFS('Calculations'!$HW$13:$HW$512,"="&amp;SUBSTITUTE(SUBSTITUTE(SUBSTITUTE('Calculations'!HF477,"~","~~"),"*","~*"),"?","~?"),'Calculations'!$HN$13:$HN$512,"="&amp;SUBSTITUTE(SUBSTITUTE(SUBSTITUTE('Dashboard'!$B$7,"~","~~"),"*","~*"),"?","~?"))+COUNTIFS('Calculations'!$HX$13:$HX$512,"="&amp;SUBSTITUTE(SUBSTITUTE(SUBSTITUTE('Calculations'!HF477,"~","~~"),"*","~*"),"?","~?"),'Calculations'!$HN$13:$HN$512,"="&amp;SUBSTITUTE(SUBSTITUTE(SUBSTITUTE('Dashboard'!$B$7,"~","~~"),"*","~*"),"?","~?"))+COUNTIFS('Calculations'!$HY$13:$HY$512,"="&amp;SUBSTITUTE(SUBSTITUTE(SUBSTITUTE('Calculations'!HF477,"~","~~"),"*","~*"),"?","~?"),'Calculations'!$HN$13:$HN$512,"="&amp;SUBSTITUTE(SUBSTITUTE(SUBSTITUTE('Dashboard'!$B$7,"~","~~"),"*","~*"),"?","~?"))+COUNTIFS('Calculations'!$HZ$13:$HZ$512,"="&amp;SUBSTITUTE(SUBSTITUTE(SUBSTITUTE('Calculations'!HF477,"~","~~"),"*","~*"),"?","~?"),'Calculations'!$HN$13:$HN$512,"="&amp;SUBSTITUTE(SUBSTITUTE(SUBSTITUTE('Dashboard'!$B$7,"~","~~"),"*","~*"),"?","~?"))+COUNTIFS('Calculations'!$IA$13:$IA$512,"="&amp;SUBSTITUTE(SUBSTITUTE(SUBSTITUTE('Calculations'!HF477,"~","~~"),"*","~*"),"?","~?"),'Calculations'!$HN$13:$HN$512,"="&amp;SUBSTITUTE(SUBSTITUTE(SUBSTITUTE('Dashboard'!$B$7,"~","~~"),"*","~*"),"?","~?"))+COUNTIFS('Calculations'!$IB$13:$IB$512,"="&amp;SUBSTITUTE(SUBSTITUTE(SUBSTITUTE('Calculations'!HF477,"~","~~"),"*","~*"),"?","~?"),'Calculations'!$HN$13:$HN$512,"="&amp;SUBSTITUTE(SUBSTITUTE(SUBSTITUTE('Dashboard'!$B$7,"~","~~"),"*","~*"),"?","~?"))+COUNTIFS('Calculations'!$IC$13:$IC$512,"="&amp;SUBSTITUTE(SUBSTITUTE(SUBSTITUTE('Calculations'!HF477,"~","~~"),"*","~*"),"?","~?"),'Calculations'!$HN$13:$HN$512,"="&amp;SUBSTITUTE(SUBSTITUTE(SUBSTITUTE('Dashboard'!$B$7,"~","~~"),"*","~*"),"?","~?"))+COUNTIFS('Calculations'!$ID$13:$ID$512,"="&amp;SUBSTITUTE(SUBSTITUTE(SUBSTITUTE('Calculations'!HF477,"~","~~"),"*","~*"),"?","~?"),'Calculations'!$HN$13:$HN$512,"="&amp;SUBSTITUTE(SUBSTITUTE(SUBSTITUTE('Dashboard'!$B$7,"~","~~"),"*","~*"),"?","~?"))+COUNTIFS('Calculations'!$IE$13:$IE$512,"="&amp;SUBSTITUTE(SUBSTITUTE(SUBSTITUTE('Calculations'!HF477,"~","~~"),"*","~*"),"?","~?"),'Calculations'!$HN$13:$HN$512,"="&amp;SUBSTITUTE(SUBSTITUTE(SUBSTITUTE('Dashboard'!$B$7,"~","~~"),"*","~*"),"?","~?"))+COUNTIFS('Calculations'!$IF$13:$IF$512,"="&amp;SUBSTITUTE(SUBSTITUTE(SUBSTITUTE('Calculations'!HF477,"~","~~"),"*","~*"),"?","~?"),'Calculations'!$HN$13:$HN$512,"="&amp;SUBSTITUTE(SUBSTITUTE(SUBSTITUTE('Dashboard'!$B$7,"~","~~"),"*","~*"),"?","~?"))+COUNTIFS('Calculations'!$IG$13:$IG$512,"="&amp;SUBSTITUTE(SUBSTITUTE(SUBSTITUTE('Calculations'!HF477,"~","~~"),"*","~*"),"?","~?"),'Calculations'!$HN$13:$HN$512,"="&amp;SUBSTITUTE(SUBSTITUTE(SUBSTITUTE('Dashboard'!$B$7,"~","~~"),"*","~*"),"?","~?"))+COUNTIFS('Calculations'!$IH$13:$IH$512,"="&amp;SUBSTITUTE(SUBSTITUTE(SUBSTITUTE('Calculations'!HF477,"~","~~"),"*","~*"),"?","~?"),'Calculations'!$HN$13:$HN$512,"="&amp;SUBSTITUTE(SUBSTITUTE(SUBSTITUTE('Dashboard'!$B$7,"~","~~"),"*","~*"),"?","~?"))))</x:f>
        <x:v>0</x:v>
      </x:c>
      <x:c r="JD477" t="n">
        <x:f>IF('Calculations'!EM477="",0,IF('Dashboard'!$B$7="All",1,IF('Calculations'!HN477='Dashboard'!$B$7,1,0)+IFERROR(INDEX('Calculations'!$JC$13:$JC$512,MATCH('Calculations'!HE477,'Calculations'!$HF$13:$HF$512,0)),0)))</x:f>
        <x:v>0</x:v>
      </x:c>
      <x:c r="JE477" t="n">
        <x:f>IF(AND('Calculations'!EM477&lt;&gt;"",'Calculations'!$JJ$2&lt;&gt;"All",'Calculations'!$JJ$2&lt;&gt;"",'Calculations'!HF477='Calculations'!$JJ$2,'Calculations'!HL477=0,'Calculations'!JD477&gt;0),MAX('Calculations'!$JE$12:JE476)+1,0)</x:f>
        <x:v>0</x:v>
      </x:c>
      <x:c r="JF477" t="str">
        <x:f>IF('Calculations'!EM477="","",IFERROR(IF(INDEX(INDIRECT("'WCM Calibration Final'!$G$1:$G$2000"),'Calculations'!$EM477)="","",TRIM(INDEX(INDIRECT("'WCM Calibration Final'!$G$1:$G$2000"),'Calculations'!$EM477)&amp;"")),""))</x:f>
      </x:c>
      <x:c r="JQ477" t="n">
        <x:f>IF(OR('Calculations'!BM477=0,NOT('Calculations'!$AG$2),'Calculations'!$AG$8&gt;0),0,IF(OR('Dashboard'!$B$7="All",'Calculations'!HN477='Dashboard'!$B$7),IF('Calculations'!$JJ$2="All",1,IF(AND('Calculations'!HF477='Calculations'!$JJ$2,'Calculations'!HL477=0),1,0)),0))</x:f>
        <x:v>0</x:v>
      </x:c>
    </x:row>
    <x:row r="478">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t="n">
        <x:f>IF('Calculations'!$EM478="",0,IF(OR(IFERROR(INDEX(INDIRECT("'WCM Calibration Final'!$A$1:$A$2000"),'Calculations'!$EM478)&lt;&gt;"",FALSE),IFERROR(INDEX(INDIRECT("'WCM Calibration Final'!$B$1:$B$2000"),'Calculations'!$EM478)&lt;&gt;"",FALSE),IFERROR(INDEX(INDIRECT("'WCM Calibration Final'!$C$1:$C$2000"),'Calculations'!$EM478)&lt;&gt;"",FALSE)),1,0))</x:f>
        <x:v>0</x:v>
      </x:c>
      <x:c r="BN478" s="4" t="n">
        <x:f>IF(AND('Calculations'!BM478=1,'Calculations'!$AG$2,'Calculations'!$EN478=1),1,0)</x:f>
        <x:v>0</x:v>
      </x:c>
      <x:c r="BO478" s="4" t="str">
        <x:f>IF('Calculations'!BM478=0,"",IFERROR(IF(AND(VALUE(INDEX(INDIRECT("'WCM Calibration Final'!$K$1:$K$2000"),'Calculations'!$EM478))&gt;=1,VALUE(INDEX(INDIRECT("'WCM Calibration Final'!$K$1:$K$2000"),'Calculations'!$EM478))&lt;=4,MOD(VALUE(INDEX(INDIRECT("'WCM Calibration Final'!$K$1:$K$2000"),'Calculations'!$EM478)),1)=0),VALUE(INDEX(INDIRECT("'WCM Calibration Final'!$K$1:$K$2000"),'Calculations'!$EM478)),""),""))</x:f>
      </x:c>
      <x:c r="BP478" s="4" t="str">
        <x:f>IF('Calculations'!BM478=0,"",IFERROR(IF(AND(VALUE(INDEX(INDIRECT("'WCM Calibration Final'!$L$1:$L$2000"),'Calculations'!$EM478))&gt;=1,VALUE(INDEX(INDIRECT("'WCM Calibration Final'!$L$1:$L$2000"),'Calculations'!$EM478))&lt;=4,MOD(VALUE(INDEX(INDIRECT("'WCM Calibration Final'!$L$1:$L$2000"),'Calculations'!$EM478)),1)=0),VALUE(INDEX(INDIRECT("'WCM Calibration Final'!$L$1:$L$2000"),'Calculations'!$EM478)),""),""))</x:f>
      </x:c>
      <x:c r="BQ478" s="4"/>
      <x:c r="BR478" s="4"/>
      <x:c r="BS478" s="4"/>
      <x:c r="BT478" s="4" t="n">
        <x:f>IF(AND('Calculations'!BM478=1,ISNUMBER('Calculations'!BO478),ISNUMBER('Calculations'!BP478)),1,0)</x:f>
        <x:v>0</x:v>
      </x:c>
      <x:c r="BU478" s="4" t="str">
        <x:f>IF('Calculations'!BM478=0,"",'Calculations'!$EO478)</x:f>
      </x:c>
      <x:c r="BV478" s="4" t="str">
        <x:f>IF('Calculations'!BM478=0,"",IFERROR(IF(OR(INDEX(INDIRECT("'WCM Calibration Final'!$H$1:$H$2000"),'Calculations'!$EM478)="MANAGING DIRECTOR",INDEX(INDIRECT("'WCM Calibration Final'!$H$1:$H$2000"),'Calculations'!$EM478)="DIRECTOR",INDEX(INDIRECT("'WCM Calibration Final'!$H$1:$H$2000"),'Calculations'!$EM478)="SENIOR VICE PRESIDENT",INDEX(INDIRECT("'WCM Calibration Final'!$H$1:$H$2000"),'Calculations'!$EM478)="VICE PRESIDENT",INDEX(INDIRECT("'WCM Calibration Final'!$H$1:$H$2000"),'Calculations'!$EM478)="ASSISTANT VICE PRESIDENT",INDEX(INDIRECT("'WCM Calibration Final'!$H$1:$H$2000"),'Calculations'!$EM478)="OFFICER"),UPPER(INDEX(INDIRECT("'WCM Calibration Final'!$H$1:$H$2000"),'Calculations'!$EM478)),"Other"),"Other"))</x:f>
      </x:c>
      <x:c r="BW478" s="4"/>
      <x:c r="BX478" s="4"/>
      <x:c r="BY478" s="4" t="n">
        <x:f>IF(AND('Calculations'!BM478=1,'Calculations'!BU478&lt;&gt;"",COUNTIF('Calculations'!$BU$12:BU478,'Calculations'!BU478)=1),MAX('Calculations'!$BY$11:BY477)+1,0)</x:f>
        <x:v>0</x:v>
      </x:c>
      <x:c r="BZ478" s="4" t="str">
        <x:f>IF('Dashboard'!$E$67="What",'Calculations'!BO478,'Calculations'!BP478)</x:f>
      </x:c>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t="str">
        <x:f>IF(467&gt;MAX('Calculations'!$HI$13:$HI$512),"",INDEX('Calculations'!$HN$13:$HN$512,MATCH(467,'Calculations'!$HI$13:$HI$512,0)))</x:f>
      </x:c>
      <x:c r="DB478" s="4" t="str">
        <x:f>IF(467&gt;MAX('Calculations'!$HH$13:$HH$512),"",INDEX('Calculations'!$HJ$13:$HJ$512,MATCH(467,'Calculations'!$HH$13:$HH$512,0)))</x:f>
      </x:c>
      <x:c r="DC478" s="4" t="str">
        <x:f>IF(ROW()-11&gt;MAX('Calculations'!$BY$13:$BY$512),"",INDEX('Calculations'!$BU$13:$BU$512,MATCH(ROW()-11,'Calculations'!$BY$13:$BY$512,0)))</x:f>
      </x:c>
      <x:c r="DD478" s="4" t="str">
        <x:f>IF(467&gt;MAX('Calculations'!$IK$13:$IK$512),"",INDEX('Calculations'!$HK$13:$HK$512,MATCH(467,'Calculations'!$IK$13:$IK$512,0)))</x:f>
      </x:c>
      <x:c r="DE478" s="4" t="str">
        <x:f>'Calculations'!DC478</x:f>
      </x:c>
      <x:c r="DF478" s="4" t="str">
        <x:f>IF('Calculations'!DE478="","",COUNTIFS('Calculations'!$BN$13:$BN$512,1,'Calculations'!$BU$13:$BU$512,'Calculations'!DE478))</x:f>
      </x:c>
      <x:c r="DG478" s="4" t="str">
        <x:f>IF('Calculations'!DE478="","",COUNTIFS('Calculations'!$BN$13:$BN$512,1,'Calculations'!$BU$13:$BU$512,'Calculations'!DE478,'Calculations'!$BT$13:$BT$512,1))</x:f>
      </x:c>
      <x:c r="DH478" s="4" t="str">
        <x:f>IF('Calculations'!DE478="","",'Calculations'!DF478-'Calculations'!DG478)</x:f>
      </x:c>
      <x:c r="DI478" s="4" t="str">
        <x:f>IF(OR('Calculations'!DE478="",'Calculations'!DF478=0),"",'Calculations'!DG478/'Calculations'!DF478)</x:f>
      </x:c>
      <x:c r="DJ478" s="4" t="str">
        <x:f>IF('Calculations'!DE478="","",COUNTIFS('Calculations'!$BN$13:$BN$512,1,'Calculations'!$BU$13:$BU$512,'Calculations'!DE478,'Calculations'!$BT$13:$BT$512,1,'Calculations'!$EE$13:$EE$512,"High"))</x:f>
      </x:c>
      <x:c r="DK478" s="4" t="str">
        <x:f>IF('Calculations'!DE478="","",COUNTIFS('Calculations'!$BN$13:$BN$512,1,'Calculations'!$BU$13:$BU$512,'Calculations'!DE478,'Calculations'!$BT$13:$BT$512,1,'Calculations'!$EE$13:$EE$512,"Strong"))</x:f>
      </x:c>
      <x:c r="DL478" s="4" t="str">
        <x:f>IF('Calculations'!DE478="","",COUNTIFS('Calculations'!$BN$13:$BN$512,1,'Calculations'!$BU$13:$BU$512,'Calculations'!DE478,'Calculations'!$BT$13:$BT$512,1,'Calculations'!$EE$13:$EE$512,"Solid"))</x:f>
      </x:c>
      <x:c r="DM478" s="4" t="str">
        <x:f>IF('Calculations'!DE478="","",COUNTIFS('Calculations'!$BN$13:$BN$512,1,'Calculations'!$BU$13:$BU$512,'Calculations'!DE478,'Calculations'!$BT$13:$BT$512,1,'Calculations'!$EE$13:$EE$512,"Low"))</x:f>
      </x:c>
      <x:c r="DN478" s="4" t="str">
        <x:f>IF('Calculations'!DE478="","",COUNTIFS('Calculations'!$BN$13:$BN$512,1,'Calculations'!$BU$13:$BU$512,'Calculations'!DE478,'Calculations'!$EP$13:$EP$512,1))</x:f>
      </x:c>
      <x:c r="DO478" s="4" t="str">
        <x:f>IF(OR('Calculations'!DE478="",'Calculations'!DG478=0),"",('Calculations'!DJ478+'Calculations'!DK478)/'Calculations'!DG478)</x:f>
      </x:c>
      <x:c r="DP478" s="4" t="n">
        <x:f>IF(AND('Calculations'!DE478&lt;&gt;"",'Calculations'!DF478&gt;0),COUNTIF('Calculations'!$DF$12:DF478,"&gt;0"),0)</x:f>
        <x:v>0</x:v>
      </x:c>
      <x:c r="DQ478" s="4" t="str">
        <x:f>IF(467&gt;MAX('Calculations'!$HH$13:$HH$512),"",INDEX('Calculations'!$HF$13:$HF$512,MATCH(467,'Calculations'!$HH$13:$HH$512,0)))</x:f>
      </x:c>
      <x:c r="DR478" s="4" t="str">
        <x:f>IF(467&gt;MAX('Calculations'!$IK$13:$IK$512),"",INDEX('Calculations'!$HE$13:$HE$512,MATCH(467,'Calculations'!$IK$13:$IK$512,0)))</x:f>
      </x:c>
      <x:c r="DS478" s="4"/>
      <x:c r="DT478" s="4"/>
      <x:c r="DU478" s="4"/>
      <x:c r="DV478" s="4"/>
      <x:c r="DW478" s="4"/>
      <x:c r="DX478" s="4"/>
      <x:c r="DY478" s="4"/>
      <x:c r="DZ478" s="4"/>
      <x:c r="EA478" s="4"/>
      <x:c r="EB478" s="4"/>
      <x:c r="EC478" s="4"/>
      <x:c r="ED478" s="4"/>
      <x:c r="EE478" s="4" t="str">
        <x:f>IF('Calculations'!BT478=0,"Not Rated",IF(OR('Calculations'!BO478&gt;=4,'Calculations'!BP478&gt;=4),"Low",IF('Calculations'!BO478+'Calculations'!BP478&lt;=3,"High",IF('Calculations'!BO478+'Calculations'!BP478&lt;=4,"Strong","Solid"))))</x:f>
        <x:v>Not Rated</x:v>
      </x:c>
      <x:c r="EF478" s="4"/>
      <x:c r="EG478" s="4"/>
      <x:c r="EH478" s="4"/>
      <x:c r="EI478" s="4"/>
      <x:c r="EJ478" s="4"/>
      <x:c r="EK478" s="4"/>
      <x:c r="EL478" s="4"/>
      <x:c r="EM478" s="4" t="str">
        <x:f>IF(466&gt;'Calculations'!$JB$2000,"",INDEX('Calculations'!$JA$12:$JA$2000,MATCH(466,'Calculations'!$JB$12:$JB$2000,0)))</x:f>
      </x:c>
      <x:c r="EN478" s="4" t="n">
        <x:f>IF(OR('Calculations'!EM478="",'Calculations'!$AG$8&gt;0,AND('Calculations'!$EF$2&lt;&gt;"All",'Calculations'!HE478='Calculations'!$EF$2),AND('Calculations'!$EF$3&lt;&gt;"All",'Calculations'!HE478='Calculations'!$EF$3)),0,IF(OR('Dashboard'!$B$7="All",'Calculations'!HN478='Dashboard'!$B$7),IF('Calculations'!$EF$2="All",1,IF('Calculations'!HL478&gt;0,0,IF(COUNTIF('Calculations'!HO478:II478,"="&amp;SUBSTITUTE(SUBSTITUTE(SUBSTITUTE('Calculations'!$EF$2,"~","~~"),"*","~*"),"?","~?"))=0,0,IF('Calculations'!$EF$3="All",1,IF(COUNTIF('Calculations'!HO478:II478,"="&amp;SUBSTITUTE(SUBSTITUTE(SUBSTITUTE('Calculations'!$EF$3,"~","~~"),"*","~*"),"?","~?"))&gt;0,1,0))))),0))</x:f>
        <x:v>0</x:v>
      </x:c>
      <x:c r="EO478" s="4" t="str">
        <x:f>IF('Calculations'!IJ478="","",IF('Calculations'!IJ478="!UNRESOLVED","Unresolved hierarchy",IFERROR(INDEX('Calculations'!$HK$13:$HK$512,MATCH('Calculations'!IJ478,'Calculations'!$HE$13:$HE$512,0)),IFERROR(INDEX('Calculations'!$HJ$13:$HJ$512,MATCH('Calculations'!IJ478,'Calculations'!$HF$13:$HF$512,0)),'Calculations'!IJ478))))</x:f>
      </x:c>
      <x:c r="EP478" s="4" t="n">
        <x:f>IF(AND('Calculations'!EM478&lt;&gt;"",'Calculations'!HF478='Calculations'!IJ478),1,0)</x:f>
        <x:v>0</x:v>
      </x:c>
      <x:c r="EQ478" s="4"/>
      <x:c r="ER478" s="4"/>
      <x:c r="ES478" s="4"/>
      <x:c r="ET478" s="4"/>
      <x:c r="EU478" s="4"/>
      <x:c r="EV478" s="4"/>
      <x:c r="EW478" s="4"/>
      <x:c r="EX478" s="4"/>
      <x:c r="EY478" s="4"/>
      <x:c r="EZ478" s="4"/>
      <x:c r="FA478" s="4"/>
      <x:c r="FB478" s="4"/>
      <x:c r="FC478" s="4"/>
      <x:c r="FD478" s="4"/>
      <x:c r="FE478" s="4"/>
      <x:c r="FF478" s="4"/>
      <x:c r="FG478" s="4"/>
      <x:c r="FH478" s="4"/>
      <x:c r="FI478" s="4"/>
      <x:c r="FJ478" s="4"/>
      <x:c r="FK478" s="4"/>
      <x:c r="FL478" s="4"/>
      <x:c r="FM478" s="4"/>
      <x:c r="FN478" s="4"/>
      <x:c r="FO478" s="4"/>
      <x:c r="HE478" t="str">
        <x:f>IF('Calculations'!EM478="","",IF(IFERROR(IF(INDEX(INDIRECT("'WCM Calibration Final'!$A$1:$A$2000"),'Calculations'!$EM478)="","",TRIM(INDEX(INDIRECT("'WCM Calibration Final'!$A$1:$A$2000"),'Calculations'!$EM478)&amp;"")),"")&lt;&gt;"","G:"&amp;IFERROR(TEXT(1*INDEX(INDIRECT("'WCM Calibration Final'!$A$1:$A$2000"),'Calculations'!$EM478),"0"),UPPER(IFERROR(IF(INDEX(INDIRECT("'WCM Calibration Final'!$A$1:$A$2000"),'Calculations'!$EM478)="","",TRIM(INDEX(INDIRECT("'WCM Calibration Final'!$A$1:$A$2000"),'Calculations'!$EM478)&amp;"")),""))),IF(IFERROR(IF(INDEX(INDIRECT("'WCM Calibration Final'!$C$1:$C$2000"),'Calculations'!$EM478)="","",TRIM(INDEX(INDIRECT("'WCM Calibration Final'!$C$1:$C$2000"),'Calculations'!$EM478)&amp;"")),"")&lt;&gt;"","S:"&amp;UPPER(IFERROR(IF(INDEX(INDIRECT("'WCM Calibration Final'!$C$1:$C$2000"),'Calculations'!$EM478)="","",TRIM(INDEX(INDIRECT("'WCM Calibration Final'!$C$1:$C$2000"),'Calculations'!$EM478)&amp;"")),"")),"R:"&amp;'Calculations'!EM478)))</x:f>
      </x:c>
      <x:c r="HF478" t="str">
        <x:f>IF('Calculations'!EM478="","",IF(IFERROR(IF(INDEX(INDIRECT("'WCM Calibration Final'!$D$1:$D$2000"),'Calculations'!$EM478)="","",TRIM(INDEX(INDIRECT("'WCM Calibration Final'!$D$1:$D$2000"),'Calculations'!$EM478)&amp;"")),"")&lt;&gt;"","G:"&amp;IFERROR(TEXT(1*INDEX(INDIRECT("'WCM Calibration Final'!$D$1:$D$2000"),'Calculations'!$EM478),"0"),UPPER(IFERROR(IF(INDEX(INDIRECT("'WCM Calibration Final'!$D$1:$D$2000"),'Calculations'!$EM478)="","",TRIM(INDEX(INDIRECT("'WCM Calibration Final'!$D$1:$D$2000"),'Calculations'!$EM478)&amp;"")),""))),IF(IFERROR(IF(INDEX(INDIRECT("'WCM Calibration Final'!$E$1:$E$2000"),'Calculations'!$EM478)="","",TRIM(INDEX(INDIRECT("'WCM Calibration Final'!$E$1:$E$2000"),'Calculations'!$EM478)&amp;"")),"")="","",IF(COUNTIF('Calculations'!$HG$13:$HG$512,"="&amp;SUBSTITUTE(SUBSTITUTE(SUBSTITUTE(IFERROR(IF(INDEX(INDIRECT("'WCM Calibration Final'!$E$1:$E$2000"),'Calculations'!$EM478)="","",TRIM(INDEX(INDIRECT("'WCM Calibration Final'!$E$1:$E$2000"),'Calculations'!$EM478)&amp;"")),""),"~","~~"),"*","~*"),"?","~?"))=1,INDEX('Calculations'!$HE$13:$HE$512,MATCH(IFERROR(IF(INDEX(INDIRECT("'WCM Calibration Final'!$E$1:$E$2000"),'Calculations'!$EM478)="","",TRIM(INDEX(INDIRECT("'WCM Calibration Final'!$E$1:$E$2000"),'Calculations'!$EM478)&amp;"")),""),'Calculations'!$HG$13:$HG$512,0)),IF(COUNTIF('Calculations'!$HG$13:$HG$512,"="&amp;SUBSTITUTE(SUBSTITUTE(SUBSTITUTE(IFERROR(IF(INDEX(INDIRECT("'WCM Calibration Final'!$E$1:$E$2000"),'Calculations'!$EM478)="","",TRIM(INDEX(INDIRECT("'WCM Calibration Final'!$E$1:$E$2000"),'Calculations'!$EM478)&amp;"")),""),"~","~~"),"*","~*"),"?","~?"))&gt;1,"!AMBIG","X:"&amp;IFERROR(IF(INDEX(INDIRECT("'WCM Calibration Final'!$E$1:$E$2000"),'Calculations'!$EM478)="","",TRIM(INDEX(INDIRECT("'WCM Calibration Final'!$E$1:$E$2000"),'Calculations'!$EM478)&amp;"")),""))))))</x:f>
      </x:c>
      <x:c r="HG478" t="str">
        <x:f>IF('Calculations'!EM478="","",IFERROR(IF(INDEX(INDIRECT("'WCM Calibration Final'!$B$1:$B$2000"),'Calculations'!$EM478)="","",TRIM(INDEX(INDIRECT("'WCM Calibration Final'!$B$1:$B$2000"),'Calculations'!$EM478)&amp;"")),""))</x:f>
      </x:c>
      <x:c r="HH478" t="n">
        <x:f>IF(AND('Calculations'!JC478&gt;0,COUNTIF('Calculations'!$HF$12:HF478,"="&amp;SUBSTITUTE(SUBSTITUTE(SUBSTITUTE('Calculations'!HF478,"~","~~"),"*","~*"),"?","~?"))=1),MAX('Calculations'!$HH$12:HH477)+1,0)</x:f>
        <x:v>0</x:v>
      </x:c>
      <x:c r="HI478" t="n">
        <x:f>IF(AND('Calculations'!HN478&lt;&gt;"",COUNTIF('Calculations'!$HN$12:HN478,"="&amp;SUBSTITUTE(SUBSTITUTE(SUBSTITUTE('Calculations'!HN478,"~","~~"),"*","~*"),"?","~?"))=1),MAX('Calculations'!$HI$12:HI477)+1,0)</x:f>
        <x:v>0</x:v>
      </x:c>
      <x:c r="HJ478" t="str">
        <x:f>IF('Calculations'!HF478="","",IF(COUNTIF('Calculations'!$HE$13:$HE$512,"="&amp;SUBSTITUTE(SUBSTITUTE(SUBSTITUTE('Calculations'!HF478,"~","~~"),"*","~*"),"?","~?"))=1,INDEX('Calculations'!$HK$13:$HK$512,MATCH('Calculations'!HF478,'Calculations'!$HE$13:$HE$512,0)),IFERROR(IF(INDEX(INDIRECT("'WCM Calibration Final'!$E$1:$E$2000"),'Calculations'!$EM478)="","",TRIM(INDEX(INDIRECT("'WCM Calibration Final'!$E$1:$E$2000"),'Calculations'!$EM478)&amp;"")),"")&amp;" ["&amp;'Calculations'!HF478&amp;"]"))</x:f>
      </x:c>
      <x:c r="HK478" t="str">
        <x:f>IF('Calculations'!EM478="","",'Calculations'!HG478&amp;" ["&amp;'Calculations'!HE478&amp;"]")</x:f>
      </x:c>
      <x:c r="HL478" t="n">
        <x:f>IF('Calculations'!EM478="",0,IF(OR('Calculations'!II478&lt;&gt;"",COUNTIF('Calculations'!$HE$13:$HE$512,"="&amp;SUBSTITUTE(SUBSTITUTE(SUBSTITUTE('Calculations'!HE478,"~","~~"),"*","~*"),"?","~?"))&gt;1),1,0))</x:f>
        <x:v>0</x:v>
      </x:c>
      <x:c r="HM478" t="str">
        <x:f>IF('Calculations'!EM478="","",IF('Calculations'!HL478=1,"!UNRESOLVED",IF('Calculations'!IH478&lt;&gt;"",'Calculations'!IH478,IF('Calculations'!IG478&lt;&gt;"",'Calculations'!IG478,IF('Calculations'!IF478&lt;&gt;"",'Calculations'!IF478,IF('Calculations'!IE478&lt;&gt;"",'Calculations'!IE478,IF('Calculations'!ID478&lt;&gt;"",'Calculations'!ID478,IF('Calculations'!IC478&lt;&gt;"",'Calculations'!IC478,IF('Calculations'!IB478&lt;&gt;"",'Calculations'!IB478,IF('Calculations'!IA478&lt;&gt;"",'Calculations'!IA478,IF('Calculations'!HZ478&lt;&gt;"",'Calculations'!HZ478,IF('Calculations'!HY478&lt;&gt;"",'Calculations'!HY478,IF('Calculations'!HX478&lt;&gt;"",'Calculations'!HX478,IF('Calculations'!HW478&lt;&gt;"",'Calculations'!HW478,IF('Calculations'!HV478&lt;&gt;"",'Calculations'!HV478,IF('Calculations'!HU478&lt;&gt;"",'Calculations'!HU478,IF('Calculations'!HT478&lt;&gt;"",'Calculations'!HT478,IF('Calculations'!HS478&lt;&gt;"",'Calculations'!HS478,IF('Calculations'!HR478&lt;&gt;"",'Calculations'!HR478,IF('Calculations'!HQ478&lt;&gt;"",'Calculations'!HQ478,IF('Calculations'!HP478&lt;&gt;"",'Calculations'!HP478,IF('Calculations'!HO478&lt;&gt;"",'Calculations'!HO478,'Calculations'!HE478))))))))))))))))))))))</x:f>
      </x:c>
      <x:c r="HN478" t="str">
        <x:f>IF('Calculations'!EM478="","",IF(IFERROR(IF(INDEX(INDIRECT("'WCM Calibration Final'!$F$1:$F$2000"),'Calculations'!$EM478)="","",TRIM(INDEX(INDIRECT("'WCM Calibration Final'!$F$1:$F$2000"),'Calculations'!$EM478)&amp;"")),"")="","(Blank)",IFERROR(IF(INDEX(INDIRECT("'WCM Calibration Final'!$F$1:$F$2000"),'Calculations'!$EM478)="","",TRIM(INDEX(INDIRECT("'WCM Calibration Final'!$F$1:$F$2000"),'Calculations'!$EM478)&amp;"")),"")))</x:f>
      </x:c>
      <x:c r="HO478" t="str">
        <x:f>'Calculations'!HF478</x:f>
      </x:c>
      <x:c r="HP478" t="str">
        <x:f>IF('Calculations'!HO478="","",IF('Calculations'!HO478="!AMBIG","!AMBIG",IF(COUNTIF('Calculations'!$HE$13:$HE$512,"="&amp;SUBSTITUTE(SUBSTITUTE(SUBSTITUTE('Calculations'!HO478,"~","~~"),"*","~*"),"?","~?"))&gt;1,"!AMBIG",IFERROR(INDEX('Calculations'!$HF$13:$HF$512,MATCH('Calculations'!HO478,'Calculations'!$HE$13:$HE$512,0)),""))))</x:f>
      </x:c>
      <x:c r="HQ478" t="str">
        <x:f>IF('Calculations'!HP478="","",IF('Calculations'!HP478="!AMBIG","!AMBIG",IF(COUNTIF('Calculations'!$HE$13:$HE$512,"="&amp;SUBSTITUTE(SUBSTITUTE(SUBSTITUTE('Calculations'!HP478,"~","~~"),"*","~*"),"?","~?"))&gt;1,"!AMBIG",IFERROR(INDEX('Calculations'!$HF$13:$HF$512,MATCH('Calculations'!HP478,'Calculations'!$HE$13:$HE$512,0)),""))))</x:f>
      </x:c>
      <x:c r="HR478" t="str">
        <x:f>IF('Calculations'!HQ478="","",IF('Calculations'!HQ478="!AMBIG","!AMBIG",IF(COUNTIF('Calculations'!$HE$13:$HE$512,"="&amp;SUBSTITUTE(SUBSTITUTE(SUBSTITUTE('Calculations'!HQ478,"~","~~"),"*","~*"),"?","~?"))&gt;1,"!AMBIG",IFERROR(INDEX('Calculations'!$HF$13:$HF$512,MATCH('Calculations'!HQ478,'Calculations'!$HE$13:$HE$512,0)),""))))</x:f>
      </x:c>
      <x:c r="HS478" t="str">
        <x:f>IF('Calculations'!HR478="","",IF('Calculations'!HR478="!AMBIG","!AMBIG",IF(COUNTIF('Calculations'!$HE$13:$HE$512,"="&amp;SUBSTITUTE(SUBSTITUTE(SUBSTITUTE('Calculations'!HR478,"~","~~"),"*","~*"),"?","~?"))&gt;1,"!AMBIG",IFERROR(INDEX('Calculations'!$HF$13:$HF$512,MATCH('Calculations'!HR478,'Calculations'!$HE$13:$HE$512,0)),""))))</x:f>
      </x:c>
      <x:c r="HT478" t="str">
        <x:f>IF('Calculations'!HS478="","",IF('Calculations'!HS478="!AMBIG","!AMBIG",IF(COUNTIF('Calculations'!$HE$13:$HE$512,"="&amp;SUBSTITUTE(SUBSTITUTE(SUBSTITUTE('Calculations'!HS478,"~","~~"),"*","~*"),"?","~?"))&gt;1,"!AMBIG",IFERROR(INDEX('Calculations'!$HF$13:$HF$512,MATCH('Calculations'!HS478,'Calculations'!$HE$13:$HE$512,0)),""))))</x:f>
      </x:c>
      <x:c r="HU478" t="str">
        <x:f>IF('Calculations'!HT478="","",IF('Calculations'!HT478="!AMBIG","!AMBIG",IF(COUNTIF('Calculations'!$HE$13:$HE$512,"="&amp;SUBSTITUTE(SUBSTITUTE(SUBSTITUTE('Calculations'!HT478,"~","~~"),"*","~*"),"?","~?"))&gt;1,"!AMBIG",IFERROR(INDEX('Calculations'!$HF$13:$HF$512,MATCH('Calculations'!HT478,'Calculations'!$HE$13:$HE$512,0)),""))))</x:f>
      </x:c>
      <x:c r="HV478" t="str">
        <x:f>IF('Calculations'!HU478="","",IF('Calculations'!HU478="!AMBIG","!AMBIG",IF(COUNTIF('Calculations'!$HE$13:$HE$512,"="&amp;SUBSTITUTE(SUBSTITUTE(SUBSTITUTE('Calculations'!HU478,"~","~~"),"*","~*"),"?","~?"))&gt;1,"!AMBIG",IFERROR(INDEX('Calculations'!$HF$13:$HF$512,MATCH('Calculations'!HU478,'Calculations'!$HE$13:$HE$512,0)),""))))</x:f>
      </x:c>
      <x:c r="HW478" t="str">
        <x:f>IF('Calculations'!HV478="","",IF('Calculations'!HV478="!AMBIG","!AMBIG",IF(COUNTIF('Calculations'!$HE$13:$HE$512,"="&amp;SUBSTITUTE(SUBSTITUTE(SUBSTITUTE('Calculations'!HV478,"~","~~"),"*","~*"),"?","~?"))&gt;1,"!AMBIG",IFERROR(INDEX('Calculations'!$HF$13:$HF$512,MATCH('Calculations'!HV478,'Calculations'!$HE$13:$HE$512,0)),""))))</x:f>
      </x:c>
      <x:c r="HX478" t="str">
        <x:f>IF('Calculations'!HW478="","",IF('Calculations'!HW478="!AMBIG","!AMBIG",IF(COUNTIF('Calculations'!$HE$13:$HE$512,"="&amp;SUBSTITUTE(SUBSTITUTE(SUBSTITUTE('Calculations'!HW478,"~","~~"),"*","~*"),"?","~?"))&gt;1,"!AMBIG",IFERROR(INDEX('Calculations'!$HF$13:$HF$512,MATCH('Calculations'!HW478,'Calculations'!$HE$13:$HE$512,0)),""))))</x:f>
      </x:c>
      <x:c r="HY478" t="str">
        <x:f>IF('Calculations'!HX478="","",IF('Calculations'!HX478="!AMBIG","!AMBIG",IF(COUNTIF('Calculations'!$HE$13:$HE$512,"="&amp;SUBSTITUTE(SUBSTITUTE(SUBSTITUTE('Calculations'!HX478,"~","~~"),"*","~*"),"?","~?"))&gt;1,"!AMBIG",IFERROR(INDEX('Calculations'!$HF$13:$HF$512,MATCH('Calculations'!HX478,'Calculations'!$HE$13:$HE$512,0)),""))))</x:f>
      </x:c>
      <x:c r="HZ478" t="str">
        <x:f>IF('Calculations'!HY478="","",IF('Calculations'!HY478="!AMBIG","!AMBIG",IF(COUNTIF('Calculations'!$HE$13:$HE$512,"="&amp;SUBSTITUTE(SUBSTITUTE(SUBSTITUTE('Calculations'!HY478,"~","~~"),"*","~*"),"?","~?"))&gt;1,"!AMBIG",IFERROR(INDEX('Calculations'!$HF$13:$HF$512,MATCH('Calculations'!HY478,'Calculations'!$HE$13:$HE$512,0)),""))))</x:f>
      </x:c>
      <x:c r="IA478" t="str">
        <x:f>IF('Calculations'!HZ478="","",IF('Calculations'!HZ478="!AMBIG","!AMBIG",IF(COUNTIF('Calculations'!$HE$13:$HE$512,"="&amp;SUBSTITUTE(SUBSTITUTE(SUBSTITUTE('Calculations'!HZ478,"~","~~"),"*","~*"),"?","~?"))&gt;1,"!AMBIG",IFERROR(INDEX('Calculations'!$HF$13:$HF$512,MATCH('Calculations'!HZ478,'Calculations'!$HE$13:$HE$512,0)),""))))</x:f>
      </x:c>
      <x:c r="IB478" t="str">
        <x:f>IF('Calculations'!IA478="","",IF('Calculations'!IA478="!AMBIG","!AMBIG",IF(COUNTIF('Calculations'!$HE$13:$HE$512,"="&amp;SUBSTITUTE(SUBSTITUTE(SUBSTITUTE('Calculations'!IA478,"~","~~"),"*","~*"),"?","~?"))&gt;1,"!AMBIG",IFERROR(INDEX('Calculations'!$HF$13:$HF$512,MATCH('Calculations'!IA478,'Calculations'!$HE$13:$HE$512,0)),""))))</x:f>
      </x:c>
      <x:c r="IC478" t="str">
        <x:f>IF('Calculations'!IB478="","",IF('Calculations'!IB478="!AMBIG","!AMBIG",IF(COUNTIF('Calculations'!$HE$13:$HE$512,"="&amp;SUBSTITUTE(SUBSTITUTE(SUBSTITUTE('Calculations'!IB478,"~","~~"),"*","~*"),"?","~?"))&gt;1,"!AMBIG",IFERROR(INDEX('Calculations'!$HF$13:$HF$512,MATCH('Calculations'!IB478,'Calculations'!$HE$13:$HE$512,0)),""))))</x:f>
      </x:c>
      <x:c r="ID478" t="str">
        <x:f>IF('Calculations'!IC478="","",IF('Calculations'!IC478="!AMBIG","!AMBIG",IF(COUNTIF('Calculations'!$HE$13:$HE$512,"="&amp;SUBSTITUTE(SUBSTITUTE(SUBSTITUTE('Calculations'!IC478,"~","~~"),"*","~*"),"?","~?"))&gt;1,"!AMBIG",IFERROR(INDEX('Calculations'!$HF$13:$HF$512,MATCH('Calculations'!IC478,'Calculations'!$HE$13:$HE$512,0)),""))))</x:f>
      </x:c>
      <x:c r="IE478" t="str">
        <x:f>IF('Calculations'!ID478="","",IF('Calculations'!ID478="!AMBIG","!AMBIG",IF(COUNTIF('Calculations'!$HE$13:$HE$512,"="&amp;SUBSTITUTE(SUBSTITUTE(SUBSTITUTE('Calculations'!ID478,"~","~~"),"*","~*"),"?","~?"))&gt;1,"!AMBIG",IFERROR(INDEX('Calculations'!$HF$13:$HF$512,MATCH('Calculations'!ID478,'Calculations'!$HE$13:$HE$512,0)),""))))</x:f>
      </x:c>
      <x:c r="IF478" t="str">
        <x:f>IF('Calculations'!IE478="","",IF('Calculations'!IE478="!AMBIG","!AMBIG",IF(COUNTIF('Calculations'!$HE$13:$HE$512,"="&amp;SUBSTITUTE(SUBSTITUTE(SUBSTITUTE('Calculations'!IE478,"~","~~"),"*","~*"),"?","~?"))&gt;1,"!AMBIG",IFERROR(INDEX('Calculations'!$HF$13:$HF$512,MATCH('Calculations'!IE478,'Calculations'!$HE$13:$HE$512,0)),""))))</x:f>
      </x:c>
      <x:c r="IG478" t="str">
        <x:f>IF('Calculations'!IF478="","",IF('Calculations'!IF478="!AMBIG","!AMBIG",IF(COUNTIF('Calculations'!$HE$13:$HE$512,"="&amp;SUBSTITUTE(SUBSTITUTE(SUBSTITUTE('Calculations'!IF478,"~","~~"),"*","~*"),"?","~?"))&gt;1,"!AMBIG",IFERROR(INDEX('Calculations'!$HF$13:$HF$512,MATCH('Calculations'!IF478,'Calculations'!$HE$13:$HE$512,0)),""))))</x:f>
      </x:c>
      <x:c r="IH478" t="str">
        <x:f>IF('Calculations'!IG478="","",IF('Calculations'!IG478="!AMBIG","!AMBIG",IF(COUNTIF('Calculations'!$HE$13:$HE$512,"="&amp;SUBSTITUTE(SUBSTITUTE(SUBSTITUTE('Calculations'!IG478,"~","~~"),"*","~*"),"?","~?"))&gt;1,"!AMBIG",IFERROR(INDEX('Calculations'!$HF$13:$HF$512,MATCH('Calculations'!IG478,'Calculations'!$HE$13:$HE$512,0)),""))))</x:f>
      </x:c>
      <x:c r="II478" t="str">
        <x:f>IF('Calculations'!IH478="","",IF('Calculations'!IH478="!AMBIG","!AMBIG",IF(COUNTIF('Calculations'!$HE$13:$HE$512,"="&amp;SUBSTITUTE(SUBSTITUTE(SUBSTITUTE('Calculations'!IH478,"~","~~"),"*","~*"),"?","~?"))&gt;1,"!AMBIG",IFERROR(INDEX('Calculations'!$HF$13:$HF$512,MATCH('Calculations'!IH478,'Calculations'!$HE$13:$HE$512,0)),""))))</x:f>
      </x:c>
      <x:c r="IJ478" t="str">
        <x:f>IF('Calculations'!EM478="","",IF('Calculations'!$EF$2="All",'Calculations'!HM478,IF('Calculations'!HL478=1,"",IFERROR(IF(MATCH('Calculations'!$EF$2,'Calculations'!HO478:II478,0)=1,'Calculations'!HE478,INDEX('Calculations'!HO478:II478,1,MATCH('Calculations'!$EF$2,'Calculations'!HO478:II478,0)-1)),""))))</x:f>
      </x:c>
      <x:c r="IK478" t="n">
        <x:f>IF(AND('Calculations'!EM478&lt;&gt;"",'Calculations'!$EF$2&lt;&gt;"All",'Calculations'!HF478='Calculations'!$EF$2,'Calculations'!HL478=0,'Calculations'!JD478&gt;0),MAX('Calculations'!$IK$12:IK477)+1,0)</x:f>
        <x:v>0</x:v>
      </x:c>
      <x:c r="JA478" t="n">
        <x:f>IF(OR(IFERROR(INDIRECT("'WCM Calibration Final'!$A$478")&lt;&gt;"",FALSE),IFERROR(INDIRECT("'WCM Calibration Final'!$B$478")&lt;&gt;"",FALSE),IFERROR(INDIRECT("'WCM Calibration Final'!$C$478")&lt;&gt;"",FALSE)),478,0)</x:f>
        <x:v>0</x:v>
      </x:c>
      <x:c r="JB478" t="n">
        <x:f>'Calculations'!JB477+IF('Calculations'!JA478&gt;0,1,0)</x:f>
        <x:v>0</x:v>
      </x:c>
      <x:c r="JC478" t="n">
        <x:f>IF(OR('Calculations'!HF478="",'Calculations'!HF478="!AMBIG"),0,IF('Dashboard'!$B$7="All",1,COUNTIFS('Calculations'!$HO$13:$HO$512,"="&amp;SUBSTITUTE(SUBSTITUTE(SUBSTITUTE('Calculations'!HF478,"~","~~"),"*","~*"),"?","~?"),'Calculations'!$HN$13:$HN$512,"="&amp;SUBSTITUTE(SUBSTITUTE(SUBSTITUTE('Dashboard'!$B$7,"~","~~"),"*","~*"),"?","~?"))+COUNTIFS('Calculations'!$HP$13:$HP$512,"="&amp;SUBSTITUTE(SUBSTITUTE(SUBSTITUTE('Calculations'!HF478,"~","~~"),"*","~*"),"?","~?"),'Calculations'!$HN$13:$HN$512,"="&amp;SUBSTITUTE(SUBSTITUTE(SUBSTITUTE('Dashboard'!$B$7,"~","~~"),"*","~*"),"?","~?"))+COUNTIFS('Calculations'!$HQ$13:$HQ$512,"="&amp;SUBSTITUTE(SUBSTITUTE(SUBSTITUTE('Calculations'!HF478,"~","~~"),"*","~*"),"?","~?"),'Calculations'!$HN$13:$HN$512,"="&amp;SUBSTITUTE(SUBSTITUTE(SUBSTITUTE('Dashboard'!$B$7,"~","~~"),"*","~*"),"?","~?"))+COUNTIFS('Calculations'!$HR$13:$HR$512,"="&amp;SUBSTITUTE(SUBSTITUTE(SUBSTITUTE('Calculations'!HF478,"~","~~"),"*","~*"),"?","~?"),'Calculations'!$HN$13:$HN$512,"="&amp;SUBSTITUTE(SUBSTITUTE(SUBSTITUTE('Dashboard'!$B$7,"~","~~"),"*","~*"),"?","~?"))+COUNTIFS('Calculations'!$HS$13:$HS$512,"="&amp;SUBSTITUTE(SUBSTITUTE(SUBSTITUTE('Calculations'!HF478,"~","~~"),"*","~*"),"?","~?"),'Calculations'!$HN$13:$HN$512,"="&amp;SUBSTITUTE(SUBSTITUTE(SUBSTITUTE('Dashboard'!$B$7,"~","~~"),"*","~*"),"?","~?"))+COUNTIFS('Calculations'!$HT$13:$HT$512,"="&amp;SUBSTITUTE(SUBSTITUTE(SUBSTITUTE('Calculations'!HF478,"~","~~"),"*","~*"),"?","~?"),'Calculations'!$HN$13:$HN$512,"="&amp;SUBSTITUTE(SUBSTITUTE(SUBSTITUTE('Dashboard'!$B$7,"~","~~"),"*","~*"),"?","~?"))+COUNTIFS('Calculations'!$HU$13:$HU$512,"="&amp;SUBSTITUTE(SUBSTITUTE(SUBSTITUTE('Calculations'!HF478,"~","~~"),"*","~*"),"?","~?"),'Calculations'!$HN$13:$HN$512,"="&amp;SUBSTITUTE(SUBSTITUTE(SUBSTITUTE('Dashboard'!$B$7,"~","~~"),"*","~*"),"?","~?"))+COUNTIFS('Calculations'!$HV$13:$HV$512,"="&amp;SUBSTITUTE(SUBSTITUTE(SUBSTITUTE('Calculations'!HF478,"~","~~"),"*","~*"),"?","~?"),'Calculations'!$HN$13:$HN$512,"="&amp;SUBSTITUTE(SUBSTITUTE(SUBSTITUTE('Dashboard'!$B$7,"~","~~"),"*","~*"),"?","~?"))+COUNTIFS('Calculations'!$HW$13:$HW$512,"="&amp;SUBSTITUTE(SUBSTITUTE(SUBSTITUTE('Calculations'!HF478,"~","~~"),"*","~*"),"?","~?"),'Calculations'!$HN$13:$HN$512,"="&amp;SUBSTITUTE(SUBSTITUTE(SUBSTITUTE('Dashboard'!$B$7,"~","~~"),"*","~*"),"?","~?"))+COUNTIFS('Calculations'!$HX$13:$HX$512,"="&amp;SUBSTITUTE(SUBSTITUTE(SUBSTITUTE('Calculations'!HF478,"~","~~"),"*","~*"),"?","~?"),'Calculations'!$HN$13:$HN$512,"="&amp;SUBSTITUTE(SUBSTITUTE(SUBSTITUTE('Dashboard'!$B$7,"~","~~"),"*","~*"),"?","~?"))+COUNTIFS('Calculations'!$HY$13:$HY$512,"="&amp;SUBSTITUTE(SUBSTITUTE(SUBSTITUTE('Calculations'!HF478,"~","~~"),"*","~*"),"?","~?"),'Calculations'!$HN$13:$HN$512,"="&amp;SUBSTITUTE(SUBSTITUTE(SUBSTITUTE('Dashboard'!$B$7,"~","~~"),"*","~*"),"?","~?"))+COUNTIFS('Calculations'!$HZ$13:$HZ$512,"="&amp;SUBSTITUTE(SUBSTITUTE(SUBSTITUTE('Calculations'!HF478,"~","~~"),"*","~*"),"?","~?"),'Calculations'!$HN$13:$HN$512,"="&amp;SUBSTITUTE(SUBSTITUTE(SUBSTITUTE('Dashboard'!$B$7,"~","~~"),"*","~*"),"?","~?"))+COUNTIFS('Calculations'!$IA$13:$IA$512,"="&amp;SUBSTITUTE(SUBSTITUTE(SUBSTITUTE('Calculations'!HF478,"~","~~"),"*","~*"),"?","~?"),'Calculations'!$HN$13:$HN$512,"="&amp;SUBSTITUTE(SUBSTITUTE(SUBSTITUTE('Dashboard'!$B$7,"~","~~"),"*","~*"),"?","~?"))+COUNTIFS('Calculations'!$IB$13:$IB$512,"="&amp;SUBSTITUTE(SUBSTITUTE(SUBSTITUTE('Calculations'!HF478,"~","~~"),"*","~*"),"?","~?"),'Calculations'!$HN$13:$HN$512,"="&amp;SUBSTITUTE(SUBSTITUTE(SUBSTITUTE('Dashboard'!$B$7,"~","~~"),"*","~*"),"?","~?"))+COUNTIFS('Calculations'!$IC$13:$IC$512,"="&amp;SUBSTITUTE(SUBSTITUTE(SUBSTITUTE('Calculations'!HF478,"~","~~"),"*","~*"),"?","~?"),'Calculations'!$HN$13:$HN$512,"="&amp;SUBSTITUTE(SUBSTITUTE(SUBSTITUTE('Dashboard'!$B$7,"~","~~"),"*","~*"),"?","~?"))+COUNTIFS('Calculations'!$ID$13:$ID$512,"="&amp;SUBSTITUTE(SUBSTITUTE(SUBSTITUTE('Calculations'!HF478,"~","~~"),"*","~*"),"?","~?"),'Calculations'!$HN$13:$HN$512,"="&amp;SUBSTITUTE(SUBSTITUTE(SUBSTITUTE('Dashboard'!$B$7,"~","~~"),"*","~*"),"?","~?"))+COUNTIFS('Calculations'!$IE$13:$IE$512,"="&amp;SUBSTITUTE(SUBSTITUTE(SUBSTITUTE('Calculations'!HF478,"~","~~"),"*","~*"),"?","~?"),'Calculations'!$HN$13:$HN$512,"="&amp;SUBSTITUTE(SUBSTITUTE(SUBSTITUTE('Dashboard'!$B$7,"~","~~"),"*","~*"),"?","~?"))+COUNTIFS('Calculations'!$IF$13:$IF$512,"="&amp;SUBSTITUTE(SUBSTITUTE(SUBSTITUTE('Calculations'!HF478,"~","~~"),"*","~*"),"?","~?"),'Calculations'!$HN$13:$HN$512,"="&amp;SUBSTITUTE(SUBSTITUTE(SUBSTITUTE('Dashboard'!$B$7,"~","~~"),"*","~*"),"?","~?"))+COUNTIFS('Calculations'!$IG$13:$IG$512,"="&amp;SUBSTITUTE(SUBSTITUTE(SUBSTITUTE('Calculations'!HF478,"~","~~"),"*","~*"),"?","~?"),'Calculations'!$HN$13:$HN$512,"="&amp;SUBSTITUTE(SUBSTITUTE(SUBSTITUTE('Dashboard'!$B$7,"~","~~"),"*","~*"),"?","~?"))+COUNTIFS('Calculations'!$IH$13:$IH$512,"="&amp;SUBSTITUTE(SUBSTITUTE(SUBSTITUTE('Calculations'!HF478,"~","~~"),"*","~*"),"?","~?"),'Calculations'!$HN$13:$HN$512,"="&amp;SUBSTITUTE(SUBSTITUTE(SUBSTITUTE('Dashboard'!$B$7,"~","~~"),"*","~*"),"?","~?"))))</x:f>
        <x:v>0</x:v>
      </x:c>
      <x:c r="JD478" t="n">
        <x:f>IF('Calculations'!EM478="",0,IF('Dashboard'!$B$7="All",1,IF('Calculations'!HN478='Dashboard'!$B$7,1,0)+IFERROR(INDEX('Calculations'!$JC$13:$JC$512,MATCH('Calculations'!HE478,'Calculations'!$HF$13:$HF$512,0)),0)))</x:f>
        <x:v>0</x:v>
      </x:c>
      <x:c r="JE478" t="n">
        <x:f>IF(AND('Calculations'!EM478&lt;&gt;"",'Calculations'!$JJ$2&lt;&gt;"All",'Calculations'!$JJ$2&lt;&gt;"",'Calculations'!HF478='Calculations'!$JJ$2,'Calculations'!HL478=0,'Calculations'!JD478&gt;0),MAX('Calculations'!$JE$12:JE477)+1,0)</x:f>
        <x:v>0</x:v>
      </x:c>
      <x:c r="JF478" t="str">
        <x:f>IF('Calculations'!EM478="","",IFERROR(IF(INDEX(INDIRECT("'WCM Calibration Final'!$G$1:$G$2000"),'Calculations'!$EM478)="","",TRIM(INDEX(INDIRECT("'WCM Calibration Final'!$G$1:$G$2000"),'Calculations'!$EM478)&amp;"")),""))</x:f>
      </x:c>
      <x:c r="JQ478" t="n">
        <x:f>IF(OR('Calculations'!BM478=0,NOT('Calculations'!$AG$2),'Calculations'!$AG$8&gt;0),0,IF(OR('Dashboard'!$B$7="All",'Calculations'!HN478='Dashboard'!$B$7),IF('Calculations'!$JJ$2="All",1,IF(AND('Calculations'!HF478='Calculations'!$JJ$2,'Calculations'!HL478=0),1,0)),0))</x:f>
        <x:v>0</x:v>
      </x:c>
    </x:row>
    <x:row r="479">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t="n">
        <x:f>IF('Calculations'!$EM479="",0,IF(OR(IFERROR(INDEX(INDIRECT("'WCM Calibration Final'!$A$1:$A$2000"),'Calculations'!$EM479)&lt;&gt;"",FALSE),IFERROR(INDEX(INDIRECT("'WCM Calibration Final'!$B$1:$B$2000"),'Calculations'!$EM479)&lt;&gt;"",FALSE),IFERROR(INDEX(INDIRECT("'WCM Calibration Final'!$C$1:$C$2000"),'Calculations'!$EM479)&lt;&gt;"",FALSE)),1,0))</x:f>
        <x:v>0</x:v>
      </x:c>
      <x:c r="BN479" s="4" t="n">
        <x:f>IF(AND('Calculations'!BM479=1,'Calculations'!$AG$2,'Calculations'!$EN479=1),1,0)</x:f>
        <x:v>0</x:v>
      </x:c>
      <x:c r="BO479" s="4" t="str">
        <x:f>IF('Calculations'!BM479=0,"",IFERROR(IF(AND(VALUE(INDEX(INDIRECT("'WCM Calibration Final'!$K$1:$K$2000"),'Calculations'!$EM479))&gt;=1,VALUE(INDEX(INDIRECT("'WCM Calibration Final'!$K$1:$K$2000"),'Calculations'!$EM479))&lt;=4,MOD(VALUE(INDEX(INDIRECT("'WCM Calibration Final'!$K$1:$K$2000"),'Calculations'!$EM479)),1)=0),VALUE(INDEX(INDIRECT("'WCM Calibration Final'!$K$1:$K$2000"),'Calculations'!$EM479)),""),""))</x:f>
      </x:c>
      <x:c r="BP479" s="4" t="str">
        <x:f>IF('Calculations'!BM479=0,"",IFERROR(IF(AND(VALUE(INDEX(INDIRECT("'WCM Calibration Final'!$L$1:$L$2000"),'Calculations'!$EM479))&gt;=1,VALUE(INDEX(INDIRECT("'WCM Calibration Final'!$L$1:$L$2000"),'Calculations'!$EM479))&lt;=4,MOD(VALUE(INDEX(INDIRECT("'WCM Calibration Final'!$L$1:$L$2000"),'Calculations'!$EM479)),1)=0),VALUE(INDEX(INDIRECT("'WCM Calibration Final'!$L$1:$L$2000"),'Calculations'!$EM479)),""),""))</x:f>
      </x:c>
      <x:c r="BQ479" s="4"/>
      <x:c r="BR479" s="4"/>
      <x:c r="BS479" s="4"/>
      <x:c r="BT479" s="4" t="n">
        <x:f>IF(AND('Calculations'!BM479=1,ISNUMBER('Calculations'!BO479),ISNUMBER('Calculations'!BP479)),1,0)</x:f>
        <x:v>0</x:v>
      </x:c>
      <x:c r="BU479" s="4" t="str">
        <x:f>IF('Calculations'!BM479=0,"",'Calculations'!$EO479)</x:f>
      </x:c>
      <x:c r="BV479" s="4" t="str">
        <x:f>IF('Calculations'!BM479=0,"",IFERROR(IF(OR(INDEX(INDIRECT("'WCM Calibration Final'!$H$1:$H$2000"),'Calculations'!$EM479)="MANAGING DIRECTOR",INDEX(INDIRECT("'WCM Calibration Final'!$H$1:$H$2000"),'Calculations'!$EM479)="DIRECTOR",INDEX(INDIRECT("'WCM Calibration Final'!$H$1:$H$2000"),'Calculations'!$EM479)="SENIOR VICE PRESIDENT",INDEX(INDIRECT("'WCM Calibration Final'!$H$1:$H$2000"),'Calculations'!$EM479)="VICE PRESIDENT",INDEX(INDIRECT("'WCM Calibration Final'!$H$1:$H$2000"),'Calculations'!$EM479)="ASSISTANT VICE PRESIDENT",INDEX(INDIRECT("'WCM Calibration Final'!$H$1:$H$2000"),'Calculations'!$EM479)="OFFICER"),UPPER(INDEX(INDIRECT("'WCM Calibration Final'!$H$1:$H$2000"),'Calculations'!$EM479)),"Other"),"Other"))</x:f>
      </x:c>
      <x:c r="BW479" s="4"/>
      <x:c r="BX479" s="4"/>
      <x:c r="BY479" s="4" t="n">
        <x:f>IF(AND('Calculations'!BM479=1,'Calculations'!BU479&lt;&gt;"",COUNTIF('Calculations'!$BU$12:BU479,'Calculations'!BU479)=1),MAX('Calculations'!$BY$11:BY478)+1,0)</x:f>
        <x:v>0</x:v>
      </x:c>
      <x:c r="BZ479" s="4" t="str">
        <x:f>IF('Dashboard'!$E$67="What",'Calculations'!BO479,'Calculations'!BP479)</x:f>
      </x:c>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t="str">
        <x:f>IF(468&gt;MAX('Calculations'!$HI$13:$HI$512),"",INDEX('Calculations'!$HN$13:$HN$512,MATCH(468,'Calculations'!$HI$13:$HI$512,0)))</x:f>
      </x:c>
      <x:c r="DB479" s="4" t="str">
        <x:f>IF(468&gt;MAX('Calculations'!$HH$13:$HH$512),"",INDEX('Calculations'!$HJ$13:$HJ$512,MATCH(468,'Calculations'!$HH$13:$HH$512,0)))</x:f>
      </x:c>
      <x:c r="DC479" s="4" t="str">
        <x:f>IF(ROW()-11&gt;MAX('Calculations'!$BY$13:$BY$512),"",INDEX('Calculations'!$BU$13:$BU$512,MATCH(ROW()-11,'Calculations'!$BY$13:$BY$512,0)))</x:f>
      </x:c>
      <x:c r="DD479" s="4" t="str">
        <x:f>IF(468&gt;MAX('Calculations'!$IK$13:$IK$512),"",INDEX('Calculations'!$HK$13:$HK$512,MATCH(468,'Calculations'!$IK$13:$IK$512,0)))</x:f>
      </x:c>
      <x:c r="DE479" s="4" t="str">
        <x:f>'Calculations'!DC479</x:f>
      </x:c>
      <x:c r="DF479" s="4" t="str">
        <x:f>IF('Calculations'!DE479="","",COUNTIFS('Calculations'!$BN$13:$BN$512,1,'Calculations'!$BU$13:$BU$512,'Calculations'!DE479))</x:f>
      </x:c>
      <x:c r="DG479" s="4" t="str">
        <x:f>IF('Calculations'!DE479="","",COUNTIFS('Calculations'!$BN$13:$BN$512,1,'Calculations'!$BU$13:$BU$512,'Calculations'!DE479,'Calculations'!$BT$13:$BT$512,1))</x:f>
      </x:c>
      <x:c r="DH479" s="4" t="str">
        <x:f>IF('Calculations'!DE479="","",'Calculations'!DF479-'Calculations'!DG479)</x:f>
      </x:c>
      <x:c r="DI479" s="4" t="str">
        <x:f>IF(OR('Calculations'!DE479="",'Calculations'!DF479=0),"",'Calculations'!DG479/'Calculations'!DF479)</x:f>
      </x:c>
      <x:c r="DJ479" s="4" t="str">
        <x:f>IF('Calculations'!DE479="","",COUNTIFS('Calculations'!$BN$13:$BN$512,1,'Calculations'!$BU$13:$BU$512,'Calculations'!DE479,'Calculations'!$BT$13:$BT$512,1,'Calculations'!$EE$13:$EE$512,"High"))</x:f>
      </x:c>
      <x:c r="DK479" s="4" t="str">
        <x:f>IF('Calculations'!DE479="","",COUNTIFS('Calculations'!$BN$13:$BN$512,1,'Calculations'!$BU$13:$BU$512,'Calculations'!DE479,'Calculations'!$BT$13:$BT$512,1,'Calculations'!$EE$13:$EE$512,"Strong"))</x:f>
      </x:c>
      <x:c r="DL479" s="4" t="str">
        <x:f>IF('Calculations'!DE479="","",COUNTIFS('Calculations'!$BN$13:$BN$512,1,'Calculations'!$BU$13:$BU$512,'Calculations'!DE479,'Calculations'!$BT$13:$BT$512,1,'Calculations'!$EE$13:$EE$512,"Solid"))</x:f>
      </x:c>
      <x:c r="DM479" s="4" t="str">
        <x:f>IF('Calculations'!DE479="","",COUNTIFS('Calculations'!$BN$13:$BN$512,1,'Calculations'!$BU$13:$BU$512,'Calculations'!DE479,'Calculations'!$BT$13:$BT$512,1,'Calculations'!$EE$13:$EE$512,"Low"))</x:f>
      </x:c>
      <x:c r="DN479" s="4" t="str">
        <x:f>IF('Calculations'!DE479="","",COUNTIFS('Calculations'!$BN$13:$BN$512,1,'Calculations'!$BU$13:$BU$512,'Calculations'!DE479,'Calculations'!$EP$13:$EP$512,1))</x:f>
      </x:c>
      <x:c r="DO479" s="4" t="str">
        <x:f>IF(OR('Calculations'!DE479="",'Calculations'!DG479=0),"",('Calculations'!DJ479+'Calculations'!DK479)/'Calculations'!DG479)</x:f>
      </x:c>
      <x:c r="DP479" s="4" t="n">
        <x:f>IF(AND('Calculations'!DE479&lt;&gt;"",'Calculations'!DF479&gt;0),COUNTIF('Calculations'!$DF$12:DF479,"&gt;0"),0)</x:f>
        <x:v>0</x:v>
      </x:c>
      <x:c r="DQ479" s="4" t="str">
        <x:f>IF(468&gt;MAX('Calculations'!$HH$13:$HH$512),"",INDEX('Calculations'!$HF$13:$HF$512,MATCH(468,'Calculations'!$HH$13:$HH$512,0)))</x:f>
      </x:c>
      <x:c r="DR479" s="4" t="str">
        <x:f>IF(468&gt;MAX('Calculations'!$IK$13:$IK$512),"",INDEX('Calculations'!$HE$13:$HE$512,MATCH(468,'Calculations'!$IK$13:$IK$512,0)))</x:f>
      </x:c>
      <x:c r="DS479" s="4"/>
      <x:c r="DT479" s="4"/>
      <x:c r="DU479" s="4"/>
      <x:c r="DV479" s="4"/>
      <x:c r="DW479" s="4"/>
      <x:c r="DX479" s="4"/>
      <x:c r="DY479" s="4"/>
      <x:c r="DZ479" s="4"/>
      <x:c r="EA479" s="4"/>
      <x:c r="EB479" s="4"/>
      <x:c r="EC479" s="4"/>
      <x:c r="ED479" s="4"/>
      <x:c r="EE479" s="4" t="str">
        <x:f>IF('Calculations'!BT479=0,"Not Rated",IF(OR('Calculations'!BO479&gt;=4,'Calculations'!BP479&gt;=4),"Low",IF('Calculations'!BO479+'Calculations'!BP479&lt;=3,"High",IF('Calculations'!BO479+'Calculations'!BP479&lt;=4,"Strong","Solid"))))</x:f>
        <x:v>Not Rated</x:v>
      </x:c>
      <x:c r="EF479" s="4"/>
      <x:c r="EG479" s="4"/>
      <x:c r="EH479" s="4"/>
      <x:c r="EI479" s="4"/>
      <x:c r="EJ479" s="4"/>
      <x:c r="EK479" s="4"/>
      <x:c r="EL479" s="4"/>
      <x:c r="EM479" s="4" t="str">
        <x:f>IF(467&gt;'Calculations'!$JB$2000,"",INDEX('Calculations'!$JA$12:$JA$2000,MATCH(467,'Calculations'!$JB$12:$JB$2000,0)))</x:f>
      </x:c>
      <x:c r="EN479" s="4" t="n">
        <x:f>IF(OR('Calculations'!EM479="",'Calculations'!$AG$8&gt;0,AND('Calculations'!$EF$2&lt;&gt;"All",'Calculations'!HE479='Calculations'!$EF$2),AND('Calculations'!$EF$3&lt;&gt;"All",'Calculations'!HE479='Calculations'!$EF$3)),0,IF(OR('Dashboard'!$B$7="All",'Calculations'!HN479='Dashboard'!$B$7),IF('Calculations'!$EF$2="All",1,IF('Calculations'!HL479&gt;0,0,IF(COUNTIF('Calculations'!HO479:II479,"="&amp;SUBSTITUTE(SUBSTITUTE(SUBSTITUTE('Calculations'!$EF$2,"~","~~"),"*","~*"),"?","~?"))=0,0,IF('Calculations'!$EF$3="All",1,IF(COUNTIF('Calculations'!HO479:II479,"="&amp;SUBSTITUTE(SUBSTITUTE(SUBSTITUTE('Calculations'!$EF$3,"~","~~"),"*","~*"),"?","~?"))&gt;0,1,0))))),0))</x:f>
        <x:v>0</x:v>
      </x:c>
      <x:c r="EO479" s="4" t="str">
        <x:f>IF('Calculations'!IJ479="","",IF('Calculations'!IJ479="!UNRESOLVED","Unresolved hierarchy",IFERROR(INDEX('Calculations'!$HK$13:$HK$512,MATCH('Calculations'!IJ479,'Calculations'!$HE$13:$HE$512,0)),IFERROR(INDEX('Calculations'!$HJ$13:$HJ$512,MATCH('Calculations'!IJ479,'Calculations'!$HF$13:$HF$512,0)),'Calculations'!IJ479))))</x:f>
      </x:c>
      <x:c r="EP479" s="4" t="n">
        <x:f>IF(AND('Calculations'!EM479&lt;&gt;"",'Calculations'!HF479='Calculations'!IJ479),1,0)</x:f>
        <x:v>0</x:v>
      </x:c>
      <x:c r="EQ479" s="4"/>
      <x:c r="ER479" s="4"/>
      <x:c r="ES479" s="4"/>
      <x:c r="ET479" s="4"/>
      <x:c r="EU479" s="4"/>
      <x:c r="EV479" s="4"/>
      <x:c r="EW479" s="4"/>
      <x:c r="EX479" s="4"/>
      <x:c r="EY479" s="4"/>
      <x:c r="EZ479" s="4"/>
      <x:c r="FA479" s="4"/>
      <x:c r="FB479" s="4"/>
      <x:c r="FC479" s="4"/>
      <x:c r="FD479" s="4"/>
      <x:c r="FE479" s="4"/>
      <x:c r="FF479" s="4"/>
      <x:c r="FG479" s="4"/>
      <x:c r="FH479" s="4"/>
      <x:c r="FI479" s="4"/>
      <x:c r="FJ479" s="4"/>
      <x:c r="FK479" s="4"/>
      <x:c r="FL479" s="4"/>
      <x:c r="FM479" s="4"/>
      <x:c r="FN479" s="4"/>
      <x:c r="FO479" s="4"/>
      <x:c r="HE479" t="str">
        <x:f>IF('Calculations'!EM479="","",IF(IFERROR(IF(INDEX(INDIRECT("'WCM Calibration Final'!$A$1:$A$2000"),'Calculations'!$EM479)="","",TRIM(INDEX(INDIRECT("'WCM Calibration Final'!$A$1:$A$2000"),'Calculations'!$EM479)&amp;"")),"")&lt;&gt;"","G:"&amp;IFERROR(TEXT(1*INDEX(INDIRECT("'WCM Calibration Final'!$A$1:$A$2000"),'Calculations'!$EM479),"0"),UPPER(IFERROR(IF(INDEX(INDIRECT("'WCM Calibration Final'!$A$1:$A$2000"),'Calculations'!$EM479)="","",TRIM(INDEX(INDIRECT("'WCM Calibration Final'!$A$1:$A$2000"),'Calculations'!$EM479)&amp;"")),""))),IF(IFERROR(IF(INDEX(INDIRECT("'WCM Calibration Final'!$C$1:$C$2000"),'Calculations'!$EM479)="","",TRIM(INDEX(INDIRECT("'WCM Calibration Final'!$C$1:$C$2000"),'Calculations'!$EM479)&amp;"")),"")&lt;&gt;"","S:"&amp;UPPER(IFERROR(IF(INDEX(INDIRECT("'WCM Calibration Final'!$C$1:$C$2000"),'Calculations'!$EM479)="","",TRIM(INDEX(INDIRECT("'WCM Calibration Final'!$C$1:$C$2000"),'Calculations'!$EM479)&amp;"")),"")),"R:"&amp;'Calculations'!EM479)))</x:f>
      </x:c>
      <x:c r="HF479" t="str">
        <x:f>IF('Calculations'!EM479="","",IF(IFERROR(IF(INDEX(INDIRECT("'WCM Calibration Final'!$D$1:$D$2000"),'Calculations'!$EM479)="","",TRIM(INDEX(INDIRECT("'WCM Calibration Final'!$D$1:$D$2000"),'Calculations'!$EM479)&amp;"")),"")&lt;&gt;"","G:"&amp;IFERROR(TEXT(1*INDEX(INDIRECT("'WCM Calibration Final'!$D$1:$D$2000"),'Calculations'!$EM479),"0"),UPPER(IFERROR(IF(INDEX(INDIRECT("'WCM Calibration Final'!$D$1:$D$2000"),'Calculations'!$EM479)="","",TRIM(INDEX(INDIRECT("'WCM Calibration Final'!$D$1:$D$2000"),'Calculations'!$EM479)&amp;"")),""))),IF(IFERROR(IF(INDEX(INDIRECT("'WCM Calibration Final'!$E$1:$E$2000"),'Calculations'!$EM479)="","",TRIM(INDEX(INDIRECT("'WCM Calibration Final'!$E$1:$E$2000"),'Calculations'!$EM479)&amp;"")),"")="","",IF(COUNTIF('Calculations'!$HG$13:$HG$512,"="&amp;SUBSTITUTE(SUBSTITUTE(SUBSTITUTE(IFERROR(IF(INDEX(INDIRECT("'WCM Calibration Final'!$E$1:$E$2000"),'Calculations'!$EM479)="","",TRIM(INDEX(INDIRECT("'WCM Calibration Final'!$E$1:$E$2000"),'Calculations'!$EM479)&amp;"")),""),"~","~~"),"*","~*"),"?","~?"))=1,INDEX('Calculations'!$HE$13:$HE$512,MATCH(IFERROR(IF(INDEX(INDIRECT("'WCM Calibration Final'!$E$1:$E$2000"),'Calculations'!$EM479)="","",TRIM(INDEX(INDIRECT("'WCM Calibration Final'!$E$1:$E$2000"),'Calculations'!$EM479)&amp;"")),""),'Calculations'!$HG$13:$HG$512,0)),IF(COUNTIF('Calculations'!$HG$13:$HG$512,"="&amp;SUBSTITUTE(SUBSTITUTE(SUBSTITUTE(IFERROR(IF(INDEX(INDIRECT("'WCM Calibration Final'!$E$1:$E$2000"),'Calculations'!$EM479)="","",TRIM(INDEX(INDIRECT("'WCM Calibration Final'!$E$1:$E$2000"),'Calculations'!$EM479)&amp;"")),""),"~","~~"),"*","~*"),"?","~?"))&gt;1,"!AMBIG","X:"&amp;IFERROR(IF(INDEX(INDIRECT("'WCM Calibration Final'!$E$1:$E$2000"),'Calculations'!$EM479)="","",TRIM(INDEX(INDIRECT("'WCM Calibration Final'!$E$1:$E$2000"),'Calculations'!$EM479)&amp;"")),""))))))</x:f>
      </x:c>
      <x:c r="HG479" t="str">
        <x:f>IF('Calculations'!EM479="","",IFERROR(IF(INDEX(INDIRECT("'WCM Calibration Final'!$B$1:$B$2000"),'Calculations'!$EM479)="","",TRIM(INDEX(INDIRECT("'WCM Calibration Final'!$B$1:$B$2000"),'Calculations'!$EM479)&amp;"")),""))</x:f>
      </x:c>
      <x:c r="HH479" t="n">
        <x:f>IF(AND('Calculations'!JC479&gt;0,COUNTIF('Calculations'!$HF$12:HF479,"="&amp;SUBSTITUTE(SUBSTITUTE(SUBSTITUTE('Calculations'!HF479,"~","~~"),"*","~*"),"?","~?"))=1),MAX('Calculations'!$HH$12:HH478)+1,0)</x:f>
        <x:v>0</x:v>
      </x:c>
      <x:c r="HI479" t="n">
        <x:f>IF(AND('Calculations'!HN479&lt;&gt;"",COUNTIF('Calculations'!$HN$12:HN479,"="&amp;SUBSTITUTE(SUBSTITUTE(SUBSTITUTE('Calculations'!HN479,"~","~~"),"*","~*"),"?","~?"))=1),MAX('Calculations'!$HI$12:HI478)+1,0)</x:f>
        <x:v>0</x:v>
      </x:c>
      <x:c r="HJ479" t="str">
        <x:f>IF('Calculations'!HF479="","",IF(COUNTIF('Calculations'!$HE$13:$HE$512,"="&amp;SUBSTITUTE(SUBSTITUTE(SUBSTITUTE('Calculations'!HF479,"~","~~"),"*","~*"),"?","~?"))=1,INDEX('Calculations'!$HK$13:$HK$512,MATCH('Calculations'!HF479,'Calculations'!$HE$13:$HE$512,0)),IFERROR(IF(INDEX(INDIRECT("'WCM Calibration Final'!$E$1:$E$2000"),'Calculations'!$EM479)="","",TRIM(INDEX(INDIRECT("'WCM Calibration Final'!$E$1:$E$2000"),'Calculations'!$EM479)&amp;"")),"")&amp;" ["&amp;'Calculations'!HF479&amp;"]"))</x:f>
      </x:c>
      <x:c r="HK479" t="str">
        <x:f>IF('Calculations'!EM479="","",'Calculations'!HG479&amp;" ["&amp;'Calculations'!HE479&amp;"]")</x:f>
      </x:c>
      <x:c r="HL479" t="n">
        <x:f>IF('Calculations'!EM479="",0,IF(OR('Calculations'!II479&lt;&gt;"",COUNTIF('Calculations'!$HE$13:$HE$512,"="&amp;SUBSTITUTE(SUBSTITUTE(SUBSTITUTE('Calculations'!HE479,"~","~~"),"*","~*"),"?","~?"))&gt;1),1,0))</x:f>
        <x:v>0</x:v>
      </x:c>
      <x:c r="HM479" t="str">
        <x:f>IF('Calculations'!EM479="","",IF('Calculations'!HL479=1,"!UNRESOLVED",IF('Calculations'!IH479&lt;&gt;"",'Calculations'!IH479,IF('Calculations'!IG479&lt;&gt;"",'Calculations'!IG479,IF('Calculations'!IF479&lt;&gt;"",'Calculations'!IF479,IF('Calculations'!IE479&lt;&gt;"",'Calculations'!IE479,IF('Calculations'!ID479&lt;&gt;"",'Calculations'!ID479,IF('Calculations'!IC479&lt;&gt;"",'Calculations'!IC479,IF('Calculations'!IB479&lt;&gt;"",'Calculations'!IB479,IF('Calculations'!IA479&lt;&gt;"",'Calculations'!IA479,IF('Calculations'!HZ479&lt;&gt;"",'Calculations'!HZ479,IF('Calculations'!HY479&lt;&gt;"",'Calculations'!HY479,IF('Calculations'!HX479&lt;&gt;"",'Calculations'!HX479,IF('Calculations'!HW479&lt;&gt;"",'Calculations'!HW479,IF('Calculations'!HV479&lt;&gt;"",'Calculations'!HV479,IF('Calculations'!HU479&lt;&gt;"",'Calculations'!HU479,IF('Calculations'!HT479&lt;&gt;"",'Calculations'!HT479,IF('Calculations'!HS479&lt;&gt;"",'Calculations'!HS479,IF('Calculations'!HR479&lt;&gt;"",'Calculations'!HR479,IF('Calculations'!HQ479&lt;&gt;"",'Calculations'!HQ479,IF('Calculations'!HP479&lt;&gt;"",'Calculations'!HP479,IF('Calculations'!HO479&lt;&gt;"",'Calculations'!HO479,'Calculations'!HE479))))))))))))))))))))))</x:f>
      </x:c>
      <x:c r="HN479" t="str">
        <x:f>IF('Calculations'!EM479="","",IF(IFERROR(IF(INDEX(INDIRECT("'WCM Calibration Final'!$F$1:$F$2000"),'Calculations'!$EM479)="","",TRIM(INDEX(INDIRECT("'WCM Calibration Final'!$F$1:$F$2000"),'Calculations'!$EM479)&amp;"")),"")="","(Blank)",IFERROR(IF(INDEX(INDIRECT("'WCM Calibration Final'!$F$1:$F$2000"),'Calculations'!$EM479)="","",TRIM(INDEX(INDIRECT("'WCM Calibration Final'!$F$1:$F$2000"),'Calculations'!$EM479)&amp;"")),"")))</x:f>
      </x:c>
      <x:c r="HO479" t="str">
        <x:f>'Calculations'!HF479</x:f>
      </x:c>
      <x:c r="HP479" t="str">
        <x:f>IF('Calculations'!HO479="","",IF('Calculations'!HO479="!AMBIG","!AMBIG",IF(COUNTIF('Calculations'!$HE$13:$HE$512,"="&amp;SUBSTITUTE(SUBSTITUTE(SUBSTITUTE('Calculations'!HO479,"~","~~"),"*","~*"),"?","~?"))&gt;1,"!AMBIG",IFERROR(INDEX('Calculations'!$HF$13:$HF$512,MATCH('Calculations'!HO479,'Calculations'!$HE$13:$HE$512,0)),""))))</x:f>
      </x:c>
      <x:c r="HQ479" t="str">
        <x:f>IF('Calculations'!HP479="","",IF('Calculations'!HP479="!AMBIG","!AMBIG",IF(COUNTIF('Calculations'!$HE$13:$HE$512,"="&amp;SUBSTITUTE(SUBSTITUTE(SUBSTITUTE('Calculations'!HP479,"~","~~"),"*","~*"),"?","~?"))&gt;1,"!AMBIG",IFERROR(INDEX('Calculations'!$HF$13:$HF$512,MATCH('Calculations'!HP479,'Calculations'!$HE$13:$HE$512,0)),""))))</x:f>
      </x:c>
      <x:c r="HR479" t="str">
        <x:f>IF('Calculations'!HQ479="","",IF('Calculations'!HQ479="!AMBIG","!AMBIG",IF(COUNTIF('Calculations'!$HE$13:$HE$512,"="&amp;SUBSTITUTE(SUBSTITUTE(SUBSTITUTE('Calculations'!HQ479,"~","~~"),"*","~*"),"?","~?"))&gt;1,"!AMBIG",IFERROR(INDEX('Calculations'!$HF$13:$HF$512,MATCH('Calculations'!HQ479,'Calculations'!$HE$13:$HE$512,0)),""))))</x:f>
      </x:c>
      <x:c r="HS479" t="str">
        <x:f>IF('Calculations'!HR479="","",IF('Calculations'!HR479="!AMBIG","!AMBIG",IF(COUNTIF('Calculations'!$HE$13:$HE$512,"="&amp;SUBSTITUTE(SUBSTITUTE(SUBSTITUTE('Calculations'!HR479,"~","~~"),"*","~*"),"?","~?"))&gt;1,"!AMBIG",IFERROR(INDEX('Calculations'!$HF$13:$HF$512,MATCH('Calculations'!HR479,'Calculations'!$HE$13:$HE$512,0)),""))))</x:f>
      </x:c>
      <x:c r="HT479" t="str">
        <x:f>IF('Calculations'!HS479="","",IF('Calculations'!HS479="!AMBIG","!AMBIG",IF(COUNTIF('Calculations'!$HE$13:$HE$512,"="&amp;SUBSTITUTE(SUBSTITUTE(SUBSTITUTE('Calculations'!HS479,"~","~~"),"*","~*"),"?","~?"))&gt;1,"!AMBIG",IFERROR(INDEX('Calculations'!$HF$13:$HF$512,MATCH('Calculations'!HS479,'Calculations'!$HE$13:$HE$512,0)),""))))</x:f>
      </x:c>
      <x:c r="HU479" t="str">
        <x:f>IF('Calculations'!HT479="","",IF('Calculations'!HT479="!AMBIG","!AMBIG",IF(COUNTIF('Calculations'!$HE$13:$HE$512,"="&amp;SUBSTITUTE(SUBSTITUTE(SUBSTITUTE('Calculations'!HT479,"~","~~"),"*","~*"),"?","~?"))&gt;1,"!AMBIG",IFERROR(INDEX('Calculations'!$HF$13:$HF$512,MATCH('Calculations'!HT479,'Calculations'!$HE$13:$HE$512,0)),""))))</x:f>
      </x:c>
      <x:c r="HV479" t="str">
        <x:f>IF('Calculations'!HU479="","",IF('Calculations'!HU479="!AMBIG","!AMBIG",IF(COUNTIF('Calculations'!$HE$13:$HE$512,"="&amp;SUBSTITUTE(SUBSTITUTE(SUBSTITUTE('Calculations'!HU479,"~","~~"),"*","~*"),"?","~?"))&gt;1,"!AMBIG",IFERROR(INDEX('Calculations'!$HF$13:$HF$512,MATCH('Calculations'!HU479,'Calculations'!$HE$13:$HE$512,0)),""))))</x:f>
      </x:c>
      <x:c r="HW479" t="str">
        <x:f>IF('Calculations'!HV479="","",IF('Calculations'!HV479="!AMBIG","!AMBIG",IF(COUNTIF('Calculations'!$HE$13:$HE$512,"="&amp;SUBSTITUTE(SUBSTITUTE(SUBSTITUTE('Calculations'!HV479,"~","~~"),"*","~*"),"?","~?"))&gt;1,"!AMBIG",IFERROR(INDEX('Calculations'!$HF$13:$HF$512,MATCH('Calculations'!HV479,'Calculations'!$HE$13:$HE$512,0)),""))))</x:f>
      </x:c>
      <x:c r="HX479" t="str">
        <x:f>IF('Calculations'!HW479="","",IF('Calculations'!HW479="!AMBIG","!AMBIG",IF(COUNTIF('Calculations'!$HE$13:$HE$512,"="&amp;SUBSTITUTE(SUBSTITUTE(SUBSTITUTE('Calculations'!HW479,"~","~~"),"*","~*"),"?","~?"))&gt;1,"!AMBIG",IFERROR(INDEX('Calculations'!$HF$13:$HF$512,MATCH('Calculations'!HW479,'Calculations'!$HE$13:$HE$512,0)),""))))</x:f>
      </x:c>
      <x:c r="HY479" t="str">
        <x:f>IF('Calculations'!HX479="","",IF('Calculations'!HX479="!AMBIG","!AMBIG",IF(COUNTIF('Calculations'!$HE$13:$HE$512,"="&amp;SUBSTITUTE(SUBSTITUTE(SUBSTITUTE('Calculations'!HX479,"~","~~"),"*","~*"),"?","~?"))&gt;1,"!AMBIG",IFERROR(INDEX('Calculations'!$HF$13:$HF$512,MATCH('Calculations'!HX479,'Calculations'!$HE$13:$HE$512,0)),""))))</x:f>
      </x:c>
      <x:c r="HZ479" t="str">
        <x:f>IF('Calculations'!HY479="","",IF('Calculations'!HY479="!AMBIG","!AMBIG",IF(COUNTIF('Calculations'!$HE$13:$HE$512,"="&amp;SUBSTITUTE(SUBSTITUTE(SUBSTITUTE('Calculations'!HY479,"~","~~"),"*","~*"),"?","~?"))&gt;1,"!AMBIG",IFERROR(INDEX('Calculations'!$HF$13:$HF$512,MATCH('Calculations'!HY479,'Calculations'!$HE$13:$HE$512,0)),""))))</x:f>
      </x:c>
      <x:c r="IA479" t="str">
        <x:f>IF('Calculations'!HZ479="","",IF('Calculations'!HZ479="!AMBIG","!AMBIG",IF(COUNTIF('Calculations'!$HE$13:$HE$512,"="&amp;SUBSTITUTE(SUBSTITUTE(SUBSTITUTE('Calculations'!HZ479,"~","~~"),"*","~*"),"?","~?"))&gt;1,"!AMBIG",IFERROR(INDEX('Calculations'!$HF$13:$HF$512,MATCH('Calculations'!HZ479,'Calculations'!$HE$13:$HE$512,0)),""))))</x:f>
      </x:c>
      <x:c r="IB479" t="str">
        <x:f>IF('Calculations'!IA479="","",IF('Calculations'!IA479="!AMBIG","!AMBIG",IF(COUNTIF('Calculations'!$HE$13:$HE$512,"="&amp;SUBSTITUTE(SUBSTITUTE(SUBSTITUTE('Calculations'!IA479,"~","~~"),"*","~*"),"?","~?"))&gt;1,"!AMBIG",IFERROR(INDEX('Calculations'!$HF$13:$HF$512,MATCH('Calculations'!IA479,'Calculations'!$HE$13:$HE$512,0)),""))))</x:f>
      </x:c>
      <x:c r="IC479" t="str">
        <x:f>IF('Calculations'!IB479="","",IF('Calculations'!IB479="!AMBIG","!AMBIG",IF(COUNTIF('Calculations'!$HE$13:$HE$512,"="&amp;SUBSTITUTE(SUBSTITUTE(SUBSTITUTE('Calculations'!IB479,"~","~~"),"*","~*"),"?","~?"))&gt;1,"!AMBIG",IFERROR(INDEX('Calculations'!$HF$13:$HF$512,MATCH('Calculations'!IB479,'Calculations'!$HE$13:$HE$512,0)),""))))</x:f>
      </x:c>
      <x:c r="ID479" t="str">
        <x:f>IF('Calculations'!IC479="","",IF('Calculations'!IC479="!AMBIG","!AMBIG",IF(COUNTIF('Calculations'!$HE$13:$HE$512,"="&amp;SUBSTITUTE(SUBSTITUTE(SUBSTITUTE('Calculations'!IC479,"~","~~"),"*","~*"),"?","~?"))&gt;1,"!AMBIG",IFERROR(INDEX('Calculations'!$HF$13:$HF$512,MATCH('Calculations'!IC479,'Calculations'!$HE$13:$HE$512,0)),""))))</x:f>
      </x:c>
      <x:c r="IE479" t="str">
        <x:f>IF('Calculations'!ID479="","",IF('Calculations'!ID479="!AMBIG","!AMBIG",IF(COUNTIF('Calculations'!$HE$13:$HE$512,"="&amp;SUBSTITUTE(SUBSTITUTE(SUBSTITUTE('Calculations'!ID479,"~","~~"),"*","~*"),"?","~?"))&gt;1,"!AMBIG",IFERROR(INDEX('Calculations'!$HF$13:$HF$512,MATCH('Calculations'!ID479,'Calculations'!$HE$13:$HE$512,0)),""))))</x:f>
      </x:c>
      <x:c r="IF479" t="str">
        <x:f>IF('Calculations'!IE479="","",IF('Calculations'!IE479="!AMBIG","!AMBIG",IF(COUNTIF('Calculations'!$HE$13:$HE$512,"="&amp;SUBSTITUTE(SUBSTITUTE(SUBSTITUTE('Calculations'!IE479,"~","~~"),"*","~*"),"?","~?"))&gt;1,"!AMBIG",IFERROR(INDEX('Calculations'!$HF$13:$HF$512,MATCH('Calculations'!IE479,'Calculations'!$HE$13:$HE$512,0)),""))))</x:f>
      </x:c>
      <x:c r="IG479" t="str">
        <x:f>IF('Calculations'!IF479="","",IF('Calculations'!IF479="!AMBIG","!AMBIG",IF(COUNTIF('Calculations'!$HE$13:$HE$512,"="&amp;SUBSTITUTE(SUBSTITUTE(SUBSTITUTE('Calculations'!IF479,"~","~~"),"*","~*"),"?","~?"))&gt;1,"!AMBIG",IFERROR(INDEX('Calculations'!$HF$13:$HF$512,MATCH('Calculations'!IF479,'Calculations'!$HE$13:$HE$512,0)),""))))</x:f>
      </x:c>
      <x:c r="IH479" t="str">
        <x:f>IF('Calculations'!IG479="","",IF('Calculations'!IG479="!AMBIG","!AMBIG",IF(COUNTIF('Calculations'!$HE$13:$HE$512,"="&amp;SUBSTITUTE(SUBSTITUTE(SUBSTITUTE('Calculations'!IG479,"~","~~"),"*","~*"),"?","~?"))&gt;1,"!AMBIG",IFERROR(INDEX('Calculations'!$HF$13:$HF$512,MATCH('Calculations'!IG479,'Calculations'!$HE$13:$HE$512,0)),""))))</x:f>
      </x:c>
      <x:c r="II479" t="str">
        <x:f>IF('Calculations'!IH479="","",IF('Calculations'!IH479="!AMBIG","!AMBIG",IF(COUNTIF('Calculations'!$HE$13:$HE$512,"="&amp;SUBSTITUTE(SUBSTITUTE(SUBSTITUTE('Calculations'!IH479,"~","~~"),"*","~*"),"?","~?"))&gt;1,"!AMBIG",IFERROR(INDEX('Calculations'!$HF$13:$HF$512,MATCH('Calculations'!IH479,'Calculations'!$HE$13:$HE$512,0)),""))))</x:f>
      </x:c>
      <x:c r="IJ479" t="str">
        <x:f>IF('Calculations'!EM479="","",IF('Calculations'!$EF$2="All",'Calculations'!HM479,IF('Calculations'!HL479=1,"",IFERROR(IF(MATCH('Calculations'!$EF$2,'Calculations'!HO479:II479,0)=1,'Calculations'!HE479,INDEX('Calculations'!HO479:II479,1,MATCH('Calculations'!$EF$2,'Calculations'!HO479:II479,0)-1)),""))))</x:f>
      </x:c>
      <x:c r="IK479" t="n">
        <x:f>IF(AND('Calculations'!EM479&lt;&gt;"",'Calculations'!$EF$2&lt;&gt;"All",'Calculations'!HF479='Calculations'!$EF$2,'Calculations'!HL479=0,'Calculations'!JD479&gt;0),MAX('Calculations'!$IK$12:IK478)+1,0)</x:f>
        <x:v>0</x:v>
      </x:c>
      <x:c r="JA479" t="n">
        <x:f>IF(OR(IFERROR(INDIRECT("'WCM Calibration Final'!$A$479")&lt;&gt;"",FALSE),IFERROR(INDIRECT("'WCM Calibration Final'!$B$479")&lt;&gt;"",FALSE),IFERROR(INDIRECT("'WCM Calibration Final'!$C$479")&lt;&gt;"",FALSE)),479,0)</x:f>
        <x:v>0</x:v>
      </x:c>
      <x:c r="JB479" t="n">
        <x:f>'Calculations'!JB478+IF('Calculations'!JA479&gt;0,1,0)</x:f>
        <x:v>0</x:v>
      </x:c>
      <x:c r="JC479" t="n">
        <x:f>IF(OR('Calculations'!HF479="",'Calculations'!HF479="!AMBIG"),0,IF('Dashboard'!$B$7="All",1,COUNTIFS('Calculations'!$HO$13:$HO$512,"="&amp;SUBSTITUTE(SUBSTITUTE(SUBSTITUTE('Calculations'!HF479,"~","~~"),"*","~*"),"?","~?"),'Calculations'!$HN$13:$HN$512,"="&amp;SUBSTITUTE(SUBSTITUTE(SUBSTITUTE('Dashboard'!$B$7,"~","~~"),"*","~*"),"?","~?"))+COUNTIFS('Calculations'!$HP$13:$HP$512,"="&amp;SUBSTITUTE(SUBSTITUTE(SUBSTITUTE('Calculations'!HF479,"~","~~"),"*","~*"),"?","~?"),'Calculations'!$HN$13:$HN$512,"="&amp;SUBSTITUTE(SUBSTITUTE(SUBSTITUTE('Dashboard'!$B$7,"~","~~"),"*","~*"),"?","~?"))+COUNTIFS('Calculations'!$HQ$13:$HQ$512,"="&amp;SUBSTITUTE(SUBSTITUTE(SUBSTITUTE('Calculations'!HF479,"~","~~"),"*","~*"),"?","~?"),'Calculations'!$HN$13:$HN$512,"="&amp;SUBSTITUTE(SUBSTITUTE(SUBSTITUTE('Dashboard'!$B$7,"~","~~"),"*","~*"),"?","~?"))+COUNTIFS('Calculations'!$HR$13:$HR$512,"="&amp;SUBSTITUTE(SUBSTITUTE(SUBSTITUTE('Calculations'!HF479,"~","~~"),"*","~*"),"?","~?"),'Calculations'!$HN$13:$HN$512,"="&amp;SUBSTITUTE(SUBSTITUTE(SUBSTITUTE('Dashboard'!$B$7,"~","~~"),"*","~*"),"?","~?"))+COUNTIFS('Calculations'!$HS$13:$HS$512,"="&amp;SUBSTITUTE(SUBSTITUTE(SUBSTITUTE('Calculations'!HF479,"~","~~"),"*","~*"),"?","~?"),'Calculations'!$HN$13:$HN$512,"="&amp;SUBSTITUTE(SUBSTITUTE(SUBSTITUTE('Dashboard'!$B$7,"~","~~"),"*","~*"),"?","~?"))+COUNTIFS('Calculations'!$HT$13:$HT$512,"="&amp;SUBSTITUTE(SUBSTITUTE(SUBSTITUTE('Calculations'!HF479,"~","~~"),"*","~*"),"?","~?"),'Calculations'!$HN$13:$HN$512,"="&amp;SUBSTITUTE(SUBSTITUTE(SUBSTITUTE('Dashboard'!$B$7,"~","~~"),"*","~*"),"?","~?"))+COUNTIFS('Calculations'!$HU$13:$HU$512,"="&amp;SUBSTITUTE(SUBSTITUTE(SUBSTITUTE('Calculations'!HF479,"~","~~"),"*","~*"),"?","~?"),'Calculations'!$HN$13:$HN$512,"="&amp;SUBSTITUTE(SUBSTITUTE(SUBSTITUTE('Dashboard'!$B$7,"~","~~"),"*","~*"),"?","~?"))+COUNTIFS('Calculations'!$HV$13:$HV$512,"="&amp;SUBSTITUTE(SUBSTITUTE(SUBSTITUTE('Calculations'!HF479,"~","~~"),"*","~*"),"?","~?"),'Calculations'!$HN$13:$HN$512,"="&amp;SUBSTITUTE(SUBSTITUTE(SUBSTITUTE('Dashboard'!$B$7,"~","~~"),"*","~*"),"?","~?"))+COUNTIFS('Calculations'!$HW$13:$HW$512,"="&amp;SUBSTITUTE(SUBSTITUTE(SUBSTITUTE('Calculations'!HF479,"~","~~"),"*","~*"),"?","~?"),'Calculations'!$HN$13:$HN$512,"="&amp;SUBSTITUTE(SUBSTITUTE(SUBSTITUTE('Dashboard'!$B$7,"~","~~"),"*","~*"),"?","~?"))+COUNTIFS('Calculations'!$HX$13:$HX$512,"="&amp;SUBSTITUTE(SUBSTITUTE(SUBSTITUTE('Calculations'!HF479,"~","~~"),"*","~*"),"?","~?"),'Calculations'!$HN$13:$HN$512,"="&amp;SUBSTITUTE(SUBSTITUTE(SUBSTITUTE('Dashboard'!$B$7,"~","~~"),"*","~*"),"?","~?"))+COUNTIFS('Calculations'!$HY$13:$HY$512,"="&amp;SUBSTITUTE(SUBSTITUTE(SUBSTITUTE('Calculations'!HF479,"~","~~"),"*","~*"),"?","~?"),'Calculations'!$HN$13:$HN$512,"="&amp;SUBSTITUTE(SUBSTITUTE(SUBSTITUTE('Dashboard'!$B$7,"~","~~"),"*","~*"),"?","~?"))+COUNTIFS('Calculations'!$HZ$13:$HZ$512,"="&amp;SUBSTITUTE(SUBSTITUTE(SUBSTITUTE('Calculations'!HF479,"~","~~"),"*","~*"),"?","~?"),'Calculations'!$HN$13:$HN$512,"="&amp;SUBSTITUTE(SUBSTITUTE(SUBSTITUTE('Dashboard'!$B$7,"~","~~"),"*","~*"),"?","~?"))+COUNTIFS('Calculations'!$IA$13:$IA$512,"="&amp;SUBSTITUTE(SUBSTITUTE(SUBSTITUTE('Calculations'!HF479,"~","~~"),"*","~*"),"?","~?"),'Calculations'!$HN$13:$HN$512,"="&amp;SUBSTITUTE(SUBSTITUTE(SUBSTITUTE('Dashboard'!$B$7,"~","~~"),"*","~*"),"?","~?"))+COUNTIFS('Calculations'!$IB$13:$IB$512,"="&amp;SUBSTITUTE(SUBSTITUTE(SUBSTITUTE('Calculations'!HF479,"~","~~"),"*","~*"),"?","~?"),'Calculations'!$HN$13:$HN$512,"="&amp;SUBSTITUTE(SUBSTITUTE(SUBSTITUTE('Dashboard'!$B$7,"~","~~"),"*","~*"),"?","~?"))+COUNTIFS('Calculations'!$IC$13:$IC$512,"="&amp;SUBSTITUTE(SUBSTITUTE(SUBSTITUTE('Calculations'!HF479,"~","~~"),"*","~*"),"?","~?"),'Calculations'!$HN$13:$HN$512,"="&amp;SUBSTITUTE(SUBSTITUTE(SUBSTITUTE('Dashboard'!$B$7,"~","~~"),"*","~*"),"?","~?"))+COUNTIFS('Calculations'!$ID$13:$ID$512,"="&amp;SUBSTITUTE(SUBSTITUTE(SUBSTITUTE('Calculations'!HF479,"~","~~"),"*","~*"),"?","~?"),'Calculations'!$HN$13:$HN$512,"="&amp;SUBSTITUTE(SUBSTITUTE(SUBSTITUTE('Dashboard'!$B$7,"~","~~"),"*","~*"),"?","~?"))+COUNTIFS('Calculations'!$IE$13:$IE$512,"="&amp;SUBSTITUTE(SUBSTITUTE(SUBSTITUTE('Calculations'!HF479,"~","~~"),"*","~*"),"?","~?"),'Calculations'!$HN$13:$HN$512,"="&amp;SUBSTITUTE(SUBSTITUTE(SUBSTITUTE('Dashboard'!$B$7,"~","~~"),"*","~*"),"?","~?"))+COUNTIFS('Calculations'!$IF$13:$IF$512,"="&amp;SUBSTITUTE(SUBSTITUTE(SUBSTITUTE('Calculations'!HF479,"~","~~"),"*","~*"),"?","~?"),'Calculations'!$HN$13:$HN$512,"="&amp;SUBSTITUTE(SUBSTITUTE(SUBSTITUTE('Dashboard'!$B$7,"~","~~"),"*","~*"),"?","~?"))+COUNTIFS('Calculations'!$IG$13:$IG$512,"="&amp;SUBSTITUTE(SUBSTITUTE(SUBSTITUTE('Calculations'!HF479,"~","~~"),"*","~*"),"?","~?"),'Calculations'!$HN$13:$HN$512,"="&amp;SUBSTITUTE(SUBSTITUTE(SUBSTITUTE('Dashboard'!$B$7,"~","~~"),"*","~*"),"?","~?"))+COUNTIFS('Calculations'!$IH$13:$IH$512,"="&amp;SUBSTITUTE(SUBSTITUTE(SUBSTITUTE('Calculations'!HF479,"~","~~"),"*","~*"),"?","~?"),'Calculations'!$HN$13:$HN$512,"="&amp;SUBSTITUTE(SUBSTITUTE(SUBSTITUTE('Dashboard'!$B$7,"~","~~"),"*","~*"),"?","~?"))))</x:f>
        <x:v>0</x:v>
      </x:c>
      <x:c r="JD479" t="n">
        <x:f>IF('Calculations'!EM479="",0,IF('Dashboard'!$B$7="All",1,IF('Calculations'!HN479='Dashboard'!$B$7,1,0)+IFERROR(INDEX('Calculations'!$JC$13:$JC$512,MATCH('Calculations'!HE479,'Calculations'!$HF$13:$HF$512,0)),0)))</x:f>
        <x:v>0</x:v>
      </x:c>
      <x:c r="JE479" t="n">
        <x:f>IF(AND('Calculations'!EM479&lt;&gt;"",'Calculations'!$JJ$2&lt;&gt;"All",'Calculations'!$JJ$2&lt;&gt;"",'Calculations'!HF479='Calculations'!$JJ$2,'Calculations'!HL479=0,'Calculations'!JD479&gt;0),MAX('Calculations'!$JE$12:JE478)+1,0)</x:f>
        <x:v>0</x:v>
      </x:c>
      <x:c r="JF479" t="str">
        <x:f>IF('Calculations'!EM479="","",IFERROR(IF(INDEX(INDIRECT("'WCM Calibration Final'!$G$1:$G$2000"),'Calculations'!$EM479)="","",TRIM(INDEX(INDIRECT("'WCM Calibration Final'!$G$1:$G$2000"),'Calculations'!$EM479)&amp;"")),""))</x:f>
      </x:c>
      <x:c r="JQ479" t="n">
        <x:f>IF(OR('Calculations'!BM479=0,NOT('Calculations'!$AG$2),'Calculations'!$AG$8&gt;0),0,IF(OR('Dashboard'!$B$7="All",'Calculations'!HN479='Dashboard'!$B$7),IF('Calculations'!$JJ$2="All",1,IF(AND('Calculations'!HF479='Calculations'!$JJ$2,'Calculations'!HL479=0),1,0)),0))</x:f>
        <x:v>0</x:v>
      </x:c>
    </x:row>
    <x:row r="480">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t="n">
        <x:f>IF('Calculations'!$EM480="",0,IF(OR(IFERROR(INDEX(INDIRECT("'WCM Calibration Final'!$A$1:$A$2000"),'Calculations'!$EM480)&lt;&gt;"",FALSE),IFERROR(INDEX(INDIRECT("'WCM Calibration Final'!$B$1:$B$2000"),'Calculations'!$EM480)&lt;&gt;"",FALSE),IFERROR(INDEX(INDIRECT("'WCM Calibration Final'!$C$1:$C$2000"),'Calculations'!$EM480)&lt;&gt;"",FALSE)),1,0))</x:f>
        <x:v>0</x:v>
      </x:c>
      <x:c r="BN480" s="4" t="n">
        <x:f>IF(AND('Calculations'!BM480=1,'Calculations'!$AG$2,'Calculations'!$EN480=1),1,0)</x:f>
        <x:v>0</x:v>
      </x:c>
      <x:c r="BO480" s="4" t="str">
        <x:f>IF('Calculations'!BM480=0,"",IFERROR(IF(AND(VALUE(INDEX(INDIRECT("'WCM Calibration Final'!$K$1:$K$2000"),'Calculations'!$EM480))&gt;=1,VALUE(INDEX(INDIRECT("'WCM Calibration Final'!$K$1:$K$2000"),'Calculations'!$EM480))&lt;=4,MOD(VALUE(INDEX(INDIRECT("'WCM Calibration Final'!$K$1:$K$2000"),'Calculations'!$EM480)),1)=0),VALUE(INDEX(INDIRECT("'WCM Calibration Final'!$K$1:$K$2000"),'Calculations'!$EM480)),""),""))</x:f>
      </x:c>
      <x:c r="BP480" s="4" t="str">
        <x:f>IF('Calculations'!BM480=0,"",IFERROR(IF(AND(VALUE(INDEX(INDIRECT("'WCM Calibration Final'!$L$1:$L$2000"),'Calculations'!$EM480))&gt;=1,VALUE(INDEX(INDIRECT("'WCM Calibration Final'!$L$1:$L$2000"),'Calculations'!$EM480))&lt;=4,MOD(VALUE(INDEX(INDIRECT("'WCM Calibration Final'!$L$1:$L$2000"),'Calculations'!$EM480)),1)=0),VALUE(INDEX(INDIRECT("'WCM Calibration Final'!$L$1:$L$2000"),'Calculations'!$EM480)),""),""))</x:f>
      </x:c>
      <x:c r="BQ480" s="4"/>
      <x:c r="BR480" s="4"/>
      <x:c r="BS480" s="4"/>
      <x:c r="BT480" s="4" t="n">
        <x:f>IF(AND('Calculations'!BM480=1,ISNUMBER('Calculations'!BO480),ISNUMBER('Calculations'!BP480)),1,0)</x:f>
        <x:v>0</x:v>
      </x:c>
      <x:c r="BU480" s="4" t="str">
        <x:f>IF('Calculations'!BM480=0,"",'Calculations'!$EO480)</x:f>
      </x:c>
      <x:c r="BV480" s="4" t="str">
        <x:f>IF('Calculations'!BM480=0,"",IFERROR(IF(OR(INDEX(INDIRECT("'WCM Calibration Final'!$H$1:$H$2000"),'Calculations'!$EM480)="MANAGING DIRECTOR",INDEX(INDIRECT("'WCM Calibration Final'!$H$1:$H$2000"),'Calculations'!$EM480)="DIRECTOR",INDEX(INDIRECT("'WCM Calibration Final'!$H$1:$H$2000"),'Calculations'!$EM480)="SENIOR VICE PRESIDENT",INDEX(INDIRECT("'WCM Calibration Final'!$H$1:$H$2000"),'Calculations'!$EM480)="VICE PRESIDENT",INDEX(INDIRECT("'WCM Calibration Final'!$H$1:$H$2000"),'Calculations'!$EM480)="ASSISTANT VICE PRESIDENT",INDEX(INDIRECT("'WCM Calibration Final'!$H$1:$H$2000"),'Calculations'!$EM480)="OFFICER"),UPPER(INDEX(INDIRECT("'WCM Calibration Final'!$H$1:$H$2000"),'Calculations'!$EM480)),"Other"),"Other"))</x:f>
      </x:c>
      <x:c r="BW480" s="4"/>
      <x:c r="BX480" s="4"/>
      <x:c r="BY480" s="4" t="n">
        <x:f>IF(AND('Calculations'!BM480=1,'Calculations'!BU480&lt;&gt;"",COUNTIF('Calculations'!$BU$12:BU480,'Calculations'!BU480)=1),MAX('Calculations'!$BY$11:BY479)+1,0)</x:f>
        <x:v>0</x:v>
      </x:c>
      <x:c r="BZ480" s="4" t="str">
        <x:f>IF('Dashboard'!$E$67="What",'Calculations'!BO480,'Calculations'!BP480)</x:f>
      </x:c>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t="str">
        <x:f>IF(469&gt;MAX('Calculations'!$HI$13:$HI$512),"",INDEX('Calculations'!$HN$13:$HN$512,MATCH(469,'Calculations'!$HI$13:$HI$512,0)))</x:f>
      </x:c>
      <x:c r="DB480" s="4" t="str">
        <x:f>IF(469&gt;MAX('Calculations'!$HH$13:$HH$512),"",INDEX('Calculations'!$HJ$13:$HJ$512,MATCH(469,'Calculations'!$HH$13:$HH$512,0)))</x:f>
      </x:c>
      <x:c r="DC480" s="4" t="str">
        <x:f>IF(ROW()-11&gt;MAX('Calculations'!$BY$13:$BY$512),"",INDEX('Calculations'!$BU$13:$BU$512,MATCH(ROW()-11,'Calculations'!$BY$13:$BY$512,0)))</x:f>
      </x:c>
      <x:c r="DD480" s="4" t="str">
        <x:f>IF(469&gt;MAX('Calculations'!$IK$13:$IK$512),"",INDEX('Calculations'!$HK$13:$HK$512,MATCH(469,'Calculations'!$IK$13:$IK$512,0)))</x:f>
      </x:c>
      <x:c r="DE480" s="4" t="str">
        <x:f>'Calculations'!DC480</x:f>
      </x:c>
      <x:c r="DF480" s="4" t="str">
        <x:f>IF('Calculations'!DE480="","",COUNTIFS('Calculations'!$BN$13:$BN$512,1,'Calculations'!$BU$13:$BU$512,'Calculations'!DE480))</x:f>
      </x:c>
      <x:c r="DG480" s="4" t="str">
        <x:f>IF('Calculations'!DE480="","",COUNTIFS('Calculations'!$BN$13:$BN$512,1,'Calculations'!$BU$13:$BU$512,'Calculations'!DE480,'Calculations'!$BT$13:$BT$512,1))</x:f>
      </x:c>
      <x:c r="DH480" s="4" t="str">
        <x:f>IF('Calculations'!DE480="","",'Calculations'!DF480-'Calculations'!DG480)</x:f>
      </x:c>
      <x:c r="DI480" s="4" t="str">
        <x:f>IF(OR('Calculations'!DE480="",'Calculations'!DF480=0),"",'Calculations'!DG480/'Calculations'!DF480)</x:f>
      </x:c>
      <x:c r="DJ480" s="4" t="str">
        <x:f>IF('Calculations'!DE480="","",COUNTIFS('Calculations'!$BN$13:$BN$512,1,'Calculations'!$BU$13:$BU$512,'Calculations'!DE480,'Calculations'!$BT$13:$BT$512,1,'Calculations'!$EE$13:$EE$512,"High"))</x:f>
      </x:c>
      <x:c r="DK480" s="4" t="str">
        <x:f>IF('Calculations'!DE480="","",COUNTIFS('Calculations'!$BN$13:$BN$512,1,'Calculations'!$BU$13:$BU$512,'Calculations'!DE480,'Calculations'!$BT$13:$BT$512,1,'Calculations'!$EE$13:$EE$512,"Strong"))</x:f>
      </x:c>
      <x:c r="DL480" s="4" t="str">
        <x:f>IF('Calculations'!DE480="","",COUNTIFS('Calculations'!$BN$13:$BN$512,1,'Calculations'!$BU$13:$BU$512,'Calculations'!DE480,'Calculations'!$BT$13:$BT$512,1,'Calculations'!$EE$13:$EE$512,"Solid"))</x:f>
      </x:c>
      <x:c r="DM480" s="4" t="str">
        <x:f>IF('Calculations'!DE480="","",COUNTIFS('Calculations'!$BN$13:$BN$512,1,'Calculations'!$BU$13:$BU$512,'Calculations'!DE480,'Calculations'!$BT$13:$BT$512,1,'Calculations'!$EE$13:$EE$512,"Low"))</x:f>
      </x:c>
      <x:c r="DN480" s="4" t="str">
        <x:f>IF('Calculations'!DE480="","",COUNTIFS('Calculations'!$BN$13:$BN$512,1,'Calculations'!$BU$13:$BU$512,'Calculations'!DE480,'Calculations'!$EP$13:$EP$512,1))</x:f>
      </x:c>
      <x:c r="DO480" s="4" t="str">
        <x:f>IF(OR('Calculations'!DE480="",'Calculations'!DG480=0),"",('Calculations'!DJ480+'Calculations'!DK480)/'Calculations'!DG480)</x:f>
      </x:c>
      <x:c r="DP480" s="4" t="n">
        <x:f>IF(AND('Calculations'!DE480&lt;&gt;"",'Calculations'!DF480&gt;0),COUNTIF('Calculations'!$DF$12:DF480,"&gt;0"),0)</x:f>
        <x:v>0</x:v>
      </x:c>
      <x:c r="DQ480" s="4" t="str">
        <x:f>IF(469&gt;MAX('Calculations'!$HH$13:$HH$512),"",INDEX('Calculations'!$HF$13:$HF$512,MATCH(469,'Calculations'!$HH$13:$HH$512,0)))</x:f>
      </x:c>
      <x:c r="DR480" s="4" t="str">
        <x:f>IF(469&gt;MAX('Calculations'!$IK$13:$IK$512),"",INDEX('Calculations'!$HE$13:$HE$512,MATCH(469,'Calculations'!$IK$13:$IK$512,0)))</x:f>
      </x:c>
      <x:c r="DS480" s="4"/>
      <x:c r="DT480" s="4"/>
      <x:c r="DU480" s="4"/>
      <x:c r="DV480" s="4"/>
      <x:c r="DW480" s="4"/>
      <x:c r="DX480" s="4"/>
      <x:c r="DY480" s="4"/>
      <x:c r="DZ480" s="4"/>
      <x:c r="EA480" s="4"/>
      <x:c r="EB480" s="4"/>
      <x:c r="EC480" s="4"/>
      <x:c r="ED480" s="4"/>
      <x:c r="EE480" s="4" t="str">
        <x:f>IF('Calculations'!BT480=0,"Not Rated",IF(OR('Calculations'!BO480&gt;=4,'Calculations'!BP480&gt;=4),"Low",IF('Calculations'!BO480+'Calculations'!BP480&lt;=3,"High",IF('Calculations'!BO480+'Calculations'!BP480&lt;=4,"Strong","Solid"))))</x:f>
        <x:v>Not Rated</x:v>
      </x:c>
      <x:c r="EF480" s="4"/>
      <x:c r="EG480" s="4"/>
      <x:c r="EH480" s="4"/>
      <x:c r="EI480" s="4"/>
      <x:c r="EJ480" s="4"/>
      <x:c r="EK480" s="4"/>
      <x:c r="EL480" s="4"/>
      <x:c r="EM480" s="4" t="str">
        <x:f>IF(468&gt;'Calculations'!$JB$2000,"",INDEX('Calculations'!$JA$12:$JA$2000,MATCH(468,'Calculations'!$JB$12:$JB$2000,0)))</x:f>
      </x:c>
      <x:c r="EN480" s="4" t="n">
        <x:f>IF(OR('Calculations'!EM480="",'Calculations'!$AG$8&gt;0,AND('Calculations'!$EF$2&lt;&gt;"All",'Calculations'!HE480='Calculations'!$EF$2),AND('Calculations'!$EF$3&lt;&gt;"All",'Calculations'!HE480='Calculations'!$EF$3)),0,IF(OR('Dashboard'!$B$7="All",'Calculations'!HN480='Dashboard'!$B$7),IF('Calculations'!$EF$2="All",1,IF('Calculations'!HL480&gt;0,0,IF(COUNTIF('Calculations'!HO480:II480,"="&amp;SUBSTITUTE(SUBSTITUTE(SUBSTITUTE('Calculations'!$EF$2,"~","~~"),"*","~*"),"?","~?"))=0,0,IF('Calculations'!$EF$3="All",1,IF(COUNTIF('Calculations'!HO480:II480,"="&amp;SUBSTITUTE(SUBSTITUTE(SUBSTITUTE('Calculations'!$EF$3,"~","~~"),"*","~*"),"?","~?"))&gt;0,1,0))))),0))</x:f>
        <x:v>0</x:v>
      </x:c>
      <x:c r="EO480" s="4" t="str">
        <x:f>IF('Calculations'!IJ480="","",IF('Calculations'!IJ480="!UNRESOLVED","Unresolved hierarchy",IFERROR(INDEX('Calculations'!$HK$13:$HK$512,MATCH('Calculations'!IJ480,'Calculations'!$HE$13:$HE$512,0)),IFERROR(INDEX('Calculations'!$HJ$13:$HJ$512,MATCH('Calculations'!IJ480,'Calculations'!$HF$13:$HF$512,0)),'Calculations'!IJ480))))</x:f>
      </x:c>
      <x:c r="EP480" s="4" t="n">
        <x:f>IF(AND('Calculations'!EM480&lt;&gt;"",'Calculations'!HF480='Calculations'!IJ480),1,0)</x:f>
        <x:v>0</x:v>
      </x:c>
      <x:c r="EQ480" s="4"/>
      <x:c r="ER480" s="4"/>
      <x:c r="ES480" s="4"/>
      <x:c r="ET480" s="4"/>
      <x:c r="EU480" s="4"/>
      <x:c r="EV480" s="4"/>
      <x:c r="EW480" s="4"/>
      <x:c r="EX480" s="4"/>
      <x:c r="EY480" s="4"/>
      <x:c r="EZ480" s="4"/>
      <x:c r="FA480" s="4"/>
      <x:c r="FB480" s="4"/>
      <x:c r="FC480" s="4"/>
      <x:c r="FD480" s="4"/>
      <x:c r="FE480" s="4"/>
      <x:c r="FF480" s="4"/>
      <x:c r="FG480" s="4"/>
      <x:c r="FH480" s="4"/>
      <x:c r="FI480" s="4"/>
      <x:c r="FJ480" s="4"/>
      <x:c r="FK480" s="4"/>
      <x:c r="FL480" s="4"/>
      <x:c r="FM480" s="4"/>
      <x:c r="FN480" s="4"/>
      <x:c r="FO480" s="4"/>
      <x:c r="HE480" t="str">
        <x:f>IF('Calculations'!EM480="","",IF(IFERROR(IF(INDEX(INDIRECT("'WCM Calibration Final'!$A$1:$A$2000"),'Calculations'!$EM480)="","",TRIM(INDEX(INDIRECT("'WCM Calibration Final'!$A$1:$A$2000"),'Calculations'!$EM480)&amp;"")),"")&lt;&gt;"","G:"&amp;IFERROR(TEXT(1*INDEX(INDIRECT("'WCM Calibration Final'!$A$1:$A$2000"),'Calculations'!$EM480),"0"),UPPER(IFERROR(IF(INDEX(INDIRECT("'WCM Calibration Final'!$A$1:$A$2000"),'Calculations'!$EM480)="","",TRIM(INDEX(INDIRECT("'WCM Calibration Final'!$A$1:$A$2000"),'Calculations'!$EM480)&amp;"")),""))),IF(IFERROR(IF(INDEX(INDIRECT("'WCM Calibration Final'!$C$1:$C$2000"),'Calculations'!$EM480)="","",TRIM(INDEX(INDIRECT("'WCM Calibration Final'!$C$1:$C$2000"),'Calculations'!$EM480)&amp;"")),"")&lt;&gt;"","S:"&amp;UPPER(IFERROR(IF(INDEX(INDIRECT("'WCM Calibration Final'!$C$1:$C$2000"),'Calculations'!$EM480)="","",TRIM(INDEX(INDIRECT("'WCM Calibration Final'!$C$1:$C$2000"),'Calculations'!$EM480)&amp;"")),"")),"R:"&amp;'Calculations'!EM480)))</x:f>
      </x:c>
      <x:c r="HF480" t="str">
        <x:f>IF('Calculations'!EM480="","",IF(IFERROR(IF(INDEX(INDIRECT("'WCM Calibration Final'!$D$1:$D$2000"),'Calculations'!$EM480)="","",TRIM(INDEX(INDIRECT("'WCM Calibration Final'!$D$1:$D$2000"),'Calculations'!$EM480)&amp;"")),"")&lt;&gt;"","G:"&amp;IFERROR(TEXT(1*INDEX(INDIRECT("'WCM Calibration Final'!$D$1:$D$2000"),'Calculations'!$EM480),"0"),UPPER(IFERROR(IF(INDEX(INDIRECT("'WCM Calibration Final'!$D$1:$D$2000"),'Calculations'!$EM480)="","",TRIM(INDEX(INDIRECT("'WCM Calibration Final'!$D$1:$D$2000"),'Calculations'!$EM480)&amp;"")),""))),IF(IFERROR(IF(INDEX(INDIRECT("'WCM Calibration Final'!$E$1:$E$2000"),'Calculations'!$EM480)="","",TRIM(INDEX(INDIRECT("'WCM Calibration Final'!$E$1:$E$2000"),'Calculations'!$EM480)&amp;"")),"")="","",IF(COUNTIF('Calculations'!$HG$13:$HG$512,"="&amp;SUBSTITUTE(SUBSTITUTE(SUBSTITUTE(IFERROR(IF(INDEX(INDIRECT("'WCM Calibration Final'!$E$1:$E$2000"),'Calculations'!$EM480)="","",TRIM(INDEX(INDIRECT("'WCM Calibration Final'!$E$1:$E$2000"),'Calculations'!$EM480)&amp;"")),""),"~","~~"),"*","~*"),"?","~?"))=1,INDEX('Calculations'!$HE$13:$HE$512,MATCH(IFERROR(IF(INDEX(INDIRECT("'WCM Calibration Final'!$E$1:$E$2000"),'Calculations'!$EM480)="","",TRIM(INDEX(INDIRECT("'WCM Calibration Final'!$E$1:$E$2000"),'Calculations'!$EM480)&amp;"")),""),'Calculations'!$HG$13:$HG$512,0)),IF(COUNTIF('Calculations'!$HG$13:$HG$512,"="&amp;SUBSTITUTE(SUBSTITUTE(SUBSTITUTE(IFERROR(IF(INDEX(INDIRECT("'WCM Calibration Final'!$E$1:$E$2000"),'Calculations'!$EM480)="","",TRIM(INDEX(INDIRECT("'WCM Calibration Final'!$E$1:$E$2000"),'Calculations'!$EM480)&amp;"")),""),"~","~~"),"*","~*"),"?","~?"))&gt;1,"!AMBIG","X:"&amp;IFERROR(IF(INDEX(INDIRECT("'WCM Calibration Final'!$E$1:$E$2000"),'Calculations'!$EM480)="","",TRIM(INDEX(INDIRECT("'WCM Calibration Final'!$E$1:$E$2000"),'Calculations'!$EM480)&amp;"")),""))))))</x:f>
      </x:c>
      <x:c r="HG480" t="str">
        <x:f>IF('Calculations'!EM480="","",IFERROR(IF(INDEX(INDIRECT("'WCM Calibration Final'!$B$1:$B$2000"),'Calculations'!$EM480)="","",TRIM(INDEX(INDIRECT("'WCM Calibration Final'!$B$1:$B$2000"),'Calculations'!$EM480)&amp;"")),""))</x:f>
      </x:c>
      <x:c r="HH480" t="n">
        <x:f>IF(AND('Calculations'!JC480&gt;0,COUNTIF('Calculations'!$HF$12:HF480,"="&amp;SUBSTITUTE(SUBSTITUTE(SUBSTITUTE('Calculations'!HF480,"~","~~"),"*","~*"),"?","~?"))=1),MAX('Calculations'!$HH$12:HH479)+1,0)</x:f>
        <x:v>0</x:v>
      </x:c>
      <x:c r="HI480" t="n">
        <x:f>IF(AND('Calculations'!HN480&lt;&gt;"",COUNTIF('Calculations'!$HN$12:HN480,"="&amp;SUBSTITUTE(SUBSTITUTE(SUBSTITUTE('Calculations'!HN480,"~","~~"),"*","~*"),"?","~?"))=1),MAX('Calculations'!$HI$12:HI479)+1,0)</x:f>
        <x:v>0</x:v>
      </x:c>
      <x:c r="HJ480" t="str">
        <x:f>IF('Calculations'!HF480="","",IF(COUNTIF('Calculations'!$HE$13:$HE$512,"="&amp;SUBSTITUTE(SUBSTITUTE(SUBSTITUTE('Calculations'!HF480,"~","~~"),"*","~*"),"?","~?"))=1,INDEX('Calculations'!$HK$13:$HK$512,MATCH('Calculations'!HF480,'Calculations'!$HE$13:$HE$512,0)),IFERROR(IF(INDEX(INDIRECT("'WCM Calibration Final'!$E$1:$E$2000"),'Calculations'!$EM480)="","",TRIM(INDEX(INDIRECT("'WCM Calibration Final'!$E$1:$E$2000"),'Calculations'!$EM480)&amp;"")),"")&amp;" ["&amp;'Calculations'!HF480&amp;"]"))</x:f>
      </x:c>
      <x:c r="HK480" t="str">
        <x:f>IF('Calculations'!EM480="","",'Calculations'!HG480&amp;" ["&amp;'Calculations'!HE480&amp;"]")</x:f>
      </x:c>
      <x:c r="HL480" t="n">
        <x:f>IF('Calculations'!EM480="",0,IF(OR('Calculations'!II480&lt;&gt;"",COUNTIF('Calculations'!$HE$13:$HE$512,"="&amp;SUBSTITUTE(SUBSTITUTE(SUBSTITUTE('Calculations'!HE480,"~","~~"),"*","~*"),"?","~?"))&gt;1),1,0))</x:f>
        <x:v>0</x:v>
      </x:c>
      <x:c r="HM480" t="str">
        <x:f>IF('Calculations'!EM480="","",IF('Calculations'!HL480=1,"!UNRESOLVED",IF('Calculations'!IH480&lt;&gt;"",'Calculations'!IH480,IF('Calculations'!IG480&lt;&gt;"",'Calculations'!IG480,IF('Calculations'!IF480&lt;&gt;"",'Calculations'!IF480,IF('Calculations'!IE480&lt;&gt;"",'Calculations'!IE480,IF('Calculations'!ID480&lt;&gt;"",'Calculations'!ID480,IF('Calculations'!IC480&lt;&gt;"",'Calculations'!IC480,IF('Calculations'!IB480&lt;&gt;"",'Calculations'!IB480,IF('Calculations'!IA480&lt;&gt;"",'Calculations'!IA480,IF('Calculations'!HZ480&lt;&gt;"",'Calculations'!HZ480,IF('Calculations'!HY480&lt;&gt;"",'Calculations'!HY480,IF('Calculations'!HX480&lt;&gt;"",'Calculations'!HX480,IF('Calculations'!HW480&lt;&gt;"",'Calculations'!HW480,IF('Calculations'!HV480&lt;&gt;"",'Calculations'!HV480,IF('Calculations'!HU480&lt;&gt;"",'Calculations'!HU480,IF('Calculations'!HT480&lt;&gt;"",'Calculations'!HT480,IF('Calculations'!HS480&lt;&gt;"",'Calculations'!HS480,IF('Calculations'!HR480&lt;&gt;"",'Calculations'!HR480,IF('Calculations'!HQ480&lt;&gt;"",'Calculations'!HQ480,IF('Calculations'!HP480&lt;&gt;"",'Calculations'!HP480,IF('Calculations'!HO480&lt;&gt;"",'Calculations'!HO480,'Calculations'!HE480))))))))))))))))))))))</x:f>
      </x:c>
      <x:c r="HN480" t="str">
        <x:f>IF('Calculations'!EM480="","",IF(IFERROR(IF(INDEX(INDIRECT("'WCM Calibration Final'!$F$1:$F$2000"),'Calculations'!$EM480)="","",TRIM(INDEX(INDIRECT("'WCM Calibration Final'!$F$1:$F$2000"),'Calculations'!$EM480)&amp;"")),"")="","(Blank)",IFERROR(IF(INDEX(INDIRECT("'WCM Calibration Final'!$F$1:$F$2000"),'Calculations'!$EM480)="","",TRIM(INDEX(INDIRECT("'WCM Calibration Final'!$F$1:$F$2000"),'Calculations'!$EM480)&amp;"")),"")))</x:f>
      </x:c>
      <x:c r="HO480" t="str">
        <x:f>'Calculations'!HF480</x:f>
      </x:c>
      <x:c r="HP480" t="str">
        <x:f>IF('Calculations'!HO480="","",IF('Calculations'!HO480="!AMBIG","!AMBIG",IF(COUNTIF('Calculations'!$HE$13:$HE$512,"="&amp;SUBSTITUTE(SUBSTITUTE(SUBSTITUTE('Calculations'!HO480,"~","~~"),"*","~*"),"?","~?"))&gt;1,"!AMBIG",IFERROR(INDEX('Calculations'!$HF$13:$HF$512,MATCH('Calculations'!HO480,'Calculations'!$HE$13:$HE$512,0)),""))))</x:f>
      </x:c>
      <x:c r="HQ480" t="str">
        <x:f>IF('Calculations'!HP480="","",IF('Calculations'!HP480="!AMBIG","!AMBIG",IF(COUNTIF('Calculations'!$HE$13:$HE$512,"="&amp;SUBSTITUTE(SUBSTITUTE(SUBSTITUTE('Calculations'!HP480,"~","~~"),"*","~*"),"?","~?"))&gt;1,"!AMBIG",IFERROR(INDEX('Calculations'!$HF$13:$HF$512,MATCH('Calculations'!HP480,'Calculations'!$HE$13:$HE$512,0)),""))))</x:f>
      </x:c>
      <x:c r="HR480" t="str">
        <x:f>IF('Calculations'!HQ480="","",IF('Calculations'!HQ480="!AMBIG","!AMBIG",IF(COUNTIF('Calculations'!$HE$13:$HE$512,"="&amp;SUBSTITUTE(SUBSTITUTE(SUBSTITUTE('Calculations'!HQ480,"~","~~"),"*","~*"),"?","~?"))&gt;1,"!AMBIG",IFERROR(INDEX('Calculations'!$HF$13:$HF$512,MATCH('Calculations'!HQ480,'Calculations'!$HE$13:$HE$512,0)),""))))</x:f>
      </x:c>
      <x:c r="HS480" t="str">
        <x:f>IF('Calculations'!HR480="","",IF('Calculations'!HR480="!AMBIG","!AMBIG",IF(COUNTIF('Calculations'!$HE$13:$HE$512,"="&amp;SUBSTITUTE(SUBSTITUTE(SUBSTITUTE('Calculations'!HR480,"~","~~"),"*","~*"),"?","~?"))&gt;1,"!AMBIG",IFERROR(INDEX('Calculations'!$HF$13:$HF$512,MATCH('Calculations'!HR480,'Calculations'!$HE$13:$HE$512,0)),""))))</x:f>
      </x:c>
      <x:c r="HT480" t="str">
        <x:f>IF('Calculations'!HS480="","",IF('Calculations'!HS480="!AMBIG","!AMBIG",IF(COUNTIF('Calculations'!$HE$13:$HE$512,"="&amp;SUBSTITUTE(SUBSTITUTE(SUBSTITUTE('Calculations'!HS480,"~","~~"),"*","~*"),"?","~?"))&gt;1,"!AMBIG",IFERROR(INDEX('Calculations'!$HF$13:$HF$512,MATCH('Calculations'!HS480,'Calculations'!$HE$13:$HE$512,0)),""))))</x:f>
      </x:c>
      <x:c r="HU480" t="str">
        <x:f>IF('Calculations'!HT480="","",IF('Calculations'!HT480="!AMBIG","!AMBIG",IF(COUNTIF('Calculations'!$HE$13:$HE$512,"="&amp;SUBSTITUTE(SUBSTITUTE(SUBSTITUTE('Calculations'!HT480,"~","~~"),"*","~*"),"?","~?"))&gt;1,"!AMBIG",IFERROR(INDEX('Calculations'!$HF$13:$HF$512,MATCH('Calculations'!HT480,'Calculations'!$HE$13:$HE$512,0)),""))))</x:f>
      </x:c>
      <x:c r="HV480" t="str">
        <x:f>IF('Calculations'!HU480="","",IF('Calculations'!HU480="!AMBIG","!AMBIG",IF(COUNTIF('Calculations'!$HE$13:$HE$512,"="&amp;SUBSTITUTE(SUBSTITUTE(SUBSTITUTE('Calculations'!HU480,"~","~~"),"*","~*"),"?","~?"))&gt;1,"!AMBIG",IFERROR(INDEX('Calculations'!$HF$13:$HF$512,MATCH('Calculations'!HU480,'Calculations'!$HE$13:$HE$512,0)),""))))</x:f>
      </x:c>
      <x:c r="HW480" t="str">
        <x:f>IF('Calculations'!HV480="","",IF('Calculations'!HV480="!AMBIG","!AMBIG",IF(COUNTIF('Calculations'!$HE$13:$HE$512,"="&amp;SUBSTITUTE(SUBSTITUTE(SUBSTITUTE('Calculations'!HV480,"~","~~"),"*","~*"),"?","~?"))&gt;1,"!AMBIG",IFERROR(INDEX('Calculations'!$HF$13:$HF$512,MATCH('Calculations'!HV480,'Calculations'!$HE$13:$HE$512,0)),""))))</x:f>
      </x:c>
      <x:c r="HX480" t="str">
        <x:f>IF('Calculations'!HW480="","",IF('Calculations'!HW480="!AMBIG","!AMBIG",IF(COUNTIF('Calculations'!$HE$13:$HE$512,"="&amp;SUBSTITUTE(SUBSTITUTE(SUBSTITUTE('Calculations'!HW480,"~","~~"),"*","~*"),"?","~?"))&gt;1,"!AMBIG",IFERROR(INDEX('Calculations'!$HF$13:$HF$512,MATCH('Calculations'!HW480,'Calculations'!$HE$13:$HE$512,0)),""))))</x:f>
      </x:c>
      <x:c r="HY480" t="str">
        <x:f>IF('Calculations'!HX480="","",IF('Calculations'!HX480="!AMBIG","!AMBIG",IF(COUNTIF('Calculations'!$HE$13:$HE$512,"="&amp;SUBSTITUTE(SUBSTITUTE(SUBSTITUTE('Calculations'!HX480,"~","~~"),"*","~*"),"?","~?"))&gt;1,"!AMBIG",IFERROR(INDEX('Calculations'!$HF$13:$HF$512,MATCH('Calculations'!HX480,'Calculations'!$HE$13:$HE$512,0)),""))))</x:f>
      </x:c>
      <x:c r="HZ480" t="str">
        <x:f>IF('Calculations'!HY480="","",IF('Calculations'!HY480="!AMBIG","!AMBIG",IF(COUNTIF('Calculations'!$HE$13:$HE$512,"="&amp;SUBSTITUTE(SUBSTITUTE(SUBSTITUTE('Calculations'!HY480,"~","~~"),"*","~*"),"?","~?"))&gt;1,"!AMBIG",IFERROR(INDEX('Calculations'!$HF$13:$HF$512,MATCH('Calculations'!HY480,'Calculations'!$HE$13:$HE$512,0)),""))))</x:f>
      </x:c>
      <x:c r="IA480" t="str">
        <x:f>IF('Calculations'!HZ480="","",IF('Calculations'!HZ480="!AMBIG","!AMBIG",IF(COUNTIF('Calculations'!$HE$13:$HE$512,"="&amp;SUBSTITUTE(SUBSTITUTE(SUBSTITUTE('Calculations'!HZ480,"~","~~"),"*","~*"),"?","~?"))&gt;1,"!AMBIG",IFERROR(INDEX('Calculations'!$HF$13:$HF$512,MATCH('Calculations'!HZ480,'Calculations'!$HE$13:$HE$512,0)),""))))</x:f>
      </x:c>
      <x:c r="IB480" t="str">
        <x:f>IF('Calculations'!IA480="","",IF('Calculations'!IA480="!AMBIG","!AMBIG",IF(COUNTIF('Calculations'!$HE$13:$HE$512,"="&amp;SUBSTITUTE(SUBSTITUTE(SUBSTITUTE('Calculations'!IA480,"~","~~"),"*","~*"),"?","~?"))&gt;1,"!AMBIG",IFERROR(INDEX('Calculations'!$HF$13:$HF$512,MATCH('Calculations'!IA480,'Calculations'!$HE$13:$HE$512,0)),""))))</x:f>
      </x:c>
      <x:c r="IC480" t="str">
        <x:f>IF('Calculations'!IB480="","",IF('Calculations'!IB480="!AMBIG","!AMBIG",IF(COUNTIF('Calculations'!$HE$13:$HE$512,"="&amp;SUBSTITUTE(SUBSTITUTE(SUBSTITUTE('Calculations'!IB480,"~","~~"),"*","~*"),"?","~?"))&gt;1,"!AMBIG",IFERROR(INDEX('Calculations'!$HF$13:$HF$512,MATCH('Calculations'!IB480,'Calculations'!$HE$13:$HE$512,0)),""))))</x:f>
      </x:c>
      <x:c r="ID480" t="str">
        <x:f>IF('Calculations'!IC480="","",IF('Calculations'!IC480="!AMBIG","!AMBIG",IF(COUNTIF('Calculations'!$HE$13:$HE$512,"="&amp;SUBSTITUTE(SUBSTITUTE(SUBSTITUTE('Calculations'!IC480,"~","~~"),"*","~*"),"?","~?"))&gt;1,"!AMBIG",IFERROR(INDEX('Calculations'!$HF$13:$HF$512,MATCH('Calculations'!IC480,'Calculations'!$HE$13:$HE$512,0)),""))))</x:f>
      </x:c>
      <x:c r="IE480" t="str">
        <x:f>IF('Calculations'!ID480="","",IF('Calculations'!ID480="!AMBIG","!AMBIG",IF(COUNTIF('Calculations'!$HE$13:$HE$512,"="&amp;SUBSTITUTE(SUBSTITUTE(SUBSTITUTE('Calculations'!ID480,"~","~~"),"*","~*"),"?","~?"))&gt;1,"!AMBIG",IFERROR(INDEX('Calculations'!$HF$13:$HF$512,MATCH('Calculations'!ID480,'Calculations'!$HE$13:$HE$512,0)),""))))</x:f>
      </x:c>
      <x:c r="IF480" t="str">
        <x:f>IF('Calculations'!IE480="","",IF('Calculations'!IE480="!AMBIG","!AMBIG",IF(COUNTIF('Calculations'!$HE$13:$HE$512,"="&amp;SUBSTITUTE(SUBSTITUTE(SUBSTITUTE('Calculations'!IE480,"~","~~"),"*","~*"),"?","~?"))&gt;1,"!AMBIG",IFERROR(INDEX('Calculations'!$HF$13:$HF$512,MATCH('Calculations'!IE480,'Calculations'!$HE$13:$HE$512,0)),""))))</x:f>
      </x:c>
      <x:c r="IG480" t="str">
        <x:f>IF('Calculations'!IF480="","",IF('Calculations'!IF480="!AMBIG","!AMBIG",IF(COUNTIF('Calculations'!$HE$13:$HE$512,"="&amp;SUBSTITUTE(SUBSTITUTE(SUBSTITUTE('Calculations'!IF480,"~","~~"),"*","~*"),"?","~?"))&gt;1,"!AMBIG",IFERROR(INDEX('Calculations'!$HF$13:$HF$512,MATCH('Calculations'!IF480,'Calculations'!$HE$13:$HE$512,0)),""))))</x:f>
      </x:c>
      <x:c r="IH480" t="str">
        <x:f>IF('Calculations'!IG480="","",IF('Calculations'!IG480="!AMBIG","!AMBIG",IF(COUNTIF('Calculations'!$HE$13:$HE$512,"="&amp;SUBSTITUTE(SUBSTITUTE(SUBSTITUTE('Calculations'!IG480,"~","~~"),"*","~*"),"?","~?"))&gt;1,"!AMBIG",IFERROR(INDEX('Calculations'!$HF$13:$HF$512,MATCH('Calculations'!IG480,'Calculations'!$HE$13:$HE$512,0)),""))))</x:f>
      </x:c>
      <x:c r="II480" t="str">
        <x:f>IF('Calculations'!IH480="","",IF('Calculations'!IH480="!AMBIG","!AMBIG",IF(COUNTIF('Calculations'!$HE$13:$HE$512,"="&amp;SUBSTITUTE(SUBSTITUTE(SUBSTITUTE('Calculations'!IH480,"~","~~"),"*","~*"),"?","~?"))&gt;1,"!AMBIG",IFERROR(INDEX('Calculations'!$HF$13:$HF$512,MATCH('Calculations'!IH480,'Calculations'!$HE$13:$HE$512,0)),""))))</x:f>
      </x:c>
      <x:c r="IJ480" t="str">
        <x:f>IF('Calculations'!EM480="","",IF('Calculations'!$EF$2="All",'Calculations'!HM480,IF('Calculations'!HL480=1,"",IFERROR(IF(MATCH('Calculations'!$EF$2,'Calculations'!HO480:II480,0)=1,'Calculations'!HE480,INDEX('Calculations'!HO480:II480,1,MATCH('Calculations'!$EF$2,'Calculations'!HO480:II480,0)-1)),""))))</x:f>
      </x:c>
      <x:c r="IK480" t="n">
        <x:f>IF(AND('Calculations'!EM480&lt;&gt;"",'Calculations'!$EF$2&lt;&gt;"All",'Calculations'!HF480='Calculations'!$EF$2,'Calculations'!HL480=0,'Calculations'!JD480&gt;0),MAX('Calculations'!$IK$12:IK479)+1,0)</x:f>
        <x:v>0</x:v>
      </x:c>
      <x:c r="JA480" t="n">
        <x:f>IF(OR(IFERROR(INDIRECT("'WCM Calibration Final'!$A$480")&lt;&gt;"",FALSE),IFERROR(INDIRECT("'WCM Calibration Final'!$B$480")&lt;&gt;"",FALSE),IFERROR(INDIRECT("'WCM Calibration Final'!$C$480")&lt;&gt;"",FALSE)),480,0)</x:f>
        <x:v>0</x:v>
      </x:c>
      <x:c r="JB480" t="n">
        <x:f>'Calculations'!JB479+IF('Calculations'!JA480&gt;0,1,0)</x:f>
        <x:v>0</x:v>
      </x:c>
      <x:c r="JC480" t="n">
        <x:f>IF(OR('Calculations'!HF480="",'Calculations'!HF480="!AMBIG"),0,IF('Dashboard'!$B$7="All",1,COUNTIFS('Calculations'!$HO$13:$HO$512,"="&amp;SUBSTITUTE(SUBSTITUTE(SUBSTITUTE('Calculations'!HF480,"~","~~"),"*","~*"),"?","~?"),'Calculations'!$HN$13:$HN$512,"="&amp;SUBSTITUTE(SUBSTITUTE(SUBSTITUTE('Dashboard'!$B$7,"~","~~"),"*","~*"),"?","~?"))+COUNTIFS('Calculations'!$HP$13:$HP$512,"="&amp;SUBSTITUTE(SUBSTITUTE(SUBSTITUTE('Calculations'!HF480,"~","~~"),"*","~*"),"?","~?"),'Calculations'!$HN$13:$HN$512,"="&amp;SUBSTITUTE(SUBSTITUTE(SUBSTITUTE('Dashboard'!$B$7,"~","~~"),"*","~*"),"?","~?"))+COUNTIFS('Calculations'!$HQ$13:$HQ$512,"="&amp;SUBSTITUTE(SUBSTITUTE(SUBSTITUTE('Calculations'!HF480,"~","~~"),"*","~*"),"?","~?"),'Calculations'!$HN$13:$HN$512,"="&amp;SUBSTITUTE(SUBSTITUTE(SUBSTITUTE('Dashboard'!$B$7,"~","~~"),"*","~*"),"?","~?"))+COUNTIFS('Calculations'!$HR$13:$HR$512,"="&amp;SUBSTITUTE(SUBSTITUTE(SUBSTITUTE('Calculations'!HF480,"~","~~"),"*","~*"),"?","~?"),'Calculations'!$HN$13:$HN$512,"="&amp;SUBSTITUTE(SUBSTITUTE(SUBSTITUTE('Dashboard'!$B$7,"~","~~"),"*","~*"),"?","~?"))+COUNTIFS('Calculations'!$HS$13:$HS$512,"="&amp;SUBSTITUTE(SUBSTITUTE(SUBSTITUTE('Calculations'!HF480,"~","~~"),"*","~*"),"?","~?"),'Calculations'!$HN$13:$HN$512,"="&amp;SUBSTITUTE(SUBSTITUTE(SUBSTITUTE('Dashboard'!$B$7,"~","~~"),"*","~*"),"?","~?"))+COUNTIFS('Calculations'!$HT$13:$HT$512,"="&amp;SUBSTITUTE(SUBSTITUTE(SUBSTITUTE('Calculations'!HF480,"~","~~"),"*","~*"),"?","~?"),'Calculations'!$HN$13:$HN$512,"="&amp;SUBSTITUTE(SUBSTITUTE(SUBSTITUTE('Dashboard'!$B$7,"~","~~"),"*","~*"),"?","~?"))+COUNTIFS('Calculations'!$HU$13:$HU$512,"="&amp;SUBSTITUTE(SUBSTITUTE(SUBSTITUTE('Calculations'!HF480,"~","~~"),"*","~*"),"?","~?"),'Calculations'!$HN$13:$HN$512,"="&amp;SUBSTITUTE(SUBSTITUTE(SUBSTITUTE('Dashboard'!$B$7,"~","~~"),"*","~*"),"?","~?"))+COUNTIFS('Calculations'!$HV$13:$HV$512,"="&amp;SUBSTITUTE(SUBSTITUTE(SUBSTITUTE('Calculations'!HF480,"~","~~"),"*","~*"),"?","~?"),'Calculations'!$HN$13:$HN$512,"="&amp;SUBSTITUTE(SUBSTITUTE(SUBSTITUTE('Dashboard'!$B$7,"~","~~"),"*","~*"),"?","~?"))+COUNTIFS('Calculations'!$HW$13:$HW$512,"="&amp;SUBSTITUTE(SUBSTITUTE(SUBSTITUTE('Calculations'!HF480,"~","~~"),"*","~*"),"?","~?"),'Calculations'!$HN$13:$HN$512,"="&amp;SUBSTITUTE(SUBSTITUTE(SUBSTITUTE('Dashboard'!$B$7,"~","~~"),"*","~*"),"?","~?"))+COUNTIFS('Calculations'!$HX$13:$HX$512,"="&amp;SUBSTITUTE(SUBSTITUTE(SUBSTITUTE('Calculations'!HF480,"~","~~"),"*","~*"),"?","~?"),'Calculations'!$HN$13:$HN$512,"="&amp;SUBSTITUTE(SUBSTITUTE(SUBSTITUTE('Dashboard'!$B$7,"~","~~"),"*","~*"),"?","~?"))+COUNTIFS('Calculations'!$HY$13:$HY$512,"="&amp;SUBSTITUTE(SUBSTITUTE(SUBSTITUTE('Calculations'!HF480,"~","~~"),"*","~*"),"?","~?"),'Calculations'!$HN$13:$HN$512,"="&amp;SUBSTITUTE(SUBSTITUTE(SUBSTITUTE('Dashboard'!$B$7,"~","~~"),"*","~*"),"?","~?"))+COUNTIFS('Calculations'!$HZ$13:$HZ$512,"="&amp;SUBSTITUTE(SUBSTITUTE(SUBSTITUTE('Calculations'!HF480,"~","~~"),"*","~*"),"?","~?"),'Calculations'!$HN$13:$HN$512,"="&amp;SUBSTITUTE(SUBSTITUTE(SUBSTITUTE('Dashboard'!$B$7,"~","~~"),"*","~*"),"?","~?"))+COUNTIFS('Calculations'!$IA$13:$IA$512,"="&amp;SUBSTITUTE(SUBSTITUTE(SUBSTITUTE('Calculations'!HF480,"~","~~"),"*","~*"),"?","~?"),'Calculations'!$HN$13:$HN$512,"="&amp;SUBSTITUTE(SUBSTITUTE(SUBSTITUTE('Dashboard'!$B$7,"~","~~"),"*","~*"),"?","~?"))+COUNTIFS('Calculations'!$IB$13:$IB$512,"="&amp;SUBSTITUTE(SUBSTITUTE(SUBSTITUTE('Calculations'!HF480,"~","~~"),"*","~*"),"?","~?"),'Calculations'!$HN$13:$HN$512,"="&amp;SUBSTITUTE(SUBSTITUTE(SUBSTITUTE('Dashboard'!$B$7,"~","~~"),"*","~*"),"?","~?"))+COUNTIFS('Calculations'!$IC$13:$IC$512,"="&amp;SUBSTITUTE(SUBSTITUTE(SUBSTITUTE('Calculations'!HF480,"~","~~"),"*","~*"),"?","~?"),'Calculations'!$HN$13:$HN$512,"="&amp;SUBSTITUTE(SUBSTITUTE(SUBSTITUTE('Dashboard'!$B$7,"~","~~"),"*","~*"),"?","~?"))+COUNTIFS('Calculations'!$ID$13:$ID$512,"="&amp;SUBSTITUTE(SUBSTITUTE(SUBSTITUTE('Calculations'!HF480,"~","~~"),"*","~*"),"?","~?"),'Calculations'!$HN$13:$HN$512,"="&amp;SUBSTITUTE(SUBSTITUTE(SUBSTITUTE('Dashboard'!$B$7,"~","~~"),"*","~*"),"?","~?"))+COUNTIFS('Calculations'!$IE$13:$IE$512,"="&amp;SUBSTITUTE(SUBSTITUTE(SUBSTITUTE('Calculations'!HF480,"~","~~"),"*","~*"),"?","~?"),'Calculations'!$HN$13:$HN$512,"="&amp;SUBSTITUTE(SUBSTITUTE(SUBSTITUTE('Dashboard'!$B$7,"~","~~"),"*","~*"),"?","~?"))+COUNTIFS('Calculations'!$IF$13:$IF$512,"="&amp;SUBSTITUTE(SUBSTITUTE(SUBSTITUTE('Calculations'!HF480,"~","~~"),"*","~*"),"?","~?"),'Calculations'!$HN$13:$HN$512,"="&amp;SUBSTITUTE(SUBSTITUTE(SUBSTITUTE('Dashboard'!$B$7,"~","~~"),"*","~*"),"?","~?"))+COUNTIFS('Calculations'!$IG$13:$IG$512,"="&amp;SUBSTITUTE(SUBSTITUTE(SUBSTITUTE('Calculations'!HF480,"~","~~"),"*","~*"),"?","~?"),'Calculations'!$HN$13:$HN$512,"="&amp;SUBSTITUTE(SUBSTITUTE(SUBSTITUTE('Dashboard'!$B$7,"~","~~"),"*","~*"),"?","~?"))+COUNTIFS('Calculations'!$IH$13:$IH$512,"="&amp;SUBSTITUTE(SUBSTITUTE(SUBSTITUTE('Calculations'!HF480,"~","~~"),"*","~*"),"?","~?"),'Calculations'!$HN$13:$HN$512,"="&amp;SUBSTITUTE(SUBSTITUTE(SUBSTITUTE('Dashboard'!$B$7,"~","~~"),"*","~*"),"?","~?"))))</x:f>
        <x:v>0</x:v>
      </x:c>
      <x:c r="JD480" t="n">
        <x:f>IF('Calculations'!EM480="",0,IF('Dashboard'!$B$7="All",1,IF('Calculations'!HN480='Dashboard'!$B$7,1,0)+IFERROR(INDEX('Calculations'!$JC$13:$JC$512,MATCH('Calculations'!HE480,'Calculations'!$HF$13:$HF$512,0)),0)))</x:f>
        <x:v>0</x:v>
      </x:c>
      <x:c r="JE480" t="n">
        <x:f>IF(AND('Calculations'!EM480&lt;&gt;"",'Calculations'!$JJ$2&lt;&gt;"All",'Calculations'!$JJ$2&lt;&gt;"",'Calculations'!HF480='Calculations'!$JJ$2,'Calculations'!HL480=0,'Calculations'!JD480&gt;0),MAX('Calculations'!$JE$12:JE479)+1,0)</x:f>
        <x:v>0</x:v>
      </x:c>
      <x:c r="JF480" t="str">
        <x:f>IF('Calculations'!EM480="","",IFERROR(IF(INDEX(INDIRECT("'WCM Calibration Final'!$G$1:$G$2000"),'Calculations'!$EM480)="","",TRIM(INDEX(INDIRECT("'WCM Calibration Final'!$G$1:$G$2000"),'Calculations'!$EM480)&amp;"")),""))</x:f>
      </x:c>
      <x:c r="JQ480" t="n">
        <x:f>IF(OR('Calculations'!BM480=0,NOT('Calculations'!$AG$2),'Calculations'!$AG$8&gt;0),0,IF(OR('Dashboard'!$B$7="All",'Calculations'!HN480='Dashboard'!$B$7),IF('Calculations'!$JJ$2="All",1,IF(AND('Calculations'!HF480='Calculations'!$JJ$2,'Calculations'!HL480=0),1,0)),0))</x:f>
        <x:v>0</x:v>
      </x:c>
    </x:row>
    <x:row r="481">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t="n">
        <x:f>IF('Calculations'!$EM481="",0,IF(OR(IFERROR(INDEX(INDIRECT("'WCM Calibration Final'!$A$1:$A$2000"),'Calculations'!$EM481)&lt;&gt;"",FALSE),IFERROR(INDEX(INDIRECT("'WCM Calibration Final'!$B$1:$B$2000"),'Calculations'!$EM481)&lt;&gt;"",FALSE),IFERROR(INDEX(INDIRECT("'WCM Calibration Final'!$C$1:$C$2000"),'Calculations'!$EM481)&lt;&gt;"",FALSE)),1,0))</x:f>
        <x:v>0</x:v>
      </x:c>
      <x:c r="BN481" s="4" t="n">
        <x:f>IF(AND('Calculations'!BM481=1,'Calculations'!$AG$2,'Calculations'!$EN481=1),1,0)</x:f>
        <x:v>0</x:v>
      </x:c>
      <x:c r="BO481" s="4" t="str">
        <x:f>IF('Calculations'!BM481=0,"",IFERROR(IF(AND(VALUE(INDEX(INDIRECT("'WCM Calibration Final'!$K$1:$K$2000"),'Calculations'!$EM481))&gt;=1,VALUE(INDEX(INDIRECT("'WCM Calibration Final'!$K$1:$K$2000"),'Calculations'!$EM481))&lt;=4,MOD(VALUE(INDEX(INDIRECT("'WCM Calibration Final'!$K$1:$K$2000"),'Calculations'!$EM481)),1)=0),VALUE(INDEX(INDIRECT("'WCM Calibration Final'!$K$1:$K$2000"),'Calculations'!$EM481)),""),""))</x:f>
      </x:c>
      <x:c r="BP481" s="4" t="str">
        <x:f>IF('Calculations'!BM481=0,"",IFERROR(IF(AND(VALUE(INDEX(INDIRECT("'WCM Calibration Final'!$L$1:$L$2000"),'Calculations'!$EM481))&gt;=1,VALUE(INDEX(INDIRECT("'WCM Calibration Final'!$L$1:$L$2000"),'Calculations'!$EM481))&lt;=4,MOD(VALUE(INDEX(INDIRECT("'WCM Calibration Final'!$L$1:$L$2000"),'Calculations'!$EM481)),1)=0),VALUE(INDEX(INDIRECT("'WCM Calibration Final'!$L$1:$L$2000"),'Calculations'!$EM481)),""),""))</x:f>
      </x:c>
      <x:c r="BQ481" s="4"/>
      <x:c r="BR481" s="4"/>
      <x:c r="BS481" s="4"/>
      <x:c r="BT481" s="4" t="n">
        <x:f>IF(AND('Calculations'!BM481=1,ISNUMBER('Calculations'!BO481),ISNUMBER('Calculations'!BP481)),1,0)</x:f>
        <x:v>0</x:v>
      </x:c>
      <x:c r="BU481" s="4" t="str">
        <x:f>IF('Calculations'!BM481=0,"",'Calculations'!$EO481)</x:f>
      </x:c>
      <x:c r="BV481" s="4" t="str">
        <x:f>IF('Calculations'!BM481=0,"",IFERROR(IF(OR(INDEX(INDIRECT("'WCM Calibration Final'!$H$1:$H$2000"),'Calculations'!$EM481)="MANAGING DIRECTOR",INDEX(INDIRECT("'WCM Calibration Final'!$H$1:$H$2000"),'Calculations'!$EM481)="DIRECTOR",INDEX(INDIRECT("'WCM Calibration Final'!$H$1:$H$2000"),'Calculations'!$EM481)="SENIOR VICE PRESIDENT",INDEX(INDIRECT("'WCM Calibration Final'!$H$1:$H$2000"),'Calculations'!$EM481)="VICE PRESIDENT",INDEX(INDIRECT("'WCM Calibration Final'!$H$1:$H$2000"),'Calculations'!$EM481)="ASSISTANT VICE PRESIDENT",INDEX(INDIRECT("'WCM Calibration Final'!$H$1:$H$2000"),'Calculations'!$EM481)="OFFICER"),UPPER(INDEX(INDIRECT("'WCM Calibration Final'!$H$1:$H$2000"),'Calculations'!$EM481)),"Other"),"Other"))</x:f>
      </x:c>
      <x:c r="BW481" s="4"/>
      <x:c r="BX481" s="4"/>
      <x:c r="BY481" s="4" t="n">
        <x:f>IF(AND('Calculations'!BM481=1,'Calculations'!BU481&lt;&gt;"",COUNTIF('Calculations'!$BU$12:BU481,'Calculations'!BU481)=1),MAX('Calculations'!$BY$11:BY480)+1,0)</x:f>
        <x:v>0</x:v>
      </x:c>
      <x:c r="BZ481" s="4" t="str">
        <x:f>IF('Dashboard'!$E$67="What",'Calculations'!BO481,'Calculations'!BP481)</x:f>
      </x:c>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t="str">
        <x:f>IF(470&gt;MAX('Calculations'!$HI$13:$HI$512),"",INDEX('Calculations'!$HN$13:$HN$512,MATCH(470,'Calculations'!$HI$13:$HI$512,0)))</x:f>
      </x:c>
      <x:c r="DB481" s="4" t="str">
        <x:f>IF(470&gt;MAX('Calculations'!$HH$13:$HH$512),"",INDEX('Calculations'!$HJ$13:$HJ$512,MATCH(470,'Calculations'!$HH$13:$HH$512,0)))</x:f>
      </x:c>
      <x:c r="DC481" s="4" t="str">
        <x:f>IF(ROW()-11&gt;MAX('Calculations'!$BY$13:$BY$512),"",INDEX('Calculations'!$BU$13:$BU$512,MATCH(ROW()-11,'Calculations'!$BY$13:$BY$512,0)))</x:f>
      </x:c>
      <x:c r="DD481" s="4" t="str">
        <x:f>IF(470&gt;MAX('Calculations'!$IK$13:$IK$512),"",INDEX('Calculations'!$HK$13:$HK$512,MATCH(470,'Calculations'!$IK$13:$IK$512,0)))</x:f>
      </x:c>
      <x:c r="DE481" s="4" t="str">
        <x:f>'Calculations'!DC481</x:f>
      </x:c>
      <x:c r="DF481" s="4" t="str">
        <x:f>IF('Calculations'!DE481="","",COUNTIFS('Calculations'!$BN$13:$BN$512,1,'Calculations'!$BU$13:$BU$512,'Calculations'!DE481))</x:f>
      </x:c>
      <x:c r="DG481" s="4" t="str">
        <x:f>IF('Calculations'!DE481="","",COUNTIFS('Calculations'!$BN$13:$BN$512,1,'Calculations'!$BU$13:$BU$512,'Calculations'!DE481,'Calculations'!$BT$13:$BT$512,1))</x:f>
      </x:c>
      <x:c r="DH481" s="4" t="str">
        <x:f>IF('Calculations'!DE481="","",'Calculations'!DF481-'Calculations'!DG481)</x:f>
      </x:c>
      <x:c r="DI481" s="4" t="str">
        <x:f>IF(OR('Calculations'!DE481="",'Calculations'!DF481=0),"",'Calculations'!DG481/'Calculations'!DF481)</x:f>
      </x:c>
      <x:c r="DJ481" s="4" t="str">
        <x:f>IF('Calculations'!DE481="","",COUNTIFS('Calculations'!$BN$13:$BN$512,1,'Calculations'!$BU$13:$BU$512,'Calculations'!DE481,'Calculations'!$BT$13:$BT$512,1,'Calculations'!$EE$13:$EE$512,"High"))</x:f>
      </x:c>
      <x:c r="DK481" s="4" t="str">
        <x:f>IF('Calculations'!DE481="","",COUNTIFS('Calculations'!$BN$13:$BN$512,1,'Calculations'!$BU$13:$BU$512,'Calculations'!DE481,'Calculations'!$BT$13:$BT$512,1,'Calculations'!$EE$13:$EE$512,"Strong"))</x:f>
      </x:c>
      <x:c r="DL481" s="4" t="str">
        <x:f>IF('Calculations'!DE481="","",COUNTIFS('Calculations'!$BN$13:$BN$512,1,'Calculations'!$BU$13:$BU$512,'Calculations'!DE481,'Calculations'!$BT$13:$BT$512,1,'Calculations'!$EE$13:$EE$512,"Solid"))</x:f>
      </x:c>
      <x:c r="DM481" s="4" t="str">
        <x:f>IF('Calculations'!DE481="","",COUNTIFS('Calculations'!$BN$13:$BN$512,1,'Calculations'!$BU$13:$BU$512,'Calculations'!DE481,'Calculations'!$BT$13:$BT$512,1,'Calculations'!$EE$13:$EE$512,"Low"))</x:f>
      </x:c>
      <x:c r="DN481" s="4" t="str">
        <x:f>IF('Calculations'!DE481="","",COUNTIFS('Calculations'!$BN$13:$BN$512,1,'Calculations'!$BU$13:$BU$512,'Calculations'!DE481,'Calculations'!$EP$13:$EP$512,1))</x:f>
      </x:c>
      <x:c r="DO481" s="4" t="str">
        <x:f>IF(OR('Calculations'!DE481="",'Calculations'!DG481=0),"",('Calculations'!DJ481+'Calculations'!DK481)/'Calculations'!DG481)</x:f>
      </x:c>
      <x:c r="DP481" s="4" t="n">
        <x:f>IF(AND('Calculations'!DE481&lt;&gt;"",'Calculations'!DF481&gt;0),COUNTIF('Calculations'!$DF$12:DF481,"&gt;0"),0)</x:f>
        <x:v>0</x:v>
      </x:c>
      <x:c r="DQ481" s="4" t="str">
        <x:f>IF(470&gt;MAX('Calculations'!$HH$13:$HH$512),"",INDEX('Calculations'!$HF$13:$HF$512,MATCH(470,'Calculations'!$HH$13:$HH$512,0)))</x:f>
      </x:c>
      <x:c r="DR481" s="4" t="str">
        <x:f>IF(470&gt;MAX('Calculations'!$IK$13:$IK$512),"",INDEX('Calculations'!$HE$13:$HE$512,MATCH(470,'Calculations'!$IK$13:$IK$512,0)))</x:f>
      </x:c>
      <x:c r="DS481" s="4"/>
      <x:c r="DT481" s="4"/>
      <x:c r="DU481" s="4"/>
      <x:c r="DV481" s="4"/>
      <x:c r="DW481" s="4"/>
      <x:c r="DX481" s="4"/>
      <x:c r="DY481" s="4"/>
      <x:c r="DZ481" s="4"/>
      <x:c r="EA481" s="4"/>
      <x:c r="EB481" s="4"/>
      <x:c r="EC481" s="4"/>
      <x:c r="ED481" s="4"/>
      <x:c r="EE481" s="4" t="str">
        <x:f>IF('Calculations'!BT481=0,"Not Rated",IF(OR('Calculations'!BO481&gt;=4,'Calculations'!BP481&gt;=4),"Low",IF('Calculations'!BO481+'Calculations'!BP481&lt;=3,"High",IF('Calculations'!BO481+'Calculations'!BP481&lt;=4,"Strong","Solid"))))</x:f>
        <x:v>Not Rated</x:v>
      </x:c>
      <x:c r="EF481" s="4"/>
      <x:c r="EG481" s="4"/>
      <x:c r="EH481" s="4"/>
      <x:c r="EI481" s="4"/>
      <x:c r="EJ481" s="4"/>
      <x:c r="EK481" s="4"/>
      <x:c r="EL481" s="4"/>
      <x:c r="EM481" s="4" t="str">
        <x:f>IF(469&gt;'Calculations'!$JB$2000,"",INDEX('Calculations'!$JA$12:$JA$2000,MATCH(469,'Calculations'!$JB$12:$JB$2000,0)))</x:f>
      </x:c>
      <x:c r="EN481" s="4" t="n">
        <x:f>IF(OR('Calculations'!EM481="",'Calculations'!$AG$8&gt;0,AND('Calculations'!$EF$2&lt;&gt;"All",'Calculations'!HE481='Calculations'!$EF$2),AND('Calculations'!$EF$3&lt;&gt;"All",'Calculations'!HE481='Calculations'!$EF$3)),0,IF(OR('Dashboard'!$B$7="All",'Calculations'!HN481='Dashboard'!$B$7),IF('Calculations'!$EF$2="All",1,IF('Calculations'!HL481&gt;0,0,IF(COUNTIF('Calculations'!HO481:II481,"="&amp;SUBSTITUTE(SUBSTITUTE(SUBSTITUTE('Calculations'!$EF$2,"~","~~"),"*","~*"),"?","~?"))=0,0,IF('Calculations'!$EF$3="All",1,IF(COUNTIF('Calculations'!HO481:II481,"="&amp;SUBSTITUTE(SUBSTITUTE(SUBSTITUTE('Calculations'!$EF$3,"~","~~"),"*","~*"),"?","~?"))&gt;0,1,0))))),0))</x:f>
        <x:v>0</x:v>
      </x:c>
      <x:c r="EO481" s="4" t="str">
        <x:f>IF('Calculations'!IJ481="","",IF('Calculations'!IJ481="!UNRESOLVED","Unresolved hierarchy",IFERROR(INDEX('Calculations'!$HK$13:$HK$512,MATCH('Calculations'!IJ481,'Calculations'!$HE$13:$HE$512,0)),IFERROR(INDEX('Calculations'!$HJ$13:$HJ$512,MATCH('Calculations'!IJ481,'Calculations'!$HF$13:$HF$512,0)),'Calculations'!IJ481))))</x:f>
      </x:c>
      <x:c r="EP481" s="4" t="n">
        <x:f>IF(AND('Calculations'!EM481&lt;&gt;"",'Calculations'!HF481='Calculations'!IJ481),1,0)</x:f>
        <x:v>0</x:v>
      </x:c>
      <x:c r="EQ481" s="4"/>
      <x:c r="ER481" s="4"/>
      <x:c r="ES481" s="4"/>
      <x:c r="ET481" s="4"/>
      <x:c r="EU481" s="4"/>
      <x:c r="EV481" s="4"/>
      <x:c r="EW481" s="4"/>
      <x:c r="EX481" s="4"/>
      <x:c r="EY481" s="4"/>
      <x:c r="EZ481" s="4"/>
      <x:c r="FA481" s="4"/>
      <x:c r="FB481" s="4"/>
      <x:c r="FC481" s="4"/>
      <x:c r="FD481" s="4"/>
      <x:c r="FE481" s="4"/>
      <x:c r="FF481" s="4"/>
      <x:c r="FG481" s="4"/>
      <x:c r="FH481" s="4"/>
      <x:c r="FI481" s="4"/>
      <x:c r="FJ481" s="4"/>
      <x:c r="FK481" s="4"/>
      <x:c r="FL481" s="4"/>
      <x:c r="FM481" s="4"/>
      <x:c r="FN481" s="4"/>
      <x:c r="FO481" s="4"/>
      <x:c r="HE481" t="str">
        <x:f>IF('Calculations'!EM481="","",IF(IFERROR(IF(INDEX(INDIRECT("'WCM Calibration Final'!$A$1:$A$2000"),'Calculations'!$EM481)="","",TRIM(INDEX(INDIRECT("'WCM Calibration Final'!$A$1:$A$2000"),'Calculations'!$EM481)&amp;"")),"")&lt;&gt;"","G:"&amp;IFERROR(TEXT(1*INDEX(INDIRECT("'WCM Calibration Final'!$A$1:$A$2000"),'Calculations'!$EM481),"0"),UPPER(IFERROR(IF(INDEX(INDIRECT("'WCM Calibration Final'!$A$1:$A$2000"),'Calculations'!$EM481)="","",TRIM(INDEX(INDIRECT("'WCM Calibration Final'!$A$1:$A$2000"),'Calculations'!$EM481)&amp;"")),""))),IF(IFERROR(IF(INDEX(INDIRECT("'WCM Calibration Final'!$C$1:$C$2000"),'Calculations'!$EM481)="","",TRIM(INDEX(INDIRECT("'WCM Calibration Final'!$C$1:$C$2000"),'Calculations'!$EM481)&amp;"")),"")&lt;&gt;"","S:"&amp;UPPER(IFERROR(IF(INDEX(INDIRECT("'WCM Calibration Final'!$C$1:$C$2000"),'Calculations'!$EM481)="","",TRIM(INDEX(INDIRECT("'WCM Calibration Final'!$C$1:$C$2000"),'Calculations'!$EM481)&amp;"")),"")),"R:"&amp;'Calculations'!EM481)))</x:f>
      </x:c>
      <x:c r="HF481" t="str">
        <x:f>IF('Calculations'!EM481="","",IF(IFERROR(IF(INDEX(INDIRECT("'WCM Calibration Final'!$D$1:$D$2000"),'Calculations'!$EM481)="","",TRIM(INDEX(INDIRECT("'WCM Calibration Final'!$D$1:$D$2000"),'Calculations'!$EM481)&amp;"")),"")&lt;&gt;"","G:"&amp;IFERROR(TEXT(1*INDEX(INDIRECT("'WCM Calibration Final'!$D$1:$D$2000"),'Calculations'!$EM481),"0"),UPPER(IFERROR(IF(INDEX(INDIRECT("'WCM Calibration Final'!$D$1:$D$2000"),'Calculations'!$EM481)="","",TRIM(INDEX(INDIRECT("'WCM Calibration Final'!$D$1:$D$2000"),'Calculations'!$EM481)&amp;"")),""))),IF(IFERROR(IF(INDEX(INDIRECT("'WCM Calibration Final'!$E$1:$E$2000"),'Calculations'!$EM481)="","",TRIM(INDEX(INDIRECT("'WCM Calibration Final'!$E$1:$E$2000"),'Calculations'!$EM481)&amp;"")),"")="","",IF(COUNTIF('Calculations'!$HG$13:$HG$512,"="&amp;SUBSTITUTE(SUBSTITUTE(SUBSTITUTE(IFERROR(IF(INDEX(INDIRECT("'WCM Calibration Final'!$E$1:$E$2000"),'Calculations'!$EM481)="","",TRIM(INDEX(INDIRECT("'WCM Calibration Final'!$E$1:$E$2000"),'Calculations'!$EM481)&amp;"")),""),"~","~~"),"*","~*"),"?","~?"))=1,INDEX('Calculations'!$HE$13:$HE$512,MATCH(IFERROR(IF(INDEX(INDIRECT("'WCM Calibration Final'!$E$1:$E$2000"),'Calculations'!$EM481)="","",TRIM(INDEX(INDIRECT("'WCM Calibration Final'!$E$1:$E$2000"),'Calculations'!$EM481)&amp;"")),""),'Calculations'!$HG$13:$HG$512,0)),IF(COUNTIF('Calculations'!$HG$13:$HG$512,"="&amp;SUBSTITUTE(SUBSTITUTE(SUBSTITUTE(IFERROR(IF(INDEX(INDIRECT("'WCM Calibration Final'!$E$1:$E$2000"),'Calculations'!$EM481)="","",TRIM(INDEX(INDIRECT("'WCM Calibration Final'!$E$1:$E$2000"),'Calculations'!$EM481)&amp;"")),""),"~","~~"),"*","~*"),"?","~?"))&gt;1,"!AMBIG","X:"&amp;IFERROR(IF(INDEX(INDIRECT("'WCM Calibration Final'!$E$1:$E$2000"),'Calculations'!$EM481)="","",TRIM(INDEX(INDIRECT("'WCM Calibration Final'!$E$1:$E$2000"),'Calculations'!$EM481)&amp;"")),""))))))</x:f>
      </x:c>
      <x:c r="HG481" t="str">
        <x:f>IF('Calculations'!EM481="","",IFERROR(IF(INDEX(INDIRECT("'WCM Calibration Final'!$B$1:$B$2000"),'Calculations'!$EM481)="","",TRIM(INDEX(INDIRECT("'WCM Calibration Final'!$B$1:$B$2000"),'Calculations'!$EM481)&amp;"")),""))</x:f>
      </x:c>
      <x:c r="HH481" t="n">
        <x:f>IF(AND('Calculations'!JC481&gt;0,COUNTIF('Calculations'!$HF$12:HF481,"="&amp;SUBSTITUTE(SUBSTITUTE(SUBSTITUTE('Calculations'!HF481,"~","~~"),"*","~*"),"?","~?"))=1),MAX('Calculations'!$HH$12:HH480)+1,0)</x:f>
        <x:v>0</x:v>
      </x:c>
      <x:c r="HI481" t="n">
        <x:f>IF(AND('Calculations'!HN481&lt;&gt;"",COUNTIF('Calculations'!$HN$12:HN481,"="&amp;SUBSTITUTE(SUBSTITUTE(SUBSTITUTE('Calculations'!HN481,"~","~~"),"*","~*"),"?","~?"))=1),MAX('Calculations'!$HI$12:HI480)+1,0)</x:f>
        <x:v>0</x:v>
      </x:c>
      <x:c r="HJ481" t="str">
        <x:f>IF('Calculations'!HF481="","",IF(COUNTIF('Calculations'!$HE$13:$HE$512,"="&amp;SUBSTITUTE(SUBSTITUTE(SUBSTITUTE('Calculations'!HF481,"~","~~"),"*","~*"),"?","~?"))=1,INDEX('Calculations'!$HK$13:$HK$512,MATCH('Calculations'!HF481,'Calculations'!$HE$13:$HE$512,0)),IFERROR(IF(INDEX(INDIRECT("'WCM Calibration Final'!$E$1:$E$2000"),'Calculations'!$EM481)="","",TRIM(INDEX(INDIRECT("'WCM Calibration Final'!$E$1:$E$2000"),'Calculations'!$EM481)&amp;"")),"")&amp;" ["&amp;'Calculations'!HF481&amp;"]"))</x:f>
      </x:c>
      <x:c r="HK481" t="str">
        <x:f>IF('Calculations'!EM481="","",'Calculations'!HG481&amp;" ["&amp;'Calculations'!HE481&amp;"]")</x:f>
      </x:c>
      <x:c r="HL481" t="n">
        <x:f>IF('Calculations'!EM481="",0,IF(OR('Calculations'!II481&lt;&gt;"",COUNTIF('Calculations'!$HE$13:$HE$512,"="&amp;SUBSTITUTE(SUBSTITUTE(SUBSTITUTE('Calculations'!HE481,"~","~~"),"*","~*"),"?","~?"))&gt;1),1,0))</x:f>
        <x:v>0</x:v>
      </x:c>
      <x:c r="HM481" t="str">
        <x:f>IF('Calculations'!EM481="","",IF('Calculations'!HL481=1,"!UNRESOLVED",IF('Calculations'!IH481&lt;&gt;"",'Calculations'!IH481,IF('Calculations'!IG481&lt;&gt;"",'Calculations'!IG481,IF('Calculations'!IF481&lt;&gt;"",'Calculations'!IF481,IF('Calculations'!IE481&lt;&gt;"",'Calculations'!IE481,IF('Calculations'!ID481&lt;&gt;"",'Calculations'!ID481,IF('Calculations'!IC481&lt;&gt;"",'Calculations'!IC481,IF('Calculations'!IB481&lt;&gt;"",'Calculations'!IB481,IF('Calculations'!IA481&lt;&gt;"",'Calculations'!IA481,IF('Calculations'!HZ481&lt;&gt;"",'Calculations'!HZ481,IF('Calculations'!HY481&lt;&gt;"",'Calculations'!HY481,IF('Calculations'!HX481&lt;&gt;"",'Calculations'!HX481,IF('Calculations'!HW481&lt;&gt;"",'Calculations'!HW481,IF('Calculations'!HV481&lt;&gt;"",'Calculations'!HV481,IF('Calculations'!HU481&lt;&gt;"",'Calculations'!HU481,IF('Calculations'!HT481&lt;&gt;"",'Calculations'!HT481,IF('Calculations'!HS481&lt;&gt;"",'Calculations'!HS481,IF('Calculations'!HR481&lt;&gt;"",'Calculations'!HR481,IF('Calculations'!HQ481&lt;&gt;"",'Calculations'!HQ481,IF('Calculations'!HP481&lt;&gt;"",'Calculations'!HP481,IF('Calculations'!HO481&lt;&gt;"",'Calculations'!HO481,'Calculations'!HE481))))))))))))))))))))))</x:f>
      </x:c>
      <x:c r="HN481" t="str">
        <x:f>IF('Calculations'!EM481="","",IF(IFERROR(IF(INDEX(INDIRECT("'WCM Calibration Final'!$F$1:$F$2000"),'Calculations'!$EM481)="","",TRIM(INDEX(INDIRECT("'WCM Calibration Final'!$F$1:$F$2000"),'Calculations'!$EM481)&amp;"")),"")="","(Blank)",IFERROR(IF(INDEX(INDIRECT("'WCM Calibration Final'!$F$1:$F$2000"),'Calculations'!$EM481)="","",TRIM(INDEX(INDIRECT("'WCM Calibration Final'!$F$1:$F$2000"),'Calculations'!$EM481)&amp;"")),"")))</x:f>
      </x:c>
      <x:c r="HO481" t="str">
        <x:f>'Calculations'!HF481</x:f>
      </x:c>
      <x:c r="HP481" t="str">
        <x:f>IF('Calculations'!HO481="","",IF('Calculations'!HO481="!AMBIG","!AMBIG",IF(COUNTIF('Calculations'!$HE$13:$HE$512,"="&amp;SUBSTITUTE(SUBSTITUTE(SUBSTITUTE('Calculations'!HO481,"~","~~"),"*","~*"),"?","~?"))&gt;1,"!AMBIG",IFERROR(INDEX('Calculations'!$HF$13:$HF$512,MATCH('Calculations'!HO481,'Calculations'!$HE$13:$HE$512,0)),""))))</x:f>
      </x:c>
      <x:c r="HQ481" t="str">
        <x:f>IF('Calculations'!HP481="","",IF('Calculations'!HP481="!AMBIG","!AMBIG",IF(COUNTIF('Calculations'!$HE$13:$HE$512,"="&amp;SUBSTITUTE(SUBSTITUTE(SUBSTITUTE('Calculations'!HP481,"~","~~"),"*","~*"),"?","~?"))&gt;1,"!AMBIG",IFERROR(INDEX('Calculations'!$HF$13:$HF$512,MATCH('Calculations'!HP481,'Calculations'!$HE$13:$HE$512,0)),""))))</x:f>
      </x:c>
      <x:c r="HR481" t="str">
        <x:f>IF('Calculations'!HQ481="","",IF('Calculations'!HQ481="!AMBIG","!AMBIG",IF(COUNTIF('Calculations'!$HE$13:$HE$512,"="&amp;SUBSTITUTE(SUBSTITUTE(SUBSTITUTE('Calculations'!HQ481,"~","~~"),"*","~*"),"?","~?"))&gt;1,"!AMBIG",IFERROR(INDEX('Calculations'!$HF$13:$HF$512,MATCH('Calculations'!HQ481,'Calculations'!$HE$13:$HE$512,0)),""))))</x:f>
      </x:c>
      <x:c r="HS481" t="str">
        <x:f>IF('Calculations'!HR481="","",IF('Calculations'!HR481="!AMBIG","!AMBIG",IF(COUNTIF('Calculations'!$HE$13:$HE$512,"="&amp;SUBSTITUTE(SUBSTITUTE(SUBSTITUTE('Calculations'!HR481,"~","~~"),"*","~*"),"?","~?"))&gt;1,"!AMBIG",IFERROR(INDEX('Calculations'!$HF$13:$HF$512,MATCH('Calculations'!HR481,'Calculations'!$HE$13:$HE$512,0)),""))))</x:f>
      </x:c>
      <x:c r="HT481" t="str">
        <x:f>IF('Calculations'!HS481="","",IF('Calculations'!HS481="!AMBIG","!AMBIG",IF(COUNTIF('Calculations'!$HE$13:$HE$512,"="&amp;SUBSTITUTE(SUBSTITUTE(SUBSTITUTE('Calculations'!HS481,"~","~~"),"*","~*"),"?","~?"))&gt;1,"!AMBIG",IFERROR(INDEX('Calculations'!$HF$13:$HF$512,MATCH('Calculations'!HS481,'Calculations'!$HE$13:$HE$512,0)),""))))</x:f>
      </x:c>
      <x:c r="HU481" t="str">
        <x:f>IF('Calculations'!HT481="","",IF('Calculations'!HT481="!AMBIG","!AMBIG",IF(COUNTIF('Calculations'!$HE$13:$HE$512,"="&amp;SUBSTITUTE(SUBSTITUTE(SUBSTITUTE('Calculations'!HT481,"~","~~"),"*","~*"),"?","~?"))&gt;1,"!AMBIG",IFERROR(INDEX('Calculations'!$HF$13:$HF$512,MATCH('Calculations'!HT481,'Calculations'!$HE$13:$HE$512,0)),""))))</x:f>
      </x:c>
      <x:c r="HV481" t="str">
        <x:f>IF('Calculations'!HU481="","",IF('Calculations'!HU481="!AMBIG","!AMBIG",IF(COUNTIF('Calculations'!$HE$13:$HE$512,"="&amp;SUBSTITUTE(SUBSTITUTE(SUBSTITUTE('Calculations'!HU481,"~","~~"),"*","~*"),"?","~?"))&gt;1,"!AMBIG",IFERROR(INDEX('Calculations'!$HF$13:$HF$512,MATCH('Calculations'!HU481,'Calculations'!$HE$13:$HE$512,0)),""))))</x:f>
      </x:c>
      <x:c r="HW481" t="str">
        <x:f>IF('Calculations'!HV481="","",IF('Calculations'!HV481="!AMBIG","!AMBIG",IF(COUNTIF('Calculations'!$HE$13:$HE$512,"="&amp;SUBSTITUTE(SUBSTITUTE(SUBSTITUTE('Calculations'!HV481,"~","~~"),"*","~*"),"?","~?"))&gt;1,"!AMBIG",IFERROR(INDEX('Calculations'!$HF$13:$HF$512,MATCH('Calculations'!HV481,'Calculations'!$HE$13:$HE$512,0)),""))))</x:f>
      </x:c>
      <x:c r="HX481" t="str">
        <x:f>IF('Calculations'!HW481="","",IF('Calculations'!HW481="!AMBIG","!AMBIG",IF(COUNTIF('Calculations'!$HE$13:$HE$512,"="&amp;SUBSTITUTE(SUBSTITUTE(SUBSTITUTE('Calculations'!HW481,"~","~~"),"*","~*"),"?","~?"))&gt;1,"!AMBIG",IFERROR(INDEX('Calculations'!$HF$13:$HF$512,MATCH('Calculations'!HW481,'Calculations'!$HE$13:$HE$512,0)),""))))</x:f>
      </x:c>
      <x:c r="HY481" t="str">
        <x:f>IF('Calculations'!HX481="","",IF('Calculations'!HX481="!AMBIG","!AMBIG",IF(COUNTIF('Calculations'!$HE$13:$HE$512,"="&amp;SUBSTITUTE(SUBSTITUTE(SUBSTITUTE('Calculations'!HX481,"~","~~"),"*","~*"),"?","~?"))&gt;1,"!AMBIG",IFERROR(INDEX('Calculations'!$HF$13:$HF$512,MATCH('Calculations'!HX481,'Calculations'!$HE$13:$HE$512,0)),""))))</x:f>
      </x:c>
      <x:c r="HZ481" t="str">
        <x:f>IF('Calculations'!HY481="","",IF('Calculations'!HY481="!AMBIG","!AMBIG",IF(COUNTIF('Calculations'!$HE$13:$HE$512,"="&amp;SUBSTITUTE(SUBSTITUTE(SUBSTITUTE('Calculations'!HY481,"~","~~"),"*","~*"),"?","~?"))&gt;1,"!AMBIG",IFERROR(INDEX('Calculations'!$HF$13:$HF$512,MATCH('Calculations'!HY481,'Calculations'!$HE$13:$HE$512,0)),""))))</x:f>
      </x:c>
      <x:c r="IA481" t="str">
        <x:f>IF('Calculations'!HZ481="","",IF('Calculations'!HZ481="!AMBIG","!AMBIG",IF(COUNTIF('Calculations'!$HE$13:$HE$512,"="&amp;SUBSTITUTE(SUBSTITUTE(SUBSTITUTE('Calculations'!HZ481,"~","~~"),"*","~*"),"?","~?"))&gt;1,"!AMBIG",IFERROR(INDEX('Calculations'!$HF$13:$HF$512,MATCH('Calculations'!HZ481,'Calculations'!$HE$13:$HE$512,0)),""))))</x:f>
      </x:c>
      <x:c r="IB481" t="str">
        <x:f>IF('Calculations'!IA481="","",IF('Calculations'!IA481="!AMBIG","!AMBIG",IF(COUNTIF('Calculations'!$HE$13:$HE$512,"="&amp;SUBSTITUTE(SUBSTITUTE(SUBSTITUTE('Calculations'!IA481,"~","~~"),"*","~*"),"?","~?"))&gt;1,"!AMBIG",IFERROR(INDEX('Calculations'!$HF$13:$HF$512,MATCH('Calculations'!IA481,'Calculations'!$HE$13:$HE$512,0)),""))))</x:f>
      </x:c>
      <x:c r="IC481" t="str">
        <x:f>IF('Calculations'!IB481="","",IF('Calculations'!IB481="!AMBIG","!AMBIG",IF(COUNTIF('Calculations'!$HE$13:$HE$512,"="&amp;SUBSTITUTE(SUBSTITUTE(SUBSTITUTE('Calculations'!IB481,"~","~~"),"*","~*"),"?","~?"))&gt;1,"!AMBIG",IFERROR(INDEX('Calculations'!$HF$13:$HF$512,MATCH('Calculations'!IB481,'Calculations'!$HE$13:$HE$512,0)),""))))</x:f>
      </x:c>
      <x:c r="ID481" t="str">
        <x:f>IF('Calculations'!IC481="","",IF('Calculations'!IC481="!AMBIG","!AMBIG",IF(COUNTIF('Calculations'!$HE$13:$HE$512,"="&amp;SUBSTITUTE(SUBSTITUTE(SUBSTITUTE('Calculations'!IC481,"~","~~"),"*","~*"),"?","~?"))&gt;1,"!AMBIG",IFERROR(INDEX('Calculations'!$HF$13:$HF$512,MATCH('Calculations'!IC481,'Calculations'!$HE$13:$HE$512,0)),""))))</x:f>
      </x:c>
      <x:c r="IE481" t="str">
        <x:f>IF('Calculations'!ID481="","",IF('Calculations'!ID481="!AMBIG","!AMBIG",IF(COUNTIF('Calculations'!$HE$13:$HE$512,"="&amp;SUBSTITUTE(SUBSTITUTE(SUBSTITUTE('Calculations'!ID481,"~","~~"),"*","~*"),"?","~?"))&gt;1,"!AMBIG",IFERROR(INDEX('Calculations'!$HF$13:$HF$512,MATCH('Calculations'!ID481,'Calculations'!$HE$13:$HE$512,0)),""))))</x:f>
      </x:c>
      <x:c r="IF481" t="str">
        <x:f>IF('Calculations'!IE481="","",IF('Calculations'!IE481="!AMBIG","!AMBIG",IF(COUNTIF('Calculations'!$HE$13:$HE$512,"="&amp;SUBSTITUTE(SUBSTITUTE(SUBSTITUTE('Calculations'!IE481,"~","~~"),"*","~*"),"?","~?"))&gt;1,"!AMBIG",IFERROR(INDEX('Calculations'!$HF$13:$HF$512,MATCH('Calculations'!IE481,'Calculations'!$HE$13:$HE$512,0)),""))))</x:f>
      </x:c>
      <x:c r="IG481" t="str">
        <x:f>IF('Calculations'!IF481="","",IF('Calculations'!IF481="!AMBIG","!AMBIG",IF(COUNTIF('Calculations'!$HE$13:$HE$512,"="&amp;SUBSTITUTE(SUBSTITUTE(SUBSTITUTE('Calculations'!IF481,"~","~~"),"*","~*"),"?","~?"))&gt;1,"!AMBIG",IFERROR(INDEX('Calculations'!$HF$13:$HF$512,MATCH('Calculations'!IF481,'Calculations'!$HE$13:$HE$512,0)),""))))</x:f>
      </x:c>
      <x:c r="IH481" t="str">
        <x:f>IF('Calculations'!IG481="","",IF('Calculations'!IG481="!AMBIG","!AMBIG",IF(COUNTIF('Calculations'!$HE$13:$HE$512,"="&amp;SUBSTITUTE(SUBSTITUTE(SUBSTITUTE('Calculations'!IG481,"~","~~"),"*","~*"),"?","~?"))&gt;1,"!AMBIG",IFERROR(INDEX('Calculations'!$HF$13:$HF$512,MATCH('Calculations'!IG481,'Calculations'!$HE$13:$HE$512,0)),""))))</x:f>
      </x:c>
      <x:c r="II481" t="str">
        <x:f>IF('Calculations'!IH481="","",IF('Calculations'!IH481="!AMBIG","!AMBIG",IF(COUNTIF('Calculations'!$HE$13:$HE$512,"="&amp;SUBSTITUTE(SUBSTITUTE(SUBSTITUTE('Calculations'!IH481,"~","~~"),"*","~*"),"?","~?"))&gt;1,"!AMBIG",IFERROR(INDEX('Calculations'!$HF$13:$HF$512,MATCH('Calculations'!IH481,'Calculations'!$HE$13:$HE$512,0)),""))))</x:f>
      </x:c>
      <x:c r="IJ481" t="str">
        <x:f>IF('Calculations'!EM481="","",IF('Calculations'!$EF$2="All",'Calculations'!HM481,IF('Calculations'!HL481=1,"",IFERROR(IF(MATCH('Calculations'!$EF$2,'Calculations'!HO481:II481,0)=1,'Calculations'!HE481,INDEX('Calculations'!HO481:II481,1,MATCH('Calculations'!$EF$2,'Calculations'!HO481:II481,0)-1)),""))))</x:f>
      </x:c>
      <x:c r="IK481" t="n">
        <x:f>IF(AND('Calculations'!EM481&lt;&gt;"",'Calculations'!$EF$2&lt;&gt;"All",'Calculations'!HF481='Calculations'!$EF$2,'Calculations'!HL481=0,'Calculations'!JD481&gt;0),MAX('Calculations'!$IK$12:IK480)+1,0)</x:f>
        <x:v>0</x:v>
      </x:c>
      <x:c r="JA481" t="n">
        <x:f>IF(OR(IFERROR(INDIRECT("'WCM Calibration Final'!$A$481")&lt;&gt;"",FALSE),IFERROR(INDIRECT("'WCM Calibration Final'!$B$481")&lt;&gt;"",FALSE),IFERROR(INDIRECT("'WCM Calibration Final'!$C$481")&lt;&gt;"",FALSE)),481,0)</x:f>
        <x:v>0</x:v>
      </x:c>
      <x:c r="JB481" t="n">
        <x:f>'Calculations'!JB480+IF('Calculations'!JA481&gt;0,1,0)</x:f>
        <x:v>0</x:v>
      </x:c>
      <x:c r="JC481" t="n">
        <x:f>IF(OR('Calculations'!HF481="",'Calculations'!HF481="!AMBIG"),0,IF('Dashboard'!$B$7="All",1,COUNTIFS('Calculations'!$HO$13:$HO$512,"="&amp;SUBSTITUTE(SUBSTITUTE(SUBSTITUTE('Calculations'!HF481,"~","~~"),"*","~*"),"?","~?"),'Calculations'!$HN$13:$HN$512,"="&amp;SUBSTITUTE(SUBSTITUTE(SUBSTITUTE('Dashboard'!$B$7,"~","~~"),"*","~*"),"?","~?"))+COUNTIFS('Calculations'!$HP$13:$HP$512,"="&amp;SUBSTITUTE(SUBSTITUTE(SUBSTITUTE('Calculations'!HF481,"~","~~"),"*","~*"),"?","~?"),'Calculations'!$HN$13:$HN$512,"="&amp;SUBSTITUTE(SUBSTITUTE(SUBSTITUTE('Dashboard'!$B$7,"~","~~"),"*","~*"),"?","~?"))+COUNTIFS('Calculations'!$HQ$13:$HQ$512,"="&amp;SUBSTITUTE(SUBSTITUTE(SUBSTITUTE('Calculations'!HF481,"~","~~"),"*","~*"),"?","~?"),'Calculations'!$HN$13:$HN$512,"="&amp;SUBSTITUTE(SUBSTITUTE(SUBSTITUTE('Dashboard'!$B$7,"~","~~"),"*","~*"),"?","~?"))+COUNTIFS('Calculations'!$HR$13:$HR$512,"="&amp;SUBSTITUTE(SUBSTITUTE(SUBSTITUTE('Calculations'!HF481,"~","~~"),"*","~*"),"?","~?"),'Calculations'!$HN$13:$HN$512,"="&amp;SUBSTITUTE(SUBSTITUTE(SUBSTITUTE('Dashboard'!$B$7,"~","~~"),"*","~*"),"?","~?"))+COUNTIFS('Calculations'!$HS$13:$HS$512,"="&amp;SUBSTITUTE(SUBSTITUTE(SUBSTITUTE('Calculations'!HF481,"~","~~"),"*","~*"),"?","~?"),'Calculations'!$HN$13:$HN$512,"="&amp;SUBSTITUTE(SUBSTITUTE(SUBSTITUTE('Dashboard'!$B$7,"~","~~"),"*","~*"),"?","~?"))+COUNTIFS('Calculations'!$HT$13:$HT$512,"="&amp;SUBSTITUTE(SUBSTITUTE(SUBSTITUTE('Calculations'!HF481,"~","~~"),"*","~*"),"?","~?"),'Calculations'!$HN$13:$HN$512,"="&amp;SUBSTITUTE(SUBSTITUTE(SUBSTITUTE('Dashboard'!$B$7,"~","~~"),"*","~*"),"?","~?"))+COUNTIFS('Calculations'!$HU$13:$HU$512,"="&amp;SUBSTITUTE(SUBSTITUTE(SUBSTITUTE('Calculations'!HF481,"~","~~"),"*","~*"),"?","~?"),'Calculations'!$HN$13:$HN$512,"="&amp;SUBSTITUTE(SUBSTITUTE(SUBSTITUTE('Dashboard'!$B$7,"~","~~"),"*","~*"),"?","~?"))+COUNTIFS('Calculations'!$HV$13:$HV$512,"="&amp;SUBSTITUTE(SUBSTITUTE(SUBSTITUTE('Calculations'!HF481,"~","~~"),"*","~*"),"?","~?"),'Calculations'!$HN$13:$HN$512,"="&amp;SUBSTITUTE(SUBSTITUTE(SUBSTITUTE('Dashboard'!$B$7,"~","~~"),"*","~*"),"?","~?"))+COUNTIFS('Calculations'!$HW$13:$HW$512,"="&amp;SUBSTITUTE(SUBSTITUTE(SUBSTITUTE('Calculations'!HF481,"~","~~"),"*","~*"),"?","~?"),'Calculations'!$HN$13:$HN$512,"="&amp;SUBSTITUTE(SUBSTITUTE(SUBSTITUTE('Dashboard'!$B$7,"~","~~"),"*","~*"),"?","~?"))+COUNTIFS('Calculations'!$HX$13:$HX$512,"="&amp;SUBSTITUTE(SUBSTITUTE(SUBSTITUTE('Calculations'!HF481,"~","~~"),"*","~*"),"?","~?"),'Calculations'!$HN$13:$HN$512,"="&amp;SUBSTITUTE(SUBSTITUTE(SUBSTITUTE('Dashboard'!$B$7,"~","~~"),"*","~*"),"?","~?"))+COUNTIFS('Calculations'!$HY$13:$HY$512,"="&amp;SUBSTITUTE(SUBSTITUTE(SUBSTITUTE('Calculations'!HF481,"~","~~"),"*","~*"),"?","~?"),'Calculations'!$HN$13:$HN$512,"="&amp;SUBSTITUTE(SUBSTITUTE(SUBSTITUTE('Dashboard'!$B$7,"~","~~"),"*","~*"),"?","~?"))+COUNTIFS('Calculations'!$HZ$13:$HZ$512,"="&amp;SUBSTITUTE(SUBSTITUTE(SUBSTITUTE('Calculations'!HF481,"~","~~"),"*","~*"),"?","~?"),'Calculations'!$HN$13:$HN$512,"="&amp;SUBSTITUTE(SUBSTITUTE(SUBSTITUTE('Dashboard'!$B$7,"~","~~"),"*","~*"),"?","~?"))+COUNTIFS('Calculations'!$IA$13:$IA$512,"="&amp;SUBSTITUTE(SUBSTITUTE(SUBSTITUTE('Calculations'!HF481,"~","~~"),"*","~*"),"?","~?"),'Calculations'!$HN$13:$HN$512,"="&amp;SUBSTITUTE(SUBSTITUTE(SUBSTITUTE('Dashboard'!$B$7,"~","~~"),"*","~*"),"?","~?"))+COUNTIFS('Calculations'!$IB$13:$IB$512,"="&amp;SUBSTITUTE(SUBSTITUTE(SUBSTITUTE('Calculations'!HF481,"~","~~"),"*","~*"),"?","~?"),'Calculations'!$HN$13:$HN$512,"="&amp;SUBSTITUTE(SUBSTITUTE(SUBSTITUTE('Dashboard'!$B$7,"~","~~"),"*","~*"),"?","~?"))+COUNTIFS('Calculations'!$IC$13:$IC$512,"="&amp;SUBSTITUTE(SUBSTITUTE(SUBSTITUTE('Calculations'!HF481,"~","~~"),"*","~*"),"?","~?"),'Calculations'!$HN$13:$HN$512,"="&amp;SUBSTITUTE(SUBSTITUTE(SUBSTITUTE('Dashboard'!$B$7,"~","~~"),"*","~*"),"?","~?"))+COUNTIFS('Calculations'!$ID$13:$ID$512,"="&amp;SUBSTITUTE(SUBSTITUTE(SUBSTITUTE('Calculations'!HF481,"~","~~"),"*","~*"),"?","~?"),'Calculations'!$HN$13:$HN$512,"="&amp;SUBSTITUTE(SUBSTITUTE(SUBSTITUTE('Dashboard'!$B$7,"~","~~"),"*","~*"),"?","~?"))+COUNTIFS('Calculations'!$IE$13:$IE$512,"="&amp;SUBSTITUTE(SUBSTITUTE(SUBSTITUTE('Calculations'!HF481,"~","~~"),"*","~*"),"?","~?"),'Calculations'!$HN$13:$HN$512,"="&amp;SUBSTITUTE(SUBSTITUTE(SUBSTITUTE('Dashboard'!$B$7,"~","~~"),"*","~*"),"?","~?"))+COUNTIFS('Calculations'!$IF$13:$IF$512,"="&amp;SUBSTITUTE(SUBSTITUTE(SUBSTITUTE('Calculations'!HF481,"~","~~"),"*","~*"),"?","~?"),'Calculations'!$HN$13:$HN$512,"="&amp;SUBSTITUTE(SUBSTITUTE(SUBSTITUTE('Dashboard'!$B$7,"~","~~"),"*","~*"),"?","~?"))+COUNTIFS('Calculations'!$IG$13:$IG$512,"="&amp;SUBSTITUTE(SUBSTITUTE(SUBSTITUTE('Calculations'!HF481,"~","~~"),"*","~*"),"?","~?"),'Calculations'!$HN$13:$HN$512,"="&amp;SUBSTITUTE(SUBSTITUTE(SUBSTITUTE('Dashboard'!$B$7,"~","~~"),"*","~*"),"?","~?"))+COUNTIFS('Calculations'!$IH$13:$IH$512,"="&amp;SUBSTITUTE(SUBSTITUTE(SUBSTITUTE('Calculations'!HF481,"~","~~"),"*","~*"),"?","~?"),'Calculations'!$HN$13:$HN$512,"="&amp;SUBSTITUTE(SUBSTITUTE(SUBSTITUTE('Dashboard'!$B$7,"~","~~"),"*","~*"),"?","~?"))))</x:f>
        <x:v>0</x:v>
      </x:c>
      <x:c r="JD481" t="n">
        <x:f>IF('Calculations'!EM481="",0,IF('Dashboard'!$B$7="All",1,IF('Calculations'!HN481='Dashboard'!$B$7,1,0)+IFERROR(INDEX('Calculations'!$JC$13:$JC$512,MATCH('Calculations'!HE481,'Calculations'!$HF$13:$HF$512,0)),0)))</x:f>
        <x:v>0</x:v>
      </x:c>
      <x:c r="JE481" t="n">
        <x:f>IF(AND('Calculations'!EM481&lt;&gt;"",'Calculations'!$JJ$2&lt;&gt;"All",'Calculations'!$JJ$2&lt;&gt;"",'Calculations'!HF481='Calculations'!$JJ$2,'Calculations'!HL481=0,'Calculations'!JD481&gt;0),MAX('Calculations'!$JE$12:JE480)+1,0)</x:f>
        <x:v>0</x:v>
      </x:c>
      <x:c r="JF481" t="str">
        <x:f>IF('Calculations'!EM481="","",IFERROR(IF(INDEX(INDIRECT("'WCM Calibration Final'!$G$1:$G$2000"),'Calculations'!$EM481)="","",TRIM(INDEX(INDIRECT("'WCM Calibration Final'!$G$1:$G$2000"),'Calculations'!$EM481)&amp;"")),""))</x:f>
      </x:c>
      <x:c r="JQ481" t="n">
        <x:f>IF(OR('Calculations'!BM481=0,NOT('Calculations'!$AG$2),'Calculations'!$AG$8&gt;0),0,IF(OR('Dashboard'!$B$7="All",'Calculations'!HN481='Dashboard'!$B$7),IF('Calculations'!$JJ$2="All",1,IF(AND('Calculations'!HF481='Calculations'!$JJ$2,'Calculations'!HL481=0),1,0)),0))</x:f>
        <x:v>0</x:v>
      </x:c>
    </x:row>
    <x:row r="482">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t="n">
        <x:f>IF('Calculations'!$EM482="",0,IF(OR(IFERROR(INDEX(INDIRECT("'WCM Calibration Final'!$A$1:$A$2000"),'Calculations'!$EM482)&lt;&gt;"",FALSE),IFERROR(INDEX(INDIRECT("'WCM Calibration Final'!$B$1:$B$2000"),'Calculations'!$EM482)&lt;&gt;"",FALSE),IFERROR(INDEX(INDIRECT("'WCM Calibration Final'!$C$1:$C$2000"),'Calculations'!$EM482)&lt;&gt;"",FALSE)),1,0))</x:f>
        <x:v>0</x:v>
      </x:c>
      <x:c r="BN482" s="4" t="n">
        <x:f>IF(AND('Calculations'!BM482=1,'Calculations'!$AG$2,'Calculations'!$EN482=1),1,0)</x:f>
        <x:v>0</x:v>
      </x:c>
      <x:c r="BO482" s="4" t="str">
        <x:f>IF('Calculations'!BM482=0,"",IFERROR(IF(AND(VALUE(INDEX(INDIRECT("'WCM Calibration Final'!$K$1:$K$2000"),'Calculations'!$EM482))&gt;=1,VALUE(INDEX(INDIRECT("'WCM Calibration Final'!$K$1:$K$2000"),'Calculations'!$EM482))&lt;=4,MOD(VALUE(INDEX(INDIRECT("'WCM Calibration Final'!$K$1:$K$2000"),'Calculations'!$EM482)),1)=0),VALUE(INDEX(INDIRECT("'WCM Calibration Final'!$K$1:$K$2000"),'Calculations'!$EM482)),""),""))</x:f>
      </x:c>
      <x:c r="BP482" s="4" t="str">
        <x:f>IF('Calculations'!BM482=0,"",IFERROR(IF(AND(VALUE(INDEX(INDIRECT("'WCM Calibration Final'!$L$1:$L$2000"),'Calculations'!$EM482))&gt;=1,VALUE(INDEX(INDIRECT("'WCM Calibration Final'!$L$1:$L$2000"),'Calculations'!$EM482))&lt;=4,MOD(VALUE(INDEX(INDIRECT("'WCM Calibration Final'!$L$1:$L$2000"),'Calculations'!$EM482)),1)=0),VALUE(INDEX(INDIRECT("'WCM Calibration Final'!$L$1:$L$2000"),'Calculations'!$EM482)),""),""))</x:f>
      </x:c>
      <x:c r="BQ482" s="4"/>
      <x:c r="BR482" s="4"/>
      <x:c r="BS482" s="4"/>
      <x:c r="BT482" s="4" t="n">
        <x:f>IF(AND('Calculations'!BM482=1,ISNUMBER('Calculations'!BO482),ISNUMBER('Calculations'!BP482)),1,0)</x:f>
        <x:v>0</x:v>
      </x:c>
      <x:c r="BU482" s="4" t="str">
        <x:f>IF('Calculations'!BM482=0,"",'Calculations'!$EO482)</x:f>
      </x:c>
      <x:c r="BV482" s="4" t="str">
        <x:f>IF('Calculations'!BM482=0,"",IFERROR(IF(OR(INDEX(INDIRECT("'WCM Calibration Final'!$H$1:$H$2000"),'Calculations'!$EM482)="MANAGING DIRECTOR",INDEX(INDIRECT("'WCM Calibration Final'!$H$1:$H$2000"),'Calculations'!$EM482)="DIRECTOR",INDEX(INDIRECT("'WCM Calibration Final'!$H$1:$H$2000"),'Calculations'!$EM482)="SENIOR VICE PRESIDENT",INDEX(INDIRECT("'WCM Calibration Final'!$H$1:$H$2000"),'Calculations'!$EM482)="VICE PRESIDENT",INDEX(INDIRECT("'WCM Calibration Final'!$H$1:$H$2000"),'Calculations'!$EM482)="ASSISTANT VICE PRESIDENT",INDEX(INDIRECT("'WCM Calibration Final'!$H$1:$H$2000"),'Calculations'!$EM482)="OFFICER"),UPPER(INDEX(INDIRECT("'WCM Calibration Final'!$H$1:$H$2000"),'Calculations'!$EM482)),"Other"),"Other"))</x:f>
      </x:c>
      <x:c r="BW482" s="4"/>
      <x:c r="BX482" s="4"/>
      <x:c r="BY482" s="4" t="n">
        <x:f>IF(AND('Calculations'!BM482=1,'Calculations'!BU482&lt;&gt;"",COUNTIF('Calculations'!$BU$12:BU482,'Calculations'!BU482)=1),MAX('Calculations'!$BY$11:BY481)+1,0)</x:f>
        <x:v>0</x:v>
      </x:c>
      <x:c r="BZ482" s="4" t="str">
        <x:f>IF('Dashboard'!$E$67="What",'Calculations'!BO482,'Calculations'!BP482)</x:f>
      </x:c>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t="str">
        <x:f>IF(471&gt;MAX('Calculations'!$HI$13:$HI$512),"",INDEX('Calculations'!$HN$13:$HN$512,MATCH(471,'Calculations'!$HI$13:$HI$512,0)))</x:f>
      </x:c>
      <x:c r="DB482" s="4" t="str">
        <x:f>IF(471&gt;MAX('Calculations'!$HH$13:$HH$512),"",INDEX('Calculations'!$HJ$13:$HJ$512,MATCH(471,'Calculations'!$HH$13:$HH$512,0)))</x:f>
      </x:c>
      <x:c r="DC482" s="4" t="str">
        <x:f>IF(ROW()-11&gt;MAX('Calculations'!$BY$13:$BY$512),"",INDEX('Calculations'!$BU$13:$BU$512,MATCH(ROW()-11,'Calculations'!$BY$13:$BY$512,0)))</x:f>
      </x:c>
      <x:c r="DD482" s="4" t="str">
        <x:f>IF(471&gt;MAX('Calculations'!$IK$13:$IK$512),"",INDEX('Calculations'!$HK$13:$HK$512,MATCH(471,'Calculations'!$IK$13:$IK$512,0)))</x:f>
      </x:c>
      <x:c r="DE482" s="4" t="str">
        <x:f>'Calculations'!DC482</x:f>
      </x:c>
      <x:c r="DF482" s="4" t="str">
        <x:f>IF('Calculations'!DE482="","",COUNTIFS('Calculations'!$BN$13:$BN$512,1,'Calculations'!$BU$13:$BU$512,'Calculations'!DE482))</x:f>
      </x:c>
      <x:c r="DG482" s="4" t="str">
        <x:f>IF('Calculations'!DE482="","",COUNTIFS('Calculations'!$BN$13:$BN$512,1,'Calculations'!$BU$13:$BU$512,'Calculations'!DE482,'Calculations'!$BT$13:$BT$512,1))</x:f>
      </x:c>
      <x:c r="DH482" s="4" t="str">
        <x:f>IF('Calculations'!DE482="","",'Calculations'!DF482-'Calculations'!DG482)</x:f>
      </x:c>
      <x:c r="DI482" s="4" t="str">
        <x:f>IF(OR('Calculations'!DE482="",'Calculations'!DF482=0),"",'Calculations'!DG482/'Calculations'!DF482)</x:f>
      </x:c>
      <x:c r="DJ482" s="4" t="str">
        <x:f>IF('Calculations'!DE482="","",COUNTIFS('Calculations'!$BN$13:$BN$512,1,'Calculations'!$BU$13:$BU$512,'Calculations'!DE482,'Calculations'!$BT$13:$BT$512,1,'Calculations'!$EE$13:$EE$512,"High"))</x:f>
      </x:c>
      <x:c r="DK482" s="4" t="str">
        <x:f>IF('Calculations'!DE482="","",COUNTIFS('Calculations'!$BN$13:$BN$512,1,'Calculations'!$BU$13:$BU$512,'Calculations'!DE482,'Calculations'!$BT$13:$BT$512,1,'Calculations'!$EE$13:$EE$512,"Strong"))</x:f>
      </x:c>
      <x:c r="DL482" s="4" t="str">
        <x:f>IF('Calculations'!DE482="","",COUNTIFS('Calculations'!$BN$13:$BN$512,1,'Calculations'!$BU$13:$BU$512,'Calculations'!DE482,'Calculations'!$BT$13:$BT$512,1,'Calculations'!$EE$13:$EE$512,"Solid"))</x:f>
      </x:c>
      <x:c r="DM482" s="4" t="str">
        <x:f>IF('Calculations'!DE482="","",COUNTIFS('Calculations'!$BN$13:$BN$512,1,'Calculations'!$BU$13:$BU$512,'Calculations'!DE482,'Calculations'!$BT$13:$BT$512,1,'Calculations'!$EE$13:$EE$512,"Low"))</x:f>
      </x:c>
      <x:c r="DN482" s="4" t="str">
        <x:f>IF('Calculations'!DE482="","",COUNTIFS('Calculations'!$BN$13:$BN$512,1,'Calculations'!$BU$13:$BU$512,'Calculations'!DE482,'Calculations'!$EP$13:$EP$512,1))</x:f>
      </x:c>
      <x:c r="DO482" s="4" t="str">
        <x:f>IF(OR('Calculations'!DE482="",'Calculations'!DG482=0),"",('Calculations'!DJ482+'Calculations'!DK482)/'Calculations'!DG482)</x:f>
      </x:c>
      <x:c r="DP482" s="4" t="n">
        <x:f>IF(AND('Calculations'!DE482&lt;&gt;"",'Calculations'!DF482&gt;0),COUNTIF('Calculations'!$DF$12:DF482,"&gt;0"),0)</x:f>
        <x:v>0</x:v>
      </x:c>
      <x:c r="DQ482" s="4" t="str">
        <x:f>IF(471&gt;MAX('Calculations'!$HH$13:$HH$512),"",INDEX('Calculations'!$HF$13:$HF$512,MATCH(471,'Calculations'!$HH$13:$HH$512,0)))</x:f>
      </x:c>
      <x:c r="DR482" s="4" t="str">
        <x:f>IF(471&gt;MAX('Calculations'!$IK$13:$IK$512),"",INDEX('Calculations'!$HE$13:$HE$512,MATCH(471,'Calculations'!$IK$13:$IK$512,0)))</x:f>
      </x:c>
      <x:c r="DS482" s="4"/>
      <x:c r="DT482" s="4"/>
      <x:c r="DU482" s="4"/>
      <x:c r="DV482" s="4"/>
      <x:c r="DW482" s="4"/>
      <x:c r="DX482" s="4"/>
      <x:c r="DY482" s="4"/>
      <x:c r="DZ482" s="4"/>
      <x:c r="EA482" s="4"/>
      <x:c r="EB482" s="4"/>
      <x:c r="EC482" s="4"/>
      <x:c r="ED482" s="4"/>
      <x:c r="EE482" s="4" t="str">
        <x:f>IF('Calculations'!BT482=0,"Not Rated",IF(OR('Calculations'!BO482&gt;=4,'Calculations'!BP482&gt;=4),"Low",IF('Calculations'!BO482+'Calculations'!BP482&lt;=3,"High",IF('Calculations'!BO482+'Calculations'!BP482&lt;=4,"Strong","Solid"))))</x:f>
        <x:v>Not Rated</x:v>
      </x:c>
      <x:c r="EF482" s="4"/>
      <x:c r="EG482" s="4"/>
      <x:c r="EH482" s="4"/>
      <x:c r="EI482" s="4"/>
      <x:c r="EJ482" s="4"/>
      <x:c r="EK482" s="4"/>
      <x:c r="EL482" s="4"/>
      <x:c r="EM482" s="4" t="str">
        <x:f>IF(470&gt;'Calculations'!$JB$2000,"",INDEX('Calculations'!$JA$12:$JA$2000,MATCH(470,'Calculations'!$JB$12:$JB$2000,0)))</x:f>
      </x:c>
      <x:c r="EN482" s="4" t="n">
        <x:f>IF(OR('Calculations'!EM482="",'Calculations'!$AG$8&gt;0,AND('Calculations'!$EF$2&lt;&gt;"All",'Calculations'!HE482='Calculations'!$EF$2),AND('Calculations'!$EF$3&lt;&gt;"All",'Calculations'!HE482='Calculations'!$EF$3)),0,IF(OR('Dashboard'!$B$7="All",'Calculations'!HN482='Dashboard'!$B$7),IF('Calculations'!$EF$2="All",1,IF('Calculations'!HL482&gt;0,0,IF(COUNTIF('Calculations'!HO482:II482,"="&amp;SUBSTITUTE(SUBSTITUTE(SUBSTITUTE('Calculations'!$EF$2,"~","~~"),"*","~*"),"?","~?"))=0,0,IF('Calculations'!$EF$3="All",1,IF(COUNTIF('Calculations'!HO482:II482,"="&amp;SUBSTITUTE(SUBSTITUTE(SUBSTITUTE('Calculations'!$EF$3,"~","~~"),"*","~*"),"?","~?"))&gt;0,1,0))))),0))</x:f>
        <x:v>0</x:v>
      </x:c>
      <x:c r="EO482" s="4" t="str">
        <x:f>IF('Calculations'!IJ482="","",IF('Calculations'!IJ482="!UNRESOLVED","Unresolved hierarchy",IFERROR(INDEX('Calculations'!$HK$13:$HK$512,MATCH('Calculations'!IJ482,'Calculations'!$HE$13:$HE$512,0)),IFERROR(INDEX('Calculations'!$HJ$13:$HJ$512,MATCH('Calculations'!IJ482,'Calculations'!$HF$13:$HF$512,0)),'Calculations'!IJ482))))</x:f>
      </x:c>
      <x:c r="EP482" s="4" t="n">
        <x:f>IF(AND('Calculations'!EM482&lt;&gt;"",'Calculations'!HF482='Calculations'!IJ482),1,0)</x:f>
        <x:v>0</x:v>
      </x:c>
      <x:c r="EQ482" s="4"/>
      <x:c r="ER482" s="4"/>
      <x:c r="ES482" s="4"/>
      <x:c r="ET482" s="4"/>
      <x:c r="EU482" s="4"/>
      <x:c r="EV482" s="4"/>
      <x:c r="EW482" s="4"/>
      <x:c r="EX482" s="4"/>
      <x:c r="EY482" s="4"/>
      <x:c r="EZ482" s="4"/>
      <x:c r="FA482" s="4"/>
      <x:c r="FB482" s="4"/>
      <x:c r="FC482" s="4"/>
      <x:c r="FD482" s="4"/>
      <x:c r="FE482" s="4"/>
      <x:c r="FF482" s="4"/>
      <x:c r="FG482" s="4"/>
      <x:c r="FH482" s="4"/>
      <x:c r="FI482" s="4"/>
      <x:c r="FJ482" s="4"/>
      <x:c r="FK482" s="4"/>
      <x:c r="FL482" s="4"/>
      <x:c r="FM482" s="4"/>
      <x:c r="FN482" s="4"/>
      <x:c r="FO482" s="4"/>
      <x:c r="HE482" t="str">
        <x:f>IF('Calculations'!EM482="","",IF(IFERROR(IF(INDEX(INDIRECT("'WCM Calibration Final'!$A$1:$A$2000"),'Calculations'!$EM482)="","",TRIM(INDEX(INDIRECT("'WCM Calibration Final'!$A$1:$A$2000"),'Calculations'!$EM482)&amp;"")),"")&lt;&gt;"","G:"&amp;IFERROR(TEXT(1*INDEX(INDIRECT("'WCM Calibration Final'!$A$1:$A$2000"),'Calculations'!$EM482),"0"),UPPER(IFERROR(IF(INDEX(INDIRECT("'WCM Calibration Final'!$A$1:$A$2000"),'Calculations'!$EM482)="","",TRIM(INDEX(INDIRECT("'WCM Calibration Final'!$A$1:$A$2000"),'Calculations'!$EM482)&amp;"")),""))),IF(IFERROR(IF(INDEX(INDIRECT("'WCM Calibration Final'!$C$1:$C$2000"),'Calculations'!$EM482)="","",TRIM(INDEX(INDIRECT("'WCM Calibration Final'!$C$1:$C$2000"),'Calculations'!$EM482)&amp;"")),"")&lt;&gt;"","S:"&amp;UPPER(IFERROR(IF(INDEX(INDIRECT("'WCM Calibration Final'!$C$1:$C$2000"),'Calculations'!$EM482)="","",TRIM(INDEX(INDIRECT("'WCM Calibration Final'!$C$1:$C$2000"),'Calculations'!$EM482)&amp;"")),"")),"R:"&amp;'Calculations'!EM482)))</x:f>
      </x:c>
      <x:c r="HF482" t="str">
        <x:f>IF('Calculations'!EM482="","",IF(IFERROR(IF(INDEX(INDIRECT("'WCM Calibration Final'!$D$1:$D$2000"),'Calculations'!$EM482)="","",TRIM(INDEX(INDIRECT("'WCM Calibration Final'!$D$1:$D$2000"),'Calculations'!$EM482)&amp;"")),"")&lt;&gt;"","G:"&amp;IFERROR(TEXT(1*INDEX(INDIRECT("'WCM Calibration Final'!$D$1:$D$2000"),'Calculations'!$EM482),"0"),UPPER(IFERROR(IF(INDEX(INDIRECT("'WCM Calibration Final'!$D$1:$D$2000"),'Calculations'!$EM482)="","",TRIM(INDEX(INDIRECT("'WCM Calibration Final'!$D$1:$D$2000"),'Calculations'!$EM482)&amp;"")),""))),IF(IFERROR(IF(INDEX(INDIRECT("'WCM Calibration Final'!$E$1:$E$2000"),'Calculations'!$EM482)="","",TRIM(INDEX(INDIRECT("'WCM Calibration Final'!$E$1:$E$2000"),'Calculations'!$EM482)&amp;"")),"")="","",IF(COUNTIF('Calculations'!$HG$13:$HG$512,"="&amp;SUBSTITUTE(SUBSTITUTE(SUBSTITUTE(IFERROR(IF(INDEX(INDIRECT("'WCM Calibration Final'!$E$1:$E$2000"),'Calculations'!$EM482)="","",TRIM(INDEX(INDIRECT("'WCM Calibration Final'!$E$1:$E$2000"),'Calculations'!$EM482)&amp;"")),""),"~","~~"),"*","~*"),"?","~?"))=1,INDEX('Calculations'!$HE$13:$HE$512,MATCH(IFERROR(IF(INDEX(INDIRECT("'WCM Calibration Final'!$E$1:$E$2000"),'Calculations'!$EM482)="","",TRIM(INDEX(INDIRECT("'WCM Calibration Final'!$E$1:$E$2000"),'Calculations'!$EM482)&amp;"")),""),'Calculations'!$HG$13:$HG$512,0)),IF(COUNTIF('Calculations'!$HG$13:$HG$512,"="&amp;SUBSTITUTE(SUBSTITUTE(SUBSTITUTE(IFERROR(IF(INDEX(INDIRECT("'WCM Calibration Final'!$E$1:$E$2000"),'Calculations'!$EM482)="","",TRIM(INDEX(INDIRECT("'WCM Calibration Final'!$E$1:$E$2000"),'Calculations'!$EM482)&amp;"")),""),"~","~~"),"*","~*"),"?","~?"))&gt;1,"!AMBIG","X:"&amp;IFERROR(IF(INDEX(INDIRECT("'WCM Calibration Final'!$E$1:$E$2000"),'Calculations'!$EM482)="","",TRIM(INDEX(INDIRECT("'WCM Calibration Final'!$E$1:$E$2000"),'Calculations'!$EM482)&amp;"")),""))))))</x:f>
      </x:c>
      <x:c r="HG482" t="str">
        <x:f>IF('Calculations'!EM482="","",IFERROR(IF(INDEX(INDIRECT("'WCM Calibration Final'!$B$1:$B$2000"),'Calculations'!$EM482)="","",TRIM(INDEX(INDIRECT("'WCM Calibration Final'!$B$1:$B$2000"),'Calculations'!$EM482)&amp;"")),""))</x:f>
      </x:c>
      <x:c r="HH482" t="n">
        <x:f>IF(AND('Calculations'!JC482&gt;0,COUNTIF('Calculations'!$HF$12:HF482,"="&amp;SUBSTITUTE(SUBSTITUTE(SUBSTITUTE('Calculations'!HF482,"~","~~"),"*","~*"),"?","~?"))=1),MAX('Calculations'!$HH$12:HH481)+1,0)</x:f>
        <x:v>0</x:v>
      </x:c>
      <x:c r="HI482" t="n">
        <x:f>IF(AND('Calculations'!HN482&lt;&gt;"",COUNTIF('Calculations'!$HN$12:HN482,"="&amp;SUBSTITUTE(SUBSTITUTE(SUBSTITUTE('Calculations'!HN482,"~","~~"),"*","~*"),"?","~?"))=1),MAX('Calculations'!$HI$12:HI481)+1,0)</x:f>
        <x:v>0</x:v>
      </x:c>
      <x:c r="HJ482" t="str">
        <x:f>IF('Calculations'!HF482="","",IF(COUNTIF('Calculations'!$HE$13:$HE$512,"="&amp;SUBSTITUTE(SUBSTITUTE(SUBSTITUTE('Calculations'!HF482,"~","~~"),"*","~*"),"?","~?"))=1,INDEX('Calculations'!$HK$13:$HK$512,MATCH('Calculations'!HF482,'Calculations'!$HE$13:$HE$512,0)),IFERROR(IF(INDEX(INDIRECT("'WCM Calibration Final'!$E$1:$E$2000"),'Calculations'!$EM482)="","",TRIM(INDEX(INDIRECT("'WCM Calibration Final'!$E$1:$E$2000"),'Calculations'!$EM482)&amp;"")),"")&amp;" ["&amp;'Calculations'!HF482&amp;"]"))</x:f>
      </x:c>
      <x:c r="HK482" t="str">
        <x:f>IF('Calculations'!EM482="","",'Calculations'!HG482&amp;" ["&amp;'Calculations'!HE482&amp;"]")</x:f>
      </x:c>
      <x:c r="HL482" t="n">
        <x:f>IF('Calculations'!EM482="",0,IF(OR('Calculations'!II482&lt;&gt;"",COUNTIF('Calculations'!$HE$13:$HE$512,"="&amp;SUBSTITUTE(SUBSTITUTE(SUBSTITUTE('Calculations'!HE482,"~","~~"),"*","~*"),"?","~?"))&gt;1),1,0))</x:f>
        <x:v>0</x:v>
      </x:c>
      <x:c r="HM482" t="str">
        <x:f>IF('Calculations'!EM482="","",IF('Calculations'!HL482=1,"!UNRESOLVED",IF('Calculations'!IH482&lt;&gt;"",'Calculations'!IH482,IF('Calculations'!IG482&lt;&gt;"",'Calculations'!IG482,IF('Calculations'!IF482&lt;&gt;"",'Calculations'!IF482,IF('Calculations'!IE482&lt;&gt;"",'Calculations'!IE482,IF('Calculations'!ID482&lt;&gt;"",'Calculations'!ID482,IF('Calculations'!IC482&lt;&gt;"",'Calculations'!IC482,IF('Calculations'!IB482&lt;&gt;"",'Calculations'!IB482,IF('Calculations'!IA482&lt;&gt;"",'Calculations'!IA482,IF('Calculations'!HZ482&lt;&gt;"",'Calculations'!HZ482,IF('Calculations'!HY482&lt;&gt;"",'Calculations'!HY482,IF('Calculations'!HX482&lt;&gt;"",'Calculations'!HX482,IF('Calculations'!HW482&lt;&gt;"",'Calculations'!HW482,IF('Calculations'!HV482&lt;&gt;"",'Calculations'!HV482,IF('Calculations'!HU482&lt;&gt;"",'Calculations'!HU482,IF('Calculations'!HT482&lt;&gt;"",'Calculations'!HT482,IF('Calculations'!HS482&lt;&gt;"",'Calculations'!HS482,IF('Calculations'!HR482&lt;&gt;"",'Calculations'!HR482,IF('Calculations'!HQ482&lt;&gt;"",'Calculations'!HQ482,IF('Calculations'!HP482&lt;&gt;"",'Calculations'!HP482,IF('Calculations'!HO482&lt;&gt;"",'Calculations'!HO482,'Calculations'!HE482))))))))))))))))))))))</x:f>
      </x:c>
      <x:c r="HN482" t="str">
        <x:f>IF('Calculations'!EM482="","",IF(IFERROR(IF(INDEX(INDIRECT("'WCM Calibration Final'!$F$1:$F$2000"),'Calculations'!$EM482)="","",TRIM(INDEX(INDIRECT("'WCM Calibration Final'!$F$1:$F$2000"),'Calculations'!$EM482)&amp;"")),"")="","(Blank)",IFERROR(IF(INDEX(INDIRECT("'WCM Calibration Final'!$F$1:$F$2000"),'Calculations'!$EM482)="","",TRIM(INDEX(INDIRECT("'WCM Calibration Final'!$F$1:$F$2000"),'Calculations'!$EM482)&amp;"")),"")))</x:f>
      </x:c>
      <x:c r="HO482" t="str">
        <x:f>'Calculations'!HF482</x:f>
      </x:c>
      <x:c r="HP482" t="str">
        <x:f>IF('Calculations'!HO482="","",IF('Calculations'!HO482="!AMBIG","!AMBIG",IF(COUNTIF('Calculations'!$HE$13:$HE$512,"="&amp;SUBSTITUTE(SUBSTITUTE(SUBSTITUTE('Calculations'!HO482,"~","~~"),"*","~*"),"?","~?"))&gt;1,"!AMBIG",IFERROR(INDEX('Calculations'!$HF$13:$HF$512,MATCH('Calculations'!HO482,'Calculations'!$HE$13:$HE$512,0)),""))))</x:f>
      </x:c>
      <x:c r="HQ482" t="str">
        <x:f>IF('Calculations'!HP482="","",IF('Calculations'!HP482="!AMBIG","!AMBIG",IF(COUNTIF('Calculations'!$HE$13:$HE$512,"="&amp;SUBSTITUTE(SUBSTITUTE(SUBSTITUTE('Calculations'!HP482,"~","~~"),"*","~*"),"?","~?"))&gt;1,"!AMBIG",IFERROR(INDEX('Calculations'!$HF$13:$HF$512,MATCH('Calculations'!HP482,'Calculations'!$HE$13:$HE$512,0)),""))))</x:f>
      </x:c>
      <x:c r="HR482" t="str">
        <x:f>IF('Calculations'!HQ482="","",IF('Calculations'!HQ482="!AMBIG","!AMBIG",IF(COUNTIF('Calculations'!$HE$13:$HE$512,"="&amp;SUBSTITUTE(SUBSTITUTE(SUBSTITUTE('Calculations'!HQ482,"~","~~"),"*","~*"),"?","~?"))&gt;1,"!AMBIG",IFERROR(INDEX('Calculations'!$HF$13:$HF$512,MATCH('Calculations'!HQ482,'Calculations'!$HE$13:$HE$512,0)),""))))</x:f>
      </x:c>
      <x:c r="HS482" t="str">
        <x:f>IF('Calculations'!HR482="","",IF('Calculations'!HR482="!AMBIG","!AMBIG",IF(COUNTIF('Calculations'!$HE$13:$HE$512,"="&amp;SUBSTITUTE(SUBSTITUTE(SUBSTITUTE('Calculations'!HR482,"~","~~"),"*","~*"),"?","~?"))&gt;1,"!AMBIG",IFERROR(INDEX('Calculations'!$HF$13:$HF$512,MATCH('Calculations'!HR482,'Calculations'!$HE$13:$HE$512,0)),""))))</x:f>
      </x:c>
      <x:c r="HT482" t="str">
        <x:f>IF('Calculations'!HS482="","",IF('Calculations'!HS482="!AMBIG","!AMBIG",IF(COUNTIF('Calculations'!$HE$13:$HE$512,"="&amp;SUBSTITUTE(SUBSTITUTE(SUBSTITUTE('Calculations'!HS482,"~","~~"),"*","~*"),"?","~?"))&gt;1,"!AMBIG",IFERROR(INDEX('Calculations'!$HF$13:$HF$512,MATCH('Calculations'!HS482,'Calculations'!$HE$13:$HE$512,0)),""))))</x:f>
      </x:c>
      <x:c r="HU482" t="str">
        <x:f>IF('Calculations'!HT482="","",IF('Calculations'!HT482="!AMBIG","!AMBIG",IF(COUNTIF('Calculations'!$HE$13:$HE$512,"="&amp;SUBSTITUTE(SUBSTITUTE(SUBSTITUTE('Calculations'!HT482,"~","~~"),"*","~*"),"?","~?"))&gt;1,"!AMBIG",IFERROR(INDEX('Calculations'!$HF$13:$HF$512,MATCH('Calculations'!HT482,'Calculations'!$HE$13:$HE$512,0)),""))))</x:f>
      </x:c>
      <x:c r="HV482" t="str">
        <x:f>IF('Calculations'!HU482="","",IF('Calculations'!HU482="!AMBIG","!AMBIG",IF(COUNTIF('Calculations'!$HE$13:$HE$512,"="&amp;SUBSTITUTE(SUBSTITUTE(SUBSTITUTE('Calculations'!HU482,"~","~~"),"*","~*"),"?","~?"))&gt;1,"!AMBIG",IFERROR(INDEX('Calculations'!$HF$13:$HF$512,MATCH('Calculations'!HU482,'Calculations'!$HE$13:$HE$512,0)),""))))</x:f>
      </x:c>
      <x:c r="HW482" t="str">
        <x:f>IF('Calculations'!HV482="","",IF('Calculations'!HV482="!AMBIG","!AMBIG",IF(COUNTIF('Calculations'!$HE$13:$HE$512,"="&amp;SUBSTITUTE(SUBSTITUTE(SUBSTITUTE('Calculations'!HV482,"~","~~"),"*","~*"),"?","~?"))&gt;1,"!AMBIG",IFERROR(INDEX('Calculations'!$HF$13:$HF$512,MATCH('Calculations'!HV482,'Calculations'!$HE$13:$HE$512,0)),""))))</x:f>
      </x:c>
      <x:c r="HX482" t="str">
        <x:f>IF('Calculations'!HW482="","",IF('Calculations'!HW482="!AMBIG","!AMBIG",IF(COUNTIF('Calculations'!$HE$13:$HE$512,"="&amp;SUBSTITUTE(SUBSTITUTE(SUBSTITUTE('Calculations'!HW482,"~","~~"),"*","~*"),"?","~?"))&gt;1,"!AMBIG",IFERROR(INDEX('Calculations'!$HF$13:$HF$512,MATCH('Calculations'!HW482,'Calculations'!$HE$13:$HE$512,0)),""))))</x:f>
      </x:c>
      <x:c r="HY482" t="str">
        <x:f>IF('Calculations'!HX482="","",IF('Calculations'!HX482="!AMBIG","!AMBIG",IF(COUNTIF('Calculations'!$HE$13:$HE$512,"="&amp;SUBSTITUTE(SUBSTITUTE(SUBSTITUTE('Calculations'!HX482,"~","~~"),"*","~*"),"?","~?"))&gt;1,"!AMBIG",IFERROR(INDEX('Calculations'!$HF$13:$HF$512,MATCH('Calculations'!HX482,'Calculations'!$HE$13:$HE$512,0)),""))))</x:f>
      </x:c>
      <x:c r="HZ482" t="str">
        <x:f>IF('Calculations'!HY482="","",IF('Calculations'!HY482="!AMBIG","!AMBIG",IF(COUNTIF('Calculations'!$HE$13:$HE$512,"="&amp;SUBSTITUTE(SUBSTITUTE(SUBSTITUTE('Calculations'!HY482,"~","~~"),"*","~*"),"?","~?"))&gt;1,"!AMBIG",IFERROR(INDEX('Calculations'!$HF$13:$HF$512,MATCH('Calculations'!HY482,'Calculations'!$HE$13:$HE$512,0)),""))))</x:f>
      </x:c>
      <x:c r="IA482" t="str">
        <x:f>IF('Calculations'!HZ482="","",IF('Calculations'!HZ482="!AMBIG","!AMBIG",IF(COUNTIF('Calculations'!$HE$13:$HE$512,"="&amp;SUBSTITUTE(SUBSTITUTE(SUBSTITUTE('Calculations'!HZ482,"~","~~"),"*","~*"),"?","~?"))&gt;1,"!AMBIG",IFERROR(INDEX('Calculations'!$HF$13:$HF$512,MATCH('Calculations'!HZ482,'Calculations'!$HE$13:$HE$512,0)),""))))</x:f>
      </x:c>
      <x:c r="IB482" t="str">
        <x:f>IF('Calculations'!IA482="","",IF('Calculations'!IA482="!AMBIG","!AMBIG",IF(COUNTIF('Calculations'!$HE$13:$HE$512,"="&amp;SUBSTITUTE(SUBSTITUTE(SUBSTITUTE('Calculations'!IA482,"~","~~"),"*","~*"),"?","~?"))&gt;1,"!AMBIG",IFERROR(INDEX('Calculations'!$HF$13:$HF$512,MATCH('Calculations'!IA482,'Calculations'!$HE$13:$HE$512,0)),""))))</x:f>
      </x:c>
      <x:c r="IC482" t="str">
        <x:f>IF('Calculations'!IB482="","",IF('Calculations'!IB482="!AMBIG","!AMBIG",IF(COUNTIF('Calculations'!$HE$13:$HE$512,"="&amp;SUBSTITUTE(SUBSTITUTE(SUBSTITUTE('Calculations'!IB482,"~","~~"),"*","~*"),"?","~?"))&gt;1,"!AMBIG",IFERROR(INDEX('Calculations'!$HF$13:$HF$512,MATCH('Calculations'!IB482,'Calculations'!$HE$13:$HE$512,0)),""))))</x:f>
      </x:c>
      <x:c r="ID482" t="str">
        <x:f>IF('Calculations'!IC482="","",IF('Calculations'!IC482="!AMBIG","!AMBIG",IF(COUNTIF('Calculations'!$HE$13:$HE$512,"="&amp;SUBSTITUTE(SUBSTITUTE(SUBSTITUTE('Calculations'!IC482,"~","~~"),"*","~*"),"?","~?"))&gt;1,"!AMBIG",IFERROR(INDEX('Calculations'!$HF$13:$HF$512,MATCH('Calculations'!IC482,'Calculations'!$HE$13:$HE$512,0)),""))))</x:f>
      </x:c>
      <x:c r="IE482" t="str">
        <x:f>IF('Calculations'!ID482="","",IF('Calculations'!ID482="!AMBIG","!AMBIG",IF(COUNTIF('Calculations'!$HE$13:$HE$512,"="&amp;SUBSTITUTE(SUBSTITUTE(SUBSTITUTE('Calculations'!ID482,"~","~~"),"*","~*"),"?","~?"))&gt;1,"!AMBIG",IFERROR(INDEX('Calculations'!$HF$13:$HF$512,MATCH('Calculations'!ID482,'Calculations'!$HE$13:$HE$512,0)),""))))</x:f>
      </x:c>
      <x:c r="IF482" t="str">
        <x:f>IF('Calculations'!IE482="","",IF('Calculations'!IE482="!AMBIG","!AMBIG",IF(COUNTIF('Calculations'!$HE$13:$HE$512,"="&amp;SUBSTITUTE(SUBSTITUTE(SUBSTITUTE('Calculations'!IE482,"~","~~"),"*","~*"),"?","~?"))&gt;1,"!AMBIG",IFERROR(INDEX('Calculations'!$HF$13:$HF$512,MATCH('Calculations'!IE482,'Calculations'!$HE$13:$HE$512,0)),""))))</x:f>
      </x:c>
      <x:c r="IG482" t="str">
        <x:f>IF('Calculations'!IF482="","",IF('Calculations'!IF482="!AMBIG","!AMBIG",IF(COUNTIF('Calculations'!$HE$13:$HE$512,"="&amp;SUBSTITUTE(SUBSTITUTE(SUBSTITUTE('Calculations'!IF482,"~","~~"),"*","~*"),"?","~?"))&gt;1,"!AMBIG",IFERROR(INDEX('Calculations'!$HF$13:$HF$512,MATCH('Calculations'!IF482,'Calculations'!$HE$13:$HE$512,0)),""))))</x:f>
      </x:c>
      <x:c r="IH482" t="str">
        <x:f>IF('Calculations'!IG482="","",IF('Calculations'!IG482="!AMBIG","!AMBIG",IF(COUNTIF('Calculations'!$HE$13:$HE$512,"="&amp;SUBSTITUTE(SUBSTITUTE(SUBSTITUTE('Calculations'!IG482,"~","~~"),"*","~*"),"?","~?"))&gt;1,"!AMBIG",IFERROR(INDEX('Calculations'!$HF$13:$HF$512,MATCH('Calculations'!IG482,'Calculations'!$HE$13:$HE$512,0)),""))))</x:f>
      </x:c>
      <x:c r="II482" t="str">
        <x:f>IF('Calculations'!IH482="","",IF('Calculations'!IH482="!AMBIG","!AMBIG",IF(COUNTIF('Calculations'!$HE$13:$HE$512,"="&amp;SUBSTITUTE(SUBSTITUTE(SUBSTITUTE('Calculations'!IH482,"~","~~"),"*","~*"),"?","~?"))&gt;1,"!AMBIG",IFERROR(INDEX('Calculations'!$HF$13:$HF$512,MATCH('Calculations'!IH482,'Calculations'!$HE$13:$HE$512,0)),""))))</x:f>
      </x:c>
      <x:c r="IJ482" t="str">
        <x:f>IF('Calculations'!EM482="","",IF('Calculations'!$EF$2="All",'Calculations'!HM482,IF('Calculations'!HL482=1,"",IFERROR(IF(MATCH('Calculations'!$EF$2,'Calculations'!HO482:II482,0)=1,'Calculations'!HE482,INDEX('Calculations'!HO482:II482,1,MATCH('Calculations'!$EF$2,'Calculations'!HO482:II482,0)-1)),""))))</x:f>
      </x:c>
      <x:c r="IK482" t="n">
        <x:f>IF(AND('Calculations'!EM482&lt;&gt;"",'Calculations'!$EF$2&lt;&gt;"All",'Calculations'!HF482='Calculations'!$EF$2,'Calculations'!HL482=0,'Calculations'!JD482&gt;0),MAX('Calculations'!$IK$12:IK481)+1,0)</x:f>
        <x:v>0</x:v>
      </x:c>
      <x:c r="JA482" t="n">
        <x:f>IF(OR(IFERROR(INDIRECT("'WCM Calibration Final'!$A$482")&lt;&gt;"",FALSE),IFERROR(INDIRECT("'WCM Calibration Final'!$B$482")&lt;&gt;"",FALSE),IFERROR(INDIRECT("'WCM Calibration Final'!$C$482")&lt;&gt;"",FALSE)),482,0)</x:f>
        <x:v>0</x:v>
      </x:c>
      <x:c r="JB482" t="n">
        <x:f>'Calculations'!JB481+IF('Calculations'!JA482&gt;0,1,0)</x:f>
        <x:v>0</x:v>
      </x:c>
      <x:c r="JC482" t="n">
        <x:f>IF(OR('Calculations'!HF482="",'Calculations'!HF482="!AMBIG"),0,IF('Dashboard'!$B$7="All",1,COUNTIFS('Calculations'!$HO$13:$HO$512,"="&amp;SUBSTITUTE(SUBSTITUTE(SUBSTITUTE('Calculations'!HF482,"~","~~"),"*","~*"),"?","~?"),'Calculations'!$HN$13:$HN$512,"="&amp;SUBSTITUTE(SUBSTITUTE(SUBSTITUTE('Dashboard'!$B$7,"~","~~"),"*","~*"),"?","~?"))+COUNTIFS('Calculations'!$HP$13:$HP$512,"="&amp;SUBSTITUTE(SUBSTITUTE(SUBSTITUTE('Calculations'!HF482,"~","~~"),"*","~*"),"?","~?"),'Calculations'!$HN$13:$HN$512,"="&amp;SUBSTITUTE(SUBSTITUTE(SUBSTITUTE('Dashboard'!$B$7,"~","~~"),"*","~*"),"?","~?"))+COUNTIFS('Calculations'!$HQ$13:$HQ$512,"="&amp;SUBSTITUTE(SUBSTITUTE(SUBSTITUTE('Calculations'!HF482,"~","~~"),"*","~*"),"?","~?"),'Calculations'!$HN$13:$HN$512,"="&amp;SUBSTITUTE(SUBSTITUTE(SUBSTITUTE('Dashboard'!$B$7,"~","~~"),"*","~*"),"?","~?"))+COUNTIFS('Calculations'!$HR$13:$HR$512,"="&amp;SUBSTITUTE(SUBSTITUTE(SUBSTITUTE('Calculations'!HF482,"~","~~"),"*","~*"),"?","~?"),'Calculations'!$HN$13:$HN$512,"="&amp;SUBSTITUTE(SUBSTITUTE(SUBSTITUTE('Dashboard'!$B$7,"~","~~"),"*","~*"),"?","~?"))+COUNTIFS('Calculations'!$HS$13:$HS$512,"="&amp;SUBSTITUTE(SUBSTITUTE(SUBSTITUTE('Calculations'!HF482,"~","~~"),"*","~*"),"?","~?"),'Calculations'!$HN$13:$HN$512,"="&amp;SUBSTITUTE(SUBSTITUTE(SUBSTITUTE('Dashboard'!$B$7,"~","~~"),"*","~*"),"?","~?"))+COUNTIFS('Calculations'!$HT$13:$HT$512,"="&amp;SUBSTITUTE(SUBSTITUTE(SUBSTITUTE('Calculations'!HF482,"~","~~"),"*","~*"),"?","~?"),'Calculations'!$HN$13:$HN$512,"="&amp;SUBSTITUTE(SUBSTITUTE(SUBSTITUTE('Dashboard'!$B$7,"~","~~"),"*","~*"),"?","~?"))+COUNTIFS('Calculations'!$HU$13:$HU$512,"="&amp;SUBSTITUTE(SUBSTITUTE(SUBSTITUTE('Calculations'!HF482,"~","~~"),"*","~*"),"?","~?"),'Calculations'!$HN$13:$HN$512,"="&amp;SUBSTITUTE(SUBSTITUTE(SUBSTITUTE('Dashboard'!$B$7,"~","~~"),"*","~*"),"?","~?"))+COUNTIFS('Calculations'!$HV$13:$HV$512,"="&amp;SUBSTITUTE(SUBSTITUTE(SUBSTITUTE('Calculations'!HF482,"~","~~"),"*","~*"),"?","~?"),'Calculations'!$HN$13:$HN$512,"="&amp;SUBSTITUTE(SUBSTITUTE(SUBSTITUTE('Dashboard'!$B$7,"~","~~"),"*","~*"),"?","~?"))+COUNTIFS('Calculations'!$HW$13:$HW$512,"="&amp;SUBSTITUTE(SUBSTITUTE(SUBSTITUTE('Calculations'!HF482,"~","~~"),"*","~*"),"?","~?"),'Calculations'!$HN$13:$HN$512,"="&amp;SUBSTITUTE(SUBSTITUTE(SUBSTITUTE('Dashboard'!$B$7,"~","~~"),"*","~*"),"?","~?"))+COUNTIFS('Calculations'!$HX$13:$HX$512,"="&amp;SUBSTITUTE(SUBSTITUTE(SUBSTITUTE('Calculations'!HF482,"~","~~"),"*","~*"),"?","~?"),'Calculations'!$HN$13:$HN$512,"="&amp;SUBSTITUTE(SUBSTITUTE(SUBSTITUTE('Dashboard'!$B$7,"~","~~"),"*","~*"),"?","~?"))+COUNTIFS('Calculations'!$HY$13:$HY$512,"="&amp;SUBSTITUTE(SUBSTITUTE(SUBSTITUTE('Calculations'!HF482,"~","~~"),"*","~*"),"?","~?"),'Calculations'!$HN$13:$HN$512,"="&amp;SUBSTITUTE(SUBSTITUTE(SUBSTITUTE('Dashboard'!$B$7,"~","~~"),"*","~*"),"?","~?"))+COUNTIFS('Calculations'!$HZ$13:$HZ$512,"="&amp;SUBSTITUTE(SUBSTITUTE(SUBSTITUTE('Calculations'!HF482,"~","~~"),"*","~*"),"?","~?"),'Calculations'!$HN$13:$HN$512,"="&amp;SUBSTITUTE(SUBSTITUTE(SUBSTITUTE('Dashboard'!$B$7,"~","~~"),"*","~*"),"?","~?"))+COUNTIFS('Calculations'!$IA$13:$IA$512,"="&amp;SUBSTITUTE(SUBSTITUTE(SUBSTITUTE('Calculations'!HF482,"~","~~"),"*","~*"),"?","~?"),'Calculations'!$HN$13:$HN$512,"="&amp;SUBSTITUTE(SUBSTITUTE(SUBSTITUTE('Dashboard'!$B$7,"~","~~"),"*","~*"),"?","~?"))+COUNTIFS('Calculations'!$IB$13:$IB$512,"="&amp;SUBSTITUTE(SUBSTITUTE(SUBSTITUTE('Calculations'!HF482,"~","~~"),"*","~*"),"?","~?"),'Calculations'!$HN$13:$HN$512,"="&amp;SUBSTITUTE(SUBSTITUTE(SUBSTITUTE('Dashboard'!$B$7,"~","~~"),"*","~*"),"?","~?"))+COUNTIFS('Calculations'!$IC$13:$IC$512,"="&amp;SUBSTITUTE(SUBSTITUTE(SUBSTITUTE('Calculations'!HF482,"~","~~"),"*","~*"),"?","~?"),'Calculations'!$HN$13:$HN$512,"="&amp;SUBSTITUTE(SUBSTITUTE(SUBSTITUTE('Dashboard'!$B$7,"~","~~"),"*","~*"),"?","~?"))+COUNTIFS('Calculations'!$ID$13:$ID$512,"="&amp;SUBSTITUTE(SUBSTITUTE(SUBSTITUTE('Calculations'!HF482,"~","~~"),"*","~*"),"?","~?"),'Calculations'!$HN$13:$HN$512,"="&amp;SUBSTITUTE(SUBSTITUTE(SUBSTITUTE('Dashboard'!$B$7,"~","~~"),"*","~*"),"?","~?"))+COUNTIFS('Calculations'!$IE$13:$IE$512,"="&amp;SUBSTITUTE(SUBSTITUTE(SUBSTITUTE('Calculations'!HF482,"~","~~"),"*","~*"),"?","~?"),'Calculations'!$HN$13:$HN$512,"="&amp;SUBSTITUTE(SUBSTITUTE(SUBSTITUTE('Dashboard'!$B$7,"~","~~"),"*","~*"),"?","~?"))+COUNTIFS('Calculations'!$IF$13:$IF$512,"="&amp;SUBSTITUTE(SUBSTITUTE(SUBSTITUTE('Calculations'!HF482,"~","~~"),"*","~*"),"?","~?"),'Calculations'!$HN$13:$HN$512,"="&amp;SUBSTITUTE(SUBSTITUTE(SUBSTITUTE('Dashboard'!$B$7,"~","~~"),"*","~*"),"?","~?"))+COUNTIFS('Calculations'!$IG$13:$IG$512,"="&amp;SUBSTITUTE(SUBSTITUTE(SUBSTITUTE('Calculations'!HF482,"~","~~"),"*","~*"),"?","~?"),'Calculations'!$HN$13:$HN$512,"="&amp;SUBSTITUTE(SUBSTITUTE(SUBSTITUTE('Dashboard'!$B$7,"~","~~"),"*","~*"),"?","~?"))+COUNTIFS('Calculations'!$IH$13:$IH$512,"="&amp;SUBSTITUTE(SUBSTITUTE(SUBSTITUTE('Calculations'!HF482,"~","~~"),"*","~*"),"?","~?"),'Calculations'!$HN$13:$HN$512,"="&amp;SUBSTITUTE(SUBSTITUTE(SUBSTITUTE('Dashboard'!$B$7,"~","~~"),"*","~*"),"?","~?"))))</x:f>
        <x:v>0</x:v>
      </x:c>
      <x:c r="JD482" t="n">
        <x:f>IF('Calculations'!EM482="",0,IF('Dashboard'!$B$7="All",1,IF('Calculations'!HN482='Dashboard'!$B$7,1,0)+IFERROR(INDEX('Calculations'!$JC$13:$JC$512,MATCH('Calculations'!HE482,'Calculations'!$HF$13:$HF$512,0)),0)))</x:f>
        <x:v>0</x:v>
      </x:c>
      <x:c r="JE482" t="n">
        <x:f>IF(AND('Calculations'!EM482&lt;&gt;"",'Calculations'!$JJ$2&lt;&gt;"All",'Calculations'!$JJ$2&lt;&gt;"",'Calculations'!HF482='Calculations'!$JJ$2,'Calculations'!HL482=0,'Calculations'!JD482&gt;0),MAX('Calculations'!$JE$12:JE481)+1,0)</x:f>
        <x:v>0</x:v>
      </x:c>
      <x:c r="JF482" t="str">
        <x:f>IF('Calculations'!EM482="","",IFERROR(IF(INDEX(INDIRECT("'WCM Calibration Final'!$G$1:$G$2000"),'Calculations'!$EM482)="","",TRIM(INDEX(INDIRECT("'WCM Calibration Final'!$G$1:$G$2000"),'Calculations'!$EM482)&amp;"")),""))</x:f>
      </x:c>
      <x:c r="JQ482" t="n">
        <x:f>IF(OR('Calculations'!BM482=0,NOT('Calculations'!$AG$2),'Calculations'!$AG$8&gt;0),0,IF(OR('Dashboard'!$B$7="All",'Calculations'!HN482='Dashboard'!$B$7),IF('Calculations'!$JJ$2="All",1,IF(AND('Calculations'!HF482='Calculations'!$JJ$2,'Calculations'!HL482=0),1,0)),0))</x:f>
        <x:v>0</x:v>
      </x:c>
    </x:row>
    <x:row r="483">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t="n">
        <x:f>IF('Calculations'!$EM483="",0,IF(OR(IFERROR(INDEX(INDIRECT("'WCM Calibration Final'!$A$1:$A$2000"),'Calculations'!$EM483)&lt;&gt;"",FALSE),IFERROR(INDEX(INDIRECT("'WCM Calibration Final'!$B$1:$B$2000"),'Calculations'!$EM483)&lt;&gt;"",FALSE),IFERROR(INDEX(INDIRECT("'WCM Calibration Final'!$C$1:$C$2000"),'Calculations'!$EM483)&lt;&gt;"",FALSE)),1,0))</x:f>
        <x:v>0</x:v>
      </x:c>
      <x:c r="BN483" s="4" t="n">
        <x:f>IF(AND('Calculations'!BM483=1,'Calculations'!$AG$2,'Calculations'!$EN483=1),1,0)</x:f>
        <x:v>0</x:v>
      </x:c>
      <x:c r="BO483" s="4" t="str">
        <x:f>IF('Calculations'!BM483=0,"",IFERROR(IF(AND(VALUE(INDEX(INDIRECT("'WCM Calibration Final'!$K$1:$K$2000"),'Calculations'!$EM483))&gt;=1,VALUE(INDEX(INDIRECT("'WCM Calibration Final'!$K$1:$K$2000"),'Calculations'!$EM483))&lt;=4,MOD(VALUE(INDEX(INDIRECT("'WCM Calibration Final'!$K$1:$K$2000"),'Calculations'!$EM483)),1)=0),VALUE(INDEX(INDIRECT("'WCM Calibration Final'!$K$1:$K$2000"),'Calculations'!$EM483)),""),""))</x:f>
      </x:c>
      <x:c r="BP483" s="4" t="str">
        <x:f>IF('Calculations'!BM483=0,"",IFERROR(IF(AND(VALUE(INDEX(INDIRECT("'WCM Calibration Final'!$L$1:$L$2000"),'Calculations'!$EM483))&gt;=1,VALUE(INDEX(INDIRECT("'WCM Calibration Final'!$L$1:$L$2000"),'Calculations'!$EM483))&lt;=4,MOD(VALUE(INDEX(INDIRECT("'WCM Calibration Final'!$L$1:$L$2000"),'Calculations'!$EM483)),1)=0),VALUE(INDEX(INDIRECT("'WCM Calibration Final'!$L$1:$L$2000"),'Calculations'!$EM483)),""),""))</x:f>
      </x:c>
      <x:c r="BQ483" s="4"/>
      <x:c r="BR483" s="4"/>
      <x:c r="BS483" s="4"/>
      <x:c r="BT483" s="4" t="n">
        <x:f>IF(AND('Calculations'!BM483=1,ISNUMBER('Calculations'!BO483),ISNUMBER('Calculations'!BP483)),1,0)</x:f>
        <x:v>0</x:v>
      </x:c>
      <x:c r="BU483" s="4" t="str">
        <x:f>IF('Calculations'!BM483=0,"",'Calculations'!$EO483)</x:f>
      </x:c>
      <x:c r="BV483" s="4" t="str">
        <x:f>IF('Calculations'!BM483=0,"",IFERROR(IF(OR(INDEX(INDIRECT("'WCM Calibration Final'!$H$1:$H$2000"),'Calculations'!$EM483)="MANAGING DIRECTOR",INDEX(INDIRECT("'WCM Calibration Final'!$H$1:$H$2000"),'Calculations'!$EM483)="DIRECTOR",INDEX(INDIRECT("'WCM Calibration Final'!$H$1:$H$2000"),'Calculations'!$EM483)="SENIOR VICE PRESIDENT",INDEX(INDIRECT("'WCM Calibration Final'!$H$1:$H$2000"),'Calculations'!$EM483)="VICE PRESIDENT",INDEX(INDIRECT("'WCM Calibration Final'!$H$1:$H$2000"),'Calculations'!$EM483)="ASSISTANT VICE PRESIDENT",INDEX(INDIRECT("'WCM Calibration Final'!$H$1:$H$2000"),'Calculations'!$EM483)="OFFICER"),UPPER(INDEX(INDIRECT("'WCM Calibration Final'!$H$1:$H$2000"),'Calculations'!$EM483)),"Other"),"Other"))</x:f>
      </x:c>
      <x:c r="BW483" s="4"/>
      <x:c r="BX483" s="4"/>
      <x:c r="BY483" s="4" t="n">
        <x:f>IF(AND('Calculations'!BM483=1,'Calculations'!BU483&lt;&gt;"",COUNTIF('Calculations'!$BU$12:BU483,'Calculations'!BU483)=1),MAX('Calculations'!$BY$11:BY482)+1,0)</x:f>
        <x:v>0</x:v>
      </x:c>
      <x:c r="BZ483" s="4" t="str">
        <x:f>IF('Dashboard'!$E$67="What",'Calculations'!BO483,'Calculations'!BP483)</x:f>
      </x:c>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t="str">
        <x:f>IF(472&gt;MAX('Calculations'!$HI$13:$HI$512),"",INDEX('Calculations'!$HN$13:$HN$512,MATCH(472,'Calculations'!$HI$13:$HI$512,0)))</x:f>
      </x:c>
      <x:c r="DB483" s="4" t="str">
        <x:f>IF(472&gt;MAX('Calculations'!$HH$13:$HH$512),"",INDEX('Calculations'!$HJ$13:$HJ$512,MATCH(472,'Calculations'!$HH$13:$HH$512,0)))</x:f>
      </x:c>
      <x:c r="DC483" s="4" t="str">
        <x:f>IF(ROW()-11&gt;MAX('Calculations'!$BY$13:$BY$512),"",INDEX('Calculations'!$BU$13:$BU$512,MATCH(ROW()-11,'Calculations'!$BY$13:$BY$512,0)))</x:f>
      </x:c>
      <x:c r="DD483" s="4" t="str">
        <x:f>IF(472&gt;MAX('Calculations'!$IK$13:$IK$512),"",INDEX('Calculations'!$HK$13:$HK$512,MATCH(472,'Calculations'!$IK$13:$IK$512,0)))</x:f>
      </x:c>
      <x:c r="DE483" s="4" t="str">
        <x:f>'Calculations'!DC483</x:f>
      </x:c>
      <x:c r="DF483" s="4" t="str">
        <x:f>IF('Calculations'!DE483="","",COUNTIFS('Calculations'!$BN$13:$BN$512,1,'Calculations'!$BU$13:$BU$512,'Calculations'!DE483))</x:f>
      </x:c>
      <x:c r="DG483" s="4" t="str">
        <x:f>IF('Calculations'!DE483="","",COUNTIFS('Calculations'!$BN$13:$BN$512,1,'Calculations'!$BU$13:$BU$512,'Calculations'!DE483,'Calculations'!$BT$13:$BT$512,1))</x:f>
      </x:c>
      <x:c r="DH483" s="4" t="str">
        <x:f>IF('Calculations'!DE483="","",'Calculations'!DF483-'Calculations'!DG483)</x:f>
      </x:c>
      <x:c r="DI483" s="4" t="str">
        <x:f>IF(OR('Calculations'!DE483="",'Calculations'!DF483=0),"",'Calculations'!DG483/'Calculations'!DF483)</x:f>
      </x:c>
      <x:c r="DJ483" s="4" t="str">
        <x:f>IF('Calculations'!DE483="","",COUNTIFS('Calculations'!$BN$13:$BN$512,1,'Calculations'!$BU$13:$BU$512,'Calculations'!DE483,'Calculations'!$BT$13:$BT$512,1,'Calculations'!$EE$13:$EE$512,"High"))</x:f>
      </x:c>
      <x:c r="DK483" s="4" t="str">
        <x:f>IF('Calculations'!DE483="","",COUNTIFS('Calculations'!$BN$13:$BN$512,1,'Calculations'!$BU$13:$BU$512,'Calculations'!DE483,'Calculations'!$BT$13:$BT$512,1,'Calculations'!$EE$13:$EE$512,"Strong"))</x:f>
      </x:c>
      <x:c r="DL483" s="4" t="str">
        <x:f>IF('Calculations'!DE483="","",COUNTIFS('Calculations'!$BN$13:$BN$512,1,'Calculations'!$BU$13:$BU$512,'Calculations'!DE483,'Calculations'!$BT$13:$BT$512,1,'Calculations'!$EE$13:$EE$512,"Solid"))</x:f>
      </x:c>
      <x:c r="DM483" s="4" t="str">
        <x:f>IF('Calculations'!DE483="","",COUNTIFS('Calculations'!$BN$13:$BN$512,1,'Calculations'!$BU$13:$BU$512,'Calculations'!DE483,'Calculations'!$BT$13:$BT$512,1,'Calculations'!$EE$13:$EE$512,"Low"))</x:f>
      </x:c>
      <x:c r="DN483" s="4" t="str">
        <x:f>IF('Calculations'!DE483="","",COUNTIFS('Calculations'!$BN$13:$BN$512,1,'Calculations'!$BU$13:$BU$512,'Calculations'!DE483,'Calculations'!$EP$13:$EP$512,1))</x:f>
      </x:c>
      <x:c r="DO483" s="4" t="str">
        <x:f>IF(OR('Calculations'!DE483="",'Calculations'!DG483=0),"",('Calculations'!DJ483+'Calculations'!DK483)/'Calculations'!DG483)</x:f>
      </x:c>
      <x:c r="DP483" s="4" t="n">
        <x:f>IF(AND('Calculations'!DE483&lt;&gt;"",'Calculations'!DF483&gt;0),COUNTIF('Calculations'!$DF$12:DF483,"&gt;0"),0)</x:f>
        <x:v>0</x:v>
      </x:c>
      <x:c r="DQ483" s="4" t="str">
        <x:f>IF(472&gt;MAX('Calculations'!$HH$13:$HH$512),"",INDEX('Calculations'!$HF$13:$HF$512,MATCH(472,'Calculations'!$HH$13:$HH$512,0)))</x:f>
      </x:c>
      <x:c r="DR483" s="4" t="str">
        <x:f>IF(472&gt;MAX('Calculations'!$IK$13:$IK$512),"",INDEX('Calculations'!$HE$13:$HE$512,MATCH(472,'Calculations'!$IK$13:$IK$512,0)))</x:f>
      </x:c>
      <x:c r="DS483" s="4"/>
      <x:c r="DT483" s="4"/>
      <x:c r="DU483" s="4"/>
      <x:c r="DV483" s="4"/>
      <x:c r="DW483" s="4"/>
      <x:c r="DX483" s="4"/>
      <x:c r="DY483" s="4"/>
      <x:c r="DZ483" s="4"/>
      <x:c r="EA483" s="4"/>
      <x:c r="EB483" s="4"/>
      <x:c r="EC483" s="4"/>
      <x:c r="ED483" s="4"/>
      <x:c r="EE483" s="4" t="str">
        <x:f>IF('Calculations'!BT483=0,"Not Rated",IF(OR('Calculations'!BO483&gt;=4,'Calculations'!BP483&gt;=4),"Low",IF('Calculations'!BO483+'Calculations'!BP483&lt;=3,"High",IF('Calculations'!BO483+'Calculations'!BP483&lt;=4,"Strong","Solid"))))</x:f>
        <x:v>Not Rated</x:v>
      </x:c>
      <x:c r="EF483" s="4"/>
      <x:c r="EG483" s="4"/>
      <x:c r="EH483" s="4"/>
      <x:c r="EI483" s="4"/>
      <x:c r="EJ483" s="4"/>
      <x:c r="EK483" s="4"/>
      <x:c r="EL483" s="4"/>
      <x:c r="EM483" s="4" t="str">
        <x:f>IF(471&gt;'Calculations'!$JB$2000,"",INDEX('Calculations'!$JA$12:$JA$2000,MATCH(471,'Calculations'!$JB$12:$JB$2000,0)))</x:f>
      </x:c>
      <x:c r="EN483" s="4" t="n">
        <x:f>IF(OR('Calculations'!EM483="",'Calculations'!$AG$8&gt;0,AND('Calculations'!$EF$2&lt;&gt;"All",'Calculations'!HE483='Calculations'!$EF$2),AND('Calculations'!$EF$3&lt;&gt;"All",'Calculations'!HE483='Calculations'!$EF$3)),0,IF(OR('Dashboard'!$B$7="All",'Calculations'!HN483='Dashboard'!$B$7),IF('Calculations'!$EF$2="All",1,IF('Calculations'!HL483&gt;0,0,IF(COUNTIF('Calculations'!HO483:II483,"="&amp;SUBSTITUTE(SUBSTITUTE(SUBSTITUTE('Calculations'!$EF$2,"~","~~"),"*","~*"),"?","~?"))=0,0,IF('Calculations'!$EF$3="All",1,IF(COUNTIF('Calculations'!HO483:II483,"="&amp;SUBSTITUTE(SUBSTITUTE(SUBSTITUTE('Calculations'!$EF$3,"~","~~"),"*","~*"),"?","~?"))&gt;0,1,0))))),0))</x:f>
        <x:v>0</x:v>
      </x:c>
      <x:c r="EO483" s="4" t="str">
        <x:f>IF('Calculations'!IJ483="","",IF('Calculations'!IJ483="!UNRESOLVED","Unresolved hierarchy",IFERROR(INDEX('Calculations'!$HK$13:$HK$512,MATCH('Calculations'!IJ483,'Calculations'!$HE$13:$HE$512,0)),IFERROR(INDEX('Calculations'!$HJ$13:$HJ$512,MATCH('Calculations'!IJ483,'Calculations'!$HF$13:$HF$512,0)),'Calculations'!IJ483))))</x:f>
      </x:c>
      <x:c r="EP483" s="4" t="n">
        <x:f>IF(AND('Calculations'!EM483&lt;&gt;"",'Calculations'!HF483='Calculations'!IJ483),1,0)</x:f>
        <x:v>0</x:v>
      </x:c>
      <x:c r="EQ483" s="4"/>
      <x:c r="ER483" s="4"/>
      <x:c r="ES483" s="4"/>
      <x:c r="ET483" s="4"/>
      <x:c r="EU483" s="4"/>
      <x:c r="EV483" s="4"/>
      <x:c r="EW483" s="4"/>
      <x:c r="EX483" s="4"/>
      <x:c r="EY483" s="4"/>
      <x:c r="EZ483" s="4"/>
      <x:c r="FA483" s="4"/>
      <x:c r="FB483" s="4"/>
      <x:c r="FC483" s="4"/>
      <x:c r="FD483" s="4"/>
      <x:c r="FE483" s="4"/>
      <x:c r="FF483" s="4"/>
      <x:c r="FG483" s="4"/>
      <x:c r="FH483" s="4"/>
      <x:c r="FI483" s="4"/>
      <x:c r="FJ483" s="4"/>
      <x:c r="FK483" s="4"/>
      <x:c r="FL483" s="4"/>
      <x:c r="FM483" s="4"/>
      <x:c r="FN483" s="4"/>
      <x:c r="FO483" s="4"/>
      <x:c r="HE483" t="str">
        <x:f>IF('Calculations'!EM483="","",IF(IFERROR(IF(INDEX(INDIRECT("'WCM Calibration Final'!$A$1:$A$2000"),'Calculations'!$EM483)="","",TRIM(INDEX(INDIRECT("'WCM Calibration Final'!$A$1:$A$2000"),'Calculations'!$EM483)&amp;"")),"")&lt;&gt;"","G:"&amp;IFERROR(TEXT(1*INDEX(INDIRECT("'WCM Calibration Final'!$A$1:$A$2000"),'Calculations'!$EM483),"0"),UPPER(IFERROR(IF(INDEX(INDIRECT("'WCM Calibration Final'!$A$1:$A$2000"),'Calculations'!$EM483)="","",TRIM(INDEX(INDIRECT("'WCM Calibration Final'!$A$1:$A$2000"),'Calculations'!$EM483)&amp;"")),""))),IF(IFERROR(IF(INDEX(INDIRECT("'WCM Calibration Final'!$C$1:$C$2000"),'Calculations'!$EM483)="","",TRIM(INDEX(INDIRECT("'WCM Calibration Final'!$C$1:$C$2000"),'Calculations'!$EM483)&amp;"")),"")&lt;&gt;"","S:"&amp;UPPER(IFERROR(IF(INDEX(INDIRECT("'WCM Calibration Final'!$C$1:$C$2000"),'Calculations'!$EM483)="","",TRIM(INDEX(INDIRECT("'WCM Calibration Final'!$C$1:$C$2000"),'Calculations'!$EM483)&amp;"")),"")),"R:"&amp;'Calculations'!EM483)))</x:f>
      </x:c>
      <x:c r="HF483" t="str">
        <x:f>IF('Calculations'!EM483="","",IF(IFERROR(IF(INDEX(INDIRECT("'WCM Calibration Final'!$D$1:$D$2000"),'Calculations'!$EM483)="","",TRIM(INDEX(INDIRECT("'WCM Calibration Final'!$D$1:$D$2000"),'Calculations'!$EM483)&amp;"")),"")&lt;&gt;"","G:"&amp;IFERROR(TEXT(1*INDEX(INDIRECT("'WCM Calibration Final'!$D$1:$D$2000"),'Calculations'!$EM483),"0"),UPPER(IFERROR(IF(INDEX(INDIRECT("'WCM Calibration Final'!$D$1:$D$2000"),'Calculations'!$EM483)="","",TRIM(INDEX(INDIRECT("'WCM Calibration Final'!$D$1:$D$2000"),'Calculations'!$EM483)&amp;"")),""))),IF(IFERROR(IF(INDEX(INDIRECT("'WCM Calibration Final'!$E$1:$E$2000"),'Calculations'!$EM483)="","",TRIM(INDEX(INDIRECT("'WCM Calibration Final'!$E$1:$E$2000"),'Calculations'!$EM483)&amp;"")),"")="","",IF(COUNTIF('Calculations'!$HG$13:$HG$512,"="&amp;SUBSTITUTE(SUBSTITUTE(SUBSTITUTE(IFERROR(IF(INDEX(INDIRECT("'WCM Calibration Final'!$E$1:$E$2000"),'Calculations'!$EM483)="","",TRIM(INDEX(INDIRECT("'WCM Calibration Final'!$E$1:$E$2000"),'Calculations'!$EM483)&amp;"")),""),"~","~~"),"*","~*"),"?","~?"))=1,INDEX('Calculations'!$HE$13:$HE$512,MATCH(IFERROR(IF(INDEX(INDIRECT("'WCM Calibration Final'!$E$1:$E$2000"),'Calculations'!$EM483)="","",TRIM(INDEX(INDIRECT("'WCM Calibration Final'!$E$1:$E$2000"),'Calculations'!$EM483)&amp;"")),""),'Calculations'!$HG$13:$HG$512,0)),IF(COUNTIF('Calculations'!$HG$13:$HG$512,"="&amp;SUBSTITUTE(SUBSTITUTE(SUBSTITUTE(IFERROR(IF(INDEX(INDIRECT("'WCM Calibration Final'!$E$1:$E$2000"),'Calculations'!$EM483)="","",TRIM(INDEX(INDIRECT("'WCM Calibration Final'!$E$1:$E$2000"),'Calculations'!$EM483)&amp;"")),""),"~","~~"),"*","~*"),"?","~?"))&gt;1,"!AMBIG","X:"&amp;IFERROR(IF(INDEX(INDIRECT("'WCM Calibration Final'!$E$1:$E$2000"),'Calculations'!$EM483)="","",TRIM(INDEX(INDIRECT("'WCM Calibration Final'!$E$1:$E$2000"),'Calculations'!$EM483)&amp;"")),""))))))</x:f>
      </x:c>
      <x:c r="HG483" t="str">
        <x:f>IF('Calculations'!EM483="","",IFERROR(IF(INDEX(INDIRECT("'WCM Calibration Final'!$B$1:$B$2000"),'Calculations'!$EM483)="","",TRIM(INDEX(INDIRECT("'WCM Calibration Final'!$B$1:$B$2000"),'Calculations'!$EM483)&amp;"")),""))</x:f>
      </x:c>
      <x:c r="HH483" t="n">
        <x:f>IF(AND('Calculations'!JC483&gt;0,COUNTIF('Calculations'!$HF$12:HF483,"="&amp;SUBSTITUTE(SUBSTITUTE(SUBSTITUTE('Calculations'!HF483,"~","~~"),"*","~*"),"?","~?"))=1),MAX('Calculations'!$HH$12:HH482)+1,0)</x:f>
        <x:v>0</x:v>
      </x:c>
      <x:c r="HI483" t="n">
        <x:f>IF(AND('Calculations'!HN483&lt;&gt;"",COUNTIF('Calculations'!$HN$12:HN483,"="&amp;SUBSTITUTE(SUBSTITUTE(SUBSTITUTE('Calculations'!HN483,"~","~~"),"*","~*"),"?","~?"))=1),MAX('Calculations'!$HI$12:HI482)+1,0)</x:f>
        <x:v>0</x:v>
      </x:c>
      <x:c r="HJ483" t="str">
        <x:f>IF('Calculations'!HF483="","",IF(COUNTIF('Calculations'!$HE$13:$HE$512,"="&amp;SUBSTITUTE(SUBSTITUTE(SUBSTITUTE('Calculations'!HF483,"~","~~"),"*","~*"),"?","~?"))=1,INDEX('Calculations'!$HK$13:$HK$512,MATCH('Calculations'!HF483,'Calculations'!$HE$13:$HE$512,0)),IFERROR(IF(INDEX(INDIRECT("'WCM Calibration Final'!$E$1:$E$2000"),'Calculations'!$EM483)="","",TRIM(INDEX(INDIRECT("'WCM Calibration Final'!$E$1:$E$2000"),'Calculations'!$EM483)&amp;"")),"")&amp;" ["&amp;'Calculations'!HF483&amp;"]"))</x:f>
      </x:c>
      <x:c r="HK483" t="str">
        <x:f>IF('Calculations'!EM483="","",'Calculations'!HG483&amp;" ["&amp;'Calculations'!HE483&amp;"]")</x:f>
      </x:c>
      <x:c r="HL483" t="n">
        <x:f>IF('Calculations'!EM483="",0,IF(OR('Calculations'!II483&lt;&gt;"",COUNTIF('Calculations'!$HE$13:$HE$512,"="&amp;SUBSTITUTE(SUBSTITUTE(SUBSTITUTE('Calculations'!HE483,"~","~~"),"*","~*"),"?","~?"))&gt;1),1,0))</x:f>
        <x:v>0</x:v>
      </x:c>
      <x:c r="HM483" t="str">
        <x:f>IF('Calculations'!EM483="","",IF('Calculations'!HL483=1,"!UNRESOLVED",IF('Calculations'!IH483&lt;&gt;"",'Calculations'!IH483,IF('Calculations'!IG483&lt;&gt;"",'Calculations'!IG483,IF('Calculations'!IF483&lt;&gt;"",'Calculations'!IF483,IF('Calculations'!IE483&lt;&gt;"",'Calculations'!IE483,IF('Calculations'!ID483&lt;&gt;"",'Calculations'!ID483,IF('Calculations'!IC483&lt;&gt;"",'Calculations'!IC483,IF('Calculations'!IB483&lt;&gt;"",'Calculations'!IB483,IF('Calculations'!IA483&lt;&gt;"",'Calculations'!IA483,IF('Calculations'!HZ483&lt;&gt;"",'Calculations'!HZ483,IF('Calculations'!HY483&lt;&gt;"",'Calculations'!HY483,IF('Calculations'!HX483&lt;&gt;"",'Calculations'!HX483,IF('Calculations'!HW483&lt;&gt;"",'Calculations'!HW483,IF('Calculations'!HV483&lt;&gt;"",'Calculations'!HV483,IF('Calculations'!HU483&lt;&gt;"",'Calculations'!HU483,IF('Calculations'!HT483&lt;&gt;"",'Calculations'!HT483,IF('Calculations'!HS483&lt;&gt;"",'Calculations'!HS483,IF('Calculations'!HR483&lt;&gt;"",'Calculations'!HR483,IF('Calculations'!HQ483&lt;&gt;"",'Calculations'!HQ483,IF('Calculations'!HP483&lt;&gt;"",'Calculations'!HP483,IF('Calculations'!HO483&lt;&gt;"",'Calculations'!HO483,'Calculations'!HE483))))))))))))))))))))))</x:f>
      </x:c>
      <x:c r="HN483" t="str">
        <x:f>IF('Calculations'!EM483="","",IF(IFERROR(IF(INDEX(INDIRECT("'WCM Calibration Final'!$F$1:$F$2000"),'Calculations'!$EM483)="","",TRIM(INDEX(INDIRECT("'WCM Calibration Final'!$F$1:$F$2000"),'Calculations'!$EM483)&amp;"")),"")="","(Blank)",IFERROR(IF(INDEX(INDIRECT("'WCM Calibration Final'!$F$1:$F$2000"),'Calculations'!$EM483)="","",TRIM(INDEX(INDIRECT("'WCM Calibration Final'!$F$1:$F$2000"),'Calculations'!$EM483)&amp;"")),"")))</x:f>
      </x:c>
      <x:c r="HO483" t="str">
        <x:f>'Calculations'!HF483</x:f>
      </x:c>
      <x:c r="HP483" t="str">
        <x:f>IF('Calculations'!HO483="","",IF('Calculations'!HO483="!AMBIG","!AMBIG",IF(COUNTIF('Calculations'!$HE$13:$HE$512,"="&amp;SUBSTITUTE(SUBSTITUTE(SUBSTITUTE('Calculations'!HO483,"~","~~"),"*","~*"),"?","~?"))&gt;1,"!AMBIG",IFERROR(INDEX('Calculations'!$HF$13:$HF$512,MATCH('Calculations'!HO483,'Calculations'!$HE$13:$HE$512,0)),""))))</x:f>
      </x:c>
      <x:c r="HQ483" t="str">
        <x:f>IF('Calculations'!HP483="","",IF('Calculations'!HP483="!AMBIG","!AMBIG",IF(COUNTIF('Calculations'!$HE$13:$HE$512,"="&amp;SUBSTITUTE(SUBSTITUTE(SUBSTITUTE('Calculations'!HP483,"~","~~"),"*","~*"),"?","~?"))&gt;1,"!AMBIG",IFERROR(INDEX('Calculations'!$HF$13:$HF$512,MATCH('Calculations'!HP483,'Calculations'!$HE$13:$HE$512,0)),""))))</x:f>
      </x:c>
      <x:c r="HR483" t="str">
        <x:f>IF('Calculations'!HQ483="","",IF('Calculations'!HQ483="!AMBIG","!AMBIG",IF(COUNTIF('Calculations'!$HE$13:$HE$512,"="&amp;SUBSTITUTE(SUBSTITUTE(SUBSTITUTE('Calculations'!HQ483,"~","~~"),"*","~*"),"?","~?"))&gt;1,"!AMBIG",IFERROR(INDEX('Calculations'!$HF$13:$HF$512,MATCH('Calculations'!HQ483,'Calculations'!$HE$13:$HE$512,0)),""))))</x:f>
      </x:c>
      <x:c r="HS483" t="str">
        <x:f>IF('Calculations'!HR483="","",IF('Calculations'!HR483="!AMBIG","!AMBIG",IF(COUNTIF('Calculations'!$HE$13:$HE$512,"="&amp;SUBSTITUTE(SUBSTITUTE(SUBSTITUTE('Calculations'!HR483,"~","~~"),"*","~*"),"?","~?"))&gt;1,"!AMBIG",IFERROR(INDEX('Calculations'!$HF$13:$HF$512,MATCH('Calculations'!HR483,'Calculations'!$HE$13:$HE$512,0)),""))))</x:f>
      </x:c>
      <x:c r="HT483" t="str">
        <x:f>IF('Calculations'!HS483="","",IF('Calculations'!HS483="!AMBIG","!AMBIG",IF(COUNTIF('Calculations'!$HE$13:$HE$512,"="&amp;SUBSTITUTE(SUBSTITUTE(SUBSTITUTE('Calculations'!HS483,"~","~~"),"*","~*"),"?","~?"))&gt;1,"!AMBIG",IFERROR(INDEX('Calculations'!$HF$13:$HF$512,MATCH('Calculations'!HS483,'Calculations'!$HE$13:$HE$512,0)),""))))</x:f>
      </x:c>
      <x:c r="HU483" t="str">
        <x:f>IF('Calculations'!HT483="","",IF('Calculations'!HT483="!AMBIG","!AMBIG",IF(COUNTIF('Calculations'!$HE$13:$HE$512,"="&amp;SUBSTITUTE(SUBSTITUTE(SUBSTITUTE('Calculations'!HT483,"~","~~"),"*","~*"),"?","~?"))&gt;1,"!AMBIG",IFERROR(INDEX('Calculations'!$HF$13:$HF$512,MATCH('Calculations'!HT483,'Calculations'!$HE$13:$HE$512,0)),""))))</x:f>
      </x:c>
      <x:c r="HV483" t="str">
        <x:f>IF('Calculations'!HU483="","",IF('Calculations'!HU483="!AMBIG","!AMBIG",IF(COUNTIF('Calculations'!$HE$13:$HE$512,"="&amp;SUBSTITUTE(SUBSTITUTE(SUBSTITUTE('Calculations'!HU483,"~","~~"),"*","~*"),"?","~?"))&gt;1,"!AMBIG",IFERROR(INDEX('Calculations'!$HF$13:$HF$512,MATCH('Calculations'!HU483,'Calculations'!$HE$13:$HE$512,0)),""))))</x:f>
      </x:c>
      <x:c r="HW483" t="str">
        <x:f>IF('Calculations'!HV483="","",IF('Calculations'!HV483="!AMBIG","!AMBIG",IF(COUNTIF('Calculations'!$HE$13:$HE$512,"="&amp;SUBSTITUTE(SUBSTITUTE(SUBSTITUTE('Calculations'!HV483,"~","~~"),"*","~*"),"?","~?"))&gt;1,"!AMBIG",IFERROR(INDEX('Calculations'!$HF$13:$HF$512,MATCH('Calculations'!HV483,'Calculations'!$HE$13:$HE$512,0)),""))))</x:f>
      </x:c>
      <x:c r="HX483" t="str">
        <x:f>IF('Calculations'!HW483="","",IF('Calculations'!HW483="!AMBIG","!AMBIG",IF(COUNTIF('Calculations'!$HE$13:$HE$512,"="&amp;SUBSTITUTE(SUBSTITUTE(SUBSTITUTE('Calculations'!HW483,"~","~~"),"*","~*"),"?","~?"))&gt;1,"!AMBIG",IFERROR(INDEX('Calculations'!$HF$13:$HF$512,MATCH('Calculations'!HW483,'Calculations'!$HE$13:$HE$512,0)),""))))</x:f>
      </x:c>
      <x:c r="HY483" t="str">
        <x:f>IF('Calculations'!HX483="","",IF('Calculations'!HX483="!AMBIG","!AMBIG",IF(COUNTIF('Calculations'!$HE$13:$HE$512,"="&amp;SUBSTITUTE(SUBSTITUTE(SUBSTITUTE('Calculations'!HX483,"~","~~"),"*","~*"),"?","~?"))&gt;1,"!AMBIG",IFERROR(INDEX('Calculations'!$HF$13:$HF$512,MATCH('Calculations'!HX483,'Calculations'!$HE$13:$HE$512,0)),""))))</x:f>
      </x:c>
      <x:c r="HZ483" t="str">
        <x:f>IF('Calculations'!HY483="","",IF('Calculations'!HY483="!AMBIG","!AMBIG",IF(COUNTIF('Calculations'!$HE$13:$HE$512,"="&amp;SUBSTITUTE(SUBSTITUTE(SUBSTITUTE('Calculations'!HY483,"~","~~"),"*","~*"),"?","~?"))&gt;1,"!AMBIG",IFERROR(INDEX('Calculations'!$HF$13:$HF$512,MATCH('Calculations'!HY483,'Calculations'!$HE$13:$HE$512,0)),""))))</x:f>
      </x:c>
      <x:c r="IA483" t="str">
        <x:f>IF('Calculations'!HZ483="","",IF('Calculations'!HZ483="!AMBIG","!AMBIG",IF(COUNTIF('Calculations'!$HE$13:$HE$512,"="&amp;SUBSTITUTE(SUBSTITUTE(SUBSTITUTE('Calculations'!HZ483,"~","~~"),"*","~*"),"?","~?"))&gt;1,"!AMBIG",IFERROR(INDEX('Calculations'!$HF$13:$HF$512,MATCH('Calculations'!HZ483,'Calculations'!$HE$13:$HE$512,0)),""))))</x:f>
      </x:c>
      <x:c r="IB483" t="str">
        <x:f>IF('Calculations'!IA483="","",IF('Calculations'!IA483="!AMBIG","!AMBIG",IF(COUNTIF('Calculations'!$HE$13:$HE$512,"="&amp;SUBSTITUTE(SUBSTITUTE(SUBSTITUTE('Calculations'!IA483,"~","~~"),"*","~*"),"?","~?"))&gt;1,"!AMBIG",IFERROR(INDEX('Calculations'!$HF$13:$HF$512,MATCH('Calculations'!IA483,'Calculations'!$HE$13:$HE$512,0)),""))))</x:f>
      </x:c>
      <x:c r="IC483" t="str">
        <x:f>IF('Calculations'!IB483="","",IF('Calculations'!IB483="!AMBIG","!AMBIG",IF(COUNTIF('Calculations'!$HE$13:$HE$512,"="&amp;SUBSTITUTE(SUBSTITUTE(SUBSTITUTE('Calculations'!IB483,"~","~~"),"*","~*"),"?","~?"))&gt;1,"!AMBIG",IFERROR(INDEX('Calculations'!$HF$13:$HF$512,MATCH('Calculations'!IB483,'Calculations'!$HE$13:$HE$512,0)),""))))</x:f>
      </x:c>
      <x:c r="ID483" t="str">
        <x:f>IF('Calculations'!IC483="","",IF('Calculations'!IC483="!AMBIG","!AMBIG",IF(COUNTIF('Calculations'!$HE$13:$HE$512,"="&amp;SUBSTITUTE(SUBSTITUTE(SUBSTITUTE('Calculations'!IC483,"~","~~"),"*","~*"),"?","~?"))&gt;1,"!AMBIG",IFERROR(INDEX('Calculations'!$HF$13:$HF$512,MATCH('Calculations'!IC483,'Calculations'!$HE$13:$HE$512,0)),""))))</x:f>
      </x:c>
      <x:c r="IE483" t="str">
        <x:f>IF('Calculations'!ID483="","",IF('Calculations'!ID483="!AMBIG","!AMBIG",IF(COUNTIF('Calculations'!$HE$13:$HE$512,"="&amp;SUBSTITUTE(SUBSTITUTE(SUBSTITUTE('Calculations'!ID483,"~","~~"),"*","~*"),"?","~?"))&gt;1,"!AMBIG",IFERROR(INDEX('Calculations'!$HF$13:$HF$512,MATCH('Calculations'!ID483,'Calculations'!$HE$13:$HE$512,0)),""))))</x:f>
      </x:c>
      <x:c r="IF483" t="str">
        <x:f>IF('Calculations'!IE483="","",IF('Calculations'!IE483="!AMBIG","!AMBIG",IF(COUNTIF('Calculations'!$HE$13:$HE$512,"="&amp;SUBSTITUTE(SUBSTITUTE(SUBSTITUTE('Calculations'!IE483,"~","~~"),"*","~*"),"?","~?"))&gt;1,"!AMBIG",IFERROR(INDEX('Calculations'!$HF$13:$HF$512,MATCH('Calculations'!IE483,'Calculations'!$HE$13:$HE$512,0)),""))))</x:f>
      </x:c>
      <x:c r="IG483" t="str">
        <x:f>IF('Calculations'!IF483="","",IF('Calculations'!IF483="!AMBIG","!AMBIG",IF(COUNTIF('Calculations'!$HE$13:$HE$512,"="&amp;SUBSTITUTE(SUBSTITUTE(SUBSTITUTE('Calculations'!IF483,"~","~~"),"*","~*"),"?","~?"))&gt;1,"!AMBIG",IFERROR(INDEX('Calculations'!$HF$13:$HF$512,MATCH('Calculations'!IF483,'Calculations'!$HE$13:$HE$512,0)),""))))</x:f>
      </x:c>
      <x:c r="IH483" t="str">
        <x:f>IF('Calculations'!IG483="","",IF('Calculations'!IG483="!AMBIG","!AMBIG",IF(COUNTIF('Calculations'!$HE$13:$HE$512,"="&amp;SUBSTITUTE(SUBSTITUTE(SUBSTITUTE('Calculations'!IG483,"~","~~"),"*","~*"),"?","~?"))&gt;1,"!AMBIG",IFERROR(INDEX('Calculations'!$HF$13:$HF$512,MATCH('Calculations'!IG483,'Calculations'!$HE$13:$HE$512,0)),""))))</x:f>
      </x:c>
      <x:c r="II483" t="str">
        <x:f>IF('Calculations'!IH483="","",IF('Calculations'!IH483="!AMBIG","!AMBIG",IF(COUNTIF('Calculations'!$HE$13:$HE$512,"="&amp;SUBSTITUTE(SUBSTITUTE(SUBSTITUTE('Calculations'!IH483,"~","~~"),"*","~*"),"?","~?"))&gt;1,"!AMBIG",IFERROR(INDEX('Calculations'!$HF$13:$HF$512,MATCH('Calculations'!IH483,'Calculations'!$HE$13:$HE$512,0)),""))))</x:f>
      </x:c>
      <x:c r="IJ483" t="str">
        <x:f>IF('Calculations'!EM483="","",IF('Calculations'!$EF$2="All",'Calculations'!HM483,IF('Calculations'!HL483=1,"",IFERROR(IF(MATCH('Calculations'!$EF$2,'Calculations'!HO483:II483,0)=1,'Calculations'!HE483,INDEX('Calculations'!HO483:II483,1,MATCH('Calculations'!$EF$2,'Calculations'!HO483:II483,0)-1)),""))))</x:f>
      </x:c>
      <x:c r="IK483" t="n">
        <x:f>IF(AND('Calculations'!EM483&lt;&gt;"",'Calculations'!$EF$2&lt;&gt;"All",'Calculations'!HF483='Calculations'!$EF$2,'Calculations'!HL483=0,'Calculations'!JD483&gt;0),MAX('Calculations'!$IK$12:IK482)+1,0)</x:f>
        <x:v>0</x:v>
      </x:c>
      <x:c r="JA483" t="n">
        <x:f>IF(OR(IFERROR(INDIRECT("'WCM Calibration Final'!$A$483")&lt;&gt;"",FALSE),IFERROR(INDIRECT("'WCM Calibration Final'!$B$483")&lt;&gt;"",FALSE),IFERROR(INDIRECT("'WCM Calibration Final'!$C$483")&lt;&gt;"",FALSE)),483,0)</x:f>
        <x:v>0</x:v>
      </x:c>
      <x:c r="JB483" t="n">
        <x:f>'Calculations'!JB482+IF('Calculations'!JA483&gt;0,1,0)</x:f>
        <x:v>0</x:v>
      </x:c>
      <x:c r="JC483" t="n">
        <x:f>IF(OR('Calculations'!HF483="",'Calculations'!HF483="!AMBIG"),0,IF('Dashboard'!$B$7="All",1,COUNTIFS('Calculations'!$HO$13:$HO$512,"="&amp;SUBSTITUTE(SUBSTITUTE(SUBSTITUTE('Calculations'!HF483,"~","~~"),"*","~*"),"?","~?"),'Calculations'!$HN$13:$HN$512,"="&amp;SUBSTITUTE(SUBSTITUTE(SUBSTITUTE('Dashboard'!$B$7,"~","~~"),"*","~*"),"?","~?"))+COUNTIFS('Calculations'!$HP$13:$HP$512,"="&amp;SUBSTITUTE(SUBSTITUTE(SUBSTITUTE('Calculations'!HF483,"~","~~"),"*","~*"),"?","~?"),'Calculations'!$HN$13:$HN$512,"="&amp;SUBSTITUTE(SUBSTITUTE(SUBSTITUTE('Dashboard'!$B$7,"~","~~"),"*","~*"),"?","~?"))+COUNTIFS('Calculations'!$HQ$13:$HQ$512,"="&amp;SUBSTITUTE(SUBSTITUTE(SUBSTITUTE('Calculations'!HF483,"~","~~"),"*","~*"),"?","~?"),'Calculations'!$HN$13:$HN$512,"="&amp;SUBSTITUTE(SUBSTITUTE(SUBSTITUTE('Dashboard'!$B$7,"~","~~"),"*","~*"),"?","~?"))+COUNTIFS('Calculations'!$HR$13:$HR$512,"="&amp;SUBSTITUTE(SUBSTITUTE(SUBSTITUTE('Calculations'!HF483,"~","~~"),"*","~*"),"?","~?"),'Calculations'!$HN$13:$HN$512,"="&amp;SUBSTITUTE(SUBSTITUTE(SUBSTITUTE('Dashboard'!$B$7,"~","~~"),"*","~*"),"?","~?"))+COUNTIFS('Calculations'!$HS$13:$HS$512,"="&amp;SUBSTITUTE(SUBSTITUTE(SUBSTITUTE('Calculations'!HF483,"~","~~"),"*","~*"),"?","~?"),'Calculations'!$HN$13:$HN$512,"="&amp;SUBSTITUTE(SUBSTITUTE(SUBSTITUTE('Dashboard'!$B$7,"~","~~"),"*","~*"),"?","~?"))+COUNTIFS('Calculations'!$HT$13:$HT$512,"="&amp;SUBSTITUTE(SUBSTITUTE(SUBSTITUTE('Calculations'!HF483,"~","~~"),"*","~*"),"?","~?"),'Calculations'!$HN$13:$HN$512,"="&amp;SUBSTITUTE(SUBSTITUTE(SUBSTITUTE('Dashboard'!$B$7,"~","~~"),"*","~*"),"?","~?"))+COUNTIFS('Calculations'!$HU$13:$HU$512,"="&amp;SUBSTITUTE(SUBSTITUTE(SUBSTITUTE('Calculations'!HF483,"~","~~"),"*","~*"),"?","~?"),'Calculations'!$HN$13:$HN$512,"="&amp;SUBSTITUTE(SUBSTITUTE(SUBSTITUTE('Dashboard'!$B$7,"~","~~"),"*","~*"),"?","~?"))+COUNTIFS('Calculations'!$HV$13:$HV$512,"="&amp;SUBSTITUTE(SUBSTITUTE(SUBSTITUTE('Calculations'!HF483,"~","~~"),"*","~*"),"?","~?"),'Calculations'!$HN$13:$HN$512,"="&amp;SUBSTITUTE(SUBSTITUTE(SUBSTITUTE('Dashboard'!$B$7,"~","~~"),"*","~*"),"?","~?"))+COUNTIFS('Calculations'!$HW$13:$HW$512,"="&amp;SUBSTITUTE(SUBSTITUTE(SUBSTITUTE('Calculations'!HF483,"~","~~"),"*","~*"),"?","~?"),'Calculations'!$HN$13:$HN$512,"="&amp;SUBSTITUTE(SUBSTITUTE(SUBSTITUTE('Dashboard'!$B$7,"~","~~"),"*","~*"),"?","~?"))+COUNTIFS('Calculations'!$HX$13:$HX$512,"="&amp;SUBSTITUTE(SUBSTITUTE(SUBSTITUTE('Calculations'!HF483,"~","~~"),"*","~*"),"?","~?"),'Calculations'!$HN$13:$HN$512,"="&amp;SUBSTITUTE(SUBSTITUTE(SUBSTITUTE('Dashboard'!$B$7,"~","~~"),"*","~*"),"?","~?"))+COUNTIFS('Calculations'!$HY$13:$HY$512,"="&amp;SUBSTITUTE(SUBSTITUTE(SUBSTITUTE('Calculations'!HF483,"~","~~"),"*","~*"),"?","~?"),'Calculations'!$HN$13:$HN$512,"="&amp;SUBSTITUTE(SUBSTITUTE(SUBSTITUTE('Dashboard'!$B$7,"~","~~"),"*","~*"),"?","~?"))+COUNTIFS('Calculations'!$HZ$13:$HZ$512,"="&amp;SUBSTITUTE(SUBSTITUTE(SUBSTITUTE('Calculations'!HF483,"~","~~"),"*","~*"),"?","~?"),'Calculations'!$HN$13:$HN$512,"="&amp;SUBSTITUTE(SUBSTITUTE(SUBSTITUTE('Dashboard'!$B$7,"~","~~"),"*","~*"),"?","~?"))+COUNTIFS('Calculations'!$IA$13:$IA$512,"="&amp;SUBSTITUTE(SUBSTITUTE(SUBSTITUTE('Calculations'!HF483,"~","~~"),"*","~*"),"?","~?"),'Calculations'!$HN$13:$HN$512,"="&amp;SUBSTITUTE(SUBSTITUTE(SUBSTITUTE('Dashboard'!$B$7,"~","~~"),"*","~*"),"?","~?"))+COUNTIFS('Calculations'!$IB$13:$IB$512,"="&amp;SUBSTITUTE(SUBSTITUTE(SUBSTITUTE('Calculations'!HF483,"~","~~"),"*","~*"),"?","~?"),'Calculations'!$HN$13:$HN$512,"="&amp;SUBSTITUTE(SUBSTITUTE(SUBSTITUTE('Dashboard'!$B$7,"~","~~"),"*","~*"),"?","~?"))+COUNTIFS('Calculations'!$IC$13:$IC$512,"="&amp;SUBSTITUTE(SUBSTITUTE(SUBSTITUTE('Calculations'!HF483,"~","~~"),"*","~*"),"?","~?"),'Calculations'!$HN$13:$HN$512,"="&amp;SUBSTITUTE(SUBSTITUTE(SUBSTITUTE('Dashboard'!$B$7,"~","~~"),"*","~*"),"?","~?"))+COUNTIFS('Calculations'!$ID$13:$ID$512,"="&amp;SUBSTITUTE(SUBSTITUTE(SUBSTITUTE('Calculations'!HF483,"~","~~"),"*","~*"),"?","~?"),'Calculations'!$HN$13:$HN$512,"="&amp;SUBSTITUTE(SUBSTITUTE(SUBSTITUTE('Dashboard'!$B$7,"~","~~"),"*","~*"),"?","~?"))+COUNTIFS('Calculations'!$IE$13:$IE$512,"="&amp;SUBSTITUTE(SUBSTITUTE(SUBSTITUTE('Calculations'!HF483,"~","~~"),"*","~*"),"?","~?"),'Calculations'!$HN$13:$HN$512,"="&amp;SUBSTITUTE(SUBSTITUTE(SUBSTITUTE('Dashboard'!$B$7,"~","~~"),"*","~*"),"?","~?"))+COUNTIFS('Calculations'!$IF$13:$IF$512,"="&amp;SUBSTITUTE(SUBSTITUTE(SUBSTITUTE('Calculations'!HF483,"~","~~"),"*","~*"),"?","~?"),'Calculations'!$HN$13:$HN$512,"="&amp;SUBSTITUTE(SUBSTITUTE(SUBSTITUTE('Dashboard'!$B$7,"~","~~"),"*","~*"),"?","~?"))+COUNTIFS('Calculations'!$IG$13:$IG$512,"="&amp;SUBSTITUTE(SUBSTITUTE(SUBSTITUTE('Calculations'!HF483,"~","~~"),"*","~*"),"?","~?"),'Calculations'!$HN$13:$HN$512,"="&amp;SUBSTITUTE(SUBSTITUTE(SUBSTITUTE('Dashboard'!$B$7,"~","~~"),"*","~*"),"?","~?"))+COUNTIFS('Calculations'!$IH$13:$IH$512,"="&amp;SUBSTITUTE(SUBSTITUTE(SUBSTITUTE('Calculations'!HF483,"~","~~"),"*","~*"),"?","~?"),'Calculations'!$HN$13:$HN$512,"="&amp;SUBSTITUTE(SUBSTITUTE(SUBSTITUTE('Dashboard'!$B$7,"~","~~"),"*","~*"),"?","~?"))))</x:f>
        <x:v>0</x:v>
      </x:c>
      <x:c r="JD483" t="n">
        <x:f>IF('Calculations'!EM483="",0,IF('Dashboard'!$B$7="All",1,IF('Calculations'!HN483='Dashboard'!$B$7,1,0)+IFERROR(INDEX('Calculations'!$JC$13:$JC$512,MATCH('Calculations'!HE483,'Calculations'!$HF$13:$HF$512,0)),0)))</x:f>
        <x:v>0</x:v>
      </x:c>
      <x:c r="JE483" t="n">
        <x:f>IF(AND('Calculations'!EM483&lt;&gt;"",'Calculations'!$JJ$2&lt;&gt;"All",'Calculations'!$JJ$2&lt;&gt;"",'Calculations'!HF483='Calculations'!$JJ$2,'Calculations'!HL483=0,'Calculations'!JD483&gt;0),MAX('Calculations'!$JE$12:JE482)+1,0)</x:f>
        <x:v>0</x:v>
      </x:c>
      <x:c r="JF483" t="str">
        <x:f>IF('Calculations'!EM483="","",IFERROR(IF(INDEX(INDIRECT("'WCM Calibration Final'!$G$1:$G$2000"),'Calculations'!$EM483)="","",TRIM(INDEX(INDIRECT("'WCM Calibration Final'!$G$1:$G$2000"),'Calculations'!$EM483)&amp;"")),""))</x:f>
      </x:c>
      <x:c r="JQ483" t="n">
        <x:f>IF(OR('Calculations'!BM483=0,NOT('Calculations'!$AG$2),'Calculations'!$AG$8&gt;0),0,IF(OR('Dashboard'!$B$7="All",'Calculations'!HN483='Dashboard'!$B$7),IF('Calculations'!$JJ$2="All",1,IF(AND('Calculations'!HF483='Calculations'!$JJ$2,'Calculations'!HL483=0),1,0)),0))</x:f>
        <x:v>0</x:v>
      </x:c>
    </x:row>
    <x:row r="484">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t="n">
        <x:f>IF('Calculations'!$EM484="",0,IF(OR(IFERROR(INDEX(INDIRECT("'WCM Calibration Final'!$A$1:$A$2000"),'Calculations'!$EM484)&lt;&gt;"",FALSE),IFERROR(INDEX(INDIRECT("'WCM Calibration Final'!$B$1:$B$2000"),'Calculations'!$EM484)&lt;&gt;"",FALSE),IFERROR(INDEX(INDIRECT("'WCM Calibration Final'!$C$1:$C$2000"),'Calculations'!$EM484)&lt;&gt;"",FALSE)),1,0))</x:f>
        <x:v>0</x:v>
      </x:c>
      <x:c r="BN484" s="4" t="n">
        <x:f>IF(AND('Calculations'!BM484=1,'Calculations'!$AG$2,'Calculations'!$EN484=1),1,0)</x:f>
        <x:v>0</x:v>
      </x:c>
      <x:c r="BO484" s="4" t="str">
        <x:f>IF('Calculations'!BM484=0,"",IFERROR(IF(AND(VALUE(INDEX(INDIRECT("'WCM Calibration Final'!$K$1:$K$2000"),'Calculations'!$EM484))&gt;=1,VALUE(INDEX(INDIRECT("'WCM Calibration Final'!$K$1:$K$2000"),'Calculations'!$EM484))&lt;=4,MOD(VALUE(INDEX(INDIRECT("'WCM Calibration Final'!$K$1:$K$2000"),'Calculations'!$EM484)),1)=0),VALUE(INDEX(INDIRECT("'WCM Calibration Final'!$K$1:$K$2000"),'Calculations'!$EM484)),""),""))</x:f>
      </x:c>
      <x:c r="BP484" s="4" t="str">
        <x:f>IF('Calculations'!BM484=0,"",IFERROR(IF(AND(VALUE(INDEX(INDIRECT("'WCM Calibration Final'!$L$1:$L$2000"),'Calculations'!$EM484))&gt;=1,VALUE(INDEX(INDIRECT("'WCM Calibration Final'!$L$1:$L$2000"),'Calculations'!$EM484))&lt;=4,MOD(VALUE(INDEX(INDIRECT("'WCM Calibration Final'!$L$1:$L$2000"),'Calculations'!$EM484)),1)=0),VALUE(INDEX(INDIRECT("'WCM Calibration Final'!$L$1:$L$2000"),'Calculations'!$EM484)),""),""))</x:f>
      </x:c>
      <x:c r="BQ484" s="4"/>
      <x:c r="BR484" s="4"/>
      <x:c r="BS484" s="4"/>
      <x:c r="BT484" s="4" t="n">
        <x:f>IF(AND('Calculations'!BM484=1,ISNUMBER('Calculations'!BO484),ISNUMBER('Calculations'!BP484)),1,0)</x:f>
        <x:v>0</x:v>
      </x:c>
      <x:c r="BU484" s="4" t="str">
        <x:f>IF('Calculations'!BM484=0,"",'Calculations'!$EO484)</x:f>
      </x:c>
      <x:c r="BV484" s="4" t="str">
        <x:f>IF('Calculations'!BM484=0,"",IFERROR(IF(OR(INDEX(INDIRECT("'WCM Calibration Final'!$H$1:$H$2000"),'Calculations'!$EM484)="MANAGING DIRECTOR",INDEX(INDIRECT("'WCM Calibration Final'!$H$1:$H$2000"),'Calculations'!$EM484)="DIRECTOR",INDEX(INDIRECT("'WCM Calibration Final'!$H$1:$H$2000"),'Calculations'!$EM484)="SENIOR VICE PRESIDENT",INDEX(INDIRECT("'WCM Calibration Final'!$H$1:$H$2000"),'Calculations'!$EM484)="VICE PRESIDENT",INDEX(INDIRECT("'WCM Calibration Final'!$H$1:$H$2000"),'Calculations'!$EM484)="ASSISTANT VICE PRESIDENT",INDEX(INDIRECT("'WCM Calibration Final'!$H$1:$H$2000"),'Calculations'!$EM484)="OFFICER"),UPPER(INDEX(INDIRECT("'WCM Calibration Final'!$H$1:$H$2000"),'Calculations'!$EM484)),"Other"),"Other"))</x:f>
      </x:c>
      <x:c r="BW484" s="4"/>
      <x:c r="BX484" s="4"/>
      <x:c r="BY484" s="4" t="n">
        <x:f>IF(AND('Calculations'!BM484=1,'Calculations'!BU484&lt;&gt;"",COUNTIF('Calculations'!$BU$12:BU484,'Calculations'!BU484)=1),MAX('Calculations'!$BY$11:BY483)+1,0)</x:f>
        <x:v>0</x:v>
      </x:c>
      <x:c r="BZ484" s="4" t="str">
        <x:f>IF('Dashboard'!$E$67="What",'Calculations'!BO484,'Calculations'!BP484)</x:f>
      </x:c>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t="str">
        <x:f>IF(473&gt;MAX('Calculations'!$HI$13:$HI$512),"",INDEX('Calculations'!$HN$13:$HN$512,MATCH(473,'Calculations'!$HI$13:$HI$512,0)))</x:f>
      </x:c>
      <x:c r="DB484" s="4" t="str">
        <x:f>IF(473&gt;MAX('Calculations'!$HH$13:$HH$512),"",INDEX('Calculations'!$HJ$13:$HJ$512,MATCH(473,'Calculations'!$HH$13:$HH$512,0)))</x:f>
      </x:c>
      <x:c r="DC484" s="4" t="str">
        <x:f>IF(ROW()-11&gt;MAX('Calculations'!$BY$13:$BY$512),"",INDEX('Calculations'!$BU$13:$BU$512,MATCH(ROW()-11,'Calculations'!$BY$13:$BY$512,0)))</x:f>
      </x:c>
      <x:c r="DD484" s="4" t="str">
        <x:f>IF(473&gt;MAX('Calculations'!$IK$13:$IK$512),"",INDEX('Calculations'!$HK$13:$HK$512,MATCH(473,'Calculations'!$IK$13:$IK$512,0)))</x:f>
      </x:c>
      <x:c r="DE484" s="4" t="str">
        <x:f>'Calculations'!DC484</x:f>
      </x:c>
      <x:c r="DF484" s="4" t="str">
        <x:f>IF('Calculations'!DE484="","",COUNTIFS('Calculations'!$BN$13:$BN$512,1,'Calculations'!$BU$13:$BU$512,'Calculations'!DE484))</x:f>
      </x:c>
      <x:c r="DG484" s="4" t="str">
        <x:f>IF('Calculations'!DE484="","",COUNTIFS('Calculations'!$BN$13:$BN$512,1,'Calculations'!$BU$13:$BU$512,'Calculations'!DE484,'Calculations'!$BT$13:$BT$512,1))</x:f>
      </x:c>
      <x:c r="DH484" s="4" t="str">
        <x:f>IF('Calculations'!DE484="","",'Calculations'!DF484-'Calculations'!DG484)</x:f>
      </x:c>
      <x:c r="DI484" s="4" t="str">
        <x:f>IF(OR('Calculations'!DE484="",'Calculations'!DF484=0),"",'Calculations'!DG484/'Calculations'!DF484)</x:f>
      </x:c>
      <x:c r="DJ484" s="4" t="str">
        <x:f>IF('Calculations'!DE484="","",COUNTIFS('Calculations'!$BN$13:$BN$512,1,'Calculations'!$BU$13:$BU$512,'Calculations'!DE484,'Calculations'!$BT$13:$BT$512,1,'Calculations'!$EE$13:$EE$512,"High"))</x:f>
      </x:c>
      <x:c r="DK484" s="4" t="str">
        <x:f>IF('Calculations'!DE484="","",COUNTIFS('Calculations'!$BN$13:$BN$512,1,'Calculations'!$BU$13:$BU$512,'Calculations'!DE484,'Calculations'!$BT$13:$BT$512,1,'Calculations'!$EE$13:$EE$512,"Strong"))</x:f>
      </x:c>
      <x:c r="DL484" s="4" t="str">
        <x:f>IF('Calculations'!DE484="","",COUNTIFS('Calculations'!$BN$13:$BN$512,1,'Calculations'!$BU$13:$BU$512,'Calculations'!DE484,'Calculations'!$BT$13:$BT$512,1,'Calculations'!$EE$13:$EE$512,"Solid"))</x:f>
      </x:c>
      <x:c r="DM484" s="4" t="str">
        <x:f>IF('Calculations'!DE484="","",COUNTIFS('Calculations'!$BN$13:$BN$512,1,'Calculations'!$BU$13:$BU$512,'Calculations'!DE484,'Calculations'!$BT$13:$BT$512,1,'Calculations'!$EE$13:$EE$512,"Low"))</x:f>
      </x:c>
      <x:c r="DN484" s="4" t="str">
        <x:f>IF('Calculations'!DE484="","",COUNTIFS('Calculations'!$BN$13:$BN$512,1,'Calculations'!$BU$13:$BU$512,'Calculations'!DE484,'Calculations'!$EP$13:$EP$512,1))</x:f>
      </x:c>
      <x:c r="DO484" s="4" t="str">
        <x:f>IF(OR('Calculations'!DE484="",'Calculations'!DG484=0),"",('Calculations'!DJ484+'Calculations'!DK484)/'Calculations'!DG484)</x:f>
      </x:c>
      <x:c r="DP484" s="4" t="n">
        <x:f>IF(AND('Calculations'!DE484&lt;&gt;"",'Calculations'!DF484&gt;0),COUNTIF('Calculations'!$DF$12:DF484,"&gt;0"),0)</x:f>
        <x:v>0</x:v>
      </x:c>
      <x:c r="DQ484" s="4" t="str">
        <x:f>IF(473&gt;MAX('Calculations'!$HH$13:$HH$512),"",INDEX('Calculations'!$HF$13:$HF$512,MATCH(473,'Calculations'!$HH$13:$HH$512,0)))</x:f>
      </x:c>
      <x:c r="DR484" s="4" t="str">
        <x:f>IF(473&gt;MAX('Calculations'!$IK$13:$IK$512),"",INDEX('Calculations'!$HE$13:$HE$512,MATCH(473,'Calculations'!$IK$13:$IK$512,0)))</x:f>
      </x:c>
      <x:c r="DS484" s="4"/>
      <x:c r="DT484" s="4"/>
      <x:c r="DU484" s="4"/>
      <x:c r="DV484" s="4"/>
      <x:c r="DW484" s="4"/>
      <x:c r="DX484" s="4"/>
      <x:c r="DY484" s="4"/>
      <x:c r="DZ484" s="4"/>
      <x:c r="EA484" s="4"/>
      <x:c r="EB484" s="4"/>
      <x:c r="EC484" s="4"/>
      <x:c r="ED484" s="4"/>
      <x:c r="EE484" s="4" t="str">
        <x:f>IF('Calculations'!BT484=0,"Not Rated",IF(OR('Calculations'!BO484&gt;=4,'Calculations'!BP484&gt;=4),"Low",IF('Calculations'!BO484+'Calculations'!BP484&lt;=3,"High",IF('Calculations'!BO484+'Calculations'!BP484&lt;=4,"Strong","Solid"))))</x:f>
        <x:v>Not Rated</x:v>
      </x:c>
      <x:c r="EF484" s="4"/>
      <x:c r="EG484" s="4"/>
      <x:c r="EH484" s="4"/>
      <x:c r="EI484" s="4"/>
      <x:c r="EJ484" s="4"/>
      <x:c r="EK484" s="4"/>
      <x:c r="EL484" s="4"/>
      <x:c r="EM484" s="4" t="str">
        <x:f>IF(472&gt;'Calculations'!$JB$2000,"",INDEX('Calculations'!$JA$12:$JA$2000,MATCH(472,'Calculations'!$JB$12:$JB$2000,0)))</x:f>
      </x:c>
      <x:c r="EN484" s="4" t="n">
        <x:f>IF(OR('Calculations'!EM484="",'Calculations'!$AG$8&gt;0,AND('Calculations'!$EF$2&lt;&gt;"All",'Calculations'!HE484='Calculations'!$EF$2),AND('Calculations'!$EF$3&lt;&gt;"All",'Calculations'!HE484='Calculations'!$EF$3)),0,IF(OR('Dashboard'!$B$7="All",'Calculations'!HN484='Dashboard'!$B$7),IF('Calculations'!$EF$2="All",1,IF('Calculations'!HL484&gt;0,0,IF(COUNTIF('Calculations'!HO484:II484,"="&amp;SUBSTITUTE(SUBSTITUTE(SUBSTITUTE('Calculations'!$EF$2,"~","~~"),"*","~*"),"?","~?"))=0,0,IF('Calculations'!$EF$3="All",1,IF(COUNTIF('Calculations'!HO484:II484,"="&amp;SUBSTITUTE(SUBSTITUTE(SUBSTITUTE('Calculations'!$EF$3,"~","~~"),"*","~*"),"?","~?"))&gt;0,1,0))))),0))</x:f>
        <x:v>0</x:v>
      </x:c>
      <x:c r="EO484" s="4" t="str">
        <x:f>IF('Calculations'!IJ484="","",IF('Calculations'!IJ484="!UNRESOLVED","Unresolved hierarchy",IFERROR(INDEX('Calculations'!$HK$13:$HK$512,MATCH('Calculations'!IJ484,'Calculations'!$HE$13:$HE$512,0)),IFERROR(INDEX('Calculations'!$HJ$13:$HJ$512,MATCH('Calculations'!IJ484,'Calculations'!$HF$13:$HF$512,0)),'Calculations'!IJ484))))</x:f>
      </x:c>
      <x:c r="EP484" s="4" t="n">
        <x:f>IF(AND('Calculations'!EM484&lt;&gt;"",'Calculations'!HF484='Calculations'!IJ484),1,0)</x:f>
        <x:v>0</x:v>
      </x:c>
      <x:c r="EQ484" s="4"/>
      <x:c r="ER484" s="4"/>
      <x:c r="ES484" s="4"/>
      <x:c r="ET484" s="4"/>
      <x:c r="EU484" s="4"/>
      <x:c r="EV484" s="4"/>
      <x:c r="EW484" s="4"/>
      <x:c r="EX484" s="4"/>
      <x:c r="EY484" s="4"/>
      <x:c r="EZ484" s="4"/>
      <x:c r="FA484" s="4"/>
      <x:c r="FB484" s="4"/>
      <x:c r="FC484" s="4"/>
      <x:c r="FD484" s="4"/>
      <x:c r="FE484" s="4"/>
      <x:c r="FF484" s="4"/>
      <x:c r="FG484" s="4"/>
      <x:c r="FH484" s="4"/>
      <x:c r="FI484" s="4"/>
      <x:c r="FJ484" s="4"/>
      <x:c r="FK484" s="4"/>
      <x:c r="FL484" s="4"/>
      <x:c r="FM484" s="4"/>
      <x:c r="FN484" s="4"/>
      <x:c r="FO484" s="4"/>
      <x:c r="HE484" t="str">
        <x:f>IF('Calculations'!EM484="","",IF(IFERROR(IF(INDEX(INDIRECT("'WCM Calibration Final'!$A$1:$A$2000"),'Calculations'!$EM484)="","",TRIM(INDEX(INDIRECT("'WCM Calibration Final'!$A$1:$A$2000"),'Calculations'!$EM484)&amp;"")),"")&lt;&gt;"","G:"&amp;IFERROR(TEXT(1*INDEX(INDIRECT("'WCM Calibration Final'!$A$1:$A$2000"),'Calculations'!$EM484),"0"),UPPER(IFERROR(IF(INDEX(INDIRECT("'WCM Calibration Final'!$A$1:$A$2000"),'Calculations'!$EM484)="","",TRIM(INDEX(INDIRECT("'WCM Calibration Final'!$A$1:$A$2000"),'Calculations'!$EM484)&amp;"")),""))),IF(IFERROR(IF(INDEX(INDIRECT("'WCM Calibration Final'!$C$1:$C$2000"),'Calculations'!$EM484)="","",TRIM(INDEX(INDIRECT("'WCM Calibration Final'!$C$1:$C$2000"),'Calculations'!$EM484)&amp;"")),"")&lt;&gt;"","S:"&amp;UPPER(IFERROR(IF(INDEX(INDIRECT("'WCM Calibration Final'!$C$1:$C$2000"),'Calculations'!$EM484)="","",TRIM(INDEX(INDIRECT("'WCM Calibration Final'!$C$1:$C$2000"),'Calculations'!$EM484)&amp;"")),"")),"R:"&amp;'Calculations'!EM484)))</x:f>
      </x:c>
      <x:c r="HF484" t="str">
        <x:f>IF('Calculations'!EM484="","",IF(IFERROR(IF(INDEX(INDIRECT("'WCM Calibration Final'!$D$1:$D$2000"),'Calculations'!$EM484)="","",TRIM(INDEX(INDIRECT("'WCM Calibration Final'!$D$1:$D$2000"),'Calculations'!$EM484)&amp;"")),"")&lt;&gt;"","G:"&amp;IFERROR(TEXT(1*INDEX(INDIRECT("'WCM Calibration Final'!$D$1:$D$2000"),'Calculations'!$EM484),"0"),UPPER(IFERROR(IF(INDEX(INDIRECT("'WCM Calibration Final'!$D$1:$D$2000"),'Calculations'!$EM484)="","",TRIM(INDEX(INDIRECT("'WCM Calibration Final'!$D$1:$D$2000"),'Calculations'!$EM484)&amp;"")),""))),IF(IFERROR(IF(INDEX(INDIRECT("'WCM Calibration Final'!$E$1:$E$2000"),'Calculations'!$EM484)="","",TRIM(INDEX(INDIRECT("'WCM Calibration Final'!$E$1:$E$2000"),'Calculations'!$EM484)&amp;"")),"")="","",IF(COUNTIF('Calculations'!$HG$13:$HG$512,"="&amp;SUBSTITUTE(SUBSTITUTE(SUBSTITUTE(IFERROR(IF(INDEX(INDIRECT("'WCM Calibration Final'!$E$1:$E$2000"),'Calculations'!$EM484)="","",TRIM(INDEX(INDIRECT("'WCM Calibration Final'!$E$1:$E$2000"),'Calculations'!$EM484)&amp;"")),""),"~","~~"),"*","~*"),"?","~?"))=1,INDEX('Calculations'!$HE$13:$HE$512,MATCH(IFERROR(IF(INDEX(INDIRECT("'WCM Calibration Final'!$E$1:$E$2000"),'Calculations'!$EM484)="","",TRIM(INDEX(INDIRECT("'WCM Calibration Final'!$E$1:$E$2000"),'Calculations'!$EM484)&amp;"")),""),'Calculations'!$HG$13:$HG$512,0)),IF(COUNTIF('Calculations'!$HG$13:$HG$512,"="&amp;SUBSTITUTE(SUBSTITUTE(SUBSTITUTE(IFERROR(IF(INDEX(INDIRECT("'WCM Calibration Final'!$E$1:$E$2000"),'Calculations'!$EM484)="","",TRIM(INDEX(INDIRECT("'WCM Calibration Final'!$E$1:$E$2000"),'Calculations'!$EM484)&amp;"")),""),"~","~~"),"*","~*"),"?","~?"))&gt;1,"!AMBIG","X:"&amp;IFERROR(IF(INDEX(INDIRECT("'WCM Calibration Final'!$E$1:$E$2000"),'Calculations'!$EM484)="","",TRIM(INDEX(INDIRECT("'WCM Calibration Final'!$E$1:$E$2000"),'Calculations'!$EM484)&amp;"")),""))))))</x:f>
      </x:c>
      <x:c r="HG484" t="str">
        <x:f>IF('Calculations'!EM484="","",IFERROR(IF(INDEX(INDIRECT("'WCM Calibration Final'!$B$1:$B$2000"),'Calculations'!$EM484)="","",TRIM(INDEX(INDIRECT("'WCM Calibration Final'!$B$1:$B$2000"),'Calculations'!$EM484)&amp;"")),""))</x:f>
      </x:c>
      <x:c r="HH484" t="n">
        <x:f>IF(AND('Calculations'!JC484&gt;0,COUNTIF('Calculations'!$HF$12:HF484,"="&amp;SUBSTITUTE(SUBSTITUTE(SUBSTITUTE('Calculations'!HF484,"~","~~"),"*","~*"),"?","~?"))=1),MAX('Calculations'!$HH$12:HH483)+1,0)</x:f>
        <x:v>0</x:v>
      </x:c>
      <x:c r="HI484" t="n">
        <x:f>IF(AND('Calculations'!HN484&lt;&gt;"",COUNTIF('Calculations'!$HN$12:HN484,"="&amp;SUBSTITUTE(SUBSTITUTE(SUBSTITUTE('Calculations'!HN484,"~","~~"),"*","~*"),"?","~?"))=1),MAX('Calculations'!$HI$12:HI483)+1,0)</x:f>
        <x:v>0</x:v>
      </x:c>
      <x:c r="HJ484" t="str">
        <x:f>IF('Calculations'!HF484="","",IF(COUNTIF('Calculations'!$HE$13:$HE$512,"="&amp;SUBSTITUTE(SUBSTITUTE(SUBSTITUTE('Calculations'!HF484,"~","~~"),"*","~*"),"?","~?"))=1,INDEX('Calculations'!$HK$13:$HK$512,MATCH('Calculations'!HF484,'Calculations'!$HE$13:$HE$512,0)),IFERROR(IF(INDEX(INDIRECT("'WCM Calibration Final'!$E$1:$E$2000"),'Calculations'!$EM484)="","",TRIM(INDEX(INDIRECT("'WCM Calibration Final'!$E$1:$E$2000"),'Calculations'!$EM484)&amp;"")),"")&amp;" ["&amp;'Calculations'!HF484&amp;"]"))</x:f>
      </x:c>
      <x:c r="HK484" t="str">
        <x:f>IF('Calculations'!EM484="","",'Calculations'!HG484&amp;" ["&amp;'Calculations'!HE484&amp;"]")</x:f>
      </x:c>
      <x:c r="HL484" t="n">
        <x:f>IF('Calculations'!EM484="",0,IF(OR('Calculations'!II484&lt;&gt;"",COUNTIF('Calculations'!$HE$13:$HE$512,"="&amp;SUBSTITUTE(SUBSTITUTE(SUBSTITUTE('Calculations'!HE484,"~","~~"),"*","~*"),"?","~?"))&gt;1),1,0))</x:f>
        <x:v>0</x:v>
      </x:c>
      <x:c r="HM484" t="str">
        <x:f>IF('Calculations'!EM484="","",IF('Calculations'!HL484=1,"!UNRESOLVED",IF('Calculations'!IH484&lt;&gt;"",'Calculations'!IH484,IF('Calculations'!IG484&lt;&gt;"",'Calculations'!IG484,IF('Calculations'!IF484&lt;&gt;"",'Calculations'!IF484,IF('Calculations'!IE484&lt;&gt;"",'Calculations'!IE484,IF('Calculations'!ID484&lt;&gt;"",'Calculations'!ID484,IF('Calculations'!IC484&lt;&gt;"",'Calculations'!IC484,IF('Calculations'!IB484&lt;&gt;"",'Calculations'!IB484,IF('Calculations'!IA484&lt;&gt;"",'Calculations'!IA484,IF('Calculations'!HZ484&lt;&gt;"",'Calculations'!HZ484,IF('Calculations'!HY484&lt;&gt;"",'Calculations'!HY484,IF('Calculations'!HX484&lt;&gt;"",'Calculations'!HX484,IF('Calculations'!HW484&lt;&gt;"",'Calculations'!HW484,IF('Calculations'!HV484&lt;&gt;"",'Calculations'!HV484,IF('Calculations'!HU484&lt;&gt;"",'Calculations'!HU484,IF('Calculations'!HT484&lt;&gt;"",'Calculations'!HT484,IF('Calculations'!HS484&lt;&gt;"",'Calculations'!HS484,IF('Calculations'!HR484&lt;&gt;"",'Calculations'!HR484,IF('Calculations'!HQ484&lt;&gt;"",'Calculations'!HQ484,IF('Calculations'!HP484&lt;&gt;"",'Calculations'!HP484,IF('Calculations'!HO484&lt;&gt;"",'Calculations'!HO484,'Calculations'!HE484))))))))))))))))))))))</x:f>
      </x:c>
      <x:c r="HN484" t="str">
        <x:f>IF('Calculations'!EM484="","",IF(IFERROR(IF(INDEX(INDIRECT("'WCM Calibration Final'!$F$1:$F$2000"),'Calculations'!$EM484)="","",TRIM(INDEX(INDIRECT("'WCM Calibration Final'!$F$1:$F$2000"),'Calculations'!$EM484)&amp;"")),"")="","(Blank)",IFERROR(IF(INDEX(INDIRECT("'WCM Calibration Final'!$F$1:$F$2000"),'Calculations'!$EM484)="","",TRIM(INDEX(INDIRECT("'WCM Calibration Final'!$F$1:$F$2000"),'Calculations'!$EM484)&amp;"")),"")))</x:f>
      </x:c>
      <x:c r="HO484" t="str">
        <x:f>'Calculations'!HF484</x:f>
      </x:c>
      <x:c r="HP484" t="str">
        <x:f>IF('Calculations'!HO484="","",IF('Calculations'!HO484="!AMBIG","!AMBIG",IF(COUNTIF('Calculations'!$HE$13:$HE$512,"="&amp;SUBSTITUTE(SUBSTITUTE(SUBSTITUTE('Calculations'!HO484,"~","~~"),"*","~*"),"?","~?"))&gt;1,"!AMBIG",IFERROR(INDEX('Calculations'!$HF$13:$HF$512,MATCH('Calculations'!HO484,'Calculations'!$HE$13:$HE$512,0)),""))))</x:f>
      </x:c>
      <x:c r="HQ484" t="str">
        <x:f>IF('Calculations'!HP484="","",IF('Calculations'!HP484="!AMBIG","!AMBIG",IF(COUNTIF('Calculations'!$HE$13:$HE$512,"="&amp;SUBSTITUTE(SUBSTITUTE(SUBSTITUTE('Calculations'!HP484,"~","~~"),"*","~*"),"?","~?"))&gt;1,"!AMBIG",IFERROR(INDEX('Calculations'!$HF$13:$HF$512,MATCH('Calculations'!HP484,'Calculations'!$HE$13:$HE$512,0)),""))))</x:f>
      </x:c>
      <x:c r="HR484" t="str">
        <x:f>IF('Calculations'!HQ484="","",IF('Calculations'!HQ484="!AMBIG","!AMBIG",IF(COUNTIF('Calculations'!$HE$13:$HE$512,"="&amp;SUBSTITUTE(SUBSTITUTE(SUBSTITUTE('Calculations'!HQ484,"~","~~"),"*","~*"),"?","~?"))&gt;1,"!AMBIG",IFERROR(INDEX('Calculations'!$HF$13:$HF$512,MATCH('Calculations'!HQ484,'Calculations'!$HE$13:$HE$512,0)),""))))</x:f>
      </x:c>
      <x:c r="HS484" t="str">
        <x:f>IF('Calculations'!HR484="","",IF('Calculations'!HR484="!AMBIG","!AMBIG",IF(COUNTIF('Calculations'!$HE$13:$HE$512,"="&amp;SUBSTITUTE(SUBSTITUTE(SUBSTITUTE('Calculations'!HR484,"~","~~"),"*","~*"),"?","~?"))&gt;1,"!AMBIG",IFERROR(INDEX('Calculations'!$HF$13:$HF$512,MATCH('Calculations'!HR484,'Calculations'!$HE$13:$HE$512,0)),""))))</x:f>
      </x:c>
      <x:c r="HT484" t="str">
        <x:f>IF('Calculations'!HS484="","",IF('Calculations'!HS484="!AMBIG","!AMBIG",IF(COUNTIF('Calculations'!$HE$13:$HE$512,"="&amp;SUBSTITUTE(SUBSTITUTE(SUBSTITUTE('Calculations'!HS484,"~","~~"),"*","~*"),"?","~?"))&gt;1,"!AMBIG",IFERROR(INDEX('Calculations'!$HF$13:$HF$512,MATCH('Calculations'!HS484,'Calculations'!$HE$13:$HE$512,0)),""))))</x:f>
      </x:c>
      <x:c r="HU484" t="str">
        <x:f>IF('Calculations'!HT484="","",IF('Calculations'!HT484="!AMBIG","!AMBIG",IF(COUNTIF('Calculations'!$HE$13:$HE$512,"="&amp;SUBSTITUTE(SUBSTITUTE(SUBSTITUTE('Calculations'!HT484,"~","~~"),"*","~*"),"?","~?"))&gt;1,"!AMBIG",IFERROR(INDEX('Calculations'!$HF$13:$HF$512,MATCH('Calculations'!HT484,'Calculations'!$HE$13:$HE$512,0)),""))))</x:f>
      </x:c>
      <x:c r="HV484" t="str">
        <x:f>IF('Calculations'!HU484="","",IF('Calculations'!HU484="!AMBIG","!AMBIG",IF(COUNTIF('Calculations'!$HE$13:$HE$512,"="&amp;SUBSTITUTE(SUBSTITUTE(SUBSTITUTE('Calculations'!HU484,"~","~~"),"*","~*"),"?","~?"))&gt;1,"!AMBIG",IFERROR(INDEX('Calculations'!$HF$13:$HF$512,MATCH('Calculations'!HU484,'Calculations'!$HE$13:$HE$512,0)),""))))</x:f>
      </x:c>
      <x:c r="HW484" t="str">
        <x:f>IF('Calculations'!HV484="","",IF('Calculations'!HV484="!AMBIG","!AMBIG",IF(COUNTIF('Calculations'!$HE$13:$HE$512,"="&amp;SUBSTITUTE(SUBSTITUTE(SUBSTITUTE('Calculations'!HV484,"~","~~"),"*","~*"),"?","~?"))&gt;1,"!AMBIG",IFERROR(INDEX('Calculations'!$HF$13:$HF$512,MATCH('Calculations'!HV484,'Calculations'!$HE$13:$HE$512,0)),""))))</x:f>
      </x:c>
      <x:c r="HX484" t="str">
        <x:f>IF('Calculations'!HW484="","",IF('Calculations'!HW484="!AMBIG","!AMBIG",IF(COUNTIF('Calculations'!$HE$13:$HE$512,"="&amp;SUBSTITUTE(SUBSTITUTE(SUBSTITUTE('Calculations'!HW484,"~","~~"),"*","~*"),"?","~?"))&gt;1,"!AMBIG",IFERROR(INDEX('Calculations'!$HF$13:$HF$512,MATCH('Calculations'!HW484,'Calculations'!$HE$13:$HE$512,0)),""))))</x:f>
      </x:c>
      <x:c r="HY484" t="str">
        <x:f>IF('Calculations'!HX484="","",IF('Calculations'!HX484="!AMBIG","!AMBIG",IF(COUNTIF('Calculations'!$HE$13:$HE$512,"="&amp;SUBSTITUTE(SUBSTITUTE(SUBSTITUTE('Calculations'!HX484,"~","~~"),"*","~*"),"?","~?"))&gt;1,"!AMBIG",IFERROR(INDEX('Calculations'!$HF$13:$HF$512,MATCH('Calculations'!HX484,'Calculations'!$HE$13:$HE$512,0)),""))))</x:f>
      </x:c>
      <x:c r="HZ484" t="str">
        <x:f>IF('Calculations'!HY484="","",IF('Calculations'!HY484="!AMBIG","!AMBIG",IF(COUNTIF('Calculations'!$HE$13:$HE$512,"="&amp;SUBSTITUTE(SUBSTITUTE(SUBSTITUTE('Calculations'!HY484,"~","~~"),"*","~*"),"?","~?"))&gt;1,"!AMBIG",IFERROR(INDEX('Calculations'!$HF$13:$HF$512,MATCH('Calculations'!HY484,'Calculations'!$HE$13:$HE$512,0)),""))))</x:f>
      </x:c>
      <x:c r="IA484" t="str">
        <x:f>IF('Calculations'!HZ484="","",IF('Calculations'!HZ484="!AMBIG","!AMBIG",IF(COUNTIF('Calculations'!$HE$13:$HE$512,"="&amp;SUBSTITUTE(SUBSTITUTE(SUBSTITUTE('Calculations'!HZ484,"~","~~"),"*","~*"),"?","~?"))&gt;1,"!AMBIG",IFERROR(INDEX('Calculations'!$HF$13:$HF$512,MATCH('Calculations'!HZ484,'Calculations'!$HE$13:$HE$512,0)),""))))</x:f>
      </x:c>
      <x:c r="IB484" t="str">
        <x:f>IF('Calculations'!IA484="","",IF('Calculations'!IA484="!AMBIG","!AMBIG",IF(COUNTIF('Calculations'!$HE$13:$HE$512,"="&amp;SUBSTITUTE(SUBSTITUTE(SUBSTITUTE('Calculations'!IA484,"~","~~"),"*","~*"),"?","~?"))&gt;1,"!AMBIG",IFERROR(INDEX('Calculations'!$HF$13:$HF$512,MATCH('Calculations'!IA484,'Calculations'!$HE$13:$HE$512,0)),""))))</x:f>
      </x:c>
      <x:c r="IC484" t="str">
        <x:f>IF('Calculations'!IB484="","",IF('Calculations'!IB484="!AMBIG","!AMBIG",IF(COUNTIF('Calculations'!$HE$13:$HE$512,"="&amp;SUBSTITUTE(SUBSTITUTE(SUBSTITUTE('Calculations'!IB484,"~","~~"),"*","~*"),"?","~?"))&gt;1,"!AMBIG",IFERROR(INDEX('Calculations'!$HF$13:$HF$512,MATCH('Calculations'!IB484,'Calculations'!$HE$13:$HE$512,0)),""))))</x:f>
      </x:c>
      <x:c r="ID484" t="str">
        <x:f>IF('Calculations'!IC484="","",IF('Calculations'!IC484="!AMBIG","!AMBIG",IF(COUNTIF('Calculations'!$HE$13:$HE$512,"="&amp;SUBSTITUTE(SUBSTITUTE(SUBSTITUTE('Calculations'!IC484,"~","~~"),"*","~*"),"?","~?"))&gt;1,"!AMBIG",IFERROR(INDEX('Calculations'!$HF$13:$HF$512,MATCH('Calculations'!IC484,'Calculations'!$HE$13:$HE$512,0)),""))))</x:f>
      </x:c>
      <x:c r="IE484" t="str">
        <x:f>IF('Calculations'!ID484="","",IF('Calculations'!ID484="!AMBIG","!AMBIG",IF(COUNTIF('Calculations'!$HE$13:$HE$512,"="&amp;SUBSTITUTE(SUBSTITUTE(SUBSTITUTE('Calculations'!ID484,"~","~~"),"*","~*"),"?","~?"))&gt;1,"!AMBIG",IFERROR(INDEX('Calculations'!$HF$13:$HF$512,MATCH('Calculations'!ID484,'Calculations'!$HE$13:$HE$512,0)),""))))</x:f>
      </x:c>
      <x:c r="IF484" t="str">
        <x:f>IF('Calculations'!IE484="","",IF('Calculations'!IE484="!AMBIG","!AMBIG",IF(COUNTIF('Calculations'!$HE$13:$HE$512,"="&amp;SUBSTITUTE(SUBSTITUTE(SUBSTITUTE('Calculations'!IE484,"~","~~"),"*","~*"),"?","~?"))&gt;1,"!AMBIG",IFERROR(INDEX('Calculations'!$HF$13:$HF$512,MATCH('Calculations'!IE484,'Calculations'!$HE$13:$HE$512,0)),""))))</x:f>
      </x:c>
      <x:c r="IG484" t="str">
        <x:f>IF('Calculations'!IF484="","",IF('Calculations'!IF484="!AMBIG","!AMBIG",IF(COUNTIF('Calculations'!$HE$13:$HE$512,"="&amp;SUBSTITUTE(SUBSTITUTE(SUBSTITUTE('Calculations'!IF484,"~","~~"),"*","~*"),"?","~?"))&gt;1,"!AMBIG",IFERROR(INDEX('Calculations'!$HF$13:$HF$512,MATCH('Calculations'!IF484,'Calculations'!$HE$13:$HE$512,0)),""))))</x:f>
      </x:c>
      <x:c r="IH484" t="str">
        <x:f>IF('Calculations'!IG484="","",IF('Calculations'!IG484="!AMBIG","!AMBIG",IF(COUNTIF('Calculations'!$HE$13:$HE$512,"="&amp;SUBSTITUTE(SUBSTITUTE(SUBSTITUTE('Calculations'!IG484,"~","~~"),"*","~*"),"?","~?"))&gt;1,"!AMBIG",IFERROR(INDEX('Calculations'!$HF$13:$HF$512,MATCH('Calculations'!IG484,'Calculations'!$HE$13:$HE$512,0)),""))))</x:f>
      </x:c>
      <x:c r="II484" t="str">
        <x:f>IF('Calculations'!IH484="","",IF('Calculations'!IH484="!AMBIG","!AMBIG",IF(COUNTIF('Calculations'!$HE$13:$HE$512,"="&amp;SUBSTITUTE(SUBSTITUTE(SUBSTITUTE('Calculations'!IH484,"~","~~"),"*","~*"),"?","~?"))&gt;1,"!AMBIG",IFERROR(INDEX('Calculations'!$HF$13:$HF$512,MATCH('Calculations'!IH484,'Calculations'!$HE$13:$HE$512,0)),""))))</x:f>
      </x:c>
      <x:c r="IJ484" t="str">
        <x:f>IF('Calculations'!EM484="","",IF('Calculations'!$EF$2="All",'Calculations'!HM484,IF('Calculations'!HL484=1,"",IFERROR(IF(MATCH('Calculations'!$EF$2,'Calculations'!HO484:II484,0)=1,'Calculations'!HE484,INDEX('Calculations'!HO484:II484,1,MATCH('Calculations'!$EF$2,'Calculations'!HO484:II484,0)-1)),""))))</x:f>
      </x:c>
      <x:c r="IK484" t="n">
        <x:f>IF(AND('Calculations'!EM484&lt;&gt;"",'Calculations'!$EF$2&lt;&gt;"All",'Calculations'!HF484='Calculations'!$EF$2,'Calculations'!HL484=0,'Calculations'!JD484&gt;0),MAX('Calculations'!$IK$12:IK483)+1,0)</x:f>
        <x:v>0</x:v>
      </x:c>
      <x:c r="JA484" t="n">
        <x:f>IF(OR(IFERROR(INDIRECT("'WCM Calibration Final'!$A$484")&lt;&gt;"",FALSE),IFERROR(INDIRECT("'WCM Calibration Final'!$B$484")&lt;&gt;"",FALSE),IFERROR(INDIRECT("'WCM Calibration Final'!$C$484")&lt;&gt;"",FALSE)),484,0)</x:f>
        <x:v>0</x:v>
      </x:c>
      <x:c r="JB484" t="n">
        <x:f>'Calculations'!JB483+IF('Calculations'!JA484&gt;0,1,0)</x:f>
        <x:v>0</x:v>
      </x:c>
      <x:c r="JC484" t="n">
        <x:f>IF(OR('Calculations'!HF484="",'Calculations'!HF484="!AMBIG"),0,IF('Dashboard'!$B$7="All",1,COUNTIFS('Calculations'!$HO$13:$HO$512,"="&amp;SUBSTITUTE(SUBSTITUTE(SUBSTITUTE('Calculations'!HF484,"~","~~"),"*","~*"),"?","~?"),'Calculations'!$HN$13:$HN$512,"="&amp;SUBSTITUTE(SUBSTITUTE(SUBSTITUTE('Dashboard'!$B$7,"~","~~"),"*","~*"),"?","~?"))+COUNTIFS('Calculations'!$HP$13:$HP$512,"="&amp;SUBSTITUTE(SUBSTITUTE(SUBSTITUTE('Calculations'!HF484,"~","~~"),"*","~*"),"?","~?"),'Calculations'!$HN$13:$HN$512,"="&amp;SUBSTITUTE(SUBSTITUTE(SUBSTITUTE('Dashboard'!$B$7,"~","~~"),"*","~*"),"?","~?"))+COUNTIFS('Calculations'!$HQ$13:$HQ$512,"="&amp;SUBSTITUTE(SUBSTITUTE(SUBSTITUTE('Calculations'!HF484,"~","~~"),"*","~*"),"?","~?"),'Calculations'!$HN$13:$HN$512,"="&amp;SUBSTITUTE(SUBSTITUTE(SUBSTITUTE('Dashboard'!$B$7,"~","~~"),"*","~*"),"?","~?"))+COUNTIFS('Calculations'!$HR$13:$HR$512,"="&amp;SUBSTITUTE(SUBSTITUTE(SUBSTITUTE('Calculations'!HF484,"~","~~"),"*","~*"),"?","~?"),'Calculations'!$HN$13:$HN$512,"="&amp;SUBSTITUTE(SUBSTITUTE(SUBSTITUTE('Dashboard'!$B$7,"~","~~"),"*","~*"),"?","~?"))+COUNTIFS('Calculations'!$HS$13:$HS$512,"="&amp;SUBSTITUTE(SUBSTITUTE(SUBSTITUTE('Calculations'!HF484,"~","~~"),"*","~*"),"?","~?"),'Calculations'!$HN$13:$HN$512,"="&amp;SUBSTITUTE(SUBSTITUTE(SUBSTITUTE('Dashboard'!$B$7,"~","~~"),"*","~*"),"?","~?"))+COUNTIFS('Calculations'!$HT$13:$HT$512,"="&amp;SUBSTITUTE(SUBSTITUTE(SUBSTITUTE('Calculations'!HF484,"~","~~"),"*","~*"),"?","~?"),'Calculations'!$HN$13:$HN$512,"="&amp;SUBSTITUTE(SUBSTITUTE(SUBSTITUTE('Dashboard'!$B$7,"~","~~"),"*","~*"),"?","~?"))+COUNTIFS('Calculations'!$HU$13:$HU$512,"="&amp;SUBSTITUTE(SUBSTITUTE(SUBSTITUTE('Calculations'!HF484,"~","~~"),"*","~*"),"?","~?"),'Calculations'!$HN$13:$HN$512,"="&amp;SUBSTITUTE(SUBSTITUTE(SUBSTITUTE('Dashboard'!$B$7,"~","~~"),"*","~*"),"?","~?"))+COUNTIFS('Calculations'!$HV$13:$HV$512,"="&amp;SUBSTITUTE(SUBSTITUTE(SUBSTITUTE('Calculations'!HF484,"~","~~"),"*","~*"),"?","~?"),'Calculations'!$HN$13:$HN$512,"="&amp;SUBSTITUTE(SUBSTITUTE(SUBSTITUTE('Dashboard'!$B$7,"~","~~"),"*","~*"),"?","~?"))+COUNTIFS('Calculations'!$HW$13:$HW$512,"="&amp;SUBSTITUTE(SUBSTITUTE(SUBSTITUTE('Calculations'!HF484,"~","~~"),"*","~*"),"?","~?"),'Calculations'!$HN$13:$HN$512,"="&amp;SUBSTITUTE(SUBSTITUTE(SUBSTITUTE('Dashboard'!$B$7,"~","~~"),"*","~*"),"?","~?"))+COUNTIFS('Calculations'!$HX$13:$HX$512,"="&amp;SUBSTITUTE(SUBSTITUTE(SUBSTITUTE('Calculations'!HF484,"~","~~"),"*","~*"),"?","~?"),'Calculations'!$HN$13:$HN$512,"="&amp;SUBSTITUTE(SUBSTITUTE(SUBSTITUTE('Dashboard'!$B$7,"~","~~"),"*","~*"),"?","~?"))+COUNTIFS('Calculations'!$HY$13:$HY$512,"="&amp;SUBSTITUTE(SUBSTITUTE(SUBSTITUTE('Calculations'!HF484,"~","~~"),"*","~*"),"?","~?"),'Calculations'!$HN$13:$HN$512,"="&amp;SUBSTITUTE(SUBSTITUTE(SUBSTITUTE('Dashboard'!$B$7,"~","~~"),"*","~*"),"?","~?"))+COUNTIFS('Calculations'!$HZ$13:$HZ$512,"="&amp;SUBSTITUTE(SUBSTITUTE(SUBSTITUTE('Calculations'!HF484,"~","~~"),"*","~*"),"?","~?"),'Calculations'!$HN$13:$HN$512,"="&amp;SUBSTITUTE(SUBSTITUTE(SUBSTITUTE('Dashboard'!$B$7,"~","~~"),"*","~*"),"?","~?"))+COUNTIFS('Calculations'!$IA$13:$IA$512,"="&amp;SUBSTITUTE(SUBSTITUTE(SUBSTITUTE('Calculations'!HF484,"~","~~"),"*","~*"),"?","~?"),'Calculations'!$HN$13:$HN$512,"="&amp;SUBSTITUTE(SUBSTITUTE(SUBSTITUTE('Dashboard'!$B$7,"~","~~"),"*","~*"),"?","~?"))+COUNTIFS('Calculations'!$IB$13:$IB$512,"="&amp;SUBSTITUTE(SUBSTITUTE(SUBSTITUTE('Calculations'!HF484,"~","~~"),"*","~*"),"?","~?"),'Calculations'!$HN$13:$HN$512,"="&amp;SUBSTITUTE(SUBSTITUTE(SUBSTITUTE('Dashboard'!$B$7,"~","~~"),"*","~*"),"?","~?"))+COUNTIFS('Calculations'!$IC$13:$IC$512,"="&amp;SUBSTITUTE(SUBSTITUTE(SUBSTITUTE('Calculations'!HF484,"~","~~"),"*","~*"),"?","~?"),'Calculations'!$HN$13:$HN$512,"="&amp;SUBSTITUTE(SUBSTITUTE(SUBSTITUTE('Dashboard'!$B$7,"~","~~"),"*","~*"),"?","~?"))+COUNTIFS('Calculations'!$ID$13:$ID$512,"="&amp;SUBSTITUTE(SUBSTITUTE(SUBSTITUTE('Calculations'!HF484,"~","~~"),"*","~*"),"?","~?"),'Calculations'!$HN$13:$HN$512,"="&amp;SUBSTITUTE(SUBSTITUTE(SUBSTITUTE('Dashboard'!$B$7,"~","~~"),"*","~*"),"?","~?"))+COUNTIFS('Calculations'!$IE$13:$IE$512,"="&amp;SUBSTITUTE(SUBSTITUTE(SUBSTITUTE('Calculations'!HF484,"~","~~"),"*","~*"),"?","~?"),'Calculations'!$HN$13:$HN$512,"="&amp;SUBSTITUTE(SUBSTITUTE(SUBSTITUTE('Dashboard'!$B$7,"~","~~"),"*","~*"),"?","~?"))+COUNTIFS('Calculations'!$IF$13:$IF$512,"="&amp;SUBSTITUTE(SUBSTITUTE(SUBSTITUTE('Calculations'!HF484,"~","~~"),"*","~*"),"?","~?"),'Calculations'!$HN$13:$HN$512,"="&amp;SUBSTITUTE(SUBSTITUTE(SUBSTITUTE('Dashboard'!$B$7,"~","~~"),"*","~*"),"?","~?"))+COUNTIFS('Calculations'!$IG$13:$IG$512,"="&amp;SUBSTITUTE(SUBSTITUTE(SUBSTITUTE('Calculations'!HF484,"~","~~"),"*","~*"),"?","~?"),'Calculations'!$HN$13:$HN$512,"="&amp;SUBSTITUTE(SUBSTITUTE(SUBSTITUTE('Dashboard'!$B$7,"~","~~"),"*","~*"),"?","~?"))+COUNTIFS('Calculations'!$IH$13:$IH$512,"="&amp;SUBSTITUTE(SUBSTITUTE(SUBSTITUTE('Calculations'!HF484,"~","~~"),"*","~*"),"?","~?"),'Calculations'!$HN$13:$HN$512,"="&amp;SUBSTITUTE(SUBSTITUTE(SUBSTITUTE('Dashboard'!$B$7,"~","~~"),"*","~*"),"?","~?"))))</x:f>
        <x:v>0</x:v>
      </x:c>
      <x:c r="JD484" t="n">
        <x:f>IF('Calculations'!EM484="",0,IF('Dashboard'!$B$7="All",1,IF('Calculations'!HN484='Dashboard'!$B$7,1,0)+IFERROR(INDEX('Calculations'!$JC$13:$JC$512,MATCH('Calculations'!HE484,'Calculations'!$HF$13:$HF$512,0)),0)))</x:f>
        <x:v>0</x:v>
      </x:c>
      <x:c r="JE484" t="n">
        <x:f>IF(AND('Calculations'!EM484&lt;&gt;"",'Calculations'!$JJ$2&lt;&gt;"All",'Calculations'!$JJ$2&lt;&gt;"",'Calculations'!HF484='Calculations'!$JJ$2,'Calculations'!HL484=0,'Calculations'!JD484&gt;0),MAX('Calculations'!$JE$12:JE483)+1,0)</x:f>
        <x:v>0</x:v>
      </x:c>
      <x:c r="JF484" t="str">
        <x:f>IF('Calculations'!EM484="","",IFERROR(IF(INDEX(INDIRECT("'WCM Calibration Final'!$G$1:$G$2000"),'Calculations'!$EM484)="","",TRIM(INDEX(INDIRECT("'WCM Calibration Final'!$G$1:$G$2000"),'Calculations'!$EM484)&amp;"")),""))</x:f>
      </x:c>
      <x:c r="JQ484" t="n">
        <x:f>IF(OR('Calculations'!BM484=0,NOT('Calculations'!$AG$2),'Calculations'!$AG$8&gt;0),0,IF(OR('Dashboard'!$B$7="All",'Calculations'!HN484='Dashboard'!$B$7),IF('Calculations'!$JJ$2="All",1,IF(AND('Calculations'!HF484='Calculations'!$JJ$2,'Calculations'!HL484=0),1,0)),0))</x:f>
        <x:v>0</x:v>
      </x:c>
    </x:row>
    <x:row r="485">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t="n">
        <x:f>IF('Calculations'!$EM485="",0,IF(OR(IFERROR(INDEX(INDIRECT("'WCM Calibration Final'!$A$1:$A$2000"),'Calculations'!$EM485)&lt;&gt;"",FALSE),IFERROR(INDEX(INDIRECT("'WCM Calibration Final'!$B$1:$B$2000"),'Calculations'!$EM485)&lt;&gt;"",FALSE),IFERROR(INDEX(INDIRECT("'WCM Calibration Final'!$C$1:$C$2000"),'Calculations'!$EM485)&lt;&gt;"",FALSE)),1,0))</x:f>
        <x:v>0</x:v>
      </x:c>
      <x:c r="BN485" s="4" t="n">
        <x:f>IF(AND('Calculations'!BM485=1,'Calculations'!$AG$2,'Calculations'!$EN485=1),1,0)</x:f>
        <x:v>0</x:v>
      </x:c>
      <x:c r="BO485" s="4" t="str">
        <x:f>IF('Calculations'!BM485=0,"",IFERROR(IF(AND(VALUE(INDEX(INDIRECT("'WCM Calibration Final'!$K$1:$K$2000"),'Calculations'!$EM485))&gt;=1,VALUE(INDEX(INDIRECT("'WCM Calibration Final'!$K$1:$K$2000"),'Calculations'!$EM485))&lt;=4,MOD(VALUE(INDEX(INDIRECT("'WCM Calibration Final'!$K$1:$K$2000"),'Calculations'!$EM485)),1)=0),VALUE(INDEX(INDIRECT("'WCM Calibration Final'!$K$1:$K$2000"),'Calculations'!$EM485)),""),""))</x:f>
      </x:c>
      <x:c r="BP485" s="4" t="str">
        <x:f>IF('Calculations'!BM485=0,"",IFERROR(IF(AND(VALUE(INDEX(INDIRECT("'WCM Calibration Final'!$L$1:$L$2000"),'Calculations'!$EM485))&gt;=1,VALUE(INDEX(INDIRECT("'WCM Calibration Final'!$L$1:$L$2000"),'Calculations'!$EM485))&lt;=4,MOD(VALUE(INDEX(INDIRECT("'WCM Calibration Final'!$L$1:$L$2000"),'Calculations'!$EM485)),1)=0),VALUE(INDEX(INDIRECT("'WCM Calibration Final'!$L$1:$L$2000"),'Calculations'!$EM485)),""),""))</x:f>
      </x:c>
      <x:c r="BQ485" s="4"/>
      <x:c r="BR485" s="4"/>
      <x:c r="BS485" s="4"/>
      <x:c r="BT485" s="4" t="n">
        <x:f>IF(AND('Calculations'!BM485=1,ISNUMBER('Calculations'!BO485),ISNUMBER('Calculations'!BP485)),1,0)</x:f>
        <x:v>0</x:v>
      </x:c>
      <x:c r="BU485" s="4" t="str">
        <x:f>IF('Calculations'!BM485=0,"",'Calculations'!$EO485)</x:f>
      </x:c>
      <x:c r="BV485" s="4" t="str">
        <x:f>IF('Calculations'!BM485=0,"",IFERROR(IF(OR(INDEX(INDIRECT("'WCM Calibration Final'!$H$1:$H$2000"),'Calculations'!$EM485)="MANAGING DIRECTOR",INDEX(INDIRECT("'WCM Calibration Final'!$H$1:$H$2000"),'Calculations'!$EM485)="DIRECTOR",INDEX(INDIRECT("'WCM Calibration Final'!$H$1:$H$2000"),'Calculations'!$EM485)="SENIOR VICE PRESIDENT",INDEX(INDIRECT("'WCM Calibration Final'!$H$1:$H$2000"),'Calculations'!$EM485)="VICE PRESIDENT",INDEX(INDIRECT("'WCM Calibration Final'!$H$1:$H$2000"),'Calculations'!$EM485)="ASSISTANT VICE PRESIDENT",INDEX(INDIRECT("'WCM Calibration Final'!$H$1:$H$2000"),'Calculations'!$EM485)="OFFICER"),UPPER(INDEX(INDIRECT("'WCM Calibration Final'!$H$1:$H$2000"),'Calculations'!$EM485)),"Other"),"Other"))</x:f>
      </x:c>
      <x:c r="BW485" s="4"/>
      <x:c r="BX485" s="4"/>
      <x:c r="BY485" s="4" t="n">
        <x:f>IF(AND('Calculations'!BM485=1,'Calculations'!BU485&lt;&gt;"",COUNTIF('Calculations'!$BU$12:BU485,'Calculations'!BU485)=1),MAX('Calculations'!$BY$11:BY484)+1,0)</x:f>
        <x:v>0</x:v>
      </x:c>
      <x:c r="BZ485" s="4" t="str">
        <x:f>IF('Dashboard'!$E$67="What",'Calculations'!BO485,'Calculations'!BP485)</x:f>
      </x:c>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t="str">
        <x:f>IF(474&gt;MAX('Calculations'!$HI$13:$HI$512),"",INDEX('Calculations'!$HN$13:$HN$512,MATCH(474,'Calculations'!$HI$13:$HI$512,0)))</x:f>
      </x:c>
      <x:c r="DB485" s="4" t="str">
        <x:f>IF(474&gt;MAX('Calculations'!$HH$13:$HH$512),"",INDEX('Calculations'!$HJ$13:$HJ$512,MATCH(474,'Calculations'!$HH$13:$HH$512,0)))</x:f>
      </x:c>
      <x:c r="DC485" s="4" t="str">
        <x:f>IF(ROW()-11&gt;MAX('Calculations'!$BY$13:$BY$512),"",INDEX('Calculations'!$BU$13:$BU$512,MATCH(ROW()-11,'Calculations'!$BY$13:$BY$512,0)))</x:f>
      </x:c>
      <x:c r="DD485" s="4" t="str">
        <x:f>IF(474&gt;MAX('Calculations'!$IK$13:$IK$512),"",INDEX('Calculations'!$HK$13:$HK$512,MATCH(474,'Calculations'!$IK$13:$IK$512,0)))</x:f>
      </x:c>
      <x:c r="DE485" s="4" t="str">
        <x:f>'Calculations'!DC485</x:f>
      </x:c>
      <x:c r="DF485" s="4" t="str">
        <x:f>IF('Calculations'!DE485="","",COUNTIFS('Calculations'!$BN$13:$BN$512,1,'Calculations'!$BU$13:$BU$512,'Calculations'!DE485))</x:f>
      </x:c>
      <x:c r="DG485" s="4" t="str">
        <x:f>IF('Calculations'!DE485="","",COUNTIFS('Calculations'!$BN$13:$BN$512,1,'Calculations'!$BU$13:$BU$512,'Calculations'!DE485,'Calculations'!$BT$13:$BT$512,1))</x:f>
      </x:c>
      <x:c r="DH485" s="4" t="str">
        <x:f>IF('Calculations'!DE485="","",'Calculations'!DF485-'Calculations'!DG485)</x:f>
      </x:c>
      <x:c r="DI485" s="4" t="str">
        <x:f>IF(OR('Calculations'!DE485="",'Calculations'!DF485=0),"",'Calculations'!DG485/'Calculations'!DF485)</x:f>
      </x:c>
      <x:c r="DJ485" s="4" t="str">
        <x:f>IF('Calculations'!DE485="","",COUNTIFS('Calculations'!$BN$13:$BN$512,1,'Calculations'!$BU$13:$BU$512,'Calculations'!DE485,'Calculations'!$BT$13:$BT$512,1,'Calculations'!$EE$13:$EE$512,"High"))</x:f>
      </x:c>
      <x:c r="DK485" s="4" t="str">
        <x:f>IF('Calculations'!DE485="","",COUNTIFS('Calculations'!$BN$13:$BN$512,1,'Calculations'!$BU$13:$BU$512,'Calculations'!DE485,'Calculations'!$BT$13:$BT$512,1,'Calculations'!$EE$13:$EE$512,"Strong"))</x:f>
      </x:c>
      <x:c r="DL485" s="4" t="str">
        <x:f>IF('Calculations'!DE485="","",COUNTIFS('Calculations'!$BN$13:$BN$512,1,'Calculations'!$BU$13:$BU$512,'Calculations'!DE485,'Calculations'!$BT$13:$BT$512,1,'Calculations'!$EE$13:$EE$512,"Solid"))</x:f>
      </x:c>
      <x:c r="DM485" s="4" t="str">
        <x:f>IF('Calculations'!DE485="","",COUNTIFS('Calculations'!$BN$13:$BN$512,1,'Calculations'!$BU$13:$BU$512,'Calculations'!DE485,'Calculations'!$BT$13:$BT$512,1,'Calculations'!$EE$13:$EE$512,"Low"))</x:f>
      </x:c>
      <x:c r="DN485" s="4" t="str">
        <x:f>IF('Calculations'!DE485="","",COUNTIFS('Calculations'!$BN$13:$BN$512,1,'Calculations'!$BU$13:$BU$512,'Calculations'!DE485,'Calculations'!$EP$13:$EP$512,1))</x:f>
      </x:c>
      <x:c r="DO485" s="4" t="str">
        <x:f>IF(OR('Calculations'!DE485="",'Calculations'!DG485=0),"",('Calculations'!DJ485+'Calculations'!DK485)/'Calculations'!DG485)</x:f>
      </x:c>
      <x:c r="DP485" s="4" t="n">
        <x:f>IF(AND('Calculations'!DE485&lt;&gt;"",'Calculations'!DF485&gt;0),COUNTIF('Calculations'!$DF$12:DF485,"&gt;0"),0)</x:f>
        <x:v>0</x:v>
      </x:c>
      <x:c r="DQ485" s="4" t="str">
        <x:f>IF(474&gt;MAX('Calculations'!$HH$13:$HH$512),"",INDEX('Calculations'!$HF$13:$HF$512,MATCH(474,'Calculations'!$HH$13:$HH$512,0)))</x:f>
      </x:c>
      <x:c r="DR485" s="4" t="str">
        <x:f>IF(474&gt;MAX('Calculations'!$IK$13:$IK$512),"",INDEX('Calculations'!$HE$13:$HE$512,MATCH(474,'Calculations'!$IK$13:$IK$512,0)))</x:f>
      </x:c>
      <x:c r="DS485" s="4"/>
      <x:c r="DT485" s="4"/>
      <x:c r="DU485" s="4"/>
      <x:c r="DV485" s="4"/>
      <x:c r="DW485" s="4"/>
      <x:c r="DX485" s="4"/>
      <x:c r="DY485" s="4"/>
      <x:c r="DZ485" s="4"/>
      <x:c r="EA485" s="4"/>
      <x:c r="EB485" s="4"/>
      <x:c r="EC485" s="4"/>
      <x:c r="ED485" s="4"/>
      <x:c r="EE485" s="4" t="str">
        <x:f>IF('Calculations'!BT485=0,"Not Rated",IF(OR('Calculations'!BO485&gt;=4,'Calculations'!BP485&gt;=4),"Low",IF('Calculations'!BO485+'Calculations'!BP485&lt;=3,"High",IF('Calculations'!BO485+'Calculations'!BP485&lt;=4,"Strong","Solid"))))</x:f>
        <x:v>Not Rated</x:v>
      </x:c>
      <x:c r="EF485" s="4"/>
      <x:c r="EG485" s="4"/>
      <x:c r="EH485" s="4"/>
      <x:c r="EI485" s="4"/>
      <x:c r="EJ485" s="4"/>
      <x:c r="EK485" s="4"/>
      <x:c r="EL485" s="4"/>
      <x:c r="EM485" s="4" t="str">
        <x:f>IF(473&gt;'Calculations'!$JB$2000,"",INDEX('Calculations'!$JA$12:$JA$2000,MATCH(473,'Calculations'!$JB$12:$JB$2000,0)))</x:f>
      </x:c>
      <x:c r="EN485" s="4" t="n">
        <x:f>IF(OR('Calculations'!EM485="",'Calculations'!$AG$8&gt;0,AND('Calculations'!$EF$2&lt;&gt;"All",'Calculations'!HE485='Calculations'!$EF$2),AND('Calculations'!$EF$3&lt;&gt;"All",'Calculations'!HE485='Calculations'!$EF$3)),0,IF(OR('Dashboard'!$B$7="All",'Calculations'!HN485='Dashboard'!$B$7),IF('Calculations'!$EF$2="All",1,IF('Calculations'!HL485&gt;0,0,IF(COUNTIF('Calculations'!HO485:II485,"="&amp;SUBSTITUTE(SUBSTITUTE(SUBSTITUTE('Calculations'!$EF$2,"~","~~"),"*","~*"),"?","~?"))=0,0,IF('Calculations'!$EF$3="All",1,IF(COUNTIF('Calculations'!HO485:II485,"="&amp;SUBSTITUTE(SUBSTITUTE(SUBSTITUTE('Calculations'!$EF$3,"~","~~"),"*","~*"),"?","~?"))&gt;0,1,0))))),0))</x:f>
        <x:v>0</x:v>
      </x:c>
      <x:c r="EO485" s="4" t="str">
        <x:f>IF('Calculations'!IJ485="","",IF('Calculations'!IJ485="!UNRESOLVED","Unresolved hierarchy",IFERROR(INDEX('Calculations'!$HK$13:$HK$512,MATCH('Calculations'!IJ485,'Calculations'!$HE$13:$HE$512,0)),IFERROR(INDEX('Calculations'!$HJ$13:$HJ$512,MATCH('Calculations'!IJ485,'Calculations'!$HF$13:$HF$512,0)),'Calculations'!IJ485))))</x:f>
      </x:c>
      <x:c r="EP485" s="4" t="n">
        <x:f>IF(AND('Calculations'!EM485&lt;&gt;"",'Calculations'!HF485='Calculations'!IJ485),1,0)</x:f>
        <x:v>0</x:v>
      </x:c>
      <x:c r="EQ485" s="4"/>
      <x:c r="ER485" s="4"/>
      <x:c r="ES485" s="4"/>
      <x:c r="ET485" s="4"/>
      <x:c r="EU485" s="4"/>
      <x:c r="EV485" s="4"/>
      <x:c r="EW485" s="4"/>
      <x:c r="EX485" s="4"/>
      <x:c r="EY485" s="4"/>
      <x:c r="EZ485" s="4"/>
      <x:c r="FA485" s="4"/>
      <x:c r="FB485" s="4"/>
      <x:c r="FC485" s="4"/>
      <x:c r="FD485" s="4"/>
      <x:c r="FE485" s="4"/>
      <x:c r="FF485" s="4"/>
      <x:c r="FG485" s="4"/>
      <x:c r="FH485" s="4"/>
      <x:c r="FI485" s="4"/>
      <x:c r="FJ485" s="4"/>
      <x:c r="FK485" s="4"/>
      <x:c r="FL485" s="4"/>
      <x:c r="FM485" s="4"/>
      <x:c r="FN485" s="4"/>
      <x:c r="FO485" s="4"/>
      <x:c r="HE485" t="str">
        <x:f>IF('Calculations'!EM485="","",IF(IFERROR(IF(INDEX(INDIRECT("'WCM Calibration Final'!$A$1:$A$2000"),'Calculations'!$EM485)="","",TRIM(INDEX(INDIRECT("'WCM Calibration Final'!$A$1:$A$2000"),'Calculations'!$EM485)&amp;"")),"")&lt;&gt;"","G:"&amp;IFERROR(TEXT(1*INDEX(INDIRECT("'WCM Calibration Final'!$A$1:$A$2000"),'Calculations'!$EM485),"0"),UPPER(IFERROR(IF(INDEX(INDIRECT("'WCM Calibration Final'!$A$1:$A$2000"),'Calculations'!$EM485)="","",TRIM(INDEX(INDIRECT("'WCM Calibration Final'!$A$1:$A$2000"),'Calculations'!$EM485)&amp;"")),""))),IF(IFERROR(IF(INDEX(INDIRECT("'WCM Calibration Final'!$C$1:$C$2000"),'Calculations'!$EM485)="","",TRIM(INDEX(INDIRECT("'WCM Calibration Final'!$C$1:$C$2000"),'Calculations'!$EM485)&amp;"")),"")&lt;&gt;"","S:"&amp;UPPER(IFERROR(IF(INDEX(INDIRECT("'WCM Calibration Final'!$C$1:$C$2000"),'Calculations'!$EM485)="","",TRIM(INDEX(INDIRECT("'WCM Calibration Final'!$C$1:$C$2000"),'Calculations'!$EM485)&amp;"")),"")),"R:"&amp;'Calculations'!EM485)))</x:f>
      </x:c>
      <x:c r="HF485" t="str">
        <x:f>IF('Calculations'!EM485="","",IF(IFERROR(IF(INDEX(INDIRECT("'WCM Calibration Final'!$D$1:$D$2000"),'Calculations'!$EM485)="","",TRIM(INDEX(INDIRECT("'WCM Calibration Final'!$D$1:$D$2000"),'Calculations'!$EM485)&amp;"")),"")&lt;&gt;"","G:"&amp;IFERROR(TEXT(1*INDEX(INDIRECT("'WCM Calibration Final'!$D$1:$D$2000"),'Calculations'!$EM485),"0"),UPPER(IFERROR(IF(INDEX(INDIRECT("'WCM Calibration Final'!$D$1:$D$2000"),'Calculations'!$EM485)="","",TRIM(INDEX(INDIRECT("'WCM Calibration Final'!$D$1:$D$2000"),'Calculations'!$EM485)&amp;"")),""))),IF(IFERROR(IF(INDEX(INDIRECT("'WCM Calibration Final'!$E$1:$E$2000"),'Calculations'!$EM485)="","",TRIM(INDEX(INDIRECT("'WCM Calibration Final'!$E$1:$E$2000"),'Calculations'!$EM485)&amp;"")),"")="","",IF(COUNTIF('Calculations'!$HG$13:$HG$512,"="&amp;SUBSTITUTE(SUBSTITUTE(SUBSTITUTE(IFERROR(IF(INDEX(INDIRECT("'WCM Calibration Final'!$E$1:$E$2000"),'Calculations'!$EM485)="","",TRIM(INDEX(INDIRECT("'WCM Calibration Final'!$E$1:$E$2000"),'Calculations'!$EM485)&amp;"")),""),"~","~~"),"*","~*"),"?","~?"))=1,INDEX('Calculations'!$HE$13:$HE$512,MATCH(IFERROR(IF(INDEX(INDIRECT("'WCM Calibration Final'!$E$1:$E$2000"),'Calculations'!$EM485)="","",TRIM(INDEX(INDIRECT("'WCM Calibration Final'!$E$1:$E$2000"),'Calculations'!$EM485)&amp;"")),""),'Calculations'!$HG$13:$HG$512,0)),IF(COUNTIF('Calculations'!$HG$13:$HG$512,"="&amp;SUBSTITUTE(SUBSTITUTE(SUBSTITUTE(IFERROR(IF(INDEX(INDIRECT("'WCM Calibration Final'!$E$1:$E$2000"),'Calculations'!$EM485)="","",TRIM(INDEX(INDIRECT("'WCM Calibration Final'!$E$1:$E$2000"),'Calculations'!$EM485)&amp;"")),""),"~","~~"),"*","~*"),"?","~?"))&gt;1,"!AMBIG","X:"&amp;IFERROR(IF(INDEX(INDIRECT("'WCM Calibration Final'!$E$1:$E$2000"),'Calculations'!$EM485)="","",TRIM(INDEX(INDIRECT("'WCM Calibration Final'!$E$1:$E$2000"),'Calculations'!$EM485)&amp;"")),""))))))</x:f>
      </x:c>
      <x:c r="HG485" t="str">
        <x:f>IF('Calculations'!EM485="","",IFERROR(IF(INDEX(INDIRECT("'WCM Calibration Final'!$B$1:$B$2000"),'Calculations'!$EM485)="","",TRIM(INDEX(INDIRECT("'WCM Calibration Final'!$B$1:$B$2000"),'Calculations'!$EM485)&amp;"")),""))</x:f>
      </x:c>
      <x:c r="HH485" t="n">
        <x:f>IF(AND('Calculations'!JC485&gt;0,COUNTIF('Calculations'!$HF$12:HF485,"="&amp;SUBSTITUTE(SUBSTITUTE(SUBSTITUTE('Calculations'!HF485,"~","~~"),"*","~*"),"?","~?"))=1),MAX('Calculations'!$HH$12:HH484)+1,0)</x:f>
        <x:v>0</x:v>
      </x:c>
      <x:c r="HI485" t="n">
        <x:f>IF(AND('Calculations'!HN485&lt;&gt;"",COUNTIF('Calculations'!$HN$12:HN485,"="&amp;SUBSTITUTE(SUBSTITUTE(SUBSTITUTE('Calculations'!HN485,"~","~~"),"*","~*"),"?","~?"))=1),MAX('Calculations'!$HI$12:HI484)+1,0)</x:f>
        <x:v>0</x:v>
      </x:c>
      <x:c r="HJ485" t="str">
        <x:f>IF('Calculations'!HF485="","",IF(COUNTIF('Calculations'!$HE$13:$HE$512,"="&amp;SUBSTITUTE(SUBSTITUTE(SUBSTITUTE('Calculations'!HF485,"~","~~"),"*","~*"),"?","~?"))=1,INDEX('Calculations'!$HK$13:$HK$512,MATCH('Calculations'!HF485,'Calculations'!$HE$13:$HE$512,0)),IFERROR(IF(INDEX(INDIRECT("'WCM Calibration Final'!$E$1:$E$2000"),'Calculations'!$EM485)="","",TRIM(INDEX(INDIRECT("'WCM Calibration Final'!$E$1:$E$2000"),'Calculations'!$EM485)&amp;"")),"")&amp;" ["&amp;'Calculations'!HF485&amp;"]"))</x:f>
      </x:c>
      <x:c r="HK485" t="str">
        <x:f>IF('Calculations'!EM485="","",'Calculations'!HG485&amp;" ["&amp;'Calculations'!HE485&amp;"]")</x:f>
      </x:c>
      <x:c r="HL485" t="n">
        <x:f>IF('Calculations'!EM485="",0,IF(OR('Calculations'!II485&lt;&gt;"",COUNTIF('Calculations'!$HE$13:$HE$512,"="&amp;SUBSTITUTE(SUBSTITUTE(SUBSTITUTE('Calculations'!HE485,"~","~~"),"*","~*"),"?","~?"))&gt;1),1,0))</x:f>
        <x:v>0</x:v>
      </x:c>
      <x:c r="HM485" t="str">
        <x:f>IF('Calculations'!EM485="","",IF('Calculations'!HL485=1,"!UNRESOLVED",IF('Calculations'!IH485&lt;&gt;"",'Calculations'!IH485,IF('Calculations'!IG485&lt;&gt;"",'Calculations'!IG485,IF('Calculations'!IF485&lt;&gt;"",'Calculations'!IF485,IF('Calculations'!IE485&lt;&gt;"",'Calculations'!IE485,IF('Calculations'!ID485&lt;&gt;"",'Calculations'!ID485,IF('Calculations'!IC485&lt;&gt;"",'Calculations'!IC485,IF('Calculations'!IB485&lt;&gt;"",'Calculations'!IB485,IF('Calculations'!IA485&lt;&gt;"",'Calculations'!IA485,IF('Calculations'!HZ485&lt;&gt;"",'Calculations'!HZ485,IF('Calculations'!HY485&lt;&gt;"",'Calculations'!HY485,IF('Calculations'!HX485&lt;&gt;"",'Calculations'!HX485,IF('Calculations'!HW485&lt;&gt;"",'Calculations'!HW485,IF('Calculations'!HV485&lt;&gt;"",'Calculations'!HV485,IF('Calculations'!HU485&lt;&gt;"",'Calculations'!HU485,IF('Calculations'!HT485&lt;&gt;"",'Calculations'!HT485,IF('Calculations'!HS485&lt;&gt;"",'Calculations'!HS485,IF('Calculations'!HR485&lt;&gt;"",'Calculations'!HR485,IF('Calculations'!HQ485&lt;&gt;"",'Calculations'!HQ485,IF('Calculations'!HP485&lt;&gt;"",'Calculations'!HP485,IF('Calculations'!HO485&lt;&gt;"",'Calculations'!HO485,'Calculations'!HE485))))))))))))))))))))))</x:f>
      </x:c>
      <x:c r="HN485" t="str">
        <x:f>IF('Calculations'!EM485="","",IF(IFERROR(IF(INDEX(INDIRECT("'WCM Calibration Final'!$F$1:$F$2000"),'Calculations'!$EM485)="","",TRIM(INDEX(INDIRECT("'WCM Calibration Final'!$F$1:$F$2000"),'Calculations'!$EM485)&amp;"")),"")="","(Blank)",IFERROR(IF(INDEX(INDIRECT("'WCM Calibration Final'!$F$1:$F$2000"),'Calculations'!$EM485)="","",TRIM(INDEX(INDIRECT("'WCM Calibration Final'!$F$1:$F$2000"),'Calculations'!$EM485)&amp;"")),"")))</x:f>
      </x:c>
      <x:c r="HO485" t="str">
        <x:f>'Calculations'!HF485</x:f>
      </x:c>
      <x:c r="HP485" t="str">
        <x:f>IF('Calculations'!HO485="","",IF('Calculations'!HO485="!AMBIG","!AMBIG",IF(COUNTIF('Calculations'!$HE$13:$HE$512,"="&amp;SUBSTITUTE(SUBSTITUTE(SUBSTITUTE('Calculations'!HO485,"~","~~"),"*","~*"),"?","~?"))&gt;1,"!AMBIG",IFERROR(INDEX('Calculations'!$HF$13:$HF$512,MATCH('Calculations'!HO485,'Calculations'!$HE$13:$HE$512,0)),""))))</x:f>
      </x:c>
      <x:c r="HQ485" t="str">
        <x:f>IF('Calculations'!HP485="","",IF('Calculations'!HP485="!AMBIG","!AMBIG",IF(COUNTIF('Calculations'!$HE$13:$HE$512,"="&amp;SUBSTITUTE(SUBSTITUTE(SUBSTITUTE('Calculations'!HP485,"~","~~"),"*","~*"),"?","~?"))&gt;1,"!AMBIG",IFERROR(INDEX('Calculations'!$HF$13:$HF$512,MATCH('Calculations'!HP485,'Calculations'!$HE$13:$HE$512,0)),""))))</x:f>
      </x:c>
      <x:c r="HR485" t="str">
        <x:f>IF('Calculations'!HQ485="","",IF('Calculations'!HQ485="!AMBIG","!AMBIG",IF(COUNTIF('Calculations'!$HE$13:$HE$512,"="&amp;SUBSTITUTE(SUBSTITUTE(SUBSTITUTE('Calculations'!HQ485,"~","~~"),"*","~*"),"?","~?"))&gt;1,"!AMBIG",IFERROR(INDEX('Calculations'!$HF$13:$HF$512,MATCH('Calculations'!HQ485,'Calculations'!$HE$13:$HE$512,0)),""))))</x:f>
      </x:c>
      <x:c r="HS485" t="str">
        <x:f>IF('Calculations'!HR485="","",IF('Calculations'!HR485="!AMBIG","!AMBIG",IF(COUNTIF('Calculations'!$HE$13:$HE$512,"="&amp;SUBSTITUTE(SUBSTITUTE(SUBSTITUTE('Calculations'!HR485,"~","~~"),"*","~*"),"?","~?"))&gt;1,"!AMBIG",IFERROR(INDEX('Calculations'!$HF$13:$HF$512,MATCH('Calculations'!HR485,'Calculations'!$HE$13:$HE$512,0)),""))))</x:f>
      </x:c>
      <x:c r="HT485" t="str">
        <x:f>IF('Calculations'!HS485="","",IF('Calculations'!HS485="!AMBIG","!AMBIG",IF(COUNTIF('Calculations'!$HE$13:$HE$512,"="&amp;SUBSTITUTE(SUBSTITUTE(SUBSTITUTE('Calculations'!HS485,"~","~~"),"*","~*"),"?","~?"))&gt;1,"!AMBIG",IFERROR(INDEX('Calculations'!$HF$13:$HF$512,MATCH('Calculations'!HS485,'Calculations'!$HE$13:$HE$512,0)),""))))</x:f>
      </x:c>
      <x:c r="HU485" t="str">
        <x:f>IF('Calculations'!HT485="","",IF('Calculations'!HT485="!AMBIG","!AMBIG",IF(COUNTIF('Calculations'!$HE$13:$HE$512,"="&amp;SUBSTITUTE(SUBSTITUTE(SUBSTITUTE('Calculations'!HT485,"~","~~"),"*","~*"),"?","~?"))&gt;1,"!AMBIG",IFERROR(INDEX('Calculations'!$HF$13:$HF$512,MATCH('Calculations'!HT485,'Calculations'!$HE$13:$HE$512,0)),""))))</x:f>
      </x:c>
      <x:c r="HV485" t="str">
        <x:f>IF('Calculations'!HU485="","",IF('Calculations'!HU485="!AMBIG","!AMBIG",IF(COUNTIF('Calculations'!$HE$13:$HE$512,"="&amp;SUBSTITUTE(SUBSTITUTE(SUBSTITUTE('Calculations'!HU485,"~","~~"),"*","~*"),"?","~?"))&gt;1,"!AMBIG",IFERROR(INDEX('Calculations'!$HF$13:$HF$512,MATCH('Calculations'!HU485,'Calculations'!$HE$13:$HE$512,0)),""))))</x:f>
      </x:c>
      <x:c r="HW485" t="str">
        <x:f>IF('Calculations'!HV485="","",IF('Calculations'!HV485="!AMBIG","!AMBIG",IF(COUNTIF('Calculations'!$HE$13:$HE$512,"="&amp;SUBSTITUTE(SUBSTITUTE(SUBSTITUTE('Calculations'!HV485,"~","~~"),"*","~*"),"?","~?"))&gt;1,"!AMBIG",IFERROR(INDEX('Calculations'!$HF$13:$HF$512,MATCH('Calculations'!HV485,'Calculations'!$HE$13:$HE$512,0)),""))))</x:f>
      </x:c>
      <x:c r="HX485" t="str">
        <x:f>IF('Calculations'!HW485="","",IF('Calculations'!HW485="!AMBIG","!AMBIG",IF(COUNTIF('Calculations'!$HE$13:$HE$512,"="&amp;SUBSTITUTE(SUBSTITUTE(SUBSTITUTE('Calculations'!HW485,"~","~~"),"*","~*"),"?","~?"))&gt;1,"!AMBIG",IFERROR(INDEX('Calculations'!$HF$13:$HF$512,MATCH('Calculations'!HW485,'Calculations'!$HE$13:$HE$512,0)),""))))</x:f>
      </x:c>
      <x:c r="HY485" t="str">
        <x:f>IF('Calculations'!HX485="","",IF('Calculations'!HX485="!AMBIG","!AMBIG",IF(COUNTIF('Calculations'!$HE$13:$HE$512,"="&amp;SUBSTITUTE(SUBSTITUTE(SUBSTITUTE('Calculations'!HX485,"~","~~"),"*","~*"),"?","~?"))&gt;1,"!AMBIG",IFERROR(INDEX('Calculations'!$HF$13:$HF$512,MATCH('Calculations'!HX485,'Calculations'!$HE$13:$HE$512,0)),""))))</x:f>
      </x:c>
      <x:c r="HZ485" t="str">
        <x:f>IF('Calculations'!HY485="","",IF('Calculations'!HY485="!AMBIG","!AMBIG",IF(COUNTIF('Calculations'!$HE$13:$HE$512,"="&amp;SUBSTITUTE(SUBSTITUTE(SUBSTITUTE('Calculations'!HY485,"~","~~"),"*","~*"),"?","~?"))&gt;1,"!AMBIG",IFERROR(INDEX('Calculations'!$HF$13:$HF$512,MATCH('Calculations'!HY485,'Calculations'!$HE$13:$HE$512,0)),""))))</x:f>
      </x:c>
      <x:c r="IA485" t="str">
        <x:f>IF('Calculations'!HZ485="","",IF('Calculations'!HZ485="!AMBIG","!AMBIG",IF(COUNTIF('Calculations'!$HE$13:$HE$512,"="&amp;SUBSTITUTE(SUBSTITUTE(SUBSTITUTE('Calculations'!HZ485,"~","~~"),"*","~*"),"?","~?"))&gt;1,"!AMBIG",IFERROR(INDEX('Calculations'!$HF$13:$HF$512,MATCH('Calculations'!HZ485,'Calculations'!$HE$13:$HE$512,0)),""))))</x:f>
      </x:c>
      <x:c r="IB485" t="str">
        <x:f>IF('Calculations'!IA485="","",IF('Calculations'!IA485="!AMBIG","!AMBIG",IF(COUNTIF('Calculations'!$HE$13:$HE$512,"="&amp;SUBSTITUTE(SUBSTITUTE(SUBSTITUTE('Calculations'!IA485,"~","~~"),"*","~*"),"?","~?"))&gt;1,"!AMBIG",IFERROR(INDEX('Calculations'!$HF$13:$HF$512,MATCH('Calculations'!IA485,'Calculations'!$HE$13:$HE$512,0)),""))))</x:f>
      </x:c>
      <x:c r="IC485" t="str">
        <x:f>IF('Calculations'!IB485="","",IF('Calculations'!IB485="!AMBIG","!AMBIG",IF(COUNTIF('Calculations'!$HE$13:$HE$512,"="&amp;SUBSTITUTE(SUBSTITUTE(SUBSTITUTE('Calculations'!IB485,"~","~~"),"*","~*"),"?","~?"))&gt;1,"!AMBIG",IFERROR(INDEX('Calculations'!$HF$13:$HF$512,MATCH('Calculations'!IB485,'Calculations'!$HE$13:$HE$512,0)),""))))</x:f>
      </x:c>
      <x:c r="ID485" t="str">
        <x:f>IF('Calculations'!IC485="","",IF('Calculations'!IC485="!AMBIG","!AMBIG",IF(COUNTIF('Calculations'!$HE$13:$HE$512,"="&amp;SUBSTITUTE(SUBSTITUTE(SUBSTITUTE('Calculations'!IC485,"~","~~"),"*","~*"),"?","~?"))&gt;1,"!AMBIG",IFERROR(INDEX('Calculations'!$HF$13:$HF$512,MATCH('Calculations'!IC485,'Calculations'!$HE$13:$HE$512,0)),""))))</x:f>
      </x:c>
      <x:c r="IE485" t="str">
        <x:f>IF('Calculations'!ID485="","",IF('Calculations'!ID485="!AMBIG","!AMBIG",IF(COUNTIF('Calculations'!$HE$13:$HE$512,"="&amp;SUBSTITUTE(SUBSTITUTE(SUBSTITUTE('Calculations'!ID485,"~","~~"),"*","~*"),"?","~?"))&gt;1,"!AMBIG",IFERROR(INDEX('Calculations'!$HF$13:$HF$512,MATCH('Calculations'!ID485,'Calculations'!$HE$13:$HE$512,0)),""))))</x:f>
      </x:c>
      <x:c r="IF485" t="str">
        <x:f>IF('Calculations'!IE485="","",IF('Calculations'!IE485="!AMBIG","!AMBIG",IF(COUNTIF('Calculations'!$HE$13:$HE$512,"="&amp;SUBSTITUTE(SUBSTITUTE(SUBSTITUTE('Calculations'!IE485,"~","~~"),"*","~*"),"?","~?"))&gt;1,"!AMBIG",IFERROR(INDEX('Calculations'!$HF$13:$HF$512,MATCH('Calculations'!IE485,'Calculations'!$HE$13:$HE$512,0)),""))))</x:f>
      </x:c>
      <x:c r="IG485" t="str">
        <x:f>IF('Calculations'!IF485="","",IF('Calculations'!IF485="!AMBIG","!AMBIG",IF(COUNTIF('Calculations'!$HE$13:$HE$512,"="&amp;SUBSTITUTE(SUBSTITUTE(SUBSTITUTE('Calculations'!IF485,"~","~~"),"*","~*"),"?","~?"))&gt;1,"!AMBIG",IFERROR(INDEX('Calculations'!$HF$13:$HF$512,MATCH('Calculations'!IF485,'Calculations'!$HE$13:$HE$512,0)),""))))</x:f>
      </x:c>
      <x:c r="IH485" t="str">
        <x:f>IF('Calculations'!IG485="","",IF('Calculations'!IG485="!AMBIG","!AMBIG",IF(COUNTIF('Calculations'!$HE$13:$HE$512,"="&amp;SUBSTITUTE(SUBSTITUTE(SUBSTITUTE('Calculations'!IG485,"~","~~"),"*","~*"),"?","~?"))&gt;1,"!AMBIG",IFERROR(INDEX('Calculations'!$HF$13:$HF$512,MATCH('Calculations'!IG485,'Calculations'!$HE$13:$HE$512,0)),""))))</x:f>
      </x:c>
      <x:c r="II485" t="str">
        <x:f>IF('Calculations'!IH485="","",IF('Calculations'!IH485="!AMBIG","!AMBIG",IF(COUNTIF('Calculations'!$HE$13:$HE$512,"="&amp;SUBSTITUTE(SUBSTITUTE(SUBSTITUTE('Calculations'!IH485,"~","~~"),"*","~*"),"?","~?"))&gt;1,"!AMBIG",IFERROR(INDEX('Calculations'!$HF$13:$HF$512,MATCH('Calculations'!IH485,'Calculations'!$HE$13:$HE$512,0)),""))))</x:f>
      </x:c>
      <x:c r="IJ485" t="str">
        <x:f>IF('Calculations'!EM485="","",IF('Calculations'!$EF$2="All",'Calculations'!HM485,IF('Calculations'!HL485=1,"",IFERROR(IF(MATCH('Calculations'!$EF$2,'Calculations'!HO485:II485,0)=1,'Calculations'!HE485,INDEX('Calculations'!HO485:II485,1,MATCH('Calculations'!$EF$2,'Calculations'!HO485:II485,0)-1)),""))))</x:f>
      </x:c>
      <x:c r="IK485" t="n">
        <x:f>IF(AND('Calculations'!EM485&lt;&gt;"",'Calculations'!$EF$2&lt;&gt;"All",'Calculations'!HF485='Calculations'!$EF$2,'Calculations'!HL485=0,'Calculations'!JD485&gt;0),MAX('Calculations'!$IK$12:IK484)+1,0)</x:f>
        <x:v>0</x:v>
      </x:c>
      <x:c r="JA485" t="n">
        <x:f>IF(OR(IFERROR(INDIRECT("'WCM Calibration Final'!$A$485")&lt;&gt;"",FALSE),IFERROR(INDIRECT("'WCM Calibration Final'!$B$485")&lt;&gt;"",FALSE),IFERROR(INDIRECT("'WCM Calibration Final'!$C$485")&lt;&gt;"",FALSE)),485,0)</x:f>
        <x:v>0</x:v>
      </x:c>
      <x:c r="JB485" t="n">
        <x:f>'Calculations'!JB484+IF('Calculations'!JA485&gt;0,1,0)</x:f>
        <x:v>0</x:v>
      </x:c>
      <x:c r="JC485" t="n">
        <x:f>IF(OR('Calculations'!HF485="",'Calculations'!HF485="!AMBIG"),0,IF('Dashboard'!$B$7="All",1,COUNTIFS('Calculations'!$HO$13:$HO$512,"="&amp;SUBSTITUTE(SUBSTITUTE(SUBSTITUTE('Calculations'!HF485,"~","~~"),"*","~*"),"?","~?"),'Calculations'!$HN$13:$HN$512,"="&amp;SUBSTITUTE(SUBSTITUTE(SUBSTITUTE('Dashboard'!$B$7,"~","~~"),"*","~*"),"?","~?"))+COUNTIFS('Calculations'!$HP$13:$HP$512,"="&amp;SUBSTITUTE(SUBSTITUTE(SUBSTITUTE('Calculations'!HF485,"~","~~"),"*","~*"),"?","~?"),'Calculations'!$HN$13:$HN$512,"="&amp;SUBSTITUTE(SUBSTITUTE(SUBSTITUTE('Dashboard'!$B$7,"~","~~"),"*","~*"),"?","~?"))+COUNTIFS('Calculations'!$HQ$13:$HQ$512,"="&amp;SUBSTITUTE(SUBSTITUTE(SUBSTITUTE('Calculations'!HF485,"~","~~"),"*","~*"),"?","~?"),'Calculations'!$HN$13:$HN$512,"="&amp;SUBSTITUTE(SUBSTITUTE(SUBSTITUTE('Dashboard'!$B$7,"~","~~"),"*","~*"),"?","~?"))+COUNTIFS('Calculations'!$HR$13:$HR$512,"="&amp;SUBSTITUTE(SUBSTITUTE(SUBSTITUTE('Calculations'!HF485,"~","~~"),"*","~*"),"?","~?"),'Calculations'!$HN$13:$HN$512,"="&amp;SUBSTITUTE(SUBSTITUTE(SUBSTITUTE('Dashboard'!$B$7,"~","~~"),"*","~*"),"?","~?"))+COUNTIFS('Calculations'!$HS$13:$HS$512,"="&amp;SUBSTITUTE(SUBSTITUTE(SUBSTITUTE('Calculations'!HF485,"~","~~"),"*","~*"),"?","~?"),'Calculations'!$HN$13:$HN$512,"="&amp;SUBSTITUTE(SUBSTITUTE(SUBSTITUTE('Dashboard'!$B$7,"~","~~"),"*","~*"),"?","~?"))+COUNTIFS('Calculations'!$HT$13:$HT$512,"="&amp;SUBSTITUTE(SUBSTITUTE(SUBSTITUTE('Calculations'!HF485,"~","~~"),"*","~*"),"?","~?"),'Calculations'!$HN$13:$HN$512,"="&amp;SUBSTITUTE(SUBSTITUTE(SUBSTITUTE('Dashboard'!$B$7,"~","~~"),"*","~*"),"?","~?"))+COUNTIFS('Calculations'!$HU$13:$HU$512,"="&amp;SUBSTITUTE(SUBSTITUTE(SUBSTITUTE('Calculations'!HF485,"~","~~"),"*","~*"),"?","~?"),'Calculations'!$HN$13:$HN$512,"="&amp;SUBSTITUTE(SUBSTITUTE(SUBSTITUTE('Dashboard'!$B$7,"~","~~"),"*","~*"),"?","~?"))+COUNTIFS('Calculations'!$HV$13:$HV$512,"="&amp;SUBSTITUTE(SUBSTITUTE(SUBSTITUTE('Calculations'!HF485,"~","~~"),"*","~*"),"?","~?"),'Calculations'!$HN$13:$HN$512,"="&amp;SUBSTITUTE(SUBSTITUTE(SUBSTITUTE('Dashboard'!$B$7,"~","~~"),"*","~*"),"?","~?"))+COUNTIFS('Calculations'!$HW$13:$HW$512,"="&amp;SUBSTITUTE(SUBSTITUTE(SUBSTITUTE('Calculations'!HF485,"~","~~"),"*","~*"),"?","~?"),'Calculations'!$HN$13:$HN$512,"="&amp;SUBSTITUTE(SUBSTITUTE(SUBSTITUTE('Dashboard'!$B$7,"~","~~"),"*","~*"),"?","~?"))+COUNTIFS('Calculations'!$HX$13:$HX$512,"="&amp;SUBSTITUTE(SUBSTITUTE(SUBSTITUTE('Calculations'!HF485,"~","~~"),"*","~*"),"?","~?"),'Calculations'!$HN$13:$HN$512,"="&amp;SUBSTITUTE(SUBSTITUTE(SUBSTITUTE('Dashboard'!$B$7,"~","~~"),"*","~*"),"?","~?"))+COUNTIFS('Calculations'!$HY$13:$HY$512,"="&amp;SUBSTITUTE(SUBSTITUTE(SUBSTITUTE('Calculations'!HF485,"~","~~"),"*","~*"),"?","~?"),'Calculations'!$HN$13:$HN$512,"="&amp;SUBSTITUTE(SUBSTITUTE(SUBSTITUTE('Dashboard'!$B$7,"~","~~"),"*","~*"),"?","~?"))+COUNTIFS('Calculations'!$HZ$13:$HZ$512,"="&amp;SUBSTITUTE(SUBSTITUTE(SUBSTITUTE('Calculations'!HF485,"~","~~"),"*","~*"),"?","~?"),'Calculations'!$HN$13:$HN$512,"="&amp;SUBSTITUTE(SUBSTITUTE(SUBSTITUTE('Dashboard'!$B$7,"~","~~"),"*","~*"),"?","~?"))+COUNTIFS('Calculations'!$IA$13:$IA$512,"="&amp;SUBSTITUTE(SUBSTITUTE(SUBSTITUTE('Calculations'!HF485,"~","~~"),"*","~*"),"?","~?"),'Calculations'!$HN$13:$HN$512,"="&amp;SUBSTITUTE(SUBSTITUTE(SUBSTITUTE('Dashboard'!$B$7,"~","~~"),"*","~*"),"?","~?"))+COUNTIFS('Calculations'!$IB$13:$IB$512,"="&amp;SUBSTITUTE(SUBSTITUTE(SUBSTITUTE('Calculations'!HF485,"~","~~"),"*","~*"),"?","~?"),'Calculations'!$HN$13:$HN$512,"="&amp;SUBSTITUTE(SUBSTITUTE(SUBSTITUTE('Dashboard'!$B$7,"~","~~"),"*","~*"),"?","~?"))+COUNTIFS('Calculations'!$IC$13:$IC$512,"="&amp;SUBSTITUTE(SUBSTITUTE(SUBSTITUTE('Calculations'!HF485,"~","~~"),"*","~*"),"?","~?"),'Calculations'!$HN$13:$HN$512,"="&amp;SUBSTITUTE(SUBSTITUTE(SUBSTITUTE('Dashboard'!$B$7,"~","~~"),"*","~*"),"?","~?"))+COUNTIFS('Calculations'!$ID$13:$ID$512,"="&amp;SUBSTITUTE(SUBSTITUTE(SUBSTITUTE('Calculations'!HF485,"~","~~"),"*","~*"),"?","~?"),'Calculations'!$HN$13:$HN$512,"="&amp;SUBSTITUTE(SUBSTITUTE(SUBSTITUTE('Dashboard'!$B$7,"~","~~"),"*","~*"),"?","~?"))+COUNTIFS('Calculations'!$IE$13:$IE$512,"="&amp;SUBSTITUTE(SUBSTITUTE(SUBSTITUTE('Calculations'!HF485,"~","~~"),"*","~*"),"?","~?"),'Calculations'!$HN$13:$HN$512,"="&amp;SUBSTITUTE(SUBSTITUTE(SUBSTITUTE('Dashboard'!$B$7,"~","~~"),"*","~*"),"?","~?"))+COUNTIFS('Calculations'!$IF$13:$IF$512,"="&amp;SUBSTITUTE(SUBSTITUTE(SUBSTITUTE('Calculations'!HF485,"~","~~"),"*","~*"),"?","~?"),'Calculations'!$HN$13:$HN$512,"="&amp;SUBSTITUTE(SUBSTITUTE(SUBSTITUTE('Dashboard'!$B$7,"~","~~"),"*","~*"),"?","~?"))+COUNTIFS('Calculations'!$IG$13:$IG$512,"="&amp;SUBSTITUTE(SUBSTITUTE(SUBSTITUTE('Calculations'!HF485,"~","~~"),"*","~*"),"?","~?"),'Calculations'!$HN$13:$HN$512,"="&amp;SUBSTITUTE(SUBSTITUTE(SUBSTITUTE('Dashboard'!$B$7,"~","~~"),"*","~*"),"?","~?"))+COUNTIFS('Calculations'!$IH$13:$IH$512,"="&amp;SUBSTITUTE(SUBSTITUTE(SUBSTITUTE('Calculations'!HF485,"~","~~"),"*","~*"),"?","~?"),'Calculations'!$HN$13:$HN$512,"="&amp;SUBSTITUTE(SUBSTITUTE(SUBSTITUTE('Dashboard'!$B$7,"~","~~"),"*","~*"),"?","~?"))))</x:f>
        <x:v>0</x:v>
      </x:c>
      <x:c r="JD485" t="n">
        <x:f>IF('Calculations'!EM485="",0,IF('Dashboard'!$B$7="All",1,IF('Calculations'!HN485='Dashboard'!$B$7,1,0)+IFERROR(INDEX('Calculations'!$JC$13:$JC$512,MATCH('Calculations'!HE485,'Calculations'!$HF$13:$HF$512,0)),0)))</x:f>
        <x:v>0</x:v>
      </x:c>
      <x:c r="JE485" t="n">
        <x:f>IF(AND('Calculations'!EM485&lt;&gt;"",'Calculations'!$JJ$2&lt;&gt;"All",'Calculations'!$JJ$2&lt;&gt;"",'Calculations'!HF485='Calculations'!$JJ$2,'Calculations'!HL485=0,'Calculations'!JD485&gt;0),MAX('Calculations'!$JE$12:JE484)+1,0)</x:f>
        <x:v>0</x:v>
      </x:c>
      <x:c r="JF485" t="str">
        <x:f>IF('Calculations'!EM485="","",IFERROR(IF(INDEX(INDIRECT("'WCM Calibration Final'!$G$1:$G$2000"),'Calculations'!$EM485)="","",TRIM(INDEX(INDIRECT("'WCM Calibration Final'!$G$1:$G$2000"),'Calculations'!$EM485)&amp;"")),""))</x:f>
      </x:c>
      <x:c r="JQ485" t="n">
        <x:f>IF(OR('Calculations'!BM485=0,NOT('Calculations'!$AG$2),'Calculations'!$AG$8&gt;0),0,IF(OR('Dashboard'!$B$7="All",'Calculations'!HN485='Dashboard'!$B$7),IF('Calculations'!$JJ$2="All",1,IF(AND('Calculations'!HF485='Calculations'!$JJ$2,'Calculations'!HL485=0),1,0)),0))</x:f>
        <x:v>0</x:v>
      </x:c>
    </x:row>
    <x:row r="486">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t="n">
        <x:f>IF('Calculations'!$EM486="",0,IF(OR(IFERROR(INDEX(INDIRECT("'WCM Calibration Final'!$A$1:$A$2000"),'Calculations'!$EM486)&lt;&gt;"",FALSE),IFERROR(INDEX(INDIRECT("'WCM Calibration Final'!$B$1:$B$2000"),'Calculations'!$EM486)&lt;&gt;"",FALSE),IFERROR(INDEX(INDIRECT("'WCM Calibration Final'!$C$1:$C$2000"),'Calculations'!$EM486)&lt;&gt;"",FALSE)),1,0))</x:f>
        <x:v>0</x:v>
      </x:c>
      <x:c r="BN486" s="4" t="n">
        <x:f>IF(AND('Calculations'!BM486=1,'Calculations'!$AG$2,'Calculations'!$EN486=1),1,0)</x:f>
        <x:v>0</x:v>
      </x:c>
      <x:c r="BO486" s="4" t="str">
        <x:f>IF('Calculations'!BM486=0,"",IFERROR(IF(AND(VALUE(INDEX(INDIRECT("'WCM Calibration Final'!$K$1:$K$2000"),'Calculations'!$EM486))&gt;=1,VALUE(INDEX(INDIRECT("'WCM Calibration Final'!$K$1:$K$2000"),'Calculations'!$EM486))&lt;=4,MOD(VALUE(INDEX(INDIRECT("'WCM Calibration Final'!$K$1:$K$2000"),'Calculations'!$EM486)),1)=0),VALUE(INDEX(INDIRECT("'WCM Calibration Final'!$K$1:$K$2000"),'Calculations'!$EM486)),""),""))</x:f>
      </x:c>
      <x:c r="BP486" s="4" t="str">
        <x:f>IF('Calculations'!BM486=0,"",IFERROR(IF(AND(VALUE(INDEX(INDIRECT("'WCM Calibration Final'!$L$1:$L$2000"),'Calculations'!$EM486))&gt;=1,VALUE(INDEX(INDIRECT("'WCM Calibration Final'!$L$1:$L$2000"),'Calculations'!$EM486))&lt;=4,MOD(VALUE(INDEX(INDIRECT("'WCM Calibration Final'!$L$1:$L$2000"),'Calculations'!$EM486)),1)=0),VALUE(INDEX(INDIRECT("'WCM Calibration Final'!$L$1:$L$2000"),'Calculations'!$EM486)),""),""))</x:f>
      </x:c>
      <x:c r="BQ486" s="4"/>
      <x:c r="BR486" s="4"/>
      <x:c r="BS486" s="4"/>
      <x:c r="BT486" s="4" t="n">
        <x:f>IF(AND('Calculations'!BM486=1,ISNUMBER('Calculations'!BO486),ISNUMBER('Calculations'!BP486)),1,0)</x:f>
        <x:v>0</x:v>
      </x:c>
      <x:c r="BU486" s="4" t="str">
        <x:f>IF('Calculations'!BM486=0,"",'Calculations'!$EO486)</x:f>
      </x:c>
      <x:c r="BV486" s="4" t="str">
        <x:f>IF('Calculations'!BM486=0,"",IFERROR(IF(OR(INDEX(INDIRECT("'WCM Calibration Final'!$H$1:$H$2000"),'Calculations'!$EM486)="MANAGING DIRECTOR",INDEX(INDIRECT("'WCM Calibration Final'!$H$1:$H$2000"),'Calculations'!$EM486)="DIRECTOR",INDEX(INDIRECT("'WCM Calibration Final'!$H$1:$H$2000"),'Calculations'!$EM486)="SENIOR VICE PRESIDENT",INDEX(INDIRECT("'WCM Calibration Final'!$H$1:$H$2000"),'Calculations'!$EM486)="VICE PRESIDENT",INDEX(INDIRECT("'WCM Calibration Final'!$H$1:$H$2000"),'Calculations'!$EM486)="ASSISTANT VICE PRESIDENT",INDEX(INDIRECT("'WCM Calibration Final'!$H$1:$H$2000"),'Calculations'!$EM486)="OFFICER"),UPPER(INDEX(INDIRECT("'WCM Calibration Final'!$H$1:$H$2000"),'Calculations'!$EM486)),"Other"),"Other"))</x:f>
      </x:c>
      <x:c r="BW486" s="4"/>
      <x:c r="BX486" s="4"/>
      <x:c r="BY486" s="4" t="n">
        <x:f>IF(AND('Calculations'!BM486=1,'Calculations'!BU486&lt;&gt;"",COUNTIF('Calculations'!$BU$12:BU486,'Calculations'!BU486)=1),MAX('Calculations'!$BY$11:BY485)+1,0)</x:f>
        <x:v>0</x:v>
      </x:c>
      <x:c r="BZ486" s="4" t="str">
        <x:f>IF('Dashboard'!$E$67="What",'Calculations'!BO486,'Calculations'!BP486)</x:f>
      </x:c>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t="str">
        <x:f>IF(475&gt;MAX('Calculations'!$HI$13:$HI$512),"",INDEX('Calculations'!$HN$13:$HN$512,MATCH(475,'Calculations'!$HI$13:$HI$512,0)))</x:f>
      </x:c>
      <x:c r="DB486" s="4" t="str">
        <x:f>IF(475&gt;MAX('Calculations'!$HH$13:$HH$512),"",INDEX('Calculations'!$HJ$13:$HJ$512,MATCH(475,'Calculations'!$HH$13:$HH$512,0)))</x:f>
      </x:c>
      <x:c r="DC486" s="4" t="str">
        <x:f>IF(ROW()-11&gt;MAX('Calculations'!$BY$13:$BY$512),"",INDEX('Calculations'!$BU$13:$BU$512,MATCH(ROW()-11,'Calculations'!$BY$13:$BY$512,0)))</x:f>
      </x:c>
      <x:c r="DD486" s="4" t="str">
        <x:f>IF(475&gt;MAX('Calculations'!$IK$13:$IK$512),"",INDEX('Calculations'!$HK$13:$HK$512,MATCH(475,'Calculations'!$IK$13:$IK$512,0)))</x:f>
      </x:c>
      <x:c r="DE486" s="4" t="str">
        <x:f>'Calculations'!DC486</x:f>
      </x:c>
      <x:c r="DF486" s="4" t="str">
        <x:f>IF('Calculations'!DE486="","",COUNTIFS('Calculations'!$BN$13:$BN$512,1,'Calculations'!$BU$13:$BU$512,'Calculations'!DE486))</x:f>
      </x:c>
      <x:c r="DG486" s="4" t="str">
        <x:f>IF('Calculations'!DE486="","",COUNTIFS('Calculations'!$BN$13:$BN$512,1,'Calculations'!$BU$13:$BU$512,'Calculations'!DE486,'Calculations'!$BT$13:$BT$512,1))</x:f>
      </x:c>
      <x:c r="DH486" s="4" t="str">
        <x:f>IF('Calculations'!DE486="","",'Calculations'!DF486-'Calculations'!DG486)</x:f>
      </x:c>
      <x:c r="DI486" s="4" t="str">
        <x:f>IF(OR('Calculations'!DE486="",'Calculations'!DF486=0),"",'Calculations'!DG486/'Calculations'!DF486)</x:f>
      </x:c>
      <x:c r="DJ486" s="4" t="str">
        <x:f>IF('Calculations'!DE486="","",COUNTIFS('Calculations'!$BN$13:$BN$512,1,'Calculations'!$BU$13:$BU$512,'Calculations'!DE486,'Calculations'!$BT$13:$BT$512,1,'Calculations'!$EE$13:$EE$512,"High"))</x:f>
      </x:c>
      <x:c r="DK486" s="4" t="str">
        <x:f>IF('Calculations'!DE486="","",COUNTIFS('Calculations'!$BN$13:$BN$512,1,'Calculations'!$BU$13:$BU$512,'Calculations'!DE486,'Calculations'!$BT$13:$BT$512,1,'Calculations'!$EE$13:$EE$512,"Strong"))</x:f>
      </x:c>
      <x:c r="DL486" s="4" t="str">
        <x:f>IF('Calculations'!DE486="","",COUNTIFS('Calculations'!$BN$13:$BN$512,1,'Calculations'!$BU$13:$BU$512,'Calculations'!DE486,'Calculations'!$BT$13:$BT$512,1,'Calculations'!$EE$13:$EE$512,"Solid"))</x:f>
      </x:c>
      <x:c r="DM486" s="4" t="str">
        <x:f>IF('Calculations'!DE486="","",COUNTIFS('Calculations'!$BN$13:$BN$512,1,'Calculations'!$BU$13:$BU$512,'Calculations'!DE486,'Calculations'!$BT$13:$BT$512,1,'Calculations'!$EE$13:$EE$512,"Low"))</x:f>
      </x:c>
      <x:c r="DN486" s="4" t="str">
        <x:f>IF('Calculations'!DE486="","",COUNTIFS('Calculations'!$BN$13:$BN$512,1,'Calculations'!$BU$13:$BU$512,'Calculations'!DE486,'Calculations'!$EP$13:$EP$512,1))</x:f>
      </x:c>
      <x:c r="DO486" s="4" t="str">
        <x:f>IF(OR('Calculations'!DE486="",'Calculations'!DG486=0),"",('Calculations'!DJ486+'Calculations'!DK486)/'Calculations'!DG486)</x:f>
      </x:c>
      <x:c r="DP486" s="4" t="n">
        <x:f>IF(AND('Calculations'!DE486&lt;&gt;"",'Calculations'!DF486&gt;0),COUNTIF('Calculations'!$DF$12:DF486,"&gt;0"),0)</x:f>
        <x:v>0</x:v>
      </x:c>
      <x:c r="DQ486" s="4" t="str">
        <x:f>IF(475&gt;MAX('Calculations'!$HH$13:$HH$512),"",INDEX('Calculations'!$HF$13:$HF$512,MATCH(475,'Calculations'!$HH$13:$HH$512,0)))</x:f>
      </x:c>
      <x:c r="DR486" s="4" t="str">
        <x:f>IF(475&gt;MAX('Calculations'!$IK$13:$IK$512),"",INDEX('Calculations'!$HE$13:$HE$512,MATCH(475,'Calculations'!$IK$13:$IK$512,0)))</x:f>
      </x:c>
      <x:c r="DS486" s="4"/>
      <x:c r="DT486" s="4"/>
      <x:c r="DU486" s="4"/>
      <x:c r="DV486" s="4"/>
      <x:c r="DW486" s="4"/>
      <x:c r="DX486" s="4"/>
      <x:c r="DY486" s="4"/>
      <x:c r="DZ486" s="4"/>
      <x:c r="EA486" s="4"/>
      <x:c r="EB486" s="4"/>
      <x:c r="EC486" s="4"/>
      <x:c r="ED486" s="4"/>
      <x:c r="EE486" s="4" t="str">
        <x:f>IF('Calculations'!BT486=0,"Not Rated",IF(OR('Calculations'!BO486&gt;=4,'Calculations'!BP486&gt;=4),"Low",IF('Calculations'!BO486+'Calculations'!BP486&lt;=3,"High",IF('Calculations'!BO486+'Calculations'!BP486&lt;=4,"Strong","Solid"))))</x:f>
        <x:v>Not Rated</x:v>
      </x:c>
      <x:c r="EF486" s="4"/>
      <x:c r="EG486" s="4"/>
      <x:c r="EH486" s="4"/>
      <x:c r="EI486" s="4"/>
      <x:c r="EJ486" s="4"/>
      <x:c r="EK486" s="4"/>
      <x:c r="EL486" s="4"/>
      <x:c r="EM486" s="4" t="str">
        <x:f>IF(474&gt;'Calculations'!$JB$2000,"",INDEX('Calculations'!$JA$12:$JA$2000,MATCH(474,'Calculations'!$JB$12:$JB$2000,0)))</x:f>
      </x:c>
      <x:c r="EN486" s="4" t="n">
        <x:f>IF(OR('Calculations'!EM486="",'Calculations'!$AG$8&gt;0,AND('Calculations'!$EF$2&lt;&gt;"All",'Calculations'!HE486='Calculations'!$EF$2),AND('Calculations'!$EF$3&lt;&gt;"All",'Calculations'!HE486='Calculations'!$EF$3)),0,IF(OR('Dashboard'!$B$7="All",'Calculations'!HN486='Dashboard'!$B$7),IF('Calculations'!$EF$2="All",1,IF('Calculations'!HL486&gt;0,0,IF(COUNTIF('Calculations'!HO486:II486,"="&amp;SUBSTITUTE(SUBSTITUTE(SUBSTITUTE('Calculations'!$EF$2,"~","~~"),"*","~*"),"?","~?"))=0,0,IF('Calculations'!$EF$3="All",1,IF(COUNTIF('Calculations'!HO486:II486,"="&amp;SUBSTITUTE(SUBSTITUTE(SUBSTITUTE('Calculations'!$EF$3,"~","~~"),"*","~*"),"?","~?"))&gt;0,1,0))))),0))</x:f>
        <x:v>0</x:v>
      </x:c>
      <x:c r="EO486" s="4" t="str">
        <x:f>IF('Calculations'!IJ486="","",IF('Calculations'!IJ486="!UNRESOLVED","Unresolved hierarchy",IFERROR(INDEX('Calculations'!$HK$13:$HK$512,MATCH('Calculations'!IJ486,'Calculations'!$HE$13:$HE$512,0)),IFERROR(INDEX('Calculations'!$HJ$13:$HJ$512,MATCH('Calculations'!IJ486,'Calculations'!$HF$13:$HF$512,0)),'Calculations'!IJ486))))</x:f>
      </x:c>
      <x:c r="EP486" s="4" t="n">
        <x:f>IF(AND('Calculations'!EM486&lt;&gt;"",'Calculations'!HF486='Calculations'!IJ486),1,0)</x:f>
        <x:v>0</x:v>
      </x:c>
      <x:c r="EQ486" s="4"/>
      <x:c r="ER486" s="4"/>
      <x:c r="ES486" s="4"/>
      <x:c r="ET486" s="4"/>
      <x:c r="EU486" s="4"/>
      <x:c r="EV486" s="4"/>
      <x:c r="EW486" s="4"/>
      <x:c r="EX486" s="4"/>
      <x:c r="EY486" s="4"/>
      <x:c r="EZ486" s="4"/>
      <x:c r="FA486" s="4"/>
      <x:c r="FB486" s="4"/>
      <x:c r="FC486" s="4"/>
      <x:c r="FD486" s="4"/>
      <x:c r="FE486" s="4"/>
      <x:c r="FF486" s="4"/>
      <x:c r="FG486" s="4"/>
      <x:c r="FH486" s="4"/>
      <x:c r="FI486" s="4"/>
      <x:c r="FJ486" s="4"/>
      <x:c r="FK486" s="4"/>
      <x:c r="FL486" s="4"/>
      <x:c r="FM486" s="4"/>
      <x:c r="FN486" s="4"/>
      <x:c r="FO486" s="4"/>
      <x:c r="HE486" t="str">
        <x:f>IF('Calculations'!EM486="","",IF(IFERROR(IF(INDEX(INDIRECT("'WCM Calibration Final'!$A$1:$A$2000"),'Calculations'!$EM486)="","",TRIM(INDEX(INDIRECT("'WCM Calibration Final'!$A$1:$A$2000"),'Calculations'!$EM486)&amp;"")),"")&lt;&gt;"","G:"&amp;IFERROR(TEXT(1*INDEX(INDIRECT("'WCM Calibration Final'!$A$1:$A$2000"),'Calculations'!$EM486),"0"),UPPER(IFERROR(IF(INDEX(INDIRECT("'WCM Calibration Final'!$A$1:$A$2000"),'Calculations'!$EM486)="","",TRIM(INDEX(INDIRECT("'WCM Calibration Final'!$A$1:$A$2000"),'Calculations'!$EM486)&amp;"")),""))),IF(IFERROR(IF(INDEX(INDIRECT("'WCM Calibration Final'!$C$1:$C$2000"),'Calculations'!$EM486)="","",TRIM(INDEX(INDIRECT("'WCM Calibration Final'!$C$1:$C$2000"),'Calculations'!$EM486)&amp;"")),"")&lt;&gt;"","S:"&amp;UPPER(IFERROR(IF(INDEX(INDIRECT("'WCM Calibration Final'!$C$1:$C$2000"),'Calculations'!$EM486)="","",TRIM(INDEX(INDIRECT("'WCM Calibration Final'!$C$1:$C$2000"),'Calculations'!$EM486)&amp;"")),"")),"R:"&amp;'Calculations'!EM486)))</x:f>
      </x:c>
      <x:c r="HF486" t="str">
        <x:f>IF('Calculations'!EM486="","",IF(IFERROR(IF(INDEX(INDIRECT("'WCM Calibration Final'!$D$1:$D$2000"),'Calculations'!$EM486)="","",TRIM(INDEX(INDIRECT("'WCM Calibration Final'!$D$1:$D$2000"),'Calculations'!$EM486)&amp;"")),"")&lt;&gt;"","G:"&amp;IFERROR(TEXT(1*INDEX(INDIRECT("'WCM Calibration Final'!$D$1:$D$2000"),'Calculations'!$EM486),"0"),UPPER(IFERROR(IF(INDEX(INDIRECT("'WCM Calibration Final'!$D$1:$D$2000"),'Calculations'!$EM486)="","",TRIM(INDEX(INDIRECT("'WCM Calibration Final'!$D$1:$D$2000"),'Calculations'!$EM486)&amp;"")),""))),IF(IFERROR(IF(INDEX(INDIRECT("'WCM Calibration Final'!$E$1:$E$2000"),'Calculations'!$EM486)="","",TRIM(INDEX(INDIRECT("'WCM Calibration Final'!$E$1:$E$2000"),'Calculations'!$EM486)&amp;"")),"")="","",IF(COUNTIF('Calculations'!$HG$13:$HG$512,"="&amp;SUBSTITUTE(SUBSTITUTE(SUBSTITUTE(IFERROR(IF(INDEX(INDIRECT("'WCM Calibration Final'!$E$1:$E$2000"),'Calculations'!$EM486)="","",TRIM(INDEX(INDIRECT("'WCM Calibration Final'!$E$1:$E$2000"),'Calculations'!$EM486)&amp;"")),""),"~","~~"),"*","~*"),"?","~?"))=1,INDEX('Calculations'!$HE$13:$HE$512,MATCH(IFERROR(IF(INDEX(INDIRECT("'WCM Calibration Final'!$E$1:$E$2000"),'Calculations'!$EM486)="","",TRIM(INDEX(INDIRECT("'WCM Calibration Final'!$E$1:$E$2000"),'Calculations'!$EM486)&amp;"")),""),'Calculations'!$HG$13:$HG$512,0)),IF(COUNTIF('Calculations'!$HG$13:$HG$512,"="&amp;SUBSTITUTE(SUBSTITUTE(SUBSTITUTE(IFERROR(IF(INDEX(INDIRECT("'WCM Calibration Final'!$E$1:$E$2000"),'Calculations'!$EM486)="","",TRIM(INDEX(INDIRECT("'WCM Calibration Final'!$E$1:$E$2000"),'Calculations'!$EM486)&amp;"")),""),"~","~~"),"*","~*"),"?","~?"))&gt;1,"!AMBIG","X:"&amp;IFERROR(IF(INDEX(INDIRECT("'WCM Calibration Final'!$E$1:$E$2000"),'Calculations'!$EM486)="","",TRIM(INDEX(INDIRECT("'WCM Calibration Final'!$E$1:$E$2000"),'Calculations'!$EM486)&amp;"")),""))))))</x:f>
      </x:c>
      <x:c r="HG486" t="str">
        <x:f>IF('Calculations'!EM486="","",IFERROR(IF(INDEX(INDIRECT("'WCM Calibration Final'!$B$1:$B$2000"),'Calculations'!$EM486)="","",TRIM(INDEX(INDIRECT("'WCM Calibration Final'!$B$1:$B$2000"),'Calculations'!$EM486)&amp;"")),""))</x:f>
      </x:c>
      <x:c r="HH486" t="n">
        <x:f>IF(AND('Calculations'!JC486&gt;0,COUNTIF('Calculations'!$HF$12:HF486,"="&amp;SUBSTITUTE(SUBSTITUTE(SUBSTITUTE('Calculations'!HF486,"~","~~"),"*","~*"),"?","~?"))=1),MAX('Calculations'!$HH$12:HH485)+1,0)</x:f>
        <x:v>0</x:v>
      </x:c>
      <x:c r="HI486" t="n">
        <x:f>IF(AND('Calculations'!HN486&lt;&gt;"",COUNTIF('Calculations'!$HN$12:HN486,"="&amp;SUBSTITUTE(SUBSTITUTE(SUBSTITUTE('Calculations'!HN486,"~","~~"),"*","~*"),"?","~?"))=1),MAX('Calculations'!$HI$12:HI485)+1,0)</x:f>
        <x:v>0</x:v>
      </x:c>
      <x:c r="HJ486" t="str">
        <x:f>IF('Calculations'!HF486="","",IF(COUNTIF('Calculations'!$HE$13:$HE$512,"="&amp;SUBSTITUTE(SUBSTITUTE(SUBSTITUTE('Calculations'!HF486,"~","~~"),"*","~*"),"?","~?"))=1,INDEX('Calculations'!$HK$13:$HK$512,MATCH('Calculations'!HF486,'Calculations'!$HE$13:$HE$512,0)),IFERROR(IF(INDEX(INDIRECT("'WCM Calibration Final'!$E$1:$E$2000"),'Calculations'!$EM486)="","",TRIM(INDEX(INDIRECT("'WCM Calibration Final'!$E$1:$E$2000"),'Calculations'!$EM486)&amp;"")),"")&amp;" ["&amp;'Calculations'!HF486&amp;"]"))</x:f>
      </x:c>
      <x:c r="HK486" t="str">
        <x:f>IF('Calculations'!EM486="","",'Calculations'!HG486&amp;" ["&amp;'Calculations'!HE486&amp;"]")</x:f>
      </x:c>
      <x:c r="HL486" t="n">
        <x:f>IF('Calculations'!EM486="",0,IF(OR('Calculations'!II486&lt;&gt;"",COUNTIF('Calculations'!$HE$13:$HE$512,"="&amp;SUBSTITUTE(SUBSTITUTE(SUBSTITUTE('Calculations'!HE486,"~","~~"),"*","~*"),"?","~?"))&gt;1),1,0))</x:f>
        <x:v>0</x:v>
      </x:c>
      <x:c r="HM486" t="str">
        <x:f>IF('Calculations'!EM486="","",IF('Calculations'!HL486=1,"!UNRESOLVED",IF('Calculations'!IH486&lt;&gt;"",'Calculations'!IH486,IF('Calculations'!IG486&lt;&gt;"",'Calculations'!IG486,IF('Calculations'!IF486&lt;&gt;"",'Calculations'!IF486,IF('Calculations'!IE486&lt;&gt;"",'Calculations'!IE486,IF('Calculations'!ID486&lt;&gt;"",'Calculations'!ID486,IF('Calculations'!IC486&lt;&gt;"",'Calculations'!IC486,IF('Calculations'!IB486&lt;&gt;"",'Calculations'!IB486,IF('Calculations'!IA486&lt;&gt;"",'Calculations'!IA486,IF('Calculations'!HZ486&lt;&gt;"",'Calculations'!HZ486,IF('Calculations'!HY486&lt;&gt;"",'Calculations'!HY486,IF('Calculations'!HX486&lt;&gt;"",'Calculations'!HX486,IF('Calculations'!HW486&lt;&gt;"",'Calculations'!HW486,IF('Calculations'!HV486&lt;&gt;"",'Calculations'!HV486,IF('Calculations'!HU486&lt;&gt;"",'Calculations'!HU486,IF('Calculations'!HT486&lt;&gt;"",'Calculations'!HT486,IF('Calculations'!HS486&lt;&gt;"",'Calculations'!HS486,IF('Calculations'!HR486&lt;&gt;"",'Calculations'!HR486,IF('Calculations'!HQ486&lt;&gt;"",'Calculations'!HQ486,IF('Calculations'!HP486&lt;&gt;"",'Calculations'!HP486,IF('Calculations'!HO486&lt;&gt;"",'Calculations'!HO486,'Calculations'!HE486))))))))))))))))))))))</x:f>
      </x:c>
      <x:c r="HN486" t="str">
        <x:f>IF('Calculations'!EM486="","",IF(IFERROR(IF(INDEX(INDIRECT("'WCM Calibration Final'!$F$1:$F$2000"),'Calculations'!$EM486)="","",TRIM(INDEX(INDIRECT("'WCM Calibration Final'!$F$1:$F$2000"),'Calculations'!$EM486)&amp;"")),"")="","(Blank)",IFERROR(IF(INDEX(INDIRECT("'WCM Calibration Final'!$F$1:$F$2000"),'Calculations'!$EM486)="","",TRIM(INDEX(INDIRECT("'WCM Calibration Final'!$F$1:$F$2000"),'Calculations'!$EM486)&amp;"")),"")))</x:f>
      </x:c>
      <x:c r="HO486" t="str">
        <x:f>'Calculations'!HF486</x:f>
      </x:c>
      <x:c r="HP486" t="str">
        <x:f>IF('Calculations'!HO486="","",IF('Calculations'!HO486="!AMBIG","!AMBIG",IF(COUNTIF('Calculations'!$HE$13:$HE$512,"="&amp;SUBSTITUTE(SUBSTITUTE(SUBSTITUTE('Calculations'!HO486,"~","~~"),"*","~*"),"?","~?"))&gt;1,"!AMBIG",IFERROR(INDEX('Calculations'!$HF$13:$HF$512,MATCH('Calculations'!HO486,'Calculations'!$HE$13:$HE$512,0)),""))))</x:f>
      </x:c>
      <x:c r="HQ486" t="str">
        <x:f>IF('Calculations'!HP486="","",IF('Calculations'!HP486="!AMBIG","!AMBIG",IF(COUNTIF('Calculations'!$HE$13:$HE$512,"="&amp;SUBSTITUTE(SUBSTITUTE(SUBSTITUTE('Calculations'!HP486,"~","~~"),"*","~*"),"?","~?"))&gt;1,"!AMBIG",IFERROR(INDEX('Calculations'!$HF$13:$HF$512,MATCH('Calculations'!HP486,'Calculations'!$HE$13:$HE$512,0)),""))))</x:f>
      </x:c>
      <x:c r="HR486" t="str">
        <x:f>IF('Calculations'!HQ486="","",IF('Calculations'!HQ486="!AMBIG","!AMBIG",IF(COUNTIF('Calculations'!$HE$13:$HE$512,"="&amp;SUBSTITUTE(SUBSTITUTE(SUBSTITUTE('Calculations'!HQ486,"~","~~"),"*","~*"),"?","~?"))&gt;1,"!AMBIG",IFERROR(INDEX('Calculations'!$HF$13:$HF$512,MATCH('Calculations'!HQ486,'Calculations'!$HE$13:$HE$512,0)),""))))</x:f>
      </x:c>
      <x:c r="HS486" t="str">
        <x:f>IF('Calculations'!HR486="","",IF('Calculations'!HR486="!AMBIG","!AMBIG",IF(COUNTIF('Calculations'!$HE$13:$HE$512,"="&amp;SUBSTITUTE(SUBSTITUTE(SUBSTITUTE('Calculations'!HR486,"~","~~"),"*","~*"),"?","~?"))&gt;1,"!AMBIG",IFERROR(INDEX('Calculations'!$HF$13:$HF$512,MATCH('Calculations'!HR486,'Calculations'!$HE$13:$HE$512,0)),""))))</x:f>
      </x:c>
      <x:c r="HT486" t="str">
        <x:f>IF('Calculations'!HS486="","",IF('Calculations'!HS486="!AMBIG","!AMBIG",IF(COUNTIF('Calculations'!$HE$13:$HE$512,"="&amp;SUBSTITUTE(SUBSTITUTE(SUBSTITUTE('Calculations'!HS486,"~","~~"),"*","~*"),"?","~?"))&gt;1,"!AMBIG",IFERROR(INDEX('Calculations'!$HF$13:$HF$512,MATCH('Calculations'!HS486,'Calculations'!$HE$13:$HE$512,0)),""))))</x:f>
      </x:c>
      <x:c r="HU486" t="str">
        <x:f>IF('Calculations'!HT486="","",IF('Calculations'!HT486="!AMBIG","!AMBIG",IF(COUNTIF('Calculations'!$HE$13:$HE$512,"="&amp;SUBSTITUTE(SUBSTITUTE(SUBSTITUTE('Calculations'!HT486,"~","~~"),"*","~*"),"?","~?"))&gt;1,"!AMBIG",IFERROR(INDEX('Calculations'!$HF$13:$HF$512,MATCH('Calculations'!HT486,'Calculations'!$HE$13:$HE$512,0)),""))))</x:f>
      </x:c>
      <x:c r="HV486" t="str">
        <x:f>IF('Calculations'!HU486="","",IF('Calculations'!HU486="!AMBIG","!AMBIG",IF(COUNTIF('Calculations'!$HE$13:$HE$512,"="&amp;SUBSTITUTE(SUBSTITUTE(SUBSTITUTE('Calculations'!HU486,"~","~~"),"*","~*"),"?","~?"))&gt;1,"!AMBIG",IFERROR(INDEX('Calculations'!$HF$13:$HF$512,MATCH('Calculations'!HU486,'Calculations'!$HE$13:$HE$512,0)),""))))</x:f>
      </x:c>
      <x:c r="HW486" t="str">
        <x:f>IF('Calculations'!HV486="","",IF('Calculations'!HV486="!AMBIG","!AMBIG",IF(COUNTIF('Calculations'!$HE$13:$HE$512,"="&amp;SUBSTITUTE(SUBSTITUTE(SUBSTITUTE('Calculations'!HV486,"~","~~"),"*","~*"),"?","~?"))&gt;1,"!AMBIG",IFERROR(INDEX('Calculations'!$HF$13:$HF$512,MATCH('Calculations'!HV486,'Calculations'!$HE$13:$HE$512,0)),""))))</x:f>
      </x:c>
      <x:c r="HX486" t="str">
        <x:f>IF('Calculations'!HW486="","",IF('Calculations'!HW486="!AMBIG","!AMBIG",IF(COUNTIF('Calculations'!$HE$13:$HE$512,"="&amp;SUBSTITUTE(SUBSTITUTE(SUBSTITUTE('Calculations'!HW486,"~","~~"),"*","~*"),"?","~?"))&gt;1,"!AMBIG",IFERROR(INDEX('Calculations'!$HF$13:$HF$512,MATCH('Calculations'!HW486,'Calculations'!$HE$13:$HE$512,0)),""))))</x:f>
      </x:c>
      <x:c r="HY486" t="str">
        <x:f>IF('Calculations'!HX486="","",IF('Calculations'!HX486="!AMBIG","!AMBIG",IF(COUNTIF('Calculations'!$HE$13:$HE$512,"="&amp;SUBSTITUTE(SUBSTITUTE(SUBSTITUTE('Calculations'!HX486,"~","~~"),"*","~*"),"?","~?"))&gt;1,"!AMBIG",IFERROR(INDEX('Calculations'!$HF$13:$HF$512,MATCH('Calculations'!HX486,'Calculations'!$HE$13:$HE$512,0)),""))))</x:f>
      </x:c>
      <x:c r="HZ486" t="str">
        <x:f>IF('Calculations'!HY486="","",IF('Calculations'!HY486="!AMBIG","!AMBIG",IF(COUNTIF('Calculations'!$HE$13:$HE$512,"="&amp;SUBSTITUTE(SUBSTITUTE(SUBSTITUTE('Calculations'!HY486,"~","~~"),"*","~*"),"?","~?"))&gt;1,"!AMBIG",IFERROR(INDEX('Calculations'!$HF$13:$HF$512,MATCH('Calculations'!HY486,'Calculations'!$HE$13:$HE$512,0)),""))))</x:f>
      </x:c>
      <x:c r="IA486" t="str">
        <x:f>IF('Calculations'!HZ486="","",IF('Calculations'!HZ486="!AMBIG","!AMBIG",IF(COUNTIF('Calculations'!$HE$13:$HE$512,"="&amp;SUBSTITUTE(SUBSTITUTE(SUBSTITUTE('Calculations'!HZ486,"~","~~"),"*","~*"),"?","~?"))&gt;1,"!AMBIG",IFERROR(INDEX('Calculations'!$HF$13:$HF$512,MATCH('Calculations'!HZ486,'Calculations'!$HE$13:$HE$512,0)),""))))</x:f>
      </x:c>
      <x:c r="IB486" t="str">
        <x:f>IF('Calculations'!IA486="","",IF('Calculations'!IA486="!AMBIG","!AMBIG",IF(COUNTIF('Calculations'!$HE$13:$HE$512,"="&amp;SUBSTITUTE(SUBSTITUTE(SUBSTITUTE('Calculations'!IA486,"~","~~"),"*","~*"),"?","~?"))&gt;1,"!AMBIG",IFERROR(INDEX('Calculations'!$HF$13:$HF$512,MATCH('Calculations'!IA486,'Calculations'!$HE$13:$HE$512,0)),""))))</x:f>
      </x:c>
      <x:c r="IC486" t="str">
        <x:f>IF('Calculations'!IB486="","",IF('Calculations'!IB486="!AMBIG","!AMBIG",IF(COUNTIF('Calculations'!$HE$13:$HE$512,"="&amp;SUBSTITUTE(SUBSTITUTE(SUBSTITUTE('Calculations'!IB486,"~","~~"),"*","~*"),"?","~?"))&gt;1,"!AMBIG",IFERROR(INDEX('Calculations'!$HF$13:$HF$512,MATCH('Calculations'!IB486,'Calculations'!$HE$13:$HE$512,0)),""))))</x:f>
      </x:c>
      <x:c r="ID486" t="str">
        <x:f>IF('Calculations'!IC486="","",IF('Calculations'!IC486="!AMBIG","!AMBIG",IF(COUNTIF('Calculations'!$HE$13:$HE$512,"="&amp;SUBSTITUTE(SUBSTITUTE(SUBSTITUTE('Calculations'!IC486,"~","~~"),"*","~*"),"?","~?"))&gt;1,"!AMBIG",IFERROR(INDEX('Calculations'!$HF$13:$HF$512,MATCH('Calculations'!IC486,'Calculations'!$HE$13:$HE$512,0)),""))))</x:f>
      </x:c>
      <x:c r="IE486" t="str">
        <x:f>IF('Calculations'!ID486="","",IF('Calculations'!ID486="!AMBIG","!AMBIG",IF(COUNTIF('Calculations'!$HE$13:$HE$512,"="&amp;SUBSTITUTE(SUBSTITUTE(SUBSTITUTE('Calculations'!ID486,"~","~~"),"*","~*"),"?","~?"))&gt;1,"!AMBIG",IFERROR(INDEX('Calculations'!$HF$13:$HF$512,MATCH('Calculations'!ID486,'Calculations'!$HE$13:$HE$512,0)),""))))</x:f>
      </x:c>
      <x:c r="IF486" t="str">
        <x:f>IF('Calculations'!IE486="","",IF('Calculations'!IE486="!AMBIG","!AMBIG",IF(COUNTIF('Calculations'!$HE$13:$HE$512,"="&amp;SUBSTITUTE(SUBSTITUTE(SUBSTITUTE('Calculations'!IE486,"~","~~"),"*","~*"),"?","~?"))&gt;1,"!AMBIG",IFERROR(INDEX('Calculations'!$HF$13:$HF$512,MATCH('Calculations'!IE486,'Calculations'!$HE$13:$HE$512,0)),""))))</x:f>
      </x:c>
      <x:c r="IG486" t="str">
        <x:f>IF('Calculations'!IF486="","",IF('Calculations'!IF486="!AMBIG","!AMBIG",IF(COUNTIF('Calculations'!$HE$13:$HE$512,"="&amp;SUBSTITUTE(SUBSTITUTE(SUBSTITUTE('Calculations'!IF486,"~","~~"),"*","~*"),"?","~?"))&gt;1,"!AMBIG",IFERROR(INDEX('Calculations'!$HF$13:$HF$512,MATCH('Calculations'!IF486,'Calculations'!$HE$13:$HE$512,0)),""))))</x:f>
      </x:c>
      <x:c r="IH486" t="str">
        <x:f>IF('Calculations'!IG486="","",IF('Calculations'!IG486="!AMBIG","!AMBIG",IF(COUNTIF('Calculations'!$HE$13:$HE$512,"="&amp;SUBSTITUTE(SUBSTITUTE(SUBSTITUTE('Calculations'!IG486,"~","~~"),"*","~*"),"?","~?"))&gt;1,"!AMBIG",IFERROR(INDEX('Calculations'!$HF$13:$HF$512,MATCH('Calculations'!IG486,'Calculations'!$HE$13:$HE$512,0)),""))))</x:f>
      </x:c>
      <x:c r="II486" t="str">
        <x:f>IF('Calculations'!IH486="","",IF('Calculations'!IH486="!AMBIG","!AMBIG",IF(COUNTIF('Calculations'!$HE$13:$HE$512,"="&amp;SUBSTITUTE(SUBSTITUTE(SUBSTITUTE('Calculations'!IH486,"~","~~"),"*","~*"),"?","~?"))&gt;1,"!AMBIG",IFERROR(INDEX('Calculations'!$HF$13:$HF$512,MATCH('Calculations'!IH486,'Calculations'!$HE$13:$HE$512,0)),""))))</x:f>
      </x:c>
      <x:c r="IJ486" t="str">
        <x:f>IF('Calculations'!EM486="","",IF('Calculations'!$EF$2="All",'Calculations'!HM486,IF('Calculations'!HL486=1,"",IFERROR(IF(MATCH('Calculations'!$EF$2,'Calculations'!HO486:II486,0)=1,'Calculations'!HE486,INDEX('Calculations'!HO486:II486,1,MATCH('Calculations'!$EF$2,'Calculations'!HO486:II486,0)-1)),""))))</x:f>
      </x:c>
      <x:c r="IK486" t="n">
        <x:f>IF(AND('Calculations'!EM486&lt;&gt;"",'Calculations'!$EF$2&lt;&gt;"All",'Calculations'!HF486='Calculations'!$EF$2,'Calculations'!HL486=0,'Calculations'!JD486&gt;0),MAX('Calculations'!$IK$12:IK485)+1,0)</x:f>
        <x:v>0</x:v>
      </x:c>
      <x:c r="JA486" t="n">
        <x:f>IF(OR(IFERROR(INDIRECT("'WCM Calibration Final'!$A$486")&lt;&gt;"",FALSE),IFERROR(INDIRECT("'WCM Calibration Final'!$B$486")&lt;&gt;"",FALSE),IFERROR(INDIRECT("'WCM Calibration Final'!$C$486")&lt;&gt;"",FALSE)),486,0)</x:f>
        <x:v>0</x:v>
      </x:c>
      <x:c r="JB486" t="n">
        <x:f>'Calculations'!JB485+IF('Calculations'!JA486&gt;0,1,0)</x:f>
        <x:v>0</x:v>
      </x:c>
      <x:c r="JC486" t="n">
        <x:f>IF(OR('Calculations'!HF486="",'Calculations'!HF486="!AMBIG"),0,IF('Dashboard'!$B$7="All",1,COUNTIFS('Calculations'!$HO$13:$HO$512,"="&amp;SUBSTITUTE(SUBSTITUTE(SUBSTITUTE('Calculations'!HF486,"~","~~"),"*","~*"),"?","~?"),'Calculations'!$HN$13:$HN$512,"="&amp;SUBSTITUTE(SUBSTITUTE(SUBSTITUTE('Dashboard'!$B$7,"~","~~"),"*","~*"),"?","~?"))+COUNTIFS('Calculations'!$HP$13:$HP$512,"="&amp;SUBSTITUTE(SUBSTITUTE(SUBSTITUTE('Calculations'!HF486,"~","~~"),"*","~*"),"?","~?"),'Calculations'!$HN$13:$HN$512,"="&amp;SUBSTITUTE(SUBSTITUTE(SUBSTITUTE('Dashboard'!$B$7,"~","~~"),"*","~*"),"?","~?"))+COUNTIFS('Calculations'!$HQ$13:$HQ$512,"="&amp;SUBSTITUTE(SUBSTITUTE(SUBSTITUTE('Calculations'!HF486,"~","~~"),"*","~*"),"?","~?"),'Calculations'!$HN$13:$HN$512,"="&amp;SUBSTITUTE(SUBSTITUTE(SUBSTITUTE('Dashboard'!$B$7,"~","~~"),"*","~*"),"?","~?"))+COUNTIFS('Calculations'!$HR$13:$HR$512,"="&amp;SUBSTITUTE(SUBSTITUTE(SUBSTITUTE('Calculations'!HF486,"~","~~"),"*","~*"),"?","~?"),'Calculations'!$HN$13:$HN$512,"="&amp;SUBSTITUTE(SUBSTITUTE(SUBSTITUTE('Dashboard'!$B$7,"~","~~"),"*","~*"),"?","~?"))+COUNTIFS('Calculations'!$HS$13:$HS$512,"="&amp;SUBSTITUTE(SUBSTITUTE(SUBSTITUTE('Calculations'!HF486,"~","~~"),"*","~*"),"?","~?"),'Calculations'!$HN$13:$HN$512,"="&amp;SUBSTITUTE(SUBSTITUTE(SUBSTITUTE('Dashboard'!$B$7,"~","~~"),"*","~*"),"?","~?"))+COUNTIFS('Calculations'!$HT$13:$HT$512,"="&amp;SUBSTITUTE(SUBSTITUTE(SUBSTITUTE('Calculations'!HF486,"~","~~"),"*","~*"),"?","~?"),'Calculations'!$HN$13:$HN$512,"="&amp;SUBSTITUTE(SUBSTITUTE(SUBSTITUTE('Dashboard'!$B$7,"~","~~"),"*","~*"),"?","~?"))+COUNTIFS('Calculations'!$HU$13:$HU$512,"="&amp;SUBSTITUTE(SUBSTITUTE(SUBSTITUTE('Calculations'!HF486,"~","~~"),"*","~*"),"?","~?"),'Calculations'!$HN$13:$HN$512,"="&amp;SUBSTITUTE(SUBSTITUTE(SUBSTITUTE('Dashboard'!$B$7,"~","~~"),"*","~*"),"?","~?"))+COUNTIFS('Calculations'!$HV$13:$HV$512,"="&amp;SUBSTITUTE(SUBSTITUTE(SUBSTITUTE('Calculations'!HF486,"~","~~"),"*","~*"),"?","~?"),'Calculations'!$HN$13:$HN$512,"="&amp;SUBSTITUTE(SUBSTITUTE(SUBSTITUTE('Dashboard'!$B$7,"~","~~"),"*","~*"),"?","~?"))+COUNTIFS('Calculations'!$HW$13:$HW$512,"="&amp;SUBSTITUTE(SUBSTITUTE(SUBSTITUTE('Calculations'!HF486,"~","~~"),"*","~*"),"?","~?"),'Calculations'!$HN$13:$HN$512,"="&amp;SUBSTITUTE(SUBSTITUTE(SUBSTITUTE('Dashboard'!$B$7,"~","~~"),"*","~*"),"?","~?"))+COUNTIFS('Calculations'!$HX$13:$HX$512,"="&amp;SUBSTITUTE(SUBSTITUTE(SUBSTITUTE('Calculations'!HF486,"~","~~"),"*","~*"),"?","~?"),'Calculations'!$HN$13:$HN$512,"="&amp;SUBSTITUTE(SUBSTITUTE(SUBSTITUTE('Dashboard'!$B$7,"~","~~"),"*","~*"),"?","~?"))+COUNTIFS('Calculations'!$HY$13:$HY$512,"="&amp;SUBSTITUTE(SUBSTITUTE(SUBSTITUTE('Calculations'!HF486,"~","~~"),"*","~*"),"?","~?"),'Calculations'!$HN$13:$HN$512,"="&amp;SUBSTITUTE(SUBSTITUTE(SUBSTITUTE('Dashboard'!$B$7,"~","~~"),"*","~*"),"?","~?"))+COUNTIFS('Calculations'!$HZ$13:$HZ$512,"="&amp;SUBSTITUTE(SUBSTITUTE(SUBSTITUTE('Calculations'!HF486,"~","~~"),"*","~*"),"?","~?"),'Calculations'!$HN$13:$HN$512,"="&amp;SUBSTITUTE(SUBSTITUTE(SUBSTITUTE('Dashboard'!$B$7,"~","~~"),"*","~*"),"?","~?"))+COUNTIFS('Calculations'!$IA$13:$IA$512,"="&amp;SUBSTITUTE(SUBSTITUTE(SUBSTITUTE('Calculations'!HF486,"~","~~"),"*","~*"),"?","~?"),'Calculations'!$HN$13:$HN$512,"="&amp;SUBSTITUTE(SUBSTITUTE(SUBSTITUTE('Dashboard'!$B$7,"~","~~"),"*","~*"),"?","~?"))+COUNTIFS('Calculations'!$IB$13:$IB$512,"="&amp;SUBSTITUTE(SUBSTITUTE(SUBSTITUTE('Calculations'!HF486,"~","~~"),"*","~*"),"?","~?"),'Calculations'!$HN$13:$HN$512,"="&amp;SUBSTITUTE(SUBSTITUTE(SUBSTITUTE('Dashboard'!$B$7,"~","~~"),"*","~*"),"?","~?"))+COUNTIFS('Calculations'!$IC$13:$IC$512,"="&amp;SUBSTITUTE(SUBSTITUTE(SUBSTITUTE('Calculations'!HF486,"~","~~"),"*","~*"),"?","~?"),'Calculations'!$HN$13:$HN$512,"="&amp;SUBSTITUTE(SUBSTITUTE(SUBSTITUTE('Dashboard'!$B$7,"~","~~"),"*","~*"),"?","~?"))+COUNTIFS('Calculations'!$ID$13:$ID$512,"="&amp;SUBSTITUTE(SUBSTITUTE(SUBSTITUTE('Calculations'!HF486,"~","~~"),"*","~*"),"?","~?"),'Calculations'!$HN$13:$HN$512,"="&amp;SUBSTITUTE(SUBSTITUTE(SUBSTITUTE('Dashboard'!$B$7,"~","~~"),"*","~*"),"?","~?"))+COUNTIFS('Calculations'!$IE$13:$IE$512,"="&amp;SUBSTITUTE(SUBSTITUTE(SUBSTITUTE('Calculations'!HF486,"~","~~"),"*","~*"),"?","~?"),'Calculations'!$HN$13:$HN$512,"="&amp;SUBSTITUTE(SUBSTITUTE(SUBSTITUTE('Dashboard'!$B$7,"~","~~"),"*","~*"),"?","~?"))+COUNTIFS('Calculations'!$IF$13:$IF$512,"="&amp;SUBSTITUTE(SUBSTITUTE(SUBSTITUTE('Calculations'!HF486,"~","~~"),"*","~*"),"?","~?"),'Calculations'!$HN$13:$HN$512,"="&amp;SUBSTITUTE(SUBSTITUTE(SUBSTITUTE('Dashboard'!$B$7,"~","~~"),"*","~*"),"?","~?"))+COUNTIFS('Calculations'!$IG$13:$IG$512,"="&amp;SUBSTITUTE(SUBSTITUTE(SUBSTITUTE('Calculations'!HF486,"~","~~"),"*","~*"),"?","~?"),'Calculations'!$HN$13:$HN$512,"="&amp;SUBSTITUTE(SUBSTITUTE(SUBSTITUTE('Dashboard'!$B$7,"~","~~"),"*","~*"),"?","~?"))+COUNTIFS('Calculations'!$IH$13:$IH$512,"="&amp;SUBSTITUTE(SUBSTITUTE(SUBSTITUTE('Calculations'!HF486,"~","~~"),"*","~*"),"?","~?"),'Calculations'!$HN$13:$HN$512,"="&amp;SUBSTITUTE(SUBSTITUTE(SUBSTITUTE('Dashboard'!$B$7,"~","~~"),"*","~*"),"?","~?"))))</x:f>
        <x:v>0</x:v>
      </x:c>
      <x:c r="JD486" t="n">
        <x:f>IF('Calculations'!EM486="",0,IF('Dashboard'!$B$7="All",1,IF('Calculations'!HN486='Dashboard'!$B$7,1,0)+IFERROR(INDEX('Calculations'!$JC$13:$JC$512,MATCH('Calculations'!HE486,'Calculations'!$HF$13:$HF$512,0)),0)))</x:f>
        <x:v>0</x:v>
      </x:c>
      <x:c r="JE486" t="n">
        <x:f>IF(AND('Calculations'!EM486&lt;&gt;"",'Calculations'!$JJ$2&lt;&gt;"All",'Calculations'!$JJ$2&lt;&gt;"",'Calculations'!HF486='Calculations'!$JJ$2,'Calculations'!HL486=0,'Calculations'!JD486&gt;0),MAX('Calculations'!$JE$12:JE485)+1,0)</x:f>
        <x:v>0</x:v>
      </x:c>
      <x:c r="JF486" t="str">
        <x:f>IF('Calculations'!EM486="","",IFERROR(IF(INDEX(INDIRECT("'WCM Calibration Final'!$G$1:$G$2000"),'Calculations'!$EM486)="","",TRIM(INDEX(INDIRECT("'WCM Calibration Final'!$G$1:$G$2000"),'Calculations'!$EM486)&amp;"")),""))</x:f>
      </x:c>
      <x:c r="JQ486" t="n">
        <x:f>IF(OR('Calculations'!BM486=0,NOT('Calculations'!$AG$2),'Calculations'!$AG$8&gt;0),0,IF(OR('Dashboard'!$B$7="All",'Calculations'!HN486='Dashboard'!$B$7),IF('Calculations'!$JJ$2="All",1,IF(AND('Calculations'!HF486='Calculations'!$JJ$2,'Calculations'!HL486=0),1,0)),0))</x:f>
        <x:v>0</x:v>
      </x:c>
    </x:row>
    <x:row r="487">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t="n">
        <x:f>IF('Calculations'!$EM487="",0,IF(OR(IFERROR(INDEX(INDIRECT("'WCM Calibration Final'!$A$1:$A$2000"),'Calculations'!$EM487)&lt;&gt;"",FALSE),IFERROR(INDEX(INDIRECT("'WCM Calibration Final'!$B$1:$B$2000"),'Calculations'!$EM487)&lt;&gt;"",FALSE),IFERROR(INDEX(INDIRECT("'WCM Calibration Final'!$C$1:$C$2000"),'Calculations'!$EM487)&lt;&gt;"",FALSE)),1,0))</x:f>
        <x:v>0</x:v>
      </x:c>
      <x:c r="BN487" s="4" t="n">
        <x:f>IF(AND('Calculations'!BM487=1,'Calculations'!$AG$2,'Calculations'!$EN487=1),1,0)</x:f>
        <x:v>0</x:v>
      </x:c>
      <x:c r="BO487" s="4" t="str">
        <x:f>IF('Calculations'!BM487=0,"",IFERROR(IF(AND(VALUE(INDEX(INDIRECT("'WCM Calibration Final'!$K$1:$K$2000"),'Calculations'!$EM487))&gt;=1,VALUE(INDEX(INDIRECT("'WCM Calibration Final'!$K$1:$K$2000"),'Calculations'!$EM487))&lt;=4,MOD(VALUE(INDEX(INDIRECT("'WCM Calibration Final'!$K$1:$K$2000"),'Calculations'!$EM487)),1)=0),VALUE(INDEX(INDIRECT("'WCM Calibration Final'!$K$1:$K$2000"),'Calculations'!$EM487)),""),""))</x:f>
      </x:c>
      <x:c r="BP487" s="4" t="str">
        <x:f>IF('Calculations'!BM487=0,"",IFERROR(IF(AND(VALUE(INDEX(INDIRECT("'WCM Calibration Final'!$L$1:$L$2000"),'Calculations'!$EM487))&gt;=1,VALUE(INDEX(INDIRECT("'WCM Calibration Final'!$L$1:$L$2000"),'Calculations'!$EM487))&lt;=4,MOD(VALUE(INDEX(INDIRECT("'WCM Calibration Final'!$L$1:$L$2000"),'Calculations'!$EM487)),1)=0),VALUE(INDEX(INDIRECT("'WCM Calibration Final'!$L$1:$L$2000"),'Calculations'!$EM487)),""),""))</x:f>
      </x:c>
      <x:c r="BQ487" s="4"/>
      <x:c r="BR487" s="4"/>
      <x:c r="BS487" s="4"/>
      <x:c r="BT487" s="4" t="n">
        <x:f>IF(AND('Calculations'!BM487=1,ISNUMBER('Calculations'!BO487),ISNUMBER('Calculations'!BP487)),1,0)</x:f>
        <x:v>0</x:v>
      </x:c>
      <x:c r="BU487" s="4" t="str">
        <x:f>IF('Calculations'!BM487=0,"",'Calculations'!$EO487)</x:f>
      </x:c>
      <x:c r="BV487" s="4" t="str">
        <x:f>IF('Calculations'!BM487=0,"",IFERROR(IF(OR(INDEX(INDIRECT("'WCM Calibration Final'!$H$1:$H$2000"),'Calculations'!$EM487)="MANAGING DIRECTOR",INDEX(INDIRECT("'WCM Calibration Final'!$H$1:$H$2000"),'Calculations'!$EM487)="DIRECTOR",INDEX(INDIRECT("'WCM Calibration Final'!$H$1:$H$2000"),'Calculations'!$EM487)="SENIOR VICE PRESIDENT",INDEX(INDIRECT("'WCM Calibration Final'!$H$1:$H$2000"),'Calculations'!$EM487)="VICE PRESIDENT",INDEX(INDIRECT("'WCM Calibration Final'!$H$1:$H$2000"),'Calculations'!$EM487)="ASSISTANT VICE PRESIDENT",INDEX(INDIRECT("'WCM Calibration Final'!$H$1:$H$2000"),'Calculations'!$EM487)="OFFICER"),UPPER(INDEX(INDIRECT("'WCM Calibration Final'!$H$1:$H$2000"),'Calculations'!$EM487)),"Other"),"Other"))</x:f>
      </x:c>
      <x:c r="BW487" s="4"/>
      <x:c r="BX487" s="4"/>
      <x:c r="BY487" s="4" t="n">
        <x:f>IF(AND('Calculations'!BM487=1,'Calculations'!BU487&lt;&gt;"",COUNTIF('Calculations'!$BU$12:BU487,'Calculations'!BU487)=1),MAX('Calculations'!$BY$11:BY486)+1,0)</x:f>
        <x:v>0</x:v>
      </x:c>
      <x:c r="BZ487" s="4" t="str">
        <x:f>IF('Dashboard'!$E$67="What",'Calculations'!BO487,'Calculations'!BP487)</x:f>
      </x:c>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t="str">
        <x:f>IF(476&gt;MAX('Calculations'!$HI$13:$HI$512),"",INDEX('Calculations'!$HN$13:$HN$512,MATCH(476,'Calculations'!$HI$13:$HI$512,0)))</x:f>
      </x:c>
      <x:c r="DB487" s="4" t="str">
        <x:f>IF(476&gt;MAX('Calculations'!$HH$13:$HH$512),"",INDEX('Calculations'!$HJ$13:$HJ$512,MATCH(476,'Calculations'!$HH$13:$HH$512,0)))</x:f>
      </x:c>
      <x:c r="DC487" s="4" t="str">
        <x:f>IF(ROW()-11&gt;MAX('Calculations'!$BY$13:$BY$512),"",INDEX('Calculations'!$BU$13:$BU$512,MATCH(ROW()-11,'Calculations'!$BY$13:$BY$512,0)))</x:f>
      </x:c>
      <x:c r="DD487" s="4" t="str">
        <x:f>IF(476&gt;MAX('Calculations'!$IK$13:$IK$512),"",INDEX('Calculations'!$HK$13:$HK$512,MATCH(476,'Calculations'!$IK$13:$IK$512,0)))</x:f>
      </x:c>
      <x:c r="DE487" s="4" t="str">
        <x:f>'Calculations'!DC487</x:f>
      </x:c>
      <x:c r="DF487" s="4" t="str">
        <x:f>IF('Calculations'!DE487="","",COUNTIFS('Calculations'!$BN$13:$BN$512,1,'Calculations'!$BU$13:$BU$512,'Calculations'!DE487))</x:f>
      </x:c>
      <x:c r="DG487" s="4" t="str">
        <x:f>IF('Calculations'!DE487="","",COUNTIFS('Calculations'!$BN$13:$BN$512,1,'Calculations'!$BU$13:$BU$512,'Calculations'!DE487,'Calculations'!$BT$13:$BT$512,1))</x:f>
      </x:c>
      <x:c r="DH487" s="4" t="str">
        <x:f>IF('Calculations'!DE487="","",'Calculations'!DF487-'Calculations'!DG487)</x:f>
      </x:c>
      <x:c r="DI487" s="4" t="str">
        <x:f>IF(OR('Calculations'!DE487="",'Calculations'!DF487=0),"",'Calculations'!DG487/'Calculations'!DF487)</x:f>
      </x:c>
      <x:c r="DJ487" s="4" t="str">
        <x:f>IF('Calculations'!DE487="","",COUNTIFS('Calculations'!$BN$13:$BN$512,1,'Calculations'!$BU$13:$BU$512,'Calculations'!DE487,'Calculations'!$BT$13:$BT$512,1,'Calculations'!$EE$13:$EE$512,"High"))</x:f>
      </x:c>
      <x:c r="DK487" s="4" t="str">
        <x:f>IF('Calculations'!DE487="","",COUNTIFS('Calculations'!$BN$13:$BN$512,1,'Calculations'!$BU$13:$BU$512,'Calculations'!DE487,'Calculations'!$BT$13:$BT$512,1,'Calculations'!$EE$13:$EE$512,"Strong"))</x:f>
      </x:c>
      <x:c r="DL487" s="4" t="str">
        <x:f>IF('Calculations'!DE487="","",COUNTIFS('Calculations'!$BN$13:$BN$512,1,'Calculations'!$BU$13:$BU$512,'Calculations'!DE487,'Calculations'!$BT$13:$BT$512,1,'Calculations'!$EE$13:$EE$512,"Solid"))</x:f>
      </x:c>
      <x:c r="DM487" s="4" t="str">
        <x:f>IF('Calculations'!DE487="","",COUNTIFS('Calculations'!$BN$13:$BN$512,1,'Calculations'!$BU$13:$BU$512,'Calculations'!DE487,'Calculations'!$BT$13:$BT$512,1,'Calculations'!$EE$13:$EE$512,"Low"))</x:f>
      </x:c>
      <x:c r="DN487" s="4" t="str">
        <x:f>IF('Calculations'!DE487="","",COUNTIFS('Calculations'!$BN$13:$BN$512,1,'Calculations'!$BU$13:$BU$512,'Calculations'!DE487,'Calculations'!$EP$13:$EP$512,1))</x:f>
      </x:c>
      <x:c r="DO487" s="4" t="str">
        <x:f>IF(OR('Calculations'!DE487="",'Calculations'!DG487=0),"",('Calculations'!DJ487+'Calculations'!DK487)/'Calculations'!DG487)</x:f>
      </x:c>
      <x:c r="DP487" s="4" t="n">
        <x:f>IF(AND('Calculations'!DE487&lt;&gt;"",'Calculations'!DF487&gt;0),COUNTIF('Calculations'!$DF$12:DF487,"&gt;0"),0)</x:f>
        <x:v>0</x:v>
      </x:c>
      <x:c r="DQ487" s="4" t="str">
        <x:f>IF(476&gt;MAX('Calculations'!$HH$13:$HH$512),"",INDEX('Calculations'!$HF$13:$HF$512,MATCH(476,'Calculations'!$HH$13:$HH$512,0)))</x:f>
      </x:c>
      <x:c r="DR487" s="4" t="str">
        <x:f>IF(476&gt;MAX('Calculations'!$IK$13:$IK$512),"",INDEX('Calculations'!$HE$13:$HE$512,MATCH(476,'Calculations'!$IK$13:$IK$512,0)))</x:f>
      </x:c>
      <x:c r="DS487" s="4"/>
      <x:c r="DT487" s="4"/>
      <x:c r="DU487" s="4"/>
      <x:c r="DV487" s="4"/>
      <x:c r="DW487" s="4"/>
      <x:c r="DX487" s="4"/>
      <x:c r="DY487" s="4"/>
      <x:c r="DZ487" s="4"/>
      <x:c r="EA487" s="4"/>
      <x:c r="EB487" s="4"/>
      <x:c r="EC487" s="4"/>
      <x:c r="ED487" s="4"/>
      <x:c r="EE487" s="4" t="str">
        <x:f>IF('Calculations'!BT487=0,"Not Rated",IF(OR('Calculations'!BO487&gt;=4,'Calculations'!BP487&gt;=4),"Low",IF('Calculations'!BO487+'Calculations'!BP487&lt;=3,"High",IF('Calculations'!BO487+'Calculations'!BP487&lt;=4,"Strong","Solid"))))</x:f>
        <x:v>Not Rated</x:v>
      </x:c>
      <x:c r="EF487" s="4"/>
      <x:c r="EG487" s="4"/>
      <x:c r="EH487" s="4"/>
      <x:c r="EI487" s="4"/>
      <x:c r="EJ487" s="4"/>
      <x:c r="EK487" s="4"/>
      <x:c r="EL487" s="4"/>
      <x:c r="EM487" s="4" t="str">
        <x:f>IF(475&gt;'Calculations'!$JB$2000,"",INDEX('Calculations'!$JA$12:$JA$2000,MATCH(475,'Calculations'!$JB$12:$JB$2000,0)))</x:f>
      </x:c>
      <x:c r="EN487" s="4" t="n">
        <x:f>IF(OR('Calculations'!EM487="",'Calculations'!$AG$8&gt;0,AND('Calculations'!$EF$2&lt;&gt;"All",'Calculations'!HE487='Calculations'!$EF$2),AND('Calculations'!$EF$3&lt;&gt;"All",'Calculations'!HE487='Calculations'!$EF$3)),0,IF(OR('Dashboard'!$B$7="All",'Calculations'!HN487='Dashboard'!$B$7),IF('Calculations'!$EF$2="All",1,IF('Calculations'!HL487&gt;0,0,IF(COUNTIF('Calculations'!HO487:II487,"="&amp;SUBSTITUTE(SUBSTITUTE(SUBSTITUTE('Calculations'!$EF$2,"~","~~"),"*","~*"),"?","~?"))=0,0,IF('Calculations'!$EF$3="All",1,IF(COUNTIF('Calculations'!HO487:II487,"="&amp;SUBSTITUTE(SUBSTITUTE(SUBSTITUTE('Calculations'!$EF$3,"~","~~"),"*","~*"),"?","~?"))&gt;0,1,0))))),0))</x:f>
        <x:v>0</x:v>
      </x:c>
      <x:c r="EO487" s="4" t="str">
        <x:f>IF('Calculations'!IJ487="","",IF('Calculations'!IJ487="!UNRESOLVED","Unresolved hierarchy",IFERROR(INDEX('Calculations'!$HK$13:$HK$512,MATCH('Calculations'!IJ487,'Calculations'!$HE$13:$HE$512,0)),IFERROR(INDEX('Calculations'!$HJ$13:$HJ$512,MATCH('Calculations'!IJ487,'Calculations'!$HF$13:$HF$512,0)),'Calculations'!IJ487))))</x:f>
      </x:c>
      <x:c r="EP487" s="4" t="n">
        <x:f>IF(AND('Calculations'!EM487&lt;&gt;"",'Calculations'!HF487='Calculations'!IJ487),1,0)</x:f>
        <x:v>0</x:v>
      </x:c>
      <x:c r="EQ487" s="4"/>
      <x:c r="ER487" s="4"/>
      <x:c r="ES487" s="4"/>
      <x:c r="ET487" s="4"/>
      <x:c r="EU487" s="4"/>
      <x:c r="EV487" s="4"/>
      <x:c r="EW487" s="4"/>
      <x:c r="EX487" s="4"/>
      <x:c r="EY487" s="4"/>
      <x:c r="EZ487" s="4"/>
      <x:c r="FA487" s="4"/>
      <x:c r="FB487" s="4"/>
      <x:c r="FC487" s="4"/>
      <x:c r="FD487" s="4"/>
      <x:c r="FE487" s="4"/>
      <x:c r="FF487" s="4"/>
      <x:c r="FG487" s="4"/>
      <x:c r="FH487" s="4"/>
      <x:c r="FI487" s="4"/>
      <x:c r="FJ487" s="4"/>
      <x:c r="FK487" s="4"/>
      <x:c r="FL487" s="4"/>
      <x:c r="FM487" s="4"/>
      <x:c r="FN487" s="4"/>
      <x:c r="FO487" s="4"/>
      <x:c r="HE487" t="str">
        <x:f>IF('Calculations'!EM487="","",IF(IFERROR(IF(INDEX(INDIRECT("'WCM Calibration Final'!$A$1:$A$2000"),'Calculations'!$EM487)="","",TRIM(INDEX(INDIRECT("'WCM Calibration Final'!$A$1:$A$2000"),'Calculations'!$EM487)&amp;"")),"")&lt;&gt;"","G:"&amp;IFERROR(TEXT(1*INDEX(INDIRECT("'WCM Calibration Final'!$A$1:$A$2000"),'Calculations'!$EM487),"0"),UPPER(IFERROR(IF(INDEX(INDIRECT("'WCM Calibration Final'!$A$1:$A$2000"),'Calculations'!$EM487)="","",TRIM(INDEX(INDIRECT("'WCM Calibration Final'!$A$1:$A$2000"),'Calculations'!$EM487)&amp;"")),""))),IF(IFERROR(IF(INDEX(INDIRECT("'WCM Calibration Final'!$C$1:$C$2000"),'Calculations'!$EM487)="","",TRIM(INDEX(INDIRECT("'WCM Calibration Final'!$C$1:$C$2000"),'Calculations'!$EM487)&amp;"")),"")&lt;&gt;"","S:"&amp;UPPER(IFERROR(IF(INDEX(INDIRECT("'WCM Calibration Final'!$C$1:$C$2000"),'Calculations'!$EM487)="","",TRIM(INDEX(INDIRECT("'WCM Calibration Final'!$C$1:$C$2000"),'Calculations'!$EM487)&amp;"")),"")),"R:"&amp;'Calculations'!EM487)))</x:f>
      </x:c>
      <x:c r="HF487" t="str">
        <x:f>IF('Calculations'!EM487="","",IF(IFERROR(IF(INDEX(INDIRECT("'WCM Calibration Final'!$D$1:$D$2000"),'Calculations'!$EM487)="","",TRIM(INDEX(INDIRECT("'WCM Calibration Final'!$D$1:$D$2000"),'Calculations'!$EM487)&amp;"")),"")&lt;&gt;"","G:"&amp;IFERROR(TEXT(1*INDEX(INDIRECT("'WCM Calibration Final'!$D$1:$D$2000"),'Calculations'!$EM487),"0"),UPPER(IFERROR(IF(INDEX(INDIRECT("'WCM Calibration Final'!$D$1:$D$2000"),'Calculations'!$EM487)="","",TRIM(INDEX(INDIRECT("'WCM Calibration Final'!$D$1:$D$2000"),'Calculations'!$EM487)&amp;"")),""))),IF(IFERROR(IF(INDEX(INDIRECT("'WCM Calibration Final'!$E$1:$E$2000"),'Calculations'!$EM487)="","",TRIM(INDEX(INDIRECT("'WCM Calibration Final'!$E$1:$E$2000"),'Calculations'!$EM487)&amp;"")),"")="","",IF(COUNTIF('Calculations'!$HG$13:$HG$512,"="&amp;SUBSTITUTE(SUBSTITUTE(SUBSTITUTE(IFERROR(IF(INDEX(INDIRECT("'WCM Calibration Final'!$E$1:$E$2000"),'Calculations'!$EM487)="","",TRIM(INDEX(INDIRECT("'WCM Calibration Final'!$E$1:$E$2000"),'Calculations'!$EM487)&amp;"")),""),"~","~~"),"*","~*"),"?","~?"))=1,INDEX('Calculations'!$HE$13:$HE$512,MATCH(IFERROR(IF(INDEX(INDIRECT("'WCM Calibration Final'!$E$1:$E$2000"),'Calculations'!$EM487)="","",TRIM(INDEX(INDIRECT("'WCM Calibration Final'!$E$1:$E$2000"),'Calculations'!$EM487)&amp;"")),""),'Calculations'!$HG$13:$HG$512,0)),IF(COUNTIF('Calculations'!$HG$13:$HG$512,"="&amp;SUBSTITUTE(SUBSTITUTE(SUBSTITUTE(IFERROR(IF(INDEX(INDIRECT("'WCM Calibration Final'!$E$1:$E$2000"),'Calculations'!$EM487)="","",TRIM(INDEX(INDIRECT("'WCM Calibration Final'!$E$1:$E$2000"),'Calculations'!$EM487)&amp;"")),""),"~","~~"),"*","~*"),"?","~?"))&gt;1,"!AMBIG","X:"&amp;IFERROR(IF(INDEX(INDIRECT("'WCM Calibration Final'!$E$1:$E$2000"),'Calculations'!$EM487)="","",TRIM(INDEX(INDIRECT("'WCM Calibration Final'!$E$1:$E$2000"),'Calculations'!$EM487)&amp;"")),""))))))</x:f>
      </x:c>
      <x:c r="HG487" t="str">
        <x:f>IF('Calculations'!EM487="","",IFERROR(IF(INDEX(INDIRECT("'WCM Calibration Final'!$B$1:$B$2000"),'Calculations'!$EM487)="","",TRIM(INDEX(INDIRECT("'WCM Calibration Final'!$B$1:$B$2000"),'Calculations'!$EM487)&amp;"")),""))</x:f>
      </x:c>
      <x:c r="HH487" t="n">
        <x:f>IF(AND('Calculations'!JC487&gt;0,COUNTIF('Calculations'!$HF$12:HF487,"="&amp;SUBSTITUTE(SUBSTITUTE(SUBSTITUTE('Calculations'!HF487,"~","~~"),"*","~*"),"?","~?"))=1),MAX('Calculations'!$HH$12:HH486)+1,0)</x:f>
        <x:v>0</x:v>
      </x:c>
      <x:c r="HI487" t="n">
        <x:f>IF(AND('Calculations'!HN487&lt;&gt;"",COUNTIF('Calculations'!$HN$12:HN487,"="&amp;SUBSTITUTE(SUBSTITUTE(SUBSTITUTE('Calculations'!HN487,"~","~~"),"*","~*"),"?","~?"))=1),MAX('Calculations'!$HI$12:HI486)+1,0)</x:f>
        <x:v>0</x:v>
      </x:c>
      <x:c r="HJ487" t="str">
        <x:f>IF('Calculations'!HF487="","",IF(COUNTIF('Calculations'!$HE$13:$HE$512,"="&amp;SUBSTITUTE(SUBSTITUTE(SUBSTITUTE('Calculations'!HF487,"~","~~"),"*","~*"),"?","~?"))=1,INDEX('Calculations'!$HK$13:$HK$512,MATCH('Calculations'!HF487,'Calculations'!$HE$13:$HE$512,0)),IFERROR(IF(INDEX(INDIRECT("'WCM Calibration Final'!$E$1:$E$2000"),'Calculations'!$EM487)="","",TRIM(INDEX(INDIRECT("'WCM Calibration Final'!$E$1:$E$2000"),'Calculations'!$EM487)&amp;"")),"")&amp;" ["&amp;'Calculations'!HF487&amp;"]"))</x:f>
      </x:c>
      <x:c r="HK487" t="str">
        <x:f>IF('Calculations'!EM487="","",'Calculations'!HG487&amp;" ["&amp;'Calculations'!HE487&amp;"]")</x:f>
      </x:c>
      <x:c r="HL487" t="n">
        <x:f>IF('Calculations'!EM487="",0,IF(OR('Calculations'!II487&lt;&gt;"",COUNTIF('Calculations'!$HE$13:$HE$512,"="&amp;SUBSTITUTE(SUBSTITUTE(SUBSTITUTE('Calculations'!HE487,"~","~~"),"*","~*"),"?","~?"))&gt;1),1,0))</x:f>
        <x:v>0</x:v>
      </x:c>
      <x:c r="HM487" t="str">
        <x:f>IF('Calculations'!EM487="","",IF('Calculations'!HL487=1,"!UNRESOLVED",IF('Calculations'!IH487&lt;&gt;"",'Calculations'!IH487,IF('Calculations'!IG487&lt;&gt;"",'Calculations'!IG487,IF('Calculations'!IF487&lt;&gt;"",'Calculations'!IF487,IF('Calculations'!IE487&lt;&gt;"",'Calculations'!IE487,IF('Calculations'!ID487&lt;&gt;"",'Calculations'!ID487,IF('Calculations'!IC487&lt;&gt;"",'Calculations'!IC487,IF('Calculations'!IB487&lt;&gt;"",'Calculations'!IB487,IF('Calculations'!IA487&lt;&gt;"",'Calculations'!IA487,IF('Calculations'!HZ487&lt;&gt;"",'Calculations'!HZ487,IF('Calculations'!HY487&lt;&gt;"",'Calculations'!HY487,IF('Calculations'!HX487&lt;&gt;"",'Calculations'!HX487,IF('Calculations'!HW487&lt;&gt;"",'Calculations'!HW487,IF('Calculations'!HV487&lt;&gt;"",'Calculations'!HV487,IF('Calculations'!HU487&lt;&gt;"",'Calculations'!HU487,IF('Calculations'!HT487&lt;&gt;"",'Calculations'!HT487,IF('Calculations'!HS487&lt;&gt;"",'Calculations'!HS487,IF('Calculations'!HR487&lt;&gt;"",'Calculations'!HR487,IF('Calculations'!HQ487&lt;&gt;"",'Calculations'!HQ487,IF('Calculations'!HP487&lt;&gt;"",'Calculations'!HP487,IF('Calculations'!HO487&lt;&gt;"",'Calculations'!HO487,'Calculations'!HE487))))))))))))))))))))))</x:f>
      </x:c>
      <x:c r="HN487" t="str">
        <x:f>IF('Calculations'!EM487="","",IF(IFERROR(IF(INDEX(INDIRECT("'WCM Calibration Final'!$F$1:$F$2000"),'Calculations'!$EM487)="","",TRIM(INDEX(INDIRECT("'WCM Calibration Final'!$F$1:$F$2000"),'Calculations'!$EM487)&amp;"")),"")="","(Blank)",IFERROR(IF(INDEX(INDIRECT("'WCM Calibration Final'!$F$1:$F$2000"),'Calculations'!$EM487)="","",TRIM(INDEX(INDIRECT("'WCM Calibration Final'!$F$1:$F$2000"),'Calculations'!$EM487)&amp;"")),"")))</x:f>
      </x:c>
      <x:c r="HO487" t="str">
        <x:f>'Calculations'!HF487</x:f>
      </x:c>
      <x:c r="HP487" t="str">
        <x:f>IF('Calculations'!HO487="","",IF('Calculations'!HO487="!AMBIG","!AMBIG",IF(COUNTIF('Calculations'!$HE$13:$HE$512,"="&amp;SUBSTITUTE(SUBSTITUTE(SUBSTITUTE('Calculations'!HO487,"~","~~"),"*","~*"),"?","~?"))&gt;1,"!AMBIG",IFERROR(INDEX('Calculations'!$HF$13:$HF$512,MATCH('Calculations'!HO487,'Calculations'!$HE$13:$HE$512,0)),""))))</x:f>
      </x:c>
      <x:c r="HQ487" t="str">
        <x:f>IF('Calculations'!HP487="","",IF('Calculations'!HP487="!AMBIG","!AMBIG",IF(COUNTIF('Calculations'!$HE$13:$HE$512,"="&amp;SUBSTITUTE(SUBSTITUTE(SUBSTITUTE('Calculations'!HP487,"~","~~"),"*","~*"),"?","~?"))&gt;1,"!AMBIG",IFERROR(INDEX('Calculations'!$HF$13:$HF$512,MATCH('Calculations'!HP487,'Calculations'!$HE$13:$HE$512,0)),""))))</x:f>
      </x:c>
      <x:c r="HR487" t="str">
        <x:f>IF('Calculations'!HQ487="","",IF('Calculations'!HQ487="!AMBIG","!AMBIG",IF(COUNTIF('Calculations'!$HE$13:$HE$512,"="&amp;SUBSTITUTE(SUBSTITUTE(SUBSTITUTE('Calculations'!HQ487,"~","~~"),"*","~*"),"?","~?"))&gt;1,"!AMBIG",IFERROR(INDEX('Calculations'!$HF$13:$HF$512,MATCH('Calculations'!HQ487,'Calculations'!$HE$13:$HE$512,0)),""))))</x:f>
      </x:c>
      <x:c r="HS487" t="str">
        <x:f>IF('Calculations'!HR487="","",IF('Calculations'!HR487="!AMBIG","!AMBIG",IF(COUNTIF('Calculations'!$HE$13:$HE$512,"="&amp;SUBSTITUTE(SUBSTITUTE(SUBSTITUTE('Calculations'!HR487,"~","~~"),"*","~*"),"?","~?"))&gt;1,"!AMBIG",IFERROR(INDEX('Calculations'!$HF$13:$HF$512,MATCH('Calculations'!HR487,'Calculations'!$HE$13:$HE$512,0)),""))))</x:f>
      </x:c>
      <x:c r="HT487" t="str">
        <x:f>IF('Calculations'!HS487="","",IF('Calculations'!HS487="!AMBIG","!AMBIG",IF(COUNTIF('Calculations'!$HE$13:$HE$512,"="&amp;SUBSTITUTE(SUBSTITUTE(SUBSTITUTE('Calculations'!HS487,"~","~~"),"*","~*"),"?","~?"))&gt;1,"!AMBIG",IFERROR(INDEX('Calculations'!$HF$13:$HF$512,MATCH('Calculations'!HS487,'Calculations'!$HE$13:$HE$512,0)),""))))</x:f>
      </x:c>
      <x:c r="HU487" t="str">
        <x:f>IF('Calculations'!HT487="","",IF('Calculations'!HT487="!AMBIG","!AMBIG",IF(COUNTIF('Calculations'!$HE$13:$HE$512,"="&amp;SUBSTITUTE(SUBSTITUTE(SUBSTITUTE('Calculations'!HT487,"~","~~"),"*","~*"),"?","~?"))&gt;1,"!AMBIG",IFERROR(INDEX('Calculations'!$HF$13:$HF$512,MATCH('Calculations'!HT487,'Calculations'!$HE$13:$HE$512,0)),""))))</x:f>
      </x:c>
      <x:c r="HV487" t="str">
        <x:f>IF('Calculations'!HU487="","",IF('Calculations'!HU487="!AMBIG","!AMBIG",IF(COUNTIF('Calculations'!$HE$13:$HE$512,"="&amp;SUBSTITUTE(SUBSTITUTE(SUBSTITUTE('Calculations'!HU487,"~","~~"),"*","~*"),"?","~?"))&gt;1,"!AMBIG",IFERROR(INDEX('Calculations'!$HF$13:$HF$512,MATCH('Calculations'!HU487,'Calculations'!$HE$13:$HE$512,0)),""))))</x:f>
      </x:c>
      <x:c r="HW487" t="str">
        <x:f>IF('Calculations'!HV487="","",IF('Calculations'!HV487="!AMBIG","!AMBIG",IF(COUNTIF('Calculations'!$HE$13:$HE$512,"="&amp;SUBSTITUTE(SUBSTITUTE(SUBSTITUTE('Calculations'!HV487,"~","~~"),"*","~*"),"?","~?"))&gt;1,"!AMBIG",IFERROR(INDEX('Calculations'!$HF$13:$HF$512,MATCH('Calculations'!HV487,'Calculations'!$HE$13:$HE$512,0)),""))))</x:f>
      </x:c>
      <x:c r="HX487" t="str">
        <x:f>IF('Calculations'!HW487="","",IF('Calculations'!HW487="!AMBIG","!AMBIG",IF(COUNTIF('Calculations'!$HE$13:$HE$512,"="&amp;SUBSTITUTE(SUBSTITUTE(SUBSTITUTE('Calculations'!HW487,"~","~~"),"*","~*"),"?","~?"))&gt;1,"!AMBIG",IFERROR(INDEX('Calculations'!$HF$13:$HF$512,MATCH('Calculations'!HW487,'Calculations'!$HE$13:$HE$512,0)),""))))</x:f>
      </x:c>
      <x:c r="HY487" t="str">
        <x:f>IF('Calculations'!HX487="","",IF('Calculations'!HX487="!AMBIG","!AMBIG",IF(COUNTIF('Calculations'!$HE$13:$HE$512,"="&amp;SUBSTITUTE(SUBSTITUTE(SUBSTITUTE('Calculations'!HX487,"~","~~"),"*","~*"),"?","~?"))&gt;1,"!AMBIG",IFERROR(INDEX('Calculations'!$HF$13:$HF$512,MATCH('Calculations'!HX487,'Calculations'!$HE$13:$HE$512,0)),""))))</x:f>
      </x:c>
      <x:c r="HZ487" t="str">
        <x:f>IF('Calculations'!HY487="","",IF('Calculations'!HY487="!AMBIG","!AMBIG",IF(COUNTIF('Calculations'!$HE$13:$HE$512,"="&amp;SUBSTITUTE(SUBSTITUTE(SUBSTITUTE('Calculations'!HY487,"~","~~"),"*","~*"),"?","~?"))&gt;1,"!AMBIG",IFERROR(INDEX('Calculations'!$HF$13:$HF$512,MATCH('Calculations'!HY487,'Calculations'!$HE$13:$HE$512,0)),""))))</x:f>
      </x:c>
      <x:c r="IA487" t="str">
        <x:f>IF('Calculations'!HZ487="","",IF('Calculations'!HZ487="!AMBIG","!AMBIG",IF(COUNTIF('Calculations'!$HE$13:$HE$512,"="&amp;SUBSTITUTE(SUBSTITUTE(SUBSTITUTE('Calculations'!HZ487,"~","~~"),"*","~*"),"?","~?"))&gt;1,"!AMBIG",IFERROR(INDEX('Calculations'!$HF$13:$HF$512,MATCH('Calculations'!HZ487,'Calculations'!$HE$13:$HE$512,0)),""))))</x:f>
      </x:c>
      <x:c r="IB487" t="str">
        <x:f>IF('Calculations'!IA487="","",IF('Calculations'!IA487="!AMBIG","!AMBIG",IF(COUNTIF('Calculations'!$HE$13:$HE$512,"="&amp;SUBSTITUTE(SUBSTITUTE(SUBSTITUTE('Calculations'!IA487,"~","~~"),"*","~*"),"?","~?"))&gt;1,"!AMBIG",IFERROR(INDEX('Calculations'!$HF$13:$HF$512,MATCH('Calculations'!IA487,'Calculations'!$HE$13:$HE$512,0)),""))))</x:f>
      </x:c>
      <x:c r="IC487" t="str">
        <x:f>IF('Calculations'!IB487="","",IF('Calculations'!IB487="!AMBIG","!AMBIG",IF(COUNTIF('Calculations'!$HE$13:$HE$512,"="&amp;SUBSTITUTE(SUBSTITUTE(SUBSTITUTE('Calculations'!IB487,"~","~~"),"*","~*"),"?","~?"))&gt;1,"!AMBIG",IFERROR(INDEX('Calculations'!$HF$13:$HF$512,MATCH('Calculations'!IB487,'Calculations'!$HE$13:$HE$512,0)),""))))</x:f>
      </x:c>
      <x:c r="ID487" t="str">
        <x:f>IF('Calculations'!IC487="","",IF('Calculations'!IC487="!AMBIG","!AMBIG",IF(COUNTIF('Calculations'!$HE$13:$HE$512,"="&amp;SUBSTITUTE(SUBSTITUTE(SUBSTITUTE('Calculations'!IC487,"~","~~"),"*","~*"),"?","~?"))&gt;1,"!AMBIG",IFERROR(INDEX('Calculations'!$HF$13:$HF$512,MATCH('Calculations'!IC487,'Calculations'!$HE$13:$HE$512,0)),""))))</x:f>
      </x:c>
      <x:c r="IE487" t="str">
        <x:f>IF('Calculations'!ID487="","",IF('Calculations'!ID487="!AMBIG","!AMBIG",IF(COUNTIF('Calculations'!$HE$13:$HE$512,"="&amp;SUBSTITUTE(SUBSTITUTE(SUBSTITUTE('Calculations'!ID487,"~","~~"),"*","~*"),"?","~?"))&gt;1,"!AMBIG",IFERROR(INDEX('Calculations'!$HF$13:$HF$512,MATCH('Calculations'!ID487,'Calculations'!$HE$13:$HE$512,0)),""))))</x:f>
      </x:c>
      <x:c r="IF487" t="str">
        <x:f>IF('Calculations'!IE487="","",IF('Calculations'!IE487="!AMBIG","!AMBIG",IF(COUNTIF('Calculations'!$HE$13:$HE$512,"="&amp;SUBSTITUTE(SUBSTITUTE(SUBSTITUTE('Calculations'!IE487,"~","~~"),"*","~*"),"?","~?"))&gt;1,"!AMBIG",IFERROR(INDEX('Calculations'!$HF$13:$HF$512,MATCH('Calculations'!IE487,'Calculations'!$HE$13:$HE$512,0)),""))))</x:f>
      </x:c>
      <x:c r="IG487" t="str">
        <x:f>IF('Calculations'!IF487="","",IF('Calculations'!IF487="!AMBIG","!AMBIG",IF(COUNTIF('Calculations'!$HE$13:$HE$512,"="&amp;SUBSTITUTE(SUBSTITUTE(SUBSTITUTE('Calculations'!IF487,"~","~~"),"*","~*"),"?","~?"))&gt;1,"!AMBIG",IFERROR(INDEX('Calculations'!$HF$13:$HF$512,MATCH('Calculations'!IF487,'Calculations'!$HE$13:$HE$512,0)),""))))</x:f>
      </x:c>
      <x:c r="IH487" t="str">
        <x:f>IF('Calculations'!IG487="","",IF('Calculations'!IG487="!AMBIG","!AMBIG",IF(COUNTIF('Calculations'!$HE$13:$HE$512,"="&amp;SUBSTITUTE(SUBSTITUTE(SUBSTITUTE('Calculations'!IG487,"~","~~"),"*","~*"),"?","~?"))&gt;1,"!AMBIG",IFERROR(INDEX('Calculations'!$HF$13:$HF$512,MATCH('Calculations'!IG487,'Calculations'!$HE$13:$HE$512,0)),""))))</x:f>
      </x:c>
      <x:c r="II487" t="str">
        <x:f>IF('Calculations'!IH487="","",IF('Calculations'!IH487="!AMBIG","!AMBIG",IF(COUNTIF('Calculations'!$HE$13:$HE$512,"="&amp;SUBSTITUTE(SUBSTITUTE(SUBSTITUTE('Calculations'!IH487,"~","~~"),"*","~*"),"?","~?"))&gt;1,"!AMBIG",IFERROR(INDEX('Calculations'!$HF$13:$HF$512,MATCH('Calculations'!IH487,'Calculations'!$HE$13:$HE$512,0)),""))))</x:f>
      </x:c>
      <x:c r="IJ487" t="str">
        <x:f>IF('Calculations'!EM487="","",IF('Calculations'!$EF$2="All",'Calculations'!HM487,IF('Calculations'!HL487=1,"",IFERROR(IF(MATCH('Calculations'!$EF$2,'Calculations'!HO487:II487,0)=1,'Calculations'!HE487,INDEX('Calculations'!HO487:II487,1,MATCH('Calculations'!$EF$2,'Calculations'!HO487:II487,0)-1)),""))))</x:f>
      </x:c>
      <x:c r="IK487" t="n">
        <x:f>IF(AND('Calculations'!EM487&lt;&gt;"",'Calculations'!$EF$2&lt;&gt;"All",'Calculations'!HF487='Calculations'!$EF$2,'Calculations'!HL487=0,'Calculations'!JD487&gt;0),MAX('Calculations'!$IK$12:IK486)+1,0)</x:f>
        <x:v>0</x:v>
      </x:c>
      <x:c r="JA487" t="n">
        <x:f>IF(OR(IFERROR(INDIRECT("'WCM Calibration Final'!$A$487")&lt;&gt;"",FALSE),IFERROR(INDIRECT("'WCM Calibration Final'!$B$487")&lt;&gt;"",FALSE),IFERROR(INDIRECT("'WCM Calibration Final'!$C$487")&lt;&gt;"",FALSE)),487,0)</x:f>
        <x:v>0</x:v>
      </x:c>
      <x:c r="JB487" t="n">
        <x:f>'Calculations'!JB486+IF('Calculations'!JA487&gt;0,1,0)</x:f>
        <x:v>0</x:v>
      </x:c>
      <x:c r="JC487" t="n">
        <x:f>IF(OR('Calculations'!HF487="",'Calculations'!HF487="!AMBIG"),0,IF('Dashboard'!$B$7="All",1,COUNTIFS('Calculations'!$HO$13:$HO$512,"="&amp;SUBSTITUTE(SUBSTITUTE(SUBSTITUTE('Calculations'!HF487,"~","~~"),"*","~*"),"?","~?"),'Calculations'!$HN$13:$HN$512,"="&amp;SUBSTITUTE(SUBSTITUTE(SUBSTITUTE('Dashboard'!$B$7,"~","~~"),"*","~*"),"?","~?"))+COUNTIFS('Calculations'!$HP$13:$HP$512,"="&amp;SUBSTITUTE(SUBSTITUTE(SUBSTITUTE('Calculations'!HF487,"~","~~"),"*","~*"),"?","~?"),'Calculations'!$HN$13:$HN$512,"="&amp;SUBSTITUTE(SUBSTITUTE(SUBSTITUTE('Dashboard'!$B$7,"~","~~"),"*","~*"),"?","~?"))+COUNTIFS('Calculations'!$HQ$13:$HQ$512,"="&amp;SUBSTITUTE(SUBSTITUTE(SUBSTITUTE('Calculations'!HF487,"~","~~"),"*","~*"),"?","~?"),'Calculations'!$HN$13:$HN$512,"="&amp;SUBSTITUTE(SUBSTITUTE(SUBSTITUTE('Dashboard'!$B$7,"~","~~"),"*","~*"),"?","~?"))+COUNTIFS('Calculations'!$HR$13:$HR$512,"="&amp;SUBSTITUTE(SUBSTITUTE(SUBSTITUTE('Calculations'!HF487,"~","~~"),"*","~*"),"?","~?"),'Calculations'!$HN$13:$HN$512,"="&amp;SUBSTITUTE(SUBSTITUTE(SUBSTITUTE('Dashboard'!$B$7,"~","~~"),"*","~*"),"?","~?"))+COUNTIFS('Calculations'!$HS$13:$HS$512,"="&amp;SUBSTITUTE(SUBSTITUTE(SUBSTITUTE('Calculations'!HF487,"~","~~"),"*","~*"),"?","~?"),'Calculations'!$HN$13:$HN$512,"="&amp;SUBSTITUTE(SUBSTITUTE(SUBSTITUTE('Dashboard'!$B$7,"~","~~"),"*","~*"),"?","~?"))+COUNTIFS('Calculations'!$HT$13:$HT$512,"="&amp;SUBSTITUTE(SUBSTITUTE(SUBSTITUTE('Calculations'!HF487,"~","~~"),"*","~*"),"?","~?"),'Calculations'!$HN$13:$HN$512,"="&amp;SUBSTITUTE(SUBSTITUTE(SUBSTITUTE('Dashboard'!$B$7,"~","~~"),"*","~*"),"?","~?"))+COUNTIFS('Calculations'!$HU$13:$HU$512,"="&amp;SUBSTITUTE(SUBSTITUTE(SUBSTITUTE('Calculations'!HF487,"~","~~"),"*","~*"),"?","~?"),'Calculations'!$HN$13:$HN$512,"="&amp;SUBSTITUTE(SUBSTITUTE(SUBSTITUTE('Dashboard'!$B$7,"~","~~"),"*","~*"),"?","~?"))+COUNTIFS('Calculations'!$HV$13:$HV$512,"="&amp;SUBSTITUTE(SUBSTITUTE(SUBSTITUTE('Calculations'!HF487,"~","~~"),"*","~*"),"?","~?"),'Calculations'!$HN$13:$HN$512,"="&amp;SUBSTITUTE(SUBSTITUTE(SUBSTITUTE('Dashboard'!$B$7,"~","~~"),"*","~*"),"?","~?"))+COUNTIFS('Calculations'!$HW$13:$HW$512,"="&amp;SUBSTITUTE(SUBSTITUTE(SUBSTITUTE('Calculations'!HF487,"~","~~"),"*","~*"),"?","~?"),'Calculations'!$HN$13:$HN$512,"="&amp;SUBSTITUTE(SUBSTITUTE(SUBSTITUTE('Dashboard'!$B$7,"~","~~"),"*","~*"),"?","~?"))+COUNTIFS('Calculations'!$HX$13:$HX$512,"="&amp;SUBSTITUTE(SUBSTITUTE(SUBSTITUTE('Calculations'!HF487,"~","~~"),"*","~*"),"?","~?"),'Calculations'!$HN$13:$HN$512,"="&amp;SUBSTITUTE(SUBSTITUTE(SUBSTITUTE('Dashboard'!$B$7,"~","~~"),"*","~*"),"?","~?"))+COUNTIFS('Calculations'!$HY$13:$HY$512,"="&amp;SUBSTITUTE(SUBSTITUTE(SUBSTITUTE('Calculations'!HF487,"~","~~"),"*","~*"),"?","~?"),'Calculations'!$HN$13:$HN$512,"="&amp;SUBSTITUTE(SUBSTITUTE(SUBSTITUTE('Dashboard'!$B$7,"~","~~"),"*","~*"),"?","~?"))+COUNTIFS('Calculations'!$HZ$13:$HZ$512,"="&amp;SUBSTITUTE(SUBSTITUTE(SUBSTITUTE('Calculations'!HF487,"~","~~"),"*","~*"),"?","~?"),'Calculations'!$HN$13:$HN$512,"="&amp;SUBSTITUTE(SUBSTITUTE(SUBSTITUTE('Dashboard'!$B$7,"~","~~"),"*","~*"),"?","~?"))+COUNTIFS('Calculations'!$IA$13:$IA$512,"="&amp;SUBSTITUTE(SUBSTITUTE(SUBSTITUTE('Calculations'!HF487,"~","~~"),"*","~*"),"?","~?"),'Calculations'!$HN$13:$HN$512,"="&amp;SUBSTITUTE(SUBSTITUTE(SUBSTITUTE('Dashboard'!$B$7,"~","~~"),"*","~*"),"?","~?"))+COUNTIFS('Calculations'!$IB$13:$IB$512,"="&amp;SUBSTITUTE(SUBSTITUTE(SUBSTITUTE('Calculations'!HF487,"~","~~"),"*","~*"),"?","~?"),'Calculations'!$HN$13:$HN$512,"="&amp;SUBSTITUTE(SUBSTITUTE(SUBSTITUTE('Dashboard'!$B$7,"~","~~"),"*","~*"),"?","~?"))+COUNTIFS('Calculations'!$IC$13:$IC$512,"="&amp;SUBSTITUTE(SUBSTITUTE(SUBSTITUTE('Calculations'!HF487,"~","~~"),"*","~*"),"?","~?"),'Calculations'!$HN$13:$HN$512,"="&amp;SUBSTITUTE(SUBSTITUTE(SUBSTITUTE('Dashboard'!$B$7,"~","~~"),"*","~*"),"?","~?"))+COUNTIFS('Calculations'!$ID$13:$ID$512,"="&amp;SUBSTITUTE(SUBSTITUTE(SUBSTITUTE('Calculations'!HF487,"~","~~"),"*","~*"),"?","~?"),'Calculations'!$HN$13:$HN$512,"="&amp;SUBSTITUTE(SUBSTITUTE(SUBSTITUTE('Dashboard'!$B$7,"~","~~"),"*","~*"),"?","~?"))+COUNTIFS('Calculations'!$IE$13:$IE$512,"="&amp;SUBSTITUTE(SUBSTITUTE(SUBSTITUTE('Calculations'!HF487,"~","~~"),"*","~*"),"?","~?"),'Calculations'!$HN$13:$HN$512,"="&amp;SUBSTITUTE(SUBSTITUTE(SUBSTITUTE('Dashboard'!$B$7,"~","~~"),"*","~*"),"?","~?"))+COUNTIFS('Calculations'!$IF$13:$IF$512,"="&amp;SUBSTITUTE(SUBSTITUTE(SUBSTITUTE('Calculations'!HF487,"~","~~"),"*","~*"),"?","~?"),'Calculations'!$HN$13:$HN$512,"="&amp;SUBSTITUTE(SUBSTITUTE(SUBSTITUTE('Dashboard'!$B$7,"~","~~"),"*","~*"),"?","~?"))+COUNTIFS('Calculations'!$IG$13:$IG$512,"="&amp;SUBSTITUTE(SUBSTITUTE(SUBSTITUTE('Calculations'!HF487,"~","~~"),"*","~*"),"?","~?"),'Calculations'!$HN$13:$HN$512,"="&amp;SUBSTITUTE(SUBSTITUTE(SUBSTITUTE('Dashboard'!$B$7,"~","~~"),"*","~*"),"?","~?"))+COUNTIFS('Calculations'!$IH$13:$IH$512,"="&amp;SUBSTITUTE(SUBSTITUTE(SUBSTITUTE('Calculations'!HF487,"~","~~"),"*","~*"),"?","~?"),'Calculations'!$HN$13:$HN$512,"="&amp;SUBSTITUTE(SUBSTITUTE(SUBSTITUTE('Dashboard'!$B$7,"~","~~"),"*","~*"),"?","~?"))))</x:f>
        <x:v>0</x:v>
      </x:c>
      <x:c r="JD487" t="n">
        <x:f>IF('Calculations'!EM487="",0,IF('Dashboard'!$B$7="All",1,IF('Calculations'!HN487='Dashboard'!$B$7,1,0)+IFERROR(INDEX('Calculations'!$JC$13:$JC$512,MATCH('Calculations'!HE487,'Calculations'!$HF$13:$HF$512,0)),0)))</x:f>
        <x:v>0</x:v>
      </x:c>
      <x:c r="JE487" t="n">
        <x:f>IF(AND('Calculations'!EM487&lt;&gt;"",'Calculations'!$JJ$2&lt;&gt;"All",'Calculations'!$JJ$2&lt;&gt;"",'Calculations'!HF487='Calculations'!$JJ$2,'Calculations'!HL487=0,'Calculations'!JD487&gt;0),MAX('Calculations'!$JE$12:JE486)+1,0)</x:f>
        <x:v>0</x:v>
      </x:c>
      <x:c r="JF487" t="str">
        <x:f>IF('Calculations'!EM487="","",IFERROR(IF(INDEX(INDIRECT("'WCM Calibration Final'!$G$1:$G$2000"),'Calculations'!$EM487)="","",TRIM(INDEX(INDIRECT("'WCM Calibration Final'!$G$1:$G$2000"),'Calculations'!$EM487)&amp;"")),""))</x:f>
      </x:c>
      <x:c r="JQ487" t="n">
        <x:f>IF(OR('Calculations'!BM487=0,NOT('Calculations'!$AG$2),'Calculations'!$AG$8&gt;0),0,IF(OR('Dashboard'!$B$7="All",'Calculations'!HN487='Dashboard'!$B$7),IF('Calculations'!$JJ$2="All",1,IF(AND('Calculations'!HF487='Calculations'!$JJ$2,'Calculations'!HL487=0),1,0)),0))</x:f>
        <x:v>0</x:v>
      </x:c>
    </x:row>
    <x:row r="488">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t="n">
        <x:f>IF('Calculations'!$EM488="",0,IF(OR(IFERROR(INDEX(INDIRECT("'WCM Calibration Final'!$A$1:$A$2000"),'Calculations'!$EM488)&lt;&gt;"",FALSE),IFERROR(INDEX(INDIRECT("'WCM Calibration Final'!$B$1:$B$2000"),'Calculations'!$EM488)&lt;&gt;"",FALSE),IFERROR(INDEX(INDIRECT("'WCM Calibration Final'!$C$1:$C$2000"),'Calculations'!$EM488)&lt;&gt;"",FALSE)),1,0))</x:f>
        <x:v>0</x:v>
      </x:c>
      <x:c r="BN488" s="4" t="n">
        <x:f>IF(AND('Calculations'!BM488=1,'Calculations'!$AG$2,'Calculations'!$EN488=1),1,0)</x:f>
        <x:v>0</x:v>
      </x:c>
      <x:c r="BO488" s="4" t="str">
        <x:f>IF('Calculations'!BM488=0,"",IFERROR(IF(AND(VALUE(INDEX(INDIRECT("'WCM Calibration Final'!$K$1:$K$2000"),'Calculations'!$EM488))&gt;=1,VALUE(INDEX(INDIRECT("'WCM Calibration Final'!$K$1:$K$2000"),'Calculations'!$EM488))&lt;=4,MOD(VALUE(INDEX(INDIRECT("'WCM Calibration Final'!$K$1:$K$2000"),'Calculations'!$EM488)),1)=0),VALUE(INDEX(INDIRECT("'WCM Calibration Final'!$K$1:$K$2000"),'Calculations'!$EM488)),""),""))</x:f>
      </x:c>
      <x:c r="BP488" s="4" t="str">
        <x:f>IF('Calculations'!BM488=0,"",IFERROR(IF(AND(VALUE(INDEX(INDIRECT("'WCM Calibration Final'!$L$1:$L$2000"),'Calculations'!$EM488))&gt;=1,VALUE(INDEX(INDIRECT("'WCM Calibration Final'!$L$1:$L$2000"),'Calculations'!$EM488))&lt;=4,MOD(VALUE(INDEX(INDIRECT("'WCM Calibration Final'!$L$1:$L$2000"),'Calculations'!$EM488)),1)=0),VALUE(INDEX(INDIRECT("'WCM Calibration Final'!$L$1:$L$2000"),'Calculations'!$EM488)),""),""))</x:f>
      </x:c>
      <x:c r="BQ488" s="4"/>
      <x:c r="BR488" s="4"/>
      <x:c r="BS488" s="4"/>
      <x:c r="BT488" s="4" t="n">
        <x:f>IF(AND('Calculations'!BM488=1,ISNUMBER('Calculations'!BO488),ISNUMBER('Calculations'!BP488)),1,0)</x:f>
        <x:v>0</x:v>
      </x:c>
      <x:c r="BU488" s="4" t="str">
        <x:f>IF('Calculations'!BM488=0,"",'Calculations'!$EO488)</x:f>
      </x:c>
      <x:c r="BV488" s="4" t="str">
        <x:f>IF('Calculations'!BM488=0,"",IFERROR(IF(OR(INDEX(INDIRECT("'WCM Calibration Final'!$H$1:$H$2000"),'Calculations'!$EM488)="MANAGING DIRECTOR",INDEX(INDIRECT("'WCM Calibration Final'!$H$1:$H$2000"),'Calculations'!$EM488)="DIRECTOR",INDEX(INDIRECT("'WCM Calibration Final'!$H$1:$H$2000"),'Calculations'!$EM488)="SENIOR VICE PRESIDENT",INDEX(INDIRECT("'WCM Calibration Final'!$H$1:$H$2000"),'Calculations'!$EM488)="VICE PRESIDENT",INDEX(INDIRECT("'WCM Calibration Final'!$H$1:$H$2000"),'Calculations'!$EM488)="ASSISTANT VICE PRESIDENT",INDEX(INDIRECT("'WCM Calibration Final'!$H$1:$H$2000"),'Calculations'!$EM488)="OFFICER"),UPPER(INDEX(INDIRECT("'WCM Calibration Final'!$H$1:$H$2000"),'Calculations'!$EM488)),"Other"),"Other"))</x:f>
      </x:c>
      <x:c r="BW488" s="4"/>
      <x:c r="BX488" s="4"/>
      <x:c r="BY488" s="4" t="n">
        <x:f>IF(AND('Calculations'!BM488=1,'Calculations'!BU488&lt;&gt;"",COUNTIF('Calculations'!$BU$12:BU488,'Calculations'!BU488)=1),MAX('Calculations'!$BY$11:BY487)+1,0)</x:f>
        <x:v>0</x:v>
      </x:c>
      <x:c r="BZ488" s="4" t="str">
        <x:f>IF('Dashboard'!$E$67="What",'Calculations'!BO488,'Calculations'!BP488)</x:f>
      </x:c>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t="str">
        <x:f>IF(477&gt;MAX('Calculations'!$HI$13:$HI$512),"",INDEX('Calculations'!$HN$13:$HN$512,MATCH(477,'Calculations'!$HI$13:$HI$512,0)))</x:f>
      </x:c>
      <x:c r="DB488" s="4" t="str">
        <x:f>IF(477&gt;MAX('Calculations'!$HH$13:$HH$512),"",INDEX('Calculations'!$HJ$13:$HJ$512,MATCH(477,'Calculations'!$HH$13:$HH$512,0)))</x:f>
      </x:c>
      <x:c r="DC488" s="4" t="str">
        <x:f>IF(ROW()-11&gt;MAX('Calculations'!$BY$13:$BY$512),"",INDEX('Calculations'!$BU$13:$BU$512,MATCH(ROW()-11,'Calculations'!$BY$13:$BY$512,0)))</x:f>
      </x:c>
      <x:c r="DD488" s="4" t="str">
        <x:f>IF(477&gt;MAX('Calculations'!$IK$13:$IK$512),"",INDEX('Calculations'!$HK$13:$HK$512,MATCH(477,'Calculations'!$IK$13:$IK$512,0)))</x:f>
      </x:c>
      <x:c r="DE488" s="4" t="str">
        <x:f>'Calculations'!DC488</x:f>
      </x:c>
      <x:c r="DF488" s="4" t="str">
        <x:f>IF('Calculations'!DE488="","",COUNTIFS('Calculations'!$BN$13:$BN$512,1,'Calculations'!$BU$13:$BU$512,'Calculations'!DE488))</x:f>
      </x:c>
      <x:c r="DG488" s="4" t="str">
        <x:f>IF('Calculations'!DE488="","",COUNTIFS('Calculations'!$BN$13:$BN$512,1,'Calculations'!$BU$13:$BU$512,'Calculations'!DE488,'Calculations'!$BT$13:$BT$512,1))</x:f>
      </x:c>
      <x:c r="DH488" s="4" t="str">
        <x:f>IF('Calculations'!DE488="","",'Calculations'!DF488-'Calculations'!DG488)</x:f>
      </x:c>
      <x:c r="DI488" s="4" t="str">
        <x:f>IF(OR('Calculations'!DE488="",'Calculations'!DF488=0),"",'Calculations'!DG488/'Calculations'!DF488)</x:f>
      </x:c>
      <x:c r="DJ488" s="4" t="str">
        <x:f>IF('Calculations'!DE488="","",COUNTIFS('Calculations'!$BN$13:$BN$512,1,'Calculations'!$BU$13:$BU$512,'Calculations'!DE488,'Calculations'!$BT$13:$BT$512,1,'Calculations'!$EE$13:$EE$512,"High"))</x:f>
      </x:c>
      <x:c r="DK488" s="4" t="str">
        <x:f>IF('Calculations'!DE488="","",COUNTIFS('Calculations'!$BN$13:$BN$512,1,'Calculations'!$BU$13:$BU$512,'Calculations'!DE488,'Calculations'!$BT$13:$BT$512,1,'Calculations'!$EE$13:$EE$512,"Strong"))</x:f>
      </x:c>
      <x:c r="DL488" s="4" t="str">
        <x:f>IF('Calculations'!DE488="","",COUNTIFS('Calculations'!$BN$13:$BN$512,1,'Calculations'!$BU$13:$BU$512,'Calculations'!DE488,'Calculations'!$BT$13:$BT$512,1,'Calculations'!$EE$13:$EE$512,"Solid"))</x:f>
      </x:c>
      <x:c r="DM488" s="4" t="str">
        <x:f>IF('Calculations'!DE488="","",COUNTIFS('Calculations'!$BN$13:$BN$512,1,'Calculations'!$BU$13:$BU$512,'Calculations'!DE488,'Calculations'!$BT$13:$BT$512,1,'Calculations'!$EE$13:$EE$512,"Low"))</x:f>
      </x:c>
      <x:c r="DN488" s="4" t="str">
        <x:f>IF('Calculations'!DE488="","",COUNTIFS('Calculations'!$BN$13:$BN$512,1,'Calculations'!$BU$13:$BU$512,'Calculations'!DE488,'Calculations'!$EP$13:$EP$512,1))</x:f>
      </x:c>
      <x:c r="DO488" s="4" t="str">
        <x:f>IF(OR('Calculations'!DE488="",'Calculations'!DG488=0),"",('Calculations'!DJ488+'Calculations'!DK488)/'Calculations'!DG488)</x:f>
      </x:c>
      <x:c r="DP488" s="4" t="n">
        <x:f>IF(AND('Calculations'!DE488&lt;&gt;"",'Calculations'!DF488&gt;0),COUNTIF('Calculations'!$DF$12:DF488,"&gt;0"),0)</x:f>
        <x:v>0</x:v>
      </x:c>
      <x:c r="DQ488" s="4" t="str">
        <x:f>IF(477&gt;MAX('Calculations'!$HH$13:$HH$512),"",INDEX('Calculations'!$HF$13:$HF$512,MATCH(477,'Calculations'!$HH$13:$HH$512,0)))</x:f>
      </x:c>
      <x:c r="DR488" s="4" t="str">
        <x:f>IF(477&gt;MAX('Calculations'!$IK$13:$IK$512),"",INDEX('Calculations'!$HE$13:$HE$512,MATCH(477,'Calculations'!$IK$13:$IK$512,0)))</x:f>
      </x:c>
      <x:c r="DS488" s="4"/>
      <x:c r="DT488" s="4"/>
      <x:c r="DU488" s="4"/>
      <x:c r="DV488" s="4"/>
      <x:c r="DW488" s="4"/>
      <x:c r="DX488" s="4"/>
      <x:c r="DY488" s="4"/>
      <x:c r="DZ488" s="4"/>
      <x:c r="EA488" s="4"/>
      <x:c r="EB488" s="4"/>
      <x:c r="EC488" s="4"/>
      <x:c r="ED488" s="4"/>
      <x:c r="EE488" s="4" t="str">
        <x:f>IF('Calculations'!BT488=0,"Not Rated",IF(OR('Calculations'!BO488&gt;=4,'Calculations'!BP488&gt;=4),"Low",IF('Calculations'!BO488+'Calculations'!BP488&lt;=3,"High",IF('Calculations'!BO488+'Calculations'!BP488&lt;=4,"Strong","Solid"))))</x:f>
        <x:v>Not Rated</x:v>
      </x:c>
      <x:c r="EF488" s="4"/>
      <x:c r="EG488" s="4"/>
      <x:c r="EH488" s="4"/>
      <x:c r="EI488" s="4"/>
      <x:c r="EJ488" s="4"/>
      <x:c r="EK488" s="4"/>
      <x:c r="EL488" s="4"/>
      <x:c r="EM488" s="4" t="str">
        <x:f>IF(476&gt;'Calculations'!$JB$2000,"",INDEX('Calculations'!$JA$12:$JA$2000,MATCH(476,'Calculations'!$JB$12:$JB$2000,0)))</x:f>
      </x:c>
      <x:c r="EN488" s="4" t="n">
        <x:f>IF(OR('Calculations'!EM488="",'Calculations'!$AG$8&gt;0,AND('Calculations'!$EF$2&lt;&gt;"All",'Calculations'!HE488='Calculations'!$EF$2),AND('Calculations'!$EF$3&lt;&gt;"All",'Calculations'!HE488='Calculations'!$EF$3)),0,IF(OR('Dashboard'!$B$7="All",'Calculations'!HN488='Dashboard'!$B$7),IF('Calculations'!$EF$2="All",1,IF('Calculations'!HL488&gt;0,0,IF(COUNTIF('Calculations'!HO488:II488,"="&amp;SUBSTITUTE(SUBSTITUTE(SUBSTITUTE('Calculations'!$EF$2,"~","~~"),"*","~*"),"?","~?"))=0,0,IF('Calculations'!$EF$3="All",1,IF(COUNTIF('Calculations'!HO488:II488,"="&amp;SUBSTITUTE(SUBSTITUTE(SUBSTITUTE('Calculations'!$EF$3,"~","~~"),"*","~*"),"?","~?"))&gt;0,1,0))))),0))</x:f>
        <x:v>0</x:v>
      </x:c>
      <x:c r="EO488" s="4" t="str">
        <x:f>IF('Calculations'!IJ488="","",IF('Calculations'!IJ488="!UNRESOLVED","Unresolved hierarchy",IFERROR(INDEX('Calculations'!$HK$13:$HK$512,MATCH('Calculations'!IJ488,'Calculations'!$HE$13:$HE$512,0)),IFERROR(INDEX('Calculations'!$HJ$13:$HJ$512,MATCH('Calculations'!IJ488,'Calculations'!$HF$13:$HF$512,0)),'Calculations'!IJ488))))</x:f>
      </x:c>
      <x:c r="EP488" s="4" t="n">
        <x:f>IF(AND('Calculations'!EM488&lt;&gt;"",'Calculations'!HF488='Calculations'!IJ488),1,0)</x:f>
        <x:v>0</x:v>
      </x:c>
      <x:c r="EQ488" s="4"/>
      <x:c r="ER488" s="4"/>
      <x:c r="ES488" s="4"/>
      <x:c r="ET488" s="4"/>
      <x:c r="EU488" s="4"/>
      <x:c r="EV488" s="4"/>
      <x:c r="EW488" s="4"/>
      <x:c r="EX488" s="4"/>
      <x:c r="EY488" s="4"/>
      <x:c r="EZ488" s="4"/>
      <x:c r="FA488" s="4"/>
      <x:c r="FB488" s="4"/>
      <x:c r="FC488" s="4"/>
      <x:c r="FD488" s="4"/>
      <x:c r="FE488" s="4"/>
      <x:c r="FF488" s="4"/>
      <x:c r="FG488" s="4"/>
      <x:c r="FH488" s="4"/>
      <x:c r="FI488" s="4"/>
      <x:c r="FJ488" s="4"/>
      <x:c r="FK488" s="4"/>
      <x:c r="FL488" s="4"/>
      <x:c r="FM488" s="4"/>
      <x:c r="FN488" s="4"/>
      <x:c r="FO488" s="4"/>
      <x:c r="HE488" t="str">
        <x:f>IF('Calculations'!EM488="","",IF(IFERROR(IF(INDEX(INDIRECT("'WCM Calibration Final'!$A$1:$A$2000"),'Calculations'!$EM488)="","",TRIM(INDEX(INDIRECT("'WCM Calibration Final'!$A$1:$A$2000"),'Calculations'!$EM488)&amp;"")),"")&lt;&gt;"","G:"&amp;IFERROR(TEXT(1*INDEX(INDIRECT("'WCM Calibration Final'!$A$1:$A$2000"),'Calculations'!$EM488),"0"),UPPER(IFERROR(IF(INDEX(INDIRECT("'WCM Calibration Final'!$A$1:$A$2000"),'Calculations'!$EM488)="","",TRIM(INDEX(INDIRECT("'WCM Calibration Final'!$A$1:$A$2000"),'Calculations'!$EM488)&amp;"")),""))),IF(IFERROR(IF(INDEX(INDIRECT("'WCM Calibration Final'!$C$1:$C$2000"),'Calculations'!$EM488)="","",TRIM(INDEX(INDIRECT("'WCM Calibration Final'!$C$1:$C$2000"),'Calculations'!$EM488)&amp;"")),"")&lt;&gt;"","S:"&amp;UPPER(IFERROR(IF(INDEX(INDIRECT("'WCM Calibration Final'!$C$1:$C$2000"),'Calculations'!$EM488)="","",TRIM(INDEX(INDIRECT("'WCM Calibration Final'!$C$1:$C$2000"),'Calculations'!$EM488)&amp;"")),"")),"R:"&amp;'Calculations'!EM488)))</x:f>
      </x:c>
      <x:c r="HF488" t="str">
        <x:f>IF('Calculations'!EM488="","",IF(IFERROR(IF(INDEX(INDIRECT("'WCM Calibration Final'!$D$1:$D$2000"),'Calculations'!$EM488)="","",TRIM(INDEX(INDIRECT("'WCM Calibration Final'!$D$1:$D$2000"),'Calculations'!$EM488)&amp;"")),"")&lt;&gt;"","G:"&amp;IFERROR(TEXT(1*INDEX(INDIRECT("'WCM Calibration Final'!$D$1:$D$2000"),'Calculations'!$EM488),"0"),UPPER(IFERROR(IF(INDEX(INDIRECT("'WCM Calibration Final'!$D$1:$D$2000"),'Calculations'!$EM488)="","",TRIM(INDEX(INDIRECT("'WCM Calibration Final'!$D$1:$D$2000"),'Calculations'!$EM488)&amp;"")),""))),IF(IFERROR(IF(INDEX(INDIRECT("'WCM Calibration Final'!$E$1:$E$2000"),'Calculations'!$EM488)="","",TRIM(INDEX(INDIRECT("'WCM Calibration Final'!$E$1:$E$2000"),'Calculations'!$EM488)&amp;"")),"")="","",IF(COUNTIF('Calculations'!$HG$13:$HG$512,"="&amp;SUBSTITUTE(SUBSTITUTE(SUBSTITUTE(IFERROR(IF(INDEX(INDIRECT("'WCM Calibration Final'!$E$1:$E$2000"),'Calculations'!$EM488)="","",TRIM(INDEX(INDIRECT("'WCM Calibration Final'!$E$1:$E$2000"),'Calculations'!$EM488)&amp;"")),""),"~","~~"),"*","~*"),"?","~?"))=1,INDEX('Calculations'!$HE$13:$HE$512,MATCH(IFERROR(IF(INDEX(INDIRECT("'WCM Calibration Final'!$E$1:$E$2000"),'Calculations'!$EM488)="","",TRIM(INDEX(INDIRECT("'WCM Calibration Final'!$E$1:$E$2000"),'Calculations'!$EM488)&amp;"")),""),'Calculations'!$HG$13:$HG$512,0)),IF(COUNTIF('Calculations'!$HG$13:$HG$512,"="&amp;SUBSTITUTE(SUBSTITUTE(SUBSTITUTE(IFERROR(IF(INDEX(INDIRECT("'WCM Calibration Final'!$E$1:$E$2000"),'Calculations'!$EM488)="","",TRIM(INDEX(INDIRECT("'WCM Calibration Final'!$E$1:$E$2000"),'Calculations'!$EM488)&amp;"")),""),"~","~~"),"*","~*"),"?","~?"))&gt;1,"!AMBIG","X:"&amp;IFERROR(IF(INDEX(INDIRECT("'WCM Calibration Final'!$E$1:$E$2000"),'Calculations'!$EM488)="","",TRIM(INDEX(INDIRECT("'WCM Calibration Final'!$E$1:$E$2000"),'Calculations'!$EM488)&amp;"")),""))))))</x:f>
      </x:c>
      <x:c r="HG488" t="str">
        <x:f>IF('Calculations'!EM488="","",IFERROR(IF(INDEX(INDIRECT("'WCM Calibration Final'!$B$1:$B$2000"),'Calculations'!$EM488)="","",TRIM(INDEX(INDIRECT("'WCM Calibration Final'!$B$1:$B$2000"),'Calculations'!$EM488)&amp;"")),""))</x:f>
      </x:c>
      <x:c r="HH488" t="n">
        <x:f>IF(AND('Calculations'!JC488&gt;0,COUNTIF('Calculations'!$HF$12:HF488,"="&amp;SUBSTITUTE(SUBSTITUTE(SUBSTITUTE('Calculations'!HF488,"~","~~"),"*","~*"),"?","~?"))=1),MAX('Calculations'!$HH$12:HH487)+1,0)</x:f>
        <x:v>0</x:v>
      </x:c>
      <x:c r="HI488" t="n">
        <x:f>IF(AND('Calculations'!HN488&lt;&gt;"",COUNTIF('Calculations'!$HN$12:HN488,"="&amp;SUBSTITUTE(SUBSTITUTE(SUBSTITUTE('Calculations'!HN488,"~","~~"),"*","~*"),"?","~?"))=1),MAX('Calculations'!$HI$12:HI487)+1,0)</x:f>
        <x:v>0</x:v>
      </x:c>
      <x:c r="HJ488" t="str">
        <x:f>IF('Calculations'!HF488="","",IF(COUNTIF('Calculations'!$HE$13:$HE$512,"="&amp;SUBSTITUTE(SUBSTITUTE(SUBSTITUTE('Calculations'!HF488,"~","~~"),"*","~*"),"?","~?"))=1,INDEX('Calculations'!$HK$13:$HK$512,MATCH('Calculations'!HF488,'Calculations'!$HE$13:$HE$512,0)),IFERROR(IF(INDEX(INDIRECT("'WCM Calibration Final'!$E$1:$E$2000"),'Calculations'!$EM488)="","",TRIM(INDEX(INDIRECT("'WCM Calibration Final'!$E$1:$E$2000"),'Calculations'!$EM488)&amp;"")),"")&amp;" ["&amp;'Calculations'!HF488&amp;"]"))</x:f>
      </x:c>
      <x:c r="HK488" t="str">
        <x:f>IF('Calculations'!EM488="","",'Calculations'!HG488&amp;" ["&amp;'Calculations'!HE488&amp;"]")</x:f>
      </x:c>
      <x:c r="HL488" t="n">
        <x:f>IF('Calculations'!EM488="",0,IF(OR('Calculations'!II488&lt;&gt;"",COUNTIF('Calculations'!$HE$13:$HE$512,"="&amp;SUBSTITUTE(SUBSTITUTE(SUBSTITUTE('Calculations'!HE488,"~","~~"),"*","~*"),"?","~?"))&gt;1),1,0))</x:f>
        <x:v>0</x:v>
      </x:c>
      <x:c r="HM488" t="str">
        <x:f>IF('Calculations'!EM488="","",IF('Calculations'!HL488=1,"!UNRESOLVED",IF('Calculations'!IH488&lt;&gt;"",'Calculations'!IH488,IF('Calculations'!IG488&lt;&gt;"",'Calculations'!IG488,IF('Calculations'!IF488&lt;&gt;"",'Calculations'!IF488,IF('Calculations'!IE488&lt;&gt;"",'Calculations'!IE488,IF('Calculations'!ID488&lt;&gt;"",'Calculations'!ID488,IF('Calculations'!IC488&lt;&gt;"",'Calculations'!IC488,IF('Calculations'!IB488&lt;&gt;"",'Calculations'!IB488,IF('Calculations'!IA488&lt;&gt;"",'Calculations'!IA488,IF('Calculations'!HZ488&lt;&gt;"",'Calculations'!HZ488,IF('Calculations'!HY488&lt;&gt;"",'Calculations'!HY488,IF('Calculations'!HX488&lt;&gt;"",'Calculations'!HX488,IF('Calculations'!HW488&lt;&gt;"",'Calculations'!HW488,IF('Calculations'!HV488&lt;&gt;"",'Calculations'!HV488,IF('Calculations'!HU488&lt;&gt;"",'Calculations'!HU488,IF('Calculations'!HT488&lt;&gt;"",'Calculations'!HT488,IF('Calculations'!HS488&lt;&gt;"",'Calculations'!HS488,IF('Calculations'!HR488&lt;&gt;"",'Calculations'!HR488,IF('Calculations'!HQ488&lt;&gt;"",'Calculations'!HQ488,IF('Calculations'!HP488&lt;&gt;"",'Calculations'!HP488,IF('Calculations'!HO488&lt;&gt;"",'Calculations'!HO488,'Calculations'!HE488))))))))))))))))))))))</x:f>
      </x:c>
      <x:c r="HN488" t="str">
        <x:f>IF('Calculations'!EM488="","",IF(IFERROR(IF(INDEX(INDIRECT("'WCM Calibration Final'!$F$1:$F$2000"),'Calculations'!$EM488)="","",TRIM(INDEX(INDIRECT("'WCM Calibration Final'!$F$1:$F$2000"),'Calculations'!$EM488)&amp;"")),"")="","(Blank)",IFERROR(IF(INDEX(INDIRECT("'WCM Calibration Final'!$F$1:$F$2000"),'Calculations'!$EM488)="","",TRIM(INDEX(INDIRECT("'WCM Calibration Final'!$F$1:$F$2000"),'Calculations'!$EM488)&amp;"")),"")))</x:f>
      </x:c>
      <x:c r="HO488" t="str">
        <x:f>'Calculations'!HF488</x:f>
      </x:c>
      <x:c r="HP488" t="str">
        <x:f>IF('Calculations'!HO488="","",IF('Calculations'!HO488="!AMBIG","!AMBIG",IF(COUNTIF('Calculations'!$HE$13:$HE$512,"="&amp;SUBSTITUTE(SUBSTITUTE(SUBSTITUTE('Calculations'!HO488,"~","~~"),"*","~*"),"?","~?"))&gt;1,"!AMBIG",IFERROR(INDEX('Calculations'!$HF$13:$HF$512,MATCH('Calculations'!HO488,'Calculations'!$HE$13:$HE$512,0)),""))))</x:f>
      </x:c>
      <x:c r="HQ488" t="str">
        <x:f>IF('Calculations'!HP488="","",IF('Calculations'!HP488="!AMBIG","!AMBIG",IF(COUNTIF('Calculations'!$HE$13:$HE$512,"="&amp;SUBSTITUTE(SUBSTITUTE(SUBSTITUTE('Calculations'!HP488,"~","~~"),"*","~*"),"?","~?"))&gt;1,"!AMBIG",IFERROR(INDEX('Calculations'!$HF$13:$HF$512,MATCH('Calculations'!HP488,'Calculations'!$HE$13:$HE$512,0)),""))))</x:f>
      </x:c>
      <x:c r="HR488" t="str">
        <x:f>IF('Calculations'!HQ488="","",IF('Calculations'!HQ488="!AMBIG","!AMBIG",IF(COUNTIF('Calculations'!$HE$13:$HE$512,"="&amp;SUBSTITUTE(SUBSTITUTE(SUBSTITUTE('Calculations'!HQ488,"~","~~"),"*","~*"),"?","~?"))&gt;1,"!AMBIG",IFERROR(INDEX('Calculations'!$HF$13:$HF$512,MATCH('Calculations'!HQ488,'Calculations'!$HE$13:$HE$512,0)),""))))</x:f>
      </x:c>
      <x:c r="HS488" t="str">
        <x:f>IF('Calculations'!HR488="","",IF('Calculations'!HR488="!AMBIG","!AMBIG",IF(COUNTIF('Calculations'!$HE$13:$HE$512,"="&amp;SUBSTITUTE(SUBSTITUTE(SUBSTITUTE('Calculations'!HR488,"~","~~"),"*","~*"),"?","~?"))&gt;1,"!AMBIG",IFERROR(INDEX('Calculations'!$HF$13:$HF$512,MATCH('Calculations'!HR488,'Calculations'!$HE$13:$HE$512,0)),""))))</x:f>
      </x:c>
      <x:c r="HT488" t="str">
        <x:f>IF('Calculations'!HS488="","",IF('Calculations'!HS488="!AMBIG","!AMBIG",IF(COUNTIF('Calculations'!$HE$13:$HE$512,"="&amp;SUBSTITUTE(SUBSTITUTE(SUBSTITUTE('Calculations'!HS488,"~","~~"),"*","~*"),"?","~?"))&gt;1,"!AMBIG",IFERROR(INDEX('Calculations'!$HF$13:$HF$512,MATCH('Calculations'!HS488,'Calculations'!$HE$13:$HE$512,0)),""))))</x:f>
      </x:c>
      <x:c r="HU488" t="str">
        <x:f>IF('Calculations'!HT488="","",IF('Calculations'!HT488="!AMBIG","!AMBIG",IF(COUNTIF('Calculations'!$HE$13:$HE$512,"="&amp;SUBSTITUTE(SUBSTITUTE(SUBSTITUTE('Calculations'!HT488,"~","~~"),"*","~*"),"?","~?"))&gt;1,"!AMBIG",IFERROR(INDEX('Calculations'!$HF$13:$HF$512,MATCH('Calculations'!HT488,'Calculations'!$HE$13:$HE$512,0)),""))))</x:f>
      </x:c>
      <x:c r="HV488" t="str">
        <x:f>IF('Calculations'!HU488="","",IF('Calculations'!HU488="!AMBIG","!AMBIG",IF(COUNTIF('Calculations'!$HE$13:$HE$512,"="&amp;SUBSTITUTE(SUBSTITUTE(SUBSTITUTE('Calculations'!HU488,"~","~~"),"*","~*"),"?","~?"))&gt;1,"!AMBIG",IFERROR(INDEX('Calculations'!$HF$13:$HF$512,MATCH('Calculations'!HU488,'Calculations'!$HE$13:$HE$512,0)),""))))</x:f>
      </x:c>
      <x:c r="HW488" t="str">
        <x:f>IF('Calculations'!HV488="","",IF('Calculations'!HV488="!AMBIG","!AMBIG",IF(COUNTIF('Calculations'!$HE$13:$HE$512,"="&amp;SUBSTITUTE(SUBSTITUTE(SUBSTITUTE('Calculations'!HV488,"~","~~"),"*","~*"),"?","~?"))&gt;1,"!AMBIG",IFERROR(INDEX('Calculations'!$HF$13:$HF$512,MATCH('Calculations'!HV488,'Calculations'!$HE$13:$HE$512,0)),""))))</x:f>
      </x:c>
      <x:c r="HX488" t="str">
        <x:f>IF('Calculations'!HW488="","",IF('Calculations'!HW488="!AMBIG","!AMBIG",IF(COUNTIF('Calculations'!$HE$13:$HE$512,"="&amp;SUBSTITUTE(SUBSTITUTE(SUBSTITUTE('Calculations'!HW488,"~","~~"),"*","~*"),"?","~?"))&gt;1,"!AMBIG",IFERROR(INDEX('Calculations'!$HF$13:$HF$512,MATCH('Calculations'!HW488,'Calculations'!$HE$13:$HE$512,0)),""))))</x:f>
      </x:c>
      <x:c r="HY488" t="str">
        <x:f>IF('Calculations'!HX488="","",IF('Calculations'!HX488="!AMBIG","!AMBIG",IF(COUNTIF('Calculations'!$HE$13:$HE$512,"="&amp;SUBSTITUTE(SUBSTITUTE(SUBSTITUTE('Calculations'!HX488,"~","~~"),"*","~*"),"?","~?"))&gt;1,"!AMBIG",IFERROR(INDEX('Calculations'!$HF$13:$HF$512,MATCH('Calculations'!HX488,'Calculations'!$HE$13:$HE$512,0)),""))))</x:f>
      </x:c>
      <x:c r="HZ488" t="str">
        <x:f>IF('Calculations'!HY488="","",IF('Calculations'!HY488="!AMBIG","!AMBIG",IF(COUNTIF('Calculations'!$HE$13:$HE$512,"="&amp;SUBSTITUTE(SUBSTITUTE(SUBSTITUTE('Calculations'!HY488,"~","~~"),"*","~*"),"?","~?"))&gt;1,"!AMBIG",IFERROR(INDEX('Calculations'!$HF$13:$HF$512,MATCH('Calculations'!HY488,'Calculations'!$HE$13:$HE$512,0)),""))))</x:f>
      </x:c>
      <x:c r="IA488" t="str">
        <x:f>IF('Calculations'!HZ488="","",IF('Calculations'!HZ488="!AMBIG","!AMBIG",IF(COUNTIF('Calculations'!$HE$13:$HE$512,"="&amp;SUBSTITUTE(SUBSTITUTE(SUBSTITUTE('Calculations'!HZ488,"~","~~"),"*","~*"),"?","~?"))&gt;1,"!AMBIG",IFERROR(INDEX('Calculations'!$HF$13:$HF$512,MATCH('Calculations'!HZ488,'Calculations'!$HE$13:$HE$512,0)),""))))</x:f>
      </x:c>
      <x:c r="IB488" t="str">
        <x:f>IF('Calculations'!IA488="","",IF('Calculations'!IA488="!AMBIG","!AMBIG",IF(COUNTIF('Calculations'!$HE$13:$HE$512,"="&amp;SUBSTITUTE(SUBSTITUTE(SUBSTITUTE('Calculations'!IA488,"~","~~"),"*","~*"),"?","~?"))&gt;1,"!AMBIG",IFERROR(INDEX('Calculations'!$HF$13:$HF$512,MATCH('Calculations'!IA488,'Calculations'!$HE$13:$HE$512,0)),""))))</x:f>
      </x:c>
      <x:c r="IC488" t="str">
        <x:f>IF('Calculations'!IB488="","",IF('Calculations'!IB488="!AMBIG","!AMBIG",IF(COUNTIF('Calculations'!$HE$13:$HE$512,"="&amp;SUBSTITUTE(SUBSTITUTE(SUBSTITUTE('Calculations'!IB488,"~","~~"),"*","~*"),"?","~?"))&gt;1,"!AMBIG",IFERROR(INDEX('Calculations'!$HF$13:$HF$512,MATCH('Calculations'!IB488,'Calculations'!$HE$13:$HE$512,0)),""))))</x:f>
      </x:c>
      <x:c r="ID488" t="str">
        <x:f>IF('Calculations'!IC488="","",IF('Calculations'!IC488="!AMBIG","!AMBIG",IF(COUNTIF('Calculations'!$HE$13:$HE$512,"="&amp;SUBSTITUTE(SUBSTITUTE(SUBSTITUTE('Calculations'!IC488,"~","~~"),"*","~*"),"?","~?"))&gt;1,"!AMBIG",IFERROR(INDEX('Calculations'!$HF$13:$HF$512,MATCH('Calculations'!IC488,'Calculations'!$HE$13:$HE$512,0)),""))))</x:f>
      </x:c>
      <x:c r="IE488" t="str">
        <x:f>IF('Calculations'!ID488="","",IF('Calculations'!ID488="!AMBIG","!AMBIG",IF(COUNTIF('Calculations'!$HE$13:$HE$512,"="&amp;SUBSTITUTE(SUBSTITUTE(SUBSTITUTE('Calculations'!ID488,"~","~~"),"*","~*"),"?","~?"))&gt;1,"!AMBIG",IFERROR(INDEX('Calculations'!$HF$13:$HF$512,MATCH('Calculations'!ID488,'Calculations'!$HE$13:$HE$512,0)),""))))</x:f>
      </x:c>
      <x:c r="IF488" t="str">
        <x:f>IF('Calculations'!IE488="","",IF('Calculations'!IE488="!AMBIG","!AMBIG",IF(COUNTIF('Calculations'!$HE$13:$HE$512,"="&amp;SUBSTITUTE(SUBSTITUTE(SUBSTITUTE('Calculations'!IE488,"~","~~"),"*","~*"),"?","~?"))&gt;1,"!AMBIG",IFERROR(INDEX('Calculations'!$HF$13:$HF$512,MATCH('Calculations'!IE488,'Calculations'!$HE$13:$HE$512,0)),""))))</x:f>
      </x:c>
      <x:c r="IG488" t="str">
        <x:f>IF('Calculations'!IF488="","",IF('Calculations'!IF488="!AMBIG","!AMBIG",IF(COUNTIF('Calculations'!$HE$13:$HE$512,"="&amp;SUBSTITUTE(SUBSTITUTE(SUBSTITUTE('Calculations'!IF488,"~","~~"),"*","~*"),"?","~?"))&gt;1,"!AMBIG",IFERROR(INDEX('Calculations'!$HF$13:$HF$512,MATCH('Calculations'!IF488,'Calculations'!$HE$13:$HE$512,0)),""))))</x:f>
      </x:c>
      <x:c r="IH488" t="str">
        <x:f>IF('Calculations'!IG488="","",IF('Calculations'!IG488="!AMBIG","!AMBIG",IF(COUNTIF('Calculations'!$HE$13:$HE$512,"="&amp;SUBSTITUTE(SUBSTITUTE(SUBSTITUTE('Calculations'!IG488,"~","~~"),"*","~*"),"?","~?"))&gt;1,"!AMBIG",IFERROR(INDEX('Calculations'!$HF$13:$HF$512,MATCH('Calculations'!IG488,'Calculations'!$HE$13:$HE$512,0)),""))))</x:f>
      </x:c>
      <x:c r="II488" t="str">
        <x:f>IF('Calculations'!IH488="","",IF('Calculations'!IH488="!AMBIG","!AMBIG",IF(COUNTIF('Calculations'!$HE$13:$HE$512,"="&amp;SUBSTITUTE(SUBSTITUTE(SUBSTITUTE('Calculations'!IH488,"~","~~"),"*","~*"),"?","~?"))&gt;1,"!AMBIG",IFERROR(INDEX('Calculations'!$HF$13:$HF$512,MATCH('Calculations'!IH488,'Calculations'!$HE$13:$HE$512,0)),""))))</x:f>
      </x:c>
      <x:c r="IJ488" t="str">
        <x:f>IF('Calculations'!EM488="","",IF('Calculations'!$EF$2="All",'Calculations'!HM488,IF('Calculations'!HL488=1,"",IFERROR(IF(MATCH('Calculations'!$EF$2,'Calculations'!HO488:II488,0)=1,'Calculations'!HE488,INDEX('Calculations'!HO488:II488,1,MATCH('Calculations'!$EF$2,'Calculations'!HO488:II488,0)-1)),""))))</x:f>
      </x:c>
      <x:c r="IK488" t="n">
        <x:f>IF(AND('Calculations'!EM488&lt;&gt;"",'Calculations'!$EF$2&lt;&gt;"All",'Calculations'!HF488='Calculations'!$EF$2,'Calculations'!HL488=0,'Calculations'!JD488&gt;0),MAX('Calculations'!$IK$12:IK487)+1,0)</x:f>
        <x:v>0</x:v>
      </x:c>
      <x:c r="JA488" t="n">
        <x:f>IF(OR(IFERROR(INDIRECT("'WCM Calibration Final'!$A$488")&lt;&gt;"",FALSE),IFERROR(INDIRECT("'WCM Calibration Final'!$B$488")&lt;&gt;"",FALSE),IFERROR(INDIRECT("'WCM Calibration Final'!$C$488")&lt;&gt;"",FALSE)),488,0)</x:f>
        <x:v>0</x:v>
      </x:c>
      <x:c r="JB488" t="n">
        <x:f>'Calculations'!JB487+IF('Calculations'!JA488&gt;0,1,0)</x:f>
        <x:v>0</x:v>
      </x:c>
      <x:c r="JC488" t="n">
        <x:f>IF(OR('Calculations'!HF488="",'Calculations'!HF488="!AMBIG"),0,IF('Dashboard'!$B$7="All",1,COUNTIFS('Calculations'!$HO$13:$HO$512,"="&amp;SUBSTITUTE(SUBSTITUTE(SUBSTITUTE('Calculations'!HF488,"~","~~"),"*","~*"),"?","~?"),'Calculations'!$HN$13:$HN$512,"="&amp;SUBSTITUTE(SUBSTITUTE(SUBSTITUTE('Dashboard'!$B$7,"~","~~"),"*","~*"),"?","~?"))+COUNTIFS('Calculations'!$HP$13:$HP$512,"="&amp;SUBSTITUTE(SUBSTITUTE(SUBSTITUTE('Calculations'!HF488,"~","~~"),"*","~*"),"?","~?"),'Calculations'!$HN$13:$HN$512,"="&amp;SUBSTITUTE(SUBSTITUTE(SUBSTITUTE('Dashboard'!$B$7,"~","~~"),"*","~*"),"?","~?"))+COUNTIFS('Calculations'!$HQ$13:$HQ$512,"="&amp;SUBSTITUTE(SUBSTITUTE(SUBSTITUTE('Calculations'!HF488,"~","~~"),"*","~*"),"?","~?"),'Calculations'!$HN$13:$HN$512,"="&amp;SUBSTITUTE(SUBSTITUTE(SUBSTITUTE('Dashboard'!$B$7,"~","~~"),"*","~*"),"?","~?"))+COUNTIFS('Calculations'!$HR$13:$HR$512,"="&amp;SUBSTITUTE(SUBSTITUTE(SUBSTITUTE('Calculations'!HF488,"~","~~"),"*","~*"),"?","~?"),'Calculations'!$HN$13:$HN$512,"="&amp;SUBSTITUTE(SUBSTITUTE(SUBSTITUTE('Dashboard'!$B$7,"~","~~"),"*","~*"),"?","~?"))+COUNTIFS('Calculations'!$HS$13:$HS$512,"="&amp;SUBSTITUTE(SUBSTITUTE(SUBSTITUTE('Calculations'!HF488,"~","~~"),"*","~*"),"?","~?"),'Calculations'!$HN$13:$HN$512,"="&amp;SUBSTITUTE(SUBSTITUTE(SUBSTITUTE('Dashboard'!$B$7,"~","~~"),"*","~*"),"?","~?"))+COUNTIFS('Calculations'!$HT$13:$HT$512,"="&amp;SUBSTITUTE(SUBSTITUTE(SUBSTITUTE('Calculations'!HF488,"~","~~"),"*","~*"),"?","~?"),'Calculations'!$HN$13:$HN$512,"="&amp;SUBSTITUTE(SUBSTITUTE(SUBSTITUTE('Dashboard'!$B$7,"~","~~"),"*","~*"),"?","~?"))+COUNTIFS('Calculations'!$HU$13:$HU$512,"="&amp;SUBSTITUTE(SUBSTITUTE(SUBSTITUTE('Calculations'!HF488,"~","~~"),"*","~*"),"?","~?"),'Calculations'!$HN$13:$HN$512,"="&amp;SUBSTITUTE(SUBSTITUTE(SUBSTITUTE('Dashboard'!$B$7,"~","~~"),"*","~*"),"?","~?"))+COUNTIFS('Calculations'!$HV$13:$HV$512,"="&amp;SUBSTITUTE(SUBSTITUTE(SUBSTITUTE('Calculations'!HF488,"~","~~"),"*","~*"),"?","~?"),'Calculations'!$HN$13:$HN$512,"="&amp;SUBSTITUTE(SUBSTITUTE(SUBSTITUTE('Dashboard'!$B$7,"~","~~"),"*","~*"),"?","~?"))+COUNTIFS('Calculations'!$HW$13:$HW$512,"="&amp;SUBSTITUTE(SUBSTITUTE(SUBSTITUTE('Calculations'!HF488,"~","~~"),"*","~*"),"?","~?"),'Calculations'!$HN$13:$HN$512,"="&amp;SUBSTITUTE(SUBSTITUTE(SUBSTITUTE('Dashboard'!$B$7,"~","~~"),"*","~*"),"?","~?"))+COUNTIFS('Calculations'!$HX$13:$HX$512,"="&amp;SUBSTITUTE(SUBSTITUTE(SUBSTITUTE('Calculations'!HF488,"~","~~"),"*","~*"),"?","~?"),'Calculations'!$HN$13:$HN$512,"="&amp;SUBSTITUTE(SUBSTITUTE(SUBSTITUTE('Dashboard'!$B$7,"~","~~"),"*","~*"),"?","~?"))+COUNTIFS('Calculations'!$HY$13:$HY$512,"="&amp;SUBSTITUTE(SUBSTITUTE(SUBSTITUTE('Calculations'!HF488,"~","~~"),"*","~*"),"?","~?"),'Calculations'!$HN$13:$HN$512,"="&amp;SUBSTITUTE(SUBSTITUTE(SUBSTITUTE('Dashboard'!$B$7,"~","~~"),"*","~*"),"?","~?"))+COUNTIFS('Calculations'!$HZ$13:$HZ$512,"="&amp;SUBSTITUTE(SUBSTITUTE(SUBSTITUTE('Calculations'!HF488,"~","~~"),"*","~*"),"?","~?"),'Calculations'!$HN$13:$HN$512,"="&amp;SUBSTITUTE(SUBSTITUTE(SUBSTITUTE('Dashboard'!$B$7,"~","~~"),"*","~*"),"?","~?"))+COUNTIFS('Calculations'!$IA$13:$IA$512,"="&amp;SUBSTITUTE(SUBSTITUTE(SUBSTITUTE('Calculations'!HF488,"~","~~"),"*","~*"),"?","~?"),'Calculations'!$HN$13:$HN$512,"="&amp;SUBSTITUTE(SUBSTITUTE(SUBSTITUTE('Dashboard'!$B$7,"~","~~"),"*","~*"),"?","~?"))+COUNTIFS('Calculations'!$IB$13:$IB$512,"="&amp;SUBSTITUTE(SUBSTITUTE(SUBSTITUTE('Calculations'!HF488,"~","~~"),"*","~*"),"?","~?"),'Calculations'!$HN$13:$HN$512,"="&amp;SUBSTITUTE(SUBSTITUTE(SUBSTITUTE('Dashboard'!$B$7,"~","~~"),"*","~*"),"?","~?"))+COUNTIFS('Calculations'!$IC$13:$IC$512,"="&amp;SUBSTITUTE(SUBSTITUTE(SUBSTITUTE('Calculations'!HF488,"~","~~"),"*","~*"),"?","~?"),'Calculations'!$HN$13:$HN$512,"="&amp;SUBSTITUTE(SUBSTITUTE(SUBSTITUTE('Dashboard'!$B$7,"~","~~"),"*","~*"),"?","~?"))+COUNTIFS('Calculations'!$ID$13:$ID$512,"="&amp;SUBSTITUTE(SUBSTITUTE(SUBSTITUTE('Calculations'!HF488,"~","~~"),"*","~*"),"?","~?"),'Calculations'!$HN$13:$HN$512,"="&amp;SUBSTITUTE(SUBSTITUTE(SUBSTITUTE('Dashboard'!$B$7,"~","~~"),"*","~*"),"?","~?"))+COUNTIFS('Calculations'!$IE$13:$IE$512,"="&amp;SUBSTITUTE(SUBSTITUTE(SUBSTITUTE('Calculations'!HF488,"~","~~"),"*","~*"),"?","~?"),'Calculations'!$HN$13:$HN$512,"="&amp;SUBSTITUTE(SUBSTITUTE(SUBSTITUTE('Dashboard'!$B$7,"~","~~"),"*","~*"),"?","~?"))+COUNTIFS('Calculations'!$IF$13:$IF$512,"="&amp;SUBSTITUTE(SUBSTITUTE(SUBSTITUTE('Calculations'!HF488,"~","~~"),"*","~*"),"?","~?"),'Calculations'!$HN$13:$HN$512,"="&amp;SUBSTITUTE(SUBSTITUTE(SUBSTITUTE('Dashboard'!$B$7,"~","~~"),"*","~*"),"?","~?"))+COUNTIFS('Calculations'!$IG$13:$IG$512,"="&amp;SUBSTITUTE(SUBSTITUTE(SUBSTITUTE('Calculations'!HF488,"~","~~"),"*","~*"),"?","~?"),'Calculations'!$HN$13:$HN$512,"="&amp;SUBSTITUTE(SUBSTITUTE(SUBSTITUTE('Dashboard'!$B$7,"~","~~"),"*","~*"),"?","~?"))+COUNTIFS('Calculations'!$IH$13:$IH$512,"="&amp;SUBSTITUTE(SUBSTITUTE(SUBSTITUTE('Calculations'!HF488,"~","~~"),"*","~*"),"?","~?"),'Calculations'!$HN$13:$HN$512,"="&amp;SUBSTITUTE(SUBSTITUTE(SUBSTITUTE('Dashboard'!$B$7,"~","~~"),"*","~*"),"?","~?"))))</x:f>
        <x:v>0</x:v>
      </x:c>
      <x:c r="JD488" t="n">
        <x:f>IF('Calculations'!EM488="",0,IF('Dashboard'!$B$7="All",1,IF('Calculations'!HN488='Dashboard'!$B$7,1,0)+IFERROR(INDEX('Calculations'!$JC$13:$JC$512,MATCH('Calculations'!HE488,'Calculations'!$HF$13:$HF$512,0)),0)))</x:f>
        <x:v>0</x:v>
      </x:c>
      <x:c r="JE488" t="n">
        <x:f>IF(AND('Calculations'!EM488&lt;&gt;"",'Calculations'!$JJ$2&lt;&gt;"All",'Calculations'!$JJ$2&lt;&gt;"",'Calculations'!HF488='Calculations'!$JJ$2,'Calculations'!HL488=0,'Calculations'!JD488&gt;0),MAX('Calculations'!$JE$12:JE487)+1,0)</x:f>
        <x:v>0</x:v>
      </x:c>
      <x:c r="JF488" t="str">
        <x:f>IF('Calculations'!EM488="","",IFERROR(IF(INDEX(INDIRECT("'WCM Calibration Final'!$G$1:$G$2000"),'Calculations'!$EM488)="","",TRIM(INDEX(INDIRECT("'WCM Calibration Final'!$G$1:$G$2000"),'Calculations'!$EM488)&amp;"")),""))</x:f>
      </x:c>
      <x:c r="JQ488" t="n">
        <x:f>IF(OR('Calculations'!BM488=0,NOT('Calculations'!$AG$2),'Calculations'!$AG$8&gt;0),0,IF(OR('Dashboard'!$B$7="All",'Calculations'!HN488='Dashboard'!$B$7),IF('Calculations'!$JJ$2="All",1,IF(AND('Calculations'!HF488='Calculations'!$JJ$2,'Calculations'!HL488=0),1,0)),0))</x:f>
        <x:v>0</x:v>
      </x:c>
    </x:row>
    <x:row r="489">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t="n">
        <x:f>IF('Calculations'!$EM489="",0,IF(OR(IFERROR(INDEX(INDIRECT("'WCM Calibration Final'!$A$1:$A$2000"),'Calculations'!$EM489)&lt;&gt;"",FALSE),IFERROR(INDEX(INDIRECT("'WCM Calibration Final'!$B$1:$B$2000"),'Calculations'!$EM489)&lt;&gt;"",FALSE),IFERROR(INDEX(INDIRECT("'WCM Calibration Final'!$C$1:$C$2000"),'Calculations'!$EM489)&lt;&gt;"",FALSE)),1,0))</x:f>
        <x:v>0</x:v>
      </x:c>
      <x:c r="BN489" s="4" t="n">
        <x:f>IF(AND('Calculations'!BM489=1,'Calculations'!$AG$2,'Calculations'!$EN489=1),1,0)</x:f>
        <x:v>0</x:v>
      </x:c>
      <x:c r="BO489" s="4" t="str">
        <x:f>IF('Calculations'!BM489=0,"",IFERROR(IF(AND(VALUE(INDEX(INDIRECT("'WCM Calibration Final'!$K$1:$K$2000"),'Calculations'!$EM489))&gt;=1,VALUE(INDEX(INDIRECT("'WCM Calibration Final'!$K$1:$K$2000"),'Calculations'!$EM489))&lt;=4,MOD(VALUE(INDEX(INDIRECT("'WCM Calibration Final'!$K$1:$K$2000"),'Calculations'!$EM489)),1)=0),VALUE(INDEX(INDIRECT("'WCM Calibration Final'!$K$1:$K$2000"),'Calculations'!$EM489)),""),""))</x:f>
      </x:c>
      <x:c r="BP489" s="4" t="str">
        <x:f>IF('Calculations'!BM489=0,"",IFERROR(IF(AND(VALUE(INDEX(INDIRECT("'WCM Calibration Final'!$L$1:$L$2000"),'Calculations'!$EM489))&gt;=1,VALUE(INDEX(INDIRECT("'WCM Calibration Final'!$L$1:$L$2000"),'Calculations'!$EM489))&lt;=4,MOD(VALUE(INDEX(INDIRECT("'WCM Calibration Final'!$L$1:$L$2000"),'Calculations'!$EM489)),1)=0),VALUE(INDEX(INDIRECT("'WCM Calibration Final'!$L$1:$L$2000"),'Calculations'!$EM489)),""),""))</x:f>
      </x:c>
      <x:c r="BQ489" s="4"/>
      <x:c r="BR489" s="4"/>
      <x:c r="BS489" s="4"/>
      <x:c r="BT489" s="4" t="n">
        <x:f>IF(AND('Calculations'!BM489=1,ISNUMBER('Calculations'!BO489),ISNUMBER('Calculations'!BP489)),1,0)</x:f>
        <x:v>0</x:v>
      </x:c>
      <x:c r="BU489" s="4" t="str">
        <x:f>IF('Calculations'!BM489=0,"",'Calculations'!$EO489)</x:f>
      </x:c>
      <x:c r="BV489" s="4" t="str">
        <x:f>IF('Calculations'!BM489=0,"",IFERROR(IF(OR(INDEX(INDIRECT("'WCM Calibration Final'!$H$1:$H$2000"),'Calculations'!$EM489)="MANAGING DIRECTOR",INDEX(INDIRECT("'WCM Calibration Final'!$H$1:$H$2000"),'Calculations'!$EM489)="DIRECTOR",INDEX(INDIRECT("'WCM Calibration Final'!$H$1:$H$2000"),'Calculations'!$EM489)="SENIOR VICE PRESIDENT",INDEX(INDIRECT("'WCM Calibration Final'!$H$1:$H$2000"),'Calculations'!$EM489)="VICE PRESIDENT",INDEX(INDIRECT("'WCM Calibration Final'!$H$1:$H$2000"),'Calculations'!$EM489)="ASSISTANT VICE PRESIDENT",INDEX(INDIRECT("'WCM Calibration Final'!$H$1:$H$2000"),'Calculations'!$EM489)="OFFICER"),UPPER(INDEX(INDIRECT("'WCM Calibration Final'!$H$1:$H$2000"),'Calculations'!$EM489)),"Other"),"Other"))</x:f>
      </x:c>
      <x:c r="BW489" s="4"/>
      <x:c r="BX489" s="4"/>
      <x:c r="BY489" s="4" t="n">
        <x:f>IF(AND('Calculations'!BM489=1,'Calculations'!BU489&lt;&gt;"",COUNTIF('Calculations'!$BU$12:BU489,'Calculations'!BU489)=1),MAX('Calculations'!$BY$11:BY488)+1,0)</x:f>
        <x:v>0</x:v>
      </x:c>
      <x:c r="BZ489" s="4" t="str">
        <x:f>IF('Dashboard'!$E$67="What",'Calculations'!BO489,'Calculations'!BP489)</x:f>
      </x:c>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t="str">
        <x:f>IF(478&gt;MAX('Calculations'!$HI$13:$HI$512),"",INDEX('Calculations'!$HN$13:$HN$512,MATCH(478,'Calculations'!$HI$13:$HI$512,0)))</x:f>
      </x:c>
      <x:c r="DB489" s="4" t="str">
        <x:f>IF(478&gt;MAX('Calculations'!$HH$13:$HH$512),"",INDEX('Calculations'!$HJ$13:$HJ$512,MATCH(478,'Calculations'!$HH$13:$HH$512,0)))</x:f>
      </x:c>
      <x:c r="DC489" s="4" t="str">
        <x:f>IF(ROW()-11&gt;MAX('Calculations'!$BY$13:$BY$512),"",INDEX('Calculations'!$BU$13:$BU$512,MATCH(ROW()-11,'Calculations'!$BY$13:$BY$512,0)))</x:f>
      </x:c>
      <x:c r="DD489" s="4" t="str">
        <x:f>IF(478&gt;MAX('Calculations'!$IK$13:$IK$512),"",INDEX('Calculations'!$HK$13:$HK$512,MATCH(478,'Calculations'!$IK$13:$IK$512,0)))</x:f>
      </x:c>
      <x:c r="DE489" s="4" t="str">
        <x:f>'Calculations'!DC489</x:f>
      </x:c>
      <x:c r="DF489" s="4" t="str">
        <x:f>IF('Calculations'!DE489="","",COUNTIFS('Calculations'!$BN$13:$BN$512,1,'Calculations'!$BU$13:$BU$512,'Calculations'!DE489))</x:f>
      </x:c>
      <x:c r="DG489" s="4" t="str">
        <x:f>IF('Calculations'!DE489="","",COUNTIFS('Calculations'!$BN$13:$BN$512,1,'Calculations'!$BU$13:$BU$512,'Calculations'!DE489,'Calculations'!$BT$13:$BT$512,1))</x:f>
      </x:c>
      <x:c r="DH489" s="4" t="str">
        <x:f>IF('Calculations'!DE489="","",'Calculations'!DF489-'Calculations'!DG489)</x:f>
      </x:c>
      <x:c r="DI489" s="4" t="str">
        <x:f>IF(OR('Calculations'!DE489="",'Calculations'!DF489=0),"",'Calculations'!DG489/'Calculations'!DF489)</x:f>
      </x:c>
      <x:c r="DJ489" s="4" t="str">
        <x:f>IF('Calculations'!DE489="","",COUNTIFS('Calculations'!$BN$13:$BN$512,1,'Calculations'!$BU$13:$BU$512,'Calculations'!DE489,'Calculations'!$BT$13:$BT$512,1,'Calculations'!$EE$13:$EE$512,"High"))</x:f>
      </x:c>
      <x:c r="DK489" s="4" t="str">
        <x:f>IF('Calculations'!DE489="","",COUNTIFS('Calculations'!$BN$13:$BN$512,1,'Calculations'!$BU$13:$BU$512,'Calculations'!DE489,'Calculations'!$BT$13:$BT$512,1,'Calculations'!$EE$13:$EE$512,"Strong"))</x:f>
      </x:c>
      <x:c r="DL489" s="4" t="str">
        <x:f>IF('Calculations'!DE489="","",COUNTIFS('Calculations'!$BN$13:$BN$512,1,'Calculations'!$BU$13:$BU$512,'Calculations'!DE489,'Calculations'!$BT$13:$BT$512,1,'Calculations'!$EE$13:$EE$512,"Solid"))</x:f>
      </x:c>
      <x:c r="DM489" s="4" t="str">
        <x:f>IF('Calculations'!DE489="","",COUNTIFS('Calculations'!$BN$13:$BN$512,1,'Calculations'!$BU$13:$BU$512,'Calculations'!DE489,'Calculations'!$BT$13:$BT$512,1,'Calculations'!$EE$13:$EE$512,"Low"))</x:f>
      </x:c>
      <x:c r="DN489" s="4" t="str">
        <x:f>IF('Calculations'!DE489="","",COUNTIFS('Calculations'!$BN$13:$BN$512,1,'Calculations'!$BU$13:$BU$512,'Calculations'!DE489,'Calculations'!$EP$13:$EP$512,1))</x:f>
      </x:c>
      <x:c r="DO489" s="4" t="str">
        <x:f>IF(OR('Calculations'!DE489="",'Calculations'!DG489=0),"",('Calculations'!DJ489+'Calculations'!DK489)/'Calculations'!DG489)</x:f>
      </x:c>
      <x:c r="DP489" s="4" t="n">
        <x:f>IF(AND('Calculations'!DE489&lt;&gt;"",'Calculations'!DF489&gt;0),COUNTIF('Calculations'!$DF$12:DF489,"&gt;0"),0)</x:f>
        <x:v>0</x:v>
      </x:c>
      <x:c r="DQ489" s="4" t="str">
        <x:f>IF(478&gt;MAX('Calculations'!$HH$13:$HH$512),"",INDEX('Calculations'!$HF$13:$HF$512,MATCH(478,'Calculations'!$HH$13:$HH$512,0)))</x:f>
      </x:c>
      <x:c r="DR489" s="4" t="str">
        <x:f>IF(478&gt;MAX('Calculations'!$IK$13:$IK$512),"",INDEX('Calculations'!$HE$13:$HE$512,MATCH(478,'Calculations'!$IK$13:$IK$512,0)))</x:f>
      </x:c>
      <x:c r="DS489" s="4"/>
      <x:c r="DT489" s="4"/>
      <x:c r="DU489" s="4"/>
      <x:c r="DV489" s="4"/>
      <x:c r="DW489" s="4"/>
      <x:c r="DX489" s="4"/>
      <x:c r="DY489" s="4"/>
      <x:c r="DZ489" s="4"/>
      <x:c r="EA489" s="4"/>
      <x:c r="EB489" s="4"/>
      <x:c r="EC489" s="4"/>
      <x:c r="ED489" s="4"/>
      <x:c r="EE489" s="4" t="str">
        <x:f>IF('Calculations'!BT489=0,"Not Rated",IF(OR('Calculations'!BO489&gt;=4,'Calculations'!BP489&gt;=4),"Low",IF('Calculations'!BO489+'Calculations'!BP489&lt;=3,"High",IF('Calculations'!BO489+'Calculations'!BP489&lt;=4,"Strong","Solid"))))</x:f>
        <x:v>Not Rated</x:v>
      </x:c>
      <x:c r="EF489" s="4"/>
      <x:c r="EG489" s="4"/>
      <x:c r="EH489" s="4"/>
      <x:c r="EI489" s="4"/>
      <x:c r="EJ489" s="4"/>
      <x:c r="EK489" s="4"/>
      <x:c r="EL489" s="4"/>
      <x:c r="EM489" s="4" t="str">
        <x:f>IF(477&gt;'Calculations'!$JB$2000,"",INDEX('Calculations'!$JA$12:$JA$2000,MATCH(477,'Calculations'!$JB$12:$JB$2000,0)))</x:f>
      </x:c>
      <x:c r="EN489" s="4" t="n">
        <x:f>IF(OR('Calculations'!EM489="",'Calculations'!$AG$8&gt;0,AND('Calculations'!$EF$2&lt;&gt;"All",'Calculations'!HE489='Calculations'!$EF$2),AND('Calculations'!$EF$3&lt;&gt;"All",'Calculations'!HE489='Calculations'!$EF$3)),0,IF(OR('Dashboard'!$B$7="All",'Calculations'!HN489='Dashboard'!$B$7),IF('Calculations'!$EF$2="All",1,IF('Calculations'!HL489&gt;0,0,IF(COUNTIF('Calculations'!HO489:II489,"="&amp;SUBSTITUTE(SUBSTITUTE(SUBSTITUTE('Calculations'!$EF$2,"~","~~"),"*","~*"),"?","~?"))=0,0,IF('Calculations'!$EF$3="All",1,IF(COUNTIF('Calculations'!HO489:II489,"="&amp;SUBSTITUTE(SUBSTITUTE(SUBSTITUTE('Calculations'!$EF$3,"~","~~"),"*","~*"),"?","~?"))&gt;0,1,0))))),0))</x:f>
        <x:v>0</x:v>
      </x:c>
      <x:c r="EO489" s="4" t="str">
        <x:f>IF('Calculations'!IJ489="","",IF('Calculations'!IJ489="!UNRESOLVED","Unresolved hierarchy",IFERROR(INDEX('Calculations'!$HK$13:$HK$512,MATCH('Calculations'!IJ489,'Calculations'!$HE$13:$HE$512,0)),IFERROR(INDEX('Calculations'!$HJ$13:$HJ$512,MATCH('Calculations'!IJ489,'Calculations'!$HF$13:$HF$512,0)),'Calculations'!IJ489))))</x:f>
      </x:c>
      <x:c r="EP489" s="4" t="n">
        <x:f>IF(AND('Calculations'!EM489&lt;&gt;"",'Calculations'!HF489='Calculations'!IJ489),1,0)</x:f>
        <x:v>0</x:v>
      </x:c>
      <x:c r="EQ489" s="4"/>
      <x:c r="ER489" s="4"/>
      <x:c r="ES489" s="4"/>
      <x:c r="ET489" s="4"/>
      <x:c r="EU489" s="4"/>
      <x:c r="EV489" s="4"/>
      <x:c r="EW489" s="4"/>
      <x:c r="EX489" s="4"/>
      <x:c r="EY489" s="4"/>
      <x:c r="EZ489" s="4"/>
      <x:c r="FA489" s="4"/>
      <x:c r="FB489" s="4"/>
      <x:c r="FC489" s="4"/>
      <x:c r="FD489" s="4"/>
      <x:c r="FE489" s="4"/>
      <x:c r="FF489" s="4"/>
      <x:c r="FG489" s="4"/>
      <x:c r="FH489" s="4"/>
      <x:c r="FI489" s="4"/>
      <x:c r="FJ489" s="4"/>
      <x:c r="FK489" s="4"/>
      <x:c r="FL489" s="4"/>
      <x:c r="FM489" s="4"/>
      <x:c r="FN489" s="4"/>
      <x:c r="FO489" s="4"/>
      <x:c r="HE489" t="str">
        <x:f>IF('Calculations'!EM489="","",IF(IFERROR(IF(INDEX(INDIRECT("'WCM Calibration Final'!$A$1:$A$2000"),'Calculations'!$EM489)="","",TRIM(INDEX(INDIRECT("'WCM Calibration Final'!$A$1:$A$2000"),'Calculations'!$EM489)&amp;"")),"")&lt;&gt;"","G:"&amp;IFERROR(TEXT(1*INDEX(INDIRECT("'WCM Calibration Final'!$A$1:$A$2000"),'Calculations'!$EM489),"0"),UPPER(IFERROR(IF(INDEX(INDIRECT("'WCM Calibration Final'!$A$1:$A$2000"),'Calculations'!$EM489)="","",TRIM(INDEX(INDIRECT("'WCM Calibration Final'!$A$1:$A$2000"),'Calculations'!$EM489)&amp;"")),""))),IF(IFERROR(IF(INDEX(INDIRECT("'WCM Calibration Final'!$C$1:$C$2000"),'Calculations'!$EM489)="","",TRIM(INDEX(INDIRECT("'WCM Calibration Final'!$C$1:$C$2000"),'Calculations'!$EM489)&amp;"")),"")&lt;&gt;"","S:"&amp;UPPER(IFERROR(IF(INDEX(INDIRECT("'WCM Calibration Final'!$C$1:$C$2000"),'Calculations'!$EM489)="","",TRIM(INDEX(INDIRECT("'WCM Calibration Final'!$C$1:$C$2000"),'Calculations'!$EM489)&amp;"")),"")),"R:"&amp;'Calculations'!EM489)))</x:f>
      </x:c>
      <x:c r="HF489" t="str">
        <x:f>IF('Calculations'!EM489="","",IF(IFERROR(IF(INDEX(INDIRECT("'WCM Calibration Final'!$D$1:$D$2000"),'Calculations'!$EM489)="","",TRIM(INDEX(INDIRECT("'WCM Calibration Final'!$D$1:$D$2000"),'Calculations'!$EM489)&amp;"")),"")&lt;&gt;"","G:"&amp;IFERROR(TEXT(1*INDEX(INDIRECT("'WCM Calibration Final'!$D$1:$D$2000"),'Calculations'!$EM489),"0"),UPPER(IFERROR(IF(INDEX(INDIRECT("'WCM Calibration Final'!$D$1:$D$2000"),'Calculations'!$EM489)="","",TRIM(INDEX(INDIRECT("'WCM Calibration Final'!$D$1:$D$2000"),'Calculations'!$EM489)&amp;"")),""))),IF(IFERROR(IF(INDEX(INDIRECT("'WCM Calibration Final'!$E$1:$E$2000"),'Calculations'!$EM489)="","",TRIM(INDEX(INDIRECT("'WCM Calibration Final'!$E$1:$E$2000"),'Calculations'!$EM489)&amp;"")),"")="","",IF(COUNTIF('Calculations'!$HG$13:$HG$512,"="&amp;SUBSTITUTE(SUBSTITUTE(SUBSTITUTE(IFERROR(IF(INDEX(INDIRECT("'WCM Calibration Final'!$E$1:$E$2000"),'Calculations'!$EM489)="","",TRIM(INDEX(INDIRECT("'WCM Calibration Final'!$E$1:$E$2000"),'Calculations'!$EM489)&amp;"")),""),"~","~~"),"*","~*"),"?","~?"))=1,INDEX('Calculations'!$HE$13:$HE$512,MATCH(IFERROR(IF(INDEX(INDIRECT("'WCM Calibration Final'!$E$1:$E$2000"),'Calculations'!$EM489)="","",TRIM(INDEX(INDIRECT("'WCM Calibration Final'!$E$1:$E$2000"),'Calculations'!$EM489)&amp;"")),""),'Calculations'!$HG$13:$HG$512,0)),IF(COUNTIF('Calculations'!$HG$13:$HG$512,"="&amp;SUBSTITUTE(SUBSTITUTE(SUBSTITUTE(IFERROR(IF(INDEX(INDIRECT("'WCM Calibration Final'!$E$1:$E$2000"),'Calculations'!$EM489)="","",TRIM(INDEX(INDIRECT("'WCM Calibration Final'!$E$1:$E$2000"),'Calculations'!$EM489)&amp;"")),""),"~","~~"),"*","~*"),"?","~?"))&gt;1,"!AMBIG","X:"&amp;IFERROR(IF(INDEX(INDIRECT("'WCM Calibration Final'!$E$1:$E$2000"),'Calculations'!$EM489)="","",TRIM(INDEX(INDIRECT("'WCM Calibration Final'!$E$1:$E$2000"),'Calculations'!$EM489)&amp;"")),""))))))</x:f>
      </x:c>
      <x:c r="HG489" t="str">
        <x:f>IF('Calculations'!EM489="","",IFERROR(IF(INDEX(INDIRECT("'WCM Calibration Final'!$B$1:$B$2000"),'Calculations'!$EM489)="","",TRIM(INDEX(INDIRECT("'WCM Calibration Final'!$B$1:$B$2000"),'Calculations'!$EM489)&amp;"")),""))</x:f>
      </x:c>
      <x:c r="HH489" t="n">
        <x:f>IF(AND('Calculations'!JC489&gt;0,COUNTIF('Calculations'!$HF$12:HF489,"="&amp;SUBSTITUTE(SUBSTITUTE(SUBSTITUTE('Calculations'!HF489,"~","~~"),"*","~*"),"?","~?"))=1),MAX('Calculations'!$HH$12:HH488)+1,0)</x:f>
        <x:v>0</x:v>
      </x:c>
      <x:c r="HI489" t="n">
        <x:f>IF(AND('Calculations'!HN489&lt;&gt;"",COUNTIF('Calculations'!$HN$12:HN489,"="&amp;SUBSTITUTE(SUBSTITUTE(SUBSTITUTE('Calculations'!HN489,"~","~~"),"*","~*"),"?","~?"))=1),MAX('Calculations'!$HI$12:HI488)+1,0)</x:f>
        <x:v>0</x:v>
      </x:c>
      <x:c r="HJ489" t="str">
        <x:f>IF('Calculations'!HF489="","",IF(COUNTIF('Calculations'!$HE$13:$HE$512,"="&amp;SUBSTITUTE(SUBSTITUTE(SUBSTITUTE('Calculations'!HF489,"~","~~"),"*","~*"),"?","~?"))=1,INDEX('Calculations'!$HK$13:$HK$512,MATCH('Calculations'!HF489,'Calculations'!$HE$13:$HE$512,0)),IFERROR(IF(INDEX(INDIRECT("'WCM Calibration Final'!$E$1:$E$2000"),'Calculations'!$EM489)="","",TRIM(INDEX(INDIRECT("'WCM Calibration Final'!$E$1:$E$2000"),'Calculations'!$EM489)&amp;"")),"")&amp;" ["&amp;'Calculations'!HF489&amp;"]"))</x:f>
      </x:c>
      <x:c r="HK489" t="str">
        <x:f>IF('Calculations'!EM489="","",'Calculations'!HG489&amp;" ["&amp;'Calculations'!HE489&amp;"]")</x:f>
      </x:c>
      <x:c r="HL489" t="n">
        <x:f>IF('Calculations'!EM489="",0,IF(OR('Calculations'!II489&lt;&gt;"",COUNTIF('Calculations'!$HE$13:$HE$512,"="&amp;SUBSTITUTE(SUBSTITUTE(SUBSTITUTE('Calculations'!HE489,"~","~~"),"*","~*"),"?","~?"))&gt;1),1,0))</x:f>
        <x:v>0</x:v>
      </x:c>
      <x:c r="HM489" t="str">
        <x:f>IF('Calculations'!EM489="","",IF('Calculations'!HL489=1,"!UNRESOLVED",IF('Calculations'!IH489&lt;&gt;"",'Calculations'!IH489,IF('Calculations'!IG489&lt;&gt;"",'Calculations'!IG489,IF('Calculations'!IF489&lt;&gt;"",'Calculations'!IF489,IF('Calculations'!IE489&lt;&gt;"",'Calculations'!IE489,IF('Calculations'!ID489&lt;&gt;"",'Calculations'!ID489,IF('Calculations'!IC489&lt;&gt;"",'Calculations'!IC489,IF('Calculations'!IB489&lt;&gt;"",'Calculations'!IB489,IF('Calculations'!IA489&lt;&gt;"",'Calculations'!IA489,IF('Calculations'!HZ489&lt;&gt;"",'Calculations'!HZ489,IF('Calculations'!HY489&lt;&gt;"",'Calculations'!HY489,IF('Calculations'!HX489&lt;&gt;"",'Calculations'!HX489,IF('Calculations'!HW489&lt;&gt;"",'Calculations'!HW489,IF('Calculations'!HV489&lt;&gt;"",'Calculations'!HV489,IF('Calculations'!HU489&lt;&gt;"",'Calculations'!HU489,IF('Calculations'!HT489&lt;&gt;"",'Calculations'!HT489,IF('Calculations'!HS489&lt;&gt;"",'Calculations'!HS489,IF('Calculations'!HR489&lt;&gt;"",'Calculations'!HR489,IF('Calculations'!HQ489&lt;&gt;"",'Calculations'!HQ489,IF('Calculations'!HP489&lt;&gt;"",'Calculations'!HP489,IF('Calculations'!HO489&lt;&gt;"",'Calculations'!HO489,'Calculations'!HE489))))))))))))))))))))))</x:f>
      </x:c>
      <x:c r="HN489" t="str">
        <x:f>IF('Calculations'!EM489="","",IF(IFERROR(IF(INDEX(INDIRECT("'WCM Calibration Final'!$F$1:$F$2000"),'Calculations'!$EM489)="","",TRIM(INDEX(INDIRECT("'WCM Calibration Final'!$F$1:$F$2000"),'Calculations'!$EM489)&amp;"")),"")="","(Blank)",IFERROR(IF(INDEX(INDIRECT("'WCM Calibration Final'!$F$1:$F$2000"),'Calculations'!$EM489)="","",TRIM(INDEX(INDIRECT("'WCM Calibration Final'!$F$1:$F$2000"),'Calculations'!$EM489)&amp;"")),"")))</x:f>
      </x:c>
      <x:c r="HO489" t="str">
        <x:f>'Calculations'!HF489</x:f>
      </x:c>
      <x:c r="HP489" t="str">
        <x:f>IF('Calculations'!HO489="","",IF('Calculations'!HO489="!AMBIG","!AMBIG",IF(COUNTIF('Calculations'!$HE$13:$HE$512,"="&amp;SUBSTITUTE(SUBSTITUTE(SUBSTITUTE('Calculations'!HO489,"~","~~"),"*","~*"),"?","~?"))&gt;1,"!AMBIG",IFERROR(INDEX('Calculations'!$HF$13:$HF$512,MATCH('Calculations'!HO489,'Calculations'!$HE$13:$HE$512,0)),""))))</x:f>
      </x:c>
      <x:c r="HQ489" t="str">
        <x:f>IF('Calculations'!HP489="","",IF('Calculations'!HP489="!AMBIG","!AMBIG",IF(COUNTIF('Calculations'!$HE$13:$HE$512,"="&amp;SUBSTITUTE(SUBSTITUTE(SUBSTITUTE('Calculations'!HP489,"~","~~"),"*","~*"),"?","~?"))&gt;1,"!AMBIG",IFERROR(INDEX('Calculations'!$HF$13:$HF$512,MATCH('Calculations'!HP489,'Calculations'!$HE$13:$HE$512,0)),""))))</x:f>
      </x:c>
      <x:c r="HR489" t="str">
        <x:f>IF('Calculations'!HQ489="","",IF('Calculations'!HQ489="!AMBIG","!AMBIG",IF(COUNTIF('Calculations'!$HE$13:$HE$512,"="&amp;SUBSTITUTE(SUBSTITUTE(SUBSTITUTE('Calculations'!HQ489,"~","~~"),"*","~*"),"?","~?"))&gt;1,"!AMBIG",IFERROR(INDEX('Calculations'!$HF$13:$HF$512,MATCH('Calculations'!HQ489,'Calculations'!$HE$13:$HE$512,0)),""))))</x:f>
      </x:c>
      <x:c r="HS489" t="str">
        <x:f>IF('Calculations'!HR489="","",IF('Calculations'!HR489="!AMBIG","!AMBIG",IF(COUNTIF('Calculations'!$HE$13:$HE$512,"="&amp;SUBSTITUTE(SUBSTITUTE(SUBSTITUTE('Calculations'!HR489,"~","~~"),"*","~*"),"?","~?"))&gt;1,"!AMBIG",IFERROR(INDEX('Calculations'!$HF$13:$HF$512,MATCH('Calculations'!HR489,'Calculations'!$HE$13:$HE$512,0)),""))))</x:f>
      </x:c>
      <x:c r="HT489" t="str">
        <x:f>IF('Calculations'!HS489="","",IF('Calculations'!HS489="!AMBIG","!AMBIG",IF(COUNTIF('Calculations'!$HE$13:$HE$512,"="&amp;SUBSTITUTE(SUBSTITUTE(SUBSTITUTE('Calculations'!HS489,"~","~~"),"*","~*"),"?","~?"))&gt;1,"!AMBIG",IFERROR(INDEX('Calculations'!$HF$13:$HF$512,MATCH('Calculations'!HS489,'Calculations'!$HE$13:$HE$512,0)),""))))</x:f>
      </x:c>
      <x:c r="HU489" t="str">
        <x:f>IF('Calculations'!HT489="","",IF('Calculations'!HT489="!AMBIG","!AMBIG",IF(COUNTIF('Calculations'!$HE$13:$HE$512,"="&amp;SUBSTITUTE(SUBSTITUTE(SUBSTITUTE('Calculations'!HT489,"~","~~"),"*","~*"),"?","~?"))&gt;1,"!AMBIG",IFERROR(INDEX('Calculations'!$HF$13:$HF$512,MATCH('Calculations'!HT489,'Calculations'!$HE$13:$HE$512,0)),""))))</x:f>
      </x:c>
      <x:c r="HV489" t="str">
        <x:f>IF('Calculations'!HU489="","",IF('Calculations'!HU489="!AMBIG","!AMBIG",IF(COUNTIF('Calculations'!$HE$13:$HE$512,"="&amp;SUBSTITUTE(SUBSTITUTE(SUBSTITUTE('Calculations'!HU489,"~","~~"),"*","~*"),"?","~?"))&gt;1,"!AMBIG",IFERROR(INDEX('Calculations'!$HF$13:$HF$512,MATCH('Calculations'!HU489,'Calculations'!$HE$13:$HE$512,0)),""))))</x:f>
      </x:c>
      <x:c r="HW489" t="str">
        <x:f>IF('Calculations'!HV489="","",IF('Calculations'!HV489="!AMBIG","!AMBIG",IF(COUNTIF('Calculations'!$HE$13:$HE$512,"="&amp;SUBSTITUTE(SUBSTITUTE(SUBSTITUTE('Calculations'!HV489,"~","~~"),"*","~*"),"?","~?"))&gt;1,"!AMBIG",IFERROR(INDEX('Calculations'!$HF$13:$HF$512,MATCH('Calculations'!HV489,'Calculations'!$HE$13:$HE$512,0)),""))))</x:f>
      </x:c>
      <x:c r="HX489" t="str">
        <x:f>IF('Calculations'!HW489="","",IF('Calculations'!HW489="!AMBIG","!AMBIG",IF(COUNTIF('Calculations'!$HE$13:$HE$512,"="&amp;SUBSTITUTE(SUBSTITUTE(SUBSTITUTE('Calculations'!HW489,"~","~~"),"*","~*"),"?","~?"))&gt;1,"!AMBIG",IFERROR(INDEX('Calculations'!$HF$13:$HF$512,MATCH('Calculations'!HW489,'Calculations'!$HE$13:$HE$512,0)),""))))</x:f>
      </x:c>
      <x:c r="HY489" t="str">
        <x:f>IF('Calculations'!HX489="","",IF('Calculations'!HX489="!AMBIG","!AMBIG",IF(COUNTIF('Calculations'!$HE$13:$HE$512,"="&amp;SUBSTITUTE(SUBSTITUTE(SUBSTITUTE('Calculations'!HX489,"~","~~"),"*","~*"),"?","~?"))&gt;1,"!AMBIG",IFERROR(INDEX('Calculations'!$HF$13:$HF$512,MATCH('Calculations'!HX489,'Calculations'!$HE$13:$HE$512,0)),""))))</x:f>
      </x:c>
      <x:c r="HZ489" t="str">
        <x:f>IF('Calculations'!HY489="","",IF('Calculations'!HY489="!AMBIG","!AMBIG",IF(COUNTIF('Calculations'!$HE$13:$HE$512,"="&amp;SUBSTITUTE(SUBSTITUTE(SUBSTITUTE('Calculations'!HY489,"~","~~"),"*","~*"),"?","~?"))&gt;1,"!AMBIG",IFERROR(INDEX('Calculations'!$HF$13:$HF$512,MATCH('Calculations'!HY489,'Calculations'!$HE$13:$HE$512,0)),""))))</x:f>
      </x:c>
      <x:c r="IA489" t="str">
        <x:f>IF('Calculations'!HZ489="","",IF('Calculations'!HZ489="!AMBIG","!AMBIG",IF(COUNTIF('Calculations'!$HE$13:$HE$512,"="&amp;SUBSTITUTE(SUBSTITUTE(SUBSTITUTE('Calculations'!HZ489,"~","~~"),"*","~*"),"?","~?"))&gt;1,"!AMBIG",IFERROR(INDEX('Calculations'!$HF$13:$HF$512,MATCH('Calculations'!HZ489,'Calculations'!$HE$13:$HE$512,0)),""))))</x:f>
      </x:c>
      <x:c r="IB489" t="str">
        <x:f>IF('Calculations'!IA489="","",IF('Calculations'!IA489="!AMBIG","!AMBIG",IF(COUNTIF('Calculations'!$HE$13:$HE$512,"="&amp;SUBSTITUTE(SUBSTITUTE(SUBSTITUTE('Calculations'!IA489,"~","~~"),"*","~*"),"?","~?"))&gt;1,"!AMBIG",IFERROR(INDEX('Calculations'!$HF$13:$HF$512,MATCH('Calculations'!IA489,'Calculations'!$HE$13:$HE$512,0)),""))))</x:f>
      </x:c>
      <x:c r="IC489" t="str">
        <x:f>IF('Calculations'!IB489="","",IF('Calculations'!IB489="!AMBIG","!AMBIG",IF(COUNTIF('Calculations'!$HE$13:$HE$512,"="&amp;SUBSTITUTE(SUBSTITUTE(SUBSTITUTE('Calculations'!IB489,"~","~~"),"*","~*"),"?","~?"))&gt;1,"!AMBIG",IFERROR(INDEX('Calculations'!$HF$13:$HF$512,MATCH('Calculations'!IB489,'Calculations'!$HE$13:$HE$512,0)),""))))</x:f>
      </x:c>
      <x:c r="ID489" t="str">
        <x:f>IF('Calculations'!IC489="","",IF('Calculations'!IC489="!AMBIG","!AMBIG",IF(COUNTIF('Calculations'!$HE$13:$HE$512,"="&amp;SUBSTITUTE(SUBSTITUTE(SUBSTITUTE('Calculations'!IC489,"~","~~"),"*","~*"),"?","~?"))&gt;1,"!AMBIG",IFERROR(INDEX('Calculations'!$HF$13:$HF$512,MATCH('Calculations'!IC489,'Calculations'!$HE$13:$HE$512,0)),""))))</x:f>
      </x:c>
      <x:c r="IE489" t="str">
        <x:f>IF('Calculations'!ID489="","",IF('Calculations'!ID489="!AMBIG","!AMBIG",IF(COUNTIF('Calculations'!$HE$13:$HE$512,"="&amp;SUBSTITUTE(SUBSTITUTE(SUBSTITUTE('Calculations'!ID489,"~","~~"),"*","~*"),"?","~?"))&gt;1,"!AMBIG",IFERROR(INDEX('Calculations'!$HF$13:$HF$512,MATCH('Calculations'!ID489,'Calculations'!$HE$13:$HE$512,0)),""))))</x:f>
      </x:c>
      <x:c r="IF489" t="str">
        <x:f>IF('Calculations'!IE489="","",IF('Calculations'!IE489="!AMBIG","!AMBIG",IF(COUNTIF('Calculations'!$HE$13:$HE$512,"="&amp;SUBSTITUTE(SUBSTITUTE(SUBSTITUTE('Calculations'!IE489,"~","~~"),"*","~*"),"?","~?"))&gt;1,"!AMBIG",IFERROR(INDEX('Calculations'!$HF$13:$HF$512,MATCH('Calculations'!IE489,'Calculations'!$HE$13:$HE$512,0)),""))))</x:f>
      </x:c>
      <x:c r="IG489" t="str">
        <x:f>IF('Calculations'!IF489="","",IF('Calculations'!IF489="!AMBIG","!AMBIG",IF(COUNTIF('Calculations'!$HE$13:$HE$512,"="&amp;SUBSTITUTE(SUBSTITUTE(SUBSTITUTE('Calculations'!IF489,"~","~~"),"*","~*"),"?","~?"))&gt;1,"!AMBIG",IFERROR(INDEX('Calculations'!$HF$13:$HF$512,MATCH('Calculations'!IF489,'Calculations'!$HE$13:$HE$512,0)),""))))</x:f>
      </x:c>
      <x:c r="IH489" t="str">
        <x:f>IF('Calculations'!IG489="","",IF('Calculations'!IG489="!AMBIG","!AMBIG",IF(COUNTIF('Calculations'!$HE$13:$HE$512,"="&amp;SUBSTITUTE(SUBSTITUTE(SUBSTITUTE('Calculations'!IG489,"~","~~"),"*","~*"),"?","~?"))&gt;1,"!AMBIG",IFERROR(INDEX('Calculations'!$HF$13:$HF$512,MATCH('Calculations'!IG489,'Calculations'!$HE$13:$HE$512,0)),""))))</x:f>
      </x:c>
      <x:c r="II489" t="str">
        <x:f>IF('Calculations'!IH489="","",IF('Calculations'!IH489="!AMBIG","!AMBIG",IF(COUNTIF('Calculations'!$HE$13:$HE$512,"="&amp;SUBSTITUTE(SUBSTITUTE(SUBSTITUTE('Calculations'!IH489,"~","~~"),"*","~*"),"?","~?"))&gt;1,"!AMBIG",IFERROR(INDEX('Calculations'!$HF$13:$HF$512,MATCH('Calculations'!IH489,'Calculations'!$HE$13:$HE$512,0)),""))))</x:f>
      </x:c>
      <x:c r="IJ489" t="str">
        <x:f>IF('Calculations'!EM489="","",IF('Calculations'!$EF$2="All",'Calculations'!HM489,IF('Calculations'!HL489=1,"",IFERROR(IF(MATCH('Calculations'!$EF$2,'Calculations'!HO489:II489,0)=1,'Calculations'!HE489,INDEX('Calculations'!HO489:II489,1,MATCH('Calculations'!$EF$2,'Calculations'!HO489:II489,0)-1)),""))))</x:f>
      </x:c>
      <x:c r="IK489" t="n">
        <x:f>IF(AND('Calculations'!EM489&lt;&gt;"",'Calculations'!$EF$2&lt;&gt;"All",'Calculations'!HF489='Calculations'!$EF$2,'Calculations'!HL489=0,'Calculations'!JD489&gt;0),MAX('Calculations'!$IK$12:IK488)+1,0)</x:f>
        <x:v>0</x:v>
      </x:c>
      <x:c r="JA489" t="n">
        <x:f>IF(OR(IFERROR(INDIRECT("'WCM Calibration Final'!$A$489")&lt;&gt;"",FALSE),IFERROR(INDIRECT("'WCM Calibration Final'!$B$489")&lt;&gt;"",FALSE),IFERROR(INDIRECT("'WCM Calibration Final'!$C$489")&lt;&gt;"",FALSE)),489,0)</x:f>
        <x:v>0</x:v>
      </x:c>
      <x:c r="JB489" t="n">
        <x:f>'Calculations'!JB488+IF('Calculations'!JA489&gt;0,1,0)</x:f>
        <x:v>0</x:v>
      </x:c>
      <x:c r="JC489" t="n">
        <x:f>IF(OR('Calculations'!HF489="",'Calculations'!HF489="!AMBIG"),0,IF('Dashboard'!$B$7="All",1,COUNTIFS('Calculations'!$HO$13:$HO$512,"="&amp;SUBSTITUTE(SUBSTITUTE(SUBSTITUTE('Calculations'!HF489,"~","~~"),"*","~*"),"?","~?"),'Calculations'!$HN$13:$HN$512,"="&amp;SUBSTITUTE(SUBSTITUTE(SUBSTITUTE('Dashboard'!$B$7,"~","~~"),"*","~*"),"?","~?"))+COUNTIFS('Calculations'!$HP$13:$HP$512,"="&amp;SUBSTITUTE(SUBSTITUTE(SUBSTITUTE('Calculations'!HF489,"~","~~"),"*","~*"),"?","~?"),'Calculations'!$HN$13:$HN$512,"="&amp;SUBSTITUTE(SUBSTITUTE(SUBSTITUTE('Dashboard'!$B$7,"~","~~"),"*","~*"),"?","~?"))+COUNTIFS('Calculations'!$HQ$13:$HQ$512,"="&amp;SUBSTITUTE(SUBSTITUTE(SUBSTITUTE('Calculations'!HF489,"~","~~"),"*","~*"),"?","~?"),'Calculations'!$HN$13:$HN$512,"="&amp;SUBSTITUTE(SUBSTITUTE(SUBSTITUTE('Dashboard'!$B$7,"~","~~"),"*","~*"),"?","~?"))+COUNTIFS('Calculations'!$HR$13:$HR$512,"="&amp;SUBSTITUTE(SUBSTITUTE(SUBSTITUTE('Calculations'!HF489,"~","~~"),"*","~*"),"?","~?"),'Calculations'!$HN$13:$HN$512,"="&amp;SUBSTITUTE(SUBSTITUTE(SUBSTITUTE('Dashboard'!$B$7,"~","~~"),"*","~*"),"?","~?"))+COUNTIFS('Calculations'!$HS$13:$HS$512,"="&amp;SUBSTITUTE(SUBSTITUTE(SUBSTITUTE('Calculations'!HF489,"~","~~"),"*","~*"),"?","~?"),'Calculations'!$HN$13:$HN$512,"="&amp;SUBSTITUTE(SUBSTITUTE(SUBSTITUTE('Dashboard'!$B$7,"~","~~"),"*","~*"),"?","~?"))+COUNTIFS('Calculations'!$HT$13:$HT$512,"="&amp;SUBSTITUTE(SUBSTITUTE(SUBSTITUTE('Calculations'!HF489,"~","~~"),"*","~*"),"?","~?"),'Calculations'!$HN$13:$HN$512,"="&amp;SUBSTITUTE(SUBSTITUTE(SUBSTITUTE('Dashboard'!$B$7,"~","~~"),"*","~*"),"?","~?"))+COUNTIFS('Calculations'!$HU$13:$HU$512,"="&amp;SUBSTITUTE(SUBSTITUTE(SUBSTITUTE('Calculations'!HF489,"~","~~"),"*","~*"),"?","~?"),'Calculations'!$HN$13:$HN$512,"="&amp;SUBSTITUTE(SUBSTITUTE(SUBSTITUTE('Dashboard'!$B$7,"~","~~"),"*","~*"),"?","~?"))+COUNTIFS('Calculations'!$HV$13:$HV$512,"="&amp;SUBSTITUTE(SUBSTITUTE(SUBSTITUTE('Calculations'!HF489,"~","~~"),"*","~*"),"?","~?"),'Calculations'!$HN$13:$HN$512,"="&amp;SUBSTITUTE(SUBSTITUTE(SUBSTITUTE('Dashboard'!$B$7,"~","~~"),"*","~*"),"?","~?"))+COUNTIFS('Calculations'!$HW$13:$HW$512,"="&amp;SUBSTITUTE(SUBSTITUTE(SUBSTITUTE('Calculations'!HF489,"~","~~"),"*","~*"),"?","~?"),'Calculations'!$HN$13:$HN$512,"="&amp;SUBSTITUTE(SUBSTITUTE(SUBSTITUTE('Dashboard'!$B$7,"~","~~"),"*","~*"),"?","~?"))+COUNTIFS('Calculations'!$HX$13:$HX$512,"="&amp;SUBSTITUTE(SUBSTITUTE(SUBSTITUTE('Calculations'!HF489,"~","~~"),"*","~*"),"?","~?"),'Calculations'!$HN$13:$HN$512,"="&amp;SUBSTITUTE(SUBSTITUTE(SUBSTITUTE('Dashboard'!$B$7,"~","~~"),"*","~*"),"?","~?"))+COUNTIFS('Calculations'!$HY$13:$HY$512,"="&amp;SUBSTITUTE(SUBSTITUTE(SUBSTITUTE('Calculations'!HF489,"~","~~"),"*","~*"),"?","~?"),'Calculations'!$HN$13:$HN$512,"="&amp;SUBSTITUTE(SUBSTITUTE(SUBSTITUTE('Dashboard'!$B$7,"~","~~"),"*","~*"),"?","~?"))+COUNTIFS('Calculations'!$HZ$13:$HZ$512,"="&amp;SUBSTITUTE(SUBSTITUTE(SUBSTITUTE('Calculations'!HF489,"~","~~"),"*","~*"),"?","~?"),'Calculations'!$HN$13:$HN$512,"="&amp;SUBSTITUTE(SUBSTITUTE(SUBSTITUTE('Dashboard'!$B$7,"~","~~"),"*","~*"),"?","~?"))+COUNTIFS('Calculations'!$IA$13:$IA$512,"="&amp;SUBSTITUTE(SUBSTITUTE(SUBSTITUTE('Calculations'!HF489,"~","~~"),"*","~*"),"?","~?"),'Calculations'!$HN$13:$HN$512,"="&amp;SUBSTITUTE(SUBSTITUTE(SUBSTITUTE('Dashboard'!$B$7,"~","~~"),"*","~*"),"?","~?"))+COUNTIFS('Calculations'!$IB$13:$IB$512,"="&amp;SUBSTITUTE(SUBSTITUTE(SUBSTITUTE('Calculations'!HF489,"~","~~"),"*","~*"),"?","~?"),'Calculations'!$HN$13:$HN$512,"="&amp;SUBSTITUTE(SUBSTITUTE(SUBSTITUTE('Dashboard'!$B$7,"~","~~"),"*","~*"),"?","~?"))+COUNTIFS('Calculations'!$IC$13:$IC$512,"="&amp;SUBSTITUTE(SUBSTITUTE(SUBSTITUTE('Calculations'!HF489,"~","~~"),"*","~*"),"?","~?"),'Calculations'!$HN$13:$HN$512,"="&amp;SUBSTITUTE(SUBSTITUTE(SUBSTITUTE('Dashboard'!$B$7,"~","~~"),"*","~*"),"?","~?"))+COUNTIFS('Calculations'!$ID$13:$ID$512,"="&amp;SUBSTITUTE(SUBSTITUTE(SUBSTITUTE('Calculations'!HF489,"~","~~"),"*","~*"),"?","~?"),'Calculations'!$HN$13:$HN$512,"="&amp;SUBSTITUTE(SUBSTITUTE(SUBSTITUTE('Dashboard'!$B$7,"~","~~"),"*","~*"),"?","~?"))+COUNTIFS('Calculations'!$IE$13:$IE$512,"="&amp;SUBSTITUTE(SUBSTITUTE(SUBSTITUTE('Calculations'!HF489,"~","~~"),"*","~*"),"?","~?"),'Calculations'!$HN$13:$HN$512,"="&amp;SUBSTITUTE(SUBSTITUTE(SUBSTITUTE('Dashboard'!$B$7,"~","~~"),"*","~*"),"?","~?"))+COUNTIFS('Calculations'!$IF$13:$IF$512,"="&amp;SUBSTITUTE(SUBSTITUTE(SUBSTITUTE('Calculations'!HF489,"~","~~"),"*","~*"),"?","~?"),'Calculations'!$HN$13:$HN$512,"="&amp;SUBSTITUTE(SUBSTITUTE(SUBSTITUTE('Dashboard'!$B$7,"~","~~"),"*","~*"),"?","~?"))+COUNTIFS('Calculations'!$IG$13:$IG$512,"="&amp;SUBSTITUTE(SUBSTITUTE(SUBSTITUTE('Calculations'!HF489,"~","~~"),"*","~*"),"?","~?"),'Calculations'!$HN$13:$HN$512,"="&amp;SUBSTITUTE(SUBSTITUTE(SUBSTITUTE('Dashboard'!$B$7,"~","~~"),"*","~*"),"?","~?"))+COUNTIFS('Calculations'!$IH$13:$IH$512,"="&amp;SUBSTITUTE(SUBSTITUTE(SUBSTITUTE('Calculations'!HF489,"~","~~"),"*","~*"),"?","~?"),'Calculations'!$HN$13:$HN$512,"="&amp;SUBSTITUTE(SUBSTITUTE(SUBSTITUTE('Dashboard'!$B$7,"~","~~"),"*","~*"),"?","~?"))))</x:f>
        <x:v>0</x:v>
      </x:c>
      <x:c r="JD489" t="n">
        <x:f>IF('Calculations'!EM489="",0,IF('Dashboard'!$B$7="All",1,IF('Calculations'!HN489='Dashboard'!$B$7,1,0)+IFERROR(INDEX('Calculations'!$JC$13:$JC$512,MATCH('Calculations'!HE489,'Calculations'!$HF$13:$HF$512,0)),0)))</x:f>
        <x:v>0</x:v>
      </x:c>
      <x:c r="JE489" t="n">
        <x:f>IF(AND('Calculations'!EM489&lt;&gt;"",'Calculations'!$JJ$2&lt;&gt;"All",'Calculations'!$JJ$2&lt;&gt;"",'Calculations'!HF489='Calculations'!$JJ$2,'Calculations'!HL489=0,'Calculations'!JD489&gt;0),MAX('Calculations'!$JE$12:JE488)+1,0)</x:f>
        <x:v>0</x:v>
      </x:c>
      <x:c r="JF489" t="str">
        <x:f>IF('Calculations'!EM489="","",IFERROR(IF(INDEX(INDIRECT("'WCM Calibration Final'!$G$1:$G$2000"),'Calculations'!$EM489)="","",TRIM(INDEX(INDIRECT("'WCM Calibration Final'!$G$1:$G$2000"),'Calculations'!$EM489)&amp;"")),""))</x:f>
      </x:c>
      <x:c r="JQ489" t="n">
        <x:f>IF(OR('Calculations'!BM489=0,NOT('Calculations'!$AG$2),'Calculations'!$AG$8&gt;0),0,IF(OR('Dashboard'!$B$7="All",'Calculations'!HN489='Dashboard'!$B$7),IF('Calculations'!$JJ$2="All",1,IF(AND('Calculations'!HF489='Calculations'!$JJ$2,'Calculations'!HL489=0),1,0)),0))</x:f>
        <x:v>0</x:v>
      </x:c>
    </x:row>
    <x:row r="490">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t="n">
        <x:f>IF('Calculations'!$EM490="",0,IF(OR(IFERROR(INDEX(INDIRECT("'WCM Calibration Final'!$A$1:$A$2000"),'Calculations'!$EM490)&lt;&gt;"",FALSE),IFERROR(INDEX(INDIRECT("'WCM Calibration Final'!$B$1:$B$2000"),'Calculations'!$EM490)&lt;&gt;"",FALSE),IFERROR(INDEX(INDIRECT("'WCM Calibration Final'!$C$1:$C$2000"),'Calculations'!$EM490)&lt;&gt;"",FALSE)),1,0))</x:f>
        <x:v>0</x:v>
      </x:c>
      <x:c r="BN490" s="4" t="n">
        <x:f>IF(AND('Calculations'!BM490=1,'Calculations'!$AG$2,'Calculations'!$EN490=1),1,0)</x:f>
        <x:v>0</x:v>
      </x:c>
      <x:c r="BO490" s="4" t="str">
        <x:f>IF('Calculations'!BM490=0,"",IFERROR(IF(AND(VALUE(INDEX(INDIRECT("'WCM Calibration Final'!$K$1:$K$2000"),'Calculations'!$EM490))&gt;=1,VALUE(INDEX(INDIRECT("'WCM Calibration Final'!$K$1:$K$2000"),'Calculations'!$EM490))&lt;=4,MOD(VALUE(INDEX(INDIRECT("'WCM Calibration Final'!$K$1:$K$2000"),'Calculations'!$EM490)),1)=0),VALUE(INDEX(INDIRECT("'WCM Calibration Final'!$K$1:$K$2000"),'Calculations'!$EM490)),""),""))</x:f>
      </x:c>
      <x:c r="BP490" s="4" t="str">
        <x:f>IF('Calculations'!BM490=0,"",IFERROR(IF(AND(VALUE(INDEX(INDIRECT("'WCM Calibration Final'!$L$1:$L$2000"),'Calculations'!$EM490))&gt;=1,VALUE(INDEX(INDIRECT("'WCM Calibration Final'!$L$1:$L$2000"),'Calculations'!$EM490))&lt;=4,MOD(VALUE(INDEX(INDIRECT("'WCM Calibration Final'!$L$1:$L$2000"),'Calculations'!$EM490)),1)=0),VALUE(INDEX(INDIRECT("'WCM Calibration Final'!$L$1:$L$2000"),'Calculations'!$EM490)),""),""))</x:f>
      </x:c>
      <x:c r="BQ490" s="4"/>
      <x:c r="BR490" s="4"/>
      <x:c r="BS490" s="4"/>
      <x:c r="BT490" s="4" t="n">
        <x:f>IF(AND('Calculations'!BM490=1,ISNUMBER('Calculations'!BO490),ISNUMBER('Calculations'!BP490)),1,0)</x:f>
        <x:v>0</x:v>
      </x:c>
      <x:c r="BU490" s="4" t="str">
        <x:f>IF('Calculations'!BM490=0,"",'Calculations'!$EO490)</x:f>
      </x:c>
      <x:c r="BV490" s="4" t="str">
        <x:f>IF('Calculations'!BM490=0,"",IFERROR(IF(OR(INDEX(INDIRECT("'WCM Calibration Final'!$H$1:$H$2000"),'Calculations'!$EM490)="MANAGING DIRECTOR",INDEX(INDIRECT("'WCM Calibration Final'!$H$1:$H$2000"),'Calculations'!$EM490)="DIRECTOR",INDEX(INDIRECT("'WCM Calibration Final'!$H$1:$H$2000"),'Calculations'!$EM490)="SENIOR VICE PRESIDENT",INDEX(INDIRECT("'WCM Calibration Final'!$H$1:$H$2000"),'Calculations'!$EM490)="VICE PRESIDENT",INDEX(INDIRECT("'WCM Calibration Final'!$H$1:$H$2000"),'Calculations'!$EM490)="ASSISTANT VICE PRESIDENT",INDEX(INDIRECT("'WCM Calibration Final'!$H$1:$H$2000"),'Calculations'!$EM490)="OFFICER"),UPPER(INDEX(INDIRECT("'WCM Calibration Final'!$H$1:$H$2000"),'Calculations'!$EM490)),"Other"),"Other"))</x:f>
      </x:c>
      <x:c r="BW490" s="4"/>
      <x:c r="BX490" s="4"/>
      <x:c r="BY490" s="4" t="n">
        <x:f>IF(AND('Calculations'!BM490=1,'Calculations'!BU490&lt;&gt;"",COUNTIF('Calculations'!$BU$12:BU490,'Calculations'!BU490)=1),MAX('Calculations'!$BY$11:BY489)+1,0)</x:f>
        <x:v>0</x:v>
      </x:c>
      <x:c r="BZ490" s="4" t="str">
        <x:f>IF('Dashboard'!$E$67="What",'Calculations'!BO490,'Calculations'!BP490)</x:f>
      </x:c>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t="str">
        <x:f>IF(479&gt;MAX('Calculations'!$HI$13:$HI$512),"",INDEX('Calculations'!$HN$13:$HN$512,MATCH(479,'Calculations'!$HI$13:$HI$512,0)))</x:f>
      </x:c>
      <x:c r="DB490" s="4" t="str">
        <x:f>IF(479&gt;MAX('Calculations'!$HH$13:$HH$512),"",INDEX('Calculations'!$HJ$13:$HJ$512,MATCH(479,'Calculations'!$HH$13:$HH$512,0)))</x:f>
      </x:c>
      <x:c r="DC490" s="4" t="str">
        <x:f>IF(ROW()-11&gt;MAX('Calculations'!$BY$13:$BY$512),"",INDEX('Calculations'!$BU$13:$BU$512,MATCH(ROW()-11,'Calculations'!$BY$13:$BY$512,0)))</x:f>
      </x:c>
      <x:c r="DD490" s="4" t="str">
        <x:f>IF(479&gt;MAX('Calculations'!$IK$13:$IK$512),"",INDEX('Calculations'!$HK$13:$HK$512,MATCH(479,'Calculations'!$IK$13:$IK$512,0)))</x:f>
      </x:c>
      <x:c r="DE490" s="4" t="str">
        <x:f>'Calculations'!DC490</x:f>
      </x:c>
      <x:c r="DF490" s="4" t="str">
        <x:f>IF('Calculations'!DE490="","",COUNTIFS('Calculations'!$BN$13:$BN$512,1,'Calculations'!$BU$13:$BU$512,'Calculations'!DE490))</x:f>
      </x:c>
      <x:c r="DG490" s="4" t="str">
        <x:f>IF('Calculations'!DE490="","",COUNTIFS('Calculations'!$BN$13:$BN$512,1,'Calculations'!$BU$13:$BU$512,'Calculations'!DE490,'Calculations'!$BT$13:$BT$512,1))</x:f>
      </x:c>
      <x:c r="DH490" s="4" t="str">
        <x:f>IF('Calculations'!DE490="","",'Calculations'!DF490-'Calculations'!DG490)</x:f>
      </x:c>
      <x:c r="DI490" s="4" t="str">
        <x:f>IF(OR('Calculations'!DE490="",'Calculations'!DF490=0),"",'Calculations'!DG490/'Calculations'!DF490)</x:f>
      </x:c>
      <x:c r="DJ490" s="4" t="str">
        <x:f>IF('Calculations'!DE490="","",COUNTIFS('Calculations'!$BN$13:$BN$512,1,'Calculations'!$BU$13:$BU$512,'Calculations'!DE490,'Calculations'!$BT$13:$BT$512,1,'Calculations'!$EE$13:$EE$512,"High"))</x:f>
      </x:c>
      <x:c r="DK490" s="4" t="str">
        <x:f>IF('Calculations'!DE490="","",COUNTIFS('Calculations'!$BN$13:$BN$512,1,'Calculations'!$BU$13:$BU$512,'Calculations'!DE490,'Calculations'!$BT$13:$BT$512,1,'Calculations'!$EE$13:$EE$512,"Strong"))</x:f>
      </x:c>
      <x:c r="DL490" s="4" t="str">
        <x:f>IF('Calculations'!DE490="","",COUNTIFS('Calculations'!$BN$13:$BN$512,1,'Calculations'!$BU$13:$BU$512,'Calculations'!DE490,'Calculations'!$BT$13:$BT$512,1,'Calculations'!$EE$13:$EE$512,"Solid"))</x:f>
      </x:c>
      <x:c r="DM490" s="4" t="str">
        <x:f>IF('Calculations'!DE490="","",COUNTIFS('Calculations'!$BN$13:$BN$512,1,'Calculations'!$BU$13:$BU$512,'Calculations'!DE490,'Calculations'!$BT$13:$BT$512,1,'Calculations'!$EE$13:$EE$512,"Low"))</x:f>
      </x:c>
      <x:c r="DN490" s="4" t="str">
        <x:f>IF('Calculations'!DE490="","",COUNTIFS('Calculations'!$BN$13:$BN$512,1,'Calculations'!$BU$13:$BU$512,'Calculations'!DE490,'Calculations'!$EP$13:$EP$512,1))</x:f>
      </x:c>
      <x:c r="DO490" s="4" t="str">
        <x:f>IF(OR('Calculations'!DE490="",'Calculations'!DG490=0),"",('Calculations'!DJ490+'Calculations'!DK490)/'Calculations'!DG490)</x:f>
      </x:c>
      <x:c r="DP490" s="4" t="n">
        <x:f>IF(AND('Calculations'!DE490&lt;&gt;"",'Calculations'!DF490&gt;0),COUNTIF('Calculations'!$DF$12:DF490,"&gt;0"),0)</x:f>
        <x:v>0</x:v>
      </x:c>
      <x:c r="DQ490" s="4" t="str">
        <x:f>IF(479&gt;MAX('Calculations'!$HH$13:$HH$512),"",INDEX('Calculations'!$HF$13:$HF$512,MATCH(479,'Calculations'!$HH$13:$HH$512,0)))</x:f>
      </x:c>
      <x:c r="DR490" s="4" t="str">
        <x:f>IF(479&gt;MAX('Calculations'!$IK$13:$IK$512),"",INDEX('Calculations'!$HE$13:$HE$512,MATCH(479,'Calculations'!$IK$13:$IK$512,0)))</x:f>
      </x:c>
      <x:c r="DS490" s="4"/>
      <x:c r="DT490" s="4"/>
      <x:c r="DU490" s="4"/>
      <x:c r="DV490" s="4"/>
      <x:c r="DW490" s="4"/>
      <x:c r="DX490" s="4"/>
      <x:c r="DY490" s="4"/>
      <x:c r="DZ490" s="4"/>
      <x:c r="EA490" s="4"/>
      <x:c r="EB490" s="4"/>
      <x:c r="EC490" s="4"/>
      <x:c r="ED490" s="4"/>
      <x:c r="EE490" s="4" t="str">
        <x:f>IF('Calculations'!BT490=0,"Not Rated",IF(OR('Calculations'!BO490&gt;=4,'Calculations'!BP490&gt;=4),"Low",IF('Calculations'!BO490+'Calculations'!BP490&lt;=3,"High",IF('Calculations'!BO490+'Calculations'!BP490&lt;=4,"Strong","Solid"))))</x:f>
        <x:v>Not Rated</x:v>
      </x:c>
      <x:c r="EF490" s="4"/>
      <x:c r="EG490" s="4"/>
      <x:c r="EH490" s="4"/>
      <x:c r="EI490" s="4"/>
      <x:c r="EJ490" s="4"/>
      <x:c r="EK490" s="4"/>
      <x:c r="EL490" s="4"/>
      <x:c r="EM490" s="4" t="str">
        <x:f>IF(478&gt;'Calculations'!$JB$2000,"",INDEX('Calculations'!$JA$12:$JA$2000,MATCH(478,'Calculations'!$JB$12:$JB$2000,0)))</x:f>
      </x:c>
      <x:c r="EN490" s="4" t="n">
        <x:f>IF(OR('Calculations'!EM490="",'Calculations'!$AG$8&gt;0,AND('Calculations'!$EF$2&lt;&gt;"All",'Calculations'!HE490='Calculations'!$EF$2),AND('Calculations'!$EF$3&lt;&gt;"All",'Calculations'!HE490='Calculations'!$EF$3)),0,IF(OR('Dashboard'!$B$7="All",'Calculations'!HN490='Dashboard'!$B$7),IF('Calculations'!$EF$2="All",1,IF('Calculations'!HL490&gt;0,0,IF(COUNTIF('Calculations'!HO490:II490,"="&amp;SUBSTITUTE(SUBSTITUTE(SUBSTITUTE('Calculations'!$EF$2,"~","~~"),"*","~*"),"?","~?"))=0,0,IF('Calculations'!$EF$3="All",1,IF(COUNTIF('Calculations'!HO490:II490,"="&amp;SUBSTITUTE(SUBSTITUTE(SUBSTITUTE('Calculations'!$EF$3,"~","~~"),"*","~*"),"?","~?"))&gt;0,1,0))))),0))</x:f>
        <x:v>0</x:v>
      </x:c>
      <x:c r="EO490" s="4" t="str">
        <x:f>IF('Calculations'!IJ490="","",IF('Calculations'!IJ490="!UNRESOLVED","Unresolved hierarchy",IFERROR(INDEX('Calculations'!$HK$13:$HK$512,MATCH('Calculations'!IJ490,'Calculations'!$HE$13:$HE$512,0)),IFERROR(INDEX('Calculations'!$HJ$13:$HJ$512,MATCH('Calculations'!IJ490,'Calculations'!$HF$13:$HF$512,0)),'Calculations'!IJ490))))</x:f>
      </x:c>
      <x:c r="EP490" s="4" t="n">
        <x:f>IF(AND('Calculations'!EM490&lt;&gt;"",'Calculations'!HF490='Calculations'!IJ490),1,0)</x:f>
        <x:v>0</x:v>
      </x:c>
      <x:c r="EQ490" s="4"/>
      <x:c r="ER490" s="4"/>
      <x:c r="ES490" s="4"/>
      <x:c r="ET490" s="4"/>
      <x:c r="EU490" s="4"/>
      <x:c r="EV490" s="4"/>
      <x:c r="EW490" s="4"/>
      <x:c r="EX490" s="4"/>
      <x:c r="EY490" s="4"/>
      <x:c r="EZ490" s="4"/>
      <x:c r="FA490" s="4"/>
      <x:c r="FB490" s="4"/>
      <x:c r="FC490" s="4"/>
      <x:c r="FD490" s="4"/>
      <x:c r="FE490" s="4"/>
      <x:c r="FF490" s="4"/>
      <x:c r="FG490" s="4"/>
      <x:c r="FH490" s="4"/>
      <x:c r="FI490" s="4"/>
      <x:c r="FJ490" s="4"/>
      <x:c r="FK490" s="4"/>
      <x:c r="FL490" s="4"/>
      <x:c r="FM490" s="4"/>
      <x:c r="FN490" s="4"/>
      <x:c r="FO490" s="4"/>
      <x:c r="HE490" t="str">
        <x:f>IF('Calculations'!EM490="","",IF(IFERROR(IF(INDEX(INDIRECT("'WCM Calibration Final'!$A$1:$A$2000"),'Calculations'!$EM490)="","",TRIM(INDEX(INDIRECT("'WCM Calibration Final'!$A$1:$A$2000"),'Calculations'!$EM490)&amp;"")),"")&lt;&gt;"","G:"&amp;IFERROR(TEXT(1*INDEX(INDIRECT("'WCM Calibration Final'!$A$1:$A$2000"),'Calculations'!$EM490),"0"),UPPER(IFERROR(IF(INDEX(INDIRECT("'WCM Calibration Final'!$A$1:$A$2000"),'Calculations'!$EM490)="","",TRIM(INDEX(INDIRECT("'WCM Calibration Final'!$A$1:$A$2000"),'Calculations'!$EM490)&amp;"")),""))),IF(IFERROR(IF(INDEX(INDIRECT("'WCM Calibration Final'!$C$1:$C$2000"),'Calculations'!$EM490)="","",TRIM(INDEX(INDIRECT("'WCM Calibration Final'!$C$1:$C$2000"),'Calculations'!$EM490)&amp;"")),"")&lt;&gt;"","S:"&amp;UPPER(IFERROR(IF(INDEX(INDIRECT("'WCM Calibration Final'!$C$1:$C$2000"),'Calculations'!$EM490)="","",TRIM(INDEX(INDIRECT("'WCM Calibration Final'!$C$1:$C$2000"),'Calculations'!$EM490)&amp;"")),"")),"R:"&amp;'Calculations'!EM490)))</x:f>
      </x:c>
      <x:c r="HF490" t="str">
        <x:f>IF('Calculations'!EM490="","",IF(IFERROR(IF(INDEX(INDIRECT("'WCM Calibration Final'!$D$1:$D$2000"),'Calculations'!$EM490)="","",TRIM(INDEX(INDIRECT("'WCM Calibration Final'!$D$1:$D$2000"),'Calculations'!$EM490)&amp;"")),"")&lt;&gt;"","G:"&amp;IFERROR(TEXT(1*INDEX(INDIRECT("'WCM Calibration Final'!$D$1:$D$2000"),'Calculations'!$EM490),"0"),UPPER(IFERROR(IF(INDEX(INDIRECT("'WCM Calibration Final'!$D$1:$D$2000"),'Calculations'!$EM490)="","",TRIM(INDEX(INDIRECT("'WCM Calibration Final'!$D$1:$D$2000"),'Calculations'!$EM490)&amp;"")),""))),IF(IFERROR(IF(INDEX(INDIRECT("'WCM Calibration Final'!$E$1:$E$2000"),'Calculations'!$EM490)="","",TRIM(INDEX(INDIRECT("'WCM Calibration Final'!$E$1:$E$2000"),'Calculations'!$EM490)&amp;"")),"")="","",IF(COUNTIF('Calculations'!$HG$13:$HG$512,"="&amp;SUBSTITUTE(SUBSTITUTE(SUBSTITUTE(IFERROR(IF(INDEX(INDIRECT("'WCM Calibration Final'!$E$1:$E$2000"),'Calculations'!$EM490)="","",TRIM(INDEX(INDIRECT("'WCM Calibration Final'!$E$1:$E$2000"),'Calculations'!$EM490)&amp;"")),""),"~","~~"),"*","~*"),"?","~?"))=1,INDEX('Calculations'!$HE$13:$HE$512,MATCH(IFERROR(IF(INDEX(INDIRECT("'WCM Calibration Final'!$E$1:$E$2000"),'Calculations'!$EM490)="","",TRIM(INDEX(INDIRECT("'WCM Calibration Final'!$E$1:$E$2000"),'Calculations'!$EM490)&amp;"")),""),'Calculations'!$HG$13:$HG$512,0)),IF(COUNTIF('Calculations'!$HG$13:$HG$512,"="&amp;SUBSTITUTE(SUBSTITUTE(SUBSTITUTE(IFERROR(IF(INDEX(INDIRECT("'WCM Calibration Final'!$E$1:$E$2000"),'Calculations'!$EM490)="","",TRIM(INDEX(INDIRECT("'WCM Calibration Final'!$E$1:$E$2000"),'Calculations'!$EM490)&amp;"")),""),"~","~~"),"*","~*"),"?","~?"))&gt;1,"!AMBIG","X:"&amp;IFERROR(IF(INDEX(INDIRECT("'WCM Calibration Final'!$E$1:$E$2000"),'Calculations'!$EM490)="","",TRIM(INDEX(INDIRECT("'WCM Calibration Final'!$E$1:$E$2000"),'Calculations'!$EM490)&amp;"")),""))))))</x:f>
      </x:c>
      <x:c r="HG490" t="str">
        <x:f>IF('Calculations'!EM490="","",IFERROR(IF(INDEX(INDIRECT("'WCM Calibration Final'!$B$1:$B$2000"),'Calculations'!$EM490)="","",TRIM(INDEX(INDIRECT("'WCM Calibration Final'!$B$1:$B$2000"),'Calculations'!$EM490)&amp;"")),""))</x:f>
      </x:c>
      <x:c r="HH490" t="n">
        <x:f>IF(AND('Calculations'!JC490&gt;0,COUNTIF('Calculations'!$HF$12:HF490,"="&amp;SUBSTITUTE(SUBSTITUTE(SUBSTITUTE('Calculations'!HF490,"~","~~"),"*","~*"),"?","~?"))=1),MAX('Calculations'!$HH$12:HH489)+1,0)</x:f>
        <x:v>0</x:v>
      </x:c>
      <x:c r="HI490" t="n">
        <x:f>IF(AND('Calculations'!HN490&lt;&gt;"",COUNTIF('Calculations'!$HN$12:HN490,"="&amp;SUBSTITUTE(SUBSTITUTE(SUBSTITUTE('Calculations'!HN490,"~","~~"),"*","~*"),"?","~?"))=1),MAX('Calculations'!$HI$12:HI489)+1,0)</x:f>
        <x:v>0</x:v>
      </x:c>
      <x:c r="HJ490" t="str">
        <x:f>IF('Calculations'!HF490="","",IF(COUNTIF('Calculations'!$HE$13:$HE$512,"="&amp;SUBSTITUTE(SUBSTITUTE(SUBSTITUTE('Calculations'!HF490,"~","~~"),"*","~*"),"?","~?"))=1,INDEX('Calculations'!$HK$13:$HK$512,MATCH('Calculations'!HF490,'Calculations'!$HE$13:$HE$512,0)),IFERROR(IF(INDEX(INDIRECT("'WCM Calibration Final'!$E$1:$E$2000"),'Calculations'!$EM490)="","",TRIM(INDEX(INDIRECT("'WCM Calibration Final'!$E$1:$E$2000"),'Calculations'!$EM490)&amp;"")),"")&amp;" ["&amp;'Calculations'!HF490&amp;"]"))</x:f>
      </x:c>
      <x:c r="HK490" t="str">
        <x:f>IF('Calculations'!EM490="","",'Calculations'!HG490&amp;" ["&amp;'Calculations'!HE490&amp;"]")</x:f>
      </x:c>
      <x:c r="HL490" t="n">
        <x:f>IF('Calculations'!EM490="",0,IF(OR('Calculations'!II490&lt;&gt;"",COUNTIF('Calculations'!$HE$13:$HE$512,"="&amp;SUBSTITUTE(SUBSTITUTE(SUBSTITUTE('Calculations'!HE490,"~","~~"),"*","~*"),"?","~?"))&gt;1),1,0))</x:f>
        <x:v>0</x:v>
      </x:c>
      <x:c r="HM490" t="str">
        <x:f>IF('Calculations'!EM490="","",IF('Calculations'!HL490=1,"!UNRESOLVED",IF('Calculations'!IH490&lt;&gt;"",'Calculations'!IH490,IF('Calculations'!IG490&lt;&gt;"",'Calculations'!IG490,IF('Calculations'!IF490&lt;&gt;"",'Calculations'!IF490,IF('Calculations'!IE490&lt;&gt;"",'Calculations'!IE490,IF('Calculations'!ID490&lt;&gt;"",'Calculations'!ID490,IF('Calculations'!IC490&lt;&gt;"",'Calculations'!IC490,IF('Calculations'!IB490&lt;&gt;"",'Calculations'!IB490,IF('Calculations'!IA490&lt;&gt;"",'Calculations'!IA490,IF('Calculations'!HZ490&lt;&gt;"",'Calculations'!HZ490,IF('Calculations'!HY490&lt;&gt;"",'Calculations'!HY490,IF('Calculations'!HX490&lt;&gt;"",'Calculations'!HX490,IF('Calculations'!HW490&lt;&gt;"",'Calculations'!HW490,IF('Calculations'!HV490&lt;&gt;"",'Calculations'!HV490,IF('Calculations'!HU490&lt;&gt;"",'Calculations'!HU490,IF('Calculations'!HT490&lt;&gt;"",'Calculations'!HT490,IF('Calculations'!HS490&lt;&gt;"",'Calculations'!HS490,IF('Calculations'!HR490&lt;&gt;"",'Calculations'!HR490,IF('Calculations'!HQ490&lt;&gt;"",'Calculations'!HQ490,IF('Calculations'!HP490&lt;&gt;"",'Calculations'!HP490,IF('Calculations'!HO490&lt;&gt;"",'Calculations'!HO490,'Calculations'!HE490))))))))))))))))))))))</x:f>
      </x:c>
      <x:c r="HN490" t="str">
        <x:f>IF('Calculations'!EM490="","",IF(IFERROR(IF(INDEX(INDIRECT("'WCM Calibration Final'!$F$1:$F$2000"),'Calculations'!$EM490)="","",TRIM(INDEX(INDIRECT("'WCM Calibration Final'!$F$1:$F$2000"),'Calculations'!$EM490)&amp;"")),"")="","(Blank)",IFERROR(IF(INDEX(INDIRECT("'WCM Calibration Final'!$F$1:$F$2000"),'Calculations'!$EM490)="","",TRIM(INDEX(INDIRECT("'WCM Calibration Final'!$F$1:$F$2000"),'Calculations'!$EM490)&amp;"")),"")))</x:f>
      </x:c>
      <x:c r="HO490" t="str">
        <x:f>'Calculations'!HF490</x:f>
      </x:c>
      <x:c r="HP490" t="str">
        <x:f>IF('Calculations'!HO490="","",IF('Calculations'!HO490="!AMBIG","!AMBIG",IF(COUNTIF('Calculations'!$HE$13:$HE$512,"="&amp;SUBSTITUTE(SUBSTITUTE(SUBSTITUTE('Calculations'!HO490,"~","~~"),"*","~*"),"?","~?"))&gt;1,"!AMBIG",IFERROR(INDEX('Calculations'!$HF$13:$HF$512,MATCH('Calculations'!HO490,'Calculations'!$HE$13:$HE$512,0)),""))))</x:f>
      </x:c>
      <x:c r="HQ490" t="str">
        <x:f>IF('Calculations'!HP490="","",IF('Calculations'!HP490="!AMBIG","!AMBIG",IF(COUNTIF('Calculations'!$HE$13:$HE$512,"="&amp;SUBSTITUTE(SUBSTITUTE(SUBSTITUTE('Calculations'!HP490,"~","~~"),"*","~*"),"?","~?"))&gt;1,"!AMBIG",IFERROR(INDEX('Calculations'!$HF$13:$HF$512,MATCH('Calculations'!HP490,'Calculations'!$HE$13:$HE$512,0)),""))))</x:f>
      </x:c>
      <x:c r="HR490" t="str">
        <x:f>IF('Calculations'!HQ490="","",IF('Calculations'!HQ490="!AMBIG","!AMBIG",IF(COUNTIF('Calculations'!$HE$13:$HE$512,"="&amp;SUBSTITUTE(SUBSTITUTE(SUBSTITUTE('Calculations'!HQ490,"~","~~"),"*","~*"),"?","~?"))&gt;1,"!AMBIG",IFERROR(INDEX('Calculations'!$HF$13:$HF$512,MATCH('Calculations'!HQ490,'Calculations'!$HE$13:$HE$512,0)),""))))</x:f>
      </x:c>
      <x:c r="HS490" t="str">
        <x:f>IF('Calculations'!HR490="","",IF('Calculations'!HR490="!AMBIG","!AMBIG",IF(COUNTIF('Calculations'!$HE$13:$HE$512,"="&amp;SUBSTITUTE(SUBSTITUTE(SUBSTITUTE('Calculations'!HR490,"~","~~"),"*","~*"),"?","~?"))&gt;1,"!AMBIG",IFERROR(INDEX('Calculations'!$HF$13:$HF$512,MATCH('Calculations'!HR490,'Calculations'!$HE$13:$HE$512,0)),""))))</x:f>
      </x:c>
      <x:c r="HT490" t="str">
        <x:f>IF('Calculations'!HS490="","",IF('Calculations'!HS490="!AMBIG","!AMBIG",IF(COUNTIF('Calculations'!$HE$13:$HE$512,"="&amp;SUBSTITUTE(SUBSTITUTE(SUBSTITUTE('Calculations'!HS490,"~","~~"),"*","~*"),"?","~?"))&gt;1,"!AMBIG",IFERROR(INDEX('Calculations'!$HF$13:$HF$512,MATCH('Calculations'!HS490,'Calculations'!$HE$13:$HE$512,0)),""))))</x:f>
      </x:c>
      <x:c r="HU490" t="str">
        <x:f>IF('Calculations'!HT490="","",IF('Calculations'!HT490="!AMBIG","!AMBIG",IF(COUNTIF('Calculations'!$HE$13:$HE$512,"="&amp;SUBSTITUTE(SUBSTITUTE(SUBSTITUTE('Calculations'!HT490,"~","~~"),"*","~*"),"?","~?"))&gt;1,"!AMBIG",IFERROR(INDEX('Calculations'!$HF$13:$HF$512,MATCH('Calculations'!HT490,'Calculations'!$HE$13:$HE$512,0)),""))))</x:f>
      </x:c>
      <x:c r="HV490" t="str">
        <x:f>IF('Calculations'!HU490="","",IF('Calculations'!HU490="!AMBIG","!AMBIG",IF(COUNTIF('Calculations'!$HE$13:$HE$512,"="&amp;SUBSTITUTE(SUBSTITUTE(SUBSTITUTE('Calculations'!HU490,"~","~~"),"*","~*"),"?","~?"))&gt;1,"!AMBIG",IFERROR(INDEX('Calculations'!$HF$13:$HF$512,MATCH('Calculations'!HU490,'Calculations'!$HE$13:$HE$512,0)),""))))</x:f>
      </x:c>
      <x:c r="HW490" t="str">
        <x:f>IF('Calculations'!HV490="","",IF('Calculations'!HV490="!AMBIG","!AMBIG",IF(COUNTIF('Calculations'!$HE$13:$HE$512,"="&amp;SUBSTITUTE(SUBSTITUTE(SUBSTITUTE('Calculations'!HV490,"~","~~"),"*","~*"),"?","~?"))&gt;1,"!AMBIG",IFERROR(INDEX('Calculations'!$HF$13:$HF$512,MATCH('Calculations'!HV490,'Calculations'!$HE$13:$HE$512,0)),""))))</x:f>
      </x:c>
      <x:c r="HX490" t="str">
        <x:f>IF('Calculations'!HW490="","",IF('Calculations'!HW490="!AMBIG","!AMBIG",IF(COUNTIF('Calculations'!$HE$13:$HE$512,"="&amp;SUBSTITUTE(SUBSTITUTE(SUBSTITUTE('Calculations'!HW490,"~","~~"),"*","~*"),"?","~?"))&gt;1,"!AMBIG",IFERROR(INDEX('Calculations'!$HF$13:$HF$512,MATCH('Calculations'!HW490,'Calculations'!$HE$13:$HE$512,0)),""))))</x:f>
      </x:c>
      <x:c r="HY490" t="str">
        <x:f>IF('Calculations'!HX490="","",IF('Calculations'!HX490="!AMBIG","!AMBIG",IF(COUNTIF('Calculations'!$HE$13:$HE$512,"="&amp;SUBSTITUTE(SUBSTITUTE(SUBSTITUTE('Calculations'!HX490,"~","~~"),"*","~*"),"?","~?"))&gt;1,"!AMBIG",IFERROR(INDEX('Calculations'!$HF$13:$HF$512,MATCH('Calculations'!HX490,'Calculations'!$HE$13:$HE$512,0)),""))))</x:f>
      </x:c>
      <x:c r="HZ490" t="str">
        <x:f>IF('Calculations'!HY490="","",IF('Calculations'!HY490="!AMBIG","!AMBIG",IF(COUNTIF('Calculations'!$HE$13:$HE$512,"="&amp;SUBSTITUTE(SUBSTITUTE(SUBSTITUTE('Calculations'!HY490,"~","~~"),"*","~*"),"?","~?"))&gt;1,"!AMBIG",IFERROR(INDEX('Calculations'!$HF$13:$HF$512,MATCH('Calculations'!HY490,'Calculations'!$HE$13:$HE$512,0)),""))))</x:f>
      </x:c>
      <x:c r="IA490" t="str">
        <x:f>IF('Calculations'!HZ490="","",IF('Calculations'!HZ490="!AMBIG","!AMBIG",IF(COUNTIF('Calculations'!$HE$13:$HE$512,"="&amp;SUBSTITUTE(SUBSTITUTE(SUBSTITUTE('Calculations'!HZ490,"~","~~"),"*","~*"),"?","~?"))&gt;1,"!AMBIG",IFERROR(INDEX('Calculations'!$HF$13:$HF$512,MATCH('Calculations'!HZ490,'Calculations'!$HE$13:$HE$512,0)),""))))</x:f>
      </x:c>
      <x:c r="IB490" t="str">
        <x:f>IF('Calculations'!IA490="","",IF('Calculations'!IA490="!AMBIG","!AMBIG",IF(COUNTIF('Calculations'!$HE$13:$HE$512,"="&amp;SUBSTITUTE(SUBSTITUTE(SUBSTITUTE('Calculations'!IA490,"~","~~"),"*","~*"),"?","~?"))&gt;1,"!AMBIG",IFERROR(INDEX('Calculations'!$HF$13:$HF$512,MATCH('Calculations'!IA490,'Calculations'!$HE$13:$HE$512,0)),""))))</x:f>
      </x:c>
      <x:c r="IC490" t="str">
        <x:f>IF('Calculations'!IB490="","",IF('Calculations'!IB490="!AMBIG","!AMBIG",IF(COUNTIF('Calculations'!$HE$13:$HE$512,"="&amp;SUBSTITUTE(SUBSTITUTE(SUBSTITUTE('Calculations'!IB490,"~","~~"),"*","~*"),"?","~?"))&gt;1,"!AMBIG",IFERROR(INDEX('Calculations'!$HF$13:$HF$512,MATCH('Calculations'!IB490,'Calculations'!$HE$13:$HE$512,0)),""))))</x:f>
      </x:c>
      <x:c r="ID490" t="str">
        <x:f>IF('Calculations'!IC490="","",IF('Calculations'!IC490="!AMBIG","!AMBIG",IF(COUNTIF('Calculations'!$HE$13:$HE$512,"="&amp;SUBSTITUTE(SUBSTITUTE(SUBSTITUTE('Calculations'!IC490,"~","~~"),"*","~*"),"?","~?"))&gt;1,"!AMBIG",IFERROR(INDEX('Calculations'!$HF$13:$HF$512,MATCH('Calculations'!IC490,'Calculations'!$HE$13:$HE$512,0)),""))))</x:f>
      </x:c>
      <x:c r="IE490" t="str">
        <x:f>IF('Calculations'!ID490="","",IF('Calculations'!ID490="!AMBIG","!AMBIG",IF(COUNTIF('Calculations'!$HE$13:$HE$512,"="&amp;SUBSTITUTE(SUBSTITUTE(SUBSTITUTE('Calculations'!ID490,"~","~~"),"*","~*"),"?","~?"))&gt;1,"!AMBIG",IFERROR(INDEX('Calculations'!$HF$13:$HF$512,MATCH('Calculations'!ID490,'Calculations'!$HE$13:$HE$512,0)),""))))</x:f>
      </x:c>
      <x:c r="IF490" t="str">
        <x:f>IF('Calculations'!IE490="","",IF('Calculations'!IE490="!AMBIG","!AMBIG",IF(COUNTIF('Calculations'!$HE$13:$HE$512,"="&amp;SUBSTITUTE(SUBSTITUTE(SUBSTITUTE('Calculations'!IE490,"~","~~"),"*","~*"),"?","~?"))&gt;1,"!AMBIG",IFERROR(INDEX('Calculations'!$HF$13:$HF$512,MATCH('Calculations'!IE490,'Calculations'!$HE$13:$HE$512,0)),""))))</x:f>
      </x:c>
      <x:c r="IG490" t="str">
        <x:f>IF('Calculations'!IF490="","",IF('Calculations'!IF490="!AMBIG","!AMBIG",IF(COUNTIF('Calculations'!$HE$13:$HE$512,"="&amp;SUBSTITUTE(SUBSTITUTE(SUBSTITUTE('Calculations'!IF490,"~","~~"),"*","~*"),"?","~?"))&gt;1,"!AMBIG",IFERROR(INDEX('Calculations'!$HF$13:$HF$512,MATCH('Calculations'!IF490,'Calculations'!$HE$13:$HE$512,0)),""))))</x:f>
      </x:c>
      <x:c r="IH490" t="str">
        <x:f>IF('Calculations'!IG490="","",IF('Calculations'!IG490="!AMBIG","!AMBIG",IF(COUNTIF('Calculations'!$HE$13:$HE$512,"="&amp;SUBSTITUTE(SUBSTITUTE(SUBSTITUTE('Calculations'!IG490,"~","~~"),"*","~*"),"?","~?"))&gt;1,"!AMBIG",IFERROR(INDEX('Calculations'!$HF$13:$HF$512,MATCH('Calculations'!IG490,'Calculations'!$HE$13:$HE$512,0)),""))))</x:f>
      </x:c>
      <x:c r="II490" t="str">
        <x:f>IF('Calculations'!IH490="","",IF('Calculations'!IH490="!AMBIG","!AMBIG",IF(COUNTIF('Calculations'!$HE$13:$HE$512,"="&amp;SUBSTITUTE(SUBSTITUTE(SUBSTITUTE('Calculations'!IH490,"~","~~"),"*","~*"),"?","~?"))&gt;1,"!AMBIG",IFERROR(INDEX('Calculations'!$HF$13:$HF$512,MATCH('Calculations'!IH490,'Calculations'!$HE$13:$HE$512,0)),""))))</x:f>
      </x:c>
      <x:c r="IJ490" t="str">
        <x:f>IF('Calculations'!EM490="","",IF('Calculations'!$EF$2="All",'Calculations'!HM490,IF('Calculations'!HL490=1,"",IFERROR(IF(MATCH('Calculations'!$EF$2,'Calculations'!HO490:II490,0)=1,'Calculations'!HE490,INDEX('Calculations'!HO490:II490,1,MATCH('Calculations'!$EF$2,'Calculations'!HO490:II490,0)-1)),""))))</x:f>
      </x:c>
      <x:c r="IK490" t="n">
        <x:f>IF(AND('Calculations'!EM490&lt;&gt;"",'Calculations'!$EF$2&lt;&gt;"All",'Calculations'!HF490='Calculations'!$EF$2,'Calculations'!HL490=0,'Calculations'!JD490&gt;0),MAX('Calculations'!$IK$12:IK489)+1,0)</x:f>
        <x:v>0</x:v>
      </x:c>
      <x:c r="JA490" t="n">
        <x:f>IF(OR(IFERROR(INDIRECT("'WCM Calibration Final'!$A$490")&lt;&gt;"",FALSE),IFERROR(INDIRECT("'WCM Calibration Final'!$B$490")&lt;&gt;"",FALSE),IFERROR(INDIRECT("'WCM Calibration Final'!$C$490")&lt;&gt;"",FALSE)),490,0)</x:f>
        <x:v>0</x:v>
      </x:c>
      <x:c r="JB490" t="n">
        <x:f>'Calculations'!JB489+IF('Calculations'!JA490&gt;0,1,0)</x:f>
        <x:v>0</x:v>
      </x:c>
      <x:c r="JC490" t="n">
        <x:f>IF(OR('Calculations'!HF490="",'Calculations'!HF490="!AMBIG"),0,IF('Dashboard'!$B$7="All",1,COUNTIFS('Calculations'!$HO$13:$HO$512,"="&amp;SUBSTITUTE(SUBSTITUTE(SUBSTITUTE('Calculations'!HF490,"~","~~"),"*","~*"),"?","~?"),'Calculations'!$HN$13:$HN$512,"="&amp;SUBSTITUTE(SUBSTITUTE(SUBSTITUTE('Dashboard'!$B$7,"~","~~"),"*","~*"),"?","~?"))+COUNTIFS('Calculations'!$HP$13:$HP$512,"="&amp;SUBSTITUTE(SUBSTITUTE(SUBSTITUTE('Calculations'!HF490,"~","~~"),"*","~*"),"?","~?"),'Calculations'!$HN$13:$HN$512,"="&amp;SUBSTITUTE(SUBSTITUTE(SUBSTITUTE('Dashboard'!$B$7,"~","~~"),"*","~*"),"?","~?"))+COUNTIFS('Calculations'!$HQ$13:$HQ$512,"="&amp;SUBSTITUTE(SUBSTITUTE(SUBSTITUTE('Calculations'!HF490,"~","~~"),"*","~*"),"?","~?"),'Calculations'!$HN$13:$HN$512,"="&amp;SUBSTITUTE(SUBSTITUTE(SUBSTITUTE('Dashboard'!$B$7,"~","~~"),"*","~*"),"?","~?"))+COUNTIFS('Calculations'!$HR$13:$HR$512,"="&amp;SUBSTITUTE(SUBSTITUTE(SUBSTITUTE('Calculations'!HF490,"~","~~"),"*","~*"),"?","~?"),'Calculations'!$HN$13:$HN$512,"="&amp;SUBSTITUTE(SUBSTITUTE(SUBSTITUTE('Dashboard'!$B$7,"~","~~"),"*","~*"),"?","~?"))+COUNTIFS('Calculations'!$HS$13:$HS$512,"="&amp;SUBSTITUTE(SUBSTITUTE(SUBSTITUTE('Calculations'!HF490,"~","~~"),"*","~*"),"?","~?"),'Calculations'!$HN$13:$HN$512,"="&amp;SUBSTITUTE(SUBSTITUTE(SUBSTITUTE('Dashboard'!$B$7,"~","~~"),"*","~*"),"?","~?"))+COUNTIFS('Calculations'!$HT$13:$HT$512,"="&amp;SUBSTITUTE(SUBSTITUTE(SUBSTITUTE('Calculations'!HF490,"~","~~"),"*","~*"),"?","~?"),'Calculations'!$HN$13:$HN$512,"="&amp;SUBSTITUTE(SUBSTITUTE(SUBSTITUTE('Dashboard'!$B$7,"~","~~"),"*","~*"),"?","~?"))+COUNTIFS('Calculations'!$HU$13:$HU$512,"="&amp;SUBSTITUTE(SUBSTITUTE(SUBSTITUTE('Calculations'!HF490,"~","~~"),"*","~*"),"?","~?"),'Calculations'!$HN$13:$HN$512,"="&amp;SUBSTITUTE(SUBSTITUTE(SUBSTITUTE('Dashboard'!$B$7,"~","~~"),"*","~*"),"?","~?"))+COUNTIFS('Calculations'!$HV$13:$HV$512,"="&amp;SUBSTITUTE(SUBSTITUTE(SUBSTITUTE('Calculations'!HF490,"~","~~"),"*","~*"),"?","~?"),'Calculations'!$HN$13:$HN$512,"="&amp;SUBSTITUTE(SUBSTITUTE(SUBSTITUTE('Dashboard'!$B$7,"~","~~"),"*","~*"),"?","~?"))+COUNTIFS('Calculations'!$HW$13:$HW$512,"="&amp;SUBSTITUTE(SUBSTITUTE(SUBSTITUTE('Calculations'!HF490,"~","~~"),"*","~*"),"?","~?"),'Calculations'!$HN$13:$HN$512,"="&amp;SUBSTITUTE(SUBSTITUTE(SUBSTITUTE('Dashboard'!$B$7,"~","~~"),"*","~*"),"?","~?"))+COUNTIFS('Calculations'!$HX$13:$HX$512,"="&amp;SUBSTITUTE(SUBSTITUTE(SUBSTITUTE('Calculations'!HF490,"~","~~"),"*","~*"),"?","~?"),'Calculations'!$HN$13:$HN$512,"="&amp;SUBSTITUTE(SUBSTITUTE(SUBSTITUTE('Dashboard'!$B$7,"~","~~"),"*","~*"),"?","~?"))+COUNTIFS('Calculations'!$HY$13:$HY$512,"="&amp;SUBSTITUTE(SUBSTITUTE(SUBSTITUTE('Calculations'!HF490,"~","~~"),"*","~*"),"?","~?"),'Calculations'!$HN$13:$HN$512,"="&amp;SUBSTITUTE(SUBSTITUTE(SUBSTITUTE('Dashboard'!$B$7,"~","~~"),"*","~*"),"?","~?"))+COUNTIFS('Calculations'!$HZ$13:$HZ$512,"="&amp;SUBSTITUTE(SUBSTITUTE(SUBSTITUTE('Calculations'!HF490,"~","~~"),"*","~*"),"?","~?"),'Calculations'!$HN$13:$HN$512,"="&amp;SUBSTITUTE(SUBSTITUTE(SUBSTITUTE('Dashboard'!$B$7,"~","~~"),"*","~*"),"?","~?"))+COUNTIFS('Calculations'!$IA$13:$IA$512,"="&amp;SUBSTITUTE(SUBSTITUTE(SUBSTITUTE('Calculations'!HF490,"~","~~"),"*","~*"),"?","~?"),'Calculations'!$HN$13:$HN$512,"="&amp;SUBSTITUTE(SUBSTITUTE(SUBSTITUTE('Dashboard'!$B$7,"~","~~"),"*","~*"),"?","~?"))+COUNTIFS('Calculations'!$IB$13:$IB$512,"="&amp;SUBSTITUTE(SUBSTITUTE(SUBSTITUTE('Calculations'!HF490,"~","~~"),"*","~*"),"?","~?"),'Calculations'!$HN$13:$HN$512,"="&amp;SUBSTITUTE(SUBSTITUTE(SUBSTITUTE('Dashboard'!$B$7,"~","~~"),"*","~*"),"?","~?"))+COUNTIFS('Calculations'!$IC$13:$IC$512,"="&amp;SUBSTITUTE(SUBSTITUTE(SUBSTITUTE('Calculations'!HF490,"~","~~"),"*","~*"),"?","~?"),'Calculations'!$HN$13:$HN$512,"="&amp;SUBSTITUTE(SUBSTITUTE(SUBSTITUTE('Dashboard'!$B$7,"~","~~"),"*","~*"),"?","~?"))+COUNTIFS('Calculations'!$ID$13:$ID$512,"="&amp;SUBSTITUTE(SUBSTITUTE(SUBSTITUTE('Calculations'!HF490,"~","~~"),"*","~*"),"?","~?"),'Calculations'!$HN$13:$HN$512,"="&amp;SUBSTITUTE(SUBSTITUTE(SUBSTITUTE('Dashboard'!$B$7,"~","~~"),"*","~*"),"?","~?"))+COUNTIFS('Calculations'!$IE$13:$IE$512,"="&amp;SUBSTITUTE(SUBSTITUTE(SUBSTITUTE('Calculations'!HF490,"~","~~"),"*","~*"),"?","~?"),'Calculations'!$HN$13:$HN$512,"="&amp;SUBSTITUTE(SUBSTITUTE(SUBSTITUTE('Dashboard'!$B$7,"~","~~"),"*","~*"),"?","~?"))+COUNTIFS('Calculations'!$IF$13:$IF$512,"="&amp;SUBSTITUTE(SUBSTITUTE(SUBSTITUTE('Calculations'!HF490,"~","~~"),"*","~*"),"?","~?"),'Calculations'!$HN$13:$HN$512,"="&amp;SUBSTITUTE(SUBSTITUTE(SUBSTITUTE('Dashboard'!$B$7,"~","~~"),"*","~*"),"?","~?"))+COUNTIFS('Calculations'!$IG$13:$IG$512,"="&amp;SUBSTITUTE(SUBSTITUTE(SUBSTITUTE('Calculations'!HF490,"~","~~"),"*","~*"),"?","~?"),'Calculations'!$HN$13:$HN$512,"="&amp;SUBSTITUTE(SUBSTITUTE(SUBSTITUTE('Dashboard'!$B$7,"~","~~"),"*","~*"),"?","~?"))+COUNTIFS('Calculations'!$IH$13:$IH$512,"="&amp;SUBSTITUTE(SUBSTITUTE(SUBSTITUTE('Calculations'!HF490,"~","~~"),"*","~*"),"?","~?"),'Calculations'!$HN$13:$HN$512,"="&amp;SUBSTITUTE(SUBSTITUTE(SUBSTITUTE('Dashboard'!$B$7,"~","~~"),"*","~*"),"?","~?"))))</x:f>
        <x:v>0</x:v>
      </x:c>
      <x:c r="JD490" t="n">
        <x:f>IF('Calculations'!EM490="",0,IF('Dashboard'!$B$7="All",1,IF('Calculations'!HN490='Dashboard'!$B$7,1,0)+IFERROR(INDEX('Calculations'!$JC$13:$JC$512,MATCH('Calculations'!HE490,'Calculations'!$HF$13:$HF$512,0)),0)))</x:f>
        <x:v>0</x:v>
      </x:c>
      <x:c r="JE490" t="n">
        <x:f>IF(AND('Calculations'!EM490&lt;&gt;"",'Calculations'!$JJ$2&lt;&gt;"All",'Calculations'!$JJ$2&lt;&gt;"",'Calculations'!HF490='Calculations'!$JJ$2,'Calculations'!HL490=0,'Calculations'!JD490&gt;0),MAX('Calculations'!$JE$12:JE489)+1,0)</x:f>
        <x:v>0</x:v>
      </x:c>
      <x:c r="JF490" t="str">
        <x:f>IF('Calculations'!EM490="","",IFERROR(IF(INDEX(INDIRECT("'WCM Calibration Final'!$G$1:$G$2000"),'Calculations'!$EM490)="","",TRIM(INDEX(INDIRECT("'WCM Calibration Final'!$G$1:$G$2000"),'Calculations'!$EM490)&amp;"")),""))</x:f>
      </x:c>
      <x:c r="JQ490" t="n">
        <x:f>IF(OR('Calculations'!BM490=0,NOT('Calculations'!$AG$2),'Calculations'!$AG$8&gt;0),0,IF(OR('Dashboard'!$B$7="All",'Calculations'!HN490='Dashboard'!$B$7),IF('Calculations'!$JJ$2="All",1,IF(AND('Calculations'!HF490='Calculations'!$JJ$2,'Calculations'!HL490=0),1,0)),0))</x:f>
        <x:v>0</x:v>
      </x:c>
    </x:row>
    <x:row r="491">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t="n">
        <x:f>IF('Calculations'!$EM491="",0,IF(OR(IFERROR(INDEX(INDIRECT("'WCM Calibration Final'!$A$1:$A$2000"),'Calculations'!$EM491)&lt;&gt;"",FALSE),IFERROR(INDEX(INDIRECT("'WCM Calibration Final'!$B$1:$B$2000"),'Calculations'!$EM491)&lt;&gt;"",FALSE),IFERROR(INDEX(INDIRECT("'WCM Calibration Final'!$C$1:$C$2000"),'Calculations'!$EM491)&lt;&gt;"",FALSE)),1,0))</x:f>
        <x:v>0</x:v>
      </x:c>
      <x:c r="BN491" s="4" t="n">
        <x:f>IF(AND('Calculations'!BM491=1,'Calculations'!$AG$2,'Calculations'!$EN491=1),1,0)</x:f>
        <x:v>0</x:v>
      </x:c>
      <x:c r="BO491" s="4" t="str">
        <x:f>IF('Calculations'!BM491=0,"",IFERROR(IF(AND(VALUE(INDEX(INDIRECT("'WCM Calibration Final'!$K$1:$K$2000"),'Calculations'!$EM491))&gt;=1,VALUE(INDEX(INDIRECT("'WCM Calibration Final'!$K$1:$K$2000"),'Calculations'!$EM491))&lt;=4,MOD(VALUE(INDEX(INDIRECT("'WCM Calibration Final'!$K$1:$K$2000"),'Calculations'!$EM491)),1)=0),VALUE(INDEX(INDIRECT("'WCM Calibration Final'!$K$1:$K$2000"),'Calculations'!$EM491)),""),""))</x:f>
      </x:c>
      <x:c r="BP491" s="4" t="str">
        <x:f>IF('Calculations'!BM491=0,"",IFERROR(IF(AND(VALUE(INDEX(INDIRECT("'WCM Calibration Final'!$L$1:$L$2000"),'Calculations'!$EM491))&gt;=1,VALUE(INDEX(INDIRECT("'WCM Calibration Final'!$L$1:$L$2000"),'Calculations'!$EM491))&lt;=4,MOD(VALUE(INDEX(INDIRECT("'WCM Calibration Final'!$L$1:$L$2000"),'Calculations'!$EM491)),1)=0),VALUE(INDEX(INDIRECT("'WCM Calibration Final'!$L$1:$L$2000"),'Calculations'!$EM491)),""),""))</x:f>
      </x:c>
      <x:c r="BQ491" s="4"/>
      <x:c r="BR491" s="4"/>
      <x:c r="BS491" s="4"/>
      <x:c r="BT491" s="4" t="n">
        <x:f>IF(AND('Calculations'!BM491=1,ISNUMBER('Calculations'!BO491),ISNUMBER('Calculations'!BP491)),1,0)</x:f>
        <x:v>0</x:v>
      </x:c>
      <x:c r="BU491" s="4" t="str">
        <x:f>IF('Calculations'!BM491=0,"",'Calculations'!$EO491)</x:f>
      </x:c>
      <x:c r="BV491" s="4" t="str">
        <x:f>IF('Calculations'!BM491=0,"",IFERROR(IF(OR(INDEX(INDIRECT("'WCM Calibration Final'!$H$1:$H$2000"),'Calculations'!$EM491)="MANAGING DIRECTOR",INDEX(INDIRECT("'WCM Calibration Final'!$H$1:$H$2000"),'Calculations'!$EM491)="DIRECTOR",INDEX(INDIRECT("'WCM Calibration Final'!$H$1:$H$2000"),'Calculations'!$EM491)="SENIOR VICE PRESIDENT",INDEX(INDIRECT("'WCM Calibration Final'!$H$1:$H$2000"),'Calculations'!$EM491)="VICE PRESIDENT",INDEX(INDIRECT("'WCM Calibration Final'!$H$1:$H$2000"),'Calculations'!$EM491)="ASSISTANT VICE PRESIDENT",INDEX(INDIRECT("'WCM Calibration Final'!$H$1:$H$2000"),'Calculations'!$EM491)="OFFICER"),UPPER(INDEX(INDIRECT("'WCM Calibration Final'!$H$1:$H$2000"),'Calculations'!$EM491)),"Other"),"Other"))</x:f>
      </x:c>
      <x:c r="BW491" s="4"/>
      <x:c r="BX491" s="4"/>
      <x:c r="BY491" s="4" t="n">
        <x:f>IF(AND('Calculations'!BM491=1,'Calculations'!BU491&lt;&gt;"",COUNTIF('Calculations'!$BU$12:BU491,'Calculations'!BU491)=1),MAX('Calculations'!$BY$11:BY490)+1,0)</x:f>
        <x:v>0</x:v>
      </x:c>
      <x:c r="BZ491" s="4" t="str">
        <x:f>IF('Dashboard'!$E$67="What",'Calculations'!BO491,'Calculations'!BP491)</x:f>
      </x:c>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t="str">
        <x:f>IF(480&gt;MAX('Calculations'!$HI$13:$HI$512),"",INDEX('Calculations'!$HN$13:$HN$512,MATCH(480,'Calculations'!$HI$13:$HI$512,0)))</x:f>
      </x:c>
      <x:c r="DB491" s="4" t="str">
        <x:f>IF(480&gt;MAX('Calculations'!$HH$13:$HH$512),"",INDEX('Calculations'!$HJ$13:$HJ$512,MATCH(480,'Calculations'!$HH$13:$HH$512,0)))</x:f>
      </x:c>
      <x:c r="DC491" s="4" t="str">
        <x:f>IF(ROW()-11&gt;MAX('Calculations'!$BY$13:$BY$512),"",INDEX('Calculations'!$BU$13:$BU$512,MATCH(ROW()-11,'Calculations'!$BY$13:$BY$512,0)))</x:f>
      </x:c>
      <x:c r="DD491" s="4" t="str">
        <x:f>IF(480&gt;MAX('Calculations'!$IK$13:$IK$512),"",INDEX('Calculations'!$HK$13:$HK$512,MATCH(480,'Calculations'!$IK$13:$IK$512,0)))</x:f>
      </x:c>
      <x:c r="DE491" s="4" t="str">
        <x:f>'Calculations'!DC491</x:f>
      </x:c>
      <x:c r="DF491" s="4" t="str">
        <x:f>IF('Calculations'!DE491="","",COUNTIFS('Calculations'!$BN$13:$BN$512,1,'Calculations'!$BU$13:$BU$512,'Calculations'!DE491))</x:f>
      </x:c>
      <x:c r="DG491" s="4" t="str">
        <x:f>IF('Calculations'!DE491="","",COUNTIFS('Calculations'!$BN$13:$BN$512,1,'Calculations'!$BU$13:$BU$512,'Calculations'!DE491,'Calculations'!$BT$13:$BT$512,1))</x:f>
      </x:c>
      <x:c r="DH491" s="4" t="str">
        <x:f>IF('Calculations'!DE491="","",'Calculations'!DF491-'Calculations'!DG491)</x:f>
      </x:c>
      <x:c r="DI491" s="4" t="str">
        <x:f>IF(OR('Calculations'!DE491="",'Calculations'!DF491=0),"",'Calculations'!DG491/'Calculations'!DF491)</x:f>
      </x:c>
      <x:c r="DJ491" s="4" t="str">
        <x:f>IF('Calculations'!DE491="","",COUNTIFS('Calculations'!$BN$13:$BN$512,1,'Calculations'!$BU$13:$BU$512,'Calculations'!DE491,'Calculations'!$BT$13:$BT$512,1,'Calculations'!$EE$13:$EE$512,"High"))</x:f>
      </x:c>
      <x:c r="DK491" s="4" t="str">
        <x:f>IF('Calculations'!DE491="","",COUNTIFS('Calculations'!$BN$13:$BN$512,1,'Calculations'!$BU$13:$BU$512,'Calculations'!DE491,'Calculations'!$BT$13:$BT$512,1,'Calculations'!$EE$13:$EE$512,"Strong"))</x:f>
      </x:c>
      <x:c r="DL491" s="4" t="str">
        <x:f>IF('Calculations'!DE491="","",COUNTIFS('Calculations'!$BN$13:$BN$512,1,'Calculations'!$BU$13:$BU$512,'Calculations'!DE491,'Calculations'!$BT$13:$BT$512,1,'Calculations'!$EE$13:$EE$512,"Solid"))</x:f>
      </x:c>
      <x:c r="DM491" s="4" t="str">
        <x:f>IF('Calculations'!DE491="","",COUNTIFS('Calculations'!$BN$13:$BN$512,1,'Calculations'!$BU$13:$BU$512,'Calculations'!DE491,'Calculations'!$BT$13:$BT$512,1,'Calculations'!$EE$13:$EE$512,"Low"))</x:f>
      </x:c>
      <x:c r="DN491" s="4" t="str">
        <x:f>IF('Calculations'!DE491="","",COUNTIFS('Calculations'!$BN$13:$BN$512,1,'Calculations'!$BU$13:$BU$512,'Calculations'!DE491,'Calculations'!$EP$13:$EP$512,1))</x:f>
      </x:c>
      <x:c r="DO491" s="4" t="str">
        <x:f>IF(OR('Calculations'!DE491="",'Calculations'!DG491=0),"",('Calculations'!DJ491+'Calculations'!DK491)/'Calculations'!DG491)</x:f>
      </x:c>
      <x:c r="DP491" s="4" t="n">
        <x:f>IF(AND('Calculations'!DE491&lt;&gt;"",'Calculations'!DF491&gt;0),COUNTIF('Calculations'!$DF$12:DF491,"&gt;0"),0)</x:f>
        <x:v>0</x:v>
      </x:c>
      <x:c r="DQ491" s="4" t="str">
        <x:f>IF(480&gt;MAX('Calculations'!$HH$13:$HH$512),"",INDEX('Calculations'!$HF$13:$HF$512,MATCH(480,'Calculations'!$HH$13:$HH$512,0)))</x:f>
      </x:c>
      <x:c r="DR491" s="4" t="str">
        <x:f>IF(480&gt;MAX('Calculations'!$IK$13:$IK$512),"",INDEX('Calculations'!$HE$13:$HE$512,MATCH(480,'Calculations'!$IK$13:$IK$512,0)))</x:f>
      </x:c>
      <x:c r="DS491" s="4"/>
      <x:c r="DT491" s="4"/>
      <x:c r="DU491" s="4"/>
      <x:c r="DV491" s="4"/>
      <x:c r="DW491" s="4"/>
      <x:c r="DX491" s="4"/>
      <x:c r="DY491" s="4"/>
      <x:c r="DZ491" s="4"/>
      <x:c r="EA491" s="4"/>
      <x:c r="EB491" s="4"/>
      <x:c r="EC491" s="4"/>
      <x:c r="ED491" s="4"/>
      <x:c r="EE491" s="4" t="str">
        <x:f>IF('Calculations'!BT491=0,"Not Rated",IF(OR('Calculations'!BO491&gt;=4,'Calculations'!BP491&gt;=4),"Low",IF('Calculations'!BO491+'Calculations'!BP491&lt;=3,"High",IF('Calculations'!BO491+'Calculations'!BP491&lt;=4,"Strong","Solid"))))</x:f>
        <x:v>Not Rated</x:v>
      </x:c>
      <x:c r="EF491" s="4"/>
      <x:c r="EG491" s="4"/>
      <x:c r="EH491" s="4"/>
      <x:c r="EI491" s="4"/>
      <x:c r="EJ491" s="4"/>
      <x:c r="EK491" s="4"/>
      <x:c r="EL491" s="4"/>
      <x:c r="EM491" s="4" t="str">
        <x:f>IF(479&gt;'Calculations'!$JB$2000,"",INDEX('Calculations'!$JA$12:$JA$2000,MATCH(479,'Calculations'!$JB$12:$JB$2000,0)))</x:f>
      </x:c>
      <x:c r="EN491" s="4" t="n">
        <x:f>IF(OR('Calculations'!EM491="",'Calculations'!$AG$8&gt;0,AND('Calculations'!$EF$2&lt;&gt;"All",'Calculations'!HE491='Calculations'!$EF$2),AND('Calculations'!$EF$3&lt;&gt;"All",'Calculations'!HE491='Calculations'!$EF$3)),0,IF(OR('Dashboard'!$B$7="All",'Calculations'!HN491='Dashboard'!$B$7),IF('Calculations'!$EF$2="All",1,IF('Calculations'!HL491&gt;0,0,IF(COUNTIF('Calculations'!HO491:II491,"="&amp;SUBSTITUTE(SUBSTITUTE(SUBSTITUTE('Calculations'!$EF$2,"~","~~"),"*","~*"),"?","~?"))=0,0,IF('Calculations'!$EF$3="All",1,IF(COUNTIF('Calculations'!HO491:II491,"="&amp;SUBSTITUTE(SUBSTITUTE(SUBSTITUTE('Calculations'!$EF$3,"~","~~"),"*","~*"),"?","~?"))&gt;0,1,0))))),0))</x:f>
        <x:v>0</x:v>
      </x:c>
      <x:c r="EO491" s="4" t="str">
        <x:f>IF('Calculations'!IJ491="","",IF('Calculations'!IJ491="!UNRESOLVED","Unresolved hierarchy",IFERROR(INDEX('Calculations'!$HK$13:$HK$512,MATCH('Calculations'!IJ491,'Calculations'!$HE$13:$HE$512,0)),IFERROR(INDEX('Calculations'!$HJ$13:$HJ$512,MATCH('Calculations'!IJ491,'Calculations'!$HF$13:$HF$512,0)),'Calculations'!IJ491))))</x:f>
      </x:c>
      <x:c r="EP491" s="4" t="n">
        <x:f>IF(AND('Calculations'!EM491&lt;&gt;"",'Calculations'!HF491='Calculations'!IJ491),1,0)</x:f>
        <x:v>0</x:v>
      </x:c>
      <x:c r="EQ491" s="4"/>
      <x:c r="ER491" s="4"/>
      <x:c r="ES491" s="4"/>
      <x:c r="ET491" s="4"/>
      <x:c r="EU491" s="4"/>
      <x:c r="EV491" s="4"/>
      <x:c r="EW491" s="4"/>
      <x:c r="EX491" s="4"/>
      <x:c r="EY491" s="4"/>
      <x:c r="EZ491" s="4"/>
      <x:c r="FA491" s="4"/>
      <x:c r="FB491" s="4"/>
      <x:c r="FC491" s="4"/>
      <x:c r="FD491" s="4"/>
      <x:c r="FE491" s="4"/>
      <x:c r="FF491" s="4"/>
      <x:c r="FG491" s="4"/>
      <x:c r="FH491" s="4"/>
      <x:c r="FI491" s="4"/>
      <x:c r="FJ491" s="4"/>
      <x:c r="FK491" s="4"/>
      <x:c r="FL491" s="4"/>
      <x:c r="FM491" s="4"/>
      <x:c r="FN491" s="4"/>
      <x:c r="FO491" s="4"/>
      <x:c r="HE491" t="str">
        <x:f>IF('Calculations'!EM491="","",IF(IFERROR(IF(INDEX(INDIRECT("'WCM Calibration Final'!$A$1:$A$2000"),'Calculations'!$EM491)="","",TRIM(INDEX(INDIRECT("'WCM Calibration Final'!$A$1:$A$2000"),'Calculations'!$EM491)&amp;"")),"")&lt;&gt;"","G:"&amp;IFERROR(TEXT(1*INDEX(INDIRECT("'WCM Calibration Final'!$A$1:$A$2000"),'Calculations'!$EM491),"0"),UPPER(IFERROR(IF(INDEX(INDIRECT("'WCM Calibration Final'!$A$1:$A$2000"),'Calculations'!$EM491)="","",TRIM(INDEX(INDIRECT("'WCM Calibration Final'!$A$1:$A$2000"),'Calculations'!$EM491)&amp;"")),""))),IF(IFERROR(IF(INDEX(INDIRECT("'WCM Calibration Final'!$C$1:$C$2000"),'Calculations'!$EM491)="","",TRIM(INDEX(INDIRECT("'WCM Calibration Final'!$C$1:$C$2000"),'Calculations'!$EM491)&amp;"")),"")&lt;&gt;"","S:"&amp;UPPER(IFERROR(IF(INDEX(INDIRECT("'WCM Calibration Final'!$C$1:$C$2000"),'Calculations'!$EM491)="","",TRIM(INDEX(INDIRECT("'WCM Calibration Final'!$C$1:$C$2000"),'Calculations'!$EM491)&amp;"")),"")),"R:"&amp;'Calculations'!EM491)))</x:f>
      </x:c>
      <x:c r="HF491" t="str">
        <x:f>IF('Calculations'!EM491="","",IF(IFERROR(IF(INDEX(INDIRECT("'WCM Calibration Final'!$D$1:$D$2000"),'Calculations'!$EM491)="","",TRIM(INDEX(INDIRECT("'WCM Calibration Final'!$D$1:$D$2000"),'Calculations'!$EM491)&amp;"")),"")&lt;&gt;"","G:"&amp;IFERROR(TEXT(1*INDEX(INDIRECT("'WCM Calibration Final'!$D$1:$D$2000"),'Calculations'!$EM491),"0"),UPPER(IFERROR(IF(INDEX(INDIRECT("'WCM Calibration Final'!$D$1:$D$2000"),'Calculations'!$EM491)="","",TRIM(INDEX(INDIRECT("'WCM Calibration Final'!$D$1:$D$2000"),'Calculations'!$EM491)&amp;"")),""))),IF(IFERROR(IF(INDEX(INDIRECT("'WCM Calibration Final'!$E$1:$E$2000"),'Calculations'!$EM491)="","",TRIM(INDEX(INDIRECT("'WCM Calibration Final'!$E$1:$E$2000"),'Calculations'!$EM491)&amp;"")),"")="","",IF(COUNTIF('Calculations'!$HG$13:$HG$512,"="&amp;SUBSTITUTE(SUBSTITUTE(SUBSTITUTE(IFERROR(IF(INDEX(INDIRECT("'WCM Calibration Final'!$E$1:$E$2000"),'Calculations'!$EM491)="","",TRIM(INDEX(INDIRECT("'WCM Calibration Final'!$E$1:$E$2000"),'Calculations'!$EM491)&amp;"")),""),"~","~~"),"*","~*"),"?","~?"))=1,INDEX('Calculations'!$HE$13:$HE$512,MATCH(IFERROR(IF(INDEX(INDIRECT("'WCM Calibration Final'!$E$1:$E$2000"),'Calculations'!$EM491)="","",TRIM(INDEX(INDIRECT("'WCM Calibration Final'!$E$1:$E$2000"),'Calculations'!$EM491)&amp;"")),""),'Calculations'!$HG$13:$HG$512,0)),IF(COUNTIF('Calculations'!$HG$13:$HG$512,"="&amp;SUBSTITUTE(SUBSTITUTE(SUBSTITUTE(IFERROR(IF(INDEX(INDIRECT("'WCM Calibration Final'!$E$1:$E$2000"),'Calculations'!$EM491)="","",TRIM(INDEX(INDIRECT("'WCM Calibration Final'!$E$1:$E$2000"),'Calculations'!$EM491)&amp;"")),""),"~","~~"),"*","~*"),"?","~?"))&gt;1,"!AMBIG","X:"&amp;IFERROR(IF(INDEX(INDIRECT("'WCM Calibration Final'!$E$1:$E$2000"),'Calculations'!$EM491)="","",TRIM(INDEX(INDIRECT("'WCM Calibration Final'!$E$1:$E$2000"),'Calculations'!$EM491)&amp;"")),""))))))</x:f>
      </x:c>
      <x:c r="HG491" t="str">
        <x:f>IF('Calculations'!EM491="","",IFERROR(IF(INDEX(INDIRECT("'WCM Calibration Final'!$B$1:$B$2000"),'Calculations'!$EM491)="","",TRIM(INDEX(INDIRECT("'WCM Calibration Final'!$B$1:$B$2000"),'Calculations'!$EM491)&amp;"")),""))</x:f>
      </x:c>
      <x:c r="HH491" t="n">
        <x:f>IF(AND('Calculations'!JC491&gt;0,COUNTIF('Calculations'!$HF$12:HF491,"="&amp;SUBSTITUTE(SUBSTITUTE(SUBSTITUTE('Calculations'!HF491,"~","~~"),"*","~*"),"?","~?"))=1),MAX('Calculations'!$HH$12:HH490)+1,0)</x:f>
        <x:v>0</x:v>
      </x:c>
      <x:c r="HI491" t="n">
        <x:f>IF(AND('Calculations'!HN491&lt;&gt;"",COUNTIF('Calculations'!$HN$12:HN491,"="&amp;SUBSTITUTE(SUBSTITUTE(SUBSTITUTE('Calculations'!HN491,"~","~~"),"*","~*"),"?","~?"))=1),MAX('Calculations'!$HI$12:HI490)+1,0)</x:f>
        <x:v>0</x:v>
      </x:c>
      <x:c r="HJ491" t="str">
        <x:f>IF('Calculations'!HF491="","",IF(COUNTIF('Calculations'!$HE$13:$HE$512,"="&amp;SUBSTITUTE(SUBSTITUTE(SUBSTITUTE('Calculations'!HF491,"~","~~"),"*","~*"),"?","~?"))=1,INDEX('Calculations'!$HK$13:$HK$512,MATCH('Calculations'!HF491,'Calculations'!$HE$13:$HE$512,0)),IFERROR(IF(INDEX(INDIRECT("'WCM Calibration Final'!$E$1:$E$2000"),'Calculations'!$EM491)="","",TRIM(INDEX(INDIRECT("'WCM Calibration Final'!$E$1:$E$2000"),'Calculations'!$EM491)&amp;"")),"")&amp;" ["&amp;'Calculations'!HF491&amp;"]"))</x:f>
      </x:c>
      <x:c r="HK491" t="str">
        <x:f>IF('Calculations'!EM491="","",'Calculations'!HG491&amp;" ["&amp;'Calculations'!HE491&amp;"]")</x:f>
      </x:c>
      <x:c r="HL491" t="n">
        <x:f>IF('Calculations'!EM491="",0,IF(OR('Calculations'!II491&lt;&gt;"",COUNTIF('Calculations'!$HE$13:$HE$512,"="&amp;SUBSTITUTE(SUBSTITUTE(SUBSTITUTE('Calculations'!HE491,"~","~~"),"*","~*"),"?","~?"))&gt;1),1,0))</x:f>
        <x:v>0</x:v>
      </x:c>
      <x:c r="HM491" t="str">
        <x:f>IF('Calculations'!EM491="","",IF('Calculations'!HL491=1,"!UNRESOLVED",IF('Calculations'!IH491&lt;&gt;"",'Calculations'!IH491,IF('Calculations'!IG491&lt;&gt;"",'Calculations'!IG491,IF('Calculations'!IF491&lt;&gt;"",'Calculations'!IF491,IF('Calculations'!IE491&lt;&gt;"",'Calculations'!IE491,IF('Calculations'!ID491&lt;&gt;"",'Calculations'!ID491,IF('Calculations'!IC491&lt;&gt;"",'Calculations'!IC491,IF('Calculations'!IB491&lt;&gt;"",'Calculations'!IB491,IF('Calculations'!IA491&lt;&gt;"",'Calculations'!IA491,IF('Calculations'!HZ491&lt;&gt;"",'Calculations'!HZ491,IF('Calculations'!HY491&lt;&gt;"",'Calculations'!HY491,IF('Calculations'!HX491&lt;&gt;"",'Calculations'!HX491,IF('Calculations'!HW491&lt;&gt;"",'Calculations'!HW491,IF('Calculations'!HV491&lt;&gt;"",'Calculations'!HV491,IF('Calculations'!HU491&lt;&gt;"",'Calculations'!HU491,IF('Calculations'!HT491&lt;&gt;"",'Calculations'!HT491,IF('Calculations'!HS491&lt;&gt;"",'Calculations'!HS491,IF('Calculations'!HR491&lt;&gt;"",'Calculations'!HR491,IF('Calculations'!HQ491&lt;&gt;"",'Calculations'!HQ491,IF('Calculations'!HP491&lt;&gt;"",'Calculations'!HP491,IF('Calculations'!HO491&lt;&gt;"",'Calculations'!HO491,'Calculations'!HE491))))))))))))))))))))))</x:f>
      </x:c>
      <x:c r="HN491" t="str">
        <x:f>IF('Calculations'!EM491="","",IF(IFERROR(IF(INDEX(INDIRECT("'WCM Calibration Final'!$F$1:$F$2000"),'Calculations'!$EM491)="","",TRIM(INDEX(INDIRECT("'WCM Calibration Final'!$F$1:$F$2000"),'Calculations'!$EM491)&amp;"")),"")="","(Blank)",IFERROR(IF(INDEX(INDIRECT("'WCM Calibration Final'!$F$1:$F$2000"),'Calculations'!$EM491)="","",TRIM(INDEX(INDIRECT("'WCM Calibration Final'!$F$1:$F$2000"),'Calculations'!$EM491)&amp;"")),"")))</x:f>
      </x:c>
      <x:c r="HO491" t="str">
        <x:f>'Calculations'!HF491</x:f>
      </x:c>
      <x:c r="HP491" t="str">
        <x:f>IF('Calculations'!HO491="","",IF('Calculations'!HO491="!AMBIG","!AMBIG",IF(COUNTIF('Calculations'!$HE$13:$HE$512,"="&amp;SUBSTITUTE(SUBSTITUTE(SUBSTITUTE('Calculations'!HO491,"~","~~"),"*","~*"),"?","~?"))&gt;1,"!AMBIG",IFERROR(INDEX('Calculations'!$HF$13:$HF$512,MATCH('Calculations'!HO491,'Calculations'!$HE$13:$HE$512,0)),""))))</x:f>
      </x:c>
      <x:c r="HQ491" t="str">
        <x:f>IF('Calculations'!HP491="","",IF('Calculations'!HP491="!AMBIG","!AMBIG",IF(COUNTIF('Calculations'!$HE$13:$HE$512,"="&amp;SUBSTITUTE(SUBSTITUTE(SUBSTITUTE('Calculations'!HP491,"~","~~"),"*","~*"),"?","~?"))&gt;1,"!AMBIG",IFERROR(INDEX('Calculations'!$HF$13:$HF$512,MATCH('Calculations'!HP491,'Calculations'!$HE$13:$HE$512,0)),""))))</x:f>
      </x:c>
      <x:c r="HR491" t="str">
        <x:f>IF('Calculations'!HQ491="","",IF('Calculations'!HQ491="!AMBIG","!AMBIG",IF(COUNTIF('Calculations'!$HE$13:$HE$512,"="&amp;SUBSTITUTE(SUBSTITUTE(SUBSTITUTE('Calculations'!HQ491,"~","~~"),"*","~*"),"?","~?"))&gt;1,"!AMBIG",IFERROR(INDEX('Calculations'!$HF$13:$HF$512,MATCH('Calculations'!HQ491,'Calculations'!$HE$13:$HE$512,0)),""))))</x:f>
      </x:c>
      <x:c r="HS491" t="str">
        <x:f>IF('Calculations'!HR491="","",IF('Calculations'!HR491="!AMBIG","!AMBIG",IF(COUNTIF('Calculations'!$HE$13:$HE$512,"="&amp;SUBSTITUTE(SUBSTITUTE(SUBSTITUTE('Calculations'!HR491,"~","~~"),"*","~*"),"?","~?"))&gt;1,"!AMBIG",IFERROR(INDEX('Calculations'!$HF$13:$HF$512,MATCH('Calculations'!HR491,'Calculations'!$HE$13:$HE$512,0)),""))))</x:f>
      </x:c>
      <x:c r="HT491" t="str">
        <x:f>IF('Calculations'!HS491="","",IF('Calculations'!HS491="!AMBIG","!AMBIG",IF(COUNTIF('Calculations'!$HE$13:$HE$512,"="&amp;SUBSTITUTE(SUBSTITUTE(SUBSTITUTE('Calculations'!HS491,"~","~~"),"*","~*"),"?","~?"))&gt;1,"!AMBIG",IFERROR(INDEX('Calculations'!$HF$13:$HF$512,MATCH('Calculations'!HS491,'Calculations'!$HE$13:$HE$512,0)),""))))</x:f>
      </x:c>
      <x:c r="HU491" t="str">
        <x:f>IF('Calculations'!HT491="","",IF('Calculations'!HT491="!AMBIG","!AMBIG",IF(COUNTIF('Calculations'!$HE$13:$HE$512,"="&amp;SUBSTITUTE(SUBSTITUTE(SUBSTITUTE('Calculations'!HT491,"~","~~"),"*","~*"),"?","~?"))&gt;1,"!AMBIG",IFERROR(INDEX('Calculations'!$HF$13:$HF$512,MATCH('Calculations'!HT491,'Calculations'!$HE$13:$HE$512,0)),""))))</x:f>
      </x:c>
      <x:c r="HV491" t="str">
        <x:f>IF('Calculations'!HU491="","",IF('Calculations'!HU491="!AMBIG","!AMBIG",IF(COUNTIF('Calculations'!$HE$13:$HE$512,"="&amp;SUBSTITUTE(SUBSTITUTE(SUBSTITUTE('Calculations'!HU491,"~","~~"),"*","~*"),"?","~?"))&gt;1,"!AMBIG",IFERROR(INDEX('Calculations'!$HF$13:$HF$512,MATCH('Calculations'!HU491,'Calculations'!$HE$13:$HE$512,0)),""))))</x:f>
      </x:c>
      <x:c r="HW491" t="str">
        <x:f>IF('Calculations'!HV491="","",IF('Calculations'!HV491="!AMBIG","!AMBIG",IF(COUNTIF('Calculations'!$HE$13:$HE$512,"="&amp;SUBSTITUTE(SUBSTITUTE(SUBSTITUTE('Calculations'!HV491,"~","~~"),"*","~*"),"?","~?"))&gt;1,"!AMBIG",IFERROR(INDEX('Calculations'!$HF$13:$HF$512,MATCH('Calculations'!HV491,'Calculations'!$HE$13:$HE$512,0)),""))))</x:f>
      </x:c>
      <x:c r="HX491" t="str">
        <x:f>IF('Calculations'!HW491="","",IF('Calculations'!HW491="!AMBIG","!AMBIG",IF(COUNTIF('Calculations'!$HE$13:$HE$512,"="&amp;SUBSTITUTE(SUBSTITUTE(SUBSTITUTE('Calculations'!HW491,"~","~~"),"*","~*"),"?","~?"))&gt;1,"!AMBIG",IFERROR(INDEX('Calculations'!$HF$13:$HF$512,MATCH('Calculations'!HW491,'Calculations'!$HE$13:$HE$512,0)),""))))</x:f>
      </x:c>
      <x:c r="HY491" t="str">
        <x:f>IF('Calculations'!HX491="","",IF('Calculations'!HX491="!AMBIG","!AMBIG",IF(COUNTIF('Calculations'!$HE$13:$HE$512,"="&amp;SUBSTITUTE(SUBSTITUTE(SUBSTITUTE('Calculations'!HX491,"~","~~"),"*","~*"),"?","~?"))&gt;1,"!AMBIG",IFERROR(INDEX('Calculations'!$HF$13:$HF$512,MATCH('Calculations'!HX491,'Calculations'!$HE$13:$HE$512,0)),""))))</x:f>
      </x:c>
      <x:c r="HZ491" t="str">
        <x:f>IF('Calculations'!HY491="","",IF('Calculations'!HY491="!AMBIG","!AMBIG",IF(COUNTIF('Calculations'!$HE$13:$HE$512,"="&amp;SUBSTITUTE(SUBSTITUTE(SUBSTITUTE('Calculations'!HY491,"~","~~"),"*","~*"),"?","~?"))&gt;1,"!AMBIG",IFERROR(INDEX('Calculations'!$HF$13:$HF$512,MATCH('Calculations'!HY491,'Calculations'!$HE$13:$HE$512,0)),""))))</x:f>
      </x:c>
      <x:c r="IA491" t="str">
        <x:f>IF('Calculations'!HZ491="","",IF('Calculations'!HZ491="!AMBIG","!AMBIG",IF(COUNTIF('Calculations'!$HE$13:$HE$512,"="&amp;SUBSTITUTE(SUBSTITUTE(SUBSTITUTE('Calculations'!HZ491,"~","~~"),"*","~*"),"?","~?"))&gt;1,"!AMBIG",IFERROR(INDEX('Calculations'!$HF$13:$HF$512,MATCH('Calculations'!HZ491,'Calculations'!$HE$13:$HE$512,0)),""))))</x:f>
      </x:c>
      <x:c r="IB491" t="str">
        <x:f>IF('Calculations'!IA491="","",IF('Calculations'!IA491="!AMBIG","!AMBIG",IF(COUNTIF('Calculations'!$HE$13:$HE$512,"="&amp;SUBSTITUTE(SUBSTITUTE(SUBSTITUTE('Calculations'!IA491,"~","~~"),"*","~*"),"?","~?"))&gt;1,"!AMBIG",IFERROR(INDEX('Calculations'!$HF$13:$HF$512,MATCH('Calculations'!IA491,'Calculations'!$HE$13:$HE$512,0)),""))))</x:f>
      </x:c>
      <x:c r="IC491" t="str">
        <x:f>IF('Calculations'!IB491="","",IF('Calculations'!IB491="!AMBIG","!AMBIG",IF(COUNTIF('Calculations'!$HE$13:$HE$512,"="&amp;SUBSTITUTE(SUBSTITUTE(SUBSTITUTE('Calculations'!IB491,"~","~~"),"*","~*"),"?","~?"))&gt;1,"!AMBIG",IFERROR(INDEX('Calculations'!$HF$13:$HF$512,MATCH('Calculations'!IB491,'Calculations'!$HE$13:$HE$512,0)),""))))</x:f>
      </x:c>
      <x:c r="ID491" t="str">
        <x:f>IF('Calculations'!IC491="","",IF('Calculations'!IC491="!AMBIG","!AMBIG",IF(COUNTIF('Calculations'!$HE$13:$HE$512,"="&amp;SUBSTITUTE(SUBSTITUTE(SUBSTITUTE('Calculations'!IC491,"~","~~"),"*","~*"),"?","~?"))&gt;1,"!AMBIG",IFERROR(INDEX('Calculations'!$HF$13:$HF$512,MATCH('Calculations'!IC491,'Calculations'!$HE$13:$HE$512,0)),""))))</x:f>
      </x:c>
      <x:c r="IE491" t="str">
        <x:f>IF('Calculations'!ID491="","",IF('Calculations'!ID491="!AMBIG","!AMBIG",IF(COUNTIF('Calculations'!$HE$13:$HE$512,"="&amp;SUBSTITUTE(SUBSTITUTE(SUBSTITUTE('Calculations'!ID491,"~","~~"),"*","~*"),"?","~?"))&gt;1,"!AMBIG",IFERROR(INDEX('Calculations'!$HF$13:$HF$512,MATCH('Calculations'!ID491,'Calculations'!$HE$13:$HE$512,0)),""))))</x:f>
      </x:c>
      <x:c r="IF491" t="str">
        <x:f>IF('Calculations'!IE491="","",IF('Calculations'!IE491="!AMBIG","!AMBIG",IF(COUNTIF('Calculations'!$HE$13:$HE$512,"="&amp;SUBSTITUTE(SUBSTITUTE(SUBSTITUTE('Calculations'!IE491,"~","~~"),"*","~*"),"?","~?"))&gt;1,"!AMBIG",IFERROR(INDEX('Calculations'!$HF$13:$HF$512,MATCH('Calculations'!IE491,'Calculations'!$HE$13:$HE$512,0)),""))))</x:f>
      </x:c>
      <x:c r="IG491" t="str">
        <x:f>IF('Calculations'!IF491="","",IF('Calculations'!IF491="!AMBIG","!AMBIG",IF(COUNTIF('Calculations'!$HE$13:$HE$512,"="&amp;SUBSTITUTE(SUBSTITUTE(SUBSTITUTE('Calculations'!IF491,"~","~~"),"*","~*"),"?","~?"))&gt;1,"!AMBIG",IFERROR(INDEX('Calculations'!$HF$13:$HF$512,MATCH('Calculations'!IF491,'Calculations'!$HE$13:$HE$512,0)),""))))</x:f>
      </x:c>
      <x:c r="IH491" t="str">
        <x:f>IF('Calculations'!IG491="","",IF('Calculations'!IG491="!AMBIG","!AMBIG",IF(COUNTIF('Calculations'!$HE$13:$HE$512,"="&amp;SUBSTITUTE(SUBSTITUTE(SUBSTITUTE('Calculations'!IG491,"~","~~"),"*","~*"),"?","~?"))&gt;1,"!AMBIG",IFERROR(INDEX('Calculations'!$HF$13:$HF$512,MATCH('Calculations'!IG491,'Calculations'!$HE$13:$HE$512,0)),""))))</x:f>
      </x:c>
      <x:c r="II491" t="str">
        <x:f>IF('Calculations'!IH491="","",IF('Calculations'!IH491="!AMBIG","!AMBIG",IF(COUNTIF('Calculations'!$HE$13:$HE$512,"="&amp;SUBSTITUTE(SUBSTITUTE(SUBSTITUTE('Calculations'!IH491,"~","~~"),"*","~*"),"?","~?"))&gt;1,"!AMBIG",IFERROR(INDEX('Calculations'!$HF$13:$HF$512,MATCH('Calculations'!IH491,'Calculations'!$HE$13:$HE$512,0)),""))))</x:f>
      </x:c>
      <x:c r="IJ491" t="str">
        <x:f>IF('Calculations'!EM491="","",IF('Calculations'!$EF$2="All",'Calculations'!HM491,IF('Calculations'!HL491=1,"",IFERROR(IF(MATCH('Calculations'!$EF$2,'Calculations'!HO491:II491,0)=1,'Calculations'!HE491,INDEX('Calculations'!HO491:II491,1,MATCH('Calculations'!$EF$2,'Calculations'!HO491:II491,0)-1)),""))))</x:f>
      </x:c>
      <x:c r="IK491" t="n">
        <x:f>IF(AND('Calculations'!EM491&lt;&gt;"",'Calculations'!$EF$2&lt;&gt;"All",'Calculations'!HF491='Calculations'!$EF$2,'Calculations'!HL491=0,'Calculations'!JD491&gt;0),MAX('Calculations'!$IK$12:IK490)+1,0)</x:f>
        <x:v>0</x:v>
      </x:c>
      <x:c r="JA491" t="n">
        <x:f>IF(OR(IFERROR(INDIRECT("'WCM Calibration Final'!$A$491")&lt;&gt;"",FALSE),IFERROR(INDIRECT("'WCM Calibration Final'!$B$491")&lt;&gt;"",FALSE),IFERROR(INDIRECT("'WCM Calibration Final'!$C$491")&lt;&gt;"",FALSE)),491,0)</x:f>
        <x:v>0</x:v>
      </x:c>
      <x:c r="JB491" t="n">
        <x:f>'Calculations'!JB490+IF('Calculations'!JA491&gt;0,1,0)</x:f>
        <x:v>0</x:v>
      </x:c>
      <x:c r="JC491" t="n">
        <x:f>IF(OR('Calculations'!HF491="",'Calculations'!HF491="!AMBIG"),0,IF('Dashboard'!$B$7="All",1,COUNTIFS('Calculations'!$HO$13:$HO$512,"="&amp;SUBSTITUTE(SUBSTITUTE(SUBSTITUTE('Calculations'!HF491,"~","~~"),"*","~*"),"?","~?"),'Calculations'!$HN$13:$HN$512,"="&amp;SUBSTITUTE(SUBSTITUTE(SUBSTITUTE('Dashboard'!$B$7,"~","~~"),"*","~*"),"?","~?"))+COUNTIFS('Calculations'!$HP$13:$HP$512,"="&amp;SUBSTITUTE(SUBSTITUTE(SUBSTITUTE('Calculations'!HF491,"~","~~"),"*","~*"),"?","~?"),'Calculations'!$HN$13:$HN$512,"="&amp;SUBSTITUTE(SUBSTITUTE(SUBSTITUTE('Dashboard'!$B$7,"~","~~"),"*","~*"),"?","~?"))+COUNTIFS('Calculations'!$HQ$13:$HQ$512,"="&amp;SUBSTITUTE(SUBSTITUTE(SUBSTITUTE('Calculations'!HF491,"~","~~"),"*","~*"),"?","~?"),'Calculations'!$HN$13:$HN$512,"="&amp;SUBSTITUTE(SUBSTITUTE(SUBSTITUTE('Dashboard'!$B$7,"~","~~"),"*","~*"),"?","~?"))+COUNTIFS('Calculations'!$HR$13:$HR$512,"="&amp;SUBSTITUTE(SUBSTITUTE(SUBSTITUTE('Calculations'!HF491,"~","~~"),"*","~*"),"?","~?"),'Calculations'!$HN$13:$HN$512,"="&amp;SUBSTITUTE(SUBSTITUTE(SUBSTITUTE('Dashboard'!$B$7,"~","~~"),"*","~*"),"?","~?"))+COUNTIFS('Calculations'!$HS$13:$HS$512,"="&amp;SUBSTITUTE(SUBSTITUTE(SUBSTITUTE('Calculations'!HF491,"~","~~"),"*","~*"),"?","~?"),'Calculations'!$HN$13:$HN$512,"="&amp;SUBSTITUTE(SUBSTITUTE(SUBSTITUTE('Dashboard'!$B$7,"~","~~"),"*","~*"),"?","~?"))+COUNTIFS('Calculations'!$HT$13:$HT$512,"="&amp;SUBSTITUTE(SUBSTITUTE(SUBSTITUTE('Calculations'!HF491,"~","~~"),"*","~*"),"?","~?"),'Calculations'!$HN$13:$HN$512,"="&amp;SUBSTITUTE(SUBSTITUTE(SUBSTITUTE('Dashboard'!$B$7,"~","~~"),"*","~*"),"?","~?"))+COUNTIFS('Calculations'!$HU$13:$HU$512,"="&amp;SUBSTITUTE(SUBSTITUTE(SUBSTITUTE('Calculations'!HF491,"~","~~"),"*","~*"),"?","~?"),'Calculations'!$HN$13:$HN$512,"="&amp;SUBSTITUTE(SUBSTITUTE(SUBSTITUTE('Dashboard'!$B$7,"~","~~"),"*","~*"),"?","~?"))+COUNTIFS('Calculations'!$HV$13:$HV$512,"="&amp;SUBSTITUTE(SUBSTITUTE(SUBSTITUTE('Calculations'!HF491,"~","~~"),"*","~*"),"?","~?"),'Calculations'!$HN$13:$HN$512,"="&amp;SUBSTITUTE(SUBSTITUTE(SUBSTITUTE('Dashboard'!$B$7,"~","~~"),"*","~*"),"?","~?"))+COUNTIFS('Calculations'!$HW$13:$HW$512,"="&amp;SUBSTITUTE(SUBSTITUTE(SUBSTITUTE('Calculations'!HF491,"~","~~"),"*","~*"),"?","~?"),'Calculations'!$HN$13:$HN$512,"="&amp;SUBSTITUTE(SUBSTITUTE(SUBSTITUTE('Dashboard'!$B$7,"~","~~"),"*","~*"),"?","~?"))+COUNTIFS('Calculations'!$HX$13:$HX$512,"="&amp;SUBSTITUTE(SUBSTITUTE(SUBSTITUTE('Calculations'!HF491,"~","~~"),"*","~*"),"?","~?"),'Calculations'!$HN$13:$HN$512,"="&amp;SUBSTITUTE(SUBSTITUTE(SUBSTITUTE('Dashboard'!$B$7,"~","~~"),"*","~*"),"?","~?"))+COUNTIFS('Calculations'!$HY$13:$HY$512,"="&amp;SUBSTITUTE(SUBSTITUTE(SUBSTITUTE('Calculations'!HF491,"~","~~"),"*","~*"),"?","~?"),'Calculations'!$HN$13:$HN$512,"="&amp;SUBSTITUTE(SUBSTITUTE(SUBSTITUTE('Dashboard'!$B$7,"~","~~"),"*","~*"),"?","~?"))+COUNTIFS('Calculations'!$HZ$13:$HZ$512,"="&amp;SUBSTITUTE(SUBSTITUTE(SUBSTITUTE('Calculations'!HF491,"~","~~"),"*","~*"),"?","~?"),'Calculations'!$HN$13:$HN$512,"="&amp;SUBSTITUTE(SUBSTITUTE(SUBSTITUTE('Dashboard'!$B$7,"~","~~"),"*","~*"),"?","~?"))+COUNTIFS('Calculations'!$IA$13:$IA$512,"="&amp;SUBSTITUTE(SUBSTITUTE(SUBSTITUTE('Calculations'!HF491,"~","~~"),"*","~*"),"?","~?"),'Calculations'!$HN$13:$HN$512,"="&amp;SUBSTITUTE(SUBSTITUTE(SUBSTITUTE('Dashboard'!$B$7,"~","~~"),"*","~*"),"?","~?"))+COUNTIFS('Calculations'!$IB$13:$IB$512,"="&amp;SUBSTITUTE(SUBSTITUTE(SUBSTITUTE('Calculations'!HF491,"~","~~"),"*","~*"),"?","~?"),'Calculations'!$HN$13:$HN$512,"="&amp;SUBSTITUTE(SUBSTITUTE(SUBSTITUTE('Dashboard'!$B$7,"~","~~"),"*","~*"),"?","~?"))+COUNTIFS('Calculations'!$IC$13:$IC$512,"="&amp;SUBSTITUTE(SUBSTITUTE(SUBSTITUTE('Calculations'!HF491,"~","~~"),"*","~*"),"?","~?"),'Calculations'!$HN$13:$HN$512,"="&amp;SUBSTITUTE(SUBSTITUTE(SUBSTITUTE('Dashboard'!$B$7,"~","~~"),"*","~*"),"?","~?"))+COUNTIFS('Calculations'!$ID$13:$ID$512,"="&amp;SUBSTITUTE(SUBSTITUTE(SUBSTITUTE('Calculations'!HF491,"~","~~"),"*","~*"),"?","~?"),'Calculations'!$HN$13:$HN$512,"="&amp;SUBSTITUTE(SUBSTITUTE(SUBSTITUTE('Dashboard'!$B$7,"~","~~"),"*","~*"),"?","~?"))+COUNTIFS('Calculations'!$IE$13:$IE$512,"="&amp;SUBSTITUTE(SUBSTITUTE(SUBSTITUTE('Calculations'!HF491,"~","~~"),"*","~*"),"?","~?"),'Calculations'!$HN$13:$HN$512,"="&amp;SUBSTITUTE(SUBSTITUTE(SUBSTITUTE('Dashboard'!$B$7,"~","~~"),"*","~*"),"?","~?"))+COUNTIFS('Calculations'!$IF$13:$IF$512,"="&amp;SUBSTITUTE(SUBSTITUTE(SUBSTITUTE('Calculations'!HF491,"~","~~"),"*","~*"),"?","~?"),'Calculations'!$HN$13:$HN$512,"="&amp;SUBSTITUTE(SUBSTITUTE(SUBSTITUTE('Dashboard'!$B$7,"~","~~"),"*","~*"),"?","~?"))+COUNTIFS('Calculations'!$IG$13:$IG$512,"="&amp;SUBSTITUTE(SUBSTITUTE(SUBSTITUTE('Calculations'!HF491,"~","~~"),"*","~*"),"?","~?"),'Calculations'!$HN$13:$HN$512,"="&amp;SUBSTITUTE(SUBSTITUTE(SUBSTITUTE('Dashboard'!$B$7,"~","~~"),"*","~*"),"?","~?"))+COUNTIFS('Calculations'!$IH$13:$IH$512,"="&amp;SUBSTITUTE(SUBSTITUTE(SUBSTITUTE('Calculations'!HF491,"~","~~"),"*","~*"),"?","~?"),'Calculations'!$HN$13:$HN$512,"="&amp;SUBSTITUTE(SUBSTITUTE(SUBSTITUTE('Dashboard'!$B$7,"~","~~"),"*","~*"),"?","~?"))))</x:f>
        <x:v>0</x:v>
      </x:c>
      <x:c r="JD491" t="n">
        <x:f>IF('Calculations'!EM491="",0,IF('Dashboard'!$B$7="All",1,IF('Calculations'!HN491='Dashboard'!$B$7,1,0)+IFERROR(INDEX('Calculations'!$JC$13:$JC$512,MATCH('Calculations'!HE491,'Calculations'!$HF$13:$HF$512,0)),0)))</x:f>
        <x:v>0</x:v>
      </x:c>
      <x:c r="JE491" t="n">
        <x:f>IF(AND('Calculations'!EM491&lt;&gt;"",'Calculations'!$JJ$2&lt;&gt;"All",'Calculations'!$JJ$2&lt;&gt;"",'Calculations'!HF491='Calculations'!$JJ$2,'Calculations'!HL491=0,'Calculations'!JD491&gt;0),MAX('Calculations'!$JE$12:JE490)+1,0)</x:f>
        <x:v>0</x:v>
      </x:c>
      <x:c r="JF491" t="str">
        <x:f>IF('Calculations'!EM491="","",IFERROR(IF(INDEX(INDIRECT("'WCM Calibration Final'!$G$1:$G$2000"),'Calculations'!$EM491)="","",TRIM(INDEX(INDIRECT("'WCM Calibration Final'!$G$1:$G$2000"),'Calculations'!$EM491)&amp;"")),""))</x:f>
      </x:c>
      <x:c r="JQ491" t="n">
        <x:f>IF(OR('Calculations'!BM491=0,NOT('Calculations'!$AG$2),'Calculations'!$AG$8&gt;0),0,IF(OR('Dashboard'!$B$7="All",'Calculations'!HN491='Dashboard'!$B$7),IF('Calculations'!$JJ$2="All",1,IF(AND('Calculations'!HF491='Calculations'!$JJ$2,'Calculations'!HL491=0),1,0)),0))</x:f>
        <x:v>0</x:v>
      </x:c>
    </x:row>
    <x:row r="492">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t="n">
        <x:f>IF('Calculations'!$EM492="",0,IF(OR(IFERROR(INDEX(INDIRECT("'WCM Calibration Final'!$A$1:$A$2000"),'Calculations'!$EM492)&lt;&gt;"",FALSE),IFERROR(INDEX(INDIRECT("'WCM Calibration Final'!$B$1:$B$2000"),'Calculations'!$EM492)&lt;&gt;"",FALSE),IFERROR(INDEX(INDIRECT("'WCM Calibration Final'!$C$1:$C$2000"),'Calculations'!$EM492)&lt;&gt;"",FALSE)),1,0))</x:f>
        <x:v>0</x:v>
      </x:c>
      <x:c r="BN492" s="4" t="n">
        <x:f>IF(AND('Calculations'!BM492=1,'Calculations'!$AG$2,'Calculations'!$EN492=1),1,0)</x:f>
        <x:v>0</x:v>
      </x:c>
      <x:c r="BO492" s="4" t="str">
        <x:f>IF('Calculations'!BM492=0,"",IFERROR(IF(AND(VALUE(INDEX(INDIRECT("'WCM Calibration Final'!$K$1:$K$2000"),'Calculations'!$EM492))&gt;=1,VALUE(INDEX(INDIRECT("'WCM Calibration Final'!$K$1:$K$2000"),'Calculations'!$EM492))&lt;=4,MOD(VALUE(INDEX(INDIRECT("'WCM Calibration Final'!$K$1:$K$2000"),'Calculations'!$EM492)),1)=0),VALUE(INDEX(INDIRECT("'WCM Calibration Final'!$K$1:$K$2000"),'Calculations'!$EM492)),""),""))</x:f>
      </x:c>
      <x:c r="BP492" s="4" t="str">
        <x:f>IF('Calculations'!BM492=0,"",IFERROR(IF(AND(VALUE(INDEX(INDIRECT("'WCM Calibration Final'!$L$1:$L$2000"),'Calculations'!$EM492))&gt;=1,VALUE(INDEX(INDIRECT("'WCM Calibration Final'!$L$1:$L$2000"),'Calculations'!$EM492))&lt;=4,MOD(VALUE(INDEX(INDIRECT("'WCM Calibration Final'!$L$1:$L$2000"),'Calculations'!$EM492)),1)=0),VALUE(INDEX(INDIRECT("'WCM Calibration Final'!$L$1:$L$2000"),'Calculations'!$EM492)),""),""))</x:f>
      </x:c>
      <x:c r="BQ492" s="4"/>
      <x:c r="BR492" s="4"/>
      <x:c r="BS492" s="4"/>
      <x:c r="BT492" s="4" t="n">
        <x:f>IF(AND('Calculations'!BM492=1,ISNUMBER('Calculations'!BO492),ISNUMBER('Calculations'!BP492)),1,0)</x:f>
        <x:v>0</x:v>
      </x:c>
      <x:c r="BU492" s="4" t="str">
        <x:f>IF('Calculations'!BM492=0,"",'Calculations'!$EO492)</x:f>
      </x:c>
      <x:c r="BV492" s="4" t="str">
        <x:f>IF('Calculations'!BM492=0,"",IFERROR(IF(OR(INDEX(INDIRECT("'WCM Calibration Final'!$H$1:$H$2000"),'Calculations'!$EM492)="MANAGING DIRECTOR",INDEX(INDIRECT("'WCM Calibration Final'!$H$1:$H$2000"),'Calculations'!$EM492)="DIRECTOR",INDEX(INDIRECT("'WCM Calibration Final'!$H$1:$H$2000"),'Calculations'!$EM492)="SENIOR VICE PRESIDENT",INDEX(INDIRECT("'WCM Calibration Final'!$H$1:$H$2000"),'Calculations'!$EM492)="VICE PRESIDENT",INDEX(INDIRECT("'WCM Calibration Final'!$H$1:$H$2000"),'Calculations'!$EM492)="ASSISTANT VICE PRESIDENT",INDEX(INDIRECT("'WCM Calibration Final'!$H$1:$H$2000"),'Calculations'!$EM492)="OFFICER"),UPPER(INDEX(INDIRECT("'WCM Calibration Final'!$H$1:$H$2000"),'Calculations'!$EM492)),"Other"),"Other"))</x:f>
      </x:c>
      <x:c r="BW492" s="4"/>
      <x:c r="BX492" s="4"/>
      <x:c r="BY492" s="4" t="n">
        <x:f>IF(AND('Calculations'!BM492=1,'Calculations'!BU492&lt;&gt;"",COUNTIF('Calculations'!$BU$12:BU492,'Calculations'!BU492)=1),MAX('Calculations'!$BY$11:BY491)+1,0)</x:f>
        <x:v>0</x:v>
      </x:c>
      <x:c r="BZ492" s="4" t="str">
        <x:f>IF('Dashboard'!$E$67="What",'Calculations'!BO492,'Calculations'!BP492)</x:f>
      </x:c>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t="str">
        <x:f>IF(481&gt;MAX('Calculations'!$HI$13:$HI$512),"",INDEX('Calculations'!$HN$13:$HN$512,MATCH(481,'Calculations'!$HI$13:$HI$512,0)))</x:f>
      </x:c>
      <x:c r="DB492" s="4" t="str">
        <x:f>IF(481&gt;MAX('Calculations'!$HH$13:$HH$512),"",INDEX('Calculations'!$HJ$13:$HJ$512,MATCH(481,'Calculations'!$HH$13:$HH$512,0)))</x:f>
      </x:c>
      <x:c r="DC492" s="4" t="str">
        <x:f>IF(ROW()-11&gt;MAX('Calculations'!$BY$13:$BY$512),"",INDEX('Calculations'!$BU$13:$BU$512,MATCH(ROW()-11,'Calculations'!$BY$13:$BY$512,0)))</x:f>
      </x:c>
      <x:c r="DD492" s="4" t="str">
        <x:f>IF(481&gt;MAX('Calculations'!$IK$13:$IK$512),"",INDEX('Calculations'!$HK$13:$HK$512,MATCH(481,'Calculations'!$IK$13:$IK$512,0)))</x:f>
      </x:c>
      <x:c r="DE492" s="4" t="str">
        <x:f>'Calculations'!DC492</x:f>
      </x:c>
      <x:c r="DF492" s="4" t="str">
        <x:f>IF('Calculations'!DE492="","",COUNTIFS('Calculations'!$BN$13:$BN$512,1,'Calculations'!$BU$13:$BU$512,'Calculations'!DE492))</x:f>
      </x:c>
      <x:c r="DG492" s="4" t="str">
        <x:f>IF('Calculations'!DE492="","",COUNTIFS('Calculations'!$BN$13:$BN$512,1,'Calculations'!$BU$13:$BU$512,'Calculations'!DE492,'Calculations'!$BT$13:$BT$512,1))</x:f>
      </x:c>
      <x:c r="DH492" s="4" t="str">
        <x:f>IF('Calculations'!DE492="","",'Calculations'!DF492-'Calculations'!DG492)</x:f>
      </x:c>
      <x:c r="DI492" s="4" t="str">
        <x:f>IF(OR('Calculations'!DE492="",'Calculations'!DF492=0),"",'Calculations'!DG492/'Calculations'!DF492)</x:f>
      </x:c>
      <x:c r="DJ492" s="4" t="str">
        <x:f>IF('Calculations'!DE492="","",COUNTIFS('Calculations'!$BN$13:$BN$512,1,'Calculations'!$BU$13:$BU$512,'Calculations'!DE492,'Calculations'!$BT$13:$BT$512,1,'Calculations'!$EE$13:$EE$512,"High"))</x:f>
      </x:c>
      <x:c r="DK492" s="4" t="str">
        <x:f>IF('Calculations'!DE492="","",COUNTIFS('Calculations'!$BN$13:$BN$512,1,'Calculations'!$BU$13:$BU$512,'Calculations'!DE492,'Calculations'!$BT$13:$BT$512,1,'Calculations'!$EE$13:$EE$512,"Strong"))</x:f>
      </x:c>
      <x:c r="DL492" s="4" t="str">
        <x:f>IF('Calculations'!DE492="","",COUNTIFS('Calculations'!$BN$13:$BN$512,1,'Calculations'!$BU$13:$BU$512,'Calculations'!DE492,'Calculations'!$BT$13:$BT$512,1,'Calculations'!$EE$13:$EE$512,"Solid"))</x:f>
      </x:c>
      <x:c r="DM492" s="4" t="str">
        <x:f>IF('Calculations'!DE492="","",COUNTIFS('Calculations'!$BN$13:$BN$512,1,'Calculations'!$BU$13:$BU$512,'Calculations'!DE492,'Calculations'!$BT$13:$BT$512,1,'Calculations'!$EE$13:$EE$512,"Low"))</x:f>
      </x:c>
      <x:c r="DN492" s="4" t="str">
        <x:f>IF('Calculations'!DE492="","",COUNTIFS('Calculations'!$BN$13:$BN$512,1,'Calculations'!$BU$13:$BU$512,'Calculations'!DE492,'Calculations'!$EP$13:$EP$512,1))</x:f>
      </x:c>
      <x:c r="DO492" s="4" t="str">
        <x:f>IF(OR('Calculations'!DE492="",'Calculations'!DG492=0),"",('Calculations'!DJ492+'Calculations'!DK492)/'Calculations'!DG492)</x:f>
      </x:c>
      <x:c r="DP492" s="4" t="n">
        <x:f>IF(AND('Calculations'!DE492&lt;&gt;"",'Calculations'!DF492&gt;0),COUNTIF('Calculations'!$DF$12:DF492,"&gt;0"),0)</x:f>
        <x:v>0</x:v>
      </x:c>
      <x:c r="DQ492" s="4" t="str">
        <x:f>IF(481&gt;MAX('Calculations'!$HH$13:$HH$512),"",INDEX('Calculations'!$HF$13:$HF$512,MATCH(481,'Calculations'!$HH$13:$HH$512,0)))</x:f>
      </x:c>
      <x:c r="DR492" s="4" t="str">
        <x:f>IF(481&gt;MAX('Calculations'!$IK$13:$IK$512),"",INDEX('Calculations'!$HE$13:$HE$512,MATCH(481,'Calculations'!$IK$13:$IK$512,0)))</x:f>
      </x:c>
      <x:c r="DS492" s="4"/>
      <x:c r="DT492" s="4"/>
      <x:c r="DU492" s="4"/>
      <x:c r="DV492" s="4"/>
      <x:c r="DW492" s="4"/>
      <x:c r="DX492" s="4"/>
      <x:c r="DY492" s="4"/>
      <x:c r="DZ492" s="4"/>
      <x:c r="EA492" s="4"/>
      <x:c r="EB492" s="4"/>
      <x:c r="EC492" s="4"/>
      <x:c r="ED492" s="4"/>
      <x:c r="EE492" s="4" t="str">
        <x:f>IF('Calculations'!BT492=0,"Not Rated",IF(OR('Calculations'!BO492&gt;=4,'Calculations'!BP492&gt;=4),"Low",IF('Calculations'!BO492+'Calculations'!BP492&lt;=3,"High",IF('Calculations'!BO492+'Calculations'!BP492&lt;=4,"Strong","Solid"))))</x:f>
        <x:v>Not Rated</x:v>
      </x:c>
      <x:c r="EF492" s="4"/>
      <x:c r="EG492" s="4"/>
      <x:c r="EH492" s="4"/>
      <x:c r="EI492" s="4"/>
      <x:c r="EJ492" s="4"/>
      <x:c r="EK492" s="4"/>
      <x:c r="EL492" s="4"/>
      <x:c r="EM492" s="4" t="str">
        <x:f>IF(480&gt;'Calculations'!$JB$2000,"",INDEX('Calculations'!$JA$12:$JA$2000,MATCH(480,'Calculations'!$JB$12:$JB$2000,0)))</x:f>
      </x:c>
      <x:c r="EN492" s="4" t="n">
        <x:f>IF(OR('Calculations'!EM492="",'Calculations'!$AG$8&gt;0,AND('Calculations'!$EF$2&lt;&gt;"All",'Calculations'!HE492='Calculations'!$EF$2),AND('Calculations'!$EF$3&lt;&gt;"All",'Calculations'!HE492='Calculations'!$EF$3)),0,IF(OR('Dashboard'!$B$7="All",'Calculations'!HN492='Dashboard'!$B$7),IF('Calculations'!$EF$2="All",1,IF('Calculations'!HL492&gt;0,0,IF(COUNTIF('Calculations'!HO492:II492,"="&amp;SUBSTITUTE(SUBSTITUTE(SUBSTITUTE('Calculations'!$EF$2,"~","~~"),"*","~*"),"?","~?"))=0,0,IF('Calculations'!$EF$3="All",1,IF(COUNTIF('Calculations'!HO492:II492,"="&amp;SUBSTITUTE(SUBSTITUTE(SUBSTITUTE('Calculations'!$EF$3,"~","~~"),"*","~*"),"?","~?"))&gt;0,1,0))))),0))</x:f>
        <x:v>0</x:v>
      </x:c>
      <x:c r="EO492" s="4" t="str">
        <x:f>IF('Calculations'!IJ492="","",IF('Calculations'!IJ492="!UNRESOLVED","Unresolved hierarchy",IFERROR(INDEX('Calculations'!$HK$13:$HK$512,MATCH('Calculations'!IJ492,'Calculations'!$HE$13:$HE$512,0)),IFERROR(INDEX('Calculations'!$HJ$13:$HJ$512,MATCH('Calculations'!IJ492,'Calculations'!$HF$13:$HF$512,0)),'Calculations'!IJ492))))</x:f>
      </x:c>
      <x:c r="EP492" s="4" t="n">
        <x:f>IF(AND('Calculations'!EM492&lt;&gt;"",'Calculations'!HF492='Calculations'!IJ492),1,0)</x:f>
        <x:v>0</x:v>
      </x:c>
      <x:c r="EQ492" s="4"/>
      <x:c r="ER492" s="4"/>
      <x:c r="ES492" s="4"/>
      <x:c r="ET492" s="4"/>
      <x:c r="EU492" s="4"/>
      <x:c r="EV492" s="4"/>
      <x:c r="EW492" s="4"/>
      <x:c r="EX492" s="4"/>
      <x:c r="EY492" s="4"/>
      <x:c r="EZ492" s="4"/>
      <x:c r="FA492" s="4"/>
      <x:c r="FB492" s="4"/>
      <x:c r="FC492" s="4"/>
      <x:c r="FD492" s="4"/>
      <x:c r="FE492" s="4"/>
      <x:c r="FF492" s="4"/>
      <x:c r="FG492" s="4"/>
      <x:c r="FH492" s="4"/>
      <x:c r="FI492" s="4"/>
      <x:c r="FJ492" s="4"/>
      <x:c r="FK492" s="4"/>
      <x:c r="FL492" s="4"/>
      <x:c r="FM492" s="4"/>
      <x:c r="FN492" s="4"/>
      <x:c r="FO492" s="4"/>
      <x:c r="HE492" t="str">
        <x:f>IF('Calculations'!EM492="","",IF(IFERROR(IF(INDEX(INDIRECT("'WCM Calibration Final'!$A$1:$A$2000"),'Calculations'!$EM492)="","",TRIM(INDEX(INDIRECT("'WCM Calibration Final'!$A$1:$A$2000"),'Calculations'!$EM492)&amp;"")),"")&lt;&gt;"","G:"&amp;IFERROR(TEXT(1*INDEX(INDIRECT("'WCM Calibration Final'!$A$1:$A$2000"),'Calculations'!$EM492),"0"),UPPER(IFERROR(IF(INDEX(INDIRECT("'WCM Calibration Final'!$A$1:$A$2000"),'Calculations'!$EM492)="","",TRIM(INDEX(INDIRECT("'WCM Calibration Final'!$A$1:$A$2000"),'Calculations'!$EM492)&amp;"")),""))),IF(IFERROR(IF(INDEX(INDIRECT("'WCM Calibration Final'!$C$1:$C$2000"),'Calculations'!$EM492)="","",TRIM(INDEX(INDIRECT("'WCM Calibration Final'!$C$1:$C$2000"),'Calculations'!$EM492)&amp;"")),"")&lt;&gt;"","S:"&amp;UPPER(IFERROR(IF(INDEX(INDIRECT("'WCM Calibration Final'!$C$1:$C$2000"),'Calculations'!$EM492)="","",TRIM(INDEX(INDIRECT("'WCM Calibration Final'!$C$1:$C$2000"),'Calculations'!$EM492)&amp;"")),"")),"R:"&amp;'Calculations'!EM492)))</x:f>
      </x:c>
      <x:c r="HF492" t="str">
        <x:f>IF('Calculations'!EM492="","",IF(IFERROR(IF(INDEX(INDIRECT("'WCM Calibration Final'!$D$1:$D$2000"),'Calculations'!$EM492)="","",TRIM(INDEX(INDIRECT("'WCM Calibration Final'!$D$1:$D$2000"),'Calculations'!$EM492)&amp;"")),"")&lt;&gt;"","G:"&amp;IFERROR(TEXT(1*INDEX(INDIRECT("'WCM Calibration Final'!$D$1:$D$2000"),'Calculations'!$EM492),"0"),UPPER(IFERROR(IF(INDEX(INDIRECT("'WCM Calibration Final'!$D$1:$D$2000"),'Calculations'!$EM492)="","",TRIM(INDEX(INDIRECT("'WCM Calibration Final'!$D$1:$D$2000"),'Calculations'!$EM492)&amp;"")),""))),IF(IFERROR(IF(INDEX(INDIRECT("'WCM Calibration Final'!$E$1:$E$2000"),'Calculations'!$EM492)="","",TRIM(INDEX(INDIRECT("'WCM Calibration Final'!$E$1:$E$2000"),'Calculations'!$EM492)&amp;"")),"")="","",IF(COUNTIF('Calculations'!$HG$13:$HG$512,"="&amp;SUBSTITUTE(SUBSTITUTE(SUBSTITUTE(IFERROR(IF(INDEX(INDIRECT("'WCM Calibration Final'!$E$1:$E$2000"),'Calculations'!$EM492)="","",TRIM(INDEX(INDIRECT("'WCM Calibration Final'!$E$1:$E$2000"),'Calculations'!$EM492)&amp;"")),""),"~","~~"),"*","~*"),"?","~?"))=1,INDEX('Calculations'!$HE$13:$HE$512,MATCH(IFERROR(IF(INDEX(INDIRECT("'WCM Calibration Final'!$E$1:$E$2000"),'Calculations'!$EM492)="","",TRIM(INDEX(INDIRECT("'WCM Calibration Final'!$E$1:$E$2000"),'Calculations'!$EM492)&amp;"")),""),'Calculations'!$HG$13:$HG$512,0)),IF(COUNTIF('Calculations'!$HG$13:$HG$512,"="&amp;SUBSTITUTE(SUBSTITUTE(SUBSTITUTE(IFERROR(IF(INDEX(INDIRECT("'WCM Calibration Final'!$E$1:$E$2000"),'Calculations'!$EM492)="","",TRIM(INDEX(INDIRECT("'WCM Calibration Final'!$E$1:$E$2000"),'Calculations'!$EM492)&amp;"")),""),"~","~~"),"*","~*"),"?","~?"))&gt;1,"!AMBIG","X:"&amp;IFERROR(IF(INDEX(INDIRECT("'WCM Calibration Final'!$E$1:$E$2000"),'Calculations'!$EM492)="","",TRIM(INDEX(INDIRECT("'WCM Calibration Final'!$E$1:$E$2000"),'Calculations'!$EM492)&amp;"")),""))))))</x:f>
      </x:c>
      <x:c r="HG492" t="str">
        <x:f>IF('Calculations'!EM492="","",IFERROR(IF(INDEX(INDIRECT("'WCM Calibration Final'!$B$1:$B$2000"),'Calculations'!$EM492)="","",TRIM(INDEX(INDIRECT("'WCM Calibration Final'!$B$1:$B$2000"),'Calculations'!$EM492)&amp;"")),""))</x:f>
      </x:c>
      <x:c r="HH492" t="n">
        <x:f>IF(AND('Calculations'!JC492&gt;0,COUNTIF('Calculations'!$HF$12:HF492,"="&amp;SUBSTITUTE(SUBSTITUTE(SUBSTITUTE('Calculations'!HF492,"~","~~"),"*","~*"),"?","~?"))=1),MAX('Calculations'!$HH$12:HH491)+1,0)</x:f>
        <x:v>0</x:v>
      </x:c>
      <x:c r="HI492" t="n">
        <x:f>IF(AND('Calculations'!HN492&lt;&gt;"",COUNTIF('Calculations'!$HN$12:HN492,"="&amp;SUBSTITUTE(SUBSTITUTE(SUBSTITUTE('Calculations'!HN492,"~","~~"),"*","~*"),"?","~?"))=1),MAX('Calculations'!$HI$12:HI491)+1,0)</x:f>
        <x:v>0</x:v>
      </x:c>
      <x:c r="HJ492" t="str">
        <x:f>IF('Calculations'!HF492="","",IF(COUNTIF('Calculations'!$HE$13:$HE$512,"="&amp;SUBSTITUTE(SUBSTITUTE(SUBSTITUTE('Calculations'!HF492,"~","~~"),"*","~*"),"?","~?"))=1,INDEX('Calculations'!$HK$13:$HK$512,MATCH('Calculations'!HF492,'Calculations'!$HE$13:$HE$512,0)),IFERROR(IF(INDEX(INDIRECT("'WCM Calibration Final'!$E$1:$E$2000"),'Calculations'!$EM492)="","",TRIM(INDEX(INDIRECT("'WCM Calibration Final'!$E$1:$E$2000"),'Calculations'!$EM492)&amp;"")),"")&amp;" ["&amp;'Calculations'!HF492&amp;"]"))</x:f>
      </x:c>
      <x:c r="HK492" t="str">
        <x:f>IF('Calculations'!EM492="","",'Calculations'!HG492&amp;" ["&amp;'Calculations'!HE492&amp;"]")</x:f>
      </x:c>
      <x:c r="HL492" t="n">
        <x:f>IF('Calculations'!EM492="",0,IF(OR('Calculations'!II492&lt;&gt;"",COUNTIF('Calculations'!$HE$13:$HE$512,"="&amp;SUBSTITUTE(SUBSTITUTE(SUBSTITUTE('Calculations'!HE492,"~","~~"),"*","~*"),"?","~?"))&gt;1),1,0))</x:f>
        <x:v>0</x:v>
      </x:c>
      <x:c r="HM492" t="str">
        <x:f>IF('Calculations'!EM492="","",IF('Calculations'!HL492=1,"!UNRESOLVED",IF('Calculations'!IH492&lt;&gt;"",'Calculations'!IH492,IF('Calculations'!IG492&lt;&gt;"",'Calculations'!IG492,IF('Calculations'!IF492&lt;&gt;"",'Calculations'!IF492,IF('Calculations'!IE492&lt;&gt;"",'Calculations'!IE492,IF('Calculations'!ID492&lt;&gt;"",'Calculations'!ID492,IF('Calculations'!IC492&lt;&gt;"",'Calculations'!IC492,IF('Calculations'!IB492&lt;&gt;"",'Calculations'!IB492,IF('Calculations'!IA492&lt;&gt;"",'Calculations'!IA492,IF('Calculations'!HZ492&lt;&gt;"",'Calculations'!HZ492,IF('Calculations'!HY492&lt;&gt;"",'Calculations'!HY492,IF('Calculations'!HX492&lt;&gt;"",'Calculations'!HX492,IF('Calculations'!HW492&lt;&gt;"",'Calculations'!HW492,IF('Calculations'!HV492&lt;&gt;"",'Calculations'!HV492,IF('Calculations'!HU492&lt;&gt;"",'Calculations'!HU492,IF('Calculations'!HT492&lt;&gt;"",'Calculations'!HT492,IF('Calculations'!HS492&lt;&gt;"",'Calculations'!HS492,IF('Calculations'!HR492&lt;&gt;"",'Calculations'!HR492,IF('Calculations'!HQ492&lt;&gt;"",'Calculations'!HQ492,IF('Calculations'!HP492&lt;&gt;"",'Calculations'!HP492,IF('Calculations'!HO492&lt;&gt;"",'Calculations'!HO492,'Calculations'!HE492))))))))))))))))))))))</x:f>
      </x:c>
      <x:c r="HN492" t="str">
        <x:f>IF('Calculations'!EM492="","",IF(IFERROR(IF(INDEX(INDIRECT("'WCM Calibration Final'!$F$1:$F$2000"),'Calculations'!$EM492)="","",TRIM(INDEX(INDIRECT("'WCM Calibration Final'!$F$1:$F$2000"),'Calculations'!$EM492)&amp;"")),"")="","(Blank)",IFERROR(IF(INDEX(INDIRECT("'WCM Calibration Final'!$F$1:$F$2000"),'Calculations'!$EM492)="","",TRIM(INDEX(INDIRECT("'WCM Calibration Final'!$F$1:$F$2000"),'Calculations'!$EM492)&amp;"")),"")))</x:f>
      </x:c>
      <x:c r="HO492" t="str">
        <x:f>'Calculations'!HF492</x:f>
      </x:c>
      <x:c r="HP492" t="str">
        <x:f>IF('Calculations'!HO492="","",IF('Calculations'!HO492="!AMBIG","!AMBIG",IF(COUNTIF('Calculations'!$HE$13:$HE$512,"="&amp;SUBSTITUTE(SUBSTITUTE(SUBSTITUTE('Calculations'!HO492,"~","~~"),"*","~*"),"?","~?"))&gt;1,"!AMBIG",IFERROR(INDEX('Calculations'!$HF$13:$HF$512,MATCH('Calculations'!HO492,'Calculations'!$HE$13:$HE$512,0)),""))))</x:f>
      </x:c>
      <x:c r="HQ492" t="str">
        <x:f>IF('Calculations'!HP492="","",IF('Calculations'!HP492="!AMBIG","!AMBIG",IF(COUNTIF('Calculations'!$HE$13:$HE$512,"="&amp;SUBSTITUTE(SUBSTITUTE(SUBSTITUTE('Calculations'!HP492,"~","~~"),"*","~*"),"?","~?"))&gt;1,"!AMBIG",IFERROR(INDEX('Calculations'!$HF$13:$HF$512,MATCH('Calculations'!HP492,'Calculations'!$HE$13:$HE$512,0)),""))))</x:f>
      </x:c>
      <x:c r="HR492" t="str">
        <x:f>IF('Calculations'!HQ492="","",IF('Calculations'!HQ492="!AMBIG","!AMBIG",IF(COUNTIF('Calculations'!$HE$13:$HE$512,"="&amp;SUBSTITUTE(SUBSTITUTE(SUBSTITUTE('Calculations'!HQ492,"~","~~"),"*","~*"),"?","~?"))&gt;1,"!AMBIG",IFERROR(INDEX('Calculations'!$HF$13:$HF$512,MATCH('Calculations'!HQ492,'Calculations'!$HE$13:$HE$512,0)),""))))</x:f>
      </x:c>
      <x:c r="HS492" t="str">
        <x:f>IF('Calculations'!HR492="","",IF('Calculations'!HR492="!AMBIG","!AMBIG",IF(COUNTIF('Calculations'!$HE$13:$HE$512,"="&amp;SUBSTITUTE(SUBSTITUTE(SUBSTITUTE('Calculations'!HR492,"~","~~"),"*","~*"),"?","~?"))&gt;1,"!AMBIG",IFERROR(INDEX('Calculations'!$HF$13:$HF$512,MATCH('Calculations'!HR492,'Calculations'!$HE$13:$HE$512,0)),""))))</x:f>
      </x:c>
      <x:c r="HT492" t="str">
        <x:f>IF('Calculations'!HS492="","",IF('Calculations'!HS492="!AMBIG","!AMBIG",IF(COUNTIF('Calculations'!$HE$13:$HE$512,"="&amp;SUBSTITUTE(SUBSTITUTE(SUBSTITUTE('Calculations'!HS492,"~","~~"),"*","~*"),"?","~?"))&gt;1,"!AMBIG",IFERROR(INDEX('Calculations'!$HF$13:$HF$512,MATCH('Calculations'!HS492,'Calculations'!$HE$13:$HE$512,0)),""))))</x:f>
      </x:c>
      <x:c r="HU492" t="str">
        <x:f>IF('Calculations'!HT492="","",IF('Calculations'!HT492="!AMBIG","!AMBIG",IF(COUNTIF('Calculations'!$HE$13:$HE$512,"="&amp;SUBSTITUTE(SUBSTITUTE(SUBSTITUTE('Calculations'!HT492,"~","~~"),"*","~*"),"?","~?"))&gt;1,"!AMBIG",IFERROR(INDEX('Calculations'!$HF$13:$HF$512,MATCH('Calculations'!HT492,'Calculations'!$HE$13:$HE$512,0)),""))))</x:f>
      </x:c>
      <x:c r="HV492" t="str">
        <x:f>IF('Calculations'!HU492="","",IF('Calculations'!HU492="!AMBIG","!AMBIG",IF(COUNTIF('Calculations'!$HE$13:$HE$512,"="&amp;SUBSTITUTE(SUBSTITUTE(SUBSTITUTE('Calculations'!HU492,"~","~~"),"*","~*"),"?","~?"))&gt;1,"!AMBIG",IFERROR(INDEX('Calculations'!$HF$13:$HF$512,MATCH('Calculations'!HU492,'Calculations'!$HE$13:$HE$512,0)),""))))</x:f>
      </x:c>
      <x:c r="HW492" t="str">
        <x:f>IF('Calculations'!HV492="","",IF('Calculations'!HV492="!AMBIG","!AMBIG",IF(COUNTIF('Calculations'!$HE$13:$HE$512,"="&amp;SUBSTITUTE(SUBSTITUTE(SUBSTITUTE('Calculations'!HV492,"~","~~"),"*","~*"),"?","~?"))&gt;1,"!AMBIG",IFERROR(INDEX('Calculations'!$HF$13:$HF$512,MATCH('Calculations'!HV492,'Calculations'!$HE$13:$HE$512,0)),""))))</x:f>
      </x:c>
      <x:c r="HX492" t="str">
        <x:f>IF('Calculations'!HW492="","",IF('Calculations'!HW492="!AMBIG","!AMBIG",IF(COUNTIF('Calculations'!$HE$13:$HE$512,"="&amp;SUBSTITUTE(SUBSTITUTE(SUBSTITUTE('Calculations'!HW492,"~","~~"),"*","~*"),"?","~?"))&gt;1,"!AMBIG",IFERROR(INDEX('Calculations'!$HF$13:$HF$512,MATCH('Calculations'!HW492,'Calculations'!$HE$13:$HE$512,0)),""))))</x:f>
      </x:c>
      <x:c r="HY492" t="str">
        <x:f>IF('Calculations'!HX492="","",IF('Calculations'!HX492="!AMBIG","!AMBIG",IF(COUNTIF('Calculations'!$HE$13:$HE$512,"="&amp;SUBSTITUTE(SUBSTITUTE(SUBSTITUTE('Calculations'!HX492,"~","~~"),"*","~*"),"?","~?"))&gt;1,"!AMBIG",IFERROR(INDEX('Calculations'!$HF$13:$HF$512,MATCH('Calculations'!HX492,'Calculations'!$HE$13:$HE$512,0)),""))))</x:f>
      </x:c>
      <x:c r="HZ492" t="str">
        <x:f>IF('Calculations'!HY492="","",IF('Calculations'!HY492="!AMBIG","!AMBIG",IF(COUNTIF('Calculations'!$HE$13:$HE$512,"="&amp;SUBSTITUTE(SUBSTITUTE(SUBSTITUTE('Calculations'!HY492,"~","~~"),"*","~*"),"?","~?"))&gt;1,"!AMBIG",IFERROR(INDEX('Calculations'!$HF$13:$HF$512,MATCH('Calculations'!HY492,'Calculations'!$HE$13:$HE$512,0)),""))))</x:f>
      </x:c>
      <x:c r="IA492" t="str">
        <x:f>IF('Calculations'!HZ492="","",IF('Calculations'!HZ492="!AMBIG","!AMBIG",IF(COUNTIF('Calculations'!$HE$13:$HE$512,"="&amp;SUBSTITUTE(SUBSTITUTE(SUBSTITUTE('Calculations'!HZ492,"~","~~"),"*","~*"),"?","~?"))&gt;1,"!AMBIG",IFERROR(INDEX('Calculations'!$HF$13:$HF$512,MATCH('Calculations'!HZ492,'Calculations'!$HE$13:$HE$512,0)),""))))</x:f>
      </x:c>
      <x:c r="IB492" t="str">
        <x:f>IF('Calculations'!IA492="","",IF('Calculations'!IA492="!AMBIG","!AMBIG",IF(COUNTIF('Calculations'!$HE$13:$HE$512,"="&amp;SUBSTITUTE(SUBSTITUTE(SUBSTITUTE('Calculations'!IA492,"~","~~"),"*","~*"),"?","~?"))&gt;1,"!AMBIG",IFERROR(INDEX('Calculations'!$HF$13:$HF$512,MATCH('Calculations'!IA492,'Calculations'!$HE$13:$HE$512,0)),""))))</x:f>
      </x:c>
      <x:c r="IC492" t="str">
        <x:f>IF('Calculations'!IB492="","",IF('Calculations'!IB492="!AMBIG","!AMBIG",IF(COUNTIF('Calculations'!$HE$13:$HE$512,"="&amp;SUBSTITUTE(SUBSTITUTE(SUBSTITUTE('Calculations'!IB492,"~","~~"),"*","~*"),"?","~?"))&gt;1,"!AMBIG",IFERROR(INDEX('Calculations'!$HF$13:$HF$512,MATCH('Calculations'!IB492,'Calculations'!$HE$13:$HE$512,0)),""))))</x:f>
      </x:c>
      <x:c r="ID492" t="str">
        <x:f>IF('Calculations'!IC492="","",IF('Calculations'!IC492="!AMBIG","!AMBIG",IF(COUNTIF('Calculations'!$HE$13:$HE$512,"="&amp;SUBSTITUTE(SUBSTITUTE(SUBSTITUTE('Calculations'!IC492,"~","~~"),"*","~*"),"?","~?"))&gt;1,"!AMBIG",IFERROR(INDEX('Calculations'!$HF$13:$HF$512,MATCH('Calculations'!IC492,'Calculations'!$HE$13:$HE$512,0)),""))))</x:f>
      </x:c>
      <x:c r="IE492" t="str">
        <x:f>IF('Calculations'!ID492="","",IF('Calculations'!ID492="!AMBIG","!AMBIG",IF(COUNTIF('Calculations'!$HE$13:$HE$512,"="&amp;SUBSTITUTE(SUBSTITUTE(SUBSTITUTE('Calculations'!ID492,"~","~~"),"*","~*"),"?","~?"))&gt;1,"!AMBIG",IFERROR(INDEX('Calculations'!$HF$13:$HF$512,MATCH('Calculations'!ID492,'Calculations'!$HE$13:$HE$512,0)),""))))</x:f>
      </x:c>
      <x:c r="IF492" t="str">
        <x:f>IF('Calculations'!IE492="","",IF('Calculations'!IE492="!AMBIG","!AMBIG",IF(COUNTIF('Calculations'!$HE$13:$HE$512,"="&amp;SUBSTITUTE(SUBSTITUTE(SUBSTITUTE('Calculations'!IE492,"~","~~"),"*","~*"),"?","~?"))&gt;1,"!AMBIG",IFERROR(INDEX('Calculations'!$HF$13:$HF$512,MATCH('Calculations'!IE492,'Calculations'!$HE$13:$HE$512,0)),""))))</x:f>
      </x:c>
      <x:c r="IG492" t="str">
        <x:f>IF('Calculations'!IF492="","",IF('Calculations'!IF492="!AMBIG","!AMBIG",IF(COUNTIF('Calculations'!$HE$13:$HE$512,"="&amp;SUBSTITUTE(SUBSTITUTE(SUBSTITUTE('Calculations'!IF492,"~","~~"),"*","~*"),"?","~?"))&gt;1,"!AMBIG",IFERROR(INDEX('Calculations'!$HF$13:$HF$512,MATCH('Calculations'!IF492,'Calculations'!$HE$13:$HE$512,0)),""))))</x:f>
      </x:c>
      <x:c r="IH492" t="str">
        <x:f>IF('Calculations'!IG492="","",IF('Calculations'!IG492="!AMBIG","!AMBIG",IF(COUNTIF('Calculations'!$HE$13:$HE$512,"="&amp;SUBSTITUTE(SUBSTITUTE(SUBSTITUTE('Calculations'!IG492,"~","~~"),"*","~*"),"?","~?"))&gt;1,"!AMBIG",IFERROR(INDEX('Calculations'!$HF$13:$HF$512,MATCH('Calculations'!IG492,'Calculations'!$HE$13:$HE$512,0)),""))))</x:f>
      </x:c>
      <x:c r="II492" t="str">
        <x:f>IF('Calculations'!IH492="","",IF('Calculations'!IH492="!AMBIG","!AMBIG",IF(COUNTIF('Calculations'!$HE$13:$HE$512,"="&amp;SUBSTITUTE(SUBSTITUTE(SUBSTITUTE('Calculations'!IH492,"~","~~"),"*","~*"),"?","~?"))&gt;1,"!AMBIG",IFERROR(INDEX('Calculations'!$HF$13:$HF$512,MATCH('Calculations'!IH492,'Calculations'!$HE$13:$HE$512,0)),""))))</x:f>
      </x:c>
      <x:c r="IJ492" t="str">
        <x:f>IF('Calculations'!EM492="","",IF('Calculations'!$EF$2="All",'Calculations'!HM492,IF('Calculations'!HL492=1,"",IFERROR(IF(MATCH('Calculations'!$EF$2,'Calculations'!HO492:II492,0)=1,'Calculations'!HE492,INDEX('Calculations'!HO492:II492,1,MATCH('Calculations'!$EF$2,'Calculations'!HO492:II492,0)-1)),""))))</x:f>
      </x:c>
      <x:c r="IK492" t="n">
        <x:f>IF(AND('Calculations'!EM492&lt;&gt;"",'Calculations'!$EF$2&lt;&gt;"All",'Calculations'!HF492='Calculations'!$EF$2,'Calculations'!HL492=0,'Calculations'!JD492&gt;0),MAX('Calculations'!$IK$12:IK491)+1,0)</x:f>
        <x:v>0</x:v>
      </x:c>
      <x:c r="JA492" t="n">
        <x:f>IF(OR(IFERROR(INDIRECT("'WCM Calibration Final'!$A$492")&lt;&gt;"",FALSE),IFERROR(INDIRECT("'WCM Calibration Final'!$B$492")&lt;&gt;"",FALSE),IFERROR(INDIRECT("'WCM Calibration Final'!$C$492")&lt;&gt;"",FALSE)),492,0)</x:f>
        <x:v>0</x:v>
      </x:c>
      <x:c r="JB492" t="n">
        <x:f>'Calculations'!JB491+IF('Calculations'!JA492&gt;0,1,0)</x:f>
        <x:v>0</x:v>
      </x:c>
      <x:c r="JC492" t="n">
        <x:f>IF(OR('Calculations'!HF492="",'Calculations'!HF492="!AMBIG"),0,IF('Dashboard'!$B$7="All",1,COUNTIFS('Calculations'!$HO$13:$HO$512,"="&amp;SUBSTITUTE(SUBSTITUTE(SUBSTITUTE('Calculations'!HF492,"~","~~"),"*","~*"),"?","~?"),'Calculations'!$HN$13:$HN$512,"="&amp;SUBSTITUTE(SUBSTITUTE(SUBSTITUTE('Dashboard'!$B$7,"~","~~"),"*","~*"),"?","~?"))+COUNTIFS('Calculations'!$HP$13:$HP$512,"="&amp;SUBSTITUTE(SUBSTITUTE(SUBSTITUTE('Calculations'!HF492,"~","~~"),"*","~*"),"?","~?"),'Calculations'!$HN$13:$HN$512,"="&amp;SUBSTITUTE(SUBSTITUTE(SUBSTITUTE('Dashboard'!$B$7,"~","~~"),"*","~*"),"?","~?"))+COUNTIFS('Calculations'!$HQ$13:$HQ$512,"="&amp;SUBSTITUTE(SUBSTITUTE(SUBSTITUTE('Calculations'!HF492,"~","~~"),"*","~*"),"?","~?"),'Calculations'!$HN$13:$HN$512,"="&amp;SUBSTITUTE(SUBSTITUTE(SUBSTITUTE('Dashboard'!$B$7,"~","~~"),"*","~*"),"?","~?"))+COUNTIFS('Calculations'!$HR$13:$HR$512,"="&amp;SUBSTITUTE(SUBSTITUTE(SUBSTITUTE('Calculations'!HF492,"~","~~"),"*","~*"),"?","~?"),'Calculations'!$HN$13:$HN$512,"="&amp;SUBSTITUTE(SUBSTITUTE(SUBSTITUTE('Dashboard'!$B$7,"~","~~"),"*","~*"),"?","~?"))+COUNTIFS('Calculations'!$HS$13:$HS$512,"="&amp;SUBSTITUTE(SUBSTITUTE(SUBSTITUTE('Calculations'!HF492,"~","~~"),"*","~*"),"?","~?"),'Calculations'!$HN$13:$HN$512,"="&amp;SUBSTITUTE(SUBSTITUTE(SUBSTITUTE('Dashboard'!$B$7,"~","~~"),"*","~*"),"?","~?"))+COUNTIFS('Calculations'!$HT$13:$HT$512,"="&amp;SUBSTITUTE(SUBSTITUTE(SUBSTITUTE('Calculations'!HF492,"~","~~"),"*","~*"),"?","~?"),'Calculations'!$HN$13:$HN$512,"="&amp;SUBSTITUTE(SUBSTITUTE(SUBSTITUTE('Dashboard'!$B$7,"~","~~"),"*","~*"),"?","~?"))+COUNTIFS('Calculations'!$HU$13:$HU$512,"="&amp;SUBSTITUTE(SUBSTITUTE(SUBSTITUTE('Calculations'!HF492,"~","~~"),"*","~*"),"?","~?"),'Calculations'!$HN$13:$HN$512,"="&amp;SUBSTITUTE(SUBSTITUTE(SUBSTITUTE('Dashboard'!$B$7,"~","~~"),"*","~*"),"?","~?"))+COUNTIFS('Calculations'!$HV$13:$HV$512,"="&amp;SUBSTITUTE(SUBSTITUTE(SUBSTITUTE('Calculations'!HF492,"~","~~"),"*","~*"),"?","~?"),'Calculations'!$HN$13:$HN$512,"="&amp;SUBSTITUTE(SUBSTITUTE(SUBSTITUTE('Dashboard'!$B$7,"~","~~"),"*","~*"),"?","~?"))+COUNTIFS('Calculations'!$HW$13:$HW$512,"="&amp;SUBSTITUTE(SUBSTITUTE(SUBSTITUTE('Calculations'!HF492,"~","~~"),"*","~*"),"?","~?"),'Calculations'!$HN$13:$HN$512,"="&amp;SUBSTITUTE(SUBSTITUTE(SUBSTITUTE('Dashboard'!$B$7,"~","~~"),"*","~*"),"?","~?"))+COUNTIFS('Calculations'!$HX$13:$HX$512,"="&amp;SUBSTITUTE(SUBSTITUTE(SUBSTITUTE('Calculations'!HF492,"~","~~"),"*","~*"),"?","~?"),'Calculations'!$HN$13:$HN$512,"="&amp;SUBSTITUTE(SUBSTITUTE(SUBSTITUTE('Dashboard'!$B$7,"~","~~"),"*","~*"),"?","~?"))+COUNTIFS('Calculations'!$HY$13:$HY$512,"="&amp;SUBSTITUTE(SUBSTITUTE(SUBSTITUTE('Calculations'!HF492,"~","~~"),"*","~*"),"?","~?"),'Calculations'!$HN$13:$HN$512,"="&amp;SUBSTITUTE(SUBSTITUTE(SUBSTITUTE('Dashboard'!$B$7,"~","~~"),"*","~*"),"?","~?"))+COUNTIFS('Calculations'!$HZ$13:$HZ$512,"="&amp;SUBSTITUTE(SUBSTITUTE(SUBSTITUTE('Calculations'!HF492,"~","~~"),"*","~*"),"?","~?"),'Calculations'!$HN$13:$HN$512,"="&amp;SUBSTITUTE(SUBSTITUTE(SUBSTITUTE('Dashboard'!$B$7,"~","~~"),"*","~*"),"?","~?"))+COUNTIFS('Calculations'!$IA$13:$IA$512,"="&amp;SUBSTITUTE(SUBSTITUTE(SUBSTITUTE('Calculations'!HF492,"~","~~"),"*","~*"),"?","~?"),'Calculations'!$HN$13:$HN$512,"="&amp;SUBSTITUTE(SUBSTITUTE(SUBSTITUTE('Dashboard'!$B$7,"~","~~"),"*","~*"),"?","~?"))+COUNTIFS('Calculations'!$IB$13:$IB$512,"="&amp;SUBSTITUTE(SUBSTITUTE(SUBSTITUTE('Calculations'!HF492,"~","~~"),"*","~*"),"?","~?"),'Calculations'!$HN$13:$HN$512,"="&amp;SUBSTITUTE(SUBSTITUTE(SUBSTITUTE('Dashboard'!$B$7,"~","~~"),"*","~*"),"?","~?"))+COUNTIFS('Calculations'!$IC$13:$IC$512,"="&amp;SUBSTITUTE(SUBSTITUTE(SUBSTITUTE('Calculations'!HF492,"~","~~"),"*","~*"),"?","~?"),'Calculations'!$HN$13:$HN$512,"="&amp;SUBSTITUTE(SUBSTITUTE(SUBSTITUTE('Dashboard'!$B$7,"~","~~"),"*","~*"),"?","~?"))+COUNTIFS('Calculations'!$ID$13:$ID$512,"="&amp;SUBSTITUTE(SUBSTITUTE(SUBSTITUTE('Calculations'!HF492,"~","~~"),"*","~*"),"?","~?"),'Calculations'!$HN$13:$HN$512,"="&amp;SUBSTITUTE(SUBSTITUTE(SUBSTITUTE('Dashboard'!$B$7,"~","~~"),"*","~*"),"?","~?"))+COUNTIFS('Calculations'!$IE$13:$IE$512,"="&amp;SUBSTITUTE(SUBSTITUTE(SUBSTITUTE('Calculations'!HF492,"~","~~"),"*","~*"),"?","~?"),'Calculations'!$HN$13:$HN$512,"="&amp;SUBSTITUTE(SUBSTITUTE(SUBSTITUTE('Dashboard'!$B$7,"~","~~"),"*","~*"),"?","~?"))+COUNTIFS('Calculations'!$IF$13:$IF$512,"="&amp;SUBSTITUTE(SUBSTITUTE(SUBSTITUTE('Calculations'!HF492,"~","~~"),"*","~*"),"?","~?"),'Calculations'!$HN$13:$HN$512,"="&amp;SUBSTITUTE(SUBSTITUTE(SUBSTITUTE('Dashboard'!$B$7,"~","~~"),"*","~*"),"?","~?"))+COUNTIFS('Calculations'!$IG$13:$IG$512,"="&amp;SUBSTITUTE(SUBSTITUTE(SUBSTITUTE('Calculations'!HF492,"~","~~"),"*","~*"),"?","~?"),'Calculations'!$HN$13:$HN$512,"="&amp;SUBSTITUTE(SUBSTITUTE(SUBSTITUTE('Dashboard'!$B$7,"~","~~"),"*","~*"),"?","~?"))+COUNTIFS('Calculations'!$IH$13:$IH$512,"="&amp;SUBSTITUTE(SUBSTITUTE(SUBSTITUTE('Calculations'!HF492,"~","~~"),"*","~*"),"?","~?"),'Calculations'!$HN$13:$HN$512,"="&amp;SUBSTITUTE(SUBSTITUTE(SUBSTITUTE('Dashboard'!$B$7,"~","~~"),"*","~*"),"?","~?"))))</x:f>
        <x:v>0</x:v>
      </x:c>
      <x:c r="JD492" t="n">
        <x:f>IF('Calculations'!EM492="",0,IF('Dashboard'!$B$7="All",1,IF('Calculations'!HN492='Dashboard'!$B$7,1,0)+IFERROR(INDEX('Calculations'!$JC$13:$JC$512,MATCH('Calculations'!HE492,'Calculations'!$HF$13:$HF$512,0)),0)))</x:f>
        <x:v>0</x:v>
      </x:c>
      <x:c r="JE492" t="n">
        <x:f>IF(AND('Calculations'!EM492&lt;&gt;"",'Calculations'!$JJ$2&lt;&gt;"All",'Calculations'!$JJ$2&lt;&gt;"",'Calculations'!HF492='Calculations'!$JJ$2,'Calculations'!HL492=0,'Calculations'!JD492&gt;0),MAX('Calculations'!$JE$12:JE491)+1,0)</x:f>
        <x:v>0</x:v>
      </x:c>
      <x:c r="JF492" t="str">
        <x:f>IF('Calculations'!EM492="","",IFERROR(IF(INDEX(INDIRECT("'WCM Calibration Final'!$G$1:$G$2000"),'Calculations'!$EM492)="","",TRIM(INDEX(INDIRECT("'WCM Calibration Final'!$G$1:$G$2000"),'Calculations'!$EM492)&amp;"")),""))</x:f>
      </x:c>
      <x:c r="JQ492" t="n">
        <x:f>IF(OR('Calculations'!BM492=0,NOT('Calculations'!$AG$2),'Calculations'!$AG$8&gt;0),0,IF(OR('Dashboard'!$B$7="All",'Calculations'!HN492='Dashboard'!$B$7),IF('Calculations'!$JJ$2="All",1,IF(AND('Calculations'!HF492='Calculations'!$JJ$2,'Calculations'!HL492=0),1,0)),0))</x:f>
        <x:v>0</x:v>
      </x:c>
    </x:row>
    <x:row r="493">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t="n">
        <x:f>IF('Calculations'!$EM493="",0,IF(OR(IFERROR(INDEX(INDIRECT("'WCM Calibration Final'!$A$1:$A$2000"),'Calculations'!$EM493)&lt;&gt;"",FALSE),IFERROR(INDEX(INDIRECT("'WCM Calibration Final'!$B$1:$B$2000"),'Calculations'!$EM493)&lt;&gt;"",FALSE),IFERROR(INDEX(INDIRECT("'WCM Calibration Final'!$C$1:$C$2000"),'Calculations'!$EM493)&lt;&gt;"",FALSE)),1,0))</x:f>
        <x:v>0</x:v>
      </x:c>
      <x:c r="BN493" s="4" t="n">
        <x:f>IF(AND('Calculations'!BM493=1,'Calculations'!$AG$2,'Calculations'!$EN493=1),1,0)</x:f>
        <x:v>0</x:v>
      </x:c>
      <x:c r="BO493" s="4" t="str">
        <x:f>IF('Calculations'!BM493=0,"",IFERROR(IF(AND(VALUE(INDEX(INDIRECT("'WCM Calibration Final'!$K$1:$K$2000"),'Calculations'!$EM493))&gt;=1,VALUE(INDEX(INDIRECT("'WCM Calibration Final'!$K$1:$K$2000"),'Calculations'!$EM493))&lt;=4,MOD(VALUE(INDEX(INDIRECT("'WCM Calibration Final'!$K$1:$K$2000"),'Calculations'!$EM493)),1)=0),VALUE(INDEX(INDIRECT("'WCM Calibration Final'!$K$1:$K$2000"),'Calculations'!$EM493)),""),""))</x:f>
      </x:c>
      <x:c r="BP493" s="4" t="str">
        <x:f>IF('Calculations'!BM493=0,"",IFERROR(IF(AND(VALUE(INDEX(INDIRECT("'WCM Calibration Final'!$L$1:$L$2000"),'Calculations'!$EM493))&gt;=1,VALUE(INDEX(INDIRECT("'WCM Calibration Final'!$L$1:$L$2000"),'Calculations'!$EM493))&lt;=4,MOD(VALUE(INDEX(INDIRECT("'WCM Calibration Final'!$L$1:$L$2000"),'Calculations'!$EM493)),1)=0),VALUE(INDEX(INDIRECT("'WCM Calibration Final'!$L$1:$L$2000"),'Calculations'!$EM493)),""),""))</x:f>
      </x:c>
      <x:c r="BQ493" s="4"/>
      <x:c r="BR493" s="4"/>
      <x:c r="BS493" s="4"/>
      <x:c r="BT493" s="4" t="n">
        <x:f>IF(AND('Calculations'!BM493=1,ISNUMBER('Calculations'!BO493),ISNUMBER('Calculations'!BP493)),1,0)</x:f>
        <x:v>0</x:v>
      </x:c>
      <x:c r="BU493" s="4" t="str">
        <x:f>IF('Calculations'!BM493=0,"",'Calculations'!$EO493)</x:f>
      </x:c>
      <x:c r="BV493" s="4" t="str">
        <x:f>IF('Calculations'!BM493=0,"",IFERROR(IF(OR(INDEX(INDIRECT("'WCM Calibration Final'!$H$1:$H$2000"),'Calculations'!$EM493)="MANAGING DIRECTOR",INDEX(INDIRECT("'WCM Calibration Final'!$H$1:$H$2000"),'Calculations'!$EM493)="DIRECTOR",INDEX(INDIRECT("'WCM Calibration Final'!$H$1:$H$2000"),'Calculations'!$EM493)="SENIOR VICE PRESIDENT",INDEX(INDIRECT("'WCM Calibration Final'!$H$1:$H$2000"),'Calculations'!$EM493)="VICE PRESIDENT",INDEX(INDIRECT("'WCM Calibration Final'!$H$1:$H$2000"),'Calculations'!$EM493)="ASSISTANT VICE PRESIDENT",INDEX(INDIRECT("'WCM Calibration Final'!$H$1:$H$2000"),'Calculations'!$EM493)="OFFICER"),UPPER(INDEX(INDIRECT("'WCM Calibration Final'!$H$1:$H$2000"),'Calculations'!$EM493)),"Other"),"Other"))</x:f>
      </x:c>
      <x:c r="BW493" s="4"/>
      <x:c r="BX493" s="4"/>
      <x:c r="BY493" s="4" t="n">
        <x:f>IF(AND('Calculations'!BM493=1,'Calculations'!BU493&lt;&gt;"",COUNTIF('Calculations'!$BU$12:BU493,'Calculations'!BU493)=1),MAX('Calculations'!$BY$11:BY492)+1,0)</x:f>
        <x:v>0</x:v>
      </x:c>
      <x:c r="BZ493" s="4" t="str">
        <x:f>IF('Dashboard'!$E$67="What",'Calculations'!BO493,'Calculations'!BP493)</x:f>
      </x:c>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t="str">
        <x:f>IF(482&gt;MAX('Calculations'!$HI$13:$HI$512),"",INDEX('Calculations'!$HN$13:$HN$512,MATCH(482,'Calculations'!$HI$13:$HI$512,0)))</x:f>
      </x:c>
      <x:c r="DB493" s="4" t="str">
        <x:f>IF(482&gt;MAX('Calculations'!$HH$13:$HH$512),"",INDEX('Calculations'!$HJ$13:$HJ$512,MATCH(482,'Calculations'!$HH$13:$HH$512,0)))</x:f>
      </x:c>
      <x:c r="DC493" s="4" t="str">
        <x:f>IF(ROW()-11&gt;MAX('Calculations'!$BY$13:$BY$512),"",INDEX('Calculations'!$BU$13:$BU$512,MATCH(ROW()-11,'Calculations'!$BY$13:$BY$512,0)))</x:f>
      </x:c>
      <x:c r="DD493" s="4" t="str">
        <x:f>IF(482&gt;MAX('Calculations'!$IK$13:$IK$512),"",INDEX('Calculations'!$HK$13:$HK$512,MATCH(482,'Calculations'!$IK$13:$IK$512,0)))</x:f>
      </x:c>
      <x:c r="DE493" s="4" t="str">
        <x:f>'Calculations'!DC493</x:f>
      </x:c>
      <x:c r="DF493" s="4" t="str">
        <x:f>IF('Calculations'!DE493="","",COUNTIFS('Calculations'!$BN$13:$BN$512,1,'Calculations'!$BU$13:$BU$512,'Calculations'!DE493))</x:f>
      </x:c>
      <x:c r="DG493" s="4" t="str">
        <x:f>IF('Calculations'!DE493="","",COUNTIFS('Calculations'!$BN$13:$BN$512,1,'Calculations'!$BU$13:$BU$512,'Calculations'!DE493,'Calculations'!$BT$13:$BT$512,1))</x:f>
      </x:c>
      <x:c r="DH493" s="4" t="str">
        <x:f>IF('Calculations'!DE493="","",'Calculations'!DF493-'Calculations'!DG493)</x:f>
      </x:c>
      <x:c r="DI493" s="4" t="str">
        <x:f>IF(OR('Calculations'!DE493="",'Calculations'!DF493=0),"",'Calculations'!DG493/'Calculations'!DF493)</x:f>
      </x:c>
      <x:c r="DJ493" s="4" t="str">
        <x:f>IF('Calculations'!DE493="","",COUNTIFS('Calculations'!$BN$13:$BN$512,1,'Calculations'!$BU$13:$BU$512,'Calculations'!DE493,'Calculations'!$BT$13:$BT$512,1,'Calculations'!$EE$13:$EE$512,"High"))</x:f>
      </x:c>
      <x:c r="DK493" s="4" t="str">
        <x:f>IF('Calculations'!DE493="","",COUNTIFS('Calculations'!$BN$13:$BN$512,1,'Calculations'!$BU$13:$BU$512,'Calculations'!DE493,'Calculations'!$BT$13:$BT$512,1,'Calculations'!$EE$13:$EE$512,"Strong"))</x:f>
      </x:c>
      <x:c r="DL493" s="4" t="str">
        <x:f>IF('Calculations'!DE493="","",COUNTIFS('Calculations'!$BN$13:$BN$512,1,'Calculations'!$BU$13:$BU$512,'Calculations'!DE493,'Calculations'!$BT$13:$BT$512,1,'Calculations'!$EE$13:$EE$512,"Solid"))</x:f>
      </x:c>
      <x:c r="DM493" s="4" t="str">
        <x:f>IF('Calculations'!DE493="","",COUNTIFS('Calculations'!$BN$13:$BN$512,1,'Calculations'!$BU$13:$BU$512,'Calculations'!DE493,'Calculations'!$BT$13:$BT$512,1,'Calculations'!$EE$13:$EE$512,"Low"))</x:f>
      </x:c>
      <x:c r="DN493" s="4" t="str">
        <x:f>IF('Calculations'!DE493="","",COUNTIFS('Calculations'!$BN$13:$BN$512,1,'Calculations'!$BU$13:$BU$512,'Calculations'!DE493,'Calculations'!$EP$13:$EP$512,1))</x:f>
      </x:c>
      <x:c r="DO493" s="4" t="str">
        <x:f>IF(OR('Calculations'!DE493="",'Calculations'!DG493=0),"",('Calculations'!DJ493+'Calculations'!DK493)/'Calculations'!DG493)</x:f>
      </x:c>
      <x:c r="DP493" s="4" t="n">
        <x:f>IF(AND('Calculations'!DE493&lt;&gt;"",'Calculations'!DF493&gt;0),COUNTIF('Calculations'!$DF$12:DF493,"&gt;0"),0)</x:f>
        <x:v>0</x:v>
      </x:c>
      <x:c r="DQ493" s="4" t="str">
        <x:f>IF(482&gt;MAX('Calculations'!$HH$13:$HH$512),"",INDEX('Calculations'!$HF$13:$HF$512,MATCH(482,'Calculations'!$HH$13:$HH$512,0)))</x:f>
      </x:c>
      <x:c r="DR493" s="4" t="str">
        <x:f>IF(482&gt;MAX('Calculations'!$IK$13:$IK$512),"",INDEX('Calculations'!$HE$13:$HE$512,MATCH(482,'Calculations'!$IK$13:$IK$512,0)))</x:f>
      </x:c>
      <x:c r="DS493" s="4"/>
      <x:c r="DT493" s="4"/>
      <x:c r="DU493" s="4"/>
      <x:c r="DV493" s="4"/>
      <x:c r="DW493" s="4"/>
      <x:c r="DX493" s="4"/>
      <x:c r="DY493" s="4"/>
      <x:c r="DZ493" s="4"/>
      <x:c r="EA493" s="4"/>
      <x:c r="EB493" s="4"/>
      <x:c r="EC493" s="4"/>
      <x:c r="ED493" s="4"/>
      <x:c r="EE493" s="4" t="str">
        <x:f>IF('Calculations'!BT493=0,"Not Rated",IF(OR('Calculations'!BO493&gt;=4,'Calculations'!BP493&gt;=4),"Low",IF('Calculations'!BO493+'Calculations'!BP493&lt;=3,"High",IF('Calculations'!BO493+'Calculations'!BP493&lt;=4,"Strong","Solid"))))</x:f>
        <x:v>Not Rated</x:v>
      </x:c>
      <x:c r="EF493" s="4"/>
      <x:c r="EG493" s="4"/>
      <x:c r="EH493" s="4"/>
      <x:c r="EI493" s="4"/>
      <x:c r="EJ493" s="4"/>
      <x:c r="EK493" s="4"/>
      <x:c r="EL493" s="4"/>
      <x:c r="EM493" s="4" t="str">
        <x:f>IF(481&gt;'Calculations'!$JB$2000,"",INDEX('Calculations'!$JA$12:$JA$2000,MATCH(481,'Calculations'!$JB$12:$JB$2000,0)))</x:f>
      </x:c>
      <x:c r="EN493" s="4" t="n">
        <x:f>IF(OR('Calculations'!EM493="",'Calculations'!$AG$8&gt;0,AND('Calculations'!$EF$2&lt;&gt;"All",'Calculations'!HE493='Calculations'!$EF$2),AND('Calculations'!$EF$3&lt;&gt;"All",'Calculations'!HE493='Calculations'!$EF$3)),0,IF(OR('Dashboard'!$B$7="All",'Calculations'!HN493='Dashboard'!$B$7),IF('Calculations'!$EF$2="All",1,IF('Calculations'!HL493&gt;0,0,IF(COUNTIF('Calculations'!HO493:II493,"="&amp;SUBSTITUTE(SUBSTITUTE(SUBSTITUTE('Calculations'!$EF$2,"~","~~"),"*","~*"),"?","~?"))=0,0,IF('Calculations'!$EF$3="All",1,IF(COUNTIF('Calculations'!HO493:II493,"="&amp;SUBSTITUTE(SUBSTITUTE(SUBSTITUTE('Calculations'!$EF$3,"~","~~"),"*","~*"),"?","~?"))&gt;0,1,0))))),0))</x:f>
        <x:v>0</x:v>
      </x:c>
      <x:c r="EO493" s="4" t="str">
        <x:f>IF('Calculations'!IJ493="","",IF('Calculations'!IJ493="!UNRESOLVED","Unresolved hierarchy",IFERROR(INDEX('Calculations'!$HK$13:$HK$512,MATCH('Calculations'!IJ493,'Calculations'!$HE$13:$HE$512,0)),IFERROR(INDEX('Calculations'!$HJ$13:$HJ$512,MATCH('Calculations'!IJ493,'Calculations'!$HF$13:$HF$512,0)),'Calculations'!IJ493))))</x:f>
      </x:c>
      <x:c r="EP493" s="4" t="n">
        <x:f>IF(AND('Calculations'!EM493&lt;&gt;"",'Calculations'!HF493='Calculations'!IJ493),1,0)</x:f>
        <x:v>0</x:v>
      </x:c>
      <x:c r="EQ493" s="4"/>
      <x:c r="ER493" s="4"/>
      <x:c r="ES493" s="4"/>
      <x:c r="ET493" s="4"/>
      <x:c r="EU493" s="4"/>
      <x:c r="EV493" s="4"/>
      <x:c r="EW493" s="4"/>
      <x:c r="EX493" s="4"/>
      <x:c r="EY493" s="4"/>
      <x:c r="EZ493" s="4"/>
      <x:c r="FA493" s="4"/>
      <x:c r="FB493" s="4"/>
      <x:c r="FC493" s="4"/>
      <x:c r="FD493" s="4"/>
      <x:c r="FE493" s="4"/>
      <x:c r="FF493" s="4"/>
      <x:c r="FG493" s="4"/>
      <x:c r="FH493" s="4"/>
      <x:c r="FI493" s="4"/>
      <x:c r="FJ493" s="4"/>
      <x:c r="FK493" s="4"/>
      <x:c r="FL493" s="4"/>
      <x:c r="FM493" s="4"/>
      <x:c r="FN493" s="4"/>
      <x:c r="FO493" s="4"/>
      <x:c r="HE493" t="str">
        <x:f>IF('Calculations'!EM493="","",IF(IFERROR(IF(INDEX(INDIRECT("'WCM Calibration Final'!$A$1:$A$2000"),'Calculations'!$EM493)="","",TRIM(INDEX(INDIRECT("'WCM Calibration Final'!$A$1:$A$2000"),'Calculations'!$EM493)&amp;"")),"")&lt;&gt;"","G:"&amp;IFERROR(TEXT(1*INDEX(INDIRECT("'WCM Calibration Final'!$A$1:$A$2000"),'Calculations'!$EM493),"0"),UPPER(IFERROR(IF(INDEX(INDIRECT("'WCM Calibration Final'!$A$1:$A$2000"),'Calculations'!$EM493)="","",TRIM(INDEX(INDIRECT("'WCM Calibration Final'!$A$1:$A$2000"),'Calculations'!$EM493)&amp;"")),""))),IF(IFERROR(IF(INDEX(INDIRECT("'WCM Calibration Final'!$C$1:$C$2000"),'Calculations'!$EM493)="","",TRIM(INDEX(INDIRECT("'WCM Calibration Final'!$C$1:$C$2000"),'Calculations'!$EM493)&amp;"")),"")&lt;&gt;"","S:"&amp;UPPER(IFERROR(IF(INDEX(INDIRECT("'WCM Calibration Final'!$C$1:$C$2000"),'Calculations'!$EM493)="","",TRIM(INDEX(INDIRECT("'WCM Calibration Final'!$C$1:$C$2000"),'Calculations'!$EM493)&amp;"")),"")),"R:"&amp;'Calculations'!EM493)))</x:f>
      </x:c>
      <x:c r="HF493" t="str">
        <x:f>IF('Calculations'!EM493="","",IF(IFERROR(IF(INDEX(INDIRECT("'WCM Calibration Final'!$D$1:$D$2000"),'Calculations'!$EM493)="","",TRIM(INDEX(INDIRECT("'WCM Calibration Final'!$D$1:$D$2000"),'Calculations'!$EM493)&amp;"")),"")&lt;&gt;"","G:"&amp;IFERROR(TEXT(1*INDEX(INDIRECT("'WCM Calibration Final'!$D$1:$D$2000"),'Calculations'!$EM493),"0"),UPPER(IFERROR(IF(INDEX(INDIRECT("'WCM Calibration Final'!$D$1:$D$2000"),'Calculations'!$EM493)="","",TRIM(INDEX(INDIRECT("'WCM Calibration Final'!$D$1:$D$2000"),'Calculations'!$EM493)&amp;"")),""))),IF(IFERROR(IF(INDEX(INDIRECT("'WCM Calibration Final'!$E$1:$E$2000"),'Calculations'!$EM493)="","",TRIM(INDEX(INDIRECT("'WCM Calibration Final'!$E$1:$E$2000"),'Calculations'!$EM493)&amp;"")),"")="","",IF(COUNTIF('Calculations'!$HG$13:$HG$512,"="&amp;SUBSTITUTE(SUBSTITUTE(SUBSTITUTE(IFERROR(IF(INDEX(INDIRECT("'WCM Calibration Final'!$E$1:$E$2000"),'Calculations'!$EM493)="","",TRIM(INDEX(INDIRECT("'WCM Calibration Final'!$E$1:$E$2000"),'Calculations'!$EM493)&amp;"")),""),"~","~~"),"*","~*"),"?","~?"))=1,INDEX('Calculations'!$HE$13:$HE$512,MATCH(IFERROR(IF(INDEX(INDIRECT("'WCM Calibration Final'!$E$1:$E$2000"),'Calculations'!$EM493)="","",TRIM(INDEX(INDIRECT("'WCM Calibration Final'!$E$1:$E$2000"),'Calculations'!$EM493)&amp;"")),""),'Calculations'!$HG$13:$HG$512,0)),IF(COUNTIF('Calculations'!$HG$13:$HG$512,"="&amp;SUBSTITUTE(SUBSTITUTE(SUBSTITUTE(IFERROR(IF(INDEX(INDIRECT("'WCM Calibration Final'!$E$1:$E$2000"),'Calculations'!$EM493)="","",TRIM(INDEX(INDIRECT("'WCM Calibration Final'!$E$1:$E$2000"),'Calculations'!$EM493)&amp;"")),""),"~","~~"),"*","~*"),"?","~?"))&gt;1,"!AMBIG","X:"&amp;IFERROR(IF(INDEX(INDIRECT("'WCM Calibration Final'!$E$1:$E$2000"),'Calculations'!$EM493)="","",TRIM(INDEX(INDIRECT("'WCM Calibration Final'!$E$1:$E$2000"),'Calculations'!$EM493)&amp;"")),""))))))</x:f>
      </x:c>
      <x:c r="HG493" t="str">
        <x:f>IF('Calculations'!EM493="","",IFERROR(IF(INDEX(INDIRECT("'WCM Calibration Final'!$B$1:$B$2000"),'Calculations'!$EM493)="","",TRIM(INDEX(INDIRECT("'WCM Calibration Final'!$B$1:$B$2000"),'Calculations'!$EM493)&amp;"")),""))</x:f>
      </x:c>
      <x:c r="HH493" t="n">
        <x:f>IF(AND('Calculations'!JC493&gt;0,COUNTIF('Calculations'!$HF$12:HF493,"="&amp;SUBSTITUTE(SUBSTITUTE(SUBSTITUTE('Calculations'!HF493,"~","~~"),"*","~*"),"?","~?"))=1),MAX('Calculations'!$HH$12:HH492)+1,0)</x:f>
        <x:v>0</x:v>
      </x:c>
      <x:c r="HI493" t="n">
        <x:f>IF(AND('Calculations'!HN493&lt;&gt;"",COUNTIF('Calculations'!$HN$12:HN493,"="&amp;SUBSTITUTE(SUBSTITUTE(SUBSTITUTE('Calculations'!HN493,"~","~~"),"*","~*"),"?","~?"))=1),MAX('Calculations'!$HI$12:HI492)+1,0)</x:f>
        <x:v>0</x:v>
      </x:c>
      <x:c r="HJ493" t="str">
        <x:f>IF('Calculations'!HF493="","",IF(COUNTIF('Calculations'!$HE$13:$HE$512,"="&amp;SUBSTITUTE(SUBSTITUTE(SUBSTITUTE('Calculations'!HF493,"~","~~"),"*","~*"),"?","~?"))=1,INDEX('Calculations'!$HK$13:$HK$512,MATCH('Calculations'!HF493,'Calculations'!$HE$13:$HE$512,0)),IFERROR(IF(INDEX(INDIRECT("'WCM Calibration Final'!$E$1:$E$2000"),'Calculations'!$EM493)="","",TRIM(INDEX(INDIRECT("'WCM Calibration Final'!$E$1:$E$2000"),'Calculations'!$EM493)&amp;"")),"")&amp;" ["&amp;'Calculations'!HF493&amp;"]"))</x:f>
      </x:c>
      <x:c r="HK493" t="str">
        <x:f>IF('Calculations'!EM493="","",'Calculations'!HG493&amp;" ["&amp;'Calculations'!HE493&amp;"]")</x:f>
      </x:c>
      <x:c r="HL493" t="n">
        <x:f>IF('Calculations'!EM493="",0,IF(OR('Calculations'!II493&lt;&gt;"",COUNTIF('Calculations'!$HE$13:$HE$512,"="&amp;SUBSTITUTE(SUBSTITUTE(SUBSTITUTE('Calculations'!HE493,"~","~~"),"*","~*"),"?","~?"))&gt;1),1,0))</x:f>
        <x:v>0</x:v>
      </x:c>
      <x:c r="HM493" t="str">
        <x:f>IF('Calculations'!EM493="","",IF('Calculations'!HL493=1,"!UNRESOLVED",IF('Calculations'!IH493&lt;&gt;"",'Calculations'!IH493,IF('Calculations'!IG493&lt;&gt;"",'Calculations'!IG493,IF('Calculations'!IF493&lt;&gt;"",'Calculations'!IF493,IF('Calculations'!IE493&lt;&gt;"",'Calculations'!IE493,IF('Calculations'!ID493&lt;&gt;"",'Calculations'!ID493,IF('Calculations'!IC493&lt;&gt;"",'Calculations'!IC493,IF('Calculations'!IB493&lt;&gt;"",'Calculations'!IB493,IF('Calculations'!IA493&lt;&gt;"",'Calculations'!IA493,IF('Calculations'!HZ493&lt;&gt;"",'Calculations'!HZ493,IF('Calculations'!HY493&lt;&gt;"",'Calculations'!HY493,IF('Calculations'!HX493&lt;&gt;"",'Calculations'!HX493,IF('Calculations'!HW493&lt;&gt;"",'Calculations'!HW493,IF('Calculations'!HV493&lt;&gt;"",'Calculations'!HV493,IF('Calculations'!HU493&lt;&gt;"",'Calculations'!HU493,IF('Calculations'!HT493&lt;&gt;"",'Calculations'!HT493,IF('Calculations'!HS493&lt;&gt;"",'Calculations'!HS493,IF('Calculations'!HR493&lt;&gt;"",'Calculations'!HR493,IF('Calculations'!HQ493&lt;&gt;"",'Calculations'!HQ493,IF('Calculations'!HP493&lt;&gt;"",'Calculations'!HP493,IF('Calculations'!HO493&lt;&gt;"",'Calculations'!HO493,'Calculations'!HE493))))))))))))))))))))))</x:f>
      </x:c>
      <x:c r="HN493" t="str">
        <x:f>IF('Calculations'!EM493="","",IF(IFERROR(IF(INDEX(INDIRECT("'WCM Calibration Final'!$F$1:$F$2000"),'Calculations'!$EM493)="","",TRIM(INDEX(INDIRECT("'WCM Calibration Final'!$F$1:$F$2000"),'Calculations'!$EM493)&amp;"")),"")="","(Blank)",IFERROR(IF(INDEX(INDIRECT("'WCM Calibration Final'!$F$1:$F$2000"),'Calculations'!$EM493)="","",TRIM(INDEX(INDIRECT("'WCM Calibration Final'!$F$1:$F$2000"),'Calculations'!$EM493)&amp;"")),"")))</x:f>
      </x:c>
      <x:c r="HO493" t="str">
        <x:f>'Calculations'!HF493</x:f>
      </x:c>
      <x:c r="HP493" t="str">
        <x:f>IF('Calculations'!HO493="","",IF('Calculations'!HO493="!AMBIG","!AMBIG",IF(COUNTIF('Calculations'!$HE$13:$HE$512,"="&amp;SUBSTITUTE(SUBSTITUTE(SUBSTITUTE('Calculations'!HO493,"~","~~"),"*","~*"),"?","~?"))&gt;1,"!AMBIG",IFERROR(INDEX('Calculations'!$HF$13:$HF$512,MATCH('Calculations'!HO493,'Calculations'!$HE$13:$HE$512,0)),""))))</x:f>
      </x:c>
      <x:c r="HQ493" t="str">
        <x:f>IF('Calculations'!HP493="","",IF('Calculations'!HP493="!AMBIG","!AMBIG",IF(COUNTIF('Calculations'!$HE$13:$HE$512,"="&amp;SUBSTITUTE(SUBSTITUTE(SUBSTITUTE('Calculations'!HP493,"~","~~"),"*","~*"),"?","~?"))&gt;1,"!AMBIG",IFERROR(INDEX('Calculations'!$HF$13:$HF$512,MATCH('Calculations'!HP493,'Calculations'!$HE$13:$HE$512,0)),""))))</x:f>
      </x:c>
      <x:c r="HR493" t="str">
        <x:f>IF('Calculations'!HQ493="","",IF('Calculations'!HQ493="!AMBIG","!AMBIG",IF(COUNTIF('Calculations'!$HE$13:$HE$512,"="&amp;SUBSTITUTE(SUBSTITUTE(SUBSTITUTE('Calculations'!HQ493,"~","~~"),"*","~*"),"?","~?"))&gt;1,"!AMBIG",IFERROR(INDEX('Calculations'!$HF$13:$HF$512,MATCH('Calculations'!HQ493,'Calculations'!$HE$13:$HE$512,0)),""))))</x:f>
      </x:c>
      <x:c r="HS493" t="str">
        <x:f>IF('Calculations'!HR493="","",IF('Calculations'!HR493="!AMBIG","!AMBIG",IF(COUNTIF('Calculations'!$HE$13:$HE$512,"="&amp;SUBSTITUTE(SUBSTITUTE(SUBSTITUTE('Calculations'!HR493,"~","~~"),"*","~*"),"?","~?"))&gt;1,"!AMBIG",IFERROR(INDEX('Calculations'!$HF$13:$HF$512,MATCH('Calculations'!HR493,'Calculations'!$HE$13:$HE$512,0)),""))))</x:f>
      </x:c>
      <x:c r="HT493" t="str">
        <x:f>IF('Calculations'!HS493="","",IF('Calculations'!HS493="!AMBIG","!AMBIG",IF(COUNTIF('Calculations'!$HE$13:$HE$512,"="&amp;SUBSTITUTE(SUBSTITUTE(SUBSTITUTE('Calculations'!HS493,"~","~~"),"*","~*"),"?","~?"))&gt;1,"!AMBIG",IFERROR(INDEX('Calculations'!$HF$13:$HF$512,MATCH('Calculations'!HS493,'Calculations'!$HE$13:$HE$512,0)),""))))</x:f>
      </x:c>
      <x:c r="HU493" t="str">
        <x:f>IF('Calculations'!HT493="","",IF('Calculations'!HT493="!AMBIG","!AMBIG",IF(COUNTIF('Calculations'!$HE$13:$HE$512,"="&amp;SUBSTITUTE(SUBSTITUTE(SUBSTITUTE('Calculations'!HT493,"~","~~"),"*","~*"),"?","~?"))&gt;1,"!AMBIG",IFERROR(INDEX('Calculations'!$HF$13:$HF$512,MATCH('Calculations'!HT493,'Calculations'!$HE$13:$HE$512,0)),""))))</x:f>
      </x:c>
      <x:c r="HV493" t="str">
        <x:f>IF('Calculations'!HU493="","",IF('Calculations'!HU493="!AMBIG","!AMBIG",IF(COUNTIF('Calculations'!$HE$13:$HE$512,"="&amp;SUBSTITUTE(SUBSTITUTE(SUBSTITUTE('Calculations'!HU493,"~","~~"),"*","~*"),"?","~?"))&gt;1,"!AMBIG",IFERROR(INDEX('Calculations'!$HF$13:$HF$512,MATCH('Calculations'!HU493,'Calculations'!$HE$13:$HE$512,0)),""))))</x:f>
      </x:c>
      <x:c r="HW493" t="str">
        <x:f>IF('Calculations'!HV493="","",IF('Calculations'!HV493="!AMBIG","!AMBIG",IF(COUNTIF('Calculations'!$HE$13:$HE$512,"="&amp;SUBSTITUTE(SUBSTITUTE(SUBSTITUTE('Calculations'!HV493,"~","~~"),"*","~*"),"?","~?"))&gt;1,"!AMBIG",IFERROR(INDEX('Calculations'!$HF$13:$HF$512,MATCH('Calculations'!HV493,'Calculations'!$HE$13:$HE$512,0)),""))))</x:f>
      </x:c>
      <x:c r="HX493" t="str">
        <x:f>IF('Calculations'!HW493="","",IF('Calculations'!HW493="!AMBIG","!AMBIG",IF(COUNTIF('Calculations'!$HE$13:$HE$512,"="&amp;SUBSTITUTE(SUBSTITUTE(SUBSTITUTE('Calculations'!HW493,"~","~~"),"*","~*"),"?","~?"))&gt;1,"!AMBIG",IFERROR(INDEX('Calculations'!$HF$13:$HF$512,MATCH('Calculations'!HW493,'Calculations'!$HE$13:$HE$512,0)),""))))</x:f>
      </x:c>
      <x:c r="HY493" t="str">
        <x:f>IF('Calculations'!HX493="","",IF('Calculations'!HX493="!AMBIG","!AMBIG",IF(COUNTIF('Calculations'!$HE$13:$HE$512,"="&amp;SUBSTITUTE(SUBSTITUTE(SUBSTITUTE('Calculations'!HX493,"~","~~"),"*","~*"),"?","~?"))&gt;1,"!AMBIG",IFERROR(INDEX('Calculations'!$HF$13:$HF$512,MATCH('Calculations'!HX493,'Calculations'!$HE$13:$HE$512,0)),""))))</x:f>
      </x:c>
      <x:c r="HZ493" t="str">
        <x:f>IF('Calculations'!HY493="","",IF('Calculations'!HY493="!AMBIG","!AMBIG",IF(COUNTIF('Calculations'!$HE$13:$HE$512,"="&amp;SUBSTITUTE(SUBSTITUTE(SUBSTITUTE('Calculations'!HY493,"~","~~"),"*","~*"),"?","~?"))&gt;1,"!AMBIG",IFERROR(INDEX('Calculations'!$HF$13:$HF$512,MATCH('Calculations'!HY493,'Calculations'!$HE$13:$HE$512,0)),""))))</x:f>
      </x:c>
      <x:c r="IA493" t="str">
        <x:f>IF('Calculations'!HZ493="","",IF('Calculations'!HZ493="!AMBIG","!AMBIG",IF(COUNTIF('Calculations'!$HE$13:$HE$512,"="&amp;SUBSTITUTE(SUBSTITUTE(SUBSTITUTE('Calculations'!HZ493,"~","~~"),"*","~*"),"?","~?"))&gt;1,"!AMBIG",IFERROR(INDEX('Calculations'!$HF$13:$HF$512,MATCH('Calculations'!HZ493,'Calculations'!$HE$13:$HE$512,0)),""))))</x:f>
      </x:c>
      <x:c r="IB493" t="str">
        <x:f>IF('Calculations'!IA493="","",IF('Calculations'!IA493="!AMBIG","!AMBIG",IF(COUNTIF('Calculations'!$HE$13:$HE$512,"="&amp;SUBSTITUTE(SUBSTITUTE(SUBSTITUTE('Calculations'!IA493,"~","~~"),"*","~*"),"?","~?"))&gt;1,"!AMBIG",IFERROR(INDEX('Calculations'!$HF$13:$HF$512,MATCH('Calculations'!IA493,'Calculations'!$HE$13:$HE$512,0)),""))))</x:f>
      </x:c>
      <x:c r="IC493" t="str">
        <x:f>IF('Calculations'!IB493="","",IF('Calculations'!IB493="!AMBIG","!AMBIG",IF(COUNTIF('Calculations'!$HE$13:$HE$512,"="&amp;SUBSTITUTE(SUBSTITUTE(SUBSTITUTE('Calculations'!IB493,"~","~~"),"*","~*"),"?","~?"))&gt;1,"!AMBIG",IFERROR(INDEX('Calculations'!$HF$13:$HF$512,MATCH('Calculations'!IB493,'Calculations'!$HE$13:$HE$512,0)),""))))</x:f>
      </x:c>
      <x:c r="ID493" t="str">
        <x:f>IF('Calculations'!IC493="","",IF('Calculations'!IC493="!AMBIG","!AMBIG",IF(COUNTIF('Calculations'!$HE$13:$HE$512,"="&amp;SUBSTITUTE(SUBSTITUTE(SUBSTITUTE('Calculations'!IC493,"~","~~"),"*","~*"),"?","~?"))&gt;1,"!AMBIG",IFERROR(INDEX('Calculations'!$HF$13:$HF$512,MATCH('Calculations'!IC493,'Calculations'!$HE$13:$HE$512,0)),""))))</x:f>
      </x:c>
      <x:c r="IE493" t="str">
        <x:f>IF('Calculations'!ID493="","",IF('Calculations'!ID493="!AMBIG","!AMBIG",IF(COUNTIF('Calculations'!$HE$13:$HE$512,"="&amp;SUBSTITUTE(SUBSTITUTE(SUBSTITUTE('Calculations'!ID493,"~","~~"),"*","~*"),"?","~?"))&gt;1,"!AMBIG",IFERROR(INDEX('Calculations'!$HF$13:$HF$512,MATCH('Calculations'!ID493,'Calculations'!$HE$13:$HE$512,0)),""))))</x:f>
      </x:c>
      <x:c r="IF493" t="str">
        <x:f>IF('Calculations'!IE493="","",IF('Calculations'!IE493="!AMBIG","!AMBIG",IF(COUNTIF('Calculations'!$HE$13:$HE$512,"="&amp;SUBSTITUTE(SUBSTITUTE(SUBSTITUTE('Calculations'!IE493,"~","~~"),"*","~*"),"?","~?"))&gt;1,"!AMBIG",IFERROR(INDEX('Calculations'!$HF$13:$HF$512,MATCH('Calculations'!IE493,'Calculations'!$HE$13:$HE$512,0)),""))))</x:f>
      </x:c>
      <x:c r="IG493" t="str">
        <x:f>IF('Calculations'!IF493="","",IF('Calculations'!IF493="!AMBIG","!AMBIG",IF(COUNTIF('Calculations'!$HE$13:$HE$512,"="&amp;SUBSTITUTE(SUBSTITUTE(SUBSTITUTE('Calculations'!IF493,"~","~~"),"*","~*"),"?","~?"))&gt;1,"!AMBIG",IFERROR(INDEX('Calculations'!$HF$13:$HF$512,MATCH('Calculations'!IF493,'Calculations'!$HE$13:$HE$512,0)),""))))</x:f>
      </x:c>
      <x:c r="IH493" t="str">
        <x:f>IF('Calculations'!IG493="","",IF('Calculations'!IG493="!AMBIG","!AMBIG",IF(COUNTIF('Calculations'!$HE$13:$HE$512,"="&amp;SUBSTITUTE(SUBSTITUTE(SUBSTITUTE('Calculations'!IG493,"~","~~"),"*","~*"),"?","~?"))&gt;1,"!AMBIG",IFERROR(INDEX('Calculations'!$HF$13:$HF$512,MATCH('Calculations'!IG493,'Calculations'!$HE$13:$HE$512,0)),""))))</x:f>
      </x:c>
      <x:c r="II493" t="str">
        <x:f>IF('Calculations'!IH493="","",IF('Calculations'!IH493="!AMBIG","!AMBIG",IF(COUNTIF('Calculations'!$HE$13:$HE$512,"="&amp;SUBSTITUTE(SUBSTITUTE(SUBSTITUTE('Calculations'!IH493,"~","~~"),"*","~*"),"?","~?"))&gt;1,"!AMBIG",IFERROR(INDEX('Calculations'!$HF$13:$HF$512,MATCH('Calculations'!IH493,'Calculations'!$HE$13:$HE$512,0)),""))))</x:f>
      </x:c>
      <x:c r="IJ493" t="str">
        <x:f>IF('Calculations'!EM493="","",IF('Calculations'!$EF$2="All",'Calculations'!HM493,IF('Calculations'!HL493=1,"",IFERROR(IF(MATCH('Calculations'!$EF$2,'Calculations'!HO493:II493,0)=1,'Calculations'!HE493,INDEX('Calculations'!HO493:II493,1,MATCH('Calculations'!$EF$2,'Calculations'!HO493:II493,0)-1)),""))))</x:f>
      </x:c>
      <x:c r="IK493" t="n">
        <x:f>IF(AND('Calculations'!EM493&lt;&gt;"",'Calculations'!$EF$2&lt;&gt;"All",'Calculations'!HF493='Calculations'!$EF$2,'Calculations'!HL493=0,'Calculations'!JD493&gt;0),MAX('Calculations'!$IK$12:IK492)+1,0)</x:f>
        <x:v>0</x:v>
      </x:c>
      <x:c r="JA493" t="n">
        <x:f>IF(OR(IFERROR(INDIRECT("'WCM Calibration Final'!$A$493")&lt;&gt;"",FALSE),IFERROR(INDIRECT("'WCM Calibration Final'!$B$493")&lt;&gt;"",FALSE),IFERROR(INDIRECT("'WCM Calibration Final'!$C$493")&lt;&gt;"",FALSE)),493,0)</x:f>
        <x:v>0</x:v>
      </x:c>
      <x:c r="JB493" t="n">
        <x:f>'Calculations'!JB492+IF('Calculations'!JA493&gt;0,1,0)</x:f>
        <x:v>0</x:v>
      </x:c>
      <x:c r="JC493" t="n">
        <x:f>IF(OR('Calculations'!HF493="",'Calculations'!HF493="!AMBIG"),0,IF('Dashboard'!$B$7="All",1,COUNTIFS('Calculations'!$HO$13:$HO$512,"="&amp;SUBSTITUTE(SUBSTITUTE(SUBSTITUTE('Calculations'!HF493,"~","~~"),"*","~*"),"?","~?"),'Calculations'!$HN$13:$HN$512,"="&amp;SUBSTITUTE(SUBSTITUTE(SUBSTITUTE('Dashboard'!$B$7,"~","~~"),"*","~*"),"?","~?"))+COUNTIFS('Calculations'!$HP$13:$HP$512,"="&amp;SUBSTITUTE(SUBSTITUTE(SUBSTITUTE('Calculations'!HF493,"~","~~"),"*","~*"),"?","~?"),'Calculations'!$HN$13:$HN$512,"="&amp;SUBSTITUTE(SUBSTITUTE(SUBSTITUTE('Dashboard'!$B$7,"~","~~"),"*","~*"),"?","~?"))+COUNTIFS('Calculations'!$HQ$13:$HQ$512,"="&amp;SUBSTITUTE(SUBSTITUTE(SUBSTITUTE('Calculations'!HF493,"~","~~"),"*","~*"),"?","~?"),'Calculations'!$HN$13:$HN$512,"="&amp;SUBSTITUTE(SUBSTITUTE(SUBSTITUTE('Dashboard'!$B$7,"~","~~"),"*","~*"),"?","~?"))+COUNTIFS('Calculations'!$HR$13:$HR$512,"="&amp;SUBSTITUTE(SUBSTITUTE(SUBSTITUTE('Calculations'!HF493,"~","~~"),"*","~*"),"?","~?"),'Calculations'!$HN$13:$HN$512,"="&amp;SUBSTITUTE(SUBSTITUTE(SUBSTITUTE('Dashboard'!$B$7,"~","~~"),"*","~*"),"?","~?"))+COUNTIFS('Calculations'!$HS$13:$HS$512,"="&amp;SUBSTITUTE(SUBSTITUTE(SUBSTITUTE('Calculations'!HF493,"~","~~"),"*","~*"),"?","~?"),'Calculations'!$HN$13:$HN$512,"="&amp;SUBSTITUTE(SUBSTITUTE(SUBSTITUTE('Dashboard'!$B$7,"~","~~"),"*","~*"),"?","~?"))+COUNTIFS('Calculations'!$HT$13:$HT$512,"="&amp;SUBSTITUTE(SUBSTITUTE(SUBSTITUTE('Calculations'!HF493,"~","~~"),"*","~*"),"?","~?"),'Calculations'!$HN$13:$HN$512,"="&amp;SUBSTITUTE(SUBSTITUTE(SUBSTITUTE('Dashboard'!$B$7,"~","~~"),"*","~*"),"?","~?"))+COUNTIFS('Calculations'!$HU$13:$HU$512,"="&amp;SUBSTITUTE(SUBSTITUTE(SUBSTITUTE('Calculations'!HF493,"~","~~"),"*","~*"),"?","~?"),'Calculations'!$HN$13:$HN$512,"="&amp;SUBSTITUTE(SUBSTITUTE(SUBSTITUTE('Dashboard'!$B$7,"~","~~"),"*","~*"),"?","~?"))+COUNTIFS('Calculations'!$HV$13:$HV$512,"="&amp;SUBSTITUTE(SUBSTITUTE(SUBSTITUTE('Calculations'!HF493,"~","~~"),"*","~*"),"?","~?"),'Calculations'!$HN$13:$HN$512,"="&amp;SUBSTITUTE(SUBSTITUTE(SUBSTITUTE('Dashboard'!$B$7,"~","~~"),"*","~*"),"?","~?"))+COUNTIFS('Calculations'!$HW$13:$HW$512,"="&amp;SUBSTITUTE(SUBSTITUTE(SUBSTITUTE('Calculations'!HF493,"~","~~"),"*","~*"),"?","~?"),'Calculations'!$HN$13:$HN$512,"="&amp;SUBSTITUTE(SUBSTITUTE(SUBSTITUTE('Dashboard'!$B$7,"~","~~"),"*","~*"),"?","~?"))+COUNTIFS('Calculations'!$HX$13:$HX$512,"="&amp;SUBSTITUTE(SUBSTITUTE(SUBSTITUTE('Calculations'!HF493,"~","~~"),"*","~*"),"?","~?"),'Calculations'!$HN$13:$HN$512,"="&amp;SUBSTITUTE(SUBSTITUTE(SUBSTITUTE('Dashboard'!$B$7,"~","~~"),"*","~*"),"?","~?"))+COUNTIFS('Calculations'!$HY$13:$HY$512,"="&amp;SUBSTITUTE(SUBSTITUTE(SUBSTITUTE('Calculations'!HF493,"~","~~"),"*","~*"),"?","~?"),'Calculations'!$HN$13:$HN$512,"="&amp;SUBSTITUTE(SUBSTITUTE(SUBSTITUTE('Dashboard'!$B$7,"~","~~"),"*","~*"),"?","~?"))+COUNTIFS('Calculations'!$HZ$13:$HZ$512,"="&amp;SUBSTITUTE(SUBSTITUTE(SUBSTITUTE('Calculations'!HF493,"~","~~"),"*","~*"),"?","~?"),'Calculations'!$HN$13:$HN$512,"="&amp;SUBSTITUTE(SUBSTITUTE(SUBSTITUTE('Dashboard'!$B$7,"~","~~"),"*","~*"),"?","~?"))+COUNTIFS('Calculations'!$IA$13:$IA$512,"="&amp;SUBSTITUTE(SUBSTITUTE(SUBSTITUTE('Calculations'!HF493,"~","~~"),"*","~*"),"?","~?"),'Calculations'!$HN$13:$HN$512,"="&amp;SUBSTITUTE(SUBSTITUTE(SUBSTITUTE('Dashboard'!$B$7,"~","~~"),"*","~*"),"?","~?"))+COUNTIFS('Calculations'!$IB$13:$IB$512,"="&amp;SUBSTITUTE(SUBSTITUTE(SUBSTITUTE('Calculations'!HF493,"~","~~"),"*","~*"),"?","~?"),'Calculations'!$HN$13:$HN$512,"="&amp;SUBSTITUTE(SUBSTITUTE(SUBSTITUTE('Dashboard'!$B$7,"~","~~"),"*","~*"),"?","~?"))+COUNTIFS('Calculations'!$IC$13:$IC$512,"="&amp;SUBSTITUTE(SUBSTITUTE(SUBSTITUTE('Calculations'!HF493,"~","~~"),"*","~*"),"?","~?"),'Calculations'!$HN$13:$HN$512,"="&amp;SUBSTITUTE(SUBSTITUTE(SUBSTITUTE('Dashboard'!$B$7,"~","~~"),"*","~*"),"?","~?"))+COUNTIFS('Calculations'!$ID$13:$ID$512,"="&amp;SUBSTITUTE(SUBSTITUTE(SUBSTITUTE('Calculations'!HF493,"~","~~"),"*","~*"),"?","~?"),'Calculations'!$HN$13:$HN$512,"="&amp;SUBSTITUTE(SUBSTITUTE(SUBSTITUTE('Dashboard'!$B$7,"~","~~"),"*","~*"),"?","~?"))+COUNTIFS('Calculations'!$IE$13:$IE$512,"="&amp;SUBSTITUTE(SUBSTITUTE(SUBSTITUTE('Calculations'!HF493,"~","~~"),"*","~*"),"?","~?"),'Calculations'!$HN$13:$HN$512,"="&amp;SUBSTITUTE(SUBSTITUTE(SUBSTITUTE('Dashboard'!$B$7,"~","~~"),"*","~*"),"?","~?"))+COUNTIFS('Calculations'!$IF$13:$IF$512,"="&amp;SUBSTITUTE(SUBSTITUTE(SUBSTITUTE('Calculations'!HF493,"~","~~"),"*","~*"),"?","~?"),'Calculations'!$HN$13:$HN$512,"="&amp;SUBSTITUTE(SUBSTITUTE(SUBSTITUTE('Dashboard'!$B$7,"~","~~"),"*","~*"),"?","~?"))+COUNTIFS('Calculations'!$IG$13:$IG$512,"="&amp;SUBSTITUTE(SUBSTITUTE(SUBSTITUTE('Calculations'!HF493,"~","~~"),"*","~*"),"?","~?"),'Calculations'!$HN$13:$HN$512,"="&amp;SUBSTITUTE(SUBSTITUTE(SUBSTITUTE('Dashboard'!$B$7,"~","~~"),"*","~*"),"?","~?"))+COUNTIFS('Calculations'!$IH$13:$IH$512,"="&amp;SUBSTITUTE(SUBSTITUTE(SUBSTITUTE('Calculations'!HF493,"~","~~"),"*","~*"),"?","~?"),'Calculations'!$HN$13:$HN$512,"="&amp;SUBSTITUTE(SUBSTITUTE(SUBSTITUTE('Dashboard'!$B$7,"~","~~"),"*","~*"),"?","~?"))))</x:f>
        <x:v>0</x:v>
      </x:c>
      <x:c r="JD493" t="n">
        <x:f>IF('Calculations'!EM493="",0,IF('Dashboard'!$B$7="All",1,IF('Calculations'!HN493='Dashboard'!$B$7,1,0)+IFERROR(INDEX('Calculations'!$JC$13:$JC$512,MATCH('Calculations'!HE493,'Calculations'!$HF$13:$HF$512,0)),0)))</x:f>
        <x:v>0</x:v>
      </x:c>
      <x:c r="JE493" t="n">
        <x:f>IF(AND('Calculations'!EM493&lt;&gt;"",'Calculations'!$JJ$2&lt;&gt;"All",'Calculations'!$JJ$2&lt;&gt;"",'Calculations'!HF493='Calculations'!$JJ$2,'Calculations'!HL493=0,'Calculations'!JD493&gt;0),MAX('Calculations'!$JE$12:JE492)+1,0)</x:f>
        <x:v>0</x:v>
      </x:c>
      <x:c r="JF493" t="str">
        <x:f>IF('Calculations'!EM493="","",IFERROR(IF(INDEX(INDIRECT("'WCM Calibration Final'!$G$1:$G$2000"),'Calculations'!$EM493)="","",TRIM(INDEX(INDIRECT("'WCM Calibration Final'!$G$1:$G$2000"),'Calculations'!$EM493)&amp;"")),""))</x:f>
      </x:c>
      <x:c r="JQ493" t="n">
        <x:f>IF(OR('Calculations'!BM493=0,NOT('Calculations'!$AG$2),'Calculations'!$AG$8&gt;0),0,IF(OR('Dashboard'!$B$7="All",'Calculations'!HN493='Dashboard'!$B$7),IF('Calculations'!$JJ$2="All",1,IF(AND('Calculations'!HF493='Calculations'!$JJ$2,'Calculations'!HL493=0),1,0)),0))</x:f>
        <x:v>0</x:v>
      </x:c>
    </x:row>
    <x:row r="494">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t="n">
        <x:f>IF('Calculations'!$EM494="",0,IF(OR(IFERROR(INDEX(INDIRECT("'WCM Calibration Final'!$A$1:$A$2000"),'Calculations'!$EM494)&lt;&gt;"",FALSE),IFERROR(INDEX(INDIRECT("'WCM Calibration Final'!$B$1:$B$2000"),'Calculations'!$EM494)&lt;&gt;"",FALSE),IFERROR(INDEX(INDIRECT("'WCM Calibration Final'!$C$1:$C$2000"),'Calculations'!$EM494)&lt;&gt;"",FALSE)),1,0))</x:f>
        <x:v>0</x:v>
      </x:c>
      <x:c r="BN494" s="4" t="n">
        <x:f>IF(AND('Calculations'!BM494=1,'Calculations'!$AG$2,'Calculations'!$EN494=1),1,0)</x:f>
        <x:v>0</x:v>
      </x:c>
      <x:c r="BO494" s="4" t="str">
        <x:f>IF('Calculations'!BM494=0,"",IFERROR(IF(AND(VALUE(INDEX(INDIRECT("'WCM Calibration Final'!$K$1:$K$2000"),'Calculations'!$EM494))&gt;=1,VALUE(INDEX(INDIRECT("'WCM Calibration Final'!$K$1:$K$2000"),'Calculations'!$EM494))&lt;=4,MOD(VALUE(INDEX(INDIRECT("'WCM Calibration Final'!$K$1:$K$2000"),'Calculations'!$EM494)),1)=0),VALUE(INDEX(INDIRECT("'WCM Calibration Final'!$K$1:$K$2000"),'Calculations'!$EM494)),""),""))</x:f>
      </x:c>
      <x:c r="BP494" s="4" t="str">
        <x:f>IF('Calculations'!BM494=0,"",IFERROR(IF(AND(VALUE(INDEX(INDIRECT("'WCM Calibration Final'!$L$1:$L$2000"),'Calculations'!$EM494))&gt;=1,VALUE(INDEX(INDIRECT("'WCM Calibration Final'!$L$1:$L$2000"),'Calculations'!$EM494))&lt;=4,MOD(VALUE(INDEX(INDIRECT("'WCM Calibration Final'!$L$1:$L$2000"),'Calculations'!$EM494)),1)=0),VALUE(INDEX(INDIRECT("'WCM Calibration Final'!$L$1:$L$2000"),'Calculations'!$EM494)),""),""))</x:f>
      </x:c>
      <x:c r="BQ494" s="4"/>
      <x:c r="BR494" s="4"/>
      <x:c r="BS494" s="4"/>
      <x:c r="BT494" s="4" t="n">
        <x:f>IF(AND('Calculations'!BM494=1,ISNUMBER('Calculations'!BO494),ISNUMBER('Calculations'!BP494)),1,0)</x:f>
        <x:v>0</x:v>
      </x:c>
      <x:c r="BU494" s="4" t="str">
        <x:f>IF('Calculations'!BM494=0,"",'Calculations'!$EO494)</x:f>
      </x:c>
      <x:c r="BV494" s="4" t="str">
        <x:f>IF('Calculations'!BM494=0,"",IFERROR(IF(OR(INDEX(INDIRECT("'WCM Calibration Final'!$H$1:$H$2000"),'Calculations'!$EM494)="MANAGING DIRECTOR",INDEX(INDIRECT("'WCM Calibration Final'!$H$1:$H$2000"),'Calculations'!$EM494)="DIRECTOR",INDEX(INDIRECT("'WCM Calibration Final'!$H$1:$H$2000"),'Calculations'!$EM494)="SENIOR VICE PRESIDENT",INDEX(INDIRECT("'WCM Calibration Final'!$H$1:$H$2000"),'Calculations'!$EM494)="VICE PRESIDENT",INDEX(INDIRECT("'WCM Calibration Final'!$H$1:$H$2000"),'Calculations'!$EM494)="ASSISTANT VICE PRESIDENT",INDEX(INDIRECT("'WCM Calibration Final'!$H$1:$H$2000"),'Calculations'!$EM494)="OFFICER"),UPPER(INDEX(INDIRECT("'WCM Calibration Final'!$H$1:$H$2000"),'Calculations'!$EM494)),"Other"),"Other"))</x:f>
      </x:c>
      <x:c r="BW494" s="4"/>
      <x:c r="BX494" s="4"/>
      <x:c r="BY494" s="4" t="n">
        <x:f>IF(AND('Calculations'!BM494=1,'Calculations'!BU494&lt;&gt;"",COUNTIF('Calculations'!$BU$12:BU494,'Calculations'!BU494)=1),MAX('Calculations'!$BY$11:BY493)+1,0)</x:f>
        <x:v>0</x:v>
      </x:c>
      <x:c r="BZ494" s="4" t="str">
        <x:f>IF('Dashboard'!$E$67="What",'Calculations'!BO494,'Calculations'!BP494)</x:f>
      </x:c>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t="str">
        <x:f>IF(483&gt;MAX('Calculations'!$HI$13:$HI$512),"",INDEX('Calculations'!$HN$13:$HN$512,MATCH(483,'Calculations'!$HI$13:$HI$512,0)))</x:f>
      </x:c>
      <x:c r="DB494" s="4" t="str">
        <x:f>IF(483&gt;MAX('Calculations'!$HH$13:$HH$512),"",INDEX('Calculations'!$HJ$13:$HJ$512,MATCH(483,'Calculations'!$HH$13:$HH$512,0)))</x:f>
      </x:c>
      <x:c r="DC494" s="4" t="str">
        <x:f>IF(ROW()-11&gt;MAX('Calculations'!$BY$13:$BY$512),"",INDEX('Calculations'!$BU$13:$BU$512,MATCH(ROW()-11,'Calculations'!$BY$13:$BY$512,0)))</x:f>
      </x:c>
      <x:c r="DD494" s="4" t="str">
        <x:f>IF(483&gt;MAX('Calculations'!$IK$13:$IK$512),"",INDEX('Calculations'!$HK$13:$HK$512,MATCH(483,'Calculations'!$IK$13:$IK$512,0)))</x:f>
      </x:c>
      <x:c r="DE494" s="4" t="str">
        <x:f>'Calculations'!DC494</x:f>
      </x:c>
      <x:c r="DF494" s="4" t="str">
        <x:f>IF('Calculations'!DE494="","",COUNTIFS('Calculations'!$BN$13:$BN$512,1,'Calculations'!$BU$13:$BU$512,'Calculations'!DE494))</x:f>
      </x:c>
      <x:c r="DG494" s="4" t="str">
        <x:f>IF('Calculations'!DE494="","",COUNTIFS('Calculations'!$BN$13:$BN$512,1,'Calculations'!$BU$13:$BU$512,'Calculations'!DE494,'Calculations'!$BT$13:$BT$512,1))</x:f>
      </x:c>
      <x:c r="DH494" s="4" t="str">
        <x:f>IF('Calculations'!DE494="","",'Calculations'!DF494-'Calculations'!DG494)</x:f>
      </x:c>
      <x:c r="DI494" s="4" t="str">
        <x:f>IF(OR('Calculations'!DE494="",'Calculations'!DF494=0),"",'Calculations'!DG494/'Calculations'!DF494)</x:f>
      </x:c>
      <x:c r="DJ494" s="4" t="str">
        <x:f>IF('Calculations'!DE494="","",COUNTIFS('Calculations'!$BN$13:$BN$512,1,'Calculations'!$BU$13:$BU$512,'Calculations'!DE494,'Calculations'!$BT$13:$BT$512,1,'Calculations'!$EE$13:$EE$512,"High"))</x:f>
      </x:c>
      <x:c r="DK494" s="4" t="str">
        <x:f>IF('Calculations'!DE494="","",COUNTIFS('Calculations'!$BN$13:$BN$512,1,'Calculations'!$BU$13:$BU$512,'Calculations'!DE494,'Calculations'!$BT$13:$BT$512,1,'Calculations'!$EE$13:$EE$512,"Strong"))</x:f>
      </x:c>
      <x:c r="DL494" s="4" t="str">
        <x:f>IF('Calculations'!DE494="","",COUNTIFS('Calculations'!$BN$13:$BN$512,1,'Calculations'!$BU$13:$BU$512,'Calculations'!DE494,'Calculations'!$BT$13:$BT$512,1,'Calculations'!$EE$13:$EE$512,"Solid"))</x:f>
      </x:c>
      <x:c r="DM494" s="4" t="str">
        <x:f>IF('Calculations'!DE494="","",COUNTIFS('Calculations'!$BN$13:$BN$512,1,'Calculations'!$BU$13:$BU$512,'Calculations'!DE494,'Calculations'!$BT$13:$BT$512,1,'Calculations'!$EE$13:$EE$512,"Low"))</x:f>
      </x:c>
      <x:c r="DN494" s="4" t="str">
        <x:f>IF('Calculations'!DE494="","",COUNTIFS('Calculations'!$BN$13:$BN$512,1,'Calculations'!$BU$13:$BU$512,'Calculations'!DE494,'Calculations'!$EP$13:$EP$512,1))</x:f>
      </x:c>
      <x:c r="DO494" s="4" t="str">
        <x:f>IF(OR('Calculations'!DE494="",'Calculations'!DG494=0),"",('Calculations'!DJ494+'Calculations'!DK494)/'Calculations'!DG494)</x:f>
      </x:c>
      <x:c r="DP494" s="4" t="n">
        <x:f>IF(AND('Calculations'!DE494&lt;&gt;"",'Calculations'!DF494&gt;0),COUNTIF('Calculations'!$DF$12:DF494,"&gt;0"),0)</x:f>
        <x:v>0</x:v>
      </x:c>
      <x:c r="DQ494" s="4" t="str">
        <x:f>IF(483&gt;MAX('Calculations'!$HH$13:$HH$512),"",INDEX('Calculations'!$HF$13:$HF$512,MATCH(483,'Calculations'!$HH$13:$HH$512,0)))</x:f>
      </x:c>
      <x:c r="DR494" s="4" t="str">
        <x:f>IF(483&gt;MAX('Calculations'!$IK$13:$IK$512),"",INDEX('Calculations'!$HE$13:$HE$512,MATCH(483,'Calculations'!$IK$13:$IK$512,0)))</x:f>
      </x:c>
      <x:c r="DS494" s="4"/>
      <x:c r="DT494" s="4"/>
      <x:c r="DU494" s="4"/>
      <x:c r="DV494" s="4"/>
      <x:c r="DW494" s="4"/>
      <x:c r="DX494" s="4"/>
      <x:c r="DY494" s="4"/>
      <x:c r="DZ494" s="4"/>
      <x:c r="EA494" s="4"/>
      <x:c r="EB494" s="4"/>
      <x:c r="EC494" s="4"/>
      <x:c r="ED494" s="4"/>
      <x:c r="EE494" s="4" t="str">
        <x:f>IF('Calculations'!BT494=0,"Not Rated",IF(OR('Calculations'!BO494&gt;=4,'Calculations'!BP494&gt;=4),"Low",IF('Calculations'!BO494+'Calculations'!BP494&lt;=3,"High",IF('Calculations'!BO494+'Calculations'!BP494&lt;=4,"Strong","Solid"))))</x:f>
        <x:v>Not Rated</x:v>
      </x:c>
      <x:c r="EF494" s="4"/>
      <x:c r="EG494" s="4"/>
      <x:c r="EH494" s="4"/>
      <x:c r="EI494" s="4"/>
      <x:c r="EJ494" s="4"/>
      <x:c r="EK494" s="4"/>
      <x:c r="EL494" s="4"/>
      <x:c r="EM494" s="4" t="str">
        <x:f>IF(482&gt;'Calculations'!$JB$2000,"",INDEX('Calculations'!$JA$12:$JA$2000,MATCH(482,'Calculations'!$JB$12:$JB$2000,0)))</x:f>
      </x:c>
      <x:c r="EN494" s="4" t="n">
        <x:f>IF(OR('Calculations'!EM494="",'Calculations'!$AG$8&gt;0,AND('Calculations'!$EF$2&lt;&gt;"All",'Calculations'!HE494='Calculations'!$EF$2),AND('Calculations'!$EF$3&lt;&gt;"All",'Calculations'!HE494='Calculations'!$EF$3)),0,IF(OR('Dashboard'!$B$7="All",'Calculations'!HN494='Dashboard'!$B$7),IF('Calculations'!$EF$2="All",1,IF('Calculations'!HL494&gt;0,0,IF(COUNTIF('Calculations'!HO494:II494,"="&amp;SUBSTITUTE(SUBSTITUTE(SUBSTITUTE('Calculations'!$EF$2,"~","~~"),"*","~*"),"?","~?"))=0,0,IF('Calculations'!$EF$3="All",1,IF(COUNTIF('Calculations'!HO494:II494,"="&amp;SUBSTITUTE(SUBSTITUTE(SUBSTITUTE('Calculations'!$EF$3,"~","~~"),"*","~*"),"?","~?"))&gt;0,1,0))))),0))</x:f>
        <x:v>0</x:v>
      </x:c>
      <x:c r="EO494" s="4" t="str">
        <x:f>IF('Calculations'!IJ494="","",IF('Calculations'!IJ494="!UNRESOLVED","Unresolved hierarchy",IFERROR(INDEX('Calculations'!$HK$13:$HK$512,MATCH('Calculations'!IJ494,'Calculations'!$HE$13:$HE$512,0)),IFERROR(INDEX('Calculations'!$HJ$13:$HJ$512,MATCH('Calculations'!IJ494,'Calculations'!$HF$13:$HF$512,0)),'Calculations'!IJ494))))</x:f>
      </x:c>
      <x:c r="EP494" s="4" t="n">
        <x:f>IF(AND('Calculations'!EM494&lt;&gt;"",'Calculations'!HF494='Calculations'!IJ494),1,0)</x:f>
        <x:v>0</x:v>
      </x:c>
      <x:c r="EQ494" s="4"/>
      <x:c r="ER494" s="4"/>
      <x:c r="ES494" s="4"/>
      <x:c r="ET494" s="4"/>
      <x:c r="EU494" s="4"/>
      <x:c r="EV494" s="4"/>
      <x:c r="EW494" s="4"/>
      <x:c r="EX494" s="4"/>
      <x:c r="EY494" s="4"/>
      <x:c r="EZ494" s="4"/>
      <x:c r="FA494" s="4"/>
      <x:c r="FB494" s="4"/>
      <x:c r="FC494" s="4"/>
      <x:c r="FD494" s="4"/>
      <x:c r="FE494" s="4"/>
      <x:c r="FF494" s="4"/>
      <x:c r="FG494" s="4"/>
      <x:c r="FH494" s="4"/>
      <x:c r="FI494" s="4"/>
      <x:c r="FJ494" s="4"/>
      <x:c r="FK494" s="4"/>
      <x:c r="FL494" s="4"/>
      <x:c r="FM494" s="4"/>
      <x:c r="FN494" s="4"/>
      <x:c r="FO494" s="4"/>
      <x:c r="HE494" t="str">
        <x:f>IF('Calculations'!EM494="","",IF(IFERROR(IF(INDEX(INDIRECT("'WCM Calibration Final'!$A$1:$A$2000"),'Calculations'!$EM494)="","",TRIM(INDEX(INDIRECT("'WCM Calibration Final'!$A$1:$A$2000"),'Calculations'!$EM494)&amp;"")),"")&lt;&gt;"","G:"&amp;IFERROR(TEXT(1*INDEX(INDIRECT("'WCM Calibration Final'!$A$1:$A$2000"),'Calculations'!$EM494),"0"),UPPER(IFERROR(IF(INDEX(INDIRECT("'WCM Calibration Final'!$A$1:$A$2000"),'Calculations'!$EM494)="","",TRIM(INDEX(INDIRECT("'WCM Calibration Final'!$A$1:$A$2000"),'Calculations'!$EM494)&amp;"")),""))),IF(IFERROR(IF(INDEX(INDIRECT("'WCM Calibration Final'!$C$1:$C$2000"),'Calculations'!$EM494)="","",TRIM(INDEX(INDIRECT("'WCM Calibration Final'!$C$1:$C$2000"),'Calculations'!$EM494)&amp;"")),"")&lt;&gt;"","S:"&amp;UPPER(IFERROR(IF(INDEX(INDIRECT("'WCM Calibration Final'!$C$1:$C$2000"),'Calculations'!$EM494)="","",TRIM(INDEX(INDIRECT("'WCM Calibration Final'!$C$1:$C$2000"),'Calculations'!$EM494)&amp;"")),"")),"R:"&amp;'Calculations'!EM494)))</x:f>
      </x:c>
      <x:c r="HF494" t="str">
        <x:f>IF('Calculations'!EM494="","",IF(IFERROR(IF(INDEX(INDIRECT("'WCM Calibration Final'!$D$1:$D$2000"),'Calculations'!$EM494)="","",TRIM(INDEX(INDIRECT("'WCM Calibration Final'!$D$1:$D$2000"),'Calculations'!$EM494)&amp;"")),"")&lt;&gt;"","G:"&amp;IFERROR(TEXT(1*INDEX(INDIRECT("'WCM Calibration Final'!$D$1:$D$2000"),'Calculations'!$EM494),"0"),UPPER(IFERROR(IF(INDEX(INDIRECT("'WCM Calibration Final'!$D$1:$D$2000"),'Calculations'!$EM494)="","",TRIM(INDEX(INDIRECT("'WCM Calibration Final'!$D$1:$D$2000"),'Calculations'!$EM494)&amp;"")),""))),IF(IFERROR(IF(INDEX(INDIRECT("'WCM Calibration Final'!$E$1:$E$2000"),'Calculations'!$EM494)="","",TRIM(INDEX(INDIRECT("'WCM Calibration Final'!$E$1:$E$2000"),'Calculations'!$EM494)&amp;"")),"")="","",IF(COUNTIF('Calculations'!$HG$13:$HG$512,"="&amp;SUBSTITUTE(SUBSTITUTE(SUBSTITUTE(IFERROR(IF(INDEX(INDIRECT("'WCM Calibration Final'!$E$1:$E$2000"),'Calculations'!$EM494)="","",TRIM(INDEX(INDIRECT("'WCM Calibration Final'!$E$1:$E$2000"),'Calculations'!$EM494)&amp;"")),""),"~","~~"),"*","~*"),"?","~?"))=1,INDEX('Calculations'!$HE$13:$HE$512,MATCH(IFERROR(IF(INDEX(INDIRECT("'WCM Calibration Final'!$E$1:$E$2000"),'Calculations'!$EM494)="","",TRIM(INDEX(INDIRECT("'WCM Calibration Final'!$E$1:$E$2000"),'Calculations'!$EM494)&amp;"")),""),'Calculations'!$HG$13:$HG$512,0)),IF(COUNTIF('Calculations'!$HG$13:$HG$512,"="&amp;SUBSTITUTE(SUBSTITUTE(SUBSTITUTE(IFERROR(IF(INDEX(INDIRECT("'WCM Calibration Final'!$E$1:$E$2000"),'Calculations'!$EM494)="","",TRIM(INDEX(INDIRECT("'WCM Calibration Final'!$E$1:$E$2000"),'Calculations'!$EM494)&amp;"")),""),"~","~~"),"*","~*"),"?","~?"))&gt;1,"!AMBIG","X:"&amp;IFERROR(IF(INDEX(INDIRECT("'WCM Calibration Final'!$E$1:$E$2000"),'Calculations'!$EM494)="","",TRIM(INDEX(INDIRECT("'WCM Calibration Final'!$E$1:$E$2000"),'Calculations'!$EM494)&amp;"")),""))))))</x:f>
      </x:c>
      <x:c r="HG494" t="str">
        <x:f>IF('Calculations'!EM494="","",IFERROR(IF(INDEX(INDIRECT("'WCM Calibration Final'!$B$1:$B$2000"),'Calculations'!$EM494)="","",TRIM(INDEX(INDIRECT("'WCM Calibration Final'!$B$1:$B$2000"),'Calculations'!$EM494)&amp;"")),""))</x:f>
      </x:c>
      <x:c r="HH494" t="n">
        <x:f>IF(AND('Calculations'!JC494&gt;0,COUNTIF('Calculations'!$HF$12:HF494,"="&amp;SUBSTITUTE(SUBSTITUTE(SUBSTITUTE('Calculations'!HF494,"~","~~"),"*","~*"),"?","~?"))=1),MAX('Calculations'!$HH$12:HH493)+1,0)</x:f>
        <x:v>0</x:v>
      </x:c>
      <x:c r="HI494" t="n">
        <x:f>IF(AND('Calculations'!HN494&lt;&gt;"",COUNTIF('Calculations'!$HN$12:HN494,"="&amp;SUBSTITUTE(SUBSTITUTE(SUBSTITUTE('Calculations'!HN494,"~","~~"),"*","~*"),"?","~?"))=1),MAX('Calculations'!$HI$12:HI493)+1,0)</x:f>
        <x:v>0</x:v>
      </x:c>
      <x:c r="HJ494" t="str">
        <x:f>IF('Calculations'!HF494="","",IF(COUNTIF('Calculations'!$HE$13:$HE$512,"="&amp;SUBSTITUTE(SUBSTITUTE(SUBSTITUTE('Calculations'!HF494,"~","~~"),"*","~*"),"?","~?"))=1,INDEX('Calculations'!$HK$13:$HK$512,MATCH('Calculations'!HF494,'Calculations'!$HE$13:$HE$512,0)),IFERROR(IF(INDEX(INDIRECT("'WCM Calibration Final'!$E$1:$E$2000"),'Calculations'!$EM494)="","",TRIM(INDEX(INDIRECT("'WCM Calibration Final'!$E$1:$E$2000"),'Calculations'!$EM494)&amp;"")),"")&amp;" ["&amp;'Calculations'!HF494&amp;"]"))</x:f>
      </x:c>
      <x:c r="HK494" t="str">
        <x:f>IF('Calculations'!EM494="","",'Calculations'!HG494&amp;" ["&amp;'Calculations'!HE494&amp;"]")</x:f>
      </x:c>
      <x:c r="HL494" t="n">
        <x:f>IF('Calculations'!EM494="",0,IF(OR('Calculations'!II494&lt;&gt;"",COUNTIF('Calculations'!$HE$13:$HE$512,"="&amp;SUBSTITUTE(SUBSTITUTE(SUBSTITUTE('Calculations'!HE494,"~","~~"),"*","~*"),"?","~?"))&gt;1),1,0))</x:f>
        <x:v>0</x:v>
      </x:c>
      <x:c r="HM494" t="str">
        <x:f>IF('Calculations'!EM494="","",IF('Calculations'!HL494=1,"!UNRESOLVED",IF('Calculations'!IH494&lt;&gt;"",'Calculations'!IH494,IF('Calculations'!IG494&lt;&gt;"",'Calculations'!IG494,IF('Calculations'!IF494&lt;&gt;"",'Calculations'!IF494,IF('Calculations'!IE494&lt;&gt;"",'Calculations'!IE494,IF('Calculations'!ID494&lt;&gt;"",'Calculations'!ID494,IF('Calculations'!IC494&lt;&gt;"",'Calculations'!IC494,IF('Calculations'!IB494&lt;&gt;"",'Calculations'!IB494,IF('Calculations'!IA494&lt;&gt;"",'Calculations'!IA494,IF('Calculations'!HZ494&lt;&gt;"",'Calculations'!HZ494,IF('Calculations'!HY494&lt;&gt;"",'Calculations'!HY494,IF('Calculations'!HX494&lt;&gt;"",'Calculations'!HX494,IF('Calculations'!HW494&lt;&gt;"",'Calculations'!HW494,IF('Calculations'!HV494&lt;&gt;"",'Calculations'!HV494,IF('Calculations'!HU494&lt;&gt;"",'Calculations'!HU494,IF('Calculations'!HT494&lt;&gt;"",'Calculations'!HT494,IF('Calculations'!HS494&lt;&gt;"",'Calculations'!HS494,IF('Calculations'!HR494&lt;&gt;"",'Calculations'!HR494,IF('Calculations'!HQ494&lt;&gt;"",'Calculations'!HQ494,IF('Calculations'!HP494&lt;&gt;"",'Calculations'!HP494,IF('Calculations'!HO494&lt;&gt;"",'Calculations'!HO494,'Calculations'!HE494))))))))))))))))))))))</x:f>
      </x:c>
      <x:c r="HN494" t="str">
        <x:f>IF('Calculations'!EM494="","",IF(IFERROR(IF(INDEX(INDIRECT("'WCM Calibration Final'!$F$1:$F$2000"),'Calculations'!$EM494)="","",TRIM(INDEX(INDIRECT("'WCM Calibration Final'!$F$1:$F$2000"),'Calculations'!$EM494)&amp;"")),"")="","(Blank)",IFERROR(IF(INDEX(INDIRECT("'WCM Calibration Final'!$F$1:$F$2000"),'Calculations'!$EM494)="","",TRIM(INDEX(INDIRECT("'WCM Calibration Final'!$F$1:$F$2000"),'Calculations'!$EM494)&amp;"")),"")))</x:f>
      </x:c>
      <x:c r="HO494" t="str">
        <x:f>'Calculations'!HF494</x:f>
      </x:c>
      <x:c r="HP494" t="str">
        <x:f>IF('Calculations'!HO494="","",IF('Calculations'!HO494="!AMBIG","!AMBIG",IF(COUNTIF('Calculations'!$HE$13:$HE$512,"="&amp;SUBSTITUTE(SUBSTITUTE(SUBSTITUTE('Calculations'!HO494,"~","~~"),"*","~*"),"?","~?"))&gt;1,"!AMBIG",IFERROR(INDEX('Calculations'!$HF$13:$HF$512,MATCH('Calculations'!HO494,'Calculations'!$HE$13:$HE$512,0)),""))))</x:f>
      </x:c>
      <x:c r="HQ494" t="str">
        <x:f>IF('Calculations'!HP494="","",IF('Calculations'!HP494="!AMBIG","!AMBIG",IF(COUNTIF('Calculations'!$HE$13:$HE$512,"="&amp;SUBSTITUTE(SUBSTITUTE(SUBSTITUTE('Calculations'!HP494,"~","~~"),"*","~*"),"?","~?"))&gt;1,"!AMBIG",IFERROR(INDEX('Calculations'!$HF$13:$HF$512,MATCH('Calculations'!HP494,'Calculations'!$HE$13:$HE$512,0)),""))))</x:f>
      </x:c>
      <x:c r="HR494" t="str">
        <x:f>IF('Calculations'!HQ494="","",IF('Calculations'!HQ494="!AMBIG","!AMBIG",IF(COUNTIF('Calculations'!$HE$13:$HE$512,"="&amp;SUBSTITUTE(SUBSTITUTE(SUBSTITUTE('Calculations'!HQ494,"~","~~"),"*","~*"),"?","~?"))&gt;1,"!AMBIG",IFERROR(INDEX('Calculations'!$HF$13:$HF$512,MATCH('Calculations'!HQ494,'Calculations'!$HE$13:$HE$512,0)),""))))</x:f>
      </x:c>
      <x:c r="HS494" t="str">
        <x:f>IF('Calculations'!HR494="","",IF('Calculations'!HR494="!AMBIG","!AMBIG",IF(COUNTIF('Calculations'!$HE$13:$HE$512,"="&amp;SUBSTITUTE(SUBSTITUTE(SUBSTITUTE('Calculations'!HR494,"~","~~"),"*","~*"),"?","~?"))&gt;1,"!AMBIG",IFERROR(INDEX('Calculations'!$HF$13:$HF$512,MATCH('Calculations'!HR494,'Calculations'!$HE$13:$HE$512,0)),""))))</x:f>
      </x:c>
      <x:c r="HT494" t="str">
        <x:f>IF('Calculations'!HS494="","",IF('Calculations'!HS494="!AMBIG","!AMBIG",IF(COUNTIF('Calculations'!$HE$13:$HE$512,"="&amp;SUBSTITUTE(SUBSTITUTE(SUBSTITUTE('Calculations'!HS494,"~","~~"),"*","~*"),"?","~?"))&gt;1,"!AMBIG",IFERROR(INDEX('Calculations'!$HF$13:$HF$512,MATCH('Calculations'!HS494,'Calculations'!$HE$13:$HE$512,0)),""))))</x:f>
      </x:c>
      <x:c r="HU494" t="str">
        <x:f>IF('Calculations'!HT494="","",IF('Calculations'!HT494="!AMBIG","!AMBIG",IF(COUNTIF('Calculations'!$HE$13:$HE$512,"="&amp;SUBSTITUTE(SUBSTITUTE(SUBSTITUTE('Calculations'!HT494,"~","~~"),"*","~*"),"?","~?"))&gt;1,"!AMBIG",IFERROR(INDEX('Calculations'!$HF$13:$HF$512,MATCH('Calculations'!HT494,'Calculations'!$HE$13:$HE$512,0)),""))))</x:f>
      </x:c>
      <x:c r="HV494" t="str">
        <x:f>IF('Calculations'!HU494="","",IF('Calculations'!HU494="!AMBIG","!AMBIG",IF(COUNTIF('Calculations'!$HE$13:$HE$512,"="&amp;SUBSTITUTE(SUBSTITUTE(SUBSTITUTE('Calculations'!HU494,"~","~~"),"*","~*"),"?","~?"))&gt;1,"!AMBIG",IFERROR(INDEX('Calculations'!$HF$13:$HF$512,MATCH('Calculations'!HU494,'Calculations'!$HE$13:$HE$512,0)),""))))</x:f>
      </x:c>
      <x:c r="HW494" t="str">
        <x:f>IF('Calculations'!HV494="","",IF('Calculations'!HV494="!AMBIG","!AMBIG",IF(COUNTIF('Calculations'!$HE$13:$HE$512,"="&amp;SUBSTITUTE(SUBSTITUTE(SUBSTITUTE('Calculations'!HV494,"~","~~"),"*","~*"),"?","~?"))&gt;1,"!AMBIG",IFERROR(INDEX('Calculations'!$HF$13:$HF$512,MATCH('Calculations'!HV494,'Calculations'!$HE$13:$HE$512,0)),""))))</x:f>
      </x:c>
      <x:c r="HX494" t="str">
        <x:f>IF('Calculations'!HW494="","",IF('Calculations'!HW494="!AMBIG","!AMBIG",IF(COUNTIF('Calculations'!$HE$13:$HE$512,"="&amp;SUBSTITUTE(SUBSTITUTE(SUBSTITUTE('Calculations'!HW494,"~","~~"),"*","~*"),"?","~?"))&gt;1,"!AMBIG",IFERROR(INDEX('Calculations'!$HF$13:$HF$512,MATCH('Calculations'!HW494,'Calculations'!$HE$13:$HE$512,0)),""))))</x:f>
      </x:c>
      <x:c r="HY494" t="str">
        <x:f>IF('Calculations'!HX494="","",IF('Calculations'!HX494="!AMBIG","!AMBIG",IF(COUNTIF('Calculations'!$HE$13:$HE$512,"="&amp;SUBSTITUTE(SUBSTITUTE(SUBSTITUTE('Calculations'!HX494,"~","~~"),"*","~*"),"?","~?"))&gt;1,"!AMBIG",IFERROR(INDEX('Calculations'!$HF$13:$HF$512,MATCH('Calculations'!HX494,'Calculations'!$HE$13:$HE$512,0)),""))))</x:f>
      </x:c>
      <x:c r="HZ494" t="str">
        <x:f>IF('Calculations'!HY494="","",IF('Calculations'!HY494="!AMBIG","!AMBIG",IF(COUNTIF('Calculations'!$HE$13:$HE$512,"="&amp;SUBSTITUTE(SUBSTITUTE(SUBSTITUTE('Calculations'!HY494,"~","~~"),"*","~*"),"?","~?"))&gt;1,"!AMBIG",IFERROR(INDEX('Calculations'!$HF$13:$HF$512,MATCH('Calculations'!HY494,'Calculations'!$HE$13:$HE$512,0)),""))))</x:f>
      </x:c>
      <x:c r="IA494" t="str">
        <x:f>IF('Calculations'!HZ494="","",IF('Calculations'!HZ494="!AMBIG","!AMBIG",IF(COUNTIF('Calculations'!$HE$13:$HE$512,"="&amp;SUBSTITUTE(SUBSTITUTE(SUBSTITUTE('Calculations'!HZ494,"~","~~"),"*","~*"),"?","~?"))&gt;1,"!AMBIG",IFERROR(INDEX('Calculations'!$HF$13:$HF$512,MATCH('Calculations'!HZ494,'Calculations'!$HE$13:$HE$512,0)),""))))</x:f>
      </x:c>
      <x:c r="IB494" t="str">
        <x:f>IF('Calculations'!IA494="","",IF('Calculations'!IA494="!AMBIG","!AMBIG",IF(COUNTIF('Calculations'!$HE$13:$HE$512,"="&amp;SUBSTITUTE(SUBSTITUTE(SUBSTITUTE('Calculations'!IA494,"~","~~"),"*","~*"),"?","~?"))&gt;1,"!AMBIG",IFERROR(INDEX('Calculations'!$HF$13:$HF$512,MATCH('Calculations'!IA494,'Calculations'!$HE$13:$HE$512,0)),""))))</x:f>
      </x:c>
      <x:c r="IC494" t="str">
        <x:f>IF('Calculations'!IB494="","",IF('Calculations'!IB494="!AMBIG","!AMBIG",IF(COUNTIF('Calculations'!$HE$13:$HE$512,"="&amp;SUBSTITUTE(SUBSTITUTE(SUBSTITUTE('Calculations'!IB494,"~","~~"),"*","~*"),"?","~?"))&gt;1,"!AMBIG",IFERROR(INDEX('Calculations'!$HF$13:$HF$512,MATCH('Calculations'!IB494,'Calculations'!$HE$13:$HE$512,0)),""))))</x:f>
      </x:c>
      <x:c r="ID494" t="str">
        <x:f>IF('Calculations'!IC494="","",IF('Calculations'!IC494="!AMBIG","!AMBIG",IF(COUNTIF('Calculations'!$HE$13:$HE$512,"="&amp;SUBSTITUTE(SUBSTITUTE(SUBSTITUTE('Calculations'!IC494,"~","~~"),"*","~*"),"?","~?"))&gt;1,"!AMBIG",IFERROR(INDEX('Calculations'!$HF$13:$HF$512,MATCH('Calculations'!IC494,'Calculations'!$HE$13:$HE$512,0)),""))))</x:f>
      </x:c>
      <x:c r="IE494" t="str">
        <x:f>IF('Calculations'!ID494="","",IF('Calculations'!ID494="!AMBIG","!AMBIG",IF(COUNTIF('Calculations'!$HE$13:$HE$512,"="&amp;SUBSTITUTE(SUBSTITUTE(SUBSTITUTE('Calculations'!ID494,"~","~~"),"*","~*"),"?","~?"))&gt;1,"!AMBIG",IFERROR(INDEX('Calculations'!$HF$13:$HF$512,MATCH('Calculations'!ID494,'Calculations'!$HE$13:$HE$512,0)),""))))</x:f>
      </x:c>
      <x:c r="IF494" t="str">
        <x:f>IF('Calculations'!IE494="","",IF('Calculations'!IE494="!AMBIG","!AMBIG",IF(COUNTIF('Calculations'!$HE$13:$HE$512,"="&amp;SUBSTITUTE(SUBSTITUTE(SUBSTITUTE('Calculations'!IE494,"~","~~"),"*","~*"),"?","~?"))&gt;1,"!AMBIG",IFERROR(INDEX('Calculations'!$HF$13:$HF$512,MATCH('Calculations'!IE494,'Calculations'!$HE$13:$HE$512,0)),""))))</x:f>
      </x:c>
      <x:c r="IG494" t="str">
        <x:f>IF('Calculations'!IF494="","",IF('Calculations'!IF494="!AMBIG","!AMBIG",IF(COUNTIF('Calculations'!$HE$13:$HE$512,"="&amp;SUBSTITUTE(SUBSTITUTE(SUBSTITUTE('Calculations'!IF494,"~","~~"),"*","~*"),"?","~?"))&gt;1,"!AMBIG",IFERROR(INDEX('Calculations'!$HF$13:$HF$512,MATCH('Calculations'!IF494,'Calculations'!$HE$13:$HE$512,0)),""))))</x:f>
      </x:c>
      <x:c r="IH494" t="str">
        <x:f>IF('Calculations'!IG494="","",IF('Calculations'!IG494="!AMBIG","!AMBIG",IF(COUNTIF('Calculations'!$HE$13:$HE$512,"="&amp;SUBSTITUTE(SUBSTITUTE(SUBSTITUTE('Calculations'!IG494,"~","~~"),"*","~*"),"?","~?"))&gt;1,"!AMBIG",IFERROR(INDEX('Calculations'!$HF$13:$HF$512,MATCH('Calculations'!IG494,'Calculations'!$HE$13:$HE$512,0)),""))))</x:f>
      </x:c>
      <x:c r="II494" t="str">
        <x:f>IF('Calculations'!IH494="","",IF('Calculations'!IH494="!AMBIG","!AMBIG",IF(COUNTIF('Calculations'!$HE$13:$HE$512,"="&amp;SUBSTITUTE(SUBSTITUTE(SUBSTITUTE('Calculations'!IH494,"~","~~"),"*","~*"),"?","~?"))&gt;1,"!AMBIG",IFERROR(INDEX('Calculations'!$HF$13:$HF$512,MATCH('Calculations'!IH494,'Calculations'!$HE$13:$HE$512,0)),""))))</x:f>
      </x:c>
      <x:c r="IJ494" t="str">
        <x:f>IF('Calculations'!EM494="","",IF('Calculations'!$EF$2="All",'Calculations'!HM494,IF('Calculations'!HL494=1,"",IFERROR(IF(MATCH('Calculations'!$EF$2,'Calculations'!HO494:II494,0)=1,'Calculations'!HE494,INDEX('Calculations'!HO494:II494,1,MATCH('Calculations'!$EF$2,'Calculations'!HO494:II494,0)-1)),""))))</x:f>
      </x:c>
      <x:c r="IK494" t="n">
        <x:f>IF(AND('Calculations'!EM494&lt;&gt;"",'Calculations'!$EF$2&lt;&gt;"All",'Calculations'!HF494='Calculations'!$EF$2,'Calculations'!HL494=0,'Calculations'!JD494&gt;0),MAX('Calculations'!$IK$12:IK493)+1,0)</x:f>
        <x:v>0</x:v>
      </x:c>
      <x:c r="JA494" t="n">
        <x:f>IF(OR(IFERROR(INDIRECT("'WCM Calibration Final'!$A$494")&lt;&gt;"",FALSE),IFERROR(INDIRECT("'WCM Calibration Final'!$B$494")&lt;&gt;"",FALSE),IFERROR(INDIRECT("'WCM Calibration Final'!$C$494")&lt;&gt;"",FALSE)),494,0)</x:f>
        <x:v>0</x:v>
      </x:c>
      <x:c r="JB494" t="n">
        <x:f>'Calculations'!JB493+IF('Calculations'!JA494&gt;0,1,0)</x:f>
        <x:v>0</x:v>
      </x:c>
      <x:c r="JC494" t="n">
        <x:f>IF(OR('Calculations'!HF494="",'Calculations'!HF494="!AMBIG"),0,IF('Dashboard'!$B$7="All",1,COUNTIFS('Calculations'!$HO$13:$HO$512,"="&amp;SUBSTITUTE(SUBSTITUTE(SUBSTITUTE('Calculations'!HF494,"~","~~"),"*","~*"),"?","~?"),'Calculations'!$HN$13:$HN$512,"="&amp;SUBSTITUTE(SUBSTITUTE(SUBSTITUTE('Dashboard'!$B$7,"~","~~"),"*","~*"),"?","~?"))+COUNTIFS('Calculations'!$HP$13:$HP$512,"="&amp;SUBSTITUTE(SUBSTITUTE(SUBSTITUTE('Calculations'!HF494,"~","~~"),"*","~*"),"?","~?"),'Calculations'!$HN$13:$HN$512,"="&amp;SUBSTITUTE(SUBSTITUTE(SUBSTITUTE('Dashboard'!$B$7,"~","~~"),"*","~*"),"?","~?"))+COUNTIFS('Calculations'!$HQ$13:$HQ$512,"="&amp;SUBSTITUTE(SUBSTITUTE(SUBSTITUTE('Calculations'!HF494,"~","~~"),"*","~*"),"?","~?"),'Calculations'!$HN$13:$HN$512,"="&amp;SUBSTITUTE(SUBSTITUTE(SUBSTITUTE('Dashboard'!$B$7,"~","~~"),"*","~*"),"?","~?"))+COUNTIFS('Calculations'!$HR$13:$HR$512,"="&amp;SUBSTITUTE(SUBSTITUTE(SUBSTITUTE('Calculations'!HF494,"~","~~"),"*","~*"),"?","~?"),'Calculations'!$HN$13:$HN$512,"="&amp;SUBSTITUTE(SUBSTITUTE(SUBSTITUTE('Dashboard'!$B$7,"~","~~"),"*","~*"),"?","~?"))+COUNTIFS('Calculations'!$HS$13:$HS$512,"="&amp;SUBSTITUTE(SUBSTITUTE(SUBSTITUTE('Calculations'!HF494,"~","~~"),"*","~*"),"?","~?"),'Calculations'!$HN$13:$HN$512,"="&amp;SUBSTITUTE(SUBSTITUTE(SUBSTITUTE('Dashboard'!$B$7,"~","~~"),"*","~*"),"?","~?"))+COUNTIFS('Calculations'!$HT$13:$HT$512,"="&amp;SUBSTITUTE(SUBSTITUTE(SUBSTITUTE('Calculations'!HF494,"~","~~"),"*","~*"),"?","~?"),'Calculations'!$HN$13:$HN$512,"="&amp;SUBSTITUTE(SUBSTITUTE(SUBSTITUTE('Dashboard'!$B$7,"~","~~"),"*","~*"),"?","~?"))+COUNTIFS('Calculations'!$HU$13:$HU$512,"="&amp;SUBSTITUTE(SUBSTITUTE(SUBSTITUTE('Calculations'!HF494,"~","~~"),"*","~*"),"?","~?"),'Calculations'!$HN$13:$HN$512,"="&amp;SUBSTITUTE(SUBSTITUTE(SUBSTITUTE('Dashboard'!$B$7,"~","~~"),"*","~*"),"?","~?"))+COUNTIFS('Calculations'!$HV$13:$HV$512,"="&amp;SUBSTITUTE(SUBSTITUTE(SUBSTITUTE('Calculations'!HF494,"~","~~"),"*","~*"),"?","~?"),'Calculations'!$HN$13:$HN$512,"="&amp;SUBSTITUTE(SUBSTITUTE(SUBSTITUTE('Dashboard'!$B$7,"~","~~"),"*","~*"),"?","~?"))+COUNTIFS('Calculations'!$HW$13:$HW$512,"="&amp;SUBSTITUTE(SUBSTITUTE(SUBSTITUTE('Calculations'!HF494,"~","~~"),"*","~*"),"?","~?"),'Calculations'!$HN$13:$HN$512,"="&amp;SUBSTITUTE(SUBSTITUTE(SUBSTITUTE('Dashboard'!$B$7,"~","~~"),"*","~*"),"?","~?"))+COUNTIFS('Calculations'!$HX$13:$HX$512,"="&amp;SUBSTITUTE(SUBSTITUTE(SUBSTITUTE('Calculations'!HF494,"~","~~"),"*","~*"),"?","~?"),'Calculations'!$HN$13:$HN$512,"="&amp;SUBSTITUTE(SUBSTITUTE(SUBSTITUTE('Dashboard'!$B$7,"~","~~"),"*","~*"),"?","~?"))+COUNTIFS('Calculations'!$HY$13:$HY$512,"="&amp;SUBSTITUTE(SUBSTITUTE(SUBSTITUTE('Calculations'!HF494,"~","~~"),"*","~*"),"?","~?"),'Calculations'!$HN$13:$HN$512,"="&amp;SUBSTITUTE(SUBSTITUTE(SUBSTITUTE('Dashboard'!$B$7,"~","~~"),"*","~*"),"?","~?"))+COUNTIFS('Calculations'!$HZ$13:$HZ$512,"="&amp;SUBSTITUTE(SUBSTITUTE(SUBSTITUTE('Calculations'!HF494,"~","~~"),"*","~*"),"?","~?"),'Calculations'!$HN$13:$HN$512,"="&amp;SUBSTITUTE(SUBSTITUTE(SUBSTITUTE('Dashboard'!$B$7,"~","~~"),"*","~*"),"?","~?"))+COUNTIFS('Calculations'!$IA$13:$IA$512,"="&amp;SUBSTITUTE(SUBSTITUTE(SUBSTITUTE('Calculations'!HF494,"~","~~"),"*","~*"),"?","~?"),'Calculations'!$HN$13:$HN$512,"="&amp;SUBSTITUTE(SUBSTITUTE(SUBSTITUTE('Dashboard'!$B$7,"~","~~"),"*","~*"),"?","~?"))+COUNTIFS('Calculations'!$IB$13:$IB$512,"="&amp;SUBSTITUTE(SUBSTITUTE(SUBSTITUTE('Calculations'!HF494,"~","~~"),"*","~*"),"?","~?"),'Calculations'!$HN$13:$HN$512,"="&amp;SUBSTITUTE(SUBSTITUTE(SUBSTITUTE('Dashboard'!$B$7,"~","~~"),"*","~*"),"?","~?"))+COUNTIFS('Calculations'!$IC$13:$IC$512,"="&amp;SUBSTITUTE(SUBSTITUTE(SUBSTITUTE('Calculations'!HF494,"~","~~"),"*","~*"),"?","~?"),'Calculations'!$HN$13:$HN$512,"="&amp;SUBSTITUTE(SUBSTITUTE(SUBSTITUTE('Dashboard'!$B$7,"~","~~"),"*","~*"),"?","~?"))+COUNTIFS('Calculations'!$ID$13:$ID$512,"="&amp;SUBSTITUTE(SUBSTITUTE(SUBSTITUTE('Calculations'!HF494,"~","~~"),"*","~*"),"?","~?"),'Calculations'!$HN$13:$HN$512,"="&amp;SUBSTITUTE(SUBSTITUTE(SUBSTITUTE('Dashboard'!$B$7,"~","~~"),"*","~*"),"?","~?"))+COUNTIFS('Calculations'!$IE$13:$IE$512,"="&amp;SUBSTITUTE(SUBSTITUTE(SUBSTITUTE('Calculations'!HF494,"~","~~"),"*","~*"),"?","~?"),'Calculations'!$HN$13:$HN$512,"="&amp;SUBSTITUTE(SUBSTITUTE(SUBSTITUTE('Dashboard'!$B$7,"~","~~"),"*","~*"),"?","~?"))+COUNTIFS('Calculations'!$IF$13:$IF$512,"="&amp;SUBSTITUTE(SUBSTITUTE(SUBSTITUTE('Calculations'!HF494,"~","~~"),"*","~*"),"?","~?"),'Calculations'!$HN$13:$HN$512,"="&amp;SUBSTITUTE(SUBSTITUTE(SUBSTITUTE('Dashboard'!$B$7,"~","~~"),"*","~*"),"?","~?"))+COUNTIFS('Calculations'!$IG$13:$IG$512,"="&amp;SUBSTITUTE(SUBSTITUTE(SUBSTITUTE('Calculations'!HF494,"~","~~"),"*","~*"),"?","~?"),'Calculations'!$HN$13:$HN$512,"="&amp;SUBSTITUTE(SUBSTITUTE(SUBSTITUTE('Dashboard'!$B$7,"~","~~"),"*","~*"),"?","~?"))+COUNTIFS('Calculations'!$IH$13:$IH$512,"="&amp;SUBSTITUTE(SUBSTITUTE(SUBSTITUTE('Calculations'!HF494,"~","~~"),"*","~*"),"?","~?"),'Calculations'!$HN$13:$HN$512,"="&amp;SUBSTITUTE(SUBSTITUTE(SUBSTITUTE('Dashboard'!$B$7,"~","~~"),"*","~*"),"?","~?"))))</x:f>
        <x:v>0</x:v>
      </x:c>
      <x:c r="JD494" t="n">
        <x:f>IF('Calculations'!EM494="",0,IF('Dashboard'!$B$7="All",1,IF('Calculations'!HN494='Dashboard'!$B$7,1,0)+IFERROR(INDEX('Calculations'!$JC$13:$JC$512,MATCH('Calculations'!HE494,'Calculations'!$HF$13:$HF$512,0)),0)))</x:f>
        <x:v>0</x:v>
      </x:c>
      <x:c r="JE494" t="n">
        <x:f>IF(AND('Calculations'!EM494&lt;&gt;"",'Calculations'!$JJ$2&lt;&gt;"All",'Calculations'!$JJ$2&lt;&gt;"",'Calculations'!HF494='Calculations'!$JJ$2,'Calculations'!HL494=0,'Calculations'!JD494&gt;0),MAX('Calculations'!$JE$12:JE493)+1,0)</x:f>
        <x:v>0</x:v>
      </x:c>
      <x:c r="JF494" t="str">
        <x:f>IF('Calculations'!EM494="","",IFERROR(IF(INDEX(INDIRECT("'WCM Calibration Final'!$G$1:$G$2000"),'Calculations'!$EM494)="","",TRIM(INDEX(INDIRECT("'WCM Calibration Final'!$G$1:$G$2000"),'Calculations'!$EM494)&amp;"")),""))</x:f>
      </x:c>
      <x:c r="JQ494" t="n">
        <x:f>IF(OR('Calculations'!BM494=0,NOT('Calculations'!$AG$2),'Calculations'!$AG$8&gt;0),0,IF(OR('Dashboard'!$B$7="All",'Calculations'!HN494='Dashboard'!$B$7),IF('Calculations'!$JJ$2="All",1,IF(AND('Calculations'!HF494='Calculations'!$JJ$2,'Calculations'!HL494=0),1,0)),0))</x:f>
        <x:v>0</x:v>
      </x:c>
    </x:row>
    <x:row r="495">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t="n">
        <x:f>IF('Calculations'!$EM495="",0,IF(OR(IFERROR(INDEX(INDIRECT("'WCM Calibration Final'!$A$1:$A$2000"),'Calculations'!$EM495)&lt;&gt;"",FALSE),IFERROR(INDEX(INDIRECT("'WCM Calibration Final'!$B$1:$B$2000"),'Calculations'!$EM495)&lt;&gt;"",FALSE),IFERROR(INDEX(INDIRECT("'WCM Calibration Final'!$C$1:$C$2000"),'Calculations'!$EM495)&lt;&gt;"",FALSE)),1,0))</x:f>
        <x:v>0</x:v>
      </x:c>
      <x:c r="BN495" s="4" t="n">
        <x:f>IF(AND('Calculations'!BM495=1,'Calculations'!$AG$2,'Calculations'!$EN495=1),1,0)</x:f>
        <x:v>0</x:v>
      </x:c>
      <x:c r="BO495" s="4" t="str">
        <x:f>IF('Calculations'!BM495=0,"",IFERROR(IF(AND(VALUE(INDEX(INDIRECT("'WCM Calibration Final'!$K$1:$K$2000"),'Calculations'!$EM495))&gt;=1,VALUE(INDEX(INDIRECT("'WCM Calibration Final'!$K$1:$K$2000"),'Calculations'!$EM495))&lt;=4,MOD(VALUE(INDEX(INDIRECT("'WCM Calibration Final'!$K$1:$K$2000"),'Calculations'!$EM495)),1)=0),VALUE(INDEX(INDIRECT("'WCM Calibration Final'!$K$1:$K$2000"),'Calculations'!$EM495)),""),""))</x:f>
      </x:c>
      <x:c r="BP495" s="4" t="str">
        <x:f>IF('Calculations'!BM495=0,"",IFERROR(IF(AND(VALUE(INDEX(INDIRECT("'WCM Calibration Final'!$L$1:$L$2000"),'Calculations'!$EM495))&gt;=1,VALUE(INDEX(INDIRECT("'WCM Calibration Final'!$L$1:$L$2000"),'Calculations'!$EM495))&lt;=4,MOD(VALUE(INDEX(INDIRECT("'WCM Calibration Final'!$L$1:$L$2000"),'Calculations'!$EM495)),1)=0),VALUE(INDEX(INDIRECT("'WCM Calibration Final'!$L$1:$L$2000"),'Calculations'!$EM495)),""),""))</x:f>
      </x:c>
      <x:c r="BQ495" s="4"/>
      <x:c r="BR495" s="4"/>
      <x:c r="BS495" s="4"/>
      <x:c r="BT495" s="4" t="n">
        <x:f>IF(AND('Calculations'!BM495=1,ISNUMBER('Calculations'!BO495),ISNUMBER('Calculations'!BP495)),1,0)</x:f>
        <x:v>0</x:v>
      </x:c>
      <x:c r="BU495" s="4" t="str">
        <x:f>IF('Calculations'!BM495=0,"",'Calculations'!$EO495)</x:f>
      </x:c>
      <x:c r="BV495" s="4" t="str">
        <x:f>IF('Calculations'!BM495=0,"",IFERROR(IF(OR(INDEX(INDIRECT("'WCM Calibration Final'!$H$1:$H$2000"),'Calculations'!$EM495)="MANAGING DIRECTOR",INDEX(INDIRECT("'WCM Calibration Final'!$H$1:$H$2000"),'Calculations'!$EM495)="DIRECTOR",INDEX(INDIRECT("'WCM Calibration Final'!$H$1:$H$2000"),'Calculations'!$EM495)="SENIOR VICE PRESIDENT",INDEX(INDIRECT("'WCM Calibration Final'!$H$1:$H$2000"),'Calculations'!$EM495)="VICE PRESIDENT",INDEX(INDIRECT("'WCM Calibration Final'!$H$1:$H$2000"),'Calculations'!$EM495)="ASSISTANT VICE PRESIDENT",INDEX(INDIRECT("'WCM Calibration Final'!$H$1:$H$2000"),'Calculations'!$EM495)="OFFICER"),UPPER(INDEX(INDIRECT("'WCM Calibration Final'!$H$1:$H$2000"),'Calculations'!$EM495)),"Other"),"Other"))</x:f>
      </x:c>
      <x:c r="BW495" s="4"/>
      <x:c r="BX495" s="4"/>
      <x:c r="BY495" s="4" t="n">
        <x:f>IF(AND('Calculations'!BM495=1,'Calculations'!BU495&lt;&gt;"",COUNTIF('Calculations'!$BU$12:BU495,'Calculations'!BU495)=1),MAX('Calculations'!$BY$11:BY494)+1,0)</x:f>
        <x:v>0</x:v>
      </x:c>
      <x:c r="BZ495" s="4" t="str">
        <x:f>IF('Dashboard'!$E$67="What",'Calculations'!BO495,'Calculations'!BP495)</x:f>
      </x:c>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t="str">
        <x:f>IF(484&gt;MAX('Calculations'!$HI$13:$HI$512),"",INDEX('Calculations'!$HN$13:$HN$512,MATCH(484,'Calculations'!$HI$13:$HI$512,0)))</x:f>
      </x:c>
      <x:c r="DB495" s="4" t="str">
        <x:f>IF(484&gt;MAX('Calculations'!$HH$13:$HH$512),"",INDEX('Calculations'!$HJ$13:$HJ$512,MATCH(484,'Calculations'!$HH$13:$HH$512,0)))</x:f>
      </x:c>
      <x:c r="DC495" s="4" t="str">
        <x:f>IF(ROW()-11&gt;MAX('Calculations'!$BY$13:$BY$512),"",INDEX('Calculations'!$BU$13:$BU$512,MATCH(ROW()-11,'Calculations'!$BY$13:$BY$512,0)))</x:f>
      </x:c>
      <x:c r="DD495" s="4" t="str">
        <x:f>IF(484&gt;MAX('Calculations'!$IK$13:$IK$512),"",INDEX('Calculations'!$HK$13:$HK$512,MATCH(484,'Calculations'!$IK$13:$IK$512,0)))</x:f>
      </x:c>
      <x:c r="DE495" s="4" t="str">
        <x:f>'Calculations'!DC495</x:f>
      </x:c>
      <x:c r="DF495" s="4" t="str">
        <x:f>IF('Calculations'!DE495="","",COUNTIFS('Calculations'!$BN$13:$BN$512,1,'Calculations'!$BU$13:$BU$512,'Calculations'!DE495))</x:f>
      </x:c>
      <x:c r="DG495" s="4" t="str">
        <x:f>IF('Calculations'!DE495="","",COUNTIFS('Calculations'!$BN$13:$BN$512,1,'Calculations'!$BU$13:$BU$512,'Calculations'!DE495,'Calculations'!$BT$13:$BT$512,1))</x:f>
      </x:c>
      <x:c r="DH495" s="4" t="str">
        <x:f>IF('Calculations'!DE495="","",'Calculations'!DF495-'Calculations'!DG495)</x:f>
      </x:c>
      <x:c r="DI495" s="4" t="str">
        <x:f>IF(OR('Calculations'!DE495="",'Calculations'!DF495=0),"",'Calculations'!DG495/'Calculations'!DF495)</x:f>
      </x:c>
      <x:c r="DJ495" s="4" t="str">
        <x:f>IF('Calculations'!DE495="","",COUNTIFS('Calculations'!$BN$13:$BN$512,1,'Calculations'!$BU$13:$BU$512,'Calculations'!DE495,'Calculations'!$BT$13:$BT$512,1,'Calculations'!$EE$13:$EE$512,"High"))</x:f>
      </x:c>
      <x:c r="DK495" s="4" t="str">
        <x:f>IF('Calculations'!DE495="","",COUNTIFS('Calculations'!$BN$13:$BN$512,1,'Calculations'!$BU$13:$BU$512,'Calculations'!DE495,'Calculations'!$BT$13:$BT$512,1,'Calculations'!$EE$13:$EE$512,"Strong"))</x:f>
      </x:c>
      <x:c r="DL495" s="4" t="str">
        <x:f>IF('Calculations'!DE495="","",COUNTIFS('Calculations'!$BN$13:$BN$512,1,'Calculations'!$BU$13:$BU$512,'Calculations'!DE495,'Calculations'!$BT$13:$BT$512,1,'Calculations'!$EE$13:$EE$512,"Solid"))</x:f>
      </x:c>
      <x:c r="DM495" s="4" t="str">
        <x:f>IF('Calculations'!DE495="","",COUNTIFS('Calculations'!$BN$13:$BN$512,1,'Calculations'!$BU$13:$BU$512,'Calculations'!DE495,'Calculations'!$BT$13:$BT$512,1,'Calculations'!$EE$13:$EE$512,"Low"))</x:f>
      </x:c>
      <x:c r="DN495" s="4" t="str">
        <x:f>IF('Calculations'!DE495="","",COUNTIFS('Calculations'!$BN$13:$BN$512,1,'Calculations'!$BU$13:$BU$512,'Calculations'!DE495,'Calculations'!$EP$13:$EP$512,1))</x:f>
      </x:c>
      <x:c r="DO495" s="4" t="str">
        <x:f>IF(OR('Calculations'!DE495="",'Calculations'!DG495=0),"",('Calculations'!DJ495+'Calculations'!DK495)/'Calculations'!DG495)</x:f>
      </x:c>
      <x:c r="DP495" s="4" t="n">
        <x:f>IF(AND('Calculations'!DE495&lt;&gt;"",'Calculations'!DF495&gt;0),COUNTIF('Calculations'!$DF$12:DF495,"&gt;0"),0)</x:f>
        <x:v>0</x:v>
      </x:c>
      <x:c r="DQ495" s="4" t="str">
        <x:f>IF(484&gt;MAX('Calculations'!$HH$13:$HH$512),"",INDEX('Calculations'!$HF$13:$HF$512,MATCH(484,'Calculations'!$HH$13:$HH$512,0)))</x:f>
      </x:c>
      <x:c r="DR495" s="4" t="str">
        <x:f>IF(484&gt;MAX('Calculations'!$IK$13:$IK$512),"",INDEX('Calculations'!$HE$13:$HE$512,MATCH(484,'Calculations'!$IK$13:$IK$512,0)))</x:f>
      </x:c>
      <x:c r="DS495" s="4"/>
      <x:c r="DT495" s="4"/>
      <x:c r="DU495" s="4"/>
      <x:c r="DV495" s="4"/>
      <x:c r="DW495" s="4"/>
      <x:c r="DX495" s="4"/>
      <x:c r="DY495" s="4"/>
      <x:c r="DZ495" s="4"/>
      <x:c r="EA495" s="4"/>
      <x:c r="EB495" s="4"/>
      <x:c r="EC495" s="4"/>
      <x:c r="ED495" s="4"/>
      <x:c r="EE495" s="4" t="str">
        <x:f>IF('Calculations'!BT495=0,"Not Rated",IF(OR('Calculations'!BO495&gt;=4,'Calculations'!BP495&gt;=4),"Low",IF('Calculations'!BO495+'Calculations'!BP495&lt;=3,"High",IF('Calculations'!BO495+'Calculations'!BP495&lt;=4,"Strong","Solid"))))</x:f>
        <x:v>Not Rated</x:v>
      </x:c>
      <x:c r="EF495" s="4"/>
      <x:c r="EG495" s="4"/>
      <x:c r="EH495" s="4"/>
      <x:c r="EI495" s="4"/>
      <x:c r="EJ495" s="4"/>
      <x:c r="EK495" s="4"/>
      <x:c r="EL495" s="4"/>
      <x:c r="EM495" s="4" t="str">
        <x:f>IF(483&gt;'Calculations'!$JB$2000,"",INDEX('Calculations'!$JA$12:$JA$2000,MATCH(483,'Calculations'!$JB$12:$JB$2000,0)))</x:f>
      </x:c>
      <x:c r="EN495" s="4" t="n">
        <x:f>IF(OR('Calculations'!EM495="",'Calculations'!$AG$8&gt;0,AND('Calculations'!$EF$2&lt;&gt;"All",'Calculations'!HE495='Calculations'!$EF$2),AND('Calculations'!$EF$3&lt;&gt;"All",'Calculations'!HE495='Calculations'!$EF$3)),0,IF(OR('Dashboard'!$B$7="All",'Calculations'!HN495='Dashboard'!$B$7),IF('Calculations'!$EF$2="All",1,IF('Calculations'!HL495&gt;0,0,IF(COUNTIF('Calculations'!HO495:II495,"="&amp;SUBSTITUTE(SUBSTITUTE(SUBSTITUTE('Calculations'!$EF$2,"~","~~"),"*","~*"),"?","~?"))=0,0,IF('Calculations'!$EF$3="All",1,IF(COUNTIF('Calculations'!HO495:II495,"="&amp;SUBSTITUTE(SUBSTITUTE(SUBSTITUTE('Calculations'!$EF$3,"~","~~"),"*","~*"),"?","~?"))&gt;0,1,0))))),0))</x:f>
        <x:v>0</x:v>
      </x:c>
      <x:c r="EO495" s="4" t="str">
        <x:f>IF('Calculations'!IJ495="","",IF('Calculations'!IJ495="!UNRESOLVED","Unresolved hierarchy",IFERROR(INDEX('Calculations'!$HK$13:$HK$512,MATCH('Calculations'!IJ495,'Calculations'!$HE$13:$HE$512,0)),IFERROR(INDEX('Calculations'!$HJ$13:$HJ$512,MATCH('Calculations'!IJ495,'Calculations'!$HF$13:$HF$512,0)),'Calculations'!IJ495))))</x:f>
      </x:c>
      <x:c r="EP495" s="4" t="n">
        <x:f>IF(AND('Calculations'!EM495&lt;&gt;"",'Calculations'!HF495='Calculations'!IJ495),1,0)</x:f>
        <x:v>0</x:v>
      </x:c>
      <x:c r="EQ495" s="4"/>
      <x:c r="ER495" s="4"/>
      <x:c r="ES495" s="4"/>
      <x:c r="ET495" s="4"/>
      <x:c r="EU495" s="4"/>
      <x:c r="EV495" s="4"/>
      <x:c r="EW495" s="4"/>
      <x:c r="EX495" s="4"/>
      <x:c r="EY495" s="4"/>
      <x:c r="EZ495" s="4"/>
      <x:c r="FA495" s="4"/>
      <x:c r="FB495" s="4"/>
      <x:c r="FC495" s="4"/>
      <x:c r="FD495" s="4"/>
      <x:c r="FE495" s="4"/>
      <x:c r="FF495" s="4"/>
      <x:c r="FG495" s="4"/>
      <x:c r="FH495" s="4"/>
      <x:c r="FI495" s="4"/>
      <x:c r="FJ495" s="4"/>
      <x:c r="FK495" s="4"/>
      <x:c r="FL495" s="4"/>
      <x:c r="FM495" s="4"/>
      <x:c r="FN495" s="4"/>
      <x:c r="FO495" s="4"/>
      <x:c r="HE495" t="str">
        <x:f>IF('Calculations'!EM495="","",IF(IFERROR(IF(INDEX(INDIRECT("'WCM Calibration Final'!$A$1:$A$2000"),'Calculations'!$EM495)="","",TRIM(INDEX(INDIRECT("'WCM Calibration Final'!$A$1:$A$2000"),'Calculations'!$EM495)&amp;"")),"")&lt;&gt;"","G:"&amp;IFERROR(TEXT(1*INDEX(INDIRECT("'WCM Calibration Final'!$A$1:$A$2000"),'Calculations'!$EM495),"0"),UPPER(IFERROR(IF(INDEX(INDIRECT("'WCM Calibration Final'!$A$1:$A$2000"),'Calculations'!$EM495)="","",TRIM(INDEX(INDIRECT("'WCM Calibration Final'!$A$1:$A$2000"),'Calculations'!$EM495)&amp;"")),""))),IF(IFERROR(IF(INDEX(INDIRECT("'WCM Calibration Final'!$C$1:$C$2000"),'Calculations'!$EM495)="","",TRIM(INDEX(INDIRECT("'WCM Calibration Final'!$C$1:$C$2000"),'Calculations'!$EM495)&amp;"")),"")&lt;&gt;"","S:"&amp;UPPER(IFERROR(IF(INDEX(INDIRECT("'WCM Calibration Final'!$C$1:$C$2000"),'Calculations'!$EM495)="","",TRIM(INDEX(INDIRECT("'WCM Calibration Final'!$C$1:$C$2000"),'Calculations'!$EM495)&amp;"")),"")),"R:"&amp;'Calculations'!EM495)))</x:f>
      </x:c>
      <x:c r="HF495" t="str">
        <x:f>IF('Calculations'!EM495="","",IF(IFERROR(IF(INDEX(INDIRECT("'WCM Calibration Final'!$D$1:$D$2000"),'Calculations'!$EM495)="","",TRIM(INDEX(INDIRECT("'WCM Calibration Final'!$D$1:$D$2000"),'Calculations'!$EM495)&amp;"")),"")&lt;&gt;"","G:"&amp;IFERROR(TEXT(1*INDEX(INDIRECT("'WCM Calibration Final'!$D$1:$D$2000"),'Calculations'!$EM495),"0"),UPPER(IFERROR(IF(INDEX(INDIRECT("'WCM Calibration Final'!$D$1:$D$2000"),'Calculations'!$EM495)="","",TRIM(INDEX(INDIRECT("'WCM Calibration Final'!$D$1:$D$2000"),'Calculations'!$EM495)&amp;"")),""))),IF(IFERROR(IF(INDEX(INDIRECT("'WCM Calibration Final'!$E$1:$E$2000"),'Calculations'!$EM495)="","",TRIM(INDEX(INDIRECT("'WCM Calibration Final'!$E$1:$E$2000"),'Calculations'!$EM495)&amp;"")),"")="","",IF(COUNTIF('Calculations'!$HG$13:$HG$512,"="&amp;SUBSTITUTE(SUBSTITUTE(SUBSTITUTE(IFERROR(IF(INDEX(INDIRECT("'WCM Calibration Final'!$E$1:$E$2000"),'Calculations'!$EM495)="","",TRIM(INDEX(INDIRECT("'WCM Calibration Final'!$E$1:$E$2000"),'Calculations'!$EM495)&amp;"")),""),"~","~~"),"*","~*"),"?","~?"))=1,INDEX('Calculations'!$HE$13:$HE$512,MATCH(IFERROR(IF(INDEX(INDIRECT("'WCM Calibration Final'!$E$1:$E$2000"),'Calculations'!$EM495)="","",TRIM(INDEX(INDIRECT("'WCM Calibration Final'!$E$1:$E$2000"),'Calculations'!$EM495)&amp;"")),""),'Calculations'!$HG$13:$HG$512,0)),IF(COUNTIF('Calculations'!$HG$13:$HG$512,"="&amp;SUBSTITUTE(SUBSTITUTE(SUBSTITUTE(IFERROR(IF(INDEX(INDIRECT("'WCM Calibration Final'!$E$1:$E$2000"),'Calculations'!$EM495)="","",TRIM(INDEX(INDIRECT("'WCM Calibration Final'!$E$1:$E$2000"),'Calculations'!$EM495)&amp;"")),""),"~","~~"),"*","~*"),"?","~?"))&gt;1,"!AMBIG","X:"&amp;IFERROR(IF(INDEX(INDIRECT("'WCM Calibration Final'!$E$1:$E$2000"),'Calculations'!$EM495)="","",TRIM(INDEX(INDIRECT("'WCM Calibration Final'!$E$1:$E$2000"),'Calculations'!$EM495)&amp;"")),""))))))</x:f>
      </x:c>
      <x:c r="HG495" t="str">
        <x:f>IF('Calculations'!EM495="","",IFERROR(IF(INDEX(INDIRECT("'WCM Calibration Final'!$B$1:$B$2000"),'Calculations'!$EM495)="","",TRIM(INDEX(INDIRECT("'WCM Calibration Final'!$B$1:$B$2000"),'Calculations'!$EM495)&amp;"")),""))</x:f>
      </x:c>
      <x:c r="HH495" t="n">
        <x:f>IF(AND('Calculations'!JC495&gt;0,COUNTIF('Calculations'!$HF$12:HF495,"="&amp;SUBSTITUTE(SUBSTITUTE(SUBSTITUTE('Calculations'!HF495,"~","~~"),"*","~*"),"?","~?"))=1),MAX('Calculations'!$HH$12:HH494)+1,0)</x:f>
        <x:v>0</x:v>
      </x:c>
      <x:c r="HI495" t="n">
        <x:f>IF(AND('Calculations'!HN495&lt;&gt;"",COUNTIF('Calculations'!$HN$12:HN495,"="&amp;SUBSTITUTE(SUBSTITUTE(SUBSTITUTE('Calculations'!HN495,"~","~~"),"*","~*"),"?","~?"))=1),MAX('Calculations'!$HI$12:HI494)+1,0)</x:f>
        <x:v>0</x:v>
      </x:c>
      <x:c r="HJ495" t="str">
        <x:f>IF('Calculations'!HF495="","",IF(COUNTIF('Calculations'!$HE$13:$HE$512,"="&amp;SUBSTITUTE(SUBSTITUTE(SUBSTITUTE('Calculations'!HF495,"~","~~"),"*","~*"),"?","~?"))=1,INDEX('Calculations'!$HK$13:$HK$512,MATCH('Calculations'!HF495,'Calculations'!$HE$13:$HE$512,0)),IFERROR(IF(INDEX(INDIRECT("'WCM Calibration Final'!$E$1:$E$2000"),'Calculations'!$EM495)="","",TRIM(INDEX(INDIRECT("'WCM Calibration Final'!$E$1:$E$2000"),'Calculations'!$EM495)&amp;"")),"")&amp;" ["&amp;'Calculations'!HF495&amp;"]"))</x:f>
      </x:c>
      <x:c r="HK495" t="str">
        <x:f>IF('Calculations'!EM495="","",'Calculations'!HG495&amp;" ["&amp;'Calculations'!HE495&amp;"]")</x:f>
      </x:c>
      <x:c r="HL495" t="n">
        <x:f>IF('Calculations'!EM495="",0,IF(OR('Calculations'!II495&lt;&gt;"",COUNTIF('Calculations'!$HE$13:$HE$512,"="&amp;SUBSTITUTE(SUBSTITUTE(SUBSTITUTE('Calculations'!HE495,"~","~~"),"*","~*"),"?","~?"))&gt;1),1,0))</x:f>
        <x:v>0</x:v>
      </x:c>
      <x:c r="HM495" t="str">
        <x:f>IF('Calculations'!EM495="","",IF('Calculations'!HL495=1,"!UNRESOLVED",IF('Calculations'!IH495&lt;&gt;"",'Calculations'!IH495,IF('Calculations'!IG495&lt;&gt;"",'Calculations'!IG495,IF('Calculations'!IF495&lt;&gt;"",'Calculations'!IF495,IF('Calculations'!IE495&lt;&gt;"",'Calculations'!IE495,IF('Calculations'!ID495&lt;&gt;"",'Calculations'!ID495,IF('Calculations'!IC495&lt;&gt;"",'Calculations'!IC495,IF('Calculations'!IB495&lt;&gt;"",'Calculations'!IB495,IF('Calculations'!IA495&lt;&gt;"",'Calculations'!IA495,IF('Calculations'!HZ495&lt;&gt;"",'Calculations'!HZ495,IF('Calculations'!HY495&lt;&gt;"",'Calculations'!HY495,IF('Calculations'!HX495&lt;&gt;"",'Calculations'!HX495,IF('Calculations'!HW495&lt;&gt;"",'Calculations'!HW495,IF('Calculations'!HV495&lt;&gt;"",'Calculations'!HV495,IF('Calculations'!HU495&lt;&gt;"",'Calculations'!HU495,IF('Calculations'!HT495&lt;&gt;"",'Calculations'!HT495,IF('Calculations'!HS495&lt;&gt;"",'Calculations'!HS495,IF('Calculations'!HR495&lt;&gt;"",'Calculations'!HR495,IF('Calculations'!HQ495&lt;&gt;"",'Calculations'!HQ495,IF('Calculations'!HP495&lt;&gt;"",'Calculations'!HP495,IF('Calculations'!HO495&lt;&gt;"",'Calculations'!HO495,'Calculations'!HE495))))))))))))))))))))))</x:f>
      </x:c>
      <x:c r="HN495" t="str">
        <x:f>IF('Calculations'!EM495="","",IF(IFERROR(IF(INDEX(INDIRECT("'WCM Calibration Final'!$F$1:$F$2000"),'Calculations'!$EM495)="","",TRIM(INDEX(INDIRECT("'WCM Calibration Final'!$F$1:$F$2000"),'Calculations'!$EM495)&amp;"")),"")="","(Blank)",IFERROR(IF(INDEX(INDIRECT("'WCM Calibration Final'!$F$1:$F$2000"),'Calculations'!$EM495)="","",TRIM(INDEX(INDIRECT("'WCM Calibration Final'!$F$1:$F$2000"),'Calculations'!$EM495)&amp;"")),"")))</x:f>
      </x:c>
      <x:c r="HO495" t="str">
        <x:f>'Calculations'!HF495</x:f>
      </x:c>
      <x:c r="HP495" t="str">
        <x:f>IF('Calculations'!HO495="","",IF('Calculations'!HO495="!AMBIG","!AMBIG",IF(COUNTIF('Calculations'!$HE$13:$HE$512,"="&amp;SUBSTITUTE(SUBSTITUTE(SUBSTITUTE('Calculations'!HO495,"~","~~"),"*","~*"),"?","~?"))&gt;1,"!AMBIG",IFERROR(INDEX('Calculations'!$HF$13:$HF$512,MATCH('Calculations'!HO495,'Calculations'!$HE$13:$HE$512,0)),""))))</x:f>
      </x:c>
      <x:c r="HQ495" t="str">
        <x:f>IF('Calculations'!HP495="","",IF('Calculations'!HP495="!AMBIG","!AMBIG",IF(COUNTIF('Calculations'!$HE$13:$HE$512,"="&amp;SUBSTITUTE(SUBSTITUTE(SUBSTITUTE('Calculations'!HP495,"~","~~"),"*","~*"),"?","~?"))&gt;1,"!AMBIG",IFERROR(INDEX('Calculations'!$HF$13:$HF$512,MATCH('Calculations'!HP495,'Calculations'!$HE$13:$HE$512,0)),""))))</x:f>
      </x:c>
      <x:c r="HR495" t="str">
        <x:f>IF('Calculations'!HQ495="","",IF('Calculations'!HQ495="!AMBIG","!AMBIG",IF(COUNTIF('Calculations'!$HE$13:$HE$512,"="&amp;SUBSTITUTE(SUBSTITUTE(SUBSTITUTE('Calculations'!HQ495,"~","~~"),"*","~*"),"?","~?"))&gt;1,"!AMBIG",IFERROR(INDEX('Calculations'!$HF$13:$HF$512,MATCH('Calculations'!HQ495,'Calculations'!$HE$13:$HE$512,0)),""))))</x:f>
      </x:c>
      <x:c r="HS495" t="str">
        <x:f>IF('Calculations'!HR495="","",IF('Calculations'!HR495="!AMBIG","!AMBIG",IF(COUNTIF('Calculations'!$HE$13:$HE$512,"="&amp;SUBSTITUTE(SUBSTITUTE(SUBSTITUTE('Calculations'!HR495,"~","~~"),"*","~*"),"?","~?"))&gt;1,"!AMBIG",IFERROR(INDEX('Calculations'!$HF$13:$HF$512,MATCH('Calculations'!HR495,'Calculations'!$HE$13:$HE$512,0)),""))))</x:f>
      </x:c>
      <x:c r="HT495" t="str">
        <x:f>IF('Calculations'!HS495="","",IF('Calculations'!HS495="!AMBIG","!AMBIG",IF(COUNTIF('Calculations'!$HE$13:$HE$512,"="&amp;SUBSTITUTE(SUBSTITUTE(SUBSTITUTE('Calculations'!HS495,"~","~~"),"*","~*"),"?","~?"))&gt;1,"!AMBIG",IFERROR(INDEX('Calculations'!$HF$13:$HF$512,MATCH('Calculations'!HS495,'Calculations'!$HE$13:$HE$512,0)),""))))</x:f>
      </x:c>
      <x:c r="HU495" t="str">
        <x:f>IF('Calculations'!HT495="","",IF('Calculations'!HT495="!AMBIG","!AMBIG",IF(COUNTIF('Calculations'!$HE$13:$HE$512,"="&amp;SUBSTITUTE(SUBSTITUTE(SUBSTITUTE('Calculations'!HT495,"~","~~"),"*","~*"),"?","~?"))&gt;1,"!AMBIG",IFERROR(INDEX('Calculations'!$HF$13:$HF$512,MATCH('Calculations'!HT495,'Calculations'!$HE$13:$HE$512,0)),""))))</x:f>
      </x:c>
      <x:c r="HV495" t="str">
        <x:f>IF('Calculations'!HU495="","",IF('Calculations'!HU495="!AMBIG","!AMBIG",IF(COUNTIF('Calculations'!$HE$13:$HE$512,"="&amp;SUBSTITUTE(SUBSTITUTE(SUBSTITUTE('Calculations'!HU495,"~","~~"),"*","~*"),"?","~?"))&gt;1,"!AMBIG",IFERROR(INDEX('Calculations'!$HF$13:$HF$512,MATCH('Calculations'!HU495,'Calculations'!$HE$13:$HE$512,0)),""))))</x:f>
      </x:c>
      <x:c r="HW495" t="str">
        <x:f>IF('Calculations'!HV495="","",IF('Calculations'!HV495="!AMBIG","!AMBIG",IF(COUNTIF('Calculations'!$HE$13:$HE$512,"="&amp;SUBSTITUTE(SUBSTITUTE(SUBSTITUTE('Calculations'!HV495,"~","~~"),"*","~*"),"?","~?"))&gt;1,"!AMBIG",IFERROR(INDEX('Calculations'!$HF$13:$HF$512,MATCH('Calculations'!HV495,'Calculations'!$HE$13:$HE$512,0)),""))))</x:f>
      </x:c>
      <x:c r="HX495" t="str">
        <x:f>IF('Calculations'!HW495="","",IF('Calculations'!HW495="!AMBIG","!AMBIG",IF(COUNTIF('Calculations'!$HE$13:$HE$512,"="&amp;SUBSTITUTE(SUBSTITUTE(SUBSTITUTE('Calculations'!HW495,"~","~~"),"*","~*"),"?","~?"))&gt;1,"!AMBIG",IFERROR(INDEX('Calculations'!$HF$13:$HF$512,MATCH('Calculations'!HW495,'Calculations'!$HE$13:$HE$512,0)),""))))</x:f>
      </x:c>
      <x:c r="HY495" t="str">
        <x:f>IF('Calculations'!HX495="","",IF('Calculations'!HX495="!AMBIG","!AMBIG",IF(COUNTIF('Calculations'!$HE$13:$HE$512,"="&amp;SUBSTITUTE(SUBSTITUTE(SUBSTITUTE('Calculations'!HX495,"~","~~"),"*","~*"),"?","~?"))&gt;1,"!AMBIG",IFERROR(INDEX('Calculations'!$HF$13:$HF$512,MATCH('Calculations'!HX495,'Calculations'!$HE$13:$HE$512,0)),""))))</x:f>
      </x:c>
      <x:c r="HZ495" t="str">
        <x:f>IF('Calculations'!HY495="","",IF('Calculations'!HY495="!AMBIG","!AMBIG",IF(COUNTIF('Calculations'!$HE$13:$HE$512,"="&amp;SUBSTITUTE(SUBSTITUTE(SUBSTITUTE('Calculations'!HY495,"~","~~"),"*","~*"),"?","~?"))&gt;1,"!AMBIG",IFERROR(INDEX('Calculations'!$HF$13:$HF$512,MATCH('Calculations'!HY495,'Calculations'!$HE$13:$HE$512,0)),""))))</x:f>
      </x:c>
      <x:c r="IA495" t="str">
        <x:f>IF('Calculations'!HZ495="","",IF('Calculations'!HZ495="!AMBIG","!AMBIG",IF(COUNTIF('Calculations'!$HE$13:$HE$512,"="&amp;SUBSTITUTE(SUBSTITUTE(SUBSTITUTE('Calculations'!HZ495,"~","~~"),"*","~*"),"?","~?"))&gt;1,"!AMBIG",IFERROR(INDEX('Calculations'!$HF$13:$HF$512,MATCH('Calculations'!HZ495,'Calculations'!$HE$13:$HE$512,0)),""))))</x:f>
      </x:c>
      <x:c r="IB495" t="str">
        <x:f>IF('Calculations'!IA495="","",IF('Calculations'!IA495="!AMBIG","!AMBIG",IF(COUNTIF('Calculations'!$HE$13:$HE$512,"="&amp;SUBSTITUTE(SUBSTITUTE(SUBSTITUTE('Calculations'!IA495,"~","~~"),"*","~*"),"?","~?"))&gt;1,"!AMBIG",IFERROR(INDEX('Calculations'!$HF$13:$HF$512,MATCH('Calculations'!IA495,'Calculations'!$HE$13:$HE$512,0)),""))))</x:f>
      </x:c>
      <x:c r="IC495" t="str">
        <x:f>IF('Calculations'!IB495="","",IF('Calculations'!IB495="!AMBIG","!AMBIG",IF(COUNTIF('Calculations'!$HE$13:$HE$512,"="&amp;SUBSTITUTE(SUBSTITUTE(SUBSTITUTE('Calculations'!IB495,"~","~~"),"*","~*"),"?","~?"))&gt;1,"!AMBIG",IFERROR(INDEX('Calculations'!$HF$13:$HF$512,MATCH('Calculations'!IB495,'Calculations'!$HE$13:$HE$512,0)),""))))</x:f>
      </x:c>
      <x:c r="ID495" t="str">
        <x:f>IF('Calculations'!IC495="","",IF('Calculations'!IC495="!AMBIG","!AMBIG",IF(COUNTIF('Calculations'!$HE$13:$HE$512,"="&amp;SUBSTITUTE(SUBSTITUTE(SUBSTITUTE('Calculations'!IC495,"~","~~"),"*","~*"),"?","~?"))&gt;1,"!AMBIG",IFERROR(INDEX('Calculations'!$HF$13:$HF$512,MATCH('Calculations'!IC495,'Calculations'!$HE$13:$HE$512,0)),""))))</x:f>
      </x:c>
      <x:c r="IE495" t="str">
        <x:f>IF('Calculations'!ID495="","",IF('Calculations'!ID495="!AMBIG","!AMBIG",IF(COUNTIF('Calculations'!$HE$13:$HE$512,"="&amp;SUBSTITUTE(SUBSTITUTE(SUBSTITUTE('Calculations'!ID495,"~","~~"),"*","~*"),"?","~?"))&gt;1,"!AMBIG",IFERROR(INDEX('Calculations'!$HF$13:$HF$512,MATCH('Calculations'!ID495,'Calculations'!$HE$13:$HE$512,0)),""))))</x:f>
      </x:c>
      <x:c r="IF495" t="str">
        <x:f>IF('Calculations'!IE495="","",IF('Calculations'!IE495="!AMBIG","!AMBIG",IF(COUNTIF('Calculations'!$HE$13:$HE$512,"="&amp;SUBSTITUTE(SUBSTITUTE(SUBSTITUTE('Calculations'!IE495,"~","~~"),"*","~*"),"?","~?"))&gt;1,"!AMBIG",IFERROR(INDEX('Calculations'!$HF$13:$HF$512,MATCH('Calculations'!IE495,'Calculations'!$HE$13:$HE$512,0)),""))))</x:f>
      </x:c>
      <x:c r="IG495" t="str">
        <x:f>IF('Calculations'!IF495="","",IF('Calculations'!IF495="!AMBIG","!AMBIG",IF(COUNTIF('Calculations'!$HE$13:$HE$512,"="&amp;SUBSTITUTE(SUBSTITUTE(SUBSTITUTE('Calculations'!IF495,"~","~~"),"*","~*"),"?","~?"))&gt;1,"!AMBIG",IFERROR(INDEX('Calculations'!$HF$13:$HF$512,MATCH('Calculations'!IF495,'Calculations'!$HE$13:$HE$512,0)),""))))</x:f>
      </x:c>
      <x:c r="IH495" t="str">
        <x:f>IF('Calculations'!IG495="","",IF('Calculations'!IG495="!AMBIG","!AMBIG",IF(COUNTIF('Calculations'!$HE$13:$HE$512,"="&amp;SUBSTITUTE(SUBSTITUTE(SUBSTITUTE('Calculations'!IG495,"~","~~"),"*","~*"),"?","~?"))&gt;1,"!AMBIG",IFERROR(INDEX('Calculations'!$HF$13:$HF$512,MATCH('Calculations'!IG495,'Calculations'!$HE$13:$HE$512,0)),""))))</x:f>
      </x:c>
      <x:c r="II495" t="str">
        <x:f>IF('Calculations'!IH495="","",IF('Calculations'!IH495="!AMBIG","!AMBIG",IF(COUNTIF('Calculations'!$HE$13:$HE$512,"="&amp;SUBSTITUTE(SUBSTITUTE(SUBSTITUTE('Calculations'!IH495,"~","~~"),"*","~*"),"?","~?"))&gt;1,"!AMBIG",IFERROR(INDEX('Calculations'!$HF$13:$HF$512,MATCH('Calculations'!IH495,'Calculations'!$HE$13:$HE$512,0)),""))))</x:f>
      </x:c>
      <x:c r="IJ495" t="str">
        <x:f>IF('Calculations'!EM495="","",IF('Calculations'!$EF$2="All",'Calculations'!HM495,IF('Calculations'!HL495=1,"",IFERROR(IF(MATCH('Calculations'!$EF$2,'Calculations'!HO495:II495,0)=1,'Calculations'!HE495,INDEX('Calculations'!HO495:II495,1,MATCH('Calculations'!$EF$2,'Calculations'!HO495:II495,0)-1)),""))))</x:f>
      </x:c>
      <x:c r="IK495" t="n">
        <x:f>IF(AND('Calculations'!EM495&lt;&gt;"",'Calculations'!$EF$2&lt;&gt;"All",'Calculations'!HF495='Calculations'!$EF$2,'Calculations'!HL495=0,'Calculations'!JD495&gt;0),MAX('Calculations'!$IK$12:IK494)+1,0)</x:f>
        <x:v>0</x:v>
      </x:c>
      <x:c r="JA495" t="n">
        <x:f>IF(OR(IFERROR(INDIRECT("'WCM Calibration Final'!$A$495")&lt;&gt;"",FALSE),IFERROR(INDIRECT("'WCM Calibration Final'!$B$495")&lt;&gt;"",FALSE),IFERROR(INDIRECT("'WCM Calibration Final'!$C$495")&lt;&gt;"",FALSE)),495,0)</x:f>
        <x:v>0</x:v>
      </x:c>
      <x:c r="JB495" t="n">
        <x:f>'Calculations'!JB494+IF('Calculations'!JA495&gt;0,1,0)</x:f>
        <x:v>0</x:v>
      </x:c>
      <x:c r="JC495" t="n">
        <x:f>IF(OR('Calculations'!HF495="",'Calculations'!HF495="!AMBIG"),0,IF('Dashboard'!$B$7="All",1,COUNTIFS('Calculations'!$HO$13:$HO$512,"="&amp;SUBSTITUTE(SUBSTITUTE(SUBSTITUTE('Calculations'!HF495,"~","~~"),"*","~*"),"?","~?"),'Calculations'!$HN$13:$HN$512,"="&amp;SUBSTITUTE(SUBSTITUTE(SUBSTITUTE('Dashboard'!$B$7,"~","~~"),"*","~*"),"?","~?"))+COUNTIFS('Calculations'!$HP$13:$HP$512,"="&amp;SUBSTITUTE(SUBSTITUTE(SUBSTITUTE('Calculations'!HF495,"~","~~"),"*","~*"),"?","~?"),'Calculations'!$HN$13:$HN$512,"="&amp;SUBSTITUTE(SUBSTITUTE(SUBSTITUTE('Dashboard'!$B$7,"~","~~"),"*","~*"),"?","~?"))+COUNTIFS('Calculations'!$HQ$13:$HQ$512,"="&amp;SUBSTITUTE(SUBSTITUTE(SUBSTITUTE('Calculations'!HF495,"~","~~"),"*","~*"),"?","~?"),'Calculations'!$HN$13:$HN$512,"="&amp;SUBSTITUTE(SUBSTITUTE(SUBSTITUTE('Dashboard'!$B$7,"~","~~"),"*","~*"),"?","~?"))+COUNTIFS('Calculations'!$HR$13:$HR$512,"="&amp;SUBSTITUTE(SUBSTITUTE(SUBSTITUTE('Calculations'!HF495,"~","~~"),"*","~*"),"?","~?"),'Calculations'!$HN$13:$HN$512,"="&amp;SUBSTITUTE(SUBSTITUTE(SUBSTITUTE('Dashboard'!$B$7,"~","~~"),"*","~*"),"?","~?"))+COUNTIFS('Calculations'!$HS$13:$HS$512,"="&amp;SUBSTITUTE(SUBSTITUTE(SUBSTITUTE('Calculations'!HF495,"~","~~"),"*","~*"),"?","~?"),'Calculations'!$HN$13:$HN$512,"="&amp;SUBSTITUTE(SUBSTITUTE(SUBSTITUTE('Dashboard'!$B$7,"~","~~"),"*","~*"),"?","~?"))+COUNTIFS('Calculations'!$HT$13:$HT$512,"="&amp;SUBSTITUTE(SUBSTITUTE(SUBSTITUTE('Calculations'!HF495,"~","~~"),"*","~*"),"?","~?"),'Calculations'!$HN$13:$HN$512,"="&amp;SUBSTITUTE(SUBSTITUTE(SUBSTITUTE('Dashboard'!$B$7,"~","~~"),"*","~*"),"?","~?"))+COUNTIFS('Calculations'!$HU$13:$HU$512,"="&amp;SUBSTITUTE(SUBSTITUTE(SUBSTITUTE('Calculations'!HF495,"~","~~"),"*","~*"),"?","~?"),'Calculations'!$HN$13:$HN$512,"="&amp;SUBSTITUTE(SUBSTITUTE(SUBSTITUTE('Dashboard'!$B$7,"~","~~"),"*","~*"),"?","~?"))+COUNTIFS('Calculations'!$HV$13:$HV$512,"="&amp;SUBSTITUTE(SUBSTITUTE(SUBSTITUTE('Calculations'!HF495,"~","~~"),"*","~*"),"?","~?"),'Calculations'!$HN$13:$HN$512,"="&amp;SUBSTITUTE(SUBSTITUTE(SUBSTITUTE('Dashboard'!$B$7,"~","~~"),"*","~*"),"?","~?"))+COUNTIFS('Calculations'!$HW$13:$HW$512,"="&amp;SUBSTITUTE(SUBSTITUTE(SUBSTITUTE('Calculations'!HF495,"~","~~"),"*","~*"),"?","~?"),'Calculations'!$HN$13:$HN$512,"="&amp;SUBSTITUTE(SUBSTITUTE(SUBSTITUTE('Dashboard'!$B$7,"~","~~"),"*","~*"),"?","~?"))+COUNTIFS('Calculations'!$HX$13:$HX$512,"="&amp;SUBSTITUTE(SUBSTITUTE(SUBSTITUTE('Calculations'!HF495,"~","~~"),"*","~*"),"?","~?"),'Calculations'!$HN$13:$HN$512,"="&amp;SUBSTITUTE(SUBSTITUTE(SUBSTITUTE('Dashboard'!$B$7,"~","~~"),"*","~*"),"?","~?"))+COUNTIFS('Calculations'!$HY$13:$HY$512,"="&amp;SUBSTITUTE(SUBSTITUTE(SUBSTITUTE('Calculations'!HF495,"~","~~"),"*","~*"),"?","~?"),'Calculations'!$HN$13:$HN$512,"="&amp;SUBSTITUTE(SUBSTITUTE(SUBSTITUTE('Dashboard'!$B$7,"~","~~"),"*","~*"),"?","~?"))+COUNTIFS('Calculations'!$HZ$13:$HZ$512,"="&amp;SUBSTITUTE(SUBSTITUTE(SUBSTITUTE('Calculations'!HF495,"~","~~"),"*","~*"),"?","~?"),'Calculations'!$HN$13:$HN$512,"="&amp;SUBSTITUTE(SUBSTITUTE(SUBSTITUTE('Dashboard'!$B$7,"~","~~"),"*","~*"),"?","~?"))+COUNTIFS('Calculations'!$IA$13:$IA$512,"="&amp;SUBSTITUTE(SUBSTITUTE(SUBSTITUTE('Calculations'!HF495,"~","~~"),"*","~*"),"?","~?"),'Calculations'!$HN$13:$HN$512,"="&amp;SUBSTITUTE(SUBSTITUTE(SUBSTITUTE('Dashboard'!$B$7,"~","~~"),"*","~*"),"?","~?"))+COUNTIFS('Calculations'!$IB$13:$IB$512,"="&amp;SUBSTITUTE(SUBSTITUTE(SUBSTITUTE('Calculations'!HF495,"~","~~"),"*","~*"),"?","~?"),'Calculations'!$HN$13:$HN$512,"="&amp;SUBSTITUTE(SUBSTITUTE(SUBSTITUTE('Dashboard'!$B$7,"~","~~"),"*","~*"),"?","~?"))+COUNTIFS('Calculations'!$IC$13:$IC$512,"="&amp;SUBSTITUTE(SUBSTITUTE(SUBSTITUTE('Calculations'!HF495,"~","~~"),"*","~*"),"?","~?"),'Calculations'!$HN$13:$HN$512,"="&amp;SUBSTITUTE(SUBSTITUTE(SUBSTITUTE('Dashboard'!$B$7,"~","~~"),"*","~*"),"?","~?"))+COUNTIFS('Calculations'!$ID$13:$ID$512,"="&amp;SUBSTITUTE(SUBSTITUTE(SUBSTITUTE('Calculations'!HF495,"~","~~"),"*","~*"),"?","~?"),'Calculations'!$HN$13:$HN$512,"="&amp;SUBSTITUTE(SUBSTITUTE(SUBSTITUTE('Dashboard'!$B$7,"~","~~"),"*","~*"),"?","~?"))+COUNTIFS('Calculations'!$IE$13:$IE$512,"="&amp;SUBSTITUTE(SUBSTITUTE(SUBSTITUTE('Calculations'!HF495,"~","~~"),"*","~*"),"?","~?"),'Calculations'!$HN$13:$HN$512,"="&amp;SUBSTITUTE(SUBSTITUTE(SUBSTITUTE('Dashboard'!$B$7,"~","~~"),"*","~*"),"?","~?"))+COUNTIFS('Calculations'!$IF$13:$IF$512,"="&amp;SUBSTITUTE(SUBSTITUTE(SUBSTITUTE('Calculations'!HF495,"~","~~"),"*","~*"),"?","~?"),'Calculations'!$HN$13:$HN$512,"="&amp;SUBSTITUTE(SUBSTITUTE(SUBSTITUTE('Dashboard'!$B$7,"~","~~"),"*","~*"),"?","~?"))+COUNTIFS('Calculations'!$IG$13:$IG$512,"="&amp;SUBSTITUTE(SUBSTITUTE(SUBSTITUTE('Calculations'!HF495,"~","~~"),"*","~*"),"?","~?"),'Calculations'!$HN$13:$HN$512,"="&amp;SUBSTITUTE(SUBSTITUTE(SUBSTITUTE('Dashboard'!$B$7,"~","~~"),"*","~*"),"?","~?"))+COUNTIFS('Calculations'!$IH$13:$IH$512,"="&amp;SUBSTITUTE(SUBSTITUTE(SUBSTITUTE('Calculations'!HF495,"~","~~"),"*","~*"),"?","~?"),'Calculations'!$HN$13:$HN$512,"="&amp;SUBSTITUTE(SUBSTITUTE(SUBSTITUTE('Dashboard'!$B$7,"~","~~"),"*","~*"),"?","~?"))))</x:f>
        <x:v>0</x:v>
      </x:c>
      <x:c r="JD495" t="n">
        <x:f>IF('Calculations'!EM495="",0,IF('Dashboard'!$B$7="All",1,IF('Calculations'!HN495='Dashboard'!$B$7,1,0)+IFERROR(INDEX('Calculations'!$JC$13:$JC$512,MATCH('Calculations'!HE495,'Calculations'!$HF$13:$HF$512,0)),0)))</x:f>
        <x:v>0</x:v>
      </x:c>
      <x:c r="JE495" t="n">
        <x:f>IF(AND('Calculations'!EM495&lt;&gt;"",'Calculations'!$JJ$2&lt;&gt;"All",'Calculations'!$JJ$2&lt;&gt;"",'Calculations'!HF495='Calculations'!$JJ$2,'Calculations'!HL495=0,'Calculations'!JD495&gt;0),MAX('Calculations'!$JE$12:JE494)+1,0)</x:f>
        <x:v>0</x:v>
      </x:c>
      <x:c r="JF495" t="str">
        <x:f>IF('Calculations'!EM495="","",IFERROR(IF(INDEX(INDIRECT("'WCM Calibration Final'!$G$1:$G$2000"),'Calculations'!$EM495)="","",TRIM(INDEX(INDIRECT("'WCM Calibration Final'!$G$1:$G$2000"),'Calculations'!$EM495)&amp;"")),""))</x:f>
      </x:c>
      <x:c r="JQ495" t="n">
        <x:f>IF(OR('Calculations'!BM495=0,NOT('Calculations'!$AG$2),'Calculations'!$AG$8&gt;0),0,IF(OR('Dashboard'!$B$7="All",'Calculations'!HN495='Dashboard'!$B$7),IF('Calculations'!$JJ$2="All",1,IF(AND('Calculations'!HF495='Calculations'!$JJ$2,'Calculations'!HL495=0),1,0)),0))</x:f>
        <x:v>0</x:v>
      </x:c>
    </x:row>
    <x:row r="496">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t="n">
        <x:f>IF('Calculations'!$EM496="",0,IF(OR(IFERROR(INDEX(INDIRECT("'WCM Calibration Final'!$A$1:$A$2000"),'Calculations'!$EM496)&lt;&gt;"",FALSE),IFERROR(INDEX(INDIRECT("'WCM Calibration Final'!$B$1:$B$2000"),'Calculations'!$EM496)&lt;&gt;"",FALSE),IFERROR(INDEX(INDIRECT("'WCM Calibration Final'!$C$1:$C$2000"),'Calculations'!$EM496)&lt;&gt;"",FALSE)),1,0))</x:f>
        <x:v>0</x:v>
      </x:c>
      <x:c r="BN496" s="4" t="n">
        <x:f>IF(AND('Calculations'!BM496=1,'Calculations'!$AG$2,'Calculations'!$EN496=1),1,0)</x:f>
        <x:v>0</x:v>
      </x:c>
      <x:c r="BO496" s="4" t="str">
        <x:f>IF('Calculations'!BM496=0,"",IFERROR(IF(AND(VALUE(INDEX(INDIRECT("'WCM Calibration Final'!$K$1:$K$2000"),'Calculations'!$EM496))&gt;=1,VALUE(INDEX(INDIRECT("'WCM Calibration Final'!$K$1:$K$2000"),'Calculations'!$EM496))&lt;=4,MOD(VALUE(INDEX(INDIRECT("'WCM Calibration Final'!$K$1:$K$2000"),'Calculations'!$EM496)),1)=0),VALUE(INDEX(INDIRECT("'WCM Calibration Final'!$K$1:$K$2000"),'Calculations'!$EM496)),""),""))</x:f>
      </x:c>
      <x:c r="BP496" s="4" t="str">
        <x:f>IF('Calculations'!BM496=0,"",IFERROR(IF(AND(VALUE(INDEX(INDIRECT("'WCM Calibration Final'!$L$1:$L$2000"),'Calculations'!$EM496))&gt;=1,VALUE(INDEX(INDIRECT("'WCM Calibration Final'!$L$1:$L$2000"),'Calculations'!$EM496))&lt;=4,MOD(VALUE(INDEX(INDIRECT("'WCM Calibration Final'!$L$1:$L$2000"),'Calculations'!$EM496)),1)=0),VALUE(INDEX(INDIRECT("'WCM Calibration Final'!$L$1:$L$2000"),'Calculations'!$EM496)),""),""))</x:f>
      </x:c>
      <x:c r="BQ496" s="4"/>
      <x:c r="BR496" s="4"/>
      <x:c r="BS496" s="4"/>
      <x:c r="BT496" s="4" t="n">
        <x:f>IF(AND('Calculations'!BM496=1,ISNUMBER('Calculations'!BO496),ISNUMBER('Calculations'!BP496)),1,0)</x:f>
        <x:v>0</x:v>
      </x:c>
      <x:c r="BU496" s="4" t="str">
        <x:f>IF('Calculations'!BM496=0,"",'Calculations'!$EO496)</x:f>
      </x:c>
      <x:c r="BV496" s="4" t="str">
        <x:f>IF('Calculations'!BM496=0,"",IFERROR(IF(OR(INDEX(INDIRECT("'WCM Calibration Final'!$H$1:$H$2000"),'Calculations'!$EM496)="MANAGING DIRECTOR",INDEX(INDIRECT("'WCM Calibration Final'!$H$1:$H$2000"),'Calculations'!$EM496)="DIRECTOR",INDEX(INDIRECT("'WCM Calibration Final'!$H$1:$H$2000"),'Calculations'!$EM496)="SENIOR VICE PRESIDENT",INDEX(INDIRECT("'WCM Calibration Final'!$H$1:$H$2000"),'Calculations'!$EM496)="VICE PRESIDENT",INDEX(INDIRECT("'WCM Calibration Final'!$H$1:$H$2000"),'Calculations'!$EM496)="ASSISTANT VICE PRESIDENT",INDEX(INDIRECT("'WCM Calibration Final'!$H$1:$H$2000"),'Calculations'!$EM496)="OFFICER"),UPPER(INDEX(INDIRECT("'WCM Calibration Final'!$H$1:$H$2000"),'Calculations'!$EM496)),"Other"),"Other"))</x:f>
      </x:c>
      <x:c r="BW496" s="4"/>
      <x:c r="BX496" s="4"/>
      <x:c r="BY496" s="4" t="n">
        <x:f>IF(AND('Calculations'!BM496=1,'Calculations'!BU496&lt;&gt;"",COUNTIF('Calculations'!$BU$12:BU496,'Calculations'!BU496)=1),MAX('Calculations'!$BY$11:BY495)+1,0)</x:f>
        <x:v>0</x:v>
      </x:c>
      <x:c r="BZ496" s="4" t="str">
        <x:f>IF('Dashboard'!$E$67="What",'Calculations'!BO496,'Calculations'!BP496)</x:f>
      </x:c>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t="str">
        <x:f>IF(485&gt;MAX('Calculations'!$HI$13:$HI$512),"",INDEX('Calculations'!$HN$13:$HN$512,MATCH(485,'Calculations'!$HI$13:$HI$512,0)))</x:f>
      </x:c>
      <x:c r="DB496" s="4" t="str">
        <x:f>IF(485&gt;MAX('Calculations'!$HH$13:$HH$512),"",INDEX('Calculations'!$HJ$13:$HJ$512,MATCH(485,'Calculations'!$HH$13:$HH$512,0)))</x:f>
      </x:c>
      <x:c r="DC496" s="4" t="str">
        <x:f>IF(ROW()-11&gt;MAX('Calculations'!$BY$13:$BY$512),"",INDEX('Calculations'!$BU$13:$BU$512,MATCH(ROW()-11,'Calculations'!$BY$13:$BY$512,0)))</x:f>
      </x:c>
      <x:c r="DD496" s="4" t="str">
        <x:f>IF(485&gt;MAX('Calculations'!$IK$13:$IK$512),"",INDEX('Calculations'!$HK$13:$HK$512,MATCH(485,'Calculations'!$IK$13:$IK$512,0)))</x:f>
      </x:c>
      <x:c r="DE496" s="4" t="str">
        <x:f>'Calculations'!DC496</x:f>
      </x:c>
      <x:c r="DF496" s="4" t="str">
        <x:f>IF('Calculations'!DE496="","",COUNTIFS('Calculations'!$BN$13:$BN$512,1,'Calculations'!$BU$13:$BU$512,'Calculations'!DE496))</x:f>
      </x:c>
      <x:c r="DG496" s="4" t="str">
        <x:f>IF('Calculations'!DE496="","",COUNTIFS('Calculations'!$BN$13:$BN$512,1,'Calculations'!$BU$13:$BU$512,'Calculations'!DE496,'Calculations'!$BT$13:$BT$512,1))</x:f>
      </x:c>
      <x:c r="DH496" s="4" t="str">
        <x:f>IF('Calculations'!DE496="","",'Calculations'!DF496-'Calculations'!DG496)</x:f>
      </x:c>
      <x:c r="DI496" s="4" t="str">
        <x:f>IF(OR('Calculations'!DE496="",'Calculations'!DF496=0),"",'Calculations'!DG496/'Calculations'!DF496)</x:f>
      </x:c>
      <x:c r="DJ496" s="4" t="str">
        <x:f>IF('Calculations'!DE496="","",COUNTIFS('Calculations'!$BN$13:$BN$512,1,'Calculations'!$BU$13:$BU$512,'Calculations'!DE496,'Calculations'!$BT$13:$BT$512,1,'Calculations'!$EE$13:$EE$512,"High"))</x:f>
      </x:c>
      <x:c r="DK496" s="4" t="str">
        <x:f>IF('Calculations'!DE496="","",COUNTIFS('Calculations'!$BN$13:$BN$512,1,'Calculations'!$BU$13:$BU$512,'Calculations'!DE496,'Calculations'!$BT$13:$BT$512,1,'Calculations'!$EE$13:$EE$512,"Strong"))</x:f>
      </x:c>
      <x:c r="DL496" s="4" t="str">
        <x:f>IF('Calculations'!DE496="","",COUNTIFS('Calculations'!$BN$13:$BN$512,1,'Calculations'!$BU$13:$BU$512,'Calculations'!DE496,'Calculations'!$BT$13:$BT$512,1,'Calculations'!$EE$13:$EE$512,"Solid"))</x:f>
      </x:c>
      <x:c r="DM496" s="4" t="str">
        <x:f>IF('Calculations'!DE496="","",COUNTIFS('Calculations'!$BN$13:$BN$512,1,'Calculations'!$BU$13:$BU$512,'Calculations'!DE496,'Calculations'!$BT$13:$BT$512,1,'Calculations'!$EE$13:$EE$512,"Low"))</x:f>
      </x:c>
      <x:c r="DN496" s="4" t="str">
        <x:f>IF('Calculations'!DE496="","",COUNTIFS('Calculations'!$BN$13:$BN$512,1,'Calculations'!$BU$13:$BU$512,'Calculations'!DE496,'Calculations'!$EP$13:$EP$512,1))</x:f>
      </x:c>
      <x:c r="DO496" s="4" t="str">
        <x:f>IF(OR('Calculations'!DE496="",'Calculations'!DG496=0),"",('Calculations'!DJ496+'Calculations'!DK496)/'Calculations'!DG496)</x:f>
      </x:c>
      <x:c r="DP496" s="4" t="n">
        <x:f>IF(AND('Calculations'!DE496&lt;&gt;"",'Calculations'!DF496&gt;0),COUNTIF('Calculations'!$DF$12:DF496,"&gt;0"),0)</x:f>
        <x:v>0</x:v>
      </x:c>
      <x:c r="DQ496" s="4" t="str">
        <x:f>IF(485&gt;MAX('Calculations'!$HH$13:$HH$512),"",INDEX('Calculations'!$HF$13:$HF$512,MATCH(485,'Calculations'!$HH$13:$HH$512,0)))</x:f>
      </x:c>
      <x:c r="DR496" s="4" t="str">
        <x:f>IF(485&gt;MAX('Calculations'!$IK$13:$IK$512),"",INDEX('Calculations'!$HE$13:$HE$512,MATCH(485,'Calculations'!$IK$13:$IK$512,0)))</x:f>
      </x:c>
      <x:c r="DS496" s="4"/>
      <x:c r="DT496" s="4"/>
      <x:c r="DU496" s="4"/>
      <x:c r="DV496" s="4"/>
      <x:c r="DW496" s="4"/>
      <x:c r="DX496" s="4"/>
      <x:c r="DY496" s="4"/>
      <x:c r="DZ496" s="4"/>
      <x:c r="EA496" s="4"/>
      <x:c r="EB496" s="4"/>
      <x:c r="EC496" s="4"/>
      <x:c r="ED496" s="4"/>
      <x:c r="EE496" s="4" t="str">
        <x:f>IF('Calculations'!BT496=0,"Not Rated",IF(OR('Calculations'!BO496&gt;=4,'Calculations'!BP496&gt;=4),"Low",IF('Calculations'!BO496+'Calculations'!BP496&lt;=3,"High",IF('Calculations'!BO496+'Calculations'!BP496&lt;=4,"Strong","Solid"))))</x:f>
        <x:v>Not Rated</x:v>
      </x:c>
      <x:c r="EF496" s="4"/>
      <x:c r="EG496" s="4"/>
      <x:c r="EH496" s="4"/>
      <x:c r="EI496" s="4"/>
      <x:c r="EJ496" s="4"/>
      <x:c r="EK496" s="4"/>
      <x:c r="EL496" s="4"/>
      <x:c r="EM496" s="4" t="str">
        <x:f>IF(484&gt;'Calculations'!$JB$2000,"",INDEX('Calculations'!$JA$12:$JA$2000,MATCH(484,'Calculations'!$JB$12:$JB$2000,0)))</x:f>
      </x:c>
      <x:c r="EN496" s="4" t="n">
        <x:f>IF(OR('Calculations'!EM496="",'Calculations'!$AG$8&gt;0,AND('Calculations'!$EF$2&lt;&gt;"All",'Calculations'!HE496='Calculations'!$EF$2),AND('Calculations'!$EF$3&lt;&gt;"All",'Calculations'!HE496='Calculations'!$EF$3)),0,IF(OR('Dashboard'!$B$7="All",'Calculations'!HN496='Dashboard'!$B$7),IF('Calculations'!$EF$2="All",1,IF('Calculations'!HL496&gt;0,0,IF(COUNTIF('Calculations'!HO496:II496,"="&amp;SUBSTITUTE(SUBSTITUTE(SUBSTITUTE('Calculations'!$EF$2,"~","~~"),"*","~*"),"?","~?"))=0,0,IF('Calculations'!$EF$3="All",1,IF(COUNTIF('Calculations'!HO496:II496,"="&amp;SUBSTITUTE(SUBSTITUTE(SUBSTITUTE('Calculations'!$EF$3,"~","~~"),"*","~*"),"?","~?"))&gt;0,1,0))))),0))</x:f>
        <x:v>0</x:v>
      </x:c>
      <x:c r="EO496" s="4" t="str">
        <x:f>IF('Calculations'!IJ496="","",IF('Calculations'!IJ496="!UNRESOLVED","Unresolved hierarchy",IFERROR(INDEX('Calculations'!$HK$13:$HK$512,MATCH('Calculations'!IJ496,'Calculations'!$HE$13:$HE$512,0)),IFERROR(INDEX('Calculations'!$HJ$13:$HJ$512,MATCH('Calculations'!IJ496,'Calculations'!$HF$13:$HF$512,0)),'Calculations'!IJ496))))</x:f>
      </x:c>
      <x:c r="EP496" s="4" t="n">
        <x:f>IF(AND('Calculations'!EM496&lt;&gt;"",'Calculations'!HF496='Calculations'!IJ496),1,0)</x:f>
        <x:v>0</x:v>
      </x:c>
      <x:c r="EQ496" s="4"/>
      <x:c r="ER496" s="4"/>
      <x:c r="ES496" s="4"/>
      <x:c r="ET496" s="4"/>
      <x:c r="EU496" s="4"/>
      <x:c r="EV496" s="4"/>
      <x:c r="EW496" s="4"/>
      <x:c r="EX496" s="4"/>
      <x:c r="EY496" s="4"/>
      <x:c r="EZ496" s="4"/>
      <x:c r="FA496" s="4"/>
      <x:c r="FB496" s="4"/>
      <x:c r="FC496" s="4"/>
      <x:c r="FD496" s="4"/>
      <x:c r="FE496" s="4"/>
      <x:c r="FF496" s="4"/>
      <x:c r="FG496" s="4"/>
      <x:c r="FH496" s="4"/>
      <x:c r="FI496" s="4"/>
      <x:c r="FJ496" s="4"/>
      <x:c r="FK496" s="4"/>
      <x:c r="FL496" s="4"/>
      <x:c r="FM496" s="4"/>
      <x:c r="FN496" s="4"/>
      <x:c r="FO496" s="4"/>
      <x:c r="HE496" t="str">
        <x:f>IF('Calculations'!EM496="","",IF(IFERROR(IF(INDEX(INDIRECT("'WCM Calibration Final'!$A$1:$A$2000"),'Calculations'!$EM496)="","",TRIM(INDEX(INDIRECT("'WCM Calibration Final'!$A$1:$A$2000"),'Calculations'!$EM496)&amp;"")),"")&lt;&gt;"","G:"&amp;IFERROR(TEXT(1*INDEX(INDIRECT("'WCM Calibration Final'!$A$1:$A$2000"),'Calculations'!$EM496),"0"),UPPER(IFERROR(IF(INDEX(INDIRECT("'WCM Calibration Final'!$A$1:$A$2000"),'Calculations'!$EM496)="","",TRIM(INDEX(INDIRECT("'WCM Calibration Final'!$A$1:$A$2000"),'Calculations'!$EM496)&amp;"")),""))),IF(IFERROR(IF(INDEX(INDIRECT("'WCM Calibration Final'!$C$1:$C$2000"),'Calculations'!$EM496)="","",TRIM(INDEX(INDIRECT("'WCM Calibration Final'!$C$1:$C$2000"),'Calculations'!$EM496)&amp;"")),"")&lt;&gt;"","S:"&amp;UPPER(IFERROR(IF(INDEX(INDIRECT("'WCM Calibration Final'!$C$1:$C$2000"),'Calculations'!$EM496)="","",TRIM(INDEX(INDIRECT("'WCM Calibration Final'!$C$1:$C$2000"),'Calculations'!$EM496)&amp;"")),"")),"R:"&amp;'Calculations'!EM496)))</x:f>
      </x:c>
      <x:c r="HF496" t="str">
        <x:f>IF('Calculations'!EM496="","",IF(IFERROR(IF(INDEX(INDIRECT("'WCM Calibration Final'!$D$1:$D$2000"),'Calculations'!$EM496)="","",TRIM(INDEX(INDIRECT("'WCM Calibration Final'!$D$1:$D$2000"),'Calculations'!$EM496)&amp;"")),"")&lt;&gt;"","G:"&amp;IFERROR(TEXT(1*INDEX(INDIRECT("'WCM Calibration Final'!$D$1:$D$2000"),'Calculations'!$EM496),"0"),UPPER(IFERROR(IF(INDEX(INDIRECT("'WCM Calibration Final'!$D$1:$D$2000"),'Calculations'!$EM496)="","",TRIM(INDEX(INDIRECT("'WCM Calibration Final'!$D$1:$D$2000"),'Calculations'!$EM496)&amp;"")),""))),IF(IFERROR(IF(INDEX(INDIRECT("'WCM Calibration Final'!$E$1:$E$2000"),'Calculations'!$EM496)="","",TRIM(INDEX(INDIRECT("'WCM Calibration Final'!$E$1:$E$2000"),'Calculations'!$EM496)&amp;"")),"")="","",IF(COUNTIF('Calculations'!$HG$13:$HG$512,"="&amp;SUBSTITUTE(SUBSTITUTE(SUBSTITUTE(IFERROR(IF(INDEX(INDIRECT("'WCM Calibration Final'!$E$1:$E$2000"),'Calculations'!$EM496)="","",TRIM(INDEX(INDIRECT("'WCM Calibration Final'!$E$1:$E$2000"),'Calculations'!$EM496)&amp;"")),""),"~","~~"),"*","~*"),"?","~?"))=1,INDEX('Calculations'!$HE$13:$HE$512,MATCH(IFERROR(IF(INDEX(INDIRECT("'WCM Calibration Final'!$E$1:$E$2000"),'Calculations'!$EM496)="","",TRIM(INDEX(INDIRECT("'WCM Calibration Final'!$E$1:$E$2000"),'Calculations'!$EM496)&amp;"")),""),'Calculations'!$HG$13:$HG$512,0)),IF(COUNTIF('Calculations'!$HG$13:$HG$512,"="&amp;SUBSTITUTE(SUBSTITUTE(SUBSTITUTE(IFERROR(IF(INDEX(INDIRECT("'WCM Calibration Final'!$E$1:$E$2000"),'Calculations'!$EM496)="","",TRIM(INDEX(INDIRECT("'WCM Calibration Final'!$E$1:$E$2000"),'Calculations'!$EM496)&amp;"")),""),"~","~~"),"*","~*"),"?","~?"))&gt;1,"!AMBIG","X:"&amp;IFERROR(IF(INDEX(INDIRECT("'WCM Calibration Final'!$E$1:$E$2000"),'Calculations'!$EM496)="","",TRIM(INDEX(INDIRECT("'WCM Calibration Final'!$E$1:$E$2000"),'Calculations'!$EM496)&amp;"")),""))))))</x:f>
      </x:c>
      <x:c r="HG496" t="str">
        <x:f>IF('Calculations'!EM496="","",IFERROR(IF(INDEX(INDIRECT("'WCM Calibration Final'!$B$1:$B$2000"),'Calculations'!$EM496)="","",TRIM(INDEX(INDIRECT("'WCM Calibration Final'!$B$1:$B$2000"),'Calculations'!$EM496)&amp;"")),""))</x:f>
      </x:c>
      <x:c r="HH496" t="n">
        <x:f>IF(AND('Calculations'!JC496&gt;0,COUNTIF('Calculations'!$HF$12:HF496,"="&amp;SUBSTITUTE(SUBSTITUTE(SUBSTITUTE('Calculations'!HF496,"~","~~"),"*","~*"),"?","~?"))=1),MAX('Calculations'!$HH$12:HH495)+1,0)</x:f>
        <x:v>0</x:v>
      </x:c>
      <x:c r="HI496" t="n">
        <x:f>IF(AND('Calculations'!HN496&lt;&gt;"",COUNTIF('Calculations'!$HN$12:HN496,"="&amp;SUBSTITUTE(SUBSTITUTE(SUBSTITUTE('Calculations'!HN496,"~","~~"),"*","~*"),"?","~?"))=1),MAX('Calculations'!$HI$12:HI495)+1,0)</x:f>
        <x:v>0</x:v>
      </x:c>
      <x:c r="HJ496" t="str">
        <x:f>IF('Calculations'!HF496="","",IF(COUNTIF('Calculations'!$HE$13:$HE$512,"="&amp;SUBSTITUTE(SUBSTITUTE(SUBSTITUTE('Calculations'!HF496,"~","~~"),"*","~*"),"?","~?"))=1,INDEX('Calculations'!$HK$13:$HK$512,MATCH('Calculations'!HF496,'Calculations'!$HE$13:$HE$512,0)),IFERROR(IF(INDEX(INDIRECT("'WCM Calibration Final'!$E$1:$E$2000"),'Calculations'!$EM496)="","",TRIM(INDEX(INDIRECT("'WCM Calibration Final'!$E$1:$E$2000"),'Calculations'!$EM496)&amp;"")),"")&amp;" ["&amp;'Calculations'!HF496&amp;"]"))</x:f>
      </x:c>
      <x:c r="HK496" t="str">
        <x:f>IF('Calculations'!EM496="","",'Calculations'!HG496&amp;" ["&amp;'Calculations'!HE496&amp;"]")</x:f>
      </x:c>
      <x:c r="HL496" t="n">
        <x:f>IF('Calculations'!EM496="",0,IF(OR('Calculations'!II496&lt;&gt;"",COUNTIF('Calculations'!$HE$13:$HE$512,"="&amp;SUBSTITUTE(SUBSTITUTE(SUBSTITUTE('Calculations'!HE496,"~","~~"),"*","~*"),"?","~?"))&gt;1),1,0))</x:f>
        <x:v>0</x:v>
      </x:c>
      <x:c r="HM496" t="str">
        <x:f>IF('Calculations'!EM496="","",IF('Calculations'!HL496=1,"!UNRESOLVED",IF('Calculations'!IH496&lt;&gt;"",'Calculations'!IH496,IF('Calculations'!IG496&lt;&gt;"",'Calculations'!IG496,IF('Calculations'!IF496&lt;&gt;"",'Calculations'!IF496,IF('Calculations'!IE496&lt;&gt;"",'Calculations'!IE496,IF('Calculations'!ID496&lt;&gt;"",'Calculations'!ID496,IF('Calculations'!IC496&lt;&gt;"",'Calculations'!IC496,IF('Calculations'!IB496&lt;&gt;"",'Calculations'!IB496,IF('Calculations'!IA496&lt;&gt;"",'Calculations'!IA496,IF('Calculations'!HZ496&lt;&gt;"",'Calculations'!HZ496,IF('Calculations'!HY496&lt;&gt;"",'Calculations'!HY496,IF('Calculations'!HX496&lt;&gt;"",'Calculations'!HX496,IF('Calculations'!HW496&lt;&gt;"",'Calculations'!HW496,IF('Calculations'!HV496&lt;&gt;"",'Calculations'!HV496,IF('Calculations'!HU496&lt;&gt;"",'Calculations'!HU496,IF('Calculations'!HT496&lt;&gt;"",'Calculations'!HT496,IF('Calculations'!HS496&lt;&gt;"",'Calculations'!HS496,IF('Calculations'!HR496&lt;&gt;"",'Calculations'!HR496,IF('Calculations'!HQ496&lt;&gt;"",'Calculations'!HQ496,IF('Calculations'!HP496&lt;&gt;"",'Calculations'!HP496,IF('Calculations'!HO496&lt;&gt;"",'Calculations'!HO496,'Calculations'!HE496))))))))))))))))))))))</x:f>
      </x:c>
      <x:c r="HN496" t="str">
        <x:f>IF('Calculations'!EM496="","",IF(IFERROR(IF(INDEX(INDIRECT("'WCM Calibration Final'!$F$1:$F$2000"),'Calculations'!$EM496)="","",TRIM(INDEX(INDIRECT("'WCM Calibration Final'!$F$1:$F$2000"),'Calculations'!$EM496)&amp;"")),"")="","(Blank)",IFERROR(IF(INDEX(INDIRECT("'WCM Calibration Final'!$F$1:$F$2000"),'Calculations'!$EM496)="","",TRIM(INDEX(INDIRECT("'WCM Calibration Final'!$F$1:$F$2000"),'Calculations'!$EM496)&amp;"")),"")))</x:f>
      </x:c>
      <x:c r="HO496" t="str">
        <x:f>'Calculations'!HF496</x:f>
      </x:c>
      <x:c r="HP496" t="str">
        <x:f>IF('Calculations'!HO496="","",IF('Calculations'!HO496="!AMBIG","!AMBIG",IF(COUNTIF('Calculations'!$HE$13:$HE$512,"="&amp;SUBSTITUTE(SUBSTITUTE(SUBSTITUTE('Calculations'!HO496,"~","~~"),"*","~*"),"?","~?"))&gt;1,"!AMBIG",IFERROR(INDEX('Calculations'!$HF$13:$HF$512,MATCH('Calculations'!HO496,'Calculations'!$HE$13:$HE$512,0)),""))))</x:f>
      </x:c>
      <x:c r="HQ496" t="str">
        <x:f>IF('Calculations'!HP496="","",IF('Calculations'!HP496="!AMBIG","!AMBIG",IF(COUNTIF('Calculations'!$HE$13:$HE$512,"="&amp;SUBSTITUTE(SUBSTITUTE(SUBSTITUTE('Calculations'!HP496,"~","~~"),"*","~*"),"?","~?"))&gt;1,"!AMBIG",IFERROR(INDEX('Calculations'!$HF$13:$HF$512,MATCH('Calculations'!HP496,'Calculations'!$HE$13:$HE$512,0)),""))))</x:f>
      </x:c>
      <x:c r="HR496" t="str">
        <x:f>IF('Calculations'!HQ496="","",IF('Calculations'!HQ496="!AMBIG","!AMBIG",IF(COUNTIF('Calculations'!$HE$13:$HE$512,"="&amp;SUBSTITUTE(SUBSTITUTE(SUBSTITUTE('Calculations'!HQ496,"~","~~"),"*","~*"),"?","~?"))&gt;1,"!AMBIG",IFERROR(INDEX('Calculations'!$HF$13:$HF$512,MATCH('Calculations'!HQ496,'Calculations'!$HE$13:$HE$512,0)),""))))</x:f>
      </x:c>
      <x:c r="HS496" t="str">
        <x:f>IF('Calculations'!HR496="","",IF('Calculations'!HR496="!AMBIG","!AMBIG",IF(COUNTIF('Calculations'!$HE$13:$HE$512,"="&amp;SUBSTITUTE(SUBSTITUTE(SUBSTITUTE('Calculations'!HR496,"~","~~"),"*","~*"),"?","~?"))&gt;1,"!AMBIG",IFERROR(INDEX('Calculations'!$HF$13:$HF$512,MATCH('Calculations'!HR496,'Calculations'!$HE$13:$HE$512,0)),""))))</x:f>
      </x:c>
      <x:c r="HT496" t="str">
        <x:f>IF('Calculations'!HS496="","",IF('Calculations'!HS496="!AMBIG","!AMBIG",IF(COUNTIF('Calculations'!$HE$13:$HE$512,"="&amp;SUBSTITUTE(SUBSTITUTE(SUBSTITUTE('Calculations'!HS496,"~","~~"),"*","~*"),"?","~?"))&gt;1,"!AMBIG",IFERROR(INDEX('Calculations'!$HF$13:$HF$512,MATCH('Calculations'!HS496,'Calculations'!$HE$13:$HE$512,0)),""))))</x:f>
      </x:c>
      <x:c r="HU496" t="str">
        <x:f>IF('Calculations'!HT496="","",IF('Calculations'!HT496="!AMBIG","!AMBIG",IF(COUNTIF('Calculations'!$HE$13:$HE$512,"="&amp;SUBSTITUTE(SUBSTITUTE(SUBSTITUTE('Calculations'!HT496,"~","~~"),"*","~*"),"?","~?"))&gt;1,"!AMBIG",IFERROR(INDEX('Calculations'!$HF$13:$HF$512,MATCH('Calculations'!HT496,'Calculations'!$HE$13:$HE$512,0)),""))))</x:f>
      </x:c>
      <x:c r="HV496" t="str">
        <x:f>IF('Calculations'!HU496="","",IF('Calculations'!HU496="!AMBIG","!AMBIG",IF(COUNTIF('Calculations'!$HE$13:$HE$512,"="&amp;SUBSTITUTE(SUBSTITUTE(SUBSTITUTE('Calculations'!HU496,"~","~~"),"*","~*"),"?","~?"))&gt;1,"!AMBIG",IFERROR(INDEX('Calculations'!$HF$13:$HF$512,MATCH('Calculations'!HU496,'Calculations'!$HE$13:$HE$512,0)),""))))</x:f>
      </x:c>
      <x:c r="HW496" t="str">
        <x:f>IF('Calculations'!HV496="","",IF('Calculations'!HV496="!AMBIG","!AMBIG",IF(COUNTIF('Calculations'!$HE$13:$HE$512,"="&amp;SUBSTITUTE(SUBSTITUTE(SUBSTITUTE('Calculations'!HV496,"~","~~"),"*","~*"),"?","~?"))&gt;1,"!AMBIG",IFERROR(INDEX('Calculations'!$HF$13:$HF$512,MATCH('Calculations'!HV496,'Calculations'!$HE$13:$HE$512,0)),""))))</x:f>
      </x:c>
      <x:c r="HX496" t="str">
        <x:f>IF('Calculations'!HW496="","",IF('Calculations'!HW496="!AMBIG","!AMBIG",IF(COUNTIF('Calculations'!$HE$13:$HE$512,"="&amp;SUBSTITUTE(SUBSTITUTE(SUBSTITUTE('Calculations'!HW496,"~","~~"),"*","~*"),"?","~?"))&gt;1,"!AMBIG",IFERROR(INDEX('Calculations'!$HF$13:$HF$512,MATCH('Calculations'!HW496,'Calculations'!$HE$13:$HE$512,0)),""))))</x:f>
      </x:c>
      <x:c r="HY496" t="str">
        <x:f>IF('Calculations'!HX496="","",IF('Calculations'!HX496="!AMBIG","!AMBIG",IF(COUNTIF('Calculations'!$HE$13:$HE$512,"="&amp;SUBSTITUTE(SUBSTITUTE(SUBSTITUTE('Calculations'!HX496,"~","~~"),"*","~*"),"?","~?"))&gt;1,"!AMBIG",IFERROR(INDEX('Calculations'!$HF$13:$HF$512,MATCH('Calculations'!HX496,'Calculations'!$HE$13:$HE$512,0)),""))))</x:f>
      </x:c>
      <x:c r="HZ496" t="str">
        <x:f>IF('Calculations'!HY496="","",IF('Calculations'!HY496="!AMBIG","!AMBIG",IF(COUNTIF('Calculations'!$HE$13:$HE$512,"="&amp;SUBSTITUTE(SUBSTITUTE(SUBSTITUTE('Calculations'!HY496,"~","~~"),"*","~*"),"?","~?"))&gt;1,"!AMBIG",IFERROR(INDEX('Calculations'!$HF$13:$HF$512,MATCH('Calculations'!HY496,'Calculations'!$HE$13:$HE$512,0)),""))))</x:f>
      </x:c>
      <x:c r="IA496" t="str">
        <x:f>IF('Calculations'!HZ496="","",IF('Calculations'!HZ496="!AMBIG","!AMBIG",IF(COUNTIF('Calculations'!$HE$13:$HE$512,"="&amp;SUBSTITUTE(SUBSTITUTE(SUBSTITUTE('Calculations'!HZ496,"~","~~"),"*","~*"),"?","~?"))&gt;1,"!AMBIG",IFERROR(INDEX('Calculations'!$HF$13:$HF$512,MATCH('Calculations'!HZ496,'Calculations'!$HE$13:$HE$512,0)),""))))</x:f>
      </x:c>
      <x:c r="IB496" t="str">
        <x:f>IF('Calculations'!IA496="","",IF('Calculations'!IA496="!AMBIG","!AMBIG",IF(COUNTIF('Calculations'!$HE$13:$HE$512,"="&amp;SUBSTITUTE(SUBSTITUTE(SUBSTITUTE('Calculations'!IA496,"~","~~"),"*","~*"),"?","~?"))&gt;1,"!AMBIG",IFERROR(INDEX('Calculations'!$HF$13:$HF$512,MATCH('Calculations'!IA496,'Calculations'!$HE$13:$HE$512,0)),""))))</x:f>
      </x:c>
      <x:c r="IC496" t="str">
        <x:f>IF('Calculations'!IB496="","",IF('Calculations'!IB496="!AMBIG","!AMBIG",IF(COUNTIF('Calculations'!$HE$13:$HE$512,"="&amp;SUBSTITUTE(SUBSTITUTE(SUBSTITUTE('Calculations'!IB496,"~","~~"),"*","~*"),"?","~?"))&gt;1,"!AMBIG",IFERROR(INDEX('Calculations'!$HF$13:$HF$512,MATCH('Calculations'!IB496,'Calculations'!$HE$13:$HE$512,0)),""))))</x:f>
      </x:c>
      <x:c r="ID496" t="str">
        <x:f>IF('Calculations'!IC496="","",IF('Calculations'!IC496="!AMBIG","!AMBIG",IF(COUNTIF('Calculations'!$HE$13:$HE$512,"="&amp;SUBSTITUTE(SUBSTITUTE(SUBSTITUTE('Calculations'!IC496,"~","~~"),"*","~*"),"?","~?"))&gt;1,"!AMBIG",IFERROR(INDEX('Calculations'!$HF$13:$HF$512,MATCH('Calculations'!IC496,'Calculations'!$HE$13:$HE$512,0)),""))))</x:f>
      </x:c>
      <x:c r="IE496" t="str">
        <x:f>IF('Calculations'!ID496="","",IF('Calculations'!ID496="!AMBIG","!AMBIG",IF(COUNTIF('Calculations'!$HE$13:$HE$512,"="&amp;SUBSTITUTE(SUBSTITUTE(SUBSTITUTE('Calculations'!ID496,"~","~~"),"*","~*"),"?","~?"))&gt;1,"!AMBIG",IFERROR(INDEX('Calculations'!$HF$13:$HF$512,MATCH('Calculations'!ID496,'Calculations'!$HE$13:$HE$512,0)),""))))</x:f>
      </x:c>
      <x:c r="IF496" t="str">
        <x:f>IF('Calculations'!IE496="","",IF('Calculations'!IE496="!AMBIG","!AMBIG",IF(COUNTIF('Calculations'!$HE$13:$HE$512,"="&amp;SUBSTITUTE(SUBSTITUTE(SUBSTITUTE('Calculations'!IE496,"~","~~"),"*","~*"),"?","~?"))&gt;1,"!AMBIG",IFERROR(INDEX('Calculations'!$HF$13:$HF$512,MATCH('Calculations'!IE496,'Calculations'!$HE$13:$HE$512,0)),""))))</x:f>
      </x:c>
      <x:c r="IG496" t="str">
        <x:f>IF('Calculations'!IF496="","",IF('Calculations'!IF496="!AMBIG","!AMBIG",IF(COUNTIF('Calculations'!$HE$13:$HE$512,"="&amp;SUBSTITUTE(SUBSTITUTE(SUBSTITUTE('Calculations'!IF496,"~","~~"),"*","~*"),"?","~?"))&gt;1,"!AMBIG",IFERROR(INDEX('Calculations'!$HF$13:$HF$512,MATCH('Calculations'!IF496,'Calculations'!$HE$13:$HE$512,0)),""))))</x:f>
      </x:c>
      <x:c r="IH496" t="str">
        <x:f>IF('Calculations'!IG496="","",IF('Calculations'!IG496="!AMBIG","!AMBIG",IF(COUNTIF('Calculations'!$HE$13:$HE$512,"="&amp;SUBSTITUTE(SUBSTITUTE(SUBSTITUTE('Calculations'!IG496,"~","~~"),"*","~*"),"?","~?"))&gt;1,"!AMBIG",IFERROR(INDEX('Calculations'!$HF$13:$HF$512,MATCH('Calculations'!IG496,'Calculations'!$HE$13:$HE$512,0)),""))))</x:f>
      </x:c>
      <x:c r="II496" t="str">
        <x:f>IF('Calculations'!IH496="","",IF('Calculations'!IH496="!AMBIG","!AMBIG",IF(COUNTIF('Calculations'!$HE$13:$HE$512,"="&amp;SUBSTITUTE(SUBSTITUTE(SUBSTITUTE('Calculations'!IH496,"~","~~"),"*","~*"),"?","~?"))&gt;1,"!AMBIG",IFERROR(INDEX('Calculations'!$HF$13:$HF$512,MATCH('Calculations'!IH496,'Calculations'!$HE$13:$HE$512,0)),""))))</x:f>
      </x:c>
      <x:c r="IJ496" t="str">
        <x:f>IF('Calculations'!EM496="","",IF('Calculations'!$EF$2="All",'Calculations'!HM496,IF('Calculations'!HL496=1,"",IFERROR(IF(MATCH('Calculations'!$EF$2,'Calculations'!HO496:II496,0)=1,'Calculations'!HE496,INDEX('Calculations'!HO496:II496,1,MATCH('Calculations'!$EF$2,'Calculations'!HO496:II496,0)-1)),""))))</x:f>
      </x:c>
      <x:c r="IK496" t="n">
        <x:f>IF(AND('Calculations'!EM496&lt;&gt;"",'Calculations'!$EF$2&lt;&gt;"All",'Calculations'!HF496='Calculations'!$EF$2,'Calculations'!HL496=0,'Calculations'!JD496&gt;0),MAX('Calculations'!$IK$12:IK495)+1,0)</x:f>
        <x:v>0</x:v>
      </x:c>
      <x:c r="JA496" t="n">
        <x:f>IF(OR(IFERROR(INDIRECT("'WCM Calibration Final'!$A$496")&lt;&gt;"",FALSE),IFERROR(INDIRECT("'WCM Calibration Final'!$B$496")&lt;&gt;"",FALSE),IFERROR(INDIRECT("'WCM Calibration Final'!$C$496")&lt;&gt;"",FALSE)),496,0)</x:f>
        <x:v>0</x:v>
      </x:c>
      <x:c r="JB496" t="n">
        <x:f>'Calculations'!JB495+IF('Calculations'!JA496&gt;0,1,0)</x:f>
        <x:v>0</x:v>
      </x:c>
      <x:c r="JC496" t="n">
        <x:f>IF(OR('Calculations'!HF496="",'Calculations'!HF496="!AMBIG"),0,IF('Dashboard'!$B$7="All",1,COUNTIFS('Calculations'!$HO$13:$HO$512,"="&amp;SUBSTITUTE(SUBSTITUTE(SUBSTITUTE('Calculations'!HF496,"~","~~"),"*","~*"),"?","~?"),'Calculations'!$HN$13:$HN$512,"="&amp;SUBSTITUTE(SUBSTITUTE(SUBSTITUTE('Dashboard'!$B$7,"~","~~"),"*","~*"),"?","~?"))+COUNTIFS('Calculations'!$HP$13:$HP$512,"="&amp;SUBSTITUTE(SUBSTITUTE(SUBSTITUTE('Calculations'!HF496,"~","~~"),"*","~*"),"?","~?"),'Calculations'!$HN$13:$HN$512,"="&amp;SUBSTITUTE(SUBSTITUTE(SUBSTITUTE('Dashboard'!$B$7,"~","~~"),"*","~*"),"?","~?"))+COUNTIFS('Calculations'!$HQ$13:$HQ$512,"="&amp;SUBSTITUTE(SUBSTITUTE(SUBSTITUTE('Calculations'!HF496,"~","~~"),"*","~*"),"?","~?"),'Calculations'!$HN$13:$HN$512,"="&amp;SUBSTITUTE(SUBSTITUTE(SUBSTITUTE('Dashboard'!$B$7,"~","~~"),"*","~*"),"?","~?"))+COUNTIFS('Calculations'!$HR$13:$HR$512,"="&amp;SUBSTITUTE(SUBSTITUTE(SUBSTITUTE('Calculations'!HF496,"~","~~"),"*","~*"),"?","~?"),'Calculations'!$HN$13:$HN$512,"="&amp;SUBSTITUTE(SUBSTITUTE(SUBSTITUTE('Dashboard'!$B$7,"~","~~"),"*","~*"),"?","~?"))+COUNTIFS('Calculations'!$HS$13:$HS$512,"="&amp;SUBSTITUTE(SUBSTITUTE(SUBSTITUTE('Calculations'!HF496,"~","~~"),"*","~*"),"?","~?"),'Calculations'!$HN$13:$HN$512,"="&amp;SUBSTITUTE(SUBSTITUTE(SUBSTITUTE('Dashboard'!$B$7,"~","~~"),"*","~*"),"?","~?"))+COUNTIFS('Calculations'!$HT$13:$HT$512,"="&amp;SUBSTITUTE(SUBSTITUTE(SUBSTITUTE('Calculations'!HF496,"~","~~"),"*","~*"),"?","~?"),'Calculations'!$HN$13:$HN$512,"="&amp;SUBSTITUTE(SUBSTITUTE(SUBSTITUTE('Dashboard'!$B$7,"~","~~"),"*","~*"),"?","~?"))+COUNTIFS('Calculations'!$HU$13:$HU$512,"="&amp;SUBSTITUTE(SUBSTITUTE(SUBSTITUTE('Calculations'!HF496,"~","~~"),"*","~*"),"?","~?"),'Calculations'!$HN$13:$HN$512,"="&amp;SUBSTITUTE(SUBSTITUTE(SUBSTITUTE('Dashboard'!$B$7,"~","~~"),"*","~*"),"?","~?"))+COUNTIFS('Calculations'!$HV$13:$HV$512,"="&amp;SUBSTITUTE(SUBSTITUTE(SUBSTITUTE('Calculations'!HF496,"~","~~"),"*","~*"),"?","~?"),'Calculations'!$HN$13:$HN$512,"="&amp;SUBSTITUTE(SUBSTITUTE(SUBSTITUTE('Dashboard'!$B$7,"~","~~"),"*","~*"),"?","~?"))+COUNTIFS('Calculations'!$HW$13:$HW$512,"="&amp;SUBSTITUTE(SUBSTITUTE(SUBSTITUTE('Calculations'!HF496,"~","~~"),"*","~*"),"?","~?"),'Calculations'!$HN$13:$HN$512,"="&amp;SUBSTITUTE(SUBSTITUTE(SUBSTITUTE('Dashboard'!$B$7,"~","~~"),"*","~*"),"?","~?"))+COUNTIFS('Calculations'!$HX$13:$HX$512,"="&amp;SUBSTITUTE(SUBSTITUTE(SUBSTITUTE('Calculations'!HF496,"~","~~"),"*","~*"),"?","~?"),'Calculations'!$HN$13:$HN$512,"="&amp;SUBSTITUTE(SUBSTITUTE(SUBSTITUTE('Dashboard'!$B$7,"~","~~"),"*","~*"),"?","~?"))+COUNTIFS('Calculations'!$HY$13:$HY$512,"="&amp;SUBSTITUTE(SUBSTITUTE(SUBSTITUTE('Calculations'!HF496,"~","~~"),"*","~*"),"?","~?"),'Calculations'!$HN$13:$HN$512,"="&amp;SUBSTITUTE(SUBSTITUTE(SUBSTITUTE('Dashboard'!$B$7,"~","~~"),"*","~*"),"?","~?"))+COUNTIFS('Calculations'!$HZ$13:$HZ$512,"="&amp;SUBSTITUTE(SUBSTITUTE(SUBSTITUTE('Calculations'!HF496,"~","~~"),"*","~*"),"?","~?"),'Calculations'!$HN$13:$HN$512,"="&amp;SUBSTITUTE(SUBSTITUTE(SUBSTITUTE('Dashboard'!$B$7,"~","~~"),"*","~*"),"?","~?"))+COUNTIFS('Calculations'!$IA$13:$IA$512,"="&amp;SUBSTITUTE(SUBSTITUTE(SUBSTITUTE('Calculations'!HF496,"~","~~"),"*","~*"),"?","~?"),'Calculations'!$HN$13:$HN$512,"="&amp;SUBSTITUTE(SUBSTITUTE(SUBSTITUTE('Dashboard'!$B$7,"~","~~"),"*","~*"),"?","~?"))+COUNTIFS('Calculations'!$IB$13:$IB$512,"="&amp;SUBSTITUTE(SUBSTITUTE(SUBSTITUTE('Calculations'!HF496,"~","~~"),"*","~*"),"?","~?"),'Calculations'!$HN$13:$HN$512,"="&amp;SUBSTITUTE(SUBSTITUTE(SUBSTITUTE('Dashboard'!$B$7,"~","~~"),"*","~*"),"?","~?"))+COUNTIFS('Calculations'!$IC$13:$IC$512,"="&amp;SUBSTITUTE(SUBSTITUTE(SUBSTITUTE('Calculations'!HF496,"~","~~"),"*","~*"),"?","~?"),'Calculations'!$HN$13:$HN$512,"="&amp;SUBSTITUTE(SUBSTITUTE(SUBSTITUTE('Dashboard'!$B$7,"~","~~"),"*","~*"),"?","~?"))+COUNTIFS('Calculations'!$ID$13:$ID$512,"="&amp;SUBSTITUTE(SUBSTITUTE(SUBSTITUTE('Calculations'!HF496,"~","~~"),"*","~*"),"?","~?"),'Calculations'!$HN$13:$HN$512,"="&amp;SUBSTITUTE(SUBSTITUTE(SUBSTITUTE('Dashboard'!$B$7,"~","~~"),"*","~*"),"?","~?"))+COUNTIFS('Calculations'!$IE$13:$IE$512,"="&amp;SUBSTITUTE(SUBSTITUTE(SUBSTITUTE('Calculations'!HF496,"~","~~"),"*","~*"),"?","~?"),'Calculations'!$HN$13:$HN$512,"="&amp;SUBSTITUTE(SUBSTITUTE(SUBSTITUTE('Dashboard'!$B$7,"~","~~"),"*","~*"),"?","~?"))+COUNTIFS('Calculations'!$IF$13:$IF$512,"="&amp;SUBSTITUTE(SUBSTITUTE(SUBSTITUTE('Calculations'!HF496,"~","~~"),"*","~*"),"?","~?"),'Calculations'!$HN$13:$HN$512,"="&amp;SUBSTITUTE(SUBSTITUTE(SUBSTITUTE('Dashboard'!$B$7,"~","~~"),"*","~*"),"?","~?"))+COUNTIFS('Calculations'!$IG$13:$IG$512,"="&amp;SUBSTITUTE(SUBSTITUTE(SUBSTITUTE('Calculations'!HF496,"~","~~"),"*","~*"),"?","~?"),'Calculations'!$HN$13:$HN$512,"="&amp;SUBSTITUTE(SUBSTITUTE(SUBSTITUTE('Dashboard'!$B$7,"~","~~"),"*","~*"),"?","~?"))+COUNTIFS('Calculations'!$IH$13:$IH$512,"="&amp;SUBSTITUTE(SUBSTITUTE(SUBSTITUTE('Calculations'!HF496,"~","~~"),"*","~*"),"?","~?"),'Calculations'!$HN$13:$HN$512,"="&amp;SUBSTITUTE(SUBSTITUTE(SUBSTITUTE('Dashboard'!$B$7,"~","~~"),"*","~*"),"?","~?"))))</x:f>
        <x:v>0</x:v>
      </x:c>
      <x:c r="JD496" t="n">
        <x:f>IF('Calculations'!EM496="",0,IF('Dashboard'!$B$7="All",1,IF('Calculations'!HN496='Dashboard'!$B$7,1,0)+IFERROR(INDEX('Calculations'!$JC$13:$JC$512,MATCH('Calculations'!HE496,'Calculations'!$HF$13:$HF$512,0)),0)))</x:f>
        <x:v>0</x:v>
      </x:c>
      <x:c r="JE496" t="n">
        <x:f>IF(AND('Calculations'!EM496&lt;&gt;"",'Calculations'!$JJ$2&lt;&gt;"All",'Calculations'!$JJ$2&lt;&gt;"",'Calculations'!HF496='Calculations'!$JJ$2,'Calculations'!HL496=0,'Calculations'!JD496&gt;0),MAX('Calculations'!$JE$12:JE495)+1,0)</x:f>
        <x:v>0</x:v>
      </x:c>
      <x:c r="JF496" t="str">
        <x:f>IF('Calculations'!EM496="","",IFERROR(IF(INDEX(INDIRECT("'WCM Calibration Final'!$G$1:$G$2000"),'Calculations'!$EM496)="","",TRIM(INDEX(INDIRECT("'WCM Calibration Final'!$G$1:$G$2000"),'Calculations'!$EM496)&amp;"")),""))</x:f>
      </x:c>
      <x:c r="JQ496" t="n">
        <x:f>IF(OR('Calculations'!BM496=0,NOT('Calculations'!$AG$2),'Calculations'!$AG$8&gt;0),0,IF(OR('Dashboard'!$B$7="All",'Calculations'!HN496='Dashboard'!$B$7),IF('Calculations'!$JJ$2="All",1,IF(AND('Calculations'!HF496='Calculations'!$JJ$2,'Calculations'!HL496=0),1,0)),0))</x:f>
        <x:v>0</x:v>
      </x:c>
    </x:row>
    <x:row r="497">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t="n">
        <x:f>IF('Calculations'!$EM497="",0,IF(OR(IFERROR(INDEX(INDIRECT("'WCM Calibration Final'!$A$1:$A$2000"),'Calculations'!$EM497)&lt;&gt;"",FALSE),IFERROR(INDEX(INDIRECT("'WCM Calibration Final'!$B$1:$B$2000"),'Calculations'!$EM497)&lt;&gt;"",FALSE),IFERROR(INDEX(INDIRECT("'WCM Calibration Final'!$C$1:$C$2000"),'Calculations'!$EM497)&lt;&gt;"",FALSE)),1,0))</x:f>
        <x:v>0</x:v>
      </x:c>
      <x:c r="BN497" s="4" t="n">
        <x:f>IF(AND('Calculations'!BM497=1,'Calculations'!$AG$2,'Calculations'!$EN497=1),1,0)</x:f>
        <x:v>0</x:v>
      </x:c>
      <x:c r="BO497" s="4" t="str">
        <x:f>IF('Calculations'!BM497=0,"",IFERROR(IF(AND(VALUE(INDEX(INDIRECT("'WCM Calibration Final'!$K$1:$K$2000"),'Calculations'!$EM497))&gt;=1,VALUE(INDEX(INDIRECT("'WCM Calibration Final'!$K$1:$K$2000"),'Calculations'!$EM497))&lt;=4,MOD(VALUE(INDEX(INDIRECT("'WCM Calibration Final'!$K$1:$K$2000"),'Calculations'!$EM497)),1)=0),VALUE(INDEX(INDIRECT("'WCM Calibration Final'!$K$1:$K$2000"),'Calculations'!$EM497)),""),""))</x:f>
      </x:c>
      <x:c r="BP497" s="4" t="str">
        <x:f>IF('Calculations'!BM497=0,"",IFERROR(IF(AND(VALUE(INDEX(INDIRECT("'WCM Calibration Final'!$L$1:$L$2000"),'Calculations'!$EM497))&gt;=1,VALUE(INDEX(INDIRECT("'WCM Calibration Final'!$L$1:$L$2000"),'Calculations'!$EM497))&lt;=4,MOD(VALUE(INDEX(INDIRECT("'WCM Calibration Final'!$L$1:$L$2000"),'Calculations'!$EM497)),1)=0),VALUE(INDEX(INDIRECT("'WCM Calibration Final'!$L$1:$L$2000"),'Calculations'!$EM497)),""),""))</x:f>
      </x:c>
      <x:c r="BQ497" s="4"/>
      <x:c r="BR497" s="4"/>
      <x:c r="BS497" s="4"/>
      <x:c r="BT497" s="4" t="n">
        <x:f>IF(AND('Calculations'!BM497=1,ISNUMBER('Calculations'!BO497),ISNUMBER('Calculations'!BP497)),1,0)</x:f>
        <x:v>0</x:v>
      </x:c>
      <x:c r="BU497" s="4" t="str">
        <x:f>IF('Calculations'!BM497=0,"",'Calculations'!$EO497)</x:f>
      </x:c>
      <x:c r="BV497" s="4" t="str">
        <x:f>IF('Calculations'!BM497=0,"",IFERROR(IF(OR(INDEX(INDIRECT("'WCM Calibration Final'!$H$1:$H$2000"),'Calculations'!$EM497)="MANAGING DIRECTOR",INDEX(INDIRECT("'WCM Calibration Final'!$H$1:$H$2000"),'Calculations'!$EM497)="DIRECTOR",INDEX(INDIRECT("'WCM Calibration Final'!$H$1:$H$2000"),'Calculations'!$EM497)="SENIOR VICE PRESIDENT",INDEX(INDIRECT("'WCM Calibration Final'!$H$1:$H$2000"),'Calculations'!$EM497)="VICE PRESIDENT",INDEX(INDIRECT("'WCM Calibration Final'!$H$1:$H$2000"),'Calculations'!$EM497)="ASSISTANT VICE PRESIDENT",INDEX(INDIRECT("'WCM Calibration Final'!$H$1:$H$2000"),'Calculations'!$EM497)="OFFICER"),UPPER(INDEX(INDIRECT("'WCM Calibration Final'!$H$1:$H$2000"),'Calculations'!$EM497)),"Other"),"Other"))</x:f>
      </x:c>
      <x:c r="BW497" s="4"/>
      <x:c r="BX497" s="4"/>
      <x:c r="BY497" s="4" t="n">
        <x:f>IF(AND('Calculations'!BM497=1,'Calculations'!BU497&lt;&gt;"",COUNTIF('Calculations'!$BU$12:BU497,'Calculations'!BU497)=1),MAX('Calculations'!$BY$11:BY496)+1,0)</x:f>
        <x:v>0</x:v>
      </x:c>
      <x:c r="BZ497" s="4" t="str">
        <x:f>IF('Dashboard'!$E$67="What",'Calculations'!BO497,'Calculations'!BP497)</x:f>
      </x:c>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t="str">
        <x:f>IF(486&gt;MAX('Calculations'!$HI$13:$HI$512),"",INDEX('Calculations'!$HN$13:$HN$512,MATCH(486,'Calculations'!$HI$13:$HI$512,0)))</x:f>
      </x:c>
      <x:c r="DB497" s="4" t="str">
        <x:f>IF(486&gt;MAX('Calculations'!$HH$13:$HH$512),"",INDEX('Calculations'!$HJ$13:$HJ$512,MATCH(486,'Calculations'!$HH$13:$HH$512,0)))</x:f>
      </x:c>
      <x:c r="DC497" s="4" t="str">
        <x:f>IF(ROW()-11&gt;MAX('Calculations'!$BY$13:$BY$512),"",INDEX('Calculations'!$BU$13:$BU$512,MATCH(ROW()-11,'Calculations'!$BY$13:$BY$512,0)))</x:f>
      </x:c>
      <x:c r="DD497" s="4" t="str">
        <x:f>IF(486&gt;MAX('Calculations'!$IK$13:$IK$512),"",INDEX('Calculations'!$HK$13:$HK$512,MATCH(486,'Calculations'!$IK$13:$IK$512,0)))</x:f>
      </x:c>
      <x:c r="DE497" s="4" t="str">
        <x:f>'Calculations'!DC497</x:f>
      </x:c>
      <x:c r="DF497" s="4" t="str">
        <x:f>IF('Calculations'!DE497="","",COUNTIFS('Calculations'!$BN$13:$BN$512,1,'Calculations'!$BU$13:$BU$512,'Calculations'!DE497))</x:f>
      </x:c>
      <x:c r="DG497" s="4" t="str">
        <x:f>IF('Calculations'!DE497="","",COUNTIFS('Calculations'!$BN$13:$BN$512,1,'Calculations'!$BU$13:$BU$512,'Calculations'!DE497,'Calculations'!$BT$13:$BT$512,1))</x:f>
      </x:c>
      <x:c r="DH497" s="4" t="str">
        <x:f>IF('Calculations'!DE497="","",'Calculations'!DF497-'Calculations'!DG497)</x:f>
      </x:c>
      <x:c r="DI497" s="4" t="str">
        <x:f>IF(OR('Calculations'!DE497="",'Calculations'!DF497=0),"",'Calculations'!DG497/'Calculations'!DF497)</x:f>
      </x:c>
      <x:c r="DJ497" s="4" t="str">
        <x:f>IF('Calculations'!DE497="","",COUNTIFS('Calculations'!$BN$13:$BN$512,1,'Calculations'!$BU$13:$BU$512,'Calculations'!DE497,'Calculations'!$BT$13:$BT$512,1,'Calculations'!$EE$13:$EE$512,"High"))</x:f>
      </x:c>
      <x:c r="DK497" s="4" t="str">
        <x:f>IF('Calculations'!DE497="","",COUNTIFS('Calculations'!$BN$13:$BN$512,1,'Calculations'!$BU$13:$BU$512,'Calculations'!DE497,'Calculations'!$BT$13:$BT$512,1,'Calculations'!$EE$13:$EE$512,"Strong"))</x:f>
      </x:c>
      <x:c r="DL497" s="4" t="str">
        <x:f>IF('Calculations'!DE497="","",COUNTIFS('Calculations'!$BN$13:$BN$512,1,'Calculations'!$BU$13:$BU$512,'Calculations'!DE497,'Calculations'!$BT$13:$BT$512,1,'Calculations'!$EE$13:$EE$512,"Solid"))</x:f>
      </x:c>
      <x:c r="DM497" s="4" t="str">
        <x:f>IF('Calculations'!DE497="","",COUNTIFS('Calculations'!$BN$13:$BN$512,1,'Calculations'!$BU$13:$BU$512,'Calculations'!DE497,'Calculations'!$BT$13:$BT$512,1,'Calculations'!$EE$13:$EE$512,"Low"))</x:f>
      </x:c>
      <x:c r="DN497" s="4" t="str">
        <x:f>IF('Calculations'!DE497="","",COUNTIFS('Calculations'!$BN$13:$BN$512,1,'Calculations'!$BU$13:$BU$512,'Calculations'!DE497,'Calculations'!$EP$13:$EP$512,1))</x:f>
      </x:c>
      <x:c r="DO497" s="4" t="str">
        <x:f>IF(OR('Calculations'!DE497="",'Calculations'!DG497=0),"",('Calculations'!DJ497+'Calculations'!DK497)/'Calculations'!DG497)</x:f>
      </x:c>
      <x:c r="DP497" s="4" t="n">
        <x:f>IF(AND('Calculations'!DE497&lt;&gt;"",'Calculations'!DF497&gt;0),COUNTIF('Calculations'!$DF$12:DF497,"&gt;0"),0)</x:f>
        <x:v>0</x:v>
      </x:c>
      <x:c r="DQ497" s="4" t="str">
        <x:f>IF(486&gt;MAX('Calculations'!$HH$13:$HH$512),"",INDEX('Calculations'!$HF$13:$HF$512,MATCH(486,'Calculations'!$HH$13:$HH$512,0)))</x:f>
      </x:c>
      <x:c r="DR497" s="4" t="str">
        <x:f>IF(486&gt;MAX('Calculations'!$IK$13:$IK$512),"",INDEX('Calculations'!$HE$13:$HE$512,MATCH(486,'Calculations'!$IK$13:$IK$512,0)))</x:f>
      </x:c>
      <x:c r="DS497" s="4"/>
      <x:c r="DT497" s="4"/>
      <x:c r="DU497" s="4"/>
      <x:c r="DV497" s="4"/>
      <x:c r="DW497" s="4"/>
      <x:c r="DX497" s="4"/>
      <x:c r="DY497" s="4"/>
      <x:c r="DZ497" s="4"/>
      <x:c r="EA497" s="4"/>
      <x:c r="EB497" s="4"/>
      <x:c r="EC497" s="4"/>
      <x:c r="ED497" s="4"/>
      <x:c r="EE497" s="4" t="str">
        <x:f>IF('Calculations'!BT497=0,"Not Rated",IF(OR('Calculations'!BO497&gt;=4,'Calculations'!BP497&gt;=4),"Low",IF('Calculations'!BO497+'Calculations'!BP497&lt;=3,"High",IF('Calculations'!BO497+'Calculations'!BP497&lt;=4,"Strong","Solid"))))</x:f>
        <x:v>Not Rated</x:v>
      </x:c>
      <x:c r="EF497" s="4"/>
      <x:c r="EG497" s="4"/>
      <x:c r="EH497" s="4"/>
      <x:c r="EI497" s="4"/>
      <x:c r="EJ497" s="4"/>
      <x:c r="EK497" s="4"/>
      <x:c r="EL497" s="4"/>
      <x:c r="EM497" s="4" t="str">
        <x:f>IF(485&gt;'Calculations'!$JB$2000,"",INDEX('Calculations'!$JA$12:$JA$2000,MATCH(485,'Calculations'!$JB$12:$JB$2000,0)))</x:f>
      </x:c>
      <x:c r="EN497" s="4" t="n">
        <x:f>IF(OR('Calculations'!EM497="",'Calculations'!$AG$8&gt;0,AND('Calculations'!$EF$2&lt;&gt;"All",'Calculations'!HE497='Calculations'!$EF$2),AND('Calculations'!$EF$3&lt;&gt;"All",'Calculations'!HE497='Calculations'!$EF$3)),0,IF(OR('Dashboard'!$B$7="All",'Calculations'!HN497='Dashboard'!$B$7),IF('Calculations'!$EF$2="All",1,IF('Calculations'!HL497&gt;0,0,IF(COUNTIF('Calculations'!HO497:II497,"="&amp;SUBSTITUTE(SUBSTITUTE(SUBSTITUTE('Calculations'!$EF$2,"~","~~"),"*","~*"),"?","~?"))=0,0,IF('Calculations'!$EF$3="All",1,IF(COUNTIF('Calculations'!HO497:II497,"="&amp;SUBSTITUTE(SUBSTITUTE(SUBSTITUTE('Calculations'!$EF$3,"~","~~"),"*","~*"),"?","~?"))&gt;0,1,0))))),0))</x:f>
        <x:v>0</x:v>
      </x:c>
      <x:c r="EO497" s="4" t="str">
        <x:f>IF('Calculations'!IJ497="","",IF('Calculations'!IJ497="!UNRESOLVED","Unresolved hierarchy",IFERROR(INDEX('Calculations'!$HK$13:$HK$512,MATCH('Calculations'!IJ497,'Calculations'!$HE$13:$HE$512,0)),IFERROR(INDEX('Calculations'!$HJ$13:$HJ$512,MATCH('Calculations'!IJ497,'Calculations'!$HF$13:$HF$512,0)),'Calculations'!IJ497))))</x:f>
      </x:c>
      <x:c r="EP497" s="4" t="n">
        <x:f>IF(AND('Calculations'!EM497&lt;&gt;"",'Calculations'!HF497='Calculations'!IJ497),1,0)</x:f>
        <x:v>0</x:v>
      </x:c>
      <x:c r="EQ497" s="4"/>
      <x:c r="ER497" s="4"/>
      <x:c r="ES497" s="4"/>
      <x:c r="ET497" s="4"/>
      <x:c r="EU497" s="4"/>
      <x:c r="EV497" s="4"/>
      <x:c r="EW497" s="4"/>
      <x:c r="EX497" s="4"/>
      <x:c r="EY497" s="4"/>
      <x:c r="EZ497" s="4"/>
      <x:c r="FA497" s="4"/>
      <x:c r="FB497" s="4"/>
      <x:c r="FC497" s="4"/>
      <x:c r="FD497" s="4"/>
      <x:c r="FE497" s="4"/>
      <x:c r="FF497" s="4"/>
      <x:c r="FG497" s="4"/>
      <x:c r="FH497" s="4"/>
      <x:c r="FI497" s="4"/>
      <x:c r="FJ497" s="4"/>
      <x:c r="FK497" s="4"/>
      <x:c r="FL497" s="4"/>
      <x:c r="FM497" s="4"/>
      <x:c r="FN497" s="4"/>
      <x:c r="FO497" s="4"/>
      <x:c r="HE497" t="str">
        <x:f>IF('Calculations'!EM497="","",IF(IFERROR(IF(INDEX(INDIRECT("'WCM Calibration Final'!$A$1:$A$2000"),'Calculations'!$EM497)="","",TRIM(INDEX(INDIRECT("'WCM Calibration Final'!$A$1:$A$2000"),'Calculations'!$EM497)&amp;"")),"")&lt;&gt;"","G:"&amp;IFERROR(TEXT(1*INDEX(INDIRECT("'WCM Calibration Final'!$A$1:$A$2000"),'Calculations'!$EM497),"0"),UPPER(IFERROR(IF(INDEX(INDIRECT("'WCM Calibration Final'!$A$1:$A$2000"),'Calculations'!$EM497)="","",TRIM(INDEX(INDIRECT("'WCM Calibration Final'!$A$1:$A$2000"),'Calculations'!$EM497)&amp;"")),""))),IF(IFERROR(IF(INDEX(INDIRECT("'WCM Calibration Final'!$C$1:$C$2000"),'Calculations'!$EM497)="","",TRIM(INDEX(INDIRECT("'WCM Calibration Final'!$C$1:$C$2000"),'Calculations'!$EM497)&amp;"")),"")&lt;&gt;"","S:"&amp;UPPER(IFERROR(IF(INDEX(INDIRECT("'WCM Calibration Final'!$C$1:$C$2000"),'Calculations'!$EM497)="","",TRIM(INDEX(INDIRECT("'WCM Calibration Final'!$C$1:$C$2000"),'Calculations'!$EM497)&amp;"")),"")),"R:"&amp;'Calculations'!EM497)))</x:f>
      </x:c>
      <x:c r="HF497" t="str">
        <x:f>IF('Calculations'!EM497="","",IF(IFERROR(IF(INDEX(INDIRECT("'WCM Calibration Final'!$D$1:$D$2000"),'Calculations'!$EM497)="","",TRIM(INDEX(INDIRECT("'WCM Calibration Final'!$D$1:$D$2000"),'Calculations'!$EM497)&amp;"")),"")&lt;&gt;"","G:"&amp;IFERROR(TEXT(1*INDEX(INDIRECT("'WCM Calibration Final'!$D$1:$D$2000"),'Calculations'!$EM497),"0"),UPPER(IFERROR(IF(INDEX(INDIRECT("'WCM Calibration Final'!$D$1:$D$2000"),'Calculations'!$EM497)="","",TRIM(INDEX(INDIRECT("'WCM Calibration Final'!$D$1:$D$2000"),'Calculations'!$EM497)&amp;"")),""))),IF(IFERROR(IF(INDEX(INDIRECT("'WCM Calibration Final'!$E$1:$E$2000"),'Calculations'!$EM497)="","",TRIM(INDEX(INDIRECT("'WCM Calibration Final'!$E$1:$E$2000"),'Calculations'!$EM497)&amp;"")),"")="","",IF(COUNTIF('Calculations'!$HG$13:$HG$512,"="&amp;SUBSTITUTE(SUBSTITUTE(SUBSTITUTE(IFERROR(IF(INDEX(INDIRECT("'WCM Calibration Final'!$E$1:$E$2000"),'Calculations'!$EM497)="","",TRIM(INDEX(INDIRECT("'WCM Calibration Final'!$E$1:$E$2000"),'Calculations'!$EM497)&amp;"")),""),"~","~~"),"*","~*"),"?","~?"))=1,INDEX('Calculations'!$HE$13:$HE$512,MATCH(IFERROR(IF(INDEX(INDIRECT("'WCM Calibration Final'!$E$1:$E$2000"),'Calculations'!$EM497)="","",TRIM(INDEX(INDIRECT("'WCM Calibration Final'!$E$1:$E$2000"),'Calculations'!$EM497)&amp;"")),""),'Calculations'!$HG$13:$HG$512,0)),IF(COUNTIF('Calculations'!$HG$13:$HG$512,"="&amp;SUBSTITUTE(SUBSTITUTE(SUBSTITUTE(IFERROR(IF(INDEX(INDIRECT("'WCM Calibration Final'!$E$1:$E$2000"),'Calculations'!$EM497)="","",TRIM(INDEX(INDIRECT("'WCM Calibration Final'!$E$1:$E$2000"),'Calculations'!$EM497)&amp;"")),""),"~","~~"),"*","~*"),"?","~?"))&gt;1,"!AMBIG","X:"&amp;IFERROR(IF(INDEX(INDIRECT("'WCM Calibration Final'!$E$1:$E$2000"),'Calculations'!$EM497)="","",TRIM(INDEX(INDIRECT("'WCM Calibration Final'!$E$1:$E$2000"),'Calculations'!$EM497)&amp;"")),""))))))</x:f>
      </x:c>
      <x:c r="HG497" t="str">
        <x:f>IF('Calculations'!EM497="","",IFERROR(IF(INDEX(INDIRECT("'WCM Calibration Final'!$B$1:$B$2000"),'Calculations'!$EM497)="","",TRIM(INDEX(INDIRECT("'WCM Calibration Final'!$B$1:$B$2000"),'Calculations'!$EM497)&amp;"")),""))</x:f>
      </x:c>
      <x:c r="HH497" t="n">
        <x:f>IF(AND('Calculations'!JC497&gt;0,COUNTIF('Calculations'!$HF$12:HF497,"="&amp;SUBSTITUTE(SUBSTITUTE(SUBSTITUTE('Calculations'!HF497,"~","~~"),"*","~*"),"?","~?"))=1),MAX('Calculations'!$HH$12:HH496)+1,0)</x:f>
        <x:v>0</x:v>
      </x:c>
      <x:c r="HI497" t="n">
        <x:f>IF(AND('Calculations'!HN497&lt;&gt;"",COUNTIF('Calculations'!$HN$12:HN497,"="&amp;SUBSTITUTE(SUBSTITUTE(SUBSTITUTE('Calculations'!HN497,"~","~~"),"*","~*"),"?","~?"))=1),MAX('Calculations'!$HI$12:HI496)+1,0)</x:f>
        <x:v>0</x:v>
      </x:c>
      <x:c r="HJ497" t="str">
        <x:f>IF('Calculations'!HF497="","",IF(COUNTIF('Calculations'!$HE$13:$HE$512,"="&amp;SUBSTITUTE(SUBSTITUTE(SUBSTITUTE('Calculations'!HF497,"~","~~"),"*","~*"),"?","~?"))=1,INDEX('Calculations'!$HK$13:$HK$512,MATCH('Calculations'!HF497,'Calculations'!$HE$13:$HE$512,0)),IFERROR(IF(INDEX(INDIRECT("'WCM Calibration Final'!$E$1:$E$2000"),'Calculations'!$EM497)="","",TRIM(INDEX(INDIRECT("'WCM Calibration Final'!$E$1:$E$2000"),'Calculations'!$EM497)&amp;"")),"")&amp;" ["&amp;'Calculations'!HF497&amp;"]"))</x:f>
      </x:c>
      <x:c r="HK497" t="str">
        <x:f>IF('Calculations'!EM497="","",'Calculations'!HG497&amp;" ["&amp;'Calculations'!HE497&amp;"]")</x:f>
      </x:c>
      <x:c r="HL497" t="n">
        <x:f>IF('Calculations'!EM497="",0,IF(OR('Calculations'!II497&lt;&gt;"",COUNTIF('Calculations'!$HE$13:$HE$512,"="&amp;SUBSTITUTE(SUBSTITUTE(SUBSTITUTE('Calculations'!HE497,"~","~~"),"*","~*"),"?","~?"))&gt;1),1,0))</x:f>
        <x:v>0</x:v>
      </x:c>
      <x:c r="HM497" t="str">
        <x:f>IF('Calculations'!EM497="","",IF('Calculations'!HL497=1,"!UNRESOLVED",IF('Calculations'!IH497&lt;&gt;"",'Calculations'!IH497,IF('Calculations'!IG497&lt;&gt;"",'Calculations'!IG497,IF('Calculations'!IF497&lt;&gt;"",'Calculations'!IF497,IF('Calculations'!IE497&lt;&gt;"",'Calculations'!IE497,IF('Calculations'!ID497&lt;&gt;"",'Calculations'!ID497,IF('Calculations'!IC497&lt;&gt;"",'Calculations'!IC497,IF('Calculations'!IB497&lt;&gt;"",'Calculations'!IB497,IF('Calculations'!IA497&lt;&gt;"",'Calculations'!IA497,IF('Calculations'!HZ497&lt;&gt;"",'Calculations'!HZ497,IF('Calculations'!HY497&lt;&gt;"",'Calculations'!HY497,IF('Calculations'!HX497&lt;&gt;"",'Calculations'!HX497,IF('Calculations'!HW497&lt;&gt;"",'Calculations'!HW497,IF('Calculations'!HV497&lt;&gt;"",'Calculations'!HV497,IF('Calculations'!HU497&lt;&gt;"",'Calculations'!HU497,IF('Calculations'!HT497&lt;&gt;"",'Calculations'!HT497,IF('Calculations'!HS497&lt;&gt;"",'Calculations'!HS497,IF('Calculations'!HR497&lt;&gt;"",'Calculations'!HR497,IF('Calculations'!HQ497&lt;&gt;"",'Calculations'!HQ497,IF('Calculations'!HP497&lt;&gt;"",'Calculations'!HP497,IF('Calculations'!HO497&lt;&gt;"",'Calculations'!HO497,'Calculations'!HE497))))))))))))))))))))))</x:f>
      </x:c>
      <x:c r="HN497" t="str">
        <x:f>IF('Calculations'!EM497="","",IF(IFERROR(IF(INDEX(INDIRECT("'WCM Calibration Final'!$F$1:$F$2000"),'Calculations'!$EM497)="","",TRIM(INDEX(INDIRECT("'WCM Calibration Final'!$F$1:$F$2000"),'Calculations'!$EM497)&amp;"")),"")="","(Blank)",IFERROR(IF(INDEX(INDIRECT("'WCM Calibration Final'!$F$1:$F$2000"),'Calculations'!$EM497)="","",TRIM(INDEX(INDIRECT("'WCM Calibration Final'!$F$1:$F$2000"),'Calculations'!$EM497)&amp;"")),"")))</x:f>
      </x:c>
      <x:c r="HO497" t="str">
        <x:f>'Calculations'!HF497</x:f>
      </x:c>
      <x:c r="HP497" t="str">
        <x:f>IF('Calculations'!HO497="","",IF('Calculations'!HO497="!AMBIG","!AMBIG",IF(COUNTIF('Calculations'!$HE$13:$HE$512,"="&amp;SUBSTITUTE(SUBSTITUTE(SUBSTITUTE('Calculations'!HO497,"~","~~"),"*","~*"),"?","~?"))&gt;1,"!AMBIG",IFERROR(INDEX('Calculations'!$HF$13:$HF$512,MATCH('Calculations'!HO497,'Calculations'!$HE$13:$HE$512,0)),""))))</x:f>
      </x:c>
      <x:c r="HQ497" t="str">
        <x:f>IF('Calculations'!HP497="","",IF('Calculations'!HP497="!AMBIG","!AMBIG",IF(COUNTIF('Calculations'!$HE$13:$HE$512,"="&amp;SUBSTITUTE(SUBSTITUTE(SUBSTITUTE('Calculations'!HP497,"~","~~"),"*","~*"),"?","~?"))&gt;1,"!AMBIG",IFERROR(INDEX('Calculations'!$HF$13:$HF$512,MATCH('Calculations'!HP497,'Calculations'!$HE$13:$HE$512,0)),""))))</x:f>
      </x:c>
      <x:c r="HR497" t="str">
        <x:f>IF('Calculations'!HQ497="","",IF('Calculations'!HQ497="!AMBIG","!AMBIG",IF(COUNTIF('Calculations'!$HE$13:$HE$512,"="&amp;SUBSTITUTE(SUBSTITUTE(SUBSTITUTE('Calculations'!HQ497,"~","~~"),"*","~*"),"?","~?"))&gt;1,"!AMBIG",IFERROR(INDEX('Calculations'!$HF$13:$HF$512,MATCH('Calculations'!HQ497,'Calculations'!$HE$13:$HE$512,0)),""))))</x:f>
      </x:c>
      <x:c r="HS497" t="str">
        <x:f>IF('Calculations'!HR497="","",IF('Calculations'!HR497="!AMBIG","!AMBIG",IF(COUNTIF('Calculations'!$HE$13:$HE$512,"="&amp;SUBSTITUTE(SUBSTITUTE(SUBSTITUTE('Calculations'!HR497,"~","~~"),"*","~*"),"?","~?"))&gt;1,"!AMBIG",IFERROR(INDEX('Calculations'!$HF$13:$HF$512,MATCH('Calculations'!HR497,'Calculations'!$HE$13:$HE$512,0)),""))))</x:f>
      </x:c>
      <x:c r="HT497" t="str">
        <x:f>IF('Calculations'!HS497="","",IF('Calculations'!HS497="!AMBIG","!AMBIG",IF(COUNTIF('Calculations'!$HE$13:$HE$512,"="&amp;SUBSTITUTE(SUBSTITUTE(SUBSTITUTE('Calculations'!HS497,"~","~~"),"*","~*"),"?","~?"))&gt;1,"!AMBIG",IFERROR(INDEX('Calculations'!$HF$13:$HF$512,MATCH('Calculations'!HS497,'Calculations'!$HE$13:$HE$512,0)),""))))</x:f>
      </x:c>
      <x:c r="HU497" t="str">
        <x:f>IF('Calculations'!HT497="","",IF('Calculations'!HT497="!AMBIG","!AMBIG",IF(COUNTIF('Calculations'!$HE$13:$HE$512,"="&amp;SUBSTITUTE(SUBSTITUTE(SUBSTITUTE('Calculations'!HT497,"~","~~"),"*","~*"),"?","~?"))&gt;1,"!AMBIG",IFERROR(INDEX('Calculations'!$HF$13:$HF$512,MATCH('Calculations'!HT497,'Calculations'!$HE$13:$HE$512,0)),""))))</x:f>
      </x:c>
      <x:c r="HV497" t="str">
        <x:f>IF('Calculations'!HU497="","",IF('Calculations'!HU497="!AMBIG","!AMBIG",IF(COUNTIF('Calculations'!$HE$13:$HE$512,"="&amp;SUBSTITUTE(SUBSTITUTE(SUBSTITUTE('Calculations'!HU497,"~","~~"),"*","~*"),"?","~?"))&gt;1,"!AMBIG",IFERROR(INDEX('Calculations'!$HF$13:$HF$512,MATCH('Calculations'!HU497,'Calculations'!$HE$13:$HE$512,0)),""))))</x:f>
      </x:c>
      <x:c r="HW497" t="str">
        <x:f>IF('Calculations'!HV497="","",IF('Calculations'!HV497="!AMBIG","!AMBIG",IF(COUNTIF('Calculations'!$HE$13:$HE$512,"="&amp;SUBSTITUTE(SUBSTITUTE(SUBSTITUTE('Calculations'!HV497,"~","~~"),"*","~*"),"?","~?"))&gt;1,"!AMBIG",IFERROR(INDEX('Calculations'!$HF$13:$HF$512,MATCH('Calculations'!HV497,'Calculations'!$HE$13:$HE$512,0)),""))))</x:f>
      </x:c>
      <x:c r="HX497" t="str">
        <x:f>IF('Calculations'!HW497="","",IF('Calculations'!HW497="!AMBIG","!AMBIG",IF(COUNTIF('Calculations'!$HE$13:$HE$512,"="&amp;SUBSTITUTE(SUBSTITUTE(SUBSTITUTE('Calculations'!HW497,"~","~~"),"*","~*"),"?","~?"))&gt;1,"!AMBIG",IFERROR(INDEX('Calculations'!$HF$13:$HF$512,MATCH('Calculations'!HW497,'Calculations'!$HE$13:$HE$512,0)),""))))</x:f>
      </x:c>
      <x:c r="HY497" t="str">
        <x:f>IF('Calculations'!HX497="","",IF('Calculations'!HX497="!AMBIG","!AMBIG",IF(COUNTIF('Calculations'!$HE$13:$HE$512,"="&amp;SUBSTITUTE(SUBSTITUTE(SUBSTITUTE('Calculations'!HX497,"~","~~"),"*","~*"),"?","~?"))&gt;1,"!AMBIG",IFERROR(INDEX('Calculations'!$HF$13:$HF$512,MATCH('Calculations'!HX497,'Calculations'!$HE$13:$HE$512,0)),""))))</x:f>
      </x:c>
      <x:c r="HZ497" t="str">
        <x:f>IF('Calculations'!HY497="","",IF('Calculations'!HY497="!AMBIG","!AMBIG",IF(COUNTIF('Calculations'!$HE$13:$HE$512,"="&amp;SUBSTITUTE(SUBSTITUTE(SUBSTITUTE('Calculations'!HY497,"~","~~"),"*","~*"),"?","~?"))&gt;1,"!AMBIG",IFERROR(INDEX('Calculations'!$HF$13:$HF$512,MATCH('Calculations'!HY497,'Calculations'!$HE$13:$HE$512,0)),""))))</x:f>
      </x:c>
      <x:c r="IA497" t="str">
        <x:f>IF('Calculations'!HZ497="","",IF('Calculations'!HZ497="!AMBIG","!AMBIG",IF(COUNTIF('Calculations'!$HE$13:$HE$512,"="&amp;SUBSTITUTE(SUBSTITUTE(SUBSTITUTE('Calculations'!HZ497,"~","~~"),"*","~*"),"?","~?"))&gt;1,"!AMBIG",IFERROR(INDEX('Calculations'!$HF$13:$HF$512,MATCH('Calculations'!HZ497,'Calculations'!$HE$13:$HE$512,0)),""))))</x:f>
      </x:c>
      <x:c r="IB497" t="str">
        <x:f>IF('Calculations'!IA497="","",IF('Calculations'!IA497="!AMBIG","!AMBIG",IF(COUNTIF('Calculations'!$HE$13:$HE$512,"="&amp;SUBSTITUTE(SUBSTITUTE(SUBSTITUTE('Calculations'!IA497,"~","~~"),"*","~*"),"?","~?"))&gt;1,"!AMBIG",IFERROR(INDEX('Calculations'!$HF$13:$HF$512,MATCH('Calculations'!IA497,'Calculations'!$HE$13:$HE$512,0)),""))))</x:f>
      </x:c>
      <x:c r="IC497" t="str">
        <x:f>IF('Calculations'!IB497="","",IF('Calculations'!IB497="!AMBIG","!AMBIG",IF(COUNTIF('Calculations'!$HE$13:$HE$512,"="&amp;SUBSTITUTE(SUBSTITUTE(SUBSTITUTE('Calculations'!IB497,"~","~~"),"*","~*"),"?","~?"))&gt;1,"!AMBIG",IFERROR(INDEX('Calculations'!$HF$13:$HF$512,MATCH('Calculations'!IB497,'Calculations'!$HE$13:$HE$512,0)),""))))</x:f>
      </x:c>
      <x:c r="ID497" t="str">
        <x:f>IF('Calculations'!IC497="","",IF('Calculations'!IC497="!AMBIG","!AMBIG",IF(COUNTIF('Calculations'!$HE$13:$HE$512,"="&amp;SUBSTITUTE(SUBSTITUTE(SUBSTITUTE('Calculations'!IC497,"~","~~"),"*","~*"),"?","~?"))&gt;1,"!AMBIG",IFERROR(INDEX('Calculations'!$HF$13:$HF$512,MATCH('Calculations'!IC497,'Calculations'!$HE$13:$HE$512,0)),""))))</x:f>
      </x:c>
      <x:c r="IE497" t="str">
        <x:f>IF('Calculations'!ID497="","",IF('Calculations'!ID497="!AMBIG","!AMBIG",IF(COUNTIF('Calculations'!$HE$13:$HE$512,"="&amp;SUBSTITUTE(SUBSTITUTE(SUBSTITUTE('Calculations'!ID497,"~","~~"),"*","~*"),"?","~?"))&gt;1,"!AMBIG",IFERROR(INDEX('Calculations'!$HF$13:$HF$512,MATCH('Calculations'!ID497,'Calculations'!$HE$13:$HE$512,0)),""))))</x:f>
      </x:c>
      <x:c r="IF497" t="str">
        <x:f>IF('Calculations'!IE497="","",IF('Calculations'!IE497="!AMBIG","!AMBIG",IF(COUNTIF('Calculations'!$HE$13:$HE$512,"="&amp;SUBSTITUTE(SUBSTITUTE(SUBSTITUTE('Calculations'!IE497,"~","~~"),"*","~*"),"?","~?"))&gt;1,"!AMBIG",IFERROR(INDEX('Calculations'!$HF$13:$HF$512,MATCH('Calculations'!IE497,'Calculations'!$HE$13:$HE$512,0)),""))))</x:f>
      </x:c>
      <x:c r="IG497" t="str">
        <x:f>IF('Calculations'!IF497="","",IF('Calculations'!IF497="!AMBIG","!AMBIG",IF(COUNTIF('Calculations'!$HE$13:$HE$512,"="&amp;SUBSTITUTE(SUBSTITUTE(SUBSTITUTE('Calculations'!IF497,"~","~~"),"*","~*"),"?","~?"))&gt;1,"!AMBIG",IFERROR(INDEX('Calculations'!$HF$13:$HF$512,MATCH('Calculations'!IF497,'Calculations'!$HE$13:$HE$512,0)),""))))</x:f>
      </x:c>
      <x:c r="IH497" t="str">
        <x:f>IF('Calculations'!IG497="","",IF('Calculations'!IG497="!AMBIG","!AMBIG",IF(COUNTIF('Calculations'!$HE$13:$HE$512,"="&amp;SUBSTITUTE(SUBSTITUTE(SUBSTITUTE('Calculations'!IG497,"~","~~"),"*","~*"),"?","~?"))&gt;1,"!AMBIG",IFERROR(INDEX('Calculations'!$HF$13:$HF$512,MATCH('Calculations'!IG497,'Calculations'!$HE$13:$HE$512,0)),""))))</x:f>
      </x:c>
      <x:c r="II497" t="str">
        <x:f>IF('Calculations'!IH497="","",IF('Calculations'!IH497="!AMBIG","!AMBIG",IF(COUNTIF('Calculations'!$HE$13:$HE$512,"="&amp;SUBSTITUTE(SUBSTITUTE(SUBSTITUTE('Calculations'!IH497,"~","~~"),"*","~*"),"?","~?"))&gt;1,"!AMBIG",IFERROR(INDEX('Calculations'!$HF$13:$HF$512,MATCH('Calculations'!IH497,'Calculations'!$HE$13:$HE$512,0)),""))))</x:f>
      </x:c>
      <x:c r="IJ497" t="str">
        <x:f>IF('Calculations'!EM497="","",IF('Calculations'!$EF$2="All",'Calculations'!HM497,IF('Calculations'!HL497=1,"",IFERROR(IF(MATCH('Calculations'!$EF$2,'Calculations'!HO497:II497,0)=1,'Calculations'!HE497,INDEX('Calculations'!HO497:II497,1,MATCH('Calculations'!$EF$2,'Calculations'!HO497:II497,0)-1)),""))))</x:f>
      </x:c>
      <x:c r="IK497" t="n">
        <x:f>IF(AND('Calculations'!EM497&lt;&gt;"",'Calculations'!$EF$2&lt;&gt;"All",'Calculations'!HF497='Calculations'!$EF$2,'Calculations'!HL497=0,'Calculations'!JD497&gt;0),MAX('Calculations'!$IK$12:IK496)+1,0)</x:f>
        <x:v>0</x:v>
      </x:c>
      <x:c r="JA497" t="n">
        <x:f>IF(OR(IFERROR(INDIRECT("'WCM Calibration Final'!$A$497")&lt;&gt;"",FALSE),IFERROR(INDIRECT("'WCM Calibration Final'!$B$497")&lt;&gt;"",FALSE),IFERROR(INDIRECT("'WCM Calibration Final'!$C$497")&lt;&gt;"",FALSE)),497,0)</x:f>
        <x:v>0</x:v>
      </x:c>
      <x:c r="JB497" t="n">
        <x:f>'Calculations'!JB496+IF('Calculations'!JA497&gt;0,1,0)</x:f>
        <x:v>0</x:v>
      </x:c>
      <x:c r="JC497" t="n">
        <x:f>IF(OR('Calculations'!HF497="",'Calculations'!HF497="!AMBIG"),0,IF('Dashboard'!$B$7="All",1,COUNTIFS('Calculations'!$HO$13:$HO$512,"="&amp;SUBSTITUTE(SUBSTITUTE(SUBSTITUTE('Calculations'!HF497,"~","~~"),"*","~*"),"?","~?"),'Calculations'!$HN$13:$HN$512,"="&amp;SUBSTITUTE(SUBSTITUTE(SUBSTITUTE('Dashboard'!$B$7,"~","~~"),"*","~*"),"?","~?"))+COUNTIFS('Calculations'!$HP$13:$HP$512,"="&amp;SUBSTITUTE(SUBSTITUTE(SUBSTITUTE('Calculations'!HF497,"~","~~"),"*","~*"),"?","~?"),'Calculations'!$HN$13:$HN$512,"="&amp;SUBSTITUTE(SUBSTITUTE(SUBSTITUTE('Dashboard'!$B$7,"~","~~"),"*","~*"),"?","~?"))+COUNTIFS('Calculations'!$HQ$13:$HQ$512,"="&amp;SUBSTITUTE(SUBSTITUTE(SUBSTITUTE('Calculations'!HF497,"~","~~"),"*","~*"),"?","~?"),'Calculations'!$HN$13:$HN$512,"="&amp;SUBSTITUTE(SUBSTITUTE(SUBSTITUTE('Dashboard'!$B$7,"~","~~"),"*","~*"),"?","~?"))+COUNTIFS('Calculations'!$HR$13:$HR$512,"="&amp;SUBSTITUTE(SUBSTITUTE(SUBSTITUTE('Calculations'!HF497,"~","~~"),"*","~*"),"?","~?"),'Calculations'!$HN$13:$HN$512,"="&amp;SUBSTITUTE(SUBSTITUTE(SUBSTITUTE('Dashboard'!$B$7,"~","~~"),"*","~*"),"?","~?"))+COUNTIFS('Calculations'!$HS$13:$HS$512,"="&amp;SUBSTITUTE(SUBSTITUTE(SUBSTITUTE('Calculations'!HF497,"~","~~"),"*","~*"),"?","~?"),'Calculations'!$HN$13:$HN$512,"="&amp;SUBSTITUTE(SUBSTITUTE(SUBSTITUTE('Dashboard'!$B$7,"~","~~"),"*","~*"),"?","~?"))+COUNTIFS('Calculations'!$HT$13:$HT$512,"="&amp;SUBSTITUTE(SUBSTITUTE(SUBSTITUTE('Calculations'!HF497,"~","~~"),"*","~*"),"?","~?"),'Calculations'!$HN$13:$HN$512,"="&amp;SUBSTITUTE(SUBSTITUTE(SUBSTITUTE('Dashboard'!$B$7,"~","~~"),"*","~*"),"?","~?"))+COUNTIFS('Calculations'!$HU$13:$HU$512,"="&amp;SUBSTITUTE(SUBSTITUTE(SUBSTITUTE('Calculations'!HF497,"~","~~"),"*","~*"),"?","~?"),'Calculations'!$HN$13:$HN$512,"="&amp;SUBSTITUTE(SUBSTITUTE(SUBSTITUTE('Dashboard'!$B$7,"~","~~"),"*","~*"),"?","~?"))+COUNTIFS('Calculations'!$HV$13:$HV$512,"="&amp;SUBSTITUTE(SUBSTITUTE(SUBSTITUTE('Calculations'!HF497,"~","~~"),"*","~*"),"?","~?"),'Calculations'!$HN$13:$HN$512,"="&amp;SUBSTITUTE(SUBSTITUTE(SUBSTITUTE('Dashboard'!$B$7,"~","~~"),"*","~*"),"?","~?"))+COUNTIFS('Calculations'!$HW$13:$HW$512,"="&amp;SUBSTITUTE(SUBSTITUTE(SUBSTITUTE('Calculations'!HF497,"~","~~"),"*","~*"),"?","~?"),'Calculations'!$HN$13:$HN$512,"="&amp;SUBSTITUTE(SUBSTITUTE(SUBSTITUTE('Dashboard'!$B$7,"~","~~"),"*","~*"),"?","~?"))+COUNTIFS('Calculations'!$HX$13:$HX$512,"="&amp;SUBSTITUTE(SUBSTITUTE(SUBSTITUTE('Calculations'!HF497,"~","~~"),"*","~*"),"?","~?"),'Calculations'!$HN$13:$HN$512,"="&amp;SUBSTITUTE(SUBSTITUTE(SUBSTITUTE('Dashboard'!$B$7,"~","~~"),"*","~*"),"?","~?"))+COUNTIFS('Calculations'!$HY$13:$HY$512,"="&amp;SUBSTITUTE(SUBSTITUTE(SUBSTITUTE('Calculations'!HF497,"~","~~"),"*","~*"),"?","~?"),'Calculations'!$HN$13:$HN$512,"="&amp;SUBSTITUTE(SUBSTITUTE(SUBSTITUTE('Dashboard'!$B$7,"~","~~"),"*","~*"),"?","~?"))+COUNTIFS('Calculations'!$HZ$13:$HZ$512,"="&amp;SUBSTITUTE(SUBSTITUTE(SUBSTITUTE('Calculations'!HF497,"~","~~"),"*","~*"),"?","~?"),'Calculations'!$HN$13:$HN$512,"="&amp;SUBSTITUTE(SUBSTITUTE(SUBSTITUTE('Dashboard'!$B$7,"~","~~"),"*","~*"),"?","~?"))+COUNTIFS('Calculations'!$IA$13:$IA$512,"="&amp;SUBSTITUTE(SUBSTITUTE(SUBSTITUTE('Calculations'!HF497,"~","~~"),"*","~*"),"?","~?"),'Calculations'!$HN$13:$HN$512,"="&amp;SUBSTITUTE(SUBSTITUTE(SUBSTITUTE('Dashboard'!$B$7,"~","~~"),"*","~*"),"?","~?"))+COUNTIFS('Calculations'!$IB$13:$IB$512,"="&amp;SUBSTITUTE(SUBSTITUTE(SUBSTITUTE('Calculations'!HF497,"~","~~"),"*","~*"),"?","~?"),'Calculations'!$HN$13:$HN$512,"="&amp;SUBSTITUTE(SUBSTITUTE(SUBSTITUTE('Dashboard'!$B$7,"~","~~"),"*","~*"),"?","~?"))+COUNTIFS('Calculations'!$IC$13:$IC$512,"="&amp;SUBSTITUTE(SUBSTITUTE(SUBSTITUTE('Calculations'!HF497,"~","~~"),"*","~*"),"?","~?"),'Calculations'!$HN$13:$HN$512,"="&amp;SUBSTITUTE(SUBSTITUTE(SUBSTITUTE('Dashboard'!$B$7,"~","~~"),"*","~*"),"?","~?"))+COUNTIFS('Calculations'!$ID$13:$ID$512,"="&amp;SUBSTITUTE(SUBSTITUTE(SUBSTITUTE('Calculations'!HF497,"~","~~"),"*","~*"),"?","~?"),'Calculations'!$HN$13:$HN$512,"="&amp;SUBSTITUTE(SUBSTITUTE(SUBSTITUTE('Dashboard'!$B$7,"~","~~"),"*","~*"),"?","~?"))+COUNTIFS('Calculations'!$IE$13:$IE$512,"="&amp;SUBSTITUTE(SUBSTITUTE(SUBSTITUTE('Calculations'!HF497,"~","~~"),"*","~*"),"?","~?"),'Calculations'!$HN$13:$HN$512,"="&amp;SUBSTITUTE(SUBSTITUTE(SUBSTITUTE('Dashboard'!$B$7,"~","~~"),"*","~*"),"?","~?"))+COUNTIFS('Calculations'!$IF$13:$IF$512,"="&amp;SUBSTITUTE(SUBSTITUTE(SUBSTITUTE('Calculations'!HF497,"~","~~"),"*","~*"),"?","~?"),'Calculations'!$HN$13:$HN$512,"="&amp;SUBSTITUTE(SUBSTITUTE(SUBSTITUTE('Dashboard'!$B$7,"~","~~"),"*","~*"),"?","~?"))+COUNTIFS('Calculations'!$IG$13:$IG$512,"="&amp;SUBSTITUTE(SUBSTITUTE(SUBSTITUTE('Calculations'!HF497,"~","~~"),"*","~*"),"?","~?"),'Calculations'!$HN$13:$HN$512,"="&amp;SUBSTITUTE(SUBSTITUTE(SUBSTITUTE('Dashboard'!$B$7,"~","~~"),"*","~*"),"?","~?"))+COUNTIFS('Calculations'!$IH$13:$IH$512,"="&amp;SUBSTITUTE(SUBSTITUTE(SUBSTITUTE('Calculations'!HF497,"~","~~"),"*","~*"),"?","~?"),'Calculations'!$HN$13:$HN$512,"="&amp;SUBSTITUTE(SUBSTITUTE(SUBSTITUTE('Dashboard'!$B$7,"~","~~"),"*","~*"),"?","~?"))))</x:f>
        <x:v>0</x:v>
      </x:c>
      <x:c r="JD497" t="n">
        <x:f>IF('Calculations'!EM497="",0,IF('Dashboard'!$B$7="All",1,IF('Calculations'!HN497='Dashboard'!$B$7,1,0)+IFERROR(INDEX('Calculations'!$JC$13:$JC$512,MATCH('Calculations'!HE497,'Calculations'!$HF$13:$HF$512,0)),0)))</x:f>
        <x:v>0</x:v>
      </x:c>
      <x:c r="JE497" t="n">
        <x:f>IF(AND('Calculations'!EM497&lt;&gt;"",'Calculations'!$JJ$2&lt;&gt;"All",'Calculations'!$JJ$2&lt;&gt;"",'Calculations'!HF497='Calculations'!$JJ$2,'Calculations'!HL497=0,'Calculations'!JD497&gt;0),MAX('Calculations'!$JE$12:JE496)+1,0)</x:f>
        <x:v>0</x:v>
      </x:c>
      <x:c r="JF497" t="str">
        <x:f>IF('Calculations'!EM497="","",IFERROR(IF(INDEX(INDIRECT("'WCM Calibration Final'!$G$1:$G$2000"),'Calculations'!$EM497)="","",TRIM(INDEX(INDIRECT("'WCM Calibration Final'!$G$1:$G$2000"),'Calculations'!$EM497)&amp;"")),""))</x:f>
      </x:c>
      <x:c r="JQ497" t="n">
        <x:f>IF(OR('Calculations'!BM497=0,NOT('Calculations'!$AG$2),'Calculations'!$AG$8&gt;0),0,IF(OR('Dashboard'!$B$7="All",'Calculations'!HN497='Dashboard'!$B$7),IF('Calculations'!$JJ$2="All",1,IF(AND('Calculations'!HF497='Calculations'!$JJ$2,'Calculations'!HL497=0),1,0)),0))</x:f>
        <x:v>0</x:v>
      </x:c>
    </x:row>
    <x:row r="498">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t="n">
        <x:f>IF('Calculations'!$EM498="",0,IF(OR(IFERROR(INDEX(INDIRECT("'WCM Calibration Final'!$A$1:$A$2000"),'Calculations'!$EM498)&lt;&gt;"",FALSE),IFERROR(INDEX(INDIRECT("'WCM Calibration Final'!$B$1:$B$2000"),'Calculations'!$EM498)&lt;&gt;"",FALSE),IFERROR(INDEX(INDIRECT("'WCM Calibration Final'!$C$1:$C$2000"),'Calculations'!$EM498)&lt;&gt;"",FALSE)),1,0))</x:f>
        <x:v>0</x:v>
      </x:c>
      <x:c r="BN498" s="4" t="n">
        <x:f>IF(AND('Calculations'!BM498=1,'Calculations'!$AG$2,'Calculations'!$EN498=1),1,0)</x:f>
        <x:v>0</x:v>
      </x:c>
      <x:c r="BO498" s="4" t="str">
        <x:f>IF('Calculations'!BM498=0,"",IFERROR(IF(AND(VALUE(INDEX(INDIRECT("'WCM Calibration Final'!$K$1:$K$2000"),'Calculations'!$EM498))&gt;=1,VALUE(INDEX(INDIRECT("'WCM Calibration Final'!$K$1:$K$2000"),'Calculations'!$EM498))&lt;=4,MOD(VALUE(INDEX(INDIRECT("'WCM Calibration Final'!$K$1:$K$2000"),'Calculations'!$EM498)),1)=0),VALUE(INDEX(INDIRECT("'WCM Calibration Final'!$K$1:$K$2000"),'Calculations'!$EM498)),""),""))</x:f>
      </x:c>
      <x:c r="BP498" s="4" t="str">
        <x:f>IF('Calculations'!BM498=0,"",IFERROR(IF(AND(VALUE(INDEX(INDIRECT("'WCM Calibration Final'!$L$1:$L$2000"),'Calculations'!$EM498))&gt;=1,VALUE(INDEX(INDIRECT("'WCM Calibration Final'!$L$1:$L$2000"),'Calculations'!$EM498))&lt;=4,MOD(VALUE(INDEX(INDIRECT("'WCM Calibration Final'!$L$1:$L$2000"),'Calculations'!$EM498)),1)=0),VALUE(INDEX(INDIRECT("'WCM Calibration Final'!$L$1:$L$2000"),'Calculations'!$EM498)),""),""))</x:f>
      </x:c>
      <x:c r="BQ498" s="4"/>
      <x:c r="BR498" s="4"/>
      <x:c r="BS498" s="4"/>
      <x:c r="BT498" s="4" t="n">
        <x:f>IF(AND('Calculations'!BM498=1,ISNUMBER('Calculations'!BO498),ISNUMBER('Calculations'!BP498)),1,0)</x:f>
        <x:v>0</x:v>
      </x:c>
      <x:c r="BU498" s="4" t="str">
        <x:f>IF('Calculations'!BM498=0,"",'Calculations'!$EO498)</x:f>
      </x:c>
      <x:c r="BV498" s="4" t="str">
        <x:f>IF('Calculations'!BM498=0,"",IFERROR(IF(OR(INDEX(INDIRECT("'WCM Calibration Final'!$H$1:$H$2000"),'Calculations'!$EM498)="MANAGING DIRECTOR",INDEX(INDIRECT("'WCM Calibration Final'!$H$1:$H$2000"),'Calculations'!$EM498)="DIRECTOR",INDEX(INDIRECT("'WCM Calibration Final'!$H$1:$H$2000"),'Calculations'!$EM498)="SENIOR VICE PRESIDENT",INDEX(INDIRECT("'WCM Calibration Final'!$H$1:$H$2000"),'Calculations'!$EM498)="VICE PRESIDENT",INDEX(INDIRECT("'WCM Calibration Final'!$H$1:$H$2000"),'Calculations'!$EM498)="ASSISTANT VICE PRESIDENT",INDEX(INDIRECT("'WCM Calibration Final'!$H$1:$H$2000"),'Calculations'!$EM498)="OFFICER"),UPPER(INDEX(INDIRECT("'WCM Calibration Final'!$H$1:$H$2000"),'Calculations'!$EM498)),"Other"),"Other"))</x:f>
      </x:c>
      <x:c r="BW498" s="4"/>
      <x:c r="BX498" s="4"/>
      <x:c r="BY498" s="4" t="n">
        <x:f>IF(AND('Calculations'!BM498=1,'Calculations'!BU498&lt;&gt;"",COUNTIF('Calculations'!$BU$12:BU498,'Calculations'!BU498)=1),MAX('Calculations'!$BY$11:BY497)+1,0)</x:f>
        <x:v>0</x:v>
      </x:c>
      <x:c r="BZ498" s="4" t="str">
        <x:f>IF('Dashboard'!$E$67="What",'Calculations'!BO498,'Calculations'!BP498)</x:f>
      </x:c>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t="str">
        <x:f>IF(487&gt;MAX('Calculations'!$HI$13:$HI$512),"",INDEX('Calculations'!$HN$13:$HN$512,MATCH(487,'Calculations'!$HI$13:$HI$512,0)))</x:f>
      </x:c>
      <x:c r="DB498" s="4" t="str">
        <x:f>IF(487&gt;MAX('Calculations'!$HH$13:$HH$512),"",INDEX('Calculations'!$HJ$13:$HJ$512,MATCH(487,'Calculations'!$HH$13:$HH$512,0)))</x:f>
      </x:c>
      <x:c r="DC498" s="4" t="str">
        <x:f>IF(ROW()-11&gt;MAX('Calculations'!$BY$13:$BY$512),"",INDEX('Calculations'!$BU$13:$BU$512,MATCH(ROW()-11,'Calculations'!$BY$13:$BY$512,0)))</x:f>
      </x:c>
      <x:c r="DD498" s="4" t="str">
        <x:f>IF(487&gt;MAX('Calculations'!$IK$13:$IK$512),"",INDEX('Calculations'!$HK$13:$HK$512,MATCH(487,'Calculations'!$IK$13:$IK$512,0)))</x:f>
      </x:c>
      <x:c r="DE498" s="4" t="str">
        <x:f>'Calculations'!DC498</x:f>
      </x:c>
      <x:c r="DF498" s="4" t="str">
        <x:f>IF('Calculations'!DE498="","",COUNTIFS('Calculations'!$BN$13:$BN$512,1,'Calculations'!$BU$13:$BU$512,'Calculations'!DE498))</x:f>
      </x:c>
      <x:c r="DG498" s="4" t="str">
        <x:f>IF('Calculations'!DE498="","",COUNTIFS('Calculations'!$BN$13:$BN$512,1,'Calculations'!$BU$13:$BU$512,'Calculations'!DE498,'Calculations'!$BT$13:$BT$512,1))</x:f>
      </x:c>
      <x:c r="DH498" s="4" t="str">
        <x:f>IF('Calculations'!DE498="","",'Calculations'!DF498-'Calculations'!DG498)</x:f>
      </x:c>
      <x:c r="DI498" s="4" t="str">
        <x:f>IF(OR('Calculations'!DE498="",'Calculations'!DF498=0),"",'Calculations'!DG498/'Calculations'!DF498)</x:f>
      </x:c>
      <x:c r="DJ498" s="4" t="str">
        <x:f>IF('Calculations'!DE498="","",COUNTIFS('Calculations'!$BN$13:$BN$512,1,'Calculations'!$BU$13:$BU$512,'Calculations'!DE498,'Calculations'!$BT$13:$BT$512,1,'Calculations'!$EE$13:$EE$512,"High"))</x:f>
      </x:c>
      <x:c r="DK498" s="4" t="str">
        <x:f>IF('Calculations'!DE498="","",COUNTIFS('Calculations'!$BN$13:$BN$512,1,'Calculations'!$BU$13:$BU$512,'Calculations'!DE498,'Calculations'!$BT$13:$BT$512,1,'Calculations'!$EE$13:$EE$512,"Strong"))</x:f>
      </x:c>
      <x:c r="DL498" s="4" t="str">
        <x:f>IF('Calculations'!DE498="","",COUNTIFS('Calculations'!$BN$13:$BN$512,1,'Calculations'!$BU$13:$BU$512,'Calculations'!DE498,'Calculations'!$BT$13:$BT$512,1,'Calculations'!$EE$13:$EE$512,"Solid"))</x:f>
      </x:c>
      <x:c r="DM498" s="4" t="str">
        <x:f>IF('Calculations'!DE498="","",COUNTIFS('Calculations'!$BN$13:$BN$512,1,'Calculations'!$BU$13:$BU$512,'Calculations'!DE498,'Calculations'!$BT$13:$BT$512,1,'Calculations'!$EE$13:$EE$512,"Low"))</x:f>
      </x:c>
      <x:c r="DN498" s="4" t="str">
        <x:f>IF('Calculations'!DE498="","",COUNTIFS('Calculations'!$BN$13:$BN$512,1,'Calculations'!$BU$13:$BU$512,'Calculations'!DE498,'Calculations'!$EP$13:$EP$512,1))</x:f>
      </x:c>
      <x:c r="DO498" s="4" t="str">
        <x:f>IF(OR('Calculations'!DE498="",'Calculations'!DG498=0),"",('Calculations'!DJ498+'Calculations'!DK498)/'Calculations'!DG498)</x:f>
      </x:c>
      <x:c r="DP498" s="4" t="n">
        <x:f>IF(AND('Calculations'!DE498&lt;&gt;"",'Calculations'!DF498&gt;0),COUNTIF('Calculations'!$DF$12:DF498,"&gt;0"),0)</x:f>
        <x:v>0</x:v>
      </x:c>
      <x:c r="DQ498" s="4" t="str">
        <x:f>IF(487&gt;MAX('Calculations'!$HH$13:$HH$512),"",INDEX('Calculations'!$HF$13:$HF$512,MATCH(487,'Calculations'!$HH$13:$HH$512,0)))</x:f>
      </x:c>
      <x:c r="DR498" s="4" t="str">
        <x:f>IF(487&gt;MAX('Calculations'!$IK$13:$IK$512),"",INDEX('Calculations'!$HE$13:$HE$512,MATCH(487,'Calculations'!$IK$13:$IK$512,0)))</x:f>
      </x:c>
      <x:c r="DS498" s="4"/>
      <x:c r="DT498" s="4"/>
      <x:c r="DU498" s="4"/>
      <x:c r="DV498" s="4"/>
      <x:c r="DW498" s="4"/>
      <x:c r="DX498" s="4"/>
      <x:c r="DY498" s="4"/>
      <x:c r="DZ498" s="4"/>
      <x:c r="EA498" s="4"/>
      <x:c r="EB498" s="4"/>
      <x:c r="EC498" s="4"/>
      <x:c r="ED498" s="4"/>
      <x:c r="EE498" s="4" t="str">
        <x:f>IF('Calculations'!BT498=0,"Not Rated",IF(OR('Calculations'!BO498&gt;=4,'Calculations'!BP498&gt;=4),"Low",IF('Calculations'!BO498+'Calculations'!BP498&lt;=3,"High",IF('Calculations'!BO498+'Calculations'!BP498&lt;=4,"Strong","Solid"))))</x:f>
        <x:v>Not Rated</x:v>
      </x:c>
      <x:c r="EF498" s="4"/>
      <x:c r="EG498" s="4"/>
      <x:c r="EH498" s="4"/>
      <x:c r="EI498" s="4"/>
      <x:c r="EJ498" s="4"/>
      <x:c r="EK498" s="4"/>
      <x:c r="EL498" s="4"/>
      <x:c r="EM498" s="4" t="str">
        <x:f>IF(486&gt;'Calculations'!$JB$2000,"",INDEX('Calculations'!$JA$12:$JA$2000,MATCH(486,'Calculations'!$JB$12:$JB$2000,0)))</x:f>
      </x:c>
      <x:c r="EN498" s="4" t="n">
        <x:f>IF(OR('Calculations'!EM498="",'Calculations'!$AG$8&gt;0,AND('Calculations'!$EF$2&lt;&gt;"All",'Calculations'!HE498='Calculations'!$EF$2),AND('Calculations'!$EF$3&lt;&gt;"All",'Calculations'!HE498='Calculations'!$EF$3)),0,IF(OR('Dashboard'!$B$7="All",'Calculations'!HN498='Dashboard'!$B$7),IF('Calculations'!$EF$2="All",1,IF('Calculations'!HL498&gt;0,0,IF(COUNTIF('Calculations'!HO498:II498,"="&amp;SUBSTITUTE(SUBSTITUTE(SUBSTITUTE('Calculations'!$EF$2,"~","~~"),"*","~*"),"?","~?"))=0,0,IF('Calculations'!$EF$3="All",1,IF(COUNTIF('Calculations'!HO498:II498,"="&amp;SUBSTITUTE(SUBSTITUTE(SUBSTITUTE('Calculations'!$EF$3,"~","~~"),"*","~*"),"?","~?"))&gt;0,1,0))))),0))</x:f>
        <x:v>0</x:v>
      </x:c>
      <x:c r="EO498" s="4" t="str">
        <x:f>IF('Calculations'!IJ498="","",IF('Calculations'!IJ498="!UNRESOLVED","Unresolved hierarchy",IFERROR(INDEX('Calculations'!$HK$13:$HK$512,MATCH('Calculations'!IJ498,'Calculations'!$HE$13:$HE$512,0)),IFERROR(INDEX('Calculations'!$HJ$13:$HJ$512,MATCH('Calculations'!IJ498,'Calculations'!$HF$13:$HF$512,0)),'Calculations'!IJ498))))</x:f>
      </x:c>
      <x:c r="EP498" s="4" t="n">
        <x:f>IF(AND('Calculations'!EM498&lt;&gt;"",'Calculations'!HF498='Calculations'!IJ498),1,0)</x:f>
        <x:v>0</x:v>
      </x:c>
      <x:c r="EQ498" s="4"/>
      <x:c r="ER498" s="4"/>
      <x:c r="ES498" s="4"/>
      <x:c r="ET498" s="4"/>
      <x:c r="EU498" s="4"/>
      <x:c r="EV498" s="4"/>
      <x:c r="EW498" s="4"/>
      <x:c r="EX498" s="4"/>
      <x:c r="EY498" s="4"/>
      <x:c r="EZ498" s="4"/>
      <x:c r="FA498" s="4"/>
      <x:c r="FB498" s="4"/>
      <x:c r="FC498" s="4"/>
      <x:c r="FD498" s="4"/>
      <x:c r="FE498" s="4"/>
      <x:c r="FF498" s="4"/>
      <x:c r="FG498" s="4"/>
      <x:c r="FH498" s="4"/>
      <x:c r="FI498" s="4"/>
      <x:c r="FJ498" s="4"/>
      <x:c r="FK498" s="4"/>
      <x:c r="FL498" s="4"/>
      <x:c r="FM498" s="4"/>
      <x:c r="FN498" s="4"/>
      <x:c r="FO498" s="4"/>
      <x:c r="HE498" t="str">
        <x:f>IF('Calculations'!EM498="","",IF(IFERROR(IF(INDEX(INDIRECT("'WCM Calibration Final'!$A$1:$A$2000"),'Calculations'!$EM498)="","",TRIM(INDEX(INDIRECT("'WCM Calibration Final'!$A$1:$A$2000"),'Calculations'!$EM498)&amp;"")),"")&lt;&gt;"","G:"&amp;IFERROR(TEXT(1*INDEX(INDIRECT("'WCM Calibration Final'!$A$1:$A$2000"),'Calculations'!$EM498),"0"),UPPER(IFERROR(IF(INDEX(INDIRECT("'WCM Calibration Final'!$A$1:$A$2000"),'Calculations'!$EM498)="","",TRIM(INDEX(INDIRECT("'WCM Calibration Final'!$A$1:$A$2000"),'Calculations'!$EM498)&amp;"")),""))),IF(IFERROR(IF(INDEX(INDIRECT("'WCM Calibration Final'!$C$1:$C$2000"),'Calculations'!$EM498)="","",TRIM(INDEX(INDIRECT("'WCM Calibration Final'!$C$1:$C$2000"),'Calculations'!$EM498)&amp;"")),"")&lt;&gt;"","S:"&amp;UPPER(IFERROR(IF(INDEX(INDIRECT("'WCM Calibration Final'!$C$1:$C$2000"),'Calculations'!$EM498)="","",TRIM(INDEX(INDIRECT("'WCM Calibration Final'!$C$1:$C$2000"),'Calculations'!$EM498)&amp;"")),"")),"R:"&amp;'Calculations'!EM498)))</x:f>
      </x:c>
      <x:c r="HF498" t="str">
        <x:f>IF('Calculations'!EM498="","",IF(IFERROR(IF(INDEX(INDIRECT("'WCM Calibration Final'!$D$1:$D$2000"),'Calculations'!$EM498)="","",TRIM(INDEX(INDIRECT("'WCM Calibration Final'!$D$1:$D$2000"),'Calculations'!$EM498)&amp;"")),"")&lt;&gt;"","G:"&amp;IFERROR(TEXT(1*INDEX(INDIRECT("'WCM Calibration Final'!$D$1:$D$2000"),'Calculations'!$EM498),"0"),UPPER(IFERROR(IF(INDEX(INDIRECT("'WCM Calibration Final'!$D$1:$D$2000"),'Calculations'!$EM498)="","",TRIM(INDEX(INDIRECT("'WCM Calibration Final'!$D$1:$D$2000"),'Calculations'!$EM498)&amp;"")),""))),IF(IFERROR(IF(INDEX(INDIRECT("'WCM Calibration Final'!$E$1:$E$2000"),'Calculations'!$EM498)="","",TRIM(INDEX(INDIRECT("'WCM Calibration Final'!$E$1:$E$2000"),'Calculations'!$EM498)&amp;"")),"")="","",IF(COUNTIF('Calculations'!$HG$13:$HG$512,"="&amp;SUBSTITUTE(SUBSTITUTE(SUBSTITUTE(IFERROR(IF(INDEX(INDIRECT("'WCM Calibration Final'!$E$1:$E$2000"),'Calculations'!$EM498)="","",TRIM(INDEX(INDIRECT("'WCM Calibration Final'!$E$1:$E$2000"),'Calculations'!$EM498)&amp;"")),""),"~","~~"),"*","~*"),"?","~?"))=1,INDEX('Calculations'!$HE$13:$HE$512,MATCH(IFERROR(IF(INDEX(INDIRECT("'WCM Calibration Final'!$E$1:$E$2000"),'Calculations'!$EM498)="","",TRIM(INDEX(INDIRECT("'WCM Calibration Final'!$E$1:$E$2000"),'Calculations'!$EM498)&amp;"")),""),'Calculations'!$HG$13:$HG$512,0)),IF(COUNTIF('Calculations'!$HG$13:$HG$512,"="&amp;SUBSTITUTE(SUBSTITUTE(SUBSTITUTE(IFERROR(IF(INDEX(INDIRECT("'WCM Calibration Final'!$E$1:$E$2000"),'Calculations'!$EM498)="","",TRIM(INDEX(INDIRECT("'WCM Calibration Final'!$E$1:$E$2000"),'Calculations'!$EM498)&amp;"")),""),"~","~~"),"*","~*"),"?","~?"))&gt;1,"!AMBIG","X:"&amp;IFERROR(IF(INDEX(INDIRECT("'WCM Calibration Final'!$E$1:$E$2000"),'Calculations'!$EM498)="","",TRIM(INDEX(INDIRECT("'WCM Calibration Final'!$E$1:$E$2000"),'Calculations'!$EM498)&amp;"")),""))))))</x:f>
      </x:c>
      <x:c r="HG498" t="str">
        <x:f>IF('Calculations'!EM498="","",IFERROR(IF(INDEX(INDIRECT("'WCM Calibration Final'!$B$1:$B$2000"),'Calculations'!$EM498)="","",TRIM(INDEX(INDIRECT("'WCM Calibration Final'!$B$1:$B$2000"),'Calculations'!$EM498)&amp;"")),""))</x:f>
      </x:c>
      <x:c r="HH498" t="n">
        <x:f>IF(AND('Calculations'!JC498&gt;0,COUNTIF('Calculations'!$HF$12:HF498,"="&amp;SUBSTITUTE(SUBSTITUTE(SUBSTITUTE('Calculations'!HF498,"~","~~"),"*","~*"),"?","~?"))=1),MAX('Calculations'!$HH$12:HH497)+1,0)</x:f>
        <x:v>0</x:v>
      </x:c>
      <x:c r="HI498" t="n">
        <x:f>IF(AND('Calculations'!HN498&lt;&gt;"",COUNTIF('Calculations'!$HN$12:HN498,"="&amp;SUBSTITUTE(SUBSTITUTE(SUBSTITUTE('Calculations'!HN498,"~","~~"),"*","~*"),"?","~?"))=1),MAX('Calculations'!$HI$12:HI497)+1,0)</x:f>
        <x:v>0</x:v>
      </x:c>
      <x:c r="HJ498" t="str">
        <x:f>IF('Calculations'!HF498="","",IF(COUNTIF('Calculations'!$HE$13:$HE$512,"="&amp;SUBSTITUTE(SUBSTITUTE(SUBSTITUTE('Calculations'!HF498,"~","~~"),"*","~*"),"?","~?"))=1,INDEX('Calculations'!$HK$13:$HK$512,MATCH('Calculations'!HF498,'Calculations'!$HE$13:$HE$512,0)),IFERROR(IF(INDEX(INDIRECT("'WCM Calibration Final'!$E$1:$E$2000"),'Calculations'!$EM498)="","",TRIM(INDEX(INDIRECT("'WCM Calibration Final'!$E$1:$E$2000"),'Calculations'!$EM498)&amp;"")),"")&amp;" ["&amp;'Calculations'!HF498&amp;"]"))</x:f>
      </x:c>
      <x:c r="HK498" t="str">
        <x:f>IF('Calculations'!EM498="","",'Calculations'!HG498&amp;" ["&amp;'Calculations'!HE498&amp;"]")</x:f>
      </x:c>
      <x:c r="HL498" t="n">
        <x:f>IF('Calculations'!EM498="",0,IF(OR('Calculations'!II498&lt;&gt;"",COUNTIF('Calculations'!$HE$13:$HE$512,"="&amp;SUBSTITUTE(SUBSTITUTE(SUBSTITUTE('Calculations'!HE498,"~","~~"),"*","~*"),"?","~?"))&gt;1),1,0))</x:f>
        <x:v>0</x:v>
      </x:c>
      <x:c r="HM498" t="str">
        <x:f>IF('Calculations'!EM498="","",IF('Calculations'!HL498=1,"!UNRESOLVED",IF('Calculations'!IH498&lt;&gt;"",'Calculations'!IH498,IF('Calculations'!IG498&lt;&gt;"",'Calculations'!IG498,IF('Calculations'!IF498&lt;&gt;"",'Calculations'!IF498,IF('Calculations'!IE498&lt;&gt;"",'Calculations'!IE498,IF('Calculations'!ID498&lt;&gt;"",'Calculations'!ID498,IF('Calculations'!IC498&lt;&gt;"",'Calculations'!IC498,IF('Calculations'!IB498&lt;&gt;"",'Calculations'!IB498,IF('Calculations'!IA498&lt;&gt;"",'Calculations'!IA498,IF('Calculations'!HZ498&lt;&gt;"",'Calculations'!HZ498,IF('Calculations'!HY498&lt;&gt;"",'Calculations'!HY498,IF('Calculations'!HX498&lt;&gt;"",'Calculations'!HX498,IF('Calculations'!HW498&lt;&gt;"",'Calculations'!HW498,IF('Calculations'!HV498&lt;&gt;"",'Calculations'!HV498,IF('Calculations'!HU498&lt;&gt;"",'Calculations'!HU498,IF('Calculations'!HT498&lt;&gt;"",'Calculations'!HT498,IF('Calculations'!HS498&lt;&gt;"",'Calculations'!HS498,IF('Calculations'!HR498&lt;&gt;"",'Calculations'!HR498,IF('Calculations'!HQ498&lt;&gt;"",'Calculations'!HQ498,IF('Calculations'!HP498&lt;&gt;"",'Calculations'!HP498,IF('Calculations'!HO498&lt;&gt;"",'Calculations'!HO498,'Calculations'!HE498))))))))))))))))))))))</x:f>
      </x:c>
      <x:c r="HN498" t="str">
        <x:f>IF('Calculations'!EM498="","",IF(IFERROR(IF(INDEX(INDIRECT("'WCM Calibration Final'!$F$1:$F$2000"),'Calculations'!$EM498)="","",TRIM(INDEX(INDIRECT("'WCM Calibration Final'!$F$1:$F$2000"),'Calculations'!$EM498)&amp;"")),"")="","(Blank)",IFERROR(IF(INDEX(INDIRECT("'WCM Calibration Final'!$F$1:$F$2000"),'Calculations'!$EM498)="","",TRIM(INDEX(INDIRECT("'WCM Calibration Final'!$F$1:$F$2000"),'Calculations'!$EM498)&amp;"")),"")))</x:f>
      </x:c>
      <x:c r="HO498" t="str">
        <x:f>'Calculations'!HF498</x:f>
      </x:c>
      <x:c r="HP498" t="str">
        <x:f>IF('Calculations'!HO498="","",IF('Calculations'!HO498="!AMBIG","!AMBIG",IF(COUNTIF('Calculations'!$HE$13:$HE$512,"="&amp;SUBSTITUTE(SUBSTITUTE(SUBSTITUTE('Calculations'!HO498,"~","~~"),"*","~*"),"?","~?"))&gt;1,"!AMBIG",IFERROR(INDEX('Calculations'!$HF$13:$HF$512,MATCH('Calculations'!HO498,'Calculations'!$HE$13:$HE$512,0)),""))))</x:f>
      </x:c>
      <x:c r="HQ498" t="str">
        <x:f>IF('Calculations'!HP498="","",IF('Calculations'!HP498="!AMBIG","!AMBIG",IF(COUNTIF('Calculations'!$HE$13:$HE$512,"="&amp;SUBSTITUTE(SUBSTITUTE(SUBSTITUTE('Calculations'!HP498,"~","~~"),"*","~*"),"?","~?"))&gt;1,"!AMBIG",IFERROR(INDEX('Calculations'!$HF$13:$HF$512,MATCH('Calculations'!HP498,'Calculations'!$HE$13:$HE$512,0)),""))))</x:f>
      </x:c>
      <x:c r="HR498" t="str">
        <x:f>IF('Calculations'!HQ498="","",IF('Calculations'!HQ498="!AMBIG","!AMBIG",IF(COUNTIF('Calculations'!$HE$13:$HE$512,"="&amp;SUBSTITUTE(SUBSTITUTE(SUBSTITUTE('Calculations'!HQ498,"~","~~"),"*","~*"),"?","~?"))&gt;1,"!AMBIG",IFERROR(INDEX('Calculations'!$HF$13:$HF$512,MATCH('Calculations'!HQ498,'Calculations'!$HE$13:$HE$512,0)),""))))</x:f>
      </x:c>
      <x:c r="HS498" t="str">
        <x:f>IF('Calculations'!HR498="","",IF('Calculations'!HR498="!AMBIG","!AMBIG",IF(COUNTIF('Calculations'!$HE$13:$HE$512,"="&amp;SUBSTITUTE(SUBSTITUTE(SUBSTITUTE('Calculations'!HR498,"~","~~"),"*","~*"),"?","~?"))&gt;1,"!AMBIG",IFERROR(INDEX('Calculations'!$HF$13:$HF$512,MATCH('Calculations'!HR498,'Calculations'!$HE$13:$HE$512,0)),""))))</x:f>
      </x:c>
      <x:c r="HT498" t="str">
        <x:f>IF('Calculations'!HS498="","",IF('Calculations'!HS498="!AMBIG","!AMBIG",IF(COUNTIF('Calculations'!$HE$13:$HE$512,"="&amp;SUBSTITUTE(SUBSTITUTE(SUBSTITUTE('Calculations'!HS498,"~","~~"),"*","~*"),"?","~?"))&gt;1,"!AMBIG",IFERROR(INDEX('Calculations'!$HF$13:$HF$512,MATCH('Calculations'!HS498,'Calculations'!$HE$13:$HE$512,0)),""))))</x:f>
      </x:c>
      <x:c r="HU498" t="str">
        <x:f>IF('Calculations'!HT498="","",IF('Calculations'!HT498="!AMBIG","!AMBIG",IF(COUNTIF('Calculations'!$HE$13:$HE$512,"="&amp;SUBSTITUTE(SUBSTITUTE(SUBSTITUTE('Calculations'!HT498,"~","~~"),"*","~*"),"?","~?"))&gt;1,"!AMBIG",IFERROR(INDEX('Calculations'!$HF$13:$HF$512,MATCH('Calculations'!HT498,'Calculations'!$HE$13:$HE$512,0)),""))))</x:f>
      </x:c>
      <x:c r="HV498" t="str">
        <x:f>IF('Calculations'!HU498="","",IF('Calculations'!HU498="!AMBIG","!AMBIG",IF(COUNTIF('Calculations'!$HE$13:$HE$512,"="&amp;SUBSTITUTE(SUBSTITUTE(SUBSTITUTE('Calculations'!HU498,"~","~~"),"*","~*"),"?","~?"))&gt;1,"!AMBIG",IFERROR(INDEX('Calculations'!$HF$13:$HF$512,MATCH('Calculations'!HU498,'Calculations'!$HE$13:$HE$512,0)),""))))</x:f>
      </x:c>
      <x:c r="HW498" t="str">
        <x:f>IF('Calculations'!HV498="","",IF('Calculations'!HV498="!AMBIG","!AMBIG",IF(COUNTIF('Calculations'!$HE$13:$HE$512,"="&amp;SUBSTITUTE(SUBSTITUTE(SUBSTITUTE('Calculations'!HV498,"~","~~"),"*","~*"),"?","~?"))&gt;1,"!AMBIG",IFERROR(INDEX('Calculations'!$HF$13:$HF$512,MATCH('Calculations'!HV498,'Calculations'!$HE$13:$HE$512,0)),""))))</x:f>
      </x:c>
      <x:c r="HX498" t="str">
        <x:f>IF('Calculations'!HW498="","",IF('Calculations'!HW498="!AMBIG","!AMBIG",IF(COUNTIF('Calculations'!$HE$13:$HE$512,"="&amp;SUBSTITUTE(SUBSTITUTE(SUBSTITUTE('Calculations'!HW498,"~","~~"),"*","~*"),"?","~?"))&gt;1,"!AMBIG",IFERROR(INDEX('Calculations'!$HF$13:$HF$512,MATCH('Calculations'!HW498,'Calculations'!$HE$13:$HE$512,0)),""))))</x:f>
      </x:c>
      <x:c r="HY498" t="str">
        <x:f>IF('Calculations'!HX498="","",IF('Calculations'!HX498="!AMBIG","!AMBIG",IF(COUNTIF('Calculations'!$HE$13:$HE$512,"="&amp;SUBSTITUTE(SUBSTITUTE(SUBSTITUTE('Calculations'!HX498,"~","~~"),"*","~*"),"?","~?"))&gt;1,"!AMBIG",IFERROR(INDEX('Calculations'!$HF$13:$HF$512,MATCH('Calculations'!HX498,'Calculations'!$HE$13:$HE$512,0)),""))))</x:f>
      </x:c>
      <x:c r="HZ498" t="str">
        <x:f>IF('Calculations'!HY498="","",IF('Calculations'!HY498="!AMBIG","!AMBIG",IF(COUNTIF('Calculations'!$HE$13:$HE$512,"="&amp;SUBSTITUTE(SUBSTITUTE(SUBSTITUTE('Calculations'!HY498,"~","~~"),"*","~*"),"?","~?"))&gt;1,"!AMBIG",IFERROR(INDEX('Calculations'!$HF$13:$HF$512,MATCH('Calculations'!HY498,'Calculations'!$HE$13:$HE$512,0)),""))))</x:f>
      </x:c>
      <x:c r="IA498" t="str">
        <x:f>IF('Calculations'!HZ498="","",IF('Calculations'!HZ498="!AMBIG","!AMBIG",IF(COUNTIF('Calculations'!$HE$13:$HE$512,"="&amp;SUBSTITUTE(SUBSTITUTE(SUBSTITUTE('Calculations'!HZ498,"~","~~"),"*","~*"),"?","~?"))&gt;1,"!AMBIG",IFERROR(INDEX('Calculations'!$HF$13:$HF$512,MATCH('Calculations'!HZ498,'Calculations'!$HE$13:$HE$512,0)),""))))</x:f>
      </x:c>
      <x:c r="IB498" t="str">
        <x:f>IF('Calculations'!IA498="","",IF('Calculations'!IA498="!AMBIG","!AMBIG",IF(COUNTIF('Calculations'!$HE$13:$HE$512,"="&amp;SUBSTITUTE(SUBSTITUTE(SUBSTITUTE('Calculations'!IA498,"~","~~"),"*","~*"),"?","~?"))&gt;1,"!AMBIG",IFERROR(INDEX('Calculations'!$HF$13:$HF$512,MATCH('Calculations'!IA498,'Calculations'!$HE$13:$HE$512,0)),""))))</x:f>
      </x:c>
      <x:c r="IC498" t="str">
        <x:f>IF('Calculations'!IB498="","",IF('Calculations'!IB498="!AMBIG","!AMBIG",IF(COUNTIF('Calculations'!$HE$13:$HE$512,"="&amp;SUBSTITUTE(SUBSTITUTE(SUBSTITUTE('Calculations'!IB498,"~","~~"),"*","~*"),"?","~?"))&gt;1,"!AMBIG",IFERROR(INDEX('Calculations'!$HF$13:$HF$512,MATCH('Calculations'!IB498,'Calculations'!$HE$13:$HE$512,0)),""))))</x:f>
      </x:c>
      <x:c r="ID498" t="str">
        <x:f>IF('Calculations'!IC498="","",IF('Calculations'!IC498="!AMBIG","!AMBIG",IF(COUNTIF('Calculations'!$HE$13:$HE$512,"="&amp;SUBSTITUTE(SUBSTITUTE(SUBSTITUTE('Calculations'!IC498,"~","~~"),"*","~*"),"?","~?"))&gt;1,"!AMBIG",IFERROR(INDEX('Calculations'!$HF$13:$HF$512,MATCH('Calculations'!IC498,'Calculations'!$HE$13:$HE$512,0)),""))))</x:f>
      </x:c>
      <x:c r="IE498" t="str">
        <x:f>IF('Calculations'!ID498="","",IF('Calculations'!ID498="!AMBIG","!AMBIG",IF(COUNTIF('Calculations'!$HE$13:$HE$512,"="&amp;SUBSTITUTE(SUBSTITUTE(SUBSTITUTE('Calculations'!ID498,"~","~~"),"*","~*"),"?","~?"))&gt;1,"!AMBIG",IFERROR(INDEX('Calculations'!$HF$13:$HF$512,MATCH('Calculations'!ID498,'Calculations'!$HE$13:$HE$512,0)),""))))</x:f>
      </x:c>
      <x:c r="IF498" t="str">
        <x:f>IF('Calculations'!IE498="","",IF('Calculations'!IE498="!AMBIG","!AMBIG",IF(COUNTIF('Calculations'!$HE$13:$HE$512,"="&amp;SUBSTITUTE(SUBSTITUTE(SUBSTITUTE('Calculations'!IE498,"~","~~"),"*","~*"),"?","~?"))&gt;1,"!AMBIG",IFERROR(INDEX('Calculations'!$HF$13:$HF$512,MATCH('Calculations'!IE498,'Calculations'!$HE$13:$HE$512,0)),""))))</x:f>
      </x:c>
      <x:c r="IG498" t="str">
        <x:f>IF('Calculations'!IF498="","",IF('Calculations'!IF498="!AMBIG","!AMBIG",IF(COUNTIF('Calculations'!$HE$13:$HE$512,"="&amp;SUBSTITUTE(SUBSTITUTE(SUBSTITUTE('Calculations'!IF498,"~","~~"),"*","~*"),"?","~?"))&gt;1,"!AMBIG",IFERROR(INDEX('Calculations'!$HF$13:$HF$512,MATCH('Calculations'!IF498,'Calculations'!$HE$13:$HE$512,0)),""))))</x:f>
      </x:c>
      <x:c r="IH498" t="str">
        <x:f>IF('Calculations'!IG498="","",IF('Calculations'!IG498="!AMBIG","!AMBIG",IF(COUNTIF('Calculations'!$HE$13:$HE$512,"="&amp;SUBSTITUTE(SUBSTITUTE(SUBSTITUTE('Calculations'!IG498,"~","~~"),"*","~*"),"?","~?"))&gt;1,"!AMBIG",IFERROR(INDEX('Calculations'!$HF$13:$HF$512,MATCH('Calculations'!IG498,'Calculations'!$HE$13:$HE$512,0)),""))))</x:f>
      </x:c>
      <x:c r="II498" t="str">
        <x:f>IF('Calculations'!IH498="","",IF('Calculations'!IH498="!AMBIG","!AMBIG",IF(COUNTIF('Calculations'!$HE$13:$HE$512,"="&amp;SUBSTITUTE(SUBSTITUTE(SUBSTITUTE('Calculations'!IH498,"~","~~"),"*","~*"),"?","~?"))&gt;1,"!AMBIG",IFERROR(INDEX('Calculations'!$HF$13:$HF$512,MATCH('Calculations'!IH498,'Calculations'!$HE$13:$HE$512,0)),""))))</x:f>
      </x:c>
      <x:c r="IJ498" t="str">
        <x:f>IF('Calculations'!EM498="","",IF('Calculations'!$EF$2="All",'Calculations'!HM498,IF('Calculations'!HL498=1,"",IFERROR(IF(MATCH('Calculations'!$EF$2,'Calculations'!HO498:II498,0)=1,'Calculations'!HE498,INDEX('Calculations'!HO498:II498,1,MATCH('Calculations'!$EF$2,'Calculations'!HO498:II498,0)-1)),""))))</x:f>
      </x:c>
      <x:c r="IK498" t="n">
        <x:f>IF(AND('Calculations'!EM498&lt;&gt;"",'Calculations'!$EF$2&lt;&gt;"All",'Calculations'!HF498='Calculations'!$EF$2,'Calculations'!HL498=0,'Calculations'!JD498&gt;0),MAX('Calculations'!$IK$12:IK497)+1,0)</x:f>
        <x:v>0</x:v>
      </x:c>
      <x:c r="JA498" t="n">
        <x:f>IF(OR(IFERROR(INDIRECT("'WCM Calibration Final'!$A$498")&lt;&gt;"",FALSE),IFERROR(INDIRECT("'WCM Calibration Final'!$B$498")&lt;&gt;"",FALSE),IFERROR(INDIRECT("'WCM Calibration Final'!$C$498")&lt;&gt;"",FALSE)),498,0)</x:f>
        <x:v>0</x:v>
      </x:c>
      <x:c r="JB498" t="n">
        <x:f>'Calculations'!JB497+IF('Calculations'!JA498&gt;0,1,0)</x:f>
        <x:v>0</x:v>
      </x:c>
      <x:c r="JC498" t="n">
        <x:f>IF(OR('Calculations'!HF498="",'Calculations'!HF498="!AMBIG"),0,IF('Dashboard'!$B$7="All",1,COUNTIFS('Calculations'!$HO$13:$HO$512,"="&amp;SUBSTITUTE(SUBSTITUTE(SUBSTITUTE('Calculations'!HF498,"~","~~"),"*","~*"),"?","~?"),'Calculations'!$HN$13:$HN$512,"="&amp;SUBSTITUTE(SUBSTITUTE(SUBSTITUTE('Dashboard'!$B$7,"~","~~"),"*","~*"),"?","~?"))+COUNTIFS('Calculations'!$HP$13:$HP$512,"="&amp;SUBSTITUTE(SUBSTITUTE(SUBSTITUTE('Calculations'!HF498,"~","~~"),"*","~*"),"?","~?"),'Calculations'!$HN$13:$HN$512,"="&amp;SUBSTITUTE(SUBSTITUTE(SUBSTITUTE('Dashboard'!$B$7,"~","~~"),"*","~*"),"?","~?"))+COUNTIFS('Calculations'!$HQ$13:$HQ$512,"="&amp;SUBSTITUTE(SUBSTITUTE(SUBSTITUTE('Calculations'!HF498,"~","~~"),"*","~*"),"?","~?"),'Calculations'!$HN$13:$HN$512,"="&amp;SUBSTITUTE(SUBSTITUTE(SUBSTITUTE('Dashboard'!$B$7,"~","~~"),"*","~*"),"?","~?"))+COUNTIFS('Calculations'!$HR$13:$HR$512,"="&amp;SUBSTITUTE(SUBSTITUTE(SUBSTITUTE('Calculations'!HF498,"~","~~"),"*","~*"),"?","~?"),'Calculations'!$HN$13:$HN$512,"="&amp;SUBSTITUTE(SUBSTITUTE(SUBSTITUTE('Dashboard'!$B$7,"~","~~"),"*","~*"),"?","~?"))+COUNTIFS('Calculations'!$HS$13:$HS$512,"="&amp;SUBSTITUTE(SUBSTITUTE(SUBSTITUTE('Calculations'!HF498,"~","~~"),"*","~*"),"?","~?"),'Calculations'!$HN$13:$HN$512,"="&amp;SUBSTITUTE(SUBSTITUTE(SUBSTITUTE('Dashboard'!$B$7,"~","~~"),"*","~*"),"?","~?"))+COUNTIFS('Calculations'!$HT$13:$HT$512,"="&amp;SUBSTITUTE(SUBSTITUTE(SUBSTITUTE('Calculations'!HF498,"~","~~"),"*","~*"),"?","~?"),'Calculations'!$HN$13:$HN$512,"="&amp;SUBSTITUTE(SUBSTITUTE(SUBSTITUTE('Dashboard'!$B$7,"~","~~"),"*","~*"),"?","~?"))+COUNTIFS('Calculations'!$HU$13:$HU$512,"="&amp;SUBSTITUTE(SUBSTITUTE(SUBSTITUTE('Calculations'!HF498,"~","~~"),"*","~*"),"?","~?"),'Calculations'!$HN$13:$HN$512,"="&amp;SUBSTITUTE(SUBSTITUTE(SUBSTITUTE('Dashboard'!$B$7,"~","~~"),"*","~*"),"?","~?"))+COUNTIFS('Calculations'!$HV$13:$HV$512,"="&amp;SUBSTITUTE(SUBSTITUTE(SUBSTITUTE('Calculations'!HF498,"~","~~"),"*","~*"),"?","~?"),'Calculations'!$HN$13:$HN$512,"="&amp;SUBSTITUTE(SUBSTITUTE(SUBSTITUTE('Dashboard'!$B$7,"~","~~"),"*","~*"),"?","~?"))+COUNTIFS('Calculations'!$HW$13:$HW$512,"="&amp;SUBSTITUTE(SUBSTITUTE(SUBSTITUTE('Calculations'!HF498,"~","~~"),"*","~*"),"?","~?"),'Calculations'!$HN$13:$HN$512,"="&amp;SUBSTITUTE(SUBSTITUTE(SUBSTITUTE('Dashboard'!$B$7,"~","~~"),"*","~*"),"?","~?"))+COUNTIFS('Calculations'!$HX$13:$HX$512,"="&amp;SUBSTITUTE(SUBSTITUTE(SUBSTITUTE('Calculations'!HF498,"~","~~"),"*","~*"),"?","~?"),'Calculations'!$HN$13:$HN$512,"="&amp;SUBSTITUTE(SUBSTITUTE(SUBSTITUTE('Dashboard'!$B$7,"~","~~"),"*","~*"),"?","~?"))+COUNTIFS('Calculations'!$HY$13:$HY$512,"="&amp;SUBSTITUTE(SUBSTITUTE(SUBSTITUTE('Calculations'!HF498,"~","~~"),"*","~*"),"?","~?"),'Calculations'!$HN$13:$HN$512,"="&amp;SUBSTITUTE(SUBSTITUTE(SUBSTITUTE('Dashboard'!$B$7,"~","~~"),"*","~*"),"?","~?"))+COUNTIFS('Calculations'!$HZ$13:$HZ$512,"="&amp;SUBSTITUTE(SUBSTITUTE(SUBSTITUTE('Calculations'!HF498,"~","~~"),"*","~*"),"?","~?"),'Calculations'!$HN$13:$HN$512,"="&amp;SUBSTITUTE(SUBSTITUTE(SUBSTITUTE('Dashboard'!$B$7,"~","~~"),"*","~*"),"?","~?"))+COUNTIFS('Calculations'!$IA$13:$IA$512,"="&amp;SUBSTITUTE(SUBSTITUTE(SUBSTITUTE('Calculations'!HF498,"~","~~"),"*","~*"),"?","~?"),'Calculations'!$HN$13:$HN$512,"="&amp;SUBSTITUTE(SUBSTITUTE(SUBSTITUTE('Dashboard'!$B$7,"~","~~"),"*","~*"),"?","~?"))+COUNTIFS('Calculations'!$IB$13:$IB$512,"="&amp;SUBSTITUTE(SUBSTITUTE(SUBSTITUTE('Calculations'!HF498,"~","~~"),"*","~*"),"?","~?"),'Calculations'!$HN$13:$HN$512,"="&amp;SUBSTITUTE(SUBSTITUTE(SUBSTITUTE('Dashboard'!$B$7,"~","~~"),"*","~*"),"?","~?"))+COUNTIFS('Calculations'!$IC$13:$IC$512,"="&amp;SUBSTITUTE(SUBSTITUTE(SUBSTITUTE('Calculations'!HF498,"~","~~"),"*","~*"),"?","~?"),'Calculations'!$HN$13:$HN$512,"="&amp;SUBSTITUTE(SUBSTITUTE(SUBSTITUTE('Dashboard'!$B$7,"~","~~"),"*","~*"),"?","~?"))+COUNTIFS('Calculations'!$ID$13:$ID$512,"="&amp;SUBSTITUTE(SUBSTITUTE(SUBSTITUTE('Calculations'!HF498,"~","~~"),"*","~*"),"?","~?"),'Calculations'!$HN$13:$HN$512,"="&amp;SUBSTITUTE(SUBSTITUTE(SUBSTITUTE('Dashboard'!$B$7,"~","~~"),"*","~*"),"?","~?"))+COUNTIFS('Calculations'!$IE$13:$IE$512,"="&amp;SUBSTITUTE(SUBSTITUTE(SUBSTITUTE('Calculations'!HF498,"~","~~"),"*","~*"),"?","~?"),'Calculations'!$HN$13:$HN$512,"="&amp;SUBSTITUTE(SUBSTITUTE(SUBSTITUTE('Dashboard'!$B$7,"~","~~"),"*","~*"),"?","~?"))+COUNTIFS('Calculations'!$IF$13:$IF$512,"="&amp;SUBSTITUTE(SUBSTITUTE(SUBSTITUTE('Calculations'!HF498,"~","~~"),"*","~*"),"?","~?"),'Calculations'!$HN$13:$HN$512,"="&amp;SUBSTITUTE(SUBSTITUTE(SUBSTITUTE('Dashboard'!$B$7,"~","~~"),"*","~*"),"?","~?"))+COUNTIFS('Calculations'!$IG$13:$IG$512,"="&amp;SUBSTITUTE(SUBSTITUTE(SUBSTITUTE('Calculations'!HF498,"~","~~"),"*","~*"),"?","~?"),'Calculations'!$HN$13:$HN$512,"="&amp;SUBSTITUTE(SUBSTITUTE(SUBSTITUTE('Dashboard'!$B$7,"~","~~"),"*","~*"),"?","~?"))+COUNTIFS('Calculations'!$IH$13:$IH$512,"="&amp;SUBSTITUTE(SUBSTITUTE(SUBSTITUTE('Calculations'!HF498,"~","~~"),"*","~*"),"?","~?"),'Calculations'!$HN$13:$HN$512,"="&amp;SUBSTITUTE(SUBSTITUTE(SUBSTITUTE('Dashboard'!$B$7,"~","~~"),"*","~*"),"?","~?"))))</x:f>
        <x:v>0</x:v>
      </x:c>
      <x:c r="JD498" t="n">
        <x:f>IF('Calculations'!EM498="",0,IF('Dashboard'!$B$7="All",1,IF('Calculations'!HN498='Dashboard'!$B$7,1,0)+IFERROR(INDEX('Calculations'!$JC$13:$JC$512,MATCH('Calculations'!HE498,'Calculations'!$HF$13:$HF$512,0)),0)))</x:f>
        <x:v>0</x:v>
      </x:c>
      <x:c r="JE498" t="n">
        <x:f>IF(AND('Calculations'!EM498&lt;&gt;"",'Calculations'!$JJ$2&lt;&gt;"All",'Calculations'!$JJ$2&lt;&gt;"",'Calculations'!HF498='Calculations'!$JJ$2,'Calculations'!HL498=0,'Calculations'!JD498&gt;0),MAX('Calculations'!$JE$12:JE497)+1,0)</x:f>
        <x:v>0</x:v>
      </x:c>
      <x:c r="JF498" t="str">
        <x:f>IF('Calculations'!EM498="","",IFERROR(IF(INDEX(INDIRECT("'WCM Calibration Final'!$G$1:$G$2000"),'Calculations'!$EM498)="","",TRIM(INDEX(INDIRECT("'WCM Calibration Final'!$G$1:$G$2000"),'Calculations'!$EM498)&amp;"")),""))</x:f>
      </x:c>
      <x:c r="JQ498" t="n">
        <x:f>IF(OR('Calculations'!BM498=0,NOT('Calculations'!$AG$2),'Calculations'!$AG$8&gt;0),0,IF(OR('Dashboard'!$B$7="All",'Calculations'!HN498='Dashboard'!$B$7),IF('Calculations'!$JJ$2="All",1,IF(AND('Calculations'!HF498='Calculations'!$JJ$2,'Calculations'!HL498=0),1,0)),0))</x:f>
        <x:v>0</x:v>
      </x:c>
    </x:row>
    <x:row r="499">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t="n">
        <x:f>IF('Calculations'!$EM499="",0,IF(OR(IFERROR(INDEX(INDIRECT("'WCM Calibration Final'!$A$1:$A$2000"),'Calculations'!$EM499)&lt;&gt;"",FALSE),IFERROR(INDEX(INDIRECT("'WCM Calibration Final'!$B$1:$B$2000"),'Calculations'!$EM499)&lt;&gt;"",FALSE),IFERROR(INDEX(INDIRECT("'WCM Calibration Final'!$C$1:$C$2000"),'Calculations'!$EM499)&lt;&gt;"",FALSE)),1,0))</x:f>
        <x:v>0</x:v>
      </x:c>
      <x:c r="BN499" s="4" t="n">
        <x:f>IF(AND('Calculations'!BM499=1,'Calculations'!$AG$2,'Calculations'!$EN499=1),1,0)</x:f>
        <x:v>0</x:v>
      </x:c>
      <x:c r="BO499" s="4" t="str">
        <x:f>IF('Calculations'!BM499=0,"",IFERROR(IF(AND(VALUE(INDEX(INDIRECT("'WCM Calibration Final'!$K$1:$K$2000"),'Calculations'!$EM499))&gt;=1,VALUE(INDEX(INDIRECT("'WCM Calibration Final'!$K$1:$K$2000"),'Calculations'!$EM499))&lt;=4,MOD(VALUE(INDEX(INDIRECT("'WCM Calibration Final'!$K$1:$K$2000"),'Calculations'!$EM499)),1)=0),VALUE(INDEX(INDIRECT("'WCM Calibration Final'!$K$1:$K$2000"),'Calculations'!$EM499)),""),""))</x:f>
      </x:c>
      <x:c r="BP499" s="4" t="str">
        <x:f>IF('Calculations'!BM499=0,"",IFERROR(IF(AND(VALUE(INDEX(INDIRECT("'WCM Calibration Final'!$L$1:$L$2000"),'Calculations'!$EM499))&gt;=1,VALUE(INDEX(INDIRECT("'WCM Calibration Final'!$L$1:$L$2000"),'Calculations'!$EM499))&lt;=4,MOD(VALUE(INDEX(INDIRECT("'WCM Calibration Final'!$L$1:$L$2000"),'Calculations'!$EM499)),1)=0),VALUE(INDEX(INDIRECT("'WCM Calibration Final'!$L$1:$L$2000"),'Calculations'!$EM499)),""),""))</x:f>
      </x:c>
      <x:c r="BQ499" s="4"/>
      <x:c r="BR499" s="4"/>
      <x:c r="BS499" s="4"/>
      <x:c r="BT499" s="4" t="n">
        <x:f>IF(AND('Calculations'!BM499=1,ISNUMBER('Calculations'!BO499),ISNUMBER('Calculations'!BP499)),1,0)</x:f>
        <x:v>0</x:v>
      </x:c>
      <x:c r="BU499" s="4" t="str">
        <x:f>IF('Calculations'!BM499=0,"",'Calculations'!$EO499)</x:f>
      </x:c>
      <x:c r="BV499" s="4" t="str">
        <x:f>IF('Calculations'!BM499=0,"",IFERROR(IF(OR(INDEX(INDIRECT("'WCM Calibration Final'!$H$1:$H$2000"),'Calculations'!$EM499)="MANAGING DIRECTOR",INDEX(INDIRECT("'WCM Calibration Final'!$H$1:$H$2000"),'Calculations'!$EM499)="DIRECTOR",INDEX(INDIRECT("'WCM Calibration Final'!$H$1:$H$2000"),'Calculations'!$EM499)="SENIOR VICE PRESIDENT",INDEX(INDIRECT("'WCM Calibration Final'!$H$1:$H$2000"),'Calculations'!$EM499)="VICE PRESIDENT",INDEX(INDIRECT("'WCM Calibration Final'!$H$1:$H$2000"),'Calculations'!$EM499)="ASSISTANT VICE PRESIDENT",INDEX(INDIRECT("'WCM Calibration Final'!$H$1:$H$2000"),'Calculations'!$EM499)="OFFICER"),UPPER(INDEX(INDIRECT("'WCM Calibration Final'!$H$1:$H$2000"),'Calculations'!$EM499)),"Other"),"Other"))</x:f>
      </x:c>
      <x:c r="BW499" s="4"/>
      <x:c r="BX499" s="4"/>
      <x:c r="BY499" s="4" t="n">
        <x:f>IF(AND('Calculations'!BM499=1,'Calculations'!BU499&lt;&gt;"",COUNTIF('Calculations'!$BU$12:BU499,'Calculations'!BU499)=1),MAX('Calculations'!$BY$11:BY498)+1,0)</x:f>
        <x:v>0</x:v>
      </x:c>
      <x:c r="BZ499" s="4" t="str">
        <x:f>IF('Dashboard'!$E$67="What",'Calculations'!BO499,'Calculations'!BP499)</x:f>
      </x:c>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t="str">
        <x:f>IF(488&gt;MAX('Calculations'!$HI$13:$HI$512),"",INDEX('Calculations'!$HN$13:$HN$512,MATCH(488,'Calculations'!$HI$13:$HI$512,0)))</x:f>
      </x:c>
      <x:c r="DB499" s="4" t="str">
        <x:f>IF(488&gt;MAX('Calculations'!$HH$13:$HH$512),"",INDEX('Calculations'!$HJ$13:$HJ$512,MATCH(488,'Calculations'!$HH$13:$HH$512,0)))</x:f>
      </x:c>
      <x:c r="DC499" s="4" t="str">
        <x:f>IF(ROW()-11&gt;MAX('Calculations'!$BY$13:$BY$512),"",INDEX('Calculations'!$BU$13:$BU$512,MATCH(ROW()-11,'Calculations'!$BY$13:$BY$512,0)))</x:f>
      </x:c>
      <x:c r="DD499" s="4" t="str">
        <x:f>IF(488&gt;MAX('Calculations'!$IK$13:$IK$512),"",INDEX('Calculations'!$HK$13:$HK$512,MATCH(488,'Calculations'!$IK$13:$IK$512,0)))</x:f>
      </x:c>
      <x:c r="DE499" s="4" t="str">
        <x:f>'Calculations'!DC499</x:f>
      </x:c>
      <x:c r="DF499" s="4" t="str">
        <x:f>IF('Calculations'!DE499="","",COUNTIFS('Calculations'!$BN$13:$BN$512,1,'Calculations'!$BU$13:$BU$512,'Calculations'!DE499))</x:f>
      </x:c>
      <x:c r="DG499" s="4" t="str">
        <x:f>IF('Calculations'!DE499="","",COUNTIFS('Calculations'!$BN$13:$BN$512,1,'Calculations'!$BU$13:$BU$512,'Calculations'!DE499,'Calculations'!$BT$13:$BT$512,1))</x:f>
      </x:c>
      <x:c r="DH499" s="4" t="str">
        <x:f>IF('Calculations'!DE499="","",'Calculations'!DF499-'Calculations'!DG499)</x:f>
      </x:c>
      <x:c r="DI499" s="4" t="str">
        <x:f>IF(OR('Calculations'!DE499="",'Calculations'!DF499=0),"",'Calculations'!DG499/'Calculations'!DF499)</x:f>
      </x:c>
      <x:c r="DJ499" s="4" t="str">
        <x:f>IF('Calculations'!DE499="","",COUNTIFS('Calculations'!$BN$13:$BN$512,1,'Calculations'!$BU$13:$BU$512,'Calculations'!DE499,'Calculations'!$BT$13:$BT$512,1,'Calculations'!$EE$13:$EE$512,"High"))</x:f>
      </x:c>
      <x:c r="DK499" s="4" t="str">
        <x:f>IF('Calculations'!DE499="","",COUNTIFS('Calculations'!$BN$13:$BN$512,1,'Calculations'!$BU$13:$BU$512,'Calculations'!DE499,'Calculations'!$BT$13:$BT$512,1,'Calculations'!$EE$13:$EE$512,"Strong"))</x:f>
      </x:c>
      <x:c r="DL499" s="4" t="str">
        <x:f>IF('Calculations'!DE499="","",COUNTIFS('Calculations'!$BN$13:$BN$512,1,'Calculations'!$BU$13:$BU$512,'Calculations'!DE499,'Calculations'!$BT$13:$BT$512,1,'Calculations'!$EE$13:$EE$512,"Solid"))</x:f>
      </x:c>
      <x:c r="DM499" s="4" t="str">
        <x:f>IF('Calculations'!DE499="","",COUNTIFS('Calculations'!$BN$13:$BN$512,1,'Calculations'!$BU$13:$BU$512,'Calculations'!DE499,'Calculations'!$BT$13:$BT$512,1,'Calculations'!$EE$13:$EE$512,"Low"))</x:f>
      </x:c>
      <x:c r="DN499" s="4" t="str">
        <x:f>IF('Calculations'!DE499="","",COUNTIFS('Calculations'!$BN$13:$BN$512,1,'Calculations'!$BU$13:$BU$512,'Calculations'!DE499,'Calculations'!$EP$13:$EP$512,1))</x:f>
      </x:c>
      <x:c r="DO499" s="4" t="str">
        <x:f>IF(OR('Calculations'!DE499="",'Calculations'!DG499=0),"",('Calculations'!DJ499+'Calculations'!DK499)/'Calculations'!DG499)</x:f>
      </x:c>
      <x:c r="DP499" s="4" t="n">
        <x:f>IF(AND('Calculations'!DE499&lt;&gt;"",'Calculations'!DF499&gt;0),COUNTIF('Calculations'!$DF$12:DF499,"&gt;0"),0)</x:f>
        <x:v>0</x:v>
      </x:c>
      <x:c r="DQ499" s="4" t="str">
        <x:f>IF(488&gt;MAX('Calculations'!$HH$13:$HH$512),"",INDEX('Calculations'!$HF$13:$HF$512,MATCH(488,'Calculations'!$HH$13:$HH$512,0)))</x:f>
      </x:c>
      <x:c r="DR499" s="4" t="str">
        <x:f>IF(488&gt;MAX('Calculations'!$IK$13:$IK$512),"",INDEX('Calculations'!$HE$13:$HE$512,MATCH(488,'Calculations'!$IK$13:$IK$512,0)))</x:f>
      </x:c>
      <x:c r="DS499" s="4"/>
      <x:c r="DT499" s="4"/>
      <x:c r="DU499" s="4"/>
      <x:c r="DV499" s="4"/>
      <x:c r="DW499" s="4"/>
      <x:c r="DX499" s="4"/>
      <x:c r="DY499" s="4"/>
      <x:c r="DZ499" s="4"/>
      <x:c r="EA499" s="4"/>
      <x:c r="EB499" s="4"/>
      <x:c r="EC499" s="4"/>
      <x:c r="ED499" s="4"/>
      <x:c r="EE499" s="4" t="str">
        <x:f>IF('Calculations'!BT499=0,"Not Rated",IF(OR('Calculations'!BO499&gt;=4,'Calculations'!BP499&gt;=4),"Low",IF('Calculations'!BO499+'Calculations'!BP499&lt;=3,"High",IF('Calculations'!BO499+'Calculations'!BP499&lt;=4,"Strong","Solid"))))</x:f>
        <x:v>Not Rated</x:v>
      </x:c>
      <x:c r="EF499" s="4"/>
      <x:c r="EG499" s="4"/>
      <x:c r="EH499" s="4"/>
      <x:c r="EI499" s="4"/>
      <x:c r="EJ499" s="4"/>
      <x:c r="EK499" s="4"/>
      <x:c r="EL499" s="4"/>
      <x:c r="EM499" s="4" t="str">
        <x:f>IF(487&gt;'Calculations'!$JB$2000,"",INDEX('Calculations'!$JA$12:$JA$2000,MATCH(487,'Calculations'!$JB$12:$JB$2000,0)))</x:f>
      </x:c>
      <x:c r="EN499" s="4" t="n">
        <x:f>IF(OR('Calculations'!EM499="",'Calculations'!$AG$8&gt;0,AND('Calculations'!$EF$2&lt;&gt;"All",'Calculations'!HE499='Calculations'!$EF$2),AND('Calculations'!$EF$3&lt;&gt;"All",'Calculations'!HE499='Calculations'!$EF$3)),0,IF(OR('Dashboard'!$B$7="All",'Calculations'!HN499='Dashboard'!$B$7),IF('Calculations'!$EF$2="All",1,IF('Calculations'!HL499&gt;0,0,IF(COUNTIF('Calculations'!HO499:II499,"="&amp;SUBSTITUTE(SUBSTITUTE(SUBSTITUTE('Calculations'!$EF$2,"~","~~"),"*","~*"),"?","~?"))=0,0,IF('Calculations'!$EF$3="All",1,IF(COUNTIF('Calculations'!HO499:II499,"="&amp;SUBSTITUTE(SUBSTITUTE(SUBSTITUTE('Calculations'!$EF$3,"~","~~"),"*","~*"),"?","~?"))&gt;0,1,0))))),0))</x:f>
        <x:v>0</x:v>
      </x:c>
      <x:c r="EO499" s="4" t="str">
        <x:f>IF('Calculations'!IJ499="","",IF('Calculations'!IJ499="!UNRESOLVED","Unresolved hierarchy",IFERROR(INDEX('Calculations'!$HK$13:$HK$512,MATCH('Calculations'!IJ499,'Calculations'!$HE$13:$HE$512,0)),IFERROR(INDEX('Calculations'!$HJ$13:$HJ$512,MATCH('Calculations'!IJ499,'Calculations'!$HF$13:$HF$512,0)),'Calculations'!IJ499))))</x:f>
      </x:c>
      <x:c r="EP499" s="4" t="n">
        <x:f>IF(AND('Calculations'!EM499&lt;&gt;"",'Calculations'!HF499='Calculations'!IJ499),1,0)</x:f>
        <x:v>0</x:v>
      </x:c>
      <x:c r="EQ499" s="4"/>
      <x:c r="ER499" s="4"/>
      <x:c r="ES499" s="4"/>
      <x:c r="ET499" s="4"/>
      <x:c r="EU499" s="4"/>
      <x:c r="EV499" s="4"/>
      <x:c r="EW499" s="4"/>
      <x:c r="EX499" s="4"/>
      <x:c r="EY499" s="4"/>
      <x:c r="EZ499" s="4"/>
      <x:c r="FA499" s="4"/>
      <x:c r="FB499" s="4"/>
      <x:c r="FC499" s="4"/>
      <x:c r="FD499" s="4"/>
      <x:c r="FE499" s="4"/>
      <x:c r="FF499" s="4"/>
      <x:c r="FG499" s="4"/>
      <x:c r="FH499" s="4"/>
      <x:c r="FI499" s="4"/>
      <x:c r="FJ499" s="4"/>
      <x:c r="FK499" s="4"/>
      <x:c r="FL499" s="4"/>
      <x:c r="FM499" s="4"/>
      <x:c r="FN499" s="4"/>
      <x:c r="FO499" s="4"/>
      <x:c r="HE499" t="str">
        <x:f>IF('Calculations'!EM499="","",IF(IFERROR(IF(INDEX(INDIRECT("'WCM Calibration Final'!$A$1:$A$2000"),'Calculations'!$EM499)="","",TRIM(INDEX(INDIRECT("'WCM Calibration Final'!$A$1:$A$2000"),'Calculations'!$EM499)&amp;"")),"")&lt;&gt;"","G:"&amp;IFERROR(TEXT(1*INDEX(INDIRECT("'WCM Calibration Final'!$A$1:$A$2000"),'Calculations'!$EM499),"0"),UPPER(IFERROR(IF(INDEX(INDIRECT("'WCM Calibration Final'!$A$1:$A$2000"),'Calculations'!$EM499)="","",TRIM(INDEX(INDIRECT("'WCM Calibration Final'!$A$1:$A$2000"),'Calculations'!$EM499)&amp;"")),""))),IF(IFERROR(IF(INDEX(INDIRECT("'WCM Calibration Final'!$C$1:$C$2000"),'Calculations'!$EM499)="","",TRIM(INDEX(INDIRECT("'WCM Calibration Final'!$C$1:$C$2000"),'Calculations'!$EM499)&amp;"")),"")&lt;&gt;"","S:"&amp;UPPER(IFERROR(IF(INDEX(INDIRECT("'WCM Calibration Final'!$C$1:$C$2000"),'Calculations'!$EM499)="","",TRIM(INDEX(INDIRECT("'WCM Calibration Final'!$C$1:$C$2000"),'Calculations'!$EM499)&amp;"")),"")),"R:"&amp;'Calculations'!EM499)))</x:f>
      </x:c>
      <x:c r="HF499" t="str">
        <x:f>IF('Calculations'!EM499="","",IF(IFERROR(IF(INDEX(INDIRECT("'WCM Calibration Final'!$D$1:$D$2000"),'Calculations'!$EM499)="","",TRIM(INDEX(INDIRECT("'WCM Calibration Final'!$D$1:$D$2000"),'Calculations'!$EM499)&amp;"")),"")&lt;&gt;"","G:"&amp;IFERROR(TEXT(1*INDEX(INDIRECT("'WCM Calibration Final'!$D$1:$D$2000"),'Calculations'!$EM499),"0"),UPPER(IFERROR(IF(INDEX(INDIRECT("'WCM Calibration Final'!$D$1:$D$2000"),'Calculations'!$EM499)="","",TRIM(INDEX(INDIRECT("'WCM Calibration Final'!$D$1:$D$2000"),'Calculations'!$EM499)&amp;"")),""))),IF(IFERROR(IF(INDEX(INDIRECT("'WCM Calibration Final'!$E$1:$E$2000"),'Calculations'!$EM499)="","",TRIM(INDEX(INDIRECT("'WCM Calibration Final'!$E$1:$E$2000"),'Calculations'!$EM499)&amp;"")),"")="","",IF(COUNTIF('Calculations'!$HG$13:$HG$512,"="&amp;SUBSTITUTE(SUBSTITUTE(SUBSTITUTE(IFERROR(IF(INDEX(INDIRECT("'WCM Calibration Final'!$E$1:$E$2000"),'Calculations'!$EM499)="","",TRIM(INDEX(INDIRECT("'WCM Calibration Final'!$E$1:$E$2000"),'Calculations'!$EM499)&amp;"")),""),"~","~~"),"*","~*"),"?","~?"))=1,INDEX('Calculations'!$HE$13:$HE$512,MATCH(IFERROR(IF(INDEX(INDIRECT("'WCM Calibration Final'!$E$1:$E$2000"),'Calculations'!$EM499)="","",TRIM(INDEX(INDIRECT("'WCM Calibration Final'!$E$1:$E$2000"),'Calculations'!$EM499)&amp;"")),""),'Calculations'!$HG$13:$HG$512,0)),IF(COUNTIF('Calculations'!$HG$13:$HG$512,"="&amp;SUBSTITUTE(SUBSTITUTE(SUBSTITUTE(IFERROR(IF(INDEX(INDIRECT("'WCM Calibration Final'!$E$1:$E$2000"),'Calculations'!$EM499)="","",TRIM(INDEX(INDIRECT("'WCM Calibration Final'!$E$1:$E$2000"),'Calculations'!$EM499)&amp;"")),""),"~","~~"),"*","~*"),"?","~?"))&gt;1,"!AMBIG","X:"&amp;IFERROR(IF(INDEX(INDIRECT("'WCM Calibration Final'!$E$1:$E$2000"),'Calculations'!$EM499)="","",TRIM(INDEX(INDIRECT("'WCM Calibration Final'!$E$1:$E$2000"),'Calculations'!$EM499)&amp;"")),""))))))</x:f>
      </x:c>
      <x:c r="HG499" t="str">
        <x:f>IF('Calculations'!EM499="","",IFERROR(IF(INDEX(INDIRECT("'WCM Calibration Final'!$B$1:$B$2000"),'Calculations'!$EM499)="","",TRIM(INDEX(INDIRECT("'WCM Calibration Final'!$B$1:$B$2000"),'Calculations'!$EM499)&amp;"")),""))</x:f>
      </x:c>
      <x:c r="HH499" t="n">
        <x:f>IF(AND('Calculations'!JC499&gt;0,COUNTIF('Calculations'!$HF$12:HF499,"="&amp;SUBSTITUTE(SUBSTITUTE(SUBSTITUTE('Calculations'!HF499,"~","~~"),"*","~*"),"?","~?"))=1),MAX('Calculations'!$HH$12:HH498)+1,0)</x:f>
        <x:v>0</x:v>
      </x:c>
      <x:c r="HI499" t="n">
        <x:f>IF(AND('Calculations'!HN499&lt;&gt;"",COUNTIF('Calculations'!$HN$12:HN499,"="&amp;SUBSTITUTE(SUBSTITUTE(SUBSTITUTE('Calculations'!HN499,"~","~~"),"*","~*"),"?","~?"))=1),MAX('Calculations'!$HI$12:HI498)+1,0)</x:f>
        <x:v>0</x:v>
      </x:c>
      <x:c r="HJ499" t="str">
        <x:f>IF('Calculations'!HF499="","",IF(COUNTIF('Calculations'!$HE$13:$HE$512,"="&amp;SUBSTITUTE(SUBSTITUTE(SUBSTITUTE('Calculations'!HF499,"~","~~"),"*","~*"),"?","~?"))=1,INDEX('Calculations'!$HK$13:$HK$512,MATCH('Calculations'!HF499,'Calculations'!$HE$13:$HE$512,0)),IFERROR(IF(INDEX(INDIRECT("'WCM Calibration Final'!$E$1:$E$2000"),'Calculations'!$EM499)="","",TRIM(INDEX(INDIRECT("'WCM Calibration Final'!$E$1:$E$2000"),'Calculations'!$EM499)&amp;"")),"")&amp;" ["&amp;'Calculations'!HF499&amp;"]"))</x:f>
      </x:c>
      <x:c r="HK499" t="str">
        <x:f>IF('Calculations'!EM499="","",'Calculations'!HG499&amp;" ["&amp;'Calculations'!HE499&amp;"]")</x:f>
      </x:c>
      <x:c r="HL499" t="n">
        <x:f>IF('Calculations'!EM499="",0,IF(OR('Calculations'!II499&lt;&gt;"",COUNTIF('Calculations'!$HE$13:$HE$512,"="&amp;SUBSTITUTE(SUBSTITUTE(SUBSTITUTE('Calculations'!HE499,"~","~~"),"*","~*"),"?","~?"))&gt;1),1,0))</x:f>
        <x:v>0</x:v>
      </x:c>
      <x:c r="HM499" t="str">
        <x:f>IF('Calculations'!EM499="","",IF('Calculations'!HL499=1,"!UNRESOLVED",IF('Calculations'!IH499&lt;&gt;"",'Calculations'!IH499,IF('Calculations'!IG499&lt;&gt;"",'Calculations'!IG499,IF('Calculations'!IF499&lt;&gt;"",'Calculations'!IF499,IF('Calculations'!IE499&lt;&gt;"",'Calculations'!IE499,IF('Calculations'!ID499&lt;&gt;"",'Calculations'!ID499,IF('Calculations'!IC499&lt;&gt;"",'Calculations'!IC499,IF('Calculations'!IB499&lt;&gt;"",'Calculations'!IB499,IF('Calculations'!IA499&lt;&gt;"",'Calculations'!IA499,IF('Calculations'!HZ499&lt;&gt;"",'Calculations'!HZ499,IF('Calculations'!HY499&lt;&gt;"",'Calculations'!HY499,IF('Calculations'!HX499&lt;&gt;"",'Calculations'!HX499,IF('Calculations'!HW499&lt;&gt;"",'Calculations'!HW499,IF('Calculations'!HV499&lt;&gt;"",'Calculations'!HV499,IF('Calculations'!HU499&lt;&gt;"",'Calculations'!HU499,IF('Calculations'!HT499&lt;&gt;"",'Calculations'!HT499,IF('Calculations'!HS499&lt;&gt;"",'Calculations'!HS499,IF('Calculations'!HR499&lt;&gt;"",'Calculations'!HR499,IF('Calculations'!HQ499&lt;&gt;"",'Calculations'!HQ499,IF('Calculations'!HP499&lt;&gt;"",'Calculations'!HP499,IF('Calculations'!HO499&lt;&gt;"",'Calculations'!HO499,'Calculations'!HE499))))))))))))))))))))))</x:f>
      </x:c>
      <x:c r="HN499" t="str">
        <x:f>IF('Calculations'!EM499="","",IF(IFERROR(IF(INDEX(INDIRECT("'WCM Calibration Final'!$F$1:$F$2000"),'Calculations'!$EM499)="","",TRIM(INDEX(INDIRECT("'WCM Calibration Final'!$F$1:$F$2000"),'Calculations'!$EM499)&amp;"")),"")="","(Blank)",IFERROR(IF(INDEX(INDIRECT("'WCM Calibration Final'!$F$1:$F$2000"),'Calculations'!$EM499)="","",TRIM(INDEX(INDIRECT("'WCM Calibration Final'!$F$1:$F$2000"),'Calculations'!$EM499)&amp;"")),"")))</x:f>
      </x:c>
      <x:c r="HO499" t="str">
        <x:f>'Calculations'!HF499</x:f>
      </x:c>
      <x:c r="HP499" t="str">
        <x:f>IF('Calculations'!HO499="","",IF('Calculations'!HO499="!AMBIG","!AMBIG",IF(COUNTIF('Calculations'!$HE$13:$HE$512,"="&amp;SUBSTITUTE(SUBSTITUTE(SUBSTITUTE('Calculations'!HO499,"~","~~"),"*","~*"),"?","~?"))&gt;1,"!AMBIG",IFERROR(INDEX('Calculations'!$HF$13:$HF$512,MATCH('Calculations'!HO499,'Calculations'!$HE$13:$HE$512,0)),""))))</x:f>
      </x:c>
      <x:c r="HQ499" t="str">
        <x:f>IF('Calculations'!HP499="","",IF('Calculations'!HP499="!AMBIG","!AMBIG",IF(COUNTIF('Calculations'!$HE$13:$HE$512,"="&amp;SUBSTITUTE(SUBSTITUTE(SUBSTITUTE('Calculations'!HP499,"~","~~"),"*","~*"),"?","~?"))&gt;1,"!AMBIG",IFERROR(INDEX('Calculations'!$HF$13:$HF$512,MATCH('Calculations'!HP499,'Calculations'!$HE$13:$HE$512,0)),""))))</x:f>
      </x:c>
      <x:c r="HR499" t="str">
        <x:f>IF('Calculations'!HQ499="","",IF('Calculations'!HQ499="!AMBIG","!AMBIG",IF(COUNTIF('Calculations'!$HE$13:$HE$512,"="&amp;SUBSTITUTE(SUBSTITUTE(SUBSTITUTE('Calculations'!HQ499,"~","~~"),"*","~*"),"?","~?"))&gt;1,"!AMBIG",IFERROR(INDEX('Calculations'!$HF$13:$HF$512,MATCH('Calculations'!HQ499,'Calculations'!$HE$13:$HE$512,0)),""))))</x:f>
      </x:c>
      <x:c r="HS499" t="str">
        <x:f>IF('Calculations'!HR499="","",IF('Calculations'!HR499="!AMBIG","!AMBIG",IF(COUNTIF('Calculations'!$HE$13:$HE$512,"="&amp;SUBSTITUTE(SUBSTITUTE(SUBSTITUTE('Calculations'!HR499,"~","~~"),"*","~*"),"?","~?"))&gt;1,"!AMBIG",IFERROR(INDEX('Calculations'!$HF$13:$HF$512,MATCH('Calculations'!HR499,'Calculations'!$HE$13:$HE$512,0)),""))))</x:f>
      </x:c>
      <x:c r="HT499" t="str">
        <x:f>IF('Calculations'!HS499="","",IF('Calculations'!HS499="!AMBIG","!AMBIG",IF(COUNTIF('Calculations'!$HE$13:$HE$512,"="&amp;SUBSTITUTE(SUBSTITUTE(SUBSTITUTE('Calculations'!HS499,"~","~~"),"*","~*"),"?","~?"))&gt;1,"!AMBIG",IFERROR(INDEX('Calculations'!$HF$13:$HF$512,MATCH('Calculations'!HS499,'Calculations'!$HE$13:$HE$512,0)),""))))</x:f>
      </x:c>
      <x:c r="HU499" t="str">
        <x:f>IF('Calculations'!HT499="","",IF('Calculations'!HT499="!AMBIG","!AMBIG",IF(COUNTIF('Calculations'!$HE$13:$HE$512,"="&amp;SUBSTITUTE(SUBSTITUTE(SUBSTITUTE('Calculations'!HT499,"~","~~"),"*","~*"),"?","~?"))&gt;1,"!AMBIG",IFERROR(INDEX('Calculations'!$HF$13:$HF$512,MATCH('Calculations'!HT499,'Calculations'!$HE$13:$HE$512,0)),""))))</x:f>
      </x:c>
      <x:c r="HV499" t="str">
        <x:f>IF('Calculations'!HU499="","",IF('Calculations'!HU499="!AMBIG","!AMBIG",IF(COUNTIF('Calculations'!$HE$13:$HE$512,"="&amp;SUBSTITUTE(SUBSTITUTE(SUBSTITUTE('Calculations'!HU499,"~","~~"),"*","~*"),"?","~?"))&gt;1,"!AMBIG",IFERROR(INDEX('Calculations'!$HF$13:$HF$512,MATCH('Calculations'!HU499,'Calculations'!$HE$13:$HE$512,0)),""))))</x:f>
      </x:c>
      <x:c r="HW499" t="str">
        <x:f>IF('Calculations'!HV499="","",IF('Calculations'!HV499="!AMBIG","!AMBIG",IF(COUNTIF('Calculations'!$HE$13:$HE$512,"="&amp;SUBSTITUTE(SUBSTITUTE(SUBSTITUTE('Calculations'!HV499,"~","~~"),"*","~*"),"?","~?"))&gt;1,"!AMBIG",IFERROR(INDEX('Calculations'!$HF$13:$HF$512,MATCH('Calculations'!HV499,'Calculations'!$HE$13:$HE$512,0)),""))))</x:f>
      </x:c>
      <x:c r="HX499" t="str">
        <x:f>IF('Calculations'!HW499="","",IF('Calculations'!HW499="!AMBIG","!AMBIG",IF(COUNTIF('Calculations'!$HE$13:$HE$512,"="&amp;SUBSTITUTE(SUBSTITUTE(SUBSTITUTE('Calculations'!HW499,"~","~~"),"*","~*"),"?","~?"))&gt;1,"!AMBIG",IFERROR(INDEX('Calculations'!$HF$13:$HF$512,MATCH('Calculations'!HW499,'Calculations'!$HE$13:$HE$512,0)),""))))</x:f>
      </x:c>
      <x:c r="HY499" t="str">
        <x:f>IF('Calculations'!HX499="","",IF('Calculations'!HX499="!AMBIG","!AMBIG",IF(COUNTIF('Calculations'!$HE$13:$HE$512,"="&amp;SUBSTITUTE(SUBSTITUTE(SUBSTITUTE('Calculations'!HX499,"~","~~"),"*","~*"),"?","~?"))&gt;1,"!AMBIG",IFERROR(INDEX('Calculations'!$HF$13:$HF$512,MATCH('Calculations'!HX499,'Calculations'!$HE$13:$HE$512,0)),""))))</x:f>
      </x:c>
      <x:c r="HZ499" t="str">
        <x:f>IF('Calculations'!HY499="","",IF('Calculations'!HY499="!AMBIG","!AMBIG",IF(COUNTIF('Calculations'!$HE$13:$HE$512,"="&amp;SUBSTITUTE(SUBSTITUTE(SUBSTITUTE('Calculations'!HY499,"~","~~"),"*","~*"),"?","~?"))&gt;1,"!AMBIG",IFERROR(INDEX('Calculations'!$HF$13:$HF$512,MATCH('Calculations'!HY499,'Calculations'!$HE$13:$HE$512,0)),""))))</x:f>
      </x:c>
      <x:c r="IA499" t="str">
        <x:f>IF('Calculations'!HZ499="","",IF('Calculations'!HZ499="!AMBIG","!AMBIG",IF(COUNTIF('Calculations'!$HE$13:$HE$512,"="&amp;SUBSTITUTE(SUBSTITUTE(SUBSTITUTE('Calculations'!HZ499,"~","~~"),"*","~*"),"?","~?"))&gt;1,"!AMBIG",IFERROR(INDEX('Calculations'!$HF$13:$HF$512,MATCH('Calculations'!HZ499,'Calculations'!$HE$13:$HE$512,0)),""))))</x:f>
      </x:c>
      <x:c r="IB499" t="str">
        <x:f>IF('Calculations'!IA499="","",IF('Calculations'!IA499="!AMBIG","!AMBIG",IF(COUNTIF('Calculations'!$HE$13:$HE$512,"="&amp;SUBSTITUTE(SUBSTITUTE(SUBSTITUTE('Calculations'!IA499,"~","~~"),"*","~*"),"?","~?"))&gt;1,"!AMBIG",IFERROR(INDEX('Calculations'!$HF$13:$HF$512,MATCH('Calculations'!IA499,'Calculations'!$HE$13:$HE$512,0)),""))))</x:f>
      </x:c>
      <x:c r="IC499" t="str">
        <x:f>IF('Calculations'!IB499="","",IF('Calculations'!IB499="!AMBIG","!AMBIG",IF(COUNTIF('Calculations'!$HE$13:$HE$512,"="&amp;SUBSTITUTE(SUBSTITUTE(SUBSTITUTE('Calculations'!IB499,"~","~~"),"*","~*"),"?","~?"))&gt;1,"!AMBIG",IFERROR(INDEX('Calculations'!$HF$13:$HF$512,MATCH('Calculations'!IB499,'Calculations'!$HE$13:$HE$512,0)),""))))</x:f>
      </x:c>
      <x:c r="ID499" t="str">
        <x:f>IF('Calculations'!IC499="","",IF('Calculations'!IC499="!AMBIG","!AMBIG",IF(COUNTIF('Calculations'!$HE$13:$HE$512,"="&amp;SUBSTITUTE(SUBSTITUTE(SUBSTITUTE('Calculations'!IC499,"~","~~"),"*","~*"),"?","~?"))&gt;1,"!AMBIG",IFERROR(INDEX('Calculations'!$HF$13:$HF$512,MATCH('Calculations'!IC499,'Calculations'!$HE$13:$HE$512,0)),""))))</x:f>
      </x:c>
      <x:c r="IE499" t="str">
        <x:f>IF('Calculations'!ID499="","",IF('Calculations'!ID499="!AMBIG","!AMBIG",IF(COUNTIF('Calculations'!$HE$13:$HE$512,"="&amp;SUBSTITUTE(SUBSTITUTE(SUBSTITUTE('Calculations'!ID499,"~","~~"),"*","~*"),"?","~?"))&gt;1,"!AMBIG",IFERROR(INDEX('Calculations'!$HF$13:$HF$512,MATCH('Calculations'!ID499,'Calculations'!$HE$13:$HE$512,0)),""))))</x:f>
      </x:c>
      <x:c r="IF499" t="str">
        <x:f>IF('Calculations'!IE499="","",IF('Calculations'!IE499="!AMBIG","!AMBIG",IF(COUNTIF('Calculations'!$HE$13:$HE$512,"="&amp;SUBSTITUTE(SUBSTITUTE(SUBSTITUTE('Calculations'!IE499,"~","~~"),"*","~*"),"?","~?"))&gt;1,"!AMBIG",IFERROR(INDEX('Calculations'!$HF$13:$HF$512,MATCH('Calculations'!IE499,'Calculations'!$HE$13:$HE$512,0)),""))))</x:f>
      </x:c>
      <x:c r="IG499" t="str">
        <x:f>IF('Calculations'!IF499="","",IF('Calculations'!IF499="!AMBIG","!AMBIG",IF(COUNTIF('Calculations'!$HE$13:$HE$512,"="&amp;SUBSTITUTE(SUBSTITUTE(SUBSTITUTE('Calculations'!IF499,"~","~~"),"*","~*"),"?","~?"))&gt;1,"!AMBIG",IFERROR(INDEX('Calculations'!$HF$13:$HF$512,MATCH('Calculations'!IF499,'Calculations'!$HE$13:$HE$512,0)),""))))</x:f>
      </x:c>
      <x:c r="IH499" t="str">
        <x:f>IF('Calculations'!IG499="","",IF('Calculations'!IG499="!AMBIG","!AMBIG",IF(COUNTIF('Calculations'!$HE$13:$HE$512,"="&amp;SUBSTITUTE(SUBSTITUTE(SUBSTITUTE('Calculations'!IG499,"~","~~"),"*","~*"),"?","~?"))&gt;1,"!AMBIG",IFERROR(INDEX('Calculations'!$HF$13:$HF$512,MATCH('Calculations'!IG499,'Calculations'!$HE$13:$HE$512,0)),""))))</x:f>
      </x:c>
      <x:c r="II499" t="str">
        <x:f>IF('Calculations'!IH499="","",IF('Calculations'!IH499="!AMBIG","!AMBIG",IF(COUNTIF('Calculations'!$HE$13:$HE$512,"="&amp;SUBSTITUTE(SUBSTITUTE(SUBSTITUTE('Calculations'!IH499,"~","~~"),"*","~*"),"?","~?"))&gt;1,"!AMBIG",IFERROR(INDEX('Calculations'!$HF$13:$HF$512,MATCH('Calculations'!IH499,'Calculations'!$HE$13:$HE$512,0)),""))))</x:f>
      </x:c>
      <x:c r="IJ499" t="str">
        <x:f>IF('Calculations'!EM499="","",IF('Calculations'!$EF$2="All",'Calculations'!HM499,IF('Calculations'!HL499=1,"",IFERROR(IF(MATCH('Calculations'!$EF$2,'Calculations'!HO499:II499,0)=1,'Calculations'!HE499,INDEX('Calculations'!HO499:II499,1,MATCH('Calculations'!$EF$2,'Calculations'!HO499:II499,0)-1)),""))))</x:f>
      </x:c>
      <x:c r="IK499" t="n">
        <x:f>IF(AND('Calculations'!EM499&lt;&gt;"",'Calculations'!$EF$2&lt;&gt;"All",'Calculations'!HF499='Calculations'!$EF$2,'Calculations'!HL499=0,'Calculations'!JD499&gt;0),MAX('Calculations'!$IK$12:IK498)+1,0)</x:f>
        <x:v>0</x:v>
      </x:c>
      <x:c r="JA499" t="n">
        <x:f>IF(OR(IFERROR(INDIRECT("'WCM Calibration Final'!$A$499")&lt;&gt;"",FALSE),IFERROR(INDIRECT("'WCM Calibration Final'!$B$499")&lt;&gt;"",FALSE),IFERROR(INDIRECT("'WCM Calibration Final'!$C$499")&lt;&gt;"",FALSE)),499,0)</x:f>
        <x:v>0</x:v>
      </x:c>
      <x:c r="JB499" t="n">
        <x:f>'Calculations'!JB498+IF('Calculations'!JA499&gt;0,1,0)</x:f>
        <x:v>0</x:v>
      </x:c>
      <x:c r="JC499" t="n">
        <x:f>IF(OR('Calculations'!HF499="",'Calculations'!HF499="!AMBIG"),0,IF('Dashboard'!$B$7="All",1,COUNTIFS('Calculations'!$HO$13:$HO$512,"="&amp;SUBSTITUTE(SUBSTITUTE(SUBSTITUTE('Calculations'!HF499,"~","~~"),"*","~*"),"?","~?"),'Calculations'!$HN$13:$HN$512,"="&amp;SUBSTITUTE(SUBSTITUTE(SUBSTITUTE('Dashboard'!$B$7,"~","~~"),"*","~*"),"?","~?"))+COUNTIFS('Calculations'!$HP$13:$HP$512,"="&amp;SUBSTITUTE(SUBSTITUTE(SUBSTITUTE('Calculations'!HF499,"~","~~"),"*","~*"),"?","~?"),'Calculations'!$HN$13:$HN$512,"="&amp;SUBSTITUTE(SUBSTITUTE(SUBSTITUTE('Dashboard'!$B$7,"~","~~"),"*","~*"),"?","~?"))+COUNTIFS('Calculations'!$HQ$13:$HQ$512,"="&amp;SUBSTITUTE(SUBSTITUTE(SUBSTITUTE('Calculations'!HF499,"~","~~"),"*","~*"),"?","~?"),'Calculations'!$HN$13:$HN$512,"="&amp;SUBSTITUTE(SUBSTITUTE(SUBSTITUTE('Dashboard'!$B$7,"~","~~"),"*","~*"),"?","~?"))+COUNTIFS('Calculations'!$HR$13:$HR$512,"="&amp;SUBSTITUTE(SUBSTITUTE(SUBSTITUTE('Calculations'!HF499,"~","~~"),"*","~*"),"?","~?"),'Calculations'!$HN$13:$HN$512,"="&amp;SUBSTITUTE(SUBSTITUTE(SUBSTITUTE('Dashboard'!$B$7,"~","~~"),"*","~*"),"?","~?"))+COUNTIFS('Calculations'!$HS$13:$HS$512,"="&amp;SUBSTITUTE(SUBSTITUTE(SUBSTITUTE('Calculations'!HF499,"~","~~"),"*","~*"),"?","~?"),'Calculations'!$HN$13:$HN$512,"="&amp;SUBSTITUTE(SUBSTITUTE(SUBSTITUTE('Dashboard'!$B$7,"~","~~"),"*","~*"),"?","~?"))+COUNTIFS('Calculations'!$HT$13:$HT$512,"="&amp;SUBSTITUTE(SUBSTITUTE(SUBSTITUTE('Calculations'!HF499,"~","~~"),"*","~*"),"?","~?"),'Calculations'!$HN$13:$HN$512,"="&amp;SUBSTITUTE(SUBSTITUTE(SUBSTITUTE('Dashboard'!$B$7,"~","~~"),"*","~*"),"?","~?"))+COUNTIFS('Calculations'!$HU$13:$HU$512,"="&amp;SUBSTITUTE(SUBSTITUTE(SUBSTITUTE('Calculations'!HF499,"~","~~"),"*","~*"),"?","~?"),'Calculations'!$HN$13:$HN$512,"="&amp;SUBSTITUTE(SUBSTITUTE(SUBSTITUTE('Dashboard'!$B$7,"~","~~"),"*","~*"),"?","~?"))+COUNTIFS('Calculations'!$HV$13:$HV$512,"="&amp;SUBSTITUTE(SUBSTITUTE(SUBSTITUTE('Calculations'!HF499,"~","~~"),"*","~*"),"?","~?"),'Calculations'!$HN$13:$HN$512,"="&amp;SUBSTITUTE(SUBSTITUTE(SUBSTITUTE('Dashboard'!$B$7,"~","~~"),"*","~*"),"?","~?"))+COUNTIFS('Calculations'!$HW$13:$HW$512,"="&amp;SUBSTITUTE(SUBSTITUTE(SUBSTITUTE('Calculations'!HF499,"~","~~"),"*","~*"),"?","~?"),'Calculations'!$HN$13:$HN$512,"="&amp;SUBSTITUTE(SUBSTITUTE(SUBSTITUTE('Dashboard'!$B$7,"~","~~"),"*","~*"),"?","~?"))+COUNTIFS('Calculations'!$HX$13:$HX$512,"="&amp;SUBSTITUTE(SUBSTITUTE(SUBSTITUTE('Calculations'!HF499,"~","~~"),"*","~*"),"?","~?"),'Calculations'!$HN$13:$HN$512,"="&amp;SUBSTITUTE(SUBSTITUTE(SUBSTITUTE('Dashboard'!$B$7,"~","~~"),"*","~*"),"?","~?"))+COUNTIFS('Calculations'!$HY$13:$HY$512,"="&amp;SUBSTITUTE(SUBSTITUTE(SUBSTITUTE('Calculations'!HF499,"~","~~"),"*","~*"),"?","~?"),'Calculations'!$HN$13:$HN$512,"="&amp;SUBSTITUTE(SUBSTITUTE(SUBSTITUTE('Dashboard'!$B$7,"~","~~"),"*","~*"),"?","~?"))+COUNTIFS('Calculations'!$HZ$13:$HZ$512,"="&amp;SUBSTITUTE(SUBSTITUTE(SUBSTITUTE('Calculations'!HF499,"~","~~"),"*","~*"),"?","~?"),'Calculations'!$HN$13:$HN$512,"="&amp;SUBSTITUTE(SUBSTITUTE(SUBSTITUTE('Dashboard'!$B$7,"~","~~"),"*","~*"),"?","~?"))+COUNTIFS('Calculations'!$IA$13:$IA$512,"="&amp;SUBSTITUTE(SUBSTITUTE(SUBSTITUTE('Calculations'!HF499,"~","~~"),"*","~*"),"?","~?"),'Calculations'!$HN$13:$HN$512,"="&amp;SUBSTITUTE(SUBSTITUTE(SUBSTITUTE('Dashboard'!$B$7,"~","~~"),"*","~*"),"?","~?"))+COUNTIFS('Calculations'!$IB$13:$IB$512,"="&amp;SUBSTITUTE(SUBSTITUTE(SUBSTITUTE('Calculations'!HF499,"~","~~"),"*","~*"),"?","~?"),'Calculations'!$HN$13:$HN$512,"="&amp;SUBSTITUTE(SUBSTITUTE(SUBSTITUTE('Dashboard'!$B$7,"~","~~"),"*","~*"),"?","~?"))+COUNTIFS('Calculations'!$IC$13:$IC$512,"="&amp;SUBSTITUTE(SUBSTITUTE(SUBSTITUTE('Calculations'!HF499,"~","~~"),"*","~*"),"?","~?"),'Calculations'!$HN$13:$HN$512,"="&amp;SUBSTITUTE(SUBSTITUTE(SUBSTITUTE('Dashboard'!$B$7,"~","~~"),"*","~*"),"?","~?"))+COUNTIFS('Calculations'!$ID$13:$ID$512,"="&amp;SUBSTITUTE(SUBSTITUTE(SUBSTITUTE('Calculations'!HF499,"~","~~"),"*","~*"),"?","~?"),'Calculations'!$HN$13:$HN$512,"="&amp;SUBSTITUTE(SUBSTITUTE(SUBSTITUTE('Dashboard'!$B$7,"~","~~"),"*","~*"),"?","~?"))+COUNTIFS('Calculations'!$IE$13:$IE$512,"="&amp;SUBSTITUTE(SUBSTITUTE(SUBSTITUTE('Calculations'!HF499,"~","~~"),"*","~*"),"?","~?"),'Calculations'!$HN$13:$HN$512,"="&amp;SUBSTITUTE(SUBSTITUTE(SUBSTITUTE('Dashboard'!$B$7,"~","~~"),"*","~*"),"?","~?"))+COUNTIFS('Calculations'!$IF$13:$IF$512,"="&amp;SUBSTITUTE(SUBSTITUTE(SUBSTITUTE('Calculations'!HF499,"~","~~"),"*","~*"),"?","~?"),'Calculations'!$HN$13:$HN$512,"="&amp;SUBSTITUTE(SUBSTITUTE(SUBSTITUTE('Dashboard'!$B$7,"~","~~"),"*","~*"),"?","~?"))+COUNTIFS('Calculations'!$IG$13:$IG$512,"="&amp;SUBSTITUTE(SUBSTITUTE(SUBSTITUTE('Calculations'!HF499,"~","~~"),"*","~*"),"?","~?"),'Calculations'!$HN$13:$HN$512,"="&amp;SUBSTITUTE(SUBSTITUTE(SUBSTITUTE('Dashboard'!$B$7,"~","~~"),"*","~*"),"?","~?"))+COUNTIFS('Calculations'!$IH$13:$IH$512,"="&amp;SUBSTITUTE(SUBSTITUTE(SUBSTITUTE('Calculations'!HF499,"~","~~"),"*","~*"),"?","~?"),'Calculations'!$HN$13:$HN$512,"="&amp;SUBSTITUTE(SUBSTITUTE(SUBSTITUTE('Dashboard'!$B$7,"~","~~"),"*","~*"),"?","~?"))))</x:f>
        <x:v>0</x:v>
      </x:c>
      <x:c r="JD499" t="n">
        <x:f>IF('Calculations'!EM499="",0,IF('Dashboard'!$B$7="All",1,IF('Calculations'!HN499='Dashboard'!$B$7,1,0)+IFERROR(INDEX('Calculations'!$JC$13:$JC$512,MATCH('Calculations'!HE499,'Calculations'!$HF$13:$HF$512,0)),0)))</x:f>
        <x:v>0</x:v>
      </x:c>
      <x:c r="JE499" t="n">
        <x:f>IF(AND('Calculations'!EM499&lt;&gt;"",'Calculations'!$JJ$2&lt;&gt;"All",'Calculations'!$JJ$2&lt;&gt;"",'Calculations'!HF499='Calculations'!$JJ$2,'Calculations'!HL499=0,'Calculations'!JD499&gt;0),MAX('Calculations'!$JE$12:JE498)+1,0)</x:f>
        <x:v>0</x:v>
      </x:c>
      <x:c r="JF499" t="str">
        <x:f>IF('Calculations'!EM499="","",IFERROR(IF(INDEX(INDIRECT("'WCM Calibration Final'!$G$1:$G$2000"),'Calculations'!$EM499)="","",TRIM(INDEX(INDIRECT("'WCM Calibration Final'!$G$1:$G$2000"),'Calculations'!$EM499)&amp;"")),""))</x:f>
      </x:c>
      <x:c r="JQ499" t="n">
        <x:f>IF(OR('Calculations'!BM499=0,NOT('Calculations'!$AG$2),'Calculations'!$AG$8&gt;0),0,IF(OR('Dashboard'!$B$7="All",'Calculations'!HN499='Dashboard'!$B$7),IF('Calculations'!$JJ$2="All",1,IF(AND('Calculations'!HF499='Calculations'!$JJ$2,'Calculations'!HL499=0),1,0)),0))</x:f>
        <x:v>0</x:v>
      </x:c>
    </x:row>
    <x:row r="500">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t="n">
        <x:f>IF('Calculations'!$EM500="",0,IF(OR(IFERROR(INDEX(INDIRECT("'WCM Calibration Final'!$A$1:$A$2000"),'Calculations'!$EM500)&lt;&gt;"",FALSE),IFERROR(INDEX(INDIRECT("'WCM Calibration Final'!$B$1:$B$2000"),'Calculations'!$EM500)&lt;&gt;"",FALSE),IFERROR(INDEX(INDIRECT("'WCM Calibration Final'!$C$1:$C$2000"),'Calculations'!$EM500)&lt;&gt;"",FALSE)),1,0))</x:f>
        <x:v>0</x:v>
      </x:c>
      <x:c r="BN500" s="4" t="n">
        <x:f>IF(AND('Calculations'!BM500=1,'Calculations'!$AG$2,'Calculations'!$EN500=1),1,0)</x:f>
        <x:v>0</x:v>
      </x:c>
      <x:c r="BO500" s="4" t="str">
        <x:f>IF('Calculations'!BM500=0,"",IFERROR(IF(AND(VALUE(INDEX(INDIRECT("'WCM Calibration Final'!$K$1:$K$2000"),'Calculations'!$EM500))&gt;=1,VALUE(INDEX(INDIRECT("'WCM Calibration Final'!$K$1:$K$2000"),'Calculations'!$EM500))&lt;=4,MOD(VALUE(INDEX(INDIRECT("'WCM Calibration Final'!$K$1:$K$2000"),'Calculations'!$EM500)),1)=0),VALUE(INDEX(INDIRECT("'WCM Calibration Final'!$K$1:$K$2000"),'Calculations'!$EM500)),""),""))</x:f>
      </x:c>
      <x:c r="BP500" s="4" t="str">
        <x:f>IF('Calculations'!BM500=0,"",IFERROR(IF(AND(VALUE(INDEX(INDIRECT("'WCM Calibration Final'!$L$1:$L$2000"),'Calculations'!$EM500))&gt;=1,VALUE(INDEX(INDIRECT("'WCM Calibration Final'!$L$1:$L$2000"),'Calculations'!$EM500))&lt;=4,MOD(VALUE(INDEX(INDIRECT("'WCM Calibration Final'!$L$1:$L$2000"),'Calculations'!$EM500)),1)=0),VALUE(INDEX(INDIRECT("'WCM Calibration Final'!$L$1:$L$2000"),'Calculations'!$EM500)),""),""))</x:f>
      </x:c>
      <x:c r="BQ500" s="4"/>
      <x:c r="BR500" s="4"/>
      <x:c r="BS500" s="4"/>
      <x:c r="BT500" s="4" t="n">
        <x:f>IF(AND('Calculations'!BM500=1,ISNUMBER('Calculations'!BO500),ISNUMBER('Calculations'!BP500)),1,0)</x:f>
        <x:v>0</x:v>
      </x:c>
      <x:c r="BU500" s="4" t="str">
        <x:f>IF('Calculations'!BM500=0,"",'Calculations'!$EO500)</x:f>
      </x:c>
      <x:c r="BV500" s="4" t="str">
        <x:f>IF('Calculations'!BM500=0,"",IFERROR(IF(OR(INDEX(INDIRECT("'WCM Calibration Final'!$H$1:$H$2000"),'Calculations'!$EM500)="MANAGING DIRECTOR",INDEX(INDIRECT("'WCM Calibration Final'!$H$1:$H$2000"),'Calculations'!$EM500)="DIRECTOR",INDEX(INDIRECT("'WCM Calibration Final'!$H$1:$H$2000"),'Calculations'!$EM500)="SENIOR VICE PRESIDENT",INDEX(INDIRECT("'WCM Calibration Final'!$H$1:$H$2000"),'Calculations'!$EM500)="VICE PRESIDENT",INDEX(INDIRECT("'WCM Calibration Final'!$H$1:$H$2000"),'Calculations'!$EM500)="ASSISTANT VICE PRESIDENT",INDEX(INDIRECT("'WCM Calibration Final'!$H$1:$H$2000"),'Calculations'!$EM500)="OFFICER"),UPPER(INDEX(INDIRECT("'WCM Calibration Final'!$H$1:$H$2000"),'Calculations'!$EM500)),"Other"),"Other"))</x:f>
      </x:c>
      <x:c r="BW500" s="4"/>
      <x:c r="BX500" s="4"/>
      <x:c r="BY500" s="4" t="n">
        <x:f>IF(AND('Calculations'!BM500=1,'Calculations'!BU500&lt;&gt;"",COUNTIF('Calculations'!$BU$12:BU500,'Calculations'!BU500)=1),MAX('Calculations'!$BY$11:BY499)+1,0)</x:f>
        <x:v>0</x:v>
      </x:c>
      <x:c r="BZ500" s="4" t="str">
        <x:f>IF('Dashboard'!$E$67="What",'Calculations'!BO500,'Calculations'!BP500)</x:f>
      </x:c>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t="str">
        <x:f>IF(489&gt;MAX('Calculations'!$HI$13:$HI$512),"",INDEX('Calculations'!$HN$13:$HN$512,MATCH(489,'Calculations'!$HI$13:$HI$512,0)))</x:f>
      </x:c>
      <x:c r="DB500" s="4" t="str">
        <x:f>IF(489&gt;MAX('Calculations'!$HH$13:$HH$512),"",INDEX('Calculations'!$HJ$13:$HJ$512,MATCH(489,'Calculations'!$HH$13:$HH$512,0)))</x:f>
      </x:c>
      <x:c r="DC500" s="4" t="str">
        <x:f>IF(ROW()-11&gt;MAX('Calculations'!$BY$13:$BY$512),"",INDEX('Calculations'!$BU$13:$BU$512,MATCH(ROW()-11,'Calculations'!$BY$13:$BY$512,0)))</x:f>
      </x:c>
      <x:c r="DD500" s="4" t="str">
        <x:f>IF(489&gt;MAX('Calculations'!$IK$13:$IK$512),"",INDEX('Calculations'!$HK$13:$HK$512,MATCH(489,'Calculations'!$IK$13:$IK$512,0)))</x:f>
      </x:c>
      <x:c r="DE500" s="4" t="str">
        <x:f>'Calculations'!DC500</x:f>
      </x:c>
      <x:c r="DF500" s="4" t="str">
        <x:f>IF('Calculations'!DE500="","",COUNTIFS('Calculations'!$BN$13:$BN$512,1,'Calculations'!$BU$13:$BU$512,'Calculations'!DE500))</x:f>
      </x:c>
      <x:c r="DG500" s="4" t="str">
        <x:f>IF('Calculations'!DE500="","",COUNTIFS('Calculations'!$BN$13:$BN$512,1,'Calculations'!$BU$13:$BU$512,'Calculations'!DE500,'Calculations'!$BT$13:$BT$512,1))</x:f>
      </x:c>
      <x:c r="DH500" s="4" t="str">
        <x:f>IF('Calculations'!DE500="","",'Calculations'!DF500-'Calculations'!DG500)</x:f>
      </x:c>
      <x:c r="DI500" s="4" t="str">
        <x:f>IF(OR('Calculations'!DE500="",'Calculations'!DF500=0),"",'Calculations'!DG500/'Calculations'!DF500)</x:f>
      </x:c>
      <x:c r="DJ500" s="4" t="str">
        <x:f>IF('Calculations'!DE500="","",COUNTIFS('Calculations'!$BN$13:$BN$512,1,'Calculations'!$BU$13:$BU$512,'Calculations'!DE500,'Calculations'!$BT$13:$BT$512,1,'Calculations'!$EE$13:$EE$512,"High"))</x:f>
      </x:c>
      <x:c r="DK500" s="4" t="str">
        <x:f>IF('Calculations'!DE500="","",COUNTIFS('Calculations'!$BN$13:$BN$512,1,'Calculations'!$BU$13:$BU$512,'Calculations'!DE500,'Calculations'!$BT$13:$BT$512,1,'Calculations'!$EE$13:$EE$512,"Strong"))</x:f>
      </x:c>
      <x:c r="DL500" s="4" t="str">
        <x:f>IF('Calculations'!DE500="","",COUNTIFS('Calculations'!$BN$13:$BN$512,1,'Calculations'!$BU$13:$BU$512,'Calculations'!DE500,'Calculations'!$BT$13:$BT$512,1,'Calculations'!$EE$13:$EE$512,"Solid"))</x:f>
      </x:c>
      <x:c r="DM500" s="4" t="str">
        <x:f>IF('Calculations'!DE500="","",COUNTIFS('Calculations'!$BN$13:$BN$512,1,'Calculations'!$BU$13:$BU$512,'Calculations'!DE500,'Calculations'!$BT$13:$BT$512,1,'Calculations'!$EE$13:$EE$512,"Low"))</x:f>
      </x:c>
      <x:c r="DN500" s="4" t="str">
        <x:f>IF('Calculations'!DE500="","",COUNTIFS('Calculations'!$BN$13:$BN$512,1,'Calculations'!$BU$13:$BU$512,'Calculations'!DE500,'Calculations'!$EP$13:$EP$512,1))</x:f>
      </x:c>
      <x:c r="DO500" s="4" t="str">
        <x:f>IF(OR('Calculations'!DE500="",'Calculations'!DG500=0),"",('Calculations'!DJ500+'Calculations'!DK500)/'Calculations'!DG500)</x:f>
      </x:c>
      <x:c r="DP500" s="4" t="n">
        <x:f>IF(AND('Calculations'!DE500&lt;&gt;"",'Calculations'!DF500&gt;0),COUNTIF('Calculations'!$DF$12:DF500,"&gt;0"),0)</x:f>
        <x:v>0</x:v>
      </x:c>
      <x:c r="DQ500" s="4" t="str">
        <x:f>IF(489&gt;MAX('Calculations'!$HH$13:$HH$512),"",INDEX('Calculations'!$HF$13:$HF$512,MATCH(489,'Calculations'!$HH$13:$HH$512,0)))</x:f>
      </x:c>
      <x:c r="DR500" s="4" t="str">
        <x:f>IF(489&gt;MAX('Calculations'!$IK$13:$IK$512),"",INDEX('Calculations'!$HE$13:$HE$512,MATCH(489,'Calculations'!$IK$13:$IK$512,0)))</x:f>
      </x:c>
      <x:c r="DS500" s="4"/>
      <x:c r="DT500" s="4"/>
      <x:c r="DU500" s="4"/>
      <x:c r="DV500" s="4"/>
      <x:c r="DW500" s="4"/>
      <x:c r="DX500" s="4"/>
      <x:c r="DY500" s="4"/>
      <x:c r="DZ500" s="4"/>
      <x:c r="EA500" s="4"/>
      <x:c r="EB500" s="4"/>
      <x:c r="EC500" s="4"/>
      <x:c r="ED500" s="4"/>
      <x:c r="EE500" s="4" t="str">
        <x:f>IF('Calculations'!BT500=0,"Not Rated",IF(OR('Calculations'!BO500&gt;=4,'Calculations'!BP500&gt;=4),"Low",IF('Calculations'!BO500+'Calculations'!BP500&lt;=3,"High",IF('Calculations'!BO500+'Calculations'!BP500&lt;=4,"Strong","Solid"))))</x:f>
        <x:v>Not Rated</x:v>
      </x:c>
      <x:c r="EF500" s="4"/>
      <x:c r="EG500" s="4"/>
      <x:c r="EH500" s="4"/>
      <x:c r="EI500" s="4"/>
      <x:c r="EJ500" s="4"/>
      <x:c r="EK500" s="4"/>
      <x:c r="EL500" s="4"/>
      <x:c r="EM500" s="4" t="str">
        <x:f>IF(488&gt;'Calculations'!$JB$2000,"",INDEX('Calculations'!$JA$12:$JA$2000,MATCH(488,'Calculations'!$JB$12:$JB$2000,0)))</x:f>
      </x:c>
      <x:c r="EN500" s="4" t="n">
        <x:f>IF(OR('Calculations'!EM500="",'Calculations'!$AG$8&gt;0,AND('Calculations'!$EF$2&lt;&gt;"All",'Calculations'!HE500='Calculations'!$EF$2),AND('Calculations'!$EF$3&lt;&gt;"All",'Calculations'!HE500='Calculations'!$EF$3)),0,IF(OR('Dashboard'!$B$7="All",'Calculations'!HN500='Dashboard'!$B$7),IF('Calculations'!$EF$2="All",1,IF('Calculations'!HL500&gt;0,0,IF(COUNTIF('Calculations'!HO500:II500,"="&amp;SUBSTITUTE(SUBSTITUTE(SUBSTITUTE('Calculations'!$EF$2,"~","~~"),"*","~*"),"?","~?"))=0,0,IF('Calculations'!$EF$3="All",1,IF(COUNTIF('Calculations'!HO500:II500,"="&amp;SUBSTITUTE(SUBSTITUTE(SUBSTITUTE('Calculations'!$EF$3,"~","~~"),"*","~*"),"?","~?"))&gt;0,1,0))))),0))</x:f>
        <x:v>0</x:v>
      </x:c>
      <x:c r="EO500" s="4" t="str">
        <x:f>IF('Calculations'!IJ500="","",IF('Calculations'!IJ500="!UNRESOLVED","Unresolved hierarchy",IFERROR(INDEX('Calculations'!$HK$13:$HK$512,MATCH('Calculations'!IJ500,'Calculations'!$HE$13:$HE$512,0)),IFERROR(INDEX('Calculations'!$HJ$13:$HJ$512,MATCH('Calculations'!IJ500,'Calculations'!$HF$13:$HF$512,0)),'Calculations'!IJ500))))</x:f>
      </x:c>
      <x:c r="EP500" s="4" t="n">
        <x:f>IF(AND('Calculations'!EM500&lt;&gt;"",'Calculations'!HF500='Calculations'!IJ500),1,0)</x:f>
        <x:v>0</x:v>
      </x:c>
      <x:c r="EQ500" s="4"/>
      <x:c r="ER500" s="4"/>
      <x:c r="ES500" s="4"/>
      <x:c r="ET500" s="4"/>
      <x:c r="EU500" s="4"/>
      <x:c r="EV500" s="4"/>
      <x:c r="EW500" s="4"/>
      <x:c r="EX500" s="4"/>
      <x:c r="EY500" s="4"/>
      <x:c r="EZ500" s="4"/>
      <x:c r="FA500" s="4"/>
      <x:c r="FB500" s="4"/>
      <x:c r="FC500" s="4"/>
      <x:c r="FD500" s="4"/>
      <x:c r="FE500" s="4"/>
      <x:c r="FF500" s="4"/>
      <x:c r="FG500" s="4"/>
      <x:c r="FH500" s="4"/>
      <x:c r="FI500" s="4"/>
      <x:c r="FJ500" s="4"/>
      <x:c r="FK500" s="4"/>
      <x:c r="FL500" s="4"/>
      <x:c r="FM500" s="4"/>
      <x:c r="FN500" s="4"/>
      <x:c r="FO500" s="4"/>
      <x:c r="HE500" t="str">
        <x:f>IF('Calculations'!EM500="","",IF(IFERROR(IF(INDEX(INDIRECT("'WCM Calibration Final'!$A$1:$A$2000"),'Calculations'!$EM500)="","",TRIM(INDEX(INDIRECT("'WCM Calibration Final'!$A$1:$A$2000"),'Calculations'!$EM500)&amp;"")),"")&lt;&gt;"","G:"&amp;IFERROR(TEXT(1*INDEX(INDIRECT("'WCM Calibration Final'!$A$1:$A$2000"),'Calculations'!$EM500),"0"),UPPER(IFERROR(IF(INDEX(INDIRECT("'WCM Calibration Final'!$A$1:$A$2000"),'Calculations'!$EM500)="","",TRIM(INDEX(INDIRECT("'WCM Calibration Final'!$A$1:$A$2000"),'Calculations'!$EM500)&amp;"")),""))),IF(IFERROR(IF(INDEX(INDIRECT("'WCM Calibration Final'!$C$1:$C$2000"),'Calculations'!$EM500)="","",TRIM(INDEX(INDIRECT("'WCM Calibration Final'!$C$1:$C$2000"),'Calculations'!$EM500)&amp;"")),"")&lt;&gt;"","S:"&amp;UPPER(IFERROR(IF(INDEX(INDIRECT("'WCM Calibration Final'!$C$1:$C$2000"),'Calculations'!$EM500)="","",TRIM(INDEX(INDIRECT("'WCM Calibration Final'!$C$1:$C$2000"),'Calculations'!$EM500)&amp;"")),"")),"R:"&amp;'Calculations'!EM500)))</x:f>
      </x:c>
      <x:c r="HF500" t="str">
        <x:f>IF('Calculations'!EM500="","",IF(IFERROR(IF(INDEX(INDIRECT("'WCM Calibration Final'!$D$1:$D$2000"),'Calculations'!$EM500)="","",TRIM(INDEX(INDIRECT("'WCM Calibration Final'!$D$1:$D$2000"),'Calculations'!$EM500)&amp;"")),"")&lt;&gt;"","G:"&amp;IFERROR(TEXT(1*INDEX(INDIRECT("'WCM Calibration Final'!$D$1:$D$2000"),'Calculations'!$EM500),"0"),UPPER(IFERROR(IF(INDEX(INDIRECT("'WCM Calibration Final'!$D$1:$D$2000"),'Calculations'!$EM500)="","",TRIM(INDEX(INDIRECT("'WCM Calibration Final'!$D$1:$D$2000"),'Calculations'!$EM500)&amp;"")),""))),IF(IFERROR(IF(INDEX(INDIRECT("'WCM Calibration Final'!$E$1:$E$2000"),'Calculations'!$EM500)="","",TRIM(INDEX(INDIRECT("'WCM Calibration Final'!$E$1:$E$2000"),'Calculations'!$EM500)&amp;"")),"")="","",IF(COUNTIF('Calculations'!$HG$13:$HG$512,"="&amp;SUBSTITUTE(SUBSTITUTE(SUBSTITUTE(IFERROR(IF(INDEX(INDIRECT("'WCM Calibration Final'!$E$1:$E$2000"),'Calculations'!$EM500)="","",TRIM(INDEX(INDIRECT("'WCM Calibration Final'!$E$1:$E$2000"),'Calculations'!$EM500)&amp;"")),""),"~","~~"),"*","~*"),"?","~?"))=1,INDEX('Calculations'!$HE$13:$HE$512,MATCH(IFERROR(IF(INDEX(INDIRECT("'WCM Calibration Final'!$E$1:$E$2000"),'Calculations'!$EM500)="","",TRIM(INDEX(INDIRECT("'WCM Calibration Final'!$E$1:$E$2000"),'Calculations'!$EM500)&amp;"")),""),'Calculations'!$HG$13:$HG$512,0)),IF(COUNTIF('Calculations'!$HG$13:$HG$512,"="&amp;SUBSTITUTE(SUBSTITUTE(SUBSTITUTE(IFERROR(IF(INDEX(INDIRECT("'WCM Calibration Final'!$E$1:$E$2000"),'Calculations'!$EM500)="","",TRIM(INDEX(INDIRECT("'WCM Calibration Final'!$E$1:$E$2000"),'Calculations'!$EM500)&amp;"")),""),"~","~~"),"*","~*"),"?","~?"))&gt;1,"!AMBIG","X:"&amp;IFERROR(IF(INDEX(INDIRECT("'WCM Calibration Final'!$E$1:$E$2000"),'Calculations'!$EM500)="","",TRIM(INDEX(INDIRECT("'WCM Calibration Final'!$E$1:$E$2000"),'Calculations'!$EM500)&amp;"")),""))))))</x:f>
      </x:c>
      <x:c r="HG500" t="str">
        <x:f>IF('Calculations'!EM500="","",IFERROR(IF(INDEX(INDIRECT("'WCM Calibration Final'!$B$1:$B$2000"),'Calculations'!$EM500)="","",TRIM(INDEX(INDIRECT("'WCM Calibration Final'!$B$1:$B$2000"),'Calculations'!$EM500)&amp;"")),""))</x:f>
      </x:c>
      <x:c r="HH500" t="n">
        <x:f>IF(AND('Calculations'!JC500&gt;0,COUNTIF('Calculations'!$HF$12:HF500,"="&amp;SUBSTITUTE(SUBSTITUTE(SUBSTITUTE('Calculations'!HF500,"~","~~"),"*","~*"),"?","~?"))=1),MAX('Calculations'!$HH$12:HH499)+1,0)</x:f>
        <x:v>0</x:v>
      </x:c>
      <x:c r="HI500" t="n">
        <x:f>IF(AND('Calculations'!HN500&lt;&gt;"",COUNTIF('Calculations'!$HN$12:HN500,"="&amp;SUBSTITUTE(SUBSTITUTE(SUBSTITUTE('Calculations'!HN500,"~","~~"),"*","~*"),"?","~?"))=1),MAX('Calculations'!$HI$12:HI499)+1,0)</x:f>
        <x:v>0</x:v>
      </x:c>
      <x:c r="HJ500" t="str">
        <x:f>IF('Calculations'!HF500="","",IF(COUNTIF('Calculations'!$HE$13:$HE$512,"="&amp;SUBSTITUTE(SUBSTITUTE(SUBSTITUTE('Calculations'!HF500,"~","~~"),"*","~*"),"?","~?"))=1,INDEX('Calculations'!$HK$13:$HK$512,MATCH('Calculations'!HF500,'Calculations'!$HE$13:$HE$512,0)),IFERROR(IF(INDEX(INDIRECT("'WCM Calibration Final'!$E$1:$E$2000"),'Calculations'!$EM500)="","",TRIM(INDEX(INDIRECT("'WCM Calibration Final'!$E$1:$E$2000"),'Calculations'!$EM500)&amp;"")),"")&amp;" ["&amp;'Calculations'!HF500&amp;"]"))</x:f>
      </x:c>
      <x:c r="HK500" t="str">
        <x:f>IF('Calculations'!EM500="","",'Calculations'!HG500&amp;" ["&amp;'Calculations'!HE500&amp;"]")</x:f>
      </x:c>
      <x:c r="HL500" t="n">
        <x:f>IF('Calculations'!EM500="",0,IF(OR('Calculations'!II500&lt;&gt;"",COUNTIF('Calculations'!$HE$13:$HE$512,"="&amp;SUBSTITUTE(SUBSTITUTE(SUBSTITUTE('Calculations'!HE500,"~","~~"),"*","~*"),"?","~?"))&gt;1),1,0))</x:f>
        <x:v>0</x:v>
      </x:c>
      <x:c r="HM500" t="str">
        <x:f>IF('Calculations'!EM500="","",IF('Calculations'!HL500=1,"!UNRESOLVED",IF('Calculations'!IH500&lt;&gt;"",'Calculations'!IH500,IF('Calculations'!IG500&lt;&gt;"",'Calculations'!IG500,IF('Calculations'!IF500&lt;&gt;"",'Calculations'!IF500,IF('Calculations'!IE500&lt;&gt;"",'Calculations'!IE500,IF('Calculations'!ID500&lt;&gt;"",'Calculations'!ID500,IF('Calculations'!IC500&lt;&gt;"",'Calculations'!IC500,IF('Calculations'!IB500&lt;&gt;"",'Calculations'!IB500,IF('Calculations'!IA500&lt;&gt;"",'Calculations'!IA500,IF('Calculations'!HZ500&lt;&gt;"",'Calculations'!HZ500,IF('Calculations'!HY500&lt;&gt;"",'Calculations'!HY500,IF('Calculations'!HX500&lt;&gt;"",'Calculations'!HX500,IF('Calculations'!HW500&lt;&gt;"",'Calculations'!HW500,IF('Calculations'!HV500&lt;&gt;"",'Calculations'!HV500,IF('Calculations'!HU500&lt;&gt;"",'Calculations'!HU500,IF('Calculations'!HT500&lt;&gt;"",'Calculations'!HT500,IF('Calculations'!HS500&lt;&gt;"",'Calculations'!HS500,IF('Calculations'!HR500&lt;&gt;"",'Calculations'!HR500,IF('Calculations'!HQ500&lt;&gt;"",'Calculations'!HQ500,IF('Calculations'!HP500&lt;&gt;"",'Calculations'!HP500,IF('Calculations'!HO500&lt;&gt;"",'Calculations'!HO500,'Calculations'!HE500))))))))))))))))))))))</x:f>
      </x:c>
      <x:c r="HN500" t="str">
        <x:f>IF('Calculations'!EM500="","",IF(IFERROR(IF(INDEX(INDIRECT("'WCM Calibration Final'!$F$1:$F$2000"),'Calculations'!$EM500)="","",TRIM(INDEX(INDIRECT("'WCM Calibration Final'!$F$1:$F$2000"),'Calculations'!$EM500)&amp;"")),"")="","(Blank)",IFERROR(IF(INDEX(INDIRECT("'WCM Calibration Final'!$F$1:$F$2000"),'Calculations'!$EM500)="","",TRIM(INDEX(INDIRECT("'WCM Calibration Final'!$F$1:$F$2000"),'Calculations'!$EM500)&amp;"")),"")))</x:f>
      </x:c>
      <x:c r="HO500" t="str">
        <x:f>'Calculations'!HF500</x:f>
      </x:c>
      <x:c r="HP500" t="str">
        <x:f>IF('Calculations'!HO500="","",IF('Calculations'!HO500="!AMBIG","!AMBIG",IF(COUNTIF('Calculations'!$HE$13:$HE$512,"="&amp;SUBSTITUTE(SUBSTITUTE(SUBSTITUTE('Calculations'!HO500,"~","~~"),"*","~*"),"?","~?"))&gt;1,"!AMBIG",IFERROR(INDEX('Calculations'!$HF$13:$HF$512,MATCH('Calculations'!HO500,'Calculations'!$HE$13:$HE$512,0)),""))))</x:f>
      </x:c>
      <x:c r="HQ500" t="str">
        <x:f>IF('Calculations'!HP500="","",IF('Calculations'!HP500="!AMBIG","!AMBIG",IF(COUNTIF('Calculations'!$HE$13:$HE$512,"="&amp;SUBSTITUTE(SUBSTITUTE(SUBSTITUTE('Calculations'!HP500,"~","~~"),"*","~*"),"?","~?"))&gt;1,"!AMBIG",IFERROR(INDEX('Calculations'!$HF$13:$HF$512,MATCH('Calculations'!HP500,'Calculations'!$HE$13:$HE$512,0)),""))))</x:f>
      </x:c>
      <x:c r="HR500" t="str">
        <x:f>IF('Calculations'!HQ500="","",IF('Calculations'!HQ500="!AMBIG","!AMBIG",IF(COUNTIF('Calculations'!$HE$13:$HE$512,"="&amp;SUBSTITUTE(SUBSTITUTE(SUBSTITUTE('Calculations'!HQ500,"~","~~"),"*","~*"),"?","~?"))&gt;1,"!AMBIG",IFERROR(INDEX('Calculations'!$HF$13:$HF$512,MATCH('Calculations'!HQ500,'Calculations'!$HE$13:$HE$512,0)),""))))</x:f>
      </x:c>
      <x:c r="HS500" t="str">
        <x:f>IF('Calculations'!HR500="","",IF('Calculations'!HR500="!AMBIG","!AMBIG",IF(COUNTIF('Calculations'!$HE$13:$HE$512,"="&amp;SUBSTITUTE(SUBSTITUTE(SUBSTITUTE('Calculations'!HR500,"~","~~"),"*","~*"),"?","~?"))&gt;1,"!AMBIG",IFERROR(INDEX('Calculations'!$HF$13:$HF$512,MATCH('Calculations'!HR500,'Calculations'!$HE$13:$HE$512,0)),""))))</x:f>
      </x:c>
      <x:c r="HT500" t="str">
        <x:f>IF('Calculations'!HS500="","",IF('Calculations'!HS500="!AMBIG","!AMBIG",IF(COUNTIF('Calculations'!$HE$13:$HE$512,"="&amp;SUBSTITUTE(SUBSTITUTE(SUBSTITUTE('Calculations'!HS500,"~","~~"),"*","~*"),"?","~?"))&gt;1,"!AMBIG",IFERROR(INDEX('Calculations'!$HF$13:$HF$512,MATCH('Calculations'!HS500,'Calculations'!$HE$13:$HE$512,0)),""))))</x:f>
      </x:c>
      <x:c r="HU500" t="str">
        <x:f>IF('Calculations'!HT500="","",IF('Calculations'!HT500="!AMBIG","!AMBIG",IF(COUNTIF('Calculations'!$HE$13:$HE$512,"="&amp;SUBSTITUTE(SUBSTITUTE(SUBSTITUTE('Calculations'!HT500,"~","~~"),"*","~*"),"?","~?"))&gt;1,"!AMBIG",IFERROR(INDEX('Calculations'!$HF$13:$HF$512,MATCH('Calculations'!HT500,'Calculations'!$HE$13:$HE$512,0)),""))))</x:f>
      </x:c>
      <x:c r="HV500" t="str">
        <x:f>IF('Calculations'!HU500="","",IF('Calculations'!HU500="!AMBIG","!AMBIG",IF(COUNTIF('Calculations'!$HE$13:$HE$512,"="&amp;SUBSTITUTE(SUBSTITUTE(SUBSTITUTE('Calculations'!HU500,"~","~~"),"*","~*"),"?","~?"))&gt;1,"!AMBIG",IFERROR(INDEX('Calculations'!$HF$13:$HF$512,MATCH('Calculations'!HU500,'Calculations'!$HE$13:$HE$512,0)),""))))</x:f>
      </x:c>
      <x:c r="HW500" t="str">
        <x:f>IF('Calculations'!HV500="","",IF('Calculations'!HV500="!AMBIG","!AMBIG",IF(COUNTIF('Calculations'!$HE$13:$HE$512,"="&amp;SUBSTITUTE(SUBSTITUTE(SUBSTITUTE('Calculations'!HV500,"~","~~"),"*","~*"),"?","~?"))&gt;1,"!AMBIG",IFERROR(INDEX('Calculations'!$HF$13:$HF$512,MATCH('Calculations'!HV500,'Calculations'!$HE$13:$HE$512,0)),""))))</x:f>
      </x:c>
      <x:c r="HX500" t="str">
        <x:f>IF('Calculations'!HW500="","",IF('Calculations'!HW500="!AMBIG","!AMBIG",IF(COUNTIF('Calculations'!$HE$13:$HE$512,"="&amp;SUBSTITUTE(SUBSTITUTE(SUBSTITUTE('Calculations'!HW500,"~","~~"),"*","~*"),"?","~?"))&gt;1,"!AMBIG",IFERROR(INDEX('Calculations'!$HF$13:$HF$512,MATCH('Calculations'!HW500,'Calculations'!$HE$13:$HE$512,0)),""))))</x:f>
      </x:c>
      <x:c r="HY500" t="str">
        <x:f>IF('Calculations'!HX500="","",IF('Calculations'!HX500="!AMBIG","!AMBIG",IF(COUNTIF('Calculations'!$HE$13:$HE$512,"="&amp;SUBSTITUTE(SUBSTITUTE(SUBSTITUTE('Calculations'!HX500,"~","~~"),"*","~*"),"?","~?"))&gt;1,"!AMBIG",IFERROR(INDEX('Calculations'!$HF$13:$HF$512,MATCH('Calculations'!HX500,'Calculations'!$HE$13:$HE$512,0)),""))))</x:f>
      </x:c>
      <x:c r="HZ500" t="str">
        <x:f>IF('Calculations'!HY500="","",IF('Calculations'!HY500="!AMBIG","!AMBIG",IF(COUNTIF('Calculations'!$HE$13:$HE$512,"="&amp;SUBSTITUTE(SUBSTITUTE(SUBSTITUTE('Calculations'!HY500,"~","~~"),"*","~*"),"?","~?"))&gt;1,"!AMBIG",IFERROR(INDEX('Calculations'!$HF$13:$HF$512,MATCH('Calculations'!HY500,'Calculations'!$HE$13:$HE$512,0)),""))))</x:f>
      </x:c>
      <x:c r="IA500" t="str">
        <x:f>IF('Calculations'!HZ500="","",IF('Calculations'!HZ500="!AMBIG","!AMBIG",IF(COUNTIF('Calculations'!$HE$13:$HE$512,"="&amp;SUBSTITUTE(SUBSTITUTE(SUBSTITUTE('Calculations'!HZ500,"~","~~"),"*","~*"),"?","~?"))&gt;1,"!AMBIG",IFERROR(INDEX('Calculations'!$HF$13:$HF$512,MATCH('Calculations'!HZ500,'Calculations'!$HE$13:$HE$512,0)),""))))</x:f>
      </x:c>
      <x:c r="IB500" t="str">
        <x:f>IF('Calculations'!IA500="","",IF('Calculations'!IA500="!AMBIG","!AMBIG",IF(COUNTIF('Calculations'!$HE$13:$HE$512,"="&amp;SUBSTITUTE(SUBSTITUTE(SUBSTITUTE('Calculations'!IA500,"~","~~"),"*","~*"),"?","~?"))&gt;1,"!AMBIG",IFERROR(INDEX('Calculations'!$HF$13:$HF$512,MATCH('Calculations'!IA500,'Calculations'!$HE$13:$HE$512,0)),""))))</x:f>
      </x:c>
      <x:c r="IC500" t="str">
        <x:f>IF('Calculations'!IB500="","",IF('Calculations'!IB500="!AMBIG","!AMBIG",IF(COUNTIF('Calculations'!$HE$13:$HE$512,"="&amp;SUBSTITUTE(SUBSTITUTE(SUBSTITUTE('Calculations'!IB500,"~","~~"),"*","~*"),"?","~?"))&gt;1,"!AMBIG",IFERROR(INDEX('Calculations'!$HF$13:$HF$512,MATCH('Calculations'!IB500,'Calculations'!$HE$13:$HE$512,0)),""))))</x:f>
      </x:c>
      <x:c r="ID500" t="str">
        <x:f>IF('Calculations'!IC500="","",IF('Calculations'!IC500="!AMBIG","!AMBIG",IF(COUNTIF('Calculations'!$HE$13:$HE$512,"="&amp;SUBSTITUTE(SUBSTITUTE(SUBSTITUTE('Calculations'!IC500,"~","~~"),"*","~*"),"?","~?"))&gt;1,"!AMBIG",IFERROR(INDEX('Calculations'!$HF$13:$HF$512,MATCH('Calculations'!IC500,'Calculations'!$HE$13:$HE$512,0)),""))))</x:f>
      </x:c>
      <x:c r="IE500" t="str">
        <x:f>IF('Calculations'!ID500="","",IF('Calculations'!ID500="!AMBIG","!AMBIG",IF(COUNTIF('Calculations'!$HE$13:$HE$512,"="&amp;SUBSTITUTE(SUBSTITUTE(SUBSTITUTE('Calculations'!ID500,"~","~~"),"*","~*"),"?","~?"))&gt;1,"!AMBIG",IFERROR(INDEX('Calculations'!$HF$13:$HF$512,MATCH('Calculations'!ID500,'Calculations'!$HE$13:$HE$512,0)),""))))</x:f>
      </x:c>
      <x:c r="IF500" t="str">
        <x:f>IF('Calculations'!IE500="","",IF('Calculations'!IE500="!AMBIG","!AMBIG",IF(COUNTIF('Calculations'!$HE$13:$HE$512,"="&amp;SUBSTITUTE(SUBSTITUTE(SUBSTITUTE('Calculations'!IE500,"~","~~"),"*","~*"),"?","~?"))&gt;1,"!AMBIG",IFERROR(INDEX('Calculations'!$HF$13:$HF$512,MATCH('Calculations'!IE500,'Calculations'!$HE$13:$HE$512,0)),""))))</x:f>
      </x:c>
      <x:c r="IG500" t="str">
        <x:f>IF('Calculations'!IF500="","",IF('Calculations'!IF500="!AMBIG","!AMBIG",IF(COUNTIF('Calculations'!$HE$13:$HE$512,"="&amp;SUBSTITUTE(SUBSTITUTE(SUBSTITUTE('Calculations'!IF500,"~","~~"),"*","~*"),"?","~?"))&gt;1,"!AMBIG",IFERROR(INDEX('Calculations'!$HF$13:$HF$512,MATCH('Calculations'!IF500,'Calculations'!$HE$13:$HE$512,0)),""))))</x:f>
      </x:c>
      <x:c r="IH500" t="str">
        <x:f>IF('Calculations'!IG500="","",IF('Calculations'!IG500="!AMBIG","!AMBIG",IF(COUNTIF('Calculations'!$HE$13:$HE$512,"="&amp;SUBSTITUTE(SUBSTITUTE(SUBSTITUTE('Calculations'!IG500,"~","~~"),"*","~*"),"?","~?"))&gt;1,"!AMBIG",IFERROR(INDEX('Calculations'!$HF$13:$HF$512,MATCH('Calculations'!IG500,'Calculations'!$HE$13:$HE$512,0)),""))))</x:f>
      </x:c>
      <x:c r="II500" t="str">
        <x:f>IF('Calculations'!IH500="","",IF('Calculations'!IH500="!AMBIG","!AMBIG",IF(COUNTIF('Calculations'!$HE$13:$HE$512,"="&amp;SUBSTITUTE(SUBSTITUTE(SUBSTITUTE('Calculations'!IH500,"~","~~"),"*","~*"),"?","~?"))&gt;1,"!AMBIG",IFERROR(INDEX('Calculations'!$HF$13:$HF$512,MATCH('Calculations'!IH500,'Calculations'!$HE$13:$HE$512,0)),""))))</x:f>
      </x:c>
      <x:c r="IJ500" t="str">
        <x:f>IF('Calculations'!EM500="","",IF('Calculations'!$EF$2="All",'Calculations'!HM500,IF('Calculations'!HL500=1,"",IFERROR(IF(MATCH('Calculations'!$EF$2,'Calculations'!HO500:II500,0)=1,'Calculations'!HE500,INDEX('Calculations'!HO500:II500,1,MATCH('Calculations'!$EF$2,'Calculations'!HO500:II500,0)-1)),""))))</x:f>
      </x:c>
      <x:c r="IK500" t="n">
        <x:f>IF(AND('Calculations'!EM500&lt;&gt;"",'Calculations'!$EF$2&lt;&gt;"All",'Calculations'!HF500='Calculations'!$EF$2,'Calculations'!HL500=0,'Calculations'!JD500&gt;0),MAX('Calculations'!$IK$12:IK499)+1,0)</x:f>
        <x:v>0</x:v>
      </x:c>
      <x:c r="JA500" t="n">
        <x:f>IF(OR(IFERROR(INDIRECT("'WCM Calibration Final'!$A$500")&lt;&gt;"",FALSE),IFERROR(INDIRECT("'WCM Calibration Final'!$B$500")&lt;&gt;"",FALSE),IFERROR(INDIRECT("'WCM Calibration Final'!$C$500")&lt;&gt;"",FALSE)),500,0)</x:f>
        <x:v>0</x:v>
      </x:c>
      <x:c r="JB500" t="n">
        <x:f>'Calculations'!JB499+IF('Calculations'!JA500&gt;0,1,0)</x:f>
        <x:v>0</x:v>
      </x:c>
      <x:c r="JC500" t="n">
        <x:f>IF(OR('Calculations'!HF500="",'Calculations'!HF500="!AMBIG"),0,IF('Dashboard'!$B$7="All",1,COUNTIFS('Calculations'!$HO$13:$HO$512,"="&amp;SUBSTITUTE(SUBSTITUTE(SUBSTITUTE('Calculations'!HF500,"~","~~"),"*","~*"),"?","~?"),'Calculations'!$HN$13:$HN$512,"="&amp;SUBSTITUTE(SUBSTITUTE(SUBSTITUTE('Dashboard'!$B$7,"~","~~"),"*","~*"),"?","~?"))+COUNTIFS('Calculations'!$HP$13:$HP$512,"="&amp;SUBSTITUTE(SUBSTITUTE(SUBSTITUTE('Calculations'!HF500,"~","~~"),"*","~*"),"?","~?"),'Calculations'!$HN$13:$HN$512,"="&amp;SUBSTITUTE(SUBSTITUTE(SUBSTITUTE('Dashboard'!$B$7,"~","~~"),"*","~*"),"?","~?"))+COUNTIFS('Calculations'!$HQ$13:$HQ$512,"="&amp;SUBSTITUTE(SUBSTITUTE(SUBSTITUTE('Calculations'!HF500,"~","~~"),"*","~*"),"?","~?"),'Calculations'!$HN$13:$HN$512,"="&amp;SUBSTITUTE(SUBSTITUTE(SUBSTITUTE('Dashboard'!$B$7,"~","~~"),"*","~*"),"?","~?"))+COUNTIFS('Calculations'!$HR$13:$HR$512,"="&amp;SUBSTITUTE(SUBSTITUTE(SUBSTITUTE('Calculations'!HF500,"~","~~"),"*","~*"),"?","~?"),'Calculations'!$HN$13:$HN$512,"="&amp;SUBSTITUTE(SUBSTITUTE(SUBSTITUTE('Dashboard'!$B$7,"~","~~"),"*","~*"),"?","~?"))+COUNTIFS('Calculations'!$HS$13:$HS$512,"="&amp;SUBSTITUTE(SUBSTITUTE(SUBSTITUTE('Calculations'!HF500,"~","~~"),"*","~*"),"?","~?"),'Calculations'!$HN$13:$HN$512,"="&amp;SUBSTITUTE(SUBSTITUTE(SUBSTITUTE('Dashboard'!$B$7,"~","~~"),"*","~*"),"?","~?"))+COUNTIFS('Calculations'!$HT$13:$HT$512,"="&amp;SUBSTITUTE(SUBSTITUTE(SUBSTITUTE('Calculations'!HF500,"~","~~"),"*","~*"),"?","~?"),'Calculations'!$HN$13:$HN$512,"="&amp;SUBSTITUTE(SUBSTITUTE(SUBSTITUTE('Dashboard'!$B$7,"~","~~"),"*","~*"),"?","~?"))+COUNTIFS('Calculations'!$HU$13:$HU$512,"="&amp;SUBSTITUTE(SUBSTITUTE(SUBSTITUTE('Calculations'!HF500,"~","~~"),"*","~*"),"?","~?"),'Calculations'!$HN$13:$HN$512,"="&amp;SUBSTITUTE(SUBSTITUTE(SUBSTITUTE('Dashboard'!$B$7,"~","~~"),"*","~*"),"?","~?"))+COUNTIFS('Calculations'!$HV$13:$HV$512,"="&amp;SUBSTITUTE(SUBSTITUTE(SUBSTITUTE('Calculations'!HF500,"~","~~"),"*","~*"),"?","~?"),'Calculations'!$HN$13:$HN$512,"="&amp;SUBSTITUTE(SUBSTITUTE(SUBSTITUTE('Dashboard'!$B$7,"~","~~"),"*","~*"),"?","~?"))+COUNTIFS('Calculations'!$HW$13:$HW$512,"="&amp;SUBSTITUTE(SUBSTITUTE(SUBSTITUTE('Calculations'!HF500,"~","~~"),"*","~*"),"?","~?"),'Calculations'!$HN$13:$HN$512,"="&amp;SUBSTITUTE(SUBSTITUTE(SUBSTITUTE('Dashboard'!$B$7,"~","~~"),"*","~*"),"?","~?"))+COUNTIFS('Calculations'!$HX$13:$HX$512,"="&amp;SUBSTITUTE(SUBSTITUTE(SUBSTITUTE('Calculations'!HF500,"~","~~"),"*","~*"),"?","~?"),'Calculations'!$HN$13:$HN$512,"="&amp;SUBSTITUTE(SUBSTITUTE(SUBSTITUTE('Dashboard'!$B$7,"~","~~"),"*","~*"),"?","~?"))+COUNTIFS('Calculations'!$HY$13:$HY$512,"="&amp;SUBSTITUTE(SUBSTITUTE(SUBSTITUTE('Calculations'!HF500,"~","~~"),"*","~*"),"?","~?"),'Calculations'!$HN$13:$HN$512,"="&amp;SUBSTITUTE(SUBSTITUTE(SUBSTITUTE('Dashboard'!$B$7,"~","~~"),"*","~*"),"?","~?"))+COUNTIFS('Calculations'!$HZ$13:$HZ$512,"="&amp;SUBSTITUTE(SUBSTITUTE(SUBSTITUTE('Calculations'!HF500,"~","~~"),"*","~*"),"?","~?"),'Calculations'!$HN$13:$HN$512,"="&amp;SUBSTITUTE(SUBSTITUTE(SUBSTITUTE('Dashboard'!$B$7,"~","~~"),"*","~*"),"?","~?"))+COUNTIFS('Calculations'!$IA$13:$IA$512,"="&amp;SUBSTITUTE(SUBSTITUTE(SUBSTITUTE('Calculations'!HF500,"~","~~"),"*","~*"),"?","~?"),'Calculations'!$HN$13:$HN$512,"="&amp;SUBSTITUTE(SUBSTITUTE(SUBSTITUTE('Dashboard'!$B$7,"~","~~"),"*","~*"),"?","~?"))+COUNTIFS('Calculations'!$IB$13:$IB$512,"="&amp;SUBSTITUTE(SUBSTITUTE(SUBSTITUTE('Calculations'!HF500,"~","~~"),"*","~*"),"?","~?"),'Calculations'!$HN$13:$HN$512,"="&amp;SUBSTITUTE(SUBSTITUTE(SUBSTITUTE('Dashboard'!$B$7,"~","~~"),"*","~*"),"?","~?"))+COUNTIFS('Calculations'!$IC$13:$IC$512,"="&amp;SUBSTITUTE(SUBSTITUTE(SUBSTITUTE('Calculations'!HF500,"~","~~"),"*","~*"),"?","~?"),'Calculations'!$HN$13:$HN$512,"="&amp;SUBSTITUTE(SUBSTITUTE(SUBSTITUTE('Dashboard'!$B$7,"~","~~"),"*","~*"),"?","~?"))+COUNTIFS('Calculations'!$ID$13:$ID$512,"="&amp;SUBSTITUTE(SUBSTITUTE(SUBSTITUTE('Calculations'!HF500,"~","~~"),"*","~*"),"?","~?"),'Calculations'!$HN$13:$HN$512,"="&amp;SUBSTITUTE(SUBSTITUTE(SUBSTITUTE('Dashboard'!$B$7,"~","~~"),"*","~*"),"?","~?"))+COUNTIFS('Calculations'!$IE$13:$IE$512,"="&amp;SUBSTITUTE(SUBSTITUTE(SUBSTITUTE('Calculations'!HF500,"~","~~"),"*","~*"),"?","~?"),'Calculations'!$HN$13:$HN$512,"="&amp;SUBSTITUTE(SUBSTITUTE(SUBSTITUTE('Dashboard'!$B$7,"~","~~"),"*","~*"),"?","~?"))+COUNTIFS('Calculations'!$IF$13:$IF$512,"="&amp;SUBSTITUTE(SUBSTITUTE(SUBSTITUTE('Calculations'!HF500,"~","~~"),"*","~*"),"?","~?"),'Calculations'!$HN$13:$HN$512,"="&amp;SUBSTITUTE(SUBSTITUTE(SUBSTITUTE('Dashboard'!$B$7,"~","~~"),"*","~*"),"?","~?"))+COUNTIFS('Calculations'!$IG$13:$IG$512,"="&amp;SUBSTITUTE(SUBSTITUTE(SUBSTITUTE('Calculations'!HF500,"~","~~"),"*","~*"),"?","~?"),'Calculations'!$HN$13:$HN$512,"="&amp;SUBSTITUTE(SUBSTITUTE(SUBSTITUTE('Dashboard'!$B$7,"~","~~"),"*","~*"),"?","~?"))+COUNTIFS('Calculations'!$IH$13:$IH$512,"="&amp;SUBSTITUTE(SUBSTITUTE(SUBSTITUTE('Calculations'!HF500,"~","~~"),"*","~*"),"?","~?"),'Calculations'!$HN$13:$HN$512,"="&amp;SUBSTITUTE(SUBSTITUTE(SUBSTITUTE('Dashboard'!$B$7,"~","~~"),"*","~*"),"?","~?"))))</x:f>
        <x:v>0</x:v>
      </x:c>
      <x:c r="JD500" t="n">
        <x:f>IF('Calculations'!EM500="",0,IF('Dashboard'!$B$7="All",1,IF('Calculations'!HN500='Dashboard'!$B$7,1,0)+IFERROR(INDEX('Calculations'!$JC$13:$JC$512,MATCH('Calculations'!HE500,'Calculations'!$HF$13:$HF$512,0)),0)))</x:f>
        <x:v>0</x:v>
      </x:c>
      <x:c r="JE500" t="n">
        <x:f>IF(AND('Calculations'!EM500&lt;&gt;"",'Calculations'!$JJ$2&lt;&gt;"All",'Calculations'!$JJ$2&lt;&gt;"",'Calculations'!HF500='Calculations'!$JJ$2,'Calculations'!HL500=0,'Calculations'!JD500&gt;0),MAX('Calculations'!$JE$12:JE499)+1,0)</x:f>
        <x:v>0</x:v>
      </x:c>
      <x:c r="JF500" t="str">
        <x:f>IF('Calculations'!EM500="","",IFERROR(IF(INDEX(INDIRECT("'WCM Calibration Final'!$G$1:$G$2000"),'Calculations'!$EM500)="","",TRIM(INDEX(INDIRECT("'WCM Calibration Final'!$G$1:$G$2000"),'Calculations'!$EM500)&amp;"")),""))</x:f>
      </x:c>
      <x:c r="JQ500" t="n">
        <x:f>IF(OR('Calculations'!BM500=0,NOT('Calculations'!$AG$2),'Calculations'!$AG$8&gt;0),0,IF(OR('Dashboard'!$B$7="All",'Calculations'!HN500='Dashboard'!$B$7),IF('Calculations'!$JJ$2="All",1,IF(AND('Calculations'!HF500='Calculations'!$JJ$2,'Calculations'!HL500=0),1,0)),0))</x:f>
        <x:v>0</x:v>
      </x:c>
    </x:row>
    <x:row r="501">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t="n">
        <x:f>IF('Calculations'!$EM501="",0,IF(OR(IFERROR(INDEX(INDIRECT("'WCM Calibration Final'!$A$1:$A$2000"),'Calculations'!$EM501)&lt;&gt;"",FALSE),IFERROR(INDEX(INDIRECT("'WCM Calibration Final'!$B$1:$B$2000"),'Calculations'!$EM501)&lt;&gt;"",FALSE),IFERROR(INDEX(INDIRECT("'WCM Calibration Final'!$C$1:$C$2000"),'Calculations'!$EM501)&lt;&gt;"",FALSE)),1,0))</x:f>
        <x:v>0</x:v>
      </x:c>
      <x:c r="BN501" s="4" t="n">
        <x:f>IF(AND('Calculations'!BM501=1,'Calculations'!$AG$2,'Calculations'!$EN501=1),1,0)</x:f>
        <x:v>0</x:v>
      </x:c>
      <x:c r="BO501" s="4" t="str">
        <x:f>IF('Calculations'!BM501=0,"",IFERROR(IF(AND(VALUE(INDEX(INDIRECT("'WCM Calibration Final'!$K$1:$K$2000"),'Calculations'!$EM501))&gt;=1,VALUE(INDEX(INDIRECT("'WCM Calibration Final'!$K$1:$K$2000"),'Calculations'!$EM501))&lt;=4,MOD(VALUE(INDEX(INDIRECT("'WCM Calibration Final'!$K$1:$K$2000"),'Calculations'!$EM501)),1)=0),VALUE(INDEX(INDIRECT("'WCM Calibration Final'!$K$1:$K$2000"),'Calculations'!$EM501)),""),""))</x:f>
      </x:c>
      <x:c r="BP501" s="4" t="str">
        <x:f>IF('Calculations'!BM501=0,"",IFERROR(IF(AND(VALUE(INDEX(INDIRECT("'WCM Calibration Final'!$L$1:$L$2000"),'Calculations'!$EM501))&gt;=1,VALUE(INDEX(INDIRECT("'WCM Calibration Final'!$L$1:$L$2000"),'Calculations'!$EM501))&lt;=4,MOD(VALUE(INDEX(INDIRECT("'WCM Calibration Final'!$L$1:$L$2000"),'Calculations'!$EM501)),1)=0),VALUE(INDEX(INDIRECT("'WCM Calibration Final'!$L$1:$L$2000"),'Calculations'!$EM501)),""),""))</x:f>
      </x:c>
      <x:c r="BQ501" s="4"/>
      <x:c r="BR501" s="4"/>
      <x:c r="BS501" s="4"/>
      <x:c r="BT501" s="4" t="n">
        <x:f>IF(AND('Calculations'!BM501=1,ISNUMBER('Calculations'!BO501),ISNUMBER('Calculations'!BP501)),1,0)</x:f>
        <x:v>0</x:v>
      </x:c>
      <x:c r="BU501" s="4" t="str">
        <x:f>IF('Calculations'!BM501=0,"",'Calculations'!$EO501)</x:f>
      </x:c>
      <x:c r="BV501" s="4" t="str">
        <x:f>IF('Calculations'!BM501=0,"",IFERROR(IF(OR(INDEX(INDIRECT("'WCM Calibration Final'!$H$1:$H$2000"),'Calculations'!$EM501)="MANAGING DIRECTOR",INDEX(INDIRECT("'WCM Calibration Final'!$H$1:$H$2000"),'Calculations'!$EM501)="DIRECTOR",INDEX(INDIRECT("'WCM Calibration Final'!$H$1:$H$2000"),'Calculations'!$EM501)="SENIOR VICE PRESIDENT",INDEX(INDIRECT("'WCM Calibration Final'!$H$1:$H$2000"),'Calculations'!$EM501)="VICE PRESIDENT",INDEX(INDIRECT("'WCM Calibration Final'!$H$1:$H$2000"),'Calculations'!$EM501)="ASSISTANT VICE PRESIDENT",INDEX(INDIRECT("'WCM Calibration Final'!$H$1:$H$2000"),'Calculations'!$EM501)="OFFICER"),UPPER(INDEX(INDIRECT("'WCM Calibration Final'!$H$1:$H$2000"),'Calculations'!$EM501)),"Other"),"Other"))</x:f>
      </x:c>
      <x:c r="BW501" s="4"/>
      <x:c r="BX501" s="4"/>
      <x:c r="BY501" s="4" t="n">
        <x:f>IF(AND('Calculations'!BM501=1,'Calculations'!BU501&lt;&gt;"",COUNTIF('Calculations'!$BU$12:BU501,'Calculations'!BU501)=1),MAX('Calculations'!$BY$11:BY500)+1,0)</x:f>
        <x:v>0</x:v>
      </x:c>
      <x:c r="BZ501" s="4" t="str">
        <x:f>IF('Dashboard'!$E$67="What",'Calculations'!BO501,'Calculations'!BP501)</x:f>
      </x:c>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t="str">
        <x:f>IF(490&gt;MAX('Calculations'!$HI$13:$HI$512),"",INDEX('Calculations'!$HN$13:$HN$512,MATCH(490,'Calculations'!$HI$13:$HI$512,0)))</x:f>
      </x:c>
      <x:c r="DB501" s="4" t="str">
        <x:f>IF(490&gt;MAX('Calculations'!$HH$13:$HH$512),"",INDEX('Calculations'!$HJ$13:$HJ$512,MATCH(490,'Calculations'!$HH$13:$HH$512,0)))</x:f>
      </x:c>
      <x:c r="DC501" s="4" t="str">
        <x:f>IF(ROW()-11&gt;MAX('Calculations'!$BY$13:$BY$512),"",INDEX('Calculations'!$BU$13:$BU$512,MATCH(ROW()-11,'Calculations'!$BY$13:$BY$512,0)))</x:f>
      </x:c>
      <x:c r="DD501" s="4" t="str">
        <x:f>IF(490&gt;MAX('Calculations'!$IK$13:$IK$512),"",INDEX('Calculations'!$HK$13:$HK$512,MATCH(490,'Calculations'!$IK$13:$IK$512,0)))</x:f>
      </x:c>
      <x:c r="DE501" s="4" t="str">
        <x:f>'Calculations'!DC501</x:f>
      </x:c>
      <x:c r="DF501" s="4" t="str">
        <x:f>IF('Calculations'!DE501="","",COUNTIFS('Calculations'!$BN$13:$BN$512,1,'Calculations'!$BU$13:$BU$512,'Calculations'!DE501))</x:f>
      </x:c>
      <x:c r="DG501" s="4" t="str">
        <x:f>IF('Calculations'!DE501="","",COUNTIFS('Calculations'!$BN$13:$BN$512,1,'Calculations'!$BU$13:$BU$512,'Calculations'!DE501,'Calculations'!$BT$13:$BT$512,1))</x:f>
      </x:c>
      <x:c r="DH501" s="4" t="str">
        <x:f>IF('Calculations'!DE501="","",'Calculations'!DF501-'Calculations'!DG501)</x:f>
      </x:c>
      <x:c r="DI501" s="4" t="str">
        <x:f>IF(OR('Calculations'!DE501="",'Calculations'!DF501=0),"",'Calculations'!DG501/'Calculations'!DF501)</x:f>
      </x:c>
      <x:c r="DJ501" s="4" t="str">
        <x:f>IF('Calculations'!DE501="","",COUNTIFS('Calculations'!$BN$13:$BN$512,1,'Calculations'!$BU$13:$BU$512,'Calculations'!DE501,'Calculations'!$BT$13:$BT$512,1,'Calculations'!$EE$13:$EE$512,"High"))</x:f>
      </x:c>
      <x:c r="DK501" s="4" t="str">
        <x:f>IF('Calculations'!DE501="","",COUNTIFS('Calculations'!$BN$13:$BN$512,1,'Calculations'!$BU$13:$BU$512,'Calculations'!DE501,'Calculations'!$BT$13:$BT$512,1,'Calculations'!$EE$13:$EE$512,"Strong"))</x:f>
      </x:c>
      <x:c r="DL501" s="4" t="str">
        <x:f>IF('Calculations'!DE501="","",COUNTIFS('Calculations'!$BN$13:$BN$512,1,'Calculations'!$BU$13:$BU$512,'Calculations'!DE501,'Calculations'!$BT$13:$BT$512,1,'Calculations'!$EE$13:$EE$512,"Solid"))</x:f>
      </x:c>
      <x:c r="DM501" s="4" t="str">
        <x:f>IF('Calculations'!DE501="","",COUNTIFS('Calculations'!$BN$13:$BN$512,1,'Calculations'!$BU$13:$BU$512,'Calculations'!DE501,'Calculations'!$BT$13:$BT$512,1,'Calculations'!$EE$13:$EE$512,"Low"))</x:f>
      </x:c>
      <x:c r="DN501" s="4" t="str">
        <x:f>IF('Calculations'!DE501="","",COUNTIFS('Calculations'!$BN$13:$BN$512,1,'Calculations'!$BU$13:$BU$512,'Calculations'!DE501,'Calculations'!$EP$13:$EP$512,1))</x:f>
      </x:c>
      <x:c r="DO501" s="4" t="str">
        <x:f>IF(OR('Calculations'!DE501="",'Calculations'!DG501=0),"",('Calculations'!DJ501+'Calculations'!DK501)/'Calculations'!DG501)</x:f>
      </x:c>
      <x:c r="DP501" s="4" t="n">
        <x:f>IF(AND('Calculations'!DE501&lt;&gt;"",'Calculations'!DF501&gt;0),COUNTIF('Calculations'!$DF$12:DF501,"&gt;0"),0)</x:f>
        <x:v>0</x:v>
      </x:c>
      <x:c r="DQ501" s="4" t="str">
        <x:f>IF(490&gt;MAX('Calculations'!$HH$13:$HH$512),"",INDEX('Calculations'!$HF$13:$HF$512,MATCH(490,'Calculations'!$HH$13:$HH$512,0)))</x:f>
      </x:c>
      <x:c r="DR501" s="4" t="str">
        <x:f>IF(490&gt;MAX('Calculations'!$IK$13:$IK$512),"",INDEX('Calculations'!$HE$13:$HE$512,MATCH(490,'Calculations'!$IK$13:$IK$512,0)))</x:f>
      </x:c>
      <x:c r="DS501" s="4"/>
      <x:c r="DT501" s="4"/>
      <x:c r="DU501" s="4"/>
      <x:c r="DV501" s="4"/>
      <x:c r="DW501" s="4"/>
      <x:c r="DX501" s="4"/>
      <x:c r="DY501" s="4"/>
      <x:c r="DZ501" s="4"/>
      <x:c r="EA501" s="4"/>
      <x:c r="EB501" s="4"/>
      <x:c r="EC501" s="4"/>
      <x:c r="ED501" s="4"/>
      <x:c r="EE501" s="4" t="str">
        <x:f>IF('Calculations'!BT501=0,"Not Rated",IF(OR('Calculations'!BO501&gt;=4,'Calculations'!BP501&gt;=4),"Low",IF('Calculations'!BO501+'Calculations'!BP501&lt;=3,"High",IF('Calculations'!BO501+'Calculations'!BP501&lt;=4,"Strong","Solid"))))</x:f>
        <x:v>Not Rated</x:v>
      </x:c>
      <x:c r="EF501" s="4"/>
      <x:c r="EG501" s="4"/>
      <x:c r="EH501" s="4"/>
      <x:c r="EI501" s="4"/>
      <x:c r="EJ501" s="4"/>
      <x:c r="EK501" s="4"/>
      <x:c r="EL501" s="4"/>
      <x:c r="EM501" s="4" t="str">
        <x:f>IF(489&gt;'Calculations'!$JB$2000,"",INDEX('Calculations'!$JA$12:$JA$2000,MATCH(489,'Calculations'!$JB$12:$JB$2000,0)))</x:f>
      </x:c>
      <x:c r="EN501" s="4" t="n">
        <x:f>IF(OR('Calculations'!EM501="",'Calculations'!$AG$8&gt;0,AND('Calculations'!$EF$2&lt;&gt;"All",'Calculations'!HE501='Calculations'!$EF$2),AND('Calculations'!$EF$3&lt;&gt;"All",'Calculations'!HE501='Calculations'!$EF$3)),0,IF(OR('Dashboard'!$B$7="All",'Calculations'!HN501='Dashboard'!$B$7),IF('Calculations'!$EF$2="All",1,IF('Calculations'!HL501&gt;0,0,IF(COUNTIF('Calculations'!HO501:II501,"="&amp;SUBSTITUTE(SUBSTITUTE(SUBSTITUTE('Calculations'!$EF$2,"~","~~"),"*","~*"),"?","~?"))=0,0,IF('Calculations'!$EF$3="All",1,IF(COUNTIF('Calculations'!HO501:II501,"="&amp;SUBSTITUTE(SUBSTITUTE(SUBSTITUTE('Calculations'!$EF$3,"~","~~"),"*","~*"),"?","~?"))&gt;0,1,0))))),0))</x:f>
        <x:v>0</x:v>
      </x:c>
      <x:c r="EO501" s="4" t="str">
        <x:f>IF('Calculations'!IJ501="","",IF('Calculations'!IJ501="!UNRESOLVED","Unresolved hierarchy",IFERROR(INDEX('Calculations'!$HK$13:$HK$512,MATCH('Calculations'!IJ501,'Calculations'!$HE$13:$HE$512,0)),IFERROR(INDEX('Calculations'!$HJ$13:$HJ$512,MATCH('Calculations'!IJ501,'Calculations'!$HF$13:$HF$512,0)),'Calculations'!IJ501))))</x:f>
      </x:c>
      <x:c r="EP501" s="4" t="n">
        <x:f>IF(AND('Calculations'!EM501&lt;&gt;"",'Calculations'!HF501='Calculations'!IJ501),1,0)</x:f>
        <x:v>0</x:v>
      </x:c>
      <x:c r="EQ501" s="4"/>
      <x:c r="ER501" s="4"/>
      <x:c r="ES501" s="4"/>
      <x:c r="ET501" s="4"/>
      <x:c r="EU501" s="4"/>
      <x:c r="EV501" s="4"/>
      <x:c r="EW501" s="4"/>
      <x:c r="EX501" s="4"/>
      <x:c r="EY501" s="4"/>
      <x:c r="EZ501" s="4"/>
      <x:c r="FA501" s="4"/>
      <x:c r="FB501" s="4"/>
      <x:c r="FC501" s="4"/>
      <x:c r="FD501" s="4"/>
      <x:c r="FE501" s="4"/>
      <x:c r="FF501" s="4"/>
      <x:c r="FG501" s="4"/>
      <x:c r="FH501" s="4"/>
      <x:c r="FI501" s="4"/>
      <x:c r="FJ501" s="4"/>
      <x:c r="FK501" s="4"/>
      <x:c r="FL501" s="4"/>
      <x:c r="FM501" s="4"/>
      <x:c r="FN501" s="4"/>
      <x:c r="FO501" s="4"/>
      <x:c r="HE501" t="str">
        <x:f>IF('Calculations'!EM501="","",IF(IFERROR(IF(INDEX(INDIRECT("'WCM Calibration Final'!$A$1:$A$2000"),'Calculations'!$EM501)="","",TRIM(INDEX(INDIRECT("'WCM Calibration Final'!$A$1:$A$2000"),'Calculations'!$EM501)&amp;"")),"")&lt;&gt;"","G:"&amp;IFERROR(TEXT(1*INDEX(INDIRECT("'WCM Calibration Final'!$A$1:$A$2000"),'Calculations'!$EM501),"0"),UPPER(IFERROR(IF(INDEX(INDIRECT("'WCM Calibration Final'!$A$1:$A$2000"),'Calculations'!$EM501)="","",TRIM(INDEX(INDIRECT("'WCM Calibration Final'!$A$1:$A$2000"),'Calculations'!$EM501)&amp;"")),""))),IF(IFERROR(IF(INDEX(INDIRECT("'WCM Calibration Final'!$C$1:$C$2000"),'Calculations'!$EM501)="","",TRIM(INDEX(INDIRECT("'WCM Calibration Final'!$C$1:$C$2000"),'Calculations'!$EM501)&amp;"")),"")&lt;&gt;"","S:"&amp;UPPER(IFERROR(IF(INDEX(INDIRECT("'WCM Calibration Final'!$C$1:$C$2000"),'Calculations'!$EM501)="","",TRIM(INDEX(INDIRECT("'WCM Calibration Final'!$C$1:$C$2000"),'Calculations'!$EM501)&amp;"")),"")),"R:"&amp;'Calculations'!EM501)))</x:f>
      </x:c>
      <x:c r="HF501" t="str">
        <x:f>IF('Calculations'!EM501="","",IF(IFERROR(IF(INDEX(INDIRECT("'WCM Calibration Final'!$D$1:$D$2000"),'Calculations'!$EM501)="","",TRIM(INDEX(INDIRECT("'WCM Calibration Final'!$D$1:$D$2000"),'Calculations'!$EM501)&amp;"")),"")&lt;&gt;"","G:"&amp;IFERROR(TEXT(1*INDEX(INDIRECT("'WCM Calibration Final'!$D$1:$D$2000"),'Calculations'!$EM501),"0"),UPPER(IFERROR(IF(INDEX(INDIRECT("'WCM Calibration Final'!$D$1:$D$2000"),'Calculations'!$EM501)="","",TRIM(INDEX(INDIRECT("'WCM Calibration Final'!$D$1:$D$2000"),'Calculations'!$EM501)&amp;"")),""))),IF(IFERROR(IF(INDEX(INDIRECT("'WCM Calibration Final'!$E$1:$E$2000"),'Calculations'!$EM501)="","",TRIM(INDEX(INDIRECT("'WCM Calibration Final'!$E$1:$E$2000"),'Calculations'!$EM501)&amp;"")),"")="","",IF(COUNTIF('Calculations'!$HG$13:$HG$512,"="&amp;SUBSTITUTE(SUBSTITUTE(SUBSTITUTE(IFERROR(IF(INDEX(INDIRECT("'WCM Calibration Final'!$E$1:$E$2000"),'Calculations'!$EM501)="","",TRIM(INDEX(INDIRECT("'WCM Calibration Final'!$E$1:$E$2000"),'Calculations'!$EM501)&amp;"")),""),"~","~~"),"*","~*"),"?","~?"))=1,INDEX('Calculations'!$HE$13:$HE$512,MATCH(IFERROR(IF(INDEX(INDIRECT("'WCM Calibration Final'!$E$1:$E$2000"),'Calculations'!$EM501)="","",TRIM(INDEX(INDIRECT("'WCM Calibration Final'!$E$1:$E$2000"),'Calculations'!$EM501)&amp;"")),""),'Calculations'!$HG$13:$HG$512,0)),IF(COUNTIF('Calculations'!$HG$13:$HG$512,"="&amp;SUBSTITUTE(SUBSTITUTE(SUBSTITUTE(IFERROR(IF(INDEX(INDIRECT("'WCM Calibration Final'!$E$1:$E$2000"),'Calculations'!$EM501)="","",TRIM(INDEX(INDIRECT("'WCM Calibration Final'!$E$1:$E$2000"),'Calculations'!$EM501)&amp;"")),""),"~","~~"),"*","~*"),"?","~?"))&gt;1,"!AMBIG","X:"&amp;IFERROR(IF(INDEX(INDIRECT("'WCM Calibration Final'!$E$1:$E$2000"),'Calculations'!$EM501)="","",TRIM(INDEX(INDIRECT("'WCM Calibration Final'!$E$1:$E$2000"),'Calculations'!$EM501)&amp;"")),""))))))</x:f>
      </x:c>
      <x:c r="HG501" t="str">
        <x:f>IF('Calculations'!EM501="","",IFERROR(IF(INDEX(INDIRECT("'WCM Calibration Final'!$B$1:$B$2000"),'Calculations'!$EM501)="","",TRIM(INDEX(INDIRECT("'WCM Calibration Final'!$B$1:$B$2000"),'Calculations'!$EM501)&amp;"")),""))</x:f>
      </x:c>
      <x:c r="HH501" t="n">
        <x:f>IF(AND('Calculations'!JC501&gt;0,COUNTIF('Calculations'!$HF$12:HF501,"="&amp;SUBSTITUTE(SUBSTITUTE(SUBSTITUTE('Calculations'!HF501,"~","~~"),"*","~*"),"?","~?"))=1),MAX('Calculations'!$HH$12:HH500)+1,0)</x:f>
        <x:v>0</x:v>
      </x:c>
      <x:c r="HI501" t="n">
        <x:f>IF(AND('Calculations'!HN501&lt;&gt;"",COUNTIF('Calculations'!$HN$12:HN501,"="&amp;SUBSTITUTE(SUBSTITUTE(SUBSTITUTE('Calculations'!HN501,"~","~~"),"*","~*"),"?","~?"))=1),MAX('Calculations'!$HI$12:HI500)+1,0)</x:f>
        <x:v>0</x:v>
      </x:c>
      <x:c r="HJ501" t="str">
        <x:f>IF('Calculations'!HF501="","",IF(COUNTIF('Calculations'!$HE$13:$HE$512,"="&amp;SUBSTITUTE(SUBSTITUTE(SUBSTITUTE('Calculations'!HF501,"~","~~"),"*","~*"),"?","~?"))=1,INDEX('Calculations'!$HK$13:$HK$512,MATCH('Calculations'!HF501,'Calculations'!$HE$13:$HE$512,0)),IFERROR(IF(INDEX(INDIRECT("'WCM Calibration Final'!$E$1:$E$2000"),'Calculations'!$EM501)="","",TRIM(INDEX(INDIRECT("'WCM Calibration Final'!$E$1:$E$2000"),'Calculations'!$EM501)&amp;"")),"")&amp;" ["&amp;'Calculations'!HF501&amp;"]"))</x:f>
      </x:c>
      <x:c r="HK501" t="str">
        <x:f>IF('Calculations'!EM501="","",'Calculations'!HG501&amp;" ["&amp;'Calculations'!HE501&amp;"]")</x:f>
      </x:c>
      <x:c r="HL501" t="n">
        <x:f>IF('Calculations'!EM501="",0,IF(OR('Calculations'!II501&lt;&gt;"",COUNTIF('Calculations'!$HE$13:$HE$512,"="&amp;SUBSTITUTE(SUBSTITUTE(SUBSTITUTE('Calculations'!HE501,"~","~~"),"*","~*"),"?","~?"))&gt;1),1,0))</x:f>
        <x:v>0</x:v>
      </x:c>
      <x:c r="HM501" t="str">
        <x:f>IF('Calculations'!EM501="","",IF('Calculations'!HL501=1,"!UNRESOLVED",IF('Calculations'!IH501&lt;&gt;"",'Calculations'!IH501,IF('Calculations'!IG501&lt;&gt;"",'Calculations'!IG501,IF('Calculations'!IF501&lt;&gt;"",'Calculations'!IF501,IF('Calculations'!IE501&lt;&gt;"",'Calculations'!IE501,IF('Calculations'!ID501&lt;&gt;"",'Calculations'!ID501,IF('Calculations'!IC501&lt;&gt;"",'Calculations'!IC501,IF('Calculations'!IB501&lt;&gt;"",'Calculations'!IB501,IF('Calculations'!IA501&lt;&gt;"",'Calculations'!IA501,IF('Calculations'!HZ501&lt;&gt;"",'Calculations'!HZ501,IF('Calculations'!HY501&lt;&gt;"",'Calculations'!HY501,IF('Calculations'!HX501&lt;&gt;"",'Calculations'!HX501,IF('Calculations'!HW501&lt;&gt;"",'Calculations'!HW501,IF('Calculations'!HV501&lt;&gt;"",'Calculations'!HV501,IF('Calculations'!HU501&lt;&gt;"",'Calculations'!HU501,IF('Calculations'!HT501&lt;&gt;"",'Calculations'!HT501,IF('Calculations'!HS501&lt;&gt;"",'Calculations'!HS501,IF('Calculations'!HR501&lt;&gt;"",'Calculations'!HR501,IF('Calculations'!HQ501&lt;&gt;"",'Calculations'!HQ501,IF('Calculations'!HP501&lt;&gt;"",'Calculations'!HP501,IF('Calculations'!HO501&lt;&gt;"",'Calculations'!HO501,'Calculations'!HE501))))))))))))))))))))))</x:f>
      </x:c>
      <x:c r="HN501" t="str">
        <x:f>IF('Calculations'!EM501="","",IF(IFERROR(IF(INDEX(INDIRECT("'WCM Calibration Final'!$F$1:$F$2000"),'Calculations'!$EM501)="","",TRIM(INDEX(INDIRECT("'WCM Calibration Final'!$F$1:$F$2000"),'Calculations'!$EM501)&amp;"")),"")="","(Blank)",IFERROR(IF(INDEX(INDIRECT("'WCM Calibration Final'!$F$1:$F$2000"),'Calculations'!$EM501)="","",TRIM(INDEX(INDIRECT("'WCM Calibration Final'!$F$1:$F$2000"),'Calculations'!$EM501)&amp;"")),"")))</x:f>
      </x:c>
      <x:c r="HO501" t="str">
        <x:f>'Calculations'!HF501</x:f>
      </x:c>
      <x:c r="HP501" t="str">
        <x:f>IF('Calculations'!HO501="","",IF('Calculations'!HO501="!AMBIG","!AMBIG",IF(COUNTIF('Calculations'!$HE$13:$HE$512,"="&amp;SUBSTITUTE(SUBSTITUTE(SUBSTITUTE('Calculations'!HO501,"~","~~"),"*","~*"),"?","~?"))&gt;1,"!AMBIG",IFERROR(INDEX('Calculations'!$HF$13:$HF$512,MATCH('Calculations'!HO501,'Calculations'!$HE$13:$HE$512,0)),""))))</x:f>
      </x:c>
      <x:c r="HQ501" t="str">
        <x:f>IF('Calculations'!HP501="","",IF('Calculations'!HP501="!AMBIG","!AMBIG",IF(COUNTIF('Calculations'!$HE$13:$HE$512,"="&amp;SUBSTITUTE(SUBSTITUTE(SUBSTITUTE('Calculations'!HP501,"~","~~"),"*","~*"),"?","~?"))&gt;1,"!AMBIG",IFERROR(INDEX('Calculations'!$HF$13:$HF$512,MATCH('Calculations'!HP501,'Calculations'!$HE$13:$HE$512,0)),""))))</x:f>
      </x:c>
      <x:c r="HR501" t="str">
        <x:f>IF('Calculations'!HQ501="","",IF('Calculations'!HQ501="!AMBIG","!AMBIG",IF(COUNTIF('Calculations'!$HE$13:$HE$512,"="&amp;SUBSTITUTE(SUBSTITUTE(SUBSTITUTE('Calculations'!HQ501,"~","~~"),"*","~*"),"?","~?"))&gt;1,"!AMBIG",IFERROR(INDEX('Calculations'!$HF$13:$HF$512,MATCH('Calculations'!HQ501,'Calculations'!$HE$13:$HE$512,0)),""))))</x:f>
      </x:c>
      <x:c r="HS501" t="str">
        <x:f>IF('Calculations'!HR501="","",IF('Calculations'!HR501="!AMBIG","!AMBIG",IF(COUNTIF('Calculations'!$HE$13:$HE$512,"="&amp;SUBSTITUTE(SUBSTITUTE(SUBSTITUTE('Calculations'!HR501,"~","~~"),"*","~*"),"?","~?"))&gt;1,"!AMBIG",IFERROR(INDEX('Calculations'!$HF$13:$HF$512,MATCH('Calculations'!HR501,'Calculations'!$HE$13:$HE$512,0)),""))))</x:f>
      </x:c>
      <x:c r="HT501" t="str">
        <x:f>IF('Calculations'!HS501="","",IF('Calculations'!HS501="!AMBIG","!AMBIG",IF(COUNTIF('Calculations'!$HE$13:$HE$512,"="&amp;SUBSTITUTE(SUBSTITUTE(SUBSTITUTE('Calculations'!HS501,"~","~~"),"*","~*"),"?","~?"))&gt;1,"!AMBIG",IFERROR(INDEX('Calculations'!$HF$13:$HF$512,MATCH('Calculations'!HS501,'Calculations'!$HE$13:$HE$512,0)),""))))</x:f>
      </x:c>
      <x:c r="HU501" t="str">
        <x:f>IF('Calculations'!HT501="","",IF('Calculations'!HT501="!AMBIG","!AMBIG",IF(COUNTIF('Calculations'!$HE$13:$HE$512,"="&amp;SUBSTITUTE(SUBSTITUTE(SUBSTITUTE('Calculations'!HT501,"~","~~"),"*","~*"),"?","~?"))&gt;1,"!AMBIG",IFERROR(INDEX('Calculations'!$HF$13:$HF$512,MATCH('Calculations'!HT501,'Calculations'!$HE$13:$HE$512,0)),""))))</x:f>
      </x:c>
      <x:c r="HV501" t="str">
        <x:f>IF('Calculations'!HU501="","",IF('Calculations'!HU501="!AMBIG","!AMBIG",IF(COUNTIF('Calculations'!$HE$13:$HE$512,"="&amp;SUBSTITUTE(SUBSTITUTE(SUBSTITUTE('Calculations'!HU501,"~","~~"),"*","~*"),"?","~?"))&gt;1,"!AMBIG",IFERROR(INDEX('Calculations'!$HF$13:$HF$512,MATCH('Calculations'!HU501,'Calculations'!$HE$13:$HE$512,0)),""))))</x:f>
      </x:c>
      <x:c r="HW501" t="str">
        <x:f>IF('Calculations'!HV501="","",IF('Calculations'!HV501="!AMBIG","!AMBIG",IF(COUNTIF('Calculations'!$HE$13:$HE$512,"="&amp;SUBSTITUTE(SUBSTITUTE(SUBSTITUTE('Calculations'!HV501,"~","~~"),"*","~*"),"?","~?"))&gt;1,"!AMBIG",IFERROR(INDEX('Calculations'!$HF$13:$HF$512,MATCH('Calculations'!HV501,'Calculations'!$HE$13:$HE$512,0)),""))))</x:f>
      </x:c>
      <x:c r="HX501" t="str">
        <x:f>IF('Calculations'!HW501="","",IF('Calculations'!HW501="!AMBIG","!AMBIG",IF(COUNTIF('Calculations'!$HE$13:$HE$512,"="&amp;SUBSTITUTE(SUBSTITUTE(SUBSTITUTE('Calculations'!HW501,"~","~~"),"*","~*"),"?","~?"))&gt;1,"!AMBIG",IFERROR(INDEX('Calculations'!$HF$13:$HF$512,MATCH('Calculations'!HW501,'Calculations'!$HE$13:$HE$512,0)),""))))</x:f>
      </x:c>
      <x:c r="HY501" t="str">
        <x:f>IF('Calculations'!HX501="","",IF('Calculations'!HX501="!AMBIG","!AMBIG",IF(COUNTIF('Calculations'!$HE$13:$HE$512,"="&amp;SUBSTITUTE(SUBSTITUTE(SUBSTITUTE('Calculations'!HX501,"~","~~"),"*","~*"),"?","~?"))&gt;1,"!AMBIG",IFERROR(INDEX('Calculations'!$HF$13:$HF$512,MATCH('Calculations'!HX501,'Calculations'!$HE$13:$HE$512,0)),""))))</x:f>
      </x:c>
      <x:c r="HZ501" t="str">
        <x:f>IF('Calculations'!HY501="","",IF('Calculations'!HY501="!AMBIG","!AMBIG",IF(COUNTIF('Calculations'!$HE$13:$HE$512,"="&amp;SUBSTITUTE(SUBSTITUTE(SUBSTITUTE('Calculations'!HY501,"~","~~"),"*","~*"),"?","~?"))&gt;1,"!AMBIG",IFERROR(INDEX('Calculations'!$HF$13:$HF$512,MATCH('Calculations'!HY501,'Calculations'!$HE$13:$HE$512,0)),""))))</x:f>
      </x:c>
      <x:c r="IA501" t="str">
        <x:f>IF('Calculations'!HZ501="","",IF('Calculations'!HZ501="!AMBIG","!AMBIG",IF(COUNTIF('Calculations'!$HE$13:$HE$512,"="&amp;SUBSTITUTE(SUBSTITUTE(SUBSTITUTE('Calculations'!HZ501,"~","~~"),"*","~*"),"?","~?"))&gt;1,"!AMBIG",IFERROR(INDEX('Calculations'!$HF$13:$HF$512,MATCH('Calculations'!HZ501,'Calculations'!$HE$13:$HE$512,0)),""))))</x:f>
      </x:c>
      <x:c r="IB501" t="str">
        <x:f>IF('Calculations'!IA501="","",IF('Calculations'!IA501="!AMBIG","!AMBIG",IF(COUNTIF('Calculations'!$HE$13:$HE$512,"="&amp;SUBSTITUTE(SUBSTITUTE(SUBSTITUTE('Calculations'!IA501,"~","~~"),"*","~*"),"?","~?"))&gt;1,"!AMBIG",IFERROR(INDEX('Calculations'!$HF$13:$HF$512,MATCH('Calculations'!IA501,'Calculations'!$HE$13:$HE$512,0)),""))))</x:f>
      </x:c>
      <x:c r="IC501" t="str">
        <x:f>IF('Calculations'!IB501="","",IF('Calculations'!IB501="!AMBIG","!AMBIG",IF(COUNTIF('Calculations'!$HE$13:$HE$512,"="&amp;SUBSTITUTE(SUBSTITUTE(SUBSTITUTE('Calculations'!IB501,"~","~~"),"*","~*"),"?","~?"))&gt;1,"!AMBIG",IFERROR(INDEX('Calculations'!$HF$13:$HF$512,MATCH('Calculations'!IB501,'Calculations'!$HE$13:$HE$512,0)),""))))</x:f>
      </x:c>
      <x:c r="ID501" t="str">
        <x:f>IF('Calculations'!IC501="","",IF('Calculations'!IC501="!AMBIG","!AMBIG",IF(COUNTIF('Calculations'!$HE$13:$HE$512,"="&amp;SUBSTITUTE(SUBSTITUTE(SUBSTITUTE('Calculations'!IC501,"~","~~"),"*","~*"),"?","~?"))&gt;1,"!AMBIG",IFERROR(INDEX('Calculations'!$HF$13:$HF$512,MATCH('Calculations'!IC501,'Calculations'!$HE$13:$HE$512,0)),""))))</x:f>
      </x:c>
      <x:c r="IE501" t="str">
        <x:f>IF('Calculations'!ID501="","",IF('Calculations'!ID501="!AMBIG","!AMBIG",IF(COUNTIF('Calculations'!$HE$13:$HE$512,"="&amp;SUBSTITUTE(SUBSTITUTE(SUBSTITUTE('Calculations'!ID501,"~","~~"),"*","~*"),"?","~?"))&gt;1,"!AMBIG",IFERROR(INDEX('Calculations'!$HF$13:$HF$512,MATCH('Calculations'!ID501,'Calculations'!$HE$13:$HE$512,0)),""))))</x:f>
      </x:c>
      <x:c r="IF501" t="str">
        <x:f>IF('Calculations'!IE501="","",IF('Calculations'!IE501="!AMBIG","!AMBIG",IF(COUNTIF('Calculations'!$HE$13:$HE$512,"="&amp;SUBSTITUTE(SUBSTITUTE(SUBSTITUTE('Calculations'!IE501,"~","~~"),"*","~*"),"?","~?"))&gt;1,"!AMBIG",IFERROR(INDEX('Calculations'!$HF$13:$HF$512,MATCH('Calculations'!IE501,'Calculations'!$HE$13:$HE$512,0)),""))))</x:f>
      </x:c>
      <x:c r="IG501" t="str">
        <x:f>IF('Calculations'!IF501="","",IF('Calculations'!IF501="!AMBIG","!AMBIG",IF(COUNTIF('Calculations'!$HE$13:$HE$512,"="&amp;SUBSTITUTE(SUBSTITUTE(SUBSTITUTE('Calculations'!IF501,"~","~~"),"*","~*"),"?","~?"))&gt;1,"!AMBIG",IFERROR(INDEX('Calculations'!$HF$13:$HF$512,MATCH('Calculations'!IF501,'Calculations'!$HE$13:$HE$512,0)),""))))</x:f>
      </x:c>
      <x:c r="IH501" t="str">
        <x:f>IF('Calculations'!IG501="","",IF('Calculations'!IG501="!AMBIG","!AMBIG",IF(COUNTIF('Calculations'!$HE$13:$HE$512,"="&amp;SUBSTITUTE(SUBSTITUTE(SUBSTITUTE('Calculations'!IG501,"~","~~"),"*","~*"),"?","~?"))&gt;1,"!AMBIG",IFERROR(INDEX('Calculations'!$HF$13:$HF$512,MATCH('Calculations'!IG501,'Calculations'!$HE$13:$HE$512,0)),""))))</x:f>
      </x:c>
      <x:c r="II501" t="str">
        <x:f>IF('Calculations'!IH501="","",IF('Calculations'!IH501="!AMBIG","!AMBIG",IF(COUNTIF('Calculations'!$HE$13:$HE$512,"="&amp;SUBSTITUTE(SUBSTITUTE(SUBSTITUTE('Calculations'!IH501,"~","~~"),"*","~*"),"?","~?"))&gt;1,"!AMBIG",IFERROR(INDEX('Calculations'!$HF$13:$HF$512,MATCH('Calculations'!IH501,'Calculations'!$HE$13:$HE$512,0)),""))))</x:f>
      </x:c>
      <x:c r="IJ501" t="str">
        <x:f>IF('Calculations'!EM501="","",IF('Calculations'!$EF$2="All",'Calculations'!HM501,IF('Calculations'!HL501=1,"",IFERROR(IF(MATCH('Calculations'!$EF$2,'Calculations'!HO501:II501,0)=1,'Calculations'!HE501,INDEX('Calculations'!HO501:II501,1,MATCH('Calculations'!$EF$2,'Calculations'!HO501:II501,0)-1)),""))))</x:f>
      </x:c>
      <x:c r="IK501" t="n">
        <x:f>IF(AND('Calculations'!EM501&lt;&gt;"",'Calculations'!$EF$2&lt;&gt;"All",'Calculations'!HF501='Calculations'!$EF$2,'Calculations'!HL501=0,'Calculations'!JD501&gt;0),MAX('Calculations'!$IK$12:IK500)+1,0)</x:f>
        <x:v>0</x:v>
      </x:c>
      <x:c r="JA501" t="n">
        <x:f>IF(OR(IFERROR(INDIRECT("'WCM Calibration Final'!$A$501")&lt;&gt;"",FALSE),IFERROR(INDIRECT("'WCM Calibration Final'!$B$501")&lt;&gt;"",FALSE),IFERROR(INDIRECT("'WCM Calibration Final'!$C$501")&lt;&gt;"",FALSE)),501,0)</x:f>
        <x:v>0</x:v>
      </x:c>
      <x:c r="JB501" t="n">
        <x:f>'Calculations'!JB500+IF('Calculations'!JA501&gt;0,1,0)</x:f>
        <x:v>0</x:v>
      </x:c>
      <x:c r="JC501" t="n">
        <x:f>IF(OR('Calculations'!HF501="",'Calculations'!HF501="!AMBIG"),0,IF('Dashboard'!$B$7="All",1,COUNTIFS('Calculations'!$HO$13:$HO$512,"="&amp;SUBSTITUTE(SUBSTITUTE(SUBSTITUTE('Calculations'!HF501,"~","~~"),"*","~*"),"?","~?"),'Calculations'!$HN$13:$HN$512,"="&amp;SUBSTITUTE(SUBSTITUTE(SUBSTITUTE('Dashboard'!$B$7,"~","~~"),"*","~*"),"?","~?"))+COUNTIFS('Calculations'!$HP$13:$HP$512,"="&amp;SUBSTITUTE(SUBSTITUTE(SUBSTITUTE('Calculations'!HF501,"~","~~"),"*","~*"),"?","~?"),'Calculations'!$HN$13:$HN$512,"="&amp;SUBSTITUTE(SUBSTITUTE(SUBSTITUTE('Dashboard'!$B$7,"~","~~"),"*","~*"),"?","~?"))+COUNTIFS('Calculations'!$HQ$13:$HQ$512,"="&amp;SUBSTITUTE(SUBSTITUTE(SUBSTITUTE('Calculations'!HF501,"~","~~"),"*","~*"),"?","~?"),'Calculations'!$HN$13:$HN$512,"="&amp;SUBSTITUTE(SUBSTITUTE(SUBSTITUTE('Dashboard'!$B$7,"~","~~"),"*","~*"),"?","~?"))+COUNTIFS('Calculations'!$HR$13:$HR$512,"="&amp;SUBSTITUTE(SUBSTITUTE(SUBSTITUTE('Calculations'!HF501,"~","~~"),"*","~*"),"?","~?"),'Calculations'!$HN$13:$HN$512,"="&amp;SUBSTITUTE(SUBSTITUTE(SUBSTITUTE('Dashboard'!$B$7,"~","~~"),"*","~*"),"?","~?"))+COUNTIFS('Calculations'!$HS$13:$HS$512,"="&amp;SUBSTITUTE(SUBSTITUTE(SUBSTITUTE('Calculations'!HF501,"~","~~"),"*","~*"),"?","~?"),'Calculations'!$HN$13:$HN$512,"="&amp;SUBSTITUTE(SUBSTITUTE(SUBSTITUTE('Dashboard'!$B$7,"~","~~"),"*","~*"),"?","~?"))+COUNTIFS('Calculations'!$HT$13:$HT$512,"="&amp;SUBSTITUTE(SUBSTITUTE(SUBSTITUTE('Calculations'!HF501,"~","~~"),"*","~*"),"?","~?"),'Calculations'!$HN$13:$HN$512,"="&amp;SUBSTITUTE(SUBSTITUTE(SUBSTITUTE('Dashboard'!$B$7,"~","~~"),"*","~*"),"?","~?"))+COUNTIFS('Calculations'!$HU$13:$HU$512,"="&amp;SUBSTITUTE(SUBSTITUTE(SUBSTITUTE('Calculations'!HF501,"~","~~"),"*","~*"),"?","~?"),'Calculations'!$HN$13:$HN$512,"="&amp;SUBSTITUTE(SUBSTITUTE(SUBSTITUTE('Dashboard'!$B$7,"~","~~"),"*","~*"),"?","~?"))+COUNTIFS('Calculations'!$HV$13:$HV$512,"="&amp;SUBSTITUTE(SUBSTITUTE(SUBSTITUTE('Calculations'!HF501,"~","~~"),"*","~*"),"?","~?"),'Calculations'!$HN$13:$HN$512,"="&amp;SUBSTITUTE(SUBSTITUTE(SUBSTITUTE('Dashboard'!$B$7,"~","~~"),"*","~*"),"?","~?"))+COUNTIFS('Calculations'!$HW$13:$HW$512,"="&amp;SUBSTITUTE(SUBSTITUTE(SUBSTITUTE('Calculations'!HF501,"~","~~"),"*","~*"),"?","~?"),'Calculations'!$HN$13:$HN$512,"="&amp;SUBSTITUTE(SUBSTITUTE(SUBSTITUTE('Dashboard'!$B$7,"~","~~"),"*","~*"),"?","~?"))+COUNTIFS('Calculations'!$HX$13:$HX$512,"="&amp;SUBSTITUTE(SUBSTITUTE(SUBSTITUTE('Calculations'!HF501,"~","~~"),"*","~*"),"?","~?"),'Calculations'!$HN$13:$HN$512,"="&amp;SUBSTITUTE(SUBSTITUTE(SUBSTITUTE('Dashboard'!$B$7,"~","~~"),"*","~*"),"?","~?"))+COUNTIFS('Calculations'!$HY$13:$HY$512,"="&amp;SUBSTITUTE(SUBSTITUTE(SUBSTITUTE('Calculations'!HF501,"~","~~"),"*","~*"),"?","~?"),'Calculations'!$HN$13:$HN$512,"="&amp;SUBSTITUTE(SUBSTITUTE(SUBSTITUTE('Dashboard'!$B$7,"~","~~"),"*","~*"),"?","~?"))+COUNTIFS('Calculations'!$HZ$13:$HZ$512,"="&amp;SUBSTITUTE(SUBSTITUTE(SUBSTITUTE('Calculations'!HF501,"~","~~"),"*","~*"),"?","~?"),'Calculations'!$HN$13:$HN$512,"="&amp;SUBSTITUTE(SUBSTITUTE(SUBSTITUTE('Dashboard'!$B$7,"~","~~"),"*","~*"),"?","~?"))+COUNTIFS('Calculations'!$IA$13:$IA$512,"="&amp;SUBSTITUTE(SUBSTITUTE(SUBSTITUTE('Calculations'!HF501,"~","~~"),"*","~*"),"?","~?"),'Calculations'!$HN$13:$HN$512,"="&amp;SUBSTITUTE(SUBSTITUTE(SUBSTITUTE('Dashboard'!$B$7,"~","~~"),"*","~*"),"?","~?"))+COUNTIFS('Calculations'!$IB$13:$IB$512,"="&amp;SUBSTITUTE(SUBSTITUTE(SUBSTITUTE('Calculations'!HF501,"~","~~"),"*","~*"),"?","~?"),'Calculations'!$HN$13:$HN$512,"="&amp;SUBSTITUTE(SUBSTITUTE(SUBSTITUTE('Dashboard'!$B$7,"~","~~"),"*","~*"),"?","~?"))+COUNTIFS('Calculations'!$IC$13:$IC$512,"="&amp;SUBSTITUTE(SUBSTITUTE(SUBSTITUTE('Calculations'!HF501,"~","~~"),"*","~*"),"?","~?"),'Calculations'!$HN$13:$HN$512,"="&amp;SUBSTITUTE(SUBSTITUTE(SUBSTITUTE('Dashboard'!$B$7,"~","~~"),"*","~*"),"?","~?"))+COUNTIFS('Calculations'!$ID$13:$ID$512,"="&amp;SUBSTITUTE(SUBSTITUTE(SUBSTITUTE('Calculations'!HF501,"~","~~"),"*","~*"),"?","~?"),'Calculations'!$HN$13:$HN$512,"="&amp;SUBSTITUTE(SUBSTITUTE(SUBSTITUTE('Dashboard'!$B$7,"~","~~"),"*","~*"),"?","~?"))+COUNTIFS('Calculations'!$IE$13:$IE$512,"="&amp;SUBSTITUTE(SUBSTITUTE(SUBSTITUTE('Calculations'!HF501,"~","~~"),"*","~*"),"?","~?"),'Calculations'!$HN$13:$HN$512,"="&amp;SUBSTITUTE(SUBSTITUTE(SUBSTITUTE('Dashboard'!$B$7,"~","~~"),"*","~*"),"?","~?"))+COUNTIFS('Calculations'!$IF$13:$IF$512,"="&amp;SUBSTITUTE(SUBSTITUTE(SUBSTITUTE('Calculations'!HF501,"~","~~"),"*","~*"),"?","~?"),'Calculations'!$HN$13:$HN$512,"="&amp;SUBSTITUTE(SUBSTITUTE(SUBSTITUTE('Dashboard'!$B$7,"~","~~"),"*","~*"),"?","~?"))+COUNTIFS('Calculations'!$IG$13:$IG$512,"="&amp;SUBSTITUTE(SUBSTITUTE(SUBSTITUTE('Calculations'!HF501,"~","~~"),"*","~*"),"?","~?"),'Calculations'!$HN$13:$HN$512,"="&amp;SUBSTITUTE(SUBSTITUTE(SUBSTITUTE('Dashboard'!$B$7,"~","~~"),"*","~*"),"?","~?"))+COUNTIFS('Calculations'!$IH$13:$IH$512,"="&amp;SUBSTITUTE(SUBSTITUTE(SUBSTITUTE('Calculations'!HF501,"~","~~"),"*","~*"),"?","~?"),'Calculations'!$HN$13:$HN$512,"="&amp;SUBSTITUTE(SUBSTITUTE(SUBSTITUTE('Dashboard'!$B$7,"~","~~"),"*","~*"),"?","~?"))))</x:f>
        <x:v>0</x:v>
      </x:c>
      <x:c r="JD501" t="n">
        <x:f>IF('Calculations'!EM501="",0,IF('Dashboard'!$B$7="All",1,IF('Calculations'!HN501='Dashboard'!$B$7,1,0)+IFERROR(INDEX('Calculations'!$JC$13:$JC$512,MATCH('Calculations'!HE501,'Calculations'!$HF$13:$HF$512,0)),0)))</x:f>
        <x:v>0</x:v>
      </x:c>
      <x:c r="JE501" t="n">
        <x:f>IF(AND('Calculations'!EM501&lt;&gt;"",'Calculations'!$JJ$2&lt;&gt;"All",'Calculations'!$JJ$2&lt;&gt;"",'Calculations'!HF501='Calculations'!$JJ$2,'Calculations'!HL501=0,'Calculations'!JD501&gt;0),MAX('Calculations'!$JE$12:JE500)+1,0)</x:f>
        <x:v>0</x:v>
      </x:c>
      <x:c r="JF501" t="str">
        <x:f>IF('Calculations'!EM501="","",IFERROR(IF(INDEX(INDIRECT("'WCM Calibration Final'!$G$1:$G$2000"),'Calculations'!$EM501)="","",TRIM(INDEX(INDIRECT("'WCM Calibration Final'!$G$1:$G$2000"),'Calculations'!$EM501)&amp;"")),""))</x:f>
      </x:c>
      <x:c r="JQ501" t="n">
        <x:f>IF(OR('Calculations'!BM501=0,NOT('Calculations'!$AG$2),'Calculations'!$AG$8&gt;0),0,IF(OR('Dashboard'!$B$7="All",'Calculations'!HN501='Dashboard'!$B$7),IF('Calculations'!$JJ$2="All",1,IF(AND('Calculations'!HF501='Calculations'!$JJ$2,'Calculations'!HL501=0),1,0)),0))</x:f>
        <x:v>0</x:v>
      </x:c>
    </x:row>
    <x:row r="502">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t="n">
        <x:f>IF('Calculations'!$EM502="",0,IF(OR(IFERROR(INDEX(INDIRECT("'WCM Calibration Final'!$A$1:$A$2000"),'Calculations'!$EM502)&lt;&gt;"",FALSE),IFERROR(INDEX(INDIRECT("'WCM Calibration Final'!$B$1:$B$2000"),'Calculations'!$EM502)&lt;&gt;"",FALSE),IFERROR(INDEX(INDIRECT("'WCM Calibration Final'!$C$1:$C$2000"),'Calculations'!$EM502)&lt;&gt;"",FALSE)),1,0))</x:f>
        <x:v>0</x:v>
      </x:c>
      <x:c r="BN502" s="4" t="n">
        <x:f>IF(AND('Calculations'!BM502=1,'Calculations'!$AG$2,'Calculations'!$EN502=1),1,0)</x:f>
        <x:v>0</x:v>
      </x:c>
      <x:c r="BO502" s="4" t="str">
        <x:f>IF('Calculations'!BM502=0,"",IFERROR(IF(AND(VALUE(INDEX(INDIRECT("'WCM Calibration Final'!$K$1:$K$2000"),'Calculations'!$EM502))&gt;=1,VALUE(INDEX(INDIRECT("'WCM Calibration Final'!$K$1:$K$2000"),'Calculations'!$EM502))&lt;=4,MOD(VALUE(INDEX(INDIRECT("'WCM Calibration Final'!$K$1:$K$2000"),'Calculations'!$EM502)),1)=0),VALUE(INDEX(INDIRECT("'WCM Calibration Final'!$K$1:$K$2000"),'Calculations'!$EM502)),""),""))</x:f>
      </x:c>
      <x:c r="BP502" s="4" t="str">
        <x:f>IF('Calculations'!BM502=0,"",IFERROR(IF(AND(VALUE(INDEX(INDIRECT("'WCM Calibration Final'!$L$1:$L$2000"),'Calculations'!$EM502))&gt;=1,VALUE(INDEX(INDIRECT("'WCM Calibration Final'!$L$1:$L$2000"),'Calculations'!$EM502))&lt;=4,MOD(VALUE(INDEX(INDIRECT("'WCM Calibration Final'!$L$1:$L$2000"),'Calculations'!$EM502)),1)=0),VALUE(INDEX(INDIRECT("'WCM Calibration Final'!$L$1:$L$2000"),'Calculations'!$EM502)),""),""))</x:f>
      </x:c>
      <x:c r="BQ502" s="4"/>
      <x:c r="BR502" s="4"/>
      <x:c r="BS502" s="4"/>
      <x:c r="BT502" s="4" t="n">
        <x:f>IF(AND('Calculations'!BM502=1,ISNUMBER('Calculations'!BO502),ISNUMBER('Calculations'!BP502)),1,0)</x:f>
        <x:v>0</x:v>
      </x:c>
      <x:c r="BU502" s="4" t="str">
        <x:f>IF('Calculations'!BM502=0,"",'Calculations'!$EO502)</x:f>
      </x:c>
      <x:c r="BV502" s="4" t="str">
        <x:f>IF('Calculations'!BM502=0,"",IFERROR(IF(OR(INDEX(INDIRECT("'WCM Calibration Final'!$H$1:$H$2000"),'Calculations'!$EM502)="MANAGING DIRECTOR",INDEX(INDIRECT("'WCM Calibration Final'!$H$1:$H$2000"),'Calculations'!$EM502)="DIRECTOR",INDEX(INDIRECT("'WCM Calibration Final'!$H$1:$H$2000"),'Calculations'!$EM502)="SENIOR VICE PRESIDENT",INDEX(INDIRECT("'WCM Calibration Final'!$H$1:$H$2000"),'Calculations'!$EM502)="VICE PRESIDENT",INDEX(INDIRECT("'WCM Calibration Final'!$H$1:$H$2000"),'Calculations'!$EM502)="ASSISTANT VICE PRESIDENT",INDEX(INDIRECT("'WCM Calibration Final'!$H$1:$H$2000"),'Calculations'!$EM502)="OFFICER"),UPPER(INDEX(INDIRECT("'WCM Calibration Final'!$H$1:$H$2000"),'Calculations'!$EM502)),"Other"),"Other"))</x:f>
      </x:c>
      <x:c r="BW502" s="4"/>
      <x:c r="BX502" s="4"/>
      <x:c r="BY502" s="4" t="n">
        <x:f>IF(AND('Calculations'!BM502=1,'Calculations'!BU502&lt;&gt;"",COUNTIF('Calculations'!$BU$12:BU502,'Calculations'!BU502)=1),MAX('Calculations'!$BY$11:BY501)+1,0)</x:f>
        <x:v>0</x:v>
      </x:c>
      <x:c r="BZ502" s="4" t="str">
        <x:f>IF('Dashboard'!$E$67="What",'Calculations'!BO502,'Calculations'!BP502)</x:f>
      </x:c>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t="str">
        <x:f>IF(491&gt;MAX('Calculations'!$HI$13:$HI$512),"",INDEX('Calculations'!$HN$13:$HN$512,MATCH(491,'Calculations'!$HI$13:$HI$512,0)))</x:f>
      </x:c>
      <x:c r="DB502" s="4" t="str">
        <x:f>IF(491&gt;MAX('Calculations'!$HH$13:$HH$512),"",INDEX('Calculations'!$HJ$13:$HJ$512,MATCH(491,'Calculations'!$HH$13:$HH$512,0)))</x:f>
      </x:c>
      <x:c r="DC502" s="4" t="str">
        <x:f>IF(ROW()-11&gt;MAX('Calculations'!$BY$13:$BY$512),"",INDEX('Calculations'!$BU$13:$BU$512,MATCH(ROW()-11,'Calculations'!$BY$13:$BY$512,0)))</x:f>
      </x:c>
      <x:c r="DD502" s="4" t="str">
        <x:f>IF(491&gt;MAX('Calculations'!$IK$13:$IK$512),"",INDEX('Calculations'!$HK$13:$HK$512,MATCH(491,'Calculations'!$IK$13:$IK$512,0)))</x:f>
      </x:c>
      <x:c r="DE502" s="4" t="str">
        <x:f>'Calculations'!DC502</x:f>
      </x:c>
      <x:c r="DF502" s="4" t="str">
        <x:f>IF('Calculations'!DE502="","",COUNTIFS('Calculations'!$BN$13:$BN$512,1,'Calculations'!$BU$13:$BU$512,'Calculations'!DE502))</x:f>
      </x:c>
      <x:c r="DG502" s="4" t="str">
        <x:f>IF('Calculations'!DE502="","",COUNTIFS('Calculations'!$BN$13:$BN$512,1,'Calculations'!$BU$13:$BU$512,'Calculations'!DE502,'Calculations'!$BT$13:$BT$512,1))</x:f>
      </x:c>
      <x:c r="DH502" s="4" t="str">
        <x:f>IF('Calculations'!DE502="","",'Calculations'!DF502-'Calculations'!DG502)</x:f>
      </x:c>
      <x:c r="DI502" s="4" t="str">
        <x:f>IF(OR('Calculations'!DE502="",'Calculations'!DF502=0),"",'Calculations'!DG502/'Calculations'!DF502)</x:f>
      </x:c>
      <x:c r="DJ502" s="4" t="str">
        <x:f>IF('Calculations'!DE502="","",COUNTIFS('Calculations'!$BN$13:$BN$512,1,'Calculations'!$BU$13:$BU$512,'Calculations'!DE502,'Calculations'!$BT$13:$BT$512,1,'Calculations'!$EE$13:$EE$512,"High"))</x:f>
      </x:c>
      <x:c r="DK502" s="4" t="str">
        <x:f>IF('Calculations'!DE502="","",COUNTIFS('Calculations'!$BN$13:$BN$512,1,'Calculations'!$BU$13:$BU$512,'Calculations'!DE502,'Calculations'!$BT$13:$BT$512,1,'Calculations'!$EE$13:$EE$512,"Strong"))</x:f>
      </x:c>
      <x:c r="DL502" s="4" t="str">
        <x:f>IF('Calculations'!DE502="","",COUNTIFS('Calculations'!$BN$13:$BN$512,1,'Calculations'!$BU$13:$BU$512,'Calculations'!DE502,'Calculations'!$BT$13:$BT$512,1,'Calculations'!$EE$13:$EE$512,"Solid"))</x:f>
      </x:c>
      <x:c r="DM502" s="4" t="str">
        <x:f>IF('Calculations'!DE502="","",COUNTIFS('Calculations'!$BN$13:$BN$512,1,'Calculations'!$BU$13:$BU$512,'Calculations'!DE502,'Calculations'!$BT$13:$BT$512,1,'Calculations'!$EE$13:$EE$512,"Low"))</x:f>
      </x:c>
      <x:c r="DN502" s="4" t="str">
        <x:f>IF('Calculations'!DE502="","",COUNTIFS('Calculations'!$BN$13:$BN$512,1,'Calculations'!$BU$13:$BU$512,'Calculations'!DE502,'Calculations'!$EP$13:$EP$512,1))</x:f>
      </x:c>
      <x:c r="DO502" s="4" t="str">
        <x:f>IF(OR('Calculations'!DE502="",'Calculations'!DG502=0),"",('Calculations'!DJ502+'Calculations'!DK502)/'Calculations'!DG502)</x:f>
      </x:c>
      <x:c r="DP502" s="4" t="n">
        <x:f>IF(AND('Calculations'!DE502&lt;&gt;"",'Calculations'!DF502&gt;0),COUNTIF('Calculations'!$DF$12:DF502,"&gt;0"),0)</x:f>
        <x:v>0</x:v>
      </x:c>
      <x:c r="DQ502" s="4" t="str">
        <x:f>IF(491&gt;MAX('Calculations'!$HH$13:$HH$512),"",INDEX('Calculations'!$HF$13:$HF$512,MATCH(491,'Calculations'!$HH$13:$HH$512,0)))</x:f>
      </x:c>
      <x:c r="DR502" s="4" t="str">
        <x:f>IF(491&gt;MAX('Calculations'!$IK$13:$IK$512),"",INDEX('Calculations'!$HE$13:$HE$512,MATCH(491,'Calculations'!$IK$13:$IK$512,0)))</x:f>
      </x:c>
      <x:c r="DS502" s="4"/>
      <x:c r="DT502" s="4"/>
      <x:c r="DU502" s="4"/>
      <x:c r="DV502" s="4"/>
      <x:c r="DW502" s="4"/>
      <x:c r="DX502" s="4"/>
      <x:c r="DY502" s="4"/>
      <x:c r="DZ502" s="4"/>
      <x:c r="EA502" s="4"/>
      <x:c r="EB502" s="4"/>
      <x:c r="EC502" s="4"/>
      <x:c r="ED502" s="4"/>
      <x:c r="EE502" s="4" t="str">
        <x:f>IF('Calculations'!BT502=0,"Not Rated",IF(OR('Calculations'!BO502&gt;=4,'Calculations'!BP502&gt;=4),"Low",IF('Calculations'!BO502+'Calculations'!BP502&lt;=3,"High",IF('Calculations'!BO502+'Calculations'!BP502&lt;=4,"Strong","Solid"))))</x:f>
        <x:v>Not Rated</x:v>
      </x:c>
      <x:c r="EF502" s="4"/>
      <x:c r="EG502" s="4"/>
      <x:c r="EH502" s="4"/>
      <x:c r="EI502" s="4"/>
      <x:c r="EJ502" s="4"/>
      <x:c r="EK502" s="4"/>
      <x:c r="EL502" s="4"/>
      <x:c r="EM502" s="4" t="str">
        <x:f>IF(490&gt;'Calculations'!$JB$2000,"",INDEX('Calculations'!$JA$12:$JA$2000,MATCH(490,'Calculations'!$JB$12:$JB$2000,0)))</x:f>
      </x:c>
      <x:c r="EN502" s="4" t="n">
        <x:f>IF(OR('Calculations'!EM502="",'Calculations'!$AG$8&gt;0,AND('Calculations'!$EF$2&lt;&gt;"All",'Calculations'!HE502='Calculations'!$EF$2),AND('Calculations'!$EF$3&lt;&gt;"All",'Calculations'!HE502='Calculations'!$EF$3)),0,IF(OR('Dashboard'!$B$7="All",'Calculations'!HN502='Dashboard'!$B$7),IF('Calculations'!$EF$2="All",1,IF('Calculations'!HL502&gt;0,0,IF(COUNTIF('Calculations'!HO502:II502,"="&amp;SUBSTITUTE(SUBSTITUTE(SUBSTITUTE('Calculations'!$EF$2,"~","~~"),"*","~*"),"?","~?"))=0,0,IF('Calculations'!$EF$3="All",1,IF(COUNTIF('Calculations'!HO502:II502,"="&amp;SUBSTITUTE(SUBSTITUTE(SUBSTITUTE('Calculations'!$EF$3,"~","~~"),"*","~*"),"?","~?"))&gt;0,1,0))))),0))</x:f>
        <x:v>0</x:v>
      </x:c>
      <x:c r="EO502" s="4" t="str">
        <x:f>IF('Calculations'!IJ502="","",IF('Calculations'!IJ502="!UNRESOLVED","Unresolved hierarchy",IFERROR(INDEX('Calculations'!$HK$13:$HK$512,MATCH('Calculations'!IJ502,'Calculations'!$HE$13:$HE$512,0)),IFERROR(INDEX('Calculations'!$HJ$13:$HJ$512,MATCH('Calculations'!IJ502,'Calculations'!$HF$13:$HF$512,0)),'Calculations'!IJ502))))</x:f>
      </x:c>
      <x:c r="EP502" s="4" t="n">
        <x:f>IF(AND('Calculations'!EM502&lt;&gt;"",'Calculations'!HF502='Calculations'!IJ502),1,0)</x:f>
        <x:v>0</x:v>
      </x:c>
      <x:c r="EQ502" s="4"/>
      <x:c r="ER502" s="4"/>
      <x:c r="ES502" s="4"/>
      <x:c r="ET502" s="4"/>
      <x:c r="EU502" s="4"/>
      <x:c r="EV502" s="4"/>
      <x:c r="EW502" s="4"/>
      <x:c r="EX502" s="4"/>
      <x:c r="EY502" s="4"/>
      <x:c r="EZ502" s="4"/>
      <x:c r="FA502" s="4"/>
      <x:c r="FB502" s="4"/>
      <x:c r="FC502" s="4"/>
      <x:c r="FD502" s="4"/>
      <x:c r="FE502" s="4"/>
      <x:c r="FF502" s="4"/>
      <x:c r="FG502" s="4"/>
      <x:c r="FH502" s="4"/>
      <x:c r="FI502" s="4"/>
      <x:c r="FJ502" s="4"/>
      <x:c r="FK502" s="4"/>
      <x:c r="FL502" s="4"/>
      <x:c r="FM502" s="4"/>
      <x:c r="FN502" s="4"/>
      <x:c r="FO502" s="4"/>
      <x:c r="HE502" t="str">
        <x:f>IF('Calculations'!EM502="","",IF(IFERROR(IF(INDEX(INDIRECT("'WCM Calibration Final'!$A$1:$A$2000"),'Calculations'!$EM502)="","",TRIM(INDEX(INDIRECT("'WCM Calibration Final'!$A$1:$A$2000"),'Calculations'!$EM502)&amp;"")),"")&lt;&gt;"","G:"&amp;IFERROR(TEXT(1*INDEX(INDIRECT("'WCM Calibration Final'!$A$1:$A$2000"),'Calculations'!$EM502),"0"),UPPER(IFERROR(IF(INDEX(INDIRECT("'WCM Calibration Final'!$A$1:$A$2000"),'Calculations'!$EM502)="","",TRIM(INDEX(INDIRECT("'WCM Calibration Final'!$A$1:$A$2000"),'Calculations'!$EM502)&amp;"")),""))),IF(IFERROR(IF(INDEX(INDIRECT("'WCM Calibration Final'!$C$1:$C$2000"),'Calculations'!$EM502)="","",TRIM(INDEX(INDIRECT("'WCM Calibration Final'!$C$1:$C$2000"),'Calculations'!$EM502)&amp;"")),"")&lt;&gt;"","S:"&amp;UPPER(IFERROR(IF(INDEX(INDIRECT("'WCM Calibration Final'!$C$1:$C$2000"),'Calculations'!$EM502)="","",TRIM(INDEX(INDIRECT("'WCM Calibration Final'!$C$1:$C$2000"),'Calculations'!$EM502)&amp;"")),"")),"R:"&amp;'Calculations'!EM502)))</x:f>
      </x:c>
      <x:c r="HF502" t="str">
        <x:f>IF('Calculations'!EM502="","",IF(IFERROR(IF(INDEX(INDIRECT("'WCM Calibration Final'!$D$1:$D$2000"),'Calculations'!$EM502)="","",TRIM(INDEX(INDIRECT("'WCM Calibration Final'!$D$1:$D$2000"),'Calculations'!$EM502)&amp;"")),"")&lt;&gt;"","G:"&amp;IFERROR(TEXT(1*INDEX(INDIRECT("'WCM Calibration Final'!$D$1:$D$2000"),'Calculations'!$EM502),"0"),UPPER(IFERROR(IF(INDEX(INDIRECT("'WCM Calibration Final'!$D$1:$D$2000"),'Calculations'!$EM502)="","",TRIM(INDEX(INDIRECT("'WCM Calibration Final'!$D$1:$D$2000"),'Calculations'!$EM502)&amp;"")),""))),IF(IFERROR(IF(INDEX(INDIRECT("'WCM Calibration Final'!$E$1:$E$2000"),'Calculations'!$EM502)="","",TRIM(INDEX(INDIRECT("'WCM Calibration Final'!$E$1:$E$2000"),'Calculations'!$EM502)&amp;"")),"")="","",IF(COUNTIF('Calculations'!$HG$13:$HG$512,"="&amp;SUBSTITUTE(SUBSTITUTE(SUBSTITUTE(IFERROR(IF(INDEX(INDIRECT("'WCM Calibration Final'!$E$1:$E$2000"),'Calculations'!$EM502)="","",TRIM(INDEX(INDIRECT("'WCM Calibration Final'!$E$1:$E$2000"),'Calculations'!$EM502)&amp;"")),""),"~","~~"),"*","~*"),"?","~?"))=1,INDEX('Calculations'!$HE$13:$HE$512,MATCH(IFERROR(IF(INDEX(INDIRECT("'WCM Calibration Final'!$E$1:$E$2000"),'Calculations'!$EM502)="","",TRIM(INDEX(INDIRECT("'WCM Calibration Final'!$E$1:$E$2000"),'Calculations'!$EM502)&amp;"")),""),'Calculations'!$HG$13:$HG$512,0)),IF(COUNTIF('Calculations'!$HG$13:$HG$512,"="&amp;SUBSTITUTE(SUBSTITUTE(SUBSTITUTE(IFERROR(IF(INDEX(INDIRECT("'WCM Calibration Final'!$E$1:$E$2000"),'Calculations'!$EM502)="","",TRIM(INDEX(INDIRECT("'WCM Calibration Final'!$E$1:$E$2000"),'Calculations'!$EM502)&amp;"")),""),"~","~~"),"*","~*"),"?","~?"))&gt;1,"!AMBIG","X:"&amp;IFERROR(IF(INDEX(INDIRECT("'WCM Calibration Final'!$E$1:$E$2000"),'Calculations'!$EM502)="","",TRIM(INDEX(INDIRECT("'WCM Calibration Final'!$E$1:$E$2000"),'Calculations'!$EM502)&amp;"")),""))))))</x:f>
      </x:c>
      <x:c r="HG502" t="str">
        <x:f>IF('Calculations'!EM502="","",IFERROR(IF(INDEX(INDIRECT("'WCM Calibration Final'!$B$1:$B$2000"),'Calculations'!$EM502)="","",TRIM(INDEX(INDIRECT("'WCM Calibration Final'!$B$1:$B$2000"),'Calculations'!$EM502)&amp;"")),""))</x:f>
      </x:c>
      <x:c r="HH502" t="n">
        <x:f>IF(AND('Calculations'!JC502&gt;0,COUNTIF('Calculations'!$HF$12:HF502,"="&amp;SUBSTITUTE(SUBSTITUTE(SUBSTITUTE('Calculations'!HF502,"~","~~"),"*","~*"),"?","~?"))=1),MAX('Calculations'!$HH$12:HH501)+1,0)</x:f>
        <x:v>0</x:v>
      </x:c>
      <x:c r="HI502" t="n">
        <x:f>IF(AND('Calculations'!HN502&lt;&gt;"",COUNTIF('Calculations'!$HN$12:HN502,"="&amp;SUBSTITUTE(SUBSTITUTE(SUBSTITUTE('Calculations'!HN502,"~","~~"),"*","~*"),"?","~?"))=1),MAX('Calculations'!$HI$12:HI501)+1,0)</x:f>
        <x:v>0</x:v>
      </x:c>
      <x:c r="HJ502" t="str">
        <x:f>IF('Calculations'!HF502="","",IF(COUNTIF('Calculations'!$HE$13:$HE$512,"="&amp;SUBSTITUTE(SUBSTITUTE(SUBSTITUTE('Calculations'!HF502,"~","~~"),"*","~*"),"?","~?"))=1,INDEX('Calculations'!$HK$13:$HK$512,MATCH('Calculations'!HF502,'Calculations'!$HE$13:$HE$512,0)),IFERROR(IF(INDEX(INDIRECT("'WCM Calibration Final'!$E$1:$E$2000"),'Calculations'!$EM502)="","",TRIM(INDEX(INDIRECT("'WCM Calibration Final'!$E$1:$E$2000"),'Calculations'!$EM502)&amp;"")),"")&amp;" ["&amp;'Calculations'!HF502&amp;"]"))</x:f>
      </x:c>
      <x:c r="HK502" t="str">
        <x:f>IF('Calculations'!EM502="","",'Calculations'!HG502&amp;" ["&amp;'Calculations'!HE502&amp;"]")</x:f>
      </x:c>
      <x:c r="HL502" t="n">
        <x:f>IF('Calculations'!EM502="",0,IF(OR('Calculations'!II502&lt;&gt;"",COUNTIF('Calculations'!$HE$13:$HE$512,"="&amp;SUBSTITUTE(SUBSTITUTE(SUBSTITUTE('Calculations'!HE502,"~","~~"),"*","~*"),"?","~?"))&gt;1),1,0))</x:f>
        <x:v>0</x:v>
      </x:c>
      <x:c r="HM502" t="str">
        <x:f>IF('Calculations'!EM502="","",IF('Calculations'!HL502=1,"!UNRESOLVED",IF('Calculations'!IH502&lt;&gt;"",'Calculations'!IH502,IF('Calculations'!IG502&lt;&gt;"",'Calculations'!IG502,IF('Calculations'!IF502&lt;&gt;"",'Calculations'!IF502,IF('Calculations'!IE502&lt;&gt;"",'Calculations'!IE502,IF('Calculations'!ID502&lt;&gt;"",'Calculations'!ID502,IF('Calculations'!IC502&lt;&gt;"",'Calculations'!IC502,IF('Calculations'!IB502&lt;&gt;"",'Calculations'!IB502,IF('Calculations'!IA502&lt;&gt;"",'Calculations'!IA502,IF('Calculations'!HZ502&lt;&gt;"",'Calculations'!HZ502,IF('Calculations'!HY502&lt;&gt;"",'Calculations'!HY502,IF('Calculations'!HX502&lt;&gt;"",'Calculations'!HX502,IF('Calculations'!HW502&lt;&gt;"",'Calculations'!HW502,IF('Calculations'!HV502&lt;&gt;"",'Calculations'!HV502,IF('Calculations'!HU502&lt;&gt;"",'Calculations'!HU502,IF('Calculations'!HT502&lt;&gt;"",'Calculations'!HT502,IF('Calculations'!HS502&lt;&gt;"",'Calculations'!HS502,IF('Calculations'!HR502&lt;&gt;"",'Calculations'!HR502,IF('Calculations'!HQ502&lt;&gt;"",'Calculations'!HQ502,IF('Calculations'!HP502&lt;&gt;"",'Calculations'!HP502,IF('Calculations'!HO502&lt;&gt;"",'Calculations'!HO502,'Calculations'!HE502))))))))))))))))))))))</x:f>
      </x:c>
      <x:c r="HN502" t="str">
        <x:f>IF('Calculations'!EM502="","",IF(IFERROR(IF(INDEX(INDIRECT("'WCM Calibration Final'!$F$1:$F$2000"),'Calculations'!$EM502)="","",TRIM(INDEX(INDIRECT("'WCM Calibration Final'!$F$1:$F$2000"),'Calculations'!$EM502)&amp;"")),"")="","(Blank)",IFERROR(IF(INDEX(INDIRECT("'WCM Calibration Final'!$F$1:$F$2000"),'Calculations'!$EM502)="","",TRIM(INDEX(INDIRECT("'WCM Calibration Final'!$F$1:$F$2000"),'Calculations'!$EM502)&amp;"")),"")))</x:f>
      </x:c>
      <x:c r="HO502" t="str">
        <x:f>'Calculations'!HF502</x:f>
      </x:c>
      <x:c r="HP502" t="str">
        <x:f>IF('Calculations'!HO502="","",IF('Calculations'!HO502="!AMBIG","!AMBIG",IF(COUNTIF('Calculations'!$HE$13:$HE$512,"="&amp;SUBSTITUTE(SUBSTITUTE(SUBSTITUTE('Calculations'!HO502,"~","~~"),"*","~*"),"?","~?"))&gt;1,"!AMBIG",IFERROR(INDEX('Calculations'!$HF$13:$HF$512,MATCH('Calculations'!HO502,'Calculations'!$HE$13:$HE$512,0)),""))))</x:f>
      </x:c>
      <x:c r="HQ502" t="str">
        <x:f>IF('Calculations'!HP502="","",IF('Calculations'!HP502="!AMBIG","!AMBIG",IF(COUNTIF('Calculations'!$HE$13:$HE$512,"="&amp;SUBSTITUTE(SUBSTITUTE(SUBSTITUTE('Calculations'!HP502,"~","~~"),"*","~*"),"?","~?"))&gt;1,"!AMBIG",IFERROR(INDEX('Calculations'!$HF$13:$HF$512,MATCH('Calculations'!HP502,'Calculations'!$HE$13:$HE$512,0)),""))))</x:f>
      </x:c>
      <x:c r="HR502" t="str">
        <x:f>IF('Calculations'!HQ502="","",IF('Calculations'!HQ502="!AMBIG","!AMBIG",IF(COUNTIF('Calculations'!$HE$13:$HE$512,"="&amp;SUBSTITUTE(SUBSTITUTE(SUBSTITUTE('Calculations'!HQ502,"~","~~"),"*","~*"),"?","~?"))&gt;1,"!AMBIG",IFERROR(INDEX('Calculations'!$HF$13:$HF$512,MATCH('Calculations'!HQ502,'Calculations'!$HE$13:$HE$512,0)),""))))</x:f>
      </x:c>
      <x:c r="HS502" t="str">
        <x:f>IF('Calculations'!HR502="","",IF('Calculations'!HR502="!AMBIG","!AMBIG",IF(COUNTIF('Calculations'!$HE$13:$HE$512,"="&amp;SUBSTITUTE(SUBSTITUTE(SUBSTITUTE('Calculations'!HR502,"~","~~"),"*","~*"),"?","~?"))&gt;1,"!AMBIG",IFERROR(INDEX('Calculations'!$HF$13:$HF$512,MATCH('Calculations'!HR502,'Calculations'!$HE$13:$HE$512,0)),""))))</x:f>
      </x:c>
      <x:c r="HT502" t="str">
        <x:f>IF('Calculations'!HS502="","",IF('Calculations'!HS502="!AMBIG","!AMBIG",IF(COUNTIF('Calculations'!$HE$13:$HE$512,"="&amp;SUBSTITUTE(SUBSTITUTE(SUBSTITUTE('Calculations'!HS502,"~","~~"),"*","~*"),"?","~?"))&gt;1,"!AMBIG",IFERROR(INDEX('Calculations'!$HF$13:$HF$512,MATCH('Calculations'!HS502,'Calculations'!$HE$13:$HE$512,0)),""))))</x:f>
      </x:c>
      <x:c r="HU502" t="str">
        <x:f>IF('Calculations'!HT502="","",IF('Calculations'!HT502="!AMBIG","!AMBIG",IF(COUNTIF('Calculations'!$HE$13:$HE$512,"="&amp;SUBSTITUTE(SUBSTITUTE(SUBSTITUTE('Calculations'!HT502,"~","~~"),"*","~*"),"?","~?"))&gt;1,"!AMBIG",IFERROR(INDEX('Calculations'!$HF$13:$HF$512,MATCH('Calculations'!HT502,'Calculations'!$HE$13:$HE$512,0)),""))))</x:f>
      </x:c>
      <x:c r="HV502" t="str">
        <x:f>IF('Calculations'!HU502="","",IF('Calculations'!HU502="!AMBIG","!AMBIG",IF(COUNTIF('Calculations'!$HE$13:$HE$512,"="&amp;SUBSTITUTE(SUBSTITUTE(SUBSTITUTE('Calculations'!HU502,"~","~~"),"*","~*"),"?","~?"))&gt;1,"!AMBIG",IFERROR(INDEX('Calculations'!$HF$13:$HF$512,MATCH('Calculations'!HU502,'Calculations'!$HE$13:$HE$512,0)),""))))</x:f>
      </x:c>
      <x:c r="HW502" t="str">
        <x:f>IF('Calculations'!HV502="","",IF('Calculations'!HV502="!AMBIG","!AMBIG",IF(COUNTIF('Calculations'!$HE$13:$HE$512,"="&amp;SUBSTITUTE(SUBSTITUTE(SUBSTITUTE('Calculations'!HV502,"~","~~"),"*","~*"),"?","~?"))&gt;1,"!AMBIG",IFERROR(INDEX('Calculations'!$HF$13:$HF$512,MATCH('Calculations'!HV502,'Calculations'!$HE$13:$HE$512,0)),""))))</x:f>
      </x:c>
      <x:c r="HX502" t="str">
        <x:f>IF('Calculations'!HW502="","",IF('Calculations'!HW502="!AMBIG","!AMBIG",IF(COUNTIF('Calculations'!$HE$13:$HE$512,"="&amp;SUBSTITUTE(SUBSTITUTE(SUBSTITUTE('Calculations'!HW502,"~","~~"),"*","~*"),"?","~?"))&gt;1,"!AMBIG",IFERROR(INDEX('Calculations'!$HF$13:$HF$512,MATCH('Calculations'!HW502,'Calculations'!$HE$13:$HE$512,0)),""))))</x:f>
      </x:c>
      <x:c r="HY502" t="str">
        <x:f>IF('Calculations'!HX502="","",IF('Calculations'!HX502="!AMBIG","!AMBIG",IF(COUNTIF('Calculations'!$HE$13:$HE$512,"="&amp;SUBSTITUTE(SUBSTITUTE(SUBSTITUTE('Calculations'!HX502,"~","~~"),"*","~*"),"?","~?"))&gt;1,"!AMBIG",IFERROR(INDEX('Calculations'!$HF$13:$HF$512,MATCH('Calculations'!HX502,'Calculations'!$HE$13:$HE$512,0)),""))))</x:f>
      </x:c>
      <x:c r="HZ502" t="str">
        <x:f>IF('Calculations'!HY502="","",IF('Calculations'!HY502="!AMBIG","!AMBIG",IF(COUNTIF('Calculations'!$HE$13:$HE$512,"="&amp;SUBSTITUTE(SUBSTITUTE(SUBSTITUTE('Calculations'!HY502,"~","~~"),"*","~*"),"?","~?"))&gt;1,"!AMBIG",IFERROR(INDEX('Calculations'!$HF$13:$HF$512,MATCH('Calculations'!HY502,'Calculations'!$HE$13:$HE$512,0)),""))))</x:f>
      </x:c>
      <x:c r="IA502" t="str">
        <x:f>IF('Calculations'!HZ502="","",IF('Calculations'!HZ502="!AMBIG","!AMBIG",IF(COUNTIF('Calculations'!$HE$13:$HE$512,"="&amp;SUBSTITUTE(SUBSTITUTE(SUBSTITUTE('Calculations'!HZ502,"~","~~"),"*","~*"),"?","~?"))&gt;1,"!AMBIG",IFERROR(INDEX('Calculations'!$HF$13:$HF$512,MATCH('Calculations'!HZ502,'Calculations'!$HE$13:$HE$512,0)),""))))</x:f>
      </x:c>
      <x:c r="IB502" t="str">
        <x:f>IF('Calculations'!IA502="","",IF('Calculations'!IA502="!AMBIG","!AMBIG",IF(COUNTIF('Calculations'!$HE$13:$HE$512,"="&amp;SUBSTITUTE(SUBSTITUTE(SUBSTITUTE('Calculations'!IA502,"~","~~"),"*","~*"),"?","~?"))&gt;1,"!AMBIG",IFERROR(INDEX('Calculations'!$HF$13:$HF$512,MATCH('Calculations'!IA502,'Calculations'!$HE$13:$HE$512,0)),""))))</x:f>
      </x:c>
      <x:c r="IC502" t="str">
        <x:f>IF('Calculations'!IB502="","",IF('Calculations'!IB502="!AMBIG","!AMBIG",IF(COUNTIF('Calculations'!$HE$13:$HE$512,"="&amp;SUBSTITUTE(SUBSTITUTE(SUBSTITUTE('Calculations'!IB502,"~","~~"),"*","~*"),"?","~?"))&gt;1,"!AMBIG",IFERROR(INDEX('Calculations'!$HF$13:$HF$512,MATCH('Calculations'!IB502,'Calculations'!$HE$13:$HE$512,0)),""))))</x:f>
      </x:c>
      <x:c r="ID502" t="str">
        <x:f>IF('Calculations'!IC502="","",IF('Calculations'!IC502="!AMBIG","!AMBIG",IF(COUNTIF('Calculations'!$HE$13:$HE$512,"="&amp;SUBSTITUTE(SUBSTITUTE(SUBSTITUTE('Calculations'!IC502,"~","~~"),"*","~*"),"?","~?"))&gt;1,"!AMBIG",IFERROR(INDEX('Calculations'!$HF$13:$HF$512,MATCH('Calculations'!IC502,'Calculations'!$HE$13:$HE$512,0)),""))))</x:f>
      </x:c>
      <x:c r="IE502" t="str">
        <x:f>IF('Calculations'!ID502="","",IF('Calculations'!ID502="!AMBIG","!AMBIG",IF(COUNTIF('Calculations'!$HE$13:$HE$512,"="&amp;SUBSTITUTE(SUBSTITUTE(SUBSTITUTE('Calculations'!ID502,"~","~~"),"*","~*"),"?","~?"))&gt;1,"!AMBIG",IFERROR(INDEX('Calculations'!$HF$13:$HF$512,MATCH('Calculations'!ID502,'Calculations'!$HE$13:$HE$512,0)),""))))</x:f>
      </x:c>
      <x:c r="IF502" t="str">
        <x:f>IF('Calculations'!IE502="","",IF('Calculations'!IE502="!AMBIG","!AMBIG",IF(COUNTIF('Calculations'!$HE$13:$HE$512,"="&amp;SUBSTITUTE(SUBSTITUTE(SUBSTITUTE('Calculations'!IE502,"~","~~"),"*","~*"),"?","~?"))&gt;1,"!AMBIG",IFERROR(INDEX('Calculations'!$HF$13:$HF$512,MATCH('Calculations'!IE502,'Calculations'!$HE$13:$HE$512,0)),""))))</x:f>
      </x:c>
      <x:c r="IG502" t="str">
        <x:f>IF('Calculations'!IF502="","",IF('Calculations'!IF502="!AMBIG","!AMBIG",IF(COUNTIF('Calculations'!$HE$13:$HE$512,"="&amp;SUBSTITUTE(SUBSTITUTE(SUBSTITUTE('Calculations'!IF502,"~","~~"),"*","~*"),"?","~?"))&gt;1,"!AMBIG",IFERROR(INDEX('Calculations'!$HF$13:$HF$512,MATCH('Calculations'!IF502,'Calculations'!$HE$13:$HE$512,0)),""))))</x:f>
      </x:c>
      <x:c r="IH502" t="str">
        <x:f>IF('Calculations'!IG502="","",IF('Calculations'!IG502="!AMBIG","!AMBIG",IF(COUNTIF('Calculations'!$HE$13:$HE$512,"="&amp;SUBSTITUTE(SUBSTITUTE(SUBSTITUTE('Calculations'!IG502,"~","~~"),"*","~*"),"?","~?"))&gt;1,"!AMBIG",IFERROR(INDEX('Calculations'!$HF$13:$HF$512,MATCH('Calculations'!IG502,'Calculations'!$HE$13:$HE$512,0)),""))))</x:f>
      </x:c>
      <x:c r="II502" t="str">
        <x:f>IF('Calculations'!IH502="","",IF('Calculations'!IH502="!AMBIG","!AMBIG",IF(COUNTIF('Calculations'!$HE$13:$HE$512,"="&amp;SUBSTITUTE(SUBSTITUTE(SUBSTITUTE('Calculations'!IH502,"~","~~"),"*","~*"),"?","~?"))&gt;1,"!AMBIG",IFERROR(INDEX('Calculations'!$HF$13:$HF$512,MATCH('Calculations'!IH502,'Calculations'!$HE$13:$HE$512,0)),""))))</x:f>
      </x:c>
      <x:c r="IJ502" t="str">
        <x:f>IF('Calculations'!EM502="","",IF('Calculations'!$EF$2="All",'Calculations'!HM502,IF('Calculations'!HL502=1,"",IFERROR(IF(MATCH('Calculations'!$EF$2,'Calculations'!HO502:II502,0)=1,'Calculations'!HE502,INDEX('Calculations'!HO502:II502,1,MATCH('Calculations'!$EF$2,'Calculations'!HO502:II502,0)-1)),""))))</x:f>
      </x:c>
      <x:c r="IK502" t="n">
        <x:f>IF(AND('Calculations'!EM502&lt;&gt;"",'Calculations'!$EF$2&lt;&gt;"All",'Calculations'!HF502='Calculations'!$EF$2,'Calculations'!HL502=0,'Calculations'!JD502&gt;0),MAX('Calculations'!$IK$12:IK501)+1,0)</x:f>
        <x:v>0</x:v>
      </x:c>
      <x:c r="JA502" t="n">
        <x:f>IF(OR(IFERROR(INDIRECT("'WCM Calibration Final'!$A$502")&lt;&gt;"",FALSE),IFERROR(INDIRECT("'WCM Calibration Final'!$B$502")&lt;&gt;"",FALSE),IFERROR(INDIRECT("'WCM Calibration Final'!$C$502")&lt;&gt;"",FALSE)),502,0)</x:f>
        <x:v>0</x:v>
      </x:c>
      <x:c r="JB502" t="n">
        <x:f>'Calculations'!JB501+IF('Calculations'!JA502&gt;0,1,0)</x:f>
        <x:v>0</x:v>
      </x:c>
      <x:c r="JC502" t="n">
        <x:f>IF(OR('Calculations'!HF502="",'Calculations'!HF502="!AMBIG"),0,IF('Dashboard'!$B$7="All",1,COUNTIFS('Calculations'!$HO$13:$HO$512,"="&amp;SUBSTITUTE(SUBSTITUTE(SUBSTITUTE('Calculations'!HF502,"~","~~"),"*","~*"),"?","~?"),'Calculations'!$HN$13:$HN$512,"="&amp;SUBSTITUTE(SUBSTITUTE(SUBSTITUTE('Dashboard'!$B$7,"~","~~"),"*","~*"),"?","~?"))+COUNTIFS('Calculations'!$HP$13:$HP$512,"="&amp;SUBSTITUTE(SUBSTITUTE(SUBSTITUTE('Calculations'!HF502,"~","~~"),"*","~*"),"?","~?"),'Calculations'!$HN$13:$HN$512,"="&amp;SUBSTITUTE(SUBSTITUTE(SUBSTITUTE('Dashboard'!$B$7,"~","~~"),"*","~*"),"?","~?"))+COUNTIFS('Calculations'!$HQ$13:$HQ$512,"="&amp;SUBSTITUTE(SUBSTITUTE(SUBSTITUTE('Calculations'!HF502,"~","~~"),"*","~*"),"?","~?"),'Calculations'!$HN$13:$HN$512,"="&amp;SUBSTITUTE(SUBSTITUTE(SUBSTITUTE('Dashboard'!$B$7,"~","~~"),"*","~*"),"?","~?"))+COUNTIFS('Calculations'!$HR$13:$HR$512,"="&amp;SUBSTITUTE(SUBSTITUTE(SUBSTITUTE('Calculations'!HF502,"~","~~"),"*","~*"),"?","~?"),'Calculations'!$HN$13:$HN$512,"="&amp;SUBSTITUTE(SUBSTITUTE(SUBSTITUTE('Dashboard'!$B$7,"~","~~"),"*","~*"),"?","~?"))+COUNTIFS('Calculations'!$HS$13:$HS$512,"="&amp;SUBSTITUTE(SUBSTITUTE(SUBSTITUTE('Calculations'!HF502,"~","~~"),"*","~*"),"?","~?"),'Calculations'!$HN$13:$HN$512,"="&amp;SUBSTITUTE(SUBSTITUTE(SUBSTITUTE('Dashboard'!$B$7,"~","~~"),"*","~*"),"?","~?"))+COUNTIFS('Calculations'!$HT$13:$HT$512,"="&amp;SUBSTITUTE(SUBSTITUTE(SUBSTITUTE('Calculations'!HF502,"~","~~"),"*","~*"),"?","~?"),'Calculations'!$HN$13:$HN$512,"="&amp;SUBSTITUTE(SUBSTITUTE(SUBSTITUTE('Dashboard'!$B$7,"~","~~"),"*","~*"),"?","~?"))+COUNTIFS('Calculations'!$HU$13:$HU$512,"="&amp;SUBSTITUTE(SUBSTITUTE(SUBSTITUTE('Calculations'!HF502,"~","~~"),"*","~*"),"?","~?"),'Calculations'!$HN$13:$HN$512,"="&amp;SUBSTITUTE(SUBSTITUTE(SUBSTITUTE('Dashboard'!$B$7,"~","~~"),"*","~*"),"?","~?"))+COUNTIFS('Calculations'!$HV$13:$HV$512,"="&amp;SUBSTITUTE(SUBSTITUTE(SUBSTITUTE('Calculations'!HF502,"~","~~"),"*","~*"),"?","~?"),'Calculations'!$HN$13:$HN$512,"="&amp;SUBSTITUTE(SUBSTITUTE(SUBSTITUTE('Dashboard'!$B$7,"~","~~"),"*","~*"),"?","~?"))+COUNTIFS('Calculations'!$HW$13:$HW$512,"="&amp;SUBSTITUTE(SUBSTITUTE(SUBSTITUTE('Calculations'!HF502,"~","~~"),"*","~*"),"?","~?"),'Calculations'!$HN$13:$HN$512,"="&amp;SUBSTITUTE(SUBSTITUTE(SUBSTITUTE('Dashboard'!$B$7,"~","~~"),"*","~*"),"?","~?"))+COUNTIFS('Calculations'!$HX$13:$HX$512,"="&amp;SUBSTITUTE(SUBSTITUTE(SUBSTITUTE('Calculations'!HF502,"~","~~"),"*","~*"),"?","~?"),'Calculations'!$HN$13:$HN$512,"="&amp;SUBSTITUTE(SUBSTITUTE(SUBSTITUTE('Dashboard'!$B$7,"~","~~"),"*","~*"),"?","~?"))+COUNTIFS('Calculations'!$HY$13:$HY$512,"="&amp;SUBSTITUTE(SUBSTITUTE(SUBSTITUTE('Calculations'!HF502,"~","~~"),"*","~*"),"?","~?"),'Calculations'!$HN$13:$HN$512,"="&amp;SUBSTITUTE(SUBSTITUTE(SUBSTITUTE('Dashboard'!$B$7,"~","~~"),"*","~*"),"?","~?"))+COUNTIFS('Calculations'!$HZ$13:$HZ$512,"="&amp;SUBSTITUTE(SUBSTITUTE(SUBSTITUTE('Calculations'!HF502,"~","~~"),"*","~*"),"?","~?"),'Calculations'!$HN$13:$HN$512,"="&amp;SUBSTITUTE(SUBSTITUTE(SUBSTITUTE('Dashboard'!$B$7,"~","~~"),"*","~*"),"?","~?"))+COUNTIFS('Calculations'!$IA$13:$IA$512,"="&amp;SUBSTITUTE(SUBSTITUTE(SUBSTITUTE('Calculations'!HF502,"~","~~"),"*","~*"),"?","~?"),'Calculations'!$HN$13:$HN$512,"="&amp;SUBSTITUTE(SUBSTITUTE(SUBSTITUTE('Dashboard'!$B$7,"~","~~"),"*","~*"),"?","~?"))+COUNTIFS('Calculations'!$IB$13:$IB$512,"="&amp;SUBSTITUTE(SUBSTITUTE(SUBSTITUTE('Calculations'!HF502,"~","~~"),"*","~*"),"?","~?"),'Calculations'!$HN$13:$HN$512,"="&amp;SUBSTITUTE(SUBSTITUTE(SUBSTITUTE('Dashboard'!$B$7,"~","~~"),"*","~*"),"?","~?"))+COUNTIFS('Calculations'!$IC$13:$IC$512,"="&amp;SUBSTITUTE(SUBSTITUTE(SUBSTITUTE('Calculations'!HF502,"~","~~"),"*","~*"),"?","~?"),'Calculations'!$HN$13:$HN$512,"="&amp;SUBSTITUTE(SUBSTITUTE(SUBSTITUTE('Dashboard'!$B$7,"~","~~"),"*","~*"),"?","~?"))+COUNTIFS('Calculations'!$ID$13:$ID$512,"="&amp;SUBSTITUTE(SUBSTITUTE(SUBSTITUTE('Calculations'!HF502,"~","~~"),"*","~*"),"?","~?"),'Calculations'!$HN$13:$HN$512,"="&amp;SUBSTITUTE(SUBSTITUTE(SUBSTITUTE('Dashboard'!$B$7,"~","~~"),"*","~*"),"?","~?"))+COUNTIFS('Calculations'!$IE$13:$IE$512,"="&amp;SUBSTITUTE(SUBSTITUTE(SUBSTITUTE('Calculations'!HF502,"~","~~"),"*","~*"),"?","~?"),'Calculations'!$HN$13:$HN$512,"="&amp;SUBSTITUTE(SUBSTITUTE(SUBSTITUTE('Dashboard'!$B$7,"~","~~"),"*","~*"),"?","~?"))+COUNTIFS('Calculations'!$IF$13:$IF$512,"="&amp;SUBSTITUTE(SUBSTITUTE(SUBSTITUTE('Calculations'!HF502,"~","~~"),"*","~*"),"?","~?"),'Calculations'!$HN$13:$HN$512,"="&amp;SUBSTITUTE(SUBSTITUTE(SUBSTITUTE('Dashboard'!$B$7,"~","~~"),"*","~*"),"?","~?"))+COUNTIFS('Calculations'!$IG$13:$IG$512,"="&amp;SUBSTITUTE(SUBSTITUTE(SUBSTITUTE('Calculations'!HF502,"~","~~"),"*","~*"),"?","~?"),'Calculations'!$HN$13:$HN$512,"="&amp;SUBSTITUTE(SUBSTITUTE(SUBSTITUTE('Dashboard'!$B$7,"~","~~"),"*","~*"),"?","~?"))+COUNTIFS('Calculations'!$IH$13:$IH$512,"="&amp;SUBSTITUTE(SUBSTITUTE(SUBSTITUTE('Calculations'!HF502,"~","~~"),"*","~*"),"?","~?"),'Calculations'!$HN$13:$HN$512,"="&amp;SUBSTITUTE(SUBSTITUTE(SUBSTITUTE('Dashboard'!$B$7,"~","~~"),"*","~*"),"?","~?"))))</x:f>
        <x:v>0</x:v>
      </x:c>
      <x:c r="JD502" t="n">
        <x:f>IF('Calculations'!EM502="",0,IF('Dashboard'!$B$7="All",1,IF('Calculations'!HN502='Dashboard'!$B$7,1,0)+IFERROR(INDEX('Calculations'!$JC$13:$JC$512,MATCH('Calculations'!HE502,'Calculations'!$HF$13:$HF$512,0)),0)))</x:f>
        <x:v>0</x:v>
      </x:c>
      <x:c r="JE502" t="n">
        <x:f>IF(AND('Calculations'!EM502&lt;&gt;"",'Calculations'!$JJ$2&lt;&gt;"All",'Calculations'!$JJ$2&lt;&gt;"",'Calculations'!HF502='Calculations'!$JJ$2,'Calculations'!HL502=0,'Calculations'!JD502&gt;0),MAX('Calculations'!$JE$12:JE501)+1,0)</x:f>
        <x:v>0</x:v>
      </x:c>
      <x:c r="JF502" t="str">
        <x:f>IF('Calculations'!EM502="","",IFERROR(IF(INDEX(INDIRECT("'WCM Calibration Final'!$G$1:$G$2000"),'Calculations'!$EM502)="","",TRIM(INDEX(INDIRECT("'WCM Calibration Final'!$G$1:$G$2000"),'Calculations'!$EM502)&amp;"")),""))</x:f>
      </x:c>
      <x:c r="JQ502" t="n">
        <x:f>IF(OR('Calculations'!BM502=0,NOT('Calculations'!$AG$2),'Calculations'!$AG$8&gt;0),0,IF(OR('Dashboard'!$B$7="All",'Calculations'!HN502='Dashboard'!$B$7),IF('Calculations'!$JJ$2="All",1,IF(AND('Calculations'!HF502='Calculations'!$JJ$2,'Calculations'!HL502=0),1,0)),0))</x:f>
        <x:v>0</x:v>
      </x:c>
    </x:row>
    <x:row r="503">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t="n">
        <x:f>IF('Calculations'!$EM503="",0,IF(OR(IFERROR(INDEX(INDIRECT("'WCM Calibration Final'!$A$1:$A$2000"),'Calculations'!$EM503)&lt;&gt;"",FALSE),IFERROR(INDEX(INDIRECT("'WCM Calibration Final'!$B$1:$B$2000"),'Calculations'!$EM503)&lt;&gt;"",FALSE),IFERROR(INDEX(INDIRECT("'WCM Calibration Final'!$C$1:$C$2000"),'Calculations'!$EM503)&lt;&gt;"",FALSE)),1,0))</x:f>
        <x:v>0</x:v>
      </x:c>
      <x:c r="BN503" s="4" t="n">
        <x:f>IF(AND('Calculations'!BM503=1,'Calculations'!$AG$2,'Calculations'!$EN503=1),1,0)</x:f>
        <x:v>0</x:v>
      </x:c>
      <x:c r="BO503" s="4" t="str">
        <x:f>IF('Calculations'!BM503=0,"",IFERROR(IF(AND(VALUE(INDEX(INDIRECT("'WCM Calibration Final'!$K$1:$K$2000"),'Calculations'!$EM503))&gt;=1,VALUE(INDEX(INDIRECT("'WCM Calibration Final'!$K$1:$K$2000"),'Calculations'!$EM503))&lt;=4,MOD(VALUE(INDEX(INDIRECT("'WCM Calibration Final'!$K$1:$K$2000"),'Calculations'!$EM503)),1)=0),VALUE(INDEX(INDIRECT("'WCM Calibration Final'!$K$1:$K$2000"),'Calculations'!$EM503)),""),""))</x:f>
      </x:c>
      <x:c r="BP503" s="4" t="str">
        <x:f>IF('Calculations'!BM503=0,"",IFERROR(IF(AND(VALUE(INDEX(INDIRECT("'WCM Calibration Final'!$L$1:$L$2000"),'Calculations'!$EM503))&gt;=1,VALUE(INDEX(INDIRECT("'WCM Calibration Final'!$L$1:$L$2000"),'Calculations'!$EM503))&lt;=4,MOD(VALUE(INDEX(INDIRECT("'WCM Calibration Final'!$L$1:$L$2000"),'Calculations'!$EM503)),1)=0),VALUE(INDEX(INDIRECT("'WCM Calibration Final'!$L$1:$L$2000"),'Calculations'!$EM503)),""),""))</x:f>
      </x:c>
      <x:c r="BQ503" s="4"/>
      <x:c r="BR503" s="4"/>
      <x:c r="BS503" s="4"/>
      <x:c r="BT503" s="4" t="n">
        <x:f>IF(AND('Calculations'!BM503=1,ISNUMBER('Calculations'!BO503),ISNUMBER('Calculations'!BP503)),1,0)</x:f>
        <x:v>0</x:v>
      </x:c>
      <x:c r="BU503" s="4" t="str">
        <x:f>IF('Calculations'!BM503=0,"",'Calculations'!$EO503)</x:f>
      </x:c>
      <x:c r="BV503" s="4" t="str">
        <x:f>IF('Calculations'!BM503=0,"",IFERROR(IF(OR(INDEX(INDIRECT("'WCM Calibration Final'!$H$1:$H$2000"),'Calculations'!$EM503)="MANAGING DIRECTOR",INDEX(INDIRECT("'WCM Calibration Final'!$H$1:$H$2000"),'Calculations'!$EM503)="DIRECTOR",INDEX(INDIRECT("'WCM Calibration Final'!$H$1:$H$2000"),'Calculations'!$EM503)="SENIOR VICE PRESIDENT",INDEX(INDIRECT("'WCM Calibration Final'!$H$1:$H$2000"),'Calculations'!$EM503)="VICE PRESIDENT",INDEX(INDIRECT("'WCM Calibration Final'!$H$1:$H$2000"),'Calculations'!$EM503)="ASSISTANT VICE PRESIDENT",INDEX(INDIRECT("'WCM Calibration Final'!$H$1:$H$2000"),'Calculations'!$EM503)="OFFICER"),UPPER(INDEX(INDIRECT("'WCM Calibration Final'!$H$1:$H$2000"),'Calculations'!$EM503)),"Other"),"Other"))</x:f>
      </x:c>
      <x:c r="BW503" s="4"/>
      <x:c r="BX503" s="4"/>
      <x:c r="BY503" s="4" t="n">
        <x:f>IF(AND('Calculations'!BM503=1,'Calculations'!BU503&lt;&gt;"",COUNTIF('Calculations'!$BU$12:BU503,'Calculations'!BU503)=1),MAX('Calculations'!$BY$11:BY502)+1,0)</x:f>
        <x:v>0</x:v>
      </x:c>
      <x:c r="BZ503" s="4" t="str">
        <x:f>IF('Dashboard'!$E$67="What",'Calculations'!BO503,'Calculations'!BP503)</x:f>
      </x:c>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t="str">
        <x:f>IF(492&gt;MAX('Calculations'!$HI$13:$HI$512),"",INDEX('Calculations'!$HN$13:$HN$512,MATCH(492,'Calculations'!$HI$13:$HI$512,0)))</x:f>
      </x:c>
      <x:c r="DB503" s="4" t="str">
        <x:f>IF(492&gt;MAX('Calculations'!$HH$13:$HH$512),"",INDEX('Calculations'!$HJ$13:$HJ$512,MATCH(492,'Calculations'!$HH$13:$HH$512,0)))</x:f>
      </x:c>
      <x:c r="DC503" s="4" t="str">
        <x:f>IF(ROW()-11&gt;MAX('Calculations'!$BY$13:$BY$512),"",INDEX('Calculations'!$BU$13:$BU$512,MATCH(ROW()-11,'Calculations'!$BY$13:$BY$512,0)))</x:f>
      </x:c>
      <x:c r="DD503" s="4" t="str">
        <x:f>IF(492&gt;MAX('Calculations'!$IK$13:$IK$512),"",INDEX('Calculations'!$HK$13:$HK$512,MATCH(492,'Calculations'!$IK$13:$IK$512,0)))</x:f>
      </x:c>
      <x:c r="DE503" s="4" t="str">
        <x:f>'Calculations'!DC503</x:f>
      </x:c>
      <x:c r="DF503" s="4" t="str">
        <x:f>IF('Calculations'!DE503="","",COUNTIFS('Calculations'!$BN$13:$BN$512,1,'Calculations'!$BU$13:$BU$512,'Calculations'!DE503))</x:f>
      </x:c>
      <x:c r="DG503" s="4" t="str">
        <x:f>IF('Calculations'!DE503="","",COUNTIFS('Calculations'!$BN$13:$BN$512,1,'Calculations'!$BU$13:$BU$512,'Calculations'!DE503,'Calculations'!$BT$13:$BT$512,1))</x:f>
      </x:c>
      <x:c r="DH503" s="4" t="str">
        <x:f>IF('Calculations'!DE503="","",'Calculations'!DF503-'Calculations'!DG503)</x:f>
      </x:c>
      <x:c r="DI503" s="4" t="str">
        <x:f>IF(OR('Calculations'!DE503="",'Calculations'!DF503=0),"",'Calculations'!DG503/'Calculations'!DF503)</x:f>
      </x:c>
      <x:c r="DJ503" s="4" t="str">
        <x:f>IF('Calculations'!DE503="","",COUNTIFS('Calculations'!$BN$13:$BN$512,1,'Calculations'!$BU$13:$BU$512,'Calculations'!DE503,'Calculations'!$BT$13:$BT$512,1,'Calculations'!$EE$13:$EE$512,"High"))</x:f>
      </x:c>
      <x:c r="DK503" s="4" t="str">
        <x:f>IF('Calculations'!DE503="","",COUNTIFS('Calculations'!$BN$13:$BN$512,1,'Calculations'!$BU$13:$BU$512,'Calculations'!DE503,'Calculations'!$BT$13:$BT$512,1,'Calculations'!$EE$13:$EE$512,"Strong"))</x:f>
      </x:c>
      <x:c r="DL503" s="4" t="str">
        <x:f>IF('Calculations'!DE503="","",COUNTIFS('Calculations'!$BN$13:$BN$512,1,'Calculations'!$BU$13:$BU$512,'Calculations'!DE503,'Calculations'!$BT$13:$BT$512,1,'Calculations'!$EE$13:$EE$512,"Solid"))</x:f>
      </x:c>
      <x:c r="DM503" s="4" t="str">
        <x:f>IF('Calculations'!DE503="","",COUNTIFS('Calculations'!$BN$13:$BN$512,1,'Calculations'!$BU$13:$BU$512,'Calculations'!DE503,'Calculations'!$BT$13:$BT$512,1,'Calculations'!$EE$13:$EE$512,"Low"))</x:f>
      </x:c>
      <x:c r="DN503" s="4" t="str">
        <x:f>IF('Calculations'!DE503="","",COUNTIFS('Calculations'!$BN$13:$BN$512,1,'Calculations'!$BU$13:$BU$512,'Calculations'!DE503,'Calculations'!$EP$13:$EP$512,1))</x:f>
      </x:c>
      <x:c r="DO503" s="4" t="str">
        <x:f>IF(OR('Calculations'!DE503="",'Calculations'!DG503=0),"",('Calculations'!DJ503+'Calculations'!DK503)/'Calculations'!DG503)</x:f>
      </x:c>
      <x:c r="DP503" s="4" t="n">
        <x:f>IF(AND('Calculations'!DE503&lt;&gt;"",'Calculations'!DF503&gt;0),COUNTIF('Calculations'!$DF$12:DF503,"&gt;0"),0)</x:f>
        <x:v>0</x:v>
      </x:c>
      <x:c r="DQ503" s="4" t="str">
        <x:f>IF(492&gt;MAX('Calculations'!$HH$13:$HH$512),"",INDEX('Calculations'!$HF$13:$HF$512,MATCH(492,'Calculations'!$HH$13:$HH$512,0)))</x:f>
      </x:c>
      <x:c r="DR503" s="4" t="str">
        <x:f>IF(492&gt;MAX('Calculations'!$IK$13:$IK$512),"",INDEX('Calculations'!$HE$13:$HE$512,MATCH(492,'Calculations'!$IK$13:$IK$512,0)))</x:f>
      </x:c>
      <x:c r="DS503" s="4"/>
      <x:c r="DT503" s="4"/>
      <x:c r="DU503" s="4"/>
      <x:c r="DV503" s="4"/>
      <x:c r="DW503" s="4"/>
      <x:c r="DX503" s="4"/>
      <x:c r="DY503" s="4"/>
      <x:c r="DZ503" s="4"/>
      <x:c r="EA503" s="4"/>
      <x:c r="EB503" s="4"/>
      <x:c r="EC503" s="4"/>
      <x:c r="ED503" s="4"/>
      <x:c r="EE503" s="4" t="str">
        <x:f>IF('Calculations'!BT503=0,"Not Rated",IF(OR('Calculations'!BO503&gt;=4,'Calculations'!BP503&gt;=4),"Low",IF('Calculations'!BO503+'Calculations'!BP503&lt;=3,"High",IF('Calculations'!BO503+'Calculations'!BP503&lt;=4,"Strong","Solid"))))</x:f>
        <x:v>Not Rated</x:v>
      </x:c>
      <x:c r="EF503" s="4"/>
      <x:c r="EG503" s="4"/>
      <x:c r="EH503" s="4"/>
      <x:c r="EI503" s="4"/>
      <x:c r="EJ503" s="4"/>
      <x:c r="EK503" s="4"/>
      <x:c r="EL503" s="4"/>
      <x:c r="EM503" s="4" t="str">
        <x:f>IF(491&gt;'Calculations'!$JB$2000,"",INDEX('Calculations'!$JA$12:$JA$2000,MATCH(491,'Calculations'!$JB$12:$JB$2000,0)))</x:f>
      </x:c>
      <x:c r="EN503" s="4" t="n">
        <x:f>IF(OR('Calculations'!EM503="",'Calculations'!$AG$8&gt;0,AND('Calculations'!$EF$2&lt;&gt;"All",'Calculations'!HE503='Calculations'!$EF$2),AND('Calculations'!$EF$3&lt;&gt;"All",'Calculations'!HE503='Calculations'!$EF$3)),0,IF(OR('Dashboard'!$B$7="All",'Calculations'!HN503='Dashboard'!$B$7),IF('Calculations'!$EF$2="All",1,IF('Calculations'!HL503&gt;0,0,IF(COUNTIF('Calculations'!HO503:II503,"="&amp;SUBSTITUTE(SUBSTITUTE(SUBSTITUTE('Calculations'!$EF$2,"~","~~"),"*","~*"),"?","~?"))=0,0,IF('Calculations'!$EF$3="All",1,IF(COUNTIF('Calculations'!HO503:II503,"="&amp;SUBSTITUTE(SUBSTITUTE(SUBSTITUTE('Calculations'!$EF$3,"~","~~"),"*","~*"),"?","~?"))&gt;0,1,0))))),0))</x:f>
        <x:v>0</x:v>
      </x:c>
      <x:c r="EO503" s="4" t="str">
        <x:f>IF('Calculations'!IJ503="","",IF('Calculations'!IJ503="!UNRESOLVED","Unresolved hierarchy",IFERROR(INDEX('Calculations'!$HK$13:$HK$512,MATCH('Calculations'!IJ503,'Calculations'!$HE$13:$HE$512,0)),IFERROR(INDEX('Calculations'!$HJ$13:$HJ$512,MATCH('Calculations'!IJ503,'Calculations'!$HF$13:$HF$512,0)),'Calculations'!IJ503))))</x:f>
      </x:c>
      <x:c r="EP503" s="4" t="n">
        <x:f>IF(AND('Calculations'!EM503&lt;&gt;"",'Calculations'!HF503='Calculations'!IJ503),1,0)</x:f>
        <x:v>0</x:v>
      </x:c>
      <x:c r="EQ503" s="4"/>
      <x:c r="ER503" s="4"/>
      <x:c r="ES503" s="4"/>
      <x:c r="ET503" s="4"/>
      <x:c r="EU503" s="4"/>
      <x:c r="EV503" s="4"/>
      <x:c r="EW503" s="4"/>
      <x:c r="EX503" s="4"/>
      <x:c r="EY503" s="4"/>
      <x:c r="EZ503" s="4"/>
      <x:c r="FA503" s="4"/>
      <x:c r="FB503" s="4"/>
      <x:c r="FC503" s="4"/>
      <x:c r="FD503" s="4"/>
      <x:c r="FE503" s="4"/>
      <x:c r="FF503" s="4"/>
      <x:c r="FG503" s="4"/>
      <x:c r="FH503" s="4"/>
      <x:c r="FI503" s="4"/>
      <x:c r="FJ503" s="4"/>
      <x:c r="FK503" s="4"/>
      <x:c r="FL503" s="4"/>
      <x:c r="FM503" s="4"/>
      <x:c r="FN503" s="4"/>
      <x:c r="FO503" s="4"/>
      <x:c r="HE503" t="str">
        <x:f>IF('Calculations'!EM503="","",IF(IFERROR(IF(INDEX(INDIRECT("'WCM Calibration Final'!$A$1:$A$2000"),'Calculations'!$EM503)="","",TRIM(INDEX(INDIRECT("'WCM Calibration Final'!$A$1:$A$2000"),'Calculations'!$EM503)&amp;"")),"")&lt;&gt;"","G:"&amp;IFERROR(TEXT(1*INDEX(INDIRECT("'WCM Calibration Final'!$A$1:$A$2000"),'Calculations'!$EM503),"0"),UPPER(IFERROR(IF(INDEX(INDIRECT("'WCM Calibration Final'!$A$1:$A$2000"),'Calculations'!$EM503)="","",TRIM(INDEX(INDIRECT("'WCM Calibration Final'!$A$1:$A$2000"),'Calculations'!$EM503)&amp;"")),""))),IF(IFERROR(IF(INDEX(INDIRECT("'WCM Calibration Final'!$C$1:$C$2000"),'Calculations'!$EM503)="","",TRIM(INDEX(INDIRECT("'WCM Calibration Final'!$C$1:$C$2000"),'Calculations'!$EM503)&amp;"")),"")&lt;&gt;"","S:"&amp;UPPER(IFERROR(IF(INDEX(INDIRECT("'WCM Calibration Final'!$C$1:$C$2000"),'Calculations'!$EM503)="","",TRIM(INDEX(INDIRECT("'WCM Calibration Final'!$C$1:$C$2000"),'Calculations'!$EM503)&amp;"")),"")),"R:"&amp;'Calculations'!EM503)))</x:f>
      </x:c>
      <x:c r="HF503" t="str">
        <x:f>IF('Calculations'!EM503="","",IF(IFERROR(IF(INDEX(INDIRECT("'WCM Calibration Final'!$D$1:$D$2000"),'Calculations'!$EM503)="","",TRIM(INDEX(INDIRECT("'WCM Calibration Final'!$D$1:$D$2000"),'Calculations'!$EM503)&amp;"")),"")&lt;&gt;"","G:"&amp;IFERROR(TEXT(1*INDEX(INDIRECT("'WCM Calibration Final'!$D$1:$D$2000"),'Calculations'!$EM503),"0"),UPPER(IFERROR(IF(INDEX(INDIRECT("'WCM Calibration Final'!$D$1:$D$2000"),'Calculations'!$EM503)="","",TRIM(INDEX(INDIRECT("'WCM Calibration Final'!$D$1:$D$2000"),'Calculations'!$EM503)&amp;"")),""))),IF(IFERROR(IF(INDEX(INDIRECT("'WCM Calibration Final'!$E$1:$E$2000"),'Calculations'!$EM503)="","",TRIM(INDEX(INDIRECT("'WCM Calibration Final'!$E$1:$E$2000"),'Calculations'!$EM503)&amp;"")),"")="","",IF(COUNTIF('Calculations'!$HG$13:$HG$512,"="&amp;SUBSTITUTE(SUBSTITUTE(SUBSTITUTE(IFERROR(IF(INDEX(INDIRECT("'WCM Calibration Final'!$E$1:$E$2000"),'Calculations'!$EM503)="","",TRIM(INDEX(INDIRECT("'WCM Calibration Final'!$E$1:$E$2000"),'Calculations'!$EM503)&amp;"")),""),"~","~~"),"*","~*"),"?","~?"))=1,INDEX('Calculations'!$HE$13:$HE$512,MATCH(IFERROR(IF(INDEX(INDIRECT("'WCM Calibration Final'!$E$1:$E$2000"),'Calculations'!$EM503)="","",TRIM(INDEX(INDIRECT("'WCM Calibration Final'!$E$1:$E$2000"),'Calculations'!$EM503)&amp;"")),""),'Calculations'!$HG$13:$HG$512,0)),IF(COUNTIF('Calculations'!$HG$13:$HG$512,"="&amp;SUBSTITUTE(SUBSTITUTE(SUBSTITUTE(IFERROR(IF(INDEX(INDIRECT("'WCM Calibration Final'!$E$1:$E$2000"),'Calculations'!$EM503)="","",TRIM(INDEX(INDIRECT("'WCM Calibration Final'!$E$1:$E$2000"),'Calculations'!$EM503)&amp;"")),""),"~","~~"),"*","~*"),"?","~?"))&gt;1,"!AMBIG","X:"&amp;IFERROR(IF(INDEX(INDIRECT("'WCM Calibration Final'!$E$1:$E$2000"),'Calculations'!$EM503)="","",TRIM(INDEX(INDIRECT("'WCM Calibration Final'!$E$1:$E$2000"),'Calculations'!$EM503)&amp;"")),""))))))</x:f>
      </x:c>
      <x:c r="HG503" t="str">
        <x:f>IF('Calculations'!EM503="","",IFERROR(IF(INDEX(INDIRECT("'WCM Calibration Final'!$B$1:$B$2000"),'Calculations'!$EM503)="","",TRIM(INDEX(INDIRECT("'WCM Calibration Final'!$B$1:$B$2000"),'Calculations'!$EM503)&amp;"")),""))</x:f>
      </x:c>
      <x:c r="HH503" t="n">
        <x:f>IF(AND('Calculations'!JC503&gt;0,COUNTIF('Calculations'!$HF$12:HF503,"="&amp;SUBSTITUTE(SUBSTITUTE(SUBSTITUTE('Calculations'!HF503,"~","~~"),"*","~*"),"?","~?"))=1),MAX('Calculations'!$HH$12:HH502)+1,0)</x:f>
        <x:v>0</x:v>
      </x:c>
      <x:c r="HI503" t="n">
        <x:f>IF(AND('Calculations'!HN503&lt;&gt;"",COUNTIF('Calculations'!$HN$12:HN503,"="&amp;SUBSTITUTE(SUBSTITUTE(SUBSTITUTE('Calculations'!HN503,"~","~~"),"*","~*"),"?","~?"))=1),MAX('Calculations'!$HI$12:HI502)+1,0)</x:f>
        <x:v>0</x:v>
      </x:c>
      <x:c r="HJ503" t="str">
        <x:f>IF('Calculations'!HF503="","",IF(COUNTIF('Calculations'!$HE$13:$HE$512,"="&amp;SUBSTITUTE(SUBSTITUTE(SUBSTITUTE('Calculations'!HF503,"~","~~"),"*","~*"),"?","~?"))=1,INDEX('Calculations'!$HK$13:$HK$512,MATCH('Calculations'!HF503,'Calculations'!$HE$13:$HE$512,0)),IFERROR(IF(INDEX(INDIRECT("'WCM Calibration Final'!$E$1:$E$2000"),'Calculations'!$EM503)="","",TRIM(INDEX(INDIRECT("'WCM Calibration Final'!$E$1:$E$2000"),'Calculations'!$EM503)&amp;"")),"")&amp;" ["&amp;'Calculations'!HF503&amp;"]"))</x:f>
      </x:c>
      <x:c r="HK503" t="str">
        <x:f>IF('Calculations'!EM503="","",'Calculations'!HG503&amp;" ["&amp;'Calculations'!HE503&amp;"]")</x:f>
      </x:c>
      <x:c r="HL503" t="n">
        <x:f>IF('Calculations'!EM503="",0,IF(OR('Calculations'!II503&lt;&gt;"",COUNTIF('Calculations'!$HE$13:$HE$512,"="&amp;SUBSTITUTE(SUBSTITUTE(SUBSTITUTE('Calculations'!HE503,"~","~~"),"*","~*"),"?","~?"))&gt;1),1,0))</x:f>
        <x:v>0</x:v>
      </x:c>
      <x:c r="HM503" t="str">
        <x:f>IF('Calculations'!EM503="","",IF('Calculations'!HL503=1,"!UNRESOLVED",IF('Calculations'!IH503&lt;&gt;"",'Calculations'!IH503,IF('Calculations'!IG503&lt;&gt;"",'Calculations'!IG503,IF('Calculations'!IF503&lt;&gt;"",'Calculations'!IF503,IF('Calculations'!IE503&lt;&gt;"",'Calculations'!IE503,IF('Calculations'!ID503&lt;&gt;"",'Calculations'!ID503,IF('Calculations'!IC503&lt;&gt;"",'Calculations'!IC503,IF('Calculations'!IB503&lt;&gt;"",'Calculations'!IB503,IF('Calculations'!IA503&lt;&gt;"",'Calculations'!IA503,IF('Calculations'!HZ503&lt;&gt;"",'Calculations'!HZ503,IF('Calculations'!HY503&lt;&gt;"",'Calculations'!HY503,IF('Calculations'!HX503&lt;&gt;"",'Calculations'!HX503,IF('Calculations'!HW503&lt;&gt;"",'Calculations'!HW503,IF('Calculations'!HV503&lt;&gt;"",'Calculations'!HV503,IF('Calculations'!HU503&lt;&gt;"",'Calculations'!HU503,IF('Calculations'!HT503&lt;&gt;"",'Calculations'!HT503,IF('Calculations'!HS503&lt;&gt;"",'Calculations'!HS503,IF('Calculations'!HR503&lt;&gt;"",'Calculations'!HR503,IF('Calculations'!HQ503&lt;&gt;"",'Calculations'!HQ503,IF('Calculations'!HP503&lt;&gt;"",'Calculations'!HP503,IF('Calculations'!HO503&lt;&gt;"",'Calculations'!HO503,'Calculations'!HE503))))))))))))))))))))))</x:f>
      </x:c>
      <x:c r="HN503" t="str">
        <x:f>IF('Calculations'!EM503="","",IF(IFERROR(IF(INDEX(INDIRECT("'WCM Calibration Final'!$F$1:$F$2000"),'Calculations'!$EM503)="","",TRIM(INDEX(INDIRECT("'WCM Calibration Final'!$F$1:$F$2000"),'Calculations'!$EM503)&amp;"")),"")="","(Blank)",IFERROR(IF(INDEX(INDIRECT("'WCM Calibration Final'!$F$1:$F$2000"),'Calculations'!$EM503)="","",TRIM(INDEX(INDIRECT("'WCM Calibration Final'!$F$1:$F$2000"),'Calculations'!$EM503)&amp;"")),"")))</x:f>
      </x:c>
      <x:c r="HO503" t="str">
        <x:f>'Calculations'!HF503</x:f>
      </x:c>
      <x:c r="HP503" t="str">
        <x:f>IF('Calculations'!HO503="","",IF('Calculations'!HO503="!AMBIG","!AMBIG",IF(COUNTIF('Calculations'!$HE$13:$HE$512,"="&amp;SUBSTITUTE(SUBSTITUTE(SUBSTITUTE('Calculations'!HO503,"~","~~"),"*","~*"),"?","~?"))&gt;1,"!AMBIG",IFERROR(INDEX('Calculations'!$HF$13:$HF$512,MATCH('Calculations'!HO503,'Calculations'!$HE$13:$HE$512,0)),""))))</x:f>
      </x:c>
      <x:c r="HQ503" t="str">
        <x:f>IF('Calculations'!HP503="","",IF('Calculations'!HP503="!AMBIG","!AMBIG",IF(COUNTIF('Calculations'!$HE$13:$HE$512,"="&amp;SUBSTITUTE(SUBSTITUTE(SUBSTITUTE('Calculations'!HP503,"~","~~"),"*","~*"),"?","~?"))&gt;1,"!AMBIG",IFERROR(INDEX('Calculations'!$HF$13:$HF$512,MATCH('Calculations'!HP503,'Calculations'!$HE$13:$HE$512,0)),""))))</x:f>
      </x:c>
      <x:c r="HR503" t="str">
        <x:f>IF('Calculations'!HQ503="","",IF('Calculations'!HQ503="!AMBIG","!AMBIG",IF(COUNTIF('Calculations'!$HE$13:$HE$512,"="&amp;SUBSTITUTE(SUBSTITUTE(SUBSTITUTE('Calculations'!HQ503,"~","~~"),"*","~*"),"?","~?"))&gt;1,"!AMBIG",IFERROR(INDEX('Calculations'!$HF$13:$HF$512,MATCH('Calculations'!HQ503,'Calculations'!$HE$13:$HE$512,0)),""))))</x:f>
      </x:c>
      <x:c r="HS503" t="str">
        <x:f>IF('Calculations'!HR503="","",IF('Calculations'!HR503="!AMBIG","!AMBIG",IF(COUNTIF('Calculations'!$HE$13:$HE$512,"="&amp;SUBSTITUTE(SUBSTITUTE(SUBSTITUTE('Calculations'!HR503,"~","~~"),"*","~*"),"?","~?"))&gt;1,"!AMBIG",IFERROR(INDEX('Calculations'!$HF$13:$HF$512,MATCH('Calculations'!HR503,'Calculations'!$HE$13:$HE$512,0)),""))))</x:f>
      </x:c>
      <x:c r="HT503" t="str">
        <x:f>IF('Calculations'!HS503="","",IF('Calculations'!HS503="!AMBIG","!AMBIG",IF(COUNTIF('Calculations'!$HE$13:$HE$512,"="&amp;SUBSTITUTE(SUBSTITUTE(SUBSTITUTE('Calculations'!HS503,"~","~~"),"*","~*"),"?","~?"))&gt;1,"!AMBIG",IFERROR(INDEX('Calculations'!$HF$13:$HF$512,MATCH('Calculations'!HS503,'Calculations'!$HE$13:$HE$512,0)),""))))</x:f>
      </x:c>
      <x:c r="HU503" t="str">
        <x:f>IF('Calculations'!HT503="","",IF('Calculations'!HT503="!AMBIG","!AMBIG",IF(COUNTIF('Calculations'!$HE$13:$HE$512,"="&amp;SUBSTITUTE(SUBSTITUTE(SUBSTITUTE('Calculations'!HT503,"~","~~"),"*","~*"),"?","~?"))&gt;1,"!AMBIG",IFERROR(INDEX('Calculations'!$HF$13:$HF$512,MATCH('Calculations'!HT503,'Calculations'!$HE$13:$HE$512,0)),""))))</x:f>
      </x:c>
      <x:c r="HV503" t="str">
        <x:f>IF('Calculations'!HU503="","",IF('Calculations'!HU503="!AMBIG","!AMBIG",IF(COUNTIF('Calculations'!$HE$13:$HE$512,"="&amp;SUBSTITUTE(SUBSTITUTE(SUBSTITUTE('Calculations'!HU503,"~","~~"),"*","~*"),"?","~?"))&gt;1,"!AMBIG",IFERROR(INDEX('Calculations'!$HF$13:$HF$512,MATCH('Calculations'!HU503,'Calculations'!$HE$13:$HE$512,0)),""))))</x:f>
      </x:c>
      <x:c r="HW503" t="str">
        <x:f>IF('Calculations'!HV503="","",IF('Calculations'!HV503="!AMBIG","!AMBIG",IF(COUNTIF('Calculations'!$HE$13:$HE$512,"="&amp;SUBSTITUTE(SUBSTITUTE(SUBSTITUTE('Calculations'!HV503,"~","~~"),"*","~*"),"?","~?"))&gt;1,"!AMBIG",IFERROR(INDEX('Calculations'!$HF$13:$HF$512,MATCH('Calculations'!HV503,'Calculations'!$HE$13:$HE$512,0)),""))))</x:f>
      </x:c>
      <x:c r="HX503" t="str">
        <x:f>IF('Calculations'!HW503="","",IF('Calculations'!HW503="!AMBIG","!AMBIG",IF(COUNTIF('Calculations'!$HE$13:$HE$512,"="&amp;SUBSTITUTE(SUBSTITUTE(SUBSTITUTE('Calculations'!HW503,"~","~~"),"*","~*"),"?","~?"))&gt;1,"!AMBIG",IFERROR(INDEX('Calculations'!$HF$13:$HF$512,MATCH('Calculations'!HW503,'Calculations'!$HE$13:$HE$512,0)),""))))</x:f>
      </x:c>
      <x:c r="HY503" t="str">
        <x:f>IF('Calculations'!HX503="","",IF('Calculations'!HX503="!AMBIG","!AMBIG",IF(COUNTIF('Calculations'!$HE$13:$HE$512,"="&amp;SUBSTITUTE(SUBSTITUTE(SUBSTITUTE('Calculations'!HX503,"~","~~"),"*","~*"),"?","~?"))&gt;1,"!AMBIG",IFERROR(INDEX('Calculations'!$HF$13:$HF$512,MATCH('Calculations'!HX503,'Calculations'!$HE$13:$HE$512,0)),""))))</x:f>
      </x:c>
      <x:c r="HZ503" t="str">
        <x:f>IF('Calculations'!HY503="","",IF('Calculations'!HY503="!AMBIG","!AMBIG",IF(COUNTIF('Calculations'!$HE$13:$HE$512,"="&amp;SUBSTITUTE(SUBSTITUTE(SUBSTITUTE('Calculations'!HY503,"~","~~"),"*","~*"),"?","~?"))&gt;1,"!AMBIG",IFERROR(INDEX('Calculations'!$HF$13:$HF$512,MATCH('Calculations'!HY503,'Calculations'!$HE$13:$HE$512,0)),""))))</x:f>
      </x:c>
      <x:c r="IA503" t="str">
        <x:f>IF('Calculations'!HZ503="","",IF('Calculations'!HZ503="!AMBIG","!AMBIG",IF(COUNTIF('Calculations'!$HE$13:$HE$512,"="&amp;SUBSTITUTE(SUBSTITUTE(SUBSTITUTE('Calculations'!HZ503,"~","~~"),"*","~*"),"?","~?"))&gt;1,"!AMBIG",IFERROR(INDEX('Calculations'!$HF$13:$HF$512,MATCH('Calculations'!HZ503,'Calculations'!$HE$13:$HE$512,0)),""))))</x:f>
      </x:c>
      <x:c r="IB503" t="str">
        <x:f>IF('Calculations'!IA503="","",IF('Calculations'!IA503="!AMBIG","!AMBIG",IF(COUNTIF('Calculations'!$HE$13:$HE$512,"="&amp;SUBSTITUTE(SUBSTITUTE(SUBSTITUTE('Calculations'!IA503,"~","~~"),"*","~*"),"?","~?"))&gt;1,"!AMBIG",IFERROR(INDEX('Calculations'!$HF$13:$HF$512,MATCH('Calculations'!IA503,'Calculations'!$HE$13:$HE$512,0)),""))))</x:f>
      </x:c>
      <x:c r="IC503" t="str">
        <x:f>IF('Calculations'!IB503="","",IF('Calculations'!IB503="!AMBIG","!AMBIG",IF(COUNTIF('Calculations'!$HE$13:$HE$512,"="&amp;SUBSTITUTE(SUBSTITUTE(SUBSTITUTE('Calculations'!IB503,"~","~~"),"*","~*"),"?","~?"))&gt;1,"!AMBIG",IFERROR(INDEX('Calculations'!$HF$13:$HF$512,MATCH('Calculations'!IB503,'Calculations'!$HE$13:$HE$512,0)),""))))</x:f>
      </x:c>
      <x:c r="ID503" t="str">
        <x:f>IF('Calculations'!IC503="","",IF('Calculations'!IC503="!AMBIG","!AMBIG",IF(COUNTIF('Calculations'!$HE$13:$HE$512,"="&amp;SUBSTITUTE(SUBSTITUTE(SUBSTITUTE('Calculations'!IC503,"~","~~"),"*","~*"),"?","~?"))&gt;1,"!AMBIG",IFERROR(INDEX('Calculations'!$HF$13:$HF$512,MATCH('Calculations'!IC503,'Calculations'!$HE$13:$HE$512,0)),""))))</x:f>
      </x:c>
      <x:c r="IE503" t="str">
        <x:f>IF('Calculations'!ID503="","",IF('Calculations'!ID503="!AMBIG","!AMBIG",IF(COUNTIF('Calculations'!$HE$13:$HE$512,"="&amp;SUBSTITUTE(SUBSTITUTE(SUBSTITUTE('Calculations'!ID503,"~","~~"),"*","~*"),"?","~?"))&gt;1,"!AMBIG",IFERROR(INDEX('Calculations'!$HF$13:$HF$512,MATCH('Calculations'!ID503,'Calculations'!$HE$13:$HE$512,0)),""))))</x:f>
      </x:c>
      <x:c r="IF503" t="str">
        <x:f>IF('Calculations'!IE503="","",IF('Calculations'!IE503="!AMBIG","!AMBIG",IF(COUNTIF('Calculations'!$HE$13:$HE$512,"="&amp;SUBSTITUTE(SUBSTITUTE(SUBSTITUTE('Calculations'!IE503,"~","~~"),"*","~*"),"?","~?"))&gt;1,"!AMBIG",IFERROR(INDEX('Calculations'!$HF$13:$HF$512,MATCH('Calculations'!IE503,'Calculations'!$HE$13:$HE$512,0)),""))))</x:f>
      </x:c>
      <x:c r="IG503" t="str">
        <x:f>IF('Calculations'!IF503="","",IF('Calculations'!IF503="!AMBIG","!AMBIG",IF(COUNTIF('Calculations'!$HE$13:$HE$512,"="&amp;SUBSTITUTE(SUBSTITUTE(SUBSTITUTE('Calculations'!IF503,"~","~~"),"*","~*"),"?","~?"))&gt;1,"!AMBIG",IFERROR(INDEX('Calculations'!$HF$13:$HF$512,MATCH('Calculations'!IF503,'Calculations'!$HE$13:$HE$512,0)),""))))</x:f>
      </x:c>
      <x:c r="IH503" t="str">
        <x:f>IF('Calculations'!IG503="","",IF('Calculations'!IG503="!AMBIG","!AMBIG",IF(COUNTIF('Calculations'!$HE$13:$HE$512,"="&amp;SUBSTITUTE(SUBSTITUTE(SUBSTITUTE('Calculations'!IG503,"~","~~"),"*","~*"),"?","~?"))&gt;1,"!AMBIG",IFERROR(INDEX('Calculations'!$HF$13:$HF$512,MATCH('Calculations'!IG503,'Calculations'!$HE$13:$HE$512,0)),""))))</x:f>
      </x:c>
      <x:c r="II503" t="str">
        <x:f>IF('Calculations'!IH503="","",IF('Calculations'!IH503="!AMBIG","!AMBIG",IF(COUNTIF('Calculations'!$HE$13:$HE$512,"="&amp;SUBSTITUTE(SUBSTITUTE(SUBSTITUTE('Calculations'!IH503,"~","~~"),"*","~*"),"?","~?"))&gt;1,"!AMBIG",IFERROR(INDEX('Calculations'!$HF$13:$HF$512,MATCH('Calculations'!IH503,'Calculations'!$HE$13:$HE$512,0)),""))))</x:f>
      </x:c>
      <x:c r="IJ503" t="str">
        <x:f>IF('Calculations'!EM503="","",IF('Calculations'!$EF$2="All",'Calculations'!HM503,IF('Calculations'!HL503=1,"",IFERROR(IF(MATCH('Calculations'!$EF$2,'Calculations'!HO503:II503,0)=1,'Calculations'!HE503,INDEX('Calculations'!HO503:II503,1,MATCH('Calculations'!$EF$2,'Calculations'!HO503:II503,0)-1)),""))))</x:f>
      </x:c>
      <x:c r="IK503" t="n">
        <x:f>IF(AND('Calculations'!EM503&lt;&gt;"",'Calculations'!$EF$2&lt;&gt;"All",'Calculations'!HF503='Calculations'!$EF$2,'Calculations'!HL503=0,'Calculations'!JD503&gt;0),MAX('Calculations'!$IK$12:IK502)+1,0)</x:f>
        <x:v>0</x:v>
      </x:c>
      <x:c r="JA503" t="n">
        <x:f>IF(OR(IFERROR(INDIRECT("'WCM Calibration Final'!$A$503")&lt;&gt;"",FALSE),IFERROR(INDIRECT("'WCM Calibration Final'!$B$503")&lt;&gt;"",FALSE),IFERROR(INDIRECT("'WCM Calibration Final'!$C$503")&lt;&gt;"",FALSE)),503,0)</x:f>
        <x:v>0</x:v>
      </x:c>
      <x:c r="JB503" t="n">
        <x:f>'Calculations'!JB502+IF('Calculations'!JA503&gt;0,1,0)</x:f>
        <x:v>0</x:v>
      </x:c>
      <x:c r="JC503" t="n">
        <x:f>IF(OR('Calculations'!HF503="",'Calculations'!HF503="!AMBIG"),0,IF('Dashboard'!$B$7="All",1,COUNTIFS('Calculations'!$HO$13:$HO$512,"="&amp;SUBSTITUTE(SUBSTITUTE(SUBSTITUTE('Calculations'!HF503,"~","~~"),"*","~*"),"?","~?"),'Calculations'!$HN$13:$HN$512,"="&amp;SUBSTITUTE(SUBSTITUTE(SUBSTITUTE('Dashboard'!$B$7,"~","~~"),"*","~*"),"?","~?"))+COUNTIFS('Calculations'!$HP$13:$HP$512,"="&amp;SUBSTITUTE(SUBSTITUTE(SUBSTITUTE('Calculations'!HF503,"~","~~"),"*","~*"),"?","~?"),'Calculations'!$HN$13:$HN$512,"="&amp;SUBSTITUTE(SUBSTITUTE(SUBSTITUTE('Dashboard'!$B$7,"~","~~"),"*","~*"),"?","~?"))+COUNTIFS('Calculations'!$HQ$13:$HQ$512,"="&amp;SUBSTITUTE(SUBSTITUTE(SUBSTITUTE('Calculations'!HF503,"~","~~"),"*","~*"),"?","~?"),'Calculations'!$HN$13:$HN$512,"="&amp;SUBSTITUTE(SUBSTITUTE(SUBSTITUTE('Dashboard'!$B$7,"~","~~"),"*","~*"),"?","~?"))+COUNTIFS('Calculations'!$HR$13:$HR$512,"="&amp;SUBSTITUTE(SUBSTITUTE(SUBSTITUTE('Calculations'!HF503,"~","~~"),"*","~*"),"?","~?"),'Calculations'!$HN$13:$HN$512,"="&amp;SUBSTITUTE(SUBSTITUTE(SUBSTITUTE('Dashboard'!$B$7,"~","~~"),"*","~*"),"?","~?"))+COUNTIFS('Calculations'!$HS$13:$HS$512,"="&amp;SUBSTITUTE(SUBSTITUTE(SUBSTITUTE('Calculations'!HF503,"~","~~"),"*","~*"),"?","~?"),'Calculations'!$HN$13:$HN$512,"="&amp;SUBSTITUTE(SUBSTITUTE(SUBSTITUTE('Dashboard'!$B$7,"~","~~"),"*","~*"),"?","~?"))+COUNTIFS('Calculations'!$HT$13:$HT$512,"="&amp;SUBSTITUTE(SUBSTITUTE(SUBSTITUTE('Calculations'!HF503,"~","~~"),"*","~*"),"?","~?"),'Calculations'!$HN$13:$HN$512,"="&amp;SUBSTITUTE(SUBSTITUTE(SUBSTITUTE('Dashboard'!$B$7,"~","~~"),"*","~*"),"?","~?"))+COUNTIFS('Calculations'!$HU$13:$HU$512,"="&amp;SUBSTITUTE(SUBSTITUTE(SUBSTITUTE('Calculations'!HF503,"~","~~"),"*","~*"),"?","~?"),'Calculations'!$HN$13:$HN$512,"="&amp;SUBSTITUTE(SUBSTITUTE(SUBSTITUTE('Dashboard'!$B$7,"~","~~"),"*","~*"),"?","~?"))+COUNTIFS('Calculations'!$HV$13:$HV$512,"="&amp;SUBSTITUTE(SUBSTITUTE(SUBSTITUTE('Calculations'!HF503,"~","~~"),"*","~*"),"?","~?"),'Calculations'!$HN$13:$HN$512,"="&amp;SUBSTITUTE(SUBSTITUTE(SUBSTITUTE('Dashboard'!$B$7,"~","~~"),"*","~*"),"?","~?"))+COUNTIFS('Calculations'!$HW$13:$HW$512,"="&amp;SUBSTITUTE(SUBSTITUTE(SUBSTITUTE('Calculations'!HF503,"~","~~"),"*","~*"),"?","~?"),'Calculations'!$HN$13:$HN$512,"="&amp;SUBSTITUTE(SUBSTITUTE(SUBSTITUTE('Dashboard'!$B$7,"~","~~"),"*","~*"),"?","~?"))+COUNTIFS('Calculations'!$HX$13:$HX$512,"="&amp;SUBSTITUTE(SUBSTITUTE(SUBSTITUTE('Calculations'!HF503,"~","~~"),"*","~*"),"?","~?"),'Calculations'!$HN$13:$HN$512,"="&amp;SUBSTITUTE(SUBSTITUTE(SUBSTITUTE('Dashboard'!$B$7,"~","~~"),"*","~*"),"?","~?"))+COUNTIFS('Calculations'!$HY$13:$HY$512,"="&amp;SUBSTITUTE(SUBSTITUTE(SUBSTITUTE('Calculations'!HF503,"~","~~"),"*","~*"),"?","~?"),'Calculations'!$HN$13:$HN$512,"="&amp;SUBSTITUTE(SUBSTITUTE(SUBSTITUTE('Dashboard'!$B$7,"~","~~"),"*","~*"),"?","~?"))+COUNTIFS('Calculations'!$HZ$13:$HZ$512,"="&amp;SUBSTITUTE(SUBSTITUTE(SUBSTITUTE('Calculations'!HF503,"~","~~"),"*","~*"),"?","~?"),'Calculations'!$HN$13:$HN$512,"="&amp;SUBSTITUTE(SUBSTITUTE(SUBSTITUTE('Dashboard'!$B$7,"~","~~"),"*","~*"),"?","~?"))+COUNTIFS('Calculations'!$IA$13:$IA$512,"="&amp;SUBSTITUTE(SUBSTITUTE(SUBSTITUTE('Calculations'!HF503,"~","~~"),"*","~*"),"?","~?"),'Calculations'!$HN$13:$HN$512,"="&amp;SUBSTITUTE(SUBSTITUTE(SUBSTITUTE('Dashboard'!$B$7,"~","~~"),"*","~*"),"?","~?"))+COUNTIFS('Calculations'!$IB$13:$IB$512,"="&amp;SUBSTITUTE(SUBSTITUTE(SUBSTITUTE('Calculations'!HF503,"~","~~"),"*","~*"),"?","~?"),'Calculations'!$HN$13:$HN$512,"="&amp;SUBSTITUTE(SUBSTITUTE(SUBSTITUTE('Dashboard'!$B$7,"~","~~"),"*","~*"),"?","~?"))+COUNTIFS('Calculations'!$IC$13:$IC$512,"="&amp;SUBSTITUTE(SUBSTITUTE(SUBSTITUTE('Calculations'!HF503,"~","~~"),"*","~*"),"?","~?"),'Calculations'!$HN$13:$HN$512,"="&amp;SUBSTITUTE(SUBSTITUTE(SUBSTITUTE('Dashboard'!$B$7,"~","~~"),"*","~*"),"?","~?"))+COUNTIFS('Calculations'!$ID$13:$ID$512,"="&amp;SUBSTITUTE(SUBSTITUTE(SUBSTITUTE('Calculations'!HF503,"~","~~"),"*","~*"),"?","~?"),'Calculations'!$HN$13:$HN$512,"="&amp;SUBSTITUTE(SUBSTITUTE(SUBSTITUTE('Dashboard'!$B$7,"~","~~"),"*","~*"),"?","~?"))+COUNTIFS('Calculations'!$IE$13:$IE$512,"="&amp;SUBSTITUTE(SUBSTITUTE(SUBSTITUTE('Calculations'!HF503,"~","~~"),"*","~*"),"?","~?"),'Calculations'!$HN$13:$HN$512,"="&amp;SUBSTITUTE(SUBSTITUTE(SUBSTITUTE('Dashboard'!$B$7,"~","~~"),"*","~*"),"?","~?"))+COUNTIFS('Calculations'!$IF$13:$IF$512,"="&amp;SUBSTITUTE(SUBSTITUTE(SUBSTITUTE('Calculations'!HF503,"~","~~"),"*","~*"),"?","~?"),'Calculations'!$HN$13:$HN$512,"="&amp;SUBSTITUTE(SUBSTITUTE(SUBSTITUTE('Dashboard'!$B$7,"~","~~"),"*","~*"),"?","~?"))+COUNTIFS('Calculations'!$IG$13:$IG$512,"="&amp;SUBSTITUTE(SUBSTITUTE(SUBSTITUTE('Calculations'!HF503,"~","~~"),"*","~*"),"?","~?"),'Calculations'!$HN$13:$HN$512,"="&amp;SUBSTITUTE(SUBSTITUTE(SUBSTITUTE('Dashboard'!$B$7,"~","~~"),"*","~*"),"?","~?"))+COUNTIFS('Calculations'!$IH$13:$IH$512,"="&amp;SUBSTITUTE(SUBSTITUTE(SUBSTITUTE('Calculations'!HF503,"~","~~"),"*","~*"),"?","~?"),'Calculations'!$HN$13:$HN$512,"="&amp;SUBSTITUTE(SUBSTITUTE(SUBSTITUTE('Dashboard'!$B$7,"~","~~"),"*","~*"),"?","~?"))))</x:f>
        <x:v>0</x:v>
      </x:c>
      <x:c r="JD503" t="n">
        <x:f>IF('Calculations'!EM503="",0,IF('Dashboard'!$B$7="All",1,IF('Calculations'!HN503='Dashboard'!$B$7,1,0)+IFERROR(INDEX('Calculations'!$JC$13:$JC$512,MATCH('Calculations'!HE503,'Calculations'!$HF$13:$HF$512,0)),0)))</x:f>
        <x:v>0</x:v>
      </x:c>
      <x:c r="JE503" t="n">
        <x:f>IF(AND('Calculations'!EM503&lt;&gt;"",'Calculations'!$JJ$2&lt;&gt;"All",'Calculations'!$JJ$2&lt;&gt;"",'Calculations'!HF503='Calculations'!$JJ$2,'Calculations'!HL503=0,'Calculations'!JD503&gt;0),MAX('Calculations'!$JE$12:JE502)+1,0)</x:f>
        <x:v>0</x:v>
      </x:c>
      <x:c r="JF503" t="str">
        <x:f>IF('Calculations'!EM503="","",IFERROR(IF(INDEX(INDIRECT("'WCM Calibration Final'!$G$1:$G$2000"),'Calculations'!$EM503)="","",TRIM(INDEX(INDIRECT("'WCM Calibration Final'!$G$1:$G$2000"),'Calculations'!$EM503)&amp;"")),""))</x:f>
      </x:c>
      <x:c r="JQ503" t="n">
        <x:f>IF(OR('Calculations'!BM503=0,NOT('Calculations'!$AG$2),'Calculations'!$AG$8&gt;0),0,IF(OR('Dashboard'!$B$7="All",'Calculations'!HN503='Dashboard'!$B$7),IF('Calculations'!$JJ$2="All",1,IF(AND('Calculations'!HF503='Calculations'!$JJ$2,'Calculations'!HL503=0),1,0)),0))</x:f>
        <x:v>0</x:v>
      </x:c>
    </x:row>
    <x:row r="504">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t="n">
        <x:f>IF('Calculations'!$EM504="",0,IF(OR(IFERROR(INDEX(INDIRECT("'WCM Calibration Final'!$A$1:$A$2000"),'Calculations'!$EM504)&lt;&gt;"",FALSE),IFERROR(INDEX(INDIRECT("'WCM Calibration Final'!$B$1:$B$2000"),'Calculations'!$EM504)&lt;&gt;"",FALSE),IFERROR(INDEX(INDIRECT("'WCM Calibration Final'!$C$1:$C$2000"),'Calculations'!$EM504)&lt;&gt;"",FALSE)),1,0))</x:f>
        <x:v>0</x:v>
      </x:c>
      <x:c r="BN504" s="4" t="n">
        <x:f>IF(AND('Calculations'!BM504=1,'Calculations'!$AG$2,'Calculations'!$EN504=1),1,0)</x:f>
        <x:v>0</x:v>
      </x:c>
      <x:c r="BO504" s="4" t="str">
        <x:f>IF('Calculations'!BM504=0,"",IFERROR(IF(AND(VALUE(INDEX(INDIRECT("'WCM Calibration Final'!$K$1:$K$2000"),'Calculations'!$EM504))&gt;=1,VALUE(INDEX(INDIRECT("'WCM Calibration Final'!$K$1:$K$2000"),'Calculations'!$EM504))&lt;=4,MOD(VALUE(INDEX(INDIRECT("'WCM Calibration Final'!$K$1:$K$2000"),'Calculations'!$EM504)),1)=0),VALUE(INDEX(INDIRECT("'WCM Calibration Final'!$K$1:$K$2000"),'Calculations'!$EM504)),""),""))</x:f>
      </x:c>
      <x:c r="BP504" s="4" t="str">
        <x:f>IF('Calculations'!BM504=0,"",IFERROR(IF(AND(VALUE(INDEX(INDIRECT("'WCM Calibration Final'!$L$1:$L$2000"),'Calculations'!$EM504))&gt;=1,VALUE(INDEX(INDIRECT("'WCM Calibration Final'!$L$1:$L$2000"),'Calculations'!$EM504))&lt;=4,MOD(VALUE(INDEX(INDIRECT("'WCM Calibration Final'!$L$1:$L$2000"),'Calculations'!$EM504)),1)=0),VALUE(INDEX(INDIRECT("'WCM Calibration Final'!$L$1:$L$2000"),'Calculations'!$EM504)),""),""))</x:f>
      </x:c>
      <x:c r="BQ504" s="4"/>
      <x:c r="BR504" s="4"/>
      <x:c r="BS504" s="4"/>
      <x:c r="BT504" s="4" t="n">
        <x:f>IF(AND('Calculations'!BM504=1,ISNUMBER('Calculations'!BO504),ISNUMBER('Calculations'!BP504)),1,0)</x:f>
        <x:v>0</x:v>
      </x:c>
      <x:c r="BU504" s="4" t="str">
        <x:f>IF('Calculations'!BM504=0,"",'Calculations'!$EO504)</x:f>
      </x:c>
      <x:c r="BV504" s="4" t="str">
        <x:f>IF('Calculations'!BM504=0,"",IFERROR(IF(OR(INDEX(INDIRECT("'WCM Calibration Final'!$H$1:$H$2000"),'Calculations'!$EM504)="MANAGING DIRECTOR",INDEX(INDIRECT("'WCM Calibration Final'!$H$1:$H$2000"),'Calculations'!$EM504)="DIRECTOR",INDEX(INDIRECT("'WCM Calibration Final'!$H$1:$H$2000"),'Calculations'!$EM504)="SENIOR VICE PRESIDENT",INDEX(INDIRECT("'WCM Calibration Final'!$H$1:$H$2000"),'Calculations'!$EM504)="VICE PRESIDENT",INDEX(INDIRECT("'WCM Calibration Final'!$H$1:$H$2000"),'Calculations'!$EM504)="ASSISTANT VICE PRESIDENT",INDEX(INDIRECT("'WCM Calibration Final'!$H$1:$H$2000"),'Calculations'!$EM504)="OFFICER"),UPPER(INDEX(INDIRECT("'WCM Calibration Final'!$H$1:$H$2000"),'Calculations'!$EM504)),"Other"),"Other"))</x:f>
      </x:c>
      <x:c r="BW504" s="4"/>
      <x:c r="BX504" s="4"/>
      <x:c r="BY504" s="4" t="n">
        <x:f>IF(AND('Calculations'!BM504=1,'Calculations'!BU504&lt;&gt;"",COUNTIF('Calculations'!$BU$12:BU504,'Calculations'!BU504)=1),MAX('Calculations'!$BY$11:BY503)+1,0)</x:f>
        <x:v>0</x:v>
      </x:c>
      <x:c r="BZ504" s="4" t="str">
        <x:f>IF('Dashboard'!$E$67="What",'Calculations'!BO504,'Calculations'!BP504)</x:f>
      </x:c>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t="str">
        <x:f>IF(493&gt;MAX('Calculations'!$HI$13:$HI$512),"",INDEX('Calculations'!$HN$13:$HN$512,MATCH(493,'Calculations'!$HI$13:$HI$512,0)))</x:f>
      </x:c>
      <x:c r="DB504" s="4" t="str">
        <x:f>IF(493&gt;MAX('Calculations'!$HH$13:$HH$512),"",INDEX('Calculations'!$HJ$13:$HJ$512,MATCH(493,'Calculations'!$HH$13:$HH$512,0)))</x:f>
      </x:c>
      <x:c r="DC504" s="4" t="str">
        <x:f>IF(ROW()-11&gt;MAX('Calculations'!$BY$13:$BY$512),"",INDEX('Calculations'!$BU$13:$BU$512,MATCH(ROW()-11,'Calculations'!$BY$13:$BY$512,0)))</x:f>
      </x:c>
      <x:c r="DD504" s="4" t="str">
        <x:f>IF(493&gt;MAX('Calculations'!$IK$13:$IK$512),"",INDEX('Calculations'!$HK$13:$HK$512,MATCH(493,'Calculations'!$IK$13:$IK$512,0)))</x:f>
      </x:c>
      <x:c r="DE504" s="4" t="str">
        <x:f>'Calculations'!DC504</x:f>
      </x:c>
      <x:c r="DF504" s="4" t="str">
        <x:f>IF('Calculations'!DE504="","",COUNTIFS('Calculations'!$BN$13:$BN$512,1,'Calculations'!$BU$13:$BU$512,'Calculations'!DE504))</x:f>
      </x:c>
      <x:c r="DG504" s="4" t="str">
        <x:f>IF('Calculations'!DE504="","",COUNTIFS('Calculations'!$BN$13:$BN$512,1,'Calculations'!$BU$13:$BU$512,'Calculations'!DE504,'Calculations'!$BT$13:$BT$512,1))</x:f>
      </x:c>
      <x:c r="DH504" s="4" t="str">
        <x:f>IF('Calculations'!DE504="","",'Calculations'!DF504-'Calculations'!DG504)</x:f>
      </x:c>
      <x:c r="DI504" s="4" t="str">
        <x:f>IF(OR('Calculations'!DE504="",'Calculations'!DF504=0),"",'Calculations'!DG504/'Calculations'!DF504)</x:f>
      </x:c>
      <x:c r="DJ504" s="4" t="str">
        <x:f>IF('Calculations'!DE504="","",COUNTIFS('Calculations'!$BN$13:$BN$512,1,'Calculations'!$BU$13:$BU$512,'Calculations'!DE504,'Calculations'!$BT$13:$BT$512,1,'Calculations'!$EE$13:$EE$512,"High"))</x:f>
      </x:c>
      <x:c r="DK504" s="4" t="str">
        <x:f>IF('Calculations'!DE504="","",COUNTIFS('Calculations'!$BN$13:$BN$512,1,'Calculations'!$BU$13:$BU$512,'Calculations'!DE504,'Calculations'!$BT$13:$BT$512,1,'Calculations'!$EE$13:$EE$512,"Strong"))</x:f>
      </x:c>
      <x:c r="DL504" s="4" t="str">
        <x:f>IF('Calculations'!DE504="","",COUNTIFS('Calculations'!$BN$13:$BN$512,1,'Calculations'!$BU$13:$BU$512,'Calculations'!DE504,'Calculations'!$BT$13:$BT$512,1,'Calculations'!$EE$13:$EE$512,"Solid"))</x:f>
      </x:c>
      <x:c r="DM504" s="4" t="str">
        <x:f>IF('Calculations'!DE504="","",COUNTIFS('Calculations'!$BN$13:$BN$512,1,'Calculations'!$BU$13:$BU$512,'Calculations'!DE504,'Calculations'!$BT$13:$BT$512,1,'Calculations'!$EE$13:$EE$512,"Low"))</x:f>
      </x:c>
      <x:c r="DN504" s="4" t="str">
        <x:f>IF('Calculations'!DE504="","",COUNTIFS('Calculations'!$BN$13:$BN$512,1,'Calculations'!$BU$13:$BU$512,'Calculations'!DE504,'Calculations'!$EP$13:$EP$512,1))</x:f>
      </x:c>
      <x:c r="DO504" s="4" t="str">
        <x:f>IF(OR('Calculations'!DE504="",'Calculations'!DG504=0),"",('Calculations'!DJ504+'Calculations'!DK504)/'Calculations'!DG504)</x:f>
      </x:c>
      <x:c r="DP504" s="4" t="n">
        <x:f>IF(AND('Calculations'!DE504&lt;&gt;"",'Calculations'!DF504&gt;0),COUNTIF('Calculations'!$DF$12:DF504,"&gt;0"),0)</x:f>
        <x:v>0</x:v>
      </x:c>
      <x:c r="DQ504" s="4" t="str">
        <x:f>IF(493&gt;MAX('Calculations'!$HH$13:$HH$512),"",INDEX('Calculations'!$HF$13:$HF$512,MATCH(493,'Calculations'!$HH$13:$HH$512,0)))</x:f>
      </x:c>
      <x:c r="DR504" s="4" t="str">
        <x:f>IF(493&gt;MAX('Calculations'!$IK$13:$IK$512),"",INDEX('Calculations'!$HE$13:$HE$512,MATCH(493,'Calculations'!$IK$13:$IK$512,0)))</x:f>
      </x:c>
      <x:c r="DS504" s="4"/>
      <x:c r="DT504" s="4"/>
      <x:c r="DU504" s="4"/>
      <x:c r="DV504" s="4"/>
      <x:c r="DW504" s="4"/>
      <x:c r="DX504" s="4"/>
      <x:c r="DY504" s="4"/>
      <x:c r="DZ504" s="4"/>
      <x:c r="EA504" s="4"/>
      <x:c r="EB504" s="4"/>
      <x:c r="EC504" s="4"/>
      <x:c r="ED504" s="4"/>
      <x:c r="EE504" s="4" t="str">
        <x:f>IF('Calculations'!BT504=0,"Not Rated",IF(OR('Calculations'!BO504&gt;=4,'Calculations'!BP504&gt;=4),"Low",IF('Calculations'!BO504+'Calculations'!BP504&lt;=3,"High",IF('Calculations'!BO504+'Calculations'!BP504&lt;=4,"Strong","Solid"))))</x:f>
        <x:v>Not Rated</x:v>
      </x:c>
      <x:c r="EF504" s="4"/>
      <x:c r="EG504" s="4"/>
      <x:c r="EH504" s="4"/>
      <x:c r="EI504" s="4"/>
      <x:c r="EJ504" s="4"/>
      <x:c r="EK504" s="4"/>
      <x:c r="EL504" s="4"/>
      <x:c r="EM504" s="4" t="str">
        <x:f>IF(492&gt;'Calculations'!$JB$2000,"",INDEX('Calculations'!$JA$12:$JA$2000,MATCH(492,'Calculations'!$JB$12:$JB$2000,0)))</x:f>
      </x:c>
      <x:c r="EN504" s="4" t="n">
        <x:f>IF(OR('Calculations'!EM504="",'Calculations'!$AG$8&gt;0,AND('Calculations'!$EF$2&lt;&gt;"All",'Calculations'!HE504='Calculations'!$EF$2),AND('Calculations'!$EF$3&lt;&gt;"All",'Calculations'!HE504='Calculations'!$EF$3)),0,IF(OR('Dashboard'!$B$7="All",'Calculations'!HN504='Dashboard'!$B$7),IF('Calculations'!$EF$2="All",1,IF('Calculations'!HL504&gt;0,0,IF(COUNTIF('Calculations'!HO504:II504,"="&amp;SUBSTITUTE(SUBSTITUTE(SUBSTITUTE('Calculations'!$EF$2,"~","~~"),"*","~*"),"?","~?"))=0,0,IF('Calculations'!$EF$3="All",1,IF(COUNTIF('Calculations'!HO504:II504,"="&amp;SUBSTITUTE(SUBSTITUTE(SUBSTITUTE('Calculations'!$EF$3,"~","~~"),"*","~*"),"?","~?"))&gt;0,1,0))))),0))</x:f>
        <x:v>0</x:v>
      </x:c>
      <x:c r="EO504" s="4" t="str">
        <x:f>IF('Calculations'!IJ504="","",IF('Calculations'!IJ504="!UNRESOLVED","Unresolved hierarchy",IFERROR(INDEX('Calculations'!$HK$13:$HK$512,MATCH('Calculations'!IJ504,'Calculations'!$HE$13:$HE$512,0)),IFERROR(INDEX('Calculations'!$HJ$13:$HJ$512,MATCH('Calculations'!IJ504,'Calculations'!$HF$13:$HF$512,0)),'Calculations'!IJ504))))</x:f>
      </x:c>
      <x:c r="EP504" s="4" t="n">
        <x:f>IF(AND('Calculations'!EM504&lt;&gt;"",'Calculations'!HF504='Calculations'!IJ504),1,0)</x:f>
        <x:v>0</x:v>
      </x:c>
      <x:c r="EQ504" s="4"/>
      <x:c r="ER504" s="4"/>
      <x:c r="ES504" s="4"/>
      <x:c r="ET504" s="4"/>
      <x:c r="EU504" s="4"/>
      <x:c r="EV504" s="4"/>
      <x:c r="EW504" s="4"/>
      <x:c r="EX504" s="4"/>
      <x:c r="EY504" s="4"/>
      <x:c r="EZ504" s="4"/>
      <x:c r="FA504" s="4"/>
      <x:c r="FB504" s="4"/>
      <x:c r="FC504" s="4"/>
      <x:c r="FD504" s="4"/>
      <x:c r="FE504" s="4"/>
      <x:c r="FF504" s="4"/>
      <x:c r="FG504" s="4"/>
      <x:c r="FH504" s="4"/>
      <x:c r="FI504" s="4"/>
      <x:c r="FJ504" s="4"/>
      <x:c r="FK504" s="4"/>
      <x:c r="FL504" s="4"/>
      <x:c r="FM504" s="4"/>
      <x:c r="FN504" s="4"/>
      <x:c r="FO504" s="4"/>
      <x:c r="HE504" t="str">
        <x:f>IF('Calculations'!EM504="","",IF(IFERROR(IF(INDEX(INDIRECT("'WCM Calibration Final'!$A$1:$A$2000"),'Calculations'!$EM504)="","",TRIM(INDEX(INDIRECT("'WCM Calibration Final'!$A$1:$A$2000"),'Calculations'!$EM504)&amp;"")),"")&lt;&gt;"","G:"&amp;IFERROR(TEXT(1*INDEX(INDIRECT("'WCM Calibration Final'!$A$1:$A$2000"),'Calculations'!$EM504),"0"),UPPER(IFERROR(IF(INDEX(INDIRECT("'WCM Calibration Final'!$A$1:$A$2000"),'Calculations'!$EM504)="","",TRIM(INDEX(INDIRECT("'WCM Calibration Final'!$A$1:$A$2000"),'Calculations'!$EM504)&amp;"")),""))),IF(IFERROR(IF(INDEX(INDIRECT("'WCM Calibration Final'!$C$1:$C$2000"),'Calculations'!$EM504)="","",TRIM(INDEX(INDIRECT("'WCM Calibration Final'!$C$1:$C$2000"),'Calculations'!$EM504)&amp;"")),"")&lt;&gt;"","S:"&amp;UPPER(IFERROR(IF(INDEX(INDIRECT("'WCM Calibration Final'!$C$1:$C$2000"),'Calculations'!$EM504)="","",TRIM(INDEX(INDIRECT("'WCM Calibration Final'!$C$1:$C$2000"),'Calculations'!$EM504)&amp;"")),"")),"R:"&amp;'Calculations'!EM504)))</x:f>
      </x:c>
      <x:c r="HF504" t="str">
        <x:f>IF('Calculations'!EM504="","",IF(IFERROR(IF(INDEX(INDIRECT("'WCM Calibration Final'!$D$1:$D$2000"),'Calculations'!$EM504)="","",TRIM(INDEX(INDIRECT("'WCM Calibration Final'!$D$1:$D$2000"),'Calculations'!$EM504)&amp;"")),"")&lt;&gt;"","G:"&amp;IFERROR(TEXT(1*INDEX(INDIRECT("'WCM Calibration Final'!$D$1:$D$2000"),'Calculations'!$EM504),"0"),UPPER(IFERROR(IF(INDEX(INDIRECT("'WCM Calibration Final'!$D$1:$D$2000"),'Calculations'!$EM504)="","",TRIM(INDEX(INDIRECT("'WCM Calibration Final'!$D$1:$D$2000"),'Calculations'!$EM504)&amp;"")),""))),IF(IFERROR(IF(INDEX(INDIRECT("'WCM Calibration Final'!$E$1:$E$2000"),'Calculations'!$EM504)="","",TRIM(INDEX(INDIRECT("'WCM Calibration Final'!$E$1:$E$2000"),'Calculations'!$EM504)&amp;"")),"")="","",IF(COUNTIF('Calculations'!$HG$13:$HG$512,"="&amp;SUBSTITUTE(SUBSTITUTE(SUBSTITUTE(IFERROR(IF(INDEX(INDIRECT("'WCM Calibration Final'!$E$1:$E$2000"),'Calculations'!$EM504)="","",TRIM(INDEX(INDIRECT("'WCM Calibration Final'!$E$1:$E$2000"),'Calculations'!$EM504)&amp;"")),""),"~","~~"),"*","~*"),"?","~?"))=1,INDEX('Calculations'!$HE$13:$HE$512,MATCH(IFERROR(IF(INDEX(INDIRECT("'WCM Calibration Final'!$E$1:$E$2000"),'Calculations'!$EM504)="","",TRIM(INDEX(INDIRECT("'WCM Calibration Final'!$E$1:$E$2000"),'Calculations'!$EM504)&amp;"")),""),'Calculations'!$HG$13:$HG$512,0)),IF(COUNTIF('Calculations'!$HG$13:$HG$512,"="&amp;SUBSTITUTE(SUBSTITUTE(SUBSTITUTE(IFERROR(IF(INDEX(INDIRECT("'WCM Calibration Final'!$E$1:$E$2000"),'Calculations'!$EM504)="","",TRIM(INDEX(INDIRECT("'WCM Calibration Final'!$E$1:$E$2000"),'Calculations'!$EM504)&amp;"")),""),"~","~~"),"*","~*"),"?","~?"))&gt;1,"!AMBIG","X:"&amp;IFERROR(IF(INDEX(INDIRECT("'WCM Calibration Final'!$E$1:$E$2000"),'Calculations'!$EM504)="","",TRIM(INDEX(INDIRECT("'WCM Calibration Final'!$E$1:$E$2000"),'Calculations'!$EM504)&amp;"")),""))))))</x:f>
      </x:c>
      <x:c r="HG504" t="str">
        <x:f>IF('Calculations'!EM504="","",IFERROR(IF(INDEX(INDIRECT("'WCM Calibration Final'!$B$1:$B$2000"),'Calculations'!$EM504)="","",TRIM(INDEX(INDIRECT("'WCM Calibration Final'!$B$1:$B$2000"),'Calculations'!$EM504)&amp;"")),""))</x:f>
      </x:c>
      <x:c r="HH504" t="n">
        <x:f>IF(AND('Calculations'!JC504&gt;0,COUNTIF('Calculations'!$HF$12:HF504,"="&amp;SUBSTITUTE(SUBSTITUTE(SUBSTITUTE('Calculations'!HF504,"~","~~"),"*","~*"),"?","~?"))=1),MAX('Calculations'!$HH$12:HH503)+1,0)</x:f>
        <x:v>0</x:v>
      </x:c>
      <x:c r="HI504" t="n">
        <x:f>IF(AND('Calculations'!HN504&lt;&gt;"",COUNTIF('Calculations'!$HN$12:HN504,"="&amp;SUBSTITUTE(SUBSTITUTE(SUBSTITUTE('Calculations'!HN504,"~","~~"),"*","~*"),"?","~?"))=1),MAX('Calculations'!$HI$12:HI503)+1,0)</x:f>
        <x:v>0</x:v>
      </x:c>
      <x:c r="HJ504" t="str">
        <x:f>IF('Calculations'!HF504="","",IF(COUNTIF('Calculations'!$HE$13:$HE$512,"="&amp;SUBSTITUTE(SUBSTITUTE(SUBSTITUTE('Calculations'!HF504,"~","~~"),"*","~*"),"?","~?"))=1,INDEX('Calculations'!$HK$13:$HK$512,MATCH('Calculations'!HF504,'Calculations'!$HE$13:$HE$512,0)),IFERROR(IF(INDEX(INDIRECT("'WCM Calibration Final'!$E$1:$E$2000"),'Calculations'!$EM504)="","",TRIM(INDEX(INDIRECT("'WCM Calibration Final'!$E$1:$E$2000"),'Calculations'!$EM504)&amp;"")),"")&amp;" ["&amp;'Calculations'!HF504&amp;"]"))</x:f>
      </x:c>
      <x:c r="HK504" t="str">
        <x:f>IF('Calculations'!EM504="","",'Calculations'!HG504&amp;" ["&amp;'Calculations'!HE504&amp;"]")</x:f>
      </x:c>
      <x:c r="HL504" t="n">
        <x:f>IF('Calculations'!EM504="",0,IF(OR('Calculations'!II504&lt;&gt;"",COUNTIF('Calculations'!$HE$13:$HE$512,"="&amp;SUBSTITUTE(SUBSTITUTE(SUBSTITUTE('Calculations'!HE504,"~","~~"),"*","~*"),"?","~?"))&gt;1),1,0))</x:f>
        <x:v>0</x:v>
      </x:c>
      <x:c r="HM504" t="str">
        <x:f>IF('Calculations'!EM504="","",IF('Calculations'!HL504=1,"!UNRESOLVED",IF('Calculations'!IH504&lt;&gt;"",'Calculations'!IH504,IF('Calculations'!IG504&lt;&gt;"",'Calculations'!IG504,IF('Calculations'!IF504&lt;&gt;"",'Calculations'!IF504,IF('Calculations'!IE504&lt;&gt;"",'Calculations'!IE504,IF('Calculations'!ID504&lt;&gt;"",'Calculations'!ID504,IF('Calculations'!IC504&lt;&gt;"",'Calculations'!IC504,IF('Calculations'!IB504&lt;&gt;"",'Calculations'!IB504,IF('Calculations'!IA504&lt;&gt;"",'Calculations'!IA504,IF('Calculations'!HZ504&lt;&gt;"",'Calculations'!HZ504,IF('Calculations'!HY504&lt;&gt;"",'Calculations'!HY504,IF('Calculations'!HX504&lt;&gt;"",'Calculations'!HX504,IF('Calculations'!HW504&lt;&gt;"",'Calculations'!HW504,IF('Calculations'!HV504&lt;&gt;"",'Calculations'!HV504,IF('Calculations'!HU504&lt;&gt;"",'Calculations'!HU504,IF('Calculations'!HT504&lt;&gt;"",'Calculations'!HT504,IF('Calculations'!HS504&lt;&gt;"",'Calculations'!HS504,IF('Calculations'!HR504&lt;&gt;"",'Calculations'!HR504,IF('Calculations'!HQ504&lt;&gt;"",'Calculations'!HQ504,IF('Calculations'!HP504&lt;&gt;"",'Calculations'!HP504,IF('Calculations'!HO504&lt;&gt;"",'Calculations'!HO504,'Calculations'!HE504))))))))))))))))))))))</x:f>
      </x:c>
      <x:c r="HN504" t="str">
        <x:f>IF('Calculations'!EM504="","",IF(IFERROR(IF(INDEX(INDIRECT("'WCM Calibration Final'!$F$1:$F$2000"),'Calculations'!$EM504)="","",TRIM(INDEX(INDIRECT("'WCM Calibration Final'!$F$1:$F$2000"),'Calculations'!$EM504)&amp;"")),"")="","(Blank)",IFERROR(IF(INDEX(INDIRECT("'WCM Calibration Final'!$F$1:$F$2000"),'Calculations'!$EM504)="","",TRIM(INDEX(INDIRECT("'WCM Calibration Final'!$F$1:$F$2000"),'Calculations'!$EM504)&amp;"")),"")))</x:f>
      </x:c>
      <x:c r="HO504" t="str">
        <x:f>'Calculations'!HF504</x:f>
      </x:c>
      <x:c r="HP504" t="str">
        <x:f>IF('Calculations'!HO504="","",IF('Calculations'!HO504="!AMBIG","!AMBIG",IF(COUNTIF('Calculations'!$HE$13:$HE$512,"="&amp;SUBSTITUTE(SUBSTITUTE(SUBSTITUTE('Calculations'!HO504,"~","~~"),"*","~*"),"?","~?"))&gt;1,"!AMBIG",IFERROR(INDEX('Calculations'!$HF$13:$HF$512,MATCH('Calculations'!HO504,'Calculations'!$HE$13:$HE$512,0)),""))))</x:f>
      </x:c>
      <x:c r="HQ504" t="str">
        <x:f>IF('Calculations'!HP504="","",IF('Calculations'!HP504="!AMBIG","!AMBIG",IF(COUNTIF('Calculations'!$HE$13:$HE$512,"="&amp;SUBSTITUTE(SUBSTITUTE(SUBSTITUTE('Calculations'!HP504,"~","~~"),"*","~*"),"?","~?"))&gt;1,"!AMBIG",IFERROR(INDEX('Calculations'!$HF$13:$HF$512,MATCH('Calculations'!HP504,'Calculations'!$HE$13:$HE$512,0)),""))))</x:f>
      </x:c>
      <x:c r="HR504" t="str">
        <x:f>IF('Calculations'!HQ504="","",IF('Calculations'!HQ504="!AMBIG","!AMBIG",IF(COUNTIF('Calculations'!$HE$13:$HE$512,"="&amp;SUBSTITUTE(SUBSTITUTE(SUBSTITUTE('Calculations'!HQ504,"~","~~"),"*","~*"),"?","~?"))&gt;1,"!AMBIG",IFERROR(INDEX('Calculations'!$HF$13:$HF$512,MATCH('Calculations'!HQ504,'Calculations'!$HE$13:$HE$512,0)),""))))</x:f>
      </x:c>
      <x:c r="HS504" t="str">
        <x:f>IF('Calculations'!HR504="","",IF('Calculations'!HR504="!AMBIG","!AMBIG",IF(COUNTIF('Calculations'!$HE$13:$HE$512,"="&amp;SUBSTITUTE(SUBSTITUTE(SUBSTITUTE('Calculations'!HR504,"~","~~"),"*","~*"),"?","~?"))&gt;1,"!AMBIG",IFERROR(INDEX('Calculations'!$HF$13:$HF$512,MATCH('Calculations'!HR504,'Calculations'!$HE$13:$HE$512,0)),""))))</x:f>
      </x:c>
      <x:c r="HT504" t="str">
        <x:f>IF('Calculations'!HS504="","",IF('Calculations'!HS504="!AMBIG","!AMBIG",IF(COUNTIF('Calculations'!$HE$13:$HE$512,"="&amp;SUBSTITUTE(SUBSTITUTE(SUBSTITUTE('Calculations'!HS504,"~","~~"),"*","~*"),"?","~?"))&gt;1,"!AMBIG",IFERROR(INDEX('Calculations'!$HF$13:$HF$512,MATCH('Calculations'!HS504,'Calculations'!$HE$13:$HE$512,0)),""))))</x:f>
      </x:c>
      <x:c r="HU504" t="str">
        <x:f>IF('Calculations'!HT504="","",IF('Calculations'!HT504="!AMBIG","!AMBIG",IF(COUNTIF('Calculations'!$HE$13:$HE$512,"="&amp;SUBSTITUTE(SUBSTITUTE(SUBSTITUTE('Calculations'!HT504,"~","~~"),"*","~*"),"?","~?"))&gt;1,"!AMBIG",IFERROR(INDEX('Calculations'!$HF$13:$HF$512,MATCH('Calculations'!HT504,'Calculations'!$HE$13:$HE$512,0)),""))))</x:f>
      </x:c>
      <x:c r="HV504" t="str">
        <x:f>IF('Calculations'!HU504="","",IF('Calculations'!HU504="!AMBIG","!AMBIG",IF(COUNTIF('Calculations'!$HE$13:$HE$512,"="&amp;SUBSTITUTE(SUBSTITUTE(SUBSTITUTE('Calculations'!HU504,"~","~~"),"*","~*"),"?","~?"))&gt;1,"!AMBIG",IFERROR(INDEX('Calculations'!$HF$13:$HF$512,MATCH('Calculations'!HU504,'Calculations'!$HE$13:$HE$512,0)),""))))</x:f>
      </x:c>
      <x:c r="HW504" t="str">
        <x:f>IF('Calculations'!HV504="","",IF('Calculations'!HV504="!AMBIG","!AMBIG",IF(COUNTIF('Calculations'!$HE$13:$HE$512,"="&amp;SUBSTITUTE(SUBSTITUTE(SUBSTITUTE('Calculations'!HV504,"~","~~"),"*","~*"),"?","~?"))&gt;1,"!AMBIG",IFERROR(INDEX('Calculations'!$HF$13:$HF$512,MATCH('Calculations'!HV504,'Calculations'!$HE$13:$HE$512,0)),""))))</x:f>
      </x:c>
      <x:c r="HX504" t="str">
        <x:f>IF('Calculations'!HW504="","",IF('Calculations'!HW504="!AMBIG","!AMBIG",IF(COUNTIF('Calculations'!$HE$13:$HE$512,"="&amp;SUBSTITUTE(SUBSTITUTE(SUBSTITUTE('Calculations'!HW504,"~","~~"),"*","~*"),"?","~?"))&gt;1,"!AMBIG",IFERROR(INDEX('Calculations'!$HF$13:$HF$512,MATCH('Calculations'!HW504,'Calculations'!$HE$13:$HE$512,0)),""))))</x:f>
      </x:c>
      <x:c r="HY504" t="str">
        <x:f>IF('Calculations'!HX504="","",IF('Calculations'!HX504="!AMBIG","!AMBIG",IF(COUNTIF('Calculations'!$HE$13:$HE$512,"="&amp;SUBSTITUTE(SUBSTITUTE(SUBSTITUTE('Calculations'!HX504,"~","~~"),"*","~*"),"?","~?"))&gt;1,"!AMBIG",IFERROR(INDEX('Calculations'!$HF$13:$HF$512,MATCH('Calculations'!HX504,'Calculations'!$HE$13:$HE$512,0)),""))))</x:f>
      </x:c>
      <x:c r="HZ504" t="str">
        <x:f>IF('Calculations'!HY504="","",IF('Calculations'!HY504="!AMBIG","!AMBIG",IF(COUNTIF('Calculations'!$HE$13:$HE$512,"="&amp;SUBSTITUTE(SUBSTITUTE(SUBSTITUTE('Calculations'!HY504,"~","~~"),"*","~*"),"?","~?"))&gt;1,"!AMBIG",IFERROR(INDEX('Calculations'!$HF$13:$HF$512,MATCH('Calculations'!HY504,'Calculations'!$HE$13:$HE$512,0)),""))))</x:f>
      </x:c>
      <x:c r="IA504" t="str">
        <x:f>IF('Calculations'!HZ504="","",IF('Calculations'!HZ504="!AMBIG","!AMBIG",IF(COUNTIF('Calculations'!$HE$13:$HE$512,"="&amp;SUBSTITUTE(SUBSTITUTE(SUBSTITUTE('Calculations'!HZ504,"~","~~"),"*","~*"),"?","~?"))&gt;1,"!AMBIG",IFERROR(INDEX('Calculations'!$HF$13:$HF$512,MATCH('Calculations'!HZ504,'Calculations'!$HE$13:$HE$512,0)),""))))</x:f>
      </x:c>
      <x:c r="IB504" t="str">
        <x:f>IF('Calculations'!IA504="","",IF('Calculations'!IA504="!AMBIG","!AMBIG",IF(COUNTIF('Calculations'!$HE$13:$HE$512,"="&amp;SUBSTITUTE(SUBSTITUTE(SUBSTITUTE('Calculations'!IA504,"~","~~"),"*","~*"),"?","~?"))&gt;1,"!AMBIG",IFERROR(INDEX('Calculations'!$HF$13:$HF$512,MATCH('Calculations'!IA504,'Calculations'!$HE$13:$HE$512,0)),""))))</x:f>
      </x:c>
      <x:c r="IC504" t="str">
        <x:f>IF('Calculations'!IB504="","",IF('Calculations'!IB504="!AMBIG","!AMBIG",IF(COUNTIF('Calculations'!$HE$13:$HE$512,"="&amp;SUBSTITUTE(SUBSTITUTE(SUBSTITUTE('Calculations'!IB504,"~","~~"),"*","~*"),"?","~?"))&gt;1,"!AMBIG",IFERROR(INDEX('Calculations'!$HF$13:$HF$512,MATCH('Calculations'!IB504,'Calculations'!$HE$13:$HE$512,0)),""))))</x:f>
      </x:c>
      <x:c r="ID504" t="str">
        <x:f>IF('Calculations'!IC504="","",IF('Calculations'!IC504="!AMBIG","!AMBIG",IF(COUNTIF('Calculations'!$HE$13:$HE$512,"="&amp;SUBSTITUTE(SUBSTITUTE(SUBSTITUTE('Calculations'!IC504,"~","~~"),"*","~*"),"?","~?"))&gt;1,"!AMBIG",IFERROR(INDEX('Calculations'!$HF$13:$HF$512,MATCH('Calculations'!IC504,'Calculations'!$HE$13:$HE$512,0)),""))))</x:f>
      </x:c>
      <x:c r="IE504" t="str">
        <x:f>IF('Calculations'!ID504="","",IF('Calculations'!ID504="!AMBIG","!AMBIG",IF(COUNTIF('Calculations'!$HE$13:$HE$512,"="&amp;SUBSTITUTE(SUBSTITUTE(SUBSTITUTE('Calculations'!ID504,"~","~~"),"*","~*"),"?","~?"))&gt;1,"!AMBIG",IFERROR(INDEX('Calculations'!$HF$13:$HF$512,MATCH('Calculations'!ID504,'Calculations'!$HE$13:$HE$512,0)),""))))</x:f>
      </x:c>
      <x:c r="IF504" t="str">
        <x:f>IF('Calculations'!IE504="","",IF('Calculations'!IE504="!AMBIG","!AMBIG",IF(COUNTIF('Calculations'!$HE$13:$HE$512,"="&amp;SUBSTITUTE(SUBSTITUTE(SUBSTITUTE('Calculations'!IE504,"~","~~"),"*","~*"),"?","~?"))&gt;1,"!AMBIG",IFERROR(INDEX('Calculations'!$HF$13:$HF$512,MATCH('Calculations'!IE504,'Calculations'!$HE$13:$HE$512,0)),""))))</x:f>
      </x:c>
      <x:c r="IG504" t="str">
        <x:f>IF('Calculations'!IF504="","",IF('Calculations'!IF504="!AMBIG","!AMBIG",IF(COUNTIF('Calculations'!$HE$13:$HE$512,"="&amp;SUBSTITUTE(SUBSTITUTE(SUBSTITUTE('Calculations'!IF504,"~","~~"),"*","~*"),"?","~?"))&gt;1,"!AMBIG",IFERROR(INDEX('Calculations'!$HF$13:$HF$512,MATCH('Calculations'!IF504,'Calculations'!$HE$13:$HE$512,0)),""))))</x:f>
      </x:c>
      <x:c r="IH504" t="str">
        <x:f>IF('Calculations'!IG504="","",IF('Calculations'!IG504="!AMBIG","!AMBIG",IF(COUNTIF('Calculations'!$HE$13:$HE$512,"="&amp;SUBSTITUTE(SUBSTITUTE(SUBSTITUTE('Calculations'!IG504,"~","~~"),"*","~*"),"?","~?"))&gt;1,"!AMBIG",IFERROR(INDEX('Calculations'!$HF$13:$HF$512,MATCH('Calculations'!IG504,'Calculations'!$HE$13:$HE$512,0)),""))))</x:f>
      </x:c>
      <x:c r="II504" t="str">
        <x:f>IF('Calculations'!IH504="","",IF('Calculations'!IH504="!AMBIG","!AMBIG",IF(COUNTIF('Calculations'!$HE$13:$HE$512,"="&amp;SUBSTITUTE(SUBSTITUTE(SUBSTITUTE('Calculations'!IH504,"~","~~"),"*","~*"),"?","~?"))&gt;1,"!AMBIG",IFERROR(INDEX('Calculations'!$HF$13:$HF$512,MATCH('Calculations'!IH504,'Calculations'!$HE$13:$HE$512,0)),""))))</x:f>
      </x:c>
      <x:c r="IJ504" t="str">
        <x:f>IF('Calculations'!EM504="","",IF('Calculations'!$EF$2="All",'Calculations'!HM504,IF('Calculations'!HL504=1,"",IFERROR(IF(MATCH('Calculations'!$EF$2,'Calculations'!HO504:II504,0)=1,'Calculations'!HE504,INDEX('Calculations'!HO504:II504,1,MATCH('Calculations'!$EF$2,'Calculations'!HO504:II504,0)-1)),""))))</x:f>
      </x:c>
      <x:c r="IK504" t="n">
        <x:f>IF(AND('Calculations'!EM504&lt;&gt;"",'Calculations'!$EF$2&lt;&gt;"All",'Calculations'!HF504='Calculations'!$EF$2,'Calculations'!HL504=0,'Calculations'!JD504&gt;0),MAX('Calculations'!$IK$12:IK503)+1,0)</x:f>
        <x:v>0</x:v>
      </x:c>
      <x:c r="JA504" t="n">
        <x:f>IF(OR(IFERROR(INDIRECT("'WCM Calibration Final'!$A$504")&lt;&gt;"",FALSE),IFERROR(INDIRECT("'WCM Calibration Final'!$B$504")&lt;&gt;"",FALSE),IFERROR(INDIRECT("'WCM Calibration Final'!$C$504")&lt;&gt;"",FALSE)),504,0)</x:f>
        <x:v>0</x:v>
      </x:c>
      <x:c r="JB504" t="n">
        <x:f>'Calculations'!JB503+IF('Calculations'!JA504&gt;0,1,0)</x:f>
        <x:v>0</x:v>
      </x:c>
      <x:c r="JC504" t="n">
        <x:f>IF(OR('Calculations'!HF504="",'Calculations'!HF504="!AMBIG"),0,IF('Dashboard'!$B$7="All",1,COUNTIFS('Calculations'!$HO$13:$HO$512,"="&amp;SUBSTITUTE(SUBSTITUTE(SUBSTITUTE('Calculations'!HF504,"~","~~"),"*","~*"),"?","~?"),'Calculations'!$HN$13:$HN$512,"="&amp;SUBSTITUTE(SUBSTITUTE(SUBSTITUTE('Dashboard'!$B$7,"~","~~"),"*","~*"),"?","~?"))+COUNTIFS('Calculations'!$HP$13:$HP$512,"="&amp;SUBSTITUTE(SUBSTITUTE(SUBSTITUTE('Calculations'!HF504,"~","~~"),"*","~*"),"?","~?"),'Calculations'!$HN$13:$HN$512,"="&amp;SUBSTITUTE(SUBSTITUTE(SUBSTITUTE('Dashboard'!$B$7,"~","~~"),"*","~*"),"?","~?"))+COUNTIFS('Calculations'!$HQ$13:$HQ$512,"="&amp;SUBSTITUTE(SUBSTITUTE(SUBSTITUTE('Calculations'!HF504,"~","~~"),"*","~*"),"?","~?"),'Calculations'!$HN$13:$HN$512,"="&amp;SUBSTITUTE(SUBSTITUTE(SUBSTITUTE('Dashboard'!$B$7,"~","~~"),"*","~*"),"?","~?"))+COUNTIFS('Calculations'!$HR$13:$HR$512,"="&amp;SUBSTITUTE(SUBSTITUTE(SUBSTITUTE('Calculations'!HF504,"~","~~"),"*","~*"),"?","~?"),'Calculations'!$HN$13:$HN$512,"="&amp;SUBSTITUTE(SUBSTITUTE(SUBSTITUTE('Dashboard'!$B$7,"~","~~"),"*","~*"),"?","~?"))+COUNTIFS('Calculations'!$HS$13:$HS$512,"="&amp;SUBSTITUTE(SUBSTITUTE(SUBSTITUTE('Calculations'!HF504,"~","~~"),"*","~*"),"?","~?"),'Calculations'!$HN$13:$HN$512,"="&amp;SUBSTITUTE(SUBSTITUTE(SUBSTITUTE('Dashboard'!$B$7,"~","~~"),"*","~*"),"?","~?"))+COUNTIFS('Calculations'!$HT$13:$HT$512,"="&amp;SUBSTITUTE(SUBSTITUTE(SUBSTITUTE('Calculations'!HF504,"~","~~"),"*","~*"),"?","~?"),'Calculations'!$HN$13:$HN$512,"="&amp;SUBSTITUTE(SUBSTITUTE(SUBSTITUTE('Dashboard'!$B$7,"~","~~"),"*","~*"),"?","~?"))+COUNTIFS('Calculations'!$HU$13:$HU$512,"="&amp;SUBSTITUTE(SUBSTITUTE(SUBSTITUTE('Calculations'!HF504,"~","~~"),"*","~*"),"?","~?"),'Calculations'!$HN$13:$HN$512,"="&amp;SUBSTITUTE(SUBSTITUTE(SUBSTITUTE('Dashboard'!$B$7,"~","~~"),"*","~*"),"?","~?"))+COUNTIFS('Calculations'!$HV$13:$HV$512,"="&amp;SUBSTITUTE(SUBSTITUTE(SUBSTITUTE('Calculations'!HF504,"~","~~"),"*","~*"),"?","~?"),'Calculations'!$HN$13:$HN$512,"="&amp;SUBSTITUTE(SUBSTITUTE(SUBSTITUTE('Dashboard'!$B$7,"~","~~"),"*","~*"),"?","~?"))+COUNTIFS('Calculations'!$HW$13:$HW$512,"="&amp;SUBSTITUTE(SUBSTITUTE(SUBSTITUTE('Calculations'!HF504,"~","~~"),"*","~*"),"?","~?"),'Calculations'!$HN$13:$HN$512,"="&amp;SUBSTITUTE(SUBSTITUTE(SUBSTITUTE('Dashboard'!$B$7,"~","~~"),"*","~*"),"?","~?"))+COUNTIFS('Calculations'!$HX$13:$HX$512,"="&amp;SUBSTITUTE(SUBSTITUTE(SUBSTITUTE('Calculations'!HF504,"~","~~"),"*","~*"),"?","~?"),'Calculations'!$HN$13:$HN$512,"="&amp;SUBSTITUTE(SUBSTITUTE(SUBSTITUTE('Dashboard'!$B$7,"~","~~"),"*","~*"),"?","~?"))+COUNTIFS('Calculations'!$HY$13:$HY$512,"="&amp;SUBSTITUTE(SUBSTITUTE(SUBSTITUTE('Calculations'!HF504,"~","~~"),"*","~*"),"?","~?"),'Calculations'!$HN$13:$HN$512,"="&amp;SUBSTITUTE(SUBSTITUTE(SUBSTITUTE('Dashboard'!$B$7,"~","~~"),"*","~*"),"?","~?"))+COUNTIFS('Calculations'!$HZ$13:$HZ$512,"="&amp;SUBSTITUTE(SUBSTITUTE(SUBSTITUTE('Calculations'!HF504,"~","~~"),"*","~*"),"?","~?"),'Calculations'!$HN$13:$HN$512,"="&amp;SUBSTITUTE(SUBSTITUTE(SUBSTITUTE('Dashboard'!$B$7,"~","~~"),"*","~*"),"?","~?"))+COUNTIFS('Calculations'!$IA$13:$IA$512,"="&amp;SUBSTITUTE(SUBSTITUTE(SUBSTITUTE('Calculations'!HF504,"~","~~"),"*","~*"),"?","~?"),'Calculations'!$HN$13:$HN$512,"="&amp;SUBSTITUTE(SUBSTITUTE(SUBSTITUTE('Dashboard'!$B$7,"~","~~"),"*","~*"),"?","~?"))+COUNTIFS('Calculations'!$IB$13:$IB$512,"="&amp;SUBSTITUTE(SUBSTITUTE(SUBSTITUTE('Calculations'!HF504,"~","~~"),"*","~*"),"?","~?"),'Calculations'!$HN$13:$HN$512,"="&amp;SUBSTITUTE(SUBSTITUTE(SUBSTITUTE('Dashboard'!$B$7,"~","~~"),"*","~*"),"?","~?"))+COUNTIFS('Calculations'!$IC$13:$IC$512,"="&amp;SUBSTITUTE(SUBSTITUTE(SUBSTITUTE('Calculations'!HF504,"~","~~"),"*","~*"),"?","~?"),'Calculations'!$HN$13:$HN$512,"="&amp;SUBSTITUTE(SUBSTITUTE(SUBSTITUTE('Dashboard'!$B$7,"~","~~"),"*","~*"),"?","~?"))+COUNTIFS('Calculations'!$ID$13:$ID$512,"="&amp;SUBSTITUTE(SUBSTITUTE(SUBSTITUTE('Calculations'!HF504,"~","~~"),"*","~*"),"?","~?"),'Calculations'!$HN$13:$HN$512,"="&amp;SUBSTITUTE(SUBSTITUTE(SUBSTITUTE('Dashboard'!$B$7,"~","~~"),"*","~*"),"?","~?"))+COUNTIFS('Calculations'!$IE$13:$IE$512,"="&amp;SUBSTITUTE(SUBSTITUTE(SUBSTITUTE('Calculations'!HF504,"~","~~"),"*","~*"),"?","~?"),'Calculations'!$HN$13:$HN$512,"="&amp;SUBSTITUTE(SUBSTITUTE(SUBSTITUTE('Dashboard'!$B$7,"~","~~"),"*","~*"),"?","~?"))+COUNTIFS('Calculations'!$IF$13:$IF$512,"="&amp;SUBSTITUTE(SUBSTITUTE(SUBSTITUTE('Calculations'!HF504,"~","~~"),"*","~*"),"?","~?"),'Calculations'!$HN$13:$HN$512,"="&amp;SUBSTITUTE(SUBSTITUTE(SUBSTITUTE('Dashboard'!$B$7,"~","~~"),"*","~*"),"?","~?"))+COUNTIFS('Calculations'!$IG$13:$IG$512,"="&amp;SUBSTITUTE(SUBSTITUTE(SUBSTITUTE('Calculations'!HF504,"~","~~"),"*","~*"),"?","~?"),'Calculations'!$HN$13:$HN$512,"="&amp;SUBSTITUTE(SUBSTITUTE(SUBSTITUTE('Dashboard'!$B$7,"~","~~"),"*","~*"),"?","~?"))+COUNTIFS('Calculations'!$IH$13:$IH$512,"="&amp;SUBSTITUTE(SUBSTITUTE(SUBSTITUTE('Calculations'!HF504,"~","~~"),"*","~*"),"?","~?"),'Calculations'!$HN$13:$HN$512,"="&amp;SUBSTITUTE(SUBSTITUTE(SUBSTITUTE('Dashboard'!$B$7,"~","~~"),"*","~*"),"?","~?"))))</x:f>
        <x:v>0</x:v>
      </x:c>
      <x:c r="JD504" t="n">
        <x:f>IF('Calculations'!EM504="",0,IF('Dashboard'!$B$7="All",1,IF('Calculations'!HN504='Dashboard'!$B$7,1,0)+IFERROR(INDEX('Calculations'!$JC$13:$JC$512,MATCH('Calculations'!HE504,'Calculations'!$HF$13:$HF$512,0)),0)))</x:f>
        <x:v>0</x:v>
      </x:c>
      <x:c r="JE504" t="n">
        <x:f>IF(AND('Calculations'!EM504&lt;&gt;"",'Calculations'!$JJ$2&lt;&gt;"All",'Calculations'!$JJ$2&lt;&gt;"",'Calculations'!HF504='Calculations'!$JJ$2,'Calculations'!HL504=0,'Calculations'!JD504&gt;0),MAX('Calculations'!$JE$12:JE503)+1,0)</x:f>
        <x:v>0</x:v>
      </x:c>
      <x:c r="JF504" t="str">
        <x:f>IF('Calculations'!EM504="","",IFERROR(IF(INDEX(INDIRECT("'WCM Calibration Final'!$G$1:$G$2000"),'Calculations'!$EM504)="","",TRIM(INDEX(INDIRECT("'WCM Calibration Final'!$G$1:$G$2000"),'Calculations'!$EM504)&amp;"")),""))</x:f>
      </x:c>
      <x:c r="JQ504" t="n">
        <x:f>IF(OR('Calculations'!BM504=0,NOT('Calculations'!$AG$2),'Calculations'!$AG$8&gt;0),0,IF(OR('Dashboard'!$B$7="All",'Calculations'!HN504='Dashboard'!$B$7),IF('Calculations'!$JJ$2="All",1,IF(AND('Calculations'!HF504='Calculations'!$JJ$2,'Calculations'!HL504=0),1,0)),0))</x:f>
        <x:v>0</x:v>
      </x:c>
    </x:row>
    <x:row r="505">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t="n">
        <x:f>IF('Calculations'!$EM505="",0,IF(OR(IFERROR(INDEX(INDIRECT("'WCM Calibration Final'!$A$1:$A$2000"),'Calculations'!$EM505)&lt;&gt;"",FALSE),IFERROR(INDEX(INDIRECT("'WCM Calibration Final'!$B$1:$B$2000"),'Calculations'!$EM505)&lt;&gt;"",FALSE),IFERROR(INDEX(INDIRECT("'WCM Calibration Final'!$C$1:$C$2000"),'Calculations'!$EM505)&lt;&gt;"",FALSE)),1,0))</x:f>
        <x:v>0</x:v>
      </x:c>
      <x:c r="BN505" s="4" t="n">
        <x:f>IF(AND('Calculations'!BM505=1,'Calculations'!$AG$2,'Calculations'!$EN505=1),1,0)</x:f>
        <x:v>0</x:v>
      </x:c>
      <x:c r="BO505" s="4" t="str">
        <x:f>IF('Calculations'!BM505=0,"",IFERROR(IF(AND(VALUE(INDEX(INDIRECT("'WCM Calibration Final'!$K$1:$K$2000"),'Calculations'!$EM505))&gt;=1,VALUE(INDEX(INDIRECT("'WCM Calibration Final'!$K$1:$K$2000"),'Calculations'!$EM505))&lt;=4,MOD(VALUE(INDEX(INDIRECT("'WCM Calibration Final'!$K$1:$K$2000"),'Calculations'!$EM505)),1)=0),VALUE(INDEX(INDIRECT("'WCM Calibration Final'!$K$1:$K$2000"),'Calculations'!$EM505)),""),""))</x:f>
      </x:c>
      <x:c r="BP505" s="4" t="str">
        <x:f>IF('Calculations'!BM505=0,"",IFERROR(IF(AND(VALUE(INDEX(INDIRECT("'WCM Calibration Final'!$L$1:$L$2000"),'Calculations'!$EM505))&gt;=1,VALUE(INDEX(INDIRECT("'WCM Calibration Final'!$L$1:$L$2000"),'Calculations'!$EM505))&lt;=4,MOD(VALUE(INDEX(INDIRECT("'WCM Calibration Final'!$L$1:$L$2000"),'Calculations'!$EM505)),1)=0),VALUE(INDEX(INDIRECT("'WCM Calibration Final'!$L$1:$L$2000"),'Calculations'!$EM505)),""),""))</x:f>
      </x:c>
      <x:c r="BQ505" s="4"/>
      <x:c r="BR505" s="4"/>
      <x:c r="BS505" s="4"/>
      <x:c r="BT505" s="4" t="n">
        <x:f>IF(AND('Calculations'!BM505=1,ISNUMBER('Calculations'!BO505),ISNUMBER('Calculations'!BP505)),1,0)</x:f>
        <x:v>0</x:v>
      </x:c>
      <x:c r="BU505" s="4" t="str">
        <x:f>IF('Calculations'!BM505=0,"",'Calculations'!$EO505)</x:f>
      </x:c>
      <x:c r="BV505" s="4" t="str">
        <x:f>IF('Calculations'!BM505=0,"",IFERROR(IF(OR(INDEX(INDIRECT("'WCM Calibration Final'!$H$1:$H$2000"),'Calculations'!$EM505)="MANAGING DIRECTOR",INDEX(INDIRECT("'WCM Calibration Final'!$H$1:$H$2000"),'Calculations'!$EM505)="DIRECTOR",INDEX(INDIRECT("'WCM Calibration Final'!$H$1:$H$2000"),'Calculations'!$EM505)="SENIOR VICE PRESIDENT",INDEX(INDIRECT("'WCM Calibration Final'!$H$1:$H$2000"),'Calculations'!$EM505)="VICE PRESIDENT",INDEX(INDIRECT("'WCM Calibration Final'!$H$1:$H$2000"),'Calculations'!$EM505)="ASSISTANT VICE PRESIDENT",INDEX(INDIRECT("'WCM Calibration Final'!$H$1:$H$2000"),'Calculations'!$EM505)="OFFICER"),UPPER(INDEX(INDIRECT("'WCM Calibration Final'!$H$1:$H$2000"),'Calculations'!$EM505)),"Other"),"Other"))</x:f>
      </x:c>
      <x:c r="BW505" s="4"/>
      <x:c r="BX505" s="4"/>
      <x:c r="BY505" s="4" t="n">
        <x:f>IF(AND('Calculations'!BM505=1,'Calculations'!BU505&lt;&gt;"",COUNTIF('Calculations'!$BU$12:BU505,'Calculations'!BU505)=1),MAX('Calculations'!$BY$11:BY504)+1,0)</x:f>
        <x:v>0</x:v>
      </x:c>
      <x:c r="BZ505" s="4" t="str">
        <x:f>IF('Dashboard'!$E$67="What",'Calculations'!BO505,'Calculations'!BP505)</x:f>
      </x:c>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t="str">
        <x:f>IF(494&gt;MAX('Calculations'!$HI$13:$HI$512),"",INDEX('Calculations'!$HN$13:$HN$512,MATCH(494,'Calculations'!$HI$13:$HI$512,0)))</x:f>
      </x:c>
      <x:c r="DB505" s="4" t="str">
        <x:f>IF(494&gt;MAX('Calculations'!$HH$13:$HH$512),"",INDEX('Calculations'!$HJ$13:$HJ$512,MATCH(494,'Calculations'!$HH$13:$HH$512,0)))</x:f>
      </x:c>
      <x:c r="DC505" s="4" t="str">
        <x:f>IF(ROW()-11&gt;MAX('Calculations'!$BY$13:$BY$512),"",INDEX('Calculations'!$BU$13:$BU$512,MATCH(ROW()-11,'Calculations'!$BY$13:$BY$512,0)))</x:f>
      </x:c>
      <x:c r="DD505" s="4" t="str">
        <x:f>IF(494&gt;MAX('Calculations'!$IK$13:$IK$512),"",INDEX('Calculations'!$HK$13:$HK$512,MATCH(494,'Calculations'!$IK$13:$IK$512,0)))</x:f>
      </x:c>
      <x:c r="DE505" s="4" t="str">
        <x:f>'Calculations'!DC505</x:f>
      </x:c>
      <x:c r="DF505" s="4" t="str">
        <x:f>IF('Calculations'!DE505="","",COUNTIFS('Calculations'!$BN$13:$BN$512,1,'Calculations'!$BU$13:$BU$512,'Calculations'!DE505))</x:f>
      </x:c>
      <x:c r="DG505" s="4" t="str">
        <x:f>IF('Calculations'!DE505="","",COUNTIFS('Calculations'!$BN$13:$BN$512,1,'Calculations'!$BU$13:$BU$512,'Calculations'!DE505,'Calculations'!$BT$13:$BT$512,1))</x:f>
      </x:c>
      <x:c r="DH505" s="4" t="str">
        <x:f>IF('Calculations'!DE505="","",'Calculations'!DF505-'Calculations'!DG505)</x:f>
      </x:c>
      <x:c r="DI505" s="4" t="str">
        <x:f>IF(OR('Calculations'!DE505="",'Calculations'!DF505=0),"",'Calculations'!DG505/'Calculations'!DF505)</x:f>
      </x:c>
      <x:c r="DJ505" s="4" t="str">
        <x:f>IF('Calculations'!DE505="","",COUNTIFS('Calculations'!$BN$13:$BN$512,1,'Calculations'!$BU$13:$BU$512,'Calculations'!DE505,'Calculations'!$BT$13:$BT$512,1,'Calculations'!$EE$13:$EE$512,"High"))</x:f>
      </x:c>
      <x:c r="DK505" s="4" t="str">
        <x:f>IF('Calculations'!DE505="","",COUNTIFS('Calculations'!$BN$13:$BN$512,1,'Calculations'!$BU$13:$BU$512,'Calculations'!DE505,'Calculations'!$BT$13:$BT$512,1,'Calculations'!$EE$13:$EE$512,"Strong"))</x:f>
      </x:c>
      <x:c r="DL505" s="4" t="str">
        <x:f>IF('Calculations'!DE505="","",COUNTIFS('Calculations'!$BN$13:$BN$512,1,'Calculations'!$BU$13:$BU$512,'Calculations'!DE505,'Calculations'!$BT$13:$BT$512,1,'Calculations'!$EE$13:$EE$512,"Solid"))</x:f>
      </x:c>
      <x:c r="DM505" s="4" t="str">
        <x:f>IF('Calculations'!DE505="","",COUNTIFS('Calculations'!$BN$13:$BN$512,1,'Calculations'!$BU$13:$BU$512,'Calculations'!DE505,'Calculations'!$BT$13:$BT$512,1,'Calculations'!$EE$13:$EE$512,"Low"))</x:f>
      </x:c>
      <x:c r="DN505" s="4" t="str">
        <x:f>IF('Calculations'!DE505="","",COUNTIFS('Calculations'!$BN$13:$BN$512,1,'Calculations'!$BU$13:$BU$512,'Calculations'!DE505,'Calculations'!$EP$13:$EP$512,1))</x:f>
      </x:c>
      <x:c r="DO505" s="4" t="str">
        <x:f>IF(OR('Calculations'!DE505="",'Calculations'!DG505=0),"",('Calculations'!DJ505+'Calculations'!DK505)/'Calculations'!DG505)</x:f>
      </x:c>
      <x:c r="DP505" s="4" t="n">
        <x:f>IF(AND('Calculations'!DE505&lt;&gt;"",'Calculations'!DF505&gt;0),COUNTIF('Calculations'!$DF$12:DF505,"&gt;0"),0)</x:f>
        <x:v>0</x:v>
      </x:c>
      <x:c r="DQ505" s="4" t="str">
        <x:f>IF(494&gt;MAX('Calculations'!$HH$13:$HH$512),"",INDEX('Calculations'!$HF$13:$HF$512,MATCH(494,'Calculations'!$HH$13:$HH$512,0)))</x:f>
      </x:c>
      <x:c r="DR505" s="4" t="str">
        <x:f>IF(494&gt;MAX('Calculations'!$IK$13:$IK$512),"",INDEX('Calculations'!$HE$13:$HE$512,MATCH(494,'Calculations'!$IK$13:$IK$512,0)))</x:f>
      </x:c>
      <x:c r="DS505" s="4"/>
      <x:c r="DT505" s="4"/>
      <x:c r="DU505" s="4"/>
      <x:c r="DV505" s="4"/>
      <x:c r="DW505" s="4"/>
      <x:c r="DX505" s="4"/>
      <x:c r="DY505" s="4"/>
      <x:c r="DZ505" s="4"/>
      <x:c r="EA505" s="4"/>
      <x:c r="EB505" s="4"/>
      <x:c r="EC505" s="4"/>
      <x:c r="ED505" s="4"/>
      <x:c r="EE505" s="4" t="str">
        <x:f>IF('Calculations'!BT505=0,"Not Rated",IF(OR('Calculations'!BO505&gt;=4,'Calculations'!BP505&gt;=4),"Low",IF('Calculations'!BO505+'Calculations'!BP505&lt;=3,"High",IF('Calculations'!BO505+'Calculations'!BP505&lt;=4,"Strong","Solid"))))</x:f>
        <x:v>Not Rated</x:v>
      </x:c>
      <x:c r="EF505" s="4"/>
      <x:c r="EG505" s="4"/>
      <x:c r="EH505" s="4"/>
      <x:c r="EI505" s="4"/>
      <x:c r="EJ505" s="4"/>
      <x:c r="EK505" s="4"/>
      <x:c r="EL505" s="4"/>
      <x:c r="EM505" s="4" t="str">
        <x:f>IF(493&gt;'Calculations'!$JB$2000,"",INDEX('Calculations'!$JA$12:$JA$2000,MATCH(493,'Calculations'!$JB$12:$JB$2000,0)))</x:f>
      </x:c>
      <x:c r="EN505" s="4" t="n">
        <x:f>IF(OR('Calculations'!EM505="",'Calculations'!$AG$8&gt;0,AND('Calculations'!$EF$2&lt;&gt;"All",'Calculations'!HE505='Calculations'!$EF$2),AND('Calculations'!$EF$3&lt;&gt;"All",'Calculations'!HE505='Calculations'!$EF$3)),0,IF(OR('Dashboard'!$B$7="All",'Calculations'!HN505='Dashboard'!$B$7),IF('Calculations'!$EF$2="All",1,IF('Calculations'!HL505&gt;0,0,IF(COUNTIF('Calculations'!HO505:II505,"="&amp;SUBSTITUTE(SUBSTITUTE(SUBSTITUTE('Calculations'!$EF$2,"~","~~"),"*","~*"),"?","~?"))=0,0,IF('Calculations'!$EF$3="All",1,IF(COUNTIF('Calculations'!HO505:II505,"="&amp;SUBSTITUTE(SUBSTITUTE(SUBSTITUTE('Calculations'!$EF$3,"~","~~"),"*","~*"),"?","~?"))&gt;0,1,0))))),0))</x:f>
        <x:v>0</x:v>
      </x:c>
      <x:c r="EO505" s="4" t="str">
        <x:f>IF('Calculations'!IJ505="","",IF('Calculations'!IJ505="!UNRESOLVED","Unresolved hierarchy",IFERROR(INDEX('Calculations'!$HK$13:$HK$512,MATCH('Calculations'!IJ505,'Calculations'!$HE$13:$HE$512,0)),IFERROR(INDEX('Calculations'!$HJ$13:$HJ$512,MATCH('Calculations'!IJ505,'Calculations'!$HF$13:$HF$512,0)),'Calculations'!IJ505))))</x:f>
      </x:c>
      <x:c r="EP505" s="4" t="n">
        <x:f>IF(AND('Calculations'!EM505&lt;&gt;"",'Calculations'!HF505='Calculations'!IJ505),1,0)</x:f>
        <x:v>0</x:v>
      </x:c>
      <x:c r="EQ505" s="4"/>
      <x:c r="ER505" s="4"/>
      <x:c r="ES505" s="4"/>
      <x:c r="ET505" s="4"/>
      <x:c r="EU505" s="4"/>
      <x:c r="EV505" s="4"/>
      <x:c r="EW505" s="4"/>
      <x:c r="EX505" s="4"/>
      <x:c r="EY505" s="4"/>
      <x:c r="EZ505" s="4"/>
      <x:c r="FA505" s="4"/>
      <x:c r="FB505" s="4"/>
      <x:c r="FC505" s="4"/>
      <x:c r="FD505" s="4"/>
      <x:c r="FE505" s="4"/>
      <x:c r="FF505" s="4"/>
      <x:c r="FG505" s="4"/>
      <x:c r="FH505" s="4"/>
      <x:c r="FI505" s="4"/>
      <x:c r="FJ505" s="4"/>
      <x:c r="FK505" s="4"/>
      <x:c r="FL505" s="4"/>
      <x:c r="FM505" s="4"/>
      <x:c r="FN505" s="4"/>
      <x:c r="FO505" s="4"/>
      <x:c r="HE505" t="str">
        <x:f>IF('Calculations'!EM505="","",IF(IFERROR(IF(INDEX(INDIRECT("'WCM Calibration Final'!$A$1:$A$2000"),'Calculations'!$EM505)="","",TRIM(INDEX(INDIRECT("'WCM Calibration Final'!$A$1:$A$2000"),'Calculations'!$EM505)&amp;"")),"")&lt;&gt;"","G:"&amp;IFERROR(TEXT(1*INDEX(INDIRECT("'WCM Calibration Final'!$A$1:$A$2000"),'Calculations'!$EM505),"0"),UPPER(IFERROR(IF(INDEX(INDIRECT("'WCM Calibration Final'!$A$1:$A$2000"),'Calculations'!$EM505)="","",TRIM(INDEX(INDIRECT("'WCM Calibration Final'!$A$1:$A$2000"),'Calculations'!$EM505)&amp;"")),""))),IF(IFERROR(IF(INDEX(INDIRECT("'WCM Calibration Final'!$C$1:$C$2000"),'Calculations'!$EM505)="","",TRIM(INDEX(INDIRECT("'WCM Calibration Final'!$C$1:$C$2000"),'Calculations'!$EM505)&amp;"")),"")&lt;&gt;"","S:"&amp;UPPER(IFERROR(IF(INDEX(INDIRECT("'WCM Calibration Final'!$C$1:$C$2000"),'Calculations'!$EM505)="","",TRIM(INDEX(INDIRECT("'WCM Calibration Final'!$C$1:$C$2000"),'Calculations'!$EM505)&amp;"")),"")),"R:"&amp;'Calculations'!EM505)))</x:f>
      </x:c>
      <x:c r="HF505" t="str">
        <x:f>IF('Calculations'!EM505="","",IF(IFERROR(IF(INDEX(INDIRECT("'WCM Calibration Final'!$D$1:$D$2000"),'Calculations'!$EM505)="","",TRIM(INDEX(INDIRECT("'WCM Calibration Final'!$D$1:$D$2000"),'Calculations'!$EM505)&amp;"")),"")&lt;&gt;"","G:"&amp;IFERROR(TEXT(1*INDEX(INDIRECT("'WCM Calibration Final'!$D$1:$D$2000"),'Calculations'!$EM505),"0"),UPPER(IFERROR(IF(INDEX(INDIRECT("'WCM Calibration Final'!$D$1:$D$2000"),'Calculations'!$EM505)="","",TRIM(INDEX(INDIRECT("'WCM Calibration Final'!$D$1:$D$2000"),'Calculations'!$EM505)&amp;"")),""))),IF(IFERROR(IF(INDEX(INDIRECT("'WCM Calibration Final'!$E$1:$E$2000"),'Calculations'!$EM505)="","",TRIM(INDEX(INDIRECT("'WCM Calibration Final'!$E$1:$E$2000"),'Calculations'!$EM505)&amp;"")),"")="","",IF(COUNTIF('Calculations'!$HG$13:$HG$512,"="&amp;SUBSTITUTE(SUBSTITUTE(SUBSTITUTE(IFERROR(IF(INDEX(INDIRECT("'WCM Calibration Final'!$E$1:$E$2000"),'Calculations'!$EM505)="","",TRIM(INDEX(INDIRECT("'WCM Calibration Final'!$E$1:$E$2000"),'Calculations'!$EM505)&amp;"")),""),"~","~~"),"*","~*"),"?","~?"))=1,INDEX('Calculations'!$HE$13:$HE$512,MATCH(IFERROR(IF(INDEX(INDIRECT("'WCM Calibration Final'!$E$1:$E$2000"),'Calculations'!$EM505)="","",TRIM(INDEX(INDIRECT("'WCM Calibration Final'!$E$1:$E$2000"),'Calculations'!$EM505)&amp;"")),""),'Calculations'!$HG$13:$HG$512,0)),IF(COUNTIF('Calculations'!$HG$13:$HG$512,"="&amp;SUBSTITUTE(SUBSTITUTE(SUBSTITUTE(IFERROR(IF(INDEX(INDIRECT("'WCM Calibration Final'!$E$1:$E$2000"),'Calculations'!$EM505)="","",TRIM(INDEX(INDIRECT("'WCM Calibration Final'!$E$1:$E$2000"),'Calculations'!$EM505)&amp;"")),""),"~","~~"),"*","~*"),"?","~?"))&gt;1,"!AMBIG","X:"&amp;IFERROR(IF(INDEX(INDIRECT("'WCM Calibration Final'!$E$1:$E$2000"),'Calculations'!$EM505)="","",TRIM(INDEX(INDIRECT("'WCM Calibration Final'!$E$1:$E$2000"),'Calculations'!$EM505)&amp;"")),""))))))</x:f>
      </x:c>
      <x:c r="HG505" t="str">
        <x:f>IF('Calculations'!EM505="","",IFERROR(IF(INDEX(INDIRECT("'WCM Calibration Final'!$B$1:$B$2000"),'Calculations'!$EM505)="","",TRIM(INDEX(INDIRECT("'WCM Calibration Final'!$B$1:$B$2000"),'Calculations'!$EM505)&amp;"")),""))</x:f>
      </x:c>
      <x:c r="HH505" t="n">
        <x:f>IF(AND('Calculations'!JC505&gt;0,COUNTIF('Calculations'!$HF$12:HF505,"="&amp;SUBSTITUTE(SUBSTITUTE(SUBSTITUTE('Calculations'!HF505,"~","~~"),"*","~*"),"?","~?"))=1),MAX('Calculations'!$HH$12:HH504)+1,0)</x:f>
        <x:v>0</x:v>
      </x:c>
      <x:c r="HI505" t="n">
        <x:f>IF(AND('Calculations'!HN505&lt;&gt;"",COUNTIF('Calculations'!$HN$12:HN505,"="&amp;SUBSTITUTE(SUBSTITUTE(SUBSTITUTE('Calculations'!HN505,"~","~~"),"*","~*"),"?","~?"))=1),MAX('Calculations'!$HI$12:HI504)+1,0)</x:f>
        <x:v>0</x:v>
      </x:c>
      <x:c r="HJ505" t="str">
        <x:f>IF('Calculations'!HF505="","",IF(COUNTIF('Calculations'!$HE$13:$HE$512,"="&amp;SUBSTITUTE(SUBSTITUTE(SUBSTITUTE('Calculations'!HF505,"~","~~"),"*","~*"),"?","~?"))=1,INDEX('Calculations'!$HK$13:$HK$512,MATCH('Calculations'!HF505,'Calculations'!$HE$13:$HE$512,0)),IFERROR(IF(INDEX(INDIRECT("'WCM Calibration Final'!$E$1:$E$2000"),'Calculations'!$EM505)="","",TRIM(INDEX(INDIRECT("'WCM Calibration Final'!$E$1:$E$2000"),'Calculations'!$EM505)&amp;"")),"")&amp;" ["&amp;'Calculations'!HF505&amp;"]"))</x:f>
      </x:c>
      <x:c r="HK505" t="str">
        <x:f>IF('Calculations'!EM505="","",'Calculations'!HG505&amp;" ["&amp;'Calculations'!HE505&amp;"]")</x:f>
      </x:c>
      <x:c r="HL505" t="n">
        <x:f>IF('Calculations'!EM505="",0,IF(OR('Calculations'!II505&lt;&gt;"",COUNTIF('Calculations'!$HE$13:$HE$512,"="&amp;SUBSTITUTE(SUBSTITUTE(SUBSTITUTE('Calculations'!HE505,"~","~~"),"*","~*"),"?","~?"))&gt;1),1,0))</x:f>
        <x:v>0</x:v>
      </x:c>
      <x:c r="HM505" t="str">
        <x:f>IF('Calculations'!EM505="","",IF('Calculations'!HL505=1,"!UNRESOLVED",IF('Calculations'!IH505&lt;&gt;"",'Calculations'!IH505,IF('Calculations'!IG505&lt;&gt;"",'Calculations'!IG505,IF('Calculations'!IF505&lt;&gt;"",'Calculations'!IF505,IF('Calculations'!IE505&lt;&gt;"",'Calculations'!IE505,IF('Calculations'!ID505&lt;&gt;"",'Calculations'!ID505,IF('Calculations'!IC505&lt;&gt;"",'Calculations'!IC505,IF('Calculations'!IB505&lt;&gt;"",'Calculations'!IB505,IF('Calculations'!IA505&lt;&gt;"",'Calculations'!IA505,IF('Calculations'!HZ505&lt;&gt;"",'Calculations'!HZ505,IF('Calculations'!HY505&lt;&gt;"",'Calculations'!HY505,IF('Calculations'!HX505&lt;&gt;"",'Calculations'!HX505,IF('Calculations'!HW505&lt;&gt;"",'Calculations'!HW505,IF('Calculations'!HV505&lt;&gt;"",'Calculations'!HV505,IF('Calculations'!HU505&lt;&gt;"",'Calculations'!HU505,IF('Calculations'!HT505&lt;&gt;"",'Calculations'!HT505,IF('Calculations'!HS505&lt;&gt;"",'Calculations'!HS505,IF('Calculations'!HR505&lt;&gt;"",'Calculations'!HR505,IF('Calculations'!HQ505&lt;&gt;"",'Calculations'!HQ505,IF('Calculations'!HP505&lt;&gt;"",'Calculations'!HP505,IF('Calculations'!HO505&lt;&gt;"",'Calculations'!HO505,'Calculations'!HE505))))))))))))))))))))))</x:f>
      </x:c>
      <x:c r="HN505" t="str">
        <x:f>IF('Calculations'!EM505="","",IF(IFERROR(IF(INDEX(INDIRECT("'WCM Calibration Final'!$F$1:$F$2000"),'Calculations'!$EM505)="","",TRIM(INDEX(INDIRECT("'WCM Calibration Final'!$F$1:$F$2000"),'Calculations'!$EM505)&amp;"")),"")="","(Blank)",IFERROR(IF(INDEX(INDIRECT("'WCM Calibration Final'!$F$1:$F$2000"),'Calculations'!$EM505)="","",TRIM(INDEX(INDIRECT("'WCM Calibration Final'!$F$1:$F$2000"),'Calculations'!$EM505)&amp;"")),"")))</x:f>
      </x:c>
      <x:c r="HO505" t="str">
        <x:f>'Calculations'!HF505</x:f>
      </x:c>
      <x:c r="HP505" t="str">
        <x:f>IF('Calculations'!HO505="","",IF('Calculations'!HO505="!AMBIG","!AMBIG",IF(COUNTIF('Calculations'!$HE$13:$HE$512,"="&amp;SUBSTITUTE(SUBSTITUTE(SUBSTITUTE('Calculations'!HO505,"~","~~"),"*","~*"),"?","~?"))&gt;1,"!AMBIG",IFERROR(INDEX('Calculations'!$HF$13:$HF$512,MATCH('Calculations'!HO505,'Calculations'!$HE$13:$HE$512,0)),""))))</x:f>
      </x:c>
      <x:c r="HQ505" t="str">
        <x:f>IF('Calculations'!HP505="","",IF('Calculations'!HP505="!AMBIG","!AMBIG",IF(COUNTIF('Calculations'!$HE$13:$HE$512,"="&amp;SUBSTITUTE(SUBSTITUTE(SUBSTITUTE('Calculations'!HP505,"~","~~"),"*","~*"),"?","~?"))&gt;1,"!AMBIG",IFERROR(INDEX('Calculations'!$HF$13:$HF$512,MATCH('Calculations'!HP505,'Calculations'!$HE$13:$HE$512,0)),""))))</x:f>
      </x:c>
      <x:c r="HR505" t="str">
        <x:f>IF('Calculations'!HQ505="","",IF('Calculations'!HQ505="!AMBIG","!AMBIG",IF(COUNTIF('Calculations'!$HE$13:$HE$512,"="&amp;SUBSTITUTE(SUBSTITUTE(SUBSTITUTE('Calculations'!HQ505,"~","~~"),"*","~*"),"?","~?"))&gt;1,"!AMBIG",IFERROR(INDEX('Calculations'!$HF$13:$HF$512,MATCH('Calculations'!HQ505,'Calculations'!$HE$13:$HE$512,0)),""))))</x:f>
      </x:c>
      <x:c r="HS505" t="str">
        <x:f>IF('Calculations'!HR505="","",IF('Calculations'!HR505="!AMBIG","!AMBIG",IF(COUNTIF('Calculations'!$HE$13:$HE$512,"="&amp;SUBSTITUTE(SUBSTITUTE(SUBSTITUTE('Calculations'!HR505,"~","~~"),"*","~*"),"?","~?"))&gt;1,"!AMBIG",IFERROR(INDEX('Calculations'!$HF$13:$HF$512,MATCH('Calculations'!HR505,'Calculations'!$HE$13:$HE$512,0)),""))))</x:f>
      </x:c>
      <x:c r="HT505" t="str">
        <x:f>IF('Calculations'!HS505="","",IF('Calculations'!HS505="!AMBIG","!AMBIG",IF(COUNTIF('Calculations'!$HE$13:$HE$512,"="&amp;SUBSTITUTE(SUBSTITUTE(SUBSTITUTE('Calculations'!HS505,"~","~~"),"*","~*"),"?","~?"))&gt;1,"!AMBIG",IFERROR(INDEX('Calculations'!$HF$13:$HF$512,MATCH('Calculations'!HS505,'Calculations'!$HE$13:$HE$512,0)),""))))</x:f>
      </x:c>
      <x:c r="HU505" t="str">
        <x:f>IF('Calculations'!HT505="","",IF('Calculations'!HT505="!AMBIG","!AMBIG",IF(COUNTIF('Calculations'!$HE$13:$HE$512,"="&amp;SUBSTITUTE(SUBSTITUTE(SUBSTITUTE('Calculations'!HT505,"~","~~"),"*","~*"),"?","~?"))&gt;1,"!AMBIG",IFERROR(INDEX('Calculations'!$HF$13:$HF$512,MATCH('Calculations'!HT505,'Calculations'!$HE$13:$HE$512,0)),""))))</x:f>
      </x:c>
      <x:c r="HV505" t="str">
        <x:f>IF('Calculations'!HU505="","",IF('Calculations'!HU505="!AMBIG","!AMBIG",IF(COUNTIF('Calculations'!$HE$13:$HE$512,"="&amp;SUBSTITUTE(SUBSTITUTE(SUBSTITUTE('Calculations'!HU505,"~","~~"),"*","~*"),"?","~?"))&gt;1,"!AMBIG",IFERROR(INDEX('Calculations'!$HF$13:$HF$512,MATCH('Calculations'!HU505,'Calculations'!$HE$13:$HE$512,0)),""))))</x:f>
      </x:c>
      <x:c r="HW505" t="str">
        <x:f>IF('Calculations'!HV505="","",IF('Calculations'!HV505="!AMBIG","!AMBIG",IF(COUNTIF('Calculations'!$HE$13:$HE$512,"="&amp;SUBSTITUTE(SUBSTITUTE(SUBSTITUTE('Calculations'!HV505,"~","~~"),"*","~*"),"?","~?"))&gt;1,"!AMBIG",IFERROR(INDEX('Calculations'!$HF$13:$HF$512,MATCH('Calculations'!HV505,'Calculations'!$HE$13:$HE$512,0)),""))))</x:f>
      </x:c>
      <x:c r="HX505" t="str">
        <x:f>IF('Calculations'!HW505="","",IF('Calculations'!HW505="!AMBIG","!AMBIG",IF(COUNTIF('Calculations'!$HE$13:$HE$512,"="&amp;SUBSTITUTE(SUBSTITUTE(SUBSTITUTE('Calculations'!HW505,"~","~~"),"*","~*"),"?","~?"))&gt;1,"!AMBIG",IFERROR(INDEX('Calculations'!$HF$13:$HF$512,MATCH('Calculations'!HW505,'Calculations'!$HE$13:$HE$512,0)),""))))</x:f>
      </x:c>
      <x:c r="HY505" t="str">
        <x:f>IF('Calculations'!HX505="","",IF('Calculations'!HX505="!AMBIG","!AMBIG",IF(COUNTIF('Calculations'!$HE$13:$HE$512,"="&amp;SUBSTITUTE(SUBSTITUTE(SUBSTITUTE('Calculations'!HX505,"~","~~"),"*","~*"),"?","~?"))&gt;1,"!AMBIG",IFERROR(INDEX('Calculations'!$HF$13:$HF$512,MATCH('Calculations'!HX505,'Calculations'!$HE$13:$HE$512,0)),""))))</x:f>
      </x:c>
      <x:c r="HZ505" t="str">
        <x:f>IF('Calculations'!HY505="","",IF('Calculations'!HY505="!AMBIG","!AMBIG",IF(COUNTIF('Calculations'!$HE$13:$HE$512,"="&amp;SUBSTITUTE(SUBSTITUTE(SUBSTITUTE('Calculations'!HY505,"~","~~"),"*","~*"),"?","~?"))&gt;1,"!AMBIG",IFERROR(INDEX('Calculations'!$HF$13:$HF$512,MATCH('Calculations'!HY505,'Calculations'!$HE$13:$HE$512,0)),""))))</x:f>
      </x:c>
      <x:c r="IA505" t="str">
        <x:f>IF('Calculations'!HZ505="","",IF('Calculations'!HZ505="!AMBIG","!AMBIG",IF(COUNTIF('Calculations'!$HE$13:$HE$512,"="&amp;SUBSTITUTE(SUBSTITUTE(SUBSTITUTE('Calculations'!HZ505,"~","~~"),"*","~*"),"?","~?"))&gt;1,"!AMBIG",IFERROR(INDEX('Calculations'!$HF$13:$HF$512,MATCH('Calculations'!HZ505,'Calculations'!$HE$13:$HE$512,0)),""))))</x:f>
      </x:c>
      <x:c r="IB505" t="str">
        <x:f>IF('Calculations'!IA505="","",IF('Calculations'!IA505="!AMBIG","!AMBIG",IF(COUNTIF('Calculations'!$HE$13:$HE$512,"="&amp;SUBSTITUTE(SUBSTITUTE(SUBSTITUTE('Calculations'!IA505,"~","~~"),"*","~*"),"?","~?"))&gt;1,"!AMBIG",IFERROR(INDEX('Calculations'!$HF$13:$HF$512,MATCH('Calculations'!IA505,'Calculations'!$HE$13:$HE$512,0)),""))))</x:f>
      </x:c>
      <x:c r="IC505" t="str">
        <x:f>IF('Calculations'!IB505="","",IF('Calculations'!IB505="!AMBIG","!AMBIG",IF(COUNTIF('Calculations'!$HE$13:$HE$512,"="&amp;SUBSTITUTE(SUBSTITUTE(SUBSTITUTE('Calculations'!IB505,"~","~~"),"*","~*"),"?","~?"))&gt;1,"!AMBIG",IFERROR(INDEX('Calculations'!$HF$13:$HF$512,MATCH('Calculations'!IB505,'Calculations'!$HE$13:$HE$512,0)),""))))</x:f>
      </x:c>
      <x:c r="ID505" t="str">
        <x:f>IF('Calculations'!IC505="","",IF('Calculations'!IC505="!AMBIG","!AMBIG",IF(COUNTIF('Calculations'!$HE$13:$HE$512,"="&amp;SUBSTITUTE(SUBSTITUTE(SUBSTITUTE('Calculations'!IC505,"~","~~"),"*","~*"),"?","~?"))&gt;1,"!AMBIG",IFERROR(INDEX('Calculations'!$HF$13:$HF$512,MATCH('Calculations'!IC505,'Calculations'!$HE$13:$HE$512,0)),""))))</x:f>
      </x:c>
      <x:c r="IE505" t="str">
        <x:f>IF('Calculations'!ID505="","",IF('Calculations'!ID505="!AMBIG","!AMBIG",IF(COUNTIF('Calculations'!$HE$13:$HE$512,"="&amp;SUBSTITUTE(SUBSTITUTE(SUBSTITUTE('Calculations'!ID505,"~","~~"),"*","~*"),"?","~?"))&gt;1,"!AMBIG",IFERROR(INDEX('Calculations'!$HF$13:$HF$512,MATCH('Calculations'!ID505,'Calculations'!$HE$13:$HE$512,0)),""))))</x:f>
      </x:c>
      <x:c r="IF505" t="str">
        <x:f>IF('Calculations'!IE505="","",IF('Calculations'!IE505="!AMBIG","!AMBIG",IF(COUNTIF('Calculations'!$HE$13:$HE$512,"="&amp;SUBSTITUTE(SUBSTITUTE(SUBSTITUTE('Calculations'!IE505,"~","~~"),"*","~*"),"?","~?"))&gt;1,"!AMBIG",IFERROR(INDEX('Calculations'!$HF$13:$HF$512,MATCH('Calculations'!IE505,'Calculations'!$HE$13:$HE$512,0)),""))))</x:f>
      </x:c>
      <x:c r="IG505" t="str">
        <x:f>IF('Calculations'!IF505="","",IF('Calculations'!IF505="!AMBIG","!AMBIG",IF(COUNTIF('Calculations'!$HE$13:$HE$512,"="&amp;SUBSTITUTE(SUBSTITUTE(SUBSTITUTE('Calculations'!IF505,"~","~~"),"*","~*"),"?","~?"))&gt;1,"!AMBIG",IFERROR(INDEX('Calculations'!$HF$13:$HF$512,MATCH('Calculations'!IF505,'Calculations'!$HE$13:$HE$512,0)),""))))</x:f>
      </x:c>
      <x:c r="IH505" t="str">
        <x:f>IF('Calculations'!IG505="","",IF('Calculations'!IG505="!AMBIG","!AMBIG",IF(COUNTIF('Calculations'!$HE$13:$HE$512,"="&amp;SUBSTITUTE(SUBSTITUTE(SUBSTITUTE('Calculations'!IG505,"~","~~"),"*","~*"),"?","~?"))&gt;1,"!AMBIG",IFERROR(INDEX('Calculations'!$HF$13:$HF$512,MATCH('Calculations'!IG505,'Calculations'!$HE$13:$HE$512,0)),""))))</x:f>
      </x:c>
      <x:c r="II505" t="str">
        <x:f>IF('Calculations'!IH505="","",IF('Calculations'!IH505="!AMBIG","!AMBIG",IF(COUNTIF('Calculations'!$HE$13:$HE$512,"="&amp;SUBSTITUTE(SUBSTITUTE(SUBSTITUTE('Calculations'!IH505,"~","~~"),"*","~*"),"?","~?"))&gt;1,"!AMBIG",IFERROR(INDEX('Calculations'!$HF$13:$HF$512,MATCH('Calculations'!IH505,'Calculations'!$HE$13:$HE$512,0)),""))))</x:f>
      </x:c>
      <x:c r="IJ505" t="str">
        <x:f>IF('Calculations'!EM505="","",IF('Calculations'!$EF$2="All",'Calculations'!HM505,IF('Calculations'!HL505=1,"",IFERROR(IF(MATCH('Calculations'!$EF$2,'Calculations'!HO505:II505,0)=1,'Calculations'!HE505,INDEX('Calculations'!HO505:II505,1,MATCH('Calculations'!$EF$2,'Calculations'!HO505:II505,0)-1)),""))))</x:f>
      </x:c>
      <x:c r="IK505" t="n">
        <x:f>IF(AND('Calculations'!EM505&lt;&gt;"",'Calculations'!$EF$2&lt;&gt;"All",'Calculations'!HF505='Calculations'!$EF$2,'Calculations'!HL505=0,'Calculations'!JD505&gt;0),MAX('Calculations'!$IK$12:IK504)+1,0)</x:f>
        <x:v>0</x:v>
      </x:c>
      <x:c r="JA505" t="n">
        <x:f>IF(OR(IFERROR(INDIRECT("'WCM Calibration Final'!$A$505")&lt;&gt;"",FALSE),IFERROR(INDIRECT("'WCM Calibration Final'!$B$505")&lt;&gt;"",FALSE),IFERROR(INDIRECT("'WCM Calibration Final'!$C$505")&lt;&gt;"",FALSE)),505,0)</x:f>
        <x:v>0</x:v>
      </x:c>
      <x:c r="JB505" t="n">
        <x:f>'Calculations'!JB504+IF('Calculations'!JA505&gt;0,1,0)</x:f>
        <x:v>0</x:v>
      </x:c>
      <x:c r="JC505" t="n">
        <x:f>IF(OR('Calculations'!HF505="",'Calculations'!HF505="!AMBIG"),0,IF('Dashboard'!$B$7="All",1,COUNTIFS('Calculations'!$HO$13:$HO$512,"="&amp;SUBSTITUTE(SUBSTITUTE(SUBSTITUTE('Calculations'!HF505,"~","~~"),"*","~*"),"?","~?"),'Calculations'!$HN$13:$HN$512,"="&amp;SUBSTITUTE(SUBSTITUTE(SUBSTITUTE('Dashboard'!$B$7,"~","~~"),"*","~*"),"?","~?"))+COUNTIFS('Calculations'!$HP$13:$HP$512,"="&amp;SUBSTITUTE(SUBSTITUTE(SUBSTITUTE('Calculations'!HF505,"~","~~"),"*","~*"),"?","~?"),'Calculations'!$HN$13:$HN$512,"="&amp;SUBSTITUTE(SUBSTITUTE(SUBSTITUTE('Dashboard'!$B$7,"~","~~"),"*","~*"),"?","~?"))+COUNTIFS('Calculations'!$HQ$13:$HQ$512,"="&amp;SUBSTITUTE(SUBSTITUTE(SUBSTITUTE('Calculations'!HF505,"~","~~"),"*","~*"),"?","~?"),'Calculations'!$HN$13:$HN$512,"="&amp;SUBSTITUTE(SUBSTITUTE(SUBSTITUTE('Dashboard'!$B$7,"~","~~"),"*","~*"),"?","~?"))+COUNTIFS('Calculations'!$HR$13:$HR$512,"="&amp;SUBSTITUTE(SUBSTITUTE(SUBSTITUTE('Calculations'!HF505,"~","~~"),"*","~*"),"?","~?"),'Calculations'!$HN$13:$HN$512,"="&amp;SUBSTITUTE(SUBSTITUTE(SUBSTITUTE('Dashboard'!$B$7,"~","~~"),"*","~*"),"?","~?"))+COUNTIFS('Calculations'!$HS$13:$HS$512,"="&amp;SUBSTITUTE(SUBSTITUTE(SUBSTITUTE('Calculations'!HF505,"~","~~"),"*","~*"),"?","~?"),'Calculations'!$HN$13:$HN$512,"="&amp;SUBSTITUTE(SUBSTITUTE(SUBSTITUTE('Dashboard'!$B$7,"~","~~"),"*","~*"),"?","~?"))+COUNTIFS('Calculations'!$HT$13:$HT$512,"="&amp;SUBSTITUTE(SUBSTITUTE(SUBSTITUTE('Calculations'!HF505,"~","~~"),"*","~*"),"?","~?"),'Calculations'!$HN$13:$HN$512,"="&amp;SUBSTITUTE(SUBSTITUTE(SUBSTITUTE('Dashboard'!$B$7,"~","~~"),"*","~*"),"?","~?"))+COUNTIFS('Calculations'!$HU$13:$HU$512,"="&amp;SUBSTITUTE(SUBSTITUTE(SUBSTITUTE('Calculations'!HF505,"~","~~"),"*","~*"),"?","~?"),'Calculations'!$HN$13:$HN$512,"="&amp;SUBSTITUTE(SUBSTITUTE(SUBSTITUTE('Dashboard'!$B$7,"~","~~"),"*","~*"),"?","~?"))+COUNTIFS('Calculations'!$HV$13:$HV$512,"="&amp;SUBSTITUTE(SUBSTITUTE(SUBSTITUTE('Calculations'!HF505,"~","~~"),"*","~*"),"?","~?"),'Calculations'!$HN$13:$HN$512,"="&amp;SUBSTITUTE(SUBSTITUTE(SUBSTITUTE('Dashboard'!$B$7,"~","~~"),"*","~*"),"?","~?"))+COUNTIFS('Calculations'!$HW$13:$HW$512,"="&amp;SUBSTITUTE(SUBSTITUTE(SUBSTITUTE('Calculations'!HF505,"~","~~"),"*","~*"),"?","~?"),'Calculations'!$HN$13:$HN$512,"="&amp;SUBSTITUTE(SUBSTITUTE(SUBSTITUTE('Dashboard'!$B$7,"~","~~"),"*","~*"),"?","~?"))+COUNTIFS('Calculations'!$HX$13:$HX$512,"="&amp;SUBSTITUTE(SUBSTITUTE(SUBSTITUTE('Calculations'!HF505,"~","~~"),"*","~*"),"?","~?"),'Calculations'!$HN$13:$HN$512,"="&amp;SUBSTITUTE(SUBSTITUTE(SUBSTITUTE('Dashboard'!$B$7,"~","~~"),"*","~*"),"?","~?"))+COUNTIFS('Calculations'!$HY$13:$HY$512,"="&amp;SUBSTITUTE(SUBSTITUTE(SUBSTITUTE('Calculations'!HF505,"~","~~"),"*","~*"),"?","~?"),'Calculations'!$HN$13:$HN$512,"="&amp;SUBSTITUTE(SUBSTITUTE(SUBSTITUTE('Dashboard'!$B$7,"~","~~"),"*","~*"),"?","~?"))+COUNTIFS('Calculations'!$HZ$13:$HZ$512,"="&amp;SUBSTITUTE(SUBSTITUTE(SUBSTITUTE('Calculations'!HF505,"~","~~"),"*","~*"),"?","~?"),'Calculations'!$HN$13:$HN$512,"="&amp;SUBSTITUTE(SUBSTITUTE(SUBSTITUTE('Dashboard'!$B$7,"~","~~"),"*","~*"),"?","~?"))+COUNTIFS('Calculations'!$IA$13:$IA$512,"="&amp;SUBSTITUTE(SUBSTITUTE(SUBSTITUTE('Calculations'!HF505,"~","~~"),"*","~*"),"?","~?"),'Calculations'!$HN$13:$HN$512,"="&amp;SUBSTITUTE(SUBSTITUTE(SUBSTITUTE('Dashboard'!$B$7,"~","~~"),"*","~*"),"?","~?"))+COUNTIFS('Calculations'!$IB$13:$IB$512,"="&amp;SUBSTITUTE(SUBSTITUTE(SUBSTITUTE('Calculations'!HF505,"~","~~"),"*","~*"),"?","~?"),'Calculations'!$HN$13:$HN$512,"="&amp;SUBSTITUTE(SUBSTITUTE(SUBSTITUTE('Dashboard'!$B$7,"~","~~"),"*","~*"),"?","~?"))+COUNTIFS('Calculations'!$IC$13:$IC$512,"="&amp;SUBSTITUTE(SUBSTITUTE(SUBSTITUTE('Calculations'!HF505,"~","~~"),"*","~*"),"?","~?"),'Calculations'!$HN$13:$HN$512,"="&amp;SUBSTITUTE(SUBSTITUTE(SUBSTITUTE('Dashboard'!$B$7,"~","~~"),"*","~*"),"?","~?"))+COUNTIFS('Calculations'!$ID$13:$ID$512,"="&amp;SUBSTITUTE(SUBSTITUTE(SUBSTITUTE('Calculations'!HF505,"~","~~"),"*","~*"),"?","~?"),'Calculations'!$HN$13:$HN$512,"="&amp;SUBSTITUTE(SUBSTITUTE(SUBSTITUTE('Dashboard'!$B$7,"~","~~"),"*","~*"),"?","~?"))+COUNTIFS('Calculations'!$IE$13:$IE$512,"="&amp;SUBSTITUTE(SUBSTITUTE(SUBSTITUTE('Calculations'!HF505,"~","~~"),"*","~*"),"?","~?"),'Calculations'!$HN$13:$HN$512,"="&amp;SUBSTITUTE(SUBSTITUTE(SUBSTITUTE('Dashboard'!$B$7,"~","~~"),"*","~*"),"?","~?"))+COUNTIFS('Calculations'!$IF$13:$IF$512,"="&amp;SUBSTITUTE(SUBSTITUTE(SUBSTITUTE('Calculations'!HF505,"~","~~"),"*","~*"),"?","~?"),'Calculations'!$HN$13:$HN$512,"="&amp;SUBSTITUTE(SUBSTITUTE(SUBSTITUTE('Dashboard'!$B$7,"~","~~"),"*","~*"),"?","~?"))+COUNTIFS('Calculations'!$IG$13:$IG$512,"="&amp;SUBSTITUTE(SUBSTITUTE(SUBSTITUTE('Calculations'!HF505,"~","~~"),"*","~*"),"?","~?"),'Calculations'!$HN$13:$HN$512,"="&amp;SUBSTITUTE(SUBSTITUTE(SUBSTITUTE('Dashboard'!$B$7,"~","~~"),"*","~*"),"?","~?"))+COUNTIFS('Calculations'!$IH$13:$IH$512,"="&amp;SUBSTITUTE(SUBSTITUTE(SUBSTITUTE('Calculations'!HF505,"~","~~"),"*","~*"),"?","~?"),'Calculations'!$HN$13:$HN$512,"="&amp;SUBSTITUTE(SUBSTITUTE(SUBSTITUTE('Dashboard'!$B$7,"~","~~"),"*","~*"),"?","~?"))))</x:f>
        <x:v>0</x:v>
      </x:c>
      <x:c r="JD505" t="n">
        <x:f>IF('Calculations'!EM505="",0,IF('Dashboard'!$B$7="All",1,IF('Calculations'!HN505='Dashboard'!$B$7,1,0)+IFERROR(INDEX('Calculations'!$JC$13:$JC$512,MATCH('Calculations'!HE505,'Calculations'!$HF$13:$HF$512,0)),0)))</x:f>
        <x:v>0</x:v>
      </x:c>
      <x:c r="JE505" t="n">
        <x:f>IF(AND('Calculations'!EM505&lt;&gt;"",'Calculations'!$JJ$2&lt;&gt;"All",'Calculations'!$JJ$2&lt;&gt;"",'Calculations'!HF505='Calculations'!$JJ$2,'Calculations'!HL505=0,'Calculations'!JD505&gt;0),MAX('Calculations'!$JE$12:JE504)+1,0)</x:f>
        <x:v>0</x:v>
      </x:c>
      <x:c r="JF505" t="str">
        <x:f>IF('Calculations'!EM505="","",IFERROR(IF(INDEX(INDIRECT("'WCM Calibration Final'!$G$1:$G$2000"),'Calculations'!$EM505)="","",TRIM(INDEX(INDIRECT("'WCM Calibration Final'!$G$1:$G$2000"),'Calculations'!$EM505)&amp;"")),""))</x:f>
      </x:c>
      <x:c r="JQ505" t="n">
        <x:f>IF(OR('Calculations'!BM505=0,NOT('Calculations'!$AG$2),'Calculations'!$AG$8&gt;0),0,IF(OR('Dashboard'!$B$7="All",'Calculations'!HN505='Dashboard'!$B$7),IF('Calculations'!$JJ$2="All",1,IF(AND('Calculations'!HF505='Calculations'!$JJ$2,'Calculations'!HL505=0),1,0)),0))</x:f>
        <x:v>0</x:v>
      </x:c>
    </x:row>
    <x:row r="506">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t="n">
        <x:f>IF('Calculations'!$EM506="",0,IF(OR(IFERROR(INDEX(INDIRECT("'WCM Calibration Final'!$A$1:$A$2000"),'Calculations'!$EM506)&lt;&gt;"",FALSE),IFERROR(INDEX(INDIRECT("'WCM Calibration Final'!$B$1:$B$2000"),'Calculations'!$EM506)&lt;&gt;"",FALSE),IFERROR(INDEX(INDIRECT("'WCM Calibration Final'!$C$1:$C$2000"),'Calculations'!$EM506)&lt;&gt;"",FALSE)),1,0))</x:f>
        <x:v>0</x:v>
      </x:c>
      <x:c r="BN506" s="4" t="n">
        <x:f>IF(AND('Calculations'!BM506=1,'Calculations'!$AG$2,'Calculations'!$EN506=1),1,0)</x:f>
        <x:v>0</x:v>
      </x:c>
      <x:c r="BO506" s="4" t="str">
        <x:f>IF('Calculations'!BM506=0,"",IFERROR(IF(AND(VALUE(INDEX(INDIRECT("'WCM Calibration Final'!$K$1:$K$2000"),'Calculations'!$EM506))&gt;=1,VALUE(INDEX(INDIRECT("'WCM Calibration Final'!$K$1:$K$2000"),'Calculations'!$EM506))&lt;=4,MOD(VALUE(INDEX(INDIRECT("'WCM Calibration Final'!$K$1:$K$2000"),'Calculations'!$EM506)),1)=0),VALUE(INDEX(INDIRECT("'WCM Calibration Final'!$K$1:$K$2000"),'Calculations'!$EM506)),""),""))</x:f>
      </x:c>
      <x:c r="BP506" s="4" t="str">
        <x:f>IF('Calculations'!BM506=0,"",IFERROR(IF(AND(VALUE(INDEX(INDIRECT("'WCM Calibration Final'!$L$1:$L$2000"),'Calculations'!$EM506))&gt;=1,VALUE(INDEX(INDIRECT("'WCM Calibration Final'!$L$1:$L$2000"),'Calculations'!$EM506))&lt;=4,MOD(VALUE(INDEX(INDIRECT("'WCM Calibration Final'!$L$1:$L$2000"),'Calculations'!$EM506)),1)=0),VALUE(INDEX(INDIRECT("'WCM Calibration Final'!$L$1:$L$2000"),'Calculations'!$EM506)),""),""))</x:f>
      </x:c>
      <x:c r="BQ506" s="4"/>
      <x:c r="BR506" s="4"/>
      <x:c r="BS506" s="4"/>
      <x:c r="BT506" s="4" t="n">
        <x:f>IF(AND('Calculations'!BM506=1,ISNUMBER('Calculations'!BO506),ISNUMBER('Calculations'!BP506)),1,0)</x:f>
        <x:v>0</x:v>
      </x:c>
      <x:c r="BU506" s="4" t="str">
        <x:f>IF('Calculations'!BM506=0,"",'Calculations'!$EO506)</x:f>
      </x:c>
      <x:c r="BV506" s="4" t="str">
        <x:f>IF('Calculations'!BM506=0,"",IFERROR(IF(OR(INDEX(INDIRECT("'WCM Calibration Final'!$H$1:$H$2000"),'Calculations'!$EM506)="MANAGING DIRECTOR",INDEX(INDIRECT("'WCM Calibration Final'!$H$1:$H$2000"),'Calculations'!$EM506)="DIRECTOR",INDEX(INDIRECT("'WCM Calibration Final'!$H$1:$H$2000"),'Calculations'!$EM506)="SENIOR VICE PRESIDENT",INDEX(INDIRECT("'WCM Calibration Final'!$H$1:$H$2000"),'Calculations'!$EM506)="VICE PRESIDENT",INDEX(INDIRECT("'WCM Calibration Final'!$H$1:$H$2000"),'Calculations'!$EM506)="ASSISTANT VICE PRESIDENT",INDEX(INDIRECT("'WCM Calibration Final'!$H$1:$H$2000"),'Calculations'!$EM506)="OFFICER"),UPPER(INDEX(INDIRECT("'WCM Calibration Final'!$H$1:$H$2000"),'Calculations'!$EM506)),"Other"),"Other"))</x:f>
      </x:c>
      <x:c r="BW506" s="4"/>
      <x:c r="BX506" s="4"/>
      <x:c r="BY506" s="4" t="n">
        <x:f>IF(AND('Calculations'!BM506=1,'Calculations'!BU506&lt;&gt;"",COUNTIF('Calculations'!$BU$12:BU506,'Calculations'!BU506)=1),MAX('Calculations'!$BY$11:BY505)+1,0)</x:f>
        <x:v>0</x:v>
      </x:c>
      <x:c r="BZ506" s="4" t="str">
        <x:f>IF('Dashboard'!$E$67="What",'Calculations'!BO506,'Calculations'!BP506)</x:f>
      </x:c>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t="str">
        <x:f>IF(495&gt;MAX('Calculations'!$HI$13:$HI$512),"",INDEX('Calculations'!$HN$13:$HN$512,MATCH(495,'Calculations'!$HI$13:$HI$512,0)))</x:f>
      </x:c>
      <x:c r="DB506" s="4" t="str">
        <x:f>IF(495&gt;MAX('Calculations'!$HH$13:$HH$512),"",INDEX('Calculations'!$HJ$13:$HJ$512,MATCH(495,'Calculations'!$HH$13:$HH$512,0)))</x:f>
      </x:c>
      <x:c r="DC506" s="4" t="str">
        <x:f>IF(ROW()-11&gt;MAX('Calculations'!$BY$13:$BY$512),"",INDEX('Calculations'!$BU$13:$BU$512,MATCH(ROW()-11,'Calculations'!$BY$13:$BY$512,0)))</x:f>
      </x:c>
      <x:c r="DD506" s="4" t="str">
        <x:f>IF(495&gt;MAX('Calculations'!$IK$13:$IK$512),"",INDEX('Calculations'!$HK$13:$HK$512,MATCH(495,'Calculations'!$IK$13:$IK$512,0)))</x:f>
      </x:c>
      <x:c r="DE506" s="4" t="str">
        <x:f>'Calculations'!DC506</x:f>
      </x:c>
      <x:c r="DF506" s="4" t="str">
        <x:f>IF('Calculations'!DE506="","",COUNTIFS('Calculations'!$BN$13:$BN$512,1,'Calculations'!$BU$13:$BU$512,'Calculations'!DE506))</x:f>
      </x:c>
      <x:c r="DG506" s="4" t="str">
        <x:f>IF('Calculations'!DE506="","",COUNTIFS('Calculations'!$BN$13:$BN$512,1,'Calculations'!$BU$13:$BU$512,'Calculations'!DE506,'Calculations'!$BT$13:$BT$512,1))</x:f>
      </x:c>
      <x:c r="DH506" s="4" t="str">
        <x:f>IF('Calculations'!DE506="","",'Calculations'!DF506-'Calculations'!DG506)</x:f>
      </x:c>
      <x:c r="DI506" s="4" t="str">
        <x:f>IF(OR('Calculations'!DE506="",'Calculations'!DF506=0),"",'Calculations'!DG506/'Calculations'!DF506)</x:f>
      </x:c>
      <x:c r="DJ506" s="4" t="str">
        <x:f>IF('Calculations'!DE506="","",COUNTIFS('Calculations'!$BN$13:$BN$512,1,'Calculations'!$BU$13:$BU$512,'Calculations'!DE506,'Calculations'!$BT$13:$BT$512,1,'Calculations'!$EE$13:$EE$512,"High"))</x:f>
      </x:c>
      <x:c r="DK506" s="4" t="str">
        <x:f>IF('Calculations'!DE506="","",COUNTIFS('Calculations'!$BN$13:$BN$512,1,'Calculations'!$BU$13:$BU$512,'Calculations'!DE506,'Calculations'!$BT$13:$BT$512,1,'Calculations'!$EE$13:$EE$512,"Strong"))</x:f>
      </x:c>
      <x:c r="DL506" s="4" t="str">
        <x:f>IF('Calculations'!DE506="","",COUNTIFS('Calculations'!$BN$13:$BN$512,1,'Calculations'!$BU$13:$BU$512,'Calculations'!DE506,'Calculations'!$BT$13:$BT$512,1,'Calculations'!$EE$13:$EE$512,"Solid"))</x:f>
      </x:c>
      <x:c r="DM506" s="4" t="str">
        <x:f>IF('Calculations'!DE506="","",COUNTIFS('Calculations'!$BN$13:$BN$512,1,'Calculations'!$BU$13:$BU$512,'Calculations'!DE506,'Calculations'!$BT$13:$BT$512,1,'Calculations'!$EE$13:$EE$512,"Low"))</x:f>
      </x:c>
      <x:c r="DN506" s="4" t="str">
        <x:f>IF('Calculations'!DE506="","",COUNTIFS('Calculations'!$BN$13:$BN$512,1,'Calculations'!$BU$13:$BU$512,'Calculations'!DE506,'Calculations'!$EP$13:$EP$512,1))</x:f>
      </x:c>
      <x:c r="DO506" s="4" t="str">
        <x:f>IF(OR('Calculations'!DE506="",'Calculations'!DG506=0),"",('Calculations'!DJ506+'Calculations'!DK506)/'Calculations'!DG506)</x:f>
      </x:c>
      <x:c r="DP506" s="4" t="n">
        <x:f>IF(AND('Calculations'!DE506&lt;&gt;"",'Calculations'!DF506&gt;0),COUNTIF('Calculations'!$DF$12:DF506,"&gt;0"),0)</x:f>
        <x:v>0</x:v>
      </x:c>
      <x:c r="DQ506" s="4" t="str">
        <x:f>IF(495&gt;MAX('Calculations'!$HH$13:$HH$512),"",INDEX('Calculations'!$HF$13:$HF$512,MATCH(495,'Calculations'!$HH$13:$HH$512,0)))</x:f>
      </x:c>
      <x:c r="DR506" s="4" t="str">
        <x:f>IF(495&gt;MAX('Calculations'!$IK$13:$IK$512),"",INDEX('Calculations'!$HE$13:$HE$512,MATCH(495,'Calculations'!$IK$13:$IK$512,0)))</x:f>
      </x:c>
      <x:c r="DS506" s="4"/>
      <x:c r="DT506" s="4"/>
      <x:c r="DU506" s="4"/>
      <x:c r="DV506" s="4"/>
      <x:c r="DW506" s="4"/>
      <x:c r="DX506" s="4"/>
      <x:c r="DY506" s="4"/>
      <x:c r="DZ506" s="4"/>
      <x:c r="EA506" s="4"/>
      <x:c r="EB506" s="4"/>
      <x:c r="EC506" s="4"/>
      <x:c r="ED506" s="4"/>
      <x:c r="EE506" s="4" t="str">
        <x:f>IF('Calculations'!BT506=0,"Not Rated",IF(OR('Calculations'!BO506&gt;=4,'Calculations'!BP506&gt;=4),"Low",IF('Calculations'!BO506+'Calculations'!BP506&lt;=3,"High",IF('Calculations'!BO506+'Calculations'!BP506&lt;=4,"Strong","Solid"))))</x:f>
        <x:v>Not Rated</x:v>
      </x:c>
      <x:c r="EF506" s="4"/>
      <x:c r="EG506" s="4"/>
      <x:c r="EH506" s="4"/>
      <x:c r="EI506" s="4"/>
      <x:c r="EJ506" s="4"/>
      <x:c r="EK506" s="4"/>
      <x:c r="EL506" s="4"/>
      <x:c r="EM506" s="4" t="str">
        <x:f>IF(494&gt;'Calculations'!$JB$2000,"",INDEX('Calculations'!$JA$12:$JA$2000,MATCH(494,'Calculations'!$JB$12:$JB$2000,0)))</x:f>
      </x:c>
      <x:c r="EN506" s="4" t="n">
        <x:f>IF(OR('Calculations'!EM506="",'Calculations'!$AG$8&gt;0,AND('Calculations'!$EF$2&lt;&gt;"All",'Calculations'!HE506='Calculations'!$EF$2),AND('Calculations'!$EF$3&lt;&gt;"All",'Calculations'!HE506='Calculations'!$EF$3)),0,IF(OR('Dashboard'!$B$7="All",'Calculations'!HN506='Dashboard'!$B$7),IF('Calculations'!$EF$2="All",1,IF('Calculations'!HL506&gt;0,0,IF(COUNTIF('Calculations'!HO506:II506,"="&amp;SUBSTITUTE(SUBSTITUTE(SUBSTITUTE('Calculations'!$EF$2,"~","~~"),"*","~*"),"?","~?"))=0,0,IF('Calculations'!$EF$3="All",1,IF(COUNTIF('Calculations'!HO506:II506,"="&amp;SUBSTITUTE(SUBSTITUTE(SUBSTITUTE('Calculations'!$EF$3,"~","~~"),"*","~*"),"?","~?"))&gt;0,1,0))))),0))</x:f>
        <x:v>0</x:v>
      </x:c>
      <x:c r="EO506" s="4" t="str">
        <x:f>IF('Calculations'!IJ506="","",IF('Calculations'!IJ506="!UNRESOLVED","Unresolved hierarchy",IFERROR(INDEX('Calculations'!$HK$13:$HK$512,MATCH('Calculations'!IJ506,'Calculations'!$HE$13:$HE$512,0)),IFERROR(INDEX('Calculations'!$HJ$13:$HJ$512,MATCH('Calculations'!IJ506,'Calculations'!$HF$13:$HF$512,0)),'Calculations'!IJ506))))</x:f>
      </x:c>
      <x:c r="EP506" s="4" t="n">
        <x:f>IF(AND('Calculations'!EM506&lt;&gt;"",'Calculations'!HF506='Calculations'!IJ506),1,0)</x:f>
        <x:v>0</x:v>
      </x:c>
      <x:c r="EQ506" s="4"/>
      <x:c r="ER506" s="4"/>
      <x:c r="ES506" s="4"/>
      <x:c r="ET506" s="4"/>
      <x:c r="EU506" s="4"/>
      <x:c r="EV506" s="4"/>
      <x:c r="EW506" s="4"/>
      <x:c r="EX506" s="4"/>
      <x:c r="EY506" s="4"/>
      <x:c r="EZ506" s="4"/>
      <x:c r="FA506" s="4"/>
      <x:c r="FB506" s="4"/>
      <x:c r="FC506" s="4"/>
      <x:c r="FD506" s="4"/>
      <x:c r="FE506" s="4"/>
      <x:c r="FF506" s="4"/>
      <x:c r="FG506" s="4"/>
      <x:c r="FH506" s="4"/>
      <x:c r="FI506" s="4"/>
      <x:c r="FJ506" s="4"/>
      <x:c r="FK506" s="4"/>
      <x:c r="FL506" s="4"/>
      <x:c r="FM506" s="4"/>
      <x:c r="FN506" s="4"/>
      <x:c r="FO506" s="4"/>
      <x:c r="HE506" t="str">
        <x:f>IF('Calculations'!EM506="","",IF(IFERROR(IF(INDEX(INDIRECT("'WCM Calibration Final'!$A$1:$A$2000"),'Calculations'!$EM506)="","",TRIM(INDEX(INDIRECT("'WCM Calibration Final'!$A$1:$A$2000"),'Calculations'!$EM506)&amp;"")),"")&lt;&gt;"","G:"&amp;IFERROR(TEXT(1*INDEX(INDIRECT("'WCM Calibration Final'!$A$1:$A$2000"),'Calculations'!$EM506),"0"),UPPER(IFERROR(IF(INDEX(INDIRECT("'WCM Calibration Final'!$A$1:$A$2000"),'Calculations'!$EM506)="","",TRIM(INDEX(INDIRECT("'WCM Calibration Final'!$A$1:$A$2000"),'Calculations'!$EM506)&amp;"")),""))),IF(IFERROR(IF(INDEX(INDIRECT("'WCM Calibration Final'!$C$1:$C$2000"),'Calculations'!$EM506)="","",TRIM(INDEX(INDIRECT("'WCM Calibration Final'!$C$1:$C$2000"),'Calculations'!$EM506)&amp;"")),"")&lt;&gt;"","S:"&amp;UPPER(IFERROR(IF(INDEX(INDIRECT("'WCM Calibration Final'!$C$1:$C$2000"),'Calculations'!$EM506)="","",TRIM(INDEX(INDIRECT("'WCM Calibration Final'!$C$1:$C$2000"),'Calculations'!$EM506)&amp;"")),"")),"R:"&amp;'Calculations'!EM506)))</x:f>
      </x:c>
      <x:c r="HF506" t="str">
        <x:f>IF('Calculations'!EM506="","",IF(IFERROR(IF(INDEX(INDIRECT("'WCM Calibration Final'!$D$1:$D$2000"),'Calculations'!$EM506)="","",TRIM(INDEX(INDIRECT("'WCM Calibration Final'!$D$1:$D$2000"),'Calculations'!$EM506)&amp;"")),"")&lt;&gt;"","G:"&amp;IFERROR(TEXT(1*INDEX(INDIRECT("'WCM Calibration Final'!$D$1:$D$2000"),'Calculations'!$EM506),"0"),UPPER(IFERROR(IF(INDEX(INDIRECT("'WCM Calibration Final'!$D$1:$D$2000"),'Calculations'!$EM506)="","",TRIM(INDEX(INDIRECT("'WCM Calibration Final'!$D$1:$D$2000"),'Calculations'!$EM506)&amp;"")),""))),IF(IFERROR(IF(INDEX(INDIRECT("'WCM Calibration Final'!$E$1:$E$2000"),'Calculations'!$EM506)="","",TRIM(INDEX(INDIRECT("'WCM Calibration Final'!$E$1:$E$2000"),'Calculations'!$EM506)&amp;"")),"")="","",IF(COUNTIF('Calculations'!$HG$13:$HG$512,"="&amp;SUBSTITUTE(SUBSTITUTE(SUBSTITUTE(IFERROR(IF(INDEX(INDIRECT("'WCM Calibration Final'!$E$1:$E$2000"),'Calculations'!$EM506)="","",TRIM(INDEX(INDIRECT("'WCM Calibration Final'!$E$1:$E$2000"),'Calculations'!$EM506)&amp;"")),""),"~","~~"),"*","~*"),"?","~?"))=1,INDEX('Calculations'!$HE$13:$HE$512,MATCH(IFERROR(IF(INDEX(INDIRECT("'WCM Calibration Final'!$E$1:$E$2000"),'Calculations'!$EM506)="","",TRIM(INDEX(INDIRECT("'WCM Calibration Final'!$E$1:$E$2000"),'Calculations'!$EM506)&amp;"")),""),'Calculations'!$HG$13:$HG$512,0)),IF(COUNTIF('Calculations'!$HG$13:$HG$512,"="&amp;SUBSTITUTE(SUBSTITUTE(SUBSTITUTE(IFERROR(IF(INDEX(INDIRECT("'WCM Calibration Final'!$E$1:$E$2000"),'Calculations'!$EM506)="","",TRIM(INDEX(INDIRECT("'WCM Calibration Final'!$E$1:$E$2000"),'Calculations'!$EM506)&amp;"")),""),"~","~~"),"*","~*"),"?","~?"))&gt;1,"!AMBIG","X:"&amp;IFERROR(IF(INDEX(INDIRECT("'WCM Calibration Final'!$E$1:$E$2000"),'Calculations'!$EM506)="","",TRIM(INDEX(INDIRECT("'WCM Calibration Final'!$E$1:$E$2000"),'Calculations'!$EM506)&amp;"")),""))))))</x:f>
      </x:c>
      <x:c r="HG506" t="str">
        <x:f>IF('Calculations'!EM506="","",IFERROR(IF(INDEX(INDIRECT("'WCM Calibration Final'!$B$1:$B$2000"),'Calculations'!$EM506)="","",TRIM(INDEX(INDIRECT("'WCM Calibration Final'!$B$1:$B$2000"),'Calculations'!$EM506)&amp;"")),""))</x:f>
      </x:c>
      <x:c r="HH506" t="n">
        <x:f>IF(AND('Calculations'!JC506&gt;0,COUNTIF('Calculations'!$HF$12:HF506,"="&amp;SUBSTITUTE(SUBSTITUTE(SUBSTITUTE('Calculations'!HF506,"~","~~"),"*","~*"),"?","~?"))=1),MAX('Calculations'!$HH$12:HH505)+1,0)</x:f>
        <x:v>0</x:v>
      </x:c>
      <x:c r="HI506" t="n">
        <x:f>IF(AND('Calculations'!HN506&lt;&gt;"",COUNTIF('Calculations'!$HN$12:HN506,"="&amp;SUBSTITUTE(SUBSTITUTE(SUBSTITUTE('Calculations'!HN506,"~","~~"),"*","~*"),"?","~?"))=1),MAX('Calculations'!$HI$12:HI505)+1,0)</x:f>
        <x:v>0</x:v>
      </x:c>
      <x:c r="HJ506" t="str">
        <x:f>IF('Calculations'!HF506="","",IF(COUNTIF('Calculations'!$HE$13:$HE$512,"="&amp;SUBSTITUTE(SUBSTITUTE(SUBSTITUTE('Calculations'!HF506,"~","~~"),"*","~*"),"?","~?"))=1,INDEX('Calculations'!$HK$13:$HK$512,MATCH('Calculations'!HF506,'Calculations'!$HE$13:$HE$512,0)),IFERROR(IF(INDEX(INDIRECT("'WCM Calibration Final'!$E$1:$E$2000"),'Calculations'!$EM506)="","",TRIM(INDEX(INDIRECT("'WCM Calibration Final'!$E$1:$E$2000"),'Calculations'!$EM506)&amp;"")),"")&amp;" ["&amp;'Calculations'!HF506&amp;"]"))</x:f>
      </x:c>
      <x:c r="HK506" t="str">
        <x:f>IF('Calculations'!EM506="","",'Calculations'!HG506&amp;" ["&amp;'Calculations'!HE506&amp;"]")</x:f>
      </x:c>
      <x:c r="HL506" t="n">
        <x:f>IF('Calculations'!EM506="",0,IF(OR('Calculations'!II506&lt;&gt;"",COUNTIF('Calculations'!$HE$13:$HE$512,"="&amp;SUBSTITUTE(SUBSTITUTE(SUBSTITUTE('Calculations'!HE506,"~","~~"),"*","~*"),"?","~?"))&gt;1),1,0))</x:f>
        <x:v>0</x:v>
      </x:c>
      <x:c r="HM506" t="str">
        <x:f>IF('Calculations'!EM506="","",IF('Calculations'!HL506=1,"!UNRESOLVED",IF('Calculations'!IH506&lt;&gt;"",'Calculations'!IH506,IF('Calculations'!IG506&lt;&gt;"",'Calculations'!IG506,IF('Calculations'!IF506&lt;&gt;"",'Calculations'!IF506,IF('Calculations'!IE506&lt;&gt;"",'Calculations'!IE506,IF('Calculations'!ID506&lt;&gt;"",'Calculations'!ID506,IF('Calculations'!IC506&lt;&gt;"",'Calculations'!IC506,IF('Calculations'!IB506&lt;&gt;"",'Calculations'!IB506,IF('Calculations'!IA506&lt;&gt;"",'Calculations'!IA506,IF('Calculations'!HZ506&lt;&gt;"",'Calculations'!HZ506,IF('Calculations'!HY506&lt;&gt;"",'Calculations'!HY506,IF('Calculations'!HX506&lt;&gt;"",'Calculations'!HX506,IF('Calculations'!HW506&lt;&gt;"",'Calculations'!HW506,IF('Calculations'!HV506&lt;&gt;"",'Calculations'!HV506,IF('Calculations'!HU506&lt;&gt;"",'Calculations'!HU506,IF('Calculations'!HT506&lt;&gt;"",'Calculations'!HT506,IF('Calculations'!HS506&lt;&gt;"",'Calculations'!HS506,IF('Calculations'!HR506&lt;&gt;"",'Calculations'!HR506,IF('Calculations'!HQ506&lt;&gt;"",'Calculations'!HQ506,IF('Calculations'!HP506&lt;&gt;"",'Calculations'!HP506,IF('Calculations'!HO506&lt;&gt;"",'Calculations'!HO506,'Calculations'!HE506))))))))))))))))))))))</x:f>
      </x:c>
      <x:c r="HN506" t="str">
        <x:f>IF('Calculations'!EM506="","",IF(IFERROR(IF(INDEX(INDIRECT("'WCM Calibration Final'!$F$1:$F$2000"),'Calculations'!$EM506)="","",TRIM(INDEX(INDIRECT("'WCM Calibration Final'!$F$1:$F$2000"),'Calculations'!$EM506)&amp;"")),"")="","(Blank)",IFERROR(IF(INDEX(INDIRECT("'WCM Calibration Final'!$F$1:$F$2000"),'Calculations'!$EM506)="","",TRIM(INDEX(INDIRECT("'WCM Calibration Final'!$F$1:$F$2000"),'Calculations'!$EM506)&amp;"")),"")))</x:f>
      </x:c>
      <x:c r="HO506" t="str">
        <x:f>'Calculations'!HF506</x:f>
      </x:c>
      <x:c r="HP506" t="str">
        <x:f>IF('Calculations'!HO506="","",IF('Calculations'!HO506="!AMBIG","!AMBIG",IF(COUNTIF('Calculations'!$HE$13:$HE$512,"="&amp;SUBSTITUTE(SUBSTITUTE(SUBSTITUTE('Calculations'!HO506,"~","~~"),"*","~*"),"?","~?"))&gt;1,"!AMBIG",IFERROR(INDEX('Calculations'!$HF$13:$HF$512,MATCH('Calculations'!HO506,'Calculations'!$HE$13:$HE$512,0)),""))))</x:f>
      </x:c>
      <x:c r="HQ506" t="str">
        <x:f>IF('Calculations'!HP506="","",IF('Calculations'!HP506="!AMBIG","!AMBIG",IF(COUNTIF('Calculations'!$HE$13:$HE$512,"="&amp;SUBSTITUTE(SUBSTITUTE(SUBSTITUTE('Calculations'!HP506,"~","~~"),"*","~*"),"?","~?"))&gt;1,"!AMBIG",IFERROR(INDEX('Calculations'!$HF$13:$HF$512,MATCH('Calculations'!HP506,'Calculations'!$HE$13:$HE$512,0)),""))))</x:f>
      </x:c>
      <x:c r="HR506" t="str">
        <x:f>IF('Calculations'!HQ506="","",IF('Calculations'!HQ506="!AMBIG","!AMBIG",IF(COUNTIF('Calculations'!$HE$13:$HE$512,"="&amp;SUBSTITUTE(SUBSTITUTE(SUBSTITUTE('Calculations'!HQ506,"~","~~"),"*","~*"),"?","~?"))&gt;1,"!AMBIG",IFERROR(INDEX('Calculations'!$HF$13:$HF$512,MATCH('Calculations'!HQ506,'Calculations'!$HE$13:$HE$512,0)),""))))</x:f>
      </x:c>
      <x:c r="HS506" t="str">
        <x:f>IF('Calculations'!HR506="","",IF('Calculations'!HR506="!AMBIG","!AMBIG",IF(COUNTIF('Calculations'!$HE$13:$HE$512,"="&amp;SUBSTITUTE(SUBSTITUTE(SUBSTITUTE('Calculations'!HR506,"~","~~"),"*","~*"),"?","~?"))&gt;1,"!AMBIG",IFERROR(INDEX('Calculations'!$HF$13:$HF$512,MATCH('Calculations'!HR506,'Calculations'!$HE$13:$HE$512,0)),""))))</x:f>
      </x:c>
      <x:c r="HT506" t="str">
        <x:f>IF('Calculations'!HS506="","",IF('Calculations'!HS506="!AMBIG","!AMBIG",IF(COUNTIF('Calculations'!$HE$13:$HE$512,"="&amp;SUBSTITUTE(SUBSTITUTE(SUBSTITUTE('Calculations'!HS506,"~","~~"),"*","~*"),"?","~?"))&gt;1,"!AMBIG",IFERROR(INDEX('Calculations'!$HF$13:$HF$512,MATCH('Calculations'!HS506,'Calculations'!$HE$13:$HE$512,0)),""))))</x:f>
      </x:c>
      <x:c r="HU506" t="str">
        <x:f>IF('Calculations'!HT506="","",IF('Calculations'!HT506="!AMBIG","!AMBIG",IF(COUNTIF('Calculations'!$HE$13:$HE$512,"="&amp;SUBSTITUTE(SUBSTITUTE(SUBSTITUTE('Calculations'!HT506,"~","~~"),"*","~*"),"?","~?"))&gt;1,"!AMBIG",IFERROR(INDEX('Calculations'!$HF$13:$HF$512,MATCH('Calculations'!HT506,'Calculations'!$HE$13:$HE$512,0)),""))))</x:f>
      </x:c>
      <x:c r="HV506" t="str">
        <x:f>IF('Calculations'!HU506="","",IF('Calculations'!HU506="!AMBIG","!AMBIG",IF(COUNTIF('Calculations'!$HE$13:$HE$512,"="&amp;SUBSTITUTE(SUBSTITUTE(SUBSTITUTE('Calculations'!HU506,"~","~~"),"*","~*"),"?","~?"))&gt;1,"!AMBIG",IFERROR(INDEX('Calculations'!$HF$13:$HF$512,MATCH('Calculations'!HU506,'Calculations'!$HE$13:$HE$512,0)),""))))</x:f>
      </x:c>
      <x:c r="HW506" t="str">
        <x:f>IF('Calculations'!HV506="","",IF('Calculations'!HV506="!AMBIG","!AMBIG",IF(COUNTIF('Calculations'!$HE$13:$HE$512,"="&amp;SUBSTITUTE(SUBSTITUTE(SUBSTITUTE('Calculations'!HV506,"~","~~"),"*","~*"),"?","~?"))&gt;1,"!AMBIG",IFERROR(INDEX('Calculations'!$HF$13:$HF$512,MATCH('Calculations'!HV506,'Calculations'!$HE$13:$HE$512,0)),""))))</x:f>
      </x:c>
      <x:c r="HX506" t="str">
        <x:f>IF('Calculations'!HW506="","",IF('Calculations'!HW506="!AMBIG","!AMBIG",IF(COUNTIF('Calculations'!$HE$13:$HE$512,"="&amp;SUBSTITUTE(SUBSTITUTE(SUBSTITUTE('Calculations'!HW506,"~","~~"),"*","~*"),"?","~?"))&gt;1,"!AMBIG",IFERROR(INDEX('Calculations'!$HF$13:$HF$512,MATCH('Calculations'!HW506,'Calculations'!$HE$13:$HE$512,0)),""))))</x:f>
      </x:c>
      <x:c r="HY506" t="str">
        <x:f>IF('Calculations'!HX506="","",IF('Calculations'!HX506="!AMBIG","!AMBIG",IF(COUNTIF('Calculations'!$HE$13:$HE$512,"="&amp;SUBSTITUTE(SUBSTITUTE(SUBSTITUTE('Calculations'!HX506,"~","~~"),"*","~*"),"?","~?"))&gt;1,"!AMBIG",IFERROR(INDEX('Calculations'!$HF$13:$HF$512,MATCH('Calculations'!HX506,'Calculations'!$HE$13:$HE$512,0)),""))))</x:f>
      </x:c>
      <x:c r="HZ506" t="str">
        <x:f>IF('Calculations'!HY506="","",IF('Calculations'!HY506="!AMBIG","!AMBIG",IF(COUNTIF('Calculations'!$HE$13:$HE$512,"="&amp;SUBSTITUTE(SUBSTITUTE(SUBSTITUTE('Calculations'!HY506,"~","~~"),"*","~*"),"?","~?"))&gt;1,"!AMBIG",IFERROR(INDEX('Calculations'!$HF$13:$HF$512,MATCH('Calculations'!HY506,'Calculations'!$HE$13:$HE$512,0)),""))))</x:f>
      </x:c>
      <x:c r="IA506" t="str">
        <x:f>IF('Calculations'!HZ506="","",IF('Calculations'!HZ506="!AMBIG","!AMBIG",IF(COUNTIF('Calculations'!$HE$13:$HE$512,"="&amp;SUBSTITUTE(SUBSTITUTE(SUBSTITUTE('Calculations'!HZ506,"~","~~"),"*","~*"),"?","~?"))&gt;1,"!AMBIG",IFERROR(INDEX('Calculations'!$HF$13:$HF$512,MATCH('Calculations'!HZ506,'Calculations'!$HE$13:$HE$512,0)),""))))</x:f>
      </x:c>
      <x:c r="IB506" t="str">
        <x:f>IF('Calculations'!IA506="","",IF('Calculations'!IA506="!AMBIG","!AMBIG",IF(COUNTIF('Calculations'!$HE$13:$HE$512,"="&amp;SUBSTITUTE(SUBSTITUTE(SUBSTITUTE('Calculations'!IA506,"~","~~"),"*","~*"),"?","~?"))&gt;1,"!AMBIG",IFERROR(INDEX('Calculations'!$HF$13:$HF$512,MATCH('Calculations'!IA506,'Calculations'!$HE$13:$HE$512,0)),""))))</x:f>
      </x:c>
      <x:c r="IC506" t="str">
        <x:f>IF('Calculations'!IB506="","",IF('Calculations'!IB506="!AMBIG","!AMBIG",IF(COUNTIF('Calculations'!$HE$13:$HE$512,"="&amp;SUBSTITUTE(SUBSTITUTE(SUBSTITUTE('Calculations'!IB506,"~","~~"),"*","~*"),"?","~?"))&gt;1,"!AMBIG",IFERROR(INDEX('Calculations'!$HF$13:$HF$512,MATCH('Calculations'!IB506,'Calculations'!$HE$13:$HE$512,0)),""))))</x:f>
      </x:c>
      <x:c r="ID506" t="str">
        <x:f>IF('Calculations'!IC506="","",IF('Calculations'!IC506="!AMBIG","!AMBIG",IF(COUNTIF('Calculations'!$HE$13:$HE$512,"="&amp;SUBSTITUTE(SUBSTITUTE(SUBSTITUTE('Calculations'!IC506,"~","~~"),"*","~*"),"?","~?"))&gt;1,"!AMBIG",IFERROR(INDEX('Calculations'!$HF$13:$HF$512,MATCH('Calculations'!IC506,'Calculations'!$HE$13:$HE$512,0)),""))))</x:f>
      </x:c>
      <x:c r="IE506" t="str">
        <x:f>IF('Calculations'!ID506="","",IF('Calculations'!ID506="!AMBIG","!AMBIG",IF(COUNTIF('Calculations'!$HE$13:$HE$512,"="&amp;SUBSTITUTE(SUBSTITUTE(SUBSTITUTE('Calculations'!ID506,"~","~~"),"*","~*"),"?","~?"))&gt;1,"!AMBIG",IFERROR(INDEX('Calculations'!$HF$13:$HF$512,MATCH('Calculations'!ID506,'Calculations'!$HE$13:$HE$512,0)),""))))</x:f>
      </x:c>
      <x:c r="IF506" t="str">
        <x:f>IF('Calculations'!IE506="","",IF('Calculations'!IE506="!AMBIG","!AMBIG",IF(COUNTIF('Calculations'!$HE$13:$HE$512,"="&amp;SUBSTITUTE(SUBSTITUTE(SUBSTITUTE('Calculations'!IE506,"~","~~"),"*","~*"),"?","~?"))&gt;1,"!AMBIG",IFERROR(INDEX('Calculations'!$HF$13:$HF$512,MATCH('Calculations'!IE506,'Calculations'!$HE$13:$HE$512,0)),""))))</x:f>
      </x:c>
      <x:c r="IG506" t="str">
        <x:f>IF('Calculations'!IF506="","",IF('Calculations'!IF506="!AMBIG","!AMBIG",IF(COUNTIF('Calculations'!$HE$13:$HE$512,"="&amp;SUBSTITUTE(SUBSTITUTE(SUBSTITUTE('Calculations'!IF506,"~","~~"),"*","~*"),"?","~?"))&gt;1,"!AMBIG",IFERROR(INDEX('Calculations'!$HF$13:$HF$512,MATCH('Calculations'!IF506,'Calculations'!$HE$13:$HE$512,0)),""))))</x:f>
      </x:c>
      <x:c r="IH506" t="str">
        <x:f>IF('Calculations'!IG506="","",IF('Calculations'!IG506="!AMBIG","!AMBIG",IF(COUNTIF('Calculations'!$HE$13:$HE$512,"="&amp;SUBSTITUTE(SUBSTITUTE(SUBSTITUTE('Calculations'!IG506,"~","~~"),"*","~*"),"?","~?"))&gt;1,"!AMBIG",IFERROR(INDEX('Calculations'!$HF$13:$HF$512,MATCH('Calculations'!IG506,'Calculations'!$HE$13:$HE$512,0)),""))))</x:f>
      </x:c>
      <x:c r="II506" t="str">
        <x:f>IF('Calculations'!IH506="","",IF('Calculations'!IH506="!AMBIG","!AMBIG",IF(COUNTIF('Calculations'!$HE$13:$HE$512,"="&amp;SUBSTITUTE(SUBSTITUTE(SUBSTITUTE('Calculations'!IH506,"~","~~"),"*","~*"),"?","~?"))&gt;1,"!AMBIG",IFERROR(INDEX('Calculations'!$HF$13:$HF$512,MATCH('Calculations'!IH506,'Calculations'!$HE$13:$HE$512,0)),""))))</x:f>
      </x:c>
      <x:c r="IJ506" t="str">
        <x:f>IF('Calculations'!EM506="","",IF('Calculations'!$EF$2="All",'Calculations'!HM506,IF('Calculations'!HL506=1,"",IFERROR(IF(MATCH('Calculations'!$EF$2,'Calculations'!HO506:II506,0)=1,'Calculations'!HE506,INDEX('Calculations'!HO506:II506,1,MATCH('Calculations'!$EF$2,'Calculations'!HO506:II506,0)-1)),""))))</x:f>
      </x:c>
      <x:c r="IK506" t="n">
        <x:f>IF(AND('Calculations'!EM506&lt;&gt;"",'Calculations'!$EF$2&lt;&gt;"All",'Calculations'!HF506='Calculations'!$EF$2,'Calculations'!HL506=0,'Calculations'!JD506&gt;0),MAX('Calculations'!$IK$12:IK505)+1,0)</x:f>
        <x:v>0</x:v>
      </x:c>
      <x:c r="JA506" t="n">
        <x:f>IF(OR(IFERROR(INDIRECT("'WCM Calibration Final'!$A$506")&lt;&gt;"",FALSE),IFERROR(INDIRECT("'WCM Calibration Final'!$B$506")&lt;&gt;"",FALSE),IFERROR(INDIRECT("'WCM Calibration Final'!$C$506")&lt;&gt;"",FALSE)),506,0)</x:f>
        <x:v>0</x:v>
      </x:c>
      <x:c r="JB506" t="n">
        <x:f>'Calculations'!JB505+IF('Calculations'!JA506&gt;0,1,0)</x:f>
        <x:v>0</x:v>
      </x:c>
      <x:c r="JC506" t="n">
        <x:f>IF(OR('Calculations'!HF506="",'Calculations'!HF506="!AMBIG"),0,IF('Dashboard'!$B$7="All",1,COUNTIFS('Calculations'!$HO$13:$HO$512,"="&amp;SUBSTITUTE(SUBSTITUTE(SUBSTITUTE('Calculations'!HF506,"~","~~"),"*","~*"),"?","~?"),'Calculations'!$HN$13:$HN$512,"="&amp;SUBSTITUTE(SUBSTITUTE(SUBSTITUTE('Dashboard'!$B$7,"~","~~"),"*","~*"),"?","~?"))+COUNTIFS('Calculations'!$HP$13:$HP$512,"="&amp;SUBSTITUTE(SUBSTITUTE(SUBSTITUTE('Calculations'!HF506,"~","~~"),"*","~*"),"?","~?"),'Calculations'!$HN$13:$HN$512,"="&amp;SUBSTITUTE(SUBSTITUTE(SUBSTITUTE('Dashboard'!$B$7,"~","~~"),"*","~*"),"?","~?"))+COUNTIFS('Calculations'!$HQ$13:$HQ$512,"="&amp;SUBSTITUTE(SUBSTITUTE(SUBSTITUTE('Calculations'!HF506,"~","~~"),"*","~*"),"?","~?"),'Calculations'!$HN$13:$HN$512,"="&amp;SUBSTITUTE(SUBSTITUTE(SUBSTITUTE('Dashboard'!$B$7,"~","~~"),"*","~*"),"?","~?"))+COUNTIFS('Calculations'!$HR$13:$HR$512,"="&amp;SUBSTITUTE(SUBSTITUTE(SUBSTITUTE('Calculations'!HF506,"~","~~"),"*","~*"),"?","~?"),'Calculations'!$HN$13:$HN$512,"="&amp;SUBSTITUTE(SUBSTITUTE(SUBSTITUTE('Dashboard'!$B$7,"~","~~"),"*","~*"),"?","~?"))+COUNTIFS('Calculations'!$HS$13:$HS$512,"="&amp;SUBSTITUTE(SUBSTITUTE(SUBSTITUTE('Calculations'!HF506,"~","~~"),"*","~*"),"?","~?"),'Calculations'!$HN$13:$HN$512,"="&amp;SUBSTITUTE(SUBSTITUTE(SUBSTITUTE('Dashboard'!$B$7,"~","~~"),"*","~*"),"?","~?"))+COUNTIFS('Calculations'!$HT$13:$HT$512,"="&amp;SUBSTITUTE(SUBSTITUTE(SUBSTITUTE('Calculations'!HF506,"~","~~"),"*","~*"),"?","~?"),'Calculations'!$HN$13:$HN$512,"="&amp;SUBSTITUTE(SUBSTITUTE(SUBSTITUTE('Dashboard'!$B$7,"~","~~"),"*","~*"),"?","~?"))+COUNTIFS('Calculations'!$HU$13:$HU$512,"="&amp;SUBSTITUTE(SUBSTITUTE(SUBSTITUTE('Calculations'!HF506,"~","~~"),"*","~*"),"?","~?"),'Calculations'!$HN$13:$HN$512,"="&amp;SUBSTITUTE(SUBSTITUTE(SUBSTITUTE('Dashboard'!$B$7,"~","~~"),"*","~*"),"?","~?"))+COUNTIFS('Calculations'!$HV$13:$HV$512,"="&amp;SUBSTITUTE(SUBSTITUTE(SUBSTITUTE('Calculations'!HF506,"~","~~"),"*","~*"),"?","~?"),'Calculations'!$HN$13:$HN$512,"="&amp;SUBSTITUTE(SUBSTITUTE(SUBSTITUTE('Dashboard'!$B$7,"~","~~"),"*","~*"),"?","~?"))+COUNTIFS('Calculations'!$HW$13:$HW$512,"="&amp;SUBSTITUTE(SUBSTITUTE(SUBSTITUTE('Calculations'!HF506,"~","~~"),"*","~*"),"?","~?"),'Calculations'!$HN$13:$HN$512,"="&amp;SUBSTITUTE(SUBSTITUTE(SUBSTITUTE('Dashboard'!$B$7,"~","~~"),"*","~*"),"?","~?"))+COUNTIFS('Calculations'!$HX$13:$HX$512,"="&amp;SUBSTITUTE(SUBSTITUTE(SUBSTITUTE('Calculations'!HF506,"~","~~"),"*","~*"),"?","~?"),'Calculations'!$HN$13:$HN$512,"="&amp;SUBSTITUTE(SUBSTITUTE(SUBSTITUTE('Dashboard'!$B$7,"~","~~"),"*","~*"),"?","~?"))+COUNTIFS('Calculations'!$HY$13:$HY$512,"="&amp;SUBSTITUTE(SUBSTITUTE(SUBSTITUTE('Calculations'!HF506,"~","~~"),"*","~*"),"?","~?"),'Calculations'!$HN$13:$HN$512,"="&amp;SUBSTITUTE(SUBSTITUTE(SUBSTITUTE('Dashboard'!$B$7,"~","~~"),"*","~*"),"?","~?"))+COUNTIFS('Calculations'!$HZ$13:$HZ$512,"="&amp;SUBSTITUTE(SUBSTITUTE(SUBSTITUTE('Calculations'!HF506,"~","~~"),"*","~*"),"?","~?"),'Calculations'!$HN$13:$HN$512,"="&amp;SUBSTITUTE(SUBSTITUTE(SUBSTITUTE('Dashboard'!$B$7,"~","~~"),"*","~*"),"?","~?"))+COUNTIFS('Calculations'!$IA$13:$IA$512,"="&amp;SUBSTITUTE(SUBSTITUTE(SUBSTITUTE('Calculations'!HF506,"~","~~"),"*","~*"),"?","~?"),'Calculations'!$HN$13:$HN$512,"="&amp;SUBSTITUTE(SUBSTITUTE(SUBSTITUTE('Dashboard'!$B$7,"~","~~"),"*","~*"),"?","~?"))+COUNTIFS('Calculations'!$IB$13:$IB$512,"="&amp;SUBSTITUTE(SUBSTITUTE(SUBSTITUTE('Calculations'!HF506,"~","~~"),"*","~*"),"?","~?"),'Calculations'!$HN$13:$HN$512,"="&amp;SUBSTITUTE(SUBSTITUTE(SUBSTITUTE('Dashboard'!$B$7,"~","~~"),"*","~*"),"?","~?"))+COUNTIFS('Calculations'!$IC$13:$IC$512,"="&amp;SUBSTITUTE(SUBSTITUTE(SUBSTITUTE('Calculations'!HF506,"~","~~"),"*","~*"),"?","~?"),'Calculations'!$HN$13:$HN$512,"="&amp;SUBSTITUTE(SUBSTITUTE(SUBSTITUTE('Dashboard'!$B$7,"~","~~"),"*","~*"),"?","~?"))+COUNTIFS('Calculations'!$ID$13:$ID$512,"="&amp;SUBSTITUTE(SUBSTITUTE(SUBSTITUTE('Calculations'!HF506,"~","~~"),"*","~*"),"?","~?"),'Calculations'!$HN$13:$HN$512,"="&amp;SUBSTITUTE(SUBSTITUTE(SUBSTITUTE('Dashboard'!$B$7,"~","~~"),"*","~*"),"?","~?"))+COUNTIFS('Calculations'!$IE$13:$IE$512,"="&amp;SUBSTITUTE(SUBSTITUTE(SUBSTITUTE('Calculations'!HF506,"~","~~"),"*","~*"),"?","~?"),'Calculations'!$HN$13:$HN$512,"="&amp;SUBSTITUTE(SUBSTITUTE(SUBSTITUTE('Dashboard'!$B$7,"~","~~"),"*","~*"),"?","~?"))+COUNTIFS('Calculations'!$IF$13:$IF$512,"="&amp;SUBSTITUTE(SUBSTITUTE(SUBSTITUTE('Calculations'!HF506,"~","~~"),"*","~*"),"?","~?"),'Calculations'!$HN$13:$HN$512,"="&amp;SUBSTITUTE(SUBSTITUTE(SUBSTITUTE('Dashboard'!$B$7,"~","~~"),"*","~*"),"?","~?"))+COUNTIFS('Calculations'!$IG$13:$IG$512,"="&amp;SUBSTITUTE(SUBSTITUTE(SUBSTITUTE('Calculations'!HF506,"~","~~"),"*","~*"),"?","~?"),'Calculations'!$HN$13:$HN$512,"="&amp;SUBSTITUTE(SUBSTITUTE(SUBSTITUTE('Dashboard'!$B$7,"~","~~"),"*","~*"),"?","~?"))+COUNTIFS('Calculations'!$IH$13:$IH$512,"="&amp;SUBSTITUTE(SUBSTITUTE(SUBSTITUTE('Calculations'!HF506,"~","~~"),"*","~*"),"?","~?"),'Calculations'!$HN$13:$HN$512,"="&amp;SUBSTITUTE(SUBSTITUTE(SUBSTITUTE('Dashboard'!$B$7,"~","~~"),"*","~*"),"?","~?"))))</x:f>
        <x:v>0</x:v>
      </x:c>
      <x:c r="JD506" t="n">
        <x:f>IF('Calculations'!EM506="",0,IF('Dashboard'!$B$7="All",1,IF('Calculations'!HN506='Dashboard'!$B$7,1,0)+IFERROR(INDEX('Calculations'!$JC$13:$JC$512,MATCH('Calculations'!HE506,'Calculations'!$HF$13:$HF$512,0)),0)))</x:f>
        <x:v>0</x:v>
      </x:c>
      <x:c r="JE506" t="n">
        <x:f>IF(AND('Calculations'!EM506&lt;&gt;"",'Calculations'!$JJ$2&lt;&gt;"All",'Calculations'!$JJ$2&lt;&gt;"",'Calculations'!HF506='Calculations'!$JJ$2,'Calculations'!HL506=0,'Calculations'!JD506&gt;0),MAX('Calculations'!$JE$12:JE505)+1,0)</x:f>
        <x:v>0</x:v>
      </x:c>
      <x:c r="JF506" t="str">
        <x:f>IF('Calculations'!EM506="","",IFERROR(IF(INDEX(INDIRECT("'WCM Calibration Final'!$G$1:$G$2000"),'Calculations'!$EM506)="","",TRIM(INDEX(INDIRECT("'WCM Calibration Final'!$G$1:$G$2000"),'Calculations'!$EM506)&amp;"")),""))</x:f>
      </x:c>
      <x:c r="JQ506" t="n">
        <x:f>IF(OR('Calculations'!BM506=0,NOT('Calculations'!$AG$2),'Calculations'!$AG$8&gt;0),0,IF(OR('Dashboard'!$B$7="All",'Calculations'!HN506='Dashboard'!$B$7),IF('Calculations'!$JJ$2="All",1,IF(AND('Calculations'!HF506='Calculations'!$JJ$2,'Calculations'!HL506=0),1,0)),0))</x:f>
        <x:v>0</x:v>
      </x:c>
    </x:row>
    <x:row r="507">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t="n">
        <x:f>IF('Calculations'!$EM507="",0,IF(OR(IFERROR(INDEX(INDIRECT("'WCM Calibration Final'!$A$1:$A$2000"),'Calculations'!$EM507)&lt;&gt;"",FALSE),IFERROR(INDEX(INDIRECT("'WCM Calibration Final'!$B$1:$B$2000"),'Calculations'!$EM507)&lt;&gt;"",FALSE),IFERROR(INDEX(INDIRECT("'WCM Calibration Final'!$C$1:$C$2000"),'Calculations'!$EM507)&lt;&gt;"",FALSE)),1,0))</x:f>
        <x:v>0</x:v>
      </x:c>
      <x:c r="BN507" s="4" t="n">
        <x:f>IF(AND('Calculations'!BM507=1,'Calculations'!$AG$2,'Calculations'!$EN507=1),1,0)</x:f>
        <x:v>0</x:v>
      </x:c>
      <x:c r="BO507" s="4" t="str">
        <x:f>IF('Calculations'!BM507=0,"",IFERROR(IF(AND(VALUE(INDEX(INDIRECT("'WCM Calibration Final'!$K$1:$K$2000"),'Calculations'!$EM507))&gt;=1,VALUE(INDEX(INDIRECT("'WCM Calibration Final'!$K$1:$K$2000"),'Calculations'!$EM507))&lt;=4,MOD(VALUE(INDEX(INDIRECT("'WCM Calibration Final'!$K$1:$K$2000"),'Calculations'!$EM507)),1)=0),VALUE(INDEX(INDIRECT("'WCM Calibration Final'!$K$1:$K$2000"),'Calculations'!$EM507)),""),""))</x:f>
      </x:c>
      <x:c r="BP507" s="4" t="str">
        <x:f>IF('Calculations'!BM507=0,"",IFERROR(IF(AND(VALUE(INDEX(INDIRECT("'WCM Calibration Final'!$L$1:$L$2000"),'Calculations'!$EM507))&gt;=1,VALUE(INDEX(INDIRECT("'WCM Calibration Final'!$L$1:$L$2000"),'Calculations'!$EM507))&lt;=4,MOD(VALUE(INDEX(INDIRECT("'WCM Calibration Final'!$L$1:$L$2000"),'Calculations'!$EM507)),1)=0),VALUE(INDEX(INDIRECT("'WCM Calibration Final'!$L$1:$L$2000"),'Calculations'!$EM507)),""),""))</x:f>
      </x:c>
      <x:c r="BQ507" s="4"/>
      <x:c r="BR507" s="4"/>
      <x:c r="BS507" s="4"/>
      <x:c r="BT507" s="4" t="n">
        <x:f>IF(AND('Calculations'!BM507=1,ISNUMBER('Calculations'!BO507),ISNUMBER('Calculations'!BP507)),1,0)</x:f>
        <x:v>0</x:v>
      </x:c>
      <x:c r="BU507" s="4" t="str">
        <x:f>IF('Calculations'!BM507=0,"",'Calculations'!$EO507)</x:f>
      </x:c>
      <x:c r="BV507" s="4" t="str">
        <x:f>IF('Calculations'!BM507=0,"",IFERROR(IF(OR(INDEX(INDIRECT("'WCM Calibration Final'!$H$1:$H$2000"),'Calculations'!$EM507)="MANAGING DIRECTOR",INDEX(INDIRECT("'WCM Calibration Final'!$H$1:$H$2000"),'Calculations'!$EM507)="DIRECTOR",INDEX(INDIRECT("'WCM Calibration Final'!$H$1:$H$2000"),'Calculations'!$EM507)="SENIOR VICE PRESIDENT",INDEX(INDIRECT("'WCM Calibration Final'!$H$1:$H$2000"),'Calculations'!$EM507)="VICE PRESIDENT",INDEX(INDIRECT("'WCM Calibration Final'!$H$1:$H$2000"),'Calculations'!$EM507)="ASSISTANT VICE PRESIDENT",INDEX(INDIRECT("'WCM Calibration Final'!$H$1:$H$2000"),'Calculations'!$EM507)="OFFICER"),UPPER(INDEX(INDIRECT("'WCM Calibration Final'!$H$1:$H$2000"),'Calculations'!$EM507)),"Other"),"Other"))</x:f>
      </x:c>
      <x:c r="BW507" s="4"/>
      <x:c r="BX507" s="4"/>
      <x:c r="BY507" s="4" t="n">
        <x:f>IF(AND('Calculations'!BM507=1,'Calculations'!BU507&lt;&gt;"",COUNTIF('Calculations'!$BU$12:BU507,'Calculations'!BU507)=1),MAX('Calculations'!$BY$11:BY506)+1,0)</x:f>
        <x:v>0</x:v>
      </x:c>
      <x:c r="BZ507" s="4" t="str">
        <x:f>IF('Dashboard'!$E$67="What",'Calculations'!BO507,'Calculations'!BP507)</x:f>
      </x:c>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t="str">
        <x:f>IF(496&gt;MAX('Calculations'!$HI$13:$HI$512),"",INDEX('Calculations'!$HN$13:$HN$512,MATCH(496,'Calculations'!$HI$13:$HI$512,0)))</x:f>
      </x:c>
      <x:c r="DB507" s="4" t="str">
        <x:f>IF(496&gt;MAX('Calculations'!$HH$13:$HH$512),"",INDEX('Calculations'!$HJ$13:$HJ$512,MATCH(496,'Calculations'!$HH$13:$HH$512,0)))</x:f>
      </x:c>
      <x:c r="DC507" s="4" t="str">
        <x:f>IF(ROW()-11&gt;MAX('Calculations'!$BY$13:$BY$512),"",INDEX('Calculations'!$BU$13:$BU$512,MATCH(ROW()-11,'Calculations'!$BY$13:$BY$512,0)))</x:f>
      </x:c>
      <x:c r="DD507" s="4" t="str">
        <x:f>IF(496&gt;MAX('Calculations'!$IK$13:$IK$512),"",INDEX('Calculations'!$HK$13:$HK$512,MATCH(496,'Calculations'!$IK$13:$IK$512,0)))</x:f>
      </x:c>
      <x:c r="DE507" s="4" t="str">
        <x:f>'Calculations'!DC507</x:f>
      </x:c>
      <x:c r="DF507" s="4" t="str">
        <x:f>IF('Calculations'!DE507="","",COUNTIFS('Calculations'!$BN$13:$BN$512,1,'Calculations'!$BU$13:$BU$512,'Calculations'!DE507))</x:f>
      </x:c>
      <x:c r="DG507" s="4" t="str">
        <x:f>IF('Calculations'!DE507="","",COUNTIFS('Calculations'!$BN$13:$BN$512,1,'Calculations'!$BU$13:$BU$512,'Calculations'!DE507,'Calculations'!$BT$13:$BT$512,1))</x:f>
      </x:c>
      <x:c r="DH507" s="4" t="str">
        <x:f>IF('Calculations'!DE507="","",'Calculations'!DF507-'Calculations'!DG507)</x:f>
      </x:c>
      <x:c r="DI507" s="4" t="str">
        <x:f>IF(OR('Calculations'!DE507="",'Calculations'!DF507=0),"",'Calculations'!DG507/'Calculations'!DF507)</x:f>
      </x:c>
      <x:c r="DJ507" s="4" t="str">
        <x:f>IF('Calculations'!DE507="","",COUNTIFS('Calculations'!$BN$13:$BN$512,1,'Calculations'!$BU$13:$BU$512,'Calculations'!DE507,'Calculations'!$BT$13:$BT$512,1,'Calculations'!$EE$13:$EE$512,"High"))</x:f>
      </x:c>
      <x:c r="DK507" s="4" t="str">
        <x:f>IF('Calculations'!DE507="","",COUNTIFS('Calculations'!$BN$13:$BN$512,1,'Calculations'!$BU$13:$BU$512,'Calculations'!DE507,'Calculations'!$BT$13:$BT$512,1,'Calculations'!$EE$13:$EE$512,"Strong"))</x:f>
      </x:c>
      <x:c r="DL507" s="4" t="str">
        <x:f>IF('Calculations'!DE507="","",COUNTIFS('Calculations'!$BN$13:$BN$512,1,'Calculations'!$BU$13:$BU$512,'Calculations'!DE507,'Calculations'!$BT$13:$BT$512,1,'Calculations'!$EE$13:$EE$512,"Solid"))</x:f>
      </x:c>
      <x:c r="DM507" s="4" t="str">
        <x:f>IF('Calculations'!DE507="","",COUNTIFS('Calculations'!$BN$13:$BN$512,1,'Calculations'!$BU$13:$BU$512,'Calculations'!DE507,'Calculations'!$BT$13:$BT$512,1,'Calculations'!$EE$13:$EE$512,"Low"))</x:f>
      </x:c>
      <x:c r="DN507" s="4" t="str">
        <x:f>IF('Calculations'!DE507="","",COUNTIFS('Calculations'!$BN$13:$BN$512,1,'Calculations'!$BU$13:$BU$512,'Calculations'!DE507,'Calculations'!$EP$13:$EP$512,1))</x:f>
      </x:c>
      <x:c r="DO507" s="4" t="str">
        <x:f>IF(OR('Calculations'!DE507="",'Calculations'!DG507=0),"",('Calculations'!DJ507+'Calculations'!DK507)/'Calculations'!DG507)</x:f>
      </x:c>
      <x:c r="DP507" s="4" t="n">
        <x:f>IF(AND('Calculations'!DE507&lt;&gt;"",'Calculations'!DF507&gt;0),COUNTIF('Calculations'!$DF$12:DF507,"&gt;0"),0)</x:f>
        <x:v>0</x:v>
      </x:c>
      <x:c r="DQ507" s="4" t="str">
        <x:f>IF(496&gt;MAX('Calculations'!$HH$13:$HH$512),"",INDEX('Calculations'!$HF$13:$HF$512,MATCH(496,'Calculations'!$HH$13:$HH$512,0)))</x:f>
      </x:c>
      <x:c r="DR507" s="4" t="str">
        <x:f>IF(496&gt;MAX('Calculations'!$IK$13:$IK$512),"",INDEX('Calculations'!$HE$13:$HE$512,MATCH(496,'Calculations'!$IK$13:$IK$512,0)))</x:f>
      </x:c>
      <x:c r="DS507" s="4"/>
      <x:c r="DT507" s="4"/>
      <x:c r="DU507" s="4"/>
      <x:c r="DV507" s="4"/>
      <x:c r="DW507" s="4"/>
      <x:c r="DX507" s="4"/>
      <x:c r="DY507" s="4"/>
      <x:c r="DZ507" s="4"/>
      <x:c r="EA507" s="4"/>
      <x:c r="EB507" s="4"/>
      <x:c r="EC507" s="4"/>
      <x:c r="ED507" s="4"/>
      <x:c r="EE507" s="4" t="str">
        <x:f>IF('Calculations'!BT507=0,"Not Rated",IF(OR('Calculations'!BO507&gt;=4,'Calculations'!BP507&gt;=4),"Low",IF('Calculations'!BO507+'Calculations'!BP507&lt;=3,"High",IF('Calculations'!BO507+'Calculations'!BP507&lt;=4,"Strong","Solid"))))</x:f>
        <x:v>Not Rated</x:v>
      </x:c>
      <x:c r="EF507" s="4"/>
      <x:c r="EG507" s="4"/>
      <x:c r="EH507" s="4"/>
      <x:c r="EI507" s="4"/>
      <x:c r="EJ507" s="4"/>
      <x:c r="EK507" s="4"/>
      <x:c r="EL507" s="4"/>
      <x:c r="EM507" s="4" t="str">
        <x:f>IF(495&gt;'Calculations'!$JB$2000,"",INDEX('Calculations'!$JA$12:$JA$2000,MATCH(495,'Calculations'!$JB$12:$JB$2000,0)))</x:f>
      </x:c>
      <x:c r="EN507" s="4" t="n">
        <x:f>IF(OR('Calculations'!EM507="",'Calculations'!$AG$8&gt;0,AND('Calculations'!$EF$2&lt;&gt;"All",'Calculations'!HE507='Calculations'!$EF$2),AND('Calculations'!$EF$3&lt;&gt;"All",'Calculations'!HE507='Calculations'!$EF$3)),0,IF(OR('Dashboard'!$B$7="All",'Calculations'!HN507='Dashboard'!$B$7),IF('Calculations'!$EF$2="All",1,IF('Calculations'!HL507&gt;0,0,IF(COUNTIF('Calculations'!HO507:II507,"="&amp;SUBSTITUTE(SUBSTITUTE(SUBSTITUTE('Calculations'!$EF$2,"~","~~"),"*","~*"),"?","~?"))=0,0,IF('Calculations'!$EF$3="All",1,IF(COUNTIF('Calculations'!HO507:II507,"="&amp;SUBSTITUTE(SUBSTITUTE(SUBSTITUTE('Calculations'!$EF$3,"~","~~"),"*","~*"),"?","~?"))&gt;0,1,0))))),0))</x:f>
        <x:v>0</x:v>
      </x:c>
      <x:c r="EO507" s="4" t="str">
        <x:f>IF('Calculations'!IJ507="","",IF('Calculations'!IJ507="!UNRESOLVED","Unresolved hierarchy",IFERROR(INDEX('Calculations'!$HK$13:$HK$512,MATCH('Calculations'!IJ507,'Calculations'!$HE$13:$HE$512,0)),IFERROR(INDEX('Calculations'!$HJ$13:$HJ$512,MATCH('Calculations'!IJ507,'Calculations'!$HF$13:$HF$512,0)),'Calculations'!IJ507))))</x:f>
      </x:c>
      <x:c r="EP507" s="4" t="n">
        <x:f>IF(AND('Calculations'!EM507&lt;&gt;"",'Calculations'!HF507='Calculations'!IJ507),1,0)</x:f>
        <x:v>0</x:v>
      </x:c>
      <x:c r="EQ507" s="4"/>
      <x:c r="ER507" s="4"/>
      <x:c r="ES507" s="4"/>
      <x:c r="ET507" s="4"/>
      <x:c r="EU507" s="4"/>
      <x:c r="EV507" s="4"/>
      <x:c r="EW507" s="4"/>
      <x:c r="EX507" s="4"/>
      <x:c r="EY507" s="4"/>
      <x:c r="EZ507" s="4"/>
      <x:c r="FA507" s="4"/>
      <x:c r="FB507" s="4"/>
      <x:c r="FC507" s="4"/>
      <x:c r="FD507" s="4"/>
      <x:c r="FE507" s="4"/>
      <x:c r="FF507" s="4"/>
      <x:c r="FG507" s="4"/>
      <x:c r="FH507" s="4"/>
      <x:c r="FI507" s="4"/>
      <x:c r="FJ507" s="4"/>
      <x:c r="FK507" s="4"/>
      <x:c r="FL507" s="4"/>
      <x:c r="FM507" s="4"/>
      <x:c r="FN507" s="4"/>
      <x:c r="FO507" s="4"/>
      <x:c r="HE507" t="str">
        <x:f>IF('Calculations'!EM507="","",IF(IFERROR(IF(INDEX(INDIRECT("'WCM Calibration Final'!$A$1:$A$2000"),'Calculations'!$EM507)="","",TRIM(INDEX(INDIRECT("'WCM Calibration Final'!$A$1:$A$2000"),'Calculations'!$EM507)&amp;"")),"")&lt;&gt;"","G:"&amp;IFERROR(TEXT(1*INDEX(INDIRECT("'WCM Calibration Final'!$A$1:$A$2000"),'Calculations'!$EM507),"0"),UPPER(IFERROR(IF(INDEX(INDIRECT("'WCM Calibration Final'!$A$1:$A$2000"),'Calculations'!$EM507)="","",TRIM(INDEX(INDIRECT("'WCM Calibration Final'!$A$1:$A$2000"),'Calculations'!$EM507)&amp;"")),""))),IF(IFERROR(IF(INDEX(INDIRECT("'WCM Calibration Final'!$C$1:$C$2000"),'Calculations'!$EM507)="","",TRIM(INDEX(INDIRECT("'WCM Calibration Final'!$C$1:$C$2000"),'Calculations'!$EM507)&amp;"")),"")&lt;&gt;"","S:"&amp;UPPER(IFERROR(IF(INDEX(INDIRECT("'WCM Calibration Final'!$C$1:$C$2000"),'Calculations'!$EM507)="","",TRIM(INDEX(INDIRECT("'WCM Calibration Final'!$C$1:$C$2000"),'Calculations'!$EM507)&amp;"")),"")),"R:"&amp;'Calculations'!EM507)))</x:f>
      </x:c>
      <x:c r="HF507" t="str">
        <x:f>IF('Calculations'!EM507="","",IF(IFERROR(IF(INDEX(INDIRECT("'WCM Calibration Final'!$D$1:$D$2000"),'Calculations'!$EM507)="","",TRIM(INDEX(INDIRECT("'WCM Calibration Final'!$D$1:$D$2000"),'Calculations'!$EM507)&amp;"")),"")&lt;&gt;"","G:"&amp;IFERROR(TEXT(1*INDEX(INDIRECT("'WCM Calibration Final'!$D$1:$D$2000"),'Calculations'!$EM507),"0"),UPPER(IFERROR(IF(INDEX(INDIRECT("'WCM Calibration Final'!$D$1:$D$2000"),'Calculations'!$EM507)="","",TRIM(INDEX(INDIRECT("'WCM Calibration Final'!$D$1:$D$2000"),'Calculations'!$EM507)&amp;"")),""))),IF(IFERROR(IF(INDEX(INDIRECT("'WCM Calibration Final'!$E$1:$E$2000"),'Calculations'!$EM507)="","",TRIM(INDEX(INDIRECT("'WCM Calibration Final'!$E$1:$E$2000"),'Calculations'!$EM507)&amp;"")),"")="","",IF(COUNTIF('Calculations'!$HG$13:$HG$512,"="&amp;SUBSTITUTE(SUBSTITUTE(SUBSTITUTE(IFERROR(IF(INDEX(INDIRECT("'WCM Calibration Final'!$E$1:$E$2000"),'Calculations'!$EM507)="","",TRIM(INDEX(INDIRECT("'WCM Calibration Final'!$E$1:$E$2000"),'Calculations'!$EM507)&amp;"")),""),"~","~~"),"*","~*"),"?","~?"))=1,INDEX('Calculations'!$HE$13:$HE$512,MATCH(IFERROR(IF(INDEX(INDIRECT("'WCM Calibration Final'!$E$1:$E$2000"),'Calculations'!$EM507)="","",TRIM(INDEX(INDIRECT("'WCM Calibration Final'!$E$1:$E$2000"),'Calculations'!$EM507)&amp;"")),""),'Calculations'!$HG$13:$HG$512,0)),IF(COUNTIF('Calculations'!$HG$13:$HG$512,"="&amp;SUBSTITUTE(SUBSTITUTE(SUBSTITUTE(IFERROR(IF(INDEX(INDIRECT("'WCM Calibration Final'!$E$1:$E$2000"),'Calculations'!$EM507)="","",TRIM(INDEX(INDIRECT("'WCM Calibration Final'!$E$1:$E$2000"),'Calculations'!$EM507)&amp;"")),""),"~","~~"),"*","~*"),"?","~?"))&gt;1,"!AMBIG","X:"&amp;IFERROR(IF(INDEX(INDIRECT("'WCM Calibration Final'!$E$1:$E$2000"),'Calculations'!$EM507)="","",TRIM(INDEX(INDIRECT("'WCM Calibration Final'!$E$1:$E$2000"),'Calculations'!$EM507)&amp;"")),""))))))</x:f>
      </x:c>
      <x:c r="HG507" t="str">
        <x:f>IF('Calculations'!EM507="","",IFERROR(IF(INDEX(INDIRECT("'WCM Calibration Final'!$B$1:$B$2000"),'Calculations'!$EM507)="","",TRIM(INDEX(INDIRECT("'WCM Calibration Final'!$B$1:$B$2000"),'Calculations'!$EM507)&amp;"")),""))</x:f>
      </x:c>
      <x:c r="HH507" t="n">
        <x:f>IF(AND('Calculations'!JC507&gt;0,COUNTIF('Calculations'!$HF$12:HF507,"="&amp;SUBSTITUTE(SUBSTITUTE(SUBSTITUTE('Calculations'!HF507,"~","~~"),"*","~*"),"?","~?"))=1),MAX('Calculations'!$HH$12:HH506)+1,0)</x:f>
        <x:v>0</x:v>
      </x:c>
      <x:c r="HI507" t="n">
        <x:f>IF(AND('Calculations'!HN507&lt;&gt;"",COUNTIF('Calculations'!$HN$12:HN507,"="&amp;SUBSTITUTE(SUBSTITUTE(SUBSTITUTE('Calculations'!HN507,"~","~~"),"*","~*"),"?","~?"))=1),MAX('Calculations'!$HI$12:HI506)+1,0)</x:f>
        <x:v>0</x:v>
      </x:c>
      <x:c r="HJ507" t="str">
        <x:f>IF('Calculations'!HF507="","",IF(COUNTIF('Calculations'!$HE$13:$HE$512,"="&amp;SUBSTITUTE(SUBSTITUTE(SUBSTITUTE('Calculations'!HF507,"~","~~"),"*","~*"),"?","~?"))=1,INDEX('Calculations'!$HK$13:$HK$512,MATCH('Calculations'!HF507,'Calculations'!$HE$13:$HE$512,0)),IFERROR(IF(INDEX(INDIRECT("'WCM Calibration Final'!$E$1:$E$2000"),'Calculations'!$EM507)="","",TRIM(INDEX(INDIRECT("'WCM Calibration Final'!$E$1:$E$2000"),'Calculations'!$EM507)&amp;"")),"")&amp;" ["&amp;'Calculations'!HF507&amp;"]"))</x:f>
      </x:c>
      <x:c r="HK507" t="str">
        <x:f>IF('Calculations'!EM507="","",'Calculations'!HG507&amp;" ["&amp;'Calculations'!HE507&amp;"]")</x:f>
      </x:c>
      <x:c r="HL507" t="n">
        <x:f>IF('Calculations'!EM507="",0,IF(OR('Calculations'!II507&lt;&gt;"",COUNTIF('Calculations'!$HE$13:$HE$512,"="&amp;SUBSTITUTE(SUBSTITUTE(SUBSTITUTE('Calculations'!HE507,"~","~~"),"*","~*"),"?","~?"))&gt;1),1,0))</x:f>
        <x:v>0</x:v>
      </x:c>
      <x:c r="HM507" t="str">
        <x:f>IF('Calculations'!EM507="","",IF('Calculations'!HL507=1,"!UNRESOLVED",IF('Calculations'!IH507&lt;&gt;"",'Calculations'!IH507,IF('Calculations'!IG507&lt;&gt;"",'Calculations'!IG507,IF('Calculations'!IF507&lt;&gt;"",'Calculations'!IF507,IF('Calculations'!IE507&lt;&gt;"",'Calculations'!IE507,IF('Calculations'!ID507&lt;&gt;"",'Calculations'!ID507,IF('Calculations'!IC507&lt;&gt;"",'Calculations'!IC507,IF('Calculations'!IB507&lt;&gt;"",'Calculations'!IB507,IF('Calculations'!IA507&lt;&gt;"",'Calculations'!IA507,IF('Calculations'!HZ507&lt;&gt;"",'Calculations'!HZ507,IF('Calculations'!HY507&lt;&gt;"",'Calculations'!HY507,IF('Calculations'!HX507&lt;&gt;"",'Calculations'!HX507,IF('Calculations'!HW507&lt;&gt;"",'Calculations'!HW507,IF('Calculations'!HV507&lt;&gt;"",'Calculations'!HV507,IF('Calculations'!HU507&lt;&gt;"",'Calculations'!HU507,IF('Calculations'!HT507&lt;&gt;"",'Calculations'!HT507,IF('Calculations'!HS507&lt;&gt;"",'Calculations'!HS507,IF('Calculations'!HR507&lt;&gt;"",'Calculations'!HR507,IF('Calculations'!HQ507&lt;&gt;"",'Calculations'!HQ507,IF('Calculations'!HP507&lt;&gt;"",'Calculations'!HP507,IF('Calculations'!HO507&lt;&gt;"",'Calculations'!HO507,'Calculations'!HE507))))))))))))))))))))))</x:f>
      </x:c>
      <x:c r="HN507" t="str">
        <x:f>IF('Calculations'!EM507="","",IF(IFERROR(IF(INDEX(INDIRECT("'WCM Calibration Final'!$F$1:$F$2000"),'Calculations'!$EM507)="","",TRIM(INDEX(INDIRECT("'WCM Calibration Final'!$F$1:$F$2000"),'Calculations'!$EM507)&amp;"")),"")="","(Blank)",IFERROR(IF(INDEX(INDIRECT("'WCM Calibration Final'!$F$1:$F$2000"),'Calculations'!$EM507)="","",TRIM(INDEX(INDIRECT("'WCM Calibration Final'!$F$1:$F$2000"),'Calculations'!$EM507)&amp;"")),"")))</x:f>
      </x:c>
      <x:c r="HO507" t="str">
        <x:f>'Calculations'!HF507</x:f>
      </x:c>
      <x:c r="HP507" t="str">
        <x:f>IF('Calculations'!HO507="","",IF('Calculations'!HO507="!AMBIG","!AMBIG",IF(COUNTIF('Calculations'!$HE$13:$HE$512,"="&amp;SUBSTITUTE(SUBSTITUTE(SUBSTITUTE('Calculations'!HO507,"~","~~"),"*","~*"),"?","~?"))&gt;1,"!AMBIG",IFERROR(INDEX('Calculations'!$HF$13:$HF$512,MATCH('Calculations'!HO507,'Calculations'!$HE$13:$HE$512,0)),""))))</x:f>
      </x:c>
      <x:c r="HQ507" t="str">
        <x:f>IF('Calculations'!HP507="","",IF('Calculations'!HP507="!AMBIG","!AMBIG",IF(COUNTIF('Calculations'!$HE$13:$HE$512,"="&amp;SUBSTITUTE(SUBSTITUTE(SUBSTITUTE('Calculations'!HP507,"~","~~"),"*","~*"),"?","~?"))&gt;1,"!AMBIG",IFERROR(INDEX('Calculations'!$HF$13:$HF$512,MATCH('Calculations'!HP507,'Calculations'!$HE$13:$HE$512,0)),""))))</x:f>
      </x:c>
      <x:c r="HR507" t="str">
        <x:f>IF('Calculations'!HQ507="","",IF('Calculations'!HQ507="!AMBIG","!AMBIG",IF(COUNTIF('Calculations'!$HE$13:$HE$512,"="&amp;SUBSTITUTE(SUBSTITUTE(SUBSTITUTE('Calculations'!HQ507,"~","~~"),"*","~*"),"?","~?"))&gt;1,"!AMBIG",IFERROR(INDEX('Calculations'!$HF$13:$HF$512,MATCH('Calculations'!HQ507,'Calculations'!$HE$13:$HE$512,0)),""))))</x:f>
      </x:c>
      <x:c r="HS507" t="str">
        <x:f>IF('Calculations'!HR507="","",IF('Calculations'!HR507="!AMBIG","!AMBIG",IF(COUNTIF('Calculations'!$HE$13:$HE$512,"="&amp;SUBSTITUTE(SUBSTITUTE(SUBSTITUTE('Calculations'!HR507,"~","~~"),"*","~*"),"?","~?"))&gt;1,"!AMBIG",IFERROR(INDEX('Calculations'!$HF$13:$HF$512,MATCH('Calculations'!HR507,'Calculations'!$HE$13:$HE$512,0)),""))))</x:f>
      </x:c>
      <x:c r="HT507" t="str">
        <x:f>IF('Calculations'!HS507="","",IF('Calculations'!HS507="!AMBIG","!AMBIG",IF(COUNTIF('Calculations'!$HE$13:$HE$512,"="&amp;SUBSTITUTE(SUBSTITUTE(SUBSTITUTE('Calculations'!HS507,"~","~~"),"*","~*"),"?","~?"))&gt;1,"!AMBIG",IFERROR(INDEX('Calculations'!$HF$13:$HF$512,MATCH('Calculations'!HS507,'Calculations'!$HE$13:$HE$512,0)),""))))</x:f>
      </x:c>
      <x:c r="HU507" t="str">
        <x:f>IF('Calculations'!HT507="","",IF('Calculations'!HT507="!AMBIG","!AMBIG",IF(COUNTIF('Calculations'!$HE$13:$HE$512,"="&amp;SUBSTITUTE(SUBSTITUTE(SUBSTITUTE('Calculations'!HT507,"~","~~"),"*","~*"),"?","~?"))&gt;1,"!AMBIG",IFERROR(INDEX('Calculations'!$HF$13:$HF$512,MATCH('Calculations'!HT507,'Calculations'!$HE$13:$HE$512,0)),""))))</x:f>
      </x:c>
      <x:c r="HV507" t="str">
        <x:f>IF('Calculations'!HU507="","",IF('Calculations'!HU507="!AMBIG","!AMBIG",IF(COUNTIF('Calculations'!$HE$13:$HE$512,"="&amp;SUBSTITUTE(SUBSTITUTE(SUBSTITUTE('Calculations'!HU507,"~","~~"),"*","~*"),"?","~?"))&gt;1,"!AMBIG",IFERROR(INDEX('Calculations'!$HF$13:$HF$512,MATCH('Calculations'!HU507,'Calculations'!$HE$13:$HE$512,0)),""))))</x:f>
      </x:c>
      <x:c r="HW507" t="str">
        <x:f>IF('Calculations'!HV507="","",IF('Calculations'!HV507="!AMBIG","!AMBIG",IF(COUNTIF('Calculations'!$HE$13:$HE$512,"="&amp;SUBSTITUTE(SUBSTITUTE(SUBSTITUTE('Calculations'!HV507,"~","~~"),"*","~*"),"?","~?"))&gt;1,"!AMBIG",IFERROR(INDEX('Calculations'!$HF$13:$HF$512,MATCH('Calculations'!HV507,'Calculations'!$HE$13:$HE$512,0)),""))))</x:f>
      </x:c>
      <x:c r="HX507" t="str">
        <x:f>IF('Calculations'!HW507="","",IF('Calculations'!HW507="!AMBIG","!AMBIG",IF(COUNTIF('Calculations'!$HE$13:$HE$512,"="&amp;SUBSTITUTE(SUBSTITUTE(SUBSTITUTE('Calculations'!HW507,"~","~~"),"*","~*"),"?","~?"))&gt;1,"!AMBIG",IFERROR(INDEX('Calculations'!$HF$13:$HF$512,MATCH('Calculations'!HW507,'Calculations'!$HE$13:$HE$512,0)),""))))</x:f>
      </x:c>
      <x:c r="HY507" t="str">
        <x:f>IF('Calculations'!HX507="","",IF('Calculations'!HX507="!AMBIG","!AMBIG",IF(COUNTIF('Calculations'!$HE$13:$HE$512,"="&amp;SUBSTITUTE(SUBSTITUTE(SUBSTITUTE('Calculations'!HX507,"~","~~"),"*","~*"),"?","~?"))&gt;1,"!AMBIG",IFERROR(INDEX('Calculations'!$HF$13:$HF$512,MATCH('Calculations'!HX507,'Calculations'!$HE$13:$HE$512,0)),""))))</x:f>
      </x:c>
      <x:c r="HZ507" t="str">
        <x:f>IF('Calculations'!HY507="","",IF('Calculations'!HY507="!AMBIG","!AMBIG",IF(COUNTIF('Calculations'!$HE$13:$HE$512,"="&amp;SUBSTITUTE(SUBSTITUTE(SUBSTITUTE('Calculations'!HY507,"~","~~"),"*","~*"),"?","~?"))&gt;1,"!AMBIG",IFERROR(INDEX('Calculations'!$HF$13:$HF$512,MATCH('Calculations'!HY507,'Calculations'!$HE$13:$HE$512,0)),""))))</x:f>
      </x:c>
      <x:c r="IA507" t="str">
        <x:f>IF('Calculations'!HZ507="","",IF('Calculations'!HZ507="!AMBIG","!AMBIG",IF(COUNTIF('Calculations'!$HE$13:$HE$512,"="&amp;SUBSTITUTE(SUBSTITUTE(SUBSTITUTE('Calculations'!HZ507,"~","~~"),"*","~*"),"?","~?"))&gt;1,"!AMBIG",IFERROR(INDEX('Calculations'!$HF$13:$HF$512,MATCH('Calculations'!HZ507,'Calculations'!$HE$13:$HE$512,0)),""))))</x:f>
      </x:c>
      <x:c r="IB507" t="str">
        <x:f>IF('Calculations'!IA507="","",IF('Calculations'!IA507="!AMBIG","!AMBIG",IF(COUNTIF('Calculations'!$HE$13:$HE$512,"="&amp;SUBSTITUTE(SUBSTITUTE(SUBSTITUTE('Calculations'!IA507,"~","~~"),"*","~*"),"?","~?"))&gt;1,"!AMBIG",IFERROR(INDEX('Calculations'!$HF$13:$HF$512,MATCH('Calculations'!IA507,'Calculations'!$HE$13:$HE$512,0)),""))))</x:f>
      </x:c>
      <x:c r="IC507" t="str">
        <x:f>IF('Calculations'!IB507="","",IF('Calculations'!IB507="!AMBIG","!AMBIG",IF(COUNTIF('Calculations'!$HE$13:$HE$512,"="&amp;SUBSTITUTE(SUBSTITUTE(SUBSTITUTE('Calculations'!IB507,"~","~~"),"*","~*"),"?","~?"))&gt;1,"!AMBIG",IFERROR(INDEX('Calculations'!$HF$13:$HF$512,MATCH('Calculations'!IB507,'Calculations'!$HE$13:$HE$512,0)),""))))</x:f>
      </x:c>
      <x:c r="ID507" t="str">
        <x:f>IF('Calculations'!IC507="","",IF('Calculations'!IC507="!AMBIG","!AMBIG",IF(COUNTIF('Calculations'!$HE$13:$HE$512,"="&amp;SUBSTITUTE(SUBSTITUTE(SUBSTITUTE('Calculations'!IC507,"~","~~"),"*","~*"),"?","~?"))&gt;1,"!AMBIG",IFERROR(INDEX('Calculations'!$HF$13:$HF$512,MATCH('Calculations'!IC507,'Calculations'!$HE$13:$HE$512,0)),""))))</x:f>
      </x:c>
      <x:c r="IE507" t="str">
        <x:f>IF('Calculations'!ID507="","",IF('Calculations'!ID507="!AMBIG","!AMBIG",IF(COUNTIF('Calculations'!$HE$13:$HE$512,"="&amp;SUBSTITUTE(SUBSTITUTE(SUBSTITUTE('Calculations'!ID507,"~","~~"),"*","~*"),"?","~?"))&gt;1,"!AMBIG",IFERROR(INDEX('Calculations'!$HF$13:$HF$512,MATCH('Calculations'!ID507,'Calculations'!$HE$13:$HE$512,0)),""))))</x:f>
      </x:c>
      <x:c r="IF507" t="str">
        <x:f>IF('Calculations'!IE507="","",IF('Calculations'!IE507="!AMBIG","!AMBIG",IF(COUNTIF('Calculations'!$HE$13:$HE$512,"="&amp;SUBSTITUTE(SUBSTITUTE(SUBSTITUTE('Calculations'!IE507,"~","~~"),"*","~*"),"?","~?"))&gt;1,"!AMBIG",IFERROR(INDEX('Calculations'!$HF$13:$HF$512,MATCH('Calculations'!IE507,'Calculations'!$HE$13:$HE$512,0)),""))))</x:f>
      </x:c>
      <x:c r="IG507" t="str">
        <x:f>IF('Calculations'!IF507="","",IF('Calculations'!IF507="!AMBIG","!AMBIG",IF(COUNTIF('Calculations'!$HE$13:$HE$512,"="&amp;SUBSTITUTE(SUBSTITUTE(SUBSTITUTE('Calculations'!IF507,"~","~~"),"*","~*"),"?","~?"))&gt;1,"!AMBIG",IFERROR(INDEX('Calculations'!$HF$13:$HF$512,MATCH('Calculations'!IF507,'Calculations'!$HE$13:$HE$512,0)),""))))</x:f>
      </x:c>
      <x:c r="IH507" t="str">
        <x:f>IF('Calculations'!IG507="","",IF('Calculations'!IG507="!AMBIG","!AMBIG",IF(COUNTIF('Calculations'!$HE$13:$HE$512,"="&amp;SUBSTITUTE(SUBSTITUTE(SUBSTITUTE('Calculations'!IG507,"~","~~"),"*","~*"),"?","~?"))&gt;1,"!AMBIG",IFERROR(INDEX('Calculations'!$HF$13:$HF$512,MATCH('Calculations'!IG507,'Calculations'!$HE$13:$HE$512,0)),""))))</x:f>
      </x:c>
      <x:c r="II507" t="str">
        <x:f>IF('Calculations'!IH507="","",IF('Calculations'!IH507="!AMBIG","!AMBIG",IF(COUNTIF('Calculations'!$HE$13:$HE$512,"="&amp;SUBSTITUTE(SUBSTITUTE(SUBSTITUTE('Calculations'!IH507,"~","~~"),"*","~*"),"?","~?"))&gt;1,"!AMBIG",IFERROR(INDEX('Calculations'!$HF$13:$HF$512,MATCH('Calculations'!IH507,'Calculations'!$HE$13:$HE$512,0)),""))))</x:f>
      </x:c>
      <x:c r="IJ507" t="str">
        <x:f>IF('Calculations'!EM507="","",IF('Calculations'!$EF$2="All",'Calculations'!HM507,IF('Calculations'!HL507=1,"",IFERROR(IF(MATCH('Calculations'!$EF$2,'Calculations'!HO507:II507,0)=1,'Calculations'!HE507,INDEX('Calculations'!HO507:II507,1,MATCH('Calculations'!$EF$2,'Calculations'!HO507:II507,0)-1)),""))))</x:f>
      </x:c>
      <x:c r="IK507" t="n">
        <x:f>IF(AND('Calculations'!EM507&lt;&gt;"",'Calculations'!$EF$2&lt;&gt;"All",'Calculations'!HF507='Calculations'!$EF$2,'Calculations'!HL507=0,'Calculations'!JD507&gt;0),MAX('Calculations'!$IK$12:IK506)+1,0)</x:f>
        <x:v>0</x:v>
      </x:c>
      <x:c r="JA507" t="n">
        <x:f>IF(OR(IFERROR(INDIRECT("'WCM Calibration Final'!$A$507")&lt;&gt;"",FALSE),IFERROR(INDIRECT("'WCM Calibration Final'!$B$507")&lt;&gt;"",FALSE),IFERROR(INDIRECT("'WCM Calibration Final'!$C$507")&lt;&gt;"",FALSE)),507,0)</x:f>
        <x:v>0</x:v>
      </x:c>
      <x:c r="JB507" t="n">
        <x:f>'Calculations'!JB506+IF('Calculations'!JA507&gt;0,1,0)</x:f>
        <x:v>0</x:v>
      </x:c>
      <x:c r="JC507" t="n">
        <x:f>IF(OR('Calculations'!HF507="",'Calculations'!HF507="!AMBIG"),0,IF('Dashboard'!$B$7="All",1,COUNTIFS('Calculations'!$HO$13:$HO$512,"="&amp;SUBSTITUTE(SUBSTITUTE(SUBSTITUTE('Calculations'!HF507,"~","~~"),"*","~*"),"?","~?"),'Calculations'!$HN$13:$HN$512,"="&amp;SUBSTITUTE(SUBSTITUTE(SUBSTITUTE('Dashboard'!$B$7,"~","~~"),"*","~*"),"?","~?"))+COUNTIFS('Calculations'!$HP$13:$HP$512,"="&amp;SUBSTITUTE(SUBSTITUTE(SUBSTITUTE('Calculations'!HF507,"~","~~"),"*","~*"),"?","~?"),'Calculations'!$HN$13:$HN$512,"="&amp;SUBSTITUTE(SUBSTITUTE(SUBSTITUTE('Dashboard'!$B$7,"~","~~"),"*","~*"),"?","~?"))+COUNTIFS('Calculations'!$HQ$13:$HQ$512,"="&amp;SUBSTITUTE(SUBSTITUTE(SUBSTITUTE('Calculations'!HF507,"~","~~"),"*","~*"),"?","~?"),'Calculations'!$HN$13:$HN$512,"="&amp;SUBSTITUTE(SUBSTITUTE(SUBSTITUTE('Dashboard'!$B$7,"~","~~"),"*","~*"),"?","~?"))+COUNTIFS('Calculations'!$HR$13:$HR$512,"="&amp;SUBSTITUTE(SUBSTITUTE(SUBSTITUTE('Calculations'!HF507,"~","~~"),"*","~*"),"?","~?"),'Calculations'!$HN$13:$HN$512,"="&amp;SUBSTITUTE(SUBSTITUTE(SUBSTITUTE('Dashboard'!$B$7,"~","~~"),"*","~*"),"?","~?"))+COUNTIFS('Calculations'!$HS$13:$HS$512,"="&amp;SUBSTITUTE(SUBSTITUTE(SUBSTITUTE('Calculations'!HF507,"~","~~"),"*","~*"),"?","~?"),'Calculations'!$HN$13:$HN$512,"="&amp;SUBSTITUTE(SUBSTITUTE(SUBSTITUTE('Dashboard'!$B$7,"~","~~"),"*","~*"),"?","~?"))+COUNTIFS('Calculations'!$HT$13:$HT$512,"="&amp;SUBSTITUTE(SUBSTITUTE(SUBSTITUTE('Calculations'!HF507,"~","~~"),"*","~*"),"?","~?"),'Calculations'!$HN$13:$HN$512,"="&amp;SUBSTITUTE(SUBSTITUTE(SUBSTITUTE('Dashboard'!$B$7,"~","~~"),"*","~*"),"?","~?"))+COUNTIFS('Calculations'!$HU$13:$HU$512,"="&amp;SUBSTITUTE(SUBSTITUTE(SUBSTITUTE('Calculations'!HF507,"~","~~"),"*","~*"),"?","~?"),'Calculations'!$HN$13:$HN$512,"="&amp;SUBSTITUTE(SUBSTITUTE(SUBSTITUTE('Dashboard'!$B$7,"~","~~"),"*","~*"),"?","~?"))+COUNTIFS('Calculations'!$HV$13:$HV$512,"="&amp;SUBSTITUTE(SUBSTITUTE(SUBSTITUTE('Calculations'!HF507,"~","~~"),"*","~*"),"?","~?"),'Calculations'!$HN$13:$HN$512,"="&amp;SUBSTITUTE(SUBSTITUTE(SUBSTITUTE('Dashboard'!$B$7,"~","~~"),"*","~*"),"?","~?"))+COUNTIFS('Calculations'!$HW$13:$HW$512,"="&amp;SUBSTITUTE(SUBSTITUTE(SUBSTITUTE('Calculations'!HF507,"~","~~"),"*","~*"),"?","~?"),'Calculations'!$HN$13:$HN$512,"="&amp;SUBSTITUTE(SUBSTITUTE(SUBSTITUTE('Dashboard'!$B$7,"~","~~"),"*","~*"),"?","~?"))+COUNTIFS('Calculations'!$HX$13:$HX$512,"="&amp;SUBSTITUTE(SUBSTITUTE(SUBSTITUTE('Calculations'!HF507,"~","~~"),"*","~*"),"?","~?"),'Calculations'!$HN$13:$HN$512,"="&amp;SUBSTITUTE(SUBSTITUTE(SUBSTITUTE('Dashboard'!$B$7,"~","~~"),"*","~*"),"?","~?"))+COUNTIFS('Calculations'!$HY$13:$HY$512,"="&amp;SUBSTITUTE(SUBSTITUTE(SUBSTITUTE('Calculations'!HF507,"~","~~"),"*","~*"),"?","~?"),'Calculations'!$HN$13:$HN$512,"="&amp;SUBSTITUTE(SUBSTITUTE(SUBSTITUTE('Dashboard'!$B$7,"~","~~"),"*","~*"),"?","~?"))+COUNTIFS('Calculations'!$HZ$13:$HZ$512,"="&amp;SUBSTITUTE(SUBSTITUTE(SUBSTITUTE('Calculations'!HF507,"~","~~"),"*","~*"),"?","~?"),'Calculations'!$HN$13:$HN$512,"="&amp;SUBSTITUTE(SUBSTITUTE(SUBSTITUTE('Dashboard'!$B$7,"~","~~"),"*","~*"),"?","~?"))+COUNTIFS('Calculations'!$IA$13:$IA$512,"="&amp;SUBSTITUTE(SUBSTITUTE(SUBSTITUTE('Calculations'!HF507,"~","~~"),"*","~*"),"?","~?"),'Calculations'!$HN$13:$HN$512,"="&amp;SUBSTITUTE(SUBSTITUTE(SUBSTITUTE('Dashboard'!$B$7,"~","~~"),"*","~*"),"?","~?"))+COUNTIFS('Calculations'!$IB$13:$IB$512,"="&amp;SUBSTITUTE(SUBSTITUTE(SUBSTITUTE('Calculations'!HF507,"~","~~"),"*","~*"),"?","~?"),'Calculations'!$HN$13:$HN$512,"="&amp;SUBSTITUTE(SUBSTITUTE(SUBSTITUTE('Dashboard'!$B$7,"~","~~"),"*","~*"),"?","~?"))+COUNTIFS('Calculations'!$IC$13:$IC$512,"="&amp;SUBSTITUTE(SUBSTITUTE(SUBSTITUTE('Calculations'!HF507,"~","~~"),"*","~*"),"?","~?"),'Calculations'!$HN$13:$HN$512,"="&amp;SUBSTITUTE(SUBSTITUTE(SUBSTITUTE('Dashboard'!$B$7,"~","~~"),"*","~*"),"?","~?"))+COUNTIFS('Calculations'!$ID$13:$ID$512,"="&amp;SUBSTITUTE(SUBSTITUTE(SUBSTITUTE('Calculations'!HF507,"~","~~"),"*","~*"),"?","~?"),'Calculations'!$HN$13:$HN$512,"="&amp;SUBSTITUTE(SUBSTITUTE(SUBSTITUTE('Dashboard'!$B$7,"~","~~"),"*","~*"),"?","~?"))+COUNTIFS('Calculations'!$IE$13:$IE$512,"="&amp;SUBSTITUTE(SUBSTITUTE(SUBSTITUTE('Calculations'!HF507,"~","~~"),"*","~*"),"?","~?"),'Calculations'!$HN$13:$HN$512,"="&amp;SUBSTITUTE(SUBSTITUTE(SUBSTITUTE('Dashboard'!$B$7,"~","~~"),"*","~*"),"?","~?"))+COUNTIFS('Calculations'!$IF$13:$IF$512,"="&amp;SUBSTITUTE(SUBSTITUTE(SUBSTITUTE('Calculations'!HF507,"~","~~"),"*","~*"),"?","~?"),'Calculations'!$HN$13:$HN$512,"="&amp;SUBSTITUTE(SUBSTITUTE(SUBSTITUTE('Dashboard'!$B$7,"~","~~"),"*","~*"),"?","~?"))+COUNTIFS('Calculations'!$IG$13:$IG$512,"="&amp;SUBSTITUTE(SUBSTITUTE(SUBSTITUTE('Calculations'!HF507,"~","~~"),"*","~*"),"?","~?"),'Calculations'!$HN$13:$HN$512,"="&amp;SUBSTITUTE(SUBSTITUTE(SUBSTITUTE('Dashboard'!$B$7,"~","~~"),"*","~*"),"?","~?"))+COUNTIFS('Calculations'!$IH$13:$IH$512,"="&amp;SUBSTITUTE(SUBSTITUTE(SUBSTITUTE('Calculations'!HF507,"~","~~"),"*","~*"),"?","~?"),'Calculations'!$HN$13:$HN$512,"="&amp;SUBSTITUTE(SUBSTITUTE(SUBSTITUTE('Dashboard'!$B$7,"~","~~"),"*","~*"),"?","~?"))))</x:f>
        <x:v>0</x:v>
      </x:c>
      <x:c r="JD507" t="n">
        <x:f>IF('Calculations'!EM507="",0,IF('Dashboard'!$B$7="All",1,IF('Calculations'!HN507='Dashboard'!$B$7,1,0)+IFERROR(INDEX('Calculations'!$JC$13:$JC$512,MATCH('Calculations'!HE507,'Calculations'!$HF$13:$HF$512,0)),0)))</x:f>
        <x:v>0</x:v>
      </x:c>
      <x:c r="JE507" t="n">
        <x:f>IF(AND('Calculations'!EM507&lt;&gt;"",'Calculations'!$JJ$2&lt;&gt;"All",'Calculations'!$JJ$2&lt;&gt;"",'Calculations'!HF507='Calculations'!$JJ$2,'Calculations'!HL507=0,'Calculations'!JD507&gt;0),MAX('Calculations'!$JE$12:JE506)+1,0)</x:f>
        <x:v>0</x:v>
      </x:c>
      <x:c r="JF507" t="str">
        <x:f>IF('Calculations'!EM507="","",IFERROR(IF(INDEX(INDIRECT("'WCM Calibration Final'!$G$1:$G$2000"),'Calculations'!$EM507)="","",TRIM(INDEX(INDIRECT("'WCM Calibration Final'!$G$1:$G$2000"),'Calculations'!$EM507)&amp;"")),""))</x:f>
      </x:c>
      <x:c r="JQ507" t="n">
        <x:f>IF(OR('Calculations'!BM507=0,NOT('Calculations'!$AG$2),'Calculations'!$AG$8&gt;0),0,IF(OR('Dashboard'!$B$7="All",'Calculations'!HN507='Dashboard'!$B$7),IF('Calculations'!$JJ$2="All",1,IF(AND('Calculations'!HF507='Calculations'!$JJ$2,'Calculations'!HL507=0),1,0)),0))</x:f>
        <x:v>0</x:v>
      </x:c>
    </x:row>
    <x:row r="508">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t="n">
        <x:f>IF('Calculations'!$EM508="",0,IF(OR(IFERROR(INDEX(INDIRECT("'WCM Calibration Final'!$A$1:$A$2000"),'Calculations'!$EM508)&lt;&gt;"",FALSE),IFERROR(INDEX(INDIRECT("'WCM Calibration Final'!$B$1:$B$2000"),'Calculations'!$EM508)&lt;&gt;"",FALSE),IFERROR(INDEX(INDIRECT("'WCM Calibration Final'!$C$1:$C$2000"),'Calculations'!$EM508)&lt;&gt;"",FALSE)),1,0))</x:f>
        <x:v>0</x:v>
      </x:c>
      <x:c r="BN508" s="4" t="n">
        <x:f>IF(AND('Calculations'!BM508=1,'Calculations'!$AG$2,'Calculations'!$EN508=1),1,0)</x:f>
        <x:v>0</x:v>
      </x:c>
      <x:c r="BO508" s="4" t="str">
        <x:f>IF('Calculations'!BM508=0,"",IFERROR(IF(AND(VALUE(INDEX(INDIRECT("'WCM Calibration Final'!$K$1:$K$2000"),'Calculations'!$EM508))&gt;=1,VALUE(INDEX(INDIRECT("'WCM Calibration Final'!$K$1:$K$2000"),'Calculations'!$EM508))&lt;=4,MOD(VALUE(INDEX(INDIRECT("'WCM Calibration Final'!$K$1:$K$2000"),'Calculations'!$EM508)),1)=0),VALUE(INDEX(INDIRECT("'WCM Calibration Final'!$K$1:$K$2000"),'Calculations'!$EM508)),""),""))</x:f>
      </x:c>
      <x:c r="BP508" s="4" t="str">
        <x:f>IF('Calculations'!BM508=0,"",IFERROR(IF(AND(VALUE(INDEX(INDIRECT("'WCM Calibration Final'!$L$1:$L$2000"),'Calculations'!$EM508))&gt;=1,VALUE(INDEX(INDIRECT("'WCM Calibration Final'!$L$1:$L$2000"),'Calculations'!$EM508))&lt;=4,MOD(VALUE(INDEX(INDIRECT("'WCM Calibration Final'!$L$1:$L$2000"),'Calculations'!$EM508)),1)=0),VALUE(INDEX(INDIRECT("'WCM Calibration Final'!$L$1:$L$2000"),'Calculations'!$EM508)),""),""))</x:f>
      </x:c>
      <x:c r="BQ508" s="4"/>
      <x:c r="BR508" s="4"/>
      <x:c r="BS508" s="4"/>
      <x:c r="BT508" s="4" t="n">
        <x:f>IF(AND('Calculations'!BM508=1,ISNUMBER('Calculations'!BO508),ISNUMBER('Calculations'!BP508)),1,0)</x:f>
        <x:v>0</x:v>
      </x:c>
      <x:c r="BU508" s="4" t="str">
        <x:f>IF('Calculations'!BM508=0,"",'Calculations'!$EO508)</x:f>
      </x:c>
      <x:c r="BV508" s="4" t="str">
        <x:f>IF('Calculations'!BM508=0,"",IFERROR(IF(OR(INDEX(INDIRECT("'WCM Calibration Final'!$H$1:$H$2000"),'Calculations'!$EM508)="MANAGING DIRECTOR",INDEX(INDIRECT("'WCM Calibration Final'!$H$1:$H$2000"),'Calculations'!$EM508)="DIRECTOR",INDEX(INDIRECT("'WCM Calibration Final'!$H$1:$H$2000"),'Calculations'!$EM508)="SENIOR VICE PRESIDENT",INDEX(INDIRECT("'WCM Calibration Final'!$H$1:$H$2000"),'Calculations'!$EM508)="VICE PRESIDENT",INDEX(INDIRECT("'WCM Calibration Final'!$H$1:$H$2000"),'Calculations'!$EM508)="ASSISTANT VICE PRESIDENT",INDEX(INDIRECT("'WCM Calibration Final'!$H$1:$H$2000"),'Calculations'!$EM508)="OFFICER"),UPPER(INDEX(INDIRECT("'WCM Calibration Final'!$H$1:$H$2000"),'Calculations'!$EM508)),"Other"),"Other"))</x:f>
      </x:c>
      <x:c r="BW508" s="4"/>
      <x:c r="BX508" s="4"/>
      <x:c r="BY508" s="4" t="n">
        <x:f>IF(AND('Calculations'!BM508=1,'Calculations'!BU508&lt;&gt;"",COUNTIF('Calculations'!$BU$12:BU508,'Calculations'!BU508)=1),MAX('Calculations'!$BY$11:BY507)+1,0)</x:f>
        <x:v>0</x:v>
      </x:c>
      <x:c r="BZ508" s="4" t="str">
        <x:f>IF('Dashboard'!$E$67="What",'Calculations'!BO508,'Calculations'!BP508)</x:f>
      </x:c>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t="str">
        <x:f>IF(497&gt;MAX('Calculations'!$HI$13:$HI$512),"",INDEX('Calculations'!$HN$13:$HN$512,MATCH(497,'Calculations'!$HI$13:$HI$512,0)))</x:f>
      </x:c>
      <x:c r="DB508" s="4" t="str">
        <x:f>IF(497&gt;MAX('Calculations'!$HH$13:$HH$512),"",INDEX('Calculations'!$HJ$13:$HJ$512,MATCH(497,'Calculations'!$HH$13:$HH$512,0)))</x:f>
      </x:c>
      <x:c r="DC508" s="4" t="str">
        <x:f>IF(ROW()-11&gt;MAX('Calculations'!$BY$13:$BY$512),"",INDEX('Calculations'!$BU$13:$BU$512,MATCH(ROW()-11,'Calculations'!$BY$13:$BY$512,0)))</x:f>
      </x:c>
      <x:c r="DD508" s="4" t="str">
        <x:f>IF(497&gt;MAX('Calculations'!$IK$13:$IK$512),"",INDEX('Calculations'!$HK$13:$HK$512,MATCH(497,'Calculations'!$IK$13:$IK$512,0)))</x:f>
      </x:c>
      <x:c r="DE508" s="4" t="str">
        <x:f>'Calculations'!DC508</x:f>
      </x:c>
      <x:c r="DF508" s="4" t="str">
        <x:f>IF('Calculations'!DE508="","",COUNTIFS('Calculations'!$BN$13:$BN$512,1,'Calculations'!$BU$13:$BU$512,'Calculations'!DE508))</x:f>
      </x:c>
      <x:c r="DG508" s="4" t="str">
        <x:f>IF('Calculations'!DE508="","",COUNTIFS('Calculations'!$BN$13:$BN$512,1,'Calculations'!$BU$13:$BU$512,'Calculations'!DE508,'Calculations'!$BT$13:$BT$512,1))</x:f>
      </x:c>
      <x:c r="DH508" s="4" t="str">
        <x:f>IF('Calculations'!DE508="","",'Calculations'!DF508-'Calculations'!DG508)</x:f>
      </x:c>
      <x:c r="DI508" s="4" t="str">
        <x:f>IF(OR('Calculations'!DE508="",'Calculations'!DF508=0),"",'Calculations'!DG508/'Calculations'!DF508)</x:f>
      </x:c>
      <x:c r="DJ508" s="4" t="str">
        <x:f>IF('Calculations'!DE508="","",COUNTIFS('Calculations'!$BN$13:$BN$512,1,'Calculations'!$BU$13:$BU$512,'Calculations'!DE508,'Calculations'!$BT$13:$BT$512,1,'Calculations'!$EE$13:$EE$512,"High"))</x:f>
      </x:c>
      <x:c r="DK508" s="4" t="str">
        <x:f>IF('Calculations'!DE508="","",COUNTIFS('Calculations'!$BN$13:$BN$512,1,'Calculations'!$BU$13:$BU$512,'Calculations'!DE508,'Calculations'!$BT$13:$BT$512,1,'Calculations'!$EE$13:$EE$512,"Strong"))</x:f>
      </x:c>
      <x:c r="DL508" s="4" t="str">
        <x:f>IF('Calculations'!DE508="","",COUNTIFS('Calculations'!$BN$13:$BN$512,1,'Calculations'!$BU$13:$BU$512,'Calculations'!DE508,'Calculations'!$BT$13:$BT$512,1,'Calculations'!$EE$13:$EE$512,"Solid"))</x:f>
      </x:c>
      <x:c r="DM508" s="4" t="str">
        <x:f>IF('Calculations'!DE508="","",COUNTIFS('Calculations'!$BN$13:$BN$512,1,'Calculations'!$BU$13:$BU$512,'Calculations'!DE508,'Calculations'!$BT$13:$BT$512,1,'Calculations'!$EE$13:$EE$512,"Low"))</x:f>
      </x:c>
      <x:c r="DN508" s="4" t="str">
        <x:f>IF('Calculations'!DE508="","",COUNTIFS('Calculations'!$BN$13:$BN$512,1,'Calculations'!$BU$13:$BU$512,'Calculations'!DE508,'Calculations'!$EP$13:$EP$512,1))</x:f>
      </x:c>
      <x:c r="DO508" s="4" t="str">
        <x:f>IF(OR('Calculations'!DE508="",'Calculations'!DG508=0),"",('Calculations'!DJ508+'Calculations'!DK508)/'Calculations'!DG508)</x:f>
      </x:c>
      <x:c r="DP508" s="4" t="n">
        <x:f>IF(AND('Calculations'!DE508&lt;&gt;"",'Calculations'!DF508&gt;0),COUNTIF('Calculations'!$DF$12:DF508,"&gt;0"),0)</x:f>
        <x:v>0</x:v>
      </x:c>
      <x:c r="DQ508" s="4" t="str">
        <x:f>IF(497&gt;MAX('Calculations'!$HH$13:$HH$512),"",INDEX('Calculations'!$HF$13:$HF$512,MATCH(497,'Calculations'!$HH$13:$HH$512,0)))</x:f>
      </x:c>
      <x:c r="DR508" s="4" t="str">
        <x:f>IF(497&gt;MAX('Calculations'!$IK$13:$IK$512),"",INDEX('Calculations'!$HE$13:$HE$512,MATCH(497,'Calculations'!$IK$13:$IK$512,0)))</x:f>
      </x:c>
      <x:c r="DS508" s="4"/>
      <x:c r="DT508" s="4"/>
      <x:c r="DU508" s="4"/>
      <x:c r="DV508" s="4"/>
      <x:c r="DW508" s="4"/>
      <x:c r="DX508" s="4"/>
      <x:c r="DY508" s="4"/>
      <x:c r="DZ508" s="4"/>
      <x:c r="EA508" s="4"/>
      <x:c r="EB508" s="4"/>
      <x:c r="EC508" s="4"/>
      <x:c r="ED508" s="4"/>
      <x:c r="EE508" s="4" t="str">
        <x:f>IF('Calculations'!BT508=0,"Not Rated",IF(OR('Calculations'!BO508&gt;=4,'Calculations'!BP508&gt;=4),"Low",IF('Calculations'!BO508+'Calculations'!BP508&lt;=3,"High",IF('Calculations'!BO508+'Calculations'!BP508&lt;=4,"Strong","Solid"))))</x:f>
        <x:v>Not Rated</x:v>
      </x:c>
      <x:c r="EF508" s="4"/>
      <x:c r="EG508" s="4"/>
      <x:c r="EH508" s="4"/>
      <x:c r="EI508" s="4"/>
      <x:c r="EJ508" s="4"/>
      <x:c r="EK508" s="4"/>
      <x:c r="EL508" s="4"/>
      <x:c r="EM508" s="4" t="str">
        <x:f>IF(496&gt;'Calculations'!$JB$2000,"",INDEX('Calculations'!$JA$12:$JA$2000,MATCH(496,'Calculations'!$JB$12:$JB$2000,0)))</x:f>
      </x:c>
      <x:c r="EN508" s="4" t="n">
        <x:f>IF(OR('Calculations'!EM508="",'Calculations'!$AG$8&gt;0,AND('Calculations'!$EF$2&lt;&gt;"All",'Calculations'!HE508='Calculations'!$EF$2),AND('Calculations'!$EF$3&lt;&gt;"All",'Calculations'!HE508='Calculations'!$EF$3)),0,IF(OR('Dashboard'!$B$7="All",'Calculations'!HN508='Dashboard'!$B$7),IF('Calculations'!$EF$2="All",1,IF('Calculations'!HL508&gt;0,0,IF(COUNTIF('Calculations'!HO508:II508,"="&amp;SUBSTITUTE(SUBSTITUTE(SUBSTITUTE('Calculations'!$EF$2,"~","~~"),"*","~*"),"?","~?"))=0,0,IF('Calculations'!$EF$3="All",1,IF(COUNTIF('Calculations'!HO508:II508,"="&amp;SUBSTITUTE(SUBSTITUTE(SUBSTITUTE('Calculations'!$EF$3,"~","~~"),"*","~*"),"?","~?"))&gt;0,1,0))))),0))</x:f>
        <x:v>0</x:v>
      </x:c>
      <x:c r="EO508" s="4" t="str">
        <x:f>IF('Calculations'!IJ508="","",IF('Calculations'!IJ508="!UNRESOLVED","Unresolved hierarchy",IFERROR(INDEX('Calculations'!$HK$13:$HK$512,MATCH('Calculations'!IJ508,'Calculations'!$HE$13:$HE$512,0)),IFERROR(INDEX('Calculations'!$HJ$13:$HJ$512,MATCH('Calculations'!IJ508,'Calculations'!$HF$13:$HF$512,0)),'Calculations'!IJ508))))</x:f>
      </x:c>
      <x:c r="EP508" s="4" t="n">
        <x:f>IF(AND('Calculations'!EM508&lt;&gt;"",'Calculations'!HF508='Calculations'!IJ508),1,0)</x:f>
        <x:v>0</x:v>
      </x:c>
      <x:c r="EQ508" s="4"/>
      <x:c r="ER508" s="4"/>
      <x:c r="ES508" s="4"/>
      <x:c r="ET508" s="4"/>
      <x:c r="EU508" s="4"/>
      <x:c r="EV508" s="4"/>
      <x:c r="EW508" s="4"/>
      <x:c r="EX508" s="4"/>
      <x:c r="EY508" s="4"/>
      <x:c r="EZ508" s="4"/>
      <x:c r="FA508" s="4"/>
      <x:c r="FB508" s="4"/>
      <x:c r="FC508" s="4"/>
      <x:c r="FD508" s="4"/>
      <x:c r="FE508" s="4"/>
      <x:c r="FF508" s="4"/>
      <x:c r="FG508" s="4"/>
      <x:c r="FH508" s="4"/>
      <x:c r="FI508" s="4"/>
      <x:c r="FJ508" s="4"/>
      <x:c r="FK508" s="4"/>
      <x:c r="FL508" s="4"/>
      <x:c r="FM508" s="4"/>
      <x:c r="FN508" s="4"/>
      <x:c r="FO508" s="4"/>
      <x:c r="HE508" t="str">
        <x:f>IF('Calculations'!EM508="","",IF(IFERROR(IF(INDEX(INDIRECT("'WCM Calibration Final'!$A$1:$A$2000"),'Calculations'!$EM508)="","",TRIM(INDEX(INDIRECT("'WCM Calibration Final'!$A$1:$A$2000"),'Calculations'!$EM508)&amp;"")),"")&lt;&gt;"","G:"&amp;IFERROR(TEXT(1*INDEX(INDIRECT("'WCM Calibration Final'!$A$1:$A$2000"),'Calculations'!$EM508),"0"),UPPER(IFERROR(IF(INDEX(INDIRECT("'WCM Calibration Final'!$A$1:$A$2000"),'Calculations'!$EM508)="","",TRIM(INDEX(INDIRECT("'WCM Calibration Final'!$A$1:$A$2000"),'Calculations'!$EM508)&amp;"")),""))),IF(IFERROR(IF(INDEX(INDIRECT("'WCM Calibration Final'!$C$1:$C$2000"),'Calculations'!$EM508)="","",TRIM(INDEX(INDIRECT("'WCM Calibration Final'!$C$1:$C$2000"),'Calculations'!$EM508)&amp;"")),"")&lt;&gt;"","S:"&amp;UPPER(IFERROR(IF(INDEX(INDIRECT("'WCM Calibration Final'!$C$1:$C$2000"),'Calculations'!$EM508)="","",TRIM(INDEX(INDIRECT("'WCM Calibration Final'!$C$1:$C$2000"),'Calculations'!$EM508)&amp;"")),"")),"R:"&amp;'Calculations'!EM508)))</x:f>
      </x:c>
      <x:c r="HF508" t="str">
        <x:f>IF('Calculations'!EM508="","",IF(IFERROR(IF(INDEX(INDIRECT("'WCM Calibration Final'!$D$1:$D$2000"),'Calculations'!$EM508)="","",TRIM(INDEX(INDIRECT("'WCM Calibration Final'!$D$1:$D$2000"),'Calculations'!$EM508)&amp;"")),"")&lt;&gt;"","G:"&amp;IFERROR(TEXT(1*INDEX(INDIRECT("'WCM Calibration Final'!$D$1:$D$2000"),'Calculations'!$EM508),"0"),UPPER(IFERROR(IF(INDEX(INDIRECT("'WCM Calibration Final'!$D$1:$D$2000"),'Calculations'!$EM508)="","",TRIM(INDEX(INDIRECT("'WCM Calibration Final'!$D$1:$D$2000"),'Calculations'!$EM508)&amp;"")),""))),IF(IFERROR(IF(INDEX(INDIRECT("'WCM Calibration Final'!$E$1:$E$2000"),'Calculations'!$EM508)="","",TRIM(INDEX(INDIRECT("'WCM Calibration Final'!$E$1:$E$2000"),'Calculations'!$EM508)&amp;"")),"")="","",IF(COUNTIF('Calculations'!$HG$13:$HG$512,"="&amp;SUBSTITUTE(SUBSTITUTE(SUBSTITUTE(IFERROR(IF(INDEX(INDIRECT("'WCM Calibration Final'!$E$1:$E$2000"),'Calculations'!$EM508)="","",TRIM(INDEX(INDIRECT("'WCM Calibration Final'!$E$1:$E$2000"),'Calculations'!$EM508)&amp;"")),""),"~","~~"),"*","~*"),"?","~?"))=1,INDEX('Calculations'!$HE$13:$HE$512,MATCH(IFERROR(IF(INDEX(INDIRECT("'WCM Calibration Final'!$E$1:$E$2000"),'Calculations'!$EM508)="","",TRIM(INDEX(INDIRECT("'WCM Calibration Final'!$E$1:$E$2000"),'Calculations'!$EM508)&amp;"")),""),'Calculations'!$HG$13:$HG$512,0)),IF(COUNTIF('Calculations'!$HG$13:$HG$512,"="&amp;SUBSTITUTE(SUBSTITUTE(SUBSTITUTE(IFERROR(IF(INDEX(INDIRECT("'WCM Calibration Final'!$E$1:$E$2000"),'Calculations'!$EM508)="","",TRIM(INDEX(INDIRECT("'WCM Calibration Final'!$E$1:$E$2000"),'Calculations'!$EM508)&amp;"")),""),"~","~~"),"*","~*"),"?","~?"))&gt;1,"!AMBIG","X:"&amp;IFERROR(IF(INDEX(INDIRECT("'WCM Calibration Final'!$E$1:$E$2000"),'Calculations'!$EM508)="","",TRIM(INDEX(INDIRECT("'WCM Calibration Final'!$E$1:$E$2000"),'Calculations'!$EM508)&amp;"")),""))))))</x:f>
      </x:c>
      <x:c r="HG508" t="str">
        <x:f>IF('Calculations'!EM508="","",IFERROR(IF(INDEX(INDIRECT("'WCM Calibration Final'!$B$1:$B$2000"),'Calculations'!$EM508)="","",TRIM(INDEX(INDIRECT("'WCM Calibration Final'!$B$1:$B$2000"),'Calculations'!$EM508)&amp;"")),""))</x:f>
      </x:c>
      <x:c r="HH508" t="n">
        <x:f>IF(AND('Calculations'!JC508&gt;0,COUNTIF('Calculations'!$HF$12:HF508,"="&amp;SUBSTITUTE(SUBSTITUTE(SUBSTITUTE('Calculations'!HF508,"~","~~"),"*","~*"),"?","~?"))=1),MAX('Calculations'!$HH$12:HH507)+1,0)</x:f>
        <x:v>0</x:v>
      </x:c>
      <x:c r="HI508" t="n">
        <x:f>IF(AND('Calculations'!HN508&lt;&gt;"",COUNTIF('Calculations'!$HN$12:HN508,"="&amp;SUBSTITUTE(SUBSTITUTE(SUBSTITUTE('Calculations'!HN508,"~","~~"),"*","~*"),"?","~?"))=1),MAX('Calculations'!$HI$12:HI507)+1,0)</x:f>
        <x:v>0</x:v>
      </x:c>
      <x:c r="HJ508" t="str">
        <x:f>IF('Calculations'!HF508="","",IF(COUNTIF('Calculations'!$HE$13:$HE$512,"="&amp;SUBSTITUTE(SUBSTITUTE(SUBSTITUTE('Calculations'!HF508,"~","~~"),"*","~*"),"?","~?"))=1,INDEX('Calculations'!$HK$13:$HK$512,MATCH('Calculations'!HF508,'Calculations'!$HE$13:$HE$512,0)),IFERROR(IF(INDEX(INDIRECT("'WCM Calibration Final'!$E$1:$E$2000"),'Calculations'!$EM508)="","",TRIM(INDEX(INDIRECT("'WCM Calibration Final'!$E$1:$E$2000"),'Calculations'!$EM508)&amp;"")),"")&amp;" ["&amp;'Calculations'!HF508&amp;"]"))</x:f>
      </x:c>
      <x:c r="HK508" t="str">
        <x:f>IF('Calculations'!EM508="","",'Calculations'!HG508&amp;" ["&amp;'Calculations'!HE508&amp;"]")</x:f>
      </x:c>
      <x:c r="HL508" t="n">
        <x:f>IF('Calculations'!EM508="",0,IF(OR('Calculations'!II508&lt;&gt;"",COUNTIF('Calculations'!$HE$13:$HE$512,"="&amp;SUBSTITUTE(SUBSTITUTE(SUBSTITUTE('Calculations'!HE508,"~","~~"),"*","~*"),"?","~?"))&gt;1),1,0))</x:f>
        <x:v>0</x:v>
      </x:c>
      <x:c r="HM508" t="str">
        <x:f>IF('Calculations'!EM508="","",IF('Calculations'!HL508=1,"!UNRESOLVED",IF('Calculations'!IH508&lt;&gt;"",'Calculations'!IH508,IF('Calculations'!IG508&lt;&gt;"",'Calculations'!IG508,IF('Calculations'!IF508&lt;&gt;"",'Calculations'!IF508,IF('Calculations'!IE508&lt;&gt;"",'Calculations'!IE508,IF('Calculations'!ID508&lt;&gt;"",'Calculations'!ID508,IF('Calculations'!IC508&lt;&gt;"",'Calculations'!IC508,IF('Calculations'!IB508&lt;&gt;"",'Calculations'!IB508,IF('Calculations'!IA508&lt;&gt;"",'Calculations'!IA508,IF('Calculations'!HZ508&lt;&gt;"",'Calculations'!HZ508,IF('Calculations'!HY508&lt;&gt;"",'Calculations'!HY508,IF('Calculations'!HX508&lt;&gt;"",'Calculations'!HX508,IF('Calculations'!HW508&lt;&gt;"",'Calculations'!HW508,IF('Calculations'!HV508&lt;&gt;"",'Calculations'!HV508,IF('Calculations'!HU508&lt;&gt;"",'Calculations'!HU508,IF('Calculations'!HT508&lt;&gt;"",'Calculations'!HT508,IF('Calculations'!HS508&lt;&gt;"",'Calculations'!HS508,IF('Calculations'!HR508&lt;&gt;"",'Calculations'!HR508,IF('Calculations'!HQ508&lt;&gt;"",'Calculations'!HQ508,IF('Calculations'!HP508&lt;&gt;"",'Calculations'!HP508,IF('Calculations'!HO508&lt;&gt;"",'Calculations'!HO508,'Calculations'!HE508))))))))))))))))))))))</x:f>
      </x:c>
      <x:c r="HN508" t="str">
        <x:f>IF('Calculations'!EM508="","",IF(IFERROR(IF(INDEX(INDIRECT("'WCM Calibration Final'!$F$1:$F$2000"),'Calculations'!$EM508)="","",TRIM(INDEX(INDIRECT("'WCM Calibration Final'!$F$1:$F$2000"),'Calculations'!$EM508)&amp;"")),"")="","(Blank)",IFERROR(IF(INDEX(INDIRECT("'WCM Calibration Final'!$F$1:$F$2000"),'Calculations'!$EM508)="","",TRIM(INDEX(INDIRECT("'WCM Calibration Final'!$F$1:$F$2000"),'Calculations'!$EM508)&amp;"")),"")))</x:f>
      </x:c>
      <x:c r="HO508" t="str">
        <x:f>'Calculations'!HF508</x:f>
      </x:c>
      <x:c r="HP508" t="str">
        <x:f>IF('Calculations'!HO508="","",IF('Calculations'!HO508="!AMBIG","!AMBIG",IF(COUNTIF('Calculations'!$HE$13:$HE$512,"="&amp;SUBSTITUTE(SUBSTITUTE(SUBSTITUTE('Calculations'!HO508,"~","~~"),"*","~*"),"?","~?"))&gt;1,"!AMBIG",IFERROR(INDEX('Calculations'!$HF$13:$HF$512,MATCH('Calculations'!HO508,'Calculations'!$HE$13:$HE$512,0)),""))))</x:f>
      </x:c>
      <x:c r="HQ508" t="str">
        <x:f>IF('Calculations'!HP508="","",IF('Calculations'!HP508="!AMBIG","!AMBIG",IF(COUNTIF('Calculations'!$HE$13:$HE$512,"="&amp;SUBSTITUTE(SUBSTITUTE(SUBSTITUTE('Calculations'!HP508,"~","~~"),"*","~*"),"?","~?"))&gt;1,"!AMBIG",IFERROR(INDEX('Calculations'!$HF$13:$HF$512,MATCH('Calculations'!HP508,'Calculations'!$HE$13:$HE$512,0)),""))))</x:f>
      </x:c>
      <x:c r="HR508" t="str">
        <x:f>IF('Calculations'!HQ508="","",IF('Calculations'!HQ508="!AMBIG","!AMBIG",IF(COUNTIF('Calculations'!$HE$13:$HE$512,"="&amp;SUBSTITUTE(SUBSTITUTE(SUBSTITUTE('Calculations'!HQ508,"~","~~"),"*","~*"),"?","~?"))&gt;1,"!AMBIG",IFERROR(INDEX('Calculations'!$HF$13:$HF$512,MATCH('Calculations'!HQ508,'Calculations'!$HE$13:$HE$512,0)),""))))</x:f>
      </x:c>
      <x:c r="HS508" t="str">
        <x:f>IF('Calculations'!HR508="","",IF('Calculations'!HR508="!AMBIG","!AMBIG",IF(COUNTIF('Calculations'!$HE$13:$HE$512,"="&amp;SUBSTITUTE(SUBSTITUTE(SUBSTITUTE('Calculations'!HR508,"~","~~"),"*","~*"),"?","~?"))&gt;1,"!AMBIG",IFERROR(INDEX('Calculations'!$HF$13:$HF$512,MATCH('Calculations'!HR508,'Calculations'!$HE$13:$HE$512,0)),""))))</x:f>
      </x:c>
      <x:c r="HT508" t="str">
        <x:f>IF('Calculations'!HS508="","",IF('Calculations'!HS508="!AMBIG","!AMBIG",IF(COUNTIF('Calculations'!$HE$13:$HE$512,"="&amp;SUBSTITUTE(SUBSTITUTE(SUBSTITUTE('Calculations'!HS508,"~","~~"),"*","~*"),"?","~?"))&gt;1,"!AMBIG",IFERROR(INDEX('Calculations'!$HF$13:$HF$512,MATCH('Calculations'!HS508,'Calculations'!$HE$13:$HE$512,0)),""))))</x:f>
      </x:c>
      <x:c r="HU508" t="str">
        <x:f>IF('Calculations'!HT508="","",IF('Calculations'!HT508="!AMBIG","!AMBIG",IF(COUNTIF('Calculations'!$HE$13:$HE$512,"="&amp;SUBSTITUTE(SUBSTITUTE(SUBSTITUTE('Calculations'!HT508,"~","~~"),"*","~*"),"?","~?"))&gt;1,"!AMBIG",IFERROR(INDEX('Calculations'!$HF$13:$HF$512,MATCH('Calculations'!HT508,'Calculations'!$HE$13:$HE$512,0)),""))))</x:f>
      </x:c>
      <x:c r="HV508" t="str">
        <x:f>IF('Calculations'!HU508="","",IF('Calculations'!HU508="!AMBIG","!AMBIG",IF(COUNTIF('Calculations'!$HE$13:$HE$512,"="&amp;SUBSTITUTE(SUBSTITUTE(SUBSTITUTE('Calculations'!HU508,"~","~~"),"*","~*"),"?","~?"))&gt;1,"!AMBIG",IFERROR(INDEX('Calculations'!$HF$13:$HF$512,MATCH('Calculations'!HU508,'Calculations'!$HE$13:$HE$512,0)),""))))</x:f>
      </x:c>
      <x:c r="HW508" t="str">
        <x:f>IF('Calculations'!HV508="","",IF('Calculations'!HV508="!AMBIG","!AMBIG",IF(COUNTIF('Calculations'!$HE$13:$HE$512,"="&amp;SUBSTITUTE(SUBSTITUTE(SUBSTITUTE('Calculations'!HV508,"~","~~"),"*","~*"),"?","~?"))&gt;1,"!AMBIG",IFERROR(INDEX('Calculations'!$HF$13:$HF$512,MATCH('Calculations'!HV508,'Calculations'!$HE$13:$HE$512,0)),""))))</x:f>
      </x:c>
      <x:c r="HX508" t="str">
        <x:f>IF('Calculations'!HW508="","",IF('Calculations'!HW508="!AMBIG","!AMBIG",IF(COUNTIF('Calculations'!$HE$13:$HE$512,"="&amp;SUBSTITUTE(SUBSTITUTE(SUBSTITUTE('Calculations'!HW508,"~","~~"),"*","~*"),"?","~?"))&gt;1,"!AMBIG",IFERROR(INDEX('Calculations'!$HF$13:$HF$512,MATCH('Calculations'!HW508,'Calculations'!$HE$13:$HE$512,0)),""))))</x:f>
      </x:c>
      <x:c r="HY508" t="str">
        <x:f>IF('Calculations'!HX508="","",IF('Calculations'!HX508="!AMBIG","!AMBIG",IF(COUNTIF('Calculations'!$HE$13:$HE$512,"="&amp;SUBSTITUTE(SUBSTITUTE(SUBSTITUTE('Calculations'!HX508,"~","~~"),"*","~*"),"?","~?"))&gt;1,"!AMBIG",IFERROR(INDEX('Calculations'!$HF$13:$HF$512,MATCH('Calculations'!HX508,'Calculations'!$HE$13:$HE$512,0)),""))))</x:f>
      </x:c>
      <x:c r="HZ508" t="str">
        <x:f>IF('Calculations'!HY508="","",IF('Calculations'!HY508="!AMBIG","!AMBIG",IF(COUNTIF('Calculations'!$HE$13:$HE$512,"="&amp;SUBSTITUTE(SUBSTITUTE(SUBSTITUTE('Calculations'!HY508,"~","~~"),"*","~*"),"?","~?"))&gt;1,"!AMBIG",IFERROR(INDEX('Calculations'!$HF$13:$HF$512,MATCH('Calculations'!HY508,'Calculations'!$HE$13:$HE$512,0)),""))))</x:f>
      </x:c>
      <x:c r="IA508" t="str">
        <x:f>IF('Calculations'!HZ508="","",IF('Calculations'!HZ508="!AMBIG","!AMBIG",IF(COUNTIF('Calculations'!$HE$13:$HE$512,"="&amp;SUBSTITUTE(SUBSTITUTE(SUBSTITUTE('Calculations'!HZ508,"~","~~"),"*","~*"),"?","~?"))&gt;1,"!AMBIG",IFERROR(INDEX('Calculations'!$HF$13:$HF$512,MATCH('Calculations'!HZ508,'Calculations'!$HE$13:$HE$512,0)),""))))</x:f>
      </x:c>
      <x:c r="IB508" t="str">
        <x:f>IF('Calculations'!IA508="","",IF('Calculations'!IA508="!AMBIG","!AMBIG",IF(COUNTIF('Calculations'!$HE$13:$HE$512,"="&amp;SUBSTITUTE(SUBSTITUTE(SUBSTITUTE('Calculations'!IA508,"~","~~"),"*","~*"),"?","~?"))&gt;1,"!AMBIG",IFERROR(INDEX('Calculations'!$HF$13:$HF$512,MATCH('Calculations'!IA508,'Calculations'!$HE$13:$HE$512,0)),""))))</x:f>
      </x:c>
      <x:c r="IC508" t="str">
        <x:f>IF('Calculations'!IB508="","",IF('Calculations'!IB508="!AMBIG","!AMBIG",IF(COUNTIF('Calculations'!$HE$13:$HE$512,"="&amp;SUBSTITUTE(SUBSTITUTE(SUBSTITUTE('Calculations'!IB508,"~","~~"),"*","~*"),"?","~?"))&gt;1,"!AMBIG",IFERROR(INDEX('Calculations'!$HF$13:$HF$512,MATCH('Calculations'!IB508,'Calculations'!$HE$13:$HE$512,0)),""))))</x:f>
      </x:c>
      <x:c r="ID508" t="str">
        <x:f>IF('Calculations'!IC508="","",IF('Calculations'!IC508="!AMBIG","!AMBIG",IF(COUNTIF('Calculations'!$HE$13:$HE$512,"="&amp;SUBSTITUTE(SUBSTITUTE(SUBSTITUTE('Calculations'!IC508,"~","~~"),"*","~*"),"?","~?"))&gt;1,"!AMBIG",IFERROR(INDEX('Calculations'!$HF$13:$HF$512,MATCH('Calculations'!IC508,'Calculations'!$HE$13:$HE$512,0)),""))))</x:f>
      </x:c>
      <x:c r="IE508" t="str">
        <x:f>IF('Calculations'!ID508="","",IF('Calculations'!ID508="!AMBIG","!AMBIG",IF(COUNTIF('Calculations'!$HE$13:$HE$512,"="&amp;SUBSTITUTE(SUBSTITUTE(SUBSTITUTE('Calculations'!ID508,"~","~~"),"*","~*"),"?","~?"))&gt;1,"!AMBIG",IFERROR(INDEX('Calculations'!$HF$13:$HF$512,MATCH('Calculations'!ID508,'Calculations'!$HE$13:$HE$512,0)),""))))</x:f>
      </x:c>
      <x:c r="IF508" t="str">
        <x:f>IF('Calculations'!IE508="","",IF('Calculations'!IE508="!AMBIG","!AMBIG",IF(COUNTIF('Calculations'!$HE$13:$HE$512,"="&amp;SUBSTITUTE(SUBSTITUTE(SUBSTITUTE('Calculations'!IE508,"~","~~"),"*","~*"),"?","~?"))&gt;1,"!AMBIG",IFERROR(INDEX('Calculations'!$HF$13:$HF$512,MATCH('Calculations'!IE508,'Calculations'!$HE$13:$HE$512,0)),""))))</x:f>
      </x:c>
      <x:c r="IG508" t="str">
        <x:f>IF('Calculations'!IF508="","",IF('Calculations'!IF508="!AMBIG","!AMBIG",IF(COUNTIF('Calculations'!$HE$13:$HE$512,"="&amp;SUBSTITUTE(SUBSTITUTE(SUBSTITUTE('Calculations'!IF508,"~","~~"),"*","~*"),"?","~?"))&gt;1,"!AMBIG",IFERROR(INDEX('Calculations'!$HF$13:$HF$512,MATCH('Calculations'!IF508,'Calculations'!$HE$13:$HE$512,0)),""))))</x:f>
      </x:c>
      <x:c r="IH508" t="str">
        <x:f>IF('Calculations'!IG508="","",IF('Calculations'!IG508="!AMBIG","!AMBIG",IF(COUNTIF('Calculations'!$HE$13:$HE$512,"="&amp;SUBSTITUTE(SUBSTITUTE(SUBSTITUTE('Calculations'!IG508,"~","~~"),"*","~*"),"?","~?"))&gt;1,"!AMBIG",IFERROR(INDEX('Calculations'!$HF$13:$HF$512,MATCH('Calculations'!IG508,'Calculations'!$HE$13:$HE$512,0)),""))))</x:f>
      </x:c>
      <x:c r="II508" t="str">
        <x:f>IF('Calculations'!IH508="","",IF('Calculations'!IH508="!AMBIG","!AMBIG",IF(COUNTIF('Calculations'!$HE$13:$HE$512,"="&amp;SUBSTITUTE(SUBSTITUTE(SUBSTITUTE('Calculations'!IH508,"~","~~"),"*","~*"),"?","~?"))&gt;1,"!AMBIG",IFERROR(INDEX('Calculations'!$HF$13:$HF$512,MATCH('Calculations'!IH508,'Calculations'!$HE$13:$HE$512,0)),""))))</x:f>
      </x:c>
      <x:c r="IJ508" t="str">
        <x:f>IF('Calculations'!EM508="","",IF('Calculations'!$EF$2="All",'Calculations'!HM508,IF('Calculations'!HL508=1,"",IFERROR(IF(MATCH('Calculations'!$EF$2,'Calculations'!HO508:II508,0)=1,'Calculations'!HE508,INDEX('Calculations'!HO508:II508,1,MATCH('Calculations'!$EF$2,'Calculations'!HO508:II508,0)-1)),""))))</x:f>
      </x:c>
      <x:c r="IK508" t="n">
        <x:f>IF(AND('Calculations'!EM508&lt;&gt;"",'Calculations'!$EF$2&lt;&gt;"All",'Calculations'!HF508='Calculations'!$EF$2,'Calculations'!HL508=0,'Calculations'!JD508&gt;0),MAX('Calculations'!$IK$12:IK507)+1,0)</x:f>
        <x:v>0</x:v>
      </x:c>
      <x:c r="JA508" t="n">
        <x:f>IF(OR(IFERROR(INDIRECT("'WCM Calibration Final'!$A$508")&lt;&gt;"",FALSE),IFERROR(INDIRECT("'WCM Calibration Final'!$B$508")&lt;&gt;"",FALSE),IFERROR(INDIRECT("'WCM Calibration Final'!$C$508")&lt;&gt;"",FALSE)),508,0)</x:f>
        <x:v>0</x:v>
      </x:c>
      <x:c r="JB508" t="n">
        <x:f>'Calculations'!JB507+IF('Calculations'!JA508&gt;0,1,0)</x:f>
        <x:v>0</x:v>
      </x:c>
      <x:c r="JC508" t="n">
        <x:f>IF(OR('Calculations'!HF508="",'Calculations'!HF508="!AMBIG"),0,IF('Dashboard'!$B$7="All",1,COUNTIFS('Calculations'!$HO$13:$HO$512,"="&amp;SUBSTITUTE(SUBSTITUTE(SUBSTITUTE('Calculations'!HF508,"~","~~"),"*","~*"),"?","~?"),'Calculations'!$HN$13:$HN$512,"="&amp;SUBSTITUTE(SUBSTITUTE(SUBSTITUTE('Dashboard'!$B$7,"~","~~"),"*","~*"),"?","~?"))+COUNTIFS('Calculations'!$HP$13:$HP$512,"="&amp;SUBSTITUTE(SUBSTITUTE(SUBSTITUTE('Calculations'!HF508,"~","~~"),"*","~*"),"?","~?"),'Calculations'!$HN$13:$HN$512,"="&amp;SUBSTITUTE(SUBSTITUTE(SUBSTITUTE('Dashboard'!$B$7,"~","~~"),"*","~*"),"?","~?"))+COUNTIFS('Calculations'!$HQ$13:$HQ$512,"="&amp;SUBSTITUTE(SUBSTITUTE(SUBSTITUTE('Calculations'!HF508,"~","~~"),"*","~*"),"?","~?"),'Calculations'!$HN$13:$HN$512,"="&amp;SUBSTITUTE(SUBSTITUTE(SUBSTITUTE('Dashboard'!$B$7,"~","~~"),"*","~*"),"?","~?"))+COUNTIFS('Calculations'!$HR$13:$HR$512,"="&amp;SUBSTITUTE(SUBSTITUTE(SUBSTITUTE('Calculations'!HF508,"~","~~"),"*","~*"),"?","~?"),'Calculations'!$HN$13:$HN$512,"="&amp;SUBSTITUTE(SUBSTITUTE(SUBSTITUTE('Dashboard'!$B$7,"~","~~"),"*","~*"),"?","~?"))+COUNTIFS('Calculations'!$HS$13:$HS$512,"="&amp;SUBSTITUTE(SUBSTITUTE(SUBSTITUTE('Calculations'!HF508,"~","~~"),"*","~*"),"?","~?"),'Calculations'!$HN$13:$HN$512,"="&amp;SUBSTITUTE(SUBSTITUTE(SUBSTITUTE('Dashboard'!$B$7,"~","~~"),"*","~*"),"?","~?"))+COUNTIFS('Calculations'!$HT$13:$HT$512,"="&amp;SUBSTITUTE(SUBSTITUTE(SUBSTITUTE('Calculations'!HF508,"~","~~"),"*","~*"),"?","~?"),'Calculations'!$HN$13:$HN$512,"="&amp;SUBSTITUTE(SUBSTITUTE(SUBSTITUTE('Dashboard'!$B$7,"~","~~"),"*","~*"),"?","~?"))+COUNTIFS('Calculations'!$HU$13:$HU$512,"="&amp;SUBSTITUTE(SUBSTITUTE(SUBSTITUTE('Calculations'!HF508,"~","~~"),"*","~*"),"?","~?"),'Calculations'!$HN$13:$HN$512,"="&amp;SUBSTITUTE(SUBSTITUTE(SUBSTITUTE('Dashboard'!$B$7,"~","~~"),"*","~*"),"?","~?"))+COUNTIFS('Calculations'!$HV$13:$HV$512,"="&amp;SUBSTITUTE(SUBSTITUTE(SUBSTITUTE('Calculations'!HF508,"~","~~"),"*","~*"),"?","~?"),'Calculations'!$HN$13:$HN$512,"="&amp;SUBSTITUTE(SUBSTITUTE(SUBSTITUTE('Dashboard'!$B$7,"~","~~"),"*","~*"),"?","~?"))+COUNTIFS('Calculations'!$HW$13:$HW$512,"="&amp;SUBSTITUTE(SUBSTITUTE(SUBSTITUTE('Calculations'!HF508,"~","~~"),"*","~*"),"?","~?"),'Calculations'!$HN$13:$HN$512,"="&amp;SUBSTITUTE(SUBSTITUTE(SUBSTITUTE('Dashboard'!$B$7,"~","~~"),"*","~*"),"?","~?"))+COUNTIFS('Calculations'!$HX$13:$HX$512,"="&amp;SUBSTITUTE(SUBSTITUTE(SUBSTITUTE('Calculations'!HF508,"~","~~"),"*","~*"),"?","~?"),'Calculations'!$HN$13:$HN$512,"="&amp;SUBSTITUTE(SUBSTITUTE(SUBSTITUTE('Dashboard'!$B$7,"~","~~"),"*","~*"),"?","~?"))+COUNTIFS('Calculations'!$HY$13:$HY$512,"="&amp;SUBSTITUTE(SUBSTITUTE(SUBSTITUTE('Calculations'!HF508,"~","~~"),"*","~*"),"?","~?"),'Calculations'!$HN$13:$HN$512,"="&amp;SUBSTITUTE(SUBSTITUTE(SUBSTITUTE('Dashboard'!$B$7,"~","~~"),"*","~*"),"?","~?"))+COUNTIFS('Calculations'!$HZ$13:$HZ$512,"="&amp;SUBSTITUTE(SUBSTITUTE(SUBSTITUTE('Calculations'!HF508,"~","~~"),"*","~*"),"?","~?"),'Calculations'!$HN$13:$HN$512,"="&amp;SUBSTITUTE(SUBSTITUTE(SUBSTITUTE('Dashboard'!$B$7,"~","~~"),"*","~*"),"?","~?"))+COUNTIFS('Calculations'!$IA$13:$IA$512,"="&amp;SUBSTITUTE(SUBSTITUTE(SUBSTITUTE('Calculations'!HF508,"~","~~"),"*","~*"),"?","~?"),'Calculations'!$HN$13:$HN$512,"="&amp;SUBSTITUTE(SUBSTITUTE(SUBSTITUTE('Dashboard'!$B$7,"~","~~"),"*","~*"),"?","~?"))+COUNTIFS('Calculations'!$IB$13:$IB$512,"="&amp;SUBSTITUTE(SUBSTITUTE(SUBSTITUTE('Calculations'!HF508,"~","~~"),"*","~*"),"?","~?"),'Calculations'!$HN$13:$HN$512,"="&amp;SUBSTITUTE(SUBSTITUTE(SUBSTITUTE('Dashboard'!$B$7,"~","~~"),"*","~*"),"?","~?"))+COUNTIFS('Calculations'!$IC$13:$IC$512,"="&amp;SUBSTITUTE(SUBSTITUTE(SUBSTITUTE('Calculations'!HF508,"~","~~"),"*","~*"),"?","~?"),'Calculations'!$HN$13:$HN$512,"="&amp;SUBSTITUTE(SUBSTITUTE(SUBSTITUTE('Dashboard'!$B$7,"~","~~"),"*","~*"),"?","~?"))+COUNTIFS('Calculations'!$ID$13:$ID$512,"="&amp;SUBSTITUTE(SUBSTITUTE(SUBSTITUTE('Calculations'!HF508,"~","~~"),"*","~*"),"?","~?"),'Calculations'!$HN$13:$HN$512,"="&amp;SUBSTITUTE(SUBSTITUTE(SUBSTITUTE('Dashboard'!$B$7,"~","~~"),"*","~*"),"?","~?"))+COUNTIFS('Calculations'!$IE$13:$IE$512,"="&amp;SUBSTITUTE(SUBSTITUTE(SUBSTITUTE('Calculations'!HF508,"~","~~"),"*","~*"),"?","~?"),'Calculations'!$HN$13:$HN$512,"="&amp;SUBSTITUTE(SUBSTITUTE(SUBSTITUTE('Dashboard'!$B$7,"~","~~"),"*","~*"),"?","~?"))+COUNTIFS('Calculations'!$IF$13:$IF$512,"="&amp;SUBSTITUTE(SUBSTITUTE(SUBSTITUTE('Calculations'!HF508,"~","~~"),"*","~*"),"?","~?"),'Calculations'!$HN$13:$HN$512,"="&amp;SUBSTITUTE(SUBSTITUTE(SUBSTITUTE('Dashboard'!$B$7,"~","~~"),"*","~*"),"?","~?"))+COUNTIFS('Calculations'!$IG$13:$IG$512,"="&amp;SUBSTITUTE(SUBSTITUTE(SUBSTITUTE('Calculations'!HF508,"~","~~"),"*","~*"),"?","~?"),'Calculations'!$HN$13:$HN$512,"="&amp;SUBSTITUTE(SUBSTITUTE(SUBSTITUTE('Dashboard'!$B$7,"~","~~"),"*","~*"),"?","~?"))+COUNTIFS('Calculations'!$IH$13:$IH$512,"="&amp;SUBSTITUTE(SUBSTITUTE(SUBSTITUTE('Calculations'!HF508,"~","~~"),"*","~*"),"?","~?"),'Calculations'!$HN$13:$HN$512,"="&amp;SUBSTITUTE(SUBSTITUTE(SUBSTITUTE('Dashboard'!$B$7,"~","~~"),"*","~*"),"?","~?"))))</x:f>
        <x:v>0</x:v>
      </x:c>
      <x:c r="JD508" t="n">
        <x:f>IF('Calculations'!EM508="",0,IF('Dashboard'!$B$7="All",1,IF('Calculations'!HN508='Dashboard'!$B$7,1,0)+IFERROR(INDEX('Calculations'!$JC$13:$JC$512,MATCH('Calculations'!HE508,'Calculations'!$HF$13:$HF$512,0)),0)))</x:f>
        <x:v>0</x:v>
      </x:c>
      <x:c r="JE508" t="n">
        <x:f>IF(AND('Calculations'!EM508&lt;&gt;"",'Calculations'!$JJ$2&lt;&gt;"All",'Calculations'!$JJ$2&lt;&gt;"",'Calculations'!HF508='Calculations'!$JJ$2,'Calculations'!HL508=0,'Calculations'!JD508&gt;0),MAX('Calculations'!$JE$12:JE507)+1,0)</x:f>
        <x:v>0</x:v>
      </x:c>
      <x:c r="JF508" t="str">
        <x:f>IF('Calculations'!EM508="","",IFERROR(IF(INDEX(INDIRECT("'WCM Calibration Final'!$G$1:$G$2000"),'Calculations'!$EM508)="","",TRIM(INDEX(INDIRECT("'WCM Calibration Final'!$G$1:$G$2000"),'Calculations'!$EM508)&amp;"")),""))</x:f>
      </x:c>
      <x:c r="JQ508" t="n">
        <x:f>IF(OR('Calculations'!BM508=0,NOT('Calculations'!$AG$2),'Calculations'!$AG$8&gt;0),0,IF(OR('Dashboard'!$B$7="All",'Calculations'!HN508='Dashboard'!$B$7),IF('Calculations'!$JJ$2="All",1,IF(AND('Calculations'!HF508='Calculations'!$JJ$2,'Calculations'!HL508=0),1,0)),0))</x:f>
        <x:v>0</x:v>
      </x:c>
    </x:row>
    <x:row r="509">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t="n">
        <x:f>IF('Calculations'!$EM509="",0,IF(OR(IFERROR(INDEX(INDIRECT("'WCM Calibration Final'!$A$1:$A$2000"),'Calculations'!$EM509)&lt;&gt;"",FALSE),IFERROR(INDEX(INDIRECT("'WCM Calibration Final'!$B$1:$B$2000"),'Calculations'!$EM509)&lt;&gt;"",FALSE),IFERROR(INDEX(INDIRECT("'WCM Calibration Final'!$C$1:$C$2000"),'Calculations'!$EM509)&lt;&gt;"",FALSE)),1,0))</x:f>
        <x:v>0</x:v>
      </x:c>
      <x:c r="BN509" s="4" t="n">
        <x:f>IF(AND('Calculations'!BM509=1,'Calculations'!$AG$2,'Calculations'!$EN509=1),1,0)</x:f>
        <x:v>0</x:v>
      </x:c>
      <x:c r="BO509" s="4" t="str">
        <x:f>IF('Calculations'!BM509=0,"",IFERROR(IF(AND(VALUE(INDEX(INDIRECT("'WCM Calibration Final'!$K$1:$K$2000"),'Calculations'!$EM509))&gt;=1,VALUE(INDEX(INDIRECT("'WCM Calibration Final'!$K$1:$K$2000"),'Calculations'!$EM509))&lt;=4,MOD(VALUE(INDEX(INDIRECT("'WCM Calibration Final'!$K$1:$K$2000"),'Calculations'!$EM509)),1)=0),VALUE(INDEX(INDIRECT("'WCM Calibration Final'!$K$1:$K$2000"),'Calculations'!$EM509)),""),""))</x:f>
      </x:c>
      <x:c r="BP509" s="4" t="str">
        <x:f>IF('Calculations'!BM509=0,"",IFERROR(IF(AND(VALUE(INDEX(INDIRECT("'WCM Calibration Final'!$L$1:$L$2000"),'Calculations'!$EM509))&gt;=1,VALUE(INDEX(INDIRECT("'WCM Calibration Final'!$L$1:$L$2000"),'Calculations'!$EM509))&lt;=4,MOD(VALUE(INDEX(INDIRECT("'WCM Calibration Final'!$L$1:$L$2000"),'Calculations'!$EM509)),1)=0),VALUE(INDEX(INDIRECT("'WCM Calibration Final'!$L$1:$L$2000"),'Calculations'!$EM509)),""),""))</x:f>
      </x:c>
      <x:c r="BQ509" s="4"/>
      <x:c r="BR509" s="4"/>
      <x:c r="BS509" s="4"/>
      <x:c r="BT509" s="4" t="n">
        <x:f>IF(AND('Calculations'!BM509=1,ISNUMBER('Calculations'!BO509),ISNUMBER('Calculations'!BP509)),1,0)</x:f>
        <x:v>0</x:v>
      </x:c>
      <x:c r="BU509" s="4" t="str">
        <x:f>IF('Calculations'!BM509=0,"",'Calculations'!$EO509)</x:f>
      </x:c>
      <x:c r="BV509" s="4" t="str">
        <x:f>IF('Calculations'!BM509=0,"",IFERROR(IF(OR(INDEX(INDIRECT("'WCM Calibration Final'!$H$1:$H$2000"),'Calculations'!$EM509)="MANAGING DIRECTOR",INDEX(INDIRECT("'WCM Calibration Final'!$H$1:$H$2000"),'Calculations'!$EM509)="DIRECTOR",INDEX(INDIRECT("'WCM Calibration Final'!$H$1:$H$2000"),'Calculations'!$EM509)="SENIOR VICE PRESIDENT",INDEX(INDIRECT("'WCM Calibration Final'!$H$1:$H$2000"),'Calculations'!$EM509)="VICE PRESIDENT",INDEX(INDIRECT("'WCM Calibration Final'!$H$1:$H$2000"),'Calculations'!$EM509)="ASSISTANT VICE PRESIDENT",INDEX(INDIRECT("'WCM Calibration Final'!$H$1:$H$2000"),'Calculations'!$EM509)="OFFICER"),UPPER(INDEX(INDIRECT("'WCM Calibration Final'!$H$1:$H$2000"),'Calculations'!$EM509)),"Other"),"Other"))</x:f>
      </x:c>
      <x:c r="BW509" s="4"/>
      <x:c r="BX509" s="4"/>
      <x:c r="BY509" s="4" t="n">
        <x:f>IF(AND('Calculations'!BM509=1,'Calculations'!BU509&lt;&gt;"",COUNTIF('Calculations'!$BU$12:BU509,'Calculations'!BU509)=1),MAX('Calculations'!$BY$11:BY508)+1,0)</x:f>
        <x:v>0</x:v>
      </x:c>
      <x:c r="BZ509" s="4" t="str">
        <x:f>IF('Dashboard'!$E$67="What",'Calculations'!BO509,'Calculations'!BP509)</x:f>
      </x:c>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t="str">
        <x:f>IF(498&gt;MAX('Calculations'!$HI$13:$HI$512),"",INDEX('Calculations'!$HN$13:$HN$512,MATCH(498,'Calculations'!$HI$13:$HI$512,0)))</x:f>
      </x:c>
      <x:c r="DB509" s="4" t="str">
        <x:f>IF(498&gt;MAX('Calculations'!$HH$13:$HH$512),"",INDEX('Calculations'!$HJ$13:$HJ$512,MATCH(498,'Calculations'!$HH$13:$HH$512,0)))</x:f>
      </x:c>
      <x:c r="DC509" s="4" t="str">
        <x:f>IF(ROW()-11&gt;MAX('Calculations'!$BY$13:$BY$512),"",INDEX('Calculations'!$BU$13:$BU$512,MATCH(ROW()-11,'Calculations'!$BY$13:$BY$512,0)))</x:f>
      </x:c>
      <x:c r="DD509" s="4" t="str">
        <x:f>IF(498&gt;MAX('Calculations'!$IK$13:$IK$512),"",INDEX('Calculations'!$HK$13:$HK$512,MATCH(498,'Calculations'!$IK$13:$IK$512,0)))</x:f>
      </x:c>
      <x:c r="DE509" s="4" t="str">
        <x:f>'Calculations'!DC509</x:f>
      </x:c>
      <x:c r="DF509" s="4" t="str">
        <x:f>IF('Calculations'!DE509="","",COUNTIFS('Calculations'!$BN$13:$BN$512,1,'Calculations'!$BU$13:$BU$512,'Calculations'!DE509))</x:f>
      </x:c>
      <x:c r="DG509" s="4" t="str">
        <x:f>IF('Calculations'!DE509="","",COUNTIFS('Calculations'!$BN$13:$BN$512,1,'Calculations'!$BU$13:$BU$512,'Calculations'!DE509,'Calculations'!$BT$13:$BT$512,1))</x:f>
      </x:c>
      <x:c r="DH509" s="4" t="str">
        <x:f>IF('Calculations'!DE509="","",'Calculations'!DF509-'Calculations'!DG509)</x:f>
      </x:c>
      <x:c r="DI509" s="4" t="str">
        <x:f>IF(OR('Calculations'!DE509="",'Calculations'!DF509=0),"",'Calculations'!DG509/'Calculations'!DF509)</x:f>
      </x:c>
      <x:c r="DJ509" s="4" t="str">
        <x:f>IF('Calculations'!DE509="","",COUNTIFS('Calculations'!$BN$13:$BN$512,1,'Calculations'!$BU$13:$BU$512,'Calculations'!DE509,'Calculations'!$BT$13:$BT$512,1,'Calculations'!$EE$13:$EE$512,"High"))</x:f>
      </x:c>
      <x:c r="DK509" s="4" t="str">
        <x:f>IF('Calculations'!DE509="","",COUNTIFS('Calculations'!$BN$13:$BN$512,1,'Calculations'!$BU$13:$BU$512,'Calculations'!DE509,'Calculations'!$BT$13:$BT$512,1,'Calculations'!$EE$13:$EE$512,"Strong"))</x:f>
      </x:c>
      <x:c r="DL509" s="4" t="str">
        <x:f>IF('Calculations'!DE509="","",COUNTIFS('Calculations'!$BN$13:$BN$512,1,'Calculations'!$BU$13:$BU$512,'Calculations'!DE509,'Calculations'!$BT$13:$BT$512,1,'Calculations'!$EE$13:$EE$512,"Solid"))</x:f>
      </x:c>
      <x:c r="DM509" s="4" t="str">
        <x:f>IF('Calculations'!DE509="","",COUNTIFS('Calculations'!$BN$13:$BN$512,1,'Calculations'!$BU$13:$BU$512,'Calculations'!DE509,'Calculations'!$BT$13:$BT$512,1,'Calculations'!$EE$13:$EE$512,"Low"))</x:f>
      </x:c>
      <x:c r="DN509" s="4" t="str">
        <x:f>IF('Calculations'!DE509="","",COUNTIFS('Calculations'!$BN$13:$BN$512,1,'Calculations'!$BU$13:$BU$512,'Calculations'!DE509,'Calculations'!$EP$13:$EP$512,1))</x:f>
      </x:c>
      <x:c r="DO509" s="4" t="str">
        <x:f>IF(OR('Calculations'!DE509="",'Calculations'!DG509=0),"",('Calculations'!DJ509+'Calculations'!DK509)/'Calculations'!DG509)</x:f>
      </x:c>
      <x:c r="DP509" s="4" t="n">
        <x:f>IF(AND('Calculations'!DE509&lt;&gt;"",'Calculations'!DF509&gt;0),COUNTIF('Calculations'!$DF$12:DF509,"&gt;0"),0)</x:f>
        <x:v>0</x:v>
      </x:c>
      <x:c r="DQ509" s="4" t="str">
        <x:f>IF(498&gt;MAX('Calculations'!$HH$13:$HH$512),"",INDEX('Calculations'!$HF$13:$HF$512,MATCH(498,'Calculations'!$HH$13:$HH$512,0)))</x:f>
      </x:c>
      <x:c r="DR509" s="4" t="str">
        <x:f>IF(498&gt;MAX('Calculations'!$IK$13:$IK$512),"",INDEX('Calculations'!$HE$13:$HE$512,MATCH(498,'Calculations'!$IK$13:$IK$512,0)))</x:f>
      </x:c>
      <x:c r="DS509" s="4"/>
      <x:c r="DT509" s="4"/>
      <x:c r="DU509" s="4"/>
      <x:c r="DV509" s="4"/>
      <x:c r="DW509" s="4"/>
      <x:c r="DX509" s="4"/>
      <x:c r="DY509" s="4"/>
      <x:c r="DZ509" s="4"/>
      <x:c r="EA509" s="4"/>
      <x:c r="EB509" s="4"/>
      <x:c r="EC509" s="4"/>
      <x:c r="ED509" s="4"/>
      <x:c r="EE509" s="4" t="str">
        <x:f>IF('Calculations'!BT509=0,"Not Rated",IF(OR('Calculations'!BO509&gt;=4,'Calculations'!BP509&gt;=4),"Low",IF('Calculations'!BO509+'Calculations'!BP509&lt;=3,"High",IF('Calculations'!BO509+'Calculations'!BP509&lt;=4,"Strong","Solid"))))</x:f>
        <x:v>Not Rated</x:v>
      </x:c>
      <x:c r="EF509" s="4"/>
      <x:c r="EG509" s="4"/>
      <x:c r="EH509" s="4"/>
      <x:c r="EI509" s="4"/>
      <x:c r="EJ509" s="4"/>
      <x:c r="EK509" s="4"/>
      <x:c r="EL509" s="4"/>
      <x:c r="EM509" s="4" t="str">
        <x:f>IF(497&gt;'Calculations'!$JB$2000,"",INDEX('Calculations'!$JA$12:$JA$2000,MATCH(497,'Calculations'!$JB$12:$JB$2000,0)))</x:f>
      </x:c>
      <x:c r="EN509" s="4" t="n">
        <x:f>IF(OR('Calculations'!EM509="",'Calculations'!$AG$8&gt;0,AND('Calculations'!$EF$2&lt;&gt;"All",'Calculations'!HE509='Calculations'!$EF$2),AND('Calculations'!$EF$3&lt;&gt;"All",'Calculations'!HE509='Calculations'!$EF$3)),0,IF(OR('Dashboard'!$B$7="All",'Calculations'!HN509='Dashboard'!$B$7),IF('Calculations'!$EF$2="All",1,IF('Calculations'!HL509&gt;0,0,IF(COUNTIF('Calculations'!HO509:II509,"="&amp;SUBSTITUTE(SUBSTITUTE(SUBSTITUTE('Calculations'!$EF$2,"~","~~"),"*","~*"),"?","~?"))=0,0,IF('Calculations'!$EF$3="All",1,IF(COUNTIF('Calculations'!HO509:II509,"="&amp;SUBSTITUTE(SUBSTITUTE(SUBSTITUTE('Calculations'!$EF$3,"~","~~"),"*","~*"),"?","~?"))&gt;0,1,0))))),0))</x:f>
        <x:v>0</x:v>
      </x:c>
      <x:c r="EO509" s="4" t="str">
        <x:f>IF('Calculations'!IJ509="","",IF('Calculations'!IJ509="!UNRESOLVED","Unresolved hierarchy",IFERROR(INDEX('Calculations'!$HK$13:$HK$512,MATCH('Calculations'!IJ509,'Calculations'!$HE$13:$HE$512,0)),IFERROR(INDEX('Calculations'!$HJ$13:$HJ$512,MATCH('Calculations'!IJ509,'Calculations'!$HF$13:$HF$512,0)),'Calculations'!IJ509))))</x:f>
      </x:c>
      <x:c r="EP509" s="4" t="n">
        <x:f>IF(AND('Calculations'!EM509&lt;&gt;"",'Calculations'!HF509='Calculations'!IJ509),1,0)</x:f>
        <x:v>0</x:v>
      </x:c>
      <x:c r="EQ509" s="4"/>
      <x:c r="ER509" s="4"/>
      <x:c r="ES509" s="4"/>
      <x:c r="ET509" s="4"/>
      <x:c r="EU509" s="4"/>
      <x:c r="EV509" s="4"/>
      <x:c r="EW509" s="4"/>
      <x:c r="EX509" s="4"/>
      <x:c r="EY509" s="4"/>
      <x:c r="EZ509" s="4"/>
      <x:c r="FA509" s="4"/>
      <x:c r="FB509" s="4"/>
      <x:c r="FC509" s="4"/>
      <x:c r="FD509" s="4"/>
      <x:c r="FE509" s="4"/>
      <x:c r="FF509" s="4"/>
      <x:c r="FG509" s="4"/>
      <x:c r="FH509" s="4"/>
      <x:c r="FI509" s="4"/>
      <x:c r="FJ509" s="4"/>
      <x:c r="FK509" s="4"/>
      <x:c r="FL509" s="4"/>
      <x:c r="FM509" s="4"/>
      <x:c r="FN509" s="4"/>
      <x:c r="FO509" s="4"/>
      <x:c r="HE509" t="str">
        <x:f>IF('Calculations'!EM509="","",IF(IFERROR(IF(INDEX(INDIRECT("'WCM Calibration Final'!$A$1:$A$2000"),'Calculations'!$EM509)="","",TRIM(INDEX(INDIRECT("'WCM Calibration Final'!$A$1:$A$2000"),'Calculations'!$EM509)&amp;"")),"")&lt;&gt;"","G:"&amp;IFERROR(TEXT(1*INDEX(INDIRECT("'WCM Calibration Final'!$A$1:$A$2000"),'Calculations'!$EM509),"0"),UPPER(IFERROR(IF(INDEX(INDIRECT("'WCM Calibration Final'!$A$1:$A$2000"),'Calculations'!$EM509)="","",TRIM(INDEX(INDIRECT("'WCM Calibration Final'!$A$1:$A$2000"),'Calculations'!$EM509)&amp;"")),""))),IF(IFERROR(IF(INDEX(INDIRECT("'WCM Calibration Final'!$C$1:$C$2000"),'Calculations'!$EM509)="","",TRIM(INDEX(INDIRECT("'WCM Calibration Final'!$C$1:$C$2000"),'Calculations'!$EM509)&amp;"")),"")&lt;&gt;"","S:"&amp;UPPER(IFERROR(IF(INDEX(INDIRECT("'WCM Calibration Final'!$C$1:$C$2000"),'Calculations'!$EM509)="","",TRIM(INDEX(INDIRECT("'WCM Calibration Final'!$C$1:$C$2000"),'Calculations'!$EM509)&amp;"")),"")),"R:"&amp;'Calculations'!EM509)))</x:f>
      </x:c>
      <x:c r="HF509" t="str">
        <x:f>IF('Calculations'!EM509="","",IF(IFERROR(IF(INDEX(INDIRECT("'WCM Calibration Final'!$D$1:$D$2000"),'Calculations'!$EM509)="","",TRIM(INDEX(INDIRECT("'WCM Calibration Final'!$D$1:$D$2000"),'Calculations'!$EM509)&amp;"")),"")&lt;&gt;"","G:"&amp;IFERROR(TEXT(1*INDEX(INDIRECT("'WCM Calibration Final'!$D$1:$D$2000"),'Calculations'!$EM509),"0"),UPPER(IFERROR(IF(INDEX(INDIRECT("'WCM Calibration Final'!$D$1:$D$2000"),'Calculations'!$EM509)="","",TRIM(INDEX(INDIRECT("'WCM Calibration Final'!$D$1:$D$2000"),'Calculations'!$EM509)&amp;"")),""))),IF(IFERROR(IF(INDEX(INDIRECT("'WCM Calibration Final'!$E$1:$E$2000"),'Calculations'!$EM509)="","",TRIM(INDEX(INDIRECT("'WCM Calibration Final'!$E$1:$E$2000"),'Calculations'!$EM509)&amp;"")),"")="","",IF(COUNTIF('Calculations'!$HG$13:$HG$512,"="&amp;SUBSTITUTE(SUBSTITUTE(SUBSTITUTE(IFERROR(IF(INDEX(INDIRECT("'WCM Calibration Final'!$E$1:$E$2000"),'Calculations'!$EM509)="","",TRIM(INDEX(INDIRECT("'WCM Calibration Final'!$E$1:$E$2000"),'Calculations'!$EM509)&amp;"")),""),"~","~~"),"*","~*"),"?","~?"))=1,INDEX('Calculations'!$HE$13:$HE$512,MATCH(IFERROR(IF(INDEX(INDIRECT("'WCM Calibration Final'!$E$1:$E$2000"),'Calculations'!$EM509)="","",TRIM(INDEX(INDIRECT("'WCM Calibration Final'!$E$1:$E$2000"),'Calculations'!$EM509)&amp;"")),""),'Calculations'!$HG$13:$HG$512,0)),IF(COUNTIF('Calculations'!$HG$13:$HG$512,"="&amp;SUBSTITUTE(SUBSTITUTE(SUBSTITUTE(IFERROR(IF(INDEX(INDIRECT("'WCM Calibration Final'!$E$1:$E$2000"),'Calculations'!$EM509)="","",TRIM(INDEX(INDIRECT("'WCM Calibration Final'!$E$1:$E$2000"),'Calculations'!$EM509)&amp;"")),""),"~","~~"),"*","~*"),"?","~?"))&gt;1,"!AMBIG","X:"&amp;IFERROR(IF(INDEX(INDIRECT("'WCM Calibration Final'!$E$1:$E$2000"),'Calculations'!$EM509)="","",TRIM(INDEX(INDIRECT("'WCM Calibration Final'!$E$1:$E$2000"),'Calculations'!$EM509)&amp;"")),""))))))</x:f>
      </x:c>
      <x:c r="HG509" t="str">
        <x:f>IF('Calculations'!EM509="","",IFERROR(IF(INDEX(INDIRECT("'WCM Calibration Final'!$B$1:$B$2000"),'Calculations'!$EM509)="","",TRIM(INDEX(INDIRECT("'WCM Calibration Final'!$B$1:$B$2000"),'Calculations'!$EM509)&amp;"")),""))</x:f>
      </x:c>
      <x:c r="HH509" t="n">
        <x:f>IF(AND('Calculations'!JC509&gt;0,COUNTIF('Calculations'!$HF$12:HF509,"="&amp;SUBSTITUTE(SUBSTITUTE(SUBSTITUTE('Calculations'!HF509,"~","~~"),"*","~*"),"?","~?"))=1),MAX('Calculations'!$HH$12:HH508)+1,0)</x:f>
        <x:v>0</x:v>
      </x:c>
      <x:c r="HI509" t="n">
        <x:f>IF(AND('Calculations'!HN509&lt;&gt;"",COUNTIF('Calculations'!$HN$12:HN509,"="&amp;SUBSTITUTE(SUBSTITUTE(SUBSTITUTE('Calculations'!HN509,"~","~~"),"*","~*"),"?","~?"))=1),MAX('Calculations'!$HI$12:HI508)+1,0)</x:f>
        <x:v>0</x:v>
      </x:c>
      <x:c r="HJ509" t="str">
        <x:f>IF('Calculations'!HF509="","",IF(COUNTIF('Calculations'!$HE$13:$HE$512,"="&amp;SUBSTITUTE(SUBSTITUTE(SUBSTITUTE('Calculations'!HF509,"~","~~"),"*","~*"),"?","~?"))=1,INDEX('Calculations'!$HK$13:$HK$512,MATCH('Calculations'!HF509,'Calculations'!$HE$13:$HE$512,0)),IFERROR(IF(INDEX(INDIRECT("'WCM Calibration Final'!$E$1:$E$2000"),'Calculations'!$EM509)="","",TRIM(INDEX(INDIRECT("'WCM Calibration Final'!$E$1:$E$2000"),'Calculations'!$EM509)&amp;"")),"")&amp;" ["&amp;'Calculations'!HF509&amp;"]"))</x:f>
      </x:c>
      <x:c r="HK509" t="str">
        <x:f>IF('Calculations'!EM509="","",'Calculations'!HG509&amp;" ["&amp;'Calculations'!HE509&amp;"]")</x:f>
      </x:c>
      <x:c r="HL509" t="n">
        <x:f>IF('Calculations'!EM509="",0,IF(OR('Calculations'!II509&lt;&gt;"",COUNTIF('Calculations'!$HE$13:$HE$512,"="&amp;SUBSTITUTE(SUBSTITUTE(SUBSTITUTE('Calculations'!HE509,"~","~~"),"*","~*"),"?","~?"))&gt;1),1,0))</x:f>
        <x:v>0</x:v>
      </x:c>
      <x:c r="HM509" t="str">
        <x:f>IF('Calculations'!EM509="","",IF('Calculations'!HL509=1,"!UNRESOLVED",IF('Calculations'!IH509&lt;&gt;"",'Calculations'!IH509,IF('Calculations'!IG509&lt;&gt;"",'Calculations'!IG509,IF('Calculations'!IF509&lt;&gt;"",'Calculations'!IF509,IF('Calculations'!IE509&lt;&gt;"",'Calculations'!IE509,IF('Calculations'!ID509&lt;&gt;"",'Calculations'!ID509,IF('Calculations'!IC509&lt;&gt;"",'Calculations'!IC509,IF('Calculations'!IB509&lt;&gt;"",'Calculations'!IB509,IF('Calculations'!IA509&lt;&gt;"",'Calculations'!IA509,IF('Calculations'!HZ509&lt;&gt;"",'Calculations'!HZ509,IF('Calculations'!HY509&lt;&gt;"",'Calculations'!HY509,IF('Calculations'!HX509&lt;&gt;"",'Calculations'!HX509,IF('Calculations'!HW509&lt;&gt;"",'Calculations'!HW509,IF('Calculations'!HV509&lt;&gt;"",'Calculations'!HV509,IF('Calculations'!HU509&lt;&gt;"",'Calculations'!HU509,IF('Calculations'!HT509&lt;&gt;"",'Calculations'!HT509,IF('Calculations'!HS509&lt;&gt;"",'Calculations'!HS509,IF('Calculations'!HR509&lt;&gt;"",'Calculations'!HR509,IF('Calculations'!HQ509&lt;&gt;"",'Calculations'!HQ509,IF('Calculations'!HP509&lt;&gt;"",'Calculations'!HP509,IF('Calculations'!HO509&lt;&gt;"",'Calculations'!HO509,'Calculations'!HE509))))))))))))))))))))))</x:f>
      </x:c>
      <x:c r="HN509" t="str">
        <x:f>IF('Calculations'!EM509="","",IF(IFERROR(IF(INDEX(INDIRECT("'WCM Calibration Final'!$F$1:$F$2000"),'Calculations'!$EM509)="","",TRIM(INDEX(INDIRECT("'WCM Calibration Final'!$F$1:$F$2000"),'Calculations'!$EM509)&amp;"")),"")="","(Blank)",IFERROR(IF(INDEX(INDIRECT("'WCM Calibration Final'!$F$1:$F$2000"),'Calculations'!$EM509)="","",TRIM(INDEX(INDIRECT("'WCM Calibration Final'!$F$1:$F$2000"),'Calculations'!$EM509)&amp;"")),"")))</x:f>
      </x:c>
      <x:c r="HO509" t="str">
        <x:f>'Calculations'!HF509</x:f>
      </x:c>
      <x:c r="HP509" t="str">
        <x:f>IF('Calculations'!HO509="","",IF('Calculations'!HO509="!AMBIG","!AMBIG",IF(COUNTIF('Calculations'!$HE$13:$HE$512,"="&amp;SUBSTITUTE(SUBSTITUTE(SUBSTITUTE('Calculations'!HO509,"~","~~"),"*","~*"),"?","~?"))&gt;1,"!AMBIG",IFERROR(INDEX('Calculations'!$HF$13:$HF$512,MATCH('Calculations'!HO509,'Calculations'!$HE$13:$HE$512,0)),""))))</x:f>
      </x:c>
      <x:c r="HQ509" t="str">
        <x:f>IF('Calculations'!HP509="","",IF('Calculations'!HP509="!AMBIG","!AMBIG",IF(COUNTIF('Calculations'!$HE$13:$HE$512,"="&amp;SUBSTITUTE(SUBSTITUTE(SUBSTITUTE('Calculations'!HP509,"~","~~"),"*","~*"),"?","~?"))&gt;1,"!AMBIG",IFERROR(INDEX('Calculations'!$HF$13:$HF$512,MATCH('Calculations'!HP509,'Calculations'!$HE$13:$HE$512,0)),""))))</x:f>
      </x:c>
      <x:c r="HR509" t="str">
        <x:f>IF('Calculations'!HQ509="","",IF('Calculations'!HQ509="!AMBIG","!AMBIG",IF(COUNTIF('Calculations'!$HE$13:$HE$512,"="&amp;SUBSTITUTE(SUBSTITUTE(SUBSTITUTE('Calculations'!HQ509,"~","~~"),"*","~*"),"?","~?"))&gt;1,"!AMBIG",IFERROR(INDEX('Calculations'!$HF$13:$HF$512,MATCH('Calculations'!HQ509,'Calculations'!$HE$13:$HE$512,0)),""))))</x:f>
      </x:c>
      <x:c r="HS509" t="str">
        <x:f>IF('Calculations'!HR509="","",IF('Calculations'!HR509="!AMBIG","!AMBIG",IF(COUNTIF('Calculations'!$HE$13:$HE$512,"="&amp;SUBSTITUTE(SUBSTITUTE(SUBSTITUTE('Calculations'!HR509,"~","~~"),"*","~*"),"?","~?"))&gt;1,"!AMBIG",IFERROR(INDEX('Calculations'!$HF$13:$HF$512,MATCH('Calculations'!HR509,'Calculations'!$HE$13:$HE$512,0)),""))))</x:f>
      </x:c>
      <x:c r="HT509" t="str">
        <x:f>IF('Calculations'!HS509="","",IF('Calculations'!HS509="!AMBIG","!AMBIG",IF(COUNTIF('Calculations'!$HE$13:$HE$512,"="&amp;SUBSTITUTE(SUBSTITUTE(SUBSTITUTE('Calculations'!HS509,"~","~~"),"*","~*"),"?","~?"))&gt;1,"!AMBIG",IFERROR(INDEX('Calculations'!$HF$13:$HF$512,MATCH('Calculations'!HS509,'Calculations'!$HE$13:$HE$512,0)),""))))</x:f>
      </x:c>
      <x:c r="HU509" t="str">
        <x:f>IF('Calculations'!HT509="","",IF('Calculations'!HT509="!AMBIG","!AMBIG",IF(COUNTIF('Calculations'!$HE$13:$HE$512,"="&amp;SUBSTITUTE(SUBSTITUTE(SUBSTITUTE('Calculations'!HT509,"~","~~"),"*","~*"),"?","~?"))&gt;1,"!AMBIG",IFERROR(INDEX('Calculations'!$HF$13:$HF$512,MATCH('Calculations'!HT509,'Calculations'!$HE$13:$HE$512,0)),""))))</x:f>
      </x:c>
      <x:c r="HV509" t="str">
        <x:f>IF('Calculations'!HU509="","",IF('Calculations'!HU509="!AMBIG","!AMBIG",IF(COUNTIF('Calculations'!$HE$13:$HE$512,"="&amp;SUBSTITUTE(SUBSTITUTE(SUBSTITUTE('Calculations'!HU509,"~","~~"),"*","~*"),"?","~?"))&gt;1,"!AMBIG",IFERROR(INDEX('Calculations'!$HF$13:$HF$512,MATCH('Calculations'!HU509,'Calculations'!$HE$13:$HE$512,0)),""))))</x:f>
      </x:c>
      <x:c r="HW509" t="str">
        <x:f>IF('Calculations'!HV509="","",IF('Calculations'!HV509="!AMBIG","!AMBIG",IF(COUNTIF('Calculations'!$HE$13:$HE$512,"="&amp;SUBSTITUTE(SUBSTITUTE(SUBSTITUTE('Calculations'!HV509,"~","~~"),"*","~*"),"?","~?"))&gt;1,"!AMBIG",IFERROR(INDEX('Calculations'!$HF$13:$HF$512,MATCH('Calculations'!HV509,'Calculations'!$HE$13:$HE$512,0)),""))))</x:f>
      </x:c>
      <x:c r="HX509" t="str">
        <x:f>IF('Calculations'!HW509="","",IF('Calculations'!HW509="!AMBIG","!AMBIG",IF(COUNTIF('Calculations'!$HE$13:$HE$512,"="&amp;SUBSTITUTE(SUBSTITUTE(SUBSTITUTE('Calculations'!HW509,"~","~~"),"*","~*"),"?","~?"))&gt;1,"!AMBIG",IFERROR(INDEX('Calculations'!$HF$13:$HF$512,MATCH('Calculations'!HW509,'Calculations'!$HE$13:$HE$512,0)),""))))</x:f>
      </x:c>
      <x:c r="HY509" t="str">
        <x:f>IF('Calculations'!HX509="","",IF('Calculations'!HX509="!AMBIG","!AMBIG",IF(COUNTIF('Calculations'!$HE$13:$HE$512,"="&amp;SUBSTITUTE(SUBSTITUTE(SUBSTITUTE('Calculations'!HX509,"~","~~"),"*","~*"),"?","~?"))&gt;1,"!AMBIG",IFERROR(INDEX('Calculations'!$HF$13:$HF$512,MATCH('Calculations'!HX509,'Calculations'!$HE$13:$HE$512,0)),""))))</x:f>
      </x:c>
      <x:c r="HZ509" t="str">
        <x:f>IF('Calculations'!HY509="","",IF('Calculations'!HY509="!AMBIG","!AMBIG",IF(COUNTIF('Calculations'!$HE$13:$HE$512,"="&amp;SUBSTITUTE(SUBSTITUTE(SUBSTITUTE('Calculations'!HY509,"~","~~"),"*","~*"),"?","~?"))&gt;1,"!AMBIG",IFERROR(INDEX('Calculations'!$HF$13:$HF$512,MATCH('Calculations'!HY509,'Calculations'!$HE$13:$HE$512,0)),""))))</x:f>
      </x:c>
      <x:c r="IA509" t="str">
        <x:f>IF('Calculations'!HZ509="","",IF('Calculations'!HZ509="!AMBIG","!AMBIG",IF(COUNTIF('Calculations'!$HE$13:$HE$512,"="&amp;SUBSTITUTE(SUBSTITUTE(SUBSTITUTE('Calculations'!HZ509,"~","~~"),"*","~*"),"?","~?"))&gt;1,"!AMBIG",IFERROR(INDEX('Calculations'!$HF$13:$HF$512,MATCH('Calculations'!HZ509,'Calculations'!$HE$13:$HE$512,0)),""))))</x:f>
      </x:c>
      <x:c r="IB509" t="str">
        <x:f>IF('Calculations'!IA509="","",IF('Calculations'!IA509="!AMBIG","!AMBIG",IF(COUNTIF('Calculations'!$HE$13:$HE$512,"="&amp;SUBSTITUTE(SUBSTITUTE(SUBSTITUTE('Calculations'!IA509,"~","~~"),"*","~*"),"?","~?"))&gt;1,"!AMBIG",IFERROR(INDEX('Calculations'!$HF$13:$HF$512,MATCH('Calculations'!IA509,'Calculations'!$HE$13:$HE$512,0)),""))))</x:f>
      </x:c>
      <x:c r="IC509" t="str">
        <x:f>IF('Calculations'!IB509="","",IF('Calculations'!IB509="!AMBIG","!AMBIG",IF(COUNTIF('Calculations'!$HE$13:$HE$512,"="&amp;SUBSTITUTE(SUBSTITUTE(SUBSTITUTE('Calculations'!IB509,"~","~~"),"*","~*"),"?","~?"))&gt;1,"!AMBIG",IFERROR(INDEX('Calculations'!$HF$13:$HF$512,MATCH('Calculations'!IB509,'Calculations'!$HE$13:$HE$512,0)),""))))</x:f>
      </x:c>
      <x:c r="ID509" t="str">
        <x:f>IF('Calculations'!IC509="","",IF('Calculations'!IC509="!AMBIG","!AMBIG",IF(COUNTIF('Calculations'!$HE$13:$HE$512,"="&amp;SUBSTITUTE(SUBSTITUTE(SUBSTITUTE('Calculations'!IC509,"~","~~"),"*","~*"),"?","~?"))&gt;1,"!AMBIG",IFERROR(INDEX('Calculations'!$HF$13:$HF$512,MATCH('Calculations'!IC509,'Calculations'!$HE$13:$HE$512,0)),""))))</x:f>
      </x:c>
      <x:c r="IE509" t="str">
        <x:f>IF('Calculations'!ID509="","",IF('Calculations'!ID509="!AMBIG","!AMBIG",IF(COUNTIF('Calculations'!$HE$13:$HE$512,"="&amp;SUBSTITUTE(SUBSTITUTE(SUBSTITUTE('Calculations'!ID509,"~","~~"),"*","~*"),"?","~?"))&gt;1,"!AMBIG",IFERROR(INDEX('Calculations'!$HF$13:$HF$512,MATCH('Calculations'!ID509,'Calculations'!$HE$13:$HE$512,0)),""))))</x:f>
      </x:c>
      <x:c r="IF509" t="str">
        <x:f>IF('Calculations'!IE509="","",IF('Calculations'!IE509="!AMBIG","!AMBIG",IF(COUNTIF('Calculations'!$HE$13:$HE$512,"="&amp;SUBSTITUTE(SUBSTITUTE(SUBSTITUTE('Calculations'!IE509,"~","~~"),"*","~*"),"?","~?"))&gt;1,"!AMBIG",IFERROR(INDEX('Calculations'!$HF$13:$HF$512,MATCH('Calculations'!IE509,'Calculations'!$HE$13:$HE$512,0)),""))))</x:f>
      </x:c>
      <x:c r="IG509" t="str">
        <x:f>IF('Calculations'!IF509="","",IF('Calculations'!IF509="!AMBIG","!AMBIG",IF(COUNTIF('Calculations'!$HE$13:$HE$512,"="&amp;SUBSTITUTE(SUBSTITUTE(SUBSTITUTE('Calculations'!IF509,"~","~~"),"*","~*"),"?","~?"))&gt;1,"!AMBIG",IFERROR(INDEX('Calculations'!$HF$13:$HF$512,MATCH('Calculations'!IF509,'Calculations'!$HE$13:$HE$512,0)),""))))</x:f>
      </x:c>
      <x:c r="IH509" t="str">
        <x:f>IF('Calculations'!IG509="","",IF('Calculations'!IG509="!AMBIG","!AMBIG",IF(COUNTIF('Calculations'!$HE$13:$HE$512,"="&amp;SUBSTITUTE(SUBSTITUTE(SUBSTITUTE('Calculations'!IG509,"~","~~"),"*","~*"),"?","~?"))&gt;1,"!AMBIG",IFERROR(INDEX('Calculations'!$HF$13:$HF$512,MATCH('Calculations'!IG509,'Calculations'!$HE$13:$HE$512,0)),""))))</x:f>
      </x:c>
      <x:c r="II509" t="str">
        <x:f>IF('Calculations'!IH509="","",IF('Calculations'!IH509="!AMBIG","!AMBIG",IF(COUNTIF('Calculations'!$HE$13:$HE$512,"="&amp;SUBSTITUTE(SUBSTITUTE(SUBSTITUTE('Calculations'!IH509,"~","~~"),"*","~*"),"?","~?"))&gt;1,"!AMBIG",IFERROR(INDEX('Calculations'!$HF$13:$HF$512,MATCH('Calculations'!IH509,'Calculations'!$HE$13:$HE$512,0)),""))))</x:f>
      </x:c>
      <x:c r="IJ509" t="str">
        <x:f>IF('Calculations'!EM509="","",IF('Calculations'!$EF$2="All",'Calculations'!HM509,IF('Calculations'!HL509=1,"",IFERROR(IF(MATCH('Calculations'!$EF$2,'Calculations'!HO509:II509,0)=1,'Calculations'!HE509,INDEX('Calculations'!HO509:II509,1,MATCH('Calculations'!$EF$2,'Calculations'!HO509:II509,0)-1)),""))))</x:f>
      </x:c>
      <x:c r="IK509" t="n">
        <x:f>IF(AND('Calculations'!EM509&lt;&gt;"",'Calculations'!$EF$2&lt;&gt;"All",'Calculations'!HF509='Calculations'!$EF$2,'Calculations'!HL509=0,'Calculations'!JD509&gt;0),MAX('Calculations'!$IK$12:IK508)+1,0)</x:f>
        <x:v>0</x:v>
      </x:c>
      <x:c r="JA509" t="n">
        <x:f>IF(OR(IFERROR(INDIRECT("'WCM Calibration Final'!$A$509")&lt;&gt;"",FALSE),IFERROR(INDIRECT("'WCM Calibration Final'!$B$509")&lt;&gt;"",FALSE),IFERROR(INDIRECT("'WCM Calibration Final'!$C$509")&lt;&gt;"",FALSE)),509,0)</x:f>
        <x:v>0</x:v>
      </x:c>
      <x:c r="JB509" t="n">
        <x:f>'Calculations'!JB508+IF('Calculations'!JA509&gt;0,1,0)</x:f>
        <x:v>0</x:v>
      </x:c>
      <x:c r="JC509" t="n">
        <x:f>IF(OR('Calculations'!HF509="",'Calculations'!HF509="!AMBIG"),0,IF('Dashboard'!$B$7="All",1,COUNTIFS('Calculations'!$HO$13:$HO$512,"="&amp;SUBSTITUTE(SUBSTITUTE(SUBSTITUTE('Calculations'!HF509,"~","~~"),"*","~*"),"?","~?"),'Calculations'!$HN$13:$HN$512,"="&amp;SUBSTITUTE(SUBSTITUTE(SUBSTITUTE('Dashboard'!$B$7,"~","~~"),"*","~*"),"?","~?"))+COUNTIFS('Calculations'!$HP$13:$HP$512,"="&amp;SUBSTITUTE(SUBSTITUTE(SUBSTITUTE('Calculations'!HF509,"~","~~"),"*","~*"),"?","~?"),'Calculations'!$HN$13:$HN$512,"="&amp;SUBSTITUTE(SUBSTITUTE(SUBSTITUTE('Dashboard'!$B$7,"~","~~"),"*","~*"),"?","~?"))+COUNTIFS('Calculations'!$HQ$13:$HQ$512,"="&amp;SUBSTITUTE(SUBSTITUTE(SUBSTITUTE('Calculations'!HF509,"~","~~"),"*","~*"),"?","~?"),'Calculations'!$HN$13:$HN$512,"="&amp;SUBSTITUTE(SUBSTITUTE(SUBSTITUTE('Dashboard'!$B$7,"~","~~"),"*","~*"),"?","~?"))+COUNTIFS('Calculations'!$HR$13:$HR$512,"="&amp;SUBSTITUTE(SUBSTITUTE(SUBSTITUTE('Calculations'!HF509,"~","~~"),"*","~*"),"?","~?"),'Calculations'!$HN$13:$HN$512,"="&amp;SUBSTITUTE(SUBSTITUTE(SUBSTITUTE('Dashboard'!$B$7,"~","~~"),"*","~*"),"?","~?"))+COUNTIFS('Calculations'!$HS$13:$HS$512,"="&amp;SUBSTITUTE(SUBSTITUTE(SUBSTITUTE('Calculations'!HF509,"~","~~"),"*","~*"),"?","~?"),'Calculations'!$HN$13:$HN$512,"="&amp;SUBSTITUTE(SUBSTITUTE(SUBSTITUTE('Dashboard'!$B$7,"~","~~"),"*","~*"),"?","~?"))+COUNTIFS('Calculations'!$HT$13:$HT$512,"="&amp;SUBSTITUTE(SUBSTITUTE(SUBSTITUTE('Calculations'!HF509,"~","~~"),"*","~*"),"?","~?"),'Calculations'!$HN$13:$HN$512,"="&amp;SUBSTITUTE(SUBSTITUTE(SUBSTITUTE('Dashboard'!$B$7,"~","~~"),"*","~*"),"?","~?"))+COUNTIFS('Calculations'!$HU$13:$HU$512,"="&amp;SUBSTITUTE(SUBSTITUTE(SUBSTITUTE('Calculations'!HF509,"~","~~"),"*","~*"),"?","~?"),'Calculations'!$HN$13:$HN$512,"="&amp;SUBSTITUTE(SUBSTITUTE(SUBSTITUTE('Dashboard'!$B$7,"~","~~"),"*","~*"),"?","~?"))+COUNTIFS('Calculations'!$HV$13:$HV$512,"="&amp;SUBSTITUTE(SUBSTITUTE(SUBSTITUTE('Calculations'!HF509,"~","~~"),"*","~*"),"?","~?"),'Calculations'!$HN$13:$HN$512,"="&amp;SUBSTITUTE(SUBSTITUTE(SUBSTITUTE('Dashboard'!$B$7,"~","~~"),"*","~*"),"?","~?"))+COUNTIFS('Calculations'!$HW$13:$HW$512,"="&amp;SUBSTITUTE(SUBSTITUTE(SUBSTITUTE('Calculations'!HF509,"~","~~"),"*","~*"),"?","~?"),'Calculations'!$HN$13:$HN$512,"="&amp;SUBSTITUTE(SUBSTITUTE(SUBSTITUTE('Dashboard'!$B$7,"~","~~"),"*","~*"),"?","~?"))+COUNTIFS('Calculations'!$HX$13:$HX$512,"="&amp;SUBSTITUTE(SUBSTITUTE(SUBSTITUTE('Calculations'!HF509,"~","~~"),"*","~*"),"?","~?"),'Calculations'!$HN$13:$HN$512,"="&amp;SUBSTITUTE(SUBSTITUTE(SUBSTITUTE('Dashboard'!$B$7,"~","~~"),"*","~*"),"?","~?"))+COUNTIFS('Calculations'!$HY$13:$HY$512,"="&amp;SUBSTITUTE(SUBSTITUTE(SUBSTITUTE('Calculations'!HF509,"~","~~"),"*","~*"),"?","~?"),'Calculations'!$HN$13:$HN$512,"="&amp;SUBSTITUTE(SUBSTITUTE(SUBSTITUTE('Dashboard'!$B$7,"~","~~"),"*","~*"),"?","~?"))+COUNTIFS('Calculations'!$HZ$13:$HZ$512,"="&amp;SUBSTITUTE(SUBSTITUTE(SUBSTITUTE('Calculations'!HF509,"~","~~"),"*","~*"),"?","~?"),'Calculations'!$HN$13:$HN$512,"="&amp;SUBSTITUTE(SUBSTITUTE(SUBSTITUTE('Dashboard'!$B$7,"~","~~"),"*","~*"),"?","~?"))+COUNTIFS('Calculations'!$IA$13:$IA$512,"="&amp;SUBSTITUTE(SUBSTITUTE(SUBSTITUTE('Calculations'!HF509,"~","~~"),"*","~*"),"?","~?"),'Calculations'!$HN$13:$HN$512,"="&amp;SUBSTITUTE(SUBSTITUTE(SUBSTITUTE('Dashboard'!$B$7,"~","~~"),"*","~*"),"?","~?"))+COUNTIFS('Calculations'!$IB$13:$IB$512,"="&amp;SUBSTITUTE(SUBSTITUTE(SUBSTITUTE('Calculations'!HF509,"~","~~"),"*","~*"),"?","~?"),'Calculations'!$HN$13:$HN$512,"="&amp;SUBSTITUTE(SUBSTITUTE(SUBSTITUTE('Dashboard'!$B$7,"~","~~"),"*","~*"),"?","~?"))+COUNTIFS('Calculations'!$IC$13:$IC$512,"="&amp;SUBSTITUTE(SUBSTITUTE(SUBSTITUTE('Calculations'!HF509,"~","~~"),"*","~*"),"?","~?"),'Calculations'!$HN$13:$HN$512,"="&amp;SUBSTITUTE(SUBSTITUTE(SUBSTITUTE('Dashboard'!$B$7,"~","~~"),"*","~*"),"?","~?"))+COUNTIFS('Calculations'!$ID$13:$ID$512,"="&amp;SUBSTITUTE(SUBSTITUTE(SUBSTITUTE('Calculations'!HF509,"~","~~"),"*","~*"),"?","~?"),'Calculations'!$HN$13:$HN$512,"="&amp;SUBSTITUTE(SUBSTITUTE(SUBSTITUTE('Dashboard'!$B$7,"~","~~"),"*","~*"),"?","~?"))+COUNTIFS('Calculations'!$IE$13:$IE$512,"="&amp;SUBSTITUTE(SUBSTITUTE(SUBSTITUTE('Calculations'!HF509,"~","~~"),"*","~*"),"?","~?"),'Calculations'!$HN$13:$HN$512,"="&amp;SUBSTITUTE(SUBSTITUTE(SUBSTITUTE('Dashboard'!$B$7,"~","~~"),"*","~*"),"?","~?"))+COUNTIFS('Calculations'!$IF$13:$IF$512,"="&amp;SUBSTITUTE(SUBSTITUTE(SUBSTITUTE('Calculations'!HF509,"~","~~"),"*","~*"),"?","~?"),'Calculations'!$HN$13:$HN$512,"="&amp;SUBSTITUTE(SUBSTITUTE(SUBSTITUTE('Dashboard'!$B$7,"~","~~"),"*","~*"),"?","~?"))+COUNTIFS('Calculations'!$IG$13:$IG$512,"="&amp;SUBSTITUTE(SUBSTITUTE(SUBSTITUTE('Calculations'!HF509,"~","~~"),"*","~*"),"?","~?"),'Calculations'!$HN$13:$HN$512,"="&amp;SUBSTITUTE(SUBSTITUTE(SUBSTITUTE('Dashboard'!$B$7,"~","~~"),"*","~*"),"?","~?"))+COUNTIFS('Calculations'!$IH$13:$IH$512,"="&amp;SUBSTITUTE(SUBSTITUTE(SUBSTITUTE('Calculations'!HF509,"~","~~"),"*","~*"),"?","~?"),'Calculations'!$HN$13:$HN$512,"="&amp;SUBSTITUTE(SUBSTITUTE(SUBSTITUTE('Dashboard'!$B$7,"~","~~"),"*","~*"),"?","~?"))))</x:f>
        <x:v>0</x:v>
      </x:c>
      <x:c r="JD509" t="n">
        <x:f>IF('Calculations'!EM509="",0,IF('Dashboard'!$B$7="All",1,IF('Calculations'!HN509='Dashboard'!$B$7,1,0)+IFERROR(INDEX('Calculations'!$JC$13:$JC$512,MATCH('Calculations'!HE509,'Calculations'!$HF$13:$HF$512,0)),0)))</x:f>
        <x:v>0</x:v>
      </x:c>
      <x:c r="JE509" t="n">
        <x:f>IF(AND('Calculations'!EM509&lt;&gt;"",'Calculations'!$JJ$2&lt;&gt;"All",'Calculations'!$JJ$2&lt;&gt;"",'Calculations'!HF509='Calculations'!$JJ$2,'Calculations'!HL509=0,'Calculations'!JD509&gt;0),MAX('Calculations'!$JE$12:JE508)+1,0)</x:f>
        <x:v>0</x:v>
      </x:c>
      <x:c r="JF509" t="str">
        <x:f>IF('Calculations'!EM509="","",IFERROR(IF(INDEX(INDIRECT("'WCM Calibration Final'!$G$1:$G$2000"),'Calculations'!$EM509)="","",TRIM(INDEX(INDIRECT("'WCM Calibration Final'!$G$1:$G$2000"),'Calculations'!$EM509)&amp;"")),""))</x:f>
      </x:c>
      <x:c r="JQ509" t="n">
        <x:f>IF(OR('Calculations'!BM509=0,NOT('Calculations'!$AG$2),'Calculations'!$AG$8&gt;0),0,IF(OR('Dashboard'!$B$7="All",'Calculations'!HN509='Dashboard'!$B$7),IF('Calculations'!$JJ$2="All",1,IF(AND('Calculations'!HF509='Calculations'!$JJ$2,'Calculations'!HL509=0),1,0)),0))</x:f>
        <x:v>0</x:v>
      </x:c>
    </x:row>
    <x:row r="510">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t="n">
        <x:f>IF('Calculations'!$EM510="",0,IF(OR(IFERROR(INDEX(INDIRECT("'WCM Calibration Final'!$A$1:$A$2000"),'Calculations'!$EM510)&lt;&gt;"",FALSE),IFERROR(INDEX(INDIRECT("'WCM Calibration Final'!$B$1:$B$2000"),'Calculations'!$EM510)&lt;&gt;"",FALSE),IFERROR(INDEX(INDIRECT("'WCM Calibration Final'!$C$1:$C$2000"),'Calculations'!$EM510)&lt;&gt;"",FALSE)),1,0))</x:f>
        <x:v>0</x:v>
      </x:c>
      <x:c r="BN510" s="4" t="n">
        <x:f>IF(AND('Calculations'!BM510=1,'Calculations'!$AG$2,'Calculations'!$EN510=1),1,0)</x:f>
        <x:v>0</x:v>
      </x:c>
      <x:c r="BO510" s="4" t="str">
        <x:f>IF('Calculations'!BM510=0,"",IFERROR(IF(AND(VALUE(INDEX(INDIRECT("'WCM Calibration Final'!$K$1:$K$2000"),'Calculations'!$EM510))&gt;=1,VALUE(INDEX(INDIRECT("'WCM Calibration Final'!$K$1:$K$2000"),'Calculations'!$EM510))&lt;=4,MOD(VALUE(INDEX(INDIRECT("'WCM Calibration Final'!$K$1:$K$2000"),'Calculations'!$EM510)),1)=0),VALUE(INDEX(INDIRECT("'WCM Calibration Final'!$K$1:$K$2000"),'Calculations'!$EM510)),""),""))</x:f>
      </x:c>
      <x:c r="BP510" s="4" t="str">
        <x:f>IF('Calculations'!BM510=0,"",IFERROR(IF(AND(VALUE(INDEX(INDIRECT("'WCM Calibration Final'!$L$1:$L$2000"),'Calculations'!$EM510))&gt;=1,VALUE(INDEX(INDIRECT("'WCM Calibration Final'!$L$1:$L$2000"),'Calculations'!$EM510))&lt;=4,MOD(VALUE(INDEX(INDIRECT("'WCM Calibration Final'!$L$1:$L$2000"),'Calculations'!$EM510)),1)=0),VALUE(INDEX(INDIRECT("'WCM Calibration Final'!$L$1:$L$2000"),'Calculations'!$EM510)),""),""))</x:f>
      </x:c>
      <x:c r="BQ510" s="4"/>
      <x:c r="BR510" s="4"/>
      <x:c r="BS510" s="4"/>
      <x:c r="BT510" s="4" t="n">
        <x:f>IF(AND('Calculations'!BM510=1,ISNUMBER('Calculations'!BO510),ISNUMBER('Calculations'!BP510)),1,0)</x:f>
        <x:v>0</x:v>
      </x:c>
      <x:c r="BU510" s="4" t="str">
        <x:f>IF('Calculations'!BM510=0,"",'Calculations'!$EO510)</x:f>
      </x:c>
      <x:c r="BV510" s="4" t="str">
        <x:f>IF('Calculations'!BM510=0,"",IFERROR(IF(OR(INDEX(INDIRECT("'WCM Calibration Final'!$H$1:$H$2000"),'Calculations'!$EM510)="MANAGING DIRECTOR",INDEX(INDIRECT("'WCM Calibration Final'!$H$1:$H$2000"),'Calculations'!$EM510)="DIRECTOR",INDEX(INDIRECT("'WCM Calibration Final'!$H$1:$H$2000"),'Calculations'!$EM510)="SENIOR VICE PRESIDENT",INDEX(INDIRECT("'WCM Calibration Final'!$H$1:$H$2000"),'Calculations'!$EM510)="VICE PRESIDENT",INDEX(INDIRECT("'WCM Calibration Final'!$H$1:$H$2000"),'Calculations'!$EM510)="ASSISTANT VICE PRESIDENT",INDEX(INDIRECT("'WCM Calibration Final'!$H$1:$H$2000"),'Calculations'!$EM510)="OFFICER"),UPPER(INDEX(INDIRECT("'WCM Calibration Final'!$H$1:$H$2000"),'Calculations'!$EM510)),"Other"),"Other"))</x:f>
      </x:c>
      <x:c r="BW510" s="4"/>
      <x:c r="BX510" s="4"/>
      <x:c r="BY510" s="4" t="n">
        <x:f>IF(AND('Calculations'!BM510=1,'Calculations'!BU510&lt;&gt;"",COUNTIF('Calculations'!$BU$12:BU510,'Calculations'!BU510)=1),MAX('Calculations'!$BY$11:BY509)+1,0)</x:f>
        <x:v>0</x:v>
      </x:c>
      <x:c r="BZ510" s="4" t="str">
        <x:f>IF('Dashboard'!$E$67="What",'Calculations'!BO510,'Calculations'!BP510)</x:f>
      </x:c>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t="str">
        <x:f>IF(499&gt;MAX('Calculations'!$HI$13:$HI$512),"",INDEX('Calculations'!$HN$13:$HN$512,MATCH(499,'Calculations'!$HI$13:$HI$512,0)))</x:f>
      </x:c>
      <x:c r="DB510" s="4" t="str">
        <x:f>IF(499&gt;MAX('Calculations'!$HH$13:$HH$512),"",INDEX('Calculations'!$HJ$13:$HJ$512,MATCH(499,'Calculations'!$HH$13:$HH$512,0)))</x:f>
      </x:c>
      <x:c r="DC510" s="4" t="str">
        <x:f>IF(ROW()-11&gt;MAX('Calculations'!$BY$13:$BY$512),"",INDEX('Calculations'!$BU$13:$BU$512,MATCH(ROW()-11,'Calculations'!$BY$13:$BY$512,0)))</x:f>
      </x:c>
      <x:c r="DD510" s="4" t="str">
        <x:f>IF(499&gt;MAX('Calculations'!$IK$13:$IK$512),"",INDEX('Calculations'!$HK$13:$HK$512,MATCH(499,'Calculations'!$IK$13:$IK$512,0)))</x:f>
      </x:c>
      <x:c r="DE510" s="4" t="str">
        <x:f>'Calculations'!DC510</x:f>
      </x:c>
      <x:c r="DF510" s="4" t="str">
        <x:f>IF('Calculations'!DE510="","",COUNTIFS('Calculations'!$BN$13:$BN$512,1,'Calculations'!$BU$13:$BU$512,'Calculations'!DE510))</x:f>
      </x:c>
      <x:c r="DG510" s="4" t="str">
        <x:f>IF('Calculations'!DE510="","",COUNTIFS('Calculations'!$BN$13:$BN$512,1,'Calculations'!$BU$13:$BU$512,'Calculations'!DE510,'Calculations'!$BT$13:$BT$512,1))</x:f>
      </x:c>
      <x:c r="DH510" s="4" t="str">
        <x:f>IF('Calculations'!DE510="","",'Calculations'!DF510-'Calculations'!DG510)</x:f>
      </x:c>
      <x:c r="DI510" s="4" t="str">
        <x:f>IF(OR('Calculations'!DE510="",'Calculations'!DF510=0),"",'Calculations'!DG510/'Calculations'!DF510)</x:f>
      </x:c>
      <x:c r="DJ510" s="4" t="str">
        <x:f>IF('Calculations'!DE510="","",COUNTIFS('Calculations'!$BN$13:$BN$512,1,'Calculations'!$BU$13:$BU$512,'Calculations'!DE510,'Calculations'!$BT$13:$BT$512,1,'Calculations'!$EE$13:$EE$512,"High"))</x:f>
      </x:c>
      <x:c r="DK510" s="4" t="str">
        <x:f>IF('Calculations'!DE510="","",COUNTIFS('Calculations'!$BN$13:$BN$512,1,'Calculations'!$BU$13:$BU$512,'Calculations'!DE510,'Calculations'!$BT$13:$BT$512,1,'Calculations'!$EE$13:$EE$512,"Strong"))</x:f>
      </x:c>
      <x:c r="DL510" s="4" t="str">
        <x:f>IF('Calculations'!DE510="","",COUNTIFS('Calculations'!$BN$13:$BN$512,1,'Calculations'!$BU$13:$BU$512,'Calculations'!DE510,'Calculations'!$BT$13:$BT$512,1,'Calculations'!$EE$13:$EE$512,"Solid"))</x:f>
      </x:c>
      <x:c r="DM510" s="4" t="str">
        <x:f>IF('Calculations'!DE510="","",COUNTIFS('Calculations'!$BN$13:$BN$512,1,'Calculations'!$BU$13:$BU$512,'Calculations'!DE510,'Calculations'!$BT$13:$BT$512,1,'Calculations'!$EE$13:$EE$512,"Low"))</x:f>
      </x:c>
      <x:c r="DN510" s="4" t="str">
        <x:f>IF('Calculations'!DE510="","",COUNTIFS('Calculations'!$BN$13:$BN$512,1,'Calculations'!$BU$13:$BU$512,'Calculations'!DE510,'Calculations'!$EP$13:$EP$512,1))</x:f>
      </x:c>
      <x:c r="DO510" s="4" t="str">
        <x:f>IF(OR('Calculations'!DE510="",'Calculations'!DG510=0),"",('Calculations'!DJ510+'Calculations'!DK510)/'Calculations'!DG510)</x:f>
      </x:c>
      <x:c r="DP510" s="4" t="n">
        <x:f>IF(AND('Calculations'!DE510&lt;&gt;"",'Calculations'!DF510&gt;0),COUNTIF('Calculations'!$DF$12:DF510,"&gt;0"),0)</x:f>
        <x:v>0</x:v>
      </x:c>
      <x:c r="DQ510" s="4" t="str">
        <x:f>IF(499&gt;MAX('Calculations'!$HH$13:$HH$512),"",INDEX('Calculations'!$HF$13:$HF$512,MATCH(499,'Calculations'!$HH$13:$HH$512,0)))</x:f>
      </x:c>
      <x:c r="DR510" s="4" t="str">
        <x:f>IF(499&gt;MAX('Calculations'!$IK$13:$IK$512),"",INDEX('Calculations'!$HE$13:$HE$512,MATCH(499,'Calculations'!$IK$13:$IK$512,0)))</x:f>
      </x:c>
      <x:c r="DS510" s="4"/>
      <x:c r="DT510" s="4"/>
      <x:c r="DU510" s="4"/>
      <x:c r="DV510" s="4"/>
      <x:c r="DW510" s="4"/>
      <x:c r="DX510" s="4"/>
      <x:c r="DY510" s="4"/>
      <x:c r="DZ510" s="4"/>
      <x:c r="EA510" s="4"/>
      <x:c r="EB510" s="4"/>
      <x:c r="EC510" s="4"/>
      <x:c r="ED510" s="4"/>
      <x:c r="EE510" s="4" t="str">
        <x:f>IF('Calculations'!BT510=0,"Not Rated",IF(OR('Calculations'!BO510&gt;=4,'Calculations'!BP510&gt;=4),"Low",IF('Calculations'!BO510+'Calculations'!BP510&lt;=3,"High",IF('Calculations'!BO510+'Calculations'!BP510&lt;=4,"Strong","Solid"))))</x:f>
        <x:v>Not Rated</x:v>
      </x:c>
      <x:c r="EF510" s="4"/>
      <x:c r="EG510" s="4"/>
      <x:c r="EH510" s="4"/>
      <x:c r="EI510" s="4"/>
      <x:c r="EJ510" s="4"/>
      <x:c r="EK510" s="4"/>
      <x:c r="EL510" s="4"/>
      <x:c r="EM510" s="4" t="str">
        <x:f>IF(498&gt;'Calculations'!$JB$2000,"",INDEX('Calculations'!$JA$12:$JA$2000,MATCH(498,'Calculations'!$JB$12:$JB$2000,0)))</x:f>
      </x:c>
      <x:c r="EN510" s="4" t="n">
        <x:f>IF(OR('Calculations'!EM510="",'Calculations'!$AG$8&gt;0,AND('Calculations'!$EF$2&lt;&gt;"All",'Calculations'!HE510='Calculations'!$EF$2),AND('Calculations'!$EF$3&lt;&gt;"All",'Calculations'!HE510='Calculations'!$EF$3)),0,IF(OR('Dashboard'!$B$7="All",'Calculations'!HN510='Dashboard'!$B$7),IF('Calculations'!$EF$2="All",1,IF('Calculations'!HL510&gt;0,0,IF(COUNTIF('Calculations'!HO510:II510,"="&amp;SUBSTITUTE(SUBSTITUTE(SUBSTITUTE('Calculations'!$EF$2,"~","~~"),"*","~*"),"?","~?"))=0,0,IF('Calculations'!$EF$3="All",1,IF(COUNTIF('Calculations'!HO510:II510,"="&amp;SUBSTITUTE(SUBSTITUTE(SUBSTITUTE('Calculations'!$EF$3,"~","~~"),"*","~*"),"?","~?"))&gt;0,1,0))))),0))</x:f>
        <x:v>0</x:v>
      </x:c>
      <x:c r="EO510" s="4" t="str">
        <x:f>IF('Calculations'!IJ510="","",IF('Calculations'!IJ510="!UNRESOLVED","Unresolved hierarchy",IFERROR(INDEX('Calculations'!$HK$13:$HK$512,MATCH('Calculations'!IJ510,'Calculations'!$HE$13:$HE$512,0)),IFERROR(INDEX('Calculations'!$HJ$13:$HJ$512,MATCH('Calculations'!IJ510,'Calculations'!$HF$13:$HF$512,0)),'Calculations'!IJ510))))</x:f>
      </x:c>
      <x:c r="EP510" s="4" t="n">
        <x:f>IF(AND('Calculations'!EM510&lt;&gt;"",'Calculations'!HF510='Calculations'!IJ510),1,0)</x:f>
        <x:v>0</x:v>
      </x:c>
      <x:c r="EQ510" s="4"/>
      <x:c r="ER510" s="4"/>
      <x:c r="ES510" s="4"/>
      <x:c r="ET510" s="4"/>
      <x:c r="EU510" s="4"/>
      <x:c r="EV510" s="4"/>
      <x:c r="EW510" s="4"/>
      <x:c r="EX510" s="4"/>
      <x:c r="EY510" s="4"/>
      <x:c r="EZ510" s="4"/>
      <x:c r="FA510" s="4"/>
      <x:c r="FB510" s="4"/>
      <x:c r="FC510" s="4"/>
      <x:c r="FD510" s="4"/>
      <x:c r="FE510" s="4"/>
      <x:c r="FF510" s="4"/>
      <x:c r="FG510" s="4"/>
      <x:c r="FH510" s="4"/>
      <x:c r="FI510" s="4"/>
      <x:c r="FJ510" s="4"/>
      <x:c r="FK510" s="4"/>
      <x:c r="FL510" s="4"/>
      <x:c r="FM510" s="4"/>
      <x:c r="FN510" s="4"/>
      <x:c r="FO510" s="4"/>
      <x:c r="HE510" t="str">
        <x:f>IF('Calculations'!EM510="","",IF(IFERROR(IF(INDEX(INDIRECT("'WCM Calibration Final'!$A$1:$A$2000"),'Calculations'!$EM510)="","",TRIM(INDEX(INDIRECT("'WCM Calibration Final'!$A$1:$A$2000"),'Calculations'!$EM510)&amp;"")),"")&lt;&gt;"","G:"&amp;IFERROR(TEXT(1*INDEX(INDIRECT("'WCM Calibration Final'!$A$1:$A$2000"),'Calculations'!$EM510),"0"),UPPER(IFERROR(IF(INDEX(INDIRECT("'WCM Calibration Final'!$A$1:$A$2000"),'Calculations'!$EM510)="","",TRIM(INDEX(INDIRECT("'WCM Calibration Final'!$A$1:$A$2000"),'Calculations'!$EM510)&amp;"")),""))),IF(IFERROR(IF(INDEX(INDIRECT("'WCM Calibration Final'!$C$1:$C$2000"),'Calculations'!$EM510)="","",TRIM(INDEX(INDIRECT("'WCM Calibration Final'!$C$1:$C$2000"),'Calculations'!$EM510)&amp;"")),"")&lt;&gt;"","S:"&amp;UPPER(IFERROR(IF(INDEX(INDIRECT("'WCM Calibration Final'!$C$1:$C$2000"),'Calculations'!$EM510)="","",TRIM(INDEX(INDIRECT("'WCM Calibration Final'!$C$1:$C$2000"),'Calculations'!$EM510)&amp;"")),"")),"R:"&amp;'Calculations'!EM510)))</x:f>
      </x:c>
      <x:c r="HF510" t="str">
        <x:f>IF('Calculations'!EM510="","",IF(IFERROR(IF(INDEX(INDIRECT("'WCM Calibration Final'!$D$1:$D$2000"),'Calculations'!$EM510)="","",TRIM(INDEX(INDIRECT("'WCM Calibration Final'!$D$1:$D$2000"),'Calculations'!$EM510)&amp;"")),"")&lt;&gt;"","G:"&amp;IFERROR(TEXT(1*INDEX(INDIRECT("'WCM Calibration Final'!$D$1:$D$2000"),'Calculations'!$EM510),"0"),UPPER(IFERROR(IF(INDEX(INDIRECT("'WCM Calibration Final'!$D$1:$D$2000"),'Calculations'!$EM510)="","",TRIM(INDEX(INDIRECT("'WCM Calibration Final'!$D$1:$D$2000"),'Calculations'!$EM510)&amp;"")),""))),IF(IFERROR(IF(INDEX(INDIRECT("'WCM Calibration Final'!$E$1:$E$2000"),'Calculations'!$EM510)="","",TRIM(INDEX(INDIRECT("'WCM Calibration Final'!$E$1:$E$2000"),'Calculations'!$EM510)&amp;"")),"")="","",IF(COUNTIF('Calculations'!$HG$13:$HG$512,"="&amp;SUBSTITUTE(SUBSTITUTE(SUBSTITUTE(IFERROR(IF(INDEX(INDIRECT("'WCM Calibration Final'!$E$1:$E$2000"),'Calculations'!$EM510)="","",TRIM(INDEX(INDIRECT("'WCM Calibration Final'!$E$1:$E$2000"),'Calculations'!$EM510)&amp;"")),""),"~","~~"),"*","~*"),"?","~?"))=1,INDEX('Calculations'!$HE$13:$HE$512,MATCH(IFERROR(IF(INDEX(INDIRECT("'WCM Calibration Final'!$E$1:$E$2000"),'Calculations'!$EM510)="","",TRIM(INDEX(INDIRECT("'WCM Calibration Final'!$E$1:$E$2000"),'Calculations'!$EM510)&amp;"")),""),'Calculations'!$HG$13:$HG$512,0)),IF(COUNTIF('Calculations'!$HG$13:$HG$512,"="&amp;SUBSTITUTE(SUBSTITUTE(SUBSTITUTE(IFERROR(IF(INDEX(INDIRECT("'WCM Calibration Final'!$E$1:$E$2000"),'Calculations'!$EM510)="","",TRIM(INDEX(INDIRECT("'WCM Calibration Final'!$E$1:$E$2000"),'Calculations'!$EM510)&amp;"")),""),"~","~~"),"*","~*"),"?","~?"))&gt;1,"!AMBIG","X:"&amp;IFERROR(IF(INDEX(INDIRECT("'WCM Calibration Final'!$E$1:$E$2000"),'Calculations'!$EM510)="","",TRIM(INDEX(INDIRECT("'WCM Calibration Final'!$E$1:$E$2000"),'Calculations'!$EM510)&amp;"")),""))))))</x:f>
      </x:c>
      <x:c r="HG510" t="str">
        <x:f>IF('Calculations'!EM510="","",IFERROR(IF(INDEX(INDIRECT("'WCM Calibration Final'!$B$1:$B$2000"),'Calculations'!$EM510)="","",TRIM(INDEX(INDIRECT("'WCM Calibration Final'!$B$1:$B$2000"),'Calculations'!$EM510)&amp;"")),""))</x:f>
      </x:c>
      <x:c r="HH510" t="n">
        <x:f>IF(AND('Calculations'!JC510&gt;0,COUNTIF('Calculations'!$HF$12:HF510,"="&amp;SUBSTITUTE(SUBSTITUTE(SUBSTITUTE('Calculations'!HF510,"~","~~"),"*","~*"),"?","~?"))=1),MAX('Calculations'!$HH$12:HH509)+1,0)</x:f>
        <x:v>0</x:v>
      </x:c>
      <x:c r="HI510" t="n">
        <x:f>IF(AND('Calculations'!HN510&lt;&gt;"",COUNTIF('Calculations'!$HN$12:HN510,"="&amp;SUBSTITUTE(SUBSTITUTE(SUBSTITUTE('Calculations'!HN510,"~","~~"),"*","~*"),"?","~?"))=1),MAX('Calculations'!$HI$12:HI509)+1,0)</x:f>
        <x:v>0</x:v>
      </x:c>
      <x:c r="HJ510" t="str">
        <x:f>IF('Calculations'!HF510="","",IF(COUNTIF('Calculations'!$HE$13:$HE$512,"="&amp;SUBSTITUTE(SUBSTITUTE(SUBSTITUTE('Calculations'!HF510,"~","~~"),"*","~*"),"?","~?"))=1,INDEX('Calculations'!$HK$13:$HK$512,MATCH('Calculations'!HF510,'Calculations'!$HE$13:$HE$512,0)),IFERROR(IF(INDEX(INDIRECT("'WCM Calibration Final'!$E$1:$E$2000"),'Calculations'!$EM510)="","",TRIM(INDEX(INDIRECT("'WCM Calibration Final'!$E$1:$E$2000"),'Calculations'!$EM510)&amp;"")),"")&amp;" ["&amp;'Calculations'!HF510&amp;"]"))</x:f>
      </x:c>
      <x:c r="HK510" t="str">
        <x:f>IF('Calculations'!EM510="","",'Calculations'!HG510&amp;" ["&amp;'Calculations'!HE510&amp;"]")</x:f>
      </x:c>
      <x:c r="HL510" t="n">
        <x:f>IF('Calculations'!EM510="",0,IF(OR('Calculations'!II510&lt;&gt;"",COUNTIF('Calculations'!$HE$13:$HE$512,"="&amp;SUBSTITUTE(SUBSTITUTE(SUBSTITUTE('Calculations'!HE510,"~","~~"),"*","~*"),"?","~?"))&gt;1),1,0))</x:f>
        <x:v>0</x:v>
      </x:c>
      <x:c r="HM510" t="str">
        <x:f>IF('Calculations'!EM510="","",IF('Calculations'!HL510=1,"!UNRESOLVED",IF('Calculations'!IH510&lt;&gt;"",'Calculations'!IH510,IF('Calculations'!IG510&lt;&gt;"",'Calculations'!IG510,IF('Calculations'!IF510&lt;&gt;"",'Calculations'!IF510,IF('Calculations'!IE510&lt;&gt;"",'Calculations'!IE510,IF('Calculations'!ID510&lt;&gt;"",'Calculations'!ID510,IF('Calculations'!IC510&lt;&gt;"",'Calculations'!IC510,IF('Calculations'!IB510&lt;&gt;"",'Calculations'!IB510,IF('Calculations'!IA510&lt;&gt;"",'Calculations'!IA510,IF('Calculations'!HZ510&lt;&gt;"",'Calculations'!HZ510,IF('Calculations'!HY510&lt;&gt;"",'Calculations'!HY510,IF('Calculations'!HX510&lt;&gt;"",'Calculations'!HX510,IF('Calculations'!HW510&lt;&gt;"",'Calculations'!HW510,IF('Calculations'!HV510&lt;&gt;"",'Calculations'!HV510,IF('Calculations'!HU510&lt;&gt;"",'Calculations'!HU510,IF('Calculations'!HT510&lt;&gt;"",'Calculations'!HT510,IF('Calculations'!HS510&lt;&gt;"",'Calculations'!HS510,IF('Calculations'!HR510&lt;&gt;"",'Calculations'!HR510,IF('Calculations'!HQ510&lt;&gt;"",'Calculations'!HQ510,IF('Calculations'!HP510&lt;&gt;"",'Calculations'!HP510,IF('Calculations'!HO510&lt;&gt;"",'Calculations'!HO510,'Calculations'!HE510))))))))))))))))))))))</x:f>
      </x:c>
      <x:c r="HN510" t="str">
        <x:f>IF('Calculations'!EM510="","",IF(IFERROR(IF(INDEX(INDIRECT("'WCM Calibration Final'!$F$1:$F$2000"),'Calculations'!$EM510)="","",TRIM(INDEX(INDIRECT("'WCM Calibration Final'!$F$1:$F$2000"),'Calculations'!$EM510)&amp;"")),"")="","(Blank)",IFERROR(IF(INDEX(INDIRECT("'WCM Calibration Final'!$F$1:$F$2000"),'Calculations'!$EM510)="","",TRIM(INDEX(INDIRECT("'WCM Calibration Final'!$F$1:$F$2000"),'Calculations'!$EM510)&amp;"")),"")))</x:f>
      </x:c>
      <x:c r="HO510" t="str">
        <x:f>'Calculations'!HF510</x:f>
      </x:c>
      <x:c r="HP510" t="str">
        <x:f>IF('Calculations'!HO510="","",IF('Calculations'!HO510="!AMBIG","!AMBIG",IF(COUNTIF('Calculations'!$HE$13:$HE$512,"="&amp;SUBSTITUTE(SUBSTITUTE(SUBSTITUTE('Calculations'!HO510,"~","~~"),"*","~*"),"?","~?"))&gt;1,"!AMBIG",IFERROR(INDEX('Calculations'!$HF$13:$HF$512,MATCH('Calculations'!HO510,'Calculations'!$HE$13:$HE$512,0)),""))))</x:f>
      </x:c>
      <x:c r="HQ510" t="str">
        <x:f>IF('Calculations'!HP510="","",IF('Calculations'!HP510="!AMBIG","!AMBIG",IF(COUNTIF('Calculations'!$HE$13:$HE$512,"="&amp;SUBSTITUTE(SUBSTITUTE(SUBSTITUTE('Calculations'!HP510,"~","~~"),"*","~*"),"?","~?"))&gt;1,"!AMBIG",IFERROR(INDEX('Calculations'!$HF$13:$HF$512,MATCH('Calculations'!HP510,'Calculations'!$HE$13:$HE$512,0)),""))))</x:f>
      </x:c>
      <x:c r="HR510" t="str">
        <x:f>IF('Calculations'!HQ510="","",IF('Calculations'!HQ510="!AMBIG","!AMBIG",IF(COUNTIF('Calculations'!$HE$13:$HE$512,"="&amp;SUBSTITUTE(SUBSTITUTE(SUBSTITUTE('Calculations'!HQ510,"~","~~"),"*","~*"),"?","~?"))&gt;1,"!AMBIG",IFERROR(INDEX('Calculations'!$HF$13:$HF$512,MATCH('Calculations'!HQ510,'Calculations'!$HE$13:$HE$512,0)),""))))</x:f>
      </x:c>
      <x:c r="HS510" t="str">
        <x:f>IF('Calculations'!HR510="","",IF('Calculations'!HR510="!AMBIG","!AMBIG",IF(COUNTIF('Calculations'!$HE$13:$HE$512,"="&amp;SUBSTITUTE(SUBSTITUTE(SUBSTITUTE('Calculations'!HR510,"~","~~"),"*","~*"),"?","~?"))&gt;1,"!AMBIG",IFERROR(INDEX('Calculations'!$HF$13:$HF$512,MATCH('Calculations'!HR510,'Calculations'!$HE$13:$HE$512,0)),""))))</x:f>
      </x:c>
      <x:c r="HT510" t="str">
        <x:f>IF('Calculations'!HS510="","",IF('Calculations'!HS510="!AMBIG","!AMBIG",IF(COUNTIF('Calculations'!$HE$13:$HE$512,"="&amp;SUBSTITUTE(SUBSTITUTE(SUBSTITUTE('Calculations'!HS510,"~","~~"),"*","~*"),"?","~?"))&gt;1,"!AMBIG",IFERROR(INDEX('Calculations'!$HF$13:$HF$512,MATCH('Calculations'!HS510,'Calculations'!$HE$13:$HE$512,0)),""))))</x:f>
      </x:c>
      <x:c r="HU510" t="str">
        <x:f>IF('Calculations'!HT510="","",IF('Calculations'!HT510="!AMBIG","!AMBIG",IF(COUNTIF('Calculations'!$HE$13:$HE$512,"="&amp;SUBSTITUTE(SUBSTITUTE(SUBSTITUTE('Calculations'!HT510,"~","~~"),"*","~*"),"?","~?"))&gt;1,"!AMBIG",IFERROR(INDEX('Calculations'!$HF$13:$HF$512,MATCH('Calculations'!HT510,'Calculations'!$HE$13:$HE$512,0)),""))))</x:f>
      </x:c>
      <x:c r="HV510" t="str">
        <x:f>IF('Calculations'!HU510="","",IF('Calculations'!HU510="!AMBIG","!AMBIG",IF(COUNTIF('Calculations'!$HE$13:$HE$512,"="&amp;SUBSTITUTE(SUBSTITUTE(SUBSTITUTE('Calculations'!HU510,"~","~~"),"*","~*"),"?","~?"))&gt;1,"!AMBIG",IFERROR(INDEX('Calculations'!$HF$13:$HF$512,MATCH('Calculations'!HU510,'Calculations'!$HE$13:$HE$512,0)),""))))</x:f>
      </x:c>
      <x:c r="HW510" t="str">
        <x:f>IF('Calculations'!HV510="","",IF('Calculations'!HV510="!AMBIG","!AMBIG",IF(COUNTIF('Calculations'!$HE$13:$HE$512,"="&amp;SUBSTITUTE(SUBSTITUTE(SUBSTITUTE('Calculations'!HV510,"~","~~"),"*","~*"),"?","~?"))&gt;1,"!AMBIG",IFERROR(INDEX('Calculations'!$HF$13:$HF$512,MATCH('Calculations'!HV510,'Calculations'!$HE$13:$HE$512,0)),""))))</x:f>
      </x:c>
      <x:c r="HX510" t="str">
        <x:f>IF('Calculations'!HW510="","",IF('Calculations'!HW510="!AMBIG","!AMBIG",IF(COUNTIF('Calculations'!$HE$13:$HE$512,"="&amp;SUBSTITUTE(SUBSTITUTE(SUBSTITUTE('Calculations'!HW510,"~","~~"),"*","~*"),"?","~?"))&gt;1,"!AMBIG",IFERROR(INDEX('Calculations'!$HF$13:$HF$512,MATCH('Calculations'!HW510,'Calculations'!$HE$13:$HE$512,0)),""))))</x:f>
      </x:c>
      <x:c r="HY510" t="str">
        <x:f>IF('Calculations'!HX510="","",IF('Calculations'!HX510="!AMBIG","!AMBIG",IF(COUNTIF('Calculations'!$HE$13:$HE$512,"="&amp;SUBSTITUTE(SUBSTITUTE(SUBSTITUTE('Calculations'!HX510,"~","~~"),"*","~*"),"?","~?"))&gt;1,"!AMBIG",IFERROR(INDEX('Calculations'!$HF$13:$HF$512,MATCH('Calculations'!HX510,'Calculations'!$HE$13:$HE$512,0)),""))))</x:f>
      </x:c>
      <x:c r="HZ510" t="str">
        <x:f>IF('Calculations'!HY510="","",IF('Calculations'!HY510="!AMBIG","!AMBIG",IF(COUNTIF('Calculations'!$HE$13:$HE$512,"="&amp;SUBSTITUTE(SUBSTITUTE(SUBSTITUTE('Calculations'!HY510,"~","~~"),"*","~*"),"?","~?"))&gt;1,"!AMBIG",IFERROR(INDEX('Calculations'!$HF$13:$HF$512,MATCH('Calculations'!HY510,'Calculations'!$HE$13:$HE$512,0)),""))))</x:f>
      </x:c>
      <x:c r="IA510" t="str">
        <x:f>IF('Calculations'!HZ510="","",IF('Calculations'!HZ510="!AMBIG","!AMBIG",IF(COUNTIF('Calculations'!$HE$13:$HE$512,"="&amp;SUBSTITUTE(SUBSTITUTE(SUBSTITUTE('Calculations'!HZ510,"~","~~"),"*","~*"),"?","~?"))&gt;1,"!AMBIG",IFERROR(INDEX('Calculations'!$HF$13:$HF$512,MATCH('Calculations'!HZ510,'Calculations'!$HE$13:$HE$512,0)),""))))</x:f>
      </x:c>
      <x:c r="IB510" t="str">
        <x:f>IF('Calculations'!IA510="","",IF('Calculations'!IA510="!AMBIG","!AMBIG",IF(COUNTIF('Calculations'!$HE$13:$HE$512,"="&amp;SUBSTITUTE(SUBSTITUTE(SUBSTITUTE('Calculations'!IA510,"~","~~"),"*","~*"),"?","~?"))&gt;1,"!AMBIG",IFERROR(INDEX('Calculations'!$HF$13:$HF$512,MATCH('Calculations'!IA510,'Calculations'!$HE$13:$HE$512,0)),""))))</x:f>
      </x:c>
      <x:c r="IC510" t="str">
        <x:f>IF('Calculations'!IB510="","",IF('Calculations'!IB510="!AMBIG","!AMBIG",IF(COUNTIF('Calculations'!$HE$13:$HE$512,"="&amp;SUBSTITUTE(SUBSTITUTE(SUBSTITUTE('Calculations'!IB510,"~","~~"),"*","~*"),"?","~?"))&gt;1,"!AMBIG",IFERROR(INDEX('Calculations'!$HF$13:$HF$512,MATCH('Calculations'!IB510,'Calculations'!$HE$13:$HE$512,0)),""))))</x:f>
      </x:c>
      <x:c r="ID510" t="str">
        <x:f>IF('Calculations'!IC510="","",IF('Calculations'!IC510="!AMBIG","!AMBIG",IF(COUNTIF('Calculations'!$HE$13:$HE$512,"="&amp;SUBSTITUTE(SUBSTITUTE(SUBSTITUTE('Calculations'!IC510,"~","~~"),"*","~*"),"?","~?"))&gt;1,"!AMBIG",IFERROR(INDEX('Calculations'!$HF$13:$HF$512,MATCH('Calculations'!IC510,'Calculations'!$HE$13:$HE$512,0)),""))))</x:f>
      </x:c>
      <x:c r="IE510" t="str">
        <x:f>IF('Calculations'!ID510="","",IF('Calculations'!ID510="!AMBIG","!AMBIG",IF(COUNTIF('Calculations'!$HE$13:$HE$512,"="&amp;SUBSTITUTE(SUBSTITUTE(SUBSTITUTE('Calculations'!ID510,"~","~~"),"*","~*"),"?","~?"))&gt;1,"!AMBIG",IFERROR(INDEX('Calculations'!$HF$13:$HF$512,MATCH('Calculations'!ID510,'Calculations'!$HE$13:$HE$512,0)),""))))</x:f>
      </x:c>
      <x:c r="IF510" t="str">
        <x:f>IF('Calculations'!IE510="","",IF('Calculations'!IE510="!AMBIG","!AMBIG",IF(COUNTIF('Calculations'!$HE$13:$HE$512,"="&amp;SUBSTITUTE(SUBSTITUTE(SUBSTITUTE('Calculations'!IE510,"~","~~"),"*","~*"),"?","~?"))&gt;1,"!AMBIG",IFERROR(INDEX('Calculations'!$HF$13:$HF$512,MATCH('Calculations'!IE510,'Calculations'!$HE$13:$HE$512,0)),""))))</x:f>
      </x:c>
      <x:c r="IG510" t="str">
        <x:f>IF('Calculations'!IF510="","",IF('Calculations'!IF510="!AMBIG","!AMBIG",IF(COUNTIF('Calculations'!$HE$13:$HE$512,"="&amp;SUBSTITUTE(SUBSTITUTE(SUBSTITUTE('Calculations'!IF510,"~","~~"),"*","~*"),"?","~?"))&gt;1,"!AMBIG",IFERROR(INDEX('Calculations'!$HF$13:$HF$512,MATCH('Calculations'!IF510,'Calculations'!$HE$13:$HE$512,0)),""))))</x:f>
      </x:c>
      <x:c r="IH510" t="str">
        <x:f>IF('Calculations'!IG510="","",IF('Calculations'!IG510="!AMBIG","!AMBIG",IF(COUNTIF('Calculations'!$HE$13:$HE$512,"="&amp;SUBSTITUTE(SUBSTITUTE(SUBSTITUTE('Calculations'!IG510,"~","~~"),"*","~*"),"?","~?"))&gt;1,"!AMBIG",IFERROR(INDEX('Calculations'!$HF$13:$HF$512,MATCH('Calculations'!IG510,'Calculations'!$HE$13:$HE$512,0)),""))))</x:f>
      </x:c>
      <x:c r="II510" t="str">
        <x:f>IF('Calculations'!IH510="","",IF('Calculations'!IH510="!AMBIG","!AMBIG",IF(COUNTIF('Calculations'!$HE$13:$HE$512,"="&amp;SUBSTITUTE(SUBSTITUTE(SUBSTITUTE('Calculations'!IH510,"~","~~"),"*","~*"),"?","~?"))&gt;1,"!AMBIG",IFERROR(INDEX('Calculations'!$HF$13:$HF$512,MATCH('Calculations'!IH510,'Calculations'!$HE$13:$HE$512,0)),""))))</x:f>
      </x:c>
      <x:c r="IJ510" t="str">
        <x:f>IF('Calculations'!EM510="","",IF('Calculations'!$EF$2="All",'Calculations'!HM510,IF('Calculations'!HL510=1,"",IFERROR(IF(MATCH('Calculations'!$EF$2,'Calculations'!HO510:II510,0)=1,'Calculations'!HE510,INDEX('Calculations'!HO510:II510,1,MATCH('Calculations'!$EF$2,'Calculations'!HO510:II510,0)-1)),""))))</x:f>
      </x:c>
      <x:c r="IK510" t="n">
        <x:f>IF(AND('Calculations'!EM510&lt;&gt;"",'Calculations'!$EF$2&lt;&gt;"All",'Calculations'!HF510='Calculations'!$EF$2,'Calculations'!HL510=0,'Calculations'!JD510&gt;0),MAX('Calculations'!$IK$12:IK509)+1,0)</x:f>
        <x:v>0</x:v>
      </x:c>
      <x:c r="JA510" t="n">
        <x:f>IF(OR(IFERROR(INDIRECT("'WCM Calibration Final'!$A$510")&lt;&gt;"",FALSE),IFERROR(INDIRECT("'WCM Calibration Final'!$B$510")&lt;&gt;"",FALSE),IFERROR(INDIRECT("'WCM Calibration Final'!$C$510")&lt;&gt;"",FALSE)),510,0)</x:f>
        <x:v>0</x:v>
      </x:c>
      <x:c r="JB510" t="n">
        <x:f>'Calculations'!JB509+IF('Calculations'!JA510&gt;0,1,0)</x:f>
        <x:v>0</x:v>
      </x:c>
      <x:c r="JC510" t="n">
        <x:f>IF(OR('Calculations'!HF510="",'Calculations'!HF510="!AMBIG"),0,IF('Dashboard'!$B$7="All",1,COUNTIFS('Calculations'!$HO$13:$HO$512,"="&amp;SUBSTITUTE(SUBSTITUTE(SUBSTITUTE('Calculations'!HF510,"~","~~"),"*","~*"),"?","~?"),'Calculations'!$HN$13:$HN$512,"="&amp;SUBSTITUTE(SUBSTITUTE(SUBSTITUTE('Dashboard'!$B$7,"~","~~"),"*","~*"),"?","~?"))+COUNTIFS('Calculations'!$HP$13:$HP$512,"="&amp;SUBSTITUTE(SUBSTITUTE(SUBSTITUTE('Calculations'!HF510,"~","~~"),"*","~*"),"?","~?"),'Calculations'!$HN$13:$HN$512,"="&amp;SUBSTITUTE(SUBSTITUTE(SUBSTITUTE('Dashboard'!$B$7,"~","~~"),"*","~*"),"?","~?"))+COUNTIFS('Calculations'!$HQ$13:$HQ$512,"="&amp;SUBSTITUTE(SUBSTITUTE(SUBSTITUTE('Calculations'!HF510,"~","~~"),"*","~*"),"?","~?"),'Calculations'!$HN$13:$HN$512,"="&amp;SUBSTITUTE(SUBSTITUTE(SUBSTITUTE('Dashboard'!$B$7,"~","~~"),"*","~*"),"?","~?"))+COUNTIFS('Calculations'!$HR$13:$HR$512,"="&amp;SUBSTITUTE(SUBSTITUTE(SUBSTITUTE('Calculations'!HF510,"~","~~"),"*","~*"),"?","~?"),'Calculations'!$HN$13:$HN$512,"="&amp;SUBSTITUTE(SUBSTITUTE(SUBSTITUTE('Dashboard'!$B$7,"~","~~"),"*","~*"),"?","~?"))+COUNTIFS('Calculations'!$HS$13:$HS$512,"="&amp;SUBSTITUTE(SUBSTITUTE(SUBSTITUTE('Calculations'!HF510,"~","~~"),"*","~*"),"?","~?"),'Calculations'!$HN$13:$HN$512,"="&amp;SUBSTITUTE(SUBSTITUTE(SUBSTITUTE('Dashboard'!$B$7,"~","~~"),"*","~*"),"?","~?"))+COUNTIFS('Calculations'!$HT$13:$HT$512,"="&amp;SUBSTITUTE(SUBSTITUTE(SUBSTITUTE('Calculations'!HF510,"~","~~"),"*","~*"),"?","~?"),'Calculations'!$HN$13:$HN$512,"="&amp;SUBSTITUTE(SUBSTITUTE(SUBSTITUTE('Dashboard'!$B$7,"~","~~"),"*","~*"),"?","~?"))+COUNTIFS('Calculations'!$HU$13:$HU$512,"="&amp;SUBSTITUTE(SUBSTITUTE(SUBSTITUTE('Calculations'!HF510,"~","~~"),"*","~*"),"?","~?"),'Calculations'!$HN$13:$HN$512,"="&amp;SUBSTITUTE(SUBSTITUTE(SUBSTITUTE('Dashboard'!$B$7,"~","~~"),"*","~*"),"?","~?"))+COUNTIFS('Calculations'!$HV$13:$HV$512,"="&amp;SUBSTITUTE(SUBSTITUTE(SUBSTITUTE('Calculations'!HF510,"~","~~"),"*","~*"),"?","~?"),'Calculations'!$HN$13:$HN$512,"="&amp;SUBSTITUTE(SUBSTITUTE(SUBSTITUTE('Dashboard'!$B$7,"~","~~"),"*","~*"),"?","~?"))+COUNTIFS('Calculations'!$HW$13:$HW$512,"="&amp;SUBSTITUTE(SUBSTITUTE(SUBSTITUTE('Calculations'!HF510,"~","~~"),"*","~*"),"?","~?"),'Calculations'!$HN$13:$HN$512,"="&amp;SUBSTITUTE(SUBSTITUTE(SUBSTITUTE('Dashboard'!$B$7,"~","~~"),"*","~*"),"?","~?"))+COUNTIFS('Calculations'!$HX$13:$HX$512,"="&amp;SUBSTITUTE(SUBSTITUTE(SUBSTITUTE('Calculations'!HF510,"~","~~"),"*","~*"),"?","~?"),'Calculations'!$HN$13:$HN$512,"="&amp;SUBSTITUTE(SUBSTITUTE(SUBSTITUTE('Dashboard'!$B$7,"~","~~"),"*","~*"),"?","~?"))+COUNTIFS('Calculations'!$HY$13:$HY$512,"="&amp;SUBSTITUTE(SUBSTITUTE(SUBSTITUTE('Calculations'!HF510,"~","~~"),"*","~*"),"?","~?"),'Calculations'!$HN$13:$HN$512,"="&amp;SUBSTITUTE(SUBSTITUTE(SUBSTITUTE('Dashboard'!$B$7,"~","~~"),"*","~*"),"?","~?"))+COUNTIFS('Calculations'!$HZ$13:$HZ$512,"="&amp;SUBSTITUTE(SUBSTITUTE(SUBSTITUTE('Calculations'!HF510,"~","~~"),"*","~*"),"?","~?"),'Calculations'!$HN$13:$HN$512,"="&amp;SUBSTITUTE(SUBSTITUTE(SUBSTITUTE('Dashboard'!$B$7,"~","~~"),"*","~*"),"?","~?"))+COUNTIFS('Calculations'!$IA$13:$IA$512,"="&amp;SUBSTITUTE(SUBSTITUTE(SUBSTITUTE('Calculations'!HF510,"~","~~"),"*","~*"),"?","~?"),'Calculations'!$HN$13:$HN$512,"="&amp;SUBSTITUTE(SUBSTITUTE(SUBSTITUTE('Dashboard'!$B$7,"~","~~"),"*","~*"),"?","~?"))+COUNTIFS('Calculations'!$IB$13:$IB$512,"="&amp;SUBSTITUTE(SUBSTITUTE(SUBSTITUTE('Calculations'!HF510,"~","~~"),"*","~*"),"?","~?"),'Calculations'!$HN$13:$HN$512,"="&amp;SUBSTITUTE(SUBSTITUTE(SUBSTITUTE('Dashboard'!$B$7,"~","~~"),"*","~*"),"?","~?"))+COUNTIFS('Calculations'!$IC$13:$IC$512,"="&amp;SUBSTITUTE(SUBSTITUTE(SUBSTITUTE('Calculations'!HF510,"~","~~"),"*","~*"),"?","~?"),'Calculations'!$HN$13:$HN$512,"="&amp;SUBSTITUTE(SUBSTITUTE(SUBSTITUTE('Dashboard'!$B$7,"~","~~"),"*","~*"),"?","~?"))+COUNTIFS('Calculations'!$ID$13:$ID$512,"="&amp;SUBSTITUTE(SUBSTITUTE(SUBSTITUTE('Calculations'!HF510,"~","~~"),"*","~*"),"?","~?"),'Calculations'!$HN$13:$HN$512,"="&amp;SUBSTITUTE(SUBSTITUTE(SUBSTITUTE('Dashboard'!$B$7,"~","~~"),"*","~*"),"?","~?"))+COUNTIFS('Calculations'!$IE$13:$IE$512,"="&amp;SUBSTITUTE(SUBSTITUTE(SUBSTITUTE('Calculations'!HF510,"~","~~"),"*","~*"),"?","~?"),'Calculations'!$HN$13:$HN$512,"="&amp;SUBSTITUTE(SUBSTITUTE(SUBSTITUTE('Dashboard'!$B$7,"~","~~"),"*","~*"),"?","~?"))+COUNTIFS('Calculations'!$IF$13:$IF$512,"="&amp;SUBSTITUTE(SUBSTITUTE(SUBSTITUTE('Calculations'!HF510,"~","~~"),"*","~*"),"?","~?"),'Calculations'!$HN$13:$HN$512,"="&amp;SUBSTITUTE(SUBSTITUTE(SUBSTITUTE('Dashboard'!$B$7,"~","~~"),"*","~*"),"?","~?"))+COUNTIFS('Calculations'!$IG$13:$IG$512,"="&amp;SUBSTITUTE(SUBSTITUTE(SUBSTITUTE('Calculations'!HF510,"~","~~"),"*","~*"),"?","~?"),'Calculations'!$HN$13:$HN$512,"="&amp;SUBSTITUTE(SUBSTITUTE(SUBSTITUTE('Dashboard'!$B$7,"~","~~"),"*","~*"),"?","~?"))+COUNTIFS('Calculations'!$IH$13:$IH$512,"="&amp;SUBSTITUTE(SUBSTITUTE(SUBSTITUTE('Calculations'!HF510,"~","~~"),"*","~*"),"?","~?"),'Calculations'!$HN$13:$HN$512,"="&amp;SUBSTITUTE(SUBSTITUTE(SUBSTITUTE('Dashboard'!$B$7,"~","~~"),"*","~*"),"?","~?"))))</x:f>
        <x:v>0</x:v>
      </x:c>
      <x:c r="JD510" t="n">
        <x:f>IF('Calculations'!EM510="",0,IF('Dashboard'!$B$7="All",1,IF('Calculations'!HN510='Dashboard'!$B$7,1,0)+IFERROR(INDEX('Calculations'!$JC$13:$JC$512,MATCH('Calculations'!HE510,'Calculations'!$HF$13:$HF$512,0)),0)))</x:f>
        <x:v>0</x:v>
      </x:c>
      <x:c r="JE510" t="n">
        <x:f>IF(AND('Calculations'!EM510&lt;&gt;"",'Calculations'!$JJ$2&lt;&gt;"All",'Calculations'!$JJ$2&lt;&gt;"",'Calculations'!HF510='Calculations'!$JJ$2,'Calculations'!HL510=0,'Calculations'!JD510&gt;0),MAX('Calculations'!$JE$12:JE509)+1,0)</x:f>
        <x:v>0</x:v>
      </x:c>
      <x:c r="JF510" t="str">
        <x:f>IF('Calculations'!EM510="","",IFERROR(IF(INDEX(INDIRECT("'WCM Calibration Final'!$G$1:$G$2000"),'Calculations'!$EM510)="","",TRIM(INDEX(INDIRECT("'WCM Calibration Final'!$G$1:$G$2000"),'Calculations'!$EM510)&amp;"")),""))</x:f>
      </x:c>
      <x:c r="JQ510" t="n">
        <x:f>IF(OR('Calculations'!BM510=0,NOT('Calculations'!$AG$2),'Calculations'!$AG$8&gt;0),0,IF(OR('Dashboard'!$B$7="All",'Calculations'!HN510='Dashboard'!$B$7),IF('Calculations'!$JJ$2="All",1,IF(AND('Calculations'!HF510='Calculations'!$JJ$2,'Calculations'!HL510=0),1,0)),0))</x:f>
        <x:v>0</x:v>
      </x:c>
    </x:row>
    <x:row r="511">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t="n">
        <x:f>IF('Calculations'!$EM511="",0,IF(OR(IFERROR(INDEX(INDIRECT("'WCM Calibration Final'!$A$1:$A$2000"),'Calculations'!$EM511)&lt;&gt;"",FALSE),IFERROR(INDEX(INDIRECT("'WCM Calibration Final'!$B$1:$B$2000"),'Calculations'!$EM511)&lt;&gt;"",FALSE),IFERROR(INDEX(INDIRECT("'WCM Calibration Final'!$C$1:$C$2000"),'Calculations'!$EM511)&lt;&gt;"",FALSE)),1,0))</x:f>
        <x:v>0</x:v>
      </x:c>
      <x:c r="BN511" s="4" t="n">
        <x:f>IF(AND('Calculations'!BM511=1,'Calculations'!$AG$2,'Calculations'!$EN511=1),1,0)</x:f>
        <x:v>0</x:v>
      </x:c>
      <x:c r="BO511" s="4" t="str">
        <x:f>IF('Calculations'!BM511=0,"",IFERROR(IF(AND(VALUE(INDEX(INDIRECT("'WCM Calibration Final'!$K$1:$K$2000"),'Calculations'!$EM511))&gt;=1,VALUE(INDEX(INDIRECT("'WCM Calibration Final'!$K$1:$K$2000"),'Calculations'!$EM511))&lt;=4,MOD(VALUE(INDEX(INDIRECT("'WCM Calibration Final'!$K$1:$K$2000"),'Calculations'!$EM511)),1)=0),VALUE(INDEX(INDIRECT("'WCM Calibration Final'!$K$1:$K$2000"),'Calculations'!$EM511)),""),""))</x:f>
      </x:c>
      <x:c r="BP511" s="4" t="str">
        <x:f>IF('Calculations'!BM511=0,"",IFERROR(IF(AND(VALUE(INDEX(INDIRECT("'WCM Calibration Final'!$L$1:$L$2000"),'Calculations'!$EM511))&gt;=1,VALUE(INDEX(INDIRECT("'WCM Calibration Final'!$L$1:$L$2000"),'Calculations'!$EM511))&lt;=4,MOD(VALUE(INDEX(INDIRECT("'WCM Calibration Final'!$L$1:$L$2000"),'Calculations'!$EM511)),1)=0),VALUE(INDEX(INDIRECT("'WCM Calibration Final'!$L$1:$L$2000"),'Calculations'!$EM511)),""),""))</x:f>
      </x:c>
      <x:c r="BQ511" s="4"/>
      <x:c r="BR511" s="4"/>
      <x:c r="BS511" s="4"/>
      <x:c r="BT511" s="4" t="n">
        <x:f>IF(AND('Calculations'!BM511=1,ISNUMBER('Calculations'!BO511),ISNUMBER('Calculations'!BP511)),1,0)</x:f>
        <x:v>0</x:v>
      </x:c>
      <x:c r="BU511" s="4" t="str">
        <x:f>IF('Calculations'!BM511=0,"",'Calculations'!$EO511)</x:f>
      </x:c>
      <x:c r="BV511" s="4" t="str">
        <x:f>IF('Calculations'!BM511=0,"",IFERROR(IF(OR(INDEX(INDIRECT("'WCM Calibration Final'!$H$1:$H$2000"),'Calculations'!$EM511)="MANAGING DIRECTOR",INDEX(INDIRECT("'WCM Calibration Final'!$H$1:$H$2000"),'Calculations'!$EM511)="DIRECTOR",INDEX(INDIRECT("'WCM Calibration Final'!$H$1:$H$2000"),'Calculations'!$EM511)="SENIOR VICE PRESIDENT",INDEX(INDIRECT("'WCM Calibration Final'!$H$1:$H$2000"),'Calculations'!$EM511)="VICE PRESIDENT",INDEX(INDIRECT("'WCM Calibration Final'!$H$1:$H$2000"),'Calculations'!$EM511)="ASSISTANT VICE PRESIDENT",INDEX(INDIRECT("'WCM Calibration Final'!$H$1:$H$2000"),'Calculations'!$EM511)="OFFICER"),UPPER(INDEX(INDIRECT("'WCM Calibration Final'!$H$1:$H$2000"),'Calculations'!$EM511)),"Other"),"Other"))</x:f>
      </x:c>
      <x:c r="BW511" s="4"/>
      <x:c r="BX511" s="4"/>
      <x:c r="BY511" s="4" t="n">
        <x:f>IF(AND('Calculations'!BM511=1,'Calculations'!BU511&lt;&gt;"",COUNTIF('Calculations'!$BU$12:BU511,'Calculations'!BU511)=1),MAX('Calculations'!$BY$11:BY510)+1,0)</x:f>
        <x:v>0</x:v>
      </x:c>
      <x:c r="BZ511" s="4" t="str">
        <x:f>IF('Dashboard'!$E$67="What",'Calculations'!BO511,'Calculations'!BP511)</x:f>
      </x:c>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t="str">
        <x:f>IF(500&gt;MAX('Calculations'!$HI$13:$HI$512),"",INDEX('Calculations'!$HN$13:$HN$512,MATCH(500,'Calculations'!$HI$13:$HI$512,0)))</x:f>
      </x:c>
      <x:c r="DB511" s="4" t="str">
        <x:f>IF(500&gt;MAX('Calculations'!$HH$13:$HH$512),"",INDEX('Calculations'!$HJ$13:$HJ$512,MATCH(500,'Calculations'!$HH$13:$HH$512,0)))</x:f>
      </x:c>
      <x:c r="DC511" s="4" t="str">
        <x:f>IF(ROW()-11&gt;MAX('Calculations'!$BY$13:$BY$512),"",INDEX('Calculations'!$BU$13:$BU$512,MATCH(ROW()-11,'Calculations'!$BY$13:$BY$512,0)))</x:f>
      </x:c>
      <x:c r="DD511" s="4" t="str">
        <x:f>IF(500&gt;MAX('Calculations'!$IK$13:$IK$512),"",INDEX('Calculations'!$HK$13:$HK$512,MATCH(500,'Calculations'!$IK$13:$IK$512,0)))</x:f>
      </x:c>
      <x:c r="DE511" s="4" t="str">
        <x:f>'Calculations'!DC511</x:f>
      </x:c>
      <x:c r="DF511" s="4" t="str">
        <x:f>IF('Calculations'!DE511="","",COUNTIFS('Calculations'!$BN$13:$BN$512,1,'Calculations'!$BU$13:$BU$512,'Calculations'!DE511))</x:f>
      </x:c>
      <x:c r="DG511" s="4" t="str">
        <x:f>IF('Calculations'!DE511="","",COUNTIFS('Calculations'!$BN$13:$BN$512,1,'Calculations'!$BU$13:$BU$512,'Calculations'!DE511,'Calculations'!$BT$13:$BT$512,1))</x:f>
      </x:c>
      <x:c r="DH511" s="4" t="str">
        <x:f>IF('Calculations'!DE511="","",'Calculations'!DF511-'Calculations'!DG511)</x:f>
      </x:c>
      <x:c r="DI511" s="4" t="str">
        <x:f>IF(OR('Calculations'!DE511="",'Calculations'!DF511=0),"",'Calculations'!DG511/'Calculations'!DF511)</x:f>
      </x:c>
      <x:c r="DJ511" s="4" t="str">
        <x:f>IF('Calculations'!DE511="","",COUNTIFS('Calculations'!$BN$13:$BN$512,1,'Calculations'!$BU$13:$BU$512,'Calculations'!DE511,'Calculations'!$BT$13:$BT$512,1,'Calculations'!$EE$13:$EE$512,"High"))</x:f>
      </x:c>
      <x:c r="DK511" s="4" t="str">
        <x:f>IF('Calculations'!DE511="","",COUNTIFS('Calculations'!$BN$13:$BN$512,1,'Calculations'!$BU$13:$BU$512,'Calculations'!DE511,'Calculations'!$BT$13:$BT$512,1,'Calculations'!$EE$13:$EE$512,"Strong"))</x:f>
      </x:c>
      <x:c r="DL511" s="4" t="str">
        <x:f>IF('Calculations'!DE511="","",COUNTIFS('Calculations'!$BN$13:$BN$512,1,'Calculations'!$BU$13:$BU$512,'Calculations'!DE511,'Calculations'!$BT$13:$BT$512,1,'Calculations'!$EE$13:$EE$512,"Solid"))</x:f>
      </x:c>
      <x:c r="DM511" s="4" t="str">
        <x:f>IF('Calculations'!DE511="","",COUNTIFS('Calculations'!$BN$13:$BN$512,1,'Calculations'!$BU$13:$BU$512,'Calculations'!DE511,'Calculations'!$BT$13:$BT$512,1,'Calculations'!$EE$13:$EE$512,"Low"))</x:f>
      </x:c>
      <x:c r="DN511" s="4" t="str">
        <x:f>IF('Calculations'!DE511="","",COUNTIFS('Calculations'!$BN$13:$BN$512,1,'Calculations'!$BU$13:$BU$512,'Calculations'!DE511,'Calculations'!$EP$13:$EP$512,1))</x:f>
      </x:c>
      <x:c r="DO511" s="4" t="str">
        <x:f>IF(OR('Calculations'!DE511="",'Calculations'!DG511=0),"",('Calculations'!DJ511+'Calculations'!DK511)/'Calculations'!DG511)</x:f>
      </x:c>
      <x:c r="DP511" s="4" t="n">
        <x:f>IF(AND('Calculations'!DE511&lt;&gt;"",'Calculations'!DF511&gt;0),COUNTIF('Calculations'!$DF$12:DF511,"&gt;0"),0)</x:f>
        <x:v>0</x:v>
      </x:c>
      <x:c r="DQ511" s="4" t="str">
        <x:f>IF(500&gt;MAX('Calculations'!$HH$13:$HH$512),"",INDEX('Calculations'!$HF$13:$HF$512,MATCH(500,'Calculations'!$HH$13:$HH$512,0)))</x:f>
      </x:c>
      <x:c r="DR511" s="4" t="str">
        <x:f>IF(500&gt;MAX('Calculations'!$IK$13:$IK$512),"",INDEX('Calculations'!$HE$13:$HE$512,MATCH(500,'Calculations'!$IK$13:$IK$512,0)))</x:f>
      </x:c>
      <x:c r="DS511" s="4"/>
      <x:c r="DT511" s="4"/>
      <x:c r="DU511" s="4"/>
      <x:c r="DV511" s="4"/>
      <x:c r="DW511" s="4"/>
      <x:c r="DX511" s="4"/>
      <x:c r="DY511" s="4"/>
      <x:c r="DZ511" s="4"/>
      <x:c r="EA511" s="4"/>
      <x:c r="EB511" s="4"/>
      <x:c r="EC511" s="4"/>
      <x:c r="ED511" s="4"/>
      <x:c r="EE511" s="4" t="str">
        <x:f>IF('Calculations'!BT511=0,"Not Rated",IF(OR('Calculations'!BO511&gt;=4,'Calculations'!BP511&gt;=4),"Low",IF('Calculations'!BO511+'Calculations'!BP511&lt;=3,"High",IF('Calculations'!BO511+'Calculations'!BP511&lt;=4,"Strong","Solid"))))</x:f>
        <x:v>Not Rated</x:v>
      </x:c>
      <x:c r="EF511" s="4"/>
      <x:c r="EG511" s="4"/>
      <x:c r="EH511" s="4"/>
      <x:c r="EI511" s="4"/>
      <x:c r="EJ511" s="4"/>
      <x:c r="EK511" s="4"/>
      <x:c r="EL511" s="4"/>
      <x:c r="EM511" s="4" t="str">
        <x:f>IF(499&gt;'Calculations'!$JB$2000,"",INDEX('Calculations'!$JA$12:$JA$2000,MATCH(499,'Calculations'!$JB$12:$JB$2000,0)))</x:f>
      </x:c>
      <x:c r="EN511" s="4" t="n">
        <x:f>IF(OR('Calculations'!EM511="",'Calculations'!$AG$8&gt;0,AND('Calculations'!$EF$2&lt;&gt;"All",'Calculations'!HE511='Calculations'!$EF$2),AND('Calculations'!$EF$3&lt;&gt;"All",'Calculations'!HE511='Calculations'!$EF$3)),0,IF(OR('Dashboard'!$B$7="All",'Calculations'!HN511='Dashboard'!$B$7),IF('Calculations'!$EF$2="All",1,IF('Calculations'!HL511&gt;0,0,IF(COUNTIF('Calculations'!HO511:II511,"="&amp;SUBSTITUTE(SUBSTITUTE(SUBSTITUTE('Calculations'!$EF$2,"~","~~"),"*","~*"),"?","~?"))=0,0,IF('Calculations'!$EF$3="All",1,IF(COUNTIF('Calculations'!HO511:II511,"="&amp;SUBSTITUTE(SUBSTITUTE(SUBSTITUTE('Calculations'!$EF$3,"~","~~"),"*","~*"),"?","~?"))&gt;0,1,0))))),0))</x:f>
        <x:v>0</x:v>
      </x:c>
      <x:c r="EO511" s="4" t="str">
        <x:f>IF('Calculations'!IJ511="","",IF('Calculations'!IJ511="!UNRESOLVED","Unresolved hierarchy",IFERROR(INDEX('Calculations'!$HK$13:$HK$512,MATCH('Calculations'!IJ511,'Calculations'!$HE$13:$HE$512,0)),IFERROR(INDEX('Calculations'!$HJ$13:$HJ$512,MATCH('Calculations'!IJ511,'Calculations'!$HF$13:$HF$512,0)),'Calculations'!IJ511))))</x:f>
      </x:c>
      <x:c r="EP511" s="4" t="n">
        <x:f>IF(AND('Calculations'!EM511&lt;&gt;"",'Calculations'!HF511='Calculations'!IJ511),1,0)</x:f>
        <x:v>0</x:v>
      </x:c>
      <x:c r="EQ511" s="4"/>
      <x:c r="ER511" s="4"/>
      <x:c r="ES511" s="4"/>
      <x:c r="ET511" s="4"/>
      <x:c r="EU511" s="4"/>
      <x:c r="EV511" s="4"/>
      <x:c r="EW511" s="4"/>
      <x:c r="EX511" s="4"/>
      <x:c r="EY511" s="4"/>
      <x:c r="EZ511" s="4"/>
      <x:c r="FA511" s="4"/>
      <x:c r="FB511" s="4"/>
      <x:c r="FC511" s="4"/>
      <x:c r="FD511" s="4"/>
      <x:c r="FE511" s="4"/>
      <x:c r="FF511" s="4"/>
      <x:c r="FG511" s="4"/>
      <x:c r="FH511" s="4"/>
      <x:c r="FI511" s="4"/>
      <x:c r="FJ511" s="4"/>
      <x:c r="FK511" s="4"/>
      <x:c r="FL511" s="4"/>
      <x:c r="FM511" s="4"/>
      <x:c r="FN511" s="4"/>
      <x:c r="FO511" s="4"/>
      <x:c r="HE511" t="str">
        <x:f>IF('Calculations'!EM511="","",IF(IFERROR(IF(INDEX(INDIRECT("'WCM Calibration Final'!$A$1:$A$2000"),'Calculations'!$EM511)="","",TRIM(INDEX(INDIRECT("'WCM Calibration Final'!$A$1:$A$2000"),'Calculations'!$EM511)&amp;"")),"")&lt;&gt;"","G:"&amp;IFERROR(TEXT(1*INDEX(INDIRECT("'WCM Calibration Final'!$A$1:$A$2000"),'Calculations'!$EM511),"0"),UPPER(IFERROR(IF(INDEX(INDIRECT("'WCM Calibration Final'!$A$1:$A$2000"),'Calculations'!$EM511)="","",TRIM(INDEX(INDIRECT("'WCM Calibration Final'!$A$1:$A$2000"),'Calculations'!$EM511)&amp;"")),""))),IF(IFERROR(IF(INDEX(INDIRECT("'WCM Calibration Final'!$C$1:$C$2000"),'Calculations'!$EM511)="","",TRIM(INDEX(INDIRECT("'WCM Calibration Final'!$C$1:$C$2000"),'Calculations'!$EM511)&amp;"")),"")&lt;&gt;"","S:"&amp;UPPER(IFERROR(IF(INDEX(INDIRECT("'WCM Calibration Final'!$C$1:$C$2000"),'Calculations'!$EM511)="","",TRIM(INDEX(INDIRECT("'WCM Calibration Final'!$C$1:$C$2000"),'Calculations'!$EM511)&amp;"")),"")),"R:"&amp;'Calculations'!EM511)))</x:f>
      </x:c>
      <x:c r="HF511" t="str">
        <x:f>IF('Calculations'!EM511="","",IF(IFERROR(IF(INDEX(INDIRECT("'WCM Calibration Final'!$D$1:$D$2000"),'Calculations'!$EM511)="","",TRIM(INDEX(INDIRECT("'WCM Calibration Final'!$D$1:$D$2000"),'Calculations'!$EM511)&amp;"")),"")&lt;&gt;"","G:"&amp;IFERROR(TEXT(1*INDEX(INDIRECT("'WCM Calibration Final'!$D$1:$D$2000"),'Calculations'!$EM511),"0"),UPPER(IFERROR(IF(INDEX(INDIRECT("'WCM Calibration Final'!$D$1:$D$2000"),'Calculations'!$EM511)="","",TRIM(INDEX(INDIRECT("'WCM Calibration Final'!$D$1:$D$2000"),'Calculations'!$EM511)&amp;"")),""))),IF(IFERROR(IF(INDEX(INDIRECT("'WCM Calibration Final'!$E$1:$E$2000"),'Calculations'!$EM511)="","",TRIM(INDEX(INDIRECT("'WCM Calibration Final'!$E$1:$E$2000"),'Calculations'!$EM511)&amp;"")),"")="","",IF(COUNTIF('Calculations'!$HG$13:$HG$512,"="&amp;SUBSTITUTE(SUBSTITUTE(SUBSTITUTE(IFERROR(IF(INDEX(INDIRECT("'WCM Calibration Final'!$E$1:$E$2000"),'Calculations'!$EM511)="","",TRIM(INDEX(INDIRECT("'WCM Calibration Final'!$E$1:$E$2000"),'Calculations'!$EM511)&amp;"")),""),"~","~~"),"*","~*"),"?","~?"))=1,INDEX('Calculations'!$HE$13:$HE$512,MATCH(IFERROR(IF(INDEX(INDIRECT("'WCM Calibration Final'!$E$1:$E$2000"),'Calculations'!$EM511)="","",TRIM(INDEX(INDIRECT("'WCM Calibration Final'!$E$1:$E$2000"),'Calculations'!$EM511)&amp;"")),""),'Calculations'!$HG$13:$HG$512,0)),IF(COUNTIF('Calculations'!$HG$13:$HG$512,"="&amp;SUBSTITUTE(SUBSTITUTE(SUBSTITUTE(IFERROR(IF(INDEX(INDIRECT("'WCM Calibration Final'!$E$1:$E$2000"),'Calculations'!$EM511)="","",TRIM(INDEX(INDIRECT("'WCM Calibration Final'!$E$1:$E$2000"),'Calculations'!$EM511)&amp;"")),""),"~","~~"),"*","~*"),"?","~?"))&gt;1,"!AMBIG","X:"&amp;IFERROR(IF(INDEX(INDIRECT("'WCM Calibration Final'!$E$1:$E$2000"),'Calculations'!$EM511)="","",TRIM(INDEX(INDIRECT("'WCM Calibration Final'!$E$1:$E$2000"),'Calculations'!$EM511)&amp;"")),""))))))</x:f>
      </x:c>
      <x:c r="HG511" t="str">
        <x:f>IF('Calculations'!EM511="","",IFERROR(IF(INDEX(INDIRECT("'WCM Calibration Final'!$B$1:$B$2000"),'Calculations'!$EM511)="","",TRIM(INDEX(INDIRECT("'WCM Calibration Final'!$B$1:$B$2000"),'Calculations'!$EM511)&amp;"")),""))</x:f>
      </x:c>
      <x:c r="HH511" t="n">
        <x:f>IF(AND('Calculations'!JC511&gt;0,COUNTIF('Calculations'!$HF$12:HF511,"="&amp;SUBSTITUTE(SUBSTITUTE(SUBSTITUTE('Calculations'!HF511,"~","~~"),"*","~*"),"?","~?"))=1),MAX('Calculations'!$HH$12:HH510)+1,0)</x:f>
        <x:v>0</x:v>
      </x:c>
      <x:c r="HI511" t="n">
        <x:f>IF(AND('Calculations'!HN511&lt;&gt;"",COUNTIF('Calculations'!$HN$12:HN511,"="&amp;SUBSTITUTE(SUBSTITUTE(SUBSTITUTE('Calculations'!HN511,"~","~~"),"*","~*"),"?","~?"))=1),MAX('Calculations'!$HI$12:HI510)+1,0)</x:f>
        <x:v>0</x:v>
      </x:c>
      <x:c r="HJ511" t="str">
        <x:f>IF('Calculations'!HF511="","",IF(COUNTIF('Calculations'!$HE$13:$HE$512,"="&amp;SUBSTITUTE(SUBSTITUTE(SUBSTITUTE('Calculations'!HF511,"~","~~"),"*","~*"),"?","~?"))=1,INDEX('Calculations'!$HK$13:$HK$512,MATCH('Calculations'!HF511,'Calculations'!$HE$13:$HE$512,0)),IFERROR(IF(INDEX(INDIRECT("'WCM Calibration Final'!$E$1:$E$2000"),'Calculations'!$EM511)="","",TRIM(INDEX(INDIRECT("'WCM Calibration Final'!$E$1:$E$2000"),'Calculations'!$EM511)&amp;"")),"")&amp;" ["&amp;'Calculations'!HF511&amp;"]"))</x:f>
      </x:c>
      <x:c r="HK511" t="str">
        <x:f>IF('Calculations'!EM511="","",'Calculations'!HG511&amp;" ["&amp;'Calculations'!HE511&amp;"]")</x:f>
      </x:c>
      <x:c r="HL511" t="n">
        <x:f>IF('Calculations'!EM511="",0,IF(OR('Calculations'!II511&lt;&gt;"",COUNTIF('Calculations'!$HE$13:$HE$512,"="&amp;SUBSTITUTE(SUBSTITUTE(SUBSTITUTE('Calculations'!HE511,"~","~~"),"*","~*"),"?","~?"))&gt;1),1,0))</x:f>
        <x:v>0</x:v>
      </x:c>
      <x:c r="HM511" t="str">
        <x:f>IF('Calculations'!EM511="","",IF('Calculations'!HL511=1,"!UNRESOLVED",IF('Calculations'!IH511&lt;&gt;"",'Calculations'!IH511,IF('Calculations'!IG511&lt;&gt;"",'Calculations'!IG511,IF('Calculations'!IF511&lt;&gt;"",'Calculations'!IF511,IF('Calculations'!IE511&lt;&gt;"",'Calculations'!IE511,IF('Calculations'!ID511&lt;&gt;"",'Calculations'!ID511,IF('Calculations'!IC511&lt;&gt;"",'Calculations'!IC511,IF('Calculations'!IB511&lt;&gt;"",'Calculations'!IB511,IF('Calculations'!IA511&lt;&gt;"",'Calculations'!IA511,IF('Calculations'!HZ511&lt;&gt;"",'Calculations'!HZ511,IF('Calculations'!HY511&lt;&gt;"",'Calculations'!HY511,IF('Calculations'!HX511&lt;&gt;"",'Calculations'!HX511,IF('Calculations'!HW511&lt;&gt;"",'Calculations'!HW511,IF('Calculations'!HV511&lt;&gt;"",'Calculations'!HV511,IF('Calculations'!HU511&lt;&gt;"",'Calculations'!HU511,IF('Calculations'!HT511&lt;&gt;"",'Calculations'!HT511,IF('Calculations'!HS511&lt;&gt;"",'Calculations'!HS511,IF('Calculations'!HR511&lt;&gt;"",'Calculations'!HR511,IF('Calculations'!HQ511&lt;&gt;"",'Calculations'!HQ511,IF('Calculations'!HP511&lt;&gt;"",'Calculations'!HP511,IF('Calculations'!HO511&lt;&gt;"",'Calculations'!HO511,'Calculations'!HE511))))))))))))))))))))))</x:f>
      </x:c>
      <x:c r="HN511" t="str">
        <x:f>IF('Calculations'!EM511="","",IF(IFERROR(IF(INDEX(INDIRECT("'WCM Calibration Final'!$F$1:$F$2000"),'Calculations'!$EM511)="","",TRIM(INDEX(INDIRECT("'WCM Calibration Final'!$F$1:$F$2000"),'Calculations'!$EM511)&amp;"")),"")="","(Blank)",IFERROR(IF(INDEX(INDIRECT("'WCM Calibration Final'!$F$1:$F$2000"),'Calculations'!$EM511)="","",TRIM(INDEX(INDIRECT("'WCM Calibration Final'!$F$1:$F$2000"),'Calculations'!$EM511)&amp;"")),"")))</x:f>
      </x:c>
      <x:c r="HO511" t="str">
        <x:f>'Calculations'!HF511</x:f>
      </x:c>
      <x:c r="HP511" t="str">
        <x:f>IF('Calculations'!HO511="","",IF('Calculations'!HO511="!AMBIG","!AMBIG",IF(COUNTIF('Calculations'!$HE$13:$HE$512,"="&amp;SUBSTITUTE(SUBSTITUTE(SUBSTITUTE('Calculations'!HO511,"~","~~"),"*","~*"),"?","~?"))&gt;1,"!AMBIG",IFERROR(INDEX('Calculations'!$HF$13:$HF$512,MATCH('Calculations'!HO511,'Calculations'!$HE$13:$HE$512,0)),""))))</x:f>
      </x:c>
      <x:c r="HQ511" t="str">
        <x:f>IF('Calculations'!HP511="","",IF('Calculations'!HP511="!AMBIG","!AMBIG",IF(COUNTIF('Calculations'!$HE$13:$HE$512,"="&amp;SUBSTITUTE(SUBSTITUTE(SUBSTITUTE('Calculations'!HP511,"~","~~"),"*","~*"),"?","~?"))&gt;1,"!AMBIG",IFERROR(INDEX('Calculations'!$HF$13:$HF$512,MATCH('Calculations'!HP511,'Calculations'!$HE$13:$HE$512,0)),""))))</x:f>
      </x:c>
      <x:c r="HR511" t="str">
        <x:f>IF('Calculations'!HQ511="","",IF('Calculations'!HQ511="!AMBIG","!AMBIG",IF(COUNTIF('Calculations'!$HE$13:$HE$512,"="&amp;SUBSTITUTE(SUBSTITUTE(SUBSTITUTE('Calculations'!HQ511,"~","~~"),"*","~*"),"?","~?"))&gt;1,"!AMBIG",IFERROR(INDEX('Calculations'!$HF$13:$HF$512,MATCH('Calculations'!HQ511,'Calculations'!$HE$13:$HE$512,0)),""))))</x:f>
      </x:c>
      <x:c r="HS511" t="str">
        <x:f>IF('Calculations'!HR511="","",IF('Calculations'!HR511="!AMBIG","!AMBIG",IF(COUNTIF('Calculations'!$HE$13:$HE$512,"="&amp;SUBSTITUTE(SUBSTITUTE(SUBSTITUTE('Calculations'!HR511,"~","~~"),"*","~*"),"?","~?"))&gt;1,"!AMBIG",IFERROR(INDEX('Calculations'!$HF$13:$HF$512,MATCH('Calculations'!HR511,'Calculations'!$HE$13:$HE$512,0)),""))))</x:f>
      </x:c>
      <x:c r="HT511" t="str">
        <x:f>IF('Calculations'!HS511="","",IF('Calculations'!HS511="!AMBIG","!AMBIG",IF(COUNTIF('Calculations'!$HE$13:$HE$512,"="&amp;SUBSTITUTE(SUBSTITUTE(SUBSTITUTE('Calculations'!HS511,"~","~~"),"*","~*"),"?","~?"))&gt;1,"!AMBIG",IFERROR(INDEX('Calculations'!$HF$13:$HF$512,MATCH('Calculations'!HS511,'Calculations'!$HE$13:$HE$512,0)),""))))</x:f>
      </x:c>
      <x:c r="HU511" t="str">
        <x:f>IF('Calculations'!HT511="","",IF('Calculations'!HT511="!AMBIG","!AMBIG",IF(COUNTIF('Calculations'!$HE$13:$HE$512,"="&amp;SUBSTITUTE(SUBSTITUTE(SUBSTITUTE('Calculations'!HT511,"~","~~"),"*","~*"),"?","~?"))&gt;1,"!AMBIG",IFERROR(INDEX('Calculations'!$HF$13:$HF$512,MATCH('Calculations'!HT511,'Calculations'!$HE$13:$HE$512,0)),""))))</x:f>
      </x:c>
      <x:c r="HV511" t="str">
        <x:f>IF('Calculations'!HU511="","",IF('Calculations'!HU511="!AMBIG","!AMBIG",IF(COUNTIF('Calculations'!$HE$13:$HE$512,"="&amp;SUBSTITUTE(SUBSTITUTE(SUBSTITUTE('Calculations'!HU511,"~","~~"),"*","~*"),"?","~?"))&gt;1,"!AMBIG",IFERROR(INDEX('Calculations'!$HF$13:$HF$512,MATCH('Calculations'!HU511,'Calculations'!$HE$13:$HE$512,0)),""))))</x:f>
      </x:c>
      <x:c r="HW511" t="str">
        <x:f>IF('Calculations'!HV511="","",IF('Calculations'!HV511="!AMBIG","!AMBIG",IF(COUNTIF('Calculations'!$HE$13:$HE$512,"="&amp;SUBSTITUTE(SUBSTITUTE(SUBSTITUTE('Calculations'!HV511,"~","~~"),"*","~*"),"?","~?"))&gt;1,"!AMBIG",IFERROR(INDEX('Calculations'!$HF$13:$HF$512,MATCH('Calculations'!HV511,'Calculations'!$HE$13:$HE$512,0)),""))))</x:f>
      </x:c>
      <x:c r="HX511" t="str">
        <x:f>IF('Calculations'!HW511="","",IF('Calculations'!HW511="!AMBIG","!AMBIG",IF(COUNTIF('Calculations'!$HE$13:$HE$512,"="&amp;SUBSTITUTE(SUBSTITUTE(SUBSTITUTE('Calculations'!HW511,"~","~~"),"*","~*"),"?","~?"))&gt;1,"!AMBIG",IFERROR(INDEX('Calculations'!$HF$13:$HF$512,MATCH('Calculations'!HW511,'Calculations'!$HE$13:$HE$512,0)),""))))</x:f>
      </x:c>
      <x:c r="HY511" t="str">
        <x:f>IF('Calculations'!HX511="","",IF('Calculations'!HX511="!AMBIG","!AMBIG",IF(COUNTIF('Calculations'!$HE$13:$HE$512,"="&amp;SUBSTITUTE(SUBSTITUTE(SUBSTITUTE('Calculations'!HX511,"~","~~"),"*","~*"),"?","~?"))&gt;1,"!AMBIG",IFERROR(INDEX('Calculations'!$HF$13:$HF$512,MATCH('Calculations'!HX511,'Calculations'!$HE$13:$HE$512,0)),""))))</x:f>
      </x:c>
      <x:c r="HZ511" t="str">
        <x:f>IF('Calculations'!HY511="","",IF('Calculations'!HY511="!AMBIG","!AMBIG",IF(COUNTIF('Calculations'!$HE$13:$HE$512,"="&amp;SUBSTITUTE(SUBSTITUTE(SUBSTITUTE('Calculations'!HY511,"~","~~"),"*","~*"),"?","~?"))&gt;1,"!AMBIG",IFERROR(INDEX('Calculations'!$HF$13:$HF$512,MATCH('Calculations'!HY511,'Calculations'!$HE$13:$HE$512,0)),""))))</x:f>
      </x:c>
      <x:c r="IA511" t="str">
        <x:f>IF('Calculations'!HZ511="","",IF('Calculations'!HZ511="!AMBIG","!AMBIG",IF(COUNTIF('Calculations'!$HE$13:$HE$512,"="&amp;SUBSTITUTE(SUBSTITUTE(SUBSTITUTE('Calculations'!HZ511,"~","~~"),"*","~*"),"?","~?"))&gt;1,"!AMBIG",IFERROR(INDEX('Calculations'!$HF$13:$HF$512,MATCH('Calculations'!HZ511,'Calculations'!$HE$13:$HE$512,0)),""))))</x:f>
      </x:c>
      <x:c r="IB511" t="str">
        <x:f>IF('Calculations'!IA511="","",IF('Calculations'!IA511="!AMBIG","!AMBIG",IF(COUNTIF('Calculations'!$HE$13:$HE$512,"="&amp;SUBSTITUTE(SUBSTITUTE(SUBSTITUTE('Calculations'!IA511,"~","~~"),"*","~*"),"?","~?"))&gt;1,"!AMBIG",IFERROR(INDEX('Calculations'!$HF$13:$HF$512,MATCH('Calculations'!IA511,'Calculations'!$HE$13:$HE$512,0)),""))))</x:f>
      </x:c>
      <x:c r="IC511" t="str">
        <x:f>IF('Calculations'!IB511="","",IF('Calculations'!IB511="!AMBIG","!AMBIG",IF(COUNTIF('Calculations'!$HE$13:$HE$512,"="&amp;SUBSTITUTE(SUBSTITUTE(SUBSTITUTE('Calculations'!IB511,"~","~~"),"*","~*"),"?","~?"))&gt;1,"!AMBIG",IFERROR(INDEX('Calculations'!$HF$13:$HF$512,MATCH('Calculations'!IB511,'Calculations'!$HE$13:$HE$512,0)),""))))</x:f>
      </x:c>
      <x:c r="ID511" t="str">
        <x:f>IF('Calculations'!IC511="","",IF('Calculations'!IC511="!AMBIG","!AMBIG",IF(COUNTIF('Calculations'!$HE$13:$HE$512,"="&amp;SUBSTITUTE(SUBSTITUTE(SUBSTITUTE('Calculations'!IC511,"~","~~"),"*","~*"),"?","~?"))&gt;1,"!AMBIG",IFERROR(INDEX('Calculations'!$HF$13:$HF$512,MATCH('Calculations'!IC511,'Calculations'!$HE$13:$HE$512,0)),""))))</x:f>
      </x:c>
      <x:c r="IE511" t="str">
        <x:f>IF('Calculations'!ID511="","",IF('Calculations'!ID511="!AMBIG","!AMBIG",IF(COUNTIF('Calculations'!$HE$13:$HE$512,"="&amp;SUBSTITUTE(SUBSTITUTE(SUBSTITUTE('Calculations'!ID511,"~","~~"),"*","~*"),"?","~?"))&gt;1,"!AMBIG",IFERROR(INDEX('Calculations'!$HF$13:$HF$512,MATCH('Calculations'!ID511,'Calculations'!$HE$13:$HE$512,0)),""))))</x:f>
      </x:c>
      <x:c r="IF511" t="str">
        <x:f>IF('Calculations'!IE511="","",IF('Calculations'!IE511="!AMBIG","!AMBIG",IF(COUNTIF('Calculations'!$HE$13:$HE$512,"="&amp;SUBSTITUTE(SUBSTITUTE(SUBSTITUTE('Calculations'!IE511,"~","~~"),"*","~*"),"?","~?"))&gt;1,"!AMBIG",IFERROR(INDEX('Calculations'!$HF$13:$HF$512,MATCH('Calculations'!IE511,'Calculations'!$HE$13:$HE$512,0)),""))))</x:f>
      </x:c>
      <x:c r="IG511" t="str">
        <x:f>IF('Calculations'!IF511="","",IF('Calculations'!IF511="!AMBIG","!AMBIG",IF(COUNTIF('Calculations'!$HE$13:$HE$512,"="&amp;SUBSTITUTE(SUBSTITUTE(SUBSTITUTE('Calculations'!IF511,"~","~~"),"*","~*"),"?","~?"))&gt;1,"!AMBIG",IFERROR(INDEX('Calculations'!$HF$13:$HF$512,MATCH('Calculations'!IF511,'Calculations'!$HE$13:$HE$512,0)),""))))</x:f>
      </x:c>
      <x:c r="IH511" t="str">
        <x:f>IF('Calculations'!IG511="","",IF('Calculations'!IG511="!AMBIG","!AMBIG",IF(COUNTIF('Calculations'!$HE$13:$HE$512,"="&amp;SUBSTITUTE(SUBSTITUTE(SUBSTITUTE('Calculations'!IG511,"~","~~"),"*","~*"),"?","~?"))&gt;1,"!AMBIG",IFERROR(INDEX('Calculations'!$HF$13:$HF$512,MATCH('Calculations'!IG511,'Calculations'!$HE$13:$HE$512,0)),""))))</x:f>
      </x:c>
      <x:c r="II511" t="str">
        <x:f>IF('Calculations'!IH511="","",IF('Calculations'!IH511="!AMBIG","!AMBIG",IF(COUNTIF('Calculations'!$HE$13:$HE$512,"="&amp;SUBSTITUTE(SUBSTITUTE(SUBSTITUTE('Calculations'!IH511,"~","~~"),"*","~*"),"?","~?"))&gt;1,"!AMBIG",IFERROR(INDEX('Calculations'!$HF$13:$HF$512,MATCH('Calculations'!IH511,'Calculations'!$HE$13:$HE$512,0)),""))))</x:f>
      </x:c>
      <x:c r="IJ511" t="str">
        <x:f>IF('Calculations'!EM511="","",IF('Calculations'!$EF$2="All",'Calculations'!HM511,IF('Calculations'!HL511=1,"",IFERROR(IF(MATCH('Calculations'!$EF$2,'Calculations'!HO511:II511,0)=1,'Calculations'!HE511,INDEX('Calculations'!HO511:II511,1,MATCH('Calculations'!$EF$2,'Calculations'!HO511:II511,0)-1)),""))))</x:f>
      </x:c>
      <x:c r="IK511" t="n">
        <x:f>IF(AND('Calculations'!EM511&lt;&gt;"",'Calculations'!$EF$2&lt;&gt;"All",'Calculations'!HF511='Calculations'!$EF$2,'Calculations'!HL511=0,'Calculations'!JD511&gt;0),MAX('Calculations'!$IK$12:IK510)+1,0)</x:f>
        <x:v>0</x:v>
      </x:c>
      <x:c r="JA511" t="n">
        <x:f>IF(OR(IFERROR(INDIRECT("'WCM Calibration Final'!$A$511")&lt;&gt;"",FALSE),IFERROR(INDIRECT("'WCM Calibration Final'!$B$511")&lt;&gt;"",FALSE),IFERROR(INDIRECT("'WCM Calibration Final'!$C$511")&lt;&gt;"",FALSE)),511,0)</x:f>
        <x:v>0</x:v>
      </x:c>
      <x:c r="JB511" t="n">
        <x:f>'Calculations'!JB510+IF('Calculations'!JA511&gt;0,1,0)</x:f>
        <x:v>0</x:v>
      </x:c>
      <x:c r="JC511" t="n">
        <x:f>IF(OR('Calculations'!HF511="",'Calculations'!HF511="!AMBIG"),0,IF('Dashboard'!$B$7="All",1,COUNTIFS('Calculations'!$HO$13:$HO$512,"="&amp;SUBSTITUTE(SUBSTITUTE(SUBSTITUTE('Calculations'!HF511,"~","~~"),"*","~*"),"?","~?"),'Calculations'!$HN$13:$HN$512,"="&amp;SUBSTITUTE(SUBSTITUTE(SUBSTITUTE('Dashboard'!$B$7,"~","~~"),"*","~*"),"?","~?"))+COUNTIFS('Calculations'!$HP$13:$HP$512,"="&amp;SUBSTITUTE(SUBSTITUTE(SUBSTITUTE('Calculations'!HF511,"~","~~"),"*","~*"),"?","~?"),'Calculations'!$HN$13:$HN$512,"="&amp;SUBSTITUTE(SUBSTITUTE(SUBSTITUTE('Dashboard'!$B$7,"~","~~"),"*","~*"),"?","~?"))+COUNTIFS('Calculations'!$HQ$13:$HQ$512,"="&amp;SUBSTITUTE(SUBSTITUTE(SUBSTITUTE('Calculations'!HF511,"~","~~"),"*","~*"),"?","~?"),'Calculations'!$HN$13:$HN$512,"="&amp;SUBSTITUTE(SUBSTITUTE(SUBSTITUTE('Dashboard'!$B$7,"~","~~"),"*","~*"),"?","~?"))+COUNTIFS('Calculations'!$HR$13:$HR$512,"="&amp;SUBSTITUTE(SUBSTITUTE(SUBSTITUTE('Calculations'!HF511,"~","~~"),"*","~*"),"?","~?"),'Calculations'!$HN$13:$HN$512,"="&amp;SUBSTITUTE(SUBSTITUTE(SUBSTITUTE('Dashboard'!$B$7,"~","~~"),"*","~*"),"?","~?"))+COUNTIFS('Calculations'!$HS$13:$HS$512,"="&amp;SUBSTITUTE(SUBSTITUTE(SUBSTITUTE('Calculations'!HF511,"~","~~"),"*","~*"),"?","~?"),'Calculations'!$HN$13:$HN$512,"="&amp;SUBSTITUTE(SUBSTITUTE(SUBSTITUTE('Dashboard'!$B$7,"~","~~"),"*","~*"),"?","~?"))+COUNTIFS('Calculations'!$HT$13:$HT$512,"="&amp;SUBSTITUTE(SUBSTITUTE(SUBSTITUTE('Calculations'!HF511,"~","~~"),"*","~*"),"?","~?"),'Calculations'!$HN$13:$HN$512,"="&amp;SUBSTITUTE(SUBSTITUTE(SUBSTITUTE('Dashboard'!$B$7,"~","~~"),"*","~*"),"?","~?"))+COUNTIFS('Calculations'!$HU$13:$HU$512,"="&amp;SUBSTITUTE(SUBSTITUTE(SUBSTITUTE('Calculations'!HF511,"~","~~"),"*","~*"),"?","~?"),'Calculations'!$HN$13:$HN$512,"="&amp;SUBSTITUTE(SUBSTITUTE(SUBSTITUTE('Dashboard'!$B$7,"~","~~"),"*","~*"),"?","~?"))+COUNTIFS('Calculations'!$HV$13:$HV$512,"="&amp;SUBSTITUTE(SUBSTITUTE(SUBSTITUTE('Calculations'!HF511,"~","~~"),"*","~*"),"?","~?"),'Calculations'!$HN$13:$HN$512,"="&amp;SUBSTITUTE(SUBSTITUTE(SUBSTITUTE('Dashboard'!$B$7,"~","~~"),"*","~*"),"?","~?"))+COUNTIFS('Calculations'!$HW$13:$HW$512,"="&amp;SUBSTITUTE(SUBSTITUTE(SUBSTITUTE('Calculations'!HF511,"~","~~"),"*","~*"),"?","~?"),'Calculations'!$HN$13:$HN$512,"="&amp;SUBSTITUTE(SUBSTITUTE(SUBSTITUTE('Dashboard'!$B$7,"~","~~"),"*","~*"),"?","~?"))+COUNTIFS('Calculations'!$HX$13:$HX$512,"="&amp;SUBSTITUTE(SUBSTITUTE(SUBSTITUTE('Calculations'!HF511,"~","~~"),"*","~*"),"?","~?"),'Calculations'!$HN$13:$HN$512,"="&amp;SUBSTITUTE(SUBSTITUTE(SUBSTITUTE('Dashboard'!$B$7,"~","~~"),"*","~*"),"?","~?"))+COUNTIFS('Calculations'!$HY$13:$HY$512,"="&amp;SUBSTITUTE(SUBSTITUTE(SUBSTITUTE('Calculations'!HF511,"~","~~"),"*","~*"),"?","~?"),'Calculations'!$HN$13:$HN$512,"="&amp;SUBSTITUTE(SUBSTITUTE(SUBSTITUTE('Dashboard'!$B$7,"~","~~"),"*","~*"),"?","~?"))+COUNTIFS('Calculations'!$HZ$13:$HZ$512,"="&amp;SUBSTITUTE(SUBSTITUTE(SUBSTITUTE('Calculations'!HF511,"~","~~"),"*","~*"),"?","~?"),'Calculations'!$HN$13:$HN$512,"="&amp;SUBSTITUTE(SUBSTITUTE(SUBSTITUTE('Dashboard'!$B$7,"~","~~"),"*","~*"),"?","~?"))+COUNTIFS('Calculations'!$IA$13:$IA$512,"="&amp;SUBSTITUTE(SUBSTITUTE(SUBSTITUTE('Calculations'!HF511,"~","~~"),"*","~*"),"?","~?"),'Calculations'!$HN$13:$HN$512,"="&amp;SUBSTITUTE(SUBSTITUTE(SUBSTITUTE('Dashboard'!$B$7,"~","~~"),"*","~*"),"?","~?"))+COUNTIFS('Calculations'!$IB$13:$IB$512,"="&amp;SUBSTITUTE(SUBSTITUTE(SUBSTITUTE('Calculations'!HF511,"~","~~"),"*","~*"),"?","~?"),'Calculations'!$HN$13:$HN$512,"="&amp;SUBSTITUTE(SUBSTITUTE(SUBSTITUTE('Dashboard'!$B$7,"~","~~"),"*","~*"),"?","~?"))+COUNTIFS('Calculations'!$IC$13:$IC$512,"="&amp;SUBSTITUTE(SUBSTITUTE(SUBSTITUTE('Calculations'!HF511,"~","~~"),"*","~*"),"?","~?"),'Calculations'!$HN$13:$HN$512,"="&amp;SUBSTITUTE(SUBSTITUTE(SUBSTITUTE('Dashboard'!$B$7,"~","~~"),"*","~*"),"?","~?"))+COUNTIFS('Calculations'!$ID$13:$ID$512,"="&amp;SUBSTITUTE(SUBSTITUTE(SUBSTITUTE('Calculations'!HF511,"~","~~"),"*","~*"),"?","~?"),'Calculations'!$HN$13:$HN$512,"="&amp;SUBSTITUTE(SUBSTITUTE(SUBSTITUTE('Dashboard'!$B$7,"~","~~"),"*","~*"),"?","~?"))+COUNTIFS('Calculations'!$IE$13:$IE$512,"="&amp;SUBSTITUTE(SUBSTITUTE(SUBSTITUTE('Calculations'!HF511,"~","~~"),"*","~*"),"?","~?"),'Calculations'!$HN$13:$HN$512,"="&amp;SUBSTITUTE(SUBSTITUTE(SUBSTITUTE('Dashboard'!$B$7,"~","~~"),"*","~*"),"?","~?"))+COUNTIFS('Calculations'!$IF$13:$IF$512,"="&amp;SUBSTITUTE(SUBSTITUTE(SUBSTITUTE('Calculations'!HF511,"~","~~"),"*","~*"),"?","~?"),'Calculations'!$HN$13:$HN$512,"="&amp;SUBSTITUTE(SUBSTITUTE(SUBSTITUTE('Dashboard'!$B$7,"~","~~"),"*","~*"),"?","~?"))+COUNTIFS('Calculations'!$IG$13:$IG$512,"="&amp;SUBSTITUTE(SUBSTITUTE(SUBSTITUTE('Calculations'!HF511,"~","~~"),"*","~*"),"?","~?"),'Calculations'!$HN$13:$HN$512,"="&amp;SUBSTITUTE(SUBSTITUTE(SUBSTITUTE('Dashboard'!$B$7,"~","~~"),"*","~*"),"?","~?"))+COUNTIFS('Calculations'!$IH$13:$IH$512,"="&amp;SUBSTITUTE(SUBSTITUTE(SUBSTITUTE('Calculations'!HF511,"~","~~"),"*","~*"),"?","~?"),'Calculations'!$HN$13:$HN$512,"="&amp;SUBSTITUTE(SUBSTITUTE(SUBSTITUTE('Dashboard'!$B$7,"~","~~"),"*","~*"),"?","~?"))))</x:f>
        <x:v>0</x:v>
      </x:c>
      <x:c r="JD511" t="n">
        <x:f>IF('Calculations'!EM511="",0,IF('Dashboard'!$B$7="All",1,IF('Calculations'!HN511='Dashboard'!$B$7,1,0)+IFERROR(INDEX('Calculations'!$JC$13:$JC$512,MATCH('Calculations'!HE511,'Calculations'!$HF$13:$HF$512,0)),0)))</x:f>
        <x:v>0</x:v>
      </x:c>
      <x:c r="JE511" t="n">
        <x:f>IF(AND('Calculations'!EM511&lt;&gt;"",'Calculations'!$JJ$2&lt;&gt;"All",'Calculations'!$JJ$2&lt;&gt;"",'Calculations'!HF511='Calculations'!$JJ$2,'Calculations'!HL511=0,'Calculations'!JD511&gt;0),MAX('Calculations'!$JE$12:JE510)+1,0)</x:f>
        <x:v>0</x:v>
      </x:c>
      <x:c r="JF511" t="str">
        <x:f>IF('Calculations'!EM511="","",IFERROR(IF(INDEX(INDIRECT("'WCM Calibration Final'!$G$1:$G$2000"),'Calculations'!$EM511)="","",TRIM(INDEX(INDIRECT("'WCM Calibration Final'!$G$1:$G$2000"),'Calculations'!$EM511)&amp;"")),""))</x:f>
      </x:c>
      <x:c r="JQ511" t="n">
        <x:f>IF(OR('Calculations'!BM511=0,NOT('Calculations'!$AG$2),'Calculations'!$AG$8&gt;0),0,IF(OR('Dashboard'!$B$7="All",'Calculations'!HN511='Dashboard'!$B$7),IF('Calculations'!$JJ$2="All",1,IF(AND('Calculations'!HF511='Calculations'!$JJ$2,'Calculations'!HL511=0),1,0)),0))</x:f>
        <x:v>0</x:v>
      </x:c>
    </x:row>
    <x:row r="512">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t="n">
        <x:f>IF('Calculations'!$EM512="",0,IF(OR(IFERROR(INDEX(INDIRECT("'WCM Calibration Final'!$A$1:$A$2000"),'Calculations'!$EM512)&lt;&gt;"",FALSE),IFERROR(INDEX(INDIRECT("'WCM Calibration Final'!$B$1:$B$2000"),'Calculations'!$EM512)&lt;&gt;"",FALSE),IFERROR(INDEX(INDIRECT("'WCM Calibration Final'!$C$1:$C$2000"),'Calculations'!$EM512)&lt;&gt;"",FALSE)),1,0))</x:f>
        <x:v>0</x:v>
      </x:c>
      <x:c r="BN512" s="4" t="n">
        <x:f>IF(AND('Calculations'!BM512=1,'Calculations'!$AG$2,'Calculations'!$EN512=1),1,0)</x:f>
        <x:v>0</x:v>
      </x:c>
      <x:c r="BO512" s="4" t="str">
        <x:f>IF('Calculations'!BM512=0,"",IFERROR(IF(AND(VALUE(INDEX(INDIRECT("'WCM Calibration Final'!$K$1:$K$2000"),'Calculations'!$EM512))&gt;=1,VALUE(INDEX(INDIRECT("'WCM Calibration Final'!$K$1:$K$2000"),'Calculations'!$EM512))&lt;=4,MOD(VALUE(INDEX(INDIRECT("'WCM Calibration Final'!$K$1:$K$2000"),'Calculations'!$EM512)),1)=0),VALUE(INDEX(INDIRECT("'WCM Calibration Final'!$K$1:$K$2000"),'Calculations'!$EM512)),""),""))</x:f>
      </x:c>
      <x:c r="BP512" s="4" t="str">
        <x:f>IF('Calculations'!BM512=0,"",IFERROR(IF(AND(VALUE(INDEX(INDIRECT("'WCM Calibration Final'!$L$1:$L$2000"),'Calculations'!$EM512))&gt;=1,VALUE(INDEX(INDIRECT("'WCM Calibration Final'!$L$1:$L$2000"),'Calculations'!$EM512))&lt;=4,MOD(VALUE(INDEX(INDIRECT("'WCM Calibration Final'!$L$1:$L$2000"),'Calculations'!$EM512)),1)=0),VALUE(INDEX(INDIRECT("'WCM Calibration Final'!$L$1:$L$2000"),'Calculations'!$EM512)),""),""))</x:f>
      </x:c>
      <x:c r="BQ512" s="4"/>
      <x:c r="BR512" s="4"/>
      <x:c r="BS512" s="4"/>
      <x:c r="BT512" s="4" t="n">
        <x:f>IF(AND('Calculations'!BM512=1,ISNUMBER('Calculations'!BO512),ISNUMBER('Calculations'!BP512)),1,0)</x:f>
        <x:v>0</x:v>
      </x:c>
      <x:c r="BU512" s="4" t="str">
        <x:f>IF('Calculations'!BM512=0,"",'Calculations'!$EO512)</x:f>
      </x:c>
      <x:c r="BV512" s="4" t="str">
        <x:f>IF('Calculations'!BM512=0,"",IFERROR(IF(OR(INDEX(INDIRECT("'WCM Calibration Final'!$H$1:$H$2000"),'Calculations'!$EM512)="MANAGING DIRECTOR",INDEX(INDIRECT("'WCM Calibration Final'!$H$1:$H$2000"),'Calculations'!$EM512)="DIRECTOR",INDEX(INDIRECT("'WCM Calibration Final'!$H$1:$H$2000"),'Calculations'!$EM512)="SENIOR VICE PRESIDENT",INDEX(INDIRECT("'WCM Calibration Final'!$H$1:$H$2000"),'Calculations'!$EM512)="VICE PRESIDENT",INDEX(INDIRECT("'WCM Calibration Final'!$H$1:$H$2000"),'Calculations'!$EM512)="ASSISTANT VICE PRESIDENT",INDEX(INDIRECT("'WCM Calibration Final'!$H$1:$H$2000"),'Calculations'!$EM512)="OFFICER"),UPPER(INDEX(INDIRECT("'WCM Calibration Final'!$H$1:$H$2000"),'Calculations'!$EM512)),"Other"),"Other"))</x:f>
      </x:c>
      <x:c r="BW512" s="4"/>
      <x:c r="BX512" s="4"/>
      <x:c r="BY512" s="4" t="n">
        <x:f>IF(AND('Calculations'!BM512=1,'Calculations'!BU512&lt;&gt;"",COUNTIF('Calculations'!$BU$12:BU512,'Calculations'!BU512)=1),MAX('Calculations'!$BY$11:BY511)+1,0)</x:f>
        <x:v>0</x:v>
      </x:c>
      <x:c r="BZ512" s="4" t="str">
        <x:f>IF('Dashboard'!$E$67="What",'Calculations'!BO512,'Calculations'!BP512)</x:f>
      </x:c>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t="str">
        <x:f>IF(501&gt;MAX('Calculations'!$HI$13:$HI$512),"",INDEX('Calculations'!$HN$13:$HN$512,MATCH(501,'Calculations'!$HI$13:$HI$512,0)))</x:f>
      </x:c>
      <x:c r="DB512" s="4" t="str">
        <x:f>IF(501&gt;MAX('Calculations'!$HH$13:$HH$512),"",INDEX('Calculations'!$HJ$13:$HJ$512,MATCH(501,'Calculations'!$HH$13:$HH$512,0)))</x:f>
      </x:c>
      <x:c r="DC512" s="4" t="str">
        <x:f>IF(ROW()-11&gt;MAX('Calculations'!$BY$13:$BY$512),"",INDEX('Calculations'!$BU$13:$BU$512,MATCH(ROW()-11,'Calculations'!$BY$13:$BY$512,0)))</x:f>
      </x:c>
      <x:c r="DD512" s="4" t="str">
        <x:f>IF(501&gt;MAX('Calculations'!$IK$13:$IK$512),"",INDEX('Calculations'!$HK$13:$HK$512,MATCH(501,'Calculations'!$IK$13:$IK$512,0)))</x:f>
      </x:c>
      <x:c r="DE512" s="4" t="n">
        <x:f>'Calculations'!DC512</x:f>
        <x:v>0</x:v>
      </x:c>
      <x:c r="DF512" s="4" t="str">
        <x:f>IF('Calculations'!DE512="","",COUNTIFS('Calculations'!$BN$13:$BN$512,1,'Calculations'!$BU$13:$BU$512,'Calculations'!DE512))</x:f>
      </x:c>
      <x:c r="DG512" s="4" t="str">
        <x:f>IF('Calculations'!DE512="","",COUNTIFS('Calculations'!$BN$13:$BN$512,1,'Calculations'!$BU$13:$BU$512,'Calculations'!DE512,'Calculations'!$BT$13:$BT$512,1))</x:f>
      </x:c>
      <x:c r="DH512" s="4" t="str">
        <x:f>IF('Calculations'!DE512="","",'Calculations'!DF512-'Calculations'!DG512)</x:f>
      </x:c>
      <x:c r="DI512" s="4" t="str">
        <x:f>IF(OR('Calculations'!DE512="",'Calculations'!DF512=0),"",'Calculations'!DG512/'Calculations'!DF512)</x:f>
      </x:c>
      <x:c r="DJ512" s="4" t="str">
        <x:f>IF('Calculations'!DE512="","",COUNTIFS('Calculations'!$BN$13:$BN$512,1,'Calculations'!$BU$13:$BU$512,'Calculations'!DE512,'Calculations'!$BT$13:$BT$512,1,'Calculations'!$EE$13:$EE$512,"High"))</x:f>
      </x:c>
      <x:c r="DK512" s="4" t="str">
        <x:f>IF('Calculations'!DE512="","",COUNTIFS('Calculations'!$BN$13:$BN$512,1,'Calculations'!$BU$13:$BU$512,'Calculations'!DE512,'Calculations'!$BT$13:$BT$512,1,'Calculations'!$EE$13:$EE$512,"Strong"))</x:f>
      </x:c>
      <x:c r="DL512" s="4" t="str">
        <x:f>IF('Calculations'!DE512="","",COUNTIFS('Calculations'!$BN$13:$BN$512,1,'Calculations'!$BU$13:$BU$512,'Calculations'!DE512,'Calculations'!$BT$13:$BT$512,1,'Calculations'!$EE$13:$EE$512,"Solid"))</x:f>
      </x:c>
      <x:c r="DM512" s="4" t="str">
        <x:f>IF('Calculations'!DE512="","",COUNTIFS('Calculations'!$BN$13:$BN$512,1,'Calculations'!$BU$13:$BU$512,'Calculations'!DE512,'Calculations'!$BT$13:$BT$512,1,'Calculations'!$EE$13:$EE$512,"Low"))</x:f>
      </x:c>
      <x:c r="DN512" s="4" t="str">
        <x:f>IF('Calculations'!DE512="","",COUNTIFS('Calculations'!$BN$13:$BN$512,1,'Calculations'!$BU$13:$BU$512,'Calculations'!DE512,'Calculations'!$EP$13:$EP$512,1))</x:f>
      </x:c>
      <x:c r="DO512" s="4" t="str">
        <x:f>IF(OR('Calculations'!DE512="",'Calculations'!DG512=0),"",('Calculations'!DJ512+'Calculations'!DK512)/'Calculations'!DG512)</x:f>
      </x:c>
      <x:c r="DP512" s="4" t="n">
        <x:f>IF(AND('Calculations'!DE512&lt;&gt;"",'Calculations'!DF512&gt;0),COUNTIF('Calculations'!$DF$12:DF512,"&gt;0"),0)</x:f>
        <x:v>0</x:v>
      </x:c>
      <x:c r="DQ512" s="4" t="str">
        <x:f>IF(501&gt;MAX('Calculations'!$HH$13:$HH$512),"",INDEX('Calculations'!$HF$13:$HF$512,MATCH(501,'Calculations'!$HH$13:$HH$512,0)))</x:f>
      </x:c>
      <x:c r="DR512" s="4" t="str">
        <x:f>IF(501&gt;MAX('Calculations'!$IK$13:$IK$512),"",INDEX('Calculations'!$HE$13:$HE$512,MATCH(501,'Calculations'!$IK$13:$IK$512,0)))</x:f>
      </x:c>
      <x:c r="DS512" s="4"/>
      <x:c r="DT512" s="4"/>
      <x:c r="DU512" s="4"/>
      <x:c r="DV512" s="4"/>
      <x:c r="DW512" s="4"/>
      <x:c r="DX512" s="4"/>
      <x:c r="DY512" s="4"/>
      <x:c r="DZ512" s="4"/>
      <x:c r="EA512" s="4"/>
      <x:c r="EB512" s="4"/>
      <x:c r="EC512" s="4"/>
      <x:c r="ED512" s="4"/>
      <x:c r="EE512" s="4" t="str">
        <x:f>IF('Calculations'!BT512=0,"Not Rated",IF(OR('Calculations'!BO512&gt;=4,'Calculations'!BP512&gt;=4),"Low",IF('Calculations'!BO512+'Calculations'!BP512&lt;=3,"High",IF('Calculations'!BO512+'Calculations'!BP512&lt;=4,"Strong","Solid"))))</x:f>
        <x:v>Not Rated</x:v>
      </x:c>
      <x:c r="EF512" s="4"/>
      <x:c r="EG512" s="4"/>
      <x:c r="EH512" s="4"/>
      <x:c r="EI512" s="4"/>
      <x:c r="EJ512" s="4"/>
      <x:c r="EK512" s="4"/>
      <x:c r="EL512" s="4"/>
      <x:c r="EM512" s="4" t="str">
        <x:f>IF(500&gt;'Calculations'!$JB$2000,"",INDEX('Calculations'!$JA$12:$JA$2000,MATCH(500,'Calculations'!$JB$12:$JB$2000,0)))</x:f>
      </x:c>
      <x:c r="EN512" s="4" t="n">
        <x:f>IF(OR('Calculations'!EM512="",'Calculations'!$AG$8&gt;0,AND('Calculations'!$EF$2&lt;&gt;"All",'Calculations'!HE512='Calculations'!$EF$2),AND('Calculations'!$EF$3&lt;&gt;"All",'Calculations'!HE512='Calculations'!$EF$3)),0,IF(OR('Dashboard'!$B$7="All",'Calculations'!HN512='Dashboard'!$B$7),IF('Calculations'!$EF$2="All",1,IF('Calculations'!HL512&gt;0,0,IF(COUNTIF('Calculations'!HO512:II512,"="&amp;SUBSTITUTE(SUBSTITUTE(SUBSTITUTE('Calculations'!$EF$2,"~","~~"),"*","~*"),"?","~?"))=0,0,IF('Calculations'!$EF$3="All",1,IF(COUNTIF('Calculations'!HO512:II512,"="&amp;SUBSTITUTE(SUBSTITUTE(SUBSTITUTE('Calculations'!$EF$3,"~","~~"),"*","~*"),"?","~?"))&gt;0,1,0))))),0))</x:f>
        <x:v>0</x:v>
      </x:c>
      <x:c r="EO512" s="4" t="str">
        <x:f>IF('Calculations'!IJ512="","",IF('Calculations'!IJ512="!UNRESOLVED","Unresolved hierarchy",IFERROR(INDEX('Calculations'!$HK$13:$HK$512,MATCH('Calculations'!IJ512,'Calculations'!$HE$13:$HE$512,0)),IFERROR(INDEX('Calculations'!$HJ$13:$HJ$512,MATCH('Calculations'!IJ512,'Calculations'!$HF$13:$HF$512,0)),'Calculations'!IJ512))))</x:f>
      </x:c>
      <x:c r="EP512" s="4" t="n">
        <x:f>IF(AND('Calculations'!EM512&lt;&gt;"",'Calculations'!HF512='Calculations'!IJ512),1,0)</x:f>
        <x:v>0</x:v>
      </x:c>
      <x:c r="EQ512" s="4"/>
      <x:c r="ER512" s="4"/>
      <x:c r="ES512" s="4"/>
      <x:c r="ET512" s="4"/>
      <x:c r="EU512" s="4"/>
      <x:c r="EV512" s="4"/>
      <x:c r="EW512" s="4"/>
      <x:c r="EX512" s="4"/>
      <x:c r="EY512" s="4"/>
      <x:c r="EZ512" s="4"/>
      <x:c r="FA512" s="4"/>
      <x:c r="FB512" s="4"/>
      <x:c r="FC512" s="4"/>
      <x:c r="FD512" s="4"/>
      <x:c r="FE512" s="4"/>
      <x:c r="FF512" s="4"/>
      <x:c r="FG512" s="4"/>
      <x:c r="FH512" s="4"/>
      <x:c r="FI512" s="4"/>
      <x:c r="FJ512" s="4"/>
      <x:c r="FK512" s="4"/>
      <x:c r="FL512" s="4"/>
      <x:c r="FM512" s="4"/>
      <x:c r="FN512" s="4"/>
      <x:c r="FO512" s="4"/>
      <x:c r="HE512" t="str">
        <x:f>IF('Calculations'!EM512="","",IF(IFERROR(IF(INDEX(INDIRECT("'WCM Calibration Final'!$A$1:$A$2000"),'Calculations'!$EM512)="","",TRIM(INDEX(INDIRECT("'WCM Calibration Final'!$A$1:$A$2000"),'Calculations'!$EM512)&amp;"")),"")&lt;&gt;"","G:"&amp;IFERROR(TEXT(1*INDEX(INDIRECT("'WCM Calibration Final'!$A$1:$A$2000"),'Calculations'!$EM512),"0"),UPPER(IFERROR(IF(INDEX(INDIRECT("'WCM Calibration Final'!$A$1:$A$2000"),'Calculations'!$EM512)="","",TRIM(INDEX(INDIRECT("'WCM Calibration Final'!$A$1:$A$2000"),'Calculations'!$EM512)&amp;"")),""))),IF(IFERROR(IF(INDEX(INDIRECT("'WCM Calibration Final'!$C$1:$C$2000"),'Calculations'!$EM512)="","",TRIM(INDEX(INDIRECT("'WCM Calibration Final'!$C$1:$C$2000"),'Calculations'!$EM512)&amp;"")),"")&lt;&gt;"","S:"&amp;UPPER(IFERROR(IF(INDEX(INDIRECT("'WCM Calibration Final'!$C$1:$C$2000"),'Calculations'!$EM512)="","",TRIM(INDEX(INDIRECT("'WCM Calibration Final'!$C$1:$C$2000"),'Calculations'!$EM512)&amp;"")),"")),"R:"&amp;'Calculations'!EM512)))</x:f>
      </x:c>
      <x:c r="HF512" t="str">
        <x:f>IF('Calculations'!EM512="","",IF(IFERROR(IF(INDEX(INDIRECT("'WCM Calibration Final'!$D$1:$D$2000"),'Calculations'!$EM512)="","",TRIM(INDEX(INDIRECT("'WCM Calibration Final'!$D$1:$D$2000"),'Calculations'!$EM512)&amp;"")),"")&lt;&gt;"","G:"&amp;IFERROR(TEXT(1*INDEX(INDIRECT("'WCM Calibration Final'!$D$1:$D$2000"),'Calculations'!$EM512),"0"),UPPER(IFERROR(IF(INDEX(INDIRECT("'WCM Calibration Final'!$D$1:$D$2000"),'Calculations'!$EM512)="","",TRIM(INDEX(INDIRECT("'WCM Calibration Final'!$D$1:$D$2000"),'Calculations'!$EM512)&amp;"")),""))),IF(IFERROR(IF(INDEX(INDIRECT("'WCM Calibration Final'!$E$1:$E$2000"),'Calculations'!$EM512)="","",TRIM(INDEX(INDIRECT("'WCM Calibration Final'!$E$1:$E$2000"),'Calculations'!$EM512)&amp;"")),"")="","",IF(COUNTIF('Calculations'!$HG$13:$HG$512,"="&amp;SUBSTITUTE(SUBSTITUTE(SUBSTITUTE(IFERROR(IF(INDEX(INDIRECT("'WCM Calibration Final'!$E$1:$E$2000"),'Calculations'!$EM512)="","",TRIM(INDEX(INDIRECT("'WCM Calibration Final'!$E$1:$E$2000"),'Calculations'!$EM512)&amp;"")),""),"~","~~"),"*","~*"),"?","~?"))=1,INDEX('Calculations'!$HE$13:$HE$512,MATCH(IFERROR(IF(INDEX(INDIRECT("'WCM Calibration Final'!$E$1:$E$2000"),'Calculations'!$EM512)="","",TRIM(INDEX(INDIRECT("'WCM Calibration Final'!$E$1:$E$2000"),'Calculations'!$EM512)&amp;"")),""),'Calculations'!$HG$13:$HG$512,0)),IF(COUNTIF('Calculations'!$HG$13:$HG$512,"="&amp;SUBSTITUTE(SUBSTITUTE(SUBSTITUTE(IFERROR(IF(INDEX(INDIRECT("'WCM Calibration Final'!$E$1:$E$2000"),'Calculations'!$EM512)="","",TRIM(INDEX(INDIRECT("'WCM Calibration Final'!$E$1:$E$2000"),'Calculations'!$EM512)&amp;"")),""),"~","~~"),"*","~*"),"?","~?"))&gt;1,"!AMBIG","X:"&amp;IFERROR(IF(INDEX(INDIRECT("'WCM Calibration Final'!$E$1:$E$2000"),'Calculations'!$EM512)="","",TRIM(INDEX(INDIRECT("'WCM Calibration Final'!$E$1:$E$2000"),'Calculations'!$EM512)&amp;"")),""))))))</x:f>
      </x:c>
      <x:c r="HG512" t="str">
        <x:f>IF('Calculations'!EM512="","",IFERROR(IF(INDEX(INDIRECT("'WCM Calibration Final'!$B$1:$B$2000"),'Calculations'!$EM512)="","",TRIM(INDEX(INDIRECT("'WCM Calibration Final'!$B$1:$B$2000"),'Calculations'!$EM512)&amp;"")),""))</x:f>
      </x:c>
      <x:c r="HH512" t="n">
        <x:f>IF(AND('Calculations'!JC512&gt;0,COUNTIF('Calculations'!$HF$12:HF512,"="&amp;SUBSTITUTE(SUBSTITUTE(SUBSTITUTE('Calculations'!HF512,"~","~~"),"*","~*"),"?","~?"))=1),MAX('Calculations'!$HH$12:HH511)+1,0)</x:f>
        <x:v>0</x:v>
      </x:c>
      <x:c r="HI512" t="n">
        <x:f>IF(AND('Calculations'!HN512&lt;&gt;"",COUNTIF('Calculations'!$HN$12:HN512,"="&amp;SUBSTITUTE(SUBSTITUTE(SUBSTITUTE('Calculations'!HN512,"~","~~"),"*","~*"),"?","~?"))=1),MAX('Calculations'!$HI$12:HI511)+1,0)</x:f>
        <x:v>0</x:v>
      </x:c>
      <x:c r="HJ512" t="str">
        <x:f>IF('Calculations'!HF512="","",IF(COUNTIF('Calculations'!$HE$13:$HE$512,"="&amp;SUBSTITUTE(SUBSTITUTE(SUBSTITUTE('Calculations'!HF512,"~","~~"),"*","~*"),"?","~?"))=1,INDEX('Calculations'!$HK$13:$HK$512,MATCH('Calculations'!HF512,'Calculations'!$HE$13:$HE$512,0)),IFERROR(IF(INDEX(INDIRECT("'WCM Calibration Final'!$E$1:$E$2000"),'Calculations'!$EM512)="","",TRIM(INDEX(INDIRECT("'WCM Calibration Final'!$E$1:$E$2000"),'Calculations'!$EM512)&amp;"")),"")&amp;" ["&amp;'Calculations'!HF512&amp;"]"))</x:f>
      </x:c>
      <x:c r="HK512" t="str">
        <x:f>IF('Calculations'!EM512="","",'Calculations'!HG512&amp;" ["&amp;'Calculations'!HE512&amp;"]")</x:f>
      </x:c>
      <x:c r="HL512" t="n">
        <x:f>IF('Calculations'!EM512="",0,IF(OR('Calculations'!II512&lt;&gt;"",COUNTIF('Calculations'!$HE$13:$HE$512,"="&amp;SUBSTITUTE(SUBSTITUTE(SUBSTITUTE('Calculations'!HE512,"~","~~"),"*","~*"),"?","~?"))&gt;1),1,0))</x:f>
        <x:v>0</x:v>
      </x:c>
      <x:c r="HM512" t="str">
        <x:f>IF('Calculations'!EM512="","",IF('Calculations'!HL512=1,"!UNRESOLVED",IF('Calculations'!IH512&lt;&gt;"",'Calculations'!IH512,IF('Calculations'!IG512&lt;&gt;"",'Calculations'!IG512,IF('Calculations'!IF512&lt;&gt;"",'Calculations'!IF512,IF('Calculations'!IE512&lt;&gt;"",'Calculations'!IE512,IF('Calculations'!ID512&lt;&gt;"",'Calculations'!ID512,IF('Calculations'!IC512&lt;&gt;"",'Calculations'!IC512,IF('Calculations'!IB512&lt;&gt;"",'Calculations'!IB512,IF('Calculations'!IA512&lt;&gt;"",'Calculations'!IA512,IF('Calculations'!HZ512&lt;&gt;"",'Calculations'!HZ512,IF('Calculations'!HY512&lt;&gt;"",'Calculations'!HY512,IF('Calculations'!HX512&lt;&gt;"",'Calculations'!HX512,IF('Calculations'!HW512&lt;&gt;"",'Calculations'!HW512,IF('Calculations'!HV512&lt;&gt;"",'Calculations'!HV512,IF('Calculations'!HU512&lt;&gt;"",'Calculations'!HU512,IF('Calculations'!HT512&lt;&gt;"",'Calculations'!HT512,IF('Calculations'!HS512&lt;&gt;"",'Calculations'!HS512,IF('Calculations'!HR512&lt;&gt;"",'Calculations'!HR512,IF('Calculations'!HQ512&lt;&gt;"",'Calculations'!HQ512,IF('Calculations'!HP512&lt;&gt;"",'Calculations'!HP512,IF('Calculations'!HO512&lt;&gt;"",'Calculations'!HO512,'Calculations'!HE512))))))))))))))))))))))</x:f>
      </x:c>
      <x:c r="HN512" t="str">
        <x:f>IF('Calculations'!EM512="","",IF(IFERROR(IF(INDEX(INDIRECT("'WCM Calibration Final'!$F$1:$F$2000"),'Calculations'!$EM512)="","",TRIM(INDEX(INDIRECT("'WCM Calibration Final'!$F$1:$F$2000"),'Calculations'!$EM512)&amp;"")),"")="","(Blank)",IFERROR(IF(INDEX(INDIRECT("'WCM Calibration Final'!$F$1:$F$2000"),'Calculations'!$EM512)="","",TRIM(INDEX(INDIRECT("'WCM Calibration Final'!$F$1:$F$2000"),'Calculations'!$EM512)&amp;"")),"")))</x:f>
      </x:c>
      <x:c r="HO512" t="n">
        <x:f>'Calculations'!HF512</x:f>
        <x:v>0</x:v>
      </x:c>
      <x:c r="HP512" t="str">
        <x:f>IF('Calculations'!HO512="","",IF('Calculations'!HO512="!AMBIG","!AMBIG",IF(COUNTIF('Calculations'!$HE$13:$HE$512,"="&amp;SUBSTITUTE(SUBSTITUTE(SUBSTITUTE('Calculations'!HO512,"~","~~"),"*","~*"),"?","~?"))&gt;1,"!AMBIG",IFERROR(INDEX('Calculations'!$HF$13:$HF$512,MATCH('Calculations'!HO512,'Calculations'!$HE$13:$HE$512,0)),""))))</x:f>
      </x:c>
      <x:c r="HQ512" t="str">
        <x:f>IF('Calculations'!HP512="","",IF('Calculations'!HP512="!AMBIG","!AMBIG",IF(COUNTIF('Calculations'!$HE$13:$HE$512,"="&amp;SUBSTITUTE(SUBSTITUTE(SUBSTITUTE('Calculations'!HP512,"~","~~"),"*","~*"),"?","~?"))&gt;1,"!AMBIG",IFERROR(INDEX('Calculations'!$HF$13:$HF$512,MATCH('Calculations'!HP512,'Calculations'!$HE$13:$HE$512,0)),""))))</x:f>
      </x:c>
      <x:c r="HR512" t="str">
        <x:f>IF('Calculations'!HQ512="","",IF('Calculations'!HQ512="!AMBIG","!AMBIG",IF(COUNTIF('Calculations'!$HE$13:$HE$512,"="&amp;SUBSTITUTE(SUBSTITUTE(SUBSTITUTE('Calculations'!HQ512,"~","~~"),"*","~*"),"?","~?"))&gt;1,"!AMBIG",IFERROR(INDEX('Calculations'!$HF$13:$HF$512,MATCH('Calculations'!HQ512,'Calculations'!$HE$13:$HE$512,0)),""))))</x:f>
      </x:c>
      <x:c r="HS512" t="str">
        <x:f>IF('Calculations'!HR512="","",IF('Calculations'!HR512="!AMBIG","!AMBIG",IF(COUNTIF('Calculations'!$HE$13:$HE$512,"="&amp;SUBSTITUTE(SUBSTITUTE(SUBSTITUTE('Calculations'!HR512,"~","~~"),"*","~*"),"?","~?"))&gt;1,"!AMBIG",IFERROR(INDEX('Calculations'!$HF$13:$HF$512,MATCH('Calculations'!HR512,'Calculations'!$HE$13:$HE$512,0)),""))))</x:f>
      </x:c>
      <x:c r="HT512" t="str">
        <x:f>IF('Calculations'!HS512="","",IF('Calculations'!HS512="!AMBIG","!AMBIG",IF(COUNTIF('Calculations'!$HE$13:$HE$512,"="&amp;SUBSTITUTE(SUBSTITUTE(SUBSTITUTE('Calculations'!HS512,"~","~~"),"*","~*"),"?","~?"))&gt;1,"!AMBIG",IFERROR(INDEX('Calculations'!$HF$13:$HF$512,MATCH('Calculations'!HS512,'Calculations'!$HE$13:$HE$512,0)),""))))</x:f>
      </x:c>
      <x:c r="HU512" t="str">
        <x:f>IF('Calculations'!HT512="","",IF('Calculations'!HT512="!AMBIG","!AMBIG",IF(COUNTIF('Calculations'!$HE$13:$HE$512,"="&amp;SUBSTITUTE(SUBSTITUTE(SUBSTITUTE('Calculations'!HT512,"~","~~"),"*","~*"),"?","~?"))&gt;1,"!AMBIG",IFERROR(INDEX('Calculations'!$HF$13:$HF$512,MATCH('Calculations'!HT512,'Calculations'!$HE$13:$HE$512,0)),""))))</x:f>
      </x:c>
      <x:c r="HV512" t="str">
        <x:f>IF('Calculations'!HU512="","",IF('Calculations'!HU512="!AMBIG","!AMBIG",IF(COUNTIF('Calculations'!$HE$13:$HE$512,"="&amp;SUBSTITUTE(SUBSTITUTE(SUBSTITUTE('Calculations'!HU512,"~","~~"),"*","~*"),"?","~?"))&gt;1,"!AMBIG",IFERROR(INDEX('Calculations'!$HF$13:$HF$512,MATCH('Calculations'!HU512,'Calculations'!$HE$13:$HE$512,0)),""))))</x:f>
      </x:c>
      <x:c r="HW512" t="str">
        <x:f>IF('Calculations'!HV512="","",IF('Calculations'!HV512="!AMBIG","!AMBIG",IF(COUNTIF('Calculations'!$HE$13:$HE$512,"="&amp;SUBSTITUTE(SUBSTITUTE(SUBSTITUTE('Calculations'!HV512,"~","~~"),"*","~*"),"?","~?"))&gt;1,"!AMBIG",IFERROR(INDEX('Calculations'!$HF$13:$HF$512,MATCH('Calculations'!HV512,'Calculations'!$HE$13:$HE$512,0)),""))))</x:f>
      </x:c>
      <x:c r="HX512" t="str">
        <x:f>IF('Calculations'!HW512="","",IF('Calculations'!HW512="!AMBIG","!AMBIG",IF(COUNTIF('Calculations'!$HE$13:$HE$512,"="&amp;SUBSTITUTE(SUBSTITUTE(SUBSTITUTE('Calculations'!HW512,"~","~~"),"*","~*"),"?","~?"))&gt;1,"!AMBIG",IFERROR(INDEX('Calculations'!$HF$13:$HF$512,MATCH('Calculations'!HW512,'Calculations'!$HE$13:$HE$512,0)),""))))</x:f>
      </x:c>
      <x:c r="HY512" t="str">
        <x:f>IF('Calculations'!HX512="","",IF('Calculations'!HX512="!AMBIG","!AMBIG",IF(COUNTIF('Calculations'!$HE$13:$HE$512,"="&amp;SUBSTITUTE(SUBSTITUTE(SUBSTITUTE('Calculations'!HX512,"~","~~"),"*","~*"),"?","~?"))&gt;1,"!AMBIG",IFERROR(INDEX('Calculations'!$HF$13:$HF$512,MATCH('Calculations'!HX512,'Calculations'!$HE$13:$HE$512,0)),""))))</x:f>
      </x:c>
      <x:c r="HZ512" t="str">
        <x:f>IF('Calculations'!HY512="","",IF('Calculations'!HY512="!AMBIG","!AMBIG",IF(COUNTIF('Calculations'!$HE$13:$HE$512,"="&amp;SUBSTITUTE(SUBSTITUTE(SUBSTITUTE('Calculations'!HY512,"~","~~"),"*","~*"),"?","~?"))&gt;1,"!AMBIG",IFERROR(INDEX('Calculations'!$HF$13:$HF$512,MATCH('Calculations'!HY512,'Calculations'!$HE$13:$HE$512,0)),""))))</x:f>
      </x:c>
      <x:c r="IA512" t="str">
        <x:f>IF('Calculations'!HZ512="","",IF('Calculations'!HZ512="!AMBIG","!AMBIG",IF(COUNTIF('Calculations'!$HE$13:$HE$512,"="&amp;SUBSTITUTE(SUBSTITUTE(SUBSTITUTE('Calculations'!HZ512,"~","~~"),"*","~*"),"?","~?"))&gt;1,"!AMBIG",IFERROR(INDEX('Calculations'!$HF$13:$HF$512,MATCH('Calculations'!HZ512,'Calculations'!$HE$13:$HE$512,0)),""))))</x:f>
      </x:c>
      <x:c r="IB512" t="str">
        <x:f>IF('Calculations'!IA512="","",IF('Calculations'!IA512="!AMBIG","!AMBIG",IF(COUNTIF('Calculations'!$HE$13:$HE$512,"="&amp;SUBSTITUTE(SUBSTITUTE(SUBSTITUTE('Calculations'!IA512,"~","~~"),"*","~*"),"?","~?"))&gt;1,"!AMBIG",IFERROR(INDEX('Calculations'!$HF$13:$HF$512,MATCH('Calculations'!IA512,'Calculations'!$HE$13:$HE$512,0)),""))))</x:f>
      </x:c>
      <x:c r="IC512" t="str">
        <x:f>IF('Calculations'!IB512="","",IF('Calculations'!IB512="!AMBIG","!AMBIG",IF(COUNTIF('Calculations'!$HE$13:$HE$512,"="&amp;SUBSTITUTE(SUBSTITUTE(SUBSTITUTE('Calculations'!IB512,"~","~~"),"*","~*"),"?","~?"))&gt;1,"!AMBIG",IFERROR(INDEX('Calculations'!$HF$13:$HF$512,MATCH('Calculations'!IB512,'Calculations'!$HE$13:$HE$512,0)),""))))</x:f>
      </x:c>
      <x:c r="ID512" t="str">
        <x:f>IF('Calculations'!IC512="","",IF('Calculations'!IC512="!AMBIG","!AMBIG",IF(COUNTIF('Calculations'!$HE$13:$HE$512,"="&amp;SUBSTITUTE(SUBSTITUTE(SUBSTITUTE('Calculations'!IC512,"~","~~"),"*","~*"),"?","~?"))&gt;1,"!AMBIG",IFERROR(INDEX('Calculations'!$HF$13:$HF$512,MATCH('Calculations'!IC512,'Calculations'!$HE$13:$HE$512,0)),""))))</x:f>
      </x:c>
      <x:c r="IE512" t="str">
        <x:f>IF('Calculations'!ID512="","",IF('Calculations'!ID512="!AMBIG","!AMBIG",IF(COUNTIF('Calculations'!$HE$13:$HE$512,"="&amp;SUBSTITUTE(SUBSTITUTE(SUBSTITUTE('Calculations'!ID512,"~","~~"),"*","~*"),"?","~?"))&gt;1,"!AMBIG",IFERROR(INDEX('Calculations'!$HF$13:$HF$512,MATCH('Calculations'!ID512,'Calculations'!$HE$13:$HE$512,0)),""))))</x:f>
      </x:c>
      <x:c r="IF512" t="str">
        <x:f>IF('Calculations'!IE512="","",IF('Calculations'!IE512="!AMBIG","!AMBIG",IF(COUNTIF('Calculations'!$HE$13:$HE$512,"="&amp;SUBSTITUTE(SUBSTITUTE(SUBSTITUTE('Calculations'!IE512,"~","~~"),"*","~*"),"?","~?"))&gt;1,"!AMBIG",IFERROR(INDEX('Calculations'!$HF$13:$HF$512,MATCH('Calculations'!IE512,'Calculations'!$HE$13:$HE$512,0)),""))))</x:f>
      </x:c>
      <x:c r="IG512" t="str">
        <x:f>IF('Calculations'!IF512="","",IF('Calculations'!IF512="!AMBIG","!AMBIG",IF(COUNTIF('Calculations'!$HE$13:$HE$512,"="&amp;SUBSTITUTE(SUBSTITUTE(SUBSTITUTE('Calculations'!IF512,"~","~~"),"*","~*"),"?","~?"))&gt;1,"!AMBIG",IFERROR(INDEX('Calculations'!$HF$13:$HF$512,MATCH('Calculations'!IF512,'Calculations'!$HE$13:$HE$512,0)),""))))</x:f>
      </x:c>
      <x:c r="IH512" t="str">
        <x:f>IF('Calculations'!IG512="","",IF('Calculations'!IG512="!AMBIG","!AMBIG",IF(COUNTIF('Calculations'!$HE$13:$HE$512,"="&amp;SUBSTITUTE(SUBSTITUTE(SUBSTITUTE('Calculations'!IG512,"~","~~"),"*","~*"),"?","~?"))&gt;1,"!AMBIG",IFERROR(INDEX('Calculations'!$HF$13:$HF$512,MATCH('Calculations'!IG512,'Calculations'!$HE$13:$HE$512,0)),""))))</x:f>
      </x:c>
      <x:c r="II512" t="str">
        <x:f>IF('Calculations'!IH512="","",IF('Calculations'!IH512="!AMBIG","!AMBIG",IF(COUNTIF('Calculations'!$HE$13:$HE$512,"="&amp;SUBSTITUTE(SUBSTITUTE(SUBSTITUTE('Calculations'!IH512,"~","~~"),"*","~*"),"?","~?"))&gt;1,"!AMBIG",IFERROR(INDEX('Calculations'!$HF$13:$HF$512,MATCH('Calculations'!IH512,'Calculations'!$HE$13:$HE$512,0)),""))))</x:f>
      </x:c>
      <x:c r="IJ512" t="str">
        <x:f>IF('Calculations'!EM512="","",IF('Calculations'!$EF$2="All",'Calculations'!HM512,IF('Calculations'!HL512=1,"",IFERROR(IF(MATCH('Calculations'!$EF$2,'Calculations'!HO512:II512,0)=1,'Calculations'!HE512,INDEX('Calculations'!HO512:II512,1,MATCH('Calculations'!$EF$2,'Calculations'!HO512:II512,0)-1)),""))))</x:f>
      </x:c>
      <x:c r="IK512" t="n">
        <x:f>IF(AND('Calculations'!EM512&lt;&gt;"",'Calculations'!$EF$2&lt;&gt;"All",'Calculations'!HF512='Calculations'!$EF$2,'Calculations'!HL512=0,'Calculations'!JD512&gt;0),MAX('Calculations'!$IK$12:IK511)+1,0)</x:f>
        <x:v>0</x:v>
      </x:c>
      <x:c r="JA512" t="n">
        <x:f>IF(OR(IFERROR(INDIRECT("'WCM Calibration Final'!$A$512")&lt;&gt;"",FALSE),IFERROR(INDIRECT("'WCM Calibration Final'!$B$512")&lt;&gt;"",FALSE),IFERROR(INDIRECT("'WCM Calibration Final'!$C$512")&lt;&gt;"",FALSE)),512,0)</x:f>
        <x:v>0</x:v>
      </x:c>
      <x:c r="JB512" t="n">
        <x:f>'Calculations'!JB511+IF('Calculations'!JA512&gt;0,1,0)</x:f>
        <x:v>0</x:v>
      </x:c>
      <x:c r="JC512" t="n">
        <x:f>IF(OR('Calculations'!HF512="",'Calculations'!HF512="!AMBIG"),0,IF('Dashboard'!$B$7="All",1,COUNTIFS('Calculations'!$HO$13:$HO$512,"="&amp;SUBSTITUTE(SUBSTITUTE(SUBSTITUTE('Calculations'!HF512,"~","~~"),"*","~*"),"?","~?"),'Calculations'!$HN$13:$HN$512,"="&amp;SUBSTITUTE(SUBSTITUTE(SUBSTITUTE('Dashboard'!$B$7,"~","~~"),"*","~*"),"?","~?"))+COUNTIFS('Calculations'!$HP$13:$HP$512,"="&amp;SUBSTITUTE(SUBSTITUTE(SUBSTITUTE('Calculations'!HF512,"~","~~"),"*","~*"),"?","~?"),'Calculations'!$HN$13:$HN$512,"="&amp;SUBSTITUTE(SUBSTITUTE(SUBSTITUTE('Dashboard'!$B$7,"~","~~"),"*","~*"),"?","~?"))+COUNTIFS('Calculations'!$HQ$13:$HQ$512,"="&amp;SUBSTITUTE(SUBSTITUTE(SUBSTITUTE('Calculations'!HF512,"~","~~"),"*","~*"),"?","~?"),'Calculations'!$HN$13:$HN$512,"="&amp;SUBSTITUTE(SUBSTITUTE(SUBSTITUTE('Dashboard'!$B$7,"~","~~"),"*","~*"),"?","~?"))+COUNTIFS('Calculations'!$HR$13:$HR$512,"="&amp;SUBSTITUTE(SUBSTITUTE(SUBSTITUTE('Calculations'!HF512,"~","~~"),"*","~*"),"?","~?"),'Calculations'!$HN$13:$HN$512,"="&amp;SUBSTITUTE(SUBSTITUTE(SUBSTITUTE('Dashboard'!$B$7,"~","~~"),"*","~*"),"?","~?"))+COUNTIFS('Calculations'!$HS$13:$HS$512,"="&amp;SUBSTITUTE(SUBSTITUTE(SUBSTITUTE('Calculations'!HF512,"~","~~"),"*","~*"),"?","~?"),'Calculations'!$HN$13:$HN$512,"="&amp;SUBSTITUTE(SUBSTITUTE(SUBSTITUTE('Dashboard'!$B$7,"~","~~"),"*","~*"),"?","~?"))+COUNTIFS('Calculations'!$HT$13:$HT$512,"="&amp;SUBSTITUTE(SUBSTITUTE(SUBSTITUTE('Calculations'!HF512,"~","~~"),"*","~*"),"?","~?"),'Calculations'!$HN$13:$HN$512,"="&amp;SUBSTITUTE(SUBSTITUTE(SUBSTITUTE('Dashboard'!$B$7,"~","~~"),"*","~*"),"?","~?"))+COUNTIFS('Calculations'!$HU$13:$HU$512,"="&amp;SUBSTITUTE(SUBSTITUTE(SUBSTITUTE('Calculations'!HF512,"~","~~"),"*","~*"),"?","~?"),'Calculations'!$HN$13:$HN$512,"="&amp;SUBSTITUTE(SUBSTITUTE(SUBSTITUTE('Dashboard'!$B$7,"~","~~"),"*","~*"),"?","~?"))+COUNTIFS('Calculations'!$HV$13:$HV$512,"="&amp;SUBSTITUTE(SUBSTITUTE(SUBSTITUTE('Calculations'!HF512,"~","~~"),"*","~*"),"?","~?"),'Calculations'!$HN$13:$HN$512,"="&amp;SUBSTITUTE(SUBSTITUTE(SUBSTITUTE('Dashboard'!$B$7,"~","~~"),"*","~*"),"?","~?"))+COUNTIFS('Calculations'!$HW$13:$HW$512,"="&amp;SUBSTITUTE(SUBSTITUTE(SUBSTITUTE('Calculations'!HF512,"~","~~"),"*","~*"),"?","~?"),'Calculations'!$HN$13:$HN$512,"="&amp;SUBSTITUTE(SUBSTITUTE(SUBSTITUTE('Dashboard'!$B$7,"~","~~"),"*","~*"),"?","~?"))+COUNTIFS('Calculations'!$HX$13:$HX$512,"="&amp;SUBSTITUTE(SUBSTITUTE(SUBSTITUTE('Calculations'!HF512,"~","~~"),"*","~*"),"?","~?"),'Calculations'!$HN$13:$HN$512,"="&amp;SUBSTITUTE(SUBSTITUTE(SUBSTITUTE('Dashboard'!$B$7,"~","~~"),"*","~*"),"?","~?"))+COUNTIFS('Calculations'!$HY$13:$HY$512,"="&amp;SUBSTITUTE(SUBSTITUTE(SUBSTITUTE('Calculations'!HF512,"~","~~"),"*","~*"),"?","~?"),'Calculations'!$HN$13:$HN$512,"="&amp;SUBSTITUTE(SUBSTITUTE(SUBSTITUTE('Dashboard'!$B$7,"~","~~"),"*","~*"),"?","~?"))+COUNTIFS('Calculations'!$HZ$13:$HZ$512,"="&amp;SUBSTITUTE(SUBSTITUTE(SUBSTITUTE('Calculations'!HF512,"~","~~"),"*","~*"),"?","~?"),'Calculations'!$HN$13:$HN$512,"="&amp;SUBSTITUTE(SUBSTITUTE(SUBSTITUTE('Dashboard'!$B$7,"~","~~"),"*","~*"),"?","~?"))+COUNTIFS('Calculations'!$IA$13:$IA$512,"="&amp;SUBSTITUTE(SUBSTITUTE(SUBSTITUTE('Calculations'!HF512,"~","~~"),"*","~*"),"?","~?"),'Calculations'!$HN$13:$HN$512,"="&amp;SUBSTITUTE(SUBSTITUTE(SUBSTITUTE('Dashboard'!$B$7,"~","~~"),"*","~*"),"?","~?"))+COUNTIFS('Calculations'!$IB$13:$IB$512,"="&amp;SUBSTITUTE(SUBSTITUTE(SUBSTITUTE('Calculations'!HF512,"~","~~"),"*","~*"),"?","~?"),'Calculations'!$HN$13:$HN$512,"="&amp;SUBSTITUTE(SUBSTITUTE(SUBSTITUTE('Dashboard'!$B$7,"~","~~"),"*","~*"),"?","~?"))+COUNTIFS('Calculations'!$IC$13:$IC$512,"="&amp;SUBSTITUTE(SUBSTITUTE(SUBSTITUTE('Calculations'!HF512,"~","~~"),"*","~*"),"?","~?"),'Calculations'!$HN$13:$HN$512,"="&amp;SUBSTITUTE(SUBSTITUTE(SUBSTITUTE('Dashboard'!$B$7,"~","~~"),"*","~*"),"?","~?"))+COUNTIFS('Calculations'!$ID$13:$ID$512,"="&amp;SUBSTITUTE(SUBSTITUTE(SUBSTITUTE('Calculations'!HF512,"~","~~"),"*","~*"),"?","~?"),'Calculations'!$HN$13:$HN$512,"="&amp;SUBSTITUTE(SUBSTITUTE(SUBSTITUTE('Dashboard'!$B$7,"~","~~"),"*","~*"),"?","~?"))+COUNTIFS('Calculations'!$IE$13:$IE$512,"="&amp;SUBSTITUTE(SUBSTITUTE(SUBSTITUTE('Calculations'!HF512,"~","~~"),"*","~*"),"?","~?"),'Calculations'!$HN$13:$HN$512,"="&amp;SUBSTITUTE(SUBSTITUTE(SUBSTITUTE('Dashboard'!$B$7,"~","~~"),"*","~*"),"?","~?"))+COUNTIFS('Calculations'!$IF$13:$IF$512,"="&amp;SUBSTITUTE(SUBSTITUTE(SUBSTITUTE('Calculations'!HF512,"~","~~"),"*","~*"),"?","~?"),'Calculations'!$HN$13:$HN$512,"="&amp;SUBSTITUTE(SUBSTITUTE(SUBSTITUTE('Dashboard'!$B$7,"~","~~"),"*","~*"),"?","~?"))+COUNTIFS('Calculations'!$IG$13:$IG$512,"="&amp;SUBSTITUTE(SUBSTITUTE(SUBSTITUTE('Calculations'!HF512,"~","~~"),"*","~*"),"?","~?"),'Calculations'!$HN$13:$HN$512,"="&amp;SUBSTITUTE(SUBSTITUTE(SUBSTITUTE('Dashboard'!$B$7,"~","~~"),"*","~*"),"?","~?"))+COUNTIFS('Calculations'!$IH$13:$IH$512,"="&amp;SUBSTITUTE(SUBSTITUTE(SUBSTITUTE('Calculations'!HF512,"~","~~"),"*","~*"),"?","~?"),'Calculations'!$HN$13:$HN$512,"="&amp;SUBSTITUTE(SUBSTITUTE(SUBSTITUTE('Dashboard'!$B$7,"~","~~"),"*","~*"),"?","~?"))))</x:f>
        <x:v>0</x:v>
      </x:c>
      <x:c r="JD512" t="n">
        <x:f>IF('Calculations'!EM512="",0,IF('Dashboard'!$B$7="All",1,IF('Calculations'!HN512='Dashboard'!$B$7,1,0)+IFERROR(INDEX('Calculations'!$JC$13:$JC$512,MATCH('Calculations'!HE512,'Calculations'!$HF$13:$HF$512,0)),0)))</x:f>
        <x:v>0</x:v>
      </x:c>
      <x:c r="JE512" t="n">
        <x:f>IF(AND('Calculations'!EM512&lt;&gt;"",'Calculations'!$JJ$2&lt;&gt;"All",'Calculations'!$JJ$2&lt;&gt;"",'Calculations'!HF512='Calculations'!$JJ$2,'Calculations'!HL512=0,'Calculations'!JD512&gt;0),MAX('Calculations'!$JE$12:JE511)+1,0)</x:f>
        <x:v>0</x:v>
      </x:c>
      <x:c r="JF512" t="str">
        <x:f>IF('Calculations'!EM512="","",IFERROR(IF(INDEX(INDIRECT("'WCM Calibration Final'!$G$1:$G$2000"),'Calculations'!$EM512)="","",TRIM(INDEX(INDIRECT("'WCM Calibration Final'!$G$1:$G$2000"),'Calculations'!$EM512)&amp;"")),""))</x:f>
      </x:c>
      <x:c r="JQ512" t="n">
        <x:f>IF(OR('Calculations'!BM512=0,NOT('Calculations'!$AG$2),'Calculations'!$AG$8&gt;0),0,IF(OR('Dashboard'!$B$7="All",'Calculations'!HN512='Dashboard'!$B$7),IF('Calculations'!$JJ$2="All",1,IF(AND('Calculations'!HF512='Calculations'!$JJ$2,'Calculations'!HL512=0),1,0)),0))</x:f>
        <x:v>0</x:v>
      </x:c>
    </x:row>
    <x:row r="513">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4"/>
      <x:c r="DQ513" s="4"/>
      <x:c r="DR513" s="4"/>
      <x:c r="DS513" s="4"/>
      <x:c r="DT513" s="4"/>
      <x:c r="DU513" s="4"/>
      <x:c r="DV513" s="4"/>
      <x:c r="DW513" s="4"/>
      <x:c r="DX513" s="4"/>
      <x:c r="DY513" s="4"/>
      <x:c r="DZ513" s="4"/>
      <x:c r="EA513" s="4"/>
      <x:c r="EB513" s="4"/>
      <x:c r="EC513" s="4"/>
      <x:c r="ED513" s="4"/>
      <x:c r="EE513" s="4"/>
      <x:c r="EF513" s="4"/>
      <x:c r="EG513" s="4"/>
      <x:c r="EH513" s="4"/>
      <x:c r="EI513" s="4"/>
      <x:c r="EJ513" s="4"/>
      <x:c r="EK513" s="4"/>
      <x:c r="EL513" s="4"/>
      <x:c r="EM513" s="4"/>
      <x:c r="EN513" s="4"/>
      <x:c r="EO513" s="4"/>
      <x:c r="EP513" s="4"/>
      <x:c r="EQ513" s="4"/>
      <x:c r="ER513" s="4"/>
      <x:c r="ES513" s="4"/>
      <x:c r="ET513" s="4"/>
      <x:c r="EU513" s="4"/>
      <x:c r="EV513" s="4"/>
      <x:c r="EW513" s="4"/>
      <x:c r="EX513" s="4"/>
      <x:c r="EY513" s="4"/>
      <x:c r="EZ513" s="4"/>
      <x:c r="FA513" s="4"/>
      <x:c r="FB513" s="4"/>
      <x:c r="FC513" s="4"/>
      <x:c r="FD513" s="4"/>
      <x:c r="FE513" s="4"/>
      <x:c r="FF513" s="4"/>
      <x:c r="FG513" s="4"/>
      <x:c r="FH513" s="4"/>
      <x:c r="FI513" s="4"/>
      <x:c r="FJ513" s="4"/>
      <x:c r="FK513" s="4"/>
      <x:c r="FL513" s="4"/>
      <x:c r="FM513" s="4"/>
      <x:c r="FN513" s="4"/>
      <x:c r="FO513" s="4"/>
      <x:c r="JA513" t="n">
        <x:f>IF(OR(IFERROR(INDIRECT("'WCM Calibration Final'!$A$513")&lt;&gt;"",FALSE),IFERROR(INDIRECT("'WCM Calibration Final'!$B$513")&lt;&gt;"",FALSE),IFERROR(INDIRECT("'WCM Calibration Final'!$C$513")&lt;&gt;"",FALSE)),513,0)</x:f>
        <x:v>0</x:v>
      </x:c>
      <x:c r="JB513" t="n">
        <x:f>'Calculations'!JB512+IF('Calculations'!JA513&gt;0,1,0)</x:f>
        <x:v>0</x:v>
      </x:c>
    </x:row>
    <x:row r="514">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4"/>
      <x:c r="DQ514" s="4"/>
      <x:c r="DR514" s="4"/>
      <x:c r="DS514" s="4"/>
      <x:c r="DT514" s="4"/>
      <x:c r="DU514" s="4"/>
      <x:c r="DV514" s="4"/>
      <x:c r="DW514" s="4"/>
      <x:c r="DX514" s="4"/>
      <x:c r="DY514" s="4"/>
      <x:c r="DZ514" s="4"/>
      <x:c r="EA514" s="4"/>
      <x:c r="EB514" s="4"/>
      <x:c r="EC514" s="4"/>
      <x:c r="ED514" s="4"/>
      <x:c r="EE514" s="4"/>
      <x:c r="EF514" s="4"/>
      <x:c r="EG514" s="4"/>
      <x:c r="EH514" s="4"/>
      <x:c r="EI514" s="4"/>
      <x:c r="EJ514" s="4"/>
      <x:c r="EK514" s="4"/>
      <x:c r="EL514" s="4"/>
      <x:c r="EM514" s="4"/>
      <x:c r="EN514" s="4"/>
      <x:c r="EO514" s="4"/>
      <x:c r="EP514" s="4"/>
      <x:c r="EQ514" s="4"/>
      <x:c r="ER514" s="4"/>
      <x:c r="ES514" s="4"/>
      <x:c r="ET514" s="4"/>
      <x:c r="EU514" s="4"/>
      <x:c r="EV514" s="4"/>
      <x:c r="EW514" s="4"/>
      <x:c r="EX514" s="4"/>
      <x:c r="EY514" s="4"/>
      <x:c r="EZ514" s="4"/>
      <x:c r="FA514" s="4"/>
      <x:c r="FB514" s="4"/>
      <x:c r="FC514" s="4"/>
      <x:c r="FD514" s="4"/>
      <x:c r="FE514" s="4"/>
      <x:c r="FF514" s="4"/>
      <x:c r="FG514" s="4"/>
      <x:c r="FH514" s="4"/>
      <x:c r="FI514" s="4"/>
      <x:c r="FJ514" s="4"/>
      <x:c r="FK514" s="4"/>
      <x:c r="FL514" s="4"/>
      <x:c r="FM514" s="4"/>
      <x:c r="FN514" s="4"/>
      <x:c r="FO514" s="4"/>
      <x:c r="JA514" t="n">
        <x:f>IF(OR(IFERROR(INDIRECT("'WCM Calibration Final'!$A$514")&lt;&gt;"",FALSE),IFERROR(INDIRECT("'WCM Calibration Final'!$B$514")&lt;&gt;"",FALSE),IFERROR(INDIRECT("'WCM Calibration Final'!$C$514")&lt;&gt;"",FALSE)),514,0)</x:f>
        <x:v>0</x:v>
      </x:c>
      <x:c r="JB514" t="n">
        <x:f>'Calculations'!JB513+IF('Calculations'!JA514&gt;0,1,0)</x:f>
        <x:v>0</x:v>
      </x:c>
    </x:row>
    <x:row r="515">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4"/>
      <x:c r="DQ515" s="4"/>
      <x:c r="DR515" s="4"/>
      <x:c r="DS515" s="4"/>
      <x:c r="DT515" s="4"/>
      <x:c r="DU515" s="4"/>
      <x:c r="DV515" s="4"/>
      <x:c r="DW515" s="4"/>
      <x:c r="DX515" s="4"/>
      <x:c r="DY515" s="4"/>
      <x:c r="DZ515" s="4"/>
      <x:c r="EA515" s="4"/>
      <x:c r="EB515" s="4"/>
      <x:c r="EC515" s="4"/>
      <x:c r="ED515" s="4"/>
      <x:c r="EE515" s="4"/>
      <x:c r="EF515" s="4"/>
      <x:c r="EG515" s="4"/>
      <x:c r="EH515" s="4"/>
      <x:c r="EI515" s="4"/>
      <x:c r="EJ515" s="4"/>
      <x:c r="EK515" s="4"/>
      <x:c r="EL515" s="4"/>
      <x:c r="EM515" s="4"/>
      <x:c r="EN515" s="4"/>
      <x:c r="EO515" s="4"/>
      <x:c r="EP515" s="4"/>
      <x:c r="EQ515" s="4"/>
      <x:c r="ER515" s="4"/>
      <x:c r="ES515" s="4"/>
      <x:c r="ET515" s="4"/>
      <x:c r="EU515" s="4"/>
      <x:c r="EV515" s="4"/>
      <x:c r="EW515" s="4"/>
      <x:c r="EX515" s="4"/>
      <x:c r="EY515" s="4"/>
      <x:c r="EZ515" s="4"/>
      <x:c r="FA515" s="4"/>
      <x:c r="FB515" s="4"/>
      <x:c r="FC515" s="4"/>
      <x:c r="FD515" s="4"/>
      <x:c r="FE515" s="4"/>
      <x:c r="FF515" s="4"/>
      <x:c r="FG515" s="4"/>
      <x:c r="FH515" s="4"/>
      <x:c r="FI515" s="4"/>
      <x:c r="FJ515" s="4"/>
      <x:c r="FK515" s="4"/>
      <x:c r="FL515" s="4"/>
      <x:c r="FM515" s="4"/>
      <x:c r="FN515" s="4"/>
      <x:c r="FO515" s="4"/>
      <x:c r="JA515" t="n">
        <x:f>IF(OR(IFERROR(INDIRECT("'WCM Calibration Final'!$A$515")&lt;&gt;"",FALSE),IFERROR(INDIRECT("'WCM Calibration Final'!$B$515")&lt;&gt;"",FALSE),IFERROR(INDIRECT("'WCM Calibration Final'!$C$515")&lt;&gt;"",FALSE)),515,0)</x:f>
        <x:v>0</x:v>
      </x:c>
      <x:c r="JB515" t="n">
        <x:f>'Calculations'!JB514+IF('Calculations'!JA515&gt;0,1,0)</x:f>
        <x:v>0</x:v>
      </x:c>
    </x:row>
    <x:row r="516">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4"/>
      <x:c r="DQ516" s="4"/>
      <x:c r="DR516" s="4"/>
      <x:c r="DS516" s="4"/>
      <x:c r="DT516" s="4"/>
      <x:c r="DU516" s="4"/>
      <x:c r="DV516" s="4"/>
      <x:c r="DW516" s="4"/>
      <x:c r="DX516" s="4"/>
      <x:c r="DY516" s="4"/>
      <x:c r="DZ516" s="4"/>
      <x:c r="EA516" s="4"/>
      <x:c r="EB516" s="4"/>
      <x:c r="EC516" s="4"/>
      <x:c r="ED516" s="4"/>
      <x:c r="EE516" s="4"/>
      <x:c r="EF516" s="4"/>
      <x:c r="EG516" s="4"/>
      <x:c r="EH516" s="4"/>
      <x:c r="EI516" s="4"/>
      <x:c r="EJ516" s="4"/>
      <x:c r="EK516" s="4"/>
      <x:c r="EL516" s="4"/>
      <x:c r="EM516" s="4"/>
      <x:c r="EN516" s="4"/>
      <x:c r="EO516" s="4"/>
      <x:c r="EP516" s="4"/>
      <x:c r="EQ516" s="4"/>
      <x:c r="ER516" s="4"/>
      <x:c r="ES516" s="4"/>
      <x:c r="ET516" s="4"/>
      <x:c r="EU516" s="4"/>
      <x:c r="EV516" s="4"/>
      <x:c r="EW516" s="4"/>
      <x:c r="EX516" s="4"/>
      <x:c r="EY516" s="4"/>
      <x:c r="EZ516" s="4"/>
      <x:c r="FA516" s="4"/>
      <x:c r="FB516" s="4"/>
      <x:c r="FC516" s="4"/>
      <x:c r="FD516" s="4"/>
      <x:c r="FE516" s="4"/>
      <x:c r="FF516" s="4"/>
      <x:c r="FG516" s="4"/>
      <x:c r="FH516" s="4"/>
      <x:c r="FI516" s="4"/>
      <x:c r="FJ516" s="4"/>
      <x:c r="FK516" s="4"/>
      <x:c r="FL516" s="4"/>
      <x:c r="FM516" s="4"/>
      <x:c r="FN516" s="4"/>
      <x:c r="FO516" s="4"/>
      <x:c r="JA516" t="n">
        <x:f>IF(OR(IFERROR(INDIRECT("'WCM Calibration Final'!$A$516")&lt;&gt;"",FALSE),IFERROR(INDIRECT("'WCM Calibration Final'!$B$516")&lt;&gt;"",FALSE),IFERROR(INDIRECT("'WCM Calibration Final'!$C$516")&lt;&gt;"",FALSE)),516,0)</x:f>
        <x:v>0</x:v>
      </x:c>
      <x:c r="JB516" t="n">
        <x:f>'Calculations'!JB515+IF('Calculations'!JA516&gt;0,1,0)</x:f>
        <x:v>0</x:v>
      </x:c>
    </x:row>
    <x:row r="517">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4"/>
      <x:c r="DQ517" s="4"/>
      <x:c r="DR517" s="4"/>
      <x:c r="DS517" s="4"/>
      <x:c r="DT517" s="4"/>
      <x:c r="DU517" s="4"/>
      <x:c r="DV517" s="4"/>
      <x:c r="DW517" s="4"/>
      <x:c r="DX517" s="4"/>
      <x:c r="DY517" s="4"/>
      <x:c r="DZ517" s="4"/>
      <x:c r="EA517" s="4"/>
      <x:c r="EB517" s="4"/>
      <x:c r="EC517" s="4"/>
      <x:c r="ED517" s="4"/>
      <x:c r="EE517" s="4"/>
      <x:c r="EF517" s="4"/>
      <x:c r="EG517" s="4"/>
      <x:c r="EH517" s="4"/>
      <x:c r="EI517" s="4"/>
      <x:c r="EJ517" s="4"/>
      <x:c r="EK517" s="4"/>
      <x:c r="EL517" s="4"/>
      <x:c r="EM517" s="4"/>
      <x:c r="EN517" s="4"/>
      <x:c r="EO517" s="4"/>
      <x:c r="EP517" s="4"/>
      <x:c r="EQ517" s="4"/>
      <x:c r="ER517" s="4"/>
      <x:c r="ES517" s="4"/>
      <x:c r="ET517" s="4"/>
      <x:c r="EU517" s="4"/>
      <x:c r="EV517" s="4"/>
      <x:c r="EW517" s="4"/>
      <x:c r="EX517" s="4"/>
      <x:c r="EY517" s="4"/>
      <x:c r="EZ517" s="4"/>
      <x:c r="FA517" s="4"/>
      <x:c r="FB517" s="4"/>
      <x:c r="FC517" s="4"/>
      <x:c r="FD517" s="4"/>
      <x:c r="FE517" s="4"/>
      <x:c r="FF517" s="4"/>
      <x:c r="FG517" s="4"/>
      <x:c r="FH517" s="4"/>
      <x:c r="FI517" s="4"/>
      <x:c r="FJ517" s="4"/>
      <x:c r="FK517" s="4"/>
      <x:c r="FL517" s="4"/>
      <x:c r="FM517" s="4"/>
      <x:c r="FN517" s="4"/>
      <x:c r="FO517" s="4"/>
      <x:c r="JA517" t="n">
        <x:f>IF(OR(IFERROR(INDIRECT("'WCM Calibration Final'!$A$517")&lt;&gt;"",FALSE),IFERROR(INDIRECT("'WCM Calibration Final'!$B$517")&lt;&gt;"",FALSE),IFERROR(INDIRECT("'WCM Calibration Final'!$C$517")&lt;&gt;"",FALSE)),517,0)</x:f>
        <x:v>0</x:v>
      </x:c>
      <x:c r="JB517" t="n">
        <x:f>'Calculations'!JB516+IF('Calculations'!JA517&gt;0,1,0)</x:f>
        <x:v>0</x:v>
      </x:c>
    </x:row>
    <x:row r="518">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4"/>
      <x:c r="DQ518" s="4"/>
      <x:c r="DR518" s="4"/>
      <x:c r="DS518" s="4"/>
      <x:c r="DT518" s="4"/>
      <x:c r="DU518" s="4"/>
      <x:c r="DV518" s="4"/>
      <x:c r="DW518" s="4"/>
      <x:c r="DX518" s="4"/>
      <x:c r="DY518" s="4"/>
      <x:c r="DZ518" s="4"/>
      <x:c r="EA518" s="4"/>
      <x:c r="EB518" s="4"/>
      <x:c r="EC518" s="4"/>
      <x:c r="ED518" s="4"/>
      <x:c r="EE518" s="4"/>
      <x:c r="EF518" s="4"/>
      <x:c r="EG518" s="4"/>
      <x:c r="EH518" s="4"/>
      <x:c r="EI518" s="4"/>
      <x:c r="EJ518" s="4"/>
      <x:c r="EK518" s="4"/>
      <x:c r="EL518" s="4"/>
      <x:c r="EM518" s="4"/>
      <x:c r="EN518" s="4"/>
      <x:c r="EO518" s="4"/>
      <x:c r="EP518" s="4"/>
      <x:c r="EQ518" s="4"/>
      <x:c r="ER518" s="4"/>
      <x:c r="ES518" s="4"/>
      <x:c r="ET518" s="4"/>
      <x:c r="EU518" s="4"/>
      <x:c r="EV518" s="4"/>
      <x:c r="EW518" s="4"/>
      <x:c r="EX518" s="4"/>
      <x:c r="EY518" s="4"/>
      <x:c r="EZ518" s="4"/>
      <x:c r="FA518" s="4"/>
      <x:c r="FB518" s="4"/>
      <x:c r="FC518" s="4"/>
      <x:c r="FD518" s="4"/>
      <x:c r="FE518" s="4"/>
      <x:c r="FF518" s="4"/>
      <x:c r="FG518" s="4"/>
      <x:c r="FH518" s="4"/>
      <x:c r="FI518" s="4"/>
      <x:c r="FJ518" s="4"/>
      <x:c r="FK518" s="4"/>
      <x:c r="FL518" s="4"/>
      <x:c r="FM518" s="4"/>
      <x:c r="FN518" s="4"/>
      <x:c r="FO518" s="4"/>
      <x:c r="JA518" t="n">
        <x:f>IF(OR(IFERROR(INDIRECT("'WCM Calibration Final'!$A$518")&lt;&gt;"",FALSE),IFERROR(INDIRECT("'WCM Calibration Final'!$B$518")&lt;&gt;"",FALSE),IFERROR(INDIRECT("'WCM Calibration Final'!$C$518")&lt;&gt;"",FALSE)),518,0)</x:f>
        <x:v>0</x:v>
      </x:c>
      <x:c r="JB518" t="n">
        <x:f>'Calculations'!JB517+IF('Calculations'!JA518&gt;0,1,0)</x:f>
        <x:v>0</x:v>
      </x:c>
    </x:row>
    <x:row r="519">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4"/>
      <x:c r="DQ519" s="4"/>
      <x:c r="DR519" s="4"/>
      <x:c r="DS519" s="4"/>
      <x:c r="DT519" s="4"/>
      <x:c r="DU519" s="4"/>
      <x:c r="DV519" s="4"/>
      <x:c r="DW519" s="4"/>
      <x:c r="DX519" s="4"/>
      <x:c r="DY519" s="4"/>
      <x:c r="DZ519" s="4"/>
      <x:c r="EA519" s="4"/>
      <x:c r="EB519" s="4"/>
      <x:c r="EC519" s="4"/>
      <x:c r="ED519" s="4"/>
      <x:c r="EE519" s="4"/>
      <x:c r="EF519" s="4"/>
      <x:c r="EG519" s="4"/>
      <x:c r="EH519" s="4"/>
      <x:c r="EI519" s="4"/>
      <x:c r="EJ519" s="4"/>
      <x:c r="EK519" s="4"/>
      <x:c r="EL519" s="4"/>
      <x:c r="EM519" s="4"/>
      <x:c r="EN519" s="4"/>
      <x:c r="EO519" s="4"/>
      <x:c r="EP519" s="4"/>
      <x:c r="EQ519" s="4"/>
      <x:c r="ER519" s="4"/>
      <x:c r="ES519" s="4"/>
      <x:c r="ET519" s="4"/>
      <x:c r="EU519" s="4"/>
      <x:c r="EV519" s="4"/>
      <x:c r="EW519" s="4"/>
      <x:c r="EX519" s="4"/>
      <x:c r="EY519" s="4"/>
      <x:c r="EZ519" s="4"/>
      <x:c r="FA519" s="4"/>
      <x:c r="FB519" s="4"/>
      <x:c r="FC519" s="4"/>
      <x:c r="FD519" s="4"/>
      <x:c r="FE519" s="4"/>
      <x:c r="FF519" s="4"/>
      <x:c r="FG519" s="4"/>
      <x:c r="FH519" s="4"/>
      <x:c r="FI519" s="4"/>
      <x:c r="FJ519" s="4"/>
      <x:c r="FK519" s="4"/>
      <x:c r="FL519" s="4"/>
      <x:c r="FM519" s="4"/>
      <x:c r="FN519" s="4"/>
      <x:c r="FO519" s="4"/>
      <x:c r="JA519" t="n">
        <x:f>IF(OR(IFERROR(INDIRECT("'WCM Calibration Final'!$A$519")&lt;&gt;"",FALSE),IFERROR(INDIRECT("'WCM Calibration Final'!$B$519")&lt;&gt;"",FALSE),IFERROR(INDIRECT("'WCM Calibration Final'!$C$519")&lt;&gt;"",FALSE)),519,0)</x:f>
        <x:v>0</x:v>
      </x:c>
      <x:c r="JB519" t="n">
        <x:f>'Calculations'!JB518+IF('Calculations'!JA519&gt;0,1,0)</x:f>
        <x:v>0</x:v>
      </x:c>
    </x:row>
    <x:row r="520">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4"/>
      <x:c r="DQ520" s="4"/>
      <x:c r="DR520" s="4"/>
      <x:c r="DS520" s="4"/>
      <x:c r="DT520" s="4"/>
      <x:c r="DU520" s="4"/>
      <x:c r="DV520" s="4"/>
      <x:c r="DW520" s="4"/>
      <x:c r="DX520" s="4"/>
      <x:c r="DY520" s="4"/>
      <x:c r="DZ520" s="4"/>
      <x:c r="EA520" s="4"/>
      <x:c r="EB520" s="4"/>
      <x:c r="EC520" s="4"/>
      <x:c r="ED520" s="4"/>
      <x:c r="EE520" s="4"/>
      <x:c r="EF520" s="4"/>
      <x:c r="EG520" s="4"/>
      <x:c r="EH520" s="4"/>
      <x:c r="EI520" s="4"/>
      <x:c r="EJ520" s="4"/>
      <x:c r="EK520" s="4"/>
      <x:c r="EL520" s="4"/>
      <x:c r="EM520" s="4"/>
      <x:c r="EN520" s="4"/>
      <x:c r="EO520" s="4"/>
      <x:c r="EP520" s="4"/>
      <x:c r="EQ520" s="4"/>
      <x:c r="ER520" s="4"/>
      <x:c r="ES520" s="4"/>
      <x:c r="ET520" s="4"/>
      <x:c r="EU520" s="4"/>
      <x:c r="EV520" s="4"/>
      <x:c r="EW520" s="4"/>
      <x:c r="EX520" s="4"/>
      <x:c r="EY520" s="4"/>
      <x:c r="EZ520" s="4"/>
      <x:c r="FA520" s="4"/>
      <x:c r="FB520" s="4"/>
      <x:c r="FC520" s="4"/>
      <x:c r="FD520" s="4"/>
      <x:c r="FE520" s="4"/>
      <x:c r="FF520" s="4"/>
      <x:c r="FG520" s="4"/>
      <x:c r="FH520" s="4"/>
      <x:c r="FI520" s="4"/>
      <x:c r="FJ520" s="4"/>
      <x:c r="FK520" s="4"/>
      <x:c r="FL520" s="4"/>
      <x:c r="FM520" s="4"/>
      <x:c r="FN520" s="4"/>
      <x:c r="FO520" s="4"/>
      <x:c r="JA520" t="n">
        <x:f>IF(OR(IFERROR(INDIRECT("'WCM Calibration Final'!$A$520")&lt;&gt;"",FALSE),IFERROR(INDIRECT("'WCM Calibration Final'!$B$520")&lt;&gt;"",FALSE),IFERROR(INDIRECT("'WCM Calibration Final'!$C$520")&lt;&gt;"",FALSE)),520,0)</x:f>
        <x:v>0</x:v>
      </x:c>
      <x:c r="JB520" t="n">
        <x:f>'Calculations'!JB519+IF('Calculations'!JA520&gt;0,1,0)</x:f>
        <x:v>0</x:v>
      </x:c>
    </x:row>
    <x:row r="521">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4"/>
      <x:c r="DQ521" s="4"/>
      <x:c r="DR521" s="4"/>
      <x:c r="DS521" s="4"/>
      <x:c r="DT521" s="4"/>
      <x:c r="DU521" s="4"/>
      <x:c r="DV521" s="4"/>
      <x:c r="DW521" s="4"/>
      <x:c r="DX521" s="4"/>
      <x:c r="DY521" s="4"/>
      <x:c r="DZ521" s="4"/>
      <x:c r="EA521" s="4"/>
      <x:c r="EB521" s="4"/>
      <x:c r="EC521" s="4"/>
      <x:c r="ED521" s="4"/>
      <x:c r="EE521" s="4"/>
      <x:c r="EF521" s="4"/>
      <x:c r="EG521" s="4"/>
      <x:c r="EH521" s="4"/>
      <x:c r="EI521" s="4"/>
      <x:c r="EJ521" s="4"/>
      <x:c r="EK521" s="4"/>
      <x:c r="EL521" s="4"/>
      <x:c r="EM521" s="4"/>
      <x:c r="EN521" s="4"/>
      <x:c r="EO521" s="4"/>
      <x:c r="EP521" s="4"/>
      <x:c r="EQ521" s="4"/>
      <x:c r="ER521" s="4"/>
      <x:c r="ES521" s="4"/>
      <x:c r="ET521" s="4"/>
      <x:c r="EU521" s="4"/>
      <x:c r="EV521" s="4"/>
      <x:c r="EW521" s="4"/>
      <x:c r="EX521" s="4"/>
      <x:c r="EY521" s="4"/>
      <x:c r="EZ521" s="4"/>
      <x:c r="FA521" s="4"/>
      <x:c r="FB521" s="4"/>
      <x:c r="FC521" s="4"/>
      <x:c r="FD521" s="4"/>
      <x:c r="FE521" s="4"/>
      <x:c r="FF521" s="4"/>
      <x:c r="FG521" s="4"/>
      <x:c r="FH521" s="4"/>
      <x:c r="FI521" s="4"/>
      <x:c r="FJ521" s="4"/>
      <x:c r="FK521" s="4"/>
      <x:c r="FL521" s="4"/>
      <x:c r="FM521" s="4"/>
      <x:c r="FN521" s="4"/>
      <x:c r="FO521" s="4"/>
      <x:c r="JA521" t="n">
        <x:f>IF(OR(IFERROR(INDIRECT("'WCM Calibration Final'!$A$521")&lt;&gt;"",FALSE),IFERROR(INDIRECT("'WCM Calibration Final'!$B$521")&lt;&gt;"",FALSE),IFERROR(INDIRECT("'WCM Calibration Final'!$C$521")&lt;&gt;"",FALSE)),521,0)</x:f>
        <x:v>0</x:v>
      </x:c>
      <x:c r="JB521" t="n">
        <x:f>'Calculations'!JB520+IF('Calculations'!JA521&gt;0,1,0)</x:f>
        <x:v>0</x:v>
      </x:c>
    </x:row>
    <x:row r="522">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4"/>
      <x:c r="DQ522" s="4"/>
      <x:c r="DR522" s="4"/>
      <x:c r="DS522" s="4"/>
      <x:c r="DT522" s="4"/>
      <x:c r="DU522" s="4"/>
      <x:c r="DV522" s="4"/>
      <x:c r="DW522" s="4"/>
      <x:c r="DX522" s="4"/>
      <x:c r="DY522" s="4"/>
      <x:c r="DZ522" s="4"/>
      <x:c r="EA522" s="4"/>
      <x:c r="EB522" s="4"/>
      <x:c r="EC522" s="4"/>
      <x:c r="ED522" s="4"/>
      <x:c r="EE522" s="4"/>
      <x:c r="EF522" s="4"/>
      <x:c r="EG522" s="4"/>
      <x:c r="EH522" s="4"/>
      <x:c r="EI522" s="4"/>
      <x:c r="EJ522" s="4"/>
      <x:c r="EK522" s="4"/>
      <x:c r="EL522" s="4"/>
      <x:c r="EM522" s="4"/>
      <x:c r="EN522" s="4"/>
      <x:c r="EO522" s="4"/>
      <x:c r="EP522" s="4"/>
      <x:c r="EQ522" s="4"/>
      <x:c r="ER522" s="4"/>
      <x:c r="ES522" s="4"/>
      <x:c r="ET522" s="4"/>
      <x:c r="EU522" s="4"/>
      <x:c r="EV522" s="4"/>
      <x:c r="EW522" s="4"/>
      <x:c r="EX522" s="4"/>
      <x:c r="EY522" s="4"/>
      <x:c r="EZ522" s="4"/>
      <x:c r="FA522" s="4"/>
      <x:c r="FB522" s="4"/>
      <x:c r="FC522" s="4"/>
      <x:c r="FD522" s="4"/>
      <x:c r="FE522" s="4"/>
      <x:c r="FF522" s="4"/>
      <x:c r="FG522" s="4"/>
      <x:c r="FH522" s="4"/>
      <x:c r="FI522" s="4"/>
      <x:c r="FJ522" s="4"/>
      <x:c r="FK522" s="4"/>
      <x:c r="FL522" s="4"/>
      <x:c r="FM522" s="4"/>
      <x:c r="FN522" s="4"/>
      <x:c r="FO522" s="4"/>
      <x:c r="JA522" t="n">
        <x:f>IF(OR(IFERROR(INDIRECT("'WCM Calibration Final'!$A$522")&lt;&gt;"",FALSE),IFERROR(INDIRECT("'WCM Calibration Final'!$B$522")&lt;&gt;"",FALSE),IFERROR(INDIRECT("'WCM Calibration Final'!$C$522")&lt;&gt;"",FALSE)),522,0)</x:f>
        <x:v>0</x:v>
      </x:c>
      <x:c r="JB522" t="n">
        <x:f>'Calculations'!JB521+IF('Calculations'!JA522&gt;0,1,0)</x:f>
        <x:v>0</x:v>
      </x:c>
    </x:row>
    <x:row r="523">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4"/>
      <x:c r="DQ523" s="4"/>
      <x:c r="DR523" s="4"/>
      <x:c r="DS523" s="4"/>
      <x:c r="DT523" s="4"/>
      <x:c r="DU523" s="4"/>
      <x:c r="DV523" s="4"/>
      <x:c r="DW523" s="4"/>
      <x:c r="DX523" s="4"/>
      <x:c r="DY523" s="4"/>
      <x:c r="DZ523" s="4"/>
      <x:c r="EA523" s="4"/>
      <x:c r="EB523" s="4"/>
      <x:c r="EC523" s="4"/>
      <x:c r="ED523" s="4"/>
      <x:c r="EE523" s="4"/>
      <x:c r="EF523" s="4"/>
      <x:c r="EG523" s="4"/>
      <x:c r="EH523" s="4"/>
      <x:c r="EI523" s="4"/>
      <x:c r="EJ523" s="4"/>
      <x:c r="EK523" s="4"/>
      <x:c r="EL523" s="4"/>
      <x:c r="EM523" s="4"/>
      <x:c r="EN523" s="4"/>
      <x:c r="EO523" s="4"/>
      <x:c r="EP523" s="4"/>
      <x:c r="EQ523" s="4"/>
      <x:c r="ER523" s="4"/>
      <x:c r="ES523" s="4"/>
      <x:c r="ET523" s="4"/>
      <x:c r="EU523" s="4"/>
      <x:c r="EV523" s="4"/>
      <x:c r="EW523" s="4"/>
      <x:c r="EX523" s="4"/>
      <x:c r="EY523" s="4"/>
      <x:c r="EZ523" s="4"/>
      <x:c r="FA523" s="4"/>
      <x:c r="FB523" s="4"/>
      <x:c r="FC523" s="4"/>
      <x:c r="FD523" s="4"/>
      <x:c r="FE523" s="4"/>
      <x:c r="FF523" s="4"/>
      <x:c r="FG523" s="4"/>
      <x:c r="FH523" s="4"/>
      <x:c r="FI523" s="4"/>
      <x:c r="FJ523" s="4"/>
      <x:c r="FK523" s="4"/>
      <x:c r="FL523" s="4"/>
      <x:c r="FM523" s="4"/>
      <x:c r="FN523" s="4"/>
      <x:c r="FO523" s="4"/>
      <x:c r="JA523" t="n">
        <x:f>IF(OR(IFERROR(INDIRECT("'WCM Calibration Final'!$A$523")&lt;&gt;"",FALSE),IFERROR(INDIRECT("'WCM Calibration Final'!$B$523")&lt;&gt;"",FALSE),IFERROR(INDIRECT("'WCM Calibration Final'!$C$523")&lt;&gt;"",FALSE)),523,0)</x:f>
        <x:v>0</x:v>
      </x:c>
      <x:c r="JB523" t="n">
        <x:f>'Calculations'!JB522+IF('Calculations'!JA523&gt;0,1,0)</x:f>
        <x:v>0</x:v>
      </x:c>
    </x:row>
    <x:row r="524">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4"/>
      <x:c r="DQ524" s="4"/>
      <x:c r="DR524" s="4"/>
      <x:c r="DS524" s="4"/>
      <x:c r="DT524" s="4"/>
      <x:c r="DU524" s="4"/>
      <x:c r="DV524" s="4"/>
      <x:c r="DW524" s="4"/>
      <x:c r="DX524" s="4"/>
      <x:c r="DY524" s="4"/>
      <x:c r="DZ524" s="4"/>
      <x:c r="EA524" s="4"/>
      <x:c r="EB524" s="4"/>
      <x:c r="EC524" s="4"/>
      <x:c r="ED524" s="4"/>
      <x:c r="EE524" s="4"/>
      <x:c r="EF524" s="4"/>
      <x:c r="EG524" s="4"/>
      <x:c r="EH524" s="4"/>
      <x:c r="EI524" s="4"/>
      <x:c r="EJ524" s="4"/>
      <x:c r="EK524" s="4"/>
      <x:c r="EL524" s="4"/>
      <x:c r="EM524" s="4"/>
      <x:c r="EN524" s="4"/>
      <x:c r="EO524" s="4"/>
      <x:c r="EP524" s="4"/>
      <x:c r="EQ524" s="4"/>
      <x:c r="ER524" s="4"/>
      <x:c r="ES524" s="4"/>
      <x:c r="ET524" s="4"/>
      <x:c r="EU524" s="4"/>
      <x:c r="EV524" s="4"/>
      <x:c r="EW524" s="4"/>
      <x:c r="EX524" s="4"/>
      <x:c r="EY524" s="4"/>
      <x:c r="EZ524" s="4"/>
      <x:c r="FA524" s="4"/>
      <x:c r="FB524" s="4"/>
      <x:c r="FC524" s="4"/>
      <x:c r="FD524" s="4"/>
      <x:c r="FE524" s="4"/>
      <x:c r="FF524" s="4"/>
      <x:c r="FG524" s="4"/>
      <x:c r="FH524" s="4"/>
      <x:c r="FI524" s="4"/>
      <x:c r="FJ524" s="4"/>
      <x:c r="FK524" s="4"/>
      <x:c r="FL524" s="4"/>
      <x:c r="FM524" s="4"/>
      <x:c r="FN524" s="4"/>
      <x:c r="FO524" s="4"/>
      <x:c r="JA524" t="n">
        <x:f>IF(OR(IFERROR(INDIRECT("'WCM Calibration Final'!$A$524")&lt;&gt;"",FALSE),IFERROR(INDIRECT("'WCM Calibration Final'!$B$524")&lt;&gt;"",FALSE),IFERROR(INDIRECT("'WCM Calibration Final'!$C$524")&lt;&gt;"",FALSE)),524,0)</x:f>
        <x:v>0</x:v>
      </x:c>
      <x:c r="JB524" t="n">
        <x:f>'Calculations'!JB523+IF('Calculations'!JA524&gt;0,1,0)</x:f>
        <x:v>0</x:v>
      </x:c>
    </x:row>
    <x:row r="525">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4"/>
      <x:c r="DQ525" s="4"/>
      <x:c r="DR525" s="4"/>
      <x:c r="DS525" s="4"/>
      <x:c r="DT525" s="4"/>
      <x:c r="DU525" s="4"/>
      <x:c r="DV525" s="4"/>
      <x:c r="DW525" s="4"/>
      <x:c r="DX525" s="4"/>
      <x:c r="DY525" s="4"/>
      <x:c r="DZ525" s="4"/>
      <x:c r="EA525" s="4"/>
      <x:c r="EB525" s="4"/>
      <x:c r="EC525" s="4"/>
      <x:c r="ED525" s="4"/>
      <x:c r="EE525" s="4"/>
      <x:c r="EF525" s="4"/>
      <x:c r="EG525" s="4"/>
      <x:c r="EH525" s="4"/>
      <x:c r="EI525" s="4"/>
      <x:c r="EJ525" s="4"/>
      <x:c r="EK525" s="4"/>
      <x:c r="EL525" s="4"/>
      <x:c r="EM525" s="4"/>
      <x:c r="EN525" s="4"/>
      <x:c r="EO525" s="4"/>
      <x:c r="EP525" s="4"/>
      <x:c r="EQ525" s="4"/>
      <x:c r="ER525" s="4"/>
      <x:c r="ES525" s="4"/>
      <x:c r="ET525" s="4"/>
      <x:c r="EU525" s="4"/>
      <x:c r="EV525" s="4"/>
      <x:c r="EW525" s="4"/>
      <x:c r="EX525" s="4"/>
      <x:c r="EY525" s="4"/>
      <x:c r="EZ525" s="4"/>
      <x:c r="FA525" s="4"/>
      <x:c r="FB525" s="4"/>
      <x:c r="FC525" s="4"/>
      <x:c r="FD525" s="4"/>
      <x:c r="FE525" s="4"/>
      <x:c r="FF525" s="4"/>
      <x:c r="FG525" s="4"/>
      <x:c r="FH525" s="4"/>
      <x:c r="FI525" s="4"/>
      <x:c r="FJ525" s="4"/>
      <x:c r="FK525" s="4"/>
      <x:c r="FL525" s="4"/>
      <x:c r="FM525" s="4"/>
      <x:c r="FN525" s="4"/>
      <x:c r="FO525" s="4"/>
      <x:c r="JA525" t="n">
        <x:f>IF(OR(IFERROR(INDIRECT("'WCM Calibration Final'!$A$525")&lt;&gt;"",FALSE),IFERROR(INDIRECT("'WCM Calibration Final'!$B$525")&lt;&gt;"",FALSE),IFERROR(INDIRECT("'WCM Calibration Final'!$C$525")&lt;&gt;"",FALSE)),525,0)</x:f>
        <x:v>0</x:v>
      </x:c>
      <x:c r="JB525" t="n">
        <x:f>'Calculations'!JB524+IF('Calculations'!JA525&gt;0,1,0)</x:f>
        <x:v>0</x:v>
      </x:c>
    </x:row>
    <x:row r="526">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4"/>
      <x:c r="DQ526" s="4"/>
      <x:c r="DR526" s="4"/>
      <x:c r="DS526" s="4"/>
      <x:c r="DT526" s="4"/>
      <x:c r="DU526" s="4"/>
      <x:c r="DV526" s="4"/>
      <x:c r="DW526" s="4"/>
      <x:c r="DX526" s="4"/>
      <x:c r="DY526" s="4"/>
      <x:c r="DZ526" s="4"/>
      <x:c r="EA526" s="4"/>
      <x:c r="EB526" s="4"/>
      <x:c r="EC526" s="4"/>
      <x:c r="ED526" s="4"/>
      <x:c r="EE526" s="4"/>
      <x:c r="EF526" s="4"/>
      <x:c r="EG526" s="4"/>
      <x:c r="EH526" s="4"/>
      <x:c r="EI526" s="4"/>
      <x:c r="EJ526" s="4"/>
      <x:c r="EK526" s="4"/>
      <x:c r="EL526" s="4"/>
      <x:c r="EM526" s="4"/>
      <x:c r="EN526" s="4"/>
      <x:c r="EO526" s="4"/>
      <x:c r="EP526" s="4"/>
      <x:c r="EQ526" s="4"/>
      <x:c r="ER526" s="4"/>
      <x:c r="ES526" s="4"/>
      <x:c r="ET526" s="4"/>
      <x:c r="EU526" s="4"/>
      <x:c r="EV526" s="4"/>
      <x:c r="EW526" s="4"/>
      <x:c r="EX526" s="4"/>
      <x:c r="EY526" s="4"/>
      <x:c r="EZ526" s="4"/>
      <x:c r="FA526" s="4"/>
      <x:c r="FB526" s="4"/>
      <x:c r="FC526" s="4"/>
      <x:c r="FD526" s="4"/>
      <x:c r="FE526" s="4"/>
      <x:c r="FF526" s="4"/>
      <x:c r="FG526" s="4"/>
      <x:c r="FH526" s="4"/>
      <x:c r="FI526" s="4"/>
      <x:c r="FJ526" s="4"/>
      <x:c r="FK526" s="4"/>
      <x:c r="FL526" s="4"/>
      <x:c r="FM526" s="4"/>
      <x:c r="FN526" s="4"/>
      <x:c r="FO526" s="4"/>
      <x:c r="JA526" t="n">
        <x:f>IF(OR(IFERROR(INDIRECT("'WCM Calibration Final'!$A$526")&lt;&gt;"",FALSE),IFERROR(INDIRECT("'WCM Calibration Final'!$B$526")&lt;&gt;"",FALSE),IFERROR(INDIRECT("'WCM Calibration Final'!$C$526")&lt;&gt;"",FALSE)),526,0)</x:f>
        <x:v>0</x:v>
      </x:c>
      <x:c r="JB526" t="n">
        <x:f>'Calculations'!JB525+IF('Calculations'!JA526&gt;0,1,0)</x:f>
        <x:v>0</x:v>
      </x:c>
    </x:row>
    <x:row r="527">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4"/>
      <x:c r="DQ527" s="4"/>
      <x:c r="DR527" s="4"/>
      <x:c r="DS527" s="4"/>
      <x:c r="DT527" s="4"/>
      <x:c r="DU527" s="4"/>
      <x:c r="DV527" s="4"/>
      <x:c r="DW527" s="4"/>
      <x:c r="DX527" s="4"/>
      <x:c r="DY527" s="4"/>
      <x:c r="DZ527" s="4"/>
      <x:c r="EA527" s="4"/>
      <x:c r="EB527" s="4"/>
      <x:c r="EC527" s="4"/>
      <x:c r="ED527" s="4"/>
      <x:c r="EE527" s="4"/>
      <x:c r="EF527" s="4"/>
      <x:c r="EG527" s="4"/>
      <x:c r="EH527" s="4"/>
      <x:c r="EI527" s="4"/>
      <x:c r="EJ527" s="4"/>
      <x:c r="EK527" s="4"/>
      <x:c r="EL527" s="4"/>
      <x:c r="EM527" s="4"/>
      <x:c r="EN527" s="4"/>
      <x:c r="EO527" s="4"/>
      <x:c r="EP527" s="4"/>
      <x:c r="EQ527" s="4"/>
      <x:c r="ER527" s="4"/>
      <x:c r="ES527" s="4"/>
      <x:c r="ET527" s="4"/>
      <x:c r="EU527" s="4"/>
      <x:c r="EV527" s="4"/>
      <x:c r="EW527" s="4"/>
      <x:c r="EX527" s="4"/>
      <x:c r="EY527" s="4"/>
      <x:c r="EZ527" s="4"/>
      <x:c r="FA527" s="4"/>
      <x:c r="FB527" s="4"/>
      <x:c r="FC527" s="4"/>
      <x:c r="FD527" s="4"/>
      <x:c r="FE527" s="4"/>
      <x:c r="FF527" s="4"/>
      <x:c r="FG527" s="4"/>
      <x:c r="FH527" s="4"/>
      <x:c r="FI527" s="4"/>
      <x:c r="FJ527" s="4"/>
      <x:c r="FK527" s="4"/>
      <x:c r="FL527" s="4"/>
      <x:c r="FM527" s="4"/>
      <x:c r="FN527" s="4"/>
      <x:c r="FO527" s="4"/>
      <x:c r="JA527" t="n">
        <x:f>IF(OR(IFERROR(INDIRECT("'WCM Calibration Final'!$A$527")&lt;&gt;"",FALSE),IFERROR(INDIRECT("'WCM Calibration Final'!$B$527")&lt;&gt;"",FALSE),IFERROR(INDIRECT("'WCM Calibration Final'!$C$527")&lt;&gt;"",FALSE)),527,0)</x:f>
        <x:v>0</x:v>
      </x:c>
      <x:c r="JB527" t="n">
        <x:f>'Calculations'!JB526+IF('Calculations'!JA527&gt;0,1,0)</x:f>
        <x:v>0</x:v>
      </x:c>
    </x:row>
    <x:row r="528">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4"/>
      <x:c r="DQ528" s="4"/>
      <x:c r="DR528" s="4"/>
      <x:c r="DS528" s="4"/>
      <x:c r="DT528" s="4"/>
      <x:c r="DU528" s="4"/>
      <x:c r="DV528" s="4"/>
      <x:c r="DW528" s="4"/>
      <x:c r="DX528" s="4"/>
      <x:c r="DY528" s="4"/>
      <x:c r="DZ528" s="4"/>
      <x:c r="EA528" s="4"/>
      <x:c r="EB528" s="4"/>
      <x:c r="EC528" s="4"/>
      <x:c r="ED528" s="4"/>
      <x:c r="EE528" s="4"/>
      <x:c r="EF528" s="4"/>
      <x:c r="EG528" s="4"/>
      <x:c r="EH528" s="4"/>
      <x:c r="EI528" s="4"/>
      <x:c r="EJ528" s="4"/>
      <x:c r="EK528" s="4"/>
      <x:c r="EL528" s="4"/>
      <x:c r="EM528" s="4"/>
      <x:c r="EN528" s="4"/>
      <x:c r="EO528" s="4"/>
      <x:c r="EP528" s="4"/>
      <x:c r="EQ528" s="4"/>
      <x:c r="ER528" s="4"/>
      <x:c r="ES528" s="4"/>
      <x:c r="ET528" s="4"/>
      <x:c r="EU528" s="4"/>
      <x:c r="EV528" s="4"/>
      <x:c r="EW528" s="4"/>
      <x:c r="EX528" s="4"/>
      <x:c r="EY528" s="4"/>
      <x:c r="EZ528" s="4"/>
      <x:c r="FA528" s="4"/>
      <x:c r="FB528" s="4"/>
      <x:c r="FC528" s="4"/>
      <x:c r="FD528" s="4"/>
      <x:c r="FE528" s="4"/>
      <x:c r="FF528" s="4"/>
      <x:c r="FG528" s="4"/>
      <x:c r="FH528" s="4"/>
      <x:c r="FI528" s="4"/>
      <x:c r="FJ528" s="4"/>
      <x:c r="FK528" s="4"/>
      <x:c r="FL528" s="4"/>
      <x:c r="FM528" s="4"/>
      <x:c r="FN528" s="4"/>
      <x:c r="FO528" s="4"/>
      <x:c r="JA528" t="n">
        <x:f>IF(OR(IFERROR(INDIRECT("'WCM Calibration Final'!$A$528")&lt;&gt;"",FALSE),IFERROR(INDIRECT("'WCM Calibration Final'!$B$528")&lt;&gt;"",FALSE),IFERROR(INDIRECT("'WCM Calibration Final'!$C$528")&lt;&gt;"",FALSE)),528,0)</x:f>
        <x:v>0</x:v>
      </x:c>
      <x:c r="JB528" t="n">
        <x:f>'Calculations'!JB527+IF('Calculations'!JA528&gt;0,1,0)</x:f>
        <x:v>0</x:v>
      </x:c>
    </x:row>
    <x:row r="529">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4"/>
      <x:c r="DQ529" s="4"/>
      <x:c r="DR529" s="4"/>
      <x:c r="DS529" s="4"/>
      <x:c r="DT529" s="4"/>
      <x:c r="DU529" s="4"/>
      <x:c r="DV529" s="4"/>
      <x:c r="DW529" s="4"/>
      <x:c r="DX529" s="4"/>
      <x:c r="DY529" s="4"/>
      <x:c r="DZ529" s="4"/>
      <x:c r="EA529" s="4"/>
      <x:c r="EB529" s="4"/>
      <x:c r="EC529" s="4"/>
      <x:c r="ED529" s="4"/>
      <x:c r="EE529" s="4"/>
      <x:c r="EF529" s="4"/>
      <x:c r="EG529" s="4"/>
      <x:c r="EH529" s="4"/>
      <x:c r="EI529" s="4"/>
      <x:c r="EJ529" s="4"/>
      <x:c r="EK529" s="4"/>
      <x:c r="EL529" s="4"/>
      <x:c r="EM529" s="4"/>
      <x:c r="EN529" s="4"/>
      <x:c r="EO529" s="4"/>
      <x:c r="EP529" s="4"/>
      <x:c r="EQ529" s="4"/>
      <x:c r="ER529" s="4"/>
      <x:c r="ES529" s="4"/>
      <x:c r="ET529" s="4"/>
      <x:c r="EU529" s="4"/>
      <x:c r="EV529" s="4"/>
      <x:c r="EW529" s="4"/>
      <x:c r="EX529" s="4"/>
      <x:c r="EY529" s="4"/>
      <x:c r="EZ529" s="4"/>
      <x:c r="FA529" s="4"/>
      <x:c r="FB529" s="4"/>
      <x:c r="FC529" s="4"/>
      <x:c r="FD529" s="4"/>
      <x:c r="FE529" s="4"/>
      <x:c r="FF529" s="4"/>
      <x:c r="FG529" s="4"/>
      <x:c r="FH529" s="4"/>
      <x:c r="FI529" s="4"/>
      <x:c r="FJ529" s="4"/>
      <x:c r="FK529" s="4"/>
      <x:c r="FL529" s="4"/>
      <x:c r="FM529" s="4"/>
      <x:c r="FN529" s="4"/>
      <x:c r="FO529" s="4"/>
      <x:c r="JA529" t="n">
        <x:f>IF(OR(IFERROR(INDIRECT("'WCM Calibration Final'!$A$529")&lt;&gt;"",FALSE),IFERROR(INDIRECT("'WCM Calibration Final'!$B$529")&lt;&gt;"",FALSE),IFERROR(INDIRECT("'WCM Calibration Final'!$C$529")&lt;&gt;"",FALSE)),529,0)</x:f>
        <x:v>0</x:v>
      </x:c>
      <x:c r="JB529" t="n">
        <x:f>'Calculations'!JB528+IF('Calculations'!JA529&gt;0,1,0)</x:f>
        <x:v>0</x:v>
      </x:c>
    </x:row>
    <x:row r="530">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4"/>
      <x:c r="DQ530" s="4"/>
      <x:c r="DR530" s="4"/>
      <x:c r="DS530" s="4"/>
      <x:c r="DT530" s="4"/>
      <x:c r="DU530" s="4"/>
      <x:c r="DV530" s="4"/>
      <x:c r="DW530" s="4"/>
      <x:c r="DX530" s="4"/>
      <x:c r="DY530" s="4"/>
      <x:c r="DZ530" s="4"/>
      <x:c r="EA530" s="4"/>
      <x:c r="EB530" s="4"/>
      <x:c r="EC530" s="4"/>
      <x:c r="ED530" s="4"/>
      <x:c r="EE530" s="4"/>
      <x:c r="EF530" s="4"/>
      <x:c r="EG530" s="4"/>
      <x:c r="EH530" s="4"/>
      <x:c r="EI530" s="4"/>
      <x:c r="EJ530" s="4"/>
      <x:c r="EK530" s="4"/>
      <x:c r="EL530" s="4"/>
      <x:c r="EM530" s="4"/>
      <x:c r="EN530" s="4"/>
      <x:c r="EO530" s="4"/>
      <x:c r="EP530" s="4"/>
      <x:c r="EQ530" s="4"/>
      <x:c r="ER530" s="4"/>
      <x:c r="ES530" s="4"/>
      <x:c r="ET530" s="4"/>
      <x:c r="EU530" s="4"/>
      <x:c r="EV530" s="4"/>
      <x:c r="EW530" s="4"/>
      <x:c r="EX530" s="4"/>
      <x:c r="EY530" s="4"/>
      <x:c r="EZ530" s="4"/>
      <x:c r="FA530" s="4"/>
      <x:c r="FB530" s="4"/>
      <x:c r="FC530" s="4"/>
      <x:c r="FD530" s="4"/>
      <x:c r="FE530" s="4"/>
      <x:c r="FF530" s="4"/>
      <x:c r="FG530" s="4"/>
      <x:c r="FH530" s="4"/>
      <x:c r="FI530" s="4"/>
      <x:c r="FJ530" s="4"/>
      <x:c r="FK530" s="4"/>
      <x:c r="FL530" s="4"/>
      <x:c r="FM530" s="4"/>
      <x:c r="FN530" s="4"/>
      <x:c r="FO530" s="4"/>
      <x:c r="JA530" t="n">
        <x:f>IF(OR(IFERROR(INDIRECT("'WCM Calibration Final'!$A$530")&lt;&gt;"",FALSE),IFERROR(INDIRECT("'WCM Calibration Final'!$B$530")&lt;&gt;"",FALSE),IFERROR(INDIRECT("'WCM Calibration Final'!$C$530")&lt;&gt;"",FALSE)),530,0)</x:f>
        <x:v>0</x:v>
      </x:c>
      <x:c r="JB530" t="n">
        <x:f>'Calculations'!JB529+IF('Calculations'!JA530&gt;0,1,0)</x:f>
        <x:v>0</x:v>
      </x:c>
    </x:row>
    <x:row r="531">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4"/>
      <x:c r="DQ531" s="4"/>
      <x:c r="DR531" s="4"/>
      <x:c r="DS531" s="4"/>
      <x:c r="DT531" s="4"/>
      <x:c r="DU531" s="4"/>
      <x:c r="DV531" s="4"/>
      <x:c r="DW531" s="4"/>
      <x:c r="DX531" s="4"/>
      <x:c r="DY531" s="4"/>
      <x:c r="DZ531" s="4"/>
      <x:c r="EA531" s="4"/>
      <x:c r="EB531" s="4"/>
      <x:c r="EC531" s="4"/>
      <x:c r="ED531" s="4"/>
      <x:c r="EE531" s="4"/>
      <x:c r="EF531" s="4"/>
      <x:c r="EG531" s="4"/>
      <x:c r="EH531" s="4"/>
      <x:c r="EI531" s="4"/>
      <x:c r="EJ531" s="4"/>
      <x:c r="EK531" s="4"/>
      <x:c r="EL531" s="4"/>
      <x:c r="EM531" s="4"/>
      <x:c r="EN531" s="4"/>
      <x:c r="EO531" s="4"/>
      <x:c r="EP531" s="4"/>
      <x:c r="EQ531" s="4"/>
      <x:c r="ER531" s="4"/>
      <x:c r="ES531" s="4"/>
      <x:c r="ET531" s="4"/>
      <x:c r="EU531" s="4"/>
      <x:c r="EV531" s="4"/>
      <x:c r="EW531" s="4"/>
      <x:c r="EX531" s="4"/>
      <x:c r="EY531" s="4"/>
      <x:c r="EZ531" s="4"/>
      <x:c r="FA531" s="4"/>
      <x:c r="FB531" s="4"/>
      <x:c r="FC531" s="4"/>
      <x:c r="FD531" s="4"/>
      <x:c r="FE531" s="4"/>
      <x:c r="FF531" s="4"/>
      <x:c r="FG531" s="4"/>
      <x:c r="FH531" s="4"/>
      <x:c r="FI531" s="4"/>
      <x:c r="FJ531" s="4"/>
      <x:c r="FK531" s="4"/>
      <x:c r="FL531" s="4"/>
      <x:c r="FM531" s="4"/>
      <x:c r="FN531" s="4"/>
      <x:c r="FO531" s="4"/>
      <x:c r="JA531" t="n">
        <x:f>IF(OR(IFERROR(INDIRECT("'WCM Calibration Final'!$A$531")&lt;&gt;"",FALSE),IFERROR(INDIRECT("'WCM Calibration Final'!$B$531")&lt;&gt;"",FALSE),IFERROR(INDIRECT("'WCM Calibration Final'!$C$531")&lt;&gt;"",FALSE)),531,0)</x:f>
        <x:v>0</x:v>
      </x:c>
      <x:c r="JB531" t="n">
        <x:f>'Calculations'!JB530+IF('Calculations'!JA531&gt;0,1,0)</x:f>
        <x:v>0</x:v>
      </x:c>
    </x:row>
    <x:row r="532">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4"/>
      <x:c r="DQ532" s="4"/>
      <x:c r="DR532" s="4"/>
      <x:c r="DS532" s="4"/>
      <x:c r="DT532" s="4"/>
      <x:c r="DU532" s="4"/>
      <x:c r="DV532" s="4"/>
      <x:c r="DW532" s="4"/>
      <x:c r="DX532" s="4"/>
      <x:c r="DY532" s="4"/>
      <x:c r="DZ532" s="4"/>
      <x:c r="EA532" s="4"/>
      <x:c r="EB532" s="4"/>
      <x:c r="EC532" s="4"/>
      <x:c r="ED532" s="4"/>
      <x:c r="EE532" s="4"/>
      <x:c r="EF532" s="4"/>
      <x:c r="EG532" s="4"/>
      <x:c r="EH532" s="4"/>
      <x:c r="EI532" s="4"/>
      <x:c r="EJ532" s="4"/>
      <x:c r="EK532" s="4"/>
      <x:c r="EL532" s="4"/>
      <x:c r="EM532" s="4"/>
      <x:c r="EN532" s="4"/>
      <x:c r="EO532" s="4"/>
      <x:c r="EP532" s="4"/>
      <x:c r="EQ532" s="4"/>
      <x:c r="ER532" s="4"/>
      <x:c r="ES532" s="4"/>
      <x:c r="ET532" s="4"/>
      <x:c r="EU532" s="4"/>
      <x:c r="EV532" s="4"/>
      <x:c r="EW532" s="4"/>
      <x:c r="EX532" s="4"/>
      <x:c r="EY532" s="4"/>
      <x:c r="EZ532" s="4"/>
      <x:c r="FA532" s="4"/>
      <x:c r="FB532" s="4"/>
      <x:c r="FC532" s="4"/>
      <x:c r="FD532" s="4"/>
      <x:c r="FE532" s="4"/>
      <x:c r="FF532" s="4"/>
      <x:c r="FG532" s="4"/>
      <x:c r="FH532" s="4"/>
      <x:c r="FI532" s="4"/>
      <x:c r="FJ532" s="4"/>
      <x:c r="FK532" s="4"/>
      <x:c r="FL532" s="4"/>
      <x:c r="FM532" s="4"/>
      <x:c r="FN532" s="4"/>
      <x:c r="FO532" s="4"/>
      <x:c r="JA532" t="n">
        <x:f>IF(OR(IFERROR(INDIRECT("'WCM Calibration Final'!$A$532")&lt;&gt;"",FALSE),IFERROR(INDIRECT("'WCM Calibration Final'!$B$532")&lt;&gt;"",FALSE),IFERROR(INDIRECT("'WCM Calibration Final'!$C$532")&lt;&gt;"",FALSE)),532,0)</x:f>
        <x:v>0</x:v>
      </x:c>
      <x:c r="JB532" t="n">
        <x:f>'Calculations'!JB531+IF('Calculations'!JA532&gt;0,1,0)</x:f>
        <x:v>0</x:v>
      </x:c>
    </x:row>
    <x:row r="533">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4"/>
      <x:c r="DQ533" s="4"/>
      <x:c r="DR533" s="4"/>
      <x:c r="DS533" s="4"/>
      <x:c r="DT533" s="4"/>
      <x:c r="DU533" s="4"/>
      <x:c r="DV533" s="4"/>
      <x:c r="DW533" s="4"/>
      <x:c r="DX533" s="4"/>
      <x:c r="DY533" s="4"/>
      <x:c r="DZ533" s="4"/>
      <x:c r="EA533" s="4"/>
      <x:c r="EB533" s="4"/>
      <x:c r="EC533" s="4"/>
      <x:c r="ED533" s="4"/>
      <x:c r="EE533" s="4"/>
      <x:c r="EF533" s="4"/>
      <x:c r="EG533" s="4"/>
      <x:c r="EH533" s="4"/>
      <x:c r="EI533" s="4"/>
      <x:c r="EJ533" s="4"/>
      <x:c r="EK533" s="4"/>
      <x:c r="EL533" s="4"/>
      <x:c r="EM533" s="4"/>
      <x:c r="EN533" s="4"/>
      <x:c r="EO533" s="4"/>
      <x:c r="EP533" s="4"/>
      <x:c r="EQ533" s="4"/>
      <x:c r="ER533" s="4"/>
      <x:c r="ES533" s="4"/>
      <x:c r="ET533" s="4"/>
      <x:c r="EU533" s="4"/>
      <x:c r="EV533" s="4"/>
      <x:c r="EW533" s="4"/>
      <x:c r="EX533" s="4"/>
      <x:c r="EY533" s="4"/>
      <x:c r="EZ533" s="4"/>
      <x:c r="FA533" s="4"/>
      <x:c r="FB533" s="4"/>
      <x:c r="FC533" s="4"/>
      <x:c r="FD533" s="4"/>
      <x:c r="FE533" s="4"/>
      <x:c r="FF533" s="4"/>
      <x:c r="FG533" s="4"/>
      <x:c r="FH533" s="4"/>
      <x:c r="FI533" s="4"/>
      <x:c r="FJ533" s="4"/>
      <x:c r="FK533" s="4"/>
      <x:c r="FL533" s="4"/>
      <x:c r="FM533" s="4"/>
      <x:c r="FN533" s="4"/>
      <x:c r="FO533" s="4"/>
      <x:c r="JA533" t="n">
        <x:f>IF(OR(IFERROR(INDIRECT("'WCM Calibration Final'!$A$533")&lt;&gt;"",FALSE),IFERROR(INDIRECT("'WCM Calibration Final'!$B$533")&lt;&gt;"",FALSE),IFERROR(INDIRECT("'WCM Calibration Final'!$C$533")&lt;&gt;"",FALSE)),533,0)</x:f>
        <x:v>0</x:v>
      </x:c>
      <x:c r="JB533" t="n">
        <x:f>'Calculations'!JB532+IF('Calculations'!JA533&gt;0,1,0)</x:f>
        <x:v>0</x:v>
      </x:c>
    </x:row>
    <x:row r="534">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4"/>
      <x:c r="DQ534" s="4"/>
      <x:c r="DR534" s="4"/>
      <x:c r="DS534" s="4"/>
      <x:c r="DT534" s="4"/>
      <x:c r="DU534" s="4"/>
      <x:c r="DV534" s="4"/>
      <x:c r="DW534" s="4"/>
      <x:c r="DX534" s="4"/>
      <x:c r="DY534" s="4"/>
      <x:c r="DZ534" s="4"/>
      <x:c r="EA534" s="4"/>
      <x:c r="EB534" s="4"/>
      <x:c r="EC534" s="4"/>
      <x:c r="ED534" s="4"/>
      <x:c r="EE534" s="4"/>
      <x:c r="EF534" s="4"/>
      <x:c r="EG534" s="4"/>
      <x:c r="EH534" s="4"/>
      <x:c r="EI534" s="4"/>
      <x:c r="EJ534" s="4"/>
      <x:c r="EK534" s="4"/>
      <x:c r="EL534" s="4"/>
      <x:c r="EM534" s="4"/>
      <x:c r="EN534" s="4"/>
      <x:c r="EO534" s="4"/>
      <x:c r="EP534" s="4"/>
      <x:c r="EQ534" s="4"/>
      <x:c r="ER534" s="4"/>
      <x:c r="ES534" s="4"/>
      <x:c r="ET534" s="4"/>
      <x:c r="EU534" s="4"/>
      <x:c r="EV534" s="4"/>
      <x:c r="EW534" s="4"/>
      <x:c r="EX534" s="4"/>
      <x:c r="EY534" s="4"/>
      <x:c r="EZ534" s="4"/>
      <x:c r="FA534" s="4"/>
      <x:c r="FB534" s="4"/>
      <x:c r="FC534" s="4"/>
      <x:c r="FD534" s="4"/>
      <x:c r="FE534" s="4"/>
      <x:c r="FF534" s="4"/>
      <x:c r="FG534" s="4"/>
      <x:c r="FH534" s="4"/>
      <x:c r="FI534" s="4"/>
      <x:c r="FJ534" s="4"/>
      <x:c r="FK534" s="4"/>
      <x:c r="FL534" s="4"/>
      <x:c r="FM534" s="4"/>
      <x:c r="FN534" s="4"/>
      <x:c r="FO534" s="4"/>
      <x:c r="JA534" t="n">
        <x:f>IF(OR(IFERROR(INDIRECT("'WCM Calibration Final'!$A$534")&lt;&gt;"",FALSE),IFERROR(INDIRECT("'WCM Calibration Final'!$B$534")&lt;&gt;"",FALSE),IFERROR(INDIRECT("'WCM Calibration Final'!$C$534")&lt;&gt;"",FALSE)),534,0)</x:f>
        <x:v>0</x:v>
      </x:c>
      <x:c r="JB534" t="n">
        <x:f>'Calculations'!JB533+IF('Calculations'!JA534&gt;0,1,0)</x:f>
        <x:v>0</x:v>
      </x:c>
    </x:row>
    <x:row r="535">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4"/>
      <x:c r="DQ535" s="4"/>
      <x:c r="DR535" s="4"/>
      <x:c r="DS535" s="4"/>
      <x:c r="DT535" s="4"/>
      <x:c r="DU535" s="4"/>
      <x:c r="DV535" s="4"/>
      <x:c r="DW535" s="4"/>
      <x:c r="DX535" s="4"/>
      <x:c r="DY535" s="4"/>
      <x:c r="DZ535" s="4"/>
      <x:c r="EA535" s="4"/>
      <x:c r="EB535" s="4"/>
      <x:c r="EC535" s="4"/>
      <x:c r="ED535" s="4"/>
      <x:c r="EE535" s="4"/>
      <x:c r="EF535" s="4"/>
      <x:c r="EG535" s="4"/>
      <x:c r="EH535" s="4"/>
      <x:c r="EI535" s="4"/>
      <x:c r="EJ535" s="4"/>
      <x:c r="EK535" s="4"/>
      <x:c r="EL535" s="4"/>
      <x:c r="EM535" s="4"/>
      <x:c r="EN535" s="4"/>
      <x:c r="EO535" s="4"/>
      <x:c r="EP535" s="4"/>
      <x:c r="EQ535" s="4"/>
      <x:c r="ER535" s="4"/>
      <x:c r="ES535" s="4"/>
      <x:c r="ET535" s="4"/>
      <x:c r="EU535" s="4"/>
      <x:c r="EV535" s="4"/>
      <x:c r="EW535" s="4"/>
      <x:c r="EX535" s="4"/>
      <x:c r="EY535" s="4"/>
      <x:c r="EZ535" s="4"/>
      <x:c r="FA535" s="4"/>
      <x:c r="FB535" s="4"/>
      <x:c r="FC535" s="4"/>
      <x:c r="FD535" s="4"/>
      <x:c r="FE535" s="4"/>
      <x:c r="FF535" s="4"/>
      <x:c r="FG535" s="4"/>
      <x:c r="FH535" s="4"/>
      <x:c r="FI535" s="4"/>
      <x:c r="FJ535" s="4"/>
      <x:c r="FK535" s="4"/>
      <x:c r="FL535" s="4"/>
      <x:c r="FM535" s="4"/>
      <x:c r="FN535" s="4"/>
      <x:c r="FO535" s="4"/>
      <x:c r="JA535" t="n">
        <x:f>IF(OR(IFERROR(INDIRECT("'WCM Calibration Final'!$A$535")&lt;&gt;"",FALSE),IFERROR(INDIRECT("'WCM Calibration Final'!$B$535")&lt;&gt;"",FALSE),IFERROR(INDIRECT("'WCM Calibration Final'!$C$535")&lt;&gt;"",FALSE)),535,0)</x:f>
        <x:v>0</x:v>
      </x:c>
      <x:c r="JB535" t="n">
        <x:f>'Calculations'!JB534+IF('Calculations'!JA535&gt;0,1,0)</x:f>
        <x:v>0</x:v>
      </x:c>
    </x:row>
    <x:row r="536">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4"/>
      <x:c r="DQ536" s="4"/>
      <x:c r="DR536" s="4"/>
      <x:c r="DS536" s="4"/>
      <x:c r="DT536" s="4"/>
      <x:c r="DU536" s="4"/>
      <x:c r="DV536" s="4"/>
      <x:c r="DW536" s="4"/>
      <x:c r="DX536" s="4"/>
      <x:c r="DY536" s="4"/>
      <x:c r="DZ536" s="4"/>
      <x:c r="EA536" s="4"/>
      <x:c r="EB536" s="4"/>
      <x:c r="EC536" s="4"/>
      <x:c r="ED536" s="4"/>
      <x:c r="EE536" s="4"/>
      <x:c r="EF536" s="4"/>
      <x:c r="EG536" s="4"/>
      <x:c r="EH536" s="4"/>
      <x:c r="EI536" s="4"/>
      <x:c r="EJ536" s="4"/>
      <x:c r="EK536" s="4"/>
      <x:c r="EL536" s="4"/>
      <x:c r="EM536" s="4"/>
      <x:c r="EN536" s="4"/>
      <x:c r="EO536" s="4"/>
      <x:c r="EP536" s="4"/>
      <x:c r="EQ536" s="4"/>
      <x:c r="ER536" s="4"/>
      <x:c r="ES536" s="4"/>
      <x:c r="ET536" s="4"/>
      <x:c r="EU536" s="4"/>
      <x:c r="EV536" s="4"/>
      <x:c r="EW536" s="4"/>
      <x:c r="EX536" s="4"/>
      <x:c r="EY536" s="4"/>
      <x:c r="EZ536" s="4"/>
      <x:c r="FA536" s="4"/>
      <x:c r="FB536" s="4"/>
      <x:c r="FC536" s="4"/>
      <x:c r="FD536" s="4"/>
      <x:c r="FE536" s="4"/>
      <x:c r="FF536" s="4"/>
      <x:c r="FG536" s="4"/>
      <x:c r="FH536" s="4"/>
      <x:c r="FI536" s="4"/>
      <x:c r="FJ536" s="4"/>
      <x:c r="FK536" s="4"/>
      <x:c r="FL536" s="4"/>
      <x:c r="FM536" s="4"/>
      <x:c r="FN536" s="4"/>
      <x:c r="FO536" s="4"/>
      <x:c r="JA536" t="n">
        <x:f>IF(OR(IFERROR(INDIRECT("'WCM Calibration Final'!$A$536")&lt;&gt;"",FALSE),IFERROR(INDIRECT("'WCM Calibration Final'!$B$536")&lt;&gt;"",FALSE),IFERROR(INDIRECT("'WCM Calibration Final'!$C$536")&lt;&gt;"",FALSE)),536,0)</x:f>
        <x:v>0</x:v>
      </x:c>
      <x:c r="JB536" t="n">
        <x:f>'Calculations'!JB535+IF('Calculations'!JA536&gt;0,1,0)</x:f>
        <x:v>0</x:v>
      </x:c>
    </x:row>
    <x:row r="537">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4"/>
      <x:c r="DQ537" s="4"/>
      <x:c r="DR537" s="4"/>
      <x:c r="DS537" s="4"/>
      <x:c r="DT537" s="4"/>
      <x:c r="DU537" s="4"/>
      <x:c r="DV537" s="4"/>
      <x:c r="DW537" s="4"/>
      <x:c r="DX537" s="4"/>
      <x:c r="DY537" s="4"/>
      <x:c r="DZ537" s="4"/>
      <x:c r="EA537" s="4"/>
      <x:c r="EB537" s="4"/>
      <x:c r="EC537" s="4"/>
      <x:c r="ED537" s="4"/>
      <x:c r="EE537" s="4"/>
      <x:c r="EF537" s="4"/>
      <x:c r="EG537" s="4"/>
      <x:c r="EH537" s="4"/>
      <x:c r="EI537" s="4"/>
      <x:c r="EJ537" s="4"/>
      <x:c r="EK537" s="4"/>
      <x:c r="EL537" s="4"/>
      <x:c r="EM537" s="4"/>
      <x:c r="EN537" s="4"/>
      <x:c r="EO537" s="4"/>
      <x:c r="EP537" s="4"/>
      <x:c r="EQ537" s="4"/>
      <x:c r="ER537" s="4"/>
      <x:c r="ES537" s="4"/>
      <x:c r="ET537" s="4"/>
      <x:c r="EU537" s="4"/>
      <x:c r="EV537" s="4"/>
      <x:c r="EW537" s="4"/>
      <x:c r="EX537" s="4"/>
      <x:c r="EY537" s="4"/>
      <x:c r="EZ537" s="4"/>
      <x:c r="FA537" s="4"/>
      <x:c r="FB537" s="4"/>
      <x:c r="FC537" s="4"/>
      <x:c r="FD537" s="4"/>
      <x:c r="FE537" s="4"/>
      <x:c r="FF537" s="4"/>
      <x:c r="FG537" s="4"/>
      <x:c r="FH537" s="4"/>
      <x:c r="FI537" s="4"/>
      <x:c r="FJ537" s="4"/>
      <x:c r="FK537" s="4"/>
      <x:c r="FL537" s="4"/>
      <x:c r="FM537" s="4"/>
      <x:c r="FN537" s="4"/>
      <x:c r="FO537" s="4"/>
      <x:c r="JA537" t="n">
        <x:f>IF(OR(IFERROR(INDIRECT("'WCM Calibration Final'!$A$537")&lt;&gt;"",FALSE),IFERROR(INDIRECT("'WCM Calibration Final'!$B$537")&lt;&gt;"",FALSE),IFERROR(INDIRECT("'WCM Calibration Final'!$C$537")&lt;&gt;"",FALSE)),537,0)</x:f>
        <x:v>0</x:v>
      </x:c>
      <x:c r="JB537" t="n">
        <x:f>'Calculations'!JB536+IF('Calculations'!JA537&gt;0,1,0)</x:f>
        <x:v>0</x:v>
      </x:c>
    </x:row>
    <x:row r="538">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4"/>
      <x:c r="DQ538" s="4"/>
      <x:c r="DR538" s="4"/>
      <x:c r="DS538" s="4"/>
      <x:c r="DT538" s="4"/>
      <x:c r="DU538" s="4"/>
      <x:c r="DV538" s="4"/>
      <x:c r="DW538" s="4"/>
      <x:c r="DX538" s="4"/>
      <x:c r="DY538" s="4"/>
      <x:c r="DZ538" s="4"/>
      <x:c r="EA538" s="4"/>
      <x:c r="EB538" s="4"/>
      <x:c r="EC538" s="4"/>
      <x:c r="ED538" s="4"/>
      <x:c r="EE538" s="4"/>
      <x:c r="EF538" s="4"/>
      <x:c r="EG538" s="4"/>
      <x:c r="EH538" s="4"/>
      <x:c r="EI538" s="4"/>
      <x:c r="EJ538" s="4"/>
      <x:c r="EK538" s="4"/>
      <x:c r="EL538" s="4"/>
      <x:c r="EM538" s="4"/>
      <x:c r="EN538" s="4"/>
      <x:c r="EO538" s="4"/>
      <x:c r="EP538" s="4"/>
      <x:c r="EQ538" s="4"/>
      <x:c r="ER538" s="4"/>
      <x:c r="ES538" s="4"/>
      <x:c r="ET538" s="4"/>
      <x:c r="EU538" s="4"/>
      <x:c r="EV538" s="4"/>
      <x:c r="EW538" s="4"/>
      <x:c r="EX538" s="4"/>
      <x:c r="EY538" s="4"/>
      <x:c r="EZ538" s="4"/>
      <x:c r="FA538" s="4"/>
      <x:c r="FB538" s="4"/>
      <x:c r="FC538" s="4"/>
      <x:c r="FD538" s="4"/>
      <x:c r="FE538" s="4"/>
      <x:c r="FF538" s="4"/>
      <x:c r="FG538" s="4"/>
      <x:c r="FH538" s="4"/>
      <x:c r="FI538" s="4"/>
      <x:c r="FJ538" s="4"/>
      <x:c r="FK538" s="4"/>
      <x:c r="FL538" s="4"/>
      <x:c r="FM538" s="4"/>
      <x:c r="FN538" s="4"/>
      <x:c r="FO538" s="4"/>
      <x:c r="JA538" t="n">
        <x:f>IF(OR(IFERROR(INDIRECT("'WCM Calibration Final'!$A$538")&lt;&gt;"",FALSE),IFERROR(INDIRECT("'WCM Calibration Final'!$B$538")&lt;&gt;"",FALSE),IFERROR(INDIRECT("'WCM Calibration Final'!$C$538")&lt;&gt;"",FALSE)),538,0)</x:f>
        <x:v>0</x:v>
      </x:c>
      <x:c r="JB538" t="n">
        <x:f>'Calculations'!JB537+IF('Calculations'!JA538&gt;0,1,0)</x:f>
        <x:v>0</x:v>
      </x:c>
    </x:row>
    <x:row r="539">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4"/>
      <x:c r="DQ539" s="4"/>
      <x:c r="DR539" s="4"/>
      <x:c r="DS539" s="4"/>
      <x:c r="DT539" s="4"/>
      <x:c r="DU539" s="4"/>
      <x:c r="DV539" s="4"/>
      <x:c r="DW539" s="4"/>
      <x:c r="DX539" s="4"/>
      <x:c r="DY539" s="4"/>
      <x:c r="DZ539" s="4"/>
      <x:c r="EA539" s="4"/>
      <x:c r="EB539" s="4"/>
      <x:c r="EC539" s="4"/>
      <x:c r="ED539" s="4"/>
      <x:c r="EE539" s="4"/>
      <x:c r="EF539" s="4"/>
      <x:c r="EG539" s="4"/>
      <x:c r="EH539" s="4"/>
      <x:c r="EI539" s="4"/>
      <x:c r="EJ539" s="4"/>
      <x:c r="EK539" s="4"/>
      <x:c r="EL539" s="4"/>
      <x:c r="EM539" s="4"/>
      <x:c r="EN539" s="4"/>
      <x:c r="EO539" s="4"/>
      <x:c r="EP539" s="4"/>
      <x:c r="EQ539" s="4"/>
      <x:c r="ER539" s="4"/>
      <x:c r="ES539" s="4"/>
      <x:c r="ET539" s="4"/>
      <x:c r="EU539" s="4"/>
      <x:c r="EV539" s="4"/>
      <x:c r="EW539" s="4"/>
      <x:c r="EX539" s="4"/>
      <x:c r="EY539" s="4"/>
      <x:c r="EZ539" s="4"/>
      <x:c r="FA539" s="4"/>
      <x:c r="FB539" s="4"/>
      <x:c r="FC539" s="4"/>
      <x:c r="FD539" s="4"/>
      <x:c r="FE539" s="4"/>
      <x:c r="FF539" s="4"/>
      <x:c r="FG539" s="4"/>
      <x:c r="FH539" s="4"/>
      <x:c r="FI539" s="4"/>
      <x:c r="FJ539" s="4"/>
      <x:c r="FK539" s="4"/>
      <x:c r="FL539" s="4"/>
      <x:c r="FM539" s="4"/>
      <x:c r="FN539" s="4"/>
      <x:c r="FO539" s="4"/>
      <x:c r="JA539" t="n">
        <x:f>IF(OR(IFERROR(INDIRECT("'WCM Calibration Final'!$A$539")&lt;&gt;"",FALSE),IFERROR(INDIRECT("'WCM Calibration Final'!$B$539")&lt;&gt;"",FALSE),IFERROR(INDIRECT("'WCM Calibration Final'!$C$539")&lt;&gt;"",FALSE)),539,0)</x:f>
        <x:v>0</x:v>
      </x:c>
      <x:c r="JB539" t="n">
        <x:f>'Calculations'!JB538+IF('Calculations'!JA539&gt;0,1,0)</x:f>
        <x:v>0</x:v>
      </x:c>
    </x:row>
    <x:row r="540">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4"/>
      <x:c r="DQ540" s="4"/>
      <x:c r="DR540" s="4"/>
      <x:c r="DS540" s="4"/>
      <x:c r="DT540" s="4"/>
      <x:c r="DU540" s="4"/>
      <x:c r="DV540" s="4"/>
      <x:c r="DW540" s="4"/>
      <x:c r="DX540" s="4"/>
      <x:c r="DY540" s="4"/>
      <x:c r="DZ540" s="4"/>
      <x:c r="EA540" s="4"/>
      <x:c r="EB540" s="4"/>
      <x:c r="EC540" s="4"/>
      <x:c r="ED540" s="4"/>
      <x:c r="EE540" s="4"/>
      <x:c r="EF540" s="4"/>
      <x:c r="EG540" s="4"/>
      <x:c r="EH540" s="4"/>
      <x:c r="EI540" s="4"/>
      <x:c r="EJ540" s="4"/>
      <x:c r="EK540" s="4"/>
      <x:c r="EL540" s="4"/>
      <x:c r="EM540" s="4"/>
      <x:c r="EN540" s="4"/>
      <x:c r="EO540" s="4"/>
      <x:c r="EP540" s="4"/>
      <x:c r="EQ540" s="4"/>
      <x:c r="ER540" s="4"/>
      <x:c r="ES540" s="4"/>
      <x:c r="ET540" s="4"/>
      <x:c r="EU540" s="4"/>
      <x:c r="EV540" s="4"/>
      <x:c r="EW540" s="4"/>
      <x:c r="EX540" s="4"/>
      <x:c r="EY540" s="4"/>
      <x:c r="EZ540" s="4"/>
      <x:c r="FA540" s="4"/>
      <x:c r="FB540" s="4"/>
      <x:c r="FC540" s="4"/>
      <x:c r="FD540" s="4"/>
      <x:c r="FE540" s="4"/>
      <x:c r="FF540" s="4"/>
      <x:c r="FG540" s="4"/>
      <x:c r="FH540" s="4"/>
      <x:c r="FI540" s="4"/>
      <x:c r="FJ540" s="4"/>
      <x:c r="FK540" s="4"/>
      <x:c r="FL540" s="4"/>
      <x:c r="FM540" s="4"/>
      <x:c r="FN540" s="4"/>
      <x:c r="FO540" s="4"/>
      <x:c r="JA540" t="n">
        <x:f>IF(OR(IFERROR(INDIRECT("'WCM Calibration Final'!$A$540")&lt;&gt;"",FALSE),IFERROR(INDIRECT("'WCM Calibration Final'!$B$540")&lt;&gt;"",FALSE),IFERROR(INDIRECT("'WCM Calibration Final'!$C$540")&lt;&gt;"",FALSE)),540,0)</x:f>
        <x:v>0</x:v>
      </x:c>
      <x:c r="JB540" t="n">
        <x:f>'Calculations'!JB539+IF('Calculations'!JA540&gt;0,1,0)</x:f>
        <x:v>0</x:v>
      </x:c>
    </x:row>
    <x:row r="541">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4"/>
      <x:c r="DQ541" s="4"/>
      <x:c r="DR541" s="4"/>
      <x:c r="DS541" s="4"/>
      <x:c r="DT541" s="4"/>
      <x:c r="DU541" s="4"/>
      <x:c r="DV541" s="4"/>
      <x:c r="DW541" s="4"/>
      <x:c r="DX541" s="4"/>
      <x:c r="DY541" s="4"/>
      <x:c r="DZ541" s="4"/>
      <x:c r="EA541" s="4"/>
      <x:c r="EB541" s="4"/>
      <x:c r="EC541" s="4"/>
      <x:c r="ED541" s="4"/>
      <x:c r="EE541" s="4"/>
      <x:c r="EF541" s="4"/>
      <x:c r="EG541" s="4"/>
      <x:c r="EH541" s="4"/>
      <x:c r="EI541" s="4"/>
      <x:c r="EJ541" s="4"/>
      <x:c r="EK541" s="4"/>
      <x:c r="EL541" s="4"/>
      <x:c r="EM541" s="4"/>
      <x:c r="EN541" s="4"/>
      <x:c r="EO541" s="4"/>
      <x:c r="EP541" s="4"/>
      <x:c r="EQ541" s="4"/>
      <x:c r="ER541" s="4"/>
      <x:c r="ES541" s="4"/>
      <x:c r="ET541" s="4"/>
      <x:c r="EU541" s="4"/>
      <x:c r="EV541" s="4"/>
      <x:c r="EW541" s="4"/>
      <x:c r="EX541" s="4"/>
      <x:c r="EY541" s="4"/>
      <x:c r="EZ541" s="4"/>
      <x:c r="FA541" s="4"/>
      <x:c r="FB541" s="4"/>
      <x:c r="FC541" s="4"/>
      <x:c r="FD541" s="4"/>
      <x:c r="FE541" s="4"/>
      <x:c r="FF541" s="4"/>
      <x:c r="FG541" s="4"/>
      <x:c r="FH541" s="4"/>
      <x:c r="FI541" s="4"/>
      <x:c r="FJ541" s="4"/>
      <x:c r="FK541" s="4"/>
      <x:c r="FL541" s="4"/>
      <x:c r="FM541" s="4"/>
      <x:c r="FN541" s="4"/>
      <x:c r="FO541" s="4"/>
      <x:c r="JA541" t="n">
        <x:f>IF(OR(IFERROR(INDIRECT("'WCM Calibration Final'!$A$541")&lt;&gt;"",FALSE),IFERROR(INDIRECT("'WCM Calibration Final'!$B$541")&lt;&gt;"",FALSE),IFERROR(INDIRECT("'WCM Calibration Final'!$C$541")&lt;&gt;"",FALSE)),541,0)</x:f>
        <x:v>0</x:v>
      </x:c>
      <x:c r="JB541" t="n">
        <x:f>'Calculations'!JB540+IF('Calculations'!JA541&gt;0,1,0)</x:f>
        <x:v>0</x:v>
      </x:c>
    </x:row>
    <x:row r="542">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4"/>
      <x:c r="DQ542" s="4"/>
      <x:c r="DR542" s="4"/>
      <x:c r="DS542" s="4"/>
      <x:c r="DT542" s="4"/>
      <x:c r="DU542" s="4"/>
      <x:c r="DV542" s="4"/>
      <x:c r="DW542" s="4"/>
      <x:c r="DX542" s="4"/>
      <x:c r="DY542" s="4"/>
      <x:c r="DZ542" s="4"/>
      <x:c r="EA542" s="4"/>
      <x:c r="EB542" s="4"/>
      <x:c r="EC542" s="4"/>
      <x:c r="ED542" s="4"/>
      <x:c r="EE542" s="4"/>
      <x:c r="EF542" s="4"/>
      <x:c r="EG542" s="4"/>
      <x:c r="EH542" s="4"/>
      <x:c r="EI542" s="4"/>
      <x:c r="EJ542" s="4"/>
      <x:c r="EK542" s="4"/>
      <x:c r="EL542" s="4"/>
      <x:c r="EM542" s="4"/>
      <x:c r="EN542" s="4"/>
      <x:c r="EO542" s="4"/>
      <x:c r="EP542" s="4"/>
      <x:c r="EQ542" s="4"/>
      <x:c r="ER542" s="4"/>
      <x:c r="ES542" s="4"/>
      <x:c r="ET542" s="4"/>
      <x:c r="EU542" s="4"/>
      <x:c r="EV542" s="4"/>
      <x:c r="EW542" s="4"/>
      <x:c r="EX542" s="4"/>
      <x:c r="EY542" s="4"/>
      <x:c r="EZ542" s="4"/>
      <x:c r="FA542" s="4"/>
      <x:c r="FB542" s="4"/>
      <x:c r="FC542" s="4"/>
      <x:c r="FD542" s="4"/>
      <x:c r="FE542" s="4"/>
      <x:c r="FF542" s="4"/>
      <x:c r="FG542" s="4"/>
      <x:c r="FH542" s="4"/>
      <x:c r="FI542" s="4"/>
      <x:c r="FJ542" s="4"/>
      <x:c r="FK542" s="4"/>
      <x:c r="FL542" s="4"/>
      <x:c r="FM542" s="4"/>
      <x:c r="FN542" s="4"/>
      <x:c r="FO542" s="4"/>
      <x:c r="JA542" t="n">
        <x:f>IF(OR(IFERROR(INDIRECT("'WCM Calibration Final'!$A$542")&lt;&gt;"",FALSE),IFERROR(INDIRECT("'WCM Calibration Final'!$B$542")&lt;&gt;"",FALSE),IFERROR(INDIRECT("'WCM Calibration Final'!$C$542")&lt;&gt;"",FALSE)),542,0)</x:f>
        <x:v>0</x:v>
      </x:c>
      <x:c r="JB542" t="n">
        <x:f>'Calculations'!JB541+IF('Calculations'!JA542&gt;0,1,0)</x:f>
        <x:v>0</x:v>
      </x:c>
    </x:row>
    <x:row r="543">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4"/>
      <x:c r="DQ543" s="4"/>
      <x:c r="DR543" s="4"/>
      <x:c r="DS543" s="4"/>
      <x:c r="DT543" s="4"/>
      <x:c r="DU543" s="4"/>
      <x:c r="DV543" s="4"/>
      <x:c r="DW543" s="4"/>
      <x:c r="DX543" s="4"/>
      <x:c r="DY543" s="4"/>
      <x:c r="DZ543" s="4"/>
      <x:c r="EA543" s="4"/>
      <x:c r="EB543" s="4"/>
      <x:c r="EC543" s="4"/>
      <x:c r="ED543" s="4"/>
      <x:c r="EE543" s="4"/>
      <x:c r="EF543" s="4"/>
      <x:c r="EG543" s="4"/>
      <x:c r="EH543" s="4"/>
      <x:c r="EI543" s="4"/>
      <x:c r="EJ543" s="4"/>
      <x:c r="EK543" s="4"/>
      <x:c r="EL543" s="4"/>
      <x:c r="EM543" s="4"/>
      <x:c r="EN543" s="4"/>
      <x:c r="EO543" s="4"/>
      <x:c r="EP543" s="4"/>
      <x:c r="EQ543" s="4"/>
      <x:c r="ER543" s="4"/>
      <x:c r="ES543" s="4"/>
      <x:c r="ET543" s="4"/>
      <x:c r="EU543" s="4"/>
      <x:c r="EV543" s="4"/>
      <x:c r="EW543" s="4"/>
      <x:c r="EX543" s="4"/>
      <x:c r="EY543" s="4"/>
      <x:c r="EZ543" s="4"/>
      <x:c r="FA543" s="4"/>
      <x:c r="FB543" s="4"/>
      <x:c r="FC543" s="4"/>
      <x:c r="FD543" s="4"/>
      <x:c r="FE543" s="4"/>
      <x:c r="FF543" s="4"/>
      <x:c r="FG543" s="4"/>
      <x:c r="FH543" s="4"/>
      <x:c r="FI543" s="4"/>
      <x:c r="FJ543" s="4"/>
      <x:c r="FK543" s="4"/>
      <x:c r="FL543" s="4"/>
      <x:c r="FM543" s="4"/>
      <x:c r="FN543" s="4"/>
      <x:c r="FO543" s="4"/>
      <x:c r="JA543" t="n">
        <x:f>IF(OR(IFERROR(INDIRECT("'WCM Calibration Final'!$A$543")&lt;&gt;"",FALSE),IFERROR(INDIRECT("'WCM Calibration Final'!$B$543")&lt;&gt;"",FALSE),IFERROR(INDIRECT("'WCM Calibration Final'!$C$543")&lt;&gt;"",FALSE)),543,0)</x:f>
        <x:v>0</x:v>
      </x:c>
      <x:c r="JB543" t="n">
        <x:f>'Calculations'!JB542+IF('Calculations'!JA543&gt;0,1,0)</x:f>
        <x:v>0</x:v>
      </x:c>
    </x:row>
    <x:row r="544">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4"/>
      <x:c r="DQ544" s="4"/>
      <x:c r="DR544" s="4"/>
      <x:c r="DS544" s="4"/>
      <x:c r="DT544" s="4"/>
      <x:c r="DU544" s="4"/>
      <x:c r="DV544" s="4"/>
      <x:c r="DW544" s="4"/>
      <x:c r="DX544" s="4"/>
      <x:c r="DY544" s="4"/>
      <x:c r="DZ544" s="4"/>
      <x:c r="EA544" s="4"/>
      <x:c r="EB544" s="4"/>
      <x:c r="EC544" s="4"/>
      <x:c r="ED544" s="4"/>
      <x:c r="EE544" s="4"/>
      <x:c r="EF544" s="4"/>
      <x:c r="EG544" s="4"/>
      <x:c r="EH544" s="4"/>
      <x:c r="EI544" s="4"/>
      <x:c r="EJ544" s="4"/>
      <x:c r="EK544" s="4"/>
      <x:c r="EL544" s="4"/>
      <x:c r="EM544" s="4"/>
      <x:c r="EN544" s="4"/>
      <x:c r="EO544" s="4"/>
      <x:c r="EP544" s="4"/>
      <x:c r="EQ544" s="4"/>
      <x:c r="ER544" s="4"/>
      <x:c r="ES544" s="4"/>
      <x:c r="ET544" s="4"/>
      <x:c r="EU544" s="4"/>
      <x:c r="EV544" s="4"/>
      <x:c r="EW544" s="4"/>
      <x:c r="EX544" s="4"/>
      <x:c r="EY544" s="4"/>
      <x:c r="EZ544" s="4"/>
      <x:c r="FA544" s="4"/>
      <x:c r="FB544" s="4"/>
      <x:c r="FC544" s="4"/>
      <x:c r="FD544" s="4"/>
      <x:c r="FE544" s="4"/>
      <x:c r="FF544" s="4"/>
      <x:c r="FG544" s="4"/>
      <x:c r="FH544" s="4"/>
      <x:c r="FI544" s="4"/>
      <x:c r="FJ544" s="4"/>
      <x:c r="FK544" s="4"/>
      <x:c r="FL544" s="4"/>
      <x:c r="FM544" s="4"/>
      <x:c r="FN544" s="4"/>
      <x:c r="FO544" s="4"/>
      <x:c r="JA544" t="n">
        <x:f>IF(OR(IFERROR(INDIRECT("'WCM Calibration Final'!$A$544")&lt;&gt;"",FALSE),IFERROR(INDIRECT("'WCM Calibration Final'!$B$544")&lt;&gt;"",FALSE),IFERROR(INDIRECT("'WCM Calibration Final'!$C$544")&lt;&gt;"",FALSE)),544,0)</x:f>
        <x:v>0</x:v>
      </x:c>
      <x:c r="JB544" t="n">
        <x:f>'Calculations'!JB543+IF('Calculations'!JA544&gt;0,1,0)</x:f>
        <x:v>0</x:v>
      </x:c>
    </x:row>
    <x:row r="545">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4"/>
      <x:c r="DQ545" s="4"/>
      <x:c r="DR545" s="4"/>
      <x:c r="DS545" s="4"/>
      <x:c r="DT545" s="4"/>
      <x:c r="DU545" s="4"/>
      <x:c r="DV545" s="4"/>
      <x:c r="DW545" s="4"/>
      <x:c r="DX545" s="4"/>
      <x:c r="DY545" s="4"/>
      <x:c r="DZ545" s="4"/>
      <x:c r="EA545" s="4"/>
      <x:c r="EB545" s="4"/>
      <x:c r="EC545" s="4"/>
      <x:c r="ED545" s="4"/>
      <x:c r="EE545" s="4"/>
      <x:c r="EF545" s="4"/>
      <x:c r="EG545" s="4"/>
      <x:c r="EH545" s="4"/>
      <x:c r="EI545" s="4"/>
      <x:c r="EJ545" s="4"/>
      <x:c r="EK545" s="4"/>
      <x:c r="EL545" s="4"/>
      <x:c r="EM545" s="4"/>
      <x:c r="EN545" s="4"/>
      <x:c r="EO545" s="4"/>
      <x:c r="EP545" s="4"/>
      <x:c r="EQ545" s="4"/>
      <x:c r="ER545" s="4"/>
      <x:c r="ES545" s="4"/>
      <x:c r="ET545" s="4"/>
      <x:c r="EU545" s="4"/>
      <x:c r="EV545" s="4"/>
      <x:c r="EW545" s="4"/>
      <x:c r="EX545" s="4"/>
      <x:c r="EY545" s="4"/>
      <x:c r="EZ545" s="4"/>
      <x:c r="FA545" s="4"/>
      <x:c r="FB545" s="4"/>
      <x:c r="FC545" s="4"/>
      <x:c r="FD545" s="4"/>
      <x:c r="FE545" s="4"/>
      <x:c r="FF545" s="4"/>
      <x:c r="FG545" s="4"/>
      <x:c r="FH545" s="4"/>
      <x:c r="FI545" s="4"/>
      <x:c r="FJ545" s="4"/>
      <x:c r="FK545" s="4"/>
      <x:c r="FL545" s="4"/>
      <x:c r="FM545" s="4"/>
      <x:c r="FN545" s="4"/>
      <x:c r="FO545" s="4"/>
      <x:c r="JA545" t="n">
        <x:f>IF(OR(IFERROR(INDIRECT("'WCM Calibration Final'!$A$545")&lt;&gt;"",FALSE),IFERROR(INDIRECT("'WCM Calibration Final'!$B$545")&lt;&gt;"",FALSE),IFERROR(INDIRECT("'WCM Calibration Final'!$C$545")&lt;&gt;"",FALSE)),545,0)</x:f>
        <x:v>0</x:v>
      </x:c>
      <x:c r="JB545" t="n">
        <x:f>'Calculations'!JB544+IF('Calculations'!JA545&gt;0,1,0)</x:f>
        <x:v>0</x:v>
      </x:c>
    </x:row>
    <x:row r="546">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4"/>
      <x:c r="DQ546" s="4"/>
      <x:c r="DR546" s="4"/>
      <x:c r="DS546" s="4"/>
      <x:c r="DT546" s="4"/>
      <x:c r="DU546" s="4"/>
      <x:c r="DV546" s="4"/>
      <x:c r="DW546" s="4"/>
      <x:c r="DX546" s="4"/>
      <x:c r="DY546" s="4"/>
      <x:c r="DZ546" s="4"/>
      <x:c r="EA546" s="4"/>
      <x:c r="EB546" s="4"/>
      <x:c r="EC546" s="4"/>
      <x:c r="ED546" s="4"/>
      <x:c r="EE546" s="4"/>
      <x:c r="EF546" s="4"/>
      <x:c r="EG546" s="4"/>
      <x:c r="EH546" s="4"/>
      <x:c r="EI546" s="4"/>
      <x:c r="EJ546" s="4"/>
      <x:c r="EK546" s="4"/>
      <x:c r="EL546" s="4"/>
      <x:c r="EM546" s="4"/>
      <x:c r="EN546" s="4"/>
      <x:c r="EO546" s="4"/>
      <x:c r="EP546" s="4"/>
      <x:c r="EQ546" s="4"/>
      <x:c r="ER546" s="4"/>
      <x:c r="ES546" s="4"/>
      <x:c r="ET546" s="4"/>
      <x:c r="EU546" s="4"/>
      <x:c r="EV546" s="4"/>
      <x:c r="EW546" s="4"/>
      <x:c r="EX546" s="4"/>
      <x:c r="EY546" s="4"/>
      <x:c r="EZ546" s="4"/>
      <x:c r="FA546" s="4"/>
      <x:c r="FB546" s="4"/>
      <x:c r="FC546" s="4"/>
      <x:c r="FD546" s="4"/>
      <x:c r="FE546" s="4"/>
      <x:c r="FF546" s="4"/>
      <x:c r="FG546" s="4"/>
      <x:c r="FH546" s="4"/>
      <x:c r="FI546" s="4"/>
      <x:c r="FJ546" s="4"/>
      <x:c r="FK546" s="4"/>
      <x:c r="FL546" s="4"/>
      <x:c r="FM546" s="4"/>
      <x:c r="FN546" s="4"/>
      <x:c r="FO546" s="4"/>
      <x:c r="JA546" t="n">
        <x:f>IF(OR(IFERROR(INDIRECT("'WCM Calibration Final'!$A$546")&lt;&gt;"",FALSE),IFERROR(INDIRECT("'WCM Calibration Final'!$B$546")&lt;&gt;"",FALSE),IFERROR(INDIRECT("'WCM Calibration Final'!$C$546")&lt;&gt;"",FALSE)),546,0)</x:f>
        <x:v>0</x:v>
      </x:c>
      <x:c r="JB546" t="n">
        <x:f>'Calculations'!JB545+IF('Calculations'!JA546&gt;0,1,0)</x:f>
        <x:v>0</x:v>
      </x:c>
    </x:row>
    <x:row r="547">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4"/>
      <x:c r="DQ547" s="4"/>
      <x:c r="DR547" s="4"/>
      <x:c r="DS547" s="4"/>
      <x:c r="DT547" s="4"/>
      <x:c r="DU547" s="4"/>
      <x:c r="DV547" s="4"/>
      <x:c r="DW547" s="4"/>
      <x:c r="DX547" s="4"/>
      <x:c r="DY547" s="4"/>
      <x:c r="DZ547" s="4"/>
      <x:c r="EA547" s="4"/>
      <x:c r="EB547" s="4"/>
      <x:c r="EC547" s="4"/>
      <x:c r="ED547" s="4"/>
      <x:c r="EE547" s="4"/>
      <x:c r="EF547" s="4"/>
      <x:c r="EG547" s="4"/>
      <x:c r="EH547" s="4"/>
      <x:c r="EI547" s="4"/>
      <x:c r="EJ547" s="4"/>
      <x:c r="EK547" s="4"/>
      <x:c r="EL547" s="4"/>
      <x:c r="EM547" s="4"/>
      <x:c r="EN547" s="4"/>
      <x:c r="EO547" s="4"/>
      <x:c r="EP547" s="4"/>
      <x:c r="EQ547" s="4"/>
      <x:c r="ER547" s="4"/>
      <x:c r="ES547" s="4"/>
      <x:c r="ET547" s="4"/>
      <x:c r="EU547" s="4"/>
      <x:c r="EV547" s="4"/>
      <x:c r="EW547" s="4"/>
      <x:c r="EX547" s="4"/>
      <x:c r="EY547" s="4"/>
      <x:c r="EZ547" s="4"/>
      <x:c r="FA547" s="4"/>
      <x:c r="FB547" s="4"/>
      <x:c r="FC547" s="4"/>
      <x:c r="FD547" s="4"/>
      <x:c r="FE547" s="4"/>
      <x:c r="FF547" s="4"/>
      <x:c r="FG547" s="4"/>
      <x:c r="FH547" s="4"/>
      <x:c r="FI547" s="4"/>
      <x:c r="FJ547" s="4"/>
      <x:c r="FK547" s="4"/>
      <x:c r="FL547" s="4"/>
      <x:c r="FM547" s="4"/>
      <x:c r="FN547" s="4"/>
      <x:c r="FO547" s="4"/>
      <x:c r="JA547" t="n">
        <x:f>IF(OR(IFERROR(INDIRECT("'WCM Calibration Final'!$A$547")&lt;&gt;"",FALSE),IFERROR(INDIRECT("'WCM Calibration Final'!$B$547")&lt;&gt;"",FALSE),IFERROR(INDIRECT("'WCM Calibration Final'!$C$547")&lt;&gt;"",FALSE)),547,0)</x:f>
        <x:v>0</x:v>
      </x:c>
      <x:c r="JB547" t="n">
        <x:f>'Calculations'!JB546+IF('Calculations'!JA547&gt;0,1,0)</x:f>
        <x:v>0</x:v>
      </x:c>
    </x:row>
    <x:row r="548">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4"/>
      <x:c r="DQ548" s="4"/>
      <x:c r="DR548" s="4"/>
      <x:c r="DS548" s="4"/>
      <x:c r="DT548" s="4"/>
      <x:c r="DU548" s="4"/>
      <x:c r="DV548" s="4"/>
      <x:c r="DW548" s="4"/>
      <x:c r="DX548" s="4"/>
      <x:c r="DY548" s="4"/>
      <x:c r="DZ548" s="4"/>
      <x:c r="EA548" s="4"/>
      <x:c r="EB548" s="4"/>
      <x:c r="EC548" s="4"/>
      <x:c r="ED548" s="4"/>
      <x:c r="EE548" s="4"/>
      <x:c r="EF548" s="4"/>
      <x:c r="EG548" s="4"/>
      <x:c r="EH548" s="4"/>
      <x:c r="EI548" s="4"/>
      <x:c r="EJ548" s="4"/>
      <x:c r="EK548" s="4"/>
      <x:c r="EL548" s="4"/>
      <x:c r="EM548" s="4"/>
      <x:c r="EN548" s="4"/>
      <x:c r="EO548" s="4"/>
      <x:c r="EP548" s="4"/>
      <x:c r="EQ548" s="4"/>
      <x:c r="ER548" s="4"/>
      <x:c r="ES548" s="4"/>
      <x:c r="ET548" s="4"/>
      <x:c r="EU548" s="4"/>
      <x:c r="EV548" s="4"/>
      <x:c r="EW548" s="4"/>
      <x:c r="EX548" s="4"/>
      <x:c r="EY548" s="4"/>
      <x:c r="EZ548" s="4"/>
      <x:c r="FA548" s="4"/>
      <x:c r="FB548" s="4"/>
      <x:c r="FC548" s="4"/>
      <x:c r="FD548" s="4"/>
      <x:c r="FE548" s="4"/>
      <x:c r="FF548" s="4"/>
      <x:c r="FG548" s="4"/>
      <x:c r="FH548" s="4"/>
      <x:c r="FI548" s="4"/>
      <x:c r="FJ548" s="4"/>
      <x:c r="FK548" s="4"/>
      <x:c r="FL548" s="4"/>
      <x:c r="FM548" s="4"/>
      <x:c r="FN548" s="4"/>
      <x:c r="FO548" s="4"/>
      <x:c r="JA548" t="n">
        <x:f>IF(OR(IFERROR(INDIRECT("'WCM Calibration Final'!$A$548")&lt;&gt;"",FALSE),IFERROR(INDIRECT("'WCM Calibration Final'!$B$548")&lt;&gt;"",FALSE),IFERROR(INDIRECT("'WCM Calibration Final'!$C$548")&lt;&gt;"",FALSE)),548,0)</x:f>
        <x:v>0</x:v>
      </x:c>
      <x:c r="JB548" t="n">
        <x:f>'Calculations'!JB547+IF('Calculations'!JA548&gt;0,1,0)</x:f>
        <x:v>0</x:v>
      </x:c>
    </x:row>
    <x:row r="549">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4"/>
      <x:c r="DQ549" s="4"/>
      <x:c r="DR549" s="4"/>
      <x:c r="DS549" s="4"/>
      <x:c r="DT549" s="4"/>
      <x:c r="DU549" s="4"/>
      <x:c r="DV549" s="4"/>
      <x:c r="DW549" s="4"/>
      <x:c r="DX549" s="4"/>
      <x:c r="DY549" s="4"/>
      <x:c r="DZ549" s="4"/>
      <x:c r="EA549" s="4"/>
      <x:c r="EB549" s="4"/>
      <x:c r="EC549" s="4"/>
      <x:c r="ED549" s="4"/>
      <x:c r="EE549" s="4"/>
      <x:c r="EF549" s="4"/>
      <x:c r="EG549" s="4"/>
      <x:c r="EH549" s="4"/>
      <x:c r="EI549" s="4"/>
      <x:c r="EJ549" s="4"/>
      <x:c r="EK549" s="4"/>
      <x:c r="EL549" s="4"/>
      <x:c r="EM549" s="4"/>
      <x:c r="EN549" s="4"/>
      <x:c r="EO549" s="4"/>
      <x:c r="EP549" s="4"/>
      <x:c r="EQ549" s="4"/>
      <x:c r="ER549" s="4"/>
      <x:c r="ES549" s="4"/>
      <x:c r="ET549" s="4"/>
      <x:c r="EU549" s="4"/>
      <x:c r="EV549" s="4"/>
      <x:c r="EW549" s="4"/>
      <x:c r="EX549" s="4"/>
      <x:c r="EY549" s="4"/>
      <x:c r="EZ549" s="4"/>
      <x:c r="FA549" s="4"/>
      <x:c r="FB549" s="4"/>
      <x:c r="FC549" s="4"/>
      <x:c r="FD549" s="4"/>
      <x:c r="FE549" s="4"/>
      <x:c r="FF549" s="4"/>
      <x:c r="FG549" s="4"/>
      <x:c r="FH549" s="4"/>
      <x:c r="FI549" s="4"/>
      <x:c r="FJ549" s="4"/>
      <x:c r="FK549" s="4"/>
      <x:c r="FL549" s="4"/>
      <x:c r="FM549" s="4"/>
      <x:c r="FN549" s="4"/>
      <x:c r="FO549" s="4"/>
      <x:c r="JA549" t="n">
        <x:f>IF(OR(IFERROR(INDIRECT("'WCM Calibration Final'!$A$549")&lt;&gt;"",FALSE),IFERROR(INDIRECT("'WCM Calibration Final'!$B$549")&lt;&gt;"",FALSE),IFERROR(INDIRECT("'WCM Calibration Final'!$C$549")&lt;&gt;"",FALSE)),549,0)</x:f>
        <x:v>0</x:v>
      </x:c>
      <x:c r="JB549" t="n">
        <x:f>'Calculations'!JB548+IF('Calculations'!JA549&gt;0,1,0)</x:f>
        <x:v>0</x:v>
      </x:c>
    </x:row>
    <x:row r="550">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4"/>
      <x:c r="DQ550" s="4"/>
      <x:c r="DR550" s="4"/>
      <x:c r="DS550" s="4"/>
      <x:c r="DT550" s="4"/>
      <x:c r="DU550" s="4"/>
      <x:c r="DV550" s="4"/>
      <x:c r="DW550" s="4"/>
      <x:c r="DX550" s="4"/>
      <x:c r="DY550" s="4"/>
      <x:c r="DZ550" s="4"/>
      <x:c r="EA550" s="4"/>
      <x:c r="EB550" s="4"/>
      <x:c r="EC550" s="4"/>
      <x:c r="ED550" s="4"/>
      <x:c r="EE550" s="4"/>
      <x:c r="EF550" s="4"/>
      <x:c r="EG550" s="4"/>
      <x:c r="EH550" s="4"/>
      <x:c r="EI550" s="4"/>
      <x:c r="EJ550" s="4"/>
      <x:c r="EK550" s="4"/>
      <x:c r="EL550" s="4"/>
      <x:c r="EM550" s="4"/>
      <x:c r="EN550" s="4"/>
      <x:c r="EO550" s="4"/>
      <x:c r="EP550" s="4"/>
      <x:c r="EQ550" s="4"/>
      <x:c r="ER550" s="4"/>
      <x:c r="ES550" s="4"/>
      <x:c r="ET550" s="4"/>
      <x:c r="EU550" s="4"/>
      <x:c r="EV550" s="4"/>
      <x:c r="EW550" s="4"/>
      <x:c r="EX550" s="4"/>
      <x:c r="EY550" s="4"/>
      <x:c r="EZ550" s="4"/>
      <x:c r="FA550" s="4"/>
      <x:c r="FB550" s="4"/>
      <x:c r="FC550" s="4"/>
      <x:c r="FD550" s="4"/>
      <x:c r="FE550" s="4"/>
      <x:c r="FF550" s="4"/>
      <x:c r="FG550" s="4"/>
      <x:c r="FH550" s="4"/>
      <x:c r="FI550" s="4"/>
      <x:c r="FJ550" s="4"/>
      <x:c r="FK550" s="4"/>
      <x:c r="FL550" s="4"/>
      <x:c r="FM550" s="4"/>
      <x:c r="FN550" s="4"/>
      <x:c r="FO550" s="4"/>
      <x:c r="JA550" t="n">
        <x:f>IF(OR(IFERROR(INDIRECT("'WCM Calibration Final'!$A$550")&lt;&gt;"",FALSE),IFERROR(INDIRECT("'WCM Calibration Final'!$B$550")&lt;&gt;"",FALSE),IFERROR(INDIRECT("'WCM Calibration Final'!$C$550")&lt;&gt;"",FALSE)),550,0)</x:f>
        <x:v>0</x:v>
      </x:c>
      <x:c r="JB550" t="n">
        <x:f>'Calculations'!JB549+IF('Calculations'!JA550&gt;0,1,0)</x:f>
        <x:v>0</x:v>
      </x:c>
    </x:row>
    <x:row r="551">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4"/>
      <x:c r="DQ551" s="4"/>
      <x:c r="DR551" s="4"/>
      <x:c r="DS551" s="4"/>
      <x:c r="DT551" s="4"/>
      <x:c r="DU551" s="4"/>
      <x:c r="DV551" s="4"/>
      <x:c r="DW551" s="4"/>
      <x:c r="DX551" s="4"/>
      <x:c r="DY551" s="4"/>
      <x:c r="DZ551" s="4"/>
      <x:c r="EA551" s="4"/>
      <x:c r="EB551" s="4"/>
      <x:c r="EC551" s="4"/>
      <x:c r="ED551" s="4"/>
      <x:c r="EE551" s="4"/>
      <x:c r="EF551" s="4"/>
      <x:c r="EG551" s="4"/>
      <x:c r="EH551" s="4"/>
      <x:c r="EI551" s="4"/>
      <x:c r="EJ551" s="4"/>
      <x:c r="EK551" s="4"/>
      <x:c r="EL551" s="4"/>
      <x:c r="EM551" s="4"/>
      <x:c r="EN551" s="4"/>
      <x:c r="EO551" s="4"/>
      <x:c r="EP551" s="4"/>
      <x:c r="EQ551" s="4"/>
      <x:c r="ER551" s="4"/>
      <x:c r="ES551" s="4"/>
      <x:c r="ET551" s="4"/>
      <x:c r="EU551" s="4"/>
      <x:c r="EV551" s="4"/>
      <x:c r="EW551" s="4"/>
      <x:c r="EX551" s="4"/>
      <x:c r="EY551" s="4"/>
      <x:c r="EZ551" s="4"/>
      <x:c r="FA551" s="4"/>
      <x:c r="FB551" s="4"/>
      <x:c r="FC551" s="4"/>
      <x:c r="FD551" s="4"/>
      <x:c r="FE551" s="4"/>
      <x:c r="FF551" s="4"/>
      <x:c r="FG551" s="4"/>
      <x:c r="FH551" s="4"/>
      <x:c r="FI551" s="4"/>
      <x:c r="FJ551" s="4"/>
      <x:c r="FK551" s="4"/>
      <x:c r="FL551" s="4"/>
      <x:c r="FM551" s="4"/>
      <x:c r="FN551" s="4"/>
      <x:c r="FO551" s="4"/>
      <x:c r="JA551" t="n">
        <x:f>IF(OR(IFERROR(INDIRECT("'WCM Calibration Final'!$A$551")&lt;&gt;"",FALSE),IFERROR(INDIRECT("'WCM Calibration Final'!$B$551")&lt;&gt;"",FALSE),IFERROR(INDIRECT("'WCM Calibration Final'!$C$551")&lt;&gt;"",FALSE)),551,0)</x:f>
        <x:v>0</x:v>
      </x:c>
      <x:c r="JB551" t="n">
        <x:f>'Calculations'!JB550+IF('Calculations'!JA551&gt;0,1,0)</x:f>
        <x:v>0</x:v>
      </x:c>
    </x:row>
    <x:row r="552">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4"/>
      <x:c r="DQ552" s="4"/>
      <x:c r="DR552" s="4"/>
      <x:c r="DS552" s="4"/>
      <x:c r="DT552" s="4"/>
      <x:c r="DU552" s="4"/>
      <x:c r="DV552" s="4"/>
      <x:c r="DW552" s="4"/>
      <x:c r="DX552" s="4"/>
      <x:c r="DY552" s="4"/>
      <x:c r="DZ552" s="4"/>
      <x:c r="EA552" s="4"/>
      <x:c r="EB552" s="4"/>
      <x:c r="EC552" s="4"/>
      <x:c r="ED552" s="4"/>
      <x:c r="EE552" s="4"/>
      <x:c r="EF552" s="4"/>
      <x:c r="EG552" s="4"/>
      <x:c r="EH552" s="4"/>
      <x:c r="EI552" s="4"/>
      <x:c r="EJ552" s="4"/>
      <x:c r="EK552" s="4"/>
      <x:c r="EL552" s="4"/>
      <x:c r="EM552" s="4"/>
      <x:c r="EN552" s="4"/>
      <x:c r="EO552" s="4"/>
      <x:c r="EP552" s="4"/>
      <x:c r="EQ552" s="4"/>
      <x:c r="ER552" s="4"/>
      <x:c r="ES552" s="4"/>
      <x:c r="ET552" s="4"/>
      <x:c r="EU552" s="4"/>
      <x:c r="EV552" s="4"/>
      <x:c r="EW552" s="4"/>
      <x:c r="EX552" s="4"/>
      <x:c r="EY552" s="4"/>
      <x:c r="EZ552" s="4"/>
      <x:c r="FA552" s="4"/>
      <x:c r="FB552" s="4"/>
      <x:c r="FC552" s="4"/>
      <x:c r="FD552" s="4"/>
      <x:c r="FE552" s="4"/>
      <x:c r="FF552" s="4"/>
      <x:c r="FG552" s="4"/>
      <x:c r="FH552" s="4"/>
      <x:c r="FI552" s="4"/>
      <x:c r="FJ552" s="4"/>
      <x:c r="FK552" s="4"/>
      <x:c r="FL552" s="4"/>
      <x:c r="FM552" s="4"/>
      <x:c r="FN552" s="4"/>
      <x:c r="FO552" s="4"/>
      <x:c r="JA552" t="n">
        <x:f>IF(OR(IFERROR(INDIRECT("'WCM Calibration Final'!$A$552")&lt;&gt;"",FALSE),IFERROR(INDIRECT("'WCM Calibration Final'!$B$552")&lt;&gt;"",FALSE),IFERROR(INDIRECT("'WCM Calibration Final'!$C$552")&lt;&gt;"",FALSE)),552,0)</x:f>
        <x:v>0</x:v>
      </x:c>
      <x:c r="JB552" t="n">
        <x:f>'Calculations'!JB551+IF('Calculations'!JA552&gt;0,1,0)</x:f>
        <x:v>0</x:v>
      </x:c>
    </x:row>
    <x:row r="553">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4"/>
      <x:c r="DQ553" s="4"/>
      <x:c r="DR553" s="4"/>
      <x:c r="DS553" s="4"/>
      <x:c r="DT553" s="4"/>
      <x:c r="DU553" s="4"/>
      <x:c r="DV553" s="4"/>
      <x:c r="DW553" s="4"/>
      <x:c r="DX553" s="4"/>
      <x:c r="DY553" s="4"/>
      <x:c r="DZ553" s="4"/>
      <x:c r="EA553" s="4"/>
      <x:c r="EB553" s="4"/>
      <x:c r="EC553" s="4"/>
      <x:c r="ED553" s="4"/>
      <x:c r="EE553" s="4"/>
      <x:c r="EF553" s="4"/>
      <x:c r="EG553" s="4"/>
      <x:c r="EH553" s="4"/>
      <x:c r="EI553" s="4"/>
      <x:c r="EJ553" s="4"/>
      <x:c r="EK553" s="4"/>
      <x:c r="EL553" s="4"/>
      <x:c r="EM553" s="4"/>
      <x:c r="EN553" s="4"/>
      <x:c r="EO553" s="4"/>
      <x:c r="EP553" s="4"/>
      <x:c r="EQ553" s="4"/>
      <x:c r="ER553" s="4"/>
      <x:c r="ES553" s="4"/>
      <x:c r="ET553" s="4"/>
      <x:c r="EU553" s="4"/>
      <x:c r="EV553" s="4"/>
      <x:c r="EW553" s="4"/>
      <x:c r="EX553" s="4"/>
      <x:c r="EY553" s="4"/>
      <x:c r="EZ553" s="4"/>
      <x:c r="FA553" s="4"/>
      <x:c r="FB553" s="4"/>
      <x:c r="FC553" s="4"/>
      <x:c r="FD553" s="4"/>
      <x:c r="FE553" s="4"/>
      <x:c r="FF553" s="4"/>
      <x:c r="FG553" s="4"/>
      <x:c r="FH553" s="4"/>
      <x:c r="FI553" s="4"/>
      <x:c r="FJ553" s="4"/>
      <x:c r="FK553" s="4"/>
      <x:c r="FL553" s="4"/>
      <x:c r="FM553" s="4"/>
      <x:c r="FN553" s="4"/>
      <x:c r="FO553" s="4"/>
      <x:c r="JA553" t="n">
        <x:f>IF(OR(IFERROR(INDIRECT("'WCM Calibration Final'!$A$553")&lt;&gt;"",FALSE),IFERROR(INDIRECT("'WCM Calibration Final'!$B$553")&lt;&gt;"",FALSE),IFERROR(INDIRECT("'WCM Calibration Final'!$C$553")&lt;&gt;"",FALSE)),553,0)</x:f>
        <x:v>0</x:v>
      </x:c>
      <x:c r="JB553" t="n">
        <x:f>'Calculations'!JB552+IF('Calculations'!JA553&gt;0,1,0)</x:f>
        <x:v>0</x:v>
      </x:c>
    </x:row>
    <x:row r="554">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4"/>
      <x:c r="DQ554" s="4"/>
      <x:c r="DR554" s="4"/>
      <x:c r="DS554" s="4"/>
      <x:c r="DT554" s="4"/>
      <x:c r="DU554" s="4"/>
      <x:c r="DV554" s="4"/>
      <x:c r="DW554" s="4"/>
      <x:c r="DX554" s="4"/>
      <x:c r="DY554" s="4"/>
      <x:c r="DZ554" s="4"/>
      <x:c r="EA554" s="4"/>
      <x:c r="EB554" s="4"/>
      <x:c r="EC554" s="4"/>
      <x:c r="ED554" s="4"/>
      <x:c r="EE554" s="4"/>
      <x:c r="EF554" s="4"/>
      <x:c r="EG554" s="4"/>
      <x:c r="EH554" s="4"/>
      <x:c r="EI554" s="4"/>
      <x:c r="EJ554" s="4"/>
      <x:c r="EK554" s="4"/>
      <x:c r="EL554" s="4"/>
      <x:c r="EM554" s="4"/>
      <x:c r="EN554" s="4"/>
      <x:c r="EO554" s="4"/>
      <x:c r="EP554" s="4"/>
      <x:c r="EQ554" s="4"/>
      <x:c r="ER554" s="4"/>
      <x:c r="ES554" s="4"/>
      <x:c r="ET554" s="4"/>
      <x:c r="EU554" s="4"/>
      <x:c r="EV554" s="4"/>
      <x:c r="EW554" s="4"/>
      <x:c r="EX554" s="4"/>
      <x:c r="EY554" s="4"/>
      <x:c r="EZ554" s="4"/>
      <x:c r="FA554" s="4"/>
      <x:c r="FB554" s="4"/>
      <x:c r="FC554" s="4"/>
      <x:c r="FD554" s="4"/>
      <x:c r="FE554" s="4"/>
      <x:c r="FF554" s="4"/>
      <x:c r="FG554" s="4"/>
      <x:c r="FH554" s="4"/>
      <x:c r="FI554" s="4"/>
      <x:c r="FJ554" s="4"/>
      <x:c r="FK554" s="4"/>
      <x:c r="FL554" s="4"/>
      <x:c r="FM554" s="4"/>
      <x:c r="FN554" s="4"/>
      <x:c r="FO554" s="4"/>
      <x:c r="JA554" t="n">
        <x:f>IF(OR(IFERROR(INDIRECT("'WCM Calibration Final'!$A$554")&lt;&gt;"",FALSE),IFERROR(INDIRECT("'WCM Calibration Final'!$B$554")&lt;&gt;"",FALSE),IFERROR(INDIRECT("'WCM Calibration Final'!$C$554")&lt;&gt;"",FALSE)),554,0)</x:f>
        <x:v>0</x:v>
      </x:c>
      <x:c r="JB554" t="n">
        <x:f>'Calculations'!JB553+IF('Calculations'!JA554&gt;0,1,0)</x:f>
        <x:v>0</x:v>
      </x:c>
    </x:row>
    <x:row r="555">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4"/>
      <x:c r="DQ555" s="4"/>
      <x:c r="DR555" s="4"/>
      <x:c r="DS555" s="4"/>
      <x:c r="DT555" s="4"/>
      <x:c r="DU555" s="4"/>
      <x:c r="DV555" s="4"/>
      <x:c r="DW555" s="4"/>
      <x:c r="DX555" s="4"/>
      <x:c r="DY555" s="4"/>
      <x:c r="DZ555" s="4"/>
      <x:c r="EA555" s="4"/>
      <x:c r="EB555" s="4"/>
      <x:c r="EC555" s="4"/>
      <x:c r="ED555" s="4"/>
      <x:c r="EE555" s="4"/>
      <x:c r="EF555" s="4"/>
      <x:c r="EG555" s="4"/>
      <x:c r="EH555" s="4"/>
      <x:c r="EI555" s="4"/>
      <x:c r="EJ555" s="4"/>
      <x:c r="EK555" s="4"/>
      <x:c r="EL555" s="4"/>
      <x:c r="EM555" s="4"/>
      <x:c r="EN555" s="4"/>
      <x:c r="EO555" s="4"/>
      <x:c r="EP555" s="4"/>
      <x:c r="EQ555" s="4"/>
      <x:c r="ER555" s="4"/>
      <x:c r="ES555" s="4"/>
      <x:c r="ET555" s="4"/>
      <x:c r="EU555" s="4"/>
      <x:c r="EV555" s="4"/>
      <x:c r="EW555" s="4"/>
      <x:c r="EX555" s="4"/>
      <x:c r="EY555" s="4"/>
      <x:c r="EZ555" s="4"/>
      <x:c r="FA555" s="4"/>
      <x:c r="FB555" s="4"/>
      <x:c r="FC555" s="4"/>
      <x:c r="FD555" s="4"/>
      <x:c r="FE555" s="4"/>
      <x:c r="FF555" s="4"/>
      <x:c r="FG555" s="4"/>
      <x:c r="FH555" s="4"/>
      <x:c r="FI555" s="4"/>
      <x:c r="FJ555" s="4"/>
      <x:c r="FK555" s="4"/>
      <x:c r="FL555" s="4"/>
      <x:c r="FM555" s="4"/>
      <x:c r="FN555" s="4"/>
      <x:c r="FO555" s="4"/>
      <x:c r="JA555" t="n">
        <x:f>IF(OR(IFERROR(INDIRECT("'WCM Calibration Final'!$A$555")&lt;&gt;"",FALSE),IFERROR(INDIRECT("'WCM Calibration Final'!$B$555")&lt;&gt;"",FALSE),IFERROR(INDIRECT("'WCM Calibration Final'!$C$555")&lt;&gt;"",FALSE)),555,0)</x:f>
        <x:v>0</x:v>
      </x:c>
      <x:c r="JB555" t="n">
        <x:f>'Calculations'!JB554+IF('Calculations'!JA555&gt;0,1,0)</x:f>
        <x:v>0</x:v>
      </x:c>
    </x:row>
    <x:row r="556">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4"/>
      <x:c r="DQ556" s="4"/>
      <x:c r="DR556" s="4"/>
      <x:c r="DS556" s="4"/>
      <x:c r="DT556" s="4"/>
      <x:c r="DU556" s="4"/>
      <x:c r="DV556" s="4"/>
      <x:c r="DW556" s="4"/>
      <x:c r="DX556" s="4"/>
      <x:c r="DY556" s="4"/>
      <x:c r="DZ556" s="4"/>
      <x:c r="EA556" s="4"/>
      <x:c r="EB556" s="4"/>
      <x:c r="EC556" s="4"/>
      <x:c r="ED556" s="4"/>
      <x:c r="EE556" s="4"/>
      <x:c r="EF556" s="4"/>
      <x:c r="EG556" s="4"/>
      <x:c r="EH556" s="4"/>
      <x:c r="EI556" s="4"/>
      <x:c r="EJ556" s="4"/>
      <x:c r="EK556" s="4"/>
      <x:c r="EL556" s="4"/>
      <x:c r="EM556" s="4"/>
      <x:c r="EN556" s="4"/>
      <x:c r="EO556" s="4"/>
      <x:c r="EP556" s="4"/>
      <x:c r="EQ556" s="4"/>
      <x:c r="ER556" s="4"/>
      <x:c r="ES556" s="4"/>
      <x:c r="ET556" s="4"/>
      <x:c r="EU556" s="4"/>
      <x:c r="EV556" s="4"/>
      <x:c r="EW556" s="4"/>
      <x:c r="EX556" s="4"/>
      <x:c r="EY556" s="4"/>
      <x:c r="EZ556" s="4"/>
      <x:c r="FA556" s="4"/>
      <x:c r="FB556" s="4"/>
      <x:c r="FC556" s="4"/>
      <x:c r="FD556" s="4"/>
      <x:c r="FE556" s="4"/>
      <x:c r="FF556" s="4"/>
      <x:c r="FG556" s="4"/>
      <x:c r="FH556" s="4"/>
      <x:c r="FI556" s="4"/>
      <x:c r="FJ556" s="4"/>
      <x:c r="FK556" s="4"/>
      <x:c r="FL556" s="4"/>
      <x:c r="FM556" s="4"/>
      <x:c r="FN556" s="4"/>
      <x:c r="FO556" s="4"/>
      <x:c r="JA556" t="n">
        <x:f>IF(OR(IFERROR(INDIRECT("'WCM Calibration Final'!$A$556")&lt;&gt;"",FALSE),IFERROR(INDIRECT("'WCM Calibration Final'!$B$556")&lt;&gt;"",FALSE),IFERROR(INDIRECT("'WCM Calibration Final'!$C$556")&lt;&gt;"",FALSE)),556,0)</x:f>
        <x:v>0</x:v>
      </x:c>
      <x:c r="JB556" t="n">
        <x:f>'Calculations'!JB555+IF('Calculations'!JA556&gt;0,1,0)</x:f>
        <x:v>0</x:v>
      </x:c>
    </x:row>
    <x:row r="557">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4"/>
      <x:c r="DQ557" s="4"/>
      <x:c r="DR557" s="4"/>
      <x:c r="DS557" s="4"/>
      <x:c r="DT557" s="4"/>
      <x:c r="DU557" s="4"/>
      <x:c r="DV557" s="4"/>
      <x:c r="DW557" s="4"/>
      <x:c r="DX557" s="4"/>
      <x:c r="DY557" s="4"/>
      <x:c r="DZ557" s="4"/>
      <x:c r="EA557" s="4"/>
      <x:c r="EB557" s="4"/>
      <x:c r="EC557" s="4"/>
      <x:c r="ED557" s="4"/>
      <x:c r="EE557" s="4"/>
      <x:c r="EF557" s="4"/>
      <x:c r="EG557" s="4"/>
      <x:c r="EH557" s="4"/>
      <x:c r="EI557" s="4"/>
      <x:c r="EJ557" s="4"/>
      <x:c r="EK557" s="4"/>
      <x:c r="EL557" s="4"/>
      <x:c r="EM557" s="4"/>
      <x:c r="EN557" s="4"/>
      <x:c r="EO557" s="4"/>
      <x:c r="EP557" s="4"/>
      <x:c r="EQ557" s="4"/>
      <x:c r="ER557" s="4"/>
      <x:c r="ES557" s="4"/>
      <x:c r="ET557" s="4"/>
      <x:c r="EU557" s="4"/>
      <x:c r="EV557" s="4"/>
      <x:c r="EW557" s="4"/>
      <x:c r="EX557" s="4"/>
      <x:c r="EY557" s="4"/>
      <x:c r="EZ557" s="4"/>
      <x:c r="FA557" s="4"/>
      <x:c r="FB557" s="4"/>
      <x:c r="FC557" s="4"/>
      <x:c r="FD557" s="4"/>
      <x:c r="FE557" s="4"/>
      <x:c r="FF557" s="4"/>
      <x:c r="FG557" s="4"/>
      <x:c r="FH557" s="4"/>
      <x:c r="FI557" s="4"/>
      <x:c r="FJ557" s="4"/>
      <x:c r="FK557" s="4"/>
      <x:c r="FL557" s="4"/>
      <x:c r="FM557" s="4"/>
      <x:c r="FN557" s="4"/>
      <x:c r="FO557" s="4"/>
      <x:c r="JA557" t="n">
        <x:f>IF(OR(IFERROR(INDIRECT("'WCM Calibration Final'!$A$557")&lt;&gt;"",FALSE),IFERROR(INDIRECT("'WCM Calibration Final'!$B$557")&lt;&gt;"",FALSE),IFERROR(INDIRECT("'WCM Calibration Final'!$C$557")&lt;&gt;"",FALSE)),557,0)</x:f>
        <x:v>0</x:v>
      </x:c>
      <x:c r="JB557" t="n">
        <x:f>'Calculations'!JB556+IF('Calculations'!JA557&gt;0,1,0)</x:f>
        <x:v>0</x:v>
      </x:c>
    </x:row>
    <x:row r="558">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4"/>
      <x:c r="DQ558" s="4"/>
      <x:c r="DR558" s="4"/>
      <x:c r="DS558" s="4"/>
      <x:c r="DT558" s="4"/>
      <x:c r="DU558" s="4"/>
      <x:c r="DV558" s="4"/>
      <x:c r="DW558" s="4"/>
      <x:c r="DX558" s="4"/>
      <x:c r="DY558" s="4"/>
      <x:c r="DZ558" s="4"/>
      <x:c r="EA558" s="4"/>
      <x:c r="EB558" s="4"/>
      <x:c r="EC558" s="4"/>
      <x:c r="ED558" s="4"/>
      <x:c r="EE558" s="4"/>
      <x:c r="EF558" s="4"/>
      <x:c r="EG558" s="4"/>
      <x:c r="EH558" s="4"/>
      <x:c r="EI558" s="4"/>
      <x:c r="EJ558" s="4"/>
      <x:c r="EK558" s="4"/>
      <x:c r="EL558" s="4"/>
      <x:c r="EM558" s="4"/>
      <x:c r="EN558" s="4"/>
      <x:c r="EO558" s="4"/>
      <x:c r="EP558" s="4"/>
      <x:c r="EQ558" s="4"/>
      <x:c r="ER558" s="4"/>
      <x:c r="ES558" s="4"/>
      <x:c r="ET558" s="4"/>
      <x:c r="EU558" s="4"/>
      <x:c r="EV558" s="4"/>
      <x:c r="EW558" s="4"/>
      <x:c r="EX558" s="4"/>
      <x:c r="EY558" s="4"/>
      <x:c r="EZ558" s="4"/>
      <x:c r="FA558" s="4"/>
      <x:c r="FB558" s="4"/>
      <x:c r="FC558" s="4"/>
      <x:c r="FD558" s="4"/>
      <x:c r="FE558" s="4"/>
      <x:c r="FF558" s="4"/>
      <x:c r="FG558" s="4"/>
      <x:c r="FH558" s="4"/>
      <x:c r="FI558" s="4"/>
      <x:c r="FJ558" s="4"/>
      <x:c r="FK558" s="4"/>
      <x:c r="FL558" s="4"/>
      <x:c r="FM558" s="4"/>
      <x:c r="FN558" s="4"/>
      <x:c r="FO558" s="4"/>
      <x:c r="JA558" t="n">
        <x:f>IF(OR(IFERROR(INDIRECT("'WCM Calibration Final'!$A$558")&lt;&gt;"",FALSE),IFERROR(INDIRECT("'WCM Calibration Final'!$B$558")&lt;&gt;"",FALSE),IFERROR(INDIRECT("'WCM Calibration Final'!$C$558")&lt;&gt;"",FALSE)),558,0)</x:f>
        <x:v>0</x:v>
      </x:c>
      <x:c r="JB558" t="n">
        <x:f>'Calculations'!JB557+IF('Calculations'!JA558&gt;0,1,0)</x:f>
        <x:v>0</x:v>
      </x:c>
    </x:row>
    <x:row r="559">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4"/>
      <x:c r="DQ559" s="4"/>
      <x:c r="DR559" s="4"/>
      <x:c r="DS559" s="4"/>
      <x:c r="DT559" s="4"/>
      <x:c r="DU559" s="4"/>
      <x:c r="DV559" s="4"/>
      <x:c r="DW559" s="4"/>
      <x:c r="DX559" s="4"/>
      <x:c r="DY559" s="4"/>
      <x:c r="DZ559" s="4"/>
      <x:c r="EA559" s="4"/>
      <x:c r="EB559" s="4"/>
      <x:c r="EC559" s="4"/>
      <x:c r="ED559" s="4"/>
      <x:c r="EE559" s="4"/>
      <x:c r="EF559" s="4"/>
      <x:c r="EG559" s="4"/>
      <x:c r="EH559" s="4"/>
      <x:c r="EI559" s="4"/>
      <x:c r="EJ559" s="4"/>
      <x:c r="EK559" s="4"/>
      <x:c r="EL559" s="4"/>
      <x:c r="EM559" s="4"/>
      <x:c r="EN559" s="4"/>
      <x:c r="EO559" s="4"/>
      <x:c r="EP559" s="4"/>
      <x:c r="EQ559" s="4"/>
      <x:c r="ER559" s="4"/>
      <x:c r="ES559" s="4"/>
      <x:c r="ET559" s="4"/>
      <x:c r="EU559" s="4"/>
      <x:c r="EV559" s="4"/>
      <x:c r="EW559" s="4"/>
      <x:c r="EX559" s="4"/>
      <x:c r="EY559" s="4"/>
      <x:c r="EZ559" s="4"/>
      <x:c r="FA559" s="4"/>
      <x:c r="FB559" s="4"/>
      <x:c r="FC559" s="4"/>
      <x:c r="FD559" s="4"/>
      <x:c r="FE559" s="4"/>
      <x:c r="FF559" s="4"/>
      <x:c r="FG559" s="4"/>
      <x:c r="FH559" s="4"/>
      <x:c r="FI559" s="4"/>
      <x:c r="FJ559" s="4"/>
      <x:c r="FK559" s="4"/>
      <x:c r="FL559" s="4"/>
      <x:c r="FM559" s="4"/>
      <x:c r="FN559" s="4"/>
      <x:c r="FO559" s="4"/>
      <x:c r="JA559" t="n">
        <x:f>IF(OR(IFERROR(INDIRECT("'WCM Calibration Final'!$A$559")&lt;&gt;"",FALSE),IFERROR(INDIRECT("'WCM Calibration Final'!$B$559")&lt;&gt;"",FALSE),IFERROR(INDIRECT("'WCM Calibration Final'!$C$559")&lt;&gt;"",FALSE)),559,0)</x:f>
        <x:v>0</x:v>
      </x:c>
      <x:c r="JB559" t="n">
        <x:f>'Calculations'!JB558+IF('Calculations'!JA559&gt;0,1,0)</x:f>
        <x:v>0</x:v>
      </x:c>
    </x:row>
    <x:row r="560">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4"/>
      <x:c r="DQ560" s="4"/>
      <x:c r="DR560" s="4"/>
      <x:c r="DS560" s="4"/>
      <x:c r="DT560" s="4"/>
      <x:c r="DU560" s="4"/>
      <x:c r="DV560" s="4"/>
      <x:c r="DW560" s="4"/>
      <x:c r="DX560" s="4"/>
      <x:c r="DY560" s="4"/>
      <x:c r="DZ560" s="4"/>
      <x:c r="EA560" s="4"/>
      <x:c r="EB560" s="4"/>
      <x:c r="EC560" s="4"/>
      <x:c r="ED560" s="4"/>
      <x:c r="EE560" s="4"/>
      <x:c r="EF560" s="4"/>
      <x:c r="EG560" s="4"/>
      <x:c r="EH560" s="4"/>
      <x:c r="EI560" s="4"/>
      <x:c r="EJ560" s="4"/>
      <x:c r="EK560" s="4"/>
      <x:c r="EL560" s="4"/>
      <x:c r="EM560" s="4"/>
      <x:c r="EN560" s="4"/>
      <x:c r="EO560" s="4"/>
      <x:c r="EP560" s="4"/>
      <x:c r="EQ560" s="4"/>
      <x:c r="ER560" s="4"/>
      <x:c r="ES560" s="4"/>
      <x:c r="ET560" s="4"/>
      <x:c r="EU560" s="4"/>
      <x:c r="EV560" s="4"/>
      <x:c r="EW560" s="4"/>
      <x:c r="EX560" s="4"/>
      <x:c r="EY560" s="4"/>
      <x:c r="EZ560" s="4"/>
      <x:c r="FA560" s="4"/>
      <x:c r="FB560" s="4"/>
      <x:c r="FC560" s="4"/>
      <x:c r="FD560" s="4"/>
      <x:c r="FE560" s="4"/>
      <x:c r="FF560" s="4"/>
      <x:c r="FG560" s="4"/>
      <x:c r="FH560" s="4"/>
      <x:c r="FI560" s="4"/>
      <x:c r="FJ560" s="4"/>
      <x:c r="FK560" s="4"/>
      <x:c r="FL560" s="4"/>
      <x:c r="FM560" s="4"/>
      <x:c r="FN560" s="4"/>
      <x:c r="FO560" s="4"/>
      <x:c r="JA560" t="n">
        <x:f>IF(OR(IFERROR(INDIRECT("'WCM Calibration Final'!$A$560")&lt;&gt;"",FALSE),IFERROR(INDIRECT("'WCM Calibration Final'!$B$560")&lt;&gt;"",FALSE),IFERROR(INDIRECT("'WCM Calibration Final'!$C$560")&lt;&gt;"",FALSE)),560,0)</x:f>
        <x:v>0</x:v>
      </x:c>
      <x:c r="JB560" t="n">
        <x:f>'Calculations'!JB559+IF('Calculations'!JA560&gt;0,1,0)</x:f>
        <x:v>0</x:v>
      </x:c>
    </x:row>
    <x:row r="561">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4"/>
      <x:c r="DQ561" s="4"/>
      <x:c r="DR561" s="4"/>
      <x:c r="DS561" s="4"/>
      <x:c r="DT561" s="4"/>
      <x:c r="DU561" s="4"/>
      <x:c r="DV561" s="4"/>
      <x:c r="DW561" s="4"/>
      <x:c r="DX561" s="4"/>
      <x:c r="DY561" s="4"/>
      <x:c r="DZ561" s="4"/>
      <x:c r="EA561" s="4"/>
      <x:c r="EB561" s="4"/>
      <x:c r="EC561" s="4"/>
      <x:c r="ED561" s="4"/>
      <x:c r="EE561" s="4"/>
      <x:c r="EF561" s="4"/>
      <x:c r="EG561" s="4"/>
      <x:c r="EH561" s="4"/>
      <x:c r="EI561" s="4"/>
      <x:c r="EJ561" s="4"/>
      <x:c r="EK561" s="4"/>
      <x:c r="EL561" s="4"/>
      <x:c r="EM561" s="4"/>
      <x:c r="EN561" s="4"/>
      <x:c r="EO561" s="4"/>
      <x:c r="EP561" s="4"/>
      <x:c r="EQ561" s="4"/>
      <x:c r="ER561" s="4"/>
      <x:c r="ES561" s="4"/>
      <x:c r="ET561" s="4"/>
      <x:c r="EU561" s="4"/>
      <x:c r="EV561" s="4"/>
      <x:c r="EW561" s="4"/>
      <x:c r="EX561" s="4"/>
      <x:c r="EY561" s="4"/>
      <x:c r="EZ561" s="4"/>
      <x:c r="FA561" s="4"/>
      <x:c r="FB561" s="4"/>
      <x:c r="FC561" s="4"/>
      <x:c r="FD561" s="4"/>
      <x:c r="FE561" s="4"/>
      <x:c r="FF561" s="4"/>
      <x:c r="FG561" s="4"/>
      <x:c r="FH561" s="4"/>
      <x:c r="FI561" s="4"/>
      <x:c r="FJ561" s="4"/>
      <x:c r="FK561" s="4"/>
      <x:c r="FL561" s="4"/>
      <x:c r="FM561" s="4"/>
      <x:c r="FN561" s="4"/>
      <x:c r="FO561" s="4"/>
      <x:c r="JA561" t="n">
        <x:f>IF(OR(IFERROR(INDIRECT("'WCM Calibration Final'!$A$561")&lt;&gt;"",FALSE),IFERROR(INDIRECT("'WCM Calibration Final'!$B$561")&lt;&gt;"",FALSE),IFERROR(INDIRECT("'WCM Calibration Final'!$C$561")&lt;&gt;"",FALSE)),561,0)</x:f>
        <x:v>0</x:v>
      </x:c>
      <x:c r="JB561" t="n">
        <x:f>'Calculations'!JB560+IF('Calculations'!JA561&gt;0,1,0)</x:f>
        <x:v>0</x:v>
      </x:c>
    </x:row>
    <x:row r="562">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4"/>
      <x:c r="DQ562" s="4"/>
      <x:c r="DR562" s="4"/>
      <x:c r="DS562" s="4"/>
      <x:c r="DT562" s="4"/>
      <x:c r="DU562" s="4"/>
      <x:c r="DV562" s="4"/>
      <x:c r="DW562" s="4"/>
      <x:c r="DX562" s="4"/>
      <x:c r="DY562" s="4"/>
      <x:c r="DZ562" s="4"/>
      <x:c r="EA562" s="4"/>
      <x:c r="EB562" s="4"/>
      <x:c r="EC562" s="4"/>
      <x:c r="ED562" s="4"/>
      <x:c r="EE562" s="4"/>
      <x:c r="EF562" s="4"/>
      <x:c r="EG562" s="4"/>
      <x:c r="EH562" s="4"/>
      <x:c r="EI562" s="4"/>
      <x:c r="EJ562" s="4"/>
      <x:c r="EK562" s="4"/>
      <x:c r="EL562" s="4"/>
      <x:c r="EM562" s="4"/>
      <x:c r="EN562" s="4"/>
      <x:c r="EO562" s="4"/>
      <x:c r="EP562" s="4"/>
      <x:c r="EQ562" s="4"/>
      <x:c r="ER562" s="4"/>
      <x:c r="ES562" s="4"/>
      <x:c r="ET562" s="4"/>
      <x:c r="EU562" s="4"/>
      <x:c r="EV562" s="4"/>
      <x:c r="EW562" s="4"/>
      <x:c r="EX562" s="4"/>
      <x:c r="EY562" s="4"/>
      <x:c r="EZ562" s="4"/>
      <x:c r="FA562" s="4"/>
      <x:c r="FB562" s="4"/>
      <x:c r="FC562" s="4"/>
      <x:c r="FD562" s="4"/>
      <x:c r="FE562" s="4"/>
      <x:c r="FF562" s="4"/>
      <x:c r="FG562" s="4"/>
      <x:c r="FH562" s="4"/>
      <x:c r="FI562" s="4"/>
      <x:c r="FJ562" s="4"/>
      <x:c r="FK562" s="4"/>
      <x:c r="FL562" s="4"/>
      <x:c r="FM562" s="4"/>
      <x:c r="FN562" s="4"/>
      <x:c r="FO562" s="4"/>
      <x:c r="JA562" t="n">
        <x:f>IF(OR(IFERROR(INDIRECT("'WCM Calibration Final'!$A$562")&lt;&gt;"",FALSE),IFERROR(INDIRECT("'WCM Calibration Final'!$B$562")&lt;&gt;"",FALSE),IFERROR(INDIRECT("'WCM Calibration Final'!$C$562")&lt;&gt;"",FALSE)),562,0)</x:f>
        <x:v>0</x:v>
      </x:c>
      <x:c r="JB562" t="n">
        <x:f>'Calculations'!JB561+IF('Calculations'!JA562&gt;0,1,0)</x:f>
        <x:v>0</x:v>
      </x:c>
    </x:row>
    <x:row r="563">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4"/>
      <x:c r="DQ563" s="4"/>
      <x:c r="DR563" s="4"/>
      <x:c r="DS563" s="4"/>
      <x:c r="DT563" s="4"/>
      <x:c r="DU563" s="4"/>
      <x:c r="DV563" s="4"/>
      <x:c r="DW563" s="4"/>
      <x:c r="DX563" s="4"/>
      <x:c r="DY563" s="4"/>
      <x:c r="DZ563" s="4"/>
      <x:c r="EA563" s="4"/>
      <x:c r="EB563" s="4"/>
      <x:c r="EC563" s="4"/>
      <x:c r="ED563" s="4"/>
      <x:c r="EE563" s="4"/>
      <x:c r="EF563" s="4"/>
      <x:c r="EG563" s="4"/>
      <x:c r="EH563" s="4"/>
      <x:c r="EI563" s="4"/>
      <x:c r="EJ563" s="4"/>
      <x:c r="EK563" s="4"/>
      <x:c r="EL563" s="4"/>
      <x:c r="EM563" s="4"/>
      <x:c r="EN563" s="4"/>
      <x:c r="EO563" s="4"/>
      <x:c r="EP563" s="4"/>
      <x:c r="EQ563" s="4"/>
      <x:c r="ER563" s="4"/>
      <x:c r="ES563" s="4"/>
      <x:c r="ET563" s="4"/>
      <x:c r="EU563" s="4"/>
      <x:c r="EV563" s="4"/>
      <x:c r="EW563" s="4"/>
      <x:c r="EX563" s="4"/>
      <x:c r="EY563" s="4"/>
      <x:c r="EZ563" s="4"/>
      <x:c r="FA563" s="4"/>
      <x:c r="FB563" s="4"/>
      <x:c r="FC563" s="4"/>
      <x:c r="FD563" s="4"/>
      <x:c r="FE563" s="4"/>
      <x:c r="FF563" s="4"/>
      <x:c r="FG563" s="4"/>
      <x:c r="FH563" s="4"/>
      <x:c r="FI563" s="4"/>
      <x:c r="FJ563" s="4"/>
      <x:c r="FK563" s="4"/>
      <x:c r="FL563" s="4"/>
      <x:c r="FM563" s="4"/>
      <x:c r="FN563" s="4"/>
      <x:c r="FO563" s="4"/>
      <x:c r="JA563" t="n">
        <x:f>IF(OR(IFERROR(INDIRECT("'WCM Calibration Final'!$A$563")&lt;&gt;"",FALSE),IFERROR(INDIRECT("'WCM Calibration Final'!$B$563")&lt;&gt;"",FALSE),IFERROR(INDIRECT("'WCM Calibration Final'!$C$563")&lt;&gt;"",FALSE)),563,0)</x:f>
        <x:v>0</x:v>
      </x:c>
      <x:c r="JB563" t="n">
        <x:f>'Calculations'!JB562+IF('Calculations'!JA563&gt;0,1,0)</x:f>
        <x:v>0</x:v>
      </x:c>
    </x:row>
    <x:row r="564">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4"/>
      <x:c r="DQ564" s="4"/>
      <x:c r="DR564" s="4"/>
      <x:c r="DS564" s="4"/>
      <x:c r="DT564" s="4"/>
      <x:c r="DU564" s="4"/>
      <x:c r="DV564" s="4"/>
      <x:c r="DW564" s="4"/>
      <x:c r="DX564" s="4"/>
      <x:c r="DY564" s="4"/>
      <x:c r="DZ564" s="4"/>
      <x:c r="EA564" s="4"/>
      <x:c r="EB564" s="4"/>
      <x:c r="EC564" s="4"/>
      <x:c r="ED564" s="4"/>
      <x:c r="EE564" s="4"/>
      <x:c r="EF564" s="4"/>
      <x:c r="EG564" s="4"/>
      <x:c r="EH564" s="4"/>
      <x:c r="EI564" s="4"/>
      <x:c r="EJ564" s="4"/>
      <x:c r="EK564" s="4"/>
      <x:c r="EL564" s="4"/>
      <x:c r="EM564" s="4"/>
      <x:c r="EN564" s="4"/>
      <x:c r="EO564" s="4"/>
      <x:c r="EP564" s="4"/>
      <x:c r="EQ564" s="4"/>
      <x:c r="ER564" s="4"/>
      <x:c r="ES564" s="4"/>
      <x:c r="ET564" s="4"/>
      <x:c r="EU564" s="4"/>
      <x:c r="EV564" s="4"/>
      <x:c r="EW564" s="4"/>
      <x:c r="EX564" s="4"/>
      <x:c r="EY564" s="4"/>
      <x:c r="EZ564" s="4"/>
      <x:c r="FA564" s="4"/>
      <x:c r="FB564" s="4"/>
      <x:c r="FC564" s="4"/>
      <x:c r="FD564" s="4"/>
      <x:c r="FE564" s="4"/>
      <x:c r="FF564" s="4"/>
      <x:c r="FG564" s="4"/>
      <x:c r="FH564" s="4"/>
      <x:c r="FI564" s="4"/>
      <x:c r="FJ564" s="4"/>
      <x:c r="FK564" s="4"/>
      <x:c r="FL564" s="4"/>
      <x:c r="FM564" s="4"/>
      <x:c r="FN564" s="4"/>
      <x:c r="FO564" s="4"/>
      <x:c r="JA564" t="n">
        <x:f>IF(OR(IFERROR(INDIRECT("'WCM Calibration Final'!$A$564")&lt;&gt;"",FALSE),IFERROR(INDIRECT("'WCM Calibration Final'!$B$564")&lt;&gt;"",FALSE),IFERROR(INDIRECT("'WCM Calibration Final'!$C$564")&lt;&gt;"",FALSE)),564,0)</x:f>
        <x:v>0</x:v>
      </x:c>
      <x:c r="JB564" t="n">
        <x:f>'Calculations'!JB563+IF('Calculations'!JA564&gt;0,1,0)</x:f>
        <x:v>0</x:v>
      </x:c>
    </x:row>
    <x:row r="565">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4"/>
      <x:c r="DQ565" s="4"/>
      <x:c r="DR565" s="4"/>
      <x:c r="DS565" s="4"/>
      <x:c r="DT565" s="4"/>
      <x:c r="DU565" s="4"/>
      <x:c r="DV565" s="4"/>
      <x:c r="DW565" s="4"/>
      <x:c r="DX565" s="4"/>
      <x:c r="DY565" s="4"/>
      <x:c r="DZ565" s="4"/>
      <x:c r="EA565" s="4"/>
      <x:c r="EB565" s="4"/>
      <x:c r="EC565" s="4"/>
      <x:c r="ED565" s="4"/>
      <x:c r="EE565" s="4"/>
      <x:c r="EF565" s="4"/>
      <x:c r="EG565" s="4"/>
      <x:c r="EH565" s="4"/>
      <x:c r="EI565" s="4"/>
      <x:c r="EJ565" s="4"/>
      <x:c r="EK565" s="4"/>
      <x:c r="EL565" s="4"/>
      <x:c r="EM565" s="4"/>
      <x:c r="EN565" s="4"/>
      <x:c r="EO565" s="4"/>
      <x:c r="EP565" s="4"/>
      <x:c r="EQ565" s="4"/>
      <x:c r="ER565" s="4"/>
      <x:c r="ES565" s="4"/>
      <x:c r="ET565" s="4"/>
      <x:c r="EU565" s="4"/>
      <x:c r="EV565" s="4"/>
      <x:c r="EW565" s="4"/>
      <x:c r="EX565" s="4"/>
      <x:c r="EY565" s="4"/>
      <x:c r="EZ565" s="4"/>
      <x:c r="FA565" s="4"/>
      <x:c r="FB565" s="4"/>
      <x:c r="FC565" s="4"/>
      <x:c r="FD565" s="4"/>
      <x:c r="FE565" s="4"/>
      <x:c r="FF565" s="4"/>
      <x:c r="FG565" s="4"/>
      <x:c r="FH565" s="4"/>
      <x:c r="FI565" s="4"/>
      <x:c r="FJ565" s="4"/>
      <x:c r="FK565" s="4"/>
      <x:c r="FL565" s="4"/>
      <x:c r="FM565" s="4"/>
      <x:c r="FN565" s="4"/>
      <x:c r="FO565" s="4"/>
      <x:c r="JA565" t="n">
        <x:f>IF(OR(IFERROR(INDIRECT("'WCM Calibration Final'!$A$565")&lt;&gt;"",FALSE),IFERROR(INDIRECT("'WCM Calibration Final'!$B$565")&lt;&gt;"",FALSE),IFERROR(INDIRECT("'WCM Calibration Final'!$C$565")&lt;&gt;"",FALSE)),565,0)</x:f>
        <x:v>0</x:v>
      </x:c>
      <x:c r="JB565" t="n">
        <x:f>'Calculations'!JB564+IF('Calculations'!JA565&gt;0,1,0)</x:f>
        <x:v>0</x:v>
      </x:c>
    </x:row>
    <x:row r="566">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4"/>
      <x:c r="DQ566" s="4"/>
      <x:c r="DR566" s="4"/>
      <x:c r="DS566" s="4"/>
      <x:c r="DT566" s="4"/>
      <x:c r="DU566" s="4"/>
      <x:c r="DV566" s="4"/>
      <x:c r="DW566" s="4"/>
      <x:c r="DX566" s="4"/>
      <x:c r="DY566" s="4"/>
      <x:c r="DZ566" s="4"/>
      <x:c r="EA566" s="4"/>
      <x:c r="EB566" s="4"/>
      <x:c r="EC566" s="4"/>
      <x:c r="ED566" s="4"/>
      <x:c r="EE566" s="4"/>
      <x:c r="EF566" s="4"/>
      <x:c r="EG566" s="4"/>
      <x:c r="EH566" s="4"/>
      <x:c r="EI566" s="4"/>
      <x:c r="EJ566" s="4"/>
      <x:c r="EK566" s="4"/>
      <x:c r="EL566" s="4"/>
      <x:c r="EM566" s="4"/>
      <x:c r="EN566" s="4"/>
      <x:c r="EO566" s="4"/>
      <x:c r="EP566" s="4"/>
      <x:c r="EQ566" s="4"/>
      <x:c r="ER566" s="4"/>
      <x:c r="ES566" s="4"/>
      <x:c r="ET566" s="4"/>
      <x:c r="EU566" s="4"/>
      <x:c r="EV566" s="4"/>
      <x:c r="EW566" s="4"/>
      <x:c r="EX566" s="4"/>
      <x:c r="EY566" s="4"/>
      <x:c r="EZ566" s="4"/>
      <x:c r="FA566" s="4"/>
      <x:c r="FB566" s="4"/>
      <x:c r="FC566" s="4"/>
      <x:c r="FD566" s="4"/>
      <x:c r="FE566" s="4"/>
      <x:c r="FF566" s="4"/>
      <x:c r="FG566" s="4"/>
      <x:c r="FH566" s="4"/>
      <x:c r="FI566" s="4"/>
      <x:c r="FJ566" s="4"/>
      <x:c r="FK566" s="4"/>
      <x:c r="FL566" s="4"/>
      <x:c r="FM566" s="4"/>
      <x:c r="FN566" s="4"/>
      <x:c r="FO566" s="4"/>
      <x:c r="JA566" t="n">
        <x:f>IF(OR(IFERROR(INDIRECT("'WCM Calibration Final'!$A$566")&lt;&gt;"",FALSE),IFERROR(INDIRECT("'WCM Calibration Final'!$B$566")&lt;&gt;"",FALSE),IFERROR(INDIRECT("'WCM Calibration Final'!$C$566")&lt;&gt;"",FALSE)),566,0)</x:f>
        <x:v>0</x:v>
      </x:c>
      <x:c r="JB566" t="n">
        <x:f>'Calculations'!JB565+IF('Calculations'!JA566&gt;0,1,0)</x:f>
        <x:v>0</x:v>
      </x:c>
    </x:row>
    <x:row r="567">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4"/>
      <x:c r="DQ567" s="4"/>
      <x:c r="DR567" s="4"/>
      <x:c r="DS567" s="4"/>
      <x:c r="DT567" s="4"/>
      <x:c r="DU567" s="4"/>
      <x:c r="DV567" s="4"/>
      <x:c r="DW567" s="4"/>
      <x:c r="DX567" s="4"/>
      <x:c r="DY567" s="4"/>
      <x:c r="DZ567" s="4"/>
      <x:c r="EA567" s="4"/>
      <x:c r="EB567" s="4"/>
      <x:c r="EC567" s="4"/>
      <x:c r="ED567" s="4"/>
      <x:c r="EE567" s="4"/>
      <x:c r="EF567" s="4"/>
      <x:c r="EG567" s="4"/>
      <x:c r="EH567" s="4"/>
      <x:c r="EI567" s="4"/>
      <x:c r="EJ567" s="4"/>
      <x:c r="EK567" s="4"/>
      <x:c r="EL567" s="4"/>
      <x:c r="EM567" s="4"/>
      <x:c r="EN567" s="4"/>
      <x:c r="EO567" s="4"/>
      <x:c r="EP567" s="4"/>
      <x:c r="EQ567" s="4"/>
      <x:c r="ER567" s="4"/>
      <x:c r="ES567" s="4"/>
      <x:c r="ET567" s="4"/>
      <x:c r="EU567" s="4"/>
      <x:c r="EV567" s="4"/>
      <x:c r="EW567" s="4"/>
      <x:c r="EX567" s="4"/>
      <x:c r="EY567" s="4"/>
      <x:c r="EZ567" s="4"/>
      <x:c r="FA567" s="4"/>
      <x:c r="FB567" s="4"/>
      <x:c r="FC567" s="4"/>
      <x:c r="FD567" s="4"/>
      <x:c r="FE567" s="4"/>
      <x:c r="FF567" s="4"/>
      <x:c r="FG567" s="4"/>
      <x:c r="FH567" s="4"/>
      <x:c r="FI567" s="4"/>
      <x:c r="FJ567" s="4"/>
      <x:c r="FK567" s="4"/>
      <x:c r="FL567" s="4"/>
      <x:c r="FM567" s="4"/>
      <x:c r="FN567" s="4"/>
      <x:c r="FO567" s="4"/>
      <x:c r="JA567" t="n">
        <x:f>IF(OR(IFERROR(INDIRECT("'WCM Calibration Final'!$A$567")&lt;&gt;"",FALSE),IFERROR(INDIRECT("'WCM Calibration Final'!$B$567")&lt;&gt;"",FALSE),IFERROR(INDIRECT("'WCM Calibration Final'!$C$567")&lt;&gt;"",FALSE)),567,0)</x:f>
        <x:v>0</x:v>
      </x:c>
      <x:c r="JB567" t="n">
        <x:f>'Calculations'!JB566+IF('Calculations'!JA567&gt;0,1,0)</x:f>
        <x:v>0</x:v>
      </x:c>
    </x:row>
    <x:row r="568">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4"/>
      <x:c r="DQ568" s="4"/>
      <x:c r="DR568" s="4"/>
      <x:c r="DS568" s="4"/>
      <x:c r="DT568" s="4"/>
      <x:c r="DU568" s="4"/>
      <x:c r="DV568" s="4"/>
      <x:c r="DW568" s="4"/>
      <x:c r="DX568" s="4"/>
      <x:c r="DY568" s="4"/>
      <x:c r="DZ568" s="4"/>
      <x:c r="EA568" s="4"/>
      <x:c r="EB568" s="4"/>
      <x:c r="EC568" s="4"/>
      <x:c r="ED568" s="4"/>
      <x:c r="EE568" s="4"/>
      <x:c r="EF568" s="4"/>
      <x:c r="EG568" s="4"/>
      <x:c r="EH568" s="4"/>
      <x:c r="EI568" s="4"/>
      <x:c r="EJ568" s="4"/>
      <x:c r="EK568" s="4"/>
      <x:c r="EL568" s="4"/>
      <x:c r="EM568" s="4"/>
      <x:c r="EN568" s="4"/>
      <x:c r="EO568" s="4"/>
      <x:c r="EP568" s="4"/>
      <x:c r="EQ568" s="4"/>
      <x:c r="ER568" s="4"/>
      <x:c r="ES568" s="4"/>
      <x:c r="ET568" s="4"/>
      <x:c r="EU568" s="4"/>
      <x:c r="EV568" s="4"/>
      <x:c r="EW568" s="4"/>
      <x:c r="EX568" s="4"/>
      <x:c r="EY568" s="4"/>
      <x:c r="EZ568" s="4"/>
      <x:c r="FA568" s="4"/>
      <x:c r="FB568" s="4"/>
      <x:c r="FC568" s="4"/>
      <x:c r="FD568" s="4"/>
      <x:c r="FE568" s="4"/>
      <x:c r="FF568" s="4"/>
      <x:c r="FG568" s="4"/>
      <x:c r="FH568" s="4"/>
      <x:c r="FI568" s="4"/>
      <x:c r="FJ568" s="4"/>
      <x:c r="FK568" s="4"/>
      <x:c r="FL568" s="4"/>
      <x:c r="FM568" s="4"/>
      <x:c r="FN568" s="4"/>
      <x:c r="FO568" s="4"/>
      <x:c r="JA568" t="n">
        <x:f>IF(OR(IFERROR(INDIRECT("'WCM Calibration Final'!$A$568")&lt;&gt;"",FALSE),IFERROR(INDIRECT("'WCM Calibration Final'!$B$568")&lt;&gt;"",FALSE),IFERROR(INDIRECT("'WCM Calibration Final'!$C$568")&lt;&gt;"",FALSE)),568,0)</x:f>
        <x:v>0</x:v>
      </x:c>
      <x:c r="JB568" t="n">
        <x:f>'Calculations'!JB567+IF('Calculations'!JA568&gt;0,1,0)</x:f>
        <x:v>0</x:v>
      </x:c>
    </x:row>
    <x:row r="569">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4"/>
      <x:c r="DQ569" s="4"/>
      <x:c r="DR569" s="4"/>
      <x:c r="DS569" s="4"/>
      <x:c r="DT569" s="4"/>
      <x:c r="DU569" s="4"/>
      <x:c r="DV569" s="4"/>
      <x:c r="DW569" s="4"/>
      <x:c r="DX569" s="4"/>
      <x:c r="DY569" s="4"/>
      <x:c r="DZ569" s="4"/>
      <x:c r="EA569" s="4"/>
      <x:c r="EB569" s="4"/>
      <x:c r="EC569" s="4"/>
      <x:c r="ED569" s="4"/>
      <x:c r="EE569" s="4"/>
      <x:c r="EF569" s="4"/>
      <x:c r="EG569" s="4"/>
      <x:c r="EH569" s="4"/>
      <x:c r="EI569" s="4"/>
      <x:c r="EJ569" s="4"/>
      <x:c r="EK569" s="4"/>
      <x:c r="EL569" s="4"/>
      <x:c r="EM569" s="4"/>
      <x:c r="EN569" s="4"/>
      <x:c r="EO569" s="4"/>
      <x:c r="EP569" s="4"/>
      <x:c r="EQ569" s="4"/>
      <x:c r="ER569" s="4"/>
      <x:c r="ES569" s="4"/>
      <x:c r="ET569" s="4"/>
      <x:c r="EU569" s="4"/>
      <x:c r="EV569" s="4"/>
      <x:c r="EW569" s="4"/>
      <x:c r="EX569" s="4"/>
      <x:c r="EY569" s="4"/>
      <x:c r="EZ569" s="4"/>
      <x:c r="FA569" s="4"/>
      <x:c r="FB569" s="4"/>
      <x:c r="FC569" s="4"/>
      <x:c r="FD569" s="4"/>
      <x:c r="FE569" s="4"/>
      <x:c r="FF569" s="4"/>
      <x:c r="FG569" s="4"/>
      <x:c r="FH569" s="4"/>
      <x:c r="FI569" s="4"/>
      <x:c r="FJ569" s="4"/>
      <x:c r="FK569" s="4"/>
      <x:c r="FL569" s="4"/>
      <x:c r="FM569" s="4"/>
      <x:c r="FN569" s="4"/>
      <x:c r="FO569" s="4"/>
      <x:c r="JA569" t="n">
        <x:f>IF(OR(IFERROR(INDIRECT("'WCM Calibration Final'!$A$569")&lt;&gt;"",FALSE),IFERROR(INDIRECT("'WCM Calibration Final'!$B$569")&lt;&gt;"",FALSE),IFERROR(INDIRECT("'WCM Calibration Final'!$C$569")&lt;&gt;"",FALSE)),569,0)</x:f>
        <x:v>0</x:v>
      </x:c>
      <x:c r="JB569" t="n">
        <x:f>'Calculations'!JB568+IF('Calculations'!JA569&gt;0,1,0)</x:f>
        <x:v>0</x:v>
      </x:c>
    </x:row>
    <x:row r="570">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4"/>
      <x:c r="DQ570" s="4"/>
      <x:c r="DR570" s="4"/>
      <x:c r="DS570" s="4"/>
      <x:c r="DT570" s="4"/>
      <x:c r="DU570" s="4"/>
      <x:c r="DV570" s="4"/>
      <x:c r="DW570" s="4"/>
      <x:c r="DX570" s="4"/>
      <x:c r="DY570" s="4"/>
      <x:c r="DZ570" s="4"/>
      <x:c r="EA570" s="4"/>
      <x:c r="EB570" s="4"/>
      <x:c r="EC570" s="4"/>
      <x:c r="ED570" s="4"/>
      <x:c r="EE570" s="4"/>
      <x:c r="EF570" s="4"/>
      <x:c r="EG570" s="4"/>
      <x:c r="EH570" s="4"/>
      <x:c r="EI570" s="4"/>
      <x:c r="EJ570" s="4"/>
      <x:c r="EK570" s="4"/>
      <x:c r="EL570" s="4"/>
      <x:c r="EM570" s="4"/>
      <x:c r="EN570" s="4"/>
      <x:c r="EO570" s="4"/>
      <x:c r="EP570" s="4"/>
      <x:c r="EQ570" s="4"/>
      <x:c r="ER570" s="4"/>
      <x:c r="ES570" s="4"/>
      <x:c r="ET570" s="4"/>
      <x:c r="EU570" s="4"/>
      <x:c r="EV570" s="4"/>
      <x:c r="EW570" s="4"/>
      <x:c r="EX570" s="4"/>
      <x:c r="EY570" s="4"/>
      <x:c r="EZ570" s="4"/>
      <x:c r="FA570" s="4"/>
      <x:c r="FB570" s="4"/>
      <x:c r="FC570" s="4"/>
      <x:c r="FD570" s="4"/>
      <x:c r="FE570" s="4"/>
      <x:c r="FF570" s="4"/>
      <x:c r="FG570" s="4"/>
      <x:c r="FH570" s="4"/>
      <x:c r="FI570" s="4"/>
      <x:c r="FJ570" s="4"/>
      <x:c r="FK570" s="4"/>
      <x:c r="FL570" s="4"/>
      <x:c r="FM570" s="4"/>
      <x:c r="FN570" s="4"/>
      <x:c r="FO570" s="4"/>
      <x:c r="JA570" t="n">
        <x:f>IF(OR(IFERROR(INDIRECT("'WCM Calibration Final'!$A$570")&lt;&gt;"",FALSE),IFERROR(INDIRECT("'WCM Calibration Final'!$B$570")&lt;&gt;"",FALSE),IFERROR(INDIRECT("'WCM Calibration Final'!$C$570")&lt;&gt;"",FALSE)),570,0)</x:f>
        <x:v>0</x:v>
      </x:c>
      <x:c r="JB570" t="n">
        <x:f>'Calculations'!JB569+IF('Calculations'!JA570&gt;0,1,0)</x:f>
        <x:v>0</x:v>
      </x:c>
    </x:row>
    <x:row r="571">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4"/>
      <x:c r="DQ571" s="4"/>
      <x:c r="DR571" s="4"/>
      <x:c r="DS571" s="4"/>
      <x:c r="DT571" s="4"/>
      <x:c r="DU571" s="4"/>
      <x:c r="DV571" s="4"/>
      <x:c r="DW571" s="4"/>
      <x:c r="DX571" s="4"/>
      <x:c r="DY571" s="4"/>
      <x:c r="DZ571" s="4"/>
      <x:c r="EA571" s="4"/>
      <x:c r="EB571" s="4"/>
      <x:c r="EC571" s="4"/>
      <x:c r="ED571" s="4"/>
      <x:c r="EE571" s="4"/>
      <x:c r="EF571" s="4"/>
      <x:c r="EG571" s="4"/>
      <x:c r="EH571" s="4"/>
      <x:c r="EI571" s="4"/>
      <x:c r="EJ571" s="4"/>
      <x:c r="EK571" s="4"/>
      <x:c r="EL571" s="4"/>
      <x:c r="EM571" s="4"/>
      <x:c r="EN571" s="4"/>
      <x:c r="EO571" s="4"/>
      <x:c r="EP571" s="4"/>
      <x:c r="EQ571" s="4"/>
      <x:c r="ER571" s="4"/>
      <x:c r="ES571" s="4"/>
      <x:c r="ET571" s="4"/>
      <x:c r="EU571" s="4"/>
      <x:c r="EV571" s="4"/>
      <x:c r="EW571" s="4"/>
      <x:c r="EX571" s="4"/>
      <x:c r="EY571" s="4"/>
      <x:c r="EZ571" s="4"/>
      <x:c r="FA571" s="4"/>
      <x:c r="FB571" s="4"/>
      <x:c r="FC571" s="4"/>
      <x:c r="FD571" s="4"/>
      <x:c r="FE571" s="4"/>
      <x:c r="FF571" s="4"/>
      <x:c r="FG571" s="4"/>
      <x:c r="FH571" s="4"/>
      <x:c r="FI571" s="4"/>
      <x:c r="FJ571" s="4"/>
      <x:c r="FK571" s="4"/>
      <x:c r="FL571" s="4"/>
      <x:c r="FM571" s="4"/>
      <x:c r="FN571" s="4"/>
      <x:c r="FO571" s="4"/>
      <x:c r="JA571" t="n">
        <x:f>IF(OR(IFERROR(INDIRECT("'WCM Calibration Final'!$A$571")&lt;&gt;"",FALSE),IFERROR(INDIRECT("'WCM Calibration Final'!$B$571")&lt;&gt;"",FALSE),IFERROR(INDIRECT("'WCM Calibration Final'!$C$571")&lt;&gt;"",FALSE)),571,0)</x:f>
        <x:v>0</x:v>
      </x:c>
      <x:c r="JB571" t="n">
        <x:f>'Calculations'!JB570+IF('Calculations'!JA571&gt;0,1,0)</x:f>
        <x:v>0</x:v>
      </x:c>
    </x:row>
    <x:row r="572">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4"/>
      <x:c r="DQ572" s="4"/>
      <x:c r="DR572" s="4"/>
      <x:c r="DS572" s="4"/>
      <x:c r="DT572" s="4"/>
      <x:c r="DU572" s="4"/>
      <x:c r="DV572" s="4"/>
      <x:c r="DW572" s="4"/>
      <x:c r="DX572" s="4"/>
      <x:c r="DY572" s="4"/>
      <x:c r="DZ572" s="4"/>
      <x:c r="EA572" s="4"/>
      <x:c r="EB572" s="4"/>
      <x:c r="EC572" s="4"/>
      <x:c r="ED572" s="4"/>
      <x:c r="EE572" s="4"/>
      <x:c r="EF572" s="4"/>
      <x:c r="EG572" s="4"/>
      <x:c r="EH572" s="4"/>
      <x:c r="EI572" s="4"/>
      <x:c r="EJ572" s="4"/>
      <x:c r="EK572" s="4"/>
      <x:c r="EL572" s="4"/>
      <x:c r="EM572" s="4"/>
      <x:c r="EN572" s="4"/>
      <x:c r="EO572" s="4"/>
      <x:c r="EP572" s="4"/>
      <x:c r="EQ572" s="4"/>
      <x:c r="ER572" s="4"/>
      <x:c r="ES572" s="4"/>
      <x:c r="ET572" s="4"/>
      <x:c r="EU572" s="4"/>
      <x:c r="EV572" s="4"/>
      <x:c r="EW572" s="4"/>
      <x:c r="EX572" s="4"/>
      <x:c r="EY572" s="4"/>
      <x:c r="EZ572" s="4"/>
      <x:c r="FA572" s="4"/>
      <x:c r="FB572" s="4"/>
      <x:c r="FC572" s="4"/>
      <x:c r="FD572" s="4"/>
      <x:c r="FE572" s="4"/>
      <x:c r="FF572" s="4"/>
      <x:c r="FG572" s="4"/>
      <x:c r="FH572" s="4"/>
      <x:c r="FI572" s="4"/>
      <x:c r="FJ572" s="4"/>
      <x:c r="FK572" s="4"/>
      <x:c r="FL572" s="4"/>
      <x:c r="FM572" s="4"/>
      <x:c r="FN572" s="4"/>
      <x:c r="FO572" s="4"/>
      <x:c r="JA572" t="n">
        <x:f>IF(OR(IFERROR(INDIRECT("'WCM Calibration Final'!$A$572")&lt;&gt;"",FALSE),IFERROR(INDIRECT("'WCM Calibration Final'!$B$572")&lt;&gt;"",FALSE),IFERROR(INDIRECT("'WCM Calibration Final'!$C$572")&lt;&gt;"",FALSE)),572,0)</x:f>
        <x:v>0</x:v>
      </x:c>
      <x:c r="JB572" t="n">
        <x:f>'Calculations'!JB571+IF('Calculations'!JA572&gt;0,1,0)</x:f>
        <x:v>0</x:v>
      </x:c>
    </x:row>
    <x:row r="573">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4"/>
      <x:c r="DQ573" s="4"/>
      <x:c r="DR573" s="4"/>
      <x:c r="DS573" s="4"/>
      <x:c r="DT573" s="4"/>
      <x:c r="DU573" s="4"/>
      <x:c r="DV573" s="4"/>
      <x:c r="DW573" s="4"/>
      <x:c r="DX573" s="4"/>
      <x:c r="DY573" s="4"/>
      <x:c r="DZ573" s="4"/>
      <x:c r="EA573" s="4"/>
      <x:c r="EB573" s="4"/>
      <x:c r="EC573" s="4"/>
      <x:c r="ED573" s="4"/>
      <x:c r="EE573" s="4"/>
      <x:c r="EF573" s="4"/>
      <x:c r="EG573" s="4"/>
      <x:c r="EH573" s="4"/>
      <x:c r="EI573" s="4"/>
      <x:c r="EJ573" s="4"/>
      <x:c r="EK573" s="4"/>
      <x:c r="EL573" s="4"/>
      <x:c r="EM573" s="4"/>
      <x:c r="EN573" s="4"/>
      <x:c r="EO573" s="4"/>
      <x:c r="EP573" s="4"/>
      <x:c r="EQ573" s="4"/>
      <x:c r="ER573" s="4"/>
      <x:c r="ES573" s="4"/>
      <x:c r="ET573" s="4"/>
      <x:c r="EU573" s="4"/>
      <x:c r="EV573" s="4"/>
      <x:c r="EW573" s="4"/>
      <x:c r="EX573" s="4"/>
      <x:c r="EY573" s="4"/>
      <x:c r="EZ573" s="4"/>
      <x:c r="FA573" s="4"/>
      <x:c r="FB573" s="4"/>
      <x:c r="FC573" s="4"/>
      <x:c r="FD573" s="4"/>
      <x:c r="FE573" s="4"/>
      <x:c r="FF573" s="4"/>
      <x:c r="FG573" s="4"/>
      <x:c r="FH573" s="4"/>
      <x:c r="FI573" s="4"/>
      <x:c r="FJ573" s="4"/>
      <x:c r="FK573" s="4"/>
      <x:c r="FL573" s="4"/>
      <x:c r="FM573" s="4"/>
      <x:c r="FN573" s="4"/>
      <x:c r="FO573" s="4"/>
      <x:c r="JA573" t="n">
        <x:f>IF(OR(IFERROR(INDIRECT("'WCM Calibration Final'!$A$573")&lt;&gt;"",FALSE),IFERROR(INDIRECT("'WCM Calibration Final'!$B$573")&lt;&gt;"",FALSE),IFERROR(INDIRECT("'WCM Calibration Final'!$C$573")&lt;&gt;"",FALSE)),573,0)</x:f>
        <x:v>0</x:v>
      </x:c>
      <x:c r="JB573" t="n">
        <x:f>'Calculations'!JB572+IF('Calculations'!JA573&gt;0,1,0)</x:f>
        <x:v>0</x:v>
      </x:c>
    </x:row>
    <x:row r="574">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4"/>
      <x:c r="DQ574" s="4"/>
      <x:c r="DR574" s="4"/>
      <x:c r="DS574" s="4"/>
      <x:c r="DT574" s="4"/>
      <x:c r="DU574" s="4"/>
      <x:c r="DV574" s="4"/>
      <x:c r="DW574" s="4"/>
      <x:c r="DX574" s="4"/>
      <x:c r="DY574" s="4"/>
      <x:c r="DZ574" s="4"/>
      <x:c r="EA574" s="4"/>
      <x:c r="EB574" s="4"/>
      <x:c r="EC574" s="4"/>
      <x:c r="ED574" s="4"/>
      <x:c r="EE574" s="4"/>
      <x:c r="EF574" s="4"/>
      <x:c r="EG574" s="4"/>
      <x:c r="EH574" s="4"/>
      <x:c r="EI574" s="4"/>
      <x:c r="EJ574" s="4"/>
      <x:c r="EK574" s="4"/>
      <x:c r="EL574" s="4"/>
      <x:c r="EM574" s="4"/>
      <x:c r="EN574" s="4"/>
      <x:c r="EO574" s="4"/>
      <x:c r="EP574" s="4"/>
      <x:c r="EQ574" s="4"/>
      <x:c r="ER574" s="4"/>
      <x:c r="ES574" s="4"/>
      <x:c r="ET574" s="4"/>
      <x:c r="EU574" s="4"/>
      <x:c r="EV574" s="4"/>
      <x:c r="EW574" s="4"/>
      <x:c r="EX574" s="4"/>
      <x:c r="EY574" s="4"/>
      <x:c r="EZ574" s="4"/>
      <x:c r="FA574" s="4"/>
      <x:c r="FB574" s="4"/>
      <x:c r="FC574" s="4"/>
      <x:c r="FD574" s="4"/>
      <x:c r="FE574" s="4"/>
      <x:c r="FF574" s="4"/>
      <x:c r="FG574" s="4"/>
      <x:c r="FH574" s="4"/>
      <x:c r="FI574" s="4"/>
      <x:c r="FJ574" s="4"/>
      <x:c r="FK574" s="4"/>
      <x:c r="FL574" s="4"/>
      <x:c r="FM574" s="4"/>
      <x:c r="FN574" s="4"/>
      <x:c r="FO574" s="4"/>
      <x:c r="JA574" t="n">
        <x:f>IF(OR(IFERROR(INDIRECT("'WCM Calibration Final'!$A$574")&lt;&gt;"",FALSE),IFERROR(INDIRECT("'WCM Calibration Final'!$B$574")&lt;&gt;"",FALSE),IFERROR(INDIRECT("'WCM Calibration Final'!$C$574")&lt;&gt;"",FALSE)),574,0)</x:f>
        <x:v>0</x:v>
      </x:c>
      <x:c r="JB574" t="n">
        <x:f>'Calculations'!JB573+IF('Calculations'!JA574&gt;0,1,0)</x:f>
        <x:v>0</x:v>
      </x:c>
    </x:row>
    <x:row r="575">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4"/>
      <x:c r="DQ575" s="4"/>
      <x:c r="DR575" s="4"/>
      <x:c r="DS575" s="4"/>
      <x:c r="DT575" s="4"/>
      <x:c r="DU575" s="4"/>
      <x:c r="DV575" s="4"/>
      <x:c r="DW575" s="4"/>
      <x:c r="DX575" s="4"/>
      <x:c r="DY575" s="4"/>
      <x:c r="DZ575" s="4"/>
      <x:c r="EA575" s="4"/>
      <x:c r="EB575" s="4"/>
      <x:c r="EC575" s="4"/>
      <x:c r="ED575" s="4"/>
      <x:c r="EE575" s="4"/>
      <x:c r="EF575" s="4"/>
      <x:c r="EG575" s="4"/>
      <x:c r="EH575" s="4"/>
      <x:c r="EI575" s="4"/>
      <x:c r="EJ575" s="4"/>
      <x:c r="EK575" s="4"/>
      <x:c r="EL575" s="4"/>
      <x:c r="EM575" s="4"/>
      <x:c r="EN575" s="4"/>
      <x:c r="EO575" s="4"/>
      <x:c r="EP575" s="4"/>
      <x:c r="EQ575" s="4"/>
      <x:c r="ER575" s="4"/>
      <x:c r="ES575" s="4"/>
      <x:c r="ET575" s="4"/>
      <x:c r="EU575" s="4"/>
      <x:c r="EV575" s="4"/>
      <x:c r="EW575" s="4"/>
      <x:c r="EX575" s="4"/>
      <x:c r="EY575" s="4"/>
      <x:c r="EZ575" s="4"/>
      <x:c r="FA575" s="4"/>
      <x:c r="FB575" s="4"/>
      <x:c r="FC575" s="4"/>
      <x:c r="FD575" s="4"/>
      <x:c r="FE575" s="4"/>
      <x:c r="FF575" s="4"/>
      <x:c r="FG575" s="4"/>
      <x:c r="FH575" s="4"/>
      <x:c r="FI575" s="4"/>
      <x:c r="FJ575" s="4"/>
      <x:c r="FK575" s="4"/>
      <x:c r="FL575" s="4"/>
      <x:c r="FM575" s="4"/>
      <x:c r="FN575" s="4"/>
      <x:c r="FO575" s="4"/>
      <x:c r="JA575" t="n">
        <x:f>IF(OR(IFERROR(INDIRECT("'WCM Calibration Final'!$A$575")&lt;&gt;"",FALSE),IFERROR(INDIRECT("'WCM Calibration Final'!$B$575")&lt;&gt;"",FALSE),IFERROR(INDIRECT("'WCM Calibration Final'!$C$575")&lt;&gt;"",FALSE)),575,0)</x:f>
        <x:v>0</x:v>
      </x:c>
      <x:c r="JB575" t="n">
        <x:f>'Calculations'!JB574+IF('Calculations'!JA575&gt;0,1,0)</x:f>
        <x:v>0</x:v>
      </x:c>
    </x:row>
    <x:row r="576">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4"/>
      <x:c r="DQ576" s="4"/>
      <x:c r="DR576" s="4"/>
      <x:c r="DS576" s="4"/>
      <x:c r="DT576" s="4"/>
      <x:c r="DU576" s="4"/>
      <x:c r="DV576" s="4"/>
      <x:c r="DW576" s="4"/>
      <x:c r="DX576" s="4"/>
      <x:c r="DY576" s="4"/>
      <x:c r="DZ576" s="4"/>
      <x:c r="EA576" s="4"/>
      <x:c r="EB576" s="4"/>
      <x:c r="EC576" s="4"/>
      <x:c r="ED576" s="4"/>
      <x:c r="EE576" s="4"/>
      <x:c r="EF576" s="4"/>
      <x:c r="EG576" s="4"/>
      <x:c r="EH576" s="4"/>
      <x:c r="EI576" s="4"/>
      <x:c r="EJ576" s="4"/>
      <x:c r="EK576" s="4"/>
      <x:c r="EL576" s="4"/>
      <x:c r="EM576" s="4"/>
      <x:c r="EN576" s="4"/>
      <x:c r="EO576" s="4"/>
      <x:c r="EP576" s="4"/>
      <x:c r="EQ576" s="4"/>
      <x:c r="ER576" s="4"/>
      <x:c r="ES576" s="4"/>
      <x:c r="ET576" s="4"/>
      <x:c r="EU576" s="4"/>
      <x:c r="EV576" s="4"/>
      <x:c r="EW576" s="4"/>
      <x:c r="EX576" s="4"/>
      <x:c r="EY576" s="4"/>
      <x:c r="EZ576" s="4"/>
      <x:c r="FA576" s="4"/>
      <x:c r="FB576" s="4"/>
      <x:c r="FC576" s="4"/>
      <x:c r="FD576" s="4"/>
      <x:c r="FE576" s="4"/>
      <x:c r="FF576" s="4"/>
      <x:c r="FG576" s="4"/>
      <x:c r="FH576" s="4"/>
      <x:c r="FI576" s="4"/>
      <x:c r="FJ576" s="4"/>
      <x:c r="FK576" s="4"/>
      <x:c r="FL576" s="4"/>
      <x:c r="FM576" s="4"/>
      <x:c r="FN576" s="4"/>
      <x:c r="FO576" s="4"/>
      <x:c r="JA576" t="n">
        <x:f>IF(OR(IFERROR(INDIRECT("'WCM Calibration Final'!$A$576")&lt;&gt;"",FALSE),IFERROR(INDIRECT("'WCM Calibration Final'!$B$576")&lt;&gt;"",FALSE),IFERROR(INDIRECT("'WCM Calibration Final'!$C$576")&lt;&gt;"",FALSE)),576,0)</x:f>
        <x:v>0</x:v>
      </x:c>
      <x:c r="JB576" t="n">
        <x:f>'Calculations'!JB575+IF('Calculations'!JA576&gt;0,1,0)</x:f>
        <x:v>0</x:v>
      </x:c>
    </x:row>
    <x:row r="577">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4"/>
      <x:c r="DQ577" s="4"/>
      <x:c r="DR577" s="4"/>
      <x:c r="DS577" s="4"/>
      <x:c r="DT577" s="4"/>
      <x:c r="DU577" s="4"/>
      <x:c r="DV577" s="4"/>
      <x:c r="DW577" s="4"/>
      <x:c r="DX577" s="4"/>
      <x:c r="DY577" s="4"/>
      <x:c r="DZ577" s="4"/>
      <x:c r="EA577" s="4"/>
      <x:c r="EB577" s="4"/>
      <x:c r="EC577" s="4"/>
      <x:c r="ED577" s="4"/>
      <x:c r="EE577" s="4"/>
      <x:c r="EF577" s="4"/>
      <x:c r="EG577" s="4"/>
      <x:c r="EH577" s="4"/>
      <x:c r="EI577" s="4"/>
      <x:c r="EJ577" s="4"/>
      <x:c r="EK577" s="4"/>
      <x:c r="EL577" s="4"/>
      <x:c r="EM577" s="4"/>
      <x:c r="EN577" s="4"/>
      <x:c r="EO577" s="4"/>
      <x:c r="EP577" s="4"/>
      <x:c r="EQ577" s="4"/>
      <x:c r="ER577" s="4"/>
      <x:c r="ES577" s="4"/>
      <x:c r="ET577" s="4"/>
      <x:c r="EU577" s="4"/>
      <x:c r="EV577" s="4"/>
      <x:c r="EW577" s="4"/>
      <x:c r="EX577" s="4"/>
      <x:c r="EY577" s="4"/>
      <x:c r="EZ577" s="4"/>
      <x:c r="FA577" s="4"/>
      <x:c r="FB577" s="4"/>
      <x:c r="FC577" s="4"/>
      <x:c r="FD577" s="4"/>
      <x:c r="FE577" s="4"/>
      <x:c r="FF577" s="4"/>
      <x:c r="FG577" s="4"/>
      <x:c r="FH577" s="4"/>
      <x:c r="FI577" s="4"/>
      <x:c r="FJ577" s="4"/>
      <x:c r="FK577" s="4"/>
      <x:c r="FL577" s="4"/>
      <x:c r="FM577" s="4"/>
      <x:c r="FN577" s="4"/>
      <x:c r="FO577" s="4"/>
      <x:c r="JA577" t="n">
        <x:f>IF(OR(IFERROR(INDIRECT("'WCM Calibration Final'!$A$577")&lt;&gt;"",FALSE),IFERROR(INDIRECT("'WCM Calibration Final'!$B$577")&lt;&gt;"",FALSE),IFERROR(INDIRECT("'WCM Calibration Final'!$C$577")&lt;&gt;"",FALSE)),577,0)</x:f>
        <x:v>0</x:v>
      </x:c>
      <x:c r="JB577" t="n">
        <x:f>'Calculations'!JB576+IF('Calculations'!JA577&gt;0,1,0)</x:f>
        <x:v>0</x:v>
      </x:c>
    </x:row>
    <x:row r="578">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4"/>
      <x:c r="DQ578" s="4"/>
      <x:c r="DR578" s="4"/>
      <x:c r="DS578" s="4"/>
      <x:c r="DT578" s="4"/>
      <x:c r="DU578" s="4"/>
      <x:c r="DV578" s="4"/>
      <x:c r="DW578" s="4"/>
      <x:c r="DX578" s="4"/>
      <x:c r="DY578" s="4"/>
      <x:c r="DZ578" s="4"/>
      <x:c r="EA578" s="4"/>
      <x:c r="EB578" s="4"/>
      <x:c r="EC578" s="4"/>
      <x:c r="ED578" s="4"/>
      <x:c r="EE578" s="4"/>
      <x:c r="EF578" s="4"/>
      <x:c r="EG578" s="4"/>
      <x:c r="EH578" s="4"/>
      <x:c r="EI578" s="4"/>
      <x:c r="EJ578" s="4"/>
      <x:c r="EK578" s="4"/>
      <x:c r="EL578" s="4"/>
      <x:c r="EM578" s="4"/>
      <x:c r="EN578" s="4"/>
      <x:c r="EO578" s="4"/>
      <x:c r="EP578" s="4"/>
      <x:c r="EQ578" s="4"/>
      <x:c r="ER578" s="4"/>
      <x:c r="ES578" s="4"/>
      <x:c r="ET578" s="4"/>
      <x:c r="EU578" s="4"/>
      <x:c r="EV578" s="4"/>
      <x:c r="EW578" s="4"/>
      <x:c r="EX578" s="4"/>
      <x:c r="EY578" s="4"/>
      <x:c r="EZ578" s="4"/>
      <x:c r="FA578" s="4"/>
      <x:c r="FB578" s="4"/>
      <x:c r="FC578" s="4"/>
      <x:c r="FD578" s="4"/>
      <x:c r="FE578" s="4"/>
      <x:c r="FF578" s="4"/>
      <x:c r="FG578" s="4"/>
      <x:c r="FH578" s="4"/>
      <x:c r="FI578" s="4"/>
      <x:c r="FJ578" s="4"/>
      <x:c r="FK578" s="4"/>
      <x:c r="FL578" s="4"/>
      <x:c r="FM578" s="4"/>
      <x:c r="FN578" s="4"/>
      <x:c r="FO578" s="4"/>
      <x:c r="JA578" t="n">
        <x:f>IF(OR(IFERROR(INDIRECT("'WCM Calibration Final'!$A$578")&lt;&gt;"",FALSE),IFERROR(INDIRECT("'WCM Calibration Final'!$B$578")&lt;&gt;"",FALSE),IFERROR(INDIRECT("'WCM Calibration Final'!$C$578")&lt;&gt;"",FALSE)),578,0)</x:f>
        <x:v>0</x:v>
      </x:c>
      <x:c r="JB578" t="n">
        <x:f>'Calculations'!JB577+IF('Calculations'!JA578&gt;0,1,0)</x:f>
        <x:v>0</x:v>
      </x:c>
    </x:row>
    <x:row r="579">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4"/>
      <x:c r="DQ579" s="4"/>
      <x:c r="DR579" s="4"/>
      <x:c r="DS579" s="4"/>
      <x:c r="DT579" s="4"/>
      <x:c r="DU579" s="4"/>
      <x:c r="DV579" s="4"/>
      <x:c r="DW579" s="4"/>
      <x:c r="DX579" s="4"/>
      <x:c r="DY579" s="4"/>
      <x:c r="DZ579" s="4"/>
      <x:c r="EA579" s="4"/>
      <x:c r="EB579" s="4"/>
      <x:c r="EC579" s="4"/>
      <x:c r="ED579" s="4"/>
      <x:c r="EE579" s="4"/>
      <x:c r="EF579" s="4"/>
      <x:c r="EG579" s="4"/>
      <x:c r="EH579" s="4"/>
      <x:c r="EI579" s="4"/>
      <x:c r="EJ579" s="4"/>
      <x:c r="EK579" s="4"/>
      <x:c r="EL579" s="4"/>
      <x:c r="EM579" s="4"/>
      <x:c r="EN579" s="4"/>
      <x:c r="EO579" s="4"/>
      <x:c r="EP579" s="4"/>
      <x:c r="EQ579" s="4"/>
      <x:c r="ER579" s="4"/>
      <x:c r="ES579" s="4"/>
      <x:c r="ET579" s="4"/>
      <x:c r="EU579" s="4"/>
      <x:c r="EV579" s="4"/>
      <x:c r="EW579" s="4"/>
      <x:c r="EX579" s="4"/>
      <x:c r="EY579" s="4"/>
      <x:c r="EZ579" s="4"/>
      <x:c r="FA579" s="4"/>
      <x:c r="FB579" s="4"/>
      <x:c r="FC579" s="4"/>
      <x:c r="FD579" s="4"/>
      <x:c r="FE579" s="4"/>
      <x:c r="FF579" s="4"/>
      <x:c r="FG579" s="4"/>
      <x:c r="FH579" s="4"/>
      <x:c r="FI579" s="4"/>
      <x:c r="FJ579" s="4"/>
      <x:c r="FK579" s="4"/>
      <x:c r="FL579" s="4"/>
      <x:c r="FM579" s="4"/>
      <x:c r="FN579" s="4"/>
      <x:c r="FO579" s="4"/>
      <x:c r="JA579" t="n">
        <x:f>IF(OR(IFERROR(INDIRECT("'WCM Calibration Final'!$A$579")&lt;&gt;"",FALSE),IFERROR(INDIRECT("'WCM Calibration Final'!$B$579")&lt;&gt;"",FALSE),IFERROR(INDIRECT("'WCM Calibration Final'!$C$579")&lt;&gt;"",FALSE)),579,0)</x:f>
        <x:v>0</x:v>
      </x:c>
      <x:c r="JB579" t="n">
        <x:f>'Calculations'!JB578+IF('Calculations'!JA579&gt;0,1,0)</x:f>
        <x:v>0</x:v>
      </x:c>
    </x:row>
    <x:row r="580">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4"/>
      <x:c r="DQ580" s="4"/>
      <x:c r="DR580" s="4"/>
      <x:c r="DS580" s="4"/>
      <x:c r="DT580" s="4"/>
      <x:c r="DU580" s="4"/>
      <x:c r="DV580" s="4"/>
      <x:c r="DW580" s="4"/>
      <x:c r="DX580" s="4"/>
      <x:c r="DY580" s="4"/>
      <x:c r="DZ580" s="4"/>
      <x:c r="EA580" s="4"/>
      <x:c r="EB580" s="4"/>
      <x:c r="EC580" s="4"/>
      <x:c r="ED580" s="4"/>
      <x:c r="EE580" s="4"/>
      <x:c r="EF580" s="4"/>
      <x:c r="EG580" s="4"/>
      <x:c r="EH580" s="4"/>
      <x:c r="EI580" s="4"/>
      <x:c r="EJ580" s="4"/>
      <x:c r="EK580" s="4"/>
      <x:c r="EL580" s="4"/>
      <x:c r="EM580" s="4"/>
      <x:c r="EN580" s="4"/>
      <x:c r="EO580" s="4"/>
      <x:c r="EP580" s="4"/>
      <x:c r="EQ580" s="4"/>
      <x:c r="ER580" s="4"/>
      <x:c r="ES580" s="4"/>
      <x:c r="ET580" s="4"/>
      <x:c r="EU580" s="4"/>
      <x:c r="EV580" s="4"/>
      <x:c r="EW580" s="4"/>
      <x:c r="EX580" s="4"/>
      <x:c r="EY580" s="4"/>
      <x:c r="EZ580" s="4"/>
      <x:c r="FA580" s="4"/>
      <x:c r="FB580" s="4"/>
      <x:c r="FC580" s="4"/>
      <x:c r="FD580" s="4"/>
      <x:c r="FE580" s="4"/>
      <x:c r="FF580" s="4"/>
      <x:c r="FG580" s="4"/>
      <x:c r="FH580" s="4"/>
      <x:c r="FI580" s="4"/>
      <x:c r="FJ580" s="4"/>
      <x:c r="FK580" s="4"/>
      <x:c r="FL580" s="4"/>
      <x:c r="FM580" s="4"/>
      <x:c r="FN580" s="4"/>
      <x:c r="FO580" s="4"/>
      <x:c r="JA580" t="n">
        <x:f>IF(OR(IFERROR(INDIRECT("'WCM Calibration Final'!$A$580")&lt;&gt;"",FALSE),IFERROR(INDIRECT("'WCM Calibration Final'!$B$580")&lt;&gt;"",FALSE),IFERROR(INDIRECT("'WCM Calibration Final'!$C$580")&lt;&gt;"",FALSE)),580,0)</x:f>
        <x:v>0</x:v>
      </x:c>
      <x:c r="JB580" t="n">
        <x:f>'Calculations'!JB579+IF('Calculations'!JA580&gt;0,1,0)</x:f>
        <x:v>0</x:v>
      </x:c>
    </x:row>
    <x:row r="581">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4"/>
      <x:c r="DQ581" s="4"/>
      <x:c r="DR581" s="4"/>
      <x:c r="DS581" s="4"/>
      <x:c r="DT581" s="4"/>
      <x:c r="DU581" s="4"/>
      <x:c r="DV581" s="4"/>
      <x:c r="DW581" s="4"/>
      <x:c r="DX581" s="4"/>
      <x:c r="DY581" s="4"/>
      <x:c r="DZ581" s="4"/>
      <x:c r="EA581" s="4"/>
      <x:c r="EB581" s="4"/>
      <x:c r="EC581" s="4"/>
      <x:c r="ED581" s="4"/>
      <x:c r="EE581" s="4"/>
      <x:c r="EF581" s="4"/>
      <x:c r="EG581" s="4"/>
      <x:c r="EH581" s="4"/>
      <x:c r="EI581" s="4"/>
      <x:c r="EJ581" s="4"/>
      <x:c r="EK581" s="4"/>
      <x:c r="EL581" s="4"/>
      <x:c r="EM581" s="4"/>
      <x:c r="EN581" s="4"/>
      <x:c r="EO581" s="4"/>
      <x:c r="EP581" s="4"/>
      <x:c r="EQ581" s="4"/>
      <x:c r="ER581" s="4"/>
      <x:c r="ES581" s="4"/>
      <x:c r="ET581" s="4"/>
      <x:c r="EU581" s="4"/>
      <x:c r="EV581" s="4"/>
      <x:c r="EW581" s="4"/>
      <x:c r="EX581" s="4"/>
      <x:c r="EY581" s="4"/>
      <x:c r="EZ581" s="4"/>
      <x:c r="FA581" s="4"/>
      <x:c r="FB581" s="4"/>
      <x:c r="FC581" s="4"/>
      <x:c r="FD581" s="4"/>
      <x:c r="FE581" s="4"/>
      <x:c r="FF581" s="4"/>
      <x:c r="FG581" s="4"/>
      <x:c r="FH581" s="4"/>
      <x:c r="FI581" s="4"/>
      <x:c r="FJ581" s="4"/>
      <x:c r="FK581" s="4"/>
      <x:c r="FL581" s="4"/>
      <x:c r="FM581" s="4"/>
      <x:c r="FN581" s="4"/>
      <x:c r="FO581" s="4"/>
      <x:c r="JA581" t="n">
        <x:f>IF(OR(IFERROR(INDIRECT("'WCM Calibration Final'!$A$581")&lt;&gt;"",FALSE),IFERROR(INDIRECT("'WCM Calibration Final'!$B$581")&lt;&gt;"",FALSE),IFERROR(INDIRECT("'WCM Calibration Final'!$C$581")&lt;&gt;"",FALSE)),581,0)</x:f>
        <x:v>0</x:v>
      </x:c>
      <x:c r="JB581" t="n">
        <x:f>'Calculations'!JB580+IF('Calculations'!JA581&gt;0,1,0)</x:f>
        <x:v>0</x:v>
      </x:c>
    </x:row>
    <x:row r="582">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4"/>
      <x:c r="DQ582" s="4"/>
      <x:c r="DR582" s="4"/>
      <x:c r="DS582" s="4"/>
      <x:c r="DT582" s="4"/>
      <x:c r="DU582" s="4"/>
      <x:c r="DV582" s="4"/>
      <x:c r="DW582" s="4"/>
      <x:c r="DX582" s="4"/>
      <x:c r="DY582" s="4"/>
      <x:c r="DZ582" s="4"/>
      <x:c r="EA582" s="4"/>
      <x:c r="EB582" s="4"/>
      <x:c r="EC582" s="4"/>
      <x:c r="ED582" s="4"/>
      <x:c r="EE582" s="4"/>
      <x:c r="EF582" s="4"/>
      <x:c r="EG582" s="4"/>
      <x:c r="EH582" s="4"/>
      <x:c r="EI582" s="4"/>
      <x:c r="EJ582" s="4"/>
      <x:c r="EK582" s="4"/>
      <x:c r="EL582" s="4"/>
      <x:c r="EM582" s="4"/>
      <x:c r="EN582" s="4"/>
      <x:c r="EO582" s="4"/>
      <x:c r="EP582" s="4"/>
      <x:c r="EQ582" s="4"/>
      <x:c r="ER582" s="4"/>
      <x:c r="ES582" s="4"/>
      <x:c r="ET582" s="4"/>
      <x:c r="EU582" s="4"/>
      <x:c r="EV582" s="4"/>
      <x:c r="EW582" s="4"/>
      <x:c r="EX582" s="4"/>
      <x:c r="EY582" s="4"/>
      <x:c r="EZ582" s="4"/>
      <x:c r="FA582" s="4"/>
      <x:c r="FB582" s="4"/>
      <x:c r="FC582" s="4"/>
      <x:c r="FD582" s="4"/>
      <x:c r="FE582" s="4"/>
      <x:c r="FF582" s="4"/>
      <x:c r="FG582" s="4"/>
      <x:c r="FH582" s="4"/>
      <x:c r="FI582" s="4"/>
      <x:c r="FJ582" s="4"/>
      <x:c r="FK582" s="4"/>
      <x:c r="FL582" s="4"/>
      <x:c r="FM582" s="4"/>
      <x:c r="FN582" s="4"/>
      <x:c r="FO582" s="4"/>
      <x:c r="JA582" t="n">
        <x:f>IF(OR(IFERROR(INDIRECT("'WCM Calibration Final'!$A$582")&lt;&gt;"",FALSE),IFERROR(INDIRECT("'WCM Calibration Final'!$B$582")&lt;&gt;"",FALSE),IFERROR(INDIRECT("'WCM Calibration Final'!$C$582")&lt;&gt;"",FALSE)),582,0)</x:f>
        <x:v>0</x:v>
      </x:c>
      <x:c r="JB582" t="n">
        <x:f>'Calculations'!JB581+IF('Calculations'!JA582&gt;0,1,0)</x:f>
        <x:v>0</x:v>
      </x:c>
    </x:row>
    <x:row r="583">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4"/>
      <x:c r="DQ583" s="4"/>
      <x:c r="DR583" s="4"/>
      <x:c r="DS583" s="4"/>
      <x:c r="DT583" s="4"/>
      <x:c r="DU583" s="4"/>
      <x:c r="DV583" s="4"/>
      <x:c r="DW583" s="4"/>
      <x:c r="DX583" s="4"/>
      <x:c r="DY583" s="4"/>
      <x:c r="DZ583" s="4"/>
      <x:c r="EA583" s="4"/>
      <x:c r="EB583" s="4"/>
      <x:c r="EC583" s="4"/>
      <x:c r="ED583" s="4"/>
      <x:c r="EE583" s="4"/>
      <x:c r="EF583" s="4"/>
      <x:c r="EG583" s="4"/>
      <x:c r="EH583" s="4"/>
      <x:c r="EI583" s="4"/>
      <x:c r="EJ583" s="4"/>
      <x:c r="EK583" s="4"/>
      <x:c r="EL583" s="4"/>
      <x:c r="EM583" s="4"/>
      <x:c r="EN583" s="4"/>
      <x:c r="EO583" s="4"/>
      <x:c r="EP583" s="4"/>
      <x:c r="EQ583" s="4"/>
      <x:c r="ER583" s="4"/>
      <x:c r="ES583" s="4"/>
      <x:c r="ET583" s="4"/>
      <x:c r="EU583" s="4"/>
      <x:c r="EV583" s="4"/>
      <x:c r="EW583" s="4"/>
      <x:c r="EX583" s="4"/>
      <x:c r="EY583" s="4"/>
      <x:c r="EZ583" s="4"/>
      <x:c r="FA583" s="4"/>
      <x:c r="FB583" s="4"/>
      <x:c r="FC583" s="4"/>
      <x:c r="FD583" s="4"/>
      <x:c r="FE583" s="4"/>
      <x:c r="FF583" s="4"/>
      <x:c r="FG583" s="4"/>
      <x:c r="FH583" s="4"/>
      <x:c r="FI583" s="4"/>
      <x:c r="FJ583" s="4"/>
      <x:c r="FK583" s="4"/>
      <x:c r="FL583" s="4"/>
      <x:c r="FM583" s="4"/>
      <x:c r="FN583" s="4"/>
      <x:c r="FO583" s="4"/>
      <x:c r="JA583" t="n">
        <x:f>IF(OR(IFERROR(INDIRECT("'WCM Calibration Final'!$A$583")&lt;&gt;"",FALSE),IFERROR(INDIRECT("'WCM Calibration Final'!$B$583")&lt;&gt;"",FALSE),IFERROR(INDIRECT("'WCM Calibration Final'!$C$583")&lt;&gt;"",FALSE)),583,0)</x:f>
        <x:v>0</x:v>
      </x:c>
      <x:c r="JB583" t="n">
        <x:f>'Calculations'!JB582+IF('Calculations'!JA583&gt;0,1,0)</x:f>
        <x:v>0</x:v>
      </x:c>
    </x:row>
    <x:row r="584">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4"/>
      <x:c r="DQ584" s="4"/>
      <x:c r="DR584" s="4"/>
      <x:c r="DS584" s="4"/>
      <x:c r="DT584" s="4"/>
      <x:c r="DU584" s="4"/>
      <x:c r="DV584" s="4"/>
      <x:c r="DW584" s="4"/>
      <x:c r="DX584" s="4"/>
      <x:c r="DY584" s="4"/>
      <x:c r="DZ584" s="4"/>
      <x:c r="EA584" s="4"/>
      <x:c r="EB584" s="4"/>
      <x:c r="EC584" s="4"/>
      <x:c r="ED584" s="4"/>
      <x:c r="EE584" s="4"/>
      <x:c r="EF584" s="4"/>
      <x:c r="EG584" s="4"/>
      <x:c r="EH584" s="4"/>
      <x:c r="EI584" s="4"/>
      <x:c r="EJ584" s="4"/>
      <x:c r="EK584" s="4"/>
      <x:c r="EL584" s="4"/>
      <x:c r="EM584" s="4"/>
      <x:c r="EN584" s="4"/>
      <x:c r="EO584" s="4"/>
      <x:c r="EP584" s="4"/>
      <x:c r="EQ584" s="4"/>
      <x:c r="ER584" s="4"/>
      <x:c r="ES584" s="4"/>
      <x:c r="ET584" s="4"/>
      <x:c r="EU584" s="4"/>
      <x:c r="EV584" s="4"/>
      <x:c r="EW584" s="4"/>
      <x:c r="EX584" s="4"/>
      <x:c r="EY584" s="4"/>
      <x:c r="EZ584" s="4"/>
      <x:c r="FA584" s="4"/>
      <x:c r="FB584" s="4"/>
      <x:c r="FC584" s="4"/>
      <x:c r="FD584" s="4"/>
      <x:c r="FE584" s="4"/>
      <x:c r="FF584" s="4"/>
      <x:c r="FG584" s="4"/>
      <x:c r="FH584" s="4"/>
      <x:c r="FI584" s="4"/>
      <x:c r="FJ584" s="4"/>
      <x:c r="FK584" s="4"/>
      <x:c r="FL584" s="4"/>
      <x:c r="FM584" s="4"/>
      <x:c r="FN584" s="4"/>
      <x:c r="FO584" s="4"/>
      <x:c r="JA584" t="n">
        <x:f>IF(OR(IFERROR(INDIRECT("'WCM Calibration Final'!$A$584")&lt;&gt;"",FALSE),IFERROR(INDIRECT("'WCM Calibration Final'!$B$584")&lt;&gt;"",FALSE),IFERROR(INDIRECT("'WCM Calibration Final'!$C$584")&lt;&gt;"",FALSE)),584,0)</x:f>
        <x:v>0</x:v>
      </x:c>
      <x:c r="JB584" t="n">
        <x:f>'Calculations'!JB583+IF('Calculations'!JA584&gt;0,1,0)</x:f>
        <x:v>0</x:v>
      </x:c>
    </x:row>
    <x:row r="585">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4"/>
      <x:c r="DQ585" s="4"/>
      <x:c r="DR585" s="4"/>
      <x:c r="DS585" s="4"/>
      <x:c r="DT585" s="4"/>
      <x:c r="DU585" s="4"/>
      <x:c r="DV585" s="4"/>
      <x:c r="DW585" s="4"/>
      <x:c r="DX585" s="4"/>
      <x:c r="DY585" s="4"/>
      <x:c r="DZ585" s="4"/>
      <x:c r="EA585" s="4"/>
      <x:c r="EB585" s="4"/>
      <x:c r="EC585" s="4"/>
      <x:c r="ED585" s="4"/>
      <x:c r="EE585" s="4"/>
      <x:c r="EF585" s="4"/>
      <x:c r="EG585" s="4"/>
      <x:c r="EH585" s="4"/>
      <x:c r="EI585" s="4"/>
      <x:c r="EJ585" s="4"/>
      <x:c r="EK585" s="4"/>
      <x:c r="EL585" s="4"/>
      <x:c r="EM585" s="4"/>
      <x:c r="EN585" s="4"/>
      <x:c r="EO585" s="4"/>
      <x:c r="EP585" s="4"/>
      <x:c r="EQ585" s="4"/>
      <x:c r="ER585" s="4"/>
      <x:c r="ES585" s="4"/>
      <x:c r="ET585" s="4"/>
      <x:c r="EU585" s="4"/>
      <x:c r="EV585" s="4"/>
      <x:c r="EW585" s="4"/>
      <x:c r="EX585" s="4"/>
      <x:c r="EY585" s="4"/>
      <x:c r="EZ585" s="4"/>
      <x:c r="FA585" s="4"/>
      <x:c r="FB585" s="4"/>
      <x:c r="FC585" s="4"/>
      <x:c r="FD585" s="4"/>
      <x:c r="FE585" s="4"/>
      <x:c r="FF585" s="4"/>
      <x:c r="FG585" s="4"/>
      <x:c r="FH585" s="4"/>
      <x:c r="FI585" s="4"/>
      <x:c r="FJ585" s="4"/>
      <x:c r="FK585" s="4"/>
      <x:c r="FL585" s="4"/>
      <x:c r="FM585" s="4"/>
      <x:c r="FN585" s="4"/>
      <x:c r="FO585" s="4"/>
      <x:c r="JA585" t="n">
        <x:f>IF(OR(IFERROR(INDIRECT("'WCM Calibration Final'!$A$585")&lt;&gt;"",FALSE),IFERROR(INDIRECT("'WCM Calibration Final'!$B$585")&lt;&gt;"",FALSE),IFERROR(INDIRECT("'WCM Calibration Final'!$C$585")&lt;&gt;"",FALSE)),585,0)</x:f>
        <x:v>0</x:v>
      </x:c>
      <x:c r="JB585" t="n">
        <x:f>'Calculations'!JB584+IF('Calculations'!JA585&gt;0,1,0)</x:f>
        <x:v>0</x:v>
      </x:c>
    </x:row>
    <x:row r="586">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4"/>
      <x:c r="DQ586" s="4"/>
      <x:c r="DR586" s="4"/>
      <x:c r="DS586" s="4"/>
      <x:c r="DT586" s="4"/>
      <x:c r="DU586" s="4"/>
      <x:c r="DV586" s="4"/>
      <x:c r="DW586" s="4"/>
      <x:c r="DX586" s="4"/>
      <x:c r="DY586" s="4"/>
      <x:c r="DZ586" s="4"/>
      <x:c r="EA586" s="4"/>
      <x:c r="EB586" s="4"/>
      <x:c r="EC586" s="4"/>
      <x:c r="ED586" s="4"/>
      <x:c r="EE586" s="4"/>
      <x:c r="EF586" s="4"/>
      <x:c r="EG586" s="4"/>
      <x:c r="EH586" s="4"/>
      <x:c r="EI586" s="4"/>
      <x:c r="EJ586" s="4"/>
      <x:c r="EK586" s="4"/>
      <x:c r="EL586" s="4"/>
      <x:c r="EM586" s="4"/>
      <x:c r="EN586" s="4"/>
      <x:c r="EO586" s="4"/>
      <x:c r="EP586" s="4"/>
      <x:c r="EQ586" s="4"/>
      <x:c r="ER586" s="4"/>
      <x:c r="ES586" s="4"/>
      <x:c r="ET586" s="4"/>
      <x:c r="EU586" s="4"/>
      <x:c r="EV586" s="4"/>
      <x:c r="EW586" s="4"/>
      <x:c r="EX586" s="4"/>
      <x:c r="EY586" s="4"/>
      <x:c r="EZ586" s="4"/>
      <x:c r="FA586" s="4"/>
      <x:c r="FB586" s="4"/>
      <x:c r="FC586" s="4"/>
      <x:c r="FD586" s="4"/>
      <x:c r="FE586" s="4"/>
      <x:c r="FF586" s="4"/>
      <x:c r="FG586" s="4"/>
      <x:c r="FH586" s="4"/>
      <x:c r="FI586" s="4"/>
      <x:c r="FJ586" s="4"/>
      <x:c r="FK586" s="4"/>
      <x:c r="FL586" s="4"/>
      <x:c r="FM586" s="4"/>
      <x:c r="FN586" s="4"/>
      <x:c r="FO586" s="4"/>
      <x:c r="JA586" t="n">
        <x:f>IF(OR(IFERROR(INDIRECT("'WCM Calibration Final'!$A$586")&lt;&gt;"",FALSE),IFERROR(INDIRECT("'WCM Calibration Final'!$B$586")&lt;&gt;"",FALSE),IFERROR(INDIRECT("'WCM Calibration Final'!$C$586")&lt;&gt;"",FALSE)),586,0)</x:f>
        <x:v>0</x:v>
      </x:c>
      <x:c r="JB586" t="n">
        <x:f>'Calculations'!JB585+IF('Calculations'!JA586&gt;0,1,0)</x:f>
        <x:v>0</x:v>
      </x:c>
    </x:row>
    <x:row r="587">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4"/>
      <x:c r="DQ587" s="4"/>
      <x:c r="DR587" s="4"/>
      <x:c r="DS587" s="4"/>
      <x:c r="DT587" s="4"/>
      <x:c r="DU587" s="4"/>
      <x:c r="DV587" s="4"/>
      <x:c r="DW587" s="4"/>
      <x:c r="DX587" s="4"/>
      <x:c r="DY587" s="4"/>
      <x:c r="DZ587" s="4"/>
      <x:c r="EA587" s="4"/>
      <x:c r="EB587" s="4"/>
      <x:c r="EC587" s="4"/>
      <x:c r="ED587" s="4"/>
      <x:c r="EE587" s="4"/>
      <x:c r="EF587" s="4"/>
      <x:c r="EG587" s="4"/>
      <x:c r="EH587" s="4"/>
      <x:c r="EI587" s="4"/>
      <x:c r="EJ587" s="4"/>
      <x:c r="EK587" s="4"/>
      <x:c r="EL587" s="4"/>
      <x:c r="EM587" s="4"/>
      <x:c r="EN587" s="4"/>
      <x:c r="EO587" s="4"/>
      <x:c r="EP587" s="4"/>
      <x:c r="EQ587" s="4"/>
      <x:c r="ER587" s="4"/>
      <x:c r="ES587" s="4"/>
      <x:c r="ET587" s="4"/>
      <x:c r="EU587" s="4"/>
      <x:c r="EV587" s="4"/>
      <x:c r="EW587" s="4"/>
      <x:c r="EX587" s="4"/>
      <x:c r="EY587" s="4"/>
      <x:c r="EZ587" s="4"/>
      <x:c r="FA587" s="4"/>
      <x:c r="FB587" s="4"/>
      <x:c r="FC587" s="4"/>
      <x:c r="FD587" s="4"/>
      <x:c r="FE587" s="4"/>
      <x:c r="FF587" s="4"/>
      <x:c r="FG587" s="4"/>
      <x:c r="FH587" s="4"/>
      <x:c r="FI587" s="4"/>
      <x:c r="FJ587" s="4"/>
      <x:c r="FK587" s="4"/>
      <x:c r="FL587" s="4"/>
      <x:c r="FM587" s="4"/>
      <x:c r="FN587" s="4"/>
      <x:c r="FO587" s="4"/>
      <x:c r="JA587" t="n">
        <x:f>IF(OR(IFERROR(INDIRECT("'WCM Calibration Final'!$A$587")&lt;&gt;"",FALSE),IFERROR(INDIRECT("'WCM Calibration Final'!$B$587")&lt;&gt;"",FALSE),IFERROR(INDIRECT("'WCM Calibration Final'!$C$587")&lt;&gt;"",FALSE)),587,0)</x:f>
        <x:v>0</x:v>
      </x:c>
      <x:c r="JB587" t="n">
        <x:f>'Calculations'!JB586+IF('Calculations'!JA587&gt;0,1,0)</x:f>
        <x:v>0</x:v>
      </x:c>
    </x:row>
    <x:row r="588">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4"/>
      <x:c r="DQ588" s="4"/>
      <x:c r="DR588" s="4"/>
      <x:c r="DS588" s="4"/>
      <x:c r="DT588" s="4"/>
      <x:c r="DU588" s="4"/>
      <x:c r="DV588" s="4"/>
      <x:c r="DW588" s="4"/>
      <x:c r="DX588" s="4"/>
      <x:c r="DY588" s="4"/>
      <x:c r="DZ588" s="4"/>
      <x:c r="EA588" s="4"/>
      <x:c r="EB588" s="4"/>
      <x:c r="EC588" s="4"/>
      <x:c r="ED588" s="4"/>
      <x:c r="EE588" s="4"/>
      <x:c r="EF588" s="4"/>
      <x:c r="EG588" s="4"/>
      <x:c r="EH588" s="4"/>
      <x:c r="EI588" s="4"/>
      <x:c r="EJ588" s="4"/>
      <x:c r="EK588" s="4"/>
      <x:c r="EL588" s="4"/>
      <x:c r="EM588" s="4"/>
      <x:c r="EN588" s="4"/>
      <x:c r="EO588" s="4"/>
      <x:c r="EP588" s="4"/>
      <x:c r="EQ588" s="4"/>
      <x:c r="ER588" s="4"/>
      <x:c r="ES588" s="4"/>
      <x:c r="ET588" s="4"/>
      <x:c r="EU588" s="4"/>
      <x:c r="EV588" s="4"/>
      <x:c r="EW588" s="4"/>
      <x:c r="EX588" s="4"/>
      <x:c r="EY588" s="4"/>
      <x:c r="EZ588" s="4"/>
      <x:c r="FA588" s="4"/>
      <x:c r="FB588" s="4"/>
      <x:c r="FC588" s="4"/>
      <x:c r="FD588" s="4"/>
      <x:c r="FE588" s="4"/>
      <x:c r="FF588" s="4"/>
      <x:c r="FG588" s="4"/>
      <x:c r="FH588" s="4"/>
      <x:c r="FI588" s="4"/>
      <x:c r="FJ588" s="4"/>
      <x:c r="FK588" s="4"/>
      <x:c r="FL588" s="4"/>
      <x:c r="FM588" s="4"/>
      <x:c r="FN588" s="4"/>
      <x:c r="FO588" s="4"/>
      <x:c r="JA588" t="n">
        <x:f>IF(OR(IFERROR(INDIRECT("'WCM Calibration Final'!$A$588")&lt;&gt;"",FALSE),IFERROR(INDIRECT("'WCM Calibration Final'!$B$588")&lt;&gt;"",FALSE),IFERROR(INDIRECT("'WCM Calibration Final'!$C$588")&lt;&gt;"",FALSE)),588,0)</x:f>
        <x:v>0</x:v>
      </x:c>
      <x:c r="JB588" t="n">
        <x:f>'Calculations'!JB587+IF('Calculations'!JA588&gt;0,1,0)</x:f>
        <x:v>0</x:v>
      </x:c>
    </x:row>
    <x:row r="589">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4"/>
      <x:c r="DQ589" s="4"/>
      <x:c r="DR589" s="4"/>
      <x:c r="DS589" s="4"/>
      <x:c r="DT589" s="4"/>
      <x:c r="DU589" s="4"/>
      <x:c r="DV589" s="4"/>
      <x:c r="DW589" s="4"/>
      <x:c r="DX589" s="4"/>
      <x:c r="DY589" s="4"/>
      <x:c r="DZ589" s="4"/>
      <x:c r="EA589" s="4"/>
      <x:c r="EB589" s="4"/>
      <x:c r="EC589" s="4"/>
      <x:c r="ED589" s="4"/>
      <x:c r="EE589" s="4"/>
      <x:c r="EF589" s="4"/>
      <x:c r="EG589" s="4"/>
      <x:c r="EH589" s="4"/>
      <x:c r="EI589" s="4"/>
      <x:c r="EJ589" s="4"/>
      <x:c r="EK589" s="4"/>
      <x:c r="EL589" s="4"/>
      <x:c r="EM589" s="4"/>
      <x:c r="EN589" s="4"/>
      <x:c r="EO589" s="4"/>
      <x:c r="EP589" s="4"/>
      <x:c r="EQ589" s="4"/>
      <x:c r="ER589" s="4"/>
      <x:c r="ES589" s="4"/>
      <x:c r="ET589" s="4"/>
      <x:c r="EU589" s="4"/>
      <x:c r="EV589" s="4"/>
      <x:c r="EW589" s="4"/>
      <x:c r="EX589" s="4"/>
      <x:c r="EY589" s="4"/>
      <x:c r="EZ589" s="4"/>
      <x:c r="FA589" s="4"/>
      <x:c r="FB589" s="4"/>
      <x:c r="FC589" s="4"/>
      <x:c r="FD589" s="4"/>
      <x:c r="FE589" s="4"/>
      <x:c r="FF589" s="4"/>
      <x:c r="FG589" s="4"/>
      <x:c r="FH589" s="4"/>
      <x:c r="FI589" s="4"/>
      <x:c r="FJ589" s="4"/>
      <x:c r="FK589" s="4"/>
      <x:c r="FL589" s="4"/>
      <x:c r="FM589" s="4"/>
      <x:c r="FN589" s="4"/>
      <x:c r="FO589" s="4"/>
      <x:c r="JA589" t="n">
        <x:f>IF(OR(IFERROR(INDIRECT("'WCM Calibration Final'!$A$589")&lt;&gt;"",FALSE),IFERROR(INDIRECT("'WCM Calibration Final'!$B$589")&lt;&gt;"",FALSE),IFERROR(INDIRECT("'WCM Calibration Final'!$C$589")&lt;&gt;"",FALSE)),589,0)</x:f>
        <x:v>0</x:v>
      </x:c>
      <x:c r="JB589" t="n">
        <x:f>'Calculations'!JB588+IF('Calculations'!JA589&gt;0,1,0)</x:f>
        <x:v>0</x:v>
      </x:c>
    </x:row>
    <x:row r="590">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4"/>
      <x:c r="DQ590" s="4"/>
      <x:c r="DR590" s="4"/>
      <x:c r="DS590" s="4"/>
      <x:c r="DT590" s="4"/>
      <x:c r="DU590" s="4"/>
      <x:c r="DV590" s="4"/>
      <x:c r="DW590" s="4"/>
      <x:c r="DX590" s="4"/>
      <x:c r="DY590" s="4"/>
      <x:c r="DZ590" s="4"/>
      <x:c r="EA590" s="4"/>
      <x:c r="EB590" s="4"/>
      <x:c r="EC590" s="4"/>
      <x:c r="ED590" s="4"/>
      <x:c r="EE590" s="4"/>
      <x:c r="EF590" s="4"/>
      <x:c r="EG590" s="4"/>
      <x:c r="EH590" s="4"/>
      <x:c r="EI590" s="4"/>
      <x:c r="EJ590" s="4"/>
      <x:c r="EK590" s="4"/>
      <x:c r="EL590" s="4"/>
      <x:c r="EM590" s="4"/>
      <x:c r="EN590" s="4"/>
      <x:c r="EO590" s="4"/>
      <x:c r="EP590" s="4"/>
      <x:c r="EQ590" s="4"/>
      <x:c r="ER590" s="4"/>
      <x:c r="ES590" s="4"/>
      <x:c r="ET590" s="4"/>
      <x:c r="EU590" s="4"/>
      <x:c r="EV590" s="4"/>
      <x:c r="EW590" s="4"/>
      <x:c r="EX590" s="4"/>
      <x:c r="EY590" s="4"/>
      <x:c r="EZ590" s="4"/>
      <x:c r="FA590" s="4"/>
      <x:c r="FB590" s="4"/>
      <x:c r="FC590" s="4"/>
      <x:c r="FD590" s="4"/>
      <x:c r="FE590" s="4"/>
      <x:c r="FF590" s="4"/>
      <x:c r="FG590" s="4"/>
      <x:c r="FH590" s="4"/>
      <x:c r="FI590" s="4"/>
      <x:c r="FJ590" s="4"/>
      <x:c r="FK590" s="4"/>
      <x:c r="FL590" s="4"/>
      <x:c r="FM590" s="4"/>
      <x:c r="FN590" s="4"/>
      <x:c r="FO590" s="4"/>
      <x:c r="JA590" t="n">
        <x:f>IF(OR(IFERROR(INDIRECT("'WCM Calibration Final'!$A$590")&lt;&gt;"",FALSE),IFERROR(INDIRECT("'WCM Calibration Final'!$B$590")&lt;&gt;"",FALSE),IFERROR(INDIRECT("'WCM Calibration Final'!$C$590")&lt;&gt;"",FALSE)),590,0)</x:f>
        <x:v>0</x:v>
      </x:c>
      <x:c r="JB590" t="n">
        <x:f>'Calculations'!JB589+IF('Calculations'!JA590&gt;0,1,0)</x:f>
        <x:v>0</x:v>
      </x:c>
    </x:row>
    <x:row r="591">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4"/>
      <x:c r="DQ591" s="4"/>
      <x:c r="DR591" s="4"/>
      <x:c r="DS591" s="4"/>
      <x:c r="DT591" s="4"/>
      <x:c r="DU591" s="4"/>
      <x:c r="DV591" s="4"/>
      <x:c r="DW591" s="4"/>
      <x:c r="DX591" s="4"/>
      <x:c r="DY591" s="4"/>
      <x:c r="DZ591" s="4"/>
      <x:c r="EA591" s="4"/>
      <x:c r="EB591" s="4"/>
      <x:c r="EC591" s="4"/>
      <x:c r="ED591" s="4"/>
      <x:c r="EE591" s="4"/>
      <x:c r="EF591" s="4"/>
      <x:c r="EG591" s="4"/>
      <x:c r="EH591" s="4"/>
      <x:c r="EI591" s="4"/>
      <x:c r="EJ591" s="4"/>
      <x:c r="EK591" s="4"/>
      <x:c r="EL591" s="4"/>
      <x:c r="EM591" s="4"/>
      <x:c r="EN591" s="4"/>
      <x:c r="EO591" s="4"/>
      <x:c r="EP591" s="4"/>
      <x:c r="EQ591" s="4"/>
      <x:c r="ER591" s="4"/>
      <x:c r="ES591" s="4"/>
      <x:c r="ET591" s="4"/>
      <x:c r="EU591" s="4"/>
      <x:c r="EV591" s="4"/>
      <x:c r="EW591" s="4"/>
      <x:c r="EX591" s="4"/>
      <x:c r="EY591" s="4"/>
      <x:c r="EZ591" s="4"/>
      <x:c r="FA591" s="4"/>
      <x:c r="FB591" s="4"/>
      <x:c r="FC591" s="4"/>
      <x:c r="FD591" s="4"/>
      <x:c r="FE591" s="4"/>
      <x:c r="FF591" s="4"/>
      <x:c r="FG591" s="4"/>
      <x:c r="FH591" s="4"/>
      <x:c r="FI591" s="4"/>
      <x:c r="FJ591" s="4"/>
      <x:c r="FK591" s="4"/>
      <x:c r="FL591" s="4"/>
      <x:c r="FM591" s="4"/>
      <x:c r="FN591" s="4"/>
      <x:c r="FO591" s="4"/>
      <x:c r="JA591" t="n">
        <x:f>IF(OR(IFERROR(INDIRECT("'WCM Calibration Final'!$A$591")&lt;&gt;"",FALSE),IFERROR(INDIRECT("'WCM Calibration Final'!$B$591")&lt;&gt;"",FALSE),IFERROR(INDIRECT("'WCM Calibration Final'!$C$591")&lt;&gt;"",FALSE)),591,0)</x:f>
        <x:v>0</x:v>
      </x:c>
      <x:c r="JB591" t="n">
        <x:f>'Calculations'!JB590+IF('Calculations'!JA591&gt;0,1,0)</x:f>
        <x:v>0</x:v>
      </x:c>
    </x:row>
    <x:row r="592">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4"/>
      <x:c r="DQ592" s="4"/>
      <x:c r="DR592" s="4"/>
      <x:c r="DS592" s="4"/>
      <x:c r="DT592" s="4"/>
      <x:c r="DU592" s="4"/>
      <x:c r="DV592" s="4"/>
      <x:c r="DW592" s="4"/>
      <x:c r="DX592" s="4"/>
      <x:c r="DY592" s="4"/>
      <x:c r="DZ592" s="4"/>
      <x:c r="EA592" s="4"/>
      <x:c r="EB592" s="4"/>
      <x:c r="EC592" s="4"/>
      <x:c r="ED592" s="4"/>
      <x:c r="EE592" s="4"/>
      <x:c r="EF592" s="4"/>
      <x:c r="EG592" s="4"/>
      <x:c r="EH592" s="4"/>
      <x:c r="EI592" s="4"/>
      <x:c r="EJ592" s="4"/>
      <x:c r="EK592" s="4"/>
      <x:c r="EL592" s="4"/>
      <x:c r="EM592" s="4"/>
      <x:c r="EN592" s="4"/>
      <x:c r="EO592" s="4"/>
      <x:c r="EP592" s="4"/>
      <x:c r="EQ592" s="4"/>
      <x:c r="ER592" s="4"/>
      <x:c r="ES592" s="4"/>
      <x:c r="ET592" s="4"/>
      <x:c r="EU592" s="4"/>
      <x:c r="EV592" s="4"/>
      <x:c r="EW592" s="4"/>
      <x:c r="EX592" s="4"/>
      <x:c r="EY592" s="4"/>
      <x:c r="EZ592" s="4"/>
      <x:c r="FA592" s="4"/>
      <x:c r="FB592" s="4"/>
      <x:c r="FC592" s="4"/>
      <x:c r="FD592" s="4"/>
      <x:c r="FE592" s="4"/>
      <x:c r="FF592" s="4"/>
      <x:c r="FG592" s="4"/>
      <x:c r="FH592" s="4"/>
      <x:c r="FI592" s="4"/>
      <x:c r="FJ592" s="4"/>
      <x:c r="FK592" s="4"/>
      <x:c r="FL592" s="4"/>
      <x:c r="FM592" s="4"/>
      <x:c r="FN592" s="4"/>
      <x:c r="FO592" s="4"/>
      <x:c r="JA592" t="n">
        <x:f>IF(OR(IFERROR(INDIRECT("'WCM Calibration Final'!$A$592")&lt;&gt;"",FALSE),IFERROR(INDIRECT("'WCM Calibration Final'!$B$592")&lt;&gt;"",FALSE),IFERROR(INDIRECT("'WCM Calibration Final'!$C$592")&lt;&gt;"",FALSE)),592,0)</x:f>
        <x:v>0</x:v>
      </x:c>
      <x:c r="JB592" t="n">
        <x:f>'Calculations'!JB591+IF('Calculations'!JA592&gt;0,1,0)</x:f>
        <x:v>0</x:v>
      </x:c>
    </x:row>
    <x:row r="593">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4"/>
      <x:c r="DQ593" s="4"/>
      <x:c r="DR593" s="4"/>
      <x:c r="DS593" s="4"/>
      <x:c r="DT593" s="4"/>
      <x:c r="DU593" s="4"/>
      <x:c r="DV593" s="4"/>
      <x:c r="DW593" s="4"/>
      <x:c r="DX593" s="4"/>
      <x:c r="DY593" s="4"/>
      <x:c r="DZ593" s="4"/>
      <x:c r="EA593" s="4"/>
      <x:c r="EB593" s="4"/>
      <x:c r="EC593" s="4"/>
      <x:c r="ED593" s="4"/>
      <x:c r="EE593" s="4"/>
      <x:c r="EF593" s="4"/>
      <x:c r="EG593" s="4"/>
      <x:c r="EH593" s="4"/>
      <x:c r="EI593" s="4"/>
      <x:c r="EJ593" s="4"/>
      <x:c r="EK593" s="4"/>
      <x:c r="EL593" s="4"/>
      <x:c r="EM593" s="4"/>
      <x:c r="EN593" s="4"/>
      <x:c r="EO593" s="4"/>
      <x:c r="EP593" s="4"/>
      <x:c r="EQ593" s="4"/>
      <x:c r="ER593" s="4"/>
      <x:c r="ES593" s="4"/>
      <x:c r="ET593" s="4"/>
      <x:c r="EU593" s="4"/>
      <x:c r="EV593" s="4"/>
      <x:c r="EW593" s="4"/>
      <x:c r="EX593" s="4"/>
      <x:c r="EY593" s="4"/>
      <x:c r="EZ593" s="4"/>
      <x:c r="FA593" s="4"/>
      <x:c r="FB593" s="4"/>
      <x:c r="FC593" s="4"/>
      <x:c r="FD593" s="4"/>
      <x:c r="FE593" s="4"/>
      <x:c r="FF593" s="4"/>
      <x:c r="FG593" s="4"/>
      <x:c r="FH593" s="4"/>
      <x:c r="FI593" s="4"/>
      <x:c r="FJ593" s="4"/>
      <x:c r="FK593" s="4"/>
      <x:c r="FL593" s="4"/>
      <x:c r="FM593" s="4"/>
      <x:c r="FN593" s="4"/>
      <x:c r="FO593" s="4"/>
      <x:c r="JA593" t="n">
        <x:f>IF(OR(IFERROR(INDIRECT("'WCM Calibration Final'!$A$593")&lt;&gt;"",FALSE),IFERROR(INDIRECT("'WCM Calibration Final'!$B$593")&lt;&gt;"",FALSE),IFERROR(INDIRECT("'WCM Calibration Final'!$C$593")&lt;&gt;"",FALSE)),593,0)</x:f>
        <x:v>0</x:v>
      </x:c>
      <x:c r="JB593" t="n">
        <x:f>'Calculations'!JB592+IF('Calculations'!JA593&gt;0,1,0)</x:f>
        <x:v>0</x:v>
      </x:c>
    </x:row>
    <x:row r="594">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4"/>
      <x:c r="DQ594" s="4"/>
      <x:c r="DR594" s="4"/>
      <x:c r="DS594" s="4"/>
      <x:c r="DT594" s="4"/>
      <x:c r="DU594" s="4"/>
      <x:c r="DV594" s="4"/>
      <x:c r="DW594" s="4"/>
      <x:c r="DX594" s="4"/>
      <x:c r="DY594" s="4"/>
      <x:c r="DZ594" s="4"/>
      <x:c r="EA594" s="4"/>
      <x:c r="EB594" s="4"/>
      <x:c r="EC594" s="4"/>
      <x:c r="ED594" s="4"/>
      <x:c r="EE594" s="4"/>
      <x:c r="EF594" s="4"/>
      <x:c r="EG594" s="4"/>
      <x:c r="EH594" s="4"/>
      <x:c r="EI594" s="4"/>
      <x:c r="EJ594" s="4"/>
      <x:c r="EK594" s="4"/>
      <x:c r="EL594" s="4"/>
      <x:c r="EM594" s="4"/>
      <x:c r="EN594" s="4"/>
      <x:c r="EO594" s="4"/>
      <x:c r="EP594" s="4"/>
      <x:c r="EQ594" s="4"/>
      <x:c r="ER594" s="4"/>
      <x:c r="ES594" s="4"/>
      <x:c r="ET594" s="4"/>
      <x:c r="EU594" s="4"/>
      <x:c r="EV594" s="4"/>
      <x:c r="EW594" s="4"/>
      <x:c r="EX594" s="4"/>
      <x:c r="EY594" s="4"/>
      <x:c r="EZ594" s="4"/>
      <x:c r="FA594" s="4"/>
      <x:c r="FB594" s="4"/>
      <x:c r="FC594" s="4"/>
      <x:c r="FD594" s="4"/>
      <x:c r="FE594" s="4"/>
      <x:c r="FF594" s="4"/>
      <x:c r="FG594" s="4"/>
      <x:c r="FH594" s="4"/>
      <x:c r="FI594" s="4"/>
      <x:c r="FJ594" s="4"/>
      <x:c r="FK594" s="4"/>
      <x:c r="FL594" s="4"/>
      <x:c r="FM594" s="4"/>
      <x:c r="FN594" s="4"/>
      <x:c r="FO594" s="4"/>
      <x:c r="JA594" t="n">
        <x:f>IF(OR(IFERROR(INDIRECT("'WCM Calibration Final'!$A$594")&lt;&gt;"",FALSE),IFERROR(INDIRECT("'WCM Calibration Final'!$B$594")&lt;&gt;"",FALSE),IFERROR(INDIRECT("'WCM Calibration Final'!$C$594")&lt;&gt;"",FALSE)),594,0)</x:f>
        <x:v>0</x:v>
      </x:c>
      <x:c r="JB594" t="n">
        <x:f>'Calculations'!JB593+IF('Calculations'!JA594&gt;0,1,0)</x:f>
        <x:v>0</x:v>
      </x:c>
    </x:row>
    <x:row r="595">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4"/>
      <x:c r="DQ595" s="4"/>
      <x:c r="DR595" s="4"/>
      <x:c r="DS595" s="4"/>
      <x:c r="DT595" s="4"/>
      <x:c r="DU595" s="4"/>
      <x:c r="DV595" s="4"/>
      <x:c r="DW595" s="4"/>
      <x:c r="DX595" s="4"/>
      <x:c r="DY595" s="4"/>
      <x:c r="DZ595" s="4"/>
      <x:c r="EA595" s="4"/>
      <x:c r="EB595" s="4"/>
      <x:c r="EC595" s="4"/>
      <x:c r="ED595" s="4"/>
      <x:c r="EE595" s="4"/>
      <x:c r="EF595" s="4"/>
      <x:c r="EG595" s="4"/>
      <x:c r="EH595" s="4"/>
      <x:c r="EI595" s="4"/>
      <x:c r="EJ595" s="4"/>
      <x:c r="EK595" s="4"/>
      <x:c r="EL595" s="4"/>
      <x:c r="EM595" s="4"/>
      <x:c r="EN595" s="4"/>
      <x:c r="EO595" s="4"/>
      <x:c r="EP595" s="4"/>
      <x:c r="EQ595" s="4"/>
      <x:c r="ER595" s="4"/>
      <x:c r="ES595" s="4"/>
      <x:c r="ET595" s="4"/>
      <x:c r="EU595" s="4"/>
      <x:c r="EV595" s="4"/>
      <x:c r="EW595" s="4"/>
      <x:c r="EX595" s="4"/>
      <x:c r="EY595" s="4"/>
      <x:c r="EZ595" s="4"/>
      <x:c r="FA595" s="4"/>
      <x:c r="FB595" s="4"/>
      <x:c r="FC595" s="4"/>
      <x:c r="FD595" s="4"/>
      <x:c r="FE595" s="4"/>
      <x:c r="FF595" s="4"/>
      <x:c r="FG595" s="4"/>
      <x:c r="FH595" s="4"/>
      <x:c r="FI595" s="4"/>
      <x:c r="FJ595" s="4"/>
      <x:c r="FK595" s="4"/>
      <x:c r="FL595" s="4"/>
      <x:c r="FM595" s="4"/>
      <x:c r="FN595" s="4"/>
      <x:c r="FO595" s="4"/>
      <x:c r="JA595" t="n">
        <x:f>IF(OR(IFERROR(INDIRECT("'WCM Calibration Final'!$A$595")&lt;&gt;"",FALSE),IFERROR(INDIRECT("'WCM Calibration Final'!$B$595")&lt;&gt;"",FALSE),IFERROR(INDIRECT("'WCM Calibration Final'!$C$595")&lt;&gt;"",FALSE)),595,0)</x:f>
        <x:v>0</x:v>
      </x:c>
      <x:c r="JB595" t="n">
        <x:f>'Calculations'!JB594+IF('Calculations'!JA595&gt;0,1,0)</x:f>
        <x:v>0</x:v>
      </x:c>
    </x:row>
    <x:row r="596">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4"/>
      <x:c r="DQ596" s="4"/>
      <x:c r="DR596" s="4"/>
      <x:c r="DS596" s="4"/>
      <x:c r="DT596" s="4"/>
      <x:c r="DU596" s="4"/>
      <x:c r="DV596" s="4"/>
      <x:c r="DW596" s="4"/>
      <x:c r="DX596" s="4"/>
      <x:c r="DY596" s="4"/>
      <x:c r="DZ596" s="4"/>
      <x:c r="EA596" s="4"/>
      <x:c r="EB596" s="4"/>
      <x:c r="EC596" s="4"/>
      <x:c r="ED596" s="4"/>
      <x:c r="EE596" s="4"/>
      <x:c r="EF596" s="4"/>
      <x:c r="EG596" s="4"/>
      <x:c r="EH596" s="4"/>
      <x:c r="EI596" s="4"/>
      <x:c r="EJ596" s="4"/>
      <x:c r="EK596" s="4"/>
      <x:c r="EL596" s="4"/>
      <x:c r="EM596" s="4"/>
      <x:c r="EN596" s="4"/>
      <x:c r="EO596" s="4"/>
      <x:c r="EP596" s="4"/>
      <x:c r="EQ596" s="4"/>
      <x:c r="ER596" s="4"/>
      <x:c r="ES596" s="4"/>
      <x:c r="ET596" s="4"/>
      <x:c r="EU596" s="4"/>
      <x:c r="EV596" s="4"/>
      <x:c r="EW596" s="4"/>
      <x:c r="EX596" s="4"/>
      <x:c r="EY596" s="4"/>
      <x:c r="EZ596" s="4"/>
      <x:c r="FA596" s="4"/>
      <x:c r="FB596" s="4"/>
      <x:c r="FC596" s="4"/>
      <x:c r="FD596" s="4"/>
      <x:c r="FE596" s="4"/>
      <x:c r="FF596" s="4"/>
      <x:c r="FG596" s="4"/>
      <x:c r="FH596" s="4"/>
      <x:c r="FI596" s="4"/>
      <x:c r="FJ596" s="4"/>
      <x:c r="FK596" s="4"/>
      <x:c r="FL596" s="4"/>
      <x:c r="FM596" s="4"/>
      <x:c r="FN596" s="4"/>
      <x:c r="FO596" s="4"/>
      <x:c r="JA596" t="n">
        <x:f>IF(OR(IFERROR(INDIRECT("'WCM Calibration Final'!$A$596")&lt;&gt;"",FALSE),IFERROR(INDIRECT("'WCM Calibration Final'!$B$596")&lt;&gt;"",FALSE),IFERROR(INDIRECT("'WCM Calibration Final'!$C$596")&lt;&gt;"",FALSE)),596,0)</x:f>
        <x:v>0</x:v>
      </x:c>
      <x:c r="JB596" t="n">
        <x:f>'Calculations'!JB595+IF('Calculations'!JA596&gt;0,1,0)</x:f>
        <x:v>0</x:v>
      </x:c>
    </x:row>
    <x:row r="597">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4"/>
      <x:c r="DQ597" s="4"/>
      <x:c r="DR597" s="4"/>
      <x:c r="DS597" s="4"/>
      <x:c r="DT597" s="4"/>
      <x:c r="DU597" s="4"/>
      <x:c r="DV597" s="4"/>
      <x:c r="DW597" s="4"/>
      <x:c r="DX597" s="4"/>
      <x:c r="DY597" s="4"/>
      <x:c r="DZ597" s="4"/>
      <x:c r="EA597" s="4"/>
      <x:c r="EB597" s="4"/>
      <x:c r="EC597" s="4"/>
      <x:c r="ED597" s="4"/>
      <x:c r="EE597" s="4"/>
      <x:c r="EF597" s="4"/>
      <x:c r="EG597" s="4"/>
      <x:c r="EH597" s="4"/>
      <x:c r="EI597" s="4"/>
      <x:c r="EJ597" s="4"/>
      <x:c r="EK597" s="4"/>
      <x:c r="EL597" s="4"/>
      <x:c r="EM597" s="4"/>
      <x:c r="EN597" s="4"/>
      <x:c r="EO597" s="4"/>
      <x:c r="EP597" s="4"/>
      <x:c r="EQ597" s="4"/>
      <x:c r="ER597" s="4"/>
      <x:c r="ES597" s="4"/>
      <x:c r="ET597" s="4"/>
      <x:c r="EU597" s="4"/>
      <x:c r="EV597" s="4"/>
      <x:c r="EW597" s="4"/>
      <x:c r="EX597" s="4"/>
      <x:c r="EY597" s="4"/>
      <x:c r="EZ597" s="4"/>
      <x:c r="FA597" s="4"/>
      <x:c r="FB597" s="4"/>
      <x:c r="FC597" s="4"/>
      <x:c r="FD597" s="4"/>
      <x:c r="FE597" s="4"/>
      <x:c r="FF597" s="4"/>
      <x:c r="FG597" s="4"/>
      <x:c r="FH597" s="4"/>
      <x:c r="FI597" s="4"/>
      <x:c r="FJ597" s="4"/>
      <x:c r="FK597" s="4"/>
      <x:c r="FL597" s="4"/>
      <x:c r="FM597" s="4"/>
      <x:c r="FN597" s="4"/>
      <x:c r="FO597" s="4"/>
      <x:c r="JA597" t="n">
        <x:f>IF(OR(IFERROR(INDIRECT("'WCM Calibration Final'!$A$597")&lt;&gt;"",FALSE),IFERROR(INDIRECT("'WCM Calibration Final'!$B$597")&lt;&gt;"",FALSE),IFERROR(INDIRECT("'WCM Calibration Final'!$C$597")&lt;&gt;"",FALSE)),597,0)</x:f>
        <x:v>0</x:v>
      </x:c>
      <x:c r="JB597" t="n">
        <x:f>'Calculations'!JB596+IF('Calculations'!JA597&gt;0,1,0)</x:f>
        <x:v>0</x:v>
      </x:c>
    </x:row>
    <x:row r="598">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4"/>
      <x:c r="DQ598" s="4"/>
      <x:c r="DR598" s="4"/>
      <x:c r="DS598" s="4"/>
      <x:c r="DT598" s="4"/>
      <x:c r="DU598" s="4"/>
      <x:c r="DV598" s="4"/>
      <x:c r="DW598" s="4"/>
      <x:c r="DX598" s="4"/>
      <x:c r="DY598" s="4"/>
      <x:c r="DZ598" s="4"/>
      <x:c r="EA598" s="4"/>
      <x:c r="EB598" s="4"/>
      <x:c r="EC598" s="4"/>
      <x:c r="ED598" s="4"/>
      <x:c r="EE598" s="4"/>
      <x:c r="EF598" s="4"/>
      <x:c r="EG598" s="4"/>
      <x:c r="EH598" s="4"/>
      <x:c r="EI598" s="4"/>
      <x:c r="EJ598" s="4"/>
      <x:c r="EK598" s="4"/>
      <x:c r="EL598" s="4"/>
      <x:c r="EM598" s="4"/>
      <x:c r="EN598" s="4"/>
      <x:c r="EO598" s="4"/>
      <x:c r="EP598" s="4"/>
      <x:c r="EQ598" s="4"/>
      <x:c r="ER598" s="4"/>
      <x:c r="ES598" s="4"/>
      <x:c r="ET598" s="4"/>
      <x:c r="EU598" s="4"/>
      <x:c r="EV598" s="4"/>
      <x:c r="EW598" s="4"/>
      <x:c r="EX598" s="4"/>
      <x:c r="EY598" s="4"/>
      <x:c r="EZ598" s="4"/>
      <x:c r="FA598" s="4"/>
      <x:c r="FB598" s="4"/>
      <x:c r="FC598" s="4"/>
      <x:c r="FD598" s="4"/>
      <x:c r="FE598" s="4"/>
      <x:c r="FF598" s="4"/>
      <x:c r="FG598" s="4"/>
      <x:c r="FH598" s="4"/>
      <x:c r="FI598" s="4"/>
      <x:c r="FJ598" s="4"/>
      <x:c r="FK598" s="4"/>
      <x:c r="FL598" s="4"/>
      <x:c r="FM598" s="4"/>
      <x:c r="FN598" s="4"/>
      <x:c r="FO598" s="4"/>
      <x:c r="JA598" t="n">
        <x:f>IF(OR(IFERROR(INDIRECT("'WCM Calibration Final'!$A$598")&lt;&gt;"",FALSE),IFERROR(INDIRECT("'WCM Calibration Final'!$B$598")&lt;&gt;"",FALSE),IFERROR(INDIRECT("'WCM Calibration Final'!$C$598")&lt;&gt;"",FALSE)),598,0)</x:f>
        <x:v>0</x:v>
      </x:c>
      <x:c r="JB598" t="n">
        <x:f>'Calculations'!JB597+IF('Calculations'!JA598&gt;0,1,0)</x:f>
        <x:v>0</x:v>
      </x:c>
    </x:row>
    <x:row r="599">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4"/>
      <x:c r="DQ599" s="4"/>
      <x:c r="DR599" s="4"/>
      <x:c r="DS599" s="4"/>
      <x:c r="DT599" s="4"/>
      <x:c r="DU599" s="4"/>
      <x:c r="DV599" s="4"/>
      <x:c r="DW599" s="4"/>
      <x:c r="DX599" s="4"/>
      <x:c r="DY599" s="4"/>
      <x:c r="DZ599" s="4"/>
      <x:c r="EA599" s="4"/>
      <x:c r="EB599" s="4"/>
      <x:c r="EC599" s="4"/>
      <x:c r="ED599" s="4"/>
      <x:c r="EE599" s="4"/>
      <x:c r="EF599" s="4"/>
      <x:c r="EG599" s="4"/>
      <x:c r="EH599" s="4"/>
      <x:c r="EI599" s="4"/>
      <x:c r="EJ599" s="4"/>
      <x:c r="EK599" s="4"/>
      <x:c r="EL599" s="4"/>
      <x:c r="EM599" s="4"/>
      <x:c r="EN599" s="4"/>
      <x:c r="EO599" s="4"/>
      <x:c r="EP599" s="4"/>
      <x:c r="EQ599" s="4"/>
      <x:c r="ER599" s="4"/>
      <x:c r="ES599" s="4"/>
      <x:c r="ET599" s="4"/>
      <x:c r="EU599" s="4"/>
      <x:c r="EV599" s="4"/>
      <x:c r="EW599" s="4"/>
      <x:c r="EX599" s="4"/>
      <x:c r="EY599" s="4"/>
      <x:c r="EZ599" s="4"/>
      <x:c r="FA599" s="4"/>
      <x:c r="FB599" s="4"/>
      <x:c r="FC599" s="4"/>
      <x:c r="FD599" s="4"/>
      <x:c r="FE599" s="4"/>
      <x:c r="FF599" s="4"/>
      <x:c r="FG599" s="4"/>
      <x:c r="FH599" s="4"/>
      <x:c r="FI599" s="4"/>
      <x:c r="FJ599" s="4"/>
      <x:c r="FK599" s="4"/>
      <x:c r="FL599" s="4"/>
      <x:c r="FM599" s="4"/>
      <x:c r="FN599" s="4"/>
      <x:c r="FO599" s="4"/>
      <x:c r="JA599" t="n">
        <x:f>IF(OR(IFERROR(INDIRECT("'WCM Calibration Final'!$A$599")&lt;&gt;"",FALSE),IFERROR(INDIRECT("'WCM Calibration Final'!$B$599")&lt;&gt;"",FALSE),IFERROR(INDIRECT("'WCM Calibration Final'!$C$599")&lt;&gt;"",FALSE)),599,0)</x:f>
        <x:v>0</x:v>
      </x:c>
      <x:c r="JB599" t="n">
        <x:f>'Calculations'!JB598+IF('Calculations'!JA599&gt;0,1,0)</x:f>
        <x:v>0</x:v>
      </x:c>
    </x:row>
    <x:row r="600">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4"/>
      <x:c r="DQ600" s="4"/>
      <x:c r="DR600" s="4"/>
      <x:c r="DS600" s="4"/>
      <x:c r="DT600" s="4"/>
      <x:c r="DU600" s="4"/>
      <x:c r="DV600" s="4"/>
      <x:c r="DW600" s="4"/>
      <x:c r="DX600" s="4"/>
      <x:c r="DY600" s="4"/>
      <x:c r="DZ600" s="4"/>
      <x:c r="EA600" s="4"/>
      <x:c r="EB600" s="4"/>
      <x:c r="EC600" s="4"/>
      <x:c r="ED600" s="4"/>
      <x:c r="EE600" s="4"/>
      <x:c r="EF600" s="4"/>
      <x:c r="EG600" s="4"/>
      <x:c r="EH600" s="4"/>
      <x:c r="EI600" s="4"/>
      <x:c r="EJ600" s="4"/>
      <x:c r="EK600" s="4"/>
      <x:c r="EL600" s="4"/>
      <x:c r="EM600" s="4"/>
      <x:c r="EN600" s="4"/>
      <x:c r="EO600" s="4"/>
      <x:c r="EP600" s="4"/>
      <x:c r="EQ600" s="4"/>
      <x:c r="ER600" s="4"/>
      <x:c r="ES600" s="4"/>
      <x:c r="ET600" s="4"/>
      <x:c r="EU600" s="4"/>
      <x:c r="EV600" s="4"/>
      <x:c r="EW600" s="4"/>
      <x:c r="EX600" s="4"/>
      <x:c r="EY600" s="4"/>
      <x:c r="EZ600" s="4"/>
      <x:c r="FA600" s="4"/>
      <x:c r="FB600" s="4"/>
      <x:c r="FC600" s="4"/>
      <x:c r="FD600" s="4"/>
      <x:c r="FE600" s="4"/>
      <x:c r="FF600" s="4"/>
      <x:c r="FG600" s="4"/>
      <x:c r="FH600" s="4"/>
      <x:c r="FI600" s="4"/>
      <x:c r="FJ600" s="4"/>
      <x:c r="FK600" s="4"/>
      <x:c r="FL600" s="4"/>
      <x:c r="FM600" s="4"/>
      <x:c r="FN600" s="4"/>
      <x:c r="FO600" s="4"/>
      <x:c r="JA600" t="n">
        <x:f>IF(OR(IFERROR(INDIRECT("'WCM Calibration Final'!$A$600")&lt;&gt;"",FALSE),IFERROR(INDIRECT("'WCM Calibration Final'!$B$600")&lt;&gt;"",FALSE),IFERROR(INDIRECT("'WCM Calibration Final'!$C$600")&lt;&gt;"",FALSE)),600,0)</x:f>
        <x:v>0</x:v>
      </x:c>
      <x:c r="JB600" t="n">
        <x:f>'Calculations'!JB599+IF('Calculations'!JA600&gt;0,1,0)</x:f>
        <x:v>0</x:v>
      </x:c>
    </x:row>
    <x:row r="601">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4"/>
      <x:c r="DQ601" s="4"/>
      <x:c r="DR601" s="4"/>
      <x:c r="DS601" s="4"/>
      <x:c r="DT601" s="4"/>
      <x:c r="DU601" s="4"/>
      <x:c r="DV601" s="4"/>
      <x:c r="DW601" s="4"/>
      <x:c r="DX601" s="4"/>
      <x:c r="DY601" s="4"/>
      <x:c r="DZ601" s="4"/>
      <x:c r="EA601" s="4"/>
      <x:c r="EB601" s="4"/>
      <x:c r="EC601" s="4"/>
      <x:c r="ED601" s="4"/>
      <x:c r="EE601" s="4"/>
      <x:c r="EF601" s="4"/>
      <x:c r="EG601" s="4"/>
      <x:c r="EH601" s="4"/>
      <x:c r="EI601" s="4"/>
      <x:c r="EJ601" s="4"/>
      <x:c r="EK601" s="4"/>
      <x:c r="EL601" s="4"/>
      <x:c r="EM601" s="4"/>
      <x:c r="EN601" s="4"/>
      <x:c r="EO601" s="4"/>
      <x:c r="EP601" s="4"/>
      <x:c r="EQ601" s="4"/>
      <x:c r="ER601" s="4"/>
      <x:c r="ES601" s="4"/>
      <x:c r="ET601" s="4"/>
      <x:c r="EU601" s="4"/>
      <x:c r="EV601" s="4"/>
      <x:c r="EW601" s="4"/>
      <x:c r="EX601" s="4"/>
      <x:c r="EY601" s="4"/>
      <x:c r="EZ601" s="4"/>
      <x:c r="FA601" s="4"/>
      <x:c r="FB601" s="4"/>
      <x:c r="FC601" s="4"/>
      <x:c r="FD601" s="4"/>
      <x:c r="FE601" s="4"/>
      <x:c r="FF601" s="4"/>
      <x:c r="FG601" s="4"/>
      <x:c r="FH601" s="4"/>
      <x:c r="FI601" s="4"/>
      <x:c r="FJ601" s="4"/>
      <x:c r="FK601" s="4"/>
      <x:c r="FL601" s="4"/>
      <x:c r="FM601" s="4"/>
      <x:c r="FN601" s="4"/>
      <x:c r="FO601" s="4"/>
      <x:c r="JA601" t="n">
        <x:f>IF(OR(IFERROR(INDIRECT("'WCM Calibration Final'!$A$601")&lt;&gt;"",FALSE),IFERROR(INDIRECT("'WCM Calibration Final'!$B$601")&lt;&gt;"",FALSE),IFERROR(INDIRECT("'WCM Calibration Final'!$C$601")&lt;&gt;"",FALSE)),601,0)</x:f>
        <x:v>0</x:v>
      </x:c>
      <x:c r="JB601" t="n">
        <x:f>'Calculations'!JB600+IF('Calculations'!JA601&gt;0,1,0)</x:f>
        <x:v>0</x:v>
      </x:c>
    </x:row>
    <x:row r="602">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4"/>
      <x:c r="DQ602" s="4"/>
      <x:c r="DR602" s="4"/>
      <x:c r="DS602" s="4"/>
      <x:c r="DT602" s="4"/>
      <x:c r="DU602" s="4"/>
      <x:c r="DV602" s="4"/>
      <x:c r="DW602" s="4"/>
      <x:c r="DX602" s="4"/>
      <x:c r="DY602" s="4"/>
      <x:c r="DZ602" s="4"/>
      <x:c r="EA602" s="4"/>
      <x:c r="EB602" s="4"/>
      <x:c r="EC602" s="4"/>
      <x:c r="ED602" s="4"/>
      <x:c r="EE602" s="4"/>
      <x:c r="EF602" s="4"/>
      <x:c r="EG602" s="4"/>
      <x:c r="EH602" s="4"/>
      <x:c r="EI602" s="4"/>
      <x:c r="EJ602" s="4"/>
      <x:c r="EK602" s="4"/>
      <x:c r="EL602" s="4"/>
      <x:c r="EM602" s="4"/>
      <x:c r="EN602" s="4"/>
      <x:c r="EO602" s="4"/>
      <x:c r="EP602" s="4"/>
      <x:c r="EQ602" s="4"/>
      <x:c r="ER602" s="4"/>
      <x:c r="ES602" s="4"/>
      <x:c r="ET602" s="4"/>
      <x:c r="EU602" s="4"/>
      <x:c r="EV602" s="4"/>
      <x:c r="EW602" s="4"/>
      <x:c r="EX602" s="4"/>
      <x:c r="EY602" s="4"/>
      <x:c r="EZ602" s="4"/>
      <x:c r="FA602" s="4"/>
      <x:c r="FB602" s="4"/>
      <x:c r="FC602" s="4"/>
      <x:c r="FD602" s="4"/>
      <x:c r="FE602" s="4"/>
      <x:c r="FF602" s="4"/>
      <x:c r="FG602" s="4"/>
      <x:c r="FH602" s="4"/>
      <x:c r="FI602" s="4"/>
      <x:c r="FJ602" s="4"/>
      <x:c r="FK602" s="4"/>
      <x:c r="FL602" s="4"/>
      <x:c r="FM602" s="4"/>
      <x:c r="FN602" s="4"/>
      <x:c r="FO602" s="4"/>
      <x:c r="JA602" t="n">
        <x:f>IF(OR(IFERROR(INDIRECT("'WCM Calibration Final'!$A$602")&lt;&gt;"",FALSE),IFERROR(INDIRECT("'WCM Calibration Final'!$B$602")&lt;&gt;"",FALSE),IFERROR(INDIRECT("'WCM Calibration Final'!$C$602")&lt;&gt;"",FALSE)),602,0)</x:f>
        <x:v>0</x:v>
      </x:c>
      <x:c r="JB602" t="n">
        <x:f>'Calculations'!JB601+IF('Calculations'!JA602&gt;0,1,0)</x:f>
        <x:v>0</x:v>
      </x:c>
    </x:row>
    <x:row r="603">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4"/>
      <x:c r="DQ603" s="4"/>
      <x:c r="DR603" s="4"/>
      <x:c r="DS603" s="4"/>
      <x:c r="DT603" s="4"/>
      <x:c r="DU603" s="4"/>
      <x:c r="DV603" s="4"/>
      <x:c r="DW603" s="4"/>
      <x:c r="DX603" s="4"/>
      <x:c r="DY603" s="4"/>
      <x:c r="DZ603" s="4"/>
      <x:c r="EA603" s="4"/>
      <x:c r="EB603" s="4"/>
      <x:c r="EC603" s="4"/>
      <x:c r="ED603" s="4"/>
      <x:c r="EE603" s="4"/>
      <x:c r="EF603" s="4"/>
      <x:c r="EG603" s="4"/>
      <x:c r="EH603" s="4"/>
      <x:c r="EI603" s="4"/>
      <x:c r="EJ603" s="4"/>
      <x:c r="EK603" s="4"/>
      <x:c r="EL603" s="4"/>
      <x:c r="EM603" s="4"/>
      <x:c r="EN603" s="4"/>
      <x:c r="EO603" s="4"/>
      <x:c r="EP603" s="4"/>
      <x:c r="EQ603" s="4"/>
      <x:c r="ER603" s="4"/>
      <x:c r="ES603" s="4"/>
      <x:c r="ET603" s="4"/>
      <x:c r="EU603" s="4"/>
      <x:c r="EV603" s="4"/>
      <x:c r="EW603" s="4"/>
      <x:c r="EX603" s="4"/>
      <x:c r="EY603" s="4"/>
      <x:c r="EZ603" s="4"/>
      <x:c r="FA603" s="4"/>
      <x:c r="FB603" s="4"/>
      <x:c r="FC603" s="4"/>
      <x:c r="FD603" s="4"/>
      <x:c r="FE603" s="4"/>
      <x:c r="FF603" s="4"/>
      <x:c r="FG603" s="4"/>
      <x:c r="FH603" s="4"/>
      <x:c r="FI603" s="4"/>
      <x:c r="FJ603" s="4"/>
      <x:c r="FK603" s="4"/>
      <x:c r="FL603" s="4"/>
      <x:c r="FM603" s="4"/>
      <x:c r="FN603" s="4"/>
      <x:c r="FO603" s="4"/>
      <x:c r="JA603" t="n">
        <x:f>IF(OR(IFERROR(INDIRECT("'WCM Calibration Final'!$A$603")&lt;&gt;"",FALSE),IFERROR(INDIRECT("'WCM Calibration Final'!$B$603")&lt;&gt;"",FALSE),IFERROR(INDIRECT("'WCM Calibration Final'!$C$603")&lt;&gt;"",FALSE)),603,0)</x:f>
        <x:v>0</x:v>
      </x:c>
      <x:c r="JB603" t="n">
        <x:f>'Calculations'!JB602+IF('Calculations'!JA603&gt;0,1,0)</x:f>
        <x:v>0</x:v>
      </x:c>
    </x:row>
    <x:row r="604">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4"/>
      <x:c r="DQ604" s="4"/>
      <x:c r="DR604" s="4"/>
      <x:c r="DS604" s="4"/>
      <x:c r="DT604" s="4"/>
      <x:c r="DU604" s="4"/>
      <x:c r="DV604" s="4"/>
      <x:c r="DW604" s="4"/>
      <x:c r="DX604" s="4"/>
      <x:c r="DY604" s="4"/>
      <x:c r="DZ604" s="4"/>
      <x:c r="EA604" s="4"/>
      <x:c r="EB604" s="4"/>
      <x:c r="EC604" s="4"/>
      <x:c r="ED604" s="4"/>
      <x:c r="EE604" s="4"/>
      <x:c r="EF604" s="4"/>
      <x:c r="EG604" s="4"/>
      <x:c r="EH604" s="4"/>
      <x:c r="EI604" s="4"/>
      <x:c r="EJ604" s="4"/>
      <x:c r="EK604" s="4"/>
      <x:c r="EL604" s="4"/>
      <x:c r="EM604" s="4"/>
      <x:c r="EN604" s="4"/>
      <x:c r="EO604" s="4"/>
      <x:c r="EP604" s="4"/>
      <x:c r="EQ604" s="4"/>
      <x:c r="ER604" s="4"/>
      <x:c r="ES604" s="4"/>
      <x:c r="ET604" s="4"/>
      <x:c r="EU604" s="4"/>
      <x:c r="EV604" s="4"/>
      <x:c r="EW604" s="4"/>
      <x:c r="EX604" s="4"/>
      <x:c r="EY604" s="4"/>
      <x:c r="EZ604" s="4"/>
      <x:c r="FA604" s="4"/>
      <x:c r="FB604" s="4"/>
      <x:c r="FC604" s="4"/>
      <x:c r="FD604" s="4"/>
      <x:c r="FE604" s="4"/>
      <x:c r="FF604" s="4"/>
      <x:c r="FG604" s="4"/>
      <x:c r="FH604" s="4"/>
      <x:c r="FI604" s="4"/>
      <x:c r="FJ604" s="4"/>
      <x:c r="FK604" s="4"/>
      <x:c r="FL604" s="4"/>
      <x:c r="FM604" s="4"/>
      <x:c r="FN604" s="4"/>
      <x:c r="FO604" s="4"/>
      <x:c r="JA604" t="n">
        <x:f>IF(OR(IFERROR(INDIRECT("'WCM Calibration Final'!$A$604")&lt;&gt;"",FALSE),IFERROR(INDIRECT("'WCM Calibration Final'!$B$604")&lt;&gt;"",FALSE),IFERROR(INDIRECT("'WCM Calibration Final'!$C$604")&lt;&gt;"",FALSE)),604,0)</x:f>
        <x:v>0</x:v>
      </x:c>
      <x:c r="JB604" t="n">
        <x:f>'Calculations'!JB603+IF('Calculations'!JA604&gt;0,1,0)</x:f>
        <x:v>0</x:v>
      </x:c>
    </x:row>
    <x:row r="605">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4"/>
      <x:c r="DQ605" s="4"/>
      <x:c r="DR605" s="4"/>
      <x:c r="DS605" s="4"/>
      <x:c r="DT605" s="4"/>
      <x:c r="DU605" s="4"/>
      <x:c r="DV605" s="4"/>
      <x:c r="DW605" s="4"/>
      <x:c r="DX605" s="4"/>
      <x:c r="DY605" s="4"/>
      <x:c r="DZ605" s="4"/>
      <x:c r="EA605" s="4"/>
      <x:c r="EB605" s="4"/>
      <x:c r="EC605" s="4"/>
      <x:c r="ED605" s="4"/>
      <x:c r="EE605" s="4"/>
      <x:c r="EF605" s="4"/>
      <x:c r="EG605" s="4"/>
      <x:c r="EH605" s="4"/>
      <x:c r="EI605" s="4"/>
      <x:c r="EJ605" s="4"/>
      <x:c r="EK605" s="4"/>
      <x:c r="EL605" s="4"/>
      <x:c r="EM605" s="4"/>
      <x:c r="EN605" s="4"/>
      <x:c r="EO605" s="4"/>
      <x:c r="EP605" s="4"/>
      <x:c r="EQ605" s="4"/>
      <x:c r="ER605" s="4"/>
      <x:c r="ES605" s="4"/>
      <x:c r="ET605" s="4"/>
      <x:c r="EU605" s="4"/>
      <x:c r="EV605" s="4"/>
      <x:c r="EW605" s="4"/>
      <x:c r="EX605" s="4"/>
      <x:c r="EY605" s="4"/>
      <x:c r="EZ605" s="4"/>
      <x:c r="FA605" s="4"/>
      <x:c r="FB605" s="4"/>
      <x:c r="FC605" s="4"/>
      <x:c r="FD605" s="4"/>
      <x:c r="FE605" s="4"/>
      <x:c r="FF605" s="4"/>
      <x:c r="FG605" s="4"/>
      <x:c r="FH605" s="4"/>
      <x:c r="FI605" s="4"/>
      <x:c r="FJ605" s="4"/>
      <x:c r="FK605" s="4"/>
      <x:c r="FL605" s="4"/>
      <x:c r="FM605" s="4"/>
      <x:c r="FN605" s="4"/>
      <x:c r="FO605" s="4"/>
      <x:c r="JA605" t="n">
        <x:f>IF(OR(IFERROR(INDIRECT("'WCM Calibration Final'!$A$605")&lt;&gt;"",FALSE),IFERROR(INDIRECT("'WCM Calibration Final'!$B$605")&lt;&gt;"",FALSE),IFERROR(INDIRECT("'WCM Calibration Final'!$C$605")&lt;&gt;"",FALSE)),605,0)</x:f>
        <x:v>0</x:v>
      </x:c>
      <x:c r="JB605" t="n">
        <x:f>'Calculations'!JB604+IF('Calculations'!JA605&gt;0,1,0)</x:f>
        <x:v>0</x:v>
      </x:c>
    </x:row>
    <x:row r="606">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4"/>
      <x:c r="DQ606" s="4"/>
      <x:c r="DR606" s="4"/>
      <x:c r="DS606" s="4"/>
      <x:c r="DT606" s="4"/>
      <x:c r="DU606" s="4"/>
      <x:c r="DV606" s="4"/>
      <x:c r="DW606" s="4"/>
      <x:c r="DX606" s="4"/>
      <x:c r="DY606" s="4"/>
      <x:c r="DZ606" s="4"/>
      <x:c r="EA606" s="4"/>
      <x:c r="EB606" s="4"/>
      <x:c r="EC606" s="4"/>
      <x:c r="ED606" s="4"/>
      <x:c r="EE606" s="4"/>
      <x:c r="EF606" s="4"/>
      <x:c r="EG606" s="4"/>
      <x:c r="EH606" s="4"/>
      <x:c r="EI606" s="4"/>
      <x:c r="EJ606" s="4"/>
      <x:c r="EK606" s="4"/>
      <x:c r="EL606" s="4"/>
      <x:c r="EM606" s="4"/>
      <x:c r="EN606" s="4"/>
      <x:c r="EO606" s="4"/>
      <x:c r="EP606" s="4"/>
      <x:c r="EQ606" s="4"/>
      <x:c r="ER606" s="4"/>
      <x:c r="ES606" s="4"/>
      <x:c r="ET606" s="4"/>
      <x:c r="EU606" s="4"/>
      <x:c r="EV606" s="4"/>
      <x:c r="EW606" s="4"/>
      <x:c r="EX606" s="4"/>
      <x:c r="EY606" s="4"/>
      <x:c r="EZ606" s="4"/>
      <x:c r="FA606" s="4"/>
      <x:c r="FB606" s="4"/>
      <x:c r="FC606" s="4"/>
      <x:c r="FD606" s="4"/>
      <x:c r="FE606" s="4"/>
      <x:c r="FF606" s="4"/>
      <x:c r="FG606" s="4"/>
      <x:c r="FH606" s="4"/>
      <x:c r="FI606" s="4"/>
      <x:c r="FJ606" s="4"/>
      <x:c r="FK606" s="4"/>
      <x:c r="FL606" s="4"/>
      <x:c r="FM606" s="4"/>
      <x:c r="FN606" s="4"/>
      <x:c r="FO606" s="4"/>
      <x:c r="JA606" t="n">
        <x:f>IF(OR(IFERROR(INDIRECT("'WCM Calibration Final'!$A$606")&lt;&gt;"",FALSE),IFERROR(INDIRECT("'WCM Calibration Final'!$B$606")&lt;&gt;"",FALSE),IFERROR(INDIRECT("'WCM Calibration Final'!$C$606")&lt;&gt;"",FALSE)),606,0)</x:f>
        <x:v>0</x:v>
      </x:c>
      <x:c r="JB606" t="n">
        <x:f>'Calculations'!JB605+IF('Calculations'!JA606&gt;0,1,0)</x:f>
        <x:v>0</x:v>
      </x:c>
    </x:row>
    <x:row r="607">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4"/>
      <x:c r="DQ607" s="4"/>
      <x:c r="DR607" s="4"/>
      <x:c r="DS607" s="4"/>
      <x:c r="DT607" s="4"/>
      <x:c r="DU607" s="4"/>
      <x:c r="DV607" s="4"/>
      <x:c r="DW607" s="4"/>
      <x:c r="DX607" s="4"/>
      <x:c r="DY607" s="4"/>
      <x:c r="DZ607" s="4"/>
      <x:c r="EA607" s="4"/>
      <x:c r="EB607" s="4"/>
      <x:c r="EC607" s="4"/>
      <x:c r="ED607" s="4"/>
      <x:c r="EE607" s="4"/>
      <x:c r="EF607" s="4"/>
      <x:c r="EG607" s="4"/>
      <x:c r="EH607" s="4"/>
      <x:c r="EI607" s="4"/>
      <x:c r="EJ607" s="4"/>
      <x:c r="EK607" s="4"/>
      <x:c r="EL607" s="4"/>
      <x:c r="EM607" s="4"/>
      <x:c r="EN607" s="4"/>
      <x:c r="EO607" s="4"/>
      <x:c r="EP607" s="4"/>
      <x:c r="EQ607" s="4"/>
      <x:c r="ER607" s="4"/>
      <x:c r="ES607" s="4"/>
      <x:c r="ET607" s="4"/>
      <x:c r="EU607" s="4"/>
      <x:c r="EV607" s="4"/>
      <x:c r="EW607" s="4"/>
      <x:c r="EX607" s="4"/>
      <x:c r="EY607" s="4"/>
      <x:c r="EZ607" s="4"/>
      <x:c r="FA607" s="4"/>
      <x:c r="FB607" s="4"/>
      <x:c r="FC607" s="4"/>
      <x:c r="FD607" s="4"/>
      <x:c r="FE607" s="4"/>
      <x:c r="FF607" s="4"/>
      <x:c r="FG607" s="4"/>
      <x:c r="FH607" s="4"/>
      <x:c r="FI607" s="4"/>
      <x:c r="FJ607" s="4"/>
      <x:c r="FK607" s="4"/>
      <x:c r="FL607" s="4"/>
      <x:c r="FM607" s="4"/>
      <x:c r="FN607" s="4"/>
      <x:c r="FO607" s="4"/>
      <x:c r="JA607" t="n">
        <x:f>IF(OR(IFERROR(INDIRECT("'WCM Calibration Final'!$A$607")&lt;&gt;"",FALSE),IFERROR(INDIRECT("'WCM Calibration Final'!$B$607")&lt;&gt;"",FALSE),IFERROR(INDIRECT("'WCM Calibration Final'!$C$607")&lt;&gt;"",FALSE)),607,0)</x:f>
        <x:v>0</x:v>
      </x:c>
      <x:c r="JB607" t="n">
        <x:f>'Calculations'!JB606+IF('Calculations'!JA607&gt;0,1,0)</x:f>
        <x:v>0</x:v>
      </x:c>
    </x:row>
    <x:row r="608">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4"/>
      <x:c r="DQ608" s="4"/>
      <x:c r="DR608" s="4"/>
      <x:c r="DS608" s="4"/>
      <x:c r="DT608" s="4"/>
      <x:c r="DU608" s="4"/>
      <x:c r="DV608" s="4"/>
      <x:c r="DW608" s="4"/>
      <x:c r="DX608" s="4"/>
      <x:c r="DY608" s="4"/>
      <x:c r="DZ608" s="4"/>
      <x:c r="EA608" s="4"/>
      <x:c r="EB608" s="4"/>
      <x:c r="EC608" s="4"/>
      <x:c r="ED608" s="4"/>
      <x:c r="EE608" s="4"/>
      <x:c r="EF608" s="4"/>
      <x:c r="EG608" s="4"/>
      <x:c r="EH608" s="4"/>
      <x:c r="EI608" s="4"/>
      <x:c r="EJ608" s="4"/>
      <x:c r="EK608" s="4"/>
      <x:c r="EL608" s="4"/>
      <x:c r="EM608" s="4"/>
      <x:c r="EN608" s="4"/>
      <x:c r="EO608" s="4"/>
      <x:c r="EP608" s="4"/>
      <x:c r="EQ608" s="4"/>
      <x:c r="ER608" s="4"/>
      <x:c r="ES608" s="4"/>
      <x:c r="ET608" s="4"/>
      <x:c r="EU608" s="4"/>
      <x:c r="EV608" s="4"/>
      <x:c r="EW608" s="4"/>
      <x:c r="EX608" s="4"/>
      <x:c r="EY608" s="4"/>
      <x:c r="EZ608" s="4"/>
      <x:c r="FA608" s="4"/>
      <x:c r="FB608" s="4"/>
      <x:c r="FC608" s="4"/>
      <x:c r="FD608" s="4"/>
      <x:c r="FE608" s="4"/>
      <x:c r="FF608" s="4"/>
      <x:c r="FG608" s="4"/>
      <x:c r="FH608" s="4"/>
      <x:c r="FI608" s="4"/>
      <x:c r="FJ608" s="4"/>
      <x:c r="FK608" s="4"/>
      <x:c r="FL608" s="4"/>
      <x:c r="FM608" s="4"/>
      <x:c r="FN608" s="4"/>
      <x:c r="FO608" s="4"/>
      <x:c r="JA608" t="n">
        <x:f>IF(OR(IFERROR(INDIRECT("'WCM Calibration Final'!$A$608")&lt;&gt;"",FALSE),IFERROR(INDIRECT("'WCM Calibration Final'!$B$608")&lt;&gt;"",FALSE),IFERROR(INDIRECT("'WCM Calibration Final'!$C$608")&lt;&gt;"",FALSE)),608,0)</x:f>
        <x:v>0</x:v>
      </x:c>
      <x:c r="JB608" t="n">
        <x:f>'Calculations'!JB607+IF('Calculations'!JA608&gt;0,1,0)</x:f>
        <x:v>0</x:v>
      </x:c>
    </x:row>
    <x:row r="609">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4"/>
      <x:c r="DQ609" s="4"/>
      <x:c r="DR609" s="4"/>
      <x:c r="DS609" s="4"/>
      <x:c r="DT609" s="4"/>
      <x:c r="DU609" s="4"/>
      <x:c r="DV609" s="4"/>
      <x:c r="DW609" s="4"/>
      <x:c r="DX609" s="4"/>
      <x:c r="DY609" s="4"/>
      <x:c r="DZ609" s="4"/>
      <x:c r="EA609" s="4"/>
      <x:c r="EB609" s="4"/>
      <x:c r="EC609" s="4"/>
      <x:c r="ED609" s="4"/>
      <x:c r="EE609" s="4"/>
      <x:c r="EF609" s="4"/>
      <x:c r="EG609" s="4"/>
      <x:c r="EH609" s="4"/>
      <x:c r="EI609" s="4"/>
      <x:c r="EJ609" s="4"/>
      <x:c r="EK609" s="4"/>
      <x:c r="EL609" s="4"/>
      <x:c r="EM609" s="4"/>
      <x:c r="EN609" s="4"/>
      <x:c r="EO609" s="4"/>
      <x:c r="EP609" s="4"/>
      <x:c r="EQ609" s="4"/>
      <x:c r="ER609" s="4"/>
      <x:c r="ES609" s="4"/>
      <x:c r="ET609" s="4"/>
      <x:c r="EU609" s="4"/>
      <x:c r="EV609" s="4"/>
      <x:c r="EW609" s="4"/>
      <x:c r="EX609" s="4"/>
      <x:c r="EY609" s="4"/>
      <x:c r="EZ609" s="4"/>
      <x:c r="FA609" s="4"/>
      <x:c r="FB609" s="4"/>
      <x:c r="FC609" s="4"/>
      <x:c r="FD609" s="4"/>
      <x:c r="FE609" s="4"/>
      <x:c r="FF609" s="4"/>
      <x:c r="FG609" s="4"/>
      <x:c r="FH609" s="4"/>
      <x:c r="FI609" s="4"/>
      <x:c r="FJ609" s="4"/>
      <x:c r="FK609" s="4"/>
      <x:c r="FL609" s="4"/>
      <x:c r="FM609" s="4"/>
      <x:c r="FN609" s="4"/>
      <x:c r="FO609" s="4"/>
      <x:c r="JA609" t="n">
        <x:f>IF(OR(IFERROR(INDIRECT("'WCM Calibration Final'!$A$609")&lt;&gt;"",FALSE),IFERROR(INDIRECT("'WCM Calibration Final'!$B$609")&lt;&gt;"",FALSE),IFERROR(INDIRECT("'WCM Calibration Final'!$C$609")&lt;&gt;"",FALSE)),609,0)</x:f>
        <x:v>0</x:v>
      </x:c>
      <x:c r="JB609" t="n">
        <x:f>'Calculations'!JB608+IF('Calculations'!JA609&gt;0,1,0)</x:f>
        <x:v>0</x:v>
      </x:c>
    </x:row>
    <x:row r="610">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4"/>
      <x:c r="DQ610" s="4"/>
      <x:c r="DR610" s="4"/>
      <x:c r="DS610" s="4"/>
      <x:c r="DT610" s="4"/>
      <x:c r="DU610" s="4"/>
      <x:c r="DV610" s="4"/>
      <x:c r="DW610" s="4"/>
      <x:c r="DX610" s="4"/>
      <x:c r="DY610" s="4"/>
      <x:c r="DZ610" s="4"/>
      <x:c r="EA610" s="4"/>
      <x:c r="EB610" s="4"/>
      <x:c r="EC610" s="4"/>
      <x:c r="ED610" s="4"/>
      <x:c r="EE610" s="4"/>
      <x:c r="EF610" s="4"/>
      <x:c r="EG610" s="4"/>
      <x:c r="EH610" s="4"/>
      <x:c r="EI610" s="4"/>
      <x:c r="EJ610" s="4"/>
      <x:c r="EK610" s="4"/>
      <x:c r="EL610" s="4"/>
      <x:c r="EM610" s="4"/>
      <x:c r="EN610" s="4"/>
      <x:c r="EO610" s="4"/>
      <x:c r="EP610" s="4"/>
      <x:c r="EQ610" s="4"/>
      <x:c r="ER610" s="4"/>
      <x:c r="ES610" s="4"/>
      <x:c r="ET610" s="4"/>
      <x:c r="EU610" s="4"/>
      <x:c r="EV610" s="4"/>
      <x:c r="EW610" s="4"/>
      <x:c r="EX610" s="4"/>
      <x:c r="EY610" s="4"/>
      <x:c r="EZ610" s="4"/>
      <x:c r="FA610" s="4"/>
      <x:c r="FB610" s="4"/>
      <x:c r="FC610" s="4"/>
      <x:c r="FD610" s="4"/>
      <x:c r="FE610" s="4"/>
      <x:c r="FF610" s="4"/>
      <x:c r="FG610" s="4"/>
      <x:c r="FH610" s="4"/>
      <x:c r="FI610" s="4"/>
      <x:c r="FJ610" s="4"/>
      <x:c r="FK610" s="4"/>
      <x:c r="FL610" s="4"/>
      <x:c r="FM610" s="4"/>
      <x:c r="FN610" s="4"/>
      <x:c r="FO610" s="4"/>
      <x:c r="JA610" t="n">
        <x:f>IF(OR(IFERROR(INDIRECT("'WCM Calibration Final'!$A$610")&lt;&gt;"",FALSE),IFERROR(INDIRECT("'WCM Calibration Final'!$B$610")&lt;&gt;"",FALSE),IFERROR(INDIRECT("'WCM Calibration Final'!$C$610")&lt;&gt;"",FALSE)),610,0)</x:f>
        <x:v>0</x:v>
      </x:c>
      <x:c r="JB610" t="n">
        <x:f>'Calculations'!JB609+IF('Calculations'!JA610&gt;0,1,0)</x:f>
        <x:v>0</x:v>
      </x:c>
    </x:row>
    <x:row r="611">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4"/>
      <x:c r="DQ611" s="4"/>
      <x:c r="DR611" s="4"/>
      <x:c r="DS611" s="4"/>
      <x:c r="DT611" s="4"/>
      <x:c r="DU611" s="4"/>
      <x:c r="DV611" s="4"/>
      <x:c r="DW611" s="4"/>
      <x:c r="DX611" s="4"/>
      <x:c r="DY611" s="4"/>
      <x:c r="DZ611" s="4"/>
      <x:c r="EA611" s="4"/>
      <x:c r="EB611" s="4"/>
      <x:c r="EC611" s="4"/>
      <x:c r="ED611" s="4"/>
      <x:c r="EE611" s="4"/>
      <x:c r="EF611" s="4"/>
      <x:c r="EG611" s="4"/>
      <x:c r="EH611" s="4"/>
      <x:c r="EI611" s="4"/>
      <x:c r="EJ611" s="4"/>
      <x:c r="EK611" s="4"/>
      <x:c r="EL611" s="4"/>
      <x:c r="EM611" s="4"/>
      <x:c r="EN611" s="4"/>
      <x:c r="EO611" s="4"/>
      <x:c r="EP611" s="4"/>
      <x:c r="EQ611" s="4"/>
      <x:c r="ER611" s="4"/>
      <x:c r="ES611" s="4"/>
      <x:c r="ET611" s="4"/>
      <x:c r="EU611" s="4"/>
      <x:c r="EV611" s="4"/>
      <x:c r="EW611" s="4"/>
      <x:c r="EX611" s="4"/>
      <x:c r="EY611" s="4"/>
      <x:c r="EZ611" s="4"/>
      <x:c r="FA611" s="4"/>
      <x:c r="FB611" s="4"/>
      <x:c r="FC611" s="4"/>
      <x:c r="FD611" s="4"/>
      <x:c r="FE611" s="4"/>
      <x:c r="FF611" s="4"/>
      <x:c r="FG611" s="4"/>
      <x:c r="FH611" s="4"/>
      <x:c r="FI611" s="4"/>
      <x:c r="FJ611" s="4"/>
      <x:c r="FK611" s="4"/>
      <x:c r="FL611" s="4"/>
      <x:c r="FM611" s="4"/>
      <x:c r="FN611" s="4"/>
      <x:c r="FO611" s="4"/>
      <x:c r="JA611" t="n">
        <x:f>IF(OR(IFERROR(INDIRECT("'WCM Calibration Final'!$A$611")&lt;&gt;"",FALSE),IFERROR(INDIRECT("'WCM Calibration Final'!$B$611")&lt;&gt;"",FALSE),IFERROR(INDIRECT("'WCM Calibration Final'!$C$611")&lt;&gt;"",FALSE)),611,0)</x:f>
        <x:v>0</x:v>
      </x:c>
      <x:c r="JB611" t="n">
        <x:f>'Calculations'!JB610+IF('Calculations'!JA611&gt;0,1,0)</x:f>
        <x:v>0</x:v>
      </x:c>
    </x:row>
    <x:row r="612">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4"/>
      <x:c r="DQ612" s="4"/>
      <x:c r="DR612" s="4"/>
      <x:c r="DS612" s="4"/>
      <x:c r="DT612" s="4"/>
      <x:c r="DU612" s="4"/>
      <x:c r="DV612" s="4"/>
      <x:c r="DW612" s="4"/>
      <x:c r="DX612" s="4"/>
      <x:c r="DY612" s="4"/>
      <x:c r="DZ612" s="4"/>
      <x:c r="EA612" s="4"/>
      <x:c r="EB612" s="4"/>
      <x:c r="EC612" s="4"/>
      <x:c r="ED612" s="4"/>
      <x:c r="EE612" s="4"/>
      <x:c r="EF612" s="4"/>
      <x:c r="EG612" s="4"/>
      <x:c r="EH612" s="4"/>
      <x:c r="EI612" s="4"/>
      <x:c r="EJ612" s="4"/>
      <x:c r="EK612" s="4"/>
      <x:c r="EL612" s="4"/>
      <x:c r="EM612" s="4"/>
      <x:c r="EN612" s="4"/>
      <x:c r="EO612" s="4"/>
      <x:c r="EP612" s="4"/>
      <x:c r="EQ612" s="4"/>
      <x:c r="ER612" s="4"/>
      <x:c r="ES612" s="4"/>
      <x:c r="ET612" s="4"/>
      <x:c r="EU612" s="4"/>
      <x:c r="EV612" s="4"/>
      <x:c r="EW612" s="4"/>
      <x:c r="EX612" s="4"/>
      <x:c r="EY612" s="4"/>
      <x:c r="EZ612" s="4"/>
      <x:c r="FA612" s="4"/>
      <x:c r="FB612" s="4"/>
      <x:c r="FC612" s="4"/>
      <x:c r="FD612" s="4"/>
      <x:c r="FE612" s="4"/>
      <x:c r="FF612" s="4"/>
      <x:c r="FG612" s="4"/>
      <x:c r="FH612" s="4"/>
      <x:c r="FI612" s="4"/>
      <x:c r="FJ612" s="4"/>
      <x:c r="FK612" s="4"/>
      <x:c r="FL612" s="4"/>
      <x:c r="FM612" s="4"/>
      <x:c r="FN612" s="4"/>
      <x:c r="FO612" s="4"/>
      <x:c r="JA612" t="n">
        <x:f>IF(OR(IFERROR(INDIRECT("'WCM Calibration Final'!$A$612")&lt;&gt;"",FALSE),IFERROR(INDIRECT("'WCM Calibration Final'!$B$612")&lt;&gt;"",FALSE),IFERROR(INDIRECT("'WCM Calibration Final'!$C$612")&lt;&gt;"",FALSE)),612,0)</x:f>
        <x:v>0</x:v>
      </x:c>
      <x:c r="JB612" t="n">
        <x:f>'Calculations'!JB611+IF('Calculations'!JA612&gt;0,1,0)</x:f>
        <x:v>0</x:v>
      </x:c>
    </x:row>
    <x:row r="613">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4"/>
      <x:c r="DQ613" s="4"/>
      <x:c r="DR613" s="4"/>
      <x:c r="DS613" s="4"/>
      <x:c r="DT613" s="4"/>
      <x:c r="DU613" s="4"/>
      <x:c r="DV613" s="4"/>
      <x:c r="DW613" s="4"/>
      <x:c r="DX613" s="4"/>
      <x:c r="DY613" s="4"/>
      <x:c r="DZ613" s="4"/>
      <x:c r="EA613" s="4"/>
      <x:c r="EB613" s="4"/>
      <x:c r="EC613" s="4"/>
      <x:c r="ED613" s="4"/>
      <x:c r="EE613" s="4"/>
      <x:c r="EF613" s="4"/>
      <x:c r="EG613" s="4"/>
      <x:c r="EH613" s="4"/>
      <x:c r="EI613" s="4"/>
      <x:c r="EJ613" s="4"/>
      <x:c r="EK613" s="4"/>
      <x:c r="EL613" s="4"/>
      <x:c r="EM613" s="4"/>
      <x:c r="EN613" s="4"/>
      <x:c r="EO613" s="4"/>
      <x:c r="EP613" s="4"/>
      <x:c r="EQ613" s="4"/>
      <x:c r="ER613" s="4"/>
      <x:c r="ES613" s="4"/>
      <x:c r="ET613" s="4"/>
      <x:c r="EU613" s="4"/>
      <x:c r="EV613" s="4"/>
      <x:c r="EW613" s="4"/>
      <x:c r="EX613" s="4"/>
      <x:c r="EY613" s="4"/>
      <x:c r="EZ613" s="4"/>
      <x:c r="FA613" s="4"/>
      <x:c r="FB613" s="4"/>
      <x:c r="FC613" s="4"/>
      <x:c r="FD613" s="4"/>
      <x:c r="FE613" s="4"/>
      <x:c r="FF613" s="4"/>
      <x:c r="FG613" s="4"/>
      <x:c r="FH613" s="4"/>
      <x:c r="FI613" s="4"/>
      <x:c r="FJ613" s="4"/>
      <x:c r="FK613" s="4"/>
      <x:c r="FL613" s="4"/>
      <x:c r="FM613" s="4"/>
      <x:c r="FN613" s="4"/>
      <x:c r="FO613" s="4"/>
      <x:c r="JA613" t="n">
        <x:f>IF(OR(IFERROR(INDIRECT("'WCM Calibration Final'!$A$613")&lt;&gt;"",FALSE),IFERROR(INDIRECT("'WCM Calibration Final'!$B$613")&lt;&gt;"",FALSE),IFERROR(INDIRECT("'WCM Calibration Final'!$C$613")&lt;&gt;"",FALSE)),613,0)</x:f>
        <x:v>0</x:v>
      </x:c>
      <x:c r="JB613" t="n">
        <x:f>'Calculations'!JB612+IF('Calculations'!JA613&gt;0,1,0)</x:f>
        <x:v>0</x:v>
      </x:c>
    </x:row>
    <x:row r="614">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4"/>
      <x:c r="DQ614" s="4"/>
      <x:c r="DR614" s="4"/>
      <x:c r="DS614" s="4"/>
      <x:c r="DT614" s="4"/>
      <x:c r="DU614" s="4"/>
      <x:c r="DV614" s="4"/>
      <x:c r="DW614" s="4"/>
      <x:c r="DX614" s="4"/>
      <x:c r="DY614" s="4"/>
      <x:c r="DZ614" s="4"/>
      <x:c r="EA614" s="4"/>
      <x:c r="EB614" s="4"/>
      <x:c r="EC614" s="4"/>
      <x:c r="ED614" s="4"/>
      <x:c r="EE614" s="4"/>
      <x:c r="EF614" s="4"/>
      <x:c r="EG614" s="4"/>
      <x:c r="EH614" s="4"/>
      <x:c r="EI614" s="4"/>
      <x:c r="EJ614" s="4"/>
      <x:c r="EK614" s="4"/>
      <x:c r="EL614" s="4"/>
      <x:c r="EM614" s="4"/>
      <x:c r="EN614" s="4"/>
      <x:c r="EO614" s="4"/>
      <x:c r="EP614" s="4"/>
      <x:c r="EQ614" s="4"/>
      <x:c r="ER614" s="4"/>
      <x:c r="ES614" s="4"/>
      <x:c r="ET614" s="4"/>
      <x:c r="EU614" s="4"/>
      <x:c r="EV614" s="4"/>
      <x:c r="EW614" s="4"/>
      <x:c r="EX614" s="4"/>
      <x:c r="EY614" s="4"/>
      <x:c r="EZ614" s="4"/>
      <x:c r="FA614" s="4"/>
      <x:c r="FB614" s="4"/>
      <x:c r="FC614" s="4"/>
      <x:c r="FD614" s="4"/>
      <x:c r="FE614" s="4"/>
      <x:c r="FF614" s="4"/>
      <x:c r="FG614" s="4"/>
      <x:c r="FH614" s="4"/>
      <x:c r="FI614" s="4"/>
      <x:c r="FJ614" s="4"/>
      <x:c r="FK614" s="4"/>
      <x:c r="FL614" s="4"/>
      <x:c r="FM614" s="4"/>
      <x:c r="FN614" s="4"/>
      <x:c r="FO614" s="4"/>
      <x:c r="JA614" t="n">
        <x:f>IF(OR(IFERROR(INDIRECT("'WCM Calibration Final'!$A$614")&lt;&gt;"",FALSE),IFERROR(INDIRECT("'WCM Calibration Final'!$B$614")&lt;&gt;"",FALSE),IFERROR(INDIRECT("'WCM Calibration Final'!$C$614")&lt;&gt;"",FALSE)),614,0)</x:f>
        <x:v>0</x:v>
      </x:c>
      <x:c r="JB614" t="n">
        <x:f>'Calculations'!JB613+IF('Calculations'!JA614&gt;0,1,0)</x:f>
        <x:v>0</x:v>
      </x:c>
    </x:row>
    <x:row r="615">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4"/>
      <x:c r="DQ615" s="4"/>
      <x:c r="DR615" s="4"/>
      <x:c r="DS615" s="4"/>
      <x:c r="DT615" s="4"/>
      <x:c r="DU615" s="4"/>
      <x:c r="DV615" s="4"/>
      <x:c r="DW615" s="4"/>
      <x:c r="DX615" s="4"/>
      <x:c r="DY615" s="4"/>
      <x:c r="DZ615" s="4"/>
      <x:c r="EA615" s="4"/>
      <x:c r="EB615" s="4"/>
      <x:c r="EC615" s="4"/>
      <x:c r="ED615" s="4"/>
      <x:c r="EE615" s="4"/>
      <x:c r="EF615" s="4"/>
      <x:c r="EG615" s="4"/>
      <x:c r="EH615" s="4"/>
      <x:c r="EI615" s="4"/>
      <x:c r="EJ615" s="4"/>
      <x:c r="EK615" s="4"/>
      <x:c r="EL615" s="4"/>
      <x:c r="EM615" s="4"/>
      <x:c r="EN615" s="4"/>
      <x:c r="EO615" s="4"/>
      <x:c r="EP615" s="4"/>
      <x:c r="EQ615" s="4"/>
      <x:c r="ER615" s="4"/>
      <x:c r="ES615" s="4"/>
      <x:c r="ET615" s="4"/>
      <x:c r="EU615" s="4"/>
      <x:c r="EV615" s="4"/>
      <x:c r="EW615" s="4"/>
      <x:c r="EX615" s="4"/>
      <x:c r="EY615" s="4"/>
      <x:c r="EZ615" s="4"/>
      <x:c r="FA615" s="4"/>
      <x:c r="FB615" s="4"/>
      <x:c r="FC615" s="4"/>
      <x:c r="FD615" s="4"/>
      <x:c r="FE615" s="4"/>
      <x:c r="FF615" s="4"/>
      <x:c r="FG615" s="4"/>
      <x:c r="FH615" s="4"/>
      <x:c r="FI615" s="4"/>
      <x:c r="FJ615" s="4"/>
      <x:c r="FK615" s="4"/>
      <x:c r="FL615" s="4"/>
      <x:c r="FM615" s="4"/>
      <x:c r="FN615" s="4"/>
      <x:c r="FO615" s="4"/>
      <x:c r="JA615" t="n">
        <x:f>IF(OR(IFERROR(INDIRECT("'WCM Calibration Final'!$A$615")&lt;&gt;"",FALSE),IFERROR(INDIRECT("'WCM Calibration Final'!$B$615")&lt;&gt;"",FALSE),IFERROR(INDIRECT("'WCM Calibration Final'!$C$615")&lt;&gt;"",FALSE)),615,0)</x:f>
        <x:v>0</x:v>
      </x:c>
      <x:c r="JB615" t="n">
        <x:f>'Calculations'!JB614+IF('Calculations'!JA615&gt;0,1,0)</x:f>
        <x:v>0</x:v>
      </x:c>
    </x:row>
    <x:row r="616">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4"/>
      <x:c r="DQ616" s="4"/>
      <x:c r="DR616" s="4"/>
      <x:c r="DS616" s="4"/>
      <x:c r="DT616" s="4"/>
      <x:c r="DU616" s="4"/>
      <x:c r="DV616" s="4"/>
      <x:c r="DW616" s="4"/>
      <x:c r="DX616" s="4"/>
      <x:c r="DY616" s="4"/>
      <x:c r="DZ616" s="4"/>
      <x:c r="EA616" s="4"/>
      <x:c r="EB616" s="4"/>
      <x:c r="EC616" s="4"/>
      <x:c r="ED616" s="4"/>
      <x:c r="EE616" s="4"/>
      <x:c r="EF616" s="4"/>
      <x:c r="EG616" s="4"/>
      <x:c r="EH616" s="4"/>
      <x:c r="EI616" s="4"/>
      <x:c r="EJ616" s="4"/>
      <x:c r="EK616" s="4"/>
      <x:c r="EL616" s="4"/>
      <x:c r="EM616" s="4"/>
      <x:c r="EN616" s="4"/>
      <x:c r="EO616" s="4"/>
      <x:c r="EP616" s="4"/>
      <x:c r="EQ616" s="4"/>
      <x:c r="ER616" s="4"/>
      <x:c r="ES616" s="4"/>
      <x:c r="ET616" s="4"/>
      <x:c r="EU616" s="4"/>
      <x:c r="EV616" s="4"/>
      <x:c r="EW616" s="4"/>
      <x:c r="EX616" s="4"/>
      <x:c r="EY616" s="4"/>
      <x:c r="EZ616" s="4"/>
      <x:c r="FA616" s="4"/>
      <x:c r="FB616" s="4"/>
      <x:c r="FC616" s="4"/>
      <x:c r="FD616" s="4"/>
      <x:c r="FE616" s="4"/>
      <x:c r="FF616" s="4"/>
      <x:c r="FG616" s="4"/>
      <x:c r="FH616" s="4"/>
      <x:c r="FI616" s="4"/>
      <x:c r="FJ616" s="4"/>
      <x:c r="FK616" s="4"/>
      <x:c r="FL616" s="4"/>
      <x:c r="FM616" s="4"/>
      <x:c r="FN616" s="4"/>
      <x:c r="FO616" s="4"/>
      <x:c r="JA616" t="n">
        <x:f>IF(OR(IFERROR(INDIRECT("'WCM Calibration Final'!$A$616")&lt;&gt;"",FALSE),IFERROR(INDIRECT("'WCM Calibration Final'!$B$616")&lt;&gt;"",FALSE),IFERROR(INDIRECT("'WCM Calibration Final'!$C$616")&lt;&gt;"",FALSE)),616,0)</x:f>
        <x:v>0</x:v>
      </x:c>
      <x:c r="JB616" t="n">
        <x:f>'Calculations'!JB615+IF('Calculations'!JA616&gt;0,1,0)</x:f>
        <x:v>0</x:v>
      </x:c>
    </x:row>
    <x:row r="617">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4"/>
      <x:c r="DQ617" s="4"/>
      <x:c r="DR617" s="4"/>
      <x:c r="DS617" s="4"/>
      <x:c r="DT617" s="4"/>
      <x:c r="DU617" s="4"/>
      <x:c r="DV617" s="4"/>
      <x:c r="DW617" s="4"/>
      <x:c r="DX617" s="4"/>
      <x:c r="DY617" s="4"/>
      <x:c r="DZ617" s="4"/>
      <x:c r="EA617" s="4"/>
      <x:c r="EB617" s="4"/>
      <x:c r="EC617" s="4"/>
      <x:c r="ED617" s="4"/>
      <x:c r="EE617" s="4"/>
      <x:c r="EF617" s="4"/>
      <x:c r="EG617" s="4"/>
      <x:c r="EH617" s="4"/>
      <x:c r="EI617" s="4"/>
      <x:c r="EJ617" s="4"/>
      <x:c r="EK617" s="4"/>
      <x:c r="EL617" s="4"/>
      <x:c r="EM617" s="4"/>
      <x:c r="EN617" s="4"/>
      <x:c r="EO617" s="4"/>
      <x:c r="EP617" s="4"/>
      <x:c r="EQ617" s="4"/>
      <x:c r="ER617" s="4"/>
      <x:c r="ES617" s="4"/>
      <x:c r="ET617" s="4"/>
      <x:c r="EU617" s="4"/>
      <x:c r="EV617" s="4"/>
      <x:c r="EW617" s="4"/>
      <x:c r="EX617" s="4"/>
      <x:c r="EY617" s="4"/>
      <x:c r="EZ617" s="4"/>
      <x:c r="FA617" s="4"/>
      <x:c r="FB617" s="4"/>
      <x:c r="FC617" s="4"/>
      <x:c r="FD617" s="4"/>
      <x:c r="FE617" s="4"/>
      <x:c r="FF617" s="4"/>
      <x:c r="FG617" s="4"/>
      <x:c r="FH617" s="4"/>
      <x:c r="FI617" s="4"/>
      <x:c r="FJ617" s="4"/>
      <x:c r="FK617" s="4"/>
      <x:c r="FL617" s="4"/>
      <x:c r="FM617" s="4"/>
      <x:c r="FN617" s="4"/>
      <x:c r="FO617" s="4"/>
      <x:c r="JA617" t="n">
        <x:f>IF(OR(IFERROR(INDIRECT("'WCM Calibration Final'!$A$617")&lt;&gt;"",FALSE),IFERROR(INDIRECT("'WCM Calibration Final'!$B$617")&lt;&gt;"",FALSE),IFERROR(INDIRECT("'WCM Calibration Final'!$C$617")&lt;&gt;"",FALSE)),617,0)</x:f>
        <x:v>0</x:v>
      </x:c>
      <x:c r="JB617" t="n">
        <x:f>'Calculations'!JB616+IF('Calculations'!JA617&gt;0,1,0)</x:f>
        <x:v>0</x:v>
      </x:c>
    </x:row>
    <x:row r="618">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4"/>
      <x:c r="DQ618" s="4"/>
      <x:c r="DR618" s="4"/>
      <x:c r="DS618" s="4"/>
      <x:c r="DT618" s="4"/>
      <x:c r="DU618" s="4"/>
      <x:c r="DV618" s="4"/>
      <x:c r="DW618" s="4"/>
      <x:c r="DX618" s="4"/>
      <x:c r="DY618" s="4"/>
      <x:c r="DZ618" s="4"/>
      <x:c r="EA618" s="4"/>
      <x:c r="EB618" s="4"/>
      <x:c r="EC618" s="4"/>
      <x:c r="ED618" s="4"/>
      <x:c r="EE618" s="4"/>
      <x:c r="EF618" s="4"/>
      <x:c r="EG618" s="4"/>
      <x:c r="EH618" s="4"/>
      <x:c r="EI618" s="4"/>
      <x:c r="EJ618" s="4"/>
      <x:c r="EK618" s="4"/>
      <x:c r="EL618" s="4"/>
      <x:c r="EM618" s="4"/>
      <x:c r="EN618" s="4"/>
      <x:c r="EO618" s="4"/>
      <x:c r="EP618" s="4"/>
      <x:c r="EQ618" s="4"/>
      <x:c r="ER618" s="4"/>
      <x:c r="ES618" s="4"/>
      <x:c r="ET618" s="4"/>
      <x:c r="EU618" s="4"/>
      <x:c r="EV618" s="4"/>
      <x:c r="EW618" s="4"/>
      <x:c r="EX618" s="4"/>
      <x:c r="EY618" s="4"/>
      <x:c r="EZ618" s="4"/>
      <x:c r="FA618" s="4"/>
      <x:c r="FB618" s="4"/>
      <x:c r="FC618" s="4"/>
      <x:c r="FD618" s="4"/>
      <x:c r="FE618" s="4"/>
      <x:c r="FF618" s="4"/>
      <x:c r="FG618" s="4"/>
      <x:c r="FH618" s="4"/>
      <x:c r="FI618" s="4"/>
      <x:c r="FJ618" s="4"/>
      <x:c r="FK618" s="4"/>
      <x:c r="FL618" s="4"/>
      <x:c r="FM618" s="4"/>
      <x:c r="FN618" s="4"/>
      <x:c r="FO618" s="4"/>
      <x:c r="JA618" t="n">
        <x:f>IF(OR(IFERROR(INDIRECT("'WCM Calibration Final'!$A$618")&lt;&gt;"",FALSE),IFERROR(INDIRECT("'WCM Calibration Final'!$B$618")&lt;&gt;"",FALSE),IFERROR(INDIRECT("'WCM Calibration Final'!$C$618")&lt;&gt;"",FALSE)),618,0)</x:f>
        <x:v>0</x:v>
      </x:c>
      <x:c r="JB618" t="n">
        <x:f>'Calculations'!JB617+IF('Calculations'!JA618&gt;0,1,0)</x:f>
        <x:v>0</x:v>
      </x:c>
    </x:row>
    <x:row r="619">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4"/>
      <x:c r="DQ619" s="4"/>
      <x:c r="DR619" s="4"/>
      <x:c r="DS619" s="4"/>
      <x:c r="DT619" s="4"/>
      <x:c r="DU619" s="4"/>
      <x:c r="DV619" s="4"/>
      <x:c r="DW619" s="4"/>
      <x:c r="DX619" s="4"/>
      <x:c r="DY619" s="4"/>
      <x:c r="DZ619" s="4"/>
      <x:c r="EA619" s="4"/>
      <x:c r="EB619" s="4"/>
      <x:c r="EC619" s="4"/>
      <x:c r="ED619" s="4"/>
      <x:c r="EE619" s="4"/>
      <x:c r="EF619" s="4"/>
      <x:c r="EG619" s="4"/>
      <x:c r="EH619" s="4"/>
      <x:c r="EI619" s="4"/>
      <x:c r="EJ619" s="4"/>
      <x:c r="EK619" s="4"/>
      <x:c r="EL619" s="4"/>
      <x:c r="EM619" s="4"/>
      <x:c r="EN619" s="4"/>
      <x:c r="EO619" s="4"/>
      <x:c r="EP619" s="4"/>
      <x:c r="EQ619" s="4"/>
      <x:c r="ER619" s="4"/>
      <x:c r="ES619" s="4"/>
      <x:c r="ET619" s="4"/>
      <x:c r="EU619" s="4"/>
      <x:c r="EV619" s="4"/>
      <x:c r="EW619" s="4"/>
      <x:c r="EX619" s="4"/>
      <x:c r="EY619" s="4"/>
      <x:c r="EZ619" s="4"/>
      <x:c r="FA619" s="4"/>
      <x:c r="FB619" s="4"/>
      <x:c r="FC619" s="4"/>
      <x:c r="FD619" s="4"/>
      <x:c r="FE619" s="4"/>
      <x:c r="FF619" s="4"/>
      <x:c r="FG619" s="4"/>
      <x:c r="FH619" s="4"/>
      <x:c r="FI619" s="4"/>
      <x:c r="FJ619" s="4"/>
      <x:c r="FK619" s="4"/>
      <x:c r="FL619" s="4"/>
      <x:c r="FM619" s="4"/>
      <x:c r="FN619" s="4"/>
      <x:c r="FO619" s="4"/>
      <x:c r="JA619" t="n">
        <x:f>IF(OR(IFERROR(INDIRECT("'WCM Calibration Final'!$A$619")&lt;&gt;"",FALSE),IFERROR(INDIRECT("'WCM Calibration Final'!$B$619")&lt;&gt;"",FALSE),IFERROR(INDIRECT("'WCM Calibration Final'!$C$619")&lt;&gt;"",FALSE)),619,0)</x:f>
        <x:v>0</x:v>
      </x:c>
      <x:c r="JB619" t="n">
        <x:f>'Calculations'!JB618+IF('Calculations'!JA619&gt;0,1,0)</x:f>
        <x:v>0</x:v>
      </x:c>
    </x:row>
    <x:row r="620">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4"/>
      <x:c r="DQ620" s="4"/>
      <x:c r="DR620" s="4"/>
      <x:c r="DS620" s="4"/>
      <x:c r="DT620" s="4"/>
      <x:c r="DU620" s="4"/>
      <x:c r="DV620" s="4"/>
      <x:c r="DW620" s="4"/>
      <x:c r="DX620" s="4"/>
      <x:c r="DY620" s="4"/>
      <x:c r="DZ620" s="4"/>
      <x:c r="EA620" s="4"/>
      <x:c r="EB620" s="4"/>
      <x:c r="EC620" s="4"/>
      <x:c r="ED620" s="4"/>
      <x:c r="EE620" s="4"/>
      <x:c r="EF620" s="4"/>
      <x:c r="EG620" s="4"/>
      <x:c r="EH620" s="4"/>
      <x:c r="EI620" s="4"/>
      <x:c r="EJ620" s="4"/>
      <x:c r="EK620" s="4"/>
      <x:c r="EL620" s="4"/>
      <x:c r="EM620" s="4"/>
      <x:c r="EN620" s="4"/>
      <x:c r="EO620" s="4"/>
      <x:c r="EP620" s="4"/>
      <x:c r="EQ620" s="4"/>
      <x:c r="ER620" s="4"/>
      <x:c r="ES620" s="4"/>
      <x:c r="ET620" s="4"/>
      <x:c r="EU620" s="4"/>
      <x:c r="EV620" s="4"/>
      <x:c r="EW620" s="4"/>
      <x:c r="EX620" s="4"/>
      <x:c r="EY620" s="4"/>
      <x:c r="EZ620" s="4"/>
      <x:c r="FA620" s="4"/>
      <x:c r="FB620" s="4"/>
      <x:c r="FC620" s="4"/>
      <x:c r="FD620" s="4"/>
      <x:c r="FE620" s="4"/>
      <x:c r="FF620" s="4"/>
      <x:c r="FG620" s="4"/>
      <x:c r="FH620" s="4"/>
      <x:c r="FI620" s="4"/>
      <x:c r="FJ620" s="4"/>
      <x:c r="FK620" s="4"/>
      <x:c r="FL620" s="4"/>
      <x:c r="FM620" s="4"/>
      <x:c r="FN620" s="4"/>
      <x:c r="FO620" s="4"/>
      <x:c r="JA620" t="n">
        <x:f>IF(OR(IFERROR(INDIRECT("'WCM Calibration Final'!$A$620")&lt;&gt;"",FALSE),IFERROR(INDIRECT("'WCM Calibration Final'!$B$620")&lt;&gt;"",FALSE),IFERROR(INDIRECT("'WCM Calibration Final'!$C$620")&lt;&gt;"",FALSE)),620,0)</x:f>
        <x:v>0</x:v>
      </x:c>
      <x:c r="JB620" t="n">
        <x:f>'Calculations'!JB619+IF('Calculations'!JA620&gt;0,1,0)</x:f>
        <x:v>0</x:v>
      </x:c>
    </x:row>
    <x:row r="621">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4"/>
      <x:c r="DQ621" s="4"/>
      <x:c r="DR621" s="4"/>
      <x:c r="DS621" s="4"/>
      <x:c r="DT621" s="4"/>
      <x:c r="DU621" s="4"/>
      <x:c r="DV621" s="4"/>
      <x:c r="DW621" s="4"/>
      <x:c r="DX621" s="4"/>
      <x:c r="DY621" s="4"/>
      <x:c r="DZ621" s="4"/>
      <x:c r="EA621" s="4"/>
      <x:c r="EB621" s="4"/>
      <x:c r="EC621" s="4"/>
      <x:c r="ED621" s="4"/>
      <x:c r="EE621" s="4"/>
      <x:c r="EF621" s="4"/>
      <x:c r="EG621" s="4"/>
      <x:c r="EH621" s="4"/>
      <x:c r="EI621" s="4"/>
      <x:c r="EJ621" s="4"/>
      <x:c r="EK621" s="4"/>
      <x:c r="EL621" s="4"/>
      <x:c r="EM621" s="4"/>
      <x:c r="EN621" s="4"/>
      <x:c r="EO621" s="4"/>
      <x:c r="EP621" s="4"/>
      <x:c r="EQ621" s="4"/>
      <x:c r="ER621" s="4"/>
      <x:c r="ES621" s="4"/>
      <x:c r="ET621" s="4"/>
      <x:c r="EU621" s="4"/>
      <x:c r="EV621" s="4"/>
      <x:c r="EW621" s="4"/>
      <x:c r="EX621" s="4"/>
      <x:c r="EY621" s="4"/>
      <x:c r="EZ621" s="4"/>
      <x:c r="FA621" s="4"/>
      <x:c r="FB621" s="4"/>
      <x:c r="FC621" s="4"/>
      <x:c r="FD621" s="4"/>
      <x:c r="FE621" s="4"/>
      <x:c r="FF621" s="4"/>
      <x:c r="FG621" s="4"/>
      <x:c r="FH621" s="4"/>
      <x:c r="FI621" s="4"/>
      <x:c r="FJ621" s="4"/>
      <x:c r="FK621" s="4"/>
      <x:c r="FL621" s="4"/>
      <x:c r="FM621" s="4"/>
      <x:c r="FN621" s="4"/>
      <x:c r="FO621" s="4"/>
      <x:c r="JA621" t="n">
        <x:f>IF(OR(IFERROR(INDIRECT("'WCM Calibration Final'!$A$621")&lt;&gt;"",FALSE),IFERROR(INDIRECT("'WCM Calibration Final'!$B$621")&lt;&gt;"",FALSE),IFERROR(INDIRECT("'WCM Calibration Final'!$C$621")&lt;&gt;"",FALSE)),621,0)</x:f>
        <x:v>0</x:v>
      </x:c>
      <x:c r="JB621" t="n">
        <x:f>'Calculations'!JB620+IF('Calculations'!JA621&gt;0,1,0)</x:f>
        <x:v>0</x:v>
      </x:c>
    </x:row>
    <x:row r="622">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4"/>
      <x:c r="DQ622" s="4"/>
      <x:c r="DR622" s="4"/>
      <x:c r="DS622" s="4"/>
      <x:c r="DT622" s="4"/>
      <x:c r="DU622" s="4"/>
      <x:c r="DV622" s="4"/>
      <x:c r="DW622" s="4"/>
      <x:c r="DX622" s="4"/>
      <x:c r="DY622" s="4"/>
      <x:c r="DZ622" s="4"/>
      <x:c r="EA622" s="4"/>
      <x:c r="EB622" s="4"/>
      <x:c r="EC622" s="4"/>
      <x:c r="ED622" s="4"/>
      <x:c r="EE622" s="4"/>
      <x:c r="EF622" s="4"/>
      <x:c r="EG622" s="4"/>
      <x:c r="EH622" s="4"/>
      <x:c r="EI622" s="4"/>
      <x:c r="EJ622" s="4"/>
      <x:c r="EK622" s="4"/>
      <x:c r="EL622" s="4"/>
      <x:c r="EM622" s="4"/>
      <x:c r="EN622" s="4"/>
      <x:c r="EO622" s="4"/>
      <x:c r="EP622" s="4"/>
      <x:c r="EQ622" s="4"/>
      <x:c r="ER622" s="4"/>
      <x:c r="ES622" s="4"/>
      <x:c r="ET622" s="4"/>
      <x:c r="EU622" s="4"/>
      <x:c r="EV622" s="4"/>
      <x:c r="EW622" s="4"/>
      <x:c r="EX622" s="4"/>
      <x:c r="EY622" s="4"/>
      <x:c r="EZ622" s="4"/>
      <x:c r="FA622" s="4"/>
      <x:c r="FB622" s="4"/>
      <x:c r="FC622" s="4"/>
      <x:c r="FD622" s="4"/>
      <x:c r="FE622" s="4"/>
      <x:c r="FF622" s="4"/>
      <x:c r="FG622" s="4"/>
      <x:c r="FH622" s="4"/>
      <x:c r="FI622" s="4"/>
      <x:c r="FJ622" s="4"/>
      <x:c r="FK622" s="4"/>
      <x:c r="FL622" s="4"/>
      <x:c r="FM622" s="4"/>
      <x:c r="FN622" s="4"/>
      <x:c r="FO622" s="4"/>
      <x:c r="JA622" t="n">
        <x:f>IF(OR(IFERROR(INDIRECT("'WCM Calibration Final'!$A$622")&lt;&gt;"",FALSE),IFERROR(INDIRECT("'WCM Calibration Final'!$B$622")&lt;&gt;"",FALSE),IFERROR(INDIRECT("'WCM Calibration Final'!$C$622")&lt;&gt;"",FALSE)),622,0)</x:f>
        <x:v>0</x:v>
      </x:c>
      <x:c r="JB622" t="n">
        <x:f>'Calculations'!JB621+IF('Calculations'!JA622&gt;0,1,0)</x:f>
        <x:v>0</x:v>
      </x:c>
    </x:row>
    <x:row r="623">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4"/>
      <x:c r="DQ623" s="4"/>
      <x:c r="DR623" s="4"/>
      <x:c r="DS623" s="4"/>
      <x:c r="DT623" s="4"/>
      <x:c r="DU623" s="4"/>
      <x:c r="DV623" s="4"/>
      <x:c r="DW623" s="4"/>
      <x:c r="DX623" s="4"/>
      <x:c r="DY623" s="4"/>
      <x:c r="DZ623" s="4"/>
      <x:c r="EA623" s="4"/>
      <x:c r="EB623" s="4"/>
      <x:c r="EC623" s="4"/>
      <x:c r="ED623" s="4"/>
      <x:c r="EE623" s="4"/>
      <x:c r="EF623" s="4"/>
      <x:c r="EG623" s="4"/>
      <x:c r="EH623" s="4"/>
      <x:c r="EI623" s="4"/>
      <x:c r="EJ623" s="4"/>
      <x:c r="EK623" s="4"/>
      <x:c r="EL623" s="4"/>
      <x:c r="EM623" s="4"/>
      <x:c r="EN623" s="4"/>
      <x:c r="EO623" s="4"/>
      <x:c r="EP623" s="4"/>
      <x:c r="EQ623" s="4"/>
      <x:c r="ER623" s="4"/>
      <x:c r="ES623" s="4"/>
      <x:c r="ET623" s="4"/>
      <x:c r="EU623" s="4"/>
      <x:c r="EV623" s="4"/>
      <x:c r="EW623" s="4"/>
      <x:c r="EX623" s="4"/>
      <x:c r="EY623" s="4"/>
      <x:c r="EZ623" s="4"/>
      <x:c r="FA623" s="4"/>
      <x:c r="FB623" s="4"/>
      <x:c r="FC623" s="4"/>
      <x:c r="FD623" s="4"/>
      <x:c r="FE623" s="4"/>
      <x:c r="FF623" s="4"/>
      <x:c r="FG623" s="4"/>
      <x:c r="FH623" s="4"/>
      <x:c r="FI623" s="4"/>
      <x:c r="FJ623" s="4"/>
      <x:c r="FK623" s="4"/>
      <x:c r="FL623" s="4"/>
      <x:c r="FM623" s="4"/>
      <x:c r="FN623" s="4"/>
      <x:c r="FO623" s="4"/>
      <x:c r="JA623" t="n">
        <x:f>IF(OR(IFERROR(INDIRECT("'WCM Calibration Final'!$A$623")&lt;&gt;"",FALSE),IFERROR(INDIRECT("'WCM Calibration Final'!$B$623")&lt;&gt;"",FALSE),IFERROR(INDIRECT("'WCM Calibration Final'!$C$623")&lt;&gt;"",FALSE)),623,0)</x:f>
        <x:v>0</x:v>
      </x:c>
      <x:c r="JB623" t="n">
        <x:f>'Calculations'!JB622+IF('Calculations'!JA623&gt;0,1,0)</x:f>
        <x:v>0</x:v>
      </x:c>
    </x:row>
    <x:row r="624">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4"/>
      <x:c r="DQ624" s="4"/>
      <x:c r="DR624" s="4"/>
      <x:c r="DS624" s="4"/>
      <x:c r="DT624" s="4"/>
      <x:c r="DU624" s="4"/>
      <x:c r="DV624" s="4"/>
      <x:c r="DW624" s="4"/>
      <x:c r="DX624" s="4"/>
      <x:c r="DY624" s="4"/>
      <x:c r="DZ624" s="4"/>
      <x:c r="EA624" s="4"/>
      <x:c r="EB624" s="4"/>
      <x:c r="EC624" s="4"/>
      <x:c r="ED624" s="4"/>
      <x:c r="EE624" s="4"/>
      <x:c r="EF624" s="4"/>
      <x:c r="EG624" s="4"/>
      <x:c r="EH624" s="4"/>
      <x:c r="EI624" s="4"/>
      <x:c r="EJ624" s="4"/>
      <x:c r="EK624" s="4"/>
      <x:c r="EL624" s="4"/>
      <x:c r="EM624" s="4"/>
      <x:c r="EN624" s="4"/>
      <x:c r="EO624" s="4"/>
      <x:c r="EP624" s="4"/>
      <x:c r="EQ624" s="4"/>
      <x:c r="ER624" s="4"/>
      <x:c r="ES624" s="4"/>
      <x:c r="ET624" s="4"/>
      <x:c r="EU624" s="4"/>
      <x:c r="EV624" s="4"/>
      <x:c r="EW624" s="4"/>
      <x:c r="EX624" s="4"/>
      <x:c r="EY624" s="4"/>
      <x:c r="EZ624" s="4"/>
      <x:c r="FA624" s="4"/>
      <x:c r="FB624" s="4"/>
      <x:c r="FC624" s="4"/>
      <x:c r="FD624" s="4"/>
      <x:c r="FE624" s="4"/>
      <x:c r="FF624" s="4"/>
      <x:c r="FG624" s="4"/>
      <x:c r="FH624" s="4"/>
      <x:c r="FI624" s="4"/>
      <x:c r="FJ624" s="4"/>
      <x:c r="FK624" s="4"/>
      <x:c r="FL624" s="4"/>
      <x:c r="FM624" s="4"/>
      <x:c r="FN624" s="4"/>
      <x:c r="FO624" s="4"/>
      <x:c r="JA624" t="n">
        <x:f>IF(OR(IFERROR(INDIRECT("'WCM Calibration Final'!$A$624")&lt;&gt;"",FALSE),IFERROR(INDIRECT("'WCM Calibration Final'!$B$624")&lt;&gt;"",FALSE),IFERROR(INDIRECT("'WCM Calibration Final'!$C$624")&lt;&gt;"",FALSE)),624,0)</x:f>
        <x:v>0</x:v>
      </x:c>
      <x:c r="JB624" t="n">
        <x:f>'Calculations'!JB623+IF('Calculations'!JA624&gt;0,1,0)</x:f>
        <x:v>0</x:v>
      </x:c>
    </x:row>
    <x:row r="625">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4"/>
      <x:c r="DQ625" s="4"/>
      <x:c r="DR625" s="4"/>
      <x:c r="DS625" s="4"/>
      <x:c r="DT625" s="4"/>
      <x:c r="DU625" s="4"/>
      <x:c r="DV625" s="4"/>
      <x:c r="DW625" s="4"/>
      <x:c r="DX625" s="4"/>
      <x:c r="DY625" s="4"/>
      <x:c r="DZ625" s="4"/>
      <x:c r="EA625" s="4"/>
      <x:c r="EB625" s="4"/>
      <x:c r="EC625" s="4"/>
      <x:c r="ED625" s="4"/>
      <x:c r="EE625" s="4"/>
      <x:c r="EF625" s="4"/>
      <x:c r="EG625" s="4"/>
      <x:c r="EH625" s="4"/>
      <x:c r="EI625" s="4"/>
      <x:c r="EJ625" s="4"/>
      <x:c r="EK625" s="4"/>
      <x:c r="EL625" s="4"/>
      <x:c r="EM625" s="4"/>
      <x:c r="EN625" s="4"/>
      <x:c r="EO625" s="4"/>
      <x:c r="EP625" s="4"/>
      <x:c r="EQ625" s="4"/>
      <x:c r="ER625" s="4"/>
      <x:c r="ES625" s="4"/>
      <x:c r="ET625" s="4"/>
      <x:c r="EU625" s="4"/>
      <x:c r="EV625" s="4"/>
      <x:c r="EW625" s="4"/>
      <x:c r="EX625" s="4"/>
      <x:c r="EY625" s="4"/>
      <x:c r="EZ625" s="4"/>
      <x:c r="FA625" s="4"/>
      <x:c r="FB625" s="4"/>
      <x:c r="FC625" s="4"/>
      <x:c r="FD625" s="4"/>
      <x:c r="FE625" s="4"/>
      <x:c r="FF625" s="4"/>
      <x:c r="FG625" s="4"/>
      <x:c r="FH625" s="4"/>
      <x:c r="FI625" s="4"/>
      <x:c r="FJ625" s="4"/>
      <x:c r="FK625" s="4"/>
      <x:c r="FL625" s="4"/>
      <x:c r="FM625" s="4"/>
      <x:c r="FN625" s="4"/>
      <x:c r="FO625" s="4"/>
      <x:c r="JA625" t="n">
        <x:f>IF(OR(IFERROR(INDIRECT("'WCM Calibration Final'!$A$625")&lt;&gt;"",FALSE),IFERROR(INDIRECT("'WCM Calibration Final'!$B$625")&lt;&gt;"",FALSE),IFERROR(INDIRECT("'WCM Calibration Final'!$C$625")&lt;&gt;"",FALSE)),625,0)</x:f>
        <x:v>0</x:v>
      </x:c>
      <x:c r="JB625" t="n">
        <x:f>'Calculations'!JB624+IF('Calculations'!JA625&gt;0,1,0)</x:f>
        <x:v>0</x:v>
      </x:c>
    </x:row>
    <x:row r="626">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4"/>
      <x:c r="DQ626" s="4"/>
      <x:c r="DR626" s="4"/>
      <x:c r="DS626" s="4"/>
      <x:c r="DT626" s="4"/>
      <x:c r="DU626" s="4"/>
      <x:c r="DV626" s="4"/>
      <x:c r="DW626" s="4"/>
      <x:c r="DX626" s="4"/>
      <x:c r="DY626" s="4"/>
      <x:c r="DZ626" s="4"/>
      <x:c r="EA626" s="4"/>
      <x:c r="EB626" s="4"/>
      <x:c r="EC626" s="4"/>
      <x:c r="ED626" s="4"/>
      <x:c r="EE626" s="4"/>
      <x:c r="EF626" s="4"/>
      <x:c r="EG626" s="4"/>
      <x:c r="EH626" s="4"/>
      <x:c r="EI626" s="4"/>
      <x:c r="EJ626" s="4"/>
      <x:c r="EK626" s="4"/>
      <x:c r="EL626" s="4"/>
      <x:c r="EM626" s="4"/>
      <x:c r="EN626" s="4"/>
      <x:c r="EO626" s="4"/>
      <x:c r="EP626" s="4"/>
      <x:c r="EQ626" s="4"/>
      <x:c r="ER626" s="4"/>
      <x:c r="ES626" s="4"/>
      <x:c r="ET626" s="4"/>
      <x:c r="EU626" s="4"/>
      <x:c r="EV626" s="4"/>
      <x:c r="EW626" s="4"/>
      <x:c r="EX626" s="4"/>
      <x:c r="EY626" s="4"/>
      <x:c r="EZ626" s="4"/>
      <x:c r="FA626" s="4"/>
      <x:c r="FB626" s="4"/>
      <x:c r="FC626" s="4"/>
      <x:c r="FD626" s="4"/>
      <x:c r="FE626" s="4"/>
      <x:c r="FF626" s="4"/>
      <x:c r="FG626" s="4"/>
      <x:c r="FH626" s="4"/>
      <x:c r="FI626" s="4"/>
      <x:c r="FJ626" s="4"/>
      <x:c r="FK626" s="4"/>
      <x:c r="FL626" s="4"/>
      <x:c r="FM626" s="4"/>
      <x:c r="FN626" s="4"/>
      <x:c r="FO626" s="4"/>
      <x:c r="JA626" t="n">
        <x:f>IF(OR(IFERROR(INDIRECT("'WCM Calibration Final'!$A$626")&lt;&gt;"",FALSE),IFERROR(INDIRECT("'WCM Calibration Final'!$B$626")&lt;&gt;"",FALSE),IFERROR(INDIRECT("'WCM Calibration Final'!$C$626")&lt;&gt;"",FALSE)),626,0)</x:f>
        <x:v>0</x:v>
      </x:c>
      <x:c r="JB626" t="n">
        <x:f>'Calculations'!JB625+IF('Calculations'!JA626&gt;0,1,0)</x:f>
        <x:v>0</x:v>
      </x:c>
    </x:row>
    <x:row r="627">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4"/>
      <x:c r="DQ627" s="4"/>
      <x:c r="DR627" s="4"/>
      <x:c r="DS627" s="4"/>
      <x:c r="DT627" s="4"/>
      <x:c r="DU627" s="4"/>
      <x:c r="DV627" s="4"/>
      <x:c r="DW627" s="4"/>
      <x:c r="DX627" s="4"/>
      <x:c r="DY627" s="4"/>
      <x:c r="DZ627" s="4"/>
      <x:c r="EA627" s="4"/>
      <x:c r="EB627" s="4"/>
      <x:c r="EC627" s="4"/>
      <x:c r="ED627" s="4"/>
      <x:c r="EE627" s="4"/>
      <x:c r="EF627" s="4"/>
      <x:c r="EG627" s="4"/>
      <x:c r="EH627" s="4"/>
      <x:c r="EI627" s="4"/>
      <x:c r="EJ627" s="4"/>
      <x:c r="EK627" s="4"/>
      <x:c r="EL627" s="4"/>
      <x:c r="EM627" s="4"/>
      <x:c r="EN627" s="4"/>
      <x:c r="EO627" s="4"/>
      <x:c r="EP627" s="4"/>
      <x:c r="EQ627" s="4"/>
      <x:c r="ER627" s="4"/>
      <x:c r="ES627" s="4"/>
      <x:c r="ET627" s="4"/>
      <x:c r="EU627" s="4"/>
      <x:c r="EV627" s="4"/>
      <x:c r="EW627" s="4"/>
      <x:c r="EX627" s="4"/>
      <x:c r="EY627" s="4"/>
      <x:c r="EZ627" s="4"/>
      <x:c r="FA627" s="4"/>
      <x:c r="FB627" s="4"/>
      <x:c r="FC627" s="4"/>
      <x:c r="FD627" s="4"/>
      <x:c r="FE627" s="4"/>
      <x:c r="FF627" s="4"/>
      <x:c r="FG627" s="4"/>
      <x:c r="FH627" s="4"/>
      <x:c r="FI627" s="4"/>
      <x:c r="FJ627" s="4"/>
      <x:c r="FK627" s="4"/>
      <x:c r="FL627" s="4"/>
      <x:c r="FM627" s="4"/>
      <x:c r="FN627" s="4"/>
      <x:c r="FO627" s="4"/>
      <x:c r="JA627" t="n">
        <x:f>IF(OR(IFERROR(INDIRECT("'WCM Calibration Final'!$A$627")&lt;&gt;"",FALSE),IFERROR(INDIRECT("'WCM Calibration Final'!$B$627")&lt;&gt;"",FALSE),IFERROR(INDIRECT("'WCM Calibration Final'!$C$627")&lt;&gt;"",FALSE)),627,0)</x:f>
        <x:v>0</x:v>
      </x:c>
      <x:c r="JB627" t="n">
        <x:f>'Calculations'!JB626+IF('Calculations'!JA627&gt;0,1,0)</x:f>
        <x:v>0</x:v>
      </x:c>
    </x:row>
    <x:row r="628">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4"/>
      <x:c r="DQ628" s="4"/>
      <x:c r="DR628" s="4"/>
      <x:c r="DS628" s="4"/>
      <x:c r="DT628" s="4"/>
      <x:c r="DU628" s="4"/>
      <x:c r="DV628" s="4"/>
      <x:c r="DW628" s="4"/>
      <x:c r="DX628" s="4"/>
      <x:c r="DY628" s="4"/>
      <x:c r="DZ628" s="4"/>
      <x:c r="EA628" s="4"/>
      <x:c r="EB628" s="4"/>
      <x:c r="EC628" s="4"/>
      <x:c r="ED628" s="4"/>
      <x:c r="EE628" s="4"/>
      <x:c r="EF628" s="4"/>
      <x:c r="EG628" s="4"/>
      <x:c r="EH628" s="4"/>
      <x:c r="EI628" s="4"/>
      <x:c r="EJ628" s="4"/>
      <x:c r="EK628" s="4"/>
      <x:c r="EL628" s="4"/>
      <x:c r="EM628" s="4"/>
      <x:c r="EN628" s="4"/>
      <x:c r="EO628" s="4"/>
      <x:c r="EP628" s="4"/>
      <x:c r="EQ628" s="4"/>
      <x:c r="ER628" s="4"/>
      <x:c r="ES628" s="4"/>
      <x:c r="ET628" s="4"/>
      <x:c r="EU628" s="4"/>
      <x:c r="EV628" s="4"/>
      <x:c r="EW628" s="4"/>
      <x:c r="EX628" s="4"/>
      <x:c r="EY628" s="4"/>
      <x:c r="EZ628" s="4"/>
      <x:c r="FA628" s="4"/>
      <x:c r="FB628" s="4"/>
      <x:c r="FC628" s="4"/>
      <x:c r="FD628" s="4"/>
      <x:c r="FE628" s="4"/>
      <x:c r="FF628" s="4"/>
      <x:c r="FG628" s="4"/>
      <x:c r="FH628" s="4"/>
      <x:c r="FI628" s="4"/>
      <x:c r="FJ628" s="4"/>
      <x:c r="FK628" s="4"/>
      <x:c r="FL628" s="4"/>
      <x:c r="FM628" s="4"/>
      <x:c r="FN628" s="4"/>
      <x:c r="FO628" s="4"/>
      <x:c r="JA628" t="n">
        <x:f>IF(OR(IFERROR(INDIRECT("'WCM Calibration Final'!$A$628")&lt;&gt;"",FALSE),IFERROR(INDIRECT("'WCM Calibration Final'!$B$628")&lt;&gt;"",FALSE),IFERROR(INDIRECT("'WCM Calibration Final'!$C$628")&lt;&gt;"",FALSE)),628,0)</x:f>
        <x:v>0</x:v>
      </x:c>
      <x:c r="JB628" t="n">
        <x:f>'Calculations'!JB627+IF('Calculations'!JA628&gt;0,1,0)</x:f>
        <x:v>0</x:v>
      </x:c>
    </x:row>
    <x:row r="629">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4"/>
      <x:c r="DQ629" s="4"/>
      <x:c r="DR629" s="4"/>
      <x:c r="DS629" s="4"/>
      <x:c r="DT629" s="4"/>
      <x:c r="DU629" s="4"/>
      <x:c r="DV629" s="4"/>
      <x:c r="DW629" s="4"/>
      <x:c r="DX629" s="4"/>
      <x:c r="DY629" s="4"/>
      <x:c r="DZ629" s="4"/>
      <x:c r="EA629" s="4"/>
      <x:c r="EB629" s="4"/>
      <x:c r="EC629" s="4"/>
      <x:c r="ED629" s="4"/>
      <x:c r="EE629" s="4"/>
      <x:c r="EF629" s="4"/>
      <x:c r="EG629" s="4"/>
      <x:c r="EH629" s="4"/>
      <x:c r="EI629" s="4"/>
      <x:c r="EJ629" s="4"/>
      <x:c r="EK629" s="4"/>
      <x:c r="EL629" s="4"/>
      <x:c r="EM629" s="4"/>
      <x:c r="EN629" s="4"/>
      <x:c r="EO629" s="4"/>
      <x:c r="EP629" s="4"/>
      <x:c r="EQ629" s="4"/>
      <x:c r="ER629" s="4"/>
      <x:c r="ES629" s="4"/>
      <x:c r="ET629" s="4"/>
      <x:c r="EU629" s="4"/>
      <x:c r="EV629" s="4"/>
      <x:c r="EW629" s="4"/>
      <x:c r="EX629" s="4"/>
      <x:c r="EY629" s="4"/>
      <x:c r="EZ629" s="4"/>
      <x:c r="FA629" s="4"/>
      <x:c r="FB629" s="4"/>
      <x:c r="FC629" s="4"/>
      <x:c r="FD629" s="4"/>
      <x:c r="FE629" s="4"/>
      <x:c r="FF629" s="4"/>
      <x:c r="FG629" s="4"/>
      <x:c r="FH629" s="4"/>
      <x:c r="FI629" s="4"/>
      <x:c r="FJ629" s="4"/>
      <x:c r="FK629" s="4"/>
      <x:c r="FL629" s="4"/>
      <x:c r="FM629" s="4"/>
      <x:c r="FN629" s="4"/>
      <x:c r="FO629" s="4"/>
      <x:c r="JA629" t="n">
        <x:f>IF(OR(IFERROR(INDIRECT("'WCM Calibration Final'!$A$629")&lt;&gt;"",FALSE),IFERROR(INDIRECT("'WCM Calibration Final'!$B$629")&lt;&gt;"",FALSE),IFERROR(INDIRECT("'WCM Calibration Final'!$C$629")&lt;&gt;"",FALSE)),629,0)</x:f>
        <x:v>0</x:v>
      </x:c>
      <x:c r="JB629" t="n">
        <x:f>'Calculations'!JB628+IF('Calculations'!JA629&gt;0,1,0)</x:f>
        <x:v>0</x:v>
      </x:c>
    </x:row>
    <x:row r="630">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4"/>
      <x:c r="DQ630" s="4"/>
      <x:c r="DR630" s="4"/>
      <x:c r="DS630" s="4"/>
      <x:c r="DT630" s="4"/>
      <x:c r="DU630" s="4"/>
      <x:c r="DV630" s="4"/>
      <x:c r="DW630" s="4"/>
      <x:c r="DX630" s="4"/>
      <x:c r="DY630" s="4"/>
      <x:c r="DZ630" s="4"/>
      <x:c r="EA630" s="4"/>
      <x:c r="EB630" s="4"/>
      <x:c r="EC630" s="4"/>
      <x:c r="ED630" s="4"/>
      <x:c r="EE630" s="4"/>
      <x:c r="EF630" s="4"/>
      <x:c r="EG630" s="4"/>
      <x:c r="EH630" s="4"/>
      <x:c r="EI630" s="4"/>
      <x:c r="EJ630" s="4"/>
      <x:c r="EK630" s="4"/>
      <x:c r="EL630" s="4"/>
      <x:c r="EM630" s="4"/>
      <x:c r="EN630" s="4"/>
      <x:c r="EO630" s="4"/>
      <x:c r="EP630" s="4"/>
      <x:c r="EQ630" s="4"/>
      <x:c r="ER630" s="4"/>
      <x:c r="ES630" s="4"/>
      <x:c r="ET630" s="4"/>
      <x:c r="EU630" s="4"/>
      <x:c r="EV630" s="4"/>
      <x:c r="EW630" s="4"/>
      <x:c r="EX630" s="4"/>
      <x:c r="EY630" s="4"/>
      <x:c r="EZ630" s="4"/>
      <x:c r="FA630" s="4"/>
      <x:c r="FB630" s="4"/>
      <x:c r="FC630" s="4"/>
      <x:c r="FD630" s="4"/>
      <x:c r="FE630" s="4"/>
      <x:c r="FF630" s="4"/>
      <x:c r="FG630" s="4"/>
      <x:c r="FH630" s="4"/>
      <x:c r="FI630" s="4"/>
      <x:c r="FJ630" s="4"/>
      <x:c r="FK630" s="4"/>
      <x:c r="FL630" s="4"/>
      <x:c r="FM630" s="4"/>
      <x:c r="FN630" s="4"/>
      <x:c r="FO630" s="4"/>
      <x:c r="JA630" t="n">
        <x:f>IF(OR(IFERROR(INDIRECT("'WCM Calibration Final'!$A$630")&lt;&gt;"",FALSE),IFERROR(INDIRECT("'WCM Calibration Final'!$B$630")&lt;&gt;"",FALSE),IFERROR(INDIRECT("'WCM Calibration Final'!$C$630")&lt;&gt;"",FALSE)),630,0)</x:f>
        <x:v>0</x:v>
      </x:c>
      <x:c r="JB630" t="n">
        <x:f>'Calculations'!JB629+IF('Calculations'!JA630&gt;0,1,0)</x:f>
        <x:v>0</x:v>
      </x:c>
    </x:row>
    <x:row r="631">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4"/>
      <x:c r="DQ631" s="4"/>
      <x:c r="DR631" s="4"/>
      <x:c r="DS631" s="4"/>
      <x:c r="DT631" s="4"/>
      <x:c r="DU631" s="4"/>
      <x:c r="DV631" s="4"/>
      <x:c r="DW631" s="4"/>
      <x:c r="DX631" s="4"/>
      <x:c r="DY631" s="4"/>
      <x:c r="DZ631" s="4"/>
      <x:c r="EA631" s="4"/>
      <x:c r="EB631" s="4"/>
      <x:c r="EC631" s="4"/>
      <x:c r="ED631" s="4"/>
      <x:c r="EE631" s="4"/>
      <x:c r="EF631" s="4"/>
      <x:c r="EG631" s="4"/>
      <x:c r="EH631" s="4"/>
      <x:c r="EI631" s="4"/>
      <x:c r="EJ631" s="4"/>
      <x:c r="EK631" s="4"/>
      <x:c r="EL631" s="4"/>
      <x:c r="EM631" s="4"/>
      <x:c r="EN631" s="4"/>
      <x:c r="EO631" s="4"/>
      <x:c r="EP631" s="4"/>
      <x:c r="EQ631" s="4"/>
      <x:c r="ER631" s="4"/>
      <x:c r="ES631" s="4"/>
      <x:c r="ET631" s="4"/>
      <x:c r="EU631" s="4"/>
      <x:c r="EV631" s="4"/>
      <x:c r="EW631" s="4"/>
      <x:c r="EX631" s="4"/>
      <x:c r="EY631" s="4"/>
      <x:c r="EZ631" s="4"/>
      <x:c r="FA631" s="4"/>
      <x:c r="FB631" s="4"/>
      <x:c r="FC631" s="4"/>
      <x:c r="FD631" s="4"/>
      <x:c r="FE631" s="4"/>
      <x:c r="FF631" s="4"/>
      <x:c r="FG631" s="4"/>
      <x:c r="FH631" s="4"/>
      <x:c r="FI631" s="4"/>
      <x:c r="FJ631" s="4"/>
      <x:c r="FK631" s="4"/>
      <x:c r="FL631" s="4"/>
      <x:c r="FM631" s="4"/>
      <x:c r="FN631" s="4"/>
      <x:c r="FO631" s="4"/>
      <x:c r="JA631" t="n">
        <x:f>IF(OR(IFERROR(INDIRECT("'WCM Calibration Final'!$A$631")&lt;&gt;"",FALSE),IFERROR(INDIRECT("'WCM Calibration Final'!$B$631")&lt;&gt;"",FALSE),IFERROR(INDIRECT("'WCM Calibration Final'!$C$631")&lt;&gt;"",FALSE)),631,0)</x:f>
        <x:v>0</x:v>
      </x:c>
      <x:c r="JB631" t="n">
        <x:f>'Calculations'!JB630+IF('Calculations'!JA631&gt;0,1,0)</x:f>
        <x:v>0</x:v>
      </x:c>
    </x:row>
    <x:row r="632">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4"/>
      <x:c r="DQ632" s="4"/>
      <x:c r="DR632" s="4"/>
      <x:c r="DS632" s="4"/>
      <x:c r="DT632" s="4"/>
      <x:c r="DU632" s="4"/>
      <x:c r="DV632" s="4"/>
      <x:c r="DW632" s="4"/>
      <x:c r="DX632" s="4"/>
      <x:c r="DY632" s="4"/>
      <x:c r="DZ632" s="4"/>
      <x:c r="EA632" s="4"/>
      <x:c r="EB632" s="4"/>
      <x:c r="EC632" s="4"/>
      <x:c r="ED632" s="4"/>
      <x:c r="EE632" s="4"/>
      <x:c r="EF632" s="4"/>
      <x:c r="EG632" s="4"/>
      <x:c r="EH632" s="4"/>
      <x:c r="EI632" s="4"/>
      <x:c r="EJ632" s="4"/>
      <x:c r="EK632" s="4"/>
      <x:c r="EL632" s="4"/>
      <x:c r="EM632" s="4"/>
      <x:c r="EN632" s="4"/>
      <x:c r="EO632" s="4"/>
      <x:c r="EP632" s="4"/>
      <x:c r="EQ632" s="4"/>
      <x:c r="ER632" s="4"/>
      <x:c r="ES632" s="4"/>
      <x:c r="ET632" s="4"/>
      <x:c r="EU632" s="4"/>
      <x:c r="EV632" s="4"/>
      <x:c r="EW632" s="4"/>
      <x:c r="EX632" s="4"/>
      <x:c r="EY632" s="4"/>
      <x:c r="EZ632" s="4"/>
      <x:c r="FA632" s="4"/>
      <x:c r="FB632" s="4"/>
      <x:c r="FC632" s="4"/>
      <x:c r="FD632" s="4"/>
      <x:c r="FE632" s="4"/>
      <x:c r="FF632" s="4"/>
      <x:c r="FG632" s="4"/>
      <x:c r="FH632" s="4"/>
      <x:c r="FI632" s="4"/>
      <x:c r="FJ632" s="4"/>
      <x:c r="FK632" s="4"/>
      <x:c r="FL632" s="4"/>
      <x:c r="FM632" s="4"/>
      <x:c r="FN632" s="4"/>
      <x:c r="FO632" s="4"/>
      <x:c r="JA632" t="n">
        <x:f>IF(OR(IFERROR(INDIRECT("'WCM Calibration Final'!$A$632")&lt;&gt;"",FALSE),IFERROR(INDIRECT("'WCM Calibration Final'!$B$632")&lt;&gt;"",FALSE),IFERROR(INDIRECT("'WCM Calibration Final'!$C$632")&lt;&gt;"",FALSE)),632,0)</x:f>
        <x:v>0</x:v>
      </x:c>
      <x:c r="JB632" t="n">
        <x:f>'Calculations'!JB631+IF('Calculations'!JA632&gt;0,1,0)</x:f>
        <x:v>0</x:v>
      </x:c>
    </x:row>
    <x:row r="633">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4"/>
      <x:c r="DQ633" s="4"/>
      <x:c r="DR633" s="4"/>
      <x:c r="DS633" s="4"/>
      <x:c r="DT633" s="4"/>
      <x:c r="DU633" s="4"/>
      <x:c r="DV633" s="4"/>
      <x:c r="DW633" s="4"/>
      <x:c r="DX633" s="4"/>
      <x:c r="DY633" s="4"/>
      <x:c r="DZ633" s="4"/>
      <x:c r="EA633" s="4"/>
      <x:c r="EB633" s="4"/>
      <x:c r="EC633" s="4"/>
      <x:c r="ED633" s="4"/>
      <x:c r="EE633" s="4"/>
      <x:c r="EF633" s="4"/>
      <x:c r="EG633" s="4"/>
      <x:c r="EH633" s="4"/>
      <x:c r="EI633" s="4"/>
      <x:c r="EJ633" s="4"/>
      <x:c r="EK633" s="4"/>
      <x:c r="EL633" s="4"/>
      <x:c r="EM633" s="4"/>
      <x:c r="EN633" s="4"/>
      <x:c r="EO633" s="4"/>
      <x:c r="EP633" s="4"/>
      <x:c r="EQ633" s="4"/>
      <x:c r="ER633" s="4"/>
      <x:c r="ES633" s="4"/>
      <x:c r="ET633" s="4"/>
      <x:c r="EU633" s="4"/>
      <x:c r="EV633" s="4"/>
      <x:c r="EW633" s="4"/>
      <x:c r="EX633" s="4"/>
      <x:c r="EY633" s="4"/>
      <x:c r="EZ633" s="4"/>
      <x:c r="FA633" s="4"/>
      <x:c r="FB633" s="4"/>
      <x:c r="FC633" s="4"/>
      <x:c r="FD633" s="4"/>
      <x:c r="FE633" s="4"/>
      <x:c r="FF633" s="4"/>
      <x:c r="FG633" s="4"/>
      <x:c r="FH633" s="4"/>
      <x:c r="FI633" s="4"/>
      <x:c r="FJ633" s="4"/>
      <x:c r="FK633" s="4"/>
      <x:c r="FL633" s="4"/>
      <x:c r="FM633" s="4"/>
      <x:c r="FN633" s="4"/>
      <x:c r="FO633" s="4"/>
      <x:c r="JA633" t="n">
        <x:f>IF(OR(IFERROR(INDIRECT("'WCM Calibration Final'!$A$633")&lt;&gt;"",FALSE),IFERROR(INDIRECT("'WCM Calibration Final'!$B$633")&lt;&gt;"",FALSE),IFERROR(INDIRECT("'WCM Calibration Final'!$C$633")&lt;&gt;"",FALSE)),633,0)</x:f>
        <x:v>0</x:v>
      </x:c>
      <x:c r="JB633" t="n">
        <x:f>'Calculations'!JB632+IF('Calculations'!JA633&gt;0,1,0)</x:f>
        <x:v>0</x:v>
      </x:c>
    </x:row>
    <x:row r="634">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4"/>
      <x:c r="DQ634" s="4"/>
      <x:c r="DR634" s="4"/>
      <x:c r="DS634" s="4"/>
      <x:c r="DT634" s="4"/>
      <x:c r="DU634" s="4"/>
      <x:c r="DV634" s="4"/>
      <x:c r="DW634" s="4"/>
      <x:c r="DX634" s="4"/>
      <x:c r="DY634" s="4"/>
      <x:c r="DZ634" s="4"/>
      <x:c r="EA634" s="4"/>
      <x:c r="EB634" s="4"/>
      <x:c r="EC634" s="4"/>
      <x:c r="ED634" s="4"/>
      <x:c r="EE634" s="4"/>
      <x:c r="EF634" s="4"/>
      <x:c r="EG634" s="4"/>
      <x:c r="EH634" s="4"/>
      <x:c r="EI634" s="4"/>
      <x:c r="EJ634" s="4"/>
      <x:c r="EK634" s="4"/>
      <x:c r="EL634" s="4"/>
      <x:c r="EM634" s="4"/>
      <x:c r="EN634" s="4"/>
      <x:c r="EO634" s="4"/>
      <x:c r="EP634" s="4"/>
      <x:c r="EQ634" s="4"/>
      <x:c r="ER634" s="4"/>
      <x:c r="ES634" s="4"/>
      <x:c r="ET634" s="4"/>
      <x:c r="EU634" s="4"/>
      <x:c r="EV634" s="4"/>
      <x:c r="EW634" s="4"/>
      <x:c r="EX634" s="4"/>
      <x:c r="EY634" s="4"/>
      <x:c r="EZ634" s="4"/>
      <x:c r="FA634" s="4"/>
      <x:c r="FB634" s="4"/>
      <x:c r="FC634" s="4"/>
      <x:c r="FD634" s="4"/>
      <x:c r="FE634" s="4"/>
      <x:c r="FF634" s="4"/>
      <x:c r="FG634" s="4"/>
      <x:c r="FH634" s="4"/>
      <x:c r="FI634" s="4"/>
      <x:c r="FJ634" s="4"/>
      <x:c r="FK634" s="4"/>
      <x:c r="FL634" s="4"/>
      <x:c r="FM634" s="4"/>
      <x:c r="FN634" s="4"/>
      <x:c r="FO634" s="4"/>
      <x:c r="JA634" t="n">
        <x:f>IF(OR(IFERROR(INDIRECT("'WCM Calibration Final'!$A$634")&lt;&gt;"",FALSE),IFERROR(INDIRECT("'WCM Calibration Final'!$B$634")&lt;&gt;"",FALSE),IFERROR(INDIRECT("'WCM Calibration Final'!$C$634")&lt;&gt;"",FALSE)),634,0)</x:f>
        <x:v>0</x:v>
      </x:c>
      <x:c r="JB634" t="n">
        <x:f>'Calculations'!JB633+IF('Calculations'!JA634&gt;0,1,0)</x:f>
        <x:v>0</x:v>
      </x:c>
    </x:row>
    <x:row r="635">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4"/>
      <x:c r="DQ635" s="4"/>
      <x:c r="DR635" s="4"/>
      <x:c r="DS635" s="4"/>
      <x:c r="DT635" s="4"/>
      <x:c r="DU635" s="4"/>
      <x:c r="DV635" s="4"/>
      <x:c r="DW635" s="4"/>
      <x:c r="DX635" s="4"/>
      <x:c r="DY635" s="4"/>
      <x:c r="DZ635" s="4"/>
      <x:c r="EA635" s="4"/>
      <x:c r="EB635" s="4"/>
      <x:c r="EC635" s="4"/>
      <x:c r="ED635" s="4"/>
      <x:c r="EE635" s="4"/>
      <x:c r="EF635" s="4"/>
      <x:c r="EG635" s="4"/>
      <x:c r="EH635" s="4"/>
      <x:c r="EI635" s="4"/>
      <x:c r="EJ635" s="4"/>
      <x:c r="EK635" s="4"/>
      <x:c r="EL635" s="4"/>
      <x:c r="EM635" s="4"/>
      <x:c r="EN635" s="4"/>
      <x:c r="EO635" s="4"/>
      <x:c r="EP635" s="4"/>
      <x:c r="EQ635" s="4"/>
      <x:c r="ER635" s="4"/>
      <x:c r="ES635" s="4"/>
      <x:c r="ET635" s="4"/>
      <x:c r="EU635" s="4"/>
      <x:c r="EV635" s="4"/>
      <x:c r="EW635" s="4"/>
      <x:c r="EX635" s="4"/>
      <x:c r="EY635" s="4"/>
      <x:c r="EZ635" s="4"/>
      <x:c r="FA635" s="4"/>
      <x:c r="FB635" s="4"/>
      <x:c r="FC635" s="4"/>
      <x:c r="FD635" s="4"/>
      <x:c r="FE635" s="4"/>
      <x:c r="FF635" s="4"/>
      <x:c r="FG635" s="4"/>
      <x:c r="FH635" s="4"/>
      <x:c r="FI635" s="4"/>
      <x:c r="FJ635" s="4"/>
      <x:c r="FK635" s="4"/>
      <x:c r="FL635" s="4"/>
      <x:c r="FM635" s="4"/>
      <x:c r="FN635" s="4"/>
      <x:c r="FO635" s="4"/>
      <x:c r="JA635" t="n">
        <x:f>IF(OR(IFERROR(INDIRECT("'WCM Calibration Final'!$A$635")&lt;&gt;"",FALSE),IFERROR(INDIRECT("'WCM Calibration Final'!$B$635")&lt;&gt;"",FALSE),IFERROR(INDIRECT("'WCM Calibration Final'!$C$635")&lt;&gt;"",FALSE)),635,0)</x:f>
        <x:v>0</x:v>
      </x:c>
      <x:c r="JB635" t="n">
        <x:f>'Calculations'!JB634+IF('Calculations'!JA635&gt;0,1,0)</x:f>
        <x:v>0</x:v>
      </x:c>
    </x:row>
    <x:row r="636">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4"/>
      <x:c r="DQ636" s="4"/>
      <x:c r="DR636" s="4"/>
      <x:c r="DS636" s="4"/>
      <x:c r="DT636" s="4"/>
      <x:c r="DU636" s="4"/>
      <x:c r="DV636" s="4"/>
      <x:c r="DW636" s="4"/>
      <x:c r="DX636" s="4"/>
      <x:c r="DY636" s="4"/>
      <x:c r="DZ636" s="4"/>
      <x:c r="EA636" s="4"/>
      <x:c r="EB636" s="4"/>
      <x:c r="EC636" s="4"/>
      <x:c r="ED636" s="4"/>
      <x:c r="EE636" s="4"/>
      <x:c r="EF636" s="4"/>
      <x:c r="EG636" s="4"/>
      <x:c r="EH636" s="4"/>
      <x:c r="EI636" s="4"/>
      <x:c r="EJ636" s="4"/>
      <x:c r="EK636" s="4"/>
      <x:c r="EL636" s="4"/>
      <x:c r="EM636" s="4"/>
      <x:c r="EN636" s="4"/>
      <x:c r="EO636" s="4"/>
      <x:c r="EP636" s="4"/>
      <x:c r="EQ636" s="4"/>
      <x:c r="ER636" s="4"/>
      <x:c r="ES636" s="4"/>
      <x:c r="ET636" s="4"/>
      <x:c r="EU636" s="4"/>
      <x:c r="EV636" s="4"/>
      <x:c r="EW636" s="4"/>
      <x:c r="EX636" s="4"/>
      <x:c r="EY636" s="4"/>
      <x:c r="EZ636" s="4"/>
      <x:c r="FA636" s="4"/>
      <x:c r="FB636" s="4"/>
      <x:c r="FC636" s="4"/>
      <x:c r="FD636" s="4"/>
      <x:c r="FE636" s="4"/>
      <x:c r="FF636" s="4"/>
      <x:c r="FG636" s="4"/>
      <x:c r="FH636" s="4"/>
      <x:c r="FI636" s="4"/>
      <x:c r="FJ636" s="4"/>
      <x:c r="FK636" s="4"/>
      <x:c r="FL636" s="4"/>
      <x:c r="FM636" s="4"/>
      <x:c r="FN636" s="4"/>
      <x:c r="FO636" s="4"/>
      <x:c r="JA636" t="n">
        <x:f>IF(OR(IFERROR(INDIRECT("'WCM Calibration Final'!$A$636")&lt;&gt;"",FALSE),IFERROR(INDIRECT("'WCM Calibration Final'!$B$636")&lt;&gt;"",FALSE),IFERROR(INDIRECT("'WCM Calibration Final'!$C$636")&lt;&gt;"",FALSE)),636,0)</x:f>
        <x:v>0</x:v>
      </x:c>
      <x:c r="JB636" t="n">
        <x:f>'Calculations'!JB635+IF('Calculations'!JA636&gt;0,1,0)</x:f>
        <x:v>0</x:v>
      </x:c>
    </x:row>
    <x:row r="637">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4"/>
      <x:c r="DQ637" s="4"/>
      <x:c r="DR637" s="4"/>
      <x:c r="DS637" s="4"/>
      <x:c r="DT637" s="4"/>
      <x:c r="DU637" s="4"/>
      <x:c r="DV637" s="4"/>
      <x:c r="DW637" s="4"/>
      <x:c r="DX637" s="4"/>
      <x:c r="DY637" s="4"/>
      <x:c r="DZ637" s="4"/>
      <x:c r="EA637" s="4"/>
      <x:c r="EB637" s="4"/>
      <x:c r="EC637" s="4"/>
      <x:c r="ED637" s="4"/>
      <x:c r="EE637" s="4"/>
      <x:c r="EF637" s="4"/>
      <x:c r="EG637" s="4"/>
      <x:c r="EH637" s="4"/>
      <x:c r="EI637" s="4"/>
      <x:c r="EJ637" s="4"/>
      <x:c r="EK637" s="4"/>
      <x:c r="EL637" s="4"/>
      <x:c r="EM637" s="4"/>
      <x:c r="EN637" s="4"/>
      <x:c r="EO637" s="4"/>
      <x:c r="EP637" s="4"/>
      <x:c r="EQ637" s="4"/>
      <x:c r="ER637" s="4"/>
      <x:c r="ES637" s="4"/>
      <x:c r="ET637" s="4"/>
      <x:c r="EU637" s="4"/>
      <x:c r="EV637" s="4"/>
      <x:c r="EW637" s="4"/>
      <x:c r="EX637" s="4"/>
      <x:c r="EY637" s="4"/>
      <x:c r="EZ637" s="4"/>
      <x:c r="FA637" s="4"/>
      <x:c r="FB637" s="4"/>
      <x:c r="FC637" s="4"/>
      <x:c r="FD637" s="4"/>
      <x:c r="FE637" s="4"/>
      <x:c r="FF637" s="4"/>
      <x:c r="FG637" s="4"/>
      <x:c r="FH637" s="4"/>
      <x:c r="FI637" s="4"/>
      <x:c r="FJ637" s="4"/>
      <x:c r="FK637" s="4"/>
      <x:c r="FL637" s="4"/>
      <x:c r="FM637" s="4"/>
      <x:c r="FN637" s="4"/>
      <x:c r="FO637" s="4"/>
      <x:c r="JA637" t="n">
        <x:f>IF(OR(IFERROR(INDIRECT("'WCM Calibration Final'!$A$637")&lt;&gt;"",FALSE),IFERROR(INDIRECT("'WCM Calibration Final'!$B$637")&lt;&gt;"",FALSE),IFERROR(INDIRECT("'WCM Calibration Final'!$C$637")&lt;&gt;"",FALSE)),637,0)</x:f>
        <x:v>0</x:v>
      </x:c>
      <x:c r="JB637" t="n">
        <x:f>'Calculations'!JB636+IF('Calculations'!JA637&gt;0,1,0)</x:f>
        <x:v>0</x:v>
      </x:c>
    </x:row>
    <x:row r="638">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4"/>
      <x:c r="DQ638" s="4"/>
      <x:c r="DR638" s="4"/>
      <x:c r="DS638" s="4"/>
      <x:c r="DT638" s="4"/>
      <x:c r="DU638" s="4"/>
      <x:c r="DV638" s="4"/>
      <x:c r="DW638" s="4"/>
      <x:c r="DX638" s="4"/>
      <x:c r="DY638" s="4"/>
      <x:c r="DZ638" s="4"/>
      <x:c r="EA638" s="4"/>
      <x:c r="EB638" s="4"/>
      <x:c r="EC638" s="4"/>
      <x:c r="ED638" s="4"/>
      <x:c r="EE638" s="4"/>
      <x:c r="EF638" s="4"/>
      <x:c r="EG638" s="4"/>
      <x:c r="EH638" s="4"/>
      <x:c r="EI638" s="4"/>
      <x:c r="EJ638" s="4"/>
      <x:c r="EK638" s="4"/>
      <x:c r="EL638" s="4"/>
      <x:c r="EM638" s="4"/>
      <x:c r="EN638" s="4"/>
      <x:c r="EO638" s="4"/>
      <x:c r="EP638" s="4"/>
      <x:c r="EQ638" s="4"/>
      <x:c r="ER638" s="4"/>
      <x:c r="ES638" s="4"/>
      <x:c r="ET638" s="4"/>
      <x:c r="EU638" s="4"/>
      <x:c r="EV638" s="4"/>
      <x:c r="EW638" s="4"/>
      <x:c r="EX638" s="4"/>
      <x:c r="EY638" s="4"/>
      <x:c r="EZ638" s="4"/>
      <x:c r="FA638" s="4"/>
      <x:c r="FB638" s="4"/>
      <x:c r="FC638" s="4"/>
      <x:c r="FD638" s="4"/>
      <x:c r="FE638" s="4"/>
      <x:c r="FF638" s="4"/>
      <x:c r="FG638" s="4"/>
      <x:c r="FH638" s="4"/>
      <x:c r="FI638" s="4"/>
      <x:c r="FJ638" s="4"/>
      <x:c r="FK638" s="4"/>
      <x:c r="FL638" s="4"/>
      <x:c r="FM638" s="4"/>
      <x:c r="FN638" s="4"/>
      <x:c r="FO638" s="4"/>
      <x:c r="JA638" t="n">
        <x:f>IF(OR(IFERROR(INDIRECT("'WCM Calibration Final'!$A$638")&lt;&gt;"",FALSE),IFERROR(INDIRECT("'WCM Calibration Final'!$B$638")&lt;&gt;"",FALSE),IFERROR(INDIRECT("'WCM Calibration Final'!$C$638")&lt;&gt;"",FALSE)),638,0)</x:f>
        <x:v>0</x:v>
      </x:c>
      <x:c r="JB638" t="n">
        <x:f>'Calculations'!JB637+IF('Calculations'!JA638&gt;0,1,0)</x:f>
        <x:v>0</x:v>
      </x:c>
    </x:row>
    <x:row r="639">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4"/>
      <x:c r="DQ639" s="4"/>
      <x:c r="DR639" s="4"/>
      <x:c r="DS639" s="4"/>
      <x:c r="DT639" s="4"/>
      <x:c r="DU639" s="4"/>
      <x:c r="DV639" s="4"/>
      <x:c r="DW639" s="4"/>
      <x:c r="DX639" s="4"/>
      <x:c r="DY639" s="4"/>
      <x:c r="DZ639" s="4"/>
      <x:c r="EA639" s="4"/>
      <x:c r="EB639" s="4"/>
      <x:c r="EC639" s="4"/>
      <x:c r="ED639" s="4"/>
      <x:c r="EE639" s="4"/>
      <x:c r="EF639" s="4"/>
      <x:c r="EG639" s="4"/>
      <x:c r="EH639" s="4"/>
      <x:c r="EI639" s="4"/>
      <x:c r="EJ639" s="4"/>
      <x:c r="EK639" s="4"/>
      <x:c r="EL639" s="4"/>
      <x:c r="EM639" s="4"/>
      <x:c r="EN639" s="4"/>
      <x:c r="EO639" s="4"/>
      <x:c r="EP639" s="4"/>
      <x:c r="EQ639" s="4"/>
      <x:c r="ER639" s="4"/>
      <x:c r="ES639" s="4"/>
      <x:c r="ET639" s="4"/>
      <x:c r="EU639" s="4"/>
      <x:c r="EV639" s="4"/>
      <x:c r="EW639" s="4"/>
      <x:c r="EX639" s="4"/>
      <x:c r="EY639" s="4"/>
      <x:c r="EZ639" s="4"/>
      <x:c r="FA639" s="4"/>
      <x:c r="FB639" s="4"/>
      <x:c r="FC639" s="4"/>
      <x:c r="FD639" s="4"/>
      <x:c r="FE639" s="4"/>
      <x:c r="FF639" s="4"/>
      <x:c r="FG639" s="4"/>
      <x:c r="FH639" s="4"/>
      <x:c r="FI639" s="4"/>
      <x:c r="FJ639" s="4"/>
      <x:c r="FK639" s="4"/>
      <x:c r="FL639" s="4"/>
      <x:c r="FM639" s="4"/>
      <x:c r="FN639" s="4"/>
      <x:c r="FO639" s="4"/>
      <x:c r="JA639" t="n">
        <x:f>IF(OR(IFERROR(INDIRECT("'WCM Calibration Final'!$A$639")&lt;&gt;"",FALSE),IFERROR(INDIRECT("'WCM Calibration Final'!$B$639")&lt;&gt;"",FALSE),IFERROR(INDIRECT("'WCM Calibration Final'!$C$639")&lt;&gt;"",FALSE)),639,0)</x:f>
        <x:v>0</x:v>
      </x:c>
      <x:c r="JB639" t="n">
        <x:f>'Calculations'!JB638+IF('Calculations'!JA639&gt;0,1,0)</x:f>
        <x:v>0</x:v>
      </x:c>
    </x:row>
    <x:row r="640">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4"/>
      <x:c r="DQ640" s="4"/>
      <x:c r="DR640" s="4"/>
      <x:c r="DS640" s="4"/>
      <x:c r="DT640" s="4"/>
      <x:c r="DU640" s="4"/>
      <x:c r="DV640" s="4"/>
      <x:c r="DW640" s="4"/>
      <x:c r="DX640" s="4"/>
      <x:c r="DY640" s="4"/>
      <x:c r="DZ640" s="4"/>
      <x:c r="EA640" s="4"/>
      <x:c r="EB640" s="4"/>
      <x:c r="EC640" s="4"/>
      <x:c r="ED640" s="4"/>
      <x:c r="EE640" s="4"/>
      <x:c r="EF640" s="4"/>
      <x:c r="EG640" s="4"/>
      <x:c r="EH640" s="4"/>
      <x:c r="EI640" s="4"/>
      <x:c r="EJ640" s="4"/>
      <x:c r="EK640" s="4"/>
      <x:c r="EL640" s="4"/>
      <x:c r="EM640" s="4"/>
      <x:c r="EN640" s="4"/>
      <x:c r="EO640" s="4"/>
      <x:c r="EP640" s="4"/>
      <x:c r="EQ640" s="4"/>
      <x:c r="ER640" s="4"/>
      <x:c r="ES640" s="4"/>
      <x:c r="ET640" s="4"/>
      <x:c r="EU640" s="4"/>
      <x:c r="EV640" s="4"/>
      <x:c r="EW640" s="4"/>
      <x:c r="EX640" s="4"/>
      <x:c r="EY640" s="4"/>
      <x:c r="EZ640" s="4"/>
      <x:c r="FA640" s="4"/>
      <x:c r="FB640" s="4"/>
      <x:c r="FC640" s="4"/>
      <x:c r="FD640" s="4"/>
      <x:c r="FE640" s="4"/>
      <x:c r="FF640" s="4"/>
      <x:c r="FG640" s="4"/>
      <x:c r="FH640" s="4"/>
      <x:c r="FI640" s="4"/>
      <x:c r="FJ640" s="4"/>
      <x:c r="FK640" s="4"/>
      <x:c r="FL640" s="4"/>
      <x:c r="FM640" s="4"/>
      <x:c r="FN640" s="4"/>
      <x:c r="FO640" s="4"/>
      <x:c r="JA640" t="n">
        <x:f>IF(OR(IFERROR(INDIRECT("'WCM Calibration Final'!$A$640")&lt;&gt;"",FALSE),IFERROR(INDIRECT("'WCM Calibration Final'!$B$640")&lt;&gt;"",FALSE),IFERROR(INDIRECT("'WCM Calibration Final'!$C$640")&lt;&gt;"",FALSE)),640,0)</x:f>
        <x:v>0</x:v>
      </x:c>
      <x:c r="JB640" t="n">
        <x:f>'Calculations'!JB639+IF('Calculations'!JA640&gt;0,1,0)</x:f>
        <x:v>0</x:v>
      </x:c>
    </x:row>
    <x:row r="641">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4"/>
      <x:c r="DQ641" s="4"/>
      <x:c r="DR641" s="4"/>
      <x:c r="DS641" s="4"/>
      <x:c r="DT641" s="4"/>
      <x:c r="DU641" s="4"/>
      <x:c r="DV641" s="4"/>
      <x:c r="DW641" s="4"/>
      <x:c r="DX641" s="4"/>
      <x:c r="DY641" s="4"/>
      <x:c r="DZ641" s="4"/>
      <x:c r="EA641" s="4"/>
      <x:c r="EB641" s="4"/>
      <x:c r="EC641" s="4"/>
      <x:c r="ED641" s="4"/>
      <x:c r="EE641" s="4"/>
      <x:c r="EF641" s="4"/>
      <x:c r="EG641" s="4"/>
      <x:c r="EH641" s="4"/>
      <x:c r="EI641" s="4"/>
      <x:c r="EJ641" s="4"/>
      <x:c r="EK641" s="4"/>
      <x:c r="EL641" s="4"/>
      <x:c r="EM641" s="4"/>
      <x:c r="EN641" s="4"/>
      <x:c r="EO641" s="4"/>
      <x:c r="EP641" s="4"/>
      <x:c r="EQ641" s="4"/>
      <x:c r="ER641" s="4"/>
      <x:c r="ES641" s="4"/>
      <x:c r="ET641" s="4"/>
      <x:c r="EU641" s="4"/>
      <x:c r="EV641" s="4"/>
      <x:c r="EW641" s="4"/>
      <x:c r="EX641" s="4"/>
      <x:c r="EY641" s="4"/>
      <x:c r="EZ641" s="4"/>
      <x:c r="FA641" s="4"/>
      <x:c r="FB641" s="4"/>
      <x:c r="FC641" s="4"/>
      <x:c r="FD641" s="4"/>
      <x:c r="FE641" s="4"/>
      <x:c r="FF641" s="4"/>
      <x:c r="FG641" s="4"/>
      <x:c r="FH641" s="4"/>
      <x:c r="FI641" s="4"/>
      <x:c r="FJ641" s="4"/>
      <x:c r="FK641" s="4"/>
      <x:c r="FL641" s="4"/>
      <x:c r="FM641" s="4"/>
      <x:c r="FN641" s="4"/>
      <x:c r="FO641" s="4"/>
      <x:c r="JA641" t="n">
        <x:f>IF(OR(IFERROR(INDIRECT("'WCM Calibration Final'!$A$641")&lt;&gt;"",FALSE),IFERROR(INDIRECT("'WCM Calibration Final'!$B$641")&lt;&gt;"",FALSE),IFERROR(INDIRECT("'WCM Calibration Final'!$C$641")&lt;&gt;"",FALSE)),641,0)</x:f>
        <x:v>0</x:v>
      </x:c>
      <x:c r="JB641" t="n">
        <x:f>'Calculations'!JB640+IF('Calculations'!JA641&gt;0,1,0)</x:f>
        <x:v>0</x:v>
      </x:c>
    </x:row>
    <x:row r="642">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4"/>
      <x:c r="DQ642" s="4"/>
      <x:c r="DR642" s="4"/>
      <x:c r="DS642" s="4"/>
      <x:c r="DT642" s="4"/>
      <x:c r="DU642" s="4"/>
      <x:c r="DV642" s="4"/>
      <x:c r="DW642" s="4"/>
      <x:c r="DX642" s="4"/>
      <x:c r="DY642" s="4"/>
      <x:c r="DZ642" s="4"/>
      <x:c r="EA642" s="4"/>
      <x:c r="EB642" s="4"/>
      <x:c r="EC642" s="4"/>
      <x:c r="ED642" s="4"/>
      <x:c r="EE642" s="4"/>
      <x:c r="EF642" s="4"/>
      <x:c r="EG642" s="4"/>
      <x:c r="EH642" s="4"/>
      <x:c r="EI642" s="4"/>
      <x:c r="EJ642" s="4"/>
      <x:c r="EK642" s="4"/>
      <x:c r="EL642" s="4"/>
      <x:c r="EM642" s="4"/>
      <x:c r="EN642" s="4"/>
      <x:c r="EO642" s="4"/>
      <x:c r="EP642" s="4"/>
      <x:c r="EQ642" s="4"/>
      <x:c r="ER642" s="4"/>
      <x:c r="ES642" s="4"/>
      <x:c r="ET642" s="4"/>
      <x:c r="EU642" s="4"/>
      <x:c r="EV642" s="4"/>
      <x:c r="EW642" s="4"/>
      <x:c r="EX642" s="4"/>
      <x:c r="EY642" s="4"/>
      <x:c r="EZ642" s="4"/>
      <x:c r="FA642" s="4"/>
      <x:c r="FB642" s="4"/>
      <x:c r="FC642" s="4"/>
      <x:c r="FD642" s="4"/>
      <x:c r="FE642" s="4"/>
      <x:c r="FF642" s="4"/>
      <x:c r="FG642" s="4"/>
      <x:c r="FH642" s="4"/>
      <x:c r="FI642" s="4"/>
      <x:c r="FJ642" s="4"/>
      <x:c r="FK642" s="4"/>
      <x:c r="FL642" s="4"/>
      <x:c r="FM642" s="4"/>
      <x:c r="FN642" s="4"/>
      <x:c r="FO642" s="4"/>
      <x:c r="JA642" t="n">
        <x:f>IF(OR(IFERROR(INDIRECT("'WCM Calibration Final'!$A$642")&lt;&gt;"",FALSE),IFERROR(INDIRECT("'WCM Calibration Final'!$B$642")&lt;&gt;"",FALSE),IFERROR(INDIRECT("'WCM Calibration Final'!$C$642")&lt;&gt;"",FALSE)),642,0)</x:f>
        <x:v>0</x:v>
      </x:c>
      <x:c r="JB642" t="n">
        <x:f>'Calculations'!JB641+IF('Calculations'!JA642&gt;0,1,0)</x:f>
        <x:v>0</x:v>
      </x:c>
    </x:row>
    <x:row r="643">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4"/>
      <x:c r="DQ643" s="4"/>
      <x:c r="DR643" s="4"/>
      <x:c r="DS643" s="4"/>
      <x:c r="DT643" s="4"/>
      <x:c r="DU643" s="4"/>
      <x:c r="DV643" s="4"/>
      <x:c r="DW643" s="4"/>
      <x:c r="DX643" s="4"/>
      <x:c r="DY643" s="4"/>
      <x:c r="DZ643" s="4"/>
      <x:c r="EA643" s="4"/>
      <x:c r="EB643" s="4"/>
      <x:c r="EC643" s="4"/>
      <x:c r="ED643" s="4"/>
      <x:c r="EE643" s="4"/>
      <x:c r="EF643" s="4"/>
      <x:c r="EG643" s="4"/>
      <x:c r="EH643" s="4"/>
      <x:c r="EI643" s="4"/>
      <x:c r="EJ643" s="4"/>
      <x:c r="EK643" s="4"/>
      <x:c r="EL643" s="4"/>
      <x:c r="EM643" s="4"/>
      <x:c r="EN643" s="4"/>
      <x:c r="EO643" s="4"/>
      <x:c r="EP643" s="4"/>
      <x:c r="EQ643" s="4"/>
      <x:c r="ER643" s="4"/>
      <x:c r="ES643" s="4"/>
      <x:c r="ET643" s="4"/>
      <x:c r="EU643" s="4"/>
      <x:c r="EV643" s="4"/>
      <x:c r="EW643" s="4"/>
      <x:c r="EX643" s="4"/>
      <x:c r="EY643" s="4"/>
      <x:c r="EZ643" s="4"/>
      <x:c r="FA643" s="4"/>
      <x:c r="FB643" s="4"/>
      <x:c r="FC643" s="4"/>
      <x:c r="FD643" s="4"/>
      <x:c r="FE643" s="4"/>
      <x:c r="FF643" s="4"/>
      <x:c r="FG643" s="4"/>
      <x:c r="FH643" s="4"/>
      <x:c r="FI643" s="4"/>
      <x:c r="FJ643" s="4"/>
      <x:c r="FK643" s="4"/>
      <x:c r="FL643" s="4"/>
      <x:c r="FM643" s="4"/>
      <x:c r="FN643" s="4"/>
      <x:c r="FO643" s="4"/>
      <x:c r="JA643" t="n">
        <x:f>IF(OR(IFERROR(INDIRECT("'WCM Calibration Final'!$A$643")&lt;&gt;"",FALSE),IFERROR(INDIRECT("'WCM Calibration Final'!$B$643")&lt;&gt;"",FALSE),IFERROR(INDIRECT("'WCM Calibration Final'!$C$643")&lt;&gt;"",FALSE)),643,0)</x:f>
        <x:v>0</x:v>
      </x:c>
      <x:c r="JB643" t="n">
        <x:f>'Calculations'!JB642+IF('Calculations'!JA643&gt;0,1,0)</x:f>
        <x:v>0</x:v>
      </x:c>
    </x:row>
    <x:row r="644">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4"/>
      <x:c r="DQ644" s="4"/>
      <x:c r="DR644" s="4"/>
      <x:c r="DS644" s="4"/>
      <x:c r="DT644" s="4"/>
      <x:c r="DU644" s="4"/>
      <x:c r="DV644" s="4"/>
      <x:c r="DW644" s="4"/>
      <x:c r="DX644" s="4"/>
      <x:c r="DY644" s="4"/>
      <x:c r="DZ644" s="4"/>
      <x:c r="EA644" s="4"/>
      <x:c r="EB644" s="4"/>
      <x:c r="EC644" s="4"/>
      <x:c r="ED644" s="4"/>
      <x:c r="EE644" s="4"/>
      <x:c r="EF644" s="4"/>
      <x:c r="EG644" s="4"/>
      <x:c r="EH644" s="4"/>
      <x:c r="EI644" s="4"/>
      <x:c r="EJ644" s="4"/>
      <x:c r="EK644" s="4"/>
      <x:c r="EL644" s="4"/>
      <x:c r="EM644" s="4"/>
      <x:c r="EN644" s="4"/>
      <x:c r="EO644" s="4"/>
      <x:c r="EP644" s="4"/>
      <x:c r="EQ644" s="4"/>
      <x:c r="ER644" s="4"/>
      <x:c r="ES644" s="4"/>
      <x:c r="ET644" s="4"/>
      <x:c r="EU644" s="4"/>
      <x:c r="EV644" s="4"/>
      <x:c r="EW644" s="4"/>
      <x:c r="EX644" s="4"/>
      <x:c r="EY644" s="4"/>
      <x:c r="EZ644" s="4"/>
      <x:c r="FA644" s="4"/>
      <x:c r="FB644" s="4"/>
      <x:c r="FC644" s="4"/>
      <x:c r="FD644" s="4"/>
      <x:c r="FE644" s="4"/>
      <x:c r="FF644" s="4"/>
      <x:c r="FG644" s="4"/>
      <x:c r="FH644" s="4"/>
      <x:c r="FI644" s="4"/>
      <x:c r="FJ644" s="4"/>
      <x:c r="FK644" s="4"/>
      <x:c r="FL644" s="4"/>
      <x:c r="FM644" s="4"/>
      <x:c r="FN644" s="4"/>
      <x:c r="FO644" s="4"/>
      <x:c r="JA644" t="n">
        <x:f>IF(OR(IFERROR(INDIRECT("'WCM Calibration Final'!$A$644")&lt;&gt;"",FALSE),IFERROR(INDIRECT("'WCM Calibration Final'!$B$644")&lt;&gt;"",FALSE),IFERROR(INDIRECT("'WCM Calibration Final'!$C$644")&lt;&gt;"",FALSE)),644,0)</x:f>
        <x:v>0</x:v>
      </x:c>
      <x:c r="JB644" t="n">
        <x:f>'Calculations'!JB643+IF('Calculations'!JA644&gt;0,1,0)</x:f>
        <x:v>0</x:v>
      </x:c>
    </x:row>
    <x:row r="645">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4"/>
      <x:c r="DQ645" s="4"/>
      <x:c r="DR645" s="4"/>
      <x:c r="DS645" s="4"/>
      <x:c r="DT645" s="4"/>
      <x:c r="DU645" s="4"/>
      <x:c r="DV645" s="4"/>
      <x:c r="DW645" s="4"/>
      <x:c r="DX645" s="4"/>
      <x:c r="DY645" s="4"/>
      <x:c r="DZ645" s="4"/>
      <x:c r="EA645" s="4"/>
      <x:c r="EB645" s="4"/>
      <x:c r="EC645" s="4"/>
      <x:c r="ED645" s="4"/>
      <x:c r="EE645" s="4"/>
      <x:c r="EF645" s="4"/>
      <x:c r="EG645" s="4"/>
      <x:c r="EH645" s="4"/>
      <x:c r="EI645" s="4"/>
      <x:c r="EJ645" s="4"/>
      <x:c r="EK645" s="4"/>
      <x:c r="EL645" s="4"/>
      <x:c r="EM645" s="4"/>
      <x:c r="EN645" s="4"/>
      <x:c r="EO645" s="4"/>
      <x:c r="EP645" s="4"/>
      <x:c r="EQ645" s="4"/>
      <x:c r="ER645" s="4"/>
      <x:c r="ES645" s="4"/>
      <x:c r="ET645" s="4"/>
      <x:c r="EU645" s="4"/>
      <x:c r="EV645" s="4"/>
      <x:c r="EW645" s="4"/>
      <x:c r="EX645" s="4"/>
      <x:c r="EY645" s="4"/>
      <x:c r="EZ645" s="4"/>
      <x:c r="FA645" s="4"/>
      <x:c r="FB645" s="4"/>
      <x:c r="FC645" s="4"/>
      <x:c r="FD645" s="4"/>
      <x:c r="FE645" s="4"/>
      <x:c r="FF645" s="4"/>
      <x:c r="FG645" s="4"/>
      <x:c r="FH645" s="4"/>
      <x:c r="FI645" s="4"/>
      <x:c r="FJ645" s="4"/>
      <x:c r="FK645" s="4"/>
      <x:c r="FL645" s="4"/>
      <x:c r="FM645" s="4"/>
      <x:c r="FN645" s="4"/>
      <x:c r="FO645" s="4"/>
      <x:c r="JA645" t="n">
        <x:f>IF(OR(IFERROR(INDIRECT("'WCM Calibration Final'!$A$645")&lt;&gt;"",FALSE),IFERROR(INDIRECT("'WCM Calibration Final'!$B$645")&lt;&gt;"",FALSE),IFERROR(INDIRECT("'WCM Calibration Final'!$C$645")&lt;&gt;"",FALSE)),645,0)</x:f>
        <x:v>0</x:v>
      </x:c>
      <x:c r="JB645" t="n">
        <x:f>'Calculations'!JB644+IF('Calculations'!JA645&gt;0,1,0)</x:f>
        <x:v>0</x:v>
      </x:c>
    </x:row>
    <x:row r="646">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4"/>
      <x:c r="DQ646" s="4"/>
      <x:c r="DR646" s="4"/>
      <x:c r="DS646" s="4"/>
      <x:c r="DT646" s="4"/>
      <x:c r="DU646" s="4"/>
      <x:c r="DV646" s="4"/>
      <x:c r="DW646" s="4"/>
      <x:c r="DX646" s="4"/>
      <x:c r="DY646" s="4"/>
      <x:c r="DZ646" s="4"/>
      <x:c r="EA646" s="4"/>
      <x:c r="EB646" s="4"/>
      <x:c r="EC646" s="4"/>
      <x:c r="ED646" s="4"/>
      <x:c r="EE646" s="4"/>
      <x:c r="EF646" s="4"/>
      <x:c r="EG646" s="4"/>
      <x:c r="EH646" s="4"/>
      <x:c r="EI646" s="4"/>
      <x:c r="EJ646" s="4"/>
      <x:c r="EK646" s="4"/>
      <x:c r="EL646" s="4"/>
      <x:c r="EM646" s="4"/>
      <x:c r="EN646" s="4"/>
      <x:c r="EO646" s="4"/>
      <x:c r="EP646" s="4"/>
      <x:c r="EQ646" s="4"/>
      <x:c r="ER646" s="4"/>
      <x:c r="ES646" s="4"/>
      <x:c r="ET646" s="4"/>
      <x:c r="EU646" s="4"/>
      <x:c r="EV646" s="4"/>
      <x:c r="EW646" s="4"/>
      <x:c r="EX646" s="4"/>
      <x:c r="EY646" s="4"/>
      <x:c r="EZ646" s="4"/>
      <x:c r="FA646" s="4"/>
      <x:c r="FB646" s="4"/>
      <x:c r="FC646" s="4"/>
      <x:c r="FD646" s="4"/>
      <x:c r="FE646" s="4"/>
      <x:c r="FF646" s="4"/>
      <x:c r="FG646" s="4"/>
      <x:c r="FH646" s="4"/>
      <x:c r="FI646" s="4"/>
      <x:c r="FJ646" s="4"/>
      <x:c r="FK646" s="4"/>
      <x:c r="FL646" s="4"/>
      <x:c r="FM646" s="4"/>
      <x:c r="FN646" s="4"/>
      <x:c r="FO646" s="4"/>
      <x:c r="JA646" t="n">
        <x:f>IF(OR(IFERROR(INDIRECT("'WCM Calibration Final'!$A$646")&lt;&gt;"",FALSE),IFERROR(INDIRECT("'WCM Calibration Final'!$B$646")&lt;&gt;"",FALSE),IFERROR(INDIRECT("'WCM Calibration Final'!$C$646")&lt;&gt;"",FALSE)),646,0)</x:f>
        <x:v>0</x:v>
      </x:c>
      <x:c r="JB646" t="n">
        <x:f>'Calculations'!JB645+IF('Calculations'!JA646&gt;0,1,0)</x:f>
        <x:v>0</x:v>
      </x:c>
    </x:row>
    <x:row r="647">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4"/>
      <x:c r="DQ647" s="4"/>
      <x:c r="DR647" s="4"/>
      <x:c r="DS647" s="4"/>
      <x:c r="DT647" s="4"/>
      <x:c r="DU647" s="4"/>
      <x:c r="DV647" s="4"/>
      <x:c r="DW647" s="4"/>
      <x:c r="DX647" s="4"/>
      <x:c r="DY647" s="4"/>
      <x:c r="DZ647" s="4"/>
      <x:c r="EA647" s="4"/>
      <x:c r="EB647" s="4"/>
      <x:c r="EC647" s="4"/>
      <x:c r="ED647" s="4"/>
      <x:c r="EE647" s="4"/>
      <x:c r="EF647" s="4"/>
      <x:c r="EG647" s="4"/>
      <x:c r="EH647" s="4"/>
      <x:c r="EI647" s="4"/>
      <x:c r="EJ647" s="4"/>
      <x:c r="EK647" s="4"/>
      <x:c r="EL647" s="4"/>
      <x:c r="EM647" s="4"/>
      <x:c r="EN647" s="4"/>
      <x:c r="EO647" s="4"/>
      <x:c r="EP647" s="4"/>
      <x:c r="EQ647" s="4"/>
      <x:c r="ER647" s="4"/>
      <x:c r="ES647" s="4"/>
      <x:c r="ET647" s="4"/>
      <x:c r="EU647" s="4"/>
      <x:c r="EV647" s="4"/>
      <x:c r="EW647" s="4"/>
      <x:c r="EX647" s="4"/>
      <x:c r="EY647" s="4"/>
      <x:c r="EZ647" s="4"/>
      <x:c r="FA647" s="4"/>
      <x:c r="FB647" s="4"/>
      <x:c r="FC647" s="4"/>
      <x:c r="FD647" s="4"/>
      <x:c r="FE647" s="4"/>
      <x:c r="FF647" s="4"/>
      <x:c r="FG647" s="4"/>
      <x:c r="FH647" s="4"/>
      <x:c r="FI647" s="4"/>
      <x:c r="FJ647" s="4"/>
      <x:c r="FK647" s="4"/>
      <x:c r="FL647" s="4"/>
      <x:c r="FM647" s="4"/>
      <x:c r="FN647" s="4"/>
      <x:c r="FO647" s="4"/>
      <x:c r="JA647" t="n">
        <x:f>IF(OR(IFERROR(INDIRECT("'WCM Calibration Final'!$A$647")&lt;&gt;"",FALSE),IFERROR(INDIRECT("'WCM Calibration Final'!$B$647")&lt;&gt;"",FALSE),IFERROR(INDIRECT("'WCM Calibration Final'!$C$647")&lt;&gt;"",FALSE)),647,0)</x:f>
        <x:v>0</x:v>
      </x:c>
      <x:c r="JB647" t="n">
        <x:f>'Calculations'!JB646+IF('Calculations'!JA647&gt;0,1,0)</x:f>
        <x:v>0</x:v>
      </x:c>
    </x:row>
    <x:row r="648">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4"/>
      <x:c r="DQ648" s="4"/>
      <x:c r="DR648" s="4"/>
      <x:c r="DS648" s="4"/>
      <x:c r="DT648" s="4"/>
      <x:c r="DU648" s="4"/>
      <x:c r="DV648" s="4"/>
      <x:c r="DW648" s="4"/>
      <x:c r="DX648" s="4"/>
      <x:c r="DY648" s="4"/>
      <x:c r="DZ648" s="4"/>
      <x:c r="EA648" s="4"/>
      <x:c r="EB648" s="4"/>
      <x:c r="EC648" s="4"/>
      <x:c r="ED648" s="4"/>
      <x:c r="EE648" s="4"/>
      <x:c r="EF648" s="4"/>
      <x:c r="EG648" s="4"/>
      <x:c r="EH648" s="4"/>
      <x:c r="EI648" s="4"/>
      <x:c r="EJ648" s="4"/>
      <x:c r="EK648" s="4"/>
      <x:c r="EL648" s="4"/>
      <x:c r="EM648" s="4"/>
      <x:c r="EN648" s="4"/>
      <x:c r="EO648" s="4"/>
      <x:c r="EP648" s="4"/>
      <x:c r="EQ648" s="4"/>
      <x:c r="ER648" s="4"/>
      <x:c r="ES648" s="4"/>
      <x:c r="ET648" s="4"/>
      <x:c r="EU648" s="4"/>
      <x:c r="EV648" s="4"/>
      <x:c r="EW648" s="4"/>
      <x:c r="EX648" s="4"/>
      <x:c r="EY648" s="4"/>
      <x:c r="EZ648" s="4"/>
      <x:c r="FA648" s="4"/>
      <x:c r="FB648" s="4"/>
      <x:c r="FC648" s="4"/>
      <x:c r="FD648" s="4"/>
      <x:c r="FE648" s="4"/>
      <x:c r="FF648" s="4"/>
      <x:c r="FG648" s="4"/>
      <x:c r="FH648" s="4"/>
      <x:c r="FI648" s="4"/>
      <x:c r="FJ648" s="4"/>
      <x:c r="FK648" s="4"/>
      <x:c r="FL648" s="4"/>
      <x:c r="FM648" s="4"/>
      <x:c r="FN648" s="4"/>
      <x:c r="FO648" s="4"/>
      <x:c r="JA648" t="n">
        <x:f>IF(OR(IFERROR(INDIRECT("'WCM Calibration Final'!$A$648")&lt;&gt;"",FALSE),IFERROR(INDIRECT("'WCM Calibration Final'!$B$648")&lt;&gt;"",FALSE),IFERROR(INDIRECT("'WCM Calibration Final'!$C$648")&lt;&gt;"",FALSE)),648,0)</x:f>
        <x:v>0</x:v>
      </x:c>
      <x:c r="JB648" t="n">
        <x:f>'Calculations'!JB647+IF('Calculations'!JA648&gt;0,1,0)</x:f>
        <x:v>0</x:v>
      </x:c>
    </x:row>
    <x:row r="649">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4"/>
      <x:c r="DQ649" s="4"/>
      <x:c r="DR649" s="4"/>
      <x:c r="DS649" s="4"/>
      <x:c r="DT649" s="4"/>
      <x:c r="DU649" s="4"/>
      <x:c r="DV649" s="4"/>
      <x:c r="DW649" s="4"/>
      <x:c r="DX649" s="4"/>
      <x:c r="DY649" s="4"/>
      <x:c r="DZ649" s="4"/>
      <x:c r="EA649" s="4"/>
      <x:c r="EB649" s="4"/>
      <x:c r="EC649" s="4"/>
      <x:c r="ED649" s="4"/>
      <x:c r="EE649" s="4"/>
      <x:c r="EF649" s="4"/>
      <x:c r="EG649" s="4"/>
      <x:c r="EH649" s="4"/>
      <x:c r="EI649" s="4"/>
      <x:c r="EJ649" s="4"/>
      <x:c r="EK649" s="4"/>
      <x:c r="EL649" s="4"/>
      <x:c r="EM649" s="4"/>
      <x:c r="EN649" s="4"/>
      <x:c r="EO649" s="4"/>
      <x:c r="EP649" s="4"/>
      <x:c r="EQ649" s="4"/>
      <x:c r="ER649" s="4"/>
      <x:c r="ES649" s="4"/>
      <x:c r="ET649" s="4"/>
      <x:c r="EU649" s="4"/>
      <x:c r="EV649" s="4"/>
      <x:c r="EW649" s="4"/>
      <x:c r="EX649" s="4"/>
      <x:c r="EY649" s="4"/>
      <x:c r="EZ649" s="4"/>
      <x:c r="FA649" s="4"/>
      <x:c r="FB649" s="4"/>
      <x:c r="FC649" s="4"/>
      <x:c r="FD649" s="4"/>
      <x:c r="FE649" s="4"/>
      <x:c r="FF649" s="4"/>
      <x:c r="FG649" s="4"/>
      <x:c r="FH649" s="4"/>
      <x:c r="FI649" s="4"/>
      <x:c r="FJ649" s="4"/>
      <x:c r="FK649" s="4"/>
      <x:c r="FL649" s="4"/>
      <x:c r="FM649" s="4"/>
      <x:c r="FN649" s="4"/>
      <x:c r="FO649" s="4"/>
      <x:c r="JA649" t="n">
        <x:f>IF(OR(IFERROR(INDIRECT("'WCM Calibration Final'!$A$649")&lt;&gt;"",FALSE),IFERROR(INDIRECT("'WCM Calibration Final'!$B$649")&lt;&gt;"",FALSE),IFERROR(INDIRECT("'WCM Calibration Final'!$C$649")&lt;&gt;"",FALSE)),649,0)</x:f>
        <x:v>0</x:v>
      </x:c>
      <x:c r="JB649" t="n">
        <x:f>'Calculations'!JB648+IF('Calculations'!JA649&gt;0,1,0)</x:f>
        <x:v>0</x:v>
      </x:c>
    </x:row>
    <x:row r="650">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4"/>
      <x:c r="DQ650" s="4"/>
      <x:c r="DR650" s="4"/>
      <x:c r="DS650" s="4"/>
      <x:c r="DT650" s="4"/>
      <x:c r="DU650" s="4"/>
      <x:c r="DV650" s="4"/>
      <x:c r="DW650" s="4"/>
      <x:c r="DX650" s="4"/>
      <x:c r="DY650" s="4"/>
      <x:c r="DZ650" s="4"/>
      <x:c r="EA650" s="4"/>
      <x:c r="EB650" s="4"/>
      <x:c r="EC650" s="4"/>
      <x:c r="ED650" s="4"/>
      <x:c r="EE650" s="4"/>
      <x:c r="EF650" s="4"/>
      <x:c r="EG650" s="4"/>
      <x:c r="EH650" s="4"/>
      <x:c r="EI650" s="4"/>
      <x:c r="EJ650" s="4"/>
      <x:c r="EK650" s="4"/>
      <x:c r="EL650" s="4"/>
      <x:c r="EM650" s="4"/>
      <x:c r="EN650" s="4"/>
      <x:c r="EO650" s="4"/>
      <x:c r="EP650" s="4"/>
      <x:c r="EQ650" s="4"/>
      <x:c r="ER650" s="4"/>
      <x:c r="ES650" s="4"/>
      <x:c r="ET650" s="4"/>
      <x:c r="EU650" s="4"/>
      <x:c r="EV650" s="4"/>
      <x:c r="EW650" s="4"/>
      <x:c r="EX650" s="4"/>
      <x:c r="EY650" s="4"/>
      <x:c r="EZ650" s="4"/>
      <x:c r="FA650" s="4"/>
      <x:c r="FB650" s="4"/>
      <x:c r="FC650" s="4"/>
      <x:c r="FD650" s="4"/>
      <x:c r="FE650" s="4"/>
      <x:c r="FF650" s="4"/>
      <x:c r="FG650" s="4"/>
      <x:c r="FH650" s="4"/>
      <x:c r="FI650" s="4"/>
      <x:c r="FJ650" s="4"/>
      <x:c r="FK650" s="4"/>
      <x:c r="FL650" s="4"/>
      <x:c r="FM650" s="4"/>
      <x:c r="FN650" s="4"/>
      <x:c r="FO650" s="4"/>
      <x:c r="JA650" t="n">
        <x:f>IF(OR(IFERROR(INDIRECT("'WCM Calibration Final'!$A$650")&lt;&gt;"",FALSE),IFERROR(INDIRECT("'WCM Calibration Final'!$B$650")&lt;&gt;"",FALSE),IFERROR(INDIRECT("'WCM Calibration Final'!$C$650")&lt;&gt;"",FALSE)),650,0)</x:f>
        <x:v>0</x:v>
      </x:c>
      <x:c r="JB650" t="n">
        <x:f>'Calculations'!JB649+IF('Calculations'!JA650&gt;0,1,0)</x:f>
        <x:v>0</x:v>
      </x:c>
    </x:row>
    <x:row r="651">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4"/>
      <x:c r="DQ651" s="4"/>
      <x:c r="DR651" s="4"/>
      <x:c r="DS651" s="4"/>
      <x:c r="DT651" s="4"/>
      <x:c r="DU651" s="4"/>
      <x:c r="DV651" s="4"/>
      <x:c r="DW651" s="4"/>
      <x:c r="DX651" s="4"/>
      <x:c r="DY651" s="4"/>
      <x:c r="DZ651" s="4"/>
      <x:c r="EA651" s="4"/>
      <x:c r="EB651" s="4"/>
      <x:c r="EC651" s="4"/>
      <x:c r="ED651" s="4"/>
      <x:c r="EE651" s="4"/>
      <x:c r="EF651" s="4"/>
      <x:c r="EG651" s="4"/>
      <x:c r="EH651" s="4"/>
      <x:c r="EI651" s="4"/>
      <x:c r="EJ651" s="4"/>
      <x:c r="EK651" s="4"/>
      <x:c r="EL651" s="4"/>
      <x:c r="EM651" s="4"/>
      <x:c r="EN651" s="4"/>
      <x:c r="EO651" s="4"/>
      <x:c r="EP651" s="4"/>
      <x:c r="EQ651" s="4"/>
      <x:c r="ER651" s="4"/>
      <x:c r="ES651" s="4"/>
      <x:c r="ET651" s="4"/>
      <x:c r="EU651" s="4"/>
      <x:c r="EV651" s="4"/>
      <x:c r="EW651" s="4"/>
      <x:c r="EX651" s="4"/>
      <x:c r="EY651" s="4"/>
      <x:c r="EZ651" s="4"/>
      <x:c r="FA651" s="4"/>
      <x:c r="FB651" s="4"/>
      <x:c r="FC651" s="4"/>
      <x:c r="FD651" s="4"/>
      <x:c r="FE651" s="4"/>
      <x:c r="FF651" s="4"/>
      <x:c r="FG651" s="4"/>
      <x:c r="FH651" s="4"/>
      <x:c r="FI651" s="4"/>
      <x:c r="FJ651" s="4"/>
      <x:c r="FK651" s="4"/>
      <x:c r="FL651" s="4"/>
      <x:c r="FM651" s="4"/>
      <x:c r="FN651" s="4"/>
      <x:c r="FO651" s="4"/>
      <x:c r="JA651" t="n">
        <x:f>IF(OR(IFERROR(INDIRECT("'WCM Calibration Final'!$A$651")&lt;&gt;"",FALSE),IFERROR(INDIRECT("'WCM Calibration Final'!$B$651")&lt;&gt;"",FALSE),IFERROR(INDIRECT("'WCM Calibration Final'!$C$651")&lt;&gt;"",FALSE)),651,0)</x:f>
        <x:v>0</x:v>
      </x:c>
      <x:c r="JB651" t="n">
        <x:f>'Calculations'!JB650+IF('Calculations'!JA651&gt;0,1,0)</x:f>
        <x:v>0</x:v>
      </x:c>
    </x:row>
    <x:row r="652">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4"/>
      <x:c r="DQ652" s="4"/>
      <x:c r="DR652" s="4"/>
      <x:c r="DS652" s="4"/>
      <x:c r="DT652" s="4"/>
      <x:c r="DU652" s="4"/>
      <x:c r="DV652" s="4"/>
      <x:c r="DW652" s="4"/>
      <x:c r="DX652" s="4"/>
      <x:c r="DY652" s="4"/>
      <x:c r="DZ652" s="4"/>
      <x:c r="EA652" s="4"/>
      <x:c r="EB652" s="4"/>
      <x:c r="EC652" s="4"/>
      <x:c r="ED652" s="4"/>
      <x:c r="EE652" s="4"/>
      <x:c r="EF652" s="4"/>
      <x:c r="EG652" s="4"/>
      <x:c r="EH652" s="4"/>
      <x:c r="EI652" s="4"/>
      <x:c r="EJ652" s="4"/>
      <x:c r="EK652" s="4"/>
      <x:c r="EL652" s="4"/>
      <x:c r="EM652" s="4"/>
      <x:c r="EN652" s="4"/>
      <x:c r="EO652" s="4"/>
      <x:c r="EP652" s="4"/>
      <x:c r="EQ652" s="4"/>
      <x:c r="ER652" s="4"/>
      <x:c r="ES652" s="4"/>
      <x:c r="ET652" s="4"/>
      <x:c r="EU652" s="4"/>
      <x:c r="EV652" s="4"/>
      <x:c r="EW652" s="4"/>
      <x:c r="EX652" s="4"/>
      <x:c r="EY652" s="4"/>
      <x:c r="EZ652" s="4"/>
      <x:c r="FA652" s="4"/>
      <x:c r="FB652" s="4"/>
      <x:c r="FC652" s="4"/>
      <x:c r="FD652" s="4"/>
      <x:c r="FE652" s="4"/>
      <x:c r="FF652" s="4"/>
      <x:c r="FG652" s="4"/>
      <x:c r="FH652" s="4"/>
      <x:c r="FI652" s="4"/>
      <x:c r="FJ652" s="4"/>
      <x:c r="FK652" s="4"/>
      <x:c r="FL652" s="4"/>
      <x:c r="FM652" s="4"/>
      <x:c r="FN652" s="4"/>
      <x:c r="FO652" s="4"/>
      <x:c r="JA652" t="n">
        <x:f>IF(OR(IFERROR(INDIRECT("'WCM Calibration Final'!$A$652")&lt;&gt;"",FALSE),IFERROR(INDIRECT("'WCM Calibration Final'!$B$652")&lt;&gt;"",FALSE),IFERROR(INDIRECT("'WCM Calibration Final'!$C$652")&lt;&gt;"",FALSE)),652,0)</x:f>
        <x:v>0</x:v>
      </x:c>
      <x:c r="JB652" t="n">
        <x:f>'Calculations'!JB651+IF('Calculations'!JA652&gt;0,1,0)</x:f>
        <x:v>0</x:v>
      </x:c>
    </x:row>
    <x:row r="653">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4"/>
      <x:c r="DQ653" s="4"/>
      <x:c r="DR653" s="4"/>
      <x:c r="DS653" s="4"/>
      <x:c r="DT653" s="4"/>
      <x:c r="DU653" s="4"/>
      <x:c r="DV653" s="4"/>
      <x:c r="DW653" s="4"/>
      <x:c r="DX653" s="4"/>
      <x:c r="DY653" s="4"/>
      <x:c r="DZ653" s="4"/>
      <x:c r="EA653" s="4"/>
      <x:c r="EB653" s="4"/>
      <x:c r="EC653" s="4"/>
      <x:c r="ED653" s="4"/>
      <x:c r="EE653" s="4"/>
      <x:c r="EF653" s="4"/>
      <x:c r="EG653" s="4"/>
      <x:c r="EH653" s="4"/>
      <x:c r="EI653" s="4"/>
      <x:c r="EJ653" s="4"/>
      <x:c r="EK653" s="4"/>
      <x:c r="EL653" s="4"/>
      <x:c r="EM653" s="4"/>
      <x:c r="EN653" s="4"/>
      <x:c r="EO653" s="4"/>
      <x:c r="EP653" s="4"/>
      <x:c r="EQ653" s="4"/>
      <x:c r="ER653" s="4"/>
      <x:c r="ES653" s="4"/>
      <x:c r="ET653" s="4"/>
      <x:c r="EU653" s="4"/>
      <x:c r="EV653" s="4"/>
      <x:c r="EW653" s="4"/>
      <x:c r="EX653" s="4"/>
      <x:c r="EY653" s="4"/>
      <x:c r="EZ653" s="4"/>
      <x:c r="FA653" s="4"/>
      <x:c r="FB653" s="4"/>
      <x:c r="FC653" s="4"/>
      <x:c r="FD653" s="4"/>
      <x:c r="FE653" s="4"/>
      <x:c r="FF653" s="4"/>
      <x:c r="FG653" s="4"/>
      <x:c r="FH653" s="4"/>
      <x:c r="FI653" s="4"/>
      <x:c r="FJ653" s="4"/>
      <x:c r="FK653" s="4"/>
      <x:c r="FL653" s="4"/>
      <x:c r="FM653" s="4"/>
      <x:c r="FN653" s="4"/>
      <x:c r="FO653" s="4"/>
      <x:c r="JA653" t="n">
        <x:f>IF(OR(IFERROR(INDIRECT("'WCM Calibration Final'!$A$653")&lt;&gt;"",FALSE),IFERROR(INDIRECT("'WCM Calibration Final'!$B$653")&lt;&gt;"",FALSE),IFERROR(INDIRECT("'WCM Calibration Final'!$C$653")&lt;&gt;"",FALSE)),653,0)</x:f>
        <x:v>0</x:v>
      </x:c>
      <x:c r="JB653" t="n">
        <x:f>'Calculations'!JB652+IF('Calculations'!JA653&gt;0,1,0)</x:f>
        <x:v>0</x:v>
      </x:c>
    </x:row>
    <x:row r="654">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4"/>
      <x:c r="DQ654" s="4"/>
      <x:c r="DR654" s="4"/>
      <x:c r="DS654" s="4"/>
      <x:c r="DT654" s="4"/>
      <x:c r="DU654" s="4"/>
      <x:c r="DV654" s="4"/>
      <x:c r="DW654" s="4"/>
      <x:c r="DX654" s="4"/>
      <x:c r="DY654" s="4"/>
      <x:c r="DZ654" s="4"/>
      <x:c r="EA654" s="4"/>
      <x:c r="EB654" s="4"/>
      <x:c r="EC654" s="4"/>
      <x:c r="ED654" s="4"/>
      <x:c r="EE654" s="4"/>
      <x:c r="EF654" s="4"/>
      <x:c r="EG654" s="4"/>
      <x:c r="EH654" s="4"/>
      <x:c r="EI654" s="4"/>
      <x:c r="EJ654" s="4"/>
      <x:c r="EK654" s="4"/>
      <x:c r="EL654" s="4"/>
      <x:c r="EM654" s="4"/>
      <x:c r="EN654" s="4"/>
      <x:c r="EO654" s="4"/>
      <x:c r="EP654" s="4"/>
      <x:c r="EQ654" s="4"/>
      <x:c r="ER654" s="4"/>
      <x:c r="ES654" s="4"/>
      <x:c r="ET654" s="4"/>
      <x:c r="EU654" s="4"/>
      <x:c r="EV654" s="4"/>
      <x:c r="EW654" s="4"/>
      <x:c r="EX654" s="4"/>
      <x:c r="EY654" s="4"/>
      <x:c r="EZ654" s="4"/>
      <x:c r="FA654" s="4"/>
      <x:c r="FB654" s="4"/>
      <x:c r="FC654" s="4"/>
      <x:c r="FD654" s="4"/>
      <x:c r="FE654" s="4"/>
      <x:c r="FF654" s="4"/>
      <x:c r="FG654" s="4"/>
      <x:c r="FH654" s="4"/>
      <x:c r="FI654" s="4"/>
      <x:c r="FJ654" s="4"/>
      <x:c r="FK654" s="4"/>
      <x:c r="FL654" s="4"/>
      <x:c r="FM654" s="4"/>
      <x:c r="FN654" s="4"/>
      <x:c r="FO654" s="4"/>
      <x:c r="JA654" t="n">
        <x:f>IF(OR(IFERROR(INDIRECT("'WCM Calibration Final'!$A$654")&lt;&gt;"",FALSE),IFERROR(INDIRECT("'WCM Calibration Final'!$B$654")&lt;&gt;"",FALSE),IFERROR(INDIRECT("'WCM Calibration Final'!$C$654")&lt;&gt;"",FALSE)),654,0)</x:f>
        <x:v>0</x:v>
      </x:c>
      <x:c r="JB654" t="n">
        <x:f>'Calculations'!JB653+IF('Calculations'!JA654&gt;0,1,0)</x:f>
        <x:v>0</x:v>
      </x:c>
    </x:row>
    <x:row r="655">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4"/>
      <x:c r="DQ655" s="4"/>
      <x:c r="DR655" s="4"/>
      <x:c r="DS655" s="4"/>
      <x:c r="DT655" s="4"/>
      <x:c r="DU655" s="4"/>
      <x:c r="DV655" s="4"/>
      <x:c r="DW655" s="4"/>
      <x:c r="DX655" s="4"/>
      <x:c r="DY655" s="4"/>
      <x:c r="DZ655" s="4"/>
      <x:c r="EA655" s="4"/>
      <x:c r="EB655" s="4"/>
      <x:c r="EC655" s="4"/>
      <x:c r="ED655" s="4"/>
      <x:c r="EE655" s="4"/>
      <x:c r="EF655" s="4"/>
      <x:c r="EG655" s="4"/>
      <x:c r="EH655" s="4"/>
      <x:c r="EI655" s="4"/>
      <x:c r="EJ655" s="4"/>
      <x:c r="EK655" s="4"/>
      <x:c r="EL655" s="4"/>
      <x:c r="EM655" s="4"/>
      <x:c r="EN655" s="4"/>
      <x:c r="EO655" s="4"/>
      <x:c r="EP655" s="4"/>
      <x:c r="EQ655" s="4"/>
      <x:c r="ER655" s="4"/>
      <x:c r="ES655" s="4"/>
      <x:c r="ET655" s="4"/>
      <x:c r="EU655" s="4"/>
      <x:c r="EV655" s="4"/>
      <x:c r="EW655" s="4"/>
      <x:c r="EX655" s="4"/>
      <x:c r="EY655" s="4"/>
      <x:c r="EZ655" s="4"/>
      <x:c r="FA655" s="4"/>
      <x:c r="FB655" s="4"/>
      <x:c r="FC655" s="4"/>
      <x:c r="FD655" s="4"/>
      <x:c r="FE655" s="4"/>
      <x:c r="FF655" s="4"/>
      <x:c r="FG655" s="4"/>
      <x:c r="FH655" s="4"/>
      <x:c r="FI655" s="4"/>
      <x:c r="FJ655" s="4"/>
      <x:c r="FK655" s="4"/>
      <x:c r="FL655" s="4"/>
      <x:c r="FM655" s="4"/>
      <x:c r="FN655" s="4"/>
      <x:c r="FO655" s="4"/>
      <x:c r="JA655" t="n">
        <x:f>IF(OR(IFERROR(INDIRECT("'WCM Calibration Final'!$A$655")&lt;&gt;"",FALSE),IFERROR(INDIRECT("'WCM Calibration Final'!$B$655")&lt;&gt;"",FALSE),IFERROR(INDIRECT("'WCM Calibration Final'!$C$655")&lt;&gt;"",FALSE)),655,0)</x:f>
        <x:v>0</x:v>
      </x:c>
      <x:c r="JB655" t="n">
        <x:f>'Calculations'!JB654+IF('Calculations'!JA655&gt;0,1,0)</x:f>
        <x:v>0</x:v>
      </x:c>
    </x:row>
    <x:row r="656">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4"/>
      <x:c r="DQ656" s="4"/>
      <x:c r="DR656" s="4"/>
      <x:c r="DS656" s="4"/>
      <x:c r="DT656" s="4"/>
      <x:c r="DU656" s="4"/>
      <x:c r="DV656" s="4"/>
      <x:c r="DW656" s="4"/>
      <x:c r="DX656" s="4"/>
      <x:c r="DY656" s="4"/>
      <x:c r="DZ656" s="4"/>
      <x:c r="EA656" s="4"/>
      <x:c r="EB656" s="4"/>
      <x:c r="EC656" s="4"/>
      <x:c r="ED656" s="4"/>
      <x:c r="EE656" s="4"/>
      <x:c r="EF656" s="4"/>
      <x:c r="EG656" s="4"/>
      <x:c r="EH656" s="4"/>
      <x:c r="EI656" s="4"/>
      <x:c r="EJ656" s="4"/>
      <x:c r="EK656" s="4"/>
      <x:c r="EL656" s="4"/>
      <x:c r="EM656" s="4"/>
      <x:c r="EN656" s="4"/>
      <x:c r="EO656" s="4"/>
      <x:c r="EP656" s="4"/>
      <x:c r="EQ656" s="4"/>
      <x:c r="ER656" s="4"/>
      <x:c r="ES656" s="4"/>
      <x:c r="ET656" s="4"/>
      <x:c r="EU656" s="4"/>
      <x:c r="EV656" s="4"/>
      <x:c r="EW656" s="4"/>
      <x:c r="EX656" s="4"/>
      <x:c r="EY656" s="4"/>
      <x:c r="EZ656" s="4"/>
      <x:c r="FA656" s="4"/>
      <x:c r="FB656" s="4"/>
      <x:c r="FC656" s="4"/>
      <x:c r="FD656" s="4"/>
      <x:c r="FE656" s="4"/>
      <x:c r="FF656" s="4"/>
      <x:c r="FG656" s="4"/>
      <x:c r="FH656" s="4"/>
      <x:c r="FI656" s="4"/>
      <x:c r="FJ656" s="4"/>
      <x:c r="FK656" s="4"/>
      <x:c r="FL656" s="4"/>
      <x:c r="FM656" s="4"/>
      <x:c r="FN656" s="4"/>
      <x:c r="FO656" s="4"/>
      <x:c r="JA656" t="n">
        <x:f>IF(OR(IFERROR(INDIRECT("'WCM Calibration Final'!$A$656")&lt;&gt;"",FALSE),IFERROR(INDIRECT("'WCM Calibration Final'!$B$656")&lt;&gt;"",FALSE),IFERROR(INDIRECT("'WCM Calibration Final'!$C$656")&lt;&gt;"",FALSE)),656,0)</x:f>
        <x:v>0</x:v>
      </x:c>
      <x:c r="JB656" t="n">
        <x:f>'Calculations'!JB655+IF('Calculations'!JA656&gt;0,1,0)</x:f>
        <x:v>0</x:v>
      </x:c>
    </x:row>
    <x:row r="657">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4"/>
      <x:c r="DQ657" s="4"/>
      <x:c r="DR657" s="4"/>
      <x:c r="DS657" s="4"/>
      <x:c r="DT657" s="4"/>
      <x:c r="DU657" s="4"/>
      <x:c r="DV657" s="4"/>
      <x:c r="DW657" s="4"/>
      <x:c r="DX657" s="4"/>
      <x:c r="DY657" s="4"/>
      <x:c r="DZ657" s="4"/>
      <x:c r="EA657" s="4"/>
      <x:c r="EB657" s="4"/>
      <x:c r="EC657" s="4"/>
      <x:c r="ED657" s="4"/>
      <x:c r="EE657" s="4"/>
      <x:c r="EF657" s="4"/>
      <x:c r="EG657" s="4"/>
      <x:c r="EH657" s="4"/>
      <x:c r="EI657" s="4"/>
      <x:c r="EJ657" s="4"/>
      <x:c r="EK657" s="4"/>
      <x:c r="EL657" s="4"/>
      <x:c r="EM657" s="4"/>
      <x:c r="EN657" s="4"/>
      <x:c r="EO657" s="4"/>
      <x:c r="EP657" s="4"/>
      <x:c r="EQ657" s="4"/>
      <x:c r="ER657" s="4"/>
      <x:c r="ES657" s="4"/>
      <x:c r="ET657" s="4"/>
      <x:c r="EU657" s="4"/>
      <x:c r="EV657" s="4"/>
      <x:c r="EW657" s="4"/>
      <x:c r="EX657" s="4"/>
      <x:c r="EY657" s="4"/>
      <x:c r="EZ657" s="4"/>
      <x:c r="FA657" s="4"/>
      <x:c r="FB657" s="4"/>
      <x:c r="FC657" s="4"/>
      <x:c r="FD657" s="4"/>
      <x:c r="FE657" s="4"/>
      <x:c r="FF657" s="4"/>
      <x:c r="FG657" s="4"/>
      <x:c r="FH657" s="4"/>
      <x:c r="FI657" s="4"/>
      <x:c r="FJ657" s="4"/>
      <x:c r="FK657" s="4"/>
      <x:c r="FL657" s="4"/>
      <x:c r="FM657" s="4"/>
      <x:c r="FN657" s="4"/>
      <x:c r="FO657" s="4"/>
      <x:c r="JA657" t="n">
        <x:f>IF(OR(IFERROR(INDIRECT("'WCM Calibration Final'!$A$657")&lt;&gt;"",FALSE),IFERROR(INDIRECT("'WCM Calibration Final'!$B$657")&lt;&gt;"",FALSE),IFERROR(INDIRECT("'WCM Calibration Final'!$C$657")&lt;&gt;"",FALSE)),657,0)</x:f>
        <x:v>0</x:v>
      </x:c>
      <x:c r="JB657" t="n">
        <x:f>'Calculations'!JB656+IF('Calculations'!JA657&gt;0,1,0)</x:f>
        <x:v>0</x:v>
      </x:c>
    </x:row>
    <x:row r="658">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4"/>
      <x:c r="DQ658" s="4"/>
      <x:c r="DR658" s="4"/>
      <x:c r="DS658" s="4"/>
      <x:c r="DT658" s="4"/>
      <x:c r="DU658" s="4"/>
      <x:c r="DV658" s="4"/>
      <x:c r="DW658" s="4"/>
      <x:c r="DX658" s="4"/>
      <x:c r="DY658" s="4"/>
      <x:c r="DZ658" s="4"/>
      <x:c r="EA658" s="4"/>
      <x:c r="EB658" s="4"/>
      <x:c r="EC658" s="4"/>
      <x:c r="ED658" s="4"/>
      <x:c r="EE658" s="4"/>
      <x:c r="EF658" s="4"/>
      <x:c r="EG658" s="4"/>
      <x:c r="EH658" s="4"/>
      <x:c r="EI658" s="4"/>
      <x:c r="EJ658" s="4"/>
      <x:c r="EK658" s="4"/>
      <x:c r="EL658" s="4"/>
      <x:c r="EM658" s="4"/>
      <x:c r="EN658" s="4"/>
      <x:c r="EO658" s="4"/>
      <x:c r="EP658" s="4"/>
      <x:c r="EQ658" s="4"/>
      <x:c r="ER658" s="4"/>
      <x:c r="ES658" s="4"/>
      <x:c r="ET658" s="4"/>
      <x:c r="EU658" s="4"/>
      <x:c r="EV658" s="4"/>
      <x:c r="EW658" s="4"/>
      <x:c r="EX658" s="4"/>
      <x:c r="EY658" s="4"/>
      <x:c r="EZ658" s="4"/>
      <x:c r="FA658" s="4"/>
      <x:c r="FB658" s="4"/>
      <x:c r="FC658" s="4"/>
      <x:c r="FD658" s="4"/>
      <x:c r="FE658" s="4"/>
      <x:c r="FF658" s="4"/>
      <x:c r="FG658" s="4"/>
      <x:c r="FH658" s="4"/>
      <x:c r="FI658" s="4"/>
      <x:c r="FJ658" s="4"/>
      <x:c r="FK658" s="4"/>
      <x:c r="FL658" s="4"/>
      <x:c r="FM658" s="4"/>
      <x:c r="FN658" s="4"/>
      <x:c r="FO658" s="4"/>
      <x:c r="JA658" t="n">
        <x:f>IF(OR(IFERROR(INDIRECT("'WCM Calibration Final'!$A$658")&lt;&gt;"",FALSE),IFERROR(INDIRECT("'WCM Calibration Final'!$B$658")&lt;&gt;"",FALSE),IFERROR(INDIRECT("'WCM Calibration Final'!$C$658")&lt;&gt;"",FALSE)),658,0)</x:f>
        <x:v>0</x:v>
      </x:c>
      <x:c r="JB658" t="n">
        <x:f>'Calculations'!JB657+IF('Calculations'!JA658&gt;0,1,0)</x:f>
        <x:v>0</x:v>
      </x:c>
    </x:row>
    <x:row r="659">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4"/>
      <x:c r="DQ659" s="4"/>
      <x:c r="DR659" s="4"/>
      <x:c r="DS659" s="4"/>
      <x:c r="DT659" s="4"/>
      <x:c r="DU659" s="4"/>
      <x:c r="DV659" s="4"/>
      <x:c r="DW659" s="4"/>
      <x:c r="DX659" s="4"/>
      <x:c r="DY659" s="4"/>
      <x:c r="DZ659" s="4"/>
      <x:c r="EA659" s="4"/>
      <x:c r="EB659" s="4"/>
      <x:c r="EC659" s="4"/>
      <x:c r="ED659" s="4"/>
      <x:c r="EE659" s="4"/>
      <x:c r="EF659" s="4"/>
      <x:c r="EG659" s="4"/>
      <x:c r="EH659" s="4"/>
      <x:c r="EI659" s="4"/>
      <x:c r="EJ659" s="4"/>
      <x:c r="EK659" s="4"/>
      <x:c r="EL659" s="4"/>
      <x:c r="EM659" s="4"/>
      <x:c r="EN659" s="4"/>
      <x:c r="EO659" s="4"/>
      <x:c r="EP659" s="4"/>
      <x:c r="EQ659" s="4"/>
      <x:c r="ER659" s="4"/>
      <x:c r="ES659" s="4"/>
      <x:c r="ET659" s="4"/>
      <x:c r="EU659" s="4"/>
      <x:c r="EV659" s="4"/>
      <x:c r="EW659" s="4"/>
      <x:c r="EX659" s="4"/>
      <x:c r="EY659" s="4"/>
      <x:c r="EZ659" s="4"/>
      <x:c r="FA659" s="4"/>
      <x:c r="FB659" s="4"/>
      <x:c r="FC659" s="4"/>
      <x:c r="FD659" s="4"/>
      <x:c r="FE659" s="4"/>
      <x:c r="FF659" s="4"/>
      <x:c r="FG659" s="4"/>
      <x:c r="FH659" s="4"/>
      <x:c r="FI659" s="4"/>
      <x:c r="FJ659" s="4"/>
      <x:c r="FK659" s="4"/>
      <x:c r="FL659" s="4"/>
      <x:c r="FM659" s="4"/>
      <x:c r="FN659" s="4"/>
      <x:c r="FO659" s="4"/>
      <x:c r="JA659" t="n">
        <x:f>IF(OR(IFERROR(INDIRECT("'WCM Calibration Final'!$A$659")&lt;&gt;"",FALSE),IFERROR(INDIRECT("'WCM Calibration Final'!$B$659")&lt;&gt;"",FALSE),IFERROR(INDIRECT("'WCM Calibration Final'!$C$659")&lt;&gt;"",FALSE)),659,0)</x:f>
        <x:v>0</x:v>
      </x:c>
      <x:c r="JB659" t="n">
        <x:f>'Calculations'!JB658+IF('Calculations'!JA659&gt;0,1,0)</x:f>
        <x:v>0</x:v>
      </x:c>
    </x:row>
    <x:row r="660">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4"/>
      <x:c r="DQ660" s="4"/>
      <x:c r="DR660" s="4"/>
      <x:c r="DS660" s="4"/>
      <x:c r="DT660" s="4"/>
      <x:c r="DU660" s="4"/>
      <x:c r="DV660" s="4"/>
      <x:c r="DW660" s="4"/>
      <x:c r="DX660" s="4"/>
      <x:c r="DY660" s="4"/>
      <x:c r="DZ660" s="4"/>
      <x:c r="EA660" s="4"/>
      <x:c r="EB660" s="4"/>
      <x:c r="EC660" s="4"/>
      <x:c r="ED660" s="4"/>
      <x:c r="EE660" s="4"/>
      <x:c r="EF660" s="4"/>
      <x:c r="EG660" s="4"/>
      <x:c r="EH660" s="4"/>
      <x:c r="EI660" s="4"/>
      <x:c r="EJ660" s="4"/>
      <x:c r="EK660" s="4"/>
      <x:c r="EL660" s="4"/>
      <x:c r="EM660" s="4"/>
      <x:c r="EN660" s="4"/>
      <x:c r="EO660" s="4"/>
      <x:c r="EP660" s="4"/>
      <x:c r="EQ660" s="4"/>
      <x:c r="ER660" s="4"/>
      <x:c r="ES660" s="4"/>
      <x:c r="ET660" s="4"/>
      <x:c r="EU660" s="4"/>
      <x:c r="EV660" s="4"/>
      <x:c r="EW660" s="4"/>
      <x:c r="EX660" s="4"/>
      <x:c r="EY660" s="4"/>
      <x:c r="EZ660" s="4"/>
      <x:c r="FA660" s="4"/>
      <x:c r="FB660" s="4"/>
      <x:c r="FC660" s="4"/>
      <x:c r="FD660" s="4"/>
      <x:c r="FE660" s="4"/>
      <x:c r="FF660" s="4"/>
      <x:c r="FG660" s="4"/>
      <x:c r="FH660" s="4"/>
      <x:c r="FI660" s="4"/>
      <x:c r="FJ660" s="4"/>
      <x:c r="FK660" s="4"/>
      <x:c r="FL660" s="4"/>
      <x:c r="FM660" s="4"/>
      <x:c r="FN660" s="4"/>
      <x:c r="FO660" s="4"/>
      <x:c r="JA660" t="n">
        <x:f>IF(OR(IFERROR(INDIRECT("'WCM Calibration Final'!$A$660")&lt;&gt;"",FALSE),IFERROR(INDIRECT("'WCM Calibration Final'!$B$660")&lt;&gt;"",FALSE),IFERROR(INDIRECT("'WCM Calibration Final'!$C$660")&lt;&gt;"",FALSE)),660,0)</x:f>
        <x:v>0</x:v>
      </x:c>
      <x:c r="JB660" t="n">
        <x:f>'Calculations'!JB659+IF('Calculations'!JA660&gt;0,1,0)</x:f>
        <x:v>0</x:v>
      </x:c>
    </x:row>
    <x:row r="661">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4"/>
      <x:c r="DQ661" s="4"/>
      <x:c r="DR661" s="4"/>
      <x:c r="DS661" s="4"/>
      <x:c r="DT661" s="4"/>
      <x:c r="DU661" s="4"/>
      <x:c r="DV661" s="4"/>
      <x:c r="DW661" s="4"/>
      <x:c r="DX661" s="4"/>
      <x:c r="DY661" s="4"/>
      <x:c r="DZ661" s="4"/>
      <x:c r="EA661" s="4"/>
      <x:c r="EB661" s="4"/>
      <x:c r="EC661" s="4"/>
      <x:c r="ED661" s="4"/>
      <x:c r="EE661" s="4"/>
      <x:c r="EF661" s="4"/>
      <x:c r="EG661" s="4"/>
      <x:c r="EH661" s="4"/>
      <x:c r="EI661" s="4"/>
      <x:c r="EJ661" s="4"/>
      <x:c r="EK661" s="4"/>
      <x:c r="EL661" s="4"/>
      <x:c r="EM661" s="4"/>
      <x:c r="EN661" s="4"/>
      <x:c r="EO661" s="4"/>
      <x:c r="EP661" s="4"/>
      <x:c r="EQ661" s="4"/>
      <x:c r="ER661" s="4"/>
      <x:c r="ES661" s="4"/>
      <x:c r="ET661" s="4"/>
      <x:c r="EU661" s="4"/>
      <x:c r="EV661" s="4"/>
      <x:c r="EW661" s="4"/>
      <x:c r="EX661" s="4"/>
      <x:c r="EY661" s="4"/>
      <x:c r="EZ661" s="4"/>
      <x:c r="FA661" s="4"/>
      <x:c r="FB661" s="4"/>
      <x:c r="FC661" s="4"/>
      <x:c r="FD661" s="4"/>
      <x:c r="FE661" s="4"/>
      <x:c r="FF661" s="4"/>
      <x:c r="FG661" s="4"/>
      <x:c r="FH661" s="4"/>
      <x:c r="FI661" s="4"/>
      <x:c r="FJ661" s="4"/>
      <x:c r="FK661" s="4"/>
      <x:c r="FL661" s="4"/>
      <x:c r="FM661" s="4"/>
      <x:c r="FN661" s="4"/>
      <x:c r="FO661" s="4"/>
      <x:c r="JA661" t="n">
        <x:f>IF(OR(IFERROR(INDIRECT("'WCM Calibration Final'!$A$661")&lt;&gt;"",FALSE),IFERROR(INDIRECT("'WCM Calibration Final'!$B$661")&lt;&gt;"",FALSE),IFERROR(INDIRECT("'WCM Calibration Final'!$C$661")&lt;&gt;"",FALSE)),661,0)</x:f>
        <x:v>0</x:v>
      </x:c>
      <x:c r="JB661" t="n">
        <x:f>'Calculations'!JB660+IF('Calculations'!JA661&gt;0,1,0)</x:f>
        <x:v>0</x:v>
      </x:c>
    </x:row>
    <x:row r="662">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4"/>
      <x:c r="DQ662" s="4"/>
      <x:c r="DR662" s="4"/>
      <x:c r="DS662" s="4"/>
      <x:c r="DT662" s="4"/>
      <x:c r="DU662" s="4"/>
      <x:c r="DV662" s="4"/>
      <x:c r="DW662" s="4"/>
      <x:c r="DX662" s="4"/>
      <x:c r="DY662" s="4"/>
      <x:c r="DZ662" s="4"/>
      <x:c r="EA662" s="4"/>
      <x:c r="EB662" s="4"/>
      <x:c r="EC662" s="4"/>
      <x:c r="ED662" s="4"/>
      <x:c r="EE662" s="4"/>
      <x:c r="EF662" s="4"/>
      <x:c r="EG662" s="4"/>
      <x:c r="EH662" s="4"/>
      <x:c r="EI662" s="4"/>
      <x:c r="EJ662" s="4"/>
      <x:c r="EK662" s="4"/>
      <x:c r="EL662" s="4"/>
      <x:c r="EM662" s="4"/>
      <x:c r="EN662" s="4"/>
      <x:c r="EO662" s="4"/>
      <x:c r="EP662" s="4"/>
      <x:c r="EQ662" s="4"/>
      <x:c r="ER662" s="4"/>
      <x:c r="ES662" s="4"/>
      <x:c r="ET662" s="4"/>
      <x:c r="EU662" s="4"/>
      <x:c r="EV662" s="4"/>
      <x:c r="EW662" s="4"/>
      <x:c r="EX662" s="4"/>
      <x:c r="EY662" s="4"/>
      <x:c r="EZ662" s="4"/>
      <x:c r="FA662" s="4"/>
      <x:c r="FB662" s="4"/>
      <x:c r="FC662" s="4"/>
      <x:c r="FD662" s="4"/>
      <x:c r="FE662" s="4"/>
      <x:c r="FF662" s="4"/>
      <x:c r="FG662" s="4"/>
      <x:c r="FH662" s="4"/>
      <x:c r="FI662" s="4"/>
      <x:c r="FJ662" s="4"/>
      <x:c r="FK662" s="4"/>
      <x:c r="FL662" s="4"/>
      <x:c r="FM662" s="4"/>
      <x:c r="FN662" s="4"/>
      <x:c r="FO662" s="4"/>
      <x:c r="JA662" t="n">
        <x:f>IF(OR(IFERROR(INDIRECT("'WCM Calibration Final'!$A$662")&lt;&gt;"",FALSE),IFERROR(INDIRECT("'WCM Calibration Final'!$B$662")&lt;&gt;"",FALSE),IFERROR(INDIRECT("'WCM Calibration Final'!$C$662")&lt;&gt;"",FALSE)),662,0)</x:f>
        <x:v>0</x:v>
      </x:c>
      <x:c r="JB662" t="n">
        <x:f>'Calculations'!JB661+IF('Calculations'!JA662&gt;0,1,0)</x:f>
        <x:v>0</x:v>
      </x:c>
    </x:row>
    <x:row r="663">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4"/>
      <x:c r="DQ663" s="4"/>
      <x:c r="DR663" s="4"/>
      <x:c r="DS663" s="4"/>
      <x:c r="DT663" s="4"/>
      <x:c r="DU663" s="4"/>
      <x:c r="DV663" s="4"/>
      <x:c r="DW663" s="4"/>
      <x:c r="DX663" s="4"/>
      <x:c r="DY663" s="4"/>
      <x:c r="DZ663" s="4"/>
      <x:c r="EA663" s="4"/>
      <x:c r="EB663" s="4"/>
      <x:c r="EC663" s="4"/>
      <x:c r="ED663" s="4"/>
      <x:c r="EE663" s="4"/>
      <x:c r="EF663" s="4"/>
      <x:c r="EG663" s="4"/>
      <x:c r="EH663" s="4"/>
      <x:c r="EI663" s="4"/>
      <x:c r="EJ663" s="4"/>
      <x:c r="EK663" s="4"/>
      <x:c r="EL663" s="4"/>
      <x:c r="EM663" s="4"/>
      <x:c r="EN663" s="4"/>
      <x:c r="EO663" s="4"/>
      <x:c r="EP663" s="4"/>
      <x:c r="EQ663" s="4"/>
      <x:c r="ER663" s="4"/>
      <x:c r="ES663" s="4"/>
      <x:c r="ET663" s="4"/>
      <x:c r="EU663" s="4"/>
      <x:c r="EV663" s="4"/>
      <x:c r="EW663" s="4"/>
      <x:c r="EX663" s="4"/>
      <x:c r="EY663" s="4"/>
      <x:c r="EZ663" s="4"/>
      <x:c r="FA663" s="4"/>
      <x:c r="FB663" s="4"/>
      <x:c r="FC663" s="4"/>
      <x:c r="FD663" s="4"/>
      <x:c r="FE663" s="4"/>
      <x:c r="FF663" s="4"/>
      <x:c r="FG663" s="4"/>
      <x:c r="FH663" s="4"/>
      <x:c r="FI663" s="4"/>
      <x:c r="FJ663" s="4"/>
      <x:c r="FK663" s="4"/>
      <x:c r="FL663" s="4"/>
      <x:c r="FM663" s="4"/>
      <x:c r="FN663" s="4"/>
      <x:c r="FO663" s="4"/>
      <x:c r="JA663" t="n">
        <x:f>IF(OR(IFERROR(INDIRECT("'WCM Calibration Final'!$A$663")&lt;&gt;"",FALSE),IFERROR(INDIRECT("'WCM Calibration Final'!$B$663")&lt;&gt;"",FALSE),IFERROR(INDIRECT("'WCM Calibration Final'!$C$663")&lt;&gt;"",FALSE)),663,0)</x:f>
        <x:v>0</x:v>
      </x:c>
      <x:c r="JB663" t="n">
        <x:f>'Calculations'!JB662+IF('Calculations'!JA663&gt;0,1,0)</x:f>
        <x:v>0</x:v>
      </x:c>
    </x:row>
    <x:row r="664">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4"/>
      <x:c r="DQ664" s="4"/>
      <x:c r="DR664" s="4"/>
      <x:c r="DS664" s="4"/>
      <x:c r="DT664" s="4"/>
      <x:c r="DU664" s="4"/>
      <x:c r="DV664" s="4"/>
      <x:c r="DW664" s="4"/>
      <x:c r="DX664" s="4"/>
      <x:c r="DY664" s="4"/>
      <x:c r="DZ664" s="4"/>
      <x:c r="EA664" s="4"/>
      <x:c r="EB664" s="4"/>
      <x:c r="EC664" s="4"/>
      <x:c r="ED664" s="4"/>
      <x:c r="EE664" s="4"/>
      <x:c r="EF664" s="4"/>
      <x:c r="EG664" s="4"/>
      <x:c r="EH664" s="4"/>
      <x:c r="EI664" s="4"/>
      <x:c r="EJ664" s="4"/>
      <x:c r="EK664" s="4"/>
      <x:c r="EL664" s="4"/>
      <x:c r="EM664" s="4"/>
      <x:c r="EN664" s="4"/>
      <x:c r="EO664" s="4"/>
      <x:c r="EP664" s="4"/>
      <x:c r="EQ664" s="4"/>
      <x:c r="ER664" s="4"/>
      <x:c r="ES664" s="4"/>
      <x:c r="ET664" s="4"/>
      <x:c r="EU664" s="4"/>
      <x:c r="EV664" s="4"/>
      <x:c r="EW664" s="4"/>
      <x:c r="EX664" s="4"/>
      <x:c r="EY664" s="4"/>
      <x:c r="EZ664" s="4"/>
      <x:c r="FA664" s="4"/>
      <x:c r="FB664" s="4"/>
      <x:c r="FC664" s="4"/>
      <x:c r="FD664" s="4"/>
      <x:c r="FE664" s="4"/>
      <x:c r="FF664" s="4"/>
      <x:c r="FG664" s="4"/>
      <x:c r="FH664" s="4"/>
      <x:c r="FI664" s="4"/>
      <x:c r="FJ664" s="4"/>
      <x:c r="FK664" s="4"/>
      <x:c r="FL664" s="4"/>
      <x:c r="FM664" s="4"/>
      <x:c r="FN664" s="4"/>
      <x:c r="FO664" s="4"/>
      <x:c r="JA664" t="n">
        <x:f>IF(OR(IFERROR(INDIRECT("'WCM Calibration Final'!$A$664")&lt;&gt;"",FALSE),IFERROR(INDIRECT("'WCM Calibration Final'!$B$664")&lt;&gt;"",FALSE),IFERROR(INDIRECT("'WCM Calibration Final'!$C$664")&lt;&gt;"",FALSE)),664,0)</x:f>
        <x:v>0</x:v>
      </x:c>
      <x:c r="JB664" t="n">
        <x:f>'Calculations'!JB663+IF('Calculations'!JA664&gt;0,1,0)</x:f>
        <x:v>0</x:v>
      </x:c>
    </x:row>
    <x:row r="665">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4"/>
      <x:c r="DQ665" s="4"/>
      <x:c r="DR665" s="4"/>
      <x:c r="DS665" s="4"/>
      <x:c r="DT665" s="4"/>
      <x:c r="DU665" s="4"/>
      <x:c r="DV665" s="4"/>
      <x:c r="DW665" s="4"/>
      <x:c r="DX665" s="4"/>
      <x:c r="DY665" s="4"/>
      <x:c r="DZ665" s="4"/>
      <x:c r="EA665" s="4"/>
      <x:c r="EB665" s="4"/>
      <x:c r="EC665" s="4"/>
      <x:c r="ED665" s="4"/>
      <x:c r="EE665" s="4"/>
      <x:c r="EF665" s="4"/>
      <x:c r="EG665" s="4"/>
      <x:c r="EH665" s="4"/>
      <x:c r="EI665" s="4"/>
      <x:c r="EJ665" s="4"/>
      <x:c r="EK665" s="4"/>
      <x:c r="EL665" s="4"/>
      <x:c r="EM665" s="4"/>
      <x:c r="EN665" s="4"/>
      <x:c r="EO665" s="4"/>
      <x:c r="EP665" s="4"/>
      <x:c r="EQ665" s="4"/>
      <x:c r="ER665" s="4"/>
      <x:c r="ES665" s="4"/>
      <x:c r="ET665" s="4"/>
      <x:c r="EU665" s="4"/>
      <x:c r="EV665" s="4"/>
      <x:c r="EW665" s="4"/>
      <x:c r="EX665" s="4"/>
      <x:c r="EY665" s="4"/>
      <x:c r="EZ665" s="4"/>
      <x:c r="FA665" s="4"/>
      <x:c r="FB665" s="4"/>
      <x:c r="FC665" s="4"/>
      <x:c r="FD665" s="4"/>
      <x:c r="FE665" s="4"/>
      <x:c r="FF665" s="4"/>
      <x:c r="FG665" s="4"/>
      <x:c r="FH665" s="4"/>
      <x:c r="FI665" s="4"/>
      <x:c r="FJ665" s="4"/>
      <x:c r="FK665" s="4"/>
      <x:c r="FL665" s="4"/>
      <x:c r="FM665" s="4"/>
      <x:c r="FN665" s="4"/>
      <x:c r="FO665" s="4"/>
      <x:c r="JA665" t="n">
        <x:f>IF(OR(IFERROR(INDIRECT("'WCM Calibration Final'!$A$665")&lt;&gt;"",FALSE),IFERROR(INDIRECT("'WCM Calibration Final'!$B$665")&lt;&gt;"",FALSE),IFERROR(INDIRECT("'WCM Calibration Final'!$C$665")&lt;&gt;"",FALSE)),665,0)</x:f>
        <x:v>0</x:v>
      </x:c>
      <x:c r="JB665" t="n">
        <x:f>'Calculations'!JB664+IF('Calculations'!JA665&gt;0,1,0)</x:f>
        <x:v>0</x:v>
      </x:c>
    </x:row>
    <x:row r="666">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4"/>
      <x:c r="DQ666" s="4"/>
      <x:c r="DR666" s="4"/>
      <x:c r="DS666" s="4"/>
      <x:c r="DT666" s="4"/>
      <x:c r="DU666" s="4"/>
      <x:c r="DV666" s="4"/>
      <x:c r="DW666" s="4"/>
      <x:c r="DX666" s="4"/>
      <x:c r="DY666" s="4"/>
      <x:c r="DZ666" s="4"/>
      <x:c r="EA666" s="4"/>
      <x:c r="EB666" s="4"/>
      <x:c r="EC666" s="4"/>
      <x:c r="ED666" s="4"/>
      <x:c r="EE666" s="4"/>
      <x:c r="EF666" s="4"/>
      <x:c r="EG666" s="4"/>
      <x:c r="EH666" s="4"/>
      <x:c r="EI666" s="4"/>
      <x:c r="EJ666" s="4"/>
      <x:c r="EK666" s="4"/>
      <x:c r="EL666" s="4"/>
      <x:c r="EM666" s="4"/>
      <x:c r="EN666" s="4"/>
      <x:c r="EO666" s="4"/>
      <x:c r="EP666" s="4"/>
      <x:c r="EQ666" s="4"/>
      <x:c r="ER666" s="4"/>
      <x:c r="ES666" s="4"/>
      <x:c r="ET666" s="4"/>
      <x:c r="EU666" s="4"/>
      <x:c r="EV666" s="4"/>
      <x:c r="EW666" s="4"/>
      <x:c r="EX666" s="4"/>
      <x:c r="EY666" s="4"/>
      <x:c r="EZ666" s="4"/>
      <x:c r="FA666" s="4"/>
      <x:c r="FB666" s="4"/>
      <x:c r="FC666" s="4"/>
      <x:c r="FD666" s="4"/>
      <x:c r="FE666" s="4"/>
      <x:c r="FF666" s="4"/>
      <x:c r="FG666" s="4"/>
      <x:c r="FH666" s="4"/>
      <x:c r="FI666" s="4"/>
      <x:c r="FJ666" s="4"/>
      <x:c r="FK666" s="4"/>
      <x:c r="FL666" s="4"/>
      <x:c r="FM666" s="4"/>
      <x:c r="FN666" s="4"/>
      <x:c r="FO666" s="4"/>
      <x:c r="JA666" t="n">
        <x:f>IF(OR(IFERROR(INDIRECT("'WCM Calibration Final'!$A$666")&lt;&gt;"",FALSE),IFERROR(INDIRECT("'WCM Calibration Final'!$B$666")&lt;&gt;"",FALSE),IFERROR(INDIRECT("'WCM Calibration Final'!$C$666")&lt;&gt;"",FALSE)),666,0)</x:f>
        <x:v>0</x:v>
      </x:c>
      <x:c r="JB666" t="n">
        <x:f>'Calculations'!JB665+IF('Calculations'!JA666&gt;0,1,0)</x:f>
        <x:v>0</x:v>
      </x:c>
    </x:row>
    <x:row r="667">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4"/>
      <x:c r="DQ667" s="4"/>
      <x:c r="DR667" s="4"/>
      <x:c r="DS667" s="4"/>
      <x:c r="DT667" s="4"/>
      <x:c r="DU667" s="4"/>
      <x:c r="DV667" s="4"/>
      <x:c r="DW667" s="4"/>
      <x:c r="DX667" s="4"/>
      <x:c r="DY667" s="4"/>
      <x:c r="DZ667" s="4"/>
      <x:c r="EA667" s="4"/>
      <x:c r="EB667" s="4"/>
      <x:c r="EC667" s="4"/>
      <x:c r="ED667" s="4"/>
      <x:c r="EE667" s="4"/>
      <x:c r="EF667" s="4"/>
      <x:c r="EG667" s="4"/>
      <x:c r="EH667" s="4"/>
      <x:c r="EI667" s="4"/>
      <x:c r="EJ667" s="4"/>
      <x:c r="EK667" s="4"/>
      <x:c r="EL667" s="4"/>
      <x:c r="EM667" s="4"/>
      <x:c r="EN667" s="4"/>
      <x:c r="EO667" s="4"/>
      <x:c r="EP667" s="4"/>
      <x:c r="EQ667" s="4"/>
      <x:c r="ER667" s="4"/>
      <x:c r="ES667" s="4"/>
      <x:c r="ET667" s="4"/>
      <x:c r="EU667" s="4"/>
      <x:c r="EV667" s="4"/>
      <x:c r="EW667" s="4"/>
      <x:c r="EX667" s="4"/>
      <x:c r="EY667" s="4"/>
      <x:c r="EZ667" s="4"/>
      <x:c r="FA667" s="4"/>
      <x:c r="FB667" s="4"/>
      <x:c r="FC667" s="4"/>
      <x:c r="FD667" s="4"/>
      <x:c r="FE667" s="4"/>
      <x:c r="FF667" s="4"/>
      <x:c r="FG667" s="4"/>
      <x:c r="FH667" s="4"/>
      <x:c r="FI667" s="4"/>
      <x:c r="FJ667" s="4"/>
      <x:c r="FK667" s="4"/>
      <x:c r="FL667" s="4"/>
      <x:c r="FM667" s="4"/>
      <x:c r="FN667" s="4"/>
      <x:c r="FO667" s="4"/>
      <x:c r="JA667" t="n">
        <x:f>IF(OR(IFERROR(INDIRECT("'WCM Calibration Final'!$A$667")&lt;&gt;"",FALSE),IFERROR(INDIRECT("'WCM Calibration Final'!$B$667")&lt;&gt;"",FALSE),IFERROR(INDIRECT("'WCM Calibration Final'!$C$667")&lt;&gt;"",FALSE)),667,0)</x:f>
        <x:v>0</x:v>
      </x:c>
      <x:c r="JB667" t="n">
        <x:f>'Calculations'!JB666+IF('Calculations'!JA667&gt;0,1,0)</x:f>
        <x:v>0</x:v>
      </x:c>
    </x:row>
    <x:row r="668">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4"/>
      <x:c r="DQ668" s="4"/>
      <x:c r="DR668" s="4"/>
      <x:c r="DS668" s="4"/>
      <x:c r="DT668" s="4"/>
      <x:c r="DU668" s="4"/>
      <x:c r="DV668" s="4"/>
      <x:c r="DW668" s="4"/>
      <x:c r="DX668" s="4"/>
      <x:c r="DY668" s="4"/>
      <x:c r="DZ668" s="4"/>
      <x:c r="EA668" s="4"/>
      <x:c r="EB668" s="4"/>
      <x:c r="EC668" s="4"/>
      <x:c r="ED668" s="4"/>
      <x:c r="EE668" s="4"/>
      <x:c r="EF668" s="4"/>
      <x:c r="EG668" s="4"/>
      <x:c r="EH668" s="4"/>
      <x:c r="EI668" s="4"/>
      <x:c r="EJ668" s="4"/>
      <x:c r="EK668" s="4"/>
      <x:c r="EL668" s="4"/>
      <x:c r="EM668" s="4"/>
      <x:c r="EN668" s="4"/>
      <x:c r="EO668" s="4"/>
      <x:c r="EP668" s="4"/>
      <x:c r="EQ668" s="4"/>
      <x:c r="ER668" s="4"/>
      <x:c r="ES668" s="4"/>
      <x:c r="ET668" s="4"/>
      <x:c r="EU668" s="4"/>
      <x:c r="EV668" s="4"/>
      <x:c r="EW668" s="4"/>
      <x:c r="EX668" s="4"/>
      <x:c r="EY668" s="4"/>
      <x:c r="EZ668" s="4"/>
      <x:c r="FA668" s="4"/>
      <x:c r="FB668" s="4"/>
      <x:c r="FC668" s="4"/>
      <x:c r="FD668" s="4"/>
      <x:c r="FE668" s="4"/>
      <x:c r="FF668" s="4"/>
      <x:c r="FG668" s="4"/>
      <x:c r="FH668" s="4"/>
      <x:c r="FI668" s="4"/>
      <x:c r="FJ668" s="4"/>
      <x:c r="FK668" s="4"/>
      <x:c r="FL668" s="4"/>
      <x:c r="FM668" s="4"/>
      <x:c r="FN668" s="4"/>
      <x:c r="FO668" s="4"/>
      <x:c r="JA668" t="n">
        <x:f>IF(OR(IFERROR(INDIRECT("'WCM Calibration Final'!$A$668")&lt;&gt;"",FALSE),IFERROR(INDIRECT("'WCM Calibration Final'!$B$668")&lt;&gt;"",FALSE),IFERROR(INDIRECT("'WCM Calibration Final'!$C$668")&lt;&gt;"",FALSE)),668,0)</x:f>
        <x:v>0</x:v>
      </x:c>
      <x:c r="JB668" t="n">
        <x:f>'Calculations'!JB667+IF('Calculations'!JA668&gt;0,1,0)</x:f>
        <x:v>0</x:v>
      </x:c>
    </x:row>
    <x:row r="669">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4"/>
      <x:c r="DQ669" s="4"/>
      <x:c r="DR669" s="4"/>
      <x:c r="DS669" s="4"/>
      <x:c r="DT669" s="4"/>
      <x:c r="DU669" s="4"/>
      <x:c r="DV669" s="4"/>
      <x:c r="DW669" s="4"/>
      <x:c r="DX669" s="4"/>
      <x:c r="DY669" s="4"/>
      <x:c r="DZ669" s="4"/>
      <x:c r="EA669" s="4"/>
      <x:c r="EB669" s="4"/>
      <x:c r="EC669" s="4"/>
      <x:c r="ED669" s="4"/>
      <x:c r="EE669" s="4"/>
      <x:c r="EF669" s="4"/>
      <x:c r="EG669" s="4"/>
      <x:c r="EH669" s="4"/>
      <x:c r="EI669" s="4"/>
      <x:c r="EJ669" s="4"/>
      <x:c r="EK669" s="4"/>
      <x:c r="EL669" s="4"/>
      <x:c r="EM669" s="4"/>
      <x:c r="EN669" s="4"/>
      <x:c r="EO669" s="4"/>
      <x:c r="EP669" s="4"/>
      <x:c r="EQ669" s="4"/>
      <x:c r="ER669" s="4"/>
      <x:c r="ES669" s="4"/>
      <x:c r="ET669" s="4"/>
      <x:c r="EU669" s="4"/>
      <x:c r="EV669" s="4"/>
      <x:c r="EW669" s="4"/>
      <x:c r="EX669" s="4"/>
      <x:c r="EY669" s="4"/>
      <x:c r="EZ669" s="4"/>
      <x:c r="FA669" s="4"/>
      <x:c r="FB669" s="4"/>
      <x:c r="FC669" s="4"/>
      <x:c r="FD669" s="4"/>
      <x:c r="FE669" s="4"/>
      <x:c r="FF669" s="4"/>
      <x:c r="FG669" s="4"/>
      <x:c r="FH669" s="4"/>
      <x:c r="FI669" s="4"/>
      <x:c r="FJ669" s="4"/>
      <x:c r="FK669" s="4"/>
      <x:c r="FL669" s="4"/>
      <x:c r="FM669" s="4"/>
      <x:c r="FN669" s="4"/>
      <x:c r="FO669" s="4"/>
      <x:c r="JA669" t="n">
        <x:f>IF(OR(IFERROR(INDIRECT("'WCM Calibration Final'!$A$669")&lt;&gt;"",FALSE),IFERROR(INDIRECT("'WCM Calibration Final'!$B$669")&lt;&gt;"",FALSE),IFERROR(INDIRECT("'WCM Calibration Final'!$C$669")&lt;&gt;"",FALSE)),669,0)</x:f>
        <x:v>0</x:v>
      </x:c>
      <x:c r="JB669" t="n">
        <x:f>'Calculations'!JB668+IF('Calculations'!JA669&gt;0,1,0)</x:f>
        <x:v>0</x:v>
      </x:c>
    </x:row>
    <x:row r="670">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4"/>
      <x:c r="DQ670" s="4"/>
      <x:c r="DR670" s="4"/>
      <x:c r="DS670" s="4"/>
      <x:c r="DT670" s="4"/>
      <x:c r="DU670" s="4"/>
      <x:c r="DV670" s="4"/>
      <x:c r="DW670" s="4"/>
      <x:c r="DX670" s="4"/>
      <x:c r="DY670" s="4"/>
      <x:c r="DZ670" s="4"/>
      <x:c r="EA670" s="4"/>
      <x:c r="EB670" s="4"/>
      <x:c r="EC670" s="4"/>
      <x:c r="ED670" s="4"/>
      <x:c r="EE670" s="4"/>
      <x:c r="EF670" s="4"/>
      <x:c r="EG670" s="4"/>
      <x:c r="EH670" s="4"/>
      <x:c r="EI670" s="4"/>
      <x:c r="EJ670" s="4"/>
      <x:c r="EK670" s="4"/>
      <x:c r="EL670" s="4"/>
      <x:c r="EM670" s="4"/>
      <x:c r="EN670" s="4"/>
      <x:c r="EO670" s="4"/>
      <x:c r="EP670" s="4"/>
      <x:c r="EQ670" s="4"/>
      <x:c r="ER670" s="4"/>
      <x:c r="ES670" s="4"/>
      <x:c r="ET670" s="4"/>
      <x:c r="EU670" s="4"/>
      <x:c r="EV670" s="4"/>
      <x:c r="EW670" s="4"/>
      <x:c r="EX670" s="4"/>
      <x:c r="EY670" s="4"/>
      <x:c r="EZ670" s="4"/>
      <x:c r="FA670" s="4"/>
      <x:c r="FB670" s="4"/>
      <x:c r="FC670" s="4"/>
      <x:c r="FD670" s="4"/>
      <x:c r="FE670" s="4"/>
      <x:c r="FF670" s="4"/>
      <x:c r="FG670" s="4"/>
      <x:c r="FH670" s="4"/>
      <x:c r="FI670" s="4"/>
      <x:c r="FJ670" s="4"/>
      <x:c r="FK670" s="4"/>
      <x:c r="FL670" s="4"/>
      <x:c r="FM670" s="4"/>
      <x:c r="FN670" s="4"/>
      <x:c r="FO670" s="4"/>
      <x:c r="JA670" t="n">
        <x:f>IF(OR(IFERROR(INDIRECT("'WCM Calibration Final'!$A$670")&lt;&gt;"",FALSE),IFERROR(INDIRECT("'WCM Calibration Final'!$B$670")&lt;&gt;"",FALSE),IFERROR(INDIRECT("'WCM Calibration Final'!$C$670")&lt;&gt;"",FALSE)),670,0)</x:f>
        <x:v>0</x:v>
      </x:c>
      <x:c r="JB670" t="n">
        <x:f>'Calculations'!JB669+IF('Calculations'!JA670&gt;0,1,0)</x:f>
        <x:v>0</x:v>
      </x:c>
    </x:row>
    <x:row r="671">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4"/>
      <x:c r="DQ671" s="4"/>
      <x:c r="DR671" s="4"/>
      <x:c r="DS671" s="4"/>
      <x:c r="DT671" s="4"/>
      <x:c r="DU671" s="4"/>
      <x:c r="DV671" s="4"/>
      <x:c r="DW671" s="4"/>
      <x:c r="DX671" s="4"/>
      <x:c r="DY671" s="4"/>
      <x:c r="DZ671" s="4"/>
      <x:c r="EA671" s="4"/>
      <x:c r="EB671" s="4"/>
      <x:c r="EC671" s="4"/>
      <x:c r="ED671" s="4"/>
      <x:c r="EE671" s="4"/>
      <x:c r="EF671" s="4"/>
      <x:c r="EG671" s="4"/>
      <x:c r="EH671" s="4"/>
      <x:c r="EI671" s="4"/>
      <x:c r="EJ671" s="4"/>
      <x:c r="EK671" s="4"/>
      <x:c r="EL671" s="4"/>
      <x:c r="EM671" s="4"/>
      <x:c r="EN671" s="4"/>
      <x:c r="EO671" s="4"/>
      <x:c r="EP671" s="4"/>
      <x:c r="EQ671" s="4"/>
      <x:c r="ER671" s="4"/>
      <x:c r="ES671" s="4"/>
      <x:c r="ET671" s="4"/>
      <x:c r="EU671" s="4"/>
      <x:c r="EV671" s="4"/>
      <x:c r="EW671" s="4"/>
      <x:c r="EX671" s="4"/>
      <x:c r="EY671" s="4"/>
      <x:c r="EZ671" s="4"/>
      <x:c r="FA671" s="4"/>
      <x:c r="FB671" s="4"/>
      <x:c r="FC671" s="4"/>
      <x:c r="FD671" s="4"/>
      <x:c r="FE671" s="4"/>
      <x:c r="FF671" s="4"/>
      <x:c r="FG671" s="4"/>
      <x:c r="FH671" s="4"/>
      <x:c r="FI671" s="4"/>
      <x:c r="FJ671" s="4"/>
      <x:c r="FK671" s="4"/>
      <x:c r="FL671" s="4"/>
      <x:c r="FM671" s="4"/>
      <x:c r="FN671" s="4"/>
      <x:c r="FO671" s="4"/>
      <x:c r="JA671" t="n">
        <x:f>IF(OR(IFERROR(INDIRECT("'WCM Calibration Final'!$A$671")&lt;&gt;"",FALSE),IFERROR(INDIRECT("'WCM Calibration Final'!$B$671")&lt;&gt;"",FALSE),IFERROR(INDIRECT("'WCM Calibration Final'!$C$671")&lt;&gt;"",FALSE)),671,0)</x:f>
        <x:v>0</x:v>
      </x:c>
      <x:c r="JB671" t="n">
        <x:f>'Calculations'!JB670+IF('Calculations'!JA671&gt;0,1,0)</x:f>
        <x:v>0</x:v>
      </x:c>
    </x:row>
    <x:row r="672">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4"/>
      <x:c r="DQ672" s="4"/>
      <x:c r="DR672" s="4"/>
      <x:c r="DS672" s="4"/>
      <x:c r="DT672" s="4"/>
      <x:c r="DU672" s="4"/>
      <x:c r="DV672" s="4"/>
      <x:c r="DW672" s="4"/>
      <x:c r="DX672" s="4"/>
      <x:c r="DY672" s="4"/>
      <x:c r="DZ672" s="4"/>
      <x:c r="EA672" s="4"/>
      <x:c r="EB672" s="4"/>
      <x:c r="EC672" s="4"/>
      <x:c r="ED672" s="4"/>
      <x:c r="EE672" s="4"/>
      <x:c r="EF672" s="4"/>
      <x:c r="EG672" s="4"/>
      <x:c r="EH672" s="4"/>
      <x:c r="EI672" s="4"/>
      <x:c r="EJ672" s="4"/>
      <x:c r="EK672" s="4"/>
      <x:c r="EL672" s="4"/>
      <x:c r="EM672" s="4"/>
      <x:c r="EN672" s="4"/>
      <x:c r="EO672" s="4"/>
      <x:c r="EP672" s="4"/>
      <x:c r="EQ672" s="4"/>
      <x:c r="ER672" s="4"/>
      <x:c r="ES672" s="4"/>
      <x:c r="ET672" s="4"/>
      <x:c r="EU672" s="4"/>
      <x:c r="EV672" s="4"/>
      <x:c r="EW672" s="4"/>
      <x:c r="EX672" s="4"/>
      <x:c r="EY672" s="4"/>
      <x:c r="EZ672" s="4"/>
      <x:c r="FA672" s="4"/>
      <x:c r="FB672" s="4"/>
      <x:c r="FC672" s="4"/>
      <x:c r="FD672" s="4"/>
      <x:c r="FE672" s="4"/>
      <x:c r="FF672" s="4"/>
      <x:c r="FG672" s="4"/>
      <x:c r="FH672" s="4"/>
      <x:c r="FI672" s="4"/>
      <x:c r="FJ672" s="4"/>
      <x:c r="FK672" s="4"/>
      <x:c r="FL672" s="4"/>
      <x:c r="FM672" s="4"/>
      <x:c r="FN672" s="4"/>
      <x:c r="FO672" s="4"/>
      <x:c r="JA672" t="n">
        <x:f>IF(OR(IFERROR(INDIRECT("'WCM Calibration Final'!$A$672")&lt;&gt;"",FALSE),IFERROR(INDIRECT("'WCM Calibration Final'!$B$672")&lt;&gt;"",FALSE),IFERROR(INDIRECT("'WCM Calibration Final'!$C$672")&lt;&gt;"",FALSE)),672,0)</x:f>
        <x:v>0</x:v>
      </x:c>
      <x:c r="JB672" t="n">
        <x:f>'Calculations'!JB671+IF('Calculations'!JA672&gt;0,1,0)</x:f>
        <x:v>0</x:v>
      </x:c>
    </x:row>
    <x:row r="673">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4"/>
      <x:c r="DQ673" s="4"/>
      <x:c r="DR673" s="4"/>
      <x:c r="DS673" s="4"/>
      <x:c r="DT673" s="4"/>
      <x:c r="DU673" s="4"/>
      <x:c r="DV673" s="4"/>
      <x:c r="DW673" s="4"/>
      <x:c r="DX673" s="4"/>
      <x:c r="DY673" s="4"/>
      <x:c r="DZ673" s="4"/>
      <x:c r="EA673" s="4"/>
      <x:c r="EB673" s="4"/>
      <x:c r="EC673" s="4"/>
      <x:c r="ED673" s="4"/>
      <x:c r="EE673" s="4"/>
      <x:c r="EF673" s="4"/>
      <x:c r="EG673" s="4"/>
      <x:c r="EH673" s="4"/>
      <x:c r="EI673" s="4"/>
      <x:c r="EJ673" s="4"/>
      <x:c r="EK673" s="4"/>
      <x:c r="EL673" s="4"/>
      <x:c r="EM673" s="4"/>
      <x:c r="EN673" s="4"/>
      <x:c r="EO673" s="4"/>
      <x:c r="EP673" s="4"/>
      <x:c r="EQ673" s="4"/>
      <x:c r="ER673" s="4"/>
      <x:c r="ES673" s="4"/>
      <x:c r="ET673" s="4"/>
      <x:c r="EU673" s="4"/>
      <x:c r="EV673" s="4"/>
      <x:c r="EW673" s="4"/>
      <x:c r="EX673" s="4"/>
      <x:c r="EY673" s="4"/>
      <x:c r="EZ673" s="4"/>
      <x:c r="FA673" s="4"/>
      <x:c r="FB673" s="4"/>
      <x:c r="FC673" s="4"/>
      <x:c r="FD673" s="4"/>
      <x:c r="FE673" s="4"/>
      <x:c r="FF673" s="4"/>
      <x:c r="FG673" s="4"/>
      <x:c r="FH673" s="4"/>
      <x:c r="FI673" s="4"/>
      <x:c r="FJ673" s="4"/>
      <x:c r="FK673" s="4"/>
      <x:c r="FL673" s="4"/>
      <x:c r="FM673" s="4"/>
      <x:c r="FN673" s="4"/>
      <x:c r="FO673" s="4"/>
      <x:c r="JA673" t="n">
        <x:f>IF(OR(IFERROR(INDIRECT("'WCM Calibration Final'!$A$673")&lt;&gt;"",FALSE),IFERROR(INDIRECT("'WCM Calibration Final'!$B$673")&lt;&gt;"",FALSE),IFERROR(INDIRECT("'WCM Calibration Final'!$C$673")&lt;&gt;"",FALSE)),673,0)</x:f>
        <x:v>0</x:v>
      </x:c>
      <x:c r="JB673" t="n">
        <x:f>'Calculations'!JB672+IF('Calculations'!JA673&gt;0,1,0)</x:f>
        <x:v>0</x:v>
      </x:c>
    </x:row>
    <x:row r="674">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4"/>
      <x:c r="DQ674" s="4"/>
      <x:c r="DR674" s="4"/>
      <x:c r="DS674" s="4"/>
      <x:c r="DT674" s="4"/>
      <x:c r="DU674" s="4"/>
      <x:c r="DV674" s="4"/>
      <x:c r="DW674" s="4"/>
      <x:c r="DX674" s="4"/>
      <x:c r="DY674" s="4"/>
      <x:c r="DZ674" s="4"/>
      <x:c r="EA674" s="4"/>
      <x:c r="EB674" s="4"/>
      <x:c r="EC674" s="4"/>
      <x:c r="ED674" s="4"/>
      <x:c r="EE674" s="4"/>
      <x:c r="EF674" s="4"/>
      <x:c r="EG674" s="4"/>
      <x:c r="EH674" s="4"/>
      <x:c r="EI674" s="4"/>
      <x:c r="EJ674" s="4"/>
      <x:c r="EK674" s="4"/>
      <x:c r="EL674" s="4"/>
      <x:c r="EM674" s="4"/>
      <x:c r="EN674" s="4"/>
      <x:c r="EO674" s="4"/>
      <x:c r="EP674" s="4"/>
      <x:c r="EQ674" s="4"/>
      <x:c r="ER674" s="4"/>
      <x:c r="ES674" s="4"/>
      <x:c r="ET674" s="4"/>
      <x:c r="EU674" s="4"/>
      <x:c r="EV674" s="4"/>
      <x:c r="EW674" s="4"/>
      <x:c r="EX674" s="4"/>
      <x:c r="EY674" s="4"/>
      <x:c r="EZ674" s="4"/>
      <x:c r="FA674" s="4"/>
      <x:c r="FB674" s="4"/>
      <x:c r="FC674" s="4"/>
      <x:c r="FD674" s="4"/>
      <x:c r="FE674" s="4"/>
      <x:c r="FF674" s="4"/>
      <x:c r="FG674" s="4"/>
      <x:c r="FH674" s="4"/>
      <x:c r="FI674" s="4"/>
      <x:c r="FJ674" s="4"/>
      <x:c r="FK674" s="4"/>
      <x:c r="FL674" s="4"/>
      <x:c r="FM674" s="4"/>
      <x:c r="FN674" s="4"/>
      <x:c r="FO674" s="4"/>
      <x:c r="JA674" t="n">
        <x:f>IF(OR(IFERROR(INDIRECT("'WCM Calibration Final'!$A$674")&lt;&gt;"",FALSE),IFERROR(INDIRECT("'WCM Calibration Final'!$B$674")&lt;&gt;"",FALSE),IFERROR(INDIRECT("'WCM Calibration Final'!$C$674")&lt;&gt;"",FALSE)),674,0)</x:f>
        <x:v>0</x:v>
      </x:c>
      <x:c r="JB674" t="n">
        <x:f>'Calculations'!JB673+IF('Calculations'!JA674&gt;0,1,0)</x:f>
        <x:v>0</x:v>
      </x:c>
    </x:row>
    <x:row r="675">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4"/>
      <x:c r="DQ675" s="4"/>
      <x:c r="DR675" s="4"/>
      <x:c r="DS675" s="4"/>
      <x:c r="DT675" s="4"/>
      <x:c r="DU675" s="4"/>
      <x:c r="DV675" s="4"/>
      <x:c r="DW675" s="4"/>
      <x:c r="DX675" s="4"/>
      <x:c r="DY675" s="4"/>
      <x:c r="DZ675" s="4"/>
      <x:c r="EA675" s="4"/>
      <x:c r="EB675" s="4"/>
      <x:c r="EC675" s="4"/>
      <x:c r="ED675" s="4"/>
      <x:c r="EE675" s="4"/>
      <x:c r="EF675" s="4"/>
      <x:c r="EG675" s="4"/>
      <x:c r="EH675" s="4"/>
      <x:c r="EI675" s="4"/>
      <x:c r="EJ675" s="4"/>
      <x:c r="EK675" s="4"/>
      <x:c r="EL675" s="4"/>
      <x:c r="EM675" s="4"/>
      <x:c r="EN675" s="4"/>
      <x:c r="EO675" s="4"/>
      <x:c r="EP675" s="4"/>
      <x:c r="EQ675" s="4"/>
      <x:c r="ER675" s="4"/>
      <x:c r="ES675" s="4"/>
      <x:c r="ET675" s="4"/>
      <x:c r="EU675" s="4"/>
      <x:c r="EV675" s="4"/>
      <x:c r="EW675" s="4"/>
      <x:c r="EX675" s="4"/>
      <x:c r="EY675" s="4"/>
      <x:c r="EZ675" s="4"/>
      <x:c r="FA675" s="4"/>
      <x:c r="FB675" s="4"/>
      <x:c r="FC675" s="4"/>
      <x:c r="FD675" s="4"/>
      <x:c r="FE675" s="4"/>
      <x:c r="FF675" s="4"/>
      <x:c r="FG675" s="4"/>
      <x:c r="FH675" s="4"/>
      <x:c r="FI675" s="4"/>
      <x:c r="FJ675" s="4"/>
      <x:c r="FK675" s="4"/>
      <x:c r="FL675" s="4"/>
      <x:c r="FM675" s="4"/>
      <x:c r="FN675" s="4"/>
      <x:c r="FO675" s="4"/>
      <x:c r="JA675" t="n">
        <x:f>IF(OR(IFERROR(INDIRECT("'WCM Calibration Final'!$A$675")&lt;&gt;"",FALSE),IFERROR(INDIRECT("'WCM Calibration Final'!$B$675")&lt;&gt;"",FALSE),IFERROR(INDIRECT("'WCM Calibration Final'!$C$675")&lt;&gt;"",FALSE)),675,0)</x:f>
        <x:v>0</x:v>
      </x:c>
      <x:c r="JB675" t="n">
        <x:f>'Calculations'!JB674+IF('Calculations'!JA675&gt;0,1,0)</x:f>
        <x:v>0</x:v>
      </x:c>
    </x:row>
    <x:row r="676">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4"/>
      <x:c r="DQ676" s="4"/>
      <x:c r="DR676" s="4"/>
      <x:c r="DS676" s="4"/>
      <x:c r="DT676" s="4"/>
      <x:c r="DU676" s="4"/>
      <x:c r="DV676" s="4"/>
      <x:c r="DW676" s="4"/>
      <x:c r="DX676" s="4"/>
      <x:c r="DY676" s="4"/>
      <x:c r="DZ676" s="4"/>
      <x:c r="EA676" s="4"/>
      <x:c r="EB676" s="4"/>
      <x:c r="EC676" s="4"/>
      <x:c r="ED676" s="4"/>
      <x:c r="EE676" s="4"/>
      <x:c r="EF676" s="4"/>
      <x:c r="EG676" s="4"/>
      <x:c r="EH676" s="4"/>
      <x:c r="EI676" s="4"/>
      <x:c r="EJ676" s="4"/>
      <x:c r="EK676" s="4"/>
      <x:c r="EL676" s="4"/>
      <x:c r="EM676" s="4"/>
      <x:c r="EN676" s="4"/>
      <x:c r="EO676" s="4"/>
      <x:c r="EP676" s="4"/>
      <x:c r="EQ676" s="4"/>
      <x:c r="ER676" s="4"/>
      <x:c r="ES676" s="4"/>
      <x:c r="ET676" s="4"/>
      <x:c r="EU676" s="4"/>
      <x:c r="EV676" s="4"/>
      <x:c r="EW676" s="4"/>
      <x:c r="EX676" s="4"/>
      <x:c r="EY676" s="4"/>
      <x:c r="EZ676" s="4"/>
      <x:c r="FA676" s="4"/>
      <x:c r="FB676" s="4"/>
      <x:c r="FC676" s="4"/>
      <x:c r="FD676" s="4"/>
      <x:c r="FE676" s="4"/>
      <x:c r="FF676" s="4"/>
      <x:c r="FG676" s="4"/>
      <x:c r="FH676" s="4"/>
      <x:c r="FI676" s="4"/>
      <x:c r="FJ676" s="4"/>
      <x:c r="FK676" s="4"/>
      <x:c r="FL676" s="4"/>
      <x:c r="FM676" s="4"/>
      <x:c r="FN676" s="4"/>
      <x:c r="FO676" s="4"/>
      <x:c r="JA676" t="n">
        <x:f>IF(OR(IFERROR(INDIRECT("'WCM Calibration Final'!$A$676")&lt;&gt;"",FALSE),IFERROR(INDIRECT("'WCM Calibration Final'!$B$676")&lt;&gt;"",FALSE),IFERROR(INDIRECT("'WCM Calibration Final'!$C$676")&lt;&gt;"",FALSE)),676,0)</x:f>
        <x:v>0</x:v>
      </x:c>
      <x:c r="JB676" t="n">
        <x:f>'Calculations'!JB675+IF('Calculations'!JA676&gt;0,1,0)</x:f>
        <x:v>0</x:v>
      </x:c>
    </x:row>
    <x:row r="677">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4"/>
      <x:c r="DQ677" s="4"/>
      <x:c r="DR677" s="4"/>
      <x:c r="DS677" s="4"/>
      <x:c r="DT677" s="4"/>
      <x:c r="DU677" s="4"/>
      <x:c r="DV677" s="4"/>
      <x:c r="DW677" s="4"/>
      <x:c r="DX677" s="4"/>
      <x:c r="DY677" s="4"/>
      <x:c r="DZ677" s="4"/>
      <x:c r="EA677" s="4"/>
      <x:c r="EB677" s="4"/>
      <x:c r="EC677" s="4"/>
      <x:c r="ED677" s="4"/>
      <x:c r="EE677" s="4"/>
      <x:c r="EF677" s="4"/>
      <x:c r="EG677" s="4"/>
      <x:c r="EH677" s="4"/>
      <x:c r="EI677" s="4"/>
      <x:c r="EJ677" s="4"/>
      <x:c r="EK677" s="4"/>
      <x:c r="EL677" s="4"/>
      <x:c r="EM677" s="4"/>
      <x:c r="EN677" s="4"/>
      <x:c r="EO677" s="4"/>
      <x:c r="EP677" s="4"/>
      <x:c r="EQ677" s="4"/>
      <x:c r="ER677" s="4"/>
      <x:c r="ES677" s="4"/>
      <x:c r="ET677" s="4"/>
      <x:c r="EU677" s="4"/>
      <x:c r="EV677" s="4"/>
      <x:c r="EW677" s="4"/>
      <x:c r="EX677" s="4"/>
      <x:c r="EY677" s="4"/>
      <x:c r="EZ677" s="4"/>
      <x:c r="FA677" s="4"/>
      <x:c r="FB677" s="4"/>
      <x:c r="FC677" s="4"/>
      <x:c r="FD677" s="4"/>
      <x:c r="FE677" s="4"/>
      <x:c r="FF677" s="4"/>
      <x:c r="FG677" s="4"/>
      <x:c r="FH677" s="4"/>
      <x:c r="FI677" s="4"/>
      <x:c r="FJ677" s="4"/>
      <x:c r="FK677" s="4"/>
      <x:c r="FL677" s="4"/>
      <x:c r="FM677" s="4"/>
      <x:c r="FN677" s="4"/>
      <x:c r="FO677" s="4"/>
      <x:c r="JA677" t="n">
        <x:f>IF(OR(IFERROR(INDIRECT("'WCM Calibration Final'!$A$677")&lt;&gt;"",FALSE),IFERROR(INDIRECT("'WCM Calibration Final'!$B$677")&lt;&gt;"",FALSE),IFERROR(INDIRECT("'WCM Calibration Final'!$C$677")&lt;&gt;"",FALSE)),677,0)</x:f>
        <x:v>0</x:v>
      </x:c>
      <x:c r="JB677" t="n">
        <x:f>'Calculations'!JB676+IF('Calculations'!JA677&gt;0,1,0)</x:f>
        <x:v>0</x:v>
      </x:c>
    </x:row>
    <x:row r="678">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4"/>
      <x:c r="DQ678" s="4"/>
      <x:c r="DR678" s="4"/>
      <x:c r="DS678" s="4"/>
      <x:c r="DT678" s="4"/>
      <x:c r="DU678" s="4"/>
      <x:c r="DV678" s="4"/>
      <x:c r="DW678" s="4"/>
      <x:c r="DX678" s="4"/>
      <x:c r="DY678" s="4"/>
      <x:c r="DZ678" s="4"/>
      <x:c r="EA678" s="4"/>
      <x:c r="EB678" s="4"/>
      <x:c r="EC678" s="4"/>
      <x:c r="ED678" s="4"/>
      <x:c r="EE678" s="4"/>
      <x:c r="EF678" s="4"/>
      <x:c r="EG678" s="4"/>
      <x:c r="EH678" s="4"/>
      <x:c r="EI678" s="4"/>
      <x:c r="EJ678" s="4"/>
      <x:c r="EK678" s="4"/>
      <x:c r="EL678" s="4"/>
      <x:c r="EM678" s="4"/>
      <x:c r="EN678" s="4"/>
      <x:c r="EO678" s="4"/>
      <x:c r="EP678" s="4"/>
      <x:c r="EQ678" s="4"/>
      <x:c r="ER678" s="4"/>
      <x:c r="ES678" s="4"/>
      <x:c r="ET678" s="4"/>
      <x:c r="EU678" s="4"/>
      <x:c r="EV678" s="4"/>
      <x:c r="EW678" s="4"/>
      <x:c r="EX678" s="4"/>
      <x:c r="EY678" s="4"/>
      <x:c r="EZ678" s="4"/>
      <x:c r="FA678" s="4"/>
      <x:c r="FB678" s="4"/>
      <x:c r="FC678" s="4"/>
      <x:c r="FD678" s="4"/>
      <x:c r="FE678" s="4"/>
      <x:c r="FF678" s="4"/>
      <x:c r="FG678" s="4"/>
      <x:c r="FH678" s="4"/>
      <x:c r="FI678" s="4"/>
      <x:c r="FJ678" s="4"/>
      <x:c r="FK678" s="4"/>
      <x:c r="FL678" s="4"/>
      <x:c r="FM678" s="4"/>
      <x:c r="FN678" s="4"/>
      <x:c r="FO678" s="4"/>
      <x:c r="JA678" t="n">
        <x:f>IF(OR(IFERROR(INDIRECT("'WCM Calibration Final'!$A$678")&lt;&gt;"",FALSE),IFERROR(INDIRECT("'WCM Calibration Final'!$B$678")&lt;&gt;"",FALSE),IFERROR(INDIRECT("'WCM Calibration Final'!$C$678")&lt;&gt;"",FALSE)),678,0)</x:f>
        <x:v>0</x:v>
      </x:c>
      <x:c r="JB678" t="n">
        <x:f>'Calculations'!JB677+IF('Calculations'!JA678&gt;0,1,0)</x:f>
        <x:v>0</x:v>
      </x:c>
    </x:row>
    <x:row r="679">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4"/>
      <x:c r="DQ679" s="4"/>
      <x:c r="DR679" s="4"/>
      <x:c r="DS679" s="4"/>
      <x:c r="DT679" s="4"/>
      <x:c r="DU679" s="4"/>
      <x:c r="DV679" s="4"/>
      <x:c r="DW679" s="4"/>
      <x:c r="DX679" s="4"/>
      <x:c r="DY679" s="4"/>
      <x:c r="DZ679" s="4"/>
      <x:c r="EA679" s="4"/>
      <x:c r="EB679" s="4"/>
      <x:c r="EC679" s="4"/>
      <x:c r="ED679" s="4"/>
      <x:c r="EE679" s="4"/>
      <x:c r="EF679" s="4"/>
      <x:c r="EG679" s="4"/>
      <x:c r="EH679" s="4"/>
      <x:c r="EI679" s="4"/>
      <x:c r="EJ679" s="4"/>
      <x:c r="EK679" s="4"/>
      <x:c r="EL679" s="4"/>
      <x:c r="EM679" s="4"/>
      <x:c r="EN679" s="4"/>
      <x:c r="EO679" s="4"/>
      <x:c r="EP679" s="4"/>
      <x:c r="EQ679" s="4"/>
      <x:c r="ER679" s="4"/>
      <x:c r="ES679" s="4"/>
      <x:c r="ET679" s="4"/>
      <x:c r="EU679" s="4"/>
      <x:c r="EV679" s="4"/>
      <x:c r="EW679" s="4"/>
      <x:c r="EX679" s="4"/>
      <x:c r="EY679" s="4"/>
      <x:c r="EZ679" s="4"/>
      <x:c r="FA679" s="4"/>
      <x:c r="FB679" s="4"/>
      <x:c r="FC679" s="4"/>
      <x:c r="FD679" s="4"/>
      <x:c r="FE679" s="4"/>
      <x:c r="FF679" s="4"/>
      <x:c r="FG679" s="4"/>
      <x:c r="FH679" s="4"/>
      <x:c r="FI679" s="4"/>
      <x:c r="FJ679" s="4"/>
      <x:c r="FK679" s="4"/>
      <x:c r="FL679" s="4"/>
      <x:c r="FM679" s="4"/>
      <x:c r="FN679" s="4"/>
      <x:c r="FO679" s="4"/>
      <x:c r="JA679" t="n">
        <x:f>IF(OR(IFERROR(INDIRECT("'WCM Calibration Final'!$A$679")&lt;&gt;"",FALSE),IFERROR(INDIRECT("'WCM Calibration Final'!$B$679")&lt;&gt;"",FALSE),IFERROR(INDIRECT("'WCM Calibration Final'!$C$679")&lt;&gt;"",FALSE)),679,0)</x:f>
        <x:v>0</x:v>
      </x:c>
      <x:c r="JB679" t="n">
        <x:f>'Calculations'!JB678+IF('Calculations'!JA679&gt;0,1,0)</x:f>
        <x:v>0</x:v>
      </x:c>
    </x:row>
    <x:row r="680">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4"/>
      <x:c r="DQ680" s="4"/>
      <x:c r="DR680" s="4"/>
      <x:c r="DS680" s="4"/>
      <x:c r="DT680" s="4"/>
      <x:c r="DU680" s="4"/>
      <x:c r="DV680" s="4"/>
      <x:c r="DW680" s="4"/>
      <x:c r="DX680" s="4"/>
      <x:c r="DY680" s="4"/>
      <x:c r="DZ680" s="4"/>
      <x:c r="EA680" s="4"/>
      <x:c r="EB680" s="4"/>
      <x:c r="EC680" s="4"/>
      <x:c r="ED680" s="4"/>
      <x:c r="EE680" s="4"/>
      <x:c r="EF680" s="4"/>
      <x:c r="EG680" s="4"/>
      <x:c r="EH680" s="4"/>
      <x:c r="EI680" s="4"/>
      <x:c r="EJ680" s="4"/>
      <x:c r="EK680" s="4"/>
      <x:c r="EL680" s="4"/>
      <x:c r="EM680" s="4"/>
      <x:c r="EN680" s="4"/>
      <x:c r="EO680" s="4"/>
      <x:c r="EP680" s="4"/>
      <x:c r="EQ680" s="4"/>
      <x:c r="ER680" s="4"/>
      <x:c r="ES680" s="4"/>
      <x:c r="ET680" s="4"/>
      <x:c r="EU680" s="4"/>
      <x:c r="EV680" s="4"/>
      <x:c r="EW680" s="4"/>
      <x:c r="EX680" s="4"/>
      <x:c r="EY680" s="4"/>
      <x:c r="EZ680" s="4"/>
      <x:c r="FA680" s="4"/>
      <x:c r="FB680" s="4"/>
      <x:c r="FC680" s="4"/>
      <x:c r="FD680" s="4"/>
      <x:c r="FE680" s="4"/>
      <x:c r="FF680" s="4"/>
      <x:c r="FG680" s="4"/>
      <x:c r="FH680" s="4"/>
      <x:c r="FI680" s="4"/>
      <x:c r="FJ680" s="4"/>
      <x:c r="FK680" s="4"/>
      <x:c r="FL680" s="4"/>
      <x:c r="FM680" s="4"/>
      <x:c r="FN680" s="4"/>
      <x:c r="FO680" s="4"/>
      <x:c r="JA680" t="n">
        <x:f>IF(OR(IFERROR(INDIRECT("'WCM Calibration Final'!$A$680")&lt;&gt;"",FALSE),IFERROR(INDIRECT("'WCM Calibration Final'!$B$680")&lt;&gt;"",FALSE),IFERROR(INDIRECT("'WCM Calibration Final'!$C$680")&lt;&gt;"",FALSE)),680,0)</x:f>
        <x:v>0</x:v>
      </x:c>
      <x:c r="JB680" t="n">
        <x:f>'Calculations'!JB679+IF('Calculations'!JA680&gt;0,1,0)</x:f>
        <x:v>0</x:v>
      </x:c>
    </x:row>
    <x:row r="681">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4"/>
      <x:c r="DQ681" s="4"/>
      <x:c r="DR681" s="4"/>
      <x:c r="DS681" s="4"/>
      <x:c r="DT681" s="4"/>
      <x:c r="DU681" s="4"/>
      <x:c r="DV681" s="4"/>
      <x:c r="DW681" s="4"/>
      <x:c r="DX681" s="4"/>
      <x:c r="DY681" s="4"/>
      <x:c r="DZ681" s="4"/>
      <x:c r="EA681" s="4"/>
      <x:c r="EB681" s="4"/>
      <x:c r="EC681" s="4"/>
      <x:c r="ED681" s="4"/>
      <x:c r="EE681" s="4"/>
      <x:c r="EF681" s="4"/>
      <x:c r="EG681" s="4"/>
      <x:c r="EH681" s="4"/>
      <x:c r="EI681" s="4"/>
      <x:c r="EJ681" s="4"/>
      <x:c r="EK681" s="4"/>
      <x:c r="EL681" s="4"/>
      <x:c r="EM681" s="4"/>
      <x:c r="EN681" s="4"/>
      <x:c r="EO681" s="4"/>
      <x:c r="EP681" s="4"/>
      <x:c r="EQ681" s="4"/>
      <x:c r="ER681" s="4"/>
      <x:c r="ES681" s="4"/>
      <x:c r="ET681" s="4"/>
      <x:c r="EU681" s="4"/>
      <x:c r="EV681" s="4"/>
      <x:c r="EW681" s="4"/>
      <x:c r="EX681" s="4"/>
      <x:c r="EY681" s="4"/>
      <x:c r="EZ681" s="4"/>
      <x:c r="FA681" s="4"/>
      <x:c r="FB681" s="4"/>
      <x:c r="FC681" s="4"/>
      <x:c r="FD681" s="4"/>
      <x:c r="FE681" s="4"/>
      <x:c r="FF681" s="4"/>
      <x:c r="FG681" s="4"/>
      <x:c r="FH681" s="4"/>
      <x:c r="FI681" s="4"/>
      <x:c r="FJ681" s="4"/>
      <x:c r="FK681" s="4"/>
      <x:c r="FL681" s="4"/>
      <x:c r="FM681" s="4"/>
      <x:c r="FN681" s="4"/>
      <x:c r="FO681" s="4"/>
      <x:c r="JA681" t="n">
        <x:f>IF(OR(IFERROR(INDIRECT("'WCM Calibration Final'!$A$681")&lt;&gt;"",FALSE),IFERROR(INDIRECT("'WCM Calibration Final'!$B$681")&lt;&gt;"",FALSE),IFERROR(INDIRECT("'WCM Calibration Final'!$C$681")&lt;&gt;"",FALSE)),681,0)</x:f>
        <x:v>0</x:v>
      </x:c>
      <x:c r="JB681" t="n">
        <x:f>'Calculations'!JB680+IF('Calculations'!JA681&gt;0,1,0)</x:f>
        <x:v>0</x:v>
      </x:c>
    </x:row>
    <x:row r="682">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4"/>
      <x:c r="DQ682" s="4"/>
      <x:c r="DR682" s="4"/>
      <x:c r="DS682" s="4"/>
      <x:c r="DT682" s="4"/>
      <x:c r="DU682" s="4"/>
      <x:c r="DV682" s="4"/>
      <x:c r="DW682" s="4"/>
      <x:c r="DX682" s="4"/>
      <x:c r="DY682" s="4"/>
      <x:c r="DZ682" s="4"/>
      <x:c r="EA682" s="4"/>
      <x:c r="EB682" s="4"/>
      <x:c r="EC682" s="4"/>
      <x:c r="ED682" s="4"/>
      <x:c r="EE682" s="4"/>
      <x:c r="EF682" s="4"/>
      <x:c r="EG682" s="4"/>
      <x:c r="EH682" s="4"/>
      <x:c r="EI682" s="4"/>
      <x:c r="EJ682" s="4"/>
      <x:c r="EK682" s="4"/>
      <x:c r="EL682" s="4"/>
      <x:c r="EM682" s="4"/>
      <x:c r="EN682" s="4"/>
      <x:c r="EO682" s="4"/>
      <x:c r="EP682" s="4"/>
      <x:c r="EQ682" s="4"/>
      <x:c r="ER682" s="4"/>
      <x:c r="ES682" s="4"/>
      <x:c r="ET682" s="4"/>
      <x:c r="EU682" s="4"/>
      <x:c r="EV682" s="4"/>
      <x:c r="EW682" s="4"/>
      <x:c r="EX682" s="4"/>
      <x:c r="EY682" s="4"/>
      <x:c r="EZ682" s="4"/>
      <x:c r="FA682" s="4"/>
      <x:c r="FB682" s="4"/>
      <x:c r="FC682" s="4"/>
      <x:c r="FD682" s="4"/>
      <x:c r="FE682" s="4"/>
      <x:c r="FF682" s="4"/>
      <x:c r="FG682" s="4"/>
      <x:c r="FH682" s="4"/>
      <x:c r="FI682" s="4"/>
      <x:c r="FJ682" s="4"/>
      <x:c r="FK682" s="4"/>
      <x:c r="FL682" s="4"/>
      <x:c r="FM682" s="4"/>
      <x:c r="FN682" s="4"/>
      <x:c r="FO682" s="4"/>
      <x:c r="JA682" t="n">
        <x:f>IF(OR(IFERROR(INDIRECT("'WCM Calibration Final'!$A$682")&lt;&gt;"",FALSE),IFERROR(INDIRECT("'WCM Calibration Final'!$B$682")&lt;&gt;"",FALSE),IFERROR(INDIRECT("'WCM Calibration Final'!$C$682")&lt;&gt;"",FALSE)),682,0)</x:f>
        <x:v>0</x:v>
      </x:c>
      <x:c r="JB682" t="n">
        <x:f>'Calculations'!JB681+IF('Calculations'!JA682&gt;0,1,0)</x:f>
        <x:v>0</x:v>
      </x:c>
    </x:row>
    <x:row r="683">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4"/>
      <x:c r="DQ683" s="4"/>
      <x:c r="DR683" s="4"/>
      <x:c r="DS683" s="4"/>
      <x:c r="DT683" s="4"/>
      <x:c r="DU683" s="4"/>
      <x:c r="DV683" s="4"/>
      <x:c r="DW683" s="4"/>
      <x:c r="DX683" s="4"/>
      <x:c r="DY683" s="4"/>
      <x:c r="DZ683" s="4"/>
      <x:c r="EA683" s="4"/>
      <x:c r="EB683" s="4"/>
      <x:c r="EC683" s="4"/>
      <x:c r="ED683" s="4"/>
      <x:c r="EE683" s="4"/>
      <x:c r="EF683" s="4"/>
      <x:c r="EG683" s="4"/>
      <x:c r="EH683" s="4"/>
      <x:c r="EI683" s="4"/>
      <x:c r="EJ683" s="4"/>
      <x:c r="EK683" s="4"/>
      <x:c r="EL683" s="4"/>
      <x:c r="EM683" s="4"/>
      <x:c r="EN683" s="4"/>
      <x:c r="EO683" s="4"/>
      <x:c r="EP683" s="4"/>
      <x:c r="EQ683" s="4"/>
      <x:c r="ER683" s="4"/>
      <x:c r="ES683" s="4"/>
      <x:c r="ET683" s="4"/>
      <x:c r="EU683" s="4"/>
      <x:c r="EV683" s="4"/>
      <x:c r="EW683" s="4"/>
      <x:c r="EX683" s="4"/>
      <x:c r="EY683" s="4"/>
      <x:c r="EZ683" s="4"/>
      <x:c r="FA683" s="4"/>
      <x:c r="FB683" s="4"/>
      <x:c r="FC683" s="4"/>
      <x:c r="FD683" s="4"/>
      <x:c r="FE683" s="4"/>
      <x:c r="FF683" s="4"/>
      <x:c r="FG683" s="4"/>
      <x:c r="FH683" s="4"/>
      <x:c r="FI683" s="4"/>
      <x:c r="FJ683" s="4"/>
      <x:c r="FK683" s="4"/>
      <x:c r="FL683" s="4"/>
      <x:c r="FM683" s="4"/>
      <x:c r="FN683" s="4"/>
      <x:c r="FO683" s="4"/>
      <x:c r="JA683" t="n">
        <x:f>IF(OR(IFERROR(INDIRECT("'WCM Calibration Final'!$A$683")&lt;&gt;"",FALSE),IFERROR(INDIRECT("'WCM Calibration Final'!$B$683")&lt;&gt;"",FALSE),IFERROR(INDIRECT("'WCM Calibration Final'!$C$683")&lt;&gt;"",FALSE)),683,0)</x:f>
        <x:v>0</x:v>
      </x:c>
      <x:c r="JB683" t="n">
        <x:f>'Calculations'!JB682+IF('Calculations'!JA683&gt;0,1,0)</x:f>
        <x:v>0</x:v>
      </x:c>
    </x:row>
    <x:row r="684">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4"/>
      <x:c r="DQ684" s="4"/>
      <x:c r="DR684" s="4"/>
      <x:c r="DS684" s="4"/>
      <x:c r="DT684" s="4"/>
      <x:c r="DU684" s="4"/>
      <x:c r="DV684" s="4"/>
      <x:c r="DW684" s="4"/>
      <x:c r="DX684" s="4"/>
      <x:c r="DY684" s="4"/>
      <x:c r="DZ684" s="4"/>
      <x:c r="EA684" s="4"/>
      <x:c r="EB684" s="4"/>
      <x:c r="EC684" s="4"/>
      <x:c r="ED684" s="4"/>
      <x:c r="EE684" s="4"/>
      <x:c r="EF684" s="4"/>
      <x:c r="EG684" s="4"/>
      <x:c r="EH684" s="4"/>
      <x:c r="EI684" s="4"/>
      <x:c r="EJ684" s="4"/>
      <x:c r="EK684" s="4"/>
      <x:c r="EL684" s="4"/>
      <x:c r="EM684" s="4"/>
      <x:c r="EN684" s="4"/>
      <x:c r="EO684" s="4"/>
      <x:c r="EP684" s="4"/>
      <x:c r="EQ684" s="4"/>
      <x:c r="ER684" s="4"/>
      <x:c r="ES684" s="4"/>
      <x:c r="ET684" s="4"/>
      <x:c r="EU684" s="4"/>
      <x:c r="EV684" s="4"/>
      <x:c r="EW684" s="4"/>
      <x:c r="EX684" s="4"/>
      <x:c r="EY684" s="4"/>
      <x:c r="EZ684" s="4"/>
      <x:c r="FA684" s="4"/>
      <x:c r="FB684" s="4"/>
      <x:c r="FC684" s="4"/>
      <x:c r="FD684" s="4"/>
      <x:c r="FE684" s="4"/>
      <x:c r="FF684" s="4"/>
      <x:c r="FG684" s="4"/>
      <x:c r="FH684" s="4"/>
      <x:c r="FI684" s="4"/>
      <x:c r="FJ684" s="4"/>
      <x:c r="FK684" s="4"/>
      <x:c r="FL684" s="4"/>
      <x:c r="FM684" s="4"/>
      <x:c r="FN684" s="4"/>
      <x:c r="FO684" s="4"/>
      <x:c r="JA684" t="n">
        <x:f>IF(OR(IFERROR(INDIRECT("'WCM Calibration Final'!$A$684")&lt;&gt;"",FALSE),IFERROR(INDIRECT("'WCM Calibration Final'!$B$684")&lt;&gt;"",FALSE),IFERROR(INDIRECT("'WCM Calibration Final'!$C$684")&lt;&gt;"",FALSE)),684,0)</x:f>
        <x:v>0</x:v>
      </x:c>
      <x:c r="JB684" t="n">
        <x:f>'Calculations'!JB683+IF('Calculations'!JA684&gt;0,1,0)</x:f>
        <x:v>0</x:v>
      </x:c>
    </x:row>
    <x:row r="685">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4"/>
      <x:c r="DQ685" s="4"/>
      <x:c r="DR685" s="4"/>
      <x:c r="DS685" s="4"/>
      <x:c r="DT685" s="4"/>
      <x:c r="DU685" s="4"/>
      <x:c r="DV685" s="4"/>
      <x:c r="DW685" s="4"/>
      <x:c r="DX685" s="4"/>
      <x:c r="DY685" s="4"/>
      <x:c r="DZ685" s="4"/>
      <x:c r="EA685" s="4"/>
      <x:c r="EB685" s="4"/>
      <x:c r="EC685" s="4"/>
      <x:c r="ED685" s="4"/>
      <x:c r="EE685" s="4"/>
      <x:c r="EF685" s="4"/>
      <x:c r="EG685" s="4"/>
      <x:c r="EH685" s="4"/>
      <x:c r="EI685" s="4"/>
      <x:c r="EJ685" s="4"/>
      <x:c r="EK685" s="4"/>
      <x:c r="EL685" s="4"/>
      <x:c r="EM685" s="4"/>
      <x:c r="EN685" s="4"/>
      <x:c r="EO685" s="4"/>
      <x:c r="EP685" s="4"/>
      <x:c r="EQ685" s="4"/>
      <x:c r="ER685" s="4"/>
      <x:c r="ES685" s="4"/>
      <x:c r="ET685" s="4"/>
      <x:c r="EU685" s="4"/>
      <x:c r="EV685" s="4"/>
      <x:c r="EW685" s="4"/>
      <x:c r="EX685" s="4"/>
      <x:c r="EY685" s="4"/>
      <x:c r="EZ685" s="4"/>
      <x:c r="FA685" s="4"/>
      <x:c r="FB685" s="4"/>
      <x:c r="FC685" s="4"/>
      <x:c r="FD685" s="4"/>
      <x:c r="FE685" s="4"/>
      <x:c r="FF685" s="4"/>
      <x:c r="FG685" s="4"/>
      <x:c r="FH685" s="4"/>
      <x:c r="FI685" s="4"/>
      <x:c r="FJ685" s="4"/>
      <x:c r="FK685" s="4"/>
      <x:c r="FL685" s="4"/>
      <x:c r="FM685" s="4"/>
      <x:c r="FN685" s="4"/>
      <x:c r="FO685" s="4"/>
      <x:c r="JA685" t="n">
        <x:f>IF(OR(IFERROR(INDIRECT("'WCM Calibration Final'!$A$685")&lt;&gt;"",FALSE),IFERROR(INDIRECT("'WCM Calibration Final'!$B$685")&lt;&gt;"",FALSE),IFERROR(INDIRECT("'WCM Calibration Final'!$C$685")&lt;&gt;"",FALSE)),685,0)</x:f>
        <x:v>0</x:v>
      </x:c>
      <x:c r="JB685" t="n">
        <x:f>'Calculations'!JB684+IF('Calculations'!JA685&gt;0,1,0)</x:f>
        <x:v>0</x:v>
      </x:c>
    </x:row>
    <x:row r="686">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4"/>
      <x:c r="DQ686" s="4"/>
      <x:c r="DR686" s="4"/>
      <x:c r="DS686" s="4"/>
      <x:c r="DT686" s="4"/>
      <x:c r="DU686" s="4"/>
      <x:c r="DV686" s="4"/>
      <x:c r="DW686" s="4"/>
      <x:c r="DX686" s="4"/>
      <x:c r="DY686" s="4"/>
      <x:c r="DZ686" s="4"/>
      <x:c r="EA686" s="4"/>
      <x:c r="EB686" s="4"/>
      <x:c r="EC686" s="4"/>
      <x:c r="ED686" s="4"/>
      <x:c r="EE686" s="4"/>
      <x:c r="EF686" s="4"/>
      <x:c r="EG686" s="4"/>
      <x:c r="EH686" s="4"/>
      <x:c r="EI686" s="4"/>
      <x:c r="EJ686" s="4"/>
      <x:c r="EK686" s="4"/>
      <x:c r="EL686" s="4"/>
      <x:c r="EM686" s="4"/>
      <x:c r="EN686" s="4"/>
      <x:c r="EO686" s="4"/>
      <x:c r="EP686" s="4"/>
      <x:c r="EQ686" s="4"/>
      <x:c r="ER686" s="4"/>
      <x:c r="ES686" s="4"/>
      <x:c r="ET686" s="4"/>
      <x:c r="EU686" s="4"/>
      <x:c r="EV686" s="4"/>
      <x:c r="EW686" s="4"/>
      <x:c r="EX686" s="4"/>
      <x:c r="EY686" s="4"/>
      <x:c r="EZ686" s="4"/>
      <x:c r="FA686" s="4"/>
      <x:c r="FB686" s="4"/>
      <x:c r="FC686" s="4"/>
      <x:c r="FD686" s="4"/>
      <x:c r="FE686" s="4"/>
      <x:c r="FF686" s="4"/>
      <x:c r="FG686" s="4"/>
      <x:c r="FH686" s="4"/>
      <x:c r="FI686" s="4"/>
      <x:c r="FJ686" s="4"/>
      <x:c r="FK686" s="4"/>
      <x:c r="FL686" s="4"/>
      <x:c r="FM686" s="4"/>
      <x:c r="FN686" s="4"/>
      <x:c r="FO686" s="4"/>
      <x:c r="JA686" t="n">
        <x:f>IF(OR(IFERROR(INDIRECT("'WCM Calibration Final'!$A$686")&lt;&gt;"",FALSE),IFERROR(INDIRECT("'WCM Calibration Final'!$B$686")&lt;&gt;"",FALSE),IFERROR(INDIRECT("'WCM Calibration Final'!$C$686")&lt;&gt;"",FALSE)),686,0)</x:f>
        <x:v>0</x:v>
      </x:c>
      <x:c r="JB686" t="n">
        <x:f>'Calculations'!JB685+IF('Calculations'!JA686&gt;0,1,0)</x:f>
        <x:v>0</x:v>
      </x:c>
    </x:row>
    <x:row r="687">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4"/>
      <x:c r="DQ687" s="4"/>
      <x:c r="DR687" s="4"/>
      <x:c r="DS687" s="4"/>
      <x:c r="DT687" s="4"/>
      <x:c r="DU687" s="4"/>
      <x:c r="DV687" s="4"/>
      <x:c r="DW687" s="4"/>
      <x:c r="DX687" s="4"/>
      <x:c r="DY687" s="4"/>
      <x:c r="DZ687" s="4"/>
      <x:c r="EA687" s="4"/>
      <x:c r="EB687" s="4"/>
      <x:c r="EC687" s="4"/>
      <x:c r="ED687" s="4"/>
      <x:c r="EE687" s="4"/>
      <x:c r="EF687" s="4"/>
      <x:c r="EG687" s="4"/>
      <x:c r="EH687" s="4"/>
      <x:c r="EI687" s="4"/>
      <x:c r="EJ687" s="4"/>
      <x:c r="EK687" s="4"/>
      <x:c r="EL687" s="4"/>
      <x:c r="EM687" s="4"/>
      <x:c r="EN687" s="4"/>
      <x:c r="EO687" s="4"/>
      <x:c r="EP687" s="4"/>
      <x:c r="EQ687" s="4"/>
      <x:c r="ER687" s="4"/>
      <x:c r="ES687" s="4"/>
      <x:c r="ET687" s="4"/>
      <x:c r="EU687" s="4"/>
      <x:c r="EV687" s="4"/>
      <x:c r="EW687" s="4"/>
      <x:c r="EX687" s="4"/>
      <x:c r="EY687" s="4"/>
      <x:c r="EZ687" s="4"/>
      <x:c r="FA687" s="4"/>
      <x:c r="FB687" s="4"/>
      <x:c r="FC687" s="4"/>
      <x:c r="FD687" s="4"/>
      <x:c r="FE687" s="4"/>
      <x:c r="FF687" s="4"/>
      <x:c r="FG687" s="4"/>
      <x:c r="FH687" s="4"/>
      <x:c r="FI687" s="4"/>
      <x:c r="FJ687" s="4"/>
      <x:c r="FK687" s="4"/>
      <x:c r="FL687" s="4"/>
      <x:c r="FM687" s="4"/>
      <x:c r="FN687" s="4"/>
      <x:c r="FO687" s="4"/>
      <x:c r="JA687" t="n">
        <x:f>IF(OR(IFERROR(INDIRECT("'WCM Calibration Final'!$A$687")&lt;&gt;"",FALSE),IFERROR(INDIRECT("'WCM Calibration Final'!$B$687")&lt;&gt;"",FALSE),IFERROR(INDIRECT("'WCM Calibration Final'!$C$687")&lt;&gt;"",FALSE)),687,0)</x:f>
        <x:v>0</x:v>
      </x:c>
      <x:c r="JB687" t="n">
        <x:f>'Calculations'!JB686+IF('Calculations'!JA687&gt;0,1,0)</x:f>
        <x:v>0</x:v>
      </x:c>
    </x:row>
    <x:row r="688">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4"/>
      <x:c r="DQ688" s="4"/>
      <x:c r="DR688" s="4"/>
      <x:c r="DS688" s="4"/>
      <x:c r="DT688" s="4"/>
      <x:c r="DU688" s="4"/>
      <x:c r="DV688" s="4"/>
      <x:c r="DW688" s="4"/>
      <x:c r="DX688" s="4"/>
      <x:c r="DY688" s="4"/>
      <x:c r="DZ688" s="4"/>
      <x:c r="EA688" s="4"/>
      <x:c r="EB688" s="4"/>
      <x:c r="EC688" s="4"/>
      <x:c r="ED688" s="4"/>
      <x:c r="EE688" s="4"/>
      <x:c r="EF688" s="4"/>
      <x:c r="EG688" s="4"/>
      <x:c r="EH688" s="4"/>
      <x:c r="EI688" s="4"/>
      <x:c r="EJ688" s="4"/>
      <x:c r="EK688" s="4"/>
      <x:c r="EL688" s="4"/>
      <x:c r="EM688" s="4"/>
      <x:c r="EN688" s="4"/>
      <x:c r="EO688" s="4"/>
      <x:c r="EP688" s="4"/>
      <x:c r="EQ688" s="4"/>
      <x:c r="ER688" s="4"/>
      <x:c r="ES688" s="4"/>
      <x:c r="ET688" s="4"/>
      <x:c r="EU688" s="4"/>
      <x:c r="EV688" s="4"/>
      <x:c r="EW688" s="4"/>
      <x:c r="EX688" s="4"/>
      <x:c r="EY688" s="4"/>
      <x:c r="EZ688" s="4"/>
      <x:c r="FA688" s="4"/>
      <x:c r="FB688" s="4"/>
      <x:c r="FC688" s="4"/>
      <x:c r="FD688" s="4"/>
      <x:c r="FE688" s="4"/>
      <x:c r="FF688" s="4"/>
      <x:c r="FG688" s="4"/>
      <x:c r="FH688" s="4"/>
      <x:c r="FI688" s="4"/>
      <x:c r="FJ688" s="4"/>
      <x:c r="FK688" s="4"/>
      <x:c r="FL688" s="4"/>
      <x:c r="FM688" s="4"/>
      <x:c r="FN688" s="4"/>
      <x:c r="FO688" s="4"/>
      <x:c r="JA688" t="n">
        <x:f>IF(OR(IFERROR(INDIRECT("'WCM Calibration Final'!$A$688")&lt;&gt;"",FALSE),IFERROR(INDIRECT("'WCM Calibration Final'!$B$688")&lt;&gt;"",FALSE),IFERROR(INDIRECT("'WCM Calibration Final'!$C$688")&lt;&gt;"",FALSE)),688,0)</x:f>
        <x:v>0</x:v>
      </x:c>
      <x:c r="JB688" t="n">
        <x:f>'Calculations'!JB687+IF('Calculations'!JA688&gt;0,1,0)</x:f>
        <x:v>0</x:v>
      </x:c>
    </x:row>
    <x:row r="689">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4"/>
      <x:c r="DQ689" s="4"/>
      <x:c r="DR689" s="4"/>
      <x:c r="DS689" s="4"/>
      <x:c r="DT689" s="4"/>
      <x:c r="DU689" s="4"/>
      <x:c r="DV689" s="4"/>
      <x:c r="DW689" s="4"/>
      <x:c r="DX689" s="4"/>
      <x:c r="DY689" s="4"/>
      <x:c r="DZ689" s="4"/>
      <x:c r="EA689" s="4"/>
      <x:c r="EB689" s="4"/>
      <x:c r="EC689" s="4"/>
      <x:c r="ED689" s="4"/>
      <x:c r="EE689" s="4"/>
      <x:c r="EF689" s="4"/>
      <x:c r="EG689" s="4"/>
      <x:c r="EH689" s="4"/>
      <x:c r="EI689" s="4"/>
      <x:c r="EJ689" s="4"/>
      <x:c r="EK689" s="4"/>
      <x:c r="EL689" s="4"/>
      <x:c r="EM689" s="4"/>
      <x:c r="EN689" s="4"/>
      <x:c r="EO689" s="4"/>
      <x:c r="EP689" s="4"/>
      <x:c r="EQ689" s="4"/>
      <x:c r="ER689" s="4"/>
      <x:c r="ES689" s="4"/>
      <x:c r="ET689" s="4"/>
      <x:c r="EU689" s="4"/>
      <x:c r="EV689" s="4"/>
      <x:c r="EW689" s="4"/>
      <x:c r="EX689" s="4"/>
      <x:c r="EY689" s="4"/>
      <x:c r="EZ689" s="4"/>
      <x:c r="FA689" s="4"/>
      <x:c r="FB689" s="4"/>
      <x:c r="FC689" s="4"/>
      <x:c r="FD689" s="4"/>
      <x:c r="FE689" s="4"/>
      <x:c r="FF689" s="4"/>
      <x:c r="FG689" s="4"/>
      <x:c r="FH689" s="4"/>
      <x:c r="FI689" s="4"/>
      <x:c r="FJ689" s="4"/>
      <x:c r="FK689" s="4"/>
      <x:c r="FL689" s="4"/>
      <x:c r="FM689" s="4"/>
      <x:c r="FN689" s="4"/>
      <x:c r="FO689" s="4"/>
      <x:c r="JA689" t="n">
        <x:f>IF(OR(IFERROR(INDIRECT("'WCM Calibration Final'!$A$689")&lt;&gt;"",FALSE),IFERROR(INDIRECT("'WCM Calibration Final'!$B$689")&lt;&gt;"",FALSE),IFERROR(INDIRECT("'WCM Calibration Final'!$C$689")&lt;&gt;"",FALSE)),689,0)</x:f>
        <x:v>0</x:v>
      </x:c>
      <x:c r="JB689" t="n">
        <x:f>'Calculations'!JB688+IF('Calculations'!JA689&gt;0,1,0)</x:f>
        <x:v>0</x:v>
      </x:c>
    </x:row>
    <x:row r="690">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4"/>
      <x:c r="DQ690" s="4"/>
      <x:c r="DR690" s="4"/>
      <x:c r="DS690" s="4"/>
      <x:c r="DT690" s="4"/>
      <x:c r="DU690" s="4"/>
      <x:c r="DV690" s="4"/>
      <x:c r="DW690" s="4"/>
      <x:c r="DX690" s="4"/>
      <x:c r="DY690" s="4"/>
      <x:c r="DZ690" s="4"/>
      <x:c r="EA690" s="4"/>
      <x:c r="EB690" s="4"/>
      <x:c r="EC690" s="4"/>
      <x:c r="ED690" s="4"/>
      <x:c r="EE690" s="4"/>
      <x:c r="EF690" s="4"/>
      <x:c r="EG690" s="4"/>
      <x:c r="EH690" s="4"/>
      <x:c r="EI690" s="4"/>
      <x:c r="EJ690" s="4"/>
      <x:c r="EK690" s="4"/>
      <x:c r="EL690" s="4"/>
      <x:c r="EM690" s="4"/>
      <x:c r="EN690" s="4"/>
      <x:c r="EO690" s="4"/>
      <x:c r="EP690" s="4"/>
      <x:c r="EQ690" s="4"/>
      <x:c r="ER690" s="4"/>
      <x:c r="ES690" s="4"/>
      <x:c r="ET690" s="4"/>
      <x:c r="EU690" s="4"/>
      <x:c r="EV690" s="4"/>
      <x:c r="EW690" s="4"/>
      <x:c r="EX690" s="4"/>
      <x:c r="EY690" s="4"/>
      <x:c r="EZ690" s="4"/>
      <x:c r="FA690" s="4"/>
      <x:c r="FB690" s="4"/>
      <x:c r="FC690" s="4"/>
      <x:c r="FD690" s="4"/>
      <x:c r="FE690" s="4"/>
      <x:c r="FF690" s="4"/>
      <x:c r="FG690" s="4"/>
      <x:c r="FH690" s="4"/>
      <x:c r="FI690" s="4"/>
      <x:c r="FJ690" s="4"/>
      <x:c r="FK690" s="4"/>
      <x:c r="FL690" s="4"/>
      <x:c r="FM690" s="4"/>
      <x:c r="FN690" s="4"/>
      <x:c r="FO690" s="4"/>
      <x:c r="JA690" t="n">
        <x:f>IF(OR(IFERROR(INDIRECT("'WCM Calibration Final'!$A$690")&lt;&gt;"",FALSE),IFERROR(INDIRECT("'WCM Calibration Final'!$B$690")&lt;&gt;"",FALSE),IFERROR(INDIRECT("'WCM Calibration Final'!$C$690")&lt;&gt;"",FALSE)),690,0)</x:f>
        <x:v>0</x:v>
      </x:c>
      <x:c r="JB690" t="n">
        <x:f>'Calculations'!JB689+IF('Calculations'!JA690&gt;0,1,0)</x:f>
        <x:v>0</x:v>
      </x:c>
    </x:row>
    <x:row r="691">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4"/>
      <x:c r="DQ691" s="4"/>
      <x:c r="DR691" s="4"/>
      <x:c r="DS691" s="4"/>
      <x:c r="DT691" s="4"/>
      <x:c r="DU691" s="4"/>
      <x:c r="DV691" s="4"/>
      <x:c r="DW691" s="4"/>
      <x:c r="DX691" s="4"/>
      <x:c r="DY691" s="4"/>
      <x:c r="DZ691" s="4"/>
      <x:c r="EA691" s="4"/>
      <x:c r="EB691" s="4"/>
      <x:c r="EC691" s="4"/>
      <x:c r="ED691" s="4"/>
      <x:c r="EE691" s="4"/>
      <x:c r="EF691" s="4"/>
      <x:c r="EG691" s="4"/>
      <x:c r="EH691" s="4"/>
      <x:c r="EI691" s="4"/>
      <x:c r="EJ691" s="4"/>
      <x:c r="EK691" s="4"/>
      <x:c r="EL691" s="4"/>
      <x:c r="EM691" s="4"/>
      <x:c r="EN691" s="4"/>
      <x:c r="EO691" s="4"/>
      <x:c r="EP691" s="4"/>
      <x:c r="EQ691" s="4"/>
      <x:c r="ER691" s="4"/>
      <x:c r="ES691" s="4"/>
      <x:c r="ET691" s="4"/>
      <x:c r="EU691" s="4"/>
      <x:c r="EV691" s="4"/>
      <x:c r="EW691" s="4"/>
      <x:c r="EX691" s="4"/>
      <x:c r="EY691" s="4"/>
      <x:c r="EZ691" s="4"/>
      <x:c r="FA691" s="4"/>
      <x:c r="FB691" s="4"/>
      <x:c r="FC691" s="4"/>
      <x:c r="FD691" s="4"/>
      <x:c r="FE691" s="4"/>
      <x:c r="FF691" s="4"/>
      <x:c r="FG691" s="4"/>
      <x:c r="FH691" s="4"/>
      <x:c r="FI691" s="4"/>
      <x:c r="FJ691" s="4"/>
      <x:c r="FK691" s="4"/>
      <x:c r="FL691" s="4"/>
      <x:c r="FM691" s="4"/>
      <x:c r="FN691" s="4"/>
      <x:c r="FO691" s="4"/>
      <x:c r="JA691" t="n">
        <x:f>IF(OR(IFERROR(INDIRECT("'WCM Calibration Final'!$A$691")&lt;&gt;"",FALSE),IFERROR(INDIRECT("'WCM Calibration Final'!$B$691")&lt;&gt;"",FALSE),IFERROR(INDIRECT("'WCM Calibration Final'!$C$691")&lt;&gt;"",FALSE)),691,0)</x:f>
        <x:v>0</x:v>
      </x:c>
      <x:c r="JB691" t="n">
        <x:f>'Calculations'!JB690+IF('Calculations'!JA691&gt;0,1,0)</x:f>
        <x:v>0</x:v>
      </x:c>
    </x:row>
    <x:row r="692">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4"/>
      <x:c r="DQ692" s="4"/>
      <x:c r="DR692" s="4"/>
      <x:c r="DS692" s="4"/>
      <x:c r="DT692" s="4"/>
      <x:c r="DU692" s="4"/>
      <x:c r="DV692" s="4"/>
      <x:c r="DW692" s="4"/>
      <x:c r="DX692" s="4"/>
      <x:c r="DY692" s="4"/>
      <x:c r="DZ692" s="4"/>
      <x:c r="EA692" s="4"/>
      <x:c r="EB692" s="4"/>
      <x:c r="EC692" s="4"/>
      <x:c r="ED692" s="4"/>
      <x:c r="EE692" s="4"/>
      <x:c r="EF692" s="4"/>
      <x:c r="EG692" s="4"/>
      <x:c r="EH692" s="4"/>
      <x:c r="EI692" s="4"/>
      <x:c r="EJ692" s="4"/>
      <x:c r="EK692" s="4"/>
      <x:c r="EL692" s="4"/>
      <x:c r="EM692" s="4"/>
      <x:c r="EN692" s="4"/>
      <x:c r="EO692" s="4"/>
      <x:c r="EP692" s="4"/>
      <x:c r="EQ692" s="4"/>
      <x:c r="ER692" s="4"/>
      <x:c r="ES692" s="4"/>
      <x:c r="ET692" s="4"/>
      <x:c r="EU692" s="4"/>
      <x:c r="EV692" s="4"/>
      <x:c r="EW692" s="4"/>
      <x:c r="EX692" s="4"/>
      <x:c r="EY692" s="4"/>
      <x:c r="EZ692" s="4"/>
      <x:c r="FA692" s="4"/>
      <x:c r="FB692" s="4"/>
      <x:c r="FC692" s="4"/>
      <x:c r="FD692" s="4"/>
      <x:c r="FE692" s="4"/>
      <x:c r="FF692" s="4"/>
      <x:c r="FG692" s="4"/>
      <x:c r="FH692" s="4"/>
      <x:c r="FI692" s="4"/>
      <x:c r="FJ692" s="4"/>
      <x:c r="FK692" s="4"/>
      <x:c r="FL692" s="4"/>
      <x:c r="FM692" s="4"/>
      <x:c r="FN692" s="4"/>
      <x:c r="FO692" s="4"/>
      <x:c r="JA692" t="n">
        <x:f>IF(OR(IFERROR(INDIRECT("'WCM Calibration Final'!$A$692")&lt;&gt;"",FALSE),IFERROR(INDIRECT("'WCM Calibration Final'!$B$692")&lt;&gt;"",FALSE),IFERROR(INDIRECT("'WCM Calibration Final'!$C$692")&lt;&gt;"",FALSE)),692,0)</x:f>
        <x:v>0</x:v>
      </x:c>
      <x:c r="JB692" t="n">
        <x:f>'Calculations'!JB691+IF('Calculations'!JA692&gt;0,1,0)</x:f>
        <x:v>0</x:v>
      </x:c>
    </x:row>
    <x:row r="693">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4"/>
      <x:c r="DQ693" s="4"/>
      <x:c r="DR693" s="4"/>
      <x:c r="DS693" s="4"/>
      <x:c r="DT693" s="4"/>
      <x:c r="DU693" s="4"/>
      <x:c r="DV693" s="4"/>
      <x:c r="DW693" s="4"/>
      <x:c r="DX693" s="4"/>
      <x:c r="DY693" s="4"/>
      <x:c r="DZ693" s="4"/>
      <x:c r="EA693" s="4"/>
      <x:c r="EB693" s="4"/>
      <x:c r="EC693" s="4"/>
      <x:c r="ED693" s="4"/>
      <x:c r="EE693" s="4"/>
      <x:c r="EF693" s="4"/>
      <x:c r="EG693" s="4"/>
      <x:c r="EH693" s="4"/>
      <x:c r="EI693" s="4"/>
      <x:c r="EJ693" s="4"/>
      <x:c r="EK693" s="4"/>
      <x:c r="EL693" s="4"/>
      <x:c r="EM693" s="4"/>
      <x:c r="EN693" s="4"/>
      <x:c r="EO693" s="4"/>
      <x:c r="EP693" s="4"/>
      <x:c r="EQ693" s="4"/>
      <x:c r="ER693" s="4"/>
      <x:c r="ES693" s="4"/>
      <x:c r="ET693" s="4"/>
      <x:c r="EU693" s="4"/>
      <x:c r="EV693" s="4"/>
      <x:c r="EW693" s="4"/>
      <x:c r="EX693" s="4"/>
      <x:c r="EY693" s="4"/>
      <x:c r="EZ693" s="4"/>
      <x:c r="FA693" s="4"/>
      <x:c r="FB693" s="4"/>
      <x:c r="FC693" s="4"/>
      <x:c r="FD693" s="4"/>
      <x:c r="FE693" s="4"/>
      <x:c r="FF693" s="4"/>
      <x:c r="FG693" s="4"/>
      <x:c r="FH693" s="4"/>
      <x:c r="FI693" s="4"/>
      <x:c r="FJ693" s="4"/>
      <x:c r="FK693" s="4"/>
      <x:c r="FL693" s="4"/>
      <x:c r="FM693" s="4"/>
      <x:c r="FN693" s="4"/>
      <x:c r="FO693" s="4"/>
      <x:c r="JA693" t="n">
        <x:f>IF(OR(IFERROR(INDIRECT("'WCM Calibration Final'!$A$693")&lt;&gt;"",FALSE),IFERROR(INDIRECT("'WCM Calibration Final'!$B$693")&lt;&gt;"",FALSE),IFERROR(INDIRECT("'WCM Calibration Final'!$C$693")&lt;&gt;"",FALSE)),693,0)</x:f>
        <x:v>0</x:v>
      </x:c>
      <x:c r="JB693" t="n">
        <x:f>'Calculations'!JB692+IF('Calculations'!JA693&gt;0,1,0)</x:f>
        <x:v>0</x:v>
      </x:c>
    </x:row>
    <x:row r="694">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4"/>
      <x:c r="DQ694" s="4"/>
      <x:c r="DR694" s="4"/>
      <x:c r="DS694" s="4"/>
      <x:c r="DT694" s="4"/>
      <x:c r="DU694" s="4"/>
      <x:c r="DV694" s="4"/>
      <x:c r="DW694" s="4"/>
      <x:c r="DX694" s="4"/>
      <x:c r="DY694" s="4"/>
      <x:c r="DZ694" s="4"/>
      <x:c r="EA694" s="4"/>
      <x:c r="EB694" s="4"/>
      <x:c r="EC694" s="4"/>
      <x:c r="ED694" s="4"/>
      <x:c r="EE694" s="4"/>
      <x:c r="EF694" s="4"/>
      <x:c r="EG694" s="4"/>
      <x:c r="EH694" s="4"/>
      <x:c r="EI694" s="4"/>
      <x:c r="EJ694" s="4"/>
      <x:c r="EK694" s="4"/>
      <x:c r="EL694" s="4"/>
      <x:c r="EM694" s="4"/>
      <x:c r="EN694" s="4"/>
      <x:c r="EO694" s="4"/>
      <x:c r="EP694" s="4"/>
      <x:c r="EQ694" s="4"/>
      <x:c r="ER694" s="4"/>
      <x:c r="ES694" s="4"/>
      <x:c r="ET694" s="4"/>
      <x:c r="EU694" s="4"/>
      <x:c r="EV694" s="4"/>
      <x:c r="EW694" s="4"/>
      <x:c r="EX694" s="4"/>
      <x:c r="EY694" s="4"/>
      <x:c r="EZ694" s="4"/>
      <x:c r="FA694" s="4"/>
      <x:c r="FB694" s="4"/>
      <x:c r="FC694" s="4"/>
      <x:c r="FD694" s="4"/>
      <x:c r="FE694" s="4"/>
      <x:c r="FF694" s="4"/>
      <x:c r="FG694" s="4"/>
      <x:c r="FH694" s="4"/>
      <x:c r="FI694" s="4"/>
      <x:c r="FJ694" s="4"/>
      <x:c r="FK694" s="4"/>
      <x:c r="FL694" s="4"/>
      <x:c r="FM694" s="4"/>
      <x:c r="FN694" s="4"/>
      <x:c r="FO694" s="4"/>
      <x:c r="JA694" t="n">
        <x:f>IF(OR(IFERROR(INDIRECT("'WCM Calibration Final'!$A$694")&lt;&gt;"",FALSE),IFERROR(INDIRECT("'WCM Calibration Final'!$B$694")&lt;&gt;"",FALSE),IFERROR(INDIRECT("'WCM Calibration Final'!$C$694")&lt;&gt;"",FALSE)),694,0)</x:f>
        <x:v>0</x:v>
      </x:c>
      <x:c r="JB694" t="n">
        <x:f>'Calculations'!JB693+IF('Calculations'!JA694&gt;0,1,0)</x:f>
        <x:v>0</x:v>
      </x:c>
    </x:row>
    <x:row r="695">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4"/>
      <x:c r="DQ695" s="4"/>
      <x:c r="DR695" s="4"/>
      <x:c r="DS695" s="4"/>
      <x:c r="DT695" s="4"/>
      <x:c r="DU695" s="4"/>
      <x:c r="DV695" s="4"/>
      <x:c r="DW695" s="4"/>
      <x:c r="DX695" s="4"/>
      <x:c r="DY695" s="4"/>
      <x:c r="DZ695" s="4"/>
      <x:c r="EA695" s="4"/>
      <x:c r="EB695" s="4"/>
      <x:c r="EC695" s="4"/>
      <x:c r="ED695" s="4"/>
      <x:c r="EE695" s="4"/>
      <x:c r="EF695" s="4"/>
      <x:c r="EG695" s="4"/>
      <x:c r="EH695" s="4"/>
      <x:c r="EI695" s="4"/>
      <x:c r="EJ695" s="4"/>
      <x:c r="EK695" s="4"/>
      <x:c r="EL695" s="4"/>
      <x:c r="EM695" s="4"/>
      <x:c r="EN695" s="4"/>
      <x:c r="EO695" s="4"/>
      <x:c r="EP695" s="4"/>
      <x:c r="EQ695" s="4"/>
      <x:c r="ER695" s="4"/>
      <x:c r="ES695" s="4"/>
      <x:c r="ET695" s="4"/>
      <x:c r="EU695" s="4"/>
      <x:c r="EV695" s="4"/>
      <x:c r="EW695" s="4"/>
      <x:c r="EX695" s="4"/>
      <x:c r="EY695" s="4"/>
      <x:c r="EZ695" s="4"/>
      <x:c r="FA695" s="4"/>
      <x:c r="FB695" s="4"/>
      <x:c r="FC695" s="4"/>
      <x:c r="FD695" s="4"/>
      <x:c r="FE695" s="4"/>
      <x:c r="FF695" s="4"/>
      <x:c r="FG695" s="4"/>
      <x:c r="FH695" s="4"/>
      <x:c r="FI695" s="4"/>
      <x:c r="FJ695" s="4"/>
      <x:c r="FK695" s="4"/>
      <x:c r="FL695" s="4"/>
      <x:c r="FM695" s="4"/>
      <x:c r="FN695" s="4"/>
      <x:c r="FO695" s="4"/>
      <x:c r="JA695" t="n">
        <x:f>IF(OR(IFERROR(INDIRECT("'WCM Calibration Final'!$A$695")&lt;&gt;"",FALSE),IFERROR(INDIRECT("'WCM Calibration Final'!$B$695")&lt;&gt;"",FALSE),IFERROR(INDIRECT("'WCM Calibration Final'!$C$695")&lt;&gt;"",FALSE)),695,0)</x:f>
        <x:v>0</x:v>
      </x:c>
      <x:c r="JB695" t="n">
        <x:f>'Calculations'!JB694+IF('Calculations'!JA695&gt;0,1,0)</x:f>
        <x:v>0</x:v>
      </x:c>
    </x:row>
    <x:row r="696">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4"/>
      <x:c r="DQ696" s="4"/>
      <x:c r="DR696" s="4"/>
      <x:c r="DS696" s="4"/>
      <x:c r="DT696" s="4"/>
      <x:c r="DU696" s="4"/>
      <x:c r="DV696" s="4"/>
      <x:c r="DW696" s="4"/>
      <x:c r="DX696" s="4"/>
      <x:c r="DY696" s="4"/>
      <x:c r="DZ696" s="4"/>
      <x:c r="EA696" s="4"/>
      <x:c r="EB696" s="4"/>
      <x:c r="EC696" s="4"/>
      <x:c r="ED696" s="4"/>
      <x:c r="EE696" s="4"/>
      <x:c r="EF696" s="4"/>
      <x:c r="EG696" s="4"/>
      <x:c r="EH696" s="4"/>
      <x:c r="EI696" s="4"/>
      <x:c r="EJ696" s="4"/>
      <x:c r="EK696" s="4"/>
      <x:c r="EL696" s="4"/>
      <x:c r="EM696" s="4"/>
      <x:c r="EN696" s="4"/>
      <x:c r="EO696" s="4"/>
      <x:c r="EP696" s="4"/>
      <x:c r="EQ696" s="4"/>
      <x:c r="ER696" s="4"/>
      <x:c r="ES696" s="4"/>
      <x:c r="ET696" s="4"/>
      <x:c r="EU696" s="4"/>
      <x:c r="EV696" s="4"/>
      <x:c r="EW696" s="4"/>
      <x:c r="EX696" s="4"/>
      <x:c r="EY696" s="4"/>
      <x:c r="EZ696" s="4"/>
      <x:c r="FA696" s="4"/>
      <x:c r="FB696" s="4"/>
      <x:c r="FC696" s="4"/>
      <x:c r="FD696" s="4"/>
      <x:c r="FE696" s="4"/>
      <x:c r="FF696" s="4"/>
      <x:c r="FG696" s="4"/>
      <x:c r="FH696" s="4"/>
      <x:c r="FI696" s="4"/>
      <x:c r="FJ696" s="4"/>
      <x:c r="FK696" s="4"/>
      <x:c r="FL696" s="4"/>
      <x:c r="FM696" s="4"/>
      <x:c r="FN696" s="4"/>
      <x:c r="FO696" s="4"/>
      <x:c r="JA696" t="n">
        <x:f>IF(OR(IFERROR(INDIRECT("'WCM Calibration Final'!$A$696")&lt;&gt;"",FALSE),IFERROR(INDIRECT("'WCM Calibration Final'!$B$696")&lt;&gt;"",FALSE),IFERROR(INDIRECT("'WCM Calibration Final'!$C$696")&lt;&gt;"",FALSE)),696,0)</x:f>
        <x:v>0</x:v>
      </x:c>
      <x:c r="JB696" t="n">
        <x:f>'Calculations'!JB695+IF('Calculations'!JA696&gt;0,1,0)</x:f>
        <x:v>0</x:v>
      </x:c>
    </x:row>
    <x:row r="697">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4"/>
      <x:c r="DQ697" s="4"/>
      <x:c r="DR697" s="4"/>
      <x:c r="DS697" s="4"/>
      <x:c r="DT697" s="4"/>
      <x:c r="DU697" s="4"/>
      <x:c r="DV697" s="4"/>
      <x:c r="DW697" s="4"/>
      <x:c r="DX697" s="4"/>
      <x:c r="DY697" s="4"/>
      <x:c r="DZ697" s="4"/>
      <x:c r="EA697" s="4"/>
      <x:c r="EB697" s="4"/>
      <x:c r="EC697" s="4"/>
      <x:c r="ED697" s="4"/>
      <x:c r="EE697" s="4"/>
      <x:c r="EF697" s="4"/>
      <x:c r="EG697" s="4"/>
      <x:c r="EH697" s="4"/>
      <x:c r="EI697" s="4"/>
      <x:c r="EJ697" s="4"/>
      <x:c r="EK697" s="4"/>
      <x:c r="EL697" s="4"/>
      <x:c r="EM697" s="4"/>
      <x:c r="EN697" s="4"/>
      <x:c r="EO697" s="4"/>
      <x:c r="EP697" s="4"/>
      <x:c r="EQ697" s="4"/>
      <x:c r="ER697" s="4"/>
      <x:c r="ES697" s="4"/>
      <x:c r="ET697" s="4"/>
      <x:c r="EU697" s="4"/>
      <x:c r="EV697" s="4"/>
      <x:c r="EW697" s="4"/>
      <x:c r="EX697" s="4"/>
      <x:c r="EY697" s="4"/>
      <x:c r="EZ697" s="4"/>
      <x:c r="FA697" s="4"/>
      <x:c r="FB697" s="4"/>
      <x:c r="FC697" s="4"/>
      <x:c r="FD697" s="4"/>
      <x:c r="FE697" s="4"/>
      <x:c r="FF697" s="4"/>
      <x:c r="FG697" s="4"/>
      <x:c r="FH697" s="4"/>
      <x:c r="FI697" s="4"/>
      <x:c r="FJ697" s="4"/>
      <x:c r="FK697" s="4"/>
      <x:c r="FL697" s="4"/>
      <x:c r="FM697" s="4"/>
      <x:c r="FN697" s="4"/>
      <x:c r="FO697" s="4"/>
      <x:c r="JA697" t="n">
        <x:f>IF(OR(IFERROR(INDIRECT("'WCM Calibration Final'!$A$697")&lt;&gt;"",FALSE),IFERROR(INDIRECT("'WCM Calibration Final'!$B$697")&lt;&gt;"",FALSE),IFERROR(INDIRECT("'WCM Calibration Final'!$C$697")&lt;&gt;"",FALSE)),697,0)</x:f>
        <x:v>0</x:v>
      </x:c>
      <x:c r="JB697" t="n">
        <x:f>'Calculations'!JB696+IF('Calculations'!JA697&gt;0,1,0)</x:f>
        <x:v>0</x:v>
      </x:c>
    </x:row>
    <x:row r="698">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4"/>
      <x:c r="DQ698" s="4"/>
      <x:c r="DR698" s="4"/>
      <x:c r="DS698" s="4"/>
      <x:c r="DT698" s="4"/>
      <x:c r="DU698" s="4"/>
      <x:c r="DV698" s="4"/>
      <x:c r="DW698" s="4"/>
      <x:c r="DX698" s="4"/>
      <x:c r="DY698" s="4"/>
      <x:c r="DZ698" s="4"/>
      <x:c r="EA698" s="4"/>
      <x:c r="EB698" s="4"/>
      <x:c r="EC698" s="4"/>
      <x:c r="ED698" s="4"/>
      <x:c r="EE698" s="4"/>
      <x:c r="EF698" s="4"/>
      <x:c r="EG698" s="4"/>
      <x:c r="EH698" s="4"/>
      <x:c r="EI698" s="4"/>
      <x:c r="EJ698" s="4"/>
      <x:c r="EK698" s="4"/>
      <x:c r="EL698" s="4"/>
      <x:c r="EM698" s="4"/>
      <x:c r="EN698" s="4"/>
      <x:c r="EO698" s="4"/>
      <x:c r="EP698" s="4"/>
      <x:c r="EQ698" s="4"/>
      <x:c r="ER698" s="4"/>
      <x:c r="ES698" s="4"/>
      <x:c r="ET698" s="4"/>
      <x:c r="EU698" s="4"/>
      <x:c r="EV698" s="4"/>
      <x:c r="EW698" s="4"/>
      <x:c r="EX698" s="4"/>
      <x:c r="EY698" s="4"/>
      <x:c r="EZ698" s="4"/>
      <x:c r="FA698" s="4"/>
      <x:c r="FB698" s="4"/>
      <x:c r="FC698" s="4"/>
      <x:c r="FD698" s="4"/>
      <x:c r="FE698" s="4"/>
      <x:c r="FF698" s="4"/>
      <x:c r="FG698" s="4"/>
      <x:c r="FH698" s="4"/>
      <x:c r="FI698" s="4"/>
      <x:c r="FJ698" s="4"/>
      <x:c r="FK698" s="4"/>
      <x:c r="FL698" s="4"/>
      <x:c r="FM698" s="4"/>
      <x:c r="FN698" s="4"/>
      <x:c r="FO698" s="4"/>
      <x:c r="JA698" t="n">
        <x:f>IF(OR(IFERROR(INDIRECT("'WCM Calibration Final'!$A$698")&lt;&gt;"",FALSE),IFERROR(INDIRECT("'WCM Calibration Final'!$B$698")&lt;&gt;"",FALSE),IFERROR(INDIRECT("'WCM Calibration Final'!$C$698")&lt;&gt;"",FALSE)),698,0)</x:f>
        <x:v>0</x:v>
      </x:c>
      <x:c r="JB698" t="n">
        <x:f>'Calculations'!JB697+IF('Calculations'!JA698&gt;0,1,0)</x:f>
        <x:v>0</x:v>
      </x:c>
    </x:row>
    <x:row r="699">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4"/>
      <x:c r="DQ699" s="4"/>
      <x:c r="DR699" s="4"/>
      <x:c r="DS699" s="4"/>
      <x:c r="DT699" s="4"/>
      <x:c r="DU699" s="4"/>
      <x:c r="DV699" s="4"/>
      <x:c r="DW699" s="4"/>
      <x:c r="DX699" s="4"/>
      <x:c r="DY699" s="4"/>
      <x:c r="DZ699" s="4"/>
      <x:c r="EA699" s="4"/>
      <x:c r="EB699" s="4"/>
      <x:c r="EC699" s="4"/>
      <x:c r="ED699" s="4"/>
      <x:c r="EE699" s="4"/>
      <x:c r="EF699" s="4"/>
      <x:c r="EG699" s="4"/>
      <x:c r="EH699" s="4"/>
      <x:c r="EI699" s="4"/>
      <x:c r="EJ699" s="4"/>
      <x:c r="EK699" s="4"/>
      <x:c r="EL699" s="4"/>
      <x:c r="EM699" s="4"/>
      <x:c r="EN699" s="4"/>
      <x:c r="EO699" s="4"/>
      <x:c r="EP699" s="4"/>
      <x:c r="EQ699" s="4"/>
      <x:c r="ER699" s="4"/>
      <x:c r="ES699" s="4"/>
      <x:c r="ET699" s="4"/>
      <x:c r="EU699" s="4"/>
      <x:c r="EV699" s="4"/>
      <x:c r="EW699" s="4"/>
      <x:c r="EX699" s="4"/>
      <x:c r="EY699" s="4"/>
      <x:c r="EZ699" s="4"/>
      <x:c r="FA699" s="4"/>
      <x:c r="FB699" s="4"/>
      <x:c r="FC699" s="4"/>
      <x:c r="FD699" s="4"/>
      <x:c r="FE699" s="4"/>
      <x:c r="FF699" s="4"/>
      <x:c r="FG699" s="4"/>
      <x:c r="FH699" s="4"/>
      <x:c r="FI699" s="4"/>
      <x:c r="FJ699" s="4"/>
      <x:c r="FK699" s="4"/>
      <x:c r="FL699" s="4"/>
      <x:c r="FM699" s="4"/>
      <x:c r="FN699" s="4"/>
      <x:c r="FO699" s="4"/>
      <x:c r="JA699" t="n">
        <x:f>IF(OR(IFERROR(INDIRECT("'WCM Calibration Final'!$A$699")&lt;&gt;"",FALSE),IFERROR(INDIRECT("'WCM Calibration Final'!$B$699")&lt;&gt;"",FALSE),IFERROR(INDIRECT("'WCM Calibration Final'!$C$699")&lt;&gt;"",FALSE)),699,0)</x:f>
        <x:v>0</x:v>
      </x:c>
      <x:c r="JB699" t="n">
        <x:f>'Calculations'!JB698+IF('Calculations'!JA699&gt;0,1,0)</x:f>
        <x:v>0</x:v>
      </x:c>
    </x:row>
    <x:row r="700">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4"/>
      <x:c r="DQ700" s="4"/>
      <x:c r="DR700" s="4"/>
      <x:c r="DS700" s="4"/>
      <x:c r="DT700" s="4"/>
      <x:c r="DU700" s="4"/>
      <x:c r="DV700" s="4"/>
      <x:c r="DW700" s="4"/>
      <x:c r="DX700" s="4"/>
      <x:c r="DY700" s="4"/>
      <x:c r="DZ700" s="4"/>
      <x:c r="EA700" s="4"/>
      <x:c r="EB700" s="4"/>
      <x:c r="EC700" s="4"/>
      <x:c r="ED700" s="4"/>
      <x:c r="EE700" s="4"/>
      <x:c r="EF700" s="4"/>
      <x:c r="EG700" s="4"/>
      <x:c r="EH700" s="4"/>
      <x:c r="EI700" s="4"/>
      <x:c r="EJ700" s="4"/>
      <x:c r="EK700" s="4"/>
      <x:c r="EL700" s="4"/>
      <x:c r="EM700" s="4"/>
      <x:c r="EN700" s="4"/>
      <x:c r="EO700" s="4"/>
      <x:c r="EP700" s="4"/>
      <x:c r="EQ700" s="4"/>
      <x:c r="ER700" s="4"/>
      <x:c r="ES700" s="4"/>
      <x:c r="ET700" s="4"/>
      <x:c r="EU700" s="4"/>
      <x:c r="EV700" s="4"/>
      <x:c r="EW700" s="4"/>
      <x:c r="EX700" s="4"/>
      <x:c r="EY700" s="4"/>
      <x:c r="EZ700" s="4"/>
      <x:c r="FA700" s="4"/>
      <x:c r="FB700" s="4"/>
      <x:c r="FC700" s="4"/>
      <x:c r="FD700" s="4"/>
      <x:c r="FE700" s="4"/>
      <x:c r="FF700" s="4"/>
      <x:c r="FG700" s="4"/>
      <x:c r="FH700" s="4"/>
      <x:c r="FI700" s="4"/>
      <x:c r="FJ700" s="4"/>
      <x:c r="FK700" s="4"/>
      <x:c r="FL700" s="4"/>
      <x:c r="FM700" s="4"/>
      <x:c r="FN700" s="4"/>
      <x:c r="FO700" s="4"/>
      <x:c r="JA700" t="n">
        <x:f>IF(OR(IFERROR(INDIRECT("'WCM Calibration Final'!$A$700")&lt;&gt;"",FALSE),IFERROR(INDIRECT("'WCM Calibration Final'!$B$700")&lt;&gt;"",FALSE),IFERROR(INDIRECT("'WCM Calibration Final'!$C$700")&lt;&gt;"",FALSE)),700,0)</x:f>
        <x:v>0</x:v>
      </x:c>
      <x:c r="JB700" t="n">
        <x:f>'Calculations'!JB699+IF('Calculations'!JA700&gt;0,1,0)</x:f>
        <x:v>0</x:v>
      </x:c>
    </x:row>
    <x:row r="701">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4"/>
      <x:c r="DQ701" s="4"/>
      <x:c r="DR701" s="4"/>
      <x:c r="DS701" s="4"/>
      <x:c r="DT701" s="4"/>
      <x:c r="DU701" s="4"/>
      <x:c r="DV701" s="4"/>
      <x:c r="DW701" s="4"/>
      <x:c r="DX701" s="4"/>
      <x:c r="DY701" s="4"/>
      <x:c r="DZ701" s="4"/>
      <x:c r="EA701" s="4"/>
      <x:c r="EB701" s="4"/>
      <x:c r="EC701" s="4"/>
      <x:c r="ED701" s="4"/>
      <x:c r="EE701" s="4"/>
      <x:c r="EF701" s="4"/>
      <x:c r="EG701" s="4"/>
      <x:c r="EH701" s="4"/>
      <x:c r="EI701" s="4"/>
      <x:c r="EJ701" s="4"/>
      <x:c r="EK701" s="4"/>
      <x:c r="EL701" s="4"/>
      <x:c r="EM701" s="4"/>
      <x:c r="EN701" s="4"/>
      <x:c r="EO701" s="4"/>
      <x:c r="EP701" s="4"/>
      <x:c r="EQ701" s="4"/>
      <x:c r="ER701" s="4"/>
      <x:c r="ES701" s="4"/>
      <x:c r="ET701" s="4"/>
      <x:c r="EU701" s="4"/>
      <x:c r="EV701" s="4"/>
      <x:c r="EW701" s="4"/>
      <x:c r="EX701" s="4"/>
      <x:c r="EY701" s="4"/>
      <x:c r="EZ701" s="4"/>
      <x:c r="FA701" s="4"/>
      <x:c r="FB701" s="4"/>
      <x:c r="FC701" s="4"/>
      <x:c r="FD701" s="4"/>
      <x:c r="FE701" s="4"/>
      <x:c r="FF701" s="4"/>
      <x:c r="FG701" s="4"/>
      <x:c r="FH701" s="4"/>
      <x:c r="FI701" s="4"/>
      <x:c r="FJ701" s="4"/>
      <x:c r="FK701" s="4"/>
      <x:c r="FL701" s="4"/>
      <x:c r="FM701" s="4"/>
      <x:c r="FN701" s="4"/>
      <x:c r="FO701" s="4"/>
      <x:c r="JA701" t="n">
        <x:f>IF(OR(IFERROR(INDIRECT("'WCM Calibration Final'!$A$701")&lt;&gt;"",FALSE),IFERROR(INDIRECT("'WCM Calibration Final'!$B$701")&lt;&gt;"",FALSE),IFERROR(INDIRECT("'WCM Calibration Final'!$C$701")&lt;&gt;"",FALSE)),701,0)</x:f>
        <x:v>0</x:v>
      </x:c>
      <x:c r="JB701" t="n">
        <x:f>'Calculations'!JB700+IF('Calculations'!JA701&gt;0,1,0)</x:f>
        <x:v>0</x:v>
      </x:c>
    </x:row>
    <x:row r="702">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4"/>
      <x:c r="DQ702" s="4"/>
      <x:c r="DR702" s="4"/>
      <x:c r="DS702" s="4"/>
      <x:c r="DT702" s="4"/>
      <x:c r="DU702" s="4"/>
      <x:c r="DV702" s="4"/>
      <x:c r="DW702" s="4"/>
      <x:c r="DX702" s="4"/>
      <x:c r="DY702" s="4"/>
      <x:c r="DZ702" s="4"/>
      <x:c r="EA702" s="4"/>
      <x:c r="EB702" s="4"/>
      <x:c r="EC702" s="4"/>
      <x:c r="ED702" s="4"/>
      <x:c r="EE702" s="4"/>
      <x:c r="EF702" s="4"/>
      <x:c r="EG702" s="4"/>
      <x:c r="EH702" s="4"/>
      <x:c r="EI702" s="4"/>
      <x:c r="EJ702" s="4"/>
      <x:c r="EK702" s="4"/>
      <x:c r="EL702" s="4"/>
      <x:c r="EM702" s="4"/>
      <x:c r="EN702" s="4"/>
      <x:c r="EO702" s="4"/>
      <x:c r="EP702" s="4"/>
      <x:c r="EQ702" s="4"/>
      <x:c r="ER702" s="4"/>
      <x:c r="ES702" s="4"/>
      <x:c r="ET702" s="4"/>
      <x:c r="EU702" s="4"/>
      <x:c r="EV702" s="4"/>
      <x:c r="EW702" s="4"/>
      <x:c r="EX702" s="4"/>
      <x:c r="EY702" s="4"/>
      <x:c r="EZ702" s="4"/>
      <x:c r="FA702" s="4"/>
      <x:c r="FB702" s="4"/>
      <x:c r="FC702" s="4"/>
      <x:c r="FD702" s="4"/>
      <x:c r="FE702" s="4"/>
      <x:c r="FF702" s="4"/>
      <x:c r="FG702" s="4"/>
      <x:c r="FH702" s="4"/>
      <x:c r="FI702" s="4"/>
      <x:c r="FJ702" s="4"/>
      <x:c r="FK702" s="4"/>
      <x:c r="FL702" s="4"/>
      <x:c r="FM702" s="4"/>
      <x:c r="FN702" s="4"/>
      <x:c r="FO702" s="4"/>
      <x:c r="JA702" t="n">
        <x:f>IF(OR(IFERROR(INDIRECT("'WCM Calibration Final'!$A$702")&lt;&gt;"",FALSE),IFERROR(INDIRECT("'WCM Calibration Final'!$B$702")&lt;&gt;"",FALSE),IFERROR(INDIRECT("'WCM Calibration Final'!$C$702")&lt;&gt;"",FALSE)),702,0)</x:f>
        <x:v>0</x:v>
      </x:c>
      <x:c r="JB702" t="n">
        <x:f>'Calculations'!JB701+IF('Calculations'!JA702&gt;0,1,0)</x:f>
        <x:v>0</x:v>
      </x:c>
    </x:row>
    <x:row r="703">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4"/>
      <x:c r="DQ703" s="4"/>
      <x:c r="DR703" s="4"/>
      <x:c r="DS703" s="4"/>
      <x:c r="DT703" s="4"/>
      <x:c r="DU703" s="4"/>
      <x:c r="DV703" s="4"/>
      <x:c r="DW703" s="4"/>
      <x:c r="DX703" s="4"/>
      <x:c r="DY703" s="4"/>
      <x:c r="DZ703" s="4"/>
      <x:c r="EA703" s="4"/>
      <x:c r="EB703" s="4"/>
      <x:c r="EC703" s="4"/>
      <x:c r="ED703" s="4"/>
      <x:c r="EE703" s="4"/>
      <x:c r="EF703" s="4"/>
      <x:c r="EG703" s="4"/>
      <x:c r="EH703" s="4"/>
      <x:c r="EI703" s="4"/>
      <x:c r="EJ703" s="4"/>
      <x:c r="EK703" s="4"/>
      <x:c r="EL703" s="4"/>
      <x:c r="EM703" s="4"/>
      <x:c r="EN703" s="4"/>
      <x:c r="EO703" s="4"/>
      <x:c r="EP703" s="4"/>
      <x:c r="EQ703" s="4"/>
      <x:c r="ER703" s="4"/>
      <x:c r="ES703" s="4"/>
      <x:c r="ET703" s="4"/>
      <x:c r="EU703" s="4"/>
      <x:c r="EV703" s="4"/>
      <x:c r="EW703" s="4"/>
      <x:c r="EX703" s="4"/>
      <x:c r="EY703" s="4"/>
      <x:c r="EZ703" s="4"/>
      <x:c r="FA703" s="4"/>
      <x:c r="FB703" s="4"/>
      <x:c r="FC703" s="4"/>
      <x:c r="FD703" s="4"/>
      <x:c r="FE703" s="4"/>
      <x:c r="FF703" s="4"/>
      <x:c r="FG703" s="4"/>
      <x:c r="FH703" s="4"/>
      <x:c r="FI703" s="4"/>
      <x:c r="FJ703" s="4"/>
      <x:c r="FK703" s="4"/>
      <x:c r="FL703" s="4"/>
      <x:c r="FM703" s="4"/>
      <x:c r="FN703" s="4"/>
      <x:c r="FO703" s="4"/>
      <x:c r="JA703" t="n">
        <x:f>IF(OR(IFERROR(INDIRECT("'WCM Calibration Final'!$A$703")&lt;&gt;"",FALSE),IFERROR(INDIRECT("'WCM Calibration Final'!$B$703")&lt;&gt;"",FALSE),IFERROR(INDIRECT("'WCM Calibration Final'!$C$703")&lt;&gt;"",FALSE)),703,0)</x:f>
        <x:v>0</x:v>
      </x:c>
      <x:c r="JB703" t="n">
        <x:f>'Calculations'!JB702+IF('Calculations'!JA703&gt;0,1,0)</x:f>
        <x:v>0</x:v>
      </x:c>
    </x:row>
    <x:row r="704">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4"/>
      <x:c r="DQ704" s="4"/>
      <x:c r="DR704" s="4"/>
      <x:c r="DS704" s="4"/>
      <x:c r="DT704" s="4"/>
      <x:c r="DU704" s="4"/>
      <x:c r="DV704" s="4"/>
      <x:c r="DW704" s="4"/>
      <x:c r="DX704" s="4"/>
      <x:c r="DY704" s="4"/>
      <x:c r="DZ704" s="4"/>
      <x:c r="EA704" s="4"/>
      <x:c r="EB704" s="4"/>
      <x:c r="EC704" s="4"/>
      <x:c r="ED704" s="4"/>
      <x:c r="EE704" s="4"/>
      <x:c r="EF704" s="4"/>
      <x:c r="EG704" s="4"/>
      <x:c r="EH704" s="4"/>
      <x:c r="EI704" s="4"/>
      <x:c r="EJ704" s="4"/>
      <x:c r="EK704" s="4"/>
      <x:c r="EL704" s="4"/>
      <x:c r="EM704" s="4"/>
      <x:c r="EN704" s="4"/>
      <x:c r="EO704" s="4"/>
      <x:c r="EP704" s="4"/>
      <x:c r="EQ704" s="4"/>
      <x:c r="ER704" s="4"/>
      <x:c r="ES704" s="4"/>
      <x:c r="ET704" s="4"/>
      <x:c r="EU704" s="4"/>
      <x:c r="EV704" s="4"/>
      <x:c r="EW704" s="4"/>
      <x:c r="EX704" s="4"/>
      <x:c r="EY704" s="4"/>
      <x:c r="EZ704" s="4"/>
      <x:c r="FA704" s="4"/>
      <x:c r="FB704" s="4"/>
      <x:c r="FC704" s="4"/>
      <x:c r="FD704" s="4"/>
      <x:c r="FE704" s="4"/>
      <x:c r="FF704" s="4"/>
      <x:c r="FG704" s="4"/>
      <x:c r="FH704" s="4"/>
      <x:c r="FI704" s="4"/>
      <x:c r="FJ704" s="4"/>
      <x:c r="FK704" s="4"/>
      <x:c r="FL704" s="4"/>
      <x:c r="FM704" s="4"/>
      <x:c r="FN704" s="4"/>
      <x:c r="FO704" s="4"/>
      <x:c r="JA704" t="n">
        <x:f>IF(OR(IFERROR(INDIRECT("'WCM Calibration Final'!$A$704")&lt;&gt;"",FALSE),IFERROR(INDIRECT("'WCM Calibration Final'!$B$704")&lt;&gt;"",FALSE),IFERROR(INDIRECT("'WCM Calibration Final'!$C$704")&lt;&gt;"",FALSE)),704,0)</x:f>
        <x:v>0</x:v>
      </x:c>
      <x:c r="JB704" t="n">
        <x:f>'Calculations'!JB703+IF('Calculations'!JA704&gt;0,1,0)</x:f>
        <x:v>0</x:v>
      </x:c>
    </x:row>
    <x:row r="705">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4"/>
      <x:c r="DQ705" s="4"/>
      <x:c r="DR705" s="4"/>
      <x:c r="DS705" s="4"/>
      <x:c r="DT705" s="4"/>
      <x:c r="DU705" s="4"/>
      <x:c r="DV705" s="4"/>
      <x:c r="DW705" s="4"/>
      <x:c r="DX705" s="4"/>
      <x:c r="DY705" s="4"/>
      <x:c r="DZ705" s="4"/>
      <x:c r="EA705" s="4"/>
      <x:c r="EB705" s="4"/>
      <x:c r="EC705" s="4"/>
      <x:c r="ED705" s="4"/>
      <x:c r="EE705" s="4"/>
      <x:c r="EF705" s="4"/>
      <x:c r="EG705" s="4"/>
      <x:c r="EH705" s="4"/>
      <x:c r="EI705" s="4"/>
      <x:c r="EJ705" s="4"/>
      <x:c r="EK705" s="4"/>
      <x:c r="EL705" s="4"/>
      <x:c r="EM705" s="4"/>
      <x:c r="EN705" s="4"/>
      <x:c r="EO705" s="4"/>
      <x:c r="EP705" s="4"/>
      <x:c r="EQ705" s="4"/>
      <x:c r="ER705" s="4"/>
      <x:c r="ES705" s="4"/>
      <x:c r="ET705" s="4"/>
      <x:c r="EU705" s="4"/>
      <x:c r="EV705" s="4"/>
      <x:c r="EW705" s="4"/>
      <x:c r="EX705" s="4"/>
      <x:c r="EY705" s="4"/>
      <x:c r="EZ705" s="4"/>
      <x:c r="FA705" s="4"/>
      <x:c r="FB705" s="4"/>
      <x:c r="FC705" s="4"/>
      <x:c r="FD705" s="4"/>
      <x:c r="FE705" s="4"/>
      <x:c r="FF705" s="4"/>
      <x:c r="FG705" s="4"/>
      <x:c r="FH705" s="4"/>
      <x:c r="FI705" s="4"/>
      <x:c r="FJ705" s="4"/>
      <x:c r="FK705" s="4"/>
      <x:c r="FL705" s="4"/>
      <x:c r="FM705" s="4"/>
      <x:c r="FN705" s="4"/>
      <x:c r="FO705" s="4"/>
      <x:c r="JA705" t="n">
        <x:f>IF(OR(IFERROR(INDIRECT("'WCM Calibration Final'!$A$705")&lt;&gt;"",FALSE),IFERROR(INDIRECT("'WCM Calibration Final'!$B$705")&lt;&gt;"",FALSE),IFERROR(INDIRECT("'WCM Calibration Final'!$C$705")&lt;&gt;"",FALSE)),705,0)</x:f>
        <x:v>0</x:v>
      </x:c>
      <x:c r="JB705" t="n">
        <x:f>'Calculations'!JB704+IF('Calculations'!JA705&gt;0,1,0)</x:f>
        <x:v>0</x:v>
      </x:c>
    </x:row>
    <x:row r="706">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4"/>
      <x:c r="DQ706" s="4"/>
      <x:c r="DR706" s="4"/>
      <x:c r="DS706" s="4"/>
      <x:c r="DT706" s="4"/>
      <x:c r="DU706" s="4"/>
      <x:c r="DV706" s="4"/>
      <x:c r="DW706" s="4"/>
      <x:c r="DX706" s="4"/>
      <x:c r="DY706" s="4"/>
      <x:c r="DZ706" s="4"/>
      <x:c r="EA706" s="4"/>
      <x:c r="EB706" s="4"/>
      <x:c r="EC706" s="4"/>
      <x:c r="ED706" s="4"/>
      <x:c r="EE706" s="4"/>
      <x:c r="EF706" s="4"/>
      <x:c r="EG706" s="4"/>
      <x:c r="EH706" s="4"/>
      <x:c r="EI706" s="4"/>
      <x:c r="EJ706" s="4"/>
      <x:c r="EK706" s="4"/>
      <x:c r="EL706" s="4"/>
      <x:c r="EM706" s="4"/>
      <x:c r="EN706" s="4"/>
      <x:c r="EO706" s="4"/>
      <x:c r="EP706" s="4"/>
      <x:c r="EQ706" s="4"/>
      <x:c r="ER706" s="4"/>
      <x:c r="ES706" s="4"/>
      <x:c r="ET706" s="4"/>
      <x:c r="EU706" s="4"/>
      <x:c r="EV706" s="4"/>
      <x:c r="EW706" s="4"/>
      <x:c r="EX706" s="4"/>
      <x:c r="EY706" s="4"/>
      <x:c r="EZ706" s="4"/>
      <x:c r="FA706" s="4"/>
      <x:c r="FB706" s="4"/>
      <x:c r="FC706" s="4"/>
      <x:c r="FD706" s="4"/>
      <x:c r="FE706" s="4"/>
      <x:c r="FF706" s="4"/>
      <x:c r="FG706" s="4"/>
      <x:c r="FH706" s="4"/>
      <x:c r="FI706" s="4"/>
      <x:c r="FJ706" s="4"/>
      <x:c r="FK706" s="4"/>
      <x:c r="FL706" s="4"/>
      <x:c r="FM706" s="4"/>
      <x:c r="FN706" s="4"/>
      <x:c r="FO706" s="4"/>
      <x:c r="JA706" t="n">
        <x:f>IF(OR(IFERROR(INDIRECT("'WCM Calibration Final'!$A$706")&lt;&gt;"",FALSE),IFERROR(INDIRECT("'WCM Calibration Final'!$B$706")&lt;&gt;"",FALSE),IFERROR(INDIRECT("'WCM Calibration Final'!$C$706")&lt;&gt;"",FALSE)),706,0)</x:f>
        <x:v>0</x:v>
      </x:c>
      <x:c r="JB706" t="n">
        <x:f>'Calculations'!JB705+IF('Calculations'!JA706&gt;0,1,0)</x:f>
        <x:v>0</x:v>
      </x:c>
    </x:row>
    <x:row r="707">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4"/>
      <x:c r="DQ707" s="4"/>
      <x:c r="DR707" s="4"/>
      <x:c r="DS707" s="4"/>
      <x:c r="DT707" s="4"/>
      <x:c r="DU707" s="4"/>
      <x:c r="DV707" s="4"/>
      <x:c r="DW707" s="4"/>
      <x:c r="DX707" s="4"/>
      <x:c r="DY707" s="4"/>
      <x:c r="DZ707" s="4"/>
      <x:c r="EA707" s="4"/>
      <x:c r="EB707" s="4"/>
      <x:c r="EC707" s="4"/>
      <x:c r="ED707" s="4"/>
      <x:c r="EE707" s="4"/>
      <x:c r="EF707" s="4"/>
      <x:c r="EG707" s="4"/>
      <x:c r="EH707" s="4"/>
      <x:c r="EI707" s="4"/>
      <x:c r="EJ707" s="4"/>
      <x:c r="EK707" s="4"/>
      <x:c r="EL707" s="4"/>
      <x:c r="EM707" s="4"/>
      <x:c r="EN707" s="4"/>
      <x:c r="EO707" s="4"/>
      <x:c r="EP707" s="4"/>
      <x:c r="EQ707" s="4"/>
      <x:c r="ER707" s="4"/>
      <x:c r="ES707" s="4"/>
      <x:c r="ET707" s="4"/>
      <x:c r="EU707" s="4"/>
      <x:c r="EV707" s="4"/>
      <x:c r="EW707" s="4"/>
      <x:c r="EX707" s="4"/>
      <x:c r="EY707" s="4"/>
      <x:c r="EZ707" s="4"/>
      <x:c r="FA707" s="4"/>
      <x:c r="FB707" s="4"/>
      <x:c r="FC707" s="4"/>
      <x:c r="FD707" s="4"/>
      <x:c r="FE707" s="4"/>
      <x:c r="FF707" s="4"/>
      <x:c r="FG707" s="4"/>
      <x:c r="FH707" s="4"/>
      <x:c r="FI707" s="4"/>
      <x:c r="FJ707" s="4"/>
      <x:c r="FK707" s="4"/>
      <x:c r="FL707" s="4"/>
      <x:c r="FM707" s="4"/>
      <x:c r="FN707" s="4"/>
      <x:c r="FO707" s="4"/>
      <x:c r="JA707" t="n">
        <x:f>IF(OR(IFERROR(INDIRECT("'WCM Calibration Final'!$A$707")&lt;&gt;"",FALSE),IFERROR(INDIRECT("'WCM Calibration Final'!$B$707")&lt;&gt;"",FALSE),IFERROR(INDIRECT("'WCM Calibration Final'!$C$707")&lt;&gt;"",FALSE)),707,0)</x:f>
        <x:v>0</x:v>
      </x:c>
      <x:c r="JB707" t="n">
        <x:f>'Calculations'!JB706+IF('Calculations'!JA707&gt;0,1,0)</x:f>
        <x:v>0</x:v>
      </x:c>
    </x:row>
    <x:row r="708">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4"/>
      <x:c r="DQ708" s="4"/>
      <x:c r="DR708" s="4"/>
      <x:c r="DS708" s="4"/>
      <x:c r="DT708" s="4"/>
      <x:c r="DU708" s="4"/>
      <x:c r="DV708" s="4"/>
      <x:c r="DW708" s="4"/>
      <x:c r="DX708" s="4"/>
      <x:c r="DY708" s="4"/>
      <x:c r="DZ708" s="4"/>
      <x:c r="EA708" s="4"/>
      <x:c r="EB708" s="4"/>
      <x:c r="EC708" s="4"/>
      <x:c r="ED708" s="4"/>
      <x:c r="EE708" s="4"/>
      <x:c r="EF708" s="4"/>
      <x:c r="EG708" s="4"/>
      <x:c r="EH708" s="4"/>
      <x:c r="EI708" s="4"/>
      <x:c r="EJ708" s="4"/>
      <x:c r="EK708" s="4"/>
      <x:c r="EL708" s="4"/>
      <x:c r="EM708" s="4"/>
      <x:c r="EN708" s="4"/>
      <x:c r="EO708" s="4"/>
      <x:c r="EP708" s="4"/>
      <x:c r="EQ708" s="4"/>
      <x:c r="ER708" s="4"/>
      <x:c r="ES708" s="4"/>
      <x:c r="ET708" s="4"/>
      <x:c r="EU708" s="4"/>
      <x:c r="EV708" s="4"/>
      <x:c r="EW708" s="4"/>
      <x:c r="EX708" s="4"/>
      <x:c r="EY708" s="4"/>
      <x:c r="EZ708" s="4"/>
      <x:c r="FA708" s="4"/>
      <x:c r="FB708" s="4"/>
      <x:c r="FC708" s="4"/>
      <x:c r="FD708" s="4"/>
      <x:c r="FE708" s="4"/>
      <x:c r="FF708" s="4"/>
      <x:c r="FG708" s="4"/>
      <x:c r="FH708" s="4"/>
      <x:c r="FI708" s="4"/>
      <x:c r="FJ708" s="4"/>
      <x:c r="FK708" s="4"/>
      <x:c r="FL708" s="4"/>
      <x:c r="FM708" s="4"/>
      <x:c r="FN708" s="4"/>
      <x:c r="FO708" s="4"/>
      <x:c r="JA708" t="n">
        <x:f>IF(OR(IFERROR(INDIRECT("'WCM Calibration Final'!$A$708")&lt;&gt;"",FALSE),IFERROR(INDIRECT("'WCM Calibration Final'!$B$708")&lt;&gt;"",FALSE),IFERROR(INDIRECT("'WCM Calibration Final'!$C$708")&lt;&gt;"",FALSE)),708,0)</x:f>
        <x:v>0</x:v>
      </x:c>
      <x:c r="JB708" t="n">
        <x:f>'Calculations'!JB707+IF('Calculations'!JA708&gt;0,1,0)</x:f>
        <x:v>0</x:v>
      </x:c>
    </x:row>
    <x:row r="709">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4"/>
      <x:c r="DQ709" s="4"/>
      <x:c r="DR709" s="4"/>
      <x:c r="DS709" s="4"/>
      <x:c r="DT709" s="4"/>
      <x:c r="DU709" s="4"/>
      <x:c r="DV709" s="4"/>
      <x:c r="DW709" s="4"/>
      <x:c r="DX709" s="4"/>
      <x:c r="DY709" s="4"/>
      <x:c r="DZ709" s="4"/>
      <x:c r="EA709" s="4"/>
      <x:c r="EB709" s="4"/>
      <x:c r="EC709" s="4"/>
      <x:c r="ED709" s="4"/>
      <x:c r="EE709" s="4"/>
      <x:c r="EF709" s="4"/>
      <x:c r="EG709" s="4"/>
      <x:c r="EH709" s="4"/>
      <x:c r="EI709" s="4"/>
      <x:c r="EJ709" s="4"/>
      <x:c r="EK709" s="4"/>
      <x:c r="EL709" s="4"/>
      <x:c r="EM709" s="4"/>
      <x:c r="EN709" s="4"/>
      <x:c r="EO709" s="4"/>
      <x:c r="EP709" s="4"/>
      <x:c r="EQ709" s="4"/>
      <x:c r="ER709" s="4"/>
      <x:c r="ES709" s="4"/>
      <x:c r="ET709" s="4"/>
      <x:c r="EU709" s="4"/>
      <x:c r="EV709" s="4"/>
      <x:c r="EW709" s="4"/>
      <x:c r="EX709" s="4"/>
      <x:c r="EY709" s="4"/>
      <x:c r="EZ709" s="4"/>
      <x:c r="FA709" s="4"/>
      <x:c r="FB709" s="4"/>
      <x:c r="FC709" s="4"/>
      <x:c r="FD709" s="4"/>
      <x:c r="FE709" s="4"/>
      <x:c r="FF709" s="4"/>
      <x:c r="FG709" s="4"/>
      <x:c r="FH709" s="4"/>
      <x:c r="FI709" s="4"/>
      <x:c r="FJ709" s="4"/>
      <x:c r="FK709" s="4"/>
      <x:c r="FL709" s="4"/>
      <x:c r="FM709" s="4"/>
      <x:c r="FN709" s="4"/>
      <x:c r="FO709" s="4"/>
      <x:c r="JA709" t="n">
        <x:f>IF(OR(IFERROR(INDIRECT("'WCM Calibration Final'!$A$709")&lt;&gt;"",FALSE),IFERROR(INDIRECT("'WCM Calibration Final'!$B$709")&lt;&gt;"",FALSE),IFERROR(INDIRECT("'WCM Calibration Final'!$C$709")&lt;&gt;"",FALSE)),709,0)</x:f>
        <x:v>0</x:v>
      </x:c>
      <x:c r="JB709" t="n">
        <x:f>'Calculations'!JB708+IF('Calculations'!JA709&gt;0,1,0)</x:f>
        <x:v>0</x:v>
      </x:c>
    </x:row>
    <x:row r="710">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4"/>
      <x:c r="DQ710" s="4"/>
      <x:c r="DR710" s="4"/>
      <x:c r="DS710" s="4"/>
      <x:c r="DT710" s="4"/>
      <x:c r="DU710" s="4"/>
      <x:c r="DV710" s="4"/>
      <x:c r="DW710" s="4"/>
      <x:c r="DX710" s="4"/>
      <x:c r="DY710" s="4"/>
      <x:c r="DZ710" s="4"/>
      <x:c r="EA710" s="4"/>
      <x:c r="EB710" s="4"/>
      <x:c r="EC710" s="4"/>
      <x:c r="ED710" s="4"/>
      <x:c r="EE710" s="4"/>
      <x:c r="EF710" s="4"/>
      <x:c r="EG710" s="4"/>
      <x:c r="EH710" s="4"/>
      <x:c r="EI710" s="4"/>
      <x:c r="EJ710" s="4"/>
      <x:c r="EK710" s="4"/>
      <x:c r="EL710" s="4"/>
      <x:c r="EM710" s="4"/>
      <x:c r="EN710" s="4"/>
      <x:c r="EO710" s="4"/>
      <x:c r="EP710" s="4"/>
      <x:c r="EQ710" s="4"/>
      <x:c r="ER710" s="4"/>
      <x:c r="ES710" s="4"/>
      <x:c r="ET710" s="4"/>
      <x:c r="EU710" s="4"/>
      <x:c r="EV710" s="4"/>
      <x:c r="EW710" s="4"/>
      <x:c r="EX710" s="4"/>
      <x:c r="EY710" s="4"/>
      <x:c r="EZ710" s="4"/>
      <x:c r="FA710" s="4"/>
      <x:c r="FB710" s="4"/>
      <x:c r="FC710" s="4"/>
      <x:c r="FD710" s="4"/>
      <x:c r="FE710" s="4"/>
      <x:c r="FF710" s="4"/>
      <x:c r="FG710" s="4"/>
      <x:c r="FH710" s="4"/>
      <x:c r="FI710" s="4"/>
      <x:c r="FJ710" s="4"/>
      <x:c r="FK710" s="4"/>
      <x:c r="FL710" s="4"/>
      <x:c r="FM710" s="4"/>
      <x:c r="FN710" s="4"/>
      <x:c r="FO710" s="4"/>
      <x:c r="JA710" t="n">
        <x:f>IF(OR(IFERROR(INDIRECT("'WCM Calibration Final'!$A$710")&lt;&gt;"",FALSE),IFERROR(INDIRECT("'WCM Calibration Final'!$B$710")&lt;&gt;"",FALSE),IFERROR(INDIRECT("'WCM Calibration Final'!$C$710")&lt;&gt;"",FALSE)),710,0)</x:f>
        <x:v>0</x:v>
      </x:c>
      <x:c r="JB710" t="n">
        <x:f>'Calculations'!JB709+IF('Calculations'!JA710&gt;0,1,0)</x:f>
        <x:v>0</x:v>
      </x:c>
    </x:row>
    <x:row r="711">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4"/>
      <x:c r="DQ711" s="4"/>
      <x:c r="DR711" s="4"/>
      <x:c r="DS711" s="4"/>
      <x:c r="DT711" s="4"/>
      <x:c r="DU711" s="4"/>
      <x:c r="DV711" s="4"/>
      <x:c r="DW711" s="4"/>
      <x:c r="DX711" s="4"/>
      <x:c r="DY711" s="4"/>
      <x:c r="DZ711" s="4"/>
      <x:c r="EA711" s="4"/>
      <x:c r="EB711" s="4"/>
      <x:c r="EC711" s="4"/>
      <x:c r="ED711" s="4"/>
      <x:c r="EE711" s="4"/>
      <x:c r="EF711" s="4"/>
      <x:c r="EG711" s="4"/>
      <x:c r="EH711" s="4"/>
      <x:c r="EI711" s="4"/>
      <x:c r="EJ711" s="4"/>
      <x:c r="EK711" s="4"/>
      <x:c r="EL711" s="4"/>
      <x:c r="EM711" s="4"/>
      <x:c r="EN711" s="4"/>
      <x:c r="EO711" s="4"/>
      <x:c r="EP711" s="4"/>
      <x:c r="EQ711" s="4"/>
      <x:c r="ER711" s="4"/>
      <x:c r="ES711" s="4"/>
      <x:c r="ET711" s="4"/>
      <x:c r="EU711" s="4"/>
      <x:c r="EV711" s="4"/>
      <x:c r="EW711" s="4"/>
      <x:c r="EX711" s="4"/>
      <x:c r="EY711" s="4"/>
      <x:c r="EZ711" s="4"/>
      <x:c r="FA711" s="4"/>
      <x:c r="FB711" s="4"/>
      <x:c r="FC711" s="4"/>
      <x:c r="FD711" s="4"/>
      <x:c r="FE711" s="4"/>
      <x:c r="FF711" s="4"/>
      <x:c r="FG711" s="4"/>
      <x:c r="FH711" s="4"/>
      <x:c r="FI711" s="4"/>
      <x:c r="FJ711" s="4"/>
      <x:c r="FK711" s="4"/>
      <x:c r="FL711" s="4"/>
      <x:c r="FM711" s="4"/>
      <x:c r="FN711" s="4"/>
      <x:c r="FO711" s="4"/>
      <x:c r="JA711" t="n">
        <x:f>IF(OR(IFERROR(INDIRECT("'WCM Calibration Final'!$A$711")&lt;&gt;"",FALSE),IFERROR(INDIRECT("'WCM Calibration Final'!$B$711")&lt;&gt;"",FALSE),IFERROR(INDIRECT("'WCM Calibration Final'!$C$711")&lt;&gt;"",FALSE)),711,0)</x:f>
        <x:v>0</x:v>
      </x:c>
      <x:c r="JB711" t="n">
        <x:f>'Calculations'!JB710+IF('Calculations'!JA711&gt;0,1,0)</x:f>
        <x:v>0</x:v>
      </x:c>
    </x:row>
    <x:row r="712">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4"/>
      <x:c r="DQ712" s="4"/>
      <x:c r="DR712" s="4"/>
      <x:c r="DS712" s="4"/>
      <x:c r="DT712" s="4"/>
      <x:c r="DU712" s="4"/>
      <x:c r="DV712" s="4"/>
      <x:c r="DW712" s="4"/>
      <x:c r="DX712" s="4"/>
      <x:c r="DY712" s="4"/>
      <x:c r="DZ712" s="4"/>
      <x:c r="EA712" s="4"/>
      <x:c r="EB712" s="4"/>
      <x:c r="EC712" s="4"/>
      <x:c r="ED712" s="4"/>
      <x:c r="EE712" s="4"/>
      <x:c r="EF712" s="4"/>
      <x:c r="EG712" s="4"/>
      <x:c r="EH712" s="4"/>
      <x:c r="EI712" s="4"/>
      <x:c r="EJ712" s="4"/>
      <x:c r="EK712" s="4"/>
      <x:c r="EL712" s="4"/>
      <x:c r="EM712" s="4"/>
      <x:c r="EN712" s="4"/>
      <x:c r="EO712" s="4"/>
      <x:c r="EP712" s="4"/>
      <x:c r="EQ712" s="4"/>
      <x:c r="ER712" s="4"/>
      <x:c r="ES712" s="4"/>
      <x:c r="ET712" s="4"/>
      <x:c r="EU712" s="4"/>
      <x:c r="EV712" s="4"/>
      <x:c r="EW712" s="4"/>
      <x:c r="EX712" s="4"/>
      <x:c r="EY712" s="4"/>
      <x:c r="EZ712" s="4"/>
      <x:c r="FA712" s="4"/>
      <x:c r="FB712" s="4"/>
      <x:c r="FC712" s="4"/>
      <x:c r="FD712" s="4"/>
      <x:c r="FE712" s="4"/>
      <x:c r="FF712" s="4"/>
      <x:c r="FG712" s="4"/>
      <x:c r="FH712" s="4"/>
      <x:c r="FI712" s="4"/>
      <x:c r="FJ712" s="4"/>
      <x:c r="FK712" s="4"/>
      <x:c r="FL712" s="4"/>
      <x:c r="FM712" s="4"/>
      <x:c r="FN712" s="4"/>
      <x:c r="FO712" s="4"/>
      <x:c r="JA712" t="n">
        <x:f>IF(OR(IFERROR(INDIRECT("'WCM Calibration Final'!$A$712")&lt;&gt;"",FALSE),IFERROR(INDIRECT("'WCM Calibration Final'!$B$712")&lt;&gt;"",FALSE),IFERROR(INDIRECT("'WCM Calibration Final'!$C$712")&lt;&gt;"",FALSE)),712,0)</x:f>
        <x:v>0</x:v>
      </x:c>
      <x:c r="JB712" t="n">
        <x:f>'Calculations'!JB711+IF('Calculations'!JA712&gt;0,1,0)</x:f>
        <x:v>0</x:v>
      </x:c>
    </x:row>
    <x:row r="713">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4"/>
      <x:c r="DQ713" s="4"/>
      <x:c r="DR713" s="4"/>
      <x:c r="DS713" s="4"/>
      <x:c r="DT713" s="4"/>
      <x:c r="DU713" s="4"/>
      <x:c r="DV713" s="4"/>
      <x:c r="DW713" s="4"/>
      <x:c r="DX713" s="4"/>
      <x:c r="DY713" s="4"/>
      <x:c r="DZ713" s="4"/>
      <x:c r="EA713" s="4"/>
      <x:c r="EB713" s="4"/>
      <x:c r="EC713" s="4"/>
      <x:c r="ED713" s="4"/>
      <x:c r="EE713" s="4"/>
      <x:c r="EF713" s="4"/>
      <x:c r="EG713" s="4"/>
      <x:c r="EH713" s="4"/>
      <x:c r="EI713" s="4"/>
      <x:c r="EJ713" s="4"/>
      <x:c r="EK713" s="4"/>
      <x:c r="EL713" s="4"/>
      <x:c r="EM713" s="4"/>
      <x:c r="EN713" s="4"/>
      <x:c r="EO713" s="4"/>
      <x:c r="EP713" s="4"/>
      <x:c r="EQ713" s="4"/>
      <x:c r="ER713" s="4"/>
      <x:c r="ES713" s="4"/>
      <x:c r="ET713" s="4"/>
      <x:c r="EU713" s="4"/>
      <x:c r="EV713" s="4"/>
      <x:c r="EW713" s="4"/>
      <x:c r="EX713" s="4"/>
      <x:c r="EY713" s="4"/>
      <x:c r="EZ713" s="4"/>
      <x:c r="FA713" s="4"/>
      <x:c r="FB713" s="4"/>
      <x:c r="FC713" s="4"/>
      <x:c r="FD713" s="4"/>
      <x:c r="FE713" s="4"/>
      <x:c r="FF713" s="4"/>
      <x:c r="FG713" s="4"/>
      <x:c r="FH713" s="4"/>
      <x:c r="FI713" s="4"/>
      <x:c r="FJ713" s="4"/>
      <x:c r="FK713" s="4"/>
      <x:c r="FL713" s="4"/>
      <x:c r="FM713" s="4"/>
      <x:c r="FN713" s="4"/>
      <x:c r="FO713" s="4"/>
      <x:c r="JA713" t="n">
        <x:f>IF(OR(IFERROR(INDIRECT("'WCM Calibration Final'!$A$713")&lt;&gt;"",FALSE),IFERROR(INDIRECT("'WCM Calibration Final'!$B$713")&lt;&gt;"",FALSE),IFERROR(INDIRECT("'WCM Calibration Final'!$C$713")&lt;&gt;"",FALSE)),713,0)</x:f>
        <x:v>0</x:v>
      </x:c>
      <x:c r="JB713" t="n">
        <x:f>'Calculations'!JB712+IF('Calculations'!JA713&gt;0,1,0)</x:f>
        <x:v>0</x:v>
      </x:c>
    </x:row>
    <x:row r="714">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4"/>
      <x:c r="DQ714" s="4"/>
      <x:c r="DR714" s="4"/>
      <x:c r="DS714" s="4"/>
      <x:c r="DT714" s="4"/>
      <x:c r="DU714" s="4"/>
      <x:c r="DV714" s="4"/>
      <x:c r="DW714" s="4"/>
      <x:c r="DX714" s="4"/>
      <x:c r="DY714" s="4"/>
      <x:c r="DZ714" s="4"/>
      <x:c r="EA714" s="4"/>
      <x:c r="EB714" s="4"/>
      <x:c r="EC714" s="4"/>
      <x:c r="ED714" s="4"/>
      <x:c r="EE714" s="4"/>
      <x:c r="EF714" s="4"/>
      <x:c r="EG714" s="4"/>
      <x:c r="EH714" s="4"/>
      <x:c r="EI714" s="4"/>
      <x:c r="EJ714" s="4"/>
      <x:c r="EK714" s="4"/>
      <x:c r="EL714" s="4"/>
      <x:c r="EM714" s="4"/>
      <x:c r="EN714" s="4"/>
      <x:c r="EO714" s="4"/>
      <x:c r="EP714" s="4"/>
      <x:c r="EQ714" s="4"/>
      <x:c r="ER714" s="4"/>
      <x:c r="ES714" s="4"/>
      <x:c r="ET714" s="4"/>
      <x:c r="EU714" s="4"/>
      <x:c r="EV714" s="4"/>
      <x:c r="EW714" s="4"/>
      <x:c r="EX714" s="4"/>
      <x:c r="EY714" s="4"/>
      <x:c r="EZ714" s="4"/>
      <x:c r="FA714" s="4"/>
      <x:c r="FB714" s="4"/>
      <x:c r="FC714" s="4"/>
      <x:c r="FD714" s="4"/>
      <x:c r="FE714" s="4"/>
      <x:c r="FF714" s="4"/>
      <x:c r="FG714" s="4"/>
      <x:c r="FH714" s="4"/>
      <x:c r="FI714" s="4"/>
      <x:c r="FJ714" s="4"/>
      <x:c r="FK714" s="4"/>
      <x:c r="FL714" s="4"/>
      <x:c r="FM714" s="4"/>
      <x:c r="FN714" s="4"/>
      <x:c r="FO714" s="4"/>
      <x:c r="JA714" t="n">
        <x:f>IF(OR(IFERROR(INDIRECT("'WCM Calibration Final'!$A$714")&lt;&gt;"",FALSE),IFERROR(INDIRECT("'WCM Calibration Final'!$B$714")&lt;&gt;"",FALSE),IFERROR(INDIRECT("'WCM Calibration Final'!$C$714")&lt;&gt;"",FALSE)),714,0)</x:f>
        <x:v>0</x:v>
      </x:c>
      <x:c r="JB714" t="n">
        <x:f>'Calculations'!JB713+IF('Calculations'!JA714&gt;0,1,0)</x:f>
        <x:v>0</x:v>
      </x:c>
    </x:row>
    <x:row r="715">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4"/>
      <x:c r="DQ715" s="4"/>
      <x:c r="DR715" s="4"/>
      <x:c r="DS715" s="4"/>
      <x:c r="DT715" s="4"/>
      <x:c r="DU715" s="4"/>
      <x:c r="DV715" s="4"/>
      <x:c r="DW715" s="4"/>
      <x:c r="DX715" s="4"/>
      <x:c r="DY715" s="4"/>
      <x:c r="DZ715" s="4"/>
      <x:c r="EA715" s="4"/>
      <x:c r="EB715" s="4"/>
      <x:c r="EC715" s="4"/>
      <x:c r="ED715" s="4"/>
      <x:c r="EE715" s="4"/>
      <x:c r="EF715" s="4"/>
      <x:c r="EG715" s="4"/>
      <x:c r="EH715" s="4"/>
      <x:c r="EI715" s="4"/>
      <x:c r="EJ715" s="4"/>
      <x:c r="EK715" s="4"/>
      <x:c r="EL715" s="4"/>
      <x:c r="EM715" s="4"/>
      <x:c r="EN715" s="4"/>
      <x:c r="EO715" s="4"/>
      <x:c r="EP715" s="4"/>
      <x:c r="EQ715" s="4"/>
      <x:c r="ER715" s="4"/>
      <x:c r="ES715" s="4"/>
      <x:c r="ET715" s="4"/>
      <x:c r="EU715" s="4"/>
      <x:c r="EV715" s="4"/>
      <x:c r="EW715" s="4"/>
      <x:c r="EX715" s="4"/>
      <x:c r="EY715" s="4"/>
      <x:c r="EZ715" s="4"/>
      <x:c r="FA715" s="4"/>
      <x:c r="FB715" s="4"/>
      <x:c r="FC715" s="4"/>
      <x:c r="FD715" s="4"/>
      <x:c r="FE715" s="4"/>
      <x:c r="FF715" s="4"/>
      <x:c r="FG715" s="4"/>
      <x:c r="FH715" s="4"/>
      <x:c r="FI715" s="4"/>
      <x:c r="FJ715" s="4"/>
      <x:c r="FK715" s="4"/>
      <x:c r="FL715" s="4"/>
      <x:c r="FM715" s="4"/>
      <x:c r="FN715" s="4"/>
      <x:c r="FO715" s="4"/>
      <x:c r="JA715" t="n">
        <x:f>IF(OR(IFERROR(INDIRECT("'WCM Calibration Final'!$A$715")&lt;&gt;"",FALSE),IFERROR(INDIRECT("'WCM Calibration Final'!$B$715")&lt;&gt;"",FALSE),IFERROR(INDIRECT("'WCM Calibration Final'!$C$715")&lt;&gt;"",FALSE)),715,0)</x:f>
        <x:v>0</x:v>
      </x:c>
      <x:c r="JB715" t="n">
        <x:f>'Calculations'!JB714+IF('Calculations'!JA715&gt;0,1,0)</x:f>
        <x:v>0</x:v>
      </x:c>
    </x:row>
    <x:row r="716">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4"/>
      <x:c r="DQ716" s="4"/>
      <x:c r="DR716" s="4"/>
      <x:c r="DS716" s="4"/>
      <x:c r="DT716" s="4"/>
      <x:c r="DU716" s="4"/>
      <x:c r="DV716" s="4"/>
      <x:c r="DW716" s="4"/>
      <x:c r="DX716" s="4"/>
      <x:c r="DY716" s="4"/>
      <x:c r="DZ716" s="4"/>
      <x:c r="EA716" s="4"/>
      <x:c r="EB716" s="4"/>
      <x:c r="EC716" s="4"/>
      <x:c r="ED716" s="4"/>
      <x:c r="EE716" s="4"/>
      <x:c r="EF716" s="4"/>
      <x:c r="EG716" s="4"/>
      <x:c r="EH716" s="4"/>
      <x:c r="EI716" s="4"/>
      <x:c r="EJ716" s="4"/>
      <x:c r="EK716" s="4"/>
      <x:c r="EL716" s="4"/>
      <x:c r="EM716" s="4"/>
      <x:c r="EN716" s="4"/>
      <x:c r="EO716" s="4"/>
      <x:c r="EP716" s="4"/>
      <x:c r="EQ716" s="4"/>
      <x:c r="ER716" s="4"/>
      <x:c r="ES716" s="4"/>
      <x:c r="ET716" s="4"/>
      <x:c r="EU716" s="4"/>
      <x:c r="EV716" s="4"/>
      <x:c r="EW716" s="4"/>
      <x:c r="EX716" s="4"/>
      <x:c r="EY716" s="4"/>
      <x:c r="EZ716" s="4"/>
      <x:c r="FA716" s="4"/>
      <x:c r="FB716" s="4"/>
      <x:c r="FC716" s="4"/>
      <x:c r="FD716" s="4"/>
      <x:c r="FE716" s="4"/>
      <x:c r="FF716" s="4"/>
      <x:c r="FG716" s="4"/>
      <x:c r="FH716" s="4"/>
      <x:c r="FI716" s="4"/>
      <x:c r="FJ716" s="4"/>
      <x:c r="FK716" s="4"/>
      <x:c r="FL716" s="4"/>
      <x:c r="FM716" s="4"/>
      <x:c r="FN716" s="4"/>
      <x:c r="FO716" s="4"/>
      <x:c r="JA716" t="n">
        <x:f>IF(OR(IFERROR(INDIRECT("'WCM Calibration Final'!$A$716")&lt;&gt;"",FALSE),IFERROR(INDIRECT("'WCM Calibration Final'!$B$716")&lt;&gt;"",FALSE),IFERROR(INDIRECT("'WCM Calibration Final'!$C$716")&lt;&gt;"",FALSE)),716,0)</x:f>
        <x:v>0</x:v>
      </x:c>
      <x:c r="JB716" t="n">
        <x:f>'Calculations'!JB715+IF('Calculations'!JA716&gt;0,1,0)</x:f>
        <x:v>0</x:v>
      </x:c>
    </x:row>
    <x:row r="717">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4"/>
      <x:c r="DQ717" s="4"/>
      <x:c r="DR717" s="4"/>
      <x:c r="DS717" s="4"/>
      <x:c r="DT717" s="4"/>
      <x:c r="DU717" s="4"/>
      <x:c r="DV717" s="4"/>
      <x:c r="DW717" s="4"/>
      <x:c r="DX717" s="4"/>
      <x:c r="DY717" s="4"/>
      <x:c r="DZ717" s="4"/>
      <x:c r="EA717" s="4"/>
      <x:c r="EB717" s="4"/>
      <x:c r="EC717" s="4"/>
      <x:c r="ED717" s="4"/>
      <x:c r="EE717" s="4"/>
      <x:c r="EF717" s="4"/>
      <x:c r="EG717" s="4"/>
      <x:c r="EH717" s="4"/>
      <x:c r="EI717" s="4"/>
      <x:c r="EJ717" s="4"/>
      <x:c r="EK717" s="4"/>
      <x:c r="EL717" s="4"/>
      <x:c r="EM717" s="4"/>
      <x:c r="EN717" s="4"/>
      <x:c r="EO717" s="4"/>
      <x:c r="EP717" s="4"/>
      <x:c r="EQ717" s="4"/>
      <x:c r="ER717" s="4"/>
      <x:c r="ES717" s="4"/>
      <x:c r="ET717" s="4"/>
      <x:c r="EU717" s="4"/>
      <x:c r="EV717" s="4"/>
      <x:c r="EW717" s="4"/>
      <x:c r="EX717" s="4"/>
      <x:c r="EY717" s="4"/>
      <x:c r="EZ717" s="4"/>
      <x:c r="FA717" s="4"/>
      <x:c r="FB717" s="4"/>
      <x:c r="FC717" s="4"/>
      <x:c r="FD717" s="4"/>
      <x:c r="FE717" s="4"/>
      <x:c r="FF717" s="4"/>
      <x:c r="FG717" s="4"/>
      <x:c r="FH717" s="4"/>
      <x:c r="FI717" s="4"/>
      <x:c r="FJ717" s="4"/>
      <x:c r="FK717" s="4"/>
      <x:c r="FL717" s="4"/>
      <x:c r="FM717" s="4"/>
      <x:c r="FN717" s="4"/>
      <x:c r="FO717" s="4"/>
      <x:c r="JA717" t="n">
        <x:f>IF(OR(IFERROR(INDIRECT("'WCM Calibration Final'!$A$717")&lt;&gt;"",FALSE),IFERROR(INDIRECT("'WCM Calibration Final'!$B$717")&lt;&gt;"",FALSE),IFERROR(INDIRECT("'WCM Calibration Final'!$C$717")&lt;&gt;"",FALSE)),717,0)</x:f>
        <x:v>0</x:v>
      </x:c>
      <x:c r="JB717" t="n">
        <x:f>'Calculations'!JB716+IF('Calculations'!JA717&gt;0,1,0)</x:f>
        <x:v>0</x:v>
      </x:c>
    </x:row>
    <x:row r="718">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4"/>
      <x:c r="DQ718" s="4"/>
      <x:c r="DR718" s="4"/>
      <x:c r="DS718" s="4"/>
      <x:c r="DT718" s="4"/>
      <x:c r="DU718" s="4"/>
      <x:c r="DV718" s="4"/>
      <x:c r="DW718" s="4"/>
      <x:c r="DX718" s="4"/>
      <x:c r="DY718" s="4"/>
      <x:c r="DZ718" s="4"/>
      <x:c r="EA718" s="4"/>
      <x:c r="EB718" s="4"/>
      <x:c r="EC718" s="4"/>
      <x:c r="ED718" s="4"/>
      <x:c r="EE718" s="4"/>
      <x:c r="EF718" s="4"/>
      <x:c r="EG718" s="4"/>
      <x:c r="EH718" s="4"/>
      <x:c r="EI718" s="4"/>
      <x:c r="EJ718" s="4"/>
      <x:c r="EK718" s="4"/>
      <x:c r="EL718" s="4"/>
      <x:c r="EM718" s="4"/>
      <x:c r="EN718" s="4"/>
      <x:c r="EO718" s="4"/>
      <x:c r="EP718" s="4"/>
      <x:c r="EQ718" s="4"/>
      <x:c r="ER718" s="4"/>
      <x:c r="ES718" s="4"/>
      <x:c r="ET718" s="4"/>
      <x:c r="EU718" s="4"/>
      <x:c r="EV718" s="4"/>
      <x:c r="EW718" s="4"/>
      <x:c r="EX718" s="4"/>
      <x:c r="EY718" s="4"/>
      <x:c r="EZ718" s="4"/>
      <x:c r="FA718" s="4"/>
      <x:c r="FB718" s="4"/>
      <x:c r="FC718" s="4"/>
      <x:c r="FD718" s="4"/>
      <x:c r="FE718" s="4"/>
      <x:c r="FF718" s="4"/>
      <x:c r="FG718" s="4"/>
      <x:c r="FH718" s="4"/>
      <x:c r="FI718" s="4"/>
      <x:c r="FJ718" s="4"/>
      <x:c r="FK718" s="4"/>
      <x:c r="FL718" s="4"/>
      <x:c r="FM718" s="4"/>
      <x:c r="FN718" s="4"/>
      <x:c r="FO718" s="4"/>
      <x:c r="JA718" t="n">
        <x:f>IF(OR(IFERROR(INDIRECT("'WCM Calibration Final'!$A$718")&lt;&gt;"",FALSE),IFERROR(INDIRECT("'WCM Calibration Final'!$B$718")&lt;&gt;"",FALSE),IFERROR(INDIRECT("'WCM Calibration Final'!$C$718")&lt;&gt;"",FALSE)),718,0)</x:f>
        <x:v>0</x:v>
      </x:c>
      <x:c r="JB718" t="n">
        <x:f>'Calculations'!JB717+IF('Calculations'!JA718&gt;0,1,0)</x:f>
        <x:v>0</x:v>
      </x:c>
    </x:row>
    <x:row r="719">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4"/>
      <x:c r="DQ719" s="4"/>
      <x:c r="DR719" s="4"/>
      <x:c r="DS719" s="4"/>
      <x:c r="DT719" s="4"/>
      <x:c r="DU719" s="4"/>
      <x:c r="DV719" s="4"/>
      <x:c r="DW719" s="4"/>
      <x:c r="DX719" s="4"/>
      <x:c r="DY719" s="4"/>
      <x:c r="DZ719" s="4"/>
      <x:c r="EA719" s="4"/>
      <x:c r="EB719" s="4"/>
      <x:c r="EC719" s="4"/>
      <x:c r="ED719" s="4"/>
      <x:c r="EE719" s="4"/>
      <x:c r="EF719" s="4"/>
      <x:c r="EG719" s="4"/>
      <x:c r="EH719" s="4"/>
      <x:c r="EI719" s="4"/>
      <x:c r="EJ719" s="4"/>
      <x:c r="EK719" s="4"/>
      <x:c r="EL719" s="4"/>
      <x:c r="EM719" s="4"/>
      <x:c r="EN719" s="4"/>
      <x:c r="EO719" s="4"/>
      <x:c r="EP719" s="4"/>
      <x:c r="EQ719" s="4"/>
      <x:c r="ER719" s="4"/>
      <x:c r="ES719" s="4"/>
      <x:c r="ET719" s="4"/>
      <x:c r="EU719" s="4"/>
      <x:c r="EV719" s="4"/>
      <x:c r="EW719" s="4"/>
      <x:c r="EX719" s="4"/>
      <x:c r="EY719" s="4"/>
      <x:c r="EZ719" s="4"/>
      <x:c r="FA719" s="4"/>
      <x:c r="FB719" s="4"/>
      <x:c r="FC719" s="4"/>
      <x:c r="FD719" s="4"/>
      <x:c r="FE719" s="4"/>
      <x:c r="FF719" s="4"/>
      <x:c r="FG719" s="4"/>
      <x:c r="FH719" s="4"/>
      <x:c r="FI719" s="4"/>
      <x:c r="FJ719" s="4"/>
      <x:c r="FK719" s="4"/>
      <x:c r="FL719" s="4"/>
      <x:c r="FM719" s="4"/>
      <x:c r="FN719" s="4"/>
      <x:c r="FO719" s="4"/>
      <x:c r="JA719" t="n">
        <x:f>IF(OR(IFERROR(INDIRECT("'WCM Calibration Final'!$A$719")&lt;&gt;"",FALSE),IFERROR(INDIRECT("'WCM Calibration Final'!$B$719")&lt;&gt;"",FALSE),IFERROR(INDIRECT("'WCM Calibration Final'!$C$719")&lt;&gt;"",FALSE)),719,0)</x:f>
        <x:v>0</x:v>
      </x:c>
      <x:c r="JB719" t="n">
        <x:f>'Calculations'!JB718+IF('Calculations'!JA719&gt;0,1,0)</x:f>
        <x:v>0</x:v>
      </x:c>
    </x:row>
    <x:row r="720">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4"/>
      <x:c r="DQ720" s="4"/>
      <x:c r="DR720" s="4"/>
      <x:c r="DS720" s="4"/>
      <x:c r="DT720" s="4"/>
      <x:c r="DU720" s="4"/>
      <x:c r="DV720" s="4"/>
      <x:c r="DW720" s="4"/>
      <x:c r="DX720" s="4"/>
      <x:c r="DY720" s="4"/>
      <x:c r="DZ720" s="4"/>
      <x:c r="EA720" s="4"/>
      <x:c r="EB720" s="4"/>
      <x:c r="EC720" s="4"/>
      <x:c r="ED720" s="4"/>
      <x:c r="EE720" s="4"/>
      <x:c r="EF720" s="4"/>
      <x:c r="EG720" s="4"/>
      <x:c r="EH720" s="4"/>
      <x:c r="EI720" s="4"/>
      <x:c r="EJ720" s="4"/>
      <x:c r="EK720" s="4"/>
      <x:c r="EL720" s="4"/>
      <x:c r="EM720" s="4"/>
      <x:c r="EN720" s="4"/>
      <x:c r="EO720" s="4"/>
      <x:c r="EP720" s="4"/>
      <x:c r="EQ720" s="4"/>
      <x:c r="ER720" s="4"/>
      <x:c r="ES720" s="4"/>
      <x:c r="ET720" s="4"/>
      <x:c r="EU720" s="4"/>
      <x:c r="EV720" s="4"/>
      <x:c r="EW720" s="4"/>
      <x:c r="EX720" s="4"/>
      <x:c r="EY720" s="4"/>
      <x:c r="EZ720" s="4"/>
      <x:c r="FA720" s="4"/>
      <x:c r="FB720" s="4"/>
      <x:c r="FC720" s="4"/>
      <x:c r="FD720" s="4"/>
      <x:c r="FE720" s="4"/>
      <x:c r="FF720" s="4"/>
      <x:c r="FG720" s="4"/>
      <x:c r="FH720" s="4"/>
      <x:c r="FI720" s="4"/>
      <x:c r="FJ720" s="4"/>
      <x:c r="FK720" s="4"/>
      <x:c r="FL720" s="4"/>
      <x:c r="FM720" s="4"/>
      <x:c r="FN720" s="4"/>
      <x:c r="FO720" s="4"/>
      <x:c r="JA720" t="n">
        <x:f>IF(OR(IFERROR(INDIRECT("'WCM Calibration Final'!$A$720")&lt;&gt;"",FALSE),IFERROR(INDIRECT("'WCM Calibration Final'!$B$720")&lt;&gt;"",FALSE),IFERROR(INDIRECT("'WCM Calibration Final'!$C$720")&lt;&gt;"",FALSE)),720,0)</x:f>
        <x:v>0</x:v>
      </x:c>
      <x:c r="JB720" t="n">
        <x:f>'Calculations'!JB719+IF('Calculations'!JA720&gt;0,1,0)</x:f>
        <x:v>0</x:v>
      </x:c>
    </x:row>
    <x:row r="721">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4"/>
      <x:c r="DQ721" s="4"/>
      <x:c r="DR721" s="4"/>
      <x:c r="DS721" s="4"/>
      <x:c r="DT721" s="4"/>
      <x:c r="DU721" s="4"/>
      <x:c r="DV721" s="4"/>
      <x:c r="DW721" s="4"/>
      <x:c r="DX721" s="4"/>
      <x:c r="DY721" s="4"/>
      <x:c r="DZ721" s="4"/>
      <x:c r="EA721" s="4"/>
      <x:c r="EB721" s="4"/>
      <x:c r="EC721" s="4"/>
      <x:c r="ED721" s="4"/>
      <x:c r="EE721" s="4"/>
      <x:c r="EF721" s="4"/>
      <x:c r="EG721" s="4"/>
      <x:c r="EH721" s="4"/>
      <x:c r="EI721" s="4"/>
      <x:c r="EJ721" s="4"/>
      <x:c r="EK721" s="4"/>
      <x:c r="EL721" s="4"/>
      <x:c r="EM721" s="4"/>
      <x:c r="EN721" s="4"/>
      <x:c r="EO721" s="4"/>
      <x:c r="EP721" s="4"/>
      <x:c r="EQ721" s="4"/>
      <x:c r="ER721" s="4"/>
      <x:c r="ES721" s="4"/>
      <x:c r="ET721" s="4"/>
      <x:c r="EU721" s="4"/>
      <x:c r="EV721" s="4"/>
      <x:c r="EW721" s="4"/>
      <x:c r="EX721" s="4"/>
      <x:c r="EY721" s="4"/>
      <x:c r="EZ721" s="4"/>
      <x:c r="FA721" s="4"/>
      <x:c r="FB721" s="4"/>
      <x:c r="FC721" s="4"/>
      <x:c r="FD721" s="4"/>
      <x:c r="FE721" s="4"/>
      <x:c r="FF721" s="4"/>
      <x:c r="FG721" s="4"/>
      <x:c r="FH721" s="4"/>
      <x:c r="FI721" s="4"/>
      <x:c r="FJ721" s="4"/>
      <x:c r="FK721" s="4"/>
      <x:c r="FL721" s="4"/>
      <x:c r="FM721" s="4"/>
      <x:c r="FN721" s="4"/>
      <x:c r="FO721" s="4"/>
      <x:c r="JA721" t="n">
        <x:f>IF(OR(IFERROR(INDIRECT("'WCM Calibration Final'!$A$721")&lt;&gt;"",FALSE),IFERROR(INDIRECT("'WCM Calibration Final'!$B$721")&lt;&gt;"",FALSE),IFERROR(INDIRECT("'WCM Calibration Final'!$C$721")&lt;&gt;"",FALSE)),721,0)</x:f>
        <x:v>0</x:v>
      </x:c>
      <x:c r="JB721" t="n">
        <x:f>'Calculations'!JB720+IF('Calculations'!JA721&gt;0,1,0)</x:f>
        <x:v>0</x:v>
      </x:c>
    </x:row>
    <x:row r="722">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4"/>
      <x:c r="DQ722" s="4"/>
      <x:c r="DR722" s="4"/>
      <x:c r="DS722" s="4"/>
      <x:c r="DT722" s="4"/>
      <x:c r="DU722" s="4"/>
      <x:c r="DV722" s="4"/>
      <x:c r="DW722" s="4"/>
      <x:c r="DX722" s="4"/>
      <x:c r="DY722" s="4"/>
      <x:c r="DZ722" s="4"/>
      <x:c r="EA722" s="4"/>
      <x:c r="EB722" s="4"/>
      <x:c r="EC722" s="4"/>
      <x:c r="ED722" s="4"/>
      <x:c r="EE722" s="4"/>
      <x:c r="EF722" s="4"/>
      <x:c r="EG722" s="4"/>
      <x:c r="EH722" s="4"/>
      <x:c r="EI722" s="4"/>
      <x:c r="EJ722" s="4"/>
      <x:c r="EK722" s="4"/>
      <x:c r="EL722" s="4"/>
      <x:c r="EM722" s="4"/>
      <x:c r="EN722" s="4"/>
      <x:c r="EO722" s="4"/>
      <x:c r="EP722" s="4"/>
      <x:c r="EQ722" s="4"/>
      <x:c r="ER722" s="4"/>
      <x:c r="ES722" s="4"/>
      <x:c r="ET722" s="4"/>
      <x:c r="EU722" s="4"/>
      <x:c r="EV722" s="4"/>
      <x:c r="EW722" s="4"/>
      <x:c r="EX722" s="4"/>
      <x:c r="EY722" s="4"/>
      <x:c r="EZ722" s="4"/>
      <x:c r="FA722" s="4"/>
      <x:c r="FB722" s="4"/>
      <x:c r="FC722" s="4"/>
      <x:c r="FD722" s="4"/>
      <x:c r="FE722" s="4"/>
      <x:c r="FF722" s="4"/>
      <x:c r="FG722" s="4"/>
      <x:c r="FH722" s="4"/>
      <x:c r="FI722" s="4"/>
      <x:c r="FJ722" s="4"/>
      <x:c r="FK722" s="4"/>
      <x:c r="FL722" s="4"/>
      <x:c r="FM722" s="4"/>
      <x:c r="FN722" s="4"/>
      <x:c r="FO722" s="4"/>
      <x:c r="JA722" t="n">
        <x:f>IF(OR(IFERROR(INDIRECT("'WCM Calibration Final'!$A$722")&lt;&gt;"",FALSE),IFERROR(INDIRECT("'WCM Calibration Final'!$B$722")&lt;&gt;"",FALSE),IFERROR(INDIRECT("'WCM Calibration Final'!$C$722")&lt;&gt;"",FALSE)),722,0)</x:f>
        <x:v>0</x:v>
      </x:c>
      <x:c r="JB722" t="n">
        <x:f>'Calculations'!JB721+IF('Calculations'!JA722&gt;0,1,0)</x:f>
        <x:v>0</x:v>
      </x:c>
    </x:row>
    <x:row r="723">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4"/>
      <x:c r="DQ723" s="4"/>
      <x:c r="DR723" s="4"/>
      <x:c r="DS723" s="4"/>
      <x:c r="DT723" s="4"/>
      <x:c r="DU723" s="4"/>
      <x:c r="DV723" s="4"/>
      <x:c r="DW723" s="4"/>
      <x:c r="DX723" s="4"/>
      <x:c r="DY723" s="4"/>
      <x:c r="DZ723" s="4"/>
      <x:c r="EA723" s="4"/>
      <x:c r="EB723" s="4"/>
      <x:c r="EC723" s="4"/>
      <x:c r="ED723" s="4"/>
      <x:c r="EE723" s="4"/>
      <x:c r="EF723" s="4"/>
      <x:c r="EG723" s="4"/>
      <x:c r="EH723" s="4"/>
      <x:c r="EI723" s="4"/>
      <x:c r="EJ723" s="4"/>
      <x:c r="EK723" s="4"/>
      <x:c r="EL723" s="4"/>
      <x:c r="EM723" s="4"/>
      <x:c r="EN723" s="4"/>
      <x:c r="EO723" s="4"/>
      <x:c r="EP723" s="4"/>
      <x:c r="EQ723" s="4"/>
      <x:c r="ER723" s="4"/>
      <x:c r="ES723" s="4"/>
      <x:c r="ET723" s="4"/>
      <x:c r="EU723" s="4"/>
      <x:c r="EV723" s="4"/>
      <x:c r="EW723" s="4"/>
      <x:c r="EX723" s="4"/>
      <x:c r="EY723" s="4"/>
      <x:c r="EZ723" s="4"/>
      <x:c r="FA723" s="4"/>
      <x:c r="FB723" s="4"/>
      <x:c r="FC723" s="4"/>
      <x:c r="FD723" s="4"/>
      <x:c r="FE723" s="4"/>
      <x:c r="FF723" s="4"/>
      <x:c r="FG723" s="4"/>
      <x:c r="FH723" s="4"/>
      <x:c r="FI723" s="4"/>
      <x:c r="FJ723" s="4"/>
      <x:c r="FK723" s="4"/>
      <x:c r="FL723" s="4"/>
      <x:c r="FM723" s="4"/>
      <x:c r="FN723" s="4"/>
      <x:c r="FO723" s="4"/>
      <x:c r="JA723" t="n">
        <x:f>IF(OR(IFERROR(INDIRECT("'WCM Calibration Final'!$A$723")&lt;&gt;"",FALSE),IFERROR(INDIRECT("'WCM Calibration Final'!$B$723")&lt;&gt;"",FALSE),IFERROR(INDIRECT("'WCM Calibration Final'!$C$723")&lt;&gt;"",FALSE)),723,0)</x:f>
        <x:v>0</x:v>
      </x:c>
      <x:c r="JB723" t="n">
        <x:f>'Calculations'!JB722+IF('Calculations'!JA723&gt;0,1,0)</x:f>
        <x:v>0</x:v>
      </x:c>
    </x:row>
    <x:row r="724">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4"/>
      <x:c r="DQ724" s="4"/>
      <x:c r="DR724" s="4"/>
      <x:c r="DS724" s="4"/>
      <x:c r="DT724" s="4"/>
      <x:c r="DU724" s="4"/>
      <x:c r="DV724" s="4"/>
      <x:c r="DW724" s="4"/>
      <x:c r="DX724" s="4"/>
      <x:c r="DY724" s="4"/>
      <x:c r="DZ724" s="4"/>
      <x:c r="EA724" s="4"/>
      <x:c r="EB724" s="4"/>
      <x:c r="EC724" s="4"/>
      <x:c r="ED724" s="4"/>
      <x:c r="EE724" s="4"/>
      <x:c r="EF724" s="4"/>
      <x:c r="EG724" s="4"/>
      <x:c r="EH724" s="4"/>
      <x:c r="EI724" s="4"/>
      <x:c r="EJ724" s="4"/>
      <x:c r="EK724" s="4"/>
      <x:c r="EL724" s="4"/>
      <x:c r="EM724" s="4"/>
      <x:c r="EN724" s="4"/>
      <x:c r="EO724" s="4"/>
      <x:c r="EP724" s="4"/>
      <x:c r="EQ724" s="4"/>
      <x:c r="ER724" s="4"/>
      <x:c r="ES724" s="4"/>
      <x:c r="ET724" s="4"/>
      <x:c r="EU724" s="4"/>
      <x:c r="EV724" s="4"/>
      <x:c r="EW724" s="4"/>
      <x:c r="EX724" s="4"/>
      <x:c r="EY724" s="4"/>
      <x:c r="EZ724" s="4"/>
      <x:c r="FA724" s="4"/>
      <x:c r="FB724" s="4"/>
      <x:c r="FC724" s="4"/>
      <x:c r="FD724" s="4"/>
      <x:c r="FE724" s="4"/>
      <x:c r="FF724" s="4"/>
      <x:c r="FG724" s="4"/>
      <x:c r="FH724" s="4"/>
      <x:c r="FI724" s="4"/>
      <x:c r="FJ724" s="4"/>
      <x:c r="FK724" s="4"/>
      <x:c r="FL724" s="4"/>
      <x:c r="FM724" s="4"/>
      <x:c r="FN724" s="4"/>
      <x:c r="FO724" s="4"/>
      <x:c r="JA724" t="n">
        <x:f>IF(OR(IFERROR(INDIRECT("'WCM Calibration Final'!$A$724")&lt;&gt;"",FALSE),IFERROR(INDIRECT("'WCM Calibration Final'!$B$724")&lt;&gt;"",FALSE),IFERROR(INDIRECT("'WCM Calibration Final'!$C$724")&lt;&gt;"",FALSE)),724,0)</x:f>
        <x:v>0</x:v>
      </x:c>
      <x:c r="JB724" t="n">
        <x:f>'Calculations'!JB723+IF('Calculations'!JA724&gt;0,1,0)</x:f>
        <x:v>0</x:v>
      </x:c>
    </x:row>
    <x:row r="725">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4"/>
      <x:c r="DQ725" s="4"/>
      <x:c r="DR725" s="4"/>
      <x:c r="DS725" s="4"/>
      <x:c r="DT725" s="4"/>
      <x:c r="DU725" s="4"/>
      <x:c r="DV725" s="4"/>
      <x:c r="DW725" s="4"/>
      <x:c r="DX725" s="4"/>
      <x:c r="DY725" s="4"/>
      <x:c r="DZ725" s="4"/>
      <x:c r="EA725" s="4"/>
      <x:c r="EB725" s="4"/>
      <x:c r="EC725" s="4"/>
      <x:c r="ED725" s="4"/>
      <x:c r="EE725" s="4"/>
      <x:c r="EF725" s="4"/>
      <x:c r="EG725" s="4"/>
      <x:c r="EH725" s="4"/>
      <x:c r="EI725" s="4"/>
      <x:c r="EJ725" s="4"/>
      <x:c r="EK725" s="4"/>
      <x:c r="EL725" s="4"/>
      <x:c r="EM725" s="4"/>
      <x:c r="EN725" s="4"/>
      <x:c r="EO725" s="4"/>
      <x:c r="EP725" s="4"/>
      <x:c r="EQ725" s="4"/>
      <x:c r="ER725" s="4"/>
      <x:c r="ES725" s="4"/>
      <x:c r="ET725" s="4"/>
      <x:c r="EU725" s="4"/>
      <x:c r="EV725" s="4"/>
      <x:c r="EW725" s="4"/>
      <x:c r="EX725" s="4"/>
      <x:c r="EY725" s="4"/>
      <x:c r="EZ725" s="4"/>
      <x:c r="FA725" s="4"/>
      <x:c r="FB725" s="4"/>
      <x:c r="FC725" s="4"/>
      <x:c r="FD725" s="4"/>
      <x:c r="FE725" s="4"/>
      <x:c r="FF725" s="4"/>
      <x:c r="FG725" s="4"/>
      <x:c r="FH725" s="4"/>
      <x:c r="FI725" s="4"/>
      <x:c r="FJ725" s="4"/>
      <x:c r="FK725" s="4"/>
      <x:c r="FL725" s="4"/>
      <x:c r="FM725" s="4"/>
      <x:c r="FN725" s="4"/>
      <x:c r="FO725" s="4"/>
      <x:c r="JA725" t="n">
        <x:f>IF(OR(IFERROR(INDIRECT("'WCM Calibration Final'!$A$725")&lt;&gt;"",FALSE),IFERROR(INDIRECT("'WCM Calibration Final'!$B$725")&lt;&gt;"",FALSE),IFERROR(INDIRECT("'WCM Calibration Final'!$C$725")&lt;&gt;"",FALSE)),725,0)</x:f>
        <x:v>0</x:v>
      </x:c>
      <x:c r="JB725" t="n">
        <x:f>'Calculations'!JB724+IF('Calculations'!JA725&gt;0,1,0)</x:f>
        <x:v>0</x:v>
      </x:c>
    </x:row>
    <x:row r="726">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4"/>
      <x:c r="DQ726" s="4"/>
      <x:c r="DR726" s="4"/>
      <x:c r="DS726" s="4"/>
      <x:c r="DT726" s="4"/>
      <x:c r="DU726" s="4"/>
      <x:c r="DV726" s="4"/>
      <x:c r="DW726" s="4"/>
      <x:c r="DX726" s="4"/>
      <x:c r="DY726" s="4"/>
      <x:c r="DZ726" s="4"/>
      <x:c r="EA726" s="4"/>
      <x:c r="EB726" s="4"/>
      <x:c r="EC726" s="4"/>
      <x:c r="ED726" s="4"/>
      <x:c r="EE726" s="4"/>
      <x:c r="EF726" s="4"/>
      <x:c r="EG726" s="4"/>
      <x:c r="EH726" s="4"/>
      <x:c r="EI726" s="4"/>
      <x:c r="EJ726" s="4"/>
      <x:c r="EK726" s="4"/>
      <x:c r="EL726" s="4"/>
      <x:c r="EM726" s="4"/>
      <x:c r="EN726" s="4"/>
      <x:c r="EO726" s="4"/>
      <x:c r="EP726" s="4"/>
      <x:c r="EQ726" s="4"/>
      <x:c r="ER726" s="4"/>
      <x:c r="ES726" s="4"/>
      <x:c r="ET726" s="4"/>
      <x:c r="EU726" s="4"/>
      <x:c r="EV726" s="4"/>
      <x:c r="EW726" s="4"/>
      <x:c r="EX726" s="4"/>
      <x:c r="EY726" s="4"/>
      <x:c r="EZ726" s="4"/>
      <x:c r="FA726" s="4"/>
      <x:c r="FB726" s="4"/>
      <x:c r="FC726" s="4"/>
      <x:c r="FD726" s="4"/>
      <x:c r="FE726" s="4"/>
      <x:c r="FF726" s="4"/>
      <x:c r="FG726" s="4"/>
      <x:c r="FH726" s="4"/>
      <x:c r="FI726" s="4"/>
      <x:c r="FJ726" s="4"/>
      <x:c r="FK726" s="4"/>
      <x:c r="FL726" s="4"/>
      <x:c r="FM726" s="4"/>
      <x:c r="FN726" s="4"/>
      <x:c r="FO726" s="4"/>
      <x:c r="JA726" t="n">
        <x:f>IF(OR(IFERROR(INDIRECT("'WCM Calibration Final'!$A$726")&lt;&gt;"",FALSE),IFERROR(INDIRECT("'WCM Calibration Final'!$B$726")&lt;&gt;"",FALSE),IFERROR(INDIRECT("'WCM Calibration Final'!$C$726")&lt;&gt;"",FALSE)),726,0)</x:f>
        <x:v>0</x:v>
      </x:c>
      <x:c r="JB726" t="n">
        <x:f>'Calculations'!JB725+IF('Calculations'!JA726&gt;0,1,0)</x:f>
        <x:v>0</x:v>
      </x:c>
    </x:row>
    <x:row r="727">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4"/>
      <x:c r="DQ727" s="4"/>
      <x:c r="DR727" s="4"/>
      <x:c r="DS727" s="4"/>
      <x:c r="DT727" s="4"/>
      <x:c r="DU727" s="4"/>
      <x:c r="DV727" s="4"/>
      <x:c r="DW727" s="4"/>
      <x:c r="DX727" s="4"/>
      <x:c r="DY727" s="4"/>
      <x:c r="DZ727" s="4"/>
      <x:c r="EA727" s="4"/>
      <x:c r="EB727" s="4"/>
      <x:c r="EC727" s="4"/>
      <x:c r="ED727" s="4"/>
      <x:c r="EE727" s="4"/>
      <x:c r="EF727" s="4"/>
      <x:c r="EG727" s="4"/>
      <x:c r="EH727" s="4"/>
      <x:c r="EI727" s="4"/>
      <x:c r="EJ727" s="4"/>
      <x:c r="EK727" s="4"/>
      <x:c r="EL727" s="4"/>
      <x:c r="EM727" s="4"/>
      <x:c r="EN727" s="4"/>
      <x:c r="EO727" s="4"/>
      <x:c r="EP727" s="4"/>
      <x:c r="EQ727" s="4"/>
      <x:c r="ER727" s="4"/>
      <x:c r="ES727" s="4"/>
      <x:c r="ET727" s="4"/>
      <x:c r="EU727" s="4"/>
      <x:c r="EV727" s="4"/>
      <x:c r="EW727" s="4"/>
      <x:c r="EX727" s="4"/>
      <x:c r="EY727" s="4"/>
      <x:c r="EZ727" s="4"/>
      <x:c r="FA727" s="4"/>
      <x:c r="FB727" s="4"/>
      <x:c r="FC727" s="4"/>
      <x:c r="FD727" s="4"/>
      <x:c r="FE727" s="4"/>
      <x:c r="FF727" s="4"/>
      <x:c r="FG727" s="4"/>
      <x:c r="FH727" s="4"/>
      <x:c r="FI727" s="4"/>
      <x:c r="FJ727" s="4"/>
      <x:c r="FK727" s="4"/>
      <x:c r="FL727" s="4"/>
      <x:c r="FM727" s="4"/>
      <x:c r="FN727" s="4"/>
      <x:c r="FO727" s="4"/>
      <x:c r="JA727" t="n">
        <x:f>IF(OR(IFERROR(INDIRECT("'WCM Calibration Final'!$A$727")&lt;&gt;"",FALSE),IFERROR(INDIRECT("'WCM Calibration Final'!$B$727")&lt;&gt;"",FALSE),IFERROR(INDIRECT("'WCM Calibration Final'!$C$727")&lt;&gt;"",FALSE)),727,0)</x:f>
        <x:v>0</x:v>
      </x:c>
      <x:c r="JB727" t="n">
        <x:f>'Calculations'!JB726+IF('Calculations'!JA727&gt;0,1,0)</x:f>
        <x:v>0</x:v>
      </x:c>
    </x:row>
    <x:row r="728">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4"/>
      <x:c r="DQ728" s="4"/>
      <x:c r="DR728" s="4"/>
      <x:c r="DS728" s="4"/>
      <x:c r="DT728" s="4"/>
      <x:c r="DU728" s="4"/>
      <x:c r="DV728" s="4"/>
      <x:c r="DW728" s="4"/>
      <x:c r="DX728" s="4"/>
      <x:c r="DY728" s="4"/>
      <x:c r="DZ728" s="4"/>
      <x:c r="EA728" s="4"/>
      <x:c r="EB728" s="4"/>
      <x:c r="EC728" s="4"/>
      <x:c r="ED728" s="4"/>
      <x:c r="EE728" s="4"/>
      <x:c r="EF728" s="4"/>
      <x:c r="EG728" s="4"/>
      <x:c r="EH728" s="4"/>
      <x:c r="EI728" s="4"/>
      <x:c r="EJ728" s="4"/>
      <x:c r="EK728" s="4"/>
      <x:c r="EL728" s="4"/>
      <x:c r="EM728" s="4"/>
      <x:c r="EN728" s="4"/>
      <x:c r="EO728" s="4"/>
      <x:c r="EP728" s="4"/>
      <x:c r="EQ728" s="4"/>
      <x:c r="ER728" s="4"/>
      <x:c r="ES728" s="4"/>
      <x:c r="ET728" s="4"/>
      <x:c r="EU728" s="4"/>
      <x:c r="EV728" s="4"/>
      <x:c r="EW728" s="4"/>
      <x:c r="EX728" s="4"/>
      <x:c r="EY728" s="4"/>
      <x:c r="EZ728" s="4"/>
      <x:c r="FA728" s="4"/>
      <x:c r="FB728" s="4"/>
      <x:c r="FC728" s="4"/>
      <x:c r="FD728" s="4"/>
      <x:c r="FE728" s="4"/>
      <x:c r="FF728" s="4"/>
      <x:c r="FG728" s="4"/>
      <x:c r="FH728" s="4"/>
      <x:c r="FI728" s="4"/>
      <x:c r="FJ728" s="4"/>
      <x:c r="FK728" s="4"/>
      <x:c r="FL728" s="4"/>
      <x:c r="FM728" s="4"/>
      <x:c r="FN728" s="4"/>
      <x:c r="FO728" s="4"/>
      <x:c r="JA728" t="n">
        <x:f>IF(OR(IFERROR(INDIRECT("'WCM Calibration Final'!$A$728")&lt;&gt;"",FALSE),IFERROR(INDIRECT("'WCM Calibration Final'!$B$728")&lt;&gt;"",FALSE),IFERROR(INDIRECT("'WCM Calibration Final'!$C$728")&lt;&gt;"",FALSE)),728,0)</x:f>
        <x:v>0</x:v>
      </x:c>
      <x:c r="JB728" t="n">
        <x:f>'Calculations'!JB727+IF('Calculations'!JA728&gt;0,1,0)</x:f>
        <x:v>0</x:v>
      </x:c>
    </x:row>
    <x:row r="729">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4"/>
      <x:c r="DQ729" s="4"/>
      <x:c r="DR729" s="4"/>
      <x:c r="DS729" s="4"/>
      <x:c r="DT729" s="4"/>
      <x:c r="DU729" s="4"/>
      <x:c r="DV729" s="4"/>
      <x:c r="DW729" s="4"/>
      <x:c r="DX729" s="4"/>
      <x:c r="DY729" s="4"/>
      <x:c r="DZ729" s="4"/>
      <x:c r="EA729" s="4"/>
      <x:c r="EB729" s="4"/>
      <x:c r="EC729" s="4"/>
      <x:c r="ED729" s="4"/>
      <x:c r="EE729" s="4"/>
      <x:c r="EF729" s="4"/>
      <x:c r="EG729" s="4"/>
      <x:c r="EH729" s="4"/>
      <x:c r="EI729" s="4"/>
      <x:c r="EJ729" s="4"/>
      <x:c r="EK729" s="4"/>
      <x:c r="EL729" s="4"/>
      <x:c r="EM729" s="4"/>
      <x:c r="EN729" s="4"/>
      <x:c r="EO729" s="4"/>
      <x:c r="EP729" s="4"/>
      <x:c r="EQ729" s="4"/>
      <x:c r="ER729" s="4"/>
      <x:c r="ES729" s="4"/>
      <x:c r="ET729" s="4"/>
      <x:c r="EU729" s="4"/>
      <x:c r="EV729" s="4"/>
      <x:c r="EW729" s="4"/>
      <x:c r="EX729" s="4"/>
      <x:c r="EY729" s="4"/>
      <x:c r="EZ729" s="4"/>
      <x:c r="FA729" s="4"/>
      <x:c r="FB729" s="4"/>
      <x:c r="FC729" s="4"/>
      <x:c r="FD729" s="4"/>
      <x:c r="FE729" s="4"/>
      <x:c r="FF729" s="4"/>
      <x:c r="FG729" s="4"/>
      <x:c r="FH729" s="4"/>
      <x:c r="FI729" s="4"/>
      <x:c r="FJ729" s="4"/>
      <x:c r="FK729" s="4"/>
      <x:c r="FL729" s="4"/>
      <x:c r="FM729" s="4"/>
      <x:c r="FN729" s="4"/>
      <x:c r="FO729" s="4"/>
      <x:c r="JA729" t="n">
        <x:f>IF(OR(IFERROR(INDIRECT("'WCM Calibration Final'!$A$729")&lt;&gt;"",FALSE),IFERROR(INDIRECT("'WCM Calibration Final'!$B$729")&lt;&gt;"",FALSE),IFERROR(INDIRECT("'WCM Calibration Final'!$C$729")&lt;&gt;"",FALSE)),729,0)</x:f>
        <x:v>0</x:v>
      </x:c>
      <x:c r="JB729" t="n">
        <x:f>'Calculations'!JB728+IF('Calculations'!JA729&gt;0,1,0)</x:f>
        <x:v>0</x:v>
      </x:c>
    </x:row>
    <x:row r="730">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4"/>
      <x:c r="DQ730" s="4"/>
      <x:c r="DR730" s="4"/>
      <x:c r="DS730" s="4"/>
      <x:c r="DT730" s="4"/>
      <x:c r="DU730" s="4"/>
      <x:c r="DV730" s="4"/>
      <x:c r="DW730" s="4"/>
      <x:c r="DX730" s="4"/>
      <x:c r="DY730" s="4"/>
      <x:c r="DZ730" s="4"/>
      <x:c r="EA730" s="4"/>
      <x:c r="EB730" s="4"/>
      <x:c r="EC730" s="4"/>
      <x:c r="ED730" s="4"/>
      <x:c r="EE730" s="4"/>
      <x:c r="EF730" s="4"/>
      <x:c r="EG730" s="4"/>
      <x:c r="EH730" s="4"/>
      <x:c r="EI730" s="4"/>
      <x:c r="EJ730" s="4"/>
      <x:c r="EK730" s="4"/>
      <x:c r="EL730" s="4"/>
      <x:c r="EM730" s="4"/>
      <x:c r="EN730" s="4"/>
      <x:c r="EO730" s="4"/>
      <x:c r="EP730" s="4"/>
      <x:c r="EQ730" s="4"/>
      <x:c r="ER730" s="4"/>
      <x:c r="ES730" s="4"/>
      <x:c r="ET730" s="4"/>
      <x:c r="EU730" s="4"/>
      <x:c r="EV730" s="4"/>
      <x:c r="EW730" s="4"/>
      <x:c r="EX730" s="4"/>
      <x:c r="EY730" s="4"/>
      <x:c r="EZ730" s="4"/>
      <x:c r="FA730" s="4"/>
      <x:c r="FB730" s="4"/>
      <x:c r="FC730" s="4"/>
      <x:c r="FD730" s="4"/>
      <x:c r="FE730" s="4"/>
      <x:c r="FF730" s="4"/>
      <x:c r="FG730" s="4"/>
      <x:c r="FH730" s="4"/>
      <x:c r="FI730" s="4"/>
      <x:c r="FJ730" s="4"/>
      <x:c r="FK730" s="4"/>
      <x:c r="FL730" s="4"/>
      <x:c r="FM730" s="4"/>
      <x:c r="FN730" s="4"/>
      <x:c r="FO730" s="4"/>
      <x:c r="JA730" t="n">
        <x:f>IF(OR(IFERROR(INDIRECT("'WCM Calibration Final'!$A$730")&lt;&gt;"",FALSE),IFERROR(INDIRECT("'WCM Calibration Final'!$B$730")&lt;&gt;"",FALSE),IFERROR(INDIRECT("'WCM Calibration Final'!$C$730")&lt;&gt;"",FALSE)),730,0)</x:f>
        <x:v>0</x:v>
      </x:c>
      <x:c r="JB730" t="n">
        <x:f>'Calculations'!JB729+IF('Calculations'!JA730&gt;0,1,0)</x:f>
        <x:v>0</x:v>
      </x:c>
    </x:row>
    <x:row r="731">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4"/>
      <x:c r="DQ731" s="4"/>
      <x:c r="DR731" s="4"/>
      <x:c r="DS731" s="4"/>
      <x:c r="DT731" s="4"/>
      <x:c r="DU731" s="4"/>
      <x:c r="DV731" s="4"/>
      <x:c r="DW731" s="4"/>
      <x:c r="DX731" s="4"/>
      <x:c r="DY731" s="4"/>
      <x:c r="DZ731" s="4"/>
      <x:c r="EA731" s="4"/>
      <x:c r="EB731" s="4"/>
      <x:c r="EC731" s="4"/>
      <x:c r="ED731" s="4"/>
      <x:c r="EE731" s="4"/>
      <x:c r="EF731" s="4"/>
      <x:c r="EG731" s="4"/>
      <x:c r="EH731" s="4"/>
      <x:c r="EI731" s="4"/>
      <x:c r="EJ731" s="4"/>
      <x:c r="EK731" s="4"/>
      <x:c r="EL731" s="4"/>
      <x:c r="EM731" s="4"/>
      <x:c r="EN731" s="4"/>
      <x:c r="EO731" s="4"/>
      <x:c r="EP731" s="4"/>
      <x:c r="EQ731" s="4"/>
      <x:c r="ER731" s="4"/>
      <x:c r="ES731" s="4"/>
      <x:c r="ET731" s="4"/>
      <x:c r="EU731" s="4"/>
      <x:c r="EV731" s="4"/>
      <x:c r="EW731" s="4"/>
      <x:c r="EX731" s="4"/>
      <x:c r="EY731" s="4"/>
      <x:c r="EZ731" s="4"/>
      <x:c r="FA731" s="4"/>
      <x:c r="FB731" s="4"/>
      <x:c r="FC731" s="4"/>
      <x:c r="FD731" s="4"/>
      <x:c r="FE731" s="4"/>
      <x:c r="FF731" s="4"/>
      <x:c r="FG731" s="4"/>
      <x:c r="FH731" s="4"/>
      <x:c r="FI731" s="4"/>
      <x:c r="FJ731" s="4"/>
      <x:c r="FK731" s="4"/>
      <x:c r="FL731" s="4"/>
      <x:c r="FM731" s="4"/>
      <x:c r="FN731" s="4"/>
      <x:c r="FO731" s="4"/>
      <x:c r="JA731" t="n">
        <x:f>IF(OR(IFERROR(INDIRECT("'WCM Calibration Final'!$A$731")&lt;&gt;"",FALSE),IFERROR(INDIRECT("'WCM Calibration Final'!$B$731")&lt;&gt;"",FALSE),IFERROR(INDIRECT("'WCM Calibration Final'!$C$731")&lt;&gt;"",FALSE)),731,0)</x:f>
        <x:v>0</x:v>
      </x:c>
      <x:c r="JB731" t="n">
        <x:f>'Calculations'!JB730+IF('Calculations'!JA731&gt;0,1,0)</x:f>
        <x:v>0</x:v>
      </x:c>
    </x:row>
    <x:row r="732">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4"/>
      <x:c r="DQ732" s="4"/>
      <x:c r="DR732" s="4"/>
      <x:c r="DS732" s="4"/>
      <x:c r="DT732" s="4"/>
      <x:c r="DU732" s="4"/>
      <x:c r="DV732" s="4"/>
      <x:c r="DW732" s="4"/>
      <x:c r="DX732" s="4"/>
      <x:c r="DY732" s="4"/>
      <x:c r="DZ732" s="4"/>
      <x:c r="EA732" s="4"/>
      <x:c r="EB732" s="4"/>
      <x:c r="EC732" s="4"/>
      <x:c r="ED732" s="4"/>
      <x:c r="EE732" s="4"/>
      <x:c r="EF732" s="4"/>
      <x:c r="EG732" s="4"/>
      <x:c r="EH732" s="4"/>
      <x:c r="EI732" s="4"/>
      <x:c r="EJ732" s="4"/>
      <x:c r="EK732" s="4"/>
      <x:c r="EL732" s="4"/>
      <x:c r="EM732" s="4"/>
      <x:c r="EN732" s="4"/>
      <x:c r="EO732" s="4"/>
      <x:c r="EP732" s="4"/>
      <x:c r="EQ732" s="4"/>
      <x:c r="ER732" s="4"/>
      <x:c r="ES732" s="4"/>
      <x:c r="ET732" s="4"/>
      <x:c r="EU732" s="4"/>
      <x:c r="EV732" s="4"/>
      <x:c r="EW732" s="4"/>
      <x:c r="EX732" s="4"/>
      <x:c r="EY732" s="4"/>
      <x:c r="EZ732" s="4"/>
      <x:c r="FA732" s="4"/>
      <x:c r="FB732" s="4"/>
      <x:c r="FC732" s="4"/>
      <x:c r="FD732" s="4"/>
      <x:c r="FE732" s="4"/>
      <x:c r="FF732" s="4"/>
      <x:c r="FG732" s="4"/>
      <x:c r="FH732" s="4"/>
      <x:c r="FI732" s="4"/>
      <x:c r="FJ732" s="4"/>
      <x:c r="FK732" s="4"/>
      <x:c r="FL732" s="4"/>
      <x:c r="FM732" s="4"/>
      <x:c r="FN732" s="4"/>
      <x:c r="FO732" s="4"/>
      <x:c r="JA732" t="n">
        <x:f>IF(OR(IFERROR(INDIRECT("'WCM Calibration Final'!$A$732")&lt;&gt;"",FALSE),IFERROR(INDIRECT("'WCM Calibration Final'!$B$732")&lt;&gt;"",FALSE),IFERROR(INDIRECT("'WCM Calibration Final'!$C$732")&lt;&gt;"",FALSE)),732,0)</x:f>
        <x:v>0</x:v>
      </x:c>
      <x:c r="JB732" t="n">
        <x:f>'Calculations'!JB731+IF('Calculations'!JA732&gt;0,1,0)</x:f>
        <x:v>0</x:v>
      </x:c>
    </x:row>
    <x:row r="733">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4"/>
      <x:c r="DQ733" s="4"/>
      <x:c r="DR733" s="4"/>
      <x:c r="DS733" s="4"/>
      <x:c r="DT733" s="4"/>
      <x:c r="DU733" s="4"/>
      <x:c r="DV733" s="4"/>
      <x:c r="DW733" s="4"/>
      <x:c r="DX733" s="4"/>
      <x:c r="DY733" s="4"/>
      <x:c r="DZ733" s="4"/>
      <x:c r="EA733" s="4"/>
      <x:c r="EB733" s="4"/>
      <x:c r="EC733" s="4"/>
      <x:c r="ED733" s="4"/>
      <x:c r="EE733" s="4"/>
      <x:c r="EF733" s="4"/>
      <x:c r="EG733" s="4"/>
      <x:c r="EH733" s="4"/>
      <x:c r="EI733" s="4"/>
      <x:c r="EJ733" s="4"/>
      <x:c r="EK733" s="4"/>
      <x:c r="EL733" s="4"/>
      <x:c r="EM733" s="4"/>
      <x:c r="EN733" s="4"/>
      <x:c r="EO733" s="4"/>
      <x:c r="EP733" s="4"/>
      <x:c r="EQ733" s="4"/>
      <x:c r="ER733" s="4"/>
      <x:c r="ES733" s="4"/>
      <x:c r="ET733" s="4"/>
      <x:c r="EU733" s="4"/>
      <x:c r="EV733" s="4"/>
      <x:c r="EW733" s="4"/>
      <x:c r="EX733" s="4"/>
      <x:c r="EY733" s="4"/>
      <x:c r="EZ733" s="4"/>
      <x:c r="FA733" s="4"/>
      <x:c r="FB733" s="4"/>
      <x:c r="FC733" s="4"/>
      <x:c r="FD733" s="4"/>
      <x:c r="FE733" s="4"/>
      <x:c r="FF733" s="4"/>
      <x:c r="FG733" s="4"/>
      <x:c r="FH733" s="4"/>
      <x:c r="FI733" s="4"/>
      <x:c r="FJ733" s="4"/>
      <x:c r="FK733" s="4"/>
      <x:c r="FL733" s="4"/>
      <x:c r="FM733" s="4"/>
      <x:c r="FN733" s="4"/>
      <x:c r="FO733" s="4"/>
      <x:c r="JA733" t="n">
        <x:f>IF(OR(IFERROR(INDIRECT("'WCM Calibration Final'!$A$733")&lt;&gt;"",FALSE),IFERROR(INDIRECT("'WCM Calibration Final'!$B$733")&lt;&gt;"",FALSE),IFERROR(INDIRECT("'WCM Calibration Final'!$C$733")&lt;&gt;"",FALSE)),733,0)</x:f>
        <x:v>0</x:v>
      </x:c>
      <x:c r="JB733" t="n">
        <x:f>'Calculations'!JB732+IF('Calculations'!JA733&gt;0,1,0)</x:f>
        <x:v>0</x:v>
      </x:c>
    </x:row>
    <x:row r="734">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4"/>
      <x:c r="DQ734" s="4"/>
      <x:c r="DR734" s="4"/>
      <x:c r="DS734" s="4"/>
      <x:c r="DT734" s="4"/>
      <x:c r="DU734" s="4"/>
      <x:c r="DV734" s="4"/>
      <x:c r="DW734" s="4"/>
      <x:c r="DX734" s="4"/>
      <x:c r="DY734" s="4"/>
      <x:c r="DZ734" s="4"/>
      <x:c r="EA734" s="4"/>
      <x:c r="EB734" s="4"/>
      <x:c r="EC734" s="4"/>
      <x:c r="ED734" s="4"/>
      <x:c r="EE734" s="4"/>
      <x:c r="EF734" s="4"/>
      <x:c r="EG734" s="4"/>
      <x:c r="EH734" s="4"/>
      <x:c r="EI734" s="4"/>
      <x:c r="EJ734" s="4"/>
      <x:c r="EK734" s="4"/>
      <x:c r="EL734" s="4"/>
      <x:c r="EM734" s="4"/>
      <x:c r="EN734" s="4"/>
      <x:c r="EO734" s="4"/>
      <x:c r="EP734" s="4"/>
      <x:c r="EQ734" s="4"/>
      <x:c r="ER734" s="4"/>
      <x:c r="ES734" s="4"/>
      <x:c r="ET734" s="4"/>
      <x:c r="EU734" s="4"/>
      <x:c r="EV734" s="4"/>
      <x:c r="EW734" s="4"/>
      <x:c r="EX734" s="4"/>
      <x:c r="EY734" s="4"/>
      <x:c r="EZ734" s="4"/>
      <x:c r="FA734" s="4"/>
      <x:c r="FB734" s="4"/>
      <x:c r="FC734" s="4"/>
      <x:c r="FD734" s="4"/>
      <x:c r="FE734" s="4"/>
      <x:c r="FF734" s="4"/>
      <x:c r="FG734" s="4"/>
      <x:c r="FH734" s="4"/>
      <x:c r="FI734" s="4"/>
      <x:c r="FJ734" s="4"/>
      <x:c r="FK734" s="4"/>
      <x:c r="FL734" s="4"/>
      <x:c r="FM734" s="4"/>
      <x:c r="FN734" s="4"/>
      <x:c r="FO734" s="4"/>
      <x:c r="JA734" t="n">
        <x:f>IF(OR(IFERROR(INDIRECT("'WCM Calibration Final'!$A$734")&lt;&gt;"",FALSE),IFERROR(INDIRECT("'WCM Calibration Final'!$B$734")&lt;&gt;"",FALSE),IFERROR(INDIRECT("'WCM Calibration Final'!$C$734")&lt;&gt;"",FALSE)),734,0)</x:f>
        <x:v>0</x:v>
      </x:c>
      <x:c r="JB734" t="n">
        <x:f>'Calculations'!JB733+IF('Calculations'!JA734&gt;0,1,0)</x:f>
        <x:v>0</x:v>
      </x:c>
    </x:row>
    <x:row r="735">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4"/>
      <x:c r="DQ735" s="4"/>
      <x:c r="DR735" s="4"/>
      <x:c r="DS735" s="4"/>
      <x:c r="DT735" s="4"/>
      <x:c r="DU735" s="4"/>
      <x:c r="DV735" s="4"/>
      <x:c r="DW735" s="4"/>
      <x:c r="DX735" s="4"/>
      <x:c r="DY735" s="4"/>
      <x:c r="DZ735" s="4"/>
      <x:c r="EA735" s="4"/>
      <x:c r="EB735" s="4"/>
      <x:c r="EC735" s="4"/>
      <x:c r="ED735" s="4"/>
      <x:c r="EE735" s="4"/>
      <x:c r="EF735" s="4"/>
      <x:c r="EG735" s="4"/>
      <x:c r="EH735" s="4"/>
      <x:c r="EI735" s="4"/>
      <x:c r="EJ735" s="4"/>
      <x:c r="EK735" s="4"/>
      <x:c r="EL735" s="4"/>
      <x:c r="EM735" s="4"/>
      <x:c r="EN735" s="4"/>
      <x:c r="EO735" s="4"/>
      <x:c r="EP735" s="4"/>
      <x:c r="EQ735" s="4"/>
      <x:c r="ER735" s="4"/>
      <x:c r="ES735" s="4"/>
      <x:c r="ET735" s="4"/>
      <x:c r="EU735" s="4"/>
      <x:c r="EV735" s="4"/>
      <x:c r="EW735" s="4"/>
      <x:c r="EX735" s="4"/>
      <x:c r="EY735" s="4"/>
      <x:c r="EZ735" s="4"/>
      <x:c r="FA735" s="4"/>
      <x:c r="FB735" s="4"/>
      <x:c r="FC735" s="4"/>
      <x:c r="FD735" s="4"/>
      <x:c r="FE735" s="4"/>
      <x:c r="FF735" s="4"/>
      <x:c r="FG735" s="4"/>
      <x:c r="FH735" s="4"/>
      <x:c r="FI735" s="4"/>
      <x:c r="FJ735" s="4"/>
      <x:c r="FK735" s="4"/>
      <x:c r="FL735" s="4"/>
      <x:c r="FM735" s="4"/>
      <x:c r="FN735" s="4"/>
      <x:c r="FO735" s="4"/>
      <x:c r="JA735" t="n">
        <x:f>IF(OR(IFERROR(INDIRECT("'WCM Calibration Final'!$A$735")&lt;&gt;"",FALSE),IFERROR(INDIRECT("'WCM Calibration Final'!$B$735")&lt;&gt;"",FALSE),IFERROR(INDIRECT("'WCM Calibration Final'!$C$735")&lt;&gt;"",FALSE)),735,0)</x:f>
        <x:v>0</x:v>
      </x:c>
      <x:c r="JB735" t="n">
        <x:f>'Calculations'!JB734+IF('Calculations'!JA735&gt;0,1,0)</x:f>
        <x:v>0</x:v>
      </x:c>
    </x:row>
    <x:row r="736">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4"/>
      <x:c r="DQ736" s="4"/>
      <x:c r="DR736" s="4"/>
      <x:c r="DS736" s="4"/>
      <x:c r="DT736" s="4"/>
      <x:c r="DU736" s="4"/>
      <x:c r="DV736" s="4"/>
      <x:c r="DW736" s="4"/>
      <x:c r="DX736" s="4"/>
      <x:c r="DY736" s="4"/>
      <x:c r="DZ736" s="4"/>
      <x:c r="EA736" s="4"/>
      <x:c r="EB736" s="4"/>
      <x:c r="EC736" s="4"/>
      <x:c r="ED736" s="4"/>
      <x:c r="EE736" s="4"/>
      <x:c r="EF736" s="4"/>
      <x:c r="EG736" s="4"/>
      <x:c r="EH736" s="4"/>
      <x:c r="EI736" s="4"/>
      <x:c r="EJ736" s="4"/>
      <x:c r="EK736" s="4"/>
      <x:c r="EL736" s="4"/>
      <x:c r="EM736" s="4"/>
      <x:c r="EN736" s="4"/>
      <x:c r="EO736" s="4"/>
      <x:c r="EP736" s="4"/>
      <x:c r="EQ736" s="4"/>
      <x:c r="ER736" s="4"/>
      <x:c r="ES736" s="4"/>
      <x:c r="ET736" s="4"/>
      <x:c r="EU736" s="4"/>
      <x:c r="EV736" s="4"/>
      <x:c r="EW736" s="4"/>
      <x:c r="EX736" s="4"/>
      <x:c r="EY736" s="4"/>
      <x:c r="EZ736" s="4"/>
      <x:c r="FA736" s="4"/>
      <x:c r="FB736" s="4"/>
      <x:c r="FC736" s="4"/>
      <x:c r="FD736" s="4"/>
      <x:c r="FE736" s="4"/>
      <x:c r="FF736" s="4"/>
      <x:c r="FG736" s="4"/>
      <x:c r="FH736" s="4"/>
      <x:c r="FI736" s="4"/>
      <x:c r="FJ736" s="4"/>
      <x:c r="FK736" s="4"/>
      <x:c r="FL736" s="4"/>
      <x:c r="FM736" s="4"/>
      <x:c r="FN736" s="4"/>
      <x:c r="FO736" s="4"/>
      <x:c r="JA736" t="n">
        <x:f>IF(OR(IFERROR(INDIRECT("'WCM Calibration Final'!$A$736")&lt;&gt;"",FALSE),IFERROR(INDIRECT("'WCM Calibration Final'!$B$736")&lt;&gt;"",FALSE),IFERROR(INDIRECT("'WCM Calibration Final'!$C$736")&lt;&gt;"",FALSE)),736,0)</x:f>
        <x:v>0</x:v>
      </x:c>
      <x:c r="JB736" t="n">
        <x:f>'Calculations'!JB735+IF('Calculations'!JA736&gt;0,1,0)</x:f>
        <x:v>0</x:v>
      </x:c>
    </x:row>
    <x:row r="737">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4"/>
      <x:c r="DQ737" s="4"/>
      <x:c r="DR737" s="4"/>
      <x:c r="DS737" s="4"/>
      <x:c r="DT737" s="4"/>
      <x:c r="DU737" s="4"/>
      <x:c r="DV737" s="4"/>
      <x:c r="DW737" s="4"/>
      <x:c r="DX737" s="4"/>
      <x:c r="DY737" s="4"/>
      <x:c r="DZ737" s="4"/>
      <x:c r="EA737" s="4"/>
      <x:c r="EB737" s="4"/>
      <x:c r="EC737" s="4"/>
      <x:c r="ED737" s="4"/>
      <x:c r="EE737" s="4"/>
      <x:c r="EF737" s="4"/>
      <x:c r="EG737" s="4"/>
      <x:c r="EH737" s="4"/>
      <x:c r="EI737" s="4"/>
      <x:c r="EJ737" s="4"/>
      <x:c r="EK737" s="4"/>
      <x:c r="EL737" s="4"/>
      <x:c r="EM737" s="4"/>
      <x:c r="EN737" s="4"/>
      <x:c r="EO737" s="4"/>
      <x:c r="EP737" s="4"/>
      <x:c r="EQ737" s="4"/>
      <x:c r="ER737" s="4"/>
      <x:c r="ES737" s="4"/>
      <x:c r="ET737" s="4"/>
      <x:c r="EU737" s="4"/>
      <x:c r="EV737" s="4"/>
      <x:c r="EW737" s="4"/>
      <x:c r="EX737" s="4"/>
      <x:c r="EY737" s="4"/>
      <x:c r="EZ737" s="4"/>
      <x:c r="FA737" s="4"/>
      <x:c r="FB737" s="4"/>
      <x:c r="FC737" s="4"/>
      <x:c r="FD737" s="4"/>
      <x:c r="FE737" s="4"/>
      <x:c r="FF737" s="4"/>
      <x:c r="FG737" s="4"/>
      <x:c r="FH737" s="4"/>
      <x:c r="FI737" s="4"/>
      <x:c r="FJ737" s="4"/>
      <x:c r="FK737" s="4"/>
      <x:c r="FL737" s="4"/>
      <x:c r="FM737" s="4"/>
      <x:c r="FN737" s="4"/>
      <x:c r="FO737" s="4"/>
      <x:c r="JA737" t="n">
        <x:f>IF(OR(IFERROR(INDIRECT("'WCM Calibration Final'!$A$737")&lt;&gt;"",FALSE),IFERROR(INDIRECT("'WCM Calibration Final'!$B$737")&lt;&gt;"",FALSE),IFERROR(INDIRECT("'WCM Calibration Final'!$C$737")&lt;&gt;"",FALSE)),737,0)</x:f>
        <x:v>0</x:v>
      </x:c>
      <x:c r="JB737" t="n">
        <x:f>'Calculations'!JB736+IF('Calculations'!JA737&gt;0,1,0)</x:f>
        <x:v>0</x:v>
      </x:c>
    </x:row>
    <x:row r="738">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4"/>
      <x:c r="DQ738" s="4"/>
      <x:c r="DR738" s="4"/>
      <x:c r="DS738" s="4"/>
      <x:c r="DT738" s="4"/>
      <x:c r="DU738" s="4"/>
      <x:c r="DV738" s="4"/>
      <x:c r="DW738" s="4"/>
      <x:c r="DX738" s="4"/>
      <x:c r="DY738" s="4"/>
      <x:c r="DZ738" s="4"/>
      <x:c r="EA738" s="4"/>
      <x:c r="EB738" s="4"/>
      <x:c r="EC738" s="4"/>
      <x:c r="ED738" s="4"/>
      <x:c r="EE738" s="4"/>
      <x:c r="EF738" s="4"/>
      <x:c r="EG738" s="4"/>
      <x:c r="EH738" s="4"/>
      <x:c r="EI738" s="4"/>
      <x:c r="EJ738" s="4"/>
      <x:c r="EK738" s="4"/>
      <x:c r="EL738" s="4"/>
      <x:c r="EM738" s="4"/>
      <x:c r="EN738" s="4"/>
      <x:c r="EO738" s="4"/>
      <x:c r="EP738" s="4"/>
      <x:c r="EQ738" s="4"/>
      <x:c r="ER738" s="4"/>
      <x:c r="ES738" s="4"/>
      <x:c r="ET738" s="4"/>
      <x:c r="EU738" s="4"/>
      <x:c r="EV738" s="4"/>
      <x:c r="EW738" s="4"/>
      <x:c r="EX738" s="4"/>
      <x:c r="EY738" s="4"/>
      <x:c r="EZ738" s="4"/>
      <x:c r="FA738" s="4"/>
      <x:c r="FB738" s="4"/>
      <x:c r="FC738" s="4"/>
      <x:c r="FD738" s="4"/>
      <x:c r="FE738" s="4"/>
      <x:c r="FF738" s="4"/>
      <x:c r="FG738" s="4"/>
      <x:c r="FH738" s="4"/>
      <x:c r="FI738" s="4"/>
      <x:c r="FJ738" s="4"/>
      <x:c r="FK738" s="4"/>
      <x:c r="FL738" s="4"/>
      <x:c r="FM738" s="4"/>
      <x:c r="FN738" s="4"/>
      <x:c r="FO738" s="4"/>
      <x:c r="JA738" t="n">
        <x:f>IF(OR(IFERROR(INDIRECT("'WCM Calibration Final'!$A$738")&lt;&gt;"",FALSE),IFERROR(INDIRECT("'WCM Calibration Final'!$B$738")&lt;&gt;"",FALSE),IFERROR(INDIRECT("'WCM Calibration Final'!$C$738")&lt;&gt;"",FALSE)),738,0)</x:f>
        <x:v>0</x:v>
      </x:c>
      <x:c r="JB738" t="n">
        <x:f>'Calculations'!JB737+IF('Calculations'!JA738&gt;0,1,0)</x:f>
        <x:v>0</x:v>
      </x:c>
    </x:row>
    <x:row r="739">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4"/>
      <x:c r="DQ739" s="4"/>
      <x:c r="DR739" s="4"/>
      <x:c r="DS739" s="4"/>
      <x:c r="DT739" s="4"/>
      <x:c r="DU739" s="4"/>
      <x:c r="DV739" s="4"/>
      <x:c r="DW739" s="4"/>
      <x:c r="DX739" s="4"/>
      <x:c r="DY739" s="4"/>
      <x:c r="DZ739" s="4"/>
      <x:c r="EA739" s="4"/>
      <x:c r="EB739" s="4"/>
      <x:c r="EC739" s="4"/>
      <x:c r="ED739" s="4"/>
      <x:c r="EE739" s="4"/>
      <x:c r="EF739" s="4"/>
      <x:c r="EG739" s="4"/>
      <x:c r="EH739" s="4"/>
      <x:c r="EI739" s="4"/>
      <x:c r="EJ739" s="4"/>
      <x:c r="EK739" s="4"/>
      <x:c r="EL739" s="4"/>
      <x:c r="EM739" s="4"/>
      <x:c r="EN739" s="4"/>
      <x:c r="EO739" s="4"/>
      <x:c r="EP739" s="4"/>
      <x:c r="EQ739" s="4"/>
      <x:c r="ER739" s="4"/>
      <x:c r="ES739" s="4"/>
      <x:c r="ET739" s="4"/>
      <x:c r="EU739" s="4"/>
      <x:c r="EV739" s="4"/>
      <x:c r="EW739" s="4"/>
      <x:c r="EX739" s="4"/>
      <x:c r="EY739" s="4"/>
      <x:c r="EZ739" s="4"/>
      <x:c r="FA739" s="4"/>
      <x:c r="FB739" s="4"/>
      <x:c r="FC739" s="4"/>
      <x:c r="FD739" s="4"/>
      <x:c r="FE739" s="4"/>
      <x:c r="FF739" s="4"/>
      <x:c r="FG739" s="4"/>
      <x:c r="FH739" s="4"/>
      <x:c r="FI739" s="4"/>
      <x:c r="FJ739" s="4"/>
      <x:c r="FK739" s="4"/>
      <x:c r="FL739" s="4"/>
      <x:c r="FM739" s="4"/>
      <x:c r="FN739" s="4"/>
      <x:c r="FO739" s="4"/>
      <x:c r="JA739" t="n">
        <x:f>IF(OR(IFERROR(INDIRECT("'WCM Calibration Final'!$A$739")&lt;&gt;"",FALSE),IFERROR(INDIRECT("'WCM Calibration Final'!$B$739")&lt;&gt;"",FALSE),IFERROR(INDIRECT("'WCM Calibration Final'!$C$739")&lt;&gt;"",FALSE)),739,0)</x:f>
        <x:v>0</x:v>
      </x:c>
      <x:c r="JB739" t="n">
        <x:f>'Calculations'!JB738+IF('Calculations'!JA739&gt;0,1,0)</x:f>
        <x:v>0</x:v>
      </x:c>
    </x:row>
    <x:row r="740">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4"/>
      <x:c r="DQ740" s="4"/>
      <x:c r="DR740" s="4"/>
      <x:c r="DS740" s="4"/>
      <x:c r="DT740" s="4"/>
      <x:c r="DU740" s="4"/>
      <x:c r="DV740" s="4"/>
      <x:c r="DW740" s="4"/>
      <x:c r="DX740" s="4"/>
      <x:c r="DY740" s="4"/>
      <x:c r="DZ740" s="4"/>
      <x:c r="EA740" s="4"/>
      <x:c r="EB740" s="4"/>
      <x:c r="EC740" s="4"/>
      <x:c r="ED740" s="4"/>
      <x:c r="EE740" s="4"/>
      <x:c r="EF740" s="4"/>
      <x:c r="EG740" s="4"/>
      <x:c r="EH740" s="4"/>
      <x:c r="EI740" s="4"/>
      <x:c r="EJ740" s="4"/>
      <x:c r="EK740" s="4"/>
      <x:c r="EL740" s="4"/>
      <x:c r="EM740" s="4"/>
      <x:c r="EN740" s="4"/>
      <x:c r="EO740" s="4"/>
      <x:c r="EP740" s="4"/>
      <x:c r="EQ740" s="4"/>
      <x:c r="ER740" s="4"/>
      <x:c r="ES740" s="4"/>
      <x:c r="ET740" s="4"/>
      <x:c r="EU740" s="4"/>
      <x:c r="EV740" s="4"/>
      <x:c r="EW740" s="4"/>
      <x:c r="EX740" s="4"/>
      <x:c r="EY740" s="4"/>
      <x:c r="EZ740" s="4"/>
      <x:c r="FA740" s="4"/>
      <x:c r="FB740" s="4"/>
      <x:c r="FC740" s="4"/>
      <x:c r="FD740" s="4"/>
      <x:c r="FE740" s="4"/>
      <x:c r="FF740" s="4"/>
      <x:c r="FG740" s="4"/>
      <x:c r="FH740" s="4"/>
      <x:c r="FI740" s="4"/>
      <x:c r="FJ740" s="4"/>
      <x:c r="FK740" s="4"/>
      <x:c r="FL740" s="4"/>
      <x:c r="FM740" s="4"/>
      <x:c r="FN740" s="4"/>
      <x:c r="FO740" s="4"/>
      <x:c r="JA740" t="n">
        <x:f>IF(OR(IFERROR(INDIRECT("'WCM Calibration Final'!$A$740")&lt;&gt;"",FALSE),IFERROR(INDIRECT("'WCM Calibration Final'!$B$740")&lt;&gt;"",FALSE),IFERROR(INDIRECT("'WCM Calibration Final'!$C$740")&lt;&gt;"",FALSE)),740,0)</x:f>
        <x:v>0</x:v>
      </x:c>
      <x:c r="JB740" t="n">
        <x:f>'Calculations'!JB739+IF('Calculations'!JA740&gt;0,1,0)</x:f>
        <x:v>0</x:v>
      </x:c>
    </x:row>
    <x:row r="741">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4"/>
      <x:c r="DQ741" s="4"/>
      <x:c r="DR741" s="4"/>
      <x:c r="DS741" s="4"/>
      <x:c r="DT741" s="4"/>
      <x:c r="DU741" s="4"/>
      <x:c r="DV741" s="4"/>
      <x:c r="DW741" s="4"/>
      <x:c r="DX741" s="4"/>
      <x:c r="DY741" s="4"/>
      <x:c r="DZ741" s="4"/>
      <x:c r="EA741" s="4"/>
      <x:c r="EB741" s="4"/>
      <x:c r="EC741" s="4"/>
      <x:c r="ED741" s="4"/>
      <x:c r="EE741" s="4"/>
      <x:c r="EF741" s="4"/>
      <x:c r="EG741" s="4"/>
      <x:c r="EH741" s="4"/>
      <x:c r="EI741" s="4"/>
      <x:c r="EJ741" s="4"/>
      <x:c r="EK741" s="4"/>
      <x:c r="EL741" s="4"/>
      <x:c r="EM741" s="4"/>
      <x:c r="EN741" s="4"/>
      <x:c r="EO741" s="4"/>
      <x:c r="EP741" s="4"/>
      <x:c r="EQ741" s="4"/>
      <x:c r="ER741" s="4"/>
      <x:c r="ES741" s="4"/>
      <x:c r="ET741" s="4"/>
      <x:c r="EU741" s="4"/>
      <x:c r="EV741" s="4"/>
      <x:c r="EW741" s="4"/>
      <x:c r="EX741" s="4"/>
      <x:c r="EY741" s="4"/>
      <x:c r="EZ741" s="4"/>
      <x:c r="FA741" s="4"/>
      <x:c r="FB741" s="4"/>
      <x:c r="FC741" s="4"/>
      <x:c r="FD741" s="4"/>
      <x:c r="FE741" s="4"/>
      <x:c r="FF741" s="4"/>
      <x:c r="FG741" s="4"/>
      <x:c r="FH741" s="4"/>
      <x:c r="FI741" s="4"/>
      <x:c r="FJ741" s="4"/>
      <x:c r="FK741" s="4"/>
      <x:c r="FL741" s="4"/>
      <x:c r="FM741" s="4"/>
      <x:c r="FN741" s="4"/>
      <x:c r="FO741" s="4"/>
      <x:c r="JA741" t="n">
        <x:f>IF(OR(IFERROR(INDIRECT("'WCM Calibration Final'!$A$741")&lt;&gt;"",FALSE),IFERROR(INDIRECT("'WCM Calibration Final'!$B$741")&lt;&gt;"",FALSE),IFERROR(INDIRECT("'WCM Calibration Final'!$C$741")&lt;&gt;"",FALSE)),741,0)</x:f>
        <x:v>0</x:v>
      </x:c>
      <x:c r="JB741" t="n">
        <x:f>'Calculations'!JB740+IF('Calculations'!JA741&gt;0,1,0)</x:f>
        <x:v>0</x:v>
      </x:c>
    </x:row>
    <x:row r="742">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4"/>
      <x:c r="DQ742" s="4"/>
      <x:c r="DR742" s="4"/>
      <x:c r="DS742" s="4"/>
      <x:c r="DT742" s="4"/>
      <x:c r="DU742" s="4"/>
      <x:c r="DV742" s="4"/>
      <x:c r="DW742" s="4"/>
      <x:c r="DX742" s="4"/>
      <x:c r="DY742" s="4"/>
      <x:c r="DZ742" s="4"/>
      <x:c r="EA742" s="4"/>
      <x:c r="EB742" s="4"/>
      <x:c r="EC742" s="4"/>
      <x:c r="ED742" s="4"/>
      <x:c r="EE742" s="4"/>
      <x:c r="EF742" s="4"/>
      <x:c r="EG742" s="4"/>
      <x:c r="EH742" s="4"/>
      <x:c r="EI742" s="4"/>
      <x:c r="EJ742" s="4"/>
      <x:c r="EK742" s="4"/>
      <x:c r="EL742" s="4"/>
      <x:c r="EM742" s="4"/>
      <x:c r="EN742" s="4"/>
      <x:c r="EO742" s="4"/>
      <x:c r="EP742" s="4"/>
      <x:c r="EQ742" s="4"/>
      <x:c r="ER742" s="4"/>
      <x:c r="ES742" s="4"/>
      <x:c r="ET742" s="4"/>
      <x:c r="EU742" s="4"/>
      <x:c r="EV742" s="4"/>
      <x:c r="EW742" s="4"/>
      <x:c r="EX742" s="4"/>
      <x:c r="EY742" s="4"/>
      <x:c r="EZ742" s="4"/>
      <x:c r="FA742" s="4"/>
      <x:c r="FB742" s="4"/>
      <x:c r="FC742" s="4"/>
      <x:c r="FD742" s="4"/>
      <x:c r="FE742" s="4"/>
      <x:c r="FF742" s="4"/>
      <x:c r="FG742" s="4"/>
      <x:c r="FH742" s="4"/>
      <x:c r="FI742" s="4"/>
      <x:c r="FJ742" s="4"/>
      <x:c r="FK742" s="4"/>
      <x:c r="FL742" s="4"/>
      <x:c r="FM742" s="4"/>
      <x:c r="FN742" s="4"/>
      <x:c r="FO742" s="4"/>
      <x:c r="JA742" t="n">
        <x:f>IF(OR(IFERROR(INDIRECT("'WCM Calibration Final'!$A$742")&lt;&gt;"",FALSE),IFERROR(INDIRECT("'WCM Calibration Final'!$B$742")&lt;&gt;"",FALSE),IFERROR(INDIRECT("'WCM Calibration Final'!$C$742")&lt;&gt;"",FALSE)),742,0)</x:f>
        <x:v>0</x:v>
      </x:c>
      <x:c r="JB742" t="n">
        <x:f>'Calculations'!JB741+IF('Calculations'!JA742&gt;0,1,0)</x:f>
        <x:v>0</x:v>
      </x:c>
    </x:row>
    <x:row r="743">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4"/>
      <x:c r="DQ743" s="4"/>
      <x:c r="DR743" s="4"/>
      <x:c r="DS743" s="4"/>
      <x:c r="DT743" s="4"/>
      <x:c r="DU743" s="4"/>
      <x:c r="DV743" s="4"/>
      <x:c r="DW743" s="4"/>
      <x:c r="DX743" s="4"/>
      <x:c r="DY743" s="4"/>
      <x:c r="DZ743" s="4"/>
      <x:c r="EA743" s="4"/>
      <x:c r="EB743" s="4"/>
      <x:c r="EC743" s="4"/>
      <x:c r="ED743" s="4"/>
      <x:c r="EE743" s="4"/>
      <x:c r="EF743" s="4"/>
      <x:c r="EG743" s="4"/>
      <x:c r="EH743" s="4"/>
      <x:c r="EI743" s="4"/>
      <x:c r="EJ743" s="4"/>
      <x:c r="EK743" s="4"/>
      <x:c r="EL743" s="4"/>
      <x:c r="EM743" s="4"/>
      <x:c r="EN743" s="4"/>
      <x:c r="EO743" s="4"/>
      <x:c r="EP743" s="4"/>
      <x:c r="EQ743" s="4"/>
      <x:c r="ER743" s="4"/>
      <x:c r="ES743" s="4"/>
      <x:c r="ET743" s="4"/>
      <x:c r="EU743" s="4"/>
      <x:c r="EV743" s="4"/>
      <x:c r="EW743" s="4"/>
      <x:c r="EX743" s="4"/>
      <x:c r="EY743" s="4"/>
      <x:c r="EZ743" s="4"/>
      <x:c r="FA743" s="4"/>
      <x:c r="FB743" s="4"/>
      <x:c r="FC743" s="4"/>
      <x:c r="FD743" s="4"/>
      <x:c r="FE743" s="4"/>
      <x:c r="FF743" s="4"/>
      <x:c r="FG743" s="4"/>
      <x:c r="FH743" s="4"/>
      <x:c r="FI743" s="4"/>
      <x:c r="FJ743" s="4"/>
      <x:c r="FK743" s="4"/>
      <x:c r="FL743" s="4"/>
      <x:c r="FM743" s="4"/>
      <x:c r="FN743" s="4"/>
      <x:c r="FO743" s="4"/>
      <x:c r="JA743" t="n">
        <x:f>IF(OR(IFERROR(INDIRECT("'WCM Calibration Final'!$A$743")&lt;&gt;"",FALSE),IFERROR(INDIRECT("'WCM Calibration Final'!$B$743")&lt;&gt;"",FALSE),IFERROR(INDIRECT("'WCM Calibration Final'!$C$743")&lt;&gt;"",FALSE)),743,0)</x:f>
        <x:v>0</x:v>
      </x:c>
      <x:c r="JB743" t="n">
        <x:f>'Calculations'!JB742+IF('Calculations'!JA743&gt;0,1,0)</x:f>
        <x:v>0</x:v>
      </x:c>
    </x:row>
    <x:row r="744">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4"/>
      <x:c r="DQ744" s="4"/>
      <x:c r="DR744" s="4"/>
      <x:c r="DS744" s="4"/>
      <x:c r="DT744" s="4"/>
      <x:c r="DU744" s="4"/>
      <x:c r="DV744" s="4"/>
      <x:c r="DW744" s="4"/>
      <x:c r="DX744" s="4"/>
      <x:c r="DY744" s="4"/>
      <x:c r="DZ744" s="4"/>
      <x:c r="EA744" s="4"/>
      <x:c r="EB744" s="4"/>
      <x:c r="EC744" s="4"/>
      <x:c r="ED744" s="4"/>
      <x:c r="EE744" s="4"/>
      <x:c r="EF744" s="4"/>
      <x:c r="EG744" s="4"/>
      <x:c r="EH744" s="4"/>
      <x:c r="EI744" s="4"/>
      <x:c r="EJ744" s="4"/>
      <x:c r="EK744" s="4"/>
      <x:c r="EL744" s="4"/>
      <x:c r="EM744" s="4"/>
      <x:c r="EN744" s="4"/>
      <x:c r="EO744" s="4"/>
      <x:c r="EP744" s="4"/>
      <x:c r="EQ744" s="4"/>
      <x:c r="ER744" s="4"/>
      <x:c r="ES744" s="4"/>
      <x:c r="ET744" s="4"/>
      <x:c r="EU744" s="4"/>
      <x:c r="EV744" s="4"/>
      <x:c r="EW744" s="4"/>
      <x:c r="EX744" s="4"/>
      <x:c r="EY744" s="4"/>
      <x:c r="EZ744" s="4"/>
      <x:c r="FA744" s="4"/>
      <x:c r="FB744" s="4"/>
      <x:c r="FC744" s="4"/>
      <x:c r="FD744" s="4"/>
      <x:c r="FE744" s="4"/>
      <x:c r="FF744" s="4"/>
      <x:c r="FG744" s="4"/>
      <x:c r="FH744" s="4"/>
      <x:c r="FI744" s="4"/>
      <x:c r="FJ744" s="4"/>
      <x:c r="FK744" s="4"/>
      <x:c r="FL744" s="4"/>
      <x:c r="FM744" s="4"/>
      <x:c r="FN744" s="4"/>
      <x:c r="FO744" s="4"/>
      <x:c r="JA744" t="n">
        <x:f>IF(OR(IFERROR(INDIRECT("'WCM Calibration Final'!$A$744")&lt;&gt;"",FALSE),IFERROR(INDIRECT("'WCM Calibration Final'!$B$744")&lt;&gt;"",FALSE),IFERROR(INDIRECT("'WCM Calibration Final'!$C$744")&lt;&gt;"",FALSE)),744,0)</x:f>
        <x:v>0</x:v>
      </x:c>
      <x:c r="JB744" t="n">
        <x:f>'Calculations'!JB743+IF('Calculations'!JA744&gt;0,1,0)</x:f>
        <x:v>0</x:v>
      </x:c>
    </x:row>
    <x:row r="745">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4"/>
      <x:c r="DQ745" s="4"/>
      <x:c r="DR745" s="4"/>
      <x:c r="DS745" s="4"/>
      <x:c r="DT745" s="4"/>
      <x:c r="DU745" s="4"/>
      <x:c r="DV745" s="4"/>
      <x:c r="DW745" s="4"/>
      <x:c r="DX745" s="4"/>
      <x:c r="DY745" s="4"/>
      <x:c r="DZ745" s="4"/>
      <x:c r="EA745" s="4"/>
      <x:c r="EB745" s="4"/>
      <x:c r="EC745" s="4"/>
      <x:c r="ED745" s="4"/>
      <x:c r="EE745" s="4"/>
      <x:c r="EF745" s="4"/>
      <x:c r="EG745" s="4"/>
      <x:c r="EH745" s="4"/>
      <x:c r="EI745" s="4"/>
      <x:c r="EJ745" s="4"/>
      <x:c r="EK745" s="4"/>
      <x:c r="EL745" s="4"/>
      <x:c r="EM745" s="4"/>
      <x:c r="EN745" s="4"/>
      <x:c r="EO745" s="4"/>
      <x:c r="EP745" s="4"/>
      <x:c r="EQ745" s="4"/>
      <x:c r="ER745" s="4"/>
      <x:c r="ES745" s="4"/>
      <x:c r="ET745" s="4"/>
      <x:c r="EU745" s="4"/>
      <x:c r="EV745" s="4"/>
      <x:c r="EW745" s="4"/>
      <x:c r="EX745" s="4"/>
      <x:c r="EY745" s="4"/>
      <x:c r="EZ745" s="4"/>
      <x:c r="FA745" s="4"/>
      <x:c r="FB745" s="4"/>
      <x:c r="FC745" s="4"/>
      <x:c r="FD745" s="4"/>
      <x:c r="FE745" s="4"/>
      <x:c r="FF745" s="4"/>
      <x:c r="FG745" s="4"/>
      <x:c r="FH745" s="4"/>
      <x:c r="FI745" s="4"/>
      <x:c r="FJ745" s="4"/>
      <x:c r="FK745" s="4"/>
      <x:c r="FL745" s="4"/>
      <x:c r="FM745" s="4"/>
      <x:c r="FN745" s="4"/>
      <x:c r="FO745" s="4"/>
      <x:c r="JA745" t="n">
        <x:f>IF(OR(IFERROR(INDIRECT("'WCM Calibration Final'!$A$745")&lt;&gt;"",FALSE),IFERROR(INDIRECT("'WCM Calibration Final'!$B$745")&lt;&gt;"",FALSE),IFERROR(INDIRECT("'WCM Calibration Final'!$C$745")&lt;&gt;"",FALSE)),745,0)</x:f>
        <x:v>0</x:v>
      </x:c>
      <x:c r="JB745" t="n">
        <x:f>'Calculations'!JB744+IF('Calculations'!JA745&gt;0,1,0)</x:f>
        <x:v>0</x:v>
      </x:c>
    </x:row>
    <x:row r="746">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4"/>
      <x:c r="DQ746" s="4"/>
      <x:c r="DR746" s="4"/>
      <x:c r="DS746" s="4"/>
      <x:c r="DT746" s="4"/>
      <x:c r="DU746" s="4"/>
      <x:c r="DV746" s="4"/>
      <x:c r="DW746" s="4"/>
      <x:c r="DX746" s="4"/>
      <x:c r="DY746" s="4"/>
      <x:c r="DZ746" s="4"/>
      <x:c r="EA746" s="4"/>
      <x:c r="EB746" s="4"/>
      <x:c r="EC746" s="4"/>
      <x:c r="ED746" s="4"/>
      <x:c r="EE746" s="4"/>
      <x:c r="EF746" s="4"/>
      <x:c r="EG746" s="4"/>
      <x:c r="EH746" s="4"/>
      <x:c r="EI746" s="4"/>
      <x:c r="EJ746" s="4"/>
      <x:c r="EK746" s="4"/>
      <x:c r="EL746" s="4"/>
      <x:c r="EM746" s="4"/>
      <x:c r="EN746" s="4"/>
      <x:c r="EO746" s="4"/>
      <x:c r="EP746" s="4"/>
      <x:c r="EQ746" s="4"/>
      <x:c r="ER746" s="4"/>
      <x:c r="ES746" s="4"/>
      <x:c r="ET746" s="4"/>
      <x:c r="EU746" s="4"/>
      <x:c r="EV746" s="4"/>
      <x:c r="EW746" s="4"/>
      <x:c r="EX746" s="4"/>
      <x:c r="EY746" s="4"/>
      <x:c r="EZ746" s="4"/>
      <x:c r="FA746" s="4"/>
      <x:c r="FB746" s="4"/>
      <x:c r="FC746" s="4"/>
      <x:c r="FD746" s="4"/>
      <x:c r="FE746" s="4"/>
      <x:c r="FF746" s="4"/>
      <x:c r="FG746" s="4"/>
      <x:c r="FH746" s="4"/>
      <x:c r="FI746" s="4"/>
      <x:c r="FJ746" s="4"/>
      <x:c r="FK746" s="4"/>
      <x:c r="FL746" s="4"/>
      <x:c r="FM746" s="4"/>
      <x:c r="FN746" s="4"/>
      <x:c r="FO746" s="4"/>
      <x:c r="JA746" t="n">
        <x:f>IF(OR(IFERROR(INDIRECT("'WCM Calibration Final'!$A$746")&lt;&gt;"",FALSE),IFERROR(INDIRECT("'WCM Calibration Final'!$B$746")&lt;&gt;"",FALSE),IFERROR(INDIRECT("'WCM Calibration Final'!$C$746")&lt;&gt;"",FALSE)),746,0)</x:f>
        <x:v>0</x:v>
      </x:c>
      <x:c r="JB746" t="n">
        <x:f>'Calculations'!JB745+IF('Calculations'!JA746&gt;0,1,0)</x:f>
        <x:v>0</x:v>
      </x:c>
    </x:row>
    <x:row r="747">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4"/>
      <x:c r="DQ747" s="4"/>
      <x:c r="DR747" s="4"/>
      <x:c r="DS747" s="4"/>
      <x:c r="DT747" s="4"/>
      <x:c r="DU747" s="4"/>
      <x:c r="DV747" s="4"/>
      <x:c r="DW747" s="4"/>
      <x:c r="DX747" s="4"/>
      <x:c r="DY747" s="4"/>
      <x:c r="DZ747" s="4"/>
      <x:c r="EA747" s="4"/>
      <x:c r="EB747" s="4"/>
      <x:c r="EC747" s="4"/>
      <x:c r="ED747" s="4"/>
      <x:c r="EE747" s="4"/>
      <x:c r="EF747" s="4"/>
      <x:c r="EG747" s="4"/>
      <x:c r="EH747" s="4"/>
      <x:c r="EI747" s="4"/>
      <x:c r="EJ747" s="4"/>
      <x:c r="EK747" s="4"/>
      <x:c r="EL747" s="4"/>
      <x:c r="EM747" s="4"/>
      <x:c r="EN747" s="4"/>
      <x:c r="EO747" s="4"/>
      <x:c r="EP747" s="4"/>
      <x:c r="EQ747" s="4"/>
      <x:c r="ER747" s="4"/>
      <x:c r="ES747" s="4"/>
      <x:c r="ET747" s="4"/>
      <x:c r="EU747" s="4"/>
      <x:c r="EV747" s="4"/>
      <x:c r="EW747" s="4"/>
      <x:c r="EX747" s="4"/>
      <x:c r="EY747" s="4"/>
      <x:c r="EZ747" s="4"/>
      <x:c r="FA747" s="4"/>
      <x:c r="FB747" s="4"/>
      <x:c r="FC747" s="4"/>
      <x:c r="FD747" s="4"/>
      <x:c r="FE747" s="4"/>
      <x:c r="FF747" s="4"/>
      <x:c r="FG747" s="4"/>
      <x:c r="FH747" s="4"/>
      <x:c r="FI747" s="4"/>
      <x:c r="FJ747" s="4"/>
      <x:c r="FK747" s="4"/>
      <x:c r="FL747" s="4"/>
      <x:c r="FM747" s="4"/>
      <x:c r="FN747" s="4"/>
      <x:c r="FO747" s="4"/>
      <x:c r="JA747" t="n">
        <x:f>IF(OR(IFERROR(INDIRECT("'WCM Calibration Final'!$A$747")&lt;&gt;"",FALSE),IFERROR(INDIRECT("'WCM Calibration Final'!$B$747")&lt;&gt;"",FALSE),IFERROR(INDIRECT("'WCM Calibration Final'!$C$747")&lt;&gt;"",FALSE)),747,0)</x:f>
        <x:v>0</x:v>
      </x:c>
      <x:c r="JB747" t="n">
        <x:f>'Calculations'!JB746+IF('Calculations'!JA747&gt;0,1,0)</x:f>
        <x:v>0</x:v>
      </x:c>
    </x:row>
    <x:row r="748">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4"/>
      <x:c r="DQ748" s="4"/>
      <x:c r="DR748" s="4"/>
      <x:c r="DS748" s="4"/>
      <x:c r="DT748" s="4"/>
      <x:c r="DU748" s="4"/>
      <x:c r="DV748" s="4"/>
      <x:c r="DW748" s="4"/>
      <x:c r="DX748" s="4"/>
      <x:c r="DY748" s="4"/>
      <x:c r="DZ748" s="4"/>
      <x:c r="EA748" s="4"/>
      <x:c r="EB748" s="4"/>
      <x:c r="EC748" s="4"/>
      <x:c r="ED748" s="4"/>
      <x:c r="EE748" s="4"/>
      <x:c r="EF748" s="4"/>
      <x:c r="EG748" s="4"/>
      <x:c r="EH748" s="4"/>
      <x:c r="EI748" s="4"/>
      <x:c r="EJ748" s="4"/>
      <x:c r="EK748" s="4"/>
      <x:c r="EL748" s="4"/>
      <x:c r="EM748" s="4"/>
      <x:c r="EN748" s="4"/>
      <x:c r="EO748" s="4"/>
      <x:c r="EP748" s="4"/>
      <x:c r="EQ748" s="4"/>
      <x:c r="ER748" s="4"/>
      <x:c r="ES748" s="4"/>
      <x:c r="ET748" s="4"/>
      <x:c r="EU748" s="4"/>
      <x:c r="EV748" s="4"/>
      <x:c r="EW748" s="4"/>
      <x:c r="EX748" s="4"/>
      <x:c r="EY748" s="4"/>
      <x:c r="EZ748" s="4"/>
      <x:c r="FA748" s="4"/>
      <x:c r="FB748" s="4"/>
      <x:c r="FC748" s="4"/>
      <x:c r="FD748" s="4"/>
      <x:c r="FE748" s="4"/>
      <x:c r="FF748" s="4"/>
      <x:c r="FG748" s="4"/>
      <x:c r="FH748" s="4"/>
      <x:c r="FI748" s="4"/>
      <x:c r="FJ748" s="4"/>
      <x:c r="FK748" s="4"/>
      <x:c r="FL748" s="4"/>
      <x:c r="FM748" s="4"/>
      <x:c r="FN748" s="4"/>
      <x:c r="FO748" s="4"/>
      <x:c r="JA748" t="n">
        <x:f>IF(OR(IFERROR(INDIRECT("'WCM Calibration Final'!$A$748")&lt;&gt;"",FALSE),IFERROR(INDIRECT("'WCM Calibration Final'!$B$748")&lt;&gt;"",FALSE),IFERROR(INDIRECT("'WCM Calibration Final'!$C$748")&lt;&gt;"",FALSE)),748,0)</x:f>
        <x:v>0</x:v>
      </x:c>
      <x:c r="JB748" t="n">
        <x:f>'Calculations'!JB747+IF('Calculations'!JA748&gt;0,1,0)</x:f>
        <x:v>0</x:v>
      </x:c>
    </x:row>
    <x:row r="749">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4"/>
      <x:c r="DQ749" s="4"/>
      <x:c r="DR749" s="4"/>
      <x:c r="DS749" s="4"/>
      <x:c r="DT749" s="4"/>
      <x:c r="DU749" s="4"/>
      <x:c r="DV749" s="4"/>
      <x:c r="DW749" s="4"/>
      <x:c r="DX749" s="4"/>
      <x:c r="DY749" s="4"/>
      <x:c r="DZ749" s="4"/>
      <x:c r="EA749" s="4"/>
      <x:c r="EB749" s="4"/>
      <x:c r="EC749" s="4"/>
      <x:c r="ED749" s="4"/>
      <x:c r="EE749" s="4"/>
      <x:c r="EF749" s="4"/>
      <x:c r="EG749" s="4"/>
      <x:c r="EH749" s="4"/>
      <x:c r="EI749" s="4"/>
      <x:c r="EJ749" s="4"/>
      <x:c r="EK749" s="4"/>
      <x:c r="EL749" s="4"/>
      <x:c r="EM749" s="4"/>
      <x:c r="EN749" s="4"/>
      <x:c r="EO749" s="4"/>
      <x:c r="EP749" s="4"/>
      <x:c r="EQ749" s="4"/>
      <x:c r="ER749" s="4"/>
      <x:c r="ES749" s="4"/>
      <x:c r="ET749" s="4"/>
      <x:c r="EU749" s="4"/>
      <x:c r="EV749" s="4"/>
      <x:c r="EW749" s="4"/>
      <x:c r="EX749" s="4"/>
      <x:c r="EY749" s="4"/>
      <x:c r="EZ749" s="4"/>
      <x:c r="FA749" s="4"/>
      <x:c r="FB749" s="4"/>
      <x:c r="FC749" s="4"/>
      <x:c r="FD749" s="4"/>
      <x:c r="FE749" s="4"/>
      <x:c r="FF749" s="4"/>
      <x:c r="FG749" s="4"/>
      <x:c r="FH749" s="4"/>
      <x:c r="FI749" s="4"/>
      <x:c r="FJ749" s="4"/>
      <x:c r="FK749" s="4"/>
      <x:c r="FL749" s="4"/>
      <x:c r="FM749" s="4"/>
      <x:c r="FN749" s="4"/>
      <x:c r="FO749" s="4"/>
      <x:c r="JA749" t="n">
        <x:f>IF(OR(IFERROR(INDIRECT("'WCM Calibration Final'!$A$749")&lt;&gt;"",FALSE),IFERROR(INDIRECT("'WCM Calibration Final'!$B$749")&lt;&gt;"",FALSE),IFERROR(INDIRECT("'WCM Calibration Final'!$C$749")&lt;&gt;"",FALSE)),749,0)</x:f>
        <x:v>0</x:v>
      </x:c>
      <x:c r="JB749" t="n">
        <x:f>'Calculations'!JB748+IF('Calculations'!JA749&gt;0,1,0)</x:f>
        <x:v>0</x:v>
      </x:c>
    </x:row>
    <x:row r="750">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4"/>
      <x:c r="DQ750" s="4"/>
      <x:c r="DR750" s="4"/>
      <x:c r="DS750" s="4"/>
      <x:c r="DT750" s="4"/>
      <x:c r="DU750" s="4"/>
      <x:c r="DV750" s="4"/>
      <x:c r="DW750" s="4"/>
      <x:c r="DX750" s="4"/>
      <x:c r="DY750" s="4"/>
      <x:c r="DZ750" s="4"/>
      <x:c r="EA750" s="4"/>
      <x:c r="EB750" s="4"/>
      <x:c r="EC750" s="4"/>
      <x:c r="ED750" s="4"/>
      <x:c r="EE750" s="4"/>
      <x:c r="EF750" s="4"/>
      <x:c r="EG750" s="4"/>
      <x:c r="EH750" s="4"/>
      <x:c r="EI750" s="4"/>
      <x:c r="EJ750" s="4"/>
      <x:c r="EK750" s="4"/>
      <x:c r="EL750" s="4"/>
      <x:c r="EM750" s="4"/>
      <x:c r="EN750" s="4"/>
      <x:c r="EO750" s="4"/>
      <x:c r="EP750" s="4"/>
      <x:c r="EQ750" s="4"/>
      <x:c r="ER750" s="4"/>
      <x:c r="ES750" s="4"/>
      <x:c r="ET750" s="4"/>
      <x:c r="EU750" s="4"/>
      <x:c r="EV750" s="4"/>
      <x:c r="EW750" s="4"/>
      <x:c r="EX750" s="4"/>
      <x:c r="EY750" s="4"/>
      <x:c r="EZ750" s="4"/>
      <x:c r="FA750" s="4"/>
      <x:c r="FB750" s="4"/>
      <x:c r="FC750" s="4"/>
      <x:c r="FD750" s="4"/>
      <x:c r="FE750" s="4"/>
      <x:c r="FF750" s="4"/>
      <x:c r="FG750" s="4"/>
      <x:c r="FH750" s="4"/>
      <x:c r="FI750" s="4"/>
      <x:c r="FJ750" s="4"/>
      <x:c r="FK750" s="4"/>
      <x:c r="FL750" s="4"/>
      <x:c r="FM750" s="4"/>
      <x:c r="FN750" s="4"/>
      <x:c r="FO750" s="4"/>
      <x:c r="JA750" t="n">
        <x:f>IF(OR(IFERROR(INDIRECT("'WCM Calibration Final'!$A$750")&lt;&gt;"",FALSE),IFERROR(INDIRECT("'WCM Calibration Final'!$B$750")&lt;&gt;"",FALSE),IFERROR(INDIRECT("'WCM Calibration Final'!$C$750")&lt;&gt;"",FALSE)),750,0)</x:f>
        <x:v>0</x:v>
      </x:c>
      <x:c r="JB750" t="n">
        <x:f>'Calculations'!JB749+IF('Calculations'!JA750&gt;0,1,0)</x:f>
        <x:v>0</x:v>
      </x:c>
    </x:row>
    <x:row r="751">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4"/>
      <x:c r="DQ751" s="4"/>
      <x:c r="DR751" s="4"/>
      <x:c r="DS751" s="4"/>
      <x:c r="DT751" s="4"/>
      <x:c r="DU751" s="4"/>
      <x:c r="DV751" s="4"/>
      <x:c r="DW751" s="4"/>
      <x:c r="DX751" s="4"/>
      <x:c r="DY751" s="4"/>
      <x:c r="DZ751" s="4"/>
      <x:c r="EA751" s="4"/>
      <x:c r="EB751" s="4"/>
      <x:c r="EC751" s="4"/>
      <x:c r="ED751" s="4"/>
      <x:c r="EE751" s="4"/>
      <x:c r="EF751" s="4"/>
      <x:c r="EG751" s="4"/>
      <x:c r="EH751" s="4"/>
      <x:c r="EI751" s="4"/>
      <x:c r="EJ751" s="4"/>
      <x:c r="EK751" s="4"/>
      <x:c r="EL751" s="4"/>
      <x:c r="EM751" s="4"/>
      <x:c r="EN751" s="4"/>
      <x:c r="EO751" s="4"/>
      <x:c r="EP751" s="4"/>
      <x:c r="EQ751" s="4"/>
      <x:c r="ER751" s="4"/>
      <x:c r="ES751" s="4"/>
      <x:c r="ET751" s="4"/>
      <x:c r="EU751" s="4"/>
      <x:c r="EV751" s="4"/>
      <x:c r="EW751" s="4"/>
      <x:c r="EX751" s="4"/>
      <x:c r="EY751" s="4"/>
      <x:c r="EZ751" s="4"/>
      <x:c r="FA751" s="4"/>
      <x:c r="FB751" s="4"/>
      <x:c r="FC751" s="4"/>
      <x:c r="FD751" s="4"/>
      <x:c r="FE751" s="4"/>
      <x:c r="FF751" s="4"/>
      <x:c r="FG751" s="4"/>
      <x:c r="FH751" s="4"/>
      <x:c r="FI751" s="4"/>
      <x:c r="FJ751" s="4"/>
      <x:c r="FK751" s="4"/>
      <x:c r="FL751" s="4"/>
      <x:c r="FM751" s="4"/>
      <x:c r="FN751" s="4"/>
      <x:c r="FO751" s="4"/>
      <x:c r="JA751" t="n">
        <x:f>IF(OR(IFERROR(INDIRECT("'WCM Calibration Final'!$A$751")&lt;&gt;"",FALSE),IFERROR(INDIRECT("'WCM Calibration Final'!$B$751")&lt;&gt;"",FALSE),IFERROR(INDIRECT("'WCM Calibration Final'!$C$751")&lt;&gt;"",FALSE)),751,0)</x:f>
        <x:v>0</x:v>
      </x:c>
      <x:c r="JB751" t="n">
        <x:f>'Calculations'!JB750+IF('Calculations'!JA751&gt;0,1,0)</x:f>
        <x:v>0</x:v>
      </x:c>
    </x:row>
    <x:row r="752">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4"/>
      <x:c r="DQ752" s="4"/>
      <x:c r="DR752" s="4"/>
      <x:c r="DS752" s="4"/>
      <x:c r="DT752" s="4"/>
      <x:c r="DU752" s="4"/>
      <x:c r="DV752" s="4"/>
      <x:c r="DW752" s="4"/>
      <x:c r="DX752" s="4"/>
      <x:c r="DY752" s="4"/>
      <x:c r="DZ752" s="4"/>
      <x:c r="EA752" s="4"/>
      <x:c r="EB752" s="4"/>
      <x:c r="EC752" s="4"/>
      <x:c r="ED752" s="4"/>
      <x:c r="EE752" s="4"/>
      <x:c r="EF752" s="4"/>
      <x:c r="EG752" s="4"/>
      <x:c r="EH752" s="4"/>
      <x:c r="EI752" s="4"/>
      <x:c r="EJ752" s="4"/>
      <x:c r="EK752" s="4"/>
      <x:c r="EL752" s="4"/>
      <x:c r="EM752" s="4"/>
      <x:c r="EN752" s="4"/>
      <x:c r="EO752" s="4"/>
      <x:c r="EP752" s="4"/>
      <x:c r="EQ752" s="4"/>
      <x:c r="ER752" s="4"/>
      <x:c r="ES752" s="4"/>
      <x:c r="ET752" s="4"/>
      <x:c r="EU752" s="4"/>
      <x:c r="EV752" s="4"/>
      <x:c r="EW752" s="4"/>
      <x:c r="EX752" s="4"/>
      <x:c r="EY752" s="4"/>
      <x:c r="EZ752" s="4"/>
      <x:c r="FA752" s="4"/>
      <x:c r="FB752" s="4"/>
      <x:c r="FC752" s="4"/>
      <x:c r="FD752" s="4"/>
      <x:c r="FE752" s="4"/>
      <x:c r="FF752" s="4"/>
      <x:c r="FG752" s="4"/>
      <x:c r="FH752" s="4"/>
      <x:c r="FI752" s="4"/>
      <x:c r="FJ752" s="4"/>
      <x:c r="FK752" s="4"/>
      <x:c r="FL752" s="4"/>
      <x:c r="FM752" s="4"/>
      <x:c r="FN752" s="4"/>
      <x:c r="FO752" s="4"/>
      <x:c r="JA752" t="n">
        <x:f>IF(OR(IFERROR(INDIRECT("'WCM Calibration Final'!$A$752")&lt;&gt;"",FALSE),IFERROR(INDIRECT("'WCM Calibration Final'!$B$752")&lt;&gt;"",FALSE),IFERROR(INDIRECT("'WCM Calibration Final'!$C$752")&lt;&gt;"",FALSE)),752,0)</x:f>
        <x:v>0</x:v>
      </x:c>
      <x:c r="JB752" t="n">
        <x:f>'Calculations'!JB751+IF('Calculations'!JA752&gt;0,1,0)</x:f>
        <x:v>0</x:v>
      </x:c>
    </x:row>
    <x:row r="753">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4"/>
      <x:c r="DQ753" s="4"/>
      <x:c r="DR753" s="4"/>
      <x:c r="DS753" s="4"/>
      <x:c r="DT753" s="4"/>
      <x:c r="DU753" s="4"/>
      <x:c r="DV753" s="4"/>
      <x:c r="DW753" s="4"/>
      <x:c r="DX753" s="4"/>
      <x:c r="DY753" s="4"/>
      <x:c r="DZ753" s="4"/>
      <x:c r="EA753" s="4"/>
      <x:c r="EB753" s="4"/>
      <x:c r="EC753" s="4"/>
      <x:c r="ED753" s="4"/>
      <x:c r="EE753" s="4"/>
      <x:c r="EF753" s="4"/>
      <x:c r="EG753" s="4"/>
      <x:c r="EH753" s="4"/>
      <x:c r="EI753" s="4"/>
      <x:c r="EJ753" s="4"/>
      <x:c r="EK753" s="4"/>
      <x:c r="EL753" s="4"/>
      <x:c r="EM753" s="4"/>
      <x:c r="EN753" s="4"/>
      <x:c r="EO753" s="4"/>
      <x:c r="EP753" s="4"/>
      <x:c r="EQ753" s="4"/>
      <x:c r="ER753" s="4"/>
      <x:c r="ES753" s="4"/>
      <x:c r="ET753" s="4"/>
      <x:c r="EU753" s="4"/>
      <x:c r="EV753" s="4"/>
      <x:c r="EW753" s="4"/>
      <x:c r="EX753" s="4"/>
      <x:c r="EY753" s="4"/>
      <x:c r="EZ753" s="4"/>
      <x:c r="FA753" s="4"/>
      <x:c r="FB753" s="4"/>
      <x:c r="FC753" s="4"/>
      <x:c r="FD753" s="4"/>
      <x:c r="FE753" s="4"/>
      <x:c r="FF753" s="4"/>
      <x:c r="FG753" s="4"/>
      <x:c r="FH753" s="4"/>
      <x:c r="FI753" s="4"/>
      <x:c r="FJ753" s="4"/>
      <x:c r="FK753" s="4"/>
      <x:c r="FL753" s="4"/>
      <x:c r="FM753" s="4"/>
      <x:c r="FN753" s="4"/>
      <x:c r="FO753" s="4"/>
      <x:c r="JA753" t="n">
        <x:f>IF(OR(IFERROR(INDIRECT("'WCM Calibration Final'!$A$753")&lt;&gt;"",FALSE),IFERROR(INDIRECT("'WCM Calibration Final'!$B$753")&lt;&gt;"",FALSE),IFERROR(INDIRECT("'WCM Calibration Final'!$C$753")&lt;&gt;"",FALSE)),753,0)</x:f>
        <x:v>0</x:v>
      </x:c>
      <x:c r="JB753" t="n">
        <x:f>'Calculations'!JB752+IF('Calculations'!JA753&gt;0,1,0)</x:f>
        <x:v>0</x:v>
      </x:c>
    </x:row>
    <x:row r="754">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4"/>
      <x:c r="DQ754" s="4"/>
      <x:c r="DR754" s="4"/>
      <x:c r="DS754" s="4"/>
      <x:c r="DT754" s="4"/>
      <x:c r="DU754" s="4"/>
      <x:c r="DV754" s="4"/>
      <x:c r="DW754" s="4"/>
      <x:c r="DX754" s="4"/>
      <x:c r="DY754" s="4"/>
      <x:c r="DZ754" s="4"/>
      <x:c r="EA754" s="4"/>
      <x:c r="EB754" s="4"/>
      <x:c r="EC754" s="4"/>
      <x:c r="ED754" s="4"/>
      <x:c r="EE754" s="4"/>
      <x:c r="EF754" s="4"/>
      <x:c r="EG754" s="4"/>
      <x:c r="EH754" s="4"/>
      <x:c r="EI754" s="4"/>
      <x:c r="EJ754" s="4"/>
      <x:c r="EK754" s="4"/>
      <x:c r="EL754" s="4"/>
      <x:c r="EM754" s="4"/>
      <x:c r="EN754" s="4"/>
      <x:c r="EO754" s="4"/>
      <x:c r="EP754" s="4"/>
      <x:c r="EQ754" s="4"/>
      <x:c r="ER754" s="4"/>
      <x:c r="ES754" s="4"/>
      <x:c r="ET754" s="4"/>
      <x:c r="EU754" s="4"/>
      <x:c r="EV754" s="4"/>
      <x:c r="EW754" s="4"/>
      <x:c r="EX754" s="4"/>
      <x:c r="EY754" s="4"/>
      <x:c r="EZ754" s="4"/>
      <x:c r="FA754" s="4"/>
      <x:c r="FB754" s="4"/>
      <x:c r="FC754" s="4"/>
      <x:c r="FD754" s="4"/>
      <x:c r="FE754" s="4"/>
      <x:c r="FF754" s="4"/>
      <x:c r="FG754" s="4"/>
      <x:c r="FH754" s="4"/>
      <x:c r="FI754" s="4"/>
      <x:c r="FJ754" s="4"/>
      <x:c r="FK754" s="4"/>
      <x:c r="FL754" s="4"/>
      <x:c r="FM754" s="4"/>
      <x:c r="FN754" s="4"/>
      <x:c r="FO754" s="4"/>
      <x:c r="JA754" t="n">
        <x:f>IF(OR(IFERROR(INDIRECT("'WCM Calibration Final'!$A$754")&lt;&gt;"",FALSE),IFERROR(INDIRECT("'WCM Calibration Final'!$B$754")&lt;&gt;"",FALSE),IFERROR(INDIRECT("'WCM Calibration Final'!$C$754")&lt;&gt;"",FALSE)),754,0)</x:f>
        <x:v>0</x:v>
      </x:c>
      <x:c r="JB754" t="n">
        <x:f>'Calculations'!JB753+IF('Calculations'!JA754&gt;0,1,0)</x:f>
        <x:v>0</x:v>
      </x:c>
    </x:row>
    <x:row r="755">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4"/>
      <x:c r="DQ755" s="4"/>
      <x:c r="DR755" s="4"/>
      <x:c r="DS755" s="4"/>
      <x:c r="DT755" s="4"/>
      <x:c r="DU755" s="4"/>
      <x:c r="DV755" s="4"/>
      <x:c r="DW755" s="4"/>
      <x:c r="DX755" s="4"/>
      <x:c r="DY755" s="4"/>
      <x:c r="DZ755" s="4"/>
      <x:c r="EA755" s="4"/>
      <x:c r="EB755" s="4"/>
      <x:c r="EC755" s="4"/>
      <x:c r="ED755" s="4"/>
      <x:c r="EE755" s="4"/>
      <x:c r="EF755" s="4"/>
      <x:c r="EG755" s="4"/>
      <x:c r="EH755" s="4"/>
      <x:c r="EI755" s="4"/>
      <x:c r="EJ755" s="4"/>
      <x:c r="EK755" s="4"/>
      <x:c r="EL755" s="4"/>
      <x:c r="EM755" s="4"/>
      <x:c r="EN755" s="4"/>
      <x:c r="EO755" s="4"/>
      <x:c r="EP755" s="4"/>
      <x:c r="EQ755" s="4"/>
      <x:c r="ER755" s="4"/>
      <x:c r="ES755" s="4"/>
      <x:c r="ET755" s="4"/>
      <x:c r="EU755" s="4"/>
      <x:c r="EV755" s="4"/>
      <x:c r="EW755" s="4"/>
      <x:c r="EX755" s="4"/>
      <x:c r="EY755" s="4"/>
      <x:c r="EZ755" s="4"/>
      <x:c r="FA755" s="4"/>
      <x:c r="FB755" s="4"/>
      <x:c r="FC755" s="4"/>
      <x:c r="FD755" s="4"/>
      <x:c r="FE755" s="4"/>
      <x:c r="FF755" s="4"/>
      <x:c r="FG755" s="4"/>
      <x:c r="FH755" s="4"/>
      <x:c r="FI755" s="4"/>
      <x:c r="FJ755" s="4"/>
      <x:c r="FK755" s="4"/>
      <x:c r="FL755" s="4"/>
      <x:c r="FM755" s="4"/>
      <x:c r="FN755" s="4"/>
      <x:c r="FO755" s="4"/>
      <x:c r="JA755" t="n">
        <x:f>IF(OR(IFERROR(INDIRECT("'WCM Calibration Final'!$A$755")&lt;&gt;"",FALSE),IFERROR(INDIRECT("'WCM Calibration Final'!$B$755")&lt;&gt;"",FALSE),IFERROR(INDIRECT("'WCM Calibration Final'!$C$755")&lt;&gt;"",FALSE)),755,0)</x:f>
        <x:v>0</x:v>
      </x:c>
      <x:c r="JB755" t="n">
        <x:f>'Calculations'!JB754+IF('Calculations'!JA755&gt;0,1,0)</x:f>
        <x:v>0</x:v>
      </x:c>
    </x:row>
    <x:row r="756">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4"/>
      <x:c r="DQ756" s="4"/>
      <x:c r="DR756" s="4"/>
      <x:c r="DS756" s="4"/>
      <x:c r="DT756" s="4"/>
      <x:c r="DU756" s="4"/>
      <x:c r="DV756" s="4"/>
      <x:c r="DW756" s="4"/>
      <x:c r="DX756" s="4"/>
      <x:c r="DY756" s="4"/>
      <x:c r="DZ756" s="4"/>
      <x:c r="EA756" s="4"/>
      <x:c r="EB756" s="4"/>
      <x:c r="EC756" s="4"/>
      <x:c r="ED756" s="4"/>
      <x:c r="EE756" s="4"/>
      <x:c r="EF756" s="4"/>
      <x:c r="EG756" s="4"/>
      <x:c r="EH756" s="4"/>
      <x:c r="EI756" s="4"/>
      <x:c r="EJ756" s="4"/>
      <x:c r="EK756" s="4"/>
      <x:c r="EL756" s="4"/>
      <x:c r="EM756" s="4"/>
      <x:c r="EN756" s="4"/>
      <x:c r="EO756" s="4"/>
      <x:c r="EP756" s="4"/>
      <x:c r="EQ756" s="4"/>
      <x:c r="ER756" s="4"/>
      <x:c r="ES756" s="4"/>
      <x:c r="ET756" s="4"/>
      <x:c r="EU756" s="4"/>
      <x:c r="EV756" s="4"/>
      <x:c r="EW756" s="4"/>
      <x:c r="EX756" s="4"/>
      <x:c r="EY756" s="4"/>
      <x:c r="EZ756" s="4"/>
      <x:c r="FA756" s="4"/>
      <x:c r="FB756" s="4"/>
      <x:c r="FC756" s="4"/>
      <x:c r="FD756" s="4"/>
      <x:c r="FE756" s="4"/>
      <x:c r="FF756" s="4"/>
      <x:c r="FG756" s="4"/>
      <x:c r="FH756" s="4"/>
      <x:c r="FI756" s="4"/>
      <x:c r="FJ756" s="4"/>
      <x:c r="FK756" s="4"/>
      <x:c r="FL756" s="4"/>
      <x:c r="FM756" s="4"/>
      <x:c r="FN756" s="4"/>
      <x:c r="FO756" s="4"/>
      <x:c r="JA756" t="n">
        <x:f>IF(OR(IFERROR(INDIRECT("'WCM Calibration Final'!$A$756")&lt;&gt;"",FALSE),IFERROR(INDIRECT("'WCM Calibration Final'!$B$756")&lt;&gt;"",FALSE),IFERROR(INDIRECT("'WCM Calibration Final'!$C$756")&lt;&gt;"",FALSE)),756,0)</x:f>
        <x:v>0</x:v>
      </x:c>
      <x:c r="JB756" t="n">
        <x:f>'Calculations'!JB755+IF('Calculations'!JA756&gt;0,1,0)</x:f>
        <x:v>0</x:v>
      </x:c>
    </x:row>
    <x:row r="757">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4"/>
      <x:c r="DQ757" s="4"/>
      <x:c r="DR757" s="4"/>
      <x:c r="DS757" s="4"/>
      <x:c r="DT757" s="4"/>
      <x:c r="DU757" s="4"/>
      <x:c r="DV757" s="4"/>
      <x:c r="DW757" s="4"/>
      <x:c r="DX757" s="4"/>
      <x:c r="DY757" s="4"/>
      <x:c r="DZ757" s="4"/>
      <x:c r="EA757" s="4"/>
      <x:c r="EB757" s="4"/>
      <x:c r="EC757" s="4"/>
      <x:c r="ED757" s="4"/>
      <x:c r="EE757" s="4"/>
      <x:c r="EF757" s="4"/>
      <x:c r="EG757" s="4"/>
      <x:c r="EH757" s="4"/>
      <x:c r="EI757" s="4"/>
      <x:c r="EJ757" s="4"/>
      <x:c r="EK757" s="4"/>
      <x:c r="EL757" s="4"/>
      <x:c r="EM757" s="4"/>
      <x:c r="EN757" s="4"/>
      <x:c r="EO757" s="4"/>
      <x:c r="EP757" s="4"/>
      <x:c r="EQ757" s="4"/>
      <x:c r="ER757" s="4"/>
      <x:c r="ES757" s="4"/>
      <x:c r="ET757" s="4"/>
      <x:c r="EU757" s="4"/>
      <x:c r="EV757" s="4"/>
      <x:c r="EW757" s="4"/>
      <x:c r="EX757" s="4"/>
      <x:c r="EY757" s="4"/>
      <x:c r="EZ757" s="4"/>
      <x:c r="FA757" s="4"/>
      <x:c r="FB757" s="4"/>
      <x:c r="FC757" s="4"/>
      <x:c r="FD757" s="4"/>
      <x:c r="FE757" s="4"/>
      <x:c r="FF757" s="4"/>
      <x:c r="FG757" s="4"/>
      <x:c r="FH757" s="4"/>
      <x:c r="FI757" s="4"/>
      <x:c r="FJ757" s="4"/>
      <x:c r="FK757" s="4"/>
      <x:c r="FL757" s="4"/>
      <x:c r="FM757" s="4"/>
      <x:c r="FN757" s="4"/>
      <x:c r="FO757" s="4"/>
      <x:c r="JA757" t="n">
        <x:f>IF(OR(IFERROR(INDIRECT("'WCM Calibration Final'!$A$757")&lt;&gt;"",FALSE),IFERROR(INDIRECT("'WCM Calibration Final'!$B$757")&lt;&gt;"",FALSE),IFERROR(INDIRECT("'WCM Calibration Final'!$C$757")&lt;&gt;"",FALSE)),757,0)</x:f>
        <x:v>0</x:v>
      </x:c>
      <x:c r="JB757" t="n">
        <x:f>'Calculations'!JB756+IF('Calculations'!JA757&gt;0,1,0)</x:f>
        <x:v>0</x:v>
      </x:c>
    </x:row>
    <x:row r="758">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4"/>
      <x:c r="DQ758" s="4"/>
      <x:c r="DR758" s="4"/>
      <x:c r="DS758" s="4"/>
      <x:c r="DT758" s="4"/>
      <x:c r="DU758" s="4"/>
      <x:c r="DV758" s="4"/>
      <x:c r="DW758" s="4"/>
      <x:c r="DX758" s="4"/>
      <x:c r="DY758" s="4"/>
      <x:c r="DZ758" s="4"/>
      <x:c r="EA758" s="4"/>
      <x:c r="EB758" s="4"/>
      <x:c r="EC758" s="4"/>
      <x:c r="ED758" s="4"/>
      <x:c r="EE758" s="4"/>
      <x:c r="EF758" s="4"/>
      <x:c r="EG758" s="4"/>
      <x:c r="EH758" s="4"/>
      <x:c r="EI758" s="4"/>
      <x:c r="EJ758" s="4"/>
      <x:c r="EK758" s="4"/>
      <x:c r="EL758" s="4"/>
      <x:c r="EM758" s="4"/>
      <x:c r="EN758" s="4"/>
      <x:c r="EO758" s="4"/>
      <x:c r="EP758" s="4"/>
      <x:c r="EQ758" s="4"/>
      <x:c r="ER758" s="4"/>
      <x:c r="ES758" s="4"/>
      <x:c r="ET758" s="4"/>
      <x:c r="EU758" s="4"/>
      <x:c r="EV758" s="4"/>
      <x:c r="EW758" s="4"/>
      <x:c r="EX758" s="4"/>
      <x:c r="EY758" s="4"/>
      <x:c r="EZ758" s="4"/>
      <x:c r="FA758" s="4"/>
      <x:c r="FB758" s="4"/>
      <x:c r="FC758" s="4"/>
      <x:c r="FD758" s="4"/>
      <x:c r="FE758" s="4"/>
      <x:c r="FF758" s="4"/>
      <x:c r="FG758" s="4"/>
      <x:c r="FH758" s="4"/>
      <x:c r="FI758" s="4"/>
      <x:c r="FJ758" s="4"/>
      <x:c r="FK758" s="4"/>
      <x:c r="FL758" s="4"/>
      <x:c r="FM758" s="4"/>
      <x:c r="FN758" s="4"/>
      <x:c r="FO758" s="4"/>
      <x:c r="JA758" t="n">
        <x:f>IF(OR(IFERROR(INDIRECT("'WCM Calibration Final'!$A$758")&lt;&gt;"",FALSE),IFERROR(INDIRECT("'WCM Calibration Final'!$B$758")&lt;&gt;"",FALSE),IFERROR(INDIRECT("'WCM Calibration Final'!$C$758")&lt;&gt;"",FALSE)),758,0)</x:f>
        <x:v>0</x:v>
      </x:c>
      <x:c r="JB758" t="n">
        <x:f>'Calculations'!JB757+IF('Calculations'!JA758&gt;0,1,0)</x:f>
        <x:v>0</x:v>
      </x:c>
    </x:row>
    <x:row r="759">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4"/>
      <x:c r="DQ759" s="4"/>
      <x:c r="DR759" s="4"/>
      <x:c r="DS759" s="4"/>
      <x:c r="DT759" s="4"/>
      <x:c r="DU759" s="4"/>
      <x:c r="DV759" s="4"/>
      <x:c r="DW759" s="4"/>
      <x:c r="DX759" s="4"/>
      <x:c r="DY759" s="4"/>
      <x:c r="DZ759" s="4"/>
      <x:c r="EA759" s="4"/>
      <x:c r="EB759" s="4"/>
      <x:c r="EC759" s="4"/>
      <x:c r="ED759" s="4"/>
      <x:c r="EE759" s="4"/>
      <x:c r="EF759" s="4"/>
      <x:c r="EG759" s="4"/>
      <x:c r="EH759" s="4"/>
      <x:c r="EI759" s="4"/>
      <x:c r="EJ759" s="4"/>
      <x:c r="EK759" s="4"/>
      <x:c r="EL759" s="4"/>
      <x:c r="EM759" s="4"/>
      <x:c r="EN759" s="4"/>
      <x:c r="EO759" s="4"/>
      <x:c r="EP759" s="4"/>
      <x:c r="EQ759" s="4"/>
      <x:c r="ER759" s="4"/>
      <x:c r="ES759" s="4"/>
      <x:c r="ET759" s="4"/>
      <x:c r="EU759" s="4"/>
      <x:c r="EV759" s="4"/>
      <x:c r="EW759" s="4"/>
      <x:c r="EX759" s="4"/>
      <x:c r="EY759" s="4"/>
      <x:c r="EZ759" s="4"/>
      <x:c r="FA759" s="4"/>
      <x:c r="FB759" s="4"/>
      <x:c r="FC759" s="4"/>
      <x:c r="FD759" s="4"/>
      <x:c r="FE759" s="4"/>
      <x:c r="FF759" s="4"/>
      <x:c r="FG759" s="4"/>
      <x:c r="FH759" s="4"/>
      <x:c r="FI759" s="4"/>
      <x:c r="FJ759" s="4"/>
      <x:c r="FK759" s="4"/>
      <x:c r="FL759" s="4"/>
      <x:c r="FM759" s="4"/>
      <x:c r="FN759" s="4"/>
      <x:c r="FO759" s="4"/>
      <x:c r="JA759" t="n">
        <x:f>IF(OR(IFERROR(INDIRECT("'WCM Calibration Final'!$A$759")&lt;&gt;"",FALSE),IFERROR(INDIRECT("'WCM Calibration Final'!$B$759")&lt;&gt;"",FALSE),IFERROR(INDIRECT("'WCM Calibration Final'!$C$759")&lt;&gt;"",FALSE)),759,0)</x:f>
        <x:v>0</x:v>
      </x:c>
      <x:c r="JB759" t="n">
        <x:f>'Calculations'!JB758+IF('Calculations'!JA759&gt;0,1,0)</x:f>
        <x:v>0</x:v>
      </x:c>
    </x:row>
    <x:row r="760">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4"/>
      <x:c r="DQ760" s="4"/>
      <x:c r="DR760" s="4"/>
      <x:c r="DS760" s="4"/>
      <x:c r="DT760" s="4"/>
      <x:c r="DU760" s="4"/>
      <x:c r="DV760" s="4"/>
      <x:c r="DW760" s="4"/>
      <x:c r="DX760" s="4"/>
      <x:c r="DY760" s="4"/>
      <x:c r="DZ760" s="4"/>
      <x:c r="EA760" s="4"/>
      <x:c r="EB760" s="4"/>
      <x:c r="EC760" s="4"/>
      <x:c r="ED760" s="4"/>
      <x:c r="EE760" s="4"/>
      <x:c r="EF760" s="4"/>
      <x:c r="EG760" s="4"/>
      <x:c r="EH760" s="4"/>
      <x:c r="EI760" s="4"/>
      <x:c r="EJ760" s="4"/>
      <x:c r="EK760" s="4"/>
      <x:c r="EL760" s="4"/>
      <x:c r="EM760" s="4"/>
      <x:c r="EN760" s="4"/>
      <x:c r="EO760" s="4"/>
      <x:c r="EP760" s="4"/>
      <x:c r="EQ760" s="4"/>
      <x:c r="ER760" s="4"/>
      <x:c r="ES760" s="4"/>
      <x:c r="ET760" s="4"/>
      <x:c r="EU760" s="4"/>
      <x:c r="EV760" s="4"/>
      <x:c r="EW760" s="4"/>
      <x:c r="EX760" s="4"/>
      <x:c r="EY760" s="4"/>
      <x:c r="EZ760" s="4"/>
      <x:c r="FA760" s="4"/>
      <x:c r="FB760" s="4"/>
      <x:c r="FC760" s="4"/>
      <x:c r="FD760" s="4"/>
      <x:c r="FE760" s="4"/>
      <x:c r="FF760" s="4"/>
      <x:c r="FG760" s="4"/>
      <x:c r="FH760" s="4"/>
      <x:c r="FI760" s="4"/>
      <x:c r="FJ760" s="4"/>
      <x:c r="FK760" s="4"/>
      <x:c r="FL760" s="4"/>
      <x:c r="FM760" s="4"/>
      <x:c r="FN760" s="4"/>
      <x:c r="FO760" s="4"/>
      <x:c r="JA760" t="n">
        <x:f>IF(OR(IFERROR(INDIRECT("'WCM Calibration Final'!$A$760")&lt;&gt;"",FALSE),IFERROR(INDIRECT("'WCM Calibration Final'!$B$760")&lt;&gt;"",FALSE),IFERROR(INDIRECT("'WCM Calibration Final'!$C$760")&lt;&gt;"",FALSE)),760,0)</x:f>
        <x:v>0</x:v>
      </x:c>
      <x:c r="JB760" t="n">
        <x:f>'Calculations'!JB759+IF('Calculations'!JA760&gt;0,1,0)</x:f>
        <x:v>0</x:v>
      </x:c>
    </x:row>
    <x:row r="761">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4"/>
      <x:c r="DQ761" s="4"/>
      <x:c r="DR761" s="4"/>
      <x:c r="DS761" s="4"/>
      <x:c r="DT761" s="4"/>
      <x:c r="DU761" s="4"/>
      <x:c r="DV761" s="4"/>
      <x:c r="DW761" s="4"/>
      <x:c r="DX761" s="4"/>
      <x:c r="DY761" s="4"/>
      <x:c r="DZ761" s="4"/>
      <x:c r="EA761" s="4"/>
      <x:c r="EB761" s="4"/>
      <x:c r="EC761" s="4"/>
      <x:c r="ED761" s="4"/>
      <x:c r="EE761" s="4"/>
      <x:c r="EF761" s="4"/>
      <x:c r="EG761" s="4"/>
      <x:c r="EH761" s="4"/>
      <x:c r="EI761" s="4"/>
      <x:c r="EJ761" s="4"/>
      <x:c r="EK761" s="4"/>
      <x:c r="EL761" s="4"/>
      <x:c r="EM761" s="4"/>
      <x:c r="EN761" s="4"/>
      <x:c r="EO761" s="4"/>
      <x:c r="EP761" s="4"/>
      <x:c r="EQ761" s="4"/>
      <x:c r="ER761" s="4"/>
      <x:c r="ES761" s="4"/>
      <x:c r="ET761" s="4"/>
      <x:c r="EU761" s="4"/>
      <x:c r="EV761" s="4"/>
      <x:c r="EW761" s="4"/>
      <x:c r="EX761" s="4"/>
      <x:c r="EY761" s="4"/>
      <x:c r="EZ761" s="4"/>
      <x:c r="FA761" s="4"/>
      <x:c r="FB761" s="4"/>
      <x:c r="FC761" s="4"/>
      <x:c r="FD761" s="4"/>
      <x:c r="FE761" s="4"/>
      <x:c r="FF761" s="4"/>
      <x:c r="FG761" s="4"/>
      <x:c r="FH761" s="4"/>
      <x:c r="FI761" s="4"/>
      <x:c r="FJ761" s="4"/>
      <x:c r="FK761" s="4"/>
      <x:c r="FL761" s="4"/>
      <x:c r="FM761" s="4"/>
      <x:c r="FN761" s="4"/>
      <x:c r="FO761" s="4"/>
      <x:c r="JA761" t="n">
        <x:f>IF(OR(IFERROR(INDIRECT("'WCM Calibration Final'!$A$761")&lt;&gt;"",FALSE),IFERROR(INDIRECT("'WCM Calibration Final'!$B$761")&lt;&gt;"",FALSE),IFERROR(INDIRECT("'WCM Calibration Final'!$C$761")&lt;&gt;"",FALSE)),761,0)</x:f>
        <x:v>0</x:v>
      </x:c>
      <x:c r="JB761" t="n">
        <x:f>'Calculations'!JB760+IF('Calculations'!JA761&gt;0,1,0)</x:f>
        <x:v>0</x:v>
      </x:c>
    </x:row>
    <x:row r="762">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4"/>
      <x:c r="DQ762" s="4"/>
      <x:c r="DR762" s="4"/>
      <x:c r="DS762" s="4"/>
      <x:c r="DT762" s="4"/>
      <x:c r="DU762" s="4"/>
      <x:c r="DV762" s="4"/>
      <x:c r="DW762" s="4"/>
      <x:c r="DX762" s="4"/>
      <x:c r="DY762" s="4"/>
      <x:c r="DZ762" s="4"/>
      <x:c r="EA762" s="4"/>
      <x:c r="EB762" s="4"/>
      <x:c r="EC762" s="4"/>
      <x:c r="ED762" s="4"/>
      <x:c r="EE762" s="4"/>
      <x:c r="EF762" s="4"/>
      <x:c r="EG762" s="4"/>
      <x:c r="EH762" s="4"/>
      <x:c r="EI762" s="4"/>
      <x:c r="EJ762" s="4"/>
      <x:c r="EK762" s="4"/>
      <x:c r="EL762" s="4"/>
      <x:c r="EM762" s="4"/>
      <x:c r="EN762" s="4"/>
      <x:c r="EO762" s="4"/>
      <x:c r="EP762" s="4"/>
      <x:c r="EQ762" s="4"/>
      <x:c r="ER762" s="4"/>
      <x:c r="ES762" s="4"/>
      <x:c r="ET762" s="4"/>
      <x:c r="EU762" s="4"/>
      <x:c r="EV762" s="4"/>
      <x:c r="EW762" s="4"/>
      <x:c r="EX762" s="4"/>
      <x:c r="EY762" s="4"/>
      <x:c r="EZ762" s="4"/>
      <x:c r="FA762" s="4"/>
      <x:c r="FB762" s="4"/>
      <x:c r="FC762" s="4"/>
      <x:c r="FD762" s="4"/>
      <x:c r="FE762" s="4"/>
      <x:c r="FF762" s="4"/>
      <x:c r="FG762" s="4"/>
      <x:c r="FH762" s="4"/>
      <x:c r="FI762" s="4"/>
      <x:c r="FJ762" s="4"/>
      <x:c r="FK762" s="4"/>
      <x:c r="FL762" s="4"/>
      <x:c r="FM762" s="4"/>
      <x:c r="FN762" s="4"/>
      <x:c r="FO762" s="4"/>
      <x:c r="JA762" t="n">
        <x:f>IF(OR(IFERROR(INDIRECT("'WCM Calibration Final'!$A$762")&lt;&gt;"",FALSE),IFERROR(INDIRECT("'WCM Calibration Final'!$B$762")&lt;&gt;"",FALSE),IFERROR(INDIRECT("'WCM Calibration Final'!$C$762")&lt;&gt;"",FALSE)),762,0)</x:f>
        <x:v>0</x:v>
      </x:c>
      <x:c r="JB762" t="n">
        <x:f>'Calculations'!JB761+IF('Calculations'!JA762&gt;0,1,0)</x:f>
        <x:v>0</x:v>
      </x:c>
    </x:row>
    <x:row r="763">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4"/>
      <x:c r="DQ763" s="4"/>
      <x:c r="DR763" s="4"/>
      <x:c r="DS763" s="4"/>
      <x:c r="DT763" s="4"/>
      <x:c r="DU763" s="4"/>
      <x:c r="DV763" s="4"/>
      <x:c r="DW763" s="4"/>
      <x:c r="DX763" s="4"/>
      <x:c r="DY763" s="4"/>
      <x:c r="DZ763" s="4"/>
      <x:c r="EA763" s="4"/>
      <x:c r="EB763" s="4"/>
      <x:c r="EC763" s="4"/>
      <x:c r="ED763" s="4"/>
      <x:c r="EE763" s="4"/>
      <x:c r="EF763" s="4"/>
      <x:c r="EG763" s="4"/>
      <x:c r="EH763" s="4"/>
      <x:c r="EI763" s="4"/>
      <x:c r="EJ763" s="4"/>
      <x:c r="EK763" s="4"/>
      <x:c r="EL763" s="4"/>
      <x:c r="EM763" s="4"/>
      <x:c r="EN763" s="4"/>
      <x:c r="EO763" s="4"/>
      <x:c r="EP763" s="4"/>
      <x:c r="EQ763" s="4"/>
      <x:c r="ER763" s="4"/>
      <x:c r="ES763" s="4"/>
      <x:c r="ET763" s="4"/>
      <x:c r="EU763" s="4"/>
      <x:c r="EV763" s="4"/>
      <x:c r="EW763" s="4"/>
      <x:c r="EX763" s="4"/>
      <x:c r="EY763" s="4"/>
      <x:c r="EZ763" s="4"/>
      <x:c r="FA763" s="4"/>
      <x:c r="FB763" s="4"/>
      <x:c r="FC763" s="4"/>
      <x:c r="FD763" s="4"/>
      <x:c r="FE763" s="4"/>
      <x:c r="FF763" s="4"/>
      <x:c r="FG763" s="4"/>
      <x:c r="FH763" s="4"/>
      <x:c r="FI763" s="4"/>
      <x:c r="FJ763" s="4"/>
      <x:c r="FK763" s="4"/>
      <x:c r="FL763" s="4"/>
      <x:c r="FM763" s="4"/>
      <x:c r="FN763" s="4"/>
      <x:c r="FO763" s="4"/>
      <x:c r="JA763" t="n">
        <x:f>IF(OR(IFERROR(INDIRECT("'WCM Calibration Final'!$A$763")&lt;&gt;"",FALSE),IFERROR(INDIRECT("'WCM Calibration Final'!$B$763")&lt;&gt;"",FALSE),IFERROR(INDIRECT("'WCM Calibration Final'!$C$763")&lt;&gt;"",FALSE)),763,0)</x:f>
        <x:v>0</x:v>
      </x:c>
      <x:c r="JB763" t="n">
        <x:f>'Calculations'!JB762+IF('Calculations'!JA763&gt;0,1,0)</x:f>
        <x:v>0</x:v>
      </x:c>
    </x:row>
    <x:row r="764">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4"/>
      <x:c r="DQ764" s="4"/>
      <x:c r="DR764" s="4"/>
      <x:c r="DS764" s="4"/>
      <x:c r="DT764" s="4"/>
      <x:c r="DU764" s="4"/>
      <x:c r="DV764" s="4"/>
      <x:c r="DW764" s="4"/>
      <x:c r="DX764" s="4"/>
      <x:c r="DY764" s="4"/>
      <x:c r="DZ764" s="4"/>
      <x:c r="EA764" s="4"/>
      <x:c r="EB764" s="4"/>
      <x:c r="EC764" s="4"/>
      <x:c r="ED764" s="4"/>
      <x:c r="EE764" s="4"/>
      <x:c r="EF764" s="4"/>
      <x:c r="EG764" s="4"/>
      <x:c r="EH764" s="4"/>
      <x:c r="EI764" s="4"/>
      <x:c r="EJ764" s="4"/>
      <x:c r="EK764" s="4"/>
      <x:c r="EL764" s="4"/>
      <x:c r="EM764" s="4"/>
      <x:c r="EN764" s="4"/>
      <x:c r="EO764" s="4"/>
      <x:c r="EP764" s="4"/>
      <x:c r="EQ764" s="4"/>
      <x:c r="ER764" s="4"/>
      <x:c r="ES764" s="4"/>
      <x:c r="ET764" s="4"/>
      <x:c r="EU764" s="4"/>
      <x:c r="EV764" s="4"/>
      <x:c r="EW764" s="4"/>
      <x:c r="EX764" s="4"/>
      <x:c r="EY764" s="4"/>
      <x:c r="EZ764" s="4"/>
      <x:c r="FA764" s="4"/>
      <x:c r="FB764" s="4"/>
      <x:c r="FC764" s="4"/>
      <x:c r="FD764" s="4"/>
      <x:c r="FE764" s="4"/>
      <x:c r="FF764" s="4"/>
      <x:c r="FG764" s="4"/>
      <x:c r="FH764" s="4"/>
      <x:c r="FI764" s="4"/>
      <x:c r="FJ764" s="4"/>
      <x:c r="FK764" s="4"/>
      <x:c r="FL764" s="4"/>
      <x:c r="FM764" s="4"/>
      <x:c r="FN764" s="4"/>
      <x:c r="FO764" s="4"/>
      <x:c r="JA764" t="n">
        <x:f>IF(OR(IFERROR(INDIRECT("'WCM Calibration Final'!$A$764")&lt;&gt;"",FALSE),IFERROR(INDIRECT("'WCM Calibration Final'!$B$764")&lt;&gt;"",FALSE),IFERROR(INDIRECT("'WCM Calibration Final'!$C$764")&lt;&gt;"",FALSE)),764,0)</x:f>
        <x:v>0</x:v>
      </x:c>
      <x:c r="JB764" t="n">
        <x:f>'Calculations'!JB763+IF('Calculations'!JA764&gt;0,1,0)</x:f>
        <x:v>0</x:v>
      </x:c>
    </x:row>
    <x:row r="765">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4"/>
      <x:c r="DQ765" s="4"/>
      <x:c r="DR765" s="4"/>
      <x:c r="DS765" s="4"/>
      <x:c r="DT765" s="4"/>
      <x:c r="DU765" s="4"/>
      <x:c r="DV765" s="4"/>
      <x:c r="DW765" s="4"/>
      <x:c r="DX765" s="4"/>
      <x:c r="DY765" s="4"/>
      <x:c r="DZ765" s="4"/>
      <x:c r="EA765" s="4"/>
      <x:c r="EB765" s="4"/>
      <x:c r="EC765" s="4"/>
      <x:c r="ED765" s="4"/>
      <x:c r="EE765" s="4"/>
      <x:c r="EF765" s="4"/>
      <x:c r="EG765" s="4"/>
      <x:c r="EH765" s="4"/>
      <x:c r="EI765" s="4"/>
      <x:c r="EJ765" s="4"/>
      <x:c r="EK765" s="4"/>
      <x:c r="EL765" s="4"/>
      <x:c r="EM765" s="4"/>
      <x:c r="EN765" s="4"/>
      <x:c r="EO765" s="4"/>
      <x:c r="EP765" s="4"/>
      <x:c r="EQ765" s="4"/>
      <x:c r="ER765" s="4"/>
      <x:c r="ES765" s="4"/>
      <x:c r="ET765" s="4"/>
      <x:c r="EU765" s="4"/>
      <x:c r="EV765" s="4"/>
      <x:c r="EW765" s="4"/>
      <x:c r="EX765" s="4"/>
      <x:c r="EY765" s="4"/>
      <x:c r="EZ765" s="4"/>
      <x:c r="FA765" s="4"/>
      <x:c r="FB765" s="4"/>
      <x:c r="FC765" s="4"/>
      <x:c r="FD765" s="4"/>
      <x:c r="FE765" s="4"/>
      <x:c r="FF765" s="4"/>
      <x:c r="FG765" s="4"/>
      <x:c r="FH765" s="4"/>
      <x:c r="FI765" s="4"/>
      <x:c r="FJ765" s="4"/>
      <x:c r="FK765" s="4"/>
      <x:c r="FL765" s="4"/>
      <x:c r="FM765" s="4"/>
      <x:c r="FN765" s="4"/>
      <x:c r="FO765" s="4"/>
      <x:c r="JA765" t="n">
        <x:f>IF(OR(IFERROR(INDIRECT("'WCM Calibration Final'!$A$765")&lt;&gt;"",FALSE),IFERROR(INDIRECT("'WCM Calibration Final'!$B$765")&lt;&gt;"",FALSE),IFERROR(INDIRECT("'WCM Calibration Final'!$C$765")&lt;&gt;"",FALSE)),765,0)</x:f>
        <x:v>0</x:v>
      </x:c>
      <x:c r="JB765" t="n">
        <x:f>'Calculations'!JB764+IF('Calculations'!JA765&gt;0,1,0)</x:f>
        <x:v>0</x:v>
      </x:c>
    </x:row>
    <x:row r="766">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4"/>
      <x:c r="DQ766" s="4"/>
      <x:c r="DR766" s="4"/>
      <x:c r="DS766" s="4"/>
      <x:c r="DT766" s="4"/>
      <x:c r="DU766" s="4"/>
      <x:c r="DV766" s="4"/>
      <x:c r="DW766" s="4"/>
      <x:c r="DX766" s="4"/>
      <x:c r="DY766" s="4"/>
      <x:c r="DZ766" s="4"/>
      <x:c r="EA766" s="4"/>
      <x:c r="EB766" s="4"/>
      <x:c r="EC766" s="4"/>
      <x:c r="ED766" s="4"/>
      <x:c r="EE766" s="4"/>
      <x:c r="EF766" s="4"/>
      <x:c r="EG766" s="4"/>
      <x:c r="EH766" s="4"/>
      <x:c r="EI766" s="4"/>
      <x:c r="EJ766" s="4"/>
      <x:c r="EK766" s="4"/>
      <x:c r="EL766" s="4"/>
      <x:c r="EM766" s="4"/>
      <x:c r="EN766" s="4"/>
      <x:c r="EO766" s="4"/>
      <x:c r="EP766" s="4"/>
      <x:c r="EQ766" s="4"/>
      <x:c r="ER766" s="4"/>
      <x:c r="ES766" s="4"/>
      <x:c r="ET766" s="4"/>
      <x:c r="EU766" s="4"/>
      <x:c r="EV766" s="4"/>
      <x:c r="EW766" s="4"/>
      <x:c r="EX766" s="4"/>
      <x:c r="EY766" s="4"/>
      <x:c r="EZ766" s="4"/>
      <x:c r="FA766" s="4"/>
      <x:c r="FB766" s="4"/>
      <x:c r="FC766" s="4"/>
      <x:c r="FD766" s="4"/>
      <x:c r="FE766" s="4"/>
      <x:c r="FF766" s="4"/>
      <x:c r="FG766" s="4"/>
      <x:c r="FH766" s="4"/>
      <x:c r="FI766" s="4"/>
      <x:c r="FJ766" s="4"/>
      <x:c r="FK766" s="4"/>
      <x:c r="FL766" s="4"/>
      <x:c r="FM766" s="4"/>
      <x:c r="FN766" s="4"/>
      <x:c r="FO766" s="4"/>
      <x:c r="JA766" t="n">
        <x:f>IF(OR(IFERROR(INDIRECT("'WCM Calibration Final'!$A$766")&lt;&gt;"",FALSE),IFERROR(INDIRECT("'WCM Calibration Final'!$B$766")&lt;&gt;"",FALSE),IFERROR(INDIRECT("'WCM Calibration Final'!$C$766")&lt;&gt;"",FALSE)),766,0)</x:f>
        <x:v>0</x:v>
      </x:c>
      <x:c r="JB766" t="n">
        <x:f>'Calculations'!JB765+IF('Calculations'!JA766&gt;0,1,0)</x:f>
        <x:v>0</x:v>
      </x:c>
    </x:row>
    <x:row r="767">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4"/>
      <x:c r="DQ767" s="4"/>
      <x:c r="DR767" s="4"/>
      <x:c r="DS767" s="4"/>
      <x:c r="DT767" s="4"/>
      <x:c r="DU767" s="4"/>
      <x:c r="DV767" s="4"/>
      <x:c r="DW767" s="4"/>
      <x:c r="DX767" s="4"/>
      <x:c r="DY767" s="4"/>
      <x:c r="DZ767" s="4"/>
      <x:c r="EA767" s="4"/>
      <x:c r="EB767" s="4"/>
      <x:c r="EC767" s="4"/>
      <x:c r="ED767" s="4"/>
      <x:c r="EE767" s="4"/>
      <x:c r="EF767" s="4"/>
      <x:c r="EG767" s="4"/>
      <x:c r="EH767" s="4"/>
      <x:c r="EI767" s="4"/>
      <x:c r="EJ767" s="4"/>
      <x:c r="EK767" s="4"/>
      <x:c r="EL767" s="4"/>
      <x:c r="EM767" s="4"/>
      <x:c r="EN767" s="4"/>
      <x:c r="EO767" s="4"/>
      <x:c r="EP767" s="4"/>
      <x:c r="EQ767" s="4"/>
      <x:c r="ER767" s="4"/>
      <x:c r="ES767" s="4"/>
      <x:c r="ET767" s="4"/>
      <x:c r="EU767" s="4"/>
      <x:c r="EV767" s="4"/>
      <x:c r="EW767" s="4"/>
      <x:c r="EX767" s="4"/>
      <x:c r="EY767" s="4"/>
      <x:c r="EZ767" s="4"/>
      <x:c r="FA767" s="4"/>
      <x:c r="FB767" s="4"/>
      <x:c r="FC767" s="4"/>
      <x:c r="FD767" s="4"/>
      <x:c r="FE767" s="4"/>
      <x:c r="FF767" s="4"/>
      <x:c r="FG767" s="4"/>
      <x:c r="FH767" s="4"/>
      <x:c r="FI767" s="4"/>
      <x:c r="FJ767" s="4"/>
      <x:c r="FK767" s="4"/>
      <x:c r="FL767" s="4"/>
      <x:c r="FM767" s="4"/>
      <x:c r="FN767" s="4"/>
      <x:c r="FO767" s="4"/>
      <x:c r="JA767" t="n">
        <x:f>IF(OR(IFERROR(INDIRECT("'WCM Calibration Final'!$A$767")&lt;&gt;"",FALSE),IFERROR(INDIRECT("'WCM Calibration Final'!$B$767")&lt;&gt;"",FALSE),IFERROR(INDIRECT("'WCM Calibration Final'!$C$767")&lt;&gt;"",FALSE)),767,0)</x:f>
        <x:v>0</x:v>
      </x:c>
      <x:c r="JB767" t="n">
        <x:f>'Calculations'!JB766+IF('Calculations'!JA767&gt;0,1,0)</x:f>
        <x:v>0</x:v>
      </x:c>
    </x:row>
    <x:row r="768">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4"/>
      <x:c r="DQ768" s="4"/>
      <x:c r="DR768" s="4"/>
      <x:c r="DS768" s="4"/>
      <x:c r="DT768" s="4"/>
      <x:c r="DU768" s="4"/>
      <x:c r="DV768" s="4"/>
      <x:c r="DW768" s="4"/>
      <x:c r="DX768" s="4"/>
      <x:c r="DY768" s="4"/>
      <x:c r="DZ768" s="4"/>
      <x:c r="EA768" s="4"/>
      <x:c r="EB768" s="4"/>
      <x:c r="EC768" s="4"/>
      <x:c r="ED768" s="4"/>
      <x:c r="EE768" s="4"/>
      <x:c r="EF768" s="4"/>
      <x:c r="EG768" s="4"/>
      <x:c r="EH768" s="4"/>
      <x:c r="EI768" s="4"/>
      <x:c r="EJ768" s="4"/>
      <x:c r="EK768" s="4"/>
      <x:c r="EL768" s="4"/>
      <x:c r="EM768" s="4"/>
      <x:c r="EN768" s="4"/>
      <x:c r="EO768" s="4"/>
      <x:c r="EP768" s="4"/>
      <x:c r="EQ768" s="4"/>
      <x:c r="ER768" s="4"/>
      <x:c r="ES768" s="4"/>
      <x:c r="ET768" s="4"/>
      <x:c r="EU768" s="4"/>
      <x:c r="EV768" s="4"/>
      <x:c r="EW768" s="4"/>
      <x:c r="EX768" s="4"/>
      <x:c r="EY768" s="4"/>
      <x:c r="EZ768" s="4"/>
      <x:c r="FA768" s="4"/>
      <x:c r="FB768" s="4"/>
      <x:c r="FC768" s="4"/>
      <x:c r="FD768" s="4"/>
      <x:c r="FE768" s="4"/>
      <x:c r="FF768" s="4"/>
      <x:c r="FG768" s="4"/>
      <x:c r="FH768" s="4"/>
      <x:c r="FI768" s="4"/>
      <x:c r="FJ768" s="4"/>
      <x:c r="FK768" s="4"/>
      <x:c r="FL768" s="4"/>
      <x:c r="FM768" s="4"/>
      <x:c r="FN768" s="4"/>
      <x:c r="FO768" s="4"/>
      <x:c r="JA768" t="n">
        <x:f>IF(OR(IFERROR(INDIRECT("'WCM Calibration Final'!$A$768")&lt;&gt;"",FALSE),IFERROR(INDIRECT("'WCM Calibration Final'!$B$768")&lt;&gt;"",FALSE),IFERROR(INDIRECT("'WCM Calibration Final'!$C$768")&lt;&gt;"",FALSE)),768,0)</x:f>
        <x:v>0</x:v>
      </x:c>
      <x:c r="JB768" t="n">
        <x:f>'Calculations'!JB767+IF('Calculations'!JA768&gt;0,1,0)</x:f>
        <x:v>0</x:v>
      </x:c>
    </x:row>
    <x:row r="769">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4"/>
      <x:c r="DQ769" s="4"/>
      <x:c r="DR769" s="4"/>
      <x:c r="DS769" s="4"/>
      <x:c r="DT769" s="4"/>
      <x:c r="DU769" s="4"/>
      <x:c r="DV769" s="4"/>
      <x:c r="DW769" s="4"/>
      <x:c r="DX769" s="4"/>
      <x:c r="DY769" s="4"/>
      <x:c r="DZ769" s="4"/>
      <x:c r="EA769" s="4"/>
      <x:c r="EB769" s="4"/>
      <x:c r="EC769" s="4"/>
      <x:c r="ED769" s="4"/>
      <x:c r="EE769" s="4"/>
      <x:c r="EF769" s="4"/>
      <x:c r="EG769" s="4"/>
      <x:c r="EH769" s="4"/>
      <x:c r="EI769" s="4"/>
      <x:c r="EJ769" s="4"/>
      <x:c r="EK769" s="4"/>
      <x:c r="EL769" s="4"/>
      <x:c r="EM769" s="4"/>
      <x:c r="EN769" s="4"/>
      <x:c r="EO769" s="4"/>
      <x:c r="EP769" s="4"/>
      <x:c r="EQ769" s="4"/>
      <x:c r="ER769" s="4"/>
      <x:c r="ES769" s="4"/>
      <x:c r="ET769" s="4"/>
      <x:c r="EU769" s="4"/>
      <x:c r="EV769" s="4"/>
      <x:c r="EW769" s="4"/>
      <x:c r="EX769" s="4"/>
      <x:c r="EY769" s="4"/>
      <x:c r="EZ769" s="4"/>
      <x:c r="FA769" s="4"/>
      <x:c r="FB769" s="4"/>
      <x:c r="FC769" s="4"/>
      <x:c r="FD769" s="4"/>
      <x:c r="FE769" s="4"/>
      <x:c r="FF769" s="4"/>
      <x:c r="FG769" s="4"/>
      <x:c r="FH769" s="4"/>
      <x:c r="FI769" s="4"/>
      <x:c r="FJ769" s="4"/>
      <x:c r="FK769" s="4"/>
      <x:c r="FL769" s="4"/>
      <x:c r="FM769" s="4"/>
      <x:c r="FN769" s="4"/>
      <x:c r="FO769" s="4"/>
      <x:c r="JA769" t="n">
        <x:f>IF(OR(IFERROR(INDIRECT("'WCM Calibration Final'!$A$769")&lt;&gt;"",FALSE),IFERROR(INDIRECT("'WCM Calibration Final'!$B$769")&lt;&gt;"",FALSE),IFERROR(INDIRECT("'WCM Calibration Final'!$C$769")&lt;&gt;"",FALSE)),769,0)</x:f>
        <x:v>0</x:v>
      </x:c>
      <x:c r="JB769" t="n">
        <x:f>'Calculations'!JB768+IF('Calculations'!JA769&gt;0,1,0)</x:f>
        <x:v>0</x:v>
      </x:c>
    </x:row>
    <x:row r="770">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4"/>
      <x:c r="DQ770" s="4"/>
      <x:c r="DR770" s="4"/>
      <x:c r="DS770" s="4"/>
      <x:c r="DT770" s="4"/>
      <x:c r="DU770" s="4"/>
      <x:c r="DV770" s="4"/>
      <x:c r="DW770" s="4"/>
      <x:c r="DX770" s="4"/>
      <x:c r="DY770" s="4"/>
      <x:c r="DZ770" s="4"/>
      <x:c r="EA770" s="4"/>
      <x:c r="EB770" s="4"/>
      <x:c r="EC770" s="4"/>
      <x:c r="ED770" s="4"/>
      <x:c r="EE770" s="4"/>
      <x:c r="EF770" s="4"/>
      <x:c r="EG770" s="4"/>
      <x:c r="EH770" s="4"/>
      <x:c r="EI770" s="4"/>
      <x:c r="EJ770" s="4"/>
      <x:c r="EK770" s="4"/>
      <x:c r="EL770" s="4"/>
      <x:c r="EM770" s="4"/>
      <x:c r="EN770" s="4"/>
      <x:c r="EO770" s="4"/>
      <x:c r="EP770" s="4"/>
      <x:c r="EQ770" s="4"/>
      <x:c r="ER770" s="4"/>
      <x:c r="ES770" s="4"/>
      <x:c r="ET770" s="4"/>
      <x:c r="EU770" s="4"/>
      <x:c r="EV770" s="4"/>
      <x:c r="EW770" s="4"/>
      <x:c r="EX770" s="4"/>
      <x:c r="EY770" s="4"/>
      <x:c r="EZ770" s="4"/>
      <x:c r="FA770" s="4"/>
      <x:c r="FB770" s="4"/>
      <x:c r="FC770" s="4"/>
      <x:c r="FD770" s="4"/>
      <x:c r="FE770" s="4"/>
      <x:c r="FF770" s="4"/>
      <x:c r="FG770" s="4"/>
      <x:c r="FH770" s="4"/>
      <x:c r="FI770" s="4"/>
      <x:c r="FJ770" s="4"/>
      <x:c r="FK770" s="4"/>
      <x:c r="FL770" s="4"/>
      <x:c r="FM770" s="4"/>
      <x:c r="FN770" s="4"/>
      <x:c r="FO770" s="4"/>
      <x:c r="JA770" t="n">
        <x:f>IF(OR(IFERROR(INDIRECT("'WCM Calibration Final'!$A$770")&lt;&gt;"",FALSE),IFERROR(INDIRECT("'WCM Calibration Final'!$B$770")&lt;&gt;"",FALSE),IFERROR(INDIRECT("'WCM Calibration Final'!$C$770")&lt;&gt;"",FALSE)),770,0)</x:f>
        <x:v>0</x:v>
      </x:c>
      <x:c r="JB770" t="n">
        <x:f>'Calculations'!JB769+IF('Calculations'!JA770&gt;0,1,0)</x:f>
        <x:v>0</x:v>
      </x:c>
    </x:row>
    <x:row r="771">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4"/>
      <x:c r="DQ771" s="4"/>
      <x:c r="DR771" s="4"/>
      <x:c r="DS771" s="4"/>
      <x:c r="DT771" s="4"/>
      <x:c r="DU771" s="4"/>
      <x:c r="DV771" s="4"/>
      <x:c r="DW771" s="4"/>
      <x:c r="DX771" s="4"/>
      <x:c r="DY771" s="4"/>
      <x:c r="DZ771" s="4"/>
      <x:c r="EA771" s="4"/>
      <x:c r="EB771" s="4"/>
      <x:c r="EC771" s="4"/>
      <x:c r="ED771" s="4"/>
      <x:c r="EE771" s="4"/>
      <x:c r="EF771" s="4"/>
      <x:c r="EG771" s="4"/>
      <x:c r="EH771" s="4"/>
      <x:c r="EI771" s="4"/>
      <x:c r="EJ771" s="4"/>
      <x:c r="EK771" s="4"/>
      <x:c r="EL771" s="4"/>
      <x:c r="EM771" s="4"/>
      <x:c r="EN771" s="4"/>
      <x:c r="EO771" s="4"/>
      <x:c r="EP771" s="4"/>
      <x:c r="EQ771" s="4"/>
      <x:c r="ER771" s="4"/>
      <x:c r="ES771" s="4"/>
      <x:c r="ET771" s="4"/>
      <x:c r="EU771" s="4"/>
      <x:c r="EV771" s="4"/>
      <x:c r="EW771" s="4"/>
      <x:c r="EX771" s="4"/>
      <x:c r="EY771" s="4"/>
      <x:c r="EZ771" s="4"/>
      <x:c r="FA771" s="4"/>
      <x:c r="FB771" s="4"/>
      <x:c r="FC771" s="4"/>
      <x:c r="FD771" s="4"/>
      <x:c r="FE771" s="4"/>
      <x:c r="FF771" s="4"/>
      <x:c r="FG771" s="4"/>
      <x:c r="FH771" s="4"/>
      <x:c r="FI771" s="4"/>
      <x:c r="FJ771" s="4"/>
      <x:c r="FK771" s="4"/>
      <x:c r="FL771" s="4"/>
      <x:c r="FM771" s="4"/>
      <x:c r="FN771" s="4"/>
      <x:c r="FO771" s="4"/>
      <x:c r="JA771" t="n">
        <x:f>IF(OR(IFERROR(INDIRECT("'WCM Calibration Final'!$A$771")&lt;&gt;"",FALSE),IFERROR(INDIRECT("'WCM Calibration Final'!$B$771")&lt;&gt;"",FALSE),IFERROR(INDIRECT("'WCM Calibration Final'!$C$771")&lt;&gt;"",FALSE)),771,0)</x:f>
        <x:v>0</x:v>
      </x:c>
      <x:c r="JB771" t="n">
        <x:f>'Calculations'!JB770+IF('Calculations'!JA771&gt;0,1,0)</x:f>
        <x:v>0</x:v>
      </x:c>
    </x:row>
    <x:row r="772">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4"/>
      <x:c r="DQ772" s="4"/>
      <x:c r="DR772" s="4"/>
      <x:c r="DS772" s="4"/>
      <x:c r="DT772" s="4"/>
      <x:c r="DU772" s="4"/>
      <x:c r="DV772" s="4"/>
      <x:c r="DW772" s="4"/>
      <x:c r="DX772" s="4"/>
      <x:c r="DY772" s="4"/>
      <x:c r="DZ772" s="4"/>
      <x:c r="EA772" s="4"/>
      <x:c r="EB772" s="4"/>
      <x:c r="EC772" s="4"/>
      <x:c r="ED772" s="4"/>
      <x:c r="EE772" s="4"/>
      <x:c r="EF772" s="4"/>
      <x:c r="EG772" s="4"/>
      <x:c r="EH772" s="4"/>
      <x:c r="EI772" s="4"/>
      <x:c r="EJ772" s="4"/>
      <x:c r="EK772" s="4"/>
      <x:c r="EL772" s="4"/>
      <x:c r="EM772" s="4"/>
      <x:c r="EN772" s="4"/>
      <x:c r="EO772" s="4"/>
      <x:c r="EP772" s="4"/>
      <x:c r="EQ772" s="4"/>
      <x:c r="ER772" s="4"/>
      <x:c r="ES772" s="4"/>
      <x:c r="ET772" s="4"/>
      <x:c r="EU772" s="4"/>
      <x:c r="EV772" s="4"/>
      <x:c r="EW772" s="4"/>
      <x:c r="EX772" s="4"/>
      <x:c r="EY772" s="4"/>
      <x:c r="EZ772" s="4"/>
      <x:c r="FA772" s="4"/>
      <x:c r="FB772" s="4"/>
      <x:c r="FC772" s="4"/>
      <x:c r="FD772" s="4"/>
      <x:c r="FE772" s="4"/>
      <x:c r="FF772" s="4"/>
      <x:c r="FG772" s="4"/>
      <x:c r="FH772" s="4"/>
      <x:c r="FI772" s="4"/>
      <x:c r="FJ772" s="4"/>
      <x:c r="FK772" s="4"/>
      <x:c r="FL772" s="4"/>
      <x:c r="FM772" s="4"/>
      <x:c r="FN772" s="4"/>
      <x:c r="FO772" s="4"/>
      <x:c r="JA772" t="n">
        <x:f>IF(OR(IFERROR(INDIRECT("'WCM Calibration Final'!$A$772")&lt;&gt;"",FALSE),IFERROR(INDIRECT("'WCM Calibration Final'!$B$772")&lt;&gt;"",FALSE),IFERROR(INDIRECT("'WCM Calibration Final'!$C$772")&lt;&gt;"",FALSE)),772,0)</x:f>
        <x:v>0</x:v>
      </x:c>
      <x:c r="JB772" t="n">
        <x:f>'Calculations'!JB771+IF('Calculations'!JA772&gt;0,1,0)</x:f>
        <x:v>0</x:v>
      </x:c>
    </x:row>
    <x:row r="773">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4"/>
      <x:c r="DQ773" s="4"/>
      <x:c r="DR773" s="4"/>
      <x:c r="DS773" s="4"/>
      <x:c r="DT773" s="4"/>
      <x:c r="DU773" s="4"/>
      <x:c r="DV773" s="4"/>
      <x:c r="DW773" s="4"/>
      <x:c r="DX773" s="4"/>
      <x:c r="DY773" s="4"/>
      <x:c r="DZ773" s="4"/>
      <x:c r="EA773" s="4"/>
      <x:c r="EB773" s="4"/>
      <x:c r="EC773" s="4"/>
      <x:c r="ED773" s="4"/>
      <x:c r="EE773" s="4"/>
      <x:c r="EF773" s="4"/>
      <x:c r="EG773" s="4"/>
      <x:c r="EH773" s="4"/>
      <x:c r="EI773" s="4"/>
      <x:c r="EJ773" s="4"/>
      <x:c r="EK773" s="4"/>
      <x:c r="EL773" s="4"/>
      <x:c r="EM773" s="4"/>
      <x:c r="EN773" s="4"/>
      <x:c r="EO773" s="4"/>
      <x:c r="EP773" s="4"/>
      <x:c r="EQ773" s="4"/>
      <x:c r="ER773" s="4"/>
      <x:c r="ES773" s="4"/>
      <x:c r="ET773" s="4"/>
      <x:c r="EU773" s="4"/>
      <x:c r="EV773" s="4"/>
      <x:c r="EW773" s="4"/>
      <x:c r="EX773" s="4"/>
      <x:c r="EY773" s="4"/>
      <x:c r="EZ773" s="4"/>
      <x:c r="FA773" s="4"/>
      <x:c r="FB773" s="4"/>
      <x:c r="FC773" s="4"/>
      <x:c r="FD773" s="4"/>
      <x:c r="FE773" s="4"/>
      <x:c r="FF773" s="4"/>
      <x:c r="FG773" s="4"/>
      <x:c r="FH773" s="4"/>
      <x:c r="FI773" s="4"/>
      <x:c r="FJ773" s="4"/>
      <x:c r="FK773" s="4"/>
      <x:c r="FL773" s="4"/>
      <x:c r="FM773" s="4"/>
      <x:c r="FN773" s="4"/>
      <x:c r="FO773" s="4"/>
      <x:c r="JA773" t="n">
        <x:f>IF(OR(IFERROR(INDIRECT("'WCM Calibration Final'!$A$773")&lt;&gt;"",FALSE),IFERROR(INDIRECT("'WCM Calibration Final'!$B$773")&lt;&gt;"",FALSE),IFERROR(INDIRECT("'WCM Calibration Final'!$C$773")&lt;&gt;"",FALSE)),773,0)</x:f>
        <x:v>0</x:v>
      </x:c>
      <x:c r="JB773" t="n">
        <x:f>'Calculations'!JB772+IF('Calculations'!JA773&gt;0,1,0)</x:f>
        <x:v>0</x:v>
      </x:c>
    </x:row>
    <x:row r="774">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4"/>
      <x:c r="DQ774" s="4"/>
      <x:c r="DR774" s="4"/>
      <x:c r="DS774" s="4"/>
      <x:c r="DT774" s="4"/>
      <x:c r="DU774" s="4"/>
      <x:c r="DV774" s="4"/>
      <x:c r="DW774" s="4"/>
      <x:c r="DX774" s="4"/>
      <x:c r="DY774" s="4"/>
      <x:c r="DZ774" s="4"/>
      <x:c r="EA774" s="4"/>
      <x:c r="EB774" s="4"/>
      <x:c r="EC774" s="4"/>
      <x:c r="ED774" s="4"/>
      <x:c r="EE774" s="4"/>
      <x:c r="EF774" s="4"/>
      <x:c r="EG774" s="4"/>
      <x:c r="EH774" s="4"/>
      <x:c r="EI774" s="4"/>
      <x:c r="EJ774" s="4"/>
      <x:c r="EK774" s="4"/>
      <x:c r="EL774" s="4"/>
      <x:c r="EM774" s="4"/>
      <x:c r="EN774" s="4"/>
      <x:c r="EO774" s="4"/>
      <x:c r="EP774" s="4"/>
      <x:c r="EQ774" s="4"/>
      <x:c r="ER774" s="4"/>
      <x:c r="ES774" s="4"/>
      <x:c r="ET774" s="4"/>
      <x:c r="EU774" s="4"/>
      <x:c r="EV774" s="4"/>
      <x:c r="EW774" s="4"/>
      <x:c r="EX774" s="4"/>
      <x:c r="EY774" s="4"/>
      <x:c r="EZ774" s="4"/>
      <x:c r="FA774" s="4"/>
      <x:c r="FB774" s="4"/>
      <x:c r="FC774" s="4"/>
      <x:c r="FD774" s="4"/>
      <x:c r="FE774" s="4"/>
      <x:c r="FF774" s="4"/>
      <x:c r="FG774" s="4"/>
      <x:c r="FH774" s="4"/>
      <x:c r="FI774" s="4"/>
      <x:c r="FJ774" s="4"/>
      <x:c r="FK774" s="4"/>
      <x:c r="FL774" s="4"/>
      <x:c r="FM774" s="4"/>
      <x:c r="FN774" s="4"/>
      <x:c r="FO774" s="4"/>
      <x:c r="JA774" t="n">
        <x:f>IF(OR(IFERROR(INDIRECT("'WCM Calibration Final'!$A$774")&lt;&gt;"",FALSE),IFERROR(INDIRECT("'WCM Calibration Final'!$B$774")&lt;&gt;"",FALSE),IFERROR(INDIRECT("'WCM Calibration Final'!$C$774")&lt;&gt;"",FALSE)),774,0)</x:f>
        <x:v>0</x:v>
      </x:c>
      <x:c r="JB774" t="n">
        <x:f>'Calculations'!JB773+IF('Calculations'!JA774&gt;0,1,0)</x:f>
        <x:v>0</x:v>
      </x:c>
    </x:row>
    <x:row r="775">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4"/>
      <x:c r="DQ775" s="4"/>
      <x:c r="DR775" s="4"/>
      <x:c r="DS775" s="4"/>
      <x:c r="DT775" s="4"/>
      <x:c r="DU775" s="4"/>
      <x:c r="DV775" s="4"/>
      <x:c r="DW775" s="4"/>
      <x:c r="DX775" s="4"/>
      <x:c r="DY775" s="4"/>
      <x:c r="DZ775" s="4"/>
      <x:c r="EA775" s="4"/>
      <x:c r="EB775" s="4"/>
      <x:c r="EC775" s="4"/>
      <x:c r="ED775" s="4"/>
      <x:c r="EE775" s="4"/>
      <x:c r="EF775" s="4"/>
      <x:c r="EG775" s="4"/>
      <x:c r="EH775" s="4"/>
      <x:c r="EI775" s="4"/>
      <x:c r="EJ775" s="4"/>
      <x:c r="EK775" s="4"/>
      <x:c r="EL775" s="4"/>
      <x:c r="EM775" s="4"/>
      <x:c r="EN775" s="4"/>
      <x:c r="EO775" s="4"/>
      <x:c r="EP775" s="4"/>
      <x:c r="EQ775" s="4"/>
      <x:c r="ER775" s="4"/>
      <x:c r="ES775" s="4"/>
      <x:c r="ET775" s="4"/>
      <x:c r="EU775" s="4"/>
      <x:c r="EV775" s="4"/>
      <x:c r="EW775" s="4"/>
      <x:c r="EX775" s="4"/>
      <x:c r="EY775" s="4"/>
      <x:c r="EZ775" s="4"/>
      <x:c r="FA775" s="4"/>
      <x:c r="FB775" s="4"/>
      <x:c r="FC775" s="4"/>
      <x:c r="FD775" s="4"/>
      <x:c r="FE775" s="4"/>
      <x:c r="FF775" s="4"/>
      <x:c r="FG775" s="4"/>
      <x:c r="FH775" s="4"/>
      <x:c r="FI775" s="4"/>
      <x:c r="FJ775" s="4"/>
      <x:c r="FK775" s="4"/>
      <x:c r="FL775" s="4"/>
      <x:c r="FM775" s="4"/>
      <x:c r="FN775" s="4"/>
      <x:c r="FO775" s="4"/>
      <x:c r="JA775" t="n">
        <x:f>IF(OR(IFERROR(INDIRECT("'WCM Calibration Final'!$A$775")&lt;&gt;"",FALSE),IFERROR(INDIRECT("'WCM Calibration Final'!$B$775")&lt;&gt;"",FALSE),IFERROR(INDIRECT("'WCM Calibration Final'!$C$775")&lt;&gt;"",FALSE)),775,0)</x:f>
        <x:v>0</x:v>
      </x:c>
      <x:c r="JB775" t="n">
        <x:f>'Calculations'!JB774+IF('Calculations'!JA775&gt;0,1,0)</x:f>
        <x:v>0</x:v>
      </x:c>
    </x:row>
    <x:row r="776">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4"/>
      <x:c r="DQ776" s="4"/>
      <x:c r="DR776" s="4"/>
      <x:c r="DS776" s="4"/>
      <x:c r="DT776" s="4"/>
      <x:c r="DU776" s="4"/>
      <x:c r="DV776" s="4"/>
      <x:c r="DW776" s="4"/>
      <x:c r="DX776" s="4"/>
      <x:c r="DY776" s="4"/>
      <x:c r="DZ776" s="4"/>
      <x:c r="EA776" s="4"/>
      <x:c r="EB776" s="4"/>
      <x:c r="EC776" s="4"/>
      <x:c r="ED776" s="4"/>
      <x:c r="EE776" s="4"/>
      <x:c r="EF776" s="4"/>
      <x:c r="EG776" s="4"/>
      <x:c r="EH776" s="4"/>
      <x:c r="EI776" s="4"/>
      <x:c r="EJ776" s="4"/>
      <x:c r="EK776" s="4"/>
      <x:c r="EL776" s="4"/>
      <x:c r="EM776" s="4"/>
      <x:c r="EN776" s="4"/>
      <x:c r="EO776" s="4"/>
      <x:c r="EP776" s="4"/>
      <x:c r="EQ776" s="4"/>
      <x:c r="ER776" s="4"/>
      <x:c r="ES776" s="4"/>
      <x:c r="ET776" s="4"/>
      <x:c r="EU776" s="4"/>
      <x:c r="EV776" s="4"/>
      <x:c r="EW776" s="4"/>
      <x:c r="EX776" s="4"/>
      <x:c r="EY776" s="4"/>
      <x:c r="EZ776" s="4"/>
      <x:c r="FA776" s="4"/>
      <x:c r="FB776" s="4"/>
      <x:c r="FC776" s="4"/>
      <x:c r="FD776" s="4"/>
      <x:c r="FE776" s="4"/>
      <x:c r="FF776" s="4"/>
      <x:c r="FG776" s="4"/>
      <x:c r="FH776" s="4"/>
      <x:c r="FI776" s="4"/>
      <x:c r="FJ776" s="4"/>
      <x:c r="FK776" s="4"/>
      <x:c r="FL776" s="4"/>
      <x:c r="FM776" s="4"/>
      <x:c r="FN776" s="4"/>
      <x:c r="FO776" s="4"/>
      <x:c r="JA776" t="n">
        <x:f>IF(OR(IFERROR(INDIRECT("'WCM Calibration Final'!$A$776")&lt;&gt;"",FALSE),IFERROR(INDIRECT("'WCM Calibration Final'!$B$776")&lt;&gt;"",FALSE),IFERROR(INDIRECT("'WCM Calibration Final'!$C$776")&lt;&gt;"",FALSE)),776,0)</x:f>
        <x:v>0</x:v>
      </x:c>
      <x:c r="JB776" t="n">
        <x:f>'Calculations'!JB775+IF('Calculations'!JA776&gt;0,1,0)</x:f>
        <x:v>0</x:v>
      </x:c>
    </x:row>
    <x:row r="777">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4"/>
      <x:c r="DQ777" s="4"/>
      <x:c r="DR777" s="4"/>
      <x:c r="DS777" s="4"/>
      <x:c r="DT777" s="4"/>
      <x:c r="DU777" s="4"/>
      <x:c r="DV777" s="4"/>
      <x:c r="DW777" s="4"/>
      <x:c r="DX777" s="4"/>
      <x:c r="DY777" s="4"/>
      <x:c r="DZ777" s="4"/>
      <x:c r="EA777" s="4"/>
      <x:c r="EB777" s="4"/>
      <x:c r="EC777" s="4"/>
      <x:c r="ED777" s="4"/>
      <x:c r="EE777" s="4"/>
      <x:c r="EF777" s="4"/>
      <x:c r="EG777" s="4"/>
      <x:c r="EH777" s="4"/>
      <x:c r="EI777" s="4"/>
      <x:c r="EJ777" s="4"/>
      <x:c r="EK777" s="4"/>
      <x:c r="EL777" s="4"/>
      <x:c r="EM777" s="4"/>
      <x:c r="EN777" s="4"/>
      <x:c r="EO777" s="4"/>
      <x:c r="EP777" s="4"/>
      <x:c r="EQ777" s="4"/>
      <x:c r="ER777" s="4"/>
      <x:c r="ES777" s="4"/>
      <x:c r="ET777" s="4"/>
      <x:c r="EU777" s="4"/>
      <x:c r="EV777" s="4"/>
      <x:c r="EW777" s="4"/>
      <x:c r="EX777" s="4"/>
      <x:c r="EY777" s="4"/>
      <x:c r="EZ777" s="4"/>
      <x:c r="FA777" s="4"/>
      <x:c r="FB777" s="4"/>
      <x:c r="FC777" s="4"/>
      <x:c r="FD777" s="4"/>
      <x:c r="FE777" s="4"/>
      <x:c r="FF777" s="4"/>
      <x:c r="FG777" s="4"/>
      <x:c r="FH777" s="4"/>
      <x:c r="FI777" s="4"/>
      <x:c r="FJ777" s="4"/>
      <x:c r="FK777" s="4"/>
      <x:c r="FL777" s="4"/>
      <x:c r="FM777" s="4"/>
      <x:c r="FN777" s="4"/>
      <x:c r="FO777" s="4"/>
      <x:c r="JA777" t="n">
        <x:f>IF(OR(IFERROR(INDIRECT("'WCM Calibration Final'!$A$777")&lt;&gt;"",FALSE),IFERROR(INDIRECT("'WCM Calibration Final'!$B$777")&lt;&gt;"",FALSE),IFERROR(INDIRECT("'WCM Calibration Final'!$C$777")&lt;&gt;"",FALSE)),777,0)</x:f>
        <x:v>0</x:v>
      </x:c>
      <x:c r="JB777" t="n">
        <x:f>'Calculations'!JB776+IF('Calculations'!JA777&gt;0,1,0)</x:f>
        <x:v>0</x:v>
      </x:c>
    </x:row>
    <x:row r="778">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4"/>
      <x:c r="DQ778" s="4"/>
      <x:c r="DR778" s="4"/>
      <x:c r="DS778" s="4"/>
      <x:c r="DT778" s="4"/>
      <x:c r="DU778" s="4"/>
      <x:c r="DV778" s="4"/>
      <x:c r="DW778" s="4"/>
      <x:c r="DX778" s="4"/>
      <x:c r="DY778" s="4"/>
      <x:c r="DZ778" s="4"/>
      <x:c r="EA778" s="4"/>
      <x:c r="EB778" s="4"/>
      <x:c r="EC778" s="4"/>
      <x:c r="ED778" s="4"/>
      <x:c r="EE778" s="4"/>
      <x:c r="EF778" s="4"/>
      <x:c r="EG778" s="4"/>
      <x:c r="EH778" s="4"/>
      <x:c r="EI778" s="4"/>
      <x:c r="EJ778" s="4"/>
      <x:c r="EK778" s="4"/>
      <x:c r="EL778" s="4"/>
      <x:c r="EM778" s="4"/>
      <x:c r="EN778" s="4"/>
      <x:c r="EO778" s="4"/>
      <x:c r="EP778" s="4"/>
      <x:c r="EQ778" s="4"/>
      <x:c r="ER778" s="4"/>
      <x:c r="ES778" s="4"/>
      <x:c r="ET778" s="4"/>
      <x:c r="EU778" s="4"/>
      <x:c r="EV778" s="4"/>
      <x:c r="EW778" s="4"/>
      <x:c r="EX778" s="4"/>
      <x:c r="EY778" s="4"/>
      <x:c r="EZ778" s="4"/>
      <x:c r="FA778" s="4"/>
      <x:c r="FB778" s="4"/>
      <x:c r="FC778" s="4"/>
      <x:c r="FD778" s="4"/>
      <x:c r="FE778" s="4"/>
      <x:c r="FF778" s="4"/>
      <x:c r="FG778" s="4"/>
      <x:c r="FH778" s="4"/>
      <x:c r="FI778" s="4"/>
      <x:c r="FJ778" s="4"/>
      <x:c r="FK778" s="4"/>
      <x:c r="FL778" s="4"/>
      <x:c r="FM778" s="4"/>
      <x:c r="FN778" s="4"/>
      <x:c r="FO778" s="4"/>
      <x:c r="JA778" t="n">
        <x:f>IF(OR(IFERROR(INDIRECT("'WCM Calibration Final'!$A$778")&lt;&gt;"",FALSE),IFERROR(INDIRECT("'WCM Calibration Final'!$B$778")&lt;&gt;"",FALSE),IFERROR(INDIRECT("'WCM Calibration Final'!$C$778")&lt;&gt;"",FALSE)),778,0)</x:f>
        <x:v>0</x:v>
      </x:c>
      <x:c r="JB778" t="n">
        <x:f>'Calculations'!JB777+IF('Calculations'!JA778&gt;0,1,0)</x:f>
        <x:v>0</x:v>
      </x:c>
    </x:row>
    <x:row r="779">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4"/>
      <x:c r="DQ779" s="4"/>
      <x:c r="DR779" s="4"/>
      <x:c r="DS779" s="4"/>
      <x:c r="DT779" s="4"/>
      <x:c r="DU779" s="4"/>
      <x:c r="DV779" s="4"/>
      <x:c r="DW779" s="4"/>
      <x:c r="DX779" s="4"/>
      <x:c r="DY779" s="4"/>
      <x:c r="DZ779" s="4"/>
      <x:c r="EA779" s="4"/>
      <x:c r="EB779" s="4"/>
      <x:c r="EC779" s="4"/>
      <x:c r="ED779" s="4"/>
      <x:c r="EE779" s="4"/>
      <x:c r="EF779" s="4"/>
      <x:c r="EG779" s="4"/>
      <x:c r="EH779" s="4"/>
      <x:c r="EI779" s="4"/>
      <x:c r="EJ779" s="4"/>
      <x:c r="EK779" s="4"/>
      <x:c r="EL779" s="4"/>
      <x:c r="EM779" s="4"/>
      <x:c r="EN779" s="4"/>
      <x:c r="EO779" s="4"/>
      <x:c r="EP779" s="4"/>
      <x:c r="EQ779" s="4"/>
      <x:c r="ER779" s="4"/>
      <x:c r="ES779" s="4"/>
      <x:c r="ET779" s="4"/>
      <x:c r="EU779" s="4"/>
      <x:c r="EV779" s="4"/>
      <x:c r="EW779" s="4"/>
      <x:c r="EX779" s="4"/>
      <x:c r="EY779" s="4"/>
      <x:c r="EZ779" s="4"/>
      <x:c r="FA779" s="4"/>
      <x:c r="FB779" s="4"/>
      <x:c r="FC779" s="4"/>
      <x:c r="FD779" s="4"/>
      <x:c r="FE779" s="4"/>
      <x:c r="FF779" s="4"/>
      <x:c r="FG779" s="4"/>
      <x:c r="FH779" s="4"/>
      <x:c r="FI779" s="4"/>
      <x:c r="FJ779" s="4"/>
      <x:c r="FK779" s="4"/>
      <x:c r="FL779" s="4"/>
      <x:c r="FM779" s="4"/>
      <x:c r="FN779" s="4"/>
      <x:c r="FO779" s="4"/>
      <x:c r="JA779" t="n">
        <x:f>IF(OR(IFERROR(INDIRECT("'WCM Calibration Final'!$A$779")&lt;&gt;"",FALSE),IFERROR(INDIRECT("'WCM Calibration Final'!$B$779")&lt;&gt;"",FALSE),IFERROR(INDIRECT("'WCM Calibration Final'!$C$779")&lt;&gt;"",FALSE)),779,0)</x:f>
        <x:v>0</x:v>
      </x:c>
      <x:c r="JB779" t="n">
        <x:f>'Calculations'!JB778+IF('Calculations'!JA779&gt;0,1,0)</x:f>
        <x:v>0</x:v>
      </x:c>
    </x:row>
    <x:row r="780">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4"/>
      <x:c r="DQ780" s="4"/>
      <x:c r="DR780" s="4"/>
      <x:c r="DS780" s="4"/>
      <x:c r="DT780" s="4"/>
      <x:c r="DU780" s="4"/>
      <x:c r="DV780" s="4"/>
      <x:c r="DW780" s="4"/>
      <x:c r="DX780" s="4"/>
      <x:c r="DY780" s="4"/>
      <x:c r="DZ780" s="4"/>
      <x:c r="EA780" s="4"/>
      <x:c r="EB780" s="4"/>
      <x:c r="EC780" s="4"/>
      <x:c r="ED780" s="4"/>
      <x:c r="EE780" s="4"/>
      <x:c r="EF780" s="4"/>
      <x:c r="EG780" s="4"/>
      <x:c r="EH780" s="4"/>
      <x:c r="EI780" s="4"/>
      <x:c r="EJ780" s="4"/>
      <x:c r="EK780" s="4"/>
      <x:c r="EL780" s="4"/>
      <x:c r="EM780" s="4"/>
      <x:c r="EN780" s="4"/>
      <x:c r="EO780" s="4"/>
      <x:c r="EP780" s="4"/>
      <x:c r="EQ780" s="4"/>
      <x:c r="ER780" s="4"/>
      <x:c r="ES780" s="4"/>
      <x:c r="ET780" s="4"/>
      <x:c r="EU780" s="4"/>
      <x:c r="EV780" s="4"/>
      <x:c r="EW780" s="4"/>
      <x:c r="EX780" s="4"/>
      <x:c r="EY780" s="4"/>
      <x:c r="EZ780" s="4"/>
      <x:c r="FA780" s="4"/>
      <x:c r="FB780" s="4"/>
      <x:c r="FC780" s="4"/>
      <x:c r="FD780" s="4"/>
      <x:c r="FE780" s="4"/>
      <x:c r="FF780" s="4"/>
      <x:c r="FG780" s="4"/>
      <x:c r="FH780" s="4"/>
      <x:c r="FI780" s="4"/>
      <x:c r="FJ780" s="4"/>
      <x:c r="FK780" s="4"/>
      <x:c r="FL780" s="4"/>
      <x:c r="FM780" s="4"/>
      <x:c r="FN780" s="4"/>
      <x:c r="FO780" s="4"/>
      <x:c r="JA780" t="n">
        <x:f>IF(OR(IFERROR(INDIRECT("'WCM Calibration Final'!$A$780")&lt;&gt;"",FALSE),IFERROR(INDIRECT("'WCM Calibration Final'!$B$780")&lt;&gt;"",FALSE),IFERROR(INDIRECT("'WCM Calibration Final'!$C$780")&lt;&gt;"",FALSE)),780,0)</x:f>
        <x:v>0</x:v>
      </x:c>
      <x:c r="JB780" t="n">
        <x:f>'Calculations'!JB779+IF('Calculations'!JA780&gt;0,1,0)</x:f>
        <x:v>0</x:v>
      </x:c>
    </x:row>
    <x:row r="781">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4"/>
      <x:c r="DQ781" s="4"/>
      <x:c r="DR781" s="4"/>
      <x:c r="DS781" s="4"/>
      <x:c r="DT781" s="4"/>
      <x:c r="DU781" s="4"/>
      <x:c r="DV781" s="4"/>
      <x:c r="DW781" s="4"/>
      <x:c r="DX781" s="4"/>
      <x:c r="DY781" s="4"/>
      <x:c r="DZ781" s="4"/>
      <x:c r="EA781" s="4"/>
      <x:c r="EB781" s="4"/>
      <x:c r="EC781" s="4"/>
      <x:c r="ED781" s="4"/>
      <x:c r="EE781" s="4"/>
      <x:c r="EF781" s="4"/>
      <x:c r="EG781" s="4"/>
      <x:c r="EH781" s="4"/>
      <x:c r="EI781" s="4"/>
      <x:c r="EJ781" s="4"/>
      <x:c r="EK781" s="4"/>
      <x:c r="EL781" s="4"/>
      <x:c r="EM781" s="4"/>
      <x:c r="EN781" s="4"/>
      <x:c r="EO781" s="4"/>
      <x:c r="EP781" s="4"/>
      <x:c r="EQ781" s="4"/>
      <x:c r="ER781" s="4"/>
      <x:c r="ES781" s="4"/>
      <x:c r="ET781" s="4"/>
      <x:c r="EU781" s="4"/>
      <x:c r="EV781" s="4"/>
      <x:c r="EW781" s="4"/>
      <x:c r="EX781" s="4"/>
      <x:c r="EY781" s="4"/>
      <x:c r="EZ781" s="4"/>
      <x:c r="FA781" s="4"/>
      <x:c r="FB781" s="4"/>
      <x:c r="FC781" s="4"/>
      <x:c r="FD781" s="4"/>
      <x:c r="FE781" s="4"/>
      <x:c r="FF781" s="4"/>
      <x:c r="FG781" s="4"/>
      <x:c r="FH781" s="4"/>
      <x:c r="FI781" s="4"/>
      <x:c r="FJ781" s="4"/>
      <x:c r="FK781" s="4"/>
      <x:c r="FL781" s="4"/>
      <x:c r="FM781" s="4"/>
      <x:c r="FN781" s="4"/>
      <x:c r="FO781" s="4"/>
      <x:c r="JA781" t="n">
        <x:f>IF(OR(IFERROR(INDIRECT("'WCM Calibration Final'!$A$781")&lt;&gt;"",FALSE),IFERROR(INDIRECT("'WCM Calibration Final'!$B$781")&lt;&gt;"",FALSE),IFERROR(INDIRECT("'WCM Calibration Final'!$C$781")&lt;&gt;"",FALSE)),781,0)</x:f>
        <x:v>0</x:v>
      </x:c>
      <x:c r="JB781" t="n">
        <x:f>'Calculations'!JB780+IF('Calculations'!JA781&gt;0,1,0)</x:f>
        <x:v>0</x:v>
      </x:c>
    </x:row>
    <x:row r="782">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4"/>
      <x:c r="DQ782" s="4"/>
      <x:c r="DR782" s="4"/>
      <x:c r="DS782" s="4"/>
      <x:c r="DT782" s="4"/>
      <x:c r="DU782" s="4"/>
      <x:c r="DV782" s="4"/>
      <x:c r="DW782" s="4"/>
      <x:c r="DX782" s="4"/>
      <x:c r="DY782" s="4"/>
      <x:c r="DZ782" s="4"/>
      <x:c r="EA782" s="4"/>
      <x:c r="EB782" s="4"/>
      <x:c r="EC782" s="4"/>
      <x:c r="ED782" s="4"/>
      <x:c r="EE782" s="4"/>
      <x:c r="EF782" s="4"/>
      <x:c r="EG782" s="4"/>
      <x:c r="EH782" s="4"/>
      <x:c r="EI782" s="4"/>
      <x:c r="EJ782" s="4"/>
      <x:c r="EK782" s="4"/>
      <x:c r="EL782" s="4"/>
      <x:c r="EM782" s="4"/>
      <x:c r="EN782" s="4"/>
      <x:c r="EO782" s="4"/>
      <x:c r="EP782" s="4"/>
      <x:c r="EQ782" s="4"/>
      <x:c r="ER782" s="4"/>
      <x:c r="ES782" s="4"/>
      <x:c r="ET782" s="4"/>
      <x:c r="EU782" s="4"/>
      <x:c r="EV782" s="4"/>
      <x:c r="EW782" s="4"/>
      <x:c r="EX782" s="4"/>
      <x:c r="EY782" s="4"/>
      <x:c r="EZ782" s="4"/>
      <x:c r="FA782" s="4"/>
      <x:c r="FB782" s="4"/>
      <x:c r="FC782" s="4"/>
      <x:c r="FD782" s="4"/>
      <x:c r="FE782" s="4"/>
      <x:c r="FF782" s="4"/>
      <x:c r="FG782" s="4"/>
      <x:c r="FH782" s="4"/>
      <x:c r="FI782" s="4"/>
      <x:c r="FJ782" s="4"/>
      <x:c r="FK782" s="4"/>
      <x:c r="FL782" s="4"/>
      <x:c r="FM782" s="4"/>
      <x:c r="FN782" s="4"/>
      <x:c r="FO782" s="4"/>
      <x:c r="JA782" t="n">
        <x:f>IF(OR(IFERROR(INDIRECT("'WCM Calibration Final'!$A$782")&lt;&gt;"",FALSE),IFERROR(INDIRECT("'WCM Calibration Final'!$B$782")&lt;&gt;"",FALSE),IFERROR(INDIRECT("'WCM Calibration Final'!$C$782")&lt;&gt;"",FALSE)),782,0)</x:f>
        <x:v>0</x:v>
      </x:c>
      <x:c r="JB782" t="n">
        <x:f>'Calculations'!JB781+IF('Calculations'!JA782&gt;0,1,0)</x:f>
        <x:v>0</x:v>
      </x:c>
    </x:row>
    <x:row r="783">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4"/>
      <x:c r="DQ783" s="4"/>
      <x:c r="DR783" s="4"/>
      <x:c r="DS783" s="4"/>
      <x:c r="DT783" s="4"/>
      <x:c r="DU783" s="4"/>
      <x:c r="DV783" s="4"/>
      <x:c r="DW783" s="4"/>
      <x:c r="DX783" s="4"/>
      <x:c r="DY783" s="4"/>
      <x:c r="DZ783" s="4"/>
      <x:c r="EA783" s="4"/>
      <x:c r="EB783" s="4"/>
      <x:c r="EC783" s="4"/>
      <x:c r="ED783" s="4"/>
      <x:c r="EE783" s="4"/>
      <x:c r="EF783" s="4"/>
      <x:c r="EG783" s="4"/>
      <x:c r="EH783" s="4"/>
      <x:c r="EI783" s="4"/>
      <x:c r="EJ783" s="4"/>
      <x:c r="EK783" s="4"/>
      <x:c r="EL783" s="4"/>
      <x:c r="EM783" s="4"/>
      <x:c r="EN783" s="4"/>
      <x:c r="EO783" s="4"/>
      <x:c r="EP783" s="4"/>
      <x:c r="EQ783" s="4"/>
      <x:c r="ER783" s="4"/>
      <x:c r="ES783" s="4"/>
      <x:c r="ET783" s="4"/>
      <x:c r="EU783" s="4"/>
      <x:c r="EV783" s="4"/>
      <x:c r="EW783" s="4"/>
      <x:c r="EX783" s="4"/>
      <x:c r="EY783" s="4"/>
      <x:c r="EZ783" s="4"/>
      <x:c r="FA783" s="4"/>
      <x:c r="FB783" s="4"/>
      <x:c r="FC783" s="4"/>
      <x:c r="FD783" s="4"/>
      <x:c r="FE783" s="4"/>
      <x:c r="FF783" s="4"/>
      <x:c r="FG783" s="4"/>
      <x:c r="FH783" s="4"/>
      <x:c r="FI783" s="4"/>
      <x:c r="FJ783" s="4"/>
      <x:c r="FK783" s="4"/>
      <x:c r="FL783" s="4"/>
      <x:c r="FM783" s="4"/>
      <x:c r="FN783" s="4"/>
      <x:c r="FO783" s="4"/>
      <x:c r="JA783" t="n">
        <x:f>IF(OR(IFERROR(INDIRECT("'WCM Calibration Final'!$A$783")&lt;&gt;"",FALSE),IFERROR(INDIRECT("'WCM Calibration Final'!$B$783")&lt;&gt;"",FALSE),IFERROR(INDIRECT("'WCM Calibration Final'!$C$783")&lt;&gt;"",FALSE)),783,0)</x:f>
        <x:v>0</x:v>
      </x:c>
      <x:c r="JB783" t="n">
        <x:f>'Calculations'!JB782+IF('Calculations'!JA783&gt;0,1,0)</x:f>
        <x:v>0</x:v>
      </x:c>
    </x:row>
    <x:row r="784">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4"/>
      <x:c r="DQ784" s="4"/>
      <x:c r="DR784" s="4"/>
      <x:c r="DS784" s="4"/>
      <x:c r="DT784" s="4"/>
      <x:c r="DU784" s="4"/>
      <x:c r="DV784" s="4"/>
      <x:c r="DW784" s="4"/>
      <x:c r="DX784" s="4"/>
      <x:c r="DY784" s="4"/>
      <x:c r="DZ784" s="4"/>
      <x:c r="EA784" s="4"/>
      <x:c r="EB784" s="4"/>
      <x:c r="EC784" s="4"/>
      <x:c r="ED784" s="4"/>
      <x:c r="EE784" s="4"/>
      <x:c r="EF784" s="4"/>
      <x:c r="EG784" s="4"/>
      <x:c r="EH784" s="4"/>
      <x:c r="EI784" s="4"/>
      <x:c r="EJ784" s="4"/>
      <x:c r="EK784" s="4"/>
      <x:c r="EL784" s="4"/>
      <x:c r="EM784" s="4"/>
      <x:c r="EN784" s="4"/>
      <x:c r="EO784" s="4"/>
      <x:c r="EP784" s="4"/>
      <x:c r="EQ784" s="4"/>
      <x:c r="ER784" s="4"/>
      <x:c r="ES784" s="4"/>
      <x:c r="ET784" s="4"/>
      <x:c r="EU784" s="4"/>
      <x:c r="EV784" s="4"/>
      <x:c r="EW784" s="4"/>
      <x:c r="EX784" s="4"/>
      <x:c r="EY784" s="4"/>
      <x:c r="EZ784" s="4"/>
      <x:c r="FA784" s="4"/>
      <x:c r="FB784" s="4"/>
      <x:c r="FC784" s="4"/>
      <x:c r="FD784" s="4"/>
      <x:c r="FE784" s="4"/>
      <x:c r="FF784" s="4"/>
      <x:c r="FG784" s="4"/>
      <x:c r="FH784" s="4"/>
      <x:c r="FI784" s="4"/>
      <x:c r="FJ784" s="4"/>
      <x:c r="FK784" s="4"/>
      <x:c r="FL784" s="4"/>
      <x:c r="FM784" s="4"/>
      <x:c r="FN784" s="4"/>
      <x:c r="FO784" s="4"/>
      <x:c r="JA784" t="n">
        <x:f>IF(OR(IFERROR(INDIRECT("'WCM Calibration Final'!$A$784")&lt;&gt;"",FALSE),IFERROR(INDIRECT("'WCM Calibration Final'!$B$784")&lt;&gt;"",FALSE),IFERROR(INDIRECT("'WCM Calibration Final'!$C$784")&lt;&gt;"",FALSE)),784,0)</x:f>
        <x:v>0</x:v>
      </x:c>
      <x:c r="JB784" t="n">
        <x:f>'Calculations'!JB783+IF('Calculations'!JA784&gt;0,1,0)</x:f>
        <x:v>0</x:v>
      </x:c>
    </x:row>
    <x:row r="785">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4"/>
      <x:c r="DQ785" s="4"/>
      <x:c r="DR785" s="4"/>
      <x:c r="DS785" s="4"/>
      <x:c r="DT785" s="4"/>
      <x:c r="DU785" s="4"/>
      <x:c r="DV785" s="4"/>
      <x:c r="DW785" s="4"/>
      <x:c r="DX785" s="4"/>
      <x:c r="DY785" s="4"/>
      <x:c r="DZ785" s="4"/>
      <x:c r="EA785" s="4"/>
      <x:c r="EB785" s="4"/>
      <x:c r="EC785" s="4"/>
      <x:c r="ED785" s="4"/>
      <x:c r="EE785" s="4"/>
      <x:c r="EF785" s="4"/>
      <x:c r="EG785" s="4"/>
      <x:c r="EH785" s="4"/>
      <x:c r="EI785" s="4"/>
      <x:c r="EJ785" s="4"/>
      <x:c r="EK785" s="4"/>
      <x:c r="EL785" s="4"/>
      <x:c r="EM785" s="4"/>
      <x:c r="EN785" s="4"/>
      <x:c r="EO785" s="4"/>
      <x:c r="EP785" s="4"/>
      <x:c r="EQ785" s="4"/>
      <x:c r="ER785" s="4"/>
      <x:c r="ES785" s="4"/>
      <x:c r="ET785" s="4"/>
      <x:c r="EU785" s="4"/>
      <x:c r="EV785" s="4"/>
      <x:c r="EW785" s="4"/>
      <x:c r="EX785" s="4"/>
      <x:c r="EY785" s="4"/>
      <x:c r="EZ785" s="4"/>
      <x:c r="FA785" s="4"/>
      <x:c r="FB785" s="4"/>
      <x:c r="FC785" s="4"/>
      <x:c r="FD785" s="4"/>
      <x:c r="FE785" s="4"/>
      <x:c r="FF785" s="4"/>
      <x:c r="FG785" s="4"/>
      <x:c r="FH785" s="4"/>
      <x:c r="FI785" s="4"/>
      <x:c r="FJ785" s="4"/>
      <x:c r="FK785" s="4"/>
      <x:c r="FL785" s="4"/>
      <x:c r="FM785" s="4"/>
      <x:c r="FN785" s="4"/>
      <x:c r="FO785" s="4"/>
      <x:c r="JA785" t="n">
        <x:f>IF(OR(IFERROR(INDIRECT("'WCM Calibration Final'!$A$785")&lt;&gt;"",FALSE),IFERROR(INDIRECT("'WCM Calibration Final'!$B$785")&lt;&gt;"",FALSE),IFERROR(INDIRECT("'WCM Calibration Final'!$C$785")&lt;&gt;"",FALSE)),785,0)</x:f>
        <x:v>0</x:v>
      </x:c>
      <x:c r="JB785" t="n">
        <x:f>'Calculations'!JB784+IF('Calculations'!JA785&gt;0,1,0)</x:f>
        <x:v>0</x:v>
      </x:c>
    </x:row>
    <x:row r="786">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4"/>
      <x:c r="DQ786" s="4"/>
      <x:c r="DR786" s="4"/>
      <x:c r="DS786" s="4"/>
      <x:c r="DT786" s="4"/>
      <x:c r="DU786" s="4"/>
      <x:c r="DV786" s="4"/>
      <x:c r="DW786" s="4"/>
      <x:c r="DX786" s="4"/>
      <x:c r="DY786" s="4"/>
      <x:c r="DZ786" s="4"/>
      <x:c r="EA786" s="4"/>
      <x:c r="EB786" s="4"/>
      <x:c r="EC786" s="4"/>
      <x:c r="ED786" s="4"/>
      <x:c r="EE786" s="4"/>
      <x:c r="EF786" s="4"/>
      <x:c r="EG786" s="4"/>
      <x:c r="EH786" s="4"/>
      <x:c r="EI786" s="4"/>
      <x:c r="EJ786" s="4"/>
      <x:c r="EK786" s="4"/>
      <x:c r="EL786" s="4"/>
      <x:c r="EM786" s="4"/>
      <x:c r="EN786" s="4"/>
      <x:c r="EO786" s="4"/>
      <x:c r="EP786" s="4"/>
      <x:c r="EQ786" s="4"/>
      <x:c r="ER786" s="4"/>
      <x:c r="ES786" s="4"/>
      <x:c r="ET786" s="4"/>
      <x:c r="EU786" s="4"/>
      <x:c r="EV786" s="4"/>
      <x:c r="EW786" s="4"/>
      <x:c r="EX786" s="4"/>
      <x:c r="EY786" s="4"/>
      <x:c r="EZ786" s="4"/>
      <x:c r="FA786" s="4"/>
      <x:c r="FB786" s="4"/>
      <x:c r="FC786" s="4"/>
      <x:c r="FD786" s="4"/>
      <x:c r="FE786" s="4"/>
      <x:c r="FF786" s="4"/>
      <x:c r="FG786" s="4"/>
      <x:c r="FH786" s="4"/>
      <x:c r="FI786" s="4"/>
      <x:c r="FJ786" s="4"/>
      <x:c r="FK786" s="4"/>
      <x:c r="FL786" s="4"/>
      <x:c r="FM786" s="4"/>
      <x:c r="FN786" s="4"/>
      <x:c r="FO786" s="4"/>
      <x:c r="JA786" t="n">
        <x:f>IF(OR(IFERROR(INDIRECT("'WCM Calibration Final'!$A$786")&lt;&gt;"",FALSE),IFERROR(INDIRECT("'WCM Calibration Final'!$B$786")&lt;&gt;"",FALSE),IFERROR(INDIRECT("'WCM Calibration Final'!$C$786")&lt;&gt;"",FALSE)),786,0)</x:f>
        <x:v>0</x:v>
      </x:c>
      <x:c r="JB786" t="n">
        <x:f>'Calculations'!JB785+IF('Calculations'!JA786&gt;0,1,0)</x:f>
        <x:v>0</x:v>
      </x:c>
    </x:row>
    <x:row r="787">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4"/>
      <x:c r="DQ787" s="4"/>
      <x:c r="DR787" s="4"/>
      <x:c r="DS787" s="4"/>
      <x:c r="DT787" s="4"/>
      <x:c r="DU787" s="4"/>
      <x:c r="DV787" s="4"/>
      <x:c r="DW787" s="4"/>
      <x:c r="DX787" s="4"/>
      <x:c r="DY787" s="4"/>
      <x:c r="DZ787" s="4"/>
      <x:c r="EA787" s="4"/>
      <x:c r="EB787" s="4"/>
      <x:c r="EC787" s="4"/>
      <x:c r="ED787" s="4"/>
      <x:c r="EE787" s="4"/>
      <x:c r="EF787" s="4"/>
      <x:c r="EG787" s="4"/>
      <x:c r="EH787" s="4"/>
      <x:c r="EI787" s="4"/>
      <x:c r="EJ787" s="4"/>
      <x:c r="EK787" s="4"/>
      <x:c r="EL787" s="4"/>
      <x:c r="EM787" s="4"/>
      <x:c r="EN787" s="4"/>
      <x:c r="EO787" s="4"/>
      <x:c r="EP787" s="4"/>
      <x:c r="EQ787" s="4"/>
      <x:c r="ER787" s="4"/>
      <x:c r="ES787" s="4"/>
      <x:c r="ET787" s="4"/>
      <x:c r="EU787" s="4"/>
      <x:c r="EV787" s="4"/>
      <x:c r="EW787" s="4"/>
      <x:c r="EX787" s="4"/>
      <x:c r="EY787" s="4"/>
      <x:c r="EZ787" s="4"/>
      <x:c r="FA787" s="4"/>
      <x:c r="FB787" s="4"/>
      <x:c r="FC787" s="4"/>
      <x:c r="FD787" s="4"/>
      <x:c r="FE787" s="4"/>
      <x:c r="FF787" s="4"/>
      <x:c r="FG787" s="4"/>
      <x:c r="FH787" s="4"/>
      <x:c r="FI787" s="4"/>
      <x:c r="FJ787" s="4"/>
      <x:c r="FK787" s="4"/>
      <x:c r="FL787" s="4"/>
      <x:c r="FM787" s="4"/>
      <x:c r="FN787" s="4"/>
      <x:c r="FO787" s="4"/>
      <x:c r="JA787" t="n">
        <x:f>IF(OR(IFERROR(INDIRECT("'WCM Calibration Final'!$A$787")&lt;&gt;"",FALSE),IFERROR(INDIRECT("'WCM Calibration Final'!$B$787")&lt;&gt;"",FALSE),IFERROR(INDIRECT("'WCM Calibration Final'!$C$787")&lt;&gt;"",FALSE)),787,0)</x:f>
        <x:v>0</x:v>
      </x:c>
      <x:c r="JB787" t="n">
        <x:f>'Calculations'!JB786+IF('Calculations'!JA787&gt;0,1,0)</x:f>
        <x:v>0</x:v>
      </x:c>
    </x:row>
    <x:row r="788">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4"/>
      <x:c r="DQ788" s="4"/>
      <x:c r="DR788" s="4"/>
      <x:c r="DS788" s="4"/>
      <x:c r="DT788" s="4"/>
      <x:c r="DU788" s="4"/>
      <x:c r="DV788" s="4"/>
      <x:c r="DW788" s="4"/>
      <x:c r="DX788" s="4"/>
      <x:c r="DY788" s="4"/>
      <x:c r="DZ788" s="4"/>
      <x:c r="EA788" s="4"/>
      <x:c r="EB788" s="4"/>
      <x:c r="EC788" s="4"/>
      <x:c r="ED788" s="4"/>
      <x:c r="EE788" s="4"/>
      <x:c r="EF788" s="4"/>
      <x:c r="EG788" s="4"/>
      <x:c r="EH788" s="4"/>
      <x:c r="EI788" s="4"/>
      <x:c r="EJ788" s="4"/>
      <x:c r="EK788" s="4"/>
      <x:c r="EL788" s="4"/>
      <x:c r="EM788" s="4"/>
      <x:c r="EN788" s="4"/>
      <x:c r="EO788" s="4"/>
      <x:c r="EP788" s="4"/>
      <x:c r="EQ788" s="4"/>
      <x:c r="ER788" s="4"/>
      <x:c r="ES788" s="4"/>
      <x:c r="ET788" s="4"/>
      <x:c r="EU788" s="4"/>
      <x:c r="EV788" s="4"/>
      <x:c r="EW788" s="4"/>
      <x:c r="EX788" s="4"/>
      <x:c r="EY788" s="4"/>
      <x:c r="EZ788" s="4"/>
      <x:c r="FA788" s="4"/>
      <x:c r="FB788" s="4"/>
      <x:c r="FC788" s="4"/>
      <x:c r="FD788" s="4"/>
      <x:c r="FE788" s="4"/>
      <x:c r="FF788" s="4"/>
      <x:c r="FG788" s="4"/>
      <x:c r="FH788" s="4"/>
      <x:c r="FI788" s="4"/>
      <x:c r="FJ788" s="4"/>
      <x:c r="FK788" s="4"/>
      <x:c r="FL788" s="4"/>
      <x:c r="FM788" s="4"/>
      <x:c r="FN788" s="4"/>
      <x:c r="FO788" s="4"/>
      <x:c r="JA788" t="n">
        <x:f>IF(OR(IFERROR(INDIRECT("'WCM Calibration Final'!$A$788")&lt;&gt;"",FALSE),IFERROR(INDIRECT("'WCM Calibration Final'!$B$788")&lt;&gt;"",FALSE),IFERROR(INDIRECT("'WCM Calibration Final'!$C$788")&lt;&gt;"",FALSE)),788,0)</x:f>
        <x:v>0</x:v>
      </x:c>
      <x:c r="JB788" t="n">
        <x:f>'Calculations'!JB787+IF('Calculations'!JA788&gt;0,1,0)</x:f>
        <x:v>0</x:v>
      </x:c>
    </x:row>
    <x:row r="789">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4"/>
      <x:c r="DQ789" s="4"/>
      <x:c r="DR789" s="4"/>
      <x:c r="DS789" s="4"/>
      <x:c r="DT789" s="4"/>
      <x:c r="DU789" s="4"/>
      <x:c r="DV789" s="4"/>
      <x:c r="DW789" s="4"/>
      <x:c r="DX789" s="4"/>
      <x:c r="DY789" s="4"/>
      <x:c r="DZ789" s="4"/>
      <x:c r="EA789" s="4"/>
      <x:c r="EB789" s="4"/>
      <x:c r="EC789" s="4"/>
      <x:c r="ED789" s="4"/>
      <x:c r="EE789" s="4"/>
      <x:c r="EF789" s="4"/>
      <x:c r="EG789" s="4"/>
      <x:c r="EH789" s="4"/>
      <x:c r="EI789" s="4"/>
      <x:c r="EJ789" s="4"/>
      <x:c r="EK789" s="4"/>
      <x:c r="EL789" s="4"/>
      <x:c r="EM789" s="4"/>
      <x:c r="EN789" s="4"/>
      <x:c r="EO789" s="4"/>
      <x:c r="EP789" s="4"/>
      <x:c r="EQ789" s="4"/>
      <x:c r="ER789" s="4"/>
      <x:c r="ES789" s="4"/>
      <x:c r="ET789" s="4"/>
      <x:c r="EU789" s="4"/>
      <x:c r="EV789" s="4"/>
      <x:c r="EW789" s="4"/>
      <x:c r="EX789" s="4"/>
      <x:c r="EY789" s="4"/>
      <x:c r="EZ789" s="4"/>
      <x:c r="FA789" s="4"/>
      <x:c r="FB789" s="4"/>
      <x:c r="FC789" s="4"/>
      <x:c r="FD789" s="4"/>
      <x:c r="FE789" s="4"/>
      <x:c r="FF789" s="4"/>
      <x:c r="FG789" s="4"/>
      <x:c r="FH789" s="4"/>
      <x:c r="FI789" s="4"/>
      <x:c r="FJ789" s="4"/>
      <x:c r="FK789" s="4"/>
      <x:c r="FL789" s="4"/>
      <x:c r="FM789" s="4"/>
      <x:c r="FN789" s="4"/>
      <x:c r="FO789" s="4"/>
      <x:c r="JA789" t="n">
        <x:f>IF(OR(IFERROR(INDIRECT("'WCM Calibration Final'!$A$789")&lt;&gt;"",FALSE),IFERROR(INDIRECT("'WCM Calibration Final'!$B$789")&lt;&gt;"",FALSE),IFERROR(INDIRECT("'WCM Calibration Final'!$C$789")&lt;&gt;"",FALSE)),789,0)</x:f>
        <x:v>0</x:v>
      </x:c>
      <x:c r="JB789" t="n">
        <x:f>'Calculations'!JB788+IF('Calculations'!JA789&gt;0,1,0)</x:f>
        <x:v>0</x:v>
      </x:c>
    </x:row>
    <x:row r="790">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4"/>
      <x:c r="DQ790" s="4"/>
      <x:c r="DR790" s="4"/>
      <x:c r="DS790" s="4"/>
      <x:c r="DT790" s="4"/>
      <x:c r="DU790" s="4"/>
      <x:c r="DV790" s="4"/>
      <x:c r="DW790" s="4"/>
      <x:c r="DX790" s="4"/>
      <x:c r="DY790" s="4"/>
      <x:c r="DZ790" s="4"/>
      <x:c r="EA790" s="4"/>
      <x:c r="EB790" s="4"/>
      <x:c r="EC790" s="4"/>
      <x:c r="ED790" s="4"/>
      <x:c r="EE790" s="4"/>
      <x:c r="EF790" s="4"/>
      <x:c r="EG790" s="4"/>
      <x:c r="EH790" s="4"/>
      <x:c r="EI790" s="4"/>
      <x:c r="EJ790" s="4"/>
      <x:c r="EK790" s="4"/>
      <x:c r="EL790" s="4"/>
      <x:c r="EM790" s="4"/>
      <x:c r="EN790" s="4"/>
      <x:c r="EO790" s="4"/>
      <x:c r="EP790" s="4"/>
      <x:c r="EQ790" s="4"/>
      <x:c r="ER790" s="4"/>
      <x:c r="ES790" s="4"/>
      <x:c r="ET790" s="4"/>
      <x:c r="EU790" s="4"/>
      <x:c r="EV790" s="4"/>
      <x:c r="EW790" s="4"/>
      <x:c r="EX790" s="4"/>
      <x:c r="EY790" s="4"/>
      <x:c r="EZ790" s="4"/>
      <x:c r="FA790" s="4"/>
      <x:c r="FB790" s="4"/>
      <x:c r="FC790" s="4"/>
      <x:c r="FD790" s="4"/>
      <x:c r="FE790" s="4"/>
      <x:c r="FF790" s="4"/>
      <x:c r="FG790" s="4"/>
      <x:c r="FH790" s="4"/>
      <x:c r="FI790" s="4"/>
      <x:c r="FJ790" s="4"/>
      <x:c r="FK790" s="4"/>
      <x:c r="FL790" s="4"/>
      <x:c r="FM790" s="4"/>
      <x:c r="FN790" s="4"/>
      <x:c r="FO790" s="4"/>
      <x:c r="JA790" t="n">
        <x:f>IF(OR(IFERROR(INDIRECT("'WCM Calibration Final'!$A$790")&lt;&gt;"",FALSE),IFERROR(INDIRECT("'WCM Calibration Final'!$B$790")&lt;&gt;"",FALSE),IFERROR(INDIRECT("'WCM Calibration Final'!$C$790")&lt;&gt;"",FALSE)),790,0)</x:f>
        <x:v>0</x:v>
      </x:c>
      <x:c r="JB790" t="n">
        <x:f>'Calculations'!JB789+IF('Calculations'!JA790&gt;0,1,0)</x:f>
        <x:v>0</x:v>
      </x:c>
    </x:row>
    <x:row r="791">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4"/>
      <x:c r="DQ791" s="4"/>
      <x:c r="DR791" s="4"/>
      <x:c r="DS791" s="4"/>
      <x:c r="DT791" s="4"/>
      <x:c r="DU791" s="4"/>
      <x:c r="DV791" s="4"/>
      <x:c r="DW791" s="4"/>
      <x:c r="DX791" s="4"/>
      <x:c r="DY791" s="4"/>
      <x:c r="DZ791" s="4"/>
      <x:c r="EA791" s="4"/>
      <x:c r="EB791" s="4"/>
      <x:c r="EC791" s="4"/>
      <x:c r="ED791" s="4"/>
      <x:c r="EE791" s="4"/>
      <x:c r="EF791" s="4"/>
      <x:c r="EG791" s="4"/>
      <x:c r="EH791" s="4"/>
      <x:c r="EI791" s="4"/>
      <x:c r="EJ791" s="4"/>
      <x:c r="EK791" s="4"/>
      <x:c r="EL791" s="4"/>
      <x:c r="EM791" s="4"/>
      <x:c r="EN791" s="4"/>
      <x:c r="EO791" s="4"/>
      <x:c r="EP791" s="4"/>
      <x:c r="EQ791" s="4"/>
      <x:c r="ER791" s="4"/>
      <x:c r="ES791" s="4"/>
      <x:c r="ET791" s="4"/>
      <x:c r="EU791" s="4"/>
      <x:c r="EV791" s="4"/>
      <x:c r="EW791" s="4"/>
      <x:c r="EX791" s="4"/>
      <x:c r="EY791" s="4"/>
      <x:c r="EZ791" s="4"/>
      <x:c r="FA791" s="4"/>
      <x:c r="FB791" s="4"/>
      <x:c r="FC791" s="4"/>
      <x:c r="FD791" s="4"/>
      <x:c r="FE791" s="4"/>
      <x:c r="FF791" s="4"/>
      <x:c r="FG791" s="4"/>
      <x:c r="FH791" s="4"/>
      <x:c r="FI791" s="4"/>
      <x:c r="FJ791" s="4"/>
      <x:c r="FK791" s="4"/>
      <x:c r="FL791" s="4"/>
      <x:c r="FM791" s="4"/>
      <x:c r="FN791" s="4"/>
      <x:c r="FO791" s="4"/>
      <x:c r="JA791" t="n">
        <x:f>IF(OR(IFERROR(INDIRECT("'WCM Calibration Final'!$A$791")&lt;&gt;"",FALSE),IFERROR(INDIRECT("'WCM Calibration Final'!$B$791")&lt;&gt;"",FALSE),IFERROR(INDIRECT("'WCM Calibration Final'!$C$791")&lt;&gt;"",FALSE)),791,0)</x:f>
        <x:v>0</x:v>
      </x:c>
      <x:c r="JB791" t="n">
        <x:f>'Calculations'!JB790+IF('Calculations'!JA791&gt;0,1,0)</x:f>
        <x:v>0</x:v>
      </x:c>
    </x:row>
    <x:row r="792">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4"/>
      <x:c r="DQ792" s="4"/>
      <x:c r="DR792" s="4"/>
      <x:c r="DS792" s="4"/>
      <x:c r="DT792" s="4"/>
      <x:c r="DU792" s="4"/>
      <x:c r="DV792" s="4"/>
      <x:c r="DW792" s="4"/>
      <x:c r="DX792" s="4"/>
      <x:c r="DY792" s="4"/>
      <x:c r="DZ792" s="4"/>
      <x:c r="EA792" s="4"/>
      <x:c r="EB792" s="4"/>
      <x:c r="EC792" s="4"/>
      <x:c r="ED792" s="4"/>
      <x:c r="EE792" s="4"/>
      <x:c r="EF792" s="4"/>
      <x:c r="EG792" s="4"/>
      <x:c r="EH792" s="4"/>
      <x:c r="EI792" s="4"/>
      <x:c r="EJ792" s="4"/>
      <x:c r="EK792" s="4"/>
      <x:c r="EL792" s="4"/>
      <x:c r="EM792" s="4"/>
      <x:c r="EN792" s="4"/>
      <x:c r="EO792" s="4"/>
      <x:c r="EP792" s="4"/>
      <x:c r="EQ792" s="4"/>
      <x:c r="ER792" s="4"/>
      <x:c r="ES792" s="4"/>
      <x:c r="ET792" s="4"/>
      <x:c r="EU792" s="4"/>
      <x:c r="EV792" s="4"/>
      <x:c r="EW792" s="4"/>
      <x:c r="EX792" s="4"/>
      <x:c r="EY792" s="4"/>
      <x:c r="EZ792" s="4"/>
      <x:c r="FA792" s="4"/>
      <x:c r="FB792" s="4"/>
      <x:c r="FC792" s="4"/>
      <x:c r="FD792" s="4"/>
      <x:c r="FE792" s="4"/>
      <x:c r="FF792" s="4"/>
      <x:c r="FG792" s="4"/>
      <x:c r="FH792" s="4"/>
      <x:c r="FI792" s="4"/>
      <x:c r="FJ792" s="4"/>
      <x:c r="FK792" s="4"/>
      <x:c r="FL792" s="4"/>
      <x:c r="FM792" s="4"/>
      <x:c r="FN792" s="4"/>
      <x:c r="FO792" s="4"/>
      <x:c r="JA792" t="n">
        <x:f>IF(OR(IFERROR(INDIRECT("'WCM Calibration Final'!$A$792")&lt;&gt;"",FALSE),IFERROR(INDIRECT("'WCM Calibration Final'!$B$792")&lt;&gt;"",FALSE),IFERROR(INDIRECT("'WCM Calibration Final'!$C$792")&lt;&gt;"",FALSE)),792,0)</x:f>
        <x:v>0</x:v>
      </x:c>
      <x:c r="JB792" t="n">
        <x:f>'Calculations'!JB791+IF('Calculations'!JA792&gt;0,1,0)</x:f>
        <x:v>0</x:v>
      </x:c>
    </x:row>
    <x:row r="793">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4"/>
      <x:c r="DQ793" s="4"/>
      <x:c r="DR793" s="4"/>
      <x:c r="DS793" s="4"/>
      <x:c r="DT793" s="4"/>
      <x:c r="DU793" s="4"/>
      <x:c r="DV793" s="4"/>
      <x:c r="DW793" s="4"/>
      <x:c r="DX793" s="4"/>
      <x:c r="DY793" s="4"/>
      <x:c r="DZ793" s="4"/>
      <x:c r="EA793" s="4"/>
      <x:c r="EB793" s="4"/>
      <x:c r="EC793" s="4"/>
      <x:c r="ED793" s="4"/>
      <x:c r="EE793" s="4"/>
      <x:c r="EF793" s="4"/>
      <x:c r="EG793" s="4"/>
      <x:c r="EH793" s="4"/>
      <x:c r="EI793" s="4"/>
      <x:c r="EJ793" s="4"/>
      <x:c r="EK793" s="4"/>
      <x:c r="EL793" s="4"/>
      <x:c r="EM793" s="4"/>
      <x:c r="EN793" s="4"/>
      <x:c r="EO793" s="4"/>
      <x:c r="EP793" s="4"/>
      <x:c r="EQ793" s="4"/>
      <x:c r="ER793" s="4"/>
      <x:c r="ES793" s="4"/>
      <x:c r="ET793" s="4"/>
      <x:c r="EU793" s="4"/>
      <x:c r="EV793" s="4"/>
      <x:c r="EW793" s="4"/>
      <x:c r="EX793" s="4"/>
      <x:c r="EY793" s="4"/>
      <x:c r="EZ793" s="4"/>
      <x:c r="FA793" s="4"/>
      <x:c r="FB793" s="4"/>
      <x:c r="FC793" s="4"/>
      <x:c r="FD793" s="4"/>
      <x:c r="FE793" s="4"/>
      <x:c r="FF793" s="4"/>
      <x:c r="FG793" s="4"/>
      <x:c r="FH793" s="4"/>
      <x:c r="FI793" s="4"/>
      <x:c r="FJ793" s="4"/>
      <x:c r="FK793" s="4"/>
      <x:c r="FL793" s="4"/>
      <x:c r="FM793" s="4"/>
      <x:c r="FN793" s="4"/>
      <x:c r="FO793" s="4"/>
      <x:c r="JA793" t="n">
        <x:f>IF(OR(IFERROR(INDIRECT("'WCM Calibration Final'!$A$793")&lt;&gt;"",FALSE),IFERROR(INDIRECT("'WCM Calibration Final'!$B$793")&lt;&gt;"",FALSE),IFERROR(INDIRECT("'WCM Calibration Final'!$C$793")&lt;&gt;"",FALSE)),793,0)</x:f>
        <x:v>0</x:v>
      </x:c>
      <x:c r="JB793" t="n">
        <x:f>'Calculations'!JB792+IF('Calculations'!JA793&gt;0,1,0)</x:f>
        <x:v>0</x:v>
      </x:c>
    </x:row>
    <x:row r="794">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4"/>
      <x:c r="DQ794" s="4"/>
      <x:c r="DR794" s="4"/>
      <x:c r="DS794" s="4"/>
      <x:c r="DT794" s="4"/>
      <x:c r="DU794" s="4"/>
      <x:c r="DV794" s="4"/>
      <x:c r="DW794" s="4"/>
      <x:c r="DX794" s="4"/>
      <x:c r="DY794" s="4"/>
      <x:c r="DZ794" s="4"/>
      <x:c r="EA794" s="4"/>
      <x:c r="EB794" s="4"/>
      <x:c r="EC794" s="4"/>
      <x:c r="ED794" s="4"/>
      <x:c r="EE794" s="4"/>
      <x:c r="EF794" s="4"/>
      <x:c r="EG794" s="4"/>
      <x:c r="EH794" s="4"/>
      <x:c r="EI794" s="4"/>
      <x:c r="EJ794" s="4"/>
      <x:c r="EK794" s="4"/>
      <x:c r="EL794" s="4"/>
      <x:c r="EM794" s="4"/>
      <x:c r="EN794" s="4"/>
      <x:c r="EO794" s="4"/>
      <x:c r="EP794" s="4"/>
      <x:c r="EQ794" s="4"/>
      <x:c r="ER794" s="4"/>
      <x:c r="ES794" s="4"/>
      <x:c r="ET794" s="4"/>
      <x:c r="EU794" s="4"/>
      <x:c r="EV794" s="4"/>
      <x:c r="EW794" s="4"/>
      <x:c r="EX794" s="4"/>
      <x:c r="EY794" s="4"/>
      <x:c r="EZ794" s="4"/>
      <x:c r="FA794" s="4"/>
      <x:c r="FB794" s="4"/>
      <x:c r="FC794" s="4"/>
      <x:c r="FD794" s="4"/>
      <x:c r="FE794" s="4"/>
      <x:c r="FF794" s="4"/>
      <x:c r="FG794" s="4"/>
      <x:c r="FH794" s="4"/>
      <x:c r="FI794" s="4"/>
      <x:c r="FJ794" s="4"/>
      <x:c r="FK794" s="4"/>
      <x:c r="FL794" s="4"/>
      <x:c r="FM794" s="4"/>
      <x:c r="FN794" s="4"/>
      <x:c r="FO794" s="4"/>
      <x:c r="JA794" t="n">
        <x:f>IF(OR(IFERROR(INDIRECT("'WCM Calibration Final'!$A$794")&lt;&gt;"",FALSE),IFERROR(INDIRECT("'WCM Calibration Final'!$B$794")&lt;&gt;"",FALSE),IFERROR(INDIRECT("'WCM Calibration Final'!$C$794")&lt;&gt;"",FALSE)),794,0)</x:f>
        <x:v>0</x:v>
      </x:c>
      <x:c r="JB794" t="n">
        <x:f>'Calculations'!JB793+IF('Calculations'!JA794&gt;0,1,0)</x:f>
        <x:v>0</x:v>
      </x:c>
    </x:row>
    <x:row r="795">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4"/>
      <x:c r="DQ795" s="4"/>
      <x:c r="DR795" s="4"/>
      <x:c r="DS795" s="4"/>
      <x:c r="DT795" s="4"/>
      <x:c r="DU795" s="4"/>
      <x:c r="DV795" s="4"/>
      <x:c r="DW795" s="4"/>
      <x:c r="DX795" s="4"/>
      <x:c r="DY795" s="4"/>
      <x:c r="DZ795" s="4"/>
      <x:c r="EA795" s="4"/>
      <x:c r="EB795" s="4"/>
      <x:c r="EC795" s="4"/>
      <x:c r="ED795" s="4"/>
      <x:c r="EE795" s="4"/>
      <x:c r="EF795" s="4"/>
      <x:c r="EG795" s="4"/>
      <x:c r="EH795" s="4"/>
      <x:c r="EI795" s="4"/>
      <x:c r="EJ795" s="4"/>
      <x:c r="EK795" s="4"/>
      <x:c r="EL795" s="4"/>
      <x:c r="EM795" s="4"/>
      <x:c r="EN795" s="4"/>
      <x:c r="EO795" s="4"/>
      <x:c r="EP795" s="4"/>
      <x:c r="EQ795" s="4"/>
      <x:c r="ER795" s="4"/>
      <x:c r="ES795" s="4"/>
      <x:c r="ET795" s="4"/>
      <x:c r="EU795" s="4"/>
      <x:c r="EV795" s="4"/>
      <x:c r="EW795" s="4"/>
      <x:c r="EX795" s="4"/>
      <x:c r="EY795" s="4"/>
      <x:c r="EZ795" s="4"/>
      <x:c r="FA795" s="4"/>
      <x:c r="FB795" s="4"/>
      <x:c r="FC795" s="4"/>
      <x:c r="FD795" s="4"/>
      <x:c r="FE795" s="4"/>
      <x:c r="FF795" s="4"/>
      <x:c r="FG795" s="4"/>
      <x:c r="FH795" s="4"/>
      <x:c r="FI795" s="4"/>
      <x:c r="FJ795" s="4"/>
      <x:c r="FK795" s="4"/>
      <x:c r="FL795" s="4"/>
      <x:c r="FM795" s="4"/>
      <x:c r="FN795" s="4"/>
      <x:c r="FO795" s="4"/>
      <x:c r="JA795" t="n">
        <x:f>IF(OR(IFERROR(INDIRECT("'WCM Calibration Final'!$A$795")&lt;&gt;"",FALSE),IFERROR(INDIRECT("'WCM Calibration Final'!$B$795")&lt;&gt;"",FALSE),IFERROR(INDIRECT("'WCM Calibration Final'!$C$795")&lt;&gt;"",FALSE)),795,0)</x:f>
        <x:v>0</x:v>
      </x:c>
      <x:c r="JB795" t="n">
        <x:f>'Calculations'!JB794+IF('Calculations'!JA795&gt;0,1,0)</x:f>
        <x:v>0</x:v>
      </x:c>
    </x:row>
    <x:row r="796">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4"/>
      <x:c r="DQ796" s="4"/>
      <x:c r="DR796" s="4"/>
      <x:c r="DS796" s="4"/>
      <x:c r="DT796" s="4"/>
      <x:c r="DU796" s="4"/>
      <x:c r="DV796" s="4"/>
      <x:c r="DW796" s="4"/>
      <x:c r="DX796" s="4"/>
      <x:c r="DY796" s="4"/>
      <x:c r="DZ796" s="4"/>
      <x:c r="EA796" s="4"/>
      <x:c r="EB796" s="4"/>
      <x:c r="EC796" s="4"/>
      <x:c r="ED796" s="4"/>
      <x:c r="EE796" s="4"/>
      <x:c r="EF796" s="4"/>
      <x:c r="EG796" s="4"/>
      <x:c r="EH796" s="4"/>
      <x:c r="EI796" s="4"/>
      <x:c r="EJ796" s="4"/>
      <x:c r="EK796" s="4"/>
      <x:c r="EL796" s="4"/>
      <x:c r="EM796" s="4"/>
      <x:c r="EN796" s="4"/>
      <x:c r="EO796" s="4"/>
      <x:c r="EP796" s="4"/>
      <x:c r="EQ796" s="4"/>
      <x:c r="ER796" s="4"/>
      <x:c r="ES796" s="4"/>
      <x:c r="ET796" s="4"/>
      <x:c r="EU796" s="4"/>
      <x:c r="EV796" s="4"/>
      <x:c r="EW796" s="4"/>
      <x:c r="EX796" s="4"/>
      <x:c r="EY796" s="4"/>
      <x:c r="EZ796" s="4"/>
      <x:c r="FA796" s="4"/>
      <x:c r="FB796" s="4"/>
      <x:c r="FC796" s="4"/>
      <x:c r="FD796" s="4"/>
      <x:c r="FE796" s="4"/>
      <x:c r="FF796" s="4"/>
      <x:c r="FG796" s="4"/>
      <x:c r="FH796" s="4"/>
      <x:c r="FI796" s="4"/>
      <x:c r="FJ796" s="4"/>
      <x:c r="FK796" s="4"/>
      <x:c r="FL796" s="4"/>
      <x:c r="FM796" s="4"/>
      <x:c r="FN796" s="4"/>
      <x:c r="FO796" s="4"/>
      <x:c r="JA796" t="n">
        <x:f>IF(OR(IFERROR(INDIRECT("'WCM Calibration Final'!$A$796")&lt;&gt;"",FALSE),IFERROR(INDIRECT("'WCM Calibration Final'!$B$796")&lt;&gt;"",FALSE),IFERROR(INDIRECT("'WCM Calibration Final'!$C$796")&lt;&gt;"",FALSE)),796,0)</x:f>
        <x:v>0</x:v>
      </x:c>
      <x:c r="JB796" t="n">
        <x:f>'Calculations'!JB795+IF('Calculations'!JA796&gt;0,1,0)</x:f>
        <x:v>0</x:v>
      </x:c>
    </x:row>
    <x:row r="797">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4"/>
      <x:c r="DQ797" s="4"/>
      <x:c r="DR797" s="4"/>
      <x:c r="DS797" s="4"/>
      <x:c r="DT797" s="4"/>
      <x:c r="DU797" s="4"/>
      <x:c r="DV797" s="4"/>
      <x:c r="DW797" s="4"/>
      <x:c r="DX797" s="4"/>
      <x:c r="DY797" s="4"/>
      <x:c r="DZ797" s="4"/>
      <x:c r="EA797" s="4"/>
      <x:c r="EB797" s="4"/>
      <x:c r="EC797" s="4"/>
      <x:c r="ED797" s="4"/>
      <x:c r="EE797" s="4"/>
      <x:c r="EF797" s="4"/>
      <x:c r="EG797" s="4"/>
      <x:c r="EH797" s="4"/>
      <x:c r="EI797" s="4"/>
      <x:c r="EJ797" s="4"/>
      <x:c r="EK797" s="4"/>
      <x:c r="EL797" s="4"/>
      <x:c r="EM797" s="4"/>
      <x:c r="EN797" s="4"/>
      <x:c r="EO797" s="4"/>
      <x:c r="EP797" s="4"/>
      <x:c r="EQ797" s="4"/>
      <x:c r="ER797" s="4"/>
      <x:c r="ES797" s="4"/>
      <x:c r="ET797" s="4"/>
      <x:c r="EU797" s="4"/>
      <x:c r="EV797" s="4"/>
      <x:c r="EW797" s="4"/>
      <x:c r="EX797" s="4"/>
      <x:c r="EY797" s="4"/>
      <x:c r="EZ797" s="4"/>
      <x:c r="FA797" s="4"/>
      <x:c r="FB797" s="4"/>
      <x:c r="FC797" s="4"/>
      <x:c r="FD797" s="4"/>
      <x:c r="FE797" s="4"/>
      <x:c r="FF797" s="4"/>
      <x:c r="FG797" s="4"/>
      <x:c r="FH797" s="4"/>
      <x:c r="FI797" s="4"/>
      <x:c r="FJ797" s="4"/>
      <x:c r="FK797" s="4"/>
      <x:c r="FL797" s="4"/>
      <x:c r="FM797" s="4"/>
      <x:c r="FN797" s="4"/>
      <x:c r="FO797" s="4"/>
      <x:c r="JA797" t="n">
        <x:f>IF(OR(IFERROR(INDIRECT("'WCM Calibration Final'!$A$797")&lt;&gt;"",FALSE),IFERROR(INDIRECT("'WCM Calibration Final'!$B$797")&lt;&gt;"",FALSE),IFERROR(INDIRECT("'WCM Calibration Final'!$C$797")&lt;&gt;"",FALSE)),797,0)</x:f>
        <x:v>0</x:v>
      </x:c>
      <x:c r="JB797" t="n">
        <x:f>'Calculations'!JB796+IF('Calculations'!JA797&gt;0,1,0)</x:f>
        <x:v>0</x:v>
      </x:c>
    </x:row>
    <x:row r="798">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4"/>
      <x:c r="DQ798" s="4"/>
      <x:c r="DR798" s="4"/>
      <x:c r="DS798" s="4"/>
      <x:c r="DT798" s="4"/>
      <x:c r="DU798" s="4"/>
      <x:c r="DV798" s="4"/>
      <x:c r="DW798" s="4"/>
      <x:c r="DX798" s="4"/>
      <x:c r="DY798" s="4"/>
      <x:c r="DZ798" s="4"/>
      <x:c r="EA798" s="4"/>
      <x:c r="EB798" s="4"/>
      <x:c r="EC798" s="4"/>
      <x:c r="ED798" s="4"/>
      <x:c r="EE798" s="4"/>
      <x:c r="EF798" s="4"/>
      <x:c r="EG798" s="4"/>
      <x:c r="EH798" s="4"/>
      <x:c r="EI798" s="4"/>
      <x:c r="EJ798" s="4"/>
      <x:c r="EK798" s="4"/>
      <x:c r="EL798" s="4"/>
      <x:c r="EM798" s="4"/>
      <x:c r="EN798" s="4"/>
      <x:c r="EO798" s="4"/>
      <x:c r="EP798" s="4"/>
      <x:c r="EQ798" s="4"/>
      <x:c r="ER798" s="4"/>
      <x:c r="ES798" s="4"/>
      <x:c r="ET798" s="4"/>
      <x:c r="EU798" s="4"/>
      <x:c r="EV798" s="4"/>
      <x:c r="EW798" s="4"/>
      <x:c r="EX798" s="4"/>
      <x:c r="EY798" s="4"/>
      <x:c r="EZ798" s="4"/>
      <x:c r="FA798" s="4"/>
      <x:c r="FB798" s="4"/>
      <x:c r="FC798" s="4"/>
      <x:c r="FD798" s="4"/>
      <x:c r="FE798" s="4"/>
      <x:c r="FF798" s="4"/>
      <x:c r="FG798" s="4"/>
      <x:c r="FH798" s="4"/>
      <x:c r="FI798" s="4"/>
      <x:c r="FJ798" s="4"/>
      <x:c r="FK798" s="4"/>
      <x:c r="FL798" s="4"/>
      <x:c r="FM798" s="4"/>
      <x:c r="FN798" s="4"/>
      <x:c r="FO798" s="4"/>
      <x:c r="JA798" t="n">
        <x:f>IF(OR(IFERROR(INDIRECT("'WCM Calibration Final'!$A$798")&lt;&gt;"",FALSE),IFERROR(INDIRECT("'WCM Calibration Final'!$B$798")&lt;&gt;"",FALSE),IFERROR(INDIRECT("'WCM Calibration Final'!$C$798")&lt;&gt;"",FALSE)),798,0)</x:f>
        <x:v>0</x:v>
      </x:c>
      <x:c r="JB798" t="n">
        <x:f>'Calculations'!JB797+IF('Calculations'!JA798&gt;0,1,0)</x:f>
        <x:v>0</x:v>
      </x:c>
    </x:row>
    <x:row r="799">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4"/>
      <x:c r="DQ799" s="4"/>
      <x:c r="DR799" s="4"/>
      <x:c r="DS799" s="4"/>
      <x:c r="DT799" s="4"/>
      <x:c r="DU799" s="4"/>
      <x:c r="DV799" s="4"/>
      <x:c r="DW799" s="4"/>
      <x:c r="DX799" s="4"/>
      <x:c r="DY799" s="4"/>
      <x:c r="DZ799" s="4"/>
      <x:c r="EA799" s="4"/>
      <x:c r="EB799" s="4"/>
      <x:c r="EC799" s="4"/>
      <x:c r="ED799" s="4"/>
      <x:c r="EE799" s="4"/>
      <x:c r="EF799" s="4"/>
      <x:c r="EG799" s="4"/>
      <x:c r="EH799" s="4"/>
      <x:c r="EI799" s="4"/>
      <x:c r="EJ799" s="4"/>
      <x:c r="EK799" s="4"/>
      <x:c r="EL799" s="4"/>
      <x:c r="EM799" s="4"/>
      <x:c r="EN799" s="4"/>
      <x:c r="EO799" s="4"/>
      <x:c r="EP799" s="4"/>
      <x:c r="EQ799" s="4"/>
      <x:c r="ER799" s="4"/>
      <x:c r="ES799" s="4"/>
      <x:c r="ET799" s="4"/>
      <x:c r="EU799" s="4"/>
      <x:c r="EV799" s="4"/>
      <x:c r="EW799" s="4"/>
      <x:c r="EX799" s="4"/>
      <x:c r="EY799" s="4"/>
      <x:c r="EZ799" s="4"/>
      <x:c r="FA799" s="4"/>
      <x:c r="FB799" s="4"/>
      <x:c r="FC799" s="4"/>
      <x:c r="FD799" s="4"/>
      <x:c r="FE799" s="4"/>
      <x:c r="FF799" s="4"/>
      <x:c r="FG799" s="4"/>
      <x:c r="FH799" s="4"/>
      <x:c r="FI799" s="4"/>
      <x:c r="FJ799" s="4"/>
      <x:c r="FK799" s="4"/>
      <x:c r="FL799" s="4"/>
      <x:c r="FM799" s="4"/>
      <x:c r="FN799" s="4"/>
      <x:c r="FO799" s="4"/>
      <x:c r="JA799" t="n">
        <x:f>IF(OR(IFERROR(INDIRECT("'WCM Calibration Final'!$A$799")&lt;&gt;"",FALSE),IFERROR(INDIRECT("'WCM Calibration Final'!$B$799")&lt;&gt;"",FALSE),IFERROR(INDIRECT("'WCM Calibration Final'!$C$799")&lt;&gt;"",FALSE)),799,0)</x:f>
        <x:v>0</x:v>
      </x:c>
      <x:c r="JB799" t="n">
        <x:f>'Calculations'!JB798+IF('Calculations'!JA799&gt;0,1,0)</x:f>
        <x:v>0</x:v>
      </x:c>
    </x:row>
    <x:row r="800">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4"/>
      <x:c r="DQ800" s="4"/>
      <x:c r="DR800" s="4"/>
      <x:c r="DS800" s="4"/>
      <x:c r="DT800" s="4"/>
      <x:c r="DU800" s="4"/>
      <x:c r="DV800" s="4"/>
      <x:c r="DW800" s="4"/>
      <x:c r="DX800" s="4"/>
      <x:c r="DY800" s="4"/>
      <x:c r="DZ800" s="4"/>
      <x:c r="EA800" s="4"/>
      <x:c r="EB800" s="4"/>
      <x:c r="EC800" s="4"/>
      <x:c r="ED800" s="4"/>
      <x:c r="EE800" s="4"/>
      <x:c r="EF800" s="4"/>
      <x:c r="EG800" s="4"/>
      <x:c r="EH800" s="4"/>
      <x:c r="EI800" s="4"/>
      <x:c r="EJ800" s="4"/>
      <x:c r="EK800" s="4"/>
      <x:c r="EL800" s="4"/>
      <x:c r="EM800" s="4"/>
      <x:c r="EN800" s="4"/>
      <x:c r="EO800" s="4"/>
      <x:c r="EP800" s="4"/>
      <x:c r="EQ800" s="4"/>
      <x:c r="ER800" s="4"/>
      <x:c r="ES800" s="4"/>
      <x:c r="ET800" s="4"/>
      <x:c r="EU800" s="4"/>
      <x:c r="EV800" s="4"/>
      <x:c r="EW800" s="4"/>
      <x:c r="EX800" s="4"/>
      <x:c r="EY800" s="4"/>
      <x:c r="EZ800" s="4"/>
      <x:c r="FA800" s="4"/>
      <x:c r="FB800" s="4"/>
      <x:c r="FC800" s="4"/>
      <x:c r="FD800" s="4"/>
      <x:c r="FE800" s="4"/>
      <x:c r="FF800" s="4"/>
      <x:c r="FG800" s="4"/>
      <x:c r="FH800" s="4"/>
      <x:c r="FI800" s="4"/>
      <x:c r="FJ800" s="4"/>
      <x:c r="FK800" s="4"/>
      <x:c r="FL800" s="4"/>
      <x:c r="FM800" s="4"/>
      <x:c r="FN800" s="4"/>
      <x:c r="FO800" s="4"/>
      <x:c r="JA800" t="n">
        <x:f>IF(OR(IFERROR(INDIRECT("'WCM Calibration Final'!$A$800")&lt;&gt;"",FALSE),IFERROR(INDIRECT("'WCM Calibration Final'!$B$800")&lt;&gt;"",FALSE),IFERROR(INDIRECT("'WCM Calibration Final'!$C$800")&lt;&gt;"",FALSE)),800,0)</x:f>
        <x:v>0</x:v>
      </x:c>
      <x:c r="JB800" t="n">
        <x:f>'Calculations'!JB799+IF('Calculations'!JA800&gt;0,1,0)</x:f>
        <x:v>0</x:v>
      </x:c>
    </x:row>
    <x:row r="801">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4"/>
      <x:c r="DQ801" s="4"/>
      <x:c r="DR801" s="4"/>
      <x:c r="DS801" s="4"/>
      <x:c r="DT801" s="4"/>
      <x:c r="DU801" s="4"/>
      <x:c r="DV801" s="4"/>
      <x:c r="DW801" s="4"/>
      <x:c r="DX801" s="4"/>
      <x:c r="DY801" s="4"/>
      <x:c r="DZ801" s="4"/>
      <x:c r="EA801" s="4"/>
      <x:c r="EB801" s="4"/>
      <x:c r="EC801" s="4"/>
      <x:c r="ED801" s="4"/>
      <x:c r="EE801" s="4"/>
      <x:c r="EF801" s="4"/>
      <x:c r="EG801" s="4"/>
      <x:c r="EH801" s="4"/>
      <x:c r="EI801" s="4"/>
      <x:c r="EJ801" s="4"/>
      <x:c r="EK801" s="4"/>
      <x:c r="EL801" s="4"/>
      <x:c r="EM801" s="4"/>
      <x:c r="EN801" s="4"/>
      <x:c r="EO801" s="4"/>
      <x:c r="EP801" s="4"/>
      <x:c r="EQ801" s="4"/>
      <x:c r="ER801" s="4"/>
      <x:c r="ES801" s="4"/>
      <x:c r="ET801" s="4"/>
      <x:c r="EU801" s="4"/>
      <x:c r="EV801" s="4"/>
      <x:c r="EW801" s="4"/>
      <x:c r="EX801" s="4"/>
      <x:c r="EY801" s="4"/>
      <x:c r="EZ801" s="4"/>
      <x:c r="FA801" s="4"/>
      <x:c r="FB801" s="4"/>
      <x:c r="FC801" s="4"/>
      <x:c r="FD801" s="4"/>
      <x:c r="FE801" s="4"/>
      <x:c r="FF801" s="4"/>
      <x:c r="FG801" s="4"/>
      <x:c r="FH801" s="4"/>
      <x:c r="FI801" s="4"/>
      <x:c r="FJ801" s="4"/>
      <x:c r="FK801" s="4"/>
      <x:c r="FL801" s="4"/>
      <x:c r="FM801" s="4"/>
      <x:c r="FN801" s="4"/>
      <x:c r="FO801" s="4"/>
      <x:c r="JA801" t="n">
        <x:f>IF(OR(IFERROR(INDIRECT("'WCM Calibration Final'!$A$801")&lt;&gt;"",FALSE),IFERROR(INDIRECT("'WCM Calibration Final'!$B$801")&lt;&gt;"",FALSE),IFERROR(INDIRECT("'WCM Calibration Final'!$C$801")&lt;&gt;"",FALSE)),801,0)</x:f>
        <x:v>0</x:v>
      </x:c>
      <x:c r="JB801" t="n">
        <x:f>'Calculations'!JB800+IF('Calculations'!JA801&gt;0,1,0)</x:f>
        <x:v>0</x:v>
      </x:c>
    </x:row>
    <x:row r="802">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4"/>
      <x:c r="DQ802" s="4"/>
      <x:c r="DR802" s="4"/>
      <x:c r="DS802" s="4"/>
      <x:c r="DT802" s="4"/>
      <x:c r="DU802" s="4"/>
      <x:c r="DV802" s="4"/>
      <x:c r="DW802" s="4"/>
      <x:c r="DX802" s="4"/>
      <x:c r="DY802" s="4"/>
      <x:c r="DZ802" s="4"/>
      <x:c r="EA802" s="4"/>
      <x:c r="EB802" s="4"/>
      <x:c r="EC802" s="4"/>
      <x:c r="ED802" s="4"/>
      <x:c r="EE802" s="4"/>
      <x:c r="EF802" s="4"/>
      <x:c r="EG802" s="4"/>
      <x:c r="EH802" s="4"/>
      <x:c r="EI802" s="4"/>
      <x:c r="EJ802" s="4"/>
      <x:c r="EK802" s="4"/>
      <x:c r="EL802" s="4"/>
      <x:c r="EM802" s="4"/>
      <x:c r="EN802" s="4"/>
      <x:c r="EO802" s="4"/>
      <x:c r="EP802" s="4"/>
      <x:c r="EQ802" s="4"/>
      <x:c r="ER802" s="4"/>
      <x:c r="ES802" s="4"/>
      <x:c r="ET802" s="4"/>
      <x:c r="EU802" s="4"/>
      <x:c r="EV802" s="4"/>
      <x:c r="EW802" s="4"/>
      <x:c r="EX802" s="4"/>
      <x:c r="EY802" s="4"/>
      <x:c r="EZ802" s="4"/>
      <x:c r="FA802" s="4"/>
      <x:c r="FB802" s="4"/>
      <x:c r="FC802" s="4"/>
      <x:c r="FD802" s="4"/>
      <x:c r="FE802" s="4"/>
      <x:c r="FF802" s="4"/>
      <x:c r="FG802" s="4"/>
      <x:c r="FH802" s="4"/>
      <x:c r="FI802" s="4"/>
      <x:c r="FJ802" s="4"/>
      <x:c r="FK802" s="4"/>
      <x:c r="FL802" s="4"/>
      <x:c r="FM802" s="4"/>
      <x:c r="FN802" s="4"/>
      <x:c r="FO802" s="4"/>
      <x:c r="JA802" t="n">
        <x:f>IF(OR(IFERROR(INDIRECT("'WCM Calibration Final'!$A$802")&lt;&gt;"",FALSE),IFERROR(INDIRECT("'WCM Calibration Final'!$B$802")&lt;&gt;"",FALSE),IFERROR(INDIRECT("'WCM Calibration Final'!$C$802")&lt;&gt;"",FALSE)),802,0)</x:f>
        <x:v>0</x:v>
      </x:c>
      <x:c r="JB802" t="n">
        <x:f>'Calculations'!JB801+IF('Calculations'!JA802&gt;0,1,0)</x:f>
        <x:v>0</x:v>
      </x:c>
    </x:row>
    <x:row r="803">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4"/>
      <x:c r="DQ803" s="4"/>
      <x:c r="DR803" s="4"/>
      <x:c r="DS803" s="4"/>
      <x:c r="DT803" s="4"/>
      <x:c r="DU803" s="4"/>
      <x:c r="DV803" s="4"/>
      <x:c r="DW803" s="4"/>
      <x:c r="DX803" s="4"/>
      <x:c r="DY803" s="4"/>
      <x:c r="DZ803" s="4"/>
      <x:c r="EA803" s="4"/>
      <x:c r="EB803" s="4"/>
      <x:c r="EC803" s="4"/>
      <x:c r="ED803" s="4"/>
      <x:c r="EE803" s="4"/>
      <x:c r="EF803" s="4"/>
      <x:c r="EG803" s="4"/>
      <x:c r="EH803" s="4"/>
      <x:c r="EI803" s="4"/>
      <x:c r="EJ803" s="4"/>
      <x:c r="EK803" s="4"/>
      <x:c r="EL803" s="4"/>
      <x:c r="EM803" s="4"/>
      <x:c r="EN803" s="4"/>
      <x:c r="EO803" s="4"/>
      <x:c r="EP803" s="4"/>
      <x:c r="EQ803" s="4"/>
      <x:c r="ER803" s="4"/>
      <x:c r="ES803" s="4"/>
      <x:c r="ET803" s="4"/>
      <x:c r="EU803" s="4"/>
      <x:c r="EV803" s="4"/>
      <x:c r="EW803" s="4"/>
      <x:c r="EX803" s="4"/>
      <x:c r="EY803" s="4"/>
      <x:c r="EZ803" s="4"/>
      <x:c r="FA803" s="4"/>
      <x:c r="FB803" s="4"/>
      <x:c r="FC803" s="4"/>
      <x:c r="FD803" s="4"/>
      <x:c r="FE803" s="4"/>
      <x:c r="FF803" s="4"/>
      <x:c r="FG803" s="4"/>
      <x:c r="FH803" s="4"/>
      <x:c r="FI803" s="4"/>
      <x:c r="FJ803" s="4"/>
      <x:c r="FK803" s="4"/>
      <x:c r="FL803" s="4"/>
      <x:c r="FM803" s="4"/>
      <x:c r="FN803" s="4"/>
      <x:c r="FO803" s="4"/>
      <x:c r="JA803" t="n">
        <x:f>IF(OR(IFERROR(INDIRECT("'WCM Calibration Final'!$A$803")&lt;&gt;"",FALSE),IFERROR(INDIRECT("'WCM Calibration Final'!$B$803")&lt;&gt;"",FALSE),IFERROR(INDIRECT("'WCM Calibration Final'!$C$803")&lt;&gt;"",FALSE)),803,0)</x:f>
        <x:v>0</x:v>
      </x:c>
      <x:c r="JB803" t="n">
        <x:f>'Calculations'!JB802+IF('Calculations'!JA803&gt;0,1,0)</x:f>
        <x:v>0</x:v>
      </x:c>
    </x:row>
    <x:row r="804">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4"/>
      <x:c r="DQ804" s="4"/>
      <x:c r="DR804" s="4"/>
      <x:c r="DS804" s="4"/>
      <x:c r="DT804" s="4"/>
      <x:c r="DU804" s="4"/>
      <x:c r="DV804" s="4"/>
      <x:c r="DW804" s="4"/>
      <x:c r="DX804" s="4"/>
      <x:c r="DY804" s="4"/>
      <x:c r="DZ804" s="4"/>
      <x:c r="EA804" s="4"/>
      <x:c r="EB804" s="4"/>
      <x:c r="EC804" s="4"/>
      <x:c r="ED804" s="4"/>
      <x:c r="EE804" s="4"/>
      <x:c r="EF804" s="4"/>
      <x:c r="EG804" s="4"/>
      <x:c r="EH804" s="4"/>
      <x:c r="EI804" s="4"/>
      <x:c r="EJ804" s="4"/>
      <x:c r="EK804" s="4"/>
      <x:c r="EL804" s="4"/>
      <x:c r="EM804" s="4"/>
      <x:c r="EN804" s="4"/>
      <x:c r="EO804" s="4"/>
      <x:c r="EP804" s="4"/>
      <x:c r="EQ804" s="4"/>
      <x:c r="ER804" s="4"/>
      <x:c r="ES804" s="4"/>
      <x:c r="ET804" s="4"/>
      <x:c r="EU804" s="4"/>
      <x:c r="EV804" s="4"/>
      <x:c r="EW804" s="4"/>
      <x:c r="EX804" s="4"/>
      <x:c r="EY804" s="4"/>
      <x:c r="EZ804" s="4"/>
      <x:c r="FA804" s="4"/>
      <x:c r="FB804" s="4"/>
      <x:c r="FC804" s="4"/>
      <x:c r="FD804" s="4"/>
      <x:c r="FE804" s="4"/>
      <x:c r="FF804" s="4"/>
      <x:c r="FG804" s="4"/>
      <x:c r="FH804" s="4"/>
      <x:c r="FI804" s="4"/>
      <x:c r="FJ804" s="4"/>
      <x:c r="FK804" s="4"/>
      <x:c r="FL804" s="4"/>
      <x:c r="FM804" s="4"/>
      <x:c r="FN804" s="4"/>
      <x:c r="FO804" s="4"/>
      <x:c r="JA804" t="n">
        <x:f>IF(OR(IFERROR(INDIRECT("'WCM Calibration Final'!$A$804")&lt;&gt;"",FALSE),IFERROR(INDIRECT("'WCM Calibration Final'!$B$804")&lt;&gt;"",FALSE),IFERROR(INDIRECT("'WCM Calibration Final'!$C$804")&lt;&gt;"",FALSE)),804,0)</x:f>
        <x:v>0</x:v>
      </x:c>
      <x:c r="JB804" t="n">
        <x:f>'Calculations'!JB803+IF('Calculations'!JA804&gt;0,1,0)</x:f>
        <x:v>0</x:v>
      </x:c>
    </x:row>
    <x:row r="805">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4"/>
      <x:c r="DQ805" s="4"/>
      <x:c r="DR805" s="4"/>
      <x:c r="DS805" s="4"/>
      <x:c r="DT805" s="4"/>
      <x:c r="DU805" s="4"/>
      <x:c r="DV805" s="4"/>
      <x:c r="DW805" s="4"/>
      <x:c r="DX805" s="4"/>
      <x:c r="DY805" s="4"/>
      <x:c r="DZ805" s="4"/>
      <x:c r="EA805" s="4"/>
      <x:c r="EB805" s="4"/>
      <x:c r="EC805" s="4"/>
      <x:c r="ED805" s="4"/>
      <x:c r="EE805" s="4"/>
      <x:c r="EF805" s="4"/>
      <x:c r="EG805" s="4"/>
      <x:c r="EH805" s="4"/>
      <x:c r="EI805" s="4"/>
      <x:c r="EJ805" s="4"/>
      <x:c r="EK805" s="4"/>
      <x:c r="EL805" s="4"/>
      <x:c r="EM805" s="4"/>
      <x:c r="EN805" s="4"/>
      <x:c r="EO805" s="4"/>
      <x:c r="EP805" s="4"/>
      <x:c r="EQ805" s="4"/>
      <x:c r="ER805" s="4"/>
      <x:c r="ES805" s="4"/>
      <x:c r="ET805" s="4"/>
      <x:c r="EU805" s="4"/>
      <x:c r="EV805" s="4"/>
      <x:c r="EW805" s="4"/>
      <x:c r="EX805" s="4"/>
      <x:c r="EY805" s="4"/>
      <x:c r="EZ805" s="4"/>
      <x:c r="FA805" s="4"/>
      <x:c r="FB805" s="4"/>
      <x:c r="FC805" s="4"/>
      <x:c r="FD805" s="4"/>
      <x:c r="FE805" s="4"/>
      <x:c r="FF805" s="4"/>
      <x:c r="FG805" s="4"/>
      <x:c r="FH805" s="4"/>
      <x:c r="FI805" s="4"/>
      <x:c r="FJ805" s="4"/>
      <x:c r="FK805" s="4"/>
      <x:c r="FL805" s="4"/>
      <x:c r="FM805" s="4"/>
      <x:c r="FN805" s="4"/>
      <x:c r="FO805" s="4"/>
      <x:c r="JA805" t="n">
        <x:f>IF(OR(IFERROR(INDIRECT("'WCM Calibration Final'!$A$805")&lt;&gt;"",FALSE),IFERROR(INDIRECT("'WCM Calibration Final'!$B$805")&lt;&gt;"",FALSE),IFERROR(INDIRECT("'WCM Calibration Final'!$C$805")&lt;&gt;"",FALSE)),805,0)</x:f>
        <x:v>0</x:v>
      </x:c>
      <x:c r="JB805" t="n">
        <x:f>'Calculations'!JB804+IF('Calculations'!JA805&gt;0,1,0)</x:f>
        <x:v>0</x:v>
      </x:c>
    </x:row>
    <x:row r="806">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4"/>
      <x:c r="DQ806" s="4"/>
      <x:c r="DR806" s="4"/>
      <x:c r="DS806" s="4"/>
      <x:c r="DT806" s="4"/>
      <x:c r="DU806" s="4"/>
      <x:c r="DV806" s="4"/>
      <x:c r="DW806" s="4"/>
      <x:c r="DX806" s="4"/>
      <x:c r="DY806" s="4"/>
      <x:c r="DZ806" s="4"/>
      <x:c r="EA806" s="4"/>
      <x:c r="EB806" s="4"/>
      <x:c r="EC806" s="4"/>
      <x:c r="ED806" s="4"/>
      <x:c r="EE806" s="4"/>
      <x:c r="EF806" s="4"/>
      <x:c r="EG806" s="4"/>
      <x:c r="EH806" s="4"/>
      <x:c r="EI806" s="4"/>
      <x:c r="EJ806" s="4"/>
      <x:c r="EK806" s="4"/>
      <x:c r="EL806" s="4"/>
      <x:c r="EM806" s="4"/>
      <x:c r="EN806" s="4"/>
      <x:c r="EO806" s="4"/>
      <x:c r="EP806" s="4"/>
      <x:c r="EQ806" s="4"/>
      <x:c r="ER806" s="4"/>
      <x:c r="ES806" s="4"/>
      <x:c r="ET806" s="4"/>
      <x:c r="EU806" s="4"/>
      <x:c r="EV806" s="4"/>
      <x:c r="EW806" s="4"/>
      <x:c r="EX806" s="4"/>
      <x:c r="EY806" s="4"/>
      <x:c r="EZ806" s="4"/>
      <x:c r="FA806" s="4"/>
      <x:c r="FB806" s="4"/>
      <x:c r="FC806" s="4"/>
      <x:c r="FD806" s="4"/>
      <x:c r="FE806" s="4"/>
      <x:c r="FF806" s="4"/>
      <x:c r="FG806" s="4"/>
      <x:c r="FH806" s="4"/>
      <x:c r="FI806" s="4"/>
      <x:c r="FJ806" s="4"/>
      <x:c r="FK806" s="4"/>
      <x:c r="FL806" s="4"/>
      <x:c r="FM806" s="4"/>
      <x:c r="FN806" s="4"/>
      <x:c r="FO806" s="4"/>
      <x:c r="JA806" t="n">
        <x:f>IF(OR(IFERROR(INDIRECT("'WCM Calibration Final'!$A$806")&lt;&gt;"",FALSE),IFERROR(INDIRECT("'WCM Calibration Final'!$B$806")&lt;&gt;"",FALSE),IFERROR(INDIRECT("'WCM Calibration Final'!$C$806")&lt;&gt;"",FALSE)),806,0)</x:f>
        <x:v>0</x:v>
      </x:c>
      <x:c r="JB806" t="n">
        <x:f>'Calculations'!JB805+IF('Calculations'!JA806&gt;0,1,0)</x:f>
        <x:v>0</x:v>
      </x:c>
    </x:row>
    <x:row r="807">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4"/>
      <x:c r="DQ807" s="4"/>
      <x:c r="DR807" s="4"/>
      <x:c r="DS807" s="4"/>
      <x:c r="DT807" s="4"/>
      <x:c r="DU807" s="4"/>
      <x:c r="DV807" s="4"/>
      <x:c r="DW807" s="4"/>
      <x:c r="DX807" s="4"/>
      <x:c r="DY807" s="4"/>
      <x:c r="DZ807" s="4"/>
      <x:c r="EA807" s="4"/>
      <x:c r="EB807" s="4"/>
      <x:c r="EC807" s="4"/>
      <x:c r="ED807" s="4"/>
      <x:c r="EE807" s="4"/>
      <x:c r="EF807" s="4"/>
      <x:c r="EG807" s="4"/>
      <x:c r="EH807" s="4"/>
      <x:c r="EI807" s="4"/>
      <x:c r="EJ807" s="4"/>
      <x:c r="EK807" s="4"/>
      <x:c r="EL807" s="4"/>
      <x:c r="EM807" s="4"/>
      <x:c r="EN807" s="4"/>
      <x:c r="EO807" s="4"/>
      <x:c r="EP807" s="4"/>
      <x:c r="EQ807" s="4"/>
      <x:c r="ER807" s="4"/>
      <x:c r="ES807" s="4"/>
      <x:c r="ET807" s="4"/>
      <x:c r="EU807" s="4"/>
      <x:c r="EV807" s="4"/>
      <x:c r="EW807" s="4"/>
      <x:c r="EX807" s="4"/>
      <x:c r="EY807" s="4"/>
      <x:c r="EZ807" s="4"/>
      <x:c r="FA807" s="4"/>
      <x:c r="FB807" s="4"/>
      <x:c r="FC807" s="4"/>
      <x:c r="FD807" s="4"/>
      <x:c r="FE807" s="4"/>
      <x:c r="FF807" s="4"/>
      <x:c r="FG807" s="4"/>
      <x:c r="FH807" s="4"/>
      <x:c r="FI807" s="4"/>
      <x:c r="FJ807" s="4"/>
      <x:c r="FK807" s="4"/>
      <x:c r="FL807" s="4"/>
      <x:c r="FM807" s="4"/>
      <x:c r="FN807" s="4"/>
      <x:c r="FO807" s="4"/>
      <x:c r="JA807" t="n">
        <x:f>IF(OR(IFERROR(INDIRECT("'WCM Calibration Final'!$A$807")&lt;&gt;"",FALSE),IFERROR(INDIRECT("'WCM Calibration Final'!$B$807")&lt;&gt;"",FALSE),IFERROR(INDIRECT("'WCM Calibration Final'!$C$807")&lt;&gt;"",FALSE)),807,0)</x:f>
        <x:v>0</x:v>
      </x:c>
      <x:c r="JB807" t="n">
        <x:f>'Calculations'!JB806+IF('Calculations'!JA807&gt;0,1,0)</x:f>
        <x:v>0</x:v>
      </x:c>
    </x:row>
    <x:row r="808">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4"/>
      <x:c r="DQ808" s="4"/>
      <x:c r="DR808" s="4"/>
      <x:c r="DS808" s="4"/>
      <x:c r="DT808" s="4"/>
      <x:c r="DU808" s="4"/>
      <x:c r="DV808" s="4"/>
      <x:c r="DW808" s="4"/>
      <x:c r="DX808" s="4"/>
      <x:c r="DY808" s="4"/>
      <x:c r="DZ808" s="4"/>
      <x:c r="EA808" s="4"/>
      <x:c r="EB808" s="4"/>
      <x:c r="EC808" s="4"/>
      <x:c r="ED808" s="4"/>
      <x:c r="EE808" s="4"/>
      <x:c r="EF808" s="4"/>
      <x:c r="EG808" s="4"/>
      <x:c r="EH808" s="4"/>
      <x:c r="EI808" s="4"/>
      <x:c r="EJ808" s="4"/>
      <x:c r="EK808" s="4"/>
      <x:c r="EL808" s="4"/>
      <x:c r="EM808" s="4"/>
      <x:c r="EN808" s="4"/>
      <x:c r="EO808" s="4"/>
      <x:c r="EP808" s="4"/>
      <x:c r="EQ808" s="4"/>
      <x:c r="ER808" s="4"/>
      <x:c r="ES808" s="4"/>
      <x:c r="ET808" s="4"/>
      <x:c r="EU808" s="4"/>
      <x:c r="EV808" s="4"/>
      <x:c r="EW808" s="4"/>
      <x:c r="EX808" s="4"/>
      <x:c r="EY808" s="4"/>
      <x:c r="EZ808" s="4"/>
      <x:c r="FA808" s="4"/>
      <x:c r="FB808" s="4"/>
      <x:c r="FC808" s="4"/>
      <x:c r="FD808" s="4"/>
      <x:c r="FE808" s="4"/>
      <x:c r="FF808" s="4"/>
      <x:c r="FG808" s="4"/>
      <x:c r="FH808" s="4"/>
      <x:c r="FI808" s="4"/>
      <x:c r="FJ808" s="4"/>
      <x:c r="FK808" s="4"/>
      <x:c r="FL808" s="4"/>
      <x:c r="FM808" s="4"/>
      <x:c r="FN808" s="4"/>
      <x:c r="FO808" s="4"/>
      <x:c r="JA808" t="n">
        <x:f>IF(OR(IFERROR(INDIRECT("'WCM Calibration Final'!$A$808")&lt;&gt;"",FALSE),IFERROR(INDIRECT("'WCM Calibration Final'!$B$808")&lt;&gt;"",FALSE),IFERROR(INDIRECT("'WCM Calibration Final'!$C$808")&lt;&gt;"",FALSE)),808,0)</x:f>
        <x:v>0</x:v>
      </x:c>
      <x:c r="JB808" t="n">
        <x:f>'Calculations'!JB807+IF('Calculations'!JA808&gt;0,1,0)</x:f>
        <x:v>0</x:v>
      </x:c>
    </x:row>
    <x:row r="809">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4"/>
      <x:c r="DQ809" s="4"/>
      <x:c r="DR809" s="4"/>
      <x:c r="DS809" s="4"/>
      <x:c r="DT809" s="4"/>
      <x:c r="DU809" s="4"/>
      <x:c r="DV809" s="4"/>
      <x:c r="DW809" s="4"/>
      <x:c r="DX809" s="4"/>
      <x:c r="DY809" s="4"/>
      <x:c r="DZ809" s="4"/>
      <x:c r="EA809" s="4"/>
      <x:c r="EB809" s="4"/>
      <x:c r="EC809" s="4"/>
      <x:c r="ED809" s="4"/>
      <x:c r="EE809" s="4"/>
      <x:c r="EF809" s="4"/>
      <x:c r="EG809" s="4"/>
      <x:c r="EH809" s="4"/>
      <x:c r="EI809" s="4"/>
      <x:c r="EJ809" s="4"/>
      <x:c r="EK809" s="4"/>
      <x:c r="EL809" s="4"/>
      <x:c r="EM809" s="4"/>
      <x:c r="EN809" s="4"/>
      <x:c r="EO809" s="4"/>
      <x:c r="EP809" s="4"/>
      <x:c r="EQ809" s="4"/>
      <x:c r="ER809" s="4"/>
      <x:c r="ES809" s="4"/>
      <x:c r="ET809" s="4"/>
      <x:c r="EU809" s="4"/>
      <x:c r="EV809" s="4"/>
      <x:c r="EW809" s="4"/>
      <x:c r="EX809" s="4"/>
      <x:c r="EY809" s="4"/>
      <x:c r="EZ809" s="4"/>
      <x:c r="FA809" s="4"/>
      <x:c r="FB809" s="4"/>
      <x:c r="FC809" s="4"/>
      <x:c r="FD809" s="4"/>
      <x:c r="FE809" s="4"/>
      <x:c r="FF809" s="4"/>
      <x:c r="FG809" s="4"/>
      <x:c r="FH809" s="4"/>
      <x:c r="FI809" s="4"/>
      <x:c r="FJ809" s="4"/>
      <x:c r="FK809" s="4"/>
      <x:c r="FL809" s="4"/>
      <x:c r="FM809" s="4"/>
      <x:c r="FN809" s="4"/>
      <x:c r="FO809" s="4"/>
      <x:c r="JA809" t="n">
        <x:f>IF(OR(IFERROR(INDIRECT("'WCM Calibration Final'!$A$809")&lt;&gt;"",FALSE),IFERROR(INDIRECT("'WCM Calibration Final'!$B$809")&lt;&gt;"",FALSE),IFERROR(INDIRECT("'WCM Calibration Final'!$C$809")&lt;&gt;"",FALSE)),809,0)</x:f>
        <x:v>0</x:v>
      </x:c>
      <x:c r="JB809" t="n">
        <x:f>'Calculations'!JB808+IF('Calculations'!JA809&gt;0,1,0)</x:f>
        <x:v>0</x:v>
      </x:c>
    </x:row>
    <x:row r="810">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4"/>
      <x:c r="DQ810" s="4"/>
      <x:c r="DR810" s="4"/>
      <x:c r="DS810" s="4"/>
      <x:c r="DT810" s="4"/>
      <x:c r="DU810" s="4"/>
      <x:c r="DV810" s="4"/>
      <x:c r="DW810" s="4"/>
      <x:c r="DX810" s="4"/>
      <x:c r="DY810" s="4"/>
      <x:c r="DZ810" s="4"/>
      <x:c r="EA810" s="4"/>
      <x:c r="EB810" s="4"/>
      <x:c r="EC810" s="4"/>
      <x:c r="ED810" s="4"/>
      <x:c r="EE810" s="4"/>
      <x:c r="EF810" s="4"/>
      <x:c r="EG810" s="4"/>
      <x:c r="EH810" s="4"/>
      <x:c r="EI810" s="4"/>
      <x:c r="EJ810" s="4"/>
      <x:c r="EK810" s="4"/>
      <x:c r="EL810" s="4"/>
      <x:c r="EM810" s="4"/>
      <x:c r="EN810" s="4"/>
      <x:c r="EO810" s="4"/>
      <x:c r="EP810" s="4"/>
      <x:c r="EQ810" s="4"/>
      <x:c r="ER810" s="4"/>
      <x:c r="ES810" s="4"/>
      <x:c r="ET810" s="4"/>
      <x:c r="EU810" s="4"/>
      <x:c r="EV810" s="4"/>
      <x:c r="EW810" s="4"/>
      <x:c r="EX810" s="4"/>
      <x:c r="EY810" s="4"/>
      <x:c r="EZ810" s="4"/>
      <x:c r="FA810" s="4"/>
      <x:c r="FB810" s="4"/>
      <x:c r="FC810" s="4"/>
      <x:c r="FD810" s="4"/>
      <x:c r="FE810" s="4"/>
      <x:c r="FF810" s="4"/>
      <x:c r="FG810" s="4"/>
      <x:c r="FH810" s="4"/>
      <x:c r="FI810" s="4"/>
      <x:c r="FJ810" s="4"/>
      <x:c r="FK810" s="4"/>
      <x:c r="FL810" s="4"/>
      <x:c r="FM810" s="4"/>
      <x:c r="FN810" s="4"/>
      <x:c r="FO810" s="4"/>
      <x:c r="JA810" t="n">
        <x:f>IF(OR(IFERROR(INDIRECT("'WCM Calibration Final'!$A$810")&lt;&gt;"",FALSE),IFERROR(INDIRECT("'WCM Calibration Final'!$B$810")&lt;&gt;"",FALSE),IFERROR(INDIRECT("'WCM Calibration Final'!$C$810")&lt;&gt;"",FALSE)),810,0)</x:f>
        <x:v>0</x:v>
      </x:c>
      <x:c r="JB810" t="n">
        <x:f>'Calculations'!JB809+IF('Calculations'!JA810&gt;0,1,0)</x:f>
        <x:v>0</x:v>
      </x:c>
    </x:row>
    <x:row r="811">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4"/>
      <x:c r="DQ811" s="4"/>
      <x:c r="DR811" s="4"/>
      <x:c r="DS811" s="4"/>
      <x:c r="DT811" s="4"/>
      <x:c r="DU811" s="4"/>
      <x:c r="DV811" s="4"/>
      <x:c r="DW811" s="4"/>
      <x:c r="DX811" s="4"/>
      <x:c r="DY811" s="4"/>
      <x:c r="DZ811" s="4"/>
      <x:c r="EA811" s="4"/>
      <x:c r="EB811" s="4"/>
      <x:c r="EC811" s="4"/>
      <x:c r="ED811" s="4"/>
      <x:c r="EE811" s="4"/>
      <x:c r="EF811" s="4"/>
      <x:c r="EG811" s="4"/>
      <x:c r="EH811" s="4"/>
      <x:c r="EI811" s="4"/>
      <x:c r="EJ811" s="4"/>
      <x:c r="EK811" s="4"/>
      <x:c r="EL811" s="4"/>
      <x:c r="EM811" s="4"/>
      <x:c r="EN811" s="4"/>
      <x:c r="EO811" s="4"/>
      <x:c r="EP811" s="4"/>
      <x:c r="EQ811" s="4"/>
      <x:c r="ER811" s="4"/>
      <x:c r="ES811" s="4"/>
      <x:c r="ET811" s="4"/>
      <x:c r="EU811" s="4"/>
      <x:c r="EV811" s="4"/>
      <x:c r="EW811" s="4"/>
      <x:c r="EX811" s="4"/>
      <x:c r="EY811" s="4"/>
      <x:c r="EZ811" s="4"/>
      <x:c r="FA811" s="4"/>
      <x:c r="FB811" s="4"/>
      <x:c r="FC811" s="4"/>
      <x:c r="FD811" s="4"/>
      <x:c r="FE811" s="4"/>
      <x:c r="FF811" s="4"/>
      <x:c r="FG811" s="4"/>
      <x:c r="FH811" s="4"/>
      <x:c r="FI811" s="4"/>
      <x:c r="FJ811" s="4"/>
      <x:c r="FK811" s="4"/>
      <x:c r="FL811" s="4"/>
      <x:c r="FM811" s="4"/>
      <x:c r="FN811" s="4"/>
      <x:c r="FO811" s="4"/>
      <x:c r="JA811" t="n">
        <x:f>IF(OR(IFERROR(INDIRECT("'WCM Calibration Final'!$A$811")&lt;&gt;"",FALSE),IFERROR(INDIRECT("'WCM Calibration Final'!$B$811")&lt;&gt;"",FALSE),IFERROR(INDIRECT("'WCM Calibration Final'!$C$811")&lt;&gt;"",FALSE)),811,0)</x:f>
        <x:v>0</x:v>
      </x:c>
      <x:c r="JB811" t="n">
        <x:f>'Calculations'!JB810+IF('Calculations'!JA811&gt;0,1,0)</x:f>
        <x:v>0</x:v>
      </x:c>
    </x:row>
    <x:row r="812">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4"/>
      <x:c r="DQ812" s="4"/>
      <x:c r="DR812" s="4"/>
      <x:c r="DS812" s="4"/>
      <x:c r="DT812" s="4"/>
      <x:c r="DU812" s="4"/>
      <x:c r="DV812" s="4"/>
      <x:c r="DW812" s="4"/>
      <x:c r="DX812" s="4"/>
      <x:c r="DY812" s="4"/>
      <x:c r="DZ812" s="4"/>
      <x:c r="EA812" s="4"/>
      <x:c r="EB812" s="4"/>
      <x:c r="EC812" s="4"/>
      <x:c r="ED812" s="4"/>
      <x:c r="EE812" s="4"/>
      <x:c r="EF812" s="4"/>
      <x:c r="EG812" s="4"/>
      <x:c r="EH812" s="4"/>
      <x:c r="EI812" s="4"/>
      <x:c r="EJ812" s="4"/>
      <x:c r="EK812" s="4"/>
      <x:c r="EL812" s="4"/>
      <x:c r="EM812" s="4"/>
      <x:c r="EN812" s="4"/>
      <x:c r="EO812" s="4"/>
      <x:c r="EP812" s="4"/>
      <x:c r="EQ812" s="4"/>
      <x:c r="ER812" s="4"/>
      <x:c r="ES812" s="4"/>
      <x:c r="ET812" s="4"/>
      <x:c r="EU812" s="4"/>
      <x:c r="EV812" s="4"/>
      <x:c r="EW812" s="4"/>
      <x:c r="EX812" s="4"/>
      <x:c r="EY812" s="4"/>
      <x:c r="EZ812" s="4"/>
      <x:c r="FA812" s="4"/>
      <x:c r="FB812" s="4"/>
      <x:c r="FC812" s="4"/>
      <x:c r="FD812" s="4"/>
      <x:c r="FE812" s="4"/>
      <x:c r="FF812" s="4"/>
      <x:c r="FG812" s="4"/>
      <x:c r="FH812" s="4"/>
      <x:c r="FI812" s="4"/>
      <x:c r="FJ812" s="4"/>
      <x:c r="FK812" s="4"/>
      <x:c r="FL812" s="4"/>
      <x:c r="FM812" s="4"/>
      <x:c r="FN812" s="4"/>
      <x:c r="FO812" s="4"/>
      <x:c r="JA812" t="n">
        <x:f>IF(OR(IFERROR(INDIRECT("'WCM Calibration Final'!$A$812")&lt;&gt;"",FALSE),IFERROR(INDIRECT("'WCM Calibration Final'!$B$812")&lt;&gt;"",FALSE),IFERROR(INDIRECT("'WCM Calibration Final'!$C$812")&lt;&gt;"",FALSE)),812,0)</x:f>
        <x:v>0</x:v>
      </x:c>
      <x:c r="JB812" t="n">
        <x:f>'Calculations'!JB811+IF('Calculations'!JA812&gt;0,1,0)</x:f>
        <x:v>0</x:v>
      </x:c>
    </x:row>
    <x:row r="813">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4"/>
      <x:c r="DQ813" s="4"/>
      <x:c r="DR813" s="4"/>
      <x:c r="DS813" s="4"/>
      <x:c r="DT813" s="4"/>
      <x:c r="DU813" s="4"/>
      <x:c r="DV813" s="4"/>
      <x:c r="DW813" s="4"/>
      <x:c r="DX813" s="4"/>
      <x:c r="DY813" s="4"/>
      <x:c r="DZ813" s="4"/>
      <x:c r="EA813" s="4"/>
      <x:c r="EB813" s="4"/>
      <x:c r="EC813" s="4"/>
      <x:c r="ED813" s="4"/>
      <x:c r="EE813" s="4"/>
      <x:c r="EF813" s="4"/>
      <x:c r="EG813" s="4"/>
      <x:c r="EH813" s="4"/>
      <x:c r="EI813" s="4"/>
      <x:c r="EJ813" s="4"/>
      <x:c r="EK813" s="4"/>
      <x:c r="EL813" s="4"/>
      <x:c r="EM813" s="4"/>
      <x:c r="EN813" s="4"/>
      <x:c r="EO813" s="4"/>
      <x:c r="EP813" s="4"/>
      <x:c r="EQ813" s="4"/>
      <x:c r="ER813" s="4"/>
      <x:c r="ES813" s="4"/>
      <x:c r="ET813" s="4"/>
      <x:c r="EU813" s="4"/>
      <x:c r="EV813" s="4"/>
      <x:c r="EW813" s="4"/>
      <x:c r="EX813" s="4"/>
      <x:c r="EY813" s="4"/>
      <x:c r="EZ813" s="4"/>
      <x:c r="FA813" s="4"/>
      <x:c r="FB813" s="4"/>
      <x:c r="FC813" s="4"/>
      <x:c r="FD813" s="4"/>
      <x:c r="FE813" s="4"/>
      <x:c r="FF813" s="4"/>
      <x:c r="FG813" s="4"/>
      <x:c r="FH813" s="4"/>
      <x:c r="FI813" s="4"/>
      <x:c r="FJ813" s="4"/>
      <x:c r="FK813" s="4"/>
      <x:c r="FL813" s="4"/>
      <x:c r="FM813" s="4"/>
      <x:c r="FN813" s="4"/>
      <x:c r="FO813" s="4"/>
      <x:c r="JA813" t="n">
        <x:f>IF(OR(IFERROR(INDIRECT("'WCM Calibration Final'!$A$813")&lt;&gt;"",FALSE),IFERROR(INDIRECT("'WCM Calibration Final'!$B$813")&lt;&gt;"",FALSE),IFERROR(INDIRECT("'WCM Calibration Final'!$C$813")&lt;&gt;"",FALSE)),813,0)</x:f>
        <x:v>0</x:v>
      </x:c>
      <x:c r="JB813" t="n">
        <x:f>'Calculations'!JB812+IF('Calculations'!JA813&gt;0,1,0)</x:f>
        <x:v>0</x:v>
      </x:c>
    </x:row>
    <x:row r="814">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4"/>
      <x:c r="DQ814" s="4"/>
      <x:c r="DR814" s="4"/>
      <x:c r="DS814" s="4"/>
      <x:c r="DT814" s="4"/>
      <x:c r="DU814" s="4"/>
      <x:c r="DV814" s="4"/>
      <x:c r="DW814" s="4"/>
      <x:c r="DX814" s="4"/>
      <x:c r="DY814" s="4"/>
      <x:c r="DZ814" s="4"/>
      <x:c r="EA814" s="4"/>
      <x:c r="EB814" s="4"/>
      <x:c r="EC814" s="4"/>
      <x:c r="ED814" s="4"/>
      <x:c r="EE814" s="4"/>
      <x:c r="EF814" s="4"/>
      <x:c r="EG814" s="4"/>
      <x:c r="EH814" s="4"/>
      <x:c r="EI814" s="4"/>
      <x:c r="EJ814" s="4"/>
      <x:c r="EK814" s="4"/>
      <x:c r="EL814" s="4"/>
      <x:c r="EM814" s="4"/>
      <x:c r="EN814" s="4"/>
      <x:c r="EO814" s="4"/>
      <x:c r="EP814" s="4"/>
      <x:c r="EQ814" s="4"/>
      <x:c r="ER814" s="4"/>
      <x:c r="ES814" s="4"/>
      <x:c r="ET814" s="4"/>
      <x:c r="EU814" s="4"/>
      <x:c r="EV814" s="4"/>
      <x:c r="EW814" s="4"/>
      <x:c r="EX814" s="4"/>
      <x:c r="EY814" s="4"/>
      <x:c r="EZ814" s="4"/>
      <x:c r="FA814" s="4"/>
      <x:c r="FB814" s="4"/>
      <x:c r="FC814" s="4"/>
      <x:c r="FD814" s="4"/>
      <x:c r="FE814" s="4"/>
      <x:c r="FF814" s="4"/>
      <x:c r="FG814" s="4"/>
      <x:c r="FH814" s="4"/>
      <x:c r="FI814" s="4"/>
      <x:c r="FJ814" s="4"/>
      <x:c r="FK814" s="4"/>
      <x:c r="FL814" s="4"/>
      <x:c r="FM814" s="4"/>
      <x:c r="FN814" s="4"/>
      <x:c r="FO814" s="4"/>
      <x:c r="JA814" t="n">
        <x:f>IF(OR(IFERROR(INDIRECT("'WCM Calibration Final'!$A$814")&lt;&gt;"",FALSE),IFERROR(INDIRECT("'WCM Calibration Final'!$B$814")&lt;&gt;"",FALSE),IFERROR(INDIRECT("'WCM Calibration Final'!$C$814")&lt;&gt;"",FALSE)),814,0)</x:f>
        <x:v>0</x:v>
      </x:c>
      <x:c r="JB814" t="n">
        <x:f>'Calculations'!JB813+IF('Calculations'!JA814&gt;0,1,0)</x:f>
        <x:v>0</x:v>
      </x:c>
    </x:row>
    <x:row r="815">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4"/>
      <x:c r="DQ815" s="4"/>
      <x:c r="DR815" s="4"/>
      <x:c r="DS815" s="4"/>
      <x:c r="DT815" s="4"/>
      <x:c r="DU815" s="4"/>
      <x:c r="DV815" s="4"/>
      <x:c r="DW815" s="4"/>
      <x:c r="DX815" s="4"/>
      <x:c r="DY815" s="4"/>
      <x:c r="DZ815" s="4"/>
      <x:c r="EA815" s="4"/>
      <x:c r="EB815" s="4"/>
      <x:c r="EC815" s="4"/>
      <x:c r="ED815" s="4"/>
      <x:c r="EE815" s="4"/>
      <x:c r="EF815" s="4"/>
      <x:c r="EG815" s="4"/>
      <x:c r="EH815" s="4"/>
      <x:c r="EI815" s="4"/>
      <x:c r="EJ815" s="4"/>
      <x:c r="EK815" s="4"/>
      <x:c r="EL815" s="4"/>
      <x:c r="EM815" s="4"/>
      <x:c r="EN815" s="4"/>
      <x:c r="EO815" s="4"/>
      <x:c r="EP815" s="4"/>
      <x:c r="EQ815" s="4"/>
      <x:c r="ER815" s="4"/>
      <x:c r="ES815" s="4"/>
      <x:c r="ET815" s="4"/>
      <x:c r="EU815" s="4"/>
      <x:c r="EV815" s="4"/>
      <x:c r="EW815" s="4"/>
      <x:c r="EX815" s="4"/>
      <x:c r="EY815" s="4"/>
      <x:c r="EZ815" s="4"/>
      <x:c r="FA815" s="4"/>
      <x:c r="FB815" s="4"/>
      <x:c r="FC815" s="4"/>
      <x:c r="FD815" s="4"/>
      <x:c r="FE815" s="4"/>
      <x:c r="FF815" s="4"/>
      <x:c r="FG815" s="4"/>
      <x:c r="FH815" s="4"/>
      <x:c r="FI815" s="4"/>
      <x:c r="FJ815" s="4"/>
      <x:c r="FK815" s="4"/>
      <x:c r="FL815" s="4"/>
      <x:c r="FM815" s="4"/>
      <x:c r="FN815" s="4"/>
      <x:c r="FO815" s="4"/>
      <x:c r="JA815" t="n">
        <x:f>IF(OR(IFERROR(INDIRECT("'WCM Calibration Final'!$A$815")&lt;&gt;"",FALSE),IFERROR(INDIRECT("'WCM Calibration Final'!$B$815")&lt;&gt;"",FALSE),IFERROR(INDIRECT("'WCM Calibration Final'!$C$815")&lt;&gt;"",FALSE)),815,0)</x:f>
        <x:v>0</x:v>
      </x:c>
      <x:c r="JB815" t="n">
        <x:f>'Calculations'!JB814+IF('Calculations'!JA815&gt;0,1,0)</x:f>
        <x:v>0</x:v>
      </x:c>
    </x:row>
    <x:row r="816">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4"/>
      <x:c r="DQ816" s="4"/>
      <x:c r="DR816" s="4"/>
      <x:c r="DS816" s="4"/>
      <x:c r="DT816" s="4"/>
      <x:c r="DU816" s="4"/>
      <x:c r="DV816" s="4"/>
      <x:c r="DW816" s="4"/>
      <x:c r="DX816" s="4"/>
      <x:c r="DY816" s="4"/>
      <x:c r="DZ816" s="4"/>
      <x:c r="EA816" s="4"/>
      <x:c r="EB816" s="4"/>
      <x:c r="EC816" s="4"/>
      <x:c r="ED816" s="4"/>
      <x:c r="EE816" s="4"/>
      <x:c r="EF816" s="4"/>
      <x:c r="EG816" s="4"/>
      <x:c r="EH816" s="4"/>
      <x:c r="EI816" s="4"/>
      <x:c r="EJ816" s="4"/>
      <x:c r="EK816" s="4"/>
      <x:c r="EL816" s="4"/>
      <x:c r="EM816" s="4"/>
      <x:c r="EN816" s="4"/>
      <x:c r="EO816" s="4"/>
      <x:c r="EP816" s="4"/>
      <x:c r="EQ816" s="4"/>
      <x:c r="ER816" s="4"/>
      <x:c r="ES816" s="4"/>
      <x:c r="ET816" s="4"/>
      <x:c r="EU816" s="4"/>
      <x:c r="EV816" s="4"/>
      <x:c r="EW816" s="4"/>
      <x:c r="EX816" s="4"/>
      <x:c r="EY816" s="4"/>
      <x:c r="EZ816" s="4"/>
      <x:c r="FA816" s="4"/>
      <x:c r="FB816" s="4"/>
      <x:c r="FC816" s="4"/>
      <x:c r="FD816" s="4"/>
      <x:c r="FE816" s="4"/>
      <x:c r="FF816" s="4"/>
      <x:c r="FG816" s="4"/>
      <x:c r="FH816" s="4"/>
      <x:c r="FI816" s="4"/>
      <x:c r="FJ816" s="4"/>
      <x:c r="FK816" s="4"/>
      <x:c r="FL816" s="4"/>
      <x:c r="FM816" s="4"/>
      <x:c r="FN816" s="4"/>
      <x:c r="FO816" s="4"/>
      <x:c r="JA816" t="n">
        <x:f>IF(OR(IFERROR(INDIRECT("'WCM Calibration Final'!$A$816")&lt;&gt;"",FALSE),IFERROR(INDIRECT("'WCM Calibration Final'!$B$816")&lt;&gt;"",FALSE),IFERROR(INDIRECT("'WCM Calibration Final'!$C$816")&lt;&gt;"",FALSE)),816,0)</x:f>
        <x:v>0</x:v>
      </x:c>
      <x:c r="JB816" t="n">
        <x:f>'Calculations'!JB815+IF('Calculations'!JA816&gt;0,1,0)</x:f>
        <x:v>0</x:v>
      </x:c>
    </x:row>
    <x:row r="817">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4"/>
      <x:c r="DQ817" s="4"/>
      <x:c r="DR817" s="4"/>
      <x:c r="DS817" s="4"/>
      <x:c r="DT817" s="4"/>
      <x:c r="DU817" s="4"/>
      <x:c r="DV817" s="4"/>
      <x:c r="DW817" s="4"/>
      <x:c r="DX817" s="4"/>
      <x:c r="DY817" s="4"/>
      <x:c r="DZ817" s="4"/>
      <x:c r="EA817" s="4"/>
      <x:c r="EB817" s="4"/>
      <x:c r="EC817" s="4"/>
      <x:c r="ED817" s="4"/>
      <x:c r="EE817" s="4"/>
      <x:c r="EF817" s="4"/>
      <x:c r="EG817" s="4"/>
      <x:c r="EH817" s="4"/>
      <x:c r="EI817" s="4"/>
      <x:c r="EJ817" s="4"/>
      <x:c r="EK817" s="4"/>
      <x:c r="EL817" s="4"/>
      <x:c r="EM817" s="4"/>
      <x:c r="EN817" s="4"/>
      <x:c r="EO817" s="4"/>
      <x:c r="EP817" s="4"/>
      <x:c r="EQ817" s="4"/>
      <x:c r="ER817" s="4"/>
      <x:c r="ES817" s="4"/>
      <x:c r="ET817" s="4"/>
      <x:c r="EU817" s="4"/>
      <x:c r="EV817" s="4"/>
      <x:c r="EW817" s="4"/>
      <x:c r="EX817" s="4"/>
      <x:c r="EY817" s="4"/>
      <x:c r="EZ817" s="4"/>
      <x:c r="FA817" s="4"/>
      <x:c r="FB817" s="4"/>
      <x:c r="FC817" s="4"/>
      <x:c r="FD817" s="4"/>
      <x:c r="FE817" s="4"/>
      <x:c r="FF817" s="4"/>
      <x:c r="FG817" s="4"/>
      <x:c r="FH817" s="4"/>
      <x:c r="FI817" s="4"/>
      <x:c r="FJ817" s="4"/>
      <x:c r="FK817" s="4"/>
      <x:c r="FL817" s="4"/>
      <x:c r="FM817" s="4"/>
      <x:c r="FN817" s="4"/>
      <x:c r="FO817" s="4"/>
      <x:c r="JA817" t="n">
        <x:f>IF(OR(IFERROR(INDIRECT("'WCM Calibration Final'!$A$817")&lt;&gt;"",FALSE),IFERROR(INDIRECT("'WCM Calibration Final'!$B$817")&lt;&gt;"",FALSE),IFERROR(INDIRECT("'WCM Calibration Final'!$C$817")&lt;&gt;"",FALSE)),817,0)</x:f>
        <x:v>0</x:v>
      </x:c>
      <x:c r="JB817" t="n">
        <x:f>'Calculations'!JB816+IF('Calculations'!JA817&gt;0,1,0)</x:f>
        <x:v>0</x:v>
      </x:c>
    </x:row>
    <x:row r="818">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4"/>
      <x:c r="DQ818" s="4"/>
      <x:c r="DR818" s="4"/>
      <x:c r="DS818" s="4"/>
      <x:c r="DT818" s="4"/>
      <x:c r="DU818" s="4"/>
      <x:c r="DV818" s="4"/>
      <x:c r="DW818" s="4"/>
      <x:c r="DX818" s="4"/>
      <x:c r="DY818" s="4"/>
      <x:c r="DZ818" s="4"/>
      <x:c r="EA818" s="4"/>
      <x:c r="EB818" s="4"/>
      <x:c r="EC818" s="4"/>
      <x:c r="ED818" s="4"/>
      <x:c r="EE818" s="4"/>
      <x:c r="EF818" s="4"/>
      <x:c r="EG818" s="4"/>
      <x:c r="EH818" s="4"/>
      <x:c r="EI818" s="4"/>
      <x:c r="EJ818" s="4"/>
      <x:c r="EK818" s="4"/>
      <x:c r="EL818" s="4"/>
      <x:c r="EM818" s="4"/>
      <x:c r="EN818" s="4"/>
      <x:c r="EO818" s="4"/>
      <x:c r="EP818" s="4"/>
      <x:c r="EQ818" s="4"/>
      <x:c r="ER818" s="4"/>
      <x:c r="ES818" s="4"/>
      <x:c r="ET818" s="4"/>
      <x:c r="EU818" s="4"/>
      <x:c r="EV818" s="4"/>
      <x:c r="EW818" s="4"/>
      <x:c r="EX818" s="4"/>
      <x:c r="EY818" s="4"/>
      <x:c r="EZ818" s="4"/>
      <x:c r="FA818" s="4"/>
      <x:c r="FB818" s="4"/>
      <x:c r="FC818" s="4"/>
      <x:c r="FD818" s="4"/>
      <x:c r="FE818" s="4"/>
      <x:c r="FF818" s="4"/>
      <x:c r="FG818" s="4"/>
      <x:c r="FH818" s="4"/>
      <x:c r="FI818" s="4"/>
      <x:c r="FJ818" s="4"/>
      <x:c r="FK818" s="4"/>
      <x:c r="FL818" s="4"/>
      <x:c r="FM818" s="4"/>
      <x:c r="FN818" s="4"/>
      <x:c r="FO818" s="4"/>
      <x:c r="JA818" t="n">
        <x:f>IF(OR(IFERROR(INDIRECT("'WCM Calibration Final'!$A$818")&lt;&gt;"",FALSE),IFERROR(INDIRECT("'WCM Calibration Final'!$B$818")&lt;&gt;"",FALSE),IFERROR(INDIRECT("'WCM Calibration Final'!$C$818")&lt;&gt;"",FALSE)),818,0)</x:f>
        <x:v>0</x:v>
      </x:c>
      <x:c r="JB818" t="n">
        <x:f>'Calculations'!JB817+IF('Calculations'!JA818&gt;0,1,0)</x:f>
        <x:v>0</x:v>
      </x:c>
    </x:row>
    <x:row r="819">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4"/>
      <x:c r="DQ819" s="4"/>
      <x:c r="DR819" s="4"/>
      <x:c r="DS819" s="4"/>
      <x:c r="DT819" s="4"/>
      <x:c r="DU819" s="4"/>
      <x:c r="DV819" s="4"/>
      <x:c r="DW819" s="4"/>
      <x:c r="DX819" s="4"/>
      <x:c r="DY819" s="4"/>
      <x:c r="DZ819" s="4"/>
      <x:c r="EA819" s="4"/>
      <x:c r="EB819" s="4"/>
      <x:c r="EC819" s="4"/>
      <x:c r="ED819" s="4"/>
      <x:c r="EE819" s="4"/>
      <x:c r="EF819" s="4"/>
      <x:c r="EG819" s="4"/>
      <x:c r="EH819" s="4"/>
      <x:c r="EI819" s="4"/>
      <x:c r="EJ819" s="4"/>
      <x:c r="EK819" s="4"/>
      <x:c r="EL819" s="4"/>
      <x:c r="EM819" s="4"/>
      <x:c r="EN819" s="4"/>
      <x:c r="EO819" s="4"/>
      <x:c r="EP819" s="4"/>
      <x:c r="EQ819" s="4"/>
      <x:c r="ER819" s="4"/>
      <x:c r="ES819" s="4"/>
      <x:c r="ET819" s="4"/>
      <x:c r="EU819" s="4"/>
      <x:c r="EV819" s="4"/>
      <x:c r="EW819" s="4"/>
      <x:c r="EX819" s="4"/>
      <x:c r="EY819" s="4"/>
      <x:c r="EZ819" s="4"/>
      <x:c r="FA819" s="4"/>
      <x:c r="FB819" s="4"/>
      <x:c r="FC819" s="4"/>
      <x:c r="FD819" s="4"/>
      <x:c r="FE819" s="4"/>
      <x:c r="FF819" s="4"/>
      <x:c r="FG819" s="4"/>
      <x:c r="FH819" s="4"/>
      <x:c r="FI819" s="4"/>
      <x:c r="FJ819" s="4"/>
      <x:c r="FK819" s="4"/>
      <x:c r="FL819" s="4"/>
      <x:c r="FM819" s="4"/>
      <x:c r="FN819" s="4"/>
      <x:c r="FO819" s="4"/>
      <x:c r="JA819" t="n">
        <x:f>IF(OR(IFERROR(INDIRECT("'WCM Calibration Final'!$A$819")&lt;&gt;"",FALSE),IFERROR(INDIRECT("'WCM Calibration Final'!$B$819")&lt;&gt;"",FALSE),IFERROR(INDIRECT("'WCM Calibration Final'!$C$819")&lt;&gt;"",FALSE)),819,0)</x:f>
        <x:v>0</x:v>
      </x:c>
      <x:c r="JB819" t="n">
        <x:f>'Calculations'!JB818+IF('Calculations'!JA819&gt;0,1,0)</x:f>
        <x:v>0</x:v>
      </x:c>
    </x:row>
    <x:row r="820">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4"/>
      <x:c r="DQ820" s="4"/>
      <x:c r="DR820" s="4"/>
      <x:c r="DS820" s="4"/>
      <x:c r="DT820" s="4"/>
      <x:c r="DU820" s="4"/>
      <x:c r="DV820" s="4"/>
      <x:c r="DW820" s="4"/>
      <x:c r="DX820" s="4"/>
      <x:c r="DY820" s="4"/>
      <x:c r="DZ820" s="4"/>
      <x:c r="EA820" s="4"/>
      <x:c r="EB820" s="4"/>
      <x:c r="EC820" s="4"/>
      <x:c r="ED820" s="4"/>
      <x:c r="EE820" s="4"/>
      <x:c r="EF820" s="4"/>
      <x:c r="EG820" s="4"/>
      <x:c r="EH820" s="4"/>
      <x:c r="EI820" s="4"/>
      <x:c r="EJ820" s="4"/>
      <x:c r="EK820" s="4"/>
      <x:c r="EL820" s="4"/>
      <x:c r="EM820" s="4"/>
      <x:c r="EN820" s="4"/>
      <x:c r="EO820" s="4"/>
      <x:c r="EP820" s="4"/>
      <x:c r="EQ820" s="4"/>
      <x:c r="ER820" s="4"/>
      <x:c r="ES820" s="4"/>
      <x:c r="ET820" s="4"/>
      <x:c r="EU820" s="4"/>
      <x:c r="EV820" s="4"/>
      <x:c r="EW820" s="4"/>
      <x:c r="EX820" s="4"/>
      <x:c r="EY820" s="4"/>
      <x:c r="EZ820" s="4"/>
      <x:c r="FA820" s="4"/>
      <x:c r="FB820" s="4"/>
      <x:c r="FC820" s="4"/>
      <x:c r="FD820" s="4"/>
      <x:c r="FE820" s="4"/>
      <x:c r="FF820" s="4"/>
      <x:c r="FG820" s="4"/>
      <x:c r="FH820" s="4"/>
      <x:c r="FI820" s="4"/>
      <x:c r="FJ820" s="4"/>
      <x:c r="FK820" s="4"/>
      <x:c r="FL820" s="4"/>
      <x:c r="FM820" s="4"/>
      <x:c r="FN820" s="4"/>
      <x:c r="FO820" s="4"/>
      <x:c r="JA820" t="n">
        <x:f>IF(OR(IFERROR(INDIRECT("'WCM Calibration Final'!$A$820")&lt;&gt;"",FALSE),IFERROR(INDIRECT("'WCM Calibration Final'!$B$820")&lt;&gt;"",FALSE),IFERROR(INDIRECT("'WCM Calibration Final'!$C$820")&lt;&gt;"",FALSE)),820,0)</x:f>
        <x:v>0</x:v>
      </x:c>
      <x:c r="JB820" t="n">
        <x:f>'Calculations'!JB819+IF('Calculations'!JA820&gt;0,1,0)</x:f>
        <x:v>0</x:v>
      </x:c>
    </x:row>
    <x:row r="821">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4"/>
      <x:c r="DQ821" s="4"/>
      <x:c r="DR821" s="4"/>
      <x:c r="DS821" s="4"/>
      <x:c r="DT821" s="4"/>
      <x:c r="DU821" s="4"/>
      <x:c r="DV821" s="4"/>
      <x:c r="DW821" s="4"/>
      <x:c r="DX821" s="4"/>
      <x:c r="DY821" s="4"/>
      <x:c r="DZ821" s="4"/>
      <x:c r="EA821" s="4"/>
      <x:c r="EB821" s="4"/>
      <x:c r="EC821" s="4"/>
      <x:c r="ED821" s="4"/>
      <x:c r="EE821" s="4"/>
      <x:c r="EF821" s="4"/>
      <x:c r="EG821" s="4"/>
      <x:c r="EH821" s="4"/>
      <x:c r="EI821" s="4"/>
      <x:c r="EJ821" s="4"/>
      <x:c r="EK821" s="4"/>
      <x:c r="EL821" s="4"/>
      <x:c r="EM821" s="4"/>
      <x:c r="EN821" s="4"/>
      <x:c r="EO821" s="4"/>
      <x:c r="EP821" s="4"/>
      <x:c r="EQ821" s="4"/>
      <x:c r="ER821" s="4"/>
      <x:c r="ES821" s="4"/>
      <x:c r="ET821" s="4"/>
      <x:c r="EU821" s="4"/>
      <x:c r="EV821" s="4"/>
      <x:c r="EW821" s="4"/>
      <x:c r="EX821" s="4"/>
      <x:c r="EY821" s="4"/>
      <x:c r="EZ821" s="4"/>
      <x:c r="FA821" s="4"/>
      <x:c r="FB821" s="4"/>
      <x:c r="FC821" s="4"/>
      <x:c r="FD821" s="4"/>
      <x:c r="FE821" s="4"/>
      <x:c r="FF821" s="4"/>
      <x:c r="FG821" s="4"/>
      <x:c r="FH821" s="4"/>
      <x:c r="FI821" s="4"/>
      <x:c r="FJ821" s="4"/>
      <x:c r="FK821" s="4"/>
      <x:c r="FL821" s="4"/>
      <x:c r="FM821" s="4"/>
      <x:c r="FN821" s="4"/>
      <x:c r="FO821" s="4"/>
      <x:c r="JA821" t="n">
        <x:f>IF(OR(IFERROR(INDIRECT("'WCM Calibration Final'!$A$821")&lt;&gt;"",FALSE),IFERROR(INDIRECT("'WCM Calibration Final'!$B$821")&lt;&gt;"",FALSE),IFERROR(INDIRECT("'WCM Calibration Final'!$C$821")&lt;&gt;"",FALSE)),821,0)</x:f>
        <x:v>0</x:v>
      </x:c>
      <x:c r="JB821" t="n">
        <x:f>'Calculations'!JB820+IF('Calculations'!JA821&gt;0,1,0)</x:f>
        <x:v>0</x:v>
      </x:c>
    </x:row>
    <x:row r="822">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4"/>
      <x:c r="DQ822" s="4"/>
      <x:c r="DR822" s="4"/>
      <x:c r="DS822" s="4"/>
      <x:c r="DT822" s="4"/>
      <x:c r="DU822" s="4"/>
      <x:c r="DV822" s="4"/>
      <x:c r="DW822" s="4"/>
      <x:c r="DX822" s="4"/>
      <x:c r="DY822" s="4"/>
      <x:c r="DZ822" s="4"/>
      <x:c r="EA822" s="4"/>
      <x:c r="EB822" s="4"/>
      <x:c r="EC822" s="4"/>
      <x:c r="ED822" s="4"/>
      <x:c r="EE822" s="4"/>
      <x:c r="EF822" s="4"/>
      <x:c r="EG822" s="4"/>
      <x:c r="EH822" s="4"/>
      <x:c r="EI822" s="4"/>
      <x:c r="EJ822" s="4"/>
      <x:c r="EK822" s="4"/>
      <x:c r="EL822" s="4"/>
      <x:c r="EM822" s="4"/>
      <x:c r="EN822" s="4"/>
      <x:c r="EO822" s="4"/>
      <x:c r="EP822" s="4"/>
      <x:c r="EQ822" s="4"/>
      <x:c r="ER822" s="4"/>
      <x:c r="ES822" s="4"/>
      <x:c r="ET822" s="4"/>
      <x:c r="EU822" s="4"/>
      <x:c r="EV822" s="4"/>
      <x:c r="EW822" s="4"/>
      <x:c r="EX822" s="4"/>
      <x:c r="EY822" s="4"/>
      <x:c r="EZ822" s="4"/>
      <x:c r="FA822" s="4"/>
      <x:c r="FB822" s="4"/>
      <x:c r="FC822" s="4"/>
      <x:c r="FD822" s="4"/>
      <x:c r="FE822" s="4"/>
      <x:c r="FF822" s="4"/>
      <x:c r="FG822" s="4"/>
      <x:c r="FH822" s="4"/>
      <x:c r="FI822" s="4"/>
      <x:c r="FJ822" s="4"/>
      <x:c r="FK822" s="4"/>
      <x:c r="FL822" s="4"/>
      <x:c r="FM822" s="4"/>
      <x:c r="FN822" s="4"/>
      <x:c r="FO822" s="4"/>
      <x:c r="JA822" t="n">
        <x:f>IF(OR(IFERROR(INDIRECT("'WCM Calibration Final'!$A$822")&lt;&gt;"",FALSE),IFERROR(INDIRECT("'WCM Calibration Final'!$B$822")&lt;&gt;"",FALSE),IFERROR(INDIRECT("'WCM Calibration Final'!$C$822")&lt;&gt;"",FALSE)),822,0)</x:f>
        <x:v>0</x:v>
      </x:c>
      <x:c r="JB822" t="n">
        <x:f>'Calculations'!JB821+IF('Calculations'!JA822&gt;0,1,0)</x:f>
        <x:v>0</x:v>
      </x:c>
    </x:row>
    <x:row r="823">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4"/>
      <x:c r="DQ823" s="4"/>
      <x:c r="DR823" s="4"/>
      <x:c r="DS823" s="4"/>
      <x:c r="DT823" s="4"/>
      <x:c r="DU823" s="4"/>
      <x:c r="DV823" s="4"/>
      <x:c r="DW823" s="4"/>
      <x:c r="DX823" s="4"/>
      <x:c r="DY823" s="4"/>
      <x:c r="DZ823" s="4"/>
      <x:c r="EA823" s="4"/>
      <x:c r="EB823" s="4"/>
      <x:c r="EC823" s="4"/>
      <x:c r="ED823" s="4"/>
      <x:c r="EE823" s="4"/>
      <x:c r="EF823" s="4"/>
      <x:c r="EG823" s="4"/>
      <x:c r="EH823" s="4"/>
      <x:c r="EI823" s="4"/>
      <x:c r="EJ823" s="4"/>
      <x:c r="EK823" s="4"/>
      <x:c r="EL823" s="4"/>
      <x:c r="EM823" s="4"/>
      <x:c r="EN823" s="4"/>
      <x:c r="EO823" s="4"/>
      <x:c r="EP823" s="4"/>
      <x:c r="EQ823" s="4"/>
      <x:c r="ER823" s="4"/>
      <x:c r="ES823" s="4"/>
      <x:c r="ET823" s="4"/>
      <x:c r="EU823" s="4"/>
      <x:c r="EV823" s="4"/>
      <x:c r="EW823" s="4"/>
      <x:c r="EX823" s="4"/>
      <x:c r="EY823" s="4"/>
      <x:c r="EZ823" s="4"/>
      <x:c r="FA823" s="4"/>
      <x:c r="FB823" s="4"/>
      <x:c r="FC823" s="4"/>
      <x:c r="FD823" s="4"/>
      <x:c r="FE823" s="4"/>
      <x:c r="FF823" s="4"/>
      <x:c r="FG823" s="4"/>
      <x:c r="FH823" s="4"/>
      <x:c r="FI823" s="4"/>
      <x:c r="FJ823" s="4"/>
      <x:c r="FK823" s="4"/>
      <x:c r="FL823" s="4"/>
      <x:c r="FM823" s="4"/>
      <x:c r="FN823" s="4"/>
      <x:c r="FO823" s="4"/>
      <x:c r="JA823" t="n">
        <x:f>IF(OR(IFERROR(INDIRECT("'WCM Calibration Final'!$A$823")&lt;&gt;"",FALSE),IFERROR(INDIRECT("'WCM Calibration Final'!$B$823")&lt;&gt;"",FALSE),IFERROR(INDIRECT("'WCM Calibration Final'!$C$823")&lt;&gt;"",FALSE)),823,0)</x:f>
        <x:v>0</x:v>
      </x:c>
      <x:c r="JB823" t="n">
        <x:f>'Calculations'!JB822+IF('Calculations'!JA823&gt;0,1,0)</x:f>
        <x:v>0</x:v>
      </x:c>
    </x:row>
    <x:row r="824">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4"/>
      <x:c r="DQ824" s="4"/>
      <x:c r="DR824" s="4"/>
      <x:c r="DS824" s="4"/>
      <x:c r="DT824" s="4"/>
      <x:c r="DU824" s="4"/>
      <x:c r="DV824" s="4"/>
      <x:c r="DW824" s="4"/>
      <x:c r="DX824" s="4"/>
      <x:c r="DY824" s="4"/>
      <x:c r="DZ824" s="4"/>
      <x:c r="EA824" s="4"/>
      <x:c r="EB824" s="4"/>
      <x:c r="EC824" s="4"/>
      <x:c r="ED824" s="4"/>
      <x:c r="EE824" s="4"/>
      <x:c r="EF824" s="4"/>
      <x:c r="EG824" s="4"/>
      <x:c r="EH824" s="4"/>
      <x:c r="EI824" s="4"/>
      <x:c r="EJ824" s="4"/>
      <x:c r="EK824" s="4"/>
      <x:c r="EL824" s="4"/>
      <x:c r="EM824" s="4"/>
      <x:c r="EN824" s="4"/>
      <x:c r="EO824" s="4"/>
      <x:c r="EP824" s="4"/>
      <x:c r="EQ824" s="4"/>
      <x:c r="ER824" s="4"/>
      <x:c r="ES824" s="4"/>
      <x:c r="ET824" s="4"/>
      <x:c r="EU824" s="4"/>
      <x:c r="EV824" s="4"/>
      <x:c r="EW824" s="4"/>
      <x:c r="EX824" s="4"/>
      <x:c r="EY824" s="4"/>
      <x:c r="EZ824" s="4"/>
      <x:c r="FA824" s="4"/>
      <x:c r="FB824" s="4"/>
      <x:c r="FC824" s="4"/>
      <x:c r="FD824" s="4"/>
      <x:c r="FE824" s="4"/>
      <x:c r="FF824" s="4"/>
      <x:c r="FG824" s="4"/>
      <x:c r="FH824" s="4"/>
      <x:c r="FI824" s="4"/>
      <x:c r="FJ824" s="4"/>
      <x:c r="FK824" s="4"/>
      <x:c r="FL824" s="4"/>
      <x:c r="FM824" s="4"/>
      <x:c r="FN824" s="4"/>
      <x:c r="FO824" s="4"/>
      <x:c r="JA824" t="n">
        <x:f>IF(OR(IFERROR(INDIRECT("'WCM Calibration Final'!$A$824")&lt;&gt;"",FALSE),IFERROR(INDIRECT("'WCM Calibration Final'!$B$824")&lt;&gt;"",FALSE),IFERROR(INDIRECT("'WCM Calibration Final'!$C$824")&lt;&gt;"",FALSE)),824,0)</x:f>
        <x:v>0</x:v>
      </x:c>
      <x:c r="JB824" t="n">
        <x:f>'Calculations'!JB823+IF('Calculations'!JA824&gt;0,1,0)</x:f>
        <x:v>0</x:v>
      </x:c>
    </x:row>
    <x:row r="825">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4"/>
      <x:c r="DQ825" s="4"/>
      <x:c r="DR825" s="4"/>
      <x:c r="DS825" s="4"/>
      <x:c r="DT825" s="4"/>
      <x:c r="DU825" s="4"/>
      <x:c r="DV825" s="4"/>
      <x:c r="DW825" s="4"/>
      <x:c r="DX825" s="4"/>
      <x:c r="DY825" s="4"/>
      <x:c r="DZ825" s="4"/>
      <x:c r="EA825" s="4"/>
      <x:c r="EB825" s="4"/>
      <x:c r="EC825" s="4"/>
      <x:c r="ED825" s="4"/>
      <x:c r="EE825" s="4"/>
      <x:c r="EF825" s="4"/>
      <x:c r="EG825" s="4"/>
      <x:c r="EH825" s="4"/>
      <x:c r="EI825" s="4"/>
      <x:c r="EJ825" s="4"/>
      <x:c r="EK825" s="4"/>
      <x:c r="EL825" s="4"/>
      <x:c r="EM825" s="4"/>
      <x:c r="EN825" s="4"/>
      <x:c r="EO825" s="4"/>
      <x:c r="EP825" s="4"/>
      <x:c r="EQ825" s="4"/>
      <x:c r="ER825" s="4"/>
      <x:c r="ES825" s="4"/>
      <x:c r="ET825" s="4"/>
      <x:c r="EU825" s="4"/>
      <x:c r="EV825" s="4"/>
      <x:c r="EW825" s="4"/>
      <x:c r="EX825" s="4"/>
      <x:c r="EY825" s="4"/>
      <x:c r="EZ825" s="4"/>
      <x:c r="FA825" s="4"/>
      <x:c r="FB825" s="4"/>
      <x:c r="FC825" s="4"/>
      <x:c r="FD825" s="4"/>
      <x:c r="FE825" s="4"/>
      <x:c r="FF825" s="4"/>
      <x:c r="FG825" s="4"/>
      <x:c r="FH825" s="4"/>
      <x:c r="FI825" s="4"/>
      <x:c r="FJ825" s="4"/>
      <x:c r="FK825" s="4"/>
      <x:c r="FL825" s="4"/>
      <x:c r="FM825" s="4"/>
      <x:c r="FN825" s="4"/>
      <x:c r="FO825" s="4"/>
      <x:c r="JA825" t="n">
        <x:f>IF(OR(IFERROR(INDIRECT("'WCM Calibration Final'!$A$825")&lt;&gt;"",FALSE),IFERROR(INDIRECT("'WCM Calibration Final'!$B$825")&lt;&gt;"",FALSE),IFERROR(INDIRECT("'WCM Calibration Final'!$C$825")&lt;&gt;"",FALSE)),825,0)</x:f>
        <x:v>0</x:v>
      </x:c>
      <x:c r="JB825" t="n">
        <x:f>'Calculations'!JB824+IF('Calculations'!JA825&gt;0,1,0)</x:f>
        <x:v>0</x:v>
      </x:c>
    </x:row>
    <x:row r="826">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4"/>
      <x:c r="DQ826" s="4"/>
      <x:c r="DR826" s="4"/>
      <x:c r="DS826" s="4"/>
      <x:c r="DT826" s="4"/>
      <x:c r="DU826" s="4"/>
      <x:c r="DV826" s="4"/>
      <x:c r="DW826" s="4"/>
      <x:c r="DX826" s="4"/>
      <x:c r="DY826" s="4"/>
      <x:c r="DZ826" s="4"/>
      <x:c r="EA826" s="4"/>
      <x:c r="EB826" s="4"/>
      <x:c r="EC826" s="4"/>
      <x:c r="ED826" s="4"/>
      <x:c r="EE826" s="4"/>
      <x:c r="EF826" s="4"/>
      <x:c r="EG826" s="4"/>
      <x:c r="EH826" s="4"/>
      <x:c r="EI826" s="4"/>
      <x:c r="EJ826" s="4"/>
      <x:c r="EK826" s="4"/>
      <x:c r="EL826" s="4"/>
      <x:c r="EM826" s="4"/>
      <x:c r="EN826" s="4"/>
      <x:c r="EO826" s="4"/>
      <x:c r="EP826" s="4"/>
      <x:c r="EQ826" s="4"/>
      <x:c r="ER826" s="4"/>
      <x:c r="ES826" s="4"/>
      <x:c r="ET826" s="4"/>
      <x:c r="EU826" s="4"/>
      <x:c r="EV826" s="4"/>
      <x:c r="EW826" s="4"/>
      <x:c r="EX826" s="4"/>
      <x:c r="EY826" s="4"/>
      <x:c r="EZ826" s="4"/>
      <x:c r="FA826" s="4"/>
      <x:c r="FB826" s="4"/>
      <x:c r="FC826" s="4"/>
      <x:c r="FD826" s="4"/>
      <x:c r="FE826" s="4"/>
      <x:c r="FF826" s="4"/>
      <x:c r="FG826" s="4"/>
      <x:c r="FH826" s="4"/>
      <x:c r="FI826" s="4"/>
      <x:c r="FJ826" s="4"/>
      <x:c r="FK826" s="4"/>
      <x:c r="FL826" s="4"/>
      <x:c r="FM826" s="4"/>
      <x:c r="FN826" s="4"/>
      <x:c r="FO826" s="4"/>
      <x:c r="JA826" t="n">
        <x:f>IF(OR(IFERROR(INDIRECT("'WCM Calibration Final'!$A$826")&lt;&gt;"",FALSE),IFERROR(INDIRECT("'WCM Calibration Final'!$B$826")&lt;&gt;"",FALSE),IFERROR(INDIRECT("'WCM Calibration Final'!$C$826")&lt;&gt;"",FALSE)),826,0)</x:f>
        <x:v>0</x:v>
      </x:c>
      <x:c r="JB826" t="n">
        <x:f>'Calculations'!JB825+IF('Calculations'!JA826&gt;0,1,0)</x:f>
        <x:v>0</x:v>
      </x:c>
    </x:row>
    <x:row r="827">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4"/>
      <x:c r="DQ827" s="4"/>
      <x:c r="DR827" s="4"/>
      <x:c r="DS827" s="4"/>
      <x:c r="DT827" s="4"/>
      <x:c r="DU827" s="4"/>
      <x:c r="DV827" s="4"/>
      <x:c r="DW827" s="4"/>
      <x:c r="DX827" s="4"/>
      <x:c r="DY827" s="4"/>
      <x:c r="DZ827" s="4"/>
      <x:c r="EA827" s="4"/>
      <x:c r="EB827" s="4"/>
      <x:c r="EC827" s="4"/>
      <x:c r="ED827" s="4"/>
      <x:c r="EE827" s="4"/>
      <x:c r="EF827" s="4"/>
      <x:c r="EG827" s="4"/>
      <x:c r="EH827" s="4"/>
      <x:c r="EI827" s="4"/>
      <x:c r="EJ827" s="4"/>
      <x:c r="EK827" s="4"/>
      <x:c r="EL827" s="4"/>
      <x:c r="EM827" s="4"/>
      <x:c r="EN827" s="4"/>
      <x:c r="EO827" s="4"/>
      <x:c r="EP827" s="4"/>
      <x:c r="EQ827" s="4"/>
      <x:c r="ER827" s="4"/>
      <x:c r="ES827" s="4"/>
      <x:c r="ET827" s="4"/>
      <x:c r="EU827" s="4"/>
      <x:c r="EV827" s="4"/>
      <x:c r="EW827" s="4"/>
      <x:c r="EX827" s="4"/>
      <x:c r="EY827" s="4"/>
      <x:c r="EZ827" s="4"/>
      <x:c r="FA827" s="4"/>
      <x:c r="FB827" s="4"/>
      <x:c r="FC827" s="4"/>
      <x:c r="FD827" s="4"/>
      <x:c r="FE827" s="4"/>
      <x:c r="FF827" s="4"/>
      <x:c r="FG827" s="4"/>
      <x:c r="FH827" s="4"/>
      <x:c r="FI827" s="4"/>
      <x:c r="FJ827" s="4"/>
      <x:c r="FK827" s="4"/>
      <x:c r="FL827" s="4"/>
      <x:c r="FM827" s="4"/>
      <x:c r="FN827" s="4"/>
      <x:c r="FO827" s="4"/>
      <x:c r="JA827" t="n">
        <x:f>IF(OR(IFERROR(INDIRECT("'WCM Calibration Final'!$A$827")&lt;&gt;"",FALSE),IFERROR(INDIRECT("'WCM Calibration Final'!$B$827")&lt;&gt;"",FALSE),IFERROR(INDIRECT("'WCM Calibration Final'!$C$827")&lt;&gt;"",FALSE)),827,0)</x:f>
        <x:v>0</x:v>
      </x:c>
      <x:c r="JB827" t="n">
        <x:f>'Calculations'!JB826+IF('Calculations'!JA827&gt;0,1,0)</x:f>
        <x:v>0</x:v>
      </x:c>
    </x:row>
    <x:row r="828">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4"/>
      <x:c r="DQ828" s="4"/>
      <x:c r="DR828" s="4"/>
      <x:c r="DS828" s="4"/>
      <x:c r="DT828" s="4"/>
      <x:c r="DU828" s="4"/>
      <x:c r="DV828" s="4"/>
      <x:c r="DW828" s="4"/>
      <x:c r="DX828" s="4"/>
      <x:c r="DY828" s="4"/>
      <x:c r="DZ828" s="4"/>
      <x:c r="EA828" s="4"/>
      <x:c r="EB828" s="4"/>
      <x:c r="EC828" s="4"/>
      <x:c r="ED828" s="4"/>
      <x:c r="EE828" s="4"/>
      <x:c r="EF828" s="4"/>
      <x:c r="EG828" s="4"/>
      <x:c r="EH828" s="4"/>
      <x:c r="EI828" s="4"/>
      <x:c r="EJ828" s="4"/>
      <x:c r="EK828" s="4"/>
      <x:c r="EL828" s="4"/>
      <x:c r="EM828" s="4"/>
      <x:c r="EN828" s="4"/>
      <x:c r="EO828" s="4"/>
      <x:c r="EP828" s="4"/>
      <x:c r="EQ828" s="4"/>
      <x:c r="ER828" s="4"/>
      <x:c r="ES828" s="4"/>
      <x:c r="ET828" s="4"/>
      <x:c r="EU828" s="4"/>
      <x:c r="EV828" s="4"/>
      <x:c r="EW828" s="4"/>
      <x:c r="EX828" s="4"/>
      <x:c r="EY828" s="4"/>
      <x:c r="EZ828" s="4"/>
      <x:c r="FA828" s="4"/>
      <x:c r="FB828" s="4"/>
      <x:c r="FC828" s="4"/>
      <x:c r="FD828" s="4"/>
      <x:c r="FE828" s="4"/>
      <x:c r="FF828" s="4"/>
      <x:c r="FG828" s="4"/>
      <x:c r="FH828" s="4"/>
      <x:c r="FI828" s="4"/>
      <x:c r="FJ828" s="4"/>
      <x:c r="FK828" s="4"/>
      <x:c r="FL828" s="4"/>
      <x:c r="FM828" s="4"/>
      <x:c r="FN828" s="4"/>
      <x:c r="FO828" s="4"/>
      <x:c r="JA828" t="n">
        <x:f>IF(OR(IFERROR(INDIRECT("'WCM Calibration Final'!$A$828")&lt;&gt;"",FALSE),IFERROR(INDIRECT("'WCM Calibration Final'!$B$828")&lt;&gt;"",FALSE),IFERROR(INDIRECT("'WCM Calibration Final'!$C$828")&lt;&gt;"",FALSE)),828,0)</x:f>
        <x:v>0</x:v>
      </x:c>
      <x:c r="JB828" t="n">
        <x:f>'Calculations'!JB827+IF('Calculations'!JA828&gt;0,1,0)</x:f>
        <x:v>0</x:v>
      </x:c>
    </x:row>
    <x:row r="829">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4"/>
      <x:c r="DQ829" s="4"/>
      <x:c r="DR829" s="4"/>
      <x:c r="DS829" s="4"/>
      <x:c r="DT829" s="4"/>
      <x:c r="DU829" s="4"/>
      <x:c r="DV829" s="4"/>
      <x:c r="DW829" s="4"/>
      <x:c r="DX829" s="4"/>
      <x:c r="DY829" s="4"/>
      <x:c r="DZ829" s="4"/>
      <x:c r="EA829" s="4"/>
      <x:c r="EB829" s="4"/>
      <x:c r="EC829" s="4"/>
      <x:c r="ED829" s="4"/>
      <x:c r="EE829" s="4"/>
      <x:c r="EF829" s="4"/>
      <x:c r="EG829" s="4"/>
      <x:c r="EH829" s="4"/>
      <x:c r="EI829" s="4"/>
      <x:c r="EJ829" s="4"/>
      <x:c r="EK829" s="4"/>
      <x:c r="EL829" s="4"/>
      <x:c r="EM829" s="4"/>
      <x:c r="EN829" s="4"/>
      <x:c r="EO829" s="4"/>
      <x:c r="EP829" s="4"/>
      <x:c r="EQ829" s="4"/>
      <x:c r="ER829" s="4"/>
      <x:c r="ES829" s="4"/>
      <x:c r="ET829" s="4"/>
      <x:c r="EU829" s="4"/>
      <x:c r="EV829" s="4"/>
      <x:c r="EW829" s="4"/>
      <x:c r="EX829" s="4"/>
      <x:c r="EY829" s="4"/>
      <x:c r="EZ829" s="4"/>
      <x:c r="FA829" s="4"/>
      <x:c r="FB829" s="4"/>
      <x:c r="FC829" s="4"/>
      <x:c r="FD829" s="4"/>
      <x:c r="FE829" s="4"/>
      <x:c r="FF829" s="4"/>
      <x:c r="FG829" s="4"/>
      <x:c r="FH829" s="4"/>
      <x:c r="FI829" s="4"/>
      <x:c r="FJ829" s="4"/>
      <x:c r="FK829" s="4"/>
      <x:c r="FL829" s="4"/>
      <x:c r="FM829" s="4"/>
      <x:c r="FN829" s="4"/>
      <x:c r="FO829" s="4"/>
      <x:c r="JA829" t="n">
        <x:f>IF(OR(IFERROR(INDIRECT("'WCM Calibration Final'!$A$829")&lt;&gt;"",FALSE),IFERROR(INDIRECT("'WCM Calibration Final'!$B$829")&lt;&gt;"",FALSE),IFERROR(INDIRECT("'WCM Calibration Final'!$C$829")&lt;&gt;"",FALSE)),829,0)</x:f>
        <x:v>0</x:v>
      </x:c>
      <x:c r="JB829" t="n">
        <x:f>'Calculations'!JB828+IF('Calculations'!JA829&gt;0,1,0)</x:f>
        <x:v>0</x:v>
      </x:c>
    </x:row>
    <x:row r="830">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4"/>
      <x:c r="DQ830" s="4"/>
      <x:c r="DR830" s="4"/>
      <x:c r="DS830" s="4"/>
      <x:c r="DT830" s="4"/>
      <x:c r="DU830" s="4"/>
      <x:c r="DV830" s="4"/>
      <x:c r="DW830" s="4"/>
      <x:c r="DX830" s="4"/>
      <x:c r="DY830" s="4"/>
      <x:c r="DZ830" s="4"/>
      <x:c r="EA830" s="4"/>
      <x:c r="EB830" s="4"/>
      <x:c r="EC830" s="4"/>
      <x:c r="ED830" s="4"/>
      <x:c r="EE830" s="4"/>
      <x:c r="EF830" s="4"/>
      <x:c r="EG830" s="4"/>
      <x:c r="EH830" s="4"/>
      <x:c r="EI830" s="4"/>
      <x:c r="EJ830" s="4"/>
      <x:c r="EK830" s="4"/>
      <x:c r="EL830" s="4"/>
      <x:c r="EM830" s="4"/>
      <x:c r="EN830" s="4"/>
      <x:c r="EO830" s="4"/>
      <x:c r="EP830" s="4"/>
      <x:c r="EQ830" s="4"/>
      <x:c r="ER830" s="4"/>
      <x:c r="ES830" s="4"/>
      <x:c r="ET830" s="4"/>
      <x:c r="EU830" s="4"/>
      <x:c r="EV830" s="4"/>
      <x:c r="EW830" s="4"/>
      <x:c r="EX830" s="4"/>
      <x:c r="EY830" s="4"/>
      <x:c r="EZ830" s="4"/>
      <x:c r="FA830" s="4"/>
      <x:c r="FB830" s="4"/>
      <x:c r="FC830" s="4"/>
      <x:c r="FD830" s="4"/>
      <x:c r="FE830" s="4"/>
      <x:c r="FF830" s="4"/>
      <x:c r="FG830" s="4"/>
      <x:c r="FH830" s="4"/>
      <x:c r="FI830" s="4"/>
      <x:c r="FJ830" s="4"/>
      <x:c r="FK830" s="4"/>
      <x:c r="FL830" s="4"/>
      <x:c r="FM830" s="4"/>
      <x:c r="FN830" s="4"/>
      <x:c r="FO830" s="4"/>
      <x:c r="JA830" t="n">
        <x:f>IF(OR(IFERROR(INDIRECT("'WCM Calibration Final'!$A$830")&lt;&gt;"",FALSE),IFERROR(INDIRECT("'WCM Calibration Final'!$B$830")&lt;&gt;"",FALSE),IFERROR(INDIRECT("'WCM Calibration Final'!$C$830")&lt;&gt;"",FALSE)),830,0)</x:f>
        <x:v>0</x:v>
      </x:c>
      <x:c r="JB830" t="n">
        <x:f>'Calculations'!JB829+IF('Calculations'!JA830&gt;0,1,0)</x:f>
        <x:v>0</x:v>
      </x:c>
    </x:row>
    <x:row r="831">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4"/>
      <x:c r="DQ831" s="4"/>
      <x:c r="DR831" s="4"/>
      <x:c r="DS831" s="4"/>
      <x:c r="DT831" s="4"/>
      <x:c r="DU831" s="4"/>
      <x:c r="DV831" s="4"/>
      <x:c r="DW831" s="4"/>
      <x:c r="DX831" s="4"/>
      <x:c r="DY831" s="4"/>
      <x:c r="DZ831" s="4"/>
      <x:c r="EA831" s="4"/>
      <x:c r="EB831" s="4"/>
      <x:c r="EC831" s="4"/>
      <x:c r="ED831" s="4"/>
      <x:c r="EE831" s="4"/>
      <x:c r="EF831" s="4"/>
      <x:c r="EG831" s="4"/>
      <x:c r="EH831" s="4"/>
      <x:c r="EI831" s="4"/>
      <x:c r="EJ831" s="4"/>
      <x:c r="EK831" s="4"/>
      <x:c r="EL831" s="4"/>
      <x:c r="EM831" s="4"/>
      <x:c r="EN831" s="4"/>
      <x:c r="EO831" s="4"/>
      <x:c r="EP831" s="4"/>
      <x:c r="EQ831" s="4"/>
      <x:c r="ER831" s="4"/>
      <x:c r="ES831" s="4"/>
      <x:c r="ET831" s="4"/>
      <x:c r="EU831" s="4"/>
      <x:c r="EV831" s="4"/>
      <x:c r="EW831" s="4"/>
      <x:c r="EX831" s="4"/>
      <x:c r="EY831" s="4"/>
      <x:c r="EZ831" s="4"/>
      <x:c r="FA831" s="4"/>
      <x:c r="FB831" s="4"/>
      <x:c r="FC831" s="4"/>
      <x:c r="FD831" s="4"/>
      <x:c r="FE831" s="4"/>
      <x:c r="FF831" s="4"/>
      <x:c r="FG831" s="4"/>
      <x:c r="FH831" s="4"/>
      <x:c r="FI831" s="4"/>
      <x:c r="FJ831" s="4"/>
      <x:c r="FK831" s="4"/>
      <x:c r="FL831" s="4"/>
      <x:c r="FM831" s="4"/>
      <x:c r="FN831" s="4"/>
      <x:c r="FO831" s="4"/>
      <x:c r="JA831" t="n">
        <x:f>IF(OR(IFERROR(INDIRECT("'WCM Calibration Final'!$A$831")&lt;&gt;"",FALSE),IFERROR(INDIRECT("'WCM Calibration Final'!$B$831")&lt;&gt;"",FALSE),IFERROR(INDIRECT("'WCM Calibration Final'!$C$831")&lt;&gt;"",FALSE)),831,0)</x:f>
        <x:v>0</x:v>
      </x:c>
      <x:c r="JB831" t="n">
        <x:f>'Calculations'!JB830+IF('Calculations'!JA831&gt;0,1,0)</x:f>
        <x:v>0</x:v>
      </x:c>
    </x:row>
    <x:row r="832">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4"/>
      <x:c r="DQ832" s="4"/>
      <x:c r="DR832" s="4"/>
      <x:c r="DS832" s="4"/>
      <x:c r="DT832" s="4"/>
      <x:c r="DU832" s="4"/>
      <x:c r="DV832" s="4"/>
      <x:c r="DW832" s="4"/>
      <x:c r="DX832" s="4"/>
      <x:c r="DY832" s="4"/>
      <x:c r="DZ832" s="4"/>
      <x:c r="EA832" s="4"/>
      <x:c r="EB832" s="4"/>
      <x:c r="EC832" s="4"/>
      <x:c r="ED832" s="4"/>
      <x:c r="EE832" s="4"/>
      <x:c r="EF832" s="4"/>
      <x:c r="EG832" s="4"/>
      <x:c r="EH832" s="4"/>
      <x:c r="EI832" s="4"/>
      <x:c r="EJ832" s="4"/>
      <x:c r="EK832" s="4"/>
      <x:c r="EL832" s="4"/>
      <x:c r="EM832" s="4"/>
      <x:c r="EN832" s="4"/>
      <x:c r="EO832" s="4"/>
      <x:c r="EP832" s="4"/>
      <x:c r="EQ832" s="4"/>
      <x:c r="ER832" s="4"/>
      <x:c r="ES832" s="4"/>
      <x:c r="ET832" s="4"/>
      <x:c r="EU832" s="4"/>
      <x:c r="EV832" s="4"/>
      <x:c r="EW832" s="4"/>
      <x:c r="EX832" s="4"/>
      <x:c r="EY832" s="4"/>
      <x:c r="EZ832" s="4"/>
      <x:c r="FA832" s="4"/>
      <x:c r="FB832" s="4"/>
      <x:c r="FC832" s="4"/>
      <x:c r="FD832" s="4"/>
      <x:c r="FE832" s="4"/>
      <x:c r="FF832" s="4"/>
      <x:c r="FG832" s="4"/>
      <x:c r="FH832" s="4"/>
      <x:c r="FI832" s="4"/>
      <x:c r="FJ832" s="4"/>
      <x:c r="FK832" s="4"/>
      <x:c r="FL832" s="4"/>
      <x:c r="FM832" s="4"/>
      <x:c r="FN832" s="4"/>
      <x:c r="FO832" s="4"/>
      <x:c r="JA832" t="n">
        <x:f>IF(OR(IFERROR(INDIRECT("'WCM Calibration Final'!$A$832")&lt;&gt;"",FALSE),IFERROR(INDIRECT("'WCM Calibration Final'!$B$832")&lt;&gt;"",FALSE),IFERROR(INDIRECT("'WCM Calibration Final'!$C$832")&lt;&gt;"",FALSE)),832,0)</x:f>
        <x:v>0</x:v>
      </x:c>
      <x:c r="JB832" t="n">
        <x:f>'Calculations'!JB831+IF('Calculations'!JA832&gt;0,1,0)</x:f>
        <x:v>0</x:v>
      </x:c>
    </x:row>
    <x:row r="833">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4"/>
      <x:c r="DQ833" s="4"/>
      <x:c r="DR833" s="4"/>
      <x:c r="DS833" s="4"/>
      <x:c r="DT833" s="4"/>
      <x:c r="DU833" s="4"/>
      <x:c r="DV833" s="4"/>
      <x:c r="DW833" s="4"/>
      <x:c r="DX833" s="4"/>
      <x:c r="DY833" s="4"/>
      <x:c r="DZ833" s="4"/>
      <x:c r="EA833" s="4"/>
      <x:c r="EB833" s="4"/>
      <x:c r="EC833" s="4"/>
      <x:c r="ED833" s="4"/>
      <x:c r="EE833" s="4"/>
      <x:c r="EF833" s="4"/>
      <x:c r="EG833" s="4"/>
      <x:c r="EH833" s="4"/>
      <x:c r="EI833" s="4"/>
      <x:c r="EJ833" s="4"/>
      <x:c r="EK833" s="4"/>
      <x:c r="EL833" s="4"/>
      <x:c r="EM833" s="4"/>
      <x:c r="EN833" s="4"/>
      <x:c r="EO833" s="4"/>
      <x:c r="EP833" s="4"/>
      <x:c r="EQ833" s="4"/>
      <x:c r="ER833" s="4"/>
      <x:c r="ES833" s="4"/>
      <x:c r="ET833" s="4"/>
      <x:c r="EU833" s="4"/>
      <x:c r="EV833" s="4"/>
      <x:c r="EW833" s="4"/>
      <x:c r="EX833" s="4"/>
      <x:c r="EY833" s="4"/>
      <x:c r="EZ833" s="4"/>
      <x:c r="FA833" s="4"/>
      <x:c r="FB833" s="4"/>
      <x:c r="FC833" s="4"/>
      <x:c r="FD833" s="4"/>
      <x:c r="FE833" s="4"/>
      <x:c r="FF833" s="4"/>
      <x:c r="FG833" s="4"/>
      <x:c r="FH833" s="4"/>
      <x:c r="FI833" s="4"/>
      <x:c r="FJ833" s="4"/>
      <x:c r="FK833" s="4"/>
      <x:c r="FL833" s="4"/>
      <x:c r="FM833" s="4"/>
      <x:c r="FN833" s="4"/>
      <x:c r="FO833" s="4"/>
      <x:c r="JA833" t="n">
        <x:f>IF(OR(IFERROR(INDIRECT("'WCM Calibration Final'!$A$833")&lt;&gt;"",FALSE),IFERROR(INDIRECT("'WCM Calibration Final'!$B$833")&lt;&gt;"",FALSE),IFERROR(INDIRECT("'WCM Calibration Final'!$C$833")&lt;&gt;"",FALSE)),833,0)</x:f>
        <x:v>0</x:v>
      </x:c>
      <x:c r="JB833" t="n">
        <x:f>'Calculations'!JB832+IF('Calculations'!JA833&gt;0,1,0)</x:f>
        <x:v>0</x:v>
      </x:c>
    </x:row>
    <x:row r="834">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4"/>
      <x:c r="DQ834" s="4"/>
      <x:c r="DR834" s="4"/>
      <x:c r="DS834" s="4"/>
      <x:c r="DT834" s="4"/>
      <x:c r="DU834" s="4"/>
      <x:c r="DV834" s="4"/>
      <x:c r="DW834" s="4"/>
      <x:c r="DX834" s="4"/>
      <x:c r="DY834" s="4"/>
      <x:c r="DZ834" s="4"/>
      <x:c r="EA834" s="4"/>
      <x:c r="EB834" s="4"/>
      <x:c r="EC834" s="4"/>
      <x:c r="ED834" s="4"/>
      <x:c r="EE834" s="4"/>
      <x:c r="EF834" s="4"/>
      <x:c r="EG834" s="4"/>
      <x:c r="EH834" s="4"/>
      <x:c r="EI834" s="4"/>
      <x:c r="EJ834" s="4"/>
      <x:c r="EK834" s="4"/>
      <x:c r="EL834" s="4"/>
      <x:c r="EM834" s="4"/>
      <x:c r="EN834" s="4"/>
      <x:c r="EO834" s="4"/>
      <x:c r="EP834" s="4"/>
      <x:c r="EQ834" s="4"/>
      <x:c r="ER834" s="4"/>
      <x:c r="ES834" s="4"/>
      <x:c r="ET834" s="4"/>
      <x:c r="EU834" s="4"/>
      <x:c r="EV834" s="4"/>
      <x:c r="EW834" s="4"/>
      <x:c r="EX834" s="4"/>
      <x:c r="EY834" s="4"/>
      <x:c r="EZ834" s="4"/>
      <x:c r="FA834" s="4"/>
      <x:c r="FB834" s="4"/>
      <x:c r="FC834" s="4"/>
      <x:c r="FD834" s="4"/>
      <x:c r="FE834" s="4"/>
      <x:c r="FF834" s="4"/>
      <x:c r="FG834" s="4"/>
      <x:c r="FH834" s="4"/>
      <x:c r="FI834" s="4"/>
      <x:c r="FJ834" s="4"/>
      <x:c r="FK834" s="4"/>
      <x:c r="FL834" s="4"/>
      <x:c r="FM834" s="4"/>
      <x:c r="FN834" s="4"/>
      <x:c r="FO834" s="4"/>
      <x:c r="JA834" t="n">
        <x:f>IF(OR(IFERROR(INDIRECT("'WCM Calibration Final'!$A$834")&lt;&gt;"",FALSE),IFERROR(INDIRECT("'WCM Calibration Final'!$B$834")&lt;&gt;"",FALSE),IFERROR(INDIRECT("'WCM Calibration Final'!$C$834")&lt;&gt;"",FALSE)),834,0)</x:f>
        <x:v>0</x:v>
      </x:c>
      <x:c r="JB834" t="n">
        <x:f>'Calculations'!JB833+IF('Calculations'!JA834&gt;0,1,0)</x:f>
        <x:v>0</x:v>
      </x:c>
    </x:row>
    <x:row r="835">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4"/>
      <x:c r="DQ835" s="4"/>
      <x:c r="DR835" s="4"/>
      <x:c r="DS835" s="4"/>
      <x:c r="DT835" s="4"/>
      <x:c r="DU835" s="4"/>
      <x:c r="DV835" s="4"/>
      <x:c r="DW835" s="4"/>
      <x:c r="DX835" s="4"/>
      <x:c r="DY835" s="4"/>
      <x:c r="DZ835" s="4"/>
      <x:c r="EA835" s="4"/>
      <x:c r="EB835" s="4"/>
      <x:c r="EC835" s="4"/>
      <x:c r="ED835" s="4"/>
      <x:c r="EE835" s="4"/>
      <x:c r="EF835" s="4"/>
      <x:c r="EG835" s="4"/>
      <x:c r="EH835" s="4"/>
      <x:c r="EI835" s="4"/>
      <x:c r="EJ835" s="4"/>
      <x:c r="EK835" s="4"/>
      <x:c r="EL835" s="4"/>
      <x:c r="EM835" s="4"/>
      <x:c r="EN835" s="4"/>
      <x:c r="EO835" s="4"/>
      <x:c r="EP835" s="4"/>
      <x:c r="EQ835" s="4"/>
      <x:c r="ER835" s="4"/>
      <x:c r="ES835" s="4"/>
      <x:c r="ET835" s="4"/>
      <x:c r="EU835" s="4"/>
      <x:c r="EV835" s="4"/>
      <x:c r="EW835" s="4"/>
      <x:c r="EX835" s="4"/>
      <x:c r="EY835" s="4"/>
      <x:c r="EZ835" s="4"/>
      <x:c r="FA835" s="4"/>
      <x:c r="FB835" s="4"/>
      <x:c r="FC835" s="4"/>
      <x:c r="FD835" s="4"/>
      <x:c r="FE835" s="4"/>
      <x:c r="FF835" s="4"/>
      <x:c r="FG835" s="4"/>
      <x:c r="FH835" s="4"/>
      <x:c r="FI835" s="4"/>
      <x:c r="FJ835" s="4"/>
      <x:c r="FK835" s="4"/>
      <x:c r="FL835" s="4"/>
      <x:c r="FM835" s="4"/>
      <x:c r="FN835" s="4"/>
      <x:c r="FO835" s="4"/>
      <x:c r="JA835" t="n">
        <x:f>IF(OR(IFERROR(INDIRECT("'WCM Calibration Final'!$A$835")&lt;&gt;"",FALSE),IFERROR(INDIRECT("'WCM Calibration Final'!$B$835")&lt;&gt;"",FALSE),IFERROR(INDIRECT("'WCM Calibration Final'!$C$835")&lt;&gt;"",FALSE)),835,0)</x:f>
        <x:v>0</x:v>
      </x:c>
      <x:c r="JB835" t="n">
        <x:f>'Calculations'!JB834+IF('Calculations'!JA835&gt;0,1,0)</x:f>
        <x:v>0</x:v>
      </x:c>
    </x:row>
    <x:row r="836">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4"/>
      <x:c r="DQ836" s="4"/>
      <x:c r="DR836" s="4"/>
      <x:c r="DS836" s="4"/>
      <x:c r="DT836" s="4"/>
      <x:c r="DU836" s="4"/>
      <x:c r="DV836" s="4"/>
      <x:c r="DW836" s="4"/>
      <x:c r="DX836" s="4"/>
      <x:c r="DY836" s="4"/>
      <x:c r="DZ836" s="4"/>
      <x:c r="EA836" s="4"/>
      <x:c r="EB836" s="4"/>
      <x:c r="EC836" s="4"/>
      <x:c r="ED836" s="4"/>
      <x:c r="EE836" s="4"/>
      <x:c r="EF836" s="4"/>
      <x:c r="EG836" s="4"/>
      <x:c r="EH836" s="4"/>
      <x:c r="EI836" s="4"/>
      <x:c r="EJ836" s="4"/>
      <x:c r="EK836" s="4"/>
      <x:c r="EL836" s="4"/>
      <x:c r="EM836" s="4"/>
      <x:c r="EN836" s="4"/>
      <x:c r="EO836" s="4"/>
      <x:c r="EP836" s="4"/>
      <x:c r="EQ836" s="4"/>
      <x:c r="ER836" s="4"/>
      <x:c r="ES836" s="4"/>
      <x:c r="ET836" s="4"/>
      <x:c r="EU836" s="4"/>
      <x:c r="EV836" s="4"/>
      <x:c r="EW836" s="4"/>
      <x:c r="EX836" s="4"/>
      <x:c r="EY836" s="4"/>
      <x:c r="EZ836" s="4"/>
      <x:c r="FA836" s="4"/>
      <x:c r="FB836" s="4"/>
      <x:c r="FC836" s="4"/>
      <x:c r="FD836" s="4"/>
      <x:c r="FE836" s="4"/>
      <x:c r="FF836" s="4"/>
      <x:c r="FG836" s="4"/>
      <x:c r="FH836" s="4"/>
      <x:c r="FI836" s="4"/>
      <x:c r="FJ836" s="4"/>
      <x:c r="FK836" s="4"/>
      <x:c r="FL836" s="4"/>
      <x:c r="FM836" s="4"/>
      <x:c r="FN836" s="4"/>
      <x:c r="FO836" s="4"/>
      <x:c r="JA836" t="n">
        <x:f>IF(OR(IFERROR(INDIRECT("'WCM Calibration Final'!$A$836")&lt;&gt;"",FALSE),IFERROR(INDIRECT("'WCM Calibration Final'!$B$836")&lt;&gt;"",FALSE),IFERROR(INDIRECT("'WCM Calibration Final'!$C$836")&lt;&gt;"",FALSE)),836,0)</x:f>
        <x:v>0</x:v>
      </x:c>
      <x:c r="JB836" t="n">
        <x:f>'Calculations'!JB835+IF('Calculations'!JA836&gt;0,1,0)</x:f>
        <x:v>0</x:v>
      </x:c>
    </x:row>
    <x:row r="837">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4"/>
      <x:c r="DQ837" s="4"/>
      <x:c r="DR837" s="4"/>
      <x:c r="DS837" s="4"/>
      <x:c r="DT837" s="4"/>
      <x:c r="DU837" s="4"/>
      <x:c r="DV837" s="4"/>
      <x:c r="DW837" s="4"/>
      <x:c r="DX837" s="4"/>
      <x:c r="DY837" s="4"/>
      <x:c r="DZ837" s="4"/>
      <x:c r="EA837" s="4"/>
      <x:c r="EB837" s="4"/>
      <x:c r="EC837" s="4"/>
      <x:c r="ED837" s="4"/>
      <x:c r="EE837" s="4"/>
      <x:c r="EF837" s="4"/>
      <x:c r="EG837" s="4"/>
      <x:c r="EH837" s="4"/>
      <x:c r="EI837" s="4"/>
      <x:c r="EJ837" s="4"/>
      <x:c r="EK837" s="4"/>
      <x:c r="EL837" s="4"/>
      <x:c r="EM837" s="4"/>
      <x:c r="EN837" s="4"/>
      <x:c r="EO837" s="4"/>
      <x:c r="EP837" s="4"/>
      <x:c r="EQ837" s="4"/>
      <x:c r="ER837" s="4"/>
      <x:c r="ES837" s="4"/>
      <x:c r="ET837" s="4"/>
      <x:c r="EU837" s="4"/>
      <x:c r="EV837" s="4"/>
      <x:c r="EW837" s="4"/>
      <x:c r="EX837" s="4"/>
      <x:c r="EY837" s="4"/>
      <x:c r="EZ837" s="4"/>
      <x:c r="FA837" s="4"/>
      <x:c r="FB837" s="4"/>
      <x:c r="FC837" s="4"/>
      <x:c r="FD837" s="4"/>
      <x:c r="FE837" s="4"/>
      <x:c r="FF837" s="4"/>
      <x:c r="FG837" s="4"/>
      <x:c r="FH837" s="4"/>
      <x:c r="FI837" s="4"/>
      <x:c r="FJ837" s="4"/>
      <x:c r="FK837" s="4"/>
      <x:c r="FL837" s="4"/>
      <x:c r="FM837" s="4"/>
      <x:c r="FN837" s="4"/>
      <x:c r="FO837" s="4"/>
      <x:c r="JA837" t="n">
        <x:f>IF(OR(IFERROR(INDIRECT("'WCM Calibration Final'!$A$837")&lt;&gt;"",FALSE),IFERROR(INDIRECT("'WCM Calibration Final'!$B$837")&lt;&gt;"",FALSE),IFERROR(INDIRECT("'WCM Calibration Final'!$C$837")&lt;&gt;"",FALSE)),837,0)</x:f>
        <x:v>0</x:v>
      </x:c>
      <x:c r="JB837" t="n">
        <x:f>'Calculations'!JB836+IF('Calculations'!JA837&gt;0,1,0)</x:f>
        <x:v>0</x:v>
      </x:c>
    </x:row>
    <x:row r="838">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4"/>
      <x:c r="DQ838" s="4"/>
      <x:c r="DR838" s="4"/>
      <x:c r="DS838" s="4"/>
      <x:c r="DT838" s="4"/>
      <x:c r="DU838" s="4"/>
      <x:c r="DV838" s="4"/>
      <x:c r="DW838" s="4"/>
      <x:c r="DX838" s="4"/>
      <x:c r="DY838" s="4"/>
      <x:c r="DZ838" s="4"/>
      <x:c r="EA838" s="4"/>
      <x:c r="EB838" s="4"/>
      <x:c r="EC838" s="4"/>
      <x:c r="ED838" s="4"/>
      <x:c r="EE838" s="4"/>
      <x:c r="EF838" s="4"/>
      <x:c r="EG838" s="4"/>
      <x:c r="EH838" s="4"/>
      <x:c r="EI838" s="4"/>
      <x:c r="EJ838" s="4"/>
      <x:c r="EK838" s="4"/>
      <x:c r="EL838" s="4"/>
      <x:c r="EM838" s="4"/>
      <x:c r="EN838" s="4"/>
      <x:c r="EO838" s="4"/>
      <x:c r="EP838" s="4"/>
      <x:c r="EQ838" s="4"/>
      <x:c r="ER838" s="4"/>
      <x:c r="ES838" s="4"/>
      <x:c r="ET838" s="4"/>
      <x:c r="EU838" s="4"/>
      <x:c r="EV838" s="4"/>
      <x:c r="EW838" s="4"/>
      <x:c r="EX838" s="4"/>
      <x:c r="EY838" s="4"/>
      <x:c r="EZ838" s="4"/>
      <x:c r="FA838" s="4"/>
      <x:c r="FB838" s="4"/>
      <x:c r="FC838" s="4"/>
      <x:c r="FD838" s="4"/>
      <x:c r="FE838" s="4"/>
      <x:c r="FF838" s="4"/>
      <x:c r="FG838" s="4"/>
      <x:c r="FH838" s="4"/>
      <x:c r="FI838" s="4"/>
      <x:c r="FJ838" s="4"/>
      <x:c r="FK838" s="4"/>
      <x:c r="FL838" s="4"/>
      <x:c r="FM838" s="4"/>
      <x:c r="FN838" s="4"/>
      <x:c r="FO838" s="4"/>
      <x:c r="JA838" t="n">
        <x:f>IF(OR(IFERROR(INDIRECT("'WCM Calibration Final'!$A$838")&lt;&gt;"",FALSE),IFERROR(INDIRECT("'WCM Calibration Final'!$B$838")&lt;&gt;"",FALSE),IFERROR(INDIRECT("'WCM Calibration Final'!$C$838")&lt;&gt;"",FALSE)),838,0)</x:f>
        <x:v>0</x:v>
      </x:c>
      <x:c r="JB838" t="n">
        <x:f>'Calculations'!JB837+IF('Calculations'!JA838&gt;0,1,0)</x:f>
        <x:v>0</x:v>
      </x:c>
    </x:row>
    <x:row r="839">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4"/>
      <x:c r="DQ839" s="4"/>
      <x:c r="DR839" s="4"/>
      <x:c r="DS839" s="4"/>
      <x:c r="DT839" s="4"/>
      <x:c r="DU839" s="4"/>
      <x:c r="DV839" s="4"/>
      <x:c r="DW839" s="4"/>
      <x:c r="DX839" s="4"/>
      <x:c r="DY839" s="4"/>
      <x:c r="DZ839" s="4"/>
      <x:c r="EA839" s="4"/>
      <x:c r="EB839" s="4"/>
      <x:c r="EC839" s="4"/>
      <x:c r="ED839" s="4"/>
      <x:c r="EE839" s="4"/>
      <x:c r="EF839" s="4"/>
      <x:c r="EG839" s="4"/>
      <x:c r="EH839" s="4"/>
      <x:c r="EI839" s="4"/>
      <x:c r="EJ839" s="4"/>
      <x:c r="EK839" s="4"/>
      <x:c r="EL839" s="4"/>
      <x:c r="EM839" s="4"/>
      <x:c r="EN839" s="4"/>
      <x:c r="EO839" s="4"/>
      <x:c r="EP839" s="4"/>
      <x:c r="EQ839" s="4"/>
      <x:c r="ER839" s="4"/>
      <x:c r="ES839" s="4"/>
      <x:c r="ET839" s="4"/>
      <x:c r="EU839" s="4"/>
      <x:c r="EV839" s="4"/>
      <x:c r="EW839" s="4"/>
      <x:c r="EX839" s="4"/>
      <x:c r="EY839" s="4"/>
      <x:c r="EZ839" s="4"/>
      <x:c r="FA839" s="4"/>
      <x:c r="FB839" s="4"/>
      <x:c r="FC839" s="4"/>
      <x:c r="FD839" s="4"/>
      <x:c r="FE839" s="4"/>
      <x:c r="FF839" s="4"/>
      <x:c r="FG839" s="4"/>
      <x:c r="FH839" s="4"/>
      <x:c r="FI839" s="4"/>
      <x:c r="FJ839" s="4"/>
      <x:c r="FK839" s="4"/>
      <x:c r="FL839" s="4"/>
      <x:c r="FM839" s="4"/>
      <x:c r="FN839" s="4"/>
      <x:c r="FO839" s="4"/>
      <x:c r="JA839" t="n">
        <x:f>IF(OR(IFERROR(INDIRECT("'WCM Calibration Final'!$A$839")&lt;&gt;"",FALSE),IFERROR(INDIRECT("'WCM Calibration Final'!$B$839")&lt;&gt;"",FALSE),IFERROR(INDIRECT("'WCM Calibration Final'!$C$839")&lt;&gt;"",FALSE)),839,0)</x:f>
        <x:v>0</x:v>
      </x:c>
      <x:c r="JB839" t="n">
        <x:f>'Calculations'!JB838+IF('Calculations'!JA839&gt;0,1,0)</x:f>
        <x:v>0</x:v>
      </x:c>
    </x:row>
    <x:row r="840">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4"/>
      <x:c r="DQ840" s="4"/>
      <x:c r="DR840" s="4"/>
      <x:c r="DS840" s="4"/>
      <x:c r="DT840" s="4"/>
      <x:c r="DU840" s="4"/>
      <x:c r="DV840" s="4"/>
      <x:c r="DW840" s="4"/>
      <x:c r="DX840" s="4"/>
      <x:c r="DY840" s="4"/>
      <x:c r="DZ840" s="4"/>
      <x:c r="EA840" s="4"/>
      <x:c r="EB840" s="4"/>
      <x:c r="EC840" s="4"/>
      <x:c r="ED840" s="4"/>
      <x:c r="EE840" s="4"/>
      <x:c r="EF840" s="4"/>
      <x:c r="EG840" s="4"/>
      <x:c r="EH840" s="4"/>
      <x:c r="EI840" s="4"/>
      <x:c r="EJ840" s="4"/>
      <x:c r="EK840" s="4"/>
      <x:c r="EL840" s="4"/>
      <x:c r="EM840" s="4"/>
      <x:c r="EN840" s="4"/>
      <x:c r="EO840" s="4"/>
      <x:c r="EP840" s="4"/>
      <x:c r="EQ840" s="4"/>
      <x:c r="ER840" s="4"/>
      <x:c r="ES840" s="4"/>
      <x:c r="ET840" s="4"/>
      <x:c r="EU840" s="4"/>
      <x:c r="EV840" s="4"/>
      <x:c r="EW840" s="4"/>
      <x:c r="EX840" s="4"/>
      <x:c r="EY840" s="4"/>
      <x:c r="EZ840" s="4"/>
      <x:c r="FA840" s="4"/>
      <x:c r="FB840" s="4"/>
      <x:c r="FC840" s="4"/>
      <x:c r="FD840" s="4"/>
      <x:c r="FE840" s="4"/>
      <x:c r="FF840" s="4"/>
      <x:c r="FG840" s="4"/>
      <x:c r="FH840" s="4"/>
      <x:c r="FI840" s="4"/>
      <x:c r="FJ840" s="4"/>
      <x:c r="FK840" s="4"/>
      <x:c r="FL840" s="4"/>
      <x:c r="FM840" s="4"/>
      <x:c r="FN840" s="4"/>
      <x:c r="FO840" s="4"/>
      <x:c r="JA840" t="n">
        <x:f>IF(OR(IFERROR(INDIRECT("'WCM Calibration Final'!$A$840")&lt;&gt;"",FALSE),IFERROR(INDIRECT("'WCM Calibration Final'!$B$840")&lt;&gt;"",FALSE),IFERROR(INDIRECT("'WCM Calibration Final'!$C$840")&lt;&gt;"",FALSE)),840,0)</x:f>
        <x:v>0</x:v>
      </x:c>
      <x:c r="JB840" t="n">
        <x:f>'Calculations'!JB839+IF('Calculations'!JA840&gt;0,1,0)</x:f>
        <x:v>0</x:v>
      </x:c>
    </x:row>
    <x:row r="841">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4"/>
      <x:c r="DQ841" s="4"/>
      <x:c r="DR841" s="4"/>
      <x:c r="DS841" s="4"/>
      <x:c r="DT841" s="4"/>
      <x:c r="DU841" s="4"/>
      <x:c r="DV841" s="4"/>
      <x:c r="DW841" s="4"/>
      <x:c r="DX841" s="4"/>
      <x:c r="DY841" s="4"/>
      <x:c r="DZ841" s="4"/>
      <x:c r="EA841" s="4"/>
      <x:c r="EB841" s="4"/>
      <x:c r="EC841" s="4"/>
      <x:c r="ED841" s="4"/>
      <x:c r="EE841" s="4"/>
      <x:c r="EF841" s="4"/>
      <x:c r="EG841" s="4"/>
      <x:c r="EH841" s="4"/>
      <x:c r="EI841" s="4"/>
      <x:c r="EJ841" s="4"/>
      <x:c r="EK841" s="4"/>
      <x:c r="EL841" s="4"/>
      <x:c r="EM841" s="4"/>
      <x:c r="EN841" s="4"/>
      <x:c r="EO841" s="4"/>
      <x:c r="EP841" s="4"/>
      <x:c r="EQ841" s="4"/>
      <x:c r="ER841" s="4"/>
      <x:c r="ES841" s="4"/>
      <x:c r="ET841" s="4"/>
      <x:c r="EU841" s="4"/>
      <x:c r="EV841" s="4"/>
      <x:c r="EW841" s="4"/>
      <x:c r="EX841" s="4"/>
      <x:c r="EY841" s="4"/>
      <x:c r="EZ841" s="4"/>
      <x:c r="FA841" s="4"/>
      <x:c r="FB841" s="4"/>
      <x:c r="FC841" s="4"/>
      <x:c r="FD841" s="4"/>
      <x:c r="FE841" s="4"/>
      <x:c r="FF841" s="4"/>
      <x:c r="FG841" s="4"/>
      <x:c r="FH841" s="4"/>
      <x:c r="FI841" s="4"/>
      <x:c r="FJ841" s="4"/>
      <x:c r="FK841" s="4"/>
      <x:c r="FL841" s="4"/>
      <x:c r="FM841" s="4"/>
      <x:c r="FN841" s="4"/>
      <x:c r="FO841" s="4"/>
      <x:c r="JA841" t="n">
        <x:f>IF(OR(IFERROR(INDIRECT("'WCM Calibration Final'!$A$841")&lt;&gt;"",FALSE),IFERROR(INDIRECT("'WCM Calibration Final'!$B$841")&lt;&gt;"",FALSE),IFERROR(INDIRECT("'WCM Calibration Final'!$C$841")&lt;&gt;"",FALSE)),841,0)</x:f>
        <x:v>0</x:v>
      </x:c>
      <x:c r="JB841" t="n">
        <x:f>'Calculations'!JB840+IF('Calculations'!JA841&gt;0,1,0)</x:f>
        <x:v>0</x:v>
      </x:c>
    </x:row>
    <x:row r="842">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4"/>
      <x:c r="DQ842" s="4"/>
      <x:c r="DR842" s="4"/>
      <x:c r="DS842" s="4"/>
      <x:c r="DT842" s="4"/>
      <x:c r="DU842" s="4"/>
      <x:c r="DV842" s="4"/>
      <x:c r="DW842" s="4"/>
      <x:c r="DX842" s="4"/>
      <x:c r="DY842" s="4"/>
      <x:c r="DZ842" s="4"/>
      <x:c r="EA842" s="4"/>
      <x:c r="EB842" s="4"/>
      <x:c r="EC842" s="4"/>
      <x:c r="ED842" s="4"/>
      <x:c r="EE842" s="4"/>
      <x:c r="EF842" s="4"/>
      <x:c r="EG842" s="4"/>
      <x:c r="EH842" s="4"/>
      <x:c r="EI842" s="4"/>
      <x:c r="EJ842" s="4"/>
      <x:c r="EK842" s="4"/>
      <x:c r="EL842" s="4"/>
      <x:c r="EM842" s="4"/>
      <x:c r="EN842" s="4"/>
      <x:c r="EO842" s="4"/>
      <x:c r="EP842" s="4"/>
      <x:c r="EQ842" s="4"/>
      <x:c r="ER842" s="4"/>
      <x:c r="ES842" s="4"/>
      <x:c r="ET842" s="4"/>
      <x:c r="EU842" s="4"/>
      <x:c r="EV842" s="4"/>
      <x:c r="EW842" s="4"/>
      <x:c r="EX842" s="4"/>
      <x:c r="EY842" s="4"/>
      <x:c r="EZ842" s="4"/>
      <x:c r="FA842" s="4"/>
      <x:c r="FB842" s="4"/>
      <x:c r="FC842" s="4"/>
      <x:c r="FD842" s="4"/>
      <x:c r="FE842" s="4"/>
      <x:c r="FF842" s="4"/>
      <x:c r="FG842" s="4"/>
      <x:c r="FH842" s="4"/>
      <x:c r="FI842" s="4"/>
      <x:c r="FJ842" s="4"/>
      <x:c r="FK842" s="4"/>
      <x:c r="FL842" s="4"/>
      <x:c r="FM842" s="4"/>
      <x:c r="FN842" s="4"/>
      <x:c r="FO842" s="4"/>
      <x:c r="JA842" t="n">
        <x:f>IF(OR(IFERROR(INDIRECT("'WCM Calibration Final'!$A$842")&lt;&gt;"",FALSE),IFERROR(INDIRECT("'WCM Calibration Final'!$B$842")&lt;&gt;"",FALSE),IFERROR(INDIRECT("'WCM Calibration Final'!$C$842")&lt;&gt;"",FALSE)),842,0)</x:f>
        <x:v>0</x:v>
      </x:c>
      <x:c r="JB842" t="n">
        <x:f>'Calculations'!JB841+IF('Calculations'!JA842&gt;0,1,0)</x:f>
        <x:v>0</x:v>
      </x:c>
    </x:row>
    <x:row r="843">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4"/>
      <x:c r="DQ843" s="4"/>
      <x:c r="DR843" s="4"/>
      <x:c r="DS843" s="4"/>
      <x:c r="DT843" s="4"/>
      <x:c r="DU843" s="4"/>
      <x:c r="DV843" s="4"/>
      <x:c r="DW843" s="4"/>
      <x:c r="DX843" s="4"/>
      <x:c r="DY843" s="4"/>
      <x:c r="DZ843" s="4"/>
      <x:c r="EA843" s="4"/>
      <x:c r="EB843" s="4"/>
      <x:c r="EC843" s="4"/>
      <x:c r="ED843" s="4"/>
      <x:c r="EE843" s="4"/>
      <x:c r="EF843" s="4"/>
      <x:c r="EG843" s="4"/>
      <x:c r="EH843" s="4"/>
      <x:c r="EI843" s="4"/>
      <x:c r="EJ843" s="4"/>
      <x:c r="EK843" s="4"/>
      <x:c r="EL843" s="4"/>
      <x:c r="EM843" s="4"/>
      <x:c r="EN843" s="4"/>
      <x:c r="EO843" s="4"/>
      <x:c r="EP843" s="4"/>
      <x:c r="EQ843" s="4"/>
      <x:c r="ER843" s="4"/>
      <x:c r="ES843" s="4"/>
      <x:c r="ET843" s="4"/>
      <x:c r="EU843" s="4"/>
      <x:c r="EV843" s="4"/>
      <x:c r="EW843" s="4"/>
      <x:c r="EX843" s="4"/>
      <x:c r="EY843" s="4"/>
      <x:c r="EZ843" s="4"/>
      <x:c r="FA843" s="4"/>
      <x:c r="FB843" s="4"/>
      <x:c r="FC843" s="4"/>
      <x:c r="FD843" s="4"/>
      <x:c r="FE843" s="4"/>
      <x:c r="FF843" s="4"/>
      <x:c r="FG843" s="4"/>
      <x:c r="FH843" s="4"/>
      <x:c r="FI843" s="4"/>
      <x:c r="FJ843" s="4"/>
      <x:c r="FK843" s="4"/>
      <x:c r="FL843" s="4"/>
      <x:c r="FM843" s="4"/>
      <x:c r="FN843" s="4"/>
      <x:c r="FO843" s="4"/>
      <x:c r="JA843" t="n">
        <x:f>IF(OR(IFERROR(INDIRECT("'WCM Calibration Final'!$A$843")&lt;&gt;"",FALSE),IFERROR(INDIRECT("'WCM Calibration Final'!$B$843")&lt;&gt;"",FALSE),IFERROR(INDIRECT("'WCM Calibration Final'!$C$843")&lt;&gt;"",FALSE)),843,0)</x:f>
        <x:v>0</x:v>
      </x:c>
      <x:c r="JB843" t="n">
        <x:f>'Calculations'!JB842+IF('Calculations'!JA843&gt;0,1,0)</x:f>
        <x:v>0</x:v>
      </x:c>
    </x:row>
    <x:row r="844">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4"/>
      <x:c r="DQ844" s="4"/>
      <x:c r="DR844" s="4"/>
      <x:c r="DS844" s="4"/>
      <x:c r="DT844" s="4"/>
      <x:c r="DU844" s="4"/>
      <x:c r="DV844" s="4"/>
      <x:c r="DW844" s="4"/>
      <x:c r="DX844" s="4"/>
      <x:c r="DY844" s="4"/>
      <x:c r="DZ844" s="4"/>
      <x:c r="EA844" s="4"/>
      <x:c r="EB844" s="4"/>
      <x:c r="EC844" s="4"/>
      <x:c r="ED844" s="4"/>
      <x:c r="EE844" s="4"/>
      <x:c r="EF844" s="4"/>
      <x:c r="EG844" s="4"/>
      <x:c r="EH844" s="4"/>
      <x:c r="EI844" s="4"/>
      <x:c r="EJ844" s="4"/>
      <x:c r="EK844" s="4"/>
      <x:c r="EL844" s="4"/>
      <x:c r="EM844" s="4"/>
      <x:c r="EN844" s="4"/>
      <x:c r="EO844" s="4"/>
      <x:c r="EP844" s="4"/>
      <x:c r="EQ844" s="4"/>
      <x:c r="ER844" s="4"/>
      <x:c r="ES844" s="4"/>
      <x:c r="ET844" s="4"/>
      <x:c r="EU844" s="4"/>
      <x:c r="EV844" s="4"/>
      <x:c r="EW844" s="4"/>
      <x:c r="EX844" s="4"/>
      <x:c r="EY844" s="4"/>
      <x:c r="EZ844" s="4"/>
      <x:c r="FA844" s="4"/>
      <x:c r="FB844" s="4"/>
      <x:c r="FC844" s="4"/>
      <x:c r="FD844" s="4"/>
      <x:c r="FE844" s="4"/>
      <x:c r="FF844" s="4"/>
      <x:c r="FG844" s="4"/>
      <x:c r="FH844" s="4"/>
      <x:c r="FI844" s="4"/>
      <x:c r="FJ844" s="4"/>
      <x:c r="FK844" s="4"/>
      <x:c r="FL844" s="4"/>
      <x:c r="FM844" s="4"/>
      <x:c r="FN844" s="4"/>
      <x:c r="FO844" s="4"/>
      <x:c r="JA844" t="n">
        <x:f>IF(OR(IFERROR(INDIRECT("'WCM Calibration Final'!$A$844")&lt;&gt;"",FALSE),IFERROR(INDIRECT("'WCM Calibration Final'!$B$844")&lt;&gt;"",FALSE),IFERROR(INDIRECT("'WCM Calibration Final'!$C$844")&lt;&gt;"",FALSE)),844,0)</x:f>
        <x:v>0</x:v>
      </x:c>
      <x:c r="JB844" t="n">
        <x:f>'Calculations'!JB843+IF('Calculations'!JA844&gt;0,1,0)</x:f>
        <x:v>0</x:v>
      </x:c>
    </x:row>
    <x:row r="845">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4"/>
      <x:c r="DQ845" s="4"/>
      <x:c r="DR845" s="4"/>
      <x:c r="DS845" s="4"/>
      <x:c r="DT845" s="4"/>
      <x:c r="DU845" s="4"/>
      <x:c r="DV845" s="4"/>
      <x:c r="DW845" s="4"/>
      <x:c r="DX845" s="4"/>
      <x:c r="DY845" s="4"/>
      <x:c r="DZ845" s="4"/>
      <x:c r="EA845" s="4"/>
      <x:c r="EB845" s="4"/>
      <x:c r="EC845" s="4"/>
      <x:c r="ED845" s="4"/>
      <x:c r="EE845" s="4"/>
      <x:c r="EF845" s="4"/>
      <x:c r="EG845" s="4"/>
      <x:c r="EH845" s="4"/>
      <x:c r="EI845" s="4"/>
      <x:c r="EJ845" s="4"/>
      <x:c r="EK845" s="4"/>
      <x:c r="EL845" s="4"/>
      <x:c r="EM845" s="4"/>
      <x:c r="EN845" s="4"/>
      <x:c r="EO845" s="4"/>
      <x:c r="EP845" s="4"/>
      <x:c r="EQ845" s="4"/>
      <x:c r="ER845" s="4"/>
      <x:c r="ES845" s="4"/>
      <x:c r="ET845" s="4"/>
      <x:c r="EU845" s="4"/>
      <x:c r="EV845" s="4"/>
      <x:c r="EW845" s="4"/>
      <x:c r="EX845" s="4"/>
      <x:c r="EY845" s="4"/>
      <x:c r="EZ845" s="4"/>
      <x:c r="FA845" s="4"/>
      <x:c r="FB845" s="4"/>
      <x:c r="FC845" s="4"/>
      <x:c r="FD845" s="4"/>
      <x:c r="FE845" s="4"/>
      <x:c r="FF845" s="4"/>
      <x:c r="FG845" s="4"/>
      <x:c r="FH845" s="4"/>
      <x:c r="FI845" s="4"/>
      <x:c r="FJ845" s="4"/>
      <x:c r="FK845" s="4"/>
      <x:c r="FL845" s="4"/>
      <x:c r="FM845" s="4"/>
      <x:c r="FN845" s="4"/>
      <x:c r="FO845" s="4"/>
      <x:c r="JA845" t="n">
        <x:f>IF(OR(IFERROR(INDIRECT("'WCM Calibration Final'!$A$845")&lt;&gt;"",FALSE),IFERROR(INDIRECT("'WCM Calibration Final'!$B$845")&lt;&gt;"",FALSE),IFERROR(INDIRECT("'WCM Calibration Final'!$C$845")&lt;&gt;"",FALSE)),845,0)</x:f>
        <x:v>0</x:v>
      </x:c>
      <x:c r="JB845" t="n">
        <x:f>'Calculations'!JB844+IF('Calculations'!JA845&gt;0,1,0)</x:f>
        <x:v>0</x:v>
      </x:c>
    </x:row>
    <x:row r="846">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4"/>
      <x:c r="DQ846" s="4"/>
      <x:c r="DR846" s="4"/>
      <x:c r="DS846" s="4"/>
      <x:c r="DT846" s="4"/>
      <x:c r="DU846" s="4"/>
      <x:c r="DV846" s="4"/>
      <x:c r="DW846" s="4"/>
      <x:c r="DX846" s="4"/>
      <x:c r="DY846" s="4"/>
      <x:c r="DZ846" s="4"/>
      <x:c r="EA846" s="4"/>
      <x:c r="EB846" s="4"/>
      <x:c r="EC846" s="4"/>
      <x:c r="ED846" s="4"/>
      <x:c r="EE846" s="4"/>
      <x:c r="EF846" s="4"/>
      <x:c r="EG846" s="4"/>
      <x:c r="EH846" s="4"/>
      <x:c r="EI846" s="4"/>
      <x:c r="EJ846" s="4"/>
      <x:c r="EK846" s="4"/>
      <x:c r="EL846" s="4"/>
      <x:c r="EM846" s="4"/>
      <x:c r="EN846" s="4"/>
      <x:c r="EO846" s="4"/>
      <x:c r="EP846" s="4"/>
      <x:c r="EQ846" s="4"/>
      <x:c r="ER846" s="4"/>
      <x:c r="ES846" s="4"/>
      <x:c r="ET846" s="4"/>
      <x:c r="EU846" s="4"/>
      <x:c r="EV846" s="4"/>
      <x:c r="EW846" s="4"/>
      <x:c r="EX846" s="4"/>
      <x:c r="EY846" s="4"/>
      <x:c r="EZ846" s="4"/>
      <x:c r="FA846" s="4"/>
      <x:c r="FB846" s="4"/>
      <x:c r="FC846" s="4"/>
      <x:c r="FD846" s="4"/>
      <x:c r="FE846" s="4"/>
      <x:c r="FF846" s="4"/>
      <x:c r="FG846" s="4"/>
      <x:c r="FH846" s="4"/>
      <x:c r="FI846" s="4"/>
      <x:c r="FJ846" s="4"/>
      <x:c r="FK846" s="4"/>
      <x:c r="FL846" s="4"/>
      <x:c r="FM846" s="4"/>
      <x:c r="FN846" s="4"/>
      <x:c r="FO846" s="4"/>
      <x:c r="JA846" t="n">
        <x:f>IF(OR(IFERROR(INDIRECT("'WCM Calibration Final'!$A$846")&lt;&gt;"",FALSE),IFERROR(INDIRECT("'WCM Calibration Final'!$B$846")&lt;&gt;"",FALSE),IFERROR(INDIRECT("'WCM Calibration Final'!$C$846")&lt;&gt;"",FALSE)),846,0)</x:f>
        <x:v>0</x:v>
      </x:c>
      <x:c r="JB846" t="n">
        <x:f>'Calculations'!JB845+IF('Calculations'!JA846&gt;0,1,0)</x:f>
        <x:v>0</x:v>
      </x:c>
    </x:row>
    <x:row r="847">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4"/>
      <x:c r="DQ847" s="4"/>
      <x:c r="DR847" s="4"/>
      <x:c r="DS847" s="4"/>
      <x:c r="DT847" s="4"/>
      <x:c r="DU847" s="4"/>
      <x:c r="DV847" s="4"/>
      <x:c r="DW847" s="4"/>
      <x:c r="DX847" s="4"/>
      <x:c r="DY847" s="4"/>
      <x:c r="DZ847" s="4"/>
      <x:c r="EA847" s="4"/>
      <x:c r="EB847" s="4"/>
      <x:c r="EC847" s="4"/>
      <x:c r="ED847" s="4"/>
      <x:c r="EE847" s="4"/>
      <x:c r="EF847" s="4"/>
      <x:c r="EG847" s="4"/>
      <x:c r="EH847" s="4"/>
      <x:c r="EI847" s="4"/>
      <x:c r="EJ847" s="4"/>
      <x:c r="EK847" s="4"/>
      <x:c r="EL847" s="4"/>
      <x:c r="EM847" s="4"/>
      <x:c r="EN847" s="4"/>
      <x:c r="EO847" s="4"/>
      <x:c r="EP847" s="4"/>
      <x:c r="EQ847" s="4"/>
      <x:c r="ER847" s="4"/>
      <x:c r="ES847" s="4"/>
      <x:c r="ET847" s="4"/>
      <x:c r="EU847" s="4"/>
      <x:c r="EV847" s="4"/>
      <x:c r="EW847" s="4"/>
      <x:c r="EX847" s="4"/>
      <x:c r="EY847" s="4"/>
      <x:c r="EZ847" s="4"/>
      <x:c r="FA847" s="4"/>
      <x:c r="FB847" s="4"/>
      <x:c r="FC847" s="4"/>
      <x:c r="FD847" s="4"/>
      <x:c r="FE847" s="4"/>
      <x:c r="FF847" s="4"/>
      <x:c r="FG847" s="4"/>
      <x:c r="FH847" s="4"/>
      <x:c r="FI847" s="4"/>
      <x:c r="FJ847" s="4"/>
      <x:c r="FK847" s="4"/>
      <x:c r="FL847" s="4"/>
      <x:c r="FM847" s="4"/>
      <x:c r="FN847" s="4"/>
      <x:c r="FO847" s="4"/>
      <x:c r="JA847" t="n">
        <x:f>IF(OR(IFERROR(INDIRECT("'WCM Calibration Final'!$A$847")&lt;&gt;"",FALSE),IFERROR(INDIRECT("'WCM Calibration Final'!$B$847")&lt;&gt;"",FALSE),IFERROR(INDIRECT("'WCM Calibration Final'!$C$847")&lt;&gt;"",FALSE)),847,0)</x:f>
        <x:v>0</x:v>
      </x:c>
      <x:c r="JB847" t="n">
        <x:f>'Calculations'!JB846+IF('Calculations'!JA847&gt;0,1,0)</x:f>
        <x:v>0</x:v>
      </x:c>
    </x:row>
    <x:row r="848">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4"/>
      <x:c r="DQ848" s="4"/>
      <x:c r="DR848" s="4"/>
      <x:c r="DS848" s="4"/>
      <x:c r="DT848" s="4"/>
      <x:c r="DU848" s="4"/>
      <x:c r="DV848" s="4"/>
      <x:c r="DW848" s="4"/>
      <x:c r="DX848" s="4"/>
      <x:c r="DY848" s="4"/>
      <x:c r="DZ848" s="4"/>
      <x:c r="EA848" s="4"/>
      <x:c r="EB848" s="4"/>
      <x:c r="EC848" s="4"/>
      <x:c r="ED848" s="4"/>
      <x:c r="EE848" s="4"/>
      <x:c r="EF848" s="4"/>
      <x:c r="EG848" s="4"/>
      <x:c r="EH848" s="4"/>
      <x:c r="EI848" s="4"/>
      <x:c r="EJ848" s="4"/>
      <x:c r="EK848" s="4"/>
      <x:c r="EL848" s="4"/>
      <x:c r="EM848" s="4"/>
      <x:c r="EN848" s="4"/>
      <x:c r="EO848" s="4"/>
      <x:c r="EP848" s="4"/>
      <x:c r="EQ848" s="4"/>
      <x:c r="ER848" s="4"/>
      <x:c r="ES848" s="4"/>
      <x:c r="ET848" s="4"/>
      <x:c r="EU848" s="4"/>
      <x:c r="EV848" s="4"/>
      <x:c r="EW848" s="4"/>
      <x:c r="EX848" s="4"/>
      <x:c r="EY848" s="4"/>
      <x:c r="EZ848" s="4"/>
      <x:c r="FA848" s="4"/>
      <x:c r="FB848" s="4"/>
      <x:c r="FC848" s="4"/>
      <x:c r="FD848" s="4"/>
      <x:c r="FE848" s="4"/>
      <x:c r="FF848" s="4"/>
      <x:c r="FG848" s="4"/>
      <x:c r="FH848" s="4"/>
      <x:c r="FI848" s="4"/>
      <x:c r="FJ848" s="4"/>
      <x:c r="FK848" s="4"/>
      <x:c r="FL848" s="4"/>
      <x:c r="FM848" s="4"/>
      <x:c r="FN848" s="4"/>
      <x:c r="FO848" s="4"/>
      <x:c r="JA848" t="n">
        <x:f>IF(OR(IFERROR(INDIRECT("'WCM Calibration Final'!$A$848")&lt;&gt;"",FALSE),IFERROR(INDIRECT("'WCM Calibration Final'!$B$848")&lt;&gt;"",FALSE),IFERROR(INDIRECT("'WCM Calibration Final'!$C$848")&lt;&gt;"",FALSE)),848,0)</x:f>
        <x:v>0</x:v>
      </x:c>
      <x:c r="JB848" t="n">
        <x:f>'Calculations'!JB847+IF('Calculations'!JA848&gt;0,1,0)</x:f>
        <x:v>0</x:v>
      </x:c>
    </x:row>
    <x:row r="849">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4"/>
      <x:c r="DQ849" s="4"/>
      <x:c r="DR849" s="4"/>
      <x:c r="DS849" s="4"/>
      <x:c r="DT849" s="4"/>
      <x:c r="DU849" s="4"/>
      <x:c r="DV849" s="4"/>
      <x:c r="DW849" s="4"/>
      <x:c r="DX849" s="4"/>
      <x:c r="DY849" s="4"/>
      <x:c r="DZ849" s="4"/>
      <x:c r="EA849" s="4"/>
      <x:c r="EB849" s="4"/>
      <x:c r="EC849" s="4"/>
      <x:c r="ED849" s="4"/>
      <x:c r="EE849" s="4"/>
      <x:c r="EF849" s="4"/>
      <x:c r="EG849" s="4"/>
      <x:c r="EH849" s="4"/>
      <x:c r="EI849" s="4"/>
      <x:c r="EJ849" s="4"/>
      <x:c r="EK849" s="4"/>
      <x:c r="EL849" s="4"/>
      <x:c r="EM849" s="4"/>
      <x:c r="EN849" s="4"/>
      <x:c r="EO849" s="4"/>
      <x:c r="EP849" s="4"/>
      <x:c r="EQ849" s="4"/>
      <x:c r="ER849" s="4"/>
      <x:c r="ES849" s="4"/>
      <x:c r="ET849" s="4"/>
      <x:c r="EU849" s="4"/>
      <x:c r="EV849" s="4"/>
      <x:c r="EW849" s="4"/>
      <x:c r="EX849" s="4"/>
      <x:c r="EY849" s="4"/>
      <x:c r="EZ849" s="4"/>
      <x:c r="FA849" s="4"/>
      <x:c r="FB849" s="4"/>
      <x:c r="FC849" s="4"/>
      <x:c r="FD849" s="4"/>
      <x:c r="FE849" s="4"/>
      <x:c r="FF849" s="4"/>
      <x:c r="FG849" s="4"/>
      <x:c r="FH849" s="4"/>
      <x:c r="FI849" s="4"/>
      <x:c r="FJ849" s="4"/>
      <x:c r="FK849" s="4"/>
      <x:c r="FL849" s="4"/>
      <x:c r="FM849" s="4"/>
      <x:c r="FN849" s="4"/>
      <x:c r="FO849" s="4"/>
      <x:c r="JA849" t="n">
        <x:f>IF(OR(IFERROR(INDIRECT("'WCM Calibration Final'!$A$849")&lt;&gt;"",FALSE),IFERROR(INDIRECT("'WCM Calibration Final'!$B$849")&lt;&gt;"",FALSE),IFERROR(INDIRECT("'WCM Calibration Final'!$C$849")&lt;&gt;"",FALSE)),849,0)</x:f>
        <x:v>0</x:v>
      </x:c>
      <x:c r="JB849" t="n">
        <x:f>'Calculations'!JB848+IF('Calculations'!JA849&gt;0,1,0)</x:f>
        <x:v>0</x:v>
      </x:c>
    </x:row>
    <x:row r="850">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4"/>
      <x:c r="DQ850" s="4"/>
      <x:c r="DR850" s="4"/>
      <x:c r="DS850" s="4"/>
      <x:c r="DT850" s="4"/>
      <x:c r="DU850" s="4"/>
      <x:c r="DV850" s="4"/>
      <x:c r="DW850" s="4"/>
      <x:c r="DX850" s="4"/>
      <x:c r="DY850" s="4"/>
      <x:c r="DZ850" s="4"/>
      <x:c r="EA850" s="4"/>
      <x:c r="EB850" s="4"/>
      <x:c r="EC850" s="4"/>
      <x:c r="ED850" s="4"/>
      <x:c r="EE850" s="4"/>
      <x:c r="EF850" s="4"/>
      <x:c r="EG850" s="4"/>
      <x:c r="EH850" s="4"/>
      <x:c r="EI850" s="4"/>
      <x:c r="EJ850" s="4"/>
      <x:c r="EK850" s="4"/>
      <x:c r="EL850" s="4"/>
      <x:c r="EM850" s="4"/>
      <x:c r="EN850" s="4"/>
      <x:c r="EO850" s="4"/>
      <x:c r="EP850" s="4"/>
      <x:c r="EQ850" s="4"/>
      <x:c r="ER850" s="4"/>
      <x:c r="ES850" s="4"/>
      <x:c r="ET850" s="4"/>
      <x:c r="EU850" s="4"/>
      <x:c r="EV850" s="4"/>
      <x:c r="EW850" s="4"/>
      <x:c r="EX850" s="4"/>
      <x:c r="EY850" s="4"/>
      <x:c r="EZ850" s="4"/>
      <x:c r="FA850" s="4"/>
      <x:c r="FB850" s="4"/>
      <x:c r="FC850" s="4"/>
      <x:c r="FD850" s="4"/>
      <x:c r="FE850" s="4"/>
      <x:c r="FF850" s="4"/>
      <x:c r="FG850" s="4"/>
      <x:c r="FH850" s="4"/>
      <x:c r="FI850" s="4"/>
      <x:c r="FJ850" s="4"/>
      <x:c r="FK850" s="4"/>
      <x:c r="FL850" s="4"/>
      <x:c r="FM850" s="4"/>
      <x:c r="FN850" s="4"/>
      <x:c r="FO850" s="4"/>
      <x:c r="JA850" t="n">
        <x:f>IF(OR(IFERROR(INDIRECT("'WCM Calibration Final'!$A$850")&lt;&gt;"",FALSE),IFERROR(INDIRECT("'WCM Calibration Final'!$B$850")&lt;&gt;"",FALSE),IFERROR(INDIRECT("'WCM Calibration Final'!$C$850")&lt;&gt;"",FALSE)),850,0)</x:f>
        <x:v>0</x:v>
      </x:c>
      <x:c r="JB850" t="n">
        <x:f>'Calculations'!JB849+IF('Calculations'!JA850&gt;0,1,0)</x:f>
        <x:v>0</x:v>
      </x:c>
    </x:row>
    <x:row r="851">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4"/>
      <x:c r="DQ851" s="4"/>
      <x:c r="DR851" s="4"/>
      <x:c r="DS851" s="4"/>
      <x:c r="DT851" s="4"/>
      <x:c r="DU851" s="4"/>
      <x:c r="DV851" s="4"/>
      <x:c r="DW851" s="4"/>
      <x:c r="DX851" s="4"/>
      <x:c r="DY851" s="4"/>
      <x:c r="DZ851" s="4"/>
      <x:c r="EA851" s="4"/>
      <x:c r="EB851" s="4"/>
      <x:c r="EC851" s="4"/>
      <x:c r="ED851" s="4"/>
      <x:c r="EE851" s="4"/>
      <x:c r="EF851" s="4"/>
      <x:c r="EG851" s="4"/>
      <x:c r="EH851" s="4"/>
      <x:c r="EI851" s="4"/>
      <x:c r="EJ851" s="4"/>
      <x:c r="EK851" s="4"/>
      <x:c r="EL851" s="4"/>
      <x:c r="EM851" s="4"/>
      <x:c r="EN851" s="4"/>
      <x:c r="EO851" s="4"/>
      <x:c r="EP851" s="4"/>
      <x:c r="EQ851" s="4"/>
      <x:c r="ER851" s="4"/>
      <x:c r="ES851" s="4"/>
      <x:c r="ET851" s="4"/>
      <x:c r="EU851" s="4"/>
      <x:c r="EV851" s="4"/>
      <x:c r="EW851" s="4"/>
      <x:c r="EX851" s="4"/>
      <x:c r="EY851" s="4"/>
      <x:c r="EZ851" s="4"/>
      <x:c r="FA851" s="4"/>
      <x:c r="FB851" s="4"/>
      <x:c r="FC851" s="4"/>
      <x:c r="FD851" s="4"/>
      <x:c r="FE851" s="4"/>
      <x:c r="FF851" s="4"/>
      <x:c r="FG851" s="4"/>
      <x:c r="FH851" s="4"/>
      <x:c r="FI851" s="4"/>
      <x:c r="FJ851" s="4"/>
      <x:c r="FK851" s="4"/>
      <x:c r="FL851" s="4"/>
      <x:c r="FM851" s="4"/>
      <x:c r="FN851" s="4"/>
      <x:c r="FO851" s="4"/>
      <x:c r="JA851" t="n">
        <x:f>IF(OR(IFERROR(INDIRECT("'WCM Calibration Final'!$A$851")&lt;&gt;"",FALSE),IFERROR(INDIRECT("'WCM Calibration Final'!$B$851")&lt;&gt;"",FALSE),IFERROR(INDIRECT("'WCM Calibration Final'!$C$851")&lt;&gt;"",FALSE)),851,0)</x:f>
        <x:v>0</x:v>
      </x:c>
      <x:c r="JB851" t="n">
        <x:f>'Calculations'!JB850+IF('Calculations'!JA851&gt;0,1,0)</x:f>
        <x:v>0</x:v>
      </x:c>
    </x:row>
    <x:row r="852">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4"/>
      <x:c r="DQ852" s="4"/>
      <x:c r="DR852" s="4"/>
      <x:c r="DS852" s="4"/>
      <x:c r="DT852" s="4"/>
      <x:c r="DU852" s="4"/>
      <x:c r="DV852" s="4"/>
      <x:c r="DW852" s="4"/>
      <x:c r="DX852" s="4"/>
      <x:c r="DY852" s="4"/>
      <x:c r="DZ852" s="4"/>
      <x:c r="EA852" s="4"/>
      <x:c r="EB852" s="4"/>
      <x:c r="EC852" s="4"/>
      <x:c r="ED852" s="4"/>
      <x:c r="EE852" s="4"/>
      <x:c r="EF852" s="4"/>
      <x:c r="EG852" s="4"/>
      <x:c r="EH852" s="4"/>
      <x:c r="EI852" s="4"/>
      <x:c r="EJ852" s="4"/>
      <x:c r="EK852" s="4"/>
      <x:c r="EL852" s="4"/>
      <x:c r="EM852" s="4"/>
      <x:c r="EN852" s="4"/>
      <x:c r="EO852" s="4"/>
      <x:c r="EP852" s="4"/>
      <x:c r="EQ852" s="4"/>
      <x:c r="ER852" s="4"/>
      <x:c r="ES852" s="4"/>
      <x:c r="ET852" s="4"/>
      <x:c r="EU852" s="4"/>
      <x:c r="EV852" s="4"/>
      <x:c r="EW852" s="4"/>
      <x:c r="EX852" s="4"/>
      <x:c r="EY852" s="4"/>
      <x:c r="EZ852" s="4"/>
      <x:c r="FA852" s="4"/>
      <x:c r="FB852" s="4"/>
      <x:c r="FC852" s="4"/>
      <x:c r="FD852" s="4"/>
      <x:c r="FE852" s="4"/>
      <x:c r="FF852" s="4"/>
      <x:c r="FG852" s="4"/>
      <x:c r="FH852" s="4"/>
      <x:c r="FI852" s="4"/>
      <x:c r="FJ852" s="4"/>
      <x:c r="FK852" s="4"/>
      <x:c r="FL852" s="4"/>
      <x:c r="FM852" s="4"/>
      <x:c r="FN852" s="4"/>
      <x:c r="FO852" s="4"/>
      <x:c r="JA852" t="n">
        <x:f>IF(OR(IFERROR(INDIRECT("'WCM Calibration Final'!$A$852")&lt;&gt;"",FALSE),IFERROR(INDIRECT("'WCM Calibration Final'!$B$852")&lt;&gt;"",FALSE),IFERROR(INDIRECT("'WCM Calibration Final'!$C$852")&lt;&gt;"",FALSE)),852,0)</x:f>
        <x:v>0</x:v>
      </x:c>
      <x:c r="JB852" t="n">
        <x:f>'Calculations'!JB851+IF('Calculations'!JA852&gt;0,1,0)</x:f>
        <x:v>0</x:v>
      </x:c>
    </x:row>
    <x:row r="853">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4"/>
      <x:c r="DQ853" s="4"/>
      <x:c r="DR853" s="4"/>
      <x:c r="DS853" s="4"/>
      <x:c r="DT853" s="4"/>
      <x:c r="DU853" s="4"/>
      <x:c r="DV853" s="4"/>
      <x:c r="DW853" s="4"/>
      <x:c r="DX853" s="4"/>
      <x:c r="DY853" s="4"/>
      <x:c r="DZ853" s="4"/>
      <x:c r="EA853" s="4"/>
      <x:c r="EB853" s="4"/>
      <x:c r="EC853" s="4"/>
      <x:c r="ED853" s="4"/>
      <x:c r="EE853" s="4"/>
      <x:c r="EF853" s="4"/>
      <x:c r="EG853" s="4"/>
      <x:c r="EH853" s="4"/>
      <x:c r="EI853" s="4"/>
      <x:c r="EJ853" s="4"/>
      <x:c r="EK853" s="4"/>
      <x:c r="EL853" s="4"/>
      <x:c r="EM853" s="4"/>
      <x:c r="EN853" s="4"/>
      <x:c r="EO853" s="4"/>
      <x:c r="EP853" s="4"/>
      <x:c r="EQ853" s="4"/>
      <x:c r="ER853" s="4"/>
      <x:c r="ES853" s="4"/>
      <x:c r="ET853" s="4"/>
      <x:c r="EU853" s="4"/>
      <x:c r="EV853" s="4"/>
      <x:c r="EW853" s="4"/>
      <x:c r="EX853" s="4"/>
      <x:c r="EY853" s="4"/>
      <x:c r="EZ853" s="4"/>
      <x:c r="FA853" s="4"/>
      <x:c r="FB853" s="4"/>
      <x:c r="FC853" s="4"/>
      <x:c r="FD853" s="4"/>
      <x:c r="FE853" s="4"/>
      <x:c r="FF853" s="4"/>
      <x:c r="FG853" s="4"/>
      <x:c r="FH853" s="4"/>
      <x:c r="FI853" s="4"/>
      <x:c r="FJ853" s="4"/>
      <x:c r="FK853" s="4"/>
      <x:c r="FL853" s="4"/>
      <x:c r="FM853" s="4"/>
      <x:c r="FN853" s="4"/>
      <x:c r="FO853" s="4"/>
      <x:c r="JA853" t="n">
        <x:f>IF(OR(IFERROR(INDIRECT("'WCM Calibration Final'!$A$853")&lt;&gt;"",FALSE),IFERROR(INDIRECT("'WCM Calibration Final'!$B$853")&lt;&gt;"",FALSE),IFERROR(INDIRECT("'WCM Calibration Final'!$C$853")&lt;&gt;"",FALSE)),853,0)</x:f>
        <x:v>0</x:v>
      </x:c>
      <x:c r="JB853" t="n">
        <x:f>'Calculations'!JB852+IF('Calculations'!JA853&gt;0,1,0)</x:f>
        <x:v>0</x:v>
      </x:c>
    </x:row>
    <x:row r="854">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4"/>
      <x:c r="DQ854" s="4"/>
      <x:c r="DR854" s="4"/>
      <x:c r="DS854" s="4"/>
      <x:c r="DT854" s="4"/>
      <x:c r="DU854" s="4"/>
      <x:c r="DV854" s="4"/>
      <x:c r="DW854" s="4"/>
      <x:c r="DX854" s="4"/>
      <x:c r="DY854" s="4"/>
      <x:c r="DZ854" s="4"/>
      <x:c r="EA854" s="4"/>
      <x:c r="EB854" s="4"/>
      <x:c r="EC854" s="4"/>
      <x:c r="ED854" s="4"/>
      <x:c r="EE854" s="4"/>
      <x:c r="EF854" s="4"/>
      <x:c r="EG854" s="4"/>
      <x:c r="EH854" s="4"/>
      <x:c r="EI854" s="4"/>
      <x:c r="EJ854" s="4"/>
      <x:c r="EK854" s="4"/>
      <x:c r="EL854" s="4"/>
      <x:c r="EM854" s="4"/>
      <x:c r="EN854" s="4"/>
      <x:c r="EO854" s="4"/>
      <x:c r="EP854" s="4"/>
      <x:c r="EQ854" s="4"/>
      <x:c r="ER854" s="4"/>
      <x:c r="ES854" s="4"/>
      <x:c r="ET854" s="4"/>
      <x:c r="EU854" s="4"/>
      <x:c r="EV854" s="4"/>
      <x:c r="EW854" s="4"/>
      <x:c r="EX854" s="4"/>
      <x:c r="EY854" s="4"/>
      <x:c r="EZ854" s="4"/>
      <x:c r="FA854" s="4"/>
      <x:c r="FB854" s="4"/>
      <x:c r="FC854" s="4"/>
      <x:c r="FD854" s="4"/>
      <x:c r="FE854" s="4"/>
      <x:c r="FF854" s="4"/>
      <x:c r="FG854" s="4"/>
      <x:c r="FH854" s="4"/>
      <x:c r="FI854" s="4"/>
      <x:c r="FJ854" s="4"/>
      <x:c r="FK854" s="4"/>
      <x:c r="FL854" s="4"/>
      <x:c r="FM854" s="4"/>
      <x:c r="FN854" s="4"/>
      <x:c r="FO854" s="4"/>
      <x:c r="JA854" t="n">
        <x:f>IF(OR(IFERROR(INDIRECT("'WCM Calibration Final'!$A$854")&lt;&gt;"",FALSE),IFERROR(INDIRECT("'WCM Calibration Final'!$B$854")&lt;&gt;"",FALSE),IFERROR(INDIRECT("'WCM Calibration Final'!$C$854")&lt;&gt;"",FALSE)),854,0)</x:f>
        <x:v>0</x:v>
      </x:c>
      <x:c r="JB854" t="n">
        <x:f>'Calculations'!JB853+IF('Calculations'!JA854&gt;0,1,0)</x:f>
        <x:v>0</x:v>
      </x:c>
    </x:row>
    <x:row r="855">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4"/>
      <x:c r="DQ855" s="4"/>
      <x:c r="DR855" s="4"/>
      <x:c r="DS855" s="4"/>
      <x:c r="DT855" s="4"/>
      <x:c r="DU855" s="4"/>
      <x:c r="DV855" s="4"/>
      <x:c r="DW855" s="4"/>
      <x:c r="DX855" s="4"/>
      <x:c r="DY855" s="4"/>
      <x:c r="DZ855" s="4"/>
      <x:c r="EA855" s="4"/>
      <x:c r="EB855" s="4"/>
      <x:c r="EC855" s="4"/>
      <x:c r="ED855" s="4"/>
      <x:c r="EE855" s="4"/>
      <x:c r="EF855" s="4"/>
      <x:c r="EG855" s="4"/>
      <x:c r="EH855" s="4"/>
      <x:c r="EI855" s="4"/>
      <x:c r="EJ855" s="4"/>
      <x:c r="EK855" s="4"/>
      <x:c r="EL855" s="4"/>
      <x:c r="EM855" s="4"/>
      <x:c r="EN855" s="4"/>
      <x:c r="EO855" s="4"/>
      <x:c r="EP855" s="4"/>
      <x:c r="EQ855" s="4"/>
      <x:c r="ER855" s="4"/>
      <x:c r="ES855" s="4"/>
      <x:c r="ET855" s="4"/>
      <x:c r="EU855" s="4"/>
      <x:c r="EV855" s="4"/>
      <x:c r="EW855" s="4"/>
      <x:c r="EX855" s="4"/>
      <x:c r="EY855" s="4"/>
      <x:c r="EZ855" s="4"/>
      <x:c r="FA855" s="4"/>
      <x:c r="FB855" s="4"/>
      <x:c r="FC855" s="4"/>
      <x:c r="FD855" s="4"/>
      <x:c r="FE855" s="4"/>
      <x:c r="FF855" s="4"/>
      <x:c r="FG855" s="4"/>
      <x:c r="FH855" s="4"/>
      <x:c r="FI855" s="4"/>
      <x:c r="FJ855" s="4"/>
      <x:c r="FK855" s="4"/>
      <x:c r="FL855" s="4"/>
      <x:c r="FM855" s="4"/>
      <x:c r="FN855" s="4"/>
      <x:c r="FO855" s="4"/>
      <x:c r="JA855" t="n">
        <x:f>IF(OR(IFERROR(INDIRECT("'WCM Calibration Final'!$A$855")&lt;&gt;"",FALSE),IFERROR(INDIRECT("'WCM Calibration Final'!$B$855")&lt;&gt;"",FALSE),IFERROR(INDIRECT("'WCM Calibration Final'!$C$855")&lt;&gt;"",FALSE)),855,0)</x:f>
        <x:v>0</x:v>
      </x:c>
      <x:c r="JB855" t="n">
        <x:f>'Calculations'!JB854+IF('Calculations'!JA855&gt;0,1,0)</x:f>
        <x:v>0</x:v>
      </x:c>
    </x:row>
    <x:row r="856">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4"/>
      <x:c r="DQ856" s="4"/>
      <x:c r="DR856" s="4"/>
      <x:c r="DS856" s="4"/>
      <x:c r="DT856" s="4"/>
      <x:c r="DU856" s="4"/>
      <x:c r="DV856" s="4"/>
      <x:c r="DW856" s="4"/>
      <x:c r="DX856" s="4"/>
      <x:c r="DY856" s="4"/>
      <x:c r="DZ856" s="4"/>
      <x:c r="EA856" s="4"/>
      <x:c r="EB856" s="4"/>
      <x:c r="EC856" s="4"/>
      <x:c r="ED856" s="4"/>
      <x:c r="EE856" s="4"/>
      <x:c r="EF856" s="4"/>
      <x:c r="EG856" s="4"/>
      <x:c r="EH856" s="4"/>
      <x:c r="EI856" s="4"/>
      <x:c r="EJ856" s="4"/>
      <x:c r="EK856" s="4"/>
      <x:c r="EL856" s="4"/>
      <x:c r="EM856" s="4"/>
      <x:c r="EN856" s="4"/>
      <x:c r="EO856" s="4"/>
      <x:c r="EP856" s="4"/>
      <x:c r="EQ856" s="4"/>
      <x:c r="ER856" s="4"/>
      <x:c r="ES856" s="4"/>
      <x:c r="ET856" s="4"/>
      <x:c r="EU856" s="4"/>
      <x:c r="EV856" s="4"/>
      <x:c r="EW856" s="4"/>
      <x:c r="EX856" s="4"/>
      <x:c r="EY856" s="4"/>
      <x:c r="EZ856" s="4"/>
      <x:c r="FA856" s="4"/>
      <x:c r="FB856" s="4"/>
      <x:c r="FC856" s="4"/>
      <x:c r="FD856" s="4"/>
      <x:c r="FE856" s="4"/>
      <x:c r="FF856" s="4"/>
      <x:c r="FG856" s="4"/>
      <x:c r="FH856" s="4"/>
      <x:c r="FI856" s="4"/>
      <x:c r="FJ856" s="4"/>
      <x:c r="FK856" s="4"/>
      <x:c r="FL856" s="4"/>
      <x:c r="FM856" s="4"/>
      <x:c r="FN856" s="4"/>
      <x:c r="FO856" s="4"/>
      <x:c r="JA856" t="n">
        <x:f>IF(OR(IFERROR(INDIRECT("'WCM Calibration Final'!$A$856")&lt;&gt;"",FALSE),IFERROR(INDIRECT("'WCM Calibration Final'!$B$856")&lt;&gt;"",FALSE),IFERROR(INDIRECT("'WCM Calibration Final'!$C$856")&lt;&gt;"",FALSE)),856,0)</x:f>
        <x:v>0</x:v>
      </x:c>
      <x:c r="JB856" t="n">
        <x:f>'Calculations'!JB855+IF('Calculations'!JA856&gt;0,1,0)</x:f>
        <x:v>0</x:v>
      </x:c>
    </x:row>
    <x:row r="857">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4"/>
      <x:c r="DQ857" s="4"/>
      <x:c r="DR857" s="4"/>
      <x:c r="DS857" s="4"/>
      <x:c r="DT857" s="4"/>
      <x:c r="DU857" s="4"/>
      <x:c r="DV857" s="4"/>
      <x:c r="DW857" s="4"/>
      <x:c r="DX857" s="4"/>
      <x:c r="DY857" s="4"/>
      <x:c r="DZ857" s="4"/>
      <x:c r="EA857" s="4"/>
      <x:c r="EB857" s="4"/>
      <x:c r="EC857" s="4"/>
      <x:c r="ED857" s="4"/>
      <x:c r="EE857" s="4"/>
      <x:c r="EF857" s="4"/>
      <x:c r="EG857" s="4"/>
      <x:c r="EH857" s="4"/>
      <x:c r="EI857" s="4"/>
      <x:c r="EJ857" s="4"/>
      <x:c r="EK857" s="4"/>
      <x:c r="EL857" s="4"/>
      <x:c r="EM857" s="4"/>
      <x:c r="EN857" s="4"/>
      <x:c r="EO857" s="4"/>
      <x:c r="EP857" s="4"/>
      <x:c r="EQ857" s="4"/>
      <x:c r="ER857" s="4"/>
      <x:c r="ES857" s="4"/>
      <x:c r="ET857" s="4"/>
      <x:c r="EU857" s="4"/>
      <x:c r="EV857" s="4"/>
      <x:c r="EW857" s="4"/>
      <x:c r="EX857" s="4"/>
      <x:c r="EY857" s="4"/>
      <x:c r="EZ857" s="4"/>
      <x:c r="FA857" s="4"/>
      <x:c r="FB857" s="4"/>
      <x:c r="FC857" s="4"/>
      <x:c r="FD857" s="4"/>
      <x:c r="FE857" s="4"/>
      <x:c r="FF857" s="4"/>
      <x:c r="FG857" s="4"/>
      <x:c r="FH857" s="4"/>
      <x:c r="FI857" s="4"/>
      <x:c r="FJ857" s="4"/>
      <x:c r="FK857" s="4"/>
      <x:c r="FL857" s="4"/>
      <x:c r="FM857" s="4"/>
      <x:c r="FN857" s="4"/>
      <x:c r="FO857" s="4"/>
      <x:c r="JA857" t="n">
        <x:f>IF(OR(IFERROR(INDIRECT("'WCM Calibration Final'!$A$857")&lt;&gt;"",FALSE),IFERROR(INDIRECT("'WCM Calibration Final'!$B$857")&lt;&gt;"",FALSE),IFERROR(INDIRECT("'WCM Calibration Final'!$C$857")&lt;&gt;"",FALSE)),857,0)</x:f>
        <x:v>0</x:v>
      </x:c>
      <x:c r="JB857" t="n">
        <x:f>'Calculations'!JB856+IF('Calculations'!JA857&gt;0,1,0)</x:f>
        <x:v>0</x:v>
      </x:c>
    </x:row>
    <x:row r="858">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4"/>
      <x:c r="DQ858" s="4"/>
      <x:c r="DR858" s="4"/>
      <x:c r="DS858" s="4"/>
      <x:c r="DT858" s="4"/>
      <x:c r="DU858" s="4"/>
      <x:c r="DV858" s="4"/>
      <x:c r="DW858" s="4"/>
      <x:c r="DX858" s="4"/>
      <x:c r="DY858" s="4"/>
      <x:c r="DZ858" s="4"/>
      <x:c r="EA858" s="4"/>
      <x:c r="EB858" s="4"/>
      <x:c r="EC858" s="4"/>
      <x:c r="ED858" s="4"/>
      <x:c r="EE858" s="4"/>
      <x:c r="EF858" s="4"/>
      <x:c r="EG858" s="4"/>
      <x:c r="EH858" s="4"/>
      <x:c r="EI858" s="4"/>
      <x:c r="EJ858" s="4"/>
      <x:c r="EK858" s="4"/>
      <x:c r="EL858" s="4"/>
      <x:c r="EM858" s="4"/>
      <x:c r="EN858" s="4"/>
      <x:c r="EO858" s="4"/>
      <x:c r="EP858" s="4"/>
      <x:c r="EQ858" s="4"/>
      <x:c r="ER858" s="4"/>
      <x:c r="ES858" s="4"/>
      <x:c r="ET858" s="4"/>
      <x:c r="EU858" s="4"/>
      <x:c r="EV858" s="4"/>
      <x:c r="EW858" s="4"/>
      <x:c r="EX858" s="4"/>
      <x:c r="EY858" s="4"/>
      <x:c r="EZ858" s="4"/>
      <x:c r="FA858" s="4"/>
      <x:c r="FB858" s="4"/>
      <x:c r="FC858" s="4"/>
      <x:c r="FD858" s="4"/>
      <x:c r="FE858" s="4"/>
      <x:c r="FF858" s="4"/>
      <x:c r="FG858" s="4"/>
      <x:c r="FH858" s="4"/>
      <x:c r="FI858" s="4"/>
      <x:c r="FJ858" s="4"/>
      <x:c r="FK858" s="4"/>
      <x:c r="FL858" s="4"/>
      <x:c r="FM858" s="4"/>
      <x:c r="FN858" s="4"/>
      <x:c r="FO858" s="4"/>
      <x:c r="JA858" t="n">
        <x:f>IF(OR(IFERROR(INDIRECT("'WCM Calibration Final'!$A$858")&lt;&gt;"",FALSE),IFERROR(INDIRECT("'WCM Calibration Final'!$B$858")&lt;&gt;"",FALSE),IFERROR(INDIRECT("'WCM Calibration Final'!$C$858")&lt;&gt;"",FALSE)),858,0)</x:f>
        <x:v>0</x:v>
      </x:c>
      <x:c r="JB858" t="n">
        <x:f>'Calculations'!JB857+IF('Calculations'!JA858&gt;0,1,0)</x:f>
        <x:v>0</x:v>
      </x:c>
    </x:row>
    <x:row r="859">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4"/>
      <x:c r="DQ859" s="4"/>
      <x:c r="DR859" s="4"/>
      <x:c r="DS859" s="4"/>
      <x:c r="DT859" s="4"/>
      <x:c r="DU859" s="4"/>
      <x:c r="DV859" s="4"/>
      <x:c r="DW859" s="4"/>
      <x:c r="DX859" s="4"/>
      <x:c r="DY859" s="4"/>
      <x:c r="DZ859" s="4"/>
      <x:c r="EA859" s="4"/>
      <x:c r="EB859" s="4"/>
      <x:c r="EC859" s="4"/>
      <x:c r="ED859" s="4"/>
      <x:c r="EE859" s="4"/>
      <x:c r="EF859" s="4"/>
      <x:c r="EG859" s="4"/>
      <x:c r="EH859" s="4"/>
      <x:c r="EI859" s="4"/>
      <x:c r="EJ859" s="4"/>
      <x:c r="EK859" s="4"/>
      <x:c r="EL859" s="4"/>
      <x:c r="EM859" s="4"/>
      <x:c r="EN859" s="4"/>
      <x:c r="EO859" s="4"/>
      <x:c r="EP859" s="4"/>
      <x:c r="EQ859" s="4"/>
      <x:c r="ER859" s="4"/>
      <x:c r="ES859" s="4"/>
      <x:c r="ET859" s="4"/>
      <x:c r="EU859" s="4"/>
      <x:c r="EV859" s="4"/>
      <x:c r="EW859" s="4"/>
      <x:c r="EX859" s="4"/>
      <x:c r="EY859" s="4"/>
      <x:c r="EZ859" s="4"/>
      <x:c r="FA859" s="4"/>
      <x:c r="FB859" s="4"/>
      <x:c r="FC859" s="4"/>
      <x:c r="FD859" s="4"/>
      <x:c r="FE859" s="4"/>
      <x:c r="FF859" s="4"/>
      <x:c r="FG859" s="4"/>
      <x:c r="FH859" s="4"/>
      <x:c r="FI859" s="4"/>
      <x:c r="FJ859" s="4"/>
      <x:c r="FK859" s="4"/>
      <x:c r="FL859" s="4"/>
      <x:c r="FM859" s="4"/>
      <x:c r="FN859" s="4"/>
      <x:c r="FO859" s="4"/>
      <x:c r="JA859" t="n">
        <x:f>IF(OR(IFERROR(INDIRECT("'WCM Calibration Final'!$A$859")&lt;&gt;"",FALSE),IFERROR(INDIRECT("'WCM Calibration Final'!$B$859")&lt;&gt;"",FALSE),IFERROR(INDIRECT("'WCM Calibration Final'!$C$859")&lt;&gt;"",FALSE)),859,0)</x:f>
        <x:v>0</x:v>
      </x:c>
      <x:c r="JB859" t="n">
        <x:f>'Calculations'!JB858+IF('Calculations'!JA859&gt;0,1,0)</x:f>
        <x:v>0</x:v>
      </x:c>
    </x:row>
    <x:row r="860">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4"/>
      <x:c r="DQ860" s="4"/>
      <x:c r="DR860" s="4"/>
      <x:c r="DS860" s="4"/>
      <x:c r="DT860" s="4"/>
      <x:c r="DU860" s="4"/>
      <x:c r="DV860" s="4"/>
      <x:c r="DW860" s="4"/>
      <x:c r="DX860" s="4"/>
      <x:c r="DY860" s="4"/>
      <x:c r="DZ860" s="4"/>
      <x:c r="EA860" s="4"/>
      <x:c r="EB860" s="4"/>
      <x:c r="EC860" s="4"/>
      <x:c r="ED860" s="4"/>
      <x:c r="EE860" s="4"/>
      <x:c r="EF860" s="4"/>
      <x:c r="EG860" s="4"/>
      <x:c r="EH860" s="4"/>
      <x:c r="EI860" s="4"/>
      <x:c r="EJ860" s="4"/>
      <x:c r="EK860" s="4"/>
      <x:c r="EL860" s="4"/>
      <x:c r="EM860" s="4"/>
      <x:c r="EN860" s="4"/>
      <x:c r="EO860" s="4"/>
      <x:c r="EP860" s="4"/>
      <x:c r="EQ860" s="4"/>
      <x:c r="ER860" s="4"/>
      <x:c r="ES860" s="4"/>
      <x:c r="ET860" s="4"/>
      <x:c r="EU860" s="4"/>
      <x:c r="EV860" s="4"/>
      <x:c r="EW860" s="4"/>
      <x:c r="EX860" s="4"/>
      <x:c r="EY860" s="4"/>
      <x:c r="EZ860" s="4"/>
      <x:c r="FA860" s="4"/>
      <x:c r="FB860" s="4"/>
      <x:c r="FC860" s="4"/>
      <x:c r="FD860" s="4"/>
      <x:c r="FE860" s="4"/>
      <x:c r="FF860" s="4"/>
      <x:c r="FG860" s="4"/>
      <x:c r="FH860" s="4"/>
      <x:c r="FI860" s="4"/>
      <x:c r="FJ860" s="4"/>
      <x:c r="FK860" s="4"/>
      <x:c r="FL860" s="4"/>
      <x:c r="FM860" s="4"/>
      <x:c r="FN860" s="4"/>
      <x:c r="FO860" s="4"/>
      <x:c r="JA860" t="n">
        <x:f>IF(OR(IFERROR(INDIRECT("'WCM Calibration Final'!$A$860")&lt;&gt;"",FALSE),IFERROR(INDIRECT("'WCM Calibration Final'!$B$860")&lt;&gt;"",FALSE),IFERROR(INDIRECT("'WCM Calibration Final'!$C$860")&lt;&gt;"",FALSE)),860,0)</x:f>
        <x:v>0</x:v>
      </x:c>
      <x:c r="JB860" t="n">
        <x:f>'Calculations'!JB859+IF('Calculations'!JA860&gt;0,1,0)</x:f>
        <x:v>0</x:v>
      </x:c>
    </x:row>
    <x:row r="861">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4"/>
      <x:c r="DQ861" s="4"/>
      <x:c r="DR861" s="4"/>
      <x:c r="DS861" s="4"/>
      <x:c r="DT861" s="4"/>
      <x:c r="DU861" s="4"/>
      <x:c r="DV861" s="4"/>
      <x:c r="DW861" s="4"/>
      <x:c r="DX861" s="4"/>
      <x:c r="DY861" s="4"/>
      <x:c r="DZ861" s="4"/>
      <x:c r="EA861" s="4"/>
      <x:c r="EB861" s="4"/>
      <x:c r="EC861" s="4"/>
      <x:c r="ED861" s="4"/>
      <x:c r="EE861" s="4"/>
      <x:c r="EF861" s="4"/>
      <x:c r="EG861" s="4"/>
      <x:c r="EH861" s="4"/>
      <x:c r="EI861" s="4"/>
      <x:c r="EJ861" s="4"/>
      <x:c r="EK861" s="4"/>
      <x:c r="EL861" s="4"/>
      <x:c r="EM861" s="4"/>
      <x:c r="EN861" s="4"/>
      <x:c r="EO861" s="4"/>
      <x:c r="EP861" s="4"/>
      <x:c r="EQ861" s="4"/>
      <x:c r="ER861" s="4"/>
      <x:c r="ES861" s="4"/>
      <x:c r="ET861" s="4"/>
      <x:c r="EU861" s="4"/>
      <x:c r="EV861" s="4"/>
      <x:c r="EW861" s="4"/>
      <x:c r="EX861" s="4"/>
      <x:c r="EY861" s="4"/>
      <x:c r="EZ861" s="4"/>
      <x:c r="FA861" s="4"/>
      <x:c r="FB861" s="4"/>
      <x:c r="FC861" s="4"/>
      <x:c r="FD861" s="4"/>
      <x:c r="FE861" s="4"/>
      <x:c r="FF861" s="4"/>
      <x:c r="FG861" s="4"/>
      <x:c r="FH861" s="4"/>
      <x:c r="FI861" s="4"/>
      <x:c r="FJ861" s="4"/>
      <x:c r="FK861" s="4"/>
      <x:c r="FL861" s="4"/>
      <x:c r="FM861" s="4"/>
      <x:c r="FN861" s="4"/>
      <x:c r="FO861" s="4"/>
      <x:c r="JA861" t="n">
        <x:f>IF(OR(IFERROR(INDIRECT("'WCM Calibration Final'!$A$861")&lt;&gt;"",FALSE),IFERROR(INDIRECT("'WCM Calibration Final'!$B$861")&lt;&gt;"",FALSE),IFERROR(INDIRECT("'WCM Calibration Final'!$C$861")&lt;&gt;"",FALSE)),861,0)</x:f>
        <x:v>0</x:v>
      </x:c>
      <x:c r="JB861" t="n">
        <x:f>'Calculations'!JB860+IF('Calculations'!JA861&gt;0,1,0)</x:f>
        <x:v>0</x:v>
      </x:c>
    </x:row>
    <x:row r="862">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4"/>
      <x:c r="DQ862" s="4"/>
      <x:c r="DR862" s="4"/>
      <x:c r="DS862" s="4"/>
      <x:c r="DT862" s="4"/>
      <x:c r="DU862" s="4"/>
      <x:c r="DV862" s="4"/>
      <x:c r="DW862" s="4"/>
      <x:c r="DX862" s="4"/>
      <x:c r="DY862" s="4"/>
      <x:c r="DZ862" s="4"/>
      <x:c r="EA862" s="4"/>
      <x:c r="EB862" s="4"/>
      <x:c r="EC862" s="4"/>
      <x:c r="ED862" s="4"/>
      <x:c r="EE862" s="4"/>
      <x:c r="EF862" s="4"/>
      <x:c r="EG862" s="4"/>
      <x:c r="EH862" s="4"/>
      <x:c r="EI862" s="4"/>
      <x:c r="EJ862" s="4"/>
      <x:c r="EK862" s="4"/>
      <x:c r="EL862" s="4"/>
      <x:c r="EM862" s="4"/>
      <x:c r="EN862" s="4"/>
      <x:c r="EO862" s="4"/>
      <x:c r="EP862" s="4"/>
      <x:c r="EQ862" s="4"/>
      <x:c r="ER862" s="4"/>
      <x:c r="ES862" s="4"/>
      <x:c r="ET862" s="4"/>
      <x:c r="EU862" s="4"/>
      <x:c r="EV862" s="4"/>
      <x:c r="EW862" s="4"/>
      <x:c r="EX862" s="4"/>
      <x:c r="EY862" s="4"/>
      <x:c r="EZ862" s="4"/>
      <x:c r="FA862" s="4"/>
      <x:c r="FB862" s="4"/>
      <x:c r="FC862" s="4"/>
      <x:c r="FD862" s="4"/>
      <x:c r="FE862" s="4"/>
      <x:c r="FF862" s="4"/>
      <x:c r="FG862" s="4"/>
      <x:c r="FH862" s="4"/>
      <x:c r="FI862" s="4"/>
      <x:c r="FJ862" s="4"/>
      <x:c r="FK862" s="4"/>
      <x:c r="FL862" s="4"/>
      <x:c r="FM862" s="4"/>
      <x:c r="FN862" s="4"/>
      <x:c r="FO862" s="4"/>
      <x:c r="JA862" t="n">
        <x:f>IF(OR(IFERROR(INDIRECT("'WCM Calibration Final'!$A$862")&lt;&gt;"",FALSE),IFERROR(INDIRECT("'WCM Calibration Final'!$B$862")&lt;&gt;"",FALSE),IFERROR(INDIRECT("'WCM Calibration Final'!$C$862")&lt;&gt;"",FALSE)),862,0)</x:f>
        <x:v>0</x:v>
      </x:c>
      <x:c r="JB862" t="n">
        <x:f>'Calculations'!JB861+IF('Calculations'!JA862&gt;0,1,0)</x:f>
        <x:v>0</x:v>
      </x:c>
    </x:row>
    <x:row r="863">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4"/>
      <x:c r="DQ863" s="4"/>
      <x:c r="DR863" s="4"/>
      <x:c r="DS863" s="4"/>
      <x:c r="DT863" s="4"/>
      <x:c r="DU863" s="4"/>
      <x:c r="DV863" s="4"/>
      <x:c r="DW863" s="4"/>
      <x:c r="DX863" s="4"/>
      <x:c r="DY863" s="4"/>
      <x:c r="DZ863" s="4"/>
      <x:c r="EA863" s="4"/>
      <x:c r="EB863" s="4"/>
      <x:c r="EC863" s="4"/>
      <x:c r="ED863" s="4"/>
      <x:c r="EE863" s="4"/>
      <x:c r="EF863" s="4"/>
      <x:c r="EG863" s="4"/>
      <x:c r="EH863" s="4"/>
      <x:c r="EI863" s="4"/>
      <x:c r="EJ863" s="4"/>
      <x:c r="EK863" s="4"/>
      <x:c r="EL863" s="4"/>
      <x:c r="EM863" s="4"/>
      <x:c r="EN863" s="4"/>
      <x:c r="EO863" s="4"/>
      <x:c r="EP863" s="4"/>
      <x:c r="EQ863" s="4"/>
      <x:c r="ER863" s="4"/>
      <x:c r="ES863" s="4"/>
      <x:c r="ET863" s="4"/>
      <x:c r="EU863" s="4"/>
      <x:c r="EV863" s="4"/>
      <x:c r="EW863" s="4"/>
      <x:c r="EX863" s="4"/>
      <x:c r="EY863" s="4"/>
      <x:c r="EZ863" s="4"/>
      <x:c r="FA863" s="4"/>
      <x:c r="FB863" s="4"/>
      <x:c r="FC863" s="4"/>
      <x:c r="FD863" s="4"/>
      <x:c r="FE863" s="4"/>
      <x:c r="FF863" s="4"/>
      <x:c r="FG863" s="4"/>
      <x:c r="FH863" s="4"/>
      <x:c r="FI863" s="4"/>
      <x:c r="FJ863" s="4"/>
      <x:c r="FK863" s="4"/>
      <x:c r="FL863" s="4"/>
      <x:c r="FM863" s="4"/>
      <x:c r="FN863" s="4"/>
      <x:c r="FO863" s="4"/>
      <x:c r="JA863" t="n">
        <x:f>IF(OR(IFERROR(INDIRECT("'WCM Calibration Final'!$A$863")&lt;&gt;"",FALSE),IFERROR(INDIRECT("'WCM Calibration Final'!$B$863")&lt;&gt;"",FALSE),IFERROR(INDIRECT("'WCM Calibration Final'!$C$863")&lt;&gt;"",FALSE)),863,0)</x:f>
        <x:v>0</x:v>
      </x:c>
      <x:c r="JB863" t="n">
        <x:f>'Calculations'!JB862+IF('Calculations'!JA863&gt;0,1,0)</x:f>
        <x:v>0</x:v>
      </x:c>
    </x:row>
    <x:row r="864">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4"/>
      <x:c r="DQ864" s="4"/>
      <x:c r="DR864" s="4"/>
      <x:c r="DS864" s="4"/>
      <x:c r="DT864" s="4"/>
      <x:c r="DU864" s="4"/>
      <x:c r="DV864" s="4"/>
      <x:c r="DW864" s="4"/>
      <x:c r="DX864" s="4"/>
      <x:c r="DY864" s="4"/>
      <x:c r="DZ864" s="4"/>
      <x:c r="EA864" s="4"/>
      <x:c r="EB864" s="4"/>
      <x:c r="EC864" s="4"/>
      <x:c r="ED864" s="4"/>
      <x:c r="EE864" s="4"/>
      <x:c r="EF864" s="4"/>
      <x:c r="EG864" s="4"/>
      <x:c r="EH864" s="4"/>
      <x:c r="EI864" s="4"/>
      <x:c r="EJ864" s="4"/>
      <x:c r="EK864" s="4"/>
      <x:c r="EL864" s="4"/>
      <x:c r="EM864" s="4"/>
      <x:c r="EN864" s="4"/>
      <x:c r="EO864" s="4"/>
      <x:c r="EP864" s="4"/>
      <x:c r="EQ864" s="4"/>
      <x:c r="ER864" s="4"/>
      <x:c r="ES864" s="4"/>
      <x:c r="ET864" s="4"/>
      <x:c r="EU864" s="4"/>
      <x:c r="EV864" s="4"/>
      <x:c r="EW864" s="4"/>
      <x:c r="EX864" s="4"/>
      <x:c r="EY864" s="4"/>
      <x:c r="EZ864" s="4"/>
      <x:c r="FA864" s="4"/>
      <x:c r="FB864" s="4"/>
      <x:c r="FC864" s="4"/>
      <x:c r="FD864" s="4"/>
      <x:c r="FE864" s="4"/>
      <x:c r="FF864" s="4"/>
      <x:c r="FG864" s="4"/>
      <x:c r="FH864" s="4"/>
      <x:c r="FI864" s="4"/>
      <x:c r="FJ864" s="4"/>
      <x:c r="FK864" s="4"/>
      <x:c r="FL864" s="4"/>
      <x:c r="FM864" s="4"/>
      <x:c r="FN864" s="4"/>
      <x:c r="FO864" s="4"/>
      <x:c r="JA864" t="n">
        <x:f>IF(OR(IFERROR(INDIRECT("'WCM Calibration Final'!$A$864")&lt;&gt;"",FALSE),IFERROR(INDIRECT("'WCM Calibration Final'!$B$864")&lt;&gt;"",FALSE),IFERROR(INDIRECT("'WCM Calibration Final'!$C$864")&lt;&gt;"",FALSE)),864,0)</x:f>
        <x:v>0</x:v>
      </x:c>
      <x:c r="JB864" t="n">
        <x:f>'Calculations'!JB863+IF('Calculations'!JA864&gt;0,1,0)</x:f>
        <x:v>0</x:v>
      </x:c>
    </x:row>
    <x:row r="865">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4"/>
      <x:c r="DQ865" s="4"/>
      <x:c r="DR865" s="4"/>
      <x:c r="DS865" s="4"/>
      <x:c r="DT865" s="4"/>
      <x:c r="DU865" s="4"/>
      <x:c r="DV865" s="4"/>
      <x:c r="DW865" s="4"/>
      <x:c r="DX865" s="4"/>
      <x:c r="DY865" s="4"/>
      <x:c r="DZ865" s="4"/>
      <x:c r="EA865" s="4"/>
      <x:c r="EB865" s="4"/>
      <x:c r="EC865" s="4"/>
      <x:c r="ED865" s="4"/>
      <x:c r="EE865" s="4"/>
      <x:c r="EF865" s="4"/>
      <x:c r="EG865" s="4"/>
      <x:c r="EH865" s="4"/>
      <x:c r="EI865" s="4"/>
      <x:c r="EJ865" s="4"/>
      <x:c r="EK865" s="4"/>
      <x:c r="EL865" s="4"/>
      <x:c r="EM865" s="4"/>
      <x:c r="EN865" s="4"/>
      <x:c r="EO865" s="4"/>
      <x:c r="EP865" s="4"/>
      <x:c r="EQ865" s="4"/>
      <x:c r="ER865" s="4"/>
      <x:c r="ES865" s="4"/>
      <x:c r="ET865" s="4"/>
      <x:c r="EU865" s="4"/>
      <x:c r="EV865" s="4"/>
      <x:c r="EW865" s="4"/>
      <x:c r="EX865" s="4"/>
      <x:c r="EY865" s="4"/>
      <x:c r="EZ865" s="4"/>
      <x:c r="FA865" s="4"/>
      <x:c r="FB865" s="4"/>
      <x:c r="FC865" s="4"/>
      <x:c r="FD865" s="4"/>
      <x:c r="FE865" s="4"/>
      <x:c r="FF865" s="4"/>
      <x:c r="FG865" s="4"/>
      <x:c r="FH865" s="4"/>
      <x:c r="FI865" s="4"/>
      <x:c r="FJ865" s="4"/>
      <x:c r="FK865" s="4"/>
      <x:c r="FL865" s="4"/>
      <x:c r="FM865" s="4"/>
      <x:c r="FN865" s="4"/>
      <x:c r="FO865" s="4"/>
      <x:c r="JA865" t="n">
        <x:f>IF(OR(IFERROR(INDIRECT("'WCM Calibration Final'!$A$865")&lt;&gt;"",FALSE),IFERROR(INDIRECT("'WCM Calibration Final'!$B$865")&lt;&gt;"",FALSE),IFERROR(INDIRECT("'WCM Calibration Final'!$C$865")&lt;&gt;"",FALSE)),865,0)</x:f>
        <x:v>0</x:v>
      </x:c>
      <x:c r="JB865" t="n">
        <x:f>'Calculations'!JB864+IF('Calculations'!JA865&gt;0,1,0)</x:f>
        <x:v>0</x:v>
      </x:c>
    </x:row>
    <x:row r="866">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4"/>
      <x:c r="DQ866" s="4"/>
      <x:c r="DR866" s="4"/>
      <x:c r="DS866" s="4"/>
      <x:c r="DT866" s="4"/>
      <x:c r="DU866" s="4"/>
      <x:c r="DV866" s="4"/>
      <x:c r="DW866" s="4"/>
      <x:c r="DX866" s="4"/>
      <x:c r="DY866" s="4"/>
      <x:c r="DZ866" s="4"/>
      <x:c r="EA866" s="4"/>
      <x:c r="EB866" s="4"/>
      <x:c r="EC866" s="4"/>
      <x:c r="ED866" s="4"/>
      <x:c r="EE866" s="4"/>
      <x:c r="EF866" s="4"/>
      <x:c r="EG866" s="4"/>
      <x:c r="EH866" s="4"/>
      <x:c r="EI866" s="4"/>
      <x:c r="EJ866" s="4"/>
      <x:c r="EK866" s="4"/>
      <x:c r="EL866" s="4"/>
      <x:c r="EM866" s="4"/>
      <x:c r="EN866" s="4"/>
      <x:c r="EO866" s="4"/>
      <x:c r="EP866" s="4"/>
      <x:c r="EQ866" s="4"/>
      <x:c r="ER866" s="4"/>
      <x:c r="ES866" s="4"/>
      <x:c r="ET866" s="4"/>
      <x:c r="EU866" s="4"/>
      <x:c r="EV866" s="4"/>
      <x:c r="EW866" s="4"/>
      <x:c r="EX866" s="4"/>
      <x:c r="EY866" s="4"/>
      <x:c r="EZ866" s="4"/>
      <x:c r="FA866" s="4"/>
      <x:c r="FB866" s="4"/>
      <x:c r="FC866" s="4"/>
      <x:c r="FD866" s="4"/>
      <x:c r="FE866" s="4"/>
      <x:c r="FF866" s="4"/>
      <x:c r="FG866" s="4"/>
      <x:c r="FH866" s="4"/>
      <x:c r="FI866" s="4"/>
      <x:c r="FJ866" s="4"/>
      <x:c r="FK866" s="4"/>
      <x:c r="FL866" s="4"/>
      <x:c r="FM866" s="4"/>
      <x:c r="FN866" s="4"/>
      <x:c r="FO866" s="4"/>
      <x:c r="JA866" t="n">
        <x:f>IF(OR(IFERROR(INDIRECT("'WCM Calibration Final'!$A$866")&lt;&gt;"",FALSE),IFERROR(INDIRECT("'WCM Calibration Final'!$B$866")&lt;&gt;"",FALSE),IFERROR(INDIRECT("'WCM Calibration Final'!$C$866")&lt;&gt;"",FALSE)),866,0)</x:f>
        <x:v>0</x:v>
      </x:c>
      <x:c r="JB866" t="n">
        <x:f>'Calculations'!JB865+IF('Calculations'!JA866&gt;0,1,0)</x:f>
        <x:v>0</x:v>
      </x:c>
    </x:row>
    <x:row r="867">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4"/>
      <x:c r="DQ867" s="4"/>
      <x:c r="DR867" s="4"/>
      <x:c r="DS867" s="4"/>
      <x:c r="DT867" s="4"/>
      <x:c r="DU867" s="4"/>
      <x:c r="DV867" s="4"/>
      <x:c r="DW867" s="4"/>
      <x:c r="DX867" s="4"/>
      <x:c r="DY867" s="4"/>
      <x:c r="DZ867" s="4"/>
      <x:c r="EA867" s="4"/>
      <x:c r="EB867" s="4"/>
      <x:c r="EC867" s="4"/>
      <x:c r="ED867" s="4"/>
      <x:c r="EE867" s="4"/>
      <x:c r="EF867" s="4"/>
      <x:c r="EG867" s="4"/>
      <x:c r="EH867" s="4"/>
      <x:c r="EI867" s="4"/>
      <x:c r="EJ867" s="4"/>
      <x:c r="EK867" s="4"/>
      <x:c r="EL867" s="4"/>
      <x:c r="EM867" s="4"/>
      <x:c r="EN867" s="4"/>
      <x:c r="EO867" s="4"/>
      <x:c r="EP867" s="4"/>
      <x:c r="EQ867" s="4"/>
      <x:c r="ER867" s="4"/>
      <x:c r="ES867" s="4"/>
      <x:c r="ET867" s="4"/>
      <x:c r="EU867" s="4"/>
      <x:c r="EV867" s="4"/>
      <x:c r="EW867" s="4"/>
      <x:c r="EX867" s="4"/>
      <x:c r="EY867" s="4"/>
      <x:c r="EZ867" s="4"/>
      <x:c r="FA867" s="4"/>
      <x:c r="FB867" s="4"/>
      <x:c r="FC867" s="4"/>
      <x:c r="FD867" s="4"/>
      <x:c r="FE867" s="4"/>
      <x:c r="FF867" s="4"/>
      <x:c r="FG867" s="4"/>
      <x:c r="FH867" s="4"/>
      <x:c r="FI867" s="4"/>
      <x:c r="FJ867" s="4"/>
      <x:c r="FK867" s="4"/>
      <x:c r="FL867" s="4"/>
      <x:c r="FM867" s="4"/>
      <x:c r="FN867" s="4"/>
      <x:c r="FO867" s="4"/>
      <x:c r="JA867" t="n">
        <x:f>IF(OR(IFERROR(INDIRECT("'WCM Calibration Final'!$A$867")&lt;&gt;"",FALSE),IFERROR(INDIRECT("'WCM Calibration Final'!$B$867")&lt;&gt;"",FALSE),IFERROR(INDIRECT("'WCM Calibration Final'!$C$867")&lt;&gt;"",FALSE)),867,0)</x:f>
        <x:v>0</x:v>
      </x:c>
      <x:c r="JB867" t="n">
        <x:f>'Calculations'!JB866+IF('Calculations'!JA867&gt;0,1,0)</x:f>
        <x:v>0</x:v>
      </x:c>
    </x:row>
    <x:row r="868">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4"/>
      <x:c r="DQ868" s="4"/>
      <x:c r="DR868" s="4"/>
      <x:c r="DS868" s="4"/>
      <x:c r="DT868" s="4"/>
      <x:c r="DU868" s="4"/>
      <x:c r="DV868" s="4"/>
      <x:c r="DW868" s="4"/>
      <x:c r="DX868" s="4"/>
      <x:c r="DY868" s="4"/>
      <x:c r="DZ868" s="4"/>
      <x:c r="EA868" s="4"/>
      <x:c r="EB868" s="4"/>
      <x:c r="EC868" s="4"/>
      <x:c r="ED868" s="4"/>
      <x:c r="EE868" s="4"/>
      <x:c r="EF868" s="4"/>
      <x:c r="EG868" s="4"/>
      <x:c r="EH868" s="4"/>
      <x:c r="EI868" s="4"/>
      <x:c r="EJ868" s="4"/>
      <x:c r="EK868" s="4"/>
      <x:c r="EL868" s="4"/>
      <x:c r="EM868" s="4"/>
      <x:c r="EN868" s="4"/>
      <x:c r="EO868" s="4"/>
      <x:c r="EP868" s="4"/>
      <x:c r="EQ868" s="4"/>
      <x:c r="ER868" s="4"/>
      <x:c r="ES868" s="4"/>
      <x:c r="ET868" s="4"/>
      <x:c r="EU868" s="4"/>
      <x:c r="EV868" s="4"/>
      <x:c r="EW868" s="4"/>
      <x:c r="EX868" s="4"/>
      <x:c r="EY868" s="4"/>
      <x:c r="EZ868" s="4"/>
      <x:c r="FA868" s="4"/>
      <x:c r="FB868" s="4"/>
      <x:c r="FC868" s="4"/>
      <x:c r="FD868" s="4"/>
      <x:c r="FE868" s="4"/>
      <x:c r="FF868" s="4"/>
      <x:c r="FG868" s="4"/>
      <x:c r="FH868" s="4"/>
      <x:c r="FI868" s="4"/>
      <x:c r="FJ868" s="4"/>
      <x:c r="FK868" s="4"/>
      <x:c r="FL868" s="4"/>
      <x:c r="FM868" s="4"/>
      <x:c r="FN868" s="4"/>
      <x:c r="FO868" s="4"/>
      <x:c r="JA868" t="n">
        <x:f>IF(OR(IFERROR(INDIRECT("'WCM Calibration Final'!$A$868")&lt;&gt;"",FALSE),IFERROR(INDIRECT("'WCM Calibration Final'!$B$868")&lt;&gt;"",FALSE),IFERROR(INDIRECT("'WCM Calibration Final'!$C$868")&lt;&gt;"",FALSE)),868,0)</x:f>
        <x:v>0</x:v>
      </x:c>
      <x:c r="JB868" t="n">
        <x:f>'Calculations'!JB867+IF('Calculations'!JA868&gt;0,1,0)</x:f>
        <x:v>0</x:v>
      </x:c>
    </x:row>
    <x:row r="869">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4"/>
      <x:c r="DQ869" s="4"/>
      <x:c r="DR869" s="4"/>
      <x:c r="DS869" s="4"/>
      <x:c r="DT869" s="4"/>
      <x:c r="DU869" s="4"/>
      <x:c r="DV869" s="4"/>
      <x:c r="DW869" s="4"/>
      <x:c r="DX869" s="4"/>
      <x:c r="DY869" s="4"/>
      <x:c r="DZ869" s="4"/>
      <x:c r="EA869" s="4"/>
      <x:c r="EB869" s="4"/>
      <x:c r="EC869" s="4"/>
      <x:c r="ED869" s="4"/>
      <x:c r="EE869" s="4"/>
      <x:c r="EF869" s="4"/>
      <x:c r="EG869" s="4"/>
      <x:c r="EH869" s="4"/>
      <x:c r="EI869" s="4"/>
      <x:c r="EJ869" s="4"/>
      <x:c r="EK869" s="4"/>
      <x:c r="EL869" s="4"/>
      <x:c r="EM869" s="4"/>
      <x:c r="EN869" s="4"/>
      <x:c r="EO869" s="4"/>
      <x:c r="EP869" s="4"/>
      <x:c r="EQ869" s="4"/>
      <x:c r="ER869" s="4"/>
      <x:c r="ES869" s="4"/>
      <x:c r="ET869" s="4"/>
      <x:c r="EU869" s="4"/>
      <x:c r="EV869" s="4"/>
      <x:c r="EW869" s="4"/>
      <x:c r="EX869" s="4"/>
      <x:c r="EY869" s="4"/>
      <x:c r="EZ869" s="4"/>
      <x:c r="FA869" s="4"/>
      <x:c r="FB869" s="4"/>
      <x:c r="FC869" s="4"/>
      <x:c r="FD869" s="4"/>
      <x:c r="FE869" s="4"/>
      <x:c r="FF869" s="4"/>
      <x:c r="FG869" s="4"/>
      <x:c r="FH869" s="4"/>
      <x:c r="FI869" s="4"/>
      <x:c r="FJ869" s="4"/>
      <x:c r="FK869" s="4"/>
      <x:c r="FL869" s="4"/>
      <x:c r="FM869" s="4"/>
      <x:c r="FN869" s="4"/>
      <x:c r="FO869" s="4"/>
      <x:c r="JA869" t="n">
        <x:f>IF(OR(IFERROR(INDIRECT("'WCM Calibration Final'!$A$869")&lt;&gt;"",FALSE),IFERROR(INDIRECT("'WCM Calibration Final'!$B$869")&lt;&gt;"",FALSE),IFERROR(INDIRECT("'WCM Calibration Final'!$C$869")&lt;&gt;"",FALSE)),869,0)</x:f>
        <x:v>0</x:v>
      </x:c>
      <x:c r="JB869" t="n">
        <x:f>'Calculations'!JB868+IF('Calculations'!JA869&gt;0,1,0)</x:f>
        <x:v>0</x:v>
      </x:c>
    </x:row>
    <x:row r="870">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4"/>
      <x:c r="DQ870" s="4"/>
      <x:c r="DR870" s="4"/>
      <x:c r="DS870" s="4"/>
      <x:c r="DT870" s="4"/>
      <x:c r="DU870" s="4"/>
      <x:c r="DV870" s="4"/>
      <x:c r="DW870" s="4"/>
      <x:c r="DX870" s="4"/>
      <x:c r="DY870" s="4"/>
      <x:c r="DZ870" s="4"/>
      <x:c r="EA870" s="4"/>
      <x:c r="EB870" s="4"/>
      <x:c r="EC870" s="4"/>
      <x:c r="ED870" s="4"/>
      <x:c r="EE870" s="4"/>
      <x:c r="EF870" s="4"/>
      <x:c r="EG870" s="4"/>
      <x:c r="EH870" s="4"/>
      <x:c r="EI870" s="4"/>
      <x:c r="EJ870" s="4"/>
      <x:c r="EK870" s="4"/>
      <x:c r="EL870" s="4"/>
      <x:c r="EM870" s="4"/>
      <x:c r="EN870" s="4"/>
      <x:c r="EO870" s="4"/>
      <x:c r="EP870" s="4"/>
      <x:c r="EQ870" s="4"/>
      <x:c r="ER870" s="4"/>
      <x:c r="ES870" s="4"/>
      <x:c r="ET870" s="4"/>
      <x:c r="EU870" s="4"/>
      <x:c r="EV870" s="4"/>
      <x:c r="EW870" s="4"/>
      <x:c r="EX870" s="4"/>
      <x:c r="EY870" s="4"/>
      <x:c r="EZ870" s="4"/>
      <x:c r="FA870" s="4"/>
      <x:c r="FB870" s="4"/>
      <x:c r="FC870" s="4"/>
      <x:c r="FD870" s="4"/>
      <x:c r="FE870" s="4"/>
      <x:c r="FF870" s="4"/>
      <x:c r="FG870" s="4"/>
      <x:c r="FH870" s="4"/>
      <x:c r="FI870" s="4"/>
      <x:c r="FJ870" s="4"/>
      <x:c r="FK870" s="4"/>
      <x:c r="FL870" s="4"/>
      <x:c r="FM870" s="4"/>
      <x:c r="FN870" s="4"/>
      <x:c r="FO870" s="4"/>
      <x:c r="JA870" t="n">
        <x:f>IF(OR(IFERROR(INDIRECT("'WCM Calibration Final'!$A$870")&lt;&gt;"",FALSE),IFERROR(INDIRECT("'WCM Calibration Final'!$B$870")&lt;&gt;"",FALSE),IFERROR(INDIRECT("'WCM Calibration Final'!$C$870")&lt;&gt;"",FALSE)),870,0)</x:f>
        <x:v>0</x:v>
      </x:c>
      <x:c r="JB870" t="n">
        <x:f>'Calculations'!JB869+IF('Calculations'!JA870&gt;0,1,0)</x:f>
        <x:v>0</x:v>
      </x:c>
    </x:row>
    <x:row r="871">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4"/>
      <x:c r="DQ871" s="4"/>
      <x:c r="DR871" s="4"/>
      <x:c r="DS871" s="4"/>
      <x:c r="DT871" s="4"/>
      <x:c r="DU871" s="4"/>
      <x:c r="DV871" s="4"/>
      <x:c r="DW871" s="4"/>
      <x:c r="DX871" s="4"/>
      <x:c r="DY871" s="4"/>
      <x:c r="DZ871" s="4"/>
      <x:c r="EA871" s="4"/>
      <x:c r="EB871" s="4"/>
      <x:c r="EC871" s="4"/>
      <x:c r="ED871" s="4"/>
      <x:c r="EE871" s="4"/>
      <x:c r="EF871" s="4"/>
      <x:c r="EG871" s="4"/>
      <x:c r="EH871" s="4"/>
      <x:c r="EI871" s="4"/>
      <x:c r="EJ871" s="4"/>
      <x:c r="EK871" s="4"/>
      <x:c r="EL871" s="4"/>
      <x:c r="EM871" s="4"/>
      <x:c r="EN871" s="4"/>
      <x:c r="EO871" s="4"/>
      <x:c r="EP871" s="4"/>
      <x:c r="EQ871" s="4"/>
      <x:c r="ER871" s="4"/>
      <x:c r="ES871" s="4"/>
      <x:c r="ET871" s="4"/>
      <x:c r="EU871" s="4"/>
      <x:c r="EV871" s="4"/>
      <x:c r="EW871" s="4"/>
      <x:c r="EX871" s="4"/>
      <x:c r="EY871" s="4"/>
      <x:c r="EZ871" s="4"/>
      <x:c r="FA871" s="4"/>
      <x:c r="FB871" s="4"/>
      <x:c r="FC871" s="4"/>
      <x:c r="FD871" s="4"/>
      <x:c r="FE871" s="4"/>
      <x:c r="FF871" s="4"/>
      <x:c r="FG871" s="4"/>
      <x:c r="FH871" s="4"/>
      <x:c r="FI871" s="4"/>
      <x:c r="FJ871" s="4"/>
      <x:c r="FK871" s="4"/>
      <x:c r="FL871" s="4"/>
      <x:c r="FM871" s="4"/>
      <x:c r="FN871" s="4"/>
      <x:c r="FO871" s="4"/>
      <x:c r="JA871" t="n">
        <x:f>IF(OR(IFERROR(INDIRECT("'WCM Calibration Final'!$A$871")&lt;&gt;"",FALSE),IFERROR(INDIRECT("'WCM Calibration Final'!$B$871")&lt;&gt;"",FALSE),IFERROR(INDIRECT("'WCM Calibration Final'!$C$871")&lt;&gt;"",FALSE)),871,0)</x:f>
        <x:v>0</x:v>
      </x:c>
      <x:c r="JB871" t="n">
        <x:f>'Calculations'!JB870+IF('Calculations'!JA871&gt;0,1,0)</x:f>
        <x:v>0</x:v>
      </x:c>
    </x:row>
    <x:row r="872">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4"/>
      <x:c r="DQ872" s="4"/>
      <x:c r="DR872" s="4"/>
      <x:c r="DS872" s="4"/>
      <x:c r="DT872" s="4"/>
      <x:c r="DU872" s="4"/>
      <x:c r="DV872" s="4"/>
      <x:c r="DW872" s="4"/>
      <x:c r="DX872" s="4"/>
      <x:c r="DY872" s="4"/>
      <x:c r="DZ872" s="4"/>
      <x:c r="EA872" s="4"/>
      <x:c r="EB872" s="4"/>
      <x:c r="EC872" s="4"/>
      <x:c r="ED872" s="4"/>
      <x:c r="EE872" s="4"/>
      <x:c r="EF872" s="4"/>
      <x:c r="EG872" s="4"/>
      <x:c r="EH872" s="4"/>
      <x:c r="EI872" s="4"/>
      <x:c r="EJ872" s="4"/>
      <x:c r="EK872" s="4"/>
      <x:c r="EL872" s="4"/>
      <x:c r="EM872" s="4"/>
      <x:c r="EN872" s="4"/>
      <x:c r="EO872" s="4"/>
      <x:c r="EP872" s="4"/>
      <x:c r="EQ872" s="4"/>
      <x:c r="ER872" s="4"/>
      <x:c r="ES872" s="4"/>
      <x:c r="ET872" s="4"/>
      <x:c r="EU872" s="4"/>
      <x:c r="EV872" s="4"/>
      <x:c r="EW872" s="4"/>
      <x:c r="EX872" s="4"/>
      <x:c r="EY872" s="4"/>
      <x:c r="EZ872" s="4"/>
      <x:c r="FA872" s="4"/>
      <x:c r="FB872" s="4"/>
      <x:c r="FC872" s="4"/>
      <x:c r="FD872" s="4"/>
      <x:c r="FE872" s="4"/>
      <x:c r="FF872" s="4"/>
      <x:c r="FG872" s="4"/>
      <x:c r="FH872" s="4"/>
      <x:c r="FI872" s="4"/>
      <x:c r="FJ872" s="4"/>
      <x:c r="FK872" s="4"/>
      <x:c r="FL872" s="4"/>
      <x:c r="FM872" s="4"/>
      <x:c r="FN872" s="4"/>
      <x:c r="FO872" s="4"/>
      <x:c r="JA872" t="n">
        <x:f>IF(OR(IFERROR(INDIRECT("'WCM Calibration Final'!$A$872")&lt;&gt;"",FALSE),IFERROR(INDIRECT("'WCM Calibration Final'!$B$872")&lt;&gt;"",FALSE),IFERROR(INDIRECT("'WCM Calibration Final'!$C$872")&lt;&gt;"",FALSE)),872,0)</x:f>
        <x:v>0</x:v>
      </x:c>
      <x:c r="JB872" t="n">
        <x:f>'Calculations'!JB871+IF('Calculations'!JA872&gt;0,1,0)</x:f>
        <x:v>0</x:v>
      </x:c>
    </x:row>
    <x:row r="873">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4"/>
      <x:c r="DQ873" s="4"/>
      <x:c r="DR873" s="4"/>
      <x:c r="DS873" s="4"/>
      <x:c r="DT873" s="4"/>
      <x:c r="DU873" s="4"/>
      <x:c r="DV873" s="4"/>
      <x:c r="DW873" s="4"/>
      <x:c r="DX873" s="4"/>
      <x:c r="DY873" s="4"/>
      <x:c r="DZ873" s="4"/>
      <x:c r="EA873" s="4"/>
      <x:c r="EB873" s="4"/>
      <x:c r="EC873" s="4"/>
      <x:c r="ED873" s="4"/>
      <x:c r="EE873" s="4"/>
      <x:c r="EF873" s="4"/>
      <x:c r="EG873" s="4"/>
      <x:c r="EH873" s="4"/>
      <x:c r="EI873" s="4"/>
      <x:c r="EJ873" s="4"/>
      <x:c r="EK873" s="4"/>
      <x:c r="EL873" s="4"/>
      <x:c r="EM873" s="4"/>
      <x:c r="EN873" s="4"/>
      <x:c r="EO873" s="4"/>
      <x:c r="EP873" s="4"/>
      <x:c r="EQ873" s="4"/>
      <x:c r="ER873" s="4"/>
      <x:c r="ES873" s="4"/>
      <x:c r="ET873" s="4"/>
      <x:c r="EU873" s="4"/>
      <x:c r="EV873" s="4"/>
      <x:c r="EW873" s="4"/>
      <x:c r="EX873" s="4"/>
      <x:c r="EY873" s="4"/>
      <x:c r="EZ873" s="4"/>
      <x:c r="FA873" s="4"/>
      <x:c r="FB873" s="4"/>
      <x:c r="FC873" s="4"/>
      <x:c r="FD873" s="4"/>
      <x:c r="FE873" s="4"/>
      <x:c r="FF873" s="4"/>
      <x:c r="FG873" s="4"/>
      <x:c r="FH873" s="4"/>
      <x:c r="FI873" s="4"/>
      <x:c r="FJ873" s="4"/>
      <x:c r="FK873" s="4"/>
      <x:c r="FL873" s="4"/>
      <x:c r="FM873" s="4"/>
      <x:c r="FN873" s="4"/>
      <x:c r="FO873" s="4"/>
      <x:c r="JA873" t="n">
        <x:f>IF(OR(IFERROR(INDIRECT("'WCM Calibration Final'!$A$873")&lt;&gt;"",FALSE),IFERROR(INDIRECT("'WCM Calibration Final'!$B$873")&lt;&gt;"",FALSE),IFERROR(INDIRECT("'WCM Calibration Final'!$C$873")&lt;&gt;"",FALSE)),873,0)</x:f>
        <x:v>0</x:v>
      </x:c>
      <x:c r="JB873" t="n">
        <x:f>'Calculations'!JB872+IF('Calculations'!JA873&gt;0,1,0)</x:f>
        <x:v>0</x:v>
      </x:c>
    </x:row>
    <x:row r="874">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4"/>
      <x:c r="DQ874" s="4"/>
      <x:c r="DR874" s="4"/>
      <x:c r="DS874" s="4"/>
      <x:c r="DT874" s="4"/>
      <x:c r="DU874" s="4"/>
      <x:c r="DV874" s="4"/>
      <x:c r="DW874" s="4"/>
      <x:c r="DX874" s="4"/>
      <x:c r="DY874" s="4"/>
      <x:c r="DZ874" s="4"/>
      <x:c r="EA874" s="4"/>
      <x:c r="EB874" s="4"/>
      <x:c r="EC874" s="4"/>
      <x:c r="ED874" s="4"/>
      <x:c r="EE874" s="4"/>
      <x:c r="EF874" s="4"/>
      <x:c r="EG874" s="4"/>
      <x:c r="EH874" s="4"/>
      <x:c r="EI874" s="4"/>
      <x:c r="EJ874" s="4"/>
      <x:c r="EK874" s="4"/>
      <x:c r="EL874" s="4"/>
      <x:c r="EM874" s="4"/>
      <x:c r="EN874" s="4"/>
      <x:c r="EO874" s="4"/>
      <x:c r="EP874" s="4"/>
      <x:c r="EQ874" s="4"/>
      <x:c r="ER874" s="4"/>
      <x:c r="ES874" s="4"/>
      <x:c r="ET874" s="4"/>
      <x:c r="EU874" s="4"/>
      <x:c r="EV874" s="4"/>
      <x:c r="EW874" s="4"/>
      <x:c r="EX874" s="4"/>
      <x:c r="EY874" s="4"/>
      <x:c r="EZ874" s="4"/>
      <x:c r="FA874" s="4"/>
      <x:c r="FB874" s="4"/>
      <x:c r="FC874" s="4"/>
      <x:c r="FD874" s="4"/>
      <x:c r="FE874" s="4"/>
      <x:c r="FF874" s="4"/>
      <x:c r="FG874" s="4"/>
      <x:c r="FH874" s="4"/>
      <x:c r="FI874" s="4"/>
      <x:c r="FJ874" s="4"/>
      <x:c r="FK874" s="4"/>
      <x:c r="FL874" s="4"/>
      <x:c r="FM874" s="4"/>
      <x:c r="FN874" s="4"/>
      <x:c r="FO874" s="4"/>
      <x:c r="JA874" t="n">
        <x:f>IF(OR(IFERROR(INDIRECT("'WCM Calibration Final'!$A$874")&lt;&gt;"",FALSE),IFERROR(INDIRECT("'WCM Calibration Final'!$B$874")&lt;&gt;"",FALSE),IFERROR(INDIRECT("'WCM Calibration Final'!$C$874")&lt;&gt;"",FALSE)),874,0)</x:f>
        <x:v>0</x:v>
      </x:c>
      <x:c r="JB874" t="n">
        <x:f>'Calculations'!JB873+IF('Calculations'!JA874&gt;0,1,0)</x:f>
        <x:v>0</x:v>
      </x:c>
    </x:row>
    <x:row r="875">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4"/>
      <x:c r="DQ875" s="4"/>
      <x:c r="DR875" s="4"/>
      <x:c r="DS875" s="4"/>
      <x:c r="DT875" s="4"/>
      <x:c r="DU875" s="4"/>
      <x:c r="DV875" s="4"/>
      <x:c r="DW875" s="4"/>
      <x:c r="DX875" s="4"/>
      <x:c r="DY875" s="4"/>
      <x:c r="DZ875" s="4"/>
      <x:c r="EA875" s="4"/>
      <x:c r="EB875" s="4"/>
      <x:c r="EC875" s="4"/>
      <x:c r="ED875" s="4"/>
      <x:c r="EE875" s="4"/>
      <x:c r="EF875" s="4"/>
      <x:c r="EG875" s="4"/>
      <x:c r="EH875" s="4"/>
      <x:c r="EI875" s="4"/>
      <x:c r="EJ875" s="4"/>
      <x:c r="EK875" s="4"/>
      <x:c r="EL875" s="4"/>
      <x:c r="EM875" s="4"/>
      <x:c r="EN875" s="4"/>
      <x:c r="EO875" s="4"/>
      <x:c r="EP875" s="4"/>
      <x:c r="EQ875" s="4"/>
      <x:c r="ER875" s="4"/>
      <x:c r="ES875" s="4"/>
      <x:c r="ET875" s="4"/>
      <x:c r="EU875" s="4"/>
      <x:c r="EV875" s="4"/>
      <x:c r="EW875" s="4"/>
      <x:c r="EX875" s="4"/>
      <x:c r="EY875" s="4"/>
      <x:c r="EZ875" s="4"/>
      <x:c r="FA875" s="4"/>
      <x:c r="FB875" s="4"/>
      <x:c r="FC875" s="4"/>
      <x:c r="FD875" s="4"/>
      <x:c r="FE875" s="4"/>
      <x:c r="FF875" s="4"/>
      <x:c r="FG875" s="4"/>
      <x:c r="FH875" s="4"/>
      <x:c r="FI875" s="4"/>
      <x:c r="FJ875" s="4"/>
      <x:c r="FK875" s="4"/>
      <x:c r="FL875" s="4"/>
      <x:c r="FM875" s="4"/>
      <x:c r="FN875" s="4"/>
      <x:c r="FO875" s="4"/>
      <x:c r="JA875" t="n">
        <x:f>IF(OR(IFERROR(INDIRECT("'WCM Calibration Final'!$A$875")&lt;&gt;"",FALSE),IFERROR(INDIRECT("'WCM Calibration Final'!$B$875")&lt;&gt;"",FALSE),IFERROR(INDIRECT("'WCM Calibration Final'!$C$875")&lt;&gt;"",FALSE)),875,0)</x:f>
        <x:v>0</x:v>
      </x:c>
      <x:c r="JB875" t="n">
        <x:f>'Calculations'!JB874+IF('Calculations'!JA875&gt;0,1,0)</x:f>
        <x:v>0</x:v>
      </x:c>
    </x:row>
    <x:row r="876">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4"/>
      <x:c r="DQ876" s="4"/>
      <x:c r="DR876" s="4"/>
      <x:c r="DS876" s="4"/>
      <x:c r="DT876" s="4"/>
      <x:c r="DU876" s="4"/>
      <x:c r="DV876" s="4"/>
      <x:c r="DW876" s="4"/>
      <x:c r="DX876" s="4"/>
      <x:c r="DY876" s="4"/>
      <x:c r="DZ876" s="4"/>
      <x:c r="EA876" s="4"/>
      <x:c r="EB876" s="4"/>
      <x:c r="EC876" s="4"/>
      <x:c r="ED876" s="4"/>
      <x:c r="EE876" s="4"/>
      <x:c r="EF876" s="4"/>
      <x:c r="EG876" s="4"/>
      <x:c r="EH876" s="4"/>
      <x:c r="EI876" s="4"/>
      <x:c r="EJ876" s="4"/>
      <x:c r="EK876" s="4"/>
      <x:c r="EL876" s="4"/>
      <x:c r="EM876" s="4"/>
      <x:c r="EN876" s="4"/>
      <x:c r="EO876" s="4"/>
      <x:c r="EP876" s="4"/>
      <x:c r="EQ876" s="4"/>
      <x:c r="ER876" s="4"/>
      <x:c r="ES876" s="4"/>
      <x:c r="ET876" s="4"/>
      <x:c r="EU876" s="4"/>
      <x:c r="EV876" s="4"/>
      <x:c r="EW876" s="4"/>
      <x:c r="EX876" s="4"/>
      <x:c r="EY876" s="4"/>
      <x:c r="EZ876" s="4"/>
      <x:c r="FA876" s="4"/>
      <x:c r="FB876" s="4"/>
      <x:c r="FC876" s="4"/>
      <x:c r="FD876" s="4"/>
      <x:c r="FE876" s="4"/>
      <x:c r="FF876" s="4"/>
      <x:c r="FG876" s="4"/>
      <x:c r="FH876" s="4"/>
      <x:c r="FI876" s="4"/>
      <x:c r="FJ876" s="4"/>
      <x:c r="FK876" s="4"/>
      <x:c r="FL876" s="4"/>
      <x:c r="FM876" s="4"/>
      <x:c r="FN876" s="4"/>
      <x:c r="FO876" s="4"/>
      <x:c r="JA876" t="n">
        <x:f>IF(OR(IFERROR(INDIRECT("'WCM Calibration Final'!$A$876")&lt;&gt;"",FALSE),IFERROR(INDIRECT("'WCM Calibration Final'!$B$876")&lt;&gt;"",FALSE),IFERROR(INDIRECT("'WCM Calibration Final'!$C$876")&lt;&gt;"",FALSE)),876,0)</x:f>
        <x:v>0</x:v>
      </x:c>
      <x:c r="JB876" t="n">
        <x:f>'Calculations'!JB875+IF('Calculations'!JA876&gt;0,1,0)</x:f>
        <x:v>0</x:v>
      </x:c>
    </x:row>
    <x:row r="877">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4"/>
      <x:c r="DQ877" s="4"/>
      <x:c r="DR877" s="4"/>
      <x:c r="DS877" s="4"/>
      <x:c r="DT877" s="4"/>
      <x:c r="DU877" s="4"/>
      <x:c r="DV877" s="4"/>
      <x:c r="DW877" s="4"/>
      <x:c r="DX877" s="4"/>
      <x:c r="DY877" s="4"/>
      <x:c r="DZ877" s="4"/>
      <x:c r="EA877" s="4"/>
      <x:c r="EB877" s="4"/>
      <x:c r="EC877" s="4"/>
      <x:c r="ED877" s="4"/>
      <x:c r="EE877" s="4"/>
      <x:c r="EF877" s="4"/>
      <x:c r="EG877" s="4"/>
      <x:c r="EH877" s="4"/>
      <x:c r="EI877" s="4"/>
      <x:c r="EJ877" s="4"/>
      <x:c r="EK877" s="4"/>
      <x:c r="EL877" s="4"/>
      <x:c r="EM877" s="4"/>
      <x:c r="EN877" s="4"/>
      <x:c r="EO877" s="4"/>
      <x:c r="EP877" s="4"/>
      <x:c r="EQ877" s="4"/>
      <x:c r="ER877" s="4"/>
      <x:c r="ES877" s="4"/>
      <x:c r="ET877" s="4"/>
      <x:c r="EU877" s="4"/>
      <x:c r="EV877" s="4"/>
      <x:c r="EW877" s="4"/>
      <x:c r="EX877" s="4"/>
      <x:c r="EY877" s="4"/>
      <x:c r="EZ877" s="4"/>
      <x:c r="FA877" s="4"/>
      <x:c r="FB877" s="4"/>
      <x:c r="FC877" s="4"/>
      <x:c r="FD877" s="4"/>
      <x:c r="FE877" s="4"/>
      <x:c r="FF877" s="4"/>
      <x:c r="FG877" s="4"/>
      <x:c r="FH877" s="4"/>
      <x:c r="FI877" s="4"/>
      <x:c r="FJ877" s="4"/>
      <x:c r="FK877" s="4"/>
      <x:c r="FL877" s="4"/>
      <x:c r="FM877" s="4"/>
      <x:c r="FN877" s="4"/>
      <x:c r="FO877" s="4"/>
      <x:c r="JA877" t="n">
        <x:f>IF(OR(IFERROR(INDIRECT("'WCM Calibration Final'!$A$877")&lt;&gt;"",FALSE),IFERROR(INDIRECT("'WCM Calibration Final'!$B$877")&lt;&gt;"",FALSE),IFERROR(INDIRECT("'WCM Calibration Final'!$C$877")&lt;&gt;"",FALSE)),877,0)</x:f>
        <x:v>0</x:v>
      </x:c>
      <x:c r="JB877" t="n">
        <x:f>'Calculations'!JB876+IF('Calculations'!JA877&gt;0,1,0)</x:f>
        <x:v>0</x:v>
      </x:c>
    </x:row>
    <x:row r="878">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4"/>
      <x:c r="DQ878" s="4"/>
      <x:c r="DR878" s="4"/>
      <x:c r="DS878" s="4"/>
      <x:c r="DT878" s="4"/>
      <x:c r="DU878" s="4"/>
      <x:c r="DV878" s="4"/>
      <x:c r="DW878" s="4"/>
      <x:c r="DX878" s="4"/>
      <x:c r="DY878" s="4"/>
      <x:c r="DZ878" s="4"/>
      <x:c r="EA878" s="4"/>
      <x:c r="EB878" s="4"/>
      <x:c r="EC878" s="4"/>
      <x:c r="ED878" s="4"/>
      <x:c r="EE878" s="4"/>
      <x:c r="EF878" s="4"/>
      <x:c r="EG878" s="4"/>
      <x:c r="EH878" s="4"/>
      <x:c r="EI878" s="4"/>
      <x:c r="EJ878" s="4"/>
      <x:c r="EK878" s="4"/>
      <x:c r="EL878" s="4"/>
      <x:c r="EM878" s="4"/>
      <x:c r="EN878" s="4"/>
      <x:c r="EO878" s="4"/>
      <x:c r="EP878" s="4"/>
      <x:c r="EQ878" s="4"/>
      <x:c r="ER878" s="4"/>
      <x:c r="ES878" s="4"/>
      <x:c r="ET878" s="4"/>
      <x:c r="EU878" s="4"/>
      <x:c r="EV878" s="4"/>
      <x:c r="EW878" s="4"/>
      <x:c r="EX878" s="4"/>
      <x:c r="EY878" s="4"/>
      <x:c r="EZ878" s="4"/>
      <x:c r="FA878" s="4"/>
      <x:c r="FB878" s="4"/>
      <x:c r="FC878" s="4"/>
      <x:c r="FD878" s="4"/>
      <x:c r="FE878" s="4"/>
      <x:c r="FF878" s="4"/>
      <x:c r="FG878" s="4"/>
      <x:c r="FH878" s="4"/>
      <x:c r="FI878" s="4"/>
      <x:c r="FJ878" s="4"/>
      <x:c r="FK878" s="4"/>
      <x:c r="FL878" s="4"/>
      <x:c r="FM878" s="4"/>
      <x:c r="FN878" s="4"/>
      <x:c r="FO878" s="4"/>
      <x:c r="JA878" t="n">
        <x:f>IF(OR(IFERROR(INDIRECT("'WCM Calibration Final'!$A$878")&lt;&gt;"",FALSE),IFERROR(INDIRECT("'WCM Calibration Final'!$B$878")&lt;&gt;"",FALSE),IFERROR(INDIRECT("'WCM Calibration Final'!$C$878")&lt;&gt;"",FALSE)),878,0)</x:f>
        <x:v>0</x:v>
      </x:c>
      <x:c r="JB878" t="n">
        <x:f>'Calculations'!JB877+IF('Calculations'!JA878&gt;0,1,0)</x:f>
        <x:v>0</x:v>
      </x:c>
    </x:row>
    <x:row r="879">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4"/>
      <x:c r="DQ879" s="4"/>
      <x:c r="DR879" s="4"/>
      <x:c r="DS879" s="4"/>
      <x:c r="DT879" s="4"/>
      <x:c r="DU879" s="4"/>
      <x:c r="DV879" s="4"/>
      <x:c r="DW879" s="4"/>
      <x:c r="DX879" s="4"/>
      <x:c r="DY879" s="4"/>
      <x:c r="DZ879" s="4"/>
      <x:c r="EA879" s="4"/>
      <x:c r="EB879" s="4"/>
      <x:c r="EC879" s="4"/>
      <x:c r="ED879" s="4"/>
      <x:c r="EE879" s="4"/>
      <x:c r="EF879" s="4"/>
      <x:c r="EG879" s="4"/>
      <x:c r="EH879" s="4"/>
      <x:c r="EI879" s="4"/>
      <x:c r="EJ879" s="4"/>
      <x:c r="EK879" s="4"/>
      <x:c r="EL879" s="4"/>
      <x:c r="EM879" s="4"/>
      <x:c r="EN879" s="4"/>
      <x:c r="EO879" s="4"/>
      <x:c r="EP879" s="4"/>
      <x:c r="EQ879" s="4"/>
      <x:c r="ER879" s="4"/>
      <x:c r="ES879" s="4"/>
      <x:c r="ET879" s="4"/>
      <x:c r="EU879" s="4"/>
      <x:c r="EV879" s="4"/>
      <x:c r="EW879" s="4"/>
      <x:c r="EX879" s="4"/>
      <x:c r="EY879" s="4"/>
      <x:c r="EZ879" s="4"/>
      <x:c r="FA879" s="4"/>
      <x:c r="FB879" s="4"/>
      <x:c r="FC879" s="4"/>
      <x:c r="FD879" s="4"/>
      <x:c r="FE879" s="4"/>
      <x:c r="FF879" s="4"/>
      <x:c r="FG879" s="4"/>
      <x:c r="FH879" s="4"/>
      <x:c r="FI879" s="4"/>
      <x:c r="FJ879" s="4"/>
      <x:c r="FK879" s="4"/>
      <x:c r="FL879" s="4"/>
      <x:c r="FM879" s="4"/>
      <x:c r="FN879" s="4"/>
      <x:c r="FO879" s="4"/>
      <x:c r="JA879" t="n">
        <x:f>IF(OR(IFERROR(INDIRECT("'WCM Calibration Final'!$A$879")&lt;&gt;"",FALSE),IFERROR(INDIRECT("'WCM Calibration Final'!$B$879")&lt;&gt;"",FALSE),IFERROR(INDIRECT("'WCM Calibration Final'!$C$879")&lt;&gt;"",FALSE)),879,0)</x:f>
        <x:v>0</x:v>
      </x:c>
      <x:c r="JB879" t="n">
        <x:f>'Calculations'!JB878+IF('Calculations'!JA879&gt;0,1,0)</x:f>
        <x:v>0</x:v>
      </x:c>
    </x:row>
    <x:row r="880">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4"/>
      <x:c r="DQ880" s="4"/>
      <x:c r="DR880" s="4"/>
      <x:c r="DS880" s="4"/>
      <x:c r="DT880" s="4"/>
      <x:c r="DU880" s="4"/>
      <x:c r="DV880" s="4"/>
      <x:c r="DW880" s="4"/>
      <x:c r="DX880" s="4"/>
      <x:c r="DY880" s="4"/>
      <x:c r="DZ880" s="4"/>
      <x:c r="EA880" s="4"/>
      <x:c r="EB880" s="4"/>
      <x:c r="EC880" s="4"/>
      <x:c r="ED880" s="4"/>
      <x:c r="EE880" s="4"/>
      <x:c r="EF880" s="4"/>
      <x:c r="EG880" s="4"/>
      <x:c r="EH880" s="4"/>
      <x:c r="EI880" s="4"/>
      <x:c r="EJ880" s="4"/>
      <x:c r="EK880" s="4"/>
      <x:c r="EL880" s="4"/>
      <x:c r="EM880" s="4"/>
      <x:c r="EN880" s="4"/>
      <x:c r="EO880" s="4"/>
      <x:c r="EP880" s="4"/>
      <x:c r="EQ880" s="4"/>
      <x:c r="ER880" s="4"/>
      <x:c r="ES880" s="4"/>
      <x:c r="ET880" s="4"/>
      <x:c r="EU880" s="4"/>
      <x:c r="EV880" s="4"/>
      <x:c r="EW880" s="4"/>
      <x:c r="EX880" s="4"/>
      <x:c r="EY880" s="4"/>
      <x:c r="EZ880" s="4"/>
      <x:c r="FA880" s="4"/>
      <x:c r="FB880" s="4"/>
      <x:c r="FC880" s="4"/>
      <x:c r="FD880" s="4"/>
      <x:c r="FE880" s="4"/>
      <x:c r="FF880" s="4"/>
      <x:c r="FG880" s="4"/>
      <x:c r="FH880" s="4"/>
      <x:c r="FI880" s="4"/>
      <x:c r="FJ880" s="4"/>
      <x:c r="FK880" s="4"/>
      <x:c r="FL880" s="4"/>
      <x:c r="FM880" s="4"/>
      <x:c r="FN880" s="4"/>
      <x:c r="FO880" s="4"/>
      <x:c r="JA880" t="n">
        <x:f>IF(OR(IFERROR(INDIRECT("'WCM Calibration Final'!$A$880")&lt;&gt;"",FALSE),IFERROR(INDIRECT("'WCM Calibration Final'!$B$880")&lt;&gt;"",FALSE),IFERROR(INDIRECT("'WCM Calibration Final'!$C$880")&lt;&gt;"",FALSE)),880,0)</x:f>
        <x:v>0</x:v>
      </x:c>
      <x:c r="JB880" t="n">
        <x:f>'Calculations'!JB879+IF('Calculations'!JA880&gt;0,1,0)</x:f>
        <x:v>0</x:v>
      </x:c>
    </x:row>
    <x:row r="881">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4"/>
      <x:c r="DQ881" s="4"/>
      <x:c r="DR881" s="4"/>
      <x:c r="DS881" s="4"/>
      <x:c r="DT881" s="4"/>
      <x:c r="DU881" s="4"/>
      <x:c r="DV881" s="4"/>
      <x:c r="DW881" s="4"/>
      <x:c r="DX881" s="4"/>
      <x:c r="DY881" s="4"/>
      <x:c r="DZ881" s="4"/>
      <x:c r="EA881" s="4"/>
      <x:c r="EB881" s="4"/>
      <x:c r="EC881" s="4"/>
      <x:c r="ED881" s="4"/>
      <x:c r="EE881" s="4"/>
      <x:c r="EF881" s="4"/>
      <x:c r="EG881" s="4"/>
      <x:c r="EH881" s="4"/>
      <x:c r="EI881" s="4"/>
      <x:c r="EJ881" s="4"/>
      <x:c r="EK881" s="4"/>
      <x:c r="EL881" s="4"/>
      <x:c r="EM881" s="4"/>
      <x:c r="EN881" s="4"/>
      <x:c r="EO881" s="4"/>
      <x:c r="EP881" s="4"/>
      <x:c r="EQ881" s="4"/>
      <x:c r="ER881" s="4"/>
      <x:c r="ES881" s="4"/>
      <x:c r="ET881" s="4"/>
      <x:c r="EU881" s="4"/>
      <x:c r="EV881" s="4"/>
      <x:c r="EW881" s="4"/>
      <x:c r="EX881" s="4"/>
      <x:c r="EY881" s="4"/>
      <x:c r="EZ881" s="4"/>
      <x:c r="FA881" s="4"/>
      <x:c r="FB881" s="4"/>
      <x:c r="FC881" s="4"/>
      <x:c r="FD881" s="4"/>
      <x:c r="FE881" s="4"/>
      <x:c r="FF881" s="4"/>
      <x:c r="FG881" s="4"/>
      <x:c r="FH881" s="4"/>
      <x:c r="FI881" s="4"/>
      <x:c r="FJ881" s="4"/>
      <x:c r="FK881" s="4"/>
      <x:c r="FL881" s="4"/>
      <x:c r="FM881" s="4"/>
      <x:c r="FN881" s="4"/>
      <x:c r="FO881" s="4"/>
      <x:c r="JA881" t="n">
        <x:f>IF(OR(IFERROR(INDIRECT("'WCM Calibration Final'!$A$881")&lt;&gt;"",FALSE),IFERROR(INDIRECT("'WCM Calibration Final'!$B$881")&lt;&gt;"",FALSE),IFERROR(INDIRECT("'WCM Calibration Final'!$C$881")&lt;&gt;"",FALSE)),881,0)</x:f>
        <x:v>0</x:v>
      </x:c>
      <x:c r="JB881" t="n">
        <x:f>'Calculations'!JB880+IF('Calculations'!JA881&gt;0,1,0)</x:f>
        <x:v>0</x:v>
      </x:c>
    </x:row>
    <x:row r="882">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4"/>
      <x:c r="DQ882" s="4"/>
      <x:c r="DR882" s="4"/>
      <x:c r="DS882" s="4"/>
      <x:c r="DT882" s="4"/>
      <x:c r="DU882" s="4"/>
      <x:c r="DV882" s="4"/>
      <x:c r="DW882" s="4"/>
      <x:c r="DX882" s="4"/>
      <x:c r="DY882" s="4"/>
      <x:c r="DZ882" s="4"/>
      <x:c r="EA882" s="4"/>
      <x:c r="EB882" s="4"/>
      <x:c r="EC882" s="4"/>
      <x:c r="ED882" s="4"/>
      <x:c r="EE882" s="4"/>
      <x:c r="EF882" s="4"/>
      <x:c r="EG882" s="4"/>
      <x:c r="EH882" s="4"/>
      <x:c r="EI882" s="4"/>
      <x:c r="EJ882" s="4"/>
      <x:c r="EK882" s="4"/>
      <x:c r="EL882" s="4"/>
      <x:c r="EM882" s="4"/>
      <x:c r="EN882" s="4"/>
      <x:c r="EO882" s="4"/>
      <x:c r="EP882" s="4"/>
      <x:c r="EQ882" s="4"/>
      <x:c r="ER882" s="4"/>
      <x:c r="ES882" s="4"/>
      <x:c r="ET882" s="4"/>
      <x:c r="EU882" s="4"/>
      <x:c r="EV882" s="4"/>
      <x:c r="EW882" s="4"/>
      <x:c r="EX882" s="4"/>
      <x:c r="EY882" s="4"/>
      <x:c r="EZ882" s="4"/>
      <x:c r="FA882" s="4"/>
      <x:c r="FB882" s="4"/>
      <x:c r="FC882" s="4"/>
      <x:c r="FD882" s="4"/>
      <x:c r="FE882" s="4"/>
      <x:c r="FF882" s="4"/>
      <x:c r="FG882" s="4"/>
      <x:c r="FH882" s="4"/>
      <x:c r="FI882" s="4"/>
      <x:c r="FJ882" s="4"/>
      <x:c r="FK882" s="4"/>
      <x:c r="FL882" s="4"/>
      <x:c r="FM882" s="4"/>
      <x:c r="FN882" s="4"/>
      <x:c r="FO882" s="4"/>
      <x:c r="JA882" t="n">
        <x:f>IF(OR(IFERROR(INDIRECT("'WCM Calibration Final'!$A$882")&lt;&gt;"",FALSE),IFERROR(INDIRECT("'WCM Calibration Final'!$B$882")&lt;&gt;"",FALSE),IFERROR(INDIRECT("'WCM Calibration Final'!$C$882")&lt;&gt;"",FALSE)),882,0)</x:f>
        <x:v>0</x:v>
      </x:c>
      <x:c r="JB882" t="n">
        <x:f>'Calculations'!JB881+IF('Calculations'!JA882&gt;0,1,0)</x:f>
        <x:v>0</x:v>
      </x:c>
    </x:row>
    <x:row r="883">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4"/>
      <x:c r="DQ883" s="4"/>
      <x:c r="DR883" s="4"/>
      <x:c r="DS883" s="4"/>
      <x:c r="DT883" s="4"/>
      <x:c r="DU883" s="4"/>
      <x:c r="DV883" s="4"/>
      <x:c r="DW883" s="4"/>
      <x:c r="DX883" s="4"/>
      <x:c r="DY883" s="4"/>
      <x:c r="DZ883" s="4"/>
      <x:c r="EA883" s="4"/>
      <x:c r="EB883" s="4"/>
      <x:c r="EC883" s="4"/>
      <x:c r="ED883" s="4"/>
      <x:c r="EE883" s="4"/>
      <x:c r="EF883" s="4"/>
      <x:c r="EG883" s="4"/>
      <x:c r="EH883" s="4"/>
      <x:c r="EI883" s="4"/>
      <x:c r="EJ883" s="4"/>
      <x:c r="EK883" s="4"/>
      <x:c r="EL883" s="4"/>
      <x:c r="EM883" s="4"/>
      <x:c r="EN883" s="4"/>
      <x:c r="EO883" s="4"/>
      <x:c r="EP883" s="4"/>
      <x:c r="EQ883" s="4"/>
      <x:c r="ER883" s="4"/>
      <x:c r="ES883" s="4"/>
      <x:c r="ET883" s="4"/>
      <x:c r="EU883" s="4"/>
      <x:c r="EV883" s="4"/>
      <x:c r="EW883" s="4"/>
      <x:c r="EX883" s="4"/>
      <x:c r="EY883" s="4"/>
      <x:c r="EZ883" s="4"/>
      <x:c r="FA883" s="4"/>
      <x:c r="FB883" s="4"/>
      <x:c r="FC883" s="4"/>
      <x:c r="FD883" s="4"/>
      <x:c r="FE883" s="4"/>
      <x:c r="FF883" s="4"/>
      <x:c r="FG883" s="4"/>
      <x:c r="FH883" s="4"/>
      <x:c r="FI883" s="4"/>
      <x:c r="FJ883" s="4"/>
      <x:c r="FK883" s="4"/>
      <x:c r="FL883" s="4"/>
      <x:c r="FM883" s="4"/>
      <x:c r="FN883" s="4"/>
      <x:c r="FO883" s="4"/>
      <x:c r="JA883" t="n">
        <x:f>IF(OR(IFERROR(INDIRECT("'WCM Calibration Final'!$A$883")&lt;&gt;"",FALSE),IFERROR(INDIRECT("'WCM Calibration Final'!$B$883")&lt;&gt;"",FALSE),IFERROR(INDIRECT("'WCM Calibration Final'!$C$883")&lt;&gt;"",FALSE)),883,0)</x:f>
        <x:v>0</x:v>
      </x:c>
      <x:c r="JB883" t="n">
        <x:f>'Calculations'!JB882+IF('Calculations'!JA883&gt;0,1,0)</x:f>
        <x:v>0</x:v>
      </x:c>
    </x:row>
    <x:row r="884">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4"/>
      <x:c r="DQ884" s="4"/>
      <x:c r="DR884" s="4"/>
      <x:c r="DS884" s="4"/>
      <x:c r="DT884" s="4"/>
      <x:c r="DU884" s="4"/>
      <x:c r="DV884" s="4"/>
      <x:c r="DW884" s="4"/>
      <x:c r="DX884" s="4"/>
      <x:c r="DY884" s="4"/>
      <x:c r="DZ884" s="4"/>
      <x:c r="EA884" s="4"/>
      <x:c r="EB884" s="4"/>
      <x:c r="EC884" s="4"/>
      <x:c r="ED884" s="4"/>
      <x:c r="EE884" s="4"/>
      <x:c r="EF884" s="4"/>
      <x:c r="EG884" s="4"/>
      <x:c r="EH884" s="4"/>
      <x:c r="EI884" s="4"/>
      <x:c r="EJ884" s="4"/>
      <x:c r="EK884" s="4"/>
      <x:c r="EL884" s="4"/>
      <x:c r="EM884" s="4"/>
      <x:c r="EN884" s="4"/>
      <x:c r="EO884" s="4"/>
      <x:c r="EP884" s="4"/>
      <x:c r="EQ884" s="4"/>
      <x:c r="ER884" s="4"/>
      <x:c r="ES884" s="4"/>
      <x:c r="ET884" s="4"/>
      <x:c r="EU884" s="4"/>
      <x:c r="EV884" s="4"/>
      <x:c r="EW884" s="4"/>
      <x:c r="EX884" s="4"/>
      <x:c r="EY884" s="4"/>
      <x:c r="EZ884" s="4"/>
      <x:c r="FA884" s="4"/>
      <x:c r="FB884" s="4"/>
      <x:c r="FC884" s="4"/>
      <x:c r="FD884" s="4"/>
      <x:c r="FE884" s="4"/>
      <x:c r="FF884" s="4"/>
      <x:c r="FG884" s="4"/>
      <x:c r="FH884" s="4"/>
      <x:c r="FI884" s="4"/>
      <x:c r="FJ884" s="4"/>
      <x:c r="FK884" s="4"/>
      <x:c r="FL884" s="4"/>
      <x:c r="FM884" s="4"/>
      <x:c r="FN884" s="4"/>
      <x:c r="FO884" s="4"/>
      <x:c r="JA884" t="n">
        <x:f>IF(OR(IFERROR(INDIRECT("'WCM Calibration Final'!$A$884")&lt;&gt;"",FALSE),IFERROR(INDIRECT("'WCM Calibration Final'!$B$884")&lt;&gt;"",FALSE),IFERROR(INDIRECT("'WCM Calibration Final'!$C$884")&lt;&gt;"",FALSE)),884,0)</x:f>
        <x:v>0</x:v>
      </x:c>
      <x:c r="JB884" t="n">
        <x:f>'Calculations'!JB883+IF('Calculations'!JA884&gt;0,1,0)</x:f>
        <x:v>0</x:v>
      </x:c>
    </x:row>
    <x:row r="885">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4"/>
      <x:c r="DQ885" s="4"/>
      <x:c r="DR885" s="4"/>
      <x:c r="DS885" s="4"/>
      <x:c r="DT885" s="4"/>
      <x:c r="DU885" s="4"/>
      <x:c r="DV885" s="4"/>
      <x:c r="DW885" s="4"/>
      <x:c r="DX885" s="4"/>
      <x:c r="DY885" s="4"/>
      <x:c r="DZ885" s="4"/>
      <x:c r="EA885" s="4"/>
      <x:c r="EB885" s="4"/>
      <x:c r="EC885" s="4"/>
      <x:c r="ED885" s="4"/>
      <x:c r="EE885" s="4"/>
      <x:c r="EF885" s="4"/>
      <x:c r="EG885" s="4"/>
      <x:c r="EH885" s="4"/>
      <x:c r="EI885" s="4"/>
      <x:c r="EJ885" s="4"/>
      <x:c r="EK885" s="4"/>
      <x:c r="EL885" s="4"/>
      <x:c r="EM885" s="4"/>
      <x:c r="EN885" s="4"/>
      <x:c r="EO885" s="4"/>
      <x:c r="EP885" s="4"/>
      <x:c r="EQ885" s="4"/>
      <x:c r="ER885" s="4"/>
      <x:c r="ES885" s="4"/>
      <x:c r="ET885" s="4"/>
      <x:c r="EU885" s="4"/>
      <x:c r="EV885" s="4"/>
      <x:c r="EW885" s="4"/>
      <x:c r="EX885" s="4"/>
      <x:c r="EY885" s="4"/>
      <x:c r="EZ885" s="4"/>
      <x:c r="FA885" s="4"/>
      <x:c r="FB885" s="4"/>
      <x:c r="FC885" s="4"/>
      <x:c r="FD885" s="4"/>
      <x:c r="FE885" s="4"/>
      <x:c r="FF885" s="4"/>
      <x:c r="FG885" s="4"/>
      <x:c r="FH885" s="4"/>
      <x:c r="FI885" s="4"/>
      <x:c r="FJ885" s="4"/>
      <x:c r="FK885" s="4"/>
      <x:c r="FL885" s="4"/>
      <x:c r="FM885" s="4"/>
      <x:c r="FN885" s="4"/>
      <x:c r="FO885" s="4"/>
      <x:c r="JA885" t="n">
        <x:f>IF(OR(IFERROR(INDIRECT("'WCM Calibration Final'!$A$885")&lt;&gt;"",FALSE),IFERROR(INDIRECT("'WCM Calibration Final'!$B$885")&lt;&gt;"",FALSE),IFERROR(INDIRECT("'WCM Calibration Final'!$C$885")&lt;&gt;"",FALSE)),885,0)</x:f>
        <x:v>0</x:v>
      </x:c>
      <x:c r="JB885" t="n">
        <x:f>'Calculations'!JB884+IF('Calculations'!JA885&gt;0,1,0)</x:f>
        <x:v>0</x:v>
      </x:c>
    </x:row>
    <x:row r="886">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4"/>
      <x:c r="DQ886" s="4"/>
      <x:c r="DR886" s="4"/>
      <x:c r="DS886" s="4"/>
      <x:c r="DT886" s="4"/>
      <x:c r="DU886" s="4"/>
      <x:c r="DV886" s="4"/>
      <x:c r="DW886" s="4"/>
      <x:c r="DX886" s="4"/>
      <x:c r="DY886" s="4"/>
      <x:c r="DZ886" s="4"/>
      <x:c r="EA886" s="4"/>
      <x:c r="EB886" s="4"/>
      <x:c r="EC886" s="4"/>
      <x:c r="ED886" s="4"/>
      <x:c r="EE886" s="4"/>
      <x:c r="EF886" s="4"/>
      <x:c r="EG886" s="4"/>
      <x:c r="EH886" s="4"/>
      <x:c r="EI886" s="4"/>
      <x:c r="EJ886" s="4"/>
      <x:c r="EK886" s="4"/>
      <x:c r="EL886" s="4"/>
      <x:c r="EM886" s="4"/>
      <x:c r="EN886" s="4"/>
      <x:c r="EO886" s="4"/>
      <x:c r="EP886" s="4"/>
      <x:c r="EQ886" s="4"/>
      <x:c r="ER886" s="4"/>
      <x:c r="ES886" s="4"/>
      <x:c r="ET886" s="4"/>
      <x:c r="EU886" s="4"/>
      <x:c r="EV886" s="4"/>
      <x:c r="EW886" s="4"/>
      <x:c r="EX886" s="4"/>
      <x:c r="EY886" s="4"/>
      <x:c r="EZ886" s="4"/>
      <x:c r="FA886" s="4"/>
      <x:c r="FB886" s="4"/>
      <x:c r="FC886" s="4"/>
      <x:c r="FD886" s="4"/>
      <x:c r="FE886" s="4"/>
      <x:c r="FF886" s="4"/>
      <x:c r="FG886" s="4"/>
      <x:c r="FH886" s="4"/>
      <x:c r="FI886" s="4"/>
      <x:c r="FJ886" s="4"/>
      <x:c r="FK886" s="4"/>
      <x:c r="FL886" s="4"/>
      <x:c r="FM886" s="4"/>
      <x:c r="FN886" s="4"/>
      <x:c r="FO886" s="4"/>
      <x:c r="JA886" t="n">
        <x:f>IF(OR(IFERROR(INDIRECT("'WCM Calibration Final'!$A$886")&lt;&gt;"",FALSE),IFERROR(INDIRECT("'WCM Calibration Final'!$B$886")&lt;&gt;"",FALSE),IFERROR(INDIRECT("'WCM Calibration Final'!$C$886")&lt;&gt;"",FALSE)),886,0)</x:f>
        <x:v>0</x:v>
      </x:c>
      <x:c r="JB886" t="n">
        <x:f>'Calculations'!JB885+IF('Calculations'!JA886&gt;0,1,0)</x:f>
        <x:v>0</x:v>
      </x:c>
    </x:row>
    <x:row r="887">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4"/>
      <x:c r="DQ887" s="4"/>
      <x:c r="DR887" s="4"/>
      <x:c r="DS887" s="4"/>
      <x:c r="DT887" s="4"/>
      <x:c r="DU887" s="4"/>
      <x:c r="DV887" s="4"/>
      <x:c r="DW887" s="4"/>
      <x:c r="DX887" s="4"/>
      <x:c r="DY887" s="4"/>
      <x:c r="DZ887" s="4"/>
      <x:c r="EA887" s="4"/>
      <x:c r="EB887" s="4"/>
      <x:c r="EC887" s="4"/>
      <x:c r="ED887" s="4"/>
      <x:c r="EE887" s="4"/>
      <x:c r="EF887" s="4"/>
      <x:c r="EG887" s="4"/>
      <x:c r="EH887" s="4"/>
      <x:c r="EI887" s="4"/>
      <x:c r="EJ887" s="4"/>
      <x:c r="EK887" s="4"/>
      <x:c r="EL887" s="4"/>
      <x:c r="EM887" s="4"/>
      <x:c r="EN887" s="4"/>
      <x:c r="EO887" s="4"/>
      <x:c r="EP887" s="4"/>
      <x:c r="EQ887" s="4"/>
      <x:c r="ER887" s="4"/>
      <x:c r="ES887" s="4"/>
      <x:c r="ET887" s="4"/>
      <x:c r="EU887" s="4"/>
      <x:c r="EV887" s="4"/>
      <x:c r="EW887" s="4"/>
      <x:c r="EX887" s="4"/>
      <x:c r="EY887" s="4"/>
      <x:c r="EZ887" s="4"/>
      <x:c r="FA887" s="4"/>
      <x:c r="FB887" s="4"/>
      <x:c r="FC887" s="4"/>
      <x:c r="FD887" s="4"/>
      <x:c r="FE887" s="4"/>
      <x:c r="FF887" s="4"/>
      <x:c r="FG887" s="4"/>
      <x:c r="FH887" s="4"/>
      <x:c r="FI887" s="4"/>
      <x:c r="FJ887" s="4"/>
      <x:c r="FK887" s="4"/>
      <x:c r="FL887" s="4"/>
      <x:c r="FM887" s="4"/>
      <x:c r="FN887" s="4"/>
      <x:c r="FO887" s="4"/>
      <x:c r="JA887" t="n">
        <x:f>IF(OR(IFERROR(INDIRECT("'WCM Calibration Final'!$A$887")&lt;&gt;"",FALSE),IFERROR(INDIRECT("'WCM Calibration Final'!$B$887")&lt;&gt;"",FALSE),IFERROR(INDIRECT("'WCM Calibration Final'!$C$887")&lt;&gt;"",FALSE)),887,0)</x:f>
        <x:v>0</x:v>
      </x:c>
      <x:c r="JB887" t="n">
        <x:f>'Calculations'!JB886+IF('Calculations'!JA887&gt;0,1,0)</x:f>
        <x:v>0</x:v>
      </x:c>
    </x:row>
    <x:row r="888">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4"/>
      <x:c r="DQ888" s="4"/>
      <x:c r="DR888" s="4"/>
      <x:c r="DS888" s="4"/>
      <x:c r="DT888" s="4"/>
      <x:c r="DU888" s="4"/>
      <x:c r="DV888" s="4"/>
      <x:c r="DW888" s="4"/>
      <x:c r="DX888" s="4"/>
      <x:c r="DY888" s="4"/>
      <x:c r="DZ888" s="4"/>
      <x:c r="EA888" s="4"/>
      <x:c r="EB888" s="4"/>
      <x:c r="EC888" s="4"/>
      <x:c r="ED888" s="4"/>
      <x:c r="EE888" s="4"/>
      <x:c r="EF888" s="4"/>
      <x:c r="EG888" s="4"/>
      <x:c r="EH888" s="4"/>
      <x:c r="EI888" s="4"/>
      <x:c r="EJ888" s="4"/>
      <x:c r="EK888" s="4"/>
      <x:c r="EL888" s="4"/>
      <x:c r="EM888" s="4"/>
      <x:c r="EN888" s="4"/>
      <x:c r="EO888" s="4"/>
      <x:c r="EP888" s="4"/>
      <x:c r="EQ888" s="4"/>
      <x:c r="ER888" s="4"/>
      <x:c r="ES888" s="4"/>
      <x:c r="ET888" s="4"/>
      <x:c r="EU888" s="4"/>
      <x:c r="EV888" s="4"/>
      <x:c r="EW888" s="4"/>
      <x:c r="EX888" s="4"/>
      <x:c r="EY888" s="4"/>
      <x:c r="EZ888" s="4"/>
      <x:c r="FA888" s="4"/>
      <x:c r="FB888" s="4"/>
      <x:c r="FC888" s="4"/>
      <x:c r="FD888" s="4"/>
      <x:c r="FE888" s="4"/>
      <x:c r="FF888" s="4"/>
      <x:c r="FG888" s="4"/>
      <x:c r="FH888" s="4"/>
      <x:c r="FI888" s="4"/>
      <x:c r="FJ888" s="4"/>
      <x:c r="FK888" s="4"/>
      <x:c r="FL888" s="4"/>
      <x:c r="FM888" s="4"/>
      <x:c r="FN888" s="4"/>
      <x:c r="FO888" s="4"/>
      <x:c r="JA888" t="n">
        <x:f>IF(OR(IFERROR(INDIRECT("'WCM Calibration Final'!$A$888")&lt;&gt;"",FALSE),IFERROR(INDIRECT("'WCM Calibration Final'!$B$888")&lt;&gt;"",FALSE),IFERROR(INDIRECT("'WCM Calibration Final'!$C$888")&lt;&gt;"",FALSE)),888,0)</x:f>
        <x:v>0</x:v>
      </x:c>
      <x:c r="JB888" t="n">
        <x:f>'Calculations'!JB887+IF('Calculations'!JA888&gt;0,1,0)</x:f>
        <x:v>0</x:v>
      </x:c>
    </x:row>
    <x:row r="889">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4"/>
      <x:c r="DQ889" s="4"/>
      <x:c r="DR889" s="4"/>
      <x:c r="DS889" s="4"/>
      <x:c r="DT889" s="4"/>
      <x:c r="DU889" s="4"/>
      <x:c r="DV889" s="4"/>
      <x:c r="DW889" s="4"/>
      <x:c r="DX889" s="4"/>
      <x:c r="DY889" s="4"/>
      <x:c r="DZ889" s="4"/>
      <x:c r="EA889" s="4"/>
      <x:c r="EB889" s="4"/>
      <x:c r="EC889" s="4"/>
      <x:c r="ED889" s="4"/>
      <x:c r="EE889" s="4"/>
      <x:c r="EF889" s="4"/>
      <x:c r="EG889" s="4"/>
      <x:c r="EH889" s="4"/>
      <x:c r="EI889" s="4"/>
      <x:c r="EJ889" s="4"/>
      <x:c r="EK889" s="4"/>
      <x:c r="EL889" s="4"/>
      <x:c r="EM889" s="4"/>
      <x:c r="EN889" s="4"/>
      <x:c r="EO889" s="4"/>
      <x:c r="EP889" s="4"/>
      <x:c r="EQ889" s="4"/>
      <x:c r="ER889" s="4"/>
      <x:c r="ES889" s="4"/>
      <x:c r="ET889" s="4"/>
      <x:c r="EU889" s="4"/>
      <x:c r="EV889" s="4"/>
      <x:c r="EW889" s="4"/>
      <x:c r="EX889" s="4"/>
      <x:c r="EY889" s="4"/>
      <x:c r="EZ889" s="4"/>
      <x:c r="FA889" s="4"/>
      <x:c r="FB889" s="4"/>
      <x:c r="FC889" s="4"/>
      <x:c r="FD889" s="4"/>
      <x:c r="FE889" s="4"/>
      <x:c r="FF889" s="4"/>
      <x:c r="FG889" s="4"/>
      <x:c r="FH889" s="4"/>
      <x:c r="FI889" s="4"/>
      <x:c r="FJ889" s="4"/>
      <x:c r="FK889" s="4"/>
      <x:c r="FL889" s="4"/>
      <x:c r="FM889" s="4"/>
      <x:c r="FN889" s="4"/>
      <x:c r="FO889" s="4"/>
      <x:c r="JA889" t="n">
        <x:f>IF(OR(IFERROR(INDIRECT("'WCM Calibration Final'!$A$889")&lt;&gt;"",FALSE),IFERROR(INDIRECT("'WCM Calibration Final'!$B$889")&lt;&gt;"",FALSE),IFERROR(INDIRECT("'WCM Calibration Final'!$C$889")&lt;&gt;"",FALSE)),889,0)</x:f>
        <x:v>0</x:v>
      </x:c>
      <x:c r="JB889" t="n">
        <x:f>'Calculations'!JB888+IF('Calculations'!JA889&gt;0,1,0)</x:f>
        <x:v>0</x:v>
      </x:c>
    </x:row>
    <x:row r="890">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4"/>
      <x:c r="DQ890" s="4"/>
      <x:c r="DR890" s="4"/>
      <x:c r="DS890" s="4"/>
      <x:c r="DT890" s="4"/>
      <x:c r="DU890" s="4"/>
      <x:c r="DV890" s="4"/>
      <x:c r="DW890" s="4"/>
      <x:c r="DX890" s="4"/>
      <x:c r="DY890" s="4"/>
      <x:c r="DZ890" s="4"/>
      <x:c r="EA890" s="4"/>
      <x:c r="EB890" s="4"/>
      <x:c r="EC890" s="4"/>
      <x:c r="ED890" s="4"/>
      <x:c r="EE890" s="4"/>
      <x:c r="EF890" s="4"/>
      <x:c r="EG890" s="4"/>
      <x:c r="EH890" s="4"/>
      <x:c r="EI890" s="4"/>
      <x:c r="EJ890" s="4"/>
      <x:c r="EK890" s="4"/>
      <x:c r="EL890" s="4"/>
      <x:c r="EM890" s="4"/>
      <x:c r="EN890" s="4"/>
      <x:c r="EO890" s="4"/>
      <x:c r="EP890" s="4"/>
      <x:c r="EQ890" s="4"/>
      <x:c r="ER890" s="4"/>
      <x:c r="ES890" s="4"/>
      <x:c r="ET890" s="4"/>
      <x:c r="EU890" s="4"/>
      <x:c r="EV890" s="4"/>
      <x:c r="EW890" s="4"/>
      <x:c r="EX890" s="4"/>
      <x:c r="EY890" s="4"/>
      <x:c r="EZ890" s="4"/>
      <x:c r="FA890" s="4"/>
      <x:c r="FB890" s="4"/>
      <x:c r="FC890" s="4"/>
      <x:c r="FD890" s="4"/>
      <x:c r="FE890" s="4"/>
      <x:c r="FF890" s="4"/>
      <x:c r="FG890" s="4"/>
      <x:c r="FH890" s="4"/>
      <x:c r="FI890" s="4"/>
      <x:c r="FJ890" s="4"/>
      <x:c r="FK890" s="4"/>
      <x:c r="FL890" s="4"/>
      <x:c r="FM890" s="4"/>
      <x:c r="FN890" s="4"/>
      <x:c r="FO890" s="4"/>
      <x:c r="JA890" t="n">
        <x:f>IF(OR(IFERROR(INDIRECT("'WCM Calibration Final'!$A$890")&lt;&gt;"",FALSE),IFERROR(INDIRECT("'WCM Calibration Final'!$B$890")&lt;&gt;"",FALSE),IFERROR(INDIRECT("'WCM Calibration Final'!$C$890")&lt;&gt;"",FALSE)),890,0)</x:f>
        <x:v>0</x:v>
      </x:c>
      <x:c r="JB890" t="n">
        <x:f>'Calculations'!JB889+IF('Calculations'!JA890&gt;0,1,0)</x:f>
        <x:v>0</x:v>
      </x:c>
    </x:row>
    <x:row r="891">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4"/>
      <x:c r="DQ891" s="4"/>
      <x:c r="DR891" s="4"/>
      <x:c r="DS891" s="4"/>
      <x:c r="DT891" s="4"/>
      <x:c r="DU891" s="4"/>
      <x:c r="DV891" s="4"/>
      <x:c r="DW891" s="4"/>
      <x:c r="DX891" s="4"/>
      <x:c r="DY891" s="4"/>
      <x:c r="DZ891" s="4"/>
      <x:c r="EA891" s="4"/>
      <x:c r="EB891" s="4"/>
      <x:c r="EC891" s="4"/>
      <x:c r="ED891" s="4"/>
      <x:c r="EE891" s="4"/>
      <x:c r="EF891" s="4"/>
      <x:c r="EG891" s="4"/>
      <x:c r="EH891" s="4"/>
      <x:c r="EI891" s="4"/>
      <x:c r="EJ891" s="4"/>
      <x:c r="EK891" s="4"/>
      <x:c r="EL891" s="4"/>
      <x:c r="EM891" s="4"/>
      <x:c r="EN891" s="4"/>
      <x:c r="EO891" s="4"/>
      <x:c r="EP891" s="4"/>
      <x:c r="EQ891" s="4"/>
      <x:c r="ER891" s="4"/>
      <x:c r="ES891" s="4"/>
      <x:c r="ET891" s="4"/>
      <x:c r="EU891" s="4"/>
      <x:c r="EV891" s="4"/>
      <x:c r="EW891" s="4"/>
      <x:c r="EX891" s="4"/>
      <x:c r="EY891" s="4"/>
      <x:c r="EZ891" s="4"/>
      <x:c r="FA891" s="4"/>
      <x:c r="FB891" s="4"/>
      <x:c r="FC891" s="4"/>
      <x:c r="FD891" s="4"/>
      <x:c r="FE891" s="4"/>
      <x:c r="FF891" s="4"/>
      <x:c r="FG891" s="4"/>
      <x:c r="FH891" s="4"/>
      <x:c r="FI891" s="4"/>
      <x:c r="FJ891" s="4"/>
      <x:c r="FK891" s="4"/>
      <x:c r="FL891" s="4"/>
      <x:c r="FM891" s="4"/>
      <x:c r="FN891" s="4"/>
      <x:c r="FO891" s="4"/>
      <x:c r="JA891" t="n">
        <x:f>IF(OR(IFERROR(INDIRECT("'WCM Calibration Final'!$A$891")&lt;&gt;"",FALSE),IFERROR(INDIRECT("'WCM Calibration Final'!$B$891")&lt;&gt;"",FALSE),IFERROR(INDIRECT("'WCM Calibration Final'!$C$891")&lt;&gt;"",FALSE)),891,0)</x:f>
        <x:v>0</x:v>
      </x:c>
      <x:c r="JB891" t="n">
        <x:f>'Calculations'!JB890+IF('Calculations'!JA891&gt;0,1,0)</x:f>
        <x:v>0</x:v>
      </x:c>
    </x:row>
    <x:row r="892">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4"/>
      <x:c r="DQ892" s="4"/>
      <x:c r="DR892" s="4"/>
      <x:c r="DS892" s="4"/>
      <x:c r="DT892" s="4"/>
      <x:c r="DU892" s="4"/>
      <x:c r="DV892" s="4"/>
      <x:c r="DW892" s="4"/>
      <x:c r="DX892" s="4"/>
      <x:c r="DY892" s="4"/>
      <x:c r="DZ892" s="4"/>
      <x:c r="EA892" s="4"/>
      <x:c r="EB892" s="4"/>
      <x:c r="EC892" s="4"/>
      <x:c r="ED892" s="4"/>
      <x:c r="EE892" s="4"/>
      <x:c r="EF892" s="4"/>
      <x:c r="EG892" s="4"/>
      <x:c r="EH892" s="4"/>
      <x:c r="EI892" s="4"/>
      <x:c r="EJ892" s="4"/>
      <x:c r="EK892" s="4"/>
      <x:c r="EL892" s="4"/>
      <x:c r="EM892" s="4"/>
      <x:c r="EN892" s="4"/>
      <x:c r="EO892" s="4"/>
      <x:c r="EP892" s="4"/>
      <x:c r="EQ892" s="4"/>
      <x:c r="ER892" s="4"/>
      <x:c r="ES892" s="4"/>
      <x:c r="ET892" s="4"/>
      <x:c r="EU892" s="4"/>
      <x:c r="EV892" s="4"/>
      <x:c r="EW892" s="4"/>
      <x:c r="EX892" s="4"/>
      <x:c r="EY892" s="4"/>
      <x:c r="EZ892" s="4"/>
      <x:c r="FA892" s="4"/>
      <x:c r="FB892" s="4"/>
      <x:c r="FC892" s="4"/>
      <x:c r="FD892" s="4"/>
      <x:c r="FE892" s="4"/>
      <x:c r="FF892" s="4"/>
      <x:c r="FG892" s="4"/>
      <x:c r="FH892" s="4"/>
      <x:c r="FI892" s="4"/>
      <x:c r="FJ892" s="4"/>
      <x:c r="FK892" s="4"/>
      <x:c r="FL892" s="4"/>
      <x:c r="FM892" s="4"/>
      <x:c r="FN892" s="4"/>
      <x:c r="FO892" s="4"/>
      <x:c r="JA892" t="n">
        <x:f>IF(OR(IFERROR(INDIRECT("'WCM Calibration Final'!$A$892")&lt;&gt;"",FALSE),IFERROR(INDIRECT("'WCM Calibration Final'!$B$892")&lt;&gt;"",FALSE),IFERROR(INDIRECT("'WCM Calibration Final'!$C$892")&lt;&gt;"",FALSE)),892,0)</x:f>
        <x:v>0</x:v>
      </x:c>
      <x:c r="JB892" t="n">
        <x:f>'Calculations'!JB891+IF('Calculations'!JA892&gt;0,1,0)</x:f>
        <x:v>0</x:v>
      </x:c>
    </x:row>
    <x:row r="893">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4"/>
      <x:c r="DQ893" s="4"/>
      <x:c r="DR893" s="4"/>
      <x:c r="DS893" s="4"/>
      <x:c r="DT893" s="4"/>
      <x:c r="DU893" s="4"/>
      <x:c r="DV893" s="4"/>
      <x:c r="DW893" s="4"/>
      <x:c r="DX893" s="4"/>
      <x:c r="DY893" s="4"/>
      <x:c r="DZ893" s="4"/>
      <x:c r="EA893" s="4"/>
      <x:c r="EB893" s="4"/>
      <x:c r="EC893" s="4"/>
      <x:c r="ED893" s="4"/>
      <x:c r="EE893" s="4"/>
      <x:c r="EF893" s="4"/>
      <x:c r="EG893" s="4"/>
      <x:c r="EH893" s="4"/>
      <x:c r="EI893" s="4"/>
      <x:c r="EJ893" s="4"/>
      <x:c r="EK893" s="4"/>
      <x:c r="EL893" s="4"/>
      <x:c r="EM893" s="4"/>
      <x:c r="EN893" s="4"/>
      <x:c r="EO893" s="4"/>
      <x:c r="EP893" s="4"/>
      <x:c r="EQ893" s="4"/>
      <x:c r="ER893" s="4"/>
      <x:c r="ES893" s="4"/>
      <x:c r="ET893" s="4"/>
      <x:c r="EU893" s="4"/>
      <x:c r="EV893" s="4"/>
      <x:c r="EW893" s="4"/>
      <x:c r="EX893" s="4"/>
      <x:c r="EY893" s="4"/>
      <x:c r="EZ893" s="4"/>
      <x:c r="FA893" s="4"/>
      <x:c r="FB893" s="4"/>
      <x:c r="FC893" s="4"/>
      <x:c r="FD893" s="4"/>
      <x:c r="FE893" s="4"/>
      <x:c r="FF893" s="4"/>
      <x:c r="FG893" s="4"/>
      <x:c r="FH893" s="4"/>
      <x:c r="FI893" s="4"/>
      <x:c r="FJ893" s="4"/>
      <x:c r="FK893" s="4"/>
      <x:c r="FL893" s="4"/>
      <x:c r="FM893" s="4"/>
      <x:c r="FN893" s="4"/>
      <x:c r="FO893" s="4"/>
      <x:c r="JA893" t="n">
        <x:f>IF(OR(IFERROR(INDIRECT("'WCM Calibration Final'!$A$893")&lt;&gt;"",FALSE),IFERROR(INDIRECT("'WCM Calibration Final'!$B$893")&lt;&gt;"",FALSE),IFERROR(INDIRECT("'WCM Calibration Final'!$C$893")&lt;&gt;"",FALSE)),893,0)</x:f>
        <x:v>0</x:v>
      </x:c>
      <x:c r="JB893" t="n">
        <x:f>'Calculations'!JB892+IF('Calculations'!JA893&gt;0,1,0)</x:f>
        <x:v>0</x:v>
      </x:c>
    </x:row>
    <x:row r="894">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4"/>
      <x:c r="DQ894" s="4"/>
      <x:c r="DR894" s="4"/>
      <x:c r="DS894" s="4"/>
      <x:c r="DT894" s="4"/>
      <x:c r="DU894" s="4"/>
      <x:c r="DV894" s="4"/>
      <x:c r="DW894" s="4"/>
      <x:c r="DX894" s="4"/>
      <x:c r="DY894" s="4"/>
      <x:c r="DZ894" s="4"/>
      <x:c r="EA894" s="4"/>
      <x:c r="EB894" s="4"/>
      <x:c r="EC894" s="4"/>
      <x:c r="ED894" s="4"/>
      <x:c r="EE894" s="4"/>
      <x:c r="EF894" s="4"/>
      <x:c r="EG894" s="4"/>
      <x:c r="EH894" s="4"/>
      <x:c r="EI894" s="4"/>
      <x:c r="EJ894" s="4"/>
      <x:c r="EK894" s="4"/>
      <x:c r="EL894" s="4"/>
      <x:c r="EM894" s="4"/>
      <x:c r="EN894" s="4"/>
      <x:c r="EO894" s="4"/>
      <x:c r="EP894" s="4"/>
      <x:c r="EQ894" s="4"/>
      <x:c r="ER894" s="4"/>
      <x:c r="ES894" s="4"/>
      <x:c r="ET894" s="4"/>
      <x:c r="EU894" s="4"/>
      <x:c r="EV894" s="4"/>
      <x:c r="EW894" s="4"/>
      <x:c r="EX894" s="4"/>
      <x:c r="EY894" s="4"/>
      <x:c r="EZ894" s="4"/>
      <x:c r="FA894" s="4"/>
      <x:c r="FB894" s="4"/>
      <x:c r="FC894" s="4"/>
      <x:c r="FD894" s="4"/>
      <x:c r="FE894" s="4"/>
      <x:c r="FF894" s="4"/>
      <x:c r="FG894" s="4"/>
      <x:c r="FH894" s="4"/>
      <x:c r="FI894" s="4"/>
      <x:c r="FJ894" s="4"/>
      <x:c r="FK894" s="4"/>
      <x:c r="FL894" s="4"/>
      <x:c r="FM894" s="4"/>
      <x:c r="FN894" s="4"/>
      <x:c r="FO894" s="4"/>
      <x:c r="JA894" t="n">
        <x:f>IF(OR(IFERROR(INDIRECT("'WCM Calibration Final'!$A$894")&lt;&gt;"",FALSE),IFERROR(INDIRECT("'WCM Calibration Final'!$B$894")&lt;&gt;"",FALSE),IFERROR(INDIRECT("'WCM Calibration Final'!$C$894")&lt;&gt;"",FALSE)),894,0)</x:f>
        <x:v>0</x:v>
      </x:c>
      <x:c r="JB894" t="n">
        <x:f>'Calculations'!JB893+IF('Calculations'!JA894&gt;0,1,0)</x:f>
        <x:v>0</x:v>
      </x:c>
    </x:row>
    <x:row r="895">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4"/>
      <x:c r="DQ895" s="4"/>
      <x:c r="DR895" s="4"/>
      <x:c r="DS895" s="4"/>
      <x:c r="DT895" s="4"/>
      <x:c r="DU895" s="4"/>
      <x:c r="DV895" s="4"/>
      <x:c r="DW895" s="4"/>
      <x:c r="DX895" s="4"/>
      <x:c r="DY895" s="4"/>
      <x:c r="DZ895" s="4"/>
      <x:c r="EA895" s="4"/>
      <x:c r="EB895" s="4"/>
      <x:c r="EC895" s="4"/>
      <x:c r="ED895" s="4"/>
      <x:c r="EE895" s="4"/>
      <x:c r="EF895" s="4"/>
      <x:c r="EG895" s="4"/>
      <x:c r="EH895" s="4"/>
      <x:c r="EI895" s="4"/>
      <x:c r="EJ895" s="4"/>
      <x:c r="EK895" s="4"/>
      <x:c r="EL895" s="4"/>
      <x:c r="EM895" s="4"/>
      <x:c r="EN895" s="4"/>
      <x:c r="EO895" s="4"/>
      <x:c r="EP895" s="4"/>
      <x:c r="EQ895" s="4"/>
      <x:c r="ER895" s="4"/>
      <x:c r="ES895" s="4"/>
      <x:c r="ET895" s="4"/>
      <x:c r="EU895" s="4"/>
      <x:c r="EV895" s="4"/>
      <x:c r="EW895" s="4"/>
      <x:c r="EX895" s="4"/>
      <x:c r="EY895" s="4"/>
      <x:c r="EZ895" s="4"/>
      <x:c r="FA895" s="4"/>
      <x:c r="FB895" s="4"/>
      <x:c r="FC895" s="4"/>
      <x:c r="FD895" s="4"/>
      <x:c r="FE895" s="4"/>
      <x:c r="FF895" s="4"/>
      <x:c r="FG895" s="4"/>
      <x:c r="FH895" s="4"/>
      <x:c r="FI895" s="4"/>
      <x:c r="FJ895" s="4"/>
      <x:c r="FK895" s="4"/>
      <x:c r="FL895" s="4"/>
      <x:c r="FM895" s="4"/>
      <x:c r="FN895" s="4"/>
      <x:c r="FO895" s="4"/>
      <x:c r="JA895" t="n">
        <x:f>IF(OR(IFERROR(INDIRECT("'WCM Calibration Final'!$A$895")&lt;&gt;"",FALSE),IFERROR(INDIRECT("'WCM Calibration Final'!$B$895")&lt;&gt;"",FALSE),IFERROR(INDIRECT("'WCM Calibration Final'!$C$895")&lt;&gt;"",FALSE)),895,0)</x:f>
        <x:v>0</x:v>
      </x:c>
      <x:c r="JB895" t="n">
        <x:f>'Calculations'!JB894+IF('Calculations'!JA895&gt;0,1,0)</x:f>
        <x:v>0</x:v>
      </x:c>
    </x:row>
    <x:row r="896">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4"/>
      <x:c r="DQ896" s="4"/>
      <x:c r="DR896" s="4"/>
      <x:c r="DS896" s="4"/>
      <x:c r="DT896" s="4"/>
      <x:c r="DU896" s="4"/>
      <x:c r="DV896" s="4"/>
      <x:c r="DW896" s="4"/>
      <x:c r="DX896" s="4"/>
      <x:c r="DY896" s="4"/>
      <x:c r="DZ896" s="4"/>
      <x:c r="EA896" s="4"/>
      <x:c r="EB896" s="4"/>
      <x:c r="EC896" s="4"/>
      <x:c r="ED896" s="4"/>
      <x:c r="EE896" s="4"/>
      <x:c r="EF896" s="4"/>
      <x:c r="EG896" s="4"/>
      <x:c r="EH896" s="4"/>
      <x:c r="EI896" s="4"/>
      <x:c r="EJ896" s="4"/>
      <x:c r="EK896" s="4"/>
      <x:c r="EL896" s="4"/>
      <x:c r="EM896" s="4"/>
      <x:c r="EN896" s="4"/>
      <x:c r="EO896" s="4"/>
      <x:c r="EP896" s="4"/>
      <x:c r="EQ896" s="4"/>
      <x:c r="ER896" s="4"/>
      <x:c r="ES896" s="4"/>
      <x:c r="ET896" s="4"/>
      <x:c r="EU896" s="4"/>
      <x:c r="EV896" s="4"/>
      <x:c r="EW896" s="4"/>
      <x:c r="EX896" s="4"/>
      <x:c r="EY896" s="4"/>
      <x:c r="EZ896" s="4"/>
      <x:c r="FA896" s="4"/>
      <x:c r="FB896" s="4"/>
      <x:c r="FC896" s="4"/>
      <x:c r="FD896" s="4"/>
      <x:c r="FE896" s="4"/>
      <x:c r="FF896" s="4"/>
      <x:c r="FG896" s="4"/>
      <x:c r="FH896" s="4"/>
      <x:c r="FI896" s="4"/>
      <x:c r="FJ896" s="4"/>
      <x:c r="FK896" s="4"/>
      <x:c r="FL896" s="4"/>
      <x:c r="FM896" s="4"/>
      <x:c r="FN896" s="4"/>
      <x:c r="FO896" s="4"/>
      <x:c r="JA896" t="n">
        <x:f>IF(OR(IFERROR(INDIRECT("'WCM Calibration Final'!$A$896")&lt;&gt;"",FALSE),IFERROR(INDIRECT("'WCM Calibration Final'!$B$896")&lt;&gt;"",FALSE),IFERROR(INDIRECT("'WCM Calibration Final'!$C$896")&lt;&gt;"",FALSE)),896,0)</x:f>
        <x:v>0</x:v>
      </x:c>
      <x:c r="JB896" t="n">
        <x:f>'Calculations'!JB895+IF('Calculations'!JA896&gt;0,1,0)</x:f>
        <x:v>0</x:v>
      </x:c>
    </x:row>
    <x:row r="897">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4"/>
      <x:c r="DQ897" s="4"/>
      <x:c r="DR897" s="4"/>
      <x:c r="DS897" s="4"/>
      <x:c r="DT897" s="4"/>
      <x:c r="DU897" s="4"/>
      <x:c r="DV897" s="4"/>
      <x:c r="DW897" s="4"/>
      <x:c r="DX897" s="4"/>
      <x:c r="DY897" s="4"/>
      <x:c r="DZ897" s="4"/>
      <x:c r="EA897" s="4"/>
      <x:c r="EB897" s="4"/>
      <x:c r="EC897" s="4"/>
      <x:c r="ED897" s="4"/>
      <x:c r="EE897" s="4"/>
      <x:c r="EF897" s="4"/>
      <x:c r="EG897" s="4"/>
      <x:c r="EH897" s="4"/>
      <x:c r="EI897" s="4"/>
      <x:c r="EJ897" s="4"/>
      <x:c r="EK897" s="4"/>
      <x:c r="EL897" s="4"/>
      <x:c r="EM897" s="4"/>
      <x:c r="EN897" s="4"/>
      <x:c r="EO897" s="4"/>
      <x:c r="EP897" s="4"/>
      <x:c r="EQ897" s="4"/>
      <x:c r="ER897" s="4"/>
      <x:c r="ES897" s="4"/>
      <x:c r="ET897" s="4"/>
      <x:c r="EU897" s="4"/>
      <x:c r="EV897" s="4"/>
      <x:c r="EW897" s="4"/>
      <x:c r="EX897" s="4"/>
      <x:c r="EY897" s="4"/>
      <x:c r="EZ897" s="4"/>
      <x:c r="FA897" s="4"/>
      <x:c r="FB897" s="4"/>
      <x:c r="FC897" s="4"/>
      <x:c r="FD897" s="4"/>
      <x:c r="FE897" s="4"/>
      <x:c r="FF897" s="4"/>
      <x:c r="FG897" s="4"/>
      <x:c r="FH897" s="4"/>
      <x:c r="FI897" s="4"/>
      <x:c r="FJ897" s="4"/>
      <x:c r="FK897" s="4"/>
      <x:c r="FL897" s="4"/>
      <x:c r="FM897" s="4"/>
      <x:c r="FN897" s="4"/>
      <x:c r="FO897" s="4"/>
      <x:c r="JA897" t="n">
        <x:f>IF(OR(IFERROR(INDIRECT("'WCM Calibration Final'!$A$897")&lt;&gt;"",FALSE),IFERROR(INDIRECT("'WCM Calibration Final'!$B$897")&lt;&gt;"",FALSE),IFERROR(INDIRECT("'WCM Calibration Final'!$C$897")&lt;&gt;"",FALSE)),897,0)</x:f>
        <x:v>0</x:v>
      </x:c>
      <x:c r="JB897" t="n">
        <x:f>'Calculations'!JB896+IF('Calculations'!JA897&gt;0,1,0)</x:f>
        <x:v>0</x:v>
      </x:c>
    </x:row>
    <x:row r="898">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4"/>
      <x:c r="DQ898" s="4"/>
      <x:c r="DR898" s="4"/>
      <x:c r="DS898" s="4"/>
      <x:c r="DT898" s="4"/>
      <x:c r="DU898" s="4"/>
      <x:c r="DV898" s="4"/>
      <x:c r="DW898" s="4"/>
      <x:c r="DX898" s="4"/>
      <x:c r="DY898" s="4"/>
      <x:c r="DZ898" s="4"/>
      <x:c r="EA898" s="4"/>
      <x:c r="EB898" s="4"/>
      <x:c r="EC898" s="4"/>
      <x:c r="ED898" s="4"/>
      <x:c r="EE898" s="4"/>
      <x:c r="EF898" s="4"/>
      <x:c r="EG898" s="4"/>
      <x:c r="EH898" s="4"/>
      <x:c r="EI898" s="4"/>
      <x:c r="EJ898" s="4"/>
      <x:c r="EK898" s="4"/>
      <x:c r="EL898" s="4"/>
      <x:c r="EM898" s="4"/>
      <x:c r="EN898" s="4"/>
      <x:c r="EO898" s="4"/>
      <x:c r="EP898" s="4"/>
      <x:c r="EQ898" s="4"/>
      <x:c r="ER898" s="4"/>
      <x:c r="ES898" s="4"/>
      <x:c r="ET898" s="4"/>
      <x:c r="EU898" s="4"/>
      <x:c r="EV898" s="4"/>
      <x:c r="EW898" s="4"/>
      <x:c r="EX898" s="4"/>
      <x:c r="EY898" s="4"/>
      <x:c r="EZ898" s="4"/>
      <x:c r="FA898" s="4"/>
      <x:c r="FB898" s="4"/>
      <x:c r="FC898" s="4"/>
      <x:c r="FD898" s="4"/>
      <x:c r="FE898" s="4"/>
      <x:c r="FF898" s="4"/>
      <x:c r="FG898" s="4"/>
      <x:c r="FH898" s="4"/>
      <x:c r="FI898" s="4"/>
      <x:c r="FJ898" s="4"/>
      <x:c r="FK898" s="4"/>
      <x:c r="FL898" s="4"/>
      <x:c r="FM898" s="4"/>
      <x:c r="FN898" s="4"/>
      <x:c r="FO898" s="4"/>
      <x:c r="JA898" t="n">
        <x:f>IF(OR(IFERROR(INDIRECT("'WCM Calibration Final'!$A$898")&lt;&gt;"",FALSE),IFERROR(INDIRECT("'WCM Calibration Final'!$B$898")&lt;&gt;"",FALSE),IFERROR(INDIRECT("'WCM Calibration Final'!$C$898")&lt;&gt;"",FALSE)),898,0)</x:f>
        <x:v>0</x:v>
      </x:c>
      <x:c r="JB898" t="n">
        <x:f>'Calculations'!JB897+IF('Calculations'!JA898&gt;0,1,0)</x:f>
        <x:v>0</x:v>
      </x:c>
    </x:row>
    <x:row r="899">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4"/>
      <x:c r="DQ899" s="4"/>
      <x:c r="DR899" s="4"/>
      <x:c r="DS899" s="4"/>
      <x:c r="DT899" s="4"/>
      <x:c r="DU899" s="4"/>
      <x:c r="DV899" s="4"/>
      <x:c r="DW899" s="4"/>
      <x:c r="DX899" s="4"/>
      <x:c r="DY899" s="4"/>
      <x:c r="DZ899" s="4"/>
      <x:c r="EA899" s="4"/>
      <x:c r="EB899" s="4"/>
      <x:c r="EC899" s="4"/>
      <x:c r="ED899" s="4"/>
      <x:c r="EE899" s="4"/>
      <x:c r="EF899" s="4"/>
      <x:c r="EG899" s="4"/>
      <x:c r="EH899" s="4"/>
      <x:c r="EI899" s="4"/>
      <x:c r="EJ899" s="4"/>
      <x:c r="EK899" s="4"/>
      <x:c r="EL899" s="4"/>
      <x:c r="EM899" s="4"/>
      <x:c r="EN899" s="4"/>
      <x:c r="EO899" s="4"/>
      <x:c r="EP899" s="4"/>
      <x:c r="EQ899" s="4"/>
      <x:c r="ER899" s="4"/>
      <x:c r="ES899" s="4"/>
      <x:c r="ET899" s="4"/>
      <x:c r="EU899" s="4"/>
      <x:c r="EV899" s="4"/>
      <x:c r="EW899" s="4"/>
      <x:c r="EX899" s="4"/>
      <x:c r="EY899" s="4"/>
      <x:c r="EZ899" s="4"/>
      <x:c r="FA899" s="4"/>
      <x:c r="FB899" s="4"/>
      <x:c r="FC899" s="4"/>
      <x:c r="FD899" s="4"/>
      <x:c r="FE899" s="4"/>
      <x:c r="FF899" s="4"/>
      <x:c r="FG899" s="4"/>
      <x:c r="FH899" s="4"/>
      <x:c r="FI899" s="4"/>
      <x:c r="FJ899" s="4"/>
      <x:c r="FK899" s="4"/>
      <x:c r="FL899" s="4"/>
      <x:c r="FM899" s="4"/>
      <x:c r="FN899" s="4"/>
      <x:c r="FO899" s="4"/>
      <x:c r="JA899" t="n">
        <x:f>IF(OR(IFERROR(INDIRECT("'WCM Calibration Final'!$A$899")&lt;&gt;"",FALSE),IFERROR(INDIRECT("'WCM Calibration Final'!$B$899")&lt;&gt;"",FALSE),IFERROR(INDIRECT("'WCM Calibration Final'!$C$899")&lt;&gt;"",FALSE)),899,0)</x:f>
        <x:v>0</x:v>
      </x:c>
      <x:c r="JB899" t="n">
        <x:f>'Calculations'!JB898+IF('Calculations'!JA899&gt;0,1,0)</x:f>
        <x:v>0</x:v>
      </x:c>
    </x:row>
    <x:row r="900">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4"/>
      <x:c r="DQ900" s="4"/>
      <x:c r="DR900" s="4"/>
      <x:c r="DS900" s="4"/>
      <x:c r="DT900" s="4"/>
      <x:c r="DU900" s="4"/>
      <x:c r="DV900" s="4"/>
      <x:c r="DW900" s="4"/>
      <x:c r="DX900" s="4"/>
      <x:c r="DY900" s="4"/>
      <x:c r="DZ900" s="4"/>
      <x:c r="EA900" s="4"/>
      <x:c r="EB900" s="4"/>
      <x:c r="EC900" s="4"/>
      <x:c r="ED900" s="4"/>
      <x:c r="EE900" s="4"/>
      <x:c r="EF900" s="4"/>
      <x:c r="EG900" s="4"/>
      <x:c r="EH900" s="4"/>
      <x:c r="EI900" s="4"/>
      <x:c r="EJ900" s="4"/>
      <x:c r="EK900" s="4"/>
      <x:c r="EL900" s="4"/>
      <x:c r="EM900" s="4"/>
      <x:c r="EN900" s="4"/>
      <x:c r="EO900" s="4"/>
      <x:c r="EP900" s="4"/>
      <x:c r="EQ900" s="4"/>
      <x:c r="ER900" s="4"/>
      <x:c r="ES900" s="4"/>
      <x:c r="ET900" s="4"/>
      <x:c r="EU900" s="4"/>
      <x:c r="EV900" s="4"/>
      <x:c r="EW900" s="4"/>
      <x:c r="EX900" s="4"/>
      <x:c r="EY900" s="4"/>
      <x:c r="EZ900" s="4"/>
      <x:c r="FA900" s="4"/>
      <x:c r="FB900" s="4"/>
      <x:c r="FC900" s="4"/>
      <x:c r="FD900" s="4"/>
      <x:c r="FE900" s="4"/>
      <x:c r="FF900" s="4"/>
      <x:c r="FG900" s="4"/>
      <x:c r="FH900" s="4"/>
      <x:c r="FI900" s="4"/>
      <x:c r="FJ900" s="4"/>
      <x:c r="FK900" s="4"/>
      <x:c r="FL900" s="4"/>
      <x:c r="FM900" s="4"/>
      <x:c r="FN900" s="4"/>
      <x:c r="FO900" s="4"/>
      <x:c r="JA900" t="n">
        <x:f>IF(OR(IFERROR(INDIRECT("'WCM Calibration Final'!$A$900")&lt;&gt;"",FALSE),IFERROR(INDIRECT("'WCM Calibration Final'!$B$900")&lt;&gt;"",FALSE),IFERROR(INDIRECT("'WCM Calibration Final'!$C$900")&lt;&gt;"",FALSE)),900,0)</x:f>
        <x:v>0</x:v>
      </x:c>
      <x:c r="JB900" t="n">
        <x:f>'Calculations'!JB899+IF('Calculations'!JA900&gt;0,1,0)</x:f>
        <x:v>0</x:v>
      </x:c>
    </x:row>
    <x:row r="901">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4"/>
      <x:c r="DQ901" s="4"/>
      <x:c r="DR901" s="4"/>
      <x:c r="DS901" s="4"/>
      <x:c r="DT901" s="4"/>
      <x:c r="DU901" s="4"/>
      <x:c r="DV901" s="4"/>
      <x:c r="DW901" s="4"/>
      <x:c r="DX901" s="4"/>
      <x:c r="DY901" s="4"/>
      <x:c r="DZ901" s="4"/>
      <x:c r="EA901" s="4"/>
      <x:c r="EB901" s="4"/>
      <x:c r="EC901" s="4"/>
      <x:c r="ED901" s="4"/>
      <x:c r="EE901" s="4"/>
      <x:c r="EF901" s="4"/>
      <x:c r="EG901" s="4"/>
      <x:c r="EH901" s="4"/>
      <x:c r="EI901" s="4"/>
      <x:c r="EJ901" s="4"/>
      <x:c r="EK901" s="4"/>
      <x:c r="EL901" s="4"/>
      <x:c r="EM901" s="4"/>
      <x:c r="EN901" s="4"/>
      <x:c r="EO901" s="4"/>
      <x:c r="EP901" s="4"/>
      <x:c r="EQ901" s="4"/>
      <x:c r="ER901" s="4"/>
      <x:c r="ES901" s="4"/>
      <x:c r="ET901" s="4"/>
      <x:c r="EU901" s="4"/>
      <x:c r="EV901" s="4"/>
      <x:c r="EW901" s="4"/>
      <x:c r="EX901" s="4"/>
      <x:c r="EY901" s="4"/>
      <x:c r="EZ901" s="4"/>
      <x:c r="FA901" s="4"/>
      <x:c r="FB901" s="4"/>
      <x:c r="FC901" s="4"/>
      <x:c r="FD901" s="4"/>
      <x:c r="FE901" s="4"/>
      <x:c r="FF901" s="4"/>
      <x:c r="FG901" s="4"/>
      <x:c r="FH901" s="4"/>
      <x:c r="FI901" s="4"/>
      <x:c r="FJ901" s="4"/>
      <x:c r="FK901" s="4"/>
      <x:c r="FL901" s="4"/>
      <x:c r="FM901" s="4"/>
      <x:c r="FN901" s="4"/>
      <x:c r="FO901" s="4"/>
      <x:c r="JA901" t="n">
        <x:f>IF(OR(IFERROR(INDIRECT("'WCM Calibration Final'!$A$901")&lt;&gt;"",FALSE),IFERROR(INDIRECT("'WCM Calibration Final'!$B$901")&lt;&gt;"",FALSE),IFERROR(INDIRECT("'WCM Calibration Final'!$C$901")&lt;&gt;"",FALSE)),901,0)</x:f>
        <x:v>0</x:v>
      </x:c>
      <x:c r="JB901" t="n">
        <x:f>'Calculations'!JB900+IF('Calculations'!JA901&gt;0,1,0)</x:f>
        <x:v>0</x:v>
      </x:c>
    </x:row>
    <x:row r="902">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4"/>
      <x:c r="DQ902" s="4"/>
      <x:c r="DR902" s="4"/>
      <x:c r="DS902" s="4"/>
      <x:c r="DT902" s="4"/>
      <x:c r="DU902" s="4"/>
      <x:c r="DV902" s="4"/>
      <x:c r="DW902" s="4"/>
      <x:c r="DX902" s="4"/>
      <x:c r="DY902" s="4"/>
      <x:c r="DZ902" s="4"/>
      <x:c r="EA902" s="4"/>
      <x:c r="EB902" s="4"/>
      <x:c r="EC902" s="4"/>
      <x:c r="ED902" s="4"/>
      <x:c r="EE902" s="4"/>
      <x:c r="EF902" s="4"/>
      <x:c r="EG902" s="4"/>
      <x:c r="EH902" s="4"/>
      <x:c r="EI902" s="4"/>
      <x:c r="EJ902" s="4"/>
      <x:c r="EK902" s="4"/>
      <x:c r="EL902" s="4"/>
      <x:c r="EM902" s="4"/>
      <x:c r="EN902" s="4"/>
      <x:c r="EO902" s="4"/>
      <x:c r="EP902" s="4"/>
      <x:c r="EQ902" s="4"/>
      <x:c r="ER902" s="4"/>
      <x:c r="ES902" s="4"/>
      <x:c r="ET902" s="4"/>
      <x:c r="EU902" s="4"/>
      <x:c r="EV902" s="4"/>
      <x:c r="EW902" s="4"/>
      <x:c r="EX902" s="4"/>
      <x:c r="EY902" s="4"/>
      <x:c r="EZ902" s="4"/>
      <x:c r="FA902" s="4"/>
      <x:c r="FB902" s="4"/>
      <x:c r="FC902" s="4"/>
      <x:c r="FD902" s="4"/>
      <x:c r="FE902" s="4"/>
      <x:c r="FF902" s="4"/>
      <x:c r="FG902" s="4"/>
      <x:c r="FH902" s="4"/>
      <x:c r="FI902" s="4"/>
      <x:c r="FJ902" s="4"/>
      <x:c r="FK902" s="4"/>
      <x:c r="FL902" s="4"/>
      <x:c r="FM902" s="4"/>
      <x:c r="FN902" s="4"/>
      <x:c r="FO902" s="4"/>
      <x:c r="JA902" t="n">
        <x:f>IF(OR(IFERROR(INDIRECT("'WCM Calibration Final'!$A$902")&lt;&gt;"",FALSE),IFERROR(INDIRECT("'WCM Calibration Final'!$B$902")&lt;&gt;"",FALSE),IFERROR(INDIRECT("'WCM Calibration Final'!$C$902")&lt;&gt;"",FALSE)),902,0)</x:f>
        <x:v>0</x:v>
      </x:c>
      <x:c r="JB902" t="n">
        <x:f>'Calculations'!JB901+IF('Calculations'!JA902&gt;0,1,0)</x:f>
        <x:v>0</x:v>
      </x:c>
    </x:row>
    <x:row r="903">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4"/>
      <x:c r="DQ903" s="4"/>
      <x:c r="DR903" s="4"/>
      <x:c r="DS903" s="4"/>
      <x:c r="DT903" s="4"/>
      <x:c r="DU903" s="4"/>
      <x:c r="DV903" s="4"/>
      <x:c r="DW903" s="4"/>
      <x:c r="DX903" s="4"/>
      <x:c r="DY903" s="4"/>
      <x:c r="DZ903" s="4"/>
      <x:c r="EA903" s="4"/>
      <x:c r="EB903" s="4"/>
      <x:c r="EC903" s="4"/>
      <x:c r="ED903" s="4"/>
      <x:c r="EE903" s="4"/>
      <x:c r="EF903" s="4"/>
      <x:c r="EG903" s="4"/>
      <x:c r="EH903" s="4"/>
      <x:c r="EI903" s="4"/>
      <x:c r="EJ903" s="4"/>
      <x:c r="EK903" s="4"/>
      <x:c r="EL903" s="4"/>
      <x:c r="EM903" s="4"/>
      <x:c r="EN903" s="4"/>
      <x:c r="EO903" s="4"/>
      <x:c r="EP903" s="4"/>
      <x:c r="EQ903" s="4"/>
      <x:c r="ER903" s="4"/>
      <x:c r="ES903" s="4"/>
      <x:c r="ET903" s="4"/>
      <x:c r="EU903" s="4"/>
      <x:c r="EV903" s="4"/>
      <x:c r="EW903" s="4"/>
      <x:c r="EX903" s="4"/>
      <x:c r="EY903" s="4"/>
      <x:c r="EZ903" s="4"/>
      <x:c r="FA903" s="4"/>
      <x:c r="FB903" s="4"/>
      <x:c r="FC903" s="4"/>
      <x:c r="FD903" s="4"/>
      <x:c r="FE903" s="4"/>
      <x:c r="FF903" s="4"/>
      <x:c r="FG903" s="4"/>
      <x:c r="FH903" s="4"/>
      <x:c r="FI903" s="4"/>
      <x:c r="FJ903" s="4"/>
      <x:c r="FK903" s="4"/>
      <x:c r="FL903" s="4"/>
      <x:c r="FM903" s="4"/>
      <x:c r="FN903" s="4"/>
      <x:c r="FO903" s="4"/>
      <x:c r="JA903" t="n">
        <x:f>IF(OR(IFERROR(INDIRECT("'WCM Calibration Final'!$A$903")&lt;&gt;"",FALSE),IFERROR(INDIRECT("'WCM Calibration Final'!$B$903")&lt;&gt;"",FALSE),IFERROR(INDIRECT("'WCM Calibration Final'!$C$903")&lt;&gt;"",FALSE)),903,0)</x:f>
        <x:v>0</x:v>
      </x:c>
      <x:c r="JB903" t="n">
        <x:f>'Calculations'!JB902+IF('Calculations'!JA903&gt;0,1,0)</x:f>
        <x:v>0</x:v>
      </x:c>
    </x:row>
    <x:row r="904">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4"/>
      <x:c r="DQ904" s="4"/>
      <x:c r="DR904" s="4"/>
      <x:c r="DS904" s="4"/>
      <x:c r="DT904" s="4"/>
      <x:c r="DU904" s="4"/>
      <x:c r="DV904" s="4"/>
      <x:c r="DW904" s="4"/>
      <x:c r="DX904" s="4"/>
      <x:c r="DY904" s="4"/>
      <x:c r="DZ904" s="4"/>
      <x:c r="EA904" s="4"/>
      <x:c r="EB904" s="4"/>
      <x:c r="EC904" s="4"/>
      <x:c r="ED904" s="4"/>
      <x:c r="EE904" s="4"/>
      <x:c r="EF904" s="4"/>
      <x:c r="EG904" s="4"/>
      <x:c r="EH904" s="4"/>
      <x:c r="EI904" s="4"/>
      <x:c r="EJ904" s="4"/>
      <x:c r="EK904" s="4"/>
      <x:c r="EL904" s="4"/>
      <x:c r="EM904" s="4"/>
      <x:c r="EN904" s="4"/>
      <x:c r="EO904" s="4"/>
      <x:c r="EP904" s="4"/>
      <x:c r="EQ904" s="4"/>
      <x:c r="ER904" s="4"/>
      <x:c r="ES904" s="4"/>
      <x:c r="ET904" s="4"/>
      <x:c r="EU904" s="4"/>
      <x:c r="EV904" s="4"/>
      <x:c r="EW904" s="4"/>
      <x:c r="EX904" s="4"/>
      <x:c r="EY904" s="4"/>
      <x:c r="EZ904" s="4"/>
      <x:c r="FA904" s="4"/>
      <x:c r="FB904" s="4"/>
      <x:c r="FC904" s="4"/>
      <x:c r="FD904" s="4"/>
      <x:c r="FE904" s="4"/>
      <x:c r="FF904" s="4"/>
      <x:c r="FG904" s="4"/>
      <x:c r="FH904" s="4"/>
      <x:c r="FI904" s="4"/>
      <x:c r="FJ904" s="4"/>
      <x:c r="FK904" s="4"/>
      <x:c r="FL904" s="4"/>
      <x:c r="FM904" s="4"/>
      <x:c r="FN904" s="4"/>
      <x:c r="FO904" s="4"/>
      <x:c r="JA904" t="n">
        <x:f>IF(OR(IFERROR(INDIRECT("'WCM Calibration Final'!$A$904")&lt;&gt;"",FALSE),IFERROR(INDIRECT("'WCM Calibration Final'!$B$904")&lt;&gt;"",FALSE),IFERROR(INDIRECT("'WCM Calibration Final'!$C$904")&lt;&gt;"",FALSE)),904,0)</x:f>
        <x:v>0</x:v>
      </x:c>
      <x:c r="JB904" t="n">
        <x:f>'Calculations'!JB903+IF('Calculations'!JA904&gt;0,1,0)</x:f>
        <x:v>0</x:v>
      </x:c>
    </x:row>
    <x:row r="905">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4"/>
      <x:c r="DQ905" s="4"/>
      <x:c r="DR905" s="4"/>
      <x:c r="DS905" s="4"/>
      <x:c r="DT905" s="4"/>
      <x:c r="DU905" s="4"/>
      <x:c r="DV905" s="4"/>
      <x:c r="DW905" s="4"/>
      <x:c r="DX905" s="4"/>
      <x:c r="DY905" s="4"/>
      <x:c r="DZ905" s="4"/>
      <x:c r="EA905" s="4"/>
      <x:c r="EB905" s="4"/>
      <x:c r="EC905" s="4"/>
      <x:c r="ED905" s="4"/>
      <x:c r="EE905" s="4"/>
      <x:c r="EF905" s="4"/>
      <x:c r="EG905" s="4"/>
      <x:c r="EH905" s="4"/>
      <x:c r="EI905" s="4"/>
      <x:c r="EJ905" s="4"/>
      <x:c r="EK905" s="4"/>
      <x:c r="EL905" s="4"/>
      <x:c r="EM905" s="4"/>
      <x:c r="EN905" s="4"/>
      <x:c r="EO905" s="4"/>
      <x:c r="EP905" s="4"/>
      <x:c r="EQ905" s="4"/>
      <x:c r="ER905" s="4"/>
      <x:c r="ES905" s="4"/>
      <x:c r="ET905" s="4"/>
      <x:c r="EU905" s="4"/>
      <x:c r="EV905" s="4"/>
      <x:c r="EW905" s="4"/>
      <x:c r="EX905" s="4"/>
      <x:c r="EY905" s="4"/>
      <x:c r="EZ905" s="4"/>
      <x:c r="FA905" s="4"/>
      <x:c r="FB905" s="4"/>
      <x:c r="FC905" s="4"/>
      <x:c r="FD905" s="4"/>
      <x:c r="FE905" s="4"/>
      <x:c r="FF905" s="4"/>
      <x:c r="FG905" s="4"/>
      <x:c r="FH905" s="4"/>
      <x:c r="FI905" s="4"/>
      <x:c r="FJ905" s="4"/>
      <x:c r="FK905" s="4"/>
      <x:c r="FL905" s="4"/>
      <x:c r="FM905" s="4"/>
      <x:c r="FN905" s="4"/>
      <x:c r="FO905" s="4"/>
      <x:c r="JA905" t="n">
        <x:f>IF(OR(IFERROR(INDIRECT("'WCM Calibration Final'!$A$905")&lt;&gt;"",FALSE),IFERROR(INDIRECT("'WCM Calibration Final'!$B$905")&lt;&gt;"",FALSE),IFERROR(INDIRECT("'WCM Calibration Final'!$C$905")&lt;&gt;"",FALSE)),905,0)</x:f>
        <x:v>0</x:v>
      </x:c>
      <x:c r="JB905" t="n">
        <x:f>'Calculations'!JB904+IF('Calculations'!JA905&gt;0,1,0)</x:f>
        <x:v>0</x:v>
      </x:c>
    </x:row>
    <x:row r="906">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4"/>
      <x:c r="DQ906" s="4"/>
      <x:c r="DR906" s="4"/>
      <x:c r="DS906" s="4"/>
      <x:c r="DT906" s="4"/>
      <x:c r="DU906" s="4"/>
      <x:c r="DV906" s="4"/>
      <x:c r="DW906" s="4"/>
      <x:c r="DX906" s="4"/>
      <x:c r="DY906" s="4"/>
      <x:c r="DZ906" s="4"/>
      <x:c r="EA906" s="4"/>
      <x:c r="EB906" s="4"/>
      <x:c r="EC906" s="4"/>
      <x:c r="ED906" s="4"/>
      <x:c r="EE906" s="4"/>
      <x:c r="EF906" s="4"/>
      <x:c r="EG906" s="4"/>
      <x:c r="EH906" s="4"/>
      <x:c r="EI906" s="4"/>
      <x:c r="EJ906" s="4"/>
      <x:c r="EK906" s="4"/>
      <x:c r="EL906" s="4"/>
      <x:c r="EM906" s="4"/>
      <x:c r="EN906" s="4"/>
      <x:c r="EO906" s="4"/>
      <x:c r="EP906" s="4"/>
      <x:c r="EQ906" s="4"/>
      <x:c r="ER906" s="4"/>
      <x:c r="ES906" s="4"/>
      <x:c r="ET906" s="4"/>
      <x:c r="EU906" s="4"/>
      <x:c r="EV906" s="4"/>
      <x:c r="EW906" s="4"/>
      <x:c r="EX906" s="4"/>
      <x:c r="EY906" s="4"/>
      <x:c r="EZ906" s="4"/>
      <x:c r="FA906" s="4"/>
      <x:c r="FB906" s="4"/>
      <x:c r="FC906" s="4"/>
      <x:c r="FD906" s="4"/>
      <x:c r="FE906" s="4"/>
      <x:c r="FF906" s="4"/>
      <x:c r="FG906" s="4"/>
      <x:c r="FH906" s="4"/>
      <x:c r="FI906" s="4"/>
      <x:c r="FJ906" s="4"/>
      <x:c r="FK906" s="4"/>
      <x:c r="FL906" s="4"/>
      <x:c r="FM906" s="4"/>
      <x:c r="FN906" s="4"/>
      <x:c r="FO906" s="4"/>
      <x:c r="JA906" t="n">
        <x:f>IF(OR(IFERROR(INDIRECT("'WCM Calibration Final'!$A$906")&lt;&gt;"",FALSE),IFERROR(INDIRECT("'WCM Calibration Final'!$B$906")&lt;&gt;"",FALSE),IFERROR(INDIRECT("'WCM Calibration Final'!$C$906")&lt;&gt;"",FALSE)),906,0)</x:f>
        <x:v>0</x:v>
      </x:c>
      <x:c r="JB906" t="n">
        <x:f>'Calculations'!JB905+IF('Calculations'!JA906&gt;0,1,0)</x:f>
        <x:v>0</x:v>
      </x:c>
    </x:row>
    <x:row r="907">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4"/>
      <x:c r="DQ907" s="4"/>
      <x:c r="DR907" s="4"/>
      <x:c r="DS907" s="4"/>
      <x:c r="DT907" s="4"/>
      <x:c r="DU907" s="4"/>
      <x:c r="DV907" s="4"/>
      <x:c r="DW907" s="4"/>
      <x:c r="DX907" s="4"/>
      <x:c r="DY907" s="4"/>
      <x:c r="DZ907" s="4"/>
      <x:c r="EA907" s="4"/>
      <x:c r="EB907" s="4"/>
      <x:c r="EC907" s="4"/>
      <x:c r="ED907" s="4"/>
      <x:c r="EE907" s="4"/>
      <x:c r="EF907" s="4"/>
      <x:c r="EG907" s="4"/>
      <x:c r="EH907" s="4"/>
      <x:c r="EI907" s="4"/>
      <x:c r="EJ907" s="4"/>
      <x:c r="EK907" s="4"/>
      <x:c r="EL907" s="4"/>
      <x:c r="EM907" s="4"/>
      <x:c r="EN907" s="4"/>
      <x:c r="EO907" s="4"/>
      <x:c r="EP907" s="4"/>
      <x:c r="EQ907" s="4"/>
      <x:c r="ER907" s="4"/>
      <x:c r="ES907" s="4"/>
      <x:c r="ET907" s="4"/>
      <x:c r="EU907" s="4"/>
      <x:c r="EV907" s="4"/>
      <x:c r="EW907" s="4"/>
      <x:c r="EX907" s="4"/>
      <x:c r="EY907" s="4"/>
      <x:c r="EZ907" s="4"/>
      <x:c r="FA907" s="4"/>
      <x:c r="FB907" s="4"/>
      <x:c r="FC907" s="4"/>
      <x:c r="FD907" s="4"/>
      <x:c r="FE907" s="4"/>
      <x:c r="FF907" s="4"/>
      <x:c r="FG907" s="4"/>
      <x:c r="FH907" s="4"/>
      <x:c r="FI907" s="4"/>
      <x:c r="FJ907" s="4"/>
      <x:c r="FK907" s="4"/>
      <x:c r="FL907" s="4"/>
      <x:c r="FM907" s="4"/>
      <x:c r="FN907" s="4"/>
      <x:c r="FO907" s="4"/>
      <x:c r="JA907" t="n">
        <x:f>IF(OR(IFERROR(INDIRECT("'WCM Calibration Final'!$A$907")&lt;&gt;"",FALSE),IFERROR(INDIRECT("'WCM Calibration Final'!$B$907")&lt;&gt;"",FALSE),IFERROR(INDIRECT("'WCM Calibration Final'!$C$907")&lt;&gt;"",FALSE)),907,0)</x:f>
        <x:v>0</x:v>
      </x:c>
      <x:c r="JB907" t="n">
        <x:f>'Calculations'!JB906+IF('Calculations'!JA907&gt;0,1,0)</x:f>
        <x:v>0</x:v>
      </x:c>
    </x:row>
    <x:row r="908">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4"/>
      <x:c r="DQ908" s="4"/>
      <x:c r="DR908" s="4"/>
      <x:c r="DS908" s="4"/>
      <x:c r="DT908" s="4"/>
      <x:c r="DU908" s="4"/>
      <x:c r="DV908" s="4"/>
      <x:c r="DW908" s="4"/>
      <x:c r="DX908" s="4"/>
      <x:c r="DY908" s="4"/>
      <x:c r="DZ908" s="4"/>
      <x:c r="EA908" s="4"/>
      <x:c r="EB908" s="4"/>
      <x:c r="EC908" s="4"/>
      <x:c r="ED908" s="4"/>
      <x:c r="EE908" s="4"/>
      <x:c r="EF908" s="4"/>
      <x:c r="EG908" s="4"/>
      <x:c r="EH908" s="4"/>
      <x:c r="EI908" s="4"/>
      <x:c r="EJ908" s="4"/>
      <x:c r="EK908" s="4"/>
      <x:c r="EL908" s="4"/>
      <x:c r="EM908" s="4"/>
      <x:c r="EN908" s="4"/>
      <x:c r="EO908" s="4"/>
      <x:c r="EP908" s="4"/>
      <x:c r="EQ908" s="4"/>
      <x:c r="ER908" s="4"/>
      <x:c r="ES908" s="4"/>
      <x:c r="ET908" s="4"/>
      <x:c r="EU908" s="4"/>
      <x:c r="EV908" s="4"/>
      <x:c r="EW908" s="4"/>
      <x:c r="EX908" s="4"/>
      <x:c r="EY908" s="4"/>
      <x:c r="EZ908" s="4"/>
      <x:c r="FA908" s="4"/>
      <x:c r="FB908" s="4"/>
      <x:c r="FC908" s="4"/>
      <x:c r="FD908" s="4"/>
      <x:c r="FE908" s="4"/>
      <x:c r="FF908" s="4"/>
      <x:c r="FG908" s="4"/>
      <x:c r="FH908" s="4"/>
      <x:c r="FI908" s="4"/>
      <x:c r="FJ908" s="4"/>
      <x:c r="FK908" s="4"/>
      <x:c r="FL908" s="4"/>
      <x:c r="FM908" s="4"/>
      <x:c r="FN908" s="4"/>
      <x:c r="FO908" s="4"/>
      <x:c r="JA908" t="n">
        <x:f>IF(OR(IFERROR(INDIRECT("'WCM Calibration Final'!$A$908")&lt;&gt;"",FALSE),IFERROR(INDIRECT("'WCM Calibration Final'!$B$908")&lt;&gt;"",FALSE),IFERROR(INDIRECT("'WCM Calibration Final'!$C$908")&lt;&gt;"",FALSE)),908,0)</x:f>
        <x:v>0</x:v>
      </x:c>
      <x:c r="JB908" t="n">
        <x:f>'Calculations'!JB907+IF('Calculations'!JA908&gt;0,1,0)</x:f>
        <x:v>0</x:v>
      </x:c>
    </x:row>
    <x:row r="909">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4"/>
      <x:c r="DQ909" s="4"/>
      <x:c r="DR909" s="4"/>
      <x:c r="DS909" s="4"/>
      <x:c r="DT909" s="4"/>
      <x:c r="DU909" s="4"/>
      <x:c r="DV909" s="4"/>
      <x:c r="DW909" s="4"/>
      <x:c r="DX909" s="4"/>
      <x:c r="DY909" s="4"/>
      <x:c r="DZ909" s="4"/>
      <x:c r="EA909" s="4"/>
      <x:c r="EB909" s="4"/>
      <x:c r="EC909" s="4"/>
      <x:c r="ED909" s="4"/>
      <x:c r="EE909" s="4"/>
      <x:c r="EF909" s="4"/>
      <x:c r="EG909" s="4"/>
      <x:c r="EH909" s="4"/>
      <x:c r="EI909" s="4"/>
      <x:c r="EJ909" s="4"/>
      <x:c r="EK909" s="4"/>
      <x:c r="EL909" s="4"/>
      <x:c r="EM909" s="4"/>
      <x:c r="EN909" s="4"/>
      <x:c r="EO909" s="4"/>
      <x:c r="EP909" s="4"/>
      <x:c r="EQ909" s="4"/>
      <x:c r="ER909" s="4"/>
      <x:c r="ES909" s="4"/>
      <x:c r="ET909" s="4"/>
      <x:c r="EU909" s="4"/>
      <x:c r="EV909" s="4"/>
      <x:c r="EW909" s="4"/>
      <x:c r="EX909" s="4"/>
      <x:c r="EY909" s="4"/>
      <x:c r="EZ909" s="4"/>
      <x:c r="FA909" s="4"/>
      <x:c r="FB909" s="4"/>
      <x:c r="FC909" s="4"/>
      <x:c r="FD909" s="4"/>
      <x:c r="FE909" s="4"/>
      <x:c r="FF909" s="4"/>
      <x:c r="FG909" s="4"/>
      <x:c r="FH909" s="4"/>
      <x:c r="FI909" s="4"/>
      <x:c r="FJ909" s="4"/>
      <x:c r="FK909" s="4"/>
      <x:c r="FL909" s="4"/>
      <x:c r="FM909" s="4"/>
      <x:c r="FN909" s="4"/>
      <x:c r="FO909" s="4"/>
      <x:c r="JA909" t="n">
        <x:f>IF(OR(IFERROR(INDIRECT("'WCM Calibration Final'!$A$909")&lt;&gt;"",FALSE),IFERROR(INDIRECT("'WCM Calibration Final'!$B$909")&lt;&gt;"",FALSE),IFERROR(INDIRECT("'WCM Calibration Final'!$C$909")&lt;&gt;"",FALSE)),909,0)</x:f>
        <x:v>0</x:v>
      </x:c>
      <x:c r="JB909" t="n">
        <x:f>'Calculations'!JB908+IF('Calculations'!JA909&gt;0,1,0)</x:f>
        <x:v>0</x:v>
      </x:c>
    </x:row>
    <x:row r="910">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4"/>
      <x:c r="DQ910" s="4"/>
      <x:c r="DR910" s="4"/>
      <x:c r="DS910" s="4"/>
      <x:c r="DT910" s="4"/>
      <x:c r="DU910" s="4"/>
      <x:c r="DV910" s="4"/>
      <x:c r="DW910" s="4"/>
      <x:c r="DX910" s="4"/>
      <x:c r="DY910" s="4"/>
      <x:c r="DZ910" s="4"/>
      <x:c r="EA910" s="4"/>
      <x:c r="EB910" s="4"/>
      <x:c r="EC910" s="4"/>
      <x:c r="ED910" s="4"/>
      <x:c r="EE910" s="4"/>
      <x:c r="EF910" s="4"/>
      <x:c r="EG910" s="4"/>
      <x:c r="EH910" s="4"/>
      <x:c r="EI910" s="4"/>
      <x:c r="EJ910" s="4"/>
      <x:c r="EK910" s="4"/>
      <x:c r="EL910" s="4"/>
      <x:c r="EM910" s="4"/>
      <x:c r="EN910" s="4"/>
      <x:c r="EO910" s="4"/>
      <x:c r="EP910" s="4"/>
      <x:c r="EQ910" s="4"/>
      <x:c r="ER910" s="4"/>
      <x:c r="ES910" s="4"/>
      <x:c r="ET910" s="4"/>
      <x:c r="EU910" s="4"/>
      <x:c r="EV910" s="4"/>
      <x:c r="EW910" s="4"/>
      <x:c r="EX910" s="4"/>
      <x:c r="EY910" s="4"/>
      <x:c r="EZ910" s="4"/>
      <x:c r="FA910" s="4"/>
      <x:c r="FB910" s="4"/>
      <x:c r="FC910" s="4"/>
      <x:c r="FD910" s="4"/>
      <x:c r="FE910" s="4"/>
      <x:c r="FF910" s="4"/>
      <x:c r="FG910" s="4"/>
      <x:c r="FH910" s="4"/>
      <x:c r="FI910" s="4"/>
      <x:c r="FJ910" s="4"/>
      <x:c r="FK910" s="4"/>
      <x:c r="FL910" s="4"/>
      <x:c r="FM910" s="4"/>
      <x:c r="FN910" s="4"/>
      <x:c r="FO910" s="4"/>
      <x:c r="JA910" t="n">
        <x:f>IF(OR(IFERROR(INDIRECT("'WCM Calibration Final'!$A$910")&lt;&gt;"",FALSE),IFERROR(INDIRECT("'WCM Calibration Final'!$B$910")&lt;&gt;"",FALSE),IFERROR(INDIRECT("'WCM Calibration Final'!$C$910")&lt;&gt;"",FALSE)),910,0)</x:f>
        <x:v>0</x:v>
      </x:c>
      <x:c r="JB910" t="n">
        <x:f>'Calculations'!JB909+IF('Calculations'!JA910&gt;0,1,0)</x:f>
        <x:v>0</x:v>
      </x:c>
    </x:row>
    <x:row r="911">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4"/>
      <x:c r="DQ911" s="4"/>
      <x:c r="DR911" s="4"/>
      <x:c r="DS911" s="4"/>
      <x:c r="DT911" s="4"/>
      <x:c r="DU911" s="4"/>
      <x:c r="DV911" s="4"/>
      <x:c r="DW911" s="4"/>
      <x:c r="DX911" s="4"/>
      <x:c r="DY911" s="4"/>
      <x:c r="DZ911" s="4"/>
      <x:c r="EA911" s="4"/>
      <x:c r="EB911" s="4"/>
      <x:c r="EC911" s="4"/>
      <x:c r="ED911" s="4"/>
      <x:c r="EE911" s="4"/>
      <x:c r="EF911" s="4"/>
      <x:c r="EG911" s="4"/>
      <x:c r="EH911" s="4"/>
      <x:c r="EI911" s="4"/>
      <x:c r="EJ911" s="4"/>
      <x:c r="EK911" s="4"/>
      <x:c r="EL911" s="4"/>
      <x:c r="EM911" s="4"/>
      <x:c r="EN911" s="4"/>
      <x:c r="EO911" s="4"/>
      <x:c r="EP911" s="4"/>
      <x:c r="EQ911" s="4"/>
      <x:c r="ER911" s="4"/>
      <x:c r="ES911" s="4"/>
      <x:c r="ET911" s="4"/>
      <x:c r="EU911" s="4"/>
      <x:c r="EV911" s="4"/>
      <x:c r="EW911" s="4"/>
      <x:c r="EX911" s="4"/>
      <x:c r="EY911" s="4"/>
      <x:c r="EZ911" s="4"/>
      <x:c r="FA911" s="4"/>
      <x:c r="FB911" s="4"/>
      <x:c r="FC911" s="4"/>
      <x:c r="FD911" s="4"/>
      <x:c r="FE911" s="4"/>
      <x:c r="FF911" s="4"/>
      <x:c r="FG911" s="4"/>
      <x:c r="FH911" s="4"/>
      <x:c r="FI911" s="4"/>
      <x:c r="FJ911" s="4"/>
      <x:c r="FK911" s="4"/>
      <x:c r="FL911" s="4"/>
      <x:c r="FM911" s="4"/>
      <x:c r="FN911" s="4"/>
      <x:c r="FO911" s="4"/>
      <x:c r="JA911" t="n">
        <x:f>IF(OR(IFERROR(INDIRECT("'WCM Calibration Final'!$A$911")&lt;&gt;"",FALSE),IFERROR(INDIRECT("'WCM Calibration Final'!$B$911")&lt;&gt;"",FALSE),IFERROR(INDIRECT("'WCM Calibration Final'!$C$911")&lt;&gt;"",FALSE)),911,0)</x:f>
        <x:v>0</x:v>
      </x:c>
      <x:c r="JB911" t="n">
        <x:f>'Calculations'!JB910+IF('Calculations'!JA911&gt;0,1,0)</x:f>
        <x:v>0</x:v>
      </x:c>
    </x:row>
    <x:row r="912">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4"/>
      <x:c r="DQ912" s="4"/>
      <x:c r="DR912" s="4"/>
      <x:c r="DS912" s="4"/>
      <x:c r="DT912" s="4"/>
      <x:c r="DU912" s="4"/>
      <x:c r="DV912" s="4"/>
      <x:c r="DW912" s="4"/>
      <x:c r="DX912" s="4"/>
      <x:c r="DY912" s="4"/>
      <x:c r="DZ912" s="4"/>
      <x:c r="EA912" s="4"/>
      <x:c r="EB912" s="4"/>
      <x:c r="EC912" s="4"/>
      <x:c r="ED912" s="4"/>
      <x:c r="EE912" s="4"/>
      <x:c r="EF912" s="4"/>
      <x:c r="EG912" s="4"/>
      <x:c r="EH912" s="4"/>
      <x:c r="EI912" s="4"/>
      <x:c r="EJ912" s="4"/>
      <x:c r="EK912" s="4"/>
      <x:c r="EL912" s="4"/>
      <x:c r="EM912" s="4"/>
      <x:c r="EN912" s="4"/>
      <x:c r="EO912" s="4"/>
      <x:c r="EP912" s="4"/>
      <x:c r="EQ912" s="4"/>
      <x:c r="ER912" s="4"/>
      <x:c r="ES912" s="4"/>
      <x:c r="ET912" s="4"/>
      <x:c r="EU912" s="4"/>
      <x:c r="EV912" s="4"/>
      <x:c r="EW912" s="4"/>
      <x:c r="EX912" s="4"/>
      <x:c r="EY912" s="4"/>
      <x:c r="EZ912" s="4"/>
      <x:c r="FA912" s="4"/>
      <x:c r="FB912" s="4"/>
      <x:c r="FC912" s="4"/>
      <x:c r="FD912" s="4"/>
      <x:c r="FE912" s="4"/>
      <x:c r="FF912" s="4"/>
      <x:c r="FG912" s="4"/>
      <x:c r="FH912" s="4"/>
      <x:c r="FI912" s="4"/>
      <x:c r="FJ912" s="4"/>
      <x:c r="FK912" s="4"/>
      <x:c r="FL912" s="4"/>
      <x:c r="FM912" s="4"/>
      <x:c r="FN912" s="4"/>
      <x:c r="FO912" s="4"/>
      <x:c r="JA912" t="n">
        <x:f>IF(OR(IFERROR(INDIRECT("'WCM Calibration Final'!$A$912")&lt;&gt;"",FALSE),IFERROR(INDIRECT("'WCM Calibration Final'!$B$912")&lt;&gt;"",FALSE),IFERROR(INDIRECT("'WCM Calibration Final'!$C$912")&lt;&gt;"",FALSE)),912,0)</x:f>
        <x:v>0</x:v>
      </x:c>
      <x:c r="JB912" t="n">
        <x:f>'Calculations'!JB911+IF('Calculations'!JA912&gt;0,1,0)</x:f>
        <x:v>0</x:v>
      </x:c>
    </x:row>
    <x:row r="913">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4"/>
      <x:c r="DQ913" s="4"/>
      <x:c r="DR913" s="4"/>
      <x:c r="DS913" s="4"/>
      <x:c r="DT913" s="4"/>
      <x:c r="DU913" s="4"/>
      <x:c r="DV913" s="4"/>
      <x:c r="DW913" s="4"/>
      <x:c r="DX913" s="4"/>
      <x:c r="DY913" s="4"/>
      <x:c r="DZ913" s="4"/>
      <x:c r="EA913" s="4"/>
      <x:c r="EB913" s="4"/>
      <x:c r="EC913" s="4"/>
      <x:c r="ED913" s="4"/>
      <x:c r="EE913" s="4"/>
      <x:c r="EF913" s="4"/>
      <x:c r="EG913" s="4"/>
      <x:c r="EH913" s="4"/>
      <x:c r="EI913" s="4"/>
      <x:c r="EJ913" s="4"/>
      <x:c r="EK913" s="4"/>
      <x:c r="EL913" s="4"/>
      <x:c r="EM913" s="4"/>
      <x:c r="EN913" s="4"/>
      <x:c r="EO913" s="4"/>
      <x:c r="EP913" s="4"/>
      <x:c r="EQ913" s="4"/>
      <x:c r="ER913" s="4"/>
      <x:c r="ES913" s="4"/>
      <x:c r="ET913" s="4"/>
      <x:c r="EU913" s="4"/>
      <x:c r="EV913" s="4"/>
      <x:c r="EW913" s="4"/>
      <x:c r="EX913" s="4"/>
      <x:c r="EY913" s="4"/>
      <x:c r="EZ913" s="4"/>
      <x:c r="FA913" s="4"/>
      <x:c r="FB913" s="4"/>
      <x:c r="FC913" s="4"/>
      <x:c r="FD913" s="4"/>
      <x:c r="FE913" s="4"/>
      <x:c r="FF913" s="4"/>
      <x:c r="FG913" s="4"/>
      <x:c r="FH913" s="4"/>
      <x:c r="FI913" s="4"/>
      <x:c r="FJ913" s="4"/>
      <x:c r="FK913" s="4"/>
      <x:c r="FL913" s="4"/>
      <x:c r="FM913" s="4"/>
      <x:c r="FN913" s="4"/>
      <x:c r="FO913" s="4"/>
      <x:c r="JA913" t="n">
        <x:f>IF(OR(IFERROR(INDIRECT("'WCM Calibration Final'!$A$913")&lt;&gt;"",FALSE),IFERROR(INDIRECT("'WCM Calibration Final'!$B$913")&lt;&gt;"",FALSE),IFERROR(INDIRECT("'WCM Calibration Final'!$C$913")&lt;&gt;"",FALSE)),913,0)</x:f>
        <x:v>0</x:v>
      </x:c>
      <x:c r="JB913" t="n">
        <x:f>'Calculations'!JB912+IF('Calculations'!JA913&gt;0,1,0)</x:f>
        <x:v>0</x:v>
      </x:c>
    </x:row>
    <x:row r="914">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4"/>
      <x:c r="DQ914" s="4"/>
      <x:c r="DR914" s="4"/>
      <x:c r="DS914" s="4"/>
      <x:c r="DT914" s="4"/>
      <x:c r="DU914" s="4"/>
      <x:c r="DV914" s="4"/>
      <x:c r="DW914" s="4"/>
      <x:c r="DX914" s="4"/>
      <x:c r="DY914" s="4"/>
      <x:c r="DZ914" s="4"/>
      <x:c r="EA914" s="4"/>
      <x:c r="EB914" s="4"/>
      <x:c r="EC914" s="4"/>
      <x:c r="ED914" s="4"/>
      <x:c r="EE914" s="4"/>
      <x:c r="EF914" s="4"/>
      <x:c r="EG914" s="4"/>
      <x:c r="EH914" s="4"/>
      <x:c r="EI914" s="4"/>
      <x:c r="EJ914" s="4"/>
      <x:c r="EK914" s="4"/>
      <x:c r="EL914" s="4"/>
      <x:c r="EM914" s="4"/>
      <x:c r="EN914" s="4"/>
      <x:c r="EO914" s="4"/>
      <x:c r="EP914" s="4"/>
      <x:c r="EQ914" s="4"/>
      <x:c r="ER914" s="4"/>
      <x:c r="ES914" s="4"/>
      <x:c r="ET914" s="4"/>
      <x:c r="EU914" s="4"/>
      <x:c r="EV914" s="4"/>
      <x:c r="EW914" s="4"/>
      <x:c r="EX914" s="4"/>
      <x:c r="EY914" s="4"/>
      <x:c r="EZ914" s="4"/>
      <x:c r="FA914" s="4"/>
      <x:c r="FB914" s="4"/>
      <x:c r="FC914" s="4"/>
      <x:c r="FD914" s="4"/>
      <x:c r="FE914" s="4"/>
      <x:c r="FF914" s="4"/>
      <x:c r="FG914" s="4"/>
      <x:c r="FH914" s="4"/>
      <x:c r="FI914" s="4"/>
      <x:c r="FJ914" s="4"/>
      <x:c r="FK914" s="4"/>
      <x:c r="FL914" s="4"/>
      <x:c r="FM914" s="4"/>
      <x:c r="FN914" s="4"/>
      <x:c r="FO914" s="4"/>
      <x:c r="JA914" t="n">
        <x:f>IF(OR(IFERROR(INDIRECT("'WCM Calibration Final'!$A$914")&lt;&gt;"",FALSE),IFERROR(INDIRECT("'WCM Calibration Final'!$B$914")&lt;&gt;"",FALSE),IFERROR(INDIRECT("'WCM Calibration Final'!$C$914")&lt;&gt;"",FALSE)),914,0)</x:f>
        <x:v>0</x:v>
      </x:c>
      <x:c r="JB914" t="n">
        <x:f>'Calculations'!JB913+IF('Calculations'!JA914&gt;0,1,0)</x:f>
        <x:v>0</x:v>
      </x:c>
    </x:row>
    <x:row r="915">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4"/>
      <x:c r="DQ915" s="4"/>
      <x:c r="DR915" s="4"/>
      <x:c r="DS915" s="4"/>
      <x:c r="DT915" s="4"/>
      <x:c r="DU915" s="4"/>
      <x:c r="DV915" s="4"/>
      <x:c r="DW915" s="4"/>
      <x:c r="DX915" s="4"/>
      <x:c r="DY915" s="4"/>
      <x:c r="DZ915" s="4"/>
      <x:c r="EA915" s="4"/>
      <x:c r="EB915" s="4"/>
      <x:c r="EC915" s="4"/>
      <x:c r="ED915" s="4"/>
      <x:c r="EE915" s="4"/>
      <x:c r="EF915" s="4"/>
      <x:c r="EG915" s="4"/>
      <x:c r="EH915" s="4"/>
      <x:c r="EI915" s="4"/>
      <x:c r="EJ915" s="4"/>
      <x:c r="EK915" s="4"/>
      <x:c r="EL915" s="4"/>
      <x:c r="EM915" s="4"/>
      <x:c r="EN915" s="4"/>
      <x:c r="EO915" s="4"/>
      <x:c r="EP915" s="4"/>
      <x:c r="EQ915" s="4"/>
      <x:c r="ER915" s="4"/>
      <x:c r="ES915" s="4"/>
      <x:c r="ET915" s="4"/>
      <x:c r="EU915" s="4"/>
      <x:c r="EV915" s="4"/>
      <x:c r="EW915" s="4"/>
      <x:c r="EX915" s="4"/>
      <x:c r="EY915" s="4"/>
      <x:c r="EZ915" s="4"/>
      <x:c r="FA915" s="4"/>
      <x:c r="FB915" s="4"/>
      <x:c r="FC915" s="4"/>
      <x:c r="FD915" s="4"/>
      <x:c r="FE915" s="4"/>
      <x:c r="FF915" s="4"/>
      <x:c r="FG915" s="4"/>
      <x:c r="FH915" s="4"/>
      <x:c r="FI915" s="4"/>
      <x:c r="FJ915" s="4"/>
      <x:c r="FK915" s="4"/>
      <x:c r="FL915" s="4"/>
      <x:c r="FM915" s="4"/>
      <x:c r="FN915" s="4"/>
      <x:c r="FO915" s="4"/>
      <x:c r="JA915" t="n">
        <x:f>IF(OR(IFERROR(INDIRECT("'WCM Calibration Final'!$A$915")&lt;&gt;"",FALSE),IFERROR(INDIRECT("'WCM Calibration Final'!$B$915")&lt;&gt;"",FALSE),IFERROR(INDIRECT("'WCM Calibration Final'!$C$915")&lt;&gt;"",FALSE)),915,0)</x:f>
        <x:v>0</x:v>
      </x:c>
      <x:c r="JB915" t="n">
        <x:f>'Calculations'!JB914+IF('Calculations'!JA915&gt;0,1,0)</x:f>
        <x:v>0</x:v>
      </x:c>
    </x:row>
    <x:row r="916">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4"/>
      <x:c r="DQ916" s="4"/>
      <x:c r="DR916" s="4"/>
      <x:c r="DS916" s="4"/>
      <x:c r="DT916" s="4"/>
      <x:c r="DU916" s="4"/>
      <x:c r="DV916" s="4"/>
      <x:c r="DW916" s="4"/>
      <x:c r="DX916" s="4"/>
      <x:c r="DY916" s="4"/>
      <x:c r="DZ916" s="4"/>
      <x:c r="EA916" s="4"/>
      <x:c r="EB916" s="4"/>
      <x:c r="EC916" s="4"/>
      <x:c r="ED916" s="4"/>
      <x:c r="EE916" s="4"/>
      <x:c r="EF916" s="4"/>
      <x:c r="EG916" s="4"/>
      <x:c r="EH916" s="4"/>
      <x:c r="EI916" s="4"/>
      <x:c r="EJ916" s="4"/>
      <x:c r="EK916" s="4"/>
      <x:c r="EL916" s="4"/>
      <x:c r="EM916" s="4"/>
      <x:c r="EN916" s="4"/>
      <x:c r="EO916" s="4"/>
      <x:c r="EP916" s="4"/>
      <x:c r="EQ916" s="4"/>
      <x:c r="ER916" s="4"/>
      <x:c r="ES916" s="4"/>
      <x:c r="ET916" s="4"/>
      <x:c r="EU916" s="4"/>
      <x:c r="EV916" s="4"/>
      <x:c r="EW916" s="4"/>
      <x:c r="EX916" s="4"/>
      <x:c r="EY916" s="4"/>
      <x:c r="EZ916" s="4"/>
      <x:c r="FA916" s="4"/>
      <x:c r="FB916" s="4"/>
      <x:c r="FC916" s="4"/>
      <x:c r="FD916" s="4"/>
      <x:c r="FE916" s="4"/>
      <x:c r="FF916" s="4"/>
      <x:c r="FG916" s="4"/>
      <x:c r="FH916" s="4"/>
      <x:c r="FI916" s="4"/>
      <x:c r="FJ916" s="4"/>
      <x:c r="FK916" s="4"/>
      <x:c r="FL916" s="4"/>
      <x:c r="FM916" s="4"/>
      <x:c r="FN916" s="4"/>
      <x:c r="FO916" s="4"/>
      <x:c r="JA916" t="n">
        <x:f>IF(OR(IFERROR(INDIRECT("'WCM Calibration Final'!$A$916")&lt;&gt;"",FALSE),IFERROR(INDIRECT("'WCM Calibration Final'!$B$916")&lt;&gt;"",FALSE),IFERROR(INDIRECT("'WCM Calibration Final'!$C$916")&lt;&gt;"",FALSE)),916,0)</x:f>
        <x:v>0</x:v>
      </x:c>
      <x:c r="JB916" t="n">
        <x:f>'Calculations'!JB915+IF('Calculations'!JA916&gt;0,1,0)</x:f>
        <x:v>0</x:v>
      </x:c>
    </x:row>
    <x:row r="917">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4"/>
      <x:c r="DQ917" s="4"/>
      <x:c r="DR917" s="4"/>
      <x:c r="DS917" s="4"/>
      <x:c r="DT917" s="4"/>
      <x:c r="DU917" s="4"/>
      <x:c r="DV917" s="4"/>
      <x:c r="DW917" s="4"/>
      <x:c r="DX917" s="4"/>
      <x:c r="DY917" s="4"/>
      <x:c r="DZ917" s="4"/>
      <x:c r="EA917" s="4"/>
      <x:c r="EB917" s="4"/>
      <x:c r="EC917" s="4"/>
      <x:c r="ED917" s="4"/>
      <x:c r="EE917" s="4"/>
      <x:c r="EF917" s="4"/>
      <x:c r="EG917" s="4"/>
      <x:c r="EH917" s="4"/>
      <x:c r="EI917" s="4"/>
      <x:c r="EJ917" s="4"/>
      <x:c r="EK917" s="4"/>
      <x:c r="EL917" s="4"/>
      <x:c r="EM917" s="4"/>
      <x:c r="EN917" s="4"/>
      <x:c r="EO917" s="4"/>
      <x:c r="EP917" s="4"/>
      <x:c r="EQ917" s="4"/>
      <x:c r="ER917" s="4"/>
      <x:c r="ES917" s="4"/>
      <x:c r="ET917" s="4"/>
      <x:c r="EU917" s="4"/>
      <x:c r="EV917" s="4"/>
      <x:c r="EW917" s="4"/>
      <x:c r="EX917" s="4"/>
      <x:c r="EY917" s="4"/>
      <x:c r="EZ917" s="4"/>
      <x:c r="FA917" s="4"/>
      <x:c r="FB917" s="4"/>
      <x:c r="FC917" s="4"/>
      <x:c r="FD917" s="4"/>
      <x:c r="FE917" s="4"/>
      <x:c r="FF917" s="4"/>
      <x:c r="FG917" s="4"/>
      <x:c r="FH917" s="4"/>
      <x:c r="FI917" s="4"/>
      <x:c r="FJ917" s="4"/>
      <x:c r="FK917" s="4"/>
      <x:c r="FL917" s="4"/>
      <x:c r="FM917" s="4"/>
      <x:c r="FN917" s="4"/>
      <x:c r="FO917" s="4"/>
      <x:c r="JA917" t="n">
        <x:f>IF(OR(IFERROR(INDIRECT("'WCM Calibration Final'!$A$917")&lt;&gt;"",FALSE),IFERROR(INDIRECT("'WCM Calibration Final'!$B$917")&lt;&gt;"",FALSE),IFERROR(INDIRECT("'WCM Calibration Final'!$C$917")&lt;&gt;"",FALSE)),917,0)</x:f>
        <x:v>0</x:v>
      </x:c>
      <x:c r="JB917" t="n">
        <x:f>'Calculations'!JB916+IF('Calculations'!JA917&gt;0,1,0)</x:f>
        <x:v>0</x:v>
      </x:c>
    </x:row>
    <x:row r="918">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4"/>
      <x:c r="DQ918" s="4"/>
      <x:c r="DR918" s="4"/>
      <x:c r="DS918" s="4"/>
      <x:c r="DT918" s="4"/>
      <x:c r="DU918" s="4"/>
      <x:c r="DV918" s="4"/>
      <x:c r="DW918" s="4"/>
      <x:c r="DX918" s="4"/>
      <x:c r="DY918" s="4"/>
      <x:c r="DZ918" s="4"/>
      <x:c r="EA918" s="4"/>
      <x:c r="EB918" s="4"/>
      <x:c r="EC918" s="4"/>
      <x:c r="ED918" s="4"/>
      <x:c r="EE918" s="4"/>
      <x:c r="EF918" s="4"/>
      <x:c r="EG918" s="4"/>
      <x:c r="EH918" s="4"/>
      <x:c r="EI918" s="4"/>
      <x:c r="EJ918" s="4"/>
      <x:c r="EK918" s="4"/>
      <x:c r="EL918" s="4"/>
      <x:c r="EM918" s="4"/>
      <x:c r="EN918" s="4"/>
      <x:c r="EO918" s="4"/>
      <x:c r="EP918" s="4"/>
      <x:c r="EQ918" s="4"/>
      <x:c r="ER918" s="4"/>
      <x:c r="ES918" s="4"/>
      <x:c r="ET918" s="4"/>
      <x:c r="EU918" s="4"/>
      <x:c r="EV918" s="4"/>
      <x:c r="EW918" s="4"/>
      <x:c r="EX918" s="4"/>
      <x:c r="EY918" s="4"/>
      <x:c r="EZ918" s="4"/>
      <x:c r="FA918" s="4"/>
      <x:c r="FB918" s="4"/>
      <x:c r="FC918" s="4"/>
      <x:c r="FD918" s="4"/>
      <x:c r="FE918" s="4"/>
      <x:c r="FF918" s="4"/>
      <x:c r="FG918" s="4"/>
      <x:c r="FH918" s="4"/>
      <x:c r="FI918" s="4"/>
      <x:c r="FJ918" s="4"/>
      <x:c r="FK918" s="4"/>
      <x:c r="FL918" s="4"/>
      <x:c r="FM918" s="4"/>
      <x:c r="FN918" s="4"/>
      <x:c r="FO918" s="4"/>
      <x:c r="JA918" t="n">
        <x:f>IF(OR(IFERROR(INDIRECT("'WCM Calibration Final'!$A$918")&lt;&gt;"",FALSE),IFERROR(INDIRECT("'WCM Calibration Final'!$B$918")&lt;&gt;"",FALSE),IFERROR(INDIRECT("'WCM Calibration Final'!$C$918")&lt;&gt;"",FALSE)),918,0)</x:f>
        <x:v>0</x:v>
      </x:c>
      <x:c r="JB918" t="n">
        <x:f>'Calculations'!JB917+IF('Calculations'!JA918&gt;0,1,0)</x:f>
        <x:v>0</x:v>
      </x:c>
    </x:row>
    <x:row r="919">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4"/>
      <x:c r="DQ919" s="4"/>
      <x:c r="DR919" s="4"/>
      <x:c r="DS919" s="4"/>
      <x:c r="DT919" s="4"/>
      <x:c r="DU919" s="4"/>
      <x:c r="DV919" s="4"/>
      <x:c r="DW919" s="4"/>
      <x:c r="DX919" s="4"/>
      <x:c r="DY919" s="4"/>
      <x:c r="DZ919" s="4"/>
      <x:c r="EA919" s="4"/>
      <x:c r="EB919" s="4"/>
      <x:c r="EC919" s="4"/>
      <x:c r="ED919" s="4"/>
      <x:c r="EE919" s="4"/>
      <x:c r="EF919" s="4"/>
      <x:c r="EG919" s="4"/>
      <x:c r="EH919" s="4"/>
      <x:c r="EI919" s="4"/>
      <x:c r="EJ919" s="4"/>
      <x:c r="EK919" s="4"/>
      <x:c r="EL919" s="4"/>
      <x:c r="EM919" s="4"/>
      <x:c r="EN919" s="4"/>
      <x:c r="EO919" s="4"/>
      <x:c r="EP919" s="4"/>
      <x:c r="EQ919" s="4"/>
      <x:c r="ER919" s="4"/>
      <x:c r="ES919" s="4"/>
      <x:c r="ET919" s="4"/>
      <x:c r="EU919" s="4"/>
      <x:c r="EV919" s="4"/>
      <x:c r="EW919" s="4"/>
      <x:c r="EX919" s="4"/>
      <x:c r="EY919" s="4"/>
      <x:c r="EZ919" s="4"/>
      <x:c r="FA919" s="4"/>
      <x:c r="FB919" s="4"/>
      <x:c r="FC919" s="4"/>
      <x:c r="FD919" s="4"/>
      <x:c r="FE919" s="4"/>
      <x:c r="FF919" s="4"/>
      <x:c r="FG919" s="4"/>
      <x:c r="FH919" s="4"/>
      <x:c r="FI919" s="4"/>
      <x:c r="FJ919" s="4"/>
      <x:c r="FK919" s="4"/>
      <x:c r="FL919" s="4"/>
      <x:c r="FM919" s="4"/>
      <x:c r="FN919" s="4"/>
      <x:c r="FO919" s="4"/>
      <x:c r="JA919" t="n">
        <x:f>IF(OR(IFERROR(INDIRECT("'WCM Calibration Final'!$A$919")&lt;&gt;"",FALSE),IFERROR(INDIRECT("'WCM Calibration Final'!$B$919")&lt;&gt;"",FALSE),IFERROR(INDIRECT("'WCM Calibration Final'!$C$919")&lt;&gt;"",FALSE)),919,0)</x:f>
        <x:v>0</x:v>
      </x:c>
      <x:c r="JB919" t="n">
        <x:f>'Calculations'!JB918+IF('Calculations'!JA919&gt;0,1,0)</x:f>
        <x:v>0</x:v>
      </x:c>
    </x:row>
    <x:row r="920">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4"/>
      <x:c r="DQ920" s="4"/>
      <x:c r="DR920" s="4"/>
      <x:c r="DS920" s="4"/>
      <x:c r="DT920" s="4"/>
      <x:c r="DU920" s="4"/>
      <x:c r="DV920" s="4"/>
      <x:c r="DW920" s="4"/>
      <x:c r="DX920" s="4"/>
      <x:c r="DY920" s="4"/>
      <x:c r="DZ920" s="4"/>
      <x:c r="EA920" s="4"/>
      <x:c r="EB920" s="4"/>
      <x:c r="EC920" s="4"/>
      <x:c r="ED920" s="4"/>
      <x:c r="EE920" s="4"/>
      <x:c r="EF920" s="4"/>
      <x:c r="EG920" s="4"/>
      <x:c r="EH920" s="4"/>
      <x:c r="EI920" s="4"/>
      <x:c r="EJ920" s="4"/>
      <x:c r="EK920" s="4"/>
      <x:c r="EL920" s="4"/>
      <x:c r="EM920" s="4"/>
      <x:c r="EN920" s="4"/>
      <x:c r="EO920" s="4"/>
      <x:c r="EP920" s="4"/>
      <x:c r="EQ920" s="4"/>
      <x:c r="ER920" s="4"/>
      <x:c r="ES920" s="4"/>
      <x:c r="ET920" s="4"/>
      <x:c r="EU920" s="4"/>
      <x:c r="EV920" s="4"/>
      <x:c r="EW920" s="4"/>
      <x:c r="EX920" s="4"/>
      <x:c r="EY920" s="4"/>
      <x:c r="EZ920" s="4"/>
      <x:c r="FA920" s="4"/>
      <x:c r="FB920" s="4"/>
      <x:c r="FC920" s="4"/>
      <x:c r="FD920" s="4"/>
      <x:c r="FE920" s="4"/>
      <x:c r="FF920" s="4"/>
      <x:c r="FG920" s="4"/>
      <x:c r="FH920" s="4"/>
      <x:c r="FI920" s="4"/>
      <x:c r="FJ920" s="4"/>
      <x:c r="FK920" s="4"/>
      <x:c r="FL920" s="4"/>
      <x:c r="FM920" s="4"/>
      <x:c r="FN920" s="4"/>
      <x:c r="FO920" s="4"/>
      <x:c r="JA920" t="n">
        <x:f>IF(OR(IFERROR(INDIRECT("'WCM Calibration Final'!$A$920")&lt;&gt;"",FALSE),IFERROR(INDIRECT("'WCM Calibration Final'!$B$920")&lt;&gt;"",FALSE),IFERROR(INDIRECT("'WCM Calibration Final'!$C$920")&lt;&gt;"",FALSE)),920,0)</x:f>
        <x:v>0</x:v>
      </x:c>
      <x:c r="JB920" t="n">
        <x:f>'Calculations'!JB919+IF('Calculations'!JA920&gt;0,1,0)</x:f>
        <x:v>0</x:v>
      </x:c>
    </x:row>
    <x:row r="921">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4"/>
      <x:c r="DQ921" s="4"/>
      <x:c r="DR921" s="4"/>
      <x:c r="DS921" s="4"/>
      <x:c r="DT921" s="4"/>
      <x:c r="DU921" s="4"/>
      <x:c r="DV921" s="4"/>
      <x:c r="DW921" s="4"/>
      <x:c r="DX921" s="4"/>
      <x:c r="DY921" s="4"/>
      <x:c r="DZ921" s="4"/>
      <x:c r="EA921" s="4"/>
      <x:c r="EB921" s="4"/>
      <x:c r="EC921" s="4"/>
      <x:c r="ED921" s="4"/>
      <x:c r="EE921" s="4"/>
      <x:c r="EF921" s="4"/>
      <x:c r="EG921" s="4"/>
      <x:c r="EH921" s="4"/>
      <x:c r="EI921" s="4"/>
      <x:c r="EJ921" s="4"/>
      <x:c r="EK921" s="4"/>
      <x:c r="EL921" s="4"/>
      <x:c r="EM921" s="4"/>
      <x:c r="EN921" s="4"/>
      <x:c r="EO921" s="4"/>
      <x:c r="EP921" s="4"/>
      <x:c r="EQ921" s="4"/>
      <x:c r="ER921" s="4"/>
      <x:c r="ES921" s="4"/>
      <x:c r="ET921" s="4"/>
      <x:c r="EU921" s="4"/>
      <x:c r="EV921" s="4"/>
      <x:c r="EW921" s="4"/>
      <x:c r="EX921" s="4"/>
      <x:c r="EY921" s="4"/>
      <x:c r="EZ921" s="4"/>
      <x:c r="FA921" s="4"/>
      <x:c r="FB921" s="4"/>
      <x:c r="FC921" s="4"/>
      <x:c r="FD921" s="4"/>
      <x:c r="FE921" s="4"/>
      <x:c r="FF921" s="4"/>
      <x:c r="FG921" s="4"/>
      <x:c r="FH921" s="4"/>
      <x:c r="FI921" s="4"/>
      <x:c r="FJ921" s="4"/>
      <x:c r="FK921" s="4"/>
      <x:c r="FL921" s="4"/>
      <x:c r="FM921" s="4"/>
      <x:c r="FN921" s="4"/>
      <x:c r="FO921" s="4"/>
      <x:c r="JA921" t="n">
        <x:f>IF(OR(IFERROR(INDIRECT("'WCM Calibration Final'!$A$921")&lt;&gt;"",FALSE),IFERROR(INDIRECT("'WCM Calibration Final'!$B$921")&lt;&gt;"",FALSE),IFERROR(INDIRECT("'WCM Calibration Final'!$C$921")&lt;&gt;"",FALSE)),921,0)</x:f>
        <x:v>0</x:v>
      </x:c>
      <x:c r="JB921" t="n">
        <x:f>'Calculations'!JB920+IF('Calculations'!JA921&gt;0,1,0)</x:f>
        <x:v>0</x:v>
      </x:c>
    </x:row>
    <x:row r="922">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4"/>
      <x:c r="DQ922" s="4"/>
      <x:c r="DR922" s="4"/>
      <x:c r="DS922" s="4"/>
      <x:c r="DT922" s="4"/>
      <x:c r="DU922" s="4"/>
      <x:c r="DV922" s="4"/>
      <x:c r="DW922" s="4"/>
      <x:c r="DX922" s="4"/>
      <x:c r="DY922" s="4"/>
      <x:c r="DZ922" s="4"/>
      <x:c r="EA922" s="4"/>
      <x:c r="EB922" s="4"/>
      <x:c r="EC922" s="4"/>
      <x:c r="ED922" s="4"/>
      <x:c r="EE922" s="4"/>
      <x:c r="EF922" s="4"/>
      <x:c r="EG922" s="4"/>
      <x:c r="EH922" s="4"/>
      <x:c r="EI922" s="4"/>
      <x:c r="EJ922" s="4"/>
      <x:c r="EK922" s="4"/>
      <x:c r="EL922" s="4"/>
      <x:c r="EM922" s="4"/>
      <x:c r="EN922" s="4"/>
      <x:c r="EO922" s="4"/>
      <x:c r="EP922" s="4"/>
      <x:c r="EQ922" s="4"/>
      <x:c r="ER922" s="4"/>
      <x:c r="ES922" s="4"/>
      <x:c r="ET922" s="4"/>
      <x:c r="EU922" s="4"/>
      <x:c r="EV922" s="4"/>
      <x:c r="EW922" s="4"/>
      <x:c r="EX922" s="4"/>
      <x:c r="EY922" s="4"/>
      <x:c r="EZ922" s="4"/>
      <x:c r="FA922" s="4"/>
      <x:c r="FB922" s="4"/>
      <x:c r="FC922" s="4"/>
      <x:c r="FD922" s="4"/>
      <x:c r="FE922" s="4"/>
      <x:c r="FF922" s="4"/>
      <x:c r="FG922" s="4"/>
      <x:c r="FH922" s="4"/>
      <x:c r="FI922" s="4"/>
      <x:c r="FJ922" s="4"/>
      <x:c r="FK922" s="4"/>
      <x:c r="FL922" s="4"/>
      <x:c r="FM922" s="4"/>
      <x:c r="FN922" s="4"/>
      <x:c r="FO922" s="4"/>
      <x:c r="JA922" t="n">
        <x:f>IF(OR(IFERROR(INDIRECT("'WCM Calibration Final'!$A$922")&lt;&gt;"",FALSE),IFERROR(INDIRECT("'WCM Calibration Final'!$B$922")&lt;&gt;"",FALSE),IFERROR(INDIRECT("'WCM Calibration Final'!$C$922")&lt;&gt;"",FALSE)),922,0)</x:f>
        <x:v>0</x:v>
      </x:c>
      <x:c r="JB922" t="n">
        <x:f>'Calculations'!JB921+IF('Calculations'!JA922&gt;0,1,0)</x:f>
        <x:v>0</x:v>
      </x:c>
    </x:row>
    <x:row r="923">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4"/>
      <x:c r="DQ923" s="4"/>
      <x:c r="DR923" s="4"/>
      <x:c r="DS923" s="4"/>
      <x:c r="DT923" s="4"/>
      <x:c r="DU923" s="4"/>
      <x:c r="DV923" s="4"/>
      <x:c r="DW923" s="4"/>
      <x:c r="DX923" s="4"/>
      <x:c r="DY923" s="4"/>
      <x:c r="DZ923" s="4"/>
      <x:c r="EA923" s="4"/>
      <x:c r="EB923" s="4"/>
      <x:c r="EC923" s="4"/>
      <x:c r="ED923" s="4"/>
      <x:c r="EE923" s="4"/>
      <x:c r="EF923" s="4"/>
      <x:c r="EG923" s="4"/>
      <x:c r="EH923" s="4"/>
      <x:c r="EI923" s="4"/>
      <x:c r="EJ923" s="4"/>
      <x:c r="EK923" s="4"/>
      <x:c r="EL923" s="4"/>
      <x:c r="EM923" s="4"/>
      <x:c r="EN923" s="4"/>
      <x:c r="EO923" s="4"/>
      <x:c r="EP923" s="4"/>
      <x:c r="EQ923" s="4"/>
      <x:c r="ER923" s="4"/>
      <x:c r="ES923" s="4"/>
      <x:c r="ET923" s="4"/>
      <x:c r="EU923" s="4"/>
      <x:c r="EV923" s="4"/>
      <x:c r="EW923" s="4"/>
      <x:c r="EX923" s="4"/>
      <x:c r="EY923" s="4"/>
      <x:c r="EZ923" s="4"/>
      <x:c r="FA923" s="4"/>
      <x:c r="FB923" s="4"/>
      <x:c r="FC923" s="4"/>
      <x:c r="FD923" s="4"/>
      <x:c r="FE923" s="4"/>
      <x:c r="FF923" s="4"/>
      <x:c r="FG923" s="4"/>
      <x:c r="FH923" s="4"/>
      <x:c r="FI923" s="4"/>
      <x:c r="FJ923" s="4"/>
      <x:c r="FK923" s="4"/>
      <x:c r="FL923" s="4"/>
      <x:c r="FM923" s="4"/>
      <x:c r="FN923" s="4"/>
      <x:c r="FO923" s="4"/>
      <x:c r="JA923" t="n">
        <x:f>IF(OR(IFERROR(INDIRECT("'WCM Calibration Final'!$A$923")&lt;&gt;"",FALSE),IFERROR(INDIRECT("'WCM Calibration Final'!$B$923")&lt;&gt;"",FALSE),IFERROR(INDIRECT("'WCM Calibration Final'!$C$923")&lt;&gt;"",FALSE)),923,0)</x:f>
        <x:v>0</x:v>
      </x:c>
      <x:c r="JB923" t="n">
        <x:f>'Calculations'!JB922+IF('Calculations'!JA923&gt;0,1,0)</x:f>
        <x:v>0</x:v>
      </x:c>
    </x:row>
    <x:row r="924">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4"/>
      <x:c r="DQ924" s="4"/>
      <x:c r="DR924" s="4"/>
      <x:c r="DS924" s="4"/>
      <x:c r="DT924" s="4"/>
      <x:c r="DU924" s="4"/>
      <x:c r="DV924" s="4"/>
      <x:c r="DW924" s="4"/>
      <x:c r="DX924" s="4"/>
      <x:c r="DY924" s="4"/>
      <x:c r="DZ924" s="4"/>
      <x:c r="EA924" s="4"/>
      <x:c r="EB924" s="4"/>
      <x:c r="EC924" s="4"/>
      <x:c r="ED924" s="4"/>
      <x:c r="EE924" s="4"/>
      <x:c r="EF924" s="4"/>
      <x:c r="EG924" s="4"/>
      <x:c r="EH924" s="4"/>
      <x:c r="EI924" s="4"/>
      <x:c r="EJ924" s="4"/>
      <x:c r="EK924" s="4"/>
      <x:c r="EL924" s="4"/>
      <x:c r="EM924" s="4"/>
      <x:c r="EN924" s="4"/>
      <x:c r="EO924" s="4"/>
      <x:c r="EP924" s="4"/>
      <x:c r="EQ924" s="4"/>
      <x:c r="ER924" s="4"/>
      <x:c r="ES924" s="4"/>
      <x:c r="ET924" s="4"/>
      <x:c r="EU924" s="4"/>
      <x:c r="EV924" s="4"/>
      <x:c r="EW924" s="4"/>
      <x:c r="EX924" s="4"/>
      <x:c r="EY924" s="4"/>
      <x:c r="EZ924" s="4"/>
      <x:c r="FA924" s="4"/>
      <x:c r="FB924" s="4"/>
      <x:c r="FC924" s="4"/>
      <x:c r="FD924" s="4"/>
      <x:c r="FE924" s="4"/>
      <x:c r="FF924" s="4"/>
      <x:c r="FG924" s="4"/>
      <x:c r="FH924" s="4"/>
      <x:c r="FI924" s="4"/>
      <x:c r="FJ924" s="4"/>
      <x:c r="FK924" s="4"/>
      <x:c r="FL924" s="4"/>
      <x:c r="FM924" s="4"/>
      <x:c r="FN924" s="4"/>
      <x:c r="FO924" s="4"/>
      <x:c r="JA924" t="n">
        <x:f>IF(OR(IFERROR(INDIRECT("'WCM Calibration Final'!$A$924")&lt;&gt;"",FALSE),IFERROR(INDIRECT("'WCM Calibration Final'!$B$924")&lt;&gt;"",FALSE),IFERROR(INDIRECT("'WCM Calibration Final'!$C$924")&lt;&gt;"",FALSE)),924,0)</x:f>
        <x:v>0</x:v>
      </x:c>
      <x:c r="JB924" t="n">
        <x:f>'Calculations'!JB923+IF('Calculations'!JA924&gt;0,1,0)</x:f>
        <x:v>0</x:v>
      </x:c>
    </x:row>
    <x:row r="925">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4"/>
      <x:c r="DQ925" s="4"/>
      <x:c r="DR925" s="4"/>
      <x:c r="DS925" s="4"/>
      <x:c r="DT925" s="4"/>
      <x:c r="DU925" s="4"/>
      <x:c r="DV925" s="4"/>
      <x:c r="DW925" s="4"/>
      <x:c r="DX925" s="4"/>
      <x:c r="DY925" s="4"/>
      <x:c r="DZ925" s="4"/>
      <x:c r="EA925" s="4"/>
      <x:c r="EB925" s="4"/>
      <x:c r="EC925" s="4"/>
      <x:c r="ED925" s="4"/>
      <x:c r="EE925" s="4"/>
      <x:c r="EF925" s="4"/>
      <x:c r="EG925" s="4"/>
      <x:c r="EH925" s="4"/>
      <x:c r="EI925" s="4"/>
      <x:c r="EJ925" s="4"/>
      <x:c r="EK925" s="4"/>
      <x:c r="EL925" s="4"/>
      <x:c r="EM925" s="4"/>
      <x:c r="EN925" s="4"/>
      <x:c r="EO925" s="4"/>
      <x:c r="EP925" s="4"/>
      <x:c r="EQ925" s="4"/>
      <x:c r="ER925" s="4"/>
      <x:c r="ES925" s="4"/>
      <x:c r="ET925" s="4"/>
      <x:c r="EU925" s="4"/>
      <x:c r="EV925" s="4"/>
      <x:c r="EW925" s="4"/>
      <x:c r="EX925" s="4"/>
      <x:c r="EY925" s="4"/>
      <x:c r="EZ925" s="4"/>
      <x:c r="FA925" s="4"/>
      <x:c r="FB925" s="4"/>
      <x:c r="FC925" s="4"/>
      <x:c r="FD925" s="4"/>
      <x:c r="FE925" s="4"/>
      <x:c r="FF925" s="4"/>
      <x:c r="FG925" s="4"/>
      <x:c r="FH925" s="4"/>
      <x:c r="FI925" s="4"/>
      <x:c r="FJ925" s="4"/>
      <x:c r="FK925" s="4"/>
      <x:c r="FL925" s="4"/>
      <x:c r="FM925" s="4"/>
      <x:c r="FN925" s="4"/>
      <x:c r="FO925" s="4"/>
      <x:c r="JA925" t="n">
        <x:f>IF(OR(IFERROR(INDIRECT("'WCM Calibration Final'!$A$925")&lt;&gt;"",FALSE),IFERROR(INDIRECT("'WCM Calibration Final'!$B$925")&lt;&gt;"",FALSE),IFERROR(INDIRECT("'WCM Calibration Final'!$C$925")&lt;&gt;"",FALSE)),925,0)</x:f>
        <x:v>0</x:v>
      </x:c>
      <x:c r="JB925" t="n">
        <x:f>'Calculations'!JB924+IF('Calculations'!JA925&gt;0,1,0)</x:f>
        <x:v>0</x:v>
      </x:c>
    </x:row>
    <x:row r="926">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4"/>
      <x:c r="DQ926" s="4"/>
      <x:c r="DR926" s="4"/>
      <x:c r="DS926" s="4"/>
      <x:c r="DT926" s="4"/>
      <x:c r="DU926" s="4"/>
      <x:c r="DV926" s="4"/>
      <x:c r="DW926" s="4"/>
      <x:c r="DX926" s="4"/>
      <x:c r="DY926" s="4"/>
      <x:c r="DZ926" s="4"/>
      <x:c r="EA926" s="4"/>
      <x:c r="EB926" s="4"/>
      <x:c r="EC926" s="4"/>
      <x:c r="ED926" s="4"/>
      <x:c r="EE926" s="4"/>
      <x:c r="EF926" s="4"/>
      <x:c r="EG926" s="4"/>
      <x:c r="EH926" s="4"/>
      <x:c r="EI926" s="4"/>
      <x:c r="EJ926" s="4"/>
      <x:c r="EK926" s="4"/>
      <x:c r="EL926" s="4"/>
      <x:c r="EM926" s="4"/>
      <x:c r="EN926" s="4"/>
      <x:c r="EO926" s="4"/>
      <x:c r="EP926" s="4"/>
      <x:c r="EQ926" s="4"/>
      <x:c r="ER926" s="4"/>
      <x:c r="ES926" s="4"/>
      <x:c r="ET926" s="4"/>
      <x:c r="EU926" s="4"/>
      <x:c r="EV926" s="4"/>
      <x:c r="EW926" s="4"/>
      <x:c r="EX926" s="4"/>
      <x:c r="EY926" s="4"/>
      <x:c r="EZ926" s="4"/>
      <x:c r="FA926" s="4"/>
      <x:c r="FB926" s="4"/>
      <x:c r="FC926" s="4"/>
      <x:c r="FD926" s="4"/>
      <x:c r="FE926" s="4"/>
      <x:c r="FF926" s="4"/>
      <x:c r="FG926" s="4"/>
      <x:c r="FH926" s="4"/>
      <x:c r="FI926" s="4"/>
      <x:c r="FJ926" s="4"/>
      <x:c r="FK926" s="4"/>
      <x:c r="FL926" s="4"/>
      <x:c r="FM926" s="4"/>
      <x:c r="FN926" s="4"/>
      <x:c r="FO926" s="4"/>
      <x:c r="JA926" t="n">
        <x:f>IF(OR(IFERROR(INDIRECT("'WCM Calibration Final'!$A$926")&lt;&gt;"",FALSE),IFERROR(INDIRECT("'WCM Calibration Final'!$B$926")&lt;&gt;"",FALSE),IFERROR(INDIRECT("'WCM Calibration Final'!$C$926")&lt;&gt;"",FALSE)),926,0)</x:f>
        <x:v>0</x:v>
      </x:c>
      <x:c r="JB926" t="n">
        <x:f>'Calculations'!JB925+IF('Calculations'!JA926&gt;0,1,0)</x:f>
        <x:v>0</x:v>
      </x:c>
    </x:row>
    <x:row r="927">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4"/>
      <x:c r="DQ927" s="4"/>
      <x:c r="DR927" s="4"/>
      <x:c r="DS927" s="4"/>
      <x:c r="DT927" s="4"/>
      <x:c r="DU927" s="4"/>
      <x:c r="DV927" s="4"/>
      <x:c r="DW927" s="4"/>
      <x:c r="DX927" s="4"/>
      <x:c r="DY927" s="4"/>
      <x:c r="DZ927" s="4"/>
      <x:c r="EA927" s="4"/>
      <x:c r="EB927" s="4"/>
      <x:c r="EC927" s="4"/>
      <x:c r="ED927" s="4"/>
      <x:c r="EE927" s="4"/>
      <x:c r="EF927" s="4"/>
      <x:c r="EG927" s="4"/>
      <x:c r="EH927" s="4"/>
      <x:c r="EI927" s="4"/>
      <x:c r="EJ927" s="4"/>
      <x:c r="EK927" s="4"/>
      <x:c r="EL927" s="4"/>
      <x:c r="EM927" s="4"/>
      <x:c r="EN927" s="4"/>
      <x:c r="EO927" s="4"/>
      <x:c r="EP927" s="4"/>
      <x:c r="EQ927" s="4"/>
      <x:c r="ER927" s="4"/>
      <x:c r="ES927" s="4"/>
      <x:c r="ET927" s="4"/>
      <x:c r="EU927" s="4"/>
      <x:c r="EV927" s="4"/>
      <x:c r="EW927" s="4"/>
      <x:c r="EX927" s="4"/>
      <x:c r="EY927" s="4"/>
      <x:c r="EZ927" s="4"/>
      <x:c r="FA927" s="4"/>
      <x:c r="FB927" s="4"/>
      <x:c r="FC927" s="4"/>
      <x:c r="FD927" s="4"/>
      <x:c r="FE927" s="4"/>
      <x:c r="FF927" s="4"/>
      <x:c r="FG927" s="4"/>
      <x:c r="FH927" s="4"/>
      <x:c r="FI927" s="4"/>
      <x:c r="FJ927" s="4"/>
      <x:c r="FK927" s="4"/>
      <x:c r="FL927" s="4"/>
      <x:c r="FM927" s="4"/>
      <x:c r="FN927" s="4"/>
      <x:c r="FO927" s="4"/>
      <x:c r="JA927" t="n">
        <x:f>IF(OR(IFERROR(INDIRECT("'WCM Calibration Final'!$A$927")&lt;&gt;"",FALSE),IFERROR(INDIRECT("'WCM Calibration Final'!$B$927")&lt;&gt;"",FALSE),IFERROR(INDIRECT("'WCM Calibration Final'!$C$927")&lt;&gt;"",FALSE)),927,0)</x:f>
        <x:v>0</x:v>
      </x:c>
      <x:c r="JB927" t="n">
        <x:f>'Calculations'!JB926+IF('Calculations'!JA927&gt;0,1,0)</x:f>
        <x:v>0</x:v>
      </x:c>
    </x:row>
    <x:row r="928">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4"/>
      <x:c r="DQ928" s="4"/>
      <x:c r="DR928" s="4"/>
      <x:c r="DS928" s="4"/>
      <x:c r="DT928" s="4"/>
      <x:c r="DU928" s="4"/>
      <x:c r="DV928" s="4"/>
      <x:c r="DW928" s="4"/>
      <x:c r="DX928" s="4"/>
      <x:c r="DY928" s="4"/>
      <x:c r="DZ928" s="4"/>
      <x:c r="EA928" s="4"/>
      <x:c r="EB928" s="4"/>
      <x:c r="EC928" s="4"/>
      <x:c r="ED928" s="4"/>
      <x:c r="EE928" s="4"/>
      <x:c r="EF928" s="4"/>
      <x:c r="EG928" s="4"/>
      <x:c r="EH928" s="4"/>
      <x:c r="EI928" s="4"/>
      <x:c r="EJ928" s="4"/>
      <x:c r="EK928" s="4"/>
      <x:c r="EL928" s="4"/>
      <x:c r="EM928" s="4"/>
      <x:c r="EN928" s="4"/>
      <x:c r="EO928" s="4"/>
      <x:c r="EP928" s="4"/>
      <x:c r="EQ928" s="4"/>
      <x:c r="ER928" s="4"/>
      <x:c r="ES928" s="4"/>
      <x:c r="ET928" s="4"/>
      <x:c r="EU928" s="4"/>
      <x:c r="EV928" s="4"/>
      <x:c r="EW928" s="4"/>
      <x:c r="EX928" s="4"/>
      <x:c r="EY928" s="4"/>
      <x:c r="EZ928" s="4"/>
      <x:c r="FA928" s="4"/>
      <x:c r="FB928" s="4"/>
      <x:c r="FC928" s="4"/>
      <x:c r="FD928" s="4"/>
      <x:c r="FE928" s="4"/>
      <x:c r="FF928" s="4"/>
      <x:c r="FG928" s="4"/>
      <x:c r="FH928" s="4"/>
      <x:c r="FI928" s="4"/>
      <x:c r="FJ928" s="4"/>
      <x:c r="FK928" s="4"/>
      <x:c r="FL928" s="4"/>
      <x:c r="FM928" s="4"/>
      <x:c r="FN928" s="4"/>
      <x:c r="FO928" s="4"/>
      <x:c r="JA928" t="n">
        <x:f>IF(OR(IFERROR(INDIRECT("'WCM Calibration Final'!$A$928")&lt;&gt;"",FALSE),IFERROR(INDIRECT("'WCM Calibration Final'!$B$928")&lt;&gt;"",FALSE),IFERROR(INDIRECT("'WCM Calibration Final'!$C$928")&lt;&gt;"",FALSE)),928,0)</x:f>
        <x:v>0</x:v>
      </x:c>
      <x:c r="JB928" t="n">
        <x:f>'Calculations'!JB927+IF('Calculations'!JA928&gt;0,1,0)</x:f>
        <x:v>0</x:v>
      </x:c>
    </x:row>
    <x:row r="929">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4"/>
      <x:c r="DQ929" s="4"/>
      <x:c r="DR929" s="4"/>
      <x:c r="DS929" s="4"/>
      <x:c r="DT929" s="4"/>
      <x:c r="DU929" s="4"/>
      <x:c r="DV929" s="4"/>
      <x:c r="DW929" s="4"/>
      <x:c r="DX929" s="4"/>
      <x:c r="DY929" s="4"/>
      <x:c r="DZ929" s="4"/>
      <x:c r="EA929" s="4"/>
      <x:c r="EB929" s="4"/>
      <x:c r="EC929" s="4"/>
      <x:c r="ED929" s="4"/>
      <x:c r="EE929" s="4"/>
      <x:c r="EF929" s="4"/>
      <x:c r="EG929" s="4"/>
      <x:c r="EH929" s="4"/>
      <x:c r="EI929" s="4"/>
      <x:c r="EJ929" s="4"/>
      <x:c r="EK929" s="4"/>
      <x:c r="EL929" s="4"/>
      <x:c r="EM929" s="4"/>
      <x:c r="EN929" s="4"/>
      <x:c r="EO929" s="4"/>
      <x:c r="EP929" s="4"/>
      <x:c r="EQ929" s="4"/>
      <x:c r="ER929" s="4"/>
      <x:c r="ES929" s="4"/>
      <x:c r="ET929" s="4"/>
      <x:c r="EU929" s="4"/>
      <x:c r="EV929" s="4"/>
      <x:c r="EW929" s="4"/>
      <x:c r="EX929" s="4"/>
      <x:c r="EY929" s="4"/>
      <x:c r="EZ929" s="4"/>
      <x:c r="FA929" s="4"/>
      <x:c r="FB929" s="4"/>
      <x:c r="FC929" s="4"/>
      <x:c r="FD929" s="4"/>
      <x:c r="FE929" s="4"/>
      <x:c r="FF929" s="4"/>
      <x:c r="FG929" s="4"/>
      <x:c r="FH929" s="4"/>
      <x:c r="FI929" s="4"/>
      <x:c r="FJ929" s="4"/>
      <x:c r="FK929" s="4"/>
      <x:c r="FL929" s="4"/>
      <x:c r="FM929" s="4"/>
      <x:c r="FN929" s="4"/>
      <x:c r="FO929" s="4"/>
      <x:c r="JA929" t="n">
        <x:f>IF(OR(IFERROR(INDIRECT("'WCM Calibration Final'!$A$929")&lt;&gt;"",FALSE),IFERROR(INDIRECT("'WCM Calibration Final'!$B$929")&lt;&gt;"",FALSE),IFERROR(INDIRECT("'WCM Calibration Final'!$C$929")&lt;&gt;"",FALSE)),929,0)</x:f>
        <x:v>0</x:v>
      </x:c>
      <x:c r="JB929" t="n">
        <x:f>'Calculations'!JB928+IF('Calculations'!JA929&gt;0,1,0)</x:f>
        <x:v>0</x:v>
      </x:c>
    </x:row>
    <x:row r="930">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4"/>
      <x:c r="DQ930" s="4"/>
      <x:c r="DR930" s="4"/>
      <x:c r="DS930" s="4"/>
      <x:c r="DT930" s="4"/>
      <x:c r="DU930" s="4"/>
      <x:c r="DV930" s="4"/>
      <x:c r="DW930" s="4"/>
      <x:c r="DX930" s="4"/>
      <x:c r="DY930" s="4"/>
      <x:c r="DZ930" s="4"/>
      <x:c r="EA930" s="4"/>
      <x:c r="EB930" s="4"/>
      <x:c r="EC930" s="4"/>
      <x:c r="ED930" s="4"/>
      <x:c r="EE930" s="4"/>
      <x:c r="EF930" s="4"/>
      <x:c r="EG930" s="4"/>
      <x:c r="EH930" s="4"/>
      <x:c r="EI930" s="4"/>
      <x:c r="EJ930" s="4"/>
      <x:c r="EK930" s="4"/>
      <x:c r="EL930" s="4"/>
      <x:c r="EM930" s="4"/>
      <x:c r="EN930" s="4"/>
      <x:c r="EO930" s="4"/>
      <x:c r="EP930" s="4"/>
      <x:c r="EQ930" s="4"/>
      <x:c r="ER930" s="4"/>
      <x:c r="ES930" s="4"/>
      <x:c r="ET930" s="4"/>
      <x:c r="EU930" s="4"/>
      <x:c r="EV930" s="4"/>
      <x:c r="EW930" s="4"/>
      <x:c r="EX930" s="4"/>
      <x:c r="EY930" s="4"/>
      <x:c r="EZ930" s="4"/>
      <x:c r="FA930" s="4"/>
      <x:c r="FB930" s="4"/>
      <x:c r="FC930" s="4"/>
      <x:c r="FD930" s="4"/>
      <x:c r="FE930" s="4"/>
      <x:c r="FF930" s="4"/>
      <x:c r="FG930" s="4"/>
      <x:c r="FH930" s="4"/>
      <x:c r="FI930" s="4"/>
      <x:c r="FJ930" s="4"/>
      <x:c r="FK930" s="4"/>
      <x:c r="FL930" s="4"/>
      <x:c r="FM930" s="4"/>
      <x:c r="FN930" s="4"/>
      <x:c r="FO930" s="4"/>
      <x:c r="JA930" t="n">
        <x:f>IF(OR(IFERROR(INDIRECT("'WCM Calibration Final'!$A$930")&lt;&gt;"",FALSE),IFERROR(INDIRECT("'WCM Calibration Final'!$B$930")&lt;&gt;"",FALSE),IFERROR(INDIRECT("'WCM Calibration Final'!$C$930")&lt;&gt;"",FALSE)),930,0)</x:f>
        <x:v>0</x:v>
      </x:c>
      <x:c r="JB930" t="n">
        <x:f>'Calculations'!JB929+IF('Calculations'!JA930&gt;0,1,0)</x:f>
        <x:v>0</x:v>
      </x:c>
    </x:row>
    <x:row r="931">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4"/>
      <x:c r="DQ931" s="4"/>
      <x:c r="DR931" s="4"/>
      <x:c r="DS931" s="4"/>
      <x:c r="DT931" s="4"/>
      <x:c r="DU931" s="4"/>
      <x:c r="DV931" s="4"/>
      <x:c r="DW931" s="4"/>
      <x:c r="DX931" s="4"/>
      <x:c r="DY931" s="4"/>
      <x:c r="DZ931" s="4"/>
      <x:c r="EA931" s="4"/>
      <x:c r="EB931" s="4"/>
      <x:c r="EC931" s="4"/>
      <x:c r="ED931" s="4"/>
      <x:c r="EE931" s="4"/>
      <x:c r="EF931" s="4"/>
      <x:c r="EG931" s="4"/>
      <x:c r="EH931" s="4"/>
      <x:c r="EI931" s="4"/>
      <x:c r="EJ931" s="4"/>
      <x:c r="EK931" s="4"/>
      <x:c r="EL931" s="4"/>
      <x:c r="EM931" s="4"/>
      <x:c r="EN931" s="4"/>
      <x:c r="EO931" s="4"/>
      <x:c r="EP931" s="4"/>
      <x:c r="EQ931" s="4"/>
      <x:c r="ER931" s="4"/>
      <x:c r="ES931" s="4"/>
      <x:c r="ET931" s="4"/>
      <x:c r="EU931" s="4"/>
      <x:c r="EV931" s="4"/>
      <x:c r="EW931" s="4"/>
      <x:c r="EX931" s="4"/>
      <x:c r="EY931" s="4"/>
      <x:c r="EZ931" s="4"/>
      <x:c r="FA931" s="4"/>
      <x:c r="FB931" s="4"/>
      <x:c r="FC931" s="4"/>
      <x:c r="FD931" s="4"/>
      <x:c r="FE931" s="4"/>
      <x:c r="FF931" s="4"/>
      <x:c r="FG931" s="4"/>
      <x:c r="FH931" s="4"/>
      <x:c r="FI931" s="4"/>
      <x:c r="FJ931" s="4"/>
      <x:c r="FK931" s="4"/>
      <x:c r="FL931" s="4"/>
      <x:c r="FM931" s="4"/>
      <x:c r="FN931" s="4"/>
      <x:c r="FO931" s="4"/>
      <x:c r="JA931" t="n">
        <x:f>IF(OR(IFERROR(INDIRECT("'WCM Calibration Final'!$A$931")&lt;&gt;"",FALSE),IFERROR(INDIRECT("'WCM Calibration Final'!$B$931")&lt;&gt;"",FALSE),IFERROR(INDIRECT("'WCM Calibration Final'!$C$931")&lt;&gt;"",FALSE)),931,0)</x:f>
        <x:v>0</x:v>
      </x:c>
      <x:c r="JB931" t="n">
        <x:f>'Calculations'!JB930+IF('Calculations'!JA931&gt;0,1,0)</x:f>
        <x:v>0</x:v>
      </x:c>
    </x:row>
    <x:row r="932">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4"/>
      <x:c r="DQ932" s="4"/>
      <x:c r="DR932" s="4"/>
      <x:c r="DS932" s="4"/>
      <x:c r="DT932" s="4"/>
      <x:c r="DU932" s="4"/>
      <x:c r="DV932" s="4"/>
      <x:c r="DW932" s="4"/>
      <x:c r="DX932" s="4"/>
      <x:c r="DY932" s="4"/>
      <x:c r="DZ932" s="4"/>
      <x:c r="EA932" s="4"/>
      <x:c r="EB932" s="4"/>
      <x:c r="EC932" s="4"/>
      <x:c r="ED932" s="4"/>
      <x:c r="EE932" s="4"/>
      <x:c r="EF932" s="4"/>
      <x:c r="EG932" s="4"/>
      <x:c r="EH932" s="4"/>
      <x:c r="EI932" s="4"/>
      <x:c r="EJ932" s="4"/>
      <x:c r="EK932" s="4"/>
      <x:c r="EL932" s="4"/>
      <x:c r="EM932" s="4"/>
      <x:c r="EN932" s="4"/>
      <x:c r="EO932" s="4"/>
      <x:c r="EP932" s="4"/>
      <x:c r="EQ932" s="4"/>
      <x:c r="ER932" s="4"/>
      <x:c r="ES932" s="4"/>
      <x:c r="ET932" s="4"/>
      <x:c r="EU932" s="4"/>
      <x:c r="EV932" s="4"/>
      <x:c r="EW932" s="4"/>
      <x:c r="EX932" s="4"/>
      <x:c r="EY932" s="4"/>
      <x:c r="EZ932" s="4"/>
      <x:c r="FA932" s="4"/>
      <x:c r="FB932" s="4"/>
      <x:c r="FC932" s="4"/>
      <x:c r="FD932" s="4"/>
      <x:c r="FE932" s="4"/>
      <x:c r="FF932" s="4"/>
      <x:c r="FG932" s="4"/>
      <x:c r="FH932" s="4"/>
      <x:c r="FI932" s="4"/>
      <x:c r="FJ932" s="4"/>
      <x:c r="FK932" s="4"/>
      <x:c r="FL932" s="4"/>
      <x:c r="FM932" s="4"/>
      <x:c r="FN932" s="4"/>
      <x:c r="FO932" s="4"/>
      <x:c r="JA932" t="n">
        <x:f>IF(OR(IFERROR(INDIRECT("'WCM Calibration Final'!$A$932")&lt;&gt;"",FALSE),IFERROR(INDIRECT("'WCM Calibration Final'!$B$932")&lt;&gt;"",FALSE),IFERROR(INDIRECT("'WCM Calibration Final'!$C$932")&lt;&gt;"",FALSE)),932,0)</x:f>
        <x:v>0</x:v>
      </x:c>
      <x:c r="JB932" t="n">
        <x:f>'Calculations'!JB931+IF('Calculations'!JA932&gt;0,1,0)</x:f>
        <x:v>0</x:v>
      </x:c>
    </x:row>
    <x:row r="933">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4"/>
      <x:c r="DQ933" s="4"/>
      <x:c r="DR933" s="4"/>
      <x:c r="DS933" s="4"/>
      <x:c r="DT933" s="4"/>
      <x:c r="DU933" s="4"/>
      <x:c r="DV933" s="4"/>
      <x:c r="DW933" s="4"/>
      <x:c r="DX933" s="4"/>
      <x:c r="DY933" s="4"/>
      <x:c r="DZ933" s="4"/>
      <x:c r="EA933" s="4"/>
      <x:c r="EB933" s="4"/>
      <x:c r="EC933" s="4"/>
      <x:c r="ED933" s="4"/>
      <x:c r="EE933" s="4"/>
      <x:c r="EF933" s="4"/>
      <x:c r="EG933" s="4"/>
      <x:c r="EH933" s="4"/>
      <x:c r="EI933" s="4"/>
      <x:c r="EJ933" s="4"/>
      <x:c r="EK933" s="4"/>
      <x:c r="EL933" s="4"/>
      <x:c r="EM933" s="4"/>
      <x:c r="EN933" s="4"/>
      <x:c r="EO933" s="4"/>
      <x:c r="EP933" s="4"/>
      <x:c r="EQ933" s="4"/>
      <x:c r="ER933" s="4"/>
      <x:c r="ES933" s="4"/>
      <x:c r="ET933" s="4"/>
      <x:c r="EU933" s="4"/>
      <x:c r="EV933" s="4"/>
      <x:c r="EW933" s="4"/>
      <x:c r="EX933" s="4"/>
      <x:c r="EY933" s="4"/>
      <x:c r="EZ933" s="4"/>
      <x:c r="FA933" s="4"/>
      <x:c r="FB933" s="4"/>
      <x:c r="FC933" s="4"/>
      <x:c r="FD933" s="4"/>
      <x:c r="FE933" s="4"/>
      <x:c r="FF933" s="4"/>
      <x:c r="FG933" s="4"/>
      <x:c r="FH933" s="4"/>
      <x:c r="FI933" s="4"/>
      <x:c r="FJ933" s="4"/>
      <x:c r="FK933" s="4"/>
      <x:c r="FL933" s="4"/>
      <x:c r="FM933" s="4"/>
      <x:c r="FN933" s="4"/>
      <x:c r="FO933" s="4"/>
      <x:c r="JA933" t="n">
        <x:f>IF(OR(IFERROR(INDIRECT("'WCM Calibration Final'!$A$933")&lt;&gt;"",FALSE),IFERROR(INDIRECT("'WCM Calibration Final'!$B$933")&lt;&gt;"",FALSE),IFERROR(INDIRECT("'WCM Calibration Final'!$C$933")&lt;&gt;"",FALSE)),933,0)</x:f>
        <x:v>0</x:v>
      </x:c>
      <x:c r="JB933" t="n">
        <x:f>'Calculations'!JB932+IF('Calculations'!JA933&gt;0,1,0)</x:f>
        <x:v>0</x:v>
      </x:c>
    </x:row>
    <x:row r="934">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4"/>
      <x:c r="DQ934" s="4"/>
      <x:c r="DR934" s="4"/>
      <x:c r="DS934" s="4"/>
      <x:c r="DT934" s="4"/>
      <x:c r="DU934" s="4"/>
      <x:c r="DV934" s="4"/>
      <x:c r="DW934" s="4"/>
      <x:c r="DX934" s="4"/>
      <x:c r="DY934" s="4"/>
      <x:c r="DZ934" s="4"/>
      <x:c r="EA934" s="4"/>
      <x:c r="EB934" s="4"/>
      <x:c r="EC934" s="4"/>
      <x:c r="ED934" s="4"/>
      <x:c r="EE934" s="4"/>
      <x:c r="EF934" s="4"/>
      <x:c r="EG934" s="4"/>
      <x:c r="EH934" s="4"/>
      <x:c r="EI934" s="4"/>
      <x:c r="EJ934" s="4"/>
      <x:c r="EK934" s="4"/>
      <x:c r="EL934" s="4"/>
      <x:c r="EM934" s="4"/>
      <x:c r="EN934" s="4"/>
      <x:c r="EO934" s="4"/>
      <x:c r="EP934" s="4"/>
      <x:c r="EQ934" s="4"/>
      <x:c r="ER934" s="4"/>
      <x:c r="ES934" s="4"/>
      <x:c r="ET934" s="4"/>
      <x:c r="EU934" s="4"/>
      <x:c r="EV934" s="4"/>
      <x:c r="EW934" s="4"/>
      <x:c r="EX934" s="4"/>
      <x:c r="EY934" s="4"/>
      <x:c r="EZ934" s="4"/>
      <x:c r="FA934" s="4"/>
      <x:c r="FB934" s="4"/>
      <x:c r="FC934" s="4"/>
      <x:c r="FD934" s="4"/>
      <x:c r="FE934" s="4"/>
      <x:c r="FF934" s="4"/>
      <x:c r="FG934" s="4"/>
      <x:c r="FH934" s="4"/>
      <x:c r="FI934" s="4"/>
      <x:c r="FJ934" s="4"/>
      <x:c r="FK934" s="4"/>
      <x:c r="FL934" s="4"/>
      <x:c r="FM934" s="4"/>
      <x:c r="FN934" s="4"/>
      <x:c r="FO934" s="4"/>
      <x:c r="JA934" t="n">
        <x:f>IF(OR(IFERROR(INDIRECT("'WCM Calibration Final'!$A$934")&lt;&gt;"",FALSE),IFERROR(INDIRECT("'WCM Calibration Final'!$B$934")&lt;&gt;"",FALSE),IFERROR(INDIRECT("'WCM Calibration Final'!$C$934")&lt;&gt;"",FALSE)),934,0)</x:f>
        <x:v>0</x:v>
      </x:c>
      <x:c r="JB934" t="n">
        <x:f>'Calculations'!JB933+IF('Calculations'!JA934&gt;0,1,0)</x:f>
        <x:v>0</x:v>
      </x:c>
    </x:row>
    <x:row r="935">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4"/>
      <x:c r="DQ935" s="4"/>
      <x:c r="DR935" s="4"/>
      <x:c r="DS935" s="4"/>
      <x:c r="DT935" s="4"/>
      <x:c r="DU935" s="4"/>
      <x:c r="DV935" s="4"/>
      <x:c r="DW935" s="4"/>
      <x:c r="DX935" s="4"/>
      <x:c r="DY935" s="4"/>
      <x:c r="DZ935" s="4"/>
      <x:c r="EA935" s="4"/>
      <x:c r="EB935" s="4"/>
      <x:c r="EC935" s="4"/>
      <x:c r="ED935" s="4"/>
      <x:c r="EE935" s="4"/>
      <x:c r="EF935" s="4"/>
      <x:c r="EG935" s="4"/>
      <x:c r="EH935" s="4"/>
      <x:c r="EI935" s="4"/>
      <x:c r="EJ935" s="4"/>
      <x:c r="EK935" s="4"/>
      <x:c r="EL935" s="4"/>
      <x:c r="EM935" s="4"/>
      <x:c r="EN935" s="4"/>
      <x:c r="EO935" s="4"/>
      <x:c r="EP935" s="4"/>
      <x:c r="EQ935" s="4"/>
      <x:c r="ER935" s="4"/>
      <x:c r="ES935" s="4"/>
      <x:c r="ET935" s="4"/>
      <x:c r="EU935" s="4"/>
      <x:c r="EV935" s="4"/>
      <x:c r="EW935" s="4"/>
      <x:c r="EX935" s="4"/>
      <x:c r="EY935" s="4"/>
      <x:c r="EZ935" s="4"/>
      <x:c r="FA935" s="4"/>
      <x:c r="FB935" s="4"/>
      <x:c r="FC935" s="4"/>
      <x:c r="FD935" s="4"/>
      <x:c r="FE935" s="4"/>
      <x:c r="FF935" s="4"/>
      <x:c r="FG935" s="4"/>
      <x:c r="FH935" s="4"/>
      <x:c r="FI935" s="4"/>
      <x:c r="FJ935" s="4"/>
      <x:c r="FK935" s="4"/>
      <x:c r="FL935" s="4"/>
      <x:c r="FM935" s="4"/>
      <x:c r="FN935" s="4"/>
      <x:c r="FO935" s="4"/>
      <x:c r="JA935" t="n">
        <x:f>IF(OR(IFERROR(INDIRECT("'WCM Calibration Final'!$A$935")&lt;&gt;"",FALSE),IFERROR(INDIRECT("'WCM Calibration Final'!$B$935")&lt;&gt;"",FALSE),IFERROR(INDIRECT("'WCM Calibration Final'!$C$935")&lt;&gt;"",FALSE)),935,0)</x:f>
        <x:v>0</x:v>
      </x:c>
      <x:c r="JB935" t="n">
        <x:f>'Calculations'!JB934+IF('Calculations'!JA935&gt;0,1,0)</x:f>
        <x:v>0</x:v>
      </x:c>
    </x:row>
    <x:row r="936">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4"/>
      <x:c r="DQ936" s="4"/>
      <x:c r="DR936" s="4"/>
      <x:c r="DS936" s="4"/>
      <x:c r="DT936" s="4"/>
      <x:c r="DU936" s="4"/>
      <x:c r="DV936" s="4"/>
      <x:c r="DW936" s="4"/>
      <x:c r="DX936" s="4"/>
      <x:c r="DY936" s="4"/>
      <x:c r="DZ936" s="4"/>
      <x:c r="EA936" s="4"/>
      <x:c r="EB936" s="4"/>
      <x:c r="EC936" s="4"/>
      <x:c r="ED936" s="4"/>
      <x:c r="EE936" s="4"/>
      <x:c r="EF936" s="4"/>
      <x:c r="EG936" s="4"/>
      <x:c r="EH936" s="4"/>
      <x:c r="EI936" s="4"/>
      <x:c r="EJ936" s="4"/>
      <x:c r="EK936" s="4"/>
      <x:c r="EL936" s="4"/>
      <x:c r="EM936" s="4"/>
      <x:c r="EN936" s="4"/>
      <x:c r="EO936" s="4"/>
      <x:c r="EP936" s="4"/>
      <x:c r="EQ936" s="4"/>
      <x:c r="ER936" s="4"/>
      <x:c r="ES936" s="4"/>
      <x:c r="ET936" s="4"/>
      <x:c r="EU936" s="4"/>
      <x:c r="EV936" s="4"/>
      <x:c r="EW936" s="4"/>
      <x:c r="EX936" s="4"/>
      <x:c r="EY936" s="4"/>
      <x:c r="EZ936" s="4"/>
      <x:c r="FA936" s="4"/>
      <x:c r="FB936" s="4"/>
      <x:c r="FC936" s="4"/>
      <x:c r="FD936" s="4"/>
      <x:c r="FE936" s="4"/>
      <x:c r="FF936" s="4"/>
      <x:c r="FG936" s="4"/>
      <x:c r="FH936" s="4"/>
      <x:c r="FI936" s="4"/>
      <x:c r="FJ936" s="4"/>
      <x:c r="FK936" s="4"/>
      <x:c r="FL936" s="4"/>
      <x:c r="FM936" s="4"/>
      <x:c r="FN936" s="4"/>
      <x:c r="FO936" s="4"/>
      <x:c r="JA936" t="n">
        <x:f>IF(OR(IFERROR(INDIRECT("'WCM Calibration Final'!$A$936")&lt;&gt;"",FALSE),IFERROR(INDIRECT("'WCM Calibration Final'!$B$936")&lt;&gt;"",FALSE),IFERROR(INDIRECT("'WCM Calibration Final'!$C$936")&lt;&gt;"",FALSE)),936,0)</x:f>
        <x:v>0</x:v>
      </x:c>
      <x:c r="JB936" t="n">
        <x:f>'Calculations'!JB935+IF('Calculations'!JA936&gt;0,1,0)</x:f>
        <x:v>0</x:v>
      </x:c>
    </x:row>
    <x:row r="937">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4"/>
      <x:c r="DQ937" s="4"/>
      <x:c r="DR937" s="4"/>
      <x:c r="DS937" s="4"/>
      <x:c r="DT937" s="4"/>
      <x:c r="DU937" s="4"/>
      <x:c r="DV937" s="4"/>
      <x:c r="DW937" s="4"/>
      <x:c r="DX937" s="4"/>
      <x:c r="DY937" s="4"/>
      <x:c r="DZ937" s="4"/>
      <x:c r="EA937" s="4"/>
      <x:c r="EB937" s="4"/>
      <x:c r="EC937" s="4"/>
      <x:c r="ED937" s="4"/>
      <x:c r="EE937" s="4"/>
      <x:c r="EF937" s="4"/>
      <x:c r="EG937" s="4"/>
      <x:c r="EH937" s="4"/>
      <x:c r="EI937" s="4"/>
      <x:c r="EJ937" s="4"/>
      <x:c r="EK937" s="4"/>
      <x:c r="EL937" s="4"/>
      <x:c r="EM937" s="4"/>
      <x:c r="EN937" s="4"/>
      <x:c r="EO937" s="4"/>
      <x:c r="EP937" s="4"/>
      <x:c r="EQ937" s="4"/>
      <x:c r="ER937" s="4"/>
      <x:c r="ES937" s="4"/>
      <x:c r="ET937" s="4"/>
      <x:c r="EU937" s="4"/>
      <x:c r="EV937" s="4"/>
      <x:c r="EW937" s="4"/>
      <x:c r="EX937" s="4"/>
      <x:c r="EY937" s="4"/>
      <x:c r="EZ937" s="4"/>
      <x:c r="FA937" s="4"/>
      <x:c r="FB937" s="4"/>
      <x:c r="FC937" s="4"/>
      <x:c r="FD937" s="4"/>
      <x:c r="FE937" s="4"/>
      <x:c r="FF937" s="4"/>
      <x:c r="FG937" s="4"/>
      <x:c r="FH937" s="4"/>
      <x:c r="FI937" s="4"/>
      <x:c r="FJ937" s="4"/>
      <x:c r="FK937" s="4"/>
      <x:c r="FL937" s="4"/>
      <x:c r="FM937" s="4"/>
      <x:c r="FN937" s="4"/>
      <x:c r="FO937" s="4"/>
      <x:c r="JA937" t="n">
        <x:f>IF(OR(IFERROR(INDIRECT("'WCM Calibration Final'!$A$937")&lt;&gt;"",FALSE),IFERROR(INDIRECT("'WCM Calibration Final'!$B$937")&lt;&gt;"",FALSE),IFERROR(INDIRECT("'WCM Calibration Final'!$C$937")&lt;&gt;"",FALSE)),937,0)</x:f>
        <x:v>0</x:v>
      </x:c>
      <x:c r="JB937" t="n">
        <x:f>'Calculations'!JB936+IF('Calculations'!JA937&gt;0,1,0)</x:f>
        <x:v>0</x:v>
      </x:c>
    </x:row>
    <x:row r="938">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4"/>
      <x:c r="DQ938" s="4"/>
      <x:c r="DR938" s="4"/>
      <x:c r="DS938" s="4"/>
      <x:c r="DT938" s="4"/>
      <x:c r="DU938" s="4"/>
      <x:c r="DV938" s="4"/>
      <x:c r="DW938" s="4"/>
      <x:c r="DX938" s="4"/>
      <x:c r="DY938" s="4"/>
      <x:c r="DZ938" s="4"/>
      <x:c r="EA938" s="4"/>
      <x:c r="EB938" s="4"/>
      <x:c r="EC938" s="4"/>
      <x:c r="ED938" s="4"/>
      <x:c r="EE938" s="4"/>
      <x:c r="EF938" s="4"/>
      <x:c r="EG938" s="4"/>
      <x:c r="EH938" s="4"/>
      <x:c r="EI938" s="4"/>
      <x:c r="EJ938" s="4"/>
      <x:c r="EK938" s="4"/>
      <x:c r="EL938" s="4"/>
      <x:c r="EM938" s="4"/>
      <x:c r="EN938" s="4"/>
      <x:c r="EO938" s="4"/>
      <x:c r="EP938" s="4"/>
      <x:c r="EQ938" s="4"/>
      <x:c r="ER938" s="4"/>
      <x:c r="ES938" s="4"/>
      <x:c r="ET938" s="4"/>
      <x:c r="EU938" s="4"/>
      <x:c r="EV938" s="4"/>
      <x:c r="EW938" s="4"/>
      <x:c r="EX938" s="4"/>
      <x:c r="EY938" s="4"/>
      <x:c r="EZ938" s="4"/>
      <x:c r="FA938" s="4"/>
      <x:c r="FB938" s="4"/>
      <x:c r="FC938" s="4"/>
      <x:c r="FD938" s="4"/>
      <x:c r="FE938" s="4"/>
      <x:c r="FF938" s="4"/>
      <x:c r="FG938" s="4"/>
      <x:c r="FH938" s="4"/>
      <x:c r="FI938" s="4"/>
      <x:c r="FJ938" s="4"/>
      <x:c r="FK938" s="4"/>
      <x:c r="FL938" s="4"/>
      <x:c r="FM938" s="4"/>
      <x:c r="FN938" s="4"/>
      <x:c r="FO938" s="4"/>
      <x:c r="JA938" t="n">
        <x:f>IF(OR(IFERROR(INDIRECT("'WCM Calibration Final'!$A$938")&lt;&gt;"",FALSE),IFERROR(INDIRECT("'WCM Calibration Final'!$B$938")&lt;&gt;"",FALSE),IFERROR(INDIRECT("'WCM Calibration Final'!$C$938")&lt;&gt;"",FALSE)),938,0)</x:f>
        <x:v>0</x:v>
      </x:c>
      <x:c r="JB938" t="n">
        <x:f>'Calculations'!JB937+IF('Calculations'!JA938&gt;0,1,0)</x:f>
        <x:v>0</x:v>
      </x:c>
    </x:row>
    <x:row r="939">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4"/>
      <x:c r="DQ939" s="4"/>
      <x:c r="DR939" s="4"/>
      <x:c r="DS939" s="4"/>
      <x:c r="DT939" s="4"/>
      <x:c r="DU939" s="4"/>
      <x:c r="DV939" s="4"/>
      <x:c r="DW939" s="4"/>
      <x:c r="DX939" s="4"/>
      <x:c r="DY939" s="4"/>
      <x:c r="DZ939" s="4"/>
      <x:c r="EA939" s="4"/>
      <x:c r="EB939" s="4"/>
      <x:c r="EC939" s="4"/>
      <x:c r="ED939" s="4"/>
      <x:c r="EE939" s="4"/>
      <x:c r="EF939" s="4"/>
      <x:c r="EG939" s="4"/>
      <x:c r="EH939" s="4"/>
      <x:c r="EI939" s="4"/>
      <x:c r="EJ939" s="4"/>
      <x:c r="EK939" s="4"/>
      <x:c r="EL939" s="4"/>
      <x:c r="EM939" s="4"/>
      <x:c r="EN939" s="4"/>
      <x:c r="EO939" s="4"/>
      <x:c r="EP939" s="4"/>
      <x:c r="EQ939" s="4"/>
      <x:c r="ER939" s="4"/>
      <x:c r="ES939" s="4"/>
      <x:c r="ET939" s="4"/>
      <x:c r="EU939" s="4"/>
      <x:c r="EV939" s="4"/>
      <x:c r="EW939" s="4"/>
      <x:c r="EX939" s="4"/>
      <x:c r="EY939" s="4"/>
      <x:c r="EZ939" s="4"/>
      <x:c r="FA939" s="4"/>
      <x:c r="FB939" s="4"/>
      <x:c r="FC939" s="4"/>
      <x:c r="FD939" s="4"/>
      <x:c r="FE939" s="4"/>
      <x:c r="FF939" s="4"/>
      <x:c r="FG939" s="4"/>
      <x:c r="FH939" s="4"/>
      <x:c r="FI939" s="4"/>
      <x:c r="FJ939" s="4"/>
      <x:c r="FK939" s="4"/>
      <x:c r="FL939" s="4"/>
      <x:c r="FM939" s="4"/>
      <x:c r="FN939" s="4"/>
      <x:c r="FO939" s="4"/>
      <x:c r="JA939" t="n">
        <x:f>IF(OR(IFERROR(INDIRECT("'WCM Calibration Final'!$A$939")&lt;&gt;"",FALSE),IFERROR(INDIRECT("'WCM Calibration Final'!$B$939")&lt;&gt;"",FALSE),IFERROR(INDIRECT("'WCM Calibration Final'!$C$939")&lt;&gt;"",FALSE)),939,0)</x:f>
        <x:v>0</x:v>
      </x:c>
      <x:c r="JB939" t="n">
        <x:f>'Calculations'!JB938+IF('Calculations'!JA939&gt;0,1,0)</x:f>
        <x:v>0</x:v>
      </x:c>
    </x:row>
    <x:row r="940">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4"/>
      <x:c r="DQ940" s="4"/>
      <x:c r="DR940" s="4"/>
      <x:c r="DS940" s="4"/>
      <x:c r="DT940" s="4"/>
      <x:c r="DU940" s="4"/>
      <x:c r="DV940" s="4"/>
      <x:c r="DW940" s="4"/>
      <x:c r="DX940" s="4"/>
      <x:c r="DY940" s="4"/>
      <x:c r="DZ940" s="4"/>
      <x:c r="EA940" s="4"/>
      <x:c r="EB940" s="4"/>
      <x:c r="EC940" s="4"/>
      <x:c r="ED940" s="4"/>
      <x:c r="EE940" s="4"/>
      <x:c r="EF940" s="4"/>
      <x:c r="EG940" s="4"/>
      <x:c r="EH940" s="4"/>
      <x:c r="EI940" s="4"/>
      <x:c r="EJ940" s="4"/>
      <x:c r="EK940" s="4"/>
      <x:c r="EL940" s="4"/>
      <x:c r="EM940" s="4"/>
      <x:c r="EN940" s="4"/>
      <x:c r="EO940" s="4"/>
      <x:c r="EP940" s="4"/>
      <x:c r="EQ940" s="4"/>
      <x:c r="ER940" s="4"/>
      <x:c r="ES940" s="4"/>
      <x:c r="ET940" s="4"/>
      <x:c r="EU940" s="4"/>
      <x:c r="EV940" s="4"/>
      <x:c r="EW940" s="4"/>
      <x:c r="EX940" s="4"/>
      <x:c r="EY940" s="4"/>
      <x:c r="EZ940" s="4"/>
      <x:c r="FA940" s="4"/>
      <x:c r="FB940" s="4"/>
      <x:c r="FC940" s="4"/>
      <x:c r="FD940" s="4"/>
      <x:c r="FE940" s="4"/>
      <x:c r="FF940" s="4"/>
      <x:c r="FG940" s="4"/>
      <x:c r="FH940" s="4"/>
      <x:c r="FI940" s="4"/>
      <x:c r="FJ940" s="4"/>
      <x:c r="FK940" s="4"/>
      <x:c r="FL940" s="4"/>
      <x:c r="FM940" s="4"/>
      <x:c r="FN940" s="4"/>
      <x:c r="FO940" s="4"/>
      <x:c r="JA940" t="n">
        <x:f>IF(OR(IFERROR(INDIRECT("'WCM Calibration Final'!$A$940")&lt;&gt;"",FALSE),IFERROR(INDIRECT("'WCM Calibration Final'!$B$940")&lt;&gt;"",FALSE),IFERROR(INDIRECT("'WCM Calibration Final'!$C$940")&lt;&gt;"",FALSE)),940,0)</x:f>
        <x:v>0</x:v>
      </x:c>
      <x:c r="JB940" t="n">
        <x:f>'Calculations'!JB939+IF('Calculations'!JA940&gt;0,1,0)</x:f>
        <x:v>0</x:v>
      </x:c>
    </x:row>
    <x:row r="941">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4"/>
      <x:c r="DQ941" s="4"/>
      <x:c r="DR941" s="4"/>
      <x:c r="DS941" s="4"/>
      <x:c r="DT941" s="4"/>
      <x:c r="DU941" s="4"/>
      <x:c r="DV941" s="4"/>
      <x:c r="DW941" s="4"/>
      <x:c r="DX941" s="4"/>
      <x:c r="DY941" s="4"/>
      <x:c r="DZ941" s="4"/>
      <x:c r="EA941" s="4"/>
      <x:c r="EB941" s="4"/>
      <x:c r="EC941" s="4"/>
      <x:c r="ED941" s="4"/>
      <x:c r="EE941" s="4"/>
      <x:c r="EF941" s="4"/>
      <x:c r="EG941" s="4"/>
      <x:c r="EH941" s="4"/>
      <x:c r="EI941" s="4"/>
      <x:c r="EJ941" s="4"/>
      <x:c r="EK941" s="4"/>
      <x:c r="EL941" s="4"/>
      <x:c r="EM941" s="4"/>
      <x:c r="EN941" s="4"/>
      <x:c r="EO941" s="4"/>
      <x:c r="EP941" s="4"/>
      <x:c r="EQ941" s="4"/>
      <x:c r="ER941" s="4"/>
      <x:c r="ES941" s="4"/>
      <x:c r="ET941" s="4"/>
      <x:c r="EU941" s="4"/>
      <x:c r="EV941" s="4"/>
      <x:c r="EW941" s="4"/>
      <x:c r="EX941" s="4"/>
      <x:c r="EY941" s="4"/>
      <x:c r="EZ941" s="4"/>
      <x:c r="FA941" s="4"/>
      <x:c r="FB941" s="4"/>
      <x:c r="FC941" s="4"/>
      <x:c r="FD941" s="4"/>
      <x:c r="FE941" s="4"/>
      <x:c r="FF941" s="4"/>
      <x:c r="FG941" s="4"/>
      <x:c r="FH941" s="4"/>
      <x:c r="FI941" s="4"/>
      <x:c r="FJ941" s="4"/>
      <x:c r="FK941" s="4"/>
      <x:c r="FL941" s="4"/>
      <x:c r="FM941" s="4"/>
      <x:c r="FN941" s="4"/>
      <x:c r="FO941" s="4"/>
      <x:c r="JA941" t="n">
        <x:f>IF(OR(IFERROR(INDIRECT("'WCM Calibration Final'!$A$941")&lt;&gt;"",FALSE),IFERROR(INDIRECT("'WCM Calibration Final'!$B$941")&lt;&gt;"",FALSE),IFERROR(INDIRECT("'WCM Calibration Final'!$C$941")&lt;&gt;"",FALSE)),941,0)</x:f>
        <x:v>0</x:v>
      </x:c>
      <x:c r="JB941" t="n">
        <x:f>'Calculations'!JB940+IF('Calculations'!JA941&gt;0,1,0)</x:f>
        <x:v>0</x:v>
      </x:c>
    </x:row>
    <x:row r="942">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4"/>
      <x:c r="DQ942" s="4"/>
      <x:c r="DR942" s="4"/>
      <x:c r="DS942" s="4"/>
      <x:c r="DT942" s="4"/>
      <x:c r="DU942" s="4"/>
      <x:c r="DV942" s="4"/>
      <x:c r="DW942" s="4"/>
      <x:c r="DX942" s="4"/>
      <x:c r="DY942" s="4"/>
      <x:c r="DZ942" s="4"/>
      <x:c r="EA942" s="4"/>
      <x:c r="EB942" s="4"/>
      <x:c r="EC942" s="4"/>
      <x:c r="ED942" s="4"/>
      <x:c r="EE942" s="4"/>
      <x:c r="EF942" s="4"/>
      <x:c r="EG942" s="4"/>
      <x:c r="EH942" s="4"/>
      <x:c r="EI942" s="4"/>
      <x:c r="EJ942" s="4"/>
      <x:c r="EK942" s="4"/>
      <x:c r="EL942" s="4"/>
      <x:c r="EM942" s="4"/>
      <x:c r="EN942" s="4"/>
      <x:c r="EO942" s="4"/>
      <x:c r="EP942" s="4"/>
      <x:c r="EQ942" s="4"/>
      <x:c r="ER942" s="4"/>
      <x:c r="ES942" s="4"/>
      <x:c r="ET942" s="4"/>
      <x:c r="EU942" s="4"/>
      <x:c r="EV942" s="4"/>
      <x:c r="EW942" s="4"/>
      <x:c r="EX942" s="4"/>
      <x:c r="EY942" s="4"/>
      <x:c r="EZ942" s="4"/>
      <x:c r="FA942" s="4"/>
      <x:c r="FB942" s="4"/>
      <x:c r="FC942" s="4"/>
      <x:c r="FD942" s="4"/>
      <x:c r="FE942" s="4"/>
      <x:c r="FF942" s="4"/>
      <x:c r="FG942" s="4"/>
      <x:c r="FH942" s="4"/>
      <x:c r="FI942" s="4"/>
      <x:c r="FJ942" s="4"/>
      <x:c r="FK942" s="4"/>
      <x:c r="FL942" s="4"/>
      <x:c r="FM942" s="4"/>
      <x:c r="FN942" s="4"/>
      <x:c r="FO942" s="4"/>
      <x:c r="JA942" t="n">
        <x:f>IF(OR(IFERROR(INDIRECT("'WCM Calibration Final'!$A$942")&lt;&gt;"",FALSE),IFERROR(INDIRECT("'WCM Calibration Final'!$B$942")&lt;&gt;"",FALSE),IFERROR(INDIRECT("'WCM Calibration Final'!$C$942")&lt;&gt;"",FALSE)),942,0)</x:f>
        <x:v>0</x:v>
      </x:c>
      <x:c r="JB942" t="n">
        <x:f>'Calculations'!JB941+IF('Calculations'!JA942&gt;0,1,0)</x:f>
        <x:v>0</x:v>
      </x:c>
    </x:row>
    <x:row r="943">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4"/>
      <x:c r="DQ943" s="4"/>
      <x:c r="DR943" s="4"/>
      <x:c r="DS943" s="4"/>
      <x:c r="DT943" s="4"/>
      <x:c r="DU943" s="4"/>
      <x:c r="DV943" s="4"/>
      <x:c r="DW943" s="4"/>
      <x:c r="DX943" s="4"/>
      <x:c r="DY943" s="4"/>
      <x:c r="DZ943" s="4"/>
      <x:c r="EA943" s="4"/>
      <x:c r="EB943" s="4"/>
      <x:c r="EC943" s="4"/>
      <x:c r="ED943" s="4"/>
      <x:c r="EE943" s="4"/>
      <x:c r="EF943" s="4"/>
      <x:c r="EG943" s="4"/>
      <x:c r="EH943" s="4"/>
      <x:c r="EI943" s="4"/>
      <x:c r="EJ943" s="4"/>
      <x:c r="EK943" s="4"/>
      <x:c r="EL943" s="4"/>
      <x:c r="EM943" s="4"/>
      <x:c r="EN943" s="4"/>
      <x:c r="EO943" s="4"/>
      <x:c r="EP943" s="4"/>
      <x:c r="EQ943" s="4"/>
      <x:c r="ER943" s="4"/>
      <x:c r="ES943" s="4"/>
      <x:c r="ET943" s="4"/>
      <x:c r="EU943" s="4"/>
      <x:c r="EV943" s="4"/>
      <x:c r="EW943" s="4"/>
      <x:c r="EX943" s="4"/>
      <x:c r="EY943" s="4"/>
      <x:c r="EZ943" s="4"/>
      <x:c r="FA943" s="4"/>
      <x:c r="FB943" s="4"/>
      <x:c r="FC943" s="4"/>
      <x:c r="FD943" s="4"/>
      <x:c r="FE943" s="4"/>
      <x:c r="FF943" s="4"/>
      <x:c r="FG943" s="4"/>
      <x:c r="FH943" s="4"/>
      <x:c r="FI943" s="4"/>
      <x:c r="FJ943" s="4"/>
      <x:c r="FK943" s="4"/>
      <x:c r="FL943" s="4"/>
      <x:c r="FM943" s="4"/>
      <x:c r="FN943" s="4"/>
      <x:c r="FO943" s="4"/>
      <x:c r="JA943" t="n">
        <x:f>IF(OR(IFERROR(INDIRECT("'WCM Calibration Final'!$A$943")&lt;&gt;"",FALSE),IFERROR(INDIRECT("'WCM Calibration Final'!$B$943")&lt;&gt;"",FALSE),IFERROR(INDIRECT("'WCM Calibration Final'!$C$943")&lt;&gt;"",FALSE)),943,0)</x:f>
        <x:v>0</x:v>
      </x:c>
      <x:c r="JB943" t="n">
        <x:f>'Calculations'!JB942+IF('Calculations'!JA943&gt;0,1,0)</x:f>
        <x:v>0</x:v>
      </x:c>
    </x:row>
    <x:row r="944">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4"/>
      <x:c r="DQ944" s="4"/>
      <x:c r="DR944" s="4"/>
      <x:c r="DS944" s="4"/>
      <x:c r="DT944" s="4"/>
      <x:c r="DU944" s="4"/>
      <x:c r="DV944" s="4"/>
      <x:c r="DW944" s="4"/>
      <x:c r="DX944" s="4"/>
      <x:c r="DY944" s="4"/>
      <x:c r="DZ944" s="4"/>
      <x:c r="EA944" s="4"/>
      <x:c r="EB944" s="4"/>
      <x:c r="EC944" s="4"/>
      <x:c r="ED944" s="4"/>
      <x:c r="EE944" s="4"/>
      <x:c r="EF944" s="4"/>
      <x:c r="EG944" s="4"/>
      <x:c r="EH944" s="4"/>
      <x:c r="EI944" s="4"/>
      <x:c r="EJ944" s="4"/>
      <x:c r="EK944" s="4"/>
      <x:c r="EL944" s="4"/>
      <x:c r="EM944" s="4"/>
      <x:c r="EN944" s="4"/>
      <x:c r="EO944" s="4"/>
      <x:c r="EP944" s="4"/>
      <x:c r="EQ944" s="4"/>
      <x:c r="ER944" s="4"/>
      <x:c r="ES944" s="4"/>
      <x:c r="ET944" s="4"/>
      <x:c r="EU944" s="4"/>
      <x:c r="EV944" s="4"/>
      <x:c r="EW944" s="4"/>
      <x:c r="EX944" s="4"/>
      <x:c r="EY944" s="4"/>
      <x:c r="EZ944" s="4"/>
      <x:c r="FA944" s="4"/>
      <x:c r="FB944" s="4"/>
      <x:c r="FC944" s="4"/>
      <x:c r="FD944" s="4"/>
      <x:c r="FE944" s="4"/>
      <x:c r="FF944" s="4"/>
      <x:c r="FG944" s="4"/>
      <x:c r="FH944" s="4"/>
      <x:c r="FI944" s="4"/>
      <x:c r="FJ944" s="4"/>
      <x:c r="FK944" s="4"/>
      <x:c r="FL944" s="4"/>
      <x:c r="FM944" s="4"/>
      <x:c r="FN944" s="4"/>
      <x:c r="FO944" s="4"/>
      <x:c r="JA944" t="n">
        <x:f>IF(OR(IFERROR(INDIRECT("'WCM Calibration Final'!$A$944")&lt;&gt;"",FALSE),IFERROR(INDIRECT("'WCM Calibration Final'!$B$944")&lt;&gt;"",FALSE),IFERROR(INDIRECT("'WCM Calibration Final'!$C$944")&lt;&gt;"",FALSE)),944,0)</x:f>
        <x:v>0</x:v>
      </x:c>
      <x:c r="JB944" t="n">
        <x:f>'Calculations'!JB943+IF('Calculations'!JA944&gt;0,1,0)</x:f>
        <x:v>0</x:v>
      </x:c>
    </x:row>
    <x:row r="945">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4"/>
      <x:c r="DQ945" s="4"/>
      <x:c r="DR945" s="4"/>
      <x:c r="DS945" s="4"/>
      <x:c r="DT945" s="4"/>
      <x:c r="DU945" s="4"/>
      <x:c r="DV945" s="4"/>
      <x:c r="DW945" s="4"/>
      <x:c r="DX945" s="4"/>
      <x:c r="DY945" s="4"/>
      <x:c r="DZ945" s="4"/>
      <x:c r="EA945" s="4"/>
      <x:c r="EB945" s="4"/>
      <x:c r="EC945" s="4"/>
      <x:c r="ED945" s="4"/>
      <x:c r="EE945" s="4"/>
      <x:c r="EF945" s="4"/>
      <x:c r="EG945" s="4"/>
      <x:c r="EH945" s="4"/>
      <x:c r="EI945" s="4"/>
      <x:c r="EJ945" s="4"/>
      <x:c r="EK945" s="4"/>
      <x:c r="EL945" s="4"/>
      <x:c r="EM945" s="4"/>
      <x:c r="EN945" s="4"/>
      <x:c r="EO945" s="4"/>
      <x:c r="EP945" s="4"/>
      <x:c r="EQ945" s="4"/>
      <x:c r="ER945" s="4"/>
      <x:c r="ES945" s="4"/>
      <x:c r="ET945" s="4"/>
      <x:c r="EU945" s="4"/>
      <x:c r="EV945" s="4"/>
      <x:c r="EW945" s="4"/>
      <x:c r="EX945" s="4"/>
      <x:c r="EY945" s="4"/>
      <x:c r="EZ945" s="4"/>
      <x:c r="FA945" s="4"/>
      <x:c r="FB945" s="4"/>
      <x:c r="FC945" s="4"/>
      <x:c r="FD945" s="4"/>
      <x:c r="FE945" s="4"/>
      <x:c r="FF945" s="4"/>
      <x:c r="FG945" s="4"/>
      <x:c r="FH945" s="4"/>
      <x:c r="FI945" s="4"/>
      <x:c r="FJ945" s="4"/>
      <x:c r="FK945" s="4"/>
      <x:c r="FL945" s="4"/>
      <x:c r="FM945" s="4"/>
      <x:c r="FN945" s="4"/>
      <x:c r="FO945" s="4"/>
      <x:c r="JA945" t="n">
        <x:f>IF(OR(IFERROR(INDIRECT("'WCM Calibration Final'!$A$945")&lt;&gt;"",FALSE),IFERROR(INDIRECT("'WCM Calibration Final'!$B$945")&lt;&gt;"",FALSE),IFERROR(INDIRECT("'WCM Calibration Final'!$C$945")&lt;&gt;"",FALSE)),945,0)</x:f>
        <x:v>0</x:v>
      </x:c>
      <x:c r="JB945" t="n">
        <x:f>'Calculations'!JB944+IF('Calculations'!JA945&gt;0,1,0)</x:f>
        <x:v>0</x:v>
      </x:c>
    </x:row>
    <x:row r="946">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4"/>
      <x:c r="DQ946" s="4"/>
      <x:c r="DR946" s="4"/>
      <x:c r="DS946" s="4"/>
      <x:c r="DT946" s="4"/>
      <x:c r="DU946" s="4"/>
      <x:c r="DV946" s="4"/>
      <x:c r="DW946" s="4"/>
      <x:c r="DX946" s="4"/>
      <x:c r="DY946" s="4"/>
      <x:c r="DZ946" s="4"/>
      <x:c r="EA946" s="4"/>
      <x:c r="EB946" s="4"/>
      <x:c r="EC946" s="4"/>
      <x:c r="ED946" s="4"/>
      <x:c r="EE946" s="4"/>
      <x:c r="EF946" s="4"/>
      <x:c r="EG946" s="4"/>
      <x:c r="EH946" s="4"/>
      <x:c r="EI946" s="4"/>
      <x:c r="EJ946" s="4"/>
      <x:c r="EK946" s="4"/>
      <x:c r="EL946" s="4"/>
      <x:c r="EM946" s="4"/>
      <x:c r="EN946" s="4"/>
      <x:c r="EO946" s="4"/>
      <x:c r="EP946" s="4"/>
      <x:c r="EQ946" s="4"/>
      <x:c r="ER946" s="4"/>
      <x:c r="ES946" s="4"/>
      <x:c r="ET946" s="4"/>
      <x:c r="EU946" s="4"/>
      <x:c r="EV946" s="4"/>
      <x:c r="EW946" s="4"/>
      <x:c r="EX946" s="4"/>
      <x:c r="EY946" s="4"/>
      <x:c r="EZ946" s="4"/>
      <x:c r="FA946" s="4"/>
      <x:c r="FB946" s="4"/>
      <x:c r="FC946" s="4"/>
      <x:c r="FD946" s="4"/>
      <x:c r="FE946" s="4"/>
      <x:c r="FF946" s="4"/>
      <x:c r="FG946" s="4"/>
      <x:c r="FH946" s="4"/>
      <x:c r="FI946" s="4"/>
      <x:c r="FJ946" s="4"/>
      <x:c r="FK946" s="4"/>
      <x:c r="FL946" s="4"/>
      <x:c r="FM946" s="4"/>
      <x:c r="FN946" s="4"/>
      <x:c r="FO946" s="4"/>
      <x:c r="JA946" t="n">
        <x:f>IF(OR(IFERROR(INDIRECT("'WCM Calibration Final'!$A$946")&lt;&gt;"",FALSE),IFERROR(INDIRECT("'WCM Calibration Final'!$B$946")&lt;&gt;"",FALSE),IFERROR(INDIRECT("'WCM Calibration Final'!$C$946")&lt;&gt;"",FALSE)),946,0)</x:f>
        <x:v>0</x:v>
      </x:c>
      <x:c r="JB946" t="n">
        <x:f>'Calculations'!JB945+IF('Calculations'!JA946&gt;0,1,0)</x:f>
        <x:v>0</x:v>
      </x:c>
    </x:row>
    <x:row r="947">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4"/>
      <x:c r="DQ947" s="4"/>
      <x:c r="DR947" s="4"/>
      <x:c r="DS947" s="4"/>
      <x:c r="DT947" s="4"/>
      <x:c r="DU947" s="4"/>
      <x:c r="DV947" s="4"/>
      <x:c r="DW947" s="4"/>
      <x:c r="DX947" s="4"/>
      <x:c r="DY947" s="4"/>
      <x:c r="DZ947" s="4"/>
      <x:c r="EA947" s="4"/>
      <x:c r="EB947" s="4"/>
      <x:c r="EC947" s="4"/>
      <x:c r="ED947" s="4"/>
      <x:c r="EE947" s="4"/>
      <x:c r="EF947" s="4"/>
      <x:c r="EG947" s="4"/>
      <x:c r="EH947" s="4"/>
      <x:c r="EI947" s="4"/>
      <x:c r="EJ947" s="4"/>
      <x:c r="EK947" s="4"/>
      <x:c r="EL947" s="4"/>
      <x:c r="EM947" s="4"/>
      <x:c r="EN947" s="4"/>
      <x:c r="EO947" s="4"/>
      <x:c r="EP947" s="4"/>
      <x:c r="EQ947" s="4"/>
      <x:c r="ER947" s="4"/>
      <x:c r="ES947" s="4"/>
      <x:c r="ET947" s="4"/>
      <x:c r="EU947" s="4"/>
      <x:c r="EV947" s="4"/>
      <x:c r="EW947" s="4"/>
      <x:c r="EX947" s="4"/>
      <x:c r="EY947" s="4"/>
      <x:c r="EZ947" s="4"/>
      <x:c r="FA947" s="4"/>
      <x:c r="FB947" s="4"/>
      <x:c r="FC947" s="4"/>
      <x:c r="FD947" s="4"/>
      <x:c r="FE947" s="4"/>
      <x:c r="FF947" s="4"/>
      <x:c r="FG947" s="4"/>
      <x:c r="FH947" s="4"/>
      <x:c r="FI947" s="4"/>
      <x:c r="FJ947" s="4"/>
      <x:c r="FK947" s="4"/>
      <x:c r="FL947" s="4"/>
      <x:c r="FM947" s="4"/>
      <x:c r="FN947" s="4"/>
      <x:c r="FO947" s="4"/>
      <x:c r="JA947" t="n">
        <x:f>IF(OR(IFERROR(INDIRECT("'WCM Calibration Final'!$A$947")&lt;&gt;"",FALSE),IFERROR(INDIRECT("'WCM Calibration Final'!$B$947")&lt;&gt;"",FALSE),IFERROR(INDIRECT("'WCM Calibration Final'!$C$947")&lt;&gt;"",FALSE)),947,0)</x:f>
        <x:v>0</x:v>
      </x:c>
      <x:c r="JB947" t="n">
        <x:f>'Calculations'!JB946+IF('Calculations'!JA947&gt;0,1,0)</x:f>
        <x:v>0</x:v>
      </x:c>
    </x:row>
    <x:row r="948">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4"/>
      <x:c r="DQ948" s="4"/>
      <x:c r="DR948" s="4"/>
      <x:c r="DS948" s="4"/>
      <x:c r="DT948" s="4"/>
      <x:c r="DU948" s="4"/>
      <x:c r="DV948" s="4"/>
      <x:c r="DW948" s="4"/>
      <x:c r="DX948" s="4"/>
      <x:c r="DY948" s="4"/>
      <x:c r="DZ948" s="4"/>
      <x:c r="EA948" s="4"/>
      <x:c r="EB948" s="4"/>
      <x:c r="EC948" s="4"/>
      <x:c r="ED948" s="4"/>
      <x:c r="EE948" s="4"/>
      <x:c r="EF948" s="4"/>
      <x:c r="EG948" s="4"/>
      <x:c r="EH948" s="4"/>
      <x:c r="EI948" s="4"/>
      <x:c r="EJ948" s="4"/>
      <x:c r="EK948" s="4"/>
      <x:c r="EL948" s="4"/>
      <x:c r="EM948" s="4"/>
      <x:c r="EN948" s="4"/>
      <x:c r="EO948" s="4"/>
      <x:c r="EP948" s="4"/>
      <x:c r="EQ948" s="4"/>
      <x:c r="ER948" s="4"/>
      <x:c r="ES948" s="4"/>
      <x:c r="ET948" s="4"/>
      <x:c r="EU948" s="4"/>
      <x:c r="EV948" s="4"/>
      <x:c r="EW948" s="4"/>
      <x:c r="EX948" s="4"/>
      <x:c r="EY948" s="4"/>
      <x:c r="EZ948" s="4"/>
      <x:c r="FA948" s="4"/>
      <x:c r="FB948" s="4"/>
      <x:c r="FC948" s="4"/>
      <x:c r="FD948" s="4"/>
      <x:c r="FE948" s="4"/>
      <x:c r="FF948" s="4"/>
      <x:c r="FG948" s="4"/>
      <x:c r="FH948" s="4"/>
      <x:c r="FI948" s="4"/>
      <x:c r="FJ948" s="4"/>
      <x:c r="FK948" s="4"/>
      <x:c r="FL948" s="4"/>
      <x:c r="FM948" s="4"/>
      <x:c r="FN948" s="4"/>
      <x:c r="FO948" s="4"/>
      <x:c r="JA948" t="n">
        <x:f>IF(OR(IFERROR(INDIRECT("'WCM Calibration Final'!$A$948")&lt;&gt;"",FALSE),IFERROR(INDIRECT("'WCM Calibration Final'!$B$948")&lt;&gt;"",FALSE),IFERROR(INDIRECT("'WCM Calibration Final'!$C$948")&lt;&gt;"",FALSE)),948,0)</x:f>
        <x:v>0</x:v>
      </x:c>
      <x:c r="JB948" t="n">
        <x:f>'Calculations'!JB947+IF('Calculations'!JA948&gt;0,1,0)</x:f>
        <x:v>0</x:v>
      </x:c>
    </x:row>
    <x:row r="949">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4"/>
      <x:c r="DQ949" s="4"/>
      <x:c r="DR949" s="4"/>
      <x:c r="DS949" s="4"/>
      <x:c r="DT949" s="4"/>
      <x:c r="DU949" s="4"/>
      <x:c r="DV949" s="4"/>
      <x:c r="DW949" s="4"/>
      <x:c r="DX949" s="4"/>
      <x:c r="DY949" s="4"/>
      <x:c r="DZ949" s="4"/>
      <x:c r="EA949" s="4"/>
      <x:c r="EB949" s="4"/>
      <x:c r="EC949" s="4"/>
      <x:c r="ED949" s="4"/>
      <x:c r="EE949" s="4"/>
      <x:c r="EF949" s="4"/>
      <x:c r="EG949" s="4"/>
      <x:c r="EH949" s="4"/>
      <x:c r="EI949" s="4"/>
      <x:c r="EJ949" s="4"/>
      <x:c r="EK949" s="4"/>
      <x:c r="EL949" s="4"/>
      <x:c r="EM949" s="4"/>
      <x:c r="EN949" s="4"/>
      <x:c r="EO949" s="4"/>
      <x:c r="EP949" s="4"/>
      <x:c r="EQ949" s="4"/>
      <x:c r="ER949" s="4"/>
      <x:c r="ES949" s="4"/>
      <x:c r="ET949" s="4"/>
      <x:c r="EU949" s="4"/>
      <x:c r="EV949" s="4"/>
      <x:c r="EW949" s="4"/>
      <x:c r="EX949" s="4"/>
      <x:c r="EY949" s="4"/>
      <x:c r="EZ949" s="4"/>
      <x:c r="FA949" s="4"/>
      <x:c r="FB949" s="4"/>
      <x:c r="FC949" s="4"/>
      <x:c r="FD949" s="4"/>
      <x:c r="FE949" s="4"/>
      <x:c r="FF949" s="4"/>
      <x:c r="FG949" s="4"/>
      <x:c r="FH949" s="4"/>
      <x:c r="FI949" s="4"/>
      <x:c r="FJ949" s="4"/>
      <x:c r="FK949" s="4"/>
      <x:c r="FL949" s="4"/>
      <x:c r="FM949" s="4"/>
      <x:c r="FN949" s="4"/>
      <x:c r="FO949" s="4"/>
      <x:c r="JA949" t="n">
        <x:f>IF(OR(IFERROR(INDIRECT("'WCM Calibration Final'!$A$949")&lt;&gt;"",FALSE),IFERROR(INDIRECT("'WCM Calibration Final'!$B$949")&lt;&gt;"",FALSE),IFERROR(INDIRECT("'WCM Calibration Final'!$C$949")&lt;&gt;"",FALSE)),949,0)</x:f>
        <x:v>0</x:v>
      </x:c>
      <x:c r="JB949" t="n">
        <x:f>'Calculations'!JB948+IF('Calculations'!JA949&gt;0,1,0)</x:f>
        <x:v>0</x:v>
      </x:c>
    </x:row>
    <x:row r="950">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4"/>
      <x:c r="DQ950" s="4"/>
      <x:c r="DR950" s="4"/>
      <x:c r="DS950" s="4"/>
      <x:c r="DT950" s="4"/>
      <x:c r="DU950" s="4"/>
      <x:c r="DV950" s="4"/>
      <x:c r="DW950" s="4"/>
      <x:c r="DX950" s="4"/>
      <x:c r="DY950" s="4"/>
      <x:c r="DZ950" s="4"/>
      <x:c r="EA950" s="4"/>
      <x:c r="EB950" s="4"/>
      <x:c r="EC950" s="4"/>
      <x:c r="ED950" s="4"/>
      <x:c r="EE950" s="4"/>
      <x:c r="EF950" s="4"/>
      <x:c r="EG950" s="4"/>
      <x:c r="EH950" s="4"/>
      <x:c r="EI950" s="4"/>
      <x:c r="EJ950" s="4"/>
      <x:c r="EK950" s="4"/>
      <x:c r="EL950" s="4"/>
      <x:c r="EM950" s="4"/>
      <x:c r="EN950" s="4"/>
      <x:c r="EO950" s="4"/>
      <x:c r="EP950" s="4"/>
      <x:c r="EQ950" s="4"/>
      <x:c r="ER950" s="4"/>
      <x:c r="ES950" s="4"/>
      <x:c r="ET950" s="4"/>
      <x:c r="EU950" s="4"/>
      <x:c r="EV950" s="4"/>
      <x:c r="EW950" s="4"/>
      <x:c r="EX950" s="4"/>
      <x:c r="EY950" s="4"/>
      <x:c r="EZ950" s="4"/>
      <x:c r="FA950" s="4"/>
      <x:c r="FB950" s="4"/>
      <x:c r="FC950" s="4"/>
      <x:c r="FD950" s="4"/>
      <x:c r="FE950" s="4"/>
      <x:c r="FF950" s="4"/>
      <x:c r="FG950" s="4"/>
      <x:c r="FH950" s="4"/>
      <x:c r="FI950" s="4"/>
      <x:c r="FJ950" s="4"/>
      <x:c r="FK950" s="4"/>
      <x:c r="FL950" s="4"/>
      <x:c r="FM950" s="4"/>
      <x:c r="FN950" s="4"/>
      <x:c r="FO950" s="4"/>
      <x:c r="JA950" t="n">
        <x:f>IF(OR(IFERROR(INDIRECT("'WCM Calibration Final'!$A$950")&lt;&gt;"",FALSE),IFERROR(INDIRECT("'WCM Calibration Final'!$B$950")&lt;&gt;"",FALSE),IFERROR(INDIRECT("'WCM Calibration Final'!$C$950")&lt;&gt;"",FALSE)),950,0)</x:f>
        <x:v>0</x:v>
      </x:c>
      <x:c r="JB950" t="n">
        <x:f>'Calculations'!JB949+IF('Calculations'!JA950&gt;0,1,0)</x:f>
        <x:v>0</x:v>
      </x:c>
    </x:row>
    <x:row r="951">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4"/>
      <x:c r="DQ951" s="4"/>
      <x:c r="DR951" s="4"/>
      <x:c r="DS951" s="4"/>
      <x:c r="DT951" s="4"/>
      <x:c r="DU951" s="4"/>
      <x:c r="DV951" s="4"/>
      <x:c r="DW951" s="4"/>
      <x:c r="DX951" s="4"/>
      <x:c r="DY951" s="4"/>
      <x:c r="DZ951" s="4"/>
      <x:c r="EA951" s="4"/>
      <x:c r="EB951" s="4"/>
      <x:c r="EC951" s="4"/>
      <x:c r="ED951" s="4"/>
      <x:c r="EE951" s="4"/>
      <x:c r="EF951" s="4"/>
      <x:c r="EG951" s="4"/>
      <x:c r="EH951" s="4"/>
      <x:c r="EI951" s="4"/>
      <x:c r="EJ951" s="4"/>
      <x:c r="EK951" s="4"/>
      <x:c r="EL951" s="4"/>
      <x:c r="EM951" s="4"/>
      <x:c r="EN951" s="4"/>
      <x:c r="EO951" s="4"/>
      <x:c r="EP951" s="4"/>
      <x:c r="EQ951" s="4"/>
      <x:c r="ER951" s="4"/>
      <x:c r="ES951" s="4"/>
      <x:c r="ET951" s="4"/>
      <x:c r="EU951" s="4"/>
      <x:c r="EV951" s="4"/>
      <x:c r="EW951" s="4"/>
      <x:c r="EX951" s="4"/>
      <x:c r="EY951" s="4"/>
      <x:c r="EZ951" s="4"/>
      <x:c r="FA951" s="4"/>
      <x:c r="FB951" s="4"/>
      <x:c r="FC951" s="4"/>
      <x:c r="FD951" s="4"/>
      <x:c r="FE951" s="4"/>
      <x:c r="FF951" s="4"/>
      <x:c r="FG951" s="4"/>
      <x:c r="FH951" s="4"/>
      <x:c r="FI951" s="4"/>
      <x:c r="FJ951" s="4"/>
      <x:c r="FK951" s="4"/>
      <x:c r="FL951" s="4"/>
      <x:c r="FM951" s="4"/>
      <x:c r="FN951" s="4"/>
      <x:c r="FO951" s="4"/>
      <x:c r="JA951" t="n">
        <x:f>IF(OR(IFERROR(INDIRECT("'WCM Calibration Final'!$A$951")&lt;&gt;"",FALSE),IFERROR(INDIRECT("'WCM Calibration Final'!$B$951")&lt;&gt;"",FALSE),IFERROR(INDIRECT("'WCM Calibration Final'!$C$951")&lt;&gt;"",FALSE)),951,0)</x:f>
        <x:v>0</x:v>
      </x:c>
      <x:c r="JB951" t="n">
        <x:f>'Calculations'!JB950+IF('Calculations'!JA951&gt;0,1,0)</x:f>
        <x:v>0</x:v>
      </x:c>
    </x:row>
    <x:row r="952">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4"/>
      <x:c r="DQ952" s="4"/>
      <x:c r="DR952" s="4"/>
      <x:c r="DS952" s="4"/>
      <x:c r="DT952" s="4"/>
      <x:c r="DU952" s="4"/>
      <x:c r="DV952" s="4"/>
      <x:c r="DW952" s="4"/>
      <x:c r="DX952" s="4"/>
      <x:c r="DY952" s="4"/>
      <x:c r="DZ952" s="4"/>
      <x:c r="EA952" s="4"/>
      <x:c r="EB952" s="4"/>
      <x:c r="EC952" s="4"/>
      <x:c r="ED952" s="4"/>
      <x:c r="EE952" s="4"/>
      <x:c r="EF952" s="4"/>
      <x:c r="EG952" s="4"/>
      <x:c r="EH952" s="4"/>
      <x:c r="EI952" s="4"/>
      <x:c r="EJ952" s="4"/>
      <x:c r="EK952" s="4"/>
      <x:c r="EL952" s="4"/>
      <x:c r="EM952" s="4"/>
      <x:c r="EN952" s="4"/>
      <x:c r="EO952" s="4"/>
      <x:c r="EP952" s="4"/>
      <x:c r="EQ952" s="4"/>
      <x:c r="ER952" s="4"/>
      <x:c r="ES952" s="4"/>
      <x:c r="ET952" s="4"/>
      <x:c r="EU952" s="4"/>
      <x:c r="EV952" s="4"/>
      <x:c r="EW952" s="4"/>
      <x:c r="EX952" s="4"/>
      <x:c r="EY952" s="4"/>
      <x:c r="EZ952" s="4"/>
      <x:c r="FA952" s="4"/>
      <x:c r="FB952" s="4"/>
      <x:c r="FC952" s="4"/>
      <x:c r="FD952" s="4"/>
      <x:c r="FE952" s="4"/>
      <x:c r="FF952" s="4"/>
      <x:c r="FG952" s="4"/>
      <x:c r="FH952" s="4"/>
      <x:c r="FI952" s="4"/>
      <x:c r="FJ952" s="4"/>
      <x:c r="FK952" s="4"/>
      <x:c r="FL952" s="4"/>
      <x:c r="FM952" s="4"/>
      <x:c r="FN952" s="4"/>
      <x:c r="FO952" s="4"/>
      <x:c r="JA952" t="n">
        <x:f>IF(OR(IFERROR(INDIRECT("'WCM Calibration Final'!$A$952")&lt;&gt;"",FALSE),IFERROR(INDIRECT("'WCM Calibration Final'!$B$952")&lt;&gt;"",FALSE),IFERROR(INDIRECT("'WCM Calibration Final'!$C$952")&lt;&gt;"",FALSE)),952,0)</x:f>
        <x:v>0</x:v>
      </x:c>
      <x:c r="JB952" t="n">
        <x:f>'Calculations'!JB951+IF('Calculations'!JA952&gt;0,1,0)</x:f>
        <x:v>0</x:v>
      </x:c>
    </x:row>
    <x:row r="953">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4"/>
      <x:c r="DQ953" s="4"/>
      <x:c r="DR953" s="4"/>
      <x:c r="DS953" s="4"/>
      <x:c r="DT953" s="4"/>
      <x:c r="DU953" s="4"/>
      <x:c r="DV953" s="4"/>
      <x:c r="DW953" s="4"/>
      <x:c r="DX953" s="4"/>
      <x:c r="DY953" s="4"/>
      <x:c r="DZ953" s="4"/>
      <x:c r="EA953" s="4"/>
      <x:c r="EB953" s="4"/>
      <x:c r="EC953" s="4"/>
      <x:c r="ED953" s="4"/>
      <x:c r="EE953" s="4"/>
      <x:c r="EF953" s="4"/>
      <x:c r="EG953" s="4"/>
      <x:c r="EH953" s="4"/>
      <x:c r="EI953" s="4"/>
      <x:c r="EJ953" s="4"/>
      <x:c r="EK953" s="4"/>
      <x:c r="EL953" s="4"/>
      <x:c r="EM953" s="4"/>
      <x:c r="EN953" s="4"/>
      <x:c r="EO953" s="4"/>
      <x:c r="EP953" s="4"/>
      <x:c r="EQ953" s="4"/>
      <x:c r="ER953" s="4"/>
      <x:c r="ES953" s="4"/>
      <x:c r="ET953" s="4"/>
      <x:c r="EU953" s="4"/>
      <x:c r="EV953" s="4"/>
      <x:c r="EW953" s="4"/>
      <x:c r="EX953" s="4"/>
      <x:c r="EY953" s="4"/>
      <x:c r="EZ953" s="4"/>
      <x:c r="FA953" s="4"/>
      <x:c r="FB953" s="4"/>
      <x:c r="FC953" s="4"/>
      <x:c r="FD953" s="4"/>
      <x:c r="FE953" s="4"/>
      <x:c r="FF953" s="4"/>
      <x:c r="FG953" s="4"/>
      <x:c r="FH953" s="4"/>
      <x:c r="FI953" s="4"/>
      <x:c r="FJ953" s="4"/>
      <x:c r="FK953" s="4"/>
      <x:c r="FL953" s="4"/>
      <x:c r="FM953" s="4"/>
      <x:c r="FN953" s="4"/>
      <x:c r="FO953" s="4"/>
      <x:c r="JA953" t="n">
        <x:f>IF(OR(IFERROR(INDIRECT("'WCM Calibration Final'!$A$953")&lt;&gt;"",FALSE),IFERROR(INDIRECT("'WCM Calibration Final'!$B$953")&lt;&gt;"",FALSE),IFERROR(INDIRECT("'WCM Calibration Final'!$C$953")&lt;&gt;"",FALSE)),953,0)</x:f>
        <x:v>0</x:v>
      </x:c>
      <x:c r="JB953" t="n">
        <x:f>'Calculations'!JB952+IF('Calculations'!JA953&gt;0,1,0)</x:f>
        <x:v>0</x:v>
      </x:c>
    </x:row>
    <x:row r="954">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4"/>
      <x:c r="DQ954" s="4"/>
      <x:c r="DR954" s="4"/>
      <x:c r="DS954" s="4"/>
      <x:c r="DT954" s="4"/>
      <x:c r="DU954" s="4"/>
      <x:c r="DV954" s="4"/>
      <x:c r="DW954" s="4"/>
      <x:c r="DX954" s="4"/>
      <x:c r="DY954" s="4"/>
      <x:c r="DZ954" s="4"/>
      <x:c r="EA954" s="4"/>
      <x:c r="EB954" s="4"/>
      <x:c r="EC954" s="4"/>
      <x:c r="ED954" s="4"/>
      <x:c r="EE954" s="4"/>
      <x:c r="EF954" s="4"/>
      <x:c r="EG954" s="4"/>
      <x:c r="EH954" s="4"/>
      <x:c r="EI954" s="4"/>
      <x:c r="EJ954" s="4"/>
      <x:c r="EK954" s="4"/>
      <x:c r="EL954" s="4"/>
      <x:c r="EM954" s="4"/>
      <x:c r="EN954" s="4"/>
      <x:c r="EO954" s="4"/>
      <x:c r="EP954" s="4"/>
      <x:c r="EQ954" s="4"/>
      <x:c r="ER954" s="4"/>
      <x:c r="ES954" s="4"/>
      <x:c r="ET954" s="4"/>
      <x:c r="EU954" s="4"/>
      <x:c r="EV954" s="4"/>
      <x:c r="EW954" s="4"/>
      <x:c r="EX954" s="4"/>
      <x:c r="EY954" s="4"/>
      <x:c r="EZ954" s="4"/>
      <x:c r="FA954" s="4"/>
      <x:c r="FB954" s="4"/>
      <x:c r="FC954" s="4"/>
      <x:c r="FD954" s="4"/>
      <x:c r="FE954" s="4"/>
      <x:c r="FF954" s="4"/>
      <x:c r="FG954" s="4"/>
      <x:c r="FH954" s="4"/>
      <x:c r="FI954" s="4"/>
      <x:c r="FJ954" s="4"/>
      <x:c r="FK954" s="4"/>
      <x:c r="FL954" s="4"/>
      <x:c r="FM954" s="4"/>
      <x:c r="FN954" s="4"/>
      <x:c r="FO954" s="4"/>
      <x:c r="JA954" t="n">
        <x:f>IF(OR(IFERROR(INDIRECT("'WCM Calibration Final'!$A$954")&lt;&gt;"",FALSE),IFERROR(INDIRECT("'WCM Calibration Final'!$B$954")&lt;&gt;"",FALSE),IFERROR(INDIRECT("'WCM Calibration Final'!$C$954")&lt;&gt;"",FALSE)),954,0)</x:f>
        <x:v>0</x:v>
      </x:c>
      <x:c r="JB954" t="n">
        <x:f>'Calculations'!JB953+IF('Calculations'!JA954&gt;0,1,0)</x:f>
        <x:v>0</x:v>
      </x:c>
    </x:row>
    <x:row r="955">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4"/>
      <x:c r="DQ955" s="4"/>
      <x:c r="DR955" s="4"/>
      <x:c r="DS955" s="4"/>
      <x:c r="DT955" s="4"/>
      <x:c r="DU955" s="4"/>
      <x:c r="DV955" s="4"/>
      <x:c r="DW955" s="4"/>
      <x:c r="DX955" s="4"/>
      <x:c r="DY955" s="4"/>
      <x:c r="DZ955" s="4"/>
      <x:c r="EA955" s="4"/>
      <x:c r="EB955" s="4"/>
      <x:c r="EC955" s="4"/>
      <x:c r="ED955" s="4"/>
      <x:c r="EE955" s="4"/>
      <x:c r="EF955" s="4"/>
      <x:c r="EG955" s="4"/>
      <x:c r="EH955" s="4"/>
      <x:c r="EI955" s="4"/>
      <x:c r="EJ955" s="4"/>
      <x:c r="EK955" s="4"/>
      <x:c r="EL955" s="4"/>
      <x:c r="EM955" s="4"/>
      <x:c r="EN955" s="4"/>
      <x:c r="EO955" s="4"/>
      <x:c r="EP955" s="4"/>
      <x:c r="EQ955" s="4"/>
      <x:c r="ER955" s="4"/>
      <x:c r="ES955" s="4"/>
      <x:c r="ET955" s="4"/>
      <x:c r="EU955" s="4"/>
      <x:c r="EV955" s="4"/>
      <x:c r="EW955" s="4"/>
      <x:c r="EX955" s="4"/>
      <x:c r="EY955" s="4"/>
      <x:c r="EZ955" s="4"/>
      <x:c r="FA955" s="4"/>
      <x:c r="FB955" s="4"/>
      <x:c r="FC955" s="4"/>
      <x:c r="FD955" s="4"/>
      <x:c r="FE955" s="4"/>
      <x:c r="FF955" s="4"/>
      <x:c r="FG955" s="4"/>
      <x:c r="FH955" s="4"/>
      <x:c r="FI955" s="4"/>
      <x:c r="FJ955" s="4"/>
      <x:c r="FK955" s="4"/>
      <x:c r="FL955" s="4"/>
      <x:c r="FM955" s="4"/>
      <x:c r="FN955" s="4"/>
      <x:c r="FO955" s="4"/>
      <x:c r="JA955" t="n">
        <x:f>IF(OR(IFERROR(INDIRECT("'WCM Calibration Final'!$A$955")&lt;&gt;"",FALSE),IFERROR(INDIRECT("'WCM Calibration Final'!$B$955")&lt;&gt;"",FALSE),IFERROR(INDIRECT("'WCM Calibration Final'!$C$955")&lt;&gt;"",FALSE)),955,0)</x:f>
        <x:v>0</x:v>
      </x:c>
      <x:c r="JB955" t="n">
        <x:f>'Calculations'!JB954+IF('Calculations'!JA955&gt;0,1,0)</x:f>
        <x:v>0</x:v>
      </x:c>
    </x:row>
    <x:row r="956">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4"/>
      <x:c r="DQ956" s="4"/>
      <x:c r="DR956" s="4"/>
      <x:c r="DS956" s="4"/>
      <x:c r="DT956" s="4"/>
      <x:c r="DU956" s="4"/>
      <x:c r="DV956" s="4"/>
      <x:c r="DW956" s="4"/>
      <x:c r="DX956" s="4"/>
      <x:c r="DY956" s="4"/>
      <x:c r="DZ956" s="4"/>
      <x:c r="EA956" s="4"/>
      <x:c r="EB956" s="4"/>
      <x:c r="EC956" s="4"/>
      <x:c r="ED956" s="4"/>
      <x:c r="EE956" s="4"/>
      <x:c r="EF956" s="4"/>
      <x:c r="EG956" s="4"/>
      <x:c r="EH956" s="4"/>
      <x:c r="EI956" s="4"/>
      <x:c r="EJ956" s="4"/>
      <x:c r="EK956" s="4"/>
      <x:c r="EL956" s="4"/>
      <x:c r="EM956" s="4"/>
      <x:c r="EN956" s="4"/>
      <x:c r="EO956" s="4"/>
      <x:c r="EP956" s="4"/>
      <x:c r="EQ956" s="4"/>
      <x:c r="ER956" s="4"/>
      <x:c r="ES956" s="4"/>
      <x:c r="ET956" s="4"/>
      <x:c r="EU956" s="4"/>
      <x:c r="EV956" s="4"/>
      <x:c r="EW956" s="4"/>
      <x:c r="EX956" s="4"/>
      <x:c r="EY956" s="4"/>
      <x:c r="EZ956" s="4"/>
      <x:c r="FA956" s="4"/>
      <x:c r="FB956" s="4"/>
      <x:c r="FC956" s="4"/>
      <x:c r="FD956" s="4"/>
      <x:c r="FE956" s="4"/>
      <x:c r="FF956" s="4"/>
      <x:c r="FG956" s="4"/>
      <x:c r="FH956" s="4"/>
      <x:c r="FI956" s="4"/>
      <x:c r="FJ956" s="4"/>
      <x:c r="FK956" s="4"/>
      <x:c r="FL956" s="4"/>
      <x:c r="FM956" s="4"/>
      <x:c r="FN956" s="4"/>
      <x:c r="FO956" s="4"/>
      <x:c r="JA956" t="n">
        <x:f>IF(OR(IFERROR(INDIRECT("'WCM Calibration Final'!$A$956")&lt;&gt;"",FALSE),IFERROR(INDIRECT("'WCM Calibration Final'!$B$956")&lt;&gt;"",FALSE),IFERROR(INDIRECT("'WCM Calibration Final'!$C$956")&lt;&gt;"",FALSE)),956,0)</x:f>
        <x:v>0</x:v>
      </x:c>
      <x:c r="JB956" t="n">
        <x:f>'Calculations'!JB955+IF('Calculations'!JA956&gt;0,1,0)</x:f>
        <x:v>0</x:v>
      </x:c>
    </x:row>
    <x:row r="957">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4"/>
      <x:c r="DQ957" s="4"/>
      <x:c r="DR957" s="4"/>
      <x:c r="DS957" s="4"/>
      <x:c r="DT957" s="4"/>
      <x:c r="DU957" s="4"/>
      <x:c r="DV957" s="4"/>
      <x:c r="DW957" s="4"/>
      <x:c r="DX957" s="4"/>
      <x:c r="DY957" s="4"/>
      <x:c r="DZ957" s="4"/>
      <x:c r="EA957" s="4"/>
      <x:c r="EB957" s="4"/>
      <x:c r="EC957" s="4"/>
      <x:c r="ED957" s="4"/>
      <x:c r="EE957" s="4"/>
      <x:c r="EF957" s="4"/>
      <x:c r="EG957" s="4"/>
      <x:c r="EH957" s="4"/>
      <x:c r="EI957" s="4"/>
      <x:c r="EJ957" s="4"/>
      <x:c r="EK957" s="4"/>
      <x:c r="EL957" s="4"/>
      <x:c r="EM957" s="4"/>
      <x:c r="EN957" s="4"/>
      <x:c r="EO957" s="4"/>
      <x:c r="EP957" s="4"/>
      <x:c r="EQ957" s="4"/>
      <x:c r="ER957" s="4"/>
      <x:c r="ES957" s="4"/>
      <x:c r="ET957" s="4"/>
      <x:c r="EU957" s="4"/>
      <x:c r="EV957" s="4"/>
      <x:c r="EW957" s="4"/>
      <x:c r="EX957" s="4"/>
      <x:c r="EY957" s="4"/>
      <x:c r="EZ957" s="4"/>
      <x:c r="FA957" s="4"/>
      <x:c r="FB957" s="4"/>
      <x:c r="FC957" s="4"/>
      <x:c r="FD957" s="4"/>
      <x:c r="FE957" s="4"/>
      <x:c r="FF957" s="4"/>
      <x:c r="FG957" s="4"/>
      <x:c r="FH957" s="4"/>
      <x:c r="FI957" s="4"/>
      <x:c r="FJ957" s="4"/>
      <x:c r="FK957" s="4"/>
      <x:c r="FL957" s="4"/>
      <x:c r="FM957" s="4"/>
      <x:c r="FN957" s="4"/>
      <x:c r="FO957" s="4"/>
      <x:c r="JA957" t="n">
        <x:f>IF(OR(IFERROR(INDIRECT("'WCM Calibration Final'!$A$957")&lt;&gt;"",FALSE),IFERROR(INDIRECT("'WCM Calibration Final'!$B$957")&lt;&gt;"",FALSE),IFERROR(INDIRECT("'WCM Calibration Final'!$C$957")&lt;&gt;"",FALSE)),957,0)</x:f>
        <x:v>0</x:v>
      </x:c>
      <x:c r="JB957" t="n">
        <x:f>'Calculations'!JB956+IF('Calculations'!JA957&gt;0,1,0)</x:f>
        <x:v>0</x:v>
      </x:c>
    </x:row>
    <x:row r="958">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4"/>
      <x:c r="DQ958" s="4"/>
      <x:c r="DR958" s="4"/>
      <x:c r="DS958" s="4"/>
      <x:c r="DT958" s="4"/>
      <x:c r="DU958" s="4"/>
      <x:c r="DV958" s="4"/>
      <x:c r="DW958" s="4"/>
      <x:c r="DX958" s="4"/>
      <x:c r="DY958" s="4"/>
      <x:c r="DZ958" s="4"/>
      <x:c r="EA958" s="4"/>
      <x:c r="EB958" s="4"/>
      <x:c r="EC958" s="4"/>
      <x:c r="ED958" s="4"/>
      <x:c r="EE958" s="4"/>
      <x:c r="EF958" s="4"/>
      <x:c r="EG958" s="4"/>
      <x:c r="EH958" s="4"/>
      <x:c r="EI958" s="4"/>
      <x:c r="EJ958" s="4"/>
      <x:c r="EK958" s="4"/>
      <x:c r="EL958" s="4"/>
      <x:c r="EM958" s="4"/>
      <x:c r="EN958" s="4"/>
      <x:c r="EO958" s="4"/>
      <x:c r="EP958" s="4"/>
      <x:c r="EQ958" s="4"/>
      <x:c r="ER958" s="4"/>
      <x:c r="ES958" s="4"/>
      <x:c r="ET958" s="4"/>
      <x:c r="EU958" s="4"/>
      <x:c r="EV958" s="4"/>
      <x:c r="EW958" s="4"/>
      <x:c r="EX958" s="4"/>
      <x:c r="EY958" s="4"/>
      <x:c r="EZ958" s="4"/>
      <x:c r="FA958" s="4"/>
      <x:c r="FB958" s="4"/>
      <x:c r="FC958" s="4"/>
      <x:c r="FD958" s="4"/>
      <x:c r="FE958" s="4"/>
      <x:c r="FF958" s="4"/>
      <x:c r="FG958" s="4"/>
      <x:c r="FH958" s="4"/>
      <x:c r="FI958" s="4"/>
      <x:c r="FJ958" s="4"/>
      <x:c r="FK958" s="4"/>
      <x:c r="FL958" s="4"/>
      <x:c r="FM958" s="4"/>
      <x:c r="FN958" s="4"/>
      <x:c r="FO958" s="4"/>
      <x:c r="JA958" t="n">
        <x:f>IF(OR(IFERROR(INDIRECT("'WCM Calibration Final'!$A$958")&lt;&gt;"",FALSE),IFERROR(INDIRECT("'WCM Calibration Final'!$B$958")&lt;&gt;"",FALSE),IFERROR(INDIRECT("'WCM Calibration Final'!$C$958")&lt;&gt;"",FALSE)),958,0)</x:f>
        <x:v>0</x:v>
      </x:c>
      <x:c r="JB958" t="n">
        <x:f>'Calculations'!JB957+IF('Calculations'!JA958&gt;0,1,0)</x:f>
        <x:v>0</x:v>
      </x:c>
    </x:row>
    <x:row r="959">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4"/>
      <x:c r="DQ959" s="4"/>
      <x:c r="DR959" s="4"/>
      <x:c r="DS959" s="4"/>
      <x:c r="DT959" s="4"/>
      <x:c r="DU959" s="4"/>
      <x:c r="DV959" s="4"/>
      <x:c r="DW959" s="4"/>
      <x:c r="DX959" s="4"/>
      <x:c r="DY959" s="4"/>
      <x:c r="DZ959" s="4"/>
      <x:c r="EA959" s="4"/>
      <x:c r="EB959" s="4"/>
      <x:c r="EC959" s="4"/>
      <x:c r="ED959" s="4"/>
      <x:c r="EE959" s="4"/>
      <x:c r="EF959" s="4"/>
      <x:c r="EG959" s="4"/>
      <x:c r="EH959" s="4"/>
      <x:c r="EI959" s="4"/>
      <x:c r="EJ959" s="4"/>
      <x:c r="EK959" s="4"/>
      <x:c r="EL959" s="4"/>
      <x:c r="EM959" s="4"/>
      <x:c r="EN959" s="4"/>
      <x:c r="EO959" s="4"/>
      <x:c r="EP959" s="4"/>
      <x:c r="EQ959" s="4"/>
      <x:c r="ER959" s="4"/>
      <x:c r="ES959" s="4"/>
      <x:c r="ET959" s="4"/>
      <x:c r="EU959" s="4"/>
      <x:c r="EV959" s="4"/>
      <x:c r="EW959" s="4"/>
      <x:c r="EX959" s="4"/>
      <x:c r="EY959" s="4"/>
      <x:c r="EZ959" s="4"/>
      <x:c r="FA959" s="4"/>
      <x:c r="FB959" s="4"/>
      <x:c r="FC959" s="4"/>
      <x:c r="FD959" s="4"/>
      <x:c r="FE959" s="4"/>
      <x:c r="FF959" s="4"/>
      <x:c r="FG959" s="4"/>
      <x:c r="FH959" s="4"/>
      <x:c r="FI959" s="4"/>
      <x:c r="FJ959" s="4"/>
      <x:c r="FK959" s="4"/>
      <x:c r="FL959" s="4"/>
      <x:c r="FM959" s="4"/>
      <x:c r="FN959" s="4"/>
      <x:c r="FO959" s="4"/>
      <x:c r="JA959" t="n">
        <x:f>IF(OR(IFERROR(INDIRECT("'WCM Calibration Final'!$A$959")&lt;&gt;"",FALSE),IFERROR(INDIRECT("'WCM Calibration Final'!$B$959")&lt;&gt;"",FALSE),IFERROR(INDIRECT("'WCM Calibration Final'!$C$959")&lt;&gt;"",FALSE)),959,0)</x:f>
        <x:v>0</x:v>
      </x:c>
      <x:c r="JB959" t="n">
        <x:f>'Calculations'!JB958+IF('Calculations'!JA959&gt;0,1,0)</x:f>
        <x:v>0</x:v>
      </x:c>
    </x:row>
    <x:row r="960">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4"/>
      <x:c r="DQ960" s="4"/>
      <x:c r="DR960" s="4"/>
      <x:c r="DS960" s="4"/>
      <x:c r="DT960" s="4"/>
      <x:c r="DU960" s="4"/>
      <x:c r="DV960" s="4"/>
      <x:c r="DW960" s="4"/>
      <x:c r="DX960" s="4"/>
      <x:c r="DY960" s="4"/>
      <x:c r="DZ960" s="4"/>
      <x:c r="EA960" s="4"/>
      <x:c r="EB960" s="4"/>
      <x:c r="EC960" s="4"/>
      <x:c r="ED960" s="4"/>
      <x:c r="EE960" s="4"/>
      <x:c r="EF960" s="4"/>
      <x:c r="EG960" s="4"/>
      <x:c r="EH960" s="4"/>
      <x:c r="EI960" s="4"/>
      <x:c r="EJ960" s="4"/>
      <x:c r="EK960" s="4"/>
      <x:c r="EL960" s="4"/>
      <x:c r="EM960" s="4"/>
      <x:c r="EN960" s="4"/>
      <x:c r="EO960" s="4"/>
      <x:c r="EP960" s="4"/>
      <x:c r="EQ960" s="4"/>
      <x:c r="ER960" s="4"/>
      <x:c r="ES960" s="4"/>
      <x:c r="ET960" s="4"/>
      <x:c r="EU960" s="4"/>
      <x:c r="EV960" s="4"/>
      <x:c r="EW960" s="4"/>
      <x:c r="EX960" s="4"/>
      <x:c r="EY960" s="4"/>
      <x:c r="EZ960" s="4"/>
      <x:c r="FA960" s="4"/>
      <x:c r="FB960" s="4"/>
      <x:c r="FC960" s="4"/>
      <x:c r="FD960" s="4"/>
      <x:c r="FE960" s="4"/>
      <x:c r="FF960" s="4"/>
      <x:c r="FG960" s="4"/>
      <x:c r="FH960" s="4"/>
      <x:c r="FI960" s="4"/>
      <x:c r="FJ960" s="4"/>
      <x:c r="FK960" s="4"/>
      <x:c r="FL960" s="4"/>
      <x:c r="FM960" s="4"/>
      <x:c r="FN960" s="4"/>
      <x:c r="FO960" s="4"/>
      <x:c r="JA960" t="n">
        <x:f>IF(OR(IFERROR(INDIRECT("'WCM Calibration Final'!$A$960")&lt;&gt;"",FALSE),IFERROR(INDIRECT("'WCM Calibration Final'!$B$960")&lt;&gt;"",FALSE),IFERROR(INDIRECT("'WCM Calibration Final'!$C$960")&lt;&gt;"",FALSE)),960,0)</x:f>
        <x:v>0</x:v>
      </x:c>
      <x:c r="JB960" t="n">
        <x:f>'Calculations'!JB959+IF('Calculations'!JA960&gt;0,1,0)</x:f>
        <x:v>0</x:v>
      </x:c>
    </x:row>
    <x:row r="961">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4"/>
      <x:c r="DQ961" s="4"/>
      <x:c r="DR961" s="4"/>
      <x:c r="DS961" s="4"/>
      <x:c r="DT961" s="4"/>
      <x:c r="DU961" s="4"/>
      <x:c r="DV961" s="4"/>
      <x:c r="DW961" s="4"/>
      <x:c r="DX961" s="4"/>
      <x:c r="DY961" s="4"/>
      <x:c r="DZ961" s="4"/>
      <x:c r="EA961" s="4"/>
      <x:c r="EB961" s="4"/>
      <x:c r="EC961" s="4"/>
      <x:c r="ED961" s="4"/>
      <x:c r="EE961" s="4"/>
      <x:c r="EF961" s="4"/>
      <x:c r="EG961" s="4"/>
      <x:c r="EH961" s="4"/>
      <x:c r="EI961" s="4"/>
      <x:c r="EJ961" s="4"/>
      <x:c r="EK961" s="4"/>
      <x:c r="EL961" s="4"/>
      <x:c r="EM961" s="4"/>
      <x:c r="EN961" s="4"/>
      <x:c r="EO961" s="4"/>
      <x:c r="EP961" s="4"/>
      <x:c r="EQ961" s="4"/>
      <x:c r="ER961" s="4"/>
      <x:c r="ES961" s="4"/>
      <x:c r="ET961" s="4"/>
      <x:c r="EU961" s="4"/>
      <x:c r="EV961" s="4"/>
      <x:c r="EW961" s="4"/>
      <x:c r="EX961" s="4"/>
      <x:c r="EY961" s="4"/>
      <x:c r="EZ961" s="4"/>
      <x:c r="FA961" s="4"/>
      <x:c r="FB961" s="4"/>
      <x:c r="FC961" s="4"/>
      <x:c r="FD961" s="4"/>
      <x:c r="FE961" s="4"/>
      <x:c r="FF961" s="4"/>
      <x:c r="FG961" s="4"/>
      <x:c r="FH961" s="4"/>
      <x:c r="FI961" s="4"/>
      <x:c r="FJ961" s="4"/>
      <x:c r="FK961" s="4"/>
      <x:c r="FL961" s="4"/>
      <x:c r="FM961" s="4"/>
      <x:c r="FN961" s="4"/>
      <x:c r="FO961" s="4"/>
      <x:c r="JA961" t="n">
        <x:f>IF(OR(IFERROR(INDIRECT("'WCM Calibration Final'!$A$961")&lt;&gt;"",FALSE),IFERROR(INDIRECT("'WCM Calibration Final'!$B$961")&lt;&gt;"",FALSE),IFERROR(INDIRECT("'WCM Calibration Final'!$C$961")&lt;&gt;"",FALSE)),961,0)</x:f>
        <x:v>0</x:v>
      </x:c>
      <x:c r="JB961" t="n">
        <x:f>'Calculations'!JB960+IF('Calculations'!JA961&gt;0,1,0)</x:f>
        <x:v>0</x:v>
      </x:c>
    </x:row>
    <x:row r="962">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4"/>
      <x:c r="DQ962" s="4"/>
      <x:c r="DR962" s="4"/>
      <x:c r="DS962" s="4"/>
      <x:c r="DT962" s="4"/>
      <x:c r="DU962" s="4"/>
      <x:c r="DV962" s="4"/>
      <x:c r="DW962" s="4"/>
      <x:c r="DX962" s="4"/>
      <x:c r="DY962" s="4"/>
      <x:c r="DZ962" s="4"/>
      <x:c r="EA962" s="4"/>
      <x:c r="EB962" s="4"/>
      <x:c r="EC962" s="4"/>
      <x:c r="ED962" s="4"/>
      <x:c r="EE962" s="4"/>
      <x:c r="EF962" s="4"/>
      <x:c r="EG962" s="4"/>
      <x:c r="EH962" s="4"/>
      <x:c r="EI962" s="4"/>
      <x:c r="EJ962" s="4"/>
      <x:c r="EK962" s="4"/>
      <x:c r="EL962" s="4"/>
      <x:c r="EM962" s="4"/>
      <x:c r="EN962" s="4"/>
      <x:c r="EO962" s="4"/>
      <x:c r="EP962" s="4"/>
      <x:c r="EQ962" s="4"/>
      <x:c r="ER962" s="4"/>
      <x:c r="ES962" s="4"/>
      <x:c r="ET962" s="4"/>
      <x:c r="EU962" s="4"/>
      <x:c r="EV962" s="4"/>
      <x:c r="EW962" s="4"/>
      <x:c r="EX962" s="4"/>
      <x:c r="EY962" s="4"/>
      <x:c r="EZ962" s="4"/>
      <x:c r="FA962" s="4"/>
      <x:c r="FB962" s="4"/>
      <x:c r="FC962" s="4"/>
      <x:c r="FD962" s="4"/>
      <x:c r="FE962" s="4"/>
      <x:c r="FF962" s="4"/>
      <x:c r="FG962" s="4"/>
      <x:c r="FH962" s="4"/>
      <x:c r="FI962" s="4"/>
      <x:c r="FJ962" s="4"/>
      <x:c r="FK962" s="4"/>
      <x:c r="FL962" s="4"/>
      <x:c r="FM962" s="4"/>
      <x:c r="FN962" s="4"/>
      <x:c r="FO962" s="4"/>
      <x:c r="JA962" t="n">
        <x:f>IF(OR(IFERROR(INDIRECT("'WCM Calibration Final'!$A$962")&lt;&gt;"",FALSE),IFERROR(INDIRECT("'WCM Calibration Final'!$B$962")&lt;&gt;"",FALSE),IFERROR(INDIRECT("'WCM Calibration Final'!$C$962")&lt;&gt;"",FALSE)),962,0)</x:f>
        <x:v>0</x:v>
      </x:c>
      <x:c r="JB962" t="n">
        <x:f>'Calculations'!JB961+IF('Calculations'!JA962&gt;0,1,0)</x:f>
        <x:v>0</x:v>
      </x:c>
    </x:row>
    <x:row r="963">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4"/>
      <x:c r="DQ963" s="4"/>
      <x:c r="DR963" s="4"/>
      <x:c r="DS963" s="4"/>
      <x:c r="DT963" s="4"/>
      <x:c r="DU963" s="4"/>
      <x:c r="DV963" s="4"/>
      <x:c r="DW963" s="4"/>
      <x:c r="DX963" s="4"/>
      <x:c r="DY963" s="4"/>
      <x:c r="DZ963" s="4"/>
      <x:c r="EA963" s="4"/>
      <x:c r="EB963" s="4"/>
      <x:c r="EC963" s="4"/>
      <x:c r="ED963" s="4"/>
      <x:c r="EE963" s="4"/>
      <x:c r="EF963" s="4"/>
      <x:c r="EG963" s="4"/>
      <x:c r="EH963" s="4"/>
      <x:c r="EI963" s="4"/>
      <x:c r="EJ963" s="4"/>
      <x:c r="EK963" s="4"/>
      <x:c r="EL963" s="4"/>
      <x:c r="EM963" s="4"/>
      <x:c r="EN963" s="4"/>
      <x:c r="EO963" s="4"/>
      <x:c r="EP963" s="4"/>
      <x:c r="EQ963" s="4"/>
      <x:c r="ER963" s="4"/>
      <x:c r="ES963" s="4"/>
      <x:c r="ET963" s="4"/>
      <x:c r="EU963" s="4"/>
      <x:c r="EV963" s="4"/>
      <x:c r="EW963" s="4"/>
      <x:c r="EX963" s="4"/>
      <x:c r="EY963" s="4"/>
      <x:c r="EZ963" s="4"/>
      <x:c r="FA963" s="4"/>
      <x:c r="FB963" s="4"/>
      <x:c r="FC963" s="4"/>
      <x:c r="FD963" s="4"/>
      <x:c r="FE963" s="4"/>
      <x:c r="FF963" s="4"/>
      <x:c r="FG963" s="4"/>
      <x:c r="FH963" s="4"/>
      <x:c r="FI963" s="4"/>
      <x:c r="FJ963" s="4"/>
      <x:c r="FK963" s="4"/>
      <x:c r="FL963" s="4"/>
      <x:c r="FM963" s="4"/>
      <x:c r="FN963" s="4"/>
      <x:c r="FO963" s="4"/>
      <x:c r="JA963" t="n">
        <x:f>IF(OR(IFERROR(INDIRECT("'WCM Calibration Final'!$A$963")&lt;&gt;"",FALSE),IFERROR(INDIRECT("'WCM Calibration Final'!$B$963")&lt;&gt;"",FALSE),IFERROR(INDIRECT("'WCM Calibration Final'!$C$963")&lt;&gt;"",FALSE)),963,0)</x:f>
        <x:v>0</x:v>
      </x:c>
      <x:c r="JB963" t="n">
        <x:f>'Calculations'!JB962+IF('Calculations'!JA963&gt;0,1,0)</x:f>
        <x:v>0</x:v>
      </x:c>
    </x:row>
    <x:row r="964">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4"/>
      <x:c r="DQ964" s="4"/>
      <x:c r="DR964" s="4"/>
      <x:c r="DS964" s="4"/>
      <x:c r="DT964" s="4"/>
      <x:c r="DU964" s="4"/>
      <x:c r="DV964" s="4"/>
      <x:c r="DW964" s="4"/>
      <x:c r="DX964" s="4"/>
      <x:c r="DY964" s="4"/>
      <x:c r="DZ964" s="4"/>
      <x:c r="EA964" s="4"/>
      <x:c r="EB964" s="4"/>
      <x:c r="EC964" s="4"/>
      <x:c r="ED964" s="4"/>
      <x:c r="EE964" s="4"/>
      <x:c r="EF964" s="4"/>
      <x:c r="EG964" s="4"/>
      <x:c r="EH964" s="4"/>
      <x:c r="EI964" s="4"/>
      <x:c r="EJ964" s="4"/>
      <x:c r="EK964" s="4"/>
      <x:c r="EL964" s="4"/>
      <x:c r="EM964" s="4"/>
      <x:c r="EN964" s="4"/>
      <x:c r="EO964" s="4"/>
      <x:c r="EP964" s="4"/>
      <x:c r="EQ964" s="4"/>
      <x:c r="ER964" s="4"/>
      <x:c r="ES964" s="4"/>
      <x:c r="ET964" s="4"/>
      <x:c r="EU964" s="4"/>
      <x:c r="EV964" s="4"/>
      <x:c r="EW964" s="4"/>
      <x:c r="EX964" s="4"/>
      <x:c r="EY964" s="4"/>
      <x:c r="EZ964" s="4"/>
      <x:c r="FA964" s="4"/>
      <x:c r="FB964" s="4"/>
      <x:c r="FC964" s="4"/>
      <x:c r="FD964" s="4"/>
      <x:c r="FE964" s="4"/>
      <x:c r="FF964" s="4"/>
      <x:c r="FG964" s="4"/>
      <x:c r="FH964" s="4"/>
      <x:c r="FI964" s="4"/>
      <x:c r="FJ964" s="4"/>
      <x:c r="FK964" s="4"/>
      <x:c r="FL964" s="4"/>
      <x:c r="FM964" s="4"/>
      <x:c r="FN964" s="4"/>
      <x:c r="FO964" s="4"/>
      <x:c r="JA964" t="n">
        <x:f>IF(OR(IFERROR(INDIRECT("'WCM Calibration Final'!$A$964")&lt;&gt;"",FALSE),IFERROR(INDIRECT("'WCM Calibration Final'!$B$964")&lt;&gt;"",FALSE),IFERROR(INDIRECT("'WCM Calibration Final'!$C$964")&lt;&gt;"",FALSE)),964,0)</x:f>
        <x:v>0</x:v>
      </x:c>
      <x:c r="JB964" t="n">
        <x:f>'Calculations'!JB963+IF('Calculations'!JA964&gt;0,1,0)</x:f>
        <x:v>0</x:v>
      </x:c>
    </x:row>
    <x:row r="965">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4"/>
      <x:c r="DQ965" s="4"/>
      <x:c r="DR965" s="4"/>
      <x:c r="DS965" s="4"/>
      <x:c r="DT965" s="4"/>
      <x:c r="DU965" s="4"/>
      <x:c r="DV965" s="4"/>
      <x:c r="DW965" s="4"/>
      <x:c r="DX965" s="4"/>
      <x:c r="DY965" s="4"/>
      <x:c r="DZ965" s="4"/>
      <x:c r="EA965" s="4"/>
      <x:c r="EB965" s="4"/>
      <x:c r="EC965" s="4"/>
      <x:c r="ED965" s="4"/>
      <x:c r="EE965" s="4"/>
      <x:c r="EF965" s="4"/>
      <x:c r="EG965" s="4"/>
      <x:c r="EH965" s="4"/>
      <x:c r="EI965" s="4"/>
      <x:c r="EJ965" s="4"/>
      <x:c r="EK965" s="4"/>
      <x:c r="EL965" s="4"/>
      <x:c r="EM965" s="4"/>
      <x:c r="EN965" s="4"/>
      <x:c r="EO965" s="4"/>
      <x:c r="EP965" s="4"/>
      <x:c r="EQ965" s="4"/>
      <x:c r="ER965" s="4"/>
      <x:c r="ES965" s="4"/>
      <x:c r="ET965" s="4"/>
      <x:c r="EU965" s="4"/>
      <x:c r="EV965" s="4"/>
      <x:c r="EW965" s="4"/>
      <x:c r="EX965" s="4"/>
      <x:c r="EY965" s="4"/>
      <x:c r="EZ965" s="4"/>
      <x:c r="FA965" s="4"/>
      <x:c r="FB965" s="4"/>
      <x:c r="FC965" s="4"/>
      <x:c r="FD965" s="4"/>
      <x:c r="FE965" s="4"/>
      <x:c r="FF965" s="4"/>
      <x:c r="FG965" s="4"/>
      <x:c r="FH965" s="4"/>
      <x:c r="FI965" s="4"/>
      <x:c r="FJ965" s="4"/>
      <x:c r="FK965" s="4"/>
      <x:c r="FL965" s="4"/>
      <x:c r="FM965" s="4"/>
      <x:c r="FN965" s="4"/>
      <x:c r="FO965" s="4"/>
      <x:c r="JA965" t="n">
        <x:f>IF(OR(IFERROR(INDIRECT("'WCM Calibration Final'!$A$965")&lt;&gt;"",FALSE),IFERROR(INDIRECT("'WCM Calibration Final'!$B$965")&lt;&gt;"",FALSE),IFERROR(INDIRECT("'WCM Calibration Final'!$C$965")&lt;&gt;"",FALSE)),965,0)</x:f>
        <x:v>0</x:v>
      </x:c>
      <x:c r="JB965" t="n">
        <x:f>'Calculations'!JB964+IF('Calculations'!JA965&gt;0,1,0)</x:f>
        <x:v>0</x:v>
      </x:c>
    </x:row>
    <x:row r="966">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4"/>
      <x:c r="DQ966" s="4"/>
      <x:c r="DR966" s="4"/>
      <x:c r="DS966" s="4"/>
      <x:c r="DT966" s="4"/>
      <x:c r="DU966" s="4"/>
      <x:c r="DV966" s="4"/>
      <x:c r="DW966" s="4"/>
      <x:c r="DX966" s="4"/>
      <x:c r="DY966" s="4"/>
      <x:c r="DZ966" s="4"/>
      <x:c r="EA966" s="4"/>
      <x:c r="EB966" s="4"/>
      <x:c r="EC966" s="4"/>
      <x:c r="ED966" s="4"/>
      <x:c r="EE966" s="4"/>
      <x:c r="EF966" s="4"/>
      <x:c r="EG966" s="4"/>
      <x:c r="EH966" s="4"/>
      <x:c r="EI966" s="4"/>
      <x:c r="EJ966" s="4"/>
      <x:c r="EK966" s="4"/>
      <x:c r="EL966" s="4"/>
      <x:c r="EM966" s="4"/>
      <x:c r="EN966" s="4"/>
      <x:c r="EO966" s="4"/>
      <x:c r="EP966" s="4"/>
      <x:c r="EQ966" s="4"/>
      <x:c r="ER966" s="4"/>
      <x:c r="ES966" s="4"/>
      <x:c r="ET966" s="4"/>
      <x:c r="EU966" s="4"/>
      <x:c r="EV966" s="4"/>
      <x:c r="EW966" s="4"/>
      <x:c r="EX966" s="4"/>
      <x:c r="EY966" s="4"/>
      <x:c r="EZ966" s="4"/>
      <x:c r="FA966" s="4"/>
      <x:c r="FB966" s="4"/>
      <x:c r="FC966" s="4"/>
      <x:c r="FD966" s="4"/>
      <x:c r="FE966" s="4"/>
      <x:c r="FF966" s="4"/>
      <x:c r="FG966" s="4"/>
      <x:c r="FH966" s="4"/>
      <x:c r="FI966" s="4"/>
      <x:c r="FJ966" s="4"/>
      <x:c r="FK966" s="4"/>
      <x:c r="FL966" s="4"/>
      <x:c r="FM966" s="4"/>
      <x:c r="FN966" s="4"/>
      <x:c r="FO966" s="4"/>
      <x:c r="JA966" t="n">
        <x:f>IF(OR(IFERROR(INDIRECT("'WCM Calibration Final'!$A$966")&lt;&gt;"",FALSE),IFERROR(INDIRECT("'WCM Calibration Final'!$B$966")&lt;&gt;"",FALSE),IFERROR(INDIRECT("'WCM Calibration Final'!$C$966")&lt;&gt;"",FALSE)),966,0)</x:f>
        <x:v>0</x:v>
      </x:c>
      <x:c r="JB966" t="n">
        <x:f>'Calculations'!JB965+IF('Calculations'!JA966&gt;0,1,0)</x:f>
        <x:v>0</x:v>
      </x:c>
    </x:row>
    <x:row r="967">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4"/>
      <x:c r="DQ967" s="4"/>
      <x:c r="DR967" s="4"/>
      <x:c r="DS967" s="4"/>
      <x:c r="DT967" s="4"/>
      <x:c r="DU967" s="4"/>
      <x:c r="DV967" s="4"/>
      <x:c r="DW967" s="4"/>
      <x:c r="DX967" s="4"/>
      <x:c r="DY967" s="4"/>
      <x:c r="DZ967" s="4"/>
      <x:c r="EA967" s="4"/>
      <x:c r="EB967" s="4"/>
      <x:c r="EC967" s="4"/>
      <x:c r="ED967" s="4"/>
      <x:c r="EE967" s="4"/>
      <x:c r="EF967" s="4"/>
      <x:c r="EG967" s="4"/>
      <x:c r="EH967" s="4"/>
      <x:c r="EI967" s="4"/>
      <x:c r="EJ967" s="4"/>
      <x:c r="EK967" s="4"/>
      <x:c r="EL967" s="4"/>
      <x:c r="EM967" s="4"/>
      <x:c r="EN967" s="4"/>
      <x:c r="EO967" s="4"/>
      <x:c r="EP967" s="4"/>
      <x:c r="EQ967" s="4"/>
      <x:c r="ER967" s="4"/>
      <x:c r="ES967" s="4"/>
      <x:c r="ET967" s="4"/>
      <x:c r="EU967" s="4"/>
      <x:c r="EV967" s="4"/>
      <x:c r="EW967" s="4"/>
      <x:c r="EX967" s="4"/>
      <x:c r="EY967" s="4"/>
      <x:c r="EZ967" s="4"/>
      <x:c r="FA967" s="4"/>
      <x:c r="FB967" s="4"/>
      <x:c r="FC967" s="4"/>
      <x:c r="FD967" s="4"/>
      <x:c r="FE967" s="4"/>
      <x:c r="FF967" s="4"/>
      <x:c r="FG967" s="4"/>
      <x:c r="FH967" s="4"/>
      <x:c r="FI967" s="4"/>
      <x:c r="FJ967" s="4"/>
      <x:c r="FK967" s="4"/>
      <x:c r="FL967" s="4"/>
      <x:c r="FM967" s="4"/>
      <x:c r="FN967" s="4"/>
      <x:c r="FO967" s="4"/>
      <x:c r="JA967" t="n">
        <x:f>IF(OR(IFERROR(INDIRECT("'WCM Calibration Final'!$A$967")&lt;&gt;"",FALSE),IFERROR(INDIRECT("'WCM Calibration Final'!$B$967")&lt;&gt;"",FALSE),IFERROR(INDIRECT("'WCM Calibration Final'!$C$967")&lt;&gt;"",FALSE)),967,0)</x:f>
        <x:v>0</x:v>
      </x:c>
      <x:c r="JB967" t="n">
        <x:f>'Calculations'!JB966+IF('Calculations'!JA967&gt;0,1,0)</x:f>
        <x:v>0</x:v>
      </x:c>
    </x:row>
    <x:row r="968">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4"/>
      <x:c r="DQ968" s="4"/>
      <x:c r="DR968" s="4"/>
      <x:c r="DS968" s="4"/>
      <x:c r="DT968" s="4"/>
      <x:c r="DU968" s="4"/>
      <x:c r="DV968" s="4"/>
      <x:c r="DW968" s="4"/>
      <x:c r="DX968" s="4"/>
      <x:c r="DY968" s="4"/>
      <x:c r="DZ968" s="4"/>
      <x:c r="EA968" s="4"/>
      <x:c r="EB968" s="4"/>
      <x:c r="EC968" s="4"/>
      <x:c r="ED968" s="4"/>
      <x:c r="EE968" s="4"/>
      <x:c r="EF968" s="4"/>
      <x:c r="EG968" s="4"/>
      <x:c r="EH968" s="4"/>
      <x:c r="EI968" s="4"/>
      <x:c r="EJ968" s="4"/>
      <x:c r="EK968" s="4"/>
      <x:c r="EL968" s="4"/>
      <x:c r="EM968" s="4"/>
      <x:c r="EN968" s="4"/>
      <x:c r="EO968" s="4"/>
      <x:c r="EP968" s="4"/>
      <x:c r="EQ968" s="4"/>
      <x:c r="ER968" s="4"/>
      <x:c r="ES968" s="4"/>
      <x:c r="ET968" s="4"/>
      <x:c r="EU968" s="4"/>
      <x:c r="EV968" s="4"/>
      <x:c r="EW968" s="4"/>
      <x:c r="EX968" s="4"/>
      <x:c r="EY968" s="4"/>
      <x:c r="EZ968" s="4"/>
      <x:c r="FA968" s="4"/>
      <x:c r="FB968" s="4"/>
      <x:c r="FC968" s="4"/>
      <x:c r="FD968" s="4"/>
      <x:c r="FE968" s="4"/>
      <x:c r="FF968" s="4"/>
      <x:c r="FG968" s="4"/>
      <x:c r="FH968" s="4"/>
      <x:c r="FI968" s="4"/>
      <x:c r="FJ968" s="4"/>
      <x:c r="FK968" s="4"/>
      <x:c r="FL968" s="4"/>
      <x:c r="FM968" s="4"/>
      <x:c r="FN968" s="4"/>
      <x:c r="FO968" s="4"/>
      <x:c r="JA968" t="n">
        <x:f>IF(OR(IFERROR(INDIRECT("'WCM Calibration Final'!$A$968")&lt;&gt;"",FALSE),IFERROR(INDIRECT("'WCM Calibration Final'!$B$968")&lt;&gt;"",FALSE),IFERROR(INDIRECT("'WCM Calibration Final'!$C$968")&lt;&gt;"",FALSE)),968,0)</x:f>
        <x:v>0</x:v>
      </x:c>
      <x:c r="JB968" t="n">
        <x:f>'Calculations'!JB967+IF('Calculations'!JA968&gt;0,1,0)</x:f>
        <x:v>0</x:v>
      </x:c>
    </x:row>
    <x:row r="969">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4"/>
      <x:c r="DQ969" s="4"/>
      <x:c r="DR969" s="4"/>
      <x:c r="DS969" s="4"/>
      <x:c r="DT969" s="4"/>
      <x:c r="DU969" s="4"/>
      <x:c r="DV969" s="4"/>
      <x:c r="DW969" s="4"/>
      <x:c r="DX969" s="4"/>
      <x:c r="DY969" s="4"/>
      <x:c r="DZ969" s="4"/>
      <x:c r="EA969" s="4"/>
      <x:c r="EB969" s="4"/>
      <x:c r="EC969" s="4"/>
      <x:c r="ED969" s="4"/>
      <x:c r="EE969" s="4"/>
      <x:c r="EF969" s="4"/>
      <x:c r="EG969" s="4"/>
      <x:c r="EH969" s="4"/>
      <x:c r="EI969" s="4"/>
      <x:c r="EJ969" s="4"/>
      <x:c r="EK969" s="4"/>
      <x:c r="EL969" s="4"/>
      <x:c r="EM969" s="4"/>
      <x:c r="EN969" s="4"/>
      <x:c r="EO969" s="4"/>
      <x:c r="EP969" s="4"/>
      <x:c r="EQ969" s="4"/>
      <x:c r="ER969" s="4"/>
      <x:c r="ES969" s="4"/>
      <x:c r="ET969" s="4"/>
      <x:c r="EU969" s="4"/>
      <x:c r="EV969" s="4"/>
      <x:c r="EW969" s="4"/>
      <x:c r="EX969" s="4"/>
      <x:c r="EY969" s="4"/>
      <x:c r="EZ969" s="4"/>
      <x:c r="FA969" s="4"/>
      <x:c r="FB969" s="4"/>
      <x:c r="FC969" s="4"/>
      <x:c r="FD969" s="4"/>
      <x:c r="FE969" s="4"/>
      <x:c r="FF969" s="4"/>
      <x:c r="FG969" s="4"/>
      <x:c r="FH969" s="4"/>
      <x:c r="FI969" s="4"/>
      <x:c r="FJ969" s="4"/>
      <x:c r="FK969" s="4"/>
      <x:c r="FL969" s="4"/>
      <x:c r="FM969" s="4"/>
      <x:c r="FN969" s="4"/>
      <x:c r="FO969" s="4"/>
      <x:c r="JA969" t="n">
        <x:f>IF(OR(IFERROR(INDIRECT("'WCM Calibration Final'!$A$969")&lt;&gt;"",FALSE),IFERROR(INDIRECT("'WCM Calibration Final'!$B$969")&lt;&gt;"",FALSE),IFERROR(INDIRECT("'WCM Calibration Final'!$C$969")&lt;&gt;"",FALSE)),969,0)</x:f>
        <x:v>0</x:v>
      </x:c>
      <x:c r="JB969" t="n">
        <x:f>'Calculations'!JB968+IF('Calculations'!JA969&gt;0,1,0)</x:f>
        <x:v>0</x:v>
      </x:c>
    </x:row>
    <x:row r="970">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4"/>
      <x:c r="DQ970" s="4"/>
      <x:c r="DR970" s="4"/>
      <x:c r="DS970" s="4"/>
      <x:c r="DT970" s="4"/>
      <x:c r="DU970" s="4"/>
      <x:c r="DV970" s="4"/>
      <x:c r="DW970" s="4"/>
      <x:c r="DX970" s="4"/>
      <x:c r="DY970" s="4"/>
      <x:c r="DZ970" s="4"/>
      <x:c r="EA970" s="4"/>
      <x:c r="EB970" s="4"/>
      <x:c r="EC970" s="4"/>
      <x:c r="ED970" s="4"/>
      <x:c r="EE970" s="4"/>
      <x:c r="EF970" s="4"/>
      <x:c r="EG970" s="4"/>
      <x:c r="EH970" s="4"/>
      <x:c r="EI970" s="4"/>
      <x:c r="EJ970" s="4"/>
      <x:c r="EK970" s="4"/>
      <x:c r="EL970" s="4"/>
      <x:c r="EM970" s="4"/>
      <x:c r="EN970" s="4"/>
      <x:c r="EO970" s="4"/>
      <x:c r="EP970" s="4"/>
      <x:c r="EQ970" s="4"/>
      <x:c r="ER970" s="4"/>
      <x:c r="ES970" s="4"/>
      <x:c r="ET970" s="4"/>
      <x:c r="EU970" s="4"/>
      <x:c r="EV970" s="4"/>
      <x:c r="EW970" s="4"/>
      <x:c r="EX970" s="4"/>
      <x:c r="EY970" s="4"/>
      <x:c r="EZ970" s="4"/>
      <x:c r="FA970" s="4"/>
      <x:c r="FB970" s="4"/>
      <x:c r="FC970" s="4"/>
      <x:c r="FD970" s="4"/>
      <x:c r="FE970" s="4"/>
      <x:c r="FF970" s="4"/>
      <x:c r="FG970" s="4"/>
      <x:c r="FH970" s="4"/>
      <x:c r="FI970" s="4"/>
      <x:c r="FJ970" s="4"/>
      <x:c r="FK970" s="4"/>
      <x:c r="FL970" s="4"/>
      <x:c r="FM970" s="4"/>
      <x:c r="FN970" s="4"/>
      <x:c r="FO970" s="4"/>
      <x:c r="JA970" t="n">
        <x:f>IF(OR(IFERROR(INDIRECT("'WCM Calibration Final'!$A$970")&lt;&gt;"",FALSE),IFERROR(INDIRECT("'WCM Calibration Final'!$B$970")&lt;&gt;"",FALSE),IFERROR(INDIRECT("'WCM Calibration Final'!$C$970")&lt;&gt;"",FALSE)),970,0)</x:f>
        <x:v>0</x:v>
      </x:c>
      <x:c r="JB970" t="n">
        <x:f>'Calculations'!JB969+IF('Calculations'!JA970&gt;0,1,0)</x:f>
        <x:v>0</x:v>
      </x:c>
    </x:row>
    <x:row r="971">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4"/>
      <x:c r="DQ971" s="4"/>
      <x:c r="DR971" s="4"/>
      <x:c r="DS971" s="4"/>
      <x:c r="DT971" s="4"/>
      <x:c r="DU971" s="4"/>
      <x:c r="DV971" s="4"/>
      <x:c r="DW971" s="4"/>
      <x:c r="DX971" s="4"/>
      <x:c r="DY971" s="4"/>
      <x:c r="DZ971" s="4"/>
      <x:c r="EA971" s="4"/>
      <x:c r="EB971" s="4"/>
      <x:c r="EC971" s="4"/>
      <x:c r="ED971" s="4"/>
      <x:c r="EE971" s="4"/>
      <x:c r="EF971" s="4"/>
      <x:c r="EG971" s="4"/>
      <x:c r="EH971" s="4"/>
      <x:c r="EI971" s="4"/>
      <x:c r="EJ971" s="4"/>
      <x:c r="EK971" s="4"/>
      <x:c r="EL971" s="4"/>
      <x:c r="EM971" s="4"/>
      <x:c r="EN971" s="4"/>
      <x:c r="EO971" s="4"/>
      <x:c r="EP971" s="4"/>
      <x:c r="EQ971" s="4"/>
      <x:c r="ER971" s="4"/>
      <x:c r="ES971" s="4"/>
      <x:c r="ET971" s="4"/>
      <x:c r="EU971" s="4"/>
      <x:c r="EV971" s="4"/>
      <x:c r="EW971" s="4"/>
      <x:c r="EX971" s="4"/>
      <x:c r="EY971" s="4"/>
      <x:c r="EZ971" s="4"/>
      <x:c r="FA971" s="4"/>
      <x:c r="FB971" s="4"/>
      <x:c r="FC971" s="4"/>
      <x:c r="FD971" s="4"/>
      <x:c r="FE971" s="4"/>
      <x:c r="FF971" s="4"/>
      <x:c r="FG971" s="4"/>
      <x:c r="FH971" s="4"/>
      <x:c r="FI971" s="4"/>
      <x:c r="FJ971" s="4"/>
      <x:c r="FK971" s="4"/>
      <x:c r="FL971" s="4"/>
      <x:c r="FM971" s="4"/>
      <x:c r="FN971" s="4"/>
      <x:c r="FO971" s="4"/>
      <x:c r="JA971" t="n">
        <x:f>IF(OR(IFERROR(INDIRECT("'WCM Calibration Final'!$A$971")&lt;&gt;"",FALSE),IFERROR(INDIRECT("'WCM Calibration Final'!$B$971")&lt;&gt;"",FALSE),IFERROR(INDIRECT("'WCM Calibration Final'!$C$971")&lt;&gt;"",FALSE)),971,0)</x:f>
        <x:v>0</x:v>
      </x:c>
      <x:c r="JB971" t="n">
        <x:f>'Calculations'!JB970+IF('Calculations'!JA971&gt;0,1,0)</x:f>
        <x:v>0</x:v>
      </x:c>
    </x:row>
    <x:row r="972">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4"/>
      <x:c r="DQ972" s="4"/>
      <x:c r="DR972" s="4"/>
      <x:c r="DS972" s="4"/>
      <x:c r="DT972" s="4"/>
      <x:c r="DU972" s="4"/>
      <x:c r="DV972" s="4"/>
      <x:c r="DW972" s="4"/>
      <x:c r="DX972" s="4"/>
      <x:c r="DY972" s="4"/>
      <x:c r="DZ972" s="4"/>
      <x:c r="EA972" s="4"/>
      <x:c r="EB972" s="4"/>
      <x:c r="EC972" s="4"/>
      <x:c r="ED972" s="4"/>
      <x:c r="EE972" s="4"/>
      <x:c r="EF972" s="4"/>
      <x:c r="EG972" s="4"/>
      <x:c r="EH972" s="4"/>
      <x:c r="EI972" s="4"/>
      <x:c r="EJ972" s="4"/>
      <x:c r="EK972" s="4"/>
      <x:c r="EL972" s="4"/>
      <x:c r="EM972" s="4"/>
      <x:c r="EN972" s="4"/>
      <x:c r="EO972" s="4"/>
      <x:c r="EP972" s="4"/>
      <x:c r="EQ972" s="4"/>
      <x:c r="ER972" s="4"/>
      <x:c r="ES972" s="4"/>
      <x:c r="ET972" s="4"/>
      <x:c r="EU972" s="4"/>
      <x:c r="EV972" s="4"/>
      <x:c r="EW972" s="4"/>
      <x:c r="EX972" s="4"/>
      <x:c r="EY972" s="4"/>
      <x:c r="EZ972" s="4"/>
      <x:c r="FA972" s="4"/>
      <x:c r="FB972" s="4"/>
      <x:c r="FC972" s="4"/>
      <x:c r="FD972" s="4"/>
      <x:c r="FE972" s="4"/>
      <x:c r="FF972" s="4"/>
      <x:c r="FG972" s="4"/>
      <x:c r="FH972" s="4"/>
      <x:c r="FI972" s="4"/>
      <x:c r="FJ972" s="4"/>
      <x:c r="FK972" s="4"/>
      <x:c r="FL972" s="4"/>
      <x:c r="FM972" s="4"/>
      <x:c r="FN972" s="4"/>
      <x:c r="FO972" s="4"/>
      <x:c r="JA972" t="n">
        <x:f>IF(OR(IFERROR(INDIRECT("'WCM Calibration Final'!$A$972")&lt;&gt;"",FALSE),IFERROR(INDIRECT("'WCM Calibration Final'!$B$972")&lt;&gt;"",FALSE),IFERROR(INDIRECT("'WCM Calibration Final'!$C$972")&lt;&gt;"",FALSE)),972,0)</x:f>
        <x:v>0</x:v>
      </x:c>
      <x:c r="JB972" t="n">
        <x:f>'Calculations'!JB971+IF('Calculations'!JA972&gt;0,1,0)</x:f>
        <x:v>0</x:v>
      </x:c>
    </x:row>
    <x:row r="973">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4"/>
      <x:c r="DQ973" s="4"/>
      <x:c r="DR973" s="4"/>
      <x:c r="DS973" s="4"/>
      <x:c r="DT973" s="4"/>
      <x:c r="DU973" s="4"/>
      <x:c r="DV973" s="4"/>
      <x:c r="DW973" s="4"/>
      <x:c r="DX973" s="4"/>
      <x:c r="DY973" s="4"/>
      <x:c r="DZ973" s="4"/>
      <x:c r="EA973" s="4"/>
      <x:c r="EB973" s="4"/>
      <x:c r="EC973" s="4"/>
      <x:c r="ED973" s="4"/>
      <x:c r="EE973" s="4"/>
      <x:c r="EF973" s="4"/>
      <x:c r="EG973" s="4"/>
      <x:c r="EH973" s="4"/>
      <x:c r="EI973" s="4"/>
      <x:c r="EJ973" s="4"/>
      <x:c r="EK973" s="4"/>
      <x:c r="EL973" s="4"/>
      <x:c r="EM973" s="4"/>
      <x:c r="EN973" s="4"/>
      <x:c r="EO973" s="4"/>
      <x:c r="EP973" s="4"/>
      <x:c r="EQ973" s="4"/>
      <x:c r="ER973" s="4"/>
      <x:c r="ES973" s="4"/>
      <x:c r="ET973" s="4"/>
      <x:c r="EU973" s="4"/>
      <x:c r="EV973" s="4"/>
      <x:c r="EW973" s="4"/>
      <x:c r="EX973" s="4"/>
      <x:c r="EY973" s="4"/>
      <x:c r="EZ973" s="4"/>
      <x:c r="FA973" s="4"/>
      <x:c r="FB973" s="4"/>
      <x:c r="FC973" s="4"/>
      <x:c r="FD973" s="4"/>
      <x:c r="FE973" s="4"/>
      <x:c r="FF973" s="4"/>
      <x:c r="FG973" s="4"/>
      <x:c r="FH973" s="4"/>
      <x:c r="FI973" s="4"/>
      <x:c r="FJ973" s="4"/>
      <x:c r="FK973" s="4"/>
      <x:c r="FL973" s="4"/>
      <x:c r="FM973" s="4"/>
      <x:c r="FN973" s="4"/>
      <x:c r="FO973" s="4"/>
      <x:c r="JA973" t="n">
        <x:f>IF(OR(IFERROR(INDIRECT("'WCM Calibration Final'!$A$973")&lt;&gt;"",FALSE),IFERROR(INDIRECT("'WCM Calibration Final'!$B$973")&lt;&gt;"",FALSE),IFERROR(INDIRECT("'WCM Calibration Final'!$C$973")&lt;&gt;"",FALSE)),973,0)</x:f>
        <x:v>0</x:v>
      </x:c>
      <x:c r="JB973" t="n">
        <x:f>'Calculations'!JB972+IF('Calculations'!JA973&gt;0,1,0)</x:f>
        <x:v>0</x:v>
      </x:c>
    </x:row>
    <x:row r="974">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4"/>
      <x:c r="DQ974" s="4"/>
      <x:c r="DR974" s="4"/>
      <x:c r="DS974" s="4"/>
      <x:c r="DT974" s="4"/>
      <x:c r="DU974" s="4"/>
      <x:c r="DV974" s="4"/>
      <x:c r="DW974" s="4"/>
      <x:c r="DX974" s="4"/>
      <x:c r="DY974" s="4"/>
      <x:c r="DZ974" s="4"/>
      <x:c r="EA974" s="4"/>
      <x:c r="EB974" s="4"/>
      <x:c r="EC974" s="4"/>
      <x:c r="ED974" s="4"/>
      <x:c r="EE974" s="4"/>
      <x:c r="EF974" s="4"/>
      <x:c r="EG974" s="4"/>
      <x:c r="EH974" s="4"/>
      <x:c r="EI974" s="4"/>
      <x:c r="EJ974" s="4"/>
      <x:c r="EK974" s="4"/>
      <x:c r="EL974" s="4"/>
      <x:c r="EM974" s="4"/>
      <x:c r="EN974" s="4"/>
      <x:c r="EO974" s="4"/>
      <x:c r="EP974" s="4"/>
      <x:c r="EQ974" s="4"/>
      <x:c r="ER974" s="4"/>
      <x:c r="ES974" s="4"/>
      <x:c r="ET974" s="4"/>
      <x:c r="EU974" s="4"/>
      <x:c r="EV974" s="4"/>
      <x:c r="EW974" s="4"/>
      <x:c r="EX974" s="4"/>
      <x:c r="EY974" s="4"/>
      <x:c r="EZ974" s="4"/>
      <x:c r="FA974" s="4"/>
      <x:c r="FB974" s="4"/>
      <x:c r="FC974" s="4"/>
      <x:c r="FD974" s="4"/>
      <x:c r="FE974" s="4"/>
      <x:c r="FF974" s="4"/>
      <x:c r="FG974" s="4"/>
      <x:c r="FH974" s="4"/>
      <x:c r="FI974" s="4"/>
      <x:c r="FJ974" s="4"/>
      <x:c r="FK974" s="4"/>
      <x:c r="FL974" s="4"/>
      <x:c r="FM974" s="4"/>
      <x:c r="FN974" s="4"/>
      <x:c r="FO974" s="4"/>
      <x:c r="JA974" t="n">
        <x:f>IF(OR(IFERROR(INDIRECT("'WCM Calibration Final'!$A$974")&lt;&gt;"",FALSE),IFERROR(INDIRECT("'WCM Calibration Final'!$B$974")&lt;&gt;"",FALSE),IFERROR(INDIRECT("'WCM Calibration Final'!$C$974")&lt;&gt;"",FALSE)),974,0)</x:f>
        <x:v>0</x:v>
      </x:c>
      <x:c r="JB974" t="n">
        <x:f>'Calculations'!JB973+IF('Calculations'!JA974&gt;0,1,0)</x:f>
        <x:v>0</x:v>
      </x:c>
    </x:row>
    <x:row r="975">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4"/>
      <x:c r="DQ975" s="4"/>
      <x:c r="DR975" s="4"/>
      <x:c r="DS975" s="4"/>
      <x:c r="DT975" s="4"/>
      <x:c r="DU975" s="4"/>
      <x:c r="DV975" s="4"/>
      <x:c r="DW975" s="4"/>
      <x:c r="DX975" s="4"/>
      <x:c r="DY975" s="4"/>
      <x:c r="DZ975" s="4"/>
      <x:c r="EA975" s="4"/>
      <x:c r="EB975" s="4"/>
      <x:c r="EC975" s="4"/>
      <x:c r="ED975" s="4"/>
      <x:c r="EE975" s="4"/>
      <x:c r="EF975" s="4"/>
      <x:c r="EG975" s="4"/>
      <x:c r="EH975" s="4"/>
      <x:c r="EI975" s="4"/>
      <x:c r="EJ975" s="4"/>
      <x:c r="EK975" s="4"/>
      <x:c r="EL975" s="4"/>
      <x:c r="EM975" s="4"/>
      <x:c r="EN975" s="4"/>
      <x:c r="EO975" s="4"/>
      <x:c r="EP975" s="4"/>
      <x:c r="EQ975" s="4"/>
      <x:c r="ER975" s="4"/>
      <x:c r="ES975" s="4"/>
      <x:c r="ET975" s="4"/>
      <x:c r="EU975" s="4"/>
      <x:c r="EV975" s="4"/>
      <x:c r="EW975" s="4"/>
      <x:c r="EX975" s="4"/>
      <x:c r="EY975" s="4"/>
      <x:c r="EZ975" s="4"/>
      <x:c r="FA975" s="4"/>
      <x:c r="FB975" s="4"/>
      <x:c r="FC975" s="4"/>
      <x:c r="FD975" s="4"/>
      <x:c r="FE975" s="4"/>
      <x:c r="FF975" s="4"/>
      <x:c r="FG975" s="4"/>
      <x:c r="FH975" s="4"/>
      <x:c r="FI975" s="4"/>
      <x:c r="FJ975" s="4"/>
      <x:c r="FK975" s="4"/>
      <x:c r="FL975" s="4"/>
      <x:c r="FM975" s="4"/>
      <x:c r="FN975" s="4"/>
      <x:c r="FO975" s="4"/>
      <x:c r="JA975" t="n">
        <x:f>IF(OR(IFERROR(INDIRECT("'WCM Calibration Final'!$A$975")&lt;&gt;"",FALSE),IFERROR(INDIRECT("'WCM Calibration Final'!$B$975")&lt;&gt;"",FALSE),IFERROR(INDIRECT("'WCM Calibration Final'!$C$975")&lt;&gt;"",FALSE)),975,0)</x:f>
        <x:v>0</x:v>
      </x:c>
      <x:c r="JB975" t="n">
        <x:f>'Calculations'!JB974+IF('Calculations'!JA975&gt;0,1,0)</x:f>
        <x:v>0</x:v>
      </x:c>
    </x:row>
    <x:row r="976">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4"/>
      <x:c r="DQ976" s="4"/>
      <x:c r="DR976" s="4"/>
      <x:c r="DS976" s="4"/>
      <x:c r="DT976" s="4"/>
      <x:c r="DU976" s="4"/>
      <x:c r="DV976" s="4"/>
      <x:c r="DW976" s="4"/>
      <x:c r="DX976" s="4"/>
      <x:c r="DY976" s="4"/>
      <x:c r="DZ976" s="4"/>
      <x:c r="EA976" s="4"/>
      <x:c r="EB976" s="4"/>
      <x:c r="EC976" s="4"/>
      <x:c r="ED976" s="4"/>
      <x:c r="EE976" s="4"/>
      <x:c r="EF976" s="4"/>
      <x:c r="EG976" s="4"/>
      <x:c r="EH976" s="4"/>
      <x:c r="EI976" s="4"/>
      <x:c r="EJ976" s="4"/>
      <x:c r="EK976" s="4"/>
      <x:c r="EL976" s="4"/>
      <x:c r="EM976" s="4"/>
      <x:c r="EN976" s="4"/>
      <x:c r="EO976" s="4"/>
      <x:c r="EP976" s="4"/>
      <x:c r="EQ976" s="4"/>
      <x:c r="ER976" s="4"/>
      <x:c r="ES976" s="4"/>
      <x:c r="ET976" s="4"/>
      <x:c r="EU976" s="4"/>
      <x:c r="EV976" s="4"/>
      <x:c r="EW976" s="4"/>
      <x:c r="EX976" s="4"/>
      <x:c r="EY976" s="4"/>
      <x:c r="EZ976" s="4"/>
      <x:c r="FA976" s="4"/>
      <x:c r="FB976" s="4"/>
      <x:c r="FC976" s="4"/>
      <x:c r="FD976" s="4"/>
      <x:c r="FE976" s="4"/>
      <x:c r="FF976" s="4"/>
      <x:c r="FG976" s="4"/>
      <x:c r="FH976" s="4"/>
      <x:c r="FI976" s="4"/>
      <x:c r="FJ976" s="4"/>
      <x:c r="FK976" s="4"/>
      <x:c r="FL976" s="4"/>
      <x:c r="FM976" s="4"/>
      <x:c r="FN976" s="4"/>
      <x:c r="FO976" s="4"/>
      <x:c r="JA976" t="n">
        <x:f>IF(OR(IFERROR(INDIRECT("'WCM Calibration Final'!$A$976")&lt;&gt;"",FALSE),IFERROR(INDIRECT("'WCM Calibration Final'!$B$976")&lt;&gt;"",FALSE),IFERROR(INDIRECT("'WCM Calibration Final'!$C$976")&lt;&gt;"",FALSE)),976,0)</x:f>
        <x:v>0</x:v>
      </x:c>
      <x:c r="JB976" t="n">
        <x:f>'Calculations'!JB975+IF('Calculations'!JA976&gt;0,1,0)</x:f>
        <x:v>0</x:v>
      </x:c>
    </x:row>
    <x:row r="977">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4"/>
      <x:c r="DQ977" s="4"/>
      <x:c r="DR977" s="4"/>
      <x:c r="DS977" s="4"/>
      <x:c r="DT977" s="4"/>
      <x:c r="DU977" s="4"/>
      <x:c r="DV977" s="4"/>
      <x:c r="DW977" s="4"/>
      <x:c r="DX977" s="4"/>
      <x:c r="DY977" s="4"/>
      <x:c r="DZ977" s="4"/>
      <x:c r="EA977" s="4"/>
      <x:c r="EB977" s="4"/>
      <x:c r="EC977" s="4"/>
      <x:c r="ED977" s="4"/>
      <x:c r="EE977" s="4"/>
      <x:c r="EF977" s="4"/>
      <x:c r="EG977" s="4"/>
      <x:c r="EH977" s="4"/>
      <x:c r="EI977" s="4"/>
      <x:c r="EJ977" s="4"/>
      <x:c r="EK977" s="4"/>
      <x:c r="EL977" s="4"/>
      <x:c r="EM977" s="4"/>
      <x:c r="EN977" s="4"/>
      <x:c r="EO977" s="4"/>
      <x:c r="EP977" s="4"/>
      <x:c r="EQ977" s="4"/>
      <x:c r="ER977" s="4"/>
      <x:c r="ES977" s="4"/>
      <x:c r="ET977" s="4"/>
      <x:c r="EU977" s="4"/>
      <x:c r="EV977" s="4"/>
      <x:c r="EW977" s="4"/>
      <x:c r="EX977" s="4"/>
      <x:c r="EY977" s="4"/>
      <x:c r="EZ977" s="4"/>
      <x:c r="FA977" s="4"/>
      <x:c r="FB977" s="4"/>
      <x:c r="FC977" s="4"/>
      <x:c r="FD977" s="4"/>
      <x:c r="FE977" s="4"/>
      <x:c r="FF977" s="4"/>
      <x:c r="FG977" s="4"/>
      <x:c r="FH977" s="4"/>
      <x:c r="FI977" s="4"/>
      <x:c r="FJ977" s="4"/>
      <x:c r="FK977" s="4"/>
      <x:c r="FL977" s="4"/>
      <x:c r="FM977" s="4"/>
      <x:c r="FN977" s="4"/>
      <x:c r="FO977" s="4"/>
      <x:c r="JA977" t="n">
        <x:f>IF(OR(IFERROR(INDIRECT("'WCM Calibration Final'!$A$977")&lt;&gt;"",FALSE),IFERROR(INDIRECT("'WCM Calibration Final'!$B$977")&lt;&gt;"",FALSE),IFERROR(INDIRECT("'WCM Calibration Final'!$C$977")&lt;&gt;"",FALSE)),977,0)</x:f>
        <x:v>0</x:v>
      </x:c>
      <x:c r="JB977" t="n">
        <x:f>'Calculations'!JB976+IF('Calculations'!JA977&gt;0,1,0)</x:f>
        <x:v>0</x:v>
      </x:c>
    </x:row>
    <x:row r="978">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4"/>
      <x:c r="DQ978" s="4"/>
      <x:c r="DR978" s="4"/>
      <x:c r="DS978" s="4"/>
      <x:c r="DT978" s="4"/>
      <x:c r="DU978" s="4"/>
      <x:c r="DV978" s="4"/>
      <x:c r="DW978" s="4"/>
      <x:c r="DX978" s="4"/>
      <x:c r="DY978" s="4"/>
      <x:c r="DZ978" s="4"/>
      <x:c r="EA978" s="4"/>
      <x:c r="EB978" s="4"/>
      <x:c r="EC978" s="4"/>
      <x:c r="ED978" s="4"/>
      <x:c r="EE978" s="4"/>
      <x:c r="EF978" s="4"/>
      <x:c r="EG978" s="4"/>
      <x:c r="EH978" s="4"/>
      <x:c r="EI978" s="4"/>
      <x:c r="EJ978" s="4"/>
      <x:c r="EK978" s="4"/>
      <x:c r="EL978" s="4"/>
      <x:c r="EM978" s="4"/>
      <x:c r="EN978" s="4"/>
      <x:c r="EO978" s="4"/>
      <x:c r="EP978" s="4"/>
      <x:c r="EQ978" s="4"/>
      <x:c r="ER978" s="4"/>
      <x:c r="ES978" s="4"/>
      <x:c r="ET978" s="4"/>
      <x:c r="EU978" s="4"/>
      <x:c r="EV978" s="4"/>
      <x:c r="EW978" s="4"/>
      <x:c r="EX978" s="4"/>
      <x:c r="EY978" s="4"/>
      <x:c r="EZ978" s="4"/>
      <x:c r="FA978" s="4"/>
      <x:c r="FB978" s="4"/>
      <x:c r="FC978" s="4"/>
      <x:c r="FD978" s="4"/>
      <x:c r="FE978" s="4"/>
      <x:c r="FF978" s="4"/>
      <x:c r="FG978" s="4"/>
      <x:c r="FH978" s="4"/>
      <x:c r="FI978" s="4"/>
      <x:c r="FJ978" s="4"/>
      <x:c r="FK978" s="4"/>
      <x:c r="FL978" s="4"/>
      <x:c r="FM978" s="4"/>
      <x:c r="FN978" s="4"/>
      <x:c r="FO978" s="4"/>
      <x:c r="JA978" t="n">
        <x:f>IF(OR(IFERROR(INDIRECT("'WCM Calibration Final'!$A$978")&lt;&gt;"",FALSE),IFERROR(INDIRECT("'WCM Calibration Final'!$B$978")&lt;&gt;"",FALSE),IFERROR(INDIRECT("'WCM Calibration Final'!$C$978")&lt;&gt;"",FALSE)),978,0)</x:f>
        <x:v>0</x:v>
      </x:c>
      <x:c r="JB978" t="n">
        <x:f>'Calculations'!JB977+IF('Calculations'!JA978&gt;0,1,0)</x:f>
        <x:v>0</x:v>
      </x:c>
    </x:row>
    <x:row r="979">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4"/>
      <x:c r="DQ979" s="4"/>
      <x:c r="DR979" s="4"/>
      <x:c r="DS979" s="4"/>
      <x:c r="DT979" s="4"/>
      <x:c r="DU979" s="4"/>
      <x:c r="DV979" s="4"/>
      <x:c r="DW979" s="4"/>
      <x:c r="DX979" s="4"/>
      <x:c r="DY979" s="4"/>
      <x:c r="DZ979" s="4"/>
      <x:c r="EA979" s="4"/>
      <x:c r="EB979" s="4"/>
      <x:c r="EC979" s="4"/>
      <x:c r="ED979" s="4"/>
      <x:c r="EE979" s="4"/>
      <x:c r="EF979" s="4"/>
      <x:c r="EG979" s="4"/>
      <x:c r="EH979" s="4"/>
      <x:c r="EI979" s="4"/>
      <x:c r="EJ979" s="4"/>
      <x:c r="EK979" s="4"/>
      <x:c r="EL979" s="4"/>
      <x:c r="EM979" s="4"/>
      <x:c r="EN979" s="4"/>
      <x:c r="EO979" s="4"/>
      <x:c r="EP979" s="4"/>
      <x:c r="EQ979" s="4"/>
      <x:c r="ER979" s="4"/>
      <x:c r="ES979" s="4"/>
      <x:c r="ET979" s="4"/>
      <x:c r="EU979" s="4"/>
      <x:c r="EV979" s="4"/>
      <x:c r="EW979" s="4"/>
      <x:c r="EX979" s="4"/>
      <x:c r="EY979" s="4"/>
      <x:c r="EZ979" s="4"/>
      <x:c r="FA979" s="4"/>
      <x:c r="FB979" s="4"/>
      <x:c r="FC979" s="4"/>
      <x:c r="FD979" s="4"/>
      <x:c r="FE979" s="4"/>
      <x:c r="FF979" s="4"/>
      <x:c r="FG979" s="4"/>
      <x:c r="FH979" s="4"/>
      <x:c r="FI979" s="4"/>
      <x:c r="FJ979" s="4"/>
      <x:c r="FK979" s="4"/>
      <x:c r="FL979" s="4"/>
      <x:c r="FM979" s="4"/>
      <x:c r="FN979" s="4"/>
      <x:c r="FO979" s="4"/>
      <x:c r="JA979" t="n">
        <x:f>IF(OR(IFERROR(INDIRECT("'WCM Calibration Final'!$A$979")&lt;&gt;"",FALSE),IFERROR(INDIRECT("'WCM Calibration Final'!$B$979")&lt;&gt;"",FALSE),IFERROR(INDIRECT("'WCM Calibration Final'!$C$979")&lt;&gt;"",FALSE)),979,0)</x:f>
        <x:v>0</x:v>
      </x:c>
      <x:c r="JB979" t="n">
        <x:f>'Calculations'!JB978+IF('Calculations'!JA979&gt;0,1,0)</x:f>
        <x:v>0</x:v>
      </x:c>
    </x:row>
    <x:row r="980">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4"/>
      <x:c r="DQ980" s="4"/>
      <x:c r="DR980" s="4"/>
      <x:c r="DS980" s="4"/>
      <x:c r="DT980" s="4"/>
      <x:c r="DU980" s="4"/>
      <x:c r="DV980" s="4"/>
      <x:c r="DW980" s="4"/>
      <x:c r="DX980" s="4"/>
      <x:c r="DY980" s="4"/>
      <x:c r="DZ980" s="4"/>
      <x:c r="EA980" s="4"/>
      <x:c r="EB980" s="4"/>
      <x:c r="EC980" s="4"/>
      <x:c r="ED980" s="4"/>
      <x:c r="EE980" s="4"/>
      <x:c r="EF980" s="4"/>
      <x:c r="EG980" s="4"/>
      <x:c r="EH980" s="4"/>
      <x:c r="EI980" s="4"/>
      <x:c r="EJ980" s="4"/>
      <x:c r="EK980" s="4"/>
      <x:c r="EL980" s="4"/>
      <x:c r="EM980" s="4"/>
      <x:c r="EN980" s="4"/>
      <x:c r="EO980" s="4"/>
      <x:c r="EP980" s="4"/>
      <x:c r="EQ980" s="4"/>
      <x:c r="ER980" s="4"/>
      <x:c r="ES980" s="4"/>
      <x:c r="ET980" s="4"/>
      <x:c r="EU980" s="4"/>
      <x:c r="EV980" s="4"/>
      <x:c r="EW980" s="4"/>
      <x:c r="EX980" s="4"/>
      <x:c r="EY980" s="4"/>
      <x:c r="EZ980" s="4"/>
      <x:c r="FA980" s="4"/>
      <x:c r="FB980" s="4"/>
      <x:c r="FC980" s="4"/>
      <x:c r="FD980" s="4"/>
      <x:c r="FE980" s="4"/>
      <x:c r="FF980" s="4"/>
      <x:c r="FG980" s="4"/>
      <x:c r="FH980" s="4"/>
      <x:c r="FI980" s="4"/>
      <x:c r="FJ980" s="4"/>
      <x:c r="FK980" s="4"/>
      <x:c r="FL980" s="4"/>
      <x:c r="FM980" s="4"/>
      <x:c r="FN980" s="4"/>
      <x:c r="FO980" s="4"/>
      <x:c r="JA980" t="n">
        <x:f>IF(OR(IFERROR(INDIRECT("'WCM Calibration Final'!$A$980")&lt;&gt;"",FALSE),IFERROR(INDIRECT("'WCM Calibration Final'!$B$980")&lt;&gt;"",FALSE),IFERROR(INDIRECT("'WCM Calibration Final'!$C$980")&lt;&gt;"",FALSE)),980,0)</x:f>
        <x:v>0</x:v>
      </x:c>
      <x:c r="JB980" t="n">
        <x:f>'Calculations'!JB979+IF('Calculations'!JA980&gt;0,1,0)</x:f>
        <x:v>0</x:v>
      </x:c>
    </x:row>
    <x:row r="981">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4"/>
      <x:c r="DQ981" s="4"/>
      <x:c r="DR981" s="4"/>
      <x:c r="DS981" s="4"/>
      <x:c r="DT981" s="4"/>
      <x:c r="DU981" s="4"/>
      <x:c r="DV981" s="4"/>
      <x:c r="DW981" s="4"/>
      <x:c r="DX981" s="4"/>
      <x:c r="DY981" s="4"/>
      <x:c r="DZ981" s="4"/>
      <x:c r="EA981" s="4"/>
      <x:c r="EB981" s="4"/>
      <x:c r="EC981" s="4"/>
      <x:c r="ED981" s="4"/>
      <x:c r="EE981" s="4"/>
      <x:c r="EF981" s="4"/>
      <x:c r="EG981" s="4"/>
      <x:c r="EH981" s="4"/>
      <x:c r="EI981" s="4"/>
      <x:c r="EJ981" s="4"/>
      <x:c r="EK981" s="4"/>
      <x:c r="EL981" s="4"/>
      <x:c r="EM981" s="4"/>
      <x:c r="EN981" s="4"/>
      <x:c r="EO981" s="4"/>
      <x:c r="EP981" s="4"/>
      <x:c r="EQ981" s="4"/>
      <x:c r="ER981" s="4"/>
      <x:c r="ES981" s="4"/>
      <x:c r="ET981" s="4"/>
      <x:c r="EU981" s="4"/>
      <x:c r="EV981" s="4"/>
      <x:c r="EW981" s="4"/>
      <x:c r="EX981" s="4"/>
      <x:c r="EY981" s="4"/>
      <x:c r="EZ981" s="4"/>
      <x:c r="FA981" s="4"/>
      <x:c r="FB981" s="4"/>
      <x:c r="FC981" s="4"/>
      <x:c r="FD981" s="4"/>
      <x:c r="FE981" s="4"/>
      <x:c r="FF981" s="4"/>
      <x:c r="FG981" s="4"/>
      <x:c r="FH981" s="4"/>
      <x:c r="FI981" s="4"/>
      <x:c r="FJ981" s="4"/>
      <x:c r="FK981" s="4"/>
      <x:c r="FL981" s="4"/>
      <x:c r="FM981" s="4"/>
      <x:c r="FN981" s="4"/>
      <x:c r="FO981" s="4"/>
      <x:c r="JA981" t="n">
        <x:f>IF(OR(IFERROR(INDIRECT("'WCM Calibration Final'!$A$981")&lt;&gt;"",FALSE),IFERROR(INDIRECT("'WCM Calibration Final'!$B$981")&lt;&gt;"",FALSE),IFERROR(INDIRECT("'WCM Calibration Final'!$C$981")&lt;&gt;"",FALSE)),981,0)</x:f>
        <x:v>0</x:v>
      </x:c>
      <x:c r="JB981" t="n">
        <x:f>'Calculations'!JB980+IF('Calculations'!JA981&gt;0,1,0)</x:f>
        <x:v>0</x:v>
      </x:c>
    </x:row>
    <x:row r="982">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4"/>
      <x:c r="DQ982" s="4"/>
      <x:c r="DR982" s="4"/>
      <x:c r="DS982" s="4"/>
      <x:c r="DT982" s="4"/>
      <x:c r="DU982" s="4"/>
      <x:c r="DV982" s="4"/>
      <x:c r="DW982" s="4"/>
      <x:c r="DX982" s="4"/>
      <x:c r="DY982" s="4"/>
      <x:c r="DZ982" s="4"/>
      <x:c r="EA982" s="4"/>
      <x:c r="EB982" s="4"/>
      <x:c r="EC982" s="4"/>
      <x:c r="ED982" s="4"/>
      <x:c r="EE982" s="4"/>
      <x:c r="EF982" s="4"/>
      <x:c r="EG982" s="4"/>
      <x:c r="EH982" s="4"/>
      <x:c r="EI982" s="4"/>
      <x:c r="EJ982" s="4"/>
      <x:c r="EK982" s="4"/>
      <x:c r="EL982" s="4"/>
      <x:c r="EM982" s="4"/>
      <x:c r="EN982" s="4"/>
      <x:c r="EO982" s="4"/>
      <x:c r="EP982" s="4"/>
      <x:c r="EQ982" s="4"/>
      <x:c r="ER982" s="4"/>
      <x:c r="ES982" s="4"/>
      <x:c r="ET982" s="4"/>
      <x:c r="EU982" s="4"/>
      <x:c r="EV982" s="4"/>
      <x:c r="EW982" s="4"/>
      <x:c r="EX982" s="4"/>
      <x:c r="EY982" s="4"/>
      <x:c r="EZ982" s="4"/>
      <x:c r="FA982" s="4"/>
      <x:c r="FB982" s="4"/>
      <x:c r="FC982" s="4"/>
      <x:c r="FD982" s="4"/>
      <x:c r="FE982" s="4"/>
      <x:c r="FF982" s="4"/>
      <x:c r="FG982" s="4"/>
      <x:c r="FH982" s="4"/>
      <x:c r="FI982" s="4"/>
      <x:c r="FJ982" s="4"/>
      <x:c r="FK982" s="4"/>
      <x:c r="FL982" s="4"/>
      <x:c r="FM982" s="4"/>
      <x:c r="FN982" s="4"/>
      <x:c r="FO982" s="4"/>
      <x:c r="JA982" t="n">
        <x:f>IF(OR(IFERROR(INDIRECT("'WCM Calibration Final'!$A$982")&lt;&gt;"",FALSE),IFERROR(INDIRECT("'WCM Calibration Final'!$B$982")&lt;&gt;"",FALSE),IFERROR(INDIRECT("'WCM Calibration Final'!$C$982")&lt;&gt;"",FALSE)),982,0)</x:f>
        <x:v>0</x:v>
      </x:c>
      <x:c r="JB982" t="n">
        <x:f>'Calculations'!JB981+IF('Calculations'!JA982&gt;0,1,0)</x:f>
        <x:v>0</x:v>
      </x:c>
    </x:row>
    <x:row r="983">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4"/>
      <x:c r="DQ983" s="4"/>
      <x:c r="DR983" s="4"/>
      <x:c r="DS983" s="4"/>
      <x:c r="DT983" s="4"/>
      <x:c r="DU983" s="4"/>
      <x:c r="DV983" s="4"/>
      <x:c r="DW983" s="4"/>
      <x:c r="DX983" s="4"/>
      <x:c r="DY983" s="4"/>
      <x:c r="DZ983" s="4"/>
      <x:c r="EA983" s="4"/>
      <x:c r="EB983" s="4"/>
      <x:c r="EC983" s="4"/>
      <x:c r="ED983" s="4"/>
      <x:c r="EE983" s="4"/>
      <x:c r="EF983" s="4"/>
      <x:c r="EG983" s="4"/>
      <x:c r="EH983" s="4"/>
      <x:c r="EI983" s="4"/>
      <x:c r="EJ983" s="4"/>
      <x:c r="EK983" s="4"/>
      <x:c r="EL983" s="4"/>
      <x:c r="EM983" s="4"/>
      <x:c r="EN983" s="4"/>
      <x:c r="EO983" s="4"/>
      <x:c r="EP983" s="4"/>
      <x:c r="EQ983" s="4"/>
      <x:c r="ER983" s="4"/>
      <x:c r="ES983" s="4"/>
      <x:c r="ET983" s="4"/>
      <x:c r="EU983" s="4"/>
      <x:c r="EV983" s="4"/>
      <x:c r="EW983" s="4"/>
      <x:c r="EX983" s="4"/>
      <x:c r="EY983" s="4"/>
      <x:c r="EZ983" s="4"/>
      <x:c r="FA983" s="4"/>
      <x:c r="FB983" s="4"/>
      <x:c r="FC983" s="4"/>
      <x:c r="FD983" s="4"/>
      <x:c r="FE983" s="4"/>
      <x:c r="FF983" s="4"/>
      <x:c r="FG983" s="4"/>
      <x:c r="FH983" s="4"/>
      <x:c r="FI983" s="4"/>
      <x:c r="FJ983" s="4"/>
      <x:c r="FK983" s="4"/>
      <x:c r="FL983" s="4"/>
      <x:c r="FM983" s="4"/>
      <x:c r="FN983" s="4"/>
      <x:c r="FO983" s="4"/>
      <x:c r="JA983" t="n">
        <x:f>IF(OR(IFERROR(INDIRECT("'WCM Calibration Final'!$A$983")&lt;&gt;"",FALSE),IFERROR(INDIRECT("'WCM Calibration Final'!$B$983")&lt;&gt;"",FALSE),IFERROR(INDIRECT("'WCM Calibration Final'!$C$983")&lt;&gt;"",FALSE)),983,0)</x:f>
        <x:v>0</x:v>
      </x:c>
      <x:c r="JB983" t="n">
        <x:f>'Calculations'!JB982+IF('Calculations'!JA983&gt;0,1,0)</x:f>
        <x:v>0</x:v>
      </x:c>
    </x:row>
    <x:row r="984">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4"/>
      <x:c r="DQ984" s="4"/>
      <x:c r="DR984" s="4"/>
      <x:c r="DS984" s="4"/>
      <x:c r="DT984" s="4"/>
      <x:c r="DU984" s="4"/>
      <x:c r="DV984" s="4"/>
      <x:c r="DW984" s="4"/>
      <x:c r="DX984" s="4"/>
      <x:c r="DY984" s="4"/>
      <x:c r="DZ984" s="4"/>
      <x:c r="EA984" s="4"/>
      <x:c r="EB984" s="4"/>
      <x:c r="EC984" s="4"/>
      <x:c r="ED984" s="4"/>
      <x:c r="EE984" s="4"/>
      <x:c r="EF984" s="4"/>
      <x:c r="EG984" s="4"/>
      <x:c r="EH984" s="4"/>
      <x:c r="EI984" s="4"/>
      <x:c r="EJ984" s="4"/>
      <x:c r="EK984" s="4"/>
      <x:c r="EL984" s="4"/>
      <x:c r="EM984" s="4"/>
      <x:c r="EN984" s="4"/>
      <x:c r="EO984" s="4"/>
      <x:c r="EP984" s="4"/>
      <x:c r="EQ984" s="4"/>
      <x:c r="ER984" s="4"/>
      <x:c r="ES984" s="4"/>
      <x:c r="ET984" s="4"/>
      <x:c r="EU984" s="4"/>
      <x:c r="EV984" s="4"/>
      <x:c r="EW984" s="4"/>
      <x:c r="EX984" s="4"/>
      <x:c r="EY984" s="4"/>
      <x:c r="EZ984" s="4"/>
      <x:c r="FA984" s="4"/>
      <x:c r="FB984" s="4"/>
      <x:c r="FC984" s="4"/>
      <x:c r="FD984" s="4"/>
      <x:c r="FE984" s="4"/>
      <x:c r="FF984" s="4"/>
      <x:c r="FG984" s="4"/>
      <x:c r="FH984" s="4"/>
      <x:c r="FI984" s="4"/>
      <x:c r="FJ984" s="4"/>
      <x:c r="FK984" s="4"/>
      <x:c r="FL984" s="4"/>
      <x:c r="FM984" s="4"/>
      <x:c r="FN984" s="4"/>
      <x:c r="FO984" s="4"/>
      <x:c r="JA984" t="n">
        <x:f>IF(OR(IFERROR(INDIRECT("'WCM Calibration Final'!$A$984")&lt;&gt;"",FALSE),IFERROR(INDIRECT("'WCM Calibration Final'!$B$984")&lt;&gt;"",FALSE),IFERROR(INDIRECT("'WCM Calibration Final'!$C$984")&lt;&gt;"",FALSE)),984,0)</x:f>
        <x:v>0</x:v>
      </x:c>
      <x:c r="JB984" t="n">
        <x:f>'Calculations'!JB983+IF('Calculations'!JA984&gt;0,1,0)</x:f>
        <x:v>0</x:v>
      </x:c>
    </x:row>
    <x:row r="985">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4"/>
      <x:c r="DQ985" s="4"/>
      <x:c r="DR985" s="4"/>
      <x:c r="DS985" s="4"/>
      <x:c r="DT985" s="4"/>
      <x:c r="DU985" s="4"/>
      <x:c r="DV985" s="4"/>
      <x:c r="DW985" s="4"/>
      <x:c r="DX985" s="4"/>
      <x:c r="DY985" s="4"/>
      <x:c r="DZ985" s="4"/>
      <x:c r="EA985" s="4"/>
      <x:c r="EB985" s="4"/>
      <x:c r="EC985" s="4"/>
      <x:c r="ED985" s="4"/>
      <x:c r="EE985" s="4"/>
      <x:c r="EF985" s="4"/>
      <x:c r="EG985" s="4"/>
      <x:c r="EH985" s="4"/>
      <x:c r="EI985" s="4"/>
      <x:c r="EJ985" s="4"/>
      <x:c r="EK985" s="4"/>
      <x:c r="EL985" s="4"/>
      <x:c r="EM985" s="4"/>
      <x:c r="EN985" s="4"/>
      <x:c r="EO985" s="4"/>
      <x:c r="EP985" s="4"/>
      <x:c r="EQ985" s="4"/>
      <x:c r="ER985" s="4"/>
      <x:c r="ES985" s="4"/>
      <x:c r="ET985" s="4"/>
      <x:c r="EU985" s="4"/>
      <x:c r="EV985" s="4"/>
      <x:c r="EW985" s="4"/>
      <x:c r="EX985" s="4"/>
      <x:c r="EY985" s="4"/>
      <x:c r="EZ985" s="4"/>
      <x:c r="FA985" s="4"/>
      <x:c r="FB985" s="4"/>
      <x:c r="FC985" s="4"/>
      <x:c r="FD985" s="4"/>
      <x:c r="FE985" s="4"/>
      <x:c r="FF985" s="4"/>
      <x:c r="FG985" s="4"/>
      <x:c r="FH985" s="4"/>
      <x:c r="FI985" s="4"/>
      <x:c r="FJ985" s="4"/>
      <x:c r="FK985" s="4"/>
      <x:c r="FL985" s="4"/>
      <x:c r="FM985" s="4"/>
      <x:c r="FN985" s="4"/>
      <x:c r="FO985" s="4"/>
      <x:c r="JA985" t="n">
        <x:f>IF(OR(IFERROR(INDIRECT("'WCM Calibration Final'!$A$985")&lt;&gt;"",FALSE),IFERROR(INDIRECT("'WCM Calibration Final'!$B$985")&lt;&gt;"",FALSE),IFERROR(INDIRECT("'WCM Calibration Final'!$C$985")&lt;&gt;"",FALSE)),985,0)</x:f>
        <x:v>0</x:v>
      </x:c>
      <x:c r="JB985" t="n">
        <x:f>'Calculations'!JB984+IF('Calculations'!JA985&gt;0,1,0)</x:f>
        <x:v>0</x:v>
      </x:c>
    </x:row>
    <x:row r="986">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4"/>
      <x:c r="DQ986" s="4"/>
      <x:c r="DR986" s="4"/>
      <x:c r="DS986" s="4"/>
      <x:c r="DT986" s="4"/>
      <x:c r="DU986" s="4"/>
      <x:c r="DV986" s="4"/>
      <x:c r="DW986" s="4"/>
      <x:c r="DX986" s="4"/>
      <x:c r="DY986" s="4"/>
      <x:c r="DZ986" s="4"/>
      <x:c r="EA986" s="4"/>
      <x:c r="EB986" s="4"/>
      <x:c r="EC986" s="4"/>
      <x:c r="ED986" s="4"/>
      <x:c r="EE986" s="4"/>
      <x:c r="EF986" s="4"/>
      <x:c r="EG986" s="4"/>
      <x:c r="EH986" s="4"/>
      <x:c r="EI986" s="4"/>
      <x:c r="EJ986" s="4"/>
      <x:c r="EK986" s="4"/>
      <x:c r="EL986" s="4"/>
      <x:c r="EM986" s="4"/>
      <x:c r="EN986" s="4"/>
      <x:c r="EO986" s="4"/>
      <x:c r="EP986" s="4"/>
      <x:c r="EQ986" s="4"/>
      <x:c r="ER986" s="4"/>
      <x:c r="ES986" s="4"/>
      <x:c r="ET986" s="4"/>
      <x:c r="EU986" s="4"/>
      <x:c r="EV986" s="4"/>
      <x:c r="EW986" s="4"/>
      <x:c r="EX986" s="4"/>
      <x:c r="EY986" s="4"/>
      <x:c r="EZ986" s="4"/>
      <x:c r="FA986" s="4"/>
      <x:c r="FB986" s="4"/>
      <x:c r="FC986" s="4"/>
      <x:c r="FD986" s="4"/>
      <x:c r="FE986" s="4"/>
      <x:c r="FF986" s="4"/>
      <x:c r="FG986" s="4"/>
      <x:c r="FH986" s="4"/>
      <x:c r="FI986" s="4"/>
      <x:c r="FJ986" s="4"/>
      <x:c r="FK986" s="4"/>
      <x:c r="FL986" s="4"/>
      <x:c r="FM986" s="4"/>
      <x:c r="FN986" s="4"/>
      <x:c r="FO986" s="4"/>
      <x:c r="JA986" t="n">
        <x:f>IF(OR(IFERROR(INDIRECT("'WCM Calibration Final'!$A$986")&lt;&gt;"",FALSE),IFERROR(INDIRECT("'WCM Calibration Final'!$B$986")&lt;&gt;"",FALSE),IFERROR(INDIRECT("'WCM Calibration Final'!$C$986")&lt;&gt;"",FALSE)),986,0)</x:f>
        <x:v>0</x:v>
      </x:c>
      <x:c r="JB986" t="n">
        <x:f>'Calculations'!JB985+IF('Calculations'!JA986&gt;0,1,0)</x:f>
        <x:v>0</x:v>
      </x:c>
    </x:row>
    <x:row r="987">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4"/>
      <x:c r="DQ987" s="4"/>
      <x:c r="DR987" s="4"/>
      <x:c r="DS987" s="4"/>
      <x:c r="DT987" s="4"/>
      <x:c r="DU987" s="4"/>
      <x:c r="DV987" s="4"/>
      <x:c r="DW987" s="4"/>
      <x:c r="DX987" s="4"/>
      <x:c r="DY987" s="4"/>
      <x:c r="DZ987" s="4"/>
      <x:c r="EA987" s="4"/>
      <x:c r="EB987" s="4"/>
      <x:c r="EC987" s="4"/>
      <x:c r="ED987" s="4"/>
      <x:c r="EE987" s="4"/>
      <x:c r="EF987" s="4"/>
      <x:c r="EG987" s="4"/>
      <x:c r="EH987" s="4"/>
      <x:c r="EI987" s="4"/>
      <x:c r="EJ987" s="4"/>
      <x:c r="EK987" s="4"/>
      <x:c r="EL987" s="4"/>
      <x:c r="EM987" s="4"/>
      <x:c r="EN987" s="4"/>
      <x:c r="EO987" s="4"/>
      <x:c r="EP987" s="4"/>
      <x:c r="EQ987" s="4"/>
      <x:c r="ER987" s="4"/>
      <x:c r="ES987" s="4"/>
      <x:c r="ET987" s="4"/>
      <x:c r="EU987" s="4"/>
      <x:c r="EV987" s="4"/>
      <x:c r="EW987" s="4"/>
      <x:c r="EX987" s="4"/>
      <x:c r="EY987" s="4"/>
      <x:c r="EZ987" s="4"/>
      <x:c r="FA987" s="4"/>
      <x:c r="FB987" s="4"/>
      <x:c r="FC987" s="4"/>
      <x:c r="FD987" s="4"/>
      <x:c r="FE987" s="4"/>
      <x:c r="FF987" s="4"/>
      <x:c r="FG987" s="4"/>
      <x:c r="FH987" s="4"/>
      <x:c r="FI987" s="4"/>
      <x:c r="FJ987" s="4"/>
      <x:c r="FK987" s="4"/>
      <x:c r="FL987" s="4"/>
      <x:c r="FM987" s="4"/>
      <x:c r="FN987" s="4"/>
      <x:c r="FO987" s="4"/>
      <x:c r="JA987" t="n">
        <x:f>IF(OR(IFERROR(INDIRECT("'WCM Calibration Final'!$A$987")&lt;&gt;"",FALSE),IFERROR(INDIRECT("'WCM Calibration Final'!$B$987")&lt;&gt;"",FALSE),IFERROR(INDIRECT("'WCM Calibration Final'!$C$987")&lt;&gt;"",FALSE)),987,0)</x:f>
        <x:v>0</x:v>
      </x:c>
      <x:c r="JB987" t="n">
        <x:f>'Calculations'!JB986+IF('Calculations'!JA987&gt;0,1,0)</x:f>
        <x:v>0</x:v>
      </x:c>
    </x:row>
    <x:row r="988">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4"/>
      <x:c r="DQ988" s="4"/>
      <x:c r="DR988" s="4"/>
      <x:c r="DS988" s="4"/>
      <x:c r="DT988" s="4"/>
      <x:c r="DU988" s="4"/>
      <x:c r="DV988" s="4"/>
      <x:c r="DW988" s="4"/>
      <x:c r="DX988" s="4"/>
      <x:c r="DY988" s="4"/>
      <x:c r="DZ988" s="4"/>
      <x:c r="EA988" s="4"/>
      <x:c r="EB988" s="4"/>
      <x:c r="EC988" s="4"/>
      <x:c r="ED988" s="4"/>
      <x:c r="EE988" s="4"/>
      <x:c r="EF988" s="4"/>
      <x:c r="EG988" s="4"/>
      <x:c r="EH988" s="4"/>
      <x:c r="EI988" s="4"/>
      <x:c r="EJ988" s="4"/>
      <x:c r="EK988" s="4"/>
      <x:c r="EL988" s="4"/>
      <x:c r="EM988" s="4"/>
      <x:c r="EN988" s="4"/>
      <x:c r="EO988" s="4"/>
      <x:c r="EP988" s="4"/>
      <x:c r="EQ988" s="4"/>
      <x:c r="ER988" s="4"/>
      <x:c r="ES988" s="4"/>
      <x:c r="ET988" s="4"/>
      <x:c r="EU988" s="4"/>
      <x:c r="EV988" s="4"/>
      <x:c r="EW988" s="4"/>
      <x:c r="EX988" s="4"/>
      <x:c r="EY988" s="4"/>
      <x:c r="EZ988" s="4"/>
      <x:c r="FA988" s="4"/>
      <x:c r="FB988" s="4"/>
      <x:c r="FC988" s="4"/>
      <x:c r="FD988" s="4"/>
      <x:c r="FE988" s="4"/>
      <x:c r="FF988" s="4"/>
      <x:c r="FG988" s="4"/>
      <x:c r="FH988" s="4"/>
      <x:c r="FI988" s="4"/>
      <x:c r="FJ988" s="4"/>
      <x:c r="FK988" s="4"/>
      <x:c r="FL988" s="4"/>
      <x:c r="FM988" s="4"/>
      <x:c r="FN988" s="4"/>
      <x:c r="FO988" s="4"/>
      <x:c r="JA988" t="n">
        <x:f>IF(OR(IFERROR(INDIRECT("'WCM Calibration Final'!$A$988")&lt;&gt;"",FALSE),IFERROR(INDIRECT("'WCM Calibration Final'!$B$988")&lt;&gt;"",FALSE),IFERROR(INDIRECT("'WCM Calibration Final'!$C$988")&lt;&gt;"",FALSE)),988,0)</x:f>
        <x:v>0</x:v>
      </x:c>
      <x:c r="JB988" t="n">
        <x:f>'Calculations'!JB987+IF('Calculations'!JA988&gt;0,1,0)</x:f>
        <x:v>0</x:v>
      </x:c>
    </x:row>
    <x:row r="989">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4"/>
      <x:c r="DQ989" s="4"/>
      <x:c r="DR989" s="4"/>
      <x:c r="DS989" s="4"/>
      <x:c r="DT989" s="4"/>
      <x:c r="DU989" s="4"/>
      <x:c r="DV989" s="4"/>
      <x:c r="DW989" s="4"/>
      <x:c r="DX989" s="4"/>
      <x:c r="DY989" s="4"/>
      <x:c r="DZ989" s="4"/>
      <x:c r="EA989" s="4"/>
      <x:c r="EB989" s="4"/>
      <x:c r="EC989" s="4"/>
      <x:c r="ED989" s="4"/>
      <x:c r="EE989" s="4"/>
      <x:c r="EF989" s="4"/>
      <x:c r="EG989" s="4"/>
      <x:c r="EH989" s="4"/>
      <x:c r="EI989" s="4"/>
      <x:c r="EJ989" s="4"/>
      <x:c r="EK989" s="4"/>
      <x:c r="EL989" s="4"/>
      <x:c r="EM989" s="4"/>
      <x:c r="EN989" s="4"/>
      <x:c r="EO989" s="4"/>
      <x:c r="EP989" s="4"/>
      <x:c r="EQ989" s="4"/>
      <x:c r="ER989" s="4"/>
      <x:c r="ES989" s="4"/>
      <x:c r="ET989" s="4"/>
      <x:c r="EU989" s="4"/>
      <x:c r="EV989" s="4"/>
      <x:c r="EW989" s="4"/>
      <x:c r="EX989" s="4"/>
      <x:c r="EY989" s="4"/>
      <x:c r="EZ989" s="4"/>
      <x:c r="FA989" s="4"/>
      <x:c r="FB989" s="4"/>
      <x:c r="FC989" s="4"/>
      <x:c r="FD989" s="4"/>
      <x:c r="FE989" s="4"/>
      <x:c r="FF989" s="4"/>
      <x:c r="FG989" s="4"/>
      <x:c r="FH989" s="4"/>
      <x:c r="FI989" s="4"/>
      <x:c r="FJ989" s="4"/>
      <x:c r="FK989" s="4"/>
      <x:c r="FL989" s="4"/>
      <x:c r="FM989" s="4"/>
      <x:c r="FN989" s="4"/>
      <x:c r="FO989" s="4"/>
      <x:c r="JA989" t="n">
        <x:f>IF(OR(IFERROR(INDIRECT("'WCM Calibration Final'!$A$989")&lt;&gt;"",FALSE),IFERROR(INDIRECT("'WCM Calibration Final'!$B$989")&lt;&gt;"",FALSE),IFERROR(INDIRECT("'WCM Calibration Final'!$C$989")&lt;&gt;"",FALSE)),989,0)</x:f>
        <x:v>0</x:v>
      </x:c>
      <x:c r="JB989" t="n">
        <x:f>'Calculations'!JB988+IF('Calculations'!JA989&gt;0,1,0)</x:f>
        <x:v>0</x:v>
      </x:c>
    </x:row>
    <x:row r="990">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4"/>
      <x:c r="DQ990" s="4"/>
      <x:c r="DR990" s="4"/>
      <x:c r="DS990" s="4"/>
      <x:c r="DT990" s="4"/>
      <x:c r="DU990" s="4"/>
      <x:c r="DV990" s="4"/>
      <x:c r="DW990" s="4"/>
      <x:c r="DX990" s="4"/>
      <x:c r="DY990" s="4"/>
      <x:c r="DZ990" s="4"/>
      <x:c r="EA990" s="4"/>
      <x:c r="EB990" s="4"/>
      <x:c r="EC990" s="4"/>
      <x:c r="ED990" s="4"/>
      <x:c r="EE990" s="4"/>
      <x:c r="EF990" s="4"/>
      <x:c r="EG990" s="4"/>
      <x:c r="EH990" s="4"/>
      <x:c r="EI990" s="4"/>
      <x:c r="EJ990" s="4"/>
      <x:c r="EK990" s="4"/>
      <x:c r="EL990" s="4"/>
      <x:c r="EM990" s="4"/>
      <x:c r="EN990" s="4"/>
      <x:c r="EO990" s="4"/>
      <x:c r="EP990" s="4"/>
      <x:c r="EQ990" s="4"/>
      <x:c r="ER990" s="4"/>
      <x:c r="ES990" s="4"/>
      <x:c r="ET990" s="4"/>
      <x:c r="EU990" s="4"/>
      <x:c r="EV990" s="4"/>
      <x:c r="EW990" s="4"/>
      <x:c r="EX990" s="4"/>
      <x:c r="EY990" s="4"/>
      <x:c r="EZ990" s="4"/>
      <x:c r="FA990" s="4"/>
      <x:c r="FB990" s="4"/>
      <x:c r="FC990" s="4"/>
      <x:c r="FD990" s="4"/>
      <x:c r="FE990" s="4"/>
      <x:c r="FF990" s="4"/>
      <x:c r="FG990" s="4"/>
      <x:c r="FH990" s="4"/>
      <x:c r="FI990" s="4"/>
      <x:c r="FJ990" s="4"/>
      <x:c r="FK990" s="4"/>
      <x:c r="FL990" s="4"/>
      <x:c r="FM990" s="4"/>
      <x:c r="FN990" s="4"/>
      <x:c r="FO990" s="4"/>
      <x:c r="JA990" t="n">
        <x:f>IF(OR(IFERROR(INDIRECT("'WCM Calibration Final'!$A$990")&lt;&gt;"",FALSE),IFERROR(INDIRECT("'WCM Calibration Final'!$B$990")&lt;&gt;"",FALSE),IFERROR(INDIRECT("'WCM Calibration Final'!$C$990")&lt;&gt;"",FALSE)),990,0)</x:f>
        <x:v>0</x:v>
      </x:c>
      <x:c r="JB990" t="n">
        <x:f>'Calculations'!JB989+IF('Calculations'!JA990&gt;0,1,0)</x:f>
        <x:v>0</x:v>
      </x:c>
    </x:row>
    <x:row r="991">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4"/>
      <x:c r="DQ991" s="4"/>
      <x:c r="DR991" s="4"/>
      <x:c r="DS991" s="4"/>
      <x:c r="DT991" s="4"/>
      <x:c r="DU991" s="4"/>
      <x:c r="DV991" s="4"/>
      <x:c r="DW991" s="4"/>
      <x:c r="DX991" s="4"/>
      <x:c r="DY991" s="4"/>
      <x:c r="DZ991" s="4"/>
      <x:c r="EA991" s="4"/>
      <x:c r="EB991" s="4"/>
      <x:c r="EC991" s="4"/>
      <x:c r="ED991" s="4"/>
      <x:c r="EE991" s="4"/>
      <x:c r="EF991" s="4"/>
      <x:c r="EG991" s="4"/>
      <x:c r="EH991" s="4"/>
      <x:c r="EI991" s="4"/>
      <x:c r="EJ991" s="4"/>
      <x:c r="EK991" s="4"/>
      <x:c r="EL991" s="4"/>
      <x:c r="EM991" s="4"/>
      <x:c r="EN991" s="4"/>
      <x:c r="EO991" s="4"/>
      <x:c r="EP991" s="4"/>
      <x:c r="EQ991" s="4"/>
      <x:c r="ER991" s="4"/>
      <x:c r="ES991" s="4"/>
      <x:c r="ET991" s="4"/>
      <x:c r="EU991" s="4"/>
      <x:c r="EV991" s="4"/>
      <x:c r="EW991" s="4"/>
      <x:c r="EX991" s="4"/>
      <x:c r="EY991" s="4"/>
      <x:c r="EZ991" s="4"/>
      <x:c r="FA991" s="4"/>
      <x:c r="FB991" s="4"/>
      <x:c r="FC991" s="4"/>
      <x:c r="FD991" s="4"/>
      <x:c r="FE991" s="4"/>
      <x:c r="FF991" s="4"/>
      <x:c r="FG991" s="4"/>
      <x:c r="FH991" s="4"/>
      <x:c r="FI991" s="4"/>
      <x:c r="FJ991" s="4"/>
      <x:c r="FK991" s="4"/>
      <x:c r="FL991" s="4"/>
      <x:c r="FM991" s="4"/>
      <x:c r="FN991" s="4"/>
      <x:c r="FO991" s="4"/>
      <x:c r="JA991" t="n">
        <x:f>IF(OR(IFERROR(INDIRECT("'WCM Calibration Final'!$A$991")&lt;&gt;"",FALSE),IFERROR(INDIRECT("'WCM Calibration Final'!$B$991")&lt;&gt;"",FALSE),IFERROR(INDIRECT("'WCM Calibration Final'!$C$991")&lt;&gt;"",FALSE)),991,0)</x:f>
        <x:v>0</x:v>
      </x:c>
      <x:c r="JB991" t="n">
        <x:f>'Calculations'!JB990+IF('Calculations'!JA991&gt;0,1,0)</x:f>
        <x:v>0</x:v>
      </x:c>
    </x:row>
    <x:row r="992">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4"/>
      <x:c r="DQ992" s="4"/>
      <x:c r="DR992" s="4"/>
      <x:c r="DS992" s="4"/>
      <x:c r="DT992" s="4"/>
      <x:c r="DU992" s="4"/>
      <x:c r="DV992" s="4"/>
      <x:c r="DW992" s="4"/>
      <x:c r="DX992" s="4"/>
      <x:c r="DY992" s="4"/>
      <x:c r="DZ992" s="4"/>
      <x:c r="EA992" s="4"/>
      <x:c r="EB992" s="4"/>
      <x:c r="EC992" s="4"/>
      <x:c r="ED992" s="4"/>
      <x:c r="EE992" s="4"/>
      <x:c r="EF992" s="4"/>
      <x:c r="EG992" s="4"/>
      <x:c r="EH992" s="4"/>
      <x:c r="EI992" s="4"/>
      <x:c r="EJ992" s="4"/>
      <x:c r="EK992" s="4"/>
      <x:c r="EL992" s="4"/>
      <x:c r="EM992" s="4"/>
      <x:c r="EN992" s="4"/>
      <x:c r="EO992" s="4"/>
      <x:c r="EP992" s="4"/>
      <x:c r="EQ992" s="4"/>
      <x:c r="ER992" s="4"/>
      <x:c r="ES992" s="4"/>
      <x:c r="ET992" s="4"/>
      <x:c r="EU992" s="4"/>
      <x:c r="EV992" s="4"/>
      <x:c r="EW992" s="4"/>
      <x:c r="EX992" s="4"/>
      <x:c r="EY992" s="4"/>
      <x:c r="EZ992" s="4"/>
      <x:c r="FA992" s="4"/>
      <x:c r="FB992" s="4"/>
      <x:c r="FC992" s="4"/>
      <x:c r="FD992" s="4"/>
      <x:c r="FE992" s="4"/>
      <x:c r="FF992" s="4"/>
      <x:c r="FG992" s="4"/>
      <x:c r="FH992" s="4"/>
      <x:c r="FI992" s="4"/>
      <x:c r="FJ992" s="4"/>
      <x:c r="FK992" s="4"/>
      <x:c r="FL992" s="4"/>
      <x:c r="FM992" s="4"/>
      <x:c r="FN992" s="4"/>
      <x:c r="FO992" s="4"/>
      <x:c r="JA992" t="n">
        <x:f>IF(OR(IFERROR(INDIRECT("'WCM Calibration Final'!$A$992")&lt;&gt;"",FALSE),IFERROR(INDIRECT("'WCM Calibration Final'!$B$992")&lt;&gt;"",FALSE),IFERROR(INDIRECT("'WCM Calibration Final'!$C$992")&lt;&gt;"",FALSE)),992,0)</x:f>
        <x:v>0</x:v>
      </x:c>
      <x:c r="JB992" t="n">
        <x:f>'Calculations'!JB991+IF('Calculations'!JA992&gt;0,1,0)</x:f>
        <x:v>0</x:v>
      </x:c>
    </x:row>
    <x:row r="993">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4"/>
      <x:c r="DQ993" s="4"/>
      <x:c r="DR993" s="4"/>
      <x:c r="DS993" s="4"/>
      <x:c r="DT993" s="4"/>
      <x:c r="DU993" s="4"/>
      <x:c r="DV993" s="4"/>
      <x:c r="DW993" s="4"/>
      <x:c r="DX993" s="4"/>
      <x:c r="DY993" s="4"/>
      <x:c r="DZ993" s="4"/>
      <x:c r="EA993" s="4"/>
      <x:c r="EB993" s="4"/>
      <x:c r="EC993" s="4"/>
      <x:c r="ED993" s="4"/>
      <x:c r="EE993" s="4"/>
      <x:c r="EF993" s="4"/>
      <x:c r="EG993" s="4"/>
      <x:c r="EH993" s="4"/>
      <x:c r="EI993" s="4"/>
      <x:c r="EJ993" s="4"/>
      <x:c r="EK993" s="4"/>
      <x:c r="EL993" s="4"/>
      <x:c r="EM993" s="4"/>
      <x:c r="EN993" s="4"/>
      <x:c r="EO993" s="4"/>
      <x:c r="EP993" s="4"/>
      <x:c r="EQ993" s="4"/>
      <x:c r="ER993" s="4"/>
      <x:c r="ES993" s="4"/>
      <x:c r="ET993" s="4"/>
      <x:c r="EU993" s="4"/>
      <x:c r="EV993" s="4"/>
      <x:c r="EW993" s="4"/>
      <x:c r="EX993" s="4"/>
      <x:c r="EY993" s="4"/>
      <x:c r="EZ993" s="4"/>
      <x:c r="FA993" s="4"/>
      <x:c r="FB993" s="4"/>
      <x:c r="FC993" s="4"/>
      <x:c r="FD993" s="4"/>
      <x:c r="FE993" s="4"/>
      <x:c r="FF993" s="4"/>
      <x:c r="FG993" s="4"/>
      <x:c r="FH993" s="4"/>
      <x:c r="FI993" s="4"/>
      <x:c r="FJ993" s="4"/>
      <x:c r="FK993" s="4"/>
      <x:c r="FL993" s="4"/>
      <x:c r="FM993" s="4"/>
      <x:c r="FN993" s="4"/>
      <x:c r="FO993" s="4"/>
      <x:c r="JA993" t="n">
        <x:f>IF(OR(IFERROR(INDIRECT("'WCM Calibration Final'!$A$993")&lt;&gt;"",FALSE),IFERROR(INDIRECT("'WCM Calibration Final'!$B$993")&lt;&gt;"",FALSE),IFERROR(INDIRECT("'WCM Calibration Final'!$C$993")&lt;&gt;"",FALSE)),993,0)</x:f>
        <x:v>0</x:v>
      </x:c>
      <x:c r="JB993" t="n">
        <x:f>'Calculations'!JB992+IF('Calculations'!JA993&gt;0,1,0)</x:f>
        <x:v>0</x:v>
      </x:c>
    </x:row>
    <x:row r="994">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4"/>
      <x:c r="DQ994" s="4"/>
      <x:c r="DR994" s="4"/>
      <x:c r="DS994" s="4"/>
      <x:c r="DT994" s="4"/>
      <x:c r="DU994" s="4"/>
      <x:c r="DV994" s="4"/>
      <x:c r="DW994" s="4"/>
      <x:c r="DX994" s="4"/>
      <x:c r="DY994" s="4"/>
      <x:c r="DZ994" s="4"/>
      <x:c r="EA994" s="4"/>
      <x:c r="EB994" s="4"/>
      <x:c r="EC994" s="4"/>
      <x:c r="ED994" s="4"/>
      <x:c r="EE994" s="4"/>
      <x:c r="EF994" s="4"/>
      <x:c r="EG994" s="4"/>
      <x:c r="EH994" s="4"/>
      <x:c r="EI994" s="4"/>
      <x:c r="EJ994" s="4"/>
      <x:c r="EK994" s="4"/>
      <x:c r="EL994" s="4"/>
      <x:c r="EM994" s="4"/>
      <x:c r="EN994" s="4"/>
      <x:c r="EO994" s="4"/>
      <x:c r="EP994" s="4"/>
      <x:c r="EQ994" s="4"/>
      <x:c r="ER994" s="4"/>
      <x:c r="ES994" s="4"/>
      <x:c r="ET994" s="4"/>
      <x:c r="EU994" s="4"/>
      <x:c r="EV994" s="4"/>
      <x:c r="EW994" s="4"/>
      <x:c r="EX994" s="4"/>
      <x:c r="EY994" s="4"/>
      <x:c r="EZ994" s="4"/>
      <x:c r="FA994" s="4"/>
      <x:c r="FB994" s="4"/>
      <x:c r="FC994" s="4"/>
      <x:c r="FD994" s="4"/>
      <x:c r="FE994" s="4"/>
      <x:c r="FF994" s="4"/>
      <x:c r="FG994" s="4"/>
      <x:c r="FH994" s="4"/>
      <x:c r="FI994" s="4"/>
      <x:c r="FJ994" s="4"/>
      <x:c r="FK994" s="4"/>
      <x:c r="FL994" s="4"/>
      <x:c r="FM994" s="4"/>
      <x:c r="FN994" s="4"/>
      <x:c r="FO994" s="4"/>
      <x:c r="JA994" t="n">
        <x:f>IF(OR(IFERROR(INDIRECT("'WCM Calibration Final'!$A$994")&lt;&gt;"",FALSE),IFERROR(INDIRECT("'WCM Calibration Final'!$B$994")&lt;&gt;"",FALSE),IFERROR(INDIRECT("'WCM Calibration Final'!$C$994")&lt;&gt;"",FALSE)),994,0)</x:f>
        <x:v>0</x:v>
      </x:c>
      <x:c r="JB994" t="n">
        <x:f>'Calculations'!JB993+IF('Calculations'!JA994&gt;0,1,0)</x:f>
        <x:v>0</x:v>
      </x:c>
    </x:row>
    <x:row r="995">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4"/>
      <x:c r="DQ995" s="4"/>
      <x:c r="DR995" s="4"/>
      <x:c r="DS995" s="4"/>
      <x:c r="DT995" s="4"/>
      <x:c r="DU995" s="4"/>
      <x:c r="DV995" s="4"/>
      <x:c r="DW995" s="4"/>
      <x:c r="DX995" s="4"/>
      <x:c r="DY995" s="4"/>
      <x:c r="DZ995" s="4"/>
      <x:c r="EA995" s="4"/>
      <x:c r="EB995" s="4"/>
      <x:c r="EC995" s="4"/>
      <x:c r="ED995" s="4"/>
      <x:c r="EE995" s="4"/>
      <x:c r="EF995" s="4"/>
      <x:c r="EG995" s="4"/>
      <x:c r="EH995" s="4"/>
      <x:c r="EI995" s="4"/>
      <x:c r="EJ995" s="4"/>
      <x:c r="EK995" s="4"/>
      <x:c r="EL995" s="4"/>
      <x:c r="EM995" s="4"/>
      <x:c r="EN995" s="4"/>
      <x:c r="EO995" s="4"/>
      <x:c r="EP995" s="4"/>
      <x:c r="EQ995" s="4"/>
      <x:c r="ER995" s="4"/>
      <x:c r="ES995" s="4"/>
      <x:c r="ET995" s="4"/>
      <x:c r="EU995" s="4"/>
      <x:c r="EV995" s="4"/>
      <x:c r="EW995" s="4"/>
      <x:c r="EX995" s="4"/>
      <x:c r="EY995" s="4"/>
      <x:c r="EZ995" s="4"/>
      <x:c r="FA995" s="4"/>
      <x:c r="FB995" s="4"/>
      <x:c r="FC995" s="4"/>
      <x:c r="FD995" s="4"/>
      <x:c r="FE995" s="4"/>
      <x:c r="FF995" s="4"/>
      <x:c r="FG995" s="4"/>
      <x:c r="FH995" s="4"/>
      <x:c r="FI995" s="4"/>
      <x:c r="FJ995" s="4"/>
      <x:c r="FK995" s="4"/>
      <x:c r="FL995" s="4"/>
      <x:c r="FM995" s="4"/>
      <x:c r="FN995" s="4"/>
      <x:c r="FO995" s="4"/>
      <x:c r="JA995" t="n">
        <x:f>IF(OR(IFERROR(INDIRECT("'WCM Calibration Final'!$A$995")&lt;&gt;"",FALSE),IFERROR(INDIRECT("'WCM Calibration Final'!$B$995")&lt;&gt;"",FALSE),IFERROR(INDIRECT("'WCM Calibration Final'!$C$995")&lt;&gt;"",FALSE)),995,0)</x:f>
        <x:v>0</x:v>
      </x:c>
      <x:c r="JB995" t="n">
        <x:f>'Calculations'!JB994+IF('Calculations'!JA995&gt;0,1,0)</x:f>
        <x:v>0</x:v>
      </x:c>
    </x:row>
    <x:row r="996">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4"/>
      <x:c r="DQ996" s="4"/>
      <x:c r="DR996" s="4"/>
      <x:c r="DS996" s="4"/>
      <x:c r="DT996" s="4"/>
      <x:c r="DU996" s="4"/>
      <x:c r="DV996" s="4"/>
      <x:c r="DW996" s="4"/>
      <x:c r="DX996" s="4"/>
      <x:c r="DY996" s="4"/>
      <x:c r="DZ996" s="4"/>
      <x:c r="EA996" s="4"/>
      <x:c r="EB996" s="4"/>
      <x:c r="EC996" s="4"/>
      <x:c r="ED996" s="4"/>
      <x:c r="EE996" s="4"/>
      <x:c r="EF996" s="4"/>
      <x:c r="EG996" s="4"/>
      <x:c r="EH996" s="4"/>
      <x:c r="EI996" s="4"/>
      <x:c r="EJ996" s="4"/>
      <x:c r="EK996" s="4"/>
      <x:c r="EL996" s="4"/>
      <x:c r="EM996" s="4"/>
      <x:c r="EN996" s="4"/>
      <x:c r="EO996" s="4"/>
      <x:c r="EP996" s="4"/>
      <x:c r="EQ996" s="4"/>
      <x:c r="ER996" s="4"/>
      <x:c r="ES996" s="4"/>
      <x:c r="ET996" s="4"/>
      <x:c r="EU996" s="4"/>
      <x:c r="EV996" s="4"/>
      <x:c r="EW996" s="4"/>
      <x:c r="EX996" s="4"/>
      <x:c r="EY996" s="4"/>
      <x:c r="EZ996" s="4"/>
      <x:c r="FA996" s="4"/>
      <x:c r="FB996" s="4"/>
      <x:c r="FC996" s="4"/>
      <x:c r="FD996" s="4"/>
      <x:c r="FE996" s="4"/>
      <x:c r="FF996" s="4"/>
      <x:c r="FG996" s="4"/>
      <x:c r="FH996" s="4"/>
      <x:c r="FI996" s="4"/>
      <x:c r="FJ996" s="4"/>
      <x:c r="FK996" s="4"/>
      <x:c r="FL996" s="4"/>
      <x:c r="FM996" s="4"/>
      <x:c r="FN996" s="4"/>
      <x:c r="FO996" s="4"/>
      <x:c r="JA996" t="n">
        <x:f>IF(OR(IFERROR(INDIRECT("'WCM Calibration Final'!$A$996")&lt;&gt;"",FALSE),IFERROR(INDIRECT("'WCM Calibration Final'!$B$996")&lt;&gt;"",FALSE),IFERROR(INDIRECT("'WCM Calibration Final'!$C$996")&lt;&gt;"",FALSE)),996,0)</x:f>
        <x:v>0</x:v>
      </x:c>
      <x:c r="JB996" t="n">
        <x:f>'Calculations'!JB995+IF('Calculations'!JA996&gt;0,1,0)</x:f>
        <x:v>0</x:v>
      </x:c>
    </x:row>
    <x:row r="997">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4"/>
      <x:c r="DQ997" s="4"/>
      <x:c r="DR997" s="4"/>
      <x:c r="DS997" s="4"/>
      <x:c r="DT997" s="4"/>
      <x:c r="DU997" s="4"/>
      <x:c r="DV997" s="4"/>
      <x:c r="DW997" s="4"/>
      <x:c r="DX997" s="4"/>
      <x:c r="DY997" s="4"/>
      <x:c r="DZ997" s="4"/>
      <x:c r="EA997" s="4"/>
      <x:c r="EB997" s="4"/>
      <x:c r="EC997" s="4"/>
      <x:c r="ED997" s="4"/>
      <x:c r="EE997" s="4"/>
      <x:c r="EF997" s="4"/>
      <x:c r="EG997" s="4"/>
      <x:c r="EH997" s="4"/>
      <x:c r="EI997" s="4"/>
      <x:c r="EJ997" s="4"/>
      <x:c r="EK997" s="4"/>
      <x:c r="EL997" s="4"/>
      <x:c r="EM997" s="4"/>
      <x:c r="EN997" s="4"/>
      <x:c r="EO997" s="4"/>
      <x:c r="EP997" s="4"/>
      <x:c r="EQ997" s="4"/>
      <x:c r="ER997" s="4"/>
      <x:c r="ES997" s="4"/>
      <x:c r="ET997" s="4"/>
      <x:c r="EU997" s="4"/>
      <x:c r="EV997" s="4"/>
      <x:c r="EW997" s="4"/>
      <x:c r="EX997" s="4"/>
      <x:c r="EY997" s="4"/>
      <x:c r="EZ997" s="4"/>
      <x:c r="FA997" s="4"/>
      <x:c r="FB997" s="4"/>
      <x:c r="FC997" s="4"/>
      <x:c r="FD997" s="4"/>
      <x:c r="FE997" s="4"/>
      <x:c r="FF997" s="4"/>
      <x:c r="FG997" s="4"/>
      <x:c r="FH997" s="4"/>
      <x:c r="FI997" s="4"/>
      <x:c r="FJ997" s="4"/>
      <x:c r="FK997" s="4"/>
      <x:c r="FL997" s="4"/>
      <x:c r="FM997" s="4"/>
      <x:c r="FN997" s="4"/>
      <x:c r="FO997" s="4"/>
      <x:c r="JA997" t="n">
        <x:f>IF(OR(IFERROR(INDIRECT("'WCM Calibration Final'!$A$997")&lt;&gt;"",FALSE),IFERROR(INDIRECT("'WCM Calibration Final'!$B$997")&lt;&gt;"",FALSE),IFERROR(INDIRECT("'WCM Calibration Final'!$C$997")&lt;&gt;"",FALSE)),997,0)</x:f>
        <x:v>0</x:v>
      </x:c>
      <x:c r="JB997" t="n">
        <x:f>'Calculations'!JB996+IF('Calculations'!JA997&gt;0,1,0)</x:f>
        <x:v>0</x:v>
      </x:c>
    </x:row>
    <x:row r="998">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4"/>
      <x:c r="DQ998" s="4"/>
      <x:c r="DR998" s="4"/>
      <x:c r="DS998" s="4"/>
      <x:c r="DT998" s="4"/>
      <x:c r="DU998" s="4"/>
      <x:c r="DV998" s="4"/>
      <x:c r="DW998" s="4"/>
      <x:c r="DX998" s="4"/>
      <x:c r="DY998" s="4"/>
      <x:c r="DZ998" s="4"/>
      <x:c r="EA998" s="4"/>
      <x:c r="EB998" s="4"/>
      <x:c r="EC998" s="4"/>
      <x:c r="ED998" s="4"/>
      <x:c r="EE998" s="4"/>
      <x:c r="EF998" s="4"/>
      <x:c r="EG998" s="4"/>
      <x:c r="EH998" s="4"/>
      <x:c r="EI998" s="4"/>
      <x:c r="EJ998" s="4"/>
      <x:c r="EK998" s="4"/>
      <x:c r="EL998" s="4"/>
      <x:c r="EM998" s="4"/>
      <x:c r="EN998" s="4"/>
      <x:c r="EO998" s="4"/>
      <x:c r="EP998" s="4"/>
      <x:c r="EQ998" s="4"/>
      <x:c r="ER998" s="4"/>
      <x:c r="ES998" s="4"/>
      <x:c r="ET998" s="4"/>
      <x:c r="EU998" s="4"/>
      <x:c r="EV998" s="4"/>
      <x:c r="EW998" s="4"/>
      <x:c r="EX998" s="4"/>
      <x:c r="EY998" s="4"/>
      <x:c r="EZ998" s="4"/>
      <x:c r="FA998" s="4"/>
      <x:c r="FB998" s="4"/>
      <x:c r="FC998" s="4"/>
      <x:c r="FD998" s="4"/>
      <x:c r="FE998" s="4"/>
      <x:c r="FF998" s="4"/>
      <x:c r="FG998" s="4"/>
      <x:c r="FH998" s="4"/>
      <x:c r="FI998" s="4"/>
      <x:c r="FJ998" s="4"/>
      <x:c r="FK998" s="4"/>
      <x:c r="FL998" s="4"/>
      <x:c r="FM998" s="4"/>
      <x:c r="FN998" s="4"/>
      <x:c r="FO998" s="4"/>
      <x:c r="JA998" t="n">
        <x:f>IF(OR(IFERROR(INDIRECT("'WCM Calibration Final'!$A$998")&lt;&gt;"",FALSE),IFERROR(INDIRECT("'WCM Calibration Final'!$B$998")&lt;&gt;"",FALSE),IFERROR(INDIRECT("'WCM Calibration Final'!$C$998")&lt;&gt;"",FALSE)),998,0)</x:f>
        <x:v>0</x:v>
      </x:c>
      <x:c r="JB998" t="n">
        <x:f>'Calculations'!JB997+IF('Calculations'!JA998&gt;0,1,0)</x:f>
        <x:v>0</x:v>
      </x:c>
    </x:row>
    <x:row r="999">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4"/>
      <x:c r="DQ999" s="4"/>
      <x:c r="DR999" s="4"/>
      <x:c r="DS999" s="4"/>
      <x:c r="DT999" s="4"/>
      <x:c r="DU999" s="4"/>
      <x:c r="DV999" s="4"/>
      <x:c r="DW999" s="4"/>
      <x:c r="DX999" s="4"/>
      <x:c r="DY999" s="4"/>
      <x:c r="DZ999" s="4"/>
      <x:c r="EA999" s="4"/>
      <x:c r="EB999" s="4"/>
      <x:c r="EC999" s="4"/>
      <x:c r="ED999" s="4"/>
      <x:c r="EE999" s="4"/>
      <x:c r="EF999" s="4"/>
      <x:c r="EG999" s="4"/>
      <x:c r="EH999" s="4"/>
      <x:c r="EI999" s="4"/>
      <x:c r="EJ999" s="4"/>
      <x:c r="EK999" s="4"/>
      <x:c r="EL999" s="4"/>
      <x:c r="EM999" s="4"/>
      <x:c r="EN999" s="4"/>
      <x:c r="EO999" s="4"/>
      <x:c r="EP999" s="4"/>
      <x:c r="EQ999" s="4"/>
      <x:c r="ER999" s="4"/>
      <x:c r="ES999" s="4"/>
      <x:c r="ET999" s="4"/>
      <x:c r="EU999" s="4"/>
      <x:c r="EV999" s="4"/>
      <x:c r="EW999" s="4"/>
      <x:c r="EX999" s="4"/>
      <x:c r="EY999" s="4"/>
      <x:c r="EZ999" s="4"/>
      <x:c r="FA999" s="4"/>
      <x:c r="FB999" s="4"/>
      <x:c r="FC999" s="4"/>
      <x:c r="FD999" s="4"/>
      <x:c r="FE999" s="4"/>
      <x:c r="FF999" s="4"/>
      <x:c r="FG999" s="4"/>
      <x:c r="FH999" s="4"/>
      <x:c r="FI999" s="4"/>
      <x:c r="FJ999" s="4"/>
      <x:c r="FK999" s="4"/>
      <x:c r="FL999" s="4"/>
      <x:c r="FM999" s="4"/>
      <x:c r="FN999" s="4"/>
      <x:c r="FO999" s="4"/>
      <x:c r="JA999" t="n">
        <x:f>IF(OR(IFERROR(INDIRECT("'WCM Calibration Final'!$A$999")&lt;&gt;"",FALSE),IFERROR(INDIRECT("'WCM Calibration Final'!$B$999")&lt;&gt;"",FALSE),IFERROR(INDIRECT("'WCM Calibration Final'!$C$999")&lt;&gt;"",FALSE)),999,0)</x:f>
        <x:v>0</x:v>
      </x:c>
      <x:c r="JB999" t="n">
        <x:f>'Calculations'!JB998+IF('Calculations'!JA999&gt;0,1,0)</x:f>
        <x:v>0</x:v>
      </x:c>
    </x:row>
    <x:row r="1000">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4"/>
      <x:c r="DQ1000" s="4"/>
      <x:c r="DR1000" s="4"/>
      <x:c r="DS1000" s="4"/>
      <x:c r="DT1000" s="4"/>
      <x:c r="DU1000" s="4"/>
      <x:c r="DV1000" s="4"/>
      <x:c r="DW1000" s="4"/>
      <x:c r="DX1000" s="4"/>
      <x:c r="DY1000" s="4"/>
      <x:c r="DZ1000" s="4"/>
      <x:c r="EA1000" s="4"/>
      <x:c r="EB1000" s="4"/>
      <x:c r="EC1000" s="4"/>
      <x:c r="ED1000" s="4"/>
      <x:c r="EE1000" s="4"/>
      <x:c r="EF1000" s="4"/>
      <x:c r="EG1000" s="4"/>
      <x:c r="EH1000" s="4"/>
      <x:c r="EI1000" s="4"/>
      <x:c r="EJ1000" s="4"/>
      <x:c r="EK1000" s="4"/>
      <x:c r="EL1000" s="4"/>
      <x:c r="EM1000" s="4"/>
      <x:c r="EN1000" s="4"/>
      <x:c r="EO1000" s="4"/>
      <x:c r="EP1000" s="4"/>
      <x:c r="EQ1000" s="4"/>
      <x:c r="ER1000" s="4"/>
      <x:c r="ES1000" s="4"/>
      <x:c r="ET1000" s="4"/>
      <x:c r="EU1000" s="4"/>
      <x:c r="EV1000" s="4"/>
      <x:c r="EW1000" s="4"/>
      <x:c r="EX1000" s="4"/>
      <x:c r="EY1000" s="4"/>
      <x:c r="EZ1000" s="4"/>
      <x:c r="FA1000" s="4"/>
      <x:c r="FB1000" s="4"/>
      <x:c r="FC1000" s="4"/>
      <x:c r="FD1000" s="4"/>
      <x:c r="FE1000" s="4"/>
      <x:c r="FF1000" s="4"/>
      <x:c r="FG1000" s="4"/>
      <x:c r="FH1000" s="4"/>
      <x:c r="FI1000" s="4"/>
      <x:c r="FJ1000" s="4"/>
      <x:c r="FK1000" s="4"/>
      <x:c r="FL1000" s="4"/>
      <x:c r="FM1000" s="4"/>
      <x:c r="FN1000" s="4"/>
      <x:c r="FO1000" s="4"/>
      <x:c r="JA1000" t="n">
        <x:f>IF(OR(IFERROR(INDIRECT("'WCM Calibration Final'!$A$1000")&lt;&gt;"",FALSE),IFERROR(INDIRECT("'WCM Calibration Final'!$B$1000")&lt;&gt;"",FALSE),IFERROR(INDIRECT("'WCM Calibration Final'!$C$1000")&lt;&gt;"",FALSE)),1000,0)</x:f>
        <x:v>0</x:v>
      </x:c>
      <x:c r="JB1000" t="n">
        <x:f>'Calculations'!JB999+IF('Calculations'!JA1000&gt;0,1,0)</x:f>
        <x:v>0</x:v>
      </x:c>
    </x:row>
    <x:row r="1001">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4"/>
      <x:c r="DQ1001" s="4"/>
      <x:c r="DR1001" s="4"/>
      <x:c r="DS1001" s="4"/>
      <x:c r="DT1001" s="4"/>
      <x:c r="DU1001" s="4"/>
      <x:c r="DV1001" s="4"/>
      <x:c r="DW1001" s="4"/>
      <x:c r="DX1001" s="4"/>
      <x:c r="DY1001" s="4"/>
      <x:c r="DZ1001" s="4"/>
      <x:c r="EA1001" s="4"/>
      <x:c r="EB1001" s="4"/>
      <x:c r="EC1001" s="4"/>
      <x:c r="ED1001" s="4"/>
      <x:c r="EE1001" s="4"/>
      <x:c r="EF1001" s="4"/>
      <x:c r="EG1001" s="4"/>
      <x:c r="EH1001" s="4"/>
      <x:c r="EI1001" s="4"/>
      <x:c r="EJ1001" s="4"/>
      <x:c r="EK1001" s="4"/>
      <x:c r="EL1001" s="4"/>
      <x:c r="EM1001" s="4"/>
      <x:c r="EN1001" s="4"/>
      <x:c r="EO1001" s="4"/>
      <x:c r="EP1001" s="4"/>
      <x:c r="EQ1001" s="4"/>
      <x:c r="ER1001" s="4"/>
      <x:c r="ES1001" s="4"/>
      <x:c r="ET1001" s="4"/>
      <x:c r="EU1001" s="4"/>
      <x:c r="EV1001" s="4"/>
      <x:c r="EW1001" s="4"/>
      <x:c r="EX1001" s="4"/>
      <x:c r="EY1001" s="4"/>
      <x:c r="EZ1001" s="4"/>
      <x:c r="FA1001" s="4"/>
      <x:c r="FB1001" s="4"/>
      <x:c r="FC1001" s="4"/>
      <x:c r="FD1001" s="4"/>
      <x:c r="FE1001" s="4"/>
      <x:c r="FF1001" s="4"/>
      <x:c r="FG1001" s="4"/>
      <x:c r="FH1001" s="4"/>
      <x:c r="FI1001" s="4"/>
      <x:c r="FJ1001" s="4"/>
      <x:c r="FK1001" s="4"/>
      <x:c r="FL1001" s="4"/>
      <x:c r="FM1001" s="4"/>
      <x:c r="FN1001" s="4"/>
      <x:c r="FO1001" s="4"/>
      <x:c r="JA1001" t="n">
        <x:f>IF(OR(IFERROR(INDIRECT("'WCM Calibration Final'!$A$1001")&lt;&gt;"",FALSE),IFERROR(INDIRECT("'WCM Calibration Final'!$B$1001")&lt;&gt;"",FALSE),IFERROR(INDIRECT("'WCM Calibration Final'!$C$1001")&lt;&gt;"",FALSE)),1001,0)</x:f>
        <x:v>0</x:v>
      </x:c>
      <x:c r="JB1001" t="n">
        <x:f>'Calculations'!JB1000+IF('Calculations'!JA1001&gt;0,1,0)</x:f>
        <x:v>0</x:v>
      </x:c>
    </x:row>
    <x:row r="1002">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4"/>
      <x:c r="DQ1002" s="4"/>
      <x:c r="DR1002" s="4"/>
      <x:c r="DS1002" s="4"/>
      <x:c r="DT1002" s="4"/>
      <x:c r="DU1002" s="4"/>
      <x:c r="DV1002" s="4"/>
      <x:c r="DW1002" s="4"/>
      <x:c r="DX1002" s="4"/>
      <x:c r="DY1002" s="4"/>
      <x:c r="DZ1002" s="4"/>
      <x:c r="EA1002" s="4"/>
      <x:c r="EB1002" s="4"/>
      <x:c r="EC1002" s="4"/>
      <x:c r="ED1002" s="4"/>
      <x:c r="EE1002" s="4"/>
      <x:c r="EF1002" s="4"/>
      <x:c r="EG1002" s="4"/>
      <x:c r="EH1002" s="4"/>
      <x:c r="EI1002" s="4"/>
      <x:c r="EJ1002" s="4"/>
      <x:c r="EK1002" s="4"/>
      <x:c r="EL1002" s="4"/>
      <x:c r="EM1002" s="4"/>
      <x:c r="EN1002" s="4"/>
      <x:c r="EO1002" s="4"/>
      <x:c r="EP1002" s="4"/>
      <x:c r="EQ1002" s="4"/>
      <x:c r="ER1002" s="4"/>
      <x:c r="ES1002" s="4"/>
      <x:c r="ET1002" s="4"/>
      <x:c r="EU1002" s="4"/>
      <x:c r="EV1002" s="4"/>
      <x:c r="EW1002" s="4"/>
      <x:c r="EX1002" s="4"/>
      <x:c r="EY1002" s="4"/>
      <x:c r="EZ1002" s="4"/>
      <x:c r="FA1002" s="4"/>
      <x:c r="FB1002" s="4"/>
      <x:c r="FC1002" s="4"/>
      <x:c r="FD1002" s="4"/>
      <x:c r="FE1002" s="4"/>
      <x:c r="FF1002" s="4"/>
      <x:c r="FG1002" s="4"/>
      <x:c r="FH1002" s="4"/>
      <x:c r="FI1002" s="4"/>
      <x:c r="FJ1002" s="4"/>
      <x:c r="FK1002" s="4"/>
      <x:c r="FL1002" s="4"/>
      <x:c r="FM1002" s="4"/>
      <x:c r="FN1002" s="4"/>
      <x:c r="FO1002" s="4"/>
      <x:c r="JA1002" t="n">
        <x:f>IF(OR(IFERROR(INDIRECT("'WCM Calibration Final'!$A$1002")&lt;&gt;"",FALSE),IFERROR(INDIRECT("'WCM Calibration Final'!$B$1002")&lt;&gt;"",FALSE),IFERROR(INDIRECT("'WCM Calibration Final'!$C$1002")&lt;&gt;"",FALSE)),1002,0)</x:f>
        <x:v>0</x:v>
      </x:c>
      <x:c r="JB1002" t="n">
        <x:f>'Calculations'!JB1001+IF('Calculations'!JA1002&gt;0,1,0)</x:f>
        <x:v>0</x:v>
      </x:c>
    </x:row>
    <x:row r="1003">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4"/>
      <x:c r="DQ1003" s="4"/>
      <x:c r="DR1003" s="4"/>
      <x:c r="DS1003" s="4"/>
      <x:c r="DT1003" s="4"/>
      <x:c r="DU1003" s="4"/>
      <x:c r="DV1003" s="4"/>
      <x:c r="DW1003" s="4"/>
      <x:c r="DX1003" s="4"/>
      <x:c r="DY1003" s="4"/>
      <x:c r="DZ1003" s="4"/>
      <x:c r="EA1003" s="4"/>
      <x:c r="EB1003" s="4"/>
      <x:c r="EC1003" s="4"/>
      <x:c r="ED1003" s="4"/>
      <x:c r="EE1003" s="4"/>
      <x:c r="EF1003" s="4"/>
      <x:c r="EG1003" s="4"/>
      <x:c r="EH1003" s="4"/>
      <x:c r="EI1003" s="4"/>
      <x:c r="EJ1003" s="4"/>
      <x:c r="EK1003" s="4"/>
      <x:c r="EL1003" s="4"/>
      <x:c r="EM1003" s="4"/>
      <x:c r="EN1003" s="4"/>
      <x:c r="EO1003" s="4"/>
      <x:c r="EP1003" s="4"/>
      <x:c r="EQ1003" s="4"/>
      <x:c r="ER1003" s="4"/>
      <x:c r="ES1003" s="4"/>
      <x:c r="ET1003" s="4"/>
      <x:c r="EU1003" s="4"/>
      <x:c r="EV1003" s="4"/>
      <x:c r="EW1003" s="4"/>
      <x:c r="EX1003" s="4"/>
      <x:c r="EY1003" s="4"/>
      <x:c r="EZ1003" s="4"/>
      <x:c r="FA1003" s="4"/>
      <x:c r="FB1003" s="4"/>
      <x:c r="FC1003" s="4"/>
      <x:c r="FD1003" s="4"/>
      <x:c r="FE1003" s="4"/>
      <x:c r="FF1003" s="4"/>
      <x:c r="FG1003" s="4"/>
      <x:c r="FH1003" s="4"/>
      <x:c r="FI1003" s="4"/>
      <x:c r="FJ1003" s="4"/>
      <x:c r="FK1003" s="4"/>
      <x:c r="FL1003" s="4"/>
      <x:c r="FM1003" s="4"/>
      <x:c r="FN1003" s="4"/>
      <x:c r="FO1003" s="4"/>
      <x:c r="JA1003" t="n">
        <x:f>IF(OR(IFERROR(INDIRECT("'WCM Calibration Final'!$A$1003")&lt;&gt;"",FALSE),IFERROR(INDIRECT("'WCM Calibration Final'!$B$1003")&lt;&gt;"",FALSE),IFERROR(INDIRECT("'WCM Calibration Final'!$C$1003")&lt;&gt;"",FALSE)),1003,0)</x:f>
        <x:v>0</x:v>
      </x:c>
      <x:c r="JB1003" t="n">
        <x:f>'Calculations'!JB1002+IF('Calculations'!JA1003&gt;0,1,0)</x:f>
        <x:v>0</x:v>
      </x:c>
    </x:row>
    <x:row r="1004">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4"/>
      <x:c r="DQ1004" s="4"/>
      <x:c r="DR1004" s="4"/>
      <x:c r="DS1004" s="4"/>
      <x:c r="DT1004" s="4"/>
      <x:c r="DU1004" s="4"/>
      <x:c r="DV1004" s="4"/>
      <x:c r="DW1004" s="4"/>
      <x:c r="DX1004" s="4"/>
      <x:c r="DY1004" s="4"/>
      <x:c r="DZ1004" s="4"/>
      <x:c r="EA1004" s="4"/>
      <x:c r="EB1004" s="4"/>
      <x:c r="EC1004" s="4"/>
      <x:c r="ED1004" s="4"/>
      <x:c r="EE1004" s="4"/>
      <x:c r="EF1004" s="4"/>
      <x:c r="EG1004" s="4"/>
      <x:c r="EH1004" s="4"/>
      <x:c r="EI1004" s="4"/>
      <x:c r="EJ1004" s="4"/>
      <x:c r="EK1004" s="4"/>
      <x:c r="EL1004" s="4"/>
      <x:c r="EM1004" s="4"/>
      <x:c r="EN1004" s="4"/>
      <x:c r="EO1004" s="4"/>
      <x:c r="EP1004" s="4"/>
      <x:c r="EQ1004" s="4"/>
      <x:c r="ER1004" s="4"/>
      <x:c r="ES1004" s="4"/>
      <x:c r="ET1004" s="4"/>
      <x:c r="EU1004" s="4"/>
      <x:c r="EV1004" s="4"/>
      <x:c r="EW1004" s="4"/>
      <x:c r="EX1004" s="4"/>
      <x:c r="EY1004" s="4"/>
      <x:c r="EZ1004" s="4"/>
      <x:c r="FA1004" s="4"/>
      <x:c r="FB1004" s="4"/>
      <x:c r="FC1004" s="4"/>
      <x:c r="FD1004" s="4"/>
      <x:c r="FE1004" s="4"/>
      <x:c r="FF1004" s="4"/>
      <x:c r="FG1004" s="4"/>
      <x:c r="FH1004" s="4"/>
      <x:c r="FI1004" s="4"/>
      <x:c r="FJ1004" s="4"/>
      <x:c r="FK1004" s="4"/>
      <x:c r="FL1004" s="4"/>
      <x:c r="FM1004" s="4"/>
      <x:c r="FN1004" s="4"/>
      <x:c r="FO1004" s="4"/>
      <x:c r="JA1004" t="n">
        <x:f>IF(OR(IFERROR(INDIRECT("'WCM Calibration Final'!$A$1004")&lt;&gt;"",FALSE),IFERROR(INDIRECT("'WCM Calibration Final'!$B$1004")&lt;&gt;"",FALSE),IFERROR(INDIRECT("'WCM Calibration Final'!$C$1004")&lt;&gt;"",FALSE)),1004,0)</x:f>
        <x:v>0</x:v>
      </x:c>
      <x:c r="JB1004" t="n">
        <x:f>'Calculations'!JB1003+IF('Calculations'!JA1004&gt;0,1,0)</x:f>
        <x:v>0</x:v>
      </x:c>
    </x:row>
    <x:row r="1005">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4"/>
      <x:c r="DQ1005" s="4"/>
      <x:c r="DR1005" s="4"/>
      <x:c r="DS1005" s="4"/>
      <x:c r="DT1005" s="4"/>
      <x:c r="DU1005" s="4"/>
      <x:c r="DV1005" s="4"/>
      <x:c r="DW1005" s="4"/>
      <x:c r="DX1005" s="4"/>
      <x:c r="DY1005" s="4"/>
      <x:c r="DZ1005" s="4"/>
      <x:c r="EA1005" s="4"/>
      <x:c r="EB1005" s="4"/>
      <x:c r="EC1005" s="4"/>
      <x:c r="ED1005" s="4"/>
      <x:c r="EE1005" s="4"/>
      <x:c r="EF1005" s="4"/>
      <x:c r="EG1005" s="4"/>
      <x:c r="EH1005" s="4"/>
      <x:c r="EI1005" s="4"/>
      <x:c r="EJ1005" s="4"/>
      <x:c r="EK1005" s="4"/>
      <x:c r="EL1005" s="4"/>
      <x:c r="EM1005" s="4"/>
      <x:c r="EN1005" s="4"/>
      <x:c r="EO1005" s="4"/>
      <x:c r="EP1005" s="4"/>
      <x:c r="EQ1005" s="4"/>
      <x:c r="ER1005" s="4"/>
      <x:c r="ES1005" s="4"/>
      <x:c r="ET1005" s="4"/>
      <x:c r="EU1005" s="4"/>
      <x:c r="EV1005" s="4"/>
      <x:c r="EW1005" s="4"/>
      <x:c r="EX1005" s="4"/>
      <x:c r="EY1005" s="4"/>
      <x:c r="EZ1005" s="4"/>
      <x:c r="FA1005" s="4"/>
      <x:c r="FB1005" s="4"/>
      <x:c r="FC1005" s="4"/>
      <x:c r="FD1005" s="4"/>
      <x:c r="FE1005" s="4"/>
      <x:c r="FF1005" s="4"/>
      <x:c r="FG1005" s="4"/>
      <x:c r="FH1005" s="4"/>
      <x:c r="FI1005" s="4"/>
      <x:c r="FJ1005" s="4"/>
      <x:c r="FK1005" s="4"/>
      <x:c r="FL1005" s="4"/>
      <x:c r="FM1005" s="4"/>
      <x:c r="FN1005" s="4"/>
      <x:c r="FO1005" s="4"/>
      <x:c r="JA1005" t="n">
        <x:f>IF(OR(IFERROR(INDIRECT("'WCM Calibration Final'!$A$1005")&lt;&gt;"",FALSE),IFERROR(INDIRECT("'WCM Calibration Final'!$B$1005")&lt;&gt;"",FALSE),IFERROR(INDIRECT("'WCM Calibration Final'!$C$1005")&lt;&gt;"",FALSE)),1005,0)</x:f>
        <x:v>0</x:v>
      </x:c>
      <x:c r="JB1005" t="n">
        <x:f>'Calculations'!JB1004+IF('Calculations'!JA1005&gt;0,1,0)</x:f>
        <x:v>0</x:v>
      </x:c>
    </x:row>
    <x:row r="1006">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4"/>
      <x:c r="DQ1006" s="4"/>
      <x:c r="DR1006" s="4"/>
      <x:c r="DS1006" s="4"/>
      <x:c r="DT1006" s="4"/>
      <x:c r="DU1006" s="4"/>
      <x:c r="DV1006" s="4"/>
      <x:c r="DW1006" s="4"/>
      <x:c r="DX1006" s="4"/>
      <x:c r="DY1006" s="4"/>
      <x:c r="DZ1006" s="4"/>
      <x:c r="EA1006" s="4"/>
      <x:c r="EB1006" s="4"/>
      <x:c r="EC1006" s="4"/>
      <x:c r="ED1006" s="4"/>
      <x:c r="EE1006" s="4"/>
      <x:c r="EF1006" s="4"/>
      <x:c r="EG1006" s="4"/>
      <x:c r="EH1006" s="4"/>
      <x:c r="EI1006" s="4"/>
      <x:c r="EJ1006" s="4"/>
      <x:c r="EK1006" s="4"/>
      <x:c r="EL1006" s="4"/>
      <x:c r="EM1006" s="4"/>
      <x:c r="EN1006" s="4"/>
      <x:c r="EO1006" s="4"/>
      <x:c r="EP1006" s="4"/>
      <x:c r="EQ1006" s="4"/>
      <x:c r="ER1006" s="4"/>
      <x:c r="ES1006" s="4"/>
      <x:c r="ET1006" s="4"/>
      <x:c r="EU1006" s="4"/>
      <x:c r="EV1006" s="4"/>
      <x:c r="EW1006" s="4"/>
      <x:c r="EX1006" s="4"/>
      <x:c r="EY1006" s="4"/>
      <x:c r="EZ1006" s="4"/>
      <x:c r="FA1006" s="4"/>
      <x:c r="FB1006" s="4"/>
      <x:c r="FC1006" s="4"/>
      <x:c r="FD1006" s="4"/>
      <x:c r="FE1006" s="4"/>
      <x:c r="FF1006" s="4"/>
      <x:c r="FG1006" s="4"/>
      <x:c r="FH1006" s="4"/>
      <x:c r="FI1006" s="4"/>
      <x:c r="FJ1006" s="4"/>
      <x:c r="FK1006" s="4"/>
      <x:c r="FL1006" s="4"/>
      <x:c r="FM1006" s="4"/>
      <x:c r="FN1006" s="4"/>
      <x:c r="FO1006" s="4"/>
      <x:c r="JA1006" t="n">
        <x:f>IF(OR(IFERROR(INDIRECT("'WCM Calibration Final'!$A$1006")&lt;&gt;"",FALSE),IFERROR(INDIRECT("'WCM Calibration Final'!$B$1006")&lt;&gt;"",FALSE),IFERROR(INDIRECT("'WCM Calibration Final'!$C$1006")&lt;&gt;"",FALSE)),1006,0)</x:f>
        <x:v>0</x:v>
      </x:c>
      <x:c r="JB1006" t="n">
        <x:f>'Calculations'!JB1005+IF('Calculations'!JA1006&gt;0,1,0)</x:f>
        <x:v>0</x:v>
      </x:c>
    </x:row>
    <x:row r="1007">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4"/>
      <x:c r="DQ1007" s="4"/>
      <x:c r="DR1007" s="4"/>
      <x:c r="DS1007" s="4"/>
      <x:c r="DT1007" s="4"/>
      <x:c r="DU1007" s="4"/>
      <x:c r="DV1007" s="4"/>
      <x:c r="DW1007" s="4"/>
      <x:c r="DX1007" s="4"/>
      <x:c r="DY1007" s="4"/>
      <x:c r="DZ1007" s="4"/>
      <x:c r="EA1007" s="4"/>
      <x:c r="EB1007" s="4"/>
      <x:c r="EC1007" s="4"/>
      <x:c r="ED1007" s="4"/>
      <x:c r="EE1007" s="4"/>
      <x:c r="EF1007" s="4"/>
      <x:c r="EG1007" s="4"/>
      <x:c r="EH1007" s="4"/>
      <x:c r="EI1007" s="4"/>
      <x:c r="EJ1007" s="4"/>
      <x:c r="EK1007" s="4"/>
      <x:c r="EL1007" s="4"/>
      <x:c r="EM1007" s="4"/>
      <x:c r="EN1007" s="4"/>
      <x:c r="EO1007" s="4"/>
      <x:c r="EP1007" s="4"/>
      <x:c r="EQ1007" s="4"/>
      <x:c r="ER1007" s="4"/>
      <x:c r="ES1007" s="4"/>
      <x:c r="ET1007" s="4"/>
      <x:c r="EU1007" s="4"/>
      <x:c r="EV1007" s="4"/>
      <x:c r="EW1007" s="4"/>
      <x:c r="EX1007" s="4"/>
      <x:c r="EY1007" s="4"/>
      <x:c r="EZ1007" s="4"/>
      <x:c r="FA1007" s="4"/>
      <x:c r="FB1007" s="4"/>
      <x:c r="FC1007" s="4"/>
      <x:c r="FD1007" s="4"/>
      <x:c r="FE1007" s="4"/>
      <x:c r="FF1007" s="4"/>
      <x:c r="FG1007" s="4"/>
      <x:c r="FH1007" s="4"/>
      <x:c r="FI1007" s="4"/>
      <x:c r="FJ1007" s="4"/>
      <x:c r="FK1007" s="4"/>
      <x:c r="FL1007" s="4"/>
      <x:c r="FM1007" s="4"/>
      <x:c r="FN1007" s="4"/>
      <x:c r="FO1007" s="4"/>
      <x:c r="JA1007" t="n">
        <x:f>IF(OR(IFERROR(INDIRECT("'WCM Calibration Final'!$A$1007")&lt;&gt;"",FALSE),IFERROR(INDIRECT("'WCM Calibration Final'!$B$1007")&lt;&gt;"",FALSE),IFERROR(INDIRECT("'WCM Calibration Final'!$C$1007")&lt;&gt;"",FALSE)),1007,0)</x:f>
        <x:v>0</x:v>
      </x:c>
      <x:c r="JB1007" t="n">
        <x:f>'Calculations'!JB1006+IF('Calculations'!JA1007&gt;0,1,0)</x:f>
        <x:v>0</x:v>
      </x:c>
    </x:row>
    <x:row r="1008">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4"/>
      <x:c r="DQ1008" s="4"/>
      <x:c r="DR1008" s="4"/>
      <x:c r="DS1008" s="4"/>
      <x:c r="DT1008" s="4"/>
      <x:c r="DU1008" s="4"/>
      <x:c r="DV1008" s="4"/>
      <x:c r="DW1008" s="4"/>
      <x:c r="DX1008" s="4"/>
      <x:c r="DY1008" s="4"/>
      <x:c r="DZ1008" s="4"/>
      <x:c r="EA1008" s="4"/>
      <x:c r="EB1008" s="4"/>
      <x:c r="EC1008" s="4"/>
      <x:c r="ED1008" s="4"/>
      <x:c r="EE1008" s="4"/>
      <x:c r="EF1008" s="4"/>
      <x:c r="EG1008" s="4"/>
      <x:c r="EH1008" s="4"/>
      <x:c r="EI1008" s="4"/>
      <x:c r="EJ1008" s="4"/>
      <x:c r="EK1008" s="4"/>
      <x:c r="EL1008" s="4"/>
      <x:c r="EM1008" s="4"/>
      <x:c r="EN1008" s="4"/>
      <x:c r="EO1008" s="4"/>
      <x:c r="EP1008" s="4"/>
      <x:c r="EQ1008" s="4"/>
      <x:c r="ER1008" s="4"/>
      <x:c r="ES1008" s="4"/>
      <x:c r="ET1008" s="4"/>
      <x:c r="EU1008" s="4"/>
      <x:c r="EV1008" s="4"/>
      <x:c r="EW1008" s="4"/>
      <x:c r="EX1008" s="4"/>
      <x:c r="EY1008" s="4"/>
      <x:c r="EZ1008" s="4"/>
      <x:c r="FA1008" s="4"/>
      <x:c r="FB1008" s="4"/>
      <x:c r="FC1008" s="4"/>
      <x:c r="FD1008" s="4"/>
      <x:c r="FE1008" s="4"/>
      <x:c r="FF1008" s="4"/>
      <x:c r="FG1008" s="4"/>
      <x:c r="FH1008" s="4"/>
      <x:c r="FI1008" s="4"/>
      <x:c r="FJ1008" s="4"/>
      <x:c r="FK1008" s="4"/>
      <x:c r="FL1008" s="4"/>
      <x:c r="FM1008" s="4"/>
      <x:c r="FN1008" s="4"/>
      <x:c r="FO1008" s="4"/>
      <x:c r="JA1008" t="n">
        <x:f>IF(OR(IFERROR(INDIRECT("'WCM Calibration Final'!$A$1008")&lt;&gt;"",FALSE),IFERROR(INDIRECT("'WCM Calibration Final'!$B$1008")&lt;&gt;"",FALSE),IFERROR(INDIRECT("'WCM Calibration Final'!$C$1008")&lt;&gt;"",FALSE)),1008,0)</x:f>
        <x:v>0</x:v>
      </x:c>
      <x:c r="JB1008" t="n">
        <x:f>'Calculations'!JB1007+IF('Calculations'!JA1008&gt;0,1,0)</x:f>
        <x:v>0</x:v>
      </x:c>
    </x:row>
    <x:row r="1009">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4"/>
      <x:c r="DQ1009" s="4"/>
      <x:c r="DR1009" s="4"/>
      <x:c r="DS1009" s="4"/>
      <x:c r="DT1009" s="4"/>
      <x:c r="DU1009" s="4"/>
      <x:c r="DV1009" s="4"/>
      <x:c r="DW1009" s="4"/>
      <x:c r="DX1009" s="4"/>
      <x:c r="DY1009" s="4"/>
      <x:c r="DZ1009" s="4"/>
      <x:c r="EA1009" s="4"/>
      <x:c r="EB1009" s="4"/>
      <x:c r="EC1009" s="4"/>
      <x:c r="ED1009" s="4"/>
      <x:c r="EE1009" s="4"/>
      <x:c r="EF1009" s="4"/>
      <x:c r="EG1009" s="4"/>
      <x:c r="EH1009" s="4"/>
      <x:c r="EI1009" s="4"/>
      <x:c r="EJ1009" s="4"/>
      <x:c r="EK1009" s="4"/>
      <x:c r="EL1009" s="4"/>
      <x:c r="EM1009" s="4"/>
      <x:c r="EN1009" s="4"/>
      <x:c r="EO1009" s="4"/>
      <x:c r="EP1009" s="4"/>
      <x:c r="EQ1009" s="4"/>
      <x:c r="ER1009" s="4"/>
      <x:c r="ES1009" s="4"/>
      <x:c r="ET1009" s="4"/>
      <x:c r="EU1009" s="4"/>
      <x:c r="EV1009" s="4"/>
      <x:c r="EW1009" s="4"/>
      <x:c r="EX1009" s="4"/>
      <x:c r="EY1009" s="4"/>
      <x:c r="EZ1009" s="4"/>
      <x:c r="FA1009" s="4"/>
      <x:c r="FB1009" s="4"/>
      <x:c r="FC1009" s="4"/>
      <x:c r="FD1009" s="4"/>
      <x:c r="FE1009" s="4"/>
      <x:c r="FF1009" s="4"/>
      <x:c r="FG1009" s="4"/>
      <x:c r="FH1009" s="4"/>
      <x:c r="FI1009" s="4"/>
      <x:c r="FJ1009" s="4"/>
      <x:c r="FK1009" s="4"/>
      <x:c r="FL1009" s="4"/>
      <x:c r="FM1009" s="4"/>
      <x:c r="FN1009" s="4"/>
      <x:c r="FO1009" s="4"/>
      <x:c r="JA1009" t="n">
        <x:f>IF(OR(IFERROR(INDIRECT("'WCM Calibration Final'!$A$1009")&lt;&gt;"",FALSE),IFERROR(INDIRECT("'WCM Calibration Final'!$B$1009")&lt;&gt;"",FALSE),IFERROR(INDIRECT("'WCM Calibration Final'!$C$1009")&lt;&gt;"",FALSE)),1009,0)</x:f>
        <x:v>0</x:v>
      </x:c>
      <x:c r="JB1009" t="n">
        <x:f>'Calculations'!JB1008+IF('Calculations'!JA1009&gt;0,1,0)</x:f>
        <x:v>0</x:v>
      </x:c>
    </x:row>
    <x:row r="1010">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4"/>
      <x:c r="DQ1010" s="4"/>
      <x:c r="DR1010" s="4"/>
      <x:c r="DS1010" s="4"/>
      <x:c r="DT1010" s="4"/>
      <x:c r="DU1010" s="4"/>
      <x:c r="DV1010" s="4"/>
      <x:c r="DW1010" s="4"/>
      <x:c r="DX1010" s="4"/>
      <x:c r="DY1010" s="4"/>
      <x:c r="DZ1010" s="4"/>
      <x:c r="EA1010" s="4"/>
      <x:c r="EB1010" s="4"/>
      <x:c r="EC1010" s="4"/>
      <x:c r="ED1010" s="4"/>
      <x:c r="EE1010" s="4"/>
      <x:c r="EF1010" s="4"/>
      <x:c r="EG1010" s="4"/>
      <x:c r="EH1010" s="4"/>
      <x:c r="EI1010" s="4"/>
      <x:c r="EJ1010" s="4"/>
      <x:c r="EK1010" s="4"/>
      <x:c r="EL1010" s="4"/>
      <x:c r="EM1010" s="4"/>
      <x:c r="EN1010" s="4"/>
      <x:c r="EO1010" s="4"/>
      <x:c r="EP1010" s="4"/>
      <x:c r="EQ1010" s="4"/>
      <x:c r="ER1010" s="4"/>
      <x:c r="ES1010" s="4"/>
      <x:c r="ET1010" s="4"/>
      <x:c r="EU1010" s="4"/>
      <x:c r="EV1010" s="4"/>
      <x:c r="EW1010" s="4"/>
      <x:c r="EX1010" s="4"/>
      <x:c r="EY1010" s="4"/>
      <x:c r="EZ1010" s="4"/>
      <x:c r="FA1010" s="4"/>
      <x:c r="FB1010" s="4"/>
      <x:c r="FC1010" s="4"/>
      <x:c r="FD1010" s="4"/>
      <x:c r="FE1010" s="4"/>
      <x:c r="FF1010" s="4"/>
      <x:c r="FG1010" s="4"/>
      <x:c r="FH1010" s="4"/>
      <x:c r="FI1010" s="4"/>
      <x:c r="FJ1010" s="4"/>
      <x:c r="FK1010" s="4"/>
      <x:c r="FL1010" s="4"/>
      <x:c r="FM1010" s="4"/>
      <x:c r="FN1010" s="4"/>
      <x:c r="FO1010" s="4"/>
      <x:c r="JA1010" t="n">
        <x:f>IF(OR(IFERROR(INDIRECT("'WCM Calibration Final'!$A$1010")&lt;&gt;"",FALSE),IFERROR(INDIRECT("'WCM Calibration Final'!$B$1010")&lt;&gt;"",FALSE),IFERROR(INDIRECT("'WCM Calibration Final'!$C$1010")&lt;&gt;"",FALSE)),1010,0)</x:f>
        <x:v>0</x:v>
      </x:c>
      <x:c r="JB1010" t="n">
        <x:f>'Calculations'!JB1009+IF('Calculations'!JA1010&gt;0,1,0)</x:f>
        <x:v>0</x:v>
      </x:c>
    </x:row>
    <x:row r="1011">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4"/>
      <x:c r="DQ1011" s="4"/>
      <x:c r="DR1011" s="4"/>
      <x:c r="DS1011" s="4"/>
      <x:c r="DT1011" s="4"/>
      <x:c r="DU1011" s="4"/>
      <x:c r="DV1011" s="4"/>
      <x:c r="DW1011" s="4"/>
      <x:c r="DX1011" s="4"/>
      <x:c r="DY1011" s="4"/>
      <x:c r="DZ1011" s="4"/>
      <x:c r="EA1011" s="4"/>
      <x:c r="EB1011" s="4"/>
      <x:c r="EC1011" s="4"/>
      <x:c r="ED1011" s="4"/>
      <x:c r="EE1011" s="4"/>
      <x:c r="EF1011" s="4"/>
      <x:c r="EG1011" s="4"/>
      <x:c r="EH1011" s="4"/>
      <x:c r="EI1011" s="4"/>
      <x:c r="EJ1011" s="4"/>
      <x:c r="EK1011" s="4"/>
      <x:c r="EL1011" s="4"/>
      <x:c r="EM1011" s="4"/>
      <x:c r="EN1011" s="4"/>
      <x:c r="EO1011" s="4"/>
      <x:c r="EP1011" s="4"/>
      <x:c r="EQ1011" s="4"/>
      <x:c r="ER1011" s="4"/>
      <x:c r="ES1011" s="4"/>
      <x:c r="ET1011" s="4"/>
      <x:c r="EU1011" s="4"/>
      <x:c r="EV1011" s="4"/>
      <x:c r="EW1011" s="4"/>
      <x:c r="EX1011" s="4"/>
      <x:c r="EY1011" s="4"/>
      <x:c r="EZ1011" s="4"/>
      <x:c r="FA1011" s="4"/>
      <x:c r="FB1011" s="4"/>
      <x:c r="FC1011" s="4"/>
      <x:c r="FD1011" s="4"/>
      <x:c r="FE1011" s="4"/>
      <x:c r="FF1011" s="4"/>
      <x:c r="FG1011" s="4"/>
      <x:c r="FH1011" s="4"/>
      <x:c r="FI1011" s="4"/>
      <x:c r="FJ1011" s="4"/>
      <x:c r="FK1011" s="4"/>
      <x:c r="FL1011" s="4"/>
      <x:c r="FM1011" s="4"/>
      <x:c r="FN1011" s="4"/>
      <x:c r="FO1011" s="4"/>
      <x:c r="JA1011" t="n">
        <x:f>IF(OR(IFERROR(INDIRECT("'WCM Calibration Final'!$A$1011")&lt;&gt;"",FALSE),IFERROR(INDIRECT("'WCM Calibration Final'!$B$1011")&lt;&gt;"",FALSE),IFERROR(INDIRECT("'WCM Calibration Final'!$C$1011")&lt;&gt;"",FALSE)),1011,0)</x:f>
        <x:v>0</x:v>
      </x:c>
      <x:c r="JB1011" t="n">
        <x:f>'Calculations'!JB1010+IF('Calculations'!JA1011&gt;0,1,0)</x:f>
        <x:v>0</x:v>
      </x:c>
    </x:row>
    <x:row r="1012">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4"/>
      <x:c r="DQ1012" s="4"/>
      <x:c r="DR1012" s="4"/>
      <x:c r="DS1012" s="4"/>
      <x:c r="DT1012" s="4"/>
      <x:c r="DU1012" s="4"/>
      <x:c r="DV1012" s="4"/>
      <x:c r="DW1012" s="4"/>
      <x:c r="DX1012" s="4"/>
      <x:c r="DY1012" s="4"/>
      <x:c r="DZ1012" s="4"/>
      <x:c r="EA1012" s="4"/>
      <x:c r="EB1012" s="4"/>
      <x:c r="EC1012" s="4"/>
      <x:c r="ED1012" s="4"/>
      <x:c r="EE1012" s="4"/>
      <x:c r="EF1012" s="4"/>
      <x:c r="EG1012" s="4"/>
      <x:c r="EH1012" s="4"/>
      <x:c r="EI1012" s="4"/>
      <x:c r="EJ1012" s="4"/>
      <x:c r="EK1012" s="4"/>
      <x:c r="EL1012" s="4"/>
      <x:c r="EM1012" s="4"/>
      <x:c r="EN1012" s="4"/>
      <x:c r="EO1012" s="4"/>
      <x:c r="EP1012" s="4"/>
      <x:c r="EQ1012" s="4"/>
      <x:c r="ER1012" s="4"/>
      <x:c r="ES1012" s="4"/>
      <x:c r="ET1012" s="4"/>
      <x:c r="EU1012" s="4"/>
      <x:c r="EV1012" s="4"/>
      <x:c r="EW1012" s="4"/>
      <x:c r="EX1012" s="4"/>
      <x:c r="EY1012" s="4"/>
      <x:c r="EZ1012" s="4"/>
      <x:c r="FA1012" s="4"/>
      <x:c r="FB1012" s="4"/>
      <x:c r="FC1012" s="4"/>
      <x:c r="FD1012" s="4"/>
      <x:c r="FE1012" s="4"/>
      <x:c r="FF1012" s="4"/>
      <x:c r="FG1012" s="4"/>
      <x:c r="FH1012" s="4"/>
      <x:c r="FI1012" s="4"/>
      <x:c r="FJ1012" s="4"/>
      <x:c r="FK1012" s="4"/>
      <x:c r="FL1012" s="4"/>
      <x:c r="FM1012" s="4"/>
      <x:c r="FN1012" s="4"/>
      <x:c r="FO1012" s="4"/>
      <x:c r="JA1012" t="n">
        <x:f>IF(OR(IFERROR(INDIRECT("'WCM Calibration Final'!$A$1012")&lt;&gt;"",FALSE),IFERROR(INDIRECT("'WCM Calibration Final'!$B$1012")&lt;&gt;"",FALSE),IFERROR(INDIRECT("'WCM Calibration Final'!$C$1012")&lt;&gt;"",FALSE)),1012,0)</x:f>
        <x:v>0</x:v>
      </x:c>
      <x:c r="JB1012" t="n">
        <x:f>'Calculations'!JB1011+IF('Calculations'!JA1012&gt;0,1,0)</x:f>
        <x:v>0</x:v>
      </x:c>
    </x:row>
    <x:row r="1013">
      <x:c r="JA1013" t="n">
        <x:f>IF(OR(IFERROR(INDIRECT("'WCM Calibration Final'!$A$1013")&lt;&gt;"",FALSE),IFERROR(INDIRECT("'WCM Calibration Final'!$B$1013")&lt;&gt;"",FALSE),IFERROR(INDIRECT("'WCM Calibration Final'!$C$1013")&lt;&gt;"",FALSE)),1013,0)</x:f>
        <x:v>0</x:v>
      </x:c>
      <x:c r="JB1013" t="n">
        <x:f>'Calculations'!JB1012+IF('Calculations'!JA1013&gt;0,1,0)</x:f>
        <x:v>0</x:v>
      </x:c>
    </x:row>
    <x:row r="1014">
      <x:c r="JA1014" t="n">
        <x:f>IF(OR(IFERROR(INDIRECT("'WCM Calibration Final'!$A$1014")&lt;&gt;"",FALSE),IFERROR(INDIRECT("'WCM Calibration Final'!$B$1014")&lt;&gt;"",FALSE),IFERROR(INDIRECT("'WCM Calibration Final'!$C$1014")&lt;&gt;"",FALSE)),1014,0)</x:f>
        <x:v>0</x:v>
      </x:c>
      <x:c r="JB1014" t="n">
        <x:f>'Calculations'!JB1013+IF('Calculations'!JA1014&gt;0,1,0)</x:f>
        <x:v>0</x:v>
      </x:c>
    </x:row>
    <x:row r="1015">
      <x:c r="JA1015" t="n">
        <x:f>IF(OR(IFERROR(INDIRECT("'WCM Calibration Final'!$A$1015")&lt;&gt;"",FALSE),IFERROR(INDIRECT("'WCM Calibration Final'!$B$1015")&lt;&gt;"",FALSE),IFERROR(INDIRECT("'WCM Calibration Final'!$C$1015")&lt;&gt;"",FALSE)),1015,0)</x:f>
        <x:v>0</x:v>
      </x:c>
      <x:c r="JB1015" t="n">
        <x:f>'Calculations'!JB1014+IF('Calculations'!JA1015&gt;0,1,0)</x:f>
        <x:v>0</x:v>
      </x:c>
    </x:row>
    <x:row r="1016">
      <x:c r="JA1016" t="n">
        <x:f>IF(OR(IFERROR(INDIRECT("'WCM Calibration Final'!$A$1016")&lt;&gt;"",FALSE),IFERROR(INDIRECT("'WCM Calibration Final'!$B$1016")&lt;&gt;"",FALSE),IFERROR(INDIRECT("'WCM Calibration Final'!$C$1016")&lt;&gt;"",FALSE)),1016,0)</x:f>
        <x:v>0</x:v>
      </x:c>
      <x:c r="JB1016" t="n">
        <x:f>'Calculations'!JB1015+IF('Calculations'!JA1016&gt;0,1,0)</x:f>
        <x:v>0</x:v>
      </x:c>
    </x:row>
    <x:row r="1017">
      <x:c r="JA1017" t="n">
        <x:f>IF(OR(IFERROR(INDIRECT("'WCM Calibration Final'!$A$1017")&lt;&gt;"",FALSE),IFERROR(INDIRECT("'WCM Calibration Final'!$B$1017")&lt;&gt;"",FALSE),IFERROR(INDIRECT("'WCM Calibration Final'!$C$1017")&lt;&gt;"",FALSE)),1017,0)</x:f>
        <x:v>0</x:v>
      </x:c>
      <x:c r="JB1017" t="n">
        <x:f>'Calculations'!JB1016+IF('Calculations'!JA1017&gt;0,1,0)</x:f>
        <x:v>0</x:v>
      </x:c>
    </x:row>
    <x:row r="1018">
      <x:c r="JA1018" t="n">
        <x:f>IF(OR(IFERROR(INDIRECT("'WCM Calibration Final'!$A$1018")&lt;&gt;"",FALSE),IFERROR(INDIRECT("'WCM Calibration Final'!$B$1018")&lt;&gt;"",FALSE),IFERROR(INDIRECT("'WCM Calibration Final'!$C$1018")&lt;&gt;"",FALSE)),1018,0)</x:f>
        <x:v>0</x:v>
      </x:c>
      <x:c r="JB1018" t="n">
        <x:f>'Calculations'!JB1017+IF('Calculations'!JA1018&gt;0,1,0)</x:f>
        <x:v>0</x:v>
      </x:c>
    </x:row>
    <x:row r="1019">
      <x:c r="JA1019" t="n">
        <x:f>IF(OR(IFERROR(INDIRECT("'WCM Calibration Final'!$A$1019")&lt;&gt;"",FALSE),IFERROR(INDIRECT("'WCM Calibration Final'!$B$1019")&lt;&gt;"",FALSE),IFERROR(INDIRECT("'WCM Calibration Final'!$C$1019")&lt;&gt;"",FALSE)),1019,0)</x:f>
        <x:v>0</x:v>
      </x:c>
      <x:c r="JB1019" t="n">
        <x:f>'Calculations'!JB1018+IF('Calculations'!JA1019&gt;0,1,0)</x:f>
        <x:v>0</x:v>
      </x:c>
    </x:row>
    <x:row r="1020">
      <x:c r="JA1020" t="n">
        <x:f>IF(OR(IFERROR(INDIRECT("'WCM Calibration Final'!$A$1020")&lt;&gt;"",FALSE),IFERROR(INDIRECT("'WCM Calibration Final'!$B$1020")&lt;&gt;"",FALSE),IFERROR(INDIRECT("'WCM Calibration Final'!$C$1020")&lt;&gt;"",FALSE)),1020,0)</x:f>
        <x:v>0</x:v>
      </x:c>
      <x:c r="JB1020" t="n">
        <x:f>'Calculations'!JB1019+IF('Calculations'!JA1020&gt;0,1,0)</x:f>
        <x:v>0</x:v>
      </x:c>
    </x:row>
    <x:row r="1021">
      <x:c r="JA1021" t="n">
        <x:f>IF(OR(IFERROR(INDIRECT("'WCM Calibration Final'!$A$1021")&lt;&gt;"",FALSE),IFERROR(INDIRECT("'WCM Calibration Final'!$B$1021")&lt;&gt;"",FALSE),IFERROR(INDIRECT("'WCM Calibration Final'!$C$1021")&lt;&gt;"",FALSE)),1021,0)</x:f>
        <x:v>0</x:v>
      </x:c>
      <x:c r="JB1021" t="n">
        <x:f>'Calculations'!JB1020+IF('Calculations'!JA1021&gt;0,1,0)</x:f>
        <x:v>0</x:v>
      </x:c>
    </x:row>
    <x:row r="1022">
      <x:c r="JA1022" t="n">
        <x:f>IF(OR(IFERROR(INDIRECT("'WCM Calibration Final'!$A$1022")&lt;&gt;"",FALSE),IFERROR(INDIRECT("'WCM Calibration Final'!$B$1022")&lt;&gt;"",FALSE),IFERROR(INDIRECT("'WCM Calibration Final'!$C$1022")&lt;&gt;"",FALSE)),1022,0)</x:f>
        <x:v>0</x:v>
      </x:c>
      <x:c r="JB1022" t="n">
        <x:f>'Calculations'!JB1021+IF('Calculations'!JA1022&gt;0,1,0)</x:f>
        <x:v>0</x:v>
      </x:c>
    </x:row>
    <x:row r="1023">
      <x:c r="JA1023" t="n">
        <x:f>IF(OR(IFERROR(INDIRECT("'WCM Calibration Final'!$A$1023")&lt;&gt;"",FALSE),IFERROR(INDIRECT("'WCM Calibration Final'!$B$1023")&lt;&gt;"",FALSE),IFERROR(INDIRECT("'WCM Calibration Final'!$C$1023")&lt;&gt;"",FALSE)),1023,0)</x:f>
        <x:v>0</x:v>
      </x:c>
      <x:c r="JB1023" t="n">
        <x:f>'Calculations'!JB1022+IF('Calculations'!JA1023&gt;0,1,0)</x:f>
        <x:v>0</x:v>
      </x:c>
    </x:row>
    <x:row r="1024">
      <x:c r="JA1024" t="n">
        <x:f>IF(OR(IFERROR(INDIRECT("'WCM Calibration Final'!$A$1024")&lt;&gt;"",FALSE),IFERROR(INDIRECT("'WCM Calibration Final'!$B$1024")&lt;&gt;"",FALSE),IFERROR(INDIRECT("'WCM Calibration Final'!$C$1024")&lt;&gt;"",FALSE)),1024,0)</x:f>
        <x:v>0</x:v>
      </x:c>
      <x:c r="JB1024" t="n">
        <x:f>'Calculations'!JB1023+IF('Calculations'!JA1024&gt;0,1,0)</x:f>
        <x:v>0</x:v>
      </x:c>
    </x:row>
    <x:row r="1025">
      <x:c r="JA1025" t="n">
        <x:f>IF(OR(IFERROR(INDIRECT("'WCM Calibration Final'!$A$1025")&lt;&gt;"",FALSE),IFERROR(INDIRECT("'WCM Calibration Final'!$B$1025")&lt;&gt;"",FALSE),IFERROR(INDIRECT("'WCM Calibration Final'!$C$1025")&lt;&gt;"",FALSE)),1025,0)</x:f>
        <x:v>0</x:v>
      </x:c>
      <x:c r="JB1025" t="n">
        <x:f>'Calculations'!JB1024+IF('Calculations'!JA1025&gt;0,1,0)</x:f>
        <x:v>0</x:v>
      </x:c>
    </x:row>
    <x:row r="1026">
      <x:c r="JA1026" t="n">
        <x:f>IF(OR(IFERROR(INDIRECT("'WCM Calibration Final'!$A$1026")&lt;&gt;"",FALSE),IFERROR(INDIRECT("'WCM Calibration Final'!$B$1026")&lt;&gt;"",FALSE),IFERROR(INDIRECT("'WCM Calibration Final'!$C$1026")&lt;&gt;"",FALSE)),1026,0)</x:f>
        <x:v>0</x:v>
      </x:c>
      <x:c r="JB1026" t="n">
        <x:f>'Calculations'!JB1025+IF('Calculations'!JA1026&gt;0,1,0)</x:f>
        <x:v>0</x:v>
      </x:c>
    </x:row>
    <x:row r="1027">
      <x:c r="JA1027" t="n">
        <x:f>IF(OR(IFERROR(INDIRECT("'WCM Calibration Final'!$A$1027")&lt;&gt;"",FALSE),IFERROR(INDIRECT("'WCM Calibration Final'!$B$1027")&lt;&gt;"",FALSE),IFERROR(INDIRECT("'WCM Calibration Final'!$C$1027")&lt;&gt;"",FALSE)),1027,0)</x:f>
        <x:v>0</x:v>
      </x:c>
      <x:c r="JB1027" t="n">
        <x:f>'Calculations'!JB1026+IF('Calculations'!JA1027&gt;0,1,0)</x:f>
        <x:v>0</x:v>
      </x:c>
    </x:row>
    <x:row r="1028">
      <x:c r="JA1028" t="n">
        <x:f>IF(OR(IFERROR(INDIRECT("'WCM Calibration Final'!$A$1028")&lt;&gt;"",FALSE),IFERROR(INDIRECT("'WCM Calibration Final'!$B$1028")&lt;&gt;"",FALSE),IFERROR(INDIRECT("'WCM Calibration Final'!$C$1028")&lt;&gt;"",FALSE)),1028,0)</x:f>
        <x:v>0</x:v>
      </x:c>
      <x:c r="JB1028" t="n">
        <x:f>'Calculations'!JB1027+IF('Calculations'!JA1028&gt;0,1,0)</x:f>
        <x:v>0</x:v>
      </x:c>
    </x:row>
    <x:row r="1029">
      <x:c r="JA1029" t="n">
        <x:f>IF(OR(IFERROR(INDIRECT("'WCM Calibration Final'!$A$1029")&lt;&gt;"",FALSE),IFERROR(INDIRECT("'WCM Calibration Final'!$B$1029")&lt;&gt;"",FALSE),IFERROR(INDIRECT("'WCM Calibration Final'!$C$1029")&lt;&gt;"",FALSE)),1029,0)</x:f>
        <x:v>0</x:v>
      </x:c>
      <x:c r="JB1029" t="n">
        <x:f>'Calculations'!JB1028+IF('Calculations'!JA1029&gt;0,1,0)</x:f>
        <x:v>0</x:v>
      </x:c>
    </x:row>
    <x:row r="1030">
      <x:c r="JA1030" t="n">
        <x:f>IF(OR(IFERROR(INDIRECT("'WCM Calibration Final'!$A$1030")&lt;&gt;"",FALSE),IFERROR(INDIRECT("'WCM Calibration Final'!$B$1030")&lt;&gt;"",FALSE),IFERROR(INDIRECT("'WCM Calibration Final'!$C$1030")&lt;&gt;"",FALSE)),1030,0)</x:f>
        <x:v>0</x:v>
      </x:c>
      <x:c r="JB1030" t="n">
        <x:f>'Calculations'!JB1029+IF('Calculations'!JA1030&gt;0,1,0)</x:f>
        <x:v>0</x:v>
      </x:c>
    </x:row>
    <x:row r="1031">
      <x:c r="JA1031" t="n">
        <x:f>IF(OR(IFERROR(INDIRECT("'WCM Calibration Final'!$A$1031")&lt;&gt;"",FALSE),IFERROR(INDIRECT("'WCM Calibration Final'!$B$1031")&lt;&gt;"",FALSE),IFERROR(INDIRECT("'WCM Calibration Final'!$C$1031")&lt;&gt;"",FALSE)),1031,0)</x:f>
        <x:v>0</x:v>
      </x:c>
      <x:c r="JB1031" t="n">
        <x:f>'Calculations'!JB1030+IF('Calculations'!JA1031&gt;0,1,0)</x:f>
        <x:v>0</x:v>
      </x:c>
    </x:row>
    <x:row r="1032">
      <x:c r="JA1032" t="n">
        <x:f>IF(OR(IFERROR(INDIRECT("'WCM Calibration Final'!$A$1032")&lt;&gt;"",FALSE),IFERROR(INDIRECT("'WCM Calibration Final'!$B$1032")&lt;&gt;"",FALSE),IFERROR(INDIRECT("'WCM Calibration Final'!$C$1032")&lt;&gt;"",FALSE)),1032,0)</x:f>
        <x:v>0</x:v>
      </x:c>
      <x:c r="JB1032" t="n">
        <x:f>'Calculations'!JB1031+IF('Calculations'!JA1032&gt;0,1,0)</x:f>
        <x:v>0</x:v>
      </x:c>
    </x:row>
    <x:row r="1033">
      <x:c r="JA1033" t="n">
        <x:f>IF(OR(IFERROR(INDIRECT("'WCM Calibration Final'!$A$1033")&lt;&gt;"",FALSE),IFERROR(INDIRECT("'WCM Calibration Final'!$B$1033")&lt;&gt;"",FALSE),IFERROR(INDIRECT("'WCM Calibration Final'!$C$1033")&lt;&gt;"",FALSE)),1033,0)</x:f>
        <x:v>0</x:v>
      </x:c>
      <x:c r="JB1033" t="n">
        <x:f>'Calculations'!JB1032+IF('Calculations'!JA1033&gt;0,1,0)</x:f>
        <x:v>0</x:v>
      </x:c>
    </x:row>
    <x:row r="1034">
      <x:c r="JA1034" t="n">
        <x:f>IF(OR(IFERROR(INDIRECT("'WCM Calibration Final'!$A$1034")&lt;&gt;"",FALSE),IFERROR(INDIRECT("'WCM Calibration Final'!$B$1034")&lt;&gt;"",FALSE),IFERROR(INDIRECT("'WCM Calibration Final'!$C$1034")&lt;&gt;"",FALSE)),1034,0)</x:f>
        <x:v>0</x:v>
      </x:c>
      <x:c r="JB1034" t="n">
        <x:f>'Calculations'!JB1033+IF('Calculations'!JA1034&gt;0,1,0)</x:f>
        <x:v>0</x:v>
      </x:c>
    </x:row>
    <x:row r="1035">
      <x:c r="JA1035" t="n">
        <x:f>IF(OR(IFERROR(INDIRECT("'WCM Calibration Final'!$A$1035")&lt;&gt;"",FALSE),IFERROR(INDIRECT("'WCM Calibration Final'!$B$1035")&lt;&gt;"",FALSE),IFERROR(INDIRECT("'WCM Calibration Final'!$C$1035")&lt;&gt;"",FALSE)),1035,0)</x:f>
        <x:v>0</x:v>
      </x:c>
      <x:c r="JB1035" t="n">
        <x:f>'Calculations'!JB1034+IF('Calculations'!JA1035&gt;0,1,0)</x:f>
        <x:v>0</x:v>
      </x:c>
    </x:row>
    <x:row r="1036">
      <x:c r="JA1036" t="n">
        <x:f>IF(OR(IFERROR(INDIRECT("'WCM Calibration Final'!$A$1036")&lt;&gt;"",FALSE),IFERROR(INDIRECT("'WCM Calibration Final'!$B$1036")&lt;&gt;"",FALSE),IFERROR(INDIRECT("'WCM Calibration Final'!$C$1036")&lt;&gt;"",FALSE)),1036,0)</x:f>
        <x:v>0</x:v>
      </x:c>
      <x:c r="JB1036" t="n">
        <x:f>'Calculations'!JB1035+IF('Calculations'!JA1036&gt;0,1,0)</x:f>
        <x:v>0</x:v>
      </x:c>
    </x:row>
    <x:row r="1037">
      <x:c r="JA1037" t="n">
        <x:f>IF(OR(IFERROR(INDIRECT("'WCM Calibration Final'!$A$1037")&lt;&gt;"",FALSE),IFERROR(INDIRECT("'WCM Calibration Final'!$B$1037")&lt;&gt;"",FALSE),IFERROR(INDIRECT("'WCM Calibration Final'!$C$1037")&lt;&gt;"",FALSE)),1037,0)</x:f>
        <x:v>0</x:v>
      </x:c>
      <x:c r="JB1037" t="n">
        <x:f>'Calculations'!JB1036+IF('Calculations'!JA1037&gt;0,1,0)</x:f>
        <x:v>0</x:v>
      </x:c>
    </x:row>
    <x:row r="1038">
      <x:c r="JA1038" t="n">
        <x:f>IF(OR(IFERROR(INDIRECT("'WCM Calibration Final'!$A$1038")&lt;&gt;"",FALSE),IFERROR(INDIRECT("'WCM Calibration Final'!$B$1038")&lt;&gt;"",FALSE),IFERROR(INDIRECT("'WCM Calibration Final'!$C$1038")&lt;&gt;"",FALSE)),1038,0)</x:f>
        <x:v>0</x:v>
      </x:c>
      <x:c r="JB1038" t="n">
        <x:f>'Calculations'!JB1037+IF('Calculations'!JA1038&gt;0,1,0)</x:f>
        <x:v>0</x:v>
      </x:c>
    </x:row>
    <x:row r="1039">
      <x:c r="JA1039" t="n">
        <x:f>IF(OR(IFERROR(INDIRECT("'WCM Calibration Final'!$A$1039")&lt;&gt;"",FALSE),IFERROR(INDIRECT("'WCM Calibration Final'!$B$1039")&lt;&gt;"",FALSE),IFERROR(INDIRECT("'WCM Calibration Final'!$C$1039")&lt;&gt;"",FALSE)),1039,0)</x:f>
        <x:v>0</x:v>
      </x:c>
      <x:c r="JB1039" t="n">
        <x:f>'Calculations'!JB1038+IF('Calculations'!JA1039&gt;0,1,0)</x:f>
        <x:v>0</x:v>
      </x:c>
    </x:row>
    <x:row r="1040">
      <x:c r="JA1040" t="n">
        <x:f>IF(OR(IFERROR(INDIRECT("'WCM Calibration Final'!$A$1040")&lt;&gt;"",FALSE),IFERROR(INDIRECT("'WCM Calibration Final'!$B$1040")&lt;&gt;"",FALSE),IFERROR(INDIRECT("'WCM Calibration Final'!$C$1040")&lt;&gt;"",FALSE)),1040,0)</x:f>
        <x:v>0</x:v>
      </x:c>
      <x:c r="JB1040" t="n">
        <x:f>'Calculations'!JB1039+IF('Calculations'!JA1040&gt;0,1,0)</x:f>
        <x:v>0</x:v>
      </x:c>
    </x:row>
    <x:row r="1041">
      <x:c r="JA1041" t="n">
        <x:f>IF(OR(IFERROR(INDIRECT("'WCM Calibration Final'!$A$1041")&lt;&gt;"",FALSE),IFERROR(INDIRECT("'WCM Calibration Final'!$B$1041")&lt;&gt;"",FALSE),IFERROR(INDIRECT("'WCM Calibration Final'!$C$1041")&lt;&gt;"",FALSE)),1041,0)</x:f>
        <x:v>0</x:v>
      </x:c>
      <x:c r="JB1041" t="n">
        <x:f>'Calculations'!JB1040+IF('Calculations'!JA1041&gt;0,1,0)</x:f>
        <x:v>0</x:v>
      </x:c>
    </x:row>
    <x:row r="1042">
      <x:c r="JA1042" t="n">
        <x:f>IF(OR(IFERROR(INDIRECT("'WCM Calibration Final'!$A$1042")&lt;&gt;"",FALSE),IFERROR(INDIRECT("'WCM Calibration Final'!$B$1042")&lt;&gt;"",FALSE),IFERROR(INDIRECT("'WCM Calibration Final'!$C$1042")&lt;&gt;"",FALSE)),1042,0)</x:f>
        <x:v>0</x:v>
      </x:c>
      <x:c r="JB1042" t="n">
        <x:f>'Calculations'!JB1041+IF('Calculations'!JA1042&gt;0,1,0)</x:f>
        <x:v>0</x:v>
      </x:c>
    </x:row>
    <x:row r="1043">
      <x:c r="JA1043" t="n">
        <x:f>IF(OR(IFERROR(INDIRECT("'WCM Calibration Final'!$A$1043")&lt;&gt;"",FALSE),IFERROR(INDIRECT("'WCM Calibration Final'!$B$1043")&lt;&gt;"",FALSE),IFERROR(INDIRECT("'WCM Calibration Final'!$C$1043")&lt;&gt;"",FALSE)),1043,0)</x:f>
        <x:v>0</x:v>
      </x:c>
      <x:c r="JB1043" t="n">
        <x:f>'Calculations'!JB1042+IF('Calculations'!JA1043&gt;0,1,0)</x:f>
        <x:v>0</x:v>
      </x:c>
    </x:row>
    <x:row r="1044">
      <x:c r="JA1044" t="n">
        <x:f>IF(OR(IFERROR(INDIRECT("'WCM Calibration Final'!$A$1044")&lt;&gt;"",FALSE),IFERROR(INDIRECT("'WCM Calibration Final'!$B$1044")&lt;&gt;"",FALSE),IFERROR(INDIRECT("'WCM Calibration Final'!$C$1044")&lt;&gt;"",FALSE)),1044,0)</x:f>
        <x:v>0</x:v>
      </x:c>
      <x:c r="JB1044" t="n">
        <x:f>'Calculations'!JB1043+IF('Calculations'!JA1044&gt;0,1,0)</x:f>
        <x:v>0</x:v>
      </x:c>
    </x:row>
    <x:row r="1045">
      <x:c r="JA1045" t="n">
        <x:f>IF(OR(IFERROR(INDIRECT("'WCM Calibration Final'!$A$1045")&lt;&gt;"",FALSE),IFERROR(INDIRECT("'WCM Calibration Final'!$B$1045")&lt;&gt;"",FALSE),IFERROR(INDIRECT("'WCM Calibration Final'!$C$1045")&lt;&gt;"",FALSE)),1045,0)</x:f>
        <x:v>0</x:v>
      </x:c>
      <x:c r="JB1045" t="n">
        <x:f>'Calculations'!JB1044+IF('Calculations'!JA1045&gt;0,1,0)</x:f>
        <x:v>0</x:v>
      </x:c>
    </x:row>
    <x:row r="1046">
      <x:c r="JA1046" t="n">
        <x:f>IF(OR(IFERROR(INDIRECT("'WCM Calibration Final'!$A$1046")&lt;&gt;"",FALSE),IFERROR(INDIRECT("'WCM Calibration Final'!$B$1046")&lt;&gt;"",FALSE),IFERROR(INDIRECT("'WCM Calibration Final'!$C$1046")&lt;&gt;"",FALSE)),1046,0)</x:f>
        <x:v>0</x:v>
      </x:c>
      <x:c r="JB1046" t="n">
        <x:f>'Calculations'!JB1045+IF('Calculations'!JA1046&gt;0,1,0)</x:f>
        <x:v>0</x:v>
      </x:c>
    </x:row>
    <x:row r="1047">
      <x:c r="JA1047" t="n">
        <x:f>IF(OR(IFERROR(INDIRECT("'WCM Calibration Final'!$A$1047")&lt;&gt;"",FALSE),IFERROR(INDIRECT("'WCM Calibration Final'!$B$1047")&lt;&gt;"",FALSE),IFERROR(INDIRECT("'WCM Calibration Final'!$C$1047")&lt;&gt;"",FALSE)),1047,0)</x:f>
        <x:v>0</x:v>
      </x:c>
      <x:c r="JB1047" t="n">
        <x:f>'Calculations'!JB1046+IF('Calculations'!JA1047&gt;0,1,0)</x:f>
        <x:v>0</x:v>
      </x:c>
    </x:row>
    <x:row r="1048">
      <x:c r="JA1048" t="n">
        <x:f>IF(OR(IFERROR(INDIRECT("'WCM Calibration Final'!$A$1048")&lt;&gt;"",FALSE),IFERROR(INDIRECT("'WCM Calibration Final'!$B$1048")&lt;&gt;"",FALSE),IFERROR(INDIRECT("'WCM Calibration Final'!$C$1048")&lt;&gt;"",FALSE)),1048,0)</x:f>
        <x:v>0</x:v>
      </x:c>
      <x:c r="JB1048" t="n">
        <x:f>'Calculations'!JB1047+IF('Calculations'!JA1048&gt;0,1,0)</x:f>
        <x:v>0</x:v>
      </x:c>
    </x:row>
    <x:row r="1049">
      <x:c r="JA1049" t="n">
        <x:f>IF(OR(IFERROR(INDIRECT("'WCM Calibration Final'!$A$1049")&lt;&gt;"",FALSE),IFERROR(INDIRECT("'WCM Calibration Final'!$B$1049")&lt;&gt;"",FALSE),IFERROR(INDIRECT("'WCM Calibration Final'!$C$1049")&lt;&gt;"",FALSE)),1049,0)</x:f>
        <x:v>0</x:v>
      </x:c>
      <x:c r="JB1049" t="n">
        <x:f>'Calculations'!JB1048+IF('Calculations'!JA1049&gt;0,1,0)</x:f>
        <x:v>0</x:v>
      </x:c>
    </x:row>
    <x:row r="1050">
      <x:c r="JA1050" t="n">
        <x:f>IF(OR(IFERROR(INDIRECT("'WCM Calibration Final'!$A$1050")&lt;&gt;"",FALSE),IFERROR(INDIRECT("'WCM Calibration Final'!$B$1050")&lt;&gt;"",FALSE),IFERROR(INDIRECT("'WCM Calibration Final'!$C$1050")&lt;&gt;"",FALSE)),1050,0)</x:f>
        <x:v>0</x:v>
      </x:c>
      <x:c r="JB1050" t="n">
        <x:f>'Calculations'!JB1049+IF('Calculations'!JA1050&gt;0,1,0)</x:f>
        <x:v>0</x:v>
      </x:c>
    </x:row>
    <x:row r="1051">
      <x:c r="JA1051" t="n">
        <x:f>IF(OR(IFERROR(INDIRECT("'WCM Calibration Final'!$A$1051")&lt;&gt;"",FALSE),IFERROR(INDIRECT("'WCM Calibration Final'!$B$1051")&lt;&gt;"",FALSE),IFERROR(INDIRECT("'WCM Calibration Final'!$C$1051")&lt;&gt;"",FALSE)),1051,0)</x:f>
        <x:v>0</x:v>
      </x:c>
      <x:c r="JB1051" t="n">
        <x:f>'Calculations'!JB1050+IF('Calculations'!JA1051&gt;0,1,0)</x:f>
        <x:v>0</x:v>
      </x:c>
    </x:row>
    <x:row r="1052">
      <x:c r="JA1052" t="n">
        <x:f>IF(OR(IFERROR(INDIRECT("'WCM Calibration Final'!$A$1052")&lt;&gt;"",FALSE),IFERROR(INDIRECT("'WCM Calibration Final'!$B$1052")&lt;&gt;"",FALSE),IFERROR(INDIRECT("'WCM Calibration Final'!$C$1052")&lt;&gt;"",FALSE)),1052,0)</x:f>
        <x:v>0</x:v>
      </x:c>
      <x:c r="JB1052" t="n">
        <x:f>'Calculations'!JB1051+IF('Calculations'!JA1052&gt;0,1,0)</x:f>
        <x:v>0</x:v>
      </x:c>
    </x:row>
    <x:row r="1053">
      <x:c r="JA1053" t="n">
        <x:f>IF(OR(IFERROR(INDIRECT("'WCM Calibration Final'!$A$1053")&lt;&gt;"",FALSE),IFERROR(INDIRECT("'WCM Calibration Final'!$B$1053")&lt;&gt;"",FALSE),IFERROR(INDIRECT("'WCM Calibration Final'!$C$1053")&lt;&gt;"",FALSE)),1053,0)</x:f>
        <x:v>0</x:v>
      </x:c>
      <x:c r="JB1053" t="n">
        <x:f>'Calculations'!JB1052+IF('Calculations'!JA1053&gt;0,1,0)</x:f>
        <x:v>0</x:v>
      </x:c>
    </x:row>
    <x:row r="1054">
      <x:c r="JA1054" t="n">
        <x:f>IF(OR(IFERROR(INDIRECT("'WCM Calibration Final'!$A$1054")&lt;&gt;"",FALSE),IFERROR(INDIRECT("'WCM Calibration Final'!$B$1054")&lt;&gt;"",FALSE),IFERROR(INDIRECT("'WCM Calibration Final'!$C$1054")&lt;&gt;"",FALSE)),1054,0)</x:f>
        <x:v>0</x:v>
      </x:c>
      <x:c r="JB1054" t="n">
        <x:f>'Calculations'!JB1053+IF('Calculations'!JA1054&gt;0,1,0)</x:f>
        <x:v>0</x:v>
      </x:c>
    </x:row>
    <x:row r="1055">
      <x:c r="JA1055" t="n">
        <x:f>IF(OR(IFERROR(INDIRECT("'WCM Calibration Final'!$A$1055")&lt;&gt;"",FALSE),IFERROR(INDIRECT("'WCM Calibration Final'!$B$1055")&lt;&gt;"",FALSE),IFERROR(INDIRECT("'WCM Calibration Final'!$C$1055")&lt;&gt;"",FALSE)),1055,0)</x:f>
        <x:v>0</x:v>
      </x:c>
      <x:c r="JB1055" t="n">
        <x:f>'Calculations'!JB1054+IF('Calculations'!JA1055&gt;0,1,0)</x:f>
        <x:v>0</x:v>
      </x:c>
    </x:row>
    <x:row r="1056">
      <x:c r="JA1056" t="n">
        <x:f>IF(OR(IFERROR(INDIRECT("'WCM Calibration Final'!$A$1056")&lt;&gt;"",FALSE),IFERROR(INDIRECT("'WCM Calibration Final'!$B$1056")&lt;&gt;"",FALSE),IFERROR(INDIRECT("'WCM Calibration Final'!$C$1056")&lt;&gt;"",FALSE)),1056,0)</x:f>
        <x:v>0</x:v>
      </x:c>
      <x:c r="JB1056" t="n">
        <x:f>'Calculations'!JB1055+IF('Calculations'!JA1056&gt;0,1,0)</x:f>
        <x:v>0</x:v>
      </x:c>
    </x:row>
    <x:row r="1057">
      <x:c r="JA1057" t="n">
        <x:f>IF(OR(IFERROR(INDIRECT("'WCM Calibration Final'!$A$1057")&lt;&gt;"",FALSE),IFERROR(INDIRECT("'WCM Calibration Final'!$B$1057")&lt;&gt;"",FALSE),IFERROR(INDIRECT("'WCM Calibration Final'!$C$1057")&lt;&gt;"",FALSE)),1057,0)</x:f>
        <x:v>0</x:v>
      </x:c>
      <x:c r="JB1057" t="n">
        <x:f>'Calculations'!JB1056+IF('Calculations'!JA1057&gt;0,1,0)</x:f>
        <x:v>0</x:v>
      </x:c>
    </x:row>
    <x:row r="1058">
      <x:c r="JA1058" t="n">
        <x:f>IF(OR(IFERROR(INDIRECT("'WCM Calibration Final'!$A$1058")&lt;&gt;"",FALSE),IFERROR(INDIRECT("'WCM Calibration Final'!$B$1058")&lt;&gt;"",FALSE),IFERROR(INDIRECT("'WCM Calibration Final'!$C$1058")&lt;&gt;"",FALSE)),1058,0)</x:f>
        <x:v>0</x:v>
      </x:c>
      <x:c r="JB1058" t="n">
        <x:f>'Calculations'!JB1057+IF('Calculations'!JA1058&gt;0,1,0)</x:f>
        <x:v>0</x:v>
      </x:c>
    </x:row>
    <x:row r="1059">
      <x:c r="JA1059" t="n">
        <x:f>IF(OR(IFERROR(INDIRECT("'WCM Calibration Final'!$A$1059")&lt;&gt;"",FALSE),IFERROR(INDIRECT("'WCM Calibration Final'!$B$1059")&lt;&gt;"",FALSE),IFERROR(INDIRECT("'WCM Calibration Final'!$C$1059")&lt;&gt;"",FALSE)),1059,0)</x:f>
        <x:v>0</x:v>
      </x:c>
      <x:c r="JB1059" t="n">
        <x:f>'Calculations'!JB1058+IF('Calculations'!JA1059&gt;0,1,0)</x:f>
        <x:v>0</x:v>
      </x:c>
    </x:row>
    <x:row r="1060">
      <x:c r="JA1060" t="n">
        <x:f>IF(OR(IFERROR(INDIRECT("'WCM Calibration Final'!$A$1060")&lt;&gt;"",FALSE),IFERROR(INDIRECT("'WCM Calibration Final'!$B$1060")&lt;&gt;"",FALSE),IFERROR(INDIRECT("'WCM Calibration Final'!$C$1060")&lt;&gt;"",FALSE)),1060,0)</x:f>
        <x:v>0</x:v>
      </x:c>
      <x:c r="JB1060" t="n">
        <x:f>'Calculations'!JB1059+IF('Calculations'!JA1060&gt;0,1,0)</x:f>
        <x:v>0</x:v>
      </x:c>
    </x:row>
    <x:row r="1061">
      <x:c r="JA1061" t="n">
        <x:f>IF(OR(IFERROR(INDIRECT("'WCM Calibration Final'!$A$1061")&lt;&gt;"",FALSE),IFERROR(INDIRECT("'WCM Calibration Final'!$B$1061")&lt;&gt;"",FALSE),IFERROR(INDIRECT("'WCM Calibration Final'!$C$1061")&lt;&gt;"",FALSE)),1061,0)</x:f>
        <x:v>0</x:v>
      </x:c>
      <x:c r="JB1061" t="n">
        <x:f>'Calculations'!JB1060+IF('Calculations'!JA1061&gt;0,1,0)</x:f>
        <x:v>0</x:v>
      </x:c>
    </x:row>
    <x:row r="1062">
      <x:c r="JA1062" t="n">
        <x:f>IF(OR(IFERROR(INDIRECT("'WCM Calibration Final'!$A$1062")&lt;&gt;"",FALSE),IFERROR(INDIRECT("'WCM Calibration Final'!$B$1062")&lt;&gt;"",FALSE),IFERROR(INDIRECT("'WCM Calibration Final'!$C$1062")&lt;&gt;"",FALSE)),1062,0)</x:f>
        <x:v>0</x:v>
      </x:c>
      <x:c r="JB1062" t="n">
        <x:f>'Calculations'!JB1061+IF('Calculations'!JA1062&gt;0,1,0)</x:f>
        <x:v>0</x:v>
      </x:c>
    </x:row>
    <x:row r="1063">
      <x:c r="JA1063" t="n">
        <x:f>IF(OR(IFERROR(INDIRECT("'WCM Calibration Final'!$A$1063")&lt;&gt;"",FALSE),IFERROR(INDIRECT("'WCM Calibration Final'!$B$1063")&lt;&gt;"",FALSE),IFERROR(INDIRECT("'WCM Calibration Final'!$C$1063")&lt;&gt;"",FALSE)),1063,0)</x:f>
        <x:v>0</x:v>
      </x:c>
      <x:c r="JB1063" t="n">
        <x:f>'Calculations'!JB1062+IF('Calculations'!JA1063&gt;0,1,0)</x:f>
        <x:v>0</x:v>
      </x:c>
    </x:row>
    <x:row r="1064">
      <x:c r="JA1064" t="n">
        <x:f>IF(OR(IFERROR(INDIRECT("'WCM Calibration Final'!$A$1064")&lt;&gt;"",FALSE),IFERROR(INDIRECT("'WCM Calibration Final'!$B$1064")&lt;&gt;"",FALSE),IFERROR(INDIRECT("'WCM Calibration Final'!$C$1064")&lt;&gt;"",FALSE)),1064,0)</x:f>
        <x:v>0</x:v>
      </x:c>
      <x:c r="JB1064" t="n">
        <x:f>'Calculations'!JB1063+IF('Calculations'!JA1064&gt;0,1,0)</x:f>
        <x:v>0</x:v>
      </x:c>
    </x:row>
    <x:row r="1065">
      <x:c r="JA1065" t="n">
        <x:f>IF(OR(IFERROR(INDIRECT("'WCM Calibration Final'!$A$1065")&lt;&gt;"",FALSE),IFERROR(INDIRECT("'WCM Calibration Final'!$B$1065")&lt;&gt;"",FALSE),IFERROR(INDIRECT("'WCM Calibration Final'!$C$1065")&lt;&gt;"",FALSE)),1065,0)</x:f>
        <x:v>0</x:v>
      </x:c>
      <x:c r="JB1065" t="n">
        <x:f>'Calculations'!JB1064+IF('Calculations'!JA1065&gt;0,1,0)</x:f>
        <x:v>0</x:v>
      </x:c>
    </x:row>
    <x:row r="1066">
      <x:c r="JA1066" t="n">
        <x:f>IF(OR(IFERROR(INDIRECT("'WCM Calibration Final'!$A$1066")&lt;&gt;"",FALSE),IFERROR(INDIRECT("'WCM Calibration Final'!$B$1066")&lt;&gt;"",FALSE),IFERROR(INDIRECT("'WCM Calibration Final'!$C$1066")&lt;&gt;"",FALSE)),1066,0)</x:f>
        <x:v>0</x:v>
      </x:c>
      <x:c r="JB1066" t="n">
        <x:f>'Calculations'!JB1065+IF('Calculations'!JA1066&gt;0,1,0)</x:f>
        <x:v>0</x:v>
      </x:c>
    </x:row>
    <x:row r="1067">
      <x:c r="JA1067" t="n">
        <x:f>IF(OR(IFERROR(INDIRECT("'WCM Calibration Final'!$A$1067")&lt;&gt;"",FALSE),IFERROR(INDIRECT("'WCM Calibration Final'!$B$1067")&lt;&gt;"",FALSE),IFERROR(INDIRECT("'WCM Calibration Final'!$C$1067")&lt;&gt;"",FALSE)),1067,0)</x:f>
        <x:v>0</x:v>
      </x:c>
      <x:c r="JB1067" t="n">
        <x:f>'Calculations'!JB1066+IF('Calculations'!JA1067&gt;0,1,0)</x:f>
        <x:v>0</x:v>
      </x:c>
    </x:row>
    <x:row r="1068">
      <x:c r="JA1068" t="n">
        <x:f>IF(OR(IFERROR(INDIRECT("'WCM Calibration Final'!$A$1068")&lt;&gt;"",FALSE),IFERROR(INDIRECT("'WCM Calibration Final'!$B$1068")&lt;&gt;"",FALSE),IFERROR(INDIRECT("'WCM Calibration Final'!$C$1068")&lt;&gt;"",FALSE)),1068,0)</x:f>
        <x:v>0</x:v>
      </x:c>
      <x:c r="JB1068" t="n">
        <x:f>'Calculations'!JB1067+IF('Calculations'!JA1068&gt;0,1,0)</x:f>
        <x:v>0</x:v>
      </x:c>
    </x:row>
    <x:row r="1069">
      <x:c r="JA1069" t="n">
        <x:f>IF(OR(IFERROR(INDIRECT("'WCM Calibration Final'!$A$1069")&lt;&gt;"",FALSE),IFERROR(INDIRECT("'WCM Calibration Final'!$B$1069")&lt;&gt;"",FALSE),IFERROR(INDIRECT("'WCM Calibration Final'!$C$1069")&lt;&gt;"",FALSE)),1069,0)</x:f>
        <x:v>0</x:v>
      </x:c>
      <x:c r="JB1069" t="n">
        <x:f>'Calculations'!JB1068+IF('Calculations'!JA1069&gt;0,1,0)</x:f>
        <x:v>0</x:v>
      </x:c>
    </x:row>
    <x:row r="1070">
      <x:c r="JA1070" t="n">
        <x:f>IF(OR(IFERROR(INDIRECT("'WCM Calibration Final'!$A$1070")&lt;&gt;"",FALSE),IFERROR(INDIRECT("'WCM Calibration Final'!$B$1070")&lt;&gt;"",FALSE),IFERROR(INDIRECT("'WCM Calibration Final'!$C$1070")&lt;&gt;"",FALSE)),1070,0)</x:f>
        <x:v>0</x:v>
      </x:c>
      <x:c r="JB1070" t="n">
        <x:f>'Calculations'!JB1069+IF('Calculations'!JA1070&gt;0,1,0)</x:f>
        <x:v>0</x:v>
      </x:c>
    </x:row>
    <x:row r="1071">
      <x:c r="JA1071" t="n">
        <x:f>IF(OR(IFERROR(INDIRECT("'WCM Calibration Final'!$A$1071")&lt;&gt;"",FALSE),IFERROR(INDIRECT("'WCM Calibration Final'!$B$1071")&lt;&gt;"",FALSE),IFERROR(INDIRECT("'WCM Calibration Final'!$C$1071")&lt;&gt;"",FALSE)),1071,0)</x:f>
        <x:v>0</x:v>
      </x:c>
      <x:c r="JB1071" t="n">
        <x:f>'Calculations'!JB1070+IF('Calculations'!JA1071&gt;0,1,0)</x:f>
        <x:v>0</x:v>
      </x:c>
    </x:row>
    <x:row r="1072">
      <x:c r="JA1072" t="n">
        <x:f>IF(OR(IFERROR(INDIRECT("'WCM Calibration Final'!$A$1072")&lt;&gt;"",FALSE),IFERROR(INDIRECT("'WCM Calibration Final'!$B$1072")&lt;&gt;"",FALSE),IFERROR(INDIRECT("'WCM Calibration Final'!$C$1072")&lt;&gt;"",FALSE)),1072,0)</x:f>
        <x:v>0</x:v>
      </x:c>
      <x:c r="JB1072" t="n">
        <x:f>'Calculations'!JB1071+IF('Calculations'!JA1072&gt;0,1,0)</x:f>
        <x:v>0</x:v>
      </x:c>
    </x:row>
    <x:row r="1073">
      <x:c r="JA1073" t="n">
        <x:f>IF(OR(IFERROR(INDIRECT("'WCM Calibration Final'!$A$1073")&lt;&gt;"",FALSE),IFERROR(INDIRECT("'WCM Calibration Final'!$B$1073")&lt;&gt;"",FALSE),IFERROR(INDIRECT("'WCM Calibration Final'!$C$1073")&lt;&gt;"",FALSE)),1073,0)</x:f>
        <x:v>0</x:v>
      </x:c>
      <x:c r="JB1073" t="n">
        <x:f>'Calculations'!JB1072+IF('Calculations'!JA1073&gt;0,1,0)</x:f>
        <x:v>0</x:v>
      </x:c>
    </x:row>
    <x:row r="1074">
      <x:c r="JA1074" t="n">
        <x:f>IF(OR(IFERROR(INDIRECT("'WCM Calibration Final'!$A$1074")&lt;&gt;"",FALSE),IFERROR(INDIRECT("'WCM Calibration Final'!$B$1074")&lt;&gt;"",FALSE),IFERROR(INDIRECT("'WCM Calibration Final'!$C$1074")&lt;&gt;"",FALSE)),1074,0)</x:f>
        <x:v>0</x:v>
      </x:c>
      <x:c r="JB1074" t="n">
        <x:f>'Calculations'!JB1073+IF('Calculations'!JA1074&gt;0,1,0)</x:f>
        <x:v>0</x:v>
      </x:c>
    </x:row>
    <x:row r="1075">
      <x:c r="JA1075" t="n">
        <x:f>IF(OR(IFERROR(INDIRECT("'WCM Calibration Final'!$A$1075")&lt;&gt;"",FALSE),IFERROR(INDIRECT("'WCM Calibration Final'!$B$1075")&lt;&gt;"",FALSE),IFERROR(INDIRECT("'WCM Calibration Final'!$C$1075")&lt;&gt;"",FALSE)),1075,0)</x:f>
        <x:v>0</x:v>
      </x:c>
      <x:c r="JB1075" t="n">
        <x:f>'Calculations'!JB1074+IF('Calculations'!JA1075&gt;0,1,0)</x:f>
        <x:v>0</x:v>
      </x:c>
    </x:row>
    <x:row r="1076">
      <x:c r="JA1076" t="n">
        <x:f>IF(OR(IFERROR(INDIRECT("'WCM Calibration Final'!$A$1076")&lt;&gt;"",FALSE),IFERROR(INDIRECT("'WCM Calibration Final'!$B$1076")&lt;&gt;"",FALSE),IFERROR(INDIRECT("'WCM Calibration Final'!$C$1076")&lt;&gt;"",FALSE)),1076,0)</x:f>
        <x:v>0</x:v>
      </x:c>
      <x:c r="JB1076" t="n">
        <x:f>'Calculations'!JB1075+IF('Calculations'!JA1076&gt;0,1,0)</x:f>
        <x:v>0</x:v>
      </x:c>
    </x:row>
    <x:row r="1077">
      <x:c r="JA1077" t="n">
        <x:f>IF(OR(IFERROR(INDIRECT("'WCM Calibration Final'!$A$1077")&lt;&gt;"",FALSE),IFERROR(INDIRECT("'WCM Calibration Final'!$B$1077")&lt;&gt;"",FALSE),IFERROR(INDIRECT("'WCM Calibration Final'!$C$1077")&lt;&gt;"",FALSE)),1077,0)</x:f>
        <x:v>0</x:v>
      </x:c>
      <x:c r="JB1077" t="n">
        <x:f>'Calculations'!JB1076+IF('Calculations'!JA1077&gt;0,1,0)</x:f>
        <x:v>0</x:v>
      </x:c>
    </x:row>
    <x:row r="1078">
      <x:c r="JA1078" t="n">
        <x:f>IF(OR(IFERROR(INDIRECT("'WCM Calibration Final'!$A$1078")&lt;&gt;"",FALSE),IFERROR(INDIRECT("'WCM Calibration Final'!$B$1078")&lt;&gt;"",FALSE),IFERROR(INDIRECT("'WCM Calibration Final'!$C$1078")&lt;&gt;"",FALSE)),1078,0)</x:f>
        <x:v>0</x:v>
      </x:c>
      <x:c r="JB1078" t="n">
        <x:f>'Calculations'!JB1077+IF('Calculations'!JA1078&gt;0,1,0)</x:f>
        <x:v>0</x:v>
      </x:c>
    </x:row>
    <x:row r="1079">
      <x:c r="JA1079" t="n">
        <x:f>IF(OR(IFERROR(INDIRECT("'WCM Calibration Final'!$A$1079")&lt;&gt;"",FALSE),IFERROR(INDIRECT("'WCM Calibration Final'!$B$1079")&lt;&gt;"",FALSE),IFERROR(INDIRECT("'WCM Calibration Final'!$C$1079")&lt;&gt;"",FALSE)),1079,0)</x:f>
        <x:v>0</x:v>
      </x:c>
      <x:c r="JB1079" t="n">
        <x:f>'Calculations'!JB1078+IF('Calculations'!JA1079&gt;0,1,0)</x:f>
        <x:v>0</x:v>
      </x:c>
    </x:row>
    <x:row r="1080">
      <x:c r="JA1080" t="n">
        <x:f>IF(OR(IFERROR(INDIRECT("'WCM Calibration Final'!$A$1080")&lt;&gt;"",FALSE),IFERROR(INDIRECT("'WCM Calibration Final'!$B$1080")&lt;&gt;"",FALSE),IFERROR(INDIRECT("'WCM Calibration Final'!$C$1080")&lt;&gt;"",FALSE)),1080,0)</x:f>
        <x:v>0</x:v>
      </x:c>
      <x:c r="JB1080" t="n">
        <x:f>'Calculations'!JB1079+IF('Calculations'!JA1080&gt;0,1,0)</x:f>
        <x:v>0</x:v>
      </x:c>
    </x:row>
    <x:row r="1081">
      <x:c r="JA1081" t="n">
        <x:f>IF(OR(IFERROR(INDIRECT("'WCM Calibration Final'!$A$1081")&lt;&gt;"",FALSE),IFERROR(INDIRECT("'WCM Calibration Final'!$B$1081")&lt;&gt;"",FALSE),IFERROR(INDIRECT("'WCM Calibration Final'!$C$1081")&lt;&gt;"",FALSE)),1081,0)</x:f>
        <x:v>0</x:v>
      </x:c>
      <x:c r="JB1081" t="n">
        <x:f>'Calculations'!JB1080+IF('Calculations'!JA1081&gt;0,1,0)</x:f>
        <x:v>0</x:v>
      </x:c>
    </x:row>
    <x:row r="1082">
      <x:c r="JA1082" t="n">
        <x:f>IF(OR(IFERROR(INDIRECT("'WCM Calibration Final'!$A$1082")&lt;&gt;"",FALSE),IFERROR(INDIRECT("'WCM Calibration Final'!$B$1082")&lt;&gt;"",FALSE),IFERROR(INDIRECT("'WCM Calibration Final'!$C$1082")&lt;&gt;"",FALSE)),1082,0)</x:f>
        <x:v>0</x:v>
      </x:c>
      <x:c r="JB1082" t="n">
        <x:f>'Calculations'!JB1081+IF('Calculations'!JA1082&gt;0,1,0)</x:f>
        <x:v>0</x:v>
      </x:c>
    </x:row>
    <x:row r="1083">
      <x:c r="JA1083" t="n">
        <x:f>IF(OR(IFERROR(INDIRECT("'WCM Calibration Final'!$A$1083")&lt;&gt;"",FALSE),IFERROR(INDIRECT("'WCM Calibration Final'!$B$1083")&lt;&gt;"",FALSE),IFERROR(INDIRECT("'WCM Calibration Final'!$C$1083")&lt;&gt;"",FALSE)),1083,0)</x:f>
        <x:v>0</x:v>
      </x:c>
      <x:c r="JB1083" t="n">
        <x:f>'Calculations'!JB1082+IF('Calculations'!JA1083&gt;0,1,0)</x:f>
        <x:v>0</x:v>
      </x:c>
    </x:row>
    <x:row r="1084">
      <x:c r="JA1084" t="n">
        <x:f>IF(OR(IFERROR(INDIRECT("'WCM Calibration Final'!$A$1084")&lt;&gt;"",FALSE),IFERROR(INDIRECT("'WCM Calibration Final'!$B$1084")&lt;&gt;"",FALSE),IFERROR(INDIRECT("'WCM Calibration Final'!$C$1084")&lt;&gt;"",FALSE)),1084,0)</x:f>
        <x:v>0</x:v>
      </x:c>
      <x:c r="JB1084" t="n">
        <x:f>'Calculations'!JB1083+IF('Calculations'!JA1084&gt;0,1,0)</x:f>
        <x:v>0</x:v>
      </x:c>
    </x:row>
    <x:row r="1085">
      <x:c r="JA1085" t="n">
        <x:f>IF(OR(IFERROR(INDIRECT("'WCM Calibration Final'!$A$1085")&lt;&gt;"",FALSE),IFERROR(INDIRECT("'WCM Calibration Final'!$B$1085")&lt;&gt;"",FALSE),IFERROR(INDIRECT("'WCM Calibration Final'!$C$1085")&lt;&gt;"",FALSE)),1085,0)</x:f>
        <x:v>0</x:v>
      </x:c>
      <x:c r="JB1085" t="n">
        <x:f>'Calculations'!JB1084+IF('Calculations'!JA1085&gt;0,1,0)</x:f>
        <x:v>0</x:v>
      </x:c>
    </x:row>
    <x:row r="1086">
      <x:c r="JA1086" t="n">
        <x:f>IF(OR(IFERROR(INDIRECT("'WCM Calibration Final'!$A$1086")&lt;&gt;"",FALSE),IFERROR(INDIRECT("'WCM Calibration Final'!$B$1086")&lt;&gt;"",FALSE),IFERROR(INDIRECT("'WCM Calibration Final'!$C$1086")&lt;&gt;"",FALSE)),1086,0)</x:f>
        <x:v>0</x:v>
      </x:c>
      <x:c r="JB1086" t="n">
        <x:f>'Calculations'!JB1085+IF('Calculations'!JA1086&gt;0,1,0)</x:f>
        <x:v>0</x:v>
      </x:c>
    </x:row>
    <x:row r="1087">
      <x:c r="JA1087" t="n">
        <x:f>IF(OR(IFERROR(INDIRECT("'WCM Calibration Final'!$A$1087")&lt;&gt;"",FALSE),IFERROR(INDIRECT("'WCM Calibration Final'!$B$1087")&lt;&gt;"",FALSE),IFERROR(INDIRECT("'WCM Calibration Final'!$C$1087")&lt;&gt;"",FALSE)),1087,0)</x:f>
        <x:v>0</x:v>
      </x:c>
      <x:c r="JB1087" t="n">
        <x:f>'Calculations'!JB1086+IF('Calculations'!JA1087&gt;0,1,0)</x:f>
        <x:v>0</x:v>
      </x:c>
    </x:row>
    <x:row r="1088">
      <x:c r="JA1088" t="n">
        <x:f>IF(OR(IFERROR(INDIRECT("'WCM Calibration Final'!$A$1088")&lt;&gt;"",FALSE),IFERROR(INDIRECT("'WCM Calibration Final'!$B$1088")&lt;&gt;"",FALSE),IFERROR(INDIRECT("'WCM Calibration Final'!$C$1088")&lt;&gt;"",FALSE)),1088,0)</x:f>
        <x:v>0</x:v>
      </x:c>
      <x:c r="JB1088" t="n">
        <x:f>'Calculations'!JB1087+IF('Calculations'!JA1088&gt;0,1,0)</x:f>
        <x:v>0</x:v>
      </x:c>
    </x:row>
    <x:row r="1089">
      <x:c r="JA1089" t="n">
        <x:f>IF(OR(IFERROR(INDIRECT("'WCM Calibration Final'!$A$1089")&lt;&gt;"",FALSE),IFERROR(INDIRECT("'WCM Calibration Final'!$B$1089")&lt;&gt;"",FALSE),IFERROR(INDIRECT("'WCM Calibration Final'!$C$1089")&lt;&gt;"",FALSE)),1089,0)</x:f>
        <x:v>0</x:v>
      </x:c>
      <x:c r="JB1089" t="n">
        <x:f>'Calculations'!JB1088+IF('Calculations'!JA1089&gt;0,1,0)</x:f>
        <x:v>0</x:v>
      </x:c>
    </x:row>
    <x:row r="1090">
      <x:c r="JA1090" t="n">
        <x:f>IF(OR(IFERROR(INDIRECT("'WCM Calibration Final'!$A$1090")&lt;&gt;"",FALSE),IFERROR(INDIRECT("'WCM Calibration Final'!$B$1090")&lt;&gt;"",FALSE),IFERROR(INDIRECT("'WCM Calibration Final'!$C$1090")&lt;&gt;"",FALSE)),1090,0)</x:f>
        <x:v>0</x:v>
      </x:c>
      <x:c r="JB1090" t="n">
        <x:f>'Calculations'!JB1089+IF('Calculations'!JA1090&gt;0,1,0)</x:f>
        <x:v>0</x:v>
      </x:c>
    </x:row>
    <x:row r="1091">
      <x:c r="JA1091" t="n">
        <x:f>IF(OR(IFERROR(INDIRECT("'WCM Calibration Final'!$A$1091")&lt;&gt;"",FALSE),IFERROR(INDIRECT("'WCM Calibration Final'!$B$1091")&lt;&gt;"",FALSE),IFERROR(INDIRECT("'WCM Calibration Final'!$C$1091")&lt;&gt;"",FALSE)),1091,0)</x:f>
        <x:v>0</x:v>
      </x:c>
      <x:c r="JB1091" t="n">
        <x:f>'Calculations'!JB1090+IF('Calculations'!JA1091&gt;0,1,0)</x:f>
        <x:v>0</x:v>
      </x:c>
    </x:row>
    <x:row r="1092">
      <x:c r="JA1092" t="n">
        <x:f>IF(OR(IFERROR(INDIRECT("'WCM Calibration Final'!$A$1092")&lt;&gt;"",FALSE),IFERROR(INDIRECT("'WCM Calibration Final'!$B$1092")&lt;&gt;"",FALSE),IFERROR(INDIRECT("'WCM Calibration Final'!$C$1092")&lt;&gt;"",FALSE)),1092,0)</x:f>
        <x:v>0</x:v>
      </x:c>
      <x:c r="JB1092" t="n">
        <x:f>'Calculations'!JB1091+IF('Calculations'!JA1092&gt;0,1,0)</x:f>
        <x:v>0</x:v>
      </x:c>
    </x:row>
    <x:row r="1093">
      <x:c r="JA1093" t="n">
        <x:f>IF(OR(IFERROR(INDIRECT("'WCM Calibration Final'!$A$1093")&lt;&gt;"",FALSE),IFERROR(INDIRECT("'WCM Calibration Final'!$B$1093")&lt;&gt;"",FALSE),IFERROR(INDIRECT("'WCM Calibration Final'!$C$1093")&lt;&gt;"",FALSE)),1093,0)</x:f>
        <x:v>0</x:v>
      </x:c>
      <x:c r="JB1093" t="n">
        <x:f>'Calculations'!JB1092+IF('Calculations'!JA1093&gt;0,1,0)</x:f>
        <x:v>0</x:v>
      </x:c>
    </x:row>
    <x:row r="1094">
      <x:c r="JA1094" t="n">
        <x:f>IF(OR(IFERROR(INDIRECT("'WCM Calibration Final'!$A$1094")&lt;&gt;"",FALSE),IFERROR(INDIRECT("'WCM Calibration Final'!$B$1094")&lt;&gt;"",FALSE),IFERROR(INDIRECT("'WCM Calibration Final'!$C$1094")&lt;&gt;"",FALSE)),1094,0)</x:f>
        <x:v>0</x:v>
      </x:c>
      <x:c r="JB1094" t="n">
        <x:f>'Calculations'!JB1093+IF('Calculations'!JA1094&gt;0,1,0)</x:f>
        <x:v>0</x:v>
      </x:c>
    </x:row>
    <x:row r="1095">
      <x:c r="JA1095" t="n">
        <x:f>IF(OR(IFERROR(INDIRECT("'WCM Calibration Final'!$A$1095")&lt;&gt;"",FALSE),IFERROR(INDIRECT("'WCM Calibration Final'!$B$1095")&lt;&gt;"",FALSE),IFERROR(INDIRECT("'WCM Calibration Final'!$C$1095")&lt;&gt;"",FALSE)),1095,0)</x:f>
        <x:v>0</x:v>
      </x:c>
      <x:c r="JB1095" t="n">
        <x:f>'Calculations'!JB1094+IF('Calculations'!JA1095&gt;0,1,0)</x:f>
        <x:v>0</x:v>
      </x:c>
    </x:row>
    <x:row r="1096">
      <x:c r="JA1096" t="n">
        <x:f>IF(OR(IFERROR(INDIRECT("'WCM Calibration Final'!$A$1096")&lt;&gt;"",FALSE),IFERROR(INDIRECT("'WCM Calibration Final'!$B$1096")&lt;&gt;"",FALSE),IFERROR(INDIRECT("'WCM Calibration Final'!$C$1096")&lt;&gt;"",FALSE)),1096,0)</x:f>
        <x:v>0</x:v>
      </x:c>
      <x:c r="JB1096" t="n">
        <x:f>'Calculations'!JB1095+IF('Calculations'!JA1096&gt;0,1,0)</x:f>
        <x:v>0</x:v>
      </x:c>
    </x:row>
    <x:row r="1097">
      <x:c r="JA1097" t="n">
        <x:f>IF(OR(IFERROR(INDIRECT("'WCM Calibration Final'!$A$1097")&lt;&gt;"",FALSE),IFERROR(INDIRECT("'WCM Calibration Final'!$B$1097")&lt;&gt;"",FALSE),IFERROR(INDIRECT("'WCM Calibration Final'!$C$1097")&lt;&gt;"",FALSE)),1097,0)</x:f>
        <x:v>0</x:v>
      </x:c>
      <x:c r="JB1097" t="n">
        <x:f>'Calculations'!JB1096+IF('Calculations'!JA1097&gt;0,1,0)</x:f>
        <x:v>0</x:v>
      </x:c>
    </x:row>
    <x:row r="1098">
      <x:c r="JA1098" t="n">
        <x:f>IF(OR(IFERROR(INDIRECT("'WCM Calibration Final'!$A$1098")&lt;&gt;"",FALSE),IFERROR(INDIRECT("'WCM Calibration Final'!$B$1098")&lt;&gt;"",FALSE),IFERROR(INDIRECT("'WCM Calibration Final'!$C$1098")&lt;&gt;"",FALSE)),1098,0)</x:f>
        <x:v>0</x:v>
      </x:c>
      <x:c r="JB1098" t="n">
        <x:f>'Calculations'!JB1097+IF('Calculations'!JA1098&gt;0,1,0)</x:f>
        <x:v>0</x:v>
      </x:c>
    </x:row>
    <x:row r="1099">
      <x:c r="JA1099" t="n">
        <x:f>IF(OR(IFERROR(INDIRECT("'WCM Calibration Final'!$A$1099")&lt;&gt;"",FALSE),IFERROR(INDIRECT("'WCM Calibration Final'!$B$1099")&lt;&gt;"",FALSE),IFERROR(INDIRECT("'WCM Calibration Final'!$C$1099")&lt;&gt;"",FALSE)),1099,0)</x:f>
        <x:v>0</x:v>
      </x:c>
      <x:c r="JB1099" t="n">
        <x:f>'Calculations'!JB1098+IF('Calculations'!JA1099&gt;0,1,0)</x:f>
        <x:v>0</x:v>
      </x:c>
    </x:row>
    <x:row r="1100">
      <x:c r="JA1100" t="n">
        <x:f>IF(OR(IFERROR(INDIRECT("'WCM Calibration Final'!$A$1100")&lt;&gt;"",FALSE),IFERROR(INDIRECT("'WCM Calibration Final'!$B$1100")&lt;&gt;"",FALSE),IFERROR(INDIRECT("'WCM Calibration Final'!$C$1100")&lt;&gt;"",FALSE)),1100,0)</x:f>
        <x:v>0</x:v>
      </x:c>
      <x:c r="JB1100" t="n">
        <x:f>'Calculations'!JB1099+IF('Calculations'!JA1100&gt;0,1,0)</x:f>
        <x:v>0</x:v>
      </x:c>
    </x:row>
    <x:row r="1101">
      <x:c r="JA1101" t="n">
        <x:f>IF(OR(IFERROR(INDIRECT("'WCM Calibration Final'!$A$1101")&lt;&gt;"",FALSE),IFERROR(INDIRECT("'WCM Calibration Final'!$B$1101")&lt;&gt;"",FALSE),IFERROR(INDIRECT("'WCM Calibration Final'!$C$1101")&lt;&gt;"",FALSE)),1101,0)</x:f>
        <x:v>0</x:v>
      </x:c>
      <x:c r="JB1101" t="n">
        <x:f>'Calculations'!JB1100+IF('Calculations'!JA1101&gt;0,1,0)</x:f>
        <x:v>0</x:v>
      </x:c>
    </x:row>
    <x:row r="1102">
      <x:c r="JA1102" t="n">
        <x:f>IF(OR(IFERROR(INDIRECT("'WCM Calibration Final'!$A$1102")&lt;&gt;"",FALSE),IFERROR(INDIRECT("'WCM Calibration Final'!$B$1102")&lt;&gt;"",FALSE),IFERROR(INDIRECT("'WCM Calibration Final'!$C$1102")&lt;&gt;"",FALSE)),1102,0)</x:f>
        <x:v>0</x:v>
      </x:c>
      <x:c r="JB1102" t="n">
        <x:f>'Calculations'!JB1101+IF('Calculations'!JA1102&gt;0,1,0)</x:f>
        <x:v>0</x:v>
      </x:c>
    </x:row>
    <x:row r="1103">
      <x:c r="JA1103" t="n">
        <x:f>IF(OR(IFERROR(INDIRECT("'WCM Calibration Final'!$A$1103")&lt;&gt;"",FALSE),IFERROR(INDIRECT("'WCM Calibration Final'!$B$1103")&lt;&gt;"",FALSE),IFERROR(INDIRECT("'WCM Calibration Final'!$C$1103")&lt;&gt;"",FALSE)),1103,0)</x:f>
        <x:v>0</x:v>
      </x:c>
      <x:c r="JB1103" t="n">
        <x:f>'Calculations'!JB1102+IF('Calculations'!JA1103&gt;0,1,0)</x:f>
        <x:v>0</x:v>
      </x:c>
    </x:row>
    <x:row r="1104">
      <x:c r="JA1104" t="n">
        <x:f>IF(OR(IFERROR(INDIRECT("'WCM Calibration Final'!$A$1104")&lt;&gt;"",FALSE),IFERROR(INDIRECT("'WCM Calibration Final'!$B$1104")&lt;&gt;"",FALSE),IFERROR(INDIRECT("'WCM Calibration Final'!$C$1104")&lt;&gt;"",FALSE)),1104,0)</x:f>
        <x:v>0</x:v>
      </x:c>
      <x:c r="JB1104" t="n">
        <x:f>'Calculations'!JB1103+IF('Calculations'!JA1104&gt;0,1,0)</x:f>
        <x:v>0</x:v>
      </x:c>
    </x:row>
    <x:row r="1105">
      <x:c r="JA1105" t="n">
        <x:f>IF(OR(IFERROR(INDIRECT("'WCM Calibration Final'!$A$1105")&lt;&gt;"",FALSE),IFERROR(INDIRECT("'WCM Calibration Final'!$B$1105")&lt;&gt;"",FALSE),IFERROR(INDIRECT("'WCM Calibration Final'!$C$1105")&lt;&gt;"",FALSE)),1105,0)</x:f>
        <x:v>0</x:v>
      </x:c>
      <x:c r="JB1105" t="n">
        <x:f>'Calculations'!JB1104+IF('Calculations'!JA1105&gt;0,1,0)</x:f>
        <x:v>0</x:v>
      </x:c>
    </x:row>
    <x:row r="1106">
      <x:c r="JA1106" t="n">
        <x:f>IF(OR(IFERROR(INDIRECT("'WCM Calibration Final'!$A$1106")&lt;&gt;"",FALSE),IFERROR(INDIRECT("'WCM Calibration Final'!$B$1106")&lt;&gt;"",FALSE),IFERROR(INDIRECT("'WCM Calibration Final'!$C$1106")&lt;&gt;"",FALSE)),1106,0)</x:f>
        <x:v>0</x:v>
      </x:c>
      <x:c r="JB1106" t="n">
        <x:f>'Calculations'!JB1105+IF('Calculations'!JA1106&gt;0,1,0)</x:f>
        <x:v>0</x:v>
      </x:c>
    </x:row>
    <x:row r="1107">
      <x:c r="JA1107" t="n">
        <x:f>IF(OR(IFERROR(INDIRECT("'WCM Calibration Final'!$A$1107")&lt;&gt;"",FALSE),IFERROR(INDIRECT("'WCM Calibration Final'!$B$1107")&lt;&gt;"",FALSE),IFERROR(INDIRECT("'WCM Calibration Final'!$C$1107")&lt;&gt;"",FALSE)),1107,0)</x:f>
        <x:v>0</x:v>
      </x:c>
      <x:c r="JB1107" t="n">
        <x:f>'Calculations'!JB1106+IF('Calculations'!JA1107&gt;0,1,0)</x:f>
        <x:v>0</x:v>
      </x:c>
    </x:row>
    <x:row r="1108">
      <x:c r="JA1108" t="n">
        <x:f>IF(OR(IFERROR(INDIRECT("'WCM Calibration Final'!$A$1108")&lt;&gt;"",FALSE),IFERROR(INDIRECT("'WCM Calibration Final'!$B$1108")&lt;&gt;"",FALSE),IFERROR(INDIRECT("'WCM Calibration Final'!$C$1108")&lt;&gt;"",FALSE)),1108,0)</x:f>
        <x:v>0</x:v>
      </x:c>
      <x:c r="JB1108" t="n">
        <x:f>'Calculations'!JB1107+IF('Calculations'!JA1108&gt;0,1,0)</x:f>
        <x:v>0</x:v>
      </x:c>
    </x:row>
    <x:row r="1109">
      <x:c r="JA1109" t="n">
        <x:f>IF(OR(IFERROR(INDIRECT("'WCM Calibration Final'!$A$1109")&lt;&gt;"",FALSE),IFERROR(INDIRECT("'WCM Calibration Final'!$B$1109")&lt;&gt;"",FALSE),IFERROR(INDIRECT("'WCM Calibration Final'!$C$1109")&lt;&gt;"",FALSE)),1109,0)</x:f>
        <x:v>0</x:v>
      </x:c>
      <x:c r="JB1109" t="n">
        <x:f>'Calculations'!JB1108+IF('Calculations'!JA1109&gt;0,1,0)</x:f>
        <x:v>0</x:v>
      </x:c>
    </x:row>
    <x:row r="1110">
      <x:c r="JA1110" t="n">
        <x:f>IF(OR(IFERROR(INDIRECT("'WCM Calibration Final'!$A$1110")&lt;&gt;"",FALSE),IFERROR(INDIRECT("'WCM Calibration Final'!$B$1110")&lt;&gt;"",FALSE),IFERROR(INDIRECT("'WCM Calibration Final'!$C$1110")&lt;&gt;"",FALSE)),1110,0)</x:f>
        <x:v>0</x:v>
      </x:c>
      <x:c r="JB1110" t="n">
        <x:f>'Calculations'!JB1109+IF('Calculations'!JA1110&gt;0,1,0)</x:f>
        <x:v>0</x:v>
      </x:c>
    </x:row>
    <x:row r="1111">
      <x:c r="JA1111" t="n">
        <x:f>IF(OR(IFERROR(INDIRECT("'WCM Calibration Final'!$A$1111")&lt;&gt;"",FALSE),IFERROR(INDIRECT("'WCM Calibration Final'!$B$1111")&lt;&gt;"",FALSE),IFERROR(INDIRECT("'WCM Calibration Final'!$C$1111")&lt;&gt;"",FALSE)),1111,0)</x:f>
        <x:v>0</x:v>
      </x:c>
      <x:c r="JB1111" t="n">
        <x:f>'Calculations'!JB1110+IF('Calculations'!JA1111&gt;0,1,0)</x:f>
        <x:v>0</x:v>
      </x:c>
    </x:row>
    <x:row r="1112">
      <x:c r="JA1112" t="n">
        <x:f>IF(OR(IFERROR(INDIRECT("'WCM Calibration Final'!$A$1112")&lt;&gt;"",FALSE),IFERROR(INDIRECT("'WCM Calibration Final'!$B$1112")&lt;&gt;"",FALSE),IFERROR(INDIRECT("'WCM Calibration Final'!$C$1112")&lt;&gt;"",FALSE)),1112,0)</x:f>
        <x:v>0</x:v>
      </x:c>
      <x:c r="JB1112" t="n">
        <x:f>'Calculations'!JB1111+IF('Calculations'!JA1112&gt;0,1,0)</x:f>
        <x:v>0</x:v>
      </x:c>
    </x:row>
    <x:row r="1113">
      <x:c r="JA1113" t="n">
        <x:f>IF(OR(IFERROR(INDIRECT("'WCM Calibration Final'!$A$1113")&lt;&gt;"",FALSE),IFERROR(INDIRECT("'WCM Calibration Final'!$B$1113")&lt;&gt;"",FALSE),IFERROR(INDIRECT("'WCM Calibration Final'!$C$1113")&lt;&gt;"",FALSE)),1113,0)</x:f>
        <x:v>0</x:v>
      </x:c>
      <x:c r="JB1113" t="n">
        <x:f>'Calculations'!JB1112+IF('Calculations'!JA1113&gt;0,1,0)</x:f>
        <x:v>0</x:v>
      </x:c>
    </x:row>
    <x:row r="1114">
      <x:c r="JA1114" t="n">
        <x:f>IF(OR(IFERROR(INDIRECT("'WCM Calibration Final'!$A$1114")&lt;&gt;"",FALSE),IFERROR(INDIRECT("'WCM Calibration Final'!$B$1114")&lt;&gt;"",FALSE),IFERROR(INDIRECT("'WCM Calibration Final'!$C$1114")&lt;&gt;"",FALSE)),1114,0)</x:f>
        <x:v>0</x:v>
      </x:c>
      <x:c r="JB1114" t="n">
        <x:f>'Calculations'!JB1113+IF('Calculations'!JA1114&gt;0,1,0)</x:f>
        <x:v>0</x:v>
      </x:c>
    </x:row>
    <x:row r="1115">
      <x:c r="JA1115" t="n">
        <x:f>IF(OR(IFERROR(INDIRECT("'WCM Calibration Final'!$A$1115")&lt;&gt;"",FALSE),IFERROR(INDIRECT("'WCM Calibration Final'!$B$1115")&lt;&gt;"",FALSE),IFERROR(INDIRECT("'WCM Calibration Final'!$C$1115")&lt;&gt;"",FALSE)),1115,0)</x:f>
        <x:v>0</x:v>
      </x:c>
      <x:c r="JB1115" t="n">
        <x:f>'Calculations'!JB1114+IF('Calculations'!JA1115&gt;0,1,0)</x:f>
        <x:v>0</x:v>
      </x:c>
    </x:row>
    <x:row r="1116">
      <x:c r="JA1116" t="n">
        <x:f>IF(OR(IFERROR(INDIRECT("'WCM Calibration Final'!$A$1116")&lt;&gt;"",FALSE),IFERROR(INDIRECT("'WCM Calibration Final'!$B$1116")&lt;&gt;"",FALSE),IFERROR(INDIRECT("'WCM Calibration Final'!$C$1116")&lt;&gt;"",FALSE)),1116,0)</x:f>
        <x:v>0</x:v>
      </x:c>
      <x:c r="JB1116" t="n">
        <x:f>'Calculations'!JB1115+IF('Calculations'!JA1116&gt;0,1,0)</x:f>
        <x:v>0</x:v>
      </x:c>
    </x:row>
    <x:row r="1117">
      <x:c r="JA1117" t="n">
        <x:f>IF(OR(IFERROR(INDIRECT("'WCM Calibration Final'!$A$1117")&lt;&gt;"",FALSE),IFERROR(INDIRECT("'WCM Calibration Final'!$B$1117")&lt;&gt;"",FALSE),IFERROR(INDIRECT("'WCM Calibration Final'!$C$1117")&lt;&gt;"",FALSE)),1117,0)</x:f>
        <x:v>0</x:v>
      </x:c>
      <x:c r="JB1117" t="n">
        <x:f>'Calculations'!JB1116+IF('Calculations'!JA1117&gt;0,1,0)</x:f>
        <x:v>0</x:v>
      </x:c>
    </x:row>
    <x:row r="1118">
      <x:c r="JA1118" t="n">
        <x:f>IF(OR(IFERROR(INDIRECT("'WCM Calibration Final'!$A$1118")&lt;&gt;"",FALSE),IFERROR(INDIRECT("'WCM Calibration Final'!$B$1118")&lt;&gt;"",FALSE),IFERROR(INDIRECT("'WCM Calibration Final'!$C$1118")&lt;&gt;"",FALSE)),1118,0)</x:f>
        <x:v>0</x:v>
      </x:c>
      <x:c r="JB1118" t="n">
        <x:f>'Calculations'!JB1117+IF('Calculations'!JA1118&gt;0,1,0)</x:f>
        <x:v>0</x:v>
      </x:c>
    </x:row>
    <x:row r="1119">
      <x:c r="JA1119" t="n">
        <x:f>IF(OR(IFERROR(INDIRECT("'WCM Calibration Final'!$A$1119")&lt;&gt;"",FALSE),IFERROR(INDIRECT("'WCM Calibration Final'!$B$1119")&lt;&gt;"",FALSE),IFERROR(INDIRECT("'WCM Calibration Final'!$C$1119")&lt;&gt;"",FALSE)),1119,0)</x:f>
        <x:v>0</x:v>
      </x:c>
      <x:c r="JB1119" t="n">
        <x:f>'Calculations'!JB1118+IF('Calculations'!JA1119&gt;0,1,0)</x:f>
        <x:v>0</x:v>
      </x:c>
    </x:row>
    <x:row r="1120">
      <x:c r="JA1120" t="n">
        <x:f>IF(OR(IFERROR(INDIRECT("'WCM Calibration Final'!$A$1120")&lt;&gt;"",FALSE),IFERROR(INDIRECT("'WCM Calibration Final'!$B$1120")&lt;&gt;"",FALSE),IFERROR(INDIRECT("'WCM Calibration Final'!$C$1120")&lt;&gt;"",FALSE)),1120,0)</x:f>
        <x:v>0</x:v>
      </x:c>
      <x:c r="JB1120" t="n">
        <x:f>'Calculations'!JB1119+IF('Calculations'!JA1120&gt;0,1,0)</x:f>
        <x:v>0</x:v>
      </x:c>
    </x:row>
    <x:row r="1121">
      <x:c r="JA1121" t="n">
        <x:f>IF(OR(IFERROR(INDIRECT("'WCM Calibration Final'!$A$1121")&lt;&gt;"",FALSE),IFERROR(INDIRECT("'WCM Calibration Final'!$B$1121")&lt;&gt;"",FALSE),IFERROR(INDIRECT("'WCM Calibration Final'!$C$1121")&lt;&gt;"",FALSE)),1121,0)</x:f>
        <x:v>0</x:v>
      </x:c>
      <x:c r="JB1121" t="n">
        <x:f>'Calculations'!JB1120+IF('Calculations'!JA1121&gt;0,1,0)</x:f>
        <x:v>0</x:v>
      </x:c>
    </x:row>
    <x:row r="1122">
      <x:c r="JA1122" t="n">
        <x:f>IF(OR(IFERROR(INDIRECT("'WCM Calibration Final'!$A$1122")&lt;&gt;"",FALSE),IFERROR(INDIRECT("'WCM Calibration Final'!$B$1122")&lt;&gt;"",FALSE),IFERROR(INDIRECT("'WCM Calibration Final'!$C$1122")&lt;&gt;"",FALSE)),1122,0)</x:f>
        <x:v>0</x:v>
      </x:c>
      <x:c r="JB1122" t="n">
        <x:f>'Calculations'!JB1121+IF('Calculations'!JA1122&gt;0,1,0)</x:f>
        <x:v>0</x:v>
      </x:c>
    </x:row>
    <x:row r="1123">
      <x:c r="JA1123" t="n">
        <x:f>IF(OR(IFERROR(INDIRECT("'WCM Calibration Final'!$A$1123")&lt;&gt;"",FALSE),IFERROR(INDIRECT("'WCM Calibration Final'!$B$1123")&lt;&gt;"",FALSE),IFERROR(INDIRECT("'WCM Calibration Final'!$C$1123")&lt;&gt;"",FALSE)),1123,0)</x:f>
        <x:v>0</x:v>
      </x:c>
      <x:c r="JB1123" t="n">
        <x:f>'Calculations'!JB1122+IF('Calculations'!JA1123&gt;0,1,0)</x:f>
        <x:v>0</x:v>
      </x:c>
    </x:row>
    <x:row r="1124">
      <x:c r="JA1124" t="n">
        <x:f>IF(OR(IFERROR(INDIRECT("'WCM Calibration Final'!$A$1124")&lt;&gt;"",FALSE),IFERROR(INDIRECT("'WCM Calibration Final'!$B$1124")&lt;&gt;"",FALSE),IFERROR(INDIRECT("'WCM Calibration Final'!$C$1124")&lt;&gt;"",FALSE)),1124,0)</x:f>
        <x:v>0</x:v>
      </x:c>
      <x:c r="JB1124" t="n">
        <x:f>'Calculations'!JB1123+IF('Calculations'!JA1124&gt;0,1,0)</x:f>
        <x:v>0</x:v>
      </x:c>
    </x:row>
    <x:row r="1125">
      <x:c r="JA1125" t="n">
        <x:f>IF(OR(IFERROR(INDIRECT("'WCM Calibration Final'!$A$1125")&lt;&gt;"",FALSE),IFERROR(INDIRECT("'WCM Calibration Final'!$B$1125")&lt;&gt;"",FALSE),IFERROR(INDIRECT("'WCM Calibration Final'!$C$1125")&lt;&gt;"",FALSE)),1125,0)</x:f>
        <x:v>0</x:v>
      </x:c>
      <x:c r="JB1125" t="n">
        <x:f>'Calculations'!JB1124+IF('Calculations'!JA1125&gt;0,1,0)</x:f>
        <x:v>0</x:v>
      </x:c>
    </x:row>
    <x:row r="1126">
      <x:c r="JA1126" t="n">
        <x:f>IF(OR(IFERROR(INDIRECT("'WCM Calibration Final'!$A$1126")&lt;&gt;"",FALSE),IFERROR(INDIRECT("'WCM Calibration Final'!$B$1126")&lt;&gt;"",FALSE),IFERROR(INDIRECT("'WCM Calibration Final'!$C$1126")&lt;&gt;"",FALSE)),1126,0)</x:f>
        <x:v>0</x:v>
      </x:c>
      <x:c r="JB1126" t="n">
        <x:f>'Calculations'!JB1125+IF('Calculations'!JA1126&gt;0,1,0)</x:f>
        <x:v>0</x:v>
      </x:c>
    </x:row>
    <x:row r="1127">
      <x:c r="JA1127" t="n">
        <x:f>IF(OR(IFERROR(INDIRECT("'WCM Calibration Final'!$A$1127")&lt;&gt;"",FALSE),IFERROR(INDIRECT("'WCM Calibration Final'!$B$1127")&lt;&gt;"",FALSE),IFERROR(INDIRECT("'WCM Calibration Final'!$C$1127")&lt;&gt;"",FALSE)),1127,0)</x:f>
        <x:v>0</x:v>
      </x:c>
      <x:c r="JB1127" t="n">
        <x:f>'Calculations'!JB1126+IF('Calculations'!JA1127&gt;0,1,0)</x:f>
        <x:v>0</x:v>
      </x:c>
    </x:row>
    <x:row r="1128">
      <x:c r="JA1128" t="n">
        <x:f>IF(OR(IFERROR(INDIRECT("'WCM Calibration Final'!$A$1128")&lt;&gt;"",FALSE),IFERROR(INDIRECT("'WCM Calibration Final'!$B$1128")&lt;&gt;"",FALSE),IFERROR(INDIRECT("'WCM Calibration Final'!$C$1128")&lt;&gt;"",FALSE)),1128,0)</x:f>
        <x:v>0</x:v>
      </x:c>
      <x:c r="JB1128" t="n">
        <x:f>'Calculations'!JB1127+IF('Calculations'!JA1128&gt;0,1,0)</x:f>
        <x:v>0</x:v>
      </x:c>
    </x:row>
    <x:row r="1129">
      <x:c r="JA1129" t="n">
        <x:f>IF(OR(IFERROR(INDIRECT("'WCM Calibration Final'!$A$1129")&lt;&gt;"",FALSE),IFERROR(INDIRECT("'WCM Calibration Final'!$B$1129")&lt;&gt;"",FALSE),IFERROR(INDIRECT("'WCM Calibration Final'!$C$1129")&lt;&gt;"",FALSE)),1129,0)</x:f>
        <x:v>0</x:v>
      </x:c>
      <x:c r="JB1129" t="n">
        <x:f>'Calculations'!JB1128+IF('Calculations'!JA1129&gt;0,1,0)</x:f>
        <x:v>0</x:v>
      </x:c>
    </x:row>
    <x:row r="1130">
      <x:c r="JA1130" t="n">
        <x:f>IF(OR(IFERROR(INDIRECT("'WCM Calibration Final'!$A$1130")&lt;&gt;"",FALSE),IFERROR(INDIRECT("'WCM Calibration Final'!$B$1130")&lt;&gt;"",FALSE),IFERROR(INDIRECT("'WCM Calibration Final'!$C$1130")&lt;&gt;"",FALSE)),1130,0)</x:f>
        <x:v>0</x:v>
      </x:c>
      <x:c r="JB1130" t="n">
        <x:f>'Calculations'!JB1129+IF('Calculations'!JA1130&gt;0,1,0)</x:f>
        <x:v>0</x:v>
      </x:c>
    </x:row>
    <x:row r="1131">
      <x:c r="JA1131" t="n">
        <x:f>IF(OR(IFERROR(INDIRECT("'WCM Calibration Final'!$A$1131")&lt;&gt;"",FALSE),IFERROR(INDIRECT("'WCM Calibration Final'!$B$1131")&lt;&gt;"",FALSE),IFERROR(INDIRECT("'WCM Calibration Final'!$C$1131")&lt;&gt;"",FALSE)),1131,0)</x:f>
        <x:v>0</x:v>
      </x:c>
      <x:c r="JB1131" t="n">
        <x:f>'Calculations'!JB1130+IF('Calculations'!JA1131&gt;0,1,0)</x:f>
        <x:v>0</x:v>
      </x:c>
    </x:row>
    <x:row r="1132">
      <x:c r="JA1132" t="n">
        <x:f>IF(OR(IFERROR(INDIRECT("'WCM Calibration Final'!$A$1132")&lt;&gt;"",FALSE),IFERROR(INDIRECT("'WCM Calibration Final'!$B$1132")&lt;&gt;"",FALSE),IFERROR(INDIRECT("'WCM Calibration Final'!$C$1132")&lt;&gt;"",FALSE)),1132,0)</x:f>
        <x:v>0</x:v>
      </x:c>
      <x:c r="JB1132" t="n">
        <x:f>'Calculations'!JB1131+IF('Calculations'!JA1132&gt;0,1,0)</x:f>
        <x:v>0</x:v>
      </x:c>
    </x:row>
    <x:row r="1133">
      <x:c r="JA1133" t="n">
        <x:f>IF(OR(IFERROR(INDIRECT("'WCM Calibration Final'!$A$1133")&lt;&gt;"",FALSE),IFERROR(INDIRECT("'WCM Calibration Final'!$B$1133")&lt;&gt;"",FALSE),IFERROR(INDIRECT("'WCM Calibration Final'!$C$1133")&lt;&gt;"",FALSE)),1133,0)</x:f>
        <x:v>0</x:v>
      </x:c>
      <x:c r="JB1133" t="n">
        <x:f>'Calculations'!JB1132+IF('Calculations'!JA1133&gt;0,1,0)</x:f>
        <x:v>0</x:v>
      </x:c>
    </x:row>
    <x:row r="1134">
      <x:c r="JA1134" t="n">
        <x:f>IF(OR(IFERROR(INDIRECT("'WCM Calibration Final'!$A$1134")&lt;&gt;"",FALSE),IFERROR(INDIRECT("'WCM Calibration Final'!$B$1134")&lt;&gt;"",FALSE),IFERROR(INDIRECT("'WCM Calibration Final'!$C$1134")&lt;&gt;"",FALSE)),1134,0)</x:f>
        <x:v>0</x:v>
      </x:c>
      <x:c r="JB1134" t="n">
        <x:f>'Calculations'!JB1133+IF('Calculations'!JA1134&gt;0,1,0)</x:f>
        <x:v>0</x:v>
      </x:c>
    </x:row>
    <x:row r="1135">
      <x:c r="JA1135" t="n">
        <x:f>IF(OR(IFERROR(INDIRECT("'WCM Calibration Final'!$A$1135")&lt;&gt;"",FALSE),IFERROR(INDIRECT("'WCM Calibration Final'!$B$1135")&lt;&gt;"",FALSE),IFERROR(INDIRECT("'WCM Calibration Final'!$C$1135")&lt;&gt;"",FALSE)),1135,0)</x:f>
        <x:v>0</x:v>
      </x:c>
      <x:c r="JB1135" t="n">
        <x:f>'Calculations'!JB1134+IF('Calculations'!JA1135&gt;0,1,0)</x:f>
        <x:v>0</x:v>
      </x:c>
    </x:row>
    <x:row r="1136">
      <x:c r="JA1136" t="n">
        <x:f>IF(OR(IFERROR(INDIRECT("'WCM Calibration Final'!$A$1136")&lt;&gt;"",FALSE),IFERROR(INDIRECT("'WCM Calibration Final'!$B$1136")&lt;&gt;"",FALSE),IFERROR(INDIRECT("'WCM Calibration Final'!$C$1136")&lt;&gt;"",FALSE)),1136,0)</x:f>
        <x:v>0</x:v>
      </x:c>
      <x:c r="JB1136" t="n">
        <x:f>'Calculations'!JB1135+IF('Calculations'!JA1136&gt;0,1,0)</x:f>
        <x:v>0</x:v>
      </x:c>
    </x:row>
    <x:row r="1137">
      <x:c r="JA1137" t="n">
        <x:f>IF(OR(IFERROR(INDIRECT("'WCM Calibration Final'!$A$1137")&lt;&gt;"",FALSE),IFERROR(INDIRECT("'WCM Calibration Final'!$B$1137")&lt;&gt;"",FALSE),IFERROR(INDIRECT("'WCM Calibration Final'!$C$1137")&lt;&gt;"",FALSE)),1137,0)</x:f>
        <x:v>0</x:v>
      </x:c>
      <x:c r="JB1137" t="n">
        <x:f>'Calculations'!JB1136+IF('Calculations'!JA1137&gt;0,1,0)</x:f>
        <x:v>0</x:v>
      </x:c>
    </x:row>
    <x:row r="1138">
      <x:c r="JA1138" t="n">
        <x:f>IF(OR(IFERROR(INDIRECT("'WCM Calibration Final'!$A$1138")&lt;&gt;"",FALSE),IFERROR(INDIRECT("'WCM Calibration Final'!$B$1138")&lt;&gt;"",FALSE),IFERROR(INDIRECT("'WCM Calibration Final'!$C$1138")&lt;&gt;"",FALSE)),1138,0)</x:f>
        <x:v>0</x:v>
      </x:c>
      <x:c r="JB1138" t="n">
        <x:f>'Calculations'!JB1137+IF('Calculations'!JA1138&gt;0,1,0)</x:f>
        <x:v>0</x:v>
      </x:c>
    </x:row>
    <x:row r="1139">
      <x:c r="JA1139" t="n">
        <x:f>IF(OR(IFERROR(INDIRECT("'WCM Calibration Final'!$A$1139")&lt;&gt;"",FALSE),IFERROR(INDIRECT("'WCM Calibration Final'!$B$1139")&lt;&gt;"",FALSE),IFERROR(INDIRECT("'WCM Calibration Final'!$C$1139")&lt;&gt;"",FALSE)),1139,0)</x:f>
        <x:v>0</x:v>
      </x:c>
      <x:c r="JB1139" t="n">
        <x:f>'Calculations'!JB1138+IF('Calculations'!JA1139&gt;0,1,0)</x:f>
        <x:v>0</x:v>
      </x:c>
    </x:row>
    <x:row r="1140">
      <x:c r="JA1140" t="n">
        <x:f>IF(OR(IFERROR(INDIRECT("'WCM Calibration Final'!$A$1140")&lt;&gt;"",FALSE),IFERROR(INDIRECT("'WCM Calibration Final'!$B$1140")&lt;&gt;"",FALSE),IFERROR(INDIRECT("'WCM Calibration Final'!$C$1140")&lt;&gt;"",FALSE)),1140,0)</x:f>
        <x:v>0</x:v>
      </x:c>
      <x:c r="JB1140" t="n">
        <x:f>'Calculations'!JB1139+IF('Calculations'!JA1140&gt;0,1,0)</x:f>
        <x:v>0</x:v>
      </x:c>
    </x:row>
    <x:row r="1141">
      <x:c r="JA1141" t="n">
        <x:f>IF(OR(IFERROR(INDIRECT("'WCM Calibration Final'!$A$1141")&lt;&gt;"",FALSE),IFERROR(INDIRECT("'WCM Calibration Final'!$B$1141")&lt;&gt;"",FALSE),IFERROR(INDIRECT("'WCM Calibration Final'!$C$1141")&lt;&gt;"",FALSE)),1141,0)</x:f>
        <x:v>0</x:v>
      </x:c>
      <x:c r="JB1141" t="n">
        <x:f>'Calculations'!JB1140+IF('Calculations'!JA1141&gt;0,1,0)</x:f>
        <x:v>0</x:v>
      </x:c>
    </x:row>
    <x:row r="1142">
      <x:c r="JA1142" t="n">
        <x:f>IF(OR(IFERROR(INDIRECT("'WCM Calibration Final'!$A$1142")&lt;&gt;"",FALSE),IFERROR(INDIRECT("'WCM Calibration Final'!$B$1142")&lt;&gt;"",FALSE),IFERROR(INDIRECT("'WCM Calibration Final'!$C$1142")&lt;&gt;"",FALSE)),1142,0)</x:f>
        <x:v>0</x:v>
      </x:c>
      <x:c r="JB1142" t="n">
        <x:f>'Calculations'!JB1141+IF('Calculations'!JA1142&gt;0,1,0)</x:f>
        <x:v>0</x:v>
      </x:c>
    </x:row>
    <x:row r="1143">
      <x:c r="JA1143" t="n">
        <x:f>IF(OR(IFERROR(INDIRECT("'WCM Calibration Final'!$A$1143")&lt;&gt;"",FALSE),IFERROR(INDIRECT("'WCM Calibration Final'!$B$1143")&lt;&gt;"",FALSE),IFERROR(INDIRECT("'WCM Calibration Final'!$C$1143")&lt;&gt;"",FALSE)),1143,0)</x:f>
        <x:v>0</x:v>
      </x:c>
      <x:c r="JB1143" t="n">
        <x:f>'Calculations'!JB1142+IF('Calculations'!JA1143&gt;0,1,0)</x:f>
        <x:v>0</x:v>
      </x:c>
    </x:row>
    <x:row r="1144">
      <x:c r="JA1144" t="n">
        <x:f>IF(OR(IFERROR(INDIRECT("'WCM Calibration Final'!$A$1144")&lt;&gt;"",FALSE),IFERROR(INDIRECT("'WCM Calibration Final'!$B$1144")&lt;&gt;"",FALSE),IFERROR(INDIRECT("'WCM Calibration Final'!$C$1144")&lt;&gt;"",FALSE)),1144,0)</x:f>
        <x:v>0</x:v>
      </x:c>
      <x:c r="JB1144" t="n">
        <x:f>'Calculations'!JB1143+IF('Calculations'!JA1144&gt;0,1,0)</x:f>
        <x:v>0</x:v>
      </x:c>
    </x:row>
    <x:row r="1145">
      <x:c r="JA1145" t="n">
        <x:f>IF(OR(IFERROR(INDIRECT("'WCM Calibration Final'!$A$1145")&lt;&gt;"",FALSE),IFERROR(INDIRECT("'WCM Calibration Final'!$B$1145")&lt;&gt;"",FALSE),IFERROR(INDIRECT("'WCM Calibration Final'!$C$1145")&lt;&gt;"",FALSE)),1145,0)</x:f>
        <x:v>0</x:v>
      </x:c>
      <x:c r="JB1145" t="n">
        <x:f>'Calculations'!JB1144+IF('Calculations'!JA1145&gt;0,1,0)</x:f>
        <x:v>0</x:v>
      </x:c>
    </x:row>
    <x:row r="1146">
      <x:c r="JA1146" t="n">
        <x:f>IF(OR(IFERROR(INDIRECT("'WCM Calibration Final'!$A$1146")&lt;&gt;"",FALSE),IFERROR(INDIRECT("'WCM Calibration Final'!$B$1146")&lt;&gt;"",FALSE),IFERROR(INDIRECT("'WCM Calibration Final'!$C$1146")&lt;&gt;"",FALSE)),1146,0)</x:f>
        <x:v>0</x:v>
      </x:c>
      <x:c r="JB1146" t="n">
        <x:f>'Calculations'!JB1145+IF('Calculations'!JA1146&gt;0,1,0)</x:f>
        <x:v>0</x:v>
      </x:c>
    </x:row>
    <x:row r="1147">
      <x:c r="JA1147" t="n">
        <x:f>IF(OR(IFERROR(INDIRECT("'WCM Calibration Final'!$A$1147")&lt;&gt;"",FALSE),IFERROR(INDIRECT("'WCM Calibration Final'!$B$1147")&lt;&gt;"",FALSE),IFERROR(INDIRECT("'WCM Calibration Final'!$C$1147")&lt;&gt;"",FALSE)),1147,0)</x:f>
        <x:v>0</x:v>
      </x:c>
      <x:c r="JB1147" t="n">
        <x:f>'Calculations'!JB1146+IF('Calculations'!JA1147&gt;0,1,0)</x:f>
        <x:v>0</x:v>
      </x:c>
    </x:row>
    <x:row r="1148">
      <x:c r="JA1148" t="n">
        <x:f>IF(OR(IFERROR(INDIRECT("'WCM Calibration Final'!$A$1148")&lt;&gt;"",FALSE),IFERROR(INDIRECT("'WCM Calibration Final'!$B$1148")&lt;&gt;"",FALSE),IFERROR(INDIRECT("'WCM Calibration Final'!$C$1148")&lt;&gt;"",FALSE)),1148,0)</x:f>
        <x:v>0</x:v>
      </x:c>
      <x:c r="JB1148" t="n">
        <x:f>'Calculations'!JB1147+IF('Calculations'!JA1148&gt;0,1,0)</x:f>
        <x:v>0</x:v>
      </x:c>
    </x:row>
    <x:row r="1149">
      <x:c r="JA1149" t="n">
        <x:f>IF(OR(IFERROR(INDIRECT("'WCM Calibration Final'!$A$1149")&lt;&gt;"",FALSE),IFERROR(INDIRECT("'WCM Calibration Final'!$B$1149")&lt;&gt;"",FALSE),IFERROR(INDIRECT("'WCM Calibration Final'!$C$1149")&lt;&gt;"",FALSE)),1149,0)</x:f>
        <x:v>0</x:v>
      </x:c>
      <x:c r="JB1149" t="n">
        <x:f>'Calculations'!JB1148+IF('Calculations'!JA1149&gt;0,1,0)</x:f>
        <x:v>0</x:v>
      </x:c>
    </x:row>
    <x:row r="1150">
      <x:c r="JA1150" t="n">
        <x:f>IF(OR(IFERROR(INDIRECT("'WCM Calibration Final'!$A$1150")&lt;&gt;"",FALSE),IFERROR(INDIRECT("'WCM Calibration Final'!$B$1150")&lt;&gt;"",FALSE),IFERROR(INDIRECT("'WCM Calibration Final'!$C$1150")&lt;&gt;"",FALSE)),1150,0)</x:f>
        <x:v>0</x:v>
      </x:c>
      <x:c r="JB1150" t="n">
        <x:f>'Calculations'!JB1149+IF('Calculations'!JA1150&gt;0,1,0)</x:f>
        <x:v>0</x:v>
      </x:c>
    </x:row>
    <x:row r="1151">
      <x:c r="JA1151" t="n">
        <x:f>IF(OR(IFERROR(INDIRECT("'WCM Calibration Final'!$A$1151")&lt;&gt;"",FALSE),IFERROR(INDIRECT("'WCM Calibration Final'!$B$1151")&lt;&gt;"",FALSE),IFERROR(INDIRECT("'WCM Calibration Final'!$C$1151")&lt;&gt;"",FALSE)),1151,0)</x:f>
        <x:v>0</x:v>
      </x:c>
      <x:c r="JB1151" t="n">
        <x:f>'Calculations'!JB1150+IF('Calculations'!JA1151&gt;0,1,0)</x:f>
        <x:v>0</x:v>
      </x:c>
    </x:row>
    <x:row r="1152">
      <x:c r="JA1152" t="n">
        <x:f>IF(OR(IFERROR(INDIRECT("'WCM Calibration Final'!$A$1152")&lt;&gt;"",FALSE),IFERROR(INDIRECT("'WCM Calibration Final'!$B$1152")&lt;&gt;"",FALSE),IFERROR(INDIRECT("'WCM Calibration Final'!$C$1152")&lt;&gt;"",FALSE)),1152,0)</x:f>
        <x:v>0</x:v>
      </x:c>
      <x:c r="JB1152" t="n">
        <x:f>'Calculations'!JB1151+IF('Calculations'!JA1152&gt;0,1,0)</x:f>
        <x:v>0</x:v>
      </x:c>
    </x:row>
    <x:row r="1153">
      <x:c r="JA1153" t="n">
        <x:f>IF(OR(IFERROR(INDIRECT("'WCM Calibration Final'!$A$1153")&lt;&gt;"",FALSE),IFERROR(INDIRECT("'WCM Calibration Final'!$B$1153")&lt;&gt;"",FALSE),IFERROR(INDIRECT("'WCM Calibration Final'!$C$1153")&lt;&gt;"",FALSE)),1153,0)</x:f>
        <x:v>0</x:v>
      </x:c>
      <x:c r="JB1153" t="n">
        <x:f>'Calculations'!JB1152+IF('Calculations'!JA1153&gt;0,1,0)</x:f>
        <x:v>0</x:v>
      </x:c>
    </x:row>
    <x:row r="1154">
      <x:c r="JA1154" t="n">
        <x:f>IF(OR(IFERROR(INDIRECT("'WCM Calibration Final'!$A$1154")&lt;&gt;"",FALSE),IFERROR(INDIRECT("'WCM Calibration Final'!$B$1154")&lt;&gt;"",FALSE),IFERROR(INDIRECT("'WCM Calibration Final'!$C$1154")&lt;&gt;"",FALSE)),1154,0)</x:f>
        <x:v>0</x:v>
      </x:c>
      <x:c r="JB1154" t="n">
        <x:f>'Calculations'!JB1153+IF('Calculations'!JA1154&gt;0,1,0)</x:f>
        <x:v>0</x:v>
      </x:c>
    </x:row>
    <x:row r="1155">
      <x:c r="JA1155" t="n">
        <x:f>IF(OR(IFERROR(INDIRECT("'WCM Calibration Final'!$A$1155")&lt;&gt;"",FALSE),IFERROR(INDIRECT("'WCM Calibration Final'!$B$1155")&lt;&gt;"",FALSE),IFERROR(INDIRECT("'WCM Calibration Final'!$C$1155")&lt;&gt;"",FALSE)),1155,0)</x:f>
        <x:v>0</x:v>
      </x:c>
      <x:c r="JB1155" t="n">
        <x:f>'Calculations'!JB1154+IF('Calculations'!JA1155&gt;0,1,0)</x:f>
        <x:v>0</x:v>
      </x:c>
    </x:row>
    <x:row r="1156">
      <x:c r="JA1156" t="n">
        <x:f>IF(OR(IFERROR(INDIRECT("'WCM Calibration Final'!$A$1156")&lt;&gt;"",FALSE),IFERROR(INDIRECT("'WCM Calibration Final'!$B$1156")&lt;&gt;"",FALSE),IFERROR(INDIRECT("'WCM Calibration Final'!$C$1156")&lt;&gt;"",FALSE)),1156,0)</x:f>
        <x:v>0</x:v>
      </x:c>
      <x:c r="JB1156" t="n">
        <x:f>'Calculations'!JB1155+IF('Calculations'!JA1156&gt;0,1,0)</x:f>
        <x:v>0</x:v>
      </x:c>
    </x:row>
    <x:row r="1157">
      <x:c r="JA1157" t="n">
        <x:f>IF(OR(IFERROR(INDIRECT("'WCM Calibration Final'!$A$1157")&lt;&gt;"",FALSE),IFERROR(INDIRECT("'WCM Calibration Final'!$B$1157")&lt;&gt;"",FALSE),IFERROR(INDIRECT("'WCM Calibration Final'!$C$1157")&lt;&gt;"",FALSE)),1157,0)</x:f>
        <x:v>0</x:v>
      </x:c>
      <x:c r="JB1157" t="n">
        <x:f>'Calculations'!JB1156+IF('Calculations'!JA1157&gt;0,1,0)</x:f>
        <x:v>0</x:v>
      </x:c>
    </x:row>
    <x:row r="1158">
      <x:c r="JA1158" t="n">
        <x:f>IF(OR(IFERROR(INDIRECT("'WCM Calibration Final'!$A$1158")&lt;&gt;"",FALSE),IFERROR(INDIRECT("'WCM Calibration Final'!$B$1158")&lt;&gt;"",FALSE),IFERROR(INDIRECT("'WCM Calibration Final'!$C$1158")&lt;&gt;"",FALSE)),1158,0)</x:f>
        <x:v>0</x:v>
      </x:c>
      <x:c r="JB1158" t="n">
        <x:f>'Calculations'!JB1157+IF('Calculations'!JA1158&gt;0,1,0)</x:f>
        <x:v>0</x:v>
      </x:c>
    </x:row>
    <x:row r="1159">
      <x:c r="JA1159" t="n">
        <x:f>IF(OR(IFERROR(INDIRECT("'WCM Calibration Final'!$A$1159")&lt;&gt;"",FALSE),IFERROR(INDIRECT("'WCM Calibration Final'!$B$1159")&lt;&gt;"",FALSE),IFERROR(INDIRECT("'WCM Calibration Final'!$C$1159")&lt;&gt;"",FALSE)),1159,0)</x:f>
        <x:v>0</x:v>
      </x:c>
      <x:c r="JB1159" t="n">
        <x:f>'Calculations'!JB1158+IF('Calculations'!JA1159&gt;0,1,0)</x:f>
        <x:v>0</x:v>
      </x:c>
    </x:row>
    <x:row r="1160">
      <x:c r="JA1160" t="n">
        <x:f>IF(OR(IFERROR(INDIRECT("'WCM Calibration Final'!$A$1160")&lt;&gt;"",FALSE),IFERROR(INDIRECT("'WCM Calibration Final'!$B$1160")&lt;&gt;"",FALSE),IFERROR(INDIRECT("'WCM Calibration Final'!$C$1160")&lt;&gt;"",FALSE)),1160,0)</x:f>
        <x:v>0</x:v>
      </x:c>
      <x:c r="JB1160" t="n">
        <x:f>'Calculations'!JB1159+IF('Calculations'!JA1160&gt;0,1,0)</x:f>
        <x:v>0</x:v>
      </x:c>
    </x:row>
    <x:row r="1161">
      <x:c r="JA1161" t="n">
        <x:f>IF(OR(IFERROR(INDIRECT("'WCM Calibration Final'!$A$1161")&lt;&gt;"",FALSE),IFERROR(INDIRECT("'WCM Calibration Final'!$B$1161")&lt;&gt;"",FALSE),IFERROR(INDIRECT("'WCM Calibration Final'!$C$1161")&lt;&gt;"",FALSE)),1161,0)</x:f>
        <x:v>0</x:v>
      </x:c>
      <x:c r="JB1161" t="n">
        <x:f>'Calculations'!JB1160+IF('Calculations'!JA1161&gt;0,1,0)</x:f>
        <x:v>0</x:v>
      </x:c>
    </x:row>
    <x:row r="1162">
      <x:c r="JA1162" t="n">
        <x:f>IF(OR(IFERROR(INDIRECT("'WCM Calibration Final'!$A$1162")&lt;&gt;"",FALSE),IFERROR(INDIRECT("'WCM Calibration Final'!$B$1162")&lt;&gt;"",FALSE),IFERROR(INDIRECT("'WCM Calibration Final'!$C$1162")&lt;&gt;"",FALSE)),1162,0)</x:f>
        <x:v>0</x:v>
      </x:c>
      <x:c r="JB1162" t="n">
        <x:f>'Calculations'!JB1161+IF('Calculations'!JA1162&gt;0,1,0)</x:f>
        <x:v>0</x:v>
      </x:c>
    </x:row>
    <x:row r="1163">
      <x:c r="JA1163" t="n">
        <x:f>IF(OR(IFERROR(INDIRECT("'WCM Calibration Final'!$A$1163")&lt;&gt;"",FALSE),IFERROR(INDIRECT("'WCM Calibration Final'!$B$1163")&lt;&gt;"",FALSE),IFERROR(INDIRECT("'WCM Calibration Final'!$C$1163")&lt;&gt;"",FALSE)),1163,0)</x:f>
        <x:v>0</x:v>
      </x:c>
      <x:c r="JB1163" t="n">
        <x:f>'Calculations'!JB1162+IF('Calculations'!JA1163&gt;0,1,0)</x:f>
        <x:v>0</x:v>
      </x:c>
    </x:row>
    <x:row r="1164">
      <x:c r="JA1164" t="n">
        <x:f>IF(OR(IFERROR(INDIRECT("'WCM Calibration Final'!$A$1164")&lt;&gt;"",FALSE),IFERROR(INDIRECT("'WCM Calibration Final'!$B$1164")&lt;&gt;"",FALSE),IFERROR(INDIRECT("'WCM Calibration Final'!$C$1164")&lt;&gt;"",FALSE)),1164,0)</x:f>
        <x:v>0</x:v>
      </x:c>
      <x:c r="JB1164" t="n">
        <x:f>'Calculations'!JB1163+IF('Calculations'!JA1164&gt;0,1,0)</x:f>
        <x:v>0</x:v>
      </x:c>
    </x:row>
    <x:row r="1165">
      <x:c r="JA1165" t="n">
        <x:f>IF(OR(IFERROR(INDIRECT("'WCM Calibration Final'!$A$1165")&lt;&gt;"",FALSE),IFERROR(INDIRECT("'WCM Calibration Final'!$B$1165")&lt;&gt;"",FALSE),IFERROR(INDIRECT("'WCM Calibration Final'!$C$1165")&lt;&gt;"",FALSE)),1165,0)</x:f>
        <x:v>0</x:v>
      </x:c>
      <x:c r="JB1165" t="n">
        <x:f>'Calculations'!JB1164+IF('Calculations'!JA1165&gt;0,1,0)</x:f>
        <x:v>0</x:v>
      </x:c>
    </x:row>
    <x:row r="1166">
      <x:c r="JA1166" t="n">
        <x:f>IF(OR(IFERROR(INDIRECT("'WCM Calibration Final'!$A$1166")&lt;&gt;"",FALSE),IFERROR(INDIRECT("'WCM Calibration Final'!$B$1166")&lt;&gt;"",FALSE),IFERROR(INDIRECT("'WCM Calibration Final'!$C$1166")&lt;&gt;"",FALSE)),1166,0)</x:f>
        <x:v>0</x:v>
      </x:c>
      <x:c r="JB1166" t="n">
        <x:f>'Calculations'!JB1165+IF('Calculations'!JA1166&gt;0,1,0)</x:f>
        <x:v>0</x:v>
      </x:c>
    </x:row>
    <x:row r="1167">
      <x:c r="JA1167" t="n">
        <x:f>IF(OR(IFERROR(INDIRECT("'WCM Calibration Final'!$A$1167")&lt;&gt;"",FALSE),IFERROR(INDIRECT("'WCM Calibration Final'!$B$1167")&lt;&gt;"",FALSE),IFERROR(INDIRECT("'WCM Calibration Final'!$C$1167")&lt;&gt;"",FALSE)),1167,0)</x:f>
        <x:v>0</x:v>
      </x:c>
      <x:c r="JB1167" t="n">
        <x:f>'Calculations'!JB1166+IF('Calculations'!JA1167&gt;0,1,0)</x:f>
        <x:v>0</x:v>
      </x:c>
    </x:row>
    <x:row r="1168">
      <x:c r="JA1168" t="n">
        <x:f>IF(OR(IFERROR(INDIRECT("'WCM Calibration Final'!$A$1168")&lt;&gt;"",FALSE),IFERROR(INDIRECT("'WCM Calibration Final'!$B$1168")&lt;&gt;"",FALSE),IFERROR(INDIRECT("'WCM Calibration Final'!$C$1168")&lt;&gt;"",FALSE)),1168,0)</x:f>
        <x:v>0</x:v>
      </x:c>
      <x:c r="JB1168" t="n">
        <x:f>'Calculations'!JB1167+IF('Calculations'!JA1168&gt;0,1,0)</x:f>
        <x:v>0</x:v>
      </x:c>
    </x:row>
    <x:row r="1169">
      <x:c r="JA1169" t="n">
        <x:f>IF(OR(IFERROR(INDIRECT("'WCM Calibration Final'!$A$1169")&lt;&gt;"",FALSE),IFERROR(INDIRECT("'WCM Calibration Final'!$B$1169")&lt;&gt;"",FALSE),IFERROR(INDIRECT("'WCM Calibration Final'!$C$1169")&lt;&gt;"",FALSE)),1169,0)</x:f>
        <x:v>0</x:v>
      </x:c>
      <x:c r="JB1169" t="n">
        <x:f>'Calculations'!JB1168+IF('Calculations'!JA1169&gt;0,1,0)</x:f>
        <x:v>0</x:v>
      </x:c>
    </x:row>
    <x:row r="1170">
      <x:c r="JA1170" t="n">
        <x:f>IF(OR(IFERROR(INDIRECT("'WCM Calibration Final'!$A$1170")&lt;&gt;"",FALSE),IFERROR(INDIRECT("'WCM Calibration Final'!$B$1170")&lt;&gt;"",FALSE),IFERROR(INDIRECT("'WCM Calibration Final'!$C$1170")&lt;&gt;"",FALSE)),1170,0)</x:f>
        <x:v>0</x:v>
      </x:c>
      <x:c r="JB1170" t="n">
        <x:f>'Calculations'!JB1169+IF('Calculations'!JA1170&gt;0,1,0)</x:f>
        <x:v>0</x:v>
      </x:c>
    </x:row>
    <x:row r="1171">
      <x:c r="JA1171" t="n">
        <x:f>IF(OR(IFERROR(INDIRECT("'WCM Calibration Final'!$A$1171")&lt;&gt;"",FALSE),IFERROR(INDIRECT("'WCM Calibration Final'!$B$1171")&lt;&gt;"",FALSE),IFERROR(INDIRECT("'WCM Calibration Final'!$C$1171")&lt;&gt;"",FALSE)),1171,0)</x:f>
        <x:v>0</x:v>
      </x:c>
      <x:c r="JB1171" t="n">
        <x:f>'Calculations'!JB1170+IF('Calculations'!JA1171&gt;0,1,0)</x:f>
        <x:v>0</x:v>
      </x:c>
    </x:row>
    <x:row r="1172">
      <x:c r="JA1172" t="n">
        <x:f>IF(OR(IFERROR(INDIRECT("'WCM Calibration Final'!$A$1172")&lt;&gt;"",FALSE),IFERROR(INDIRECT("'WCM Calibration Final'!$B$1172")&lt;&gt;"",FALSE),IFERROR(INDIRECT("'WCM Calibration Final'!$C$1172")&lt;&gt;"",FALSE)),1172,0)</x:f>
        <x:v>0</x:v>
      </x:c>
      <x:c r="JB1172" t="n">
        <x:f>'Calculations'!JB1171+IF('Calculations'!JA1172&gt;0,1,0)</x:f>
        <x:v>0</x:v>
      </x:c>
    </x:row>
    <x:row r="1173">
      <x:c r="JA1173" t="n">
        <x:f>IF(OR(IFERROR(INDIRECT("'WCM Calibration Final'!$A$1173")&lt;&gt;"",FALSE),IFERROR(INDIRECT("'WCM Calibration Final'!$B$1173")&lt;&gt;"",FALSE),IFERROR(INDIRECT("'WCM Calibration Final'!$C$1173")&lt;&gt;"",FALSE)),1173,0)</x:f>
        <x:v>0</x:v>
      </x:c>
      <x:c r="JB1173" t="n">
        <x:f>'Calculations'!JB1172+IF('Calculations'!JA1173&gt;0,1,0)</x:f>
        <x:v>0</x:v>
      </x:c>
    </x:row>
    <x:row r="1174">
      <x:c r="JA1174" t="n">
        <x:f>IF(OR(IFERROR(INDIRECT("'WCM Calibration Final'!$A$1174")&lt;&gt;"",FALSE),IFERROR(INDIRECT("'WCM Calibration Final'!$B$1174")&lt;&gt;"",FALSE),IFERROR(INDIRECT("'WCM Calibration Final'!$C$1174")&lt;&gt;"",FALSE)),1174,0)</x:f>
        <x:v>0</x:v>
      </x:c>
      <x:c r="JB1174" t="n">
        <x:f>'Calculations'!JB1173+IF('Calculations'!JA1174&gt;0,1,0)</x:f>
        <x:v>0</x:v>
      </x:c>
    </x:row>
    <x:row r="1175">
      <x:c r="JA1175" t="n">
        <x:f>IF(OR(IFERROR(INDIRECT("'WCM Calibration Final'!$A$1175")&lt;&gt;"",FALSE),IFERROR(INDIRECT("'WCM Calibration Final'!$B$1175")&lt;&gt;"",FALSE),IFERROR(INDIRECT("'WCM Calibration Final'!$C$1175")&lt;&gt;"",FALSE)),1175,0)</x:f>
        <x:v>0</x:v>
      </x:c>
      <x:c r="JB1175" t="n">
        <x:f>'Calculations'!JB1174+IF('Calculations'!JA1175&gt;0,1,0)</x:f>
        <x:v>0</x:v>
      </x:c>
    </x:row>
    <x:row r="1176">
      <x:c r="JA1176" t="n">
        <x:f>IF(OR(IFERROR(INDIRECT("'WCM Calibration Final'!$A$1176")&lt;&gt;"",FALSE),IFERROR(INDIRECT("'WCM Calibration Final'!$B$1176")&lt;&gt;"",FALSE),IFERROR(INDIRECT("'WCM Calibration Final'!$C$1176")&lt;&gt;"",FALSE)),1176,0)</x:f>
        <x:v>0</x:v>
      </x:c>
      <x:c r="JB1176" t="n">
        <x:f>'Calculations'!JB1175+IF('Calculations'!JA1176&gt;0,1,0)</x:f>
        <x:v>0</x:v>
      </x:c>
    </x:row>
    <x:row r="1177">
      <x:c r="JA1177" t="n">
        <x:f>IF(OR(IFERROR(INDIRECT("'WCM Calibration Final'!$A$1177")&lt;&gt;"",FALSE),IFERROR(INDIRECT("'WCM Calibration Final'!$B$1177")&lt;&gt;"",FALSE),IFERROR(INDIRECT("'WCM Calibration Final'!$C$1177")&lt;&gt;"",FALSE)),1177,0)</x:f>
        <x:v>0</x:v>
      </x:c>
      <x:c r="JB1177" t="n">
        <x:f>'Calculations'!JB1176+IF('Calculations'!JA1177&gt;0,1,0)</x:f>
        <x:v>0</x:v>
      </x:c>
    </x:row>
    <x:row r="1178">
      <x:c r="JA1178" t="n">
        <x:f>IF(OR(IFERROR(INDIRECT("'WCM Calibration Final'!$A$1178")&lt;&gt;"",FALSE),IFERROR(INDIRECT("'WCM Calibration Final'!$B$1178")&lt;&gt;"",FALSE),IFERROR(INDIRECT("'WCM Calibration Final'!$C$1178")&lt;&gt;"",FALSE)),1178,0)</x:f>
        <x:v>0</x:v>
      </x:c>
      <x:c r="JB1178" t="n">
        <x:f>'Calculations'!JB1177+IF('Calculations'!JA1178&gt;0,1,0)</x:f>
        <x:v>0</x:v>
      </x:c>
    </x:row>
    <x:row r="1179">
      <x:c r="JA1179" t="n">
        <x:f>IF(OR(IFERROR(INDIRECT("'WCM Calibration Final'!$A$1179")&lt;&gt;"",FALSE),IFERROR(INDIRECT("'WCM Calibration Final'!$B$1179")&lt;&gt;"",FALSE),IFERROR(INDIRECT("'WCM Calibration Final'!$C$1179")&lt;&gt;"",FALSE)),1179,0)</x:f>
        <x:v>0</x:v>
      </x:c>
      <x:c r="JB1179" t="n">
        <x:f>'Calculations'!JB1178+IF('Calculations'!JA1179&gt;0,1,0)</x:f>
        <x:v>0</x:v>
      </x:c>
    </x:row>
    <x:row r="1180">
      <x:c r="JA1180" t="n">
        <x:f>IF(OR(IFERROR(INDIRECT("'WCM Calibration Final'!$A$1180")&lt;&gt;"",FALSE),IFERROR(INDIRECT("'WCM Calibration Final'!$B$1180")&lt;&gt;"",FALSE),IFERROR(INDIRECT("'WCM Calibration Final'!$C$1180")&lt;&gt;"",FALSE)),1180,0)</x:f>
        <x:v>0</x:v>
      </x:c>
      <x:c r="JB1180" t="n">
        <x:f>'Calculations'!JB1179+IF('Calculations'!JA1180&gt;0,1,0)</x:f>
        <x:v>0</x:v>
      </x:c>
    </x:row>
    <x:row r="1181">
      <x:c r="JA1181" t="n">
        <x:f>IF(OR(IFERROR(INDIRECT("'WCM Calibration Final'!$A$1181")&lt;&gt;"",FALSE),IFERROR(INDIRECT("'WCM Calibration Final'!$B$1181")&lt;&gt;"",FALSE),IFERROR(INDIRECT("'WCM Calibration Final'!$C$1181")&lt;&gt;"",FALSE)),1181,0)</x:f>
        <x:v>0</x:v>
      </x:c>
      <x:c r="JB1181" t="n">
        <x:f>'Calculations'!JB1180+IF('Calculations'!JA1181&gt;0,1,0)</x:f>
        <x:v>0</x:v>
      </x:c>
    </x:row>
    <x:row r="1182">
      <x:c r="JA1182" t="n">
        <x:f>IF(OR(IFERROR(INDIRECT("'WCM Calibration Final'!$A$1182")&lt;&gt;"",FALSE),IFERROR(INDIRECT("'WCM Calibration Final'!$B$1182")&lt;&gt;"",FALSE),IFERROR(INDIRECT("'WCM Calibration Final'!$C$1182")&lt;&gt;"",FALSE)),1182,0)</x:f>
        <x:v>0</x:v>
      </x:c>
      <x:c r="JB1182" t="n">
        <x:f>'Calculations'!JB1181+IF('Calculations'!JA1182&gt;0,1,0)</x:f>
        <x:v>0</x:v>
      </x:c>
    </x:row>
    <x:row r="1183">
      <x:c r="JA1183" t="n">
        <x:f>IF(OR(IFERROR(INDIRECT("'WCM Calibration Final'!$A$1183")&lt;&gt;"",FALSE),IFERROR(INDIRECT("'WCM Calibration Final'!$B$1183")&lt;&gt;"",FALSE),IFERROR(INDIRECT("'WCM Calibration Final'!$C$1183")&lt;&gt;"",FALSE)),1183,0)</x:f>
        <x:v>0</x:v>
      </x:c>
      <x:c r="JB1183" t="n">
        <x:f>'Calculations'!JB1182+IF('Calculations'!JA1183&gt;0,1,0)</x:f>
        <x:v>0</x:v>
      </x:c>
    </x:row>
    <x:row r="1184">
      <x:c r="JA1184" t="n">
        <x:f>IF(OR(IFERROR(INDIRECT("'WCM Calibration Final'!$A$1184")&lt;&gt;"",FALSE),IFERROR(INDIRECT("'WCM Calibration Final'!$B$1184")&lt;&gt;"",FALSE),IFERROR(INDIRECT("'WCM Calibration Final'!$C$1184")&lt;&gt;"",FALSE)),1184,0)</x:f>
        <x:v>0</x:v>
      </x:c>
      <x:c r="JB1184" t="n">
        <x:f>'Calculations'!JB1183+IF('Calculations'!JA1184&gt;0,1,0)</x:f>
        <x:v>0</x:v>
      </x:c>
    </x:row>
    <x:row r="1185">
      <x:c r="JA1185" t="n">
        <x:f>IF(OR(IFERROR(INDIRECT("'WCM Calibration Final'!$A$1185")&lt;&gt;"",FALSE),IFERROR(INDIRECT("'WCM Calibration Final'!$B$1185")&lt;&gt;"",FALSE),IFERROR(INDIRECT("'WCM Calibration Final'!$C$1185")&lt;&gt;"",FALSE)),1185,0)</x:f>
        <x:v>0</x:v>
      </x:c>
      <x:c r="JB1185" t="n">
        <x:f>'Calculations'!JB1184+IF('Calculations'!JA1185&gt;0,1,0)</x:f>
        <x:v>0</x:v>
      </x:c>
    </x:row>
    <x:row r="1186">
      <x:c r="JA1186" t="n">
        <x:f>IF(OR(IFERROR(INDIRECT("'WCM Calibration Final'!$A$1186")&lt;&gt;"",FALSE),IFERROR(INDIRECT("'WCM Calibration Final'!$B$1186")&lt;&gt;"",FALSE),IFERROR(INDIRECT("'WCM Calibration Final'!$C$1186")&lt;&gt;"",FALSE)),1186,0)</x:f>
        <x:v>0</x:v>
      </x:c>
      <x:c r="JB1186" t="n">
        <x:f>'Calculations'!JB1185+IF('Calculations'!JA1186&gt;0,1,0)</x:f>
        <x:v>0</x:v>
      </x:c>
    </x:row>
    <x:row r="1187">
      <x:c r="JA1187" t="n">
        <x:f>IF(OR(IFERROR(INDIRECT("'WCM Calibration Final'!$A$1187")&lt;&gt;"",FALSE),IFERROR(INDIRECT("'WCM Calibration Final'!$B$1187")&lt;&gt;"",FALSE),IFERROR(INDIRECT("'WCM Calibration Final'!$C$1187")&lt;&gt;"",FALSE)),1187,0)</x:f>
        <x:v>0</x:v>
      </x:c>
      <x:c r="JB1187" t="n">
        <x:f>'Calculations'!JB1186+IF('Calculations'!JA1187&gt;0,1,0)</x:f>
        <x:v>0</x:v>
      </x:c>
    </x:row>
    <x:row r="1188">
      <x:c r="JA1188" t="n">
        <x:f>IF(OR(IFERROR(INDIRECT("'WCM Calibration Final'!$A$1188")&lt;&gt;"",FALSE),IFERROR(INDIRECT("'WCM Calibration Final'!$B$1188")&lt;&gt;"",FALSE),IFERROR(INDIRECT("'WCM Calibration Final'!$C$1188")&lt;&gt;"",FALSE)),1188,0)</x:f>
        <x:v>0</x:v>
      </x:c>
      <x:c r="JB1188" t="n">
        <x:f>'Calculations'!JB1187+IF('Calculations'!JA1188&gt;0,1,0)</x:f>
        <x:v>0</x:v>
      </x:c>
    </x:row>
    <x:row r="1189">
      <x:c r="JA1189" t="n">
        <x:f>IF(OR(IFERROR(INDIRECT("'WCM Calibration Final'!$A$1189")&lt;&gt;"",FALSE),IFERROR(INDIRECT("'WCM Calibration Final'!$B$1189")&lt;&gt;"",FALSE),IFERROR(INDIRECT("'WCM Calibration Final'!$C$1189")&lt;&gt;"",FALSE)),1189,0)</x:f>
        <x:v>0</x:v>
      </x:c>
      <x:c r="JB1189" t="n">
        <x:f>'Calculations'!JB1188+IF('Calculations'!JA1189&gt;0,1,0)</x:f>
        <x:v>0</x:v>
      </x:c>
    </x:row>
    <x:row r="1190">
      <x:c r="JA1190" t="n">
        <x:f>IF(OR(IFERROR(INDIRECT("'WCM Calibration Final'!$A$1190")&lt;&gt;"",FALSE),IFERROR(INDIRECT("'WCM Calibration Final'!$B$1190")&lt;&gt;"",FALSE),IFERROR(INDIRECT("'WCM Calibration Final'!$C$1190")&lt;&gt;"",FALSE)),1190,0)</x:f>
        <x:v>0</x:v>
      </x:c>
      <x:c r="JB1190" t="n">
        <x:f>'Calculations'!JB1189+IF('Calculations'!JA1190&gt;0,1,0)</x:f>
        <x:v>0</x:v>
      </x:c>
    </x:row>
    <x:row r="1191">
      <x:c r="JA1191" t="n">
        <x:f>IF(OR(IFERROR(INDIRECT("'WCM Calibration Final'!$A$1191")&lt;&gt;"",FALSE),IFERROR(INDIRECT("'WCM Calibration Final'!$B$1191")&lt;&gt;"",FALSE),IFERROR(INDIRECT("'WCM Calibration Final'!$C$1191")&lt;&gt;"",FALSE)),1191,0)</x:f>
        <x:v>0</x:v>
      </x:c>
      <x:c r="JB1191" t="n">
        <x:f>'Calculations'!JB1190+IF('Calculations'!JA1191&gt;0,1,0)</x:f>
        <x:v>0</x:v>
      </x:c>
    </x:row>
    <x:row r="1192">
      <x:c r="JA1192" t="n">
        <x:f>IF(OR(IFERROR(INDIRECT("'WCM Calibration Final'!$A$1192")&lt;&gt;"",FALSE),IFERROR(INDIRECT("'WCM Calibration Final'!$B$1192")&lt;&gt;"",FALSE),IFERROR(INDIRECT("'WCM Calibration Final'!$C$1192")&lt;&gt;"",FALSE)),1192,0)</x:f>
        <x:v>0</x:v>
      </x:c>
      <x:c r="JB1192" t="n">
        <x:f>'Calculations'!JB1191+IF('Calculations'!JA1192&gt;0,1,0)</x:f>
        <x:v>0</x:v>
      </x:c>
    </x:row>
    <x:row r="1193">
      <x:c r="JA1193" t="n">
        <x:f>IF(OR(IFERROR(INDIRECT("'WCM Calibration Final'!$A$1193")&lt;&gt;"",FALSE),IFERROR(INDIRECT("'WCM Calibration Final'!$B$1193")&lt;&gt;"",FALSE),IFERROR(INDIRECT("'WCM Calibration Final'!$C$1193")&lt;&gt;"",FALSE)),1193,0)</x:f>
        <x:v>0</x:v>
      </x:c>
      <x:c r="JB1193" t="n">
        <x:f>'Calculations'!JB1192+IF('Calculations'!JA1193&gt;0,1,0)</x:f>
        <x:v>0</x:v>
      </x:c>
    </x:row>
    <x:row r="1194">
      <x:c r="JA1194" t="n">
        <x:f>IF(OR(IFERROR(INDIRECT("'WCM Calibration Final'!$A$1194")&lt;&gt;"",FALSE),IFERROR(INDIRECT("'WCM Calibration Final'!$B$1194")&lt;&gt;"",FALSE),IFERROR(INDIRECT("'WCM Calibration Final'!$C$1194")&lt;&gt;"",FALSE)),1194,0)</x:f>
        <x:v>0</x:v>
      </x:c>
      <x:c r="JB1194" t="n">
        <x:f>'Calculations'!JB1193+IF('Calculations'!JA1194&gt;0,1,0)</x:f>
        <x:v>0</x:v>
      </x:c>
    </x:row>
    <x:row r="1195">
      <x:c r="JA1195" t="n">
        <x:f>IF(OR(IFERROR(INDIRECT("'WCM Calibration Final'!$A$1195")&lt;&gt;"",FALSE),IFERROR(INDIRECT("'WCM Calibration Final'!$B$1195")&lt;&gt;"",FALSE),IFERROR(INDIRECT("'WCM Calibration Final'!$C$1195")&lt;&gt;"",FALSE)),1195,0)</x:f>
        <x:v>0</x:v>
      </x:c>
      <x:c r="JB1195" t="n">
        <x:f>'Calculations'!JB1194+IF('Calculations'!JA1195&gt;0,1,0)</x:f>
        <x:v>0</x:v>
      </x:c>
    </x:row>
    <x:row r="1196">
      <x:c r="JA1196" t="n">
        <x:f>IF(OR(IFERROR(INDIRECT("'WCM Calibration Final'!$A$1196")&lt;&gt;"",FALSE),IFERROR(INDIRECT("'WCM Calibration Final'!$B$1196")&lt;&gt;"",FALSE),IFERROR(INDIRECT("'WCM Calibration Final'!$C$1196")&lt;&gt;"",FALSE)),1196,0)</x:f>
        <x:v>0</x:v>
      </x:c>
      <x:c r="JB1196" t="n">
        <x:f>'Calculations'!JB1195+IF('Calculations'!JA1196&gt;0,1,0)</x:f>
        <x:v>0</x:v>
      </x:c>
    </x:row>
    <x:row r="1197">
      <x:c r="JA1197" t="n">
        <x:f>IF(OR(IFERROR(INDIRECT("'WCM Calibration Final'!$A$1197")&lt;&gt;"",FALSE),IFERROR(INDIRECT("'WCM Calibration Final'!$B$1197")&lt;&gt;"",FALSE),IFERROR(INDIRECT("'WCM Calibration Final'!$C$1197")&lt;&gt;"",FALSE)),1197,0)</x:f>
        <x:v>0</x:v>
      </x:c>
      <x:c r="JB1197" t="n">
        <x:f>'Calculations'!JB1196+IF('Calculations'!JA1197&gt;0,1,0)</x:f>
        <x:v>0</x:v>
      </x:c>
    </x:row>
    <x:row r="1198">
      <x:c r="JA1198" t="n">
        <x:f>IF(OR(IFERROR(INDIRECT("'WCM Calibration Final'!$A$1198")&lt;&gt;"",FALSE),IFERROR(INDIRECT("'WCM Calibration Final'!$B$1198")&lt;&gt;"",FALSE),IFERROR(INDIRECT("'WCM Calibration Final'!$C$1198")&lt;&gt;"",FALSE)),1198,0)</x:f>
        <x:v>0</x:v>
      </x:c>
      <x:c r="JB1198" t="n">
        <x:f>'Calculations'!JB1197+IF('Calculations'!JA1198&gt;0,1,0)</x:f>
        <x:v>0</x:v>
      </x:c>
    </x:row>
    <x:row r="1199">
      <x:c r="JA1199" t="n">
        <x:f>IF(OR(IFERROR(INDIRECT("'WCM Calibration Final'!$A$1199")&lt;&gt;"",FALSE),IFERROR(INDIRECT("'WCM Calibration Final'!$B$1199")&lt;&gt;"",FALSE),IFERROR(INDIRECT("'WCM Calibration Final'!$C$1199")&lt;&gt;"",FALSE)),1199,0)</x:f>
        <x:v>0</x:v>
      </x:c>
      <x:c r="JB1199" t="n">
        <x:f>'Calculations'!JB1198+IF('Calculations'!JA1199&gt;0,1,0)</x:f>
        <x:v>0</x:v>
      </x:c>
    </x:row>
    <x:row r="1200">
      <x:c r="JA1200" t="n">
        <x:f>IF(OR(IFERROR(INDIRECT("'WCM Calibration Final'!$A$1200")&lt;&gt;"",FALSE),IFERROR(INDIRECT("'WCM Calibration Final'!$B$1200")&lt;&gt;"",FALSE),IFERROR(INDIRECT("'WCM Calibration Final'!$C$1200")&lt;&gt;"",FALSE)),1200,0)</x:f>
        <x:v>0</x:v>
      </x:c>
      <x:c r="JB1200" t="n">
        <x:f>'Calculations'!JB1199+IF('Calculations'!JA1200&gt;0,1,0)</x:f>
        <x:v>0</x:v>
      </x:c>
    </x:row>
    <x:row r="1201">
      <x:c r="JA1201" t="n">
        <x:f>IF(OR(IFERROR(INDIRECT("'WCM Calibration Final'!$A$1201")&lt;&gt;"",FALSE),IFERROR(INDIRECT("'WCM Calibration Final'!$B$1201")&lt;&gt;"",FALSE),IFERROR(INDIRECT("'WCM Calibration Final'!$C$1201")&lt;&gt;"",FALSE)),1201,0)</x:f>
        <x:v>0</x:v>
      </x:c>
      <x:c r="JB1201" t="n">
        <x:f>'Calculations'!JB1200+IF('Calculations'!JA1201&gt;0,1,0)</x:f>
        <x:v>0</x:v>
      </x:c>
    </x:row>
    <x:row r="1202">
      <x:c r="JA1202" t="n">
        <x:f>IF(OR(IFERROR(INDIRECT("'WCM Calibration Final'!$A$1202")&lt;&gt;"",FALSE),IFERROR(INDIRECT("'WCM Calibration Final'!$B$1202")&lt;&gt;"",FALSE),IFERROR(INDIRECT("'WCM Calibration Final'!$C$1202")&lt;&gt;"",FALSE)),1202,0)</x:f>
        <x:v>0</x:v>
      </x:c>
      <x:c r="JB1202" t="n">
        <x:f>'Calculations'!JB1201+IF('Calculations'!JA1202&gt;0,1,0)</x:f>
        <x:v>0</x:v>
      </x:c>
    </x:row>
    <x:row r="1203">
      <x:c r="JA1203" t="n">
        <x:f>IF(OR(IFERROR(INDIRECT("'WCM Calibration Final'!$A$1203")&lt;&gt;"",FALSE),IFERROR(INDIRECT("'WCM Calibration Final'!$B$1203")&lt;&gt;"",FALSE),IFERROR(INDIRECT("'WCM Calibration Final'!$C$1203")&lt;&gt;"",FALSE)),1203,0)</x:f>
        <x:v>0</x:v>
      </x:c>
      <x:c r="JB1203" t="n">
        <x:f>'Calculations'!JB1202+IF('Calculations'!JA1203&gt;0,1,0)</x:f>
        <x:v>0</x:v>
      </x:c>
    </x:row>
    <x:row r="1204">
      <x:c r="JA1204" t="n">
        <x:f>IF(OR(IFERROR(INDIRECT("'WCM Calibration Final'!$A$1204")&lt;&gt;"",FALSE),IFERROR(INDIRECT("'WCM Calibration Final'!$B$1204")&lt;&gt;"",FALSE),IFERROR(INDIRECT("'WCM Calibration Final'!$C$1204")&lt;&gt;"",FALSE)),1204,0)</x:f>
        <x:v>0</x:v>
      </x:c>
      <x:c r="JB1204" t="n">
        <x:f>'Calculations'!JB1203+IF('Calculations'!JA1204&gt;0,1,0)</x:f>
        <x:v>0</x:v>
      </x:c>
    </x:row>
    <x:row r="1205">
      <x:c r="JA1205" t="n">
        <x:f>IF(OR(IFERROR(INDIRECT("'WCM Calibration Final'!$A$1205")&lt;&gt;"",FALSE),IFERROR(INDIRECT("'WCM Calibration Final'!$B$1205")&lt;&gt;"",FALSE),IFERROR(INDIRECT("'WCM Calibration Final'!$C$1205")&lt;&gt;"",FALSE)),1205,0)</x:f>
        <x:v>0</x:v>
      </x:c>
      <x:c r="JB1205" t="n">
        <x:f>'Calculations'!JB1204+IF('Calculations'!JA1205&gt;0,1,0)</x:f>
        <x:v>0</x:v>
      </x:c>
    </x:row>
    <x:row r="1206">
      <x:c r="JA1206" t="n">
        <x:f>IF(OR(IFERROR(INDIRECT("'WCM Calibration Final'!$A$1206")&lt;&gt;"",FALSE),IFERROR(INDIRECT("'WCM Calibration Final'!$B$1206")&lt;&gt;"",FALSE),IFERROR(INDIRECT("'WCM Calibration Final'!$C$1206")&lt;&gt;"",FALSE)),1206,0)</x:f>
        <x:v>0</x:v>
      </x:c>
      <x:c r="JB1206" t="n">
        <x:f>'Calculations'!JB1205+IF('Calculations'!JA1206&gt;0,1,0)</x:f>
        <x:v>0</x:v>
      </x:c>
    </x:row>
    <x:row r="1207">
      <x:c r="JA1207" t="n">
        <x:f>IF(OR(IFERROR(INDIRECT("'WCM Calibration Final'!$A$1207")&lt;&gt;"",FALSE),IFERROR(INDIRECT("'WCM Calibration Final'!$B$1207")&lt;&gt;"",FALSE),IFERROR(INDIRECT("'WCM Calibration Final'!$C$1207")&lt;&gt;"",FALSE)),1207,0)</x:f>
        <x:v>0</x:v>
      </x:c>
      <x:c r="JB1207" t="n">
        <x:f>'Calculations'!JB1206+IF('Calculations'!JA1207&gt;0,1,0)</x:f>
        <x:v>0</x:v>
      </x:c>
    </x:row>
    <x:row r="1208">
      <x:c r="JA1208" t="n">
        <x:f>IF(OR(IFERROR(INDIRECT("'WCM Calibration Final'!$A$1208")&lt;&gt;"",FALSE),IFERROR(INDIRECT("'WCM Calibration Final'!$B$1208")&lt;&gt;"",FALSE),IFERROR(INDIRECT("'WCM Calibration Final'!$C$1208")&lt;&gt;"",FALSE)),1208,0)</x:f>
        <x:v>0</x:v>
      </x:c>
      <x:c r="JB1208" t="n">
        <x:f>'Calculations'!JB1207+IF('Calculations'!JA1208&gt;0,1,0)</x:f>
        <x:v>0</x:v>
      </x:c>
    </x:row>
    <x:row r="1209">
      <x:c r="JA1209" t="n">
        <x:f>IF(OR(IFERROR(INDIRECT("'WCM Calibration Final'!$A$1209")&lt;&gt;"",FALSE),IFERROR(INDIRECT("'WCM Calibration Final'!$B$1209")&lt;&gt;"",FALSE),IFERROR(INDIRECT("'WCM Calibration Final'!$C$1209")&lt;&gt;"",FALSE)),1209,0)</x:f>
        <x:v>0</x:v>
      </x:c>
      <x:c r="JB1209" t="n">
        <x:f>'Calculations'!JB1208+IF('Calculations'!JA1209&gt;0,1,0)</x:f>
        <x:v>0</x:v>
      </x:c>
    </x:row>
    <x:row r="1210">
      <x:c r="JA1210" t="n">
        <x:f>IF(OR(IFERROR(INDIRECT("'WCM Calibration Final'!$A$1210")&lt;&gt;"",FALSE),IFERROR(INDIRECT("'WCM Calibration Final'!$B$1210")&lt;&gt;"",FALSE),IFERROR(INDIRECT("'WCM Calibration Final'!$C$1210")&lt;&gt;"",FALSE)),1210,0)</x:f>
        <x:v>0</x:v>
      </x:c>
      <x:c r="JB1210" t="n">
        <x:f>'Calculations'!JB1209+IF('Calculations'!JA1210&gt;0,1,0)</x:f>
        <x:v>0</x:v>
      </x:c>
    </x:row>
    <x:row r="1211">
      <x:c r="JA1211" t="n">
        <x:f>IF(OR(IFERROR(INDIRECT("'WCM Calibration Final'!$A$1211")&lt;&gt;"",FALSE),IFERROR(INDIRECT("'WCM Calibration Final'!$B$1211")&lt;&gt;"",FALSE),IFERROR(INDIRECT("'WCM Calibration Final'!$C$1211")&lt;&gt;"",FALSE)),1211,0)</x:f>
        <x:v>0</x:v>
      </x:c>
      <x:c r="JB1211" t="n">
        <x:f>'Calculations'!JB1210+IF('Calculations'!JA1211&gt;0,1,0)</x:f>
        <x:v>0</x:v>
      </x:c>
    </x:row>
    <x:row r="1212">
      <x:c r="JA1212" t="n">
        <x:f>IF(OR(IFERROR(INDIRECT("'WCM Calibration Final'!$A$1212")&lt;&gt;"",FALSE),IFERROR(INDIRECT("'WCM Calibration Final'!$B$1212")&lt;&gt;"",FALSE),IFERROR(INDIRECT("'WCM Calibration Final'!$C$1212")&lt;&gt;"",FALSE)),1212,0)</x:f>
        <x:v>0</x:v>
      </x:c>
      <x:c r="JB1212" t="n">
        <x:f>'Calculations'!JB1211+IF('Calculations'!JA1212&gt;0,1,0)</x:f>
        <x:v>0</x:v>
      </x:c>
    </x:row>
    <x:row r="1213">
      <x:c r="JA1213" t="n">
        <x:f>IF(OR(IFERROR(INDIRECT("'WCM Calibration Final'!$A$1213")&lt;&gt;"",FALSE),IFERROR(INDIRECT("'WCM Calibration Final'!$B$1213")&lt;&gt;"",FALSE),IFERROR(INDIRECT("'WCM Calibration Final'!$C$1213")&lt;&gt;"",FALSE)),1213,0)</x:f>
        <x:v>0</x:v>
      </x:c>
      <x:c r="JB1213" t="n">
        <x:f>'Calculations'!JB1212+IF('Calculations'!JA1213&gt;0,1,0)</x:f>
        <x:v>0</x:v>
      </x:c>
    </x:row>
    <x:row r="1214">
      <x:c r="JA1214" t="n">
        <x:f>IF(OR(IFERROR(INDIRECT("'WCM Calibration Final'!$A$1214")&lt;&gt;"",FALSE),IFERROR(INDIRECT("'WCM Calibration Final'!$B$1214")&lt;&gt;"",FALSE),IFERROR(INDIRECT("'WCM Calibration Final'!$C$1214")&lt;&gt;"",FALSE)),1214,0)</x:f>
        <x:v>0</x:v>
      </x:c>
      <x:c r="JB1214" t="n">
        <x:f>'Calculations'!JB1213+IF('Calculations'!JA1214&gt;0,1,0)</x:f>
        <x:v>0</x:v>
      </x:c>
    </x:row>
    <x:row r="1215">
      <x:c r="JA1215" t="n">
        <x:f>IF(OR(IFERROR(INDIRECT("'WCM Calibration Final'!$A$1215")&lt;&gt;"",FALSE),IFERROR(INDIRECT("'WCM Calibration Final'!$B$1215")&lt;&gt;"",FALSE),IFERROR(INDIRECT("'WCM Calibration Final'!$C$1215")&lt;&gt;"",FALSE)),1215,0)</x:f>
        <x:v>0</x:v>
      </x:c>
      <x:c r="JB1215" t="n">
        <x:f>'Calculations'!JB1214+IF('Calculations'!JA1215&gt;0,1,0)</x:f>
        <x:v>0</x:v>
      </x:c>
    </x:row>
    <x:row r="1216">
      <x:c r="JA1216" t="n">
        <x:f>IF(OR(IFERROR(INDIRECT("'WCM Calibration Final'!$A$1216")&lt;&gt;"",FALSE),IFERROR(INDIRECT("'WCM Calibration Final'!$B$1216")&lt;&gt;"",FALSE),IFERROR(INDIRECT("'WCM Calibration Final'!$C$1216")&lt;&gt;"",FALSE)),1216,0)</x:f>
        <x:v>0</x:v>
      </x:c>
      <x:c r="JB1216" t="n">
        <x:f>'Calculations'!JB1215+IF('Calculations'!JA1216&gt;0,1,0)</x:f>
        <x:v>0</x:v>
      </x:c>
    </x:row>
    <x:row r="1217">
      <x:c r="JA1217" t="n">
        <x:f>IF(OR(IFERROR(INDIRECT("'WCM Calibration Final'!$A$1217")&lt;&gt;"",FALSE),IFERROR(INDIRECT("'WCM Calibration Final'!$B$1217")&lt;&gt;"",FALSE),IFERROR(INDIRECT("'WCM Calibration Final'!$C$1217")&lt;&gt;"",FALSE)),1217,0)</x:f>
        <x:v>0</x:v>
      </x:c>
      <x:c r="JB1217" t="n">
        <x:f>'Calculations'!JB1216+IF('Calculations'!JA1217&gt;0,1,0)</x:f>
        <x:v>0</x:v>
      </x:c>
    </x:row>
    <x:row r="1218">
      <x:c r="JA1218" t="n">
        <x:f>IF(OR(IFERROR(INDIRECT("'WCM Calibration Final'!$A$1218")&lt;&gt;"",FALSE),IFERROR(INDIRECT("'WCM Calibration Final'!$B$1218")&lt;&gt;"",FALSE),IFERROR(INDIRECT("'WCM Calibration Final'!$C$1218")&lt;&gt;"",FALSE)),1218,0)</x:f>
        <x:v>0</x:v>
      </x:c>
      <x:c r="JB1218" t="n">
        <x:f>'Calculations'!JB1217+IF('Calculations'!JA1218&gt;0,1,0)</x:f>
        <x:v>0</x:v>
      </x:c>
    </x:row>
    <x:row r="1219">
      <x:c r="JA1219" t="n">
        <x:f>IF(OR(IFERROR(INDIRECT("'WCM Calibration Final'!$A$1219")&lt;&gt;"",FALSE),IFERROR(INDIRECT("'WCM Calibration Final'!$B$1219")&lt;&gt;"",FALSE),IFERROR(INDIRECT("'WCM Calibration Final'!$C$1219")&lt;&gt;"",FALSE)),1219,0)</x:f>
        <x:v>0</x:v>
      </x:c>
      <x:c r="JB1219" t="n">
        <x:f>'Calculations'!JB1218+IF('Calculations'!JA1219&gt;0,1,0)</x:f>
        <x:v>0</x:v>
      </x:c>
    </x:row>
    <x:row r="1220">
      <x:c r="JA1220" t="n">
        <x:f>IF(OR(IFERROR(INDIRECT("'WCM Calibration Final'!$A$1220")&lt;&gt;"",FALSE),IFERROR(INDIRECT("'WCM Calibration Final'!$B$1220")&lt;&gt;"",FALSE),IFERROR(INDIRECT("'WCM Calibration Final'!$C$1220")&lt;&gt;"",FALSE)),1220,0)</x:f>
        <x:v>0</x:v>
      </x:c>
      <x:c r="JB1220" t="n">
        <x:f>'Calculations'!JB1219+IF('Calculations'!JA1220&gt;0,1,0)</x:f>
        <x:v>0</x:v>
      </x:c>
    </x:row>
    <x:row r="1221">
      <x:c r="JA1221" t="n">
        <x:f>IF(OR(IFERROR(INDIRECT("'WCM Calibration Final'!$A$1221")&lt;&gt;"",FALSE),IFERROR(INDIRECT("'WCM Calibration Final'!$B$1221")&lt;&gt;"",FALSE),IFERROR(INDIRECT("'WCM Calibration Final'!$C$1221")&lt;&gt;"",FALSE)),1221,0)</x:f>
        <x:v>0</x:v>
      </x:c>
      <x:c r="JB1221" t="n">
        <x:f>'Calculations'!JB1220+IF('Calculations'!JA1221&gt;0,1,0)</x:f>
        <x:v>0</x:v>
      </x:c>
    </x:row>
    <x:row r="1222">
      <x:c r="JA1222" t="n">
        <x:f>IF(OR(IFERROR(INDIRECT("'WCM Calibration Final'!$A$1222")&lt;&gt;"",FALSE),IFERROR(INDIRECT("'WCM Calibration Final'!$B$1222")&lt;&gt;"",FALSE),IFERROR(INDIRECT("'WCM Calibration Final'!$C$1222")&lt;&gt;"",FALSE)),1222,0)</x:f>
        <x:v>0</x:v>
      </x:c>
      <x:c r="JB1222" t="n">
        <x:f>'Calculations'!JB1221+IF('Calculations'!JA1222&gt;0,1,0)</x:f>
        <x:v>0</x:v>
      </x:c>
    </x:row>
    <x:row r="1223">
      <x:c r="JA1223" t="n">
        <x:f>IF(OR(IFERROR(INDIRECT("'WCM Calibration Final'!$A$1223")&lt;&gt;"",FALSE),IFERROR(INDIRECT("'WCM Calibration Final'!$B$1223")&lt;&gt;"",FALSE),IFERROR(INDIRECT("'WCM Calibration Final'!$C$1223")&lt;&gt;"",FALSE)),1223,0)</x:f>
        <x:v>0</x:v>
      </x:c>
      <x:c r="JB1223" t="n">
        <x:f>'Calculations'!JB1222+IF('Calculations'!JA1223&gt;0,1,0)</x:f>
        <x:v>0</x:v>
      </x:c>
    </x:row>
    <x:row r="1224">
      <x:c r="JA1224" t="n">
        <x:f>IF(OR(IFERROR(INDIRECT("'WCM Calibration Final'!$A$1224")&lt;&gt;"",FALSE),IFERROR(INDIRECT("'WCM Calibration Final'!$B$1224")&lt;&gt;"",FALSE),IFERROR(INDIRECT("'WCM Calibration Final'!$C$1224")&lt;&gt;"",FALSE)),1224,0)</x:f>
        <x:v>0</x:v>
      </x:c>
      <x:c r="JB1224" t="n">
        <x:f>'Calculations'!JB1223+IF('Calculations'!JA1224&gt;0,1,0)</x:f>
        <x:v>0</x:v>
      </x:c>
    </x:row>
    <x:row r="1225">
      <x:c r="JA1225" t="n">
        <x:f>IF(OR(IFERROR(INDIRECT("'WCM Calibration Final'!$A$1225")&lt;&gt;"",FALSE),IFERROR(INDIRECT("'WCM Calibration Final'!$B$1225")&lt;&gt;"",FALSE),IFERROR(INDIRECT("'WCM Calibration Final'!$C$1225")&lt;&gt;"",FALSE)),1225,0)</x:f>
        <x:v>0</x:v>
      </x:c>
      <x:c r="JB1225" t="n">
        <x:f>'Calculations'!JB1224+IF('Calculations'!JA1225&gt;0,1,0)</x:f>
        <x:v>0</x:v>
      </x:c>
    </x:row>
    <x:row r="1226">
      <x:c r="JA1226" t="n">
        <x:f>IF(OR(IFERROR(INDIRECT("'WCM Calibration Final'!$A$1226")&lt;&gt;"",FALSE),IFERROR(INDIRECT("'WCM Calibration Final'!$B$1226")&lt;&gt;"",FALSE),IFERROR(INDIRECT("'WCM Calibration Final'!$C$1226")&lt;&gt;"",FALSE)),1226,0)</x:f>
        <x:v>0</x:v>
      </x:c>
      <x:c r="JB1226" t="n">
        <x:f>'Calculations'!JB1225+IF('Calculations'!JA1226&gt;0,1,0)</x:f>
        <x:v>0</x:v>
      </x:c>
    </x:row>
    <x:row r="1227">
      <x:c r="JA1227" t="n">
        <x:f>IF(OR(IFERROR(INDIRECT("'WCM Calibration Final'!$A$1227")&lt;&gt;"",FALSE),IFERROR(INDIRECT("'WCM Calibration Final'!$B$1227")&lt;&gt;"",FALSE),IFERROR(INDIRECT("'WCM Calibration Final'!$C$1227")&lt;&gt;"",FALSE)),1227,0)</x:f>
        <x:v>0</x:v>
      </x:c>
      <x:c r="JB1227" t="n">
        <x:f>'Calculations'!JB1226+IF('Calculations'!JA1227&gt;0,1,0)</x:f>
        <x:v>0</x:v>
      </x:c>
    </x:row>
    <x:row r="1228">
      <x:c r="JA1228" t="n">
        <x:f>IF(OR(IFERROR(INDIRECT("'WCM Calibration Final'!$A$1228")&lt;&gt;"",FALSE),IFERROR(INDIRECT("'WCM Calibration Final'!$B$1228")&lt;&gt;"",FALSE),IFERROR(INDIRECT("'WCM Calibration Final'!$C$1228")&lt;&gt;"",FALSE)),1228,0)</x:f>
        <x:v>0</x:v>
      </x:c>
      <x:c r="JB1228" t="n">
        <x:f>'Calculations'!JB1227+IF('Calculations'!JA1228&gt;0,1,0)</x:f>
        <x:v>0</x:v>
      </x:c>
    </x:row>
    <x:row r="1229">
      <x:c r="JA1229" t="n">
        <x:f>IF(OR(IFERROR(INDIRECT("'WCM Calibration Final'!$A$1229")&lt;&gt;"",FALSE),IFERROR(INDIRECT("'WCM Calibration Final'!$B$1229")&lt;&gt;"",FALSE),IFERROR(INDIRECT("'WCM Calibration Final'!$C$1229")&lt;&gt;"",FALSE)),1229,0)</x:f>
        <x:v>0</x:v>
      </x:c>
      <x:c r="JB1229" t="n">
        <x:f>'Calculations'!JB1228+IF('Calculations'!JA1229&gt;0,1,0)</x:f>
        <x:v>0</x:v>
      </x:c>
    </x:row>
    <x:row r="1230">
      <x:c r="JA1230" t="n">
        <x:f>IF(OR(IFERROR(INDIRECT("'WCM Calibration Final'!$A$1230")&lt;&gt;"",FALSE),IFERROR(INDIRECT("'WCM Calibration Final'!$B$1230")&lt;&gt;"",FALSE),IFERROR(INDIRECT("'WCM Calibration Final'!$C$1230")&lt;&gt;"",FALSE)),1230,0)</x:f>
        <x:v>0</x:v>
      </x:c>
      <x:c r="JB1230" t="n">
        <x:f>'Calculations'!JB1229+IF('Calculations'!JA1230&gt;0,1,0)</x:f>
        <x:v>0</x:v>
      </x:c>
    </x:row>
    <x:row r="1231">
      <x:c r="JA1231" t="n">
        <x:f>IF(OR(IFERROR(INDIRECT("'WCM Calibration Final'!$A$1231")&lt;&gt;"",FALSE),IFERROR(INDIRECT("'WCM Calibration Final'!$B$1231")&lt;&gt;"",FALSE),IFERROR(INDIRECT("'WCM Calibration Final'!$C$1231")&lt;&gt;"",FALSE)),1231,0)</x:f>
        <x:v>0</x:v>
      </x:c>
      <x:c r="JB1231" t="n">
        <x:f>'Calculations'!JB1230+IF('Calculations'!JA1231&gt;0,1,0)</x:f>
        <x:v>0</x:v>
      </x:c>
    </x:row>
    <x:row r="1232">
      <x:c r="JA1232" t="n">
        <x:f>IF(OR(IFERROR(INDIRECT("'WCM Calibration Final'!$A$1232")&lt;&gt;"",FALSE),IFERROR(INDIRECT("'WCM Calibration Final'!$B$1232")&lt;&gt;"",FALSE),IFERROR(INDIRECT("'WCM Calibration Final'!$C$1232")&lt;&gt;"",FALSE)),1232,0)</x:f>
        <x:v>0</x:v>
      </x:c>
      <x:c r="JB1232" t="n">
        <x:f>'Calculations'!JB1231+IF('Calculations'!JA1232&gt;0,1,0)</x:f>
        <x:v>0</x:v>
      </x:c>
    </x:row>
    <x:row r="1233">
      <x:c r="JA1233" t="n">
        <x:f>IF(OR(IFERROR(INDIRECT("'WCM Calibration Final'!$A$1233")&lt;&gt;"",FALSE),IFERROR(INDIRECT("'WCM Calibration Final'!$B$1233")&lt;&gt;"",FALSE),IFERROR(INDIRECT("'WCM Calibration Final'!$C$1233")&lt;&gt;"",FALSE)),1233,0)</x:f>
        <x:v>0</x:v>
      </x:c>
      <x:c r="JB1233" t="n">
        <x:f>'Calculations'!JB1232+IF('Calculations'!JA1233&gt;0,1,0)</x:f>
        <x:v>0</x:v>
      </x:c>
    </x:row>
    <x:row r="1234">
      <x:c r="JA1234" t="n">
        <x:f>IF(OR(IFERROR(INDIRECT("'WCM Calibration Final'!$A$1234")&lt;&gt;"",FALSE),IFERROR(INDIRECT("'WCM Calibration Final'!$B$1234")&lt;&gt;"",FALSE),IFERROR(INDIRECT("'WCM Calibration Final'!$C$1234")&lt;&gt;"",FALSE)),1234,0)</x:f>
        <x:v>0</x:v>
      </x:c>
      <x:c r="JB1234" t="n">
        <x:f>'Calculations'!JB1233+IF('Calculations'!JA1234&gt;0,1,0)</x:f>
        <x:v>0</x:v>
      </x:c>
    </x:row>
    <x:row r="1235">
      <x:c r="JA1235" t="n">
        <x:f>IF(OR(IFERROR(INDIRECT("'WCM Calibration Final'!$A$1235")&lt;&gt;"",FALSE),IFERROR(INDIRECT("'WCM Calibration Final'!$B$1235")&lt;&gt;"",FALSE),IFERROR(INDIRECT("'WCM Calibration Final'!$C$1235")&lt;&gt;"",FALSE)),1235,0)</x:f>
        <x:v>0</x:v>
      </x:c>
      <x:c r="JB1235" t="n">
        <x:f>'Calculations'!JB1234+IF('Calculations'!JA1235&gt;0,1,0)</x:f>
        <x:v>0</x:v>
      </x:c>
    </x:row>
    <x:row r="1236">
      <x:c r="JA1236" t="n">
        <x:f>IF(OR(IFERROR(INDIRECT("'WCM Calibration Final'!$A$1236")&lt;&gt;"",FALSE),IFERROR(INDIRECT("'WCM Calibration Final'!$B$1236")&lt;&gt;"",FALSE),IFERROR(INDIRECT("'WCM Calibration Final'!$C$1236")&lt;&gt;"",FALSE)),1236,0)</x:f>
        <x:v>0</x:v>
      </x:c>
      <x:c r="JB1236" t="n">
        <x:f>'Calculations'!JB1235+IF('Calculations'!JA1236&gt;0,1,0)</x:f>
        <x:v>0</x:v>
      </x:c>
    </x:row>
    <x:row r="1237">
      <x:c r="JA1237" t="n">
        <x:f>IF(OR(IFERROR(INDIRECT("'WCM Calibration Final'!$A$1237")&lt;&gt;"",FALSE),IFERROR(INDIRECT("'WCM Calibration Final'!$B$1237")&lt;&gt;"",FALSE),IFERROR(INDIRECT("'WCM Calibration Final'!$C$1237")&lt;&gt;"",FALSE)),1237,0)</x:f>
        <x:v>0</x:v>
      </x:c>
      <x:c r="JB1237" t="n">
        <x:f>'Calculations'!JB1236+IF('Calculations'!JA1237&gt;0,1,0)</x:f>
        <x:v>0</x:v>
      </x:c>
    </x:row>
    <x:row r="1238">
      <x:c r="JA1238" t="n">
        <x:f>IF(OR(IFERROR(INDIRECT("'WCM Calibration Final'!$A$1238")&lt;&gt;"",FALSE),IFERROR(INDIRECT("'WCM Calibration Final'!$B$1238")&lt;&gt;"",FALSE),IFERROR(INDIRECT("'WCM Calibration Final'!$C$1238")&lt;&gt;"",FALSE)),1238,0)</x:f>
        <x:v>0</x:v>
      </x:c>
      <x:c r="JB1238" t="n">
        <x:f>'Calculations'!JB1237+IF('Calculations'!JA1238&gt;0,1,0)</x:f>
        <x:v>0</x:v>
      </x:c>
    </x:row>
    <x:row r="1239">
      <x:c r="JA1239" t="n">
        <x:f>IF(OR(IFERROR(INDIRECT("'WCM Calibration Final'!$A$1239")&lt;&gt;"",FALSE),IFERROR(INDIRECT("'WCM Calibration Final'!$B$1239")&lt;&gt;"",FALSE),IFERROR(INDIRECT("'WCM Calibration Final'!$C$1239")&lt;&gt;"",FALSE)),1239,0)</x:f>
        <x:v>0</x:v>
      </x:c>
      <x:c r="JB1239" t="n">
        <x:f>'Calculations'!JB1238+IF('Calculations'!JA1239&gt;0,1,0)</x:f>
        <x:v>0</x:v>
      </x:c>
    </x:row>
    <x:row r="1240">
      <x:c r="JA1240" t="n">
        <x:f>IF(OR(IFERROR(INDIRECT("'WCM Calibration Final'!$A$1240")&lt;&gt;"",FALSE),IFERROR(INDIRECT("'WCM Calibration Final'!$B$1240")&lt;&gt;"",FALSE),IFERROR(INDIRECT("'WCM Calibration Final'!$C$1240")&lt;&gt;"",FALSE)),1240,0)</x:f>
        <x:v>0</x:v>
      </x:c>
      <x:c r="JB1240" t="n">
        <x:f>'Calculations'!JB1239+IF('Calculations'!JA1240&gt;0,1,0)</x:f>
        <x:v>0</x:v>
      </x:c>
    </x:row>
    <x:row r="1241">
      <x:c r="JA1241" t="n">
        <x:f>IF(OR(IFERROR(INDIRECT("'WCM Calibration Final'!$A$1241")&lt;&gt;"",FALSE),IFERROR(INDIRECT("'WCM Calibration Final'!$B$1241")&lt;&gt;"",FALSE),IFERROR(INDIRECT("'WCM Calibration Final'!$C$1241")&lt;&gt;"",FALSE)),1241,0)</x:f>
        <x:v>0</x:v>
      </x:c>
      <x:c r="JB1241" t="n">
        <x:f>'Calculations'!JB1240+IF('Calculations'!JA1241&gt;0,1,0)</x:f>
        <x:v>0</x:v>
      </x:c>
    </x:row>
    <x:row r="1242">
      <x:c r="JA1242" t="n">
        <x:f>IF(OR(IFERROR(INDIRECT("'WCM Calibration Final'!$A$1242")&lt;&gt;"",FALSE),IFERROR(INDIRECT("'WCM Calibration Final'!$B$1242")&lt;&gt;"",FALSE),IFERROR(INDIRECT("'WCM Calibration Final'!$C$1242")&lt;&gt;"",FALSE)),1242,0)</x:f>
        <x:v>0</x:v>
      </x:c>
      <x:c r="JB1242" t="n">
        <x:f>'Calculations'!JB1241+IF('Calculations'!JA1242&gt;0,1,0)</x:f>
        <x:v>0</x:v>
      </x:c>
    </x:row>
    <x:row r="1243">
      <x:c r="JA1243" t="n">
        <x:f>IF(OR(IFERROR(INDIRECT("'WCM Calibration Final'!$A$1243")&lt;&gt;"",FALSE),IFERROR(INDIRECT("'WCM Calibration Final'!$B$1243")&lt;&gt;"",FALSE),IFERROR(INDIRECT("'WCM Calibration Final'!$C$1243")&lt;&gt;"",FALSE)),1243,0)</x:f>
        <x:v>0</x:v>
      </x:c>
      <x:c r="JB1243" t="n">
        <x:f>'Calculations'!JB1242+IF('Calculations'!JA1243&gt;0,1,0)</x:f>
        <x:v>0</x:v>
      </x:c>
    </x:row>
    <x:row r="1244">
      <x:c r="JA1244" t="n">
        <x:f>IF(OR(IFERROR(INDIRECT("'WCM Calibration Final'!$A$1244")&lt;&gt;"",FALSE),IFERROR(INDIRECT("'WCM Calibration Final'!$B$1244")&lt;&gt;"",FALSE),IFERROR(INDIRECT("'WCM Calibration Final'!$C$1244")&lt;&gt;"",FALSE)),1244,0)</x:f>
        <x:v>0</x:v>
      </x:c>
      <x:c r="JB1244" t="n">
        <x:f>'Calculations'!JB1243+IF('Calculations'!JA1244&gt;0,1,0)</x:f>
        <x:v>0</x:v>
      </x:c>
    </x:row>
    <x:row r="1245">
      <x:c r="JA1245" t="n">
        <x:f>IF(OR(IFERROR(INDIRECT("'WCM Calibration Final'!$A$1245")&lt;&gt;"",FALSE),IFERROR(INDIRECT("'WCM Calibration Final'!$B$1245")&lt;&gt;"",FALSE),IFERROR(INDIRECT("'WCM Calibration Final'!$C$1245")&lt;&gt;"",FALSE)),1245,0)</x:f>
        <x:v>0</x:v>
      </x:c>
      <x:c r="JB1245" t="n">
        <x:f>'Calculations'!JB1244+IF('Calculations'!JA1245&gt;0,1,0)</x:f>
        <x:v>0</x:v>
      </x:c>
    </x:row>
    <x:row r="1246">
      <x:c r="JA1246" t="n">
        <x:f>IF(OR(IFERROR(INDIRECT("'WCM Calibration Final'!$A$1246")&lt;&gt;"",FALSE),IFERROR(INDIRECT("'WCM Calibration Final'!$B$1246")&lt;&gt;"",FALSE),IFERROR(INDIRECT("'WCM Calibration Final'!$C$1246")&lt;&gt;"",FALSE)),1246,0)</x:f>
        <x:v>0</x:v>
      </x:c>
      <x:c r="JB1246" t="n">
        <x:f>'Calculations'!JB1245+IF('Calculations'!JA1246&gt;0,1,0)</x:f>
        <x:v>0</x:v>
      </x:c>
    </x:row>
    <x:row r="1247">
      <x:c r="JA1247" t="n">
        <x:f>IF(OR(IFERROR(INDIRECT("'WCM Calibration Final'!$A$1247")&lt;&gt;"",FALSE),IFERROR(INDIRECT("'WCM Calibration Final'!$B$1247")&lt;&gt;"",FALSE),IFERROR(INDIRECT("'WCM Calibration Final'!$C$1247")&lt;&gt;"",FALSE)),1247,0)</x:f>
        <x:v>0</x:v>
      </x:c>
      <x:c r="JB1247" t="n">
        <x:f>'Calculations'!JB1246+IF('Calculations'!JA1247&gt;0,1,0)</x:f>
        <x:v>0</x:v>
      </x:c>
    </x:row>
    <x:row r="1248">
      <x:c r="JA1248" t="n">
        <x:f>IF(OR(IFERROR(INDIRECT("'WCM Calibration Final'!$A$1248")&lt;&gt;"",FALSE),IFERROR(INDIRECT("'WCM Calibration Final'!$B$1248")&lt;&gt;"",FALSE),IFERROR(INDIRECT("'WCM Calibration Final'!$C$1248")&lt;&gt;"",FALSE)),1248,0)</x:f>
        <x:v>0</x:v>
      </x:c>
      <x:c r="JB1248" t="n">
        <x:f>'Calculations'!JB1247+IF('Calculations'!JA1248&gt;0,1,0)</x:f>
        <x:v>0</x:v>
      </x:c>
    </x:row>
    <x:row r="1249">
      <x:c r="JA1249" t="n">
        <x:f>IF(OR(IFERROR(INDIRECT("'WCM Calibration Final'!$A$1249")&lt;&gt;"",FALSE),IFERROR(INDIRECT("'WCM Calibration Final'!$B$1249")&lt;&gt;"",FALSE),IFERROR(INDIRECT("'WCM Calibration Final'!$C$1249")&lt;&gt;"",FALSE)),1249,0)</x:f>
        <x:v>0</x:v>
      </x:c>
      <x:c r="JB1249" t="n">
        <x:f>'Calculations'!JB1248+IF('Calculations'!JA1249&gt;0,1,0)</x:f>
        <x:v>0</x:v>
      </x:c>
    </x:row>
    <x:row r="1250">
      <x:c r="JA1250" t="n">
        <x:f>IF(OR(IFERROR(INDIRECT("'WCM Calibration Final'!$A$1250")&lt;&gt;"",FALSE),IFERROR(INDIRECT("'WCM Calibration Final'!$B$1250")&lt;&gt;"",FALSE),IFERROR(INDIRECT("'WCM Calibration Final'!$C$1250")&lt;&gt;"",FALSE)),1250,0)</x:f>
        <x:v>0</x:v>
      </x:c>
      <x:c r="JB1250" t="n">
        <x:f>'Calculations'!JB1249+IF('Calculations'!JA1250&gt;0,1,0)</x:f>
        <x:v>0</x:v>
      </x:c>
    </x:row>
    <x:row r="1251">
      <x:c r="JA1251" t="n">
        <x:f>IF(OR(IFERROR(INDIRECT("'WCM Calibration Final'!$A$1251")&lt;&gt;"",FALSE),IFERROR(INDIRECT("'WCM Calibration Final'!$B$1251")&lt;&gt;"",FALSE),IFERROR(INDIRECT("'WCM Calibration Final'!$C$1251")&lt;&gt;"",FALSE)),1251,0)</x:f>
        <x:v>0</x:v>
      </x:c>
      <x:c r="JB1251" t="n">
        <x:f>'Calculations'!JB1250+IF('Calculations'!JA1251&gt;0,1,0)</x:f>
        <x:v>0</x:v>
      </x:c>
    </x:row>
    <x:row r="1252">
      <x:c r="JA1252" t="n">
        <x:f>IF(OR(IFERROR(INDIRECT("'WCM Calibration Final'!$A$1252")&lt;&gt;"",FALSE),IFERROR(INDIRECT("'WCM Calibration Final'!$B$1252")&lt;&gt;"",FALSE),IFERROR(INDIRECT("'WCM Calibration Final'!$C$1252")&lt;&gt;"",FALSE)),1252,0)</x:f>
        <x:v>0</x:v>
      </x:c>
      <x:c r="JB1252" t="n">
        <x:f>'Calculations'!JB1251+IF('Calculations'!JA1252&gt;0,1,0)</x:f>
        <x:v>0</x:v>
      </x:c>
    </x:row>
    <x:row r="1253">
      <x:c r="JA1253" t="n">
        <x:f>IF(OR(IFERROR(INDIRECT("'WCM Calibration Final'!$A$1253")&lt;&gt;"",FALSE),IFERROR(INDIRECT("'WCM Calibration Final'!$B$1253")&lt;&gt;"",FALSE),IFERROR(INDIRECT("'WCM Calibration Final'!$C$1253")&lt;&gt;"",FALSE)),1253,0)</x:f>
        <x:v>0</x:v>
      </x:c>
      <x:c r="JB1253" t="n">
        <x:f>'Calculations'!JB1252+IF('Calculations'!JA1253&gt;0,1,0)</x:f>
        <x:v>0</x:v>
      </x:c>
    </x:row>
    <x:row r="1254">
      <x:c r="JA1254" t="n">
        <x:f>IF(OR(IFERROR(INDIRECT("'WCM Calibration Final'!$A$1254")&lt;&gt;"",FALSE),IFERROR(INDIRECT("'WCM Calibration Final'!$B$1254")&lt;&gt;"",FALSE),IFERROR(INDIRECT("'WCM Calibration Final'!$C$1254")&lt;&gt;"",FALSE)),1254,0)</x:f>
        <x:v>0</x:v>
      </x:c>
      <x:c r="JB1254" t="n">
        <x:f>'Calculations'!JB1253+IF('Calculations'!JA1254&gt;0,1,0)</x:f>
        <x:v>0</x:v>
      </x:c>
    </x:row>
    <x:row r="1255">
      <x:c r="JA1255" t="n">
        <x:f>IF(OR(IFERROR(INDIRECT("'WCM Calibration Final'!$A$1255")&lt;&gt;"",FALSE),IFERROR(INDIRECT("'WCM Calibration Final'!$B$1255")&lt;&gt;"",FALSE),IFERROR(INDIRECT("'WCM Calibration Final'!$C$1255")&lt;&gt;"",FALSE)),1255,0)</x:f>
        <x:v>0</x:v>
      </x:c>
      <x:c r="JB1255" t="n">
        <x:f>'Calculations'!JB1254+IF('Calculations'!JA1255&gt;0,1,0)</x:f>
        <x:v>0</x:v>
      </x:c>
    </x:row>
    <x:row r="1256">
      <x:c r="JA1256" t="n">
        <x:f>IF(OR(IFERROR(INDIRECT("'WCM Calibration Final'!$A$1256")&lt;&gt;"",FALSE),IFERROR(INDIRECT("'WCM Calibration Final'!$B$1256")&lt;&gt;"",FALSE),IFERROR(INDIRECT("'WCM Calibration Final'!$C$1256")&lt;&gt;"",FALSE)),1256,0)</x:f>
        <x:v>0</x:v>
      </x:c>
      <x:c r="JB1256" t="n">
        <x:f>'Calculations'!JB1255+IF('Calculations'!JA1256&gt;0,1,0)</x:f>
        <x:v>0</x:v>
      </x:c>
    </x:row>
    <x:row r="1257">
      <x:c r="JA1257" t="n">
        <x:f>IF(OR(IFERROR(INDIRECT("'WCM Calibration Final'!$A$1257")&lt;&gt;"",FALSE),IFERROR(INDIRECT("'WCM Calibration Final'!$B$1257")&lt;&gt;"",FALSE),IFERROR(INDIRECT("'WCM Calibration Final'!$C$1257")&lt;&gt;"",FALSE)),1257,0)</x:f>
        <x:v>0</x:v>
      </x:c>
      <x:c r="JB1257" t="n">
        <x:f>'Calculations'!JB1256+IF('Calculations'!JA1257&gt;0,1,0)</x:f>
        <x:v>0</x:v>
      </x:c>
    </x:row>
    <x:row r="1258">
      <x:c r="JA1258" t="n">
        <x:f>IF(OR(IFERROR(INDIRECT("'WCM Calibration Final'!$A$1258")&lt;&gt;"",FALSE),IFERROR(INDIRECT("'WCM Calibration Final'!$B$1258")&lt;&gt;"",FALSE),IFERROR(INDIRECT("'WCM Calibration Final'!$C$1258")&lt;&gt;"",FALSE)),1258,0)</x:f>
        <x:v>0</x:v>
      </x:c>
      <x:c r="JB1258" t="n">
        <x:f>'Calculations'!JB1257+IF('Calculations'!JA1258&gt;0,1,0)</x:f>
        <x:v>0</x:v>
      </x:c>
    </x:row>
    <x:row r="1259">
      <x:c r="JA1259" t="n">
        <x:f>IF(OR(IFERROR(INDIRECT("'WCM Calibration Final'!$A$1259")&lt;&gt;"",FALSE),IFERROR(INDIRECT("'WCM Calibration Final'!$B$1259")&lt;&gt;"",FALSE),IFERROR(INDIRECT("'WCM Calibration Final'!$C$1259")&lt;&gt;"",FALSE)),1259,0)</x:f>
        <x:v>0</x:v>
      </x:c>
      <x:c r="JB1259" t="n">
        <x:f>'Calculations'!JB1258+IF('Calculations'!JA1259&gt;0,1,0)</x:f>
        <x:v>0</x:v>
      </x:c>
    </x:row>
    <x:row r="1260">
      <x:c r="JA1260" t="n">
        <x:f>IF(OR(IFERROR(INDIRECT("'WCM Calibration Final'!$A$1260")&lt;&gt;"",FALSE),IFERROR(INDIRECT("'WCM Calibration Final'!$B$1260")&lt;&gt;"",FALSE),IFERROR(INDIRECT("'WCM Calibration Final'!$C$1260")&lt;&gt;"",FALSE)),1260,0)</x:f>
        <x:v>0</x:v>
      </x:c>
      <x:c r="JB1260" t="n">
        <x:f>'Calculations'!JB1259+IF('Calculations'!JA1260&gt;0,1,0)</x:f>
        <x:v>0</x:v>
      </x:c>
    </x:row>
    <x:row r="1261">
      <x:c r="JA1261" t="n">
        <x:f>IF(OR(IFERROR(INDIRECT("'WCM Calibration Final'!$A$1261")&lt;&gt;"",FALSE),IFERROR(INDIRECT("'WCM Calibration Final'!$B$1261")&lt;&gt;"",FALSE),IFERROR(INDIRECT("'WCM Calibration Final'!$C$1261")&lt;&gt;"",FALSE)),1261,0)</x:f>
        <x:v>0</x:v>
      </x:c>
      <x:c r="JB1261" t="n">
        <x:f>'Calculations'!JB1260+IF('Calculations'!JA1261&gt;0,1,0)</x:f>
        <x:v>0</x:v>
      </x:c>
    </x:row>
    <x:row r="1262">
      <x:c r="JA1262" t="n">
        <x:f>IF(OR(IFERROR(INDIRECT("'WCM Calibration Final'!$A$1262")&lt;&gt;"",FALSE),IFERROR(INDIRECT("'WCM Calibration Final'!$B$1262")&lt;&gt;"",FALSE),IFERROR(INDIRECT("'WCM Calibration Final'!$C$1262")&lt;&gt;"",FALSE)),1262,0)</x:f>
        <x:v>0</x:v>
      </x:c>
      <x:c r="JB1262" t="n">
        <x:f>'Calculations'!JB1261+IF('Calculations'!JA1262&gt;0,1,0)</x:f>
        <x:v>0</x:v>
      </x:c>
    </x:row>
    <x:row r="1263">
      <x:c r="JA1263" t="n">
        <x:f>IF(OR(IFERROR(INDIRECT("'WCM Calibration Final'!$A$1263")&lt;&gt;"",FALSE),IFERROR(INDIRECT("'WCM Calibration Final'!$B$1263")&lt;&gt;"",FALSE),IFERROR(INDIRECT("'WCM Calibration Final'!$C$1263")&lt;&gt;"",FALSE)),1263,0)</x:f>
        <x:v>0</x:v>
      </x:c>
      <x:c r="JB1263" t="n">
        <x:f>'Calculations'!JB1262+IF('Calculations'!JA1263&gt;0,1,0)</x:f>
        <x:v>0</x:v>
      </x:c>
    </x:row>
    <x:row r="1264">
      <x:c r="JA1264" t="n">
        <x:f>IF(OR(IFERROR(INDIRECT("'WCM Calibration Final'!$A$1264")&lt;&gt;"",FALSE),IFERROR(INDIRECT("'WCM Calibration Final'!$B$1264")&lt;&gt;"",FALSE),IFERROR(INDIRECT("'WCM Calibration Final'!$C$1264")&lt;&gt;"",FALSE)),1264,0)</x:f>
        <x:v>0</x:v>
      </x:c>
      <x:c r="JB1264" t="n">
        <x:f>'Calculations'!JB1263+IF('Calculations'!JA1264&gt;0,1,0)</x:f>
        <x:v>0</x:v>
      </x:c>
    </x:row>
    <x:row r="1265">
      <x:c r="JA1265" t="n">
        <x:f>IF(OR(IFERROR(INDIRECT("'WCM Calibration Final'!$A$1265")&lt;&gt;"",FALSE),IFERROR(INDIRECT("'WCM Calibration Final'!$B$1265")&lt;&gt;"",FALSE),IFERROR(INDIRECT("'WCM Calibration Final'!$C$1265")&lt;&gt;"",FALSE)),1265,0)</x:f>
        <x:v>0</x:v>
      </x:c>
      <x:c r="JB1265" t="n">
        <x:f>'Calculations'!JB1264+IF('Calculations'!JA1265&gt;0,1,0)</x:f>
        <x:v>0</x:v>
      </x:c>
    </x:row>
    <x:row r="1266">
      <x:c r="JA1266" t="n">
        <x:f>IF(OR(IFERROR(INDIRECT("'WCM Calibration Final'!$A$1266")&lt;&gt;"",FALSE),IFERROR(INDIRECT("'WCM Calibration Final'!$B$1266")&lt;&gt;"",FALSE),IFERROR(INDIRECT("'WCM Calibration Final'!$C$1266")&lt;&gt;"",FALSE)),1266,0)</x:f>
        <x:v>0</x:v>
      </x:c>
      <x:c r="JB1266" t="n">
        <x:f>'Calculations'!JB1265+IF('Calculations'!JA1266&gt;0,1,0)</x:f>
        <x:v>0</x:v>
      </x:c>
    </x:row>
    <x:row r="1267">
      <x:c r="JA1267" t="n">
        <x:f>IF(OR(IFERROR(INDIRECT("'WCM Calibration Final'!$A$1267")&lt;&gt;"",FALSE),IFERROR(INDIRECT("'WCM Calibration Final'!$B$1267")&lt;&gt;"",FALSE),IFERROR(INDIRECT("'WCM Calibration Final'!$C$1267")&lt;&gt;"",FALSE)),1267,0)</x:f>
        <x:v>0</x:v>
      </x:c>
      <x:c r="JB1267" t="n">
        <x:f>'Calculations'!JB1266+IF('Calculations'!JA1267&gt;0,1,0)</x:f>
        <x:v>0</x:v>
      </x:c>
    </x:row>
    <x:row r="1268">
      <x:c r="JA1268" t="n">
        <x:f>IF(OR(IFERROR(INDIRECT("'WCM Calibration Final'!$A$1268")&lt;&gt;"",FALSE),IFERROR(INDIRECT("'WCM Calibration Final'!$B$1268")&lt;&gt;"",FALSE),IFERROR(INDIRECT("'WCM Calibration Final'!$C$1268")&lt;&gt;"",FALSE)),1268,0)</x:f>
        <x:v>0</x:v>
      </x:c>
      <x:c r="JB1268" t="n">
        <x:f>'Calculations'!JB1267+IF('Calculations'!JA1268&gt;0,1,0)</x:f>
        <x:v>0</x:v>
      </x:c>
    </x:row>
    <x:row r="1269">
      <x:c r="JA1269" t="n">
        <x:f>IF(OR(IFERROR(INDIRECT("'WCM Calibration Final'!$A$1269")&lt;&gt;"",FALSE),IFERROR(INDIRECT("'WCM Calibration Final'!$B$1269")&lt;&gt;"",FALSE),IFERROR(INDIRECT("'WCM Calibration Final'!$C$1269")&lt;&gt;"",FALSE)),1269,0)</x:f>
        <x:v>0</x:v>
      </x:c>
      <x:c r="JB1269" t="n">
        <x:f>'Calculations'!JB1268+IF('Calculations'!JA1269&gt;0,1,0)</x:f>
        <x:v>0</x:v>
      </x:c>
    </x:row>
    <x:row r="1270">
      <x:c r="JA1270" t="n">
        <x:f>IF(OR(IFERROR(INDIRECT("'WCM Calibration Final'!$A$1270")&lt;&gt;"",FALSE),IFERROR(INDIRECT("'WCM Calibration Final'!$B$1270")&lt;&gt;"",FALSE),IFERROR(INDIRECT("'WCM Calibration Final'!$C$1270")&lt;&gt;"",FALSE)),1270,0)</x:f>
        <x:v>0</x:v>
      </x:c>
      <x:c r="JB1270" t="n">
        <x:f>'Calculations'!JB1269+IF('Calculations'!JA1270&gt;0,1,0)</x:f>
        <x:v>0</x:v>
      </x:c>
    </x:row>
    <x:row r="1271">
      <x:c r="JA1271" t="n">
        <x:f>IF(OR(IFERROR(INDIRECT("'WCM Calibration Final'!$A$1271")&lt;&gt;"",FALSE),IFERROR(INDIRECT("'WCM Calibration Final'!$B$1271")&lt;&gt;"",FALSE),IFERROR(INDIRECT("'WCM Calibration Final'!$C$1271")&lt;&gt;"",FALSE)),1271,0)</x:f>
        <x:v>0</x:v>
      </x:c>
      <x:c r="JB1271" t="n">
        <x:f>'Calculations'!JB1270+IF('Calculations'!JA1271&gt;0,1,0)</x:f>
        <x:v>0</x:v>
      </x:c>
    </x:row>
    <x:row r="1272">
      <x:c r="JA1272" t="n">
        <x:f>IF(OR(IFERROR(INDIRECT("'WCM Calibration Final'!$A$1272")&lt;&gt;"",FALSE),IFERROR(INDIRECT("'WCM Calibration Final'!$B$1272")&lt;&gt;"",FALSE),IFERROR(INDIRECT("'WCM Calibration Final'!$C$1272")&lt;&gt;"",FALSE)),1272,0)</x:f>
        <x:v>0</x:v>
      </x:c>
      <x:c r="JB1272" t="n">
        <x:f>'Calculations'!JB1271+IF('Calculations'!JA1272&gt;0,1,0)</x:f>
        <x:v>0</x:v>
      </x:c>
    </x:row>
    <x:row r="1273">
      <x:c r="JA1273" t="n">
        <x:f>IF(OR(IFERROR(INDIRECT("'WCM Calibration Final'!$A$1273")&lt;&gt;"",FALSE),IFERROR(INDIRECT("'WCM Calibration Final'!$B$1273")&lt;&gt;"",FALSE),IFERROR(INDIRECT("'WCM Calibration Final'!$C$1273")&lt;&gt;"",FALSE)),1273,0)</x:f>
        <x:v>0</x:v>
      </x:c>
      <x:c r="JB1273" t="n">
        <x:f>'Calculations'!JB1272+IF('Calculations'!JA1273&gt;0,1,0)</x:f>
        <x:v>0</x:v>
      </x:c>
    </x:row>
    <x:row r="1274">
      <x:c r="JA1274" t="n">
        <x:f>IF(OR(IFERROR(INDIRECT("'WCM Calibration Final'!$A$1274")&lt;&gt;"",FALSE),IFERROR(INDIRECT("'WCM Calibration Final'!$B$1274")&lt;&gt;"",FALSE),IFERROR(INDIRECT("'WCM Calibration Final'!$C$1274")&lt;&gt;"",FALSE)),1274,0)</x:f>
        <x:v>0</x:v>
      </x:c>
      <x:c r="JB1274" t="n">
        <x:f>'Calculations'!JB1273+IF('Calculations'!JA1274&gt;0,1,0)</x:f>
        <x:v>0</x:v>
      </x:c>
    </x:row>
    <x:row r="1275">
      <x:c r="JA1275" t="n">
        <x:f>IF(OR(IFERROR(INDIRECT("'WCM Calibration Final'!$A$1275")&lt;&gt;"",FALSE),IFERROR(INDIRECT("'WCM Calibration Final'!$B$1275")&lt;&gt;"",FALSE),IFERROR(INDIRECT("'WCM Calibration Final'!$C$1275")&lt;&gt;"",FALSE)),1275,0)</x:f>
        <x:v>0</x:v>
      </x:c>
      <x:c r="JB1275" t="n">
        <x:f>'Calculations'!JB1274+IF('Calculations'!JA1275&gt;0,1,0)</x:f>
        <x:v>0</x:v>
      </x:c>
    </x:row>
    <x:row r="1276">
      <x:c r="JA1276" t="n">
        <x:f>IF(OR(IFERROR(INDIRECT("'WCM Calibration Final'!$A$1276")&lt;&gt;"",FALSE),IFERROR(INDIRECT("'WCM Calibration Final'!$B$1276")&lt;&gt;"",FALSE),IFERROR(INDIRECT("'WCM Calibration Final'!$C$1276")&lt;&gt;"",FALSE)),1276,0)</x:f>
        <x:v>0</x:v>
      </x:c>
      <x:c r="JB1276" t="n">
        <x:f>'Calculations'!JB1275+IF('Calculations'!JA1276&gt;0,1,0)</x:f>
        <x:v>0</x:v>
      </x:c>
    </x:row>
    <x:row r="1277">
      <x:c r="JA1277" t="n">
        <x:f>IF(OR(IFERROR(INDIRECT("'WCM Calibration Final'!$A$1277")&lt;&gt;"",FALSE),IFERROR(INDIRECT("'WCM Calibration Final'!$B$1277")&lt;&gt;"",FALSE),IFERROR(INDIRECT("'WCM Calibration Final'!$C$1277")&lt;&gt;"",FALSE)),1277,0)</x:f>
        <x:v>0</x:v>
      </x:c>
      <x:c r="JB1277" t="n">
        <x:f>'Calculations'!JB1276+IF('Calculations'!JA1277&gt;0,1,0)</x:f>
        <x:v>0</x:v>
      </x:c>
    </x:row>
    <x:row r="1278">
      <x:c r="JA1278" t="n">
        <x:f>IF(OR(IFERROR(INDIRECT("'WCM Calibration Final'!$A$1278")&lt;&gt;"",FALSE),IFERROR(INDIRECT("'WCM Calibration Final'!$B$1278")&lt;&gt;"",FALSE),IFERROR(INDIRECT("'WCM Calibration Final'!$C$1278")&lt;&gt;"",FALSE)),1278,0)</x:f>
        <x:v>0</x:v>
      </x:c>
      <x:c r="JB1278" t="n">
        <x:f>'Calculations'!JB1277+IF('Calculations'!JA1278&gt;0,1,0)</x:f>
        <x:v>0</x:v>
      </x:c>
    </x:row>
    <x:row r="1279">
      <x:c r="JA1279" t="n">
        <x:f>IF(OR(IFERROR(INDIRECT("'WCM Calibration Final'!$A$1279")&lt;&gt;"",FALSE),IFERROR(INDIRECT("'WCM Calibration Final'!$B$1279")&lt;&gt;"",FALSE),IFERROR(INDIRECT("'WCM Calibration Final'!$C$1279")&lt;&gt;"",FALSE)),1279,0)</x:f>
        <x:v>0</x:v>
      </x:c>
      <x:c r="JB1279" t="n">
        <x:f>'Calculations'!JB1278+IF('Calculations'!JA1279&gt;0,1,0)</x:f>
        <x:v>0</x:v>
      </x:c>
    </x:row>
    <x:row r="1280">
      <x:c r="JA1280" t="n">
        <x:f>IF(OR(IFERROR(INDIRECT("'WCM Calibration Final'!$A$1280")&lt;&gt;"",FALSE),IFERROR(INDIRECT("'WCM Calibration Final'!$B$1280")&lt;&gt;"",FALSE),IFERROR(INDIRECT("'WCM Calibration Final'!$C$1280")&lt;&gt;"",FALSE)),1280,0)</x:f>
        <x:v>0</x:v>
      </x:c>
      <x:c r="JB1280" t="n">
        <x:f>'Calculations'!JB1279+IF('Calculations'!JA1280&gt;0,1,0)</x:f>
        <x:v>0</x:v>
      </x:c>
    </x:row>
    <x:row r="1281">
      <x:c r="JA1281" t="n">
        <x:f>IF(OR(IFERROR(INDIRECT("'WCM Calibration Final'!$A$1281")&lt;&gt;"",FALSE),IFERROR(INDIRECT("'WCM Calibration Final'!$B$1281")&lt;&gt;"",FALSE),IFERROR(INDIRECT("'WCM Calibration Final'!$C$1281")&lt;&gt;"",FALSE)),1281,0)</x:f>
        <x:v>0</x:v>
      </x:c>
      <x:c r="JB1281" t="n">
        <x:f>'Calculations'!JB1280+IF('Calculations'!JA1281&gt;0,1,0)</x:f>
        <x:v>0</x:v>
      </x:c>
    </x:row>
    <x:row r="1282">
      <x:c r="JA1282" t="n">
        <x:f>IF(OR(IFERROR(INDIRECT("'WCM Calibration Final'!$A$1282")&lt;&gt;"",FALSE),IFERROR(INDIRECT("'WCM Calibration Final'!$B$1282")&lt;&gt;"",FALSE),IFERROR(INDIRECT("'WCM Calibration Final'!$C$1282")&lt;&gt;"",FALSE)),1282,0)</x:f>
        <x:v>0</x:v>
      </x:c>
      <x:c r="JB1282" t="n">
        <x:f>'Calculations'!JB1281+IF('Calculations'!JA1282&gt;0,1,0)</x:f>
        <x:v>0</x:v>
      </x:c>
    </x:row>
    <x:row r="1283">
      <x:c r="JA1283" t="n">
        <x:f>IF(OR(IFERROR(INDIRECT("'WCM Calibration Final'!$A$1283")&lt;&gt;"",FALSE),IFERROR(INDIRECT("'WCM Calibration Final'!$B$1283")&lt;&gt;"",FALSE),IFERROR(INDIRECT("'WCM Calibration Final'!$C$1283")&lt;&gt;"",FALSE)),1283,0)</x:f>
        <x:v>0</x:v>
      </x:c>
      <x:c r="JB1283" t="n">
        <x:f>'Calculations'!JB1282+IF('Calculations'!JA1283&gt;0,1,0)</x:f>
        <x:v>0</x:v>
      </x:c>
    </x:row>
    <x:row r="1284">
      <x:c r="JA1284" t="n">
        <x:f>IF(OR(IFERROR(INDIRECT("'WCM Calibration Final'!$A$1284")&lt;&gt;"",FALSE),IFERROR(INDIRECT("'WCM Calibration Final'!$B$1284")&lt;&gt;"",FALSE),IFERROR(INDIRECT("'WCM Calibration Final'!$C$1284")&lt;&gt;"",FALSE)),1284,0)</x:f>
        <x:v>0</x:v>
      </x:c>
      <x:c r="JB1284" t="n">
        <x:f>'Calculations'!JB1283+IF('Calculations'!JA1284&gt;0,1,0)</x:f>
        <x:v>0</x:v>
      </x:c>
    </x:row>
    <x:row r="1285">
      <x:c r="JA1285" t="n">
        <x:f>IF(OR(IFERROR(INDIRECT("'WCM Calibration Final'!$A$1285")&lt;&gt;"",FALSE),IFERROR(INDIRECT("'WCM Calibration Final'!$B$1285")&lt;&gt;"",FALSE),IFERROR(INDIRECT("'WCM Calibration Final'!$C$1285")&lt;&gt;"",FALSE)),1285,0)</x:f>
        <x:v>0</x:v>
      </x:c>
      <x:c r="JB1285" t="n">
        <x:f>'Calculations'!JB1284+IF('Calculations'!JA1285&gt;0,1,0)</x:f>
        <x:v>0</x:v>
      </x:c>
    </x:row>
    <x:row r="1286">
      <x:c r="JA1286" t="n">
        <x:f>IF(OR(IFERROR(INDIRECT("'WCM Calibration Final'!$A$1286")&lt;&gt;"",FALSE),IFERROR(INDIRECT("'WCM Calibration Final'!$B$1286")&lt;&gt;"",FALSE),IFERROR(INDIRECT("'WCM Calibration Final'!$C$1286")&lt;&gt;"",FALSE)),1286,0)</x:f>
        <x:v>0</x:v>
      </x:c>
      <x:c r="JB1286" t="n">
        <x:f>'Calculations'!JB1285+IF('Calculations'!JA1286&gt;0,1,0)</x:f>
        <x:v>0</x:v>
      </x:c>
    </x:row>
    <x:row r="1287">
      <x:c r="JA1287" t="n">
        <x:f>IF(OR(IFERROR(INDIRECT("'WCM Calibration Final'!$A$1287")&lt;&gt;"",FALSE),IFERROR(INDIRECT("'WCM Calibration Final'!$B$1287")&lt;&gt;"",FALSE),IFERROR(INDIRECT("'WCM Calibration Final'!$C$1287")&lt;&gt;"",FALSE)),1287,0)</x:f>
        <x:v>0</x:v>
      </x:c>
      <x:c r="JB1287" t="n">
        <x:f>'Calculations'!JB1286+IF('Calculations'!JA1287&gt;0,1,0)</x:f>
        <x:v>0</x:v>
      </x:c>
    </x:row>
    <x:row r="1288">
      <x:c r="JA1288" t="n">
        <x:f>IF(OR(IFERROR(INDIRECT("'WCM Calibration Final'!$A$1288")&lt;&gt;"",FALSE),IFERROR(INDIRECT("'WCM Calibration Final'!$B$1288")&lt;&gt;"",FALSE),IFERROR(INDIRECT("'WCM Calibration Final'!$C$1288")&lt;&gt;"",FALSE)),1288,0)</x:f>
        <x:v>0</x:v>
      </x:c>
      <x:c r="JB1288" t="n">
        <x:f>'Calculations'!JB1287+IF('Calculations'!JA1288&gt;0,1,0)</x:f>
        <x:v>0</x:v>
      </x:c>
    </x:row>
    <x:row r="1289">
      <x:c r="JA1289" t="n">
        <x:f>IF(OR(IFERROR(INDIRECT("'WCM Calibration Final'!$A$1289")&lt;&gt;"",FALSE),IFERROR(INDIRECT("'WCM Calibration Final'!$B$1289")&lt;&gt;"",FALSE),IFERROR(INDIRECT("'WCM Calibration Final'!$C$1289")&lt;&gt;"",FALSE)),1289,0)</x:f>
        <x:v>0</x:v>
      </x:c>
      <x:c r="JB1289" t="n">
        <x:f>'Calculations'!JB1288+IF('Calculations'!JA1289&gt;0,1,0)</x:f>
        <x:v>0</x:v>
      </x:c>
    </x:row>
    <x:row r="1290">
      <x:c r="JA1290" t="n">
        <x:f>IF(OR(IFERROR(INDIRECT("'WCM Calibration Final'!$A$1290")&lt;&gt;"",FALSE),IFERROR(INDIRECT("'WCM Calibration Final'!$B$1290")&lt;&gt;"",FALSE),IFERROR(INDIRECT("'WCM Calibration Final'!$C$1290")&lt;&gt;"",FALSE)),1290,0)</x:f>
        <x:v>0</x:v>
      </x:c>
      <x:c r="JB1290" t="n">
        <x:f>'Calculations'!JB1289+IF('Calculations'!JA1290&gt;0,1,0)</x:f>
        <x:v>0</x:v>
      </x:c>
    </x:row>
    <x:row r="1291">
      <x:c r="JA1291" t="n">
        <x:f>IF(OR(IFERROR(INDIRECT("'WCM Calibration Final'!$A$1291")&lt;&gt;"",FALSE),IFERROR(INDIRECT("'WCM Calibration Final'!$B$1291")&lt;&gt;"",FALSE),IFERROR(INDIRECT("'WCM Calibration Final'!$C$1291")&lt;&gt;"",FALSE)),1291,0)</x:f>
        <x:v>0</x:v>
      </x:c>
      <x:c r="JB1291" t="n">
        <x:f>'Calculations'!JB1290+IF('Calculations'!JA1291&gt;0,1,0)</x:f>
        <x:v>0</x:v>
      </x:c>
    </x:row>
    <x:row r="1292">
      <x:c r="JA1292" t="n">
        <x:f>IF(OR(IFERROR(INDIRECT("'WCM Calibration Final'!$A$1292")&lt;&gt;"",FALSE),IFERROR(INDIRECT("'WCM Calibration Final'!$B$1292")&lt;&gt;"",FALSE),IFERROR(INDIRECT("'WCM Calibration Final'!$C$1292")&lt;&gt;"",FALSE)),1292,0)</x:f>
        <x:v>0</x:v>
      </x:c>
      <x:c r="JB1292" t="n">
        <x:f>'Calculations'!JB1291+IF('Calculations'!JA1292&gt;0,1,0)</x:f>
        <x:v>0</x:v>
      </x:c>
    </x:row>
    <x:row r="1293">
      <x:c r="JA1293" t="n">
        <x:f>IF(OR(IFERROR(INDIRECT("'WCM Calibration Final'!$A$1293")&lt;&gt;"",FALSE),IFERROR(INDIRECT("'WCM Calibration Final'!$B$1293")&lt;&gt;"",FALSE),IFERROR(INDIRECT("'WCM Calibration Final'!$C$1293")&lt;&gt;"",FALSE)),1293,0)</x:f>
        <x:v>0</x:v>
      </x:c>
      <x:c r="JB1293" t="n">
        <x:f>'Calculations'!JB1292+IF('Calculations'!JA1293&gt;0,1,0)</x:f>
        <x:v>0</x:v>
      </x:c>
    </x:row>
    <x:row r="1294">
      <x:c r="JA1294" t="n">
        <x:f>IF(OR(IFERROR(INDIRECT("'WCM Calibration Final'!$A$1294")&lt;&gt;"",FALSE),IFERROR(INDIRECT("'WCM Calibration Final'!$B$1294")&lt;&gt;"",FALSE),IFERROR(INDIRECT("'WCM Calibration Final'!$C$1294")&lt;&gt;"",FALSE)),1294,0)</x:f>
        <x:v>0</x:v>
      </x:c>
      <x:c r="JB1294" t="n">
        <x:f>'Calculations'!JB1293+IF('Calculations'!JA1294&gt;0,1,0)</x:f>
        <x:v>0</x:v>
      </x:c>
    </x:row>
    <x:row r="1295">
      <x:c r="JA1295" t="n">
        <x:f>IF(OR(IFERROR(INDIRECT("'WCM Calibration Final'!$A$1295")&lt;&gt;"",FALSE),IFERROR(INDIRECT("'WCM Calibration Final'!$B$1295")&lt;&gt;"",FALSE),IFERROR(INDIRECT("'WCM Calibration Final'!$C$1295")&lt;&gt;"",FALSE)),1295,0)</x:f>
        <x:v>0</x:v>
      </x:c>
      <x:c r="JB1295" t="n">
        <x:f>'Calculations'!JB1294+IF('Calculations'!JA1295&gt;0,1,0)</x:f>
        <x:v>0</x:v>
      </x:c>
    </x:row>
    <x:row r="1296">
      <x:c r="JA1296" t="n">
        <x:f>IF(OR(IFERROR(INDIRECT("'WCM Calibration Final'!$A$1296")&lt;&gt;"",FALSE),IFERROR(INDIRECT("'WCM Calibration Final'!$B$1296")&lt;&gt;"",FALSE),IFERROR(INDIRECT("'WCM Calibration Final'!$C$1296")&lt;&gt;"",FALSE)),1296,0)</x:f>
        <x:v>0</x:v>
      </x:c>
      <x:c r="JB1296" t="n">
        <x:f>'Calculations'!JB1295+IF('Calculations'!JA1296&gt;0,1,0)</x:f>
        <x:v>0</x:v>
      </x:c>
    </x:row>
    <x:row r="1297">
      <x:c r="JA1297" t="n">
        <x:f>IF(OR(IFERROR(INDIRECT("'WCM Calibration Final'!$A$1297")&lt;&gt;"",FALSE),IFERROR(INDIRECT("'WCM Calibration Final'!$B$1297")&lt;&gt;"",FALSE),IFERROR(INDIRECT("'WCM Calibration Final'!$C$1297")&lt;&gt;"",FALSE)),1297,0)</x:f>
        <x:v>0</x:v>
      </x:c>
      <x:c r="JB1297" t="n">
        <x:f>'Calculations'!JB1296+IF('Calculations'!JA1297&gt;0,1,0)</x:f>
        <x:v>0</x:v>
      </x:c>
    </x:row>
    <x:row r="1298">
      <x:c r="JA1298" t="n">
        <x:f>IF(OR(IFERROR(INDIRECT("'WCM Calibration Final'!$A$1298")&lt;&gt;"",FALSE),IFERROR(INDIRECT("'WCM Calibration Final'!$B$1298")&lt;&gt;"",FALSE),IFERROR(INDIRECT("'WCM Calibration Final'!$C$1298")&lt;&gt;"",FALSE)),1298,0)</x:f>
        <x:v>0</x:v>
      </x:c>
      <x:c r="JB1298" t="n">
        <x:f>'Calculations'!JB1297+IF('Calculations'!JA1298&gt;0,1,0)</x:f>
        <x:v>0</x:v>
      </x:c>
    </x:row>
    <x:row r="1299">
      <x:c r="JA1299" t="n">
        <x:f>IF(OR(IFERROR(INDIRECT("'WCM Calibration Final'!$A$1299")&lt;&gt;"",FALSE),IFERROR(INDIRECT("'WCM Calibration Final'!$B$1299")&lt;&gt;"",FALSE),IFERROR(INDIRECT("'WCM Calibration Final'!$C$1299")&lt;&gt;"",FALSE)),1299,0)</x:f>
        <x:v>0</x:v>
      </x:c>
      <x:c r="JB1299" t="n">
        <x:f>'Calculations'!JB1298+IF('Calculations'!JA1299&gt;0,1,0)</x:f>
        <x:v>0</x:v>
      </x:c>
    </x:row>
    <x:row r="1300">
      <x:c r="JA1300" t="n">
        <x:f>IF(OR(IFERROR(INDIRECT("'WCM Calibration Final'!$A$1300")&lt;&gt;"",FALSE),IFERROR(INDIRECT("'WCM Calibration Final'!$B$1300")&lt;&gt;"",FALSE),IFERROR(INDIRECT("'WCM Calibration Final'!$C$1300")&lt;&gt;"",FALSE)),1300,0)</x:f>
        <x:v>0</x:v>
      </x:c>
      <x:c r="JB1300" t="n">
        <x:f>'Calculations'!JB1299+IF('Calculations'!JA1300&gt;0,1,0)</x:f>
        <x:v>0</x:v>
      </x:c>
    </x:row>
    <x:row r="1301">
      <x:c r="JA1301" t="n">
        <x:f>IF(OR(IFERROR(INDIRECT("'WCM Calibration Final'!$A$1301")&lt;&gt;"",FALSE),IFERROR(INDIRECT("'WCM Calibration Final'!$B$1301")&lt;&gt;"",FALSE),IFERROR(INDIRECT("'WCM Calibration Final'!$C$1301")&lt;&gt;"",FALSE)),1301,0)</x:f>
        <x:v>0</x:v>
      </x:c>
      <x:c r="JB1301" t="n">
        <x:f>'Calculations'!JB1300+IF('Calculations'!JA1301&gt;0,1,0)</x:f>
        <x:v>0</x:v>
      </x:c>
    </x:row>
    <x:row r="1302">
      <x:c r="JA1302" t="n">
        <x:f>IF(OR(IFERROR(INDIRECT("'WCM Calibration Final'!$A$1302")&lt;&gt;"",FALSE),IFERROR(INDIRECT("'WCM Calibration Final'!$B$1302")&lt;&gt;"",FALSE),IFERROR(INDIRECT("'WCM Calibration Final'!$C$1302")&lt;&gt;"",FALSE)),1302,0)</x:f>
        <x:v>0</x:v>
      </x:c>
      <x:c r="JB1302" t="n">
        <x:f>'Calculations'!JB1301+IF('Calculations'!JA1302&gt;0,1,0)</x:f>
        <x:v>0</x:v>
      </x:c>
    </x:row>
    <x:row r="1303">
      <x:c r="JA1303" t="n">
        <x:f>IF(OR(IFERROR(INDIRECT("'WCM Calibration Final'!$A$1303")&lt;&gt;"",FALSE),IFERROR(INDIRECT("'WCM Calibration Final'!$B$1303")&lt;&gt;"",FALSE),IFERROR(INDIRECT("'WCM Calibration Final'!$C$1303")&lt;&gt;"",FALSE)),1303,0)</x:f>
        <x:v>0</x:v>
      </x:c>
      <x:c r="JB1303" t="n">
        <x:f>'Calculations'!JB1302+IF('Calculations'!JA1303&gt;0,1,0)</x:f>
        <x:v>0</x:v>
      </x:c>
    </x:row>
    <x:row r="1304">
      <x:c r="JA1304" t="n">
        <x:f>IF(OR(IFERROR(INDIRECT("'WCM Calibration Final'!$A$1304")&lt;&gt;"",FALSE),IFERROR(INDIRECT("'WCM Calibration Final'!$B$1304")&lt;&gt;"",FALSE),IFERROR(INDIRECT("'WCM Calibration Final'!$C$1304")&lt;&gt;"",FALSE)),1304,0)</x:f>
        <x:v>0</x:v>
      </x:c>
      <x:c r="JB1304" t="n">
        <x:f>'Calculations'!JB1303+IF('Calculations'!JA1304&gt;0,1,0)</x:f>
        <x:v>0</x:v>
      </x:c>
    </x:row>
    <x:row r="1305">
      <x:c r="JA1305" t="n">
        <x:f>IF(OR(IFERROR(INDIRECT("'WCM Calibration Final'!$A$1305")&lt;&gt;"",FALSE),IFERROR(INDIRECT("'WCM Calibration Final'!$B$1305")&lt;&gt;"",FALSE),IFERROR(INDIRECT("'WCM Calibration Final'!$C$1305")&lt;&gt;"",FALSE)),1305,0)</x:f>
        <x:v>0</x:v>
      </x:c>
      <x:c r="JB1305" t="n">
        <x:f>'Calculations'!JB1304+IF('Calculations'!JA1305&gt;0,1,0)</x:f>
        <x:v>0</x:v>
      </x:c>
    </x:row>
    <x:row r="1306">
      <x:c r="JA1306" t="n">
        <x:f>IF(OR(IFERROR(INDIRECT("'WCM Calibration Final'!$A$1306")&lt;&gt;"",FALSE),IFERROR(INDIRECT("'WCM Calibration Final'!$B$1306")&lt;&gt;"",FALSE),IFERROR(INDIRECT("'WCM Calibration Final'!$C$1306")&lt;&gt;"",FALSE)),1306,0)</x:f>
        <x:v>0</x:v>
      </x:c>
      <x:c r="JB1306" t="n">
        <x:f>'Calculations'!JB1305+IF('Calculations'!JA1306&gt;0,1,0)</x:f>
        <x:v>0</x:v>
      </x:c>
    </x:row>
    <x:row r="1307">
      <x:c r="JA1307" t="n">
        <x:f>IF(OR(IFERROR(INDIRECT("'WCM Calibration Final'!$A$1307")&lt;&gt;"",FALSE),IFERROR(INDIRECT("'WCM Calibration Final'!$B$1307")&lt;&gt;"",FALSE),IFERROR(INDIRECT("'WCM Calibration Final'!$C$1307")&lt;&gt;"",FALSE)),1307,0)</x:f>
        <x:v>0</x:v>
      </x:c>
      <x:c r="JB1307" t="n">
        <x:f>'Calculations'!JB1306+IF('Calculations'!JA1307&gt;0,1,0)</x:f>
        <x:v>0</x:v>
      </x:c>
    </x:row>
    <x:row r="1308">
      <x:c r="JA1308" t="n">
        <x:f>IF(OR(IFERROR(INDIRECT("'WCM Calibration Final'!$A$1308")&lt;&gt;"",FALSE),IFERROR(INDIRECT("'WCM Calibration Final'!$B$1308")&lt;&gt;"",FALSE),IFERROR(INDIRECT("'WCM Calibration Final'!$C$1308")&lt;&gt;"",FALSE)),1308,0)</x:f>
        <x:v>0</x:v>
      </x:c>
      <x:c r="JB1308" t="n">
        <x:f>'Calculations'!JB1307+IF('Calculations'!JA1308&gt;0,1,0)</x:f>
        <x:v>0</x:v>
      </x:c>
    </x:row>
    <x:row r="1309">
      <x:c r="JA1309" t="n">
        <x:f>IF(OR(IFERROR(INDIRECT("'WCM Calibration Final'!$A$1309")&lt;&gt;"",FALSE),IFERROR(INDIRECT("'WCM Calibration Final'!$B$1309")&lt;&gt;"",FALSE),IFERROR(INDIRECT("'WCM Calibration Final'!$C$1309")&lt;&gt;"",FALSE)),1309,0)</x:f>
        <x:v>0</x:v>
      </x:c>
      <x:c r="JB1309" t="n">
        <x:f>'Calculations'!JB1308+IF('Calculations'!JA1309&gt;0,1,0)</x:f>
        <x:v>0</x:v>
      </x:c>
    </x:row>
    <x:row r="1310">
      <x:c r="JA1310" t="n">
        <x:f>IF(OR(IFERROR(INDIRECT("'WCM Calibration Final'!$A$1310")&lt;&gt;"",FALSE),IFERROR(INDIRECT("'WCM Calibration Final'!$B$1310")&lt;&gt;"",FALSE),IFERROR(INDIRECT("'WCM Calibration Final'!$C$1310")&lt;&gt;"",FALSE)),1310,0)</x:f>
        <x:v>0</x:v>
      </x:c>
      <x:c r="JB1310" t="n">
        <x:f>'Calculations'!JB1309+IF('Calculations'!JA1310&gt;0,1,0)</x:f>
        <x:v>0</x:v>
      </x:c>
    </x:row>
    <x:row r="1311">
      <x:c r="JA1311" t="n">
        <x:f>IF(OR(IFERROR(INDIRECT("'WCM Calibration Final'!$A$1311")&lt;&gt;"",FALSE),IFERROR(INDIRECT("'WCM Calibration Final'!$B$1311")&lt;&gt;"",FALSE),IFERROR(INDIRECT("'WCM Calibration Final'!$C$1311")&lt;&gt;"",FALSE)),1311,0)</x:f>
        <x:v>0</x:v>
      </x:c>
      <x:c r="JB1311" t="n">
        <x:f>'Calculations'!JB1310+IF('Calculations'!JA1311&gt;0,1,0)</x:f>
        <x:v>0</x:v>
      </x:c>
    </x:row>
    <x:row r="1312">
      <x:c r="JA1312" t="n">
        <x:f>IF(OR(IFERROR(INDIRECT("'WCM Calibration Final'!$A$1312")&lt;&gt;"",FALSE),IFERROR(INDIRECT("'WCM Calibration Final'!$B$1312")&lt;&gt;"",FALSE),IFERROR(INDIRECT("'WCM Calibration Final'!$C$1312")&lt;&gt;"",FALSE)),1312,0)</x:f>
        <x:v>0</x:v>
      </x:c>
      <x:c r="JB1312" t="n">
        <x:f>'Calculations'!JB1311+IF('Calculations'!JA1312&gt;0,1,0)</x:f>
        <x:v>0</x:v>
      </x:c>
    </x:row>
    <x:row r="1313">
      <x:c r="JA1313" t="n">
        <x:f>IF(OR(IFERROR(INDIRECT("'WCM Calibration Final'!$A$1313")&lt;&gt;"",FALSE),IFERROR(INDIRECT("'WCM Calibration Final'!$B$1313")&lt;&gt;"",FALSE),IFERROR(INDIRECT("'WCM Calibration Final'!$C$1313")&lt;&gt;"",FALSE)),1313,0)</x:f>
        <x:v>0</x:v>
      </x:c>
      <x:c r="JB1313" t="n">
        <x:f>'Calculations'!JB1312+IF('Calculations'!JA1313&gt;0,1,0)</x:f>
        <x:v>0</x:v>
      </x:c>
    </x:row>
    <x:row r="1314">
      <x:c r="JA1314" t="n">
        <x:f>IF(OR(IFERROR(INDIRECT("'WCM Calibration Final'!$A$1314")&lt;&gt;"",FALSE),IFERROR(INDIRECT("'WCM Calibration Final'!$B$1314")&lt;&gt;"",FALSE),IFERROR(INDIRECT("'WCM Calibration Final'!$C$1314")&lt;&gt;"",FALSE)),1314,0)</x:f>
        <x:v>0</x:v>
      </x:c>
      <x:c r="JB1314" t="n">
        <x:f>'Calculations'!JB1313+IF('Calculations'!JA1314&gt;0,1,0)</x:f>
        <x:v>0</x:v>
      </x:c>
    </x:row>
    <x:row r="1315">
      <x:c r="JA1315" t="n">
        <x:f>IF(OR(IFERROR(INDIRECT("'WCM Calibration Final'!$A$1315")&lt;&gt;"",FALSE),IFERROR(INDIRECT("'WCM Calibration Final'!$B$1315")&lt;&gt;"",FALSE),IFERROR(INDIRECT("'WCM Calibration Final'!$C$1315")&lt;&gt;"",FALSE)),1315,0)</x:f>
        <x:v>0</x:v>
      </x:c>
      <x:c r="JB1315" t="n">
        <x:f>'Calculations'!JB1314+IF('Calculations'!JA1315&gt;0,1,0)</x:f>
        <x:v>0</x:v>
      </x:c>
    </x:row>
    <x:row r="1316">
      <x:c r="JA1316" t="n">
        <x:f>IF(OR(IFERROR(INDIRECT("'WCM Calibration Final'!$A$1316")&lt;&gt;"",FALSE),IFERROR(INDIRECT("'WCM Calibration Final'!$B$1316")&lt;&gt;"",FALSE),IFERROR(INDIRECT("'WCM Calibration Final'!$C$1316")&lt;&gt;"",FALSE)),1316,0)</x:f>
        <x:v>0</x:v>
      </x:c>
      <x:c r="JB1316" t="n">
        <x:f>'Calculations'!JB1315+IF('Calculations'!JA1316&gt;0,1,0)</x:f>
        <x:v>0</x:v>
      </x:c>
    </x:row>
    <x:row r="1317">
      <x:c r="JA1317" t="n">
        <x:f>IF(OR(IFERROR(INDIRECT("'WCM Calibration Final'!$A$1317")&lt;&gt;"",FALSE),IFERROR(INDIRECT("'WCM Calibration Final'!$B$1317")&lt;&gt;"",FALSE),IFERROR(INDIRECT("'WCM Calibration Final'!$C$1317")&lt;&gt;"",FALSE)),1317,0)</x:f>
        <x:v>0</x:v>
      </x:c>
      <x:c r="JB1317" t="n">
        <x:f>'Calculations'!JB1316+IF('Calculations'!JA1317&gt;0,1,0)</x:f>
        <x:v>0</x:v>
      </x:c>
    </x:row>
    <x:row r="1318">
      <x:c r="JA1318" t="n">
        <x:f>IF(OR(IFERROR(INDIRECT("'WCM Calibration Final'!$A$1318")&lt;&gt;"",FALSE),IFERROR(INDIRECT("'WCM Calibration Final'!$B$1318")&lt;&gt;"",FALSE),IFERROR(INDIRECT("'WCM Calibration Final'!$C$1318")&lt;&gt;"",FALSE)),1318,0)</x:f>
        <x:v>0</x:v>
      </x:c>
      <x:c r="JB1318" t="n">
        <x:f>'Calculations'!JB1317+IF('Calculations'!JA1318&gt;0,1,0)</x:f>
        <x:v>0</x:v>
      </x:c>
    </x:row>
    <x:row r="1319">
      <x:c r="JA1319" t="n">
        <x:f>IF(OR(IFERROR(INDIRECT("'WCM Calibration Final'!$A$1319")&lt;&gt;"",FALSE),IFERROR(INDIRECT("'WCM Calibration Final'!$B$1319")&lt;&gt;"",FALSE),IFERROR(INDIRECT("'WCM Calibration Final'!$C$1319")&lt;&gt;"",FALSE)),1319,0)</x:f>
        <x:v>0</x:v>
      </x:c>
      <x:c r="JB1319" t="n">
        <x:f>'Calculations'!JB1318+IF('Calculations'!JA1319&gt;0,1,0)</x:f>
        <x:v>0</x:v>
      </x:c>
    </x:row>
    <x:row r="1320">
      <x:c r="JA1320" t="n">
        <x:f>IF(OR(IFERROR(INDIRECT("'WCM Calibration Final'!$A$1320")&lt;&gt;"",FALSE),IFERROR(INDIRECT("'WCM Calibration Final'!$B$1320")&lt;&gt;"",FALSE),IFERROR(INDIRECT("'WCM Calibration Final'!$C$1320")&lt;&gt;"",FALSE)),1320,0)</x:f>
        <x:v>0</x:v>
      </x:c>
      <x:c r="JB1320" t="n">
        <x:f>'Calculations'!JB1319+IF('Calculations'!JA1320&gt;0,1,0)</x:f>
        <x:v>0</x:v>
      </x:c>
    </x:row>
    <x:row r="1321">
      <x:c r="JA1321" t="n">
        <x:f>IF(OR(IFERROR(INDIRECT("'WCM Calibration Final'!$A$1321")&lt;&gt;"",FALSE),IFERROR(INDIRECT("'WCM Calibration Final'!$B$1321")&lt;&gt;"",FALSE),IFERROR(INDIRECT("'WCM Calibration Final'!$C$1321")&lt;&gt;"",FALSE)),1321,0)</x:f>
        <x:v>0</x:v>
      </x:c>
      <x:c r="JB1321" t="n">
        <x:f>'Calculations'!JB1320+IF('Calculations'!JA1321&gt;0,1,0)</x:f>
        <x:v>0</x:v>
      </x:c>
    </x:row>
    <x:row r="1322">
      <x:c r="JA1322" t="n">
        <x:f>IF(OR(IFERROR(INDIRECT("'WCM Calibration Final'!$A$1322")&lt;&gt;"",FALSE),IFERROR(INDIRECT("'WCM Calibration Final'!$B$1322")&lt;&gt;"",FALSE),IFERROR(INDIRECT("'WCM Calibration Final'!$C$1322")&lt;&gt;"",FALSE)),1322,0)</x:f>
        <x:v>0</x:v>
      </x:c>
      <x:c r="JB1322" t="n">
        <x:f>'Calculations'!JB1321+IF('Calculations'!JA1322&gt;0,1,0)</x:f>
        <x:v>0</x:v>
      </x:c>
    </x:row>
    <x:row r="1323">
      <x:c r="JA1323" t="n">
        <x:f>IF(OR(IFERROR(INDIRECT("'WCM Calibration Final'!$A$1323")&lt;&gt;"",FALSE),IFERROR(INDIRECT("'WCM Calibration Final'!$B$1323")&lt;&gt;"",FALSE),IFERROR(INDIRECT("'WCM Calibration Final'!$C$1323")&lt;&gt;"",FALSE)),1323,0)</x:f>
        <x:v>0</x:v>
      </x:c>
      <x:c r="JB1323" t="n">
        <x:f>'Calculations'!JB1322+IF('Calculations'!JA1323&gt;0,1,0)</x:f>
        <x:v>0</x:v>
      </x:c>
    </x:row>
    <x:row r="1324">
      <x:c r="JA1324" t="n">
        <x:f>IF(OR(IFERROR(INDIRECT("'WCM Calibration Final'!$A$1324")&lt;&gt;"",FALSE),IFERROR(INDIRECT("'WCM Calibration Final'!$B$1324")&lt;&gt;"",FALSE),IFERROR(INDIRECT("'WCM Calibration Final'!$C$1324")&lt;&gt;"",FALSE)),1324,0)</x:f>
        <x:v>0</x:v>
      </x:c>
      <x:c r="JB1324" t="n">
        <x:f>'Calculations'!JB1323+IF('Calculations'!JA1324&gt;0,1,0)</x:f>
        <x:v>0</x:v>
      </x:c>
    </x:row>
    <x:row r="1325">
      <x:c r="JA1325" t="n">
        <x:f>IF(OR(IFERROR(INDIRECT("'WCM Calibration Final'!$A$1325")&lt;&gt;"",FALSE),IFERROR(INDIRECT("'WCM Calibration Final'!$B$1325")&lt;&gt;"",FALSE),IFERROR(INDIRECT("'WCM Calibration Final'!$C$1325")&lt;&gt;"",FALSE)),1325,0)</x:f>
        <x:v>0</x:v>
      </x:c>
      <x:c r="JB1325" t="n">
        <x:f>'Calculations'!JB1324+IF('Calculations'!JA1325&gt;0,1,0)</x:f>
        <x:v>0</x:v>
      </x:c>
    </x:row>
    <x:row r="1326">
      <x:c r="JA1326" t="n">
        <x:f>IF(OR(IFERROR(INDIRECT("'WCM Calibration Final'!$A$1326")&lt;&gt;"",FALSE),IFERROR(INDIRECT("'WCM Calibration Final'!$B$1326")&lt;&gt;"",FALSE),IFERROR(INDIRECT("'WCM Calibration Final'!$C$1326")&lt;&gt;"",FALSE)),1326,0)</x:f>
        <x:v>0</x:v>
      </x:c>
      <x:c r="JB1326" t="n">
        <x:f>'Calculations'!JB1325+IF('Calculations'!JA1326&gt;0,1,0)</x:f>
        <x:v>0</x:v>
      </x:c>
    </x:row>
    <x:row r="1327">
      <x:c r="JA1327" t="n">
        <x:f>IF(OR(IFERROR(INDIRECT("'WCM Calibration Final'!$A$1327")&lt;&gt;"",FALSE),IFERROR(INDIRECT("'WCM Calibration Final'!$B$1327")&lt;&gt;"",FALSE),IFERROR(INDIRECT("'WCM Calibration Final'!$C$1327")&lt;&gt;"",FALSE)),1327,0)</x:f>
        <x:v>0</x:v>
      </x:c>
      <x:c r="JB1327" t="n">
        <x:f>'Calculations'!JB1326+IF('Calculations'!JA1327&gt;0,1,0)</x:f>
        <x:v>0</x:v>
      </x:c>
    </x:row>
    <x:row r="1328">
      <x:c r="JA1328" t="n">
        <x:f>IF(OR(IFERROR(INDIRECT("'WCM Calibration Final'!$A$1328")&lt;&gt;"",FALSE),IFERROR(INDIRECT("'WCM Calibration Final'!$B$1328")&lt;&gt;"",FALSE),IFERROR(INDIRECT("'WCM Calibration Final'!$C$1328")&lt;&gt;"",FALSE)),1328,0)</x:f>
        <x:v>0</x:v>
      </x:c>
      <x:c r="JB1328" t="n">
        <x:f>'Calculations'!JB1327+IF('Calculations'!JA1328&gt;0,1,0)</x:f>
        <x:v>0</x:v>
      </x:c>
    </x:row>
    <x:row r="1329">
      <x:c r="JA1329" t="n">
        <x:f>IF(OR(IFERROR(INDIRECT("'WCM Calibration Final'!$A$1329")&lt;&gt;"",FALSE),IFERROR(INDIRECT("'WCM Calibration Final'!$B$1329")&lt;&gt;"",FALSE),IFERROR(INDIRECT("'WCM Calibration Final'!$C$1329")&lt;&gt;"",FALSE)),1329,0)</x:f>
        <x:v>0</x:v>
      </x:c>
      <x:c r="JB1329" t="n">
        <x:f>'Calculations'!JB1328+IF('Calculations'!JA1329&gt;0,1,0)</x:f>
        <x:v>0</x:v>
      </x:c>
    </x:row>
    <x:row r="1330">
      <x:c r="JA1330" t="n">
        <x:f>IF(OR(IFERROR(INDIRECT("'WCM Calibration Final'!$A$1330")&lt;&gt;"",FALSE),IFERROR(INDIRECT("'WCM Calibration Final'!$B$1330")&lt;&gt;"",FALSE),IFERROR(INDIRECT("'WCM Calibration Final'!$C$1330")&lt;&gt;"",FALSE)),1330,0)</x:f>
        <x:v>0</x:v>
      </x:c>
      <x:c r="JB1330" t="n">
        <x:f>'Calculations'!JB1329+IF('Calculations'!JA1330&gt;0,1,0)</x:f>
        <x:v>0</x:v>
      </x:c>
    </x:row>
    <x:row r="1331">
      <x:c r="JA1331" t="n">
        <x:f>IF(OR(IFERROR(INDIRECT("'WCM Calibration Final'!$A$1331")&lt;&gt;"",FALSE),IFERROR(INDIRECT("'WCM Calibration Final'!$B$1331")&lt;&gt;"",FALSE),IFERROR(INDIRECT("'WCM Calibration Final'!$C$1331")&lt;&gt;"",FALSE)),1331,0)</x:f>
        <x:v>0</x:v>
      </x:c>
      <x:c r="JB1331" t="n">
        <x:f>'Calculations'!JB1330+IF('Calculations'!JA1331&gt;0,1,0)</x:f>
        <x:v>0</x:v>
      </x:c>
    </x:row>
    <x:row r="1332">
      <x:c r="JA1332" t="n">
        <x:f>IF(OR(IFERROR(INDIRECT("'WCM Calibration Final'!$A$1332")&lt;&gt;"",FALSE),IFERROR(INDIRECT("'WCM Calibration Final'!$B$1332")&lt;&gt;"",FALSE),IFERROR(INDIRECT("'WCM Calibration Final'!$C$1332")&lt;&gt;"",FALSE)),1332,0)</x:f>
        <x:v>0</x:v>
      </x:c>
      <x:c r="JB1332" t="n">
        <x:f>'Calculations'!JB1331+IF('Calculations'!JA1332&gt;0,1,0)</x:f>
        <x:v>0</x:v>
      </x:c>
    </x:row>
    <x:row r="1333">
      <x:c r="JA1333" t="n">
        <x:f>IF(OR(IFERROR(INDIRECT("'WCM Calibration Final'!$A$1333")&lt;&gt;"",FALSE),IFERROR(INDIRECT("'WCM Calibration Final'!$B$1333")&lt;&gt;"",FALSE),IFERROR(INDIRECT("'WCM Calibration Final'!$C$1333")&lt;&gt;"",FALSE)),1333,0)</x:f>
        <x:v>0</x:v>
      </x:c>
      <x:c r="JB1333" t="n">
        <x:f>'Calculations'!JB1332+IF('Calculations'!JA1333&gt;0,1,0)</x:f>
        <x:v>0</x:v>
      </x:c>
    </x:row>
    <x:row r="1334">
      <x:c r="JA1334" t="n">
        <x:f>IF(OR(IFERROR(INDIRECT("'WCM Calibration Final'!$A$1334")&lt;&gt;"",FALSE),IFERROR(INDIRECT("'WCM Calibration Final'!$B$1334")&lt;&gt;"",FALSE),IFERROR(INDIRECT("'WCM Calibration Final'!$C$1334")&lt;&gt;"",FALSE)),1334,0)</x:f>
        <x:v>0</x:v>
      </x:c>
      <x:c r="JB1334" t="n">
        <x:f>'Calculations'!JB1333+IF('Calculations'!JA1334&gt;0,1,0)</x:f>
        <x:v>0</x:v>
      </x:c>
    </x:row>
    <x:row r="1335">
      <x:c r="JA1335" t="n">
        <x:f>IF(OR(IFERROR(INDIRECT("'WCM Calibration Final'!$A$1335")&lt;&gt;"",FALSE),IFERROR(INDIRECT("'WCM Calibration Final'!$B$1335")&lt;&gt;"",FALSE),IFERROR(INDIRECT("'WCM Calibration Final'!$C$1335")&lt;&gt;"",FALSE)),1335,0)</x:f>
        <x:v>0</x:v>
      </x:c>
      <x:c r="JB1335" t="n">
        <x:f>'Calculations'!JB1334+IF('Calculations'!JA1335&gt;0,1,0)</x:f>
        <x:v>0</x:v>
      </x:c>
    </x:row>
    <x:row r="1336">
      <x:c r="JA1336" t="n">
        <x:f>IF(OR(IFERROR(INDIRECT("'WCM Calibration Final'!$A$1336")&lt;&gt;"",FALSE),IFERROR(INDIRECT("'WCM Calibration Final'!$B$1336")&lt;&gt;"",FALSE),IFERROR(INDIRECT("'WCM Calibration Final'!$C$1336")&lt;&gt;"",FALSE)),1336,0)</x:f>
        <x:v>0</x:v>
      </x:c>
      <x:c r="JB1336" t="n">
        <x:f>'Calculations'!JB1335+IF('Calculations'!JA1336&gt;0,1,0)</x:f>
        <x:v>0</x:v>
      </x:c>
    </x:row>
    <x:row r="1337">
      <x:c r="JA1337" t="n">
        <x:f>IF(OR(IFERROR(INDIRECT("'WCM Calibration Final'!$A$1337")&lt;&gt;"",FALSE),IFERROR(INDIRECT("'WCM Calibration Final'!$B$1337")&lt;&gt;"",FALSE),IFERROR(INDIRECT("'WCM Calibration Final'!$C$1337")&lt;&gt;"",FALSE)),1337,0)</x:f>
        <x:v>0</x:v>
      </x:c>
      <x:c r="JB1337" t="n">
        <x:f>'Calculations'!JB1336+IF('Calculations'!JA1337&gt;0,1,0)</x:f>
        <x:v>0</x:v>
      </x:c>
    </x:row>
    <x:row r="1338">
      <x:c r="JA1338" t="n">
        <x:f>IF(OR(IFERROR(INDIRECT("'WCM Calibration Final'!$A$1338")&lt;&gt;"",FALSE),IFERROR(INDIRECT("'WCM Calibration Final'!$B$1338")&lt;&gt;"",FALSE),IFERROR(INDIRECT("'WCM Calibration Final'!$C$1338")&lt;&gt;"",FALSE)),1338,0)</x:f>
        <x:v>0</x:v>
      </x:c>
      <x:c r="JB1338" t="n">
        <x:f>'Calculations'!JB1337+IF('Calculations'!JA1338&gt;0,1,0)</x:f>
        <x:v>0</x:v>
      </x:c>
    </x:row>
    <x:row r="1339">
      <x:c r="JA1339" t="n">
        <x:f>IF(OR(IFERROR(INDIRECT("'WCM Calibration Final'!$A$1339")&lt;&gt;"",FALSE),IFERROR(INDIRECT("'WCM Calibration Final'!$B$1339")&lt;&gt;"",FALSE),IFERROR(INDIRECT("'WCM Calibration Final'!$C$1339")&lt;&gt;"",FALSE)),1339,0)</x:f>
        <x:v>0</x:v>
      </x:c>
      <x:c r="JB1339" t="n">
        <x:f>'Calculations'!JB1338+IF('Calculations'!JA1339&gt;0,1,0)</x:f>
        <x:v>0</x:v>
      </x:c>
    </x:row>
    <x:row r="1340">
      <x:c r="JA1340" t="n">
        <x:f>IF(OR(IFERROR(INDIRECT("'WCM Calibration Final'!$A$1340")&lt;&gt;"",FALSE),IFERROR(INDIRECT("'WCM Calibration Final'!$B$1340")&lt;&gt;"",FALSE),IFERROR(INDIRECT("'WCM Calibration Final'!$C$1340")&lt;&gt;"",FALSE)),1340,0)</x:f>
        <x:v>0</x:v>
      </x:c>
      <x:c r="JB1340" t="n">
        <x:f>'Calculations'!JB1339+IF('Calculations'!JA1340&gt;0,1,0)</x:f>
        <x:v>0</x:v>
      </x:c>
    </x:row>
    <x:row r="1341">
      <x:c r="JA1341" t="n">
        <x:f>IF(OR(IFERROR(INDIRECT("'WCM Calibration Final'!$A$1341")&lt;&gt;"",FALSE),IFERROR(INDIRECT("'WCM Calibration Final'!$B$1341")&lt;&gt;"",FALSE),IFERROR(INDIRECT("'WCM Calibration Final'!$C$1341")&lt;&gt;"",FALSE)),1341,0)</x:f>
        <x:v>0</x:v>
      </x:c>
      <x:c r="JB1341" t="n">
        <x:f>'Calculations'!JB1340+IF('Calculations'!JA1341&gt;0,1,0)</x:f>
        <x:v>0</x:v>
      </x:c>
    </x:row>
    <x:row r="1342">
      <x:c r="JA1342" t="n">
        <x:f>IF(OR(IFERROR(INDIRECT("'WCM Calibration Final'!$A$1342")&lt;&gt;"",FALSE),IFERROR(INDIRECT("'WCM Calibration Final'!$B$1342")&lt;&gt;"",FALSE),IFERROR(INDIRECT("'WCM Calibration Final'!$C$1342")&lt;&gt;"",FALSE)),1342,0)</x:f>
        <x:v>0</x:v>
      </x:c>
      <x:c r="JB1342" t="n">
        <x:f>'Calculations'!JB1341+IF('Calculations'!JA1342&gt;0,1,0)</x:f>
        <x:v>0</x:v>
      </x:c>
    </x:row>
    <x:row r="1343">
      <x:c r="JA1343" t="n">
        <x:f>IF(OR(IFERROR(INDIRECT("'WCM Calibration Final'!$A$1343")&lt;&gt;"",FALSE),IFERROR(INDIRECT("'WCM Calibration Final'!$B$1343")&lt;&gt;"",FALSE),IFERROR(INDIRECT("'WCM Calibration Final'!$C$1343")&lt;&gt;"",FALSE)),1343,0)</x:f>
        <x:v>0</x:v>
      </x:c>
      <x:c r="JB1343" t="n">
        <x:f>'Calculations'!JB1342+IF('Calculations'!JA1343&gt;0,1,0)</x:f>
        <x:v>0</x:v>
      </x:c>
    </x:row>
    <x:row r="1344">
      <x:c r="JA1344" t="n">
        <x:f>IF(OR(IFERROR(INDIRECT("'WCM Calibration Final'!$A$1344")&lt;&gt;"",FALSE),IFERROR(INDIRECT("'WCM Calibration Final'!$B$1344")&lt;&gt;"",FALSE),IFERROR(INDIRECT("'WCM Calibration Final'!$C$1344")&lt;&gt;"",FALSE)),1344,0)</x:f>
        <x:v>0</x:v>
      </x:c>
      <x:c r="JB1344" t="n">
        <x:f>'Calculations'!JB1343+IF('Calculations'!JA1344&gt;0,1,0)</x:f>
        <x:v>0</x:v>
      </x:c>
    </x:row>
    <x:row r="1345">
      <x:c r="JA1345" t="n">
        <x:f>IF(OR(IFERROR(INDIRECT("'WCM Calibration Final'!$A$1345")&lt;&gt;"",FALSE),IFERROR(INDIRECT("'WCM Calibration Final'!$B$1345")&lt;&gt;"",FALSE),IFERROR(INDIRECT("'WCM Calibration Final'!$C$1345")&lt;&gt;"",FALSE)),1345,0)</x:f>
        <x:v>0</x:v>
      </x:c>
      <x:c r="JB1345" t="n">
        <x:f>'Calculations'!JB1344+IF('Calculations'!JA1345&gt;0,1,0)</x:f>
        <x:v>0</x:v>
      </x:c>
    </x:row>
    <x:row r="1346">
      <x:c r="JA1346" t="n">
        <x:f>IF(OR(IFERROR(INDIRECT("'WCM Calibration Final'!$A$1346")&lt;&gt;"",FALSE),IFERROR(INDIRECT("'WCM Calibration Final'!$B$1346")&lt;&gt;"",FALSE),IFERROR(INDIRECT("'WCM Calibration Final'!$C$1346")&lt;&gt;"",FALSE)),1346,0)</x:f>
        <x:v>0</x:v>
      </x:c>
      <x:c r="JB1346" t="n">
        <x:f>'Calculations'!JB1345+IF('Calculations'!JA1346&gt;0,1,0)</x:f>
        <x:v>0</x:v>
      </x:c>
    </x:row>
    <x:row r="1347">
      <x:c r="JA1347" t="n">
        <x:f>IF(OR(IFERROR(INDIRECT("'WCM Calibration Final'!$A$1347")&lt;&gt;"",FALSE),IFERROR(INDIRECT("'WCM Calibration Final'!$B$1347")&lt;&gt;"",FALSE),IFERROR(INDIRECT("'WCM Calibration Final'!$C$1347")&lt;&gt;"",FALSE)),1347,0)</x:f>
        <x:v>0</x:v>
      </x:c>
      <x:c r="JB1347" t="n">
        <x:f>'Calculations'!JB1346+IF('Calculations'!JA1347&gt;0,1,0)</x:f>
        <x:v>0</x:v>
      </x:c>
    </x:row>
    <x:row r="1348">
      <x:c r="JA1348" t="n">
        <x:f>IF(OR(IFERROR(INDIRECT("'WCM Calibration Final'!$A$1348")&lt;&gt;"",FALSE),IFERROR(INDIRECT("'WCM Calibration Final'!$B$1348")&lt;&gt;"",FALSE),IFERROR(INDIRECT("'WCM Calibration Final'!$C$1348")&lt;&gt;"",FALSE)),1348,0)</x:f>
        <x:v>0</x:v>
      </x:c>
      <x:c r="JB1348" t="n">
        <x:f>'Calculations'!JB1347+IF('Calculations'!JA1348&gt;0,1,0)</x:f>
        <x:v>0</x:v>
      </x:c>
    </x:row>
    <x:row r="1349">
      <x:c r="JA1349" t="n">
        <x:f>IF(OR(IFERROR(INDIRECT("'WCM Calibration Final'!$A$1349")&lt;&gt;"",FALSE),IFERROR(INDIRECT("'WCM Calibration Final'!$B$1349")&lt;&gt;"",FALSE),IFERROR(INDIRECT("'WCM Calibration Final'!$C$1349")&lt;&gt;"",FALSE)),1349,0)</x:f>
        <x:v>0</x:v>
      </x:c>
      <x:c r="JB1349" t="n">
        <x:f>'Calculations'!JB1348+IF('Calculations'!JA1349&gt;0,1,0)</x:f>
        <x:v>0</x:v>
      </x:c>
    </x:row>
    <x:row r="1350">
      <x:c r="JA1350" t="n">
        <x:f>IF(OR(IFERROR(INDIRECT("'WCM Calibration Final'!$A$1350")&lt;&gt;"",FALSE),IFERROR(INDIRECT("'WCM Calibration Final'!$B$1350")&lt;&gt;"",FALSE),IFERROR(INDIRECT("'WCM Calibration Final'!$C$1350")&lt;&gt;"",FALSE)),1350,0)</x:f>
        <x:v>0</x:v>
      </x:c>
      <x:c r="JB1350" t="n">
        <x:f>'Calculations'!JB1349+IF('Calculations'!JA1350&gt;0,1,0)</x:f>
        <x:v>0</x:v>
      </x:c>
    </x:row>
    <x:row r="1351">
      <x:c r="JA1351" t="n">
        <x:f>IF(OR(IFERROR(INDIRECT("'WCM Calibration Final'!$A$1351")&lt;&gt;"",FALSE),IFERROR(INDIRECT("'WCM Calibration Final'!$B$1351")&lt;&gt;"",FALSE),IFERROR(INDIRECT("'WCM Calibration Final'!$C$1351")&lt;&gt;"",FALSE)),1351,0)</x:f>
        <x:v>0</x:v>
      </x:c>
      <x:c r="JB1351" t="n">
        <x:f>'Calculations'!JB1350+IF('Calculations'!JA1351&gt;0,1,0)</x:f>
        <x:v>0</x:v>
      </x:c>
    </x:row>
    <x:row r="1352">
      <x:c r="JA1352" t="n">
        <x:f>IF(OR(IFERROR(INDIRECT("'WCM Calibration Final'!$A$1352")&lt;&gt;"",FALSE),IFERROR(INDIRECT("'WCM Calibration Final'!$B$1352")&lt;&gt;"",FALSE),IFERROR(INDIRECT("'WCM Calibration Final'!$C$1352")&lt;&gt;"",FALSE)),1352,0)</x:f>
        <x:v>0</x:v>
      </x:c>
      <x:c r="JB1352" t="n">
        <x:f>'Calculations'!JB1351+IF('Calculations'!JA1352&gt;0,1,0)</x:f>
        <x:v>0</x:v>
      </x:c>
    </x:row>
    <x:row r="1353">
      <x:c r="JA1353" t="n">
        <x:f>IF(OR(IFERROR(INDIRECT("'WCM Calibration Final'!$A$1353")&lt;&gt;"",FALSE),IFERROR(INDIRECT("'WCM Calibration Final'!$B$1353")&lt;&gt;"",FALSE),IFERROR(INDIRECT("'WCM Calibration Final'!$C$1353")&lt;&gt;"",FALSE)),1353,0)</x:f>
        <x:v>0</x:v>
      </x:c>
      <x:c r="JB1353" t="n">
        <x:f>'Calculations'!JB1352+IF('Calculations'!JA1353&gt;0,1,0)</x:f>
        <x:v>0</x:v>
      </x:c>
    </x:row>
    <x:row r="1354">
      <x:c r="JA1354" t="n">
        <x:f>IF(OR(IFERROR(INDIRECT("'WCM Calibration Final'!$A$1354")&lt;&gt;"",FALSE),IFERROR(INDIRECT("'WCM Calibration Final'!$B$1354")&lt;&gt;"",FALSE),IFERROR(INDIRECT("'WCM Calibration Final'!$C$1354")&lt;&gt;"",FALSE)),1354,0)</x:f>
        <x:v>0</x:v>
      </x:c>
      <x:c r="JB1354" t="n">
        <x:f>'Calculations'!JB1353+IF('Calculations'!JA1354&gt;0,1,0)</x:f>
        <x:v>0</x:v>
      </x:c>
    </x:row>
    <x:row r="1355">
      <x:c r="JA1355" t="n">
        <x:f>IF(OR(IFERROR(INDIRECT("'WCM Calibration Final'!$A$1355")&lt;&gt;"",FALSE),IFERROR(INDIRECT("'WCM Calibration Final'!$B$1355")&lt;&gt;"",FALSE),IFERROR(INDIRECT("'WCM Calibration Final'!$C$1355")&lt;&gt;"",FALSE)),1355,0)</x:f>
        <x:v>0</x:v>
      </x:c>
      <x:c r="JB1355" t="n">
        <x:f>'Calculations'!JB1354+IF('Calculations'!JA1355&gt;0,1,0)</x:f>
        <x:v>0</x:v>
      </x:c>
    </x:row>
    <x:row r="1356">
      <x:c r="JA1356" t="n">
        <x:f>IF(OR(IFERROR(INDIRECT("'WCM Calibration Final'!$A$1356")&lt;&gt;"",FALSE),IFERROR(INDIRECT("'WCM Calibration Final'!$B$1356")&lt;&gt;"",FALSE),IFERROR(INDIRECT("'WCM Calibration Final'!$C$1356")&lt;&gt;"",FALSE)),1356,0)</x:f>
        <x:v>0</x:v>
      </x:c>
      <x:c r="JB1356" t="n">
        <x:f>'Calculations'!JB1355+IF('Calculations'!JA1356&gt;0,1,0)</x:f>
        <x:v>0</x:v>
      </x:c>
    </x:row>
    <x:row r="1357">
      <x:c r="JA1357" t="n">
        <x:f>IF(OR(IFERROR(INDIRECT("'WCM Calibration Final'!$A$1357")&lt;&gt;"",FALSE),IFERROR(INDIRECT("'WCM Calibration Final'!$B$1357")&lt;&gt;"",FALSE),IFERROR(INDIRECT("'WCM Calibration Final'!$C$1357")&lt;&gt;"",FALSE)),1357,0)</x:f>
        <x:v>0</x:v>
      </x:c>
      <x:c r="JB1357" t="n">
        <x:f>'Calculations'!JB1356+IF('Calculations'!JA1357&gt;0,1,0)</x:f>
        <x:v>0</x:v>
      </x:c>
    </x:row>
    <x:row r="1358">
      <x:c r="JA1358" t="n">
        <x:f>IF(OR(IFERROR(INDIRECT("'WCM Calibration Final'!$A$1358")&lt;&gt;"",FALSE),IFERROR(INDIRECT("'WCM Calibration Final'!$B$1358")&lt;&gt;"",FALSE),IFERROR(INDIRECT("'WCM Calibration Final'!$C$1358")&lt;&gt;"",FALSE)),1358,0)</x:f>
        <x:v>0</x:v>
      </x:c>
      <x:c r="JB1358" t="n">
        <x:f>'Calculations'!JB1357+IF('Calculations'!JA1358&gt;0,1,0)</x:f>
        <x:v>0</x:v>
      </x:c>
    </x:row>
    <x:row r="1359">
      <x:c r="JA1359" t="n">
        <x:f>IF(OR(IFERROR(INDIRECT("'WCM Calibration Final'!$A$1359")&lt;&gt;"",FALSE),IFERROR(INDIRECT("'WCM Calibration Final'!$B$1359")&lt;&gt;"",FALSE),IFERROR(INDIRECT("'WCM Calibration Final'!$C$1359")&lt;&gt;"",FALSE)),1359,0)</x:f>
        <x:v>0</x:v>
      </x:c>
      <x:c r="JB1359" t="n">
        <x:f>'Calculations'!JB1358+IF('Calculations'!JA1359&gt;0,1,0)</x:f>
        <x:v>0</x:v>
      </x:c>
    </x:row>
    <x:row r="1360">
      <x:c r="JA1360" t="n">
        <x:f>IF(OR(IFERROR(INDIRECT("'WCM Calibration Final'!$A$1360")&lt;&gt;"",FALSE),IFERROR(INDIRECT("'WCM Calibration Final'!$B$1360")&lt;&gt;"",FALSE),IFERROR(INDIRECT("'WCM Calibration Final'!$C$1360")&lt;&gt;"",FALSE)),1360,0)</x:f>
        <x:v>0</x:v>
      </x:c>
      <x:c r="JB1360" t="n">
        <x:f>'Calculations'!JB1359+IF('Calculations'!JA1360&gt;0,1,0)</x:f>
        <x:v>0</x:v>
      </x:c>
    </x:row>
    <x:row r="1361">
      <x:c r="JA1361" t="n">
        <x:f>IF(OR(IFERROR(INDIRECT("'WCM Calibration Final'!$A$1361")&lt;&gt;"",FALSE),IFERROR(INDIRECT("'WCM Calibration Final'!$B$1361")&lt;&gt;"",FALSE),IFERROR(INDIRECT("'WCM Calibration Final'!$C$1361")&lt;&gt;"",FALSE)),1361,0)</x:f>
        <x:v>0</x:v>
      </x:c>
      <x:c r="JB1361" t="n">
        <x:f>'Calculations'!JB1360+IF('Calculations'!JA1361&gt;0,1,0)</x:f>
        <x:v>0</x:v>
      </x:c>
    </x:row>
    <x:row r="1362">
      <x:c r="JA1362" t="n">
        <x:f>IF(OR(IFERROR(INDIRECT("'WCM Calibration Final'!$A$1362")&lt;&gt;"",FALSE),IFERROR(INDIRECT("'WCM Calibration Final'!$B$1362")&lt;&gt;"",FALSE),IFERROR(INDIRECT("'WCM Calibration Final'!$C$1362")&lt;&gt;"",FALSE)),1362,0)</x:f>
        <x:v>0</x:v>
      </x:c>
      <x:c r="JB1362" t="n">
        <x:f>'Calculations'!JB1361+IF('Calculations'!JA1362&gt;0,1,0)</x:f>
        <x:v>0</x:v>
      </x:c>
    </x:row>
    <x:row r="1363">
      <x:c r="JA1363" t="n">
        <x:f>IF(OR(IFERROR(INDIRECT("'WCM Calibration Final'!$A$1363")&lt;&gt;"",FALSE),IFERROR(INDIRECT("'WCM Calibration Final'!$B$1363")&lt;&gt;"",FALSE),IFERROR(INDIRECT("'WCM Calibration Final'!$C$1363")&lt;&gt;"",FALSE)),1363,0)</x:f>
        <x:v>0</x:v>
      </x:c>
      <x:c r="JB1363" t="n">
        <x:f>'Calculations'!JB1362+IF('Calculations'!JA1363&gt;0,1,0)</x:f>
        <x:v>0</x:v>
      </x:c>
    </x:row>
    <x:row r="1364">
      <x:c r="JA1364" t="n">
        <x:f>IF(OR(IFERROR(INDIRECT("'WCM Calibration Final'!$A$1364")&lt;&gt;"",FALSE),IFERROR(INDIRECT("'WCM Calibration Final'!$B$1364")&lt;&gt;"",FALSE),IFERROR(INDIRECT("'WCM Calibration Final'!$C$1364")&lt;&gt;"",FALSE)),1364,0)</x:f>
        <x:v>0</x:v>
      </x:c>
      <x:c r="JB1364" t="n">
        <x:f>'Calculations'!JB1363+IF('Calculations'!JA1364&gt;0,1,0)</x:f>
        <x:v>0</x:v>
      </x:c>
    </x:row>
    <x:row r="1365">
      <x:c r="JA1365" t="n">
        <x:f>IF(OR(IFERROR(INDIRECT("'WCM Calibration Final'!$A$1365")&lt;&gt;"",FALSE),IFERROR(INDIRECT("'WCM Calibration Final'!$B$1365")&lt;&gt;"",FALSE),IFERROR(INDIRECT("'WCM Calibration Final'!$C$1365")&lt;&gt;"",FALSE)),1365,0)</x:f>
        <x:v>0</x:v>
      </x:c>
      <x:c r="JB1365" t="n">
        <x:f>'Calculations'!JB1364+IF('Calculations'!JA1365&gt;0,1,0)</x:f>
        <x:v>0</x:v>
      </x:c>
    </x:row>
    <x:row r="1366">
      <x:c r="JA1366" t="n">
        <x:f>IF(OR(IFERROR(INDIRECT("'WCM Calibration Final'!$A$1366")&lt;&gt;"",FALSE),IFERROR(INDIRECT("'WCM Calibration Final'!$B$1366")&lt;&gt;"",FALSE),IFERROR(INDIRECT("'WCM Calibration Final'!$C$1366")&lt;&gt;"",FALSE)),1366,0)</x:f>
        <x:v>0</x:v>
      </x:c>
      <x:c r="JB1366" t="n">
        <x:f>'Calculations'!JB1365+IF('Calculations'!JA1366&gt;0,1,0)</x:f>
        <x:v>0</x:v>
      </x:c>
    </x:row>
    <x:row r="1367">
      <x:c r="JA1367" t="n">
        <x:f>IF(OR(IFERROR(INDIRECT("'WCM Calibration Final'!$A$1367")&lt;&gt;"",FALSE),IFERROR(INDIRECT("'WCM Calibration Final'!$B$1367")&lt;&gt;"",FALSE),IFERROR(INDIRECT("'WCM Calibration Final'!$C$1367")&lt;&gt;"",FALSE)),1367,0)</x:f>
        <x:v>0</x:v>
      </x:c>
      <x:c r="JB1367" t="n">
        <x:f>'Calculations'!JB1366+IF('Calculations'!JA1367&gt;0,1,0)</x:f>
        <x:v>0</x:v>
      </x:c>
    </x:row>
    <x:row r="1368">
      <x:c r="JA1368" t="n">
        <x:f>IF(OR(IFERROR(INDIRECT("'WCM Calibration Final'!$A$1368")&lt;&gt;"",FALSE),IFERROR(INDIRECT("'WCM Calibration Final'!$B$1368")&lt;&gt;"",FALSE),IFERROR(INDIRECT("'WCM Calibration Final'!$C$1368")&lt;&gt;"",FALSE)),1368,0)</x:f>
        <x:v>0</x:v>
      </x:c>
      <x:c r="JB1368" t="n">
        <x:f>'Calculations'!JB1367+IF('Calculations'!JA1368&gt;0,1,0)</x:f>
        <x:v>0</x:v>
      </x:c>
    </x:row>
    <x:row r="1369">
      <x:c r="JA1369" t="n">
        <x:f>IF(OR(IFERROR(INDIRECT("'WCM Calibration Final'!$A$1369")&lt;&gt;"",FALSE),IFERROR(INDIRECT("'WCM Calibration Final'!$B$1369")&lt;&gt;"",FALSE),IFERROR(INDIRECT("'WCM Calibration Final'!$C$1369")&lt;&gt;"",FALSE)),1369,0)</x:f>
        <x:v>0</x:v>
      </x:c>
      <x:c r="JB1369" t="n">
        <x:f>'Calculations'!JB1368+IF('Calculations'!JA1369&gt;0,1,0)</x:f>
        <x:v>0</x:v>
      </x:c>
    </x:row>
    <x:row r="1370">
      <x:c r="JA1370" t="n">
        <x:f>IF(OR(IFERROR(INDIRECT("'WCM Calibration Final'!$A$1370")&lt;&gt;"",FALSE),IFERROR(INDIRECT("'WCM Calibration Final'!$B$1370")&lt;&gt;"",FALSE),IFERROR(INDIRECT("'WCM Calibration Final'!$C$1370")&lt;&gt;"",FALSE)),1370,0)</x:f>
        <x:v>0</x:v>
      </x:c>
      <x:c r="JB1370" t="n">
        <x:f>'Calculations'!JB1369+IF('Calculations'!JA1370&gt;0,1,0)</x:f>
        <x:v>0</x:v>
      </x:c>
    </x:row>
    <x:row r="1371">
      <x:c r="JA1371" t="n">
        <x:f>IF(OR(IFERROR(INDIRECT("'WCM Calibration Final'!$A$1371")&lt;&gt;"",FALSE),IFERROR(INDIRECT("'WCM Calibration Final'!$B$1371")&lt;&gt;"",FALSE),IFERROR(INDIRECT("'WCM Calibration Final'!$C$1371")&lt;&gt;"",FALSE)),1371,0)</x:f>
        <x:v>0</x:v>
      </x:c>
      <x:c r="JB1371" t="n">
        <x:f>'Calculations'!JB1370+IF('Calculations'!JA1371&gt;0,1,0)</x:f>
        <x:v>0</x:v>
      </x:c>
    </x:row>
    <x:row r="1372">
      <x:c r="JA1372" t="n">
        <x:f>IF(OR(IFERROR(INDIRECT("'WCM Calibration Final'!$A$1372")&lt;&gt;"",FALSE),IFERROR(INDIRECT("'WCM Calibration Final'!$B$1372")&lt;&gt;"",FALSE),IFERROR(INDIRECT("'WCM Calibration Final'!$C$1372")&lt;&gt;"",FALSE)),1372,0)</x:f>
        <x:v>0</x:v>
      </x:c>
      <x:c r="JB1372" t="n">
        <x:f>'Calculations'!JB1371+IF('Calculations'!JA1372&gt;0,1,0)</x:f>
        <x:v>0</x:v>
      </x:c>
    </x:row>
    <x:row r="1373">
      <x:c r="JA1373" t="n">
        <x:f>IF(OR(IFERROR(INDIRECT("'WCM Calibration Final'!$A$1373")&lt;&gt;"",FALSE),IFERROR(INDIRECT("'WCM Calibration Final'!$B$1373")&lt;&gt;"",FALSE),IFERROR(INDIRECT("'WCM Calibration Final'!$C$1373")&lt;&gt;"",FALSE)),1373,0)</x:f>
        <x:v>0</x:v>
      </x:c>
      <x:c r="JB1373" t="n">
        <x:f>'Calculations'!JB1372+IF('Calculations'!JA1373&gt;0,1,0)</x:f>
        <x:v>0</x:v>
      </x:c>
    </x:row>
    <x:row r="1374">
      <x:c r="JA1374" t="n">
        <x:f>IF(OR(IFERROR(INDIRECT("'WCM Calibration Final'!$A$1374")&lt;&gt;"",FALSE),IFERROR(INDIRECT("'WCM Calibration Final'!$B$1374")&lt;&gt;"",FALSE),IFERROR(INDIRECT("'WCM Calibration Final'!$C$1374")&lt;&gt;"",FALSE)),1374,0)</x:f>
        <x:v>0</x:v>
      </x:c>
      <x:c r="JB1374" t="n">
        <x:f>'Calculations'!JB1373+IF('Calculations'!JA1374&gt;0,1,0)</x:f>
        <x:v>0</x:v>
      </x:c>
    </x:row>
    <x:row r="1375">
      <x:c r="JA1375" t="n">
        <x:f>IF(OR(IFERROR(INDIRECT("'WCM Calibration Final'!$A$1375")&lt;&gt;"",FALSE),IFERROR(INDIRECT("'WCM Calibration Final'!$B$1375")&lt;&gt;"",FALSE),IFERROR(INDIRECT("'WCM Calibration Final'!$C$1375")&lt;&gt;"",FALSE)),1375,0)</x:f>
        <x:v>0</x:v>
      </x:c>
      <x:c r="JB1375" t="n">
        <x:f>'Calculations'!JB1374+IF('Calculations'!JA1375&gt;0,1,0)</x:f>
        <x:v>0</x:v>
      </x:c>
    </x:row>
    <x:row r="1376">
      <x:c r="JA1376" t="n">
        <x:f>IF(OR(IFERROR(INDIRECT("'WCM Calibration Final'!$A$1376")&lt;&gt;"",FALSE),IFERROR(INDIRECT("'WCM Calibration Final'!$B$1376")&lt;&gt;"",FALSE),IFERROR(INDIRECT("'WCM Calibration Final'!$C$1376")&lt;&gt;"",FALSE)),1376,0)</x:f>
        <x:v>0</x:v>
      </x:c>
      <x:c r="JB1376" t="n">
        <x:f>'Calculations'!JB1375+IF('Calculations'!JA1376&gt;0,1,0)</x:f>
        <x:v>0</x:v>
      </x:c>
    </x:row>
    <x:row r="1377">
      <x:c r="JA1377" t="n">
        <x:f>IF(OR(IFERROR(INDIRECT("'WCM Calibration Final'!$A$1377")&lt;&gt;"",FALSE),IFERROR(INDIRECT("'WCM Calibration Final'!$B$1377")&lt;&gt;"",FALSE),IFERROR(INDIRECT("'WCM Calibration Final'!$C$1377")&lt;&gt;"",FALSE)),1377,0)</x:f>
        <x:v>0</x:v>
      </x:c>
      <x:c r="JB1377" t="n">
        <x:f>'Calculations'!JB1376+IF('Calculations'!JA1377&gt;0,1,0)</x:f>
        <x:v>0</x:v>
      </x:c>
    </x:row>
    <x:row r="1378">
      <x:c r="JA1378" t="n">
        <x:f>IF(OR(IFERROR(INDIRECT("'WCM Calibration Final'!$A$1378")&lt;&gt;"",FALSE),IFERROR(INDIRECT("'WCM Calibration Final'!$B$1378")&lt;&gt;"",FALSE),IFERROR(INDIRECT("'WCM Calibration Final'!$C$1378")&lt;&gt;"",FALSE)),1378,0)</x:f>
        <x:v>0</x:v>
      </x:c>
      <x:c r="JB1378" t="n">
        <x:f>'Calculations'!JB1377+IF('Calculations'!JA1378&gt;0,1,0)</x:f>
        <x:v>0</x:v>
      </x:c>
    </x:row>
    <x:row r="1379">
      <x:c r="JA1379" t="n">
        <x:f>IF(OR(IFERROR(INDIRECT("'WCM Calibration Final'!$A$1379")&lt;&gt;"",FALSE),IFERROR(INDIRECT("'WCM Calibration Final'!$B$1379")&lt;&gt;"",FALSE),IFERROR(INDIRECT("'WCM Calibration Final'!$C$1379")&lt;&gt;"",FALSE)),1379,0)</x:f>
        <x:v>0</x:v>
      </x:c>
      <x:c r="JB1379" t="n">
        <x:f>'Calculations'!JB1378+IF('Calculations'!JA1379&gt;0,1,0)</x:f>
        <x:v>0</x:v>
      </x:c>
    </x:row>
    <x:row r="1380">
      <x:c r="JA1380" t="n">
        <x:f>IF(OR(IFERROR(INDIRECT("'WCM Calibration Final'!$A$1380")&lt;&gt;"",FALSE),IFERROR(INDIRECT("'WCM Calibration Final'!$B$1380")&lt;&gt;"",FALSE),IFERROR(INDIRECT("'WCM Calibration Final'!$C$1380")&lt;&gt;"",FALSE)),1380,0)</x:f>
        <x:v>0</x:v>
      </x:c>
      <x:c r="JB1380" t="n">
        <x:f>'Calculations'!JB1379+IF('Calculations'!JA1380&gt;0,1,0)</x:f>
        <x:v>0</x:v>
      </x:c>
    </x:row>
    <x:row r="1381">
      <x:c r="JA1381" t="n">
        <x:f>IF(OR(IFERROR(INDIRECT("'WCM Calibration Final'!$A$1381")&lt;&gt;"",FALSE),IFERROR(INDIRECT("'WCM Calibration Final'!$B$1381")&lt;&gt;"",FALSE),IFERROR(INDIRECT("'WCM Calibration Final'!$C$1381")&lt;&gt;"",FALSE)),1381,0)</x:f>
        <x:v>0</x:v>
      </x:c>
      <x:c r="JB1381" t="n">
        <x:f>'Calculations'!JB1380+IF('Calculations'!JA1381&gt;0,1,0)</x:f>
        <x:v>0</x:v>
      </x:c>
    </x:row>
    <x:row r="1382">
      <x:c r="JA1382" t="n">
        <x:f>IF(OR(IFERROR(INDIRECT("'WCM Calibration Final'!$A$1382")&lt;&gt;"",FALSE),IFERROR(INDIRECT("'WCM Calibration Final'!$B$1382")&lt;&gt;"",FALSE),IFERROR(INDIRECT("'WCM Calibration Final'!$C$1382")&lt;&gt;"",FALSE)),1382,0)</x:f>
        <x:v>0</x:v>
      </x:c>
      <x:c r="JB1382" t="n">
        <x:f>'Calculations'!JB1381+IF('Calculations'!JA1382&gt;0,1,0)</x:f>
        <x:v>0</x:v>
      </x:c>
    </x:row>
    <x:row r="1383">
      <x:c r="JA1383" t="n">
        <x:f>IF(OR(IFERROR(INDIRECT("'WCM Calibration Final'!$A$1383")&lt;&gt;"",FALSE),IFERROR(INDIRECT("'WCM Calibration Final'!$B$1383")&lt;&gt;"",FALSE),IFERROR(INDIRECT("'WCM Calibration Final'!$C$1383")&lt;&gt;"",FALSE)),1383,0)</x:f>
        <x:v>0</x:v>
      </x:c>
      <x:c r="JB1383" t="n">
        <x:f>'Calculations'!JB1382+IF('Calculations'!JA1383&gt;0,1,0)</x:f>
        <x:v>0</x:v>
      </x:c>
    </x:row>
    <x:row r="1384">
      <x:c r="JA1384" t="n">
        <x:f>IF(OR(IFERROR(INDIRECT("'WCM Calibration Final'!$A$1384")&lt;&gt;"",FALSE),IFERROR(INDIRECT("'WCM Calibration Final'!$B$1384")&lt;&gt;"",FALSE),IFERROR(INDIRECT("'WCM Calibration Final'!$C$1384")&lt;&gt;"",FALSE)),1384,0)</x:f>
        <x:v>0</x:v>
      </x:c>
      <x:c r="JB1384" t="n">
        <x:f>'Calculations'!JB1383+IF('Calculations'!JA1384&gt;0,1,0)</x:f>
        <x:v>0</x:v>
      </x:c>
    </x:row>
    <x:row r="1385">
      <x:c r="JA1385" t="n">
        <x:f>IF(OR(IFERROR(INDIRECT("'WCM Calibration Final'!$A$1385")&lt;&gt;"",FALSE),IFERROR(INDIRECT("'WCM Calibration Final'!$B$1385")&lt;&gt;"",FALSE),IFERROR(INDIRECT("'WCM Calibration Final'!$C$1385")&lt;&gt;"",FALSE)),1385,0)</x:f>
        <x:v>0</x:v>
      </x:c>
      <x:c r="JB1385" t="n">
        <x:f>'Calculations'!JB1384+IF('Calculations'!JA1385&gt;0,1,0)</x:f>
        <x:v>0</x:v>
      </x:c>
    </x:row>
    <x:row r="1386">
      <x:c r="JA1386" t="n">
        <x:f>IF(OR(IFERROR(INDIRECT("'WCM Calibration Final'!$A$1386")&lt;&gt;"",FALSE),IFERROR(INDIRECT("'WCM Calibration Final'!$B$1386")&lt;&gt;"",FALSE),IFERROR(INDIRECT("'WCM Calibration Final'!$C$1386")&lt;&gt;"",FALSE)),1386,0)</x:f>
        <x:v>0</x:v>
      </x:c>
      <x:c r="JB1386" t="n">
        <x:f>'Calculations'!JB1385+IF('Calculations'!JA1386&gt;0,1,0)</x:f>
        <x:v>0</x:v>
      </x:c>
    </x:row>
    <x:row r="1387">
      <x:c r="JA1387" t="n">
        <x:f>IF(OR(IFERROR(INDIRECT("'WCM Calibration Final'!$A$1387")&lt;&gt;"",FALSE),IFERROR(INDIRECT("'WCM Calibration Final'!$B$1387")&lt;&gt;"",FALSE),IFERROR(INDIRECT("'WCM Calibration Final'!$C$1387")&lt;&gt;"",FALSE)),1387,0)</x:f>
        <x:v>0</x:v>
      </x:c>
      <x:c r="JB1387" t="n">
        <x:f>'Calculations'!JB1386+IF('Calculations'!JA1387&gt;0,1,0)</x:f>
        <x:v>0</x:v>
      </x:c>
    </x:row>
    <x:row r="1388">
      <x:c r="JA1388" t="n">
        <x:f>IF(OR(IFERROR(INDIRECT("'WCM Calibration Final'!$A$1388")&lt;&gt;"",FALSE),IFERROR(INDIRECT("'WCM Calibration Final'!$B$1388")&lt;&gt;"",FALSE),IFERROR(INDIRECT("'WCM Calibration Final'!$C$1388")&lt;&gt;"",FALSE)),1388,0)</x:f>
        <x:v>0</x:v>
      </x:c>
      <x:c r="JB1388" t="n">
        <x:f>'Calculations'!JB1387+IF('Calculations'!JA1388&gt;0,1,0)</x:f>
        <x:v>0</x:v>
      </x:c>
    </x:row>
    <x:row r="1389">
      <x:c r="JA1389" t="n">
        <x:f>IF(OR(IFERROR(INDIRECT("'WCM Calibration Final'!$A$1389")&lt;&gt;"",FALSE),IFERROR(INDIRECT("'WCM Calibration Final'!$B$1389")&lt;&gt;"",FALSE),IFERROR(INDIRECT("'WCM Calibration Final'!$C$1389")&lt;&gt;"",FALSE)),1389,0)</x:f>
        <x:v>0</x:v>
      </x:c>
      <x:c r="JB1389" t="n">
        <x:f>'Calculations'!JB1388+IF('Calculations'!JA1389&gt;0,1,0)</x:f>
        <x:v>0</x:v>
      </x:c>
    </x:row>
    <x:row r="1390">
      <x:c r="JA1390" t="n">
        <x:f>IF(OR(IFERROR(INDIRECT("'WCM Calibration Final'!$A$1390")&lt;&gt;"",FALSE),IFERROR(INDIRECT("'WCM Calibration Final'!$B$1390")&lt;&gt;"",FALSE),IFERROR(INDIRECT("'WCM Calibration Final'!$C$1390")&lt;&gt;"",FALSE)),1390,0)</x:f>
        <x:v>0</x:v>
      </x:c>
      <x:c r="JB1390" t="n">
        <x:f>'Calculations'!JB1389+IF('Calculations'!JA1390&gt;0,1,0)</x:f>
        <x:v>0</x:v>
      </x:c>
    </x:row>
    <x:row r="1391">
      <x:c r="JA1391" t="n">
        <x:f>IF(OR(IFERROR(INDIRECT("'WCM Calibration Final'!$A$1391")&lt;&gt;"",FALSE),IFERROR(INDIRECT("'WCM Calibration Final'!$B$1391")&lt;&gt;"",FALSE),IFERROR(INDIRECT("'WCM Calibration Final'!$C$1391")&lt;&gt;"",FALSE)),1391,0)</x:f>
        <x:v>0</x:v>
      </x:c>
      <x:c r="JB1391" t="n">
        <x:f>'Calculations'!JB1390+IF('Calculations'!JA1391&gt;0,1,0)</x:f>
        <x:v>0</x:v>
      </x:c>
    </x:row>
    <x:row r="1392">
      <x:c r="JA1392" t="n">
        <x:f>IF(OR(IFERROR(INDIRECT("'WCM Calibration Final'!$A$1392")&lt;&gt;"",FALSE),IFERROR(INDIRECT("'WCM Calibration Final'!$B$1392")&lt;&gt;"",FALSE),IFERROR(INDIRECT("'WCM Calibration Final'!$C$1392")&lt;&gt;"",FALSE)),1392,0)</x:f>
        <x:v>0</x:v>
      </x:c>
      <x:c r="JB1392" t="n">
        <x:f>'Calculations'!JB1391+IF('Calculations'!JA1392&gt;0,1,0)</x:f>
        <x:v>0</x:v>
      </x:c>
    </x:row>
    <x:row r="1393">
      <x:c r="JA1393" t="n">
        <x:f>IF(OR(IFERROR(INDIRECT("'WCM Calibration Final'!$A$1393")&lt;&gt;"",FALSE),IFERROR(INDIRECT("'WCM Calibration Final'!$B$1393")&lt;&gt;"",FALSE),IFERROR(INDIRECT("'WCM Calibration Final'!$C$1393")&lt;&gt;"",FALSE)),1393,0)</x:f>
        <x:v>0</x:v>
      </x:c>
      <x:c r="JB1393" t="n">
        <x:f>'Calculations'!JB1392+IF('Calculations'!JA1393&gt;0,1,0)</x:f>
        <x:v>0</x:v>
      </x:c>
    </x:row>
    <x:row r="1394">
      <x:c r="JA1394" t="n">
        <x:f>IF(OR(IFERROR(INDIRECT("'WCM Calibration Final'!$A$1394")&lt;&gt;"",FALSE),IFERROR(INDIRECT("'WCM Calibration Final'!$B$1394")&lt;&gt;"",FALSE),IFERROR(INDIRECT("'WCM Calibration Final'!$C$1394")&lt;&gt;"",FALSE)),1394,0)</x:f>
        <x:v>0</x:v>
      </x:c>
      <x:c r="JB1394" t="n">
        <x:f>'Calculations'!JB1393+IF('Calculations'!JA1394&gt;0,1,0)</x:f>
        <x:v>0</x:v>
      </x:c>
    </x:row>
    <x:row r="1395">
      <x:c r="JA1395" t="n">
        <x:f>IF(OR(IFERROR(INDIRECT("'WCM Calibration Final'!$A$1395")&lt;&gt;"",FALSE),IFERROR(INDIRECT("'WCM Calibration Final'!$B$1395")&lt;&gt;"",FALSE),IFERROR(INDIRECT("'WCM Calibration Final'!$C$1395")&lt;&gt;"",FALSE)),1395,0)</x:f>
        <x:v>0</x:v>
      </x:c>
      <x:c r="JB1395" t="n">
        <x:f>'Calculations'!JB1394+IF('Calculations'!JA1395&gt;0,1,0)</x:f>
        <x:v>0</x:v>
      </x:c>
    </x:row>
    <x:row r="1396">
      <x:c r="JA1396" t="n">
        <x:f>IF(OR(IFERROR(INDIRECT("'WCM Calibration Final'!$A$1396")&lt;&gt;"",FALSE),IFERROR(INDIRECT("'WCM Calibration Final'!$B$1396")&lt;&gt;"",FALSE),IFERROR(INDIRECT("'WCM Calibration Final'!$C$1396")&lt;&gt;"",FALSE)),1396,0)</x:f>
        <x:v>0</x:v>
      </x:c>
      <x:c r="JB1396" t="n">
        <x:f>'Calculations'!JB1395+IF('Calculations'!JA1396&gt;0,1,0)</x:f>
        <x:v>0</x:v>
      </x:c>
    </x:row>
    <x:row r="1397">
      <x:c r="JA1397" t="n">
        <x:f>IF(OR(IFERROR(INDIRECT("'WCM Calibration Final'!$A$1397")&lt;&gt;"",FALSE),IFERROR(INDIRECT("'WCM Calibration Final'!$B$1397")&lt;&gt;"",FALSE),IFERROR(INDIRECT("'WCM Calibration Final'!$C$1397")&lt;&gt;"",FALSE)),1397,0)</x:f>
        <x:v>0</x:v>
      </x:c>
      <x:c r="JB1397" t="n">
        <x:f>'Calculations'!JB1396+IF('Calculations'!JA1397&gt;0,1,0)</x:f>
        <x:v>0</x:v>
      </x:c>
    </x:row>
    <x:row r="1398">
      <x:c r="JA1398" t="n">
        <x:f>IF(OR(IFERROR(INDIRECT("'WCM Calibration Final'!$A$1398")&lt;&gt;"",FALSE),IFERROR(INDIRECT("'WCM Calibration Final'!$B$1398")&lt;&gt;"",FALSE),IFERROR(INDIRECT("'WCM Calibration Final'!$C$1398")&lt;&gt;"",FALSE)),1398,0)</x:f>
        <x:v>0</x:v>
      </x:c>
      <x:c r="JB1398" t="n">
        <x:f>'Calculations'!JB1397+IF('Calculations'!JA1398&gt;0,1,0)</x:f>
        <x:v>0</x:v>
      </x:c>
    </x:row>
    <x:row r="1399">
      <x:c r="JA1399" t="n">
        <x:f>IF(OR(IFERROR(INDIRECT("'WCM Calibration Final'!$A$1399")&lt;&gt;"",FALSE),IFERROR(INDIRECT("'WCM Calibration Final'!$B$1399")&lt;&gt;"",FALSE),IFERROR(INDIRECT("'WCM Calibration Final'!$C$1399")&lt;&gt;"",FALSE)),1399,0)</x:f>
        <x:v>0</x:v>
      </x:c>
      <x:c r="JB1399" t="n">
        <x:f>'Calculations'!JB1398+IF('Calculations'!JA1399&gt;0,1,0)</x:f>
        <x:v>0</x:v>
      </x:c>
    </x:row>
    <x:row r="1400">
      <x:c r="JA1400" t="n">
        <x:f>IF(OR(IFERROR(INDIRECT("'WCM Calibration Final'!$A$1400")&lt;&gt;"",FALSE),IFERROR(INDIRECT("'WCM Calibration Final'!$B$1400")&lt;&gt;"",FALSE),IFERROR(INDIRECT("'WCM Calibration Final'!$C$1400")&lt;&gt;"",FALSE)),1400,0)</x:f>
        <x:v>0</x:v>
      </x:c>
      <x:c r="JB1400" t="n">
        <x:f>'Calculations'!JB1399+IF('Calculations'!JA1400&gt;0,1,0)</x:f>
        <x:v>0</x:v>
      </x:c>
    </x:row>
    <x:row r="1401">
      <x:c r="JA1401" t="n">
        <x:f>IF(OR(IFERROR(INDIRECT("'WCM Calibration Final'!$A$1401")&lt;&gt;"",FALSE),IFERROR(INDIRECT("'WCM Calibration Final'!$B$1401")&lt;&gt;"",FALSE),IFERROR(INDIRECT("'WCM Calibration Final'!$C$1401")&lt;&gt;"",FALSE)),1401,0)</x:f>
        <x:v>0</x:v>
      </x:c>
      <x:c r="JB1401" t="n">
        <x:f>'Calculations'!JB1400+IF('Calculations'!JA1401&gt;0,1,0)</x:f>
        <x:v>0</x:v>
      </x:c>
    </x:row>
    <x:row r="1402">
      <x:c r="JA1402" t="n">
        <x:f>IF(OR(IFERROR(INDIRECT("'WCM Calibration Final'!$A$1402")&lt;&gt;"",FALSE),IFERROR(INDIRECT("'WCM Calibration Final'!$B$1402")&lt;&gt;"",FALSE),IFERROR(INDIRECT("'WCM Calibration Final'!$C$1402")&lt;&gt;"",FALSE)),1402,0)</x:f>
        <x:v>0</x:v>
      </x:c>
      <x:c r="JB1402" t="n">
        <x:f>'Calculations'!JB1401+IF('Calculations'!JA1402&gt;0,1,0)</x:f>
        <x:v>0</x:v>
      </x:c>
    </x:row>
    <x:row r="1403">
      <x:c r="JA1403" t="n">
        <x:f>IF(OR(IFERROR(INDIRECT("'WCM Calibration Final'!$A$1403")&lt;&gt;"",FALSE),IFERROR(INDIRECT("'WCM Calibration Final'!$B$1403")&lt;&gt;"",FALSE),IFERROR(INDIRECT("'WCM Calibration Final'!$C$1403")&lt;&gt;"",FALSE)),1403,0)</x:f>
        <x:v>0</x:v>
      </x:c>
      <x:c r="JB1403" t="n">
        <x:f>'Calculations'!JB1402+IF('Calculations'!JA1403&gt;0,1,0)</x:f>
        <x:v>0</x:v>
      </x:c>
    </x:row>
    <x:row r="1404">
      <x:c r="JA1404" t="n">
        <x:f>IF(OR(IFERROR(INDIRECT("'WCM Calibration Final'!$A$1404")&lt;&gt;"",FALSE),IFERROR(INDIRECT("'WCM Calibration Final'!$B$1404")&lt;&gt;"",FALSE),IFERROR(INDIRECT("'WCM Calibration Final'!$C$1404")&lt;&gt;"",FALSE)),1404,0)</x:f>
        <x:v>0</x:v>
      </x:c>
      <x:c r="JB1404" t="n">
        <x:f>'Calculations'!JB1403+IF('Calculations'!JA1404&gt;0,1,0)</x:f>
        <x:v>0</x:v>
      </x:c>
    </x:row>
    <x:row r="1405">
      <x:c r="JA1405" t="n">
        <x:f>IF(OR(IFERROR(INDIRECT("'WCM Calibration Final'!$A$1405")&lt;&gt;"",FALSE),IFERROR(INDIRECT("'WCM Calibration Final'!$B$1405")&lt;&gt;"",FALSE),IFERROR(INDIRECT("'WCM Calibration Final'!$C$1405")&lt;&gt;"",FALSE)),1405,0)</x:f>
        <x:v>0</x:v>
      </x:c>
      <x:c r="JB1405" t="n">
        <x:f>'Calculations'!JB1404+IF('Calculations'!JA1405&gt;0,1,0)</x:f>
        <x:v>0</x:v>
      </x:c>
    </x:row>
    <x:row r="1406">
      <x:c r="JA1406" t="n">
        <x:f>IF(OR(IFERROR(INDIRECT("'WCM Calibration Final'!$A$1406")&lt;&gt;"",FALSE),IFERROR(INDIRECT("'WCM Calibration Final'!$B$1406")&lt;&gt;"",FALSE),IFERROR(INDIRECT("'WCM Calibration Final'!$C$1406")&lt;&gt;"",FALSE)),1406,0)</x:f>
        <x:v>0</x:v>
      </x:c>
      <x:c r="JB1406" t="n">
        <x:f>'Calculations'!JB1405+IF('Calculations'!JA1406&gt;0,1,0)</x:f>
        <x:v>0</x:v>
      </x:c>
    </x:row>
    <x:row r="1407">
      <x:c r="JA1407" t="n">
        <x:f>IF(OR(IFERROR(INDIRECT("'WCM Calibration Final'!$A$1407")&lt;&gt;"",FALSE),IFERROR(INDIRECT("'WCM Calibration Final'!$B$1407")&lt;&gt;"",FALSE),IFERROR(INDIRECT("'WCM Calibration Final'!$C$1407")&lt;&gt;"",FALSE)),1407,0)</x:f>
        <x:v>0</x:v>
      </x:c>
      <x:c r="JB1407" t="n">
        <x:f>'Calculations'!JB1406+IF('Calculations'!JA1407&gt;0,1,0)</x:f>
        <x:v>0</x:v>
      </x:c>
    </x:row>
    <x:row r="1408">
      <x:c r="JA1408" t="n">
        <x:f>IF(OR(IFERROR(INDIRECT("'WCM Calibration Final'!$A$1408")&lt;&gt;"",FALSE),IFERROR(INDIRECT("'WCM Calibration Final'!$B$1408")&lt;&gt;"",FALSE),IFERROR(INDIRECT("'WCM Calibration Final'!$C$1408")&lt;&gt;"",FALSE)),1408,0)</x:f>
        <x:v>0</x:v>
      </x:c>
      <x:c r="JB1408" t="n">
        <x:f>'Calculations'!JB1407+IF('Calculations'!JA1408&gt;0,1,0)</x:f>
        <x:v>0</x:v>
      </x:c>
    </x:row>
    <x:row r="1409">
      <x:c r="JA1409" t="n">
        <x:f>IF(OR(IFERROR(INDIRECT("'WCM Calibration Final'!$A$1409")&lt;&gt;"",FALSE),IFERROR(INDIRECT("'WCM Calibration Final'!$B$1409")&lt;&gt;"",FALSE),IFERROR(INDIRECT("'WCM Calibration Final'!$C$1409")&lt;&gt;"",FALSE)),1409,0)</x:f>
        <x:v>0</x:v>
      </x:c>
      <x:c r="JB1409" t="n">
        <x:f>'Calculations'!JB1408+IF('Calculations'!JA1409&gt;0,1,0)</x:f>
        <x:v>0</x:v>
      </x:c>
    </x:row>
    <x:row r="1410">
      <x:c r="JA1410" t="n">
        <x:f>IF(OR(IFERROR(INDIRECT("'WCM Calibration Final'!$A$1410")&lt;&gt;"",FALSE),IFERROR(INDIRECT("'WCM Calibration Final'!$B$1410")&lt;&gt;"",FALSE),IFERROR(INDIRECT("'WCM Calibration Final'!$C$1410")&lt;&gt;"",FALSE)),1410,0)</x:f>
        <x:v>0</x:v>
      </x:c>
      <x:c r="JB1410" t="n">
        <x:f>'Calculations'!JB1409+IF('Calculations'!JA1410&gt;0,1,0)</x:f>
        <x:v>0</x:v>
      </x:c>
    </x:row>
    <x:row r="1411">
      <x:c r="JA1411" t="n">
        <x:f>IF(OR(IFERROR(INDIRECT("'WCM Calibration Final'!$A$1411")&lt;&gt;"",FALSE),IFERROR(INDIRECT("'WCM Calibration Final'!$B$1411")&lt;&gt;"",FALSE),IFERROR(INDIRECT("'WCM Calibration Final'!$C$1411")&lt;&gt;"",FALSE)),1411,0)</x:f>
        <x:v>0</x:v>
      </x:c>
      <x:c r="JB1411" t="n">
        <x:f>'Calculations'!JB1410+IF('Calculations'!JA1411&gt;0,1,0)</x:f>
        <x:v>0</x:v>
      </x:c>
    </x:row>
    <x:row r="1412">
      <x:c r="JA1412" t="n">
        <x:f>IF(OR(IFERROR(INDIRECT("'WCM Calibration Final'!$A$1412")&lt;&gt;"",FALSE),IFERROR(INDIRECT("'WCM Calibration Final'!$B$1412")&lt;&gt;"",FALSE),IFERROR(INDIRECT("'WCM Calibration Final'!$C$1412")&lt;&gt;"",FALSE)),1412,0)</x:f>
        <x:v>0</x:v>
      </x:c>
      <x:c r="JB1412" t="n">
        <x:f>'Calculations'!JB1411+IF('Calculations'!JA1412&gt;0,1,0)</x:f>
        <x:v>0</x:v>
      </x:c>
    </x:row>
    <x:row r="1413">
      <x:c r="JA1413" t="n">
        <x:f>IF(OR(IFERROR(INDIRECT("'WCM Calibration Final'!$A$1413")&lt;&gt;"",FALSE),IFERROR(INDIRECT("'WCM Calibration Final'!$B$1413")&lt;&gt;"",FALSE),IFERROR(INDIRECT("'WCM Calibration Final'!$C$1413")&lt;&gt;"",FALSE)),1413,0)</x:f>
        <x:v>0</x:v>
      </x:c>
      <x:c r="JB1413" t="n">
        <x:f>'Calculations'!JB1412+IF('Calculations'!JA1413&gt;0,1,0)</x:f>
        <x:v>0</x:v>
      </x:c>
    </x:row>
    <x:row r="1414">
      <x:c r="JA1414" t="n">
        <x:f>IF(OR(IFERROR(INDIRECT("'WCM Calibration Final'!$A$1414")&lt;&gt;"",FALSE),IFERROR(INDIRECT("'WCM Calibration Final'!$B$1414")&lt;&gt;"",FALSE),IFERROR(INDIRECT("'WCM Calibration Final'!$C$1414")&lt;&gt;"",FALSE)),1414,0)</x:f>
        <x:v>0</x:v>
      </x:c>
      <x:c r="JB1414" t="n">
        <x:f>'Calculations'!JB1413+IF('Calculations'!JA1414&gt;0,1,0)</x:f>
        <x:v>0</x:v>
      </x:c>
    </x:row>
    <x:row r="1415">
      <x:c r="JA1415" t="n">
        <x:f>IF(OR(IFERROR(INDIRECT("'WCM Calibration Final'!$A$1415")&lt;&gt;"",FALSE),IFERROR(INDIRECT("'WCM Calibration Final'!$B$1415")&lt;&gt;"",FALSE),IFERROR(INDIRECT("'WCM Calibration Final'!$C$1415")&lt;&gt;"",FALSE)),1415,0)</x:f>
        <x:v>0</x:v>
      </x:c>
      <x:c r="JB1415" t="n">
        <x:f>'Calculations'!JB1414+IF('Calculations'!JA1415&gt;0,1,0)</x:f>
        <x:v>0</x:v>
      </x:c>
    </x:row>
    <x:row r="1416">
      <x:c r="JA1416" t="n">
        <x:f>IF(OR(IFERROR(INDIRECT("'WCM Calibration Final'!$A$1416")&lt;&gt;"",FALSE),IFERROR(INDIRECT("'WCM Calibration Final'!$B$1416")&lt;&gt;"",FALSE),IFERROR(INDIRECT("'WCM Calibration Final'!$C$1416")&lt;&gt;"",FALSE)),1416,0)</x:f>
        <x:v>0</x:v>
      </x:c>
      <x:c r="JB1416" t="n">
        <x:f>'Calculations'!JB1415+IF('Calculations'!JA1416&gt;0,1,0)</x:f>
        <x:v>0</x:v>
      </x:c>
    </x:row>
    <x:row r="1417">
      <x:c r="JA1417" t="n">
        <x:f>IF(OR(IFERROR(INDIRECT("'WCM Calibration Final'!$A$1417")&lt;&gt;"",FALSE),IFERROR(INDIRECT("'WCM Calibration Final'!$B$1417")&lt;&gt;"",FALSE),IFERROR(INDIRECT("'WCM Calibration Final'!$C$1417")&lt;&gt;"",FALSE)),1417,0)</x:f>
        <x:v>0</x:v>
      </x:c>
      <x:c r="JB1417" t="n">
        <x:f>'Calculations'!JB1416+IF('Calculations'!JA1417&gt;0,1,0)</x:f>
        <x:v>0</x:v>
      </x:c>
    </x:row>
    <x:row r="1418">
      <x:c r="JA1418" t="n">
        <x:f>IF(OR(IFERROR(INDIRECT("'WCM Calibration Final'!$A$1418")&lt;&gt;"",FALSE),IFERROR(INDIRECT("'WCM Calibration Final'!$B$1418")&lt;&gt;"",FALSE),IFERROR(INDIRECT("'WCM Calibration Final'!$C$1418")&lt;&gt;"",FALSE)),1418,0)</x:f>
        <x:v>0</x:v>
      </x:c>
      <x:c r="JB1418" t="n">
        <x:f>'Calculations'!JB1417+IF('Calculations'!JA1418&gt;0,1,0)</x:f>
        <x:v>0</x:v>
      </x:c>
    </x:row>
    <x:row r="1419">
      <x:c r="JA1419" t="n">
        <x:f>IF(OR(IFERROR(INDIRECT("'WCM Calibration Final'!$A$1419")&lt;&gt;"",FALSE),IFERROR(INDIRECT("'WCM Calibration Final'!$B$1419")&lt;&gt;"",FALSE),IFERROR(INDIRECT("'WCM Calibration Final'!$C$1419")&lt;&gt;"",FALSE)),1419,0)</x:f>
        <x:v>0</x:v>
      </x:c>
      <x:c r="JB1419" t="n">
        <x:f>'Calculations'!JB1418+IF('Calculations'!JA1419&gt;0,1,0)</x:f>
        <x:v>0</x:v>
      </x:c>
    </x:row>
    <x:row r="1420">
      <x:c r="JA1420" t="n">
        <x:f>IF(OR(IFERROR(INDIRECT("'WCM Calibration Final'!$A$1420")&lt;&gt;"",FALSE),IFERROR(INDIRECT("'WCM Calibration Final'!$B$1420")&lt;&gt;"",FALSE),IFERROR(INDIRECT("'WCM Calibration Final'!$C$1420")&lt;&gt;"",FALSE)),1420,0)</x:f>
        <x:v>0</x:v>
      </x:c>
      <x:c r="JB1420" t="n">
        <x:f>'Calculations'!JB1419+IF('Calculations'!JA1420&gt;0,1,0)</x:f>
        <x:v>0</x:v>
      </x:c>
    </x:row>
    <x:row r="1421">
      <x:c r="JA1421" t="n">
        <x:f>IF(OR(IFERROR(INDIRECT("'WCM Calibration Final'!$A$1421")&lt;&gt;"",FALSE),IFERROR(INDIRECT("'WCM Calibration Final'!$B$1421")&lt;&gt;"",FALSE),IFERROR(INDIRECT("'WCM Calibration Final'!$C$1421")&lt;&gt;"",FALSE)),1421,0)</x:f>
        <x:v>0</x:v>
      </x:c>
      <x:c r="JB1421" t="n">
        <x:f>'Calculations'!JB1420+IF('Calculations'!JA1421&gt;0,1,0)</x:f>
        <x:v>0</x:v>
      </x:c>
    </x:row>
    <x:row r="1422">
      <x:c r="JA1422" t="n">
        <x:f>IF(OR(IFERROR(INDIRECT("'WCM Calibration Final'!$A$1422")&lt;&gt;"",FALSE),IFERROR(INDIRECT("'WCM Calibration Final'!$B$1422")&lt;&gt;"",FALSE),IFERROR(INDIRECT("'WCM Calibration Final'!$C$1422")&lt;&gt;"",FALSE)),1422,0)</x:f>
        <x:v>0</x:v>
      </x:c>
      <x:c r="JB1422" t="n">
        <x:f>'Calculations'!JB1421+IF('Calculations'!JA1422&gt;0,1,0)</x:f>
        <x:v>0</x:v>
      </x:c>
    </x:row>
    <x:row r="1423">
      <x:c r="JA1423" t="n">
        <x:f>IF(OR(IFERROR(INDIRECT("'WCM Calibration Final'!$A$1423")&lt;&gt;"",FALSE),IFERROR(INDIRECT("'WCM Calibration Final'!$B$1423")&lt;&gt;"",FALSE),IFERROR(INDIRECT("'WCM Calibration Final'!$C$1423")&lt;&gt;"",FALSE)),1423,0)</x:f>
        <x:v>0</x:v>
      </x:c>
      <x:c r="JB1423" t="n">
        <x:f>'Calculations'!JB1422+IF('Calculations'!JA1423&gt;0,1,0)</x:f>
        <x:v>0</x:v>
      </x:c>
    </x:row>
    <x:row r="1424">
      <x:c r="JA1424" t="n">
        <x:f>IF(OR(IFERROR(INDIRECT("'WCM Calibration Final'!$A$1424")&lt;&gt;"",FALSE),IFERROR(INDIRECT("'WCM Calibration Final'!$B$1424")&lt;&gt;"",FALSE),IFERROR(INDIRECT("'WCM Calibration Final'!$C$1424")&lt;&gt;"",FALSE)),1424,0)</x:f>
        <x:v>0</x:v>
      </x:c>
      <x:c r="JB1424" t="n">
        <x:f>'Calculations'!JB1423+IF('Calculations'!JA1424&gt;0,1,0)</x:f>
        <x:v>0</x:v>
      </x:c>
    </x:row>
    <x:row r="1425">
      <x:c r="JA1425" t="n">
        <x:f>IF(OR(IFERROR(INDIRECT("'WCM Calibration Final'!$A$1425")&lt;&gt;"",FALSE),IFERROR(INDIRECT("'WCM Calibration Final'!$B$1425")&lt;&gt;"",FALSE),IFERROR(INDIRECT("'WCM Calibration Final'!$C$1425")&lt;&gt;"",FALSE)),1425,0)</x:f>
        <x:v>0</x:v>
      </x:c>
      <x:c r="JB1425" t="n">
        <x:f>'Calculations'!JB1424+IF('Calculations'!JA1425&gt;0,1,0)</x:f>
        <x:v>0</x:v>
      </x:c>
    </x:row>
    <x:row r="1426">
      <x:c r="JA1426" t="n">
        <x:f>IF(OR(IFERROR(INDIRECT("'WCM Calibration Final'!$A$1426")&lt;&gt;"",FALSE),IFERROR(INDIRECT("'WCM Calibration Final'!$B$1426")&lt;&gt;"",FALSE),IFERROR(INDIRECT("'WCM Calibration Final'!$C$1426")&lt;&gt;"",FALSE)),1426,0)</x:f>
        <x:v>0</x:v>
      </x:c>
      <x:c r="JB1426" t="n">
        <x:f>'Calculations'!JB1425+IF('Calculations'!JA1426&gt;0,1,0)</x:f>
        <x:v>0</x:v>
      </x:c>
    </x:row>
    <x:row r="1427">
      <x:c r="JA1427" t="n">
        <x:f>IF(OR(IFERROR(INDIRECT("'WCM Calibration Final'!$A$1427")&lt;&gt;"",FALSE),IFERROR(INDIRECT("'WCM Calibration Final'!$B$1427")&lt;&gt;"",FALSE),IFERROR(INDIRECT("'WCM Calibration Final'!$C$1427")&lt;&gt;"",FALSE)),1427,0)</x:f>
        <x:v>0</x:v>
      </x:c>
      <x:c r="JB1427" t="n">
        <x:f>'Calculations'!JB1426+IF('Calculations'!JA1427&gt;0,1,0)</x:f>
        <x:v>0</x:v>
      </x:c>
    </x:row>
    <x:row r="1428">
      <x:c r="JA1428" t="n">
        <x:f>IF(OR(IFERROR(INDIRECT("'WCM Calibration Final'!$A$1428")&lt;&gt;"",FALSE),IFERROR(INDIRECT("'WCM Calibration Final'!$B$1428")&lt;&gt;"",FALSE),IFERROR(INDIRECT("'WCM Calibration Final'!$C$1428")&lt;&gt;"",FALSE)),1428,0)</x:f>
        <x:v>0</x:v>
      </x:c>
      <x:c r="JB1428" t="n">
        <x:f>'Calculations'!JB1427+IF('Calculations'!JA1428&gt;0,1,0)</x:f>
        <x:v>0</x:v>
      </x:c>
    </x:row>
    <x:row r="1429">
      <x:c r="JA1429" t="n">
        <x:f>IF(OR(IFERROR(INDIRECT("'WCM Calibration Final'!$A$1429")&lt;&gt;"",FALSE),IFERROR(INDIRECT("'WCM Calibration Final'!$B$1429")&lt;&gt;"",FALSE),IFERROR(INDIRECT("'WCM Calibration Final'!$C$1429")&lt;&gt;"",FALSE)),1429,0)</x:f>
        <x:v>0</x:v>
      </x:c>
      <x:c r="JB1429" t="n">
        <x:f>'Calculations'!JB1428+IF('Calculations'!JA1429&gt;0,1,0)</x:f>
        <x:v>0</x:v>
      </x:c>
    </x:row>
    <x:row r="1430">
      <x:c r="JA1430" t="n">
        <x:f>IF(OR(IFERROR(INDIRECT("'WCM Calibration Final'!$A$1430")&lt;&gt;"",FALSE),IFERROR(INDIRECT("'WCM Calibration Final'!$B$1430")&lt;&gt;"",FALSE),IFERROR(INDIRECT("'WCM Calibration Final'!$C$1430")&lt;&gt;"",FALSE)),1430,0)</x:f>
        <x:v>0</x:v>
      </x:c>
      <x:c r="JB1430" t="n">
        <x:f>'Calculations'!JB1429+IF('Calculations'!JA1430&gt;0,1,0)</x:f>
        <x:v>0</x:v>
      </x:c>
    </x:row>
    <x:row r="1431">
      <x:c r="JA1431" t="n">
        <x:f>IF(OR(IFERROR(INDIRECT("'WCM Calibration Final'!$A$1431")&lt;&gt;"",FALSE),IFERROR(INDIRECT("'WCM Calibration Final'!$B$1431")&lt;&gt;"",FALSE),IFERROR(INDIRECT("'WCM Calibration Final'!$C$1431")&lt;&gt;"",FALSE)),1431,0)</x:f>
        <x:v>0</x:v>
      </x:c>
      <x:c r="JB1431" t="n">
        <x:f>'Calculations'!JB1430+IF('Calculations'!JA1431&gt;0,1,0)</x:f>
        <x:v>0</x:v>
      </x:c>
    </x:row>
    <x:row r="1432">
      <x:c r="JA1432" t="n">
        <x:f>IF(OR(IFERROR(INDIRECT("'WCM Calibration Final'!$A$1432")&lt;&gt;"",FALSE),IFERROR(INDIRECT("'WCM Calibration Final'!$B$1432")&lt;&gt;"",FALSE),IFERROR(INDIRECT("'WCM Calibration Final'!$C$1432")&lt;&gt;"",FALSE)),1432,0)</x:f>
        <x:v>0</x:v>
      </x:c>
      <x:c r="JB1432" t="n">
        <x:f>'Calculations'!JB1431+IF('Calculations'!JA1432&gt;0,1,0)</x:f>
        <x:v>0</x:v>
      </x:c>
    </x:row>
    <x:row r="1433">
      <x:c r="JA1433" t="n">
        <x:f>IF(OR(IFERROR(INDIRECT("'WCM Calibration Final'!$A$1433")&lt;&gt;"",FALSE),IFERROR(INDIRECT("'WCM Calibration Final'!$B$1433")&lt;&gt;"",FALSE),IFERROR(INDIRECT("'WCM Calibration Final'!$C$1433")&lt;&gt;"",FALSE)),1433,0)</x:f>
        <x:v>0</x:v>
      </x:c>
      <x:c r="JB1433" t="n">
        <x:f>'Calculations'!JB1432+IF('Calculations'!JA1433&gt;0,1,0)</x:f>
        <x:v>0</x:v>
      </x:c>
    </x:row>
    <x:row r="1434">
      <x:c r="JA1434" t="n">
        <x:f>IF(OR(IFERROR(INDIRECT("'WCM Calibration Final'!$A$1434")&lt;&gt;"",FALSE),IFERROR(INDIRECT("'WCM Calibration Final'!$B$1434")&lt;&gt;"",FALSE),IFERROR(INDIRECT("'WCM Calibration Final'!$C$1434")&lt;&gt;"",FALSE)),1434,0)</x:f>
        <x:v>0</x:v>
      </x:c>
      <x:c r="JB1434" t="n">
        <x:f>'Calculations'!JB1433+IF('Calculations'!JA1434&gt;0,1,0)</x:f>
        <x:v>0</x:v>
      </x:c>
    </x:row>
    <x:row r="1435">
      <x:c r="JA1435" t="n">
        <x:f>IF(OR(IFERROR(INDIRECT("'WCM Calibration Final'!$A$1435")&lt;&gt;"",FALSE),IFERROR(INDIRECT("'WCM Calibration Final'!$B$1435")&lt;&gt;"",FALSE),IFERROR(INDIRECT("'WCM Calibration Final'!$C$1435")&lt;&gt;"",FALSE)),1435,0)</x:f>
        <x:v>0</x:v>
      </x:c>
      <x:c r="JB1435" t="n">
        <x:f>'Calculations'!JB1434+IF('Calculations'!JA1435&gt;0,1,0)</x:f>
        <x:v>0</x:v>
      </x:c>
    </x:row>
    <x:row r="1436">
      <x:c r="JA1436" t="n">
        <x:f>IF(OR(IFERROR(INDIRECT("'WCM Calibration Final'!$A$1436")&lt;&gt;"",FALSE),IFERROR(INDIRECT("'WCM Calibration Final'!$B$1436")&lt;&gt;"",FALSE),IFERROR(INDIRECT("'WCM Calibration Final'!$C$1436")&lt;&gt;"",FALSE)),1436,0)</x:f>
        <x:v>0</x:v>
      </x:c>
      <x:c r="JB1436" t="n">
        <x:f>'Calculations'!JB1435+IF('Calculations'!JA1436&gt;0,1,0)</x:f>
        <x:v>0</x:v>
      </x:c>
    </x:row>
    <x:row r="1437">
      <x:c r="JA1437" t="n">
        <x:f>IF(OR(IFERROR(INDIRECT("'WCM Calibration Final'!$A$1437")&lt;&gt;"",FALSE),IFERROR(INDIRECT("'WCM Calibration Final'!$B$1437")&lt;&gt;"",FALSE),IFERROR(INDIRECT("'WCM Calibration Final'!$C$1437")&lt;&gt;"",FALSE)),1437,0)</x:f>
        <x:v>0</x:v>
      </x:c>
      <x:c r="JB1437" t="n">
        <x:f>'Calculations'!JB1436+IF('Calculations'!JA1437&gt;0,1,0)</x:f>
        <x:v>0</x:v>
      </x:c>
    </x:row>
    <x:row r="1438">
      <x:c r="JA1438" t="n">
        <x:f>IF(OR(IFERROR(INDIRECT("'WCM Calibration Final'!$A$1438")&lt;&gt;"",FALSE),IFERROR(INDIRECT("'WCM Calibration Final'!$B$1438")&lt;&gt;"",FALSE),IFERROR(INDIRECT("'WCM Calibration Final'!$C$1438")&lt;&gt;"",FALSE)),1438,0)</x:f>
        <x:v>0</x:v>
      </x:c>
      <x:c r="JB1438" t="n">
        <x:f>'Calculations'!JB1437+IF('Calculations'!JA1438&gt;0,1,0)</x:f>
        <x:v>0</x:v>
      </x:c>
    </x:row>
    <x:row r="1439">
      <x:c r="JA1439" t="n">
        <x:f>IF(OR(IFERROR(INDIRECT("'WCM Calibration Final'!$A$1439")&lt;&gt;"",FALSE),IFERROR(INDIRECT("'WCM Calibration Final'!$B$1439")&lt;&gt;"",FALSE),IFERROR(INDIRECT("'WCM Calibration Final'!$C$1439")&lt;&gt;"",FALSE)),1439,0)</x:f>
        <x:v>0</x:v>
      </x:c>
      <x:c r="JB1439" t="n">
        <x:f>'Calculations'!JB1438+IF('Calculations'!JA1439&gt;0,1,0)</x:f>
        <x:v>0</x:v>
      </x:c>
    </x:row>
    <x:row r="1440">
      <x:c r="JA1440" t="n">
        <x:f>IF(OR(IFERROR(INDIRECT("'WCM Calibration Final'!$A$1440")&lt;&gt;"",FALSE),IFERROR(INDIRECT("'WCM Calibration Final'!$B$1440")&lt;&gt;"",FALSE),IFERROR(INDIRECT("'WCM Calibration Final'!$C$1440")&lt;&gt;"",FALSE)),1440,0)</x:f>
        <x:v>0</x:v>
      </x:c>
      <x:c r="JB1440" t="n">
        <x:f>'Calculations'!JB1439+IF('Calculations'!JA1440&gt;0,1,0)</x:f>
        <x:v>0</x:v>
      </x:c>
    </x:row>
    <x:row r="1441">
      <x:c r="JA1441" t="n">
        <x:f>IF(OR(IFERROR(INDIRECT("'WCM Calibration Final'!$A$1441")&lt;&gt;"",FALSE),IFERROR(INDIRECT("'WCM Calibration Final'!$B$1441")&lt;&gt;"",FALSE),IFERROR(INDIRECT("'WCM Calibration Final'!$C$1441")&lt;&gt;"",FALSE)),1441,0)</x:f>
        <x:v>0</x:v>
      </x:c>
      <x:c r="JB1441" t="n">
        <x:f>'Calculations'!JB1440+IF('Calculations'!JA1441&gt;0,1,0)</x:f>
        <x:v>0</x:v>
      </x:c>
    </x:row>
    <x:row r="1442">
      <x:c r="JA1442" t="n">
        <x:f>IF(OR(IFERROR(INDIRECT("'WCM Calibration Final'!$A$1442")&lt;&gt;"",FALSE),IFERROR(INDIRECT("'WCM Calibration Final'!$B$1442")&lt;&gt;"",FALSE),IFERROR(INDIRECT("'WCM Calibration Final'!$C$1442")&lt;&gt;"",FALSE)),1442,0)</x:f>
        <x:v>0</x:v>
      </x:c>
      <x:c r="JB1442" t="n">
        <x:f>'Calculations'!JB1441+IF('Calculations'!JA1442&gt;0,1,0)</x:f>
        <x:v>0</x:v>
      </x:c>
    </x:row>
    <x:row r="1443">
      <x:c r="JA1443" t="n">
        <x:f>IF(OR(IFERROR(INDIRECT("'WCM Calibration Final'!$A$1443")&lt;&gt;"",FALSE),IFERROR(INDIRECT("'WCM Calibration Final'!$B$1443")&lt;&gt;"",FALSE),IFERROR(INDIRECT("'WCM Calibration Final'!$C$1443")&lt;&gt;"",FALSE)),1443,0)</x:f>
        <x:v>0</x:v>
      </x:c>
      <x:c r="JB1443" t="n">
        <x:f>'Calculations'!JB1442+IF('Calculations'!JA1443&gt;0,1,0)</x:f>
        <x:v>0</x:v>
      </x:c>
    </x:row>
    <x:row r="1444">
      <x:c r="JA1444" t="n">
        <x:f>IF(OR(IFERROR(INDIRECT("'WCM Calibration Final'!$A$1444")&lt;&gt;"",FALSE),IFERROR(INDIRECT("'WCM Calibration Final'!$B$1444")&lt;&gt;"",FALSE),IFERROR(INDIRECT("'WCM Calibration Final'!$C$1444")&lt;&gt;"",FALSE)),1444,0)</x:f>
        <x:v>0</x:v>
      </x:c>
      <x:c r="JB1444" t="n">
        <x:f>'Calculations'!JB1443+IF('Calculations'!JA1444&gt;0,1,0)</x:f>
        <x:v>0</x:v>
      </x:c>
    </x:row>
    <x:row r="1445">
      <x:c r="JA1445" t="n">
        <x:f>IF(OR(IFERROR(INDIRECT("'WCM Calibration Final'!$A$1445")&lt;&gt;"",FALSE),IFERROR(INDIRECT("'WCM Calibration Final'!$B$1445")&lt;&gt;"",FALSE),IFERROR(INDIRECT("'WCM Calibration Final'!$C$1445")&lt;&gt;"",FALSE)),1445,0)</x:f>
        <x:v>0</x:v>
      </x:c>
      <x:c r="JB1445" t="n">
        <x:f>'Calculations'!JB1444+IF('Calculations'!JA1445&gt;0,1,0)</x:f>
        <x:v>0</x:v>
      </x:c>
    </x:row>
    <x:row r="1446">
      <x:c r="JA1446" t="n">
        <x:f>IF(OR(IFERROR(INDIRECT("'WCM Calibration Final'!$A$1446")&lt;&gt;"",FALSE),IFERROR(INDIRECT("'WCM Calibration Final'!$B$1446")&lt;&gt;"",FALSE),IFERROR(INDIRECT("'WCM Calibration Final'!$C$1446")&lt;&gt;"",FALSE)),1446,0)</x:f>
        <x:v>0</x:v>
      </x:c>
      <x:c r="JB1446" t="n">
        <x:f>'Calculations'!JB1445+IF('Calculations'!JA1446&gt;0,1,0)</x:f>
        <x:v>0</x:v>
      </x:c>
    </x:row>
    <x:row r="1447">
      <x:c r="JA1447" t="n">
        <x:f>IF(OR(IFERROR(INDIRECT("'WCM Calibration Final'!$A$1447")&lt;&gt;"",FALSE),IFERROR(INDIRECT("'WCM Calibration Final'!$B$1447")&lt;&gt;"",FALSE),IFERROR(INDIRECT("'WCM Calibration Final'!$C$1447")&lt;&gt;"",FALSE)),1447,0)</x:f>
        <x:v>0</x:v>
      </x:c>
      <x:c r="JB1447" t="n">
        <x:f>'Calculations'!JB1446+IF('Calculations'!JA1447&gt;0,1,0)</x:f>
        <x:v>0</x:v>
      </x:c>
    </x:row>
    <x:row r="1448">
      <x:c r="JA1448" t="n">
        <x:f>IF(OR(IFERROR(INDIRECT("'WCM Calibration Final'!$A$1448")&lt;&gt;"",FALSE),IFERROR(INDIRECT("'WCM Calibration Final'!$B$1448")&lt;&gt;"",FALSE),IFERROR(INDIRECT("'WCM Calibration Final'!$C$1448")&lt;&gt;"",FALSE)),1448,0)</x:f>
        <x:v>0</x:v>
      </x:c>
      <x:c r="JB1448" t="n">
        <x:f>'Calculations'!JB1447+IF('Calculations'!JA1448&gt;0,1,0)</x:f>
        <x:v>0</x:v>
      </x:c>
    </x:row>
    <x:row r="1449">
      <x:c r="JA1449" t="n">
        <x:f>IF(OR(IFERROR(INDIRECT("'WCM Calibration Final'!$A$1449")&lt;&gt;"",FALSE),IFERROR(INDIRECT("'WCM Calibration Final'!$B$1449")&lt;&gt;"",FALSE),IFERROR(INDIRECT("'WCM Calibration Final'!$C$1449")&lt;&gt;"",FALSE)),1449,0)</x:f>
        <x:v>0</x:v>
      </x:c>
      <x:c r="JB1449" t="n">
        <x:f>'Calculations'!JB1448+IF('Calculations'!JA1449&gt;0,1,0)</x:f>
        <x:v>0</x:v>
      </x:c>
    </x:row>
    <x:row r="1450">
      <x:c r="JA1450" t="n">
        <x:f>IF(OR(IFERROR(INDIRECT("'WCM Calibration Final'!$A$1450")&lt;&gt;"",FALSE),IFERROR(INDIRECT("'WCM Calibration Final'!$B$1450")&lt;&gt;"",FALSE),IFERROR(INDIRECT("'WCM Calibration Final'!$C$1450")&lt;&gt;"",FALSE)),1450,0)</x:f>
        <x:v>0</x:v>
      </x:c>
      <x:c r="JB1450" t="n">
        <x:f>'Calculations'!JB1449+IF('Calculations'!JA1450&gt;0,1,0)</x:f>
        <x:v>0</x:v>
      </x:c>
    </x:row>
    <x:row r="1451">
      <x:c r="JA1451" t="n">
        <x:f>IF(OR(IFERROR(INDIRECT("'WCM Calibration Final'!$A$1451")&lt;&gt;"",FALSE),IFERROR(INDIRECT("'WCM Calibration Final'!$B$1451")&lt;&gt;"",FALSE),IFERROR(INDIRECT("'WCM Calibration Final'!$C$1451")&lt;&gt;"",FALSE)),1451,0)</x:f>
        <x:v>0</x:v>
      </x:c>
      <x:c r="JB1451" t="n">
        <x:f>'Calculations'!JB1450+IF('Calculations'!JA1451&gt;0,1,0)</x:f>
        <x:v>0</x:v>
      </x:c>
    </x:row>
    <x:row r="1452">
      <x:c r="JA1452" t="n">
        <x:f>IF(OR(IFERROR(INDIRECT("'WCM Calibration Final'!$A$1452")&lt;&gt;"",FALSE),IFERROR(INDIRECT("'WCM Calibration Final'!$B$1452")&lt;&gt;"",FALSE),IFERROR(INDIRECT("'WCM Calibration Final'!$C$1452")&lt;&gt;"",FALSE)),1452,0)</x:f>
        <x:v>0</x:v>
      </x:c>
      <x:c r="JB1452" t="n">
        <x:f>'Calculations'!JB1451+IF('Calculations'!JA1452&gt;0,1,0)</x:f>
        <x:v>0</x:v>
      </x:c>
    </x:row>
    <x:row r="1453">
      <x:c r="JA1453" t="n">
        <x:f>IF(OR(IFERROR(INDIRECT("'WCM Calibration Final'!$A$1453")&lt;&gt;"",FALSE),IFERROR(INDIRECT("'WCM Calibration Final'!$B$1453")&lt;&gt;"",FALSE),IFERROR(INDIRECT("'WCM Calibration Final'!$C$1453")&lt;&gt;"",FALSE)),1453,0)</x:f>
        <x:v>0</x:v>
      </x:c>
      <x:c r="JB1453" t="n">
        <x:f>'Calculations'!JB1452+IF('Calculations'!JA1453&gt;0,1,0)</x:f>
        <x:v>0</x:v>
      </x:c>
    </x:row>
    <x:row r="1454">
      <x:c r="JA1454" t="n">
        <x:f>IF(OR(IFERROR(INDIRECT("'WCM Calibration Final'!$A$1454")&lt;&gt;"",FALSE),IFERROR(INDIRECT("'WCM Calibration Final'!$B$1454")&lt;&gt;"",FALSE),IFERROR(INDIRECT("'WCM Calibration Final'!$C$1454")&lt;&gt;"",FALSE)),1454,0)</x:f>
        <x:v>0</x:v>
      </x:c>
      <x:c r="JB1454" t="n">
        <x:f>'Calculations'!JB1453+IF('Calculations'!JA1454&gt;0,1,0)</x:f>
        <x:v>0</x:v>
      </x:c>
    </x:row>
    <x:row r="1455">
      <x:c r="JA1455" t="n">
        <x:f>IF(OR(IFERROR(INDIRECT("'WCM Calibration Final'!$A$1455")&lt;&gt;"",FALSE),IFERROR(INDIRECT("'WCM Calibration Final'!$B$1455")&lt;&gt;"",FALSE),IFERROR(INDIRECT("'WCM Calibration Final'!$C$1455")&lt;&gt;"",FALSE)),1455,0)</x:f>
        <x:v>0</x:v>
      </x:c>
      <x:c r="JB1455" t="n">
        <x:f>'Calculations'!JB1454+IF('Calculations'!JA1455&gt;0,1,0)</x:f>
        <x:v>0</x:v>
      </x:c>
    </x:row>
    <x:row r="1456">
      <x:c r="JA1456" t="n">
        <x:f>IF(OR(IFERROR(INDIRECT("'WCM Calibration Final'!$A$1456")&lt;&gt;"",FALSE),IFERROR(INDIRECT("'WCM Calibration Final'!$B$1456")&lt;&gt;"",FALSE),IFERROR(INDIRECT("'WCM Calibration Final'!$C$1456")&lt;&gt;"",FALSE)),1456,0)</x:f>
        <x:v>0</x:v>
      </x:c>
      <x:c r="JB1456" t="n">
        <x:f>'Calculations'!JB1455+IF('Calculations'!JA1456&gt;0,1,0)</x:f>
        <x:v>0</x:v>
      </x:c>
    </x:row>
    <x:row r="1457">
      <x:c r="JA1457" t="n">
        <x:f>IF(OR(IFERROR(INDIRECT("'WCM Calibration Final'!$A$1457")&lt;&gt;"",FALSE),IFERROR(INDIRECT("'WCM Calibration Final'!$B$1457")&lt;&gt;"",FALSE),IFERROR(INDIRECT("'WCM Calibration Final'!$C$1457")&lt;&gt;"",FALSE)),1457,0)</x:f>
        <x:v>0</x:v>
      </x:c>
      <x:c r="JB1457" t="n">
        <x:f>'Calculations'!JB1456+IF('Calculations'!JA1457&gt;0,1,0)</x:f>
        <x:v>0</x:v>
      </x:c>
    </x:row>
    <x:row r="1458">
      <x:c r="JA1458" t="n">
        <x:f>IF(OR(IFERROR(INDIRECT("'WCM Calibration Final'!$A$1458")&lt;&gt;"",FALSE),IFERROR(INDIRECT("'WCM Calibration Final'!$B$1458")&lt;&gt;"",FALSE),IFERROR(INDIRECT("'WCM Calibration Final'!$C$1458")&lt;&gt;"",FALSE)),1458,0)</x:f>
        <x:v>0</x:v>
      </x:c>
      <x:c r="JB1458" t="n">
        <x:f>'Calculations'!JB1457+IF('Calculations'!JA1458&gt;0,1,0)</x:f>
        <x:v>0</x:v>
      </x:c>
    </x:row>
    <x:row r="1459">
      <x:c r="JA1459" t="n">
        <x:f>IF(OR(IFERROR(INDIRECT("'WCM Calibration Final'!$A$1459")&lt;&gt;"",FALSE),IFERROR(INDIRECT("'WCM Calibration Final'!$B$1459")&lt;&gt;"",FALSE),IFERROR(INDIRECT("'WCM Calibration Final'!$C$1459")&lt;&gt;"",FALSE)),1459,0)</x:f>
        <x:v>0</x:v>
      </x:c>
      <x:c r="JB1459" t="n">
        <x:f>'Calculations'!JB1458+IF('Calculations'!JA1459&gt;0,1,0)</x:f>
        <x:v>0</x:v>
      </x:c>
    </x:row>
    <x:row r="1460">
      <x:c r="JA1460" t="n">
        <x:f>IF(OR(IFERROR(INDIRECT("'WCM Calibration Final'!$A$1460")&lt;&gt;"",FALSE),IFERROR(INDIRECT("'WCM Calibration Final'!$B$1460")&lt;&gt;"",FALSE),IFERROR(INDIRECT("'WCM Calibration Final'!$C$1460")&lt;&gt;"",FALSE)),1460,0)</x:f>
        <x:v>0</x:v>
      </x:c>
      <x:c r="JB1460" t="n">
        <x:f>'Calculations'!JB1459+IF('Calculations'!JA1460&gt;0,1,0)</x:f>
        <x:v>0</x:v>
      </x:c>
    </x:row>
    <x:row r="1461">
      <x:c r="JA1461" t="n">
        <x:f>IF(OR(IFERROR(INDIRECT("'WCM Calibration Final'!$A$1461")&lt;&gt;"",FALSE),IFERROR(INDIRECT("'WCM Calibration Final'!$B$1461")&lt;&gt;"",FALSE),IFERROR(INDIRECT("'WCM Calibration Final'!$C$1461")&lt;&gt;"",FALSE)),1461,0)</x:f>
        <x:v>0</x:v>
      </x:c>
      <x:c r="JB1461" t="n">
        <x:f>'Calculations'!JB1460+IF('Calculations'!JA1461&gt;0,1,0)</x:f>
        <x:v>0</x:v>
      </x:c>
    </x:row>
    <x:row r="1462">
      <x:c r="JA1462" t="n">
        <x:f>IF(OR(IFERROR(INDIRECT("'WCM Calibration Final'!$A$1462")&lt;&gt;"",FALSE),IFERROR(INDIRECT("'WCM Calibration Final'!$B$1462")&lt;&gt;"",FALSE),IFERROR(INDIRECT("'WCM Calibration Final'!$C$1462")&lt;&gt;"",FALSE)),1462,0)</x:f>
        <x:v>0</x:v>
      </x:c>
      <x:c r="JB1462" t="n">
        <x:f>'Calculations'!JB1461+IF('Calculations'!JA1462&gt;0,1,0)</x:f>
        <x:v>0</x:v>
      </x:c>
    </x:row>
    <x:row r="1463">
      <x:c r="JA1463" t="n">
        <x:f>IF(OR(IFERROR(INDIRECT("'WCM Calibration Final'!$A$1463")&lt;&gt;"",FALSE),IFERROR(INDIRECT("'WCM Calibration Final'!$B$1463")&lt;&gt;"",FALSE),IFERROR(INDIRECT("'WCM Calibration Final'!$C$1463")&lt;&gt;"",FALSE)),1463,0)</x:f>
        <x:v>0</x:v>
      </x:c>
      <x:c r="JB1463" t="n">
        <x:f>'Calculations'!JB1462+IF('Calculations'!JA1463&gt;0,1,0)</x:f>
        <x:v>0</x:v>
      </x:c>
    </x:row>
    <x:row r="1464">
      <x:c r="JA1464" t="n">
        <x:f>IF(OR(IFERROR(INDIRECT("'WCM Calibration Final'!$A$1464")&lt;&gt;"",FALSE),IFERROR(INDIRECT("'WCM Calibration Final'!$B$1464")&lt;&gt;"",FALSE),IFERROR(INDIRECT("'WCM Calibration Final'!$C$1464")&lt;&gt;"",FALSE)),1464,0)</x:f>
        <x:v>0</x:v>
      </x:c>
      <x:c r="JB1464" t="n">
        <x:f>'Calculations'!JB1463+IF('Calculations'!JA1464&gt;0,1,0)</x:f>
        <x:v>0</x:v>
      </x:c>
    </x:row>
    <x:row r="1465">
      <x:c r="JA1465" t="n">
        <x:f>IF(OR(IFERROR(INDIRECT("'WCM Calibration Final'!$A$1465")&lt;&gt;"",FALSE),IFERROR(INDIRECT("'WCM Calibration Final'!$B$1465")&lt;&gt;"",FALSE),IFERROR(INDIRECT("'WCM Calibration Final'!$C$1465")&lt;&gt;"",FALSE)),1465,0)</x:f>
        <x:v>0</x:v>
      </x:c>
      <x:c r="JB1465" t="n">
        <x:f>'Calculations'!JB1464+IF('Calculations'!JA1465&gt;0,1,0)</x:f>
        <x:v>0</x:v>
      </x:c>
    </x:row>
    <x:row r="1466">
      <x:c r="JA1466" t="n">
        <x:f>IF(OR(IFERROR(INDIRECT("'WCM Calibration Final'!$A$1466")&lt;&gt;"",FALSE),IFERROR(INDIRECT("'WCM Calibration Final'!$B$1466")&lt;&gt;"",FALSE),IFERROR(INDIRECT("'WCM Calibration Final'!$C$1466")&lt;&gt;"",FALSE)),1466,0)</x:f>
        <x:v>0</x:v>
      </x:c>
      <x:c r="JB1466" t="n">
        <x:f>'Calculations'!JB1465+IF('Calculations'!JA1466&gt;0,1,0)</x:f>
        <x:v>0</x:v>
      </x:c>
    </x:row>
    <x:row r="1467">
      <x:c r="JA1467" t="n">
        <x:f>IF(OR(IFERROR(INDIRECT("'WCM Calibration Final'!$A$1467")&lt;&gt;"",FALSE),IFERROR(INDIRECT("'WCM Calibration Final'!$B$1467")&lt;&gt;"",FALSE),IFERROR(INDIRECT("'WCM Calibration Final'!$C$1467")&lt;&gt;"",FALSE)),1467,0)</x:f>
        <x:v>0</x:v>
      </x:c>
      <x:c r="JB1467" t="n">
        <x:f>'Calculations'!JB1466+IF('Calculations'!JA1467&gt;0,1,0)</x:f>
        <x:v>0</x:v>
      </x:c>
    </x:row>
    <x:row r="1468">
      <x:c r="JA1468" t="n">
        <x:f>IF(OR(IFERROR(INDIRECT("'WCM Calibration Final'!$A$1468")&lt;&gt;"",FALSE),IFERROR(INDIRECT("'WCM Calibration Final'!$B$1468")&lt;&gt;"",FALSE),IFERROR(INDIRECT("'WCM Calibration Final'!$C$1468")&lt;&gt;"",FALSE)),1468,0)</x:f>
        <x:v>0</x:v>
      </x:c>
      <x:c r="JB1468" t="n">
        <x:f>'Calculations'!JB1467+IF('Calculations'!JA1468&gt;0,1,0)</x:f>
        <x:v>0</x:v>
      </x:c>
    </x:row>
    <x:row r="1469">
      <x:c r="JA1469" t="n">
        <x:f>IF(OR(IFERROR(INDIRECT("'WCM Calibration Final'!$A$1469")&lt;&gt;"",FALSE),IFERROR(INDIRECT("'WCM Calibration Final'!$B$1469")&lt;&gt;"",FALSE),IFERROR(INDIRECT("'WCM Calibration Final'!$C$1469")&lt;&gt;"",FALSE)),1469,0)</x:f>
        <x:v>0</x:v>
      </x:c>
      <x:c r="JB1469" t="n">
        <x:f>'Calculations'!JB1468+IF('Calculations'!JA1469&gt;0,1,0)</x:f>
        <x:v>0</x:v>
      </x:c>
    </x:row>
    <x:row r="1470">
      <x:c r="JA1470" t="n">
        <x:f>IF(OR(IFERROR(INDIRECT("'WCM Calibration Final'!$A$1470")&lt;&gt;"",FALSE),IFERROR(INDIRECT("'WCM Calibration Final'!$B$1470")&lt;&gt;"",FALSE),IFERROR(INDIRECT("'WCM Calibration Final'!$C$1470")&lt;&gt;"",FALSE)),1470,0)</x:f>
        <x:v>0</x:v>
      </x:c>
      <x:c r="JB1470" t="n">
        <x:f>'Calculations'!JB1469+IF('Calculations'!JA1470&gt;0,1,0)</x:f>
        <x:v>0</x:v>
      </x:c>
    </x:row>
    <x:row r="1471">
      <x:c r="JA1471" t="n">
        <x:f>IF(OR(IFERROR(INDIRECT("'WCM Calibration Final'!$A$1471")&lt;&gt;"",FALSE),IFERROR(INDIRECT("'WCM Calibration Final'!$B$1471")&lt;&gt;"",FALSE),IFERROR(INDIRECT("'WCM Calibration Final'!$C$1471")&lt;&gt;"",FALSE)),1471,0)</x:f>
        <x:v>0</x:v>
      </x:c>
      <x:c r="JB1471" t="n">
        <x:f>'Calculations'!JB1470+IF('Calculations'!JA1471&gt;0,1,0)</x:f>
        <x:v>0</x:v>
      </x:c>
    </x:row>
    <x:row r="1472">
      <x:c r="JA1472" t="n">
        <x:f>IF(OR(IFERROR(INDIRECT("'WCM Calibration Final'!$A$1472")&lt;&gt;"",FALSE),IFERROR(INDIRECT("'WCM Calibration Final'!$B$1472")&lt;&gt;"",FALSE),IFERROR(INDIRECT("'WCM Calibration Final'!$C$1472")&lt;&gt;"",FALSE)),1472,0)</x:f>
        <x:v>0</x:v>
      </x:c>
      <x:c r="JB1472" t="n">
        <x:f>'Calculations'!JB1471+IF('Calculations'!JA1472&gt;0,1,0)</x:f>
        <x:v>0</x:v>
      </x:c>
    </x:row>
    <x:row r="1473">
      <x:c r="JA1473" t="n">
        <x:f>IF(OR(IFERROR(INDIRECT("'WCM Calibration Final'!$A$1473")&lt;&gt;"",FALSE),IFERROR(INDIRECT("'WCM Calibration Final'!$B$1473")&lt;&gt;"",FALSE),IFERROR(INDIRECT("'WCM Calibration Final'!$C$1473")&lt;&gt;"",FALSE)),1473,0)</x:f>
        <x:v>0</x:v>
      </x:c>
      <x:c r="JB1473" t="n">
        <x:f>'Calculations'!JB1472+IF('Calculations'!JA1473&gt;0,1,0)</x:f>
        <x:v>0</x:v>
      </x:c>
    </x:row>
    <x:row r="1474">
      <x:c r="JA1474" t="n">
        <x:f>IF(OR(IFERROR(INDIRECT("'WCM Calibration Final'!$A$1474")&lt;&gt;"",FALSE),IFERROR(INDIRECT("'WCM Calibration Final'!$B$1474")&lt;&gt;"",FALSE),IFERROR(INDIRECT("'WCM Calibration Final'!$C$1474")&lt;&gt;"",FALSE)),1474,0)</x:f>
        <x:v>0</x:v>
      </x:c>
      <x:c r="JB1474" t="n">
        <x:f>'Calculations'!JB1473+IF('Calculations'!JA1474&gt;0,1,0)</x:f>
        <x:v>0</x:v>
      </x:c>
    </x:row>
    <x:row r="1475">
      <x:c r="JA1475" t="n">
        <x:f>IF(OR(IFERROR(INDIRECT("'WCM Calibration Final'!$A$1475")&lt;&gt;"",FALSE),IFERROR(INDIRECT("'WCM Calibration Final'!$B$1475")&lt;&gt;"",FALSE),IFERROR(INDIRECT("'WCM Calibration Final'!$C$1475")&lt;&gt;"",FALSE)),1475,0)</x:f>
        <x:v>0</x:v>
      </x:c>
      <x:c r="JB1475" t="n">
        <x:f>'Calculations'!JB1474+IF('Calculations'!JA1475&gt;0,1,0)</x:f>
        <x:v>0</x:v>
      </x:c>
    </x:row>
    <x:row r="1476">
      <x:c r="JA1476" t="n">
        <x:f>IF(OR(IFERROR(INDIRECT("'WCM Calibration Final'!$A$1476")&lt;&gt;"",FALSE),IFERROR(INDIRECT("'WCM Calibration Final'!$B$1476")&lt;&gt;"",FALSE),IFERROR(INDIRECT("'WCM Calibration Final'!$C$1476")&lt;&gt;"",FALSE)),1476,0)</x:f>
        <x:v>0</x:v>
      </x:c>
      <x:c r="JB1476" t="n">
        <x:f>'Calculations'!JB1475+IF('Calculations'!JA1476&gt;0,1,0)</x:f>
        <x:v>0</x:v>
      </x:c>
    </x:row>
    <x:row r="1477">
      <x:c r="JA1477" t="n">
        <x:f>IF(OR(IFERROR(INDIRECT("'WCM Calibration Final'!$A$1477")&lt;&gt;"",FALSE),IFERROR(INDIRECT("'WCM Calibration Final'!$B$1477")&lt;&gt;"",FALSE),IFERROR(INDIRECT("'WCM Calibration Final'!$C$1477")&lt;&gt;"",FALSE)),1477,0)</x:f>
        <x:v>0</x:v>
      </x:c>
      <x:c r="JB1477" t="n">
        <x:f>'Calculations'!JB1476+IF('Calculations'!JA1477&gt;0,1,0)</x:f>
        <x:v>0</x:v>
      </x:c>
    </x:row>
    <x:row r="1478">
      <x:c r="JA1478" t="n">
        <x:f>IF(OR(IFERROR(INDIRECT("'WCM Calibration Final'!$A$1478")&lt;&gt;"",FALSE),IFERROR(INDIRECT("'WCM Calibration Final'!$B$1478")&lt;&gt;"",FALSE),IFERROR(INDIRECT("'WCM Calibration Final'!$C$1478")&lt;&gt;"",FALSE)),1478,0)</x:f>
        <x:v>0</x:v>
      </x:c>
      <x:c r="JB1478" t="n">
        <x:f>'Calculations'!JB1477+IF('Calculations'!JA1478&gt;0,1,0)</x:f>
        <x:v>0</x:v>
      </x:c>
    </x:row>
    <x:row r="1479">
      <x:c r="JA1479" t="n">
        <x:f>IF(OR(IFERROR(INDIRECT("'WCM Calibration Final'!$A$1479")&lt;&gt;"",FALSE),IFERROR(INDIRECT("'WCM Calibration Final'!$B$1479")&lt;&gt;"",FALSE),IFERROR(INDIRECT("'WCM Calibration Final'!$C$1479")&lt;&gt;"",FALSE)),1479,0)</x:f>
        <x:v>0</x:v>
      </x:c>
      <x:c r="JB1479" t="n">
        <x:f>'Calculations'!JB1478+IF('Calculations'!JA1479&gt;0,1,0)</x:f>
        <x:v>0</x:v>
      </x:c>
    </x:row>
    <x:row r="1480">
      <x:c r="JA1480" t="n">
        <x:f>IF(OR(IFERROR(INDIRECT("'WCM Calibration Final'!$A$1480")&lt;&gt;"",FALSE),IFERROR(INDIRECT("'WCM Calibration Final'!$B$1480")&lt;&gt;"",FALSE),IFERROR(INDIRECT("'WCM Calibration Final'!$C$1480")&lt;&gt;"",FALSE)),1480,0)</x:f>
        <x:v>0</x:v>
      </x:c>
      <x:c r="JB1480" t="n">
        <x:f>'Calculations'!JB1479+IF('Calculations'!JA1480&gt;0,1,0)</x:f>
        <x:v>0</x:v>
      </x:c>
    </x:row>
    <x:row r="1481">
      <x:c r="JA1481" t="n">
        <x:f>IF(OR(IFERROR(INDIRECT("'WCM Calibration Final'!$A$1481")&lt;&gt;"",FALSE),IFERROR(INDIRECT("'WCM Calibration Final'!$B$1481")&lt;&gt;"",FALSE),IFERROR(INDIRECT("'WCM Calibration Final'!$C$1481")&lt;&gt;"",FALSE)),1481,0)</x:f>
        <x:v>0</x:v>
      </x:c>
      <x:c r="JB1481" t="n">
        <x:f>'Calculations'!JB1480+IF('Calculations'!JA1481&gt;0,1,0)</x:f>
        <x:v>0</x:v>
      </x:c>
    </x:row>
    <x:row r="1482">
      <x:c r="JA1482" t="n">
        <x:f>IF(OR(IFERROR(INDIRECT("'WCM Calibration Final'!$A$1482")&lt;&gt;"",FALSE),IFERROR(INDIRECT("'WCM Calibration Final'!$B$1482")&lt;&gt;"",FALSE),IFERROR(INDIRECT("'WCM Calibration Final'!$C$1482")&lt;&gt;"",FALSE)),1482,0)</x:f>
        <x:v>0</x:v>
      </x:c>
      <x:c r="JB1482" t="n">
        <x:f>'Calculations'!JB1481+IF('Calculations'!JA1482&gt;0,1,0)</x:f>
        <x:v>0</x:v>
      </x:c>
    </x:row>
    <x:row r="1483">
      <x:c r="JA1483" t="n">
        <x:f>IF(OR(IFERROR(INDIRECT("'WCM Calibration Final'!$A$1483")&lt;&gt;"",FALSE),IFERROR(INDIRECT("'WCM Calibration Final'!$B$1483")&lt;&gt;"",FALSE),IFERROR(INDIRECT("'WCM Calibration Final'!$C$1483")&lt;&gt;"",FALSE)),1483,0)</x:f>
        <x:v>0</x:v>
      </x:c>
      <x:c r="JB1483" t="n">
        <x:f>'Calculations'!JB1482+IF('Calculations'!JA1483&gt;0,1,0)</x:f>
        <x:v>0</x:v>
      </x:c>
    </x:row>
    <x:row r="1484">
      <x:c r="JA1484" t="n">
        <x:f>IF(OR(IFERROR(INDIRECT("'WCM Calibration Final'!$A$1484")&lt;&gt;"",FALSE),IFERROR(INDIRECT("'WCM Calibration Final'!$B$1484")&lt;&gt;"",FALSE),IFERROR(INDIRECT("'WCM Calibration Final'!$C$1484")&lt;&gt;"",FALSE)),1484,0)</x:f>
        <x:v>0</x:v>
      </x:c>
      <x:c r="JB1484" t="n">
        <x:f>'Calculations'!JB1483+IF('Calculations'!JA1484&gt;0,1,0)</x:f>
        <x:v>0</x:v>
      </x:c>
    </x:row>
    <x:row r="1485">
      <x:c r="JA1485" t="n">
        <x:f>IF(OR(IFERROR(INDIRECT("'WCM Calibration Final'!$A$1485")&lt;&gt;"",FALSE),IFERROR(INDIRECT("'WCM Calibration Final'!$B$1485")&lt;&gt;"",FALSE),IFERROR(INDIRECT("'WCM Calibration Final'!$C$1485")&lt;&gt;"",FALSE)),1485,0)</x:f>
        <x:v>0</x:v>
      </x:c>
      <x:c r="JB1485" t="n">
        <x:f>'Calculations'!JB1484+IF('Calculations'!JA1485&gt;0,1,0)</x:f>
        <x:v>0</x:v>
      </x:c>
    </x:row>
    <x:row r="1486">
      <x:c r="JA1486" t="n">
        <x:f>IF(OR(IFERROR(INDIRECT("'WCM Calibration Final'!$A$1486")&lt;&gt;"",FALSE),IFERROR(INDIRECT("'WCM Calibration Final'!$B$1486")&lt;&gt;"",FALSE),IFERROR(INDIRECT("'WCM Calibration Final'!$C$1486")&lt;&gt;"",FALSE)),1486,0)</x:f>
        <x:v>0</x:v>
      </x:c>
      <x:c r="JB1486" t="n">
        <x:f>'Calculations'!JB1485+IF('Calculations'!JA1486&gt;0,1,0)</x:f>
        <x:v>0</x:v>
      </x:c>
    </x:row>
    <x:row r="1487">
      <x:c r="JA1487" t="n">
        <x:f>IF(OR(IFERROR(INDIRECT("'WCM Calibration Final'!$A$1487")&lt;&gt;"",FALSE),IFERROR(INDIRECT("'WCM Calibration Final'!$B$1487")&lt;&gt;"",FALSE),IFERROR(INDIRECT("'WCM Calibration Final'!$C$1487")&lt;&gt;"",FALSE)),1487,0)</x:f>
        <x:v>0</x:v>
      </x:c>
      <x:c r="JB1487" t="n">
        <x:f>'Calculations'!JB1486+IF('Calculations'!JA1487&gt;0,1,0)</x:f>
        <x:v>0</x:v>
      </x:c>
    </x:row>
    <x:row r="1488">
      <x:c r="JA1488" t="n">
        <x:f>IF(OR(IFERROR(INDIRECT("'WCM Calibration Final'!$A$1488")&lt;&gt;"",FALSE),IFERROR(INDIRECT("'WCM Calibration Final'!$B$1488")&lt;&gt;"",FALSE),IFERROR(INDIRECT("'WCM Calibration Final'!$C$1488")&lt;&gt;"",FALSE)),1488,0)</x:f>
        <x:v>0</x:v>
      </x:c>
      <x:c r="JB1488" t="n">
        <x:f>'Calculations'!JB1487+IF('Calculations'!JA1488&gt;0,1,0)</x:f>
        <x:v>0</x:v>
      </x:c>
    </x:row>
    <x:row r="1489">
      <x:c r="JA1489" t="n">
        <x:f>IF(OR(IFERROR(INDIRECT("'WCM Calibration Final'!$A$1489")&lt;&gt;"",FALSE),IFERROR(INDIRECT("'WCM Calibration Final'!$B$1489")&lt;&gt;"",FALSE),IFERROR(INDIRECT("'WCM Calibration Final'!$C$1489")&lt;&gt;"",FALSE)),1489,0)</x:f>
        <x:v>0</x:v>
      </x:c>
      <x:c r="JB1489" t="n">
        <x:f>'Calculations'!JB1488+IF('Calculations'!JA1489&gt;0,1,0)</x:f>
        <x:v>0</x:v>
      </x:c>
    </x:row>
    <x:row r="1490">
      <x:c r="JA1490" t="n">
        <x:f>IF(OR(IFERROR(INDIRECT("'WCM Calibration Final'!$A$1490")&lt;&gt;"",FALSE),IFERROR(INDIRECT("'WCM Calibration Final'!$B$1490")&lt;&gt;"",FALSE),IFERROR(INDIRECT("'WCM Calibration Final'!$C$1490")&lt;&gt;"",FALSE)),1490,0)</x:f>
        <x:v>0</x:v>
      </x:c>
      <x:c r="JB1490" t="n">
        <x:f>'Calculations'!JB1489+IF('Calculations'!JA1490&gt;0,1,0)</x:f>
        <x:v>0</x:v>
      </x:c>
    </x:row>
    <x:row r="1491">
      <x:c r="JA1491" t="n">
        <x:f>IF(OR(IFERROR(INDIRECT("'WCM Calibration Final'!$A$1491")&lt;&gt;"",FALSE),IFERROR(INDIRECT("'WCM Calibration Final'!$B$1491")&lt;&gt;"",FALSE),IFERROR(INDIRECT("'WCM Calibration Final'!$C$1491")&lt;&gt;"",FALSE)),1491,0)</x:f>
        <x:v>0</x:v>
      </x:c>
      <x:c r="JB1491" t="n">
        <x:f>'Calculations'!JB1490+IF('Calculations'!JA1491&gt;0,1,0)</x:f>
        <x:v>0</x:v>
      </x:c>
    </x:row>
    <x:row r="1492">
      <x:c r="JA1492" t="n">
        <x:f>IF(OR(IFERROR(INDIRECT("'WCM Calibration Final'!$A$1492")&lt;&gt;"",FALSE),IFERROR(INDIRECT("'WCM Calibration Final'!$B$1492")&lt;&gt;"",FALSE),IFERROR(INDIRECT("'WCM Calibration Final'!$C$1492")&lt;&gt;"",FALSE)),1492,0)</x:f>
        <x:v>0</x:v>
      </x:c>
      <x:c r="JB1492" t="n">
        <x:f>'Calculations'!JB1491+IF('Calculations'!JA1492&gt;0,1,0)</x:f>
        <x:v>0</x:v>
      </x:c>
    </x:row>
    <x:row r="1493">
      <x:c r="JA1493" t="n">
        <x:f>IF(OR(IFERROR(INDIRECT("'WCM Calibration Final'!$A$1493")&lt;&gt;"",FALSE),IFERROR(INDIRECT("'WCM Calibration Final'!$B$1493")&lt;&gt;"",FALSE),IFERROR(INDIRECT("'WCM Calibration Final'!$C$1493")&lt;&gt;"",FALSE)),1493,0)</x:f>
        <x:v>0</x:v>
      </x:c>
      <x:c r="JB1493" t="n">
        <x:f>'Calculations'!JB1492+IF('Calculations'!JA1493&gt;0,1,0)</x:f>
        <x:v>0</x:v>
      </x:c>
    </x:row>
    <x:row r="1494">
      <x:c r="JA1494" t="n">
        <x:f>IF(OR(IFERROR(INDIRECT("'WCM Calibration Final'!$A$1494")&lt;&gt;"",FALSE),IFERROR(INDIRECT("'WCM Calibration Final'!$B$1494")&lt;&gt;"",FALSE),IFERROR(INDIRECT("'WCM Calibration Final'!$C$1494")&lt;&gt;"",FALSE)),1494,0)</x:f>
        <x:v>0</x:v>
      </x:c>
      <x:c r="JB1494" t="n">
        <x:f>'Calculations'!JB1493+IF('Calculations'!JA1494&gt;0,1,0)</x:f>
        <x:v>0</x:v>
      </x:c>
    </x:row>
    <x:row r="1495">
      <x:c r="JA1495" t="n">
        <x:f>IF(OR(IFERROR(INDIRECT("'WCM Calibration Final'!$A$1495")&lt;&gt;"",FALSE),IFERROR(INDIRECT("'WCM Calibration Final'!$B$1495")&lt;&gt;"",FALSE),IFERROR(INDIRECT("'WCM Calibration Final'!$C$1495")&lt;&gt;"",FALSE)),1495,0)</x:f>
        <x:v>0</x:v>
      </x:c>
      <x:c r="JB1495" t="n">
        <x:f>'Calculations'!JB1494+IF('Calculations'!JA1495&gt;0,1,0)</x:f>
        <x:v>0</x:v>
      </x:c>
    </x:row>
    <x:row r="1496">
      <x:c r="JA1496" t="n">
        <x:f>IF(OR(IFERROR(INDIRECT("'WCM Calibration Final'!$A$1496")&lt;&gt;"",FALSE),IFERROR(INDIRECT("'WCM Calibration Final'!$B$1496")&lt;&gt;"",FALSE),IFERROR(INDIRECT("'WCM Calibration Final'!$C$1496")&lt;&gt;"",FALSE)),1496,0)</x:f>
        <x:v>0</x:v>
      </x:c>
      <x:c r="JB1496" t="n">
        <x:f>'Calculations'!JB1495+IF('Calculations'!JA1496&gt;0,1,0)</x:f>
        <x:v>0</x:v>
      </x:c>
    </x:row>
    <x:row r="1497">
      <x:c r="JA1497" t="n">
        <x:f>IF(OR(IFERROR(INDIRECT("'WCM Calibration Final'!$A$1497")&lt;&gt;"",FALSE),IFERROR(INDIRECT("'WCM Calibration Final'!$B$1497")&lt;&gt;"",FALSE),IFERROR(INDIRECT("'WCM Calibration Final'!$C$1497")&lt;&gt;"",FALSE)),1497,0)</x:f>
        <x:v>0</x:v>
      </x:c>
      <x:c r="JB1497" t="n">
        <x:f>'Calculations'!JB1496+IF('Calculations'!JA1497&gt;0,1,0)</x:f>
        <x:v>0</x:v>
      </x:c>
    </x:row>
    <x:row r="1498">
      <x:c r="JA1498" t="n">
        <x:f>IF(OR(IFERROR(INDIRECT("'WCM Calibration Final'!$A$1498")&lt;&gt;"",FALSE),IFERROR(INDIRECT("'WCM Calibration Final'!$B$1498")&lt;&gt;"",FALSE),IFERROR(INDIRECT("'WCM Calibration Final'!$C$1498")&lt;&gt;"",FALSE)),1498,0)</x:f>
        <x:v>0</x:v>
      </x:c>
      <x:c r="JB1498" t="n">
        <x:f>'Calculations'!JB1497+IF('Calculations'!JA1498&gt;0,1,0)</x:f>
        <x:v>0</x:v>
      </x:c>
    </x:row>
    <x:row r="1499">
      <x:c r="JA1499" t="n">
        <x:f>IF(OR(IFERROR(INDIRECT("'WCM Calibration Final'!$A$1499")&lt;&gt;"",FALSE),IFERROR(INDIRECT("'WCM Calibration Final'!$B$1499")&lt;&gt;"",FALSE),IFERROR(INDIRECT("'WCM Calibration Final'!$C$1499")&lt;&gt;"",FALSE)),1499,0)</x:f>
        <x:v>0</x:v>
      </x:c>
      <x:c r="JB1499" t="n">
        <x:f>'Calculations'!JB1498+IF('Calculations'!JA1499&gt;0,1,0)</x:f>
        <x:v>0</x:v>
      </x:c>
    </x:row>
    <x:row r="1500">
      <x:c r="JA1500" t="n">
        <x:f>IF(OR(IFERROR(INDIRECT("'WCM Calibration Final'!$A$1500")&lt;&gt;"",FALSE),IFERROR(INDIRECT("'WCM Calibration Final'!$B$1500")&lt;&gt;"",FALSE),IFERROR(INDIRECT("'WCM Calibration Final'!$C$1500")&lt;&gt;"",FALSE)),1500,0)</x:f>
        <x:v>0</x:v>
      </x:c>
      <x:c r="JB1500" t="n">
        <x:f>'Calculations'!JB1499+IF('Calculations'!JA1500&gt;0,1,0)</x:f>
        <x:v>0</x:v>
      </x:c>
    </x:row>
    <x:row r="1501">
      <x:c r="JA1501" t="n">
        <x:f>IF(OR(IFERROR(INDIRECT("'WCM Calibration Final'!$A$1501")&lt;&gt;"",FALSE),IFERROR(INDIRECT("'WCM Calibration Final'!$B$1501")&lt;&gt;"",FALSE),IFERROR(INDIRECT("'WCM Calibration Final'!$C$1501")&lt;&gt;"",FALSE)),1501,0)</x:f>
        <x:v>0</x:v>
      </x:c>
      <x:c r="JB1501" t="n">
        <x:f>'Calculations'!JB1500+IF('Calculations'!JA1501&gt;0,1,0)</x:f>
        <x:v>0</x:v>
      </x:c>
    </x:row>
    <x:row r="1502">
      <x:c r="JA1502" t="n">
        <x:f>IF(OR(IFERROR(INDIRECT("'WCM Calibration Final'!$A$1502")&lt;&gt;"",FALSE),IFERROR(INDIRECT("'WCM Calibration Final'!$B$1502")&lt;&gt;"",FALSE),IFERROR(INDIRECT("'WCM Calibration Final'!$C$1502")&lt;&gt;"",FALSE)),1502,0)</x:f>
        <x:v>0</x:v>
      </x:c>
      <x:c r="JB1502" t="n">
        <x:f>'Calculations'!JB1501+IF('Calculations'!JA1502&gt;0,1,0)</x:f>
        <x:v>0</x:v>
      </x:c>
    </x:row>
    <x:row r="1503">
      <x:c r="JA1503" t="n">
        <x:f>IF(OR(IFERROR(INDIRECT("'WCM Calibration Final'!$A$1503")&lt;&gt;"",FALSE),IFERROR(INDIRECT("'WCM Calibration Final'!$B$1503")&lt;&gt;"",FALSE),IFERROR(INDIRECT("'WCM Calibration Final'!$C$1503")&lt;&gt;"",FALSE)),1503,0)</x:f>
        <x:v>0</x:v>
      </x:c>
      <x:c r="JB1503" t="n">
        <x:f>'Calculations'!JB1502+IF('Calculations'!JA1503&gt;0,1,0)</x:f>
        <x:v>0</x:v>
      </x:c>
    </x:row>
    <x:row r="1504">
      <x:c r="JA1504" t="n">
        <x:f>IF(OR(IFERROR(INDIRECT("'WCM Calibration Final'!$A$1504")&lt;&gt;"",FALSE),IFERROR(INDIRECT("'WCM Calibration Final'!$B$1504")&lt;&gt;"",FALSE),IFERROR(INDIRECT("'WCM Calibration Final'!$C$1504")&lt;&gt;"",FALSE)),1504,0)</x:f>
        <x:v>0</x:v>
      </x:c>
      <x:c r="JB1504" t="n">
        <x:f>'Calculations'!JB1503+IF('Calculations'!JA1504&gt;0,1,0)</x:f>
        <x:v>0</x:v>
      </x:c>
    </x:row>
    <x:row r="1505">
      <x:c r="JA1505" t="n">
        <x:f>IF(OR(IFERROR(INDIRECT("'WCM Calibration Final'!$A$1505")&lt;&gt;"",FALSE),IFERROR(INDIRECT("'WCM Calibration Final'!$B$1505")&lt;&gt;"",FALSE),IFERROR(INDIRECT("'WCM Calibration Final'!$C$1505")&lt;&gt;"",FALSE)),1505,0)</x:f>
        <x:v>0</x:v>
      </x:c>
      <x:c r="JB1505" t="n">
        <x:f>'Calculations'!JB1504+IF('Calculations'!JA1505&gt;0,1,0)</x:f>
        <x:v>0</x:v>
      </x:c>
    </x:row>
    <x:row r="1506">
      <x:c r="JA1506" t="n">
        <x:f>IF(OR(IFERROR(INDIRECT("'WCM Calibration Final'!$A$1506")&lt;&gt;"",FALSE),IFERROR(INDIRECT("'WCM Calibration Final'!$B$1506")&lt;&gt;"",FALSE),IFERROR(INDIRECT("'WCM Calibration Final'!$C$1506")&lt;&gt;"",FALSE)),1506,0)</x:f>
        <x:v>0</x:v>
      </x:c>
      <x:c r="JB1506" t="n">
        <x:f>'Calculations'!JB1505+IF('Calculations'!JA1506&gt;0,1,0)</x:f>
        <x:v>0</x:v>
      </x:c>
    </x:row>
    <x:row r="1507">
      <x:c r="JA1507" t="n">
        <x:f>IF(OR(IFERROR(INDIRECT("'WCM Calibration Final'!$A$1507")&lt;&gt;"",FALSE),IFERROR(INDIRECT("'WCM Calibration Final'!$B$1507")&lt;&gt;"",FALSE),IFERROR(INDIRECT("'WCM Calibration Final'!$C$1507")&lt;&gt;"",FALSE)),1507,0)</x:f>
        <x:v>0</x:v>
      </x:c>
      <x:c r="JB1507" t="n">
        <x:f>'Calculations'!JB1506+IF('Calculations'!JA1507&gt;0,1,0)</x:f>
        <x:v>0</x:v>
      </x:c>
    </x:row>
    <x:row r="1508">
      <x:c r="JA1508" t="n">
        <x:f>IF(OR(IFERROR(INDIRECT("'WCM Calibration Final'!$A$1508")&lt;&gt;"",FALSE),IFERROR(INDIRECT("'WCM Calibration Final'!$B$1508")&lt;&gt;"",FALSE),IFERROR(INDIRECT("'WCM Calibration Final'!$C$1508")&lt;&gt;"",FALSE)),1508,0)</x:f>
        <x:v>0</x:v>
      </x:c>
      <x:c r="JB1508" t="n">
        <x:f>'Calculations'!JB1507+IF('Calculations'!JA1508&gt;0,1,0)</x:f>
        <x:v>0</x:v>
      </x:c>
    </x:row>
    <x:row r="1509">
      <x:c r="JA1509" t="n">
        <x:f>IF(OR(IFERROR(INDIRECT("'WCM Calibration Final'!$A$1509")&lt;&gt;"",FALSE),IFERROR(INDIRECT("'WCM Calibration Final'!$B$1509")&lt;&gt;"",FALSE),IFERROR(INDIRECT("'WCM Calibration Final'!$C$1509")&lt;&gt;"",FALSE)),1509,0)</x:f>
        <x:v>0</x:v>
      </x:c>
      <x:c r="JB1509" t="n">
        <x:f>'Calculations'!JB1508+IF('Calculations'!JA1509&gt;0,1,0)</x:f>
        <x:v>0</x:v>
      </x:c>
    </x:row>
    <x:row r="1510">
      <x:c r="JA1510" t="n">
        <x:f>IF(OR(IFERROR(INDIRECT("'WCM Calibration Final'!$A$1510")&lt;&gt;"",FALSE),IFERROR(INDIRECT("'WCM Calibration Final'!$B$1510")&lt;&gt;"",FALSE),IFERROR(INDIRECT("'WCM Calibration Final'!$C$1510")&lt;&gt;"",FALSE)),1510,0)</x:f>
        <x:v>0</x:v>
      </x:c>
      <x:c r="JB1510" t="n">
        <x:f>'Calculations'!JB1509+IF('Calculations'!JA1510&gt;0,1,0)</x:f>
        <x:v>0</x:v>
      </x:c>
    </x:row>
    <x:row r="1511">
      <x:c r="JA1511" t="n">
        <x:f>IF(OR(IFERROR(INDIRECT("'WCM Calibration Final'!$A$1511")&lt;&gt;"",FALSE),IFERROR(INDIRECT("'WCM Calibration Final'!$B$1511")&lt;&gt;"",FALSE),IFERROR(INDIRECT("'WCM Calibration Final'!$C$1511")&lt;&gt;"",FALSE)),1511,0)</x:f>
        <x:v>0</x:v>
      </x:c>
      <x:c r="JB1511" t="n">
        <x:f>'Calculations'!JB1510+IF('Calculations'!JA1511&gt;0,1,0)</x:f>
        <x:v>0</x:v>
      </x:c>
    </x:row>
    <x:row r="1512">
      <x:c r="JA1512" t="n">
        <x:f>IF(OR(IFERROR(INDIRECT("'WCM Calibration Final'!$A$1512")&lt;&gt;"",FALSE),IFERROR(INDIRECT("'WCM Calibration Final'!$B$1512")&lt;&gt;"",FALSE),IFERROR(INDIRECT("'WCM Calibration Final'!$C$1512")&lt;&gt;"",FALSE)),1512,0)</x:f>
        <x:v>0</x:v>
      </x:c>
      <x:c r="JB1512" t="n">
        <x:f>'Calculations'!JB1511+IF('Calculations'!JA1512&gt;0,1,0)</x:f>
        <x:v>0</x:v>
      </x:c>
    </x:row>
    <x:row r="1513">
      <x:c r="JA1513" t="n">
        <x:f>IF(OR(IFERROR(INDIRECT("'WCM Calibration Final'!$A$1513")&lt;&gt;"",FALSE),IFERROR(INDIRECT("'WCM Calibration Final'!$B$1513")&lt;&gt;"",FALSE),IFERROR(INDIRECT("'WCM Calibration Final'!$C$1513")&lt;&gt;"",FALSE)),1513,0)</x:f>
        <x:v>0</x:v>
      </x:c>
      <x:c r="JB1513" t="n">
        <x:f>'Calculations'!JB1512+IF('Calculations'!JA1513&gt;0,1,0)</x:f>
        <x:v>0</x:v>
      </x:c>
    </x:row>
    <x:row r="1514">
      <x:c r="JA1514" t="n">
        <x:f>IF(OR(IFERROR(INDIRECT("'WCM Calibration Final'!$A$1514")&lt;&gt;"",FALSE),IFERROR(INDIRECT("'WCM Calibration Final'!$B$1514")&lt;&gt;"",FALSE),IFERROR(INDIRECT("'WCM Calibration Final'!$C$1514")&lt;&gt;"",FALSE)),1514,0)</x:f>
        <x:v>0</x:v>
      </x:c>
      <x:c r="JB1514" t="n">
        <x:f>'Calculations'!JB1513+IF('Calculations'!JA1514&gt;0,1,0)</x:f>
        <x:v>0</x:v>
      </x:c>
    </x:row>
    <x:row r="1515">
      <x:c r="JA1515" t="n">
        <x:f>IF(OR(IFERROR(INDIRECT("'WCM Calibration Final'!$A$1515")&lt;&gt;"",FALSE),IFERROR(INDIRECT("'WCM Calibration Final'!$B$1515")&lt;&gt;"",FALSE),IFERROR(INDIRECT("'WCM Calibration Final'!$C$1515")&lt;&gt;"",FALSE)),1515,0)</x:f>
        <x:v>0</x:v>
      </x:c>
      <x:c r="JB1515" t="n">
        <x:f>'Calculations'!JB1514+IF('Calculations'!JA1515&gt;0,1,0)</x:f>
        <x:v>0</x:v>
      </x:c>
    </x:row>
    <x:row r="1516">
      <x:c r="JA1516" t="n">
        <x:f>IF(OR(IFERROR(INDIRECT("'WCM Calibration Final'!$A$1516")&lt;&gt;"",FALSE),IFERROR(INDIRECT("'WCM Calibration Final'!$B$1516")&lt;&gt;"",FALSE),IFERROR(INDIRECT("'WCM Calibration Final'!$C$1516")&lt;&gt;"",FALSE)),1516,0)</x:f>
        <x:v>0</x:v>
      </x:c>
      <x:c r="JB1516" t="n">
        <x:f>'Calculations'!JB1515+IF('Calculations'!JA1516&gt;0,1,0)</x:f>
        <x:v>0</x:v>
      </x:c>
    </x:row>
    <x:row r="1517">
      <x:c r="JA1517" t="n">
        <x:f>IF(OR(IFERROR(INDIRECT("'WCM Calibration Final'!$A$1517")&lt;&gt;"",FALSE),IFERROR(INDIRECT("'WCM Calibration Final'!$B$1517")&lt;&gt;"",FALSE),IFERROR(INDIRECT("'WCM Calibration Final'!$C$1517")&lt;&gt;"",FALSE)),1517,0)</x:f>
        <x:v>0</x:v>
      </x:c>
      <x:c r="JB1517" t="n">
        <x:f>'Calculations'!JB1516+IF('Calculations'!JA1517&gt;0,1,0)</x:f>
        <x:v>0</x:v>
      </x:c>
    </x:row>
    <x:row r="1518">
      <x:c r="JA1518" t="n">
        <x:f>IF(OR(IFERROR(INDIRECT("'WCM Calibration Final'!$A$1518")&lt;&gt;"",FALSE),IFERROR(INDIRECT("'WCM Calibration Final'!$B$1518")&lt;&gt;"",FALSE),IFERROR(INDIRECT("'WCM Calibration Final'!$C$1518")&lt;&gt;"",FALSE)),1518,0)</x:f>
        <x:v>0</x:v>
      </x:c>
      <x:c r="JB1518" t="n">
        <x:f>'Calculations'!JB1517+IF('Calculations'!JA1518&gt;0,1,0)</x:f>
        <x:v>0</x:v>
      </x:c>
    </x:row>
    <x:row r="1519">
      <x:c r="JA1519" t="n">
        <x:f>IF(OR(IFERROR(INDIRECT("'WCM Calibration Final'!$A$1519")&lt;&gt;"",FALSE),IFERROR(INDIRECT("'WCM Calibration Final'!$B$1519")&lt;&gt;"",FALSE),IFERROR(INDIRECT("'WCM Calibration Final'!$C$1519")&lt;&gt;"",FALSE)),1519,0)</x:f>
        <x:v>0</x:v>
      </x:c>
      <x:c r="JB1519" t="n">
        <x:f>'Calculations'!JB1518+IF('Calculations'!JA1519&gt;0,1,0)</x:f>
        <x:v>0</x:v>
      </x:c>
    </x:row>
    <x:row r="1520">
      <x:c r="JA1520" t="n">
        <x:f>IF(OR(IFERROR(INDIRECT("'WCM Calibration Final'!$A$1520")&lt;&gt;"",FALSE),IFERROR(INDIRECT("'WCM Calibration Final'!$B$1520")&lt;&gt;"",FALSE),IFERROR(INDIRECT("'WCM Calibration Final'!$C$1520")&lt;&gt;"",FALSE)),1520,0)</x:f>
        <x:v>0</x:v>
      </x:c>
      <x:c r="JB1520" t="n">
        <x:f>'Calculations'!JB1519+IF('Calculations'!JA1520&gt;0,1,0)</x:f>
        <x:v>0</x:v>
      </x:c>
    </x:row>
    <x:row r="1521">
      <x:c r="JA1521" t="n">
        <x:f>IF(OR(IFERROR(INDIRECT("'WCM Calibration Final'!$A$1521")&lt;&gt;"",FALSE),IFERROR(INDIRECT("'WCM Calibration Final'!$B$1521")&lt;&gt;"",FALSE),IFERROR(INDIRECT("'WCM Calibration Final'!$C$1521")&lt;&gt;"",FALSE)),1521,0)</x:f>
        <x:v>0</x:v>
      </x:c>
      <x:c r="JB1521" t="n">
        <x:f>'Calculations'!JB1520+IF('Calculations'!JA1521&gt;0,1,0)</x:f>
        <x:v>0</x:v>
      </x:c>
    </x:row>
    <x:row r="1522">
      <x:c r="JA1522" t="n">
        <x:f>IF(OR(IFERROR(INDIRECT("'WCM Calibration Final'!$A$1522")&lt;&gt;"",FALSE),IFERROR(INDIRECT("'WCM Calibration Final'!$B$1522")&lt;&gt;"",FALSE),IFERROR(INDIRECT("'WCM Calibration Final'!$C$1522")&lt;&gt;"",FALSE)),1522,0)</x:f>
        <x:v>0</x:v>
      </x:c>
      <x:c r="JB1522" t="n">
        <x:f>'Calculations'!JB1521+IF('Calculations'!JA1522&gt;0,1,0)</x:f>
        <x:v>0</x:v>
      </x:c>
    </x:row>
    <x:row r="1523">
      <x:c r="JA1523" t="n">
        <x:f>IF(OR(IFERROR(INDIRECT("'WCM Calibration Final'!$A$1523")&lt;&gt;"",FALSE),IFERROR(INDIRECT("'WCM Calibration Final'!$B$1523")&lt;&gt;"",FALSE),IFERROR(INDIRECT("'WCM Calibration Final'!$C$1523")&lt;&gt;"",FALSE)),1523,0)</x:f>
        <x:v>0</x:v>
      </x:c>
      <x:c r="JB1523" t="n">
        <x:f>'Calculations'!JB1522+IF('Calculations'!JA1523&gt;0,1,0)</x:f>
        <x:v>0</x:v>
      </x:c>
    </x:row>
    <x:row r="1524">
      <x:c r="JA1524" t="n">
        <x:f>IF(OR(IFERROR(INDIRECT("'WCM Calibration Final'!$A$1524")&lt;&gt;"",FALSE),IFERROR(INDIRECT("'WCM Calibration Final'!$B$1524")&lt;&gt;"",FALSE),IFERROR(INDIRECT("'WCM Calibration Final'!$C$1524")&lt;&gt;"",FALSE)),1524,0)</x:f>
        <x:v>0</x:v>
      </x:c>
      <x:c r="JB1524" t="n">
        <x:f>'Calculations'!JB1523+IF('Calculations'!JA1524&gt;0,1,0)</x:f>
        <x:v>0</x:v>
      </x:c>
    </x:row>
    <x:row r="1525">
      <x:c r="JA1525" t="n">
        <x:f>IF(OR(IFERROR(INDIRECT("'WCM Calibration Final'!$A$1525")&lt;&gt;"",FALSE),IFERROR(INDIRECT("'WCM Calibration Final'!$B$1525")&lt;&gt;"",FALSE),IFERROR(INDIRECT("'WCM Calibration Final'!$C$1525")&lt;&gt;"",FALSE)),1525,0)</x:f>
        <x:v>0</x:v>
      </x:c>
      <x:c r="JB1525" t="n">
        <x:f>'Calculations'!JB1524+IF('Calculations'!JA1525&gt;0,1,0)</x:f>
        <x:v>0</x:v>
      </x:c>
    </x:row>
    <x:row r="1526">
      <x:c r="JA1526" t="n">
        <x:f>IF(OR(IFERROR(INDIRECT("'WCM Calibration Final'!$A$1526")&lt;&gt;"",FALSE),IFERROR(INDIRECT("'WCM Calibration Final'!$B$1526")&lt;&gt;"",FALSE),IFERROR(INDIRECT("'WCM Calibration Final'!$C$1526")&lt;&gt;"",FALSE)),1526,0)</x:f>
        <x:v>0</x:v>
      </x:c>
      <x:c r="JB1526" t="n">
        <x:f>'Calculations'!JB1525+IF('Calculations'!JA1526&gt;0,1,0)</x:f>
        <x:v>0</x:v>
      </x:c>
    </x:row>
    <x:row r="1527">
      <x:c r="JA1527" t="n">
        <x:f>IF(OR(IFERROR(INDIRECT("'WCM Calibration Final'!$A$1527")&lt;&gt;"",FALSE),IFERROR(INDIRECT("'WCM Calibration Final'!$B$1527")&lt;&gt;"",FALSE),IFERROR(INDIRECT("'WCM Calibration Final'!$C$1527")&lt;&gt;"",FALSE)),1527,0)</x:f>
        <x:v>0</x:v>
      </x:c>
      <x:c r="JB1527" t="n">
        <x:f>'Calculations'!JB1526+IF('Calculations'!JA1527&gt;0,1,0)</x:f>
        <x:v>0</x:v>
      </x:c>
    </x:row>
    <x:row r="1528">
      <x:c r="JA1528" t="n">
        <x:f>IF(OR(IFERROR(INDIRECT("'WCM Calibration Final'!$A$1528")&lt;&gt;"",FALSE),IFERROR(INDIRECT("'WCM Calibration Final'!$B$1528")&lt;&gt;"",FALSE),IFERROR(INDIRECT("'WCM Calibration Final'!$C$1528")&lt;&gt;"",FALSE)),1528,0)</x:f>
        <x:v>0</x:v>
      </x:c>
      <x:c r="JB1528" t="n">
        <x:f>'Calculations'!JB1527+IF('Calculations'!JA1528&gt;0,1,0)</x:f>
        <x:v>0</x:v>
      </x:c>
    </x:row>
    <x:row r="1529">
      <x:c r="JA1529" t="n">
        <x:f>IF(OR(IFERROR(INDIRECT("'WCM Calibration Final'!$A$1529")&lt;&gt;"",FALSE),IFERROR(INDIRECT("'WCM Calibration Final'!$B$1529")&lt;&gt;"",FALSE),IFERROR(INDIRECT("'WCM Calibration Final'!$C$1529")&lt;&gt;"",FALSE)),1529,0)</x:f>
        <x:v>0</x:v>
      </x:c>
      <x:c r="JB1529" t="n">
        <x:f>'Calculations'!JB1528+IF('Calculations'!JA1529&gt;0,1,0)</x:f>
        <x:v>0</x:v>
      </x:c>
    </x:row>
    <x:row r="1530">
      <x:c r="JA1530" t="n">
        <x:f>IF(OR(IFERROR(INDIRECT("'WCM Calibration Final'!$A$1530")&lt;&gt;"",FALSE),IFERROR(INDIRECT("'WCM Calibration Final'!$B$1530")&lt;&gt;"",FALSE),IFERROR(INDIRECT("'WCM Calibration Final'!$C$1530")&lt;&gt;"",FALSE)),1530,0)</x:f>
        <x:v>0</x:v>
      </x:c>
      <x:c r="JB1530" t="n">
        <x:f>'Calculations'!JB1529+IF('Calculations'!JA1530&gt;0,1,0)</x:f>
        <x:v>0</x:v>
      </x:c>
    </x:row>
    <x:row r="1531">
      <x:c r="JA1531" t="n">
        <x:f>IF(OR(IFERROR(INDIRECT("'WCM Calibration Final'!$A$1531")&lt;&gt;"",FALSE),IFERROR(INDIRECT("'WCM Calibration Final'!$B$1531")&lt;&gt;"",FALSE),IFERROR(INDIRECT("'WCM Calibration Final'!$C$1531")&lt;&gt;"",FALSE)),1531,0)</x:f>
        <x:v>0</x:v>
      </x:c>
      <x:c r="JB1531" t="n">
        <x:f>'Calculations'!JB1530+IF('Calculations'!JA1531&gt;0,1,0)</x:f>
        <x:v>0</x:v>
      </x:c>
    </x:row>
    <x:row r="1532">
      <x:c r="JA1532" t="n">
        <x:f>IF(OR(IFERROR(INDIRECT("'WCM Calibration Final'!$A$1532")&lt;&gt;"",FALSE),IFERROR(INDIRECT("'WCM Calibration Final'!$B$1532")&lt;&gt;"",FALSE),IFERROR(INDIRECT("'WCM Calibration Final'!$C$1532")&lt;&gt;"",FALSE)),1532,0)</x:f>
        <x:v>0</x:v>
      </x:c>
      <x:c r="JB1532" t="n">
        <x:f>'Calculations'!JB1531+IF('Calculations'!JA1532&gt;0,1,0)</x:f>
        <x:v>0</x:v>
      </x:c>
    </x:row>
    <x:row r="1533">
      <x:c r="JA1533" t="n">
        <x:f>IF(OR(IFERROR(INDIRECT("'WCM Calibration Final'!$A$1533")&lt;&gt;"",FALSE),IFERROR(INDIRECT("'WCM Calibration Final'!$B$1533")&lt;&gt;"",FALSE),IFERROR(INDIRECT("'WCM Calibration Final'!$C$1533")&lt;&gt;"",FALSE)),1533,0)</x:f>
        <x:v>0</x:v>
      </x:c>
      <x:c r="JB1533" t="n">
        <x:f>'Calculations'!JB1532+IF('Calculations'!JA1533&gt;0,1,0)</x:f>
        <x:v>0</x:v>
      </x:c>
    </x:row>
    <x:row r="1534">
      <x:c r="JA1534" t="n">
        <x:f>IF(OR(IFERROR(INDIRECT("'WCM Calibration Final'!$A$1534")&lt;&gt;"",FALSE),IFERROR(INDIRECT("'WCM Calibration Final'!$B$1534")&lt;&gt;"",FALSE),IFERROR(INDIRECT("'WCM Calibration Final'!$C$1534")&lt;&gt;"",FALSE)),1534,0)</x:f>
        <x:v>0</x:v>
      </x:c>
      <x:c r="JB1534" t="n">
        <x:f>'Calculations'!JB1533+IF('Calculations'!JA1534&gt;0,1,0)</x:f>
        <x:v>0</x:v>
      </x:c>
    </x:row>
    <x:row r="1535">
      <x:c r="JA1535" t="n">
        <x:f>IF(OR(IFERROR(INDIRECT("'WCM Calibration Final'!$A$1535")&lt;&gt;"",FALSE),IFERROR(INDIRECT("'WCM Calibration Final'!$B$1535")&lt;&gt;"",FALSE),IFERROR(INDIRECT("'WCM Calibration Final'!$C$1535")&lt;&gt;"",FALSE)),1535,0)</x:f>
        <x:v>0</x:v>
      </x:c>
      <x:c r="JB1535" t="n">
        <x:f>'Calculations'!JB1534+IF('Calculations'!JA1535&gt;0,1,0)</x:f>
        <x:v>0</x:v>
      </x:c>
    </x:row>
    <x:row r="1536">
      <x:c r="JA1536" t="n">
        <x:f>IF(OR(IFERROR(INDIRECT("'WCM Calibration Final'!$A$1536")&lt;&gt;"",FALSE),IFERROR(INDIRECT("'WCM Calibration Final'!$B$1536")&lt;&gt;"",FALSE),IFERROR(INDIRECT("'WCM Calibration Final'!$C$1536")&lt;&gt;"",FALSE)),1536,0)</x:f>
        <x:v>0</x:v>
      </x:c>
      <x:c r="JB1536" t="n">
        <x:f>'Calculations'!JB1535+IF('Calculations'!JA1536&gt;0,1,0)</x:f>
        <x:v>0</x:v>
      </x:c>
    </x:row>
    <x:row r="1537">
      <x:c r="JA1537" t="n">
        <x:f>IF(OR(IFERROR(INDIRECT("'WCM Calibration Final'!$A$1537")&lt;&gt;"",FALSE),IFERROR(INDIRECT("'WCM Calibration Final'!$B$1537")&lt;&gt;"",FALSE),IFERROR(INDIRECT("'WCM Calibration Final'!$C$1537")&lt;&gt;"",FALSE)),1537,0)</x:f>
        <x:v>0</x:v>
      </x:c>
      <x:c r="JB1537" t="n">
        <x:f>'Calculations'!JB1536+IF('Calculations'!JA1537&gt;0,1,0)</x:f>
        <x:v>0</x:v>
      </x:c>
    </x:row>
    <x:row r="1538">
      <x:c r="JA1538" t="n">
        <x:f>IF(OR(IFERROR(INDIRECT("'WCM Calibration Final'!$A$1538")&lt;&gt;"",FALSE),IFERROR(INDIRECT("'WCM Calibration Final'!$B$1538")&lt;&gt;"",FALSE),IFERROR(INDIRECT("'WCM Calibration Final'!$C$1538")&lt;&gt;"",FALSE)),1538,0)</x:f>
        <x:v>0</x:v>
      </x:c>
      <x:c r="JB1538" t="n">
        <x:f>'Calculations'!JB1537+IF('Calculations'!JA1538&gt;0,1,0)</x:f>
        <x:v>0</x:v>
      </x:c>
    </x:row>
    <x:row r="1539">
      <x:c r="JA1539" t="n">
        <x:f>IF(OR(IFERROR(INDIRECT("'WCM Calibration Final'!$A$1539")&lt;&gt;"",FALSE),IFERROR(INDIRECT("'WCM Calibration Final'!$B$1539")&lt;&gt;"",FALSE),IFERROR(INDIRECT("'WCM Calibration Final'!$C$1539")&lt;&gt;"",FALSE)),1539,0)</x:f>
        <x:v>0</x:v>
      </x:c>
      <x:c r="JB1539" t="n">
        <x:f>'Calculations'!JB1538+IF('Calculations'!JA1539&gt;0,1,0)</x:f>
        <x:v>0</x:v>
      </x:c>
    </x:row>
    <x:row r="1540">
      <x:c r="JA1540" t="n">
        <x:f>IF(OR(IFERROR(INDIRECT("'WCM Calibration Final'!$A$1540")&lt;&gt;"",FALSE),IFERROR(INDIRECT("'WCM Calibration Final'!$B$1540")&lt;&gt;"",FALSE),IFERROR(INDIRECT("'WCM Calibration Final'!$C$1540")&lt;&gt;"",FALSE)),1540,0)</x:f>
        <x:v>0</x:v>
      </x:c>
      <x:c r="JB1540" t="n">
        <x:f>'Calculations'!JB1539+IF('Calculations'!JA1540&gt;0,1,0)</x:f>
        <x:v>0</x:v>
      </x:c>
    </x:row>
    <x:row r="1541">
      <x:c r="JA1541" t="n">
        <x:f>IF(OR(IFERROR(INDIRECT("'WCM Calibration Final'!$A$1541")&lt;&gt;"",FALSE),IFERROR(INDIRECT("'WCM Calibration Final'!$B$1541")&lt;&gt;"",FALSE),IFERROR(INDIRECT("'WCM Calibration Final'!$C$1541")&lt;&gt;"",FALSE)),1541,0)</x:f>
        <x:v>0</x:v>
      </x:c>
      <x:c r="JB1541" t="n">
        <x:f>'Calculations'!JB1540+IF('Calculations'!JA1541&gt;0,1,0)</x:f>
        <x:v>0</x:v>
      </x:c>
    </x:row>
    <x:row r="1542">
      <x:c r="JA1542" t="n">
        <x:f>IF(OR(IFERROR(INDIRECT("'WCM Calibration Final'!$A$1542")&lt;&gt;"",FALSE),IFERROR(INDIRECT("'WCM Calibration Final'!$B$1542")&lt;&gt;"",FALSE),IFERROR(INDIRECT("'WCM Calibration Final'!$C$1542")&lt;&gt;"",FALSE)),1542,0)</x:f>
        <x:v>0</x:v>
      </x:c>
      <x:c r="JB1542" t="n">
        <x:f>'Calculations'!JB1541+IF('Calculations'!JA1542&gt;0,1,0)</x:f>
        <x:v>0</x:v>
      </x:c>
    </x:row>
    <x:row r="1543">
      <x:c r="JA1543" t="n">
        <x:f>IF(OR(IFERROR(INDIRECT("'WCM Calibration Final'!$A$1543")&lt;&gt;"",FALSE),IFERROR(INDIRECT("'WCM Calibration Final'!$B$1543")&lt;&gt;"",FALSE),IFERROR(INDIRECT("'WCM Calibration Final'!$C$1543")&lt;&gt;"",FALSE)),1543,0)</x:f>
        <x:v>0</x:v>
      </x:c>
      <x:c r="JB1543" t="n">
        <x:f>'Calculations'!JB1542+IF('Calculations'!JA1543&gt;0,1,0)</x:f>
        <x:v>0</x:v>
      </x:c>
    </x:row>
    <x:row r="1544">
      <x:c r="JA1544" t="n">
        <x:f>IF(OR(IFERROR(INDIRECT("'WCM Calibration Final'!$A$1544")&lt;&gt;"",FALSE),IFERROR(INDIRECT("'WCM Calibration Final'!$B$1544")&lt;&gt;"",FALSE),IFERROR(INDIRECT("'WCM Calibration Final'!$C$1544")&lt;&gt;"",FALSE)),1544,0)</x:f>
        <x:v>0</x:v>
      </x:c>
      <x:c r="JB1544" t="n">
        <x:f>'Calculations'!JB1543+IF('Calculations'!JA1544&gt;0,1,0)</x:f>
        <x:v>0</x:v>
      </x:c>
    </x:row>
    <x:row r="1545">
      <x:c r="JA1545" t="n">
        <x:f>IF(OR(IFERROR(INDIRECT("'WCM Calibration Final'!$A$1545")&lt;&gt;"",FALSE),IFERROR(INDIRECT("'WCM Calibration Final'!$B$1545")&lt;&gt;"",FALSE),IFERROR(INDIRECT("'WCM Calibration Final'!$C$1545")&lt;&gt;"",FALSE)),1545,0)</x:f>
        <x:v>0</x:v>
      </x:c>
      <x:c r="JB1545" t="n">
        <x:f>'Calculations'!JB1544+IF('Calculations'!JA1545&gt;0,1,0)</x:f>
        <x:v>0</x:v>
      </x:c>
    </x:row>
    <x:row r="1546">
      <x:c r="JA1546" t="n">
        <x:f>IF(OR(IFERROR(INDIRECT("'WCM Calibration Final'!$A$1546")&lt;&gt;"",FALSE),IFERROR(INDIRECT("'WCM Calibration Final'!$B$1546")&lt;&gt;"",FALSE),IFERROR(INDIRECT("'WCM Calibration Final'!$C$1546")&lt;&gt;"",FALSE)),1546,0)</x:f>
        <x:v>0</x:v>
      </x:c>
      <x:c r="JB1546" t="n">
        <x:f>'Calculations'!JB1545+IF('Calculations'!JA1546&gt;0,1,0)</x:f>
        <x:v>0</x:v>
      </x:c>
    </x:row>
    <x:row r="1547">
      <x:c r="JA1547" t="n">
        <x:f>IF(OR(IFERROR(INDIRECT("'WCM Calibration Final'!$A$1547")&lt;&gt;"",FALSE),IFERROR(INDIRECT("'WCM Calibration Final'!$B$1547")&lt;&gt;"",FALSE),IFERROR(INDIRECT("'WCM Calibration Final'!$C$1547")&lt;&gt;"",FALSE)),1547,0)</x:f>
        <x:v>0</x:v>
      </x:c>
      <x:c r="JB1547" t="n">
        <x:f>'Calculations'!JB1546+IF('Calculations'!JA1547&gt;0,1,0)</x:f>
        <x:v>0</x:v>
      </x:c>
    </x:row>
    <x:row r="1548">
      <x:c r="JA1548" t="n">
        <x:f>IF(OR(IFERROR(INDIRECT("'WCM Calibration Final'!$A$1548")&lt;&gt;"",FALSE),IFERROR(INDIRECT("'WCM Calibration Final'!$B$1548")&lt;&gt;"",FALSE),IFERROR(INDIRECT("'WCM Calibration Final'!$C$1548")&lt;&gt;"",FALSE)),1548,0)</x:f>
        <x:v>0</x:v>
      </x:c>
      <x:c r="JB1548" t="n">
        <x:f>'Calculations'!JB1547+IF('Calculations'!JA1548&gt;0,1,0)</x:f>
        <x:v>0</x:v>
      </x:c>
    </x:row>
    <x:row r="1549">
      <x:c r="JA1549" t="n">
        <x:f>IF(OR(IFERROR(INDIRECT("'WCM Calibration Final'!$A$1549")&lt;&gt;"",FALSE),IFERROR(INDIRECT("'WCM Calibration Final'!$B$1549")&lt;&gt;"",FALSE),IFERROR(INDIRECT("'WCM Calibration Final'!$C$1549")&lt;&gt;"",FALSE)),1549,0)</x:f>
        <x:v>0</x:v>
      </x:c>
      <x:c r="JB1549" t="n">
        <x:f>'Calculations'!JB1548+IF('Calculations'!JA1549&gt;0,1,0)</x:f>
        <x:v>0</x:v>
      </x:c>
    </x:row>
    <x:row r="1550">
      <x:c r="JA1550" t="n">
        <x:f>IF(OR(IFERROR(INDIRECT("'WCM Calibration Final'!$A$1550")&lt;&gt;"",FALSE),IFERROR(INDIRECT("'WCM Calibration Final'!$B$1550")&lt;&gt;"",FALSE),IFERROR(INDIRECT("'WCM Calibration Final'!$C$1550")&lt;&gt;"",FALSE)),1550,0)</x:f>
        <x:v>0</x:v>
      </x:c>
      <x:c r="JB1550" t="n">
        <x:f>'Calculations'!JB1549+IF('Calculations'!JA1550&gt;0,1,0)</x:f>
        <x:v>0</x:v>
      </x:c>
    </x:row>
    <x:row r="1551">
      <x:c r="JA1551" t="n">
        <x:f>IF(OR(IFERROR(INDIRECT("'WCM Calibration Final'!$A$1551")&lt;&gt;"",FALSE),IFERROR(INDIRECT("'WCM Calibration Final'!$B$1551")&lt;&gt;"",FALSE),IFERROR(INDIRECT("'WCM Calibration Final'!$C$1551")&lt;&gt;"",FALSE)),1551,0)</x:f>
        <x:v>0</x:v>
      </x:c>
      <x:c r="JB1551" t="n">
        <x:f>'Calculations'!JB1550+IF('Calculations'!JA1551&gt;0,1,0)</x:f>
        <x:v>0</x:v>
      </x:c>
    </x:row>
    <x:row r="1552">
      <x:c r="JA1552" t="n">
        <x:f>IF(OR(IFERROR(INDIRECT("'WCM Calibration Final'!$A$1552")&lt;&gt;"",FALSE),IFERROR(INDIRECT("'WCM Calibration Final'!$B$1552")&lt;&gt;"",FALSE),IFERROR(INDIRECT("'WCM Calibration Final'!$C$1552")&lt;&gt;"",FALSE)),1552,0)</x:f>
        <x:v>0</x:v>
      </x:c>
      <x:c r="JB1552" t="n">
        <x:f>'Calculations'!JB1551+IF('Calculations'!JA1552&gt;0,1,0)</x:f>
        <x:v>0</x:v>
      </x:c>
    </x:row>
    <x:row r="1553">
      <x:c r="JA1553" t="n">
        <x:f>IF(OR(IFERROR(INDIRECT("'WCM Calibration Final'!$A$1553")&lt;&gt;"",FALSE),IFERROR(INDIRECT("'WCM Calibration Final'!$B$1553")&lt;&gt;"",FALSE),IFERROR(INDIRECT("'WCM Calibration Final'!$C$1553")&lt;&gt;"",FALSE)),1553,0)</x:f>
        <x:v>0</x:v>
      </x:c>
      <x:c r="JB1553" t="n">
        <x:f>'Calculations'!JB1552+IF('Calculations'!JA1553&gt;0,1,0)</x:f>
        <x:v>0</x:v>
      </x:c>
    </x:row>
    <x:row r="1554">
      <x:c r="JA1554" t="n">
        <x:f>IF(OR(IFERROR(INDIRECT("'WCM Calibration Final'!$A$1554")&lt;&gt;"",FALSE),IFERROR(INDIRECT("'WCM Calibration Final'!$B$1554")&lt;&gt;"",FALSE),IFERROR(INDIRECT("'WCM Calibration Final'!$C$1554")&lt;&gt;"",FALSE)),1554,0)</x:f>
        <x:v>0</x:v>
      </x:c>
      <x:c r="JB1554" t="n">
        <x:f>'Calculations'!JB1553+IF('Calculations'!JA1554&gt;0,1,0)</x:f>
        <x:v>0</x:v>
      </x:c>
    </x:row>
    <x:row r="1555">
      <x:c r="JA1555" t="n">
        <x:f>IF(OR(IFERROR(INDIRECT("'WCM Calibration Final'!$A$1555")&lt;&gt;"",FALSE),IFERROR(INDIRECT("'WCM Calibration Final'!$B$1555")&lt;&gt;"",FALSE),IFERROR(INDIRECT("'WCM Calibration Final'!$C$1555")&lt;&gt;"",FALSE)),1555,0)</x:f>
        <x:v>0</x:v>
      </x:c>
      <x:c r="JB1555" t="n">
        <x:f>'Calculations'!JB1554+IF('Calculations'!JA1555&gt;0,1,0)</x:f>
        <x:v>0</x:v>
      </x:c>
    </x:row>
    <x:row r="1556">
      <x:c r="JA1556" t="n">
        <x:f>IF(OR(IFERROR(INDIRECT("'WCM Calibration Final'!$A$1556")&lt;&gt;"",FALSE),IFERROR(INDIRECT("'WCM Calibration Final'!$B$1556")&lt;&gt;"",FALSE),IFERROR(INDIRECT("'WCM Calibration Final'!$C$1556")&lt;&gt;"",FALSE)),1556,0)</x:f>
        <x:v>0</x:v>
      </x:c>
      <x:c r="JB1556" t="n">
        <x:f>'Calculations'!JB1555+IF('Calculations'!JA1556&gt;0,1,0)</x:f>
        <x:v>0</x:v>
      </x:c>
    </x:row>
    <x:row r="1557">
      <x:c r="JA1557" t="n">
        <x:f>IF(OR(IFERROR(INDIRECT("'WCM Calibration Final'!$A$1557")&lt;&gt;"",FALSE),IFERROR(INDIRECT("'WCM Calibration Final'!$B$1557")&lt;&gt;"",FALSE),IFERROR(INDIRECT("'WCM Calibration Final'!$C$1557")&lt;&gt;"",FALSE)),1557,0)</x:f>
        <x:v>0</x:v>
      </x:c>
      <x:c r="JB1557" t="n">
        <x:f>'Calculations'!JB1556+IF('Calculations'!JA1557&gt;0,1,0)</x:f>
        <x:v>0</x:v>
      </x:c>
    </x:row>
    <x:row r="1558">
      <x:c r="JA1558" t="n">
        <x:f>IF(OR(IFERROR(INDIRECT("'WCM Calibration Final'!$A$1558")&lt;&gt;"",FALSE),IFERROR(INDIRECT("'WCM Calibration Final'!$B$1558")&lt;&gt;"",FALSE),IFERROR(INDIRECT("'WCM Calibration Final'!$C$1558")&lt;&gt;"",FALSE)),1558,0)</x:f>
        <x:v>0</x:v>
      </x:c>
      <x:c r="JB1558" t="n">
        <x:f>'Calculations'!JB1557+IF('Calculations'!JA1558&gt;0,1,0)</x:f>
        <x:v>0</x:v>
      </x:c>
    </x:row>
    <x:row r="1559">
      <x:c r="JA1559" t="n">
        <x:f>IF(OR(IFERROR(INDIRECT("'WCM Calibration Final'!$A$1559")&lt;&gt;"",FALSE),IFERROR(INDIRECT("'WCM Calibration Final'!$B$1559")&lt;&gt;"",FALSE),IFERROR(INDIRECT("'WCM Calibration Final'!$C$1559")&lt;&gt;"",FALSE)),1559,0)</x:f>
        <x:v>0</x:v>
      </x:c>
      <x:c r="JB1559" t="n">
        <x:f>'Calculations'!JB1558+IF('Calculations'!JA1559&gt;0,1,0)</x:f>
        <x:v>0</x:v>
      </x:c>
    </x:row>
    <x:row r="1560">
      <x:c r="JA1560" t="n">
        <x:f>IF(OR(IFERROR(INDIRECT("'WCM Calibration Final'!$A$1560")&lt;&gt;"",FALSE),IFERROR(INDIRECT("'WCM Calibration Final'!$B$1560")&lt;&gt;"",FALSE),IFERROR(INDIRECT("'WCM Calibration Final'!$C$1560")&lt;&gt;"",FALSE)),1560,0)</x:f>
        <x:v>0</x:v>
      </x:c>
      <x:c r="JB1560" t="n">
        <x:f>'Calculations'!JB1559+IF('Calculations'!JA1560&gt;0,1,0)</x:f>
        <x:v>0</x:v>
      </x:c>
    </x:row>
    <x:row r="1561">
      <x:c r="JA1561" t="n">
        <x:f>IF(OR(IFERROR(INDIRECT("'WCM Calibration Final'!$A$1561")&lt;&gt;"",FALSE),IFERROR(INDIRECT("'WCM Calibration Final'!$B$1561")&lt;&gt;"",FALSE),IFERROR(INDIRECT("'WCM Calibration Final'!$C$1561")&lt;&gt;"",FALSE)),1561,0)</x:f>
        <x:v>0</x:v>
      </x:c>
      <x:c r="JB1561" t="n">
        <x:f>'Calculations'!JB1560+IF('Calculations'!JA1561&gt;0,1,0)</x:f>
        <x:v>0</x:v>
      </x:c>
    </x:row>
    <x:row r="1562">
      <x:c r="JA1562" t="n">
        <x:f>IF(OR(IFERROR(INDIRECT("'WCM Calibration Final'!$A$1562")&lt;&gt;"",FALSE),IFERROR(INDIRECT("'WCM Calibration Final'!$B$1562")&lt;&gt;"",FALSE),IFERROR(INDIRECT("'WCM Calibration Final'!$C$1562")&lt;&gt;"",FALSE)),1562,0)</x:f>
        <x:v>0</x:v>
      </x:c>
      <x:c r="JB1562" t="n">
        <x:f>'Calculations'!JB1561+IF('Calculations'!JA1562&gt;0,1,0)</x:f>
        <x:v>0</x:v>
      </x:c>
    </x:row>
    <x:row r="1563">
      <x:c r="JA1563" t="n">
        <x:f>IF(OR(IFERROR(INDIRECT("'WCM Calibration Final'!$A$1563")&lt;&gt;"",FALSE),IFERROR(INDIRECT("'WCM Calibration Final'!$B$1563")&lt;&gt;"",FALSE),IFERROR(INDIRECT("'WCM Calibration Final'!$C$1563")&lt;&gt;"",FALSE)),1563,0)</x:f>
        <x:v>0</x:v>
      </x:c>
      <x:c r="JB1563" t="n">
        <x:f>'Calculations'!JB1562+IF('Calculations'!JA1563&gt;0,1,0)</x:f>
        <x:v>0</x:v>
      </x:c>
    </x:row>
    <x:row r="1564">
      <x:c r="JA1564" t="n">
        <x:f>IF(OR(IFERROR(INDIRECT("'WCM Calibration Final'!$A$1564")&lt;&gt;"",FALSE),IFERROR(INDIRECT("'WCM Calibration Final'!$B$1564")&lt;&gt;"",FALSE),IFERROR(INDIRECT("'WCM Calibration Final'!$C$1564")&lt;&gt;"",FALSE)),1564,0)</x:f>
        <x:v>0</x:v>
      </x:c>
      <x:c r="JB1564" t="n">
        <x:f>'Calculations'!JB1563+IF('Calculations'!JA1564&gt;0,1,0)</x:f>
        <x:v>0</x:v>
      </x:c>
    </x:row>
    <x:row r="1565">
      <x:c r="JA1565" t="n">
        <x:f>IF(OR(IFERROR(INDIRECT("'WCM Calibration Final'!$A$1565")&lt;&gt;"",FALSE),IFERROR(INDIRECT("'WCM Calibration Final'!$B$1565")&lt;&gt;"",FALSE),IFERROR(INDIRECT("'WCM Calibration Final'!$C$1565")&lt;&gt;"",FALSE)),1565,0)</x:f>
        <x:v>0</x:v>
      </x:c>
      <x:c r="JB1565" t="n">
        <x:f>'Calculations'!JB1564+IF('Calculations'!JA1565&gt;0,1,0)</x:f>
        <x:v>0</x:v>
      </x:c>
    </x:row>
    <x:row r="1566">
      <x:c r="JA1566" t="n">
        <x:f>IF(OR(IFERROR(INDIRECT("'WCM Calibration Final'!$A$1566")&lt;&gt;"",FALSE),IFERROR(INDIRECT("'WCM Calibration Final'!$B$1566")&lt;&gt;"",FALSE),IFERROR(INDIRECT("'WCM Calibration Final'!$C$1566")&lt;&gt;"",FALSE)),1566,0)</x:f>
        <x:v>0</x:v>
      </x:c>
      <x:c r="JB1566" t="n">
        <x:f>'Calculations'!JB1565+IF('Calculations'!JA1566&gt;0,1,0)</x:f>
        <x:v>0</x:v>
      </x:c>
    </x:row>
    <x:row r="1567">
      <x:c r="JA1567" t="n">
        <x:f>IF(OR(IFERROR(INDIRECT("'WCM Calibration Final'!$A$1567")&lt;&gt;"",FALSE),IFERROR(INDIRECT("'WCM Calibration Final'!$B$1567")&lt;&gt;"",FALSE),IFERROR(INDIRECT("'WCM Calibration Final'!$C$1567")&lt;&gt;"",FALSE)),1567,0)</x:f>
        <x:v>0</x:v>
      </x:c>
      <x:c r="JB1567" t="n">
        <x:f>'Calculations'!JB1566+IF('Calculations'!JA1567&gt;0,1,0)</x:f>
        <x:v>0</x:v>
      </x:c>
    </x:row>
    <x:row r="1568">
      <x:c r="JA1568" t="n">
        <x:f>IF(OR(IFERROR(INDIRECT("'WCM Calibration Final'!$A$1568")&lt;&gt;"",FALSE),IFERROR(INDIRECT("'WCM Calibration Final'!$B$1568")&lt;&gt;"",FALSE),IFERROR(INDIRECT("'WCM Calibration Final'!$C$1568")&lt;&gt;"",FALSE)),1568,0)</x:f>
        <x:v>0</x:v>
      </x:c>
      <x:c r="JB1568" t="n">
        <x:f>'Calculations'!JB1567+IF('Calculations'!JA1568&gt;0,1,0)</x:f>
        <x:v>0</x:v>
      </x:c>
    </x:row>
    <x:row r="1569">
      <x:c r="JA1569" t="n">
        <x:f>IF(OR(IFERROR(INDIRECT("'WCM Calibration Final'!$A$1569")&lt;&gt;"",FALSE),IFERROR(INDIRECT("'WCM Calibration Final'!$B$1569")&lt;&gt;"",FALSE),IFERROR(INDIRECT("'WCM Calibration Final'!$C$1569")&lt;&gt;"",FALSE)),1569,0)</x:f>
        <x:v>0</x:v>
      </x:c>
      <x:c r="JB1569" t="n">
        <x:f>'Calculations'!JB1568+IF('Calculations'!JA1569&gt;0,1,0)</x:f>
        <x:v>0</x:v>
      </x:c>
    </x:row>
    <x:row r="1570">
      <x:c r="JA1570" t="n">
        <x:f>IF(OR(IFERROR(INDIRECT("'WCM Calibration Final'!$A$1570")&lt;&gt;"",FALSE),IFERROR(INDIRECT("'WCM Calibration Final'!$B$1570")&lt;&gt;"",FALSE),IFERROR(INDIRECT("'WCM Calibration Final'!$C$1570")&lt;&gt;"",FALSE)),1570,0)</x:f>
        <x:v>0</x:v>
      </x:c>
      <x:c r="JB1570" t="n">
        <x:f>'Calculations'!JB1569+IF('Calculations'!JA1570&gt;0,1,0)</x:f>
        <x:v>0</x:v>
      </x:c>
    </x:row>
    <x:row r="1571">
      <x:c r="JA1571" t="n">
        <x:f>IF(OR(IFERROR(INDIRECT("'WCM Calibration Final'!$A$1571")&lt;&gt;"",FALSE),IFERROR(INDIRECT("'WCM Calibration Final'!$B$1571")&lt;&gt;"",FALSE),IFERROR(INDIRECT("'WCM Calibration Final'!$C$1571")&lt;&gt;"",FALSE)),1571,0)</x:f>
        <x:v>0</x:v>
      </x:c>
      <x:c r="JB1571" t="n">
        <x:f>'Calculations'!JB1570+IF('Calculations'!JA1571&gt;0,1,0)</x:f>
        <x:v>0</x:v>
      </x:c>
    </x:row>
    <x:row r="1572">
      <x:c r="JA1572" t="n">
        <x:f>IF(OR(IFERROR(INDIRECT("'WCM Calibration Final'!$A$1572")&lt;&gt;"",FALSE),IFERROR(INDIRECT("'WCM Calibration Final'!$B$1572")&lt;&gt;"",FALSE),IFERROR(INDIRECT("'WCM Calibration Final'!$C$1572")&lt;&gt;"",FALSE)),1572,0)</x:f>
        <x:v>0</x:v>
      </x:c>
      <x:c r="JB1572" t="n">
        <x:f>'Calculations'!JB1571+IF('Calculations'!JA1572&gt;0,1,0)</x:f>
        <x:v>0</x:v>
      </x:c>
    </x:row>
    <x:row r="1573">
      <x:c r="JA1573" t="n">
        <x:f>IF(OR(IFERROR(INDIRECT("'WCM Calibration Final'!$A$1573")&lt;&gt;"",FALSE),IFERROR(INDIRECT("'WCM Calibration Final'!$B$1573")&lt;&gt;"",FALSE),IFERROR(INDIRECT("'WCM Calibration Final'!$C$1573")&lt;&gt;"",FALSE)),1573,0)</x:f>
        <x:v>0</x:v>
      </x:c>
      <x:c r="JB1573" t="n">
        <x:f>'Calculations'!JB1572+IF('Calculations'!JA1573&gt;0,1,0)</x:f>
        <x:v>0</x:v>
      </x:c>
    </x:row>
    <x:row r="1574">
      <x:c r="JA1574" t="n">
        <x:f>IF(OR(IFERROR(INDIRECT("'WCM Calibration Final'!$A$1574")&lt;&gt;"",FALSE),IFERROR(INDIRECT("'WCM Calibration Final'!$B$1574")&lt;&gt;"",FALSE),IFERROR(INDIRECT("'WCM Calibration Final'!$C$1574")&lt;&gt;"",FALSE)),1574,0)</x:f>
        <x:v>0</x:v>
      </x:c>
      <x:c r="JB1574" t="n">
        <x:f>'Calculations'!JB1573+IF('Calculations'!JA1574&gt;0,1,0)</x:f>
        <x:v>0</x:v>
      </x:c>
    </x:row>
    <x:row r="1575">
      <x:c r="JA1575" t="n">
        <x:f>IF(OR(IFERROR(INDIRECT("'WCM Calibration Final'!$A$1575")&lt;&gt;"",FALSE),IFERROR(INDIRECT("'WCM Calibration Final'!$B$1575")&lt;&gt;"",FALSE),IFERROR(INDIRECT("'WCM Calibration Final'!$C$1575")&lt;&gt;"",FALSE)),1575,0)</x:f>
        <x:v>0</x:v>
      </x:c>
      <x:c r="JB1575" t="n">
        <x:f>'Calculations'!JB1574+IF('Calculations'!JA1575&gt;0,1,0)</x:f>
        <x:v>0</x:v>
      </x:c>
    </x:row>
    <x:row r="1576">
      <x:c r="JA1576" t="n">
        <x:f>IF(OR(IFERROR(INDIRECT("'WCM Calibration Final'!$A$1576")&lt;&gt;"",FALSE),IFERROR(INDIRECT("'WCM Calibration Final'!$B$1576")&lt;&gt;"",FALSE),IFERROR(INDIRECT("'WCM Calibration Final'!$C$1576")&lt;&gt;"",FALSE)),1576,0)</x:f>
        <x:v>0</x:v>
      </x:c>
      <x:c r="JB1576" t="n">
        <x:f>'Calculations'!JB1575+IF('Calculations'!JA1576&gt;0,1,0)</x:f>
        <x:v>0</x:v>
      </x:c>
    </x:row>
    <x:row r="1577">
      <x:c r="JA1577" t="n">
        <x:f>IF(OR(IFERROR(INDIRECT("'WCM Calibration Final'!$A$1577")&lt;&gt;"",FALSE),IFERROR(INDIRECT("'WCM Calibration Final'!$B$1577")&lt;&gt;"",FALSE),IFERROR(INDIRECT("'WCM Calibration Final'!$C$1577")&lt;&gt;"",FALSE)),1577,0)</x:f>
        <x:v>0</x:v>
      </x:c>
      <x:c r="JB1577" t="n">
        <x:f>'Calculations'!JB1576+IF('Calculations'!JA1577&gt;0,1,0)</x:f>
        <x:v>0</x:v>
      </x:c>
    </x:row>
    <x:row r="1578">
      <x:c r="JA1578" t="n">
        <x:f>IF(OR(IFERROR(INDIRECT("'WCM Calibration Final'!$A$1578")&lt;&gt;"",FALSE),IFERROR(INDIRECT("'WCM Calibration Final'!$B$1578")&lt;&gt;"",FALSE),IFERROR(INDIRECT("'WCM Calibration Final'!$C$1578")&lt;&gt;"",FALSE)),1578,0)</x:f>
        <x:v>0</x:v>
      </x:c>
      <x:c r="JB1578" t="n">
        <x:f>'Calculations'!JB1577+IF('Calculations'!JA1578&gt;0,1,0)</x:f>
        <x:v>0</x:v>
      </x:c>
    </x:row>
    <x:row r="1579">
      <x:c r="JA1579" t="n">
        <x:f>IF(OR(IFERROR(INDIRECT("'WCM Calibration Final'!$A$1579")&lt;&gt;"",FALSE),IFERROR(INDIRECT("'WCM Calibration Final'!$B$1579")&lt;&gt;"",FALSE),IFERROR(INDIRECT("'WCM Calibration Final'!$C$1579")&lt;&gt;"",FALSE)),1579,0)</x:f>
        <x:v>0</x:v>
      </x:c>
      <x:c r="JB1579" t="n">
        <x:f>'Calculations'!JB1578+IF('Calculations'!JA1579&gt;0,1,0)</x:f>
        <x:v>0</x:v>
      </x:c>
    </x:row>
    <x:row r="1580">
      <x:c r="JA1580" t="n">
        <x:f>IF(OR(IFERROR(INDIRECT("'WCM Calibration Final'!$A$1580")&lt;&gt;"",FALSE),IFERROR(INDIRECT("'WCM Calibration Final'!$B$1580")&lt;&gt;"",FALSE),IFERROR(INDIRECT("'WCM Calibration Final'!$C$1580")&lt;&gt;"",FALSE)),1580,0)</x:f>
        <x:v>0</x:v>
      </x:c>
      <x:c r="JB1580" t="n">
        <x:f>'Calculations'!JB1579+IF('Calculations'!JA1580&gt;0,1,0)</x:f>
        <x:v>0</x:v>
      </x:c>
    </x:row>
    <x:row r="1581">
      <x:c r="JA1581" t="n">
        <x:f>IF(OR(IFERROR(INDIRECT("'WCM Calibration Final'!$A$1581")&lt;&gt;"",FALSE),IFERROR(INDIRECT("'WCM Calibration Final'!$B$1581")&lt;&gt;"",FALSE),IFERROR(INDIRECT("'WCM Calibration Final'!$C$1581")&lt;&gt;"",FALSE)),1581,0)</x:f>
        <x:v>0</x:v>
      </x:c>
      <x:c r="JB1581" t="n">
        <x:f>'Calculations'!JB1580+IF('Calculations'!JA1581&gt;0,1,0)</x:f>
        <x:v>0</x:v>
      </x:c>
    </x:row>
    <x:row r="1582">
      <x:c r="JA1582" t="n">
        <x:f>IF(OR(IFERROR(INDIRECT("'WCM Calibration Final'!$A$1582")&lt;&gt;"",FALSE),IFERROR(INDIRECT("'WCM Calibration Final'!$B$1582")&lt;&gt;"",FALSE),IFERROR(INDIRECT("'WCM Calibration Final'!$C$1582")&lt;&gt;"",FALSE)),1582,0)</x:f>
        <x:v>0</x:v>
      </x:c>
      <x:c r="JB1582" t="n">
        <x:f>'Calculations'!JB1581+IF('Calculations'!JA1582&gt;0,1,0)</x:f>
        <x:v>0</x:v>
      </x:c>
    </x:row>
    <x:row r="1583">
      <x:c r="JA1583" t="n">
        <x:f>IF(OR(IFERROR(INDIRECT("'WCM Calibration Final'!$A$1583")&lt;&gt;"",FALSE),IFERROR(INDIRECT("'WCM Calibration Final'!$B$1583")&lt;&gt;"",FALSE),IFERROR(INDIRECT("'WCM Calibration Final'!$C$1583")&lt;&gt;"",FALSE)),1583,0)</x:f>
        <x:v>0</x:v>
      </x:c>
      <x:c r="JB1583" t="n">
        <x:f>'Calculations'!JB1582+IF('Calculations'!JA1583&gt;0,1,0)</x:f>
        <x:v>0</x:v>
      </x:c>
    </x:row>
    <x:row r="1584">
      <x:c r="JA1584" t="n">
        <x:f>IF(OR(IFERROR(INDIRECT("'WCM Calibration Final'!$A$1584")&lt;&gt;"",FALSE),IFERROR(INDIRECT("'WCM Calibration Final'!$B$1584")&lt;&gt;"",FALSE),IFERROR(INDIRECT("'WCM Calibration Final'!$C$1584")&lt;&gt;"",FALSE)),1584,0)</x:f>
        <x:v>0</x:v>
      </x:c>
      <x:c r="JB1584" t="n">
        <x:f>'Calculations'!JB1583+IF('Calculations'!JA1584&gt;0,1,0)</x:f>
        <x:v>0</x:v>
      </x:c>
    </x:row>
    <x:row r="1585">
      <x:c r="JA1585" t="n">
        <x:f>IF(OR(IFERROR(INDIRECT("'WCM Calibration Final'!$A$1585")&lt;&gt;"",FALSE),IFERROR(INDIRECT("'WCM Calibration Final'!$B$1585")&lt;&gt;"",FALSE),IFERROR(INDIRECT("'WCM Calibration Final'!$C$1585")&lt;&gt;"",FALSE)),1585,0)</x:f>
        <x:v>0</x:v>
      </x:c>
      <x:c r="JB1585" t="n">
        <x:f>'Calculations'!JB1584+IF('Calculations'!JA1585&gt;0,1,0)</x:f>
        <x:v>0</x:v>
      </x:c>
    </x:row>
    <x:row r="1586">
      <x:c r="JA1586" t="n">
        <x:f>IF(OR(IFERROR(INDIRECT("'WCM Calibration Final'!$A$1586")&lt;&gt;"",FALSE),IFERROR(INDIRECT("'WCM Calibration Final'!$B$1586")&lt;&gt;"",FALSE),IFERROR(INDIRECT("'WCM Calibration Final'!$C$1586")&lt;&gt;"",FALSE)),1586,0)</x:f>
        <x:v>0</x:v>
      </x:c>
      <x:c r="JB1586" t="n">
        <x:f>'Calculations'!JB1585+IF('Calculations'!JA1586&gt;0,1,0)</x:f>
        <x:v>0</x:v>
      </x:c>
    </x:row>
    <x:row r="1587">
      <x:c r="JA1587" t="n">
        <x:f>IF(OR(IFERROR(INDIRECT("'WCM Calibration Final'!$A$1587")&lt;&gt;"",FALSE),IFERROR(INDIRECT("'WCM Calibration Final'!$B$1587")&lt;&gt;"",FALSE),IFERROR(INDIRECT("'WCM Calibration Final'!$C$1587")&lt;&gt;"",FALSE)),1587,0)</x:f>
        <x:v>0</x:v>
      </x:c>
      <x:c r="JB1587" t="n">
        <x:f>'Calculations'!JB1586+IF('Calculations'!JA1587&gt;0,1,0)</x:f>
        <x:v>0</x:v>
      </x:c>
    </x:row>
    <x:row r="1588">
      <x:c r="JA1588" t="n">
        <x:f>IF(OR(IFERROR(INDIRECT("'WCM Calibration Final'!$A$1588")&lt;&gt;"",FALSE),IFERROR(INDIRECT("'WCM Calibration Final'!$B$1588")&lt;&gt;"",FALSE),IFERROR(INDIRECT("'WCM Calibration Final'!$C$1588")&lt;&gt;"",FALSE)),1588,0)</x:f>
        <x:v>0</x:v>
      </x:c>
      <x:c r="JB1588" t="n">
        <x:f>'Calculations'!JB1587+IF('Calculations'!JA1588&gt;0,1,0)</x:f>
        <x:v>0</x:v>
      </x:c>
    </x:row>
    <x:row r="1589">
      <x:c r="JA1589" t="n">
        <x:f>IF(OR(IFERROR(INDIRECT("'WCM Calibration Final'!$A$1589")&lt;&gt;"",FALSE),IFERROR(INDIRECT("'WCM Calibration Final'!$B$1589")&lt;&gt;"",FALSE),IFERROR(INDIRECT("'WCM Calibration Final'!$C$1589")&lt;&gt;"",FALSE)),1589,0)</x:f>
        <x:v>0</x:v>
      </x:c>
      <x:c r="JB1589" t="n">
        <x:f>'Calculations'!JB1588+IF('Calculations'!JA1589&gt;0,1,0)</x:f>
        <x:v>0</x:v>
      </x:c>
    </x:row>
    <x:row r="1590">
      <x:c r="JA1590" t="n">
        <x:f>IF(OR(IFERROR(INDIRECT("'WCM Calibration Final'!$A$1590")&lt;&gt;"",FALSE),IFERROR(INDIRECT("'WCM Calibration Final'!$B$1590")&lt;&gt;"",FALSE),IFERROR(INDIRECT("'WCM Calibration Final'!$C$1590")&lt;&gt;"",FALSE)),1590,0)</x:f>
        <x:v>0</x:v>
      </x:c>
      <x:c r="JB1590" t="n">
        <x:f>'Calculations'!JB1589+IF('Calculations'!JA1590&gt;0,1,0)</x:f>
        <x:v>0</x:v>
      </x:c>
    </x:row>
    <x:row r="1591">
      <x:c r="JA1591" t="n">
        <x:f>IF(OR(IFERROR(INDIRECT("'WCM Calibration Final'!$A$1591")&lt;&gt;"",FALSE),IFERROR(INDIRECT("'WCM Calibration Final'!$B$1591")&lt;&gt;"",FALSE),IFERROR(INDIRECT("'WCM Calibration Final'!$C$1591")&lt;&gt;"",FALSE)),1591,0)</x:f>
        <x:v>0</x:v>
      </x:c>
      <x:c r="JB1591" t="n">
        <x:f>'Calculations'!JB1590+IF('Calculations'!JA1591&gt;0,1,0)</x:f>
        <x:v>0</x:v>
      </x:c>
    </x:row>
    <x:row r="1592">
      <x:c r="JA1592" t="n">
        <x:f>IF(OR(IFERROR(INDIRECT("'WCM Calibration Final'!$A$1592")&lt;&gt;"",FALSE),IFERROR(INDIRECT("'WCM Calibration Final'!$B$1592")&lt;&gt;"",FALSE),IFERROR(INDIRECT("'WCM Calibration Final'!$C$1592")&lt;&gt;"",FALSE)),1592,0)</x:f>
        <x:v>0</x:v>
      </x:c>
      <x:c r="JB1592" t="n">
        <x:f>'Calculations'!JB1591+IF('Calculations'!JA1592&gt;0,1,0)</x:f>
        <x:v>0</x:v>
      </x:c>
    </x:row>
    <x:row r="1593">
      <x:c r="JA1593" t="n">
        <x:f>IF(OR(IFERROR(INDIRECT("'WCM Calibration Final'!$A$1593")&lt;&gt;"",FALSE),IFERROR(INDIRECT("'WCM Calibration Final'!$B$1593")&lt;&gt;"",FALSE),IFERROR(INDIRECT("'WCM Calibration Final'!$C$1593")&lt;&gt;"",FALSE)),1593,0)</x:f>
        <x:v>0</x:v>
      </x:c>
      <x:c r="JB1593" t="n">
        <x:f>'Calculations'!JB1592+IF('Calculations'!JA1593&gt;0,1,0)</x:f>
        <x:v>0</x:v>
      </x:c>
    </x:row>
    <x:row r="1594">
      <x:c r="JA1594" t="n">
        <x:f>IF(OR(IFERROR(INDIRECT("'WCM Calibration Final'!$A$1594")&lt;&gt;"",FALSE),IFERROR(INDIRECT("'WCM Calibration Final'!$B$1594")&lt;&gt;"",FALSE),IFERROR(INDIRECT("'WCM Calibration Final'!$C$1594")&lt;&gt;"",FALSE)),1594,0)</x:f>
        <x:v>0</x:v>
      </x:c>
      <x:c r="JB1594" t="n">
        <x:f>'Calculations'!JB1593+IF('Calculations'!JA1594&gt;0,1,0)</x:f>
        <x:v>0</x:v>
      </x:c>
    </x:row>
    <x:row r="1595">
      <x:c r="JA1595" t="n">
        <x:f>IF(OR(IFERROR(INDIRECT("'WCM Calibration Final'!$A$1595")&lt;&gt;"",FALSE),IFERROR(INDIRECT("'WCM Calibration Final'!$B$1595")&lt;&gt;"",FALSE),IFERROR(INDIRECT("'WCM Calibration Final'!$C$1595")&lt;&gt;"",FALSE)),1595,0)</x:f>
        <x:v>0</x:v>
      </x:c>
      <x:c r="JB1595" t="n">
        <x:f>'Calculations'!JB1594+IF('Calculations'!JA1595&gt;0,1,0)</x:f>
        <x:v>0</x:v>
      </x:c>
    </x:row>
    <x:row r="1596">
      <x:c r="JA1596" t="n">
        <x:f>IF(OR(IFERROR(INDIRECT("'WCM Calibration Final'!$A$1596")&lt;&gt;"",FALSE),IFERROR(INDIRECT("'WCM Calibration Final'!$B$1596")&lt;&gt;"",FALSE),IFERROR(INDIRECT("'WCM Calibration Final'!$C$1596")&lt;&gt;"",FALSE)),1596,0)</x:f>
        <x:v>0</x:v>
      </x:c>
      <x:c r="JB1596" t="n">
        <x:f>'Calculations'!JB1595+IF('Calculations'!JA1596&gt;0,1,0)</x:f>
        <x:v>0</x:v>
      </x:c>
    </x:row>
    <x:row r="1597">
      <x:c r="JA1597" t="n">
        <x:f>IF(OR(IFERROR(INDIRECT("'WCM Calibration Final'!$A$1597")&lt;&gt;"",FALSE),IFERROR(INDIRECT("'WCM Calibration Final'!$B$1597")&lt;&gt;"",FALSE),IFERROR(INDIRECT("'WCM Calibration Final'!$C$1597")&lt;&gt;"",FALSE)),1597,0)</x:f>
        <x:v>0</x:v>
      </x:c>
      <x:c r="JB1597" t="n">
        <x:f>'Calculations'!JB1596+IF('Calculations'!JA1597&gt;0,1,0)</x:f>
        <x:v>0</x:v>
      </x:c>
    </x:row>
    <x:row r="1598">
      <x:c r="JA1598" t="n">
        <x:f>IF(OR(IFERROR(INDIRECT("'WCM Calibration Final'!$A$1598")&lt;&gt;"",FALSE),IFERROR(INDIRECT("'WCM Calibration Final'!$B$1598")&lt;&gt;"",FALSE),IFERROR(INDIRECT("'WCM Calibration Final'!$C$1598")&lt;&gt;"",FALSE)),1598,0)</x:f>
        <x:v>0</x:v>
      </x:c>
      <x:c r="JB1598" t="n">
        <x:f>'Calculations'!JB1597+IF('Calculations'!JA1598&gt;0,1,0)</x:f>
        <x:v>0</x:v>
      </x:c>
    </x:row>
    <x:row r="1599">
      <x:c r="JA1599" t="n">
        <x:f>IF(OR(IFERROR(INDIRECT("'WCM Calibration Final'!$A$1599")&lt;&gt;"",FALSE),IFERROR(INDIRECT("'WCM Calibration Final'!$B$1599")&lt;&gt;"",FALSE),IFERROR(INDIRECT("'WCM Calibration Final'!$C$1599")&lt;&gt;"",FALSE)),1599,0)</x:f>
        <x:v>0</x:v>
      </x:c>
      <x:c r="JB1599" t="n">
        <x:f>'Calculations'!JB1598+IF('Calculations'!JA1599&gt;0,1,0)</x:f>
        <x:v>0</x:v>
      </x:c>
    </x:row>
    <x:row r="1600">
      <x:c r="JA1600" t="n">
        <x:f>IF(OR(IFERROR(INDIRECT("'WCM Calibration Final'!$A$1600")&lt;&gt;"",FALSE),IFERROR(INDIRECT("'WCM Calibration Final'!$B$1600")&lt;&gt;"",FALSE),IFERROR(INDIRECT("'WCM Calibration Final'!$C$1600")&lt;&gt;"",FALSE)),1600,0)</x:f>
        <x:v>0</x:v>
      </x:c>
      <x:c r="JB1600" t="n">
        <x:f>'Calculations'!JB1599+IF('Calculations'!JA1600&gt;0,1,0)</x:f>
        <x:v>0</x:v>
      </x:c>
    </x:row>
    <x:row r="1601">
      <x:c r="JA1601" t="n">
        <x:f>IF(OR(IFERROR(INDIRECT("'WCM Calibration Final'!$A$1601")&lt;&gt;"",FALSE),IFERROR(INDIRECT("'WCM Calibration Final'!$B$1601")&lt;&gt;"",FALSE),IFERROR(INDIRECT("'WCM Calibration Final'!$C$1601")&lt;&gt;"",FALSE)),1601,0)</x:f>
        <x:v>0</x:v>
      </x:c>
      <x:c r="JB1601" t="n">
        <x:f>'Calculations'!JB1600+IF('Calculations'!JA1601&gt;0,1,0)</x:f>
        <x:v>0</x:v>
      </x:c>
    </x:row>
    <x:row r="1602">
      <x:c r="JA1602" t="n">
        <x:f>IF(OR(IFERROR(INDIRECT("'WCM Calibration Final'!$A$1602")&lt;&gt;"",FALSE),IFERROR(INDIRECT("'WCM Calibration Final'!$B$1602")&lt;&gt;"",FALSE),IFERROR(INDIRECT("'WCM Calibration Final'!$C$1602")&lt;&gt;"",FALSE)),1602,0)</x:f>
        <x:v>0</x:v>
      </x:c>
      <x:c r="JB1602" t="n">
        <x:f>'Calculations'!JB1601+IF('Calculations'!JA1602&gt;0,1,0)</x:f>
        <x:v>0</x:v>
      </x:c>
    </x:row>
    <x:row r="1603">
      <x:c r="JA1603" t="n">
        <x:f>IF(OR(IFERROR(INDIRECT("'WCM Calibration Final'!$A$1603")&lt;&gt;"",FALSE),IFERROR(INDIRECT("'WCM Calibration Final'!$B$1603")&lt;&gt;"",FALSE),IFERROR(INDIRECT("'WCM Calibration Final'!$C$1603")&lt;&gt;"",FALSE)),1603,0)</x:f>
        <x:v>0</x:v>
      </x:c>
      <x:c r="JB1603" t="n">
        <x:f>'Calculations'!JB1602+IF('Calculations'!JA1603&gt;0,1,0)</x:f>
        <x:v>0</x:v>
      </x:c>
    </x:row>
    <x:row r="1604">
      <x:c r="JA1604" t="n">
        <x:f>IF(OR(IFERROR(INDIRECT("'WCM Calibration Final'!$A$1604")&lt;&gt;"",FALSE),IFERROR(INDIRECT("'WCM Calibration Final'!$B$1604")&lt;&gt;"",FALSE),IFERROR(INDIRECT("'WCM Calibration Final'!$C$1604")&lt;&gt;"",FALSE)),1604,0)</x:f>
        <x:v>0</x:v>
      </x:c>
      <x:c r="JB1604" t="n">
        <x:f>'Calculations'!JB1603+IF('Calculations'!JA1604&gt;0,1,0)</x:f>
        <x:v>0</x:v>
      </x:c>
    </x:row>
    <x:row r="1605">
      <x:c r="JA1605" t="n">
        <x:f>IF(OR(IFERROR(INDIRECT("'WCM Calibration Final'!$A$1605")&lt;&gt;"",FALSE),IFERROR(INDIRECT("'WCM Calibration Final'!$B$1605")&lt;&gt;"",FALSE),IFERROR(INDIRECT("'WCM Calibration Final'!$C$1605")&lt;&gt;"",FALSE)),1605,0)</x:f>
        <x:v>0</x:v>
      </x:c>
      <x:c r="JB1605" t="n">
        <x:f>'Calculations'!JB1604+IF('Calculations'!JA1605&gt;0,1,0)</x:f>
        <x:v>0</x:v>
      </x:c>
    </x:row>
    <x:row r="1606">
      <x:c r="JA1606" t="n">
        <x:f>IF(OR(IFERROR(INDIRECT("'WCM Calibration Final'!$A$1606")&lt;&gt;"",FALSE),IFERROR(INDIRECT("'WCM Calibration Final'!$B$1606")&lt;&gt;"",FALSE),IFERROR(INDIRECT("'WCM Calibration Final'!$C$1606")&lt;&gt;"",FALSE)),1606,0)</x:f>
        <x:v>0</x:v>
      </x:c>
      <x:c r="JB1606" t="n">
        <x:f>'Calculations'!JB1605+IF('Calculations'!JA1606&gt;0,1,0)</x:f>
        <x:v>0</x:v>
      </x:c>
    </x:row>
    <x:row r="1607">
      <x:c r="JA1607" t="n">
        <x:f>IF(OR(IFERROR(INDIRECT("'WCM Calibration Final'!$A$1607")&lt;&gt;"",FALSE),IFERROR(INDIRECT("'WCM Calibration Final'!$B$1607")&lt;&gt;"",FALSE),IFERROR(INDIRECT("'WCM Calibration Final'!$C$1607")&lt;&gt;"",FALSE)),1607,0)</x:f>
        <x:v>0</x:v>
      </x:c>
      <x:c r="JB1607" t="n">
        <x:f>'Calculations'!JB1606+IF('Calculations'!JA1607&gt;0,1,0)</x:f>
        <x:v>0</x:v>
      </x:c>
    </x:row>
    <x:row r="1608">
      <x:c r="JA1608" t="n">
        <x:f>IF(OR(IFERROR(INDIRECT("'WCM Calibration Final'!$A$1608")&lt;&gt;"",FALSE),IFERROR(INDIRECT("'WCM Calibration Final'!$B$1608")&lt;&gt;"",FALSE),IFERROR(INDIRECT("'WCM Calibration Final'!$C$1608")&lt;&gt;"",FALSE)),1608,0)</x:f>
        <x:v>0</x:v>
      </x:c>
      <x:c r="JB1608" t="n">
        <x:f>'Calculations'!JB1607+IF('Calculations'!JA1608&gt;0,1,0)</x:f>
        <x:v>0</x:v>
      </x:c>
    </x:row>
    <x:row r="1609">
      <x:c r="JA1609" t="n">
        <x:f>IF(OR(IFERROR(INDIRECT("'WCM Calibration Final'!$A$1609")&lt;&gt;"",FALSE),IFERROR(INDIRECT("'WCM Calibration Final'!$B$1609")&lt;&gt;"",FALSE),IFERROR(INDIRECT("'WCM Calibration Final'!$C$1609")&lt;&gt;"",FALSE)),1609,0)</x:f>
        <x:v>0</x:v>
      </x:c>
      <x:c r="JB1609" t="n">
        <x:f>'Calculations'!JB1608+IF('Calculations'!JA1609&gt;0,1,0)</x:f>
        <x:v>0</x:v>
      </x:c>
    </x:row>
    <x:row r="1610">
      <x:c r="JA1610" t="n">
        <x:f>IF(OR(IFERROR(INDIRECT("'WCM Calibration Final'!$A$1610")&lt;&gt;"",FALSE),IFERROR(INDIRECT("'WCM Calibration Final'!$B$1610")&lt;&gt;"",FALSE),IFERROR(INDIRECT("'WCM Calibration Final'!$C$1610")&lt;&gt;"",FALSE)),1610,0)</x:f>
        <x:v>0</x:v>
      </x:c>
      <x:c r="JB1610" t="n">
        <x:f>'Calculations'!JB1609+IF('Calculations'!JA1610&gt;0,1,0)</x:f>
        <x:v>0</x:v>
      </x:c>
    </x:row>
    <x:row r="1611">
      <x:c r="JA1611" t="n">
        <x:f>IF(OR(IFERROR(INDIRECT("'WCM Calibration Final'!$A$1611")&lt;&gt;"",FALSE),IFERROR(INDIRECT("'WCM Calibration Final'!$B$1611")&lt;&gt;"",FALSE),IFERROR(INDIRECT("'WCM Calibration Final'!$C$1611")&lt;&gt;"",FALSE)),1611,0)</x:f>
        <x:v>0</x:v>
      </x:c>
      <x:c r="JB1611" t="n">
        <x:f>'Calculations'!JB1610+IF('Calculations'!JA1611&gt;0,1,0)</x:f>
        <x:v>0</x:v>
      </x:c>
    </x:row>
    <x:row r="1612">
      <x:c r="JA1612" t="n">
        <x:f>IF(OR(IFERROR(INDIRECT("'WCM Calibration Final'!$A$1612")&lt;&gt;"",FALSE),IFERROR(INDIRECT("'WCM Calibration Final'!$B$1612")&lt;&gt;"",FALSE),IFERROR(INDIRECT("'WCM Calibration Final'!$C$1612")&lt;&gt;"",FALSE)),1612,0)</x:f>
        <x:v>0</x:v>
      </x:c>
      <x:c r="JB1612" t="n">
        <x:f>'Calculations'!JB1611+IF('Calculations'!JA1612&gt;0,1,0)</x:f>
        <x:v>0</x:v>
      </x:c>
    </x:row>
    <x:row r="1613">
      <x:c r="JA1613" t="n">
        <x:f>IF(OR(IFERROR(INDIRECT("'WCM Calibration Final'!$A$1613")&lt;&gt;"",FALSE),IFERROR(INDIRECT("'WCM Calibration Final'!$B$1613")&lt;&gt;"",FALSE),IFERROR(INDIRECT("'WCM Calibration Final'!$C$1613")&lt;&gt;"",FALSE)),1613,0)</x:f>
        <x:v>0</x:v>
      </x:c>
      <x:c r="JB1613" t="n">
        <x:f>'Calculations'!JB1612+IF('Calculations'!JA1613&gt;0,1,0)</x:f>
        <x:v>0</x:v>
      </x:c>
    </x:row>
    <x:row r="1614">
      <x:c r="JA1614" t="n">
        <x:f>IF(OR(IFERROR(INDIRECT("'WCM Calibration Final'!$A$1614")&lt;&gt;"",FALSE),IFERROR(INDIRECT("'WCM Calibration Final'!$B$1614")&lt;&gt;"",FALSE),IFERROR(INDIRECT("'WCM Calibration Final'!$C$1614")&lt;&gt;"",FALSE)),1614,0)</x:f>
        <x:v>0</x:v>
      </x:c>
      <x:c r="JB1614" t="n">
        <x:f>'Calculations'!JB1613+IF('Calculations'!JA1614&gt;0,1,0)</x:f>
        <x:v>0</x:v>
      </x:c>
    </x:row>
    <x:row r="1615">
      <x:c r="JA1615" t="n">
        <x:f>IF(OR(IFERROR(INDIRECT("'WCM Calibration Final'!$A$1615")&lt;&gt;"",FALSE),IFERROR(INDIRECT("'WCM Calibration Final'!$B$1615")&lt;&gt;"",FALSE),IFERROR(INDIRECT("'WCM Calibration Final'!$C$1615")&lt;&gt;"",FALSE)),1615,0)</x:f>
        <x:v>0</x:v>
      </x:c>
      <x:c r="JB1615" t="n">
        <x:f>'Calculations'!JB1614+IF('Calculations'!JA1615&gt;0,1,0)</x:f>
        <x:v>0</x:v>
      </x:c>
    </x:row>
    <x:row r="1616">
      <x:c r="JA1616" t="n">
        <x:f>IF(OR(IFERROR(INDIRECT("'WCM Calibration Final'!$A$1616")&lt;&gt;"",FALSE),IFERROR(INDIRECT("'WCM Calibration Final'!$B$1616")&lt;&gt;"",FALSE),IFERROR(INDIRECT("'WCM Calibration Final'!$C$1616")&lt;&gt;"",FALSE)),1616,0)</x:f>
        <x:v>0</x:v>
      </x:c>
      <x:c r="JB1616" t="n">
        <x:f>'Calculations'!JB1615+IF('Calculations'!JA1616&gt;0,1,0)</x:f>
        <x:v>0</x:v>
      </x:c>
    </x:row>
    <x:row r="1617">
      <x:c r="JA1617" t="n">
        <x:f>IF(OR(IFERROR(INDIRECT("'WCM Calibration Final'!$A$1617")&lt;&gt;"",FALSE),IFERROR(INDIRECT("'WCM Calibration Final'!$B$1617")&lt;&gt;"",FALSE),IFERROR(INDIRECT("'WCM Calibration Final'!$C$1617")&lt;&gt;"",FALSE)),1617,0)</x:f>
        <x:v>0</x:v>
      </x:c>
      <x:c r="JB1617" t="n">
        <x:f>'Calculations'!JB1616+IF('Calculations'!JA1617&gt;0,1,0)</x:f>
        <x:v>0</x:v>
      </x:c>
    </x:row>
    <x:row r="1618">
      <x:c r="JA1618" t="n">
        <x:f>IF(OR(IFERROR(INDIRECT("'WCM Calibration Final'!$A$1618")&lt;&gt;"",FALSE),IFERROR(INDIRECT("'WCM Calibration Final'!$B$1618")&lt;&gt;"",FALSE),IFERROR(INDIRECT("'WCM Calibration Final'!$C$1618")&lt;&gt;"",FALSE)),1618,0)</x:f>
        <x:v>0</x:v>
      </x:c>
      <x:c r="JB1618" t="n">
        <x:f>'Calculations'!JB1617+IF('Calculations'!JA1618&gt;0,1,0)</x:f>
        <x:v>0</x:v>
      </x:c>
    </x:row>
    <x:row r="1619">
      <x:c r="JA1619" t="n">
        <x:f>IF(OR(IFERROR(INDIRECT("'WCM Calibration Final'!$A$1619")&lt;&gt;"",FALSE),IFERROR(INDIRECT("'WCM Calibration Final'!$B$1619")&lt;&gt;"",FALSE),IFERROR(INDIRECT("'WCM Calibration Final'!$C$1619")&lt;&gt;"",FALSE)),1619,0)</x:f>
        <x:v>0</x:v>
      </x:c>
      <x:c r="JB1619" t="n">
        <x:f>'Calculations'!JB1618+IF('Calculations'!JA1619&gt;0,1,0)</x:f>
        <x:v>0</x:v>
      </x:c>
    </x:row>
    <x:row r="1620">
      <x:c r="JA1620" t="n">
        <x:f>IF(OR(IFERROR(INDIRECT("'WCM Calibration Final'!$A$1620")&lt;&gt;"",FALSE),IFERROR(INDIRECT("'WCM Calibration Final'!$B$1620")&lt;&gt;"",FALSE),IFERROR(INDIRECT("'WCM Calibration Final'!$C$1620")&lt;&gt;"",FALSE)),1620,0)</x:f>
        <x:v>0</x:v>
      </x:c>
      <x:c r="JB1620" t="n">
        <x:f>'Calculations'!JB1619+IF('Calculations'!JA1620&gt;0,1,0)</x:f>
        <x:v>0</x:v>
      </x:c>
    </x:row>
    <x:row r="1621">
      <x:c r="JA1621" t="n">
        <x:f>IF(OR(IFERROR(INDIRECT("'WCM Calibration Final'!$A$1621")&lt;&gt;"",FALSE),IFERROR(INDIRECT("'WCM Calibration Final'!$B$1621")&lt;&gt;"",FALSE),IFERROR(INDIRECT("'WCM Calibration Final'!$C$1621")&lt;&gt;"",FALSE)),1621,0)</x:f>
        <x:v>0</x:v>
      </x:c>
      <x:c r="JB1621" t="n">
        <x:f>'Calculations'!JB1620+IF('Calculations'!JA1621&gt;0,1,0)</x:f>
        <x:v>0</x:v>
      </x:c>
    </x:row>
    <x:row r="1622">
      <x:c r="JA1622" t="n">
        <x:f>IF(OR(IFERROR(INDIRECT("'WCM Calibration Final'!$A$1622")&lt;&gt;"",FALSE),IFERROR(INDIRECT("'WCM Calibration Final'!$B$1622")&lt;&gt;"",FALSE),IFERROR(INDIRECT("'WCM Calibration Final'!$C$1622")&lt;&gt;"",FALSE)),1622,0)</x:f>
        <x:v>0</x:v>
      </x:c>
      <x:c r="JB1622" t="n">
        <x:f>'Calculations'!JB1621+IF('Calculations'!JA1622&gt;0,1,0)</x:f>
        <x:v>0</x:v>
      </x:c>
    </x:row>
    <x:row r="1623">
      <x:c r="JA1623" t="n">
        <x:f>IF(OR(IFERROR(INDIRECT("'WCM Calibration Final'!$A$1623")&lt;&gt;"",FALSE),IFERROR(INDIRECT("'WCM Calibration Final'!$B$1623")&lt;&gt;"",FALSE),IFERROR(INDIRECT("'WCM Calibration Final'!$C$1623")&lt;&gt;"",FALSE)),1623,0)</x:f>
        <x:v>0</x:v>
      </x:c>
      <x:c r="JB1623" t="n">
        <x:f>'Calculations'!JB1622+IF('Calculations'!JA1623&gt;0,1,0)</x:f>
        <x:v>0</x:v>
      </x:c>
    </x:row>
    <x:row r="1624">
      <x:c r="JA1624" t="n">
        <x:f>IF(OR(IFERROR(INDIRECT("'WCM Calibration Final'!$A$1624")&lt;&gt;"",FALSE),IFERROR(INDIRECT("'WCM Calibration Final'!$B$1624")&lt;&gt;"",FALSE),IFERROR(INDIRECT("'WCM Calibration Final'!$C$1624")&lt;&gt;"",FALSE)),1624,0)</x:f>
        <x:v>0</x:v>
      </x:c>
      <x:c r="JB1624" t="n">
        <x:f>'Calculations'!JB1623+IF('Calculations'!JA1624&gt;0,1,0)</x:f>
        <x:v>0</x:v>
      </x:c>
    </x:row>
    <x:row r="1625">
      <x:c r="JA1625" t="n">
        <x:f>IF(OR(IFERROR(INDIRECT("'WCM Calibration Final'!$A$1625")&lt;&gt;"",FALSE),IFERROR(INDIRECT("'WCM Calibration Final'!$B$1625")&lt;&gt;"",FALSE),IFERROR(INDIRECT("'WCM Calibration Final'!$C$1625")&lt;&gt;"",FALSE)),1625,0)</x:f>
        <x:v>0</x:v>
      </x:c>
      <x:c r="JB1625" t="n">
        <x:f>'Calculations'!JB1624+IF('Calculations'!JA1625&gt;0,1,0)</x:f>
        <x:v>0</x:v>
      </x:c>
    </x:row>
    <x:row r="1626">
      <x:c r="JA1626" t="n">
        <x:f>IF(OR(IFERROR(INDIRECT("'WCM Calibration Final'!$A$1626")&lt;&gt;"",FALSE),IFERROR(INDIRECT("'WCM Calibration Final'!$B$1626")&lt;&gt;"",FALSE),IFERROR(INDIRECT("'WCM Calibration Final'!$C$1626")&lt;&gt;"",FALSE)),1626,0)</x:f>
        <x:v>0</x:v>
      </x:c>
      <x:c r="JB1626" t="n">
        <x:f>'Calculations'!JB1625+IF('Calculations'!JA1626&gt;0,1,0)</x:f>
        <x:v>0</x:v>
      </x:c>
    </x:row>
    <x:row r="1627">
      <x:c r="JA1627" t="n">
        <x:f>IF(OR(IFERROR(INDIRECT("'WCM Calibration Final'!$A$1627")&lt;&gt;"",FALSE),IFERROR(INDIRECT("'WCM Calibration Final'!$B$1627")&lt;&gt;"",FALSE),IFERROR(INDIRECT("'WCM Calibration Final'!$C$1627")&lt;&gt;"",FALSE)),1627,0)</x:f>
        <x:v>0</x:v>
      </x:c>
      <x:c r="JB1627" t="n">
        <x:f>'Calculations'!JB1626+IF('Calculations'!JA1627&gt;0,1,0)</x:f>
        <x:v>0</x:v>
      </x:c>
    </x:row>
    <x:row r="1628">
      <x:c r="JA1628" t="n">
        <x:f>IF(OR(IFERROR(INDIRECT("'WCM Calibration Final'!$A$1628")&lt;&gt;"",FALSE),IFERROR(INDIRECT("'WCM Calibration Final'!$B$1628")&lt;&gt;"",FALSE),IFERROR(INDIRECT("'WCM Calibration Final'!$C$1628")&lt;&gt;"",FALSE)),1628,0)</x:f>
        <x:v>0</x:v>
      </x:c>
      <x:c r="JB1628" t="n">
        <x:f>'Calculations'!JB1627+IF('Calculations'!JA1628&gt;0,1,0)</x:f>
        <x:v>0</x:v>
      </x:c>
    </x:row>
    <x:row r="1629">
      <x:c r="JA1629" t="n">
        <x:f>IF(OR(IFERROR(INDIRECT("'WCM Calibration Final'!$A$1629")&lt;&gt;"",FALSE),IFERROR(INDIRECT("'WCM Calibration Final'!$B$1629")&lt;&gt;"",FALSE),IFERROR(INDIRECT("'WCM Calibration Final'!$C$1629")&lt;&gt;"",FALSE)),1629,0)</x:f>
        <x:v>0</x:v>
      </x:c>
      <x:c r="JB1629" t="n">
        <x:f>'Calculations'!JB1628+IF('Calculations'!JA1629&gt;0,1,0)</x:f>
        <x:v>0</x:v>
      </x:c>
    </x:row>
    <x:row r="1630">
      <x:c r="JA1630" t="n">
        <x:f>IF(OR(IFERROR(INDIRECT("'WCM Calibration Final'!$A$1630")&lt;&gt;"",FALSE),IFERROR(INDIRECT("'WCM Calibration Final'!$B$1630")&lt;&gt;"",FALSE),IFERROR(INDIRECT("'WCM Calibration Final'!$C$1630")&lt;&gt;"",FALSE)),1630,0)</x:f>
        <x:v>0</x:v>
      </x:c>
      <x:c r="JB1630" t="n">
        <x:f>'Calculations'!JB1629+IF('Calculations'!JA1630&gt;0,1,0)</x:f>
        <x:v>0</x:v>
      </x:c>
    </x:row>
    <x:row r="1631">
      <x:c r="JA1631" t="n">
        <x:f>IF(OR(IFERROR(INDIRECT("'WCM Calibration Final'!$A$1631")&lt;&gt;"",FALSE),IFERROR(INDIRECT("'WCM Calibration Final'!$B$1631")&lt;&gt;"",FALSE),IFERROR(INDIRECT("'WCM Calibration Final'!$C$1631")&lt;&gt;"",FALSE)),1631,0)</x:f>
        <x:v>0</x:v>
      </x:c>
      <x:c r="JB1631" t="n">
        <x:f>'Calculations'!JB1630+IF('Calculations'!JA1631&gt;0,1,0)</x:f>
        <x:v>0</x:v>
      </x:c>
    </x:row>
    <x:row r="1632">
      <x:c r="JA1632" t="n">
        <x:f>IF(OR(IFERROR(INDIRECT("'WCM Calibration Final'!$A$1632")&lt;&gt;"",FALSE),IFERROR(INDIRECT("'WCM Calibration Final'!$B$1632")&lt;&gt;"",FALSE),IFERROR(INDIRECT("'WCM Calibration Final'!$C$1632")&lt;&gt;"",FALSE)),1632,0)</x:f>
        <x:v>0</x:v>
      </x:c>
      <x:c r="JB1632" t="n">
        <x:f>'Calculations'!JB1631+IF('Calculations'!JA1632&gt;0,1,0)</x:f>
        <x:v>0</x:v>
      </x:c>
    </x:row>
    <x:row r="1633">
      <x:c r="JA1633" t="n">
        <x:f>IF(OR(IFERROR(INDIRECT("'WCM Calibration Final'!$A$1633")&lt;&gt;"",FALSE),IFERROR(INDIRECT("'WCM Calibration Final'!$B$1633")&lt;&gt;"",FALSE),IFERROR(INDIRECT("'WCM Calibration Final'!$C$1633")&lt;&gt;"",FALSE)),1633,0)</x:f>
        <x:v>0</x:v>
      </x:c>
      <x:c r="JB1633" t="n">
        <x:f>'Calculations'!JB1632+IF('Calculations'!JA1633&gt;0,1,0)</x:f>
        <x:v>0</x:v>
      </x:c>
    </x:row>
    <x:row r="1634">
      <x:c r="JA1634" t="n">
        <x:f>IF(OR(IFERROR(INDIRECT("'WCM Calibration Final'!$A$1634")&lt;&gt;"",FALSE),IFERROR(INDIRECT("'WCM Calibration Final'!$B$1634")&lt;&gt;"",FALSE),IFERROR(INDIRECT("'WCM Calibration Final'!$C$1634")&lt;&gt;"",FALSE)),1634,0)</x:f>
        <x:v>0</x:v>
      </x:c>
      <x:c r="JB1634" t="n">
        <x:f>'Calculations'!JB1633+IF('Calculations'!JA1634&gt;0,1,0)</x:f>
        <x:v>0</x:v>
      </x:c>
    </x:row>
    <x:row r="1635">
      <x:c r="JA1635" t="n">
        <x:f>IF(OR(IFERROR(INDIRECT("'WCM Calibration Final'!$A$1635")&lt;&gt;"",FALSE),IFERROR(INDIRECT("'WCM Calibration Final'!$B$1635")&lt;&gt;"",FALSE),IFERROR(INDIRECT("'WCM Calibration Final'!$C$1635")&lt;&gt;"",FALSE)),1635,0)</x:f>
        <x:v>0</x:v>
      </x:c>
      <x:c r="JB1635" t="n">
        <x:f>'Calculations'!JB1634+IF('Calculations'!JA1635&gt;0,1,0)</x:f>
        <x:v>0</x:v>
      </x:c>
    </x:row>
    <x:row r="1636">
      <x:c r="JA1636" t="n">
        <x:f>IF(OR(IFERROR(INDIRECT("'WCM Calibration Final'!$A$1636")&lt;&gt;"",FALSE),IFERROR(INDIRECT("'WCM Calibration Final'!$B$1636")&lt;&gt;"",FALSE),IFERROR(INDIRECT("'WCM Calibration Final'!$C$1636")&lt;&gt;"",FALSE)),1636,0)</x:f>
        <x:v>0</x:v>
      </x:c>
      <x:c r="JB1636" t="n">
        <x:f>'Calculations'!JB1635+IF('Calculations'!JA1636&gt;0,1,0)</x:f>
        <x:v>0</x:v>
      </x:c>
    </x:row>
    <x:row r="1637">
      <x:c r="JA1637" t="n">
        <x:f>IF(OR(IFERROR(INDIRECT("'WCM Calibration Final'!$A$1637")&lt;&gt;"",FALSE),IFERROR(INDIRECT("'WCM Calibration Final'!$B$1637")&lt;&gt;"",FALSE),IFERROR(INDIRECT("'WCM Calibration Final'!$C$1637")&lt;&gt;"",FALSE)),1637,0)</x:f>
        <x:v>0</x:v>
      </x:c>
      <x:c r="JB1637" t="n">
        <x:f>'Calculations'!JB1636+IF('Calculations'!JA1637&gt;0,1,0)</x:f>
        <x:v>0</x:v>
      </x:c>
    </x:row>
    <x:row r="1638">
      <x:c r="JA1638" t="n">
        <x:f>IF(OR(IFERROR(INDIRECT("'WCM Calibration Final'!$A$1638")&lt;&gt;"",FALSE),IFERROR(INDIRECT("'WCM Calibration Final'!$B$1638")&lt;&gt;"",FALSE),IFERROR(INDIRECT("'WCM Calibration Final'!$C$1638")&lt;&gt;"",FALSE)),1638,0)</x:f>
        <x:v>0</x:v>
      </x:c>
      <x:c r="JB1638" t="n">
        <x:f>'Calculations'!JB1637+IF('Calculations'!JA1638&gt;0,1,0)</x:f>
        <x:v>0</x:v>
      </x:c>
    </x:row>
    <x:row r="1639">
      <x:c r="JA1639" t="n">
        <x:f>IF(OR(IFERROR(INDIRECT("'WCM Calibration Final'!$A$1639")&lt;&gt;"",FALSE),IFERROR(INDIRECT("'WCM Calibration Final'!$B$1639")&lt;&gt;"",FALSE),IFERROR(INDIRECT("'WCM Calibration Final'!$C$1639")&lt;&gt;"",FALSE)),1639,0)</x:f>
        <x:v>0</x:v>
      </x:c>
      <x:c r="JB1639" t="n">
        <x:f>'Calculations'!JB1638+IF('Calculations'!JA1639&gt;0,1,0)</x:f>
        <x:v>0</x:v>
      </x:c>
    </x:row>
    <x:row r="1640">
      <x:c r="JA1640" t="n">
        <x:f>IF(OR(IFERROR(INDIRECT("'WCM Calibration Final'!$A$1640")&lt;&gt;"",FALSE),IFERROR(INDIRECT("'WCM Calibration Final'!$B$1640")&lt;&gt;"",FALSE),IFERROR(INDIRECT("'WCM Calibration Final'!$C$1640")&lt;&gt;"",FALSE)),1640,0)</x:f>
        <x:v>0</x:v>
      </x:c>
      <x:c r="JB1640" t="n">
        <x:f>'Calculations'!JB1639+IF('Calculations'!JA1640&gt;0,1,0)</x:f>
        <x:v>0</x:v>
      </x:c>
    </x:row>
    <x:row r="1641">
      <x:c r="JA1641" t="n">
        <x:f>IF(OR(IFERROR(INDIRECT("'WCM Calibration Final'!$A$1641")&lt;&gt;"",FALSE),IFERROR(INDIRECT("'WCM Calibration Final'!$B$1641")&lt;&gt;"",FALSE),IFERROR(INDIRECT("'WCM Calibration Final'!$C$1641")&lt;&gt;"",FALSE)),1641,0)</x:f>
        <x:v>0</x:v>
      </x:c>
      <x:c r="JB1641" t="n">
        <x:f>'Calculations'!JB1640+IF('Calculations'!JA1641&gt;0,1,0)</x:f>
        <x:v>0</x:v>
      </x:c>
    </x:row>
    <x:row r="1642">
      <x:c r="JA1642" t="n">
        <x:f>IF(OR(IFERROR(INDIRECT("'WCM Calibration Final'!$A$1642")&lt;&gt;"",FALSE),IFERROR(INDIRECT("'WCM Calibration Final'!$B$1642")&lt;&gt;"",FALSE),IFERROR(INDIRECT("'WCM Calibration Final'!$C$1642")&lt;&gt;"",FALSE)),1642,0)</x:f>
        <x:v>0</x:v>
      </x:c>
      <x:c r="JB1642" t="n">
        <x:f>'Calculations'!JB1641+IF('Calculations'!JA1642&gt;0,1,0)</x:f>
        <x:v>0</x:v>
      </x:c>
    </x:row>
    <x:row r="1643">
      <x:c r="JA1643" t="n">
        <x:f>IF(OR(IFERROR(INDIRECT("'WCM Calibration Final'!$A$1643")&lt;&gt;"",FALSE),IFERROR(INDIRECT("'WCM Calibration Final'!$B$1643")&lt;&gt;"",FALSE),IFERROR(INDIRECT("'WCM Calibration Final'!$C$1643")&lt;&gt;"",FALSE)),1643,0)</x:f>
        <x:v>0</x:v>
      </x:c>
      <x:c r="JB1643" t="n">
        <x:f>'Calculations'!JB1642+IF('Calculations'!JA1643&gt;0,1,0)</x:f>
        <x:v>0</x:v>
      </x:c>
    </x:row>
    <x:row r="1644">
      <x:c r="JA1644" t="n">
        <x:f>IF(OR(IFERROR(INDIRECT("'WCM Calibration Final'!$A$1644")&lt;&gt;"",FALSE),IFERROR(INDIRECT("'WCM Calibration Final'!$B$1644")&lt;&gt;"",FALSE),IFERROR(INDIRECT("'WCM Calibration Final'!$C$1644")&lt;&gt;"",FALSE)),1644,0)</x:f>
        <x:v>0</x:v>
      </x:c>
      <x:c r="JB1644" t="n">
        <x:f>'Calculations'!JB1643+IF('Calculations'!JA1644&gt;0,1,0)</x:f>
        <x:v>0</x:v>
      </x:c>
    </x:row>
    <x:row r="1645">
      <x:c r="JA1645" t="n">
        <x:f>IF(OR(IFERROR(INDIRECT("'WCM Calibration Final'!$A$1645")&lt;&gt;"",FALSE),IFERROR(INDIRECT("'WCM Calibration Final'!$B$1645")&lt;&gt;"",FALSE),IFERROR(INDIRECT("'WCM Calibration Final'!$C$1645")&lt;&gt;"",FALSE)),1645,0)</x:f>
        <x:v>0</x:v>
      </x:c>
      <x:c r="JB1645" t="n">
        <x:f>'Calculations'!JB1644+IF('Calculations'!JA1645&gt;0,1,0)</x:f>
        <x:v>0</x:v>
      </x:c>
    </x:row>
    <x:row r="1646">
      <x:c r="JA1646" t="n">
        <x:f>IF(OR(IFERROR(INDIRECT("'WCM Calibration Final'!$A$1646")&lt;&gt;"",FALSE),IFERROR(INDIRECT("'WCM Calibration Final'!$B$1646")&lt;&gt;"",FALSE),IFERROR(INDIRECT("'WCM Calibration Final'!$C$1646")&lt;&gt;"",FALSE)),1646,0)</x:f>
        <x:v>0</x:v>
      </x:c>
      <x:c r="JB1646" t="n">
        <x:f>'Calculations'!JB1645+IF('Calculations'!JA1646&gt;0,1,0)</x:f>
        <x:v>0</x:v>
      </x:c>
    </x:row>
    <x:row r="1647">
      <x:c r="JA1647" t="n">
        <x:f>IF(OR(IFERROR(INDIRECT("'WCM Calibration Final'!$A$1647")&lt;&gt;"",FALSE),IFERROR(INDIRECT("'WCM Calibration Final'!$B$1647")&lt;&gt;"",FALSE),IFERROR(INDIRECT("'WCM Calibration Final'!$C$1647")&lt;&gt;"",FALSE)),1647,0)</x:f>
        <x:v>0</x:v>
      </x:c>
      <x:c r="JB1647" t="n">
        <x:f>'Calculations'!JB1646+IF('Calculations'!JA1647&gt;0,1,0)</x:f>
        <x:v>0</x:v>
      </x:c>
    </x:row>
    <x:row r="1648">
      <x:c r="JA1648" t="n">
        <x:f>IF(OR(IFERROR(INDIRECT("'WCM Calibration Final'!$A$1648")&lt;&gt;"",FALSE),IFERROR(INDIRECT("'WCM Calibration Final'!$B$1648")&lt;&gt;"",FALSE),IFERROR(INDIRECT("'WCM Calibration Final'!$C$1648")&lt;&gt;"",FALSE)),1648,0)</x:f>
        <x:v>0</x:v>
      </x:c>
      <x:c r="JB1648" t="n">
        <x:f>'Calculations'!JB1647+IF('Calculations'!JA1648&gt;0,1,0)</x:f>
        <x:v>0</x:v>
      </x:c>
    </x:row>
    <x:row r="1649">
      <x:c r="JA1649" t="n">
        <x:f>IF(OR(IFERROR(INDIRECT("'WCM Calibration Final'!$A$1649")&lt;&gt;"",FALSE),IFERROR(INDIRECT("'WCM Calibration Final'!$B$1649")&lt;&gt;"",FALSE),IFERROR(INDIRECT("'WCM Calibration Final'!$C$1649")&lt;&gt;"",FALSE)),1649,0)</x:f>
        <x:v>0</x:v>
      </x:c>
      <x:c r="JB1649" t="n">
        <x:f>'Calculations'!JB1648+IF('Calculations'!JA1649&gt;0,1,0)</x:f>
        <x:v>0</x:v>
      </x:c>
    </x:row>
    <x:row r="1650">
      <x:c r="JA1650" t="n">
        <x:f>IF(OR(IFERROR(INDIRECT("'WCM Calibration Final'!$A$1650")&lt;&gt;"",FALSE),IFERROR(INDIRECT("'WCM Calibration Final'!$B$1650")&lt;&gt;"",FALSE),IFERROR(INDIRECT("'WCM Calibration Final'!$C$1650")&lt;&gt;"",FALSE)),1650,0)</x:f>
        <x:v>0</x:v>
      </x:c>
      <x:c r="JB1650" t="n">
        <x:f>'Calculations'!JB1649+IF('Calculations'!JA1650&gt;0,1,0)</x:f>
        <x:v>0</x:v>
      </x:c>
    </x:row>
    <x:row r="1651">
      <x:c r="JA1651" t="n">
        <x:f>IF(OR(IFERROR(INDIRECT("'WCM Calibration Final'!$A$1651")&lt;&gt;"",FALSE),IFERROR(INDIRECT("'WCM Calibration Final'!$B$1651")&lt;&gt;"",FALSE),IFERROR(INDIRECT("'WCM Calibration Final'!$C$1651")&lt;&gt;"",FALSE)),1651,0)</x:f>
        <x:v>0</x:v>
      </x:c>
      <x:c r="JB1651" t="n">
        <x:f>'Calculations'!JB1650+IF('Calculations'!JA1651&gt;0,1,0)</x:f>
        <x:v>0</x:v>
      </x:c>
    </x:row>
    <x:row r="1652">
      <x:c r="JA1652" t="n">
        <x:f>IF(OR(IFERROR(INDIRECT("'WCM Calibration Final'!$A$1652")&lt;&gt;"",FALSE),IFERROR(INDIRECT("'WCM Calibration Final'!$B$1652")&lt;&gt;"",FALSE),IFERROR(INDIRECT("'WCM Calibration Final'!$C$1652")&lt;&gt;"",FALSE)),1652,0)</x:f>
        <x:v>0</x:v>
      </x:c>
      <x:c r="JB1652" t="n">
        <x:f>'Calculations'!JB1651+IF('Calculations'!JA1652&gt;0,1,0)</x:f>
        <x:v>0</x:v>
      </x:c>
    </x:row>
    <x:row r="1653">
      <x:c r="JA1653" t="n">
        <x:f>IF(OR(IFERROR(INDIRECT("'WCM Calibration Final'!$A$1653")&lt;&gt;"",FALSE),IFERROR(INDIRECT("'WCM Calibration Final'!$B$1653")&lt;&gt;"",FALSE),IFERROR(INDIRECT("'WCM Calibration Final'!$C$1653")&lt;&gt;"",FALSE)),1653,0)</x:f>
        <x:v>0</x:v>
      </x:c>
      <x:c r="JB1653" t="n">
        <x:f>'Calculations'!JB1652+IF('Calculations'!JA1653&gt;0,1,0)</x:f>
        <x:v>0</x:v>
      </x:c>
    </x:row>
    <x:row r="1654">
      <x:c r="JA1654" t="n">
        <x:f>IF(OR(IFERROR(INDIRECT("'WCM Calibration Final'!$A$1654")&lt;&gt;"",FALSE),IFERROR(INDIRECT("'WCM Calibration Final'!$B$1654")&lt;&gt;"",FALSE),IFERROR(INDIRECT("'WCM Calibration Final'!$C$1654")&lt;&gt;"",FALSE)),1654,0)</x:f>
        <x:v>0</x:v>
      </x:c>
      <x:c r="JB1654" t="n">
        <x:f>'Calculations'!JB1653+IF('Calculations'!JA1654&gt;0,1,0)</x:f>
        <x:v>0</x:v>
      </x:c>
    </x:row>
    <x:row r="1655">
      <x:c r="JA1655" t="n">
        <x:f>IF(OR(IFERROR(INDIRECT("'WCM Calibration Final'!$A$1655")&lt;&gt;"",FALSE),IFERROR(INDIRECT("'WCM Calibration Final'!$B$1655")&lt;&gt;"",FALSE),IFERROR(INDIRECT("'WCM Calibration Final'!$C$1655")&lt;&gt;"",FALSE)),1655,0)</x:f>
        <x:v>0</x:v>
      </x:c>
      <x:c r="JB1655" t="n">
        <x:f>'Calculations'!JB1654+IF('Calculations'!JA1655&gt;0,1,0)</x:f>
        <x:v>0</x:v>
      </x:c>
    </x:row>
    <x:row r="1656">
      <x:c r="JA1656" t="n">
        <x:f>IF(OR(IFERROR(INDIRECT("'WCM Calibration Final'!$A$1656")&lt;&gt;"",FALSE),IFERROR(INDIRECT("'WCM Calibration Final'!$B$1656")&lt;&gt;"",FALSE),IFERROR(INDIRECT("'WCM Calibration Final'!$C$1656")&lt;&gt;"",FALSE)),1656,0)</x:f>
        <x:v>0</x:v>
      </x:c>
      <x:c r="JB1656" t="n">
        <x:f>'Calculations'!JB1655+IF('Calculations'!JA1656&gt;0,1,0)</x:f>
        <x:v>0</x:v>
      </x:c>
    </x:row>
    <x:row r="1657">
      <x:c r="JA1657" t="n">
        <x:f>IF(OR(IFERROR(INDIRECT("'WCM Calibration Final'!$A$1657")&lt;&gt;"",FALSE),IFERROR(INDIRECT("'WCM Calibration Final'!$B$1657")&lt;&gt;"",FALSE),IFERROR(INDIRECT("'WCM Calibration Final'!$C$1657")&lt;&gt;"",FALSE)),1657,0)</x:f>
        <x:v>0</x:v>
      </x:c>
      <x:c r="JB1657" t="n">
        <x:f>'Calculations'!JB1656+IF('Calculations'!JA1657&gt;0,1,0)</x:f>
        <x:v>0</x:v>
      </x:c>
    </x:row>
    <x:row r="1658">
      <x:c r="JA1658" t="n">
        <x:f>IF(OR(IFERROR(INDIRECT("'WCM Calibration Final'!$A$1658")&lt;&gt;"",FALSE),IFERROR(INDIRECT("'WCM Calibration Final'!$B$1658")&lt;&gt;"",FALSE),IFERROR(INDIRECT("'WCM Calibration Final'!$C$1658")&lt;&gt;"",FALSE)),1658,0)</x:f>
        <x:v>0</x:v>
      </x:c>
      <x:c r="JB1658" t="n">
        <x:f>'Calculations'!JB1657+IF('Calculations'!JA1658&gt;0,1,0)</x:f>
        <x:v>0</x:v>
      </x:c>
    </x:row>
    <x:row r="1659">
      <x:c r="JA1659" t="n">
        <x:f>IF(OR(IFERROR(INDIRECT("'WCM Calibration Final'!$A$1659")&lt;&gt;"",FALSE),IFERROR(INDIRECT("'WCM Calibration Final'!$B$1659")&lt;&gt;"",FALSE),IFERROR(INDIRECT("'WCM Calibration Final'!$C$1659")&lt;&gt;"",FALSE)),1659,0)</x:f>
        <x:v>0</x:v>
      </x:c>
      <x:c r="JB1659" t="n">
        <x:f>'Calculations'!JB1658+IF('Calculations'!JA1659&gt;0,1,0)</x:f>
        <x:v>0</x:v>
      </x:c>
    </x:row>
    <x:row r="1660">
      <x:c r="JA1660" t="n">
        <x:f>IF(OR(IFERROR(INDIRECT("'WCM Calibration Final'!$A$1660")&lt;&gt;"",FALSE),IFERROR(INDIRECT("'WCM Calibration Final'!$B$1660")&lt;&gt;"",FALSE),IFERROR(INDIRECT("'WCM Calibration Final'!$C$1660")&lt;&gt;"",FALSE)),1660,0)</x:f>
        <x:v>0</x:v>
      </x:c>
      <x:c r="JB1660" t="n">
        <x:f>'Calculations'!JB1659+IF('Calculations'!JA1660&gt;0,1,0)</x:f>
        <x:v>0</x:v>
      </x:c>
    </x:row>
    <x:row r="1661">
      <x:c r="JA1661" t="n">
        <x:f>IF(OR(IFERROR(INDIRECT("'WCM Calibration Final'!$A$1661")&lt;&gt;"",FALSE),IFERROR(INDIRECT("'WCM Calibration Final'!$B$1661")&lt;&gt;"",FALSE),IFERROR(INDIRECT("'WCM Calibration Final'!$C$1661")&lt;&gt;"",FALSE)),1661,0)</x:f>
        <x:v>0</x:v>
      </x:c>
      <x:c r="JB1661" t="n">
        <x:f>'Calculations'!JB1660+IF('Calculations'!JA1661&gt;0,1,0)</x:f>
        <x:v>0</x:v>
      </x:c>
    </x:row>
    <x:row r="1662">
      <x:c r="JA1662" t="n">
        <x:f>IF(OR(IFERROR(INDIRECT("'WCM Calibration Final'!$A$1662")&lt;&gt;"",FALSE),IFERROR(INDIRECT("'WCM Calibration Final'!$B$1662")&lt;&gt;"",FALSE),IFERROR(INDIRECT("'WCM Calibration Final'!$C$1662")&lt;&gt;"",FALSE)),1662,0)</x:f>
        <x:v>0</x:v>
      </x:c>
      <x:c r="JB1662" t="n">
        <x:f>'Calculations'!JB1661+IF('Calculations'!JA1662&gt;0,1,0)</x:f>
        <x:v>0</x:v>
      </x:c>
    </x:row>
    <x:row r="1663">
      <x:c r="JA1663" t="n">
        <x:f>IF(OR(IFERROR(INDIRECT("'WCM Calibration Final'!$A$1663")&lt;&gt;"",FALSE),IFERROR(INDIRECT("'WCM Calibration Final'!$B$1663")&lt;&gt;"",FALSE),IFERROR(INDIRECT("'WCM Calibration Final'!$C$1663")&lt;&gt;"",FALSE)),1663,0)</x:f>
        <x:v>0</x:v>
      </x:c>
      <x:c r="JB1663" t="n">
        <x:f>'Calculations'!JB1662+IF('Calculations'!JA1663&gt;0,1,0)</x:f>
        <x:v>0</x:v>
      </x:c>
    </x:row>
    <x:row r="1664">
      <x:c r="JA1664" t="n">
        <x:f>IF(OR(IFERROR(INDIRECT("'WCM Calibration Final'!$A$1664")&lt;&gt;"",FALSE),IFERROR(INDIRECT("'WCM Calibration Final'!$B$1664")&lt;&gt;"",FALSE),IFERROR(INDIRECT("'WCM Calibration Final'!$C$1664")&lt;&gt;"",FALSE)),1664,0)</x:f>
        <x:v>0</x:v>
      </x:c>
      <x:c r="JB1664" t="n">
        <x:f>'Calculations'!JB1663+IF('Calculations'!JA1664&gt;0,1,0)</x:f>
        <x:v>0</x:v>
      </x:c>
    </x:row>
    <x:row r="1665">
      <x:c r="JA1665" t="n">
        <x:f>IF(OR(IFERROR(INDIRECT("'WCM Calibration Final'!$A$1665")&lt;&gt;"",FALSE),IFERROR(INDIRECT("'WCM Calibration Final'!$B$1665")&lt;&gt;"",FALSE),IFERROR(INDIRECT("'WCM Calibration Final'!$C$1665")&lt;&gt;"",FALSE)),1665,0)</x:f>
        <x:v>0</x:v>
      </x:c>
      <x:c r="JB1665" t="n">
        <x:f>'Calculations'!JB1664+IF('Calculations'!JA1665&gt;0,1,0)</x:f>
        <x:v>0</x:v>
      </x:c>
    </x:row>
    <x:row r="1666">
      <x:c r="JA1666" t="n">
        <x:f>IF(OR(IFERROR(INDIRECT("'WCM Calibration Final'!$A$1666")&lt;&gt;"",FALSE),IFERROR(INDIRECT("'WCM Calibration Final'!$B$1666")&lt;&gt;"",FALSE),IFERROR(INDIRECT("'WCM Calibration Final'!$C$1666")&lt;&gt;"",FALSE)),1666,0)</x:f>
        <x:v>0</x:v>
      </x:c>
      <x:c r="JB1666" t="n">
        <x:f>'Calculations'!JB1665+IF('Calculations'!JA1666&gt;0,1,0)</x:f>
        <x:v>0</x:v>
      </x:c>
    </x:row>
    <x:row r="1667">
      <x:c r="JA1667" t="n">
        <x:f>IF(OR(IFERROR(INDIRECT("'WCM Calibration Final'!$A$1667")&lt;&gt;"",FALSE),IFERROR(INDIRECT("'WCM Calibration Final'!$B$1667")&lt;&gt;"",FALSE),IFERROR(INDIRECT("'WCM Calibration Final'!$C$1667")&lt;&gt;"",FALSE)),1667,0)</x:f>
        <x:v>0</x:v>
      </x:c>
      <x:c r="JB1667" t="n">
        <x:f>'Calculations'!JB1666+IF('Calculations'!JA1667&gt;0,1,0)</x:f>
        <x:v>0</x:v>
      </x:c>
    </x:row>
    <x:row r="1668">
      <x:c r="JA1668" t="n">
        <x:f>IF(OR(IFERROR(INDIRECT("'WCM Calibration Final'!$A$1668")&lt;&gt;"",FALSE),IFERROR(INDIRECT("'WCM Calibration Final'!$B$1668")&lt;&gt;"",FALSE),IFERROR(INDIRECT("'WCM Calibration Final'!$C$1668")&lt;&gt;"",FALSE)),1668,0)</x:f>
        <x:v>0</x:v>
      </x:c>
      <x:c r="JB1668" t="n">
        <x:f>'Calculations'!JB1667+IF('Calculations'!JA1668&gt;0,1,0)</x:f>
        <x:v>0</x:v>
      </x:c>
    </x:row>
    <x:row r="1669">
      <x:c r="JA1669" t="n">
        <x:f>IF(OR(IFERROR(INDIRECT("'WCM Calibration Final'!$A$1669")&lt;&gt;"",FALSE),IFERROR(INDIRECT("'WCM Calibration Final'!$B$1669")&lt;&gt;"",FALSE),IFERROR(INDIRECT("'WCM Calibration Final'!$C$1669")&lt;&gt;"",FALSE)),1669,0)</x:f>
        <x:v>0</x:v>
      </x:c>
      <x:c r="JB1669" t="n">
        <x:f>'Calculations'!JB1668+IF('Calculations'!JA1669&gt;0,1,0)</x:f>
        <x:v>0</x:v>
      </x:c>
    </x:row>
    <x:row r="1670">
      <x:c r="JA1670" t="n">
        <x:f>IF(OR(IFERROR(INDIRECT("'WCM Calibration Final'!$A$1670")&lt;&gt;"",FALSE),IFERROR(INDIRECT("'WCM Calibration Final'!$B$1670")&lt;&gt;"",FALSE),IFERROR(INDIRECT("'WCM Calibration Final'!$C$1670")&lt;&gt;"",FALSE)),1670,0)</x:f>
        <x:v>0</x:v>
      </x:c>
      <x:c r="JB1670" t="n">
        <x:f>'Calculations'!JB1669+IF('Calculations'!JA1670&gt;0,1,0)</x:f>
        <x:v>0</x:v>
      </x:c>
    </x:row>
    <x:row r="1671">
      <x:c r="JA1671" t="n">
        <x:f>IF(OR(IFERROR(INDIRECT("'WCM Calibration Final'!$A$1671")&lt;&gt;"",FALSE),IFERROR(INDIRECT("'WCM Calibration Final'!$B$1671")&lt;&gt;"",FALSE),IFERROR(INDIRECT("'WCM Calibration Final'!$C$1671")&lt;&gt;"",FALSE)),1671,0)</x:f>
        <x:v>0</x:v>
      </x:c>
      <x:c r="JB1671" t="n">
        <x:f>'Calculations'!JB1670+IF('Calculations'!JA1671&gt;0,1,0)</x:f>
        <x:v>0</x:v>
      </x:c>
    </x:row>
    <x:row r="1672">
      <x:c r="JA1672" t="n">
        <x:f>IF(OR(IFERROR(INDIRECT("'WCM Calibration Final'!$A$1672")&lt;&gt;"",FALSE),IFERROR(INDIRECT("'WCM Calibration Final'!$B$1672")&lt;&gt;"",FALSE),IFERROR(INDIRECT("'WCM Calibration Final'!$C$1672")&lt;&gt;"",FALSE)),1672,0)</x:f>
        <x:v>0</x:v>
      </x:c>
      <x:c r="JB1672" t="n">
        <x:f>'Calculations'!JB1671+IF('Calculations'!JA1672&gt;0,1,0)</x:f>
        <x:v>0</x:v>
      </x:c>
    </x:row>
    <x:row r="1673">
      <x:c r="JA1673" t="n">
        <x:f>IF(OR(IFERROR(INDIRECT("'WCM Calibration Final'!$A$1673")&lt;&gt;"",FALSE),IFERROR(INDIRECT("'WCM Calibration Final'!$B$1673")&lt;&gt;"",FALSE),IFERROR(INDIRECT("'WCM Calibration Final'!$C$1673")&lt;&gt;"",FALSE)),1673,0)</x:f>
        <x:v>0</x:v>
      </x:c>
      <x:c r="JB1673" t="n">
        <x:f>'Calculations'!JB1672+IF('Calculations'!JA1673&gt;0,1,0)</x:f>
        <x:v>0</x:v>
      </x:c>
    </x:row>
    <x:row r="1674">
      <x:c r="JA1674" t="n">
        <x:f>IF(OR(IFERROR(INDIRECT("'WCM Calibration Final'!$A$1674")&lt;&gt;"",FALSE),IFERROR(INDIRECT("'WCM Calibration Final'!$B$1674")&lt;&gt;"",FALSE),IFERROR(INDIRECT("'WCM Calibration Final'!$C$1674")&lt;&gt;"",FALSE)),1674,0)</x:f>
        <x:v>0</x:v>
      </x:c>
      <x:c r="JB1674" t="n">
        <x:f>'Calculations'!JB1673+IF('Calculations'!JA1674&gt;0,1,0)</x:f>
        <x:v>0</x:v>
      </x:c>
    </x:row>
    <x:row r="1675">
      <x:c r="JA1675" t="n">
        <x:f>IF(OR(IFERROR(INDIRECT("'WCM Calibration Final'!$A$1675")&lt;&gt;"",FALSE),IFERROR(INDIRECT("'WCM Calibration Final'!$B$1675")&lt;&gt;"",FALSE),IFERROR(INDIRECT("'WCM Calibration Final'!$C$1675")&lt;&gt;"",FALSE)),1675,0)</x:f>
        <x:v>0</x:v>
      </x:c>
      <x:c r="JB1675" t="n">
        <x:f>'Calculations'!JB1674+IF('Calculations'!JA1675&gt;0,1,0)</x:f>
        <x:v>0</x:v>
      </x:c>
    </x:row>
    <x:row r="1676">
      <x:c r="JA1676" t="n">
        <x:f>IF(OR(IFERROR(INDIRECT("'WCM Calibration Final'!$A$1676")&lt;&gt;"",FALSE),IFERROR(INDIRECT("'WCM Calibration Final'!$B$1676")&lt;&gt;"",FALSE),IFERROR(INDIRECT("'WCM Calibration Final'!$C$1676")&lt;&gt;"",FALSE)),1676,0)</x:f>
        <x:v>0</x:v>
      </x:c>
      <x:c r="JB1676" t="n">
        <x:f>'Calculations'!JB1675+IF('Calculations'!JA1676&gt;0,1,0)</x:f>
        <x:v>0</x:v>
      </x:c>
    </x:row>
    <x:row r="1677">
      <x:c r="JA1677" t="n">
        <x:f>IF(OR(IFERROR(INDIRECT("'WCM Calibration Final'!$A$1677")&lt;&gt;"",FALSE),IFERROR(INDIRECT("'WCM Calibration Final'!$B$1677")&lt;&gt;"",FALSE),IFERROR(INDIRECT("'WCM Calibration Final'!$C$1677")&lt;&gt;"",FALSE)),1677,0)</x:f>
        <x:v>0</x:v>
      </x:c>
      <x:c r="JB1677" t="n">
        <x:f>'Calculations'!JB1676+IF('Calculations'!JA1677&gt;0,1,0)</x:f>
        <x:v>0</x:v>
      </x:c>
    </x:row>
    <x:row r="1678">
      <x:c r="JA1678" t="n">
        <x:f>IF(OR(IFERROR(INDIRECT("'WCM Calibration Final'!$A$1678")&lt;&gt;"",FALSE),IFERROR(INDIRECT("'WCM Calibration Final'!$B$1678")&lt;&gt;"",FALSE),IFERROR(INDIRECT("'WCM Calibration Final'!$C$1678")&lt;&gt;"",FALSE)),1678,0)</x:f>
        <x:v>0</x:v>
      </x:c>
      <x:c r="JB1678" t="n">
        <x:f>'Calculations'!JB1677+IF('Calculations'!JA1678&gt;0,1,0)</x:f>
        <x:v>0</x:v>
      </x:c>
    </x:row>
    <x:row r="1679">
      <x:c r="JA1679" t="n">
        <x:f>IF(OR(IFERROR(INDIRECT("'WCM Calibration Final'!$A$1679")&lt;&gt;"",FALSE),IFERROR(INDIRECT("'WCM Calibration Final'!$B$1679")&lt;&gt;"",FALSE),IFERROR(INDIRECT("'WCM Calibration Final'!$C$1679")&lt;&gt;"",FALSE)),1679,0)</x:f>
        <x:v>0</x:v>
      </x:c>
      <x:c r="JB1679" t="n">
        <x:f>'Calculations'!JB1678+IF('Calculations'!JA1679&gt;0,1,0)</x:f>
        <x:v>0</x:v>
      </x:c>
    </x:row>
    <x:row r="1680">
      <x:c r="JA1680" t="n">
        <x:f>IF(OR(IFERROR(INDIRECT("'WCM Calibration Final'!$A$1680")&lt;&gt;"",FALSE),IFERROR(INDIRECT("'WCM Calibration Final'!$B$1680")&lt;&gt;"",FALSE),IFERROR(INDIRECT("'WCM Calibration Final'!$C$1680")&lt;&gt;"",FALSE)),1680,0)</x:f>
        <x:v>0</x:v>
      </x:c>
      <x:c r="JB1680" t="n">
        <x:f>'Calculations'!JB1679+IF('Calculations'!JA1680&gt;0,1,0)</x:f>
        <x:v>0</x:v>
      </x:c>
    </x:row>
    <x:row r="1681">
      <x:c r="JA1681" t="n">
        <x:f>IF(OR(IFERROR(INDIRECT("'WCM Calibration Final'!$A$1681")&lt;&gt;"",FALSE),IFERROR(INDIRECT("'WCM Calibration Final'!$B$1681")&lt;&gt;"",FALSE),IFERROR(INDIRECT("'WCM Calibration Final'!$C$1681")&lt;&gt;"",FALSE)),1681,0)</x:f>
        <x:v>0</x:v>
      </x:c>
      <x:c r="JB1681" t="n">
        <x:f>'Calculations'!JB1680+IF('Calculations'!JA1681&gt;0,1,0)</x:f>
        <x:v>0</x:v>
      </x:c>
    </x:row>
    <x:row r="1682">
      <x:c r="JA1682" t="n">
        <x:f>IF(OR(IFERROR(INDIRECT("'WCM Calibration Final'!$A$1682")&lt;&gt;"",FALSE),IFERROR(INDIRECT("'WCM Calibration Final'!$B$1682")&lt;&gt;"",FALSE),IFERROR(INDIRECT("'WCM Calibration Final'!$C$1682")&lt;&gt;"",FALSE)),1682,0)</x:f>
        <x:v>0</x:v>
      </x:c>
      <x:c r="JB1682" t="n">
        <x:f>'Calculations'!JB1681+IF('Calculations'!JA1682&gt;0,1,0)</x:f>
        <x:v>0</x:v>
      </x:c>
    </x:row>
    <x:row r="1683">
      <x:c r="JA1683" t="n">
        <x:f>IF(OR(IFERROR(INDIRECT("'WCM Calibration Final'!$A$1683")&lt;&gt;"",FALSE),IFERROR(INDIRECT("'WCM Calibration Final'!$B$1683")&lt;&gt;"",FALSE),IFERROR(INDIRECT("'WCM Calibration Final'!$C$1683")&lt;&gt;"",FALSE)),1683,0)</x:f>
        <x:v>0</x:v>
      </x:c>
      <x:c r="JB1683" t="n">
        <x:f>'Calculations'!JB1682+IF('Calculations'!JA1683&gt;0,1,0)</x:f>
        <x:v>0</x:v>
      </x:c>
    </x:row>
    <x:row r="1684">
      <x:c r="JA1684" t="n">
        <x:f>IF(OR(IFERROR(INDIRECT("'WCM Calibration Final'!$A$1684")&lt;&gt;"",FALSE),IFERROR(INDIRECT("'WCM Calibration Final'!$B$1684")&lt;&gt;"",FALSE),IFERROR(INDIRECT("'WCM Calibration Final'!$C$1684")&lt;&gt;"",FALSE)),1684,0)</x:f>
        <x:v>0</x:v>
      </x:c>
      <x:c r="JB1684" t="n">
        <x:f>'Calculations'!JB1683+IF('Calculations'!JA1684&gt;0,1,0)</x:f>
        <x:v>0</x:v>
      </x:c>
    </x:row>
    <x:row r="1685">
      <x:c r="JA1685" t="n">
        <x:f>IF(OR(IFERROR(INDIRECT("'WCM Calibration Final'!$A$1685")&lt;&gt;"",FALSE),IFERROR(INDIRECT("'WCM Calibration Final'!$B$1685")&lt;&gt;"",FALSE),IFERROR(INDIRECT("'WCM Calibration Final'!$C$1685")&lt;&gt;"",FALSE)),1685,0)</x:f>
        <x:v>0</x:v>
      </x:c>
      <x:c r="JB1685" t="n">
        <x:f>'Calculations'!JB1684+IF('Calculations'!JA1685&gt;0,1,0)</x:f>
        <x:v>0</x:v>
      </x:c>
    </x:row>
    <x:row r="1686">
      <x:c r="JA1686" t="n">
        <x:f>IF(OR(IFERROR(INDIRECT("'WCM Calibration Final'!$A$1686")&lt;&gt;"",FALSE),IFERROR(INDIRECT("'WCM Calibration Final'!$B$1686")&lt;&gt;"",FALSE),IFERROR(INDIRECT("'WCM Calibration Final'!$C$1686")&lt;&gt;"",FALSE)),1686,0)</x:f>
        <x:v>0</x:v>
      </x:c>
      <x:c r="JB1686" t="n">
        <x:f>'Calculations'!JB1685+IF('Calculations'!JA1686&gt;0,1,0)</x:f>
        <x:v>0</x:v>
      </x:c>
    </x:row>
    <x:row r="1687">
      <x:c r="JA1687" t="n">
        <x:f>IF(OR(IFERROR(INDIRECT("'WCM Calibration Final'!$A$1687")&lt;&gt;"",FALSE),IFERROR(INDIRECT("'WCM Calibration Final'!$B$1687")&lt;&gt;"",FALSE),IFERROR(INDIRECT("'WCM Calibration Final'!$C$1687")&lt;&gt;"",FALSE)),1687,0)</x:f>
        <x:v>0</x:v>
      </x:c>
      <x:c r="JB1687" t="n">
        <x:f>'Calculations'!JB1686+IF('Calculations'!JA1687&gt;0,1,0)</x:f>
        <x:v>0</x:v>
      </x:c>
    </x:row>
    <x:row r="1688">
      <x:c r="JA1688" t="n">
        <x:f>IF(OR(IFERROR(INDIRECT("'WCM Calibration Final'!$A$1688")&lt;&gt;"",FALSE),IFERROR(INDIRECT("'WCM Calibration Final'!$B$1688")&lt;&gt;"",FALSE),IFERROR(INDIRECT("'WCM Calibration Final'!$C$1688")&lt;&gt;"",FALSE)),1688,0)</x:f>
        <x:v>0</x:v>
      </x:c>
      <x:c r="JB1688" t="n">
        <x:f>'Calculations'!JB1687+IF('Calculations'!JA1688&gt;0,1,0)</x:f>
        <x:v>0</x:v>
      </x:c>
    </x:row>
    <x:row r="1689">
      <x:c r="JA1689" t="n">
        <x:f>IF(OR(IFERROR(INDIRECT("'WCM Calibration Final'!$A$1689")&lt;&gt;"",FALSE),IFERROR(INDIRECT("'WCM Calibration Final'!$B$1689")&lt;&gt;"",FALSE),IFERROR(INDIRECT("'WCM Calibration Final'!$C$1689")&lt;&gt;"",FALSE)),1689,0)</x:f>
        <x:v>0</x:v>
      </x:c>
      <x:c r="JB1689" t="n">
        <x:f>'Calculations'!JB1688+IF('Calculations'!JA1689&gt;0,1,0)</x:f>
        <x:v>0</x:v>
      </x:c>
    </x:row>
    <x:row r="1690">
      <x:c r="JA1690" t="n">
        <x:f>IF(OR(IFERROR(INDIRECT("'WCM Calibration Final'!$A$1690")&lt;&gt;"",FALSE),IFERROR(INDIRECT("'WCM Calibration Final'!$B$1690")&lt;&gt;"",FALSE),IFERROR(INDIRECT("'WCM Calibration Final'!$C$1690")&lt;&gt;"",FALSE)),1690,0)</x:f>
        <x:v>0</x:v>
      </x:c>
      <x:c r="JB1690" t="n">
        <x:f>'Calculations'!JB1689+IF('Calculations'!JA1690&gt;0,1,0)</x:f>
        <x:v>0</x:v>
      </x:c>
    </x:row>
    <x:row r="1691">
      <x:c r="JA1691" t="n">
        <x:f>IF(OR(IFERROR(INDIRECT("'WCM Calibration Final'!$A$1691")&lt;&gt;"",FALSE),IFERROR(INDIRECT("'WCM Calibration Final'!$B$1691")&lt;&gt;"",FALSE),IFERROR(INDIRECT("'WCM Calibration Final'!$C$1691")&lt;&gt;"",FALSE)),1691,0)</x:f>
        <x:v>0</x:v>
      </x:c>
      <x:c r="JB1691" t="n">
        <x:f>'Calculations'!JB1690+IF('Calculations'!JA1691&gt;0,1,0)</x:f>
        <x:v>0</x:v>
      </x:c>
    </x:row>
    <x:row r="1692">
      <x:c r="JA1692" t="n">
        <x:f>IF(OR(IFERROR(INDIRECT("'WCM Calibration Final'!$A$1692")&lt;&gt;"",FALSE),IFERROR(INDIRECT("'WCM Calibration Final'!$B$1692")&lt;&gt;"",FALSE),IFERROR(INDIRECT("'WCM Calibration Final'!$C$1692")&lt;&gt;"",FALSE)),1692,0)</x:f>
        <x:v>0</x:v>
      </x:c>
      <x:c r="JB1692" t="n">
        <x:f>'Calculations'!JB1691+IF('Calculations'!JA1692&gt;0,1,0)</x:f>
        <x:v>0</x:v>
      </x:c>
    </x:row>
    <x:row r="1693">
      <x:c r="JA1693" t="n">
        <x:f>IF(OR(IFERROR(INDIRECT("'WCM Calibration Final'!$A$1693")&lt;&gt;"",FALSE),IFERROR(INDIRECT("'WCM Calibration Final'!$B$1693")&lt;&gt;"",FALSE),IFERROR(INDIRECT("'WCM Calibration Final'!$C$1693")&lt;&gt;"",FALSE)),1693,0)</x:f>
        <x:v>0</x:v>
      </x:c>
      <x:c r="JB1693" t="n">
        <x:f>'Calculations'!JB1692+IF('Calculations'!JA1693&gt;0,1,0)</x:f>
        <x:v>0</x:v>
      </x:c>
    </x:row>
    <x:row r="1694">
      <x:c r="JA1694" t="n">
        <x:f>IF(OR(IFERROR(INDIRECT("'WCM Calibration Final'!$A$1694")&lt;&gt;"",FALSE),IFERROR(INDIRECT("'WCM Calibration Final'!$B$1694")&lt;&gt;"",FALSE),IFERROR(INDIRECT("'WCM Calibration Final'!$C$1694")&lt;&gt;"",FALSE)),1694,0)</x:f>
        <x:v>0</x:v>
      </x:c>
      <x:c r="JB1694" t="n">
        <x:f>'Calculations'!JB1693+IF('Calculations'!JA1694&gt;0,1,0)</x:f>
        <x:v>0</x:v>
      </x:c>
    </x:row>
    <x:row r="1695">
      <x:c r="JA1695" t="n">
        <x:f>IF(OR(IFERROR(INDIRECT("'WCM Calibration Final'!$A$1695")&lt;&gt;"",FALSE),IFERROR(INDIRECT("'WCM Calibration Final'!$B$1695")&lt;&gt;"",FALSE),IFERROR(INDIRECT("'WCM Calibration Final'!$C$1695")&lt;&gt;"",FALSE)),1695,0)</x:f>
        <x:v>0</x:v>
      </x:c>
      <x:c r="JB1695" t="n">
        <x:f>'Calculations'!JB1694+IF('Calculations'!JA1695&gt;0,1,0)</x:f>
        <x:v>0</x:v>
      </x:c>
    </x:row>
    <x:row r="1696">
      <x:c r="JA1696" t="n">
        <x:f>IF(OR(IFERROR(INDIRECT("'WCM Calibration Final'!$A$1696")&lt;&gt;"",FALSE),IFERROR(INDIRECT("'WCM Calibration Final'!$B$1696")&lt;&gt;"",FALSE),IFERROR(INDIRECT("'WCM Calibration Final'!$C$1696")&lt;&gt;"",FALSE)),1696,0)</x:f>
        <x:v>0</x:v>
      </x:c>
      <x:c r="JB1696" t="n">
        <x:f>'Calculations'!JB1695+IF('Calculations'!JA1696&gt;0,1,0)</x:f>
        <x:v>0</x:v>
      </x:c>
    </x:row>
    <x:row r="1697">
      <x:c r="JA1697" t="n">
        <x:f>IF(OR(IFERROR(INDIRECT("'WCM Calibration Final'!$A$1697")&lt;&gt;"",FALSE),IFERROR(INDIRECT("'WCM Calibration Final'!$B$1697")&lt;&gt;"",FALSE),IFERROR(INDIRECT("'WCM Calibration Final'!$C$1697")&lt;&gt;"",FALSE)),1697,0)</x:f>
        <x:v>0</x:v>
      </x:c>
      <x:c r="JB1697" t="n">
        <x:f>'Calculations'!JB1696+IF('Calculations'!JA1697&gt;0,1,0)</x:f>
        <x:v>0</x:v>
      </x:c>
    </x:row>
    <x:row r="1698">
      <x:c r="JA1698" t="n">
        <x:f>IF(OR(IFERROR(INDIRECT("'WCM Calibration Final'!$A$1698")&lt;&gt;"",FALSE),IFERROR(INDIRECT("'WCM Calibration Final'!$B$1698")&lt;&gt;"",FALSE),IFERROR(INDIRECT("'WCM Calibration Final'!$C$1698")&lt;&gt;"",FALSE)),1698,0)</x:f>
        <x:v>0</x:v>
      </x:c>
      <x:c r="JB1698" t="n">
        <x:f>'Calculations'!JB1697+IF('Calculations'!JA1698&gt;0,1,0)</x:f>
        <x:v>0</x:v>
      </x:c>
    </x:row>
    <x:row r="1699">
      <x:c r="JA1699" t="n">
        <x:f>IF(OR(IFERROR(INDIRECT("'WCM Calibration Final'!$A$1699")&lt;&gt;"",FALSE),IFERROR(INDIRECT("'WCM Calibration Final'!$B$1699")&lt;&gt;"",FALSE),IFERROR(INDIRECT("'WCM Calibration Final'!$C$1699")&lt;&gt;"",FALSE)),1699,0)</x:f>
        <x:v>0</x:v>
      </x:c>
      <x:c r="JB1699" t="n">
        <x:f>'Calculations'!JB1698+IF('Calculations'!JA1699&gt;0,1,0)</x:f>
        <x:v>0</x:v>
      </x:c>
    </x:row>
    <x:row r="1700">
      <x:c r="JA1700" t="n">
        <x:f>IF(OR(IFERROR(INDIRECT("'WCM Calibration Final'!$A$1700")&lt;&gt;"",FALSE),IFERROR(INDIRECT("'WCM Calibration Final'!$B$1700")&lt;&gt;"",FALSE),IFERROR(INDIRECT("'WCM Calibration Final'!$C$1700")&lt;&gt;"",FALSE)),1700,0)</x:f>
        <x:v>0</x:v>
      </x:c>
      <x:c r="JB1700" t="n">
        <x:f>'Calculations'!JB1699+IF('Calculations'!JA1700&gt;0,1,0)</x:f>
        <x:v>0</x:v>
      </x:c>
    </x:row>
    <x:row r="1701">
      <x:c r="JA1701" t="n">
        <x:f>IF(OR(IFERROR(INDIRECT("'WCM Calibration Final'!$A$1701")&lt;&gt;"",FALSE),IFERROR(INDIRECT("'WCM Calibration Final'!$B$1701")&lt;&gt;"",FALSE),IFERROR(INDIRECT("'WCM Calibration Final'!$C$1701")&lt;&gt;"",FALSE)),1701,0)</x:f>
        <x:v>0</x:v>
      </x:c>
      <x:c r="JB1701" t="n">
        <x:f>'Calculations'!JB1700+IF('Calculations'!JA1701&gt;0,1,0)</x:f>
        <x:v>0</x:v>
      </x:c>
    </x:row>
    <x:row r="1702">
      <x:c r="JA1702" t="n">
        <x:f>IF(OR(IFERROR(INDIRECT("'WCM Calibration Final'!$A$1702")&lt;&gt;"",FALSE),IFERROR(INDIRECT("'WCM Calibration Final'!$B$1702")&lt;&gt;"",FALSE),IFERROR(INDIRECT("'WCM Calibration Final'!$C$1702")&lt;&gt;"",FALSE)),1702,0)</x:f>
        <x:v>0</x:v>
      </x:c>
      <x:c r="JB1702" t="n">
        <x:f>'Calculations'!JB1701+IF('Calculations'!JA1702&gt;0,1,0)</x:f>
        <x:v>0</x:v>
      </x:c>
    </x:row>
    <x:row r="1703">
      <x:c r="JA1703" t="n">
        <x:f>IF(OR(IFERROR(INDIRECT("'WCM Calibration Final'!$A$1703")&lt;&gt;"",FALSE),IFERROR(INDIRECT("'WCM Calibration Final'!$B$1703")&lt;&gt;"",FALSE),IFERROR(INDIRECT("'WCM Calibration Final'!$C$1703")&lt;&gt;"",FALSE)),1703,0)</x:f>
        <x:v>0</x:v>
      </x:c>
      <x:c r="JB1703" t="n">
        <x:f>'Calculations'!JB1702+IF('Calculations'!JA1703&gt;0,1,0)</x:f>
        <x:v>0</x:v>
      </x:c>
    </x:row>
    <x:row r="1704">
      <x:c r="JA1704" t="n">
        <x:f>IF(OR(IFERROR(INDIRECT("'WCM Calibration Final'!$A$1704")&lt;&gt;"",FALSE),IFERROR(INDIRECT("'WCM Calibration Final'!$B$1704")&lt;&gt;"",FALSE),IFERROR(INDIRECT("'WCM Calibration Final'!$C$1704")&lt;&gt;"",FALSE)),1704,0)</x:f>
        <x:v>0</x:v>
      </x:c>
      <x:c r="JB1704" t="n">
        <x:f>'Calculations'!JB1703+IF('Calculations'!JA1704&gt;0,1,0)</x:f>
        <x:v>0</x:v>
      </x:c>
    </x:row>
    <x:row r="1705">
      <x:c r="JA1705" t="n">
        <x:f>IF(OR(IFERROR(INDIRECT("'WCM Calibration Final'!$A$1705")&lt;&gt;"",FALSE),IFERROR(INDIRECT("'WCM Calibration Final'!$B$1705")&lt;&gt;"",FALSE),IFERROR(INDIRECT("'WCM Calibration Final'!$C$1705")&lt;&gt;"",FALSE)),1705,0)</x:f>
        <x:v>0</x:v>
      </x:c>
      <x:c r="JB1705" t="n">
        <x:f>'Calculations'!JB1704+IF('Calculations'!JA1705&gt;0,1,0)</x:f>
        <x:v>0</x:v>
      </x:c>
    </x:row>
    <x:row r="1706">
      <x:c r="JA1706" t="n">
        <x:f>IF(OR(IFERROR(INDIRECT("'WCM Calibration Final'!$A$1706")&lt;&gt;"",FALSE),IFERROR(INDIRECT("'WCM Calibration Final'!$B$1706")&lt;&gt;"",FALSE),IFERROR(INDIRECT("'WCM Calibration Final'!$C$1706")&lt;&gt;"",FALSE)),1706,0)</x:f>
        <x:v>0</x:v>
      </x:c>
      <x:c r="JB1706" t="n">
        <x:f>'Calculations'!JB1705+IF('Calculations'!JA1706&gt;0,1,0)</x:f>
        <x:v>0</x:v>
      </x:c>
    </x:row>
    <x:row r="1707">
      <x:c r="JA1707" t="n">
        <x:f>IF(OR(IFERROR(INDIRECT("'WCM Calibration Final'!$A$1707")&lt;&gt;"",FALSE),IFERROR(INDIRECT("'WCM Calibration Final'!$B$1707")&lt;&gt;"",FALSE),IFERROR(INDIRECT("'WCM Calibration Final'!$C$1707")&lt;&gt;"",FALSE)),1707,0)</x:f>
        <x:v>0</x:v>
      </x:c>
      <x:c r="JB1707" t="n">
        <x:f>'Calculations'!JB1706+IF('Calculations'!JA1707&gt;0,1,0)</x:f>
        <x:v>0</x:v>
      </x:c>
    </x:row>
    <x:row r="1708">
      <x:c r="JA1708" t="n">
        <x:f>IF(OR(IFERROR(INDIRECT("'WCM Calibration Final'!$A$1708")&lt;&gt;"",FALSE),IFERROR(INDIRECT("'WCM Calibration Final'!$B$1708")&lt;&gt;"",FALSE),IFERROR(INDIRECT("'WCM Calibration Final'!$C$1708")&lt;&gt;"",FALSE)),1708,0)</x:f>
        <x:v>0</x:v>
      </x:c>
      <x:c r="JB1708" t="n">
        <x:f>'Calculations'!JB1707+IF('Calculations'!JA1708&gt;0,1,0)</x:f>
        <x:v>0</x:v>
      </x:c>
    </x:row>
    <x:row r="1709">
      <x:c r="JA1709" t="n">
        <x:f>IF(OR(IFERROR(INDIRECT("'WCM Calibration Final'!$A$1709")&lt;&gt;"",FALSE),IFERROR(INDIRECT("'WCM Calibration Final'!$B$1709")&lt;&gt;"",FALSE),IFERROR(INDIRECT("'WCM Calibration Final'!$C$1709")&lt;&gt;"",FALSE)),1709,0)</x:f>
        <x:v>0</x:v>
      </x:c>
      <x:c r="JB1709" t="n">
        <x:f>'Calculations'!JB1708+IF('Calculations'!JA1709&gt;0,1,0)</x:f>
        <x:v>0</x:v>
      </x:c>
    </x:row>
    <x:row r="1710">
      <x:c r="JA1710" t="n">
        <x:f>IF(OR(IFERROR(INDIRECT("'WCM Calibration Final'!$A$1710")&lt;&gt;"",FALSE),IFERROR(INDIRECT("'WCM Calibration Final'!$B$1710")&lt;&gt;"",FALSE),IFERROR(INDIRECT("'WCM Calibration Final'!$C$1710")&lt;&gt;"",FALSE)),1710,0)</x:f>
        <x:v>0</x:v>
      </x:c>
      <x:c r="JB1710" t="n">
        <x:f>'Calculations'!JB1709+IF('Calculations'!JA1710&gt;0,1,0)</x:f>
        <x:v>0</x:v>
      </x:c>
    </x:row>
    <x:row r="1711">
      <x:c r="JA1711" t="n">
        <x:f>IF(OR(IFERROR(INDIRECT("'WCM Calibration Final'!$A$1711")&lt;&gt;"",FALSE),IFERROR(INDIRECT("'WCM Calibration Final'!$B$1711")&lt;&gt;"",FALSE),IFERROR(INDIRECT("'WCM Calibration Final'!$C$1711")&lt;&gt;"",FALSE)),1711,0)</x:f>
        <x:v>0</x:v>
      </x:c>
      <x:c r="JB1711" t="n">
        <x:f>'Calculations'!JB1710+IF('Calculations'!JA1711&gt;0,1,0)</x:f>
        <x:v>0</x:v>
      </x:c>
    </x:row>
    <x:row r="1712">
      <x:c r="JA1712" t="n">
        <x:f>IF(OR(IFERROR(INDIRECT("'WCM Calibration Final'!$A$1712")&lt;&gt;"",FALSE),IFERROR(INDIRECT("'WCM Calibration Final'!$B$1712")&lt;&gt;"",FALSE),IFERROR(INDIRECT("'WCM Calibration Final'!$C$1712")&lt;&gt;"",FALSE)),1712,0)</x:f>
        <x:v>0</x:v>
      </x:c>
      <x:c r="JB1712" t="n">
        <x:f>'Calculations'!JB1711+IF('Calculations'!JA1712&gt;0,1,0)</x:f>
        <x:v>0</x:v>
      </x:c>
    </x:row>
    <x:row r="1713">
      <x:c r="JA1713" t="n">
        <x:f>IF(OR(IFERROR(INDIRECT("'WCM Calibration Final'!$A$1713")&lt;&gt;"",FALSE),IFERROR(INDIRECT("'WCM Calibration Final'!$B$1713")&lt;&gt;"",FALSE),IFERROR(INDIRECT("'WCM Calibration Final'!$C$1713")&lt;&gt;"",FALSE)),1713,0)</x:f>
        <x:v>0</x:v>
      </x:c>
      <x:c r="JB1713" t="n">
        <x:f>'Calculations'!JB1712+IF('Calculations'!JA1713&gt;0,1,0)</x:f>
        <x:v>0</x:v>
      </x:c>
    </x:row>
    <x:row r="1714">
      <x:c r="JA1714" t="n">
        <x:f>IF(OR(IFERROR(INDIRECT("'WCM Calibration Final'!$A$1714")&lt;&gt;"",FALSE),IFERROR(INDIRECT("'WCM Calibration Final'!$B$1714")&lt;&gt;"",FALSE),IFERROR(INDIRECT("'WCM Calibration Final'!$C$1714")&lt;&gt;"",FALSE)),1714,0)</x:f>
        <x:v>0</x:v>
      </x:c>
      <x:c r="JB1714" t="n">
        <x:f>'Calculations'!JB1713+IF('Calculations'!JA1714&gt;0,1,0)</x:f>
        <x:v>0</x:v>
      </x:c>
    </x:row>
    <x:row r="1715">
      <x:c r="JA1715" t="n">
        <x:f>IF(OR(IFERROR(INDIRECT("'WCM Calibration Final'!$A$1715")&lt;&gt;"",FALSE),IFERROR(INDIRECT("'WCM Calibration Final'!$B$1715")&lt;&gt;"",FALSE),IFERROR(INDIRECT("'WCM Calibration Final'!$C$1715")&lt;&gt;"",FALSE)),1715,0)</x:f>
        <x:v>0</x:v>
      </x:c>
      <x:c r="JB1715" t="n">
        <x:f>'Calculations'!JB1714+IF('Calculations'!JA1715&gt;0,1,0)</x:f>
        <x:v>0</x:v>
      </x:c>
    </x:row>
    <x:row r="1716">
      <x:c r="JA1716" t="n">
        <x:f>IF(OR(IFERROR(INDIRECT("'WCM Calibration Final'!$A$1716")&lt;&gt;"",FALSE),IFERROR(INDIRECT("'WCM Calibration Final'!$B$1716")&lt;&gt;"",FALSE),IFERROR(INDIRECT("'WCM Calibration Final'!$C$1716")&lt;&gt;"",FALSE)),1716,0)</x:f>
        <x:v>0</x:v>
      </x:c>
      <x:c r="JB1716" t="n">
        <x:f>'Calculations'!JB1715+IF('Calculations'!JA1716&gt;0,1,0)</x:f>
        <x:v>0</x:v>
      </x:c>
    </x:row>
    <x:row r="1717">
      <x:c r="JA1717" t="n">
        <x:f>IF(OR(IFERROR(INDIRECT("'WCM Calibration Final'!$A$1717")&lt;&gt;"",FALSE),IFERROR(INDIRECT("'WCM Calibration Final'!$B$1717")&lt;&gt;"",FALSE),IFERROR(INDIRECT("'WCM Calibration Final'!$C$1717")&lt;&gt;"",FALSE)),1717,0)</x:f>
        <x:v>0</x:v>
      </x:c>
      <x:c r="JB1717" t="n">
        <x:f>'Calculations'!JB1716+IF('Calculations'!JA1717&gt;0,1,0)</x:f>
        <x:v>0</x:v>
      </x:c>
    </x:row>
    <x:row r="1718">
      <x:c r="JA1718" t="n">
        <x:f>IF(OR(IFERROR(INDIRECT("'WCM Calibration Final'!$A$1718")&lt;&gt;"",FALSE),IFERROR(INDIRECT("'WCM Calibration Final'!$B$1718")&lt;&gt;"",FALSE),IFERROR(INDIRECT("'WCM Calibration Final'!$C$1718")&lt;&gt;"",FALSE)),1718,0)</x:f>
        <x:v>0</x:v>
      </x:c>
      <x:c r="JB1718" t="n">
        <x:f>'Calculations'!JB1717+IF('Calculations'!JA1718&gt;0,1,0)</x:f>
        <x:v>0</x:v>
      </x:c>
    </x:row>
    <x:row r="1719">
      <x:c r="JA1719" t="n">
        <x:f>IF(OR(IFERROR(INDIRECT("'WCM Calibration Final'!$A$1719")&lt;&gt;"",FALSE),IFERROR(INDIRECT("'WCM Calibration Final'!$B$1719")&lt;&gt;"",FALSE),IFERROR(INDIRECT("'WCM Calibration Final'!$C$1719")&lt;&gt;"",FALSE)),1719,0)</x:f>
        <x:v>0</x:v>
      </x:c>
      <x:c r="JB1719" t="n">
        <x:f>'Calculations'!JB1718+IF('Calculations'!JA1719&gt;0,1,0)</x:f>
        <x:v>0</x:v>
      </x:c>
    </x:row>
    <x:row r="1720">
      <x:c r="JA1720" t="n">
        <x:f>IF(OR(IFERROR(INDIRECT("'WCM Calibration Final'!$A$1720")&lt;&gt;"",FALSE),IFERROR(INDIRECT("'WCM Calibration Final'!$B$1720")&lt;&gt;"",FALSE),IFERROR(INDIRECT("'WCM Calibration Final'!$C$1720")&lt;&gt;"",FALSE)),1720,0)</x:f>
        <x:v>0</x:v>
      </x:c>
      <x:c r="JB1720" t="n">
        <x:f>'Calculations'!JB1719+IF('Calculations'!JA1720&gt;0,1,0)</x:f>
        <x:v>0</x:v>
      </x:c>
    </x:row>
    <x:row r="1721">
      <x:c r="JA1721" t="n">
        <x:f>IF(OR(IFERROR(INDIRECT("'WCM Calibration Final'!$A$1721")&lt;&gt;"",FALSE),IFERROR(INDIRECT("'WCM Calibration Final'!$B$1721")&lt;&gt;"",FALSE),IFERROR(INDIRECT("'WCM Calibration Final'!$C$1721")&lt;&gt;"",FALSE)),1721,0)</x:f>
        <x:v>0</x:v>
      </x:c>
      <x:c r="JB1721" t="n">
        <x:f>'Calculations'!JB1720+IF('Calculations'!JA1721&gt;0,1,0)</x:f>
        <x:v>0</x:v>
      </x:c>
    </x:row>
    <x:row r="1722">
      <x:c r="JA1722" t="n">
        <x:f>IF(OR(IFERROR(INDIRECT("'WCM Calibration Final'!$A$1722")&lt;&gt;"",FALSE),IFERROR(INDIRECT("'WCM Calibration Final'!$B$1722")&lt;&gt;"",FALSE),IFERROR(INDIRECT("'WCM Calibration Final'!$C$1722")&lt;&gt;"",FALSE)),1722,0)</x:f>
        <x:v>0</x:v>
      </x:c>
      <x:c r="JB1722" t="n">
        <x:f>'Calculations'!JB1721+IF('Calculations'!JA1722&gt;0,1,0)</x:f>
        <x:v>0</x:v>
      </x:c>
    </x:row>
    <x:row r="1723">
      <x:c r="JA1723" t="n">
        <x:f>IF(OR(IFERROR(INDIRECT("'WCM Calibration Final'!$A$1723")&lt;&gt;"",FALSE),IFERROR(INDIRECT("'WCM Calibration Final'!$B$1723")&lt;&gt;"",FALSE),IFERROR(INDIRECT("'WCM Calibration Final'!$C$1723")&lt;&gt;"",FALSE)),1723,0)</x:f>
        <x:v>0</x:v>
      </x:c>
      <x:c r="JB1723" t="n">
        <x:f>'Calculations'!JB1722+IF('Calculations'!JA1723&gt;0,1,0)</x:f>
        <x:v>0</x:v>
      </x:c>
    </x:row>
    <x:row r="1724">
      <x:c r="JA1724" t="n">
        <x:f>IF(OR(IFERROR(INDIRECT("'WCM Calibration Final'!$A$1724")&lt;&gt;"",FALSE),IFERROR(INDIRECT("'WCM Calibration Final'!$B$1724")&lt;&gt;"",FALSE),IFERROR(INDIRECT("'WCM Calibration Final'!$C$1724")&lt;&gt;"",FALSE)),1724,0)</x:f>
        <x:v>0</x:v>
      </x:c>
      <x:c r="JB1724" t="n">
        <x:f>'Calculations'!JB1723+IF('Calculations'!JA1724&gt;0,1,0)</x:f>
        <x:v>0</x:v>
      </x:c>
    </x:row>
    <x:row r="1725">
      <x:c r="JA1725" t="n">
        <x:f>IF(OR(IFERROR(INDIRECT("'WCM Calibration Final'!$A$1725")&lt;&gt;"",FALSE),IFERROR(INDIRECT("'WCM Calibration Final'!$B$1725")&lt;&gt;"",FALSE),IFERROR(INDIRECT("'WCM Calibration Final'!$C$1725")&lt;&gt;"",FALSE)),1725,0)</x:f>
        <x:v>0</x:v>
      </x:c>
      <x:c r="JB1725" t="n">
        <x:f>'Calculations'!JB1724+IF('Calculations'!JA1725&gt;0,1,0)</x:f>
        <x:v>0</x:v>
      </x:c>
    </x:row>
    <x:row r="1726">
      <x:c r="JA1726" t="n">
        <x:f>IF(OR(IFERROR(INDIRECT("'WCM Calibration Final'!$A$1726")&lt;&gt;"",FALSE),IFERROR(INDIRECT("'WCM Calibration Final'!$B$1726")&lt;&gt;"",FALSE),IFERROR(INDIRECT("'WCM Calibration Final'!$C$1726")&lt;&gt;"",FALSE)),1726,0)</x:f>
        <x:v>0</x:v>
      </x:c>
      <x:c r="JB1726" t="n">
        <x:f>'Calculations'!JB1725+IF('Calculations'!JA1726&gt;0,1,0)</x:f>
        <x:v>0</x:v>
      </x:c>
    </x:row>
    <x:row r="1727">
      <x:c r="JA1727" t="n">
        <x:f>IF(OR(IFERROR(INDIRECT("'WCM Calibration Final'!$A$1727")&lt;&gt;"",FALSE),IFERROR(INDIRECT("'WCM Calibration Final'!$B$1727")&lt;&gt;"",FALSE),IFERROR(INDIRECT("'WCM Calibration Final'!$C$1727")&lt;&gt;"",FALSE)),1727,0)</x:f>
        <x:v>0</x:v>
      </x:c>
      <x:c r="JB1727" t="n">
        <x:f>'Calculations'!JB1726+IF('Calculations'!JA1727&gt;0,1,0)</x:f>
        <x:v>0</x:v>
      </x:c>
    </x:row>
    <x:row r="1728">
      <x:c r="JA1728" t="n">
        <x:f>IF(OR(IFERROR(INDIRECT("'WCM Calibration Final'!$A$1728")&lt;&gt;"",FALSE),IFERROR(INDIRECT("'WCM Calibration Final'!$B$1728")&lt;&gt;"",FALSE),IFERROR(INDIRECT("'WCM Calibration Final'!$C$1728")&lt;&gt;"",FALSE)),1728,0)</x:f>
        <x:v>0</x:v>
      </x:c>
      <x:c r="JB1728" t="n">
        <x:f>'Calculations'!JB1727+IF('Calculations'!JA1728&gt;0,1,0)</x:f>
        <x:v>0</x:v>
      </x:c>
    </x:row>
    <x:row r="1729">
      <x:c r="JA1729" t="n">
        <x:f>IF(OR(IFERROR(INDIRECT("'WCM Calibration Final'!$A$1729")&lt;&gt;"",FALSE),IFERROR(INDIRECT("'WCM Calibration Final'!$B$1729")&lt;&gt;"",FALSE),IFERROR(INDIRECT("'WCM Calibration Final'!$C$1729")&lt;&gt;"",FALSE)),1729,0)</x:f>
        <x:v>0</x:v>
      </x:c>
      <x:c r="JB1729" t="n">
        <x:f>'Calculations'!JB1728+IF('Calculations'!JA1729&gt;0,1,0)</x:f>
        <x:v>0</x:v>
      </x:c>
    </x:row>
    <x:row r="1730">
      <x:c r="JA1730" t="n">
        <x:f>IF(OR(IFERROR(INDIRECT("'WCM Calibration Final'!$A$1730")&lt;&gt;"",FALSE),IFERROR(INDIRECT("'WCM Calibration Final'!$B$1730")&lt;&gt;"",FALSE),IFERROR(INDIRECT("'WCM Calibration Final'!$C$1730")&lt;&gt;"",FALSE)),1730,0)</x:f>
        <x:v>0</x:v>
      </x:c>
      <x:c r="JB1730" t="n">
        <x:f>'Calculations'!JB1729+IF('Calculations'!JA1730&gt;0,1,0)</x:f>
        <x:v>0</x:v>
      </x:c>
    </x:row>
    <x:row r="1731">
      <x:c r="JA1731" t="n">
        <x:f>IF(OR(IFERROR(INDIRECT("'WCM Calibration Final'!$A$1731")&lt;&gt;"",FALSE),IFERROR(INDIRECT("'WCM Calibration Final'!$B$1731")&lt;&gt;"",FALSE),IFERROR(INDIRECT("'WCM Calibration Final'!$C$1731")&lt;&gt;"",FALSE)),1731,0)</x:f>
        <x:v>0</x:v>
      </x:c>
      <x:c r="JB1731" t="n">
        <x:f>'Calculations'!JB1730+IF('Calculations'!JA1731&gt;0,1,0)</x:f>
        <x:v>0</x:v>
      </x:c>
    </x:row>
    <x:row r="1732">
      <x:c r="JA1732" t="n">
        <x:f>IF(OR(IFERROR(INDIRECT("'WCM Calibration Final'!$A$1732")&lt;&gt;"",FALSE),IFERROR(INDIRECT("'WCM Calibration Final'!$B$1732")&lt;&gt;"",FALSE),IFERROR(INDIRECT("'WCM Calibration Final'!$C$1732")&lt;&gt;"",FALSE)),1732,0)</x:f>
        <x:v>0</x:v>
      </x:c>
      <x:c r="JB1732" t="n">
        <x:f>'Calculations'!JB1731+IF('Calculations'!JA1732&gt;0,1,0)</x:f>
        <x:v>0</x:v>
      </x:c>
    </x:row>
    <x:row r="1733">
      <x:c r="JA1733" t="n">
        <x:f>IF(OR(IFERROR(INDIRECT("'WCM Calibration Final'!$A$1733")&lt;&gt;"",FALSE),IFERROR(INDIRECT("'WCM Calibration Final'!$B$1733")&lt;&gt;"",FALSE),IFERROR(INDIRECT("'WCM Calibration Final'!$C$1733")&lt;&gt;"",FALSE)),1733,0)</x:f>
        <x:v>0</x:v>
      </x:c>
      <x:c r="JB1733" t="n">
        <x:f>'Calculations'!JB1732+IF('Calculations'!JA1733&gt;0,1,0)</x:f>
        <x:v>0</x:v>
      </x:c>
    </x:row>
    <x:row r="1734">
      <x:c r="JA1734" t="n">
        <x:f>IF(OR(IFERROR(INDIRECT("'WCM Calibration Final'!$A$1734")&lt;&gt;"",FALSE),IFERROR(INDIRECT("'WCM Calibration Final'!$B$1734")&lt;&gt;"",FALSE),IFERROR(INDIRECT("'WCM Calibration Final'!$C$1734")&lt;&gt;"",FALSE)),1734,0)</x:f>
        <x:v>0</x:v>
      </x:c>
      <x:c r="JB1734" t="n">
        <x:f>'Calculations'!JB1733+IF('Calculations'!JA1734&gt;0,1,0)</x:f>
        <x:v>0</x:v>
      </x:c>
    </x:row>
    <x:row r="1735">
      <x:c r="JA1735" t="n">
        <x:f>IF(OR(IFERROR(INDIRECT("'WCM Calibration Final'!$A$1735")&lt;&gt;"",FALSE),IFERROR(INDIRECT("'WCM Calibration Final'!$B$1735")&lt;&gt;"",FALSE),IFERROR(INDIRECT("'WCM Calibration Final'!$C$1735")&lt;&gt;"",FALSE)),1735,0)</x:f>
        <x:v>0</x:v>
      </x:c>
      <x:c r="JB1735" t="n">
        <x:f>'Calculations'!JB1734+IF('Calculations'!JA1735&gt;0,1,0)</x:f>
        <x:v>0</x:v>
      </x:c>
    </x:row>
    <x:row r="1736">
      <x:c r="JA1736" t="n">
        <x:f>IF(OR(IFERROR(INDIRECT("'WCM Calibration Final'!$A$1736")&lt;&gt;"",FALSE),IFERROR(INDIRECT("'WCM Calibration Final'!$B$1736")&lt;&gt;"",FALSE),IFERROR(INDIRECT("'WCM Calibration Final'!$C$1736")&lt;&gt;"",FALSE)),1736,0)</x:f>
        <x:v>0</x:v>
      </x:c>
      <x:c r="JB1736" t="n">
        <x:f>'Calculations'!JB1735+IF('Calculations'!JA1736&gt;0,1,0)</x:f>
        <x:v>0</x:v>
      </x:c>
    </x:row>
    <x:row r="1737">
      <x:c r="JA1737" t="n">
        <x:f>IF(OR(IFERROR(INDIRECT("'WCM Calibration Final'!$A$1737")&lt;&gt;"",FALSE),IFERROR(INDIRECT("'WCM Calibration Final'!$B$1737")&lt;&gt;"",FALSE),IFERROR(INDIRECT("'WCM Calibration Final'!$C$1737")&lt;&gt;"",FALSE)),1737,0)</x:f>
        <x:v>0</x:v>
      </x:c>
      <x:c r="JB1737" t="n">
        <x:f>'Calculations'!JB1736+IF('Calculations'!JA1737&gt;0,1,0)</x:f>
        <x:v>0</x:v>
      </x:c>
    </x:row>
    <x:row r="1738">
      <x:c r="JA1738" t="n">
        <x:f>IF(OR(IFERROR(INDIRECT("'WCM Calibration Final'!$A$1738")&lt;&gt;"",FALSE),IFERROR(INDIRECT("'WCM Calibration Final'!$B$1738")&lt;&gt;"",FALSE),IFERROR(INDIRECT("'WCM Calibration Final'!$C$1738")&lt;&gt;"",FALSE)),1738,0)</x:f>
        <x:v>0</x:v>
      </x:c>
      <x:c r="JB1738" t="n">
        <x:f>'Calculations'!JB1737+IF('Calculations'!JA1738&gt;0,1,0)</x:f>
        <x:v>0</x:v>
      </x:c>
    </x:row>
    <x:row r="1739">
      <x:c r="JA1739" t="n">
        <x:f>IF(OR(IFERROR(INDIRECT("'WCM Calibration Final'!$A$1739")&lt;&gt;"",FALSE),IFERROR(INDIRECT("'WCM Calibration Final'!$B$1739")&lt;&gt;"",FALSE),IFERROR(INDIRECT("'WCM Calibration Final'!$C$1739")&lt;&gt;"",FALSE)),1739,0)</x:f>
        <x:v>0</x:v>
      </x:c>
      <x:c r="JB1739" t="n">
        <x:f>'Calculations'!JB1738+IF('Calculations'!JA1739&gt;0,1,0)</x:f>
        <x:v>0</x:v>
      </x:c>
    </x:row>
    <x:row r="1740">
      <x:c r="JA1740" t="n">
        <x:f>IF(OR(IFERROR(INDIRECT("'WCM Calibration Final'!$A$1740")&lt;&gt;"",FALSE),IFERROR(INDIRECT("'WCM Calibration Final'!$B$1740")&lt;&gt;"",FALSE),IFERROR(INDIRECT("'WCM Calibration Final'!$C$1740")&lt;&gt;"",FALSE)),1740,0)</x:f>
        <x:v>0</x:v>
      </x:c>
      <x:c r="JB1740" t="n">
        <x:f>'Calculations'!JB1739+IF('Calculations'!JA1740&gt;0,1,0)</x:f>
        <x:v>0</x:v>
      </x:c>
    </x:row>
    <x:row r="1741">
      <x:c r="JA1741" t="n">
        <x:f>IF(OR(IFERROR(INDIRECT("'WCM Calibration Final'!$A$1741")&lt;&gt;"",FALSE),IFERROR(INDIRECT("'WCM Calibration Final'!$B$1741")&lt;&gt;"",FALSE),IFERROR(INDIRECT("'WCM Calibration Final'!$C$1741")&lt;&gt;"",FALSE)),1741,0)</x:f>
        <x:v>0</x:v>
      </x:c>
      <x:c r="JB1741" t="n">
        <x:f>'Calculations'!JB1740+IF('Calculations'!JA1741&gt;0,1,0)</x:f>
        <x:v>0</x:v>
      </x:c>
    </x:row>
    <x:row r="1742">
      <x:c r="JA1742" t="n">
        <x:f>IF(OR(IFERROR(INDIRECT("'WCM Calibration Final'!$A$1742")&lt;&gt;"",FALSE),IFERROR(INDIRECT("'WCM Calibration Final'!$B$1742")&lt;&gt;"",FALSE),IFERROR(INDIRECT("'WCM Calibration Final'!$C$1742")&lt;&gt;"",FALSE)),1742,0)</x:f>
        <x:v>0</x:v>
      </x:c>
      <x:c r="JB1742" t="n">
        <x:f>'Calculations'!JB1741+IF('Calculations'!JA1742&gt;0,1,0)</x:f>
        <x:v>0</x:v>
      </x:c>
    </x:row>
    <x:row r="1743">
      <x:c r="JA1743" t="n">
        <x:f>IF(OR(IFERROR(INDIRECT("'WCM Calibration Final'!$A$1743")&lt;&gt;"",FALSE),IFERROR(INDIRECT("'WCM Calibration Final'!$B$1743")&lt;&gt;"",FALSE),IFERROR(INDIRECT("'WCM Calibration Final'!$C$1743")&lt;&gt;"",FALSE)),1743,0)</x:f>
        <x:v>0</x:v>
      </x:c>
      <x:c r="JB1743" t="n">
        <x:f>'Calculations'!JB1742+IF('Calculations'!JA1743&gt;0,1,0)</x:f>
        <x:v>0</x:v>
      </x:c>
    </x:row>
    <x:row r="1744">
      <x:c r="JA1744" t="n">
        <x:f>IF(OR(IFERROR(INDIRECT("'WCM Calibration Final'!$A$1744")&lt;&gt;"",FALSE),IFERROR(INDIRECT("'WCM Calibration Final'!$B$1744")&lt;&gt;"",FALSE),IFERROR(INDIRECT("'WCM Calibration Final'!$C$1744")&lt;&gt;"",FALSE)),1744,0)</x:f>
        <x:v>0</x:v>
      </x:c>
      <x:c r="JB1744" t="n">
        <x:f>'Calculations'!JB1743+IF('Calculations'!JA1744&gt;0,1,0)</x:f>
        <x:v>0</x:v>
      </x:c>
    </x:row>
    <x:row r="1745">
      <x:c r="JA1745" t="n">
        <x:f>IF(OR(IFERROR(INDIRECT("'WCM Calibration Final'!$A$1745")&lt;&gt;"",FALSE),IFERROR(INDIRECT("'WCM Calibration Final'!$B$1745")&lt;&gt;"",FALSE),IFERROR(INDIRECT("'WCM Calibration Final'!$C$1745")&lt;&gt;"",FALSE)),1745,0)</x:f>
        <x:v>0</x:v>
      </x:c>
      <x:c r="JB1745" t="n">
        <x:f>'Calculations'!JB1744+IF('Calculations'!JA1745&gt;0,1,0)</x:f>
        <x:v>0</x:v>
      </x:c>
    </x:row>
    <x:row r="1746">
      <x:c r="JA1746" t="n">
        <x:f>IF(OR(IFERROR(INDIRECT("'WCM Calibration Final'!$A$1746")&lt;&gt;"",FALSE),IFERROR(INDIRECT("'WCM Calibration Final'!$B$1746")&lt;&gt;"",FALSE),IFERROR(INDIRECT("'WCM Calibration Final'!$C$1746")&lt;&gt;"",FALSE)),1746,0)</x:f>
        <x:v>0</x:v>
      </x:c>
      <x:c r="JB1746" t="n">
        <x:f>'Calculations'!JB1745+IF('Calculations'!JA1746&gt;0,1,0)</x:f>
        <x:v>0</x:v>
      </x:c>
    </x:row>
    <x:row r="1747">
      <x:c r="JA1747" t="n">
        <x:f>IF(OR(IFERROR(INDIRECT("'WCM Calibration Final'!$A$1747")&lt;&gt;"",FALSE),IFERROR(INDIRECT("'WCM Calibration Final'!$B$1747")&lt;&gt;"",FALSE),IFERROR(INDIRECT("'WCM Calibration Final'!$C$1747")&lt;&gt;"",FALSE)),1747,0)</x:f>
        <x:v>0</x:v>
      </x:c>
      <x:c r="JB1747" t="n">
        <x:f>'Calculations'!JB1746+IF('Calculations'!JA1747&gt;0,1,0)</x:f>
        <x:v>0</x:v>
      </x:c>
    </x:row>
    <x:row r="1748">
      <x:c r="JA1748" t="n">
        <x:f>IF(OR(IFERROR(INDIRECT("'WCM Calibration Final'!$A$1748")&lt;&gt;"",FALSE),IFERROR(INDIRECT("'WCM Calibration Final'!$B$1748")&lt;&gt;"",FALSE),IFERROR(INDIRECT("'WCM Calibration Final'!$C$1748")&lt;&gt;"",FALSE)),1748,0)</x:f>
        <x:v>0</x:v>
      </x:c>
      <x:c r="JB1748" t="n">
        <x:f>'Calculations'!JB1747+IF('Calculations'!JA1748&gt;0,1,0)</x:f>
        <x:v>0</x:v>
      </x:c>
    </x:row>
    <x:row r="1749">
      <x:c r="JA1749" t="n">
        <x:f>IF(OR(IFERROR(INDIRECT("'WCM Calibration Final'!$A$1749")&lt;&gt;"",FALSE),IFERROR(INDIRECT("'WCM Calibration Final'!$B$1749")&lt;&gt;"",FALSE),IFERROR(INDIRECT("'WCM Calibration Final'!$C$1749")&lt;&gt;"",FALSE)),1749,0)</x:f>
        <x:v>0</x:v>
      </x:c>
      <x:c r="JB1749" t="n">
        <x:f>'Calculations'!JB1748+IF('Calculations'!JA1749&gt;0,1,0)</x:f>
        <x:v>0</x:v>
      </x:c>
    </x:row>
    <x:row r="1750">
      <x:c r="JA1750" t="n">
        <x:f>IF(OR(IFERROR(INDIRECT("'WCM Calibration Final'!$A$1750")&lt;&gt;"",FALSE),IFERROR(INDIRECT("'WCM Calibration Final'!$B$1750")&lt;&gt;"",FALSE),IFERROR(INDIRECT("'WCM Calibration Final'!$C$1750")&lt;&gt;"",FALSE)),1750,0)</x:f>
        <x:v>0</x:v>
      </x:c>
      <x:c r="JB1750" t="n">
        <x:f>'Calculations'!JB1749+IF('Calculations'!JA1750&gt;0,1,0)</x:f>
        <x:v>0</x:v>
      </x:c>
    </x:row>
    <x:row r="1751">
      <x:c r="JA1751" t="n">
        <x:f>IF(OR(IFERROR(INDIRECT("'WCM Calibration Final'!$A$1751")&lt;&gt;"",FALSE),IFERROR(INDIRECT("'WCM Calibration Final'!$B$1751")&lt;&gt;"",FALSE),IFERROR(INDIRECT("'WCM Calibration Final'!$C$1751")&lt;&gt;"",FALSE)),1751,0)</x:f>
        <x:v>0</x:v>
      </x:c>
      <x:c r="JB1751" t="n">
        <x:f>'Calculations'!JB1750+IF('Calculations'!JA1751&gt;0,1,0)</x:f>
        <x:v>0</x:v>
      </x:c>
    </x:row>
    <x:row r="1752">
      <x:c r="JA1752" t="n">
        <x:f>IF(OR(IFERROR(INDIRECT("'WCM Calibration Final'!$A$1752")&lt;&gt;"",FALSE),IFERROR(INDIRECT("'WCM Calibration Final'!$B$1752")&lt;&gt;"",FALSE),IFERROR(INDIRECT("'WCM Calibration Final'!$C$1752")&lt;&gt;"",FALSE)),1752,0)</x:f>
        <x:v>0</x:v>
      </x:c>
      <x:c r="JB1752" t="n">
        <x:f>'Calculations'!JB1751+IF('Calculations'!JA1752&gt;0,1,0)</x:f>
        <x:v>0</x:v>
      </x:c>
    </x:row>
    <x:row r="1753">
      <x:c r="JA1753" t="n">
        <x:f>IF(OR(IFERROR(INDIRECT("'WCM Calibration Final'!$A$1753")&lt;&gt;"",FALSE),IFERROR(INDIRECT("'WCM Calibration Final'!$B$1753")&lt;&gt;"",FALSE),IFERROR(INDIRECT("'WCM Calibration Final'!$C$1753")&lt;&gt;"",FALSE)),1753,0)</x:f>
        <x:v>0</x:v>
      </x:c>
      <x:c r="JB1753" t="n">
        <x:f>'Calculations'!JB1752+IF('Calculations'!JA1753&gt;0,1,0)</x:f>
        <x:v>0</x:v>
      </x:c>
    </x:row>
    <x:row r="1754">
      <x:c r="JA1754" t="n">
        <x:f>IF(OR(IFERROR(INDIRECT("'WCM Calibration Final'!$A$1754")&lt;&gt;"",FALSE),IFERROR(INDIRECT("'WCM Calibration Final'!$B$1754")&lt;&gt;"",FALSE),IFERROR(INDIRECT("'WCM Calibration Final'!$C$1754")&lt;&gt;"",FALSE)),1754,0)</x:f>
        <x:v>0</x:v>
      </x:c>
      <x:c r="JB1754" t="n">
        <x:f>'Calculations'!JB1753+IF('Calculations'!JA1754&gt;0,1,0)</x:f>
        <x:v>0</x:v>
      </x:c>
    </x:row>
    <x:row r="1755">
      <x:c r="JA1755" t="n">
        <x:f>IF(OR(IFERROR(INDIRECT("'WCM Calibration Final'!$A$1755")&lt;&gt;"",FALSE),IFERROR(INDIRECT("'WCM Calibration Final'!$B$1755")&lt;&gt;"",FALSE),IFERROR(INDIRECT("'WCM Calibration Final'!$C$1755")&lt;&gt;"",FALSE)),1755,0)</x:f>
        <x:v>0</x:v>
      </x:c>
      <x:c r="JB1755" t="n">
        <x:f>'Calculations'!JB1754+IF('Calculations'!JA1755&gt;0,1,0)</x:f>
        <x:v>0</x:v>
      </x:c>
    </x:row>
    <x:row r="1756">
      <x:c r="JA1756" t="n">
        <x:f>IF(OR(IFERROR(INDIRECT("'WCM Calibration Final'!$A$1756")&lt;&gt;"",FALSE),IFERROR(INDIRECT("'WCM Calibration Final'!$B$1756")&lt;&gt;"",FALSE),IFERROR(INDIRECT("'WCM Calibration Final'!$C$1756")&lt;&gt;"",FALSE)),1756,0)</x:f>
        <x:v>0</x:v>
      </x:c>
      <x:c r="JB1756" t="n">
        <x:f>'Calculations'!JB1755+IF('Calculations'!JA1756&gt;0,1,0)</x:f>
        <x:v>0</x:v>
      </x:c>
    </x:row>
    <x:row r="1757">
      <x:c r="JA1757" t="n">
        <x:f>IF(OR(IFERROR(INDIRECT("'WCM Calibration Final'!$A$1757")&lt;&gt;"",FALSE),IFERROR(INDIRECT("'WCM Calibration Final'!$B$1757")&lt;&gt;"",FALSE),IFERROR(INDIRECT("'WCM Calibration Final'!$C$1757")&lt;&gt;"",FALSE)),1757,0)</x:f>
        <x:v>0</x:v>
      </x:c>
      <x:c r="JB1757" t="n">
        <x:f>'Calculations'!JB1756+IF('Calculations'!JA1757&gt;0,1,0)</x:f>
        <x:v>0</x:v>
      </x:c>
    </x:row>
    <x:row r="1758">
      <x:c r="JA1758" t="n">
        <x:f>IF(OR(IFERROR(INDIRECT("'WCM Calibration Final'!$A$1758")&lt;&gt;"",FALSE),IFERROR(INDIRECT("'WCM Calibration Final'!$B$1758")&lt;&gt;"",FALSE),IFERROR(INDIRECT("'WCM Calibration Final'!$C$1758")&lt;&gt;"",FALSE)),1758,0)</x:f>
        <x:v>0</x:v>
      </x:c>
      <x:c r="JB1758" t="n">
        <x:f>'Calculations'!JB1757+IF('Calculations'!JA1758&gt;0,1,0)</x:f>
        <x:v>0</x:v>
      </x:c>
    </x:row>
    <x:row r="1759">
      <x:c r="JA1759" t="n">
        <x:f>IF(OR(IFERROR(INDIRECT("'WCM Calibration Final'!$A$1759")&lt;&gt;"",FALSE),IFERROR(INDIRECT("'WCM Calibration Final'!$B$1759")&lt;&gt;"",FALSE),IFERROR(INDIRECT("'WCM Calibration Final'!$C$1759")&lt;&gt;"",FALSE)),1759,0)</x:f>
        <x:v>0</x:v>
      </x:c>
      <x:c r="JB1759" t="n">
        <x:f>'Calculations'!JB1758+IF('Calculations'!JA1759&gt;0,1,0)</x:f>
        <x:v>0</x:v>
      </x:c>
    </x:row>
    <x:row r="1760">
      <x:c r="JA1760" t="n">
        <x:f>IF(OR(IFERROR(INDIRECT("'WCM Calibration Final'!$A$1760")&lt;&gt;"",FALSE),IFERROR(INDIRECT("'WCM Calibration Final'!$B$1760")&lt;&gt;"",FALSE),IFERROR(INDIRECT("'WCM Calibration Final'!$C$1760")&lt;&gt;"",FALSE)),1760,0)</x:f>
        <x:v>0</x:v>
      </x:c>
      <x:c r="JB1760" t="n">
        <x:f>'Calculations'!JB1759+IF('Calculations'!JA1760&gt;0,1,0)</x:f>
        <x:v>0</x:v>
      </x:c>
    </x:row>
    <x:row r="1761">
      <x:c r="JA1761" t="n">
        <x:f>IF(OR(IFERROR(INDIRECT("'WCM Calibration Final'!$A$1761")&lt;&gt;"",FALSE),IFERROR(INDIRECT("'WCM Calibration Final'!$B$1761")&lt;&gt;"",FALSE),IFERROR(INDIRECT("'WCM Calibration Final'!$C$1761")&lt;&gt;"",FALSE)),1761,0)</x:f>
        <x:v>0</x:v>
      </x:c>
      <x:c r="JB1761" t="n">
        <x:f>'Calculations'!JB1760+IF('Calculations'!JA1761&gt;0,1,0)</x:f>
        <x:v>0</x:v>
      </x:c>
    </x:row>
    <x:row r="1762">
      <x:c r="JA1762" t="n">
        <x:f>IF(OR(IFERROR(INDIRECT("'WCM Calibration Final'!$A$1762")&lt;&gt;"",FALSE),IFERROR(INDIRECT("'WCM Calibration Final'!$B$1762")&lt;&gt;"",FALSE),IFERROR(INDIRECT("'WCM Calibration Final'!$C$1762")&lt;&gt;"",FALSE)),1762,0)</x:f>
        <x:v>0</x:v>
      </x:c>
      <x:c r="JB1762" t="n">
        <x:f>'Calculations'!JB1761+IF('Calculations'!JA1762&gt;0,1,0)</x:f>
        <x:v>0</x:v>
      </x:c>
    </x:row>
    <x:row r="1763">
      <x:c r="JA1763" t="n">
        <x:f>IF(OR(IFERROR(INDIRECT("'WCM Calibration Final'!$A$1763")&lt;&gt;"",FALSE),IFERROR(INDIRECT("'WCM Calibration Final'!$B$1763")&lt;&gt;"",FALSE),IFERROR(INDIRECT("'WCM Calibration Final'!$C$1763")&lt;&gt;"",FALSE)),1763,0)</x:f>
        <x:v>0</x:v>
      </x:c>
      <x:c r="JB1763" t="n">
        <x:f>'Calculations'!JB1762+IF('Calculations'!JA1763&gt;0,1,0)</x:f>
        <x:v>0</x:v>
      </x:c>
    </x:row>
    <x:row r="1764">
      <x:c r="JA1764" t="n">
        <x:f>IF(OR(IFERROR(INDIRECT("'WCM Calibration Final'!$A$1764")&lt;&gt;"",FALSE),IFERROR(INDIRECT("'WCM Calibration Final'!$B$1764")&lt;&gt;"",FALSE),IFERROR(INDIRECT("'WCM Calibration Final'!$C$1764")&lt;&gt;"",FALSE)),1764,0)</x:f>
        <x:v>0</x:v>
      </x:c>
      <x:c r="JB1764" t="n">
        <x:f>'Calculations'!JB1763+IF('Calculations'!JA1764&gt;0,1,0)</x:f>
        <x:v>0</x:v>
      </x:c>
    </x:row>
    <x:row r="1765">
      <x:c r="JA1765" t="n">
        <x:f>IF(OR(IFERROR(INDIRECT("'WCM Calibration Final'!$A$1765")&lt;&gt;"",FALSE),IFERROR(INDIRECT("'WCM Calibration Final'!$B$1765")&lt;&gt;"",FALSE),IFERROR(INDIRECT("'WCM Calibration Final'!$C$1765")&lt;&gt;"",FALSE)),1765,0)</x:f>
        <x:v>0</x:v>
      </x:c>
      <x:c r="JB1765" t="n">
        <x:f>'Calculations'!JB1764+IF('Calculations'!JA1765&gt;0,1,0)</x:f>
        <x:v>0</x:v>
      </x:c>
    </x:row>
    <x:row r="1766">
      <x:c r="JA1766" t="n">
        <x:f>IF(OR(IFERROR(INDIRECT("'WCM Calibration Final'!$A$1766")&lt;&gt;"",FALSE),IFERROR(INDIRECT("'WCM Calibration Final'!$B$1766")&lt;&gt;"",FALSE),IFERROR(INDIRECT("'WCM Calibration Final'!$C$1766")&lt;&gt;"",FALSE)),1766,0)</x:f>
        <x:v>0</x:v>
      </x:c>
      <x:c r="JB1766" t="n">
        <x:f>'Calculations'!JB1765+IF('Calculations'!JA1766&gt;0,1,0)</x:f>
        <x:v>0</x:v>
      </x:c>
    </x:row>
    <x:row r="1767">
      <x:c r="JA1767" t="n">
        <x:f>IF(OR(IFERROR(INDIRECT("'WCM Calibration Final'!$A$1767")&lt;&gt;"",FALSE),IFERROR(INDIRECT("'WCM Calibration Final'!$B$1767")&lt;&gt;"",FALSE),IFERROR(INDIRECT("'WCM Calibration Final'!$C$1767")&lt;&gt;"",FALSE)),1767,0)</x:f>
        <x:v>0</x:v>
      </x:c>
      <x:c r="JB1767" t="n">
        <x:f>'Calculations'!JB1766+IF('Calculations'!JA1767&gt;0,1,0)</x:f>
        <x:v>0</x:v>
      </x:c>
    </x:row>
    <x:row r="1768">
      <x:c r="JA1768" t="n">
        <x:f>IF(OR(IFERROR(INDIRECT("'WCM Calibration Final'!$A$1768")&lt;&gt;"",FALSE),IFERROR(INDIRECT("'WCM Calibration Final'!$B$1768")&lt;&gt;"",FALSE),IFERROR(INDIRECT("'WCM Calibration Final'!$C$1768")&lt;&gt;"",FALSE)),1768,0)</x:f>
        <x:v>0</x:v>
      </x:c>
      <x:c r="JB1768" t="n">
        <x:f>'Calculations'!JB1767+IF('Calculations'!JA1768&gt;0,1,0)</x:f>
        <x:v>0</x:v>
      </x:c>
    </x:row>
    <x:row r="1769">
      <x:c r="JA1769" t="n">
        <x:f>IF(OR(IFERROR(INDIRECT("'WCM Calibration Final'!$A$1769")&lt;&gt;"",FALSE),IFERROR(INDIRECT("'WCM Calibration Final'!$B$1769")&lt;&gt;"",FALSE),IFERROR(INDIRECT("'WCM Calibration Final'!$C$1769")&lt;&gt;"",FALSE)),1769,0)</x:f>
        <x:v>0</x:v>
      </x:c>
      <x:c r="JB1769" t="n">
        <x:f>'Calculations'!JB1768+IF('Calculations'!JA1769&gt;0,1,0)</x:f>
        <x:v>0</x:v>
      </x:c>
    </x:row>
    <x:row r="1770">
      <x:c r="JA1770" t="n">
        <x:f>IF(OR(IFERROR(INDIRECT("'WCM Calibration Final'!$A$1770")&lt;&gt;"",FALSE),IFERROR(INDIRECT("'WCM Calibration Final'!$B$1770")&lt;&gt;"",FALSE),IFERROR(INDIRECT("'WCM Calibration Final'!$C$1770")&lt;&gt;"",FALSE)),1770,0)</x:f>
        <x:v>0</x:v>
      </x:c>
      <x:c r="JB1770" t="n">
        <x:f>'Calculations'!JB1769+IF('Calculations'!JA1770&gt;0,1,0)</x:f>
        <x:v>0</x:v>
      </x:c>
    </x:row>
    <x:row r="1771">
      <x:c r="JA1771" t="n">
        <x:f>IF(OR(IFERROR(INDIRECT("'WCM Calibration Final'!$A$1771")&lt;&gt;"",FALSE),IFERROR(INDIRECT("'WCM Calibration Final'!$B$1771")&lt;&gt;"",FALSE),IFERROR(INDIRECT("'WCM Calibration Final'!$C$1771")&lt;&gt;"",FALSE)),1771,0)</x:f>
        <x:v>0</x:v>
      </x:c>
      <x:c r="JB1771" t="n">
        <x:f>'Calculations'!JB1770+IF('Calculations'!JA1771&gt;0,1,0)</x:f>
        <x:v>0</x:v>
      </x:c>
    </x:row>
    <x:row r="1772">
      <x:c r="JA1772" t="n">
        <x:f>IF(OR(IFERROR(INDIRECT("'WCM Calibration Final'!$A$1772")&lt;&gt;"",FALSE),IFERROR(INDIRECT("'WCM Calibration Final'!$B$1772")&lt;&gt;"",FALSE),IFERROR(INDIRECT("'WCM Calibration Final'!$C$1772")&lt;&gt;"",FALSE)),1772,0)</x:f>
        <x:v>0</x:v>
      </x:c>
      <x:c r="JB1772" t="n">
        <x:f>'Calculations'!JB1771+IF('Calculations'!JA1772&gt;0,1,0)</x:f>
        <x:v>0</x:v>
      </x:c>
    </x:row>
    <x:row r="1773">
      <x:c r="JA1773" t="n">
        <x:f>IF(OR(IFERROR(INDIRECT("'WCM Calibration Final'!$A$1773")&lt;&gt;"",FALSE),IFERROR(INDIRECT("'WCM Calibration Final'!$B$1773")&lt;&gt;"",FALSE),IFERROR(INDIRECT("'WCM Calibration Final'!$C$1773")&lt;&gt;"",FALSE)),1773,0)</x:f>
        <x:v>0</x:v>
      </x:c>
      <x:c r="JB1773" t="n">
        <x:f>'Calculations'!JB1772+IF('Calculations'!JA1773&gt;0,1,0)</x:f>
        <x:v>0</x:v>
      </x:c>
    </x:row>
    <x:row r="1774">
      <x:c r="JA1774" t="n">
        <x:f>IF(OR(IFERROR(INDIRECT("'WCM Calibration Final'!$A$1774")&lt;&gt;"",FALSE),IFERROR(INDIRECT("'WCM Calibration Final'!$B$1774")&lt;&gt;"",FALSE),IFERROR(INDIRECT("'WCM Calibration Final'!$C$1774")&lt;&gt;"",FALSE)),1774,0)</x:f>
        <x:v>0</x:v>
      </x:c>
      <x:c r="JB1774" t="n">
        <x:f>'Calculations'!JB1773+IF('Calculations'!JA1774&gt;0,1,0)</x:f>
        <x:v>0</x:v>
      </x:c>
    </x:row>
    <x:row r="1775">
      <x:c r="JA1775" t="n">
        <x:f>IF(OR(IFERROR(INDIRECT("'WCM Calibration Final'!$A$1775")&lt;&gt;"",FALSE),IFERROR(INDIRECT("'WCM Calibration Final'!$B$1775")&lt;&gt;"",FALSE),IFERROR(INDIRECT("'WCM Calibration Final'!$C$1775")&lt;&gt;"",FALSE)),1775,0)</x:f>
        <x:v>0</x:v>
      </x:c>
      <x:c r="JB1775" t="n">
        <x:f>'Calculations'!JB1774+IF('Calculations'!JA1775&gt;0,1,0)</x:f>
        <x:v>0</x:v>
      </x:c>
    </x:row>
    <x:row r="1776">
      <x:c r="JA1776" t="n">
        <x:f>IF(OR(IFERROR(INDIRECT("'WCM Calibration Final'!$A$1776")&lt;&gt;"",FALSE),IFERROR(INDIRECT("'WCM Calibration Final'!$B$1776")&lt;&gt;"",FALSE),IFERROR(INDIRECT("'WCM Calibration Final'!$C$1776")&lt;&gt;"",FALSE)),1776,0)</x:f>
        <x:v>0</x:v>
      </x:c>
      <x:c r="JB1776" t="n">
        <x:f>'Calculations'!JB1775+IF('Calculations'!JA1776&gt;0,1,0)</x:f>
        <x:v>0</x:v>
      </x:c>
    </x:row>
    <x:row r="1777">
      <x:c r="JA1777" t="n">
        <x:f>IF(OR(IFERROR(INDIRECT("'WCM Calibration Final'!$A$1777")&lt;&gt;"",FALSE),IFERROR(INDIRECT("'WCM Calibration Final'!$B$1777")&lt;&gt;"",FALSE),IFERROR(INDIRECT("'WCM Calibration Final'!$C$1777")&lt;&gt;"",FALSE)),1777,0)</x:f>
        <x:v>0</x:v>
      </x:c>
      <x:c r="JB1777" t="n">
        <x:f>'Calculations'!JB1776+IF('Calculations'!JA1777&gt;0,1,0)</x:f>
        <x:v>0</x:v>
      </x:c>
    </x:row>
    <x:row r="1778">
      <x:c r="JA1778" t="n">
        <x:f>IF(OR(IFERROR(INDIRECT("'WCM Calibration Final'!$A$1778")&lt;&gt;"",FALSE),IFERROR(INDIRECT("'WCM Calibration Final'!$B$1778")&lt;&gt;"",FALSE),IFERROR(INDIRECT("'WCM Calibration Final'!$C$1778")&lt;&gt;"",FALSE)),1778,0)</x:f>
        <x:v>0</x:v>
      </x:c>
      <x:c r="JB1778" t="n">
        <x:f>'Calculations'!JB1777+IF('Calculations'!JA1778&gt;0,1,0)</x:f>
        <x:v>0</x:v>
      </x:c>
    </x:row>
    <x:row r="1779">
      <x:c r="JA1779" t="n">
        <x:f>IF(OR(IFERROR(INDIRECT("'WCM Calibration Final'!$A$1779")&lt;&gt;"",FALSE),IFERROR(INDIRECT("'WCM Calibration Final'!$B$1779")&lt;&gt;"",FALSE),IFERROR(INDIRECT("'WCM Calibration Final'!$C$1779")&lt;&gt;"",FALSE)),1779,0)</x:f>
        <x:v>0</x:v>
      </x:c>
      <x:c r="JB1779" t="n">
        <x:f>'Calculations'!JB1778+IF('Calculations'!JA1779&gt;0,1,0)</x:f>
        <x:v>0</x:v>
      </x:c>
    </x:row>
    <x:row r="1780">
      <x:c r="JA1780" t="n">
        <x:f>IF(OR(IFERROR(INDIRECT("'WCM Calibration Final'!$A$1780")&lt;&gt;"",FALSE),IFERROR(INDIRECT("'WCM Calibration Final'!$B$1780")&lt;&gt;"",FALSE),IFERROR(INDIRECT("'WCM Calibration Final'!$C$1780")&lt;&gt;"",FALSE)),1780,0)</x:f>
        <x:v>0</x:v>
      </x:c>
      <x:c r="JB1780" t="n">
        <x:f>'Calculations'!JB1779+IF('Calculations'!JA1780&gt;0,1,0)</x:f>
        <x:v>0</x:v>
      </x:c>
    </x:row>
    <x:row r="1781">
      <x:c r="JA1781" t="n">
        <x:f>IF(OR(IFERROR(INDIRECT("'WCM Calibration Final'!$A$1781")&lt;&gt;"",FALSE),IFERROR(INDIRECT("'WCM Calibration Final'!$B$1781")&lt;&gt;"",FALSE),IFERROR(INDIRECT("'WCM Calibration Final'!$C$1781")&lt;&gt;"",FALSE)),1781,0)</x:f>
        <x:v>0</x:v>
      </x:c>
      <x:c r="JB1781" t="n">
        <x:f>'Calculations'!JB1780+IF('Calculations'!JA1781&gt;0,1,0)</x:f>
        <x:v>0</x:v>
      </x:c>
    </x:row>
    <x:row r="1782">
      <x:c r="JA1782" t="n">
        <x:f>IF(OR(IFERROR(INDIRECT("'WCM Calibration Final'!$A$1782")&lt;&gt;"",FALSE),IFERROR(INDIRECT("'WCM Calibration Final'!$B$1782")&lt;&gt;"",FALSE),IFERROR(INDIRECT("'WCM Calibration Final'!$C$1782")&lt;&gt;"",FALSE)),1782,0)</x:f>
        <x:v>0</x:v>
      </x:c>
      <x:c r="JB1782" t="n">
        <x:f>'Calculations'!JB1781+IF('Calculations'!JA1782&gt;0,1,0)</x:f>
        <x:v>0</x:v>
      </x:c>
    </x:row>
    <x:row r="1783">
      <x:c r="JA1783" t="n">
        <x:f>IF(OR(IFERROR(INDIRECT("'WCM Calibration Final'!$A$1783")&lt;&gt;"",FALSE),IFERROR(INDIRECT("'WCM Calibration Final'!$B$1783")&lt;&gt;"",FALSE),IFERROR(INDIRECT("'WCM Calibration Final'!$C$1783")&lt;&gt;"",FALSE)),1783,0)</x:f>
        <x:v>0</x:v>
      </x:c>
      <x:c r="JB1783" t="n">
        <x:f>'Calculations'!JB1782+IF('Calculations'!JA1783&gt;0,1,0)</x:f>
        <x:v>0</x:v>
      </x:c>
    </x:row>
    <x:row r="1784">
      <x:c r="JA1784" t="n">
        <x:f>IF(OR(IFERROR(INDIRECT("'WCM Calibration Final'!$A$1784")&lt;&gt;"",FALSE),IFERROR(INDIRECT("'WCM Calibration Final'!$B$1784")&lt;&gt;"",FALSE),IFERROR(INDIRECT("'WCM Calibration Final'!$C$1784")&lt;&gt;"",FALSE)),1784,0)</x:f>
        <x:v>0</x:v>
      </x:c>
      <x:c r="JB1784" t="n">
        <x:f>'Calculations'!JB1783+IF('Calculations'!JA1784&gt;0,1,0)</x:f>
        <x:v>0</x:v>
      </x:c>
    </x:row>
    <x:row r="1785">
      <x:c r="JA1785" t="n">
        <x:f>IF(OR(IFERROR(INDIRECT("'WCM Calibration Final'!$A$1785")&lt;&gt;"",FALSE),IFERROR(INDIRECT("'WCM Calibration Final'!$B$1785")&lt;&gt;"",FALSE),IFERROR(INDIRECT("'WCM Calibration Final'!$C$1785")&lt;&gt;"",FALSE)),1785,0)</x:f>
        <x:v>0</x:v>
      </x:c>
      <x:c r="JB1785" t="n">
        <x:f>'Calculations'!JB1784+IF('Calculations'!JA1785&gt;0,1,0)</x:f>
        <x:v>0</x:v>
      </x:c>
    </x:row>
    <x:row r="1786">
      <x:c r="JA1786" t="n">
        <x:f>IF(OR(IFERROR(INDIRECT("'WCM Calibration Final'!$A$1786")&lt;&gt;"",FALSE),IFERROR(INDIRECT("'WCM Calibration Final'!$B$1786")&lt;&gt;"",FALSE),IFERROR(INDIRECT("'WCM Calibration Final'!$C$1786")&lt;&gt;"",FALSE)),1786,0)</x:f>
        <x:v>0</x:v>
      </x:c>
      <x:c r="JB1786" t="n">
        <x:f>'Calculations'!JB1785+IF('Calculations'!JA1786&gt;0,1,0)</x:f>
        <x:v>0</x:v>
      </x:c>
    </x:row>
    <x:row r="1787">
      <x:c r="JA1787" t="n">
        <x:f>IF(OR(IFERROR(INDIRECT("'WCM Calibration Final'!$A$1787")&lt;&gt;"",FALSE),IFERROR(INDIRECT("'WCM Calibration Final'!$B$1787")&lt;&gt;"",FALSE),IFERROR(INDIRECT("'WCM Calibration Final'!$C$1787")&lt;&gt;"",FALSE)),1787,0)</x:f>
        <x:v>0</x:v>
      </x:c>
      <x:c r="JB1787" t="n">
        <x:f>'Calculations'!JB1786+IF('Calculations'!JA1787&gt;0,1,0)</x:f>
        <x:v>0</x:v>
      </x:c>
    </x:row>
    <x:row r="1788">
      <x:c r="JA1788" t="n">
        <x:f>IF(OR(IFERROR(INDIRECT("'WCM Calibration Final'!$A$1788")&lt;&gt;"",FALSE),IFERROR(INDIRECT("'WCM Calibration Final'!$B$1788")&lt;&gt;"",FALSE),IFERROR(INDIRECT("'WCM Calibration Final'!$C$1788")&lt;&gt;"",FALSE)),1788,0)</x:f>
        <x:v>0</x:v>
      </x:c>
      <x:c r="JB1788" t="n">
        <x:f>'Calculations'!JB1787+IF('Calculations'!JA1788&gt;0,1,0)</x:f>
        <x:v>0</x:v>
      </x:c>
    </x:row>
    <x:row r="1789">
      <x:c r="JA1789" t="n">
        <x:f>IF(OR(IFERROR(INDIRECT("'WCM Calibration Final'!$A$1789")&lt;&gt;"",FALSE),IFERROR(INDIRECT("'WCM Calibration Final'!$B$1789")&lt;&gt;"",FALSE),IFERROR(INDIRECT("'WCM Calibration Final'!$C$1789")&lt;&gt;"",FALSE)),1789,0)</x:f>
        <x:v>0</x:v>
      </x:c>
      <x:c r="JB1789" t="n">
        <x:f>'Calculations'!JB1788+IF('Calculations'!JA1789&gt;0,1,0)</x:f>
        <x:v>0</x:v>
      </x:c>
    </x:row>
    <x:row r="1790">
      <x:c r="JA1790" t="n">
        <x:f>IF(OR(IFERROR(INDIRECT("'WCM Calibration Final'!$A$1790")&lt;&gt;"",FALSE),IFERROR(INDIRECT("'WCM Calibration Final'!$B$1790")&lt;&gt;"",FALSE),IFERROR(INDIRECT("'WCM Calibration Final'!$C$1790")&lt;&gt;"",FALSE)),1790,0)</x:f>
        <x:v>0</x:v>
      </x:c>
      <x:c r="JB1790" t="n">
        <x:f>'Calculations'!JB1789+IF('Calculations'!JA1790&gt;0,1,0)</x:f>
        <x:v>0</x:v>
      </x:c>
    </x:row>
    <x:row r="1791">
      <x:c r="JA1791" t="n">
        <x:f>IF(OR(IFERROR(INDIRECT("'WCM Calibration Final'!$A$1791")&lt;&gt;"",FALSE),IFERROR(INDIRECT("'WCM Calibration Final'!$B$1791")&lt;&gt;"",FALSE),IFERROR(INDIRECT("'WCM Calibration Final'!$C$1791")&lt;&gt;"",FALSE)),1791,0)</x:f>
        <x:v>0</x:v>
      </x:c>
      <x:c r="JB1791" t="n">
        <x:f>'Calculations'!JB1790+IF('Calculations'!JA1791&gt;0,1,0)</x:f>
        <x:v>0</x:v>
      </x:c>
    </x:row>
    <x:row r="1792">
      <x:c r="JA1792" t="n">
        <x:f>IF(OR(IFERROR(INDIRECT("'WCM Calibration Final'!$A$1792")&lt;&gt;"",FALSE),IFERROR(INDIRECT("'WCM Calibration Final'!$B$1792")&lt;&gt;"",FALSE),IFERROR(INDIRECT("'WCM Calibration Final'!$C$1792")&lt;&gt;"",FALSE)),1792,0)</x:f>
        <x:v>0</x:v>
      </x:c>
      <x:c r="JB1792" t="n">
        <x:f>'Calculations'!JB1791+IF('Calculations'!JA1792&gt;0,1,0)</x:f>
        <x:v>0</x:v>
      </x:c>
    </x:row>
    <x:row r="1793">
      <x:c r="JA1793" t="n">
        <x:f>IF(OR(IFERROR(INDIRECT("'WCM Calibration Final'!$A$1793")&lt;&gt;"",FALSE),IFERROR(INDIRECT("'WCM Calibration Final'!$B$1793")&lt;&gt;"",FALSE),IFERROR(INDIRECT("'WCM Calibration Final'!$C$1793")&lt;&gt;"",FALSE)),1793,0)</x:f>
        <x:v>0</x:v>
      </x:c>
      <x:c r="JB1793" t="n">
        <x:f>'Calculations'!JB1792+IF('Calculations'!JA1793&gt;0,1,0)</x:f>
        <x:v>0</x:v>
      </x:c>
    </x:row>
    <x:row r="1794">
      <x:c r="JA1794" t="n">
        <x:f>IF(OR(IFERROR(INDIRECT("'WCM Calibration Final'!$A$1794")&lt;&gt;"",FALSE),IFERROR(INDIRECT("'WCM Calibration Final'!$B$1794")&lt;&gt;"",FALSE),IFERROR(INDIRECT("'WCM Calibration Final'!$C$1794")&lt;&gt;"",FALSE)),1794,0)</x:f>
        <x:v>0</x:v>
      </x:c>
      <x:c r="JB1794" t="n">
        <x:f>'Calculations'!JB1793+IF('Calculations'!JA1794&gt;0,1,0)</x:f>
        <x:v>0</x:v>
      </x:c>
    </x:row>
    <x:row r="1795">
      <x:c r="JA1795" t="n">
        <x:f>IF(OR(IFERROR(INDIRECT("'WCM Calibration Final'!$A$1795")&lt;&gt;"",FALSE),IFERROR(INDIRECT("'WCM Calibration Final'!$B$1795")&lt;&gt;"",FALSE),IFERROR(INDIRECT("'WCM Calibration Final'!$C$1795")&lt;&gt;"",FALSE)),1795,0)</x:f>
        <x:v>0</x:v>
      </x:c>
      <x:c r="JB1795" t="n">
        <x:f>'Calculations'!JB1794+IF('Calculations'!JA1795&gt;0,1,0)</x:f>
        <x:v>0</x:v>
      </x:c>
    </x:row>
    <x:row r="1796">
      <x:c r="JA1796" t="n">
        <x:f>IF(OR(IFERROR(INDIRECT("'WCM Calibration Final'!$A$1796")&lt;&gt;"",FALSE),IFERROR(INDIRECT("'WCM Calibration Final'!$B$1796")&lt;&gt;"",FALSE),IFERROR(INDIRECT("'WCM Calibration Final'!$C$1796")&lt;&gt;"",FALSE)),1796,0)</x:f>
        <x:v>0</x:v>
      </x:c>
      <x:c r="JB1796" t="n">
        <x:f>'Calculations'!JB1795+IF('Calculations'!JA1796&gt;0,1,0)</x:f>
        <x:v>0</x:v>
      </x:c>
    </x:row>
    <x:row r="1797">
      <x:c r="JA1797" t="n">
        <x:f>IF(OR(IFERROR(INDIRECT("'WCM Calibration Final'!$A$1797")&lt;&gt;"",FALSE),IFERROR(INDIRECT("'WCM Calibration Final'!$B$1797")&lt;&gt;"",FALSE),IFERROR(INDIRECT("'WCM Calibration Final'!$C$1797")&lt;&gt;"",FALSE)),1797,0)</x:f>
        <x:v>0</x:v>
      </x:c>
      <x:c r="JB1797" t="n">
        <x:f>'Calculations'!JB1796+IF('Calculations'!JA1797&gt;0,1,0)</x:f>
        <x:v>0</x:v>
      </x:c>
    </x:row>
    <x:row r="1798">
      <x:c r="JA1798" t="n">
        <x:f>IF(OR(IFERROR(INDIRECT("'WCM Calibration Final'!$A$1798")&lt;&gt;"",FALSE),IFERROR(INDIRECT("'WCM Calibration Final'!$B$1798")&lt;&gt;"",FALSE),IFERROR(INDIRECT("'WCM Calibration Final'!$C$1798")&lt;&gt;"",FALSE)),1798,0)</x:f>
        <x:v>0</x:v>
      </x:c>
      <x:c r="JB1798" t="n">
        <x:f>'Calculations'!JB1797+IF('Calculations'!JA1798&gt;0,1,0)</x:f>
        <x:v>0</x:v>
      </x:c>
    </x:row>
    <x:row r="1799">
      <x:c r="JA1799" t="n">
        <x:f>IF(OR(IFERROR(INDIRECT("'WCM Calibration Final'!$A$1799")&lt;&gt;"",FALSE),IFERROR(INDIRECT("'WCM Calibration Final'!$B$1799")&lt;&gt;"",FALSE),IFERROR(INDIRECT("'WCM Calibration Final'!$C$1799")&lt;&gt;"",FALSE)),1799,0)</x:f>
        <x:v>0</x:v>
      </x:c>
      <x:c r="JB1799" t="n">
        <x:f>'Calculations'!JB1798+IF('Calculations'!JA1799&gt;0,1,0)</x:f>
        <x:v>0</x:v>
      </x:c>
    </x:row>
    <x:row r="1800">
      <x:c r="JA1800" t="n">
        <x:f>IF(OR(IFERROR(INDIRECT("'WCM Calibration Final'!$A$1800")&lt;&gt;"",FALSE),IFERROR(INDIRECT("'WCM Calibration Final'!$B$1800")&lt;&gt;"",FALSE),IFERROR(INDIRECT("'WCM Calibration Final'!$C$1800")&lt;&gt;"",FALSE)),1800,0)</x:f>
        <x:v>0</x:v>
      </x:c>
      <x:c r="JB1800" t="n">
        <x:f>'Calculations'!JB1799+IF('Calculations'!JA1800&gt;0,1,0)</x:f>
        <x:v>0</x:v>
      </x:c>
    </x:row>
    <x:row r="1801">
      <x:c r="JA1801" t="n">
        <x:f>IF(OR(IFERROR(INDIRECT("'WCM Calibration Final'!$A$1801")&lt;&gt;"",FALSE),IFERROR(INDIRECT("'WCM Calibration Final'!$B$1801")&lt;&gt;"",FALSE),IFERROR(INDIRECT("'WCM Calibration Final'!$C$1801")&lt;&gt;"",FALSE)),1801,0)</x:f>
        <x:v>0</x:v>
      </x:c>
      <x:c r="JB1801" t="n">
        <x:f>'Calculations'!JB1800+IF('Calculations'!JA1801&gt;0,1,0)</x:f>
        <x:v>0</x:v>
      </x:c>
    </x:row>
    <x:row r="1802">
      <x:c r="JA1802" t="n">
        <x:f>IF(OR(IFERROR(INDIRECT("'WCM Calibration Final'!$A$1802")&lt;&gt;"",FALSE),IFERROR(INDIRECT("'WCM Calibration Final'!$B$1802")&lt;&gt;"",FALSE),IFERROR(INDIRECT("'WCM Calibration Final'!$C$1802")&lt;&gt;"",FALSE)),1802,0)</x:f>
        <x:v>0</x:v>
      </x:c>
      <x:c r="JB1802" t="n">
        <x:f>'Calculations'!JB1801+IF('Calculations'!JA1802&gt;0,1,0)</x:f>
        <x:v>0</x:v>
      </x:c>
    </x:row>
    <x:row r="1803">
      <x:c r="JA1803" t="n">
        <x:f>IF(OR(IFERROR(INDIRECT("'WCM Calibration Final'!$A$1803")&lt;&gt;"",FALSE),IFERROR(INDIRECT("'WCM Calibration Final'!$B$1803")&lt;&gt;"",FALSE),IFERROR(INDIRECT("'WCM Calibration Final'!$C$1803")&lt;&gt;"",FALSE)),1803,0)</x:f>
        <x:v>0</x:v>
      </x:c>
      <x:c r="JB1803" t="n">
        <x:f>'Calculations'!JB1802+IF('Calculations'!JA1803&gt;0,1,0)</x:f>
        <x:v>0</x:v>
      </x:c>
    </x:row>
    <x:row r="1804">
      <x:c r="JA1804" t="n">
        <x:f>IF(OR(IFERROR(INDIRECT("'WCM Calibration Final'!$A$1804")&lt;&gt;"",FALSE),IFERROR(INDIRECT("'WCM Calibration Final'!$B$1804")&lt;&gt;"",FALSE),IFERROR(INDIRECT("'WCM Calibration Final'!$C$1804")&lt;&gt;"",FALSE)),1804,0)</x:f>
        <x:v>0</x:v>
      </x:c>
      <x:c r="JB1804" t="n">
        <x:f>'Calculations'!JB1803+IF('Calculations'!JA1804&gt;0,1,0)</x:f>
        <x:v>0</x:v>
      </x:c>
    </x:row>
    <x:row r="1805">
      <x:c r="JA1805" t="n">
        <x:f>IF(OR(IFERROR(INDIRECT("'WCM Calibration Final'!$A$1805")&lt;&gt;"",FALSE),IFERROR(INDIRECT("'WCM Calibration Final'!$B$1805")&lt;&gt;"",FALSE),IFERROR(INDIRECT("'WCM Calibration Final'!$C$1805")&lt;&gt;"",FALSE)),1805,0)</x:f>
        <x:v>0</x:v>
      </x:c>
      <x:c r="JB1805" t="n">
        <x:f>'Calculations'!JB1804+IF('Calculations'!JA1805&gt;0,1,0)</x:f>
        <x:v>0</x:v>
      </x:c>
    </x:row>
    <x:row r="1806">
      <x:c r="JA1806" t="n">
        <x:f>IF(OR(IFERROR(INDIRECT("'WCM Calibration Final'!$A$1806")&lt;&gt;"",FALSE),IFERROR(INDIRECT("'WCM Calibration Final'!$B$1806")&lt;&gt;"",FALSE),IFERROR(INDIRECT("'WCM Calibration Final'!$C$1806")&lt;&gt;"",FALSE)),1806,0)</x:f>
        <x:v>0</x:v>
      </x:c>
      <x:c r="JB1806" t="n">
        <x:f>'Calculations'!JB1805+IF('Calculations'!JA1806&gt;0,1,0)</x:f>
        <x:v>0</x:v>
      </x:c>
    </x:row>
    <x:row r="1807">
      <x:c r="JA1807" t="n">
        <x:f>IF(OR(IFERROR(INDIRECT("'WCM Calibration Final'!$A$1807")&lt;&gt;"",FALSE),IFERROR(INDIRECT("'WCM Calibration Final'!$B$1807")&lt;&gt;"",FALSE),IFERROR(INDIRECT("'WCM Calibration Final'!$C$1807")&lt;&gt;"",FALSE)),1807,0)</x:f>
        <x:v>0</x:v>
      </x:c>
      <x:c r="JB1807" t="n">
        <x:f>'Calculations'!JB1806+IF('Calculations'!JA1807&gt;0,1,0)</x:f>
        <x:v>0</x:v>
      </x:c>
    </x:row>
    <x:row r="1808">
      <x:c r="JA1808" t="n">
        <x:f>IF(OR(IFERROR(INDIRECT("'WCM Calibration Final'!$A$1808")&lt;&gt;"",FALSE),IFERROR(INDIRECT("'WCM Calibration Final'!$B$1808")&lt;&gt;"",FALSE),IFERROR(INDIRECT("'WCM Calibration Final'!$C$1808")&lt;&gt;"",FALSE)),1808,0)</x:f>
        <x:v>0</x:v>
      </x:c>
      <x:c r="JB1808" t="n">
        <x:f>'Calculations'!JB1807+IF('Calculations'!JA1808&gt;0,1,0)</x:f>
        <x:v>0</x:v>
      </x:c>
    </x:row>
    <x:row r="1809">
      <x:c r="JA1809" t="n">
        <x:f>IF(OR(IFERROR(INDIRECT("'WCM Calibration Final'!$A$1809")&lt;&gt;"",FALSE),IFERROR(INDIRECT("'WCM Calibration Final'!$B$1809")&lt;&gt;"",FALSE),IFERROR(INDIRECT("'WCM Calibration Final'!$C$1809")&lt;&gt;"",FALSE)),1809,0)</x:f>
        <x:v>0</x:v>
      </x:c>
      <x:c r="JB1809" t="n">
        <x:f>'Calculations'!JB1808+IF('Calculations'!JA1809&gt;0,1,0)</x:f>
        <x:v>0</x:v>
      </x:c>
    </x:row>
    <x:row r="1810">
      <x:c r="JA1810" t="n">
        <x:f>IF(OR(IFERROR(INDIRECT("'WCM Calibration Final'!$A$1810")&lt;&gt;"",FALSE),IFERROR(INDIRECT("'WCM Calibration Final'!$B$1810")&lt;&gt;"",FALSE),IFERROR(INDIRECT("'WCM Calibration Final'!$C$1810")&lt;&gt;"",FALSE)),1810,0)</x:f>
        <x:v>0</x:v>
      </x:c>
      <x:c r="JB1810" t="n">
        <x:f>'Calculations'!JB1809+IF('Calculations'!JA1810&gt;0,1,0)</x:f>
        <x:v>0</x:v>
      </x:c>
    </x:row>
    <x:row r="1811">
      <x:c r="JA1811" t="n">
        <x:f>IF(OR(IFERROR(INDIRECT("'WCM Calibration Final'!$A$1811")&lt;&gt;"",FALSE),IFERROR(INDIRECT("'WCM Calibration Final'!$B$1811")&lt;&gt;"",FALSE),IFERROR(INDIRECT("'WCM Calibration Final'!$C$1811")&lt;&gt;"",FALSE)),1811,0)</x:f>
        <x:v>0</x:v>
      </x:c>
      <x:c r="JB1811" t="n">
        <x:f>'Calculations'!JB1810+IF('Calculations'!JA1811&gt;0,1,0)</x:f>
        <x:v>0</x:v>
      </x:c>
    </x:row>
    <x:row r="1812">
      <x:c r="JA1812" t="n">
        <x:f>IF(OR(IFERROR(INDIRECT("'WCM Calibration Final'!$A$1812")&lt;&gt;"",FALSE),IFERROR(INDIRECT("'WCM Calibration Final'!$B$1812")&lt;&gt;"",FALSE),IFERROR(INDIRECT("'WCM Calibration Final'!$C$1812")&lt;&gt;"",FALSE)),1812,0)</x:f>
        <x:v>0</x:v>
      </x:c>
      <x:c r="JB1812" t="n">
        <x:f>'Calculations'!JB1811+IF('Calculations'!JA1812&gt;0,1,0)</x:f>
        <x:v>0</x:v>
      </x:c>
    </x:row>
    <x:row r="1813">
      <x:c r="JA1813" t="n">
        <x:f>IF(OR(IFERROR(INDIRECT("'WCM Calibration Final'!$A$1813")&lt;&gt;"",FALSE),IFERROR(INDIRECT("'WCM Calibration Final'!$B$1813")&lt;&gt;"",FALSE),IFERROR(INDIRECT("'WCM Calibration Final'!$C$1813")&lt;&gt;"",FALSE)),1813,0)</x:f>
        <x:v>0</x:v>
      </x:c>
      <x:c r="JB1813" t="n">
        <x:f>'Calculations'!JB1812+IF('Calculations'!JA1813&gt;0,1,0)</x:f>
        <x:v>0</x:v>
      </x:c>
    </x:row>
    <x:row r="1814">
      <x:c r="JA1814" t="n">
        <x:f>IF(OR(IFERROR(INDIRECT("'WCM Calibration Final'!$A$1814")&lt;&gt;"",FALSE),IFERROR(INDIRECT("'WCM Calibration Final'!$B$1814")&lt;&gt;"",FALSE),IFERROR(INDIRECT("'WCM Calibration Final'!$C$1814")&lt;&gt;"",FALSE)),1814,0)</x:f>
        <x:v>0</x:v>
      </x:c>
      <x:c r="JB1814" t="n">
        <x:f>'Calculations'!JB1813+IF('Calculations'!JA1814&gt;0,1,0)</x:f>
        <x:v>0</x:v>
      </x:c>
    </x:row>
    <x:row r="1815">
      <x:c r="JA1815" t="n">
        <x:f>IF(OR(IFERROR(INDIRECT("'WCM Calibration Final'!$A$1815")&lt;&gt;"",FALSE),IFERROR(INDIRECT("'WCM Calibration Final'!$B$1815")&lt;&gt;"",FALSE),IFERROR(INDIRECT("'WCM Calibration Final'!$C$1815")&lt;&gt;"",FALSE)),1815,0)</x:f>
        <x:v>0</x:v>
      </x:c>
      <x:c r="JB1815" t="n">
        <x:f>'Calculations'!JB1814+IF('Calculations'!JA1815&gt;0,1,0)</x:f>
        <x:v>0</x:v>
      </x:c>
    </x:row>
    <x:row r="1816">
      <x:c r="JA1816" t="n">
        <x:f>IF(OR(IFERROR(INDIRECT("'WCM Calibration Final'!$A$1816")&lt;&gt;"",FALSE),IFERROR(INDIRECT("'WCM Calibration Final'!$B$1816")&lt;&gt;"",FALSE),IFERROR(INDIRECT("'WCM Calibration Final'!$C$1816")&lt;&gt;"",FALSE)),1816,0)</x:f>
        <x:v>0</x:v>
      </x:c>
      <x:c r="JB1816" t="n">
        <x:f>'Calculations'!JB1815+IF('Calculations'!JA1816&gt;0,1,0)</x:f>
        <x:v>0</x:v>
      </x:c>
    </x:row>
    <x:row r="1817">
      <x:c r="JA1817" t="n">
        <x:f>IF(OR(IFERROR(INDIRECT("'WCM Calibration Final'!$A$1817")&lt;&gt;"",FALSE),IFERROR(INDIRECT("'WCM Calibration Final'!$B$1817")&lt;&gt;"",FALSE),IFERROR(INDIRECT("'WCM Calibration Final'!$C$1817")&lt;&gt;"",FALSE)),1817,0)</x:f>
        <x:v>0</x:v>
      </x:c>
      <x:c r="JB1817" t="n">
        <x:f>'Calculations'!JB1816+IF('Calculations'!JA1817&gt;0,1,0)</x:f>
        <x:v>0</x:v>
      </x:c>
    </x:row>
    <x:row r="1818">
      <x:c r="JA1818" t="n">
        <x:f>IF(OR(IFERROR(INDIRECT("'WCM Calibration Final'!$A$1818")&lt;&gt;"",FALSE),IFERROR(INDIRECT("'WCM Calibration Final'!$B$1818")&lt;&gt;"",FALSE),IFERROR(INDIRECT("'WCM Calibration Final'!$C$1818")&lt;&gt;"",FALSE)),1818,0)</x:f>
        <x:v>0</x:v>
      </x:c>
      <x:c r="JB1818" t="n">
        <x:f>'Calculations'!JB1817+IF('Calculations'!JA1818&gt;0,1,0)</x:f>
        <x:v>0</x:v>
      </x:c>
    </x:row>
    <x:row r="1819">
      <x:c r="JA1819" t="n">
        <x:f>IF(OR(IFERROR(INDIRECT("'WCM Calibration Final'!$A$1819")&lt;&gt;"",FALSE),IFERROR(INDIRECT("'WCM Calibration Final'!$B$1819")&lt;&gt;"",FALSE),IFERROR(INDIRECT("'WCM Calibration Final'!$C$1819")&lt;&gt;"",FALSE)),1819,0)</x:f>
        <x:v>0</x:v>
      </x:c>
      <x:c r="JB1819" t="n">
        <x:f>'Calculations'!JB1818+IF('Calculations'!JA1819&gt;0,1,0)</x:f>
        <x:v>0</x:v>
      </x:c>
    </x:row>
    <x:row r="1820">
      <x:c r="JA1820" t="n">
        <x:f>IF(OR(IFERROR(INDIRECT("'WCM Calibration Final'!$A$1820")&lt;&gt;"",FALSE),IFERROR(INDIRECT("'WCM Calibration Final'!$B$1820")&lt;&gt;"",FALSE),IFERROR(INDIRECT("'WCM Calibration Final'!$C$1820")&lt;&gt;"",FALSE)),1820,0)</x:f>
        <x:v>0</x:v>
      </x:c>
      <x:c r="JB1820" t="n">
        <x:f>'Calculations'!JB1819+IF('Calculations'!JA1820&gt;0,1,0)</x:f>
        <x:v>0</x:v>
      </x:c>
    </x:row>
    <x:row r="1821">
      <x:c r="JA1821" t="n">
        <x:f>IF(OR(IFERROR(INDIRECT("'WCM Calibration Final'!$A$1821")&lt;&gt;"",FALSE),IFERROR(INDIRECT("'WCM Calibration Final'!$B$1821")&lt;&gt;"",FALSE),IFERROR(INDIRECT("'WCM Calibration Final'!$C$1821")&lt;&gt;"",FALSE)),1821,0)</x:f>
        <x:v>0</x:v>
      </x:c>
      <x:c r="JB1821" t="n">
        <x:f>'Calculations'!JB1820+IF('Calculations'!JA1821&gt;0,1,0)</x:f>
        <x:v>0</x:v>
      </x:c>
    </x:row>
    <x:row r="1822">
      <x:c r="JA1822" t="n">
        <x:f>IF(OR(IFERROR(INDIRECT("'WCM Calibration Final'!$A$1822")&lt;&gt;"",FALSE),IFERROR(INDIRECT("'WCM Calibration Final'!$B$1822")&lt;&gt;"",FALSE),IFERROR(INDIRECT("'WCM Calibration Final'!$C$1822")&lt;&gt;"",FALSE)),1822,0)</x:f>
        <x:v>0</x:v>
      </x:c>
      <x:c r="JB1822" t="n">
        <x:f>'Calculations'!JB1821+IF('Calculations'!JA1822&gt;0,1,0)</x:f>
        <x:v>0</x:v>
      </x:c>
    </x:row>
    <x:row r="1823">
      <x:c r="JA1823" t="n">
        <x:f>IF(OR(IFERROR(INDIRECT("'WCM Calibration Final'!$A$1823")&lt;&gt;"",FALSE),IFERROR(INDIRECT("'WCM Calibration Final'!$B$1823")&lt;&gt;"",FALSE),IFERROR(INDIRECT("'WCM Calibration Final'!$C$1823")&lt;&gt;"",FALSE)),1823,0)</x:f>
        <x:v>0</x:v>
      </x:c>
      <x:c r="JB1823" t="n">
        <x:f>'Calculations'!JB1822+IF('Calculations'!JA1823&gt;0,1,0)</x:f>
        <x:v>0</x:v>
      </x:c>
    </x:row>
    <x:row r="1824">
      <x:c r="JA1824" t="n">
        <x:f>IF(OR(IFERROR(INDIRECT("'WCM Calibration Final'!$A$1824")&lt;&gt;"",FALSE),IFERROR(INDIRECT("'WCM Calibration Final'!$B$1824")&lt;&gt;"",FALSE),IFERROR(INDIRECT("'WCM Calibration Final'!$C$1824")&lt;&gt;"",FALSE)),1824,0)</x:f>
        <x:v>0</x:v>
      </x:c>
      <x:c r="JB1824" t="n">
        <x:f>'Calculations'!JB1823+IF('Calculations'!JA1824&gt;0,1,0)</x:f>
        <x:v>0</x:v>
      </x:c>
    </x:row>
    <x:row r="1825">
      <x:c r="JA1825" t="n">
        <x:f>IF(OR(IFERROR(INDIRECT("'WCM Calibration Final'!$A$1825")&lt;&gt;"",FALSE),IFERROR(INDIRECT("'WCM Calibration Final'!$B$1825")&lt;&gt;"",FALSE),IFERROR(INDIRECT("'WCM Calibration Final'!$C$1825")&lt;&gt;"",FALSE)),1825,0)</x:f>
        <x:v>0</x:v>
      </x:c>
      <x:c r="JB1825" t="n">
        <x:f>'Calculations'!JB1824+IF('Calculations'!JA1825&gt;0,1,0)</x:f>
        <x:v>0</x:v>
      </x:c>
    </x:row>
    <x:row r="1826">
      <x:c r="JA1826" t="n">
        <x:f>IF(OR(IFERROR(INDIRECT("'WCM Calibration Final'!$A$1826")&lt;&gt;"",FALSE),IFERROR(INDIRECT("'WCM Calibration Final'!$B$1826")&lt;&gt;"",FALSE),IFERROR(INDIRECT("'WCM Calibration Final'!$C$1826")&lt;&gt;"",FALSE)),1826,0)</x:f>
        <x:v>0</x:v>
      </x:c>
      <x:c r="JB1826" t="n">
        <x:f>'Calculations'!JB1825+IF('Calculations'!JA1826&gt;0,1,0)</x:f>
        <x:v>0</x:v>
      </x:c>
    </x:row>
    <x:row r="1827">
      <x:c r="JA1827" t="n">
        <x:f>IF(OR(IFERROR(INDIRECT("'WCM Calibration Final'!$A$1827")&lt;&gt;"",FALSE),IFERROR(INDIRECT("'WCM Calibration Final'!$B$1827")&lt;&gt;"",FALSE),IFERROR(INDIRECT("'WCM Calibration Final'!$C$1827")&lt;&gt;"",FALSE)),1827,0)</x:f>
        <x:v>0</x:v>
      </x:c>
      <x:c r="JB1827" t="n">
        <x:f>'Calculations'!JB1826+IF('Calculations'!JA1827&gt;0,1,0)</x:f>
        <x:v>0</x:v>
      </x:c>
    </x:row>
    <x:row r="1828">
      <x:c r="JA1828" t="n">
        <x:f>IF(OR(IFERROR(INDIRECT("'WCM Calibration Final'!$A$1828")&lt;&gt;"",FALSE),IFERROR(INDIRECT("'WCM Calibration Final'!$B$1828")&lt;&gt;"",FALSE),IFERROR(INDIRECT("'WCM Calibration Final'!$C$1828")&lt;&gt;"",FALSE)),1828,0)</x:f>
        <x:v>0</x:v>
      </x:c>
      <x:c r="JB1828" t="n">
        <x:f>'Calculations'!JB1827+IF('Calculations'!JA1828&gt;0,1,0)</x:f>
        <x:v>0</x:v>
      </x:c>
    </x:row>
    <x:row r="1829">
      <x:c r="JA1829" t="n">
        <x:f>IF(OR(IFERROR(INDIRECT("'WCM Calibration Final'!$A$1829")&lt;&gt;"",FALSE),IFERROR(INDIRECT("'WCM Calibration Final'!$B$1829")&lt;&gt;"",FALSE),IFERROR(INDIRECT("'WCM Calibration Final'!$C$1829")&lt;&gt;"",FALSE)),1829,0)</x:f>
        <x:v>0</x:v>
      </x:c>
      <x:c r="JB1829" t="n">
        <x:f>'Calculations'!JB1828+IF('Calculations'!JA1829&gt;0,1,0)</x:f>
        <x:v>0</x:v>
      </x:c>
    </x:row>
    <x:row r="1830">
      <x:c r="JA1830" t="n">
        <x:f>IF(OR(IFERROR(INDIRECT("'WCM Calibration Final'!$A$1830")&lt;&gt;"",FALSE),IFERROR(INDIRECT("'WCM Calibration Final'!$B$1830")&lt;&gt;"",FALSE),IFERROR(INDIRECT("'WCM Calibration Final'!$C$1830")&lt;&gt;"",FALSE)),1830,0)</x:f>
        <x:v>0</x:v>
      </x:c>
      <x:c r="JB1830" t="n">
        <x:f>'Calculations'!JB1829+IF('Calculations'!JA1830&gt;0,1,0)</x:f>
        <x:v>0</x:v>
      </x:c>
    </x:row>
    <x:row r="1831">
      <x:c r="JA1831" t="n">
        <x:f>IF(OR(IFERROR(INDIRECT("'WCM Calibration Final'!$A$1831")&lt;&gt;"",FALSE),IFERROR(INDIRECT("'WCM Calibration Final'!$B$1831")&lt;&gt;"",FALSE),IFERROR(INDIRECT("'WCM Calibration Final'!$C$1831")&lt;&gt;"",FALSE)),1831,0)</x:f>
        <x:v>0</x:v>
      </x:c>
      <x:c r="JB1831" t="n">
        <x:f>'Calculations'!JB1830+IF('Calculations'!JA1831&gt;0,1,0)</x:f>
        <x:v>0</x:v>
      </x:c>
    </x:row>
    <x:row r="1832">
      <x:c r="JA1832" t="n">
        <x:f>IF(OR(IFERROR(INDIRECT("'WCM Calibration Final'!$A$1832")&lt;&gt;"",FALSE),IFERROR(INDIRECT("'WCM Calibration Final'!$B$1832")&lt;&gt;"",FALSE),IFERROR(INDIRECT("'WCM Calibration Final'!$C$1832")&lt;&gt;"",FALSE)),1832,0)</x:f>
        <x:v>0</x:v>
      </x:c>
      <x:c r="JB1832" t="n">
        <x:f>'Calculations'!JB1831+IF('Calculations'!JA1832&gt;0,1,0)</x:f>
        <x:v>0</x:v>
      </x:c>
    </x:row>
    <x:row r="1833">
      <x:c r="JA1833" t="n">
        <x:f>IF(OR(IFERROR(INDIRECT("'WCM Calibration Final'!$A$1833")&lt;&gt;"",FALSE),IFERROR(INDIRECT("'WCM Calibration Final'!$B$1833")&lt;&gt;"",FALSE),IFERROR(INDIRECT("'WCM Calibration Final'!$C$1833")&lt;&gt;"",FALSE)),1833,0)</x:f>
        <x:v>0</x:v>
      </x:c>
      <x:c r="JB1833" t="n">
        <x:f>'Calculations'!JB1832+IF('Calculations'!JA1833&gt;0,1,0)</x:f>
        <x:v>0</x:v>
      </x:c>
    </x:row>
    <x:row r="1834">
      <x:c r="JA1834" t="n">
        <x:f>IF(OR(IFERROR(INDIRECT("'WCM Calibration Final'!$A$1834")&lt;&gt;"",FALSE),IFERROR(INDIRECT("'WCM Calibration Final'!$B$1834")&lt;&gt;"",FALSE),IFERROR(INDIRECT("'WCM Calibration Final'!$C$1834")&lt;&gt;"",FALSE)),1834,0)</x:f>
        <x:v>0</x:v>
      </x:c>
      <x:c r="JB1834" t="n">
        <x:f>'Calculations'!JB1833+IF('Calculations'!JA1834&gt;0,1,0)</x:f>
        <x:v>0</x:v>
      </x:c>
    </x:row>
    <x:row r="1835">
      <x:c r="JA1835" t="n">
        <x:f>IF(OR(IFERROR(INDIRECT("'WCM Calibration Final'!$A$1835")&lt;&gt;"",FALSE),IFERROR(INDIRECT("'WCM Calibration Final'!$B$1835")&lt;&gt;"",FALSE),IFERROR(INDIRECT("'WCM Calibration Final'!$C$1835")&lt;&gt;"",FALSE)),1835,0)</x:f>
        <x:v>0</x:v>
      </x:c>
      <x:c r="JB1835" t="n">
        <x:f>'Calculations'!JB1834+IF('Calculations'!JA1835&gt;0,1,0)</x:f>
        <x:v>0</x:v>
      </x:c>
    </x:row>
    <x:row r="1836">
      <x:c r="JA1836" t="n">
        <x:f>IF(OR(IFERROR(INDIRECT("'WCM Calibration Final'!$A$1836")&lt;&gt;"",FALSE),IFERROR(INDIRECT("'WCM Calibration Final'!$B$1836")&lt;&gt;"",FALSE),IFERROR(INDIRECT("'WCM Calibration Final'!$C$1836")&lt;&gt;"",FALSE)),1836,0)</x:f>
        <x:v>0</x:v>
      </x:c>
      <x:c r="JB1836" t="n">
        <x:f>'Calculations'!JB1835+IF('Calculations'!JA1836&gt;0,1,0)</x:f>
        <x:v>0</x:v>
      </x:c>
    </x:row>
    <x:row r="1837">
      <x:c r="JA1837" t="n">
        <x:f>IF(OR(IFERROR(INDIRECT("'WCM Calibration Final'!$A$1837")&lt;&gt;"",FALSE),IFERROR(INDIRECT("'WCM Calibration Final'!$B$1837")&lt;&gt;"",FALSE),IFERROR(INDIRECT("'WCM Calibration Final'!$C$1837")&lt;&gt;"",FALSE)),1837,0)</x:f>
        <x:v>0</x:v>
      </x:c>
      <x:c r="JB1837" t="n">
        <x:f>'Calculations'!JB1836+IF('Calculations'!JA1837&gt;0,1,0)</x:f>
        <x:v>0</x:v>
      </x:c>
    </x:row>
    <x:row r="1838">
      <x:c r="JA1838" t="n">
        <x:f>IF(OR(IFERROR(INDIRECT("'WCM Calibration Final'!$A$1838")&lt;&gt;"",FALSE),IFERROR(INDIRECT("'WCM Calibration Final'!$B$1838")&lt;&gt;"",FALSE),IFERROR(INDIRECT("'WCM Calibration Final'!$C$1838")&lt;&gt;"",FALSE)),1838,0)</x:f>
        <x:v>0</x:v>
      </x:c>
      <x:c r="JB1838" t="n">
        <x:f>'Calculations'!JB1837+IF('Calculations'!JA1838&gt;0,1,0)</x:f>
        <x:v>0</x:v>
      </x:c>
    </x:row>
    <x:row r="1839">
      <x:c r="JA1839" t="n">
        <x:f>IF(OR(IFERROR(INDIRECT("'WCM Calibration Final'!$A$1839")&lt;&gt;"",FALSE),IFERROR(INDIRECT("'WCM Calibration Final'!$B$1839")&lt;&gt;"",FALSE),IFERROR(INDIRECT("'WCM Calibration Final'!$C$1839")&lt;&gt;"",FALSE)),1839,0)</x:f>
        <x:v>0</x:v>
      </x:c>
      <x:c r="JB1839" t="n">
        <x:f>'Calculations'!JB1838+IF('Calculations'!JA1839&gt;0,1,0)</x:f>
        <x:v>0</x:v>
      </x:c>
    </x:row>
    <x:row r="1840">
      <x:c r="JA1840" t="n">
        <x:f>IF(OR(IFERROR(INDIRECT("'WCM Calibration Final'!$A$1840")&lt;&gt;"",FALSE),IFERROR(INDIRECT("'WCM Calibration Final'!$B$1840")&lt;&gt;"",FALSE),IFERROR(INDIRECT("'WCM Calibration Final'!$C$1840")&lt;&gt;"",FALSE)),1840,0)</x:f>
        <x:v>0</x:v>
      </x:c>
      <x:c r="JB1840" t="n">
        <x:f>'Calculations'!JB1839+IF('Calculations'!JA1840&gt;0,1,0)</x:f>
        <x:v>0</x:v>
      </x:c>
    </x:row>
    <x:row r="1841">
      <x:c r="JA1841" t="n">
        <x:f>IF(OR(IFERROR(INDIRECT("'WCM Calibration Final'!$A$1841")&lt;&gt;"",FALSE),IFERROR(INDIRECT("'WCM Calibration Final'!$B$1841")&lt;&gt;"",FALSE),IFERROR(INDIRECT("'WCM Calibration Final'!$C$1841")&lt;&gt;"",FALSE)),1841,0)</x:f>
        <x:v>0</x:v>
      </x:c>
      <x:c r="JB1841" t="n">
        <x:f>'Calculations'!JB1840+IF('Calculations'!JA1841&gt;0,1,0)</x:f>
        <x:v>0</x:v>
      </x:c>
    </x:row>
    <x:row r="1842">
      <x:c r="JA1842" t="n">
        <x:f>IF(OR(IFERROR(INDIRECT("'WCM Calibration Final'!$A$1842")&lt;&gt;"",FALSE),IFERROR(INDIRECT("'WCM Calibration Final'!$B$1842")&lt;&gt;"",FALSE),IFERROR(INDIRECT("'WCM Calibration Final'!$C$1842")&lt;&gt;"",FALSE)),1842,0)</x:f>
        <x:v>0</x:v>
      </x:c>
      <x:c r="JB1842" t="n">
        <x:f>'Calculations'!JB1841+IF('Calculations'!JA1842&gt;0,1,0)</x:f>
        <x:v>0</x:v>
      </x:c>
    </x:row>
    <x:row r="1843">
      <x:c r="JA1843" t="n">
        <x:f>IF(OR(IFERROR(INDIRECT("'WCM Calibration Final'!$A$1843")&lt;&gt;"",FALSE),IFERROR(INDIRECT("'WCM Calibration Final'!$B$1843")&lt;&gt;"",FALSE),IFERROR(INDIRECT("'WCM Calibration Final'!$C$1843")&lt;&gt;"",FALSE)),1843,0)</x:f>
        <x:v>0</x:v>
      </x:c>
      <x:c r="JB1843" t="n">
        <x:f>'Calculations'!JB1842+IF('Calculations'!JA1843&gt;0,1,0)</x:f>
        <x:v>0</x:v>
      </x:c>
    </x:row>
    <x:row r="1844">
      <x:c r="JA1844" t="n">
        <x:f>IF(OR(IFERROR(INDIRECT("'WCM Calibration Final'!$A$1844")&lt;&gt;"",FALSE),IFERROR(INDIRECT("'WCM Calibration Final'!$B$1844")&lt;&gt;"",FALSE),IFERROR(INDIRECT("'WCM Calibration Final'!$C$1844")&lt;&gt;"",FALSE)),1844,0)</x:f>
        <x:v>0</x:v>
      </x:c>
      <x:c r="JB1844" t="n">
        <x:f>'Calculations'!JB1843+IF('Calculations'!JA1844&gt;0,1,0)</x:f>
        <x:v>0</x:v>
      </x:c>
    </x:row>
    <x:row r="1845">
      <x:c r="JA1845" t="n">
        <x:f>IF(OR(IFERROR(INDIRECT("'WCM Calibration Final'!$A$1845")&lt;&gt;"",FALSE),IFERROR(INDIRECT("'WCM Calibration Final'!$B$1845")&lt;&gt;"",FALSE),IFERROR(INDIRECT("'WCM Calibration Final'!$C$1845")&lt;&gt;"",FALSE)),1845,0)</x:f>
        <x:v>0</x:v>
      </x:c>
      <x:c r="JB1845" t="n">
        <x:f>'Calculations'!JB1844+IF('Calculations'!JA1845&gt;0,1,0)</x:f>
        <x:v>0</x:v>
      </x:c>
    </x:row>
    <x:row r="1846">
      <x:c r="JA1846" t="n">
        <x:f>IF(OR(IFERROR(INDIRECT("'WCM Calibration Final'!$A$1846")&lt;&gt;"",FALSE),IFERROR(INDIRECT("'WCM Calibration Final'!$B$1846")&lt;&gt;"",FALSE),IFERROR(INDIRECT("'WCM Calibration Final'!$C$1846")&lt;&gt;"",FALSE)),1846,0)</x:f>
        <x:v>0</x:v>
      </x:c>
      <x:c r="JB1846" t="n">
        <x:f>'Calculations'!JB1845+IF('Calculations'!JA1846&gt;0,1,0)</x:f>
        <x:v>0</x:v>
      </x:c>
    </x:row>
    <x:row r="1847">
      <x:c r="JA1847" t="n">
        <x:f>IF(OR(IFERROR(INDIRECT("'WCM Calibration Final'!$A$1847")&lt;&gt;"",FALSE),IFERROR(INDIRECT("'WCM Calibration Final'!$B$1847")&lt;&gt;"",FALSE),IFERROR(INDIRECT("'WCM Calibration Final'!$C$1847")&lt;&gt;"",FALSE)),1847,0)</x:f>
        <x:v>0</x:v>
      </x:c>
      <x:c r="JB1847" t="n">
        <x:f>'Calculations'!JB1846+IF('Calculations'!JA1847&gt;0,1,0)</x:f>
        <x:v>0</x:v>
      </x:c>
    </x:row>
    <x:row r="1848">
      <x:c r="JA1848" t="n">
        <x:f>IF(OR(IFERROR(INDIRECT("'WCM Calibration Final'!$A$1848")&lt;&gt;"",FALSE),IFERROR(INDIRECT("'WCM Calibration Final'!$B$1848")&lt;&gt;"",FALSE),IFERROR(INDIRECT("'WCM Calibration Final'!$C$1848")&lt;&gt;"",FALSE)),1848,0)</x:f>
        <x:v>0</x:v>
      </x:c>
      <x:c r="JB1848" t="n">
        <x:f>'Calculations'!JB1847+IF('Calculations'!JA1848&gt;0,1,0)</x:f>
        <x:v>0</x:v>
      </x:c>
    </x:row>
    <x:row r="1849">
      <x:c r="JA1849" t="n">
        <x:f>IF(OR(IFERROR(INDIRECT("'WCM Calibration Final'!$A$1849")&lt;&gt;"",FALSE),IFERROR(INDIRECT("'WCM Calibration Final'!$B$1849")&lt;&gt;"",FALSE),IFERROR(INDIRECT("'WCM Calibration Final'!$C$1849")&lt;&gt;"",FALSE)),1849,0)</x:f>
        <x:v>0</x:v>
      </x:c>
      <x:c r="JB1849" t="n">
        <x:f>'Calculations'!JB1848+IF('Calculations'!JA1849&gt;0,1,0)</x:f>
        <x:v>0</x:v>
      </x:c>
    </x:row>
    <x:row r="1850">
      <x:c r="JA1850" t="n">
        <x:f>IF(OR(IFERROR(INDIRECT("'WCM Calibration Final'!$A$1850")&lt;&gt;"",FALSE),IFERROR(INDIRECT("'WCM Calibration Final'!$B$1850")&lt;&gt;"",FALSE),IFERROR(INDIRECT("'WCM Calibration Final'!$C$1850")&lt;&gt;"",FALSE)),1850,0)</x:f>
        <x:v>0</x:v>
      </x:c>
      <x:c r="JB1850" t="n">
        <x:f>'Calculations'!JB1849+IF('Calculations'!JA1850&gt;0,1,0)</x:f>
        <x:v>0</x:v>
      </x:c>
    </x:row>
    <x:row r="1851">
      <x:c r="JA1851" t="n">
        <x:f>IF(OR(IFERROR(INDIRECT("'WCM Calibration Final'!$A$1851")&lt;&gt;"",FALSE),IFERROR(INDIRECT("'WCM Calibration Final'!$B$1851")&lt;&gt;"",FALSE),IFERROR(INDIRECT("'WCM Calibration Final'!$C$1851")&lt;&gt;"",FALSE)),1851,0)</x:f>
        <x:v>0</x:v>
      </x:c>
      <x:c r="JB1851" t="n">
        <x:f>'Calculations'!JB1850+IF('Calculations'!JA1851&gt;0,1,0)</x:f>
        <x:v>0</x:v>
      </x:c>
    </x:row>
    <x:row r="1852">
      <x:c r="JA1852" t="n">
        <x:f>IF(OR(IFERROR(INDIRECT("'WCM Calibration Final'!$A$1852")&lt;&gt;"",FALSE),IFERROR(INDIRECT("'WCM Calibration Final'!$B$1852")&lt;&gt;"",FALSE),IFERROR(INDIRECT("'WCM Calibration Final'!$C$1852")&lt;&gt;"",FALSE)),1852,0)</x:f>
        <x:v>0</x:v>
      </x:c>
      <x:c r="JB1852" t="n">
        <x:f>'Calculations'!JB1851+IF('Calculations'!JA1852&gt;0,1,0)</x:f>
        <x:v>0</x:v>
      </x:c>
    </x:row>
    <x:row r="1853">
      <x:c r="JA1853" t="n">
        <x:f>IF(OR(IFERROR(INDIRECT("'WCM Calibration Final'!$A$1853")&lt;&gt;"",FALSE),IFERROR(INDIRECT("'WCM Calibration Final'!$B$1853")&lt;&gt;"",FALSE),IFERROR(INDIRECT("'WCM Calibration Final'!$C$1853")&lt;&gt;"",FALSE)),1853,0)</x:f>
        <x:v>0</x:v>
      </x:c>
      <x:c r="JB1853" t="n">
        <x:f>'Calculations'!JB1852+IF('Calculations'!JA1853&gt;0,1,0)</x:f>
        <x:v>0</x:v>
      </x:c>
    </x:row>
    <x:row r="1854">
      <x:c r="JA1854" t="n">
        <x:f>IF(OR(IFERROR(INDIRECT("'WCM Calibration Final'!$A$1854")&lt;&gt;"",FALSE),IFERROR(INDIRECT("'WCM Calibration Final'!$B$1854")&lt;&gt;"",FALSE),IFERROR(INDIRECT("'WCM Calibration Final'!$C$1854")&lt;&gt;"",FALSE)),1854,0)</x:f>
        <x:v>0</x:v>
      </x:c>
      <x:c r="JB1854" t="n">
        <x:f>'Calculations'!JB1853+IF('Calculations'!JA1854&gt;0,1,0)</x:f>
        <x:v>0</x:v>
      </x:c>
    </x:row>
    <x:row r="1855">
      <x:c r="JA1855" t="n">
        <x:f>IF(OR(IFERROR(INDIRECT("'WCM Calibration Final'!$A$1855")&lt;&gt;"",FALSE),IFERROR(INDIRECT("'WCM Calibration Final'!$B$1855")&lt;&gt;"",FALSE),IFERROR(INDIRECT("'WCM Calibration Final'!$C$1855")&lt;&gt;"",FALSE)),1855,0)</x:f>
        <x:v>0</x:v>
      </x:c>
      <x:c r="JB1855" t="n">
        <x:f>'Calculations'!JB1854+IF('Calculations'!JA1855&gt;0,1,0)</x:f>
        <x:v>0</x:v>
      </x:c>
    </x:row>
    <x:row r="1856">
      <x:c r="JA1856" t="n">
        <x:f>IF(OR(IFERROR(INDIRECT("'WCM Calibration Final'!$A$1856")&lt;&gt;"",FALSE),IFERROR(INDIRECT("'WCM Calibration Final'!$B$1856")&lt;&gt;"",FALSE),IFERROR(INDIRECT("'WCM Calibration Final'!$C$1856")&lt;&gt;"",FALSE)),1856,0)</x:f>
        <x:v>0</x:v>
      </x:c>
      <x:c r="JB1856" t="n">
        <x:f>'Calculations'!JB1855+IF('Calculations'!JA1856&gt;0,1,0)</x:f>
        <x:v>0</x:v>
      </x:c>
    </x:row>
    <x:row r="1857">
      <x:c r="JA1857" t="n">
        <x:f>IF(OR(IFERROR(INDIRECT("'WCM Calibration Final'!$A$1857")&lt;&gt;"",FALSE),IFERROR(INDIRECT("'WCM Calibration Final'!$B$1857")&lt;&gt;"",FALSE),IFERROR(INDIRECT("'WCM Calibration Final'!$C$1857")&lt;&gt;"",FALSE)),1857,0)</x:f>
        <x:v>0</x:v>
      </x:c>
      <x:c r="JB1857" t="n">
        <x:f>'Calculations'!JB1856+IF('Calculations'!JA1857&gt;0,1,0)</x:f>
        <x:v>0</x:v>
      </x:c>
    </x:row>
    <x:row r="1858">
      <x:c r="JA1858" t="n">
        <x:f>IF(OR(IFERROR(INDIRECT("'WCM Calibration Final'!$A$1858")&lt;&gt;"",FALSE),IFERROR(INDIRECT("'WCM Calibration Final'!$B$1858")&lt;&gt;"",FALSE),IFERROR(INDIRECT("'WCM Calibration Final'!$C$1858")&lt;&gt;"",FALSE)),1858,0)</x:f>
        <x:v>0</x:v>
      </x:c>
      <x:c r="JB1858" t="n">
        <x:f>'Calculations'!JB1857+IF('Calculations'!JA1858&gt;0,1,0)</x:f>
        <x:v>0</x:v>
      </x:c>
    </x:row>
    <x:row r="1859">
      <x:c r="JA1859" t="n">
        <x:f>IF(OR(IFERROR(INDIRECT("'WCM Calibration Final'!$A$1859")&lt;&gt;"",FALSE),IFERROR(INDIRECT("'WCM Calibration Final'!$B$1859")&lt;&gt;"",FALSE),IFERROR(INDIRECT("'WCM Calibration Final'!$C$1859")&lt;&gt;"",FALSE)),1859,0)</x:f>
        <x:v>0</x:v>
      </x:c>
      <x:c r="JB1859" t="n">
        <x:f>'Calculations'!JB1858+IF('Calculations'!JA1859&gt;0,1,0)</x:f>
        <x:v>0</x:v>
      </x:c>
    </x:row>
    <x:row r="1860">
      <x:c r="JA1860" t="n">
        <x:f>IF(OR(IFERROR(INDIRECT("'WCM Calibration Final'!$A$1860")&lt;&gt;"",FALSE),IFERROR(INDIRECT("'WCM Calibration Final'!$B$1860")&lt;&gt;"",FALSE),IFERROR(INDIRECT("'WCM Calibration Final'!$C$1860")&lt;&gt;"",FALSE)),1860,0)</x:f>
        <x:v>0</x:v>
      </x:c>
      <x:c r="JB1860" t="n">
        <x:f>'Calculations'!JB1859+IF('Calculations'!JA1860&gt;0,1,0)</x:f>
        <x:v>0</x:v>
      </x:c>
    </x:row>
    <x:row r="1861">
      <x:c r="JA1861" t="n">
        <x:f>IF(OR(IFERROR(INDIRECT("'WCM Calibration Final'!$A$1861")&lt;&gt;"",FALSE),IFERROR(INDIRECT("'WCM Calibration Final'!$B$1861")&lt;&gt;"",FALSE),IFERROR(INDIRECT("'WCM Calibration Final'!$C$1861")&lt;&gt;"",FALSE)),1861,0)</x:f>
        <x:v>0</x:v>
      </x:c>
      <x:c r="JB1861" t="n">
        <x:f>'Calculations'!JB1860+IF('Calculations'!JA1861&gt;0,1,0)</x:f>
        <x:v>0</x:v>
      </x:c>
    </x:row>
    <x:row r="1862">
      <x:c r="JA1862" t="n">
        <x:f>IF(OR(IFERROR(INDIRECT("'WCM Calibration Final'!$A$1862")&lt;&gt;"",FALSE),IFERROR(INDIRECT("'WCM Calibration Final'!$B$1862")&lt;&gt;"",FALSE),IFERROR(INDIRECT("'WCM Calibration Final'!$C$1862")&lt;&gt;"",FALSE)),1862,0)</x:f>
        <x:v>0</x:v>
      </x:c>
      <x:c r="JB1862" t="n">
        <x:f>'Calculations'!JB1861+IF('Calculations'!JA1862&gt;0,1,0)</x:f>
        <x:v>0</x:v>
      </x:c>
    </x:row>
    <x:row r="1863">
      <x:c r="JA1863" t="n">
        <x:f>IF(OR(IFERROR(INDIRECT("'WCM Calibration Final'!$A$1863")&lt;&gt;"",FALSE),IFERROR(INDIRECT("'WCM Calibration Final'!$B$1863")&lt;&gt;"",FALSE),IFERROR(INDIRECT("'WCM Calibration Final'!$C$1863")&lt;&gt;"",FALSE)),1863,0)</x:f>
        <x:v>0</x:v>
      </x:c>
      <x:c r="JB1863" t="n">
        <x:f>'Calculations'!JB1862+IF('Calculations'!JA1863&gt;0,1,0)</x:f>
        <x:v>0</x:v>
      </x:c>
    </x:row>
    <x:row r="1864">
      <x:c r="JA1864" t="n">
        <x:f>IF(OR(IFERROR(INDIRECT("'WCM Calibration Final'!$A$1864")&lt;&gt;"",FALSE),IFERROR(INDIRECT("'WCM Calibration Final'!$B$1864")&lt;&gt;"",FALSE),IFERROR(INDIRECT("'WCM Calibration Final'!$C$1864")&lt;&gt;"",FALSE)),1864,0)</x:f>
        <x:v>0</x:v>
      </x:c>
      <x:c r="JB1864" t="n">
        <x:f>'Calculations'!JB1863+IF('Calculations'!JA1864&gt;0,1,0)</x:f>
        <x:v>0</x:v>
      </x:c>
    </x:row>
    <x:row r="1865">
      <x:c r="JA1865" t="n">
        <x:f>IF(OR(IFERROR(INDIRECT("'WCM Calibration Final'!$A$1865")&lt;&gt;"",FALSE),IFERROR(INDIRECT("'WCM Calibration Final'!$B$1865")&lt;&gt;"",FALSE),IFERROR(INDIRECT("'WCM Calibration Final'!$C$1865")&lt;&gt;"",FALSE)),1865,0)</x:f>
        <x:v>0</x:v>
      </x:c>
      <x:c r="JB1865" t="n">
        <x:f>'Calculations'!JB1864+IF('Calculations'!JA1865&gt;0,1,0)</x:f>
        <x:v>0</x:v>
      </x:c>
    </x:row>
    <x:row r="1866">
      <x:c r="JA1866" t="n">
        <x:f>IF(OR(IFERROR(INDIRECT("'WCM Calibration Final'!$A$1866")&lt;&gt;"",FALSE),IFERROR(INDIRECT("'WCM Calibration Final'!$B$1866")&lt;&gt;"",FALSE),IFERROR(INDIRECT("'WCM Calibration Final'!$C$1866")&lt;&gt;"",FALSE)),1866,0)</x:f>
        <x:v>0</x:v>
      </x:c>
      <x:c r="JB1866" t="n">
        <x:f>'Calculations'!JB1865+IF('Calculations'!JA1866&gt;0,1,0)</x:f>
        <x:v>0</x:v>
      </x:c>
    </x:row>
    <x:row r="1867">
      <x:c r="JA1867" t="n">
        <x:f>IF(OR(IFERROR(INDIRECT("'WCM Calibration Final'!$A$1867")&lt;&gt;"",FALSE),IFERROR(INDIRECT("'WCM Calibration Final'!$B$1867")&lt;&gt;"",FALSE),IFERROR(INDIRECT("'WCM Calibration Final'!$C$1867")&lt;&gt;"",FALSE)),1867,0)</x:f>
        <x:v>0</x:v>
      </x:c>
      <x:c r="JB1867" t="n">
        <x:f>'Calculations'!JB1866+IF('Calculations'!JA1867&gt;0,1,0)</x:f>
        <x:v>0</x:v>
      </x:c>
    </x:row>
    <x:row r="1868">
      <x:c r="JA1868" t="n">
        <x:f>IF(OR(IFERROR(INDIRECT("'WCM Calibration Final'!$A$1868")&lt;&gt;"",FALSE),IFERROR(INDIRECT("'WCM Calibration Final'!$B$1868")&lt;&gt;"",FALSE),IFERROR(INDIRECT("'WCM Calibration Final'!$C$1868")&lt;&gt;"",FALSE)),1868,0)</x:f>
        <x:v>0</x:v>
      </x:c>
      <x:c r="JB1868" t="n">
        <x:f>'Calculations'!JB1867+IF('Calculations'!JA1868&gt;0,1,0)</x:f>
        <x:v>0</x:v>
      </x:c>
    </x:row>
    <x:row r="1869">
      <x:c r="JA1869" t="n">
        <x:f>IF(OR(IFERROR(INDIRECT("'WCM Calibration Final'!$A$1869")&lt;&gt;"",FALSE),IFERROR(INDIRECT("'WCM Calibration Final'!$B$1869")&lt;&gt;"",FALSE),IFERROR(INDIRECT("'WCM Calibration Final'!$C$1869")&lt;&gt;"",FALSE)),1869,0)</x:f>
        <x:v>0</x:v>
      </x:c>
      <x:c r="JB1869" t="n">
        <x:f>'Calculations'!JB1868+IF('Calculations'!JA1869&gt;0,1,0)</x:f>
        <x:v>0</x:v>
      </x:c>
    </x:row>
    <x:row r="1870">
      <x:c r="JA1870" t="n">
        <x:f>IF(OR(IFERROR(INDIRECT("'WCM Calibration Final'!$A$1870")&lt;&gt;"",FALSE),IFERROR(INDIRECT("'WCM Calibration Final'!$B$1870")&lt;&gt;"",FALSE),IFERROR(INDIRECT("'WCM Calibration Final'!$C$1870")&lt;&gt;"",FALSE)),1870,0)</x:f>
        <x:v>0</x:v>
      </x:c>
      <x:c r="JB1870" t="n">
        <x:f>'Calculations'!JB1869+IF('Calculations'!JA1870&gt;0,1,0)</x:f>
        <x:v>0</x:v>
      </x:c>
    </x:row>
    <x:row r="1871">
      <x:c r="JA1871" t="n">
        <x:f>IF(OR(IFERROR(INDIRECT("'WCM Calibration Final'!$A$1871")&lt;&gt;"",FALSE),IFERROR(INDIRECT("'WCM Calibration Final'!$B$1871")&lt;&gt;"",FALSE),IFERROR(INDIRECT("'WCM Calibration Final'!$C$1871")&lt;&gt;"",FALSE)),1871,0)</x:f>
        <x:v>0</x:v>
      </x:c>
      <x:c r="JB1871" t="n">
        <x:f>'Calculations'!JB1870+IF('Calculations'!JA1871&gt;0,1,0)</x:f>
        <x:v>0</x:v>
      </x:c>
    </x:row>
    <x:row r="1872">
      <x:c r="JA1872" t="n">
        <x:f>IF(OR(IFERROR(INDIRECT("'WCM Calibration Final'!$A$1872")&lt;&gt;"",FALSE),IFERROR(INDIRECT("'WCM Calibration Final'!$B$1872")&lt;&gt;"",FALSE),IFERROR(INDIRECT("'WCM Calibration Final'!$C$1872")&lt;&gt;"",FALSE)),1872,0)</x:f>
        <x:v>0</x:v>
      </x:c>
      <x:c r="JB1872" t="n">
        <x:f>'Calculations'!JB1871+IF('Calculations'!JA1872&gt;0,1,0)</x:f>
        <x:v>0</x:v>
      </x:c>
    </x:row>
    <x:row r="1873">
      <x:c r="JA1873" t="n">
        <x:f>IF(OR(IFERROR(INDIRECT("'WCM Calibration Final'!$A$1873")&lt;&gt;"",FALSE),IFERROR(INDIRECT("'WCM Calibration Final'!$B$1873")&lt;&gt;"",FALSE),IFERROR(INDIRECT("'WCM Calibration Final'!$C$1873")&lt;&gt;"",FALSE)),1873,0)</x:f>
        <x:v>0</x:v>
      </x:c>
      <x:c r="JB1873" t="n">
        <x:f>'Calculations'!JB1872+IF('Calculations'!JA1873&gt;0,1,0)</x:f>
        <x:v>0</x:v>
      </x:c>
    </x:row>
    <x:row r="1874">
      <x:c r="JA1874" t="n">
        <x:f>IF(OR(IFERROR(INDIRECT("'WCM Calibration Final'!$A$1874")&lt;&gt;"",FALSE),IFERROR(INDIRECT("'WCM Calibration Final'!$B$1874")&lt;&gt;"",FALSE),IFERROR(INDIRECT("'WCM Calibration Final'!$C$1874")&lt;&gt;"",FALSE)),1874,0)</x:f>
        <x:v>0</x:v>
      </x:c>
      <x:c r="JB1874" t="n">
        <x:f>'Calculations'!JB1873+IF('Calculations'!JA1874&gt;0,1,0)</x:f>
        <x:v>0</x:v>
      </x:c>
    </x:row>
    <x:row r="1875">
      <x:c r="JA1875" t="n">
        <x:f>IF(OR(IFERROR(INDIRECT("'WCM Calibration Final'!$A$1875")&lt;&gt;"",FALSE),IFERROR(INDIRECT("'WCM Calibration Final'!$B$1875")&lt;&gt;"",FALSE),IFERROR(INDIRECT("'WCM Calibration Final'!$C$1875")&lt;&gt;"",FALSE)),1875,0)</x:f>
        <x:v>0</x:v>
      </x:c>
      <x:c r="JB1875" t="n">
        <x:f>'Calculations'!JB1874+IF('Calculations'!JA1875&gt;0,1,0)</x:f>
        <x:v>0</x:v>
      </x:c>
    </x:row>
    <x:row r="1876">
      <x:c r="JA1876" t="n">
        <x:f>IF(OR(IFERROR(INDIRECT("'WCM Calibration Final'!$A$1876")&lt;&gt;"",FALSE),IFERROR(INDIRECT("'WCM Calibration Final'!$B$1876")&lt;&gt;"",FALSE),IFERROR(INDIRECT("'WCM Calibration Final'!$C$1876")&lt;&gt;"",FALSE)),1876,0)</x:f>
        <x:v>0</x:v>
      </x:c>
      <x:c r="JB1876" t="n">
        <x:f>'Calculations'!JB1875+IF('Calculations'!JA1876&gt;0,1,0)</x:f>
        <x:v>0</x:v>
      </x:c>
    </x:row>
    <x:row r="1877">
      <x:c r="JA1877" t="n">
        <x:f>IF(OR(IFERROR(INDIRECT("'WCM Calibration Final'!$A$1877")&lt;&gt;"",FALSE),IFERROR(INDIRECT("'WCM Calibration Final'!$B$1877")&lt;&gt;"",FALSE),IFERROR(INDIRECT("'WCM Calibration Final'!$C$1877")&lt;&gt;"",FALSE)),1877,0)</x:f>
        <x:v>0</x:v>
      </x:c>
      <x:c r="JB1877" t="n">
        <x:f>'Calculations'!JB1876+IF('Calculations'!JA1877&gt;0,1,0)</x:f>
        <x:v>0</x:v>
      </x:c>
    </x:row>
    <x:row r="1878">
      <x:c r="JA1878" t="n">
        <x:f>IF(OR(IFERROR(INDIRECT("'WCM Calibration Final'!$A$1878")&lt;&gt;"",FALSE),IFERROR(INDIRECT("'WCM Calibration Final'!$B$1878")&lt;&gt;"",FALSE),IFERROR(INDIRECT("'WCM Calibration Final'!$C$1878")&lt;&gt;"",FALSE)),1878,0)</x:f>
        <x:v>0</x:v>
      </x:c>
      <x:c r="JB1878" t="n">
        <x:f>'Calculations'!JB1877+IF('Calculations'!JA1878&gt;0,1,0)</x:f>
        <x:v>0</x:v>
      </x:c>
    </x:row>
    <x:row r="1879">
      <x:c r="JA1879" t="n">
        <x:f>IF(OR(IFERROR(INDIRECT("'WCM Calibration Final'!$A$1879")&lt;&gt;"",FALSE),IFERROR(INDIRECT("'WCM Calibration Final'!$B$1879")&lt;&gt;"",FALSE),IFERROR(INDIRECT("'WCM Calibration Final'!$C$1879")&lt;&gt;"",FALSE)),1879,0)</x:f>
        <x:v>0</x:v>
      </x:c>
      <x:c r="JB1879" t="n">
        <x:f>'Calculations'!JB1878+IF('Calculations'!JA1879&gt;0,1,0)</x:f>
        <x:v>0</x:v>
      </x:c>
    </x:row>
    <x:row r="1880">
      <x:c r="JA1880" t="n">
        <x:f>IF(OR(IFERROR(INDIRECT("'WCM Calibration Final'!$A$1880")&lt;&gt;"",FALSE),IFERROR(INDIRECT("'WCM Calibration Final'!$B$1880")&lt;&gt;"",FALSE),IFERROR(INDIRECT("'WCM Calibration Final'!$C$1880")&lt;&gt;"",FALSE)),1880,0)</x:f>
        <x:v>0</x:v>
      </x:c>
      <x:c r="JB1880" t="n">
        <x:f>'Calculations'!JB1879+IF('Calculations'!JA1880&gt;0,1,0)</x:f>
        <x:v>0</x:v>
      </x:c>
    </x:row>
    <x:row r="1881">
      <x:c r="JA1881" t="n">
        <x:f>IF(OR(IFERROR(INDIRECT("'WCM Calibration Final'!$A$1881")&lt;&gt;"",FALSE),IFERROR(INDIRECT("'WCM Calibration Final'!$B$1881")&lt;&gt;"",FALSE),IFERROR(INDIRECT("'WCM Calibration Final'!$C$1881")&lt;&gt;"",FALSE)),1881,0)</x:f>
        <x:v>0</x:v>
      </x:c>
      <x:c r="JB1881" t="n">
        <x:f>'Calculations'!JB1880+IF('Calculations'!JA1881&gt;0,1,0)</x:f>
        <x:v>0</x:v>
      </x:c>
    </x:row>
    <x:row r="1882">
      <x:c r="JA1882" t="n">
        <x:f>IF(OR(IFERROR(INDIRECT("'WCM Calibration Final'!$A$1882")&lt;&gt;"",FALSE),IFERROR(INDIRECT("'WCM Calibration Final'!$B$1882")&lt;&gt;"",FALSE),IFERROR(INDIRECT("'WCM Calibration Final'!$C$1882")&lt;&gt;"",FALSE)),1882,0)</x:f>
        <x:v>0</x:v>
      </x:c>
      <x:c r="JB1882" t="n">
        <x:f>'Calculations'!JB1881+IF('Calculations'!JA1882&gt;0,1,0)</x:f>
        <x:v>0</x:v>
      </x:c>
    </x:row>
    <x:row r="1883">
      <x:c r="JA1883" t="n">
        <x:f>IF(OR(IFERROR(INDIRECT("'WCM Calibration Final'!$A$1883")&lt;&gt;"",FALSE),IFERROR(INDIRECT("'WCM Calibration Final'!$B$1883")&lt;&gt;"",FALSE),IFERROR(INDIRECT("'WCM Calibration Final'!$C$1883")&lt;&gt;"",FALSE)),1883,0)</x:f>
        <x:v>0</x:v>
      </x:c>
      <x:c r="JB1883" t="n">
        <x:f>'Calculations'!JB1882+IF('Calculations'!JA1883&gt;0,1,0)</x:f>
        <x:v>0</x:v>
      </x:c>
    </x:row>
    <x:row r="1884">
      <x:c r="JA1884" t="n">
        <x:f>IF(OR(IFERROR(INDIRECT("'WCM Calibration Final'!$A$1884")&lt;&gt;"",FALSE),IFERROR(INDIRECT("'WCM Calibration Final'!$B$1884")&lt;&gt;"",FALSE),IFERROR(INDIRECT("'WCM Calibration Final'!$C$1884")&lt;&gt;"",FALSE)),1884,0)</x:f>
        <x:v>0</x:v>
      </x:c>
      <x:c r="JB1884" t="n">
        <x:f>'Calculations'!JB1883+IF('Calculations'!JA1884&gt;0,1,0)</x:f>
        <x:v>0</x:v>
      </x:c>
    </x:row>
    <x:row r="1885">
      <x:c r="JA1885" t="n">
        <x:f>IF(OR(IFERROR(INDIRECT("'WCM Calibration Final'!$A$1885")&lt;&gt;"",FALSE),IFERROR(INDIRECT("'WCM Calibration Final'!$B$1885")&lt;&gt;"",FALSE),IFERROR(INDIRECT("'WCM Calibration Final'!$C$1885")&lt;&gt;"",FALSE)),1885,0)</x:f>
        <x:v>0</x:v>
      </x:c>
      <x:c r="JB1885" t="n">
        <x:f>'Calculations'!JB1884+IF('Calculations'!JA1885&gt;0,1,0)</x:f>
        <x:v>0</x:v>
      </x:c>
    </x:row>
    <x:row r="1886">
      <x:c r="JA1886" t="n">
        <x:f>IF(OR(IFERROR(INDIRECT("'WCM Calibration Final'!$A$1886")&lt;&gt;"",FALSE),IFERROR(INDIRECT("'WCM Calibration Final'!$B$1886")&lt;&gt;"",FALSE),IFERROR(INDIRECT("'WCM Calibration Final'!$C$1886")&lt;&gt;"",FALSE)),1886,0)</x:f>
        <x:v>0</x:v>
      </x:c>
      <x:c r="JB1886" t="n">
        <x:f>'Calculations'!JB1885+IF('Calculations'!JA1886&gt;0,1,0)</x:f>
        <x:v>0</x:v>
      </x:c>
    </x:row>
    <x:row r="1887">
      <x:c r="JA1887" t="n">
        <x:f>IF(OR(IFERROR(INDIRECT("'WCM Calibration Final'!$A$1887")&lt;&gt;"",FALSE),IFERROR(INDIRECT("'WCM Calibration Final'!$B$1887")&lt;&gt;"",FALSE),IFERROR(INDIRECT("'WCM Calibration Final'!$C$1887")&lt;&gt;"",FALSE)),1887,0)</x:f>
        <x:v>0</x:v>
      </x:c>
      <x:c r="JB1887" t="n">
        <x:f>'Calculations'!JB1886+IF('Calculations'!JA1887&gt;0,1,0)</x:f>
        <x:v>0</x:v>
      </x:c>
    </x:row>
    <x:row r="1888">
      <x:c r="JA1888" t="n">
        <x:f>IF(OR(IFERROR(INDIRECT("'WCM Calibration Final'!$A$1888")&lt;&gt;"",FALSE),IFERROR(INDIRECT("'WCM Calibration Final'!$B$1888")&lt;&gt;"",FALSE),IFERROR(INDIRECT("'WCM Calibration Final'!$C$1888")&lt;&gt;"",FALSE)),1888,0)</x:f>
        <x:v>0</x:v>
      </x:c>
      <x:c r="JB1888" t="n">
        <x:f>'Calculations'!JB1887+IF('Calculations'!JA1888&gt;0,1,0)</x:f>
        <x:v>0</x:v>
      </x:c>
    </x:row>
    <x:row r="1889">
      <x:c r="JA1889" t="n">
        <x:f>IF(OR(IFERROR(INDIRECT("'WCM Calibration Final'!$A$1889")&lt;&gt;"",FALSE),IFERROR(INDIRECT("'WCM Calibration Final'!$B$1889")&lt;&gt;"",FALSE),IFERROR(INDIRECT("'WCM Calibration Final'!$C$1889")&lt;&gt;"",FALSE)),1889,0)</x:f>
        <x:v>0</x:v>
      </x:c>
      <x:c r="JB1889" t="n">
        <x:f>'Calculations'!JB1888+IF('Calculations'!JA1889&gt;0,1,0)</x:f>
        <x:v>0</x:v>
      </x:c>
    </x:row>
    <x:row r="1890">
      <x:c r="JA1890" t="n">
        <x:f>IF(OR(IFERROR(INDIRECT("'WCM Calibration Final'!$A$1890")&lt;&gt;"",FALSE),IFERROR(INDIRECT("'WCM Calibration Final'!$B$1890")&lt;&gt;"",FALSE),IFERROR(INDIRECT("'WCM Calibration Final'!$C$1890")&lt;&gt;"",FALSE)),1890,0)</x:f>
        <x:v>0</x:v>
      </x:c>
      <x:c r="JB1890" t="n">
        <x:f>'Calculations'!JB1889+IF('Calculations'!JA1890&gt;0,1,0)</x:f>
        <x:v>0</x:v>
      </x:c>
    </x:row>
    <x:row r="1891">
      <x:c r="JA1891" t="n">
        <x:f>IF(OR(IFERROR(INDIRECT("'WCM Calibration Final'!$A$1891")&lt;&gt;"",FALSE),IFERROR(INDIRECT("'WCM Calibration Final'!$B$1891")&lt;&gt;"",FALSE),IFERROR(INDIRECT("'WCM Calibration Final'!$C$1891")&lt;&gt;"",FALSE)),1891,0)</x:f>
        <x:v>0</x:v>
      </x:c>
      <x:c r="JB1891" t="n">
        <x:f>'Calculations'!JB1890+IF('Calculations'!JA1891&gt;0,1,0)</x:f>
        <x:v>0</x:v>
      </x:c>
    </x:row>
    <x:row r="1892">
      <x:c r="JA1892" t="n">
        <x:f>IF(OR(IFERROR(INDIRECT("'WCM Calibration Final'!$A$1892")&lt;&gt;"",FALSE),IFERROR(INDIRECT("'WCM Calibration Final'!$B$1892")&lt;&gt;"",FALSE),IFERROR(INDIRECT("'WCM Calibration Final'!$C$1892")&lt;&gt;"",FALSE)),1892,0)</x:f>
        <x:v>0</x:v>
      </x:c>
      <x:c r="JB1892" t="n">
        <x:f>'Calculations'!JB1891+IF('Calculations'!JA1892&gt;0,1,0)</x:f>
        <x:v>0</x:v>
      </x:c>
    </x:row>
    <x:row r="1893">
      <x:c r="JA1893" t="n">
        <x:f>IF(OR(IFERROR(INDIRECT("'WCM Calibration Final'!$A$1893")&lt;&gt;"",FALSE),IFERROR(INDIRECT("'WCM Calibration Final'!$B$1893")&lt;&gt;"",FALSE),IFERROR(INDIRECT("'WCM Calibration Final'!$C$1893")&lt;&gt;"",FALSE)),1893,0)</x:f>
        <x:v>0</x:v>
      </x:c>
      <x:c r="JB1893" t="n">
        <x:f>'Calculations'!JB1892+IF('Calculations'!JA1893&gt;0,1,0)</x:f>
        <x:v>0</x:v>
      </x:c>
    </x:row>
    <x:row r="1894">
      <x:c r="JA1894" t="n">
        <x:f>IF(OR(IFERROR(INDIRECT("'WCM Calibration Final'!$A$1894")&lt;&gt;"",FALSE),IFERROR(INDIRECT("'WCM Calibration Final'!$B$1894")&lt;&gt;"",FALSE),IFERROR(INDIRECT("'WCM Calibration Final'!$C$1894")&lt;&gt;"",FALSE)),1894,0)</x:f>
        <x:v>0</x:v>
      </x:c>
      <x:c r="JB1894" t="n">
        <x:f>'Calculations'!JB1893+IF('Calculations'!JA1894&gt;0,1,0)</x:f>
        <x:v>0</x:v>
      </x:c>
    </x:row>
    <x:row r="1895">
      <x:c r="JA1895" t="n">
        <x:f>IF(OR(IFERROR(INDIRECT("'WCM Calibration Final'!$A$1895")&lt;&gt;"",FALSE),IFERROR(INDIRECT("'WCM Calibration Final'!$B$1895")&lt;&gt;"",FALSE),IFERROR(INDIRECT("'WCM Calibration Final'!$C$1895")&lt;&gt;"",FALSE)),1895,0)</x:f>
        <x:v>0</x:v>
      </x:c>
      <x:c r="JB1895" t="n">
        <x:f>'Calculations'!JB1894+IF('Calculations'!JA1895&gt;0,1,0)</x:f>
        <x:v>0</x:v>
      </x:c>
    </x:row>
    <x:row r="1896">
      <x:c r="JA1896" t="n">
        <x:f>IF(OR(IFERROR(INDIRECT("'WCM Calibration Final'!$A$1896")&lt;&gt;"",FALSE),IFERROR(INDIRECT("'WCM Calibration Final'!$B$1896")&lt;&gt;"",FALSE),IFERROR(INDIRECT("'WCM Calibration Final'!$C$1896")&lt;&gt;"",FALSE)),1896,0)</x:f>
        <x:v>0</x:v>
      </x:c>
      <x:c r="JB1896" t="n">
        <x:f>'Calculations'!JB1895+IF('Calculations'!JA1896&gt;0,1,0)</x:f>
        <x:v>0</x:v>
      </x:c>
    </x:row>
    <x:row r="1897">
      <x:c r="JA1897" t="n">
        <x:f>IF(OR(IFERROR(INDIRECT("'WCM Calibration Final'!$A$1897")&lt;&gt;"",FALSE),IFERROR(INDIRECT("'WCM Calibration Final'!$B$1897")&lt;&gt;"",FALSE),IFERROR(INDIRECT("'WCM Calibration Final'!$C$1897")&lt;&gt;"",FALSE)),1897,0)</x:f>
        <x:v>0</x:v>
      </x:c>
      <x:c r="JB1897" t="n">
        <x:f>'Calculations'!JB1896+IF('Calculations'!JA1897&gt;0,1,0)</x:f>
        <x:v>0</x:v>
      </x:c>
    </x:row>
    <x:row r="1898">
      <x:c r="JA1898" t="n">
        <x:f>IF(OR(IFERROR(INDIRECT("'WCM Calibration Final'!$A$1898")&lt;&gt;"",FALSE),IFERROR(INDIRECT("'WCM Calibration Final'!$B$1898")&lt;&gt;"",FALSE),IFERROR(INDIRECT("'WCM Calibration Final'!$C$1898")&lt;&gt;"",FALSE)),1898,0)</x:f>
        <x:v>0</x:v>
      </x:c>
      <x:c r="JB1898" t="n">
        <x:f>'Calculations'!JB1897+IF('Calculations'!JA1898&gt;0,1,0)</x:f>
        <x:v>0</x:v>
      </x:c>
    </x:row>
    <x:row r="1899">
      <x:c r="JA1899" t="n">
        <x:f>IF(OR(IFERROR(INDIRECT("'WCM Calibration Final'!$A$1899")&lt;&gt;"",FALSE),IFERROR(INDIRECT("'WCM Calibration Final'!$B$1899")&lt;&gt;"",FALSE),IFERROR(INDIRECT("'WCM Calibration Final'!$C$1899")&lt;&gt;"",FALSE)),1899,0)</x:f>
        <x:v>0</x:v>
      </x:c>
      <x:c r="JB1899" t="n">
        <x:f>'Calculations'!JB1898+IF('Calculations'!JA1899&gt;0,1,0)</x:f>
        <x:v>0</x:v>
      </x:c>
    </x:row>
    <x:row r="1900">
      <x:c r="JA1900" t="n">
        <x:f>IF(OR(IFERROR(INDIRECT("'WCM Calibration Final'!$A$1900")&lt;&gt;"",FALSE),IFERROR(INDIRECT("'WCM Calibration Final'!$B$1900")&lt;&gt;"",FALSE),IFERROR(INDIRECT("'WCM Calibration Final'!$C$1900")&lt;&gt;"",FALSE)),1900,0)</x:f>
        <x:v>0</x:v>
      </x:c>
      <x:c r="JB1900" t="n">
        <x:f>'Calculations'!JB1899+IF('Calculations'!JA1900&gt;0,1,0)</x:f>
        <x:v>0</x:v>
      </x:c>
    </x:row>
    <x:row r="1901">
      <x:c r="JA1901" t="n">
        <x:f>IF(OR(IFERROR(INDIRECT("'WCM Calibration Final'!$A$1901")&lt;&gt;"",FALSE),IFERROR(INDIRECT("'WCM Calibration Final'!$B$1901")&lt;&gt;"",FALSE),IFERROR(INDIRECT("'WCM Calibration Final'!$C$1901")&lt;&gt;"",FALSE)),1901,0)</x:f>
        <x:v>0</x:v>
      </x:c>
      <x:c r="JB1901" t="n">
        <x:f>'Calculations'!JB1900+IF('Calculations'!JA1901&gt;0,1,0)</x:f>
        <x:v>0</x:v>
      </x:c>
    </x:row>
    <x:row r="1902">
      <x:c r="JA1902" t="n">
        <x:f>IF(OR(IFERROR(INDIRECT("'WCM Calibration Final'!$A$1902")&lt;&gt;"",FALSE),IFERROR(INDIRECT("'WCM Calibration Final'!$B$1902")&lt;&gt;"",FALSE),IFERROR(INDIRECT("'WCM Calibration Final'!$C$1902")&lt;&gt;"",FALSE)),1902,0)</x:f>
        <x:v>0</x:v>
      </x:c>
      <x:c r="JB1902" t="n">
        <x:f>'Calculations'!JB1901+IF('Calculations'!JA1902&gt;0,1,0)</x:f>
        <x:v>0</x:v>
      </x:c>
    </x:row>
    <x:row r="1903">
      <x:c r="JA1903" t="n">
        <x:f>IF(OR(IFERROR(INDIRECT("'WCM Calibration Final'!$A$1903")&lt;&gt;"",FALSE),IFERROR(INDIRECT("'WCM Calibration Final'!$B$1903")&lt;&gt;"",FALSE),IFERROR(INDIRECT("'WCM Calibration Final'!$C$1903")&lt;&gt;"",FALSE)),1903,0)</x:f>
        <x:v>0</x:v>
      </x:c>
      <x:c r="JB1903" t="n">
        <x:f>'Calculations'!JB1902+IF('Calculations'!JA1903&gt;0,1,0)</x:f>
        <x:v>0</x:v>
      </x:c>
    </x:row>
    <x:row r="1904">
      <x:c r="JA1904" t="n">
        <x:f>IF(OR(IFERROR(INDIRECT("'WCM Calibration Final'!$A$1904")&lt;&gt;"",FALSE),IFERROR(INDIRECT("'WCM Calibration Final'!$B$1904")&lt;&gt;"",FALSE),IFERROR(INDIRECT("'WCM Calibration Final'!$C$1904")&lt;&gt;"",FALSE)),1904,0)</x:f>
        <x:v>0</x:v>
      </x:c>
      <x:c r="JB1904" t="n">
        <x:f>'Calculations'!JB1903+IF('Calculations'!JA1904&gt;0,1,0)</x:f>
        <x:v>0</x:v>
      </x:c>
    </x:row>
    <x:row r="1905">
      <x:c r="JA1905" t="n">
        <x:f>IF(OR(IFERROR(INDIRECT("'WCM Calibration Final'!$A$1905")&lt;&gt;"",FALSE),IFERROR(INDIRECT("'WCM Calibration Final'!$B$1905")&lt;&gt;"",FALSE),IFERROR(INDIRECT("'WCM Calibration Final'!$C$1905")&lt;&gt;"",FALSE)),1905,0)</x:f>
        <x:v>0</x:v>
      </x:c>
      <x:c r="JB1905" t="n">
        <x:f>'Calculations'!JB1904+IF('Calculations'!JA1905&gt;0,1,0)</x:f>
        <x:v>0</x:v>
      </x:c>
    </x:row>
    <x:row r="1906">
      <x:c r="JA1906" t="n">
        <x:f>IF(OR(IFERROR(INDIRECT("'WCM Calibration Final'!$A$1906")&lt;&gt;"",FALSE),IFERROR(INDIRECT("'WCM Calibration Final'!$B$1906")&lt;&gt;"",FALSE),IFERROR(INDIRECT("'WCM Calibration Final'!$C$1906")&lt;&gt;"",FALSE)),1906,0)</x:f>
        <x:v>0</x:v>
      </x:c>
      <x:c r="JB1906" t="n">
        <x:f>'Calculations'!JB1905+IF('Calculations'!JA1906&gt;0,1,0)</x:f>
        <x:v>0</x:v>
      </x:c>
    </x:row>
    <x:row r="1907">
      <x:c r="JA1907" t="n">
        <x:f>IF(OR(IFERROR(INDIRECT("'WCM Calibration Final'!$A$1907")&lt;&gt;"",FALSE),IFERROR(INDIRECT("'WCM Calibration Final'!$B$1907")&lt;&gt;"",FALSE),IFERROR(INDIRECT("'WCM Calibration Final'!$C$1907")&lt;&gt;"",FALSE)),1907,0)</x:f>
        <x:v>0</x:v>
      </x:c>
      <x:c r="JB1907" t="n">
        <x:f>'Calculations'!JB1906+IF('Calculations'!JA1907&gt;0,1,0)</x:f>
        <x:v>0</x:v>
      </x:c>
    </x:row>
    <x:row r="1908">
      <x:c r="JA1908" t="n">
        <x:f>IF(OR(IFERROR(INDIRECT("'WCM Calibration Final'!$A$1908")&lt;&gt;"",FALSE),IFERROR(INDIRECT("'WCM Calibration Final'!$B$1908")&lt;&gt;"",FALSE),IFERROR(INDIRECT("'WCM Calibration Final'!$C$1908")&lt;&gt;"",FALSE)),1908,0)</x:f>
        <x:v>0</x:v>
      </x:c>
      <x:c r="JB1908" t="n">
        <x:f>'Calculations'!JB1907+IF('Calculations'!JA1908&gt;0,1,0)</x:f>
        <x:v>0</x:v>
      </x:c>
    </x:row>
    <x:row r="1909">
      <x:c r="JA1909" t="n">
        <x:f>IF(OR(IFERROR(INDIRECT("'WCM Calibration Final'!$A$1909")&lt;&gt;"",FALSE),IFERROR(INDIRECT("'WCM Calibration Final'!$B$1909")&lt;&gt;"",FALSE),IFERROR(INDIRECT("'WCM Calibration Final'!$C$1909")&lt;&gt;"",FALSE)),1909,0)</x:f>
        <x:v>0</x:v>
      </x:c>
      <x:c r="JB1909" t="n">
        <x:f>'Calculations'!JB1908+IF('Calculations'!JA1909&gt;0,1,0)</x:f>
        <x:v>0</x:v>
      </x:c>
    </x:row>
    <x:row r="1910">
      <x:c r="JA1910" t="n">
        <x:f>IF(OR(IFERROR(INDIRECT("'WCM Calibration Final'!$A$1910")&lt;&gt;"",FALSE),IFERROR(INDIRECT("'WCM Calibration Final'!$B$1910")&lt;&gt;"",FALSE),IFERROR(INDIRECT("'WCM Calibration Final'!$C$1910")&lt;&gt;"",FALSE)),1910,0)</x:f>
        <x:v>0</x:v>
      </x:c>
      <x:c r="JB1910" t="n">
        <x:f>'Calculations'!JB1909+IF('Calculations'!JA1910&gt;0,1,0)</x:f>
        <x:v>0</x:v>
      </x:c>
    </x:row>
    <x:row r="1911">
      <x:c r="JA1911" t="n">
        <x:f>IF(OR(IFERROR(INDIRECT("'WCM Calibration Final'!$A$1911")&lt;&gt;"",FALSE),IFERROR(INDIRECT("'WCM Calibration Final'!$B$1911")&lt;&gt;"",FALSE),IFERROR(INDIRECT("'WCM Calibration Final'!$C$1911")&lt;&gt;"",FALSE)),1911,0)</x:f>
        <x:v>0</x:v>
      </x:c>
      <x:c r="JB1911" t="n">
        <x:f>'Calculations'!JB1910+IF('Calculations'!JA1911&gt;0,1,0)</x:f>
        <x:v>0</x:v>
      </x:c>
    </x:row>
    <x:row r="1912">
      <x:c r="JA1912" t="n">
        <x:f>IF(OR(IFERROR(INDIRECT("'WCM Calibration Final'!$A$1912")&lt;&gt;"",FALSE),IFERROR(INDIRECT("'WCM Calibration Final'!$B$1912")&lt;&gt;"",FALSE),IFERROR(INDIRECT("'WCM Calibration Final'!$C$1912")&lt;&gt;"",FALSE)),1912,0)</x:f>
        <x:v>0</x:v>
      </x:c>
      <x:c r="JB1912" t="n">
        <x:f>'Calculations'!JB1911+IF('Calculations'!JA1912&gt;0,1,0)</x:f>
        <x:v>0</x:v>
      </x:c>
    </x:row>
    <x:row r="1913">
      <x:c r="JA1913" t="n">
        <x:f>IF(OR(IFERROR(INDIRECT("'WCM Calibration Final'!$A$1913")&lt;&gt;"",FALSE),IFERROR(INDIRECT("'WCM Calibration Final'!$B$1913")&lt;&gt;"",FALSE),IFERROR(INDIRECT("'WCM Calibration Final'!$C$1913")&lt;&gt;"",FALSE)),1913,0)</x:f>
        <x:v>0</x:v>
      </x:c>
      <x:c r="JB1913" t="n">
        <x:f>'Calculations'!JB1912+IF('Calculations'!JA1913&gt;0,1,0)</x:f>
        <x:v>0</x:v>
      </x:c>
    </x:row>
    <x:row r="1914">
      <x:c r="JA1914" t="n">
        <x:f>IF(OR(IFERROR(INDIRECT("'WCM Calibration Final'!$A$1914")&lt;&gt;"",FALSE),IFERROR(INDIRECT("'WCM Calibration Final'!$B$1914")&lt;&gt;"",FALSE),IFERROR(INDIRECT("'WCM Calibration Final'!$C$1914")&lt;&gt;"",FALSE)),1914,0)</x:f>
        <x:v>0</x:v>
      </x:c>
      <x:c r="JB1914" t="n">
        <x:f>'Calculations'!JB1913+IF('Calculations'!JA1914&gt;0,1,0)</x:f>
        <x:v>0</x:v>
      </x:c>
    </x:row>
    <x:row r="1915">
      <x:c r="JA1915" t="n">
        <x:f>IF(OR(IFERROR(INDIRECT("'WCM Calibration Final'!$A$1915")&lt;&gt;"",FALSE),IFERROR(INDIRECT("'WCM Calibration Final'!$B$1915")&lt;&gt;"",FALSE),IFERROR(INDIRECT("'WCM Calibration Final'!$C$1915")&lt;&gt;"",FALSE)),1915,0)</x:f>
        <x:v>0</x:v>
      </x:c>
      <x:c r="JB1915" t="n">
        <x:f>'Calculations'!JB1914+IF('Calculations'!JA1915&gt;0,1,0)</x:f>
        <x:v>0</x:v>
      </x:c>
    </x:row>
    <x:row r="1916">
      <x:c r="JA1916" t="n">
        <x:f>IF(OR(IFERROR(INDIRECT("'WCM Calibration Final'!$A$1916")&lt;&gt;"",FALSE),IFERROR(INDIRECT("'WCM Calibration Final'!$B$1916")&lt;&gt;"",FALSE),IFERROR(INDIRECT("'WCM Calibration Final'!$C$1916")&lt;&gt;"",FALSE)),1916,0)</x:f>
        <x:v>0</x:v>
      </x:c>
      <x:c r="JB1916" t="n">
        <x:f>'Calculations'!JB1915+IF('Calculations'!JA1916&gt;0,1,0)</x:f>
        <x:v>0</x:v>
      </x:c>
    </x:row>
    <x:row r="1917">
      <x:c r="JA1917" t="n">
        <x:f>IF(OR(IFERROR(INDIRECT("'WCM Calibration Final'!$A$1917")&lt;&gt;"",FALSE),IFERROR(INDIRECT("'WCM Calibration Final'!$B$1917")&lt;&gt;"",FALSE),IFERROR(INDIRECT("'WCM Calibration Final'!$C$1917")&lt;&gt;"",FALSE)),1917,0)</x:f>
        <x:v>0</x:v>
      </x:c>
      <x:c r="JB1917" t="n">
        <x:f>'Calculations'!JB1916+IF('Calculations'!JA1917&gt;0,1,0)</x:f>
        <x:v>0</x:v>
      </x:c>
    </x:row>
    <x:row r="1918">
      <x:c r="JA1918" t="n">
        <x:f>IF(OR(IFERROR(INDIRECT("'WCM Calibration Final'!$A$1918")&lt;&gt;"",FALSE),IFERROR(INDIRECT("'WCM Calibration Final'!$B$1918")&lt;&gt;"",FALSE),IFERROR(INDIRECT("'WCM Calibration Final'!$C$1918")&lt;&gt;"",FALSE)),1918,0)</x:f>
        <x:v>0</x:v>
      </x:c>
      <x:c r="JB1918" t="n">
        <x:f>'Calculations'!JB1917+IF('Calculations'!JA1918&gt;0,1,0)</x:f>
        <x:v>0</x:v>
      </x:c>
    </x:row>
    <x:row r="1919">
      <x:c r="JA1919" t="n">
        <x:f>IF(OR(IFERROR(INDIRECT("'WCM Calibration Final'!$A$1919")&lt;&gt;"",FALSE),IFERROR(INDIRECT("'WCM Calibration Final'!$B$1919")&lt;&gt;"",FALSE),IFERROR(INDIRECT("'WCM Calibration Final'!$C$1919")&lt;&gt;"",FALSE)),1919,0)</x:f>
        <x:v>0</x:v>
      </x:c>
      <x:c r="JB1919" t="n">
        <x:f>'Calculations'!JB1918+IF('Calculations'!JA1919&gt;0,1,0)</x:f>
        <x:v>0</x:v>
      </x:c>
    </x:row>
    <x:row r="1920">
      <x:c r="JA1920" t="n">
        <x:f>IF(OR(IFERROR(INDIRECT("'WCM Calibration Final'!$A$1920")&lt;&gt;"",FALSE),IFERROR(INDIRECT("'WCM Calibration Final'!$B$1920")&lt;&gt;"",FALSE),IFERROR(INDIRECT("'WCM Calibration Final'!$C$1920")&lt;&gt;"",FALSE)),1920,0)</x:f>
        <x:v>0</x:v>
      </x:c>
      <x:c r="JB1920" t="n">
        <x:f>'Calculations'!JB1919+IF('Calculations'!JA1920&gt;0,1,0)</x:f>
        <x:v>0</x:v>
      </x:c>
    </x:row>
    <x:row r="1921">
      <x:c r="JA1921" t="n">
        <x:f>IF(OR(IFERROR(INDIRECT("'WCM Calibration Final'!$A$1921")&lt;&gt;"",FALSE),IFERROR(INDIRECT("'WCM Calibration Final'!$B$1921")&lt;&gt;"",FALSE),IFERROR(INDIRECT("'WCM Calibration Final'!$C$1921")&lt;&gt;"",FALSE)),1921,0)</x:f>
        <x:v>0</x:v>
      </x:c>
      <x:c r="JB1921" t="n">
        <x:f>'Calculations'!JB1920+IF('Calculations'!JA1921&gt;0,1,0)</x:f>
        <x:v>0</x:v>
      </x:c>
    </x:row>
    <x:row r="1922">
      <x:c r="JA1922" t="n">
        <x:f>IF(OR(IFERROR(INDIRECT("'WCM Calibration Final'!$A$1922")&lt;&gt;"",FALSE),IFERROR(INDIRECT("'WCM Calibration Final'!$B$1922")&lt;&gt;"",FALSE),IFERROR(INDIRECT("'WCM Calibration Final'!$C$1922")&lt;&gt;"",FALSE)),1922,0)</x:f>
        <x:v>0</x:v>
      </x:c>
      <x:c r="JB1922" t="n">
        <x:f>'Calculations'!JB1921+IF('Calculations'!JA1922&gt;0,1,0)</x:f>
        <x:v>0</x:v>
      </x:c>
    </x:row>
    <x:row r="1923">
      <x:c r="JA1923" t="n">
        <x:f>IF(OR(IFERROR(INDIRECT("'WCM Calibration Final'!$A$1923")&lt;&gt;"",FALSE),IFERROR(INDIRECT("'WCM Calibration Final'!$B$1923")&lt;&gt;"",FALSE),IFERROR(INDIRECT("'WCM Calibration Final'!$C$1923")&lt;&gt;"",FALSE)),1923,0)</x:f>
        <x:v>0</x:v>
      </x:c>
      <x:c r="JB1923" t="n">
        <x:f>'Calculations'!JB1922+IF('Calculations'!JA1923&gt;0,1,0)</x:f>
        <x:v>0</x:v>
      </x:c>
    </x:row>
    <x:row r="1924">
      <x:c r="JA1924" t="n">
        <x:f>IF(OR(IFERROR(INDIRECT("'WCM Calibration Final'!$A$1924")&lt;&gt;"",FALSE),IFERROR(INDIRECT("'WCM Calibration Final'!$B$1924")&lt;&gt;"",FALSE),IFERROR(INDIRECT("'WCM Calibration Final'!$C$1924")&lt;&gt;"",FALSE)),1924,0)</x:f>
        <x:v>0</x:v>
      </x:c>
      <x:c r="JB1924" t="n">
        <x:f>'Calculations'!JB1923+IF('Calculations'!JA1924&gt;0,1,0)</x:f>
        <x:v>0</x:v>
      </x:c>
    </x:row>
    <x:row r="1925">
      <x:c r="JA1925" t="n">
        <x:f>IF(OR(IFERROR(INDIRECT("'WCM Calibration Final'!$A$1925")&lt;&gt;"",FALSE),IFERROR(INDIRECT("'WCM Calibration Final'!$B$1925")&lt;&gt;"",FALSE),IFERROR(INDIRECT("'WCM Calibration Final'!$C$1925")&lt;&gt;"",FALSE)),1925,0)</x:f>
        <x:v>0</x:v>
      </x:c>
      <x:c r="JB1925" t="n">
        <x:f>'Calculations'!JB1924+IF('Calculations'!JA1925&gt;0,1,0)</x:f>
        <x:v>0</x:v>
      </x:c>
    </x:row>
    <x:row r="1926">
      <x:c r="JA1926" t="n">
        <x:f>IF(OR(IFERROR(INDIRECT("'WCM Calibration Final'!$A$1926")&lt;&gt;"",FALSE),IFERROR(INDIRECT("'WCM Calibration Final'!$B$1926")&lt;&gt;"",FALSE),IFERROR(INDIRECT("'WCM Calibration Final'!$C$1926")&lt;&gt;"",FALSE)),1926,0)</x:f>
        <x:v>0</x:v>
      </x:c>
      <x:c r="JB1926" t="n">
        <x:f>'Calculations'!JB1925+IF('Calculations'!JA1926&gt;0,1,0)</x:f>
        <x:v>0</x:v>
      </x:c>
    </x:row>
    <x:row r="1927">
      <x:c r="JA1927" t="n">
        <x:f>IF(OR(IFERROR(INDIRECT("'WCM Calibration Final'!$A$1927")&lt;&gt;"",FALSE),IFERROR(INDIRECT("'WCM Calibration Final'!$B$1927")&lt;&gt;"",FALSE),IFERROR(INDIRECT("'WCM Calibration Final'!$C$1927")&lt;&gt;"",FALSE)),1927,0)</x:f>
        <x:v>0</x:v>
      </x:c>
      <x:c r="JB1927" t="n">
        <x:f>'Calculations'!JB1926+IF('Calculations'!JA1927&gt;0,1,0)</x:f>
        <x:v>0</x:v>
      </x:c>
    </x:row>
    <x:row r="1928">
      <x:c r="JA1928" t="n">
        <x:f>IF(OR(IFERROR(INDIRECT("'WCM Calibration Final'!$A$1928")&lt;&gt;"",FALSE),IFERROR(INDIRECT("'WCM Calibration Final'!$B$1928")&lt;&gt;"",FALSE),IFERROR(INDIRECT("'WCM Calibration Final'!$C$1928")&lt;&gt;"",FALSE)),1928,0)</x:f>
        <x:v>0</x:v>
      </x:c>
      <x:c r="JB1928" t="n">
        <x:f>'Calculations'!JB1927+IF('Calculations'!JA1928&gt;0,1,0)</x:f>
        <x:v>0</x:v>
      </x:c>
    </x:row>
    <x:row r="1929">
      <x:c r="JA1929" t="n">
        <x:f>IF(OR(IFERROR(INDIRECT("'WCM Calibration Final'!$A$1929")&lt;&gt;"",FALSE),IFERROR(INDIRECT("'WCM Calibration Final'!$B$1929")&lt;&gt;"",FALSE),IFERROR(INDIRECT("'WCM Calibration Final'!$C$1929")&lt;&gt;"",FALSE)),1929,0)</x:f>
        <x:v>0</x:v>
      </x:c>
      <x:c r="JB1929" t="n">
        <x:f>'Calculations'!JB1928+IF('Calculations'!JA1929&gt;0,1,0)</x:f>
        <x:v>0</x:v>
      </x:c>
    </x:row>
    <x:row r="1930">
      <x:c r="JA1930" t="n">
        <x:f>IF(OR(IFERROR(INDIRECT("'WCM Calibration Final'!$A$1930")&lt;&gt;"",FALSE),IFERROR(INDIRECT("'WCM Calibration Final'!$B$1930")&lt;&gt;"",FALSE),IFERROR(INDIRECT("'WCM Calibration Final'!$C$1930")&lt;&gt;"",FALSE)),1930,0)</x:f>
        <x:v>0</x:v>
      </x:c>
      <x:c r="JB1930" t="n">
        <x:f>'Calculations'!JB1929+IF('Calculations'!JA1930&gt;0,1,0)</x:f>
        <x:v>0</x:v>
      </x:c>
    </x:row>
    <x:row r="1931">
      <x:c r="JA1931" t="n">
        <x:f>IF(OR(IFERROR(INDIRECT("'WCM Calibration Final'!$A$1931")&lt;&gt;"",FALSE),IFERROR(INDIRECT("'WCM Calibration Final'!$B$1931")&lt;&gt;"",FALSE),IFERROR(INDIRECT("'WCM Calibration Final'!$C$1931")&lt;&gt;"",FALSE)),1931,0)</x:f>
        <x:v>0</x:v>
      </x:c>
      <x:c r="JB1931" t="n">
        <x:f>'Calculations'!JB1930+IF('Calculations'!JA1931&gt;0,1,0)</x:f>
        <x:v>0</x:v>
      </x:c>
    </x:row>
    <x:row r="1932">
      <x:c r="JA1932" t="n">
        <x:f>IF(OR(IFERROR(INDIRECT("'WCM Calibration Final'!$A$1932")&lt;&gt;"",FALSE),IFERROR(INDIRECT("'WCM Calibration Final'!$B$1932")&lt;&gt;"",FALSE),IFERROR(INDIRECT("'WCM Calibration Final'!$C$1932")&lt;&gt;"",FALSE)),1932,0)</x:f>
        <x:v>0</x:v>
      </x:c>
      <x:c r="JB1932" t="n">
        <x:f>'Calculations'!JB1931+IF('Calculations'!JA1932&gt;0,1,0)</x:f>
        <x:v>0</x:v>
      </x:c>
    </x:row>
    <x:row r="1933">
      <x:c r="JA1933" t="n">
        <x:f>IF(OR(IFERROR(INDIRECT("'WCM Calibration Final'!$A$1933")&lt;&gt;"",FALSE),IFERROR(INDIRECT("'WCM Calibration Final'!$B$1933")&lt;&gt;"",FALSE),IFERROR(INDIRECT("'WCM Calibration Final'!$C$1933")&lt;&gt;"",FALSE)),1933,0)</x:f>
        <x:v>0</x:v>
      </x:c>
      <x:c r="JB1933" t="n">
        <x:f>'Calculations'!JB1932+IF('Calculations'!JA1933&gt;0,1,0)</x:f>
        <x:v>0</x:v>
      </x:c>
    </x:row>
    <x:row r="1934">
      <x:c r="JA1934" t="n">
        <x:f>IF(OR(IFERROR(INDIRECT("'WCM Calibration Final'!$A$1934")&lt;&gt;"",FALSE),IFERROR(INDIRECT("'WCM Calibration Final'!$B$1934")&lt;&gt;"",FALSE),IFERROR(INDIRECT("'WCM Calibration Final'!$C$1934")&lt;&gt;"",FALSE)),1934,0)</x:f>
        <x:v>0</x:v>
      </x:c>
      <x:c r="JB1934" t="n">
        <x:f>'Calculations'!JB1933+IF('Calculations'!JA1934&gt;0,1,0)</x:f>
        <x:v>0</x:v>
      </x:c>
    </x:row>
    <x:row r="1935">
      <x:c r="JA1935" t="n">
        <x:f>IF(OR(IFERROR(INDIRECT("'WCM Calibration Final'!$A$1935")&lt;&gt;"",FALSE),IFERROR(INDIRECT("'WCM Calibration Final'!$B$1935")&lt;&gt;"",FALSE),IFERROR(INDIRECT("'WCM Calibration Final'!$C$1935")&lt;&gt;"",FALSE)),1935,0)</x:f>
        <x:v>0</x:v>
      </x:c>
      <x:c r="JB1935" t="n">
        <x:f>'Calculations'!JB1934+IF('Calculations'!JA1935&gt;0,1,0)</x:f>
        <x:v>0</x:v>
      </x:c>
    </x:row>
    <x:row r="1936">
      <x:c r="JA1936" t="n">
        <x:f>IF(OR(IFERROR(INDIRECT("'WCM Calibration Final'!$A$1936")&lt;&gt;"",FALSE),IFERROR(INDIRECT("'WCM Calibration Final'!$B$1936")&lt;&gt;"",FALSE),IFERROR(INDIRECT("'WCM Calibration Final'!$C$1936")&lt;&gt;"",FALSE)),1936,0)</x:f>
        <x:v>0</x:v>
      </x:c>
      <x:c r="JB1936" t="n">
        <x:f>'Calculations'!JB1935+IF('Calculations'!JA1936&gt;0,1,0)</x:f>
        <x:v>0</x:v>
      </x:c>
    </x:row>
    <x:row r="1937">
      <x:c r="JA1937" t="n">
        <x:f>IF(OR(IFERROR(INDIRECT("'WCM Calibration Final'!$A$1937")&lt;&gt;"",FALSE),IFERROR(INDIRECT("'WCM Calibration Final'!$B$1937")&lt;&gt;"",FALSE),IFERROR(INDIRECT("'WCM Calibration Final'!$C$1937")&lt;&gt;"",FALSE)),1937,0)</x:f>
        <x:v>0</x:v>
      </x:c>
      <x:c r="JB1937" t="n">
        <x:f>'Calculations'!JB1936+IF('Calculations'!JA1937&gt;0,1,0)</x:f>
        <x:v>0</x:v>
      </x:c>
    </x:row>
    <x:row r="1938">
      <x:c r="JA1938" t="n">
        <x:f>IF(OR(IFERROR(INDIRECT("'WCM Calibration Final'!$A$1938")&lt;&gt;"",FALSE),IFERROR(INDIRECT("'WCM Calibration Final'!$B$1938")&lt;&gt;"",FALSE),IFERROR(INDIRECT("'WCM Calibration Final'!$C$1938")&lt;&gt;"",FALSE)),1938,0)</x:f>
        <x:v>0</x:v>
      </x:c>
      <x:c r="JB1938" t="n">
        <x:f>'Calculations'!JB1937+IF('Calculations'!JA1938&gt;0,1,0)</x:f>
        <x:v>0</x:v>
      </x:c>
    </x:row>
    <x:row r="1939">
      <x:c r="JA1939" t="n">
        <x:f>IF(OR(IFERROR(INDIRECT("'WCM Calibration Final'!$A$1939")&lt;&gt;"",FALSE),IFERROR(INDIRECT("'WCM Calibration Final'!$B$1939")&lt;&gt;"",FALSE),IFERROR(INDIRECT("'WCM Calibration Final'!$C$1939")&lt;&gt;"",FALSE)),1939,0)</x:f>
        <x:v>0</x:v>
      </x:c>
      <x:c r="JB1939" t="n">
        <x:f>'Calculations'!JB1938+IF('Calculations'!JA1939&gt;0,1,0)</x:f>
        <x:v>0</x:v>
      </x:c>
    </x:row>
    <x:row r="1940">
      <x:c r="JA1940" t="n">
        <x:f>IF(OR(IFERROR(INDIRECT("'WCM Calibration Final'!$A$1940")&lt;&gt;"",FALSE),IFERROR(INDIRECT("'WCM Calibration Final'!$B$1940")&lt;&gt;"",FALSE),IFERROR(INDIRECT("'WCM Calibration Final'!$C$1940")&lt;&gt;"",FALSE)),1940,0)</x:f>
        <x:v>0</x:v>
      </x:c>
      <x:c r="JB1940" t="n">
        <x:f>'Calculations'!JB1939+IF('Calculations'!JA1940&gt;0,1,0)</x:f>
        <x:v>0</x:v>
      </x:c>
    </x:row>
    <x:row r="1941">
      <x:c r="JA1941" t="n">
        <x:f>IF(OR(IFERROR(INDIRECT("'WCM Calibration Final'!$A$1941")&lt;&gt;"",FALSE),IFERROR(INDIRECT("'WCM Calibration Final'!$B$1941")&lt;&gt;"",FALSE),IFERROR(INDIRECT("'WCM Calibration Final'!$C$1941")&lt;&gt;"",FALSE)),1941,0)</x:f>
        <x:v>0</x:v>
      </x:c>
      <x:c r="JB1941" t="n">
        <x:f>'Calculations'!JB1940+IF('Calculations'!JA1941&gt;0,1,0)</x:f>
        <x:v>0</x:v>
      </x:c>
    </x:row>
    <x:row r="1942">
      <x:c r="JA1942" t="n">
        <x:f>IF(OR(IFERROR(INDIRECT("'WCM Calibration Final'!$A$1942")&lt;&gt;"",FALSE),IFERROR(INDIRECT("'WCM Calibration Final'!$B$1942")&lt;&gt;"",FALSE),IFERROR(INDIRECT("'WCM Calibration Final'!$C$1942")&lt;&gt;"",FALSE)),1942,0)</x:f>
        <x:v>0</x:v>
      </x:c>
      <x:c r="JB1942" t="n">
        <x:f>'Calculations'!JB1941+IF('Calculations'!JA1942&gt;0,1,0)</x:f>
        <x:v>0</x:v>
      </x:c>
    </x:row>
    <x:row r="1943">
      <x:c r="JA1943" t="n">
        <x:f>IF(OR(IFERROR(INDIRECT("'WCM Calibration Final'!$A$1943")&lt;&gt;"",FALSE),IFERROR(INDIRECT("'WCM Calibration Final'!$B$1943")&lt;&gt;"",FALSE),IFERROR(INDIRECT("'WCM Calibration Final'!$C$1943")&lt;&gt;"",FALSE)),1943,0)</x:f>
        <x:v>0</x:v>
      </x:c>
      <x:c r="JB1943" t="n">
        <x:f>'Calculations'!JB1942+IF('Calculations'!JA1943&gt;0,1,0)</x:f>
        <x:v>0</x:v>
      </x:c>
    </x:row>
    <x:row r="1944">
      <x:c r="JA1944" t="n">
        <x:f>IF(OR(IFERROR(INDIRECT("'WCM Calibration Final'!$A$1944")&lt;&gt;"",FALSE),IFERROR(INDIRECT("'WCM Calibration Final'!$B$1944")&lt;&gt;"",FALSE),IFERROR(INDIRECT("'WCM Calibration Final'!$C$1944")&lt;&gt;"",FALSE)),1944,0)</x:f>
        <x:v>0</x:v>
      </x:c>
      <x:c r="JB1944" t="n">
        <x:f>'Calculations'!JB1943+IF('Calculations'!JA1944&gt;0,1,0)</x:f>
        <x:v>0</x:v>
      </x:c>
    </x:row>
    <x:row r="1945">
      <x:c r="JA1945" t="n">
        <x:f>IF(OR(IFERROR(INDIRECT("'WCM Calibration Final'!$A$1945")&lt;&gt;"",FALSE),IFERROR(INDIRECT("'WCM Calibration Final'!$B$1945")&lt;&gt;"",FALSE),IFERROR(INDIRECT("'WCM Calibration Final'!$C$1945")&lt;&gt;"",FALSE)),1945,0)</x:f>
        <x:v>0</x:v>
      </x:c>
      <x:c r="JB1945" t="n">
        <x:f>'Calculations'!JB1944+IF('Calculations'!JA1945&gt;0,1,0)</x:f>
        <x:v>0</x:v>
      </x:c>
    </x:row>
    <x:row r="1946">
      <x:c r="JA1946" t="n">
        <x:f>IF(OR(IFERROR(INDIRECT("'WCM Calibration Final'!$A$1946")&lt;&gt;"",FALSE),IFERROR(INDIRECT("'WCM Calibration Final'!$B$1946")&lt;&gt;"",FALSE),IFERROR(INDIRECT("'WCM Calibration Final'!$C$1946")&lt;&gt;"",FALSE)),1946,0)</x:f>
        <x:v>0</x:v>
      </x:c>
      <x:c r="JB1946" t="n">
        <x:f>'Calculations'!JB1945+IF('Calculations'!JA1946&gt;0,1,0)</x:f>
        <x:v>0</x:v>
      </x:c>
    </x:row>
    <x:row r="1947">
      <x:c r="JA1947" t="n">
        <x:f>IF(OR(IFERROR(INDIRECT("'WCM Calibration Final'!$A$1947")&lt;&gt;"",FALSE),IFERROR(INDIRECT("'WCM Calibration Final'!$B$1947")&lt;&gt;"",FALSE),IFERROR(INDIRECT("'WCM Calibration Final'!$C$1947")&lt;&gt;"",FALSE)),1947,0)</x:f>
        <x:v>0</x:v>
      </x:c>
      <x:c r="JB1947" t="n">
        <x:f>'Calculations'!JB1946+IF('Calculations'!JA1947&gt;0,1,0)</x:f>
        <x:v>0</x:v>
      </x:c>
    </x:row>
    <x:row r="1948">
      <x:c r="JA1948" t="n">
        <x:f>IF(OR(IFERROR(INDIRECT("'WCM Calibration Final'!$A$1948")&lt;&gt;"",FALSE),IFERROR(INDIRECT("'WCM Calibration Final'!$B$1948")&lt;&gt;"",FALSE),IFERROR(INDIRECT("'WCM Calibration Final'!$C$1948")&lt;&gt;"",FALSE)),1948,0)</x:f>
        <x:v>0</x:v>
      </x:c>
      <x:c r="JB1948" t="n">
        <x:f>'Calculations'!JB1947+IF('Calculations'!JA1948&gt;0,1,0)</x:f>
        <x:v>0</x:v>
      </x:c>
    </x:row>
    <x:row r="1949">
      <x:c r="JA1949" t="n">
        <x:f>IF(OR(IFERROR(INDIRECT("'WCM Calibration Final'!$A$1949")&lt;&gt;"",FALSE),IFERROR(INDIRECT("'WCM Calibration Final'!$B$1949")&lt;&gt;"",FALSE),IFERROR(INDIRECT("'WCM Calibration Final'!$C$1949")&lt;&gt;"",FALSE)),1949,0)</x:f>
        <x:v>0</x:v>
      </x:c>
      <x:c r="JB1949" t="n">
        <x:f>'Calculations'!JB1948+IF('Calculations'!JA1949&gt;0,1,0)</x:f>
        <x:v>0</x:v>
      </x:c>
    </x:row>
    <x:row r="1950">
      <x:c r="JA1950" t="n">
        <x:f>IF(OR(IFERROR(INDIRECT("'WCM Calibration Final'!$A$1950")&lt;&gt;"",FALSE),IFERROR(INDIRECT("'WCM Calibration Final'!$B$1950")&lt;&gt;"",FALSE),IFERROR(INDIRECT("'WCM Calibration Final'!$C$1950")&lt;&gt;"",FALSE)),1950,0)</x:f>
        <x:v>0</x:v>
      </x:c>
      <x:c r="JB1950" t="n">
        <x:f>'Calculations'!JB1949+IF('Calculations'!JA1950&gt;0,1,0)</x:f>
        <x:v>0</x:v>
      </x:c>
    </x:row>
    <x:row r="1951">
      <x:c r="JA1951" t="n">
        <x:f>IF(OR(IFERROR(INDIRECT("'WCM Calibration Final'!$A$1951")&lt;&gt;"",FALSE),IFERROR(INDIRECT("'WCM Calibration Final'!$B$1951")&lt;&gt;"",FALSE),IFERROR(INDIRECT("'WCM Calibration Final'!$C$1951")&lt;&gt;"",FALSE)),1951,0)</x:f>
        <x:v>0</x:v>
      </x:c>
      <x:c r="JB1951" t="n">
        <x:f>'Calculations'!JB1950+IF('Calculations'!JA1951&gt;0,1,0)</x:f>
        <x:v>0</x:v>
      </x:c>
    </x:row>
    <x:row r="1952">
      <x:c r="JA1952" t="n">
        <x:f>IF(OR(IFERROR(INDIRECT("'WCM Calibration Final'!$A$1952")&lt;&gt;"",FALSE),IFERROR(INDIRECT("'WCM Calibration Final'!$B$1952")&lt;&gt;"",FALSE),IFERROR(INDIRECT("'WCM Calibration Final'!$C$1952")&lt;&gt;"",FALSE)),1952,0)</x:f>
        <x:v>0</x:v>
      </x:c>
      <x:c r="JB1952" t="n">
        <x:f>'Calculations'!JB1951+IF('Calculations'!JA1952&gt;0,1,0)</x:f>
        <x:v>0</x:v>
      </x:c>
    </x:row>
    <x:row r="1953">
      <x:c r="JA1953" t="n">
        <x:f>IF(OR(IFERROR(INDIRECT("'WCM Calibration Final'!$A$1953")&lt;&gt;"",FALSE),IFERROR(INDIRECT("'WCM Calibration Final'!$B$1953")&lt;&gt;"",FALSE),IFERROR(INDIRECT("'WCM Calibration Final'!$C$1953")&lt;&gt;"",FALSE)),1953,0)</x:f>
        <x:v>0</x:v>
      </x:c>
      <x:c r="JB1953" t="n">
        <x:f>'Calculations'!JB1952+IF('Calculations'!JA1953&gt;0,1,0)</x:f>
        <x:v>0</x:v>
      </x:c>
    </x:row>
    <x:row r="1954">
      <x:c r="JA1954" t="n">
        <x:f>IF(OR(IFERROR(INDIRECT("'WCM Calibration Final'!$A$1954")&lt;&gt;"",FALSE),IFERROR(INDIRECT("'WCM Calibration Final'!$B$1954")&lt;&gt;"",FALSE),IFERROR(INDIRECT("'WCM Calibration Final'!$C$1954")&lt;&gt;"",FALSE)),1954,0)</x:f>
        <x:v>0</x:v>
      </x:c>
      <x:c r="JB1954" t="n">
        <x:f>'Calculations'!JB1953+IF('Calculations'!JA1954&gt;0,1,0)</x:f>
        <x:v>0</x:v>
      </x:c>
    </x:row>
    <x:row r="1955">
      <x:c r="JA1955" t="n">
        <x:f>IF(OR(IFERROR(INDIRECT("'WCM Calibration Final'!$A$1955")&lt;&gt;"",FALSE),IFERROR(INDIRECT("'WCM Calibration Final'!$B$1955")&lt;&gt;"",FALSE),IFERROR(INDIRECT("'WCM Calibration Final'!$C$1955")&lt;&gt;"",FALSE)),1955,0)</x:f>
        <x:v>0</x:v>
      </x:c>
      <x:c r="JB1955" t="n">
        <x:f>'Calculations'!JB1954+IF('Calculations'!JA1955&gt;0,1,0)</x:f>
        <x:v>0</x:v>
      </x:c>
    </x:row>
    <x:row r="1956">
      <x:c r="JA1956" t="n">
        <x:f>IF(OR(IFERROR(INDIRECT("'WCM Calibration Final'!$A$1956")&lt;&gt;"",FALSE),IFERROR(INDIRECT("'WCM Calibration Final'!$B$1956")&lt;&gt;"",FALSE),IFERROR(INDIRECT("'WCM Calibration Final'!$C$1956")&lt;&gt;"",FALSE)),1956,0)</x:f>
        <x:v>0</x:v>
      </x:c>
      <x:c r="JB1956" t="n">
        <x:f>'Calculations'!JB1955+IF('Calculations'!JA1956&gt;0,1,0)</x:f>
        <x:v>0</x:v>
      </x:c>
    </x:row>
    <x:row r="1957">
      <x:c r="JA1957" t="n">
        <x:f>IF(OR(IFERROR(INDIRECT("'WCM Calibration Final'!$A$1957")&lt;&gt;"",FALSE),IFERROR(INDIRECT("'WCM Calibration Final'!$B$1957")&lt;&gt;"",FALSE),IFERROR(INDIRECT("'WCM Calibration Final'!$C$1957")&lt;&gt;"",FALSE)),1957,0)</x:f>
        <x:v>0</x:v>
      </x:c>
      <x:c r="JB1957" t="n">
        <x:f>'Calculations'!JB1956+IF('Calculations'!JA1957&gt;0,1,0)</x:f>
        <x:v>0</x:v>
      </x:c>
    </x:row>
    <x:row r="1958">
      <x:c r="JA1958" t="n">
        <x:f>IF(OR(IFERROR(INDIRECT("'WCM Calibration Final'!$A$1958")&lt;&gt;"",FALSE),IFERROR(INDIRECT("'WCM Calibration Final'!$B$1958")&lt;&gt;"",FALSE),IFERROR(INDIRECT("'WCM Calibration Final'!$C$1958")&lt;&gt;"",FALSE)),1958,0)</x:f>
        <x:v>0</x:v>
      </x:c>
      <x:c r="JB1958" t="n">
        <x:f>'Calculations'!JB1957+IF('Calculations'!JA1958&gt;0,1,0)</x:f>
        <x:v>0</x:v>
      </x:c>
    </x:row>
    <x:row r="1959">
      <x:c r="JA1959" t="n">
        <x:f>IF(OR(IFERROR(INDIRECT("'WCM Calibration Final'!$A$1959")&lt;&gt;"",FALSE),IFERROR(INDIRECT("'WCM Calibration Final'!$B$1959")&lt;&gt;"",FALSE),IFERROR(INDIRECT("'WCM Calibration Final'!$C$1959")&lt;&gt;"",FALSE)),1959,0)</x:f>
        <x:v>0</x:v>
      </x:c>
      <x:c r="JB1959" t="n">
        <x:f>'Calculations'!JB1958+IF('Calculations'!JA1959&gt;0,1,0)</x:f>
        <x:v>0</x:v>
      </x:c>
    </x:row>
    <x:row r="1960">
      <x:c r="JA1960" t="n">
        <x:f>IF(OR(IFERROR(INDIRECT("'WCM Calibration Final'!$A$1960")&lt;&gt;"",FALSE),IFERROR(INDIRECT("'WCM Calibration Final'!$B$1960")&lt;&gt;"",FALSE),IFERROR(INDIRECT("'WCM Calibration Final'!$C$1960")&lt;&gt;"",FALSE)),1960,0)</x:f>
        <x:v>0</x:v>
      </x:c>
      <x:c r="JB1960" t="n">
        <x:f>'Calculations'!JB1959+IF('Calculations'!JA1960&gt;0,1,0)</x:f>
        <x:v>0</x:v>
      </x:c>
    </x:row>
    <x:row r="1961">
      <x:c r="JA1961" t="n">
        <x:f>IF(OR(IFERROR(INDIRECT("'WCM Calibration Final'!$A$1961")&lt;&gt;"",FALSE),IFERROR(INDIRECT("'WCM Calibration Final'!$B$1961")&lt;&gt;"",FALSE),IFERROR(INDIRECT("'WCM Calibration Final'!$C$1961")&lt;&gt;"",FALSE)),1961,0)</x:f>
        <x:v>0</x:v>
      </x:c>
      <x:c r="JB1961" t="n">
        <x:f>'Calculations'!JB1960+IF('Calculations'!JA1961&gt;0,1,0)</x:f>
        <x:v>0</x:v>
      </x:c>
    </x:row>
    <x:row r="1962">
      <x:c r="JA1962" t="n">
        <x:f>IF(OR(IFERROR(INDIRECT("'WCM Calibration Final'!$A$1962")&lt;&gt;"",FALSE),IFERROR(INDIRECT("'WCM Calibration Final'!$B$1962")&lt;&gt;"",FALSE),IFERROR(INDIRECT("'WCM Calibration Final'!$C$1962")&lt;&gt;"",FALSE)),1962,0)</x:f>
        <x:v>0</x:v>
      </x:c>
      <x:c r="JB1962" t="n">
        <x:f>'Calculations'!JB1961+IF('Calculations'!JA1962&gt;0,1,0)</x:f>
        <x:v>0</x:v>
      </x:c>
    </x:row>
    <x:row r="1963">
      <x:c r="JA1963" t="n">
        <x:f>IF(OR(IFERROR(INDIRECT("'WCM Calibration Final'!$A$1963")&lt;&gt;"",FALSE),IFERROR(INDIRECT("'WCM Calibration Final'!$B$1963")&lt;&gt;"",FALSE),IFERROR(INDIRECT("'WCM Calibration Final'!$C$1963")&lt;&gt;"",FALSE)),1963,0)</x:f>
        <x:v>0</x:v>
      </x:c>
      <x:c r="JB1963" t="n">
        <x:f>'Calculations'!JB1962+IF('Calculations'!JA1963&gt;0,1,0)</x:f>
        <x:v>0</x:v>
      </x:c>
    </x:row>
    <x:row r="1964">
      <x:c r="JA1964" t="n">
        <x:f>IF(OR(IFERROR(INDIRECT("'WCM Calibration Final'!$A$1964")&lt;&gt;"",FALSE),IFERROR(INDIRECT("'WCM Calibration Final'!$B$1964")&lt;&gt;"",FALSE),IFERROR(INDIRECT("'WCM Calibration Final'!$C$1964")&lt;&gt;"",FALSE)),1964,0)</x:f>
        <x:v>0</x:v>
      </x:c>
      <x:c r="JB1964" t="n">
        <x:f>'Calculations'!JB1963+IF('Calculations'!JA1964&gt;0,1,0)</x:f>
        <x:v>0</x:v>
      </x:c>
    </x:row>
    <x:row r="1965">
      <x:c r="JA1965" t="n">
        <x:f>IF(OR(IFERROR(INDIRECT("'WCM Calibration Final'!$A$1965")&lt;&gt;"",FALSE),IFERROR(INDIRECT("'WCM Calibration Final'!$B$1965")&lt;&gt;"",FALSE),IFERROR(INDIRECT("'WCM Calibration Final'!$C$1965")&lt;&gt;"",FALSE)),1965,0)</x:f>
        <x:v>0</x:v>
      </x:c>
      <x:c r="JB1965" t="n">
        <x:f>'Calculations'!JB1964+IF('Calculations'!JA1965&gt;0,1,0)</x:f>
        <x:v>0</x:v>
      </x:c>
    </x:row>
    <x:row r="1966">
      <x:c r="JA1966" t="n">
        <x:f>IF(OR(IFERROR(INDIRECT("'WCM Calibration Final'!$A$1966")&lt;&gt;"",FALSE),IFERROR(INDIRECT("'WCM Calibration Final'!$B$1966")&lt;&gt;"",FALSE),IFERROR(INDIRECT("'WCM Calibration Final'!$C$1966")&lt;&gt;"",FALSE)),1966,0)</x:f>
        <x:v>0</x:v>
      </x:c>
      <x:c r="JB1966" t="n">
        <x:f>'Calculations'!JB1965+IF('Calculations'!JA1966&gt;0,1,0)</x:f>
        <x:v>0</x:v>
      </x:c>
    </x:row>
    <x:row r="1967">
      <x:c r="JA1967" t="n">
        <x:f>IF(OR(IFERROR(INDIRECT("'WCM Calibration Final'!$A$1967")&lt;&gt;"",FALSE),IFERROR(INDIRECT("'WCM Calibration Final'!$B$1967")&lt;&gt;"",FALSE),IFERROR(INDIRECT("'WCM Calibration Final'!$C$1967")&lt;&gt;"",FALSE)),1967,0)</x:f>
        <x:v>0</x:v>
      </x:c>
      <x:c r="JB1967" t="n">
        <x:f>'Calculations'!JB1966+IF('Calculations'!JA1967&gt;0,1,0)</x:f>
        <x:v>0</x:v>
      </x:c>
    </x:row>
    <x:row r="1968">
      <x:c r="JA1968" t="n">
        <x:f>IF(OR(IFERROR(INDIRECT("'WCM Calibration Final'!$A$1968")&lt;&gt;"",FALSE),IFERROR(INDIRECT("'WCM Calibration Final'!$B$1968")&lt;&gt;"",FALSE),IFERROR(INDIRECT("'WCM Calibration Final'!$C$1968")&lt;&gt;"",FALSE)),1968,0)</x:f>
        <x:v>0</x:v>
      </x:c>
      <x:c r="JB1968" t="n">
        <x:f>'Calculations'!JB1967+IF('Calculations'!JA1968&gt;0,1,0)</x:f>
        <x:v>0</x:v>
      </x:c>
    </x:row>
    <x:row r="1969">
      <x:c r="JA1969" t="n">
        <x:f>IF(OR(IFERROR(INDIRECT("'WCM Calibration Final'!$A$1969")&lt;&gt;"",FALSE),IFERROR(INDIRECT("'WCM Calibration Final'!$B$1969")&lt;&gt;"",FALSE),IFERROR(INDIRECT("'WCM Calibration Final'!$C$1969")&lt;&gt;"",FALSE)),1969,0)</x:f>
        <x:v>0</x:v>
      </x:c>
      <x:c r="JB1969" t="n">
        <x:f>'Calculations'!JB1968+IF('Calculations'!JA1969&gt;0,1,0)</x:f>
        <x:v>0</x:v>
      </x:c>
    </x:row>
    <x:row r="1970">
      <x:c r="JA1970" t="n">
        <x:f>IF(OR(IFERROR(INDIRECT("'WCM Calibration Final'!$A$1970")&lt;&gt;"",FALSE),IFERROR(INDIRECT("'WCM Calibration Final'!$B$1970")&lt;&gt;"",FALSE),IFERROR(INDIRECT("'WCM Calibration Final'!$C$1970")&lt;&gt;"",FALSE)),1970,0)</x:f>
        <x:v>0</x:v>
      </x:c>
      <x:c r="JB1970" t="n">
        <x:f>'Calculations'!JB1969+IF('Calculations'!JA1970&gt;0,1,0)</x:f>
        <x:v>0</x:v>
      </x:c>
    </x:row>
    <x:row r="1971">
      <x:c r="JA1971" t="n">
        <x:f>IF(OR(IFERROR(INDIRECT("'WCM Calibration Final'!$A$1971")&lt;&gt;"",FALSE),IFERROR(INDIRECT("'WCM Calibration Final'!$B$1971")&lt;&gt;"",FALSE),IFERROR(INDIRECT("'WCM Calibration Final'!$C$1971")&lt;&gt;"",FALSE)),1971,0)</x:f>
        <x:v>0</x:v>
      </x:c>
      <x:c r="JB1971" t="n">
        <x:f>'Calculations'!JB1970+IF('Calculations'!JA1971&gt;0,1,0)</x:f>
        <x:v>0</x:v>
      </x:c>
    </x:row>
    <x:row r="1972">
      <x:c r="JA1972" t="n">
        <x:f>IF(OR(IFERROR(INDIRECT("'WCM Calibration Final'!$A$1972")&lt;&gt;"",FALSE),IFERROR(INDIRECT("'WCM Calibration Final'!$B$1972")&lt;&gt;"",FALSE),IFERROR(INDIRECT("'WCM Calibration Final'!$C$1972")&lt;&gt;"",FALSE)),1972,0)</x:f>
        <x:v>0</x:v>
      </x:c>
      <x:c r="JB1972" t="n">
        <x:f>'Calculations'!JB1971+IF('Calculations'!JA1972&gt;0,1,0)</x:f>
        <x:v>0</x:v>
      </x:c>
    </x:row>
    <x:row r="1973">
      <x:c r="JA1973" t="n">
        <x:f>IF(OR(IFERROR(INDIRECT("'WCM Calibration Final'!$A$1973")&lt;&gt;"",FALSE),IFERROR(INDIRECT("'WCM Calibration Final'!$B$1973")&lt;&gt;"",FALSE),IFERROR(INDIRECT("'WCM Calibration Final'!$C$1973")&lt;&gt;"",FALSE)),1973,0)</x:f>
        <x:v>0</x:v>
      </x:c>
      <x:c r="JB1973" t="n">
        <x:f>'Calculations'!JB1972+IF('Calculations'!JA1973&gt;0,1,0)</x:f>
        <x:v>0</x:v>
      </x:c>
    </x:row>
    <x:row r="1974">
      <x:c r="JA1974" t="n">
        <x:f>IF(OR(IFERROR(INDIRECT("'WCM Calibration Final'!$A$1974")&lt;&gt;"",FALSE),IFERROR(INDIRECT("'WCM Calibration Final'!$B$1974")&lt;&gt;"",FALSE),IFERROR(INDIRECT("'WCM Calibration Final'!$C$1974")&lt;&gt;"",FALSE)),1974,0)</x:f>
        <x:v>0</x:v>
      </x:c>
      <x:c r="JB1974" t="n">
        <x:f>'Calculations'!JB1973+IF('Calculations'!JA1974&gt;0,1,0)</x:f>
        <x:v>0</x:v>
      </x:c>
    </x:row>
    <x:row r="1975">
      <x:c r="JA1975" t="n">
        <x:f>IF(OR(IFERROR(INDIRECT("'WCM Calibration Final'!$A$1975")&lt;&gt;"",FALSE),IFERROR(INDIRECT("'WCM Calibration Final'!$B$1975")&lt;&gt;"",FALSE),IFERROR(INDIRECT("'WCM Calibration Final'!$C$1975")&lt;&gt;"",FALSE)),1975,0)</x:f>
        <x:v>0</x:v>
      </x:c>
      <x:c r="JB1975" t="n">
        <x:f>'Calculations'!JB1974+IF('Calculations'!JA1975&gt;0,1,0)</x:f>
        <x:v>0</x:v>
      </x:c>
    </x:row>
    <x:row r="1976">
      <x:c r="JA1976" t="n">
        <x:f>IF(OR(IFERROR(INDIRECT("'WCM Calibration Final'!$A$1976")&lt;&gt;"",FALSE),IFERROR(INDIRECT("'WCM Calibration Final'!$B$1976")&lt;&gt;"",FALSE),IFERROR(INDIRECT("'WCM Calibration Final'!$C$1976")&lt;&gt;"",FALSE)),1976,0)</x:f>
        <x:v>0</x:v>
      </x:c>
      <x:c r="JB1976" t="n">
        <x:f>'Calculations'!JB1975+IF('Calculations'!JA1976&gt;0,1,0)</x:f>
        <x:v>0</x:v>
      </x:c>
    </x:row>
    <x:row r="1977">
      <x:c r="JA1977" t="n">
        <x:f>IF(OR(IFERROR(INDIRECT("'WCM Calibration Final'!$A$1977")&lt;&gt;"",FALSE),IFERROR(INDIRECT("'WCM Calibration Final'!$B$1977")&lt;&gt;"",FALSE),IFERROR(INDIRECT("'WCM Calibration Final'!$C$1977")&lt;&gt;"",FALSE)),1977,0)</x:f>
        <x:v>0</x:v>
      </x:c>
      <x:c r="JB1977" t="n">
        <x:f>'Calculations'!JB1976+IF('Calculations'!JA1977&gt;0,1,0)</x:f>
        <x:v>0</x:v>
      </x:c>
    </x:row>
    <x:row r="1978">
      <x:c r="JA1978" t="n">
        <x:f>IF(OR(IFERROR(INDIRECT("'WCM Calibration Final'!$A$1978")&lt;&gt;"",FALSE),IFERROR(INDIRECT("'WCM Calibration Final'!$B$1978")&lt;&gt;"",FALSE),IFERROR(INDIRECT("'WCM Calibration Final'!$C$1978")&lt;&gt;"",FALSE)),1978,0)</x:f>
        <x:v>0</x:v>
      </x:c>
      <x:c r="JB1978" t="n">
        <x:f>'Calculations'!JB1977+IF('Calculations'!JA1978&gt;0,1,0)</x:f>
        <x:v>0</x:v>
      </x:c>
    </x:row>
    <x:row r="1979">
      <x:c r="JA1979" t="n">
        <x:f>IF(OR(IFERROR(INDIRECT("'WCM Calibration Final'!$A$1979")&lt;&gt;"",FALSE),IFERROR(INDIRECT("'WCM Calibration Final'!$B$1979")&lt;&gt;"",FALSE),IFERROR(INDIRECT("'WCM Calibration Final'!$C$1979")&lt;&gt;"",FALSE)),1979,0)</x:f>
        <x:v>0</x:v>
      </x:c>
      <x:c r="JB1979" t="n">
        <x:f>'Calculations'!JB1978+IF('Calculations'!JA1979&gt;0,1,0)</x:f>
        <x:v>0</x:v>
      </x:c>
    </x:row>
    <x:row r="1980">
      <x:c r="JA1980" t="n">
        <x:f>IF(OR(IFERROR(INDIRECT("'WCM Calibration Final'!$A$1980")&lt;&gt;"",FALSE),IFERROR(INDIRECT("'WCM Calibration Final'!$B$1980")&lt;&gt;"",FALSE),IFERROR(INDIRECT("'WCM Calibration Final'!$C$1980")&lt;&gt;"",FALSE)),1980,0)</x:f>
        <x:v>0</x:v>
      </x:c>
      <x:c r="JB1980" t="n">
        <x:f>'Calculations'!JB1979+IF('Calculations'!JA1980&gt;0,1,0)</x:f>
        <x:v>0</x:v>
      </x:c>
    </x:row>
    <x:row r="1981">
      <x:c r="JA1981" t="n">
        <x:f>IF(OR(IFERROR(INDIRECT("'WCM Calibration Final'!$A$1981")&lt;&gt;"",FALSE),IFERROR(INDIRECT("'WCM Calibration Final'!$B$1981")&lt;&gt;"",FALSE),IFERROR(INDIRECT("'WCM Calibration Final'!$C$1981")&lt;&gt;"",FALSE)),1981,0)</x:f>
        <x:v>0</x:v>
      </x:c>
      <x:c r="JB1981" t="n">
        <x:f>'Calculations'!JB1980+IF('Calculations'!JA1981&gt;0,1,0)</x:f>
        <x:v>0</x:v>
      </x:c>
    </x:row>
    <x:row r="1982">
      <x:c r="JA1982" t="n">
        <x:f>IF(OR(IFERROR(INDIRECT("'WCM Calibration Final'!$A$1982")&lt;&gt;"",FALSE),IFERROR(INDIRECT("'WCM Calibration Final'!$B$1982")&lt;&gt;"",FALSE),IFERROR(INDIRECT("'WCM Calibration Final'!$C$1982")&lt;&gt;"",FALSE)),1982,0)</x:f>
        <x:v>0</x:v>
      </x:c>
      <x:c r="JB1982" t="n">
        <x:f>'Calculations'!JB1981+IF('Calculations'!JA1982&gt;0,1,0)</x:f>
        <x:v>0</x:v>
      </x:c>
    </x:row>
    <x:row r="1983">
      <x:c r="JA1983" t="n">
        <x:f>IF(OR(IFERROR(INDIRECT("'WCM Calibration Final'!$A$1983")&lt;&gt;"",FALSE),IFERROR(INDIRECT("'WCM Calibration Final'!$B$1983")&lt;&gt;"",FALSE),IFERROR(INDIRECT("'WCM Calibration Final'!$C$1983")&lt;&gt;"",FALSE)),1983,0)</x:f>
        <x:v>0</x:v>
      </x:c>
      <x:c r="JB1983" t="n">
        <x:f>'Calculations'!JB1982+IF('Calculations'!JA1983&gt;0,1,0)</x:f>
        <x:v>0</x:v>
      </x:c>
    </x:row>
    <x:row r="1984">
      <x:c r="JA1984" t="n">
        <x:f>IF(OR(IFERROR(INDIRECT("'WCM Calibration Final'!$A$1984")&lt;&gt;"",FALSE),IFERROR(INDIRECT("'WCM Calibration Final'!$B$1984")&lt;&gt;"",FALSE),IFERROR(INDIRECT("'WCM Calibration Final'!$C$1984")&lt;&gt;"",FALSE)),1984,0)</x:f>
        <x:v>0</x:v>
      </x:c>
      <x:c r="JB1984" t="n">
        <x:f>'Calculations'!JB1983+IF('Calculations'!JA1984&gt;0,1,0)</x:f>
        <x:v>0</x:v>
      </x:c>
    </x:row>
    <x:row r="1985">
      <x:c r="JA1985" t="n">
        <x:f>IF(OR(IFERROR(INDIRECT("'WCM Calibration Final'!$A$1985")&lt;&gt;"",FALSE),IFERROR(INDIRECT("'WCM Calibration Final'!$B$1985")&lt;&gt;"",FALSE),IFERROR(INDIRECT("'WCM Calibration Final'!$C$1985")&lt;&gt;"",FALSE)),1985,0)</x:f>
        <x:v>0</x:v>
      </x:c>
      <x:c r="JB1985" t="n">
        <x:f>'Calculations'!JB1984+IF('Calculations'!JA1985&gt;0,1,0)</x:f>
        <x:v>0</x:v>
      </x:c>
    </x:row>
    <x:row r="1986">
      <x:c r="JA1986" t="n">
        <x:f>IF(OR(IFERROR(INDIRECT("'WCM Calibration Final'!$A$1986")&lt;&gt;"",FALSE),IFERROR(INDIRECT("'WCM Calibration Final'!$B$1986")&lt;&gt;"",FALSE),IFERROR(INDIRECT("'WCM Calibration Final'!$C$1986")&lt;&gt;"",FALSE)),1986,0)</x:f>
        <x:v>0</x:v>
      </x:c>
      <x:c r="JB1986" t="n">
        <x:f>'Calculations'!JB1985+IF('Calculations'!JA1986&gt;0,1,0)</x:f>
        <x:v>0</x:v>
      </x:c>
    </x:row>
    <x:row r="1987">
      <x:c r="JA1987" t="n">
        <x:f>IF(OR(IFERROR(INDIRECT("'WCM Calibration Final'!$A$1987")&lt;&gt;"",FALSE),IFERROR(INDIRECT("'WCM Calibration Final'!$B$1987")&lt;&gt;"",FALSE),IFERROR(INDIRECT("'WCM Calibration Final'!$C$1987")&lt;&gt;"",FALSE)),1987,0)</x:f>
        <x:v>0</x:v>
      </x:c>
      <x:c r="JB1987" t="n">
        <x:f>'Calculations'!JB1986+IF('Calculations'!JA1987&gt;0,1,0)</x:f>
        <x:v>0</x:v>
      </x:c>
    </x:row>
    <x:row r="1988">
      <x:c r="JA1988" t="n">
        <x:f>IF(OR(IFERROR(INDIRECT("'WCM Calibration Final'!$A$1988")&lt;&gt;"",FALSE),IFERROR(INDIRECT("'WCM Calibration Final'!$B$1988")&lt;&gt;"",FALSE),IFERROR(INDIRECT("'WCM Calibration Final'!$C$1988")&lt;&gt;"",FALSE)),1988,0)</x:f>
        <x:v>0</x:v>
      </x:c>
      <x:c r="JB1988" t="n">
        <x:f>'Calculations'!JB1987+IF('Calculations'!JA1988&gt;0,1,0)</x:f>
        <x:v>0</x:v>
      </x:c>
    </x:row>
    <x:row r="1989">
      <x:c r="JA1989" t="n">
        <x:f>IF(OR(IFERROR(INDIRECT("'WCM Calibration Final'!$A$1989")&lt;&gt;"",FALSE),IFERROR(INDIRECT("'WCM Calibration Final'!$B$1989")&lt;&gt;"",FALSE),IFERROR(INDIRECT("'WCM Calibration Final'!$C$1989")&lt;&gt;"",FALSE)),1989,0)</x:f>
        <x:v>0</x:v>
      </x:c>
      <x:c r="JB1989" t="n">
        <x:f>'Calculations'!JB1988+IF('Calculations'!JA1989&gt;0,1,0)</x:f>
        <x:v>0</x:v>
      </x:c>
    </x:row>
    <x:row r="1990">
      <x:c r="JA1990" t="n">
        <x:f>IF(OR(IFERROR(INDIRECT("'WCM Calibration Final'!$A$1990")&lt;&gt;"",FALSE),IFERROR(INDIRECT("'WCM Calibration Final'!$B$1990")&lt;&gt;"",FALSE),IFERROR(INDIRECT("'WCM Calibration Final'!$C$1990")&lt;&gt;"",FALSE)),1990,0)</x:f>
        <x:v>0</x:v>
      </x:c>
      <x:c r="JB1990" t="n">
        <x:f>'Calculations'!JB1989+IF('Calculations'!JA1990&gt;0,1,0)</x:f>
        <x:v>0</x:v>
      </x:c>
    </x:row>
    <x:row r="1991">
      <x:c r="JA1991" t="n">
        <x:f>IF(OR(IFERROR(INDIRECT("'WCM Calibration Final'!$A$1991")&lt;&gt;"",FALSE),IFERROR(INDIRECT("'WCM Calibration Final'!$B$1991")&lt;&gt;"",FALSE),IFERROR(INDIRECT("'WCM Calibration Final'!$C$1991")&lt;&gt;"",FALSE)),1991,0)</x:f>
        <x:v>0</x:v>
      </x:c>
      <x:c r="JB1991" t="n">
        <x:f>'Calculations'!JB1990+IF('Calculations'!JA1991&gt;0,1,0)</x:f>
        <x:v>0</x:v>
      </x:c>
    </x:row>
    <x:row r="1992">
      <x:c r="JA1992" t="n">
        <x:f>IF(OR(IFERROR(INDIRECT("'WCM Calibration Final'!$A$1992")&lt;&gt;"",FALSE),IFERROR(INDIRECT("'WCM Calibration Final'!$B$1992")&lt;&gt;"",FALSE),IFERROR(INDIRECT("'WCM Calibration Final'!$C$1992")&lt;&gt;"",FALSE)),1992,0)</x:f>
        <x:v>0</x:v>
      </x:c>
      <x:c r="JB1992" t="n">
        <x:f>'Calculations'!JB1991+IF('Calculations'!JA1992&gt;0,1,0)</x:f>
        <x:v>0</x:v>
      </x:c>
    </x:row>
    <x:row r="1993">
      <x:c r="JA1993" t="n">
        <x:f>IF(OR(IFERROR(INDIRECT("'WCM Calibration Final'!$A$1993")&lt;&gt;"",FALSE),IFERROR(INDIRECT("'WCM Calibration Final'!$B$1993")&lt;&gt;"",FALSE),IFERROR(INDIRECT("'WCM Calibration Final'!$C$1993")&lt;&gt;"",FALSE)),1993,0)</x:f>
        <x:v>0</x:v>
      </x:c>
      <x:c r="JB1993" t="n">
        <x:f>'Calculations'!JB1992+IF('Calculations'!JA1993&gt;0,1,0)</x:f>
        <x:v>0</x:v>
      </x:c>
    </x:row>
    <x:row r="1994">
      <x:c r="JA1994" t="n">
        <x:f>IF(OR(IFERROR(INDIRECT("'WCM Calibration Final'!$A$1994")&lt;&gt;"",FALSE),IFERROR(INDIRECT("'WCM Calibration Final'!$B$1994")&lt;&gt;"",FALSE),IFERROR(INDIRECT("'WCM Calibration Final'!$C$1994")&lt;&gt;"",FALSE)),1994,0)</x:f>
        <x:v>0</x:v>
      </x:c>
      <x:c r="JB1994" t="n">
        <x:f>'Calculations'!JB1993+IF('Calculations'!JA1994&gt;0,1,0)</x:f>
        <x:v>0</x:v>
      </x:c>
    </x:row>
    <x:row r="1995">
      <x:c r="JA1995" t="n">
        <x:f>IF(OR(IFERROR(INDIRECT("'WCM Calibration Final'!$A$1995")&lt;&gt;"",FALSE),IFERROR(INDIRECT("'WCM Calibration Final'!$B$1995")&lt;&gt;"",FALSE),IFERROR(INDIRECT("'WCM Calibration Final'!$C$1995")&lt;&gt;"",FALSE)),1995,0)</x:f>
        <x:v>0</x:v>
      </x:c>
      <x:c r="JB1995" t="n">
        <x:f>'Calculations'!JB1994+IF('Calculations'!JA1995&gt;0,1,0)</x:f>
        <x:v>0</x:v>
      </x:c>
    </x:row>
    <x:row r="1996">
      <x:c r="JA1996" t="n">
        <x:f>IF(OR(IFERROR(INDIRECT("'WCM Calibration Final'!$A$1996")&lt;&gt;"",FALSE),IFERROR(INDIRECT("'WCM Calibration Final'!$B$1996")&lt;&gt;"",FALSE),IFERROR(INDIRECT("'WCM Calibration Final'!$C$1996")&lt;&gt;"",FALSE)),1996,0)</x:f>
        <x:v>0</x:v>
      </x:c>
      <x:c r="JB1996" t="n">
        <x:f>'Calculations'!JB1995+IF('Calculations'!JA1996&gt;0,1,0)</x:f>
        <x:v>0</x:v>
      </x:c>
    </x:row>
    <x:row r="1997">
      <x:c r="JA1997" t="n">
        <x:f>IF(OR(IFERROR(INDIRECT("'WCM Calibration Final'!$A$1997")&lt;&gt;"",FALSE),IFERROR(INDIRECT("'WCM Calibration Final'!$B$1997")&lt;&gt;"",FALSE),IFERROR(INDIRECT("'WCM Calibration Final'!$C$1997")&lt;&gt;"",FALSE)),1997,0)</x:f>
        <x:v>0</x:v>
      </x:c>
      <x:c r="JB1997" t="n">
        <x:f>'Calculations'!JB1996+IF('Calculations'!JA1997&gt;0,1,0)</x:f>
        <x:v>0</x:v>
      </x:c>
    </x:row>
    <x:row r="1998">
      <x:c r="JA1998" t="n">
        <x:f>IF(OR(IFERROR(INDIRECT("'WCM Calibration Final'!$A$1998")&lt;&gt;"",FALSE),IFERROR(INDIRECT("'WCM Calibration Final'!$B$1998")&lt;&gt;"",FALSE),IFERROR(INDIRECT("'WCM Calibration Final'!$C$1998")&lt;&gt;"",FALSE)),1998,0)</x:f>
        <x:v>0</x:v>
      </x:c>
      <x:c r="JB1998" t="n">
        <x:f>'Calculations'!JB1997+IF('Calculations'!JA1998&gt;0,1,0)</x:f>
        <x:v>0</x:v>
      </x:c>
    </x:row>
    <x:row r="1999">
      <x:c r="JA1999" t="n">
        <x:f>IF(OR(IFERROR(INDIRECT("'WCM Calibration Final'!$A$1999")&lt;&gt;"",FALSE),IFERROR(INDIRECT("'WCM Calibration Final'!$B$1999")&lt;&gt;"",FALSE),IFERROR(INDIRECT("'WCM Calibration Final'!$C$1999")&lt;&gt;"",FALSE)),1999,0)</x:f>
        <x:v>0</x:v>
      </x:c>
      <x:c r="JB1999" t="n">
        <x:f>'Calculations'!JB1998+IF('Calculations'!JA1999&gt;0,1,0)</x:f>
        <x:v>0</x:v>
      </x:c>
    </x:row>
    <x:row r="2000">
      <x:c r="JA2000" t="n">
        <x:f>IF(OR(IFERROR(INDIRECT("'WCM Calibration Final'!$A$2000")&lt;&gt;"",FALSE),IFERROR(INDIRECT("'WCM Calibration Final'!$B$2000")&lt;&gt;"",FALSE),IFERROR(INDIRECT("'WCM Calibration Final'!$C$2000")&lt;&gt;"",FALSE)),2000,0)</x:f>
        <x:v>0</x:v>
      </x:c>
      <x:c r="JB2000" t="n">
        <x:f>'Calculations'!JB1999+IF('Calculations'!JA2000&gt;0,1,0)</x:f>
        <x:v>0</x:v>
      </x:c>
    </x:row>
  </x:sheetData>
  <x:mergeCells>
    <x:mergeCell ref="A1:M1"/>
    <x:mergeCell ref="A2:M3"/>
    <x:mergeCell ref="A4:C4"/>
    <x:mergeCell ref="D4:M4"/>
    <x:mergeCell ref="A6:C6"/>
    <x:mergeCell ref="A8:M9"/>
    <x:mergeCell ref="A19:M21"/>
  </x:mergeCells>
  <x:pageMargins left="0.7" right="0.7" top="0.75" bottom="0.75" header="0.3" footer="0.3"/>
</x:worksheet>
</file>